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원본명단" sheetId="2" state="visible" r:id="rId4"/>
    <sheet name="중복검사" sheetId="3" state="visible" r:id="rId5"/>
    <sheet name="중복목록" sheetId="4" state="visible" r:id="rId6"/>
    <sheet name="정리결과" sheetId="5" state="visible" r:id="rId7"/>
    <sheet name="요약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<sst xmlns="http://schemas.openxmlformats.org/spreadsheetml/2006/main" count="117" uniqueCount="92">
  <si>
    <t xml:space="preserve">거래처 · 명단 중복 정리</t>
  </si>
  <si>
    <t xml:space="preserve">핵심</t>
  </si>
  <si>
    <t xml:space="preserve">명단을 붙여넣기만 하면 이름·연락처·사업자번호가 겹치는 건을 자동으로 찾아 표시합니다.</t>
  </si>
  <si>
    <t xml:space="preserve">입력 규칙</t>
  </si>
  <si>
    <t xml:space="preserve">파란색 글씨 칸만 입력하세요. 검은색은 자동 계산입니다.</t>
  </si>
  <si>
    <t xml:space="preserve">① 원본명단</t>
  </si>
  <si>
    <t xml:space="preserve">가지고 있는 명단을 A~F열에 그대로 붙여넣으세요. 정리 전 원본입니다.</t>
  </si>
  <si>
    <t xml:space="preserve">띄어쓰기나 하이픈이 달라도 같은 것으로 잡아냅니다. (주)·주식회사도 무시합니다.</t>
  </si>
  <si>
    <t xml:space="preserve">② 중복검사</t>
  </si>
  <si>
    <t xml:space="preserve">어떤 기준으로 몇 건이 겹치는지 한 줄씩 표시됩니다.</t>
  </si>
  <si>
    <t xml:space="preserve">③ 중복목록</t>
  </si>
  <si>
    <t xml:space="preserve">겹치는 건만 모아서 보여줍니다. 눈으로 확인하고 지울 것을 고르세요.</t>
  </si>
  <si>
    <t xml:space="preserve">④ 정리결과</t>
  </si>
  <si>
    <t xml:space="preserve">같은 건 중 첫 번째만 남긴 깨끗한 명단입니다. 이걸 복사해서 쓰세요.</t>
  </si>
  <si>
    <t xml:space="preserve">⑤ 요약</t>
  </si>
  <si>
    <t xml:space="preserve">전체 건수·중복 건수·정리 후 건수를 보여줍니다.</t>
  </si>
  <si>
    <t xml:space="preserve">판정 기준</t>
  </si>
  <si>
    <t xml:space="preserve">연락처 일치 / 사업자번호 일치 / 이름+주소 일치 중 하나라도 맞으면 중복으로 봅니다.</t>
  </si>
  <si>
    <t xml:space="preserve">주의</t>
  </si>
  <si>
    <t xml:space="preserve">동명이인이나 같은 건물의 다른 업체가 중복으로 잡힐 수 있습니다. 반드시 눈으로 확인하세요.</t>
  </si>
  <si>
    <t xml:space="preserve">※ 이 파일은 6,000건까지 처리하도록 만들어졌습니다.</t>
  </si>
  <si>
    <t xml:space="preserve">※ 자동으로 지우지 않습니다. 무엇이 겹치는지 보여줄 뿐이니 삭제는 직접 판단하세요.</t>
  </si>
  <si>
    <t xml:space="preserve">원본명단  (A~F열에 그대로 붙여넣으세요)</t>
  </si>
  <si>
    <t xml:space="preserve">업체명</t>
  </si>
  <si>
    <t xml:space="preserve">사업자번호</t>
  </si>
  <si>
    <t xml:space="preserve">대표자</t>
  </si>
  <si>
    <t xml:space="preserve">연락처</t>
  </si>
  <si>
    <t xml:space="preserve">주소</t>
  </si>
  <si>
    <t xml:space="preserve">비고</t>
  </si>
  <si>
    <t xml:space="preserve">업체명정규화(자동)</t>
  </si>
  <si>
    <t xml:space="preserve">번호정규화(자동)</t>
  </si>
  <si>
    <t xml:space="preserve">연락처정규화(자동)</t>
  </si>
  <si>
    <t xml:space="preserve">주소정규화(자동)</t>
  </si>
  <si>
    <t xml:space="preserve">이름+주소키(자동)</t>
  </si>
  <si>
    <t xml:space="preserve">순번(자동)</t>
  </si>
  <si>
    <t xml:space="preserve">원본행(자동)</t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</si>
  <si>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주</t>
    </r>
    <r>
      <rPr>
        <sz val="10"/>
        <color rgb="FF0000FF"/>
        <rFont val="맑은 고딕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가나상사</t>
    </r>
  </si>
  <si>
    <t xml:space="preserve">123-45-67890</t>
  </si>
  <si>
    <t xml:space="preserve">김대표</t>
  </si>
  <si>
    <t xml:space="preserve">010-1111-2222</t>
  </si>
  <si>
    <t xml:space="preserve">서울시 강남구 테헤란로 1</t>
  </si>
  <si>
    <t xml:space="preserve">← 예시 5건 (2·5번이 중복)</t>
  </si>
  <si>
    <t xml:space="preserve">가나상사</t>
  </si>
  <si>
    <t xml:space="preserve">1234567890</t>
  </si>
  <si>
    <t xml:space="preserve">01011112222</t>
  </si>
  <si>
    <t xml:space="preserve">서울시 강남구 테헤란로1</t>
  </si>
  <si>
    <t xml:space="preserve">다라유통</t>
  </si>
  <si>
    <t xml:space="preserve">222-22-22222</t>
  </si>
  <si>
    <t xml:space="preserve">이대표</t>
  </si>
  <si>
    <t xml:space="preserve">031-222-3333</t>
  </si>
  <si>
    <t xml:space="preserve">경기도 성남시 분당구 2</t>
  </si>
  <si>
    <t xml:space="preserve">마바물산 주식회사</t>
  </si>
  <si>
    <t xml:space="preserve">333-33-33333</t>
  </si>
  <si>
    <t xml:space="preserve">박대표</t>
  </si>
  <si>
    <t xml:space="preserve">02-333-4444</t>
  </si>
  <si>
    <t xml:space="preserve">부산시 해운대구 3</t>
  </si>
  <si>
    <t xml:space="preserve">마바물산</t>
  </si>
  <si>
    <t xml:space="preserve">051-999-8888</t>
  </si>
  <si>
    <t xml:space="preserve">중복검사  (전부 자동)</t>
  </si>
  <si>
    <t xml:space="preserve">사업자번호 / 연락처 / (업체명+주소) 중 하나라도 겹치면 중복</t>
  </si>
  <si>
    <t xml:space="preserve">순번</t>
  </si>
  <si>
    <t xml:space="preserve">번호중복</t>
  </si>
  <si>
    <t xml:space="preserve">연락처중복</t>
  </si>
  <si>
    <t xml:space="preserve">이름+주소중복</t>
  </si>
  <si>
    <t xml:space="preserve">중복여부</t>
  </si>
  <si>
    <t xml:space="preserve">최초 등장</t>
  </si>
  <si>
    <t xml:space="preserve">처리</t>
  </si>
  <si>
    <t xml:space="preserve">중복목록  (겹치는 건만 모아보기)</t>
  </si>
  <si>
    <t xml:space="preserve">중복 건수</t>
  </si>
  <si>
    <t xml:space="preserve">※ 사업자번호 순으로 정렬해서 보면 짝이 눈에 잘 띕니다.</t>
  </si>
  <si>
    <t xml:space="preserve">중복 개수</t>
  </si>
  <si>
    <t xml:space="preserve">구분</t>
  </si>
  <si>
    <t xml:space="preserve">대상(자동)</t>
  </si>
  <si>
    <t xml:space="preserve">키(자동)</t>
  </si>
  <si>
    <r>
      <rPr>
        <sz val="9"/>
        <color rgb="FF808080"/>
        <rFont val="맑은 고딕"/>
        <family val="0"/>
        <charset val="1"/>
      </rPr>
      <t xml:space="preserve">※ 300</t>
    </r>
    <r>
      <rPr>
        <sz val="9"/>
        <color rgb="FF808080"/>
        <rFont val="Noto Sans CJK SC"/>
        <family val="2"/>
      </rPr>
      <t xml:space="preserve">건까지 표시됩니다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그보다 많으면 </t>
    </r>
    <r>
      <rPr>
        <sz val="9"/>
        <color rgb="FF808080"/>
        <rFont val="맑은 고딕"/>
        <family val="0"/>
        <charset val="1"/>
      </rPr>
      <t xml:space="preserve">[</t>
    </r>
    <r>
      <rPr>
        <sz val="9"/>
        <color rgb="FF808080"/>
        <rFont val="Noto Sans CJK SC"/>
        <family val="2"/>
      </rPr>
      <t xml:space="preserve">중복검사</t>
    </r>
    <r>
      <rPr>
        <sz val="9"/>
        <color rgb="FF808080"/>
        <rFont val="맑은 고딕"/>
        <family val="0"/>
        <charset val="1"/>
      </rPr>
      <t xml:space="preserve">] </t>
    </r>
    <r>
      <rPr>
        <sz val="9"/>
        <color rgb="FF808080"/>
        <rFont val="Noto Sans CJK SC"/>
        <family val="2"/>
      </rPr>
      <t xml:space="preserve">시트에서 직접 확인하세요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</si>
  <si>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정리결과  (겹치는 건 중 첫 번째만 남긴 명단)</t>
  </si>
  <si>
    <t xml:space="preserve">정리 후 건수</t>
  </si>
  <si>
    <t xml:space="preserve">※ 이 표를 복사해서 쓰세요. 반드시 눈으로 한 번 확인하시고요.</t>
  </si>
  <si>
    <r>
      <rPr>
        <sz val="9"/>
        <color rgb="FF808080"/>
        <rFont val="맑은 고딕"/>
        <family val="0"/>
        <charset val="1"/>
      </rPr>
      <t xml:space="preserve">※ 600</t>
    </r>
    <r>
      <rPr>
        <sz val="9"/>
        <color rgb="FF808080"/>
        <rFont val="Noto Sans CJK SC"/>
        <family val="2"/>
      </rPr>
      <t xml:space="preserve">건까지 표시됩니다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</si>
  <si>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요약</t>
  </si>
  <si>
    <t xml:space="preserve">전체 건수</t>
  </si>
  <si>
    <t xml:space="preserve">붙여넣은 원본 건수</t>
  </si>
  <si>
    <t xml:space="preserve">중복으로 잡힌 건수</t>
  </si>
  <si>
    <t xml:space="preserve">기준 중 하나라도 겹친 건</t>
  </si>
  <si>
    <t xml:space="preserve">지울 후보 건수</t>
  </si>
  <si>
    <t xml:space="preserve">같은 건 중 두 번째 이후</t>
  </si>
  <si>
    <t xml:space="preserve">첫 건만 남겼을 때</t>
  </si>
  <si>
    <t xml:space="preserve">사업자번호 겹침</t>
  </si>
  <si>
    <t xml:space="preserve">연락처 겹침</t>
  </si>
  <si>
    <t xml:space="preserve">업체명+주소 겹침</t>
  </si>
  <si>
    <t xml:space="preserve">※ 동명이인, 같은 건물의 다른 업체, 대표번호를 함께 쓰는 계열사는</t>
  </si>
  <si>
    <t xml:space="preserve">   중복으로 잡힐 수 있습니다. 지우기 전에 반드시 눈으로 확인하세요.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</si>
</sst>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/>
      <c r="C7" s="4" t="s">
        <v>7</v>
      </c>
    </row>
    <row r="8" customFormat="false" ht="15" hidden="false" customHeight="true" outlineLevel="0" collapsed="false">
      <c r="B8" s="3" t="s">
        <v>8</v>
      </c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5" customFormat="false" ht="15" hidden="false" customHeight="true" outlineLevel="0" collapsed="false">
      <c r="B15" s="5" t="s">
        <v>20</v>
      </c>
    </row>
    <row r="16" customFormat="false" ht="15" hidden="false" customHeight="true" outlineLevel="0" collapsed="false">
      <c r="B16" s="5" t="s">
        <v>21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7"/>
    <col collapsed="false" customWidth="true" hidden="false" outlineLevel="0" max="3" min="3" style="1" width="13"/>
    <col collapsed="false" customWidth="true" hidden="false" outlineLevel="0" max="4" min="4" style="1" width="17"/>
    <col collapsed="false" customWidth="true" hidden="false" outlineLevel="0" max="5" min="5" style="1" width="34"/>
    <col collapsed="false" customWidth="true" hidden="false" outlineLevel="0" max="6" min="6" style="1" width="27"/>
    <col collapsed="false" customWidth="true" hidden="false" outlineLevel="0" max="7" min="7" style="1" width="26"/>
    <col collapsed="false" customWidth="true" hidden="false" outlineLevel="0" max="9" min="8" style="1" width="18"/>
    <col collapsed="false" customWidth="true" hidden="false" outlineLevel="0" max="10" min="10" style="1" width="30"/>
    <col collapsed="false" customWidth="true" hidden="false" outlineLevel="0" max="11" min="11" style="1" width="34"/>
    <col collapsed="false" customWidth="true" hidden="false" outlineLevel="0" max="13" min="12" style="1" width="12"/>
  </cols>
  <sheetData>
    <row r="1" customFormat="false" ht="25.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</row>
    <row r="3" customFormat="false" ht="15" hidden="false" customHeight="true" outlineLevel="0" collapsed="false">
      <c r="A3" s="8" t="s">
        <v>36</v>
      </c>
      <c r="B3" s="8" t="s">
        <v>37</v>
      </c>
      <c r="C3" s="9" t="s">
        <v>38</v>
      </c>
      <c r="D3" s="8" t="s">
        <v>39</v>
      </c>
      <c r="E3" s="9" t="s">
        <v>40</v>
      </c>
      <c r="F3" s="9" t="s">
        <v>41</v>
      </c>
      <c r="G3" s="10" t="str">
        <f aca="false">IF($A3="","",UPPER(SUBSTITUTE(SUBSTITUTE(SUBSTITUTE(SUBSTITUTE($A3," ",""),"(주)",""),"주식회사",""),"㈜","")))</f>
        <v>가나상사</v>
      </c>
      <c r="H3" s="10" t="str">
        <f aca="false">IF($B3="","",SUBSTITUTE(SUBSTITUTE(SUBSTITUTE($B3,"-","")," ",""),".",""))</f>
        <v>1234567890</v>
      </c>
      <c r="I3" s="10" t="str">
        <f aca="false">IF($D3="","",SUBSTITUTE(SUBSTITUTE(SUBSTITUTE($D3,"-","")," ",""),".",""))</f>
        <v>01011112222</v>
      </c>
      <c r="J3" s="10" t="str">
        <f aca="false">IF($E3="","",UPPER(SUBSTITUTE($E3," ","")))</f>
        <v>서울시강남구테헤란로1</v>
      </c>
      <c r="K3" s="10" t="str">
        <f aca="false">IF($A3="","",$G3&amp;"|"&amp;$J3)</f>
        <v>가나상사|서울시강남구테헤란로1</v>
      </c>
      <c r="L3" s="10" t="n">
        <f aca="false">IF($A3="","",ROW()-2)</f>
        <v>1</v>
      </c>
      <c r="M3" s="10" t="n">
        <f aca="false">IF($A3="","",ROW())</f>
        <v>3</v>
      </c>
    </row>
    <row r="4" customFormat="false" ht="15" hidden="false" customHeight="true" outlineLevel="0" collapsed="false">
      <c r="A4" s="9" t="s">
        <v>42</v>
      </c>
      <c r="B4" s="8" t="s">
        <v>43</v>
      </c>
      <c r="C4" s="9" t="s">
        <v>38</v>
      </c>
      <c r="D4" s="8" t="s">
        <v>44</v>
      </c>
      <c r="E4" s="9" t="s">
        <v>45</v>
      </c>
      <c r="F4" s="8"/>
      <c r="G4" s="10" t="str">
        <f aca="false">IF($A4="","",UPPER(SUBSTITUTE(SUBSTITUTE(SUBSTITUTE(SUBSTITUTE($A4," ",""),"(주)",""),"주식회사",""),"㈜","")))</f>
        <v>가나상사</v>
      </c>
      <c r="H4" s="10" t="str">
        <f aca="false">IF($B4="","",SUBSTITUTE(SUBSTITUTE(SUBSTITUTE($B4,"-","")," ",""),".",""))</f>
        <v>1234567890</v>
      </c>
      <c r="I4" s="10" t="str">
        <f aca="false">IF($D4="","",SUBSTITUTE(SUBSTITUTE(SUBSTITUTE($D4,"-","")," ",""),".",""))</f>
        <v>01011112222</v>
      </c>
      <c r="J4" s="10" t="str">
        <f aca="false">IF($E4="","",UPPER(SUBSTITUTE($E4," ","")))</f>
        <v>서울시강남구테헤란로1</v>
      </c>
      <c r="K4" s="10" t="str">
        <f aca="false">IF($A4="","",$G4&amp;"|"&amp;$J4)</f>
        <v>가나상사|서울시강남구테헤란로1</v>
      </c>
      <c r="L4" s="10" t="n">
        <f aca="false">IF($A4="","",ROW()-2)</f>
        <v>2</v>
      </c>
      <c r="M4" s="10" t="n">
        <f aca="false">IF($A4="","",ROW())</f>
        <v>4</v>
      </c>
    </row>
    <row r="5" customFormat="false" ht="15" hidden="false" customHeight="true" outlineLevel="0" collapsed="false">
      <c r="A5" s="9" t="s">
        <v>46</v>
      </c>
      <c r="B5" s="8" t="s">
        <v>47</v>
      </c>
      <c r="C5" s="9" t="s">
        <v>48</v>
      </c>
      <c r="D5" s="8" t="s">
        <v>49</v>
      </c>
      <c r="E5" s="9" t="s">
        <v>50</v>
      </c>
      <c r="F5" s="8"/>
      <c r="G5" s="10" t="str">
        <f aca="false">IF($A5="","",UPPER(SUBSTITUTE(SUBSTITUTE(SUBSTITUTE(SUBSTITUTE($A5," ",""),"(주)",""),"주식회사",""),"㈜","")))</f>
        <v>다라유통</v>
      </c>
      <c r="H5" s="10" t="str">
        <f aca="false">IF($B5="","",SUBSTITUTE(SUBSTITUTE(SUBSTITUTE($B5,"-","")," ",""),".",""))</f>
        <v>2222222222</v>
      </c>
      <c r="I5" s="10" t="str">
        <f aca="false">IF($D5="","",SUBSTITUTE(SUBSTITUTE(SUBSTITUTE($D5,"-","")," ",""),".",""))</f>
        <v>0312223333</v>
      </c>
      <c r="J5" s="10" t="str">
        <f aca="false">IF($E5="","",UPPER(SUBSTITUTE($E5," ","")))</f>
        <v>경기도성남시분당구2</v>
      </c>
      <c r="K5" s="10" t="str">
        <f aca="false">IF($A5="","",$G5&amp;"|"&amp;$J5)</f>
        <v>다라유통|경기도성남시분당구2</v>
      </c>
      <c r="L5" s="10" t="n">
        <f aca="false">IF($A5="","",ROW()-2)</f>
        <v>3</v>
      </c>
      <c r="M5" s="10" t="n">
        <f aca="false">IF($A5="","",ROW())</f>
        <v>5</v>
      </c>
    </row>
    <row r="6" customFormat="false" ht="15" hidden="false" customHeight="true" outlineLevel="0" collapsed="false">
      <c r="A6" s="9" t="s">
        <v>51</v>
      </c>
      <c r="B6" s="8" t="s">
        <v>52</v>
      </c>
      <c r="C6" s="9" t="s">
        <v>53</v>
      </c>
      <c r="D6" s="8" t="s">
        <v>54</v>
      </c>
      <c r="E6" s="9" t="s">
        <v>55</v>
      </c>
      <c r="F6" s="8"/>
      <c r="G6" s="10" t="str">
        <f aca="false">IF($A6="","",UPPER(SUBSTITUTE(SUBSTITUTE(SUBSTITUTE(SUBSTITUTE($A6," ",""),"(주)",""),"주식회사",""),"㈜","")))</f>
        <v>마바물산</v>
      </c>
      <c r="H6" s="10" t="str">
        <f aca="false">IF($B6="","",SUBSTITUTE(SUBSTITUTE(SUBSTITUTE($B6,"-","")," ",""),".",""))</f>
        <v>3333333333</v>
      </c>
      <c r="I6" s="10" t="str">
        <f aca="false">IF($D6="","",SUBSTITUTE(SUBSTITUTE(SUBSTITUTE($D6,"-","")," ",""),".",""))</f>
        <v>023334444</v>
      </c>
      <c r="J6" s="10" t="str">
        <f aca="false">IF($E6="","",UPPER(SUBSTITUTE($E6," ","")))</f>
        <v>부산시해운대구3</v>
      </c>
      <c r="K6" s="10" t="str">
        <f aca="false">IF($A6="","",$G6&amp;"|"&amp;$J6)</f>
        <v>마바물산|부산시해운대구3</v>
      </c>
      <c r="L6" s="10" t="n">
        <f aca="false">IF($A6="","",ROW()-2)</f>
        <v>4</v>
      </c>
      <c r="M6" s="10" t="n">
        <f aca="false">IF($A6="","",ROW())</f>
        <v>6</v>
      </c>
    </row>
    <row r="7" customFormat="false" ht="15" hidden="false" customHeight="true" outlineLevel="0" collapsed="false">
      <c r="A7" s="9" t="s">
        <v>56</v>
      </c>
      <c r="B7" s="8" t="s">
        <v>52</v>
      </c>
      <c r="C7" s="9" t="s">
        <v>53</v>
      </c>
      <c r="D7" s="8" t="s">
        <v>57</v>
      </c>
      <c r="E7" s="9" t="s">
        <v>55</v>
      </c>
      <c r="F7" s="8"/>
      <c r="G7" s="10" t="str">
        <f aca="false">IF($A7="","",UPPER(SUBSTITUTE(SUBSTITUTE(SUBSTITUTE(SUBSTITUTE($A7," ",""),"(주)",""),"주식회사",""),"㈜","")))</f>
        <v>마바물산</v>
      </c>
      <c r="H7" s="10" t="str">
        <f aca="false">IF($B7="","",SUBSTITUTE(SUBSTITUTE(SUBSTITUTE($B7,"-","")," ",""),".",""))</f>
        <v>3333333333</v>
      </c>
      <c r="I7" s="10" t="str">
        <f aca="false">IF($D7="","",SUBSTITUTE(SUBSTITUTE(SUBSTITUTE($D7,"-","")," ",""),".",""))</f>
        <v>0519998888</v>
      </c>
      <c r="J7" s="10" t="str">
        <f aca="false">IF($E7="","",UPPER(SUBSTITUTE($E7," ","")))</f>
        <v>부산시해운대구3</v>
      </c>
      <c r="K7" s="10" t="str">
        <f aca="false">IF($A7="","",$G7&amp;"|"&amp;$J7)</f>
        <v>마바물산|부산시해운대구3</v>
      </c>
      <c r="L7" s="10" t="n">
        <f aca="false">IF($A7="","",ROW()-2)</f>
        <v>5</v>
      </c>
      <c r="M7" s="10" t="n">
        <f aca="false">IF($A7="","",ROW())</f>
        <v>7</v>
      </c>
    </row>
    <row r="8" customFormat="false" ht="15" hidden="false" customHeight="true" outlineLevel="0" collapsed="false">
      <c r="A8" s="8"/>
      <c r="B8" s="8"/>
      <c r="C8" s="8"/>
      <c r="D8" s="8"/>
      <c r="E8" s="8"/>
      <c r="F8" s="8"/>
      <c r="G8" s="10" t="str">
        <f aca="false">IF($A8="","",UPPER(SUBSTITUTE(SUBSTITUTE(SUBSTITUTE(SUBSTITUTE($A8," ",""),"(주)",""),"주식회사",""),"㈜","")))</f>
        <v/>
      </c>
      <c r="H8" s="10" t="str">
        <f aca="false">IF($B8="","",SUBSTITUTE(SUBSTITUTE(SUBSTITUTE($B8,"-","")," ",""),".",""))</f>
        <v/>
      </c>
      <c r="I8" s="10" t="str">
        <f aca="false">IF($D8="","",SUBSTITUTE(SUBSTITUTE(SUBSTITUTE($D8,"-","")," ",""),".",""))</f>
        <v/>
      </c>
      <c r="J8" s="10" t="str">
        <f aca="false">IF($E8="","",UPPER(SUBSTITUTE($E8," ","")))</f>
        <v/>
      </c>
      <c r="K8" s="10" t="str">
        <f aca="false">IF($A8="","",$G8&amp;"|"&amp;$J8)</f>
        <v/>
      </c>
      <c r="L8" s="10" t="str">
        <f aca="false">IF($A8="","",ROW()-2)</f>
        <v/>
      </c>
      <c r="M8" s="10" t="str">
        <f aca="false">IF($A8="","",ROW())</f>
        <v/>
      </c>
    </row>
    <row r="9" customFormat="false" ht="15" hidden="false" customHeight="true" outlineLevel="0" collapsed="false">
      <c r="A9" s="8"/>
      <c r="B9" s="8"/>
      <c r="C9" s="8"/>
      <c r="D9" s="8"/>
      <c r="E9" s="8"/>
      <c r="F9" s="8"/>
      <c r="G9" s="10" t="str">
        <f aca="false">IF($A9="","",UPPER(SUBSTITUTE(SUBSTITUTE(SUBSTITUTE(SUBSTITUTE($A9," ",""),"(주)",""),"주식회사",""),"㈜","")))</f>
        <v/>
      </c>
      <c r="H9" s="10" t="str">
        <f aca="false">IF($B9="","",SUBSTITUTE(SUBSTITUTE(SUBSTITUTE($B9,"-","")," ",""),".",""))</f>
        <v/>
      </c>
      <c r="I9" s="10" t="str">
        <f aca="false">IF($D9="","",SUBSTITUTE(SUBSTITUTE(SUBSTITUTE($D9,"-","")," ",""),".",""))</f>
        <v/>
      </c>
      <c r="J9" s="10" t="str">
        <f aca="false">IF($E9="","",UPPER(SUBSTITUTE($E9," ","")))</f>
        <v/>
      </c>
      <c r="K9" s="10" t="str">
        <f aca="false">IF($A9="","",$G9&amp;"|"&amp;$J9)</f>
        <v/>
      </c>
      <c r="L9" s="10" t="str">
        <f aca="false">IF($A9="","",ROW()-2)</f>
        <v/>
      </c>
      <c r="M9" s="10" t="str">
        <f aca="false">IF($A9="","",ROW())</f>
        <v/>
      </c>
    </row>
    <row r="10" customFormat="false" ht="15" hidden="false" customHeight="true" outlineLevel="0" collapsed="false">
      <c r="A10" s="8"/>
      <c r="B10" s="8"/>
      <c r="C10" s="8"/>
      <c r="D10" s="8"/>
      <c r="E10" s="8"/>
      <c r="F10" s="8"/>
      <c r="G10" s="10" t="str">
        <f aca="false">IF($A10="","",UPPER(SUBSTITUTE(SUBSTITUTE(SUBSTITUTE(SUBSTITUTE($A10," ",""),"(주)",""),"주식회사",""),"㈜","")))</f>
        <v/>
      </c>
      <c r="H10" s="10" t="str">
        <f aca="false">IF($B10="","",SUBSTITUTE(SUBSTITUTE(SUBSTITUTE($B10,"-","")," ",""),".",""))</f>
        <v/>
      </c>
      <c r="I10" s="10" t="str">
        <f aca="false">IF($D10="","",SUBSTITUTE(SUBSTITUTE(SUBSTITUTE($D10,"-","")," ",""),".",""))</f>
        <v/>
      </c>
      <c r="J10" s="10" t="str">
        <f aca="false">IF($E10="","",UPPER(SUBSTITUTE($E10," ","")))</f>
        <v/>
      </c>
      <c r="K10" s="10" t="str">
        <f aca="false">IF($A10="","",$G10&amp;"|"&amp;$J10)</f>
        <v/>
      </c>
      <c r="L10" s="10" t="str">
        <f aca="false">IF($A10="","",ROW()-2)</f>
        <v/>
      </c>
      <c r="M10" s="10" t="str">
        <f aca="false">IF($A10="","",ROW())</f>
        <v/>
      </c>
    </row>
    <row r="11" customFormat="false" ht="15" hidden="false" customHeight="true" outlineLevel="0" collapsed="false">
      <c r="A11" s="8"/>
      <c r="B11" s="8"/>
      <c r="C11" s="8"/>
      <c r="D11" s="8"/>
      <c r="E11" s="8"/>
      <c r="F11" s="8"/>
      <c r="G11" s="10" t="str">
        <f aca="false">IF($A11="","",UPPER(SUBSTITUTE(SUBSTITUTE(SUBSTITUTE(SUBSTITUTE($A11," ",""),"(주)",""),"주식회사",""),"㈜","")))</f>
        <v/>
      </c>
      <c r="H11" s="10" t="str">
        <f aca="false">IF($B11="","",SUBSTITUTE(SUBSTITUTE(SUBSTITUTE($B11,"-","")," ",""),".",""))</f>
        <v/>
      </c>
      <c r="I11" s="10" t="str">
        <f aca="false">IF($D11="","",SUBSTITUTE(SUBSTITUTE(SUBSTITUTE($D11,"-","")," ",""),".",""))</f>
        <v/>
      </c>
      <c r="J11" s="10" t="str">
        <f aca="false">IF($E11="","",UPPER(SUBSTITUTE($E11," ","")))</f>
        <v/>
      </c>
      <c r="K11" s="10" t="str">
        <f aca="false">IF($A11="","",$G11&amp;"|"&amp;$J11)</f>
        <v/>
      </c>
      <c r="L11" s="10" t="str">
        <f aca="false">IF($A11="","",ROW()-2)</f>
        <v/>
      </c>
      <c r="M11" s="10" t="str">
        <f aca="false">IF($A11="","",ROW())</f>
        <v/>
      </c>
    </row>
    <row r="12" customFormat="false" ht="15" hidden="false" customHeight="true" outlineLevel="0" collapsed="false">
      <c r="A12" s="8"/>
      <c r="B12" s="8"/>
      <c r="C12" s="8"/>
      <c r="D12" s="8"/>
      <c r="E12" s="8"/>
      <c r="F12" s="8"/>
      <c r="G12" s="10" t="str">
        <f aca="false">IF($A12="","",UPPER(SUBSTITUTE(SUBSTITUTE(SUBSTITUTE(SUBSTITUTE($A12," ",""),"(주)",""),"주식회사",""),"㈜","")))</f>
        <v/>
      </c>
      <c r="H12" s="10" t="str">
        <f aca="false">IF($B12="","",SUBSTITUTE(SUBSTITUTE(SUBSTITUTE($B12,"-","")," ",""),".",""))</f>
        <v/>
      </c>
      <c r="I12" s="10" t="str">
        <f aca="false">IF($D12="","",SUBSTITUTE(SUBSTITUTE(SUBSTITUTE($D12,"-","")," ",""),".",""))</f>
        <v/>
      </c>
      <c r="J12" s="10" t="str">
        <f aca="false">IF($E12="","",UPPER(SUBSTITUTE($E12," ","")))</f>
        <v/>
      </c>
      <c r="K12" s="10" t="str">
        <f aca="false">IF($A12="","",$G12&amp;"|"&amp;$J12)</f>
        <v/>
      </c>
      <c r="L12" s="10" t="str">
        <f aca="false">IF($A12="","",ROW()-2)</f>
        <v/>
      </c>
      <c r="M12" s="10" t="str">
        <f aca="false">IF($A12="","",ROW())</f>
        <v/>
      </c>
    </row>
    <row r="13" customFormat="false" ht="15" hidden="false" customHeight="true" outlineLevel="0" collapsed="false">
      <c r="A13" s="8"/>
      <c r="B13" s="8"/>
      <c r="C13" s="8"/>
      <c r="D13" s="8"/>
      <c r="E13" s="8"/>
      <c r="F13" s="8"/>
      <c r="G13" s="10" t="str">
        <f aca="false">IF($A13="","",UPPER(SUBSTITUTE(SUBSTITUTE(SUBSTITUTE(SUBSTITUTE($A13," ",""),"(주)",""),"주식회사",""),"㈜","")))</f>
        <v/>
      </c>
      <c r="H13" s="10" t="str">
        <f aca="false">IF($B13="","",SUBSTITUTE(SUBSTITUTE(SUBSTITUTE($B13,"-","")," ",""),".",""))</f>
        <v/>
      </c>
      <c r="I13" s="10" t="str">
        <f aca="false">IF($D13="","",SUBSTITUTE(SUBSTITUTE(SUBSTITUTE($D13,"-","")," ",""),".",""))</f>
        <v/>
      </c>
      <c r="J13" s="10" t="str">
        <f aca="false">IF($E13="","",UPPER(SUBSTITUTE($E13," ","")))</f>
        <v/>
      </c>
      <c r="K13" s="10" t="str">
        <f aca="false">IF($A13="","",$G13&amp;"|"&amp;$J13)</f>
        <v/>
      </c>
      <c r="L13" s="10" t="str">
        <f aca="false">IF($A13="","",ROW()-2)</f>
        <v/>
      </c>
      <c r="M13" s="10" t="str">
        <f aca="false">IF($A13="","",ROW())</f>
        <v/>
      </c>
    </row>
    <row r="14" customFormat="false" ht="15" hidden="false" customHeight="true" outlineLevel="0" collapsed="false">
      <c r="A14" s="8"/>
      <c r="B14" s="8"/>
      <c r="C14" s="8"/>
      <c r="D14" s="8"/>
      <c r="E14" s="8"/>
      <c r="F14" s="8"/>
      <c r="G14" s="10" t="str">
        <f aca="false">IF($A14="","",UPPER(SUBSTITUTE(SUBSTITUTE(SUBSTITUTE(SUBSTITUTE($A14," ",""),"(주)",""),"주식회사",""),"㈜","")))</f>
        <v/>
      </c>
      <c r="H14" s="10" t="str">
        <f aca="false">IF($B14="","",SUBSTITUTE(SUBSTITUTE(SUBSTITUTE($B14,"-","")," ",""),".",""))</f>
        <v/>
      </c>
      <c r="I14" s="10" t="str">
        <f aca="false">IF($D14="","",SUBSTITUTE(SUBSTITUTE(SUBSTITUTE($D14,"-","")," ",""),".",""))</f>
        <v/>
      </c>
      <c r="J14" s="10" t="str">
        <f aca="false">IF($E14="","",UPPER(SUBSTITUTE($E14," ","")))</f>
        <v/>
      </c>
      <c r="K14" s="10" t="str">
        <f aca="false">IF($A14="","",$G14&amp;"|"&amp;$J14)</f>
        <v/>
      </c>
      <c r="L14" s="10" t="str">
        <f aca="false">IF($A14="","",ROW()-2)</f>
        <v/>
      </c>
      <c r="M14" s="10" t="str">
        <f aca="false">IF($A14="","",ROW())</f>
        <v/>
      </c>
    </row>
    <row r="15" customFormat="false" ht="15" hidden="false" customHeight="true" outlineLevel="0" collapsed="false">
      <c r="A15" s="8"/>
      <c r="B15" s="8"/>
      <c r="C15" s="8"/>
      <c r="D15" s="8"/>
      <c r="E15" s="8"/>
      <c r="F15" s="8"/>
      <c r="G15" s="10" t="str">
        <f aca="false">IF($A15="","",UPPER(SUBSTITUTE(SUBSTITUTE(SUBSTITUTE(SUBSTITUTE($A15," ",""),"(주)",""),"주식회사",""),"㈜","")))</f>
        <v/>
      </c>
      <c r="H15" s="10" t="str">
        <f aca="false">IF($B15="","",SUBSTITUTE(SUBSTITUTE(SUBSTITUTE($B15,"-","")," ",""),".",""))</f>
        <v/>
      </c>
      <c r="I15" s="10" t="str">
        <f aca="false">IF($D15="","",SUBSTITUTE(SUBSTITUTE(SUBSTITUTE($D15,"-","")," ",""),".",""))</f>
        <v/>
      </c>
      <c r="J15" s="10" t="str">
        <f aca="false">IF($E15="","",UPPER(SUBSTITUTE($E15," ","")))</f>
        <v/>
      </c>
      <c r="K15" s="10" t="str">
        <f aca="false">IF($A15="","",$G15&amp;"|"&amp;$J15)</f>
        <v/>
      </c>
      <c r="L15" s="10" t="str">
        <f aca="false">IF($A15="","",ROW()-2)</f>
        <v/>
      </c>
      <c r="M15" s="10" t="str">
        <f aca="false">IF($A15="","",ROW())</f>
        <v/>
      </c>
    </row>
    <row r="16" customFormat="false" ht="15" hidden="false" customHeight="true" outlineLevel="0" collapsed="false">
      <c r="A16" s="8"/>
      <c r="B16" s="8"/>
      <c r="C16" s="8"/>
      <c r="D16" s="8"/>
      <c r="E16" s="8"/>
      <c r="F16" s="8"/>
      <c r="G16" s="10" t="str">
        <f aca="false">IF($A16="","",UPPER(SUBSTITUTE(SUBSTITUTE(SUBSTITUTE(SUBSTITUTE($A16," ",""),"(주)",""),"주식회사",""),"㈜","")))</f>
        <v/>
      </c>
      <c r="H16" s="10" t="str">
        <f aca="false">IF($B16="","",SUBSTITUTE(SUBSTITUTE(SUBSTITUTE($B16,"-","")," ",""),".",""))</f>
        <v/>
      </c>
      <c r="I16" s="10" t="str">
        <f aca="false">IF($D16="","",SUBSTITUTE(SUBSTITUTE(SUBSTITUTE($D16,"-","")," ",""),".",""))</f>
        <v/>
      </c>
      <c r="J16" s="10" t="str">
        <f aca="false">IF($E16="","",UPPER(SUBSTITUTE($E16," ","")))</f>
        <v/>
      </c>
      <c r="K16" s="10" t="str">
        <f aca="false">IF($A16="","",$G16&amp;"|"&amp;$J16)</f>
        <v/>
      </c>
      <c r="L16" s="10" t="str">
        <f aca="false">IF($A16="","",ROW()-2)</f>
        <v/>
      </c>
      <c r="M16" s="10" t="str">
        <f aca="false">IF($A16="","",ROW())</f>
        <v/>
      </c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10" t="str">
        <f aca="false">IF($A17="","",UPPER(SUBSTITUTE(SUBSTITUTE(SUBSTITUTE(SUBSTITUTE($A17," ",""),"(주)",""),"주식회사",""),"㈜","")))</f>
        <v/>
      </c>
      <c r="H17" s="10" t="str">
        <f aca="false">IF($B17="","",SUBSTITUTE(SUBSTITUTE(SUBSTITUTE($B17,"-","")," ",""),".",""))</f>
        <v/>
      </c>
      <c r="I17" s="10" t="str">
        <f aca="false">IF($D17="","",SUBSTITUTE(SUBSTITUTE(SUBSTITUTE($D17,"-","")," ",""),".",""))</f>
        <v/>
      </c>
      <c r="J17" s="10" t="str">
        <f aca="false">IF($E17="","",UPPER(SUBSTITUTE($E17," ","")))</f>
        <v/>
      </c>
      <c r="K17" s="10" t="str">
        <f aca="false">IF($A17="","",$G17&amp;"|"&amp;$J17)</f>
        <v/>
      </c>
      <c r="L17" s="10" t="str">
        <f aca="false">IF($A17="","",ROW()-2)</f>
        <v/>
      </c>
      <c r="M17" s="10" t="str">
        <f aca="false">IF($A17="","",ROW())</f>
        <v/>
      </c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10" t="str">
        <f aca="false">IF($A18="","",UPPER(SUBSTITUTE(SUBSTITUTE(SUBSTITUTE(SUBSTITUTE($A18," ",""),"(주)",""),"주식회사",""),"㈜","")))</f>
        <v/>
      </c>
      <c r="H18" s="10" t="str">
        <f aca="false">IF($B18="","",SUBSTITUTE(SUBSTITUTE(SUBSTITUTE($B18,"-","")," ",""),".",""))</f>
        <v/>
      </c>
      <c r="I18" s="10" t="str">
        <f aca="false">IF($D18="","",SUBSTITUTE(SUBSTITUTE(SUBSTITUTE($D18,"-","")," ",""),".",""))</f>
        <v/>
      </c>
      <c r="J18" s="10" t="str">
        <f aca="false">IF($E18="","",UPPER(SUBSTITUTE($E18," ","")))</f>
        <v/>
      </c>
      <c r="K18" s="10" t="str">
        <f aca="false">IF($A18="","",$G18&amp;"|"&amp;$J18)</f>
        <v/>
      </c>
      <c r="L18" s="10" t="str">
        <f aca="false">IF($A18="","",ROW()-2)</f>
        <v/>
      </c>
      <c r="M18" s="10" t="str">
        <f aca="false">IF($A18="","",ROW())</f>
        <v/>
      </c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10" t="str">
        <f aca="false">IF($A19="","",UPPER(SUBSTITUTE(SUBSTITUTE(SUBSTITUTE(SUBSTITUTE($A19," ",""),"(주)",""),"주식회사",""),"㈜","")))</f>
        <v/>
      </c>
      <c r="H19" s="10" t="str">
        <f aca="false">IF($B19="","",SUBSTITUTE(SUBSTITUTE(SUBSTITUTE($B19,"-","")," ",""),".",""))</f>
        <v/>
      </c>
      <c r="I19" s="10" t="str">
        <f aca="false">IF($D19="","",SUBSTITUTE(SUBSTITUTE(SUBSTITUTE($D19,"-","")," ",""),".",""))</f>
        <v/>
      </c>
      <c r="J19" s="10" t="str">
        <f aca="false">IF($E19="","",UPPER(SUBSTITUTE($E19," ","")))</f>
        <v/>
      </c>
      <c r="K19" s="10" t="str">
        <f aca="false">IF($A19="","",$G19&amp;"|"&amp;$J19)</f>
        <v/>
      </c>
      <c r="L19" s="10" t="str">
        <f aca="false">IF($A19="","",ROW()-2)</f>
        <v/>
      </c>
      <c r="M19" s="10" t="str">
        <f aca="false">IF($A19="","",ROW())</f>
        <v/>
      </c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  <c r="G20" s="10" t="str">
        <f aca="false">IF($A20="","",UPPER(SUBSTITUTE(SUBSTITUTE(SUBSTITUTE(SUBSTITUTE($A20," ",""),"(주)",""),"주식회사",""),"㈜","")))</f>
        <v/>
      </c>
      <c r="H20" s="10" t="str">
        <f aca="false">IF($B20="","",SUBSTITUTE(SUBSTITUTE(SUBSTITUTE($B20,"-","")," ",""),".",""))</f>
        <v/>
      </c>
      <c r="I20" s="10" t="str">
        <f aca="false">IF($D20="","",SUBSTITUTE(SUBSTITUTE(SUBSTITUTE($D20,"-","")," ",""),".",""))</f>
        <v/>
      </c>
      <c r="J20" s="10" t="str">
        <f aca="false">IF($E20="","",UPPER(SUBSTITUTE($E20," ","")))</f>
        <v/>
      </c>
      <c r="K20" s="10" t="str">
        <f aca="false">IF($A20="","",$G20&amp;"|"&amp;$J20)</f>
        <v/>
      </c>
      <c r="L20" s="10" t="str">
        <f aca="false">IF($A20="","",ROW()-2)</f>
        <v/>
      </c>
      <c r="M20" s="10" t="str">
        <f aca="false">IF($A20="","",ROW())</f>
        <v/>
      </c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  <c r="G21" s="10" t="str">
        <f aca="false">IF($A21="","",UPPER(SUBSTITUTE(SUBSTITUTE(SUBSTITUTE(SUBSTITUTE($A21," ",""),"(주)",""),"주식회사",""),"㈜","")))</f>
        <v/>
      </c>
      <c r="H21" s="10" t="str">
        <f aca="false">IF($B21="","",SUBSTITUTE(SUBSTITUTE(SUBSTITUTE($B21,"-","")," ",""),".",""))</f>
        <v/>
      </c>
      <c r="I21" s="10" t="str">
        <f aca="false">IF($D21="","",SUBSTITUTE(SUBSTITUTE(SUBSTITUTE($D21,"-","")," ",""),".",""))</f>
        <v/>
      </c>
      <c r="J21" s="10" t="str">
        <f aca="false">IF($E21="","",UPPER(SUBSTITUTE($E21," ","")))</f>
        <v/>
      </c>
      <c r="K21" s="10" t="str">
        <f aca="false">IF($A21="","",$G21&amp;"|"&amp;$J21)</f>
        <v/>
      </c>
      <c r="L21" s="10" t="str">
        <f aca="false">IF($A21="","",ROW()-2)</f>
        <v/>
      </c>
      <c r="M21" s="10" t="str">
        <f aca="false">IF($A21="","",ROW())</f>
        <v/>
      </c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10" t="str">
        <f aca="false">IF($A22="","",UPPER(SUBSTITUTE(SUBSTITUTE(SUBSTITUTE(SUBSTITUTE($A22," ",""),"(주)",""),"주식회사",""),"㈜","")))</f>
        <v/>
      </c>
      <c r="H22" s="10" t="str">
        <f aca="false">IF($B22="","",SUBSTITUTE(SUBSTITUTE(SUBSTITUTE($B22,"-","")," ",""),".",""))</f>
        <v/>
      </c>
      <c r="I22" s="10" t="str">
        <f aca="false">IF($D22="","",SUBSTITUTE(SUBSTITUTE(SUBSTITUTE($D22,"-","")," ",""),".",""))</f>
        <v/>
      </c>
      <c r="J22" s="10" t="str">
        <f aca="false">IF($E22="","",UPPER(SUBSTITUTE($E22," ","")))</f>
        <v/>
      </c>
      <c r="K22" s="10" t="str">
        <f aca="false">IF($A22="","",$G22&amp;"|"&amp;$J22)</f>
        <v/>
      </c>
      <c r="L22" s="10" t="str">
        <f aca="false">IF($A22="","",ROW()-2)</f>
        <v/>
      </c>
      <c r="M22" s="10" t="str">
        <f aca="false">IF($A22="","",ROW())</f>
        <v/>
      </c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  <c r="G23" s="10" t="str">
        <f aca="false">IF($A23="","",UPPER(SUBSTITUTE(SUBSTITUTE(SUBSTITUTE(SUBSTITUTE($A23," ",""),"(주)",""),"주식회사",""),"㈜","")))</f>
        <v/>
      </c>
      <c r="H23" s="10" t="str">
        <f aca="false">IF($B23="","",SUBSTITUTE(SUBSTITUTE(SUBSTITUTE($B23,"-","")," ",""),".",""))</f>
        <v/>
      </c>
      <c r="I23" s="10" t="str">
        <f aca="false">IF($D23="","",SUBSTITUTE(SUBSTITUTE(SUBSTITUTE($D23,"-","")," ",""),".",""))</f>
        <v/>
      </c>
      <c r="J23" s="10" t="str">
        <f aca="false">IF($E23="","",UPPER(SUBSTITUTE($E23," ","")))</f>
        <v/>
      </c>
      <c r="K23" s="10" t="str">
        <f aca="false">IF($A23="","",$G23&amp;"|"&amp;$J23)</f>
        <v/>
      </c>
      <c r="L23" s="10" t="str">
        <f aca="false">IF($A23="","",ROW()-2)</f>
        <v/>
      </c>
      <c r="M23" s="10" t="str">
        <f aca="false">IF($A23="","",ROW())</f>
        <v/>
      </c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10" t="str">
        <f aca="false">IF($A24="","",UPPER(SUBSTITUTE(SUBSTITUTE(SUBSTITUTE(SUBSTITUTE($A24," ",""),"(주)",""),"주식회사",""),"㈜","")))</f>
        <v/>
      </c>
      <c r="H24" s="10" t="str">
        <f aca="false">IF($B24="","",SUBSTITUTE(SUBSTITUTE(SUBSTITUTE($B24,"-","")," ",""),".",""))</f>
        <v/>
      </c>
      <c r="I24" s="10" t="str">
        <f aca="false">IF($D24="","",SUBSTITUTE(SUBSTITUTE(SUBSTITUTE($D24,"-","")," ",""),".",""))</f>
        <v/>
      </c>
      <c r="J24" s="10" t="str">
        <f aca="false">IF($E24="","",UPPER(SUBSTITUTE($E24," ","")))</f>
        <v/>
      </c>
      <c r="K24" s="10" t="str">
        <f aca="false">IF($A24="","",$G24&amp;"|"&amp;$J24)</f>
        <v/>
      </c>
      <c r="L24" s="10" t="str">
        <f aca="false">IF($A24="","",ROW()-2)</f>
        <v/>
      </c>
      <c r="M24" s="10" t="str">
        <f aca="false">IF($A24="","",ROW())</f>
        <v/>
      </c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10" t="str">
        <f aca="false">IF($A25="","",UPPER(SUBSTITUTE(SUBSTITUTE(SUBSTITUTE(SUBSTITUTE($A25," ",""),"(주)",""),"주식회사",""),"㈜","")))</f>
        <v/>
      </c>
      <c r="H25" s="10" t="str">
        <f aca="false">IF($B25="","",SUBSTITUTE(SUBSTITUTE(SUBSTITUTE($B25,"-","")," ",""),".",""))</f>
        <v/>
      </c>
      <c r="I25" s="10" t="str">
        <f aca="false">IF($D25="","",SUBSTITUTE(SUBSTITUTE(SUBSTITUTE($D25,"-","")," ",""),".",""))</f>
        <v/>
      </c>
      <c r="J25" s="10" t="str">
        <f aca="false">IF($E25="","",UPPER(SUBSTITUTE($E25," ","")))</f>
        <v/>
      </c>
      <c r="K25" s="10" t="str">
        <f aca="false">IF($A25="","",$G25&amp;"|"&amp;$J25)</f>
        <v/>
      </c>
      <c r="L25" s="10" t="str">
        <f aca="false">IF($A25="","",ROW()-2)</f>
        <v/>
      </c>
      <c r="M25" s="10" t="str">
        <f aca="false">IF($A25="","",ROW())</f>
        <v/>
      </c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10" t="str">
        <f aca="false">IF($A26="","",UPPER(SUBSTITUTE(SUBSTITUTE(SUBSTITUTE(SUBSTITUTE($A26," ",""),"(주)",""),"주식회사",""),"㈜","")))</f>
        <v/>
      </c>
      <c r="H26" s="10" t="str">
        <f aca="false">IF($B26="","",SUBSTITUTE(SUBSTITUTE(SUBSTITUTE($B26,"-","")," ",""),".",""))</f>
        <v/>
      </c>
      <c r="I26" s="10" t="str">
        <f aca="false">IF($D26="","",SUBSTITUTE(SUBSTITUTE(SUBSTITUTE($D26,"-","")," ",""),".",""))</f>
        <v/>
      </c>
      <c r="J26" s="10" t="str">
        <f aca="false">IF($E26="","",UPPER(SUBSTITUTE($E26," ","")))</f>
        <v/>
      </c>
      <c r="K26" s="10" t="str">
        <f aca="false">IF($A26="","",$G26&amp;"|"&amp;$J26)</f>
        <v/>
      </c>
      <c r="L26" s="10" t="str">
        <f aca="false">IF($A26="","",ROW()-2)</f>
        <v/>
      </c>
      <c r="M26" s="10" t="str">
        <f aca="false">IF($A26="","",ROW())</f>
        <v/>
      </c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10" t="str">
        <f aca="false">IF($A27="","",UPPER(SUBSTITUTE(SUBSTITUTE(SUBSTITUTE(SUBSTITUTE($A27," ",""),"(주)",""),"주식회사",""),"㈜","")))</f>
        <v/>
      </c>
      <c r="H27" s="10" t="str">
        <f aca="false">IF($B27="","",SUBSTITUTE(SUBSTITUTE(SUBSTITUTE($B27,"-","")," ",""),".",""))</f>
        <v/>
      </c>
      <c r="I27" s="10" t="str">
        <f aca="false">IF($D27="","",SUBSTITUTE(SUBSTITUTE(SUBSTITUTE($D27,"-","")," ",""),".",""))</f>
        <v/>
      </c>
      <c r="J27" s="10" t="str">
        <f aca="false">IF($E27="","",UPPER(SUBSTITUTE($E27," ","")))</f>
        <v/>
      </c>
      <c r="K27" s="10" t="str">
        <f aca="false">IF($A27="","",$G27&amp;"|"&amp;$J27)</f>
        <v/>
      </c>
      <c r="L27" s="10" t="str">
        <f aca="false">IF($A27="","",ROW()-2)</f>
        <v/>
      </c>
      <c r="M27" s="10" t="str">
        <f aca="false">IF($A27="","",ROW())</f>
        <v/>
      </c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10" t="str">
        <f aca="false">IF($A28="","",UPPER(SUBSTITUTE(SUBSTITUTE(SUBSTITUTE(SUBSTITUTE($A28," ",""),"(주)",""),"주식회사",""),"㈜","")))</f>
        <v/>
      </c>
      <c r="H28" s="10" t="str">
        <f aca="false">IF($B28="","",SUBSTITUTE(SUBSTITUTE(SUBSTITUTE($B28,"-","")," ",""),".",""))</f>
        <v/>
      </c>
      <c r="I28" s="10" t="str">
        <f aca="false">IF($D28="","",SUBSTITUTE(SUBSTITUTE(SUBSTITUTE($D28,"-","")," ",""),".",""))</f>
        <v/>
      </c>
      <c r="J28" s="10" t="str">
        <f aca="false">IF($E28="","",UPPER(SUBSTITUTE($E28," ","")))</f>
        <v/>
      </c>
      <c r="K28" s="10" t="str">
        <f aca="false">IF($A28="","",$G28&amp;"|"&amp;$J28)</f>
        <v/>
      </c>
      <c r="L28" s="10" t="str">
        <f aca="false">IF($A28="","",ROW()-2)</f>
        <v/>
      </c>
      <c r="M28" s="10" t="str">
        <f aca="false">IF($A28="","",ROW())</f>
        <v/>
      </c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10" t="str">
        <f aca="false">IF($A29="","",UPPER(SUBSTITUTE(SUBSTITUTE(SUBSTITUTE(SUBSTITUTE($A29," ",""),"(주)",""),"주식회사",""),"㈜","")))</f>
        <v/>
      </c>
      <c r="H29" s="10" t="str">
        <f aca="false">IF($B29="","",SUBSTITUTE(SUBSTITUTE(SUBSTITUTE($B29,"-","")," ",""),".",""))</f>
        <v/>
      </c>
      <c r="I29" s="10" t="str">
        <f aca="false">IF($D29="","",SUBSTITUTE(SUBSTITUTE(SUBSTITUTE($D29,"-","")," ",""),".",""))</f>
        <v/>
      </c>
      <c r="J29" s="10" t="str">
        <f aca="false">IF($E29="","",UPPER(SUBSTITUTE($E29," ","")))</f>
        <v/>
      </c>
      <c r="K29" s="10" t="str">
        <f aca="false">IF($A29="","",$G29&amp;"|"&amp;$J29)</f>
        <v/>
      </c>
      <c r="L29" s="10" t="str">
        <f aca="false">IF($A29="","",ROW()-2)</f>
        <v/>
      </c>
      <c r="M29" s="10" t="str">
        <f aca="false">IF($A29="","",ROW())</f>
        <v/>
      </c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10" t="str">
        <f aca="false">IF($A30="","",UPPER(SUBSTITUTE(SUBSTITUTE(SUBSTITUTE(SUBSTITUTE($A30," ",""),"(주)",""),"주식회사",""),"㈜","")))</f>
        <v/>
      </c>
      <c r="H30" s="10" t="str">
        <f aca="false">IF($B30="","",SUBSTITUTE(SUBSTITUTE(SUBSTITUTE($B30,"-","")," ",""),".",""))</f>
        <v/>
      </c>
      <c r="I30" s="10" t="str">
        <f aca="false">IF($D30="","",SUBSTITUTE(SUBSTITUTE(SUBSTITUTE($D30,"-","")," ",""),".",""))</f>
        <v/>
      </c>
      <c r="J30" s="10" t="str">
        <f aca="false">IF($E30="","",UPPER(SUBSTITUTE($E30," ","")))</f>
        <v/>
      </c>
      <c r="K30" s="10" t="str">
        <f aca="false">IF($A30="","",$G30&amp;"|"&amp;$J30)</f>
        <v/>
      </c>
      <c r="L30" s="10" t="str">
        <f aca="false">IF($A30="","",ROW()-2)</f>
        <v/>
      </c>
      <c r="M30" s="10" t="str">
        <f aca="false">IF($A30="","",ROW())</f>
        <v/>
      </c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10" t="str">
        <f aca="false">IF($A31="","",UPPER(SUBSTITUTE(SUBSTITUTE(SUBSTITUTE(SUBSTITUTE($A31," ",""),"(주)",""),"주식회사",""),"㈜","")))</f>
        <v/>
      </c>
      <c r="H31" s="10" t="str">
        <f aca="false">IF($B31="","",SUBSTITUTE(SUBSTITUTE(SUBSTITUTE($B31,"-","")," ",""),".",""))</f>
        <v/>
      </c>
      <c r="I31" s="10" t="str">
        <f aca="false">IF($D31="","",SUBSTITUTE(SUBSTITUTE(SUBSTITUTE($D31,"-","")," ",""),".",""))</f>
        <v/>
      </c>
      <c r="J31" s="10" t="str">
        <f aca="false">IF($E31="","",UPPER(SUBSTITUTE($E31," ","")))</f>
        <v/>
      </c>
      <c r="K31" s="10" t="str">
        <f aca="false">IF($A31="","",$G31&amp;"|"&amp;$J31)</f>
        <v/>
      </c>
      <c r="L31" s="10" t="str">
        <f aca="false">IF($A31="","",ROW()-2)</f>
        <v/>
      </c>
      <c r="M31" s="10" t="str">
        <f aca="false">IF($A31="","",ROW())</f>
        <v/>
      </c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10" t="str">
        <f aca="false">IF($A32="","",UPPER(SUBSTITUTE(SUBSTITUTE(SUBSTITUTE(SUBSTITUTE($A32," ",""),"(주)",""),"주식회사",""),"㈜","")))</f>
        <v/>
      </c>
      <c r="H32" s="10" t="str">
        <f aca="false">IF($B32="","",SUBSTITUTE(SUBSTITUTE(SUBSTITUTE($B32,"-","")," ",""),".",""))</f>
        <v/>
      </c>
      <c r="I32" s="10" t="str">
        <f aca="false">IF($D32="","",SUBSTITUTE(SUBSTITUTE(SUBSTITUTE($D32,"-","")," ",""),".",""))</f>
        <v/>
      </c>
      <c r="J32" s="10" t="str">
        <f aca="false">IF($E32="","",UPPER(SUBSTITUTE($E32," ","")))</f>
        <v/>
      </c>
      <c r="K32" s="10" t="str">
        <f aca="false">IF($A32="","",$G32&amp;"|"&amp;$J32)</f>
        <v/>
      </c>
      <c r="L32" s="10" t="str">
        <f aca="false">IF($A32="","",ROW()-2)</f>
        <v/>
      </c>
      <c r="M32" s="10" t="str">
        <f aca="false">IF($A32="","",ROW())</f>
        <v/>
      </c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10" t="str">
        <f aca="false">IF($A33="","",UPPER(SUBSTITUTE(SUBSTITUTE(SUBSTITUTE(SUBSTITUTE($A33," ",""),"(주)",""),"주식회사",""),"㈜","")))</f>
        <v/>
      </c>
      <c r="H33" s="10" t="str">
        <f aca="false">IF($B33="","",SUBSTITUTE(SUBSTITUTE(SUBSTITUTE($B33,"-","")," ",""),".",""))</f>
        <v/>
      </c>
      <c r="I33" s="10" t="str">
        <f aca="false">IF($D33="","",SUBSTITUTE(SUBSTITUTE(SUBSTITUTE($D33,"-","")," ",""),".",""))</f>
        <v/>
      </c>
      <c r="J33" s="10" t="str">
        <f aca="false">IF($E33="","",UPPER(SUBSTITUTE($E33," ","")))</f>
        <v/>
      </c>
      <c r="K33" s="10" t="str">
        <f aca="false">IF($A33="","",$G33&amp;"|"&amp;$J33)</f>
        <v/>
      </c>
      <c r="L33" s="10" t="str">
        <f aca="false">IF($A33="","",ROW()-2)</f>
        <v/>
      </c>
      <c r="M33" s="10" t="str">
        <f aca="false">IF($A33="","",ROW())</f>
        <v/>
      </c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10" t="str">
        <f aca="false">IF($A34="","",UPPER(SUBSTITUTE(SUBSTITUTE(SUBSTITUTE(SUBSTITUTE($A34," ",""),"(주)",""),"주식회사",""),"㈜","")))</f>
        <v/>
      </c>
      <c r="H34" s="10" t="str">
        <f aca="false">IF($B34="","",SUBSTITUTE(SUBSTITUTE(SUBSTITUTE($B34,"-","")," ",""),".",""))</f>
        <v/>
      </c>
      <c r="I34" s="10" t="str">
        <f aca="false">IF($D34="","",SUBSTITUTE(SUBSTITUTE(SUBSTITUTE($D34,"-","")," ",""),".",""))</f>
        <v/>
      </c>
      <c r="J34" s="10" t="str">
        <f aca="false">IF($E34="","",UPPER(SUBSTITUTE($E34," ","")))</f>
        <v/>
      </c>
      <c r="K34" s="10" t="str">
        <f aca="false">IF($A34="","",$G34&amp;"|"&amp;$J34)</f>
        <v/>
      </c>
      <c r="L34" s="10" t="str">
        <f aca="false">IF($A34="","",ROW()-2)</f>
        <v/>
      </c>
      <c r="M34" s="10" t="str">
        <f aca="false">IF($A34="","",ROW())</f>
        <v/>
      </c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10" t="str">
        <f aca="false">IF($A35="","",UPPER(SUBSTITUTE(SUBSTITUTE(SUBSTITUTE(SUBSTITUTE($A35," ",""),"(주)",""),"주식회사",""),"㈜","")))</f>
        <v/>
      </c>
      <c r="H35" s="10" t="str">
        <f aca="false">IF($B35="","",SUBSTITUTE(SUBSTITUTE(SUBSTITUTE($B35,"-","")," ",""),".",""))</f>
        <v/>
      </c>
      <c r="I35" s="10" t="str">
        <f aca="false">IF($D35="","",SUBSTITUTE(SUBSTITUTE(SUBSTITUTE($D35,"-","")," ",""),".",""))</f>
        <v/>
      </c>
      <c r="J35" s="10" t="str">
        <f aca="false">IF($E35="","",UPPER(SUBSTITUTE($E35," ","")))</f>
        <v/>
      </c>
      <c r="K35" s="10" t="str">
        <f aca="false">IF($A35="","",$G35&amp;"|"&amp;$J35)</f>
        <v/>
      </c>
      <c r="L35" s="10" t="str">
        <f aca="false">IF($A35="","",ROW()-2)</f>
        <v/>
      </c>
      <c r="M35" s="10" t="str">
        <f aca="false">IF($A35="","",ROW())</f>
        <v/>
      </c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10" t="str">
        <f aca="false">IF($A36="","",UPPER(SUBSTITUTE(SUBSTITUTE(SUBSTITUTE(SUBSTITUTE($A36," ",""),"(주)",""),"주식회사",""),"㈜","")))</f>
        <v/>
      </c>
      <c r="H36" s="10" t="str">
        <f aca="false">IF($B36="","",SUBSTITUTE(SUBSTITUTE(SUBSTITUTE($B36,"-","")," ",""),".",""))</f>
        <v/>
      </c>
      <c r="I36" s="10" t="str">
        <f aca="false">IF($D36="","",SUBSTITUTE(SUBSTITUTE(SUBSTITUTE($D36,"-","")," ",""),".",""))</f>
        <v/>
      </c>
      <c r="J36" s="10" t="str">
        <f aca="false">IF($E36="","",UPPER(SUBSTITUTE($E36," ","")))</f>
        <v/>
      </c>
      <c r="K36" s="10" t="str">
        <f aca="false">IF($A36="","",$G36&amp;"|"&amp;$J36)</f>
        <v/>
      </c>
      <c r="L36" s="10" t="str">
        <f aca="false">IF($A36="","",ROW()-2)</f>
        <v/>
      </c>
      <c r="M36" s="10" t="str">
        <f aca="false">IF($A36="","",ROW())</f>
        <v/>
      </c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10" t="str">
        <f aca="false">IF($A37="","",UPPER(SUBSTITUTE(SUBSTITUTE(SUBSTITUTE(SUBSTITUTE($A37," ",""),"(주)",""),"주식회사",""),"㈜","")))</f>
        <v/>
      </c>
      <c r="H37" s="10" t="str">
        <f aca="false">IF($B37="","",SUBSTITUTE(SUBSTITUTE(SUBSTITUTE($B37,"-","")," ",""),".",""))</f>
        <v/>
      </c>
      <c r="I37" s="10" t="str">
        <f aca="false">IF($D37="","",SUBSTITUTE(SUBSTITUTE(SUBSTITUTE($D37,"-","")," ",""),".",""))</f>
        <v/>
      </c>
      <c r="J37" s="10" t="str">
        <f aca="false">IF($E37="","",UPPER(SUBSTITUTE($E37," ","")))</f>
        <v/>
      </c>
      <c r="K37" s="10" t="str">
        <f aca="false">IF($A37="","",$G37&amp;"|"&amp;$J37)</f>
        <v/>
      </c>
      <c r="L37" s="10" t="str">
        <f aca="false">IF($A37="","",ROW()-2)</f>
        <v/>
      </c>
      <c r="M37" s="10" t="str">
        <f aca="false">IF($A37="","",ROW())</f>
        <v/>
      </c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10" t="str">
        <f aca="false">IF($A38="","",UPPER(SUBSTITUTE(SUBSTITUTE(SUBSTITUTE(SUBSTITUTE($A38," ",""),"(주)",""),"주식회사",""),"㈜","")))</f>
        <v/>
      </c>
      <c r="H38" s="10" t="str">
        <f aca="false">IF($B38="","",SUBSTITUTE(SUBSTITUTE(SUBSTITUTE($B38,"-","")," ",""),".",""))</f>
        <v/>
      </c>
      <c r="I38" s="10" t="str">
        <f aca="false">IF($D38="","",SUBSTITUTE(SUBSTITUTE(SUBSTITUTE($D38,"-","")," ",""),".",""))</f>
        <v/>
      </c>
      <c r="J38" s="10" t="str">
        <f aca="false">IF($E38="","",UPPER(SUBSTITUTE($E38," ","")))</f>
        <v/>
      </c>
      <c r="K38" s="10" t="str">
        <f aca="false">IF($A38="","",$G38&amp;"|"&amp;$J38)</f>
        <v/>
      </c>
      <c r="L38" s="10" t="str">
        <f aca="false">IF($A38="","",ROW()-2)</f>
        <v/>
      </c>
      <c r="M38" s="10" t="str">
        <f aca="false">IF($A38="","",ROW())</f>
        <v/>
      </c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10" t="str">
        <f aca="false">IF($A39="","",UPPER(SUBSTITUTE(SUBSTITUTE(SUBSTITUTE(SUBSTITUTE($A39," ",""),"(주)",""),"주식회사",""),"㈜","")))</f>
        <v/>
      </c>
      <c r="H39" s="10" t="str">
        <f aca="false">IF($B39="","",SUBSTITUTE(SUBSTITUTE(SUBSTITUTE($B39,"-","")," ",""),".",""))</f>
        <v/>
      </c>
      <c r="I39" s="10" t="str">
        <f aca="false">IF($D39="","",SUBSTITUTE(SUBSTITUTE(SUBSTITUTE($D39,"-","")," ",""),".",""))</f>
        <v/>
      </c>
      <c r="J39" s="10" t="str">
        <f aca="false">IF($E39="","",UPPER(SUBSTITUTE($E39," ","")))</f>
        <v/>
      </c>
      <c r="K39" s="10" t="str">
        <f aca="false">IF($A39="","",$G39&amp;"|"&amp;$J39)</f>
        <v/>
      </c>
      <c r="L39" s="10" t="str">
        <f aca="false">IF($A39="","",ROW()-2)</f>
        <v/>
      </c>
      <c r="M39" s="10" t="str">
        <f aca="false">IF($A39="","",ROW())</f>
        <v/>
      </c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10" t="str">
        <f aca="false">IF($A40="","",UPPER(SUBSTITUTE(SUBSTITUTE(SUBSTITUTE(SUBSTITUTE($A40," ",""),"(주)",""),"주식회사",""),"㈜","")))</f>
        <v/>
      </c>
      <c r="H40" s="10" t="str">
        <f aca="false">IF($B40="","",SUBSTITUTE(SUBSTITUTE(SUBSTITUTE($B40,"-","")," ",""),".",""))</f>
        <v/>
      </c>
      <c r="I40" s="10" t="str">
        <f aca="false">IF($D40="","",SUBSTITUTE(SUBSTITUTE(SUBSTITUTE($D40,"-","")," ",""),".",""))</f>
        <v/>
      </c>
      <c r="J40" s="10" t="str">
        <f aca="false">IF($E40="","",UPPER(SUBSTITUTE($E40," ","")))</f>
        <v/>
      </c>
      <c r="K40" s="10" t="str">
        <f aca="false">IF($A40="","",$G40&amp;"|"&amp;$J40)</f>
        <v/>
      </c>
      <c r="L40" s="10" t="str">
        <f aca="false">IF($A40="","",ROW()-2)</f>
        <v/>
      </c>
      <c r="M40" s="10" t="str">
        <f aca="false">IF($A40="","",ROW())</f>
        <v/>
      </c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10" t="str">
        <f aca="false">IF($A41="","",UPPER(SUBSTITUTE(SUBSTITUTE(SUBSTITUTE(SUBSTITUTE($A41," ",""),"(주)",""),"주식회사",""),"㈜","")))</f>
        <v/>
      </c>
      <c r="H41" s="10" t="str">
        <f aca="false">IF($B41="","",SUBSTITUTE(SUBSTITUTE(SUBSTITUTE($B41,"-","")," ",""),".",""))</f>
        <v/>
      </c>
      <c r="I41" s="10" t="str">
        <f aca="false">IF($D41="","",SUBSTITUTE(SUBSTITUTE(SUBSTITUTE($D41,"-","")," ",""),".",""))</f>
        <v/>
      </c>
      <c r="J41" s="10" t="str">
        <f aca="false">IF($E41="","",UPPER(SUBSTITUTE($E41," ","")))</f>
        <v/>
      </c>
      <c r="K41" s="10" t="str">
        <f aca="false">IF($A41="","",$G41&amp;"|"&amp;$J41)</f>
        <v/>
      </c>
      <c r="L41" s="10" t="str">
        <f aca="false">IF($A41="","",ROW()-2)</f>
        <v/>
      </c>
      <c r="M41" s="10" t="str">
        <f aca="false">IF($A41="","",ROW())</f>
        <v/>
      </c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10" t="str">
        <f aca="false">IF($A42="","",UPPER(SUBSTITUTE(SUBSTITUTE(SUBSTITUTE(SUBSTITUTE($A42," ",""),"(주)",""),"주식회사",""),"㈜","")))</f>
        <v/>
      </c>
      <c r="H42" s="10" t="str">
        <f aca="false">IF($B42="","",SUBSTITUTE(SUBSTITUTE(SUBSTITUTE($B42,"-","")," ",""),".",""))</f>
        <v/>
      </c>
      <c r="I42" s="10" t="str">
        <f aca="false">IF($D42="","",SUBSTITUTE(SUBSTITUTE(SUBSTITUTE($D42,"-","")," ",""),".",""))</f>
        <v/>
      </c>
      <c r="J42" s="10" t="str">
        <f aca="false">IF($E42="","",UPPER(SUBSTITUTE($E42," ","")))</f>
        <v/>
      </c>
      <c r="K42" s="10" t="str">
        <f aca="false">IF($A42="","",$G42&amp;"|"&amp;$J42)</f>
        <v/>
      </c>
      <c r="L42" s="10" t="str">
        <f aca="false">IF($A42="","",ROW()-2)</f>
        <v/>
      </c>
      <c r="M42" s="10" t="str">
        <f aca="false">IF($A42="","",ROW())</f>
        <v/>
      </c>
    </row>
    <row r="43" customFormat="false" ht="15" hidden="false" customHeight="true" outlineLevel="0" collapsed="false">
      <c r="A43" s="8"/>
      <c r="B43" s="8"/>
      <c r="C43" s="8"/>
      <c r="D43" s="8"/>
      <c r="E43" s="8"/>
      <c r="F43" s="8"/>
      <c r="G43" s="10" t="str">
        <f aca="false">IF($A43="","",UPPER(SUBSTITUTE(SUBSTITUTE(SUBSTITUTE(SUBSTITUTE($A43," ",""),"(주)",""),"주식회사",""),"㈜","")))</f>
        <v/>
      </c>
      <c r="H43" s="10" t="str">
        <f aca="false">IF($B43="","",SUBSTITUTE(SUBSTITUTE(SUBSTITUTE($B43,"-","")," ",""),".",""))</f>
        <v/>
      </c>
      <c r="I43" s="10" t="str">
        <f aca="false">IF($D43="","",SUBSTITUTE(SUBSTITUTE(SUBSTITUTE($D43,"-","")," ",""),".",""))</f>
        <v/>
      </c>
      <c r="J43" s="10" t="str">
        <f aca="false">IF($E43="","",UPPER(SUBSTITUTE($E43," ","")))</f>
        <v/>
      </c>
      <c r="K43" s="10" t="str">
        <f aca="false">IF($A43="","",$G43&amp;"|"&amp;$J43)</f>
        <v/>
      </c>
      <c r="L43" s="10" t="str">
        <f aca="false">IF($A43="","",ROW()-2)</f>
        <v/>
      </c>
      <c r="M43" s="10" t="str">
        <f aca="false">IF($A43="","",ROW())</f>
        <v/>
      </c>
    </row>
    <row r="44" customFormat="false" ht="15" hidden="false" customHeight="true" outlineLevel="0" collapsed="false">
      <c r="A44" s="8"/>
      <c r="B44" s="8"/>
      <c r="C44" s="8"/>
      <c r="D44" s="8"/>
      <c r="E44" s="8"/>
      <c r="F44" s="8"/>
      <c r="G44" s="10" t="str">
        <f aca="false">IF($A44="","",UPPER(SUBSTITUTE(SUBSTITUTE(SUBSTITUTE(SUBSTITUTE($A44," ",""),"(주)",""),"주식회사",""),"㈜","")))</f>
        <v/>
      </c>
      <c r="H44" s="10" t="str">
        <f aca="false">IF($B44="","",SUBSTITUTE(SUBSTITUTE(SUBSTITUTE($B44,"-","")," ",""),".",""))</f>
        <v/>
      </c>
      <c r="I44" s="10" t="str">
        <f aca="false">IF($D44="","",SUBSTITUTE(SUBSTITUTE(SUBSTITUTE($D44,"-","")," ",""),".",""))</f>
        <v/>
      </c>
      <c r="J44" s="10" t="str">
        <f aca="false">IF($E44="","",UPPER(SUBSTITUTE($E44," ","")))</f>
        <v/>
      </c>
      <c r="K44" s="10" t="str">
        <f aca="false">IF($A44="","",$G44&amp;"|"&amp;$J44)</f>
        <v/>
      </c>
      <c r="L44" s="10" t="str">
        <f aca="false">IF($A44="","",ROW()-2)</f>
        <v/>
      </c>
      <c r="M44" s="10" t="str">
        <f aca="false">IF($A44="","",ROW())</f>
        <v/>
      </c>
    </row>
    <row r="45" customFormat="false" ht="15" hidden="false" customHeight="true" outlineLevel="0" collapsed="false">
      <c r="A45" s="8"/>
      <c r="B45" s="8"/>
      <c r="C45" s="8"/>
      <c r="D45" s="8"/>
      <c r="E45" s="8"/>
      <c r="F45" s="8"/>
      <c r="G45" s="10" t="str">
        <f aca="false">IF($A45="","",UPPER(SUBSTITUTE(SUBSTITUTE(SUBSTITUTE(SUBSTITUTE($A45," ",""),"(주)",""),"주식회사",""),"㈜","")))</f>
        <v/>
      </c>
      <c r="H45" s="10" t="str">
        <f aca="false">IF($B45="","",SUBSTITUTE(SUBSTITUTE(SUBSTITUTE($B45,"-","")," ",""),".",""))</f>
        <v/>
      </c>
      <c r="I45" s="10" t="str">
        <f aca="false">IF($D45="","",SUBSTITUTE(SUBSTITUTE(SUBSTITUTE($D45,"-","")," ",""),".",""))</f>
        <v/>
      </c>
      <c r="J45" s="10" t="str">
        <f aca="false">IF($E45="","",UPPER(SUBSTITUTE($E45," ","")))</f>
        <v/>
      </c>
      <c r="K45" s="10" t="str">
        <f aca="false">IF($A45="","",$G45&amp;"|"&amp;$J45)</f>
        <v/>
      </c>
      <c r="L45" s="10" t="str">
        <f aca="false">IF($A45="","",ROW()-2)</f>
        <v/>
      </c>
      <c r="M45" s="10" t="str">
        <f aca="false">IF($A45="","",ROW())</f>
        <v/>
      </c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10" t="str">
        <f aca="false">IF($A46="","",UPPER(SUBSTITUTE(SUBSTITUTE(SUBSTITUTE(SUBSTITUTE($A46," ",""),"(주)",""),"주식회사",""),"㈜","")))</f>
        <v/>
      </c>
      <c r="H46" s="10" t="str">
        <f aca="false">IF($B46="","",SUBSTITUTE(SUBSTITUTE(SUBSTITUTE($B46,"-","")," ",""),".",""))</f>
        <v/>
      </c>
      <c r="I46" s="10" t="str">
        <f aca="false">IF($D46="","",SUBSTITUTE(SUBSTITUTE(SUBSTITUTE($D46,"-","")," ",""),".",""))</f>
        <v/>
      </c>
      <c r="J46" s="10" t="str">
        <f aca="false">IF($E46="","",UPPER(SUBSTITUTE($E46," ","")))</f>
        <v/>
      </c>
      <c r="K46" s="10" t="str">
        <f aca="false">IF($A46="","",$G46&amp;"|"&amp;$J46)</f>
        <v/>
      </c>
      <c r="L46" s="10" t="str">
        <f aca="false">IF($A46="","",ROW()-2)</f>
        <v/>
      </c>
      <c r="M46" s="10" t="str">
        <f aca="false">IF($A46="","",ROW())</f>
        <v/>
      </c>
    </row>
    <row r="47" customFormat="false" ht="15" hidden="false" customHeight="true" outlineLevel="0" collapsed="false">
      <c r="A47" s="8"/>
      <c r="B47" s="8"/>
      <c r="C47" s="8"/>
      <c r="D47" s="8"/>
      <c r="E47" s="8"/>
      <c r="F47" s="8"/>
      <c r="G47" s="10" t="str">
        <f aca="false">IF($A47="","",UPPER(SUBSTITUTE(SUBSTITUTE(SUBSTITUTE(SUBSTITUTE($A47," ",""),"(주)",""),"주식회사",""),"㈜","")))</f>
        <v/>
      </c>
      <c r="H47" s="10" t="str">
        <f aca="false">IF($B47="","",SUBSTITUTE(SUBSTITUTE(SUBSTITUTE($B47,"-","")," ",""),".",""))</f>
        <v/>
      </c>
      <c r="I47" s="10" t="str">
        <f aca="false">IF($D47="","",SUBSTITUTE(SUBSTITUTE(SUBSTITUTE($D47,"-","")," ",""),".",""))</f>
        <v/>
      </c>
      <c r="J47" s="10" t="str">
        <f aca="false">IF($E47="","",UPPER(SUBSTITUTE($E47," ","")))</f>
        <v/>
      </c>
      <c r="K47" s="10" t="str">
        <f aca="false">IF($A47="","",$G47&amp;"|"&amp;$J47)</f>
        <v/>
      </c>
      <c r="L47" s="10" t="str">
        <f aca="false">IF($A47="","",ROW()-2)</f>
        <v/>
      </c>
      <c r="M47" s="10" t="str">
        <f aca="false">IF($A47="","",ROW())</f>
        <v/>
      </c>
    </row>
    <row r="48" customFormat="false" ht="15" hidden="false" customHeight="true" outlineLevel="0" collapsed="false">
      <c r="A48" s="8"/>
      <c r="B48" s="8"/>
      <c r="C48" s="8"/>
      <c r="D48" s="8"/>
      <c r="E48" s="8"/>
      <c r="F48" s="8"/>
      <c r="G48" s="10" t="str">
        <f aca="false">IF($A48="","",UPPER(SUBSTITUTE(SUBSTITUTE(SUBSTITUTE(SUBSTITUTE($A48," ",""),"(주)",""),"주식회사",""),"㈜","")))</f>
        <v/>
      </c>
      <c r="H48" s="10" t="str">
        <f aca="false">IF($B48="","",SUBSTITUTE(SUBSTITUTE(SUBSTITUTE($B48,"-","")," ",""),".",""))</f>
        <v/>
      </c>
      <c r="I48" s="10" t="str">
        <f aca="false">IF($D48="","",SUBSTITUTE(SUBSTITUTE(SUBSTITUTE($D48,"-","")," ",""),".",""))</f>
        <v/>
      </c>
      <c r="J48" s="10" t="str">
        <f aca="false">IF($E48="","",UPPER(SUBSTITUTE($E48," ","")))</f>
        <v/>
      </c>
      <c r="K48" s="10" t="str">
        <f aca="false">IF($A48="","",$G48&amp;"|"&amp;$J48)</f>
        <v/>
      </c>
      <c r="L48" s="10" t="str">
        <f aca="false">IF($A48="","",ROW()-2)</f>
        <v/>
      </c>
      <c r="M48" s="10" t="str">
        <f aca="false">IF($A48="","",ROW())</f>
        <v/>
      </c>
    </row>
    <row r="49" customFormat="false" ht="15" hidden="false" customHeight="true" outlineLevel="0" collapsed="false">
      <c r="A49" s="8"/>
      <c r="B49" s="8"/>
      <c r="C49" s="8"/>
      <c r="D49" s="8"/>
      <c r="E49" s="8"/>
      <c r="F49" s="8"/>
      <c r="G49" s="10" t="str">
        <f aca="false">IF($A49="","",UPPER(SUBSTITUTE(SUBSTITUTE(SUBSTITUTE(SUBSTITUTE($A49," ",""),"(주)",""),"주식회사",""),"㈜","")))</f>
        <v/>
      </c>
      <c r="H49" s="10" t="str">
        <f aca="false">IF($B49="","",SUBSTITUTE(SUBSTITUTE(SUBSTITUTE($B49,"-","")," ",""),".",""))</f>
        <v/>
      </c>
      <c r="I49" s="10" t="str">
        <f aca="false">IF($D49="","",SUBSTITUTE(SUBSTITUTE(SUBSTITUTE($D49,"-","")," ",""),".",""))</f>
        <v/>
      </c>
      <c r="J49" s="10" t="str">
        <f aca="false">IF($E49="","",UPPER(SUBSTITUTE($E49," ","")))</f>
        <v/>
      </c>
      <c r="K49" s="10" t="str">
        <f aca="false">IF($A49="","",$G49&amp;"|"&amp;$J49)</f>
        <v/>
      </c>
      <c r="L49" s="10" t="str">
        <f aca="false">IF($A49="","",ROW()-2)</f>
        <v/>
      </c>
      <c r="M49" s="10" t="str">
        <f aca="false">IF($A49="","",ROW())</f>
        <v/>
      </c>
    </row>
    <row r="50" customFormat="false" ht="15" hidden="false" customHeight="true" outlineLevel="0" collapsed="false">
      <c r="A50" s="8"/>
      <c r="B50" s="8"/>
      <c r="C50" s="8"/>
      <c r="D50" s="8"/>
      <c r="E50" s="8"/>
      <c r="F50" s="8"/>
      <c r="G50" s="10" t="str">
        <f aca="false">IF($A50="","",UPPER(SUBSTITUTE(SUBSTITUTE(SUBSTITUTE(SUBSTITUTE($A50," ",""),"(주)",""),"주식회사",""),"㈜","")))</f>
        <v/>
      </c>
      <c r="H50" s="10" t="str">
        <f aca="false">IF($B50="","",SUBSTITUTE(SUBSTITUTE(SUBSTITUTE($B50,"-","")," ",""),".",""))</f>
        <v/>
      </c>
      <c r="I50" s="10" t="str">
        <f aca="false">IF($D50="","",SUBSTITUTE(SUBSTITUTE(SUBSTITUTE($D50,"-","")," ",""),".",""))</f>
        <v/>
      </c>
      <c r="J50" s="10" t="str">
        <f aca="false">IF($E50="","",UPPER(SUBSTITUTE($E50," ","")))</f>
        <v/>
      </c>
      <c r="K50" s="10" t="str">
        <f aca="false">IF($A50="","",$G50&amp;"|"&amp;$J50)</f>
        <v/>
      </c>
      <c r="L50" s="10" t="str">
        <f aca="false">IF($A50="","",ROW()-2)</f>
        <v/>
      </c>
      <c r="M50" s="10" t="str">
        <f aca="false">IF($A50="","",ROW())</f>
        <v/>
      </c>
    </row>
    <row r="51" customFormat="false" ht="15" hidden="false" customHeight="true" outlineLevel="0" collapsed="false">
      <c r="A51" s="8"/>
      <c r="B51" s="8"/>
      <c r="C51" s="8"/>
      <c r="D51" s="8"/>
      <c r="E51" s="8"/>
      <c r="F51" s="8"/>
      <c r="G51" s="10" t="str">
        <f aca="false">IF($A51="","",UPPER(SUBSTITUTE(SUBSTITUTE(SUBSTITUTE(SUBSTITUTE($A51," ",""),"(주)",""),"주식회사",""),"㈜","")))</f>
        <v/>
      </c>
      <c r="H51" s="10" t="str">
        <f aca="false">IF($B51="","",SUBSTITUTE(SUBSTITUTE(SUBSTITUTE($B51,"-","")," ",""),".",""))</f>
        <v/>
      </c>
      <c r="I51" s="10" t="str">
        <f aca="false">IF($D51="","",SUBSTITUTE(SUBSTITUTE(SUBSTITUTE($D51,"-","")," ",""),".",""))</f>
        <v/>
      </c>
      <c r="J51" s="10" t="str">
        <f aca="false">IF($E51="","",UPPER(SUBSTITUTE($E51," ","")))</f>
        <v/>
      </c>
      <c r="K51" s="10" t="str">
        <f aca="false">IF($A51="","",$G51&amp;"|"&amp;$J51)</f>
        <v/>
      </c>
      <c r="L51" s="10" t="str">
        <f aca="false">IF($A51="","",ROW()-2)</f>
        <v/>
      </c>
      <c r="M51" s="10" t="str">
        <f aca="false">IF($A51="","",ROW())</f>
        <v/>
      </c>
    </row>
    <row r="52" customFormat="false" ht="15" hidden="false" customHeight="true" outlineLevel="0" collapsed="false">
      <c r="A52" s="8"/>
      <c r="B52" s="8"/>
      <c r="C52" s="8"/>
      <c r="D52" s="8"/>
      <c r="E52" s="8"/>
      <c r="F52" s="8"/>
      <c r="G52" s="10" t="str">
        <f aca="false">IF($A52="","",UPPER(SUBSTITUTE(SUBSTITUTE(SUBSTITUTE(SUBSTITUTE($A52," ",""),"(주)",""),"주식회사",""),"㈜","")))</f>
        <v/>
      </c>
      <c r="H52" s="10" t="str">
        <f aca="false">IF($B52="","",SUBSTITUTE(SUBSTITUTE(SUBSTITUTE($B52,"-","")," ",""),".",""))</f>
        <v/>
      </c>
      <c r="I52" s="10" t="str">
        <f aca="false">IF($D52="","",SUBSTITUTE(SUBSTITUTE(SUBSTITUTE($D52,"-","")," ",""),".",""))</f>
        <v/>
      </c>
      <c r="J52" s="10" t="str">
        <f aca="false">IF($E52="","",UPPER(SUBSTITUTE($E52," ","")))</f>
        <v/>
      </c>
      <c r="K52" s="10" t="str">
        <f aca="false">IF($A52="","",$G52&amp;"|"&amp;$J52)</f>
        <v/>
      </c>
      <c r="L52" s="10" t="str">
        <f aca="false">IF($A52="","",ROW()-2)</f>
        <v/>
      </c>
      <c r="M52" s="10" t="str">
        <f aca="false">IF($A52="","",ROW())</f>
        <v/>
      </c>
    </row>
    <row r="53" customFormat="false" ht="15" hidden="false" customHeight="true" outlineLevel="0" collapsed="false">
      <c r="A53" s="8"/>
      <c r="B53" s="8"/>
      <c r="C53" s="8"/>
      <c r="D53" s="8"/>
      <c r="E53" s="8"/>
      <c r="F53" s="8"/>
      <c r="G53" s="10" t="str">
        <f aca="false">IF($A53="","",UPPER(SUBSTITUTE(SUBSTITUTE(SUBSTITUTE(SUBSTITUTE($A53," ",""),"(주)",""),"주식회사",""),"㈜","")))</f>
        <v/>
      </c>
      <c r="H53" s="10" t="str">
        <f aca="false">IF($B53="","",SUBSTITUTE(SUBSTITUTE(SUBSTITUTE($B53,"-","")," ",""),".",""))</f>
        <v/>
      </c>
      <c r="I53" s="10" t="str">
        <f aca="false">IF($D53="","",SUBSTITUTE(SUBSTITUTE(SUBSTITUTE($D53,"-","")," ",""),".",""))</f>
        <v/>
      </c>
      <c r="J53" s="10" t="str">
        <f aca="false">IF($E53="","",UPPER(SUBSTITUTE($E53," ","")))</f>
        <v/>
      </c>
      <c r="K53" s="10" t="str">
        <f aca="false">IF($A53="","",$G53&amp;"|"&amp;$J53)</f>
        <v/>
      </c>
      <c r="L53" s="10" t="str">
        <f aca="false">IF($A53="","",ROW()-2)</f>
        <v/>
      </c>
      <c r="M53" s="10" t="str">
        <f aca="false">IF($A53="","",ROW())</f>
        <v/>
      </c>
    </row>
    <row r="54" customFormat="false" ht="15" hidden="false" customHeight="true" outlineLevel="0" collapsed="false">
      <c r="A54" s="8"/>
      <c r="B54" s="8"/>
      <c r="C54" s="8"/>
      <c r="D54" s="8"/>
      <c r="E54" s="8"/>
      <c r="F54" s="8"/>
      <c r="G54" s="10" t="str">
        <f aca="false">IF($A54="","",UPPER(SUBSTITUTE(SUBSTITUTE(SUBSTITUTE(SUBSTITUTE($A54," ",""),"(주)",""),"주식회사",""),"㈜","")))</f>
        <v/>
      </c>
      <c r="H54" s="10" t="str">
        <f aca="false">IF($B54="","",SUBSTITUTE(SUBSTITUTE(SUBSTITUTE($B54,"-","")," ",""),".",""))</f>
        <v/>
      </c>
      <c r="I54" s="10" t="str">
        <f aca="false">IF($D54="","",SUBSTITUTE(SUBSTITUTE(SUBSTITUTE($D54,"-","")," ",""),".",""))</f>
        <v/>
      </c>
      <c r="J54" s="10" t="str">
        <f aca="false">IF($E54="","",UPPER(SUBSTITUTE($E54," ","")))</f>
        <v/>
      </c>
      <c r="K54" s="10" t="str">
        <f aca="false">IF($A54="","",$G54&amp;"|"&amp;$J54)</f>
        <v/>
      </c>
      <c r="L54" s="10" t="str">
        <f aca="false">IF($A54="","",ROW()-2)</f>
        <v/>
      </c>
      <c r="M54" s="10" t="str">
        <f aca="false">IF($A54="","",ROW())</f>
        <v/>
      </c>
    </row>
    <row r="55" customFormat="false" ht="15" hidden="false" customHeight="true" outlineLevel="0" collapsed="false">
      <c r="A55" s="8"/>
      <c r="B55" s="8"/>
      <c r="C55" s="8"/>
      <c r="D55" s="8"/>
      <c r="E55" s="8"/>
      <c r="F55" s="8"/>
      <c r="G55" s="10" t="str">
        <f aca="false">IF($A55="","",UPPER(SUBSTITUTE(SUBSTITUTE(SUBSTITUTE(SUBSTITUTE($A55," ",""),"(주)",""),"주식회사",""),"㈜","")))</f>
        <v/>
      </c>
      <c r="H55" s="10" t="str">
        <f aca="false">IF($B55="","",SUBSTITUTE(SUBSTITUTE(SUBSTITUTE($B55,"-","")," ",""),".",""))</f>
        <v/>
      </c>
      <c r="I55" s="10" t="str">
        <f aca="false">IF($D55="","",SUBSTITUTE(SUBSTITUTE(SUBSTITUTE($D55,"-","")," ",""),".",""))</f>
        <v/>
      </c>
      <c r="J55" s="10" t="str">
        <f aca="false">IF($E55="","",UPPER(SUBSTITUTE($E55," ","")))</f>
        <v/>
      </c>
      <c r="K55" s="10" t="str">
        <f aca="false">IF($A55="","",$G55&amp;"|"&amp;$J55)</f>
        <v/>
      </c>
      <c r="L55" s="10" t="str">
        <f aca="false">IF($A55="","",ROW()-2)</f>
        <v/>
      </c>
      <c r="M55" s="10" t="str">
        <f aca="false">IF($A55="","",ROW())</f>
        <v/>
      </c>
    </row>
    <row r="56" customFormat="false" ht="15" hidden="false" customHeight="true" outlineLevel="0" collapsed="false">
      <c r="A56" s="8"/>
      <c r="B56" s="8"/>
      <c r="C56" s="8"/>
      <c r="D56" s="8"/>
      <c r="E56" s="8"/>
      <c r="F56" s="8"/>
      <c r="G56" s="10" t="str">
        <f aca="false">IF($A56="","",UPPER(SUBSTITUTE(SUBSTITUTE(SUBSTITUTE(SUBSTITUTE($A56," ",""),"(주)",""),"주식회사",""),"㈜","")))</f>
        <v/>
      </c>
      <c r="H56" s="10" t="str">
        <f aca="false">IF($B56="","",SUBSTITUTE(SUBSTITUTE(SUBSTITUTE($B56,"-","")," ",""),".",""))</f>
        <v/>
      </c>
      <c r="I56" s="10" t="str">
        <f aca="false">IF($D56="","",SUBSTITUTE(SUBSTITUTE(SUBSTITUTE($D56,"-","")," ",""),".",""))</f>
        <v/>
      </c>
      <c r="J56" s="10" t="str">
        <f aca="false">IF($E56="","",UPPER(SUBSTITUTE($E56," ","")))</f>
        <v/>
      </c>
      <c r="K56" s="10" t="str">
        <f aca="false">IF($A56="","",$G56&amp;"|"&amp;$J56)</f>
        <v/>
      </c>
      <c r="L56" s="10" t="str">
        <f aca="false">IF($A56="","",ROW()-2)</f>
        <v/>
      </c>
      <c r="M56" s="10" t="str">
        <f aca="false">IF($A56="","",ROW())</f>
        <v/>
      </c>
    </row>
    <row r="57" customFormat="false" ht="15" hidden="false" customHeight="true" outlineLevel="0" collapsed="false">
      <c r="A57" s="8"/>
      <c r="B57" s="8"/>
      <c r="C57" s="8"/>
      <c r="D57" s="8"/>
      <c r="E57" s="8"/>
      <c r="F57" s="8"/>
      <c r="G57" s="10" t="str">
        <f aca="false">IF($A57="","",UPPER(SUBSTITUTE(SUBSTITUTE(SUBSTITUTE(SUBSTITUTE($A57," ",""),"(주)",""),"주식회사",""),"㈜","")))</f>
        <v/>
      </c>
      <c r="H57" s="10" t="str">
        <f aca="false">IF($B57="","",SUBSTITUTE(SUBSTITUTE(SUBSTITUTE($B57,"-","")," ",""),".",""))</f>
        <v/>
      </c>
      <c r="I57" s="10" t="str">
        <f aca="false">IF($D57="","",SUBSTITUTE(SUBSTITUTE(SUBSTITUTE($D57,"-","")," ",""),".",""))</f>
        <v/>
      </c>
      <c r="J57" s="10" t="str">
        <f aca="false">IF($E57="","",UPPER(SUBSTITUTE($E57," ","")))</f>
        <v/>
      </c>
      <c r="K57" s="10" t="str">
        <f aca="false">IF($A57="","",$G57&amp;"|"&amp;$J57)</f>
        <v/>
      </c>
      <c r="L57" s="10" t="str">
        <f aca="false">IF($A57="","",ROW()-2)</f>
        <v/>
      </c>
      <c r="M57" s="10" t="str">
        <f aca="false">IF($A57="","",ROW())</f>
        <v/>
      </c>
    </row>
    <row r="58" customFormat="false" ht="15" hidden="false" customHeight="true" outlineLevel="0" collapsed="false">
      <c r="A58" s="8"/>
      <c r="B58" s="8"/>
      <c r="C58" s="8"/>
      <c r="D58" s="8"/>
      <c r="E58" s="8"/>
      <c r="F58" s="8"/>
      <c r="G58" s="10" t="str">
        <f aca="false">IF($A58="","",UPPER(SUBSTITUTE(SUBSTITUTE(SUBSTITUTE(SUBSTITUTE($A58," ",""),"(주)",""),"주식회사",""),"㈜","")))</f>
        <v/>
      </c>
      <c r="H58" s="10" t="str">
        <f aca="false">IF($B58="","",SUBSTITUTE(SUBSTITUTE(SUBSTITUTE($B58,"-","")," ",""),".",""))</f>
        <v/>
      </c>
      <c r="I58" s="10" t="str">
        <f aca="false">IF($D58="","",SUBSTITUTE(SUBSTITUTE(SUBSTITUTE($D58,"-","")," ",""),".",""))</f>
        <v/>
      </c>
      <c r="J58" s="10" t="str">
        <f aca="false">IF($E58="","",UPPER(SUBSTITUTE($E58," ","")))</f>
        <v/>
      </c>
      <c r="K58" s="10" t="str">
        <f aca="false">IF($A58="","",$G58&amp;"|"&amp;$J58)</f>
        <v/>
      </c>
      <c r="L58" s="10" t="str">
        <f aca="false">IF($A58="","",ROW()-2)</f>
        <v/>
      </c>
      <c r="M58" s="10" t="str">
        <f aca="false">IF($A58="","",ROW())</f>
        <v/>
      </c>
    </row>
    <row r="59" customFormat="false" ht="15" hidden="false" customHeight="true" outlineLevel="0" collapsed="false">
      <c r="A59" s="8"/>
      <c r="B59" s="8"/>
      <c r="C59" s="8"/>
      <c r="D59" s="8"/>
      <c r="E59" s="8"/>
      <c r="F59" s="8"/>
      <c r="G59" s="10" t="str">
        <f aca="false">IF($A59="","",UPPER(SUBSTITUTE(SUBSTITUTE(SUBSTITUTE(SUBSTITUTE($A59," ",""),"(주)",""),"주식회사",""),"㈜","")))</f>
        <v/>
      </c>
      <c r="H59" s="10" t="str">
        <f aca="false">IF($B59="","",SUBSTITUTE(SUBSTITUTE(SUBSTITUTE($B59,"-","")," ",""),".",""))</f>
        <v/>
      </c>
      <c r="I59" s="10" t="str">
        <f aca="false">IF($D59="","",SUBSTITUTE(SUBSTITUTE(SUBSTITUTE($D59,"-","")," ",""),".",""))</f>
        <v/>
      </c>
      <c r="J59" s="10" t="str">
        <f aca="false">IF($E59="","",UPPER(SUBSTITUTE($E59," ","")))</f>
        <v/>
      </c>
      <c r="K59" s="10" t="str">
        <f aca="false">IF($A59="","",$G59&amp;"|"&amp;$J59)</f>
        <v/>
      </c>
      <c r="L59" s="10" t="str">
        <f aca="false">IF($A59="","",ROW()-2)</f>
        <v/>
      </c>
      <c r="M59" s="10" t="str">
        <f aca="false">IF($A59="","",ROW())</f>
        <v/>
      </c>
    </row>
    <row r="60" customFormat="false" ht="15" hidden="false" customHeight="true" outlineLevel="0" collapsed="false">
      <c r="A60" s="8"/>
      <c r="B60" s="8"/>
      <c r="C60" s="8"/>
      <c r="D60" s="8"/>
      <c r="E60" s="8"/>
      <c r="F60" s="8"/>
      <c r="G60" s="10" t="str">
        <f aca="false">IF($A60="","",UPPER(SUBSTITUTE(SUBSTITUTE(SUBSTITUTE(SUBSTITUTE($A60," ",""),"(주)",""),"주식회사",""),"㈜","")))</f>
        <v/>
      </c>
      <c r="H60" s="10" t="str">
        <f aca="false">IF($B60="","",SUBSTITUTE(SUBSTITUTE(SUBSTITUTE($B60,"-","")," ",""),".",""))</f>
        <v/>
      </c>
      <c r="I60" s="10" t="str">
        <f aca="false">IF($D60="","",SUBSTITUTE(SUBSTITUTE(SUBSTITUTE($D60,"-","")," ",""),".",""))</f>
        <v/>
      </c>
      <c r="J60" s="10" t="str">
        <f aca="false">IF($E60="","",UPPER(SUBSTITUTE($E60," ","")))</f>
        <v/>
      </c>
      <c r="K60" s="10" t="str">
        <f aca="false">IF($A60="","",$G60&amp;"|"&amp;$J60)</f>
        <v/>
      </c>
      <c r="L60" s="10" t="str">
        <f aca="false">IF($A60="","",ROW()-2)</f>
        <v/>
      </c>
      <c r="M60" s="10" t="str">
        <f aca="false">IF($A60="","",ROW())</f>
        <v/>
      </c>
    </row>
    <row r="61" customFormat="false" ht="15" hidden="false" customHeight="true" outlineLevel="0" collapsed="false">
      <c r="A61" s="8"/>
      <c r="B61" s="8"/>
      <c r="C61" s="8"/>
      <c r="D61" s="8"/>
      <c r="E61" s="8"/>
      <c r="F61" s="8"/>
      <c r="G61" s="10" t="str">
        <f aca="false">IF($A61="","",UPPER(SUBSTITUTE(SUBSTITUTE(SUBSTITUTE(SUBSTITUTE($A61," ",""),"(주)",""),"주식회사",""),"㈜","")))</f>
        <v/>
      </c>
      <c r="H61" s="10" t="str">
        <f aca="false">IF($B61="","",SUBSTITUTE(SUBSTITUTE(SUBSTITUTE($B61,"-","")," ",""),".",""))</f>
        <v/>
      </c>
      <c r="I61" s="10" t="str">
        <f aca="false">IF($D61="","",SUBSTITUTE(SUBSTITUTE(SUBSTITUTE($D61,"-","")," ",""),".",""))</f>
        <v/>
      </c>
      <c r="J61" s="10" t="str">
        <f aca="false">IF($E61="","",UPPER(SUBSTITUTE($E61," ","")))</f>
        <v/>
      </c>
      <c r="K61" s="10" t="str">
        <f aca="false">IF($A61="","",$G61&amp;"|"&amp;$J61)</f>
        <v/>
      </c>
      <c r="L61" s="10" t="str">
        <f aca="false">IF($A61="","",ROW()-2)</f>
        <v/>
      </c>
      <c r="M61" s="10" t="str">
        <f aca="false">IF($A61="","",ROW())</f>
        <v/>
      </c>
    </row>
    <row r="62" customFormat="false" ht="15" hidden="false" customHeight="true" outlineLevel="0" collapsed="false">
      <c r="A62" s="8"/>
      <c r="B62" s="8"/>
      <c r="C62" s="8"/>
      <c r="D62" s="8"/>
      <c r="E62" s="8"/>
      <c r="F62" s="8"/>
      <c r="G62" s="10" t="str">
        <f aca="false">IF($A62="","",UPPER(SUBSTITUTE(SUBSTITUTE(SUBSTITUTE(SUBSTITUTE($A62," ",""),"(주)",""),"주식회사",""),"㈜","")))</f>
        <v/>
      </c>
      <c r="H62" s="10" t="str">
        <f aca="false">IF($B62="","",SUBSTITUTE(SUBSTITUTE(SUBSTITUTE($B62,"-","")," ",""),".",""))</f>
        <v/>
      </c>
      <c r="I62" s="10" t="str">
        <f aca="false">IF($D62="","",SUBSTITUTE(SUBSTITUTE(SUBSTITUTE($D62,"-","")," ",""),".",""))</f>
        <v/>
      </c>
      <c r="J62" s="10" t="str">
        <f aca="false">IF($E62="","",UPPER(SUBSTITUTE($E62," ","")))</f>
        <v/>
      </c>
      <c r="K62" s="10" t="str">
        <f aca="false">IF($A62="","",$G62&amp;"|"&amp;$J62)</f>
        <v/>
      </c>
      <c r="L62" s="10" t="str">
        <f aca="false">IF($A62="","",ROW()-2)</f>
        <v/>
      </c>
      <c r="M62" s="10" t="str">
        <f aca="false">IF($A62="","",ROW())</f>
        <v/>
      </c>
    </row>
    <row r="63" customFormat="false" ht="15" hidden="false" customHeight="true" outlineLevel="0" collapsed="false">
      <c r="A63" s="8"/>
      <c r="B63" s="8"/>
      <c r="C63" s="8"/>
      <c r="D63" s="8"/>
      <c r="E63" s="8"/>
      <c r="F63" s="8"/>
      <c r="G63" s="10" t="str">
        <f aca="false">IF($A63="","",UPPER(SUBSTITUTE(SUBSTITUTE(SUBSTITUTE(SUBSTITUTE($A63," ",""),"(주)",""),"주식회사",""),"㈜","")))</f>
        <v/>
      </c>
      <c r="H63" s="10" t="str">
        <f aca="false">IF($B63="","",SUBSTITUTE(SUBSTITUTE(SUBSTITUTE($B63,"-","")," ",""),".",""))</f>
        <v/>
      </c>
      <c r="I63" s="10" t="str">
        <f aca="false">IF($D63="","",SUBSTITUTE(SUBSTITUTE(SUBSTITUTE($D63,"-","")," ",""),".",""))</f>
        <v/>
      </c>
      <c r="J63" s="10" t="str">
        <f aca="false">IF($E63="","",UPPER(SUBSTITUTE($E63," ","")))</f>
        <v/>
      </c>
      <c r="K63" s="10" t="str">
        <f aca="false">IF($A63="","",$G63&amp;"|"&amp;$J63)</f>
        <v/>
      </c>
      <c r="L63" s="10" t="str">
        <f aca="false">IF($A63="","",ROW()-2)</f>
        <v/>
      </c>
      <c r="M63" s="10" t="str">
        <f aca="false">IF($A63="","",ROW())</f>
        <v/>
      </c>
    </row>
    <row r="64" customFormat="false" ht="15" hidden="false" customHeight="true" outlineLevel="0" collapsed="false">
      <c r="A64" s="8"/>
      <c r="B64" s="8"/>
      <c r="C64" s="8"/>
      <c r="D64" s="8"/>
      <c r="E64" s="8"/>
      <c r="F64" s="8"/>
      <c r="G64" s="10" t="str">
        <f aca="false">IF($A64="","",UPPER(SUBSTITUTE(SUBSTITUTE(SUBSTITUTE(SUBSTITUTE($A64," ",""),"(주)",""),"주식회사",""),"㈜","")))</f>
        <v/>
      </c>
      <c r="H64" s="10" t="str">
        <f aca="false">IF($B64="","",SUBSTITUTE(SUBSTITUTE(SUBSTITUTE($B64,"-","")," ",""),".",""))</f>
        <v/>
      </c>
      <c r="I64" s="10" t="str">
        <f aca="false">IF($D64="","",SUBSTITUTE(SUBSTITUTE(SUBSTITUTE($D64,"-","")," ",""),".",""))</f>
        <v/>
      </c>
      <c r="J64" s="10" t="str">
        <f aca="false">IF($E64="","",UPPER(SUBSTITUTE($E64," ","")))</f>
        <v/>
      </c>
      <c r="K64" s="10" t="str">
        <f aca="false">IF($A64="","",$G64&amp;"|"&amp;$J64)</f>
        <v/>
      </c>
      <c r="L64" s="10" t="str">
        <f aca="false">IF($A64="","",ROW()-2)</f>
        <v/>
      </c>
      <c r="M64" s="10" t="str">
        <f aca="false">IF($A64="","",ROW())</f>
        <v/>
      </c>
    </row>
    <row r="65" customFormat="false" ht="15" hidden="false" customHeight="true" outlineLevel="0" collapsed="false">
      <c r="A65" s="8"/>
      <c r="B65" s="8"/>
      <c r="C65" s="8"/>
      <c r="D65" s="8"/>
      <c r="E65" s="8"/>
      <c r="F65" s="8"/>
      <c r="G65" s="10" t="str">
        <f aca="false">IF($A65="","",UPPER(SUBSTITUTE(SUBSTITUTE(SUBSTITUTE(SUBSTITUTE($A65," ",""),"(주)",""),"주식회사",""),"㈜","")))</f>
        <v/>
      </c>
      <c r="H65" s="10" t="str">
        <f aca="false">IF($B65="","",SUBSTITUTE(SUBSTITUTE(SUBSTITUTE($B65,"-","")," ",""),".",""))</f>
        <v/>
      </c>
      <c r="I65" s="10" t="str">
        <f aca="false">IF($D65="","",SUBSTITUTE(SUBSTITUTE(SUBSTITUTE($D65,"-","")," ",""),".",""))</f>
        <v/>
      </c>
      <c r="J65" s="10" t="str">
        <f aca="false">IF($E65="","",UPPER(SUBSTITUTE($E65," ","")))</f>
        <v/>
      </c>
      <c r="K65" s="10" t="str">
        <f aca="false">IF($A65="","",$G65&amp;"|"&amp;$J65)</f>
        <v/>
      </c>
      <c r="L65" s="10" t="str">
        <f aca="false">IF($A65="","",ROW()-2)</f>
        <v/>
      </c>
      <c r="M65" s="10" t="str">
        <f aca="false">IF($A65="","",ROW())</f>
        <v/>
      </c>
    </row>
    <row r="66" customFormat="false" ht="15" hidden="false" customHeight="true" outlineLevel="0" collapsed="false">
      <c r="A66" s="8"/>
      <c r="B66" s="8"/>
      <c r="C66" s="8"/>
      <c r="D66" s="8"/>
      <c r="E66" s="8"/>
      <c r="F66" s="8"/>
      <c r="G66" s="10" t="str">
        <f aca="false">IF($A66="","",UPPER(SUBSTITUTE(SUBSTITUTE(SUBSTITUTE(SUBSTITUTE($A66," ",""),"(주)",""),"주식회사",""),"㈜","")))</f>
        <v/>
      </c>
      <c r="H66" s="10" t="str">
        <f aca="false">IF($B66="","",SUBSTITUTE(SUBSTITUTE(SUBSTITUTE($B66,"-","")," ",""),".",""))</f>
        <v/>
      </c>
      <c r="I66" s="10" t="str">
        <f aca="false">IF($D66="","",SUBSTITUTE(SUBSTITUTE(SUBSTITUTE($D66,"-","")," ",""),".",""))</f>
        <v/>
      </c>
      <c r="J66" s="10" t="str">
        <f aca="false">IF($E66="","",UPPER(SUBSTITUTE($E66," ","")))</f>
        <v/>
      </c>
      <c r="K66" s="10" t="str">
        <f aca="false">IF($A66="","",$G66&amp;"|"&amp;$J66)</f>
        <v/>
      </c>
      <c r="L66" s="10" t="str">
        <f aca="false">IF($A66="","",ROW()-2)</f>
        <v/>
      </c>
      <c r="M66" s="10" t="str">
        <f aca="false">IF($A66="","",ROW())</f>
        <v/>
      </c>
    </row>
    <row r="67" customFormat="false" ht="15" hidden="false" customHeight="true" outlineLevel="0" collapsed="false">
      <c r="A67" s="8"/>
      <c r="B67" s="8"/>
      <c r="C67" s="8"/>
      <c r="D67" s="8"/>
      <c r="E67" s="8"/>
      <c r="F67" s="8"/>
      <c r="G67" s="10" t="str">
        <f aca="false">IF($A67="","",UPPER(SUBSTITUTE(SUBSTITUTE(SUBSTITUTE(SUBSTITUTE($A67," ",""),"(주)",""),"주식회사",""),"㈜","")))</f>
        <v/>
      </c>
      <c r="H67" s="10" t="str">
        <f aca="false">IF($B67="","",SUBSTITUTE(SUBSTITUTE(SUBSTITUTE($B67,"-","")," ",""),".",""))</f>
        <v/>
      </c>
      <c r="I67" s="10" t="str">
        <f aca="false">IF($D67="","",SUBSTITUTE(SUBSTITUTE(SUBSTITUTE($D67,"-","")," ",""),".",""))</f>
        <v/>
      </c>
      <c r="J67" s="10" t="str">
        <f aca="false">IF($E67="","",UPPER(SUBSTITUTE($E67," ","")))</f>
        <v/>
      </c>
      <c r="K67" s="10" t="str">
        <f aca="false">IF($A67="","",$G67&amp;"|"&amp;$J67)</f>
        <v/>
      </c>
      <c r="L67" s="10" t="str">
        <f aca="false">IF($A67="","",ROW()-2)</f>
        <v/>
      </c>
      <c r="M67" s="10" t="str">
        <f aca="false">IF($A67="","",ROW())</f>
        <v/>
      </c>
    </row>
    <row r="68" customFormat="false" ht="15" hidden="false" customHeight="true" outlineLevel="0" collapsed="false">
      <c r="A68" s="8"/>
      <c r="B68" s="8"/>
      <c r="C68" s="8"/>
      <c r="D68" s="8"/>
      <c r="E68" s="8"/>
      <c r="F68" s="8"/>
      <c r="G68" s="10" t="str">
        <f aca="false">IF($A68="","",UPPER(SUBSTITUTE(SUBSTITUTE(SUBSTITUTE(SUBSTITUTE($A68," ",""),"(주)",""),"주식회사",""),"㈜","")))</f>
        <v/>
      </c>
      <c r="H68" s="10" t="str">
        <f aca="false">IF($B68="","",SUBSTITUTE(SUBSTITUTE(SUBSTITUTE($B68,"-","")," ",""),".",""))</f>
        <v/>
      </c>
      <c r="I68" s="10" t="str">
        <f aca="false">IF($D68="","",SUBSTITUTE(SUBSTITUTE(SUBSTITUTE($D68,"-","")," ",""),".",""))</f>
        <v/>
      </c>
      <c r="J68" s="10" t="str">
        <f aca="false">IF($E68="","",UPPER(SUBSTITUTE($E68," ","")))</f>
        <v/>
      </c>
      <c r="K68" s="10" t="str">
        <f aca="false">IF($A68="","",$G68&amp;"|"&amp;$J68)</f>
        <v/>
      </c>
      <c r="L68" s="10" t="str">
        <f aca="false">IF($A68="","",ROW()-2)</f>
        <v/>
      </c>
      <c r="M68" s="10" t="str">
        <f aca="false">IF($A68="","",ROW())</f>
        <v/>
      </c>
    </row>
    <row r="69" customFormat="false" ht="15" hidden="false" customHeight="true" outlineLevel="0" collapsed="false">
      <c r="A69" s="8"/>
      <c r="B69" s="8"/>
      <c r="C69" s="8"/>
      <c r="D69" s="8"/>
      <c r="E69" s="8"/>
      <c r="F69" s="8"/>
      <c r="G69" s="10" t="str">
        <f aca="false">IF($A69="","",UPPER(SUBSTITUTE(SUBSTITUTE(SUBSTITUTE(SUBSTITUTE($A69," ",""),"(주)",""),"주식회사",""),"㈜","")))</f>
        <v/>
      </c>
      <c r="H69" s="10" t="str">
        <f aca="false">IF($B69="","",SUBSTITUTE(SUBSTITUTE(SUBSTITUTE($B69,"-","")," ",""),".",""))</f>
        <v/>
      </c>
      <c r="I69" s="10" t="str">
        <f aca="false">IF($D69="","",SUBSTITUTE(SUBSTITUTE(SUBSTITUTE($D69,"-","")," ",""),".",""))</f>
        <v/>
      </c>
      <c r="J69" s="10" t="str">
        <f aca="false">IF($E69="","",UPPER(SUBSTITUTE($E69," ","")))</f>
        <v/>
      </c>
      <c r="K69" s="10" t="str">
        <f aca="false">IF($A69="","",$G69&amp;"|"&amp;$J69)</f>
        <v/>
      </c>
      <c r="L69" s="10" t="str">
        <f aca="false">IF($A69="","",ROW()-2)</f>
        <v/>
      </c>
      <c r="M69" s="10" t="str">
        <f aca="false">IF($A69="","",ROW())</f>
        <v/>
      </c>
    </row>
    <row r="70" customFormat="false" ht="15" hidden="false" customHeight="true" outlineLevel="0" collapsed="false">
      <c r="A70" s="8"/>
      <c r="B70" s="8"/>
      <c r="C70" s="8"/>
      <c r="D70" s="8"/>
      <c r="E70" s="8"/>
      <c r="F70" s="8"/>
      <c r="G70" s="10" t="str">
        <f aca="false">IF($A70="","",UPPER(SUBSTITUTE(SUBSTITUTE(SUBSTITUTE(SUBSTITUTE($A70," ",""),"(주)",""),"주식회사",""),"㈜","")))</f>
        <v/>
      </c>
      <c r="H70" s="10" t="str">
        <f aca="false">IF($B70="","",SUBSTITUTE(SUBSTITUTE(SUBSTITUTE($B70,"-","")," ",""),".",""))</f>
        <v/>
      </c>
      <c r="I70" s="10" t="str">
        <f aca="false">IF($D70="","",SUBSTITUTE(SUBSTITUTE(SUBSTITUTE($D70,"-","")," ",""),".",""))</f>
        <v/>
      </c>
      <c r="J70" s="10" t="str">
        <f aca="false">IF($E70="","",UPPER(SUBSTITUTE($E70," ","")))</f>
        <v/>
      </c>
      <c r="K70" s="10" t="str">
        <f aca="false">IF($A70="","",$G70&amp;"|"&amp;$J70)</f>
        <v/>
      </c>
      <c r="L70" s="10" t="str">
        <f aca="false">IF($A70="","",ROW()-2)</f>
        <v/>
      </c>
      <c r="M70" s="10" t="str">
        <f aca="false">IF($A70="","",ROW())</f>
        <v/>
      </c>
    </row>
    <row r="71" customFormat="false" ht="15" hidden="false" customHeight="true" outlineLevel="0" collapsed="false">
      <c r="A71" s="8"/>
      <c r="B71" s="8"/>
      <c r="C71" s="8"/>
      <c r="D71" s="8"/>
      <c r="E71" s="8"/>
      <c r="F71" s="8"/>
      <c r="G71" s="10" t="str">
        <f aca="false">IF($A71="","",UPPER(SUBSTITUTE(SUBSTITUTE(SUBSTITUTE(SUBSTITUTE($A71," ",""),"(주)",""),"주식회사",""),"㈜","")))</f>
        <v/>
      </c>
      <c r="H71" s="10" t="str">
        <f aca="false">IF($B71="","",SUBSTITUTE(SUBSTITUTE(SUBSTITUTE($B71,"-","")," ",""),".",""))</f>
        <v/>
      </c>
      <c r="I71" s="10" t="str">
        <f aca="false">IF($D71="","",SUBSTITUTE(SUBSTITUTE(SUBSTITUTE($D71,"-","")," ",""),".",""))</f>
        <v/>
      </c>
      <c r="J71" s="10" t="str">
        <f aca="false">IF($E71="","",UPPER(SUBSTITUTE($E71," ","")))</f>
        <v/>
      </c>
      <c r="K71" s="10" t="str">
        <f aca="false">IF($A71="","",$G71&amp;"|"&amp;$J71)</f>
        <v/>
      </c>
      <c r="L71" s="10" t="str">
        <f aca="false">IF($A71="","",ROW()-2)</f>
        <v/>
      </c>
      <c r="M71" s="10" t="str">
        <f aca="false">IF($A71="","",ROW())</f>
        <v/>
      </c>
    </row>
    <row r="72" customFormat="false" ht="15" hidden="false" customHeight="true" outlineLevel="0" collapsed="false">
      <c r="A72" s="8"/>
      <c r="B72" s="8"/>
      <c r="C72" s="8"/>
      <c r="D72" s="8"/>
      <c r="E72" s="8"/>
      <c r="F72" s="8"/>
      <c r="G72" s="10" t="str">
        <f aca="false">IF($A72="","",UPPER(SUBSTITUTE(SUBSTITUTE(SUBSTITUTE(SUBSTITUTE($A72," ",""),"(주)",""),"주식회사",""),"㈜","")))</f>
        <v/>
      </c>
      <c r="H72" s="10" t="str">
        <f aca="false">IF($B72="","",SUBSTITUTE(SUBSTITUTE(SUBSTITUTE($B72,"-","")," ",""),".",""))</f>
        <v/>
      </c>
      <c r="I72" s="10" t="str">
        <f aca="false">IF($D72="","",SUBSTITUTE(SUBSTITUTE(SUBSTITUTE($D72,"-","")," ",""),".",""))</f>
        <v/>
      </c>
      <c r="J72" s="10" t="str">
        <f aca="false">IF($E72="","",UPPER(SUBSTITUTE($E72," ","")))</f>
        <v/>
      </c>
      <c r="K72" s="10" t="str">
        <f aca="false">IF($A72="","",$G72&amp;"|"&amp;$J72)</f>
        <v/>
      </c>
      <c r="L72" s="10" t="str">
        <f aca="false">IF($A72="","",ROW()-2)</f>
        <v/>
      </c>
      <c r="M72" s="10" t="str">
        <f aca="false">IF($A72="","",ROW())</f>
        <v/>
      </c>
    </row>
    <row r="73" customFormat="false" ht="15" hidden="false" customHeight="true" outlineLevel="0" collapsed="false">
      <c r="A73" s="8"/>
      <c r="B73" s="8"/>
      <c r="C73" s="8"/>
      <c r="D73" s="8"/>
      <c r="E73" s="8"/>
      <c r="F73" s="8"/>
      <c r="G73" s="10" t="str">
        <f aca="false">IF($A73="","",UPPER(SUBSTITUTE(SUBSTITUTE(SUBSTITUTE(SUBSTITUTE($A73," ",""),"(주)",""),"주식회사",""),"㈜","")))</f>
        <v/>
      </c>
      <c r="H73" s="10" t="str">
        <f aca="false">IF($B73="","",SUBSTITUTE(SUBSTITUTE(SUBSTITUTE($B73,"-","")," ",""),".",""))</f>
        <v/>
      </c>
      <c r="I73" s="10" t="str">
        <f aca="false">IF($D73="","",SUBSTITUTE(SUBSTITUTE(SUBSTITUTE($D73,"-","")," ",""),".",""))</f>
        <v/>
      </c>
      <c r="J73" s="10" t="str">
        <f aca="false">IF($E73="","",UPPER(SUBSTITUTE($E73," ","")))</f>
        <v/>
      </c>
      <c r="K73" s="10" t="str">
        <f aca="false">IF($A73="","",$G73&amp;"|"&amp;$J73)</f>
        <v/>
      </c>
      <c r="L73" s="10" t="str">
        <f aca="false">IF($A73="","",ROW()-2)</f>
        <v/>
      </c>
      <c r="M73" s="10" t="str">
        <f aca="false">IF($A73="","",ROW())</f>
        <v/>
      </c>
    </row>
    <row r="74" customFormat="false" ht="15" hidden="false" customHeight="true" outlineLevel="0" collapsed="false">
      <c r="A74" s="8"/>
      <c r="B74" s="8"/>
      <c r="C74" s="8"/>
      <c r="D74" s="8"/>
      <c r="E74" s="8"/>
      <c r="F74" s="8"/>
      <c r="G74" s="10" t="str">
        <f aca="false">IF($A74="","",UPPER(SUBSTITUTE(SUBSTITUTE(SUBSTITUTE(SUBSTITUTE($A74," ",""),"(주)",""),"주식회사",""),"㈜","")))</f>
        <v/>
      </c>
      <c r="H74" s="10" t="str">
        <f aca="false">IF($B74="","",SUBSTITUTE(SUBSTITUTE(SUBSTITUTE($B74,"-","")," ",""),".",""))</f>
        <v/>
      </c>
      <c r="I74" s="10" t="str">
        <f aca="false">IF($D74="","",SUBSTITUTE(SUBSTITUTE(SUBSTITUTE($D74,"-","")," ",""),".",""))</f>
        <v/>
      </c>
      <c r="J74" s="10" t="str">
        <f aca="false">IF($E74="","",UPPER(SUBSTITUTE($E74," ","")))</f>
        <v/>
      </c>
      <c r="K74" s="10" t="str">
        <f aca="false">IF($A74="","",$G74&amp;"|"&amp;$J74)</f>
        <v/>
      </c>
      <c r="L74" s="10" t="str">
        <f aca="false">IF($A74="","",ROW()-2)</f>
        <v/>
      </c>
      <c r="M74" s="10" t="str">
        <f aca="false">IF($A74="","",ROW())</f>
        <v/>
      </c>
    </row>
    <row r="75" customFormat="false" ht="15" hidden="false" customHeight="true" outlineLevel="0" collapsed="false">
      <c r="A75" s="8"/>
      <c r="B75" s="8"/>
      <c r="C75" s="8"/>
      <c r="D75" s="8"/>
      <c r="E75" s="8"/>
      <c r="F75" s="8"/>
      <c r="G75" s="10" t="str">
        <f aca="false">IF($A75="","",UPPER(SUBSTITUTE(SUBSTITUTE(SUBSTITUTE(SUBSTITUTE($A75," ",""),"(주)",""),"주식회사",""),"㈜","")))</f>
        <v/>
      </c>
      <c r="H75" s="10" t="str">
        <f aca="false">IF($B75="","",SUBSTITUTE(SUBSTITUTE(SUBSTITUTE($B75,"-","")," ",""),".",""))</f>
        <v/>
      </c>
      <c r="I75" s="10" t="str">
        <f aca="false">IF($D75="","",SUBSTITUTE(SUBSTITUTE(SUBSTITUTE($D75,"-","")," ",""),".",""))</f>
        <v/>
      </c>
      <c r="J75" s="10" t="str">
        <f aca="false">IF($E75="","",UPPER(SUBSTITUTE($E75," ","")))</f>
        <v/>
      </c>
      <c r="K75" s="10" t="str">
        <f aca="false">IF($A75="","",$G75&amp;"|"&amp;$J75)</f>
        <v/>
      </c>
      <c r="L75" s="10" t="str">
        <f aca="false">IF($A75="","",ROW()-2)</f>
        <v/>
      </c>
      <c r="M75" s="10" t="str">
        <f aca="false">IF($A75="","",ROW())</f>
        <v/>
      </c>
    </row>
    <row r="76" customFormat="false" ht="15" hidden="false" customHeight="true" outlineLevel="0" collapsed="false">
      <c r="A76" s="8"/>
      <c r="B76" s="8"/>
      <c r="C76" s="8"/>
      <c r="D76" s="8"/>
      <c r="E76" s="8"/>
      <c r="F76" s="8"/>
      <c r="G76" s="10" t="str">
        <f aca="false">IF($A76="","",UPPER(SUBSTITUTE(SUBSTITUTE(SUBSTITUTE(SUBSTITUTE($A76," ",""),"(주)",""),"주식회사",""),"㈜","")))</f>
        <v/>
      </c>
      <c r="H76" s="10" t="str">
        <f aca="false">IF($B76="","",SUBSTITUTE(SUBSTITUTE(SUBSTITUTE($B76,"-","")," ",""),".",""))</f>
        <v/>
      </c>
      <c r="I76" s="10" t="str">
        <f aca="false">IF($D76="","",SUBSTITUTE(SUBSTITUTE(SUBSTITUTE($D76,"-","")," ",""),".",""))</f>
        <v/>
      </c>
      <c r="J76" s="10" t="str">
        <f aca="false">IF($E76="","",UPPER(SUBSTITUTE($E76," ","")))</f>
        <v/>
      </c>
      <c r="K76" s="10" t="str">
        <f aca="false">IF($A76="","",$G76&amp;"|"&amp;$J76)</f>
        <v/>
      </c>
      <c r="L76" s="10" t="str">
        <f aca="false">IF($A76="","",ROW()-2)</f>
        <v/>
      </c>
      <c r="M76" s="10" t="str">
        <f aca="false">IF($A76="","",ROW())</f>
        <v/>
      </c>
    </row>
    <row r="77" customFormat="false" ht="15" hidden="false" customHeight="true" outlineLevel="0" collapsed="false">
      <c r="A77" s="8"/>
      <c r="B77" s="8"/>
      <c r="C77" s="8"/>
      <c r="D77" s="8"/>
      <c r="E77" s="8"/>
      <c r="F77" s="8"/>
      <c r="G77" s="10" t="str">
        <f aca="false">IF($A77="","",UPPER(SUBSTITUTE(SUBSTITUTE(SUBSTITUTE(SUBSTITUTE($A77," ",""),"(주)",""),"주식회사",""),"㈜","")))</f>
        <v/>
      </c>
      <c r="H77" s="10" t="str">
        <f aca="false">IF($B77="","",SUBSTITUTE(SUBSTITUTE(SUBSTITUTE($B77,"-","")," ",""),".",""))</f>
        <v/>
      </c>
      <c r="I77" s="10" t="str">
        <f aca="false">IF($D77="","",SUBSTITUTE(SUBSTITUTE(SUBSTITUTE($D77,"-","")," ",""),".",""))</f>
        <v/>
      </c>
      <c r="J77" s="10" t="str">
        <f aca="false">IF($E77="","",UPPER(SUBSTITUTE($E77," ","")))</f>
        <v/>
      </c>
      <c r="K77" s="10" t="str">
        <f aca="false">IF($A77="","",$G77&amp;"|"&amp;$J77)</f>
        <v/>
      </c>
      <c r="L77" s="10" t="str">
        <f aca="false">IF($A77="","",ROW()-2)</f>
        <v/>
      </c>
      <c r="M77" s="10" t="str">
        <f aca="false">IF($A77="","",ROW())</f>
        <v/>
      </c>
    </row>
    <row r="78" customFormat="false" ht="15" hidden="false" customHeight="true" outlineLevel="0" collapsed="false">
      <c r="A78" s="8"/>
      <c r="B78" s="8"/>
      <c r="C78" s="8"/>
      <c r="D78" s="8"/>
      <c r="E78" s="8"/>
      <c r="F78" s="8"/>
      <c r="G78" s="10" t="str">
        <f aca="false">IF($A78="","",UPPER(SUBSTITUTE(SUBSTITUTE(SUBSTITUTE(SUBSTITUTE($A78," ",""),"(주)",""),"주식회사",""),"㈜","")))</f>
        <v/>
      </c>
      <c r="H78" s="10" t="str">
        <f aca="false">IF($B78="","",SUBSTITUTE(SUBSTITUTE(SUBSTITUTE($B78,"-","")," ",""),".",""))</f>
        <v/>
      </c>
      <c r="I78" s="10" t="str">
        <f aca="false">IF($D78="","",SUBSTITUTE(SUBSTITUTE(SUBSTITUTE($D78,"-","")," ",""),".",""))</f>
        <v/>
      </c>
      <c r="J78" s="10" t="str">
        <f aca="false">IF($E78="","",UPPER(SUBSTITUTE($E78," ","")))</f>
        <v/>
      </c>
      <c r="K78" s="10" t="str">
        <f aca="false">IF($A78="","",$G78&amp;"|"&amp;$J78)</f>
        <v/>
      </c>
      <c r="L78" s="10" t="str">
        <f aca="false">IF($A78="","",ROW()-2)</f>
        <v/>
      </c>
      <c r="M78" s="10" t="str">
        <f aca="false">IF($A78="","",ROW())</f>
        <v/>
      </c>
    </row>
    <row r="79" customFormat="false" ht="15" hidden="false" customHeight="true" outlineLevel="0" collapsed="false">
      <c r="A79" s="8"/>
      <c r="B79" s="8"/>
      <c r="C79" s="8"/>
      <c r="D79" s="8"/>
      <c r="E79" s="8"/>
      <c r="F79" s="8"/>
      <c r="G79" s="10" t="str">
        <f aca="false">IF($A79="","",UPPER(SUBSTITUTE(SUBSTITUTE(SUBSTITUTE(SUBSTITUTE($A79," ",""),"(주)",""),"주식회사",""),"㈜","")))</f>
        <v/>
      </c>
      <c r="H79" s="10" t="str">
        <f aca="false">IF($B79="","",SUBSTITUTE(SUBSTITUTE(SUBSTITUTE($B79,"-","")," ",""),".",""))</f>
        <v/>
      </c>
      <c r="I79" s="10" t="str">
        <f aca="false">IF($D79="","",SUBSTITUTE(SUBSTITUTE(SUBSTITUTE($D79,"-","")," ",""),".",""))</f>
        <v/>
      </c>
      <c r="J79" s="10" t="str">
        <f aca="false">IF($E79="","",UPPER(SUBSTITUTE($E79," ","")))</f>
        <v/>
      </c>
      <c r="K79" s="10" t="str">
        <f aca="false">IF($A79="","",$G79&amp;"|"&amp;$J79)</f>
        <v/>
      </c>
      <c r="L79" s="10" t="str">
        <f aca="false">IF($A79="","",ROW()-2)</f>
        <v/>
      </c>
      <c r="M79" s="10" t="str">
        <f aca="false">IF($A79="","",ROW())</f>
        <v/>
      </c>
    </row>
    <row r="80" customFormat="false" ht="15" hidden="false" customHeight="true" outlineLevel="0" collapsed="false">
      <c r="A80" s="8"/>
      <c r="B80" s="8"/>
      <c r="C80" s="8"/>
      <c r="D80" s="8"/>
      <c r="E80" s="8"/>
      <c r="F80" s="8"/>
      <c r="G80" s="10" t="str">
        <f aca="false">IF($A80="","",UPPER(SUBSTITUTE(SUBSTITUTE(SUBSTITUTE(SUBSTITUTE($A80," ",""),"(주)",""),"주식회사",""),"㈜","")))</f>
        <v/>
      </c>
      <c r="H80" s="10" t="str">
        <f aca="false">IF($B80="","",SUBSTITUTE(SUBSTITUTE(SUBSTITUTE($B80,"-","")," ",""),".",""))</f>
        <v/>
      </c>
      <c r="I80" s="10" t="str">
        <f aca="false">IF($D80="","",SUBSTITUTE(SUBSTITUTE(SUBSTITUTE($D80,"-","")," ",""),".",""))</f>
        <v/>
      </c>
      <c r="J80" s="10" t="str">
        <f aca="false">IF($E80="","",UPPER(SUBSTITUTE($E80," ","")))</f>
        <v/>
      </c>
      <c r="K80" s="10" t="str">
        <f aca="false">IF($A80="","",$G80&amp;"|"&amp;$J80)</f>
        <v/>
      </c>
      <c r="L80" s="10" t="str">
        <f aca="false">IF($A80="","",ROW()-2)</f>
        <v/>
      </c>
      <c r="M80" s="10" t="str">
        <f aca="false">IF($A80="","",ROW())</f>
        <v/>
      </c>
    </row>
    <row r="81" customFormat="false" ht="15" hidden="false" customHeight="true" outlineLevel="0" collapsed="false">
      <c r="A81" s="8"/>
      <c r="B81" s="8"/>
      <c r="C81" s="8"/>
      <c r="D81" s="8"/>
      <c r="E81" s="8"/>
      <c r="F81" s="8"/>
      <c r="G81" s="10" t="str">
        <f aca="false">IF($A81="","",UPPER(SUBSTITUTE(SUBSTITUTE(SUBSTITUTE(SUBSTITUTE($A81," ",""),"(주)",""),"주식회사",""),"㈜","")))</f>
        <v/>
      </c>
      <c r="H81" s="10" t="str">
        <f aca="false">IF($B81="","",SUBSTITUTE(SUBSTITUTE(SUBSTITUTE($B81,"-","")," ",""),".",""))</f>
        <v/>
      </c>
      <c r="I81" s="10" t="str">
        <f aca="false">IF($D81="","",SUBSTITUTE(SUBSTITUTE(SUBSTITUTE($D81,"-","")," ",""),".",""))</f>
        <v/>
      </c>
      <c r="J81" s="10" t="str">
        <f aca="false">IF($E81="","",UPPER(SUBSTITUTE($E81," ","")))</f>
        <v/>
      </c>
      <c r="K81" s="10" t="str">
        <f aca="false">IF($A81="","",$G81&amp;"|"&amp;$J81)</f>
        <v/>
      </c>
      <c r="L81" s="10" t="str">
        <f aca="false">IF($A81="","",ROW()-2)</f>
        <v/>
      </c>
      <c r="M81" s="10" t="str">
        <f aca="false">IF($A81="","",ROW())</f>
        <v/>
      </c>
    </row>
    <row r="82" customFormat="false" ht="15" hidden="false" customHeight="true" outlineLevel="0" collapsed="false">
      <c r="A82" s="8"/>
      <c r="B82" s="8"/>
      <c r="C82" s="8"/>
      <c r="D82" s="8"/>
      <c r="E82" s="8"/>
      <c r="F82" s="8"/>
      <c r="G82" s="10" t="str">
        <f aca="false">IF($A82="","",UPPER(SUBSTITUTE(SUBSTITUTE(SUBSTITUTE(SUBSTITUTE($A82," ",""),"(주)",""),"주식회사",""),"㈜","")))</f>
        <v/>
      </c>
      <c r="H82" s="10" t="str">
        <f aca="false">IF($B82="","",SUBSTITUTE(SUBSTITUTE(SUBSTITUTE($B82,"-","")," ",""),".",""))</f>
        <v/>
      </c>
      <c r="I82" s="10" t="str">
        <f aca="false">IF($D82="","",SUBSTITUTE(SUBSTITUTE(SUBSTITUTE($D82,"-","")," ",""),".",""))</f>
        <v/>
      </c>
      <c r="J82" s="10" t="str">
        <f aca="false">IF($E82="","",UPPER(SUBSTITUTE($E82," ","")))</f>
        <v/>
      </c>
      <c r="K82" s="10" t="str">
        <f aca="false">IF($A82="","",$G82&amp;"|"&amp;$J82)</f>
        <v/>
      </c>
      <c r="L82" s="10" t="str">
        <f aca="false">IF($A82="","",ROW()-2)</f>
        <v/>
      </c>
      <c r="M82" s="10" t="str">
        <f aca="false">IF($A82="","",ROW())</f>
        <v/>
      </c>
    </row>
    <row r="83" customFormat="false" ht="15" hidden="false" customHeight="true" outlineLevel="0" collapsed="false">
      <c r="A83" s="8"/>
      <c r="B83" s="8"/>
      <c r="C83" s="8"/>
      <c r="D83" s="8"/>
      <c r="E83" s="8"/>
      <c r="F83" s="8"/>
      <c r="G83" s="10" t="str">
        <f aca="false">IF($A83="","",UPPER(SUBSTITUTE(SUBSTITUTE(SUBSTITUTE(SUBSTITUTE($A83," ",""),"(주)",""),"주식회사",""),"㈜","")))</f>
        <v/>
      </c>
      <c r="H83" s="10" t="str">
        <f aca="false">IF($B83="","",SUBSTITUTE(SUBSTITUTE(SUBSTITUTE($B83,"-","")," ",""),".",""))</f>
        <v/>
      </c>
      <c r="I83" s="10" t="str">
        <f aca="false">IF($D83="","",SUBSTITUTE(SUBSTITUTE(SUBSTITUTE($D83,"-","")," ",""),".",""))</f>
        <v/>
      </c>
      <c r="J83" s="10" t="str">
        <f aca="false">IF($E83="","",UPPER(SUBSTITUTE($E83," ","")))</f>
        <v/>
      </c>
      <c r="K83" s="10" t="str">
        <f aca="false">IF($A83="","",$G83&amp;"|"&amp;$J83)</f>
        <v/>
      </c>
      <c r="L83" s="10" t="str">
        <f aca="false">IF($A83="","",ROW()-2)</f>
        <v/>
      </c>
      <c r="M83" s="10" t="str">
        <f aca="false">IF($A83="","",ROW())</f>
        <v/>
      </c>
    </row>
    <row r="84" customFormat="false" ht="15" hidden="false" customHeight="true" outlineLevel="0" collapsed="false">
      <c r="A84" s="8"/>
      <c r="B84" s="8"/>
      <c r="C84" s="8"/>
      <c r="D84" s="8"/>
      <c r="E84" s="8"/>
      <c r="F84" s="8"/>
      <c r="G84" s="10" t="str">
        <f aca="false">IF($A84="","",UPPER(SUBSTITUTE(SUBSTITUTE(SUBSTITUTE(SUBSTITUTE($A84," ",""),"(주)",""),"주식회사",""),"㈜","")))</f>
        <v/>
      </c>
      <c r="H84" s="10" t="str">
        <f aca="false">IF($B84="","",SUBSTITUTE(SUBSTITUTE(SUBSTITUTE($B84,"-","")," ",""),".",""))</f>
        <v/>
      </c>
      <c r="I84" s="10" t="str">
        <f aca="false">IF($D84="","",SUBSTITUTE(SUBSTITUTE(SUBSTITUTE($D84,"-","")," ",""),".",""))</f>
        <v/>
      </c>
      <c r="J84" s="10" t="str">
        <f aca="false">IF($E84="","",UPPER(SUBSTITUTE($E84," ","")))</f>
        <v/>
      </c>
      <c r="K84" s="10" t="str">
        <f aca="false">IF($A84="","",$G84&amp;"|"&amp;$J84)</f>
        <v/>
      </c>
      <c r="L84" s="10" t="str">
        <f aca="false">IF($A84="","",ROW()-2)</f>
        <v/>
      </c>
      <c r="M84" s="10" t="str">
        <f aca="false">IF($A84="","",ROW())</f>
        <v/>
      </c>
    </row>
    <row r="85" customFormat="false" ht="15" hidden="false" customHeight="true" outlineLevel="0" collapsed="false">
      <c r="A85" s="8"/>
      <c r="B85" s="8"/>
      <c r="C85" s="8"/>
      <c r="D85" s="8"/>
      <c r="E85" s="8"/>
      <c r="F85" s="8"/>
      <c r="G85" s="10" t="str">
        <f aca="false">IF($A85="","",UPPER(SUBSTITUTE(SUBSTITUTE(SUBSTITUTE(SUBSTITUTE($A85," ",""),"(주)",""),"주식회사",""),"㈜","")))</f>
        <v/>
      </c>
      <c r="H85" s="10" t="str">
        <f aca="false">IF($B85="","",SUBSTITUTE(SUBSTITUTE(SUBSTITUTE($B85,"-","")," ",""),".",""))</f>
        <v/>
      </c>
      <c r="I85" s="10" t="str">
        <f aca="false">IF($D85="","",SUBSTITUTE(SUBSTITUTE(SUBSTITUTE($D85,"-","")," ",""),".",""))</f>
        <v/>
      </c>
      <c r="J85" s="10" t="str">
        <f aca="false">IF($E85="","",UPPER(SUBSTITUTE($E85," ","")))</f>
        <v/>
      </c>
      <c r="K85" s="10" t="str">
        <f aca="false">IF($A85="","",$G85&amp;"|"&amp;$J85)</f>
        <v/>
      </c>
      <c r="L85" s="10" t="str">
        <f aca="false">IF($A85="","",ROW()-2)</f>
        <v/>
      </c>
      <c r="M85" s="10" t="str">
        <f aca="false">IF($A85="","",ROW())</f>
        <v/>
      </c>
    </row>
    <row r="86" customFormat="false" ht="15" hidden="false" customHeight="true" outlineLevel="0" collapsed="false">
      <c r="A86" s="8"/>
      <c r="B86" s="8"/>
      <c r="C86" s="8"/>
      <c r="D86" s="8"/>
      <c r="E86" s="8"/>
      <c r="F86" s="8"/>
      <c r="G86" s="10" t="str">
        <f aca="false">IF($A86="","",UPPER(SUBSTITUTE(SUBSTITUTE(SUBSTITUTE(SUBSTITUTE($A86," ",""),"(주)",""),"주식회사",""),"㈜","")))</f>
        <v/>
      </c>
      <c r="H86" s="10" t="str">
        <f aca="false">IF($B86="","",SUBSTITUTE(SUBSTITUTE(SUBSTITUTE($B86,"-","")," ",""),".",""))</f>
        <v/>
      </c>
      <c r="I86" s="10" t="str">
        <f aca="false">IF($D86="","",SUBSTITUTE(SUBSTITUTE(SUBSTITUTE($D86,"-","")," ",""),".",""))</f>
        <v/>
      </c>
      <c r="J86" s="10" t="str">
        <f aca="false">IF($E86="","",UPPER(SUBSTITUTE($E86," ","")))</f>
        <v/>
      </c>
      <c r="K86" s="10" t="str">
        <f aca="false">IF($A86="","",$G86&amp;"|"&amp;$J86)</f>
        <v/>
      </c>
      <c r="L86" s="10" t="str">
        <f aca="false">IF($A86="","",ROW()-2)</f>
        <v/>
      </c>
      <c r="M86" s="10" t="str">
        <f aca="false">IF($A86="","",ROW())</f>
        <v/>
      </c>
    </row>
    <row r="87" customFormat="false" ht="15" hidden="false" customHeight="true" outlineLevel="0" collapsed="false">
      <c r="A87" s="8"/>
      <c r="B87" s="8"/>
      <c r="C87" s="8"/>
      <c r="D87" s="8"/>
      <c r="E87" s="8"/>
      <c r="F87" s="8"/>
      <c r="G87" s="10" t="str">
        <f aca="false">IF($A87="","",UPPER(SUBSTITUTE(SUBSTITUTE(SUBSTITUTE(SUBSTITUTE($A87," ",""),"(주)",""),"주식회사",""),"㈜","")))</f>
        <v/>
      </c>
      <c r="H87" s="10" t="str">
        <f aca="false">IF($B87="","",SUBSTITUTE(SUBSTITUTE(SUBSTITUTE($B87,"-","")," ",""),".",""))</f>
        <v/>
      </c>
      <c r="I87" s="10" t="str">
        <f aca="false">IF($D87="","",SUBSTITUTE(SUBSTITUTE(SUBSTITUTE($D87,"-","")," ",""),".",""))</f>
        <v/>
      </c>
      <c r="J87" s="10" t="str">
        <f aca="false">IF($E87="","",UPPER(SUBSTITUTE($E87," ","")))</f>
        <v/>
      </c>
      <c r="K87" s="10" t="str">
        <f aca="false">IF($A87="","",$G87&amp;"|"&amp;$J87)</f>
        <v/>
      </c>
      <c r="L87" s="10" t="str">
        <f aca="false">IF($A87="","",ROW()-2)</f>
        <v/>
      </c>
      <c r="M87" s="10" t="str">
        <f aca="false">IF($A87="","",ROW())</f>
        <v/>
      </c>
    </row>
    <row r="88" customFormat="false" ht="15" hidden="false" customHeight="true" outlineLevel="0" collapsed="false">
      <c r="A88" s="8"/>
      <c r="B88" s="8"/>
      <c r="C88" s="8"/>
      <c r="D88" s="8"/>
      <c r="E88" s="8"/>
      <c r="F88" s="8"/>
      <c r="G88" s="10" t="str">
        <f aca="false">IF($A88="","",UPPER(SUBSTITUTE(SUBSTITUTE(SUBSTITUTE(SUBSTITUTE($A88," ",""),"(주)",""),"주식회사",""),"㈜","")))</f>
        <v/>
      </c>
      <c r="H88" s="10" t="str">
        <f aca="false">IF($B88="","",SUBSTITUTE(SUBSTITUTE(SUBSTITUTE($B88,"-","")," ",""),".",""))</f>
        <v/>
      </c>
      <c r="I88" s="10" t="str">
        <f aca="false">IF($D88="","",SUBSTITUTE(SUBSTITUTE(SUBSTITUTE($D88,"-","")," ",""),".",""))</f>
        <v/>
      </c>
      <c r="J88" s="10" t="str">
        <f aca="false">IF($E88="","",UPPER(SUBSTITUTE($E88," ","")))</f>
        <v/>
      </c>
      <c r="K88" s="10" t="str">
        <f aca="false">IF($A88="","",$G88&amp;"|"&amp;$J88)</f>
        <v/>
      </c>
      <c r="L88" s="10" t="str">
        <f aca="false">IF($A88="","",ROW()-2)</f>
        <v/>
      </c>
      <c r="M88" s="10" t="str">
        <f aca="false">IF($A88="","",ROW())</f>
        <v/>
      </c>
    </row>
    <row r="89" customFormat="false" ht="15" hidden="false" customHeight="true" outlineLevel="0" collapsed="false">
      <c r="A89" s="8"/>
      <c r="B89" s="8"/>
      <c r="C89" s="8"/>
      <c r="D89" s="8"/>
      <c r="E89" s="8"/>
      <c r="F89" s="8"/>
      <c r="G89" s="10" t="str">
        <f aca="false">IF($A89="","",UPPER(SUBSTITUTE(SUBSTITUTE(SUBSTITUTE(SUBSTITUTE($A89," ",""),"(주)",""),"주식회사",""),"㈜","")))</f>
        <v/>
      </c>
      <c r="H89" s="10" t="str">
        <f aca="false">IF($B89="","",SUBSTITUTE(SUBSTITUTE(SUBSTITUTE($B89,"-","")," ",""),".",""))</f>
        <v/>
      </c>
      <c r="I89" s="10" t="str">
        <f aca="false">IF($D89="","",SUBSTITUTE(SUBSTITUTE(SUBSTITUTE($D89,"-","")," ",""),".",""))</f>
        <v/>
      </c>
      <c r="J89" s="10" t="str">
        <f aca="false">IF($E89="","",UPPER(SUBSTITUTE($E89," ","")))</f>
        <v/>
      </c>
      <c r="K89" s="10" t="str">
        <f aca="false">IF($A89="","",$G89&amp;"|"&amp;$J89)</f>
        <v/>
      </c>
      <c r="L89" s="10" t="str">
        <f aca="false">IF($A89="","",ROW()-2)</f>
        <v/>
      </c>
      <c r="M89" s="10" t="str">
        <f aca="false">IF($A89="","",ROW())</f>
        <v/>
      </c>
    </row>
    <row r="90" customFormat="false" ht="15" hidden="false" customHeight="true" outlineLevel="0" collapsed="false">
      <c r="A90" s="8"/>
      <c r="B90" s="8"/>
      <c r="C90" s="8"/>
      <c r="D90" s="8"/>
      <c r="E90" s="8"/>
      <c r="F90" s="8"/>
      <c r="G90" s="10" t="str">
        <f aca="false">IF($A90="","",UPPER(SUBSTITUTE(SUBSTITUTE(SUBSTITUTE(SUBSTITUTE($A90," ",""),"(주)",""),"주식회사",""),"㈜","")))</f>
        <v/>
      </c>
      <c r="H90" s="10" t="str">
        <f aca="false">IF($B90="","",SUBSTITUTE(SUBSTITUTE(SUBSTITUTE($B90,"-","")," ",""),".",""))</f>
        <v/>
      </c>
      <c r="I90" s="10" t="str">
        <f aca="false">IF($D90="","",SUBSTITUTE(SUBSTITUTE(SUBSTITUTE($D90,"-","")," ",""),".",""))</f>
        <v/>
      </c>
      <c r="J90" s="10" t="str">
        <f aca="false">IF($E90="","",UPPER(SUBSTITUTE($E90," ","")))</f>
        <v/>
      </c>
      <c r="K90" s="10" t="str">
        <f aca="false">IF($A90="","",$G90&amp;"|"&amp;$J90)</f>
        <v/>
      </c>
      <c r="L90" s="10" t="str">
        <f aca="false">IF($A90="","",ROW()-2)</f>
        <v/>
      </c>
      <c r="M90" s="10" t="str">
        <f aca="false">IF($A90="","",ROW())</f>
        <v/>
      </c>
    </row>
    <row r="91" customFormat="false" ht="15" hidden="false" customHeight="true" outlineLevel="0" collapsed="false">
      <c r="A91" s="8"/>
      <c r="B91" s="8"/>
      <c r="C91" s="8"/>
      <c r="D91" s="8"/>
      <c r="E91" s="8"/>
      <c r="F91" s="8"/>
      <c r="G91" s="10" t="str">
        <f aca="false">IF($A91="","",UPPER(SUBSTITUTE(SUBSTITUTE(SUBSTITUTE(SUBSTITUTE($A91," ",""),"(주)",""),"주식회사",""),"㈜","")))</f>
        <v/>
      </c>
      <c r="H91" s="10" t="str">
        <f aca="false">IF($B91="","",SUBSTITUTE(SUBSTITUTE(SUBSTITUTE($B91,"-","")," ",""),".",""))</f>
        <v/>
      </c>
      <c r="I91" s="10" t="str">
        <f aca="false">IF($D91="","",SUBSTITUTE(SUBSTITUTE(SUBSTITUTE($D91,"-","")," ",""),".",""))</f>
        <v/>
      </c>
      <c r="J91" s="10" t="str">
        <f aca="false">IF($E91="","",UPPER(SUBSTITUTE($E91," ","")))</f>
        <v/>
      </c>
      <c r="K91" s="10" t="str">
        <f aca="false">IF($A91="","",$G91&amp;"|"&amp;$J91)</f>
        <v/>
      </c>
      <c r="L91" s="10" t="str">
        <f aca="false">IF($A91="","",ROW()-2)</f>
        <v/>
      </c>
      <c r="M91" s="10" t="str">
        <f aca="false">IF($A91="","",ROW())</f>
        <v/>
      </c>
    </row>
    <row r="92" customFormat="false" ht="15" hidden="false" customHeight="true" outlineLevel="0" collapsed="false">
      <c r="A92" s="8"/>
      <c r="B92" s="8"/>
      <c r="C92" s="8"/>
      <c r="D92" s="8"/>
      <c r="E92" s="8"/>
      <c r="F92" s="8"/>
      <c r="G92" s="10" t="str">
        <f aca="false">IF($A92="","",UPPER(SUBSTITUTE(SUBSTITUTE(SUBSTITUTE(SUBSTITUTE($A92," ",""),"(주)",""),"주식회사",""),"㈜","")))</f>
        <v/>
      </c>
      <c r="H92" s="10" t="str">
        <f aca="false">IF($B92="","",SUBSTITUTE(SUBSTITUTE(SUBSTITUTE($B92,"-","")," ",""),".",""))</f>
        <v/>
      </c>
      <c r="I92" s="10" t="str">
        <f aca="false">IF($D92="","",SUBSTITUTE(SUBSTITUTE(SUBSTITUTE($D92,"-","")," ",""),".",""))</f>
        <v/>
      </c>
      <c r="J92" s="10" t="str">
        <f aca="false">IF($E92="","",UPPER(SUBSTITUTE($E92," ","")))</f>
        <v/>
      </c>
      <c r="K92" s="10" t="str">
        <f aca="false">IF($A92="","",$G92&amp;"|"&amp;$J92)</f>
        <v/>
      </c>
      <c r="L92" s="10" t="str">
        <f aca="false">IF($A92="","",ROW()-2)</f>
        <v/>
      </c>
      <c r="M92" s="10" t="str">
        <f aca="false">IF($A92="","",ROW())</f>
        <v/>
      </c>
    </row>
    <row r="93" customFormat="false" ht="15" hidden="false" customHeight="true" outlineLevel="0" collapsed="false">
      <c r="A93" s="8"/>
      <c r="B93" s="8"/>
      <c r="C93" s="8"/>
      <c r="D93" s="8"/>
      <c r="E93" s="8"/>
      <c r="F93" s="8"/>
      <c r="G93" s="10" t="str">
        <f aca="false">IF($A93="","",UPPER(SUBSTITUTE(SUBSTITUTE(SUBSTITUTE(SUBSTITUTE($A93," ",""),"(주)",""),"주식회사",""),"㈜","")))</f>
        <v/>
      </c>
      <c r="H93" s="10" t="str">
        <f aca="false">IF($B93="","",SUBSTITUTE(SUBSTITUTE(SUBSTITUTE($B93,"-","")," ",""),".",""))</f>
        <v/>
      </c>
      <c r="I93" s="10" t="str">
        <f aca="false">IF($D93="","",SUBSTITUTE(SUBSTITUTE(SUBSTITUTE($D93,"-","")," ",""),".",""))</f>
        <v/>
      </c>
      <c r="J93" s="10" t="str">
        <f aca="false">IF($E93="","",UPPER(SUBSTITUTE($E93," ","")))</f>
        <v/>
      </c>
      <c r="K93" s="10" t="str">
        <f aca="false">IF($A93="","",$G93&amp;"|"&amp;$J93)</f>
        <v/>
      </c>
      <c r="L93" s="10" t="str">
        <f aca="false">IF($A93="","",ROW()-2)</f>
        <v/>
      </c>
      <c r="M93" s="10" t="str">
        <f aca="false">IF($A93="","",ROW())</f>
        <v/>
      </c>
    </row>
    <row r="94" customFormat="false" ht="15" hidden="false" customHeight="true" outlineLevel="0" collapsed="false">
      <c r="A94" s="8"/>
      <c r="B94" s="8"/>
      <c r="C94" s="8"/>
      <c r="D94" s="8"/>
      <c r="E94" s="8"/>
      <c r="F94" s="8"/>
      <c r="G94" s="10" t="str">
        <f aca="false">IF($A94="","",UPPER(SUBSTITUTE(SUBSTITUTE(SUBSTITUTE(SUBSTITUTE($A94," ",""),"(주)",""),"주식회사",""),"㈜","")))</f>
        <v/>
      </c>
      <c r="H94" s="10" t="str">
        <f aca="false">IF($B94="","",SUBSTITUTE(SUBSTITUTE(SUBSTITUTE($B94,"-","")," ",""),".",""))</f>
        <v/>
      </c>
      <c r="I94" s="10" t="str">
        <f aca="false">IF($D94="","",SUBSTITUTE(SUBSTITUTE(SUBSTITUTE($D94,"-","")," ",""),".",""))</f>
        <v/>
      </c>
      <c r="J94" s="10" t="str">
        <f aca="false">IF($E94="","",UPPER(SUBSTITUTE($E94," ","")))</f>
        <v/>
      </c>
      <c r="K94" s="10" t="str">
        <f aca="false">IF($A94="","",$G94&amp;"|"&amp;$J94)</f>
        <v/>
      </c>
      <c r="L94" s="10" t="str">
        <f aca="false">IF($A94="","",ROW()-2)</f>
        <v/>
      </c>
      <c r="M94" s="10" t="str">
        <f aca="false">IF($A94="","",ROW())</f>
        <v/>
      </c>
    </row>
    <row r="95" customFormat="false" ht="15" hidden="false" customHeight="true" outlineLevel="0" collapsed="false">
      <c r="A95" s="8"/>
      <c r="B95" s="8"/>
      <c r="C95" s="8"/>
      <c r="D95" s="8"/>
      <c r="E95" s="8"/>
      <c r="F95" s="8"/>
      <c r="G95" s="10" t="str">
        <f aca="false">IF($A95="","",UPPER(SUBSTITUTE(SUBSTITUTE(SUBSTITUTE(SUBSTITUTE($A95," ",""),"(주)",""),"주식회사",""),"㈜","")))</f>
        <v/>
      </c>
      <c r="H95" s="10" t="str">
        <f aca="false">IF($B95="","",SUBSTITUTE(SUBSTITUTE(SUBSTITUTE($B95,"-","")," ",""),".",""))</f>
        <v/>
      </c>
      <c r="I95" s="10" t="str">
        <f aca="false">IF($D95="","",SUBSTITUTE(SUBSTITUTE(SUBSTITUTE($D95,"-","")," ",""),".",""))</f>
        <v/>
      </c>
      <c r="J95" s="10" t="str">
        <f aca="false">IF($E95="","",UPPER(SUBSTITUTE($E95," ","")))</f>
        <v/>
      </c>
      <c r="K95" s="10" t="str">
        <f aca="false">IF($A95="","",$G95&amp;"|"&amp;$J95)</f>
        <v/>
      </c>
      <c r="L95" s="10" t="str">
        <f aca="false">IF($A95="","",ROW()-2)</f>
        <v/>
      </c>
      <c r="M95" s="10" t="str">
        <f aca="false">IF($A95="","",ROW())</f>
        <v/>
      </c>
    </row>
    <row r="96" customFormat="false" ht="15" hidden="false" customHeight="true" outlineLevel="0" collapsed="false">
      <c r="A96" s="8"/>
      <c r="B96" s="8"/>
      <c r="C96" s="8"/>
      <c r="D96" s="8"/>
      <c r="E96" s="8"/>
      <c r="F96" s="8"/>
      <c r="G96" s="10" t="str">
        <f aca="false">IF($A96="","",UPPER(SUBSTITUTE(SUBSTITUTE(SUBSTITUTE(SUBSTITUTE($A96," ",""),"(주)",""),"주식회사",""),"㈜","")))</f>
        <v/>
      </c>
      <c r="H96" s="10" t="str">
        <f aca="false">IF($B96="","",SUBSTITUTE(SUBSTITUTE(SUBSTITUTE($B96,"-","")," ",""),".",""))</f>
        <v/>
      </c>
      <c r="I96" s="10" t="str">
        <f aca="false">IF($D96="","",SUBSTITUTE(SUBSTITUTE(SUBSTITUTE($D96,"-","")," ",""),".",""))</f>
        <v/>
      </c>
      <c r="J96" s="10" t="str">
        <f aca="false">IF($E96="","",UPPER(SUBSTITUTE($E96," ","")))</f>
        <v/>
      </c>
      <c r="K96" s="10" t="str">
        <f aca="false">IF($A96="","",$G96&amp;"|"&amp;$J96)</f>
        <v/>
      </c>
      <c r="L96" s="10" t="str">
        <f aca="false">IF($A96="","",ROW()-2)</f>
        <v/>
      </c>
      <c r="M96" s="10" t="str">
        <f aca="false">IF($A96="","",ROW())</f>
        <v/>
      </c>
    </row>
    <row r="97" customFormat="false" ht="15" hidden="false" customHeight="true" outlineLevel="0" collapsed="false">
      <c r="A97" s="8"/>
      <c r="B97" s="8"/>
      <c r="C97" s="8"/>
      <c r="D97" s="8"/>
      <c r="E97" s="8"/>
      <c r="F97" s="8"/>
      <c r="G97" s="10" t="str">
        <f aca="false">IF($A97="","",UPPER(SUBSTITUTE(SUBSTITUTE(SUBSTITUTE(SUBSTITUTE($A97," ",""),"(주)",""),"주식회사",""),"㈜","")))</f>
        <v/>
      </c>
      <c r="H97" s="10" t="str">
        <f aca="false">IF($B97="","",SUBSTITUTE(SUBSTITUTE(SUBSTITUTE($B97,"-","")," ",""),".",""))</f>
        <v/>
      </c>
      <c r="I97" s="10" t="str">
        <f aca="false">IF($D97="","",SUBSTITUTE(SUBSTITUTE(SUBSTITUTE($D97,"-","")," ",""),".",""))</f>
        <v/>
      </c>
      <c r="J97" s="10" t="str">
        <f aca="false">IF($E97="","",UPPER(SUBSTITUTE($E97," ","")))</f>
        <v/>
      </c>
      <c r="K97" s="10" t="str">
        <f aca="false">IF($A97="","",$G97&amp;"|"&amp;$J97)</f>
        <v/>
      </c>
      <c r="L97" s="10" t="str">
        <f aca="false">IF($A97="","",ROW()-2)</f>
        <v/>
      </c>
      <c r="M97" s="10" t="str">
        <f aca="false">IF($A97="","",ROW())</f>
        <v/>
      </c>
    </row>
    <row r="98" customFormat="false" ht="15" hidden="false" customHeight="true" outlineLevel="0" collapsed="false">
      <c r="A98" s="8"/>
      <c r="B98" s="8"/>
      <c r="C98" s="8"/>
      <c r="D98" s="8"/>
      <c r="E98" s="8"/>
      <c r="F98" s="8"/>
      <c r="G98" s="10" t="str">
        <f aca="false">IF($A98="","",UPPER(SUBSTITUTE(SUBSTITUTE(SUBSTITUTE(SUBSTITUTE($A98," ",""),"(주)",""),"주식회사",""),"㈜","")))</f>
        <v/>
      </c>
      <c r="H98" s="10" t="str">
        <f aca="false">IF($B98="","",SUBSTITUTE(SUBSTITUTE(SUBSTITUTE($B98,"-","")," ",""),".",""))</f>
        <v/>
      </c>
      <c r="I98" s="10" t="str">
        <f aca="false">IF($D98="","",SUBSTITUTE(SUBSTITUTE(SUBSTITUTE($D98,"-","")," ",""),".",""))</f>
        <v/>
      </c>
      <c r="J98" s="10" t="str">
        <f aca="false">IF($E98="","",UPPER(SUBSTITUTE($E98," ","")))</f>
        <v/>
      </c>
      <c r="K98" s="10" t="str">
        <f aca="false">IF($A98="","",$G98&amp;"|"&amp;$J98)</f>
        <v/>
      </c>
      <c r="L98" s="10" t="str">
        <f aca="false">IF($A98="","",ROW()-2)</f>
        <v/>
      </c>
      <c r="M98" s="10" t="str">
        <f aca="false">IF($A98="","",ROW())</f>
        <v/>
      </c>
    </row>
    <row r="99" customFormat="false" ht="15" hidden="false" customHeight="true" outlineLevel="0" collapsed="false">
      <c r="A99" s="8"/>
      <c r="B99" s="8"/>
      <c r="C99" s="8"/>
      <c r="D99" s="8"/>
      <c r="E99" s="8"/>
      <c r="F99" s="8"/>
      <c r="G99" s="10" t="str">
        <f aca="false">IF($A99="","",UPPER(SUBSTITUTE(SUBSTITUTE(SUBSTITUTE(SUBSTITUTE($A99," ",""),"(주)",""),"주식회사",""),"㈜","")))</f>
        <v/>
      </c>
      <c r="H99" s="10" t="str">
        <f aca="false">IF($B99="","",SUBSTITUTE(SUBSTITUTE(SUBSTITUTE($B99,"-","")," ",""),".",""))</f>
        <v/>
      </c>
      <c r="I99" s="10" t="str">
        <f aca="false">IF($D99="","",SUBSTITUTE(SUBSTITUTE(SUBSTITUTE($D99,"-","")," ",""),".",""))</f>
        <v/>
      </c>
      <c r="J99" s="10" t="str">
        <f aca="false">IF($E99="","",UPPER(SUBSTITUTE($E99," ","")))</f>
        <v/>
      </c>
      <c r="K99" s="10" t="str">
        <f aca="false">IF($A99="","",$G99&amp;"|"&amp;$J99)</f>
        <v/>
      </c>
      <c r="L99" s="10" t="str">
        <f aca="false">IF($A99="","",ROW()-2)</f>
        <v/>
      </c>
      <c r="M99" s="10" t="str">
        <f aca="false">IF($A99="","",ROW())</f>
        <v/>
      </c>
    </row>
    <row r="100" customFormat="false" ht="15" hidden="false" customHeight="true" outlineLevel="0" collapsed="false">
      <c r="A100" s="8"/>
      <c r="B100" s="8"/>
      <c r="C100" s="8"/>
      <c r="D100" s="8"/>
      <c r="E100" s="8"/>
      <c r="F100" s="8"/>
      <c r="G100" s="10" t="str">
        <f aca="false">IF($A100="","",UPPER(SUBSTITUTE(SUBSTITUTE(SUBSTITUTE(SUBSTITUTE($A100," ",""),"(주)",""),"주식회사",""),"㈜","")))</f>
        <v/>
      </c>
      <c r="H100" s="10" t="str">
        <f aca="false">IF($B100="","",SUBSTITUTE(SUBSTITUTE(SUBSTITUTE($B100,"-","")," ",""),".",""))</f>
        <v/>
      </c>
      <c r="I100" s="10" t="str">
        <f aca="false">IF($D100="","",SUBSTITUTE(SUBSTITUTE(SUBSTITUTE($D100,"-","")," ",""),".",""))</f>
        <v/>
      </c>
      <c r="J100" s="10" t="str">
        <f aca="false">IF($E100="","",UPPER(SUBSTITUTE($E100," ","")))</f>
        <v/>
      </c>
      <c r="K100" s="10" t="str">
        <f aca="false">IF($A100="","",$G100&amp;"|"&amp;$J100)</f>
        <v/>
      </c>
      <c r="L100" s="10" t="str">
        <f aca="false">IF($A100="","",ROW()-2)</f>
        <v/>
      </c>
      <c r="M100" s="10" t="str">
        <f aca="false">IF($A100="","",ROW())</f>
        <v/>
      </c>
    </row>
    <row r="101" customFormat="false" ht="15" hidden="false" customHeight="true" outlineLevel="0" collapsed="false">
      <c r="A101" s="8"/>
      <c r="B101" s="8"/>
      <c r="C101" s="8"/>
      <c r="D101" s="8"/>
      <c r="E101" s="8"/>
      <c r="F101" s="8"/>
      <c r="G101" s="10" t="str">
        <f aca="false">IF($A101="","",UPPER(SUBSTITUTE(SUBSTITUTE(SUBSTITUTE(SUBSTITUTE($A101," ",""),"(주)",""),"주식회사",""),"㈜","")))</f>
        <v/>
      </c>
      <c r="H101" s="10" t="str">
        <f aca="false">IF($B101="","",SUBSTITUTE(SUBSTITUTE(SUBSTITUTE($B101,"-","")," ",""),".",""))</f>
        <v/>
      </c>
      <c r="I101" s="10" t="str">
        <f aca="false">IF($D101="","",SUBSTITUTE(SUBSTITUTE(SUBSTITUTE($D101,"-","")," ",""),".",""))</f>
        <v/>
      </c>
      <c r="J101" s="10" t="str">
        <f aca="false">IF($E101="","",UPPER(SUBSTITUTE($E101," ","")))</f>
        <v/>
      </c>
      <c r="K101" s="10" t="str">
        <f aca="false">IF($A101="","",$G101&amp;"|"&amp;$J101)</f>
        <v/>
      </c>
      <c r="L101" s="10" t="str">
        <f aca="false">IF($A101="","",ROW()-2)</f>
        <v/>
      </c>
      <c r="M101" s="10" t="str">
        <f aca="false">IF($A101="","",ROW())</f>
        <v/>
      </c>
    </row>
    <row r="102" customFormat="false" ht="15" hidden="false" customHeight="true" outlineLevel="0" collapsed="false">
      <c r="A102" s="8"/>
      <c r="B102" s="8"/>
      <c r="C102" s="8"/>
      <c r="D102" s="8"/>
      <c r="E102" s="8"/>
      <c r="F102" s="8"/>
      <c r="G102" s="10" t="str">
        <f aca="false">IF($A102="","",UPPER(SUBSTITUTE(SUBSTITUTE(SUBSTITUTE(SUBSTITUTE($A102," ",""),"(주)",""),"주식회사",""),"㈜","")))</f>
        <v/>
      </c>
      <c r="H102" s="10" t="str">
        <f aca="false">IF($B102="","",SUBSTITUTE(SUBSTITUTE(SUBSTITUTE($B102,"-","")," ",""),".",""))</f>
        <v/>
      </c>
      <c r="I102" s="10" t="str">
        <f aca="false">IF($D102="","",SUBSTITUTE(SUBSTITUTE(SUBSTITUTE($D102,"-","")," ",""),".",""))</f>
        <v/>
      </c>
      <c r="J102" s="10" t="str">
        <f aca="false">IF($E102="","",UPPER(SUBSTITUTE($E102," ","")))</f>
        <v/>
      </c>
      <c r="K102" s="10" t="str">
        <f aca="false">IF($A102="","",$G102&amp;"|"&amp;$J102)</f>
        <v/>
      </c>
      <c r="L102" s="10" t="str">
        <f aca="false">IF($A102="","",ROW()-2)</f>
        <v/>
      </c>
      <c r="M102" s="10" t="str">
        <f aca="false">IF($A102="","",ROW())</f>
        <v/>
      </c>
    </row>
    <row r="103" customFormat="false" ht="15" hidden="false" customHeight="true" outlineLevel="0" collapsed="false">
      <c r="A103" s="8"/>
      <c r="B103" s="8"/>
      <c r="C103" s="8"/>
      <c r="D103" s="8"/>
      <c r="E103" s="8"/>
      <c r="F103" s="8"/>
      <c r="G103" s="10" t="str">
        <f aca="false">IF($A103="","",UPPER(SUBSTITUTE(SUBSTITUTE(SUBSTITUTE(SUBSTITUTE($A103," ",""),"(주)",""),"주식회사",""),"㈜","")))</f>
        <v/>
      </c>
      <c r="H103" s="10" t="str">
        <f aca="false">IF($B103="","",SUBSTITUTE(SUBSTITUTE(SUBSTITUTE($B103,"-","")," ",""),".",""))</f>
        <v/>
      </c>
      <c r="I103" s="10" t="str">
        <f aca="false">IF($D103="","",SUBSTITUTE(SUBSTITUTE(SUBSTITUTE($D103,"-","")," ",""),".",""))</f>
        <v/>
      </c>
      <c r="J103" s="10" t="str">
        <f aca="false">IF($E103="","",UPPER(SUBSTITUTE($E103," ","")))</f>
        <v/>
      </c>
      <c r="K103" s="10" t="str">
        <f aca="false">IF($A103="","",$G103&amp;"|"&amp;$J103)</f>
        <v/>
      </c>
      <c r="L103" s="10" t="str">
        <f aca="false">IF($A103="","",ROW()-2)</f>
        <v/>
      </c>
      <c r="M103" s="10" t="str">
        <f aca="false">IF($A103="","",ROW())</f>
        <v/>
      </c>
    </row>
    <row r="104" customFormat="false" ht="15" hidden="false" customHeight="true" outlineLevel="0" collapsed="false">
      <c r="A104" s="8"/>
      <c r="B104" s="8"/>
      <c r="C104" s="8"/>
      <c r="D104" s="8"/>
      <c r="E104" s="8"/>
      <c r="F104" s="8"/>
      <c r="G104" s="10" t="str">
        <f aca="false">IF($A104="","",UPPER(SUBSTITUTE(SUBSTITUTE(SUBSTITUTE(SUBSTITUTE($A104," ",""),"(주)",""),"주식회사",""),"㈜","")))</f>
        <v/>
      </c>
      <c r="H104" s="10" t="str">
        <f aca="false">IF($B104="","",SUBSTITUTE(SUBSTITUTE(SUBSTITUTE($B104,"-","")," ",""),".",""))</f>
        <v/>
      </c>
      <c r="I104" s="10" t="str">
        <f aca="false">IF($D104="","",SUBSTITUTE(SUBSTITUTE(SUBSTITUTE($D104,"-","")," ",""),".",""))</f>
        <v/>
      </c>
      <c r="J104" s="10" t="str">
        <f aca="false">IF($E104="","",UPPER(SUBSTITUTE($E104," ","")))</f>
        <v/>
      </c>
      <c r="K104" s="10" t="str">
        <f aca="false">IF($A104="","",$G104&amp;"|"&amp;$J104)</f>
        <v/>
      </c>
      <c r="L104" s="10" t="str">
        <f aca="false">IF($A104="","",ROW()-2)</f>
        <v/>
      </c>
      <c r="M104" s="10" t="str">
        <f aca="false">IF($A104="","",ROW())</f>
        <v/>
      </c>
    </row>
    <row r="105" customFormat="false" ht="15" hidden="false" customHeight="true" outlineLevel="0" collapsed="false">
      <c r="A105" s="8"/>
      <c r="B105" s="8"/>
      <c r="C105" s="8"/>
      <c r="D105" s="8"/>
      <c r="E105" s="8"/>
      <c r="F105" s="8"/>
      <c r="G105" s="10" t="str">
        <f aca="false">IF($A105="","",UPPER(SUBSTITUTE(SUBSTITUTE(SUBSTITUTE(SUBSTITUTE($A105," ",""),"(주)",""),"주식회사",""),"㈜","")))</f>
        <v/>
      </c>
      <c r="H105" s="10" t="str">
        <f aca="false">IF($B105="","",SUBSTITUTE(SUBSTITUTE(SUBSTITUTE($B105,"-","")," ",""),".",""))</f>
        <v/>
      </c>
      <c r="I105" s="10" t="str">
        <f aca="false">IF($D105="","",SUBSTITUTE(SUBSTITUTE(SUBSTITUTE($D105,"-","")," ",""),".",""))</f>
        <v/>
      </c>
      <c r="J105" s="10" t="str">
        <f aca="false">IF($E105="","",UPPER(SUBSTITUTE($E105," ","")))</f>
        <v/>
      </c>
      <c r="K105" s="10" t="str">
        <f aca="false">IF($A105="","",$G105&amp;"|"&amp;$J105)</f>
        <v/>
      </c>
      <c r="L105" s="10" t="str">
        <f aca="false">IF($A105="","",ROW()-2)</f>
        <v/>
      </c>
      <c r="M105" s="10" t="str">
        <f aca="false">IF($A105="","",ROW())</f>
        <v/>
      </c>
    </row>
    <row r="106" customFormat="false" ht="15" hidden="false" customHeight="true" outlineLevel="0" collapsed="false">
      <c r="A106" s="8"/>
      <c r="B106" s="8"/>
      <c r="C106" s="8"/>
      <c r="D106" s="8"/>
      <c r="E106" s="8"/>
      <c r="F106" s="8"/>
      <c r="G106" s="10" t="str">
        <f aca="false">IF($A106="","",UPPER(SUBSTITUTE(SUBSTITUTE(SUBSTITUTE(SUBSTITUTE($A106," ",""),"(주)",""),"주식회사",""),"㈜","")))</f>
        <v/>
      </c>
      <c r="H106" s="10" t="str">
        <f aca="false">IF($B106="","",SUBSTITUTE(SUBSTITUTE(SUBSTITUTE($B106,"-","")," ",""),".",""))</f>
        <v/>
      </c>
      <c r="I106" s="10" t="str">
        <f aca="false">IF($D106="","",SUBSTITUTE(SUBSTITUTE(SUBSTITUTE($D106,"-","")," ",""),".",""))</f>
        <v/>
      </c>
      <c r="J106" s="10" t="str">
        <f aca="false">IF($E106="","",UPPER(SUBSTITUTE($E106," ","")))</f>
        <v/>
      </c>
      <c r="K106" s="10" t="str">
        <f aca="false">IF($A106="","",$G106&amp;"|"&amp;$J106)</f>
        <v/>
      </c>
      <c r="L106" s="10" t="str">
        <f aca="false">IF($A106="","",ROW()-2)</f>
        <v/>
      </c>
      <c r="M106" s="10" t="str">
        <f aca="false">IF($A106="","",ROW())</f>
        <v/>
      </c>
    </row>
    <row r="107" customFormat="false" ht="15" hidden="false" customHeight="true" outlineLevel="0" collapsed="false">
      <c r="A107" s="8"/>
      <c r="B107" s="8"/>
      <c r="C107" s="8"/>
      <c r="D107" s="8"/>
      <c r="E107" s="8"/>
      <c r="F107" s="8"/>
      <c r="G107" s="10" t="str">
        <f aca="false">IF($A107="","",UPPER(SUBSTITUTE(SUBSTITUTE(SUBSTITUTE(SUBSTITUTE($A107," ",""),"(주)",""),"주식회사",""),"㈜","")))</f>
        <v/>
      </c>
      <c r="H107" s="10" t="str">
        <f aca="false">IF($B107="","",SUBSTITUTE(SUBSTITUTE(SUBSTITUTE($B107,"-","")," ",""),".",""))</f>
        <v/>
      </c>
      <c r="I107" s="10" t="str">
        <f aca="false">IF($D107="","",SUBSTITUTE(SUBSTITUTE(SUBSTITUTE($D107,"-","")," ",""),".",""))</f>
        <v/>
      </c>
      <c r="J107" s="10" t="str">
        <f aca="false">IF($E107="","",UPPER(SUBSTITUTE($E107," ","")))</f>
        <v/>
      </c>
      <c r="K107" s="10" t="str">
        <f aca="false">IF($A107="","",$G107&amp;"|"&amp;$J107)</f>
        <v/>
      </c>
      <c r="L107" s="10" t="str">
        <f aca="false">IF($A107="","",ROW()-2)</f>
        <v/>
      </c>
      <c r="M107" s="10" t="str">
        <f aca="false">IF($A107="","",ROW())</f>
        <v/>
      </c>
    </row>
    <row r="108" customFormat="false" ht="15" hidden="false" customHeight="true" outlineLevel="0" collapsed="false">
      <c r="A108" s="8"/>
      <c r="B108" s="8"/>
      <c r="C108" s="8"/>
      <c r="D108" s="8"/>
      <c r="E108" s="8"/>
      <c r="F108" s="8"/>
      <c r="G108" s="10" t="str">
        <f aca="false">IF($A108="","",UPPER(SUBSTITUTE(SUBSTITUTE(SUBSTITUTE(SUBSTITUTE($A108," ",""),"(주)",""),"주식회사",""),"㈜","")))</f>
        <v/>
      </c>
      <c r="H108" s="10" t="str">
        <f aca="false">IF($B108="","",SUBSTITUTE(SUBSTITUTE(SUBSTITUTE($B108,"-","")," ",""),".",""))</f>
        <v/>
      </c>
      <c r="I108" s="10" t="str">
        <f aca="false">IF($D108="","",SUBSTITUTE(SUBSTITUTE(SUBSTITUTE($D108,"-","")," ",""),".",""))</f>
        <v/>
      </c>
      <c r="J108" s="10" t="str">
        <f aca="false">IF($E108="","",UPPER(SUBSTITUTE($E108," ","")))</f>
        <v/>
      </c>
      <c r="K108" s="10" t="str">
        <f aca="false">IF($A108="","",$G108&amp;"|"&amp;$J108)</f>
        <v/>
      </c>
      <c r="L108" s="10" t="str">
        <f aca="false">IF($A108="","",ROW()-2)</f>
        <v/>
      </c>
      <c r="M108" s="10" t="str">
        <f aca="false">IF($A108="","",ROW())</f>
        <v/>
      </c>
    </row>
    <row r="109" customFormat="false" ht="15" hidden="false" customHeight="true" outlineLevel="0" collapsed="false">
      <c r="A109" s="8"/>
      <c r="B109" s="8"/>
      <c r="C109" s="8"/>
      <c r="D109" s="8"/>
      <c r="E109" s="8"/>
      <c r="F109" s="8"/>
      <c r="G109" s="10" t="str">
        <f aca="false">IF($A109="","",UPPER(SUBSTITUTE(SUBSTITUTE(SUBSTITUTE(SUBSTITUTE($A109," ",""),"(주)",""),"주식회사",""),"㈜","")))</f>
        <v/>
      </c>
      <c r="H109" s="10" t="str">
        <f aca="false">IF($B109="","",SUBSTITUTE(SUBSTITUTE(SUBSTITUTE($B109,"-","")," ",""),".",""))</f>
        <v/>
      </c>
      <c r="I109" s="10" t="str">
        <f aca="false">IF($D109="","",SUBSTITUTE(SUBSTITUTE(SUBSTITUTE($D109,"-","")," ",""),".",""))</f>
        <v/>
      </c>
      <c r="J109" s="10" t="str">
        <f aca="false">IF($E109="","",UPPER(SUBSTITUTE($E109," ","")))</f>
        <v/>
      </c>
      <c r="K109" s="10" t="str">
        <f aca="false">IF($A109="","",$G109&amp;"|"&amp;$J109)</f>
        <v/>
      </c>
      <c r="L109" s="10" t="str">
        <f aca="false">IF($A109="","",ROW()-2)</f>
        <v/>
      </c>
      <c r="M109" s="10" t="str">
        <f aca="false">IF($A109="","",ROW())</f>
        <v/>
      </c>
    </row>
    <row r="110" customFormat="false" ht="15" hidden="false" customHeight="true" outlineLevel="0" collapsed="false">
      <c r="A110" s="8"/>
      <c r="B110" s="8"/>
      <c r="C110" s="8"/>
      <c r="D110" s="8"/>
      <c r="E110" s="8"/>
      <c r="F110" s="8"/>
      <c r="G110" s="10" t="str">
        <f aca="false">IF($A110="","",UPPER(SUBSTITUTE(SUBSTITUTE(SUBSTITUTE(SUBSTITUTE($A110," ",""),"(주)",""),"주식회사",""),"㈜","")))</f>
        <v/>
      </c>
      <c r="H110" s="10" t="str">
        <f aca="false">IF($B110="","",SUBSTITUTE(SUBSTITUTE(SUBSTITUTE($B110,"-","")," ",""),".",""))</f>
        <v/>
      </c>
      <c r="I110" s="10" t="str">
        <f aca="false">IF($D110="","",SUBSTITUTE(SUBSTITUTE(SUBSTITUTE($D110,"-","")," ",""),".",""))</f>
        <v/>
      </c>
      <c r="J110" s="10" t="str">
        <f aca="false">IF($E110="","",UPPER(SUBSTITUTE($E110," ","")))</f>
        <v/>
      </c>
      <c r="K110" s="10" t="str">
        <f aca="false">IF($A110="","",$G110&amp;"|"&amp;$J110)</f>
        <v/>
      </c>
      <c r="L110" s="10" t="str">
        <f aca="false">IF($A110="","",ROW()-2)</f>
        <v/>
      </c>
      <c r="M110" s="10" t="str">
        <f aca="false">IF($A110="","",ROW())</f>
        <v/>
      </c>
    </row>
    <row r="111" customFormat="false" ht="15" hidden="false" customHeight="true" outlineLevel="0" collapsed="false">
      <c r="A111" s="8"/>
      <c r="B111" s="8"/>
      <c r="C111" s="8"/>
      <c r="D111" s="8"/>
      <c r="E111" s="8"/>
      <c r="F111" s="8"/>
      <c r="G111" s="10" t="str">
        <f aca="false">IF($A111="","",UPPER(SUBSTITUTE(SUBSTITUTE(SUBSTITUTE(SUBSTITUTE($A111," ",""),"(주)",""),"주식회사",""),"㈜","")))</f>
        <v/>
      </c>
      <c r="H111" s="10" t="str">
        <f aca="false">IF($B111="","",SUBSTITUTE(SUBSTITUTE(SUBSTITUTE($B111,"-","")," ",""),".",""))</f>
        <v/>
      </c>
      <c r="I111" s="10" t="str">
        <f aca="false">IF($D111="","",SUBSTITUTE(SUBSTITUTE(SUBSTITUTE($D111,"-","")," ",""),".",""))</f>
        <v/>
      </c>
      <c r="J111" s="10" t="str">
        <f aca="false">IF($E111="","",UPPER(SUBSTITUTE($E111," ","")))</f>
        <v/>
      </c>
      <c r="K111" s="10" t="str">
        <f aca="false">IF($A111="","",$G111&amp;"|"&amp;$J111)</f>
        <v/>
      </c>
      <c r="L111" s="10" t="str">
        <f aca="false">IF($A111="","",ROW()-2)</f>
        <v/>
      </c>
      <c r="M111" s="10" t="str">
        <f aca="false">IF($A111="","",ROW())</f>
        <v/>
      </c>
    </row>
    <row r="112" customFormat="false" ht="15" hidden="false" customHeight="true" outlineLevel="0" collapsed="false">
      <c r="A112" s="8"/>
      <c r="B112" s="8"/>
      <c r="C112" s="8"/>
      <c r="D112" s="8"/>
      <c r="E112" s="8"/>
      <c r="F112" s="8"/>
      <c r="G112" s="10" t="str">
        <f aca="false">IF($A112="","",UPPER(SUBSTITUTE(SUBSTITUTE(SUBSTITUTE(SUBSTITUTE($A112," ",""),"(주)",""),"주식회사",""),"㈜","")))</f>
        <v/>
      </c>
      <c r="H112" s="10" t="str">
        <f aca="false">IF($B112="","",SUBSTITUTE(SUBSTITUTE(SUBSTITUTE($B112,"-","")," ",""),".",""))</f>
        <v/>
      </c>
      <c r="I112" s="10" t="str">
        <f aca="false">IF($D112="","",SUBSTITUTE(SUBSTITUTE(SUBSTITUTE($D112,"-","")," ",""),".",""))</f>
        <v/>
      </c>
      <c r="J112" s="10" t="str">
        <f aca="false">IF($E112="","",UPPER(SUBSTITUTE($E112," ","")))</f>
        <v/>
      </c>
      <c r="K112" s="10" t="str">
        <f aca="false">IF($A112="","",$G112&amp;"|"&amp;$J112)</f>
        <v/>
      </c>
      <c r="L112" s="10" t="str">
        <f aca="false">IF($A112="","",ROW()-2)</f>
        <v/>
      </c>
      <c r="M112" s="10" t="str">
        <f aca="false">IF($A112="","",ROW())</f>
        <v/>
      </c>
    </row>
    <row r="113" customFormat="false" ht="15" hidden="false" customHeight="true" outlineLevel="0" collapsed="false">
      <c r="A113" s="8"/>
      <c r="B113" s="8"/>
      <c r="C113" s="8"/>
      <c r="D113" s="8"/>
      <c r="E113" s="8"/>
      <c r="F113" s="8"/>
      <c r="G113" s="10" t="str">
        <f aca="false">IF($A113="","",UPPER(SUBSTITUTE(SUBSTITUTE(SUBSTITUTE(SUBSTITUTE($A113," ",""),"(주)",""),"주식회사",""),"㈜","")))</f>
        <v/>
      </c>
      <c r="H113" s="10" t="str">
        <f aca="false">IF($B113="","",SUBSTITUTE(SUBSTITUTE(SUBSTITUTE($B113,"-","")," ",""),".",""))</f>
        <v/>
      </c>
      <c r="I113" s="10" t="str">
        <f aca="false">IF($D113="","",SUBSTITUTE(SUBSTITUTE(SUBSTITUTE($D113,"-","")," ",""),".",""))</f>
        <v/>
      </c>
      <c r="J113" s="10" t="str">
        <f aca="false">IF($E113="","",UPPER(SUBSTITUTE($E113," ","")))</f>
        <v/>
      </c>
      <c r="K113" s="10" t="str">
        <f aca="false">IF($A113="","",$G113&amp;"|"&amp;$J113)</f>
        <v/>
      </c>
      <c r="L113" s="10" t="str">
        <f aca="false">IF($A113="","",ROW()-2)</f>
        <v/>
      </c>
      <c r="M113" s="10" t="str">
        <f aca="false">IF($A113="","",ROW())</f>
        <v/>
      </c>
    </row>
    <row r="114" customFormat="false" ht="15" hidden="false" customHeight="true" outlineLevel="0" collapsed="false">
      <c r="A114" s="8"/>
      <c r="B114" s="8"/>
      <c r="C114" s="8"/>
      <c r="D114" s="8"/>
      <c r="E114" s="8"/>
      <c r="F114" s="8"/>
      <c r="G114" s="10" t="str">
        <f aca="false">IF($A114="","",UPPER(SUBSTITUTE(SUBSTITUTE(SUBSTITUTE(SUBSTITUTE($A114," ",""),"(주)",""),"주식회사",""),"㈜","")))</f>
        <v/>
      </c>
      <c r="H114" s="10" t="str">
        <f aca="false">IF($B114="","",SUBSTITUTE(SUBSTITUTE(SUBSTITUTE($B114,"-","")," ",""),".",""))</f>
        <v/>
      </c>
      <c r="I114" s="10" t="str">
        <f aca="false">IF($D114="","",SUBSTITUTE(SUBSTITUTE(SUBSTITUTE($D114,"-","")," ",""),".",""))</f>
        <v/>
      </c>
      <c r="J114" s="10" t="str">
        <f aca="false">IF($E114="","",UPPER(SUBSTITUTE($E114," ","")))</f>
        <v/>
      </c>
      <c r="K114" s="10" t="str">
        <f aca="false">IF($A114="","",$G114&amp;"|"&amp;$J114)</f>
        <v/>
      </c>
      <c r="L114" s="10" t="str">
        <f aca="false">IF($A114="","",ROW()-2)</f>
        <v/>
      </c>
      <c r="M114" s="10" t="str">
        <f aca="false">IF($A114="","",ROW())</f>
        <v/>
      </c>
    </row>
    <row r="115" customFormat="false" ht="15" hidden="false" customHeight="true" outlineLevel="0" collapsed="false">
      <c r="A115" s="8"/>
      <c r="B115" s="8"/>
      <c r="C115" s="8"/>
      <c r="D115" s="8"/>
      <c r="E115" s="8"/>
      <c r="F115" s="8"/>
      <c r="G115" s="10" t="str">
        <f aca="false">IF($A115="","",UPPER(SUBSTITUTE(SUBSTITUTE(SUBSTITUTE(SUBSTITUTE($A115," ",""),"(주)",""),"주식회사",""),"㈜","")))</f>
        <v/>
      </c>
      <c r="H115" s="10" t="str">
        <f aca="false">IF($B115="","",SUBSTITUTE(SUBSTITUTE(SUBSTITUTE($B115,"-","")," ",""),".",""))</f>
        <v/>
      </c>
      <c r="I115" s="10" t="str">
        <f aca="false">IF($D115="","",SUBSTITUTE(SUBSTITUTE(SUBSTITUTE($D115,"-","")," ",""),".",""))</f>
        <v/>
      </c>
      <c r="J115" s="10" t="str">
        <f aca="false">IF($E115="","",UPPER(SUBSTITUTE($E115," ","")))</f>
        <v/>
      </c>
      <c r="K115" s="10" t="str">
        <f aca="false">IF($A115="","",$G115&amp;"|"&amp;$J115)</f>
        <v/>
      </c>
      <c r="L115" s="10" t="str">
        <f aca="false">IF($A115="","",ROW()-2)</f>
        <v/>
      </c>
      <c r="M115" s="10" t="str">
        <f aca="false">IF($A115="","",ROW())</f>
        <v/>
      </c>
    </row>
    <row r="116" customFormat="false" ht="15" hidden="false" customHeight="true" outlineLevel="0" collapsed="false">
      <c r="A116" s="8"/>
      <c r="B116" s="8"/>
      <c r="C116" s="8"/>
      <c r="D116" s="8"/>
      <c r="E116" s="8"/>
      <c r="F116" s="8"/>
      <c r="G116" s="10" t="str">
        <f aca="false">IF($A116="","",UPPER(SUBSTITUTE(SUBSTITUTE(SUBSTITUTE(SUBSTITUTE($A116," ",""),"(주)",""),"주식회사",""),"㈜","")))</f>
        <v/>
      </c>
      <c r="H116" s="10" t="str">
        <f aca="false">IF($B116="","",SUBSTITUTE(SUBSTITUTE(SUBSTITUTE($B116,"-","")," ",""),".",""))</f>
        <v/>
      </c>
      <c r="I116" s="10" t="str">
        <f aca="false">IF($D116="","",SUBSTITUTE(SUBSTITUTE(SUBSTITUTE($D116,"-","")," ",""),".",""))</f>
        <v/>
      </c>
      <c r="J116" s="10" t="str">
        <f aca="false">IF($E116="","",UPPER(SUBSTITUTE($E116," ","")))</f>
        <v/>
      </c>
      <c r="K116" s="10" t="str">
        <f aca="false">IF($A116="","",$G116&amp;"|"&amp;$J116)</f>
        <v/>
      </c>
      <c r="L116" s="10" t="str">
        <f aca="false">IF($A116="","",ROW()-2)</f>
        <v/>
      </c>
      <c r="M116" s="10" t="str">
        <f aca="false">IF($A116="","",ROW())</f>
        <v/>
      </c>
    </row>
    <row r="117" customFormat="false" ht="15" hidden="false" customHeight="true" outlineLevel="0" collapsed="false">
      <c r="A117" s="8"/>
      <c r="B117" s="8"/>
      <c r="C117" s="8"/>
      <c r="D117" s="8"/>
      <c r="E117" s="8"/>
      <c r="F117" s="8"/>
      <c r="G117" s="10" t="str">
        <f aca="false">IF($A117="","",UPPER(SUBSTITUTE(SUBSTITUTE(SUBSTITUTE(SUBSTITUTE($A117," ",""),"(주)",""),"주식회사",""),"㈜","")))</f>
        <v/>
      </c>
      <c r="H117" s="10" t="str">
        <f aca="false">IF($B117="","",SUBSTITUTE(SUBSTITUTE(SUBSTITUTE($B117,"-","")," ",""),".",""))</f>
        <v/>
      </c>
      <c r="I117" s="10" t="str">
        <f aca="false">IF($D117="","",SUBSTITUTE(SUBSTITUTE(SUBSTITUTE($D117,"-","")," ",""),".",""))</f>
        <v/>
      </c>
      <c r="J117" s="10" t="str">
        <f aca="false">IF($E117="","",UPPER(SUBSTITUTE($E117," ","")))</f>
        <v/>
      </c>
      <c r="K117" s="10" t="str">
        <f aca="false">IF($A117="","",$G117&amp;"|"&amp;$J117)</f>
        <v/>
      </c>
      <c r="L117" s="10" t="str">
        <f aca="false">IF($A117="","",ROW()-2)</f>
        <v/>
      </c>
      <c r="M117" s="10" t="str">
        <f aca="false">IF($A117="","",ROW())</f>
        <v/>
      </c>
    </row>
    <row r="118" customFormat="false" ht="15" hidden="false" customHeight="true" outlineLevel="0" collapsed="false">
      <c r="A118" s="8"/>
      <c r="B118" s="8"/>
      <c r="C118" s="8"/>
      <c r="D118" s="8"/>
      <c r="E118" s="8"/>
      <c r="F118" s="8"/>
      <c r="G118" s="10" t="str">
        <f aca="false">IF($A118="","",UPPER(SUBSTITUTE(SUBSTITUTE(SUBSTITUTE(SUBSTITUTE($A118," ",""),"(주)",""),"주식회사",""),"㈜","")))</f>
        <v/>
      </c>
      <c r="H118" s="10" t="str">
        <f aca="false">IF($B118="","",SUBSTITUTE(SUBSTITUTE(SUBSTITUTE($B118,"-","")," ",""),".",""))</f>
        <v/>
      </c>
      <c r="I118" s="10" t="str">
        <f aca="false">IF($D118="","",SUBSTITUTE(SUBSTITUTE(SUBSTITUTE($D118,"-","")," ",""),".",""))</f>
        <v/>
      </c>
      <c r="J118" s="10" t="str">
        <f aca="false">IF($E118="","",UPPER(SUBSTITUTE($E118," ","")))</f>
        <v/>
      </c>
      <c r="K118" s="10" t="str">
        <f aca="false">IF($A118="","",$G118&amp;"|"&amp;$J118)</f>
        <v/>
      </c>
      <c r="L118" s="10" t="str">
        <f aca="false">IF($A118="","",ROW()-2)</f>
        <v/>
      </c>
      <c r="M118" s="10" t="str">
        <f aca="false">IF($A118="","",ROW())</f>
        <v/>
      </c>
    </row>
    <row r="119" customFormat="false" ht="15" hidden="false" customHeight="true" outlineLevel="0" collapsed="false">
      <c r="A119" s="8"/>
      <c r="B119" s="8"/>
      <c r="C119" s="8"/>
      <c r="D119" s="8"/>
      <c r="E119" s="8"/>
      <c r="F119" s="8"/>
      <c r="G119" s="10" t="str">
        <f aca="false">IF($A119="","",UPPER(SUBSTITUTE(SUBSTITUTE(SUBSTITUTE(SUBSTITUTE($A119," ",""),"(주)",""),"주식회사",""),"㈜","")))</f>
        <v/>
      </c>
      <c r="H119" s="10" t="str">
        <f aca="false">IF($B119="","",SUBSTITUTE(SUBSTITUTE(SUBSTITUTE($B119,"-","")," ",""),".",""))</f>
        <v/>
      </c>
      <c r="I119" s="10" t="str">
        <f aca="false">IF($D119="","",SUBSTITUTE(SUBSTITUTE(SUBSTITUTE($D119,"-","")," ",""),".",""))</f>
        <v/>
      </c>
      <c r="J119" s="10" t="str">
        <f aca="false">IF($E119="","",UPPER(SUBSTITUTE($E119," ","")))</f>
        <v/>
      </c>
      <c r="K119" s="10" t="str">
        <f aca="false">IF($A119="","",$G119&amp;"|"&amp;$J119)</f>
        <v/>
      </c>
      <c r="L119" s="10" t="str">
        <f aca="false">IF($A119="","",ROW()-2)</f>
        <v/>
      </c>
      <c r="M119" s="10" t="str">
        <f aca="false">IF($A119="","",ROW())</f>
        <v/>
      </c>
    </row>
    <row r="120" customFormat="false" ht="15" hidden="false" customHeight="true" outlineLevel="0" collapsed="false">
      <c r="A120" s="8"/>
      <c r="B120" s="8"/>
      <c r="C120" s="8"/>
      <c r="D120" s="8"/>
      <c r="E120" s="8"/>
      <c r="F120" s="8"/>
      <c r="G120" s="10" t="str">
        <f aca="false">IF($A120="","",UPPER(SUBSTITUTE(SUBSTITUTE(SUBSTITUTE(SUBSTITUTE($A120," ",""),"(주)",""),"주식회사",""),"㈜","")))</f>
        <v/>
      </c>
      <c r="H120" s="10" t="str">
        <f aca="false">IF($B120="","",SUBSTITUTE(SUBSTITUTE(SUBSTITUTE($B120,"-","")," ",""),".",""))</f>
        <v/>
      </c>
      <c r="I120" s="10" t="str">
        <f aca="false">IF($D120="","",SUBSTITUTE(SUBSTITUTE(SUBSTITUTE($D120,"-","")," ",""),".",""))</f>
        <v/>
      </c>
      <c r="J120" s="10" t="str">
        <f aca="false">IF($E120="","",UPPER(SUBSTITUTE($E120," ","")))</f>
        <v/>
      </c>
      <c r="K120" s="10" t="str">
        <f aca="false">IF($A120="","",$G120&amp;"|"&amp;$J120)</f>
        <v/>
      </c>
      <c r="L120" s="10" t="str">
        <f aca="false">IF($A120="","",ROW()-2)</f>
        <v/>
      </c>
      <c r="M120" s="10" t="str">
        <f aca="false">IF($A120="","",ROW())</f>
        <v/>
      </c>
    </row>
    <row r="121" customFormat="false" ht="15" hidden="false" customHeight="true" outlineLevel="0" collapsed="false">
      <c r="A121" s="8"/>
      <c r="B121" s="8"/>
      <c r="C121" s="8"/>
      <c r="D121" s="8"/>
      <c r="E121" s="8"/>
      <c r="F121" s="8"/>
      <c r="G121" s="10" t="str">
        <f aca="false">IF($A121="","",UPPER(SUBSTITUTE(SUBSTITUTE(SUBSTITUTE(SUBSTITUTE($A121," ",""),"(주)",""),"주식회사",""),"㈜","")))</f>
        <v/>
      </c>
      <c r="H121" s="10" t="str">
        <f aca="false">IF($B121="","",SUBSTITUTE(SUBSTITUTE(SUBSTITUTE($B121,"-","")," ",""),".",""))</f>
        <v/>
      </c>
      <c r="I121" s="10" t="str">
        <f aca="false">IF($D121="","",SUBSTITUTE(SUBSTITUTE(SUBSTITUTE($D121,"-","")," ",""),".",""))</f>
        <v/>
      </c>
      <c r="J121" s="10" t="str">
        <f aca="false">IF($E121="","",UPPER(SUBSTITUTE($E121," ","")))</f>
        <v/>
      </c>
      <c r="K121" s="10" t="str">
        <f aca="false">IF($A121="","",$G121&amp;"|"&amp;$J121)</f>
        <v/>
      </c>
      <c r="L121" s="10" t="str">
        <f aca="false">IF($A121="","",ROW()-2)</f>
        <v/>
      </c>
      <c r="M121" s="10" t="str">
        <f aca="false">IF($A121="","",ROW())</f>
        <v/>
      </c>
    </row>
    <row r="122" customFormat="false" ht="15" hidden="false" customHeight="true" outlineLevel="0" collapsed="false">
      <c r="A122" s="8"/>
      <c r="B122" s="8"/>
      <c r="C122" s="8"/>
      <c r="D122" s="8"/>
      <c r="E122" s="8"/>
      <c r="F122" s="8"/>
      <c r="G122" s="10" t="str">
        <f aca="false">IF($A122="","",UPPER(SUBSTITUTE(SUBSTITUTE(SUBSTITUTE(SUBSTITUTE($A122," ",""),"(주)",""),"주식회사",""),"㈜","")))</f>
        <v/>
      </c>
      <c r="H122" s="10" t="str">
        <f aca="false">IF($B122="","",SUBSTITUTE(SUBSTITUTE(SUBSTITUTE($B122,"-","")," ",""),".",""))</f>
        <v/>
      </c>
      <c r="I122" s="10" t="str">
        <f aca="false">IF($D122="","",SUBSTITUTE(SUBSTITUTE(SUBSTITUTE($D122,"-","")," ",""),".",""))</f>
        <v/>
      </c>
      <c r="J122" s="10" t="str">
        <f aca="false">IF($E122="","",UPPER(SUBSTITUTE($E122," ","")))</f>
        <v/>
      </c>
      <c r="K122" s="10" t="str">
        <f aca="false">IF($A122="","",$G122&amp;"|"&amp;$J122)</f>
        <v/>
      </c>
      <c r="L122" s="10" t="str">
        <f aca="false">IF($A122="","",ROW()-2)</f>
        <v/>
      </c>
      <c r="M122" s="10" t="str">
        <f aca="false">IF($A122="","",ROW())</f>
        <v/>
      </c>
    </row>
    <row r="123" customFormat="false" ht="15" hidden="false" customHeight="true" outlineLevel="0" collapsed="false">
      <c r="A123" s="8"/>
      <c r="B123" s="8"/>
      <c r="C123" s="8"/>
      <c r="D123" s="8"/>
      <c r="E123" s="8"/>
      <c r="F123" s="8"/>
      <c r="G123" s="10" t="str">
        <f aca="false">IF($A123="","",UPPER(SUBSTITUTE(SUBSTITUTE(SUBSTITUTE(SUBSTITUTE($A123," ",""),"(주)",""),"주식회사",""),"㈜","")))</f>
        <v/>
      </c>
      <c r="H123" s="10" t="str">
        <f aca="false">IF($B123="","",SUBSTITUTE(SUBSTITUTE(SUBSTITUTE($B123,"-","")," ",""),".",""))</f>
        <v/>
      </c>
      <c r="I123" s="10" t="str">
        <f aca="false">IF($D123="","",SUBSTITUTE(SUBSTITUTE(SUBSTITUTE($D123,"-","")," ",""),".",""))</f>
        <v/>
      </c>
      <c r="J123" s="10" t="str">
        <f aca="false">IF($E123="","",UPPER(SUBSTITUTE($E123," ","")))</f>
        <v/>
      </c>
      <c r="K123" s="10" t="str">
        <f aca="false">IF($A123="","",$G123&amp;"|"&amp;$J123)</f>
        <v/>
      </c>
      <c r="L123" s="10" t="str">
        <f aca="false">IF($A123="","",ROW()-2)</f>
        <v/>
      </c>
      <c r="M123" s="10" t="str">
        <f aca="false">IF($A123="","",ROW())</f>
        <v/>
      </c>
    </row>
    <row r="124" customFormat="false" ht="15" hidden="false" customHeight="true" outlineLevel="0" collapsed="false">
      <c r="A124" s="8"/>
      <c r="B124" s="8"/>
      <c r="C124" s="8"/>
      <c r="D124" s="8"/>
      <c r="E124" s="8"/>
      <c r="F124" s="8"/>
      <c r="G124" s="10" t="str">
        <f aca="false">IF($A124="","",UPPER(SUBSTITUTE(SUBSTITUTE(SUBSTITUTE(SUBSTITUTE($A124," ",""),"(주)",""),"주식회사",""),"㈜","")))</f>
        <v/>
      </c>
      <c r="H124" s="10" t="str">
        <f aca="false">IF($B124="","",SUBSTITUTE(SUBSTITUTE(SUBSTITUTE($B124,"-","")," ",""),".",""))</f>
        <v/>
      </c>
      <c r="I124" s="10" t="str">
        <f aca="false">IF($D124="","",SUBSTITUTE(SUBSTITUTE(SUBSTITUTE($D124,"-","")," ",""),".",""))</f>
        <v/>
      </c>
      <c r="J124" s="10" t="str">
        <f aca="false">IF($E124="","",UPPER(SUBSTITUTE($E124," ","")))</f>
        <v/>
      </c>
      <c r="K124" s="10" t="str">
        <f aca="false">IF($A124="","",$G124&amp;"|"&amp;$J124)</f>
        <v/>
      </c>
      <c r="L124" s="10" t="str">
        <f aca="false">IF($A124="","",ROW()-2)</f>
        <v/>
      </c>
      <c r="M124" s="10" t="str">
        <f aca="false">IF($A124="","",ROW())</f>
        <v/>
      </c>
    </row>
    <row r="125" customFormat="false" ht="15" hidden="false" customHeight="true" outlineLevel="0" collapsed="false">
      <c r="A125" s="8"/>
      <c r="B125" s="8"/>
      <c r="C125" s="8"/>
      <c r="D125" s="8"/>
      <c r="E125" s="8"/>
      <c r="F125" s="8"/>
      <c r="G125" s="10" t="str">
        <f aca="false">IF($A125="","",UPPER(SUBSTITUTE(SUBSTITUTE(SUBSTITUTE(SUBSTITUTE($A125," ",""),"(주)",""),"주식회사",""),"㈜","")))</f>
        <v/>
      </c>
      <c r="H125" s="10" t="str">
        <f aca="false">IF($B125="","",SUBSTITUTE(SUBSTITUTE(SUBSTITUTE($B125,"-","")," ",""),".",""))</f>
        <v/>
      </c>
      <c r="I125" s="10" t="str">
        <f aca="false">IF($D125="","",SUBSTITUTE(SUBSTITUTE(SUBSTITUTE($D125,"-","")," ",""),".",""))</f>
        <v/>
      </c>
      <c r="J125" s="10" t="str">
        <f aca="false">IF($E125="","",UPPER(SUBSTITUTE($E125," ","")))</f>
        <v/>
      </c>
      <c r="K125" s="10" t="str">
        <f aca="false">IF($A125="","",$G125&amp;"|"&amp;$J125)</f>
        <v/>
      </c>
      <c r="L125" s="10" t="str">
        <f aca="false">IF($A125="","",ROW()-2)</f>
        <v/>
      </c>
      <c r="M125" s="10" t="str">
        <f aca="false">IF($A125="","",ROW())</f>
        <v/>
      </c>
    </row>
    <row r="126" customFormat="false" ht="15" hidden="false" customHeight="true" outlineLevel="0" collapsed="false">
      <c r="A126" s="8"/>
      <c r="B126" s="8"/>
      <c r="C126" s="8"/>
      <c r="D126" s="8"/>
      <c r="E126" s="8"/>
      <c r="F126" s="8"/>
      <c r="G126" s="10" t="str">
        <f aca="false">IF($A126="","",UPPER(SUBSTITUTE(SUBSTITUTE(SUBSTITUTE(SUBSTITUTE($A126," ",""),"(주)",""),"주식회사",""),"㈜","")))</f>
        <v/>
      </c>
      <c r="H126" s="10" t="str">
        <f aca="false">IF($B126="","",SUBSTITUTE(SUBSTITUTE(SUBSTITUTE($B126,"-","")," ",""),".",""))</f>
        <v/>
      </c>
      <c r="I126" s="10" t="str">
        <f aca="false">IF($D126="","",SUBSTITUTE(SUBSTITUTE(SUBSTITUTE($D126,"-","")," ",""),".",""))</f>
        <v/>
      </c>
      <c r="J126" s="10" t="str">
        <f aca="false">IF($E126="","",UPPER(SUBSTITUTE($E126," ","")))</f>
        <v/>
      </c>
      <c r="K126" s="10" t="str">
        <f aca="false">IF($A126="","",$G126&amp;"|"&amp;$J126)</f>
        <v/>
      </c>
      <c r="L126" s="10" t="str">
        <f aca="false">IF($A126="","",ROW()-2)</f>
        <v/>
      </c>
      <c r="M126" s="10" t="str">
        <f aca="false">IF($A126="","",ROW())</f>
        <v/>
      </c>
    </row>
    <row r="127" customFormat="false" ht="15" hidden="false" customHeight="true" outlineLevel="0" collapsed="false">
      <c r="A127" s="8"/>
      <c r="B127" s="8"/>
      <c r="C127" s="8"/>
      <c r="D127" s="8"/>
      <c r="E127" s="8"/>
      <c r="F127" s="8"/>
      <c r="G127" s="10" t="str">
        <f aca="false">IF($A127="","",UPPER(SUBSTITUTE(SUBSTITUTE(SUBSTITUTE(SUBSTITUTE($A127," ",""),"(주)",""),"주식회사",""),"㈜","")))</f>
        <v/>
      </c>
      <c r="H127" s="10" t="str">
        <f aca="false">IF($B127="","",SUBSTITUTE(SUBSTITUTE(SUBSTITUTE($B127,"-","")," ",""),".",""))</f>
        <v/>
      </c>
      <c r="I127" s="10" t="str">
        <f aca="false">IF($D127="","",SUBSTITUTE(SUBSTITUTE(SUBSTITUTE($D127,"-","")," ",""),".",""))</f>
        <v/>
      </c>
      <c r="J127" s="10" t="str">
        <f aca="false">IF($E127="","",UPPER(SUBSTITUTE($E127," ","")))</f>
        <v/>
      </c>
      <c r="K127" s="10" t="str">
        <f aca="false">IF($A127="","",$G127&amp;"|"&amp;$J127)</f>
        <v/>
      </c>
      <c r="L127" s="10" t="str">
        <f aca="false">IF($A127="","",ROW()-2)</f>
        <v/>
      </c>
      <c r="M127" s="10" t="str">
        <f aca="false">IF($A127="","",ROW())</f>
        <v/>
      </c>
    </row>
    <row r="128" customFormat="false" ht="15" hidden="false" customHeight="true" outlineLevel="0" collapsed="false">
      <c r="A128" s="8"/>
      <c r="B128" s="8"/>
      <c r="C128" s="8"/>
      <c r="D128" s="8"/>
      <c r="E128" s="8"/>
      <c r="F128" s="8"/>
      <c r="G128" s="10" t="str">
        <f aca="false">IF($A128="","",UPPER(SUBSTITUTE(SUBSTITUTE(SUBSTITUTE(SUBSTITUTE($A128," ",""),"(주)",""),"주식회사",""),"㈜","")))</f>
        <v/>
      </c>
      <c r="H128" s="10" t="str">
        <f aca="false">IF($B128="","",SUBSTITUTE(SUBSTITUTE(SUBSTITUTE($B128,"-","")," ",""),".",""))</f>
        <v/>
      </c>
      <c r="I128" s="10" t="str">
        <f aca="false">IF($D128="","",SUBSTITUTE(SUBSTITUTE(SUBSTITUTE($D128,"-","")," ",""),".",""))</f>
        <v/>
      </c>
      <c r="J128" s="10" t="str">
        <f aca="false">IF($E128="","",UPPER(SUBSTITUTE($E128," ","")))</f>
        <v/>
      </c>
      <c r="K128" s="10" t="str">
        <f aca="false">IF($A128="","",$G128&amp;"|"&amp;$J128)</f>
        <v/>
      </c>
      <c r="L128" s="10" t="str">
        <f aca="false">IF($A128="","",ROW()-2)</f>
        <v/>
      </c>
      <c r="M128" s="10" t="str">
        <f aca="false">IF($A128="","",ROW())</f>
        <v/>
      </c>
    </row>
    <row r="129" customFormat="false" ht="15" hidden="false" customHeight="true" outlineLevel="0" collapsed="false">
      <c r="A129" s="8"/>
      <c r="B129" s="8"/>
      <c r="C129" s="8"/>
      <c r="D129" s="8"/>
      <c r="E129" s="8"/>
      <c r="F129" s="8"/>
      <c r="G129" s="10" t="str">
        <f aca="false">IF($A129="","",UPPER(SUBSTITUTE(SUBSTITUTE(SUBSTITUTE(SUBSTITUTE($A129," ",""),"(주)",""),"주식회사",""),"㈜","")))</f>
        <v/>
      </c>
      <c r="H129" s="10" t="str">
        <f aca="false">IF($B129="","",SUBSTITUTE(SUBSTITUTE(SUBSTITUTE($B129,"-","")," ",""),".",""))</f>
        <v/>
      </c>
      <c r="I129" s="10" t="str">
        <f aca="false">IF($D129="","",SUBSTITUTE(SUBSTITUTE(SUBSTITUTE($D129,"-","")," ",""),".",""))</f>
        <v/>
      </c>
      <c r="J129" s="10" t="str">
        <f aca="false">IF($E129="","",UPPER(SUBSTITUTE($E129," ","")))</f>
        <v/>
      </c>
      <c r="K129" s="10" t="str">
        <f aca="false">IF($A129="","",$G129&amp;"|"&amp;$J129)</f>
        <v/>
      </c>
      <c r="L129" s="10" t="str">
        <f aca="false">IF($A129="","",ROW()-2)</f>
        <v/>
      </c>
      <c r="M129" s="10" t="str">
        <f aca="false">IF($A129="","",ROW())</f>
        <v/>
      </c>
    </row>
    <row r="130" customFormat="false" ht="15" hidden="false" customHeight="true" outlineLevel="0" collapsed="false">
      <c r="A130" s="8"/>
      <c r="B130" s="8"/>
      <c r="C130" s="8"/>
      <c r="D130" s="8"/>
      <c r="E130" s="8"/>
      <c r="F130" s="8"/>
      <c r="G130" s="10" t="str">
        <f aca="false">IF($A130="","",UPPER(SUBSTITUTE(SUBSTITUTE(SUBSTITUTE(SUBSTITUTE($A130," ",""),"(주)",""),"주식회사",""),"㈜","")))</f>
        <v/>
      </c>
      <c r="H130" s="10" t="str">
        <f aca="false">IF($B130="","",SUBSTITUTE(SUBSTITUTE(SUBSTITUTE($B130,"-","")," ",""),".",""))</f>
        <v/>
      </c>
      <c r="I130" s="10" t="str">
        <f aca="false">IF($D130="","",SUBSTITUTE(SUBSTITUTE(SUBSTITUTE($D130,"-","")," ",""),".",""))</f>
        <v/>
      </c>
      <c r="J130" s="10" t="str">
        <f aca="false">IF($E130="","",UPPER(SUBSTITUTE($E130," ","")))</f>
        <v/>
      </c>
      <c r="K130" s="10" t="str">
        <f aca="false">IF($A130="","",$G130&amp;"|"&amp;$J130)</f>
        <v/>
      </c>
      <c r="L130" s="10" t="str">
        <f aca="false">IF($A130="","",ROW()-2)</f>
        <v/>
      </c>
      <c r="M130" s="10" t="str">
        <f aca="false">IF($A130="","",ROW())</f>
        <v/>
      </c>
    </row>
    <row r="131" customFormat="false" ht="15" hidden="false" customHeight="true" outlineLevel="0" collapsed="false">
      <c r="A131" s="8"/>
      <c r="B131" s="8"/>
      <c r="C131" s="8"/>
      <c r="D131" s="8"/>
      <c r="E131" s="8"/>
      <c r="F131" s="8"/>
      <c r="G131" s="10" t="str">
        <f aca="false">IF($A131="","",UPPER(SUBSTITUTE(SUBSTITUTE(SUBSTITUTE(SUBSTITUTE($A131," ",""),"(주)",""),"주식회사",""),"㈜","")))</f>
        <v/>
      </c>
      <c r="H131" s="10" t="str">
        <f aca="false">IF($B131="","",SUBSTITUTE(SUBSTITUTE(SUBSTITUTE($B131,"-","")," ",""),".",""))</f>
        <v/>
      </c>
      <c r="I131" s="10" t="str">
        <f aca="false">IF($D131="","",SUBSTITUTE(SUBSTITUTE(SUBSTITUTE($D131,"-","")," ",""),".",""))</f>
        <v/>
      </c>
      <c r="J131" s="10" t="str">
        <f aca="false">IF($E131="","",UPPER(SUBSTITUTE($E131," ","")))</f>
        <v/>
      </c>
      <c r="K131" s="10" t="str">
        <f aca="false">IF($A131="","",$G131&amp;"|"&amp;$J131)</f>
        <v/>
      </c>
      <c r="L131" s="10" t="str">
        <f aca="false">IF($A131="","",ROW()-2)</f>
        <v/>
      </c>
      <c r="M131" s="10" t="str">
        <f aca="false">IF($A131="","",ROW())</f>
        <v/>
      </c>
    </row>
    <row r="132" customFormat="false" ht="15" hidden="false" customHeight="true" outlineLevel="0" collapsed="false">
      <c r="A132" s="8"/>
      <c r="B132" s="8"/>
      <c r="C132" s="8"/>
      <c r="D132" s="8"/>
      <c r="E132" s="8"/>
      <c r="F132" s="8"/>
      <c r="G132" s="10" t="str">
        <f aca="false">IF($A132="","",UPPER(SUBSTITUTE(SUBSTITUTE(SUBSTITUTE(SUBSTITUTE($A132," ",""),"(주)",""),"주식회사",""),"㈜","")))</f>
        <v/>
      </c>
      <c r="H132" s="10" t="str">
        <f aca="false">IF($B132="","",SUBSTITUTE(SUBSTITUTE(SUBSTITUTE($B132,"-","")," ",""),".",""))</f>
        <v/>
      </c>
      <c r="I132" s="10" t="str">
        <f aca="false">IF($D132="","",SUBSTITUTE(SUBSTITUTE(SUBSTITUTE($D132,"-","")," ",""),".",""))</f>
        <v/>
      </c>
      <c r="J132" s="10" t="str">
        <f aca="false">IF($E132="","",UPPER(SUBSTITUTE($E132," ","")))</f>
        <v/>
      </c>
      <c r="K132" s="10" t="str">
        <f aca="false">IF($A132="","",$G132&amp;"|"&amp;$J132)</f>
        <v/>
      </c>
      <c r="L132" s="10" t="str">
        <f aca="false">IF($A132="","",ROW()-2)</f>
        <v/>
      </c>
      <c r="M132" s="10" t="str">
        <f aca="false">IF($A132="","",ROW())</f>
        <v/>
      </c>
    </row>
    <row r="133" customFormat="false" ht="15" hidden="false" customHeight="true" outlineLevel="0" collapsed="false">
      <c r="A133" s="8"/>
      <c r="B133" s="8"/>
      <c r="C133" s="8"/>
      <c r="D133" s="8"/>
      <c r="E133" s="8"/>
      <c r="F133" s="8"/>
      <c r="G133" s="10" t="str">
        <f aca="false">IF($A133="","",UPPER(SUBSTITUTE(SUBSTITUTE(SUBSTITUTE(SUBSTITUTE($A133," ",""),"(주)",""),"주식회사",""),"㈜","")))</f>
        <v/>
      </c>
      <c r="H133" s="10" t="str">
        <f aca="false">IF($B133="","",SUBSTITUTE(SUBSTITUTE(SUBSTITUTE($B133,"-","")," ",""),".",""))</f>
        <v/>
      </c>
      <c r="I133" s="10" t="str">
        <f aca="false">IF($D133="","",SUBSTITUTE(SUBSTITUTE(SUBSTITUTE($D133,"-","")," ",""),".",""))</f>
        <v/>
      </c>
      <c r="J133" s="10" t="str">
        <f aca="false">IF($E133="","",UPPER(SUBSTITUTE($E133," ","")))</f>
        <v/>
      </c>
      <c r="K133" s="10" t="str">
        <f aca="false">IF($A133="","",$G133&amp;"|"&amp;$J133)</f>
        <v/>
      </c>
      <c r="L133" s="10" t="str">
        <f aca="false">IF($A133="","",ROW()-2)</f>
        <v/>
      </c>
      <c r="M133" s="10" t="str">
        <f aca="false">IF($A133="","",ROW())</f>
        <v/>
      </c>
    </row>
    <row r="134" customFormat="false" ht="15" hidden="false" customHeight="true" outlineLevel="0" collapsed="false">
      <c r="A134" s="8"/>
      <c r="B134" s="8"/>
      <c r="C134" s="8"/>
      <c r="D134" s="8"/>
      <c r="E134" s="8"/>
      <c r="F134" s="8"/>
      <c r="G134" s="10" t="str">
        <f aca="false">IF($A134="","",UPPER(SUBSTITUTE(SUBSTITUTE(SUBSTITUTE(SUBSTITUTE($A134," ",""),"(주)",""),"주식회사",""),"㈜","")))</f>
        <v/>
      </c>
      <c r="H134" s="10" t="str">
        <f aca="false">IF($B134="","",SUBSTITUTE(SUBSTITUTE(SUBSTITUTE($B134,"-","")," ",""),".",""))</f>
        <v/>
      </c>
      <c r="I134" s="10" t="str">
        <f aca="false">IF($D134="","",SUBSTITUTE(SUBSTITUTE(SUBSTITUTE($D134,"-","")," ",""),".",""))</f>
        <v/>
      </c>
      <c r="J134" s="10" t="str">
        <f aca="false">IF($E134="","",UPPER(SUBSTITUTE($E134," ","")))</f>
        <v/>
      </c>
      <c r="K134" s="10" t="str">
        <f aca="false">IF($A134="","",$G134&amp;"|"&amp;$J134)</f>
        <v/>
      </c>
      <c r="L134" s="10" t="str">
        <f aca="false">IF($A134="","",ROW()-2)</f>
        <v/>
      </c>
      <c r="M134" s="10" t="str">
        <f aca="false">IF($A134="","",ROW())</f>
        <v/>
      </c>
    </row>
    <row r="135" customFormat="false" ht="15" hidden="false" customHeight="true" outlineLevel="0" collapsed="false">
      <c r="A135" s="8"/>
      <c r="B135" s="8"/>
      <c r="C135" s="8"/>
      <c r="D135" s="8"/>
      <c r="E135" s="8"/>
      <c r="F135" s="8"/>
      <c r="G135" s="10" t="str">
        <f aca="false">IF($A135="","",UPPER(SUBSTITUTE(SUBSTITUTE(SUBSTITUTE(SUBSTITUTE($A135," ",""),"(주)",""),"주식회사",""),"㈜","")))</f>
        <v/>
      </c>
      <c r="H135" s="10" t="str">
        <f aca="false">IF($B135="","",SUBSTITUTE(SUBSTITUTE(SUBSTITUTE($B135,"-","")," ",""),".",""))</f>
        <v/>
      </c>
      <c r="I135" s="10" t="str">
        <f aca="false">IF($D135="","",SUBSTITUTE(SUBSTITUTE(SUBSTITUTE($D135,"-","")," ",""),".",""))</f>
        <v/>
      </c>
      <c r="J135" s="10" t="str">
        <f aca="false">IF($E135="","",UPPER(SUBSTITUTE($E135," ","")))</f>
        <v/>
      </c>
      <c r="K135" s="10" t="str">
        <f aca="false">IF($A135="","",$G135&amp;"|"&amp;$J135)</f>
        <v/>
      </c>
      <c r="L135" s="10" t="str">
        <f aca="false">IF($A135="","",ROW()-2)</f>
        <v/>
      </c>
      <c r="M135" s="10" t="str">
        <f aca="false">IF($A135="","",ROW())</f>
        <v/>
      </c>
    </row>
    <row r="136" customFormat="false" ht="15" hidden="false" customHeight="true" outlineLevel="0" collapsed="false">
      <c r="A136" s="8"/>
      <c r="B136" s="8"/>
      <c r="C136" s="8"/>
      <c r="D136" s="8"/>
      <c r="E136" s="8"/>
      <c r="F136" s="8"/>
      <c r="G136" s="10" t="str">
        <f aca="false">IF($A136="","",UPPER(SUBSTITUTE(SUBSTITUTE(SUBSTITUTE(SUBSTITUTE($A136," ",""),"(주)",""),"주식회사",""),"㈜","")))</f>
        <v/>
      </c>
      <c r="H136" s="10" t="str">
        <f aca="false">IF($B136="","",SUBSTITUTE(SUBSTITUTE(SUBSTITUTE($B136,"-","")," ",""),".",""))</f>
        <v/>
      </c>
      <c r="I136" s="10" t="str">
        <f aca="false">IF($D136="","",SUBSTITUTE(SUBSTITUTE(SUBSTITUTE($D136,"-","")," ",""),".",""))</f>
        <v/>
      </c>
      <c r="J136" s="10" t="str">
        <f aca="false">IF($E136="","",UPPER(SUBSTITUTE($E136," ","")))</f>
        <v/>
      </c>
      <c r="K136" s="10" t="str">
        <f aca="false">IF($A136="","",$G136&amp;"|"&amp;$J136)</f>
        <v/>
      </c>
      <c r="L136" s="10" t="str">
        <f aca="false">IF($A136="","",ROW()-2)</f>
        <v/>
      </c>
      <c r="M136" s="10" t="str">
        <f aca="false">IF($A136="","",ROW())</f>
        <v/>
      </c>
    </row>
    <row r="137" customFormat="false" ht="15" hidden="false" customHeight="true" outlineLevel="0" collapsed="false">
      <c r="A137" s="8"/>
      <c r="B137" s="8"/>
      <c r="C137" s="8"/>
      <c r="D137" s="8"/>
      <c r="E137" s="8"/>
      <c r="F137" s="8"/>
      <c r="G137" s="10" t="str">
        <f aca="false">IF($A137="","",UPPER(SUBSTITUTE(SUBSTITUTE(SUBSTITUTE(SUBSTITUTE($A137," ",""),"(주)",""),"주식회사",""),"㈜","")))</f>
        <v/>
      </c>
      <c r="H137" s="10" t="str">
        <f aca="false">IF($B137="","",SUBSTITUTE(SUBSTITUTE(SUBSTITUTE($B137,"-","")," ",""),".",""))</f>
        <v/>
      </c>
      <c r="I137" s="10" t="str">
        <f aca="false">IF($D137="","",SUBSTITUTE(SUBSTITUTE(SUBSTITUTE($D137,"-","")," ",""),".",""))</f>
        <v/>
      </c>
      <c r="J137" s="10" t="str">
        <f aca="false">IF($E137="","",UPPER(SUBSTITUTE($E137," ","")))</f>
        <v/>
      </c>
      <c r="K137" s="10" t="str">
        <f aca="false">IF($A137="","",$G137&amp;"|"&amp;$J137)</f>
        <v/>
      </c>
      <c r="L137" s="10" t="str">
        <f aca="false">IF($A137="","",ROW()-2)</f>
        <v/>
      </c>
      <c r="M137" s="10" t="str">
        <f aca="false">IF($A137="","",ROW())</f>
        <v/>
      </c>
    </row>
    <row r="138" customFormat="false" ht="15" hidden="false" customHeight="true" outlineLevel="0" collapsed="false">
      <c r="A138" s="8"/>
      <c r="B138" s="8"/>
      <c r="C138" s="8"/>
      <c r="D138" s="8"/>
      <c r="E138" s="8"/>
      <c r="F138" s="8"/>
      <c r="G138" s="10" t="str">
        <f aca="false">IF($A138="","",UPPER(SUBSTITUTE(SUBSTITUTE(SUBSTITUTE(SUBSTITUTE($A138," ",""),"(주)",""),"주식회사",""),"㈜","")))</f>
        <v/>
      </c>
      <c r="H138" s="10" t="str">
        <f aca="false">IF($B138="","",SUBSTITUTE(SUBSTITUTE(SUBSTITUTE($B138,"-","")," ",""),".",""))</f>
        <v/>
      </c>
      <c r="I138" s="10" t="str">
        <f aca="false">IF($D138="","",SUBSTITUTE(SUBSTITUTE(SUBSTITUTE($D138,"-","")," ",""),".",""))</f>
        <v/>
      </c>
      <c r="J138" s="10" t="str">
        <f aca="false">IF($E138="","",UPPER(SUBSTITUTE($E138," ","")))</f>
        <v/>
      </c>
      <c r="K138" s="10" t="str">
        <f aca="false">IF($A138="","",$G138&amp;"|"&amp;$J138)</f>
        <v/>
      </c>
      <c r="L138" s="10" t="str">
        <f aca="false">IF($A138="","",ROW()-2)</f>
        <v/>
      </c>
      <c r="M138" s="10" t="str">
        <f aca="false">IF($A138="","",ROW())</f>
        <v/>
      </c>
    </row>
    <row r="139" customFormat="false" ht="15" hidden="false" customHeight="true" outlineLevel="0" collapsed="false">
      <c r="A139" s="8"/>
      <c r="B139" s="8"/>
      <c r="C139" s="8"/>
      <c r="D139" s="8"/>
      <c r="E139" s="8"/>
      <c r="F139" s="8"/>
      <c r="G139" s="10" t="str">
        <f aca="false">IF($A139="","",UPPER(SUBSTITUTE(SUBSTITUTE(SUBSTITUTE(SUBSTITUTE($A139," ",""),"(주)",""),"주식회사",""),"㈜","")))</f>
        <v/>
      </c>
      <c r="H139" s="10" t="str">
        <f aca="false">IF($B139="","",SUBSTITUTE(SUBSTITUTE(SUBSTITUTE($B139,"-","")," ",""),".",""))</f>
        <v/>
      </c>
      <c r="I139" s="10" t="str">
        <f aca="false">IF($D139="","",SUBSTITUTE(SUBSTITUTE(SUBSTITUTE($D139,"-","")," ",""),".",""))</f>
        <v/>
      </c>
      <c r="J139" s="10" t="str">
        <f aca="false">IF($E139="","",UPPER(SUBSTITUTE($E139," ","")))</f>
        <v/>
      </c>
      <c r="K139" s="10" t="str">
        <f aca="false">IF($A139="","",$G139&amp;"|"&amp;$J139)</f>
        <v/>
      </c>
      <c r="L139" s="10" t="str">
        <f aca="false">IF($A139="","",ROW()-2)</f>
        <v/>
      </c>
      <c r="M139" s="10" t="str">
        <f aca="false">IF($A139="","",ROW())</f>
        <v/>
      </c>
    </row>
    <row r="140" customFormat="false" ht="15" hidden="false" customHeight="true" outlineLevel="0" collapsed="false">
      <c r="A140" s="8"/>
      <c r="B140" s="8"/>
      <c r="C140" s="8"/>
      <c r="D140" s="8"/>
      <c r="E140" s="8"/>
      <c r="F140" s="8"/>
      <c r="G140" s="10" t="str">
        <f aca="false">IF($A140="","",UPPER(SUBSTITUTE(SUBSTITUTE(SUBSTITUTE(SUBSTITUTE($A140," ",""),"(주)",""),"주식회사",""),"㈜","")))</f>
        <v/>
      </c>
      <c r="H140" s="10" t="str">
        <f aca="false">IF($B140="","",SUBSTITUTE(SUBSTITUTE(SUBSTITUTE($B140,"-","")," ",""),".",""))</f>
        <v/>
      </c>
      <c r="I140" s="10" t="str">
        <f aca="false">IF($D140="","",SUBSTITUTE(SUBSTITUTE(SUBSTITUTE($D140,"-","")," ",""),".",""))</f>
        <v/>
      </c>
      <c r="J140" s="10" t="str">
        <f aca="false">IF($E140="","",UPPER(SUBSTITUTE($E140," ","")))</f>
        <v/>
      </c>
      <c r="K140" s="10" t="str">
        <f aca="false">IF($A140="","",$G140&amp;"|"&amp;$J140)</f>
        <v/>
      </c>
      <c r="L140" s="10" t="str">
        <f aca="false">IF($A140="","",ROW()-2)</f>
        <v/>
      </c>
      <c r="M140" s="10" t="str">
        <f aca="false">IF($A140="","",ROW())</f>
        <v/>
      </c>
    </row>
    <row r="141" customFormat="false" ht="15" hidden="false" customHeight="true" outlineLevel="0" collapsed="false">
      <c r="A141" s="8"/>
      <c r="B141" s="8"/>
      <c r="C141" s="8"/>
      <c r="D141" s="8"/>
      <c r="E141" s="8"/>
      <c r="F141" s="8"/>
      <c r="G141" s="10" t="str">
        <f aca="false">IF($A141="","",UPPER(SUBSTITUTE(SUBSTITUTE(SUBSTITUTE(SUBSTITUTE($A141," ",""),"(주)",""),"주식회사",""),"㈜","")))</f>
        <v/>
      </c>
      <c r="H141" s="10" t="str">
        <f aca="false">IF($B141="","",SUBSTITUTE(SUBSTITUTE(SUBSTITUTE($B141,"-","")," ",""),".",""))</f>
        <v/>
      </c>
      <c r="I141" s="10" t="str">
        <f aca="false">IF($D141="","",SUBSTITUTE(SUBSTITUTE(SUBSTITUTE($D141,"-","")," ",""),".",""))</f>
        <v/>
      </c>
      <c r="J141" s="10" t="str">
        <f aca="false">IF($E141="","",UPPER(SUBSTITUTE($E141," ","")))</f>
        <v/>
      </c>
      <c r="K141" s="10" t="str">
        <f aca="false">IF($A141="","",$G141&amp;"|"&amp;$J141)</f>
        <v/>
      </c>
      <c r="L141" s="10" t="str">
        <f aca="false">IF($A141="","",ROW()-2)</f>
        <v/>
      </c>
      <c r="M141" s="10" t="str">
        <f aca="false">IF($A141="","",ROW())</f>
        <v/>
      </c>
    </row>
    <row r="142" customFormat="false" ht="15" hidden="false" customHeight="true" outlineLevel="0" collapsed="false">
      <c r="A142" s="8"/>
      <c r="B142" s="8"/>
      <c r="C142" s="8"/>
      <c r="D142" s="8"/>
      <c r="E142" s="8"/>
      <c r="F142" s="8"/>
      <c r="G142" s="10" t="str">
        <f aca="false">IF($A142="","",UPPER(SUBSTITUTE(SUBSTITUTE(SUBSTITUTE(SUBSTITUTE($A142," ",""),"(주)",""),"주식회사",""),"㈜","")))</f>
        <v/>
      </c>
      <c r="H142" s="10" t="str">
        <f aca="false">IF($B142="","",SUBSTITUTE(SUBSTITUTE(SUBSTITUTE($B142,"-","")," ",""),".",""))</f>
        <v/>
      </c>
      <c r="I142" s="10" t="str">
        <f aca="false">IF($D142="","",SUBSTITUTE(SUBSTITUTE(SUBSTITUTE($D142,"-","")," ",""),".",""))</f>
        <v/>
      </c>
      <c r="J142" s="10" t="str">
        <f aca="false">IF($E142="","",UPPER(SUBSTITUTE($E142," ","")))</f>
        <v/>
      </c>
      <c r="K142" s="10" t="str">
        <f aca="false">IF($A142="","",$G142&amp;"|"&amp;$J142)</f>
        <v/>
      </c>
      <c r="L142" s="10" t="str">
        <f aca="false">IF($A142="","",ROW()-2)</f>
        <v/>
      </c>
      <c r="M142" s="10" t="str">
        <f aca="false">IF($A142="","",ROW())</f>
        <v/>
      </c>
    </row>
    <row r="143" customFormat="false" ht="15" hidden="false" customHeight="true" outlineLevel="0" collapsed="false">
      <c r="A143" s="8"/>
      <c r="B143" s="8"/>
      <c r="C143" s="8"/>
      <c r="D143" s="8"/>
      <c r="E143" s="8"/>
      <c r="F143" s="8"/>
      <c r="G143" s="10" t="str">
        <f aca="false">IF($A143="","",UPPER(SUBSTITUTE(SUBSTITUTE(SUBSTITUTE(SUBSTITUTE($A143," ",""),"(주)",""),"주식회사",""),"㈜","")))</f>
        <v/>
      </c>
      <c r="H143" s="10" t="str">
        <f aca="false">IF($B143="","",SUBSTITUTE(SUBSTITUTE(SUBSTITUTE($B143,"-","")," ",""),".",""))</f>
        <v/>
      </c>
      <c r="I143" s="10" t="str">
        <f aca="false">IF($D143="","",SUBSTITUTE(SUBSTITUTE(SUBSTITUTE($D143,"-","")," ",""),".",""))</f>
        <v/>
      </c>
      <c r="J143" s="10" t="str">
        <f aca="false">IF($E143="","",UPPER(SUBSTITUTE($E143," ","")))</f>
        <v/>
      </c>
      <c r="K143" s="10" t="str">
        <f aca="false">IF($A143="","",$G143&amp;"|"&amp;$J143)</f>
        <v/>
      </c>
      <c r="L143" s="10" t="str">
        <f aca="false">IF($A143="","",ROW()-2)</f>
        <v/>
      </c>
      <c r="M143" s="10" t="str">
        <f aca="false">IF($A143="","",ROW())</f>
        <v/>
      </c>
    </row>
    <row r="144" customFormat="false" ht="15" hidden="false" customHeight="true" outlineLevel="0" collapsed="false">
      <c r="A144" s="8"/>
      <c r="B144" s="8"/>
      <c r="C144" s="8"/>
      <c r="D144" s="8"/>
      <c r="E144" s="8"/>
      <c r="F144" s="8"/>
      <c r="G144" s="10" t="str">
        <f aca="false">IF($A144="","",UPPER(SUBSTITUTE(SUBSTITUTE(SUBSTITUTE(SUBSTITUTE($A144," ",""),"(주)",""),"주식회사",""),"㈜","")))</f>
        <v/>
      </c>
      <c r="H144" s="10" t="str">
        <f aca="false">IF($B144="","",SUBSTITUTE(SUBSTITUTE(SUBSTITUTE($B144,"-","")," ",""),".",""))</f>
        <v/>
      </c>
      <c r="I144" s="10" t="str">
        <f aca="false">IF($D144="","",SUBSTITUTE(SUBSTITUTE(SUBSTITUTE($D144,"-","")," ",""),".",""))</f>
        <v/>
      </c>
      <c r="J144" s="10" t="str">
        <f aca="false">IF($E144="","",UPPER(SUBSTITUTE($E144," ","")))</f>
        <v/>
      </c>
      <c r="K144" s="10" t="str">
        <f aca="false">IF($A144="","",$G144&amp;"|"&amp;$J144)</f>
        <v/>
      </c>
      <c r="L144" s="10" t="str">
        <f aca="false">IF($A144="","",ROW()-2)</f>
        <v/>
      </c>
      <c r="M144" s="10" t="str">
        <f aca="false">IF($A144="","",ROW())</f>
        <v/>
      </c>
    </row>
    <row r="145" customFormat="false" ht="15" hidden="false" customHeight="true" outlineLevel="0" collapsed="false">
      <c r="A145" s="8"/>
      <c r="B145" s="8"/>
      <c r="C145" s="8"/>
      <c r="D145" s="8"/>
      <c r="E145" s="8"/>
      <c r="F145" s="8"/>
      <c r="G145" s="10" t="str">
        <f aca="false">IF($A145="","",UPPER(SUBSTITUTE(SUBSTITUTE(SUBSTITUTE(SUBSTITUTE($A145," ",""),"(주)",""),"주식회사",""),"㈜","")))</f>
        <v/>
      </c>
      <c r="H145" s="10" t="str">
        <f aca="false">IF($B145="","",SUBSTITUTE(SUBSTITUTE(SUBSTITUTE($B145,"-","")," ",""),".",""))</f>
        <v/>
      </c>
      <c r="I145" s="10" t="str">
        <f aca="false">IF($D145="","",SUBSTITUTE(SUBSTITUTE(SUBSTITUTE($D145,"-","")," ",""),".",""))</f>
        <v/>
      </c>
      <c r="J145" s="10" t="str">
        <f aca="false">IF($E145="","",UPPER(SUBSTITUTE($E145," ","")))</f>
        <v/>
      </c>
      <c r="K145" s="10" t="str">
        <f aca="false">IF($A145="","",$G145&amp;"|"&amp;$J145)</f>
        <v/>
      </c>
      <c r="L145" s="10" t="str">
        <f aca="false">IF($A145="","",ROW()-2)</f>
        <v/>
      </c>
      <c r="M145" s="10" t="str">
        <f aca="false">IF($A145="","",ROW())</f>
        <v/>
      </c>
    </row>
    <row r="146" customFormat="false" ht="15" hidden="false" customHeight="true" outlineLevel="0" collapsed="false">
      <c r="A146" s="8"/>
      <c r="B146" s="8"/>
      <c r="C146" s="8"/>
      <c r="D146" s="8"/>
      <c r="E146" s="8"/>
      <c r="F146" s="8"/>
      <c r="G146" s="10" t="str">
        <f aca="false">IF($A146="","",UPPER(SUBSTITUTE(SUBSTITUTE(SUBSTITUTE(SUBSTITUTE($A146," ",""),"(주)",""),"주식회사",""),"㈜","")))</f>
        <v/>
      </c>
      <c r="H146" s="10" t="str">
        <f aca="false">IF($B146="","",SUBSTITUTE(SUBSTITUTE(SUBSTITUTE($B146,"-","")," ",""),".",""))</f>
        <v/>
      </c>
      <c r="I146" s="10" t="str">
        <f aca="false">IF($D146="","",SUBSTITUTE(SUBSTITUTE(SUBSTITUTE($D146,"-","")," ",""),".",""))</f>
        <v/>
      </c>
      <c r="J146" s="10" t="str">
        <f aca="false">IF($E146="","",UPPER(SUBSTITUTE($E146," ","")))</f>
        <v/>
      </c>
      <c r="K146" s="10" t="str">
        <f aca="false">IF($A146="","",$G146&amp;"|"&amp;$J146)</f>
        <v/>
      </c>
      <c r="L146" s="10" t="str">
        <f aca="false">IF($A146="","",ROW()-2)</f>
        <v/>
      </c>
      <c r="M146" s="10" t="str">
        <f aca="false">IF($A146="","",ROW())</f>
        <v/>
      </c>
    </row>
    <row r="147" customFormat="false" ht="15" hidden="false" customHeight="true" outlineLevel="0" collapsed="false">
      <c r="A147" s="8"/>
      <c r="B147" s="8"/>
      <c r="C147" s="8"/>
      <c r="D147" s="8"/>
      <c r="E147" s="8"/>
      <c r="F147" s="8"/>
      <c r="G147" s="10" t="str">
        <f aca="false">IF($A147="","",UPPER(SUBSTITUTE(SUBSTITUTE(SUBSTITUTE(SUBSTITUTE($A147," ",""),"(주)",""),"주식회사",""),"㈜","")))</f>
        <v/>
      </c>
      <c r="H147" s="10" t="str">
        <f aca="false">IF($B147="","",SUBSTITUTE(SUBSTITUTE(SUBSTITUTE($B147,"-","")," ",""),".",""))</f>
        <v/>
      </c>
      <c r="I147" s="10" t="str">
        <f aca="false">IF($D147="","",SUBSTITUTE(SUBSTITUTE(SUBSTITUTE($D147,"-","")," ",""),".",""))</f>
        <v/>
      </c>
      <c r="J147" s="10" t="str">
        <f aca="false">IF($E147="","",UPPER(SUBSTITUTE($E147," ","")))</f>
        <v/>
      </c>
      <c r="K147" s="10" t="str">
        <f aca="false">IF($A147="","",$G147&amp;"|"&amp;$J147)</f>
        <v/>
      </c>
      <c r="L147" s="10" t="str">
        <f aca="false">IF($A147="","",ROW()-2)</f>
        <v/>
      </c>
      <c r="M147" s="10" t="str">
        <f aca="false">IF($A147="","",ROW())</f>
        <v/>
      </c>
    </row>
    <row r="148" customFormat="false" ht="15" hidden="false" customHeight="true" outlineLevel="0" collapsed="false">
      <c r="A148" s="8"/>
      <c r="B148" s="8"/>
      <c r="C148" s="8"/>
      <c r="D148" s="8"/>
      <c r="E148" s="8"/>
      <c r="F148" s="8"/>
      <c r="G148" s="10" t="str">
        <f aca="false">IF($A148="","",UPPER(SUBSTITUTE(SUBSTITUTE(SUBSTITUTE(SUBSTITUTE($A148," ",""),"(주)",""),"주식회사",""),"㈜","")))</f>
        <v/>
      </c>
      <c r="H148" s="10" t="str">
        <f aca="false">IF($B148="","",SUBSTITUTE(SUBSTITUTE(SUBSTITUTE($B148,"-","")," ",""),".",""))</f>
        <v/>
      </c>
      <c r="I148" s="10" t="str">
        <f aca="false">IF($D148="","",SUBSTITUTE(SUBSTITUTE(SUBSTITUTE($D148,"-","")," ",""),".",""))</f>
        <v/>
      </c>
      <c r="J148" s="10" t="str">
        <f aca="false">IF($E148="","",UPPER(SUBSTITUTE($E148," ","")))</f>
        <v/>
      </c>
      <c r="K148" s="10" t="str">
        <f aca="false">IF($A148="","",$G148&amp;"|"&amp;$J148)</f>
        <v/>
      </c>
      <c r="L148" s="10" t="str">
        <f aca="false">IF($A148="","",ROW()-2)</f>
        <v/>
      </c>
      <c r="M148" s="10" t="str">
        <f aca="false">IF($A148="","",ROW())</f>
        <v/>
      </c>
    </row>
    <row r="149" customFormat="false" ht="15" hidden="false" customHeight="true" outlineLevel="0" collapsed="false">
      <c r="A149" s="8"/>
      <c r="B149" s="8"/>
      <c r="C149" s="8"/>
      <c r="D149" s="8"/>
      <c r="E149" s="8"/>
      <c r="F149" s="8"/>
      <c r="G149" s="10" t="str">
        <f aca="false">IF($A149="","",UPPER(SUBSTITUTE(SUBSTITUTE(SUBSTITUTE(SUBSTITUTE($A149," ",""),"(주)",""),"주식회사",""),"㈜","")))</f>
        <v/>
      </c>
      <c r="H149" s="10" t="str">
        <f aca="false">IF($B149="","",SUBSTITUTE(SUBSTITUTE(SUBSTITUTE($B149,"-","")," ",""),".",""))</f>
        <v/>
      </c>
      <c r="I149" s="10" t="str">
        <f aca="false">IF($D149="","",SUBSTITUTE(SUBSTITUTE(SUBSTITUTE($D149,"-","")," ",""),".",""))</f>
        <v/>
      </c>
      <c r="J149" s="10" t="str">
        <f aca="false">IF($E149="","",UPPER(SUBSTITUTE($E149," ","")))</f>
        <v/>
      </c>
      <c r="K149" s="10" t="str">
        <f aca="false">IF($A149="","",$G149&amp;"|"&amp;$J149)</f>
        <v/>
      </c>
      <c r="L149" s="10" t="str">
        <f aca="false">IF($A149="","",ROW()-2)</f>
        <v/>
      </c>
      <c r="M149" s="10" t="str">
        <f aca="false">IF($A149="","",ROW())</f>
        <v/>
      </c>
    </row>
    <row r="150" customFormat="false" ht="15" hidden="false" customHeight="true" outlineLevel="0" collapsed="false">
      <c r="A150" s="8"/>
      <c r="B150" s="8"/>
      <c r="C150" s="8"/>
      <c r="D150" s="8"/>
      <c r="E150" s="8"/>
      <c r="F150" s="8"/>
      <c r="G150" s="10" t="str">
        <f aca="false">IF($A150="","",UPPER(SUBSTITUTE(SUBSTITUTE(SUBSTITUTE(SUBSTITUTE($A150," ",""),"(주)",""),"주식회사",""),"㈜","")))</f>
        <v/>
      </c>
      <c r="H150" s="10" t="str">
        <f aca="false">IF($B150="","",SUBSTITUTE(SUBSTITUTE(SUBSTITUTE($B150,"-","")," ",""),".",""))</f>
        <v/>
      </c>
      <c r="I150" s="10" t="str">
        <f aca="false">IF($D150="","",SUBSTITUTE(SUBSTITUTE(SUBSTITUTE($D150,"-","")," ",""),".",""))</f>
        <v/>
      </c>
      <c r="J150" s="10" t="str">
        <f aca="false">IF($E150="","",UPPER(SUBSTITUTE($E150," ","")))</f>
        <v/>
      </c>
      <c r="K150" s="10" t="str">
        <f aca="false">IF($A150="","",$G150&amp;"|"&amp;$J150)</f>
        <v/>
      </c>
      <c r="L150" s="10" t="str">
        <f aca="false">IF($A150="","",ROW()-2)</f>
        <v/>
      </c>
      <c r="M150" s="10" t="str">
        <f aca="false">IF($A150="","",ROW())</f>
        <v/>
      </c>
    </row>
    <row r="151" customFormat="false" ht="15" hidden="false" customHeight="true" outlineLevel="0" collapsed="false">
      <c r="A151" s="8"/>
      <c r="B151" s="8"/>
      <c r="C151" s="8"/>
      <c r="D151" s="8"/>
      <c r="E151" s="8"/>
      <c r="F151" s="8"/>
      <c r="G151" s="10" t="str">
        <f aca="false">IF($A151="","",UPPER(SUBSTITUTE(SUBSTITUTE(SUBSTITUTE(SUBSTITUTE($A151," ",""),"(주)",""),"주식회사",""),"㈜","")))</f>
        <v/>
      </c>
      <c r="H151" s="10" t="str">
        <f aca="false">IF($B151="","",SUBSTITUTE(SUBSTITUTE(SUBSTITUTE($B151,"-","")," ",""),".",""))</f>
        <v/>
      </c>
      <c r="I151" s="10" t="str">
        <f aca="false">IF($D151="","",SUBSTITUTE(SUBSTITUTE(SUBSTITUTE($D151,"-","")," ",""),".",""))</f>
        <v/>
      </c>
      <c r="J151" s="10" t="str">
        <f aca="false">IF($E151="","",UPPER(SUBSTITUTE($E151," ","")))</f>
        <v/>
      </c>
      <c r="K151" s="10" t="str">
        <f aca="false">IF($A151="","",$G151&amp;"|"&amp;$J151)</f>
        <v/>
      </c>
      <c r="L151" s="10" t="str">
        <f aca="false">IF($A151="","",ROW()-2)</f>
        <v/>
      </c>
      <c r="M151" s="10" t="str">
        <f aca="false">IF($A151="","",ROW())</f>
        <v/>
      </c>
    </row>
    <row r="152" customFormat="false" ht="15" hidden="false" customHeight="true" outlineLevel="0" collapsed="false">
      <c r="A152" s="8"/>
      <c r="B152" s="8"/>
      <c r="C152" s="8"/>
      <c r="D152" s="8"/>
      <c r="E152" s="8"/>
      <c r="F152" s="8"/>
      <c r="G152" s="10" t="str">
        <f aca="false">IF($A152="","",UPPER(SUBSTITUTE(SUBSTITUTE(SUBSTITUTE(SUBSTITUTE($A152," ",""),"(주)",""),"주식회사",""),"㈜","")))</f>
        <v/>
      </c>
      <c r="H152" s="10" t="str">
        <f aca="false">IF($B152="","",SUBSTITUTE(SUBSTITUTE(SUBSTITUTE($B152,"-","")," ",""),".",""))</f>
        <v/>
      </c>
      <c r="I152" s="10" t="str">
        <f aca="false">IF($D152="","",SUBSTITUTE(SUBSTITUTE(SUBSTITUTE($D152,"-","")," ",""),".",""))</f>
        <v/>
      </c>
      <c r="J152" s="10" t="str">
        <f aca="false">IF($E152="","",UPPER(SUBSTITUTE($E152," ","")))</f>
        <v/>
      </c>
      <c r="K152" s="10" t="str">
        <f aca="false">IF($A152="","",$G152&amp;"|"&amp;$J152)</f>
        <v/>
      </c>
      <c r="L152" s="10" t="str">
        <f aca="false">IF($A152="","",ROW()-2)</f>
        <v/>
      </c>
      <c r="M152" s="10" t="str">
        <f aca="false">IF($A152="","",ROW())</f>
        <v/>
      </c>
    </row>
    <row r="153" customFormat="false" ht="15" hidden="false" customHeight="true" outlineLevel="0" collapsed="false">
      <c r="A153" s="8"/>
      <c r="B153" s="8"/>
      <c r="C153" s="8"/>
      <c r="D153" s="8"/>
      <c r="E153" s="8"/>
      <c r="F153" s="8"/>
      <c r="G153" s="10" t="str">
        <f aca="false">IF($A153="","",UPPER(SUBSTITUTE(SUBSTITUTE(SUBSTITUTE(SUBSTITUTE($A153," ",""),"(주)",""),"주식회사",""),"㈜","")))</f>
        <v/>
      </c>
      <c r="H153" s="10" t="str">
        <f aca="false">IF($B153="","",SUBSTITUTE(SUBSTITUTE(SUBSTITUTE($B153,"-","")," ",""),".",""))</f>
        <v/>
      </c>
      <c r="I153" s="10" t="str">
        <f aca="false">IF($D153="","",SUBSTITUTE(SUBSTITUTE(SUBSTITUTE($D153,"-","")," ",""),".",""))</f>
        <v/>
      </c>
      <c r="J153" s="10" t="str">
        <f aca="false">IF($E153="","",UPPER(SUBSTITUTE($E153," ","")))</f>
        <v/>
      </c>
      <c r="K153" s="10" t="str">
        <f aca="false">IF($A153="","",$G153&amp;"|"&amp;$J153)</f>
        <v/>
      </c>
      <c r="L153" s="10" t="str">
        <f aca="false">IF($A153="","",ROW()-2)</f>
        <v/>
      </c>
      <c r="M153" s="10" t="str">
        <f aca="false">IF($A153="","",ROW())</f>
        <v/>
      </c>
    </row>
    <row r="154" customFormat="false" ht="15" hidden="false" customHeight="true" outlineLevel="0" collapsed="false">
      <c r="A154" s="8"/>
      <c r="B154" s="8"/>
      <c r="C154" s="8"/>
      <c r="D154" s="8"/>
      <c r="E154" s="8"/>
      <c r="F154" s="8"/>
      <c r="G154" s="10" t="str">
        <f aca="false">IF($A154="","",UPPER(SUBSTITUTE(SUBSTITUTE(SUBSTITUTE(SUBSTITUTE($A154," ",""),"(주)",""),"주식회사",""),"㈜","")))</f>
        <v/>
      </c>
      <c r="H154" s="10" t="str">
        <f aca="false">IF($B154="","",SUBSTITUTE(SUBSTITUTE(SUBSTITUTE($B154,"-","")," ",""),".",""))</f>
        <v/>
      </c>
      <c r="I154" s="10" t="str">
        <f aca="false">IF($D154="","",SUBSTITUTE(SUBSTITUTE(SUBSTITUTE($D154,"-","")," ",""),".",""))</f>
        <v/>
      </c>
      <c r="J154" s="10" t="str">
        <f aca="false">IF($E154="","",UPPER(SUBSTITUTE($E154," ","")))</f>
        <v/>
      </c>
      <c r="K154" s="10" t="str">
        <f aca="false">IF($A154="","",$G154&amp;"|"&amp;$J154)</f>
        <v/>
      </c>
      <c r="L154" s="10" t="str">
        <f aca="false">IF($A154="","",ROW()-2)</f>
        <v/>
      </c>
      <c r="M154" s="10" t="str">
        <f aca="false">IF($A154="","",ROW())</f>
        <v/>
      </c>
    </row>
    <row r="155" customFormat="false" ht="15" hidden="false" customHeight="true" outlineLevel="0" collapsed="false">
      <c r="A155" s="8"/>
      <c r="B155" s="8"/>
      <c r="C155" s="8"/>
      <c r="D155" s="8"/>
      <c r="E155" s="8"/>
      <c r="F155" s="8"/>
      <c r="G155" s="10" t="str">
        <f aca="false">IF($A155="","",UPPER(SUBSTITUTE(SUBSTITUTE(SUBSTITUTE(SUBSTITUTE($A155," ",""),"(주)",""),"주식회사",""),"㈜","")))</f>
        <v/>
      </c>
      <c r="H155" s="10" t="str">
        <f aca="false">IF($B155="","",SUBSTITUTE(SUBSTITUTE(SUBSTITUTE($B155,"-","")," ",""),".",""))</f>
        <v/>
      </c>
      <c r="I155" s="10" t="str">
        <f aca="false">IF($D155="","",SUBSTITUTE(SUBSTITUTE(SUBSTITUTE($D155,"-","")," ",""),".",""))</f>
        <v/>
      </c>
      <c r="J155" s="10" t="str">
        <f aca="false">IF($E155="","",UPPER(SUBSTITUTE($E155," ","")))</f>
        <v/>
      </c>
      <c r="K155" s="10" t="str">
        <f aca="false">IF($A155="","",$G155&amp;"|"&amp;$J155)</f>
        <v/>
      </c>
      <c r="L155" s="10" t="str">
        <f aca="false">IF($A155="","",ROW()-2)</f>
        <v/>
      </c>
      <c r="M155" s="10" t="str">
        <f aca="false">IF($A155="","",ROW())</f>
        <v/>
      </c>
    </row>
    <row r="156" customFormat="false" ht="15" hidden="false" customHeight="true" outlineLevel="0" collapsed="false">
      <c r="A156" s="8"/>
      <c r="B156" s="8"/>
      <c r="C156" s="8"/>
      <c r="D156" s="8"/>
      <c r="E156" s="8"/>
      <c r="F156" s="8"/>
      <c r="G156" s="10" t="str">
        <f aca="false">IF($A156="","",UPPER(SUBSTITUTE(SUBSTITUTE(SUBSTITUTE(SUBSTITUTE($A156," ",""),"(주)",""),"주식회사",""),"㈜","")))</f>
        <v/>
      </c>
      <c r="H156" s="10" t="str">
        <f aca="false">IF($B156="","",SUBSTITUTE(SUBSTITUTE(SUBSTITUTE($B156,"-","")," ",""),".",""))</f>
        <v/>
      </c>
      <c r="I156" s="10" t="str">
        <f aca="false">IF($D156="","",SUBSTITUTE(SUBSTITUTE(SUBSTITUTE($D156,"-","")," ",""),".",""))</f>
        <v/>
      </c>
      <c r="J156" s="10" t="str">
        <f aca="false">IF($E156="","",UPPER(SUBSTITUTE($E156," ","")))</f>
        <v/>
      </c>
      <c r="K156" s="10" t="str">
        <f aca="false">IF($A156="","",$G156&amp;"|"&amp;$J156)</f>
        <v/>
      </c>
      <c r="L156" s="10" t="str">
        <f aca="false">IF($A156="","",ROW()-2)</f>
        <v/>
      </c>
      <c r="M156" s="10" t="str">
        <f aca="false">IF($A156="","",ROW())</f>
        <v/>
      </c>
    </row>
    <row r="157" customFormat="false" ht="15" hidden="false" customHeight="true" outlineLevel="0" collapsed="false">
      <c r="A157" s="8"/>
      <c r="B157" s="8"/>
      <c r="C157" s="8"/>
      <c r="D157" s="8"/>
      <c r="E157" s="8"/>
      <c r="F157" s="8"/>
      <c r="G157" s="10" t="str">
        <f aca="false">IF($A157="","",UPPER(SUBSTITUTE(SUBSTITUTE(SUBSTITUTE(SUBSTITUTE($A157," ",""),"(주)",""),"주식회사",""),"㈜","")))</f>
        <v/>
      </c>
      <c r="H157" s="10" t="str">
        <f aca="false">IF($B157="","",SUBSTITUTE(SUBSTITUTE(SUBSTITUTE($B157,"-","")," ",""),".",""))</f>
        <v/>
      </c>
      <c r="I157" s="10" t="str">
        <f aca="false">IF($D157="","",SUBSTITUTE(SUBSTITUTE(SUBSTITUTE($D157,"-","")," ",""),".",""))</f>
        <v/>
      </c>
      <c r="J157" s="10" t="str">
        <f aca="false">IF($E157="","",UPPER(SUBSTITUTE($E157," ","")))</f>
        <v/>
      </c>
      <c r="K157" s="10" t="str">
        <f aca="false">IF($A157="","",$G157&amp;"|"&amp;$J157)</f>
        <v/>
      </c>
      <c r="L157" s="10" t="str">
        <f aca="false">IF($A157="","",ROW()-2)</f>
        <v/>
      </c>
      <c r="M157" s="10" t="str">
        <f aca="false">IF($A157="","",ROW())</f>
        <v/>
      </c>
    </row>
    <row r="158" customFormat="false" ht="15" hidden="false" customHeight="true" outlineLevel="0" collapsed="false">
      <c r="A158" s="8"/>
      <c r="B158" s="8"/>
      <c r="C158" s="8"/>
      <c r="D158" s="8"/>
      <c r="E158" s="8"/>
      <c r="F158" s="8"/>
      <c r="G158" s="10" t="str">
        <f aca="false">IF($A158="","",UPPER(SUBSTITUTE(SUBSTITUTE(SUBSTITUTE(SUBSTITUTE($A158," ",""),"(주)",""),"주식회사",""),"㈜","")))</f>
        <v/>
      </c>
      <c r="H158" s="10" t="str">
        <f aca="false">IF($B158="","",SUBSTITUTE(SUBSTITUTE(SUBSTITUTE($B158,"-","")," ",""),".",""))</f>
        <v/>
      </c>
      <c r="I158" s="10" t="str">
        <f aca="false">IF($D158="","",SUBSTITUTE(SUBSTITUTE(SUBSTITUTE($D158,"-","")," ",""),".",""))</f>
        <v/>
      </c>
      <c r="J158" s="10" t="str">
        <f aca="false">IF($E158="","",UPPER(SUBSTITUTE($E158," ","")))</f>
        <v/>
      </c>
      <c r="K158" s="10" t="str">
        <f aca="false">IF($A158="","",$G158&amp;"|"&amp;$J158)</f>
        <v/>
      </c>
      <c r="L158" s="10" t="str">
        <f aca="false">IF($A158="","",ROW()-2)</f>
        <v/>
      </c>
      <c r="M158" s="10" t="str">
        <f aca="false">IF($A158="","",ROW())</f>
        <v/>
      </c>
    </row>
    <row r="159" customFormat="false" ht="15" hidden="false" customHeight="true" outlineLevel="0" collapsed="false">
      <c r="A159" s="8"/>
      <c r="B159" s="8"/>
      <c r="C159" s="8"/>
      <c r="D159" s="8"/>
      <c r="E159" s="8"/>
      <c r="F159" s="8"/>
      <c r="G159" s="10" t="str">
        <f aca="false">IF($A159="","",UPPER(SUBSTITUTE(SUBSTITUTE(SUBSTITUTE(SUBSTITUTE($A159," ",""),"(주)",""),"주식회사",""),"㈜","")))</f>
        <v/>
      </c>
      <c r="H159" s="10" t="str">
        <f aca="false">IF($B159="","",SUBSTITUTE(SUBSTITUTE(SUBSTITUTE($B159,"-","")," ",""),".",""))</f>
        <v/>
      </c>
      <c r="I159" s="10" t="str">
        <f aca="false">IF($D159="","",SUBSTITUTE(SUBSTITUTE(SUBSTITUTE($D159,"-","")," ",""),".",""))</f>
        <v/>
      </c>
      <c r="J159" s="10" t="str">
        <f aca="false">IF($E159="","",UPPER(SUBSTITUTE($E159," ","")))</f>
        <v/>
      </c>
      <c r="K159" s="10" t="str">
        <f aca="false">IF($A159="","",$G159&amp;"|"&amp;$J159)</f>
        <v/>
      </c>
      <c r="L159" s="10" t="str">
        <f aca="false">IF($A159="","",ROW()-2)</f>
        <v/>
      </c>
      <c r="M159" s="10" t="str">
        <f aca="false">IF($A159="","",ROW())</f>
        <v/>
      </c>
    </row>
    <row r="160" customFormat="false" ht="15" hidden="false" customHeight="true" outlineLevel="0" collapsed="false">
      <c r="A160" s="8"/>
      <c r="B160" s="8"/>
      <c r="C160" s="8"/>
      <c r="D160" s="8"/>
      <c r="E160" s="8"/>
      <c r="F160" s="8"/>
      <c r="G160" s="10" t="str">
        <f aca="false">IF($A160="","",UPPER(SUBSTITUTE(SUBSTITUTE(SUBSTITUTE(SUBSTITUTE($A160," ",""),"(주)",""),"주식회사",""),"㈜","")))</f>
        <v/>
      </c>
      <c r="H160" s="10" t="str">
        <f aca="false">IF($B160="","",SUBSTITUTE(SUBSTITUTE(SUBSTITUTE($B160,"-","")," ",""),".",""))</f>
        <v/>
      </c>
      <c r="I160" s="10" t="str">
        <f aca="false">IF($D160="","",SUBSTITUTE(SUBSTITUTE(SUBSTITUTE($D160,"-","")," ",""),".",""))</f>
        <v/>
      </c>
      <c r="J160" s="10" t="str">
        <f aca="false">IF($E160="","",UPPER(SUBSTITUTE($E160," ","")))</f>
        <v/>
      </c>
      <c r="K160" s="10" t="str">
        <f aca="false">IF($A160="","",$G160&amp;"|"&amp;$J160)</f>
        <v/>
      </c>
      <c r="L160" s="10" t="str">
        <f aca="false">IF($A160="","",ROW()-2)</f>
        <v/>
      </c>
      <c r="M160" s="10" t="str">
        <f aca="false">IF($A160="","",ROW())</f>
        <v/>
      </c>
    </row>
    <row r="161" customFormat="false" ht="15" hidden="false" customHeight="true" outlineLevel="0" collapsed="false">
      <c r="A161" s="8"/>
      <c r="B161" s="8"/>
      <c r="C161" s="8"/>
      <c r="D161" s="8"/>
      <c r="E161" s="8"/>
      <c r="F161" s="8"/>
      <c r="G161" s="10" t="str">
        <f aca="false">IF($A161="","",UPPER(SUBSTITUTE(SUBSTITUTE(SUBSTITUTE(SUBSTITUTE($A161," ",""),"(주)",""),"주식회사",""),"㈜","")))</f>
        <v/>
      </c>
      <c r="H161" s="10" t="str">
        <f aca="false">IF($B161="","",SUBSTITUTE(SUBSTITUTE(SUBSTITUTE($B161,"-","")," ",""),".",""))</f>
        <v/>
      </c>
      <c r="I161" s="10" t="str">
        <f aca="false">IF($D161="","",SUBSTITUTE(SUBSTITUTE(SUBSTITUTE($D161,"-","")," ",""),".",""))</f>
        <v/>
      </c>
      <c r="J161" s="10" t="str">
        <f aca="false">IF($E161="","",UPPER(SUBSTITUTE($E161," ","")))</f>
        <v/>
      </c>
      <c r="K161" s="10" t="str">
        <f aca="false">IF($A161="","",$G161&amp;"|"&amp;$J161)</f>
        <v/>
      </c>
      <c r="L161" s="10" t="str">
        <f aca="false">IF($A161="","",ROW()-2)</f>
        <v/>
      </c>
      <c r="M161" s="10" t="str">
        <f aca="false">IF($A161="","",ROW())</f>
        <v/>
      </c>
    </row>
    <row r="162" customFormat="false" ht="15" hidden="false" customHeight="true" outlineLevel="0" collapsed="false">
      <c r="A162" s="8"/>
      <c r="B162" s="8"/>
      <c r="C162" s="8"/>
      <c r="D162" s="8"/>
      <c r="E162" s="8"/>
      <c r="F162" s="8"/>
      <c r="G162" s="10" t="str">
        <f aca="false">IF($A162="","",UPPER(SUBSTITUTE(SUBSTITUTE(SUBSTITUTE(SUBSTITUTE($A162," ",""),"(주)",""),"주식회사",""),"㈜","")))</f>
        <v/>
      </c>
      <c r="H162" s="10" t="str">
        <f aca="false">IF($B162="","",SUBSTITUTE(SUBSTITUTE(SUBSTITUTE($B162,"-","")," ",""),".",""))</f>
        <v/>
      </c>
      <c r="I162" s="10" t="str">
        <f aca="false">IF($D162="","",SUBSTITUTE(SUBSTITUTE(SUBSTITUTE($D162,"-","")," ",""),".",""))</f>
        <v/>
      </c>
      <c r="J162" s="10" t="str">
        <f aca="false">IF($E162="","",UPPER(SUBSTITUTE($E162," ","")))</f>
        <v/>
      </c>
      <c r="K162" s="10" t="str">
        <f aca="false">IF($A162="","",$G162&amp;"|"&amp;$J162)</f>
        <v/>
      </c>
      <c r="L162" s="10" t="str">
        <f aca="false">IF($A162="","",ROW()-2)</f>
        <v/>
      </c>
      <c r="M162" s="10" t="str">
        <f aca="false">IF($A162="","",ROW())</f>
        <v/>
      </c>
    </row>
    <row r="163" customFormat="false" ht="15" hidden="false" customHeight="true" outlineLevel="0" collapsed="false">
      <c r="A163" s="8"/>
      <c r="B163" s="8"/>
      <c r="C163" s="8"/>
      <c r="D163" s="8"/>
      <c r="E163" s="8"/>
      <c r="F163" s="8"/>
      <c r="G163" s="10" t="str">
        <f aca="false">IF($A163="","",UPPER(SUBSTITUTE(SUBSTITUTE(SUBSTITUTE(SUBSTITUTE($A163," ",""),"(주)",""),"주식회사",""),"㈜","")))</f>
        <v/>
      </c>
      <c r="H163" s="10" t="str">
        <f aca="false">IF($B163="","",SUBSTITUTE(SUBSTITUTE(SUBSTITUTE($B163,"-","")," ",""),".",""))</f>
        <v/>
      </c>
      <c r="I163" s="10" t="str">
        <f aca="false">IF($D163="","",SUBSTITUTE(SUBSTITUTE(SUBSTITUTE($D163,"-","")," ",""),".",""))</f>
        <v/>
      </c>
      <c r="J163" s="10" t="str">
        <f aca="false">IF($E163="","",UPPER(SUBSTITUTE($E163," ","")))</f>
        <v/>
      </c>
      <c r="K163" s="10" t="str">
        <f aca="false">IF($A163="","",$G163&amp;"|"&amp;$J163)</f>
        <v/>
      </c>
      <c r="L163" s="10" t="str">
        <f aca="false">IF($A163="","",ROW()-2)</f>
        <v/>
      </c>
      <c r="M163" s="10" t="str">
        <f aca="false">IF($A163="","",ROW())</f>
        <v/>
      </c>
    </row>
    <row r="164" customFormat="false" ht="15" hidden="false" customHeight="true" outlineLevel="0" collapsed="false">
      <c r="A164" s="8"/>
      <c r="B164" s="8"/>
      <c r="C164" s="8"/>
      <c r="D164" s="8"/>
      <c r="E164" s="8"/>
      <c r="F164" s="8"/>
      <c r="G164" s="10" t="str">
        <f aca="false">IF($A164="","",UPPER(SUBSTITUTE(SUBSTITUTE(SUBSTITUTE(SUBSTITUTE($A164," ",""),"(주)",""),"주식회사",""),"㈜","")))</f>
        <v/>
      </c>
      <c r="H164" s="10" t="str">
        <f aca="false">IF($B164="","",SUBSTITUTE(SUBSTITUTE(SUBSTITUTE($B164,"-","")," ",""),".",""))</f>
        <v/>
      </c>
      <c r="I164" s="10" t="str">
        <f aca="false">IF($D164="","",SUBSTITUTE(SUBSTITUTE(SUBSTITUTE($D164,"-","")," ",""),".",""))</f>
        <v/>
      </c>
      <c r="J164" s="10" t="str">
        <f aca="false">IF($E164="","",UPPER(SUBSTITUTE($E164," ","")))</f>
        <v/>
      </c>
      <c r="K164" s="10" t="str">
        <f aca="false">IF($A164="","",$G164&amp;"|"&amp;$J164)</f>
        <v/>
      </c>
      <c r="L164" s="10" t="str">
        <f aca="false">IF($A164="","",ROW()-2)</f>
        <v/>
      </c>
      <c r="M164" s="10" t="str">
        <f aca="false">IF($A164="","",ROW())</f>
        <v/>
      </c>
    </row>
    <row r="165" customFormat="false" ht="15" hidden="false" customHeight="true" outlineLevel="0" collapsed="false">
      <c r="A165" s="8"/>
      <c r="B165" s="8"/>
      <c r="C165" s="8"/>
      <c r="D165" s="8"/>
      <c r="E165" s="8"/>
      <c r="F165" s="8"/>
      <c r="G165" s="10" t="str">
        <f aca="false">IF($A165="","",UPPER(SUBSTITUTE(SUBSTITUTE(SUBSTITUTE(SUBSTITUTE($A165," ",""),"(주)",""),"주식회사",""),"㈜","")))</f>
        <v/>
      </c>
      <c r="H165" s="10" t="str">
        <f aca="false">IF($B165="","",SUBSTITUTE(SUBSTITUTE(SUBSTITUTE($B165,"-","")," ",""),".",""))</f>
        <v/>
      </c>
      <c r="I165" s="10" t="str">
        <f aca="false">IF($D165="","",SUBSTITUTE(SUBSTITUTE(SUBSTITUTE($D165,"-","")," ",""),".",""))</f>
        <v/>
      </c>
      <c r="J165" s="10" t="str">
        <f aca="false">IF($E165="","",UPPER(SUBSTITUTE($E165," ","")))</f>
        <v/>
      </c>
      <c r="K165" s="10" t="str">
        <f aca="false">IF($A165="","",$G165&amp;"|"&amp;$J165)</f>
        <v/>
      </c>
      <c r="L165" s="10" t="str">
        <f aca="false">IF($A165="","",ROW()-2)</f>
        <v/>
      </c>
      <c r="M165" s="10" t="str">
        <f aca="false">IF($A165="","",ROW())</f>
        <v/>
      </c>
    </row>
    <row r="166" customFormat="false" ht="15" hidden="false" customHeight="true" outlineLevel="0" collapsed="false">
      <c r="A166" s="8"/>
      <c r="B166" s="8"/>
      <c r="C166" s="8"/>
      <c r="D166" s="8"/>
      <c r="E166" s="8"/>
      <c r="F166" s="8"/>
      <c r="G166" s="10" t="str">
        <f aca="false">IF($A166="","",UPPER(SUBSTITUTE(SUBSTITUTE(SUBSTITUTE(SUBSTITUTE($A166," ",""),"(주)",""),"주식회사",""),"㈜","")))</f>
        <v/>
      </c>
      <c r="H166" s="10" t="str">
        <f aca="false">IF($B166="","",SUBSTITUTE(SUBSTITUTE(SUBSTITUTE($B166,"-","")," ",""),".",""))</f>
        <v/>
      </c>
      <c r="I166" s="10" t="str">
        <f aca="false">IF($D166="","",SUBSTITUTE(SUBSTITUTE(SUBSTITUTE($D166,"-","")," ",""),".",""))</f>
        <v/>
      </c>
      <c r="J166" s="10" t="str">
        <f aca="false">IF($E166="","",UPPER(SUBSTITUTE($E166," ","")))</f>
        <v/>
      </c>
      <c r="K166" s="10" t="str">
        <f aca="false">IF($A166="","",$G166&amp;"|"&amp;$J166)</f>
        <v/>
      </c>
      <c r="L166" s="10" t="str">
        <f aca="false">IF($A166="","",ROW()-2)</f>
        <v/>
      </c>
      <c r="M166" s="10" t="str">
        <f aca="false">IF($A166="","",ROW())</f>
        <v/>
      </c>
    </row>
    <row r="167" customFormat="false" ht="15" hidden="false" customHeight="true" outlineLevel="0" collapsed="false">
      <c r="A167" s="8"/>
      <c r="B167" s="8"/>
      <c r="C167" s="8"/>
      <c r="D167" s="8"/>
      <c r="E167" s="8"/>
      <c r="F167" s="8"/>
      <c r="G167" s="10" t="str">
        <f aca="false">IF($A167="","",UPPER(SUBSTITUTE(SUBSTITUTE(SUBSTITUTE(SUBSTITUTE($A167," ",""),"(주)",""),"주식회사",""),"㈜","")))</f>
        <v/>
      </c>
      <c r="H167" s="10" t="str">
        <f aca="false">IF($B167="","",SUBSTITUTE(SUBSTITUTE(SUBSTITUTE($B167,"-","")," ",""),".",""))</f>
        <v/>
      </c>
      <c r="I167" s="10" t="str">
        <f aca="false">IF($D167="","",SUBSTITUTE(SUBSTITUTE(SUBSTITUTE($D167,"-","")," ",""),".",""))</f>
        <v/>
      </c>
      <c r="J167" s="10" t="str">
        <f aca="false">IF($E167="","",UPPER(SUBSTITUTE($E167," ","")))</f>
        <v/>
      </c>
      <c r="K167" s="10" t="str">
        <f aca="false">IF($A167="","",$G167&amp;"|"&amp;$J167)</f>
        <v/>
      </c>
      <c r="L167" s="10" t="str">
        <f aca="false">IF($A167="","",ROW()-2)</f>
        <v/>
      </c>
      <c r="M167" s="10" t="str">
        <f aca="false">IF($A167="","",ROW())</f>
        <v/>
      </c>
    </row>
    <row r="168" customFormat="false" ht="15" hidden="false" customHeight="true" outlineLevel="0" collapsed="false">
      <c r="A168" s="8"/>
      <c r="B168" s="8"/>
      <c r="C168" s="8"/>
      <c r="D168" s="8"/>
      <c r="E168" s="8"/>
      <c r="F168" s="8"/>
      <c r="G168" s="10" t="str">
        <f aca="false">IF($A168="","",UPPER(SUBSTITUTE(SUBSTITUTE(SUBSTITUTE(SUBSTITUTE($A168," ",""),"(주)",""),"주식회사",""),"㈜","")))</f>
        <v/>
      </c>
      <c r="H168" s="10" t="str">
        <f aca="false">IF($B168="","",SUBSTITUTE(SUBSTITUTE(SUBSTITUTE($B168,"-","")," ",""),".",""))</f>
        <v/>
      </c>
      <c r="I168" s="10" t="str">
        <f aca="false">IF($D168="","",SUBSTITUTE(SUBSTITUTE(SUBSTITUTE($D168,"-","")," ",""),".",""))</f>
        <v/>
      </c>
      <c r="J168" s="10" t="str">
        <f aca="false">IF($E168="","",UPPER(SUBSTITUTE($E168," ","")))</f>
        <v/>
      </c>
      <c r="K168" s="10" t="str">
        <f aca="false">IF($A168="","",$G168&amp;"|"&amp;$J168)</f>
        <v/>
      </c>
      <c r="L168" s="10" t="str">
        <f aca="false">IF($A168="","",ROW()-2)</f>
        <v/>
      </c>
      <c r="M168" s="10" t="str">
        <f aca="false">IF($A168="","",ROW())</f>
        <v/>
      </c>
    </row>
    <row r="169" customFormat="false" ht="15" hidden="false" customHeight="true" outlineLevel="0" collapsed="false">
      <c r="A169" s="8"/>
      <c r="B169" s="8"/>
      <c r="C169" s="8"/>
      <c r="D169" s="8"/>
      <c r="E169" s="8"/>
      <c r="F169" s="8"/>
      <c r="G169" s="10" t="str">
        <f aca="false">IF($A169="","",UPPER(SUBSTITUTE(SUBSTITUTE(SUBSTITUTE(SUBSTITUTE($A169," ",""),"(주)",""),"주식회사",""),"㈜","")))</f>
        <v/>
      </c>
      <c r="H169" s="10" t="str">
        <f aca="false">IF($B169="","",SUBSTITUTE(SUBSTITUTE(SUBSTITUTE($B169,"-","")," ",""),".",""))</f>
        <v/>
      </c>
      <c r="I169" s="10" t="str">
        <f aca="false">IF($D169="","",SUBSTITUTE(SUBSTITUTE(SUBSTITUTE($D169,"-","")," ",""),".",""))</f>
        <v/>
      </c>
      <c r="J169" s="10" t="str">
        <f aca="false">IF($E169="","",UPPER(SUBSTITUTE($E169," ","")))</f>
        <v/>
      </c>
      <c r="K169" s="10" t="str">
        <f aca="false">IF($A169="","",$G169&amp;"|"&amp;$J169)</f>
        <v/>
      </c>
      <c r="L169" s="10" t="str">
        <f aca="false">IF($A169="","",ROW()-2)</f>
        <v/>
      </c>
      <c r="M169" s="10" t="str">
        <f aca="false">IF($A169="","",ROW())</f>
        <v/>
      </c>
    </row>
    <row r="170" customFormat="false" ht="15" hidden="false" customHeight="true" outlineLevel="0" collapsed="false">
      <c r="A170" s="8"/>
      <c r="B170" s="8"/>
      <c r="C170" s="8"/>
      <c r="D170" s="8"/>
      <c r="E170" s="8"/>
      <c r="F170" s="8"/>
      <c r="G170" s="10" t="str">
        <f aca="false">IF($A170="","",UPPER(SUBSTITUTE(SUBSTITUTE(SUBSTITUTE(SUBSTITUTE($A170," ",""),"(주)",""),"주식회사",""),"㈜","")))</f>
        <v/>
      </c>
      <c r="H170" s="10" t="str">
        <f aca="false">IF($B170="","",SUBSTITUTE(SUBSTITUTE(SUBSTITUTE($B170,"-","")," ",""),".",""))</f>
        <v/>
      </c>
      <c r="I170" s="10" t="str">
        <f aca="false">IF($D170="","",SUBSTITUTE(SUBSTITUTE(SUBSTITUTE($D170,"-","")," ",""),".",""))</f>
        <v/>
      </c>
      <c r="J170" s="10" t="str">
        <f aca="false">IF($E170="","",UPPER(SUBSTITUTE($E170," ","")))</f>
        <v/>
      </c>
      <c r="K170" s="10" t="str">
        <f aca="false">IF($A170="","",$G170&amp;"|"&amp;$J170)</f>
        <v/>
      </c>
      <c r="L170" s="10" t="str">
        <f aca="false">IF($A170="","",ROW()-2)</f>
        <v/>
      </c>
      <c r="M170" s="10" t="str">
        <f aca="false">IF($A170="","",ROW())</f>
        <v/>
      </c>
    </row>
    <row r="171" customFormat="false" ht="15" hidden="false" customHeight="true" outlineLevel="0" collapsed="false">
      <c r="A171" s="8"/>
      <c r="B171" s="8"/>
      <c r="C171" s="8"/>
      <c r="D171" s="8"/>
      <c r="E171" s="8"/>
      <c r="F171" s="8"/>
      <c r="G171" s="10" t="str">
        <f aca="false">IF($A171="","",UPPER(SUBSTITUTE(SUBSTITUTE(SUBSTITUTE(SUBSTITUTE($A171," ",""),"(주)",""),"주식회사",""),"㈜","")))</f>
        <v/>
      </c>
      <c r="H171" s="10" t="str">
        <f aca="false">IF($B171="","",SUBSTITUTE(SUBSTITUTE(SUBSTITUTE($B171,"-","")," ",""),".",""))</f>
        <v/>
      </c>
      <c r="I171" s="10" t="str">
        <f aca="false">IF($D171="","",SUBSTITUTE(SUBSTITUTE(SUBSTITUTE($D171,"-","")," ",""),".",""))</f>
        <v/>
      </c>
      <c r="J171" s="10" t="str">
        <f aca="false">IF($E171="","",UPPER(SUBSTITUTE($E171," ","")))</f>
        <v/>
      </c>
      <c r="K171" s="10" t="str">
        <f aca="false">IF($A171="","",$G171&amp;"|"&amp;$J171)</f>
        <v/>
      </c>
      <c r="L171" s="10" t="str">
        <f aca="false">IF($A171="","",ROW()-2)</f>
        <v/>
      </c>
      <c r="M171" s="10" t="str">
        <f aca="false">IF($A171="","",ROW())</f>
        <v/>
      </c>
    </row>
    <row r="172" customFormat="false" ht="15" hidden="false" customHeight="true" outlineLevel="0" collapsed="false">
      <c r="A172" s="8"/>
      <c r="B172" s="8"/>
      <c r="C172" s="8"/>
      <c r="D172" s="8"/>
      <c r="E172" s="8"/>
      <c r="F172" s="8"/>
      <c r="G172" s="10" t="str">
        <f aca="false">IF($A172="","",UPPER(SUBSTITUTE(SUBSTITUTE(SUBSTITUTE(SUBSTITUTE($A172," ",""),"(주)",""),"주식회사",""),"㈜","")))</f>
        <v/>
      </c>
      <c r="H172" s="10" t="str">
        <f aca="false">IF($B172="","",SUBSTITUTE(SUBSTITUTE(SUBSTITUTE($B172,"-","")," ",""),".",""))</f>
        <v/>
      </c>
      <c r="I172" s="10" t="str">
        <f aca="false">IF($D172="","",SUBSTITUTE(SUBSTITUTE(SUBSTITUTE($D172,"-","")," ",""),".",""))</f>
        <v/>
      </c>
      <c r="J172" s="10" t="str">
        <f aca="false">IF($E172="","",UPPER(SUBSTITUTE($E172," ","")))</f>
        <v/>
      </c>
      <c r="K172" s="10" t="str">
        <f aca="false">IF($A172="","",$G172&amp;"|"&amp;$J172)</f>
        <v/>
      </c>
      <c r="L172" s="10" t="str">
        <f aca="false">IF($A172="","",ROW()-2)</f>
        <v/>
      </c>
      <c r="M172" s="10" t="str">
        <f aca="false">IF($A172="","",ROW())</f>
        <v/>
      </c>
    </row>
    <row r="173" customFormat="false" ht="15" hidden="false" customHeight="true" outlineLevel="0" collapsed="false">
      <c r="A173" s="8"/>
      <c r="B173" s="8"/>
      <c r="C173" s="8"/>
      <c r="D173" s="8"/>
      <c r="E173" s="8"/>
      <c r="F173" s="8"/>
      <c r="G173" s="10" t="str">
        <f aca="false">IF($A173="","",UPPER(SUBSTITUTE(SUBSTITUTE(SUBSTITUTE(SUBSTITUTE($A173," ",""),"(주)",""),"주식회사",""),"㈜","")))</f>
        <v/>
      </c>
      <c r="H173" s="10" t="str">
        <f aca="false">IF($B173="","",SUBSTITUTE(SUBSTITUTE(SUBSTITUTE($B173,"-","")," ",""),".",""))</f>
        <v/>
      </c>
      <c r="I173" s="10" t="str">
        <f aca="false">IF($D173="","",SUBSTITUTE(SUBSTITUTE(SUBSTITUTE($D173,"-","")," ",""),".",""))</f>
        <v/>
      </c>
      <c r="J173" s="10" t="str">
        <f aca="false">IF($E173="","",UPPER(SUBSTITUTE($E173," ","")))</f>
        <v/>
      </c>
      <c r="K173" s="10" t="str">
        <f aca="false">IF($A173="","",$G173&amp;"|"&amp;$J173)</f>
        <v/>
      </c>
      <c r="L173" s="10" t="str">
        <f aca="false">IF($A173="","",ROW()-2)</f>
        <v/>
      </c>
      <c r="M173" s="10" t="str">
        <f aca="false">IF($A173="","",ROW())</f>
        <v/>
      </c>
    </row>
    <row r="174" customFormat="false" ht="15" hidden="false" customHeight="true" outlineLevel="0" collapsed="false">
      <c r="A174" s="8"/>
      <c r="B174" s="8"/>
      <c r="C174" s="8"/>
      <c r="D174" s="8"/>
      <c r="E174" s="8"/>
      <c r="F174" s="8"/>
      <c r="G174" s="10" t="str">
        <f aca="false">IF($A174="","",UPPER(SUBSTITUTE(SUBSTITUTE(SUBSTITUTE(SUBSTITUTE($A174," ",""),"(주)",""),"주식회사",""),"㈜","")))</f>
        <v/>
      </c>
      <c r="H174" s="10" t="str">
        <f aca="false">IF($B174="","",SUBSTITUTE(SUBSTITUTE(SUBSTITUTE($B174,"-","")," ",""),".",""))</f>
        <v/>
      </c>
      <c r="I174" s="10" t="str">
        <f aca="false">IF($D174="","",SUBSTITUTE(SUBSTITUTE(SUBSTITUTE($D174,"-","")," ",""),".",""))</f>
        <v/>
      </c>
      <c r="J174" s="10" t="str">
        <f aca="false">IF($E174="","",UPPER(SUBSTITUTE($E174," ","")))</f>
        <v/>
      </c>
      <c r="K174" s="10" t="str">
        <f aca="false">IF($A174="","",$G174&amp;"|"&amp;$J174)</f>
        <v/>
      </c>
      <c r="L174" s="10" t="str">
        <f aca="false">IF($A174="","",ROW()-2)</f>
        <v/>
      </c>
      <c r="M174" s="10" t="str">
        <f aca="false">IF($A174="","",ROW())</f>
        <v/>
      </c>
    </row>
    <row r="175" customFormat="false" ht="15" hidden="false" customHeight="true" outlineLevel="0" collapsed="false">
      <c r="A175" s="8"/>
      <c r="B175" s="8"/>
      <c r="C175" s="8"/>
      <c r="D175" s="8"/>
      <c r="E175" s="8"/>
      <c r="F175" s="8"/>
      <c r="G175" s="10" t="str">
        <f aca="false">IF($A175="","",UPPER(SUBSTITUTE(SUBSTITUTE(SUBSTITUTE(SUBSTITUTE($A175," ",""),"(주)",""),"주식회사",""),"㈜","")))</f>
        <v/>
      </c>
      <c r="H175" s="10" t="str">
        <f aca="false">IF($B175="","",SUBSTITUTE(SUBSTITUTE(SUBSTITUTE($B175,"-","")," ",""),".",""))</f>
        <v/>
      </c>
      <c r="I175" s="10" t="str">
        <f aca="false">IF($D175="","",SUBSTITUTE(SUBSTITUTE(SUBSTITUTE($D175,"-","")," ",""),".",""))</f>
        <v/>
      </c>
      <c r="J175" s="10" t="str">
        <f aca="false">IF($E175="","",UPPER(SUBSTITUTE($E175," ","")))</f>
        <v/>
      </c>
      <c r="K175" s="10" t="str">
        <f aca="false">IF($A175="","",$G175&amp;"|"&amp;$J175)</f>
        <v/>
      </c>
      <c r="L175" s="10" t="str">
        <f aca="false">IF($A175="","",ROW()-2)</f>
        <v/>
      </c>
      <c r="M175" s="10" t="str">
        <f aca="false">IF($A175="","",ROW())</f>
        <v/>
      </c>
    </row>
    <row r="176" customFormat="false" ht="15" hidden="false" customHeight="true" outlineLevel="0" collapsed="false">
      <c r="A176" s="8"/>
      <c r="B176" s="8"/>
      <c r="C176" s="8"/>
      <c r="D176" s="8"/>
      <c r="E176" s="8"/>
      <c r="F176" s="8"/>
      <c r="G176" s="10" t="str">
        <f aca="false">IF($A176="","",UPPER(SUBSTITUTE(SUBSTITUTE(SUBSTITUTE(SUBSTITUTE($A176," ",""),"(주)",""),"주식회사",""),"㈜","")))</f>
        <v/>
      </c>
      <c r="H176" s="10" t="str">
        <f aca="false">IF($B176="","",SUBSTITUTE(SUBSTITUTE(SUBSTITUTE($B176,"-","")," ",""),".",""))</f>
        <v/>
      </c>
      <c r="I176" s="10" t="str">
        <f aca="false">IF($D176="","",SUBSTITUTE(SUBSTITUTE(SUBSTITUTE($D176,"-","")," ",""),".",""))</f>
        <v/>
      </c>
      <c r="J176" s="10" t="str">
        <f aca="false">IF($E176="","",UPPER(SUBSTITUTE($E176," ","")))</f>
        <v/>
      </c>
      <c r="K176" s="10" t="str">
        <f aca="false">IF($A176="","",$G176&amp;"|"&amp;$J176)</f>
        <v/>
      </c>
      <c r="L176" s="10" t="str">
        <f aca="false">IF($A176="","",ROW()-2)</f>
        <v/>
      </c>
      <c r="M176" s="10" t="str">
        <f aca="false">IF($A176="","",ROW())</f>
        <v/>
      </c>
    </row>
    <row r="177" customFormat="false" ht="15" hidden="false" customHeight="true" outlineLevel="0" collapsed="false">
      <c r="A177" s="8"/>
      <c r="B177" s="8"/>
      <c r="C177" s="8"/>
      <c r="D177" s="8"/>
      <c r="E177" s="8"/>
      <c r="F177" s="8"/>
      <c r="G177" s="10" t="str">
        <f aca="false">IF($A177="","",UPPER(SUBSTITUTE(SUBSTITUTE(SUBSTITUTE(SUBSTITUTE($A177," ",""),"(주)",""),"주식회사",""),"㈜","")))</f>
        <v/>
      </c>
      <c r="H177" s="10" t="str">
        <f aca="false">IF($B177="","",SUBSTITUTE(SUBSTITUTE(SUBSTITUTE($B177,"-","")," ",""),".",""))</f>
        <v/>
      </c>
      <c r="I177" s="10" t="str">
        <f aca="false">IF($D177="","",SUBSTITUTE(SUBSTITUTE(SUBSTITUTE($D177,"-","")," ",""),".",""))</f>
        <v/>
      </c>
      <c r="J177" s="10" t="str">
        <f aca="false">IF($E177="","",UPPER(SUBSTITUTE($E177," ","")))</f>
        <v/>
      </c>
      <c r="K177" s="10" t="str">
        <f aca="false">IF($A177="","",$G177&amp;"|"&amp;$J177)</f>
        <v/>
      </c>
      <c r="L177" s="10" t="str">
        <f aca="false">IF($A177="","",ROW()-2)</f>
        <v/>
      </c>
      <c r="M177" s="10" t="str">
        <f aca="false">IF($A177="","",ROW())</f>
        <v/>
      </c>
    </row>
    <row r="178" customFormat="false" ht="15" hidden="false" customHeight="true" outlineLevel="0" collapsed="false">
      <c r="A178" s="8"/>
      <c r="B178" s="8"/>
      <c r="C178" s="8"/>
      <c r="D178" s="8"/>
      <c r="E178" s="8"/>
      <c r="F178" s="8"/>
      <c r="G178" s="10" t="str">
        <f aca="false">IF($A178="","",UPPER(SUBSTITUTE(SUBSTITUTE(SUBSTITUTE(SUBSTITUTE($A178," ",""),"(주)",""),"주식회사",""),"㈜","")))</f>
        <v/>
      </c>
      <c r="H178" s="10" t="str">
        <f aca="false">IF($B178="","",SUBSTITUTE(SUBSTITUTE(SUBSTITUTE($B178,"-","")," ",""),".",""))</f>
        <v/>
      </c>
      <c r="I178" s="10" t="str">
        <f aca="false">IF($D178="","",SUBSTITUTE(SUBSTITUTE(SUBSTITUTE($D178,"-","")," ",""),".",""))</f>
        <v/>
      </c>
      <c r="J178" s="10" t="str">
        <f aca="false">IF($E178="","",UPPER(SUBSTITUTE($E178," ","")))</f>
        <v/>
      </c>
      <c r="K178" s="10" t="str">
        <f aca="false">IF($A178="","",$G178&amp;"|"&amp;$J178)</f>
        <v/>
      </c>
      <c r="L178" s="10" t="str">
        <f aca="false">IF($A178="","",ROW()-2)</f>
        <v/>
      </c>
      <c r="M178" s="10" t="str">
        <f aca="false">IF($A178="","",ROW())</f>
        <v/>
      </c>
    </row>
    <row r="179" customFormat="false" ht="15" hidden="false" customHeight="true" outlineLevel="0" collapsed="false">
      <c r="A179" s="8"/>
      <c r="B179" s="8"/>
      <c r="C179" s="8"/>
      <c r="D179" s="8"/>
      <c r="E179" s="8"/>
      <c r="F179" s="8"/>
      <c r="G179" s="10" t="str">
        <f aca="false">IF($A179="","",UPPER(SUBSTITUTE(SUBSTITUTE(SUBSTITUTE(SUBSTITUTE($A179," ",""),"(주)",""),"주식회사",""),"㈜","")))</f>
        <v/>
      </c>
      <c r="H179" s="10" t="str">
        <f aca="false">IF($B179="","",SUBSTITUTE(SUBSTITUTE(SUBSTITUTE($B179,"-","")," ",""),".",""))</f>
        <v/>
      </c>
      <c r="I179" s="10" t="str">
        <f aca="false">IF($D179="","",SUBSTITUTE(SUBSTITUTE(SUBSTITUTE($D179,"-","")," ",""),".",""))</f>
        <v/>
      </c>
      <c r="J179" s="10" t="str">
        <f aca="false">IF($E179="","",UPPER(SUBSTITUTE($E179," ","")))</f>
        <v/>
      </c>
      <c r="K179" s="10" t="str">
        <f aca="false">IF($A179="","",$G179&amp;"|"&amp;$J179)</f>
        <v/>
      </c>
      <c r="L179" s="10" t="str">
        <f aca="false">IF($A179="","",ROW()-2)</f>
        <v/>
      </c>
      <c r="M179" s="10" t="str">
        <f aca="false">IF($A179="","",ROW())</f>
        <v/>
      </c>
    </row>
    <row r="180" customFormat="false" ht="15" hidden="false" customHeight="true" outlineLevel="0" collapsed="false">
      <c r="A180" s="8"/>
      <c r="B180" s="8"/>
      <c r="C180" s="8"/>
      <c r="D180" s="8"/>
      <c r="E180" s="8"/>
      <c r="F180" s="8"/>
      <c r="G180" s="10" t="str">
        <f aca="false">IF($A180="","",UPPER(SUBSTITUTE(SUBSTITUTE(SUBSTITUTE(SUBSTITUTE($A180," ",""),"(주)",""),"주식회사",""),"㈜","")))</f>
        <v/>
      </c>
      <c r="H180" s="10" t="str">
        <f aca="false">IF($B180="","",SUBSTITUTE(SUBSTITUTE(SUBSTITUTE($B180,"-","")," ",""),".",""))</f>
        <v/>
      </c>
      <c r="I180" s="10" t="str">
        <f aca="false">IF($D180="","",SUBSTITUTE(SUBSTITUTE(SUBSTITUTE($D180,"-","")," ",""),".",""))</f>
        <v/>
      </c>
      <c r="J180" s="10" t="str">
        <f aca="false">IF($E180="","",UPPER(SUBSTITUTE($E180," ","")))</f>
        <v/>
      </c>
      <c r="K180" s="10" t="str">
        <f aca="false">IF($A180="","",$G180&amp;"|"&amp;$J180)</f>
        <v/>
      </c>
      <c r="L180" s="10" t="str">
        <f aca="false">IF($A180="","",ROW()-2)</f>
        <v/>
      </c>
      <c r="M180" s="10" t="str">
        <f aca="false">IF($A180="","",ROW())</f>
        <v/>
      </c>
    </row>
    <row r="181" customFormat="false" ht="15" hidden="false" customHeight="true" outlineLevel="0" collapsed="false">
      <c r="A181" s="8"/>
      <c r="B181" s="8"/>
      <c r="C181" s="8"/>
      <c r="D181" s="8"/>
      <c r="E181" s="8"/>
      <c r="F181" s="8"/>
      <c r="G181" s="10" t="str">
        <f aca="false">IF($A181="","",UPPER(SUBSTITUTE(SUBSTITUTE(SUBSTITUTE(SUBSTITUTE($A181," ",""),"(주)",""),"주식회사",""),"㈜","")))</f>
        <v/>
      </c>
      <c r="H181" s="10" t="str">
        <f aca="false">IF($B181="","",SUBSTITUTE(SUBSTITUTE(SUBSTITUTE($B181,"-","")," ",""),".",""))</f>
        <v/>
      </c>
      <c r="I181" s="10" t="str">
        <f aca="false">IF($D181="","",SUBSTITUTE(SUBSTITUTE(SUBSTITUTE($D181,"-","")," ",""),".",""))</f>
        <v/>
      </c>
      <c r="J181" s="10" t="str">
        <f aca="false">IF($E181="","",UPPER(SUBSTITUTE($E181," ","")))</f>
        <v/>
      </c>
      <c r="K181" s="10" t="str">
        <f aca="false">IF($A181="","",$G181&amp;"|"&amp;$J181)</f>
        <v/>
      </c>
      <c r="L181" s="10" t="str">
        <f aca="false">IF($A181="","",ROW()-2)</f>
        <v/>
      </c>
      <c r="M181" s="10" t="str">
        <f aca="false">IF($A181="","",ROW())</f>
        <v/>
      </c>
    </row>
    <row r="182" customFormat="false" ht="15" hidden="false" customHeight="true" outlineLevel="0" collapsed="false">
      <c r="A182" s="8"/>
      <c r="B182" s="8"/>
      <c r="C182" s="8"/>
      <c r="D182" s="8"/>
      <c r="E182" s="8"/>
      <c r="F182" s="8"/>
      <c r="G182" s="10" t="str">
        <f aca="false">IF($A182="","",UPPER(SUBSTITUTE(SUBSTITUTE(SUBSTITUTE(SUBSTITUTE($A182," ",""),"(주)",""),"주식회사",""),"㈜","")))</f>
        <v/>
      </c>
      <c r="H182" s="10" t="str">
        <f aca="false">IF($B182="","",SUBSTITUTE(SUBSTITUTE(SUBSTITUTE($B182,"-","")," ",""),".",""))</f>
        <v/>
      </c>
      <c r="I182" s="10" t="str">
        <f aca="false">IF($D182="","",SUBSTITUTE(SUBSTITUTE(SUBSTITUTE($D182,"-","")," ",""),".",""))</f>
        <v/>
      </c>
      <c r="J182" s="10" t="str">
        <f aca="false">IF($E182="","",UPPER(SUBSTITUTE($E182," ","")))</f>
        <v/>
      </c>
      <c r="K182" s="10" t="str">
        <f aca="false">IF($A182="","",$G182&amp;"|"&amp;$J182)</f>
        <v/>
      </c>
      <c r="L182" s="10" t="str">
        <f aca="false">IF($A182="","",ROW()-2)</f>
        <v/>
      </c>
      <c r="M182" s="10" t="str">
        <f aca="false">IF($A182="","",ROW())</f>
        <v/>
      </c>
    </row>
    <row r="183" customFormat="false" ht="15" hidden="false" customHeight="true" outlineLevel="0" collapsed="false">
      <c r="A183" s="8"/>
      <c r="B183" s="8"/>
      <c r="C183" s="8"/>
      <c r="D183" s="8"/>
      <c r="E183" s="8"/>
      <c r="F183" s="8"/>
      <c r="G183" s="10" t="str">
        <f aca="false">IF($A183="","",UPPER(SUBSTITUTE(SUBSTITUTE(SUBSTITUTE(SUBSTITUTE($A183," ",""),"(주)",""),"주식회사",""),"㈜","")))</f>
        <v/>
      </c>
      <c r="H183" s="10" t="str">
        <f aca="false">IF($B183="","",SUBSTITUTE(SUBSTITUTE(SUBSTITUTE($B183,"-","")," ",""),".",""))</f>
        <v/>
      </c>
      <c r="I183" s="10" t="str">
        <f aca="false">IF($D183="","",SUBSTITUTE(SUBSTITUTE(SUBSTITUTE($D183,"-","")," ",""),".",""))</f>
        <v/>
      </c>
      <c r="J183" s="10" t="str">
        <f aca="false">IF($E183="","",UPPER(SUBSTITUTE($E183," ","")))</f>
        <v/>
      </c>
      <c r="K183" s="10" t="str">
        <f aca="false">IF($A183="","",$G183&amp;"|"&amp;$J183)</f>
        <v/>
      </c>
      <c r="L183" s="10" t="str">
        <f aca="false">IF($A183="","",ROW()-2)</f>
        <v/>
      </c>
      <c r="M183" s="10" t="str">
        <f aca="false">IF($A183="","",ROW())</f>
        <v/>
      </c>
    </row>
    <row r="184" customFormat="false" ht="15" hidden="false" customHeight="true" outlineLevel="0" collapsed="false">
      <c r="A184" s="8"/>
      <c r="B184" s="8"/>
      <c r="C184" s="8"/>
      <c r="D184" s="8"/>
      <c r="E184" s="8"/>
      <c r="F184" s="8"/>
      <c r="G184" s="10" t="str">
        <f aca="false">IF($A184="","",UPPER(SUBSTITUTE(SUBSTITUTE(SUBSTITUTE(SUBSTITUTE($A184," ",""),"(주)",""),"주식회사",""),"㈜","")))</f>
        <v/>
      </c>
      <c r="H184" s="10" t="str">
        <f aca="false">IF($B184="","",SUBSTITUTE(SUBSTITUTE(SUBSTITUTE($B184,"-","")," ",""),".",""))</f>
        <v/>
      </c>
      <c r="I184" s="10" t="str">
        <f aca="false">IF($D184="","",SUBSTITUTE(SUBSTITUTE(SUBSTITUTE($D184,"-","")," ",""),".",""))</f>
        <v/>
      </c>
      <c r="J184" s="10" t="str">
        <f aca="false">IF($E184="","",UPPER(SUBSTITUTE($E184," ","")))</f>
        <v/>
      </c>
      <c r="K184" s="10" t="str">
        <f aca="false">IF($A184="","",$G184&amp;"|"&amp;$J184)</f>
        <v/>
      </c>
      <c r="L184" s="10" t="str">
        <f aca="false">IF($A184="","",ROW()-2)</f>
        <v/>
      </c>
      <c r="M184" s="10" t="str">
        <f aca="false">IF($A184="","",ROW())</f>
        <v/>
      </c>
    </row>
    <row r="185" customFormat="false" ht="15" hidden="false" customHeight="true" outlineLevel="0" collapsed="false">
      <c r="A185" s="8"/>
      <c r="B185" s="8"/>
      <c r="C185" s="8"/>
      <c r="D185" s="8"/>
      <c r="E185" s="8"/>
      <c r="F185" s="8"/>
      <c r="G185" s="10" t="str">
        <f aca="false">IF($A185="","",UPPER(SUBSTITUTE(SUBSTITUTE(SUBSTITUTE(SUBSTITUTE($A185," ",""),"(주)",""),"주식회사",""),"㈜","")))</f>
        <v/>
      </c>
      <c r="H185" s="10" t="str">
        <f aca="false">IF($B185="","",SUBSTITUTE(SUBSTITUTE(SUBSTITUTE($B185,"-","")," ",""),".",""))</f>
        <v/>
      </c>
      <c r="I185" s="10" t="str">
        <f aca="false">IF($D185="","",SUBSTITUTE(SUBSTITUTE(SUBSTITUTE($D185,"-","")," ",""),".",""))</f>
        <v/>
      </c>
      <c r="J185" s="10" t="str">
        <f aca="false">IF($E185="","",UPPER(SUBSTITUTE($E185," ","")))</f>
        <v/>
      </c>
      <c r="K185" s="10" t="str">
        <f aca="false">IF($A185="","",$G185&amp;"|"&amp;$J185)</f>
        <v/>
      </c>
      <c r="L185" s="10" t="str">
        <f aca="false">IF($A185="","",ROW()-2)</f>
        <v/>
      </c>
      <c r="M185" s="10" t="str">
        <f aca="false">IF($A185="","",ROW())</f>
        <v/>
      </c>
    </row>
    <row r="186" customFormat="false" ht="15" hidden="false" customHeight="true" outlineLevel="0" collapsed="false">
      <c r="A186" s="8"/>
      <c r="B186" s="8"/>
      <c r="C186" s="8"/>
      <c r="D186" s="8"/>
      <c r="E186" s="8"/>
      <c r="F186" s="8"/>
      <c r="G186" s="10" t="str">
        <f aca="false">IF($A186="","",UPPER(SUBSTITUTE(SUBSTITUTE(SUBSTITUTE(SUBSTITUTE($A186," ",""),"(주)",""),"주식회사",""),"㈜","")))</f>
        <v/>
      </c>
      <c r="H186" s="10" t="str">
        <f aca="false">IF($B186="","",SUBSTITUTE(SUBSTITUTE(SUBSTITUTE($B186,"-","")," ",""),".",""))</f>
        <v/>
      </c>
      <c r="I186" s="10" t="str">
        <f aca="false">IF($D186="","",SUBSTITUTE(SUBSTITUTE(SUBSTITUTE($D186,"-","")," ",""),".",""))</f>
        <v/>
      </c>
      <c r="J186" s="10" t="str">
        <f aca="false">IF($E186="","",UPPER(SUBSTITUTE($E186," ","")))</f>
        <v/>
      </c>
      <c r="K186" s="10" t="str">
        <f aca="false">IF($A186="","",$G186&amp;"|"&amp;$J186)</f>
        <v/>
      </c>
      <c r="L186" s="10" t="str">
        <f aca="false">IF($A186="","",ROW()-2)</f>
        <v/>
      </c>
      <c r="M186" s="10" t="str">
        <f aca="false">IF($A186="","",ROW())</f>
        <v/>
      </c>
    </row>
    <row r="187" customFormat="false" ht="15" hidden="false" customHeight="true" outlineLevel="0" collapsed="false">
      <c r="A187" s="8"/>
      <c r="B187" s="8"/>
      <c r="C187" s="8"/>
      <c r="D187" s="8"/>
      <c r="E187" s="8"/>
      <c r="F187" s="8"/>
      <c r="G187" s="10" t="str">
        <f aca="false">IF($A187="","",UPPER(SUBSTITUTE(SUBSTITUTE(SUBSTITUTE(SUBSTITUTE($A187," ",""),"(주)",""),"주식회사",""),"㈜","")))</f>
        <v/>
      </c>
      <c r="H187" s="10" t="str">
        <f aca="false">IF($B187="","",SUBSTITUTE(SUBSTITUTE(SUBSTITUTE($B187,"-","")," ",""),".",""))</f>
        <v/>
      </c>
      <c r="I187" s="10" t="str">
        <f aca="false">IF($D187="","",SUBSTITUTE(SUBSTITUTE(SUBSTITUTE($D187,"-","")," ",""),".",""))</f>
        <v/>
      </c>
      <c r="J187" s="10" t="str">
        <f aca="false">IF($E187="","",UPPER(SUBSTITUTE($E187," ","")))</f>
        <v/>
      </c>
      <c r="K187" s="10" t="str">
        <f aca="false">IF($A187="","",$G187&amp;"|"&amp;$J187)</f>
        <v/>
      </c>
      <c r="L187" s="10" t="str">
        <f aca="false">IF($A187="","",ROW()-2)</f>
        <v/>
      </c>
      <c r="M187" s="10" t="str">
        <f aca="false">IF($A187="","",ROW())</f>
        <v/>
      </c>
    </row>
    <row r="188" customFormat="false" ht="15" hidden="false" customHeight="true" outlineLevel="0" collapsed="false">
      <c r="A188" s="8"/>
      <c r="B188" s="8"/>
      <c r="C188" s="8"/>
      <c r="D188" s="8"/>
      <c r="E188" s="8"/>
      <c r="F188" s="8"/>
      <c r="G188" s="10" t="str">
        <f aca="false">IF($A188="","",UPPER(SUBSTITUTE(SUBSTITUTE(SUBSTITUTE(SUBSTITUTE($A188," ",""),"(주)",""),"주식회사",""),"㈜","")))</f>
        <v/>
      </c>
      <c r="H188" s="10" t="str">
        <f aca="false">IF($B188="","",SUBSTITUTE(SUBSTITUTE(SUBSTITUTE($B188,"-","")," ",""),".",""))</f>
        <v/>
      </c>
      <c r="I188" s="10" t="str">
        <f aca="false">IF($D188="","",SUBSTITUTE(SUBSTITUTE(SUBSTITUTE($D188,"-","")," ",""),".",""))</f>
        <v/>
      </c>
      <c r="J188" s="10" t="str">
        <f aca="false">IF($E188="","",UPPER(SUBSTITUTE($E188," ","")))</f>
        <v/>
      </c>
      <c r="K188" s="10" t="str">
        <f aca="false">IF($A188="","",$G188&amp;"|"&amp;$J188)</f>
        <v/>
      </c>
      <c r="L188" s="10" t="str">
        <f aca="false">IF($A188="","",ROW()-2)</f>
        <v/>
      </c>
      <c r="M188" s="10" t="str">
        <f aca="false">IF($A188="","",ROW())</f>
        <v/>
      </c>
    </row>
    <row r="189" customFormat="false" ht="15" hidden="false" customHeight="true" outlineLevel="0" collapsed="false">
      <c r="A189" s="8"/>
      <c r="B189" s="8"/>
      <c r="C189" s="8"/>
      <c r="D189" s="8"/>
      <c r="E189" s="8"/>
      <c r="F189" s="8"/>
      <c r="G189" s="10" t="str">
        <f aca="false">IF($A189="","",UPPER(SUBSTITUTE(SUBSTITUTE(SUBSTITUTE(SUBSTITUTE($A189," ",""),"(주)",""),"주식회사",""),"㈜","")))</f>
        <v/>
      </c>
      <c r="H189" s="10" t="str">
        <f aca="false">IF($B189="","",SUBSTITUTE(SUBSTITUTE(SUBSTITUTE($B189,"-","")," ",""),".",""))</f>
        <v/>
      </c>
      <c r="I189" s="10" t="str">
        <f aca="false">IF($D189="","",SUBSTITUTE(SUBSTITUTE(SUBSTITUTE($D189,"-","")," ",""),".",""))</f>
        <v/>
      </c>
      <c r="J189" s="10" t="str">
        <f aca="false">IF($E189="","",UPPER(SUBSTITUTE($E189," ","")))</f>
        <v/>
      </c>
      <c r="K189" s="10" t="str">
        <f aca="false">IF($A189="","",$G189&amp;"|"&amp;$J189)</f>
        <v/>
      </c>
      <c r="L189" s="10" t="str">
        <f aca="false">IF($A189="","",ROW()-2)</f>
        <v/>
      </c>
      <c r="M189" s="10" t="str">
        <f aca="false">IF($A189="","",ROW())</f>
        <v/>
      </c>
    </row>
    <row r="190" customFormat="false" ht="15" hidden="false" customHeight="true" outlineLevel="0" collapsed="false">
      <c r="A190" s="8"/>
      <c r="B190" s="8"/>
      <c r="C190" s="8"/>
      <c r="D190" s="8"/>
      <c r="E190" s="8"/>
      <c r="F190" s="8"/>
      <c r="G190" s="10" t="str">
        <f aca="false">IF($A190="","",UPPER(SUBSTITUTE(SUBSTITUTE(SUBSTITUTE(SUBSTITUTE($A190," ",""),"(주)",""),"주식회사",""),"㈜","")))</f>
        <v/>
      </c>
      <c r="H190" s="10" t="str">
        <f aca="false">IF($B190="","",SUBSTITUTE(SUBSTITUTE(SUBSTITUTE($B190,"-","")," ",""),".",""))</f>
        <v/>
      </c>
      <c r="I190" s="10" t="str">
        <f aca="false">IF($D190="","",SUBSTITUTE(SUBSTITUTE(SUBSTITUTE($D190,"-","")," ",""),".",""))</f>
        <v/>
      </c>
      <c r="J190" s="10" t="str">
        <f aca="false">IF($E190="","",UPPER(SUBSTITUTE($E190," ","")))</f>
        <v/>
      </c>
      <c r="K190" s="10" t="str">
        <f aca="false">IF($A190="","",$G190&amp;"|"&amp;$J190)</f>
        <v/>
      </c>
      <c r="L190" s="10" t="str">
        <f aca="false">IF($A190="","",ROW()-2)</f>
        <v/>
      </c>
      <c r="M190" s="10" t="str">
        <f aca="false">IF($A190="","",ROW())</f>
        <v/>
      </c>
    </row>
    <row r="191" customFormat="false" ht="15" hidden="false" customHeight="true" outlineLevel="0" collapsed="false">
      <c r="A191" s="8"/>
      <c r="B191" s="8"/>
      <c r="C191" s="8"/>
      <c r="D191" s="8"/>
      <c r="E191" s="8"/>
      <c r="F191" s="8"/>
      <c r="G191" s="10" t="str">
        <f aca="false">IF($A191="","",UPPER(SUBSTITUTE(SUBSTITUTE(SUBSTITUTE(SUBSTITUTE($A191," ",""),"(주)",""),"주식회사",""),"㈜","")))</f>
        <v/>
      </c>
      <c r="H191" s="10" t="str">
        <f aca="false">IF($B191="","",SUBSTITUTE(SUBSTITUTE(SUBSTITUTE($B191,"-","")," ",""),".",""))</f>
        <v/>
      </c>
      <c r="I191" s="10" t="str">
        <f aca="false">IF($D191="","",SUBSTITUTE(SUBSTITUTE(SUBSTITUTE($D191,"-","")," ",""),".",""))</f>
        <v/>
      </c>
      <c r="J191" s="10" t="str">
        <f aca="false">IF($E191="","",UPPER(SUBSTITUTE($E191," ","")))</f>
        <v/>
      </c>
      <c r="K191" s="10" t="str">
        <f aca="false">IF($A191="","",$G191&amp;"|"&amp;$J191)</f>
        <v/>
      </c>
      <c r="L191" s="10" t="str">
        <f aca="false">IF($A191="","",ROW()-2)</f>
        <v/>
      </c>
      <c r="M191" s="10" t="str">
        <f aca="false">IF($A191="","",ROW())</f>
        <v/>
      </c>
    </row>
    <row r="192" customFormat="false" ht="15" hidden="false" customHeight="true" outlineLevel="0" collapsed="false">
      <c r="A192" s="8"/>
      <c r="B192" s="8"/>
      <c r="C192" s="8"/>
      <c r="D192" s="8"/>
      <c r="E192" s="8"/>
      <c r="F192" s="8"/>
      <c r="G192" s="10" t="str">
        <f aca="false">IF($A192="","",UPPER(SUBSTITUTE(SUBSTITUTE(SUBSTITUTE(SUBSTITUTE($A192," ",""),"(주)",""),"주식회사",""),"㈜","")))</f>
        <v/>
      </c>
      <c r="H192" s="10" t="str">
        <f aca="false">IF($B192="","",SUBSTITUTE(SUBSTITUTE(SUBSTITUTE($B192,"-","")," ",""),".",""))</f>
        <v/>
      </c>
      <c r="I192" s="10" t="str">
        <f aca="false">IF($D192="","",SUBSTITUTE(SUBSTITUTE(SUBSTITUTE($D192,"-","")," ",""),".",""))</f>
        <v/>
      </c>
      <c r="J192" s="10" t="str">
        <f aca="false">IF($E192="","",UPPER(SUBSTITUTE($E192," ","")))</f>
        <v/>
      </c>
      <c r="K192" s="10" t="str">
        <f aca="false">IF($A192="","",$G192&amp;"|"&amp;$J192)</f>
        <v/>
      </c>
      <c r="L192" s="10" t="str">
        <f aca="false">IF($A192="","",ROW()-2)</f>
        <v/>
      </c>
      <c r="M192" s="10" t="str">
        <f aca="false">IF($A192="","",ROW())</f>
        <v/>
      </c>
    </row>
    <row r="193" customFormat="false" ht="15" hidden="false" customHeight="true" outlineLevel="0" collapsed="false">
      <c r="A193" s="8"/>
      <c r="B193" s="8"/>
      <c r="C193" s="8"/>
      <c r="D193" s="8"/>
      <c r="E193" s="8"/>
      <c r="F193" s="8"/>
      <c r="G193" s="10" t="str">
        <f aca="false">IF($A193="","",UPPER(SUBSTITUTE(SUBSTITUTE(SUBSTITUTE(SUBSTITUTE($A193," ",""),"(주)",""),"주식회사",""),"㈜","")))</f>
        <v/>
      </c>
      <c r="H193" s="10" t="str">
        <f aca="false">IF($B193="","",SUBSTITUTE(SUBSTITUTE(SUBSTITUTE($B193,"-","")," ",""),".",""))</f>
        <v/>
      </c>
      <c r="I193" s="10" t="str">
        <f aca="false">IF($D193="","",SUBSTITUTE(SUBSTITUTE(SUBSTITUTE($D193,"-","")," ",""),".",""))</f>
        <v/>
      </c>
      <c r="J193" s="10" t="str">
        <f aca="false">IF($E193="","",UPPER(SUBSTITUTE($E193," ","")))</f>
        <v/>
      </c>
      <c r="K193" s="10" t="str">
        <f aca="false">IF($A193="","",$G193&amp;"|"&amp;$J193)</f>
        <v/>
      </c>
      <c r="L193" s="10" t="str">
        <f aca="false">IF($A193="","",ROW()-2)</f>
        <v/>
      </c>
      <c r="M193" s="10" t="str">
        <f aca="false">IF($A193="","",ROW())</f>
        <v/>
      </c>
    </row>
    <row r="194" customFormat="false" ht="15" hidden="false" customHeight="true" outlineLevel="0" collapsed="false">
      <c r="A194" s="8"/>
      <c r="B194" s="8"/>
      <c r="C194" s="8"/>
      <c r="D194" s="8"/>
      <c r="E194" s="8"/>
      <c r="F194" s="8"/>
      <c r="G194" s="10" t="str">
        <f aca="false">IF($A194="","",UPPER(SUBSTITUTE(SUBSTITUTE(SUBSTITUTE(SUBSTITUTE($A194," ",""),"(주)",""),"주식회사",""),"㈜","")))</f>
        <v/>
      </c>
      <c r="H194" s="10" t="str">
        <f aca="false">IF($B194="","",SUBSTITUTE(SUBSTITUTE(SUBSTITUTE($B194,"-","")," ",""),".",""))</f>
        <v/>
      </c>
      <c r="I194" s="10" t="str">
        <f aca="false">IF($D194="","",SUBSTITUTE(SUBSTITUTE(SUBSTITUTE($D194,"-","")," ",""),".",""))</f>
        <v/>
      </c>
      <c r="J194" s="10" t="str">
        <f aca="false">IF($E194="","",UPPER(SUBSTITUTE($E194," ","")))</f>
        <v/>
      </c>
      <c r="K194" s="10" t="str">
        <f aca="false">IF($A194="","",$G194&amp;"|"&amp;$J194)</f>
        <v/>
      </c>
      <c r="L194" s="10" t="str">
        <f aca="false">IF($A194="","",ROW()-2)</f>
        <v/>
      </c>
      <c r="M194" s="10" t="str">
        <f aca="false">IF($A194="","",ROW())</f>
        <v/>
      </c>
    </row>
    <row r="195" customFormat="false" ht="15" hidden="false" customHeight="true" outlineLevel="0" collapsed="false">
      <c r="A195" s="8"/>
      <c r="B195" s="8"/>
      <c r="C195" s="8"/>
      <c r="D195" s="8"/>
      <c r="E195" s="8"/>
      <c r="F195" s="8"/>
      <c r="G195" s="10" t="str">
        <f aca="false">IF($A195="","",UPPER(SUBSTITUTE(SUBSTITUTE(SUBSTITUTE(SUBSTITUTE($A195," ",""),"(주)",""),"주식회사",""),"㈜","")))</f>
        <v/>
      </c>
      <c r="H195" s="10" t="str">
        <f aca="false">IF($B195="","",SUBSTITUTE(SUBSTITUTE(SUBSTITUTE($B195,"-","")," ",""),".",""))</f>
        <v/>
      </c>
      <c r="I195" s="10" t="str">
        <f aca="false">IF($D195="","",SUBSTITUTE(SUBSTITUTE(SUBSTITUTE($D195,"-","")," ",""),".",""))</f>
        <v/>
      </c>
      <c r="J195" s="10" t="str">
        <f aca="false">IF($E195="","",UPPER(SUBSTITUTE($E195," ","")))</f>
        <v/>
      </c>
      <c r="K195" s="10" t="str">
        <f aca="false">IF($A195="","",$G195&amp;"|"&amp;$J195)</f>
        <v/>
      </c>
      <c r="L195" s="10" t="str">
        <f aca="false">IF($A195="","",ROW()-2)</f>
        <v/>
      </c>
      <c r="M195" s="10" t="str">
        <f aca="false">IF($A195="","",ROW())</f>
        <v/>
      </c>
    </row>
    <row r="196" customFormat="false" ht="15" hidden="false" customHeight="true" outlineLevel="0" collapsed="false">
      <c r="A196" s="8"/>
      <c r="B196" s="8"/>
      <c r="C196" s="8"/>
      <c r="D196" s="8"/>
      <c r="E196" s="8"/>
      <c r="F196" s="8"/>
      <c r="G196" s="10" t="str">
        <f aca="false">IF($A196="","",UPPER(SUBSTITUTE(SUBSTITUTE(SUBSTITUTE(SUBSTITUTE($A196," ",""),"(주)",""),"주식회사",""),"㈜","")))</f>
        <v/>
      </c>
      <c r="H196" s="10" t="str">
        <f aca="false">IF($B196="","",SUBSTITUTE(SUBSTITUTE(SUBSTITUTE($B196,"-","")," ",""),".",""))</f>
        <v/>
      </c>
      <c r="I196" s="10" t="str">
        <f aca="false">IF($D196="","",SUBSTITUTE(SUBSTITUTE(SUBSTITUTE($D196,"-","")," ",""),".",""))</f>
        <v/>
      </c>
      <c r="J196" s="10" t="str">
        <f aca="false">IF($E196="","",UPPER(SUBSTITUTE($E196," ","")))</f>
        <v/>
      </c>
      <c r="K196" s="10" t="str">
        <f aca="false">IF($A196="","",$G196&amp;"|"&amp;$J196)</f>
        <v/>
      </c>
      <c r="L196" s="10" t="str">
        <f aca="false">IF($A196="","",ROW()-2)</f>
        <v/>
      </c>
      <c r="M196" s="10" t="str">
        <f aca="false">IF($A196="","",ROW())</f>
        <v/>
      </c>
    </row>
    <row r="197" customFormat="false" ht="15" hidden="false" customHeight="true" outlineLevel="0" collapsed="false">
      <c r="A197" s="8"/>
      <c r="B197" s="8"/>
      <c r="C197" s="8"/>
      <c r="D197" s="8"/>
      <c r="E197" s="8"/>
      <c r="F197" s="8"/>
      <c r="G197" s="10" t="str">
        <f aca="false">IF($A197="","",UPPER(SUBSTITUTE(SUBSTITUTE(SUBSTITUTE(SUBSTITUTE($A197," ",""),"(주)",""),"주식회사",""),"㈜","")))</f>
        <v/>
      </c>
      <c r="H197" s="10" t="str">
        <f aca="false">IF($B197="","",SUBSTITUTE(SUBSTITUTE(SUBSTITUTE($B197,"-","")," ",""),".",""))</f>
        <v/>
      </c>
      <c r="I197" s="10" t="str">
        <f aca="false">IF($D197="","",SUBSTITUTE(SUBSTITUTE(SUBSTITUTE($D197,"-","")," ",""),".",""))</f>
        <v/>
      </c>
      <c r="J197" s="10" t="str">
        <f aca="false">IF($E197="","",UPPER(SUBSTITUTE($E197," ","")))</f>
        <v/>
      </c>
      <c r="K197" s="10" t="str">
        <f aca="false">IF($A197="","",$G197&amp;"|"&amp;$J197)</f>
        <v/>
      </c>
      <c r="L197" s="10" t="str">
        <f aca="false">IF($A197="","",ROW()-2)</f>
        <v/>
      </c>
      <c r="M197" s="10" t="str">
        <f aca="false">IF($A197="","",ROW())</f>
        <v/>
      </c>
    </row>
    <row r="198" customFormat="false" ht="15" hidden="false" customHeight="true" outlineLevel="0" collapsed="false">
      <c r="A198" s="8"/>
      <c r="B198" s="8"/>
      <c r="C198" s="8"/>
      <c r="D198" s="8"/>
      <c r="E198" s="8"/>
      <c r="F198" s="8"/>
      <c r="G198" s="10" t="str">
        <f aca="false">IF($A198="","",UPPER(SUBSTITUTE(SUBSTITUTE(SUBSTITUTE(SUBSTITUTE($A198," ",""),"(주)",""),"주식회사",""),"㈜","")))</f>
        <v/>
      </c>
      <c r="H198" s="10" t="str">
        <f aca="false">IF($B198="","",SUBSTITUTE(SUBSTITUTE(SUBSTITUTE($B198,"-","")," ",""),".",""))</f>
        <v/>
      </c>
      <c r="I198" s="10" t="str">
        <f aca="false">IF($D198="","",SUBSTITUTE(SUBSTITUTE(SUBSTITUTE($D198,"-","")," ",""),".",""))</f>
        <v/>
      </c>
      <c r="J198" s="10" t="str">
        <f aca="false">IF($E198="","",UPPER(SUBSTITUTE($E198," ","")))</f>
        <v/>
      </c>
      <c r="K198" s="10" t="str">
        <f aca="false">IF($A198="","",$G198&amp;"|"&amp;$J198)</f>
        <v/>
      </c>
      <c r="L198" s="10" t="str">
        <f aca="false">IF($A198="","",ROW()-2)</f>
        <v/>
      </c>
      <c r="M198" s="10" t="str">
        <f aca="false">IF($A198="","",ROW())</f>
        <v/>
      </c>
    </row>
    <row r="199" customFormat="false" ht="15" hidden="false" customHeight="true" outlineLevel="0" collapsed="false">
      <c r="A199" s="8"/>
      <c r="B199" s="8"/>
      <c r="C199" s="8"/>
      <c r="D199" s="8"/>
      <c r="E199" s="8"/>
      <c r="F199" s="8"/>
      <c r="G199" s="10" t="str">
        <f aca="false">IF($A199="","",UPPER(SUBSTITUTE(SUBSTITUTE(SUBSTITUTE(SUBSTITUTE($A199," ",""),"(주)",""),"주식회사",""),"㈜","")))</f>
        <v/>
      </c>
      <c r="H199" s="10" t="str">
        <f aca="false">IF($B199="","",SUBSTITUTE(SUBSTITUTE(SUBSTITUTE($B199,"-","")," ",""),".",""))</f>
        <v/>
      </c>
      <c r="I199" s="10" t="str">
        <f aca="false">IF($D199="","",SUBSTITUTE(SUBSTITUTE(SUBSTITUTE($D199,"-","")," ",""),".",""))</f>
        <v/>
      </c>
      <c r="J199" s="10" t="str">
        <f aca="false">IF($E199="","",UPPER(SUBSTITUTE($E199," ","")))</f>
        <v/>
      </c>
      <c r="K199" s="10" t="str">
        <f aca="false">IF($A199="","",$G199&amp;"|"&amp;$J199)</f>
        <v/>
      </c>
      <c r="L199" s="10" t="str">
        <f aca="false">IF($A199="","",ROW()-2)</f>
        <v/>
      </c>
      <c r="M199" s="10" t="str">
        <f aca="false">IF($A199="","",ROW())</f>
        <v/>
      </c>
    </row>
    <row r="200" customFormat="false" ht="15" hidden="false" customHeight="true" outlineLevel="0" collapsed="false">
      <c r="A200" s="8"/>
      <c r="B200" s="8"/>
      <c r="C200" s="8"/>
      <c r="D200" s="8"/>
      <c r="E200" s="8"/>
      <c r="F200" s="8"/>
      <c r="G200" s="10" t="str">
        <f aca="false">IF($A200="","",UPPER(SUBSTITUTE(SUBSTITUTE(SUBSTITUTE(SUBSTITUTE($A200," ",""),"(주)",""),"주식회사",""),"㈜","")))</f>
        <v/>
      </c>
      <c r="H200" s="10" t="str">
        <f aca="false">IF($B200="","",SUBSTITUTE(SUBSTITUTE(SUBSTITUTE($B200,"-","")," ",""),".",""))</f>
        <v/>
      </c>
      <c r="I200" s="10" t="str">
        <f aca="false">IF($D200="","",SUBSTITUTE(SUBSTITUTE(SUBSTITUTE($D200,"-","")," ",""),".",""))</f>
        <v/>
      </c>
      <c r="J200" s="10" t="str">
        <f aca="false">IF($E200="","",UPPER(SUBSTITUTE($E200," ","")))</f>
        <v/>
      </c>
      <c r="K200" s="10" t="str">
        <f aca="false">IF($A200="","",$G200&amp;"|"&amp;$J200)</f>
        <v/>
      </c>
      <c r="L200" s="10" t="str">
        <f aca="false">IF($A200="","",ROW()-2)</f>
        <v/>
      </c>
      <c r="M200" s="10" t="str">
        <f aca="false">IF($A200="","",ROW())</f>
        <v/>
      </c>
    </row>
    <row r="201" customFormat="false" ht="15" hidden="false" customHeight="true" outlineLevel="0" collapsed="false">
      <c r="A201" s="8"/>
      <c r="B201" s="8"/>
      <c r="C201" s="8"/>
      <c r="D201" s="8"/>
      <c r="E201" s="8"/>
      <c r="F201" s="8"/>
      <c r="G201" s="10" t="str">
        <f aca="false">IF($A201="","",UPPER(SUBSTITUTE(SUBSTITUTE(SUBSTITUTE(SUBSTITUTE($A201," ",""),"(주)",""),"주식회사",""),"㈜","")))</f>
        <v/>
      </c>
      <c r="H201" s="10" t="str">
        <f aca="false">IF($B201="","",SUBSTITUTE(SUBSTITUTE(SUBSTITUTE($B201,"-","")," ",""),".",""))</f>
        <v/>
      </c>
      <c r="I201" s="10" t="str">
        <f aca="false">IF($D201="","",SUBSTITUTE(SUBSTITUTE(SUBSTITUTE($D201,"-","")," ",""),".",""))</f>
        <v/>
      </c>
      <c r="J201" s="10" t="str">
        <f aca="false">IF($E201="","",UPPER(SUBSTITUTE($E201," ","")))</f>
        <v/>
      </c>
      <c r="K201" s="10" t="str">
        <f aca="false">IF($A201="","",$G201&amp;"|"&amp;$J201)</f>
        <v/>
      </c>
      <c r="L201" s="10" t="str">
        <f aca="false">IF($A201="","",ROW()-2)</f>
        <v/>
      </c>
      <c r="M201" s="10" t="str">
        <f aca="false">IF($A201="","",ROW())</f>
        <v/>
      </c>
    </row>
    <row r="202" customFormat="false" ht="15" hidden="false" customHeight="true" outlineLevel="0" collapsed="false">
      <c r="A202" s="8"/>
      <c r="B202" s="8"/>
      <c r="C202" s="8"/>
      <c r="D202" s="8"/>
      <c r="E202" s="8"/>
      <c r="F202" s="8"/>
      <c r="G202" s="10" t="str">
        <f aca="false">IF($A202="","",UPPER(SUBSTITUTE(SUBSTITUTE(SUBSTITUTE(SUBSTITUTE($A202," ",""),"(주)",""),"주식회사",""),"㈜","")))</f>
        <v/>
      </c>
      <c r="H202" s="10" t="str">
        <f aca="false">IF($B202="","",SUBSTITUTE(SUBSTITUTE(SUBSTITUTE($B202,"-","")," ",""),".",""))</f>
        <v/>
      </c>
      <c r="I202" s="10" t="str">
        <f aca="false">IF($D202="","",SUBSTITUTE(SUBSTITUTE(SUBSTITUTE($D202,"-","")," ",""),".",""))</f>
        <v/>
      </c>
      <c r="J202" s="10" t="str">
        <f aca="false">IF($E202="","",UPPER(SUBSTITUTE($E202," ","")))</f>
        <v/>
      </c>
      <c r="K202" s="10" t="str">
        <f aca="false">IF($A202="","",$G202&amp;"|"&amp;$J202)</f>
        <v/>
      </c>
      <c r="L202" s="10" t="str">
        <f aca="false">IF($A202="","",ROW()-2)</f>
        <v/>
      </c>
      <c r="M202" s="10" t="str">
        <f aca="false">IF($A202="","",ROW())</f>
        <v/>
      </c>
    </row>
    <row r="203" customFormat="false" ht="15" hidden="false" customHeight="true" outlineLevel="0" collapsed="false">
      <c r="A203" s="8"/>
      <c r="B203" s="8"/>
      <c r="C203" s="8"/>
      <c r="D203" s="8"/>
      <c r="E203" s="8"/>
      <c r="F203" s="8"/>
      <c r="G203" s="10" t="str">
        <f aca="false">IF($A203="","",UPPER(SUBSTITUTE(SUBSTITUTE(SUBSTITUTE(SUBSTITUTE($A203," ",""),"(주)",""),"주식회사",""),"㈜","")))</f>
        <v/>
      </c>
      <c r="H203" s="10" t="str">
        <f aca="false">IF($B203="","",SUBSTITUTE(SUBSTITUTE(SUBSTITUTE($B203,"-","")," ",""),".",""))</f>
        <v/>
      </c>
      <c r="I203" s="10" t="str">
        <f aca="false">IF($D203="","",SUBSTITUTE(SUBSTITUTE(SUBSTITUTE($D203,"-","")," ",""),".",""))</f>
        <v/>
      </c>
      <c r="J203" s="10" t="str">
        <f aca="false">IF($E203="","",UPPER(SUBSTITUTE($E203," ","")))</f>
        <v/>
      </c>
      <c r="K203" s="10" t="str">
        <f aca="false">IF($A203="","",$G203&amp;"|"&amp;$J203)</f>
        <v/>
      </c>
      <c r="L203" s="10" t="str">
        <f aca="false">IF($A203="","",ROW()-2)</f>
        <v/>
      </c>
      <c r="M203" s="10" t="str">
        <f aca="false">IF($A203="","",ROW())</f>
        <v/>
      </c>
    </row>
    <row r="204" customFormat="false" ht="15" hidden="false" customHeight="true" outlineLevel="0" collapsed="false">
      <c r="A204" s="8"/>
      <c r="B204" s="8"/>
      <c r="C204" s="8"/>
      <c r="D204" s="8"/>
      <c r="E204" s="8"/>
      <c r="F204" s="8"/>
      <c r="G204" s="10" t="str">
        <f aca="false">IF($A204="","",UPPER(SUBSTITUTE(SUBSTITUTE(SUBSTITUTE(SUBSTITUTE($A204," ",""),"(주)",""),"주식회사",""),"㈜","")))</f>
        <v/>
      </c>
      <c r="H204" s="10" t="str">
        <f aca="false">IF($B204="","",SUBSTITUTE(SUBSTITUTE(SUBSTITUTE($B204,"-","")," ",""),".",""))</f>
        <v/>
      </c>
      <c r="I204" s="10" t="str">
        <f aca="false">IF($D204="","",SUBSTITUTE(SUBSTITUTE(SUBSTITUTE($D204,"-","")," ",""),".",""))</f>
        <v/>
      </c>
      <c r="J204" s="10" t="str">
        <f aca="false">IF($E204="","",UPPER(SUBSTITUTE($E204," ","")))</f>
        <v/>
      </c>
      <c r="K204" s="10" t="str">
        <f aca="false">IF($A204="","",$G204&amp;"|"&amp;$J204)</f>
        <v/>
      </c>
      <c r="L204" s="10" t="str">
        <f aca="false">IF($A204="","",ROW()-2)</f>
        <v/>
      </c>
      <c r="M204" s="10" t="str">
        <f aca="false">IF($A204="","",ROW())</f>
        <v/>
      </c>
    </row>
    <row r="205" customFormat="false" ht="15" hidden="false" customHeight="true" outlineLevel="0" collapsed="false">
      <c r="A205" s="8"/>
      <c r="B205" s="8"/>
      <c r="C205" s="8"/>
      <c r="D205" s="8"/>
      <c r="E205" s="8"/>
      <c r="F205" s="8"/>
      <c r="G205" s="10" t="str">
        <f aca="false">IF($A205="","",UPPER(SUBSTITUTE(SUBSTITUTE(SUBSTITUTE(SUBSTITUTE($A205," ",""),"(주)",""),"주식회사",""),"㈜","")))</f>
        <v/>
      </c>
      <c r="H205" s="10" t="str">
        <f aca="false">IF($B205="","",SUBSTITUTE(SUBSTITUTE(SUBSTITUTE($B205,"-","")," ",""),".",""))</f>
        <v/>
      </c>
      <c r="I205" s="10" t="str">
        <f aca="false">IF($D205="","",SUBSTITUTE(SUBSTITUTE(SUBSTITUTE($D205,"-","")," ",""),".",""))</f>
        <v/>
      </c>
      <c r="J205" s="10" t="str">
        <f aca="false">IF($E205="","",UPPER(SUBSTITUTE($E205," ","")))</f>
        <v/>
      </c>
      <c r="K205" s="10" t="str">
        <f aca="false">IF($A205="","",$G205&amp;"|"&amp;$J205)</f>
        <v/>
      </c>
      <c r="L205" s="10" t="str">
        <f aca="false">IF($A205="","",ROW()-2)</f>
        <v/>
      </c>
      <c r="M205" s="10" t="str">
        <f aca="false">IF($A205="","",ROW())</f>
        <v/>
      </c>
    </row>
    <row r="206" customFormat="false" ht="15" hidden="false" customHeight="true" outlineLevel="0" collapsed="false">
      <c r="A206" s="8"/>
      <c r="B206" s="8"/>
      <c r="C206" s="8"/>
      <c r="D206" s="8"/>
      <c r="E206" s="8"/>
      <c r="F206" s="8"/>
      <c r="G206" s="10" t="str">
        <f aca="false">IF($A206="","",UPPER(SUBSTITUTE(SUBSTITUTE(SUBSTITUTE(SUBSTITUTE($A206," ",""),"(주)",""),"주식회사",""),"㈜","")))</f>
        <v/>
      </c>
      <c r="H206" s="10" t="str">
        <f aca="false">IF($B206="","",SUBSTITUTE(SUBSTITUTE(SUBSTITUTE($B206,"-","")," ",""),".",""))</f>
        <v/>
      </c>
      <c r="I206" s="10" t="str">
        <f aca="false">IF($D206="","",SUBSTITUTE(SUBSTITUTE(SUBSTITUTE($D206,"-","")," ",""),".",""))</f>
        <v/>
      </c>
      <c r="J206" s="10" t="str">
        <f aca="false">IF($E206="","",UPPER(SUBSTITUTE($E206," ","")))</f>
        <v/>
      </c>
      <c r="K206" s="10" t="str">
        <f aca="false">IF($A206="","",$G206&amp;"|"&amp;$J206)</f>
        <v/>
      </c>
      <c r="L206" s="10" t="str">
        <f aca="false">IF($A206="","",ROW()-2)</f>
        <v/>
      </c>
      <c r="M206" s="10" t="str">
        <f aca="false">IF($A206="","",ROW())</f>
        <v/>
      </c>
    </row>
    <row r="207" customFormat="false" ht="15" hidden="false" customHeight="true" outlineLevel="0" collapsed="false">
      <c r="A207" s="8"/>
      <c r="B207" s="8"/>
      <c r="C207" s="8"/>
      <c r="D207" s="8"/>
      <c r="E207" s="8"/>
      <c r="F207" s="8"/>
      <c r="G207" s="10" t="str">
        <f aca="false">IF($A207="","",UPPER(SUBSTITUTE(SUBSTITUTE(SUBSTITUTE(SUBSTITUTE($A207," ",""),"(주)",""),"주식회사",""),"㈜","")))</f>
        <v/>
      </c>
      <c r="H207" s="10" t="str">
        <f aca="false">IF($B207="","",SUBSTITUTE(SUBSTITUTE(SUBSTITUTE($B207,"-","")," ",""),".",""))</f>
        <v/>
      </c>
      <c r="I207" s="10" t="str">
        <f aca="false">IF($D207="","",SUBSTITUTE(SUBSTITUTE(SUBSTITUTE($D207,"-","")," ",""),".",""))</f>
        <v/>
      </c>
      <c r="J207" s="10" t="str">
        <f aca="false">IF($E207="","",UPPER(SUBSTITUTE($E207," ","")))</f>
        <v/>
      </c>
      <c r="K207" s="10" t="str">
        <f aca="false">IF($A207="","",$G207&amp;"|"&amp;$J207)</f>
        <v/>
      </c>
      <c r="L207" s="10" t="str">
        <f aca="false">IF($A207="","",ROW()-2)</f>
        <v/>
      </c>
      <c r="M207" s="10" t="str">
        <f aca="false">IF($A207="","",ROW())</f>
        <v/>
      </c>
    </row>
    <row r="208" customFormat="false" ht="15" hidden="false" customHeight="true" outlineLevel="0" collapsed="false">
      <c r="A208" s="8"/>
      <c r="B208" s="8"/>
      <c r="C208" s="8"/>
      <c r="D208" s="8"/>
      <c r="E208" s="8"/>
      <c r="F208" s="8"/>
      <c r="G208" s="10" t="str">
        <f aca="false">IF($A208="","",UPPER(SUBSTITUTE(SUBSTITUTE(SUBSTITUTE(SUBSTITUTE($A208," ",""),"(주)",""),"주식회사",""),"㈜","")))</f>
        <v/>
      </c>
      <c r="H208" s="10" t="str">
        <f aca="false">IF($B208="","",SUBSTITUTE(SUBSTITUTE(SUBSTITUTE($B208,"-","")," ",""),".",""))</f>
        <v/>
      </c>
      <c r="I208" s="10" t="str">
        <f aca="false">IF($D208="","",SUBSTITUTE(SUBSTITUTE(SUBSTITUTE($D208,"-","")," ",""),".",""))</f>
        <v/>
      </c>
      <c r="J208" s="10" t="str">
        <f aca="false">IF($E208="","",UPPER(SUBSTITUTE($E208," ","")))</f>
        <v/>
      </c>
      <c r="K208" s="10" t="str">
        <f aca="false">IF($A208="","",$G208&amp;"|"&amp;$J208)</f>
        <v/>
      </c>
      <c r="L208" s="10" t="str">
        <f aca="false">IF($A208="","",ROW()-2)</f>
        <v/>
      </c>
      <c r="M208" s="10" t="str">
        <f aca="false">IF($A208="","",ROW())</f>
        <v/>
      </c>
    </row>
    <row r="209" customFormat="false" ht="15" hidden="false" customHeight="true" outlineLevel="0" collapsed="false">
      <c r="A209" s="8"/>
      <c r="B209" s="8"/>
      <c r="C209" s="8"/>
      <c r="D209" s="8"/>
      <c r="E209" s="8"/>
      <c r="F209" s="8"/>
      <c r="G209" s="10" t="str">
        <f aca="false">IF($A209="","",UPPER(SUBSTITUTE(SUBSTITUTE(SUBSTITUTE(SUBSTITUTE($A209," ",""),"(주)",""),"주식회사",""),"㈜","")))</f>
        <v/>
      </c>
      <c r="H209" s="10" t="str">
        <f aca="false">IF($B209="","",SUBSTITUTE(SUBSTITUTE(SUBSTITUTE($B209,"-","")," ",""),".",""))</f>
        <v/>
      </c>
      <c r="I209" s="10" t="str">
        <f aca="false">IF($D209="","",SUBSTITUTE(SUBSTITUTE(SUBSTITUTE($D209,"-","")," ",""),".",""))</f>
        <v/>
      </c>
      <c r="J209" s="10" t="str">
        <f aca="false">IF($E209="","",UPPER(SUBSTITUTE($E209," ","")))</f>
        <v/>
      </c>
      <c r="K209" s="10" t="str">
        <f aca="false">IF($A209="","",$G209&amp;"|"&amp;$J209)</f>
        <v/>
      </c>
      <c r="L209" s="10" t="str">
        <f aca="false">IF($A209="","",ROW()-2)</f>
        <v/>
      </c>
      <c r="M209" s="10" t="str">
        <f aca="false">IF($A209="","",ROW())</f>
        <v/>
      </c>
    </row>
    <row r="210" customFormat="false" ht="15" hidden="false" customHeight="true" outlineLevel="0" collapsed="false">
      <c r="A210" s="8"/>
      <c r="B210" s="8"/>
      <c r="C210" s="8"/>
      <c r="D210" s="8"/>
      <c r="E210" s="8"/>
      <c r="F210" s="8"/>
      <c r="G210" s="10" t="str">
        <f aca="false">IF($A210="","",UPPER(SUBSTITUTE(SUBSTITUTE(SUBSTITUTE(SUBSTITUTE($A210," ",""),"(주)",""),"주식회사",""),"㈜","")))</f>
        <v/>
      </c>
      <c r="H210" s="10" t="str">
        <f aca="false">IF($B210="","",SUBSTITUTE(SUBSTITUTE(SUBSTITUTE($B210,"-","")," ",""),".",""))</f>
        <v/>
      </c>
      <c r="I210" s="10" t="str">
        <f aca="false">IF($D210="","",SUBSTITUTE(SUBSTITUTE(SUBSTITUTE($D210,"-","")," ",""),".",""))</f>
        <v/>
      </c>
      <c r="J210" s="10" t="str">
        <f aca="false">IF($E210="","",UPPER(SUBSTITUTE($E210," ","")))</f>
        <v/>
      </c>
      <c r="K210" s="10" t="str">
        <f aca="false">IF($A210="","",$G210&amp;"|"&amp;$J210)</f>
        <v/>
      </c>
      <c r="L210" s="10" t="str">
        <f aca="false">IF($A210="","",ROW()-2)</f>
        <v/>
      </c>
      <c r="M210" s="10" t="str">
        <f aca="false">IF($A210="","",ROW())</f>
        <v/>
      </c>
    </row>
    <row r="211" customFormat="false" ht="15" hidden="false" customHeight="true" outlineLevel="0" collapsed="false">
      <c r="A211" s="8"/>
      <c r="B211" s="8"/>
      <c r="C211" s="8"/>
      <c r="D211" s="8"/>
      <c r="E211" s="8"/>
      <c r="F211" s="8"/>
      <c r="G211" s="10" t="str">
        <f aca="false">IF($A211="","",UPPER(SUBSTITUTE(SUBSTITUTE(SUBSTITUTE(SUBSTITUTE($A211," ",""),"(주)",""),"주식회사",""),"㈜","")))</f>
        <v/>
      </c>
      <c r="H211" s="10" t="str">
        <f aca="false">IF($B211="","",SUBSTITUTE(SUBSTITUTE(SUBSTITUTE($B211,"-","")," ",""),".",""))</f>
        <v/>
      </c>
      <c r="I211" s="10" t="str">
        <f aca="false">IF($D211="","",SUBSTITUTE(SUBSTITUTE(SUBSTITUTE($D211,"-","")," ",""),".",""))</f>
        <v/>
      </c>
      <c r="J211" s="10" t="str">
        <f aca="false">IF($E211="","",UPPER(SUBSTITUTE($E211," ","")))</f>
        <v/>
      </c>
      <c r="K211" s="10" t="str">
        <f aca="false">IF($A211="","",$G211&amp;"|"&amp;$J211)</f>
        <v/>
      </c>
      <c r="L211" s="10" t="str">
        <f aca="false">IF($A211="","",ROW()-2)</f>
        <v/>
      </c>
      <c r="M211" s="10" t="str">
        <f aca="false">IF($A211="","",ROW())</f>
        <v/>
      </c>
    </row>
    <row r="212" customFormat="false" ht="15" hidden="false" customHeight="true" outlineLevel="0" collapsed="false">
      <c r="A212" s="8"/>
      <c r="B212" s="8"/>
      <c r="C212" s="8"/>
      <c r="D212" s="8"/>
      <c r="E212" s="8"/>
      <c r="F212" s="8"/>
      <c r="G212" s="10" t="str">
        <f aca="false">IF($A212="","",UPPER(SUBSTITUTE(SUBSTITUTE(SUBSTITUTE(SUBSTITUTE($A212," ",""),"(주)",""),"주식회사",""),"㈜","")))</f>
        <v/>
      </c>
      <c r="H212" s="10" t="str">
        <f aca="false">IF($B212="","",SUBSTITUTE(SUBSTITUTE(SUBSTITUTE($B212,"-","")," ",""),".",""))</f>
        <v/>
      </c>
      <c r="I212" s="10" t="str">
        <f aca="false">IF($D212="","",SUBSTITUTE(SUBSTITUTE(SUBSTITUTE($D212,"-","")," ",""),".",""))</f>
        <v/>
      </c>
      <c r="J212" s="10" t="str">
        <f aca="false">IF($E212="","",UPPER(SUBSTITUTE($E212," ","")))</f>
        <v/>
      </c>
      <c r="K212" s="10" t="str">
        <f aca="false">IF($A212="","",$G212&amp;"|"&amp;$J212)</f>
        <v/>
      </c>
      <c r="L212" s="10" t="str">
        <f aca="false">IF($A212="","",ROW()-2)</f>
        <v/>
      </c>
      <c r="M212" s="10" t="str">
        <f aca="false">IF($A212="","",ROW())</f>
        <v/>
      </c>
    </row>
    <row r="213" customFormat="false" ht="15" hidden="false" customHeight="true" outlineLevel="0" collapsed="false">
      <c r="A213" s="8"/>
      <c r="B213" s="8"/>
      <c r="C213" s="8"/>
      <c r="D213" s="8"/>
      <c r="E213" s="8"/>
      <c r="F213" s="8"/>
      <c r="G213" s="10" t="str">
        <f aca="false">IF($A213="","",UPPER(SUBSTITUTE(SUBSTITUTE(SUBSTITUTE(SUBSTITUTE($A213," ",""),"(주)",""),"주식회사",""),"㈜","")))</f>
        <v/>
      </c>
      <c r="H213" s="10" t="str">
        <f aca="false">IF($B213="","",SUBSTITUTE(SUBSTITUTE(SUBSTITUTE($B213,"-","")," ",""),".",""))</f>
        <v/>
      </c>
      <c r="I213" s="10" t="str">
        <f aca="false">IF($D213="","",SUBSTITUTE(SUBSTITUTE(SUBSTITUTE($D213,"-","")," ",""),".",""))</f>
        <v/>
      </c>
      <c r="J213" s="10" t="str">
        <f aca="false">IF($E213="","",UPPER(SUBSTITUTE($E213," ","")))</f>
        <v/>
      </c>
      <c r="K213" s="10" t="str">
        <f aca="false">IF($A213="","",$G213&amp;"|"&amp;$J213)</f>
        <v/>
      </c>
      <c r="L213" s="10" t="str">
        <f aca="false">IF($A213="","",ROW()-2)</f>
        <v/>
      </c>
      <c r="M213" s="10" t="str">
        <f aca="false">IF($A213="","",ROW())</f>
        <v/>
      </c>
    </row>
    <row r="214" customFormat="false" ht="15" hidden="false" customHeight="true" outlineLevel="0" collapsed="false">
      <c r="A214" s="8"/>
      <c r="B214" s="8"/>
      <c r="C214" s="8"/>
      <c r="D214" s="8"/>
      <c r="E214" s="8"/>
      <c r="F214" s="8"/>
      <c r="G214" s="10" t="str">
        <f aca="false">IF($A214="","",UPPER(SUBSTITUTE(SUBSTITUTE(SUBSTITUTE(SUBSTITUTE($A214," ",""),"(주)",""),"주식회사",""),"㈜","")))</f>
        <v/>
      </c>
      <c r="H214" s="10" t="str">
        <f aca="false">IF($B214="","",SUBSTITUTE(SUBSTITUTE(SUBSTITUTE($B214,"-","")," ",""),".",""))</f>
        <v/>
      </c>
      <c r="I214" s="10" t="str">
        <f aca="false">IF($D214="","",SUBSTITUTE(SUBSTITUTE(SUBSTITUTE($D214,"-","")," ",""),".",""))</f>
        <v/>
      </c>
      <c r="J214" s="10" t="str">
        <f aca="false">IF($E214="","",UPPER(SUBSTITUTE($E214," ","")))</f>
        <v/>
      </c>
      <c r="K214" s="10" t="str">
        <f aca="false">IF($A214="","",$G214&amp;"|"&amp;$J214)</f>
        <v/>
      </c>
      <c r="L214" s="10" t="str">
        <f aca="false">IF($A214="","",ROW()-2)</f>
        <v/>
      </c>
      <c r="M214" s="10" t="str">
        <f aca="false">IF($A214="","",ROW())</f>
        <v/>
      </c>
    </row>
    <row r="215" customFormat="false" ht="15" hidden="false" customHeight="true" outlineLevel="0" collapsed="false">
      <c r="A215" s="8"/>
      <c r="B215" s="8"/>
      <c r="C215" s="8"/>
      <c r="D215" s="8"/>
      <c r="E215" s="8"/>
      <c r="F215" s="8"/>
      <c r="G215" s="10" t="str">
        <f aca="false">IF($A215="","",UPPER(SUBSTITUTE(SUBSTITUTE(SUBSTITUTE(SUBSTITUTE($A215," ",""),"(주)",""),"주식회사",""),"㈜","")))</f>
        <v/>
      </c>
      <c r="H215" s="10" t="str">
        <f aca="false">IF($B215="","",SUBSTITUTE(SUBSTITUTE(SUBSTITUTE($B215,"-","")," ",""),".",""))</f>
        <v/>
      </c>
      <c r="I215" s="10" t="str">
        <f aca="false">IF($D215="","",SUBSTITUTE(SUBSTITUTE(SUBSTITUTE($D215,"-","")," ",""),".",""))</f>
        <v/>
      </c>
      <c r="J215" s="10" t="str">
        <f aca="false">IF($E215="","",UPPER(SUBSTITUTE($E215," ","")))</f>
        <v/>
      </c>
      <c r="K215" s="10" t="str">
        <f aca="false">IF($A215="","",$G215&amp;"|"&amp;$J215)</f>
        <v/>
      </c>
      <c r="L215" s="10" t="str">
        <f aca="false">IF($A215="","",ROW()-2)</f>
        <v/>
      </c>
      <c r="M215" s="10" t="str">
        <f aca="false">IF($A215="","",ROW())</f>
        <v/>
      </c>
    </row>
    <row r="216" customFormat="false" ht="15" hidden="false" customHeight="true" outlineLevel="0" collapsed="false">
      <c r="A216" s="8"/>
      <c r="B216" s="8"/>
      <c r="C216" s="8"/>
      <c r="D216" s="8"/>
      <c r="E216" s="8"/>
      <c r="F216" s="8"/>
      <c r="G216" s="10" t="str">
        <f aca="false">IF($A216="","",UPPER(SUBSTITUTE(SUBSTITUTE(SUBSTITUTE(SUBSTITUTE($A216," ",""),"(주)",""),"주식회사",""),"㈜","")))</f>
        <v/>
      </c>
      <c r="H216" s="10" t="str">
        <f aca="false">IF($B216="","",SUBSTITUTE(SUBSTITUTE(SUBSTITUTE($B216,"-","")," ",""),".",""))</f>
        <v/>
      </c>
      <c r="I216" s="10" t="str">
        <f aca="false">IF($D216="","",SUBSTITUTE(SUBSTITUTE(SUBSTITUTE($D216,"-","")," ",""),".",""))</f>
        <v/>
      </c>
      <c r="J216" s="10" t="str">
        <f aca="false">IF($E216="","",UPPER(SUBSTITUTE($E216," ","")))</f>
        <v/>
      </c>
      <c r="K216" s="10" t="str">
        <f aca="false">IF($A216="","",$G216&amp;"|"&amp;$J216)</f>
        <v/>
      </c>
      <c r="L216" s="10" t="str">
        <f aca="false">IF($A216="","",ROW()-2)</f>
        <v/>
      </c>
      <c r="M216" s="10" t="str">
        <f aca="false">IF($A216="","",ROW())</f>
        <v/>
      </c>
    </row>
    <row r="217" customFormat="false" ht="15" hidden="false" customHeight="true" outlineLevel="0" collapsed="false">
      <c r="A217" s="8"/>
      <c r="B217" s="8"/>
      <c r="C217" s="8"/>
      <c r="D217" s="8"/>
      <c r="E217" s="8"/>
      <c r="F217" s="8"/>
      <c r="G217" s="10" t="str">
        <f aca="false">IF($A217="","",UPPER(SUBSTITUTE(SUBSTITUTE(SUBSTITUTE(SUBSTITUTE($A217," ",""),"(주)",""),"주식회사",""),"㈜","")))</f>
        <v/>
      </c>
      <c r="H217" s="10" t="str">
        <f aca="false">IF($B217="","",SUBSTITUTE(SUBSTITUTE(SUBSTITUTE($B217,"-","")," ",""),".",""))</f>
        <v/>
      </c>
      <c r="I217" s="10" t="str">
        <f aca="false">IF($D217="","",SUBSTITUTE(SUBSTITUTE(SUBSTITUTE($D217,"-","")," ",""),".",""))</f>
        <v/>
      </c>
      <c r="J217" s="10" t="str">
        <f aca="false">IF($E217="","",UPPER(SUBSTITUTE($E217," ","")))</f>
        <v/>
      </c>
      <c r="K217" s="10" t="str">
        <f aca="false">IF($A217="","",$G217&amp;"|"&amp;$J217)</f>
        <v/>
      </c>
      <c r="L217" s="10" t="str">
        <f aca="false">IF($A217="","",ROW()-2)</f>
        <v/>
      </c>
      <c r="M217" s="10" t="str">
        <f aca="false">IF($A217="","",ROW())</f>
        <v/>
      </c>
    </row>
    <row r="218" customFormat="false" ht="15" hidden="false" customHeight="true" outlineLevel="0" collapsed="false">
      <c r="A218" s="8"/>
      <c r="B218" s="8"/>
      <c r="C218" s="8"/>
      <c r="D218" s="8"/>
      <c r="E218" s="8"/>
      <c r="F218" s="8"/>
      <c r="G218" s="10" t="str">
        <f aca="false">IF($A218="","",UPPER(SUBSTITUTE(SUBSTITUTE(SUBSTITUTE(SUBSTITUTE($A218," ",""),"(주)",""),"주식회사",""),"㈜","")))</f>
        <v/>
      </c>
      <c r="H218" s="10" t="str">
        <f aca="false">IF($B218="","",SUBSTITUTE(SUBSTITUTE(SUBSTITUTE($B218,"-","")," ",""),".",""))</f>
        <v/>
      </c>
      <c r="I218" s="10" t="str">
        <f aca="false">IF($D218="","",SUBSTITUTE(SUBSTITUTE(SUBSTITUTE($D218,"-","")," ",""),".",""))</f>
        <v/>
      </c>
      <c r="J218" s="10" t="str">
        <f aca="false">IF($E218="","",UPPER(SUBSTITUTE($E218," ","")))</f>
        <v/>
      </c>
      <c r="K218" s="10" t="str">
        <f aca="false">IF($A218="","",$G218&amp;"|"&amp;$J218)</f>
        <v/>
      </c>
      <c r="L218" s="10" t="str">
        <f aca="false">IF($A218="","",ROW()-2)</f>
        <v/>
      </c>
      <c r="M218" s="10" t="str">
        <f aca="false">IF($A218="","",ROW())</f>
        <v/>
      </c>
    </row>
    <row r="219" customFormat="false" ht="15" hidden="false" customHeight="true" outlineLevel="0" collapsed="false">
      <c r="A219" s="8"/>
      <c r="B219" s="8"/>
      <c r="C219" s="8"/>
      <c r="D219" s="8"/>
      <c r="E219" s="8"/>
      <c r="F219" s="8"/>
      <c r="G219" s="10" t="str">
        <f aca="false">IF($A219="","",UPPER(SUBSTITUTE(SUBSTITUTE(SUBSTITUTE(SUBSTITUTE($A219," ",""),"(주)",""),"주식회사",""),"㈜","")))</f>
        <v/>
      </c>
      <c r="H219" s="10" t="str">
        <f aca="false">IF($B219="","",SUBSTITUTE(SUBSTITUTE(SUBSTITUTE($B219,"-","")," ",""),".",""))</f>
        <v/>
      </c>
      <c r="I219" s="10" t="str">
        <f aca="false">IF($D219="","",SUBSTITUTE(SUBSTITUTE(SUBSTITUTE($D219,"-","")," ",""),".",""))</f>
        <v/>
      </c>
      <c r="J219" s="10" t="str">
        <f aca="false">IF($E219="","",UPPER(SUBSTITUTE($E219," ","")))</f>
        <v/>
      </c>
      <c r="K219" s="10" t="str">
        <f aca="false">IF($A219="","",$G219&amp;"|"&amp;$J219)</f>
        <v/>
      </c>
      <c r="L219" s="10" t="str">
        <f aca="false">IF($A219="","",ROW()-2)</f>
        <v/>
      </c>
      <c r="M219" s="10" t="str">
        <f aca="false">IF($A219="","",ROW())</f>
        <v/>
      </c>
    </row>
    <row r="220" customFormat="false" ht="15" hidden="false" customHeight="true" outlineLevel="0" collapsed="false">
      <c r="A220" s="8"/>
      <c r="B220" s="8"/>
      <c r="C220" s="8"/>
      <c r="D220" s="8"/>
      <c r="E220" s="8"/>
      <c r="F220" s="8"/>
      <c r="G220" s="10" t="str">
        <f aca="false">IF($A220="","",UPPER(SUBSTITUTE(SUBSTITUTE(SUBSTITUTE(SUBSTITUTE($A220," ",""),"(주)",""),"주식회사",""),"㈜","")))</f>
        <v/>
      </c>
      <c r="H220" s="10" t="str">
        <f aca="false">IF($B220="","",SUBSTITUTE(SUBSTITUTE(SUBSTITUTE($B220,"-","")," ",""),".",""))</f>
        <v/>
      </c>
      <c r="I220" s="10" t="str">
        <f aca="false">IF($D220="","",SUBSTITUTE(SUBSTITUTE(SUBSTITUTE($D220,"-","")," ",""),".",""))</f>
        <v/>
      </c>
      <c r="J220" s="10" t="str">
        <f aca="false">IF($E220="","",UPPER(SUBSTITUTE($E220," ","")))</f>
        <v/>
      </c>
      <c r="K220" s="10" t="str">
        <f aca="false">IF($A220="","",$G220&amp;"|"&amp;$J220)</f>
        <v/>
      </c>
      <c r="L220" s="10" t="str">
        <f aca="false">IF($A220="","",ROW()-2)</f>
        <v/>
      </c>
      <c r="M220" s="10" t="str">
        <f aca="false">IF($A220="","",ROW())</f>
        <v/>
      </c>
    </row>
    <row r="221" customFormat="false" ht="15" hidden="false" customHeight="true" outlineLevel="0" collapsed="false">
      <c r="A221" s="8"/>
      <c r="B221" s="8"/>
      <c r="C221" s="8"/>
      <c r="D221" s="8"/>
      <c r="E221" s="8"/>
      <c r="F221" s="8"/>
      <c r="G221" s="10" t="str">
        <f aca="false">IF($A221="","",UPPER(SUBSTITUTE(SUBSTITUTE(SUBSTITUTE(SUBSTITUTE($A221," ",""),"(주)",""),"주식회사",""),"㈜","")))</f>
        <v/>
      </c>
      <c r="H221" s="10" t="str">
        <f aca="false">IF($B221="","",SUBSTITUTE(SUBSTITUTE(SUBSTITUTE($B221,"-","")," ",""),".",""))</f>
        <v/>
      </c>
      <c r="I221" s="10" t="str">
        <f aca="false">IF($D221="","",SUBSTITUTE(SUBSTITUTE(SUBSTITUTE($D221,"-","")," ",""),".",""))</f>
        <v/>
      </c>
      <c r="J221" s="10" t="str">
        <f aca="false">IF($E221="","",UPPER(SUBSTITUTE($E221," ","")))</f>
        <v/>
      </c>
      <c r="K221" s="10" t="str">
        <f aca="false">IF($A221="","",$G221&amp;"|"&amp;$J221)</f>
        <v/>
      </c>
      <c r="L221" s="10" t="str">
        <f aca="false">IF($A221="","",ROW()-2)</f>
        <v/>
      </c>
      <c r="M221" s="10" t="str">
        <f aca="false">IF($A221="","",ROW())</f>
        <v/>
      </c>
    </row>
    <row r="222" customFormat="false" ht="15" hidden="false" customHeight="true" outlineLevel="0" collapsed="false">
      <c r="A222" s="8"/>
      <c r="B222" s="8"/>
      <c r="C222" s="8"/>
      <c r="D222" s="8"/>
      <c r="E222" s="8"/>
      <c r="F222" s="8"/>
      <c r="G222" s="10" t="str">
        <f aca="false">IF($A222="","",UPPER(SUBSTITUTE(SUBSTITUTE(SUBSTITUTE(SUBSTITUTE($A222," ",""),"(주)",""),"주식회사",""),"㈜","")))</f>
        <v/>
      </c>
      <c r="H222" s="10" t="str">
        <f aca="false">IF($B222="","",SUBSTITUTE(SUBSTITUTE(SUBSTITUTE($B222,"-","")," ",""),".",""))</f>
        <v/>
      </c>
      <c r="I222" s="10" t="str">
        <f aca="false">IF($D222="","",SUBSTITUTE(SUBSTITUTE(SUBSTITUTE($D222,"-","")," ",""),".",""))</f>
        <v/>
      </c>
      <c r="J222" s="10" t="str">
        <f aca="false">IF($E222="","",UPPER(SUBSTITUTE($E222," ","")))</f>
        <v/>
      </c>
      <c r="K222" s="10" t="str">
        <f aca="false">IF($A222="","",$G222&amp;"|"&amp;$J222)</f>
        <v/>
      </c>
      <c r="L222" s="10" t="str">
        <f aca="false">IF($A222="","",ROW()-2)</f>
        <v/>
      </c>
      <c r="M222" s="10" t="str">
        <f aca="false">IF($A222="","",ROW())</f>
        <v/>
      </c>
    </row>
    <row r="223" customFormat="false" ht="15" hidden="false" customHeight="true" outlineLevel="0" collapsed="false">
      <c r="A223" s="8"/>
      <c r="B223" s="8"/>
      <c r="C223" s="8"/>
      <c r="D223" s="8"/>
      <c r="E223" s="8"/>
      <c r="F223" s="8"/>
      <c r="G223" s="10" t="str">
        <f aca="false">IF($A223="","",UPPER(SUBSTITUTE(SUBSTITUTE(SUBSTITUTE(SUBSTITUTE($A223," ",""),"(주)",""),"주식회사",""),"㈜","")))</f>
        <v/>
      </c>
      <c r="H223" s="10" t="str">
        <f aca="false">IF($B223="","",SUBSTITUTE(SUBSTITUTE(SUBSTITUTE($B223,"-","")," ",""),".",""))</f>
        <v/>
      </c>
      <c r="I223" s="10" t="str">
        <f aca="false">IF($D223="","",SUBSTITUTE(SUBSTITUTE(SUBSTITUTE($D223,"-","")," ",""),".",""))</f>
        <v/>
      </c>
      <c r="J223" s="10" t="str">
        <f aca="false">IF($E223="","",UPPER(SUBSTITUTE($E223," ","")))</f>
        <v/>
      </c>
      <c r="K223" s="10" t="str">
        <f aca="false">IF($A223="","",$G223&amp;"|"&amp;$J223)</f>
        <v/>
      </c>
      <c r="L223" s="10" t="str">
        <f aca="false">IF($A223="","",ROW()-2)</f>
        <v/>
      </c>
      <c r="M223" s="10" t="str">
        <f aca="false">IF($A223="","",ROW())</f>
        <v/>
      </c>
    </row>
    <row r="224" customFormat="false" ht="15" hidden="false" customHeight="true" outlineLevel="0" collapsed="false">
      <c r="A224" s="8"/>
      <c r="B224" s="8"/>
      <c r="C224" s="8"/>
      <c r="D224" s="8"/>
      <c r="E224" s="8"/>
      <c r="F224" s="8"/>
      <c r="G224" s="10" t="str">
        <f aca="false">IF($A224="","",UPPER(SUBSTITUTE(SUBSTITUTE(SUBSTITUTE(SUBSTITUTE($A224," ",""),"(주)",""),"주식회사",""),"㈜","")))</f>
        <v/>
      </c>
      <c r="H224" s="10" t="str">
        <f aca="false">IF($B224="","",SUBSTITUTE(SUBSTITUTE(SUBSTITUTE($B224,"-","")," ",""),".",""))</f>
        <v/>
      </c>
      <c r="I224" s="10" t="str">
        <f aca="false">IF($D224="","",SUBSTITUTE(SUBSTITUTE(SUBSTITUTE($D224,"-","")," ",""),".",""))</f>
        <v/>
      </c>
      <c r="J224" s="10" t="str">
        <f aca="false">IF($E224="","",UPPER(SUBSTITUTE($E224," ","")))</f>
        <v/>
      </c>
      <c r="K224" s="10" t="str">
        <f aca="false">IF($A224="","",$G224&amp;"|"&amp;$J224)</f>
        <v/>
      </c>
      <c r="L224" s="10" t="str">
        <f aca="false">IF($A224="","",ROW()-2)</f>
        <v/>
      </c>
      <c r="M224" s="10" t="str">
        <f aca="false">IF($A224="","",ROW())</f>
        <v/>
      </c>
    </row>
    <row r="225" customFormat="false" ht="15" hidden="false" customHeight="true" outlineLevel="0" collapsed="false">
      <c r="A225" s="8"/>
      <c r="B225" s="8"/>
      <c r="C225" s="8"/>
      <c r="D225" s="8"/>
      <c r="E225" s="8"/>
      <c r="F225" s="8"/>
      <c r="G225" s="10" t="str">
        <f aca="false">IF($A225="","",UPPER(SUBSTITUTE(SUBSTITUTE(SUBSTITUTE(SUBSTITUTE($A225," ",""),"(주)",""),"주식회사",""),"㈜","")))</f>
        <v/>
      </c>
      <c r="H225" s="10" t="str">
        <f aca="false">IF($B225="","",SUBSTITUTE(SUBSTITUTE(SUBSTITUTE($B225,"-","")," ",""),".",""))</f>
        <v/>
      </c>
      <c r="I225" s="10" t="str">
        <f aca="false">IF($D225="","",SUBSTITUTE(SUBSTITUTE(SUBSTITUTE($D225,"-","")," ",""),".",""))</f>
        <v/>
      </c>
      <c r="J225" s="10" t="str">
        <f aca="false">IF($E225="","",UPPER(SUBSTITUTE($E225," ","")))</f>
        <v/>
      </c>
      <c r="K225" s="10" t="str">
        <f aca="false">IF($A225="","",$G225&amp;"|"&amp;$J225)</f>
        <v/>
      </c>
      <c r="L225" s="10" t="str">
        <f aca="false">IF($A225="","",ROW()-2)</f>
        <v/>
      </c>
      <c r="M225" s="10" t="str">
        <f aca="false">IF($A225="","",ROW())</f>
        <v/>
      </c>
    </row>
    <row r="226" customFormat="false" ht="15" hidden="false" customHeight="true" outlineLevel="0" collapsed="false">
      <c r="A226" s="8"/>
      <c r="B226" s="8"/>
      <c r="C226" s="8"/>
      <c r="D226" s="8"/>
      <c r="E226" s="8"/>
      <c r="F226" s="8"/>
      <c r="G226" s="10" t="str">
        <f aca="false">IF($A226="","",UPPER(SUBSTITUTE(SUBSTITUTE(SUBSTITUTE(SUBSTITUTE($A226," ",""),"(주)",""),"주식회사",""),"㈜","")))</f>
        <v/>
      </c>
      <c r="H226" s="10" t="str">
        <f aca="false">IF($B226="","",SUBSTITUTE(SUBSTITUTE(SUBSTITUTE($B226,"-","")," ",""),".",""))</f>
        <v/>
      </c>
      <c r="I226" s="10" t="str">
        <f aca="false">IF($D226="","",SUBSTITUTE(SUBSTITUTE(SUBSTITUTE($D226,"-","")," ",""),".",""))</f>
        <v/>
      </c>
      <c r="J226" s="10" t="str">
        <f aca="false">IF($E226="","",UPPER(SUBSTITUTE($E226," ","")))</f>
        <v/>
      </c>
      <c r="K226" s="10" t="str">
        <f aca="false">IF($A226="","",$G226&amp;"|"&amp;$J226)</f>
        <v/>
      </c>
      <c r="L226" s="10" t="str">
        <f aca="false">IF($A226="","",ROW()-2)</f>
        <v/>
      </c>
      <c r="M226" s="10" t="str">
        <f aca="false">IF($A226="","",ROW())</f>
        <v/>
      </c>
    </row>
    <row r="227" customFormat="false" ht="15" hidden="false" customHeight="true" outlineLevel="0" collapsed="false">
      <c r="A227" s="8"/>
      <c r="B227" s="8"/>
      <c r="C227" s="8"/>
      <c r="D227" s="8"/>
      <c r="E227" s="8"/>
      <c r="F227" s="8"/>
      <c r="G227" s="10" t="str">
        <f aca="false">IF($A227="","",UPPER(SUBSTITUTE(SUBSTITUTE(SUBSTITUTE(SUBSTITUTE($A227," ",""),"(주)",""),"주식회사",""),"㈜","")))</f>
        <v/>
      </c>
      <c r="H227" s="10" t="str">
        <f aca="false">IF($B227="","",SUBSTITUTE(SUBSTITUTE(SUBSTITUTE($B227,"-","")," ",""),".",""))</f>
        <v/>
      </c>
      <c r="I227" s="10" t="str">
        <f aca="false">IF($D227="","",SUBSTITUTE(SUBSTITUTE(SUBSTITUTE($D227,"-","")," ",""),".",""))</f>
        <v/>
      </c>
      <c r="J227" s="10" t="str">
        <f aca="false">IF($E227="","",UPPER(SUBSTITUTE($E227," ","")))</f>
        <v/>
      </c>
      <c r="K227" s="10" t="str">
        <f aca="false">IF($A227="","",$G227&amp;"|"&amp;$J227)</f>
        <v/>
      </c>
      <c r="L227" s="10" t="str">
        <f aca="false">IF($A227="","",ROW()-2)</f>
        <v/>
      </c>
      <c r="M227" s="10" t="str">
        <f aca="false">IF($A227="","",ROW())</f>
        <v/>
      </c>
    </row>
    <row r="228" customFormat="false" ht="15" hidden="false" customHeight="true" outlineLevel="0" collapsed="false">
      <c r="A228" s="8"/>
      <c r="B228" s="8"/>
      <c r="C228" s="8"/>
      <c r="D228" s="8"/>
      <c r="E228" s="8"/>
      <c r="F228" s="8"/>
      <c r="G228" s="10" t="str">
        <f aca="false">IF($A228="","",UPPER(SUBSTITUTE(SUBSTITUTE(SUBSTITUTE(SUBSTITUTE($A228," ",""),"(주)",""),"주식회사",""),"㈜","")))</f>
        <v/>
      </c>
      <c r="H228" s="10" t="str">
        <f aca="false">IF($B228="","",SUBSTITUTE(SUBSTITUTE(SUBSTITUTE($B228,"-","")," ",""),".",""))</f>
        <v/>
      </c>
      <c r="I228" s="10" t="str">
        <f aca="false">IF($D228="","",SUBSTITUTE(SUBSTITUTE(SUBSTITUTE($D228,"-","")," ",""),".",""))</f>
        <v/>
      </c>
      <c r="J228" s="10" t="str">
        <f aca="false">IF($E228="","",UPPER(SUBSTITUTE($E228," ","")))</f>
        <v/>
      </c>
      <c r="K228" s="10" t="str">
        <f aca="false">IF($A228="","",$G228&amp;"|"&amp;$J228)</f>
        <v/>
      </c>
      <c r="L228" s="10" t="str">
        <f aca="false">IF($A228="","",ROW()-2)</f>
        <v/>
      </c>
      <c r="M228" s="10" t="str">
        <f aca="false">IF($A228="","",ROW())</f>
        <v/>
      </c>
    </row>
    <row r="229" customFormat="false" ht="15" hidden="false" customHeight="true" outlineLevel="0" collapsed="false">
      <c r="A229" s="8"/>
      <c r="B229" s="8"/>
      <c r="C229" s="8"/>
      <c r="D229" s="8"/>
      <c r="E229" s="8"/>
      <c r="F229" s="8"/>
      <c r="G229" s="10" t="str">
        <f aca="false">IF($A229="","",UPPER(SUBSTITUTE(SUBSTITUTE(SUBSTITUTE(SUBSTITUTE($A229," ",""),"(주)",""),"주식회사",""),"㈜","")))</f>
        <v/>
      </c>
      <c r="H229" s="10" t="str">
        <f aca="false">IF($B229="","",SUBSTITUTE(SUBSTITUTE(SUBSTITUTE($B229,"-","")," ",""),".",""))</f>
        <v/>
      </c>
      <c r="I229" s="10" t="str">
        <f aca="false">IF($D229="","",SUBSTITUTE(SUBSTITUTE(SUBSTITUTE($D229,"-","")," ",""),".",""))</f>
        <v/>
      </c>
      <c r="J229" s="10" t="str">
        <f aca="false">IF($E229="","",UPPER(SUBSTITUTE($E229," ","")))</f>
        <v/>
      </c>
      <c r="K229" s="10" t="str">
        <f aca="false">IF($A229="","",$G229&amp;"|"&amp;$J229)</f>
        <v/>
      </c>
      <c r="L229" s="10" t="str">
        <f aca="false">IF($A229="","",ROW()-2)</f>
        <v/>
      </c>
      <c r="M229" s="10" t="str">
        <f aca="false">IF($A229="","",ROW())</f>
        <v/>
      </c>
    </row>
    <row r="230" customFormat="false" ht="15" hidden="false" customHeight="true" outlineLevel="0" collapsed="false">
      <c r="A230" s="8"/>
      <c r="B230" s="8"/>
      <c r="C230" s="8"/>
      <c r="D230" s="8"/>
      <c r="E230" s="8"/>
      <c r="F230" s="8"/>
      <c r="G230" s="10" t="str">
        <f aca="false">IF($A230="","",UPPER(SUBSTITUTE(SUBSTITUTE(SUBSTITUTE(SUBSTITUTE($A230," ",""),"(주)",""),"주식회사",""),"㈜","")))</f>
        <v/>
      </c>
      <c r="H230" s="10" t="str">
        <f aca="false">IF($B230="","",SUBSTITUTE(SUBSTITUTE(SUBSTITUTE($B230,"-","")," ",""),".",""))</f>
        <v/>
      </c>
      <c r="I230" s="10" t="str">
        <f aca="false">IF($D230="","",SUBSTITUTE(SUBSTITUTE(SUBSTITUTE($D230,"-","")," ",""),".",""))</f>
        <v/>
      </c>
      <c r="J230" s="10" t="str">
        <f aca="false">IF($E230="","",UPPER(SUBSTITUTE($E230," ","")))</f>
        <v/>
      </c>
      <c r="K230" s="10" t="str">
        <f aca="false">IF($A230="","",$G230&amp;"|"&amp;$J230)</f>
        <v/>
      </c>
      <c r="L230" s="10" t="str">
        <f aca="false">IF($A230="","",ROW()-2)</f>
        <v/>
      </c>
      <c r="M230" s="10" t="str">
        <f aca="false">IF($A230="","",ROW())</f>
        <v/>
      </c>
    </row>
    <row r="231" customFormat="false" ht="15" hidden="false" customHeight="true" outlineLevel="0" collapsed="false">
      <c r="A231" s="8"/>
      <c r="B231" s="8"/>
      <c r="C231" s="8"/>
      <c r="D231" s="8"/>
      <c r="E231" s="8"/>
      <c r="F231" s="8"/>
      <c r="G231" s="10" t="str">
        <f aca="false">IF($A231="","",UPPER(SUBSTITUTE(SUBSTITUTE(SUBSTITUTE(SUBSTITUTE($A231," ",""),"(주)",""),"주식회사",""),"㈜","")))</f>
        <v/>
      </c>
      <c r="H231" s="10" t="str">
        <f aca="false">IF($B231="","",SUBSTITUTE(SUBSTITUTE(SUBSTITUTE($B231,"-","")," ",""),".",""))</f>
        <v/>
      </c>
      <c r="I231" s="10" t="str">
        <f aca="false">IF($D231="","",SUBSTITUTE(SUBSTITUTE(SUBSTITUTE($D231,"-","")," ",""),".",""))</f>
        <v/>
      </c>
      <c r="J231" s="10" t="str">
        <f aca="false">IF($E231="","",UPPER(SUBSTITUTE($E231," ","")))</f>
        <v/>
      </c>
      <c r="K231" s="10" t="str">
        <f aca="false">IF($A231="","",$G231&amp;"|"&amp;$J231)</f>
        <v/>
      </c>
      <c r="L231" s="10" t="str">
        <f aca="false">IF($A231="","",ROW()-2)</f>
        <v/>
      </c>
      <c r="M231" s="10" t="str">
        <f aca="false">IF($A231="","",ROW())</f>
        <v/>
      </c>
    </row>
    <row r="232" customFormat="false" ht="15" hidden="false" customHeight="true" outlineLevel="0" collapsed="false">
      <c r="A232" s="8"/>
      <c r="B232" s="8"/>
      <c r="C232" s="8"/>
      <c r="D232" s="8"/>
      <c r="E232" s="8"/>
      <c r="F232" s="8"/>
      <c r="G232" s="10" t="str">
        <f aca="false">IF($A232="","",UPPER(SUBSTITUTE(SUBSTITUTE(SUBSTITUTE(SUBSTITUTE($A232," ",""),"(주)",""),"주식회사",""),"㈜","")))</f>
        <v/>
      </c>
      <c r="H232" s="10" t="str">
        <f aca="false">IF($B232="","",SUBSTITUTE(SUBSTITUTE(SUBSTITUTE($B232,"-","")," ",""),".",""))</f>
        <v/>
      </c>
      <c r="I232" s="10" t="str">
        <f aca="false">IF($D232="","",SUBSTITUTE(SUBSTITUTE(SUBSTITUTE($D232,"-","")," ",""),".",""))</f>
        <v/>
      </c>
      <c r="J232" s="10" t="str">
        <f aca="false">IF($E232="","",UPPER(SUBSTITUTE($E232," ","")))</f>
        <v/>
      </c>
      <c r="K232" s="10" t="str">
        <f aca="false">IF($A232="","",$G232&amp;"|"&amp;$J232)</f>
        <v/>
      </c>
      <c r="L232" s="10" t="str">
        <f aca="false">IF($A232="","",ROW()-2)</f>
        <v/>
      </c>
      <c r="M232" s="10" t="str">
        <f aca="false">IF($A232="","",ROW())</f>
        <v/>
      </c>
    </row>
    <row r="233" customFormat="false" ht="15" hidden="false" customHeight="true" outlineLevel="0" collapsed="false">
      <c r="A233" s="8"/>
      <c r="B233" s="8"/>
      <c r="C233" s="8"/>
      <c r="D233" s="8"/>
      <c r="E233" s="8"/>
      <c r="F233" s="8"/>
      <c r="G233" s="10" t="str">
        <f aca="false">IF($A233="","",UPPER(SUBSTITUTE(SUBSTITUTE(SUBSTITUTE(SUBSTITUTE($A233," ",""),"(주)",""),"주식회사",""),"㈜","")))</f>
        <v/>
      </c>
      <c r="H233" s="10" t="str">
        <f aca="false">IF($B233="","",SUBSTITUTE(SUBSTITUTE(SUBSTITUTE($B233,"-","")," ",""),".",""))</f>
        <v/>
      </c>
      <c r="I233" s="10" t="str">
        <f aca="false">IF($D233="","",SUBSTITUTE(SUBSTITUTE(SUBSTITUTE($D233,"-","")," ",""),".",""))</f>
        <v/>
      </c>
      <c r="J233" s="10" t="str">
        <f aca="false">IF($E233="","",UPPER(SUBSTITUTE($E233," ","")))</f>
        <v/>
      </c>
      <c r="K233" s="10" t="str">
        <f aca="false">IF($A233="","",$G233&amp;"|"&amp;$J233)</f>
        <v/>
      </c>
      <c r="L233" s="10" t="str">
        <f aca="false">IF($A233="","",ROW()-2)</f>
        <v/>
      </c>
      <c r="M233" s="10" t="str">
        <f aca="false">IF($A233="","",ROW())</f>
        <v/>
      </c>
    </row>
    <row r="234" customFormat="false" ht="15" hidden="false" customHeight="true" outlineLevel="0" collapsed="false">
      <c r="A234" s="8"/>
      <c r="B234" s="8"/>
      <c r="C234" s="8"/>
      <c r="D234" s="8"/>
      <c r="E234" s="8"/>
      <c r="F234" s="8"/>
      <c r="G234" s="10" t="str">
        <f aca="false">IF($A234="","",UPPER(SUBSTITUTE(SUBSTITUTE(SUBSTITUTE(SUBSTITUTE($A234," ",""),"(주)",""),"주식회사",""),"㈜","")))</f>
        <v/>
      </c>
      <c r="H234" s="10" t="str">
        <f aca="false">IF($B234="","",SUBSTITUTE(SUBSTITUTE(SUBSTITUTE($B234,"-","")," ",""),".",""))</f>
        <v/>
      </c>
      <c r="I234" s="10" t="str">
        <f aca="false">IF($D234="","",SUBSTITUTE(SUBSTITUTE(SUBSTITUTE($D234,"-","")," ",""),".",""))</f>
        <v/>
      </c>
      <c r="J234" s="10" t="str">
        <f aca="false">IF($E234="","",UPPER(SUBSTITUTE($E234," ","")))</f>
        <v/>
      </c>
      <c r="K234" s="10" t="str">
        <f aca="false">IF($A234="","",$G234&amp;"|"&amp;$J234)</f>
        <v/>
      </c>
      <c r="L234" s="10" t="str">
        <f aca="false">IF($A234="","",ROW()-2)</f>
        <v/>
      </c>
      <c r="M234" s="10" t="str">
        <f aca="false">IF($A234="","",ROW())</f>
        <v/>
      </c>
    </row>
    <row r="235" customFormat="false" ht="15" hidden="false" customHeight="true" outlineLevel="0" collapsed="false">
      <c r="A235" s="8"/>
      <c r="B235" s="8"/>
      <c r="C235" s="8"/>
      <c r="D235" s="8"/>
      <c r="E235" s="8"/>
      <c r="F235" s="8"/>
      <c r="G235" s="10" t="str">
        <f aca="false">IF($A235="","",UPPER(SUBSTITUTE(SUBSTITUTE(SUBSTITUTE(SUBSTITUTE($A235," ",""),"(주)",""),"주식회사",""),"㈜","")))</f>
        <v/>
      </c>
      <c r="H235" s="10" t="str">
        <f aca="false">IF($B235="","",SUBSTITUTE(SUBSTITUTE(SUBSTITUTE($B235,"-","")," ",""),".",""))</f>
        <v/>
      </c>
      <c r="I235" s="10" t="str">
        <f aca="false">IF($D235="","",SUBSTITUTE(SUBSTITUTE(SUBSTITUTE($D235,"-","")," ",""),".",""))</f>
        <v/>
      </c>
      <c r="J235" s="10" t="str">
        <f aca="false">IF($E235="","",UPPER(SUBSTITUTE($E235," ","")))</f>
        <v/>
      </c>
      <c r="K235" s="10" t="str">
        <f aca="false">IF($A235="","",$G235&amp;"|"&amp;$J235)</f>
        <v/>
      </c>
      <c r="L235" s="10" t="str">
        <f aca="false">IF($A235="","",ROW()-2)</f>
        <v/>
      </c>
      <c r="M235" s="10" t="str">
        <f aca="false">IF($A235="","",ROW())</f>
        <v/>
      </c>
    </row>
    <row r="236" customFormat="false" ht="15" hidden="false" customHeight="true" outlineLevel="0" collapsed="false">
      <c r="A236" s="8"/>
      <c r="B236" s="8"/>
      <c r="C236" s="8"/>
      <c r="D236" s="8"/>
      <c r="E236" s="8"/>
      <c r="F236" s="8"/>
      <c r="G236" s="10" t="str">
        <f aca="false">IF($A236="","",UPPER(SUBSTITUTE(SUBSTITUTE(SUBSTITUTE(SUBSTITUTE($A236," ",""),"(주)",""),"주식회사",""),"㈜","")))</f>
        <v/>
      </c>
      <c r="H236" s="10" t="str">
        <f aca="false">IF($B236="","",SUBSTITUTE(SUBSTITUTE(SUBSTITUTE($B236,"-","")," ",""),".",""))</f>
        <v/>
      </c>
      <c r="I236" s="10" t="str">
        <f aca="false">IF($D236="","",SUBSTITUTE(SUBSTITUTE(SUBSTITUTE($D236,"-","")," ",""),".",""))</f>
        <v/>
      </c>
      <c r="J236" s="10" t="str">
        <f aca="false">IF($E236="","",UPPER(SUBSTITUTE($E236," ","")))</f>
        <v/>
      </c>
      <c r="K236" s="10" t="str">
        <f aca="false">IF($A236="","",$G236&amp;"|"&amp;$J236)</f>
        <v/>
      </c>
      <c r="L236" s="10" t="str">
        <f aca="false">IF($A236="","",ROW()-2)</f>
        <v/>
      </c>
      <c r="M236" s="10" t="str">
        <f aca="false">IF($A236="","",ROW())</f>
        <v/>
      </c>
    </row>
    <row r="237" customFormat="false" ht="15" hidden="false" customHeight="true" outlineLevel="0" collapsed="false">
      <c r="A237" s="8"/>
      <c r="B237" s="8"/>
      <c r="C237" s="8"/>
      <c r="D237" s="8"/>
      <c r="E237" s="8"/>
      <c r="F237" s="8"/>
      <c r="G237" s="10" t="str">
        <f aca="false">IF($A237="","",UPPER(SUBSTITUTE(SUBSTITUTE(SUBSTITUTE(SUBSTITUTE($A237," ",""),"(주)",""),"주식회사",""),"㈜","")))</f>
        <v/>
      </c>
      <c r="H237" s="10" t="str">
        <f aca="false">IF($B237="","",SUBSTITUTE(SUBSTITUTE(SUBSTITUTE($B237,"-","")," ",""),".",""))</f>
        <v/>
      </c>
      <c r="I237" s="10" t="str">
        <f aca="false">IF($D237="","",SUBSTITUTE(SUBSTITUTE(SUBSTITUTE($D237,"-","")," ",""),".",""))</f>
        <v/>
      </c>
      <c r="J237" s="10" t="str">
        <f aca="false">IF($E237="","",UPPER(SUBSTITUTE($E237," ","")))</f>
        <v/>
      </c>
      <c r="K237" s="10" t="str">
        <f aca="false">IF($A237="","",$G237&amp;"|"&amp;$J237)</f>
        <v/>
      </c>
      <c r="L237" s="10" t="str">
        <f aca="false">IF($A237="","",ROW()-2)</f>
        <v/>
      </c>
      <c r="M237" s="10" t="str">
        <f aca="false">IF($A237="","",ROW())</f>
        <v/>
      </c>
    </row>
    <row r="238" customFormat="false" ht="15" hidden="false" customHeight="true" outlineLevel="0" collapsed="false">
      <c r="A238" s="8"/>
      <c r="B238" s="8"/>
      <c r="C238" s="8"/>
      <c r="D238" s="8"/>
      <c r="E238" s="8"/>
      <c r="F238" s="8"/>
      <c r="G238" s="10" t="str">
        <f aca="false">IF($A238="","",UPPER(SUBSTITUTE(SUBSTITUTE(SUBSTITUTE(SUBSTITUTE($A238," ",""),"(주)",""),"주식회사",""),"㈜","")))</f>
        <v/>
      </c>
      <c r="H238" s="10" t="str">
        <f aca="false">IF($B238="","",SUBSTITUTE(SUBSTITUTE(SUBSTITUTE($B238,"-","")," ",""),".",""))</f>
        <v/>
      </c>
      <c r="I238" s="10" t="str">
        <f aca="false">IF($D238="","",SUBSTITUTE(SUBSTITUTE(SUBSTITUTE($D238,"-","")," ",""),".",""))</f>
        <v/>
      </c>
      <c r="J238" s="10" t="str">
        <f aca="false">IF($E238="","",UPPER(SUBSTITUTE($E238," ","")))</f>
        <v/>
      </c>
      <c r="K238" s="10" t="str">
        <f aca="false">IF($A238="","",$G238&amp;"|"&amp;$J238)</f>
        <v/>
      </c>
      <c r="L238" s="10" t="str">
        <f aca="false">IF($A238="","",ROW()-2)</f>
        <v/>
      </c>
      <c r="M238" s="10" t="str">
        <f aca="false">IF($A238="","",ROW())</f>
        <v/>
      </c>
    </row>
    <row r="239" customFormat="false" ht="15" hidden="false" customHeight="true" outlineLevel="0" collapsed="false">
      <c r="A239" s="8"/>
      <c r="B239" s="8"/>
      <c r="C239" s="8"/>
      <c r="D239" s="8"/>
      <c r="E239" s="8"/>
      <c r="F239" s="8"/>
      <c r="G239" s="10" t="str">
        <f aca="false">IF($A239="","",UPPER(SUBSTITUTE(SUBSTITUTE(SUBSTITUTE(SUBSTITUTE($A239," ",""),"(주)",""),"주식회사",""),"㈜","")))</f>
        <v/>
      </c>
      <c r="H239" s="10" t="str">
        <f aca="false">IF($B239="","",SUBSTITUTE(SUBSTITUTE(SUBSTITUTE($B239,"-","")," ",""),".",""))</f>
        <v/>
      </c>
      <c r="I239" s="10" t="str">
        <f aca="false">IF($D239="","",SUBSTITUTE(SUBSTITUTE(SUBSTITUTE($D239,"-","")," ",""),".",""))</f>
        <v/>
      </c>
      <c r="J239" s="10" t="str">
        <f aca="false">IF($E239="","",UPPER(SUBSTITUTE($E239," ","")))</f>
        <v/>
      </c>
      <c r="K239" s="10" t="str">
        <f aca="false">IF($A239="","",$G239&amp;"|"&amp;$J239)</f>
        <v/>
      </c>
      <c r="L239" s="10" t="str">
        <f aca="false">IF($A239="","",ROW()-2)</f>
        <v/>
      </c>
      <c r="M239" s="10" t="str">
        <f aca="false">IF($A239="","",ROW())</f>
        <v/>
      </c>
    </row>
    <row r="240" customFormat="false" ht="15" hidden="false" customHeight="true" outlineLevel="0" collapsed="false">
      <c r="A240" s="8"/>
      <c r="B240" s="8"/>
      <c r="C240" s="8"/>
      <c r="D240" s="8"/>
      <c r="E240" s="8"/>
      <c r="F240" s="8"/>
      <c r="G240" s="10" t="str">
        <f aca="false">IF($A240="","",UPPER(SUBSTITUTE(SUBSTITUTE(SUBSTITUTE(SUBSTITUTE($A240," ",""),"(주)",""),"주식회사",""),"㈜","")))</f>
        <v/>
      </c>
      <c r="H240" s="10" t="str">
        <f aca="false">IF($B240="","",SUBSTITUTE(SUBSTITUTE(SUBSTITUTE($B240,"-","")," ",""),".",""))</f>
        <v/>
      </c>
      <c r="I240" s="10" t="str">
        <f aca="false">IF($D240="","",SUBSTITUTE(SUBSTITUTE(SUBSTITUTE($D240,"-","")," ",""),".",""))</f>
        <v/>
      </c>
      <c r="J240" s="10" t="str">
        <f aca="false">IF($E240="","",UPPER(SUBSTITUTE($E240," ","")))</f>
        <v/>
      </c>
      <c r="K240" s="10" t="str">
        <f aca="false">IF($A240="","",$G240&amp;"|"&amp;$J240)</f>
        <v/>
      </c>
      <c r="L240" s="10" t="str">
        <f aca="false">IF($A240="","",ROW()-2)</f>
        <v/>
      </c>
      <c r="M240" s="10" t="str">
        <f aca="false">IF($A240="","",ROW())</f>
        <v/>
      </c>
    </row>
    <row r="241" customFormat="false" ht="15" hidden="false" customHeight="true" outlineLevel="0" collapsed="false">
      <c r="A241" s="8"/>
      <c r="B241" s="8"/>
      <c r="C241" s="8"/>
      <c r="D241" s="8"/>
      <c r="E241" s="8"/>
      <c r="F241" s="8"/>
      <c r="G241" s="10" t="str">
        <f aca="false">IF($A241="","",UPPER(SUBSTITUTE(SUBSTITUTE(SUBSTITUTE(SUBSTITUTE($A241," ",""),"(주)",""),"주식회사",""),"㈜","")))</f>
        <v/>
      </c>
      <c r="H241" s="10" t="str">
        <f aca="false">IF($B241="","",SUBSTITUTE(SUBSTITUTE(SUBSTITUTE($B241,"-","")," ",""),".",""))</f>
        <v/>
      </c>
      <c r="I241" s="10" t="str">
        <f aca="false">IF($D241="","",SUBSTITUTE(SUBSTITUTE(SUBSTITUTE($D241,"-","")," ",""),".",""))</f>
        <v/>
      </c>
      <c r="J241" s="10" t="str">
        <f aca="false">IF($E241="","",UPPER(SUBSTITUTE($E241," ","")))</f>
        <v/>
      </c>
      <c r="K241" s="10" t="str">
        <f aca="false">IF($A241="","",$G241&amp;"|"&amp;$J241)</f>
        <v/>
      </c>
      <c r="L241" s="10" t="str">
        <f aca="false">IF($A241="","",ROW()-2)</f>
        <v/>
      </c>
      <c r="M241" s="10" t="str">
        <f aca="false">IF($A241="","",ROW())</f>
        <v/>
      </c>
    </row>
    <row r="242" customFormat="false" ht="15" hidden="false" customHeight="true" outlineLevel="0" collapsed="false">
      <c r="A242" s="8"/>
      <c r="B242" s="8"/>
      <c r="C242" s="8"/>
      <c r="D242" s="8"/>
      <c r="E242" s="8"/>
      <c r="F242" s="8"/>
      <c r="G242" s="10" t="str">
        <f aca="false">IF($A242="","",UPPER(SUBSTITUTE(SUBSTITUTE(SUBSTITUTE(SUBSTITUTE($A242," ",""),"(주)",""),"주식회사",""),"㈜","")))</f>
        <v/>
      </c>
      <c r="H242" s="10" t="str">
        <f aca="false">IF($B242="","",SUBSTITUTE(SUBSTITUTE(SUBSTITUTE($B242,"-","")," ",""),".",""))</f>
        <v/>
      </c>
      <c r="I242" s="10" t="str">
        <f aca="false">IF($D242="","",SUBSTITUTE(SUBSTITUTE(SUBSTITUTE($D242,"-","")," ",""),".",""))</f>
        <v/>
      </c>
      <c r="J242" s="10" t="str">
        <f aca="false">IF($E242="","",UPPER(SUBSTITUTE($E242," ","")))</f>
        <v/>
      </c>
      <c r="K242" s="10" t="str">
        <f aca="false">IF($A242="","",$G242&amp;"|"&amp;$J242)</f>
        <v/>
      </c>
      <c r="L242" s="10" t="str">
        <f aca="false">IF($A242="","",ROW()-2)</f>
        <v/>
      </c>
      <c r="M242" s="10" t="str">
        <f aca="false">IF($A242="","",ROW())</f>
        <v/>
      </c>
    </row>
    <row r="243" customFormat="false" ht="15" hidden="false" customHeight="true" outlineLevel="0" collapsed="false">
      <c r="A243" s="8"/>
      <c r="B243" s="8"/>
      <c r="C243" s="8"/>
      <c r="D243" s="8"/>
      <c r="E243" s="8"/>
      <c r="F243" s="8"/>
      <c r="G243" s="10" t="str">
        <f aca="false">IF($A243="","",UPPER(SUBSTITUTE(SUBSTITUTE(SUBSTITUTE(SUBSTITUTE($A243," ",""),"(주)",""),"주식회사",""),"㈜","")))</f>
        <v/>
      </c>
      <c r="H243" s="10" t="str">
        <f aca="false">IF($B243="","",SUBSTITUTE(SUBSTITUTE(SUBSTITUTE($B243,"-","")," ",""),".",""))</f>
        <v/>
      </c>
      <c r="I243" s="10" t="str">
        <f aca="false">IF($D243="","",SUBSTITUTE(SUBSTITUTE(SUBSTITUTE($D243,"-","")," ",""),".",""))</f>
        <v/>
      </c>
      <c r="J243" s="10" t="str">
        <f aca="false">IF($E243="","",UPPER(SUBSTITUTE($E243," ","")))</f>
        <v/>
      </c>
      <c r="K243" s="10" t="str">
        <f aca="false">IF($A243="","",$G243&amp;"|"&amp;$J243)</f>
        <v/>
      </c>
      <c r="L243" s="10" t="str">
        <f aca="false">IF($A243="","",ROW()-2)</f>
        <v/>
      </c>
      <c r="M243" s="10" t="str">
        <f aca="false">IF($A243="","",ROW())</f>
        <v/>
      </c>
    </row>
    <row r="244" customFormat="false" ht="15" hidden="false" customHeight="true" outlineLevel="0" collapsed="false">
      <c r="A244" s="8"/>
      <c r="B244" s="8"/>
      <c r="C244" s="8"/>
      <c r="D244" s="8"/>
      <c r="E244" s="8"/>
      <c r="F244" s="8"/>
      <c r="G244" s="10" t="str">
        <f aca="false">IF($A244="","",UPPER(SUBSTITUTE(SUBSTITUTE(SUBSTITUTE(SUBSTITUTE($A244," ",""),"(주)",""),"주식회사",""),"㈜","")))</f>
        <v/>
      </c>
      <c r="H244" s="10" t="str">
        <f aca="false">IF($B244="","",SUBSTITUTE(SUBSTITUTE(SUBSTITUTE($B244,"-","")," ",""),".",""))</f>
        <v/>
      </c>
      <c r="I244" s="10" t="str">
        <f aca="false">IF($D244="","",SUBSTITUTE(SUBSTITUTE(SUBSTITUTE($D244,"-","")," ",""),".",""))</f>
        <v/>
      </c>
      <c r="J244" s="10" t="str">
        <f aca="false">IF($E244="","",UPPER(SUBSTITUTE($E244," ","")))</f>
        <v/>
      </c>
      <c r="K244" s="10" t="str">
        <f aca="false">IF($A244="","",$G244&amp;"|"&amp;$J244)</f>
        <v/>
      </c>
      <c r="L244" s="10" t="str">
        <f aca="false">IF($A244="","",ROW()-2)</f>
        <v/>
      </c>
      <c r="M244" s="10" t="str">
        <f aca="false">IF($A244="","",ROW())</f>
        <v/>
      </c>
    </row>
    <row r="245" customFormat="false" ht="15" hidden="false" customHeight="true" outlineLevel="0" collapsed="false">
      <c r="A245" s="8"/>
      <c r="B245" s="8"/>
      <c r="C245" s="8"/>
      <c r="D245" s="8"/>
      <c r="E245" s="8"/>
      <c r="F245" s="8"/>
      <c r="G245" s="10" t="str">
        <f aca="false">IF($A245="","",UPPER(SUBSTITUTE(SUBSTITUTE(SUBSTITUTE(SUBSTITUTE($A245," ",""),"(주)",""),"주식회사",""),"㈜","")))</f>
        <v/>
      </c>
      <c r="H245" s="10" t="str">
        <f aca="false">IF($B245="","",SUBSTITUTE(SUBSTITUTE(SUBSTITUTE($B245,"-","")," ",""),".",""))</f>
        <v/>
      </c>
      <c r="I245" s="10" t="str">
        <f aca="false">IF($D245="","",SUBSTITUTE(SUBSTITUTE(SUBSTITUTE($D245,"-","")," ",""),".",""))</f>
        <v/>
      </c>
      <c r="J245" s="10" t="str">
        <f aca="false">IF($E245="","",UPPER(SUBSTITUTE($E245," ","")))</f>
        <v/>
      </c>
      <c r="K245" s="10" t="str">
        <f aca="false">IF($A245="","",$G245&amp;"|"&amp;$J245)</f>
        <v/>
      </c>
      <c r="L245" s="10" t="str">
        <f aca="false">IF($A245="","",ROW()-2)</f>
        <v/>
      </c>
      <c r="M245" s="10" t="str">
        <f aca="false">IF($A245="","",ROW())</f>
        <v/>
      </c>
    </row>
    <row r="246" customFormat="false" ht="15" hidden="false" customHeight="true" outlineLevel="0" collapsed="false">
      <c r="A246" s="8"/>
      <c r="B246" s="8"/>
      <c r="C246" s="8"/>
      <c r="D246" s="8"/>
      <c r="E246" s="8"/>
      <c r="F246" s="8"/>
      <c r="G246" s="10" t="str">
        <f aca="false">IF($A246="","",UPPER(SUBSTITUTE(SUBSTITUTE(SUBSTITUTE(SUBSTITUTE($A246," ",""),"(주)",""),"주식회사",""),"㈜","")))</f>
        <v/>
      </c>
      <c r="H246" s="10" t="str">
        <f aca="false">IF($B246="","",SUBSTITUTE(SUBSTITUTE(SUBSTITUTE($B246,"-","")," ",""),".",""))</f>
        <v/>
      </c>
      <c r="I246" s="10" t="str">
        <f aca="false">IF($D246="","",SUBSTITUTE(SUBSTITUTE(SUBSTITUTE($D246,"-","")," ",""),".",""))</f>
        <v/>
      </c>
      <c r="J246" s="10" t="str">
        <f aca="false">IF($E246="","",UPPER(SUBSTITUTE($E246," ","")))</f>
        <v/>
      </c>
      <c r="K246" s="10" t="str">
        <f aca="false">IF($A246="","",$G246&amp;"|"&amp;$J246)</f>
        <v/>
      </c>
      <c r="L246" s="10" t="str">
        <f aca="false">IF($A246="","",ROW()-2)</f>
        <v/>
      </c>
      <c r="M246" s="10" t="str">
        <f aca="false">IF($A246="","",ROW())</f>
        <v/>
      </c>
    </row>
    <row r="247" customFormat="false" ht="15" hidden="false" customHeight="true" outlineLevel="0" collapsed="false">
      <c r="A247" s="8"/>
      <c r="B247" s="8"/>
      <c r="C247" s="8"/>
      <c r="D247" s="8"/>
      <c r="E247" s="8"/>
      <c r="F247" s="8"/>
      <c r="G247" s="10" t="str">
        <f aca="false">IF($A247="","",UPPER(SUBSTITUTE(SUBSTITUTE(SUBSTITUTE(SUBSTITUTE($A247," ",""),"(주)",""),"주식회사",""),"㈜","")))</f>
        <v/>
      </c>
      <c r="H247" s="10" t="str">
        <f aca="false">IF($B247="","",SUBSTITUTE(SUBSTITUTE(SUBSTITUTE($B247,"-","")," ",""),".",""))</f>
        <v/>
      </c>
      <c r="I247" s="10" t="str">
        <f aca="false">IF($D247="","",SUBSTITUTE(SUBSTITUTE(SUBSTITUTE($D247,"-","")," ",""),".",""))</f>
        <v/>
      </c>
      <c r="J247" s="10" t="str">
        <f aca="false">IF($E247="","",UPPER(SUBSTITUTE($E247," ","")))</f>
        <v/>
      </c>
      <c r="K247" s="10" t="str">
        <f aca="false">IF($A247="","",$G247&amp;"|"&amp;$J247)</f>
        <v/>
      </c>
      <c r="L247" s="10" t="str">
        <f aca="false">IF($A247="","",ROW()-2)</f>
        <v/>
      </c>
      <c r="M247" s="10" t="str">
        <f aca="false">IF($A247="","",ROW())</f>
        <v/>
      </c>
    </row>
    <row r="248" customFormat="false" ht="15" hidden="false" customHeight="true" outlineLevel="0" collapsed="false">
      <c r="A248" s="8"/>
      <c r="B248" s="8"/>
      <c r="C248" s="8"/>
      <c r="D248" s="8"/>
      <c r="E248" s="8"/>
      <c r="F248" s="8"/>
      <c r="G248" s="10" t="str">
        <f aca="false">IF($A248="","",UPPER(SUBSTITUTE(SUBSTITUTE(SUBSTITUTE(SUBSTITUTE($A248," ",""),"(주)",""),"주식회사",""),"㈜","")))</f>
        <v/>
      </c>
      <c r="H248" s="10" t="str">
        <f aca="false">IF($B248="","",SUBSTITUTE(SUBSTITUTE(SUBSTITUTE($B248,"-","")," ",""),".",""))</f>
        <v/>
      </c>
      <c r="I248" s="10" t="str">
        <f aca="false">IF($D248="","",SUBSTITUTE(SUBSTITUTE(SUBSTITUTE($D248,"-","")," ",""),".",""))</f>
        <v/>
      </c>
      <c r="J248" s="10" t="str">
        <f aca="false">IF($E248="","",UPPER(SUBSTITUTE($E248," ","")))</f>
        <v/>
      </c>
      <c r="K248" s="10" t="str">
        <f aca="false">IF($A248="","",$G248&amp;"|"&amp;$J248)</f>
        <v/>
      </c>
      <c r="L248" s="10" t="str">
        <f aca="false">IF($A248="","",ROW()-2)</f>
        <v/>
      </c>
      <c r="M248" s="10" t="str">
        <f aca="false">IF($A248="","",ROW())</f>
        <v/>
      </c>
    </row>
    <row r="249" customFormat="false" ht="15" hidden="false" customHeight="true" outlineLevel="0" collapsed="false">
      <c r="A249" s="8"/>
      <c r="B249" s="8"/>
      <c r="C249" s="8"/>
      <c r="D249" s="8"/>
      <c r="E249" s="8"/>
      <c r="F249" s="8"/>
      <c r="G249" s="10" t="str">
        <f aca="false">IF($A249="","",UPPER(SUBSTITUTE(SUBSTITUTE(SUBSTITUTE(SUBSTITUTE($A249," ",""),"(주)",""),"주식회사",""),"㈜","")))</f>
        <v/>
      </c>
      <c r="H249" s="10" t="str">
        <f aca="false">IF($B249="","",SUBSTITUTE(SUBSTITUTE(SUBSTITUTE($B249,"-","")," ",""),".",""))</f>
        <v/>
      </c>
      <c r="I249" s="10" t="str">
        <f aca="false">IF($D249="","",SUBSTITUTE(SUBSTITUTE(SUBSTITUTE($D249,"-","")," ",""),".",""))</f>
        <v/>
      </c>
      <c r="J249" s="10" t="str">
        <f aca="false">IF($E249="","",UPPER(SUBSTITUTE($E249," ","")))</f>
        <v/>
      </c>
      <c r="K249" s="10" t="str">
        <f aca="false">IF($A249="","",$G249&amp;"|"&amp;$J249)</f>
        <v/>
      </c>
      <c r="L249" s="10" t="str">
        <f aca="false">IF($A249="","",ROW()-2)</f>
        <v/>
      </c>
      <c r="M249" s="10" t="str">
        <f aca="false">IF($A249="","",ROW())</f>
        <v/>
      </c>
    </row>
    <row r="250" customFormat="false" ht="15" hidden="false" customHeight="true" outlineLevel="0" collapsed="false">
      <c r="A250" s="8"/>
      <c r="B250" s="8"/>
      <c r="C250" s="8"/>
      <c r="D250" s="8"/>
      <c r="E250" s="8"/>
      <c r="F250" s="8"/>
      <c r="G250" s="10" t="str">
        <f aca="false">IF($A250="","",UPPER(SUBSTITUTE(SUBSTITUTE(SUBSTITUTE(SUBSTITUTE($A250," ",""),"(주)",""),"주식회사",""),"㈜","")))</f>
        <v/>
      </c>
      <c r="H250" s="10" t="str">
        <f aca="false">IF($B250="","",SUBSTITUTE(SUBSTITUTE(SUBSTITUTE($B250,"-","")," ",""),".",""))</f>
        <v/>
      </c>
      <c r="I250" s="10" t="str">
        <f aca="false">IF($D250="","",SUBSTITUTE(SUBSTITUTE(SUBSTITUTE($D250,"-","")," ",""),".",""))</f>
        <v/>
      </c>
      <c r="J250" s="10" t="str">
        <f aca="false">IF($E250="","",UPPER(SUBSTITUTE($E250," ","")))</f>
        <v/>
      </c>
      <c r="K250" s="10" t="str">
        <f aca="false">IF($A250="","",$G250&amp;"|"&amp;$J250)</f>
        <v/>
      </c>
      <c r="L250" s="10" t="str">
        <f aca="false">IF($A250="","",ROW()-2)</f>
        <v/>
      </c>
      <c r="M250" s="10" t="str">
        <f aca="false">IF($A250="","",ROW())</f>
        <v/>
      </c>
    </row>
    <row r="251" customFormat="false" ht="15" hidden="false" customHeight="true" outlineLevel="0" collapsed="false">
      <c r="A251" s="8"/>
      <c r="B251" s="8"/>
      <c r="C251" s="8"/>
      <c r="D251" s="8"/>
      <c r="E251" s="8"/>
      <c r="F251" s="8"/>
      <c r="G251" s="10" t="str">
        <f aca="false">IF($A251="","",UPPER(SUBSTITUTE(SUBSTITUTE(SUBSTITUTE(SUBSTITUTE($A251," ",""),"(주)",""),"주식회사",""),"㈜","")))</f>
        <v/>
      </c>
      <c r="H251" s="10" t="str">
        <f aca="false">IF($B251="","",SUBSTITUTE(SUBSTITUTE(SUBSTITUTE($B251,"-","")," ",""),".",""))</f>
        <v/>
      </c>
      <c r="I251" s="10" t="str">
        <f aca="false">IF($D251="","",SUBSTITUTE(SUBSTITUTE(SUBSTITUTE($D251,"-","")," ",""),".",""))</f>
        <v/>
      </c>
      <c r="J251" s="10" t="str">
        <f aca="false">IF($E251="","",UPPER(SUBSTITUTE($E251," ","")))</f>
        <v/>
      </c>
      <c r="K251" s="10" t="str">
        <f aca="false">IF($A251="","",$G251&amp;"|"&amp;$J251)</f>
        <v/>
      </c>
      <c r="L251" s="10" t="str">
        <f aca="false">IF($A251="","",ROW()-2)</f>
        <v/>
      </c>
      <c r="M251" s="10" t="str">
        <f aca="false">IF($A251="","",ROW())</f>
        <v/>
      </c>
    </row>
    <row r="252" customFormat="false" ht="15" hidden="false" customHeight="true" outlineLevel="0" collapsed="false">
      <c r="A252" s="8"/>
      <c r="B252" s="8"/>
      <c r="C252" s="8"/>
      <c r="D252" s="8"/>
      <c r="E252" s="8"/>
      <c r="F252" s="8"/>
      <c r="G252" s="10" t="str">
        <f aca="false">IF($A252="","",UPPER(SUBSTITUTE(SUBSTITUTE(SUBSTITUTE(SUBSTITUTE($A252," ",""),"(주)",""),"주식회사",""),"㈜","")))</f>
        <v/>
      </c>
      <c r="H252" s="10" t="str">
        <f aca="false">IF($B252="","",SUBSTITUTE(SUBSTITUTE(SUBSTITUTE($B252,"-","")," ",""),".",""))</f>
        <v/>
      </c>
      <c r="I252" s="10" t="str">
        <f aca="false">IF($D252="","",SUBSTITUTE(SUBSTITUTE(SUBSTITUTE($D252,"-","")," ",""),".",""))</f>
        <v/>
      </c>
      <c r="J252" s="10" t="str">
        <f aca="false">IF($E252="","",UPPER(SUBSTITUTE($E252," ","")))</f>
        <v/>
      </c>
      <c r="K252" s="10" t="str">
        <f aca="false">IF($A252="","",$G252&amp;"|"&amp;$J252)</f>
        <v/>
      </c>
      <c r="L252" s="10" t="str">
        <f aca="false">IF($A252="","",ROW()-2)</f>
        <v/>
      </c>
      <c r="M252" s="10" t="str">
        <f aca="false">IF($A252="","",ROW())</f>
        <v/>
      </c>
    </row>
    <row r="253" customFormat="false" ht="15" hidden="false" customHeight="true" outlineLevel="0" collapsed="false">
      <c r="A253" s="8"/>
      <c r="B253" s="8"/>
      <c r="C253" s="8"/>
      <c r="D253" s="8"/>
      <c r="E253" s="8"/>
      <c r="F253" s="8"/>
      <c r="G253" s="10" t="str">
        <f aca="false">IF($A253="","",UPPER(SUBSTITUTE(SUBSTITUTE(SUBSTITUTE(SUBSTITUTE($A253," ",""),"(주)",""),"주식회사",""),"㈜","")))</f>
        <v/>
      </c>
      <c r="H253" s="10" t="str">
        <f aca="false">IF($B253="","",SUBSTITUTE(SUBSTITUTE(SUBSTITUTE($B253,"-","")," ",""),".",""))</f>
        <v/>
      </c>
      <c r="I253" s="10" t="str">
        <f aca="false">IF($D253="","",SUBSTITUTE(SUBSTITUTE(SUBSTITUTE($D253,"-","")," ",""),".",""))</f>
        <v/>
      </c>
      <c r="J253" s="10" t="str">
        <f aca="false">IF($E253="","",UPPER(SUBSTITUTE($E253," ","")))</f>
        <v/>
      </c>
      <c r="K253" s="10" t="str">
        <f aca="false">IF($A253="","",$G253&amp;"|"&amp;$J253)</f>
        <v/>
      </c>
      <c r="L253" s="10" t="str">
        <f aca="false">IF($A253="","",ROW()-2)</f>
        <v/>
      </c>
      <c r="M253" s="10" t="str">
        <f aca="false">IF($A253="","",ROW())</f>
        <v/>
      </c>
    </row>
    <row r="254" customFormat="false" ht="15" hidden="false" customHeight="true" outlineLevel="0" collapsed="false">
      <c r="A254" s="8"/>
      <c r="B254" s="8"/>
      <c r="C254" s="8"/>
      <c r="D254" s="8"/>
      <c r="E254" s="8"/>
      <c r="F254" s="8"/>
      <c r="G254" s="10" t="str">
        <f aca="false">IF($A254="","",UPPER(SUBSTITUTE(SUBSTITUTE(SUBSTITUTE(SUBSTITUTE($A254," ",""),"(주)",""),"주식회사",""),"㈜","")))</f>
        <v/>
      </c>
      <c r="H254" s="10" t="str">
        <f aca="false">IF($B254="","",SUBSTITUTE(SUBSTITUTE(SUBSTITUTE($B254,"-","")," ",""),".",""))</f>
        <v/>
      </c>
      <c r="I254" s="10" t="str">
        <f aca="false">IF($D254="","",SUBSTITUTE(SUBSTITUTE(SUBSTITUTE($D254,"-","")," ",""),".",""))</f>
        <v/>
      </c>
      <c r="J254" s="10" t="str">
        <f aca="false">IF($E254="","",UPPER(SUBSTITUTE($E254," ","")))</f>
        <v/>
      </c>
      <c r="K254" s="10" t="str">
        <f aca="false">IF($A254="","",$G254&amp;"|"&amp;$J254)</f>
        <v/>
      </c>
      <c r="L254" s="10" t="str">
        <f aca="false">IF($A254="","",ROW()-2)</f>
        <v/>
      </c>
      <c r="M254" s="10" t="str">
        <f aca="false">IF($A254="","",ROW())</f>
        <v/>
      </c>
    </row>
    <row r="255" customFormat="false" ht="15" hidden="false" customHeight="true" outlineLevel="0" collapsed="false">
      <c r="A255" s="8"/>
      <c r="B255" s="8"/>
      <c r="C255" s="8"/>
      <c r="D255" s="8"/>
      <c r="E255" s="8"/>
      <c r="F255" s="8"/>
      <c r="G255" s="10" t="str">
        <f aca="false">IF($A255="","",UPPER(SUBSTITUTE(SUBSTITUTE(SUBSTITUTE(SUBSTITUTE($A255," ",""),"(주)",""),"주식회사",""),"㈜","")))</f>
        <v/>
      </c>
      <c r="H255" s="10" t="str">
        <f aca="false">IF($B255="","",SUBSTITUTE(SUBSTITUTE(SUBSTITUTE($B255,"-","")," ",""),".",""))</f>
        <v/>
      </c>
      <c r="I255" s="10" t="str">
        <f aca="false">IF($D255="","",SUBSTITUTE(SUBSTITUTE(SUBSTITUTE($D255,"-","")," ",""),".",""))</f>
        <v/>
      </c>
      <c r="J255" s="10" t="str">
        <f aca="false">IF($E255="","",UPPER(SUBSTITUTE($E255," ","")))</f>
        <v/>
      </c>
      <c r="K255" s="10" t="str">
        <f aca="false">IF($A255="","",$G255&amp;"|"&amp;$J255)</f>
        <v/>
      </c>
      <c r="L255" s="10" t="str">
        <f aca="false">IF($A255="","",ROW()-2)</f>
        <v/>
      </c>
      <c r="M255" s="10" t="str">
        <f aca="false">IF($A255="","",ROW())</f>
        <v/>
      </c>
    </row>
    <row r="256" customFormat="false" ht="15" hidden="false" customHeight="true" outlineLevel="0" collapsed="false">
      <c r="A256" s="8"/>
      <c r="B256" s="8"/>
      <c r="C256" s="8"/>
      <c r="D256" s="8"/>
      <c r="E256" s="8"/>
      <c r="F256" s="8"/>
      <c r="G256" s="10" t="str">
        <f aca="false">IF($A256="","",UPPER(SUBSTITUTE(SUBSTITUTE(SUBSTITUTE(SUBSTITUTE($A256," ",""),"(주)",""),"주식회사",""),"㈜","")))</f>
        <v/>
      </c>
      <c r="H256" s="10" t="str">
        <f aca="false">IF($B256="","",SUBSTITUTE(SUBSTITUTE(SUBSTITUTE($B256,"-","")," ",""),".",""))</f>
        <v/>
      </c>
      <c r="I256" s="10" t="str">
        <f aca="false">IF($D256="","",SUBSTITUTE(SUBSTITUTE(SUBSTITUTE($D256,"-","")," ",""),".",""))</f>
        <v/>
      </c>
      <c r="J256" s="10" t="str">
        <f aca="false">IF($E256="","",UPPER(SUBSTITUTE($E256," ","")))</f>
        <v/>
      </c>
      <c r="K256" s="10" t="str">
        <f aca="false">IF($A256="","",$G256&amp;"|"&amp;$J256)</f>
        <v/>
      </c>
      <c r="L256" s="10" t="str">
        <f aca="false">IF($A256="","",ROW()-2)</f>
        <v/>
      </c>
      <c r="M256" s="10" t="str">
        <f aca="false">IF($A256="","",ROW())</f>
        <v/>
      </c>
    </row>
    <row r="257" customFormat="false" ht="15" hidden="false" customHeight="true" outlineLevel="0" collapsed="false">
      <c r="A257" s="8"/>
      <c r="B257" s="8"/>
      <c r="C257" s="8"/>
      <c r="D257" s="8"/>
      <c r="E257" s="8"/>
      <c r="F257" s="8"/>
      <c r="G257" s="10" t="str">
        <f aca="false">IF($A257="","",UPPER(SUBSTITUTE(SUBSTITUTE(SUBSTITUTE(SUBSTITUTE($A257," ",""),"(주)",""),"주식회사",""),"㈜","")))</f>
        <v/>
      </c>
      <c r="H257" s="10" t="str">
        <f aca="false">IF($B257="","",SUBSTITUTE(SUBSTITUTE(SUBSTITUTE($B257,"-","")," ",""),".",""))</f>
        <v/>
      </c>
      <c r="I257" s="10" t="str">
        <f aca="false">IF($D257="","",SUBSTITUTE(SUBSTITUTE(SUBSTITUTE($D257,"-","")," ",""),".",""))</f>
        <v/>
      </c>
      <c r="J257" s="10" t="str">
        <f aca="false">IF($E257="","",UPPER(SUBSTITUTE($E257," ","")))</f>
        <v/>
      </c>
      <c r="K257" s="10" t="str">
        <f aca="false">IF($A257="","",$G257&amp;"|"&amp;$J257)</f>
        <v/>
      </c>
      <c r="L257" s="10" t="str">
        <f aca="false">IF($A257="","",ROW()-2)</f>
        <v/>
      </c>
      <c r="M257" s="10" t="str">
        <f aca="false">IF($A257="","",ROW())</f>
        <v/>
      </c>
    </row>
    <row r="258" customFormat="false" ht="15" hidden="false" customHeight="true" outlineLevel="0" collapsed="false">
      <c r="A258" s="8"/>
      <c r="B258" s="8"/>
      <c r="C258" s="8"/>
      <c r="D258" s="8"/>
      <c r="E258" s="8"/>
      <c r="F258" s="8"/>
      <c r="G258" s="10" t="str">
        <f aca="false">IF($A258="","",UPPER(SUBSTITUTE(SUBSTITUTE(SUBSTITUTE(SUBSTITUTE($A258," ",""),"(주)",""),"주식회사",""),"㈜","")))</f>
        <v/>
      </c>
      <c r="H258" s="10" t="str">
        <f aca="false">IF($B258="","",SUBSTITUTE(SUBSTITUTE(SUBSTITUTE($B258,"-","")," ",""),".",""))</f>
        <v/>
      </c>
      <c r="I258" s="10" t="str">
        <f aca="false">IF($D258="","",SUBSTITUTE(SUBSTITUTE(SUBSTITUTE($D258,"-","")," ",""),".",""))</f>
        <v/>
      </c>
      <c r="J258" s="10" t="str">
        <f aca="false">IF($E258="","",UPPER(SUBSTITUTE($E258," ","")))</f>
        <v/>
      </c>
      <c r="K258" s="10" t="str">
        <f aca="false">IF($A258="","",$G258&amp;"|"&amp;$J258)</f>
        <v/>
      </c>
      <c r="L258" s="10" t="str">
        <f aca="false">IF($A258="","",ROW()-2)</f>
        <v/>
      </c>
      <c r="M258" s="10" t="str">
        <f aca="false">IF($A258="","",ROW())</f>
        <v/>
      </c>
    </row>
    <row r="259" customFormat="false" ht="15" hidden="false" customHeight="true" outlineLevel="0" collapsed="false">
      <c r="A259" s="8"/>
      <c r="B259" s="8"/>
      <c r="C259" s="8"/>
      <c r="D259" s="8"/>
      <c r="E259" s="8"/>
      <c r="F259" s="8"/>
      <c r="G259" s="10" t="str">
        <f aca="false">IF($A259="","",UPPER(SUBSTITUTE(SUBSTITUTE(SUBSTITUTE(SUBSTITUTE($A259," ",""),"(주)",""),"주식회사",""),"㈜","")))</f>
        <v/>
      </c>
      <c r="H259" s="10" t="str">
        <f aca="false">IF($B259="","",SUBSTITUTE(SUBSTITUTE(SUBSTITUTE($B259,"-","")," ",""),".",""))</f>
        <v/>
      </c>
      <c r="I259" s="10" t="str">
        <f aca="false">IF($D259="","",SUBSTITUTE(SUBSTITUTE(SUBSTITUTE($D259,"-","")," ",""),".",""))</f>
        <v/>
      </c>
      <c r="J259" s="10" t="str">
        <f aca="false">IF($E259="","",UPPER(SUBSTITUTE($E259," ","")))</f>
        <v/>
      </c>
      <c r="K259" s="10" t="str">
        <f aca="false">IF($A259="","",$G259&amp;"|"&amp;$J259)</f>
        <v/>
      </c>
      <c r="L259" s="10" t="str">
        <f aca="false">IF($A259="","",ROW()-2)</f>
        <v/>
      </c>
      <c r="M259" s="10" t="str">
        <f aca="false">IF($A259="","",ROW())</f>
        <v/>
      </c>
    </row>
    <row r="260" customFormat="false" ht="15" hidden="false" customHeight="true" outlineLevel="0" collapsed="false">
      <c r="A260" s="8"/>
      <c r="B260" s="8"/>
      <c r="C260" s="8"/>
      <c r="D260" s="8"/>
      <c r="E260" s="8"/>
      <c r="F260" s="8"/>
      <c r="G260" s="10" t="str">
        <f aca="false">IF($A260="","",UPPER(SUBSTITUTE(SUBSTITUTE(SUBSTITUTE(SUBSTITUTE($A260," ",""),"(주)",""),"주식회사",""),"㈜","")))</f>
        <v/>
      </c>
      <c r="H260" s="10" t="str">
        <f aca="false">IF($B260="","",SUBSTITUTE(SUBSTITUTE(SUBSTITUTE($B260,"-","")," ",""),".",""))</f>
        <v/>
      </c>
      <c r="I260" s="10" t="str">
        <f aca="false">IF($D260="","",SUBSTITUTE(SUBSTITUTE(SUBSTITUTE($D260,"-","")," ",""),".",""))</f>
        <v/>
      </c>
      <c r="J260" s="10" t="str">
        <f aca="false">IF($E260="","",UPPER(SUBSTITUTE($E260," ","")))</f>
        <v/>
      </c>
      <c r="K260" s="10" t="str">
        <f aca="false">IF($A260="","",$G260&amp;"|"&amp;$J260)</f>
        <v/>
      </c>
      <c r="L260" s="10" t="str">
        <f aca="false">IF($A260="","",ROW()-2)</f>
        <v/>
      </c>
      <c r="M260" s="10" t="str">
        <f aca="false">IF($A260="","",ROW())</f>
        <v/>
      </c>
    </row>
    <row r="261" customFormat="false" ht="15" hidden="false" customHeight="true" outlineLevel="0" collapsed="false">
      <c r="A261" s="8"/>
      <c r="B261" s="8"/>
      <c r="C261" s="8"/>
      <c r="D261" s="8"/>
      <c r="E261" s="8"/>
      <c r="F261" s="8"/>
      <c r="G261" s="10" t="str">
        <f aca="false">IF($A261="","",UPPER(SUBSTITUTE(SUBSTITUTE(SUBSTITUTE(SUBSTITUTE($A261," ",""),"(주)",""),"주식회사",""),"㈜","")))</f>
        <v/>
      </c>
      <c r="H261" s="10" t="str">
        <f aca="false">IF($B261="","",SUBSTITUTE(SUBSTITUTE(SUBSTITUTE($B261,"-","")," ",""),".",""))</f>
        <v/>
      </c>
      <c r="I261" s="10" t="str">
        <f aca="false">IF($D261="","",SUBSTITUTE(SUBSTITUTE(SUBSTITUTE($D261,"-","")," ",""),".",""))</f>
        <v/>
      </c>
      <c r="J261" s="10" t="str">
        <f aca="false">IF($E261="","",UPPER(SUBSTITUTE($E261," ","")))</f>
        <v/>
      </c>
      <c r="K261" s="10" t="str">
        <f aca="false">IF($A261="","",$G261&amp;"|"&amp;$J261)</f>
        <v/>
      </c>
      <c r="L261" s="10" t="str">
        <f aca="false">IF($A261="","",ROW()-2)</f>
        <v/>
      </c>
      <c r="M261" s="10" t="str">
        <f aca="false">IF($A261="","",ROW())</f>
        <v/>
      </c>
    </row>
    <row r="262" customFormat="false" ht="15" hidden="false" customHeight="true" outlineLevel="0" collapsed="false">
      <c r="A262" s="8"/>
      <c r="B262" s="8"/>
      <c r="C262" s="8"/>
      <c r="D262" s="8"/>
      <c r="E262" s="8"/>
      <c r="F262" s="8"/>
      <c r="G262" s="10" t="str">
        <f aca="false">IF($A262="","",UPPER(SUBSTITUTE(SUBSTITUTE(SUBSTITUTE(SUBSTITUTE($A262," ",""),"(주)",""),"주식회사",""),"㈜","")))</f>
        <v/>
      </c>
      <c r="H262" s="10" t="str">
        <f aca="false">IF($B262="","",SUBSTITUTE(SUBSTITUTE(SUBSTITUTE($B262,"-","")," ",""),".",""))</f>
        <v/>
      </c>
      <c r="I262" s="10" t="str">
        <f aca="false">IF($D262="","",SUBSTITUTE(SUBSTITUTE(SUBSTITUTE($D262,"-","")," ",""),".",""))</f>
        <v/>
      </c>
      <c r="J262" s="10" t="str">
        <f aca="false">IF($E262="","",UPPER(SUBSTITUTE($E262," ","")))</f>
        <v/>
      </c>
      <c r="K262" s="10" t="str">
        <f aca="false">IF($A262="","",$G262&amp;"|"&amp;$J262)</f>
        <v/>
      </c>
      <c r="L262" s="10" t="str">
        <f aca="false">IF($A262="","",ROW()-2)</f>
        <v/>
      </c>
      <c r="M262" s="10" t="str">
        <f aca="false">IF($A262="","",ROW())</f>
        <v/>
      </c>
    </row>
    <row r="263" customFormat="false" ht="15" hidden="false" customHeight="true" outlineLevel="0" collapsed="false">
      <c r="A263" s="8"/>
      <c r="B263" s="8"/>
      <c r="C263" s="8"/>
      <c r="D263" s="8"/>
      <c r="E263" s="8"/>
      <c r="F263" s="8"/>
      <c r="G263" s="10" t="str">
        <f aca="false">IF($A263="","",UPPER(SUBSTITUTE(SUBSTITUTE(SUBSTITUTE(SUBSTITUTE($A263," ",""),"(주)",""),"주식회사",""),"㈜","")))</f>
        <v/>
      </c>
      <c r="H263" s="10" t="str">
        <f aca="false">IF($B263="","",SUBSTITUTE(SUBSTITUTE(SUBSTITUTE($B263,"-","")," ",""),".",""))</f>
        <v/>
      </c>
      <c r="I263" s="10" t="str">
        <f aca="false">IF($D263="","",SUBSTITUTE(SUBSTITUTE(SUBSTITUTE($D263,"-","")," ",""),".",""))</f>
        <v/>
      </c>
      <c r="J263" s="10" t="str">
        <f aca="false">IF($E263="","",UPPER(SUBSTITUTE($E263," ","")))</f>
        <v/>
      </c>
      <c r="K263" s="10" t="str">
        <f aca="false">IF($A263="","",$G263&amp;"|"&amp;$J263)</f>
        <v/>
      </c>
      <c r="L263" s="10" t="str">
        <f aca="false">IF($A263="","",ROW()-2)</f>
        <v/>
      </c>
      <c r="M263" s="10" t="str">
        <f aca="false">IF($A263="","",ROW())</f>
        <v/>
      </c>
    </row>
    <row r="264" customFormat="false" ht="15" hidden="false" customHeight="true" outlineLevel="0" collapsed="false">
      <c r="A264" s="8"/>
      <c r="B264" s="8"/>
      <c r="C264" s="8"/>
      <c r="D264" s="8"/>
      <c r="E264" s="8"/>
      <c r="F264" s="8"/>
      <c r="G264" s="10" t="str">
        <f aca="false">IF($A264="","",UPPER(SUBSTITUTE(SUBSTITUTE(SUBSTITUTE(SUBSTITUTE($A264," ",""),"(주)",""),"주식회사",""),"㈜","")))</f>
        <v/>
      </c>
      <c r="H264" s="10" t="str">
        <f aca="false">IF($B264="","",SUBSTITUTE(SUBSTITUTE(SUBSTITUTE($B264,"-","")," ",""),".",""))</f>
        <v/>
      </c>
      <c r="I264" s="10" t="str">
        <f aca="false">IF($D264="","",SUBSTITUTE(SUBSTITUTE(SUBSTITUTE($D264,"-","")," ",""),".",""))</f>
        <v/>
      </c>
      <c r="J264" s="10" t="str">
        <f aca="false">IF($E264="","",UPPER(SUBSTITUTE($E264," ","")))</f>
        <v/>
      </c>
      <c r="K264" s="10" t="str">
        <f aca="false">IF($A264="","",$G264&amp;"|"&amp;$J264)</f>
        <v/>
      </c>
      <c r="L264" s="10" t="str">
        <f aca="false">IF($A264="","",ROW()-2)</f>
        <v/>
      </c>
      <c r="M264" s="10" t="str">
        <f aca="false">IF($A264="","",ROW())</f>
        <v/>
      </c>
    </row>
    <row r="265" customFormat="false" ht="15" hidden="false" customHeight="true" outlineLevel="0" collapsed="false">
      <c r="A265" s="8"/>
      <c r="B265" s="8"/>
      <c r="C265" s="8"/>
      <c r="D265" s="8"/>
      <c r="E265" s="8"/>
      <c r="F265" s="8"/>
      <c r="G265" s="10" t="str">
        <f aca="false">IF($A265="","",UPPER(SUBSTITUTE(SUBSTITUTE(SUBSTITUTE(SUBSTITUTE($A265," ",""),"(주)",""),"주식회사",""),"㈜","")))</f>
        <v/>
      </c>
      <c r="H265" s="10" t="str">
        <f aca="false">IF($B265="","",SUBSTITUTE(SUBSTITUTE(SUBSTITUTE($B265,"-","")," ",""),".",""))</f>
        <v/>
      </c>
      <c r="I265" s="10" t="str">
        <f aca="false">IF($D265="","",SUBSTITUTE(SUBSTITUTE(SUBSTITUTE($D265,"-","")," ",""),".",""))</f>
        <v/>
      </c>
      <c r="J265" s="10" t="str">
        <f aca="false">IF($E265="","",UPPER(SUBSTITUTE($E265," ","")))</f>
        <v/>
      </c>
      <c r="K265" s="10" t="str">
        <f aca="false">IF($A265="","",$G265&amp;"|"&amp;$J265)</f>
        <v/>
      </c>
      <c r="L265" s="10" t="str">
        <f aca="false">IF($A265="","",ROW()-2)</f>
        <v/>
      </c>
      <c r="M265" s="10" t="str">
        <f aca="false">IF($A265="","",ROW())</f>
        <v/>
      </c>
    </row>
    <row r="266" customFormat="false" ht="15" hidden="false" customHeight="true" outlineLevel="0" collapsed="false">
      <c r="A266" s="8"/>
      <c r="B266" s="8"/>
      <c r="C266" s="8"/>
      <c r="D266" s="8"/>
      <c r="E266" s="8"/>
      <c r="F266" s="8"/>
      <c r="G266" s="10" t="str">
        <f aca="false">IF($A266="","",UPPER(SUBSTITUTE(SUBSTITUTE(SUBSTITUTE(SUBSTITUTE($A266," ",""),"(주)",""),"주식회사",""),"㈜","")))</f>
        <v/>
      </c>
      <c r="H266" s="10" t="str">
        <f aca="false">IF($B266="","",SUBSTITUTE(SUBSTITUTE(SUBSTITUTE($B266,"-","")," ",""),".",""))</f>
        <v/>
      </c>
      <c r="I266" s="10" t="str">
        <f aca="false">IF($D266="","",SUBSTITUTE(SUBSTITUTE(SUBSTITUTE($D266,"-","")," ",""),".",""))</f>
        <v/>
      </c>
      <c r="J266" s="10" t="str">
        <f aca="false">IF($E266="","",UPPER(SUBSTITUTE($E266," ","")))</f>
        <v/>
      </c>
      <c r="K266" s="10" t="str">
        <f aca="false">IF($A266="","",$G266&amp;"|"&amp;$J266)</f>
        <v/>
      </c>
      <c r="L266" s="10" t="str">
        <f aca="false">IF($A266="","",ROW()-2)</f>
        <v/>
      </c>
      <c r="M266" s="10" t="str">
        <f aca="false">IF($A266="","",ROW())</f>
        <v/>
      </c>
    </row>
    <row r="267" customFormat="false" ht="15" hidden="false" customHeight="true" outlineLevel="0" collapsed="false">
      <c r="A267" s="8"/>
      <c r="B267" s="8"/>
      <c r="C267" s="8"/>
      <c r="D267" s="8"/>
      <c r="E267" s="8"/>
      <c r="F267" s="8"/>
      <c r="G267" s="10" t="str">
        <f aca="false">IF($A267="","",UPPER(SUBSTITUTE(SUBSTITUTE(SUBSTITUTE(SUBSTITUTE($A267," ",""),"(주)",""),"주식회사",""),"㈜","")))</f>
        <v/>
      </c>
      <c r="H267" s="10" t="str">
        <f aca="false">IF($B267="","",SUBSTITUTE(SUBSTITUTE(SUBSTITUTE($B267,"-","")," ",""),".",""))</f>
        <v/>
      </c>
      <c r="I267" s="10" t="str">
        <f aca="false">IF($D267="","",SUBSTITUTE(SUBSTITUTE(SUBSTITUTE($D267,"-","")," ",""),".",""))</f>
        <v/>
      </c>
      <c r="J267" s="10" t="str">
        <f aca="false">IF($E267="","",UPPER(SUBSTITUTE($E267," ","")))</f>
        <v/>
      </c>
      <c r="K267" s="10" t="str">
        <f aca="false">IF($A267="","",$G267&amp;"|"&amp;$J267)</f>
        <v/>
      </c>
      <c r="L267" s="10" t="str">
        <f aca="false">IF($A267="","",ROW()-2)</f>
        <v/>
      </c>
      <c r="M267" s="10" t="str">
        <f aca="false">IF($A267="","",ROW())</f>
        <v/>
      </c>
    </row>
    <row r="268" customFormat="false" ht="15" hidden="false" customHeight="true" outlineLevel="0" collapsed="false">
      <c r="A268" s="8"/>
      <c r="B268" s="8"/>
      <c r="C268" s="8"/>
      <c r="D268" s="8"/>
      <c r="E268" s="8"/>
      <c r="F268" s="8"/>
      <c r="G268" s="10" t="str">
        <f aca="false">IF($A268="","",UPPER(SUBSTITUTE(SUBSTITUTE(SUBSTITUTE(SUBSTITUTE($A268," ",""),"(주)",""),"주식회사",""),"㈜","")))</f>
        <v/>
      </c>
      <c r="H268" s="10" t="str">
        <f aca="false">IF($B268="","",SUBSTITUTE(SUBSTITUTE(SUBSTITUTE($B268,"-","")," ",""),".",""))</f>
        <v/>
      </c>
      <c r="I268" s="10" t="str">
        <f aca="false">IF($D268="","",SUBSTITUTE(SUBSTITUTE(SUBSTITUTE($D268,"-","")," ",""),".",""))</f>
        <v/>
      </c>
      <c r="J268" s="10" t="str">
        <f aca="false">IF($E268="","",UPPER(SUBSTITUTE($E268," ","")))</f>
        <v/>
      </c>
      <c r="K268" s="10" t="str">
        <f aca="false">IF($A268="","",$G268&amp;"|"&amp;$J268)</f>
        <v/>
      </c>
      <c r="L268" s="10" t="str">
        <f aca="false">IF($A268="","",ROW()-2)</f>
        <v/>
      </c>
      <c r="M268" s="10" t="str">
        <f aca="false">IF($A268="","",ROW())</f>
        <v/>
      </c>
    </row>
    <row r="269" customFormat="false" ht="15" hidden="false" customHeight="true" outlineLevel="0" collapsed="false">
      <c r="A269" s="8"/>
      <c r="B269" s="8"/>
      <c r="C269" s="8"/>
      <c r="D269" s="8"/>
      <c r="E269" s="8"/>
      <c r="F269" s="8"/>
      <c r="G269" s="10" t="str">
        <f aca="false">IF($A269="","",UPPER(SUBSTITUTE(SUBSTITUTE(SUBSTITUTE(SUBSTITUTE($A269," ",""),"(주)",""),"주식회사",""),"㈜","")))</f>
        <v/>
      </c>
      <c r="H269" s="10" t="str">
        <f aca="false">IF($B269="","",SUBSTITUTE(SUBSTITUTE(SUBSTITUTE($B269,"-","")," ",""),".",""))</f>
        <v/>
      </c>
      <c r="I269" s="10" t="str">
        <f aca="false">IF($D269="","",SUBSTITUTE(SUBSTITUTE(SUBSTITUTE($D269,"-","")," ",""),".",""))</f>
        <v/>
      </c>
      <c r="J269" s="10" t="str">
        <f aca="false">IF($E269="","",UPPER(SUBSTITUTE($E269," ","")))</f>
        <v/>
      </c>
      <c r="K269" s="10" t="str">
        <f aca="false">IF($A269="","",$G269&amp;"|"&amp;$J269)</f>
        <v/>
      </c>
      <c r="L269" s="10" t="str">
        <f aca="false">IF($A269="","",ROW()-2)</f>
        <v/>
      </c>
      <c r="M269" s="10" t="str">
        <f aca="false">IF($A269="","",ROW())</f>
        <v/>
      </c>
    </row>
    <row r="270" customFormat="false" ht="15" hidden="false" customHeight="true" outlineLevel="0" collapsed="false">
      <c r="A270" s="8"/>
      <c r="B270" s="8"/>
      <c r="C270" s="8"/>
      <c r="D270" s="8"/>
      <c r="E270" s="8"/>
      <c r="F270" s="8"/>
      <c r="G270" s="10" t="str">
        <f aca="false">IF($A270="","",UPPER(SUBSTITUTE(SUBSTITUTE(SUBSTITUTE(SUBSTITUTE($A270," ",""),"(주)",""),"주식회사",""),"㈜","")))</f>
        <v/>
      </c>
      <c r="H270" s="10" t="str">
        <f aca="false">IF($B270="","",SUBSTITUTE(SUBSTITUTE(SUBSTITUTE($B270,"-","")," ",""),".",""))</f>
        <v/>
      </c>
      <c r="I270" s="10" t="str">
        <f aca="false">IF($D270="","",SUBSTITUTE(SUBSTITUTE(SUBSTITUTE($D270,"-","")," ",""),".",""))</f>
        <v/>
      </c>
      <c r="J270" s="10" t="str">
        <f aca="false">IF($E270="","",UPPER(SUBSTITUTE($E270," ","")))</f>
        <v/>
      </c>
      <c r="K270" s="10" t="str">
        <f aca="false">IF($A270="","",$G270&amp;"|"&amp;$J270)</f>
        <v/>
      </c>
      <c r="L270" s="10" t="str">
        <f aca="false">IF($A270="","",ROW()-2)</f>
        <v/>
      </c>
      <c r="M270" s="10" t="str">
        <f aca="false">IF($A270="","",ROW())</f>
        <v/>
      </c>
    </row>
    <row r="271" customFormat="false" ht="15" hidden="false" customHeight="true" outlineLevel="0" collapsed="false">
      <c r="A271" s="8"/>
      <c r="B271" s="8"/>
      <c r="C271" s="8"/>
      <c r="D271" s="8"/>
      <c r="E271" s="8"/>
      <c r="F271" s="8"/>
      <c r="G271" s="10" t="str">
        <f aca="false">IF($A271="","",UPPER(SUBSTITUTE(SUBSTITUTE(SUBSTITUTE(SUBSTITUTE($A271," ",""),"(주)",""),"주식회사",""),"㈜","")))</f>
        <v/>
      </c>
      <c r="H271" s="10" t="str">
        <f aca="false">IF($B271="","",SUBSTITUTE(SUBSTITUTE(SUBSTITUTE($B271,"-","")," ",""),".",""))</f>
        <v/>
      </c>
      <c r="I271" s="10" t="str">
        <f aca="false">IF($D271="","",SUBSTITUTE(SUBSTITUTE(SUBSTITUTE($D271,"-","")," ",""),".",""))</f>
        <v/>
      </c>
      <c r="J271" s="10" t="str">
        <f aca="false">IF($E271="","",UPPER(SUBSTITUTE($E271," ","")))</f>
        <v/>
      </c>
      <c r="K271" s="10" t="str">
        <f aca="false">IF($A271="","",$G271&amp;"|"&amp;$J271)</f>
        <v/>
      </c>
      <c r="L271" s="10" t="str">
        <f aca="false">IF($A271="","",ROW()-2)</f>
        <v/>
      </c>
      <c r="M271" s="10" t="str">
        <f aca="false">IF($A271="","",ROW())</f>
        <v/>
      </c>
    </row>
    <row r="272" customFormat="false" ht="15" hidden="false" customHeight="true" outlineLevel="0" collapsed="false">
      <c r="A272" s="8"/>
      <c r="B272" s="8"/>
      <c r="C272" s="8"/>
      <c r="D272" s="8"/>
      <c r="E272" s="8"/>
      <c r="F272" s="8"/>
      <c r="G272" s="10" t="str">
        <f aca="false">IF($A272="","",UPPER(SUBSTITUTE(SUBSTITUTE(SUBSTITUTE(SUBSTITUTE($A272," ",""),"(주)",""),"주식회사",""),"㈜","")))</f>
        <v/>
      </c>
      <c r="H272" s="10" t="str">
        <f aca="false">IF($B272="","",SUBSTITUTE(SUBSTITUTE(SUBSTITUTE($B272,"-","")," ",""),".",""))</f>
        <v/>
      </c>
      <c r="I272" s="10" t="str">
        <f aca="false">IF($D272="","",SUBSTITUTE(SUBSTITUTE(SUBSTITUTE($D272,"-","")," ",""),".",""))</f>
        <v/>
      </c>
      <c r="J272" s="10" t="str">
        <f aca="false">IF($E272="","",UPPER(SUBSTITUTE($E272," ","")))</f>
        <v/>
      </c>
      <c r="K272" s="10" t="str">
        <f aca="false">IF($A272="","",$G272&amp;"|"&amp;$J272)</f>
        <v/>
      </c>
      <c r="L272" s="10" t="str">
        <f aca="false">IF($A272="","",ROW()-2)</f>
        <v/>
      </c>
      <c r="M272" s="10" t="str">
        <f aca="false">IF($A272="","",ROW())</f>
        <v/>
      </c>
    </row>
    <row r="273" customFormat="false" ht="15" hidden="false" customHeight="true" outlineLevel="0" collapsed="false">
      <c r="A273" s="8"/>
      <c r="B273" s="8"/>
      <c r="C273" s="8"/>
      <c r="D273" s="8"/>
      <c r="E273" s="8"/>
      <c r="F273" s="8"/>
      <c r="G273" s="10" t="str">
        <f aca="false">IF($A273="","",UPPER(SUBSTITUTE(SUBSTITUTE(SUBSTITUTE(SUBSTITUTE($A273," ",""),"(주)",""),"주식회사",""),"㈜","")))</f>
        <v/>
      </c>
      <c r="H273" s="10" t="str">
        <f aca="false">IF($B273="","",SUBSTITUTE(SUBSTITUTE(SUBSTITUTE($B273,"-","")," ",""),".",""))</f>
        <v/>
      </c>
      <c r="I273" s="10" t="str">
        <f aca="false">IF($D273="","",SUBSTITUTE(SUBSTITUTE(SUBSTITUTE($D273,"-","")," ",""),".",""))</f>
        <v/>
      </c>
      <c r="J273" s="10" t="str">
        <f aca="false">IF($E273="","",UPPER(SUBSTITUTE($E273," ","")))</f>
        <v/>
      </c>
      <c r="K273" s="10" t="str">
        <f aca="false">IF($A273="","",$G273&amp;"|"&amp;$J273)</f>
        <v/>
      </c>
      <c r="L273" s="10" t="str">
        <f aca="false">IF($A273="","",ROW()-2)</f>
        <v/>
      </c>
      <c r="M273" s="10" t="str">
        <f aca="false">IF($A273="","",ROW())</f>
        <v/>
      </c>
    </row>
    <row r="274" customFormat="false" ht="15" hidden="false" customHeight="true" outlineLevel="0" collapsed="false">
      <c r="A274" s="8"/>
      <c r="B274" s="8"/>
      <c r="C274" s="8"/>
      <c r="D274" s="8"/>
      <c r="E274" s="8"/>
      <c r="F274" s="8"/>
      <c r="G274" s="10" t="str">
        <f aca="false">IF($A274="","",UPPER(SUBSTITUTE(SUBSTITUTE(SUBSTITUTE(SUBSTITUTE($A274," ",""),"(주)",""),"주식회사",""),"㈜","")))</f>
        <v/>
      </c>
      <c r="H274" s="10" t="str">
        <f aca="false">IF($B274="","",SUBSTITUTE(SUBSTITUTE(SUBSTITUTE($B274,"-","")," ",""),".",""))</f>
        <v/>
      </c>
      <c r="I274" s="10" t="str">
        <f aca="false">IF($D274="","",SUBSTITUTE(SUBSTITUTE(SUBSTITUTE($D274,"-","")," ",""),".",""))</f>
        <v/>
      </c>
      <c r="J274" s="10" t="str">
        <f aca="false">IF($E274="","",UPPER(SUBSTITUTE($E274," ","")))</f>
        <v/>
      </c>
      <c r="K274" s="10" t="str">
        <f aca="false">IF($A274="","",$G274&amp;"|"&amp;$J274)</f>
        <v/>
      </c>
      <c r="L274" s="10" t="str">
        <f aca="false">IF($A274="","",ROW()-2)</f>
        <v/>
      </c>
      <c r="M274" s="10" t="str">
        <f aca="false">IF($A274="","",ROW())</f>
        <v/>
      </c>
    </row>
    <row r="275" customFormat="false" ht="15" hidden="false" customHeight="true" outlineLevel="0" collapsed="false">
      <c r="A275" s="8"/>
      <c r="B275" s="8"/>
      <c r="C275" s="8"/>
      <c r="D275" s="8"/>
      <c r="E275" s="8"/>
      <c r="F275" s="8"/>
      <c r="G275" s="10" t="str">
        <f aca="false">IF($A275="","",UPPER(SUBSTITUTE(SUBSTITUTE(SUBSTITUTE(SUBSTITUTE($A275," ",""),"(주)",""),"주식회사",""),"㈜","")))</f>
        <v/>
      </c>
      <c r="H275" s="10" t="str">
        <f aca="false">IF($B275="","",SUBSTITUTE(SUBSTITUTE(SUBSTITUTE($B275,"-","")," ",""),".",""))</f>
        <v/>
      </c>
      <c r="I275" s="10" t="str">
        <f aca="false">IF($D275="","",SUBSTITUTE(SUBSTITUTE(SUBSTITUTE($D275,"-","")," ",""),".",""))</f>
        <v/>
      </c>
      <c r="J275" s="10" t="str">
        <f aca="false">IF($E275="","",UPPER(SUBSTITUTE($E275," ","")))</f>
        <v/>
      </c>
      <c r="K275" s="10" t="str">
        <f aca="false">IF($A275="","",$G275&amp;"|"&amp;$J275)</f>
        <v/>
      </c>
      <c r="L275" s="10" t="str">
        <f aca="false">IF($A275="","",ROW()-2)</f>
        <v/>
      </c>
      <c r="M275" s="10" t="str">
        <f aca="false">IF($A275="","",ROW())</f>
        <v/>
      </c>
    </row>
    <row r="276" customFormat="false" ht="15" hidden="false" customHeight="true" outlineLevel="0" collapsed="false">
      <c r="A276" s="8"/>
      <c r="B276" s="8"/>
      <c r="C276" s="8"/>
      <c r="D276" s="8"/>
      <c r="E276" s="8"/>
      <c r="F276" s="8"/>
      <c r="G276" s="10" t="str">
        <f aca="false">IF($A276="","",UPPER(SUBSTITUTE(SUBSTITUTE(SUBSTITUTE(SUBSTITUTE($A276," ",""),"(주)",""),"주식회사",""),"㈜","")))</f>
        <v/>
      </c>
      <c r="H276" s="10" t="str">
        <f aca="false">IF($B276="","",SUBSTITUTE(SUBSTITUTE(SUBSTITUTE($B276,"-","")," ",""),".",""))</f>
        <v/>
      </c>
      <c r="I276" s="10" t="str">
        <f aca="false">IF($D276="","",SUBSTITUTE(SUBSTITUTE(SUBSTITUTE($D276,"-","")," ",""),".",""))</f>
        <v/>
      </c>
      <c r="J276" s="10" t="str">
        <f aca="false">IF($E276="","",UPPER(SUBSTITUTE($E276," ","")))</f>
        <v/>
      </c>
      <c r="K276" s="10" t="str">
        <f aca="false">IF($A276="","",$G276&amp;"|"&amp;$J276)</f>
        <v/>
      </c>
      <c r="L276" s="10" t="str">
        <f aca="false">IF($A276="","",ROW()-2)</f>
        <v/>
      </c>
      <c r="M276" s="10" t="str">
        <f aca="false">IF($A276="","",ROW())</f>
        <v/>
      </c>
    </row>
    <row r="277" customFormat="false" ht="15" hidden="false" customHeight="true" outlineLevel="0" collapsed="false">
      <c r="A277" s="8"/>
      <c r="B277" s="8"/>
      <c r="C277" s="8"/>
      <c r="D277" s="8"/>
      <c r="E277" s="8"/>
      <c r="F277" s="8"/>
      <c r="G277" s="10" t="str">
        <f aca="false">IF($A277="","",UPPER(SUBSTITUTE(SUBSTITUTE(SUBSTITUTE(SUBSTITUTE($A277," ",""),"(주)",""),"주식회사",""),"㈜","")))</f>
        <v/>
      </c>
      <c r="H277" s="10" t="str">
        <f aca="false">IF($B277="","",SUBSTITUTE(SUBSTITUTE(SUBSTITUTE($B277,"-","")," ",""),".",""))</f>
        <v/>
      </c>
      <c r="I277" s="10" t="str">
        <f aca="false">IF($D277="","",SUBSTITUTE(SUBSTITUTE(SUBSTITUTE($D277,"-","")," ",""),".",""))</f>
        <v/>
      </c>
      <c r="J277" s="10" t="str">
        <f aca="false">IF($E277="","",UPPER(SUBSTITUTE($E277," ","")))</f>
        <v/>
      </c>
      <c r="K277" s="10" t="str">
        <f aca="false">IF($A277="","",$G277&amp;"|"&amp;$J277)</f>
        <v/>
      </c>
      <c r="L277" s="10" t="str">
        <f aca="false">IF($A277="","",ROW()-2)</f>
        <v/>
      </c>
      <c r="M277" s="10" t="str">
        <f aca="false">IF($A277="","",ROW())</f>
        <v/>
      </c>
    </row>
    <row r="278" customFormat="false" ht="15" hidden="false" customHeight="true" outlineLevel="0" collapsed="false">
      <c r="A278" s="8"/>
      <c r="B278" s="8"/>
      <c r="C278" s="8"/>
      <c r="D278" s="8"/>
      <c r="E278" s="8"/>
      <c r="F278" s="8"/>
      <c r="G278" s="10" t="str">
        <f aca="false">IF($A278="","",UPPER(SUBSTITUTE(SUBSTITUTE(SUBSTITUTE(SUBSTITUTE($A278," ",""),"(주)",""),"주식회사",""),"㈜","")))</f>
        <v/>
      </c>
      <c r="H278" s="10" t="str">
        <f aca="false">IF($B278="","",SUBSTITUTE(SUBSTITUTE(SUBSTITUTE($B278,"-","")," ",""),".",""))</f>
        <v/>
      </c>
      <c r="I278" s="10" t="str">
        <f aca="false">IF($D278="","",SUBSTITUTE(SUBSTITUTE(SUBSTITUTE($D278,"-","")," ",""),".",""))</f>
        <v/>
      </c>
      <c r="J278" s="10" t="str">
        <f aca="false">IF($E278="","",UPPER(SUBSTITUTE($E278," ","")))</f>
        <v/>
      </c>
      <c r="K278" s="10" t="str">
        <f aca="false">IF($A278="","",$G278&amp;"|"&amp;$J278)</f>
        <v/>
      </c>
      <c r="L278" s="10" t="str">
        <f aca="false">IF($A278="","",ROW()-2)</f>
        <v/>
      </c>
      <c r="M278" s="10" t="str">
        <f aca="false">IF($A278="","",ROW())</f>
        <v/>
      </c>
    </row>
    <row r="279" customFormat="false" ht="15" hidden="false" customHeight="true" outlineLevel="0" collapsed="false">
      <c r="A279" s="8"/>
      <c r="B279" s="8"/>
      <c r="C279" s="8"/>
      <c r="D279" s="8"/>
      <c r="E279" s="8"/>
      <c r="F279" s="8"/>
      <c r="G279" s="10" t="str">
        <f aca="false">IF($A279="","",UPPER(SUBSTITUTE(SUBSTITUTE(SUBSTITUTE(SUBSTITUTE($A279," ",""),"(주)",""),"주식회사",""),"㈜","")))</f>
        <v/>
      </c>
      <c r="H279" s="10" t="str">
        <f aca="false">IF($B279="","",SUBSTITUTE(SUBSTITUTE(SUBSTITUTE($B279,"-","")," ",""),".",""))</f>
        <v/>
      </c>
      <c r="I279" s="10" t="str">
        <f aca="false">IF($D279="","",SUBSTITUTE(SUBSTITUTE(SUBSTITUTE($D279,"-","")," ",""),".",""))</f>
        <v/>
      </c>
      <c r="J279" s="10" t="str">
        <f aca="false">IF($E279="","",UPPER(SUBSTITUTE($E279," ","")))</f>
        <v/>
      </c>
      <c r="K279" s="10" t="str">
        <f aca="false">IF($A279="","",$G279&amp;"|"&amp;$J279)</f>
        <v/>
      </c>
      <c r="L279" s="10" t="str">
        <f aca="false">IF($A279="","",ROW()-2)</f>
        <v/>
      </c>
      <c r="M279" s="10" t="str">
        <f aca="false">IF($A279="","",ROW())</f>
        <v/>
      </c>
    </row>
    <row r="280" customFormat="false" ht="15" hidden="false" customHeight="true" outlineLevel="0" collapsed="false">
      <c r="A280" s="8"/>
      <c r="B280" s="8"/>
      <c r="C280" s="8"/>
      <c r="D280" s="8"/>
      <c r="E280" s="8"/>
      <c r="F280" s="8"/>
      <c r="G280" s="10" t="str">
        <f aca="false">IF($A280="","",UPPER(SUBSTITUTE(SUBSTITUTE(SUBSTITUTE(SUBSTITUTE($A280," ",""),"(주)",""),"주식회사",""),"㈜","")))</f>
        <v/>
      </c>
      <c r="H280" s="10" t="str">
        <f aca="false">IF($B280="","",SUBSTITUTE(SUBSTITUTE(SUBSTITUTE($B280,"-","")," ",""),".",""))</f>
        <v/>
      </c>
      <c r="I280" s="10" t="str">
        <f aca="false">IF($D280="","",SUBSTITUTE(SUBSTITUTE(SUBSTITUTE($D280,"-","")," ",""),".",""))</f>
        <v/>
      </c>
      <c r="J280" s="10" t="str">
        <f aca="false">IF($E280="","",UPPER(SUBSTITUTE($E280," ","")))</f>
        <v/>
      </c>
      <c r="K280" s="10" t="str">
        <f aca="false">IF($A280="","",$G280&amp;"|"&amp;$J280)</f>
        <v/>
      </c>
      <c r="L280" s="10" t="str">
        <f aca="false">IF($A280="","",ROW()-2)</f>
        <v/>
      </c>
      <c r="M280" s="10" t="str">
        <f aca="false">IF($A280="","",ROW())</f>
        <v/>
      </c>
    </row>
    <row r="281" customFormat="false" ht="15" hidden="false" customHeight="true" outlineLevel="0" collapsed="false">
      <c r="A281" s="8"/>
      <c r="B281" s="8"/>
      <c r="C281" s="8"/>
      <c r="D281" s="8"/>
      <c r="E281" s="8"/>
      <c r="F281" s="8"/>
      <c r="G281" s="10" t="str">
        <f aca="false">IF($A281="","",UPPER(SUBSTITUTE(SUBSTITUTE(SUBSTITUTE(SUBSTITUTE($A281," ",""),"(주)",""),"주식회사",""),"㈜","")))</f>
        <v/>
      </c>
      <c r="H281" s="10" t="str">
        <f aca="false">IF($B281="","",SUBSTITUTE(SUBSTITUTE(SUBSTITUTE($B281,"-","")," ",""),".",""))</f>
        <v/>
      </c>
      <c r="I281" s="10" t="str">
        <f aca="false">IF($D281="","",SUBSTITUTE(SUBSTITUTE(SUBSTITUTE($D281,"-","")," ",""),".",""))</f>
        <v/>
      </c>
      <c r="J281" s="10" t="str">
        <f aca="false">IF($E281="","",UPPER(SUBSTITUTE($E281," ","")))</f>
        <v/>
      </c>
      <c r="K281" s="10" t="str">
        <f aca="false">IF($A281="","",$G281&amp;"|"&amp;$J281)</f>
        <v/>
      </c>
      <c r="L281" s="10" t="str">
        <f aca="false">IF($A281="","",ROW()-2)</f>
        <v/>
      </c>
      <c r="M281" s="10" t="str">
        <f aca="false">IF($A281="","",ROW())</f>
        <v/>
      </c>
    </row>
    <row r="282" customFormat="false" ht="15" hidden="false" customHeight="true" outlineLevel="0" collapsed="false">
      <c r="A282" s="8"/>
      <c r="B282" s="8"/>
      <c r="C282" s="8"/>
      <c r="D282" s="8"/>
      <c r="E282" s="8"/>
      <c r="F282" s="8"/>
      <c r="G282" s="10" t="str">
        <f aca="false">IF($A282="","",UPPER(SUBSTITUTE(SUBSTITUTE(SUBSTITUTE(SUBSTITUTE($A282," ",""),"(주)",""),"주식회사",""),"㈜","")))</f>
        <v/>
      </c>
      <c r="H282" s="10" t="str">
        <f aca="false">IF($B282="","",SUBSTITUTE(SUBSTITUTE(SUBSTITUTE($B282,"-","")," ",""),".",""))</f>
        <v/>
      </c>
      <c r="I282" s="10" t="str">
        <f aca="false">IF($D282="","",SUBSTITUTE(SUBSTITUTE(SUBSTITUTE($D282,"-","")," ",""),".",""))</f>
        <v/>
      </c>
      <c r="J282" s="10" t="str">
        <f aca="false">IF($E282="","",UPPER(SUBSTITUTE($E282," ","")))</f>
        <v/>
      </c>
      <c r="K282" s="10" t="str">
        <f aca="false">IF($A282="","",$G282&amp;"|"&amp;$J282)</f>
        <v/>
      </c>
      <c r="L282" s="10" t="str">
        <f aca="false">IF($A282="","",ROW()-2)</f>
        <v/>
      </c>
      <c r="M282" s="10" t="str">
        <f aca="false">IF($A282="","",ROW())</f>
        <v/>
      </c>
    </row>
    <row r="283" customFormat="false" ht="15" hidden="false" customHeight="true" outlineLevel="0" collapsed="false">
      <c r="A283" s="8"/>
      <c r="B283" s="8"/>
      <c r="C283" s="8"/>
      <c r="D283" s="8"/>
      <c r="E283" s="8"/>
      <c r="F283" s="8"/>
      <c r="G283" s="10" t="str">
        <f aca="false">IF($A283="","",UPPER(SUBSTITUTE(SUBSTITUTE(SUBSTITUTE(SUBSTITUTE($A283," ",""),"(주)",""),"주식회사",""),"㈜","")))</f>
        <v/>
      </c>
      <c r="H283" s="10" t="str">
        <f aca="false">IF($B283="","",SUBSTITUTE(SUBSTITUTE(SUBSTITUTE($B283,"-","")," ",""),".",""))</f>
        <v/>
      </c>
      <c r="I283" s="10" t="str">
        <f aca="false">IF($D283="","",SUBSTITUTE(SUBSTITUTE(SUBSTITUTE($D283,"-","")," ",""),".",""))</f>
        <v/>
      </c>
      <c r="J283" s="10" t="str">
        <f aca="false">IF($E283="","",UPPER(SUBSTITUTE($E283," ","")))</f>
        <v/>
      </c>
      <c r="K283" s="10" t="str">
        <f aca="false">IF($A283="","",$G283&amp;"|"&amp;$J283)</f>
        <v/>
      </c>
      <c r="L283" s="10" t="str">
        <f aca="false">IF($A283="","",ROW()-2)</f>
        <v/>
      </c>
      <c r="M283" s="10" t="str">
        <f aca="false">IF($A283="","",ROW())</f>
        <v/>
      </c>
    </row>
    <row r="284" customFormat="false" ht="15" hidden="false" customHeight="true" outlineLevel="0" collapsed="false">
      <c r="A284" s="8"/>
      <c r="B284" s="8"/>
      <c r="C284" s="8"/>
      <c r="D284" s="8"/>
      <c r="E284" s="8"/>
      <c r="F284" s="8"/>
      <c r="G284" s="10" t="str">
        <f aca="false">IF($A284="","",UPPER(SUBSTITUTE(SUBSTITUTE(SUBSTITUTE(SUBSTITUTE($A284," ",""),"(주)",""),"주식회사",""),"㈜","")))</f>
        <v/>
      </c>
      <c r="H284" s="10" t="str">
        <f aca="false">IF($B284="","",SUBSTITUTE(SUBSTITUTE(SUBSTITUTE($B284,"-","")," ",""),".",""))</f>
        <v/>
      </c>
      <c r="I284" s="10" t="str">
        <f aca="false">IF($D284="","",SUBSTITUTE(SUBSTITUTE(SUBSTITUTE($D284,"-","")," ",""),".",""))</f>
        <v/>
      </c>
      <c r="J284" s="10" t="str">
        <f aca="false">IF($E284="","",UPPER(SUBSTITUTE($E284," ","")))</f>
        <v/>
      </c>
      <c r="K284" s="10" t="str">
        <f aca="false">IF($A284="","",$G284&amp;"|"&amp;$J284)</f>
        <v/>
      </c>
      <c r="L284" s="10" t="str">
        <f aca="false">IF($A284="","",ROW()-2)</f>
        <v/>
      </c>
      <c r="M284" s="10" t="str">
        <f aca="false">IF($A284="","",ROW())</f>
        <v/>
      </c>
    </row>
    <row r="285" customFormat="false" ht="15" hidden="false" customHeight="true" outlineLevel="0" collapsed="false">
      <c r="A285" s="8"/>
      <c r="B285" s="8"/>
      <c r="C285" s="8"/>
      <c r="D285" s="8"/>
      <c r="E285" s="8"/>
      <c r="F285" s="8"/>
      <c r="G285" s="10" t="str">
        <f aca="false">IF($A285="","",UPPER(SUBSTITUTE(SUBSTITUTE(SUBSTITUTE(SUBSTITUTE($A285," ",""),"(주)",""),"주식회사",""),"㈜","")))</f>
        <v/>
      </c>
      <c r="H285" s="10" t="str">
        <f aca="false">IF($B285="","",SUBSTITUTE(SUBSTITUTE(SUBSTITUTE($B285,"-","")," ",""),".",""))</f>
        <v/>
      </c>
      <c r="I285" s="10" t="str">
        <f aca="false">IF($D285="","",SUBSTITUTE(SUBSTITUTE(SUBSTITUTE($D285,"-","")," ",""),".",""))</f>
        <v/>
      </c>
      <c r="J285" s="10" t="str">
        <f aca="false">IF($E285="","",UPPER(SUBSTITUTE($E285," ","")))</f>
        <v/>
      </c>
      <c r="K285" s="10" t="str">
        <f aca="false">IF($A285="","",$G285&amp;"|"&amp;$J285)</f>
        <v/>
      </c>
      <c r="L285" s="10" t="str">
        <f aca="false">IF($A285="","",ROW()-2)</f>
        <v/>
      </c>
      <c r="M285" s="10" t="str">
        <f aca="false">IF($A285="","",ROW())</f>
        <v/>
      </c>
    </row>
    <row r="286" customFormat="false" ht="15" hidden="false" customHeight="true" outlineLevel="0" collapsed="false">
      <c r="A286" s="8"/>
      <c r="B286" s="8"/>
      <c r="C286" s="8"/>
      <c r="D286" s="8"/>
      <c r="E286" s="8"/>
      <c r="F286" s="8"/>
      <c r="G286" s="10" t="str">
        <f aca="false">IF($A286="","",UPPER(SUBSTITUTE(SUBSTITUTE(SUBSTITUTE(SUBSTITUTE($A286," ",""),"(주)",""),"주식회사",""),"㈜","")))</f>
        <v/>
      </c>
      <c r="H286" s="10" t="str">
        <f aca="false">IF($B286="","",SUBSTITUTE(SUBSTITUTE(SUBSTITUTE($B286,"-","")," ",""),".",""))</f>
        <v/>
      </c>
      <c r="I286" s="10" t="str">
        <f aca="false">IF($D286="","",SUBSTITUTE(SUBSTITUTE(SUBSTITUTE($D286,"-","")," ",""),".",""))</f>
        <v/>
      </c>
      <c r="J286" s="10" t="str">
        <f aca="false">IF($E286="","",UPPER(SUBSTITUTE($E286," ","")))</f>
        <v/>
      </c>
      <c r="K286" s="10" t="str">
        <f aca="false">IF($A286="","",$G286&amp;"|"&amp;$J286)</f>
        <v/>
      </c>
      <c r="L286" s="10" t="str">
        <f aca="false">IF($A286="","",ROW()-2)</f>
        <v/>
      </c>
      <c r="M286" s="10" t="str">
        <f aca="false">IF($A286="","",ROW())</f>
        <v/>
      </c>
    </row>
    <row r="287" customFormat="false" ht="15" hidden="false" customHeight="true" outlineLevel="0" collapsed="false">
      <c r="A287" s="8"/>
      <c r="B287" s="8"/>
      <c r="C287" s="8"/>
      <c r="D287" s="8"/>
      <c r="E287" s="8"/>
      <c r="F287" s="8"/>
      <c r="G287" s="10" t="str">
        <f aca="false">IF($A287="","",UPPER(SUBSTITUTE(SUBSTITUTE(SUBSTITUTE(SUBSTITUTE($A287," ",""),"(주)",""),"주식회사",""),"㈜","")))</f>
        <v/>
      </c>
      <c r="H287" s="10" t="str">
        <f aca="false">IF($B287="","",SUBSTITUTE(SUBSTITUTE(SUBSTITUTE($B287,"-","")," ",""),".",""))</f>
        <v/>
      </c>
      <c r="I287" s="10" t="str">
        <f aca="false">IF($D287="","",SUBSTITUTE(SUBSTITUTE(SUBSTITUTE($D287,"-","")," ",""),".",""))</f>
        <v/>
      </c>
      <c r="J287" s="10" t="str">
        <f aca="false">IF($E287="","",UPPER(SUBSTITUTE($E287," ","")))</f>
        <v/>
      </c>
      <c r="K287" s="10" t="str">
        <f aca="false">IF($A287="","",$G287&amp;"|"&amp;$J287)</f>
        <v/>
      </c>
      <c r="L287" s="10" t="str">
        <f aca="false">IF($A287="","",ROW()-2)</f>
        <v/>
      </c>
      <c r="M287" s="10" t="str">
        <f aca="false">IF($A287="","",ROW())</f>
        <v/>
      </c>
    </row>
    <row r="288" customFormat="false" ht="15" hidden="false" customHeight="true" outlineLevel="0" collapsed="false">
      <c r="A288" s="8"/>
      <c r="B288" s="8"/>
      <c r="C288" s="8"/>
      <c r="D288" s="8"/>
      <c r="E288" s="8"/>
      <c r="F288" s="8"/>
      <c r="G288" s="10" t="str">
        <f aca="false">IF($A288="","",UPPER(SUBSTITUTE(SUBSTITUTE(SUBSTITUTE(SUBSTITUTE($A288," ",""),"(주)",""),"주식회사",""),"㈜","")))</f>
        <v/>
      </c>
      <c r="H288" s="10" t="str">
        <f aca="false">IF($B288="","",SUBSTITUTE(SUBSTITUTE(SUBSTITUTE($B288,"-","")," ",""),".",""))</f>
        <v/>
      </c>
      <c r="I288" s="10" t="str">
        <f aca="false">IF($D288="","",SUBSTITUTE(SUBSTITUTE(SUBSTITUTE($D288,"-","")," ",""),".",""))</f>
        <v/>
      </c>
      <c r="J288" s="10" t="str">
        <f aca="false">IF($E288="","",UPPER(SUBSTITUTE($E288," ","")))</f>
        <v/>
      </c>
      <c r="K288" s="10" t="str">
        <f aca="false">IF($A288="","",$G288&amp;"|"&amp;$J288)</f>
        <v/>
      </c>
      <c r="L288" s="10" t="str">
        <f aca="false">IF($A288="","",ROW()-2)</f>
        <v/>
      </c>
      <c r="M288" s="10" t="str">
        <f aca="false">IF($A288="","",ROW())</f>
        <v/>
      </c>
    </row>
    <row r="289" customFormat="false" ht="15" hidden="false" customHeight="true" outlineLevel="0" collapsed="false">
      <c r="A289" s="8"/>
      <c r="B289" s="8"/>
      <c r="C289" s="8"/>
      <c r="D289" s="8"/>
      <c r="E289" s="8"/>
      <c r="F289" s="8"/>
      <c r="G289" s="10" t="str">
        <f aca="false">IF($A289="","",UPPER(SUBSTITUTE(SUBSTITUTE(SUBSTITUTE(SUBSTITUTE($A289," ",""),"(주)",""),"주식회사",""),"㈜","")))</f>
        <v/>
      </c>
      <c r="H289" s="10" t="str">
        <f aca="false">IF($B289="","",SUBSTITUTE(SUBSTITUTE(SUBSTITUTE($B289,"-","")," ",""),".",""))</f>
        <v/>
      </c>
      <c r="I289" s="10" t="str">
        <f aca="false">IF($D289="","",SUBSTITUTE(SUBSTITUTE(SUBSTITUTE($D289,"-","")," ",""),".",""))</f>
        <v/>
      </c>
      <c r="J289" s="10" t="str">
        <f aca="false">IF($E289="","",UPPER(SUBSTITUTE($E289," ","")))</f>
        <v/>
      </c>
      <c r="K289" s="10" t="str">
        <f aca="false">IF($A289="","",$G289&amp;"|"&amp;$J289)</f>
        <v/>
      </c>
      <c r="L289" s="10" t="str">
        <f aca="false">IF($A289="","",ROW()-2)</f>
        <v/>
      </c>
      <c r="M289" s="10" t="str">
        <f aca="false">IF($A289="","",ROW())</f>
        <v/>
      </c>
    </row>
    <row r="290" customFormat="false" ht="15" hidden="false" customHeight="true" outlineLevel="0" collapsed="false">
      <c r="A290" s="8"/>
      <c r="B290" s="8"/>
      <c r="C290" s="8"/>
      <c r="D290" s="8"/>
      <c r="E290" s="8"/>
      <c r="F290" s="8"/>
      <c r="G290" s="10" t="str">
        <f aca="false">IF($A290="","",UPPER(SUBSTITUTE(SUBSTITUTE(SUBSTITUTE(SUBSTITUTE($A290," ",""),"(주)",""),"주식회사",""),"㈜","")))</f>
        <v/>
      </c>
      <c r="H290" s="10" t="str">
        <f aca="false">IF($B290="","",SUBSTITUTE(SUBSTITUTE(SUBSTITUTE($B290,"-","")," ",""),".",""))</f>
        <v/>
      </c>
      <c r="I290" s="10" t="str">
        <f aca="false">IF($D290="","",SUBSTITUTE(SUBSTITUTE(SUBSTITUTE($D290,"-","")," ",""),".",""))</f>
        <v/>
      </c>
      <c r="J290" s="10" t="str">
        <f aca="false">IF($E290="","",UPPER(SUBSTITUTE($E290," ","")))</f>
        <v/>
      </c>
      <c r="K290" s="10" t="str">
        <f aca="false">IF($A290="","",$G290&amp;"|"&amp;$J290)</f>
        <v/>
      </c>
      <c r="L290" s="10" t="str">
        <f aca="false">IF($A290="","",ROW()-2)</f>
        <v/>
      </c>
      <c r="M290" s="10" t="str">
        <f aca="false">IF($A290="","",ROW())</f>
        <v/>
      </c>
    </row>
    <row r="291" customFormat="false" ht="15" hidden="false" customHeight="true" outlineLevel="0" collapsed="false">
      <c r="A291" s="8"/>
      <c r="B291" s="8"/>
      <c r="C291" s="8"/>
      <c r="D291" s="8"/>
      <c r="E291" s="8"/>
      <c r="F291" s="8"/>
      <c r="G291" s="10" t="str">
        <f aca="false">IF($A291="","",UPPER(SUBSTITUTE(SUBSTITUTE(SUBSTITUTE(SUBSTITUTE($A291," ",""),"(주)",""),"주식회사",""),"㈜","")))</f>
        <v/>
      </c>
      <c r="H291" s="10" t="str">
        <f aca="false">IF($B291="","",SUBSTITUTE(SUBSTITUTE(SUBSTITUTE($B291,"-","")," ",""),".",""))</f>
        <v/>
      </c>
      <c r="I291" s="10" t="str">
        <f aca="false">IF($D291="","",SUBSTITUTE(SUBSTITUTE(SUBSTITUTE($D291,"-","")," ",""),".",""))</f>
        <v/>
      </c>
      <c r="J291" s="10" t="str">
        <f aca="false">IF($E291="","",UPPER(SUBSTITUTE($E291," ","")))</f>
        <v/>
      </c>
      <c r="K291" s="10" t="str">
        <f aca="false">IF($A291="","",$G291&amp;"|"&amp;$J291)</f>
        <v/>
      </c>
      <c r="L291" s="10" t="str">
        <f aca="false">IF($A291="","",ROW()-2)</f>
        <v/>
      </c>
      <c r="M291" s="10" t="str">
        <f aca="false">IF($A291="","",ROW())</f>
        <v/>
      </c>
    </row>
    <row r="292" customFormat="false" ht="15" hidden="false" customHeight="true" outlineLevel="0" collapsed="false">
      <c r="A292" s="8"/>
      <c r="B292" s="8"/>
      <c r="C292" s="8"/>
      <c r="D292" s="8"/>
      <c r="E292" s="8"/>
      <c r="F292" s="8"/>
      <c r="G292" s="10" t="str">
        <f aca="false">IF($A292="","",UPPER(SUBSTITUTE(SUBSTITUTE(SUBSTITUTE(SUBSTITUTE($A292," ",""),"(주)",""),"주식회사",""),"㈜","")))</f>
        <v/>
      </c>
      <c r="H292" s="10" t="str">
        <f aca="false">IF($B292="","",SUBSTITUTE(SUBSTITUTE(SUBSTITUTE($B292,"-","")," ",""),".",""))</f>
        <v/>
      </c>
      <c r="I292" s="10" t="str">
        <f aca="false">IF($D292="","",SUBSTITUTE(SUBSTITUTE(SUBSTITUTE($D292,"-","")," ",""),".",""))</f>
        <v/>
      </c>
      <c r="J292" s="10" t="str">
        <f aca="false">IF($E292="","",UPPER(SUBSTITUTE($E292," ","")))</f>
        <v/>
      </c>
      <c r="K292" s="10" t="str">
        <f aca="false">IF($A292="","",$G292&amp;"|"&amp;$J292)</f>
        <v/>
      </c>
      <c r="L292" s="10" t="str">
        <f aca="false">IF($A292="","",ROW()-2)</f>
        <v/>
      </c>
      <c r="M292" s="10" t="str">
        <f aca="false">IF($A292="","",ROW())</f>
        <v/>
      </c>
    </row>
    <row r="293" customFormat="false" ht="15" hidden="false" customHeight="true" outlineLevel="0" collapsed="false">
      <c r="A293" s="8"/>
      <c r="B293" s="8"/>
      <c r="C293" s="8"/>
      <c r="D293" s="8"/>
      <c r="E293" s="8"/>
      <c r="F293" s="8"/>
      <c r="G293" s="10" t="str">
        <f aca="false">IF($A293="","",UPPER(SUBSTITUTE(SUBSTITUTE(SUBSTITUTE(SUBSTITUTE($A293," ",""),"(주)",""),"주식회사",""),"㈜","")))</f>
        <v/>
      </c>
      <c r="H293" s="10" t="str">
        <f aca="false">IF($B293="","",SUBSTITUTE(SUBSTITUTE(SUBSTITUTE($B293,"-","")," ",""),".",""))</f>
        <v/>
      </c>
      <c r="I293" s="10" t="str">
        <f aca="false">IF($D293="","",SUBSTITUTE(SUBSTITUTE(SUBSTITUTE($D293,"-","")," ",""),".",""))</f>
        <v/>
      </c>
      <c r="J293" s="10" t="str">
        <f aca="false">IF($E293="","",UPPER(SUBSTITUTE($E293," ","")))</f>
        <v/>
      </c>
      <c r="K293" s="10" t="str">
        <f aca="false">IF($A293="","",$G293&amp;"|"&amp;$J293)</f>
        <v/>
      </c>
      <c r="L293" s="10" t="str">
        <f aca="false">IF($A293="","",ROW()-2)</f>
        <v/>
      </c>
      <c r="M293" s="10" t="str">
        <f aca="false">IF($A293="","",ROW())</f>
        <v/>
      </c>
    </row>
    <row r="294" customFormat="false" ht="15" hidden="false" customHeight="true" outlineLevel="0" collapsed="false">
      <c r="A294" s="8"/>
      <c r="B294" s="8"/>
      <c r="C294" s="8"/>
      <c r="D294" s="8"/>
      <c r="E294" s="8"/>
      <c r="F294" s="8"/>
      <c r="G294" s="10" t="str">
        <f aca="false">IF($A294="","",UPPER(SUBSTITUTE(SUBSTITUTE(SUBSTITUTE(SUBSTITUTE($A294," ",""),"(주)",""),"주식회사",""),"㈜","")))</f>
        <v/>
      </c>
      <c r="H294" s="10" t="str">
        <f aca="false">IF($B294="","",SUBSTITUTE(SUBSTITUTE(SUBSTITUTE($B294,"-","")," ",""),".",""))</f>
        <v/>
      </c>
      <c r="I294" s="10" t="str">
        <f aca="false">IF($D294="","",SUBSTITUTE(SUBSTITUTE(SUBSTITUTE($D294,"-","")," ",""),".",""))</f>
        <v/>
      </c>
      <c r="J294" s="10" t="str">
        <f aca="false">IF($E294="","",UPPER(SUBSTITUTE($E294," ","")))</f>
        <v/>
      </c>
      <c r="K294" s="10" t="str">
        <f aca="false">IF($A294="","",$G294&amp;"|"&amp;$J294)</f>
        <v/>
      </c>
      <c r="L294" s="10" t="str">
        <f aca="false">IF($A294="","",ROW()-2)</f>
        <v/>
      </c>
      <c r="M294" s="10" t="str">
        <f aca="false">IF($A294="","",ROW())</f>
        <v/>
      </c>
    </row>
    <row r="295" customFormat="false" ht="15" hidden="false" customHeight="true" outlineLevel="0" collapsed="false">
      <c r="A295" s="8"/>
      <c r="B295" s="8"/>
      <c r="C295" s="8"/>
      <c r="D295" s="8"/>
      <c r="E295" s="8"/>
      <c r="F295" s="8"/>
      <c r="G295" s="10" t="str">
        <f aca="false">IF($A295="","",UPPER(SUBSTITUTE(SUBSTITUTE(SUBSTITUTE(SUBSTITUTE($A295," ",""),"(주)",""),"주식회사",""),"㈜","")))</f>
        <v/>
      </c>
      <c r="H295" s="10" t="str">
        <f aca="false">IF($B295="","",SUBSTITUTE(SUBSTITUTE(SUBSTITUTE($B295,"-","")," ",""),".",""))</f>
        <v/>
      </c>
      <c r="I295" s="10" t="str">
        <f aca="false">IF($D295="","",SUBSTITUTE(SUBSTITUTE(SUBSTITUTE($D295,"-","")," ",""),".",""))</f>
        <v/>
      </c>
      <c r="J295" s="10" t="str">
        <f aca="false">IF($E295="","",UPPER(SUBSTITUTE($E295," ","")))</f>
        <v/>
      </c>
      <c r="K295" s="10" t="str">
        <f aca="false">IF($A295="","",$G295&amp;"|"&amp;$J295)</f>
        <v/>
      </c>
      <c r="L295" s="10" t="str">
        <f aca="false">IF($A295="","",ROW()-2)</f>
        <v/>
      </c>
      <c r="M295" s="10" t="str">
        <f aca="false">IF($A295="","",ROW())</f>
        <v/>
      </c>
    </row>
    <row r="296" customFormat="false" ht="15" hidden="false" customHeight="true" outlineLevel="0" collapsed="false">
      <c r="A296" s="8"/>
      <c r="B296" s="8"/>
      <c r="C296" s="8"/>
      <c r="D296" s="8"/>
      <c r="E296" s="8"/>
      <c r="F296" s="8"/>
      <c r="G296" s="10" t="str">
        <f aca="false">IF($A296="","",UPPER(SUBSTITUTE(SUBSTITUTE(SUBSTITUTE(SUBSTITUTE($A296," ",""),"(주)",""),"주식회사",""),"㈜","")))</f>
        <v/>
      </c>
      <c r="H296" s="10" t="str">
        <f aca="false">IF($B296="","",SUBSTITUTE(SUBSTITUTE(SUBSTITUTE($B296,"-","")," ",""),".",""))</f>
        <v/>
      </c>
      <c r="I296" s="10" t="str">
        <f aca="false">IF($D296="","",SUBSTITUTE(SUBSTITUTE(SUBSTITUTE($D296,"-","")," ",""),".",""))</f>
        <v/>
      </c>
      <c r="J296" s="10" t="str">
        <f aca="false">IF($E296="","",UPPER(SUBSTITUTE($E296," ","")))</f>
        <v/>
      </c>
      <c r="K296" s="10" t="str">
        <f aca="false">IF($A296="","",$G296&amp;"|"&amp;$J296)</f>
        <v/>
      </c>
      <c r="L296" s="10" t="str">
        <f aca="false">IF($A296="","",ROW()-2)</f>
        <v/>
      </c>
      <c r="M296" s="10" t="str">
        <f aca="false">IF($A296="","",ROW())</f>
        <v/>
      </c>
    </row>
    <row r="297" customFormat="false" ht="15" hidden="false" customHeight="true" outlineLevel="0" collapsed="false">
      <c r="A297" s="8"/>
      <c r="B297" s="8"/>
      <c r="C297" s="8"/>
      <c r="D297" s="8"/>
      <c r="E297" s="8"/>
      <c r="F297" s="8"/>
      <c r="G297" s="10" t="str">
        <f aca="false">IF($A297="","",UPPER(SUBSTITUTE(SUBSTITUTE(SUBSTITUTE(SUBSTITUTE($A297," ",""),"(주)",""),"주식회사",""),"㈜","")))</f>
        <v/>
      </c>
      <c r="H297" s="10" t="str">
        <f aca="false">IF($B297="","",SUBSTITUTE(SUBSTITUTE(SUBSTITUTE($B297,"-","")," ",""),".",""))</f>
        <v/>
      </c>
      <c r="I297" s="10" t="str">
        <f aca="false">IF($D297="","",SUBSTITUTE(SUBSTITUTE(SUBSTITUTE($D297,"-","")," ",""),".",""))</f>
        <v/>
      </c>
      <c r="J297" s="10" t="str">
        <f aca="false">IF($E297="","",UPPER(SUBSTITUTE($E297," ","")))</f>
        <v/>
      </c>
      <c r="K297" s="10" t="str">
        <f aca="false">IF($A297="","",$G297&amp;"|"&amp;$J297)</f>
        <v/>
      </c>
      <c r="L297" s="10" t="str">
        <f aca="false">IF($A297="","",ROW()-2)</f>
        <v/>
      </c>
      <c r="M297" s="10" t="str">
        <f aca="false">IF($A297="","",ROW())</f>
        <v/>
      </c>
    </row>
    <row r="298" customFormat="false" ht="15" hidden="false" customHeight="true" outlineLevel="0" collapsed="false">
      <c r="A298" s="8"/>
      <c r="B298" s="8"/>
      <c r="C298" s="8"/>
      <c r="D298" s="8"/>
      <c r="E298" s="8"/>
      <c r="F298" s="8"/>
      <c r="G298" s="10" t="str">
        <f aca="false">IF($A298="","",UPPER(SUBSTITUTE(SUBSTITUTE(SUBSTITUTE(SUBSTITUTE($A298," ",""),"(주)",""),"주식회사",""),"㈜","")))</f>
        <v/>
      </c>
      <c r="H298" s="10" t="str">
        <f aca="false">IF($B298="","",SUBSTITUTE(SUBSTITUTE(SUBSTITUTE($B298,"-","")," ",""),".",""))</f>
        <v/>
      </c>
      <c r="I298" s="10" t="str">
        <f aca="false">IF($D298="","",SUBSTITUTE(SUBSTITUTE(SUBSTITUTE($D298,"-","")," ",""),".",""))</f>
        <v/>
      </c>
      <c r="J298" s="10" t="str">
        <f aca="false">IF($E298="","",UPPER(SUBSTITUTE($E298," ","")))</f>
        <v/>
      </c>
      <c r="K298" s="10" t="str">
        <f aca="false">IF($A298="","",$G298&amp;"|"&amp;$J298)</f>
        <v/>
      </c>
      <c r="L298" s="10" t="str">
        <f aca="false">IF($A298="","",ROW()-2)</f>
        <v/>
      </c>
      <c r="M298" s="10" t="str">
        <f aca="false">IF($A298="","",ROW())</f>
        <v/>
      </c>
    </row>
    <row r="299" customFormat="false" ht="15" hidden="false" customHeight="true" outlineLevel="0" collapsed="false">
      <c r="A299" s="8"/>
      <c r="B299" s="8"/>
      <c r="C299" s="8"/>
      <c r="D299" s="8"/>
      <c r="E299" s="8"/>
      <c r="F299" s="8"/>
      <c r="G299" s="10" t="str">
        <f aca="false">IF($A299="","",UPPER(SUBSTITUTE(SUBSTITUTE(SUBSTITUTE(SUBSTITUTE($A299," ",""),"(주)",""),"주식회사",""),"㈜","")))</f>
        <v/>
      </c>
      <c r="H299" s="10" t="str">
        <f aca="false">IF($B299="","",SUBSTITUTE(SUBSTITUTE(SUBSTITUTE($B299,"-","")," ",""),".",""))</f>
        <v/>
      </c>
      <c r="I299" s="10" t="str">
        <f aca="false">IF($D299="","",SUBSTITUTE(SUBSTITUTE(SUBSTITUTE($D299,"-","")," ",""),".",""))</f>
        <v/>
      </c>
      <c r="J299" s="10" t="str">
        <f aca="false">IF($E299="","",UPPER(SUBSTITUTE($E299," ","")))</f>
        <v/>
      </c>
      <c r="K299" s="10" t="str">
        <f aca="false">IF($A299="","",$G299&amp;"|"&amp;$J299)</f>
        <v/>
      </c>
      <c r="L299" s="10" t="str">
        <f aca="false">IF($A299="","",ROW()-2)</f>
        <v/>
      </c>
      <c r="M299" s="10" t="str">
        <f aca="false">IF($A299="","",ROW())</f>
        <v/>
      </c>
    </row>
    <row r="300" customFormat="false" ht="15" hidden="false" customHeight="true" outlineLevel="0" collapsed="false">
      <c r="A300" s="8"/>
      <c r="B300" s="8"/>
      <c r="C300" s="8"/>
      <c r="D300" s="8"/>
      <c r="E300" s="8"/>
      <c r="F300" s="8"/>
      <c r="G300" s="10" t="str">
        <f aca="false">IF($A300="","",UPPER(SUBSTITUTE(SUBSTITUTE(SUBSTITUTE(SUBSTITUTE($A300," ",""),"(주)",""),"주식회사",""),"㈜","")))</f>
        <v/>
      </c>
      <c r="H300" s="10" t="str">
        <f aca="false">IF($B300="","",SUBSTITUTE(SUBSTITUTE(SUBSTITUTE($B300,"-","")," ",""),".",""))</f>
        <v/>
      </c>
      <c r="I300" s="10" t="str">
        <f aca="false">IF($D300="","",SUBSTITUTE(SUBSTITUTE(SUBSTITUTE($D300,"-","")," ",""),".",""))</f>
        <v/>
      </c>
      <c r="J300" s="10" t="str">
        <f aca="false">IF($E300="","",UPPER(SUBSTITUTE($E300," ","")))</f>
        <v/>
      </c>
      <c r="K300" s="10" t="str">
        <f aca="false">IF($A300="","",$G300&amp;"|"&amp;$J300)</f>
        <v/>
      </c>
      <c r="L300" s="10" t="str">
        <f aca="false">IF($A300="","",ROW()-2)</f>
        <v/>
      </c>
      <c r="M300" s="10" t="str">
        <f aca="false">IF($A300="","",ROW())</f>
        <v/>
      </c>
    </row>
    <row r="301" customFormat="false" ht="15" hidden="false" customHeight="true" outlineLevel="0" collapsed="false">
      <c r="A301" s="8"/>
      <c r="B301" s="8"/>
      <c r="C301" s="8"/>
      <c r="D301" s="8"/>
      <c r="E301" s="8"/>
      <c r="F301" s="8"/>
      <c r="G301" s="10" t="str">
        <f aca="false">IF($A301="","",UPPER(SUBSTITUTE(SUBSTITUTE(SUBSTITUTE(SUBSTITUTE($A301," ",""),"(주)",""),"주식회사",""),"㈜","")))</f>
        <v/>
      </c>
      <c r="H301" s="10" t="str">
        <f aca="false">IF($B301="","",SUBSTITUTE(SUBSTITUTE(SUBSTITUTE($B301,"-","")," ",""),".",""))</f>
        <v/>
      </c>
      <c r="I301" s="10" t="str">
        <f aca="false">IF($D301="","",SUBSTITUTE(SUBSTITUTE(SUBSTITUTE($D301,"-","")," ",""),".",""))</f>
        <v/>
      </c>
      <c r="J301" s="10" t="str">
        <f aca="false">IF($E301="","",UPPER(SUBSTITUTE($E301," ","")))</f>
        <v/>
      </c>
      <c r="K301" s="10" t="str">
        <f aca="false">IF($A301="","",$G301&amp;"|"&amp;$J301)</f>
        <v/>
      </c>
      <c r="L301" s="10" t="str">
        <f aca="false">IF($A301="","",ROW()-2)</f>
        <v/>
      </c>
      <c r="M301" s="10" t="str">
        <f aca="false">IF($A301="","",ROW())</f>
        <v/>
      </c>
    </row>
    <row r="302" customFormat="false" ht="15" hidden="false" customHeight="true" outlineLevel="0" collapsed="false">
      <c r="A302" s="8"/>
      <c r="B302" s="8"/>
      <c r="C302" s="8"/>
      <c r="D302" s="8"/>
      <c r="E302" s="8"/>
      <c r="F302" s="8"/>
      <c r="G302" s="10" t="str">
        <f aca="false">IF($A302="","",UPPER(SUBSTITUTE(SUBSTITUTE(SUBSTITUTE(SUBSTITUTE($A302," ",""),"(주)",""),"주식회사",""),"㈜","")))</f>
        <v/>
      </c>
      <c r="H302" s="10" t="str">
        <f aca="false">IF($B302="","",SUBSTITUTE(SUBSTITUTE(SUBSTITUTE($B302,"-","")," ",""),".",""))</f>
        <v/>
      </c>
      <c r="I302" s="10" t="str">
        <f aca="false">IF($D302="","",SUBSTITUTE(SUBSTITUTE(SUBSTITUTE($D302,"-","")," ",""),".",""))</f>
        <v/>
      </c>
      <c r="J302" s="10" t="str">
        <f aca="false">IF($E302="","",UPPER(SUBSTITUTE($E302," ","")))</f>
        <v/>
      </c>
      <c r="K302" s="10" t="str">
        <f aca="false">IF($A302="","",$G302&amp;"|"&amp;$J302)</f>
        <v/>
      </c>
      <c r="L302" s="10" t="str">
        <f aca="false">IF($A302="","",ROW()-2)</f>
        <v/>
      </c>
      <c r="M302" s="10" t="str">
        <f aca="false">IF($A302="","",ROW())</f>
        <v/>
      </c>
    </row>
    <row r="303" customFormat="false" ht="15" hidden="false" customHeight="true" outlineLevel="0" collapsed="false">
      <c r="A303" s="8"/>
      <c r="B303" s="8"/>
      <c r="C303" s="8"/>
      <c r="D303" s="8"/>
      <c r="E303" s="8"/>
      <c r="F303" s="8"/>
      <c r="G303" s="10" t="str">
        <f aca="false">IF($A303="","",UPPER(SUBSTITUTE(SUBSTITUTE(SUBSTITUTE(SUBSTITUTE($A303," ",""),"(주)",""),"주식회사",""),"㈜","")))</f>
        <v/>
      </c>
      <c r="H303" s="10" t="str">
        <f aca="false">IF($B303="","",SUBSTITUTE(SUBSTITUTE(SUBSTITUTE($B303,"-","")," ",""),".",""))</f>
        <v/>
      </c>
      <c r="I303" s="10" t="str">
        <f aca="false">IF($D303="","",SUBSTITUTE(SUBSTITUTE(SUBSTITUTE($D303,"-","")," ",""),".",""))</f>
        <v/>
      </c>
      <c r="J303" s="10" t="str">
        <f aca="false">IF($E303="","",UPPER(SUBSTITUTE($E303," ","")))</f>
        <v/>
      </c>
      <c r="K303" s="10" t="str">
        <f aca="false">IF($A303="","",$G303&amp;"|"&amp;$J303)</f>
        <v/>
      </c>
      <c r="L303" s="10" t="str">
        <f aca="false">IF($A303="","",ROW()-2)</f>
        <v/>
      </c>
      <c r="M303" s="10" t="str">
        <f aca="false">IF($A303="","",ROW())</f>
        <v/>
      </c>
    </row>
    <row r="304" customFormat="false" ht="15" hidden="false" customHeight="true" outlineLevel="0" collapsed="false">
      <c r="A304" s="8"/>
      <c r="B304" s="8"/>
      <c r="C304" s="8"/>
      <c r="D304" s="8"/>
      <c r="E304" s="8"/>
      <c r="F304" s="8"/>
      <c r="G304" s="10" t="str">
        <f aca="false">IF($A304="","",UPPER(SUBSTITUTE(SUBSTITUTE(SUBSTITUTE(SUBSTITUTE($A304," ",""),"(주)",""),"주식회사",""),"㈜","")))</f>
        <v/>
      </c>
      <c r="H304" s="10" t="str">
        <f aca="false">IF($B304="","",SUBSTITUTE(SUBSTITUTE(SUBSTITUTE($B304,"-","")," ",""),".",""))</f>
        <v/>
      </c>
      <c r="I304" s="10" t="str">
        <f aca="false">IF($D304="","",SUBSTITUTE(SUBSTITUTE(SUBSTITUTE($D304,"-","")," ",""),".",""))</f>
        <v/>
      </c>
      <c r="J304" s="10" t="str">
        <f aca="false">IF($E304="","",UPPER(SUBSTITUTE($E304," ","")))</f>
        <v/>
      </c>
      <c r="K304" s="10" t="str">
        <f aca="false">IF($A304="","",$G304&amp;"|"&amp;$J304)</f>
        <v/>
      </c>
      <c r="L304" s="10" t="str">
        <f aca="false">IF($A304="","",ROW()-2)</f>
        <v/>
      </c>
      <c r="M304" s="10" t="str">
        <f aca="false">IF($A304="","",ROW())</f>
        <v/>
      </c>
    </row>
    <row r="305" customFormat="false" ht="15" hidden="false" customHeight="true" outlineLevel="0" collapsed="false">
      <c r="A305" s="8"/>
      <c r="B305" s="8"/>
      <c r="C305" s="8"/>
      <c r="D305" s="8"/>
      <c r="E305" s="8"/>
      <c r="F305" s="8"/>
      <c r="G305" s="10" t="str">
        <f aca="false">IF($A305="","",UPPER(SUBSTITUTE(SUBSTITUTE(SUBSTITUTE(SUBSTITUTE($A305," ",""),"(주)",""),"주식회사",""),"㈜","")))</f>
        <v/>
      </c>
      <c r="H305" s="10" t="str">
        <f aca="false">IF($B305="","",SUBSTITUTE(SUBSTITUTE(SUBSTITUTE($B305,"-","")," ",""),".",""))</f>
        <v/>
      </c>
      <c r="I305" s="10" t="str">
        <f aca="false">IF($D305="","",SUBSTITUTE(SUBSTITUTE(SUBSTITUTE($D305,"-","")," ",""),".",""))</f>
        <v/>
      </c>
      <c r="J305" s="10" t="str">
        <f aca="false">IF($E305="","",UPPER(SUBSTITUTE($E305," ","")))</f>
        <v/>
      </c>
      <c r="K305" s="10" t="str">
        <f aca="false">IF($A305="","",$G305&amp;"|"&amp;$J305)</f>
        <v/>
      </c>
      <c r="L305" s="10" t="str">
        <f aca="false">IF($A305="","",ROW()-2)</f>
        <v/>
      </c>
      <c r="M305" s="10" t="str">
        <f aca="false">IF($A305="","",ROW())</f>
        <v/>
      </c>
    </row>
    <row r="306" customFormat="false" ht="15" hidden="false" customHeight="true" outlineLevel="0" collapsed="false">
      <c r="A306" s="8"/>
      <c r="B306" s="8"/>
      <c r="C306" s="8"/>
      <c r="D306" s="8"/>
      <c r="E306" s="8"/>
      <c r="F306" s="8"/>
      <c r="G306" s="10" t="str">
        <f aca="false">IF($A306="","",UPPER(SUBSTITUTE(SUBSTITUTE(SUBSTITUTE(SUBSTITUTE($A306," ",""),"(주)",""),"주식회사",""),"㈜","")))</f>
        <v/>
      </c>
      <c r="H306" s="10" t="str">
        <f aca="false">IF($B306="","",SUBSTITUTE(SUBSTITUTE(SUBSTITUTE($B306,"-","")," ",""),".",""))</f>
        <v/>
      </c>
      <c r="I306" s="10" t="str">
        <f aca="false">IF($D306="","",SUBSTITUTE(SUBSTITUTE(SUBSTITUTE($D306,"-","")," ",""),".",""))</f>
        <v/>
      </c>
      <c r="J306" s="10" t="str">
        <f aca="false">IF($E306="","",UPPER(SUBSTITUTE($E306," ","")))</f>
        <v/>
      </c>
      <c r="K306" s="10" t="str">
        <f aca="false">IF($A306="","",$G306&amp;"|"&amp;$J306)</f>
        <v/>
      </c>
      <c r="L306" s="10" t="str">
        <f aca="false">IF($A306="","",ROW()-2)</f>
        <v/>
      </c>
      <c r="M306" s="10" t="str">
        <f aca="false">IF($A306="","",ROW())</f>
        <v/>
      </c>
    </row>
    <row r="307" customFormat="false" ht="15" hidden="false" customHeight="true" outlineLevel="0" collapsed="false">
      <c r="A307" s="8"/>
      <c r="B307" s="8"/>
      <c r="C307" s="8"/>
      <c r="D307" s="8"/>
      <c r="E307" s="8"/>
      <c r="F307" s="8"/>
      <c r="G307" s="10" t="str">
        <f aca="false">IF($A307="","",UPPER(SUBSTITUTE(SUBSTITUTE(SUBSTITUTE(SUBSTITUTE($A307," ",""),"(주)",""),"주식회사",""),"㈜","")))</f>
        <v/>
      </c>
      <c r="H307" s="10" t="str">
        <f aca="false">IF($B307="","",SUBSTITUTE(SUBSTITUTE(SUBSTITUTE($B307,"-","")," ",""),".",""))</f>
        <v/>
      </c>
      <c r="I307" s="10" t="str">
        <f aca="false">IF($D307="","",SUBSTITUTE(SUBSTITUTE(SUBSTITUTE($D307,"-","")," ",""),".",""))</f>
        <v/>
      </c>
      <c r="J307" s="10" t="str">
        <f aca="false">IF($E307="","",UPPER(SUBSTITUTE($E307," ","")))</f>
        <v/>
      </c>
      <c r="K307" s="10" t="str">
        <f aca="false">IF($A307="","",$G307&amp;"|"&amp;$J307)</f>
        <v/>
      </c>
      <c r="L307" s="10" t="str">
        <f aca="false">IF($A307="","",ROW()-2)</f>
        <v/>
      </c>
      <c r="M307" s="10" t="str">
        <f aca="false">IF($A307="","",ROW())</f>
        <v/>
      </c>
    </row>
    <row r="308" customFormat="false" ht="15" hidden="false" customHeight="true" outlineLevel="0" collapsed="false">
      <c r="A308" s="8"/>
      <c r="B308" s="8"/>
      <c r="C308" s="8"/>
      <c r="D308" s="8"/>
      <c r="E308" s="8"/>
      <c r="F308" s="8"/>
      <c r="G308" s="10" t="str">
        <f aca="false">IF($A308="","",UPPER(SUBSTITUTE(SUBSTITUTE(SUBSTITUTE(SUBSTITUTE($A308," ",""),"(주)",""),"주식회사",""),"㈜","")))</f>
        <v/>
      </c>
      <c r="H308" s="10" t="str">
        <f aca="false">IF($B308="","",SUBSTITUTE(SUBSTITUTE(SUBSTITUTE($B308,"-","")," ",""),".",""))</f>
        <v/>
      </c>
      <c r="I308" s="10" t="str">
        <f aca="false">IF($D308="","",SUBSTITUTE(SUBSTITUTE(SUBSTITUTE($D308,"-","")," ",""),".",""))</f>
        <v/>
      </c>
      <c r="J308" s="10" t="str">
        <f aca="false">IF($E308="","",UPPER(SUBSTITUTE($E308," ","")))</f>
        <v/>
      </c>
      <c r="K308" s="10" t="str">
        <f aca="false">IF($A308="","",$G308&amp;"|"&amp;$J308)</f>
        <v/>
      </c>
      <c r="L308" s="10" t="str">
        <f aca="false">IF($A308="","",ROW()-2)</f>
        <v/>
      </c>
      <c r="M308" s="10" t="str">
        <f aca="false">IF($A308="","",ROW())</f>
        <v/>
      </c>
    </row>
    <row r="309" customFormat="false" ht="15" hidden="false" customHeight="true" outlineLevel="0" collapsed="false">
      <c r="A309" s="8"/>
      <c r="B309" s="8"/>
      <c r="C309" s="8"/>
      <c r="D309" s="8"/>
      <c r="E309" s="8"/>
      <c r="F309" s="8"/>
      <c r="G309" s="10" t="str">
        <f aca="false">IF($A309="","",UPPER(SUBSTITUTE(SUBSTITUTE(SUBSTITUTE(SUBSTITUTE($A309," ",""),"(주)",""),"주식회사",""),"㈜","")))</f>
        <v/>
      </c>
      <c r="H309" s="10" t="str">
        <f aca="false">IF($B309="","",SUBSTITUTE(SUBSTITUTE(SUBSTITUTE($B309,"-","")," ",""),".",""))</f>
        <v/>
      </c>
      <c r="I309" s="10" t="str">
        <f aca="false">IF($D309="","",SUBSTITUTE(SUBSTITUTE(SUBSTITUTE($D309,"-","")," ",""),".",""))</f>
        <v/>
      </c>
      <c r="J309" s="10" t="str">
        <f aca="false">IF($E309="","",UPPER(SUBSTITUTE($E309," ","")))</f>
        <v/>
      </c>
      <c r="K309" s="10" t="str">
        <f aca="false">IF($A309="","",$G309&amp;"|"&amp;$J309)</f>
        <v/>
      </c>
      <c r="L309" s="10" t="str">
        <f aca="false">IF($A309="","",ROW()-2)</f>
        <v/>
      </c>
      <c r="M309" s="10" t="str">
        <f aca="false">IF($A309="","",ROW())</f>
        <v/>
      </c>
    </row>
    <row r="310" customFormat="false" ht="15" hidden="false" customHeight="true" outlineLevel="0" collapsed="false">
      <c r="A310" s="8"/>
      <c r="B310" s="8"/>
      <c r="C310" s="8"/>
      <c r="D310" s="8"/>
      <c r="E310" s="8"/>
      <c r="F310" s="8"/>
      <c r="G310" s="10" t="str">
        <f aca="false">IF($A310="","",UPPER(SUBSTITUTE(SUBSTITUTE(SUBSTITUTE(SUBSTITUTE($A310," ",""),"(주)",""),"주식회사",""),"㈜","")))</f>
        <v/>
      </c>
      <c r="H310" s="10" t="str">
        <f aca="false">IF($B310="","",SUBSTITUTE(SUBSTITUTE(SUBSTITUTE($B310,"-","")," ",""),".",""))</f>
        <v/>
      </c>
      <c r="I310" s="10" t="str">
        <f aca="false">IF($D310="","",SUBSTITUTE(SUBSTITUTE(SUBSTITUTE($D310,"-","")," ",""),".",""))</f>
        <v/>
      </c>
      <c r="J310" s="10" t="str">
        <f aca="false">IF($E310="","",UPPER(SUBSTITUTE($E310," ","")))</f>
        <v/>
      </c>
      <c r="K310" s="10" t="str">
        <f aca="false">IF($A310="","",$G310&amp;"|"&amp;$J310)</f>
        <v/>
      </c>
      <c r="L310" s="10" t="str">
        <f aca="false">IF($A310="","",ROW()-2)</f>
        <v/>
      </c>
      <c r="M310" s="10" t="str">
        <f aca="false">IF($A310="","",ROW())</f>
        <v/>
      </c>
    </row>
    <row r="311" customFormat="false" ht="15" hidden="false" customHeight="true" outlineLevel="0" collapsed="false">
      <c r="A311" s="8"/>
      <c r="B311" s="8"/>
      <c r="C311" s="8"/>
      <c r="D311" s="8"/>
      <c r="E311" s="8"/>
      <c r="F311" s="8"/>
      <c r="G311" s="10" t="str">
        <f aca="false">IF($A311="","",UPPER(SUBSTITUTE(SUBSTITUTE(SUBSTITUTE(SUBSTITUTE($A311," ",""),"(주)",""),"주식회사",""),"㈜","")))</f>
        <v/>
      </c>
      <c r="H311" s="10" t="str">
        <f aca="false">IF($B311="","",SUBSTITUTE(SUBSTITUTE(SUBSTITUTE($B311,"-","")," ",""),".",""))</f>
        <v/>
      </c>
      <c r="I311" s="10" t="str">
        <f aca="false">IF($D311="","",SUBSTITUTE(SUBSTITUTE(SUBSTITUTE($D311,"-","")," ",""),".",""))</f>
        <v/>
      </c>
      <c r="J311" s="10" t="str">
        <f aca="false">IF($E311="","",UPPER(SUBSTITUTE($E311," ","")))</f>
        <v/>
      </c>
      <c r="K311" s="10" t="str">
        <f aca="false">IF($A311="","",$G311&amp;"|"&amp;$J311)</f>
        <v/>
      </c>
      <c r="L311" s="10" t="str">
        <f aca="false">IF($A311="","",ROW()-2)</f>
        <v/>
      </c>
      <c r="M311" s="10" t="str">
        <f aca="false">IF($A311="","",ROW())</f>
        <v/>
      </c>
    </row>
    <row r="312" customFormat="false" ht="15" hidden="false" customHeight="true" outlineLevel="0" collapsed="false">
      <c r="A312" s="8"/>
      <c r="B312" s="8"/>
      <c r="C312" s="8"/>
      <c r="D312" s="8"/>
      <c r="E312" s="8"/>
      <c r="F312" s="8"/>
      <c r="G312" s="10" t="str">
        <f aca="false">IF($A312="","",UPPER(SUBSTITUTE(SUBSTITUTE(SUBSTITUTE(SUBSTITUTE($A312," ",""),"(주)",""),"주식회사",""),"㈜","")))</f>
        <v/>
      </c>
      <c r="H312" s="10" t="str">
        <f aca="false">IF($B312="","",SUBSTITUTE(SUBSTITUTE(SUBSTITUTE($B312,"-","")," ",""),".",""))</f>
        <v/>
      </c>
      <c r="I312" s="10" t="str">
        <f aca="false">IF($D312="","",SUBSTITUTE(SUBSTITUTE(SUBSTITUTE($D312,"-","")," ",""),".",""))</f>
        <v/>
      </c>
      <c r="J312" s="10" t="str">
        <f aca="false">IF($E312="","",UPPER(SUBSTITUTE($E312," ","")))</f>
        <v/>
      </c>
      <c r="K312" s="10" t="str">
        <f aca="false">IF($A312="","",$G312&amp;"|"&amp;$J312)</f>
        <v/>
      </c>
      <c r="L312" s="10" t="str">
        <f aca="false">IF($A312="","",ROW()-2)</f>
        <v/>
      </c>
      <c r="M312" s="10" t="str">
        <f aca="false">IF($A312="","",ROW())</f>
        <v/>
      </c>
    </row>
    <row r="313" customFormat="false" ht="15" hidden="false" customHeight="true" outlineLevel="0" collapsed="false">
      <c r="A313" s="8"/>
      <c r="B313" s="8"/>
      <c r="C313" s="8"/>
      <c r="D313" s="8"/>
      <c r="E313" s="8"/>
      <c r="F313" s="8"/>
      <c r="G313" s="10" t="str">
        <f aca="false">IF($A313="","",UPPER(SUBSTITUTE(SUBSTITUTE(SUBSTITUTE(SUBSTITUTE($A313," ",""),"(주)",""),"주식회사",""),"㈜","")))</f>
        <v/>
      </c>
      <c r="H313" s="10" t="str">
        <f aca="false">IF($B313="","",SUBSTITUTE(SUBSTITUTE(SUBSTITUTE($B313,"-","")," ",""),".",""))</f>
        <v/>
      </c>
      <c r="I313" s="10" t="str">
        <f aca="false">IF($D313="","",SUBSTITUTE(SUBSTITUTE(SUBSTITUTE($D313,"-","")," ",""),".",""))</f>
        <v/>
      </c>
      <c r="J313" s="10" t="str">
        <f aca="false">IF($E313="","",UPPER(SUBSTITUTE($E313," ","")))</f>
        <v/>
      </c>
      <c r="K313" s="10" t="str">
        <f aca="false">IF($A313="","",$G313&amp;"|"&amp;$J313)</f>
        <v/>
      </c>
      <c r="L313" s="10" t="str">
        <f aca="false">IF($A313="","",ROW()-2)</f>
        <v/>
      </c>
      <c r="M313" s="10" t="str">
        <f aca="false">IF($A313="","",ROW())</f>
        <v/>
      </c>
    </row>
    <row r="314" customFormat="false" ht="15" hidden="false" customHeight="true" outlineLevel="0" collapsed="false">
      <c r="A314" s="8"/>
      <c r="B314" s="8"/>
      <c r="C314" s="8"/>
      <c r="D314" s="8"/>
      <c r="E314" s="8"/>
      <c r="F314" s="8"/>
      <c r="G314" s="10" t="str">
        <f aca="false">IF($A314="","",UPPER(SUBSTITUTE(SUBSTITUTE(SUBSTITUTE(SUBSTITUTE($A314," ",""),"(주)",""),"주식회사",""),"㈜","")))</f>
        <v/>
      </c>
      <c r="H314" s="10" t="str">
        <f aca="false">IF($B314="","",SUBSTITUTE(SUBSTITUTE(SUBSTITUTE($B314,"-","")," ",""),".",""))</f>
        <v/>
      </c>
      <c r="I314" s="10" t="str">
        <f aca="false">IF($D314="","",SUBSTITUTE(SUBSTITUTE(SUBSTITUTE($D314,"-","")," ",""),".",""))</f>
        <v/>
      </c>
      <c r="J314" s="10" t="str">
        <f aca="false">IF($E314="","",UPPER(SUBSTITUTE($E314," ","")))</f>
        <v/>
      </c>
      <c r="K314" s="10" t="str">
        <f aca="false">IF($A314="","",$G314&amp;"|"&amp;$J314)</f>
        <v/>
      </c>
      <c r="L314" s="10" t="str">
        <f aca="false">IF($A314="","",ROW()-2)</f>
        <v/>
      </c>
      <c r="M314" s="10" t="str">
        <f aca="false">IF($A314="","",ROW())</f>
        <v/>
      </c>
    </row>
    <row r="315" customFormat="false" ht="15" hidden="false" customHeight="true" outlineLevel="0" collapsed="false">
      <c r="A315" s="8"/>
      <c r="B315" s="8"/>
      <c r="C315" s="8"/>
      <c r="D315" s="8"/>
      <c r="E315" s="8"/>
      <c r="F315" s="8"/>
      <c r="G315" s="10" t="str">
        <f aca="false">IF($A315="","",UPPER(SUBSTITUTE(SUBSTITUTE(SUBSTITUTE(SUBSTITUTE($A315," ",""),"(주)",""),"주식회사",""),"㈜","")))</f>
        <v/>
      </c>
      <c r="H315" s="10" t="str">
        <f aca="false">IF($B315="","",SUBSTITUTE(SUBSTITUTE(SUBSTITUTE($B315,"-","")," ",""),".",""))</f>
        <v/>
      </c>
      <c r="I315" s="10" t="str">
        <f aca="false">IF($D315="","",SUBSTITUTE(SUBSTITUTE(SUBSTITUTE($D315,"-","")," ",""),".",""))</f>
        <v/>
      </c>
      <c r="J315" s="10" t="str">
        <f aca="false">IF($E315="","",UPPER(SUBSTITUTE($E315," ","")))</f>
        <v/>
      </c>
      <c r="K315" s="10" t="str">
        <f aca="false">IF($A315="","",$G315&amp;"|"&amp;$J315)</f>
        <v/>
      </c>
      <c r="L315" s="10" t="str">
        <f aca="false">IF($A315="","",ROW()-2)</f>
        <v/>
      </c>
      <c r="M315" s="10" t="str">
        <f aca="false">IF($A315="","",ROW())</f>
        <v/>
      </c>
    </row>
    <row r="316" customFormat="false" ht="15" hidden="false" customHeight="true" outlineLevel="0" collapsed="false">
      <c r="A316" s="8"/>
      <c r="B316" s="8"/>
      <c r="C316" s="8"/>
      <c r="D316" s="8"/>
      <c r="E316" s="8"/>
      <c r="F316" s="8"/>
      <c r="G316" s="10" t="str">
        <f aca="false">IF($A316="","",UPPER(SUBSTITUTE(SUBSTITUTE(SUBSTITUTE(SUBSTITUTE($A316," ",""),"(주)",""),"주식회사",""),"㈜","")))</f>
        <v/>
      </c>
      <c r="H316" s="10" t="str">
        <f aca="false">IF($B316="","",SUBSTITUTE(SUBSTITUTE(SUBSTITUTE($B316,"-","")," ",""),".",""))</f>
        <v/>
      </c>
      <c r="I316" s="10" t="str">
        <f aca="false">IF($D316="","",SUBSTITUTE(SUBSTITUTE(SUBSTITUTE($D316,"-","")," ",""),".",""))</f>
        <v/>
      </c>
      <c r="J316" s="10" t="str">
        <f aca="false">IF($E316="","",UPPER(SUBSTITUTE($E316," ","")))</f>
        <v/>
      </c>
      <c r="K316" s="10" t="str">
        <f aca="false">IF($A316="","",$G316&amp;"|"&amp;$J316)</f>
        <v/>
      </c>
      <c r="L316" s="10" t="str">
        <f aca="false">IF($A316="","",ROW()-2)</f>
        <v/>
      </c>
      <c r="M316" s="10" t="str">
        <f aca="false">IF($A316="","",ROW())</f>
        <v/>
      </c>
    </row>
    <row r="317" customFormat="false" ht="15" hidden="false" customHeight="true" outlineLevel="0" collapsed="false">
      <c r="A317" s="8"/>
      <c r="B317" s="8"/>
      <c r="C317" s="8"/>
      <c r="D317" s="8"/>
      <c r="E317" s="8"/>
      <c r="F317" s="8"/>
      <c r="G317" s="10" t="str">
        <f aca="false">IF($A317="","",UPPER(SUBSTITUTE(SUBSTITUTE(SUBSTITUTE(SUBSTITUTE($A317," ",""),"(주)",""),"주식회사",""),"㈜","")))</f>
        <v/>
      </c>
      <c r="H317" s="10" t="str">
        <f aca="false">IF($B317="","",SUBSTITUTE(SUBSTITUTE(SUBSTITUTE($B317,"-","")," ",""),".",""))</f>
        <v/>
      </c>
      <c r="I317" s="10" t="str">
        <f aca="false">IF($D317="","",SUBSTITUTE(SUBSTITUTE(SUBSTITUTE($D317,"-","")," ",""),".",""))</f>
        <v/>
      </c>
      <c r="J317" s="10" t="str">
        <f aca="false">IF($E317="","",UPPER(SUBSTITUTE($E317," ","")))</f>
        <v/>
      </c>
      <c r="K317" s="10" t="str">
        <f aca="false">IF($A317="","",$G317&amp;"|"&amp;$J317)</f>
        <v/>
      </c>
      <c r="L317" s="10" t="str">
        <f aca="false">IF($A317="","",ROW()-2)</f>
        <v/>
      </c>
      <c r="M317" s="10" t="str">
        <f aca="false">IF($A317="","",ROW())</f>
        <v/>
      </c>
    </row>
    <row r="318" customFormat="false" ht="15" hidden="false" customHeight="true" outlineLevel="0" collapsed="false">
      <c r="A318" s="8"/>
      <c r="B318" s="8"/>
      <c r="C318" s="8"/>
      <c r="D318" s="8"/>
      <c r="E318" s="8"/>
      <c r="F318" s="8"/>
      <c r="G318" s="10" t="str">
        <f aca="false">IF($A318="","",UPPER(SUBSTITUTE(SUBSTITUTE(SUBSTITUTE(SUBSTITUTE($A318," ",""),"(주)",""),"주식회사",""),"㈜","")))</f>
        <v/>
      </c>
      <c r="H318" s="10" t="str">
        <f aca="false">IF($B318="","",SUBSTITUTE(SUBSTITUTE(SUBSTITUTE($B318,"-","")," ",""),".",""))</f>
        <v/>
      </c>
      <c r="I318" s="10" t="str">
        <f aca="false">IF($D318="","",SUBSTITUTE(SUBSTITUTE(SUBSTITUTE($D318,"-","")," ",""),".",""))</f>
        <v/>
      </c>
      <c r="J318" s="10" t="str">
        <f aca="false">IF($E318="","",UPPER(SUBSTITUTE($E318," ","")))</f>
        <v/>
      </c>
      <c r="K318" s="10" t="str">
        <f aca="false">IF($A318="","",$G318&amp;"|"&amp;$J318)</f>
        <v/>
      </c>
      <c r="L318" s="10" t="str">
        <f aca="false">IF($A318="","",ROW()-2)</f>
        <v/>
      </c>
      <c r="M318" s="10" t="str">
        <f aca="false">IF($A318="","",ROW())</f>
        <v/>
      </c>
    </row>
    <row r="319" customFormat="false" ht="15" hidden="false" customHeight="true" outlineLevel="0" collapsed="false">
      <c r="A319" s="8"/>
      <c r="B319" s="8"/>
      <c r="C319" s="8"/>
      <c r="D319" s="8"/>
      <c r="E319" s="8"/>
      <c r="F319" s="8"/>
      <c r="G319" s="10" t="str">
        <f aca="false">IF($A319="","",UPPER(SUBSTITUTE(SUBSTITUTE(SUBSTITUTE(SUBSTITUTE($A319," ",""),"(주)",""),"주식회사",""),"㈜","")))</f>
        <v/>
      </c>
      <c r="H319" s="10" t="str">
        <f aca="false">IF($B319="","",SUBSTITUTE(SUBSTITUTE(SUBSTITUTE($B319,"-","")," ",""),".",""))</f>
        <v/>
      </c>
      <c r="I319" s="10" t="str">
        <f aca="false">IF($D319="","",SUBSTITUTE(SUBSTITUTE(SUBSTITUTE($D319,"-","")," ",""),".",""))</f>
        <v/>
      </c>
      <c r="J319" s="10" t="str">
        <f aca="false">IF($E319="","",UPPER(SUBSTITUTE($E319," ","")))</f>
        <v/>
      </c>
      <c r="K319" s="10" t="str">
        <f aca="false">IF($A319="","",$G319&amp;"|"&amp;$J319)</f>
        <v/>
      </c>
      <c r="L319" s="10" t="str">
        <f aca="false">IF($A319="","",ROW()-2)</f>
        <v/>
      </c>
      <c r="M319" s="10" t="str">
        <f aca="false">IF($A319="","",ROW())</f>
        <v/>
      </c>
    </row>
    <row r="320" customFormat="false" ht="15" hidden="false" customHeight="true" outlineLevel="0" collapsed="false">
      <c r="A320" s="8"/>
      <c r="B320" s="8"/>
      <c r="C320" s="8"/>
      <c r="D320" s="8"/>
      <c r="E320" s="8"/>
      <c r="F320" s="8"/>
      <c r="G320" s="10" t="str">
        <f aca="false">IF($A320="","",UPPER(SUBSTITUTE(SUBSTITUTE(SUBSTITUTE(SUBSTITUTE($A320," ",""),"(주)",""),"주식회사",""),"㈜","")))</f>
        <v/>
      </c>
      <c r="H320" s="10" t="str">
        <f aca="false">IF($B320="","",SUBSTITUTE(SUBSTITUTE(SUBSTITUTE($B320,"-","")," ",""),".",""))</f>
        <v/>
      </c>
      <c r="I320" s="10" t="str">
        <f aca="false">IF($D320="","",SUBSTITUTE(SUBSTITUTE(SUBSTITUTE($D320,"-","")," ",""),".",""))</f>
        <v/>
      </c>
      <c r="J320" s="10" t="str">
        <f aca="false">IF($E320="","",UPPER(SUBSTITUTE($E320," ","")))</f>
        <v/>
      </c>
      <c r="K320" s="10" t="str">
        <f aca="false">IF($A320="","",$G320&amp;"|"&amp;$J320)</f>
        <v/>
      </c>
      <c r="L320" s="10" t="str">
        <f aca="false">IF($A320="","",ROW()-2)</f>
        <v/>
      </c>
      <c r="M320" s="10" t="str">
        <f aca="false">IF($A320="","",ROW())</f>
        <v/>
      </c>
    </row>
    <row r="321" customFormat="false" ht="15" hidden="false" customHeight="true" outlineLevel="0" collapsed="false">
      <c r="A321" s="8"/>
      <c r="B321" s="8"/>
      <c r="C321" s="8"/>
      <c r="D321" s="8"/>
      <c r="E321" s="8"/>
      <c r="F321" s="8"/>
      <c r="G321" s="10" t="str">
        <f aca="false">IF($A321="","",UPPER(SUBSTITUTE(SUBSTITUTE(SUBSTITUTE(SUBSTITUTE($A321," ",""),"(주)",""),"주식회사",""),"㈜","")))</f>
        <v/>
      </c>
      <c r="H321" s="10" t="str">
        <f aca="false">IF($B321="","",SUBSTITUTE(SUBSTITUTE(SUBSTITUTE($B321,"-","")," ",""),".",""))</f>
        <v/>
      </c>
      <c r="I321" s="10" t="str">
        <f aca="false">IF($D321="","",SUBSTITUTE(SUBSTITUTE(SUBSTITUTE($D321,"-","")," ",""),".",""))</f>
        <v/>
      </c>
      <c r="J321" s="10" t="str">
        <f aca="false">IF($E321="","",UPPER(SUBSTITUTE($E321," ","")))</f>
        <v/>
      </c>
      <c r="K321" s="10" t="str">
        <f aca="false">IF($A321="","",$G321&amp;"|"&amp;$J321)</f>
        <v/>
      </c>
      <c r="L321" s="10" t="str">
        <f aca="false">IF($A321="","",ROW()-2)</f>
        <v/>
      </c>
      <c r="M321" s="10" t="str">
        <f aca="false">IF($A321="","",ROW())</f>
        <v/>
      </c>
    </row>
    <row r="322" customFormat="false" ht="15" hidden="false" customHeight="true" outlineLevel="0" collapsed="false">
      <c r="A322" s="8"/>
      <c r="B322" s="8"/>
      <c r="C322" s="8"/>
      <c r="D322" s="8"/>
      <c r="E322" s="8"/>
      <c r="F322" s="8"/>
      <c r="G322" s="10" t="str">
        <f aca="false">IF($A322="","",UPPER(SUBSTITUTE(SUBSTITUTE(SUBSTITUTE(SUBSTITUTE($A322," ",""),"(주)",""),"주식회사",""),"㈜","")))</f>
        <v/>
      </c>
      <c r="H322" s="10" t="str">
        <f aca="false">IF($B322="","",SUBSTITUTE(SUBSTITUTE(SUBSTITUTE($B322,"-","")," ",""),".",""))</f>
        <v/>
      </c>
      <c r="I322" s="10" t="str">
        <f aca="false">IF($D322="","",SUBSTITUTE(SUBSTITUTE(SUBSTITUTE($D322,"-","")," ",""),".",""))</f>
        <v/>
      </c>
      <c r="J322" s="10" t="str">
        <f aca="false">IF($E322="","",UPPER(SUBSTITUTE($E322," ","")))</f>
        <v/>
      </c>
      <c r="K322" s="10" t="str">
        <f aca="false">IF($A322="","",$G322&amp;"|"&amp;$J322)</f>
        <v/>
      </c>
      <c r="L322" s="10" t="str">
        <f aca="false">IF($A322="","",ROW()-2)</f>
        <v/>
      </c>
      <c r="M322" s="10" t="str">
        <f aca="false">IF($A322="","",ROW())</f>
        <v/>
      </c>
    </row>
    <row r="323" customFormat="false" ht="15" hidden="false" customHeight="true" outlineLevel="0" collapsed="false">
      <c r="A323" s="8"/>
      <c r="B323" s="8"/>
      <c r="C323" s="8"/>
      <c r="D323" s="8"/>
      <c r="E323" s="8"/>
      <c r="F323" s="8"/>
      <c r="G323" s="10" t="str">
        <f aca="false">IF($A323="","",UPPER(SUBSTITUTE(SUBSTITUTE(SUBSTITUTE(SUBSTITUTE($A323," ",""),"(주)",""),"주식회사",""),"㈜","")))</f>
        <v/>
      </c>
      <c r="H323" s="10" t="str">
        <f aca="false">IF($B323="","",SUBSTITUTE(SUBSTITUTE(SUBSTITUTE($B323,"-","")," ",""),".",""))</f>
        <v/>
      </c>
      <c r="I323" s="10" t="str">
        <f aca="false">IF($D323="","",SUBSTITUTE(SUBSTITUTE(SUBSTITUTE($D323,"-","")," ",""),".",""))</f>
        <v/>
      </c>
      <c r="J323" s="10" t="str">
        <f aca="false">IF($E323="","",UPPER(SUBSTITUTE($E323," ","")))</f>
        <v/>
      </c>
      <c r="K323" s="10" t="str">
        <f aca="false">IF($A323="","",$G323&amp;"|"&amp;$J323)</f>
        <v/>
      </c>
      <c r="L323" s="10" t="str">
        <f aca="false">IF($A323="","",ROW()-2)</f>
        <v/>
      </c>
      <c r="M323" s="10" t="str">
        <f aca="false">IF($A323="","",ROW())</f>
        <v/>
      </c>
    </row>
    <row r="324" customFormat="false" ht="15" hidden="false" customHeight="true" outlineLevel="0" collapsed="false">
      <c r="A324" s="8"/>
      <c r="B324" s="8"/>
      <c r="C324" s="8"/>
      <c r="D324" s="8"/>
      <c r="E324" s="8"/>
      <c r="F324" s="8"/>
      <c r="G324" s="10" t="str">
        <f aca="false">IF($A324="","",UPPER(SUBSTITUTE(SUBSTITUTE(SUBSTITUTE(SUBSTITUTE($A324," ",""),"(주)",""),"주식회사",""),"㈜","")))</f>
        <v/>
      </c>
      <c r="H324" s="10" t="str">
        <f aca="false">IF($B324="","",SUBSTITUTE(SUBSTITUTE(SUBSTITUTE($B324,"-","")," ",""),".",""))</f>
        <v/>
      </c>
      <c r="I324" s="10" t="str">
        <f aca="false">IF($D324="","",SUBSTITUTE(SUBSTITUTE(SUBSTITUTE($D324,"-","")," ",""),".",""))</f>
        <v/>
      </c>
      <c r="J324" s="10" t="str">
        <f aca="false">IF($E324="","",UPPER(SUBSTITUTE($E324," ","")))</f>
        <v/>
      </c>
      <c r="K324" s="10" t="str">
        <f aca="false">IF($A324="","",$G324&amp;"|"&amp;$J324)</f>
        <v/>
      </c>
      <c r="L324" s="10" t="str">
        <f aca="false">IF($A324="","",ROW()-2)</f>
        <v/>
      </c>
      <c r="M324" s="10" t="str">
        <f aca="false">IF($A324="","",ROW())</f>
        <v/>
      </c>
    </row>
    <row r="325" customFormat="false" ht="15" hidden="false" customHeight="true" outlineLevel="0" collapsed="false">
      <c r="A325" s="8"/>
      <c r="B325" s="8"/>
      <c r="C325" s="8"/>
      <c r="D325" s="8"/>
      <c r="E325" s="8"/>
      <c r="F325" s="8"/>
      <c r="G325" s="10" t="str">
        <f aca="false">IF($A325="","",UPPER(SUBSTITUTE(SUBSTITUTE(SUBSTITUTE(SUBSTITUTE($A325," ",""),"(주)",""),"주식회사",""),"㈜","")))</f>
        <v/>
      </c>
      <c r="H325" s="10" t="str">
        <f aca="false">IF($B325="","",SUBSTITUTE(SUBSTITUTE(SUBSTITUTE($B325,"-","")," ",""),".",""))</f>
        <v/>
      </c>
      <c r="I325" s="10" t="str">
        <f aca="false">IF($D325="","",SUBSTITUTE(SUBSTITUTE(SUBSTITUTE($D325,"-","")," ",""),".",""))</f>
        <v/>
      </c>
      <c r="J325" s="10" t="str">
        <f aca="false">IF($E325="","",UPPER(SUBSTITUTE($E325," ","")))</f>
        <v/>
      </c>
      <c r="K325" s="10" t="str">
        <f aca="false">IF($A325="","",$G325&amp;"|"&amp;$J325)</f>
        <v/>
      </c>
      <c r="L325" s="10" t="str">
        <f aca="false">IF($A325="","",ROW()-2)</f>
        <v/>
      </c>
      <c r="M325" s="10" t="str">
        <f aca="false">IF($A325="","",ROW())</f>
        <v/>
      </c>
    </row>
    <row r="326" customFormat="false" ht="15" hidden="false" customHeight="true" outlineLevel="0" collapsed="false">
      <c r="A326" s="8"/>
      <c r="B326" s="8"/>
      <c r="C326" s="8"/>
      <c r="D326" s="8"/>
      <c r="E326" s="8"/>
      <c r="F326" s="8"/>
      <c r="G326" s="10" t="str">
        <f aca="false">IF($A326="","",UPPER(SUBSTITUTE(SUBSTITUTE(SUBSTITUTE(SUBSTITUTE($A326," ",""),"(주)",""),"주식회사",""),"㈜","")))</f>
        <v/>
      </c>
      <c r="H326" s="10" t="str">
        <f aca="false">IF($B326="","",SUBSTITUTE(SUBSTITUTE(SUBSTITUTE($B326,"-","")," ",""),".",""))</f>
        <v/>
      </c>
      <c r="I326" s="10" t="str">
        <f aca="false">IF($D326="","",SUBSTITUTE(SUBSTITUTE(SUBSTITUTE($D326,"-","")," ",""),".",""))</f>
        <v/>
      </c>
      <c r="J326" s="10" t="str">
        <f aca="false">IF($E326="","",UPPER(SUBSTITUTE($E326," ","")))</f>
        <v/>
      </c>
      <c r="K326" s="10" t="str">
        <f aca="false">IF($A326="","",$G326&amp;"|"&amp;$J326)</f>
        <v/>
      </c>
      <c r="L326" s="10" t="str">
        <f aca="false">IF($A326="","",ROW()-2)</f>
        <v/>
      </c>
      <c r="M326" s="10" t="str">
        <f aca="false">IF($A326="","",ROW())</f>
        <v/>
      </c>
    </row>
    <row r="327" customFormat="false" ht="15" hidden="false" customHeight="true" outlineLevel="0" collapsed="false">
      <c r="A327" s="8"/>
      <c r="B327" s="8"/>
      <c r="C327" s="8"/>
      <c r="D327" s="8"/>
      <c r="E327" s="8"/>
      <c r="F327" s="8"/>
      <c r="G327" s="10" t="str">
        <f aca="false">IF($A327="","",UPPER(SUBSTITUTE(SUBSTITUTE(SUBSTITUTE(SUBSTITUTE($A327," ",""),"(주)",""),"주식회사",""),"㈜","")))</f>
        <v/>
      </c>
      <c r="H327" s="10" t="str">
        <f aca="false">IF($B327="","",SUBSTITUTE(SUBSTITUTE(SUBSTITUTE($B327,"-","")," ",""),".",""))</f>
        <v/>
      </c>
      <c r="I327" s="10" t="str">
        <f aca="false">IF($D327="","",SUBSTITUTE(SUBSTITUTE(SUBSTITUTE($D327,"-","")," ",""),".",""))</f>
        <v/>
      </c>
      <c r="J327" s="10" t="str">
        <f aca="false">IF($E327="","",UPPER(SUBSTITUTE($E327," ","")))</f>
        <v/>
      </c>
      <c r="K327" s="10" t="str">
        <f aca="false">IF($A327="","",$G327&amp;"|"&amp;$J327)</f>
        <v/>
      </c>
      <c r="L327" s="10" t="str">
        <f aca="false">IF($A327="","",ROW()-2)</f>
        <v/>
      </c>
      <c r="M327" s="10" t="str">
        <f aca="false">IF($A327="","",ROW())</f>
        <v/>
      </c>
    </row>
    <row r="328" customFormat="false" ht="15" hidden="false" customHeight="true" outlineLevel="0" collapsed="false">
      <c r="A328" s="8"/>
      <c r="B328" s="8"/>
      <c r="C328" s="8"/>
      <c r="D328" s="8"/>
      <c r="E328" s="8"/>
      <c r="F328" s="8"/>
      <c r="G328" s="10" t="str">
        <f aca="false">IF($A328="","",UPPER(SUBSTITUTE(SUBSTITUTE(SUBSTITUTE(SUBSTITUTE($A328," ",""),"(주)",""),"주식회사",""),"㈜","")))</f>
        <v/>
      </c>
      <c r="H328" s="10" t="str">
        <f aca="false">IF($B328="","",SUBSTITUTE(SUBSTITUTE(SUBSTITUTE($B328,"-","")," ",""),".",""))</f>
        <v/>
      </c>
      <c r="I328" s="10" t="str">
        <f aca="false">IF($D328="","",SUBSTITUTE(SUBSTITUTE(SUBSTITUTE($D328,"-","")," ",""),".",""))</f>
        <v/>
      </c>
      <c r="J328" s="10" t="str">
        <f aca="false">IF($E328="","",UPPER(SUBSTITUTE($E328," ","")))</f>
        <v/>
      </c>
      <c r="K328" s="10" t="str">
        <f aca="false">IF($A328="","",$G328&amp;"|"&amp;$J328)</f>
        <v/>
      </c>
      <c r="L328" s="10" t="str">
        <f aca="false">IF($A328="","",ROW()-2)</f>
        <v/>
      </c>
      <c r="M328" s="10" t="str">
        <f aca="false">IF($A328="","",ROW())</f>
        <v/>
      </c>
    </row>
    <row r="329" customFormat="false" ht="15" hidden="false" customHeight="true" outlineLevel="0" collapsed="false">
      <c r="A329" s="8"/>
      <c r="B329" s="8"/>
      <c r="C329" s="8"/>
      <c r="D329" s="8"/>
      <c r="E329" s="8"/>
      <c r="F329" s="8"/>
      <c r="G329" s="10" t="str">
        <f aca="false">IF($A329="","",UPPER(SUBSTITUTE(SUBSTITUTE(SUBSTITUTE(SUBSTITUTE($A329," ",""),"(주)",""),"주식회사",""),"㈜","")))</f>
        <v/>
      </c>
      <c r="H329" s="10" t="str">
        <f aca="false">IF($B329="","",SUBSTITUTE(SUBSTITUTE(SUBSTITUTE($B329,"-","")," ",""),".",""))</f>
        <v/>
      </c>
      <c r="I329" s="10" t="str">
        <f aca="false">IF($D329="","",SUBSTITUTE(SUBSTITUTE(SUBSTITUTE($D329,"-","")," ",""),".",""))</f>
        <v/>
      </c>
      <c r="J329" s="10" t="str">
        <f aca="false">IF($E329="","",UPPER(SUBSTITUTE($E329," ","")))</f>
        <v/>
      </c>
      <c r="K329" s="10" t="str">
        <f aca="false">IF($A329="","",$G329&amp;"|"&amp;$J329)</f>
        <v/>
      </c>
      <c r="L329" s="10" t="str">
        <f aca="false">IF($A329="","",ROW()-2)</f>
        <v/>
      </c>
      <c r="M329" s="10" t="str">
        <f aca="false">IF($A329="","",ROW())</f>
        <v/>
      </c>
    </row>
    <row r="330" customFormat="false" ht="15" hidden="false" customHeight="true" outlineLevel="0" collapsed="false">
      <c r="A330" s="8"/>
      <c r="B330" s="8"/>
      <c r="C330" s="8"/>
      <c r="D330" s="8"/>
      <c r="E330" s="8"/>
      <c r="F330" s="8"/>
      <c r="G330" s="10" t="str">
        <f aca="false">IF($A330="","",UPPER(SUBSTITUTE(SUBSTITUTE(SUBSTITUTE(SUBSTITUTE($A330," ",""),"(주)",""),"주식회사",""),"㈜","")))</f>
        <v/>
      </c>
      <c r="H330" s="10" t="str">
        <f aca="false">IF($B330="","",SUBSTITUTE(SUBSTITUTE(SUBSTITUTE($B330,"-","")," ",""),".",""))</f>
        <v/>
      </c>
      <c r="I330" s="10" t="str">
        <f aca="false">IF($D330="","",SUBSTITUTE(SUBSTITUTE(SUBSTITUTE($D330,"-","")," ",""),".",""))</f>
        <v/>
      </c>
      <c r="J330" s="10" t="str">
        <f aca="false">IF($E330="","",UPPER(SUBSTITUTE($E330," ","")))</f>
        <v/>
      </c>
      <c r="K330" s="10" t="str">
        <f aca="false">IF($A330="","",$G330&amp;"|"&amp;$J330)</f>
        <v/>
      </c>
      <c r="L330" s="10" t="str">
        <f aca="false">IF($A330="","",ROW()-2)</f>
        <v/>
      </c>
      <c r="M330" s="10" t="str">
        <f aca="false">IF($A330="","",ROW())</f>
        <v/>
      </c>
    </row>
    <row r="331" customFormat="false" ht="15" hidden="false" customHeight="true" outlineLevel="0" collapsed="false">
      <c r="A331" s="8"/>
      <c r="B331" s="8"/>
      <c r="C331" s="8"/>
      <c r="D331" s="8"/>
      <c r="E331" s="8"/>
      <c r="F331" s="8"/>
      <c r="G331" s="10" t="str">
        <f aca="false">IF($A331="","",UPPER(SUBSTITUTE(SUBSTITUTE(SUBSTITUTE(SUBSTITUTE($A331," ",""),"(주)",""),"주식회사",""),"㈜","")))</f>
        <v/>
      </c>
      <c r="H331" s="10" t="str">
        <f aca="false">IF($B331="","",SUBSTITUTE(SUBSTITUTE(SUBSTITUTE($B331,"-","")," ",""),".",""))</f>
        <v/>
      </c>
      <c r="I331" s="10" t="str">
        <f aca="false">IF($D331="","",SUBSTITUTE(SUBSTITUTE(SUBSTITUTE($D331,"-","")," ",""),".",""))</f>
        <v/>
      </c>
      <c r="J331" s="10" t="str">
        <f aca="false">IF($E331="","",UPPER(SUBSTITUTE($E331," ","")))</f>
        <v/>
      </c>
      <c r="K331" s="10" t="str">
        <f aca="false">IF($A331="","",$G331&amp;"|"&amp;$J331)</f>
        <v/>
      </c>
      <c r="L331" s="10" t="str">
        <f aca="false">IF($A331="","",ROW()-2)</f>
        <v/>
      </c>
      <c r="M331" s="10" t="str">
        <f aca="false">IF($A331="","",ROW())</f>
        <v/>
      </c>
    </row>
    <row r="332" customFormat="false" ht="15" hidden="false" customHeight="true" outlineLevel="0" collapsed="false">
      <c r="A332" s="8"/>
      <c r="B332" s="8"/>
      <c r="C332" s="8"/>
      <c r="D332" s="8"/>
      <c r="E332" s="8"/>
      <c r="F332" s="8"/>
      <c r="G332" s="10" t="str">
        <f aca="false">IF($A332="","",UPPER(SUBSTITUTE(SUBSTITUTE(SUBSTITUTE(SUBSTITUTE($A332," ",""),"(주)",""),"주식회사",""),"㈜","")))</f>
        <v/>
      </c>
      <c r="H332" s="10" t="str">
        <f aca="false">IF($B332="","",SUBSTITUTE(SUBSTITUTE(SUBSTITUTE($B332,"-","")," ",""),".",""))</f>
        <v/>
      </c>
      <c r="I332" s="10" t="str">
        <f aca="false">IF($D332="","",SUBSTITUTE(SUBSTITUTE(SUBSTITUTE($D332,"-","")," ",""),".",""))</f>
        <v/>
      </c>
      <c r="J332" s="10" t="str">
        <f aca="false">IF($E332="","",UPPER(SUBSTITUTE($E332," ","")))</f>
        <v/>
      </c>
      <c r="K332" s="10" t="str">
        <f aca="false">IF($A332="","",$G332&amp;"|"&amp;$J332)</f>
        <v/>
      </c>
      <c r="L332" s="10" t="str">
        <f aca="false">IF($A332="","",ROW()-2)</f>
        <v/>
      </c>
      <c r="M332" s="10" t="str">
        <f aca="false">IF($A332="","",ROW())</f>
        <v/>
      </c>
    </row>
    <row r="333" customFormat="false" ht="15" hidden="false" customHeight="true" outlineLevel="0" collapsed="false">
      <c r="A333" s="8"/>
      <c r="B333" s="8"/>
      <c r="C333" s="8"/>
      <c r="D333" s="8"/>
      <c r="E333" s="8"/>
      <c r="F333" s="8"/>
      <c r="G333" s="10" t="str">
        <f aca="false">IF($A333="","",UPPER(SUBSTITUTE(SUBSTITUTE(SUBSTITUTE(SUBSTITUTE($A333," ",""),"(주)",""),"주식회사",""),"㈜","")))</f>
        <v/>
      </c>
      <c r="H333" s="10" t="str">
        <f aca="false">IF($B333="","",SUBSTITUTE(SUBSTITUTE(SUBSTITUTE($B333,"-","")," ",""),".",""))</f>
        <v/>
      </c>
      <c r="I333" s="10" t="str">
        <f aca="false">IF($D333="","",SUBSTITUTE(SUBSTITUTE(SUBSTITUTE($D333,"-","")," ",""),".",""))</f>
        <v/>
      </c>
      <c r="J333" s="10" t="str">
        <f aca="false">IF($E333="","",UPPER(SUBSTITUTE($E333," ","")))</f>
        <v/>
      </c>
      <c r="K333" s="10" t="str">
        <f aca="false">IF($A333="","",$G333&amp;"|"&amp;$J333)</f>
        <v/>
      </c>
      <c r="L333" s="10" t="str">
        <f aca="false">IF($A333="","",ROW()-2)</f>
        <v/>
      </c>
      <c r="M333" s="10" t="str">
        <f aca="false">IF($A333="","",ROW())</f>
        <v/>
      </c>
    </row>
    <row r="334" customFormat="false" ht="15" hidden="false" customHeight="true" outlineLevel="0" collapsed="false">
      <c r="A334" s="8"/>
      <c r="B334" s="8"/>
      <c r="C334" s="8"/>
      <c r="D334" s="8"/>
      <c r="E334" s="8"/>
      <c r="F334" s="8"/>
      <c r="G334" s="10" t="str">
        <f aca="false">IF($A334="","",UPPER(SUBSTITUTE(SUBSTITUTE(SUBSTITUTE(SUBSTITUTE($A334," ",""),"(주)",""),"주식회사",""),"㈜","")))</f>
        <v/>
      </c>
      <c r="H334" s="10" t="str">
        <f aca="false">IF($B334="","",SUBSTITUTE(SUBSTITUTE(SUBSTITUTE($B334,"-","")," ",""),".",""))</f>
        <v/>
      </c>
      <c r="I334" s="10" t="str">
        <f aca="false">IF($D334="","",SUBSTITUTE(SUBSTITUTE(SUBSTITUTE($D334,"-","")," ",""),".",""))</f>
        <v/>
      </c>
      <c r="J334" s="10" t="str">
        <f aca="false">IF($E334="","",UPPER(SUBSTITUTE($E334," ","")))</f>
        <v/>
      </c>
      <c r="K334" s="10" t="str">
        <f aca="false">IF($A334="","",$G334&amp;"|"&amp;$J334)</f>
        <v/>
      </c>
      <c r="L334" s="10" t="str">
        <f aca="false">IF($A334="","",ROW()-2)</f>
        <v/>
      </c>
      <c r="M334" s="10" t="str">
        <f aca="false">IF($A334="","",ROW())</f>
        <v/>
      </c>
    </row>
    <row r="335" customFormat="false" ht="15" hidden="false" customHeight="true" outlineLevel="0" collapsed="false">
      <c r="A335" s="8"/>
      <c r="B335" s="8"/>
      <c r="C335" s="8"/>
      <c r="D335" s="8"/>
      <c r="E335" s="8"/>
      <c r="F335" s="8"/>
      <c r="G335" s="10" t="str">
        <f aca="false">IF($A335="","",UPPER(SUBSTITUTE(SUBSTITUTE(SUBSTITUTE(SUBSTITUTE($A335," ",""),"(주)",""),"주식회사",""),"㈜","")))</f>
        <v/>
      </c>
      <c r="H335" s="10" t="str">
        <f aca="false">IF($B335="","",SUBSTITUTE(SUBSTITUTE(SUBSTITUTE($B335,"-","")," ",""),".",""))</f>
        <v/>
      </c>
      <c r="I335" s="10" t="str">
        <f aca="false">IF($D335="","",SUBSTITUTE(SUBSTITUTE(SUBSTITUTE($D335,"-","")," ",""),".",""))</f>
        <v/>
      </c>
      <c r="J335" s="10" t="str">
        <f aca="false">IF($E335="","",UPPER(SUBSTITUTE($E335," ","")))</f>
        <v/>
      </c>
      <c r="K335" s="10" t="str">
        <f aca="false">IF($A335="","",$G335&amp;"|"&amp;$J335)</f>
        <v/>
      </c>
      <c r="L335" s="10" t="str">
        <f aca="false">IF($A335="","",ROW()-2)</f>
        <v/>
      </c>
      <c r="M335" s="10" t="str">
        <f aca="false">IF($A335="","",ROW())</f>
        <v/>
      </c>
    </row>
    <row r="336" customFormat="false" ht="15" hidden="false" customHeight="true" outlineLevel="0" collapsed="false">
      <c r="A336" s="8"/>
      <c r="B336" s="8"/>
      <c r="C336" s="8"/>
      <c r="D336" s="8"/>
      <c r="E336" s="8"/>
      <c r="F336" s="8"/>
      <c r="G336" s="10" t="str">
        <f aca="false">IF($A336="","",UPPER(SUBSTITUTE(SUBSTITUTE(SUBSTITUTE(SUBSTITUTE($A336," ",""),"(주)",""),"주식회사",""),"㈜","")))</f>
        <v/>
      </c>
      <c r="H336" s="10" t="str">
        <f aca="false">IF($B336="","",SUBSTITUTE(SUBSTITUTE(SUBSTITUTE($B336,"-","")," ",""),".",""))</f>
        <v/>
      </c>
      <c r="I336" s="10" t="str">
        <f aca="false">IF($D336="","",SUBSTITUTE(SUBSTITUTE(SUBSTITUTE($D336,"-","")," ",""),".",""))</f>
        <v/>
      </c>
      <c r="J336" s="10" t="str">
        <f aca="false">IF($E336="","",UPPER(SUBSTITUTE($E336," ","")))</f>
        <v/>
      </c>
      <c r="K336" s="10" t="str">
        <f aca="false">IF($A336="","",$G336&amp;"|"&amp;$J336)</f>
        <v/>
      </c>
      <c r="L336" s="10" t="str">
        <f aca="false">IF($A336="","",ROW()-2)</f>
        <v/>
      </c>
      <c r="M336" s="10" t="str">
        <f aca="false">IF($A336="","",ROW())</f>
        <v/>
      </c>
    </row>
    <row r="337" customFormat="false" ht="15" hidden="false" customHeight="true" outlineLevel="0" collapsed="false">
      <c r="A337" s="8"/>
      <c r="B337" s="8"/>
      <c r="C337" s="8"/>
      <c r="D337" s="8"/>
      <c r="E337" s="8"/>
      <c r="F337" s="8"/>
      <c r="G337" s="10" t="str">
        <f aca="false">IF($A337="","",UPPER(SUBSTITUTE(SUBSTITUTE(SUBSTITUTE(SUBSTITUTE($A337," ",""),"(주)",""),"주식회사",""),"㈜","")))</f>
        <v/>
      </c>
      <c r="H337" s="10" t="str">
        <f aca="false">IF($B337="","",SUBSTITUTE(SUBSTITUTE(SUBSTITUTE($B337,"-","")," ",""),".",""))</f>
        <v/>
      </c>
      <c r="I337" s="10" t="str">
        <f aca="false">IF($D337="","",SUBSTITUTE(SUBSTITUTE(SUBSTITUTE($D337,"-","")," ",""),".",""))</f>
        <v/>
      </c>
      <c r="J337" s="10" t="str">
        <f aca="false">IF($E337="","",UPPER(SUBSTITUTE($E337," ","")))</f>
        <v/>
      </c>
      <c r="K337" s="10" t="str">
        <f aca="false">IF($A337="","",$G337&amp;"|"&amp;$J337)</f>
        <v/>
      </c>
      <c r="L337" s="10" t="str">
        <f aca="false">IF($A337="","",ROW()-2)</f>
        <v/>
      </c>
      <c r="M337" s="10" t="str">
        <f aca="false">IF($A337="","",ROW())</f>
        <v/>
      </c>
    </row>
    <row r="338" customFormat="false" ht="15" hidden="false" customHeight="true" outlineLevel="0" collapsed="false">
      <c r="A338" s="8"/>
      <c r="B338" s="8"/>
      <c r="C338" s="8"/>
      <c r="D338" s="8"/>
      <c r="E338" s="8"/>
      <c r="F338" s="8"/>
      <c r="G338" s="10" t="str">
        <f aca="false">IF($A338="","",UPPER(SUBSTITUTE(SUBSTITUTE(SUBSTITUTE(SUBSTITUTE($A338," ",""),"(주)",""),"주식회사",""),"㈜","")))</f>
        <v/>
      </c>
      <c r="H338" s="10" t="str">
        <f aca="false">IF($B338="","",SUBSTITUTE(SUBSTITUTE(SUBSTITUTE($B338,"-","")," ",""),".",""))</f>
        <v/>
      </c>
      <c r="I338" s="10" t="str">
        <f aca="false">IF($D338="","",SUBSTITUTE(SUBSTITUTE(SUBSTITUTE($D338,"-","")," ",""),".",""))</f>
        <v/>
      </c>
      <c r="J338" s="10" t="str">
        <f aca="false">IF($E338="","",UPPER(SUBSTITUTE($E338," ","")))</f>
        <v/>
      </c>
      <c r="K338" s="10" t="str">
        <f aca="false">IF($A338="","",$G338&amp;"|"&amp;$J338)</f>
        <v/>
      </c>
      <c r="L338" s="10" t="str">
        <f aca="false">IF($A338="","",ROW()-2)</f>
        <v/>
      </c>
      <c r="M338" s="10" t="str">
        <f aca="false">IF($A338="","",ROW())</f>
        <v/>
      </c>
    </row>
    <row r="339" customFormat="false" ht="15" hidden="false" customHeight="true" outlineLevel="0" collapsed="false">
      <c r="A339" s="8"/>
      <c r="B339" s="8"/>
      <c r="C339" s="8"/>
      <c r="D339" s="8"/>
      <c r="E339" s="8"/>
      <c r="F339" s="8"/>
      <c r="G339" s="10" t="str">
        <f aca="false">IF($A339="","",UPPER(SUBSTITUTE(SUBSTITUTE(SUBSTITUTE(SUBSTITUTE($A339," ",""),"(주)",""),"주식회사",""),"㈜","")))</f>
        <v/>
      </c>
      <c r="H339" s="10" t="str">
        <f aca="false">IF($B339="","",SUBSTITUTE(SUBSTITUTE(SUBSTITUTE($B339,"-","")," ",""),".",""))</f>
        <v/>
      </c>
      <c r="I339" s="10" t="str">
        <f aca="false">IF($D339="","",SUBSTITUTE(SUBSTITUTE(SUBSTITUTE($D339,"-","")," ",""),".",""))</f>
        <v/>
      </c>
      <c r="J339" s="10" t="str">
        <f aca="false">IF($E339="","",UPPER(SUBSTITUTE($E339," ","")))</f>
        <v/>
      </c>
      <c r="K339" s="10" t="str">
        <f aca="false">IF($A339="","",$G339&amp;"|"&amp;$J339)</f>
        <v/>
      </c>
      <c r="L339" s="10" t="str">
        <f aca="false">IF($A339="","",ROW()-2)</f>
        <v/>
      </c>
      <c r="M339" s="10" t="str">
        <f aca="false">IF($A339="","",ROW())</f>
        <v/>
      </c>
    </row>
    <row r="340" customFormat="false" ht="15" hidden="false" customHeight="true" outlineLevel="0" collapsed="false">
      <c r="A340" s="8"/>
      <c r="B340" s="8"/>
      <c r="C340" s="8"/>
      <c r="D340" s="8"/>
      <c r="E340" s="8"/>
      <c r="F340" s="8"/>
      <c r="G340" s="10" t="str">
        <f aca="false">IF($A340="","",UPPER(SUBSTITUTE(SUBSTITUTE(SUBSTITUTE(SUBSTITUTE($A340," ",""),"(주)",""),"주식회사",""),"㈜","")))</f>
        <v/>
      </c>
      <c r="H340" s="10" t="str">
        <f aca="false">IF($B340="","",SUBSTITUTE(SUBSTITUTE(SUBSTITUTE($B340,"-","")," ",""),".",""))</f>
        <v/>
      </c>
      <c r="I340" s="10" t="str">
        <f aca="false">IF($D340="","",SUBSTITUTE(SUBSTITUTE(SUBSTITUTE($D340,"-","")," ",""),".",""))</f>
        <v/>
      </c>
      <c r="J340" s="10" t="str">
        <f aca="false">IF($E340="","",UPPER(SUBSTITUTE($E340," ","")))</f>
        <v/>
      </c>
      <c r="K340" s="10" t="str">
        <f aca="false">IF($A340="","",$G340&amp;"|"&amp;$J340)</f>
        <v/>
      </c>
      <c r="L340" s="10" t="str">
        <f aca="false">IF($A340="","",ROW()-2)</f>
        <v/>
      </c>
      <c r="M340" s="10" t="str">
        <f aca="false">IF($A340="","",ROW())</f>
        <v/>
      </c>
    </row>
    <row r="341" customFormat="false" ht="15" hidden="false" customHeight="true" outlineLevel="0" collapsed="false">
      <c r="A341" s="8"/>
      <c r="B341" s="8"/>
      <c r="C341" s="8"/>
      <c r="D341" s="8"/>
      <c r="E341" s="8"/>
      <c r="F341" s="8"/>
      <c r="G341" s="10" t="str">
        <f aca="false">IF($A341="","",UPPER(SUBSTITUTE(SUBSTITUTE(SUBSTITUTE(SUBSTITUTE($A341," ",""),"(주)",""),"주식회사",""),"㈜","")))</f>
        <v/>
      </c>
      <c r="H341" s="10" t="str">
        <f aca="false">IF($B341="","",SUBSTITUTE(SUBSTITUTE(SUBSTITUTE($B341,"-","")," ",""),".",""))</f>
        <v/>
      </c>
      <c r="I341" s="10" t="str">
        <f aca="false">IF($D341="","",SUBSTITUTE(SUBSTITUTE(SUBSTITUTE($D341,"-","")," ",""),".",""))</f>
        <v/>
      </c>
      <c r="J341" s="10" t="str">
        <f aca="false">IF($E341="","",UPPER(SUBSTITUTE($E341," ","")))</f>
        <v/>
      </c>
      <c r="K341" s="10" t="str">
        <f aca="false">IF($A341="","",$G341&amp;"|"&amp;$J341)</f>
        <v/>
      </c>
      <c r="L341" s="10" t="str">
        <f aca="false">IF($A341="","",ROW()-2)</f>
        <v/>
      </c>
      <c r="M341" s="10" t="str">
        <f aca="false">IF($A341="","",ROW())</f>
        <v/>
      </c>
    </row>
    <row r="342" customFormat="false" ht="15" hidden="false" customHeight="true" outlineLevel="0" collapsed="false">
      <c r="A342" s="8"/>
      <c r="B342" s="8"/>
      <c r="C342" s="8"/>
      <c r="D342" s="8"/>
      <c r="E342" s="8"/>
      <c r="F342" s="8"/>
      <c r="G342" s="10" t="str">
        <f aca="false">IF($A342="","",UPPER(SUBSTITUTE(SUBSTITUTE(SUBSTITUTE(SUBSTITUTE($A342," ",""),"(주)",""),"주식회사",""),"㈜","")))</f>
        <v/>
      </c>
      <c r="H342" s="10" t="str">
        <f aca="false">IF($B342="","",SUBSTITUTE(SUBSTITUTE(SUBSTITUTE($B342,"-","")," ",""),".",""))</f>
        <v/>
      </c>
      <c r="I342" s="10" t="str">
        <f aca="false">IF($D342="","",SUBSTITUTE(SUBSTITUTE(SUBSTITUTE($D342,"-","")," ",""),".",""))</f>
        <v/>
      </c>
      <c r="J342" s="10" t="str">
        <f aca="false">IF($E342="","",UPPER(SUBSTITUTE($E342," ","")))</f>
        <v/>
      </c>
      <c r="K342" s="10" t="str">
        <f aca="false">IF($A342="","",$G342&amp;"|"&amp;$J342)</f>
        <v/>
      </c>
      <c r="L342" s="10" t="str">
        <f aca="false">IF($A342="","",ROW()-2)</f>
        <v/>
      </c>
      <c r="M342" s="10" t="str">
        <f aca="false">IF($A342="","",ROW())</f>
        <v/>
      </c>
    </row>
    <row r="343" customFormat="false" ht="15" hidden="false" customHeight="true" outlineLevel="0" collapsed="false">
      <c r="A343" s="8"/>
      <c r="B343" s="8"/>
      <c r="C343" s="8"/>
      <c r="D343" s="8"/>
      <c r="E343" s="8"/>
      <c r="F343" s="8"/>
      <c r="G343" s="10" t="str">
        <f aca="false">IF($A343="","",UPPER(SUBSTITUTE(SUBSTITUTE(SUBSTITUTE(SUBSTITUTE($A343," ",""),"(주)",""),"주식회사",""),"㈜","")))</f>
        <v/>
      </c>
      <c r="H343" s="10" t="str">
        <f aca="false">IF($B343="","",SUBSTITUTE(SUBSTITUTE(SUBSTITUTE($B343,"-","")," ",""),".",""))</f>
        <v/>
      </c>
      <c r="I343" s="10" t="str">
        <f aca="false">IF($D343="","",SUBSTITUTE(SUBSTITUTE(SUBSTITUTE($D343,"-","")," ",""),".",""))</f>
        <v/>
      </c>
      <c r="J343" s="10" t="str">
        <f aca="false">IF($E343="","",UPPER(SUBSTITUTE($E343," ","")))</f>
        <v/>
      </c>
      <c r="K343" s="10" t="str">
        <f aca="false">IF($A343="","",$G343&amp;"|"&amp;$J343)</f>
        <v/>
      </c>
      <c r="L343" s="10" t="str">
        <f aca="false">IF($A343="","",ROW()-2)</f>
        <v/>
      </c>
      <c r="M343" s="10" t="str">
        <f aca="false">IF($A343="","",ROW())</f>
        <v/>
      </c>
    </row>
    <row r="344" customFormat="false" ht="15" hidden="false" customHeight="true" outlineLevel="0" collapsed="false">
      <c r="A344" s="8"/>
      <c r="B344" s="8"/>
      <c r="C344" s="8"/>
      <c r="D344" s="8"/>
      <c r="E344" s="8"/>
      <c r="F344" s="8"/>
      <c r="G344" s="10" t="str">
        <f aca="false">IF($A344="","",UPPER(SUBSTITUTE(SUBSTITUTE(SUBSTITUTE(SUBSTITUTE($A344," ",""),"(주)",""),"주식회사",""),"㈜","")))</f>
        <v/>
      </c>
      <c r="H344" s="10" t="str">
        <f aca="false">IF($B344="","",SUBSTITUTE(SUBSTITUTE(SUBSTITUTE($B344,"-","")," ",""),".",""))</f>
        <v/>
      </c>
      <c r="I344" s="10" t="str">
        <f aca="false">IF($D344="","",SUBSTITUTE(SUBSTITUTE(SUBSTITUTE($D344,"-","")," ",""),".",""))</f>
        <v/>
      </c>
      <c r="J344" s="10" t="str">
        <f aca="false">IF($E344="","",UPPER(SUBSTITUTE($E344," ","")))</f>
        <v/>
      </c>
      <c r="K344" s="10" t="str">
        <f aca="false">IF($A344="","",$G344&amp;"|"&amp;$J344)</f>
        <v/>
      </c>
      <c r="L344" s="10" t="str">
        <f aca="false">IF($A344="","",ROW()-2)</f>
        <v/>
      </c>
      <c r="M344" s="10" t="str">
        <f aca="false">IF($A344="","",ROW())</f>
        <v/>
      </c>
    </row>
    <row r="345" customFormat="false" ht="15" hidden="false" customHeight="true" outlineLevel="0" collapsed="false">
      <c r="A345" s="8"/>
      <c r="B345" s="8"/>
      <c r="C345" s="8"/>
      <c r="D345" s="8"/>
      <c r="E345" s="8"/>
      <c r="F345" s="8"/>
      <c r="G345" s="10" t="str">
        <f aca="false">IF($A345="","",UPPER(SUBSTITUTE(SUBSTITUTE(SUBSTITUTE(SUBSTITUTE($A345," ",""),"(주)",""),"주식회사",""),"㈜","")))</f>
        <v/>
      </c>
      <c r="H345" s="10" t="str">
        <f aca="false">IF($B345="","",SUBSTITUTE(SUBSTITUTE(SUBSTITUTE($B345,"-","")," ",""),".",""))</f>
        <v/>
      </c>
      <c r="I345" s="10" t="str">
        <f aca="false">IF($D345="","",SUBSTITUTE(SUBSTITUTE(SUBSTITUTE($D345,"-","")," ",""),".",""))</f>
        <v/>
      </c>
      <c r="J345" s="10" t="str">
        <f aca="false">IF($E345="","",UPPER(SUBSTITUTE($E345," ","")))</f>
        <v/>
      </c>
      <c r="K345" s="10" t="str">
        <f aca="false">IF($A345="","",$G345&amp;"|"&amp;$J345)</f>
        <v/>
      </c>
      <c r="L345" s="10" t="str">
        <f aca="false">IF($A345="","",ROW()-2)</f>
        <v/>
      </c>
      <c r="M345" s="10" t="str">
        <f aca="false">IF($A345="","",ROW())</f>
        <v/>
      </c>
    </row>
    <row r="346" customFormat="false" ht="15" hidden="false" customHeight="true" outlineLevel="0" collapsed="false">
      <c r="A346" s="8"/>
      <c r="B346" s="8"/>
      <c r="C346" s="8"/>
      <c r="D346" s="8"/>
      <c r="E346" s="8"/>
      <c r="F346" s="8"/>
      <c r="G346" s="10" t="str">
        <f aca="false">IF($A346="","",UPPER(SUBSTITUTE(SUBSTITUTE(SUBSTITUTE(SUBSTITUTE($A346," ",""),"(주)",""),"주식회사",""),"㈜","")))</f>
        <v/>
      </c>
      <c r="H346" s="10" t="str">
        <f aca="false">IF($B346="","",SUBSTITUTE(SUBSTITUTE(SUBSTITUTE($B346,"-","")," ",""),".",""))</f>
        <v/>
      </c>
      <c r="I346" s="10" t="str">
        <f aca="false">IF($D346="","",SUBSTITUTE(SUBSTITUTE(SUBSTITUTE($D346,"-","")," ",""),".",""))</f>
        <v/>
      </c>
      <c r="J346" s="10" t="str">
        <f aca="false">IF($E346="","",UPPER(SUBSTITUTE($E346," ","")))</f>
        <v/>
      </c>
      <c r="K346" s="10" t="str">
        <f aca="false">IF($A346="","",$G346&amp;"|"&amp;$J346)</f>
        <v/>
      </c>
      <c r="L346" s="10" t="str">
        <f aca="false">IF($A346="","",ROW()-2)</f>
        <v/>
      </c>
      <c r="M346" s="10" t="str">
        <f aca="false">IF($A346="","",ROW())</f>
        <v/>
      </c>
    </row>
    <row r="347" customFormat="false" ht="15" hidden="false" customHeight="true" outlineLevel="0" collapsed="false">
      <c r="A347" s="8"/>
      <c r="B347" s="8"/>
      <c r="C347" s="8"/>
      <c r="D347" s="8"/>
      <c r="E347" s="8"/>
      <c r="F347" s="8"/>
      <c r="G347" s="10" t="str">
        <f aca="false">IF($A347="","",UPPER(SUBSTITUTE(SUBSTITUTE(SUBSTITUTE(SUBSTITUTE($A347," ",""),"(주)",""),"주식회사",""),"㈜","")))</f>
        <v/>
      </c>
      <c r="H347" s="10" t="str">
        <f aca="false">IF($B347="","",SUBSTITUTE(SUBSTITUTE(SUBSTITUTE($B347,"-","")," ",""),".",""))</f>
        <v/>
      </c>
      <c r="I347" s="10" t="str">
        <f aca="false">IF($D347="","",SUBSTITUTE(SUBSTITUTE(SUBSTITUTE($D347,"-","")," ",""),".",""))</f>
        <v/>
      </c>
      <c r="J347" s="10" t="str">
        <f aca="false">IF($E347="","",UPPER(SUBSTITUTE($E347," ","")))</f>
        <v/>
      </c>
      <c r="K347" s="10" t="str">
        <f aca="false">IF($A347="","",$G347&amp;"|"&amp;$J347)</f>
        <v/>
      </c>
      <c r="L347" s="10" t="str">
        <f aca="false">IF($A347="","",ROW()-2)</f>
        <v/>
      </c>
      <c r="M347" s="10" t="str">
        <f aca="false">IF($A347="","",ROW())</f>
        <v/>
      </c>
    </row>
    <row r="348" customFormat="false" ht="15" hidden="false" customHeight="true" outlineLevel="0" collapsed="false">
      <c r="A348" s="8"/>
      <c r="B348" s="8"/>
      <c r="C348" s="8"/>
      <c r="D348" s="8"/>
      <c r="E348" s="8"/>
      <c r="F348" s="8"/>
      <c r="G348" s="10" t="str">
        <f aca="false">IF($A348="","",UPPER(SUBSTITUTE(SUBSTITUTE(SUBSTITUTE(SUBSTITUTE($A348," ",""),"(주)",""),"주식회사",""),"㈜","")))</f>
        <v/>
      </c>
      <c r="H348" s="10" t="str">
        <f aca="false">IF($B348="","",SUBSTITUTE(SUBSTITUTE(SUBSTITUTE($B348,"-","")," ",""),".",""))</f>
        <v/>
      </c>
      <c r="I348" s="10" t="str">
        <f aca="false">IF($D348="","",SUBSTITUTE(SUBSTITUTE(SUBSTITUTE($D348,"-","")," ",""),".",""))</f>
        <v/>
      </c>
      <c r="J348" s="10" t="str">
        <f aca="false">IF($E348="","",UPPER(SUBSTITUTE($E348," ","")))</f>
        <v/>
      </c>
      <c r="K348" s="10" t="str">
        <f aca="false">IF($A348="","",$G348&amp;"|"&amp;$J348)</f>
        <v/>
      </c>
      <c r="L348" s="10" t="str">
        <f aca="false">IF($A348="","",ROW()-2)</f>
        <v/>
      </c>
      <c r="M348" s="10" t="str">
        <f aca="false">IF($A348="","",ROW())</f>
        <v/>
      </c>
    </row>
    <row r="349" customFormat="false" ht="15" hidden="false" customHeight="true" outlineLevel="0" collapsed="false">
      <c r="A349" s="8"/>
      <c r="B349" s="8"/>
      <c r="C349" s="8"/>
      <c r="D349" s="8"/>
      <c r="E349" s="8"/>
      <c r="F349" s="8"/>
      <c r="G349" s="10" t="str">
        <f aca="false">IF($A349="","",UPPER(SUBSTITUTE(SUBSTITUTE(SUBSTITUTE(SUBSTITUTE($A349," ",""),"(주)",""),"주식회사",""),"㈜","")))</f>
        <v/>
      </c>
      <c r="H349" s="10" t="str">
        <f aca="false">IF($B349="","",SUBSTITUTE(SUBSTITUTE(SUBSTITUTE($B349,"-","")," ",""),".",""))</f>
        <v/>
      </c>
      <c r="I349" s="10" t="str">
        <f aca="false">IF($D349="","",SUBSTITUTE(SUBSTITUTE(SUBSTITUTE($D349,"-","")," ",""),".",""))</f>
        <v/>
      </c>
      <c r="J349" s="10" t="str">
        <f aca="false">IF($E349="","",UPPER(SUBSTITUTE($E349," ","")))</f>
        <v/>
      </c>
      <c r="K349" s="10" t="str">
        <f aca="false">IF($A349="","",$G349&amp;"|"&amp;$J349)</f>
        <v/>
      </c>
      <c r="L349" s="10" t="str">
        <f aca="false">IF($A349="","",ROW()-2)</f>
        <v/>
      </c>
      <c r="M349" s="10" t="str">
        <f aca="false">IF($A349="","",ROW())</f>
        <v/>
      </c>
    </row>
    <row r="350" customFormat="false" ht="15" hidden="false" customHeight="true" outlineLevel="0" collapsed="false">
      <c r="A350" s="8"/>
      <c r="B350" s="8"/>
      <c r="C350" s="8"/>
      <c r="D350" s="8"/>
      <c r="E350" s="8"/>
      <c r="F350" s="8"/>
      <c r="G350" s="10" t="str">
        <f aca="false">IF($A350="","",UPPER(SUBSTITUTE(SUBSTITUTE(SUBSTITUTE(SUBSTITUTE($A350," ",""),"(주)",""),"주식회사",""),"㈜","")))</f>
        <v/>
      </c>
      <c r="H350" s="10" t="str">
        <f aca="false">IF($B350="","",SUBSTITUTE(SUBSTITUTE(SUBSTITUTE($B350,"-","")," ",""),".",""))</f>
        <v/>
      </c>
      <c r="I350" s="10" t="str">
        <f aca="false">IF($D350="","",SUBSTITUTE(SUBSTITUTE(SUBSTITUTE($D350,"-","")," ",""),".",""))</f>
        <v/>
      </c>
      <c r="J350" s="10" t="str">
        <f aca="false">IF($E350="","",UPPER(SUBSTITUTE($E350," ","")))</f>
        <v/>
      </c>
      <c r="K350" s="10" t="str">
        <f aca="false">IF($A350="","",$G350&amp;"|"&amp;$J350)</f>
        <v/>
      </c>
      <c r="L350" s="10" t="str">
        <f aca="false">IF($A350="","",ROW()-2)</f>
        <v/>
      </c>
      <c r="M350" s="10" t="str">
        <f aca="false">IF($A350="","",ROW())</f>
        <v/>
      </c>
    </row>
    <row r="351" customFormat="false" ht="15" hidden="false" customHeight="true" outlineLevel="0" collapsed="false">
      <c r="A351" s="8"/>
      <c r="B351" s="8"/>
      <c r="C351" s="8"/>
      <c r="D351" s="8"/>
      <c r="E351" s="8"/>
      <c r="F351" s="8"/>
      <c r="G351" s="10" t="str">
        <f aca="false">IF($A351="","",UPPER(SUBSTITUTE(SUBSTITUTE(SUBSTITUTE(SUBSTITUTE($A351," ",""),"(주)",""),"주식회사",""),"㈜","")))</f>
        <v/>
      </c>
      <c r="H351" s="10" t="str">
        <f aca="false">IF($B351="","",SUBSTITUTE(SUBSTITUTE(SUBSTITUTE($B351,"-","")," ",""),".",""))</f>
        <v/>
      </c>
      <c r="I351" s="10" t="str">
        <f aca="false">IF($D351="","",SUBSTITUTE(SUBSTITUTE(SUBSTITUTE($D351,"-","")," ",""),".",""))</f>
        <v/>
      </c>
      <c r="J351" s="10" t="str">
        <f aca="false">IF($E351="","",UPPER(SUBSTITUTE($E351," ","")))</f>
        <v/>
      </c>
      <c r="K351" s="10" t="str">
        <f aca="false">IF($A351="","",$G351&amp;"|"&amp;$J351)</f>
        <v/>
      </c>
      <c r="L351" s="10" t="str">
        <f aca="false">IF($A351="","",ROW()-2)</f>
        <v/>
      </c>
      <c r="M351" s="10" t="str">
        <f aca="false">IF($A351="","",ROW())</f>
        <v/>
      </c>
    </row>
    <row r="352" customFormat="false" ht="15" hidden="false" customHeight="true" outlineLevel="0" collapsed="false">
      <c r="A352" s="8"/>
      <c r="B352" s="8"/>
      <c r="C352" s="8"/>
      <c r="D352" s="8"/>
      <c r="E352" s="8"/>
      <c r="F352" s="8"/>
      <c r="G352" s="10" t="str">
        <f aca="false">IF($A352="","",UPPER(SUBSTITUTE(SUBSTITUTE(SUBSTITUTE(SUBSTITUTE($A352," ",""),"(주)",""),"주식회사",""),"㈜","")))</f>
        <v/>
      </c>
      <c r="H352" s="10" t="str">
        <f aca="false">IF($B352="","",SUBSTITUTE(SUBSTITUTE(SUBSTITUTE($B352,"-","")," ",""),".",""))</f>
        <v/>
      </c>
      <c r="I352" s="10" t="str">
        <f aca="false">IF($D352="","",SUBSTITUTE(SUBSTITUTE(SUBSTITUTE($D352,"-","")," ",""),".",""))</f>
        <v/>
      </c>
      <c r="J352" s="10" t="str">
        <f aca="false">IF($E352="","",UPPER(SUBSTITUTE($E352," ","")))</f>
        <v/>
      </c>
      <c r="K352" s="10" t="str">
        <f aca="false">IF($A352="","",$G352&amp;"|"&amp;$J352)</f>
        <v/>
      </c>
      <c r="L352" s="10" t="str">
        <f aca="false">IF($A352="","",ROW()-2)</f>
        <v/>
      </c>
      <c r="M352" s="10" t="str">
        <f aca="false">IF($A352="","",ROW())</f>
        <v/>
      </c>
    </row>
    <row r="353" customFormat="false" ht="15" hidden="false" customHeight="true" outlineLevel="0" collapsed="false">
      <c r="A353" s="8"/>
      <c r="B353" s="8"/>
      <c r="C353" s="8"/>
      <c r="D353" s="8"/>
      <c r="E353" s="8"/>
      <c r="F353" s="8"/>
      <c r="G353" s="10" t="str">
        <f aca="false">IF($A353="","",UPPER(SUBSTITUTE(SUBSTITUTE(SUBSTITUTE(SUBSTITUTE($A353," ",""),"(주)",""),"주식회사",""),"㈜","")))</f>
        <v/>
      </c>
      <c r="H353" s="10" t="str">
        <f aca="false">IF($B353="","",SUBSTITUTE(SUBSTITUTE(SUBSTITUTE($B353,"-","")," ",""),".",""))</f>
        <v/>
      </c>
      <c r="I353" s="10" t="str">
        <f aca="false">IF($D353="","",SUBSTITUTE(SUBSTITUTE(SUBSTITUTE($D353,"-","")," ",""),".",""))</f>
        <v/>
      </c>
      <c r="J353" s="10" t="str">
        <f aca="false">IF($E353="","",UPPER(SUBSTITUTE($E353," ","")))</f>
        <v/>
      </c>
      <c r="K353" s="10" t="str">
        <f aca="false">IF($A353="","",$G353&amp;"|"&amp;$J353)</f>
        <v/>
      </c>
      <c r="L353" s="10" t="str">
        <f aca="false">IF($A353="","",ROW()-2)</f>
        <v/>
      </c>
      <c r="M353" s="10" t="str">
        <f aca="false">IF($A353="","",ROW())</f>
        <v/>
      </c>
    </row>
    <row r="354" customFormat="false" ht="15" hidden="false" customHeight="true" outlineLevel="0" collapsed="false">
      <c r="A354" s="8"/>
      <c r="B354" s="8"/>
      <c r="C354" s="8"/>
      <c r="D354" s="8"/>
      <c r="E354" s="8"/>
      <c r="F354" s="8"/>
      <c r="G354" s="10" t="str">
        <f aca="false">IF($A354="","",UPPER(SUBSTITUTE(SUBSTITUTE(SUBSTITUTE(SUBSTITUTE($A354," ",""),"(주)",""),"주식회사",""),"㈜","")))</f>
        <v/>
      </c>
      <c r="H354" s="10" t="str">
        <f aca="false">IF($B354="","",SUBSTITUTE(SUBSTITUTE(SUBSTITUTE($B354,"-","")," ",""),".",""))</f>
        <v/>
      </c>
      <c r="I354" s="10" t="str">
        <f aca="false">IF($D354="","",SUBSTITUTE(SUBSTITUTE(SUBSTITUTE($D354,"-","")," ",""),".",""))</f>
        <v/>
      </c>
      <c r="J354" s="10" t="str">
        <f aca="false">IF($E354="","",UPPER(SUBSTITUTE($E354," ","")))</f>
        <v/>
      </c>
      <c r="K354" s="10" t="str">
        <f aca="false">IF($A354="","",$G354&amp;"|"&amp;$J354)</f>
        <v/>
      </c>
      <c r="L354" s="10" t="str">
        <f aca="false">IF($A354="","",ROW()-2)</f>
        <v/>
      </c>
      <c r="M354" s="10" t="str">
        <f aca="false">IF($A354="","",ROW())</f>
        <v/>
      </c>
    </row>
    <row r="355" customFormat="false" ht="15" hidden="false" customHeight="true" outlineLevel="0" collapsed="false">
      <c r="A355" s="8"/>
      <c r="B355" s="8"/>
      <c r="C355" s="8"/>
      <c r="D355" s="8"/>
      <c r="E355" s="8"/>
      <c r="F355" s="8"/>
      <c r="G355" s="10" t="str">
        <f aca="false">IF($A355="","",UPPER(SUBSTITUTE(SUBSTITUTE(SUBSTITUTE(SUBSTITUTE($A355," ",""),"(주)",""),"주식회사",""),"㈜","")))</f>
        <v/>
      </c>
      <c r="H355" s="10" t="str">
        <f aca="false">IF($B355="","",SUBSTITUTE(SUBSTITUTE(SUBSTITUTE($B355,"-","")," ",""),".",""))</f>
        <v/>
      </c>
      <c r="I355" s="10" t="str">
        <f aca="false">IF($D355="","",SUBSTITUTE(SUBSTITUTE(SUBSTITUTE($D355,"-","")," ",""),".",""))</f>
        <v/>
      </c>
      <c r="J355" s="10" t="str">
        <f aca="false">IF($E355="","",UPPER(SUBSTITUTE($E355," ","")))</f>
        <v/>
      </c>
      <c r="K355" s="10" t="str">
        <f aca="false">IF($A355="","",$G355&amp;"|"&amp;$J355)</f>
        <v/>
      </c>
      <c r="L355" s="10" t="str">
        <f aca="false">IF($A355="","",ROW()-2)</f>
        <v/>
      </c>
      <c r="M355" s="10" t="str">
        <f aca="false">IF($A355="","",ROW())</f>
        <v/>
      </c>
    </row>
    <row r="356" customFormat="false" ht="15" hidden="false" customHeight="true" outlineLevel="0" collapsed="false">
      <c r="A356" s="8"/>
      <c r="B356" s="8"/>
      <c r="C356" s="8"/>
      <c r="D356" s="8"/>
      <c r="E356" s="8"/>
      <c r="F356" s="8"/>
      <c r="G356" s="10" t="str">
        <f aca="false">IF($A356="","",UPPER(SUBSTITUTE(SUBSTITUTE(SUBSTITUTE(SUBSTITUTE($A356," ",""),"(주)",""),"주식회사",""),"㈜","")))</f>
        <v/>
      </c>
      <c r="H356" s="10" t="str">
        <f aca="false">IF($B356="","",SUBSTITUTE(SUBSTITUTE(SUBSTITUTE($B356,"-","")," ",""),".",""))</f>
        <v/>
      </c>
      <c r="I356" s="10" t="str">
        <f aca="false">IF($D356="","",SUBSTITUTE(SUBSTITUTE(SUBSTITUTE($D356,"-","")," ",""),".",""))</f>
        <v/>
      </c>
      <c r="J356" s="10" t="str">
        <f aca="false">IF($E356="","",UPPER(SUBSTITUTE($E356," ","")))</f>
        <v/>
      </c>
      <c r="K356" s="10" t="str">
        <f aca="false">IF($A356="","",$G356&amp;"|"&amp;$J356)</f>
        <v/>
      </c>
      <c r="L356" s="10" t="str">
        <f aca="false">IF($A356="","",ROW()-2)</f>
        <v/>
      </c>
      <c r="M356" s="10" t="str">
        <f aca="false">IF($A356="","",ROW())</f>
        <v/>
      </c>
    </row>
    <row r="357" customFormat="false" ht="15" hidden="false" customHeight="true" outlineLevel="0" collapsed="false">
      <c r="A357" s="8"/>
      <c r="B357" s="8"/>
      <c r="C357" s="8"/>
      <c r="D357" s="8"/>
      <c r="E357" s="8"/>
      <c r="F357" s="8"/>
      <c r="G357" s="10" t="str">
        <f aca="false">IF($A357="","",UPPER(SUBSTITUTE(SUBSTITUTE(SUBSTITUTE(SUBSTITUTE($A357," ",""),"(주)",""),"주식회사",""),"㈜","")))</f>
        <v/>
      </c>
      <c r="H357" s="10" t="str">
        <f aca="false">IF($B357="","",SUBSTITUTE(SUBSTITUTE(SUBSTITUTE($B357,"-","")," ",""),".",""))</f>
        <v/>
      </c>
      <c r="I357" s="10" t="str">
        <f aca="false">IF($D357="","",SUBSTITUTE(SUBSTITUTE(SUBSTITUTE($D357,"-","")," ",""),".",""))</f>
        <v/>
      </c>
      <c r="J357" s="10" t="str">
        <f aca="false">IF($E357="","",UPPER(SUBSTITUTE($E357," ","")))</f>
        <v/>
      </c>
      <c r="K357" s="10" t="str">
        <f aca="false">IF($A357="","",$G357&amp;"|"&amp;$J357)</f>
        <v/>
      </c>
      <c r="L357" s="10" t="str">
        <f aca="false">IF($A357="","",ROW()-2)</f>
        <v/>
      </c>
      <c r="M357" s="10" t="str">
        <f aca="false">IF($A357="","",ROW())</f>
        <v/>
      </c>
    </row>
    <row r="358" customFormat="false" ht="15" hidden="false" customHeight="true" outlineLevel="0" collapsed="false">
      <c r="A358" s="8"/>
      <c r="B358" s="8"/>
      <c r="C358" s="8"/>
      <c r="D358" s="8"/>
      <c r="E358" s="8"/>
      <c r="F358" s="8"/>
      <c r="G358" s="10" t="str">
        <f aca="false">IF($A358="","",UPPER(SUBSTITUTE(SUBSTITUTE(SUBSTITUTE(SUBSTITUTE($A358," ",""),"(주)",""),"주식회사",""),"㈜","")))</f>
        <v/>
      </c>
      <c r="H358" s="10" t="str">
        <f aca="false">IF($B358="","",SUBSTITUTE(SUBSTITUTE(SUBSTITUTE($B358,"-","")," ",""),".",""))</f>
        <v/>
      </c>
      <c r="I358" s="10" t="str">
        <f aca="false">IF($D358="","",SUBSTITUTE(SUBSTITUTE(SUBSTITUTE($D358,"-","")," ",""),".",""))</f>
        <v/>
      </c>
      <c r="J358" s="10" t="str">
        <f aca="false">IF($E358="","",UPPER(SUBSTITUTE($E358," ","")))</f>
        <v/>
      </c>
      <c r="K358" s="10" t="str">
        <f aca="false">IF($A358="","",$G358&amp;"|"&amp;$J358)</f>
        <v/>
      </c>
      <c r="L358" s="10" t="str">
        <f aca="false">IF($A358="","",ROW()-2)</f>
        <v/>
      </c>
      <c r="M358" s="10" t="str">
        <f aca="false">IF($A358="","",ROW())</f>
        <v/>
      </c>
    </row>
    <row r="359" customFormat="false" ht="15" hidden="false" customHeight="true" outlineLevel="0" collapsed="false">
      <c r="A359" s="8"/>
      <c r="B359" s="8"/>
      <c r="C359" s="8"/>
      <c r="D359" s="8"/>
      <c r="E359" s="8"/>
      <c r="F359" s="8"/>
      <c r="G359" s="10" t="str">
        <f aca="false">IF($A359="","",UPPER(SUBSTITUTE(SUBSTITUTE(SUBSTITUTE(SUBSTITUTE($A359," ",""),"(주)",""),"주식회사",""),"㈜","")))</f>
        <v/>
      </c>
      <c r="H359" s="10" t="str">
        <f aca="false">IF($B359="","",SUBSTITUTE(SUBSTITUTE(SUBSTITUTE($B359,"-","")," ",""),".",""))</f>
        <v/>
      </c>
      <c r="I359" s="10" t="str">
        <f aca="false">IF($D359="","",SUBSTITUTE(SUBSTITUTE(SUBSTITUTE($D359,"-","")," ",""),".",""))</f>
        <v/>
      </c>
      <c r="J359" s="10" t="str">
        <f aca="false">IF($E359="","",UPPER(SUBSTITUTE($E359," ","")))</f>
        <v/>
      </c>
      <c r="K359" s="10" t="str">
        <f aca="false">IF($A359="","",$G359&amp;"|"&amp;$J359)</f>
        <v/>
      </c>
      <c r="L359" s="10" t="str">
        <f aca="false">IF($A359="","",ROW()-2)</f>
        <v/>
      </c>
      <c r="M359" s="10" t="str">
        <f aca="false">IF($A359="","",ROW())</f>
        <v/>
      </c>
    </row>
    <row r="360" customFormat="false" ht="15" hidden="false" customHeight="true" outlineLevel="0" collapsed="false">
      <c r="A360" s="8"/>
      <c r="B360" s="8"/>
      <c r="C360" s="8"/>
      <c r="D360" s="8"/>
      <c r="E360" s="8"/>
      <c r="F360" s="8"/>
      <c r="G360" s="10" t="str">
        <f aca="false">IF($A360="","",UPPER(SUBSTITUTE(SUBSTITUTE(SUBSTITUTE(SUBSTITUTE($A360," ",""),"(주)",""),"주식회사",""),"㈜","")))</f>
        <v/>
      </c>
      <c r="H360" s="10" t="str">
        <f aca="false">IF($B360="","",SUBSTITUTE(SUBSTITUTE(SUBSTITUTE($B360,"-","")," ",""),".",""))</f>
        <v/>
      </c>
      <c r="I360" s="10" t="str">
        <f aca="false">IF($D360="","",SUBSTITUTE(SUBSTITUTE(SUBSTITUTE($D360,"-","")," ",""),".",""))</f>
        <v/>
      </c>
      <c r="J360" s="10" t="str">
        <f aca="false">IF($E360="","",UPPER(SUBSTITUTE($E360," ","")))</f>
        <v/>
      </c>
      <c r="K360" s="10" t="str">
        <f aca="false">IF($A360="","",$G360&amp;"|"&amp;$J360)</f>
        <v/>
      </c>
      <c r="L360" s="10" t="str">
        <f aca="false">IF($A360="","",ROW()-2)</f>
        <v/>
      </c>
      <c r="M360" s="10" t="str">
        <f aca="false">IF($A360="","",ROW())</f>
        <v/>
      </c>
    </row>
    <row r="361" customFormat="false" ht="15" hidden="false" customHeight="true" outlineLevel="0" collapsed="false">
      <c r="A361" s="8"/>
      <c r="B361" s="8"/>
      <c r="C361" s="8"/>
      <c r="D361" s="8"/>
      <c r="E361" s="8"/>
      <c r="F361" s="8"/>
      <c r="G361" s="10" t="str">
        <f aca="false">IF($A361="","",UPPER(SUBSTITUTE(SUBSTITUTE(SUBSTITUTE(SUBSTITUTE($A361," ",""),"(주)",""),"주식회사",""),"㈜","")))</f>
        <v/>
      </c>
      <c r="H361" s="10" t="str">
        <f aca="false">IF($B361="","",SUBSTITUTE(SUBSTITUTE(SUBSTITUTE($B361,"-","")," ",""),".",""))</f>
        <v/>
      </c>
      <c r="I361" s="10" t="str">
        <f aca="false">IF($D361="","",SUBSTITUTE(SUBSTITUTE(SUBSTITUTE($D361,"-","")," ",""),".",""))</f>
        <v/>
      </c>
      <c r="J361" s="10" t="str">
        <f aca="false">IF($E361="","",UPPER(SUBSTITUTE($E361," ","")))</f>
        <v/>
      </c>
      <c r="K361" s="10" t="str">
        <f aca="false">IF($A361="","",$G361&amp;"|"&amp;$J361)</f>
        <v/>
      </c>
      <c r="L361" s="10" t="str">
        <f aca="false">IF($A361="","",ROW()-2)</f>
        <v/>
      </c>
      <c r="M361" s="10" t="str">
        <f aca="false">IF($A361="","",ROW())</f>
        <v/>
      </c>
    </row>
    <row r="362" customFormat="false" ht="15" hidden="false" customHeight="true" outlineLevel="0" collapsed="false">
      <c r="A362" s="8"/>
      <c r="B362" s="8"/>
      <c r="C362" s="8"/>
      <c r="D362" s="8"/>
      <c r="E362" s="8"/>
      <c r="F362" s="8"/>
      <c r="G362" s="10" t="str">
        <f aca="false">IF($A362="","",UPPER(SUBSTITUTE(SUBSTITUTE(SUBSTITUTE(SUBSTITUTE($A362," ",""),"(주)",""),"주식회사",""),"㈜","")))</f>
        <v/>
      </c>
      <c r="H362" s="10" t="str">
        <f aca="false">IF($B362="","",SUBSTITUTE(SUBSTITUTE(SUBSTITUTE($B362,"-","")," ",""),".",""))</f>
        <v/>
      </c>
      <c r="I362" s="10" t="str">
        <f aca="false">IF($D362="","",SUBSTITUTE(SUBSTITUTE(SUBSTITUTE($D362,"-","")," ",""),".",""))</f>
        <v/>
      </c>
      <c r="J362" s="10" t="str">
        <f aca="false">IF($E362="","",UPPER(SUBSTITUTE($E362," ","")))</f>
        <v/>
      </c>
      <c r="K362" s="10" t="str">
        <f aca="false">IF($A362="","",$G362&amp;"|"&amp;$J362)</f>
        <v/>
      </c>
      <c r="L362" s="10" t="str">
        <f aca="false">IF($A362="","",ROW()-2)</f>
        <v/>
      </c>
      <c r="M362" s="10" t="str">
        <f aca="false">IF($A362="","",ROW())</f>
        <v/>
      </c>
    </row>
    <row r="363" customFormat="false" ht="15" hidden="false" customHeight="true" outlineLevel="0" collapsed="false">
      <c r="A363" s="8"/>
      <c r="B363" s="8"/>
      <c r="C363" s="8"/>
      <c r="D363" s="8"/>
      <c r="E363" s="8"/>
      <c r="F363" s="8"/>
      <c r="G363" s="10" t="str">
        <f aca="false">IF($A363="","",UPPER(SUBSTITUTE(SUBSTITUTE(SUBSTITUTE(SUBSTITUTE($A363," ",""),"(주)",""),"주식회사",""),"㈜","")))</f>
        <v/>
      </c>
      <c r="H363" s="10" t="str">
        <f aca="false">IF($B363="","",SUBSTITUTE(SUBSTITUTE(SUBSTITUTE($B363,"-","")," ",""),".",""))</f>
        <v/>
      </c>
      <c r="I363" s="10" t="str">
        <f aca="false">IF($D363="","",SUBSTITUTE(SUBSTITUTE(SUBSTITUTE($D363,"-","")," ",""),".",""))</f>
        <v/>
      </c>
      <c r="J363" s="10" t="str">
        <f aca="false">IF($E363="","",UPPER(SUBSTITUTE($E363," ","")))</f>
        <v/>
      </c>
      <c r="K363" s="10" t="str">
        <f aca="false">IF($A363="","",$G363&amp;"|"&amp;$J363)</f>
        <v/>
      </c>
      <c r="L363" s="10" t="str">
        <f aca="false">IF($A363="","",ROW()-2)</f>
        <v/>
      </c>
      <c r="M363" s="10" t="str">
        <f aca="false">IF($A363="","",ROW())</f>
        <v/>
      </c>
    </row>
    <row r="364" customFormat="false" ht="15" hidden="false" customHeight="true" outlineLevel="0" collapsed="false">
      <c r="A364" s="8"/>
      <c r="B364" s="8"/>
      <c r="C364" s="8"/>
      <c r="D364" s="8"/>
      <c r="E364" s="8"/>
      <c r="F364" s="8"/>
      <c r="G364" s="10" t="str">
        <f aca="false">IF($A364="","",UPPER(SUBSTITUTE(SUBSTITUTE(SUBSTITUTE(SUBSTITUTE($A364," ",""),"(주)",""),"주식회사",""),"㈜","")))</f>
        <v/>
      </c>
      <c r="H364" s="10" t="str">
        <f aca="false">IF($B364="","",SUBSTITUTE(SUBSTITUTE(SUBSTITUTE($B364,"-","")," ",""),".",""))</f>
        <v/>
      </c>
      <c r="I364" s="10" t="str">
        <f aca="false">IF($D364="","",SUBSTITUTE(SUBSTITUTE(SUBSTITUTE($D364,"-","")," ",""),".",""))</f>
        <v/>
      </c>
      <c r="J364" s="10" t="str">
        <f aca="false">IF($E364="","",UPPER(SUBSTITUTE($E364," ","")))</f>
        <v/>
      </c>
      <c r="K364" s="10" t="str">
        <f aca="false">IF($A364="","",$G364&amp;"|"&amp;$J364)</f>
        <v/>
      </c>
      <c r="L364" s="10" t="str">
        <f aca="false">IF($A364="","",ROW()-2)</f>
        <v/>
      </c>
      <c r="M364" s="10" t="str">
        <f aca="false">IF($A364="","",ROW())</f>
        <v/>
      </c>
    </row>
    <row r="365" customFormat="false" ht="15" hidden="false" customHeight="true" outlineLevel="0" collapsed="false">
      <c r="A365" s="8"/>
      <c r="B365" s="8"/>
      <c r="C365" s="8"/>
      <c r="D365" s="8"/>
      <c r="E365" s="8"/>
      <c r="F365" s="8"/>
      <c r="G365" s="10" t="str">
        <f aca="false">IF($A365="","",UPPER(SUBSTITUTE(SUBSTITUTE(SUBSTITUTE(SUBSTITUTE($A365," ",""),"(주)",""),"주식회사",""),"㈜","")))</f>
        <v/>
      </c>
      <c r="H365" s="10" t="str">
        <f aca="false">IF($B365="","",SUBSTITUTE(SUBSTITUTE(SUBSTITUTE($B365,"-","")," ",""),".",""))</f>
        <v/>
      </c>
      <c r="I365" s="10" t="str">
        <f aca="false">IF($D365="","",SUBSTITUTE(SUBSTITUTE(SUBSTITUTE($D365,"-","")," ",""),".",""))</f>
        <v/>
      </c>
      <c r="J365" s="10" t="str">
        <f aca="false">IF($E365="","",UPPER(SUBSTITUTE($E365," ","")))</f>
        <v/>
      </c>
      <c r="K365" s="10" t="str">
        <f aca="false">IF($A365="","",$G365&amp;"|"&amp;$J365)</f>
        <v/>
      </c>
      <c r="L365" s="10" t="str">
        <f aca="false">IF($A365="","",ROW()-2)</f>
        <v/>
      </c>
      <c r="M365" s="10" t="str">
        <f aca="false">IF($A365="","",ROW())</f>
        <v/>
      </c>
    </row>
    <row r="366" customFormat="false" ht="15" hidden="false" customHeight="true" outlineLevel="0" collapsed="false">
      <c r="A366" s="8"/>
      <c r="B366" s="8"/>
      <c r="C366" s="8"/>
      <c r="D366" s="8"/>
      <c r="E366" s="8"/>
      <c r="F366" s="8"/>
      <c r="G366" s="10" t="str">
        <f aca="false">IF($A366="","",UPPER(SUBSTITUTE(SUBSTITUTE(SUBSTITUTE(SUBSTITUTE($A366," ",""),"(주)",""),"주식회사",""),"㈜","")))</f>
        <v/>
      </c>
      <c r="H366" s="10" t="str">
        <f aca="false">IF($B366="","",SUBSTITUTE(SUBSTITUTE(SUBSTITUTE($B366,"-","")," ",""),".",""))</f>
        <v/>
      </c>
      <c r="I366" s="10" t="str">
        <f aca="false">IF($D366="","",SUBSTITUTE(SUBSTITUTE(SUBSTITUTE($D366,"-","")," ",""),".",""))</f>
        <v/>
      </c>
      <c r="J366" s="10" t="str">
        <f aca="false">IF($E366="","",UPPER(SUBSTITUTE($E366," ","")))</f>
        <v/>
      </c>
      <c r="K366" s="10" t="str">
        <f aca="false">IF($A366="","",$G366&amp;"|"&amp;$J366)</f>
        <v/>
      </c>
      <c r="L366" s="10" t="str">
        <f aca="false">IF($A366="","",ROW()-2)</f>
        <v/>
      </c>
      <c r="M366" s="10" t="str">
        <f aca="false">IF($A366="","",ROW())</f>
        <v/>
      </c>
    </row>
    <row r="367" customFormat="false" ht="15" hidden="false" customHeight="true" outlineLevel="0" collapsed="false">
      <c r="A367" s="8"/>
      <c r="B367" s="8"/>
      <c r="C367" s="8"/>
      <c r="D367" s="8"/>
      <c r="E367" s="8"/>
      <c r="F367" s="8"/>
      <c r="G367" s="10" t="str">
        <f aca="false">IF($A367="","",UPPER(SUBSTITUTE(SUBSTITUTE(SUBSTITUTE(SUBSTITUTE($A367," ",""),"(주)",""),"주식회사",""),"㈜","")))</f>
        <v/>
      </c>
      <c r="H367" s="10" t="str">
        <f aca="false">IF($B367="","",SUBSTITUTE(SUBSTITUTE(SUBSTITUTE($B367,"-","")," ",""),".",""))</f>
        <v/>
      </c>
      <c r="I367" s="10" t="str">
        <f aca="false">IF($D367="","",SUBSTITUTE(SUBSTITUTE(SUBSTITUTE($D367,"-","")," ",""),".",""))</f>
        <v/>
      </c>
      <c r="J367" s="10" t="str">
        <f aca="false">IF($E367="","",UPPER(SUBSTITUTE($E367," ","")))</f>
        <v/>
      </c>
      <c r="K367" s="10" t="str">
        <f aca="false">IF($A367="","",$G367&amp;"|"&amp;$J367)</f>
        <v/>
      </c>
      <c r="L367" s="10" t="str">
        <f aca="false">IF($A367="","",ROW()-2)</f>
        <v/>
      </c>
      <c r="M367" s="10" t="str">
        <f aca="false">IF($A367="","",ROW())</f>
        <v/>
      </c>
    </row>
    <row r="368" customFormat="false" ht="15" hidden="false" customHeight="true" outlineLevel="0" collapsed="false">
      <c r="A368" s="8"/>
      <c r="B368" s="8"/>
      <c r="C368" s="8"/>
      <c r="D368" s="8"/>
      <c r="E368" s="8"/>
      <c r="F368" s="8"/>
      <c r="G368" s="10" t="str">
        <f aca="false">IF($A368="","",UPPER(SUBSTITUTE(SUBSTITUTE(SUBSTITUTE(SUBSTITUTE($A368," ",""),"(주)",""),"주식회사",""),"㈜","")))</f>
        <v/>
      </c>
      <c r="H368" s="10" t="str">
        <f aca="false">IF($B368="","",SUBSTITUTE(SUBSTITUTE(SUBSTITUTE($B368,"-","")," ",""),".",""))</f>
        <v/>
      </c>
      <c r="I368" s="10" t="str">
        <f aca="false">IF($D368="","",SUBSTITUTE(SUBSTITUTE(SUBSTITUTE($D368,"-","")," ",""),".",""))</f>
        <v/>
      </c>
      <c r="J368" s="10" t="str">
        <f aca="false">IF($E368="","",UPPER(SUBSTITUTE($E368," ","")))</f>
        <v/>
      </c>
      <c r="K368" s="10" t="str">
        <f aca="false">IF($A368="","",$G368&amp;"|"&amp;$J368)</f>
        <v/>
      </c>
      <c r="L368" s="10" t="str">
        <f aca="false">IF($A368="","",ROW()-2)</f>
        <v/>
      </c>
      <c r="M368" s="10" t="str">
        <f aca="false">IF($A368="","",ROW())</f>
        <v/>
      </c>
    </row>
    <row r="369" customFormat="false" ht="15" hidden="false" customHeight="true" outlineLevel="0" collapsed="false">
      <c r="A369" s="8"/>
      <c r="B369" s="8"/>
      <c r="C369" s="8"/>
      <c r="D369" s="8"/>
      <c r="E369" s="8"/>
      <c r="F369" s="8"/>
      <c r="G369" s="10" t="str">
        <f aca="false">IF($A369="","",UPPER(SUBSTITUTE(SUBSTITUTE(SUBSTITUTE(SUBSTITUTE($A369," ",""),"(주)",""),"주식회사",""),"㈜","")))</f>
        <v/>
      </c>
      <c r="H369" s="10" t="str">
        <f aca="false">IF($B369="","",SUBSTITUTE(SUBSTITUTE(SUBSTITUTE($B369,"-","")," ",""),".",""))</f>
        <v/>
      </c>
      <c r="I369" s="10" t="str">
        <f aca="false">IF($D369="","",SUBSTITUTE(SUBSTITUTE(SUBSTITUTE($D369,"-","")," ",""),".",""))</f>
        <v/>
      </c>
      <c r="J369" s="10" t="str">
        <f aca="false">IF($E369="","",UPPER(SUBSTITUTE($E369," ","")))</f>
        <v/>
      </c>
      <c r="K369" s="10" t="str">
        <f aca="false">IF($A369="","",$G369&amp;"|"&amp;$J369)</f>
        <v/>
      </c>
      <c r="L369" s="10" t="str">
        <f aca="false">IF($A369="","",ROW()-2)</f>
        <v/>
      </c>
      <c r="M369" s="10" t="str">
        <f aca="false">IF($A369="","",ROW())</f>
        <v/>
      </c>
    </row>
    <row r="370" customFormat="false" ht="15" hidden="false" customHeight="true" outlineLevel="0" collapsed="false">
      <c r="A370" s="8"/>
      <c r="B370" s="8"/>
      <c r="C370" s="8"/>
      <c r="D370" s="8"/>
      <c r="E370" s="8"/>
      <c r="F370" s="8"/>
      <c r="G370" s="10" t="str">
        <f aca="false">IF($A370="","",UPPER(SUBSTITUTE(SUBSTITUTE(SUBSTITUTE(SUBSTITUTE($A370," ",""),"(주)",""),"주식회사",""),"㈜","")))</f>
        <v/>
      </c>
      <c r="H370" s="10" t="str">
        <f aca="false">IF($B370="","",SUBSTITUTE(SUBSTITUTE(SUBSTITUTE($B370,"-","")," ",""),".",""))</f>
        <v/>
      </c>
      <c r="I370" s="10" t="str">
        <f aca="false">IF($D370="","",SUBSTITUTE(SUBSTITUTE(SUBSTITUTE($D370,"-","")," ",""),".",""))</f>
        <v/>
      </c>
      <c r="J370" s="10" t="str">
        <f aca="false">IF($E370="","",UPPER(SUBSTITUTE($E370," ","")))</f>
        <v/>
      </c>
      <c r="K370" s="10" t="str">
        <f aca="false">IF($A370="","",$G370&amp;"|"&amp;$J370)</f>
        <v/>
      </c>
      <c r="L370" s="10" t="str">
        <f aca="false">IF($A370="","",ROW()-2)</f>
        <v/>
      </c>
      <c r="M370" s="10" t="str">
        <f aca="false">IF($A370="","",ROW())</f>
        <v/>
      </c>
    </row>
    <row r="371" customFormat="false" ht="15" hidden="false" customHeight="true" outlineLevel="0" collapsed="false">
      <c r="A371" s="8"/>
      <c r="B371" s="8"/>
      <c r="C371" s="8"/>
      <c r="D371" s="8"/>
      <c r="E371" s="8"/>
      <c r="F371" s="8"/>
      <c r="G371" s="10" t="str">
        <f aca="false">IF($A371="","",UPPER(SUBSTITUTE(SUBSTITUTE(SUBSTITUTE(SUBSTITUTE($A371," ",""),"(주)",""),"주식회사",""),"㈜","")))</f>
        <v/>
      </c>
      <c r="H371" s="10" t="str">
        <f aca="false">IF($B371="","",SUBSTITUTE(SUBSTITUTE(SUBSTITUTE($B371,"-","")," ",""),".",""))</f>
        <v/>
      </c>
      <c r="I371" s="10" t="str">
        <f aca="false">IF($D371="","",SUBSTITUTE(SUBSTITUTE(SUBSTITUTE($D371,"-","")," ",""),".",""))</f>
        <v/>
      </c>
      <c r="J371" s="10" t="str">
        <f aca="false">IF($E371="","",UPPER(SUBSTITUTE($E371," ","")))</f>
        <v/>
      </c>
      <c r="K371" s="10" t="str">
        <f aca="false">IF($A371="","",$G371&amp;"|"&amp;$J371)</f>
        <v/>
      </c>
      <c r="L371" s="10" t="str">
        <f aca="false">IF($A371="","",ROW()-2)</f>
        <v/>
      </c>
      <c r="M371" s="10" t="str">
        <f aca="false">IF($A371="","",ROW())</f>
        <v/>
      </c>
    </row>
    <row r="372" customFormat="false" ht="15" hidden="false" customHeight="true" outlineLevel="0" collapsed="false">
      <c r="A372" s="8"/>
      <c r="B372" s="8"/>
      <c r="C372" s="8"/>
      <c r="D372" s="8"/>
      <c r="E372" s="8"/>
      <c r="F372" s="8"/>
      <c r="G372" s="10" t="str">
        <f aca="false">IF($A372="","",UPPER(SUBSTITUTE(SUBSTITUTE(SUBSTITUTE(SUBSTITUTE($A372," ",""),"(주)",""),"주식회사",""),"㈜","")))</f>
        <v/>
      </c>
      <c r="H372" s="10" t="str">
        <f aca="false">IF($B372="","",SUBSTITUTE(SUBSTITUTE(SUBSTITUTE($B372,"-","")," ",""),".",""))</f>
        <v/>
      </c>
      <c r="I372" s="10" t="str">
        <f aca="false">IF($D372="","",SUBSTITUTE(SUBSTITUTE(SUBSTITUTE($D372,"-","")," ",""),".",""))</f>
        <v/>
      </c>
      <c r="J372" s="10" t="str">
        <f aca="false">IF($E372="","",UPPER(SUBSTITUTE($E372," ","")))</f>
        <v/>
      </c>
      <c r="K372" s="10" t="str">
        <f aca="false">IF($A372="","",$G372&amp;"|"&amp;$J372)</f>
        <v/>
      </c>
      <c r="L372" s="10" t="str">
        <f aca="false">IF($A372="","",ROW()-2)</f>
        <v/>
      </c>
      <c r="M372" s="10" t="str">
        <f aca="false">IF($A372="","",ROW())</f>
        <v/>
      </c>
    </row>
    <row r="373" customFormat="false" ht="15" hidden="false" customHeight="true" outlineLevel="0" collapsed="false">
      <c r="A373" s="8"/>
      <c r="B373" s="8"/>
      <c r="C373" s="8"/>
      <c r="D373" s="8"/>
      <c r="E373" s="8"/>
      <c r="F373" s="8"/>
      <c r="G373" s="10" t="str">
        <f aca="false">IF($A373="","",UPPER(SUBSTITUTE(SUBSTITUTE(SUBSTITUTE(SUBSTITUTE($A373," ",""),"(주)",""),"주식회사",""),"㈜","")))</f>
        <v/>
      </c>
      <c r="H373" s="10" t="str">
        <f aca="false">IF($B373="","",SUBSTITUTE(SUBSTITUTE(SUBSTITUTE($B373,"-","")," ",""),".",""))</f>
        <v/>
      </c>
      <c r="I373" s="10" t="str">
        <f aca="false">IF($D373="","",SUBSTITUTE(SUBSTITUTE(SUBSTITUTE($D373,"-","")," ",""),".",""))</f>
        <v/>
      </c>
      <c r="J373" s="10" t="str">
        <f aca="false">IF($E373="","",UPPER(SUBSTITUTE($E373," ","")))</f>
        <v/>
      </c>
      <c r="K373" s="10" t="str">
        <f aca="false">IF($A373="","",$G373&amp;"|"&amp;$J373)</f>
        <v/>
      </c>
      <c r="L373" s="10" t="str">
        <f aca="false">IF($A373="","",ROW()-2)</f>
        <v/>
      </c>
      <c r="M373" s="10" t="str">
        <f aca="false">IF($A373="","",ROW())</f>
        <v/>
      </c>
    </row>
    <row r="374" customFormat="false" ht="15" hidden="false" customHeight="true" outlineLevel="0" collapsed="false">
      <c r="A374" s="8"/>
      <c r="B374" s="8"/>
      <c r="C374" s="8"/>
      <c r="D374" s="8"/>
      <c r="E374" s="8"/>
      <c r="F374" s="8"/>
      <c r="G374" s="10" t="str">
        <f aca="false">IF($A374="","",UPPER(SUBSTITUTE(SUBSTITUTE(SUBSTITUTE(SUBSTITUTE($A374," ",""),"(주)",""),"주식회사",""),"㈜","")))</f>
        <v/>
      </c>
      <c r="H374" s="10" t="str">
        <f aca="false">IF($B374="","",SUBSTITUTE(SUBSTITUTE(SUBSTITUTE($B374,"-","")," ",""),".",""))</f>
        <v/>
      </c>
      <c r="I374" s="10" t="str">
        <f aca="false">IF($D374="","",SUBSTITUTE(SUBSTITUTE(SUBSTITUTE($D374,"-","")," ",""),".",""))</f>
        <v/>
      </c>
      <c r="J374" s="10" t="str">
        <f aca="false">IF($E374="","",UPPER(SUBSTITUTE($E374," ","")))</f>
        <v/>
      </c>
      <c r="K374" s="10" t="str">
        <f aca="false">IF($A374="","",$G374&amp;"|"&amp;$J374)</f>
        <v/>
      </c>
      <c r="L374" s="10" t="str">
        <f aca="false">IF($A374="","",ROW()-2)</f>
        <v/>
      </c>
      <c r="M374" s="10" t="str">
        <f aca="false">IF($A374="","",ROW())</f>
        <v/>
      </c>
    </row>
    <row r="375" customFormat="false" ht="15" hidden="false" customHeight="true" outlineLevel="0" collapsed="false">
      <c r="A375" s="8"/>
      <c r="B375" s="8"/>
      <c r="C375" s="8"/>
      <c r="D375" s="8"/>
      <c r="E375" s="8"/>
      <c r="F375" s="8"/>
      <c r="G375" s="10" t="str">
        <f aca="false">IF($A375="","",UPPER(SUBSTITUTE(SUBSTITUTE(SUBSTITUTE(SUBSTITUTE($A375," ",""),"(주)",""),"주식회사",""),"㈜","")))</f>
        <v/>
      </c>
      <c r="H375" s="10" t="str">
        <f aca="false">IF($B375="","",SUBSTITUTE(SUBSTITUTE(SUBSTITUTE($B375,"-","")," ",""),".",""))</f>
        <v/>
      </c>
      <c r="I375" s="10" t="str">
        <f aca="false">IF($D375="","",SUBSTITUTE(SUBSTITUTE(SUBSTITUTE($D375,"-","")," ",""),".",""))</f>
        <v/>
      </c>
      <c r="J375" s="10" t="str">
        <f aca="false">IF($E375="","",UPPER(SUBSTITUTE($E375," ","")))</f>
        <v/>
      </c>
      <c r="K375" s="10" t="str">
        <f aca="false">IF($A375="","",$G375&amp;"|"&amp;$J375)</f>
        <v/>
      </c>
      <c r="L375" s="10" t="str">
        <f aca="false">IF($A375="","",ROW()-2)</f>
        <v/>
      </c>
      <c r="M375" s="10" t="str">
        <f aca="false">IF($A375="","",ROW())</f>
        <v/>
      </c>
    </row>
    <row r="376" customFormat="false" ht="15" hidden="false" customHeight="true" outlineLevel="0" collapsed="false">
      <c r="A376" s="8"/>
      <c r="B376" s="8"/>
      <c r="C376" s="8"/>
      <c r="D376" s="8"/>
      <c r="E376" s="8"/>
      <c r="F376" s="8"/>
      <c r="G376" s="10" t="str">
        <f aca="false">IF($A376="","",UPPER(SUBSTITUTE(SUBSTITUTE(SUBSTITUTE(SUBSTITUTE($A376," ",""),"(주)",""),"주식회사",""),"㈜","")))</f>
        <v/>
      </c>
      <c r="H376" s="10" t="str">
        <f aca="false">IF($B376="","",SUBSTITUTE(SUBSTITUTE(SUBSTITUTE($B376,"-","")," ",""),".",""))</f>
        <v/>
      </c>
      <c r="I376" s="10" t="str">
        <f aca="false">IF($D376="","",SUBSTITUTE(SUBSTITUTE(SUBSTITUTE($D376,"-","")," ",""),".",""))</f>
        <v/>
      </c>
      <c r="J376" s="10" t="str">
        <f aca="false">IF($E376="","",UPPER(SUBSTITUTE($E376," ","")))</f>
        <v/>
      </c>
      <c r="K376" s="10" t="str">
        <f aca="false">IF($A376="","",$G376&amp;"|"&amp;$J376)</f>
        <v/>
      </c>
      <c r="L376" s="10" t="str">
        <f aca="false">IF($A376="","",ROW()-2)</f>
        <v/>
      </c>
      <c r="M376" s="10" t="str">
        <f aca="false">IF($A376="","",ROW())</f>
        <v/>
      </c>
    </row>
    <row r="377" customFormat="false" ht="15" hidden="false" customHeight="true" outlineLevel="0" collapsed="false">
      <c r="A377" s="8"/>
      <c r="B377" s="8"/>
      <c r="C377" s="8"/>
      <c r="D377" s="8"/>
      <c r="E377" s="8"/>
      <c r="F377" s="8"/>
      <c r="G377" s="10" t="str">
        <f aca="false">IF($A377="","",UPPER(SUBSTITUTE(SUBSTITUTE(SUBSTITUTE(SUBSTITUTE($A377," ",""),"(주)",""),"주식회사",""),"㈜","")))</f>
        <v/>
      </c>
      <c r="H377" s="10" t="str">
        <f aca="false">IF($B377="","",SUBSTITUTE(SUBSTITUTE(SUBSTITUTE($B377,"-","")," ",""),".",""))</f>
        <v/>
      </c>
      <c r="I377" s="10" t="str">
        <f aca="false">IF($D377="","",SUBSTITUTE(SUBSTITUTE(SUBSTITUTE($D377,"-","")," ",""),".",""))</f>
        <v/>
      </c>
      <c r="J377" s="10" t="str">
        <f aca="false">IF($E377="","",UPPER(SUBSTITUTE($E377," ","")))</f>
        <v/>
      </c>
      <c r="K377" s="10" t="str">
        <f aca="false">IF($A377="","",$G377&amp;"|"&amp;$J377)</f>
        <v/>
      </c>
      <c r="L377" s="10" t="str">
        <f aca="false">IF($A377="","",ROW()-2)</f>
        <v/>
      </c>
      <c r="M377" s="10" t="str">
        <f aca="false">IF($A377="","",ROW())</f>
        <v/>
      </c>
    </row>
    <row r="378" customFormat="false" ht="15" hidden="false" customHeight="true" outlineLevel="0" collapsed="false">
      <c r="A378" s="8"/>
      <c r="B378" s="8"/>
      <c r="C378" s="8"/>
      <c r="D378" s="8"/>
      <c r="E378" s="8"/>
      <c r="F378" s="8"/>
      <c r="G378" s="10" t="str">
        <f aca="false">IF($A378="","",UPPER(SUBSTITUTE(SUBSTITUTE(SUBSTITUTE(SUBSTITUTE($A378," ",""),"(주)",""),"주식회사",""),"㈜","")))</f>
        <v/>
      </c>
      <c r="H378" s="10" t="str">
        <f aca="false">IF($B378="","",SUBSTITUTE(SUBSTITUTE(SUBSTITUTE($B378,"-","")," ",""),".",""))</f>
        <v/>
      </c>
      <c r="I378" s="10" t="str">
        <f aca="false">IF($D378="","",SUBSTITUTE(SUBSTITUTE(SUBSTITUTE($D378,"-","")," ",""),".",""))</f>
        <v/>
      </c>
      <c r="J378" s="10" t="str">
        <f aca="false">IF($E378="","",UPPER(SUBSTITUTE($E378," ","")))</f>
        <v/>
      </c>
      <c r="K378" s="10" t="str">
        <f aca="false">IF($A378="","",$G378&amp;"|"&amp;$J378)</f>
        <v/>
      </c>
      <c r="L378" s="10" t="str">
        <f aca="false">IF($A378="","",ROW()-2)</f>
        <v/>
      </c>
      <c r="M378" s="10" t="str">
        <f aca="false">IF($A378="","",ROW())</f>
        <v/>
      </c>
    </row>
    <row r="379" customFormat="false" ht="15" hidden="false" customHeight="true" outlineLevel="0" collapsed="false">
      <c r="A379" s="8"/>
      <c r="B379" s="8"/>
      <c r="C379" s="8"/>
      <c r="D379" s="8"/>
      <c r="E379" s="8"/>
      <c r="F379" s="8"/>
      <c r="G379" s="10" t="str">
        <f aca="false">IF($A379="","",UPPER(SUBSTITUTE(SUBSTITUTE(SUBSTITUTE(SUBSTITUTE($A379," ",""),"(주)",""),"주식회사",""),"㈜","")))</f>
        <v/>
      </c>
      <c r="H379" s="10" t="str">
        <f aca="false">IF($B379="","",SUBSTITUTE(SUBSTITUTE(SUBSTITUTE($B379,"-","")," ",""),".",""))</f>
        <v/>
      </c>
      <c r="I379" s="10" t="str">
        <f aca="false">IF($D379="","",SUBSTITUTE(SUBSTITUTE(SUBSTITUTE($D379,"-","")," ",""),".",""))</f>
        <v/>
      </c>
      <c r="J379" s="10" t="str">
        <f aca="false">IF($E379="","",UPPER(SUBSTITUTE($E379," ","")))</f>
        <v/>
      </c>
      <c r="K379" s="10" t="str">
        <f aca="false">IF($A379="","",$G379&amp;"|"&amp;$J379)</f>
        <v/>
      </c>
      <c r="L379" s="10" t="str">
        <f aca="false">IF($A379="","",ROW()-2)</f>
        <v/>
      </c>
      <c r="M379" s="10" t="str">
        <f aca="false">IF($A379="","",ROW())</f>
        <v/>
      </c>
    </row>
    <row r="380" customFormat="false" ht="15" hidden="false" customHeight="true" outlineLevel="0" collapsed="false">
      <c r="A380" s="8"/>
      <c r="B380" s="8"/>
      <c r="C380" s="8"/>
      <c r="D380" s="8"/>
      <c r="E380" s="8"/>
      <c r="F380" s="8"/>
      <c r="G380" s="10" t="str">
        <f aca="false">IF($A380="","",UPPER(SUBSTITUTE(SUBSTITUTE(SUBSTITUTE(SUBSTITUTE($A380," ",""),"(주)",""),"주식회사",""),"㈜","")))</f>
        <v/>
      </c>
      <c r="H380" s="10" t="str">
        <f aca="false">IF($B380="","",SUBSTITUTE(SUBSTITUTE(SUBSTITUTE($B380,"-","")," ",""),".",""))</f>
        <v/>
      </c>
      <c r="I380" s="10" t="str">
        <f aca="false">IF($D380="","",SUBSTITUTE(SUBSTITUTE(SUBSTITUTE($D380,"-","")," ",""),".",""))</f>
        <v/>
      </c>
      <c r="J380" s="10" t="str">
        <f aca="false">IF($E380="","",UPPER(SUBSTITUTE($E380," ","")))</f>
        <v/>
      </c>
      <c r="K380" s="10" t="str">
        <f aca="false">IF($A380="","",$G380&amp;"|"&amp;$J380)</f>
        <v/>
      </c>
      <c r="L380" s="10" t="str">
        <f aca="false">IF($A380="","",ROW()-2)</f>
        <v/>
      </c>
      <c r="M380" s="10" t="str">
        <f aca="false">IF($A380="","",ROW())</f>
        <v/>
      </c>
    </row>
    <row r="381" customFormat="false" ht="15" hidden="false" customHeight="true" outlineLevel="0" collapsed="false">
      <c r="A381" s="8"/>
      <c r="B381" s="8"/>
      <c r="C381" s="8"/>
      <c r="D381" s="8"/>
      <c r="E381" s="8"/>
      <c r="F381" s="8"/>
      <c r="G381" s="10" t="str">
        <f aca="false">IF($A381="","",UPPER(SUBSTITUTE(SUBSTITUTE(SUBSTITUTE(SUBSTITUTE($A381," ",""),"(주)",""),"주식회사",""),"㈜","")))</f>
        <v/>
      </c>
      <c r="H381" s="10" t="str">
        <f aca="false">IF($B381="","",SUBSTITUTE(SUBSTITUTE(SUBSTITUTE($B381,"-","")," ",""),".",""))</f>
        <v/>
      </c>
      <c r="I381" s="10" t="str">
        <f aca="false">IF($D381="","",SUBSTITUTE(SUBSTITUTE(SUBSTITUTE($D381,"-","")," ",""),".",""))</f>
        <v/>
      </c>
      <c r="J381" s="10" t="str">
        <f aca="false">IF($E381="","",UPPER(SUBSTITUTE($E381," ","")))</f>
        <v/>
      </c>
      <c r="K381" s="10" t="str">
        <f aca="false">IF($A381="","",$G381&amp;"|"&amp;$J381)</f>
        <v/>
      </c>
      <c r="L381" s="10" t="str">
        <f aca="false">IF($A381="","",ROW()-2)</f>
        <v/>
      </c>
      <c r="M381" s="10" t="str">
        <f aca="false">IF($A381="","",ROW())</f>
        <v/>
      </c>
    </row>
    <row r="382" customFormat="false" ht="15" hidden="false" customHeight="true" outlineLevel="0" collapsed="false">
      <c r="A382" s="8"/>
      <c r="B382" s="8"/>
      <c r="C382" s="8"/>
      <c r="D382" s="8"/>
      <c r="E382" s="8"/>
      <c r="F382" s="8"/>
      <c r="G382" s="10" t="str">
        <f aca="false">IF($A382="","",UPPER(SUBSTITUTE(SUBSTITUTE(SUBSTITUTE(SUBSTITUTE($A382," ",""),"(주)",""),"주식회사",""),"㈜","")))</f>
        <v/>
      </c>
      <c r="H382" s="10" t="str">
        <f aca="false">IF($B382="","",SUBSTITUTE(SUBSTITUTE(SUBSTITUTE($B382,"-","")," ",""),".",""))</f>
        <v/>
      </c>
      <c r="I382" s="10" t="str">
        <f aca="false">IF($D382="","",SUBSTITUTE(SUBSTITUTE(SUBSTITUTE($D382,"-","")," ",""),".",""))</f>
        <v/>
      </c>
      <c r="J382" s="10" t="str">
        <f aca="false">IF($E382="","",UPPER(SUBSTITUTE($E382," ","")))</f>
        <v/>
      </c>
      <c r="K382" s="10" t="str">
        <f aca="false">IF($A382="","",$G382&amp;"|"&amp;$J382)</f>
        <v/>
      </c>
      <c r="L382" s="10" t="str">
        <f aca="false">IF($A382="","",ROW()-2)</f>
        <v/>
      </c>
      <c r="M382" s="10" t="str">
        <f aca="false">IF($A382="","",ROW())</f>
        <v/>
      </c>
    </row>
    <row r="383" customFormat="false" ht="15" hidden="false" customHeight="true" outlineLevel="0" collapsed="false">
      <c r="A383" s="8"/>
      <c r="B383" s="8"/>
      <c r="C383" s="8"/>
      <c r="D383" s="8"/>
      <c r="E383" s="8"/>
      <c r="F383" s="8"/>
      <c r="G383" s="10" t="str">
        <f aca="false">IF($A383="","",UPPER(SUBSTITUTE(SUBSTITUTE(SUBSTITUTE(SUBSTITUTE($A383," ",""),"(주)",""),"주식회사",""),"㈜","")))</f>
        <v/>
      </c>
      <c r="H383" s="10" t="str">
        <f aca="false">IF($B383="","",SUBSTITUTE(SUBSTITUTE(SUBSTITUTE($B383,"-","")," ",""),".",""))</f>
        <v/>
      </c>
      <c r="I383" s="10" t="str">
        <f aca="false">IF($D383="","",SUBSTITUTE(SUBSTITUTE(SUBSTITUTE($D383,"-","")," ",""),".",""))</f>
        <v/>
      </c>
      <c r="J383" s="10" t="str">
        <f aca="false">IF($E383="","",UPPER(SUBSTITUTE($E383," ","")))</f>
        <v/>
      </c>
      <c r="K383" s="10" t="str">
        <f aca="false">IF($A383="","",$G383&amp;"|"&amp;$J383)</f>
        <v/>
      </c>
      <c r="L383" s="10" t="str">
        <f aca="false">IF($A383="","",ROW()-2)</f>
        <v/>
      </c>
      <c r="M383" s="10" t="str">
        <f aca="false">IF($A383="","",ROW())</f>
        <v/>
      </c>
    </row>
    <row r="384" customFormat="false" ht="15" hidden="false" customHeight="true" outlineLevel="0" collapsed="false">
      <c r="A384" s="8"/>
      <c r="B384" s="8"/>
      <c r="C384" s="8"/>
      <c r="D384" s="8"/>
      <c r="E384" s="8"/>
      <c r="F384" s="8"/>
      <c r="G384" s="10" t="str">
        <f aca="false">IF($A384="","",UPPER(SUBSTITUTE(SUBSTITUTE(SUBSTITUTE(SUBSTITUTE($A384," ",""),"(주)",""),"주식회사",""),"㈜","")))</f>
        <v/>
      </c>
      <c r="H384" s="10" t="str">
        <f aca="false">IF($B384="","",SUBSTITUTE(SUBSTITUTE(SUBSTITUTE($B384,"-","")," ",""),".",""))</f>
        <v/>
      </c>
      <c r="I384" s="10" t="str">
        <f aca="false">IF($D384="","",SUBSTITUTE(SUBSTITUTE(SUBSTITUTE($D384,"-","")," ",""),".",""))</f>
        <v/>
      </c>
      <c r="J384" s="10" t="str">
        <f aca="false">IF($E384="","",UPPER(SUBSTITUTE($E384," ","")))</f>
        <v/>
      </c>
      <c r="K384" s="10" t="str">
        <f aca="false">IF($A384="","",$G384&amp;"|"&amp;$J384)</f>
        <v/>
      </c>
      <c r="L384" s="10" t="str">
        <f aca="false">IF($A384="","",ROW()-2)</f>
        <v/>
      </c>
      <c r="M384" s="10" t="str">
        <f aca="false">IF($A384="","",ROW())</f>
        <v/>
      </c>
    </row>
    <row r="385" customFormat="false" ht="15" hidden="false" customHeight="true" outlineLevel="0" collapsed="false">
      <c r="A385" s="8"/>
      <c r="B385" s="8"/>
      <c r="C385" s="8"/>
      <c r="D385" s="8"/>
      <c r="E385" s="8"/>
      <c r="F385" s="8"/>
      <c r="G385" s="10" t="str">
        <f aca="false">IF($A385="","",UPPER(SUBSTITUTE(SUBSTITUTE(SUBSTITUTE(SUBSTITUTE($A385," ",""),"(주)",""),"주식회사",""),"㈜","")))</f>
        <v/>
      </c>
      <c r="H385" s="10" t="str">
        <f aca="false">IF($B385="","",SUBSTITUTE(SUBSTITUTE(SUBSTITUTE($B385,"-","")," ",""),".",""))</f>
        <v/>
      </c>
      <c r="I385" s="10" t="str">
        <f aca="false">IF($D385="","",SUBSTITUTE(SUBSTITUTE(SUBSTITUTE($D385,"-","")," ",""),".",""))</f>
        <v/>
      </c>
      <c r="J385" s="10" t="str">
        <f aca="false">IF($E385="","",UPPER(SUBSTITUTE($E385," ","")))</f>
        <v/>
      </c>
      <c r="K385" s="10" t="str">
        <f aca="false">IF($A385="","",$G385&amp;"|"&amp;$J385)</f>
        <v/>
      </c>
      <c r="L385" s="10" t="str">
        <f aca="false">IF($A385="","",ROW()-2)</f>
        <v/>
      </c>
      <c r="M385" s="10" t="str">
        <f aca="false">IF($A385="","",ROW())</f>
        <v/>
      </c>
    </row>
    <row r="386" customFormat="false" ht="15" hidden="false" customHeight="true" outlineLevel="0" collapsed="false">
      <c r="A386" s="8"/>
      <c r="B386" s="8"/>
      <c r="C386" s="8"/>
      <c r="D386" s="8"/>
      <c r="E386" s="8"/>
      <c r="F386" s="8"/>
      <c r="G386" s="10" t="str">
        <f aca="false">IF($A386="","",UPPER(SUBSTITUTE(SUBSTITUTE(SUBSTITUTE(SUBSTITUTE($A386," ",""),"(주)",""),"주식회사",""),"㈜","")))</f>
        <v/>
      </c>
      <c r="H386" s="10" t="str">
        <f aca="false">IF($B386="","",SUBSTITUTE(SUBSTITUTE(SUBSTITUTE($B386,"-","")," ",""),".",""))</f>
        <v/>
      </c>
      <c r="I386" s="10" t="str">
        <f aca="false">IF($D386="","",SUBSTITUTE(SUBSTITUTE(SUBSTITUTE($D386,"-","")," ",""),".",""))</f>
        <v/>
      </c>
      <c r="J386" s="10" t="str">
        <f aca="false">IF($E386="","",UPPER(SUBSTITUTE($E386," ","")))</f>
        <v/>
      </c>
      <c r="K386" s="10" t="str">
        <f aca="false">IF($A386="","",$G386&amp;"|"&amp;$J386)</f>
        <v/>
      </c>
      <c r="L386" s="10" t="str">
        <f aca="false">IF($A386="","",ROW()-2)</f>
        <v/>
      </c>
      <c r="M386" s="10" t="str">
        <f aca="false">IF($A386="","",ROW())</f>
        <v/>
      </c>
    </row>
    <row r="387" customFormat="false" ht="15" hidden="false" customHeight="true" outlineLevel="0" collapsed="false">
      <c r="A387" s="8"/>
      <c r="B387" s="8"/>
      <c r="C387" s="8"/>
      <c r="D387" s="8"/>
      <c r="E387" s="8"/>
      <c r="F387" s="8"/>
      <c r="G387" s="10" t="str">
        <f aca="false">IF($A387="","",UPPER(SUBSTITUTE(SUBSTITUTE(SUBSTITUTE(SUBSTITUTE($A387," ",""),"(주)",""),"주식회사",""),"㈜","")))</f>
        <v/>
      </c>
      <c r="H387" s="10" t="str">
        <f aca="false">IF($B387="","",SUBSTITUTE(SUBSTITUTE(SUBSTITUTE($B387,"-","")," ",""),".",""))</f>
        <v/>
      </c>
      <c r="I387" s="10" t="str">
        <f aca="false">IF($D387="","",SUBSTITUTE(SUBSTITUTE(SUBSTITUTE($D387,"-","")," ",""),".",""))</f>
        <v/>
      </c>
      <c r="J387" s="10" t="str">
        <f aca="false">IF($E387="","",UPPER(SUBSTITUTE($E387," ","")))</f>
        <v/>
      </c>
      <c r="K387" s="10" t="str">
        <f aca="false">IF($A387="","",$G387&amp;"|"&amp;$J387)</f>
        <v/>
      </c>
      <c r="L387" s="10" t="str">
        <f aca="false">IF($A387="","",ROW()-2)</f>
        <v/>
      </c>
      <c r="M387" s="10" t="str">
        <f aca="false">IF($A387="","",ROW())</f>
        <v/>
      </c>
    </row>
    <row r="388" customFormat="false" ht="15" hidden="false" customHeight="true" outlineLevel="0" collapsed="false">
      <c r="A388" s="8"/>
      <c r="B388" s="8"/>
      <c r="C388" s="8"/>
      <c r="D388" s="8"/>
      <c r="E388" s="8"/>
      <c r="F388" s="8"/>
      <c r="G388" s="10" t="str">
        <f aca="false">IF($A388="","",UPPER(SUBSTITUTE(SUBSTITUTE(SUBSTITUTE(SUBSTITUTE($A388," ",""),"(주)",""),"주식회사",""),"㈜","")))</f>
        <v/>
      </c>
      <c r="H388" s="10" t="str">
        <f aca="false">IF($B388="","",SUBSTITUTE(SUBSTITUTE(SUBSTITUTE($B388,"-","")," ",""),".",""))</f>
        <v/>
      </c>
      <c r="I388" s="10" t="str">
        <f aca="false">IF($D388="","",SUBSTITUTE(SUBSTITUTE(SUBSTITUTE($D388,"-","")," ",""),".",""))</f>
        <v/>
      </c>
      <c r="J388" s="10" t="str">
        <f aca="false">IF($E388="","",UPPER(SUBSTITUTE($E388," ","")))</f>
        <v/>
      </c>
      <c r="K388" s="10" t="str">
        <f aca="false">IF($A388="","",$G388&amp;"|"&amp;$J388)</f>
        <v/>
      </c>
      <c r="L388" s="10" t="str">
        <f aca="false">IF($A388="","",ROW()-2)</f>
        <v/>
      </c>
      <c r="M388" s="10" t="str">
        <f aca="false">IF($A388="","",ROW())</f>
        <v/>
      </c>
    </row>
    <row r="389" customFormat="false" ht="15" hidden="false" customHeight="true" outlineLevel="0" collapsed="false">
      <c r="A389" s="8"/>
      <c r="B389" s="8"/>
      <c r="C389" s="8"/>
      <c r="D389" s="8"/>
      <c r="E389" s="8"/>
      <c r="F389" s="8"/>
      <c r="G389" s="10" t="str">
        <f aca="false">IF($A389="","",UPPER(SUBSTITUTE(SUBSTITUTE(SUBSTITUTE(SUBSTITUTE($A389," ",""),"(주)",""),"주식회사",""),"㈜","")))</f>
        <v/>
      </c>
      <c r="H389" s="10" t="str">
        <f aca="false">IF($B389="","",SUBSTITUTE(SUBSTITUTE(SUBSTITUTE($B389,"-","")," ",""),".",""))</f>
        <v/>
      </c>
      <c r="I389" s="10" t="str">
        <f aca="false">IF($D389="","",SUBSTITUTE(SUBSTITUTE(SUBSTITUTE($D389,"-","")," ",""),".",""))</f>
        <v/>
      </c>
      <c r="J389" s="10" t="str">
        <f aca="false">IF($E389="","",UPPER(SUBSTITUTE($E389," ","")))</f>
        <v/>
      </c>
      <c r="K389" s="10" t="str">
        <f aca="false">IF($A389="","",$G389&amp;"|"&amp;$J389)</f>
        <v/>
      </c>
      <c r="L389" s="10" t="str">
        <f aca="false">IF($A389="","",ROW()-2)</f>
        <v/>
      </c>
      <c r="M389" s="10" t="str">
        <f aca="false">IF($A389="","",ROW())</f>
        <v/>
      </c>
    </row>
    <row r="390" customFormat="false" ht="15" hidden="false" customHeight="true" outlineLevel="0" collapsed="false">
      <c r="A390" s="8"/>
      <c r="B390" s="8"/>
      <c r="C390" s="8"/>
      <c r="D390" s="8"/>
      <c r="E390" s="8"/>
      <c r="F390" s="8"/>
      <c r="G390" s="10" t="str">
        <f aca="false">IF($A390="","",UPPER(SUBSTITUTE(SUBSTITUTE(SUBSTITUTE(SUBSTITUTE($A390," ",""),"(주)",""),"주식회사",""),"㈜","")))</f>
        <v/>
      </c>
      <c r="H390" s="10" t="str">
        <f aca="false">IF($B390="","",SUBSTITUTE(SUBSTITUTE(SUBSTITUTE($B390,"-","")," ",""),".",""))</f>
        <v/>
      </c>
      <c r="I390" s="10" t="str">
        <f aca="false">IF($D390="","",SUBSTITUTE(SUBSTITUTE(SUBSTITUTE($D390,"-","")," ",""),".",""))</f>
        <v/>
      </c>
      <c r="J390" s="10" t="str">
        <f aca="false">IF($E390="","",UPPER(SUBSTITUTE($E390," ","")))</f>
        <v/>
      </c>
      <c r="K390" s="10" t="str">
        <f aca="false">IF($A390="","",$G390&amp;"|"&amp;$J390)</f>
        <v/>
      </c>
      <c r="L390" s="10" t="str">
        <f aca="false">IF($A390="","",ROW()-2)</f>
        <v/>
      </c>
      <c r="M390" s="10" t="str">
        <f aca="false">IF($A390="","",ROW())</f>
        <v/>
      </c>
    </row>
    <row r="391" customFormat="false" ht="15" hidden="false" customHeight="true" outlineLevel="0" collapsed="false">
      <c r="A391" s="8"/>
      <c r="B391" s="8"/>
      <c r="C391" s="8"/>
      <c r="D391" s="8"/>
      <c r="E391" s="8"/>
      <c r="F391" s="8"/>
      <c r="G391" s="10" t="str">
        <f aca="false">IF($A391="","",UPPER(SUBSTITUTE(SUBSTITUTE(SUBSTITUTE(SUBSTITUTE($A391," ",""),"(주)",""),"주식회사",""),"㈜","")))</f>
        <v/>
      </c>
      <c r="H391" s="10" t="str">
        <f aca="false">IF($B391="","",SUBSTITUTE(SUBSTITUTE(SUBSTITUTE($B391,"-","")," ",""),".",""))</f>
        <v/>
      </c>
      <c r="I391" s="10" t="str">
        <f aca="false">IF($D391="","",SUBSTITUTE(SUBSTITUTE(SUBSTITUTE($D391,"-","")," ",""),".",""))</f>
        <v/>
      </c>
      <c r="J391" s="10" t="str">
        <f aca="false">IF($E391="","",UPPER(SUBSTITUTE($E391," ","")))</f>
        <v/>
      </c>
      <c r="K391" s="10" t="str">
        <f aca="false">IF($A391="","",$G391&amp;"|"&amp;$J391)</f>
        <v/>
      </c>
      <c r="L391" s="10" t="str">
        <f aca="false">IF($A391="","",ROW()-2)</f>
        <v/>
      </c>
      <c r="M391" s="10" t="str">
        <f aca="false">IF($A391="","",ROW())</f>
        <v/>
      </c>
    </row>
    <row r="392" customFormat="false" ht="15" hidden="false" customHeight="true" outlineLevel="0" collapsed="false">
      <c r="A392" s="8"/>
      <c r="B392" s="8"/>
      <c r="C392" s="8"/>
      <c r="D392" s="8"/>
      <c r="E392" s="8"/>
      <c r="F392" s="8"/>
      <c r="G392" s="10" t="str">
        <f aca="false">IF($A392="","",UPPER(SUBSTITUTE(SUBSTITUTE(SUBSTITUTE(SUBSTITUTE($A392," ",""),"(주)",""),"주식회사",""),"㈜","")))</f>
        <v/>
      </c>
      <c r="H392" s="10" t="str">
        <f aca="false">IF($B392="","",SUBSTITUTE(SUBSTITUTE(SUBSTITUTE($B392,"-","")," ",""),".",""))</f>
        <v/>
      </c>
      <c r="I392" s="10" t="str">
        <f aca="false">IF($D392="","",SUBSTITUTE(SUBSTITUTE(SUBSTITUTE($D392,"-","")," ",""),".",""))</f>
        <v/>
      </c>
      <c r="J392" s="10" t="str">
        <f aca="false">IF($E392="","",UPPER(SUBSTITUTE($E392," ","")))</f>
        <v/>
      </c>
      <c r="K392" s="10" t="str">
        <f aca="false">IF($A392="","",$G392&amp;"|"&amp;$J392)</f>
        <v/>
      </c>
      <c r="L392" s="10" t="str">
        <f aca="false">IF($A392="","",ROW()-2)</f>
        <v/>
      </c>
      <c r="M392" s="10" t="str">
        <f aca="false">IF($A392="","",ROW())</f>
        <v/>
      </c>
    </row>
    <row r="393" customFormat="false" ht="15" hidden="false" customHeight="true" outlineLevel="0" collapsed="false">
      <c r="A393" s="8"/>
      <c r="B393" s="8"/>
      <c r="C393" s="8"/>
      <c r="D393" s="8"/>
      <c r="E393" s="8"/>
      <c r="F393" s="8"/>
      <c r="G393" s="10" t="str">
        <f aca="false">IF($A393="","",UPPER(SUBSTITUTE(SUBSTITUTE(SUBSTITUTE(SUBSTITUTE($A393," ",""),"(주)",""),"주식회사",""),"㈜","")))</f>
        <v/>
      </c>
      <c r="H393" s="10" t="str">
        <f aca="false">IF($B393="","",SUBSTITUTE(SUBSTITUTE(SUBSTITUTE($B393,"-","")," ",""),".",""))</f>
        <v/>
      </c>
      <c r="I393" s="10" t="str">
        <f aca="false">IF($D393="","",SUBSTITUTE(SUBSTITUTE(SUBSTITUTE($D393,"-","")," ",""),".",""))</f>
        <v/>
      </c>
      <c r="J393" s="10" t="str">
        <f aca="false">IF($E393="","",UPPER(SUBSTITUTE($E393," ","")))</f>
        <v/>
      </c>
      <c r="K393" s="10" t="str">
        <f aca="false">IF($A393="","",$G393&amp;"|"&amp;$J393)</f>
        <v/>
      </c>
      <c r="L393" s="10" t="str">
        <f aca="false">IF($A393="","",ROW()-2)</f>
        <v/>
      </c>
      <c r="M393" s="10" t="str">
        <f aca="false">IF($A393="","",ROW())</f>
        <v/>
      </c>
    </row>
    <row r="394" customFormat="false" ht="15" hidden="false" customHeight="true" outlineLevel="0" collapsed="false">
      <c r="A394" s="8"/>
      <c r="B394" s="8"/>
      <c r="C394" s="8"/>
      <c r="D394" s="8"/>
      <c r="E394" s="8"/>
      <c r="F394" s="8"/>
      <c r="G394" s="10" t="str">
        <f aca="false">IF($A394="","",UPPER(SUBSTITUTE(SUBSTITUTE(SUBSTITUTE(SUBSTITUTE($A394," ",""),"(주)",""),"주식회사",""),"㈜","")))</f>
        <v/>
      </c>
      <c r="H394" s="10" t="str">
        <f aca="false">IF($B394="","",SUBSTITUTE(SUBSTITUTE(SUBSTITUTE($B394,"-","")," ",""),".",""))</f>
        <v/>
      </c>
      <c r="I394" s="10" t="str">
        <f aca="false">IF($D394="","",SUBSTITUTE(SUBSTITUTE(SUBSTITUTE($D394,"-","")," ",""),".",""))</f>
        <v/>
      </c>
      <c r="J394" s="10" t="str">
        <f aca="false">IF($E394="","",UPPER(SUBSTITUTE($E394," ","")))</f>
        <v/>
      </c>
      <c r="K394" s="10" t="str">
        <f aca="false">IF($A394="","",$G394&amp;"|"&amp;$J394)</f>
        <v/>
      </c>
      <c r="L394" s="10" t="str">
        <f aca="false">IF($A394="","",ROW()-2)</f>
        <v/>
      </c>
      <c r="M394" s="10" t="str">
        <f aca="false">IF($A394="","",ROW())</f>
        <v/>
      </c>
    </row>
    <row r="395" customFormat="false" ht="15" hidden="false" customHeight="true" outlineLevel="0" collapsed="false">
      <c r="A395" s="8"/>
      <c r="B395" s="8"/>
      <c r="C395" s="8"/>
      <c r="D395" s="8"/>
      <c r="E395" s="8"/>
      <c r="F395" s="8"/>
      <c r="G395" s="10" t="str">
        <f aca="false">IF($A395="","",UPPER(SUBSTITUTE(SUBSTITUTE(SUBSTITUTE(SUBSTITUTE($A395," ",""),"(주)",""),"주식회사",""),"㈜","")))</f>
        <v/>
      </c>
      <c r="H395" s="10" t="str">
        <f aca="false">IF($B395="","",SUBSTITUTE(SUBSTITUTE(SUBSTITUTE($B395,"-","")," ",""),".",""))</f>
        <v/>
      </c>
      <c r="I395" s="10" t="str">
        <f aca="false">IF($D395="","",SUBSTITUTE(SUBSTITUTE(SUBSTITUTE($D395,"-","")," ",""),".",""))</f>
        <v/>
      </c>
      <c r="J395" s="10" t="str">
        <f aca="false">IF($E395="","",UPPER(SUBSTITUTE($E395," ","")))</f>
        <v/>
      </c>
      <c r="K395" s="10" t="str">
        <f aca="false">IF($A395="","",$G395&amp;"|"&amp;$J395)</f>
        <v/>
      </c>
      <c r="L395" s="10" t="str">
        <f aca="false">IF($A395="","",ROW()-2)</f>
        <v/>
      </c>
      <c r="M395" s="10" t="str">
        <f aca="false">IF($A395="","",ROW())</f>
        <v/>
      </c>
    </row>
    <row r="396" customFormat="false" ht="15" hidden="false" customHeight="true" outlineLevel="0" collapsed="false">
      <c r="A396" s="8"/>
      <c r="B396" s="8"/>
      <c r="C396" s="8"/>
      <c r="D396" s="8"/>
      <c r="E396" s="8"/>
      <c r="F396" s="8"/>
      <c r="G396" s="10" t="str">
        <f aca="false">IF($A396="","",UPPER(SUBSTITUTE(SUBSTITUTE(SUBSTITUTE(SUBSTITUTE($A396," ",""),"(주)",""),"주식회사",""),"㈜","")))</f>
        <v/>
      </c>
      <c r="H396" s="10" t="str">
        <f aca="false">IF($B396="","",SUBSTITUTE(SUBSTITUTE(SUBSTITUTE($B396,"-","")," ",""),".",""))</f>
        <v/>
      </c>
      <c r="I396" s="10" t="str">
        <f aca="false">IF($D396="","",SUBSTITUTE(SUBSTITUTE(SUBSTITUTE($D396,"-","")," ",""),".",""))</f>
        <v/>
      </c>
      <c r="J396" s="10" t="str">
        <f aca="false">IF($E396="","",UPPER(SUBSTITUTE($E396," ","")))</f>
        <v/>
      </c>
      <c r="K396" s="10" t="str">
        <f aca="false">IF($A396="","",$G396&amp;"|"&amp;$J396)</f>
        <v/>
      </c>
      <c r="L396" s="10" t="str">
        <f aca="false">IF($A396="","",ROW()-2)</f>
        <v/>
      </c>
      <c r="M396" s="10" t="str">
        <f aca="false">IF($A396="","",ROW())</f>
        <v/>
      </c>
    </row>
    <row r="397" customFormat="false" ht="15" hidden="false" customHeight="true" outlineLevel="0" collapsed="false">
      <c r="A397" s="8"/>
      <c r="B397" s="8"/>
      <c r="C397" s="8"/>
      <c r="D397" s="8"/>
      <c r="E397" s="8"/>
      <c r="F397" s="8"/>
      <c r="G397" s="10" t="str">
        <f aca="false">IF($A397="","",UPPER(SUBSTITUTE(SUBSTITUTE(SUBSTITUTE(SUBSTITUTE($A397," ",""),"(주)",""),"주식회사",""),"㈜","")))</f>
        <v/>
      </c>
      <c r="H397" s="10" t="str">
        <f aca="false">IF($B397="","",SUBSTITUTE(SUBSTITUTE(SUBSTITUTE($B397,"-","")," ",""),".",""))</f>
        <v/>
      </c>
      <c r="I397" s="10" t="str">
        <f aca="false">IF($D397="","",SUBSTITUTE(SUBSTITUTE(SUBSTITUTE($D397,"-","")," ",""),".",""))</f>
        <v/>
      </c>
      <c r="J397" s="10" t="str">
        <f aca="false">IF($E397="","",UPPER(SUBSTITUTE($E397," ","")))</f>
        <v/>
      </c>
      <c r="K397" s="10" t="str">
        <f aca="false">IF($A397="","",$G397&amp;"|"&amp;$J397)</f>
        <v/>
      </c>
      <c r="L397" s="10" t="str">
        <f aca="false">IF($A397="","",ROW()-2)</f>
        <v/>
      </c>
      <c r="M397" s="10" t="str">
        <f aca="false">IF($A397="","",ROW())</f>
        <v/>
      </c>
    </row>
    <row r="398" customFormat="false" ht="15" hidden="false" customHeight="true" outlineLevel="0" collapsed="false">
      <c r="A398" s="8"/>
      <c r="B398" s="8"/>
      <c r="C398" s="8"/>
      <c r="D398" s="8"/>
      <c r="E398" s="8"/>
      <c r="F398" s="8"/>
      <c r="G398" s="10" t="str">
        <f aca="false">IF($A398="","",UPPER(SUBSTITUTE(SUBSTITUTE(SUBSTITUTE(SUBSTITUTE($A398," ",""),"(주)",""),"주식회사",""),"㈜","")))</f>
        <v/>
      </c>
      <c r="H398" s="10" t="str">
        <f aca="false">IF($B398="","",SUBSTITUTE(SUBSTITUTE(SUBSTITUTE($B398,"-","")," ",""),".",""))</f>
        <v/>
      </c>
      <c r="I398" s="10" t="str">
        <f aca="false">IF($D398="","",SUBSTITUTE(SUBSTITUTE(SUBSTITUTE($D398,"-","")," ",""),".",""))</f>
        <v/>
      </c>
      <c r="J398" s="10" t="str">
        <f aca="false">IF($E398="","",UPPER(SUBSTITUTE($E398," ","")))</f>
        <v/>
      </c>
      <c r="K398" s="10" t="str">
        <f aca="false">IF($A398="","",$G398&amp;"|"&amp;$J398)</f>
        <v/>
      </c>
      <c r="L398" s="10" t="str">
        <f aca="false">IF($A398="","",ROW()-2)</f>
        <v/>
      </c>
      <c r="M398" s="10" t="str">
        <f aca="false">IF($A398="","",ROW())</f>
        <v/>
      </c>
    </row>
    <row r="399" customFormat="false" ht="15" hidden="false" customHeight="true" outlineLevel="0" collapsed="false">
      <c r="A399" s="8"/>
      <c r="B399" s="8"/>
      <c r="C399" s="8"/>
      <c r="D399" s="8"/>
      <c r="E399" s="8"/>
      <c r="F399" s="8"/>
      <c r="G399" s="10" t="str">
        <f aca="false">IF($A399="","",UPPER(SUBSTITUTE(SUBSTITUTE(SUBSTITUTE(SUBSTITUTE($A399," ",""),"(주)",""),"주식회사",""),"㈜","")))</f>
        <v/>
      </c>
      <c r="H399" s="10" t="str">
        <f aca="false">IF($B399="","",SUBSTITUTE(SUBSTITUTE(SUBSTITUTE($B399,"-","")," ",""),".",""))</f>
        <v/>
      </c>
      <c r="I399" s="10" t="str">
        <f aca="false">IF($D399="","",SUBSTITUTE(SUBSTITUTE(SUBSTITUTE($D399,"-","")," ",""),".",""))</f>
        <v/>
      </c>
      <c r="J399" s="10" t="str">
        <f aca="false">IF($E399="","",UPPER(SUBSTITUTE($E399," ","")))</f>
        <v/>
      </c>
      <c r="K399" s="10" t="str">
        <f aca="false">IF($A399="","",$G399&amp;"|"&amp;$J399)</f>
        <v/>
      </c>
      <c r="L399" s="10" t="str">
        <f aca="false">IF($A399="","",ROW()-2)</f>
        <v/>
      </c>
      <c r="M399" s="10" t="str">
        <f aca="false">IF($A399="","",ROW())</f>
        <v/>
      </c>
    </row>
    <row r="400" customFormat="false" ht="15" hidden="false" customHeight="true" outlineLevel="0" collapsed="false">
      <c r="A400" s="8"/>
      <c r="B400" s="8"/>
      <c r="C400" s="8"/>
      <c r="D400" s="8"/>
      <c r="E400" s="8"/>
      <c r="F400" s="8"/>
      <c r="G400" s="10" t="str">
        <f aca="false">IF($A400="","",UPPER(SUBSTITUTE(SUBSTITUTE(SUBSTITUTE(SUBSTITUTE($A400," ",""),"(주)",""),"주식회사",""),"㈜","")))</f>
        <v/>
      </c>
      <c r="H400" s="10" t="str">
        <f aca="false">IF($B400="","",SUBSTITUTE(SUBSTITUTE(SUBSTITUTE($B400,"-","")," ",""),".",""))</f>
        <v/>
      </c>
      <c r="I400" s="10" t="str">
        <f aca="false">IF($D400="","",SUBSTITUTE(SUBSTITUTE(SUBSTITUTE($D400,"-","")," ",""),".",""))</f>
        <v/>
      </c>
      <c r="J400" s="10" t="str">
        <f aca="false">IF($E400="","",UPPER(SUBSTITUTE($E400," ","")))</f>
        <v/>
      </c>
      <c r="K400" s="10" t="str">
        <f aca="false">IF($A400="","",$G400&amp;"|"&amp;$J400)</f>
        <v/>
      </c>
      <c r="L400" s="10" t="str">
        <f aca="false">IF($A400="","",ROW()-2)</f>
        <v/>
      </c>
      <c r="M400" s="10" t="str">
        <f aca="false">IF($A400="","",ROW())</f>
        <v/>
      </c>
    </row>
    <row r="401" customFormat="false" ht="15" hidden="false" customHeight="true" outlineLevel="0" collapsed="false">
      <c r="A401" s="8"/>
      <c r="B401" s="8"/>
      <c r="C401" s="8"/>
      <c r="D401" s="8"/>
      <c r="E401" s="8"/>
      <c r="F401" s="8"/>
      <c r="G401" s="10" t="str">
        <f aca="false">IF($A401="","",UPPER(SUBSTITUTE(SUBSTITUTE(SUBSTITUTE(SUBSTITUTE($A401," ",""),"(주)",""),"주식회사",""),"㈜","")))</f>
        <v/>
      </c>
      <c r="H401" s="10" t="str">
        <f aca="false">IF($B401="","",SUBSTITUTE(SUBSTITUTE(SUBSTITUTE($B401,"-","")," ",""),".",""))</f>
        <v/>
      </c>
      <c r="I401" s="10" t="str">
        <f aca="false">IF($D401="","",SUBSTITUTE(SUBSTITUTE(SUBSTITUTE($D401,"-","")," ",""),".",""))</f>
        <v/>
      </c>
      <c r="J401" s="10" t="str">
        <f aca="false">IF($E401="","",UPPER(SUBSTITUTE($E401," ","")))</f>
        <v/>
      </c>
      <c r="K401" s="10" t="str">
        <f aca="false">IF($A401="","",$G401&amp;"|"&amp;$J401)</f>
        <v/>
      </c>
      <c r="L401" s="10" t="str">
        <f aca="false">IF($A401="","",ROW()-2)</f>
        <v/>
      </c>
      <c r="M401" s="10" t="str">
        <f aca="false">IF($A401="","",ROW())</f>
        <v/>
      </c>
    </row>
    <row r="402" customFormat="false" ht="15" hidden="false" customHeight="true" outlineLevel="0" collapsed="false">
      <c r="A402" s="8"/>
      <c r="B402" s="8"/>
      <c r="C402" s="8"/>
      <c r="D402" s="8"/>
      <c r="E402" s="8"/>
      <c r="F402" s="8"/>
      <c r="G402" s="10" t="str">
        <f aca="false">IF($A402="","",UPPER(SUBSTITUTE(SUBSTITUTE(SUBSTITUTE(SUBSTITUTE($A402," ",""),"(주)",""),"주식회사",""),"㈜","")))</f>
        <v/>
      </c>
      <c r="H402" s="10" t="str">
        <f aca="false">IF($B402="","",SUBSTITUTE(SUBSTITUTE(SUBSTITUTE($B402,"-","")," ",""),".",""))</f>
        <v/>
      </c>
      <c r="I402" s="10" t="str">
        <f aca="false">IF($D402="","",SUBSTITUTE(SUBSTITUTE(SUBSTITUTE($D402,"-","")," ",""),".",""))</f>
        <v/>
      </c>
      <c r="J402" s="10" t="str">
        <f aca="false">IF($E402="","",UPPER(SUBSTITUTE($E402," ","")))</f>
        <v/>
      </c>
      <c r="K402" s="10" t="str">
        <f aca="false">IF($A402="","",$G402&amp;"|"&amp;$J402)</f>
        <v/>
      </c>
      <c r="L402" s="10" t="str">
        <f aca="false">IF($A402="","",ROW()-2)</f>
        <v/>
      </c>
      <c r="M402" s="10" t="str">
        <f aca="false">IF($A402="","",ROW())</f>
        <v/>
      </c>
    </row>
    <row r="403" customFormat="false" ht="15" hidden="false" customHeight="true" outlineLevel="0" collapsed="false">
      <c r="A403" s="8"/>
      <c r="B403" s="8"/>
      <c r="C403" s="8"/>
      <c r="D403" s="8"/>
      <c r="E403" s="8"/>
      <c r="F403" s="8"/>
      <c r="G403" s="10" t="str">
        <f aca="false">IF($A403="","",UPPER(SUBSTITUTE(SUBSTITUTE(SUBSTITUTE(SUBSTITUTE($A403," ",""),"(주)",""),"주식회사",""),"㈜","")))</f>
        <v/>
      </c>
      <c r="H403" s="10" t="str">
        <f aca="false">IF($B403="","",SUBSTITUTE(SUBSTITUTE(SUBSTITUTE($B403,"-","")," ",""),".",""))</f>
        <v/>
      </c>
      <c r="I403" s="10" t="str">
        <f aca="false">IF($D403="","",SUBSTITUTE(SUBSTITUTE(SUBSTITUTE($D403,"-","")," ",""),".",""))</f>
        <v/>
      </c>
      <c r="J403" s="10" t="str">
        <f aca="false">IF($E403="","",UPPER(SUBSTITUTE($E403," ","")))</f>
        <v/>
      </c>
      <c r="K403" s="10" t="str">
        <f aca="false">IF($A403="","",$G403&amp;"|"&amp;$J403)</f>
        <v/>
      </c>
      <c r="L403" s="10" t="str">
        <f aca="false">IF($A403="","",ROW()-2)</f>
        <v/>
      </c>
      <c r="M403" s="10" t="str">
        <f aca="false">IF($A403="","",ROW())</f>
        <v/>
      </c>
    </row>
    <row r="404" customFormat="false" ht="15" hidden="false" customHeight="true" outlineLevel="0" collapsed="false">
      <c r="A404" s="8"/>
      <c r="B404" s="8"/>
      <c r="C404" s="8"/>
      <c r="D404" s="8"/>
      <c r="E404" s="8"/>
      <c r="F404" s="8"/>
      <c r="G404" s="10" t="str">
        <f aca="false">IF($A404="","",UPPER(SUBSTITUTE(SUBSTITUTE(SUBSTITUTE(SUBSTITUTE($A404," ",""),"(주)",""),"주식회사",""),"㈜","")))</f>
        <v/>
      </c>
      <c r="H404" s="10" t="str">
        <f aca="false">IF($B404="","",SUBSTITUTE(SUBSTITUTE(SUBSTITUTE($B404,"-","")," ",""),".",""))</f>
        <v/>
      </c>
      <c r="I404" s="10" t="str">
        <f aca="false">IF($D404="","",SUBSTITUTE(SUBSTITUTE(SUBSTITUTE($D404,"-","")," ",""),".",""))</f>
        <v/>
      </c>
      <c r="J404" s="10" t="str">
        <f aca="false">IF($E404="","",UPPER(SUBSTITUTE($E404," ","")))</f>
        <v/>
      </c>
      <c r="K404" s="10" t="str">
        <f aca="false">IF($A404="","",$G404&amp;"|"&amp;$J404)</f>
        <v/>
      </c>
      <c r="L404" s="10" t="str">
        <f aca="false">IF($A404="","",ROW()-2)</f>
        <v/>
      </c>
      <c r="M404" s="10" t="str">
        <f aca="false">IF($A404="","",ROW())</f>
        <v/>
      </c>
    </row>
    <row r="405" customFormat="false" ht="15" hidden="false" customHeight="true" outlineLevel="0" collapsed="false">
      <c r="A405" s="8"/>
      <c r="B405" s="8"/>
      <c r="C405" s="8"/>
      <c r="D405" s="8"/>
      <c r="E405" s="8"/>
      <c r="F405" s="8"/>
      <c r="G405" s="10" t="str">
        <f aca="false">IF($A405="","",UPPER(SUBSTITUTE(SUBSTITUTE(SUBSTITUTE(SUBSTITUTE($A405," ",""),"(주)",""),"주식회사",""),"㈜","")))</f>
        <v/>
      </c>
      <c r="H405" s="10" t="str">
        <f aca="false">IF($B405="","",SUBSTITUTE(SUBSTITUTE(SUBSTITUTE($B405,"-","")," ",""),".",""))</f>
        <v/>
      </c>
      <c r="I405" s="10" t="str">
        <f aca="false">IF($D405="","",SUBSTITUTE(SUBSTITUTE(SUBSTITUTE($D405,"-","")," ",""),".",""))</f>
        <v/>
      </c>
      <c r="J405" s="10" t="str">
        <f aca="false">IF($E405="","",UPPER(SUBSTITUTE($E405," ","")))</f>
        <v/>
      </c>
      <c r="K405" s="10" t="str">
        <f aca="false">IF($A405="","",$G405&amp;"|"&amp;$J405)</f>
        <v/>
      </c>
      <c r="L405" s="10" t="str">
        <f aca="false">IF($A405="","",ROW()-2)</f>
        <v/>
      </c>
      <c r="M405" s="10" t="str">
        <f aca="false">IF($A405="","",ROW())</f>
        <v/>
      </c>
    </row>
    <row r="406" customFormat="false" ht="15" hidden="false" customHeight="true" outlineLevel="0" collapsed="false">
      <c r="A406" s="8"/>
      <c r="B406" s="8"/>
      <c r="C406" s="8"/>
      <c r="D406" s="8"/>
      <c r="E406" s="8"/>
      <c r="F406" s="8"/>
      <c r="G406" s="10" t="str">
        <f aca="false">IF($A406="","",UPPER(SUBSTITUTE(SUBSTITUTE(SUBSTITUTE(SUBSTITUTE($A406," ",""),"(주)",""),"주식회사",""),"㈜","")))</f>
        <v/>
      </c>
      <c r="H406" s="10" t="str">
        <f aca="false">IF($B406="","",SUBSTITUTE(SUBSTITUTE(SUBSTITUTE($B406,"-","")," ",""),".",""))</f>
        <v/>
      </c>
      <c r="I406" s="10" t="str">
        <f aca="false">IF($D406="","",SUBSTITUTE(SUBSTITUTE(SUBSTITUTE($D406,"-","")," ",""),".",""))</f>
        <v/>
      </c>
      <c r="J406" s="10" t="str">
        <f aca="false">IF($E406="","",UPPER(SUBSTITUTE($E406," ","")))</f>
        <v/>
      </c>
      <c r="K406" s="10" t="str">
        <f aca="false">IF($A406="","",$G406&amp;"|"&amp;$J406)</f>
        <v/>
      </c>
      <c r="L406" s="10" t="str">
        <f aca="false">IF($A406="","",ROW()-2)</f>
        <v/>
      </c>
      <c r="M406" s="10" t="str">
        <f aca="false">IF($A406="","",ROW())</f>
        <v/>
      </c>
    </row>
    <row r="407" customFormat="false" ht="15" hidden="false" customHeight="true" outlineLevel="0" collapsed="false">
      <c r="A407" s="8"/>
      <c r="B407" s="8"/>
      <c r="C407" s="8"/>
      <c r="D407" s="8"/>
      <c r="E407" s="8"/>
      <c r="F407" s="8"/>
      <c r="G407" s="10" t="str">
        <f aca="false">IF($A407="","",UPPER(SUBSTITUTE(SUBSTITUTE(SUBSTITUTE(SUBSTITUTE($A407," ",""),"(주)",""),"주식회사",""),"㈜","")))</f>
        <v/>
      </c>
      <c r="H407" s="10" t="str">
        <f aca="false">IF($B407="","",SUBSTITUTE(SUBSTITUTE(SUBSTITUTE($B407,"-","")," ",""),".",""))</f>
        <v/>
      </c>
      <c r="I407" s="10" t="str">
        <f aca="false">IF($D407="","",SUBSTITUTE(SUBSTITUTE(SUBSTITUTE($D407,"-","")," ",""),".",""))</f>
        <v/>
      </c>
      <c r="J407" s="10" t="str">
        <f aca="false">IF($E407="","",UPPER(SUBSTITUTE($E407," ","")))</f>
        <v/>
      </c>
      <c r="K407" s="10" t="str">
        <f aca="false">IF($A407="","",$G407&amp;"|"&amp;$J407)</f>
        <v/>
      </c>
      <c r="L407" s="10" t="str">
        <f aca="false">IF($A407="","",ROW()-2)</f>
        <v/>
      </c>
      <c r="M407" s="10" t="str">
        <f aca="false">IF($A407="","",ROW())</f>
        <v/>
      </c>
    </row>
    <row r="408" customFormat="false" ht="15" hidden="false" customHeight="true" outlineLevel="0" collapsed="false">
      <c r="A408" s="8"/>
      <c r="B408" s="8"/>
      <c r="C408" s="8"/>
      <c r="D408" s="8"/>
      <c r="E408" s="8"/>
      <c r="F408" s="8"/>
      <c r="G408" s="10" t="str">
        <f aca="false">IF($A408="","",UPPER(SUBSTITUTE(SUBSTITUTE(SUBSTITUTE(SUBSTITUTE($A408," ",""),"(주)",""),"주식회사",""),"㈜","")))</f>
        <v/>
      </c>
      <c r="H408" s="10" t="str">
        <f aca="false">IF($B408="","",SUBSTITUTE(SUBSTITUTE(SUBSTITUTE($B408,"-","")," ",""),".",""))</f>
        <v/>
      </c>
      <c r="I408" s="10" t="str">
        <f aca="false">IF($D408="","",SUBSTITUTE(SUBSTITUTE(SUBSTITUTE($D408,"-","")," ",""),".",""))</f>
        <v/>
      </c>
      <c r="J408" s="10" t="str">
        <f aca="false">IF($E408="","",UPPER(SUBSTITUTE($E408," ","")))</f>
        <v/>
      </c>
      <c r="K408" s="10" t="str">
        <f aca="false">IF($A408="","",$G408&amp;"|"&amp;$J408)</f>
        <v/>
      </c>
      <c r="L408" s="10" t="str">
        <f aca="false">IF($A408="","",ROW()-2)</f>
        <v/>
      </c>
      <c r="M408" s="10" t="str">
        <f aca="false">IF($A408="","",ROW())</f>
        <v/>
      </c>
    </row>
    <row r="409" customFormat="false" ht="15" hidden="false" customHeight="true" outlineLevel="0" collapsed="false">
      <c r="A409" s="8"/>
      <c r="B409" s="8"/>
      <c r="C409" s="8"/>
      <c r="D409" s="8"/>
      <c r="E409" s="8"/>
      <c r="F409" s="8"/>
      <c r="G409" s="10" t="str">
        <f aca="false">IF($A409="","",UPPER(SUBSTITUTE(SUBSTITUTE(SUBSTITUTE(SUBSTITUTE($A409," ",""),"(주)",""),"주식회사",""),"㈜","")))</f>
        <v/>
      </c>
      <c r="H409" s="10" t="str">
        <f aca="false">IF($B409="","",SUBSTITUTE(SUBSTITUTE(SUBSTITUTE($B409,"-","")," ",""),".",""))</f>
        <v/>
      </c>
      <c r="I409" s="10" t="str">
        <f aca="false">IF($D409="","",SUBSTITUTE(SUBSTITUTE(SUBSTITUTE($D409,"-","")," ",""),".",""))</f>
        <v/>
      </c>
      <c r="J409" s="10" t="str">
        <f aca="false">IF($E409="","",UPPER(SUBSTITUTE($E409," ","")))</f>
        <v/>
      </c>
      <c r="K409" s="10" t="str">
        <f aca="false">IF($A409="","",$G409&amp;"|"&amp;$J409)</f>
        <v/>
      </c>
      <c r="L409" s="10" t="str">
        <f aca="false">IF($A409="","",ROW()-2)</f>
        <v/>
      </c>
      <c r="M409" s="10" t="str">
        <f aca="false">IF($A409="","",ROW())</f>
        <v/>
      </c>
    </row>
    <row r="410" customFormat="false" ht="15" hidden="false" customHeight="true" outlineLevel="0" collapsed="false">
      <c r="A410" s="8"/>
      <c r="B410" s="8"/>
      <c r="C410" s="8"/>
      <c r="D410" s="8"/>
      <c r="E410" s="8"/>
      <c r="F410" s="8"/>
      <c r="G410" s="10" t="str">
        <f aca="false">IF($A410="","",UPPER(SUBSTITUTE(SUBSTITUTE(SUBSTITUTE(SUBSTITUTE($A410," ",""),"(주)",""),"주식회사",""),"㈜","")))</f>
        <v/>
      </c>
      <c r="H410" s="10" t="str">
        <f aca="false">IF($B410="","",SUBSTITUTE(SUBSTITUTE(SUBSTITUTE($B410,"-","")," ",""),".",""))</f>
        <v/>
      </c>
      <c r="I410" s="10" t="str">
        <f aca="false">IF($D410="","",SUBSTITUTE(SUBSTITUTE(SUBSTITUTE($D410,"-","")," ",""),".",""))</f>
        <v/>
      </c>
      <c r="J410" s="10" t="str">
        <f aca="false">IF($E410="","",UPPER(SUBSTITUTE($E410," ","")))</f>
        <v/>
      </c>
      <c r="K410" s="10" t="str">
        <f aca="false">IF($A410="","",$G410&amp;"|"&amp;$J410)</f>
        <v/>
      </c>
      <c r="L410" s="10" t="str">
        <f aca="false">IF($A410="","",ROW()-2)</f>
        <v/>
      </c>
      <c r="M410" s="10" t="str">
        <f aca="false">IF($A410="","",ROW())</f>
        <v/>
      </c>
    </row>
    <row r="411" customFormat="false" ht="15" hidden="false" customHeight="true" outlineLevel="0" collapsed="false">
      <c r="A411" s="8"/>
      <c r="B411" s="8"/>
      <c r="C411" s="8"/>
      <c r="D411" s="8"/>
      <c r="E411" s="8"/>
      <c r="F411" s="8"/>
      <c r="G411" s="10" t="str">
        <f aca="false">IF($A411="","",UPPER(SUBSTITUTE(SUBSTITUTE(SUBSTITUTE(SUBSTITUTE($A411," ",""),"(주)",""),"주식회사",""),"㈜","")))</f>
        <v/>
      </c>
      <c r="H411" s="10" t="str">
        <f aca="false">IF($B411="","",SUBSTITUTE(SUBSTITUTE(SUBSTITUTE($B411,"-","")," ",""),".",""))</f>
        <v/>
      </c>
      <c r="I411" s="10" t="str">
        <f aca="false">IF($D411="","",SUBSTITUTE(SUBSTITUTE(SUBSTITUTE($D411,"-","")," ",""),".",""))</f>
        <v/>
      </c>
      <c r="J411" s="10" t="str">
        <f aca="false">IF($E411="","",UPPER(SUBSTITUTE($E411," ","")))</f>
        <v/>
      </c>
      <c r="K411" s="10" t="str">
        <f aca="false">IF($A411="","",$G411&amp;"|"&amp;$J411)</f>
        <v/>
      </c>
      <c r="L411" s="10" t="str">
        <f aca="false">IF($A411="","",ROW()-2)</f>
        <v/>
      </c>
      <c r="M411" s="10" t="str">
        <f aca="false">IF($A411="","",ROW())</f>
        <v/>
      </c>
    </row>
    <row r="412" customFormat="false" ht="15" hidden="false" customHeight="true" outlineLevel="0" collapsed="false">
      <c r="A412" s="8"/>
      <c r="B412" s="8"/>
      <c r="C412" s="8"/>
      <c r="D412" s="8"/>
      <c r="E412" s="8"/>
      <c r="F412" s="8"/>
      <c r="G412" s="10" t="str">
        <f aca="false">IF($A412="","",UPPER(SUBSTITUTE(SUBSTITUTE(SUBSTITUTE(SUBSTITUTE($A412," ",""),"(주)",""),"주식회사",""),"㈜","")))</f>
        <v/>
      </c>
      <c r="H412" s="10" t="str">
        <f aca="false">IF($B412="","",SUBSTITUTE(SUBSTITUTE(SUBSTITUTE($B412,"-","")," ",""),".",""))</f>
        <v/>
      </c>
      <c r="I412" s="10" t="str">
        <f aca="false">IF($D412="","",SUBSTITUTE(SUBSTITUTE(SUBSTITUTE($D412,"-","")," ",""),".",""))</f>
        <v/>
      </c>
      <c r="J412" s="10" t="str">
        <f aca="false">IF($E412="","",UPPER(SUBSTITUTE($E412," ","")))</f>
        <v/>
      </c>
      <c r="K412" s="10" t="str">
        <f aca="false">IF($A412="","",$G412&amp;"|"&amp;$J412)</f>
        <v/>
      </c>
      <c r="L412" s="10" t="str">
        <f aca="false">IF($A412="","",ROW()-2)</f>
        <v/>
      </c>
      <c r="M412" s="10" t="str">
        <f aca="false">IF($A412="","",ROW())</f>
        <v/>
      </c>
    </row>
    <row r="413" customFormat="false" ht="15" hidden="false" customHeight="true" outlineLevel="0" collapsed="false">
      <c r="A413" s="8"/>
      <c r="B413" s="8"/>
      <c r="C413" s="8"/>
      <c r="D413" s="8"/>
      <c r="E413" s="8"/>
      <c r="F413" s="8"/>
      <c r="G413" s="10" t="str">
        <f aca="false">IF($A413="","",UPPER(SUBSTITUTE(SUBSTITUTE(SUBSTITUTE(SUBSTITUTE($A413," ",""),"(주)",""),"주식회사",""),"㈜","")))</f>
        <v/>
      </c>
      <c r="H413" s="10" t="str">
        <f aca="false">IF($B413="","",SUBSTITUTE(SUBSTITUTE(SUBSTITUTE($B413,"-","")," ",""),".",""))</f>
        <v/>
      </c>
      <c r="I413" s="10" t="str">
        <f aca="false">IF($D413="","",SUBSTITUTE(SUBSTITUTE(SUBSTITUTE($D413,"-","")," ",""),".",""))</f>
        <v/>
      </c>
      <c r="J413" s="10" t="str">
        <f aca="false">IF($E413="","",UPPER(SUBSTITUTE($E413," ","")))</f>
        <v/>
      </c>
      <c r="K413" s="10" t="str">
        <f aca="false">IF($A413="","",$G413&amp;"|"&amp;$J413)</f>
        <v/>
      </c>
      <c r="L413" s="10" t="str">
        <f aca="false">IF($A413="","",ROW()-2)</f>
        <v/>
      </c>
      <c r="M413" s="10" t="str">
        <f aca="false">IF($A413="","",ROW())</f>
        <v/>
      </c>
    </row>
    <row r="414" customFormat="false" ht="15" hidden="false" customHeight="true" outlineLevel="0" collapsed="false">
      <c r="A414" s="8"/>
      <c r="B414" s="8"/>
      <c r="C414" s="8"/>
      <c r="D414" s="8"/>
      <c r="E414" s="8"/>
      <c r="F414" s="8"/>
      <c r="G414" s="10" t="str">
        <f aca="false">IF($A414="","",UPPER(SUBSTITUTE(SUBSTITUTE(SUBSTITUTE(SUBSTITUTE($A414," ",""),"(주)",""),"주식회사",""),"㈜","")))</f>
        <v/>
      </c>
      <c r="H414" s="10" t="str">
        <f aca="false">IF($B414="","",SUBSTITUTE(SUBSTITUTE(SUBSTITUTE($B414,"-","")," ",""),".",""))</f>
        <v/>
      </c>
      <c r="I414" s="10" t="str">
        <f aca="false">IF($D414="","",SUBSTITUTE(SUBSTITUTE(SUBSTITUTE($D414,"-","")," ",""),".",""))</f>
        <v/>
      </c>
      <c r="J414" s="10" t="str">
        <f aca="false">IF($E414="","",UPPER(SUBSTITUTE($E414," ","")))</f>
        <v/>
      </c>
      <c r="K414" s="10" t="str">
        <f aca="false">IF($A414="","",$G414&amp;"|"&amp;$J414)</f>
        <v/>
      </c>
      <c r="L414" s="10" t="str">
        <f aca="false">IF($A414="","",ROW()-2)</f>
        <v/>
      </c>
      <c r="M414" s="10" t="str">
        <f aca="false">IF($A414="","",ROW())</f>
        <v/>
      </c>
    </row>
    <row r="415" customFormat="false" ht="15" hidden="false" customHeight="true" outlineLevel="0" collapsed="false">
      <c r="A415" s="8"/>
      <c r="B415" s="8"/>
      <c r="C415" s="8"/>
      <c r="D415" s="8"/>
      <c r="E415" s="8"/>
      <c r="F415" s="8"/>
      <c r="G415" s="10" t="str">
        <f aca="false">IF($A415="","",UPPER(SUBSTITUTE(SUBSTITUTE(SUBSTITUTE(SUBSTITUTE($A415," ",""),"(주)",""),"주식회사",""),"㈜","")))</f>
        <v/>
      </c>
      <c r="H415" s="10" t="str">
        <f aca="false">IF($B415="","",SUBSTITUTE(SUBSTITUTE(SUBSTITUTE($B415,"-","")," ",""),".",""))</f>
        <v/>
      </c>
      <c r="I415" s="10" t="str">
        <f aca="false">IF($D415="","",SUBSTITUTE(SUBSTITUTE(SUBSTITUTE($D415,"-","")," ",""),".",""))</f>
        <v/>
      </c>
      <c r="J415" s="10" t="str">
        <f aca="false">IF($E415="","",UPPER(SUBSTITUTE($E415," ","")))</f>
        <v/>
      </c>
      <c r="K415" s="10" t="str">
        <f aca="false">IF($A415="","",$G415&amp;"|"&amp;$J415)</f>
        <v/>
      </c>
      <c r="L415" s="10" t="str">
        <f aca="false">IF($A415="","",ROW()-2)</f>
        <v/>
      </c>
      <c r="M415" s="10" t="str">
        <f aca="false">IF($A415="","",ROW())</f>
        <v/>
      </c>
    </row>
    <row r="416" customFormat="false" ht="15" hidden="false" customHeight="true" outlineLevel="0" collapsed="false">
      <c r="A416" s="8"/>
      <c r="B416" s="8"/>
      <c r="C416" s="8"/>
      <c r="D416" s="8"/>
      <c r="E416" s="8"/>
      <c r="F416" s="8"/>
      <c r="G416" s="10" t="str">
        <f aca="false">IF($A416="","",UPPER(SUBSTITUTE(SUBSTITUTE(SUBSTITUTE(SUBSTITUTE($A416," ",""),"(주)",""),"주식회사",""),"㈜","")))</f>
        <v/>
      </c>
      <c r="H416" s="10" t="str">
        <f aca="false">IF($B416="","",SUBSTITUTE(SUBSTITUTE(SUBSTITUTE($B416,"-","")," ",""),".",""))</f>
        <v/>
      </c>
      <c r="I416" s="10" t="str">
        <f aca="false">IF($D416="","",SUBSTITUTE(SUBSTITUTE(SUBSTITUTE($D416,"-","")," ",""),".",""))</f>
        <v/>
      </c>
      <c r="J416" s="10" t="str">
        <f aca="false">IF($E416="","",UPPER(SUBSTITUTE($E416," ","")))</f>
        <v/>
      </c>
      <c r="K416" s="10" t="str">
        <f aca="false">IF($A416="","",$G416&amp;"|"&amp;$J416)</f>
        <v/>
      </c>
      <c r="L416" s="10" t="str">
        <f aca="false">IF($A416="","",ROW()-2)</f>
        <v/>
      </c>
      <c r="M416" s="10" t="str">
        <f aca="false">IF($A416="","",ROW())</f>
        <v/>
      </c>
    </row>
    <row r="417" customFormat="false" ht="15" hidden="false" customHeight="true" outlineLevel="0" collapsed="false">
      <c r="A417" s="8"/>
      <c r="B417" s="8"/>
      <c r="C417" s="8"/>
      <c r="D417" s="8"/>
      <c r="E417" s="8"/>
      <c r="F417" s="8"/>
      <c r="G417" s="10" t="str">
        <f aca="false">IF($A417="","",UPPER(SUBSTITUTE(SUBSTITUTE(SUBSTITUTE(SUBSTITUTE($A417," ",""),"(주)",""),"주식회사",""),"㈜","")))</f>
        <v/>
      </c>
      <c r="H417" s="10" t="str">
        <f aca="false">IF($B417="","",SUBSTITUTE(SUBSTITUTE(SUBSTITUTE($B417,"-","")," ",""),".",""))</f>
        <v/>
      </c>
      <c r="I417" s="10" t="str">
        <f aca="false">IF($D417="","",SUBSTITUTE(SUBSTITUTE(SUBSTITUTE($D417,"-","")," ",""),".",""))</f>
        <v/>
      </c>
      <c r="J417" s="10" t="str">
        <f aca="false">IF($E417="","",UPPER(SUBSTITUTE($E417," ","")))</f>
        <v/>
      </c>
      <c r="K417" s="10" t="str">
        <f aca="false">IF($A417="","",$G417&amp;"|"&amp;$J417)</f>
        <v/>
      </c>
      <c r="L417" s="10" t="str">
        <f aca="false">IF($A417="","",ROW()-2)</f>
        <v/>
      </c>
      <c r="M417" s="10" t="str">
        <f aca="false">IF($A417="","",ROW())</f>
        <v/>
      </c>
    </row>
    <row r="418" customFormat="false" ht="15" hidden="false" customHeight="true" outlineLevel="0" collapsed="false">
      <c r="A418" s="8"/>
      <c r="B418" s="8"/>
      <c r="C418" s="8"/>
      <c r="D418" s="8"/>
      <c r="E418" s="8"/>
      <c r="F418" s="8"/>
      <c r="G418" s="10" t="str">
        <f aca="false">IF($A418="","",UPPER(SUBSTITUTE(SUBSTITUTE(SUBSTITUTE(SUBSTITUTE($A418," ",""),"(주)",""),"주식회사",""),"㈜","")))</f>
        <v/>
      </c>
      <c r="H418" s="10" t="str">
        <f aca="false">IF($B418="","",SUBSTITUTE(SUBSTITUTE(SUBSTITUTE($B418,"-","")," ",""),".",""))</f>
        <v/>
      </c>
      <c r="I418" s="10" t="str">
        <f aca="false">IF($D418="","",SUBSTITUTE(SUBSTITUTE(SUBSTITUTE($D418,"-","")," ",""),".",""))</f>
        <v/>
      </c>
      <c r="J418" s="10" t="str">
        <f aca="false">IF($E418="","",UPPER(SUBSTITUTE($E418," ","")))</f>
        <v/>
      </c>
      <c r="K418" s="10" t="str">
        <f aca="false">IF($A418="","",$G418&amp;"|"&amp;$J418)</f>
        <v/>
      </c>
      <c r="L418" s="10" t="str">
        <f aca="false">IF($A418="","",ROW()-2)</f>
        <v/>
      </c>
      <c r="M418" s="10" t="str">
        <f aca="false">IF($A418="","",ROW())</f>
        <v/>
      </c>
    </row>
    <row r="419" customFormat="false" ht="15" hidden="false" customHeight="true" outlineLevel="0" collapsed="false">
      <c r="A419" s="8"/>
      <c r="B419" s="8"/>
      <c r="C419" s="8"/>
      <c r="D419" s="8"/>
      <c r="E419" s="8"/>
      <c r="F419" s="8"/>
      <c r="G419" s="10" t="str">
        <f aca="false">IF($A419="","",UPPER(SUBSTITUTE(SUBSTITUTE(SUBSTITUTE(SUBSTITUTE($A419," ",""),"(주)",""),"주식회사",""),"㈜","")))</f>
        <v/>
      </c>
      <c r="H419" s="10" t="str">
        <f aca="false">IF($B419="","",SUBSTITUTE(SUBSTITUTE(SUBSTITUTE($B419,"-","")," ",""),".",""))</f>
        <v/>
      </c>
      <c r="I419" s="10" t="str">
        <f aca="false">IF($D419="","",SUBSTITUTE(SUBSTITUTE(SUBSTITUTE($D419,"-","")," ",""),".",""))</f>
        <v/>
      </c>
      <c r="J419" s="10" t="str">
        <f aca="false">IF($E419="","",UPPER(SUBSTITUTE($E419," ","")))</f>
        <v/>
      </c>
      <c r="K419" s="10" t="str">
        <f aca="false">IF($A419="","",$G419&amp;"|"&amp;$J419)</f>
        <v/>
      </c>
      <c r="L419" s="10" t="str">
        <f aca="false">IF($A419="","",ROW()-2)</f>
        <v/>
      </c>
      <c r="M419" s="10" t="str">
        <f aca="false">IF($A419="","",ROW())</f>
        <v/>
      </c>
    </row>
    <row r="420" customFormat="false" ht="15" hidden="false" customHeight="true" outlineLevel="0" collapsed="false">
      <c r="A420" s="8"/>
      <c r="B420" s="8"/>
      <c r="C420" s="8"/>
      <c r="D420" s="8"/>
      <c r="E420" s="8"/>
      <c r="F420" s="8"/>
      <c r="G420" s="10" t="str">
        <f aca="false">IF($A420="","",UPPER(SUBSTITUTE(SUBSTITUTE(SUBSTITUTE(SUBSTITUTE($A420," ",""),"(주)",""),"주식회사",""),"㈜","")))</f>
        <v/>
      </c>
      <c r="H420" s="10" t="str">
        <f aca="false">IF($B420="","",SUBSTITUTE(SUBSTITUTE(SUBSTITUTE($B420,"-","")," ",""),".",""))</f>
        <v/>
      </c>
      <c r="I420" s="10" t="str">
        <f aca="false">IF($D420="","",SUBSTITUTE(SUBSTITUTE(SUBSTITUTE($D420,"-","")," ",""),".",""))</f>
        <v/>
      </c>
      <c r="J420" s="10" t="str">
        <f aca="false">IF($E420="","",UPPER(SUBSTITUTE($E420," ","")))</f>
        <v/>
      </c>
      <c r="K420" s="10" t="str">
        <f aca="false">IF($A420="","",$G420&amp;"|"&amp;$J420)</f>
        <v/>
      </c>
      <c r="L420" s="10" t="str">
        <f aca="false">IF($A420="","",ROW()-2)</f>
        <v/>
      </c>
      <c r="M420" s="10" t="str">
        <f aca="false">IF($A420="","",ROW())</f>
        <v/>
      </c>
    </row>
    <row r="421" customFormat="false" ht="15" hidden="false" customHeight="true" outlineLevel="0" collapsed="false">
      <c r="A421" s="8"/>
      <c r="B421" s="8"/>
      <c r="C421" s="8"/>
      <c r="D421" s="8"/>
      <c r="E421" s="8"/>
      <c r="F421" s="8"/>
      <c r="G421" s="10" t="str">
        <f aca="false">IF($A421="","",UPPER(SUBSTITUTE(SUBSTITUTE(SUBSTITUTE(SUBSTITUTE($A421," ",""),"(주)",""),"주식회사",""),"㈜","")))</f>
        <v/>
      </c>
      <c r="H421" s="10" t="str">
        <f aca="false">IF($B421="","",SUBSTITUTE(SUBSTITUTE(SUBSTITUTE($B421,"-","")," ",""),".",""))</f>
        <v/>
      </c>
      <c r="I421" s="10" t="str">
        <f aca="false">IF($D421="","",SUBSTITUTE(SUBSTITUTE(SUBSTITUTE($D421,"-","")," ",""),".",""))</f>
        <v/>
      </c>
      <c r="J421" s="10" t="str">
        <f aca="false">IF($E421="","",UPPER(SUBSTITUTE($E421," ","")))</f>
        <v/>
      </c>
      <c r="K421" s="10" t="str">
        <f aca="false">IF($A421="","",$G421&amp;"|"&amp;$J421)</f>
        <v/>
      </c>
      <c r="L421" s="10" t="str">
        <f aca="false">IF($A421="","",ROW()-2)</f>
        <v/>
      </c>
      <c r="M421" s="10" t="str">
        <f aca="false">IF($A421="","",ROW())</f>
        <v/>
      </c>
    </row>
    <row r="422" customFormat="false" ht="15" hidden="false" customHeight="true" outlineLevel="0" collapsed="false">
      <c r="A422" s="8"/>
      <c r="B422" s="8"/>
      <c r="C422" s="8"/>
      <c r="D422" s="8"/>
      <c r="E422" s="8"/>
      <c r="F422" s="8"/>
      <c r="G422" s="10" t="str">
        <f aca="false">IF($A422="","",UPPER(SUBSTITUTE(SUBSTITUTE(SUBSTITUTE(SUBSTITUTE($A422," ",""),"(주)",""),"주식회사",""),"㈜","")))</f>
        <v/>
      </c>
      <c r="H422" s="10" t="str">
        <f aca="false">IF($B422="","",SUBSTITUTE(SUBSTITUTE(SUBSTITUTE($B422,"-","")," ",""),".",""))</f>
        <v/>
      </c>
      <c r="I422" s="10" t="str">
        <f aca="false">IF($D422="","",SUBSTITUTE(SUBSTITUTE(SUBSTITUTE($D422,"-","")," ",""),".",""))</f>
        <v/>
      </c>
      <c r="J422" s="10" t="str">
        <f aca="false">IF($E422="","",UPPER(SUBSTITUTE($E422," ","")))</f>
        <v/>
      </c>
      <c r="K422" s="10" t="str">
        <f aca="false">IF($A422="","",$G422&amp;"|"&amp;$J422)</f>
        <v/>
      </c>
      <c r="L422" s="10" t="str">
        <f aca="false">IF($A422="","",ROW()-2)</f>
        <v/>
      </c>
      <c r="M422" s="10" t="str">
        <f aca="false">IF($A422="","",ROW())</f>
        <v/>
      </c>
    </row>
    <row r="423" customFormat="false" ht="15" hidden="false" customHeight="true" outlineLevel="0" collapsed="false">
      <c r="A423" s="8"/>
      <c r="B423" s="8"/>
      <c r="C423" s="8"/>
      <c r="D423" s="8"/>
      <c r="E423" s="8"/>
      <c r="F423" s="8"/>
      <c r="G423" s="10" t="str">
        <f aca="false">IF($A423="","",UPPER(SUBSTITUTE(SUBSTITUTE(SUBSTITUTE(SUBSTITUTE($A423," ",""),"(주)",""),"주식회사",""),"㈜","")))</f>
        <v/>
      </c>
      <c r="H423" s="10" t="str">
        <f aca="false">IF($B423="","",SUBSTITUTE(SUBSTITUTE(SUBSTITUTE($B423,"-","")," ",""),".",""))</f>
        <v/>
      </c>
      <c r="I423" s="10" t="str">
        <f aca="false">IF($D423="","",SUBSTITUTE(SUBSTITUTE(SUBSTITUTE($D423,"-","")," ",""),".",""))</f>
        <v/>
      </c>
      <c r="J423" s="10" t="str">
        <f aca="false">IF($E423="","",UPPER(SUBSTITUTE($E423," ","")))</f>
        <v/>
      </c>
      <c r="K423" s="10" t="str">
        <f aca="false">IF($A423="","",$G423&amp;"|"&amp;$J423)</f>
        <v/>
      </c>
      <c r="L423" s="10" t="str">
        <f aca="false">IF($A423="","",ROW()-2)</f>
        <v/>
      </c>
      <c r="M423" s="10" t="str">
        <f aca="false">IF($A423="","",ROW())</f>
        <v/>
      </c>
    </row>
    <row r="424" customFormat="false" ht="15" hidden="false" customHeight="true" outlineLevel="0" collapsed="false">
      <c r="A424" s="8"/>
      <c r="B424" s="8"/>
      <c r="C424" s="8"/>
      <c r="D424" s="8"/>
      <c r="E424" s="8"/>
      <c r="F424" s="8"/>
      <c r="G424" s="10" t="str">
        <f aca="false">IF($A424="","",UPPER(SUBSTITUTE(SUBSTITUTE(SUBSTITUTE(SUBSTITUTE($A424," ",""),"(주)",""),"주식회사",""),"㈜","")))</f>
        <v/>
      </c>
      <c r="H424" s="10" t="str">
        <f aca="false">IF($B424="","",SUBSTITUTE(SUBSTITUTE(SUBSTITUTE($B424,"-","")," ",""),".",""))</f>
        <v/>
      </c>
      <c r="I424" s="10" t="str">
        <f aca="false">IF($D424="","",SUBSTITUTE(SUBSTITUTE(SUBSTITUTE($D424,"-","")," ",""),".",""))</f>
        <v/>
      </c>
      <c r="J424" s="10" t="str">
        <f aca="false">IF($E424="","",UPPER(SUBSTITUTE($E424," ","")))</f>
        <v/>
      </c>
      <c r="K424" s="10" t="str">
        <f aca="false">IF($A424="","",$G424&amp;"|"&amp;$J424)</f>
        <v/>
      </c>
      <c r="L424" s="10" t="str">
        <f aca="false">IF($A424="","",ROW()-2)</f>
        <v/>
      </c>
      <c r="M424" s="10" t="str">
        <f aca="false">IF($A424="","",ROW())</f>
        <v/>
      </c>
    </row>
    <row r="425" customFormat="false" ht="15" hidden="false" customHeight="true" outlineLevel="0" collapsed="false">
      <c r="A425" s="8"/>
      <c r="B425" s="8"/>
      <c r="C425" s="8"/>
      <c r="D425" s="8"/>
      <c r="E425" s="8"/>
      <c r="F425" s="8"/>
      <c r="G425" s="10" t="str">
        <f aca="false">IF($A425="","",UPPER(SUBSTITUTE(SUBSTITUTE(SUBSTITUTE(SUBSTITUTE($A425," ",""),"(주)",""),"주식회사",""),"㈜","")))</f>
        <v/>
      </c>
      <c r="H425" s="10" t="str">
        <f aca="false">IF($B425="","",SUBSTITUTE(SUBSTITUTE(SUBSTITUTE($B425,"-","")," ",""),".",""))</f>
        <v/>
      </c>
      <c r="I425" s="10" t="str">
        <f aca="false">IF($D425="","",SUBSTITUTE(SUBSTITUTE(SUBSTITUTE($D425,"-","")," ",""),".",""))</f>
        <v/>
      </c>
      <c r="J425" s="10" t="str">
        <f aca="false">IF($E425="","",UPPER(SUBSTITUTE($E425," ","")))</f>
        <v/>
      </c>
      <c r="K425" s="10" t="str">
        <f aca="false">IF($A425="","",$G425&amp;"|"&amp;$J425)</f>
        <v/>
      </c>
      <c r="L425" s="10" t="str">
        <f aca="false">IF($A425="","",ROW()-2)</f>
        <v/>
      </c>
      <c r="M425" s="10" t="str">
        <f aca="false">IF($A425="","",ROW())</f>
        <v/>
      </c>
    </row>
    <row r="426" customFormat="false" ht="15" hidden="false" customHeight="true" outlineLevel="0" collapsed="false">
      <c r="A426" s="8"/>
      <c r="B426" s="8"/>
      <c r="C426" s="8"/>
      <c r="D426" s="8"/>
      <c r="E426" s="8"/>
      <c r="F426" s="8"/>
      <c r="G426" s="10" t="str">
        <f aca="false">IF($A426="","",UPPER(SUBSTITUTE(SUBSTITUTE(SUBSTITUTE(SUBSTITUTE($A426," ",""),"(주)",""),"주식회사",""),"㈜","")))</f>
        <v/>
      </c>
      <c r="H426" s="10" t="str">
        <f aca="false">IF($B426="","",SUBSTITUTE(SUBSTITUTE(SUBSTITUTE($B426,"-","")," ",""),".",""))</f>
        <v/>
      </c>
      <c r="I426" s="10" t="str">
        <f aca="false">IF($D426="","",SUBSTITUTE(SUBSTITUTE(SUBSTITUTE($D426,"-","")," ",""),".",""))</f>
        <v/>
      </c>
      <c r="J426" s="10" t="str">
        <f aca="false">IF($E426="","",UPPER(SUBSTITUTE($E426," ","")))</f>
        <v/>
      </c>
      <c r="K426" s="10" t="str">
        <f aca="false">IF($A426="","",$G426&amp;"|"&amp;$J426)</f>
        <v/>
      </c>
      <c r="L426" s="10" t="str">
        <f aca="false">IF($A426="","",ROW()-2)</f>
        <v/>
      </c>
      <c r="M426" s="10" t="str">
        <f aca="false">IF($A426="","",ROW())</f>
        <v/>
      </c>
    </row>
    <row r="427" customFormat="false" ht="15" hidden="false" customHeight="true" outlineLevel="0" collapsed="false">
      <c r="A427" s="8"/>
      <c r="B427" s="8"/>
      <c r="C427" s="8"/>
      <c r="D427" s="8"/>
      <c r="E427" s="8"/>
      <c r="F427" s="8"/>
      <c r="G427" s="10" t="str">
        <f aca="false">IF($A427="","",UPPER(SUBSTITUTE(SUBSTITUTE(SUBSTITUTE(SUBSTITUTE($A427," ",""),"(주)",""),"주식회사",""),"㈜","")))</f>
        <v/>
      </c>
      <c r="H427" s="10" t="str">
        <f aca="false">IF($B427="","",SUBSTITUTE(SUBSTITUTE(SUBSTITUTE($B427,"-","")," ",""),".",""))</f>
        <v/>
      </c>
      <c r="I427" s="10" t="str">
        <f aca="false">IF($D427="","",SUBSTITUTE(SUBSTITUTE(SUBSTITUTE($D427,"-","")," ",""),".",""))</f>
        <v/>
      </c>
      <c r="J427" s="10" t="str">
        <f aca="false">IF($E427="","",UPPER(SUBSTITUTE($E427," ","")))</f>
        <v/>
      </c>
      <c r="K427" s="10" t="str">
        <f aca="false">IF($A427="","",$G427&amp;"|"&amp;$J427)</f>
        <v/>
      </c>
      <c r="L427" s="10" t="str">
        <f aca="false">IF($A427="","",ROW()-2)</f>
        <v/>
      </c>
      <c r="M427" s="10" t="str">
        <f aca="false">IF($A427="","",ROW())</f>
        <v/>
      </c>
    </row>
    <row r="428" customFormat="false" ht="15" hidden="false" customHeight="true" outlineLevel="0" collapsed="false">
      <c r="A428" s="8"/>
      <c r="B428" s="8"/>
      <c r="C428" s="8"/>
      <c r="D428" s="8"/>
      <c r="E428" s="8"/>
      <c r="F428" s="8"/>
      <c r="G428" s="10" t="str">
        <f aca="false">IF($A428="","",UPPER(SUBSTITUTE(SUBSTITUTE(SUBSTITUTE(SUBSTITUTE($A428," ",""),"(주)",""),"주식회사",""),"㈜","")))</f>
        <v/>
      </c>
      <c r="H428" s="10" t="str">
        <f aca="false">IF($B428="","",SUBSTITUTE(SUBSTITUTE(SUBSTITUTE($B428,"-","")," ",""),".",""))</f>
        <v/>
      </c>
      <c r="I428" s="10" t="str">
        <f aca="false">IF($D428="","",SUBSTITUTE(SUBSTITUTE(SUBSTITUTE($D428,"-","")," ",""),".",""))</f>
        <v/>
      </c>
      <c r="J428" s="10" t="str">
        <f aca="false">IF($E428="","",UPPER(SUBSTITUTE($E428," ","")))</f>
        <v/>
      </c>
      <c r="K428" s="10" t="str">
        <f aca="false">IF($A428="","",$G428&amp;"|"&amp;$J428)</f>
        <v/>
      </c>
      <c r="L428" s="10" t="str">
        <f aca="false">IF($A428="","",ROW()-2)</f>
        <v/>
      </c>
      <c r="M428" s="10" t="str">
        <f aca="false">IF($A428="","",ROW())</f>
        <v/>
      </c>
    </row>
    <row r="429" customFormat="false" ht="15" hidden="false" customHeight="true" outlineLevel="0" collapsed="false">
      <c r="A429" s="8"/>
      <c r="B429" s="8"/>
      <c r="C429" s="8"/>
      <c r="D429" s="8"/>
      <c r="E429" s="8"/>
      <c r="F429" s="8"/>
      <c r="G429" s="10" t="str">
        <f aca="false">IF($A429="","",UPPER(SUBSTITUTE(SUBSTITUTE(SUBSTITUTE(SUBSTITUTE($A429," ",""),"(주)",""),"주식회사",""),"㈜","")))</f>
        <v/>
      </c>
      <c r="H429" s="10" t="str">
        <f aca="false">IF($B429="","",SUBSTITUTE(SUBSTITUTE(SUBSTITUTE($B429,"-","")," ",""),".",""))</f>
        <v/>
      </c>
      <c r="I429" s="10" t="str">
        <f aca="false">IF($D429="","",SUBSTITUTE(SUBSTITUTE(SUBSTITUTE($D429,"-","")," ",""),".",""))</f>
        <v/>
      </c>
      <c r="J429" s="10" t="str">
        <f aca="false">IF($E429="","",UPPER(SUBSTITUTE($E429," ","")))</f>
        <v/>
      </c>
      <c r="K429" s="10" t="str">
        <f aca="false">IF($A429="","",$G429&amp;"|"&amp;$J429)</f>
        <v/>
      </c>
      <c r="L429" s="10" t="str">
        <f aca="false">IF($A429="","",ROW()-2)</f>
        <v/>
      </c>
      <c r="M429" s="10" t="str">
        <f aca="false">IF($A429="","",ROW())</f>
        <v/>
      </c>
    </row>
    <row r="430" customFormat="false" ht="15" hidden="false" customHeight="true" outlineLevel="0" collapsed="false">
      <c r="A430" s="8"/>
      <c r="B430" s="8"/>
      <c r="C430" s="8"/>
      <c r="D430" s="8"/>
      <c r="E430" s="8"/>
      <c r="F430" s="8"/>
      <c r="G430" s="10" t="str">
        <f aca="false">IF($A430="","",UPPER(SUBSTITUTE(SUBSTITUTE(SUBSTITUTE(SUBSTITUTE($A430," ",""),"(주)",""),"주식회사",""),"㈜","")))</f>
        <v/>
      </c>
      <c r="H430" s="10" t="str">
        <f aca="false">IF($B430="","",SUBSTITUTE(SUBSTITUTE(SUBSTITUTE($B430,"-","")," ",""),".",""))</f>
        <v/>
      </c>
      <c r="I430" s="10" t="str">
        <f aca="false">IF($D430="","",SUBSTITUTE(SUBSTITUTE(SUBSTITUTE($D430,"-","")," ",""),".",""))</f>
        <v/>
      </c>
      <c r="J430" s="10" t="str">
        <f aca="false">IF($E430="","",UPPER(SUBSTITUTE($E430," ","")))</f>
        <v/>
      </c>
      <c r="K430" s="10" t="str">
        <f aca="false">IF($A430="","",$G430&amp;"|"&amp;$J430)</f>
        <v/>
      </c>
      <c r="L430" s="10" t="str">
        <f aca="false">IF($A430="","",ROW()-2)</f>
        <v/>
      </c>
      <c r="M430" s="10" t="str">
        <f aca="false">IF($A430="","",ROW())</f>
        <v/>
      </c>
    </row>
    <row r="431" customFormat="false" ht="15" hidden="false" customHeight="true" outlineLevel="0" collapsed="false">
      <c r="A431" s="8"/>
      <c r="B431" s="8"/>
      <c r="C431" s="8"/>
      <c r="D431" s="8"/>
      <c r="E431" s="8"/>
      <c r="F431" s="8"/>
      <c r="G431" s="10" t="str">
        <f aca="false">IF($A431="","",UPPER(SUBSTITUTE(SUBSTITUTE(SUBSTITUTE(SUBSTITUTE($A431," ",""),"(주)",""),"주식회사",""),"㈜","")))</f>
        <v/>
      </c>
      <c r="H431" s="10" t="str">
        <f aca="false">IF($B431="","",SUBSTITUTE(SUBSTITUTE(SUBSTITUTE($B431,"-","")," ",""),".",""))</f>
        <v/>
      </c>
      <c r="I431" s="10" t="str">
        <f aca="false">IF($D431="","",SUBSTITUTE(SUBSTITUTE(SUBSTITUTE($D431,"-","")," ",""),".",""))</f>
        <v/>
      </c>
      <c r="J431" s="10" t="str">
        <f aca="false">IF($E431="","",UPPER(SUBSTITUTE($E431," ","")))</f>
        <v/>
      </c>
      <c r="K431" s="10" t="str">
        <f aca="false">IF($A431="","",$G431&amp;"|"&amp;$J431)</f>
        <v/>
      </c>
      <c r="L431" s="10" t="str">
        <f aca="false">IF($A431="","",ROW()-2)</f>
        <v/>
      </c>
      <c r="M431" s="10" t="str">
        <f aca="false">IF($A431="","",ROW())</f>
        <v/>
      </c>
    </row>
    <row r="432" customFormat="false" ht="15" hidden="false" customHeight="true" outlineLevel="0" collapsed="false">
      <c r="A432" s="8"/>
      <c r="B432" s="8"/>
      <c r="C432" s="8"/>
      <c r="D432" s="8"/>
      <c r="E432" s="8"/>
      <c r="F432" s="8"/>
      <c r="G432" s="10" t="str">
        <f aca="false">IF($A432="","",UPPER(SUBSTITUTE(SUBSTITUTE(SUBSTITUTE(SUBSTITUTE($A432," ",""),"(주)",""),"주식회사",""),"㈜","")))</f>
        <v/>
      </c>
      <c r="H432" s="10" t="str">
        <f aca="false">IF($B432="","",SUBSTITUTE(SUBSTITUTE(SUBSTITUTE($B432,"-","")," ",""),".",""))</f>
        <v/>
      </c>
      <c r="I432" s="10" t="str">
        <f aca="false">IF($D432="","",SUBSTITUTE(SUBSTITUTE(SUBSTITUTE($D432,"-","")," ",""),".",""))</f>
        <v/>
      </c>
      <c r="J432" s="10" t="str">
        <f aca="false">IF($E432="","",UPPER(SUBSTITUTE($E432," ","")))</f>
        <v/>
      </c>
      <c r="K432" s="10" t="str">
        <f aca="false">IF($A432="","",$G432&amp;"|"&amp;$J432)</f>
        <v/>
      </c>
      <c r="L432" s="10" t="str">
        <f aca="false">IF($A432="","",ROW()-2)</f>
        <v/>
      </c>
      <c r="M432" s="10" t="str">
        <f aca="false">IF($A432="","",ROW())</f>
        <v/>
      </c>
    </row>
    <row r="433" customFormat="false" ht="15" hidden="false" customHeight="true" outlineLevel="0" collapsed="false">
      <c r="A433" s="8"/>
      <c r="B433" s="8"/>
      <c r="C433" s="8"/>
      <c r="D433" s="8"/>
      <c r="E433" s="8"/>
      <c r="F433" s="8"/>
      <c r="G433" s="10" t="str">
        <f aca="false">IF($A433="","",UPPER(SUBSTITUTE(SUBSTITUTE(SUBSTITUTE(SUBSTITUTE($A433," ",""),"(주)",""),"주식회사",""),"㈜","")))</f>
        <v/>
      </c>
      <c r="H433" s="10" t="str">
        <f aca="false">IF($B433="","",SUBSTITUTE(SUBSTITUTE(SUBSTITUTE($B433,"-","")," ",""),".",""))</f>
        <v/>
      </c>
      <c r="I433" s="10" t="str">
        <f aca="false">IF($D433="","",SUBSTITUTE(SUBSTITUTE(SUBSTITUTE($D433,"-","")," ",""),".",""))</f>
        <v/>
      </c>
      <c r="J433" s="10" t="str">
        <f aca="false">IF($E433="","",UPPER(SUBSTITUTE($E433," ","")))</f>
        <v/>
      </c>
      <c r="K433" s="10" t="str">
        <f aca="false">IF($A433="","",$G433&amp;"|"&amp;$J433)</f>
        <v/>
      </c>
      <c r="L433" s="10" t="str">
        <f aca="false">IF($A433="","",ROW()-2)</f>
        <v/>
      </c>
      <c r="M433" s="10" t="str">
        <f aca="false">IF($A433="","",ROW())</f>
        <v/>
      </c>
    </row>
    <row r="434" customFormat="false" ht="15" hidden="false" customHeight="true" outlineLevel="0" collapsed="false">
      <c r="A434" s="8"/>
      <c r="B434" s="8"/>
      <c r="C434" s="8"/>
      <c r="D434" s="8"/>
      <c r="E434" s="8"/>
      <c r="F434" s="8"/>
      <c r="G434" s="10" t="str">
        <f aca="false">IF($A434="","",UPPER(SUBSTITUTE(SUBSTITUTE(SUBSTITUTE(SUBSTITUTE($A434," ",""),"(주)",""),"주식회사",""),"㈜","")))</f>
        <v/>
      </c>
      <c r="H434" s="10" t="str">
        <f aca="false">IF($B434="","",SUBSTITUTE(SUBSTITUTE(SUBSTITUTE($B434,"-","")," ",""),".",""))</f>
        <v/>
      </c>
      <c r="I434" s="10" t="str">
        <f aca="false">IF($D434="","",SUBSTITUTE(SUBSTITUTE(SUBSTITUTE($D434,"-","")," ",""),".",""))</f>
        <v/>
      </c>
      <c r="J434" s="10" t="str">
        <f aca="false">IF($E434="","",UPPER(SUBSTITUTE($E434," ","")))</f>
        <v/>
      </c>
      <c r="K434" s="10" t="str">
        <f aca="false">IF($A434="","",$G434&amp;"|"&amp;$J434)</f>
        <v/>
      </c>
      <c r="L434" s="10" t="str">
        <f aca="false">IF($A434="","",ROW()-2)</f>
        <v/>
      </c>
      <c r="M434" s="10" t="str">
        <f aca="false">IF($A434="","",ROW())</f>
        <v/>
      </c>
    </row>
    <row r="435" customFormat="false" ht="15" hidden="false" customHeight="true" outlineLevel="0" collapsed="false">
      <c r="A435" s="8"/>
      <c r="B435" s="8"/>
      <c r="C435" s="8"/>
      <c r="D435" s="8"/>
      <c r="E435" s="8"/>
      <c r="F435" s="8"/>
      <c r="G435" s="10" t="str">
        <f aca="false">IF($A435="","",UPPER(SUBSTITUTE(SUBSTITUTE(SUBSTITUTE(SUBSTITUTE($A435," ",""),"(주)",""),"주식회사",""),"㈜","")))</f>
        <v/>
      </c>
      <c r="H435" s="10" t="str">
        <f aca="false">IF($B435="","",SUBSTITUTE(SUBSTITUTE(SUBSTITUTE($B435,"-","")," ",""),".",""))</f>
        <v/>
      </c>
      <c r="I435" s="10" t="str">
        <f aca="false">IF($D435="","",SUBSTITUTE(SUBSTITUTE(SUBSTITUTE($D435,"-","")," ",""),".",""))</f>
        <v/>
      </c>
      <c r="J435" s="10" t="str">
        <f aca="false">IF($E435="","",UPPER(SUBSTITUTE($E435," ","")))</f>
        <v/>
      </c>
      <c r="K435" s="10" t="str">
        <f aca="false">IF($A435="","",$G435&amp;"|"&amp;$J435)</f>
        <v/>
      </c>
      <c r="L435" s="10" t="str">
        <f aca="false">IF($A435="","",ROW()-2)</f>
        <v/>
      </c>
      <c r="M435" s="10" t="str">
        <f aca="false">IF($A435="","",ROW())</f>
        <v/>
      </c>
    </row>
    <row r="436" customFormat="false" ht="15" hidden="false" customHeight="true" outlineLevel="0" collapsed="false">
      <c r="A436" s="8"/>
      <c r="B436" s="8"/>
      <c r="C436" s="8"/>
      <c r="D436" s="8"/>
      <c r="E436" s="8"/>
      <c r="F436" s="8"/>
      <c r="G436" s="10" t="str">
        <f aca="false">IF($A436="","",UPPER(SUBSTITUTE(SUBSTITUTE(SUBSTITUTE(SUBSTITUTE($A436," ",""),"(주)",""),"주식회사",""),"㈜","")))</f>
        <v/>
      </c>
      <c r="H436" s="10" t="str">
        <f aca="false">IF($B436="","",SUBSTITUTE(SUBSTITUTE(SUBSTITUTE($B436,"-","")," ",""),".",""))</f>
        <v/>
      </c>
      <c r="I436" s="10" t="str">
        <f aca="false">IF($D436="","",SUBSTITUTE(SUBSTITUTE(SUBSTITUTE($D436,"-","")," ",""),".",""))</f>
        <v/>
      </c>
      <c r="J436" s="10" t="str">
        <f aca="false">IF($E436="","",UPPER(SUBSTITUTE($E436," ","")))</f>
        <v/>
      </c>
      <c r="K436" s="10" t="str">
        <f aca="false">IF($A436="","",$G436&amp;"|"&amp;$J436)</f>
        <v/>
      </c>
      <c r="L436" s="10" t="str">
        <f aca="false">IF($A436="","",ROW()-2)</f>
        <v/>
      </c>
      <c r="M436" s="10" t="str">
        <f aca="false">IF($A436="","",ROW())</f>
        <v/>
      </c>
    </row>
    <row r="437" customFormat="false" ht="15" hidden="false" customHeight="true" outlineLevel="0" collapsed="false">
      <c r="A437" s="8"/>
      <c r="B437" s="8"/>
      <c r="C437" s="8"/>
      <c r="D437" s="8"/>
      <c r="E437" s="8"/>
      <c r="F437" s="8"/>
      <c r="G437" s="10" t="str">
        <f aca="false">IF($A437="","",UPPER(SUBSTITUTE(SUBSTITUTE(SUBSTITUTE(SUBSTITUTE($A437," ",""),"(주)",""),"주식회사",""),"㈜","")))</f>
        <v/>
      </c>
      <c r="H437" s="10" t="str">
        <f aca="false">IF($B437="","",SUBSTITUTE(SUBSTITUTE(SUBSTITUTE($B437,"-","")," ",""),".",""))</f>
        <v/>
      </c>
      <c r="I437" s="10" t="str">
        <f aca="false">IF($D437="","",SUBSTITUTE(SUBSTITUTE(SUBSTITUTE($D437,"-","")," ",""),".",""))</f>
        <v/>
      </c>
      <c r="J437" s="10" t="str">
        <f aca="false">IF($E437="","",UPPER(SUBSTITUTE($E437," ","")))</f>
        <v/>
      </c>
      <c r="K437" s="10" t="str">
        <f aca="false">IF($A437="","",$G437&amp;"|"&amp;$J437)</f>
        <v/>
      </c>
      <c r="L437" s="10" t="str">
        <f aca="false">IF($A437="","",ROW()-2)</f>
        <v/>
      </c>
      <c r="M437" s="10" t="str">
        <f aca="false">IF($A437="","",ROW())</f>
        <v/>
      </c>
    </row>
    <row r="438" customFormat="false" ht="15" hidden="false" customHeight="true" outlineLevel="0" collapsed="false">
      <c r="A438" s="8"/>
      <c r="B438" s="8"/>
      <c r="C438" s="8"/>
      <c r="D438" s="8"/>
      <c r="E438" s="8"/>
      <c r="F438" s="8"/>
      <c r="G438" s="10" t="str">
        <f aca="false">IF($A438="","",UPPER(SUBSTITUTE(SUBSTITUTE(SUBSTITUTE(SUBSTITUTE($A438," ",""),"(주)",""),"주식회사",""),"㈜","")))</f>
        <v/>
      </c>
      <c r="H438" s="10" t="str">
        <f aca="false">IF($B438="","",SUBSTITUTE(SUBSTITUTE(SUBSTITUTE($B438,"-","")," ",""),".",""))</f>
        <v/>
      </c>
      <c r="I438" s="10" t="str">
        <f aca="false">IF($D438="","",SUBSTITUTE(SUBSTITUTE(SUBSTITUTE($D438,"-","")," ",""),".",""))</f>
        <v/>
      </c>
      <c r="J438" s="10" t="str">
        <f aca="false">IF($E438="","",UPPER(SUBSTITUTE($E438," ","")))</f>
        <v/>
      </c>
      <c r="K438" s="10" t="str">
        <f aca="false">IF($A438="","",$G438&amp;"|"&amp;$J438)</f>
        <v/>
      </c>
      <c r="L438" s="10" t="str">
        <f aca="false">IF($A438="","",ROW()-2)</f>
        <v/>
      </c>
      <c r="M438" s="10" t="str">
        <f aca="false">IF($A438="","",ROW())</f>
        <v/>
      </c>
    </row>
    <row r="439" customFormat="false" ht="15" hidden="false" customHeight="true" outlineLevel="0" collapsed="false">
      <c r="A439" s="8"/>
      <c r="B439" s="8"/>
      <c r="C439" s="8"/>
      <c r="D439" s="8"/>
      <c r="E439" s="8"/>
      <c r="F439" s="8"/>
      <c r="G439" s="10" t="str">
        <f aca="false">IF($A439="","",UPPER(SUBSTITUTE(SUBSTITUTE(SUBSTITUTE(SUBSTITUTE($A439," ",""),"(주)",""),"주식회사",""),"㈜","")))</f>
        <v/>
      </c>
      <c r="H439" s="10" t="str">
        <f aca="false">IF($B439="","",SUBSTITUTE(SUBSTITUTE(SUBSTITUTE($B439,"-","")," ",""),".",""))</f>
        <v/>
      </c>
      <c r="I439" s="10" t="str">
        <f aca="false">IF($D439="","",SUBSTITUTE(SUBSTITUTE(SUBSTITUTE($D439,"-","")," ",""),".",""))</f>
        <v/>
      </c>
      <c r="J439" s="10" t="str">
        <f aca="false">IF($E439="","",UPPER(SUBSTITUTE($E439," ","")))</f>
        <v/>
      </c>
      <c r="K439" s="10" t="str">
        <f aca="false">IF($A439="","",$G439&amp;"|"&amp;$J439)</f>
        <v/>
      </c>
      <c r="L439" s="10" t="str">
        <f aca="false">IF($A439="","",ROW()-2)</f>
        <v/>
      </c>
      <c r="M439" s="10" t="str">
        <f aca="false">IF($A439="","",ROW())</f>
        <v/>
      </c>
    </row>
    <row r="440" customFormat="false" ht="15" hidden="false" customHeight="true" outlineLevel="0" collapsed="false">
      <c r="A440" s="8"/>
      <c r="B440" s="8"/>
      <c r="C440" s="8"/>
      <c r="D440" s="8"/>
      <c r="E440" s="8"/>
      <c r="F440" s="8"/>
      <c r="G440" s="10" t="str">
        <f aca="false">IF($A440="","",UPPER(SUBSTITUTE(SUBSTITUTE(SUBSTITUTE(SUBSTITUTE($A440," ",""),"(주)",""),"주식회사",""),"㈜","")))</f>
        <v/>
      </c>
      <c r="H440" s="10" t="str">
        <f aca="false">IF($B440="","",SUBSTITUTE(SUBSTITUTE(SUBSTITUTE($B440,"-","")," ",""),".",""))</f>
        <v/>
      </c>
      <c r="I440" s="10" t="str">
        <f aca="false">IF($D440="","",SUBSTITUTE(SUBSTITUTE(SUBSTITUTE($D440,"-","")," ",""),".",""))</f>
        <v/>
      </c>
      <c r="J440" s="10" t="str">
        <f aca="false">IF($E440="","",UPPER(SUBSTITUTE($E440," ","")))</f>
        <v/>
      </c>
      <c r="K440" s="10" t="str">
        <f aca="false">IF($A440="","",$G440&amp;"|"&amp;$J440)</f>
        <v/>
      </c>
      <c r="L440" s="10" t="str">
        <f aca="false">IF($A440="","",ROW()-2)</f>
        <v/>
      </c>
      <c r="M440" s="10" t="str">
        <f aca="false">IF($A440="","",ROW())</f>
        <v/>
      </c>
    </row>
    <row r="441" customFormat="false" ht="15" hidden="false" customHeight="true" outlineLevel="0" collapsed="false">
      <c r="A441" s="8"/>
      <c r="B441" s="8"/>
      <c r="C441" s="8"/>
      <c r="D441" s="8"/>
      <c r="E441" s="8"/>
      <c r="F441" s="8"/>
      <c r="G441" s="10" t="str">
        <f aca="false">IF($A441="","",UPPER(SUBSTITUTE(SUBSTITUTE(SUBSTITUTE(SUBSTITUTE($A441," ",""),"(주)",""),"주식회사",""),"㈜","")))</f>
        <v/>
      </c>
      <c r="H441" s="10" t="str">
        <f aca="false">IF($B441="","",SUBSTITUTE(SUBSTITUTE(SUBSTITUTE($B441,"-","")," ",""),".",""))</f>
        <v/>
      </c>
      <c r="I441" s="10" t="str">
        <f aca="false">IF($D441="","",SUBSTITUTE(SUBSTITUTE(SUBSTITUTE($D441,"-","")," ",""),".",""))</f>
        <v/>
      </c>
      <c r="J441" s="10" t="str">
        <f aca="false">IF($E441="","",UPPER(SUBSTITUTE($E441," ","")))</f>
        <v/>
      </c>
      <c r="K441" s="10" t="str">
        <f aca="false">IF($A441="","",$G441&amp;"|"&amp;$J441)</f>
        <v/>
      </c>
      <c r="L441" s="10" t="str">
        <f aca="false">IF($A441="","",ROW()-2)</f>
        <v/>
      </c>
      <c r="M441" s="10" t="str">
        <f aca="false">IF($A441="","",ROW())</f>
        <v/>
      </c>
    </row>
    <row r="442" customFormat="false" ht="15" hidden="false" customHeight="true" outlineLevel="0" collapsed="false">
      <c r="A442" s="8"/>
      <c r="B442" s="8"/>
      <c r="C442" s="8"/>
      <c r="D442" s="8"/>
      <c r="E442" s="8"/>
      <c r="F442" s="8"/>
      <c r="G442" s="10" t="str">
        <f aca="false">IF($A442="","",UPPER(SUBSTITUTE(SUBSTITUTE(SUBSTITUTE(SUBSTITUTE($A442," ",""),"(주)",""),"주식회사",""),"㈜","")))</f>
        <v/>
      </c>
      <c r="H442" s="10" t="str">
        <f aca="false">IF($B442="","",SUBSTITUTE(SUBSTITUTE(SUBSTITUTE($B442,"-","")," ",""),".",""))</f>
        <v/>
      </c>
      <c r="I442" s="10" t="str">
        <f aca="false">IF($D442="","",SUBSTITUTE(SUBSTITUTE(SUBSTITUTE($D442,"-","")," ",""),".",""))</f>
        <v/>
      </c>
      <c r="J442" s="10" t="str">
        <f aca="false">IF($E442="","",UPPER(SUBSTITUTE($E442," ","")))</f>
        <v/>
      </c>
      <c r="K442" s="10" t="str">
        <f aca="false">IF($A442="","",$G442&amp;"|"&amp;$J442)</f>
        <v/>
      </c>
      <c r="L442" s="10" t="str">
        <f aca="false">IF($A442="","",ROW()-2)</f>
        <v/>
      </c>
      <c r="M442" s="10" t="str">
        <f aca="false">IF($A442="","",ROW())</f>
        <v/>
      </c>
    </row>
    <row r="443" customFormat="false" ht="15" hidden="false" customHeight="true" outlineLevel="0" collapsed="false">
      <c r="A443" s="8"/>
      <c r="B443" s="8"/>
      <c r="C443" s="8"/>
      <c r="D443" s="8"/>
      <c r="E443" s="8"/>
      <c r="F443" s="8"/>
      <c r="G443" s="10" t="str">
        <f aca="false">IF($A443="","",UPPER(SUBSTITUTE(SUBSTITUTE(SUBSTITUTE(SUBSTITUTE($A443," ",""),"(주)",""),"주식회사",""),"㈜","")))</f>
        <v/>
      </c>
      <c r="H443" s="10" t="str">
        <f aca="false">IF($B443="","",SUBSTITUTE(SUBSTITUTE(SUBSTITUTE($B443,"-","")," ",""),".",""))</f>
        <v/>
      </c>
      <c r="I443" s="10" t="str">
        <f aca="false">IF($D443="","",SUBSTITUTE(SUBSTITUTE(SUBSTITUTE($D443,"-","")," ",""),".",""))</f>
        <v/>
      </c>
      <c r="J443" s="10" t="str">
        <f aca="false">IF($E443="","",UPPER(SUBSTITUTE($E443," ","")))</f>
        <v/>
      </c>
      <c r="K443" s="10" t="str">
        <f aca="false">IF($A443="","",$G443&amp;"|"&amp;$J443)</f>
        <v/>
      </c>
      <c r="L443" s="10" t="str">
        <f aca="false">IF($A443="","",ROW()-2)</f>
        <v/>
      </c>
      <c r="M443" s="10" t="str">
        <f aca="false">IF($A443="","",ROW())</f>
        <v/>
      </c>
    </row>
    <row r="444" customFormat="false" ht="15" hidden="false" customHeight="true" outlineLevel="0" collapsed="false">
      <c r="A444" s="8"/>
      <c r="B444" s="8"/>
      <c r="C444" s="8"/>
      <c r="D444" s="8"/>
      <c r="E444" s="8"/>
      <c r="F444" s="8"/>
      <c r="G444" s="10" t="str">
        <f aca="false">IF($A444="","",UPPER(SUBSTITUTE(SUBSTITUTE(SUBSTITUTE(SUBSTITUTE($A444," ",""),"(주)",""),"주식회사",""),"㈜","")))</f>
        <v/>
      </c>
      <c r="H444" s="10" t="str">
        <f aca="false">IF($B444="","",SUBSTITUTE(SUBSTITUTE(SUBSTITUTE($B444,"-","")," ",""),".",""))</f>
        <v/>
      </c>
      <c r="I444" s="10" t="str">
        <f aca="false">IF($D444="","",SUBSTITUTE(SUBSTITUTE(SUBSTITUTE($D444,"-","")," ",""),".",""))</f>
        <v/>
      </c>
      <c r="J444" s="10" t="str">
        <f aca="false">IF($E444="","",UPPER(SUBSTITUTE($E444," ","")))</f>
        <v/>
      </c>
      <c r="K444" s="10" t="str">
        <f aca="false">IF($A444="","",$G444&amp;"|"&amp;$J444)</f>
        <v/>
      </c>
      <c r="L444" s="10" t="str">
        <f aca="false">IF($A444="","",ROW()-2)</f>
        <v/>
      </c>
      <c r="M444" s="10" t="str">
        <f aca="false">IF($A444="","",ROW())</f>
        <v/>
      </c>
    </row>
    <row r="445" customFormat="false" ht="15" hidden="false" customHeight="true" outlineLevel="0" collapsed="false">
      <c r="A445" s="8"/>
      <c r="B445" s="8"/>
      <c r="C445" s="8"/>
      <c r="D445" s="8"/>
      <c r="E445" s="8"/>
      <c r="F445" s="8"/>
      <c r="G445" s="10" t="str">
        <f aca="false">IF($A445="","",UPPER(SUBSTITUTE(SUBSTITUTE(SUBSTITUTE(SUBSTITUTE($A445," ",""),"(주)",""),"주식회사",""),"㈜","")))</f>
        <v/>
      </c>
      <c r="H445" s="10" t="str">
        <f aca="false">IF($B445="","",SUBSTITUTE(SUBSTITUTE(SUBSTITUTE($B445,"-","")," ",""),".",""))</f>
        <v/>
      </c>
      <c r="I445" s="10" t="str">
        <f aca="false">IF($D445="","",SUBSTITUTE(SUBSTITUTE(SUBSTITUTE($D445,"-","")," ",""),".",""))</f>
        <v/>
      </c>
      <c r="J445" s="10" t="str">
        <f aca="false">IF($E445="","",UPPER(SUBSTITUTE($E445," ","")))</f>
        <v/>
      </c>
      <c r="K445" s="10" t="str">
        <f aca="false">IF($A445="","",$G445&amp;"|"&amp;$J445)</f>
        <v/>
      </c>
      <c r="L445" s="10" t="str">
        <f aca="false">IF($A445="","",ROW()-2)</f>
        <v/>
      </c>
      <c r="M445" s="10" t="str">
        <f aca="false">IF($A445="","",ROW())</f>
        <v/>
      </c>
    </row>
    <row r="446" customFormat="false" ht="15" hidden="false" customHeight="true" outlineLevel="0" collapsed="false">
      <c r="A446" s="8"/>
      <c r="B446" s="8"/>
      <c r="C446" s="8"/>
      <c r="D446" s="8"/>
      <c r="E446" s="8"/>
      <c r="F446" s="8"/>
      <c r="G446" s="10" t="str">
        <f aca="false">IF($A446="","",UPPER(SUBSTITUTE(SUBSTITUTE(SUBSTITUTE(SUBSTITUTE($A446," ",""),"(주)",""),"주식회사",""),"㈜","")))</f>
        <v/>
      </c>
      <c r="H446" s="10" t="str">
        <f aca="false">IF($B446="","",SUBSTITUTE(SUBSTITUTE(SUBSTITUTE($B446,"-","")," ",""),".",""))</f>
        <v/>
      </c>
      <c r="I446" s="10" t="str">
        <f aca="false">IF($D446="","",SUBSTITUTE(SUBSTITUTE(SUBSTITUTE($D446,"-","")," ",""),".",""))</f>
        <v/>
      </c>
      <c r="J446" s="10" t="str">
        <f aca="false">IF($E446="","",UPPER(SUBSTITUTE($E446," ","")))</f>
        <v/>
      </c>
      <c r="K446" s="10" t="str">
        <f aca="false">IF($A446="","",$G446&amp;"|"&amp;$J446)</f>
        <v/>
      </c>
      <c r="L446" s="10" t="str">
        <f aca="false">IF($A446="","",ROW()-2)</f>
        <v/>
      </c>
      <c r="M446" s="10" t="str">
        <f aca="false">IF($A446="","",ROW())</f>
        <v/>
      </c>
    </row>
    <row r="447" customFormat="false" ht="15" hidden="false" customHeight="true" outlineLevel="0" collapsed="false">
      <c r="A447" s="8"/>
      <c r="B447" s="8"/>
      <c r="C447" s="8"/>
      <c r="D447" s="8"/>
      <c r="E447" s="8"/>
      <c r="F447" s="8"/>
      <c r="G447" s="10" t="str">
        <f aca="false">IF($A447="","",UPPER(SUBSTITUTE(SUBSTITUTE(SUBSTITUTE(SUBSTITUTE($A447," ",""),"(주)",""),"주식회사",""),"㈜","")))</f>
        <v/>
      </c>
      <c r="H447" s="10" t="str">
        <f aca="false">IF($B447="","",SUBSTITUTE(SUBSTITUTE(SUBSTITUTE($B447,"-","")," ",""),".",""))</f>
        <v/>
      </c>
      <c r="I447" s="10" t="str">
        <f aca="false">IF($D447="","",SUBSTITUTE(SUBSTITUTE(SUBSTITUTE($D447,"-","")," ",""),".",""))</f>
        <v/>
      </c>
      <c r="J447" s="10" t="str">
        <f aca="false">IF($E447="","",UPPER(SUBSTITUTE($E447," ","")))</f>
        <v/>
      </c>
      <c r="K447" s="10" t="str">
        <f aca="false">IF($A447="","",$G447&amp;"|"&amp;$J447)</f>
        <v/>
      </c>
      <c r="L447" s="10" t="str">
        <f aca="false">IF($A447="","",ROW()-2)</f>
        <v/>
      </c>
      <c r="M447" s="10" t="str">
        <f aca="false">IF($A447="","",ROW())</f>
        <v/>
      </c>
    </row>
    <row r="448" customFormat="false" ht="15" hidden="false" customHeight="true" outlineLevel="0" collapsed="false">
      <c r="A448" s="8"/>
      <c r="B448" s="8"/>
      <c r="C448" s="8"/>
      <c r="D448" s="8"/>
      <c r="E448" s="8"/>
      <c r="F448" s="8"/>
      <c r="G448" s="10" t="str">
        <f aca="false">IF($A448="","",UPPER(SUBSTITUTE(SUBSTITUTE(SUBSTITUTE(SUBSTITUTE($A448," ",""),"(주)",""),"주식회사",""),"㈜","")))</f>
        <v/>
      </c>
      <c r="H448" s="10" t="str">
        <f aca="false">IF($B448="","",SUBSTITUTE(SUBSTITUTE(SUBSTITUTE($B448,"-","")," ",""),".",""))</f>
        <v/>
      </c>
      <c r="I448" s="10" t="str">
        <f aca="false">IF($D448="","",SUBSTITUTE(SUBSTITUTE(SUBSTITUTE($D448,"-","")," ",""),".",""))</f>
        <v/>
      </c>
      <c r="J448" s="10" t="str">
        <f aca="false">IF($E448="","",UPPER(SUBSTITUTE($E448," ","")))</f>
        <v/>
      </c>
      <c r="K448" s="10" t="str">
        <f aca="false">IF($A448="","",$G448&amp;"|"&amp;$J448)</f>
        <v/>
      </c>
      <c r="L448" s="10" t="str">
        <f aca="false">IF($A448="","",ROW()-2)</f>
        <v/>
      </c>
      <c r="M448" s="10" t="str">
        <f aca="false">IF($A448="","",ROW())</f>
        <v/>
      </c>
    </row>
    <row r="449" customFormat="false" ht="15" hidden="false" customHeight="true" outlineLevel="0" collapsed="false">
      <c r="A449" s="8"/>
      <c r="B449" s="8"/>
      <c r="C449" s="8"/>
      <c r="D449" s="8"/>
      <c r="E449" s="8"/>
      <c r="F449" s="8"/>
      <c r="G449" s="10" t="str">
        <f aca="false">IF($A449="","",UPPER(SUBSTITUTE(SUBSTITUTE(SUBSTITUTE(SUBSTITUTE($A449," ",""),"(주)",""),"주식회사",""),"㈜","")))</f>
        <v/>
      </c>
      <c r="H449" s="10" t="str">
        <f aca="false">IF($B449="","",SUBSTITUTE(SUBSTITUTE(SUBSTITUTE($B449,"-","")," ",""),".",""))</f>
        <v/>
      </c>
      <c r="I449" s="10" t="str">
        <f aca="false">IF($D449="","",SUBSTITUTE(SUBSTITUTE(SUBSTITUTE($D449,"-","")," ",""),".",""))</f>
        <v/>
      </c>
      <c r="J449" s="10" t="str">
        <f aca="false">IF($E449="","",UPPER(SUBSTITUTE($E449," ","")))</f>
        <v/>
      </c>
      <c r="K449" s="10" t="str">
        <f aca="false">IF($A449="","",$G449&amp;"|"&amp;$J449)</f>
        <v/>
      </c>
      <c r="L449" s="10" t="str">
        <f aca="false">IF($A449="","",ROW()-2)</f>
        <v/>
      </c>
      <c r="M449" s="10" t="str">
        <f aca="false">IF($A449="","",ROW())</f>
        <v/>
      </c>
    </row>
    <row r="450" customFormat="false" ht="15" hidden="false" customHeight="true" outlineLevel="0" collapsed="false">
      <c r="A450" s="8"/>
      <c r="B450" s="8"/>
      <c r="C450" s="8"/>
      <c r="D450" s="8"/>
      <c r="E450" s="8"/>
      <c r="F450" s="8"/>
      <c r="G450" s="10" t="str">
        <f aca="false">IF($A450="","",UPPER(SUBSTITUTE(SUBSTITUTE(SUBSTITUTE(SUBSTITUTE($A450," ",""),"(주)",""),"주식회사",""),"㈜","")))</f>
        <v/>
      </c>
      <c r="H450" s="10" t="str">
        <f aca="false">IF($B450="","",SUBSTITUTE(SUBSTITUTE(SUBSTITUTE($B450,"-","")," ",""),".",""))</f>
        <v/>
      </c>
      <c r="I450" s="10" t="str">
        <f aca="false">IF($D450="","",SUBSTITUTE(SUBSTITUTE(SUBSTITUTE($D450,"-","")," ",""),".",""))</f>
        <v/>
      </c>
      <c r="J450" s="10" t="str">
        <f aca="false">IF($E450="","",UPPER(SUBSTITUTE($E450," ","")))</f>
        <v/>
      </c>
      <c r="K450" s="10" t="str">
        <f aca="false">IF($A450="","",$G450&amp;"|"&amp;$J450)</f>
        <v/>
      </c>
      <c r="L450" s="10" t="str">
        <f aca="false">IF($A450="","",ROW()-2)</f>
        <v/>
      </c>
      <c r="M450" s="10" t="str">
        <f aca="false">IF($A450="","",ROW())</f>
        <v/>
      </c>
    </row>
    <row r="451" customFormat="false" ht="15" hidden="false" customHeight="true" outlineLevel="0" collapsed="false">
      <c r="A451" s="8"/>
      <c r="B451" s="8"/>
      <c r="C451" s="8"/>
      <c r="D451" s="8"/>
      <c r="E451" s="8"/>
      <c r="F451" s="8"/>
      <c r="G451" s="10" t="str">
        <f aca="false">IF($A451="","",UPPER(SUBSTITUTE(SUBSTITUTE(SUBSTITUTE(SUBSTITUTE($A451," ",""),"(주)",""),"주식회사",""),"㈜","")))</f>
        <v/>
      </c>
      <c r="H451" s="10" t="str">
        <f aca="false">IF($B451="","",SUBSTITUTE(SUBSTITUTE(SUBSTITUTE($B451,"-","")," ",""),".",""))</f>
        <v/>
      </c>
      <c r="I451" s="10" t="str">
        <f aca="false">IF($D451="","",SUBSTITUTE(SUBSTITUTE(SUBSTITUTE($D451,"-","")," ",""),".",""))</f>
        <v/>
      </c>
      <c r="J451" s="10" t="str">
        <f aca="false">IF($E451="","",UPPER(SUBSTITUTE($E451," ","")))</f>
        <v/>
      </c>
      <c r="K451" s="10" t="str">
        <f aca="false">IF($A451="","",$G451&amp;"|"&amp;$J451)</f>
        <v/>
      </c>
      <c r="L451" s="10" t="str">
        <f aca="false">IF($A451="","",ROW()-2)</f>
        <v/>
      </c>
      <c r="M451" s="10" t="str">
        <f aca="false">IF($A451="","",ROW())</f>
        <v/>
      </c>
    </row>
    <row r="452" customFormat="false" ht="15" hidden="false" customHeight="true" outlineLevel="0" collapsed="false">
      <c r="A452" s="8"/>
      <c r="B452" s="8"/>
      <c r="C452" s="8"/>
      <c r="D452" s="8"/>
      <c r="E452" s="8"/>
      <c r="F452" s="8"/>
      <c r="G452" s="10" t="str">
        <f aca="false">IF($A452="","",UPPER(SUBSTITUTE(SUBSTITUTE(SUBSTITUTE(SUBSTITUTE($A452," ",""),"(주)",""),"주식회사",""),"㈜","")))</f>
        <v/>
      </c>
      <c r="H452" s="10" t="str">
        <f aca="false">IF($B452="","",SUBSTITUTE(SUBSTITUTE(SUBSTITUTE($B452,"-","")," ",""),".",""))</f>
        <v/>
      </c>
      <c r="I452" s="10" t="str">
        <f aca="false">IF($D452="","",SUBSTITUTE(SUBSTITUTE(SUBSTITUTE($D452,"-","")," ",""),".",""))</f>
        <v/>
      </c>
      <c r="J452" s="10" t="str">
        <f aca="false">IF($E452="","",UPPER(SUBSTITUTE($E452," ","")))</f>
        <v/>
      </c>
      <c r="K452" s="10" t="str">
        <f aca="false">IF($A452="","",$G452&amp;"|"&amp;$J452)</f>
        <v/>
      </c>
      <c r="L452" s="10" t="str">
        <f aca="false">IF($A452="","",ROW()-2)</f>
        <v/>
      </c>
      <c r="M452" s="10" t="str">
        <f aca="false">IF($A452="","",ROW())</f>
        <v/>
      </c>
    </row>
    <row r="453" customFormat="false" ht="15" hidden="false" customHeight="true" outlineLevel="0" collapsed="false">
      <c r="A453" s="8"/>
      <c r="B453" s="8"/>
      <c r="C453" s="8"/>
      <c r="D453" s="8"/>
      <c r="E453" s="8"/>
      <c r="F453" s="8"/>
      <c r="G453" s="10" t="str">
        <f aca="false">IF($A453="","",UPPER(SUBSTITUTE(SUBSTITUTE(SUBSTITUTE(SUBSTITUTE($A453," ",""),"(주)",""),"주식회사",""),"㈜","")))</f>
        <v/>
      </c>
      <c r="H453" s="10" t="str">
        <f aca="false">IF($B453="","",SUBSTITUTE(SUBSTITUTE(SUBSTITUTE($B453,"-","")," ",""),".",""))</f>
        <v/>
      </c>
      <c r="I453" s="10" t="str">
        <f aca="false">IF($D453="","",SUBSTITUTE(SUBSTITUTE(SUBSTITUTE($D453,"-","")," ",""),".",""))</f>
        <v/>
      </c>
      <c r="J453" s="10" t="str">
        <f aca="false">IF($E453="","",UPPER(SUBSTITUTE($E453," ","")))</f>
        <v/>
      </c>
      <c r="K453" s="10" t="str">
        <f aca="false">IF($A453="","",$G453&amp;"|"&amp;$J453)</f>
        <v/>
      </c>
      <c r="L453" s="10" t="str">
        <f aca="false">IF($A453="","",ROW()-2)</f>
        <v/>
      </c>
      <c r="M453" s="10" t="str">
        <f aca="false">IF($A453="","",ROW())</f>
        <v/>
      </c>
    </row>
    <row r="454" customFormat="false" ht="15" hidden="false" customHeight="true" outlineLevel="0" collapsed="false">
      <c r="A454" s="8"/>
      <c r="B454" s="8"/>
      <c r="C454" s="8"/>
      <c r="D454" s="8"/>
      <c r="E454" s="8"/>
      <c r="F454" s="8"/>
      <c r="G454" s="10" t="str">
        <f aca="false">IF($A454="","",UPPER(SUBSTITUTE(SUBSTITUTE(SUBSTITUTE(SUBSTITUTE($A454," ",""),"(주)",""),"주식회사",""),"㈜","")))</f>
        <v/>
      </c>
      <c r="H454" s="10" t="str">
        <f aca="false">IF($B454="","",SUBSTITUTE(SUBSTITUTE(SUBSTITUTE($B454,"-","")," ",""),".",""))</f>
        <v/>
      </c>
      <c r="I454" s="10" t="str">
        <f aca="false">IF($D454="","",SUBSTITUTE(SUBSTITUTE(SUBSTITUTE($D454,"-","")," ",""),".",""))</f>
        <v/>
      </c>
      <c r="J454" s="10" t="str">
        <f aca="false">IF($E454="","",UPPER(SUBSTITUTE($E454," ","")))</f>
        <v/>
      </c>
      <c r="K454" s="10" t="str">
        <f aca="false">IF($A454="","",$G454&amp;"|"&amp;$J454)</f>
        <v/>
      </c>
      <c r="L454" s="10" t="str">
        <f aca="false">IF($A454="","",ROW()-2)</f>
        <v/>
      </c>
      <c r="M454" s="10" t="str">
        <f aca="false">IF($A454="","",ROW())</f>
        <v/>
      </c>
    </row>
    <row r="455" customFormat="false" ht="15" hidden="false" customHeight="true" outlineLevel="0" collapsed="false">
      <c r="A455" s="8"/>
      <c r="B455" s="8"/>
      <c r="C455" s="8"/>
      <c r="D455" s="8"/>
      <c r="E455" s="8"/>
      <c r="F455" s="8"/>
      <c r="G455" s="10" t="str">
        <f aca="false">IF($A455="","",UPPER(SUBSTITUTE(SUBSTITUTE(SUBSTITUTE(SUBSTITUTE($A455," ",""),"(주)",""),"주식회사",""),"㈜","")))</f>
        <v/>
      </c>
      <c r="H455" s="10" t="str">
        <f aca="false">IF($B455="","",SUBSTITUTE(SUBSTITUTE(SUBSTITUTE($B455,"-","")," ",""),".",""))</f>
        <v/>
      </c>
      <c r="I455" s="10" t="str">
        <f aca="false">IF($D455="","",SUBSTITUTE(SUBSTITUTE(SUBSTITUTE($D455,"-","")," ",""),".",""))</f>
        <v/>
      </c>
      <c r="J455" s="10" t="str">
        <f aca="false">IF($E455="","",UPPER(SUBSTITUTE($E455," ","")))</f>
        <v/>
      </c>
      <c r="K455" s="10" t="str">
        <f aca="false">IF($A455="","",$G455&amp;"|"&amp;$J455)</f>
        <v/>
      </c>
      <c r="L455" s="10" t="str">
        <f aca="false">IF($A455="","",ROW()-2)</f>
        <v/>
      </c>
      <c r="M455" s="10" t="str">
        <f aca="false">IF($A455="","",ROW())</f>
        <v/>
      </c>
    </row>
    <row r="456" customFormat="false" ht="15" hidden="false" customHeight="true" outlineLevel="0" collapsed="false">
      <c r="A456" s="8"/>
      <c r="B456" s="8"/>
      <c r="C456" s="8"/>
      <c r="D456" s="8"/>
      <c r="E456" s="8"/>
      <c r="F456" s="8"/>
      <c r="G456" s="10" t="str">
        <f aca="false">IF($A456="","",UPPER(SUBSTITUTE(SUBSTITUTE(SUBSTITUTE(SUBSTITUTE($A456," ",""),"(주)",""),"주식회사",""),"㈜","")))</f>
        <v/>
      </c>
      <c r="H456" s="10" t="str">
        <f aca="false">IF($B456="","",SUBSTITUTE(SUBSTITUTE(SUBSTITUTE($B456,"-","")," ",""),".",""))</f>
        <v/>
      </c>
      <c r="I456" s="10" t="str">
        <f aca="false">IF($D456="","",SUBSTITUTE(SUBSTITUTE(SUBSTITUTE($D456,"-","")," ",""),".",""))</f>
        <v/>
      </c>
      <c r="J456" s="10" t="str">
        <f aca="false">IF($E456="","",UPPER(SUBSTITUTE($E456," ","")))</f>
        <v/>
      </c>
      <c r="K456" s="10" t="str">
        <f aca="false">IF($A456="","",$G456&amp;"|"&amp;$J456)</f>
        <v/>
      </c>
      <c r="L456" s="10" t="str">
        <f aca="false">IF($A456="","",ROW()-2)</f>
        <v/>
      </c>
      <c r="M456" s="10" t="str">
        <f aca="false">IF($A456="","",ROW())</f>
        <v/>
      </c>
    </row>
    <row r="457" customFormat="false" ht="15" hidden="false" customHeight="true" outlineLevel="0" collapsed="false">
      <c r="A457" s="8"/>
      <c r="B457" s="8"/>
      <c r="C457" s="8"/>
      <c r="D457" s="8"/>
      <c r="E457" s="8"/>
      <c r="F457" s="8"/>
      <c r="G457" s="10" t="str">
        <f aca="false">IF($A457="","",UPPER(SUBSTITUTE(SUBSTITUTE(SUBSTITUTE(SUBSTITUTE($A457," ",""),"(주)",""),"주식회사",""),"㈜","")))</f>
        <v/>
      </c>
      <c r="H457" s="10" t="str">
        <f aca="false">IF($B457="","",SUBSTITUTE(SUBSTITUTE(SUBSTITUTE($B457,"-","")," ",""),".",""))</f>
        <v/>
      </c>
      <c r="I457" s="10" t="str">
        <f aca="false">IF($D457="","",SUBSTITUTE(SUBSTITUTE(SUBSTITUTE($D457,"-","")," ",""),".",""))</f>
        <v/>
      </c>
      <c r="J457" s="10" t="str">
        <f aca="false">IF($E457="","",UPPER(SUBSTITUTE($E457," ","")))</f>
        <v/>
      </c>
      <c r="K457" s="10" t="str">
        <f aca="false">IF($A457="","",$G457&amp;"|"&amp;$J457)</f>
        <v/>
      </c>
      <c r="L457" s="10" t="str">
        <f aca="false">IF($A457="","",ROW()-2)</f>
        <v/>
      </c>
      <c r="M457" s="10" t="str">
        <f aca="false">IF($A457="","",ROW())</f>
        <v/>
      </c>
    </row>
    <row r="458" customFormat="false" ht="15" hidden="false" customHeight="true" outlineLevel="0" collapsed="false">
      <c r="A458" s="8"/>
      <c r="B458" s="8"/>
      <c r="C458" s="8"/>
      <c r="D458" s="8"/>
      <c r="E458" s="8"/>
      <c r="F458" s="8"/>
      <c r="G458" s="10" t="str">
        <f aca="false">IF($A458="","",UPPER(SUBSTITUTE(SUBSTITUTE(SUBSTITUTE(SUBSTITUTE($A458," ",""),"(주)",""),"주식회사",""),"㈜","")))</f>
        <v/>
      </c>
      <c r="H458" s="10" t="str">
        <f aca="false">IF($B458="","",SUBSTITUTE(SUBSTITUTE(SUBSTITUTE($B458,"-","")," ",""),".",""))</f>
        <v/>
      </c>
      <c r="I458" s="10" t="str">
        <f aca="false">IF($D458="","",SUBSTITUTE(SUBSTITUTE(SUBSTITUTE($D458,"-","")," ",""),".",""))</f>
        <v/>
      </c>
      <c r="J458" s="10" t="str">
        <f aca="false">IF($E458="","",UPPER(SUBSTITUTE($E458," ","")))</f>
        <v/>
      </c>
      <c r="K458" s="10" t="str">
        <f aca="false">IF($A458="","",$G458&amp;"|"&amp;$J458)</f>
        <v/>
      </c>
      <c r="L458" s="10" t="str">
        <f aca="false">IF($A458="","",ROW()-2)</f>
        <v/>
      </c>
      <c r="M458" s="10" t="str">
        <f aca="false">IF($A458="","",ROW())</f>
        <v/>
      </c>
    </row>
    <row r="459" customFormat="false" ht="15" hidden="false" customHeight="true" outlineLevel="0" collapsed="false">
      <c r="A459" s="8"/>
      <c r="B459" s="8"/>
      <c r="C459" s="8"/>
      <c r="D459" s="8"/>
      <c r="E459" s="8"/>
      <c r="F459" s="8"/>
      <c r="G459" s="10" t="str">
        <f aca="false">IF($A459="","",UPPER(SUBSTITUTE(SUBSTITUTE(SUBSTITUTE(SUBSTITUTE($A459," ",""),"(주)",""),"주식회사",""),"㈜","")))</f>
        <v/>
      </c>
      <c r="H459" s="10" t="str">
        <f aca="false">IF($B459="","",SUBSTITUTE(SUBSTITUTE(SUBSTITUTE($B459,"-","")," ",""),".",""))</f>
        <v/>
      </c>
      <c r="I459" s="10" t="str">
        <f aca="false">IF($D459="","",SUBSTITUTE(SUBSTITUTE(SUBSTITUTE($D459,"-","")," ",""),".",""))</f>
        <v/>
      </c>
      <c r="J459" s="10" t="str">
        <f aca="false">IF($E459="","",UPPER(SUBSTITUTE($E459," ","")))</f>
        <v/>
      </c>
      <c r="K459" s="10" t="str">
        <f aca="false">IF($A459="","",$G459&amp;"|"&amp;$J459)</f>
        <v/>
      </c>
      <c r="L459" s="10" t="str">
        <f aca="false">IF($A459="","",ROW()-2)</f>
        <v/>
      </c>
      <c r="M459" s="10" t="str">
        <f aca="false">IF($A459="","",ROW())</f>
        <v/>
      </c>
    </row>
    <row r="460" customFormat="false" ht="15" hidden="false" customHeight="true" outlineLevel="0" collapsed="false">
      <c r="A460" s="8"/>
      <c r="B460" s="8"/>
      <c r="C460" s="8"/>
      <c r="D460" s="8"/>
      <c r="E460" s="8"/>
      <c r="F460" s="8"/>
      <c r="G460" s="10" t="str">
        <f aca="false">IF($A460="","",UPPER(SUBSTITUTE(SUBSTITUTE(SUBSTITUTE(SUBSTITUTE($A460," ",""),"(주)",""),"주식회사",""),"㈜","")))</f>
        <v/>
      </c>
      <c r="H460" s="10" t="str">
        <f aca="false">IF($B460="","",SUBSTITUTE(SUBSTITUTE(SUBSTITUTE($B460,"-","")," ",""),".",""))</f>
        <v/>
      </c>
      <c r="I460" s="10" t="str">
        <f aca="false">IF($D460="","",SUBSTITUTE(SUBSTITUTE(SUBSTITUTE($D460,"-","")," ",""),".",""))</f>
        <v/>
      </c>
      <c r="J460" s="10" t="str">
        <f aca="false">IF($E460="","",UPPER(SUBSTITUTE($E460," ","")))</f>
        <v/>
      </c>
      <c r="K460" s="10" t="str">
        <f aca="false">IF($A460="","",$G460&amp;"|"&amp;$J460)</f>
        <v/>
      </c>
      <c r="L460" s="10" t="str">
        <f aca="false">IF($A460="","",ROW()-2)</f>
        <v/>
      </c>
      <c r="M460" s="10" t="str">
        <f aca="false">IF($A460="","",ROW())</f>
        <v/>
      </c>
    </row>
    <row r="461" customFormat="false" ht="15" hidden="false" customHeight="true" outlineLevel="0" collapsed="false">
      <c r="A461" s="8"/>
      <c r="B461" s="8"/>
      <c r="C461" s="8"/>
      <c r="D461" s="8"/>
      <c r="E461" s="8"/>
      <c r="F461" s="8"/>
      <c r="G461" s="10" t="str">
        <f aca="false">IF($A461="","",UPPER(SUBSTITUTE(SUBSTITUTE(SUBSTITUTE(SUBSTITUTE($A461," ",""),"(주)",""),"주식회사",""),"㈜","")))</f>
        <v/>
      </c>
      <c r="H461" s="10" t="str">
        <f aca="false">IF($B461="","",SUBSTITUTE(SUBSTITUTE(SUBSTITUTE($B461,"-","")," ",""),".",""))</f>
        <v/>
      </c>
      <c r="I461" s="10" t="str">
        <f aca="false">IF($D461="","",SUBSTITUTE(SUBSTITUTE(SUBSTITUTE($D461,"-","")," ",""),".",""))</f>
        <v/>
      </c>
      <c r="J461" s="10" t="str">
        <f aca="false">IF($E461="","",UPPER(SUBSTITUTE($E461," ","")))</f>
        <v/>
      </c>
      <c r="K461" s="10" t="str">
        <f aca="false">IF($A461="","",$G461&amp;"|"&amp;$J461)</f>
        <v/>
      </c>
      <c r="L461" s="10" t="str">
        <f aca="false">IF($A461="","",ROW()-2)</f>
        <v/>
      </c>
      <c r="M461" s="10" t="str">
        <f aca="false">IF($A461="","",ROW())</f>
        <v/>
      </c>
    </row>
    <row r="462" customFormat="false" ht="15" hidden="false" customHeight="true" outlineLevel="0" collapsed="false">
      <c r="A462" s="8"/>
      <c r="B462" s="8"/>
      <c r="C462" s="8"/>
      <c r="D462" s="8"/>
      <c r="E462" s="8"/>
      <c r="F462" s="8"/>
      <c r="G462" s="10" t="str">
        <f aca="false">IF($A462="","",UPPER(SUBSTITUTE(SUBSTITUTE(SUBSTITUTE(SUBSTITUTE($A462," ",""),"(주)",""),"주식회사",""),"㈜","")))</f>
        <v/>
      </c>
      <c r="H462" s="10" t="str">
        <f aca="false">IF($B462="","",SUBSTITUTE(SUBSTITUTE(SUBSTITUTE($B462,"-","")," ",""),".",""))</f>
        <v/>
      </c>
      <c r="I462" s="10" t="str">
        <f aca="false">IF($D462="","",SUBSTITUTE(SUBSTITUTE(SUBSTITUTE($D462,"-","")," ",""),".",""))</f>
        <v/>
      </c>
      <c r="J462" s="10" t="str">
        <f aca="false">IF($E462="","",UPPER(SUBSTITUTE($E462," ","")))</f>
        <v/>
      </c>
      <c r="K462" s="10" t="str">
        <f aca="false">IF($A462="","",$G462&amp;"|"&amp;$J462)</f>
        <v/>
      </c>
      <c r="L462" s="10" t="str">
        <f aca="false">IF($A462="","",ROW()-2)</f>
        <v/>
      </c>
      <c r="M462" s="10" t="str">
        <f aca="false">IF($A462="","",ROW())</f>
        <v/>
      </c>
    </row>
    <row r="463" customFormat="false" ht="15" hidden="false" customHeight="true" outlineLevel="0" collapsed="false">
      <c r="A463" s="8"/>
      <c r="B463" s="8"/>
      <c r="C463" s="8"/>
      <c r="D463" s="8"/>
      <c r="E463" s="8"/>
      <c r="F463" s="8"/>
      <c r="G463" s="10" t="str">
        <f aca="false">IF($A463="","",UPPER(SUBSTITUTE(SUBSTITUTE(SUBSTITUTE(SUBSTITUTE($A463," ",""),"(주)",""),"주식회사",""),"㈜","")))</f>
        <v/>
      </c>
      <c r="H463" s="10" t="str">
        <f aca="false">IF($B463="","",SUBSTITUTE(SUBSTITUTE(SUBSTITUTE($B463,"-","")," ",""),".",""))</f>
        <v/>
      </c>
      <c r="I463" s="10" t="str">
        <f aca="false">IF($D463="","",SUBSTITUTE(SUBSTITUTE(SUBSTITUTE($D463,"-","")," ",""),".",""))</f>
        <v/>
      </c>
      <c r="J463" s="10" t="str">
        <f aca="false">IF($E463="","",UPPER(SUBSTITUTE($E463," ","")))</f>
        <v/>
      </c>
      <c r="K463" s="10" t="str">
        <f aca="false">IF($A463="","",$G463&amp;"|"&amp;$J463)</f>
        <v/>
      </c>
      <c r="L463" s="10" t="str">
        <f aca="false">IF($A463="","",ROW()-2)</f>
        <v/>
      </c>
      <c r="M463" s="10" t="str">
        <f aca="false">IF($A463="","",ROW())</f>
        <v/>
      </c>
    </row>
    <row r="464" customFormat="false" ht="15" hidden="false" customHeight="true" outlineLevel="0" collapsed="false">
      <c r="A464" s="8"/>
      <c r="B464" s="8"/>
      <c r="C464" s="8"/>
      <c r="D464" s="8"/>
      <c r="E464" s="8"/>
      <c r="F464" s="8"/>
      <c r="G464" s="10" t="str">
        <f aca="false">IF($A464="","",UPPER(SUBSTITUTE(SUBSTITUTE(SUBSTITUTE(SUBSTITUTE($A464," ",""),"(주)",""),"주식회사",""),"㈜","")))</f>
        <v/>
      </c>
      <c r="H464" s="10" t="str">
        <f aca="false">IF($B464="","",SUBSTITUTE(SUBSTITUTE(SUBSTITUTE($B464,"-","")," ",""),".",""))</f>
        <v/>
      </c>
      <c r="I464" s="10" t="str">
        <f aca="false">IF($D464="","",SUBSTITUTE(SUBSTITUTE(SUBSTITUTE($D464,"-","")," ",""),".",""))</f>
        <v/>
      </c>
      <c r="J464" s="10" t="str">
        <f aca="false">IF($E464="","",UPPER(SUBSTITUTE($E464," ","")))</f>
        <v/>
      </c>
      <c r="K464" s="10" t="str">
        <f aca="false">IF($A464="","",$G464&amp;"|"&amp;$J464)</f>
        <v/>
      </c>
      <c r="L464" s="10" t="str">
        <f aca="false">IF($A464="","",ROW()-2)</f>
        <v/>
      </c>
      <c r="M464" s="10" t="str">
        <f aca="false">IF($A464="","",ROW())</f>
        <v/>
      </c>
    </row>
    <row r="465" customFormat="false" ht="15" hidden="false" customHeight="true" outlineLevel="0" collapsed="false">
      <c r="A465" s="8"/>
      <c r="B465" s="8"/>
      <c r="C465" s="8"/>
      <c r="D465" s="8"/>
      <c r="E465" s="8"/>
      <c r="F465" s="8"/>
      <c r="G465" s="10" t="str">
        <f aca="false">IF($A465="","",UPPER(SUBSTITUTE(SUBSTITUTE(SUBSTITUTE(SUBSTITUTE($A465," ",""),"(주)",""),"주식회사",""),"㈜","")))</f>
        <v/>
      </c>
      <c r="H465" s="10" t="str">
        <f aca="false">IF($B465="","",SUBSTITUTE(SUBSTITUTE(SUBSTITUTE($B465,"-","")," ",""),".",""))</f>
        <v/>
      </c>
      <c r="I465" s="10" t="str">
        <f aca="false">IF($D465="","",SUBSTITUTE(SUBSTITUTE(SUBSTITUTE($D465,"-","")," ",""),".",""))</f>
        <v/>
      </c>
      <c r="J465" s="10" t="str">
        <f aca="false">IF($E465="","",UPPER(SUBSTITUTE($E465," ","")))</f>
        <v/>
      </c>
      <c r="K465" s="10" t="str">
        <f aca="false">IF($A465="","",$G465&amp;"|"&amp;$J465)</f>
        <v/>
      </c>
      <c r="L465" s="10" t="str">
        <f aca="false">IF($A465="","",ROW()-2)</f>
        <v/>
      </c>
      <c r="M465" s="10" t="str">
        <f aca="false">IF($A465="","",ROW())</f>
        <v/>
      </c>
    </row>
    <row r="466" customFormat="false" ht="15" hidden="false" customHeight="true" outlineLevel="0" collapsed="false">
      <c r="A466" s="8"/>
      <c r="B466" s="8"/>
      <c r="C466" s="8"/>
      <c r="D466" s="8"/>
      <c r="E466" s="8"/>
      <c r="F466" s="8"/>
      <c r="G466" s="10" t="str">
        <f aca="false">IF($A466="","",UPPER(SUBSTITUTE(SUBSTITUTE(SUBSTITUTE(SUBSTITUTE($A466," ",""),"(주)",""),"주식회사",""),"㈜","")))</f>
        <v/>
      </c>
      <c r="H466" s="10" t="str">
        <f aca="false">IF($B466="","",SUBSTITUTE(SUBSTITUTE(SUBSTITUTE($B466,"-","")," ",""),".",""))</f>
        <v/>
      </c>
      <c r="I466" s="10" t="str">
        <f aca="false">IF($D466="","",SUBSTITUTE(SUBSTITUTE(SUBSTITUTE($D466,"-","")," ",""),".",""))</f>
        <v/>
      </c>
      <c r="J466" s="10" t="str">
        <f aca="false">IF($E466="","",UPPER(SUBSTITUTE($E466," ","")))</f>
        <v/>
      </c>
      <c r="K466" s="10" t="str">
        <f aca="false">IF($A466="","",$G466&amp;"|"&amp;$J466)</f>
        <v/>
      </c>
      <c r="L466" s="10" t="str">
        <f aca="false">IF($A466="","",ROW()-2)</f>
        <v/>
      </c>
      <c r="M466" s="10" t="str">
        <f aca="false">IF($A466="","",ROW())</f>
        <v/>
      </c>
    </row>
    <row r="467" customFormat="false" ht="15" hidden="false" customHeight="true" outlineLevel="0" collapsed="false">
      <c r="A467" s="8"/>
      <c r="B467" s="8"/>
      <c r="C467" s="8"/>
      <c r="D467" s="8"/>
      <c r="E467" s="8"/>
      <c r="F467" s="8"/>
      <c r="G467" s="10" t="str">
        <f aca="false">IF($A467="","",UPPER(SUBSTITUTE(SUBSTITUTE(SUBSTITUTE(SUBSTITUTE($A467," ",""),"(주)",""),"주식회사",""),"㈜","")))</f>
        <v/>
      </c>
      <c r="H467" s="10" t="str">
        <f aca="false">IF($B467="","",SUBSTITUTE(SUBSTITUTE(SUBSTITUTE($B467,"-","")," ",""),".",""))</f>
        <v/>
      </c>
      <c r="I467" s="10" t="str">
        <f aca="false">IF($D467="","",SUBSTITUTE(SUBSTITUTE(SUBSTITUTE($D467,"-","")," ",""),".",""))</f>
        <v/>
      </c>
      <c r="J467" s="10" t="str">
        <f aca="false">IF($E467="","",UPPER(SUBSTITUTE($E467," ","")))</f>
        <v/>
      </c>
      <c r="K467" s="10" t="str">
        <f aca="false">IF($A467="","",$G467&amp;"|"&amp;$J467)</f>
        <v/>
      </c>
      <c r="L467" s="10" t="str">
        <f aca="false">IF($A467="","",ROW()-2)</f>
        <v/>
      </c>
      <c r="M467" s="10" t="str">
        <f aca="false">IF($A467="","",ROW())</f>
        <v/>
      </c>
    </row>
    <row r="468" customFormat="false" ht="15" hidden="false" customHeight="true" outlineLevel="0" collapsed="false">
      <c r="A468" s="8"/>
      <c r="B468" s="8"/>
      <c r="C468" s="8"/>
      <c r="D468" s="8"/>
      <c r="E468" s="8"/>
      <c r="F468" s="8"/>
      <c r="G468" s="10" t="str">
        <f aca="false">IF($A468="","",UPPER(SUBSTITUTE(SUBSTITUTE(SUBSTITUTE(SUBSTITUTE($A468," ",""),"(주)",""),"주식회사",""),"㈜","")))</f>
        <v/>
      </c>
      <c r="H468" s="10" t="str">
        <f aca="false">IF($B468="","",SUBSTITUTE(SUBSTITUTE(SUBSTITUTE($B468,"-","")," ",""),".",""))</f>
        <v/>
      </c>
      <c r="I468" s="10" t="str">
        <f aca="false">IF($D468="","",SUBSTITUTE(SUBSTITUTE(SUBSTITUTE($D468,"-","")," ",""),".",""))</f>
        <v/>
      </c>
      <c r="J468" s="10" t="str">
        <f aca="false">IF($E468="","",UPPER(SUBSTITUTE($E468," ","")))</f>
        <v/>
      </c>
      <c r="K468" s="10" t="str">
        <f aca="false">IF($A468="","",$G468&amp;"|"&amp;$J468)</f>
        <v/>
      </c>
      <c r="L468" s="10" t="str">
        <f aca="false">IF($A468="","",ROW()-2)</f>
        <v/>
      </c>
      <c r="M468" s="10" t="str">
        <f aca="false">IF($A468="","",ROW())</f>
        <v/>
      </c>
    </row>
    <row r="469" customFormat="false" ht="15" hidden="false" customHeight="true" outlineLevel="0" collapsed="false">
      <c r="A469" s="8"/>
      <c r="B469" s="8"/>
      <c r="C469" s="8"/>
      <c r="D469" s="8"/>
      <c r="E469" s="8"/>
      <c r="F469" s="8"/>
      <c r="G469" s="10" t="str">
        <f aca="false">IF($A469="","",UPPER(SUBSTITUTE(SUBSTITUTE(SUBSTITUTE(SUBSTITUTE($A469," ",""),"(주)",""),"주식회사",""),"㈜","")))</f>
        <v/>
      </c>
      <c r="H469" s="10" t="str">
        <f aca="false">IF($B469="","",SUBSTITUTE(SUBSTITUTE(SUBSTITUTE($B469,"-","")," ",""),".",""))</f>
        <v/>
      </c>
      <c r="I469" s="10" t="str">
        <f aca="false">IF($D469="","",SUBSTITUTE(SUBSTITUTE(SUBSTITUTE($D469,"-","")," ",""),".",""))</f>
        <v/>
      </c>
      <c r="J469" s="10" t="str">
        <f aca="false">IF($E469="","",UPPER(SUBSTITUTE($E469," ","")))</f>
        <v/>
      </c>
      <c r="K469" s="10" t="str">
        <f aca="false">IF($A469="","",$G469&amp;"|"&amp;$J469)</f>
        <v/>
      </c>
      <c r="L469" s="10" t="str">
        <f aca="false">IF($A469="","",ROW()-2)</f>
        <v/>
      </c>
      <c r="M469" s="10" t="str">
        <f aca="false">IF($A469="","",ROW())</f>
        <v/>
      </c>
    </row>
    <row r="470" customFormat="false" ht="15" hidden="false" customHeight="true" outlineLevel="0" collapsed="false">
      <c r="A470" s="8"/>
      <c r="B470" s="8"/>
      <c r="C470" s="8"/>
      <c r="D470" s="8"/>
      <c r="E470" s="8"/>
      <c r="F470" s="8"/>
      <c r="G470" s="10" t="str">
        <f aca="false">IF($A470="","",UPPER(SUBSTITUTE(SUBSTITUTE(SUBSTITUTE(SUBSTITUTE($A470," ",""),"(주)",""),"주식회사",""),"㈜","")))</f>
        <v/>
      </c>
      <c r="H470" s="10" t="str">
        <f aca="false">IF($B470="","",SUBSTITUTE(SUBSTITUTE(SUBSTITUTE($B470,"-","")," ",""),".",""))</f>
        <v/>
      </c>
      <c r="I470" s="10" t="str">
        <f aca="false">IF($D470="","",SUBSTITUTE(SUBSTITUTE(SUBSTITUTE($D470,"-","")," ",""),".",""))</f>
        <v/>
      </c>
      <c r="J470" s="10" t="str">
        <f aca="false">IF($E470="","",UPPER(SUBSTITUTE($E470," ","")))</f>
        <v/>
      </c>
      <c r="K470" s="10" t="str">
        <f aca="false">IF($A470="","",$G470&amp;"|"&amp;$J470)</f>
        <v/>
      </c>
      <c r="L470" s="10" t="str">
        <f aca="false">IF($A470="","",ROW()-2)</f>
        <v/>
      </c>
      <c r="M470" s="10" t="str">
        <f aca="false">IF($A470="","",ROW())</f>
        <v/>
      </c>
    </row>
    <row r="471" customFormat="false" ht="15" hidden="false" customHeight="true" outlineLevel="0" collapsed="false">
      <c r="A471" s="8"/>
      <c r="B471" s="8"/>
      <c r="C471" s="8"/>
      <c r="D471" s="8"/>
      <c r="E471" s="8"/>
      <c r="F471" s="8"/>
      <c r="G471" s="10" t="str">
        <f aca="false">IF($A471="","",UPPER(SUBSTITUTE(SUBSTITUTE(SUBSTITUTE(SUBSTITUTE($A471," ",""),"(주)",""),"주식회사",""),"㈜","")))</f>
        <v/>
      </c>
      <c r="H471" s="10" t="str">
        <f aca="false">IF($B471="","",SUBSTITUTE(SUBSTITUTE(SUBSTITUTE($B471,"-","")," ",""),".",""))</f>
        <v/>
      </c>
      <c r="I471" s="10" t="str">
        <f aca="false">IF($D471="","",SUBSTITUTE(SUBSTITUTE(SUBSTITUTE($D471,"-","")," ",""),".",""))</f>
        <v/>
      </c>
      <c r="J471" s="10" t="str">
        <f aca="false">IF($E471="","",UPPER(SUBSTITUTE($E471," ","")))</f>
        <v/>
      </c>
      <c r="K471" s="10" t="str">
        <f aca="false">IF($A471="","",$G471&amp;"|"&amp;$J471)</f>
        <v/>
      </c>
      <c r="L471" s="10" t="str">
        <f aca="false">IF($A471="","",ROW()-2)</f>
        <v/>
      </c>
      <c r="M471" s="10" t="str">
        <f aca="false">IF($A471="","",ROW())</f>
        <v/>
      </c>
    </row>
    <row r="472" customFormat="false" ht="15" hidden="false" customHeight="true" outlineLevel="0" collapsed="false">
      <c r="A472" s="8"/>
      <c r="B472" s="8"/>
      <c r="C472" s="8"/>
      <c r="D472" s="8"/>
      <c r="E472" s="8"/>
      <c r="F472" s="8"/>
      <c r="G472" s="10" t="str">
        <f aca="false">IF($A472="","",UPPER(SUBSTITUTE(SUBSTITUTE(SUBSTITUTE(SUBSTITUTE($A472," ",""),"(주)",""),"주식회사",""),"㈜","")))</f>
        <v/>
      </c>
      <c r="H472" s="10" t="str">
        <f aca="false">IF($B472="","",SUBSTITUTE(SUBSTITUTE(SUBSTITUTE($B472,"-","")," ",""),".",""))</f>
        <v/>
      </c>
      <c r="I472" s="10" t="str">
        <f aca="false">IF($D472="","",SUBSTITUTE(SUBSTITUTE(SUBSTITUTE($D472,"-","")," ",""),".",""))</f>
        <v/>
      </c>
      <c r="J472" s="10" t="str">
        <f aca="false">IF($E472="","",UPPER(SUBSTITUTE($E472," ","")))</f>
        <v/>
      </c>
      <c r="K472" s="10" t="str">
        <f aca="false">IF($A472="","",$G472&amp;"|"&amp;$J472)</f>
        <v/>
      </c>
      <c r="L472" s="10" t="str">
        <f aca="false">IF($A472="","",ROW()-2)</f>
        <v/>
      </c>
      <c r="M472" s="10" t="str">
        <f aca="false">IF($A472="","",ROW())</f>
        <v/>
      </c>
    </row>
    <row r="473" customFormat="false" ht="15" hidden="false" customHeight="true" outlineLevel="0" collapsed="false">
      <c r="A473" s="8"/>
      <c r="B473" s="8"/>
      <c r="C473" s="8"/>
      <c r="D473" s="8"/>
      <c r="E473" s="8"/>
      <c r="F473" s="8"/>
      <c r="G473" s="10" t="str">
        <f aca="false">IF($A473="","",UPPER(SUBSTITUTE(SUBSTITUTE(SUBSTITUTE(SUBSTITUTE($A473," ",""),"(주)",""),"주식회사",""),"㈜","")))</f>
        <v/>
      </c>
      <c r="H473" s="10" t="str">
        <f aca="false">IF($B473="","",SUBSTITUTE(SUBSTITUTE(SUBSTITUTE($B473,"-","")," ",""),".",""))</f>
        <v/>
      </c>
      <c r="I473" s="10" t="str">
        <f aca="false">IF($D473="","",SUBSTITUTE(SUBSTITUTE(SUBSTITUTE($D473,"-","")," ",""),".",""))</f>
        <v/>
      </c>
      <c r="J473" s="10" t="str">
        <f aca="false">IF($E473="","",UPPER(SUBSTITUTE($E473," ","")))</f>
        <v/>
      </c>
      <c r="K473" s="10" t="str">
        <f aca="false">IF($A473="","",$G473&amp;"|"&amp;$J473)</f>
        <v/>
      </c>
      <c r="L473" s="10" t="str">
        <f aca="false">IF($A473="","",ROW()-2)</f>
        <v/>
      </c>
      <c r="M473" s="10" t="str">
        <f aca="false">IF($A473="","",ROW())</f>
        <v/>
      </c>
    </row>
    <row r="474" customFormat="false" ht="15" hidden="false" customHeight="true" outlineLevel="0" collapsed="false">
      <c r="A474" s="8"/>
      <c r="B474" s="8"/>
      <c r="C474" s="8"/>
      <c r="D474" s="8"/>
      <c r="E474" s="8"/>
      <c r="F474" s="8"/>
      <c r="G474" s="10" t="str">
        <f aca="false">IF($A474="","",UPPER(SUBSTITUTE(SUBSTITUTE(SUBSTITUTE(SUBSTITUTE($A474," ",""),"(주)",""),"주식회사",""),"㈜","")))</f>
        <v/>
      </c>
      <c r="H474" s="10" t="str">
        <f aca="false">IF($B474="","",SUBSTITUTE(SUBSTITUTE(SUBSTITUTE($B474,"-","")," ",""),".",""))</f>
        <v/>
      </c>
      <c r="I474" s="10" t="str">
        <f aca="false">IF($D474="","",SUBSTITUTE(SUBSTITUTE(SUBSTITUTE($D474,"-","")," ",""),".",""))</f>
        <v/>
      </c>
      <c r="J474" s="10" t="str">
        <f aca="false">IF($E474="","",UPPER(SUBSTITUTE($E474," ","")))</f>
        <v/>
      </c>
      <c r="K474" s="10" t="str">
        <f aca="false">IF($A474="","",$G474&amp;"|"&amp;$J474)</f>
        <v/>
      </c>
      <c r="L474" s="10" t="str">
        <f aca="false">IF($A474="","",ROW()-2)</f>
        <v/>
      </c>
      <c r="M474" s="10" t="str">
        <f aca="false">IF($A474="","",ROW())</f>
        <v/>
      </c>
    </row>
    <row r="475" customFormat="false" ht="15" hidden="false" customHeight="true" outlineLevel="0" collapsed="false">
      <c r="A475" s="8"/>
      <c r="B475" s="8"/>
      <c r="C475" s="8"/>
      <c r="D475" s="8"/>
      <c r="E475" s="8"/>
      <c r="F475" s="8"/>
      <c r="G475" s="10" t="str">
        <f aca="false">IF($A475="","",UPPER(SUBSTITUTE(SUBSTITUTE(SUBSTITUTE(SUBSTITUTE($A475," ",""),"(주)",""),"주식회사",""),"㈜","")))</f>
        <v/>
      </c>
      <c r="H475" s="10" t="str">
        <f aca="false">IF($B475="","",SUBSTITUTE(SUBSTITUTE(SUBSTITUTE($B475,"-","")," ",""),".",""))</f>
        <v/>
      </c>
      <c r="I475" s="10" t="str">
        <f aca="false">IF($D475="","",SUBSTITUTE(SUBSTITUTE(SUBSTITUTE($D475,"-","")," ",""),".",""))</f>
        <v/>
      </c>
      <c r="J475" s="10" t="str">
        <f aca="false">IF($E475="","",UPPER(SUBSTITUTE($E475," ","")))</f>
        <v/>
      </c>
      <c r="K475" s="10" t="str">
        <f aca="false">IF($A475="","",$G475&amp;"|"&amp;$J475)</f>
        <v/>
      </c>
      <c r="L475" s="10" t="str">
        <f aca="false">IF($A475="","",ROW()-2)</f>
        <v/>
      </c>
      <c r="M475" s="10" t="str">
        <f aca="false">IF($A475="","",ROW())</f>
        <v/>
      </c>
    </row>
    <row r="476" customFormat="false" ht="15" hidden="false" customHeight="true" outlineLevel="0" collapsed="false">
      <c r="A476" s="8"/>
      <c r="B476" s="8"/>
      <c r="C476" s="8"/>
      <c r="D476" s="8"/>
      <c r="E476" s="8"/>
      <c r="F476" s="8"/>
      <c r="G476" s="10" t="str">
        <f aca="false">IF($A476="","",UPPER(SUBSTITUTE(SUBSTITUTE(SUBSTITUTE(SUBSTITUTE($A476," ",""),"(주)",""),"주식회사",""),"㈜","")))</f>
        <v/>
      </c>
      <c r="H476" s="10" t="str">
        <f aca="false">IF($B476="","",SUBSTITUTE(SUBSTITUTE(SUBSTITUTE($B476,"-","")," ",""),".",""))</f>
        <v/>
      </c>
      <c r="I476" s="10" t="str">
        <f aca="false">IF($D476="","",SUBSTITUTE(SUBSTITUTE(SUBSTITUTE($D476,"-","")," ",""),".",""))</f>
        <v/>
      </c>
      <c r="J476" s="10" t="str">
        <f aca="false">IF($E476="","",UPPER(SUBSTITUTE($E476," ","")))</f>
        <v/>
      </c>
      <c r="K476" s="10" t="str">
        <f aca="false">IF($A476="","",$G476&amp;"|"&amp;$J476)</f>
        <v/>
      </c>
      <c r="L476" s="10" t="str">
        <f aca="false">IF($A476="","",ROW()-2)</f>
        <v/>
      </c>
      <c r="M476" s="10" t="str">
        <f aca="false">IF($A476="","",ROW())</f>
        <v/>
      </c>
    </row>
    <row r="477" customFormat="false" ht="15" hidden="false" customHeight="true" outlineLevel="0" collapsed="false">
      <c r="A477" s="8"/>
      <c r="B477" s="8"/>
      <c r="C477" s="8"/>
      <c r="D477" s="8"/>
      <c r="E477" s="8"/>
      <c r="F477" s="8"/>
      <c r="G477" s="10" t="str">
        <f aca="false">IF($A477="","",UPPER(SUBSTITUTE(SUBSTITUTE(SUBSTITUTE(SUBSTITUTE($A477," ",""),"(주)",""),"주식회사",""),"㈜","")))</f>
        <v/>
      </c>
      <c r="H477" s="10" t="str">
        <f aca="false">IF($B477="","",SUBSTITUTE(SUBSTITUTE(SUBSTITUTE($B477,"-","")," ",""),".",""))</f>
        <v/>
      </c>
      <c r="I477" s="10" t="str">
        <f aca="false">IF($D477="","",SUBSTITUTE(SUBSTITUTE(SUBSTITUTE($D477,"-","")," ",""),".",""))</f>
        <v/>
      </c>
      <c r="J477" s="10" t="str">
        <f aca="false">IF($E477="","",UPPER(SUBSTITUTE($E477," ","")))</f>
        <v/>
      </c>
      <c r="K477" s="10" t="str">
        <f aca="false">IF($A477="","",$G477&amp;"|"&amp;$J477)</f>
        <v/>
      </c>
      <c r="L477" s="10" t="str">
        <f aca="false">IF($A477="","",ROW()-2)</f>
        <v/>
      </c>
      <c r="M477" s="10" t="str">
        <f aca="false">IF($A477="","",ROW())</f>
        <v/>
      </c>
    </row>
    <row r="478" customFormat="false" ht="15" hidden="false" customHeight="true" outlineLevel="0" collapsed="false">
      <c r="A478" s="8"/>
      <c r="B478" s="8"/>
      <c r="C478" s="8"/>
      <c r="D478" s="8"/>
      <c r="E478" s="8"/>
      <c r="F478" s="8"/>
      <c r="G478" s="10" t="str">
        <f aca="false">IF($A478="","",UPPER(SUBSTITUTE(SUBSTITUTE(SUBSTITUTE(SUBSTITUTE($A478," ",""),"(주)",""),"주식회사",""),"㈜","")))</f>
        <v/>
      </c>
      <c r="H478" s="10" t="str">
        <f aca="false">IF($B478="","",SUBSTITUTE(SUBSTITUTE(SUBSTITUTE($B478,"-","")," ",""),".",""))</f>
        <v/>
      </c>
      <c r="I478" s="10" t="str">
        <f aca="false">IF($D478="","",SUBSTITUTE(SUBSTITUTE(SUBSTITUTE($D478,"-","")," ",""),".",""))</f>
        <v/>
      </c>
      <c r="J478" s="10" t="str">
        <f aca="false">IF($E478="","",UPPER(SUBSTITUTE($E478," ","")))</f>
        <v/>
      </c>
      <c r="K478" s="10" t="str">
        <f aca="false">IF($A478="","",$G478&amp;"|"&amp;$J478)</f>
        <v/>
      </c>
      <c r="L478" s="10" t="str">
        <f aca="false">IF($A478="","",ROW()-2)</f>
        <v/>
      </c>
      <c r="M478" s="10" t="str">
        <f aca="false">IF($A478="","",ROW())</f>
        <v/>
      </c>
    </row>
    <row r="479" customFormat="false" ht="15" hidden="false" customHeight="true" outlineLevel="0" collapsed="false">
      <c r="A479" s="8"/>
      <c r="B479" s="8"/>
      <c r="C479" s="8"/>
      <c r="D479" s="8"/>
      <c r="E479" s="8"/>
      <c r="F479" s="8"/>
      <c r="G479" s="10" t="str">
        <f aca="false">IF($A479="","",UPPER(SUBSTITUTE(SUBSTITUTE(SUBSTITUTE(SUBSTITUTE($A479," ",""),"(주)",""),"주식회사",""),"㈜","")))</f>
        <v/>
      </c>
      <c r="H479" s="10" t="str">
        <f aca="false">IF($B479="","",SUBSTITUTE(SUBSTITUTE(SUBSTITUTE($B479,"-","")," ",""),".",""))</f>
        <v/>
      </c>
      <c r="I479" s="10" t="str">
        <f aca="false">IF($D479="","",SUBSTITUTE(SUBSTITUTE(SUBSTITUTE($D479,"-","")," ",""),".",""))</f>
        <v/>
      </c>
      <c r="J479" s="10" t="str">
        <f aca="false">IF($E479="","",UPPER(SUBSTITUTE($E479," ","")))</f>
        <v/>
      </c>
      <c r="K479" s="10" t="str">
        <f aca="false">IF($A479="","",$G479&amp;"|"&amp;$J479)</f>
        <v/>
      </c>
      <c r="L479" s="10" t="str">
        <f aca="false">IF($A479="","",ROW()-2)</f>
        <v/>
      </c>
      <c r="M479" s="10" t="str">
        <f aca="false">IF($A479="","",ROW())</f>
        <v/>
      </c>
    </row>
    <row r="480" customFormat="false" ht="15" hidden="false" customHeight="true" outlineLevel="0" collapsed="false">
      <c r="A480" s="8"/>
      <c r="B480" s="8"/>
      <c r="C480" s="8"/>
      <c r="D480" s="8"/>
      <c r="E480" s="8"/>
      <c r="F480" s="8"/>
      <c r="G480" s="10" t="str">
        <f aca="false">IF($A480="","",UPPER(SUBSTITUTE(SUBSTITUTE(SUBSTITUTE(SUBSTITUTE($A480," ",""),"(주)",""),"주식회사",""),"㈜","")))</f>
        <v/>
      </c>
      <c r="H480" s="10" t="str">
        <f aca="false">IF($B480="","",SUBSTITUTE(SUBSTITUTE(SUBSTITUTE($B480,"-","")," ",""),".",""))</f>
        <v/>
      </c>
      <c r="I480" s="10" t="str">
        <f aca="false">IF($D480="","",SUBSTITUTE(SUBSTITUTE(SUBSTITUTE($D480,"-","")," ",""),".",""))</f>
        <v/>
      </c>
      <c r="J480" s="10" t="str">
        <f aca="false">IF($E480="","",UPPER(SUBSTITUTE($E480," ","")))</f>
        <v/>
      </c>
      <c r="K480" s="10" t="str">
        <f aca="false">IF($A480="","",$G480&amp;"|"&amp;$J480)</f>
        <v/>
      </c>
      <c r="L480" s="10" t="str">
        <f aca="false">IF($A480="","",ROW()-2)</f>
        <v/>
      </c>
      <c r="M480" s="10" t="str">
        <f aca="false">IF($A480="","",ROW())</f>
        <v/>
      </c>
    </row>
    <row r="481" customFormat="false" ht="15" hidden="false" customHeight="true" outlineLevel="0" collapsed="false">
      <c r="A481" s="8"/>
      <c r="B481" s="8"/>
      <c r="C481" s="8"/>
      <c r="D481" s="8"/>
      <c r="E481" s="8"/>
      <c r="F481" s="8"/>
      <c r="G481" s="10" t="str">
        <f aca="false">IF($A481="","",UPPER(SUBSTITUTE(SUBSTITUTE(SUBSTITUTE(SUBSTITUTE($A481," ",""),"(주)",""),"주식회사",""),"㈜","")))</f>
        <v/>
      </c>
      <c r="H481" s="10" t="str">
        <f aca="false">IF($B481="","",SUBSTITUTE(SUBSTITUTE(SUBSTITUTE($B481,"-","")," ",""),".",""))</f>
        <v/>
      </c>
      <c r="I481" s="10" t="str">
        <f aca="false">IF($D481="","",SUBSTITUTE(SUBSTITUTE(SUBSTITUTE($D481,"-","")," ",""),".",""))</f>
        <v/>
      </c>
      <c r="J481" s="10" t="str">
        <f aca="false">IF($E481="","",UPPER(SUBSTITUTE($E481," ","")))</f>
        <v/>
      </c>
      <c r="K481" s="10" t="str">
        <f aca="false">IF($A481="","",$G481&amp;"|"&amp;$J481)</f>
        <v/>
      </c>
      <c r="L481" s="10" t="str">
        <f aca="false">IF($A481="","",ROW()-2)</f>
        <v/>
      </c>
      <c r="M481" s="10" t="str">
        <f aca="false">IF($A481="","",ROW())</f>
        <v/>
      </c>
    </row>
    <row r="482" customFormat="false" ht="15" hidden="false" customHeight="true" outlineLevel="0" collapsed="false">
      <c r="A482" s="8"/>
      <c r="B482" s="8"/>
      <c r="C482" s="8"/>
      <c r="D482" s="8"/>
      <c r="E482" s="8"/>
      <c r="F482" s="8"/>
      <c r="G482" s="10" t="str">
        <f aca="false">IF($A482="","",UPPER(SUBSTITUTE(SUBSTITUTE(SUBSTITUTE(SUBSTITUTE($A482," ",""),"(주)",""),"주식회사",""),"㈜","")))</f>
        <v/>
      </c>
      <c r="H482" s="10" t="str">
        <f aca="false">IF($B482="","",SUBSTITUTE(SUBSTITUTE(SUBSTITUTE($B482,"-","")," ",""),".",""))</f>
        <v/>
      </c>
      <c r="I482" s="10" t="str">
        <f aca="false">IF($D482="","",SUBSTITUTE(SUBSTITUTE(SUBSTITUTE($D482,"-","")," ",""),".",""))</f>
        <v/>
      </c>
      <c r="J482" s="10" t="str">
        <f aca="false">IF($E482="","",UPPER(SUBSTITUTE($E482," ","")))</f>
        <v/>
      </c>
      <c r="K482" s="10" t="str">
        <f aca="false">IF($A482="","",$G482&amp;"|"&amp;$J482)</f>
        <v/>
      </c>
      <c r="L482" s="10" t="str">
        <f aca="false">IF($A482="","",ROW()-2)</f>
        <v/>
      </c>
      <c r="M482" s="10" t="str">
        <f aca="false">IF($A482="","",ROW())</f>
        <v/>
      </c>
    </row>
    <row r="483" customFormat="false" ht="15" hidden="false" customHeight="true" outlineLevel="0" collapsed="false">
      <c r="A483" s="8"/>
      <c r="B483" s="8"/>
      <c r="C483" s="8"/>
      <c r="D483" s="8"/>
      <c r="E483" s="8"/>
      <c r="F483" s="8"/>
      <c r="G483" s="10" t="str">
        <f aca="false">IF($A483="","",UPPER(SUBSTITUTE(SUBSTITUTE(SUBSTITUTE(SUBSTITUTE($A483," ",""),"(주)",""),"주식회사",""),"㈜","")))</f>
        <v/>
      </c>
      <c r="H483" s="10" t="str">
        <f aca="false">IF($B483="","",SUBSTITUTE(SUBSTITUTE(SUBSTITUTE($B483,"-","")," ",""),".",""))</f>
        <v/>
      </c>
      <c r="I483" s="10" t="str">
        <f aca="false">IF($D483="","",SUBSTITUTE(SUBSTITUTE(SUBSTITUTE($D483,"-","")," ",""),".",""))</f>
        <v/>
      </c>
      <c r="J483" s="10" t="str">
        <f aca="false">IF($E483="","",UPPER(SUBSTITUTE($E483," ","")))</f>
        <v/>
      </c>
      <c r="K483" s="10" t="str">
        <f aca="false">IF($A483="","",$G483&amp;"|"&amp;$J483)</f>
        <v/>
      </c>
      <c r="L483" s="10" t="str">
        <f aca="false">IF($A483="","",ROW()-2)</f>
        <v/>
      </c>
      <c r="M483" s="10" t="str">
        <f aca="false">IF($A483="","",ROW())</f>
        <v/>
      </c>
    </row>
    <row r="484" customFormat="false" ht="15" hidden="false" customHeight="true" outlineLevel="0" collapsed="false">
      <c r="A484" s="8"/>
      <c r="B484" s="8"/>
      <c r="C484" s="8"/>
      <c r="D484" s="8"/>
      <c r="E484" s="8"/>
      <c r="F484" s="8"/>
      <c r="G484" s="10" t="str">
        <f aca="false">IF($A484="","",UPPER(SUBSTITUTE(SUBSTITUTE(SUBSTITUTE(SUBSTITUTE($A484," ",""),"(주)",""),"주식회사",""),"㈜","")))</f>
        <v/>
      </c>
      <c r="H484" s="10" t="str">
        <f aca="false">IF($B484="","",SUBSTITUTE(SUBSTITUTE(SUBSTITUTE($B484,"-","")," ",""),".",""))</f>
        <v/>
      </c>
      <c r="I484" s="10" t="str">
        <f aca="false">IF($D484="","",SUBSTITUTE(SUBSTITUTE(SUBSTITUTE($D484,"-","")," ",""),".",""))</f>
        <v/>
      </c>
      <c r="J484" s="10" t="str">
        <f aca="false">IF($E484="","",UPPER(SUBSTITUTE($E484," ","")))</f>
        <v/>
      </c>
      <c r="K484" s="10" t="str">
        <f aca="false">IF($A484="","",$G484&amp;"|"&amp;$J484)</f>
        <v/>
      </c>
      <c r="L484" s="10" t="str">
        <f aca="false">IF($A484="","",ROW()-2)</f>
        <v/>
      </c>
      <c r="M484" s="10" t="str">
        <f aca="false">IF($A484="","",ROW())</f>
        <v/>
      </c>
    </row>
    <row r="485" customFormat="false" ht="15" hidden="false" customHeight="true" outlineLevel="0" collapsed="false">
      <c r="A485" s="8"/>
      <c r="B485" s="8"/>
      <c r="C485" s="8"/>
      <c r="D485" s="8"/>
      <c r="E485" s="8"/>
      <c r="F485" s="8"/>
      <c r="G485" s="10" t="str">
        <f aca="false">IF($A485="","",UPPER(SUBSTITUTE(SUBSTITUTE(SUBSTITUTE(SUBSTITUTE($A485," ",""),"(주)",""),"주식회사",""),"㈜","")))</f>
        <v/>
      </c>
      <c r="H485" s="10" t="str">
        <f aca="false">IF($B485="","",SUBSTITUTE(SUBSTITUTE(SUBSTITUTE($B485,"-","")," ",""),".",""))</f>
        <v/>
      </c>
      <c r="I485" s="10" t="str">
        <f aca="false">IF($D485="","",SUBSTITUTE(SUBSTITUTE(SUBSTITUTE($D485,"-","")," ",""),".",""))</f>
        <v/>
      </c>
      <c r="J485" s="10" t="str">
        <f aca="false">IF($E485="","",UPPER(SUBSTITUTE($E485," ","")))</f>
        <v/>
      </c>
      <c r="K485" s="10" t="str">
        <f aca="false">IF($A485="","",$G485&amp;"|"&amp;$J485)</f>
        <v/>
      </c>
      <c r="L485" s="10" t="str">
        <f aca="false">IF($A485="","",ROW()-2)</f>
        <v/>
      </c>
      <c r="M485" s="10" t="str">
        <f aca="false">IF($A485="","",ROW())</f>
        <v/>
      </c>
    </row>
    <row r="486" customFormat="false" ht="15" hidden="false" customHeight="true" outlineLevel="0" collapsed="false">
      <c r="A486" s="8"/>
      <c r="B486" s="8"/>
      <c r="C486" s="8"/>
      <c r="D486" s="8"/>
      <c r="E486" s="8"/>
      <c r="F486" s="8"/>
      <c r="G486" s="10" t="str">
        <f aca="false">IF($A486="","",UPPER(SUBSTITUTE(SUBSTITUTE(SUBSTITUTE(SUBSTITUTE($A486," ",""),"(주)",""),"주식회사",""),"㈜","")))</f>
        <v/>
      </c>
      <c r="H486" s="10" t="str">
        <f aca="false">IF($B486="","",SUBSTITUTE(SUBSTITUTE(SUBSTITUTE($B486,"-","")," ",""),".",""))</f>
        <v/>
      </c>
      <c r="I486" s="10" t="str">
        <f aca="false">IF($D486="","",SUBSTITUTE(SUBSTITUTE(SUBSTITUTE($D486,"-","")," ",""),".",""))</f>
        <v/>
      </c>
      <c r="J486" s="10" t="str">
        <f aca="false">IF($E486="","",UPPER(SUBSTITUTE($E486," ","")))</f>
        <v/>
      </c>
      <c r="K486" s="10" t="str">
        <f aca="false">IF($A486="","",$G486&amp;"|"&amp;$J486)</f>
        <v/>
      </c>
      <c r="L486" s="10" t="str">
        <f aca="false">IF($A486="","",ROW()-2)</f>
        <v/>
      </c>
      <c r="M486" s="10" t="str">
        <f aca="false">IF($A486="","",ROW())</f>
        <v/>
      </c>
    </row>
    <row r="487" customFormat="false" ht="15" hidden="false" customHeight="true" outlineLevel="0" collapsed="false">
      <c r="A487" s="8"/>
      <c r="B487" s="8"/>
      <c r="C487" s="8"/>
      <c r="D487" s="8"/>
      <c r="E487" s="8"/>
      <c r="F487" s="8"/>
      <c r="G487" s="10" t="str">
        <f aca="false">IF($A487="","",UPPER(SUBSTITUTE(SUBSTITUTE(SUBSTITUTE(SUBSTITUTE($A487," ",""),"(주)",""),"주식회사",""),"㈜","")))</f>
        <v/>
      </c>
      <c r="H487" s="10" t="str">
        <f aca="false">IF($B487="","",SUBSTITUTE(SUBSTITUTE(SUBSTITUTE($B487,"-","")," ",""),".",""))</f>
        <v/>
      </c>
      <c r="I487" s="10" t="str">
        <f aca="false">IF($D487="","",SUBSTITUTE(SUBSTITUTE(SUBSTITUTE($D487,"-","")," ",""),".",""))</f>
        <v/>
      </c>
      <c r="J487" s="10" t="str">
        <f aca="false">IF($E487="","",UPPER(SUBSTITUTE($E487," ","")))</f>
        <v/>
      </c>
      <c r="K487" s="10" t="str">
        <f aca="false">IF($A487="","",$G487&amp;"|"&amp;$J487)</f>
        <v/>
      </c>
      <c r="L487" s="10" t="str">
        <f aca="false">IF($A487="","",ROW()-2)</f>
        <v/>
      </c>
      <c r="M487" s="10" t="str">
        <f aca="false">IF($A487="","",ROW())</f>
        <v/>
      </c>
    </row>
    <row r="488" customFormat="false" ht="15" hidden="false" customHeight="true" outlineLevel="0" collapsed="false">
      <c r="A488" s="8"/>
      <c r="B488" s="8"/>
      <c r="C488" s="8"/>
      <c r="D488" s="8"/>
      <c r="E488" s="8"/>
      <c r="F488" s="8"/>
      <c r="G488" s="10" t="str">
        <f aca="false">IF($A488="","",UPPER(SUBSTITUTE(SUBSTITUTE(SUBSTITUTE(SUBSTITUTE($A488," ",""),"(주)",""),"주식회사",""),"㈜","")))</f>
        <v/>
      </c>
      <c r="H488" s="10" t="str">
        <f aca="false">IF($B488="","",SUBSTITUTE(SUBSTITUTE(SUBSTITUTE($B488,"-","")," ",""),".",""))</f>
        <v/>
      </c>
      <c r="I488" s="10" t="str">
        <f aca="false">IF($D488="","",SUBSTITUTE(SUBSTITUTE(SUBSTITUTE($D488,"-","")," ",""),".",""))</f>
        <v/>
      </c>
      <c r="J488" s="10" t="str">
        <f aca="false">IF($E488="","",UPPER(SUBSTITUTE($E488," ","")))</f>
        <v/>
      </c>
      <c r="K488" s="10" t="str">
        <f aca="false">IF($A488="","",$G488&amp;"|"&amp;$J488)</f>
        <v/>
      </c>
      <c r="L488" s="10" t="str">
        <f aca="false">IF($A488="","",ROW()-2)</f>
        <v/>
      </c>
      <c r="M488" s="10" t="str">
        <f aca="false">IF($A488="","",ROW())</f>
        <v/>
      </c>
    </row>
    <row r="489" customFormat="false" ht="15" hidden="false" customHeight="true" outlineLevel="0" collapsed="false">
      <c r="A489" s="8"/>
      <c r="B489" s="8"/>
      <c r="C489" s="8"/>
      <c r="D489" s="8"/>
      <c r="E489" s="8"/>
      <c r="F489" s="8"/>
      <c r="G489" s="10" t="str">
        <f aca="false">IF($A489="","",UPPER(SUBSTITUTE(SUBSTITUTE(SUBSTITUTE(SUBSTITUTE($A489," ",""),"(주)",""),"주식회사",""),"㈜","")))</f>
        <v/>
      </c>
      <c r="H489" s="10" t="str">
        <f aca="false">IF($B489="","",SUBSTITUTE(SUBSTITUTE(SUBSTITUTE($B489,"-","")," ",""),".",""))</f>
        <v/>
      </c>
      <c r="I489" s="10" t="str">
        <f aca="false">IF($D489="","",SUBSTITUTE(SUBSTITUTE(SUBSTITUTE($D489,"-","")," ",""),".",""))</f>
        <v/>
      </c>
      <c r="J489" s="10" t="str">
        <f aca="false">IF($E489="","",UPPER(SUBSTITUTE($E489," ","")))</f>
        <v/>
      </c>
      <c r="K489" s="10" t="str">
        <f aca="false">IF($A489="","",$G489&amp;"|"&amp;$J489)</f>
        <v/>
      </c>
      <c r="L489" s="10" t="str">
        <f aca="false">IF($A489="","",ROW()-2)</f>
        <v/>
      </c>
      <c r="M489" s="10" t="str">
        <f aca="false">IF($A489="","",ROW())</f>
        <v/>
      </c>
    </row>
    <row r="490" customFormat="false" ht="15" hidden="false" customHeight="true" outlineLevel="0" collapsed="false">
      <c r="A490" s="8"/>
      <c r="B490" s="8"/>
      <c r="C490" s="8"/>
      <c r="D490" s="8"/>
      <c r="E490" s="8"/>
      <c r="F490" s="8"/>
      <c r="G490" s="10" t="str">
        <f aca="false">IF($A490="","",UPPER(SUBSTITUTE(SUBSTITUTE(SUBSTITUTE(SUBSTITUTE($A490," ",""),"(주)",""),"주식회사",""),"㈜","")))</f>
        <v/>
      </c>
      <c r="H490" s="10" t="str">
        <f aca="false">IF($B490="","",SUBSTITUTE(SUBSTITUTE(SUBSTITUTE($B490,"-","")," ",""),".",""))</f>
        <v/>
      </c>
      <c r="I490" s="10" t="str">
        <f aca="false">IF($D490="","",SUBSTITUTE(SUBSTITUTE(SUBSTITUTE($D490,"-","")," ",""),".",""))</f>
        <v/>
      </c>
      <c r="J490" s="10" t="str">
        <f aca="false">IF($E490="","",UPPER(SUBSTITUTE($E490," ","")))</f>
        <v/>
      </c>
      <c r="K490" s="10" t="str">
        <f aca="false">IF($A490="","",$G490&amp;"|"&amp;$J490)</f>
        <v/>
      </c>
      <c r="L490" s="10" t="str">
        <f aca="false">IF($A490="","",ROW()-2)</f>
        <v/>
      </c>
      <c r="M490" s="10" t="str">
        <f aca="false">IF($A490="","",ROW())</f>
        <v/>
      </c>
    </row>
    <row r="491" customFormat="false" ht="15" hidden="false" customHeight="true" outlineLevel="0" collapsed="false">
      <c r="A491" s="8"/>
      <c r="B491" s="8"/>
      <c r="C491" s="8"/>
      <c r="D491" s="8"/>
      <c r="E491" s="8"/>
      <c r="F491" s="8"/>
      <c r="G491" s="10" t="str">
        <f aca="false">IF($A491="","",UPPER(SUBSTITUTE(SUBSTITUTE(SUBSTITUTE(SUBSTITUTE($A491," ",""),"(주)",""),"주식회사",""),"㈜","")))</f>
        <v/>
      </c>
      <c r="H491" s="10" t="str">
        <f aca="false">IF($B491="","",SUBSTITUTE(SUBSTITUTE(SUBSTITUTE($B491,"-","")," ",""),".",""))</f>
        <v/>
      </c>
      <c r="I491" s="10" t="str">
        <f aca="false">IF($D491="","",SUBSTITUTE(SUBSTITUTE(SUBSTITUTE($D491,"-","")," ",""),".",""))</f>
        <v/>
      </c>
      <c r="J491" s="10" t="str">
        <f aca="false">IF($E491="","",UPPER(SUBSTITUTE($E491," ","")))</f>
        <v/>
      </c>
      <c r="K491" s="10" t="str">
        <f aca="false">IF($A491="","",$G491&amp;"|"&amp;$J491)</f>
        <v/>
      </c>
      <c r="L491" s="10" t="str">
        <f aca="false">IF($A491="","",ROW()-2)</f>
        <v/>
      </c>
      <c r="M491" s="10" t="str">
        <f aca="false">IF($A491="","",ROW())</f>
        <v/>
      </c>
    </row>
    <row r="492" customFormat="false" ht="15" hidden="false" customHeight="true" outlineLevel="0" collapsed="false">
      <c r="A492" s="8"/>
      <c r="B492" s="8"/>
      <c r="C492" s="8"/>
      <c r="D492" s="8"/>
      <c r="E492" s="8"/>
      <c r="F492" s="8"/>
      <c r="G492" s="10" t="str">
        <f aca="false">IF($A492="","",UPPER(SUBSTITUTE(SUBSTITUTE(SUBSTITUTE(SUBSTITUTE($A492," ",""),"(주)",""),"주식회사",""),"㈜","")))</f>
        <v/>
      </c>
      <c r="H492" s="10" t="str">
        <f aca="false">IF($B492="","",SUBSTITUTE(SUBSTITUTE(SUBSTITUTE($B492,"-","")," ",""),".",""))</f>
        <v/>
      </c>
      <c r="I492" s="10" t="str">
        <f aca="false">IF($D492="","",SUBSTITUTE(SUBSTITUTE(SUBSTITUTE($D492,"-","")," ",""),".",""))</f>
        <v/>
      </c>
      <c r="J492" s="10" t="str">
        <f aca="false">IF($E492="","",UPPER(SUBSTITUTE($E492," ","")))</f>
        <v/>
      </c>
      <c r="K492" s="10" t="str">
        <f aca="false">IF($A492="","",$G492&amp;"|"&amp;$J492)</f>
        <v/>
      </c>
      <c r="L492" s="10" t="str">
        <f aca="false">IF($A492="","",ROW()-2)</f>
        <v/>
      </c>
      <c r="M492" s="10" t="str">
        <f aca="false">IF($A492="","",ROW())</f>
        <v/>
      </c>
    </row>
    <row r="493" customFormat="false" ht="15" hidden="false" customHeight="true" outlineLevel="0" collapsed="false">
      <c r="A493" s="8"/>
      <c r="B493" s="8"/>
      <c r="C493" s="8"/>
      <c r="D493" s="8"/>
      <c r="E493" s="8"/>
      <c r="F493" s="8"/>
      <c r="G493" s="10" t="str">
        <f aca="false">IF($A493="","",UPPER(SUBSTITUTE(SUBSTITUTE(SUBSTITUTE(SUBSTITUTE($A493," ",""),"(주)",""),"주식회사",""),"㈜","")))</f>
        <v/>
      </c>
      <c r="H493" s="10" t="str">
        <f aca="false">IF($B493="","",SUBSTITUTE(SUBSTITUTE(SUBSTITUTE($B493,"-","")," ",""),".",""))</f>
        <v/>
      </c>
      <c r="I493" s="10" t="str">
        <f aca="false">IF($D493="","",SUBSTITUTE(SUBSTITUTE(SUBSTITUTE($D493,"-","")," ",""),".",""))</f>
        <v/>
      </c>
      <c r="J493" s="10" t="str">
        <f aca="false">IF($E493="","",UPPER(SUBSTITUTE($E493," ","")))</f>
        <v/>
      </c>
      <c r="K493" s="10" t="str">
        <f aca="false">IF($A493="","",$G493&amp;"|"&amp;$J493)</f>
        <v/>
      </c>
      <c r="L493" s="10" t="str">
        <f aca="false">IF($A493="","",ROW()-2)</f>
        <v/>
      </c>
      <c r="M493" s="10" t="str">
        <f aca="false">IF($A493="","",ROW())</f>
        <v/>
      </c>
    </row>
    <row r="494" customFormat="false" ht="15" hidden="false" customHeight="true" outlineLevel="0" collapsed="false">
      <c r="A494" s="8"/>
      <c r="B494" s="8"/>
      <c r="C494" s="8"/>
      <c r="D494" s="8"/>
      <c r="E494" s="8"/>
      <c r="F494" s="8"/>
      <c r="G494" s="10" t="str">
        <f aca="false">IF($A494="","",UPPER(SUBSTITUTE(SUBSTITUTE(SUBSTITUTE(SUBSTITUTE($A494," ",""),"(주)",""),"주식회사",""),"㈜","")))</f>
        <v/>
      </c>
      <c r="H494" s="10" t="str">
        <f aca="false">IF($B494="","",SUBSTITUTE(SUBSTITUTE(SUBSTITUTE($B494,"-","")," ",""),".",""))</f>
        <v/>
      </c>
      <c r="I494" s="10" t="str">
        <f aca="false">IF($D494="","",SUBSTITUTE(SUBSTITUTE(SUBSTITUTE($D494,"-","")," ",""),".",""))</f>
        <v/>
      </c>
      <c r="J494" s="10" t="str">
        <f aca="false">IF($E494="","",UPPER(SUBSTITUTE($E494," ","")))</f>
        <v/>
      </c>
      <c r="K494" s="10" t="str">
        <f aca="false">IF($A494="","",$G494&amp;"|"&amp;$J494)</f>
        <v/>
      </c>
      <c r="L494" s="10" t="str">
        <f aca="false">IF($A494="","",ROW()-2)</f>
        <v/>
      </c>
      <c r="M494" s="10" t="str">
        <f aca="false">IF($A494="","",ROW())</f>
        <v/>
      </c>
    </row>
    <row r="495" customFormat="false" ht="15" hidden="false" customHeight="true" outlineLevel="0" collapsed="false">
      <c r="A495" s="8"/>
      <c r="B495" s="8"/>
      <c r="C495" s="8"/>
      <c r="D495" s="8"/>
      <c r="E495" s="8"/>
      <c r="F495" s="8"/>
      <c r="G495" s="10" t="str">
        <f aca="false">IF($A495="","",UPPER(SUBSTITUTE(SUBSTITUTE(SUBSTITUTE(SUBSTITUTE($A495," ",""),"(주)",""),"주식회사",""),"㈜","")))</f>
        <v/>
      </c>
      <c r="H495" s="10" t="str">
        <f aca="false">IF($B495="","",SUBSTITUTE(SUBSTITUTE(SUBSTITUTE($B495,"-","")," ",""),".",""))</f>
        <v/>
      </c>
      <c r="I495" s="10" t="str">
        <f aca="false">IF($D495="","",SUBSTITUTE(SUBSTITUTE(SUBSTITUTE($D495,"-","")," ",""),".",""))</f>
        <v/>
      </c>
      <c r="J495" s="10" t="str">
        <f aca="false">IF($E495="","",UPPER(SUBSTITUTE($E495," ","")))</f>
        <v/>
      </c>
      <c r="K495" s="10" t="str">
        <f aca="false">IF($A495="","",$G495&amp;"|"&amp;$J495)</f>
        <v/>
      </c>
      <c r="L495" s="10" t="str">
        <f aca="false">IF($A495="","",ROW()-2)</f>
        <v/>
      </c>
      <c r="M495" s="10" t="str">
        <f aca="false">IF($A495="","",ROW())</f>
        <v/>
      </c>
    </row>
    <row r="496" customFormat="false" ht="15" hidden="false" customHeight="true" outlineLevel="0" collapsed="false">
      <c r="A496" s="8"/>
      <c r="B496" s="8"/>
      <c r="C496" s="8"/>
      <c r="D496" s="8"/>
      <c r="E496" s="8"/>
      <c r="F496" s="8"/>
      <c r="G496" s="10" t="str">
        <f aca="false">IF($A496="","",UPPER(SUBSTITUTE(SUBSTITUTE(SUBSTITUTE(SUBSTITUTE($A496," ",""),"(주)",""),"주식회사",""),"㈜","")))</f>
        <v/>
      </c>
      <c r="H496" s="10" t="str">
        <f aca="false">IF($B496="","",SUBSTITUTE(SUBSTITUTE(SUBSTITUTE($B496,"-","")," ",""),".",""))</f>
        <v/>
      </c>
      <c r="I496" s="10" t="str">
        <f aca="false">IF($D496="","",SUBSTITUTE(SUBSTITUTE(SUBSTITUTE($D496,"-","")," ",""),".",""))</f>
        <v/>
      </c>
      <c r="J496" s="10" t="str">
        <f aca="false">IF($E496="","",UPPER(SUBSTITUTE($E496," ","")))</f>
        <v/>
      </c>
      <c r="K496" s="10" t="str">
        <f aca="false">IF($A496="","",$G496&amp;"|"&amp;$J496)</f>
        <v/>
      </c>
      <c r="L496" s="10" t="str">
        <f aca="false">IF($A496="","",ROW()-2)</f>
        <v/>
      </c>
      <c r="M496" s="10" t="str">
        <f aca="false">IF($A496="","",ROW())</f>
        <v/>
      </c>
    </row>
    <row r="497" customFormat="false" ht="15" hidden="false" customHeight="true" outlineLevel="0" collapsed="false">
      <c r="A497" s="8"/>
      <c r="B497" s="8"/>
      <c r="C497" s="8"/>
      <c r="D497" s="8"/>
      <c r="E497" s="8"/>
      <c r="F497" s="8"/>
      <c r="G497" s="10" t="str">
        <f aca="false">IF($A497="","",UPPER(SUBSTITUTE(SUBSTITUTE(SUBSTITUTE(SUBSTITUTE($A497," ",""),"(주)",""),"주식회사",""),"㈜","")))</f>
        <v/>
      </c>
      <c r="H497" s="10" t="str">
        <f aca="false">IF($B497="","",SUBSTITUTE(SUBSTITUTE(SUBSTITUTE($B497,"-","")," ",""),".",""))</f>
        <v/>
      </c>
      <c r="I497" s="10" t="str">
        <f aca="false">IF($D497="","",SUBSTITUTE(SUBSTITUTE(SUBSTITUTE($D497,"-","")," ",""),".",""))</f>
        <v/>
      </c>
      <c r="J497" s="10" t="str">
        <f aca="false">IF($E497="","",UPPER(SUBSTITUTE($E497," ","")))</f>
        <v/>
      </c>
      <c r="K497" s="10" t="str">
        <f aca="false">IF($A497="","",$G497&amp;"|"&amp;$J497)</f>
        <v/>
      </c>
      <c r="L497" s="10" t="str">
        <f aca="false">IF($A497="","",ROW()-2)</f>
        <v/>
      </c>
      <c r="M497" s="10" t="str">
        <f aca="false">IF($A497="","",ROW())</f>
        <v/>
      </c>
    </row>
    <row r="498" customFormat="false" ht="15" hidden="false" customHeight="true" outlineLevel="0" collapsed="false">
      <c r="A498" s="8"/>
      <c r="B498" s="8"/>
      <c r="C498" s="8"/>
      <c r="D498" s="8"/>
      <c r="E498" s="8"/>
      <c r="F498" s="8"/>
      <c r="G498" s="10" t="str">
        <f aca="false">IF($A498="","",UPPER(SUBSTITUTE(SUBSTITUTE(SUBSTITUTE(SUBSTITUTE($A498," ",""),"(주)",""),"주식회사",""),"㈜","")))</f>
        <v/>
      </c>
      <c r="H498" s="10" t="str">
        <f aca="false">IF($B498="","",SUBSTITUTE(SUBSTITUTE(SUBSTITUTE($B498,"-","")," ",""),".",""))</f>
        <v/>
      </c>
      <c r="I498" s="10" t="str">
        <f aca="false">IF($D498="","",SUBSTITUTE(SUBSTITUTE(SUBSTITUTE($D498,"-","")," ",""),".",""))</f>
        <v/>
      </c>
      <c r="J498" s="10" t="str">
        <f aca="false">IF($E498="","",UPPER(SUBSTITUTE($E498," ","")))</f>
        <v/>
      </c>
      <c r="K498" s="10" t="str">
        <f aca="false">IF($A498="","",$G498&amp;"|"&amp;$J498)</f>
        <v/>
      </c>
      <c r="L498" s="10" t="str">
        <f aca="false">IF($A498="","",ROW()-2)</f>
        <v/>
      </c>
      <c r="M498" s="10" t="str">
        <f aca="false">IF($A498="","",ROW())</f>
        <v/>
      </c>
    </row>
    <row r="499" customFormat="false" ht="15" hidden="false" customHeight="true" outlineLevel="0" collapsed="false">
      <c r="A499" s="8"/>
      <c r="B499" s="8"/>
      <c r="C499" s="8"/>
      <c r="D499" s="8"/>
      <c r="E499" s="8"/>
      <c r="F499" s="8"/>
      <c r="G499" s="10" t="str">
        <f aca="false">IF($A499="","",UPPER(SUBSTITUTE(SUBSTITUTE(SUBSTITUTE(SUBSTITUTE($A499," ",""),"(주)",""),"주식회사",""),"㈜","")))</f>
        <v/>
      </c>
      <c r="H499" s="10" t="str">
        <f aca="false">IF($B499="","",SUBSTITUTE(SUBSTITUTE(SUBSTITUTE($B499,"-","")," ",""),".",""))</f>
        <v/>
      </c>
      <c r="I499" s="10" t="str">
        <f aca="false">IF($D499="","",SUBSTITUTE(SUBSTITUTE(SUBSTITUTE($D499,"-","")," ",""),".",""))</f>
        <v/>
      </c>
      <c r="J499" s="10" t="str">
        <f aca="false">IF($E499="","",UPPER(SUBSTITUTE($E499," ","")))</f>
        <v/>
      </c>
      <c r="K499" s="10" t="str">
        <f aca="false">IF($A499="","",$G499&amp;"|"&amp;$J499)</f>
        <v/>
      </c>
      <c r="L499" s="10" t="str">
        <f aca="false">IF($A499="","",ROW()-2)</f>
        <v/>
      </c>
      <c r="M499" s="10" t="str">
        <f aca="false">IF($A499="","",ROW())</f>
        <v/>
      </c>
    </row>
    <row r="500" customFormat="false" ht="15" hidden="false" customHeight="true" outlineLevel="0" collapsed="false">
      <c r="A500" s="8"/>
      <c r="B500" s="8"/>
      <c r="C500" s="8"/>
      <c r="D500" s="8"/>
      <c r="E500" s="8"/>
      <c r="F500" s="8"/>
      <c r="G500" s="10" t="str">
        <f aca="false">IF($A500="","",UPPER(SUBSTITUTE(SUBSTITUTE(SUBSTITUTE(SUBSTITUTE($A500," ",""),"(주)",""),"주식회사",""),"㈜","")))</f>
        <v/>
      </c>
      <c r="H500" s="10" t="str">
        <f aca="false">IF($B500="","",SUBSTITUTE(SUBSTITUTE(SUBSTITUTE($B500,"-","")," ",""),".",""))</f>
        <v/>
      </c>
      <c r="I500" s="10" t="str">
        <f aca="false">IF($D500="","",SUBSTITUTE(SUBSTITUTE(SUBSTITUTE($D500,"-","")," ",""),".",""))</f>
        <v/>
      </c>
      <c r="J500" s="10" t="str">
        <f aca="false">IF($E500="","",UPPER(SUBSTITUTE($E500," ","")))</f>
        <v/>
      </c>
      <c r="K500" s="10" t="str">
        <f aca="false">IF($A500="","",$G500&amp;"|"&amp;$J500)</f>
        <v/>
      </c>
      <c r="L500" s="10" t="str">
        <f aca="false">IF($A500="","",ROW()-2)</f>
        <v/>
      </c>
      <c r="M500" s="10" t="str">
        <f aca="false">IF($A500="","",ROW())</f>
        <v/>
      </c>
    </row>
    <row r="501" customFormat="false" ht="15" hidden="false" customHeight="true" outlineLevel="0" collapsed="false">
      <c r="A501" s="8"/>
      <c r="B501" s="8"/>
      <c r="C501" s="8"/>
      <c r="D501" s="8"/>
      <c r="E501" s="8"/>
      <c r="F501" s="8"/>
      <c r="G501" s="10" t="str">
        <f aca="false">IF($A501="","",UPPER(SUBSTITUTE(SUBSTITUTE(SUBSTITUTE(SUBSTITUTE($A501," ",""),"(주)",""),"주식회사",""),"㈜","")))</f>
        <v/>
      </c>
      <c r="H501" s="10" t="str">
        <f aca="false">IF($B501="","",SUBSTITUTE(SUBSTITUTE(SUBSTITUTE($B501,"-","")," ",""),".",""))</f>
        <v/>
      </c>
      <c r="I501" s="10" t="str">
        <f aca="false">IF($D501="","",SUBSTITUTE(SUBSTITUTE(SUBSTITUTE($D501,"-","")," ",""),".",""))</f>
        <v/>
      </c>
      <c r="J501" s="10" t="str">
        <f aca="false">IF($E501="","",UPPER(SUBSTITUTE($E501," ","")))</f>
        <v/>
      </c>
      <c r="K501" s="10" t="str">
        <f aca="false">IF($A501="","",$G501&amp;"|"&amp;$J501)</f>
        <v/>
      </c>
      <c r="L501" s="10" t="str">
        <f aca="false">IF($A501="","",ROW()-2)</f>
        <v/>
      </c>
      <c r="M501" s="10" t="str">
        <f aca="false">IF($A501="","",ROW())</f>
        <v/>
      </c>
    </row>
    <row r="502" customFormat="false" ht="15" hidden="false" customHeight="true" outlineLevel="0" collapsed="false">
      <c r="A502" s="8"/>
      <c r="B502" s="8"/>
      <c r="C502" s="8"/>
      <c r="D502" s="8"/>
      <c r="E502" s="8"/>
      <c r="F502" s="8"/>
      <c r="G502" s="10" t="str">
        <f aca="false">IF($A502="","",UPPER(SUBSTITUTE(SUBSTITUTE(SUBSTITUTE(SUBSTITUTE($A502," ",""),"(주)",""),"주식회사",""),"㈜","")))</f>
        <v/>
      </c>
      <c r="H502" s="10" t="str">
        <f aca="false">IF($B502="","",SUBSTITUTE(SUBSTITUTE(SUBSTITUTE($B502,"-","")," ",""),".",""))</f>
        <v/>
      </c>
      <c r="I502" s="10" t="str">
        <f aca="false">IF($D502="","",SUBSTITUTE(SUBSTITUTE(SUBSTITUTE($D502,"-","")," ",""),".",""))</f>
        <v/>
      </c>
      <c r="J502" s="10" t="str">
        <f aca="false">IF($E502="","",UPPER(SUBSTITUTE($E502," ","")))</f>
        <v/>
      </c>
      <c r="K502" s="10" t="str">
        <f aca="false">IF($A502="","",$G502&amp;"|"&amp;$J502)</f>
        <v/>
      </c>
      <c r="L502" s="10" t="str">
        <f aca="false">IF($A502="","",ROW()-2)</f>
        <v/>
      </c>
      <c r="M502" s="10" t="str">
        <f aca="false">IF($A502="","",ROW())</f>
        <v/>
      </c>
    </row>
    <row r="503" customFormat="false" ht="15" hidden="false" customHeight="true" outlineLevel="0" collapsed="false">
      <c r="A503" s="8"/>
      <c r="B503" s="8"/>
      <c r="C503" s="8"/>
      <c r="D503" s="8"/>
      <c r="E503" s="8"/>
      <c r="F503" s="8"/>
      <c r="G503" s="10" t="str">
        <f aca="false">IF($A503="","",UPPER(SUBSTITUTE(SUBSTITUTE(SUBSTITUTE(SUBSTITUTE($A503," ",""),"(주)",""),"주식회사",""),"㈜","")))</f>
        <v/>
      </c>
      <c r="H503" s="10" t="str">
        <f aca="false">IF($B503="","",SUBSTITUTE(SUBSTITUTE(SUBSTITUTE($B503,"-","")," ",""),".",""))</f>
        <v/>
      </c>
      <c r="I503" s="10" t="str">
        <f aca="false">IF($D503="","",SUBSTITUTE(SUBSTITUTE(SUBSTITUTE($D503,"-","")," ",""),".",""))</f>
        <v/>
      </c>
      <c r="J503" s="10" t="str">
        <f aca="false">IF($E503="","",UPPER(SUBSTITUTE($E503," ","")))</f>
        <v/>
      </c>
      <c r="K503" s="10" t="str">
        <f aca="false">IF($A503="","",$G503&amp;"|"&amp;$J503)</f>
        <v/>
      </c>
      <c r="L503" s="10" t="str">
        <f aca="false">IF($A503="","",ROW()-2)</f>
        <v/>
      </c>
      <c r="M503" s="10" t="str">
        <f aca="false">IF($A503="","",ROW())</f>
        <v/>
      </c>
    </row>
    <row r="504" customFormat="false" ht="15" hidden="false" customHeight="true" outlineLevel="0" collapsed="false">
      <c r="A504" s="8"/>
      <c r="B504" s="8"/>
      <c r="C504" s="8"/>
      <c r="D504" s="8"/>
      <c r="E504" s="8"/>
      <c r="F504" s="8"/>
      <c r="G504" s="10" t="str">
        <f aca="false">IF($A504="","",UPPER(SUBSTITUTE(SUBSTITUTE(SUBSTITUTE(SUBSTITUTE($A504," ",""),"(주)",""),"주식회사",""),"㈜","")))</f>
        <v/>
      </c>
      <c r="H504" s="10" t="str">
        <f aca="false">IF($B504="","",SUBSTITUTE(SUBSTITUTE(SUBSTITUTE($B504,"-","")," ",""),".",""))</f>
        <v/>
      </c>
      <c r="I504" s="10" t="str">
        <f aca="false">IF($D504="","",SUBSTITUTE(SUBSTITUTE(SUBSTITUTE($D504,"-","")," ",""),".",""))</f>
        <v/>
      </c>
      <c r="J504" s="10" t="str">
        <f aca="false">IF($E504="","",UPPER(SUBSTITUTE($E504," ","")))</f>
        <v/>
      </c>
      <c r="K504" s="10" t="str">
        <f aca="false">IF($A504="","",$G504&amp;"|"&amp;$J504)</f>
        <v/>
      </c>
      <c r="L504" s="10" t="str">
        <f aca="false">IF($A504="","",ROW()-2)</f>
        <v/>
      </c>
      <c r="M504" s="10" t="str">
        <f aca="false">IF($A504="","",ROW())</f>
        <v/>
      </c>
    </row>
    <row r="505" customFormat="false" ht="15" hidden="false" customHeight="true" outlineLevel="0" collapsed="false">
      <c r="A505" s="8"/>
      <c r="B505" s="8"/>
      <c r="C505" s="8"/>
      <c r="D505" s="8"/>
      <c r="E505" s="8"/>
      <c r="F505" s="8"/>
      <c r="G505" s="10" t="str">
        <f aca="false">IF($A505="","",UPPER(SUBSTITUTE(SUBSTITUTE(SUBSTITUTE(SUBSTITUTE($A505," ",""),"(주)",""),"주식회사",""),"㈜","")))</f>
        <v/>
      </c>
      <c r="H505" s="10" t="str">
        <f aca="false">IF($B505="","",SUBSTITUTE(SUBSTITUTE(SUBSTITUTE($B505,"-","")," ",""),".",""))</f>
        <v/>
      </c>
      <c r="I505" s="10" t="str">
        <f aca="false">IF($D505="","",SUBSTITUTE(SUBSTITUTE(SUBSTITUTE($D505,"-","")," ",""),".",""))</f>
        <v/>
      </c>
      <c r="J505" s="10" t="str">
        <f aca="false">IF($E505="","",UPPER(SUBSTITUTE($E505," ","")))</f>
        <v/>
      </c>
      <c r="K505" s="10" t="str">
        <f aca="false">IF($A505="","",$G505&amp;"|"&amp;$J505)</f>
        <v/>
      </c>
      <c r="L505" s="10" t="str">
        <f aca="false">IF($A505="","",ROW()-2)</f>
        <v/>
      </c>
      <c r="M505" s="10" t="str">
        <f aca="false">IF($A505="","",ROW())</f>
        <v/>
      </c>
    </row>
    <row r="506" customFormat="false" ht="15" hidden="false" customHeight="true" outlineLevel="0" collapsed="false">
      <c r="A506" s="8"/>
      <c r="B506" s="8"/>
      <c r="C506" s="8"/>
      <c r="D506" s="8"/>
      <c r="E506" s="8"/>
      <c r="F506" s="8"/>
      <c r="G506" s="10" t="str">
        <f aca="false">IF($A506="","",UPPER(SUBSTITUTE(SUBSTITUTE(SUBSTITUTE(SUBSTITUTE($A506," ",""),"(주)",""),"주식회사",""),"㈜","")))</f>
        <v/>
      </c>
      <c r="H506" s="10" t="str">
        <f aca="false">IF($B506="","",SUBSTITUTE(SUBSTITUTE(SUBSTITUTE($B506,"-","")," ",""),".",""))</f>
        <v/>
      </c>
      <c r="I506" s="10" t="str">
        <f aca="false">IF($D506="","",SUBSTITUTE(SUBSTITUTE(SUBSTITUTE($D506,"-","")," ",""),".",""))</f>
        <v/>
      </c>
      <c r="J506" s="10" t="str">
        <f aca="false">IF($E506="","",UPPER(SUBSTITUTE($E506," ","")))</f>
        <v/>
      </c>
      <c r="K506" s="10" t="str">
        <f aca="false">IF($A506="","",$G506&amp;"|"&amp;$J506)</f>
        <v/>
      </c>
      <c r="L506" s="10" t="str">
        <f aca="false">IF($A506="","",ROW()-2)</f>
        <v/>
      </c>
      <c r="M506" s="10" t="str">
        <f aca="false">IF($A506="","",ROW())</f>
        <v/>
      </c>
    </row>
    <row r="507" customFormat="false" ht="15" hidden="false" customHeight="true" outlineLevel="0" collapsed="false">
      <c r="A507" s="8"/>
      <c r="B507" s="8"/>
      <c r="C507" s="8"/>
      <c r="D507" s="8"/>
      <c r="E507" s="8"/>
      <c r="F507" s="8"/>
      <c r="G507" s="10" t="str">
        <f aca="false">IF($A507="","",UPPER(SUBSTITUTE(SUBSTITUTE(SUBSTITUTE(SUBSTITUTE($A507," ",""),"(주)",""),"주식회사",""),"㈜","")))</f>
        <v/>
      </c>
      <c r="H507" s="10" t="str">
        <f aca="false">IF($B507="","",SUBSTITUTE(SUBSTITUTE(SUBSTITUTE($B507,"-","")," ",""),".",""))</f>
        <v/>
      </c>
      <c r="I507" s="10" t="str">
        <f aca="false">IF($D507="","",SUBSTITUTE(SUBSTITUTE(SUBSTITUTE($D507,"-","")," ",""),".",""))</f>
        <v/>
      </c>
      <c r="J507" s="10" t="str">
        <f aca="false">IF($E507="","",UPPER(SUBSTITUTE($E507," ","")))</f>
        <v/>
      </c>
      <c r="K507" s="10" t="str">
        <f aca="false">IF($A507="","",$G507&amp;"|"&amp;$J507)</f>
        <v/>
      </c>
      <c r="L507" s="10" t="str">
        <f aca="false">IF($A507="","",ROW()-2)</f>
        <v/>
      </c>
      <c r="M507" s="10" t="str">
        <f aca="false">IF($A507="","",ROW())</f>
        <v/>
      </c>
    </row>
    <row r="508" customFormat="false" ht="15" hidden="false" customHeight="true" outlineLevel="0" collapsed="false">
      <c r="A508" s="8"/>
      <c r="B508" s="8"/>
      <c r="C508" s="8"/>
      <c r="D508" s="8"/>
      <c r="E508" s="8"/>
      <c r="F508" s="8"/>
      <c r="G508" s="10" t="str">
        <f aca="false">IF($A508="","",UPPER(SUBSTITUTE(SUBSTITUTE(SUBSTITUTE(SUBSTITUTE($A508," ",""),"(주)",""),"주식회사",""),"㈜","")))</f>
        <v/>
      </c>
      <c r="H508" s="10" t="str">
        <f aca="false">IF($B508="","",SUBSTITUTE(SUBSTITUTE(SUBSTITUTE($B508,"-","")," ",""),".",""))</f>
        <v/>
      </c>
      <c r="I508" s="10" t="str">
        <f aca="false">IF($D508="","",SUBSTITUTE(SUBSTITUTE(SUBSTITUTE($D508,"-","")," ",""),".",""))</f>
        <v/>
      </c>
      <c r="J508" s="10" t="str">
        <f aca="false">IF($E508="","",UPPER(SUBSTITUTE($E508," ","")))</f>
        <v/>
      </c>
      <c r="K508" s="10" t="str">
        <f aca="false">IF($A508="","",$G508&amp;"|"&amp;$J508)</f>
        <v/>
      </c>
      <c r="L508" s="10" t="str">
        <f aca="false">IF($A508="","",ROW()-2)</f>
        <v/>
      </c>
      <c r="M508" s="10" t="str">
        <f aca="false">IF($A508="","",ROW())</f>
        <v/>
      </c>
    </row>
    <row r="509" customFormat="false" ht="15" hidden="false" customHeight="true" outlineLevel="0" collapsed="false">
      <c r="A509" s="8"/>
      <c r="B509" s="8"/>
      <c r="C509" s="8"/>
      <c r="D509" s="8"/>
      <c r="E509" s="8"/>
      <c r="F509" s="8"/>
      <c r="G509" s="10" t="str">
        <f aca="false">IF($A509="","",UPPER(SUBSTITUTE(SUBSTITUTE(SUBSTITUTE(SUBSTITUTE($A509," ",""),"(주)",""),"주식회사",""),"㈜","")))</f>
        <v/>
      </c>
      <c r="H509" s="10" t="str">
        <f aca="false">IF($B509="","",SUBSTITUTE(SUBSTITUTE(SUBSTITUTE($B509,"-","")," ",""),".",""))</f>
        <v/>
      </c>
      <c r="I509" s="10" t="str">
        <f aca="false">IF($D509="","",SUBSTITUTE(SUBSTITUTE(SUBSTITUTE($D509,"-","")," ",""),".",""))</f>
        <v/>
      </c>
      <c r="J509" s="10" t="str">
        <f aca="false">IF($E509="","",UPPER(SUBSTITUTE($E509," ","")))</f>
        <v/>
      </c>
      <c r="K509" s="10" t="str">
        <f aca="false">IF($A509="","",$G509&amp;"|"&amp;$J509)</f>
        <v/>
      </c>
      <c r="L509" s="10" t="str">
        <f aca="false">IF($A509="","",ROW()-2)</f>
        <v/>
      </c>
      <c r="M509" s="10" t="str">
        <f aca="false">IF($A509="","",ROW())</f>
        <v/>
      </c>
    </row>
    <row r="510" customFormat="false" ht="15" hidden="false" customHeight="true" outlineLevel="0" collapsed="false">
      <c r="A510" s="8"/>
      <c r="B510" s="8"/>
      <c r="C510" s="8"/>
      <c r="D510" s="8"/>
      <c r="E510" s="8"/>
      <c r="F510" s="8"/>
      <c r="G510" s="10" t="str">
        <f aca="false">IF($A510="","",UPPER(SUBSTITUTE(SUBSTITUTE(SUBSTITUTE(SUBSTITUTE($A510," ",""),"(주)",""),"주식회사",""),"㈜","")))</f>
        <v/>
      </c>
      <c r="H510" s="10" t="str">
        <f aca="false">IF($B510="","",SUBSTITUTE(SUBSTITUTE(SUBSTITUTE($B510,"-","")," ",""),".",""))</f>
        <v/>
      </c>
      <c r="I510" s="10" t="str">
        <f aca="false">IF($D510="","",SUBSTITUTE(SUBSTITUTE(SUBSTITUTE($D510,"-","")," ",""),".",""))</f>
        <v/>
      </c>
      <c r="J510" s="10" t="str">
        <f aca="false">IF($E510="","",UPPER(SUBSTITUTE($E510," ","")))</f>
        <v/>
      </c>
      <c r="K510" s="10" t="str">
        <f aca="false">IF($A510="","",$G510&amp;"|"&amp;$J510)</f>
        <v/>
      </c>
      <c r="L510" s="10" t="str">
        <f aca="false">IF($A510="","",ROW()-2)</f>
        <v/>
      </c>
      <c r="M510" s="10" t="str">
        <f aca="false">IF($A510="","",ROW())</f>
        <v/>
      </c>
    </row>
    <row r="511" customFormat="false" ht="15" hidden="false" customHeight="true" outlineLevel="0" collapsed="false">
      <c r="A511" s="8"/>
      <c r="B511" s="8"/>
      <c r="C511" s="8"/>
      <c r="D511" s="8"/>
      <c r="E511" s="8"/>
      <c r="F511" s="8"/>
      <c r="G511" s="10" t="str">
        <f aca="false">IF($A511="","",UPPER(SUBSTITUTE(SUBSTITUTE(SUBSTITUTE(SUBSTITUTE($A511," ",""),"(주)",""),"주식회사",""),"㈜","")))</f>
        <v/>
      </c>
      <c r="H511" s="10" t="str">
        <f aca="false">IF($B511="","",SUBSTITUTE(SUBSTITUTE(SUBSTITUTE($B511,"-","")," ",""),".",""))</f>
        <v/>
      </c>
      <c r="I511" s="10" t="str">
        <f aca="false">IF($D511="","",SUBSTITUTE(SUBSTITUTE(SUBSTITUTE($D511,"-","")," ",""),".",""))</f>
        <v/>
      </c>
      <c r="J511" s="10" t="str">
        <f aca="false">IF($E511="","",UPPER(SUBSTITUTE($E511," ","")))</f>
        <v/>
      </c>
      <c r="K511" s="10" t="str">
        <f aca="false">IF($A511="","",$G511&amp;"|"&amp;$J511)</f>
        <v/>
      </c>
      <c r="L511" s="10" t="str">
        <f aca="false">IF($A511="","",ROW()-2)</f>
        <v/>
      </c>
      <c r="M511" s="10" t="str">
        <f aca="false">IF($A511="","",ROW())</f>
        <v/>
      </c>
    </row>
    <row r="512" customFormat="false" ht="15" hidden="false" customHeight="true" outlineLevel="0" collapsed="false">
      <c r="A512" s="8"/>
      <c r="B512" s="8"/>
      <c r="C512" s="8"/>
      <c r="D512" s="8"/>
      <c r="E512" s="8"/>
      <c r="F512" s="8"/>
      <c r="G512" s="10" t="str">
        <f aca="false">IF($A512="","",UPPER(SUBSTITUTE(SUBSTITUTE(SUBSTITUTE(SUBSTITUTE($A512," ",""),"(주)",""),"주식회사",""),"㈜","")))</f>
        <v/>
      </c>
      <c r="H512" s="10" t="str">
        <f aca="false">IF($B512="","",SUBSTITUTE(SUBSTITUTE(SUBSTITUTE($B512,"-","")," ",""),".",""))</f>
        <v/>
      </c>
      <c r="I512" s="10" t="str">
        <f aca="false">IF($D512="","",SUBSTITUTE(SUBSTITUTE(SUBSTITUTE($D512,"-","")," ",""),".",""))</f>
        <v/>
      </c>
      <c r="J512" s="10" t="str">
        <f aca="false">IF($E512="","",UPPER(SUBSTITUTE($E512," ","")))</f>
        <v/>
      </c>
      <c r="K512" s="10" t="str">
        <f aca="false">IF($A512="","",$G512&amp;"|"&amp;$J512)</f>
        <v/>
      </c>
      <c r="L512" s="10" t="str">
        <f aca="false">IF($A512="","",ROW()-2)</f>
        <v/>
      </c>
      <c r="M512" s="10" t="str">
        <f aca="false">IF($A512="","",ROW())</f>
        <v/>
      </c>
    </row>
    <row r="513" customFormat="false" ht="15" hidden="false" customHeight="true" outlineLevel="0" collapsed="false">
      <c r="A513" s="8"/>
      <c r="B513" s="8"/>
      <c r="C513" s="8"/>
      <c r="D513" s="8"/>
      <c r="E513" s="8"/>
      <c r="F513" s="8"/>
      <c r="G513" s="10" t="str">
        <f aca="false">IF($A513="","",UPPER(SUBSTITUTE(SUBSTITUTE(SUBSTITUTE(SUBSTITUTE($A513," ",""),"(주)",""),"주식회사",""),"㈜","")))</f>
        <v/>
      </c>
      <c r="H513" s="10" t="str">
        <f aca="false">IF($B513="","",SUBSTITUTE(SUBSTITUTE(SUBSTITUTE($B513,"-","")," ",""),".",""))</f>
        <v/>
      </c>
      <c r="I513" s="10" t="str">
        <f aca="false">IF($D513="","",SUBSTITUTE(SUBSTITUTE(SUBSTITUTE($D513,"-","")," ",""),".",""))</f>
        <v/>
      </c>
      <c r="J513" s="10" t="str">
        <f aca="false">IF($E513="","",UPPER(SUBSTITUTE($E513," ","")))</f>
        <v/>
      </c>
      <c r="K513" s="10" t="str">
        <f aca="false">IF($A513="","",$G513&amp;"|"&amp;$J513)</f>
        <v/>
      </c>
      <c r="L513" s="10" t="str">
        <f aca="false">IF($A513="","",ROW()-2)</f>
        <v/>
      </c>
      <c r="M513" s="10" t="str">
        <f aca="false">IF($A513="","",ROW())</f>
        <v/>
      </c>
    </row>
    <row r="514" customFormat="false" ht="15" hidden="false" customHeight="true" outlineLevel="0" collapsed="false">
      <c r="A514" s="8"/>
      <c r="B514" s="8"/>
      <c r="C514" s="8"/>
      <c r="D514" s="8"/>
      <c r="E514" s="8"/>
      <c r="F514" s="8"/>
      <c r="G514" s="10" t="str">
        <f aca="false">IF($A514="","",UPPER(SUBSTITUTE(SUBSTITUTE(SUBSTITUTE(SUBSTITUTE($A514," ",""),"(주)",""),"주식회사",""),"㈜","")))</f>
        <v/>
      </c>
      <c r="H514" s="10" t="str">
        <f aca="false">IF($B514="","",SUBSTITUTE(SUBSTITUTE(SUBSTITUTE($B514,"-","")," ",""),".",""))</f>
        <v/>
      </c>
      <c r="I514" s="10" t="str">
        <f aca="false">IF($D514="","",SUBSTITUTE(SUBSTITUTE(SUBSTITUTE($D514,"-","")," ",""),".",""))</f>
        <v/>
      </c>
      <c r="J514" s="10" t="str">
        <f aca="false">IF($E514="","",UPPER(SUBSTITUTE($E514," ","")))</f>
        <v/>
      </c>
      <c r="K514" s="10" t="str">
        <f aca="false">IF($A514="","",$G514&amp;"|"&amp;$J514)</f>
        <v/>
      </c>
      <c r="L514" s="10" t="str">
        <f aca="false">IF($A514="","",ROW()-2)</f>
        <v/>
      </c>
      <c r="M514" s="10" t="str">
        <f aca="false">IF($A514="","",ROW())</f>
        <v/>
      </c>
    </row>
    <row r="515" customFormat="false" ht="15" hidden="false" customHeight="true" outlineLevel="0" collapsed="false">
      <c r="A515" s="8"/>
      <c r="B515" s="8"/>
      <c r="C515" s="8"/>
      <c r="D515" s="8"/>
      <c r="E515" s="8"/>
      <c r="F515" s="8"/>
      <c r="G515" s="10" t="str">
        <f aca="false">IF($A515="","",UPPER(SUBSTITUTE(SUBSTITUTE(SUBSTITUTE(SUBSTITUTE($A515," ",""),"(주)",""),"주식회사",""),"㈜","")))</f>
        <v/>
      </c>
      <c r="H515" s="10" t="str">
        <f aca="false">IF($B515="","",SUBSTITUTE(SUBSTITUTE(SUBSTITUTE($B515,"-","")," ",""),".",""))</f>
        <v/>
      </c>
      <c r="I515" s="10" t="str">
        <f aca="false">IF($D515="","",SUBSTITUTE(SUBSTITUTE(SUBSTITUTE($D515,"-","")," ",""),".",""))</f>
        <v/>
      </c>
      <c r="J515" s="10" t="str">
        <f aca="false">IF($E515="","",UPPER(SUBSTITUTE($E515," ","")))</f>
        <v/>
      </c>
      <c r="K515" s="10" t="str">
        <f aca="false">IF($A515="","",$G515&amp;"|"&amp;$J515)</f>
        <v/>
      </c>
      <c r="L515" s="10" t="str">
        <f aca="false">IF($A515="","",ROW()-2)</f>
        <v/>
      </c>
      <c r="M515" s="10" t="str">
        <f aca="false">IF($A515="","",ROW())</f>
        <v/>
      </c>
    </row>
    <row r="516" customFormat="false" ht="15" hidden="false" customHeight="true" outlineLevel="0" collapsed="false">
      <c r="A516" s="8"/>
      <c r="B516" s="8"/>
      <c r="C516" s="8"/>
      <c r="D516" s="8"/>
      <c r="E516" s="8"/>
      <c r="F516" s="8"/>
      <c r="G516" s="10" t="str">
        <f aca="false">IF($A516="","",UPPER(SUBSTITUTE(SUBSTITUTE(SUBSTITUTE(SUBSTITUTE($A516," ",""),"(주)",""),"주식회사",""),"㈜","")))</f>
        <v/>
      </c>
      <c r="H516" s="10" t="str">
        <f aca="false">IF($B516="","",SUBSTITUTE(SUBSTITUTE(SUBSTITUTE($B516,"-","")," ",""),".",""))</f>
        <v/>
      </c>
      <c r="I516" s="10" t="str">
        <f aca="false">IF($D516="","",SUBSTITUTE(SUBSTITUTE(SUBSTITUTE($D516,"-","")," ",""),".",""))</f>
        <v/>
      </c>
      <c r="J516" s="10" t="str">
        <f aca="false">IF($E516="","",UPPER(SUBSTITUTE($E516," ","")))</f>
        <v/>
      </c>
      <c r="K516" s="10" t="str">
        <f aca="false">IF($A516="","",$G516&amp;"|"&amp;$J516)</f>
        <v/>
      </c>
      <c r="L516" s="10" t="str">
        <f aca="false">IF($A516="","",ROW()-2)</f>
        <v/>
      </c>
      <c r="M516" s="10" t="str">
        <f aca="false">IF($A516="","",ROW())</f>
        <v/>
      </c>
    </row>
    <row r="517" customFormat="false" ht="15" hidden="false" customHeight="true" outlineLevel="0" collapsed="false">
      <c r="A517" s="8"/>
      <c r="B517" s="8"/>
      <c r="C517" s="8"/>
      <c r="D517" s="8"/>
      <c r="E517" s="8"/>
      <c r="F517" s="8"/>
      <c r="G517" s="10" t="str">
        <f aca="false">IF($A517="","",UPPER(SUBSTITUTE(SUBSTITUTE(SUBSTITUTE(SUBSTITUTE($A517," ",""),"(주)",""),"주식회사",""),"㈜","")))</f>
        <v/>
      </c>
      <c r="H517" s="10" t="str">
        <f aca="false">IF($B517="","",SUBSTITUTE(SUBSTITUTE(SUBSTITUTE($B517,"-","")," ",""),".",""))</f>
        <v/>
      </c>
      <c r="I517" s="10" t="str">
        <f aca="false">IF($D517="","",SUBSTITUTE(SUBSTITUTE(SUBSTITUTE($D517,"-","")," ",""),".",""))</f>
        <v/>
      </c>
      <c r="J517" s="10" t="str">
        <f aca="false">IF($E517="","",UPPER(SUBSTITUTE($E517," ","")))</f>
        <v/>
      </c>
      <c r="K517" s="10" t="str">
        <f aca="false">IF($A517="","",$G517&amp;"|"&amp;$J517)</f>
        <v/>
      </c>
      <c r="L517" s="10" t="str">
        <f aca="false">IF($A517="","",ROW()-2)</f>
        <v/>
      </c>
      <c r="M517" s="10" t="str">
        <f aca="false">IF($A517="","",ROW())</f>
        <v/>
      </c>
    </row>
    <row r="518" customFormat="false" ht="15" hidden="false" customHeight="true" outlineLevel="0" collapsed="false">
      <c r="A518" s="8"/>
      <c r="B518" s="8"/>
      <c r="C518" s="8"/>
      <c r="D518" s="8"/>
      <c r="E518" s="8"/>
      <c r="F518" s="8"/>
      <c r="G518" s="10" t="str">
        <f aca="false">IF($A518="","",UPPER(SUBSTITUTE(SUBSTITUTE(SUBSTITUTE(SUBSTITUTE($A518," ",""),"(주)",""),"주식회사",""),"㈜","")))</f>
        <v/>
      </c>
      <c r="H518" s="10" t="str">
        <f aca="false">IF($B518="","",SUBSTITUTE(SUBSTITUTE(SUBSTITUTE($B518,"-","")," ",""),".",""))</f>
        <v/>
      </c>
      <c r="I518" s="10" t="str">
        <f aca="false">IF($D518="","",SUBSTITUTE(SUBSTITUTE(SUBSTITUTE($D518,"-","")," ",""),".",""))</f>
        <v/>
      </c>
      <c r="J518" s="10" t="str">
        <f aca="false">IF($E518="","",UPPER(SUBSTITUTE($E518," ","")))</f>
        <v/>
      </c>
      <c r="K518" s="10" t="str">
        <f aca="false">IF($A518="","",$G518&amp;"|"&amp;$J518)</f>
        <v/>
      </c>
      <c r="L518" s="10" t="str">
        <f aca="false">IF($A518="","",ROW()-2)</f>
        <v/>
      </c>
      <c r="M518" s="10" t="str">
        <f aca="false">IF($A518="","",ROW())</f>
        <v/>
      </c>
    </row>
    <row r="519" customFormat="false" ht="15" hidden="false" customHeight="true" outlineLevel="0" collapsed="false">
      <c r="A519" s="8"/>
      <c r="B519" s="8"/>
      <c r="C519" s="8"/>
      <c r="D519" s="8"/>
      <c r="E519" s="8"/>
      <c r="F519" s="8"/>
      <c r="G519" s="10" t="str">
        <f aca="false">IF($A519="","",UPPER(SUBSTITUTE(SUBSTITUTE(SUBSTITUTE(SUBSTITUTE($A519," ",""),"(주)",""),"주식회사",""),"㈜","")))</f>
        <v/>
      </c>
      <c r="H519" s="10" t="str">
        <f aca="false">IF($B519="","",SUBSTITUTE(SUBSTITUTE(SUBSTITUTE($B519,"-","")," ",""),".",""))</f>
        <v/>
      </c>
      <c r="I519" s="10" t="str">
        <f aca="false">IF($D519="","",SUBSTITUTE(SUBSTITUTE(SUBSTITUTE($D519,"-","")," ",""),".",""))</f>
        <v/>
      </c>
      <c r="J519" s="10" t="str">
        <f aca="false">IF($E519="","",UPPER(SUBSTITUTE($E519," ","")))</f>
        <v/>
      </c>
      <c r="K519" s="10" t="str">
        <f aca="false">IF($A519="","",$G519&amp;"|"&amp;$J519)</f>
        <v/>
      </c>
      <c r="L519" s="10" t="str">
        <f aca="false">IF($A519="","",ROW()-2)</f>
        <v/>
      </c>
      <c r="M519" s="10" t="str">
        <f aca="false">IF($A519="","",ROW())</f>
        <v/>
      </c>
    </row>
    <row r="520" customFormat="false" ht="15" hidden="false" customHeight="true" outlineLevel="0" collapsed="false">
      <c r="A520" s="8"/>
      <c r="B520" s="8"/>
      <c r="C520" s="8"/>
      <c r="D520" s="8"/>
      <c r="E520" s="8"/>
      <c r="F520" s="8"/>
      <c r="G520" s="10" t="str">
        <f aca="false">IF($A520="","",UPPER(SUBSTITUTE(SUBSTITUTE(SUBSTITUTE(SUBSTITUTE($A520," ",""),"(주)",""),"주식회사",""),"㈜","")))</f>
        <v/>
      </c>
      <c r="H520" s="10" t="str">
        <f aca="false">IF($B520="","",SUBSTITUTE(SUBSTITUTE(SUBSTITUTE($B520,"-","")," ",""),".",""))</f>
        <v/>
      </c>
      <c r="I520" s="10" t="str">
        <f aca="false">IF($D520="","",SUBSTITUTE(SUBSTITUTE(SUBSTITUTE($D520,"-","")," ",""),".",""))</f>
        <v/>
      </c>
      <c r="J520" s="10" t="str">
        <f aca="false">IF($E520="","",UPPER(SUBSTITUTE($E520," ","")))</f>
        <v/>
      </c>
      <c r="K520" s="10" t="str">
        <f aca="false">IF($A520="","",$G520&amp;"|"&amp;$J520)</f>
        <v/>
      </c>
      <c r="L520" s="10" t="str">
        <f aca="false">IF($A520="","",ROW()-2)</f>
        <v/>
      </c>
      <c r="M520" s="10" t="str">
        <f aca="false">IF($A520="","",ROW())</f>
        <v/>
      </c>
    </row>
    <row r="521" customFormat="false" ht="15" hidden="false" customHeight="true" outlineLevel="0" collapsed="false">
      <c r="A521" s="8"/>
      <c r="B521" s="8"/>
      <c r="C521" s="8"/>
      <c r="D521" s="8"/>
      <c r="E521" s="8"/>
      <c r="F521" s="8"/>
      <c r="G521" s="10" t="str">
        <f aca="false">IF($A521="","",UPPER(SUBSTITUTE(SUBSTITUTE(SUBSTITUTE(SUBSTITUTE($A521," ",""),"(주)",""),"주식회사",""),"㈜","")))</f>
        <v/>
      </c>
      <c r="H521" s="10" t="str">
        <f aca="false">IF($B521="","",SUBSTITUTE(SUBSTITUTE(SUBSTITUTE($B521,"-","")," ",""),".",""))</f>
        <v/>
      </c>
      <c r="I521" s="10" t="str">
        <f aca="false">IF($D521="","",SUBSTITUTE(SUBSTITUTE(SUBSTITUTE($D521,"-","")," ",""),".",""))</f>
        <v/>
      </c>
      <c r="J521" s="10" t="str">
        <f aca="false">IF($E521="","",UPPER(SUBSTITUTE($E521," ","")))</f>
        <v/>
      </c>
      <c r="K521" s="10" t="str">
        <f aca="false">IF($A521="","",$G521&amp;"|"&amp;$J521)</f>
        <v/>
      </c>
      <c r="L521" s="10" t="str">
        <f aca="false">IF($A521="","",ROW()-2)</f>
        <v/>
      </c>
      <c r="M521" s="10" t="str">
        <f aca="false">IF($A521="","",ROW())</f>
        <v/>
      </c>
    </row>
    <row r="522" customFormat="false" ht="15" hidden="false" customHeight="true" outlineLevel="0" collapsed="false">
      <c r="A522" s="8"/>
      <c r="B522" s="8"/>
      <c r="C522" s="8"/>
      <c r="D522" s="8"/>
      <c r="E522" s="8"/>
      <c r="F522" s="8"/>
      <c r="G522" s="10" t="str">
        <f aca="false">IF($A522="","",UPPER(SUBSTITUTE(SUBSTITUTE(SUBSTITUTE(SUBSTITUTE($A522," ",""),"(주)",""),"주식회사",""),"㈜","")))</f>
        <v/>
      </c>
      <c r="H522" s="10" t="str">
        <f aca="false">IF($B522="","",SUBSTITUTE(SUBSTITUTE(SUBSTITUTE($B522,"-","")," ",""),".",""))</f>
        <v/>
      </c>
      <c r="I522" s="10" t="str">
        <f aca="false">IF($D522="","",SUBSTITUTE(SUBSTITUTE(SUBSTITUTE($D522,"-","")," ",""),".",""))</f>
        <v/>
      </c>
      <c r="J522" s="10" t="str">
        <f aca="false">IF($E522="","",UPPER(SUBSTITUTE($E522," ","")))</f>
        <v/>
      </c>
      <c r="K522" s="10" t="str">
        <f aca="false">IF($A522="","",$G522&amp;"|"&amp;$J522)</f>
        <v/>
      </c>
      <c r="L522" s="10" t="str">
        <f aca="false">IF($A522="","",ROW()-2)</f>
        <v/>
      </c>
      <c r="M522" s="10" t="str">
        <f aca="false">IF($A522="","",ROW())</f>
        <v/>
      </c>
    </row>
    <row r="523" customFormat="false" ht="15" hidden="false" customHeight="true" outlineLevel="0" collapsed="false">
      <c r="A523" s="8"/>
      <c r="B523" s="8"/>
      <c r="C523" s="8"/>
      <c r="D523" s="8"/>
      <c r="E523" s="8"/>
      <c r="F523" s="8"/>
      <c r="G523" s="10" t="str">
        <f aca="false">IF($A523="","",UPPER(SUBSTITUTE(SUBSTITUTE(SUBSTITUTE(SUBSTITUTE($A523," ",""),"(주)",""),"주식회사",""),"㈜","")))</f>
        <v/>
      </c>
      <c r="H523" s="10" t="str">
        <f aca="false">IF($B523="","",SUBSTITUTE(SUBSTITUTE(SUBSTITUTE($B523,"-","")," ",""),".",""))</f>
        <v/>
      </c>
      <c r="I523" s="10" t="str">
        <f aca="false">IF($D523="","",SUBSTITUTE(SUBSTITUTE(SUBSTITUTE($D523,"-","")," ",""),".",""))</f>
        <v/>
      </c>
      <c r="J523" s="10" t="str">
        <f aca="false">IF($E523="","",UPPER(SUBSTITUTE($E523," ","")))</f>
        <v/>
      </c>
      <c r="K523" s="10" t="str">
        <f aca="false">IF($A523="","",$G523&amp;"|"&amp;$J523)</f>
        <v/>
      </c>
      <c r="L523" s="10" t="str">
        <f aca="false">IF($A523="","",ROW()-2)</f>
        <v/>
      </c>
      <c r="M523" s="10" t="str">
        <f aca="false">IF($A523="","",ROW())</f>
        <v/>
      </c>
    </row>
    <row r="524" customFormat="false" ht="15" hidden="false" customHeight="true" outlineLevel="0" collapsed="false">
      <c r="A524" s="8"/>
      <c r="B524" s="8"/>
      <c r="C524" s="8"/>
      <c r="D524" s="8"/>
      <c r="E524" s="8"/>
      <c r="F524" s="8"/>
      <c r="G524" s="10" t="str">
        <f aca="false">IF($A524="","",UPPER(SUBSTITUTE(SUBSTITUTE(SUBSTITUTE(SUBSTITUTE($A524," ",""),"(주)",""),"주식회사",""),"㈜","")))</f>
        <v/>
      </c>
      <c r="H524" s="10" t="str">
        <f aca="false">IF($B524="","",SUBSTITUTE(SUBSTITUTE(SUBSTITUTE($B524,"-","")," ",""),".",""))</f>
        <v/>
      </c>
      <c r="I524" s="10" t="str">
        <f aca="false">IF($D524="","",SUBSTITUTE(SUBSTITUTE(SUBSTITUTE($D524,"-","")," ",""),".",""))</f>
        <v/>
      </c>
      <c r="J524" s="10" t="str">
        <f aca="false">IF($E524="","",UPPER(SUBSTITUTE($E524," ","")))</f>
        <v/>
      </c>
      <c r="K524" s="10" t="str">
        <f aca="false">IF($A524="","",$G524&amp;"|"&amp;$J524)</f>
        <v/>
      </c>
      <c r="L524" s="10" t="str">
        <f aca="false">IF($A524="","",ROW()-2)</f>
        <v/>
      </c>
      <c r="M524" s="10" t="str">
        <f aca="false">IF($A524="","",ROW())</f>
        <v/>
      </c>
    </row>
    <row r="525" customFormat="false" ht="15" hidden="false" customHeight="true" outlineLevel="0" collapsed="false">
      <c r="A525" s="8"/>
      <c r="B525" s="8"/>
      <c r="C525" s="8"/>
      <c r="D525" s="8"/>
      <c r="E525" s="8"/>
      <c r="F525" s="8"/>
      <c r="G525" s="10" t="str">
        <f aca="false">IF($A525="","",UPPER(SUBSTITUTE(SUBSTITUTE(SUBSTITUTE(SUBSTITUTE($A525," ",""),"(주)",""),"주식회사",""),"㈜","")))</f>
        <v/>
      </c>
      <c r="H525" s="10" t="str">
        <f aca="false">IF($B525="","",SUBSTITUTE(SUBSTITUTE(SUBSTITUTE($B525,"-","")," ",""),".",""))</f>
        <v/>
      </c>
      <c r="I525" s="10" t="str">
        <f aca="false">IF($D525="","",SUBSTITUTE(SUBSTITUTE(SUBSTITUTE($D525,"-","")," ",""),".",""))</f>
        <v/>
      </c>
      <c r="J525" s="10" t="str">
        <f aca="false">IF($E525="","",UPPER(SUBSTITUTE($E525," ","")))</f>
        <v/>
      </c>
      <c r="K525" s="10" t="str">
        <f aca="false">IF($A525="","",$G525&amp;"|"&amp;$J525)</f>
        <v/>
      </c>
      <c r="L525" s="10" t="str">
        <f aca="false">IF($A525="","",ROW()-2)</f>
        <v/>
      </c>
      <c r="M525" s="10" t="str">
        <f aca="false">IF($A525="","",ROW())</f>
        <v/>
      </c>
    </row>
    <row r="526" customFormat="false" ht="15" hidden="false" customHeight="true" outlineLevel="0" collapsed="false">
      <c r="A526" s="8"/>
      <c r="B526" s="8"/>
      <c r="C526" s="8"/>
      <c r="D526" s="8"/>
      <c r="E526" s="8"/>
      <c r="F526" s="8"/>
      <c r="G526" s="10" t="str">
        <f aca="false">IF($A526="","",UPPER(SUBSTITUTE(SUBSTITUTE(SUBSTITUTE(SUBSTITUTE($A526," ",""),"(주)",""),"주식회사",""),"㈜","")))</f>
        <v/>
      </c>
      <c r="H526" s="10" t="str">
        <f aca="false">IF($B526="","",SUBSTITUTE(SUBSTITUTE(SUBSTITUTE($B526,"-","")," ",""),".",""))</f>
        <v/>
      </c>
      <c r="I526" s="10" t="str">
        <f aca="false">IF($D526="","",SUBSTITUTE(SUBSTITUTE(SUBSTITUTE($D526,"-","")," ",""),".",""))</f>
        <v/>
      </c>
      <c r="J526" s="10" t="str">
        <f aca="false">IF($E526="","",UPPER(SUBSTITUTE($E526," ","")))</f>
        <v/>
      </c>
      <c r="K526" s="10" t="str">
        <f aca="false">IF($A526="","",$G526&amp;"|"&amp;$J526)</f>
        <v/>
      </c>
      <c r="L526" s="10" t="str">
        <f aca="false">IF($A526="","",ROW()-2)</f>
        <v/>
      </c>
      <c r="M526" s="10" t="str">
        <f aca="false">IF($A526="","",ROW())</f>
        <v/>
      </c>
    </row>
    <row r="527" customFormat="false" ht="15" hidden="false" customHeight="true" outlineLevel="0" collapsed="false">
      <c r="A527" s="8"/>
      <c r="B527" s="8"/>
      <c r="C527" s="8"/>
      <c r="D527" s="8"/>
      <c r="E527" s="8"/>
      <c r="F527" s="8"/>
      <c r="G527" s="10" t="str">
        <f aca="false">IF($A527="","",UPPER(SUBSTITUTE(SUBSTITUTE(SUBSTITUTE(SUBSTITUTE($A527," ",""),"(주)",""),"주식회사",""),"㈜","")))</f>
        <v/>
      </c>
      <c r="H527" s="10" t="str">
        <f aca="false">IF($B527="","",SUBSTITUTE(SUBSTITUTE(SUBSTITUTE($B527,"-","")," ",""),".",""))</f>
        <v/>
      </c>
      <c r="I527" s="10" t="str">
        <f aca="false">IF($D527="","",SUBSTITUTE(SUBSTITUTE(SUBSTITUTE($D527,"-","")," ",""),".",""))</f>
        <v/>
      </c>
      <c r="J527" s="10" t="str">
        <f aca="false">IF($E527="","",UPPER(SUBSTITUTE($E527," ","")))</f>
        <v/>
      </c>
      <c r="K527" s="10" t="str">
        <f aca="false">IF($A527="","",$G527&amp;"|"&amp;$J527)</f>
        <v/>
      </c>
      <c r="L527" s="10" t="str">
        <f aca="false">IF($A527="","",ROW()-2)</f>
        <v/>
      </c>
      <c r="M527" s="10" t="str">
        <f aca="false">IF($A527="","",ROW())</f>
        <v/>
      </c>
    </row>
    <row r="528" customFormat="false" ht="15" hidden="false" customHeight="true" outlineLevel="0" collapsed="false">
      <c r="A528" s="8"/>
      <c r="B528" s="8"/>
      <c r="C528" s="8"/>
      <c r="D528" s="8"/>
      <c r="E528" s="8"/>
      <c r="F528" s="8"/>
      <c r="G528" s="10" t="str">
        <f aca="false">IF($A528="","",UPPER(SUBSTITUTE(SUBSTITUTE(SUBSTITUTE(SUBSTITUTE($A528," ",""),"(주)",""),"주식회사",""),"㈜","")))</f>
        <v/>
      </c>
      <c r="H528" s="10" t="str">
        <f aca="false">IF($B528="","",SUBSTITUTE(SUBSTITUTE(SUBSTITUTE($B528,"-","")," ",""),".",""))</f>
        <v/>
      </c>
      <c r="I528" s="10" t="str">
        <f aca="false">IF($D528="","",SUBSTITUTE(SUBSTITUTE(SUBSTITUTE($D528,"-","")," ",""),".",""))</f>
        <v/>
      </c>
      <c r="J528" s="10" t="str">
        <f aca="false">IF($E528="","",UPPER(SUBSTITUTE($E528," ","")))</f>
        <v/>
      </c>
      <c r="K528" s="10" t="str">
        <f aca="false">IF($A528="","",$G528&amp;"|"&amp;$J528)</f>
        <v/>
      </c>
      <c r="L528" s="10" t="str">
        <f aca="false">IF($A528="","",ROW()-2)</f>
        <v/>
      </c>
      <c r="M528" s="10" t="str">
        <f aca="false">IF($A528="","",ROW())</f>
        <v/>
      </c>
    </row>
    <row r="529" customFormat="false" ht="15" hidden="false" customHeight="true" outlineLevel="0" collapsed="false">
      <c r="A529" s="8"/>
      <c r="B529" s="8"/>
      <c r="C529" s="8"/>
      <c r="D529" s="8"/>
      <c r="E529" s="8"/>
      <c r="F529" s="8"/>
      <c r="G529" s="10" t="str">
        <f aca="false">IF($A529="","",UPPER(SUBSTITUTE(SUBSTITUTE(SUBSTITUTE(SUBSTITUTE($A529," ",""),"(주)",""),"주식회사",""),"㈜","")))</f>
        <v/>
      </c>
      <c r="H529" s="10" t="str">
        <f aca="false">IF($B529="","",SUBSTITUTE(SUBSTITUTE(SUBSTITUTE($B529,"-","")," ",""),".",""))</f>
        <v/>
      </c>
      <c r="I529" s="10" t="str">
        <f aca="false">IF($D529="","",SUBSTITUTE(SUBSTITUTE(SUBSTITUTE($D529,"-","")," ",""),".",""))</f>
        <v/>
      </c>
      <c r="J529" s="10" t="str">
        <f aca="false">IF($E529="","",UPPER(SUBSTITUTE($E529," ","")))</f>
        <v/>
      </c>
      <c r="K529" s="10" t="str">
        <f aca="false">IF($A529="","",$G529&amp;"|"&amp;$J529)</f>
        <v/>
      </c>
      <c r="L529" s="10" t="str">
        <f aca="false">IF($A529="","",ROW()-2)</f>
        <v/>
      </c>
      <c r="M529" s="10" t="str">
        <f aca="false">IF($A529="","",ROW())</f>
        <v/>
      </c>
    </row>
    <row r="530" customFormat="false" ht="15" hidden="false" customHeight="true" outlineLevel="0" collapsed="false">
      <c r="A530" s="8"/>
      <c r="B530" s="8"/>
      <c r="C530" s="8"/>
      <c r="D530" s="8"/>
      <c r="E530" s="8"/>
      <c r="F530" s="8"/>
      <c r="G530" s="10" t="str">
        <f aca="false">IF($A530="","",UPPER(SUBSTITUTE(SUBSTITUTE(SUBSTITUTE(SUBSTITUTE($A530," ",""),"(주)",""),"주식회사",""),"㈜","")))</f>
        <v/>
      </c>
      <c r="H530" s="10" t="str">
        <f aca="false">IF($B530="","",SUBSTITUTE(SUBSTITUTE(SUBSTITUTE($B530,"-","")," ",""),".",""))</f>
        <v/>
      </c>
      <c r="I530" s="10" t="str">
        <f aca="false">IF($D530="","",SUBSTITUTE(SUBSTITUTE(SUBSTITUTE($D530,"-","")," ",""),".",""))</f>
        <v/>
      </c>
      <c r="J530" s="10" t="str">
        <f aca="false">IF($E530="","",UPPER(SUBSTITUTE($E530," ","")))</f>
        <v/>
      </c>
      <c r="K530" s="10" t="str">
        <f aca="false">IF($A530="","",$G530&amp;"|"&amp;$J530)</f>
        <v/>
      </c>
      <c r="L530" s="10" t="str">
        <f aca="false">IF($A530="","",ROW()-2)</f>
        <v/>
      </c>
      <c r="M530" s="10" t="str">
        <f aca="false">IF($A530="","",ROW())</f>
        <v/>
      </c>
    </row>
    <row r="531" customFormat="false" ht="15" hidden="false" customHeight="true" outlineLevel="0" collapsed="false">
      <c r="A531" s="8"/>
      <c r="B531" s="8"/>
      <c r="C531" s="8"/>
      <c r="D531" s="8"/>
      <c r="E531" s="8"/>
      <c r="F531" s="8"/>
      <c r="G531" s="10" t="str">
        <f aca="false">IF($A531="","",UPPER(SUBSTITUTE(SUBSTITUTE(SUBSTITUTE(SUBSTITUTE($A531," ",""),"(주)",""),"주식회사",""),"㈜","")))</f>
        <v/>
      </c>
      <c r="H531" s="10" t="str">
        <f aca="false">IF($B531="","",SUBSTITUTE(SUBSTITUTE(SUBSTITUTE($B531,"-","")," ",""),".",""))</f>
        <v/>
      </c>
      <c r="I531" s="10" t="str">
        <f aca="false">IF($D531="","",SUBSTITUTE(SUBSTITUTE(SUBSTITUTE($D531,"-","")," ",""),".",""))</f>
        <v/>
      </c>
      <c r="J531" s="10" t="str">
        <f aca="false">IF($E531="","",UPPER(SUBSTITUTE($E531," ","")))</f>
        <v/>
      </c>
      <c r="K531" s="10" t="str">
        <f aca="false">IF($A531="","",$G531&amp;"|"&amp;$J531)</f>
        <v/>
      </c>
      <c r="L531" s="10" t="str">
        <f aca="false">IF($A531="","",ROW()-2)</f>
        <v/>
      </c>
      <c r="M531" s="10" t="str">
        <f aca="false">IF($A531="","",ROW())</f>
        <v/>
      </c>
    </row>
    <row r="532" customFormat="false" ht="15" hidden="false" customHeight="true" outlineLevel="0" collapsed="false">
      <c r="A532" s="8"/>
      <c r="B532" s="8"/>
      <c r="C532" s="8"/>
      <c r="D532" s="8"/>
      <c r="E532" s="8"/>
      <c r="F532" s="8"/>
      <c r="G532" s="10" t="str">
        <f aca="false">IF($A532="","",UPPER(SUBSTITUTE(SUBSTITUTE(SUBSTITUTE(SUBSTITUTE($A532," ",""),"(주)",""),"주식회사",""),"㈜","")))</f>
        <v/>
      </c>
      <c r="H532" s="10" t="str">
        <f aca="false">IF($B532="","",SUBSTITUTE(SUBSTITUTE(SUBSTITUTE($B532,"-","")," ",""),".",""))</f>
        <v/>
      </c>
      <c r="I532" s="10" t="str">
        <f aca="false">IF($D532="","",SUBSTITUTE(SUBSTITUTE(SUBSTITUTE($D532,"-","")," ",""),".",""))</f>
        <v/>
      </c>
      <c r="J532" s="10" t="str">
        <f aca="false">IF($E532="","",UPPER(SUBSTITUTE($E532," ","")))</f>
        <v/>
      </c>
      <c r="K532" s="10" t="str">
        <f aca="false">IF($A532="","",$G532&amp;"|"&amp;$J532)</f>
        <v/>
      </c>
      <c r="L532" s="10" t="str">
        <f aca="false">IF($A532="","",ROW()-2)</f>
        <v/>
      </c>
      <c r="M532" s="10" t="str">
        <f aca="false">IF($A532="","",ROW())</f>
        <v/>
      </c>
    </row>
    <row r="533" customFormat="false" ht="15" hidden="false" customHeight="true" outlineLevel="0" collapsed="false">
      <c r="A533" s="8"/>
      <c r="B533" s="8"/>
      <c r="C533" s="8"/>
      <c r="D533" s="8"/>
      <c r="E533" s="8"/>
      <c r="F533" s="8"/>
      <c r="G533" s="10" t="str">
        <f aca="false">IF($A533="","",UPPER(SUBSTITUTE(SUBSTITUTE(SUBSTITUTE(SUBSTITUTE($A533," ",""),"(주)",""),"주식회사",""),"㈜","")))</f>
        <v/>
      </c>
      <c r="H533" s="10" t="str">
        <f aca="false">IF($B533="","",SUBSTITUTE(SUBSTITUTE(SUBSTITUTE($B533,"-","")," ",""),".",""))</f>
        <v/>
      </c>
      <c r="I533" s="10" t="str">
        <f aca="false">IF($D533="","",SUBSTITUTE(SUBSTITUTE(SUBSTITUTE($D533,"-","")," ",""),".",""))</f>
        <v/>
      </c>
      <c r="J533" s="10" t="str">
        <f aca="false">IF($E533="","",UPPER(SUBSTITUTE($E533," ","")))</f>
        <v/>
      </c>
      <c r="K533" s="10" t="str">
        <f aca="false">IF($A533="","",$G533&amp;"|"&amp;$J533)</f>
        <v/>
      </c>
      <c r="L533" s="10" t="str">
        <f aca="false">IF($A533="","",ROW()-2)</f>
        <v/>
      </c>
      <c r="M533" s="10" t="str">
        <f aca="false">IF($A533="","",ROW())</f>
        <v/>
      </c>
    </row>
    <row r="534" customFormat="false" ht="15" hidden="false" customHeight="true" outlineLevel="0" collapsed="false">
      <c r="A534" s="8"/>
      <c r="B534" s="8"/>
      <c r="C534" s="8"/>
      <c r="D534" s="8"/>
      <c r="E534" s="8"/>
      <c r="F534" s="8"/>
      <c r="G534" s="10" t="str">
        <f aca="false">IF($A534="","",UPPER(SUBSTITUTE(SUBSTITUTE(SUBSTITUTE(SUBSTITUTE($A534," ",""),"(주)",""),"주식회사",""),"㈜","")))</f>
        <v/>
      </c>
      <c r="H534" s="10" t="str">
        <f aca="false">IF($B534="","",SUBSTITUTE(SUBSTITUTE(SUBSTITUTE($B534,"-","")," ",""),".",""))</f>
        <v/>
      </c>
      <c r="I534" s="10" t="str">
        <f aca="false">IF($D534="","",SUBSTITUTE(SUBSTITUTE(SUBSTITUTE($D534,"-","")," ",""),".",""))</f>
        <v/>
      </c>
      <c r="J534" s="10" t="str">
        <f aca="false">IF($E534="","",UPPER(SUBSTITUTE($E534," ","")))</f>
        <v/>
      </c>
      <c r="K534" s="10" t="str">
        <f aca="false">IF($A534="","",$G534&amp;"|"&amp;$J534)</f>
        <v/>
      </c>
      <c r="L534" s="10" t="str">
        <f aca="false">IF($A534="","",ROW()-2)</f>
        <v/>
      </c>
      <c r="M534" s="10" t="str">
        <f aca="false">IF($A534="","",ROW())</f>
        <v/>
      </c>
    </row>
    <row r="535" customFormat="false" ht="15" hidden="false" customHeight="true" outlineLevel="0" collapsed="false">
      <c r="A535" s="8"/>
      <c r="B535" s="8"/>
      <c r="C535" s="8"/>
      <c r="D535" s="8"/>
      <c r="E535" s="8"/>
      <c r="F535" s="8"/>
      <c r="G535" s="10" t="str">
        <f aca="false">IF($A535="","",UPPER(SUBSTITUTE(SUBSTITUTE(SUBSTITUTE(SUBSTITUTE($A535," ",""),"(주)",""),"주식회사",""),"㈜","")))</f>
        <v/>
      </c>
      <c r="H535" s="10" t="str">
        <f aca="false">IF($B535="","",SUBSTITUTE(SUBSTITUTE(SUBSTITUTE($B535,"-","")," ",""),".",""))</f>
        <v/>
      </c>
      <c r="I535" s="10" t="str">
        <f aca="false">IF($D535="","",SUBSTITUTE(SUBSTITUTE(SUBSTITUTE($D535,"-","")," ",""),".",""))</f>
        <v/>
      </c>
      <c r="J535" s="10" t="str">
        <f aca="false">IF($E535="","",UPPER(SUBSTITUTE($E535," ","")))</f>
        <v/>
      </c>
      <c r="K535" s="10" t="str">
        <f aca="false">IF($A535="","",$G535&amp;"|"&amp;$J535)</f>
        <v/>
      </c>
      <c r="L535" s="10" t="str">
        <f aca="false">IF($A535="","",ROW()-2)</f>
        <v/>
      </c>
      <c r="M535" s="10" t="str">
        <f aca="false">IF($A535="","",ROW())</f>
        <v/>
      </c>
    </row>
    <row r="536" customFormat="false" ht="15" hidden="false" customHeight="true" outlineLevel="0" collapsed="false">
      <c r="A536" s="8"/>
      <c r="B536" s="8"/>
      <c r="C536" s="8"/>
      <c r="D536" s="8"/>
      <c r="E536" s="8"/>
      <c r="F536" s="8"/>
      <c r="G536" s="10" t="str">
        <f aca="false">IF($A536="","",UPPER(SUBSTITUTE(SUBSTITUTE(SUBSTITUTE(SUBSTITUTE($A536," ",""),"(주)",""),"주식회사",""),"㈜","")))</f>
        <v/>
      </c>
      <c r="H536" s="10" t="str">
        <f aca="false">IF($B536="","",SUBSTITUTE(SUBSTITUTE(SUBSTITUTE($B536,"-","")," ",""),".",""))</f>
        <v/>
      </c>
      <c r="I536" s="10" t="str">
        <f aca="false">IF($D536="","",SUBSTITUTE(SUBSTITUTE(SUBSTITUTE($D536,"-","")," ",""),".",""))</f>
        <v/>
      </c>
      <c r="J536" s="10" t="str">
        <f aca="false">IF($E536="","",UPPER(SUBSTITUTE($E536," ","")))</f>
        <v/>
      </c>
      <c r="K536" s="10" t="str">
        <f aca="false">IF($A536="","",$G536&amp;"|"&amp;$J536)</f>
        <v/>
      </c>
      <c r="L536" s="10" t="str">
        <f aca="false">IF($A536="","",ROW()-2)</f>
        <v/>
      </c>
      <c r="M536" s="10" t="str">
        <f aca="false">IF($A536="","",ROW())</f>
        <v/>
      </c>
    </row>
    <row r="537" customFormat="false" ht="15" hidden="false" customHeight="true" outlineLevel="0" collapsed="false">
      <c r="A537" s="8"/>
      <c r="B537" s="8"/>
      <c r="C537" s="8"/>
      <c r="D537" s="8"/>
      <c r="E537" s="8"/>
      <c r="F537" s="8"/>
      <c r="G537" s="10" t="str">
        <f aca="false">IF($A537="","",UPPER(SUBSTITUTE(SUBSTITUTE(SUBSTITUTE(SUBSTITUTE($A537," ",""),"(주)",""),"주식회사",""),"㈜","")))</f>
        <v/>
      </c>
      <c r="H537" s="10" t="str">
        <f aca="false">IF($B537="","",SUBSTITUTE(SUBSTITUTE(SUBSTITUTE($B537,"-","")," ",""),".",""))</f>
        <v/>
      </c>
      <c r="I537" s="10" t="str">
        <f aca="false">IF($D537="","",SUBSTITUTE(SUBSTITUTE(SUBSTITUTE($D537,"-","")," ",""),".",""))</f>
        <v/>
      </c>
      <c r="J537" s="10" t="str">
        <f aca="false">IF($E537="","",UPPER(SUBSTITUTE($E537," ","")))</f>
        <v/>
      </c>
      <c r="K537" s="10" t="str">
        <f aca="false">IF($A537="","",$G537&amp;"|"&amp;$J537)</f>
        <v/>
      </c>
      <c r="L537" s="10" t="str">
        <f aca="false">IF($A537="","",ROW()-2)</f>
        <v/>
      </c>
      <c r="M537" s="10" t="str">
        <f aca="false">IF($A537="","",ROW())</f>
        <v/>
      </c>
    </row>
    <row r="538" customFormat="false" ht="15" hidden="false" customHeight="true" outlineLevel="0" collapsed="false">
      <c r="A538" s="8"/>
      <c r="B538" s="8"/>
      <c r="C538" s="8"/>
      <c r="D538" s="8"/>
      <c r="E538" s="8"/>
      <c r="F538" s="8"/>
      <c r="G538" s="10" t="str">
        <f aca="false">IF($A538="","",UPPER(SUBSTITUTE(SUBSTITUTE(SUBSTITUTE(SUBSTITUTE($A538," ",""),"(주)",""),"주식회사",""),"㈜","")))</f>
        <v/>
      </c>
      <c r="H538" s="10" t="str">
        <f aca="false">IF($B538="","",SUBSTITUTE(SUBSTITUTE(SUBSTITUTE($B538,"-","")," ",""),".",""))</f>
        <v/>
      </c>
      <c r="I538" s="10" t="str">
        <f aca="false">IF($D538="","",SUBSTITUTE(SUBSTITUTE(SUBSTITUTE($D538,"-","")," ",""),".",""))</f>
        <v/>
      </c>
      <c r="J538" s="10" t="str">
        <f aca="false">IF($E538="","",UPPER(SUBSTITUTE($E538," ","")))</f>
        <v/>
      </c>
      <c r="K538" s="10" t="str">
        <f aca="false">IF($A538="","",$G538&amp;"|"&amp;$J538)</f>
        <v/>
      </c>
      <c r="L538" s="10" t="str">
        <f aca="false">IF($A538="","",ROW()-2)</f>
        <v/>
      </c>
      <c r="M538" s="10" t="str">
        <f aca="false">IF($A538="","",ROW())</f>
        <v/>
      </c>
    </row>
    <row r="539" customFormat="false" ht="15" hidden="false" customHeight="true" outlineLevel="0" collapsed="false">
      <c r="A539" s="8"/>
      <c r="B539" s="8"/>
      <c r="C539" s="8"/>
      <c r="D539" s="8"/>
      <c r="E539" s="8"/>
      <c r="F539" s="8"/>
      <c r="G539" s="10" t="str">
        <f aca="false">IF($A539="","",UPPER(SUBSTITUTE(SUBSTITUTE(SUBSTITUTE(SUBSTITUTE($A539," ",""),"(주)",""),"주식회사",""),"㈜","")))</f>
        <v/>
      </c>
      <c r="H539" s="10" t="str">
        <f aca="false">IF($B539="","",SUBSTITUTE(SUBSTITUTE(SUBSTITUTE($B539,"-","")," ",""),".",""))</f>
        <v/>
      </c>
      <c r="I539" s="10" t="str">
        <f aca="false">IF($D539="","",SUBSTITUTE(SUBSTITUTE(SUBSTITUTE($D539,"-","")," ",""),".",""))</f>
        <v/>
      </c>
      <c r="J539" s="10" t="str">
        <f aca="false">IF($E539="","",UPPER(SUBSTITUTE($E539," ","")))</f>
        <v/>
      </c>
      <c r="K539" s="10" t="str">
        <f aca="false">IF($A539="","",$G539&amp;"|"&amp;$J539)</f>
        <v/>
      </c>
      <c r="L539" s="10" t="str">
        <f aca="false">IF($A539="","",ROW()-2)</f>
        <v/>
      </c>
      <c r="M539" s="10" t="str">
        <f aca="false">IF($A539="","",ROW())</f>
        <v/>
      </c>
    </row>
    <row r="540" customFormat="false" ht="15" hidden="false" customHeight="true" outlineLevel="0" collapsed="false">
      <c r="A540" s="8"/>
      <c r="B540" s="8"/>
      <c r="C540" s="8"/>
      <c r="D540" s="8"/>
      <c r="E540" s="8"/>
      <c r="F540" s="8"/>
      <c r="G540" s="10" t="str">
        <f aca="false">IF($A540="","",UPPER(SUBSTITUTE(SUBSTITUTE(SUBSTITUTE(SUBSTITUTE($A540," ",""),"(주)",""),"주식회사",""),"㈜","")))</f>
        <v/>
      </c>
      <c r="H540" s="10" t="str">
        <f aca="false">IF($B540="","",SUBSTITUTE(SUBSTITUTE(SUBSTITUTE($B540,"-","")," ",""),".",""))</f>
        <v/>
      </c>
      <c r="I540" s="10" t="str">
        <f aca="false">IF($D540="","",SUBSTITUTE(SUBSTITUTE(SUBSTITUTE($D540,"-","")," ",""),".",""))</f>
        <v/>
      </c>
      <c r="J540" s="10" t="str">
        <f aca="false">IF($E540="","",UPPER(SUBSTITUTE($E540," ","")))</f>
        <v/>
      </c>
      <c r="K540" s="10" t="str">
        <f aca="false">IF($A540="","",$G540&amp;"|"&amp;$J540)</f>
        <v/>
      </c>
      <c r="L540" s="10" t="str">
        <f aca="false">IF($A540="","",ROW()-2)</f>
        <v/>
      </c>
      <c r="M540" s="10" t="str">
        <f aca="false">IF($A540="","",ROW())</f>
        <v/>
      </c>
    </row>
    <row r="541" customFormat="false" ht="15" hidden="false" customHeight="true" outlineLevel="0" collapsed="false">
      <c r="A541" s="8"/>
      <c r="B541" s="8"/>
      <c r="C541" s="8"/>
      <c r="D541" s="8"/>
      <c r="E541" s="8"/>
      <c r="F541" s="8"/>
      <c r="G541" s="10" t="str">
        <f aca="false">IF($A541="","",UPPER(SUBSTITUTE(SUBSTITUTE(SUBSTITUTE(SUBSTITUTE($A541," ",""),"(주)",""),"주식회사",""),"㈜","")))</f>
        <v/>
      </c>
      <c r="H541" s="10" t="str">
        <f aca="false">IF($B541="","",SUBSTITUTE(SUBSTITUTE(SUBSTITUTE($B541,"-","")," ",""),".",""))</f>
        <v/>
      </c>
      <c r="I541" s="10" t="str">
        <f aca="false">IF($D541="","",SUBSTITUTE(SUBSTITUTE(SUBSTITUTE($D541,"-","")," ",""),".",""))</f>
        <v/>
      </c>
      <c r="J541" s="10" t="str">
        <f aca="false">IF($E541="","",UPPER(SUBSTITUTE($E541," ","")))</f>
        <v/>
      </c>
      <c r="K541" s="10" t="str">
        <f aca="false">IF($A541="","",$G541&amp;"|"&amp;$J541)</f>
        <v/>
      </c>
      <c r="L541" s="10" t="str">
        <f aca="false">IF($A541="","",ROW()-2)</f>
        <v/>
      </c>
      <c r="M541" s="10" t="str">
        <f aca="false">IF($A541="","",ROW())</f>
        <v/>
      </c>
    </row>
    <row r="542" customFormat="false" ht="15" hidden="false" customHeight="true" outlineLevel="0" collapsed="false">
      <c r="A542" s="8"/>
      <c r="B542" s="8"/>
      <c r="C542" s="8"/>
      <c r="D542" s="8"/>
      <c r="E542" s="8"/>
      <c r="F542" s="8"/>
      <c r="G542" s="10" t="str">
        <f aca="false">IF($A542="","",UPPER(SUBSTITUTE(SUBSTITUTE(SUBSTITUTE(SUBSTITUTE($A542," ",""),"(주)",""),"주식회사",""),"㈜","")))</f>
        <v/>
      </c>
      <c r="H542" s="10" t="str">
        <f aca="false">IF($B542="","",SUBSTITUTE(SUBSTITUTE(SUBSTITUTE($B542,"-","")," ",""),".",""))</f>
        <v/>
      </c>
      <c r="I542" s="10" t="str">
        <f aca="false">IF($D542="","",SUBSTITUTE(SUBSTITUTE(SUBSTITUTE($D542,"-","")," ",""),".",""))</f>
        <v/>
      </c>
      <c r="J542" s="10" t="str">
        <f aca="false">IF($E542="","",UPPER(SUBSTITUTE($E542," ","")))</f>
        <v/>
      </c>
      <c r="K542" s="10" t="str">
        <f aca="false">IF($A542="","",$G542&amp;"|"&amp;$J542)</f>
        <v/>
      </c>
      <c r="L542" s="10" t="str">
        <f aca="false">IF($A542="","",ROW()-2)</f>
        <v/>
      </c>
      <c r="M542" s="10" t="str">
        <f aca="false">IF($A542="","",ROW())</f>
        <v/>
      </c>
    </row>
    <row r="543" customFormat="false" ht="15" hidden="false" customHeight="true" outlineLevel="0" collapsed="false">
      <c r="A543" s="8"/>
      <c r="B543" s="8"/>
      <c r="C543" s="8"/>
      <c r="D543" s="8"/>
      <c r="E543" s="8"/>
      <c r="F543" s="8"/>
      <c r="G543" s="10" t="str">
        <f aca="false">IF($A543="","",UPPER(SUBSTITUTE(SUBSTITUTE(SUBSTITUTE(SUBSTITUTE($A543," ",""),"(주)",""),"주식회사",""),"㈜","")))</f>
        <v/>
      </c>
      <c r="H543" s="10" t="str">
        <f aca="false">IF($B543="","",SUBSTITUTE(SUBSTITUTE(SUBSTITUTE($B543,"-","")," ",""),".",""))</f>
        <v/>
      </c>
      <c r="I543" s="10" t="str">
        <f aca="false">IF($D543="","",SUBSTITUTE(SUBSTITUTE(SUBSTITUTE($D543,"-","")," ",""),".",""))</f>
        <v/>
      </c>
      <c r="J543" s="10" t="str">
        <f aca="false">IF($E543="","",UPPER(SUBSTITUTE($E543," ","")))</f>
        <v/>
      </c>
      <c r="K543" s="10" t="str">
        <f aca="false">IF($A543="","",$G543&amp;"|"&amp;$J543)</f>
        <v/>
      </c>
      <c r="L543" s="10" t="str">
        <f aca="false">IF($A543="","",ROW()-2)</f>
        <v/>
      </c>
      <c r="M543" s="10" t="str">
        <f aca="false">IF($A543="","",ROW())</f>
        <v/>
      </c>
    </row>
    <row r="544" customFormat="false" ht="15" hidden="false" customHeight="true" outlineLevel="0" collapsed="false">
      <c r="A544" s="8"/>
      <c r="B544" s="8"/>
      <c r="C544" s="8"/>
      <c r="D544" s="8"/>
      <c r="E544" s="8"/>
      <c r="F544" s="8"/>
      <c r="G544" s="10" t="str">
        <f aca="false">IF($A544="","",UPPER(SUBSTITUTE(SUBSTITUTE(SUBSTITUTE(SUBSTITUTE($A544," ",""),"(주)",""),"주식회사",""),"㈜","")))</f>
        <v/>
      </c>
      <c r="H544" s="10" t="str">
        <f aca="false">IF($B544="","",SUBSTITUTE(SUBSTITUTE(SUBSTITUTE($B544,"-","")," ",""),".",""))</f>
        <v/>
      </c>
      <c r="I544" s="10" t="str">
        <f aca="false">IF($D544="","",SUBSTITUTE(SUBSTITUTE(SUBSTITUTE($D544,"-","")," ",""),".",""))</f>
        <v/>
      </c>
      <c r="J544" s="10" t="str">
        <f aca="false">IF($E544="","",UPPER(SUBSTITUTE($E544," ","")))</f>
        <v/>
      </c>
      <c r="K544" s="10" t="str">
        <f aca="false">IF($A544="","",$G544&amp;"|"&amp;$J544)</f>
        <v/>
      </c>
      <c r="L544" s="10" t="str">
        <f aca="false">IF($A544="","",ROW()-2)</f>
        <v/>
      </c>
      <c r="M544" s="10" t="str">
        <f aca="false">IF($A544="","",ROW())</f>
        <v/>
      </c>
    </row>
    <row r="545" customFormat="false" ht="15" hidden="false" customHeight="true" outlineLevel="0" collapsed="false">
      <c r="A545" s="8"/>
      <c r="B545" s="8"/>
      <c r="C545" s="8"/>
      <c r="D545" s="8"/>
      <c r="E545" s="8"/>
      <c r="F545" s="8"/>
      <c r="G545" s="10" t="str">
        <f aca="false">IF($A545="","",UPPER(SUBSTITUTE(SUBSTITUTE(SUBSTITUTE(SUBSTITUTE($A545," ",""),"(주)",""),"주식회사",""),"㈜","")))</f>
        <v/>
      </c>
      <c r="H545" s="10" t="str">
        <f aca="false">IF($B545="","",SUBSTITUTE(SUBSTITUTE(SUBSTITUTE($B545,"-","")," ",""),".",""))</f>
        <v/>
      </c>
      <c r="I545" s="10" t="str">
        <f aca="false">IF($D545="","",SUBSTITUTE(SUBSTITUTE(SUBSTITUTE($D545,"-","")," ",""),".",""))</f>
        <v/>
      </c>
      <c r="J545" s="10" t="str">
        <f aca="false">IF($E545="","",UPPER(SUBSTITUTE($E545," ","")))</f>
        <v/>
      </c>
      <c r="K545" s="10" t="str">
        <f aca="false">IF($A545="","",$G545&amp;"|"&amp;$J545)</f>
        <v/>
      </c>
      <c r="L545" s="10" t="str">
        <f aca="false">IF($A545="","",ROW()-2)</f>
        <v/>
      </c>
      <c r="M545" s="10" t="str">
        <f aca="false">IF($A545="","",ROW())</f>
        <v/>
      </c>
    </row>
    <row r="546" customFormat="false" ht="15" hidden="false" customHeight="true" outlineLevel="0" collapsed="false">
      <c r="A546" s="8"/>
      <c r="B546" s="8"/>
      <c r="C546" s="8"/>
      <c r="D546" s="8"/>
      <c r="E546" s="8"/>
      <c r="F546" s="8"/>
      <c r="G546" s="10" t="str">
        <f aca="false">IF($A546="","",UPPER(SUBSTITUTE(SUBSTITUTE(SUBSTITUTE(SUBSTITUTE($A546," ",""),"(주)",""),"주식회사",""),"㈜","")))</f>
        <v/>
      </c>
      <c r="H546" s="10" t="str">
        <f aca="false">IF($B546="","",SUBSTITUTE(SUBSTITUTE(SUBSTITUTE($B546,"-","")," ",""),".",""))</f>
        <v/>
      </c>
      <c r="I546" s="10" t="str">
        <f aca="false">IF($D546="","",SUBSTITUTE(SUBSTITUTE(SUBSTITUTE($D546,"-","")," ",""),".",""))</f>
        <v/>
      </c>
      <c r="J546" s="10" t="str">
        <f aca="false">IF($E546="","",UPPER(SUBSTITUTE($E546," ","")))</f>
        <v/>
      </c>
      <c r="K546" s="10" t="str">
        <f aca="false">IF($A546="","",$G546&amp;"|"&amp;$J546)</f>
        <v/>
      </c>
      <c r="L546" s="10" t="str">
        <f aca="false">IF($A546="","",ROW()-2)</f>
        <v/>
      </c>
      <c r="M546" s="10" t="str">
        <f aca="false">IF($A546="","",ROW())</f>
        <v/>
      </c>
    </row>
    <row r="547" customFormat="false" ht="15" hidden="false" customHeight="true" outlineLevel="0" collapsed="false">
      <c r="A547" s="8"/>
      <c r="B547" s="8"/>
      <c r="C547" s="8"/>
      <c r="D547" s="8"/>
      <c r="E547" s="8"/>
      <c r="F547" s="8"/>
      <c r="G547" s="10" t="str">
        <f aca="false">IF($A547="","",UPPER(SUBSTITUTE(SUBSTITUTE(SUBSTITUTE(SUBSTITUTE($A547," ",""),"(주)",""),"주식회사",""),"㈜","")))</f>
        <v/>
      </c>
      <c r="H547" s="10" t="str">
        <f aca="false">IF($B547="","",SUBSTITUTE(SUBSTITUTE(SUBSTITUTE($B547,"-","")," ",""),".",""))</f>
        <v/>
      </c>
      <c r="I547" s="10" t="str">
        <f aca="false">IF($D547="","",SUBSTITUTE(SUBSTITUTE(SUBSTITUTE($D547,"-","")," ",""),".",""))</f>
        <v/>
      </c>
      <c r="J547" s="10" t="str">
        <f aca="false">IF($E547="","",UPPER(SUBSTITUTE($E547," ","")))</f>
        <v/>
      </c>
      <c r="K547" s="10" t="str">
        <f aca="false">IF($A547="","",$G547&amp;"|"&amp;$J547)</f>
        <v/>
      </c>
      <c r="L547" s="10" t="str">
        <f aca="false">IF($A547="","",ROW()-2)</f>
        <v/>
      </c>
      <c r="M547" s="10" t="str">
        <f aca="false">IF($A547="","",ROW())</f>
        <v/>
      </c>
    </row>
    <row r="548" customFormat="false" ht="15" hidden="false" customHeight="true" outlineLevel="0" collapsed="false">
      <c r="A548" s="8"/>
      <c r="B548" s="8"/>
      <c r="C548" s="8"/>
      <c r="D548" s="8"/>
      <c r="E548" s="8"/>
      <c r="F548" s="8"/>
      <c r="G548" s="10" t="str">
        <f aca="false">IF($A548="","",UPPER(SUBSTITUTE(SUBSTITUTE(SUBSTITUTE(SUBSTITUTE($A548," ",""),"(주)",""),"주식회사",""),"㈜","")))</f>
        <v/>
      </c>
      <c r="H548" s="10" t="str">
        <f aca="false">IF($B548="","",SUBSTITUTE(SUBSTITUTE(SUBSTITUTE($B548,"-","")," ",""),".",""))</f>
        <v/>
      </c>
      <c r="I548" s="10" t="str">
        <f aca="false">IF($D548="","",SUBSTITUTE(SUBSTITUTE(SUBSTITUTE($D548,"-","")," ",""),".",""))</f>
        <v/>
      </c>
      <c r="J548" s="10" t="str">
        <f aca="false">IF($E548="","",UPPER(SUBSTITUTE($E548," ","")))</f>
        <v/>
      </c>
      <c r="K548" s="10" t="str">
        <f aca="false">IF($A548="","",$G548&amp;"|"&amp;$J548)</f>
        <v/>
      </c>
      <c r="L548" s="10" t="str">
        <f aca="false">IF($A548="","",ROW()-2)</f>
        <v/>
      </c>
      <c r="M548" s="10" t="str">
        <f aca="false">IF($A548="","",ROW())</f>
        <v/>
      </c>
    </row>
    <row r="549" customFormat="false" ht="15" hidden="false" customHeight="true" outlineLevel="0" collapsed="false">
      <c r="A549" s="8"/>
      <c r="B549" s="8"/>
      <c r="C549" s="8"/>
      <c r="D549" s="8"/>
      <c r="E549" s="8"/>
      <c r="F549" s="8"/>
      <c r="G549" s="10" t="str">
        <f aca="false">IF($A549="","",UPPER(SUBSTITUTE(SUBSTITUTE(SUBSTITUTE(SUBSTITUTE($A549," ",""),"(주)",""),"주식회사",""),"㈜","")))</f>
        <v/>
      </c>
      <c r="H549" s="10" t="str">
        <f aca="false">IF($B549="","",SUBSTITUTE(SUBSTITUTE(SUBSTITUTE($B549,"-","")," ",""),".",""))</f>
        <v/>
      </c>
      <c r="I549" s="10" t="str">
        <f aca="false">IF($D549="","",SUBSTITUTE(SUBSTITUTE(SUBSTITUTE($D549,"-","")," ",""),".",""))</f>
        <v/>
      </c>
      <c r="J549" s="10" t="str">
        <f aca="false">IF($E549="","",UPPER(SUBSTITUTE($E549," ","")))</f>
        <v/>
      </c>
      <c r="K549" s="10" t="str">
        <f aca="false">IF($A549="","",$G549&amp;"|"&amp;$J549)</f>
        <v/>
      </c>
      <c r="L549" s="10" t="str">
        <f aca="false">IF($A549="","",ROW()-2)</f>
        <v/>
      </c>
      <c r="M549" s="10" t="str">
        <f aca="false">IF($A549="","",ROW())</f>
        <v/>
      </c>
    </row>
    <row r="550" customFormat="false" ht="15" hidden="false" customHeight="true" outlineLevel="0" collapsed="false">
      <c r="A550" s="8"/>
      <c r="B550" s="8"/>
      <c r="C550" s="8"/>
      <c r="D550" s="8"/>
      <c r="E550" s="8"/>
      <c r="F550" s="8"/>
      <c r="G550" s="10" t="str">
        <f aca="false">IF($A550="","",UPPER(SUBSTITUTE(SUBSTITUTE(SUBSTITUTE(SUBSTITUTE($A550," ",""),"(주)",""),"주식회사",""),"㈜","")))</f>
        <v/>
      </c>
      <c r="H550" s="10" t="str">
        <f aca="false">IF($B550="","",SUBSTITUTE(SUBSTITUTE(SUBSTITUTE($B550,"-","")," ",""),".",""))</f>
        <v/>
      </c>
      <c r="I550" s="10" t="str">
        <f aca="false">IF($D550="","",SUBSTITUTE(SUBSTITUTE(SUBSTITUTE($D550,"-","")," ",""),".",""))</f>
        <v/>
      </c>
      <c r="J550" s="10" t="str">
        <f aca="false">IF($E550="","",UPPER(SUBSTITUTE($E550," ","")))</f>
        <v/>
      </c>
      <c r="K550" s="10" t="str">
        <f aca="false">IF($A550="","",$G550&amp;"|"&amp;$J550)</f>
        <v/>
      </c>
      <c r="L550" s="10" t="str">
        <f aca="false">IF($A550="","",ROW()-2)</f>
        <v/>
      </c>
      <c r="M550" s="10" t="str">
        <f aca="false">IF($A550="","",ROW())</f>
        <v/>
      </c>
    </row>
    <row r="551" customFormat="false" ht="15" hidden="false" customHeight="true" outlineLevel="0" collapsed="false">
      <c r="A551" s="8"/>
      <c r="B551" s="8"/>
      <c r="C551" s="8"/>
      <c r="D551" s="8"/>
      <c r="E551" s="8"/>
      <c r="F551" s="8"/>
      <c r="G551" s="10" t="str">
        <f aca="false">IF($A551="","",UPPER(SUBSTITUTE(SUBSTITUTE(SUBSTITUTE(SUBSTITUTE($A551," ",""),"(주)",""),"주식회사",""),"㈜","")))</f>
        <v/>
      </c>
      <c r="H551" s="10" t="str">
        <f aca="false">IF($B551="","",SUBSTITUTE(SUBSTITUTE(SUBSTITUTE($B551,"-","")," ",""),".",""))</f>
        <v/>
      </c>
      <c r="I551" s="10" t="str">
        <f aca="false">IF($D551="","",SUBSTITUTE(SUBSTITUTE(SUBSTITUTE($D551,"-","")," ",""),".",""))</f>
        <v/>
      </c>
      <c r="J551" s="10" t="str">
        <f aca="false">IF($E551="","",UPPER(SUBSTITUTE($E551," ","")))</f>
        <v/>
      </c>
      <c r="K551" s="10" t="str">
        <f aca="false">IF($A551="","",$G551&amp;"|"&amp;$J551)</f>
        <v/>
      </c>
      <c r="L551" s="10" t="str">
        <f aca="false">IF($A551="","",ROW()-2)</f>
        <v/>
      </c>
      <c r="M551" s="10" t="str">
        <f aca="false">IF($A551="","",ROW())</f>
        <v/>
      </c>
    </row>
    <row r="552" customFormat="false" ht="15" hidden="false" customHeight="true" outlineLevel="0" collapsed="false">
      <c r="A552" s="8"/>
      <c r="B552" s="8"/>
      <c r="C552" s="8"/>
      <c r="D552" s="8"/>
      <c r="E552" s="8"/>
      <c r="F552" s="8"/>
      <c r="G552" s="10" t="str">
        <f aca="false">IF($A552="","",UPPER(SUBSTITUTE(SUBSTITUTE(SUBSTITUTE(SUBSTITUTE($A552," ",""),"(주)",""),"주식회사",""),"㈜","")))</f>
        <v/>
      </c>
      <c r="H552" s="10" t="str">
        <f aca="false">IF($B552="","",SUBSTITUTE(SUBSTITUTE(SUBSTITUTE($B552,"-","")," ",""),".",""))</f>
        <v/>
      </c>
      <c r="I552" s="10" t="str">
        <f aca="false">IF($D552="","",SUBSTITUTE(SUBSTITUTE(SUBSTITUTE($D552,"-","")," ",""),".",""))</f>
        <v/>
      </c>
      <c r="J552" s="10" t="str">
        <f aca="false">IF($E552="","",UPPER(SUBSTITUTE($E552," ","")))</f>
        <v/>
      </c>
      <c r="K552" s="10" t="str">
        <f aca="false">IF($A552="","",$G552&amp;"|"&amp;$J552)</f>
        <v/>
      </c>
      <c r="L552" s="10" t="str">
        <f aca="false">IF($A552="","",ROW()-2)</f>
        <v/>
      </c>
      <c r="M552" s="10" t="str">
        <f aca="false">IF($A552="","",ROW())</f>
        <v/>
      </c>
    </row>
    <row r="553" customFormat="false" ht="15" hidden="false" customHeight="true" outlineLevel="0" collapsed="false">
      <c r="A553" s="8"/>
      <c r="B553" s="8"/>
      <c r="C553" s="8"/>
      <c r="D553" s="8"/>
      <c r="E553" s="8"/>
      <c r="F553" s="8"/>
      <c r="G553" s="10" t="str">
        <f aca="false">IF($A553="","",UPPER(SUBSTITUTE(SUBSTITUTE(SUBSTITUTE(SUBSTITUTE($A553," ",""),"(주)",""),"주식회사",""),"㈜","")))</f>
        <v/>
      </c>
      <c r="H553" s="10" t="str">
        <f aca="false">IF($B553="","",SUBSTITUTE(SUBSTITUTE(SUBSTITUTE($B553,"-","")," ",""),".",""))</f>
        <v/>
      </c>
      <c r="I553" s="10" t="str">
        <f aca="false">IF($D553="","",SUBSTITUTE(SUBSTITUTE(SUBSTITUTE($D553,"-","")," ",""),".",""))</f>
        <v/>
      </c>
      <c r="J553" s="10" t="str">
        <f aca="false">IF($E553="","",UPPER(SUBSTITUTE($E553," ","")))</f>
        <v/>
      </c>
      <c r="K553" s="10" t="str">
        <f aca="false">IF($A553="","",$G553&amp;"|"&amp;$J553)</f>
        <v/>
      </c>
      <c r="L553" s="10" t="str">
        <f aca="false">IF($A553="","",ROW()-2)</f>
        <v/>
      </c>
      <c r="M553" s="10" t="str">
        <f aca="false">IF($A553="","",ROW())</f>
        <v/>
      </c>
    </row>
    <row r="554" customFormat="false" ht="15" hidden="false" customHeight="true" outlineLevel="0" collapsed="false">
      <c r="A554" s="8"/>
      <c r="B554" s="8"/>
      <c r="C554" s="8"/>
      <c r="D554" s="8"/>
      <c r="E554" s="8"/>
      <c r="F554" s="8"/>
      <c r="G554" s="10" t="str">
        <f aca="false">IF($A554="","",UPPER(SUBSTITUTE(SUBSTITUTE(SUBSTITUTE(SUBSTITUTE($A554," ",""),"(주)",""),"주식회사",""),"㈜","")))</f>
        <v/>
      </c>
      <c r="H554" s="10" t="str">
        <f aca="false">IF($B554="","",SUBSTITUTE(SUBSTITUTE(SUBSTITUTE($B554,"-","")," ",""),".",""))</f>
        <v/>
      </c>
      <c r="I554" s="10" t="str">
        <f aca="false">IF($D554="","",SUBSTITUTE(SUBSTITUTE(SUBSTITUTE($D554,"-","")," ",""),".",""))</f>
        <v/>
      </c>
      <c r="J554" s="10" t="str">
        <f aca="false">IF($E554="","",UPPER(SUBSTITUTE($E554," ","")))</f>
        <v/>
      </c>
      <c r="K554" s="10" t="str">
        <f aca="false">IF($A554="","",$G554&amp;"|"&amp;$J554)</f>
        <v/>
      </c>
      <c r="L554" s="10" t="str">
        <f aca="false">IF($A554="","",ROW()-2)</f>
        <v/>
      </c>
      <c r="M554" s="10" t="str">
        <f aca="false">IF($A554="","",ROW())</f>
        <v/>
      </c>
    </row>
    <row r="555" customFormat="false" ht="15" hidden="false" customHeight="true" outlineLevel="0" collapsed="false">
      <c r="A555" s="8"/>
      <c r="B555" s="8"/>
      <c r="C555" s="8"/>
      <c r="D555" s="8"/>
      <c r="E555" s="8"/>
      <c r="F555" s="8"/>
      <c r="G555" s="10" t="str">
        <f aca="false">IF($A555="","",UPPER(SUBSTITUTE(SUBSTITUTE(SUBSTITUTE(SUBSTITUTE($A555," ",""),"(주)",""),"주식회사",""),"㈜","")))</f>
        <v/>
      </c>
      <c r="H555" s="10" t="str">
        <f aca="false">IF($B555="","",SUBSTITUTE(SUBSTITUTE(SUBSTITUTE($B555,"-","")," ",""),".",""))</f>
        <v/>
      </c>
      <c r="I555" s="10" t="str">
        <f aca="false">IF($D555="","",SUBSTITUTE(SUBSTITUTE(SUBSTITUTE($D555,"-","")," ",""),".",""))</f>
        <v/>
      </c>
      <c r="J555" s="10" t="str">
        <f aca="false">IF($E555="","",UPPER(SUBSTITUTE($E555," ","")))</f>
        <v/>
      </c>
      <c r="K555" s="10" t="str">
        <f aca="false">IF($A555="","",$G555&amp;"|"&amp;$J555)</f>
        <v/>
      </c>
      <c r="L555" s="10" t="str">
        <f aca="false">IF($A555="","",ROW()-2)</f>
        <v/>
      </c>
      <c r="M555" s="10" t="str">
        <f aca="false">IF($A555="","",ROW())</f>
        <v/>
      </c>
    </row>
    <row r="556" customFormat="false" ht="15" hidden="false" customHeight="true" outlineLevel="0" collapsed="false">
      <c r="A556" s="8"/>
      <c r="B556" s="8"/>
      <c r="C556" s="8"/>
      <c r="D556" s="8"/>
      <c r="E556" s="8"/>
      <c r="F556" s="8"/>
      <c r="G556" s="10" t="str">
        <f aca="false">IF($A556="","",UPPER(SUBSTITUTE(SUBSTITUTE(SUBSTITUTE(SUBSTITUTE($A556," ",""),"(주)",""),"주식회사",""),"㈜","")))</f>
        <v/>
      </c>
      <c r="H556" s="10" t="str">
        <f aca="false">IF($B556="","",SUBSTITUTE(SUBSTITUTE(SUBSTITUTE($B556,"-","")," ",""),".",""))</f>
        <v/>
      </c>
      <c r="I556" s="10" t="str">
        <f aca="false">IF($D556="","",SUBSTITUTE(SUBSTITUTE(SUBSTITUTE($D556,"-","")," ",""),".",""))</f>
        <v/>
      </c>
      <c r="J556" s="10" t="str">
        <f aca="false">IF($E556="","",UPPER(SUBSTITUTE($E556," ","")))</f>
        <v/>
      </c>
      <c r="K556" s="10" t="str">
        <f aca="false">IF($A556="","",$G556&amp;"|"&amp;$J556)</f>
        <v/>
      </c>
      <c r="L556" s="10" t="str">
        <f aca="false">IF($A556="","",ROW()-2)</f>
        <v/>
      </c>
      <c r="M556" s="10" t="str">
        <f aca="false">IF($A556="","",ROW())</f>
        <v/>
      </c>
    </row>
    <row r="557" customFormat="false" ht="15" hidden="false" customHeight="true" outlineLevel="0" collapsed="false">
      <c r="A557" s="8"/>
      <c r="B557" s="8"/>
      <c r="C557" s="8"/>
      <c r="D557" s="8"/>
      <c r="E557" s="8"/>
      <c r="F557" s="8"/>
      <c r="G557" s="10" t="str">
        <f aca="false">IF($A557="","",UPPER(SUBSTITUTE(SUBSTITUTE(SUBSTITUTE(SUBSTITUTE($A557," ",""),"(주)",""),"주식회사",""),"㈜","")))</f>
        <v/>
      </c>
      <c r="H557" s="10" t="str">
        <f aca="false">IF($B557="","",SUBSTITUTE(SUBSTITUTE(SUBSTITUTE($B557,"-","")," ",""),".",""))</f>
        <v/>
      </c>
      <c r="I557" s="10" t="str">
        <f aca="false">IF($D557="","",SUBSTITUTE(SUBSTITUTE(SUBSTITUTE($D557,"-","")," ",""),".",""))</f>
        <v/>
      </c>
      <c r="J557" s="10" t="str">
        <f aca="false">IF($E557="","",UPPER(SUBSTITUTE($E557," ","")))</f>
        <v/>
      </c>
      <c r="K557" s="10" t="str">
        <f aca="false">IF($A557="","",$G557&amp;"|"&amp;$J557)</f>
        <v/>
      </c>
      <c r="L557" s="10" t="str">
        <f aca="false">IF($A557="","",ROW()-2)</f>
        <v/>
      </c>
      <c r="M557" s="10" t="str">
        <f aca="false">IF($A557="","",ROW())</f>
        <v/>
      </c>
    </row>
    <row r="558" customFormat="false" ht="15" hidden="false" customHeight="true" outlineLevel="0" collapsed="false">
      <c r="A558" s="8"/>
      <c r="B558" s="8"/>
      <c r="C558" s="8"/>
      <c r="D558" s="8"/>
      <c r="E558" s="8"/>
      <c r="F558" s="8"/>
      <c r="G558" s="10" t="str">
        <f aca="false">IF($A558="","",UPPER(SUBSTITUTE(SUBSTITUTE(SUBSTITUTE(SUBSTITUTE($A558," ",""),"(주)",""),"주식회사",""),"㈜","")))</f>
        <v/>
      </c>
      <c r="H558" s="10" t="str">
        <f aca="false">IF($B558="","",SUBSTITUTE(SUBSTITUTE(SUBSTITUTE($B558,"-","")," ",""),".",""))</f>
        <v/>
      </c>
      <c r="I558" s="10" t="str">
        <f aca="false">IF($D558="","",SUBSTITUTE(SUBSTITUTE(SUBSTITUTE($D558,"-","")," ",""),".",""))</f>
        <v/>
      </c>
      <c r="J558" s="10" t="str">
        <f aca="false">IF($E558="","",UPPER(SUBSTITUTE($E558," ","")))</f>
        <v/>
      </c>
      <c r="K558" s="10" t="str">
        <f aca="false">IF($A558="","",$G558&amp;"|"&amp;$J558)</f>
        <v/>
      </c>
      <c r="L558" s="10" t="str">
        <f aca="false">IF($A558="","",ROW()-2)</f>
        <v/>
      </c>
      <c r="M558" s="10" t="str">
        <f aca="false">IF($A558="","",ROW())</f>
        <v/>
      </c>
    </row>
    <row r="559" customFormat="false" ht="15" hidden="false" customHeight="true" outlineLevel="0" collapsed="false">
      <c r="A559" s="8"/>
      <c r="B559" s="8"/>
      <c r="C559" s="8"/>
      <c r="D559" s="8"/>
      <c r="E559" s="8"/>
      <c r="F559" s="8"/>
      <c r="G559" s="10" t="str">
        <f aca="false">IF($A559="","",UPPER(SUBSTITUTE(SUBSTITUTE(SUBSTITUTE(SUBSTITUTE($A559," ",""),"(주)",""),"주식회사",""),"㈜","")))</f>
        <v/>
      </c>
      <c r="H559" s="10" t="str">
        <f aca="false">IF($B559="","",SUBSTITUTE(SUBSTITUTE(SUBSTITUTE($B559,"-","")," ",""),".",""))</f>
        <v/>
      </c>
      <c r="I559" s="10" t="str">
        <f aca="false">IF($D559="","",SUBSTITUTE(SUBSTITUTE(SUBSTITUTE($D559,"-","")," ",""),".",""))</f>
        <v/>
      </c>
      <c r="J559" s="10" t="str">
        <f aca="false">IF($E559="","",UPPER(SUBSTITUTE($E559," ","")))</f>
        <v/>
      </c>
      <c r="K559" s="10" t="str">
        <f aca="false">IF($A559="","",$G559&amp;"|"&amp;$J559)</f>
        <v/>
      </c>
      <c r="L559" s="10" t="str">
        <f aca="false">IF($A559="","",ROW()-2)</f>
        <v/>
      </c>
      <c r="M559" s="10" t="str">
        <f aca="false">IF($A559="","",ROW())</f>
        <v/>
      </c>
    </row>
    <row r="560" customFormat="false" ht="15" hidden="false" customHeight="true" outlineLevel="0" collapsed="false">
      <c r="A560" s="8"/>
      <c r="B560" s="8"/>
      <c r="C560" s="8"/>
      <c r="D560" s="8"/>
      <c r="E560" s="8"/>
      <c r="F560" s="8"/>
      <c r="G560" s="10" t="str">
        <f aca="false">IF($A560="","",UPPER(SUBSTITUTE(SUBSTITUTE(SUBSTITUTE(SUBSTITUTE($A560," ",""),"(주)",""),"주식회사",""),"㈜","")))</f>
        <v/>
      </c>
      <c r="H560" s="10" t="str">
        <f aca="false">IF($B560="","",SUBSTITUTE(SUBSTITUTE(SUBSTITUTE($B560,"-","")," ",""),".",""))</f>
        <v/>
      </c>
      <c r="I560" s="10" t="str">
        <f aca="false">IF($D560="","",SUBSTITUTE(SUBSTITUTE(SUBSTITUTE($D560,"-","")," ",""),".",""))</f>
        <v/>
      </c>
      <c r="J560" s="10" t="str">
        <f aca="false">IF($E560="","",UPPER(SUBSTITUTE($E560," ","")))</f>
        <v/>
      </c>
      <c r="K560" s="10" t="str">
        <f aca="false">IF($A560="","",$G560&amp;"|"&amp;$J560)</f>
        <v/>
      </c>
      <c r="L560" s="10" t="str">
        <f aca="false">IF($A560="","",ROW()-2)</f>
        <v/>
      </c>
      <c r="M560" s="10" t="str">
        <f aca="false">IF($A560="","",ROW())</f>
        <v/>
      </c>
    </row>
    <row r="561" customFormat="false" ht="15" hidden="false" customHeight="true" outlineLevel="0" collapsed="false">
      <c r="A561" s="8"/>
      <c r="B561" s="8"/>
      <c r="C561" s="8"/>
      <c r="D561" s="8"/>
      <c r="E561" s="8"/>
      <c r="F561" s="8"/>
      <c r="G561" s="10" t="str">
        <f aca="false">IF($A561="","",UPPER(SUBSTITUTE(SUBSTITUTE(SUBSTITUTE(SUBSTITUTE($A561," ",""),"(주)",""),"주식회사",""),"㈜","")))</f>
        <v/>
      </c>
      <c r="H561" s="10" t="str">
        <f aca="false">IF($B561="","",SUBSTITUTE(SUBSTITUTE(SUBSTITUTE($B561,"-","")," ",""),".",""))</f>
        <v/>
      </c>
      <c r="I561" s="10" t="str">
        <f aca="false">IF($D561="","",SUBSTITUTE(SUBSTITUTE(SUBSTITUTE($D561,"-","")," ",""),".",""))</f>
        <v/>
      </c>
      <c r="J561" s="10" t="str">
        <f aca="false">IF($E561="","",UPPER(SUBSTITUTE($E561," ","")))</f>
        <v/>
      </c>
      <c r="K561" s="10" t="str">
        <f aca="false">IF($A561="","",$G561&amp;"|"&amp;$J561)</f>
        <v/>
      </c>
      <c r="L561" s="10" t="str">
        <f aca="false">IF($A561="","",ROW()-2)</f>
        <v/>
      </c>
      <c r="M561" s="10" t="str">
        <f aca="false">IF($A561="","",ROW())</f>
        <v/>
      </c>
    </row>
    <row r="562" customFormat="false" ht="15" hidden="false" customHeight="true" outlineLevel="0" collapsed="false">
      <c r="A562" s="8"/>
      <c r="B562" s="8"/>
      <c r="C562" s="8"/>
      <c r="D562" s="8"/>
      <c r="E562" s="8"/>
      <c r="F562" s="8"/>
      <c r="G562" s="10" t="str">
        <f aca="false">IF($A562="","",UPPER(SUBSTITUTE(SUBSTITUTE(SUBSTITUTE(SUBSTITUTE($A562," ",""),"(주)",""),"주식회사",""),"㈜","")))</f>
        <v/>
      </c>
      <c r="H562" s="10" t="str">
        <f aca="false">IF($B562="","",SUBSTITUTE(SUBSTITUTE(SUBSTITUTE($B562,"-","")," ",""),".",""))</f>
        <v/>
      </c>
      <c r="I562" s="10" t="str">
        <f aca="false">IF($D562="","",SUBSTITUTE(SUBSTITUTE(SUBSTITUTE($D562,"-","")," ",""),".",""))</f>
        <v/>
      </c>
      <c r="J562" s="10" t="str">
        <f aca="false">IF($E562="","",UPPER(SUBSTITUTE($E562," ","")))</f>
        <v/>
      </c>
      <c r="K562" s="10" t="str">
        <f aca="false">IF($A562="","",$G562&amp;"|"&amp;$J562)</f>
        <v/>
      </c>
      <c r="L562" s="10" t="str">
        <f aca="false">IF($A562="","",ROW()-2)</f>
        <v/>
      </c>
      <c r="M562" s="10" t="str">
        <f aca="false">IF($A562="","",ROW())</f>
        <v/>
      </c>
    </row>
    <row r="563" customFormat="false" ht="15" hidden="false" customHeight="true" outlineLevel="0" collapsed="false">
      <c r="A563" s="8"/>
      <c r="B563" s="8"/>
      <c r="C563" s="8"/>
      <c r="D563" s="8"/>
      <c r="E563" s="8"/>
      <c r="F563" s="8"/>
      <c r="G563" s="10" t="str">
        <f aca="false">IF($A563="","",UPPER(SUBSTITUTE(SUBSTITUTE(SUBSTITUTE(SUBSTITUTE($A563," ",""),"(주)",""),"주식회사",""),"㈜","")))</f>
        <v/>
      </c>
      <c r="H563" s="10" t="str">
        <f aca="false">IF($B563="","",SUBSTITUTE(SUBSTITUTE(SUBSTITUTE($B563,"-","")," ",""),".",""))</f>
        <v/>
      </c>
      <c r="I563" s="10" t="str">
        <f aca="false">IF($D563="","",SUBSTITUTE(SUBSTITUTE(SUBSTITUTE($D563,"-","")," ",""),".",""))</f>
        <v/>
      </c>
      <c r="J563" s="10" t="str">
        <f aca="false">IF($E563="","",UPPER(SUBSTITUTE($E563," ","")))</f>
        <v/>
      </c>
      <c r="K563" s="10" t="str">
        <f aca="false">IF($A563="","",$G563&amp;"|"&amp;$J563)</f>
        <v/>
      </c>
      <c r="L563" s="10" t="str">
        <f aca="false">IF($A563="","",ROW()-2)</f>
        <v/>
      </c>
      <c r="M563" s="10" t="str">
        <f aca="false">IF($A563="","",ROW())</f>
        <v/>
      </c>
    </row>
    <row r="564" customFormat="false" ht="15" hidden="false" customHeight="true" outlineLevel="0" collapsed="false">
      <c r="A564" s="8"/>
      <c r="B564" s="8"/>
      <c r="C564" s="8"/>
      <c r="D564" s="8"/>
      <c r="E564" s="8"/>
      <c r="F564" s="8"/>
      <c r="G564" s="10" t="str">
        <f aca="false">IF($A564="","",UPPER(SUBSTITUTE(SUBSTITUTE(SUBSTITUTE(SUBSTITUTE($A564," ",""),"(주)",""),"주식회사",""),"㈜","")))</f>
        <v/>
      </c>
      <c r="H564" s="10" t="str">
        <f aca="false">IF($B564="","",SUBSTITUTE(SUBSTITUTE(SUBSTITUTE($B564,"-","")," ",""),".",""))</f>
        <v/>
      </c>
      <c r="I564" s="10" t="str">
        <f aca="false">IF($D564="","",SUBSTITUTE(SUBSTITUTE(SUBSTITUTE($D564,"-","")," ",""),".",""))</f>
        <v/>
      </c>
      <c r="J564" s="10" t="str">
        <f aca="false">IF($E564="","",UPPER(SUBSTITUTE($E564," ","")))</f>
        <v/>
      </c>
      <c r="K564" s="10" t="str">
        <f aca="false">IF($A564="","",$G564&amp;"|"&amp;$J564)</f>
        <v/>
      </c>
      <c r="L564" s="10" t="str">
        <f aca="false">IF($A564="","",ROW()-2)</f>
        <v/>
      </c>
      <c r="M564" s="10" t="str">
        <f aca="false">IF($A564="","",ROW())</f>
        <v/>
      </c>
    </row>
    <row r="565" customFormat="false" ht="15" hidden="false" customHeight="true" outlineLevel="0" collapsed="false">
      <c r="A565" s="8"/>
      <c r="B565" s="8"/>
      <c r="C565" s="8"/>
      <c r="D565" s="8"/>
      <c r="E565" s="8"/>
      <c r="F565" s="8"/>
      <c r="G565" s="10" t="str">
        <f aca="false">IF($A565="","",UPPER(SUBSTITUTE(SUBSTITUTE(SUBSTITUTE(SUBSTITUTE($A565," ",""),"(주)",""),"주식회사",""),"㈜","")))</f>
        <v/>
      </c>
      <c r="H565" s="10" t="str">
        <f aca="false">IF($B565="","",SUBSTITUTE(SUBSTITUTE(SUBSTITUTE($B565,"-","")," ",""),".",""))</f>
        <v/>
      </c>
      <c r="I565" s="10" t="str">
        <f aca="false">IF($D565="","",SUBSTITUTE(SUBSTITUTE(SUBSTITUTE($D565,"-","")," ",""),".",""))</f>
        <v/>
      </c>
      <c r="J565" s="10" t="str">
        <f aca="false">IF($E565="","",UPPER(SUBSTITUTE($E565," ","")))</f>
        <v/>
      </c>
      <c r="K565" s="10" t="str">
        <f aca="false">IF($A565="","",$G565&amp;"|"&amp;$J565)</f>
        <v/>
      </c>
      <c r="L565" s="10" t="str">
        <f aca="false">IF($A565="","",ROW()-2)</f>
        <v/>
      </c>
      <c r="M565" s="10" t="str">
        <f aca="false">IF($A565="","",ROW())</f>
        <v/>
      </c>
    </row>
    <row r="566" customFormat="false" ht="15" hidden="false" customHeight="true" outlineLevel="0" collapsed="false">
      <c r="A566" s="8"/>
      <c r="B566" s="8"/>
      <c r="C566" s="8"/>
      <c r="D566" s="8"/>
      <c r="E566" s="8"/>
      <c r="F566" s="8"/>
      <c r="G566" s="10" t="str">
        <f aca="false">IF($A566="","",UPPER(SUBSTITUTE(SUBSTITUTE(SUBSTITUTE(SUBSTITUTE($A566," ",""),"(주)",""),"주식회사",""),"㈜","")))</f>
        <v/>
      </c>
      <c r="H566" s="10" t="str">
        <f aca="false">IF($B566="","",SUBSTITUTE(SUBSTITUTE(SUBSTITUTE($B566,"-","")," ",""),".",""))</f>
        <v/>
      </c>
      <c r="I566" s="10" t="str">
        <f aca="false">IF($D566="","",SUBSTITUTE(SUBSTITUTE(SUBSTITUTE($D566,"-","")," ",""),".",""))</f>
        <v/>
      </c>
      <c r="J566" s="10" t="str">
        <f aca="false">IF($E566="","",UPPER(SUBSTITUTE($E566," ","")))</f>
        <v/>
      </c>
      <c r="K566" s="10" t="str">
        <f aca="false">IF($A566="","",$G566&amp;"|"&amp;$J566)</f>
        <v/>
      </c>
      <c r="L566" s="10" t="str">
        <f aca="false">IF($A566="","",ROW()-2)</f>
        <v/>
      </c>
      <c r="M566" s="10" t="str">
        <f aca="false">IF($A566="","",ROW())</f>
        <v/>
      </c>
    </row>
    <row r="567" customFormat="false" ht="15" hidden="false" customHeight="true" outlineLevel="0" collapsed="false">
      <c r="A567" s="8"/>
      <c r="B567" s="8"/>
      <c r="C567" s="8"/>
      <c r="D567" s="8"/>
      <c r="E567" s="8"/>
      <c r="F567" s="8"/>
      <c r="G567" s="10" t="str">
        <f aca="false">IF($A567="","",UPPER(SUBSTITUTE(SUBSTITUTE(SUBSTITUTE(SUBSTITUTE($A567," ",""),"(주)",""),"주식회사",""),"㈜","")))</f>
        <v/>
      </c>
      <c r="H567" s="10" t="str">
        <f aca="false">IF($B567="","",SUBSTITUTE(SUBSTITUTE(SUBSTITUTE($B567,"-","")," ",""),".",""))</f>
        <v/>
      </c>
      <c r="I567" s="10" t="str">
        <f aca="false">IF($D567="","",SUBSTITUTE(SUBSTITUTE(SUBSTITUTE($D567,"-","")," ",""),".",""))</f>
        <v/>
      </c>
      <c r="J567" s="10" t="str">
        <f aca="false">IF($E567="","",UPPER(SUBSTITUTE($E567," ","")))</f>
        <v/>
      </c>
      <c r="K567" s="10" t="str">
        <f aca="false">IF($A567="","",$G567&amp;"|"&amp;$J567)</f>
        <v/>
      </c>
      <c r="L567" s="10" t="str">
        <f aca="false">IF($A567="","",ROW()-2)</f>
        <v/>
      </c>
      <c r="M567" s="10" t="str">
        <f aca="false">IF($A567="","",ROW())</f>
        <v/>
      </c>
    </row>
    <row r="568" customFormat="false" ht="15" hidden="false" customHeight="true" outlineLevel="0" collapsed="false">
      <c r="A568" s="8"/>
      <c r="B568" s="8"/>
      <c r="C568" s="8"/>
      <c r="D568" s="8"/>
      <c r="E568" s="8"/>
      <c r="F568" s="8"/>
      <c r="G568" s="10" t="str">
        <f aca="false">IF($A568="","",UPPER(SUBSTITUTE(SUBSTITUTE(SUBSTITUTE(SUBSTITUTE($A568," ",""),"(주)",""),"주식회사",""),"㈜","")))</f>
        <v/>
      </c>
      <c r="H568" s="10" t="str">
        <f aca="false">IF($B568="","",SUBSTITUTE(SUBSTITUTE(SUBSTITUTE($B568,"-","")," ",""),".",""))</f>
        <v/>
      </c>
      <c r="I568" s="10" t="str">
        <f aca="false">IF($D568="","",SUBSTITUTE(SUBSTITUTE(SUBSTITUTE($D568,"-","")," ",""),".",""))</f>
        <v/>
      </c>
      <c r="J568" s="10" t="str">
        <f aca="false">IF($E568="","",UPPER(SUBSTITUTE($E568," ","")))</f>
        <v/>
      </c>
      <c r="K568" s="10" t="str">
        <f aca="false">IF($A568="","",$G568&amp;"|"&amp;$J568)</f>
        <v/>
      </c>
      <c r="L568" s="10" t="str">
        <f aca="false">IF($A568="","",ROW()-2)</f>
        <v/>
      </c>
      <c r="M568" s="10" t="str">
        <f aca="false">IF($A568="","",ROW())</f>
        <v/>
      </c>
    </row>
    <row r="569" customFormat="false" ht="15" hidden="false" customHeight="true" outlineLevel="0" collapsed="false">
      <c r="A569" s="8"/>
      <c r="B569" s="8"/>
      <c r="C569" s="8"/>
      <c r="D569" s="8"/>
      <c r="E569" s="8"/>
      <c r="F569" s="8"/>
      <c r="G569" s="10" t="str">
        <f aca="false">IF($A569="","",UPPER(SUBSTITUTE(SUBSTITUTE(SUBSTITUTE(SUBSTITUTE($A569," ",""),"(주)",""),"주식회사",""),"㈜","")))</f>
        <v/>
      </c>
      <c r="H569" s="10" t="str">
        <f aca="false">IF($B569="","",SUBSTITUTE(SUBSTITUTE(SUBSTITUTE($B569,"-","")," ",""),".",""))</f>
        <v/>
      </c>
      <c r="I569" s="10" t="str">
        <f aca="false">IF($D569="","",SUBSTITUTE(SUBSTITUTE(SUBSTITUTE($D569,"-","")," ",""),".",""))</f>
        <v/>
      </c>
      <c r="J569" s="10" t="str">
        <f aca="false">IF($E569="","",UPPER(SUBSTITUTE($E569," ","")))</f>
        <v/>
      </c>
      <c r="K569" s="10" t="str">
        <f aca="false">IF($A569="","",$G569&amp;"|"&amp;$J569)</f>
        <v/>
      </c>
      <c r="L569" s="10" t="str">
        <f aca="false">IF($A569="","",ROW()-2)</f>
        <v/>
      </c>
      <c r="M569" s="10" t="str">
        <f aca="false">IF($A569="","",ROW())</f>
        <v/>
      </c>
    </row>
    <row r="570" customFormat="false" ht="15" hidden="false" customHeight="true" outlineLevel="0" collapsed="false">
      <c r="A570" s="8"/>
      <c r="B570" s="8"/>
      <c r="C570" s="8"/>
      <c r="D570" s="8"/>
      <c r="E570" s="8"/>
      <c r="F570" s="8"/>
      <c r="G570" s="10" t="str">
        <f aca="false">IF($A570="","",UPPER(SUBSTITUTE(SUBSTITUTE(SUBSTITUTE(SUBSTITUTE($A570," ",""),"(주)",""),"주식회사",""),"㈜","")))</f>
        <v/>
      </c>
      <c r="H570" s="10" t="str">
        <f aca="false">IF($B570="","",SUBSTITUTE(SUBSTITUTE(SUBSTITUTE($B570,"-","")," ",""),".",""))</f>
        <v/>
      </c>
      <c r="I570" s="10" t="str">
        <f aca="false">IF($D570="","",SUBSTITUTE(SUBSTITUTE(SUBSTITUTE($D570,"-","")," ",""),".",""))</f>
        <v/>
      </c>
      <c r="J570" s="10" t="str">
        <f aca="false">IF($E570="","",UPPER(SUBSTITUTE($E570," ","")))</f>
        <v/>
      </c>
      <c r="K570" s="10" t="str">
        <f aca="false">IF($A570="","",$G570&amp;"|"&amp;$J570)</f>
        <v/>
      </c>
      <c r="L570" s="10" t="str">
        <f aca="false">IF($A570="","",ROW()-2)</f>
        <v/>
      </c>
      <c r="M570" s="10" t="str">
        <f aca="false">IF($A570="","",ROW())</f>
        <v/>
      </c>
    </row>
    <row r="571" customFormat="false" ht="15" hidden="false" customHeight="true" outlineLevel="0" collapsed="false">
      <c r="A571" s="8"/>
      <c r="B571" s="8"/>
      <c r="C571" s="8"/>
      <c r="D571" s="8"/>
      <c r="E571" s="8"/>
      <c r="F571" s="8"/>
      <c r="G571" s="10" t="str">
        <f aca="false">IF($A571="","",UPPER(SUBSTITUTE(SUBSTITUTE(SUBSTITUTE(SUBSTITUTE($A571," ",""),"(주)",""),"주식회사",""),"㈜","")))</f>
        <v/>
      </c>
      <c r="H571" s="10" t="str">
        <f aca="false">IF($B571="","",SUBSTITUTE(SUBSTITUTE(SUBSTITUTE($B571,"-","")," ",""),".",""))</f>
        <v/>
      </c>
      <c r="I571" s="10" t="str">
        <f aca="false">IF($D571="","",SUBSTITUTE(SUBSTITUTE(SUBSTITUTE($D571,"-","")," ",""),".",""))</f>
        <v/>
      </c>
      <c r="J571" s="10" t="str">
        <f aca="false">IF($E571="","",UPPER(SUBSTITUTE($E571," ","")))</f>
        <v/>
      </c>
      <c r="K571" s="10" t="str">
        <f aca="false">IF($A571="","",$G571&amp;"|"&amp;$J571)</f>
        <v/>
      </c>
      <c r="L571" s="10" t="str">
        <f aca="false">IF($A571="","",ROW()-2)</f>
        <v/>
      </c>
      <c r="M571" s="10" t="str">
        <f aca="false">IF($A571="","",ROW())</f>
        <v/>
      </c>
    </row>
    <row r="572" customFormat="false" ht="15" hidden="false" customHeight="true" outlineLevel="0" collapsed="false">
      <c r="A572" s="8"/>
      <c r="B572" s="8"/>
      <c r="C572" s="8"/>
      <c r="D572" s="8"/>
      <c r="E572" s="8"/>
      <c r="F572" s="8"/>
      <c r="G572" s="10" t="str">
        <f aca="false">IF($A572="","",UPPER(SUBSTITUTE(SUBSTITUTE(SUBSTITUTE(SUBSTITUTE($A572," ",""),"(주)",""),"주식회사",""),"㈜","")))</f>
        <v/>
      </c>
      <c r="H572" s="10" t="str">
        <f aca="false">IF($B572="","",SUBSTITUTE(SUBSTITUTE(SUBSTITUTE($B572,"-","")," ",""),".",""))</f>
        <v/>
      </c>
      <c r="I572" s="10" t="str">
        <f aca="false">IF($D572="","",SUBSTITUTE(SUBSTITUTE(SUBSTITUTE($D572,"-","")," ",""),".",""))</f>
        <v/>
      </c>
      <c r="J572" s="10" t="str">
        <f aca="false">IF($E572="","",UPPER(SUBSTITUTE($E572," ","")))</f>
        <v/>
      </c>
      <c r="K572" s="10" t="str">
        <f aca="false">IF($A572="","",$G572&amp;"|"&amp;$J572)</f>
        <v/>
      </c>
      <c r="L572" s="10" t="str">
        <f aca="false">IF($A572="","",ROW()-2)</f>
        <v/>
      </c>
      <c r="M572" s="10" t="str">
        <f aca="false">IF($A572="","",ROW())</f>
        <v/>
      </c>
    </row>
    <row r="573" customFormat="false" ht="15" hidden="false" customHeight="true" outlineLevel="0" collapsed="false">
      <c r="A573" s="8"/>
      <c r="B573" s="8"/>
      <c r="C573" s="8"/>
      <c r="D573" s="8"/>
      <c r="E573" s="8"/>
      <c r="F573" s="8"/>
      <c r="G573" s="10" t="str">
        <f aca="false">IF($A573="","",UPPER(SUBSTITUTE(SUBSTITUTE(SUBSTITUTE(SUBSTITUTE($A573," ",""),"(주)",""),"주식회사",""),"㈜","")))</f>
        <v/>
      </c>
      <c r="H573" s="10" t="str">
        <f aca="false">IF($B573="","",SUBSTITUTE(SUBSTITUTE(SUBSTITUTE($B573,"-","")," ",""),".",""))</f>
        <v/>
      </c>
      <c r="I573" s="10" t="str">
        <f aca="false">IF($D573="","",SUBSTITUTE(SUBSTITUTE(SUBSTITUTE($D573,"-","")," ",""),".",""))</f>
        <v/>
      </c>
      <c r="J573" s="10" t="str">
        <f aca="false">IF($E573="","",UPPER(SUBSTITUTE($E573," ","")))</f>
        <v/>
      </c>
      <c r="K573" s="10" t="str">
        <f aca="false">IF($A573="","",$G573&amp;"|"&amp;$J573)</f>
        <v/>
      </c>
      <c r="L573" s="10" t="str">
        <f aca="false">IF($A573="","",ROW()-2)</f>
        <v/>
      </c>
      <c r="M573" s="10" t="str">
        <f aca="false">IF($A573="","",ROW())</f>
        <v/>
      </c>
    </row>
    <row r="574" customFormat="false" ht="15" hidden="false" customHeight="true" outlineLevel="0" collapsed="false">
      <c r="A574" s="8"/>
      <c r="B574" s="8"/>
      <c r="C574" s="8"/>
      <c r="D574" s="8"/>
      <c r="E574" s="8"/>
      <c r="F574" s="8"/>
      <c r="G574" s="10" t="str">
        <f aca="false">IF($A574="","",UPPER(SUBSTITUTE(SUBSTITUTE(SUBSTITUTE(SUBSTITUTE($A574," ",""),"(주)",""),"주식회사",""),"㈜","")))</f>
        <v/>
      </c>
      <c r="H574" s="10" t="str">
        <f aca="false">IF($B574="","",SUBSTITUTE(SUBSTITUTE(SUBSTITUTE($B574,"-","")," ",""),".",""))</f>
        <v/>
      </c>
      <c r="I574" s="10" t="str">
        <f aca="false">IF($D574="","",SUBSTITUTE(SUBSTITUTE(SUBSTITUTE($D574,"-","")," ",""),".",""))</f>
        <v/>
      </c>
      <c r="J574" s="10" t="str">
        <f aca="false">IF($E574="","",UPPER(SUBSTITUTE($E574," ","")))</f>
        <v/>
      </c>
      <c r="K574" s="10" t="str">
        <f aca="false">IF($A574="","",$G574&amp;"|"&amp;$J574)</f>
        <v/>
      </c>
      <c r="L574" s="10" t="str">
        <f aca="false">IF($A574="","",ROW()-2)</f>
        <v/>
      </c>
      <c r="M574" s="10" t="str">
        <f aca="false">IF($A574="","",ROW())</f>
        <v/>
      </c>
    </row>
    <row r="575" customFormat="false" ht="15" hidden="false" customHeight="true" outlineLevel="0" collapsed="false">
      <c r="A575" s="8"/>
      <c r="B575" s="8"/>
      <c r="C575" s="8"/>
      <c r="D575" s="8"/>
      <c r="E575" s="8"/>
      <c r="F575" s="8"/>
      <c r="G575" s="10" t="str">
        <f aca="false">IF($A575="","",UPPER(SUBSTITUTE(SUBSTITUTE(SUBSTITUTE(SUBSTITUTE($A575," ",""),"(주)",""),"주식회사",""),"㈜","")))</f>
        <v/>
      </c>
      <c r="H575" s="10" t="str">
        <f aca="false">IF($B575="","",SUBSTITUTE(SUBSTITUTE(SUBSTITUTE($B575,"-","")," ",""),".",""))</f>
        <v/>
      </c>
      <c r="I575" s="10" t="str">
        <f aca="false">IF($D575="","",SUBSTITUTE(SUBSTITUTE(SUBSTITUTE($D575,"-","")," ",""),".",""))</f>
        <v/>
      </c>
      <c r="J575" s="10" t="str">
        <f aca="false">IF($E575="","",UPPER(SUBSTITUTE($E575," ","")))</f>
        <v/>
      </c>
      <c r="K575" s="10" t="str">
        <f aca="false">IF($A575="","",$G575&amp;"|"&amp;$J575)</f>
        <v/>
      </c>
      <c r="L575" s="10" t="str">
        <f aca="false">IF($A575="","",ROW()-2)</f>
        <v/>
      </c>
      <c r="M575" s="10" t="str">
        <f aca="false">IF($A575="","",ROW())</f>
        <v/>
      </c>
    </row>
    <row r="576" customFormat="false" ht="15" hidden="false" customHeight="true" outlineLevel="0" collapsed="false">
      <c r="A576" s="8"/>
      <c r="B576" s="8"/>
      <c r="C576" s="8"/>
      <c r="D576" s="8"/>
      <c r="E576" s="8"/>
      <c r="F576" s="8"/>
      <c r="G576" s="10" t="str">
        <f aca="false">IF($A576="","",UPPER(SUBSTITUTE(SUBSTITUTE(SUBSTITUTE(SUBSTITUTE($A576," ",""),"(주)",""),"주식회사",""),"㈜","")))</f>
        <v/>
      </c>
      <c r="H576" s="10" t="str">
        <f aca="false">IF($B576="","",SUBSTITUTE(SUBSTITUTE(SUBSTITUTE($B576,"-","")," ",""),".",""))</f>
        <v/>
      </c>
      <c r="I576" s="10" t="str">
        <f aca="false">IF($D576="","",SUBSTITUTE(SUBSTITUTE(SUBSTITUTE($D576,"-","")," ",""),".",""))</f>
        <v/>
      </c>
      <c r="J576" s="10" t="str">
        <f aca="false">IF($E576="","",UPPER(SUBSTITUTE($E576," ","")))</f>
        <v/>
      </c>
      <c r="K576" s="10" t="str">
        <f aca="false">IF($A576="","",$G576&amp;"|"&amp;$J576)</f>
        <v/>
      </c>
      <c r="L576" s="10" t="str">
        <f aca="false">IF($A576="","",ROW()-2)</f>
        <v/>
      </c>
      <c r="M576" s="10" t="str">
        <f aca="false">IF($A576="","",ROW())</f>
        <v/>
      </c>
    </row>
    <row r="577" customFormat="false" ht="15" hidden="false" customHeight="true" outlineLevel="0" collapsed="false">
      <c r="A577" s="8"/>
      <c r="B577" s="8"/>
      <c r="C577" s="8"/>
      <c r="D577" s="8"/>
      <c r="E577" s="8"/>
      <c r="F577" s="8"/>
      <c r="G577" s="10" t="str">
        <f aca="false">IF($A577="","",UPPER(SUBSTITUTE(SUBSTITUTE(SUBSTITUTE(SUBSTITUTE($A577," ",""),"(주)",""),"주식회사",""),"㈜","")))</f>
        <v/>
      </c>
      <c r="H577" s="10" t="str">
        <f aca="false">IF($B577="","",SUBSTITUTE(SUBSTITUTE(SUBSTITUTE($B577,"-","")," ",""),".",""))</f>
        <v/>
      </c>
      <c r="I577" s="10" t="str">
        <f aca="false">IF($D577="","",SUBSTITUTE(SUBSTITUTE(SUBSTITUTE($D577,"-","")," ",""),".",""))</f>
        <v/>
      </c>
      <c r="J577" s="10" t="str">
        <f aca="false">IF($E577="","",UPPER(SUBSTITUTE($E577," ","")))</f>
        <v/>
      </c>
      <c r="K577" s="10" t="str">
        <f aca="false">IF($A577="","",$G577&amp;"|"&amp;$J577)</f>
        <v/>
      </c>
      <c r="L577" s="10" t="str">
        <f aca="false">IF($A577="","",ROW()-2)</f>
        <v/>
      </c>
      <c r="M577" s="10" t="str">
        <f aca="false">IF($A577="","",ROW())</f>
        <v/>
      </c>
    </row>
    <row r="578" customFormat="false" ht="15" hidden="false" customHeight="true" outlineLevel="0" collapsed="false">
      <c r="A578" s="8"/>
      <c r="B578" s="8"/>
      <c r="C578" s="8"/>
      <c r="D578" s="8"/>
      <c r="E578" s="8"/>
      <c r="F578" s="8"/>
      <c r="G578" s="10" t="str">
        <f aca="false">IF($A578="","",UPPER(SUBSTITUTE(SUBSTITUTE(SUBSTITUTE(SUBSTITUTE($A578," ",""),"(주)",""),"주식회사",""),"㈜","")))</f>
        <v/>
      </c>
      <c r="H578" s="10" t="str">
        <f aca="false">IF($B578="","",SUBSTITUTE(SUBSTITUTE(SUBSTITUTE($B578,"-","")," ",""),".",""))</f>
        <v/>
      </c>
      <c r="I578" s="10" t="str">
        <f aca="false">IF($D578="","",SUBSTITUTE(SUBSTITUTE(SUBSTITUTE($D578,"-","")," ",""),".",""))</f>
        <v/>
      </c>
      <c r="J578" s="10" t="str">
        <f aca="false">IF($E578="","",UPPER(SUBSTITUTE($E578," ","")))</f>
        <v/>
      </c>
      <c r="K578" s="10" t="str">
        <f aca="false">IF($A578="","",$G578&amp;"|"&amp;$J578)</f>
        <v/>
      </c>
      <c r="L578" s="10" t="str">
        <f aca="false">IF($A578="","",ROW()-2)</f>
        <v/>
      </c>
      <c r="M578" s="10" t="str">
        <f aca="false">IF($A578="","",ROW())</f>
        <v/>
      </c>
    </row>
    <row r="579" customFormat="false" ht="15" hidden="false" customHeight="true" outlineLevel="0" collapsed="false">
      <c r="A579" s="8"/>
      <c r="B579" s="8"/>
      <c r="C579" s="8"/>
      <c r="D579" s="8"/>
      <c r="E579" s="8"/>
      <c r="F579" s="8"/>
      <c r="G579" s="10" t="str">
        <f aca="false">IF($A579="","",UPPER(SUBSTITUTE(SUBSTITUTE(SUBSTITUTE(SUBSTITUTE($A579," ",""),"(주)",""),"주식회사",""),"㈜","")))</f>
        <v/>
      </c>
      <c r="H579" s="10" t="str">
        <f aca="false">IF($B579="","",SUBSTITUTE(SUBSTITUTE(SUBSTITUTE($B579,"-","")," ",""),".",""))</f>
        <v/>
      </c>
      <c r="I579" s="10" t="str">
        <f aca="false">IF($D579="","",SUBSTITUTE(SUBSTITUTE(SUBSTITUTE($D579,"-","")," ",""),".",""))</f>
        <v/>
      </c>
      <c r="J579" s="10" t="str">
        <f aca="false">IF($E579="","",UPPER(SUBSTITUTE($E579," ","")))</f>
        <v/>
      </c>
      <c r="K579" s="10" t="str">
        <f aca="false">IF($A579="","",$G579&amp;"|"&amp;$J579)</f>
        <v/>
      </c>
      <c r="L579" s="10" t="str">
        <f aca="false">IF($A579="","",ROW()-2)</f>
        <v/>
      </c>
      <c r="M579" s="10" t="str">
        <f aca="false">IF($A579="","",ROW())</f>
        <v/>
      </c>
    </row>
    <row r="580" customFormat="false" ht="15" hidden="false" customHeight="true" outlineLevel="0" collapsed="false">
      <c r="A580" s="8"/>
      <c r="B580" s="8"/>
      <c r="C580" s="8"/>
      <c r="D580" s="8"/>
      <c r="E580" s="8"/>
      <c r="F580" s="8"/>
      <c r="G580" s="10" t="str">
        <f aca="false">IF($A580="","",UPPER(SUBSTITUTE(SUBSTITUTE(SUBSTITUTE(SUBSTITUTE($A580," ",""),"(주)",""),"주식회사",""),"㈜","")))</f>
        <v/>
      </c>
      <c r="H580" s="10" t="str">
        <f aca="false">IF($B580="","",SUBSTITUTE(SUBSTITUTE(SUBSTITUTE($B580,"-","")," ",""),".",""))</f>
        <v/>
      </c>
      <c r="I580" s="10" t="str">
        <f aca="false">IF($D580="","",SUBSTITUTE(SUBSTITUTE(SUBSTITUTE($D580,"-","")," ",""),".",""))</f>
        <v/>
      </c>
      <c r="J580" s="10" t="str">
        <f aca="false">IF($E580="","",UPPER(SUBSTITUTE($E580," ","")))</f>
        <v/>
      </c>
      <c r="K580" s="10" t="str">
        <f aca="false">IF($A580="","",$G580&amp;"|"&amp;$J580)</f>
        <v/>
      </c>
      <c r="L580" s="10" t="str">
        <f aca="false">IF($A580="","",ROW()-2)</f>
        <v/>
      </c>
      <c r="M580" s="10" t="str">
        <f aca="false">IF($A580="","",ROW())</f>
        <v/>
      </c>
    </row>
    <row r="581" customFormat="false" ht="15" hidden="false" customHeight="true" outlineLevel="0" collapsed="false">
      <c r="A581" s="8"/>
      <c r="B581" s="8"/>
      <c r="C581" s="8"/>
      <c r="D581" s="8"/>
      <c r="E581" s="8"/>
      <c r="F581" s="8"/>
      <c r="G581" s="10" t="str">
        <f aca="false">IF($A581="","",UPPER(SUBSTITUTE(SUBSTITUTE(SUBSTITUTE(SUBSTITUTE($A581," ",""),"(주)",""),"주식회사",""),"㈜","")))</f>
        <v/>
      </c>
      <c r="H581" s="10" t="str">
        <f aca="false">IF($B581="","",SUBSTITUTE(SUBSTITUTE(SUBSTITUTE($B581,"-","")," ",""),".",""))</f>
        <v/>
      </c>
      <c r="I581" s="10" t="str">
        <f aca="false">IF($D581="","",SUBSTITUTE(SUBSTITUTE(SUBSTITUTE($D581,"-","")," ",""),".",""))</f>
        <v/>
      </c>
      <c r="J581" s="10" t="str">
        <f aca="false">IF($E581="","",UPPER(SUBSTITUTE($E581," ","")))</f>
        <v/>
      </c>
      <c r="K581" s="10" t="str">
        <f aca="false">IF($A581="","",$G581&amp;"|"&amp;$J581)</f>
        <v/>
      </c>
      <c r="L581" s="10" t="str">
        <f aca="false">IF($A581="","",ROW()-2)</f>
        <v/>
      </c>
      <c r="M581" s="10" t="str">
        <f aca="false">IF($A581="","",ROW())</f>
        <v/>
      </c>
    </row>
    <row r="582" customFormat="false" ht="15" hidden="false" customHeight="true" outlineLevel="0" collapsed="false">
      <c r="A582" s="8"/>
      <c r="B582" s="8"/>
      <c r="C582" s="8"/>
      <c r="D582" s="8"/>
      <c r="E582" s="8"/>
      <c r="F582" s="8"/>
      <c r="G582" s="10" t="str">
        <f aca="false">IF($A582="","",UPPER(SUBSTITUTE(SUBSTITUTE(SUBSTITUTE(SUBSTITUTE($A582," ",""),"(주)",""),"주식회사",""),"㈜","")))</f>
        <v/>
      </c>
      <c r="H582" s="10" t="str">
        <f aca="false">IF($B582="","",SUBSTITUTE(SUBSTITUTE(SUBSTITUTE($B582,"-","")," ",""),".",""))</f>
        <v/>
      </c>
      <c r="I582" s="10" t="str">
        <f aca="false">IF($D582="","",SUBSTITUTE(SUBSTITUTE(SUBSTITUTE($D582,"-","")," ",""),".",""))</f>
        <v/>
      </c>
      <c r="J582" s="10" t="str">
        <f aca="false">IF($E582="","",UPPER(SUBSTITUTE($E582," ","")))</f>
        <v/>
      </c>
      <c r="K582" s="10" t="str">
        <f aca="false">IF($A582="","",$G582&amp;"|"&amp;$J582)</f>
        <v/>
      </c>
      <c r="L582" s="10" t="str">
        <f aca="false">IF($A582="","",ROW()-2)</f>
        <v/>
      </c>
      <c r="M582" s="10" t="str">
        <f aca="false">IF($A582="","",ROW())</f>
        <v/>
      </c>
    </row>
    <row r="583" customFormat="false" ht="15" hidden="false" customHeight="true" outlineLevel="0" collapsed="false">
      <c r="A583" s="8"/>
      <c r="B583" s="8"/>
      <c r="C583" s="8"/>
      <c r="D583" s="8"/>
      <c r="E583" s="8"/>
      <c r="F583" s="8"/>
      <c r="G583" s="10" t="str">
        <f aca="false">IF($A583="","",UPPER(SUBSTITUTE(SUBSTITUTE(SUBSTITUTE(SUBSTITUTE($A583," ",""),"(주)",""),"주식회사",""),"㈜","")))</f>
        <v/>
      </c>
      <c r="H583" s="10" t="str">
        <f aca="false">IF($B583="","",SUBSTITUTE(SUBSTITUTE(SUBSTITUTE($B583,"-","")," ",""),".",""))</f>
        <v/>
      </c>
      <c r="I583" s="10" t="str">
        <f aca="false">IF($D583="","",SUBSTITUTE(SUBSTITUTE(SUBSTITUTE($D583,"-","")," ",""),".",""))</f>
        <v/>
      </c>
      <c r="J583" s="10" t="str">
        <f aca="false">IF($E583="","",UPPER(SUBSTITUTE($E583," ","")))</f>
        <v/>
      </c>
      <c r="K583" s="10" t="str">
        <f aca="false">IF($A583="","",$G583&amp;"|"&amp;$J583)</f>
        <v/>
      </c>
      <c r="L583" s="10" t="str">
        <f aca="false">IF($A583="","",ROW()-2)</f>
        <v/>
      </c>
      <c r="M583" s="10" t="str">
        <f aca="false">IF($A583="","",ROW())</f>
        <v/>
      </c>
    </row>
    <row r="584" customFormat="false" ht="15" hidden="false" customHeight="true" outlineLevel="0" collapsed="false">
      <c r="A584" s="8"/>
      <c r="B584" s="8"/>
      <c r="C584" s="8"/>
      <c r="D584" s="8"/>
      <c r="E584" s="8"/>
      <c r="F584" s="8"/>
      <c r="G584" s="10" t="str">
        <f aca="false">IF($A584="","",UPPER(SUBSTITUTE(SUBSTITUTE(SUBSTITUTE(SUBSTITUTE($A584," ",""),"(주)",""),"주식회사",""),"㈜","")))</f>
        <v/>
      </c>
      <c r="H584" s="10" t="str">
        <f aca="false">IF($B584="","",SUBSTITUTE(SUBSTITUTE(SUBSTITUTE($B584,"-","")," ",""),".",""))</f>
        <v/>
      </c>
      <c r="I584" s="10" t="str">
        <f aca="false">IF($D584="","",SUBSTITUTE(SUBSTITUTE(SUBSTITUTE($D584,"-","")," ",""),".",""))</f>
        <v/>
      </c>
      <c r="J584" s="10" t="str">
        <f aca="false">IF($E584="","",UPPER(SUBSTITUTE($E584," ","")))</f>
        <v/>
      </c>
      <c r="K584" s="10" t="str">
        <f aca="false">IF($A584="","",$G584&amp;"|"&amp;$J584)</f>
        <v/>
      </c>
      <c r="L584" s="10" t="str">
        <f aca="false">IF($A584="","",ROW()-2)</f>
        <v/>
      </c>
      <c r="M584" s="10" t="str">
        <f aca="false">IF($A584="","",ROW())</f>
        <v/>
      </c>
    </row>
    <row r="585" customFormat="false" ht="15" hidden="false" customHeight="true" outlineLevel="0" collapsed="false">
      <c r="A585" s="8"/>
      <c r="B585" s="8"/>
      <c r="C585" s="8"/>
      <c r="D585" s="8"/>
      <c r="E585" s="8"/>
      <c r="F585" s="8"/>
      <c r="G585" s="10" t="str">
        <f aca="false">IF($A585="","",UPPER(SUBSTITUTE(SUBSTITUTE(SUBSTITUTE(SUBSTITUTE($A585," ",""),"(주)",""),"주식회사",""),"㈜","")))</f>
        <v/>
      </c>
      <c r="H585" s="10" t="str">
        <f aca="false">IF($B585="","",SUBSTITUTE(SUBSTITUTE(SUBSTITUTE($B585,"-","")," ",""),".",""))</f>
        <v/>
      </c>
      <c r="I585" s="10" t="str">
        <f aca="false">IF($D585="","",SUBSTITUTE(SUBSTITUTE(SUBSTITUTE($D585,"-","")," ",""),".",""))</f>
        <v/>
      </c>
      <c r="J585" s="10" t="str">
        <f aca="false">IF($E585="","",UPPER(SUBSTITUTE($E585," ","")))</f>
        <v/>
      </c>
      <c r="K585" s="10" t="str">
        <f aca="false">IF($A585="","",$G585&amp;"|"&amp;$J585)</f>
        <v/>
      </c>
      <c r="L585" s="10" t="str">
        <f aca="false">IF($A585="","",ROW()-2)</f>
        <v/>
      </c>
      <c r="M585" s="10" t="str">
        <f aca="false">IF($A585="","",ROW())</f>
        <v/>
      </c>
    </row>
    <row r="586" customFormat="false" ht="15" hidden="false" customHeight="true" outlineLevel="0" collapsed="false">
      <c r="A586" s="8"/>
      <c r="B586" s="8"/>
      <c r="C586" s="8"/>
      <c r="D586" s="8"/>
      <c r="E586" s="8"/>
      <c r="F586" s="8"/>
      <c r="G586" s="10" t="str">
        <f aca="false">IF($A586="","",UPPER(SUBSTITUTE(SUBSTITUTE(SUBSTITUTE(SUBSTITUTE($A586," ",""),"(주)",""),"주식회사",""),"㈜","")))</f>
        <v/>
      </c>
      <c r="H586" s="10" t="str">
        <f aca="false">IF($B586="","",SUBSTITUTE(SUBSTITUTE(SUBSTITUTE($B586,"-","")," ",""),".",""))</f>
        <v/>
      </c>
      <c r="I586" s="10" t="str">
        <f aca="false">IF($D586="","",SUBSTITUTE(SUBSTITUTE(SUBSTITUTE($D586,"-","")," ",""),".",""))</f>
        <v/>
      </c>
      <c r="J586" s="10" t="str">
        <f aca="false">IF($E586="","",UPPER(SUBSTITUTE($E586," ","")))</f>
        <v/>
      </c>
      <c r="K586" s="10" t="str">
        <f aca="false">IF($A586="","",$G586&amp;"|"&amp;$J586)</f>
        <v/>
      </c>
      <c r="L586" s="10" t="str">
        <f aca="false">IF($A586="","",ROW()-2)</f>
        <v/>
      </c>
      <c r="M586" s="10" t="str">
        <f aca="false">IF($A586="","",ROW())</f>
        <v/>
      </c>
    </row>
    <row r="587" customFormat="false" ht="15" hidden="false" customHeight="true" outlineLevel="0" collapsed="false">
      <c r="A587" s="8"/>
      <c r="B587" s="8"/>
      <c r="C587" s="8"/>
      <c r="D587" s="8"/>
      <c r="E587" s="8"/>
      <c r="F587" s="8"/>
      <c r="G587" s="10" t="str">
        <f aca="false">IF($A587="","",UPPER(SUBSTITUTE(SUBSTITUTE(SUBSTITUTE(SUBSTITUTE($A587," ",""),"(주)",""),"주식회사",""),"㈜","")))</f>
        <v/>
      </c>
      <c r="H587" s="10" t="str">
        <f aca="false">IF($B587="","",SUBSTITUTE(SUBSTITUTE(SUBSTITUTE($B587,"-","")," ",""),".",""))</f>
        <v/>
      </c>
      <c r="I587" s="10" t="str">
        <f aca="false">IF($D587="","",SUBSTITUTE(SUBSTITUTE(SUBSTITUTE($D587,"-","")," ",""),".",""))</f>
        <v/>
      </c>
      <c r="J587" s="10" t="str">
        <f aca="false">IF($E587="","",UPPER(SUBSTITUTE($E587," ","")))</f>
        <v/>
      </c>
      <c r="K587" s="10" t="str">
        <f aca="false">IF($A587="","",$G587&amp;"|"&amp;$J587)</f>
        <v/>
      </c>
      <c r="L587" s="10" t="str">
        <f aca="false">IF($A587="","",ROW()-2)</f>
        <v/>
      </c>
      <c r="M587" s="10" t="str">
        <f aca="false">IF($A587="","",ROW())</f>
        <v/>
      </c>
    </row>
    <row r="588" customFormat="false" ht="15" hidden="false" customHeight="true" outlineLevel="0" collapsed="false">
      <c r="A588" s="8"/>
      <c r="B588" s="8"/>
      <c r="C588" s="8"/>
      <c r="D588" s="8"/>
      <c r="E588" s="8"/>
      <c r="F588" s="8"/>
      <c r="G588" s="10" t="str">
        <f aca="false">IF($A588="","",UPPER(SUBSTITUTE(SUBSTITUTE(SUBSTITUTE(SUBSTITUTE($A588," ",""),"(주)",""),"주식회사",""),"㈜","")))</f>
        <v/>
      </c>
      <c r="H588" s="10" t="str">
        <f aca="false">IF($B588="","",SUBSTITUTE(SUBSTITUTE(SUBSTITUTE($B588,"-","")," ",""),".",""))</f>
        <v/>
      </c>
      <c r="I588" s="10" t="str">
        <f aca="false">IF($D588="","",SUBSTITUTE(SUBSTITUTE(SUBSTITUTE($D588,"-","")," ",""),".",""))</f>
        <v/>
      </c>
      <c r="J588" s="10" t="str">
        <f aca="false">IF($E588="","",UPPER(SUBSTITUTE($E588," ","")))</f>
        <v/>
      </c>
      <c r="K588" s="10" t="str">
        <f aca="false">IF($A588="","",$G588&amp;"|"&amp;$J588)</f>
        <v/>
      </c>
      <c r="L588" s="10" t="str">
        <f aca="false">IF($A588="","",ROW()-2)</f>
        <v/>
      </c>
      <c r="M588" s="10" t="str">
        <f aca="false">IF($A588="","",ROW())</f>
        <v/>
      </c>
    </row>
    <row r="589" customFormat="false" ht="15" hidden="false" customHeight="true" outlineLevel="0" collapsed="false">
      <c r="A589" s="8"/>
      <c r="B589" s="8"/>
      <c r="C589" s="8"/>
      <c r="D589" s="8"/>
      <c r="E589" s="8"/>
      <c r="F589" s="8"/>
      <c r="G589" s="10" t="str">
        <f aca="false">IF($A589="","",UPPER(SUBSTITUTE(SUBSTITUTE(SUBSTITUTE(SUBSTITUTE($A589," ",""),"(주)",""),"주식회사",""),"㈜","")))</f>
        <v/>
      </c>
      <c r="H589" s="10" t="str">
        <f aca="false">IF($B589="","",SUBSTITUTE(SUBSTITUTE(SUBSTITUTE($B589,"-","")," ",""),".",""))</f>
        <v/>
      </c>
      <c r="I589" s="10" t="str">
        <f aca="false">IF($D589="","",SUBSTITUTE(SUBSTITUTE(SUBSTITUTE($D589,"-","")," ",""),".",""))</f>
        <v/>
      </c>
      <c r="J589" s="10" t="str">
        <f aca="false">IF($E589="","",UPPER(SUBSTITUTE($E589," ","")))</f>
        <v/>
      </c>
      <c r="K589" s="10" t="str">
        <f aca="false">IF($A589="","",$G589&amp;"|"&amp;$J589)</f>
        <v/>
      </c>
      <c r="L589" s="10" t="str">
        <f aca="false">IF($A589="","",ROW()-2)</f>
        <v/>
      </c>
      <c r="M589" s="10" t="str">
        <f aca="false">IF($A589="","",ROW())</f>
        <v/>
      </c>
    </row>
    <row r="590" customFormat="false" ht="15" hidden="false" customHeight="true" outlineLevel="0" collapsed="false">
      <c r="A590" s="8"/>
      <c r="B590" s="8"/>
      <c r="C590" s="8"/>
      <c r="D590" s="8"/>
      <c r="E590" s="8"/>
      <c r="F590" s="8"/>
      <c r="G590" s="10" t="str">
        <f aca="false">IF($A590="","",UPPER(SUBSTITUTE(SUBSTITUTE(SUBSTITUTE(SUBSTITUTE($A590," ",""),"(주)",""),"주식회사",""),"㈜","")))</f>
        <v/>
      </c>
      <c r="H590" s="10" t="str">
        <f aca="false">IF($B590="","",SUBSTITUTE(SUBSTITUTE(SUBSTITUTE($B590,"-","")," ",""),".",""))</f>
        <v/>
      </c>
      <c r="I590" s="10" t="str">
        <f aca="false">IF($D590="","",SUBSTITUTE(SUBSTITUTE(SUBSTITUTE($D590,"-","")," ",""),".",""))</f>
        <v/>
      </c>
      <c r="J590" s="10" t="str">
        <f aca="false">IF($E590="","",UPPER(SUBSTITUTE($E590," ","")))</f>
        <v/>
      </c>
      <c r="K590" s="10" t="str">
        <f aca="false">IF($A590="","",$G590&amp;"|"&amp;$J590)</f>
        <v/>
      </c>
      <c r="L590" s="10" t="str">
        <f aca="false">IF($A590="","",ROW()-2)</f>
        <v/>
      </c>
      <c r="M590" s="10" t="str">
        <f aca="false">IF($A590="","",ROW())</f>
        <v/>
      </c>
    </row>
    <row r="591" customFormat="false" ht="15" hidden="false" customHeight="true" outlineLevel="0" collapsed="false">
      <c r="A591" s="8"/>
      <c r="B591" s="8"/>
      <c r="C591" s="8"/>
      <c r="D591" s="8"/>
      <c r="E591" s="8"/>
      <c r="F591" s="8"/>
      <c r="G591" s="10" t="str">
        <f aca="false">IF($A591="","",UPPER(SUBSTITUTE(SUBSTITUTE(SUBSTITUTE(SUBSTITUTE($A591," ",""),"(주)",""),"주식회사",""),"㈜","")))</f>
        <v/>
      </c>
      <c r="H591" s="10" t="str">
        <f aca="false">IF($B591="","",SUBSTITUTE(SUBSTITUTE(SUBSTITUTE($B591,"-","")," ",""),".",""))</f>
        <v/>
      </c>
      <c r="I591" s="10" t="str">
        <f aca="false">IF($D591="","",SUBSTITUTE(SUBSTITUTE(SUBSTITUTE($D591,"-","")," ",""),".",""))</f>
        <v/>
      </c>
      <c r="J591" s="10" t="str">
        <f aca="false">IF($E591="","",UPPER(SUBSTITUTE($E591," ","")))</f>
        <v/>
      </c>
      <c r="K591" s="10" t="str">
        <f aca="false">IF($A591="","",$G591&amp;"|"&amp;$J591)</f>
        <v/>
      </c>
      <c r="L591" s="10" t="str">
        <f aca="false">IF($A591="","",ROW()-2)</f>
        <v/>
      </c>
      <c r="M591" s="10" t="str">
        <f aca="false">IF($A591="","",ROW())</f>
        <v/>
      </c>
    </row>
    <row r="592" customFormat="false" ht="15" hidden="false" customHeight="true" outlineLevel="0" collapsed="false">
      <c r="A592" s="8"/>
      <c r="B592" s="8"/>
      <c r="C592" s="8"/>
      <c r="D592" s="8"/>
      <c r="E592" s="8"/>
      <c r="F592" s="8"/>
      <c r="G592" s="10" t="str">
        <f aca="false">IF($A592="","",UPPER(SUBSTITUTE(SUBSTITUTE(SUBSTITUTE(SUBSTITUTE($A592," ",""),"(주)",""),"주식회사",""),"㈜","")))</f>
        <v/>
      </c>
      <c r="H592" s="10" t="str">
        <f aca="false">IF($B592="","",SUBSTITUTE(SUBSTITUTE(SUBSTITUTE($B592,"-","")," ",""),".",""))</f>
        <v/>
      </c>
      <c r="I592" s="10" t="str">
        <f aca="false">IF($D592="","",SUBSTITUTE(SUBSTITUTE(SUBSTITUTE($D592,"-","")," ",""),".",""))</f>
        <v/>
      </c>
      <c r="J592" s="10" t="str">
        <f aca="false">IF($E592="","",UPPER(SUBSTITUTE($E592," ","")))</f>
        <v/>
      </c>
      <c r="K592" s="10" t="str">
        <f aca="false">IF($A592="","",$G592&amp;"|"&amp;$J592)</f>
        <v/>
      </c>
      <c r="L592" s="10" t="str">
        <f aca="false">IF($A592="","",ROW()-2)</f>
        <v/>
      </c>
      <c r="M592" s="10" t="str">
        <f aca="false">IF($A592="","",ROW())</f>
        <v/>
      </c>
    </row>
    <row r="593" customFormat="false" ht="15" hidden="false" customHeight="true" outlineLevel="0" collapsed="false">
      <c r="A593" s="8"/>
      <c r="B593" s="8"/>
      <c r="C593" s="8"/>
      <c r="D593" s="8"/>
      <c r="E593" s="8"/>
      <c r="F593" s="8"/>
      <c r="G593" s="10" t="str">
        <f aca="false">IF($A593="","",UPPER(SUBSTITUTE(SUBSTITUTE(SUBSTITUTE(SUBSTITUTE($A593," ",""),"(주)",""),"주식회사",""),"㈜","")))</f>
        <v/>
      </c>
      <c r="H593" s="10" t="str">
        <f aca="false">IF($B593="","",SUBSTITUTE(SUBSTITUTE(SUBSTITUTE($B593,"-","")," ",""),".",""))</f>
        <v/>
      </c>
      <c r="I593" s="10" t="str">
        <f aca="false">IF($D593="","",SUBSTITUTE(SUBSTITUTE(SUBSTITUTE($D593,"-","")," ",""),".",""))</f>
        <v/>
      </c>
      <c r="J593" s="10" t="str">
        <f aca="false">IF($E593="","",UPPER(SUBSTITUTE($E593," ","")))</f>
        <v/>
      </c>
      <c r="K593" s="10" t="str">
        <f aca="false">IF($A593="","",$G593&amp;"|"&amp;$J593)</f>
        <v/>
      </c>
      <c r="L593" s="10" t="str">
        <f aca="false">IF($A593="","",ROW()-2)</f>
        <v/>
      </c>
      <c r="M593" s="10" t="str">
        <f aca="false">IF($A593="","",ROW())</f>
        <v/>
      </c>
    </row>
    <row r="594" customFormat="false" ht="15" hidden="false" customHeight="true" outlineLevel="0" collapsed="false">
      <c r="A594" s="8"/>
      <c r="B594" s="8"/>
      <c r="C594" s="8"/>
      <c r="D594" s="8"/>
      <c r="E594" s="8"/>
      <c r="F594" s="8"/>
      <c r="G594" s="10" t="str">
        <f aca="false">IF($A594="","",UPPER(SUBSTITUTE(SUBSTITUTE(SUBSTITUTE(SUBSTITUTE($A594," ",""),"(주)",""),"주식회사",""),"㈜","")))</f>
        <v/>
      </c>
      <c r="H594" s="10" t="str">
        <f aca="false">IF($B594="","",SUBSTITUTE(SUBSTITUTE(SUBSTITUTE($B594,"-","")," ",""),".",""))</f>
        <v/>
      </c>
      <c r="I594" s="10" t="str">
        <f aca="false">IF($D594="","",SUBSTITUTE(SUBSTITUTE(SUBSTITUTE($D594,"-","")," ",""),".",""))</f>
        <v/>
      </c>
      <c r="J594" s="10" t="str">
        <f aca="false">IF($E594="","",UPPER(SUBSTITUTE($E594," ","")))</f>
        <v/>
      </c>
      <c r="K594" s="10" t="str">
        <f aca="false">IF($A594="","",$G594&amp;"|"&amp;$J594)</f>
        <v/>
      </c>
      <c r="L594" s="10" t="str">
        <f aca="false">IF($A594="","",ROW()-2)</f>
        <v/>
      </c>
      <c r="M594" s="10" t="str">
        <f aca="false">IF($A594="","",ROW())</f>
        <v/>
      </c>
    </row>
    <row r="595" customFormat="false" ht="15" hidden="false" customHeight="true" outlineLevel="0" collapsed="false">
      <c r="A595" s="8"/>
      <c r="B595" s="8"/>
      <c r="C595" s="8"/>
      <c r="D595" s="8"/>
      <c r="E595" s="8"/>
      <c r="F595" s="8"/>
      <c r="G595" s="10" t="str">
        <f aca="false">IF($A595="","",UPPER(SUBSTITUTE(SUBSTITUTE(SUBSTITUTE(SUBSTITUTE($A595," ",""),"(주)",""),"주식회사",""),"㈜","")))</f>
        <v/>
      </c>
      <c r="H595" s="10" t="str">
        <f aca="false">IF($B595="","",SUBSTITUTE(SUBSTITUTE(SUBSTITUTE($B595,"-","")," ",""),".",""))</f>
        <v/>
      </c>
      <c r="I595" s="10" t="str">
        <f aca="false">IF($D595="","",SUBSTITUTE(SUBSTITUTE(SUBSTITUTE($D595,"-","")," ",""),".",""))</f>
        <v/>
      </c>
      <c r="J595" s="10" t="str">
        <f aca="false">IF($E595="","",UPPER(SUBSTITUTE($E595," ","")))</f>
        <v/>
      </c>
      <c r="K595" s="10" t="str">
        <f aca="false">IF($A595="","",$G595&amp;"|"&amp;$J595)</f>
        <v/>
      </c>
      <c r="L595" s="10" t="str">
        <f aca="false">IF($A595="","",ROW()-2)</f>
        <v/>
      </c>
      <c r="M595" s="10" t="str">
        <f aca="false">IF($A595="","",ROW())</f>
        <v/>
      </c>
    </row>
    <row r="596" customFormat="false" ht="15" hidden="false" customHeight="true" outlineLevel="0" collapsed="false">
      <c r="A596" s="8"/>
      <c r="B596" s="8"/>
      <c r="C596" s="8"/>
      <c r="D596" s="8"/>
      <c r="E596" s="8"/>
      <c r="F596" s="8"/>
      <c r="G596" s="10" t="str">
        <f aca="false">IF($A596="","",UPPER(SUBSTITUTE(SUBSTITUTE(SUBSTITUTE(SUBSTITUTE($A596," ",""),"(주)",""),"주식회사",""),"㈜","")))</f>
        <v/>
      </c>
      <c r="H596" s="10" t="str">
        <f aca="false">IF($B596="","",SUBSTITUTE(SUBSTITUTE(SUBSTITUTE($B596,"-","")," ",""),".",""))</f>
        <v/>
      </c>
      <c r="I596" s="10" t="str">
        <f aca="false">IF($D596="","",SUBSTITUTE(SUBSTITUTE(SUBSTITUTE($D596,"-","")," ",""),".",""))</f>
        <v/>
      </c>
      <c r="J596" s="10" t="str">
        <f aca="false">IF($E596="","",UPPER(SUBSTITUTE($E596," ","")))</f>
        <v/>
      </c>
      <c r="K596" s="10" t="str">
        <f aca="false">IF($A596="","",$G596&amp;"|"&amp;$J596)</f>
        <v/>
      </c>
      <c r="L596" s="10" t="str">
        <f aca="false">IF($A596="","",ROW()-2)</f>
        <v/>
      </c>
      <c r="M596" s="10" t="str">
        <f aca="false">IF($A596="","",ROW())</f>
        <v/>
      </c>
    </row>
    <row r="597" customFormat="false" ht="15" hidden="false" customHeight="true" outlineLevel="0" collapsed="false">
      <c r="A597" s="8"/>
      <c r="B597" s="8"/>
      <c r="C597" s="8"/>
      <c r="D597" s="8"/>
      <c r="E597" s="8"/>
      <c r="F597" s="8"/>
      <c r="G597" s="10" t="str">
        <f aca="false">IF($A597="","",UPPER(SUBSTITUTE(SUBSTITUTE(SUBSTITUTE(SUBSTITUTE($A597," ",""),"(주)",""),"주식회사",""),"㈜","")))</f>
        <v/>
      </c>
      <c r="H597" s="10" t="str">
        <f aca="false">IF($B597="","",SUBSTITUTE(SUBSTITUTE(SUBSTITUTE($B597,"-","")," ",""),".",""))</f>
        <v/>
      </c>
      <c r="I597" s="10" t="str">
        <f aca="false">IF($D597="","",SUBSTITUTE(SUBSTITUTE(SUBSTITUTE($D597,"-","")," ",""),".",""))</f>
        <v/>
      </c>
      <c r="J597" s="10" t="str">
        <f aca="false">IF($E597="","",UPPER(SUBSTITUTE($E597," ","")))</f>
        <v/>
      </c>
      <c r="K597" s="10" t="str">
        <f aca="false">IF($A597="","",$G597&amp;"|"&amp;$J597)</f>
        <v/>
      </c>
      <c r="L597" s="10" t="str">
        <f aca="false">IF($A597="","",ROW()-2)</f>
        <v/>
      </c>
      <c r="M597" s="10" t="str">
        <f aca="false">IF($A597="","",ROW())</f>
        <v/>
      </c>
    </row>
    <row r="598" customFormat="false" ht="15" hidden="false" customHeight="true" outlineLevel="0" collapsed="false">
      <c r="A598" s="8"/>
      <c r="B598" s="8"/>
      <c r="C598" s="8"/>
      <c r="D598" s="8"/>
      <c r="E598" s="8"/>
      <c r="F598" s="8"/>
      <c r="G598" s="10" t="str">
        <f aca="false">IF($A598="","",UPPER(SUBSTITUTE(SUBSTITUTE(SUBSTITUTE(SUBSTITUTE($A598," ",""),"(주)",""),"주식회사",""),"㈜","")))</f>
        <v/>
      </c>
      <c r="H598" s="10" t="str">
        <f aca="false">IF($B598="","",SUBSTITUTE(SUBSTITUTE(SUBSTITUTE($B598,"-","")," ",""),".",""))</f>
        <v/>
      </c>
      <c r="I598" s="10" t="str">
        <f aca="false">IF($D598="","",SUBSTITUTE(SUBSTITUTE(SUBSTITUTE($D598,"-","")," ",""),".",""))</f>
        <v/>
      </c>
      <c r="J598" s="10" t="str">
        <f aca="false">IF($E598="","",UPPER(SUBSTITUTE($E598," ","")))</f>
        <v/>
      </c>
      <c r="K598" s="10" t="str">
        <f aca="false">IF($A598="","",$G598&amp;"|"&amp;$J598)</f>
        <v/>
      </c>
      <c r="L598" s="10" t="str">
        <f aca="false">IF($A598="","",ROW()-2)</f>
        <v/>
      </c>
      <c r="M598" s="10" t="str">
        <f aca="false">IF($A598="","",ROW())</f>
        <v/>
      </c>
    </row>
    <row r="599" customFormat="false" ht="15" hidden="false" customHeight="true" outlineLevel="0" collapsed="false">
      <c r="A599" s="8"/>
      <c r="B599" s="8"/>
      <c r="C599" s="8"/>
      <c r="D599" s="8"/>
      <c r="E599" s="8"/>
      <c r="F599" s="8"/>
      <c r="G599" s="10" t="str">
        <f aca="false">IF($A599="","",UPPER(SUBSTITUTE(SUBSTITUTE(SUBSTITUTE(SUBSTITUTE($A599," ",""),"(주)",""),"주식회사",""),"㈜","")))</f>
        <v/>
      </c>
      <c r="H599" s="10" t="str">
        <f aca="false">IF($B599="","",SUBSTITUTE(SUBSTITUTE(SUBSTITUTE($B599,"-","")," ",""),".",""))</f>
        <v/>
      </c>
      <c r="I599" s="10" t="str">
        <f aca="false">IF($D599="","",SUBSTITUTE(SUBSTITUTE(SUBSTITUTE($D599,"-","")," ",""),".",""))</f>
        <v/>
      </c>
      <c r="J599" s="10" t="str">
        <f aca="false">IF($E599="","",UPPER(SUBSTITUTE($E599," ","")))</f>
        <v/>
      </c>
      <c r="K599" s="10" t="str">
        <f aca="false">IF($A599="","",$G599&amp;"|"&amp;$J599)</f>
        <v/>
      </c>
      <c r="L599" s="10" t="str">
        <f aca="false">IF($A599="","",ROW()-2)</f>
        <v/>
      </c>
      <c r="M599" s="10" t="str">
        <f aca="false">IF($A599="","",ROW())</f>
        <v/>
      </c>
    </row>
    <row r="600" customFormat="false" ht="15" hidden="false" customHeight="true" outlineLevel="0" collapsed="false">
      <c r="A600" s="8"/>
      <c r="B600" s="8"/>
      <c r="C600" s="8"/>
      <c r="D600" s="8"/>
      <c r="E600" s="8"/>
      <c r="F600" s="8"/>
      <c r="G600" s="10" t="str">
        <f aca="false">IF($A600="","",UPPER(SUBSTITUTE(SUBSTITUTE(SUBSTITUTE(SUBSTITUTE($A600," ",""),"(주)",""),"주식회사",""),"㈜","")))</f>
        <v/>
      </c>
      <c r="H600" s="10" t="str">
        <f aca="false">IF($B600="","",SUBSTITUTE(SUBSTITUTE(SUBSTITUTE($B600,"-","")," ",""),".",""))</f>
        <v/>
      </c>
      <c r="I600" s="10" t="str">
        <f aca="false">IF($D600="","",SUBSTITUTE(SUBSTITUTE(SUBSTITUTE($D600,"-","")," ",""),".",""))</f>
        <v/>
      </c>
      <c r="J600" s="10" t="str">
        <f aca="false">IF($E600="","",UPPER(SUBSTITUTE($E600," ","")))</f>
        <v/>
      </c>
      <c r="K600" s="10" t="str">
        <f aca="false">IF($A600="","",$G600&amp;"|"&amp;$J600)</f>
        <v/>
      </c>
      <c r="L600" s="10" t="str">
        <f aca="false">IF($A600="","",ROW()-2)</f>
        <v/>
      </c>
      <c r="M600" s="10" t="str">
        <f aca="false">IF($A600="","",ROW())</f>
        <v/>
      </c>
    </row>
    <row r="601" customFormat="false" ht="15" hidden="false" customHeight="true" outlineLevel="0" collapsed="false">
      <c r="A601" s="8"/>
      <c r="B601" s="8"/>
      <c r="C601" s="8"/>
      <c r="D601" s="8"/>
      <c r="E601" s="8"/>
      <c r="F601" s="8"/>
      <c r="G601" s="10" t="str">
        <f aca="false">IF($A601="","",UPPER(SUBSTITUTE(SUBSTITUTE(SUBSTITUTE(SUBSTITUTE($A601," ",""),"(주)",""),"주식회사",""),"㈜","")))</f>
        <v/>
      </c>
      <c r="H601" s="10" t="str">
        <f aca="false">IF($B601="","",SUBSTITUTE(SUBSTITUTE(SUBSTITUTE($B601,"-","")," ",""),".",""))</f>
        <v/>
      </c>
      <c r="I601" s="10" t="str">
        <f aca="false">IF($D601="","",SUBSTITUTE(SUBSTITUTE(SUBSTITUTE($D601,"-","")," ",""),".",""))</f>
        <v/>
      </c>
      <c r="J601" s="10" t="str">
        <f aca="false">IF($E601="","",UPPER(SUBSTITUTE($E601," ","")))</f>
        <v/>
      </c>
      <c r="K601" s="10" t="str">
        <f aca="false">IF($A601="","",$G601&amp;"|"&amp;$J601)</f>
        <v/>
      </c>
      <c r="L601" s="10" t="str">
        <f aca="false">IF($A601="","",ROW()-2)</f>
        <v/>
      </c>
      <c r="M601" s="10" t="str">
        <f aca="false">IF($A601="","",ROW())</f>
        <v/>
      </c>
    </row>
    <row r="602" customFormat="false" ht="15" hidden="false" customHeight="true" outlineLevel="0" collapsed="false">
      <c r="A602" s="8"/>
      <c r="B602" s="8"/>
      <c r="C602" s="8"/>
      <c r="D602" s="8"/>
      <c r="E602" s="8"/>
      <c r="F602" s="8"/>
      <c r="G602" s="10" t="str">
        <f aca="false">IF($A602="","",UPPER(SUBSTITUTE(SUBSTITUTE(SUBSTITUTE(SUBSTITUTE($A602," ",""),"(주)",""),"주식회사",""),"㈜","")))</f>
        <v/>
      </c>
      <c r="H602" s="10" t="str">
        <f aca="false">IF($B602="","",SUBSTITUTE(SUBSTITUTE(SUBSTITUTE($B602,"-","")," ",""),".",""))</f>
        <v/>
      </c>
      <c r="I602" s="10" t="str">
        <f aca="false">IF($D602="","",SUBSTITUTE(SUBSTITUTE(SUBSTITUTE($D602,"-","")," ",""),".",""))</f>
        <v/>
      </c>
      <c r="J602" s="10" t="str">
        <f aca="false">IF($E602="","",UPPER(SUBSTITUTE($E602," ","")))</f>
        <v/>
      </c>
      <c r="K602" s="10" t="str">
        <f aca="false">IF($A602="","",$G602&amp;"|"&amp;$J602)</f>
        <v/>
      </c>
      <c r="L602" s="10" t="str">
        <f aca="false">IF($A602="","",ROW()-2)</f>
        <v/>
      </c>
      <c r="M602" s="10" t="str">
        <f aca="false">IF($A602="","",ROW())</f>
        <v/>
      </c>
    </row>
    <row r="603" customFormat="false" ht="15" hidden="false" customHeight="true" outlineLevel="0" collapsed="false">
      <c r="A603" s="8"/>
      <c r="B603" s="8"/>
      <c r="C603" s="8"/>
      <c r="D603" s="8"/>
      <c r="E603" s="8"/>
      <c r="F603" s="8"/>
      <c r="G603" s="10" t="str">
        <f aca="false">IF($A603="","",UPPER(SUBSTITUTE(SUBSTITUTE(SUBSTITUTE(SUBSTITUTE($A603," ",""),"(주)",""),"주식회사",""),"㈜","")))</f>
        <v/>
      </c>
      <c r="H603" s="10" t="str">
        <f aca="false">IF($B603="","",SUBSTITUTE(SUBSTITUTE(SUBSTITUTE($B603,"-","")," ",""),".",""))</f>
        <v/>
      </c>
      <c r="I603" s="10" t="str">
        <f aca="false">IF($D603="","",SUBSTITUTE(SUBSTITUTE(SUBSTITUTE($D603,"-","")," ",""),".",""))</f>
        <v/>
      </c>
      <c r="J603" s="10" t="str">
        <f aca="false">IF($E603="","",UPPER(SUBSTITUTE($E603," ","")))</f>
        <v/>
      </c>
      <c r="K603" s="10" t="str">
        <f aca="false">IF($A603="","",$G603&amp;"|"&amp;$J603)</f>
        <v/>
      </c>
      <c r="L603" s="10" t="str">
        <f aca="false">IF($A603="","",ROW()-2)</f>
        <v/>
      </c>
      <c r="M603" s="10" t="str">
        <f aca="false">IF($A603="","",ROW())</f>
        <v/>
      </c>
    </row>
    <row r="604" customFormat="false" ht="15" hidden="false" customHeight="true" outlineLevel="0" collapsed="false">
      <c r="A604" s="8"/>
      <c r="B604" s="8"/>
      <c r="C604" s="8"/>
      <c r="D604" s="8"/>
      <c r="E604" s="8"/>
      <c r="F604" s="8"/>
      <c r="G604" s="10" t="str">
        <f aca="false">IF($A604="","",UPPER(SUBSTITUTE(SUBSTITUTE(SUBSTITUTE(SUBSTITUTE($A604," ",""),"(주)",""),"주식회사",""),"㈜","")))</f>
        <v/>
      </c>
      <c r="H604" s="10" t="str">
        <f aca="false">IF($B604="","",SUBSTITUTE(SUBSTITUTE(SUBSTITUTE($B604,"-","")," ",""),".",""))</f>
        <v/>
      </c>
      <c r="I604" s="10" t="str">
        <f aca="false">IF($D604="","",SUBSTITUTE(SUBSTITUTE(SUBSTITUTE($D604,"-","")," ",""),".",""))</f>
        <v/>
      </c>
      <c r="J604" s="10" t="str">
        <f aca="false">IF($E604="","",UPPER(SUBSTITUTE($E604," ","")))</f>
        <v/>
      </c>
      <c r="K604" s="10" t="str">
        <f aca="false">IF($A604="","",$G604&amp;"|"&amp;$J604)</f>
        <v/>
      </c>
      <c r="L604" s="10" t="str">
        <f aca="false">IF($A604="","",ROW()-2)</f>
        <v/>
      </c>
      <c r="M604" s="10" t="str">
        <f aca="false">IF($A604="","",ROW())</f>
        <v/>
      </c>
    </row>
    <row r="605" customFormat="false" ht="15" hidden="false" customHeight="true" outlineLevel="0" collapsed="false">
      <c r="A605" s="8"/>
      <c r="B605" s="8"/>
      <c r="C605" s="8"/>
      <c r="D605" s="8"/>
      <c r="E605" s="8"/>
      <c r="F605" s="8"/>
      <c r="G605" s="10" t="str">
        <f aca="false">IF($A605="","",UPPER(SUBSTITUTE(SUBSTITUTE(SUBSTITUTE(SUBSTITUTE($A605," ",""),"(주)",""),"주식회사",""),"㈜","")))</f>
        <v/>
      </c>
      <c r="H605" s="10" t="str">
        <f aca="false">IF($B605="","",SUBSTITUTE(SUBSTITUTE(SUBSTITUTE($B605,"-","")," ",""),".",""))</f>
        <v/>
      </c>
      <c r="I605" s="10" t="str">
        <f aca="false">IF($D605="","",SUBSTITUTE(SUBSTITUTE(SUBSTITUTE($D605,"-","")," ",""),".",""))</f>
        <v/>
      </c>
      <c r="J605" s="10" t="str">
        <f aca="false">IF($E605="","",UPPER(SUBSTITUTE($E605," ","")))</f>
        <v/>
      </c>
      <c r="K605" s="10" t="str">
        <f aca="false">IF($A605="","",$G605&amp;"|"&amp;$J605)</f>
        <v/>
      </c>
      <c r="L605" s="10" t="str">
        <f aca="false">IF($A605="","",ROW()-2)</f>
        <v/>
      </c>
      <c r="M605" s="10" t="str">
        <f aca="false">IF($A605="","",ROW())</f>
        <v/>
      </c>
    </row>
    <row r="606" customFormat="false" ht="15" hidden="false" customHeight="true" outlineLevel="0" collapsed="false">
      <c r="A606" s="8"/>
      <c r="B606" s="8"/>
      <c r="C606" s="8"/>
      <c r="D606" s="8"/>
      <c r="E606" s="8"/>
      <c r="F606" s="8"/>
      <c r="G606" s="10" t="str">
        <f aca="false">IF($A606="","",UPPER(SUBSTITUTE(SUBSTITUTE(SUBSTITUTE(SUBSTITUTE($A606," ",""),"(주)",""),"주식회사",""),"㈜","")))</f>
        <v/>
      </c>
      <c r="H606" s="10" t="str">
        <f aca="false">IF($B606="","",SUBSTITUTE(SUBSTITUTE(SUBSTITUTE($B606,"-","")," ",""),".",""))</f>
        <v/>
      </c>
      <c r="I606" s="10" t="str">
        <f aca="false">IF($D606="","",SUBSTITUTE(SUBSTITUTE(SUBSTITUTE($D606,"-","")," ",""),".",""))</f>
        <v/>
      </c>
      <c r="J606" s="10" t="str">
        <f aca="false">IF($E606="","",UPPER(SUBSTITUTE($E606," ","")))</f>
        <v/>
      </c>
      <c r="K606" s="10" t="str">
        <f aca="false">IF($A606="","",$G606&amp;"|"&amp;$J606)</f>
        <v/>
      </c>
      <c r="L606" s="10" t="str">
        <f aca="false">IF($A606="","",ROW()-2)</f>
        <v/>
      </c>
      <c r="M606" s="10" t="str">
        <f aca="false">IF($A606="","",ROW())</f>
        <v/>
      </c>
    </row>
    <row r="607" customFormat="false" ht="15" hidden="false" customHeight="true" outlineLevel="0" collapsed="false">
      <c r="A607" s="8"/>
      <c r="B607" s="8"/>
      <c r="C607" s="8"/>
      <c r="D607" s="8"/>
      <c r="E607" s="8"/>
      <c r="F607" s="8"/>
      <c r="G607" s="10" t="str">
        <f aca="false">IF($A607="","",UPPER(SUBSTITUTE(SUBSTITUTE(SUBSTITUTE(SUBSTITUTE($A607," ",""),"(주)",""),"주식회사",""),"㈜","")))</f>
        <v/>
      </c>
      <c r="H607" s="10" t="str">
        <f aca="false">IF($B607="","",SUBSTITUTE(SUBSTITUTE(SUBSTITUTE($B607,"-","")," ",""),".",""))</f>
        <v/>
      </c>
      <c r="I607" s="10" t="str">
        <f aca="false">IF($D607="","",SUBSTITUTE(SUBSTITUTE(SUBSTITUTE($D607,"-","")," ",""),".",""))</f>
        <v/>
      </c>
      <c r="J607" s="10" t="str">
        <f aca="false">IF($E607="","",UPPER(SUBSTITUTE($E607," ","")))</f>
        <v/>
      </c>
      <c r="K607" s="10" t="str">
        <f aca="false">IF($A607="","",$G607&amp;"|"&amp;$J607)</f>
        <v/>
      </c>
      <c r="L607" s="10" t="str">
        <f aca="false">IF($A607="","",ROW()-2)</f>
        <v/>
      </c>
      <c r="M607" s="10" t="str">
        <f aca="false">IF($A607="","",ROW())</f>
        <v/>
      </c>
    </row>
    <row r="608" customFormat="false" ht="15" hidden="false" customHeight="true" outlineLevel="0" collapsed="false">
      <c r="A608" s="8"/>
      <c r="B608" s="8"/>
      <c r="C608" s="8"/>
      <c r="D608" s="8"/>
      <c r="E608" s="8"/>
      <c r="F608" s="8"/>
      <c r="G608" s="10" t="str">
        <f aca="false">IF($A608="","",UPPER(SUBSTITUTE(SUBSTITUTE(SUBSTITUTE(SUBSTITUTE($A608," ",""),"(주)",""),"주식회사",""),"㈜","")))</f>
        <v/>
      </c>
      <c r="H608" s="10" t="str">
        <f aca="false">IF($B608="","",SUBSTITUTE(SUBSTITUTE(SUBSTITUTE($B608,"-","")," ",""),".",""))</f>
        <v/>
      </c>
      <c r="I608" s="10" t="str">
        <f aca="false">IF($D608="","",SUBSTITUTE(SUBSTITUTE(SUBSTITUTE($D608,"-","")," ",""),".",""))</f>
        <v/>
      </c>
      <c r="J608" s="10" t="str">
        <f aca="false">IF($E608="","",UPPER(SUBSTITUTE($E608," ","")))</f>
        <v/>
      </c>
      <c r="K608" s="10" t="str">
        <f aca="false">IF($A608="","",$G608&amp;"|"&amp;$J608)</f>
        <v/>
      </c>
      <c r="L608" s="10" t="str">
        <f aca="false">IF($A608="","",ROW()-2)</f>
        <v/>
      </c>
      <c r="M608" s="10" t="str">
        <f aca="false">IF($A608="","",ROW())</f>
        <v/>
      </c>
    </row>
    <row r="609" customFormat="false" ht="15" hidden="false" customHeight="true" outlineLevel="0" collapsed="false">
      <c r="A609" s="8"/>
      <c r="B609" s="8"/>
      <c r="C609" s="8"/>
      <c r="D609" s="8"/>
      <c r="E609" s="8"/>
      <c r="F609" s="8"/>
      <c r="G609" s="10" t="str">
        <f aca="false">IF($A609="","",UPPER(SUBSTITUTE(SUBSTITUTE(SUBSTITUTE(SUBSTITUTE($A609," ",""),"(주)",""),"주식회사",""),"㈜","")))</f>
        <v/>
      </c>
      <c r="H609" s="10" t="str">
        <f aca="false">IF($B609="","",SUBSTITUTE(SUBSTITUTE(SUBSTITUTE($B609,"-","")," ",""),".",""))</f>
        <v/>
      </c>
      <c r="I609" s="10" t="str">
        <f aca="false">IF($D609="","",SUBSTITUTE(SUBSTITUTE(SUBSTITUTE($D609,"-","")," ",""),".",""))</f>
        <v/>
      </c>
      <c r="J609" s="10" t="str">
        <f aca="false">IF($E609="","",UPPER(SUBSTITUTE($E609," ","")))</f>
        <v/>
      </c>
      <c r="K609" s="10" t="str">
        <f aca="false">IF($A609="","",$G609&amp;"|"&amp;$J609)</f>
        <v/>
      </c>
      <c r="L609" s="10" t="str">
        <f aca="false">IF($A609="","",ROW()-2)</f>
        <v/>
      </c>
      <c r="M609" s="10" t="str">
        <f aca="false">IF($A609="","",ROW())</f>
        <v/>
      </c>
    </row>
    <row r="610" customFormat="false" ht="15" hidden="false" customHeight="true" outlineLevel="0" collapsed="false">
      <c r="A610" s="8"/>
      <c r="B610" s="8"/>
      <c r="C610" s="8"/>
      <c r="D610" s="8"/>
      <c r="E610" s="8"/>
      <c r="F610" s="8"/>
      <c r="G610" s="10" t="str">
        <f aca="false">IF($A610="","",UPPER(SUBSTITUTE(SUBSTITUTE(SUBSTITUTE(SUBSTITUTE($A610," ",""),"(주)",""),"주식회사",""),"㈜","")))</f>
        <v/>
      </c>
      <c r="H610" s="10" t="str">
        <f aca="false">IF($B610="","",SUBSTITUTE(SUBSTITUTE(SUBSTITUTE($B610,"-","")," ",""),".",""))</f>
        <v/>
      </c>
      <c r="I610" s="10" t="str">
        <f aca="false">IF($D610="","",SUBSTITUTE(SUBSTITUTE(SUBSTITUTE($D610,"-","")," ",""),".",""))</f>
        <v/>
      </c>
      <c r="J610" s="10" t="str">
        <f aca="false">IF($E610="","",UPPER(SUBSTITUTE($E610," ","")))</f>
        <v/>
      </c>
      <c r="K610" s="10" t="str">
        <f aca="false">IF($A610="","",$G610&amp;"|"&amp;$J610)</f>
        <v/>
      </c>
      <c r="L610" s="10" t="str">
        <f aca="false">IF($A610="","",ROW()-2)</f>
        <v/>
      </c>
      <c r="M610" s="10" t="str">
        <f aca="false">IF($A610="","",ROW())</f>
        <v/>
      </c>
    </row>
    <row r="611" customFormat="false" ht="15" hidden="false" customHeight="true" outlineLevel="0" collapsed="false">
      <c r="A611" s="8"/>
      <c r="B611" s="8"/>
      <c r="C611" s="8"/>
      <c r="D611" s="8"/>
      <c r="E611" s="8"/>
      <c r="F611" s="8"/>
      <c r="G611" s="10" t="str">
        <f aca="false">IF($A611="","",UPPER(SUBSTITUTE(SUBSTITUTE(SUBSTITUTE(SUBSTITUTE($A611," ",""),"(주)",""),"주식회사",""),"㈜","")))</f>
        <v/>
      </c>
      <c r="H611" s="10" t="str">
        <f aca="false">IF($B611="","",SUBSTITUTE(SUBSTITUTE(SUBSTITUTE($B611,"-","")," ",""),".",""))</f>
        <v/>
      </c>
      <c r="I611" s="10" t="str">
        <f aca="false">IF($D611="","",SUBSTITUTE(SUBSTITUTE(SUBSTITUTE($D611,"-","")," ",""),".",""))</f>
        <v/>
      </c>
      <c r="J611" s="10" t="str">
        <f aca="false">IF($E611="","",UPPER(SUBSTITUTE($E611," ","")))</f>
        <v/>
      </c>
      <c r="K611" s="10" t="str">
        <f aca="false">IF($A611="","",$G611&amp;"|"&amp;$J611)</f>
        <v/>
      </c>
      <c r="L611" s="10" t="str">
        <f aca="false">IF($A611="","",ROW()-2)</f>
        <v/>
      </c>
      <c r="M611" s="10" t="str">
        <f aca="false">IF($A611="","",ROW())</f>
        <v/>
      </c>
    </row>
    <row r="612" customFormat="false" ht="15" hidden="false" customHeight="true" outlineLevel="0" collapsed="false">
      <c r="A612" s="8"/>
      <c r="B612" s="8"/>
      <c r="C612" s="8"/>
      <c r="D612" s="8"/>
      <c r="E612" s="8"/>
      <c r="F612" s="8"/>
      <c r="G612" s="10" t="str">
        <f aca="false">IF($A612="","",UPPER(SUBSTITUTE(SUBSTITUTE(SUBSTITUTE(SUBSTITUTE($A612," ",""),"(주)",""),"주식회사",""),"㈜","")))</f>
        <v/>
      </c>
      <c r="H612" s="10" t="str">
        <f aca="false">IF($B612="","",SUBSTITUTE(SUBSTITUTE(SUBSTITUTE($B612,"-","")," ",""),".",""))</f>
        <v/>
      </c>
      <c r="I612" s="10" t="str">
        <f aca="false">IF($D612="","",SUBSTITUTE(SUBSTITUTE(SUBSTITUTE($D612,"-","")," ",""),".",""))</f>
        <v/>
      </c>
      <c r="J612" s="10" t="str">
        <f aca="false">IF($E612="","",UPPER(SUBSTITUTE($E612," ","")))</f>
        <v/>
      </c>
      <c r="K612" s="10" t="str">
        <f aca="false">IF($A612="","",$G612&amp;"|"&amp;$J612)</f>
        <v/>
      </c>
      <c r="L612" s="10" t="str">
        <f aca="false">IF($A612="","",ROW()-2)</f>
        <v/>
      </c>
      <c r="M612" s="10" t="str">
        <f aca="false">IF($A612="","",ROW())</f>
        <v/>
      </c>
    </row>
    <row r="613" customFormat="false" ht="15" hidden="false" customHeight="true" outlineLevel="0" collapsed="false">
      <c r="A613" s="8"/>
      <c r="B613" s="8"/>
      <c r="C613" s="8"/>
      <c r="D613" s="8"/>
      <c r="E613" s="8"/>
      <c r="F613" s="8"/>
      <c r="G613" s="10" t="str">
        <f aca="false">IF($A613="","",UPPER(SUBSTITUTE(SUBSTITUTE(SUBSTITUTE(SUBSTITUTE($A613," ",""),"(주)",""),"주식회사",""),"㈜","")))</f>
        <v/>
      </c>
      <c r="H613" s="10" t="str">
        <f aca="false">IF($B613="","",SUBSTITUTE(SUBSTITUTE(SUBSTITUTE($B613,"-","")," ",""),".",""))</f>
        <v/>
      </c>
      <c r="I613" s="10" t="str">
        <f aca="false">IF($D613="","",SUBSTITUTE(SUBSTITUTE(SUBSTITUTE($D613,"-","")," ",""),".",""))</f>
        <v/>
      </c>
      <c r="J613" s="10" t="str">
        <f aca="false">IF($E613="","",UPPER(SUBSTITUTE($E613," ","")))</f>
        <v/>
      </c>
      <c r="K613" s="10" t="str">
        <f aca="false">IF($A613="","",$G613&amp;"|"&amp;$J613)</f>
        <v/>
      </c>
      <c r="L613" s="10" t="str">
        <f aca="false">IF($A613="","",ROW()-2)</f>
        <v/>
      </c>
      <c r="M613" s="10" t="str">
        <f aca="false">IF($A613="","",ROW())</f>
        <v/>
      </c>
    </row>
    <row r="614" customFormat="false" ht="15" hidden="false" customHeight="true" outlineLevel="0" collapsed="false">
      <c r="A614" s="8"/>
      <c r="B614" s="8"/>
      <c r="C614" s="8"/>
      <c r="D614" s="8"/>
      <c r="E614" s="8"/>
      <c r="F614" s="8"/>
      <c r="G614" s="10" t="str">
        <f aca="false">IF($A614="","",UPPER(SUBSTITUTE(SUBSTITUTE(SUBSTITUTE(SUBSTITUTE($A614," ",""),"(주)",""),"주식회사",""),"㈜","")))</f>
        <v/>
      </c>
      <c r="H614" s="10" t="str">
        <f aca="false">IF($B614="","",SUBSTITUTE(SUBSTITUTE(SUBSTITUTE($B614,"-","")," ",""),".",""))</f>
        <v/>
      </c>
      <c r="I614" s="10" t="str">
        <f aca="false">IF($D614="","",SUBSTITUTE(SUBSTITUTE(SUBSTITUTE($D614,"-","")," ",""),".",""))</f>
        <v/>
      </c>
      <c r="J614" s="10" t="str">
        <f aca="false">IF($E614="","",UPPER(SUBSTITUTE($E614," ","")))</f>
        <v/>
      </c>
      <c r="K614" s="10" t="str">
        <f aca="false">IF($A614="","",$G614&amp;"|"&amp;$J614)</f>
        <v/>
      </c>
      <c r="L614" s="10" t="str">
        <f aca="false">IF($A614="","",ROW()-2)</f>
        <v/>
      </c>
      <c r="M614" s="10" t="str">
        <f aca="false">IF($A614="","",ROW())</f>
        <v/>
      </c>
    </row>
    <row r="615" customFormat="false" ht="15" hidden="false" customHeight="true" outlineLevel="0" collapsed="false">
      <c r="A615" s="8"/>
      <c r="B615" s="8"/>
      <c r="C615" s="8"/>
      <c r="D615" s="8"/>
      <c r="E615" s="8"/>
      <c r="F615" s="8"/>
      <c r="G615" s="10" t="str">
        <f aca="false">IF($A615="","",UPPER(SUBSTITUTE(SUBSTITUTE(SUBSTITUTE(SUBSTITUTE($A615," ",""),"(주)",""),"주식회사",""),"㈜","")))</f>
        <v/>
      </c>
      <c r="H615" s="10" t="str">
        <f aca="false">IF($B615="","",SUBSTITUTE(SUBSTITUTE(SUBSTITUTE($B615,"-","")," ",""),".",""))</f>
        <v/>
      </c>
      <c r="I615" s="10" t="str">
        <f aca="false">IF($D615="","",SUBSTITUTE(SUBSTITUTE(SUBSTITUTE($D615,"-","")," ",""),".",""))</f>
        <v/>
      </c>
      <c r="J615" s="10" t="str">
        <f aca="false">IF($E615="","",UPPER(SUBSTITUTE($E615," ","")))</f>
        <v/>
      </c>
      <c r="K615" s="10" t="str">
        <f aca="false">IF($A615="","",$G615&amp;"|"&amp;$J615)</f>
        <v/>
      </c>
      <c r="L615" s="10" t="str">
        <f aca="false">IF($A615="","",ROW()-2)</f>
        <v/>
      </c>
      <c r="M615" s="10" t="str">
        <f aca="false">IF($A615="","",ROW())</f>
        <v/>
      </c>
    </row>
    <row r="616" customFormat="false" ht="15" hidden="false" customHeight="true" outlineLevel="0" collapsed="false">
      <c r="A616" s="8"/>
      <c r="B616" s="8"/>
      <c r="C616" s="8"/>
      <c r="D616" s="8"/>
      <c r="E616" s="8"/>
      <c r="F616" s="8"/>
      <c r="G616" s="10" t="str">
        <f aca="false">IF($A616="","",UPPER(SUBSTITUTE(SUBSTITUTE(SUBSTITUTE(SUBSTITUTE($A616," ",""),"(주)",""),"주식회사",""),"㈜","")))</f>
        <v/>
      </c>
      <c r="H616" s="10" t="str">
        <f aca="false">IF($B616="","",SUBSTITUTE(SUBSTITUTE(SUBSTITUTE($B616,"-","")," ",""),".",""))</f>
        <v/>
      </c>
      <c r="I616" s="10" t="str">
        <f aca="false">IF($D616="","",SUBSTITUTE(SUBSTITUTE(SUBSTITUTE($D616,"-","")," ",""),".",""))</f>
        <v/>
      </c>
      <c r="J616" s="10" t="str">
        <f aca="false">IF($E616="","",UPPER(SUBSTITUTE($E616," ","")))</f>
        <v/>
      </c>
      <c r="K616" s="10" t="str">
        <f aca="false">IF($A616="","",$G616&amp;"|"&amp;$J616)</f>
        <v/>
      </c>
      <c r="L616" s="10" t="str">
        <f aca="false">IF($A616="","",ROW()-2)</f>
        <v/>
      </c>
      <c r="M616" s="10" t="str">
        <f aca="false">IF($A616="","",ROW())</f>
        <v/>
      </c>
    </row>
    <row r="617" customFormat="false" ht="15" hidden="false" customHeight="true" outlineLevel="0" collapsed="false">
      <c r="A617" s="8"/>
      <c r="B617" s="8"/>
      <c r="C617" s="8"/>
      <c r="D617" s="8"/>
      <c r="E617" s="8"/>
      <c r="F617" s="8"/>
      <c r="G617" s="10" t="str">
        <f aca="false">IF($A617="","",UPPER(SUBSTITUTE(SUBSTITUTE(SUBSTITUTE(SUBSTITUTE($A617," ",""),"(주)",""),"주식회사",""),"㈜","")))</f>
        <v/>
      </c>
      <c r="H617" s="10" t="str">
        <f aca="false">IF($B617="","",SUBSTITUTE(SUBSTITUTE(SUBSTITUTE($B617,"-","")," ",""),".",""))</f>
        <v/>
      </c>
      <c r="I617" s="10" t="str">
        <f aca="false">IF($D617="","",SUBSTITUTE(SUBSTITUTE(SUBSTITUTE($D617,"-","")," ",""),".",""))</f>
        <v/>
      </c>
      <c r="J617" s="10" t="str">
        <f aca="false">IF($E617="","",UPPER(SUBSTITUTE($E617," ","")))</f>
        <v/>
      </c>
      <c r="K617" s="10" t="str">
        <f aca="false">IF($A617="","",$G617&amp;"|"&amp;$J617)</f>
        <v/>
      </c>
      <c r="L617" s="10" t="str">
        <f aca="false">IF($A617="","",ROW()-2)</f>
        <v/>
      </c>
      <c r="M617" s="10" t="str">
        <f aca="false">IF($A617="","",ROW())</f>
        <v/>
      </c>
    </row>
    <row r="618" customFormat="false" ht="15" hidden="false" customHeight="true" outlineLevel="0" collapsed="false">
      <c r="A618" s="8"/>
      <c r="B618" s="8"/>
      <c r="C618" s="8"/>
      <c r="D618" s="8"/>
      <c r="E618" s="8"/>
      <c r="F618" s="8"/>
      <c r="G618" s="10" t="str">
        <f aca="false">IF($A618="","",UPPER(SUBSTITUTE(SUBSTITUTE(SUBSTITUTE(SUBSTITUTE($A618," ",""),"(주)",""),"주식회사",""),"㈜","")))</f>
        <v/>
      </c>
      <c r="H618" s="10" t="str">
        <f aca="false">IF($B618="","",SUBSTITUTE(SUBSTITUTE(SUBSTITUTE($B618,"-","")," ",""),".",""))</f>
        <v/>
      </c>
      <c r="I618" s="10" t="str">
        <f aca="false">IF($D618="","",SUBSTITUTE(SUBSTITUTE(SUBSTITUTE($D618,"-","")," ",""),".",""))</f>
        <v/>
      </c>
      <c r="J618" s="10" t="str">
        <f aca="false">IF($E618="","",UPPER(SUBSTITUTE($E618," ","")))</f>
        <v/>
      </c>
      <c r="K618" s="10" t="str">
        <f aca="false">IF($A618="","",$G618&amp;"|"&amp;$J618)</f>
        <v/>
      </c>
      <c r="L618" s="10" t="str">
        <f aca="false">IF($A618="","",ROW()-2)</f>
        <v/>
      </c>
      <c r="M618" s="10" t="str">
        <f aca="false">IF($A618="","",ROW())</f>
        <v/>
      </c>
    </row>
    <row r="619" customFormat="false" ht="15" hidden="false" customHeight="true" outlineLevel="0" collapsed="false">
      <c r="A619" s="8"/>
      <c r="B619" s="8"/>
      <c r="C619" s="8"/>
      <c r="D619" s="8"/>
      <c r="E619" s="8"/>
      <c r="F619" s="8"/>
      <c r="G619" s="10" t="str">
        <f aca="false">IF($A619="","",UPPER(SUBSTITUTE(SUBSTITUTE(SUBSTITUTE(SUBSTITUTE($A619," ",""),"(주)",""),"주식회사",""),"㈜","")))</f>
        <v/>
      </c>
      <c r="H619" s="10" t="str">
        <f aca="false">IF($B619="","",SUBSTITUTE(SUBSTITUTE(SUBSTITUTE($B619,"-","")," ",""),".",""))</f>
        <v/>
      </c>
      <c r="I619" s="10" t="str">
        <f aca="false">IF($D619="","",SUBSTITUTE(SUBSTITUTE(SUBSTITUTE($D619,"-","")," ",""),".",""))</f>
        <v/>
      </c>
      <c r="J619" s="10" t="str">
        <f aca="false">IF($E619="","",UPPER(SUBSTITUTE($E619," ","")))</f>
        <v/>
      </c>
      <c r="K619" s="10" t="str">
        <f aca="false">IF($A619="","",$G619&amp;"|"&amp;$J619)</f>
        <v/>
      </c>
      <c r="L619" s="10" t="str">
        <f aca="false">IF($A619="","",ROW()-2)</f>
        <v/>
      </c>
      <c r="M619" s="10" t="str">
        <f aca="false">IF($A619="","",ROW())</f>
        <v/>
      </c>
    </row>
    <row r="620" customFormat="false" ht="15" hidden="false" customHeight="true" outlineLevel="0" collapsed="false">
      <c r="A620" s="8"/>
      <c r="B620" s="8"/>
      <c r="C620" s="8"/>
      <c r="D620" s="8"/>
      <c r="E620" s="8"/>
      <c r="F620" s="8"/>
      <c r="G620" s="10" t="str">
        <f aca="false">IF($A620="","",UPPER(SUBSTITUTE(SUBSTITUTE(SUBSTITUTE(SUBSTITUTE($A620," ",""),"(주)",""),"주식회사",""),"㈜","")))</f>
        <v/>
      </c>
      <c r="H620" s="10" t="str">
        <f aca="false">IF($B620="","",SUBSTITUTE(SUBSTITUTE(SUBSTITUTE($B620,"-","")," ",""),".",""))</f>
        <v/>
      </c>
      <c r="I620" s="10" t="str">
        <f aca="false">IF($D620="","",SUBSTITUTE(SUBSTITUTE(SUBSTITUTE($D620,"-","")," ",""),".",""))</f>
        <v/>
      </c>
      <c r="J620" s="10" t="str">
        <f aca="false">IF($E620="","",UPPER(SUBSTITUTE($E620," ","")))</f>
        <v/>
      </c>
      <c r="K620" s="10" t="str">
        <f aca="false">IF($A620="","",$G620&amp;"|"&amp;$J620)</f>
        <v/>
      </c>
      <c r="L620" s="10" t="str">
        <f aca="false">IF($A620="","",ROW()-2)</f>
        <v/>
      </c>
      <c r="M620" s="10" t="str">
        <f aca="false">IF($A620="","",ROW())</f>
        <v/>
      </c>
    </row>
    <row r="621" customFormat="false" ht="15" hidden="false" customHeight="true" outlineLevel="0" collapsed="false">
      <c r="A621" s="8"/>
      <c r="B621" s="8"/>
      <c r="C621" s="8"/>
      <c r="D621" s="8"/>
      <c r="E621" s="8"/>
      <c r="F621" s="8"/>
      <c r="G621" s="10" t="str">
        <f aca="false">IF($A621="","",UPPER(SUBSTITUTE(SUBSTITUTE(SUBSTITUTE(SUBSTITUTE($A621," ",""),"(주)",""),"주식회사",""),"㈜","")))</f>
        <v/>
      </c>
      <c r="H621" s="10" t="str">
        <f aca="false">IF($B621="","",SUBSTITUTE(SUBSTITUTE(SUBSTITUTE($B621,"-","")," ",""),".",""))</f>
        <v/>
      </c>
      <c r="I621" s="10" t="str">
        <f aca="false">IF($D621="","",SUBSTITUTE(SUBSTITUTE(SUBSTITUTE($D621,"-","")," ",""),".",""))</f>
        <v/>
      </c>
      <c r="J621" s="10" t="str">
        <f aca="false">IF($E621="","",UPPER(SUBSTITUTE($E621," ","")))</f>
        <v/>
      </c>
      <c r="K621" s="10" t="str">
        <f aca="false">IF($A621="","",$G621&amp;"|"&amp;$J621)</f>
        <v/>
      </c>
      <c r="L621" s="10" t="str">
        <f aca="false">IF($A621="","",ROW()-2)</f>
        <v/>
      </c>
      <c r="M621" s="10" t="str">
        <f aca="false">IF($A621="","",ROW())</f>
        <v/>
      </c>
    </row>
    <row r="622" customFormat="false" ht="15" hidden="false" customHeight="true" outlineLevel="0" collapsed="false">
      <c r="A622" s="8"/>
      <c r="B622" s="8"/>
      <c r="C622" s="8"/>
      <c r="D622" s="8"/>
      <c r="E622" s="8"/>
      <c r="F622" s="8"/>
      <c r="G622" s="10" t="str">
        <f aca="false">IF($A622="","",UPPER(SUBSTITUTE(SUBSTITUTE(SUBSTITUTE(SUBSTITUTE($A622," ",""),"(주)",""),"주식회사",""),"㈜","")))</f>
        <v/>
      </c>
      <c r="H622" s="10" t="str">
        <f aca="false">IF($B622="","",SUBSTITUTE(SUBSTITUTE(SUBSTITUTE($B622,"-","")," ",""),".",""))</f>
        <v/>
      </c>
      <c r="I622" s="10" t="str">
        <f aca="false">IF($D622="","",SUBSTITUTE(SUBSTITUTE(SUBSTITUTE($D622,"-","")," ",""),".",""))</f>
        <v/>
      </c>
      <c r="J622" s="10" t="str">
        <f aca="false">IF($E622="","",UPPER(SUBSTITUTE($E622," ","")))</f>
        <v/>
      </c>
      <c r="K622" s="10" t="str">
        <f aca="false">IF($A622="","",$G622&amp;"|"&amp;$J622)</f>
        <v/>
      </c>
      <c r="L622" s="10" t="str">
        <f aca="false">IF($A622="","",ROW()-2)</f>
        <v/>
      </c>
      <c r="M622" s="10" t="str">
        <f aca="false">IF($A622="","",ROW())</f>
        <v/>
      </c>
    </row>
    <row r="623" customFormat="false" ht="15" hidden="false" customHeight="true" outlineLevel="0" collapsed="false">
      <c r="A623" s="8"/>
      <c r="B623" s="8"/>
      <c r="C623" s="8"/>
      <c r="D623" s="8"/>
      <c r="E623" s="8"/>
      <c r="F623" s="8"/>
      <c r="G623" s="10" t="str">
        <f aca="false">IF($A623="","",UPPER(SUBSTITUTE(SUBSTITUTE(SUBSTITUTE(SUBSTITUTE($A623," ",""),"(주)",""),"주식회사",""),"㈜","")))</f>
        <v/>
      </c>
      <c r="H623" s="10" t="str">
        <f aca="false">IF($B623="","",SUBSTITUTE(SUBSTITUTE(SUBSTITUTE($B623,"-","")," ",""),".",""))</f>
        <v/>
      </c>
      <c r="I623" s="10" t="str">
        <f aca="false">IF($D623="","",SUBSTITUTE(SUBSTITUTE(SUBSTITUTE($D623,"-","")," ",""),".",""))</f>
        <v/>
      </c>
      <c r="J623" s="10" t="str">
        <f aca="false">IF($E623="","",UPPER(SUBSTITUTE($E623," ","")))</f>
        <v/>
      </c>
      <c r="K623" s="10" t="str">
        <f aca="false">IF($A623="","",$G623&amp;"|"&amp;$J623)</f>
        <v/>
      </c>
      <c r="L623" s="10" t="str">
        <f aca="false">IF($A623="","",ROW()-2)</f>
        <v/>
      </c>
      <c r="M623" s="10" t="str">
        <f aca="false">IF($A623="","",ROW())</f>
        <v/>
      </c>
    </row>
    <row r="624" customFormat="false" ht="15" hidden="false" customHeight="true" outlineLevel="0" collapsed="false">
      <c r="A624" s="8"/>
      <c r="B624" s="8"/>
      <c r="C624" s="8"/>
      <c r="D624" s="8"/>
      <c r="E624" s="8"/>
      <c r="F624" s="8"/>
      <c r="G624" s="10" t="str">
        <f aca="false">IF($A624="","",UPPER(SUBSTITUTE(SUBSTITUTE(SUBSTITUTE(SUBSTITUTE($A624," ",""),"(주)",""),"주식회사",""),"㈜","")))</f>
        <v/>
      </c>
      <c r="H624" s="10" t="str">
        <f aca="false">IF($B624="","",SUBSTITUTE(SUBSTITUTE(SUBSTITUTE($B624,"-","")," ",""),".",""))</f>
        <v/>
      </c>
      <c r="I624" s="10" t="str">
        <f aca="false">IF($D624="","",SUBSTITUTE(SUBSTITUTE(SUBSTITUTE($D624,"-","")," ",""),".",""))</f>
        <v/>
      </c>
      <c r="J624" s="10" t="str">
        <f aca="false">IF($E624="","",UPPER(SUBSTITUTE($E624," ","")))</f>
        <v/>
      </c>
      <c r="K624" s="10" t="str">
        <f aca="false">IF($A624="","",$G624&amp;"|"&amp;$J624)</f>
        <v/>
      </c>
      <c r="L624" s="10" t="str">
        <f aca="false">IF($A624="","",ROW()-2)</f>
        <v/>
      </c>
      <c r="M624" s="10" t="str">
        <f aca="false">IF($A624="","",ROW())</f>
        <v/>
      </c>
    </row>
    <row r="625" customFormat="false" ht="15" hidden="false" customHeight="true" outlineLevel="0" collapsed="false">
      <c r="A625" s="8"/>
      <c r="B625" s="8"/>
      <c r="C625" s="8"/>
      <c r="D625" s="8"/>
      <c r="E625" s="8"/>
      <c r="F625" s="8"/>
      <c r="G625" s="10" t="str">
        <f aca="false">IF($A625="","",UPPER(SUBSTITUTE(SUBSTITUTE(SUBSTITUTE(SUBSTITUTE($A625," ",""),"(주)",""),"주식회사",""),"㈜","")))</f>
        <v/>
      </c>
      <c r="H625" s="10" t="str">
        <f aca="false">IF($B625="","",SUBSTITUTE(SUBSTITUTE(SUBSTITUTE($B625,"-","")," ",""),".",""))</f>
        <v/>
      </c>
      <c r="I625" s="10" t="str">
        <f aca="false">IF($D625="","",SUBSTITUTE(SUBSTITUTE(SUBSTITUTE($D625,"-","")," ",""),".",""))</f>
        <v/>
      </c>
      <c r="J625" s="10" t="str">
        <f aca="false">IF($E625="","",UPPER(SUBSTITUTE($E625," ","")))</f>
        <v/>
      </c>
      <c r="K625" s="10" t="str">
        <f aca="false">IF($A625="","",$G625&amp;"|"&amp;$J625)</f>
        <v/>
      </c>
      <c r="L625" s="10" t="str">
        <f aca="false">IF($A625="","",ROW()-2)</f>
        <v/>
      </c>
      <c r="M625" s="10" t="str">
        <f aca="false">IF($A625="","",ROW())</f>
        <v/>
      </c>
    </row>
    <row r="626" customFormat="false" ht="15" hidden="false" customHeight="true" outlineLevel="0" collapsed="false">
      <c r="A626" s="8"/>
      <c r="B626" s="8"/>
      <c r="C626" s="8"/>
      <c r="D626" s="8"/>
      <c r="E626" s="8"/>
      <c r="F626" s="8"/>
      <c r="G626" s="10" t="str">
        <f aca="false">IF($A626="","",UPPER(SUBSTITUTE(SUBSTITUTE(SUBSTITUTE(SUBSTITUTE($A626," ",""),"(주)",""),"주식회사",""),"㈜","")))</f>
        <v/>
      </c>
      <c r="H626" s="10" t="str">
        <f aca="false">IF($B626="","",SUBSTITUTE(SUBSTITUTE(SUBSTITUTE($B626,"-","")," ",""),".",""))</f>
        <v/>
      </c>
      <c r="I626" s="10" t="str">
        <f aca="false">IF($D626="","",SUBSTITUTE(SUBSTITUTE(SUBSTITUTE($D626,"-","")," ",""),".",""))</f>
        <v/>
      </c>
      <c r="J626" s="10" t="str">
        <f aca="false">IF($E626="","",UPPER(SUBSTITUTE($E626," ","")))</f>
        <v/>
      </c>
      <c r="K626" s="10" t="str">
        <f aca="false">IF($A626="","",$G626&amp;"|"&amp;$J626)</f>
        <v/>
      </c>
      <c r="L626" s="10" t="str">
        <f aca="false">IF($A626="","",ROW()-2)</f>
        <v/>
      </c>
      <c r="M626" s="10" t="str">
        <f aca="false">IF($A626="","",ROW())</f>
        <v/>
      </c>
    </row>
    <row r="627" customFormat="false" ht="15" hidden="false" customHeight="true" outlineLevel="0" collapsed="false">
      <c r="A627" s="8"/>
      <c r="B627" s="8"/>
      <c r="C627" s="8"/>
      <c r="D627" s="8"/>
      <c r="E627" s="8"/>
      <c r="F627" s="8"/>
      <c r="G627" s="10" t="str">
        <f aca="false">IF($A627="","",UPPER(SUBSTITUTE(SUBSTITUTE(SUBSTITUTE(SUBSTITUTE($A627," ",""),"(주)",""),"주식회사",""),"㈜","")))</f>
        <v/>
      </c>
      <c r="H627" s="10" t="str">
        <f aca="false">IF($B627="","",SUBSTITUTE(SUBSTITUTE(SUBSTITUTE($B627,"-","")," ",""),".",""))</f>
        <v/>
      </c>
      <c r="I627" s="10" t="str">
        <f aca="false">IF($D627="","",SUBSTITUTE(SUBSTITUTE(SUBSTITUTE($D627,"-","")," ",""),".",""))</f>
        <v/>
      </c>
      <c r="J627" s="10" t="str">
        <f aca="false">IF($E627="","",UPPER(SUBSTITUTE($E627," ","")))</f>
        <v/>
      </c>
      <c r="K627" s="10" t="str">
        <f aca="false">IF($A627="","",$G627&amp;"|"&amp;$J627)</f>
        <v/>
      </c>
      <c r="L627" s="10" t="str">
        <f aca="false">IF($A627="","",ROW()-2)</f>
        <v/>
      </c>
      <c r="M627" s="10" t="str">
        <f aca="false">IF($A627="","",ROW())</f>
        <v/>
      </c>
    </row>
    <row r="628" customFormat="false" ht="15" hidden="false" customHeight="true" outlineLevel="0" collapsed="false">
      <c r="A628" s="8"/>
      <c r="B628" s="8"/>
      <c r="C628" s="8"/>
      <c r="D628" s="8"/>
      <c r="E628" s="8"/>
      <c r="F628" s="8"/>
      <c r="G628" s="10" t="str">
        <f aca="false">IF($A628="","",UPPER(SUBSTITUTE(SUBSTITUTE(SUBSTITUTE(SUBSTITUTE($A628," ",""),"(주)",""),"주식회사",""),"㈜","")))</f>
        <v/>
      </c>
      <c r="H628" s="10" t="str">
        <f aca="false">IF($B628="","",SUBSTITUTE(SUBSTITUTE(SUBSTITUTE($B628,"-","")," ",""),".",""))</f>
        <v/>
      </c>
      <c r="I628" s="10" t="str">
        <f aca="false">IF($D628="","",SUBSTITUTE(SUBSTITUTE(SUBSTITUTE($D628,"-","")," ",""),".",""))</f>
        <v/>
      </c>
      <c r="J628" s="10" t="str">
        <f aca="false">IF($E628="","",UPPER(SUBSTITUTE($E628," ","")))</f>
        <v/>
      </c>
      <c r="K628" s="10" t="str">
        <f aca="false">IF($A628="","",$G628&amp;"|"&amp;$J628)</f>
        <v/>
      </c>
      <c r="L628" s="10" t="str">
        <f aca="false">IF($A628="","",ROW()-2)</f>
        <v/>
      </c>
      <c r="M628" s="10" t="str">
        <f aca="false">IF($A628="","",ROW())</f>
        <v/>
      </c>
    </row>
    <row r="629" customFormat="false" ht="15" hidden="false" customHeight="true" outlineLevel="0" collapsed="false">
      <c r="A629" s="8"/>
      <c r="B629" s="8"/>
      <c r="C629" s="8"/>
      <c r="D629" s="8"/>
      <c r="E629" s="8"/>
      <c r="F629" s="8"/>
      <c r="G629" s="10" t="str">
        <f aca="false">IF($A629="","",UPPER(SUBSTITUTE(SUBSTITUTE(SUBSTITUTE(SUBSTITUTE($A629," ",""),"(주)",""),"주식회사",""),"㈜","")))</f>
        <v/>
      </c>
      <c r="H629" s="10" t="str">
        <f aca="false">IF($B629="","",SUBSTITUTE(SUBSTITUTE(SUBSTITUTE($B629,"-","")," ",""),".",""))</f>
        <v/>
      </c>
      <c r="I629" s="10" t="str">
        <f aca="false">IF($D629="","",SUBSTITUTE(SUBSTITUTE(SUBSTITUTE($D629,"-","")," ",""),".",""))</f>
        <v/>
      </c>
      <c r="J629" s="10" t="str">
        <f aca="false">IF($E629="","",UPPER(SUBSTITUTE($E629," ","")))</f>
        <v/>
      </c>
      <c r="K629" s="10" t="str">
        <f aca="false">IF($A629="","",$G629&amp;"|"&amp;$J629)</f>
        <v/>
      </c>
      <c r="L629" s="10" t="str">
        <f aca="false">IF($A629="","",ROW()-2)</f>
        <v/>
      </c>
      <c r="M629" s="10" t="str">
        <f aca="false">IF($A629="","",ROW())</f>
        <v/>
      </c>
    </row>
    <row r="630" customFormat="false" ht="15" hidden="false" customHeight="true" outlineLevel="0" collapsed="false">
      <c r="A630" s="8"/>
      <c r="B630" s="8"/>
      <c r="C630" s="8"/>
      <c r="D630" s="8"/>
      <c r="E630" s="8"/>
      <c r="F630" s="8"/>
      <c r="G630" s="10" t="str">
        <f aca="false">IF($A630="","",UPPER(SUBSTITUTE(SUBSTITUTE(SUBSTITUTE(SUBSTITUTE($A630," ",""),"(주)",""),"주식회사",""),"㈜","")))</f>
        <v/>
      </c>
      <c r="H630" s="10" t="str">
        <f aca="false">IF($B630="","",SUBSTITUTE(SUBSTITUTE(SUBSTITUTE($B630,"-","")," ",""),".",""))</f>
        <v/>
      </c>
      <c r="I630" s="10" t="str">
        <f aca="false">IF($D630="","",SUBSTITUTE(SUBSTITUTE(SUBSTITUTE($D630,"-","")," ",""),".",""))</f>
        <v/>
      </c>
      <c r="J630" s="10" t="str">
        <f aca="false">IF($E630="","",UPPER(SUBSTITUTE($E630," ","")))</f>
        <v/>
      </c>
      <c r="K630" s="10" t="str">
        <f aca="false">IF($A630="","",$G630&amp;"|"&amp;$J630)</f>
        <v/>
      </c>
      <c r="L630" s="10" t="str">
        <f aca="false">IF($A630="","",ROW()-2)</f>
        <v/>
      </c>
      <c r="M630" s="10" t="str">
        <f aca="false">IF($A630="","",ROW())</f>
        <v/>
      </c>
    </row>
    <row r="631" customFormat="false" ht="15" hidden="false" customHeight="true" outlineLevel="0" collapsed="false">
      <c r="A631" s="8"/>
      <c r="B631" s="8"/>
      <c r="C631" s="8"/>
      <c r="D631" s="8"/>
      <c r="E631" s="8"/>
      <c r="F631" s="8"/>
      <c r="G631" s="10" t="str">
        <f aca="false">IF($A631="","",UPPER(SUBSTITUTE(SUBSTITUTE(SUBSTITUTE(SUBSTITUTE($A631," ",""),"(주)",""),"주식회사",""),"㈜","")))</f>
        <v/>
      </c>
      <c r="H631" s="10" t="str">
        <f aca="false">IF($B631="","",SUBSTITUTE(SUBSTITUTE(SUBSTITUTE($B631,"-","")," ",""),".",""))</f>
        <v/>
      </c>
      <c r="I631" s="10" t="str">
        <f aca="false">IF($D631="","",SUBSTITUTE(SUBSTITUTE(SUBSTITUTE($D631,"-","")," ",""),".",""))</f>
        <v/>
      </c>
      <c r="J631" s="10" t="str">
        <f aca="false">IF($E631="","",UPPER(SUBSTITUTE($E631," ","")))</f>
        <v/>
      </c>
      <c r="K631" s="10" t="str">
        <f aca="false">IF($A631="","",$G631&amp;"|"&amp;$J631)</f>
        <v/>
      </c>
      <c r="L631" s="10" t="str">
        <f aca="false">IF($A631="","",ROW()-2)</f>
        <v/>
      </c>
      <c r="M631" s="10" t="str">
        <f aca="false">IF($A631="","",ROW())</f>
        <v/>
      </c>
    </row>
    <row r="632" customFormat="false" ht="15" hidden="false" customHeight="true" outlineLevel="0" collapsed="false">
      <c r="A632" s="8"/>
      <c r="B632" s="8"/>
      <c r="C632" s="8"/>
      <c r="D632" s="8"/>
      <c r="E632" s="8"/>
      <c r="F632" s="8"/>
      <c r="G632" s="10" t="str">
        <f aca="false">IF($A632="","",UPPER(SUBSTITUTE(SUBSTITUTE(SUBSTITUTE(SUBSTITUTE($A632," ",""),"(주)",""),"주식회사",""),"㈜","")))</f>
        <v/>
      </c>
      <c r="H632" s="10" t="str">
        <f aca="false">IF($B632="","",SUBSTITUTE(SUBSTITUTE(SUBSTITUTE($B632,"-","")," ",""),".",""))</f>
        <v/>
      </c>
      <c r="I632" s="10" t="str">
        <f aca="false">IF($D632="","",SUBSTITUTE(SUBSTITUTE(SUBSTITUTE($D632,"-","")," ",""),".",""))</f>
        <v/>
      </c>
      <c r="J632" s="10" t="str">
        <f aca="false">IF($E632="","",UPPER(SUBSTITUTE($E632," ","")))</f>
        <v/>
      </c>
      <c r="K632" s="10" t="str">
        <f aca="false">IF($A632="","",$G632&amp;"|"&amp;$J632)</f>
        <v/>
      </c>
      <c r="L632" s="10" t="str">
        <f aca="false">IF($A632="","",ROW()-2)</f>
        <v/>
      </c>
      <c r="M632" s="10" t="str">
        <f aca="false">IF($A632="","",ROW())</f>
        <v/>
      </c>
    </row>
    <row r="633" customFormat="false" ht="15" hidden="false" customHeight="true" outlineLevel="0" collapsed="false">
      <c r="A633" s="8"/>
      <c r="B633" s="8"/>
      <c r="C633" s="8"/>
      <c r="D633" s="8"/>
      <c r="E633" s="8"/>
      <c r="F633" s="8"/>
      <c r="G633" s="10" t="str">
        <f aca="false">IF($A633="","",UPPER(SUBSTITUTE(SUBSTITUTE(SUBSTITUTE(SUBSTITUTE($A633," ",""),"(주)",""),"주식회사",""),"㈜","")))</f>
        <v/>
      </c>
      <c r="H633" s="10" t="str">
        <f aca="false">IF($B633="","",SUBSTITUTE(SUBSTITUTE(SUBSTITUTE($B633,"-","")," ",""),".",""))</f>
        <v/>
      </c>
      <c r="I633" s="10" t="str">
        <f aca="false">IF($D633="","",SUBSTITUTE(SUBSTITUTE(SUBSTITUTE($D633,"-","")," ",""),".",""))</f>
        <v/>
      </c>
      <c r="J633" s="10" t="str">
        <f aca="false">IF($E633="","",UPPER(SUBSTITUTE($E633," ","")))</f>
        <v/>
      </c>
      <c r="K633" s="10" t="str">
        <f aca="false">IF($A633="","",$G633&amp;"|"&amp;$J633)</f>
        <v/>
      </c>
      <c r="L633" s="10" t="str">
        <f aca="false">IF($A633="","",ROW()-2)</f>
        <v/>
      </c>
      <c r="M633" s="10" t="str">
        <f aca="false">IF($A633="","",ROW())</f>
        <v/>
      </c>
    </row>
    <row r="634" customFormat="false" ht="15" hidden="false" customHeight="true" outlineLevel="0" collapsed="false">
      <c r="A634" s="8"/>
      <c r="B634" s="8"/>
      <c r="C634" s="8"/>
      <c r="D634" s="8"/>
      <c r="E634" s="8"/>
      <c r="F634" s="8"/>
      <c r="G634" s="10" t="str">
        <f aca="false">IF($A634="","",UPPER(SUBSTITUTE(SUBSTITUTE(SUBSTITUTE(SUBSTITUTE($A634," ",""),"(주)",""),"주식회사",""),"㈜","")))</f>
        <v/>
      </c>
      <c r="H634" s="10" t="str">
        <f aca="false">IF($B634="","",SUBSTITUTE(SUBSTITUTE(SUBSTITUTE($B634,"-","")," ",""),".",""))</f>
        <v/>
      </c>
      <c r="I634" s="10" t="str">
        <f aca="false">IF($D634="","",SUBSTITUTE(SUBSTITUTE(SUBSTITUTE($D634,"-","")," ",""),".",""))</f>
        <v/>
      </c>
      <c r="J634" s="10" t="str">
        <f aca="false">IF($E634="","",UPPER(SUBSTITUTE($E634," ","")))</f>
        <v/>
      </c>
      <c r="K634" s="10" t="str">
        <f aca="false">IF($A634="","",$G634&amp;"|"&amp;$J634)</f>
        <v/>
      </c>
      <c r="L634" s="10" t="str">
        <f aca="false">IF($A634="","",ROW()-2)</f>
        <v/>
      </c>
      <c r="M634" s="10" t="str">
        <f aca="false">IF($A634="","",ROW())</f>
        <v/>
      </c>
    </row>
    <row r="635" customFormat="false" ht="15" hidden="false" customHeight="true" outlineLevel="0" collapsed="false">
      <c r="A635" s="8"/>
      <c r="B635" s="8"/>
      <c r="C635" s="8"/>
      <c r="D635" s="8"/>
      <c r="E635" s="8"/>
      <c r="F635" s="8"/>
      <c r="G635" s="10" t="str">
        <f aca="false">IF($A635="","",UPPER(SUBSTITUTE(SUBSTITUTE(SUBSTITUTE(SUBSTITUTE($A635," ",""),"(주)",""),"주식회사",""),"㈜","")))</f>
        <v/>
      </c>
      <c r="H635" s="10" t="str">
        <f aca="false">IF($B635="","",SUBSTITUTE(SUBSTITUTE(SUBSTITUTE($B635,"-","")," ",""),".",""))</f>
        <v/>
      </c>
      <c r="I635" s="10" t="str">
        <f aca="false">IF($D635="","",SUBSTITUTE(SUBSTITUTE(SUBSTITUTE($D635,"-","")," ",""),".",""))</f>
        <v/>
      </c>
      <c r="J635" s="10" t="str">
        <f aca="false">IF($E635="","",UPPER(SUBSTITUTE($E635," ","")))</f>
        <v/>
      </c>
      <c r="K635" s="10" t="str">
        <f aca="false">IF($A635="","",$G635&amp;"|"&amp;$J635)</f>
        <v/>
      </c>
      <c r="L635" s="10" t="str">
        <f aca="false">IF($A635="","",ROW()-2)</f>
        <v/>
      </c>
      <c r="M635" s="10" t="str">
        <f aca="false">IF($A635="","",ROW())</f>
        <v/>
      </c>
    </row>
    <row r="636" customFormat="false" ht="15" hidden="false" customHeight="true" outlineLevel="0" collapsed="false">
      <c r="A636" s="8"/>
      <c r="B636" s="8"/>
      <c r="C636" s="8"/>
      <c r="D636" s="8"/>
      <c r="E636" s="8"/>
      <c r="F636" s="8"/>
      <c r="G636" s="10" t="str">
        <f aca="false">IF($A636="","",UPPER(SUBSTITUTE(SUBSTITUTE(SUBSTITUTE(SUBSTITUTE($A636," ",""),"(주)",""),"주식회사",""),"㈜","")))</f>
        <v/>
      </c>
      <c r="H636" s="10" t="str">
        <f aca="false">IF($B636="","",SUBSTITUTE(SUBSTITUTE(SUBSTITUTE($B636,"-","")," ",""),".",""))</f>
        <v/>
      </c>
      <c r="I636" s="10" t="str">
        <f aca="false">IF($D636="","",SUBSTITUTE(SUBSTITUTE(SUBSTITUTE($D636,"-","")," ",""),".",""))</f>
        <v/>
      </c>
      <c r="J636" s="10" t="str">
        <f aca="false">IF($E636="","",UPPER(SUBSTITUTE($E636," ","")))</f>
        <v/>
      </c>
      <c r="K636" s="10" t="str">
        <f aca="false">IF($A636="","",$G636&amp;"|"&amp;$J636)</f>
        <v/>
      </c>
      <c r="L636" s="10" t="str">
        <f aca="false">IF($A636="","",ROW()-2)</f>
        <v/>
      </c>
      <c r="M636" s="10" t="str">
        <f aca="false">IF($A636="","",ROW())</f>
        <v/>
      </c>
    </row>
    <row r="637" customFormat="false" ht="15" hidden="false" customHeight="true" outlineLevel="0" collapsed="false">
      <c r="A637" s="8"/>
      <c r="B637" s="8"/>
      <c r="C637" s="8"/>
      <c r="D637" s="8"/>
      <c r="E637" s="8"/>
      <c r="F637" s="8"/>
      <c r="G637" s="10" t="str">
        <f aca="false">IF($A637="","",UPPER(SUBSTITUTE(SUBSTITUTE(SUBSTITUTE(SUBSTITUTE($A637," ",""),"(주)",""),"주식회사",""),"㈜","")))</f>
        <v/>
      </c>
      <c r="H637" s="10" t="str">
        <f aca="false">IF($B637="","",SUBSTITUTE(SUBSTITUTE(SUBSTITUTE($B637,"-","")," ",""),".",""))</f>
        <v/>
      </c>
      <c r="I637" s="10" t="str">
        <f aca="false">IF($D637="","",SUBSTITUTE(SUBSTITUTE(SUBSTITUTE($D637,"-","")," ",""),".",""))</f>
        <v/>
      </c>
      <c r="J637" s="10" t="str">
        <f aca="false">IF($E637="","",UPPER(SUBSTITUTE($E637," ","")))</f>
        <v/>
      </c>
      <c r="K637" s="10" t="str">
        <f aca="false">IF($A637="","",$G637&amp;"|"&amp;$J637)</f>
        <v/>
      </c>
      <c r="L637" s="10" t="str">
        <f aca="false">IF($A637="","",ROW()-2)</f>
        <v/>
      </c>
      <c r="M637" s="10" t="str">
        <f aca="false">IF($A637="","",ROW())</f>
        <v/>
      </c>
    </row>
    <row r="638" customFormat="false" ht="15" hidden="false" customHeight="true" outlineLevel="0" collapsed="false">
      <c r="A638" s="8"/>
      <c r="B638" s="8"/>
      <c r="C638" s="8"/>
      <c r="D638" s="8"/>
      <c r="E638" s="8"/>
      <c r="F638" s="8"/>
      <c r="G638" s="10" t="str">
        <f aca="false">IF($A638="","",UPPER(SUBSTITUTE(SUBSTITUTE(SUBSTITUTE(SUBSTITUTE($A638," ",""),"(주)",""),"주식회사",""),"㈜","")))</f>
        <v/>
      </c>
      <c r="H638" s="10" t="str">
        <f aca="false">IF($B638="","",SUBSTITUTE(SUBSTITUTE(SUBSTITUTE($B638,"-","")," ",""),".",""))</f>
        <v/>
      </c>
      <c r="I638" s="10" t="str">
        <f aca="false">IF($D638="","",SUBSTITUTE(SUBSTITUTE(SUBSTITUTE($D638,"-","")," ",""),".",""))</f>
        <v/>
      </c>
      <c r="J638" s="10" t="str">
        <f aca="false">IF($E638="","",UPPER(SUBSTITUTE($E638," ","")))</f>
        <v/>
      </c>
      <c r="K638" s="10" t="str">
        <f aca="false">IF($A638="","",$G638&amp;"|"&amp;$J638)</f>
        <v/>
      </c>
      <c r="L638" s="10" t="str">
        <f aca="false">IF($A638="","",ROW()-2)</f>
        <v/>
      </c>
      <c r="M638" s="10" t="str">
        <f aca="false">IF($A638="","",ROW())</f>
        <v/>
      </c>
    </row>
    <row r="639" customFormat="false" ht="15" hidden="false" customHeight="true" outlineLevel="0" collapsed="false">
      <c r="A639" s="8"/>
      <c r="B639" s="8"/>
      <c r="C639" s="8"/>
      <c r="D639" s="8"/>
      <c r="E639" s="8"/>
      <c r="F639" s="8"/>
      <c r="G639" s="10" t="str">
        <f aca="false">IF($A639="","",UPPER(SUBSTITUTE(SUBSTITUTE(SUBSTITUTE(SUBSTITUTE($A639," ",""),"(주)",""),"주식회사",""),"㈜","")))</f>
        <v/>
      </c>
      <c r="H639" s="10" t="str">
        <f aca="false">IF($B639="","",SUBSTITUTE(SUBSTITUTE(SUBSTITUTE($B639,"-","")," ",""),".",""))</f>
        <v/>
      </c>
      <c r="I639" s="10" t="str">
        <f aca="false">IF($D639="","",SUBSTITUTE(SUBSTITUTE(SUBSTITUTE($D639,"-","")," ",""),".",""))</f>
        <v/>
      </c>
      <c r="J639" s="10" t="str">
        <f aca="false">IF($E639="","",UPPER(SUBSTITUTE($E639," ","")))</f>
        <v/>
      </c>
      <c r="K639" s="10" t="str">
        <f aca="false">IF($A639="","",$G639&amp;"|"&amp;$J639)</f>
        <v/>
      </c>
      <c r="L639" s="10" t="str">
        <f aca="false">IF($A639="","",ROW()-2)</f>
        <v/>
      </c>
      <c r="M639" s="10" t="str">
        <f aca="false">IF($A639="","",ROW())</f>
        <v/>
      </c>
    </row>
    <row r="640" customFormat="false" ht="15" hidden="false" customHeight="true" outlineLevel="0" collapsed="false">
      <c r="A640" s="8"/>
      <c r="B640" s="8"/>
      <c r="C640" s="8"/>
      <c r="D640" s="8"/>
      <c r="E640" s="8"/>
      <c r="F640" s="8"/>
      <c r="G640" s="10" t="str">
        <f aca="false">IF($A640="","",UPPER(SUBSTITUTE(SUBSTITUTE(SUBSTITUTE(SUBSTITUTE($A640," ",""),"(주)",""),"주식회사",""),"㈜","")))</f>
        <v/>
      </c>
      <c r="H640" s="10" t="str">
        <f aca="false">IF($B640="","",SUBSTITUTE(SUBSTITUTE(SUBSTITUTE($B640,"-","")," ",""),".",""))</f>
        <v/>
      </c>
      <c r="I640" s="10" t="str">
        <f aca="false">IF($D640="","",SUBSTITUTE(SUBSTITUTE(SUBSTITUTE($D640,"-","")," ",""),".",""))</f>
        <v/>
      </c>
      <c r="J640" s="10" t="str">
        <f aca="false">IF($E640="","",UPPER(SUBSTITUTE($E640," ","")))</f>
        <v/>
      </c>
      <c r="K640" s="10" t="str">
        <f aca="false">IF($A640="","",$G640&amp;"|"&amp;$J640)</f>
        <v/>
      </c>
      <c r="L640" s="10" t="str">
        <f aca="false">IF($A640="","",ROW()-2)</f>
        <v/>
      </c>
      <c r="M640" s="10" t="str">
        <f aca="false">IF($A640="","",ROW())</f>
        <v/>
      </c>
    </row>
    <row r="641" customFormat="false" ht="15" hidden="false" customHeight="true" outlineLevel="0" collapsed="false">
      <c r="A641" s="8"/>
      <c r="B641" s="8"/>
      <c r="C641" s="8"/>
      <c r="D641" s="8"/>
      <c r="E641" s="8"/>
      <c r="F641" s="8"/>
      <c r="G641" s="10" t="str">
        <f aca="false">IF($A641="","",UPPER(SUBSTITUTE(SUBSTITUTE(SUBSTITUTE(SUBSTITUTE($A641," ",""),"(주)",""),"주식회사",""),"㈜","")))</f>
        <v/>
      </c>
      <c r="H641" s="10" t="str">
        <f aca="false">IF($B641="","",SUBSTITUTE(SUBSTITUTE(SUBSTITUTE($B641,"-","")," ",""),".",""))</f>
        <v/>
      </c>
      <c r="I641" s="10" t="str">
        <f aca="false">IF($D641="","",SUBSTITUTE(SUBSTITUTE(SUBSTITUTE($D641,"-","")," ",""),".",""))</f>
        <v/>
      </c>
      <c r="J641" s="10" t="str">
        <f aca="false">IF($E641="","",UPPER(SUBSTITUTE($E641," ","")))</f>
        <v/>
      </c>
      <c r="K641" s="10" t="str">
        <f aca="false">IF($A641="","",$G641&amp;"|"&amp;$J641)</f>
        <v/>
      </c>
      <c r="L641" s="10" t="str">
        <f aca="false">IF($A641="","",ROW()-2)</f>
        <v/>
      </c>
      <c r="M641" s="10" t="str">
        <f aca="false">IF($A641="","",ROW())</f>
        <v/>
      </c>
    </row>
    <row r="642" customFormat="false" ht="15" hidden="false" customHeight="true" outlineLevel="0" collapsed="false">
      <c r="A642" s="8"/>
      <c r="B642" s="8"/>
      <c r="C642" s="8"/>
      <c r="D642" s="8"/>
      <c r="E642" s="8"/>
      <c r="F642" s="8"/>
      <c r="G642" s="10" t="str">
        <f aca="false">IF($A642="","",UPPER(SUBSTITUTE(SUBSTITUTE(SUBSTITUTE(SUBSTITUTE($A642," ",""),"(주)",""),"주식회사",""),"㈜","")))</f>
        <v/>
      </c>
      <c r="H642" s="10" t="str">
        <f aca="false">IF($B642="","",SUBSTITUTE(SUBSTITUTE(SUBSTITUTE($B642,"-","")," ",""),".",""))</f>
        <v/>
      </c>
      <c r="I642" s="10" t="str">
        <f aca="false">IF($D642="","",SUBSTITUTE(SUBSTITUTE(SUBSTITUTE($D642,"-","")," ",""),".",""))</f>
        <v/>
      </c>
      <c r="J642" s="10" t="str">
        <f aca="false">IF($E642="","",UPPER(SUBSTITUTE($E642," ","")))</f>
        <v/>
      </c>
      <c r="K642" s="10" t="str">
        <f aca="false">IF($A642="","",$G642&amp;"|"&amp;$J642)</f>
        <v/>
      </c>
      <c r="L642" s="10" t="str">
        <f aca="false">IF($A642="","",ROW()-2)</f>
        <v/>
      </c>
      <c r="M642" s="10" t="str">
        <f aca="false">IF($A642="","",ROW())</f>
        <v/>
      </c>
    </row>
    <row r="643" customFormat="false" ht="15" hidden="false" customHeight="true" outlineLevel="0" collapsed="false">
      <c r="A643" s="8"/>
      <c r="B643" s="8"/>
      <c r="C643" s="8"/>
      <c r="D643" s="8"/>
      <c r="E643" s="8"/>
      <c r="F643" s="8"/>
      <c r="G643" s="10" t="str">
        <f aca="false">IF($A643="","",UPPER(SUBSTITUTE(SUBSTITUTE(SUBSTITUTE(SUBSTITUTE($A643," ",""),"(주)",""),"주식회사",""),"㈜","")))</f>
        <v/>
      </c>
      <c r="H643" s="10" t="str">
        <f aca="false">IF($B643="","",SUBSTITUTE(SUBSTITUTE(SUBSTITUTE($B643,"-","")," ",""),".",""))</f>
        <v/>
      </c>
      <c r="I643" s="10" t="str">
        <f aca="false">IF($D643="","",SUBSTITUTE(SUBSTITUTE(SUBSTITUTE($D643,"-","")," ",""),".",""))</f>
        <v/>
      </c>
      <c r="J643" s="10" t="str">
        <f aca="false">IF($E643="","",UPPER(SUBSTITUTE($E643," ","")))</f>
        <v/>
      </c>
      <c r="K643" s="10" t="str">
        <f aca="false">IF($A643="","",$G643&amp;"|"&amp;$J643)</f>
        <v/>
      </c>
      <c r="L643" s="10" t="str">
        <f aca="false">IF($A643="","",ROW()-2)</f>
        <v/>
      </c>
      <c r="M643" s="10" t="str">
        <f aca="false">IF($A643="","",ROW())</f>
        <v/>
      </c>
    </row>
    <row r="644" customFormat="false" ht="15" hidden="false" customHeight="true" outlineLevel="0" collapsed="false">
      <c r="A644" s="8"/>
      <c r="B644" s="8"/>
      <c r="C644" s="8"/>
      <c r="D644" s="8"/>
      <c r="E644" s="8"/>
      <c r="F644" s="8"/>
      <c r="G644" s="10" t="str">
        <f aca="false">IF($A644="","",UPPER(SUBSTITUTE(SUBSTITUTE(SUBSTITUTE(SUBSTITUTE($A644," ",""),"(주)",""),"주식회사",""),"㈜","")))</f>
        <v/>
      </c>
      <c r="H644" s="10" t="str">
        <f aca="false">IF($B644="","",SUBSTITUTE(SUBSTITUTE(SUBSTITUTE($B644,"-","")," ",""),".",""))</f>
        <v/>
      </c>
      <c r="I644" s="10" t="str">
        <f aca="false">IF($D644="","",SUBSTITUTE(SUBSTITUTE(SUBSTITUTE($D644,"-","")," ",""),".",""))</f>
        <v/>
      </c>
      <c r="J644" s="10" t="str">
        <f aca="false">IF($E644="","",UPPER(SUBSTITUTE($E644," ","")))</f>
        <v/>
      </c>
      <c r="K644" s="10" t="str">
        <f aca="false">IF($A644="","",$G644&amp;"|"&amp;$J644)</f>
        <v/>
      </c>
      <c r="L644" s="10" t="str">
        <f aca="false">IF($A644="","",ROW()-2)</f>
        <v/>
      </c>
      <c r="M644" s="10" t="str">
        <f aca="false">IF($A644="","",ROW())</f>
        <v/>
      </c>
    </row>
    <row r="645" customFormat="false" ht="15" hidden="false" customHeight="true" outlineLevel="0" collapsed="false">
      <c r="A645" s="8"/>
      <c r="B645" s="8"/>
      <c r="C645" s="8"/>
      <c r="D645" s="8"/>
      <c r="E645" s="8"/>
      <c r="F645" s="8"/>
      <c r="G645" s="10" t="str">
        <f aca="false">IF($A645="","",UPPER(SUBSTITUTE(SUBSTITUTE(SUBSTITUTE(SUBSTITUTE($A645," ",""),"(주)",""),"주식회사",""),"㈜","")))</f>
        <v/>
      </c>
      <c r="H645" s="10" t="str">
        <f aca="false">IF($B645="","",SUBSTITUTE(SUBSTITUTE(SUBSTITUTE($B645,"-","")," ",""),".",""))</f>
        <v/>
      </c>
      <c r="I645" s="10" t="str">
        <f aca="false">IF($D645="","",SUBSTITUTE(SUBSTITUTE(SUBSTITUTE($D645,"-","")," ",""),".",""))</f>
        <v/>
      </c>
      <c r="J645" s="10" t="str">
        <f aca="false">IF($E645="","",UPPER(SUBSTITUTE($E645," ","")))</f>
        <v/>
      </c>
      <c r="K645" s="10" t="str">
        <f aca="false">IF($A645="","",$G645&amp;"|"&amp;$J645)</f>
        <v/>
      </c>
      <c r="L645" s="10" t="str">
        <f aca="false">IF($A645="","",ROW()-2)</f>
        <v/>
      </c>
      <c r="M645" s="10" t="str">
        <f aca="false">IF($A645="","",ROW())</f>
        <v/>
      </c>
    </row>
    <row r="646" customFormat="false" ht="15" hidden="false" customHeight="true" outlineLevel="0" collapsed="false">
      <c r="A646" s="8"/>
      <c r="B646" s="8"/>
      <c r="C646" s="8"/>
      <c r="D646" s="8"/>
      <c r="E646" s="8"/>
      <c r="F646" s="8"/>
      <c r="G646" s="10" t="str">
        <f aca="false">IF($A646="","",UPPER(SUBSTITUTE(SUBSTITUTE(SUBSTITUTE(SUBSTITUTE($A646," ",""),"(주)",""),"주식회사",""),"㈜","")))</f>
        <v/>
      </c>
      <c r="H646" s="10" t="str">
        <f aca="false">IF($B646="","",SUBSTITUTE(SUBSTITUTE(SUBSTITUTE($B646,"-","")," ",""),".",""))</f>
        <v/>
      </c>
      <c r="I646" s="10" t="str">
        <f aca="false">IF($D646="","",SUBSTITUTE(SUBSTITUTE(SUBSTITUTE($D646,"-","")," ",""),".",""))</f>
        <v/>
      </c>
      <c r="J646" s="10" t="str">
        <f aca="false">IF($E646="","",UPPER(SUBSTITUTE($E646," ","")))</f>
        <v/>
      </c>
      <c r="K646" s="10" t="str">
        <f aca="false">IF($A646="","",$G646&amp;"|"&amp;$J646)</f>
        <v/>
      </c>
      <c r="L646" s="10" t="str">
        <f aca="false">IF($A646="","",ROW()-2)</f>
        <v/>
      </c>
      <c r="M646" s="10" t="str">
        <f aca="false">IF($A646="","",ROW())</f>
        <v/>
      </c>
    </row>
    <row r="647" customFormat="false" ht="15" hidden="false" customHeight="true" outlineLevel="0" collapsed="false">
      <c r="A647" s="8"/>
      <c r="B647" s="8"/>
      <c r="C647" s="8"/>
      <c r="D647" s="8"/>
      <c r="E647" s="8"/>
      <c r="F647" s="8"/>
      <c r="G647" s="10" t="str">
        <f aca="false">IF($A647="","",UPPER(SUBSTITUTE(SUBSTITUTE(SUBSTITUTE(SUBSTITUTE($A647," ",""),"(주)",""),"주식회사",""),"㈜","")))</f>
        <v/>
      </c>
      <c r="H647" s="10" t="str">
        <f aca="false">IF($B647="","",SUBSTITUTE(SUBSTITUTE(SUBSTITUTE($B647,"-","")," ",""),".",""))</f>
        <v/>
      </c>
      <c r="I647" s="10" t="str">
        <f aca="false">IF($D647="","",SUBSTITUTE(SUBSTITUTE(SUBSTITUTE($D647,"-","")," ",""),".",""))</f>
        <v/>
      </c>
      <c r="J647" s="10" t="str">
        <f aca="false">IF($E647="","",UPPER(SUBSTITUTE($E647," ","")))</f>
        <v/>
      </c>
      <c r="K647" s="10" t="str">
        <f aca="false">IF($A647="","",$G647&amp;"|"&amp;$J647)</f>
        <v/>
      </c>
      <c r="L647" s="10" t="str">
        <f aca="false">IF($A647="","",ROW()-2)</f>
        <v/>
      </c>
      <c r="M647" s="10" t="str">
        <f aca="false">IF($A647="","",ROW())</f>
        <v/>
      </c>
    </row>
    <row r="648" customFormat="false" ht="15" hidden="false" customHeight="true" outlineLevel="0" collapsed="false">
      <c r="A648" s="8"/>
      <c r="B648" s="8"/>
      <c r="C648" s="8"/>
      <c r="D648" s="8"/>
      <c r="E648" s="8"/>
      <c r="F648" s="8"/>
      <c r="G648" s="10" t="str">
        <f aca="false">IF($A648="","",UPPER(SUBSTITUTE(SUBSTITUTE(SUBSTITUTE(SUBSTITUTE($A648," ",""),"(주)",""),"주식회사",""),"㈜","")))</f>
        <v/>
      </c>
      <c r="H648" s="10" t="str">
        <f aca="false">IF($B648="","",SUBSTITUTE(SUBSTITUTE(SUBSTITUTE($B648,"-","")," ",""),".",""))</f>
        <v/>
      </c>
      <c r="I648" s="10" t="str">
        <f aca="false">IF($D648="","",SUBSTITUTE(SUBSTITUTE(SUBSTITUTE($D648,"-","")," ",""),".",""))</f>
        <v/>
      </c>
      <c r="J648" s="10" t="str">
        <f aca="false">IF($E648="","",UPPER(SUBSTITUTE($E648," ","")))</f>
        <v/>
      </c>
      <c r="K648" s="10" t="str">
        <f aca="false">IF($A648="","",$G648&amp;"|"&amp;$J648)</f>
        <v/>
      </c>
      <c r="L648" s="10" t="str">
        <f aca="false">IF($A648="","",ROW()-2)</f>
        <v/>
      </c>
      <c r="M648" s="10" t="str">
        <f aca="false">IF($A648="","",ROW())</f>
        <v/>
      </c>
    </row>
    <row r="649" customFormat="false" ht="15" hidden="false" customHeight="true" outlineLevel="0" collapsed="false">
      <c r="A649" s="8"/>
      <c r="B649" s="8"/>
      <c r="C649" s="8"/>
      <c r="D649" s="8"/>
      <c r="E649" s="8"/>
      <c r="F649" s="8"/>
      <c r="G649" s="10" t="str">
        <f aca="false">IF($A649="","",UPPER(SUBSTITUTE(SUBSTITUTE(SUBSTITUTE(SUBSTITUTE($A649," ",""),"(주)",""),"주식회사",""),"㈜","")))</f>
        <v/>
      </c>
      <c r="H649" s="10" t="str">
        <f aca="false">IF($B649="","",SUBSTITUTE(SUBSTITUTE(SUBSTITUTE($B649,"-","")," ",""),".",""))</f>
        <v/>
      </c>
      <c r="I649" s="10" t="str">
        <f aca="false">IF($D649="","",SUBSTITUTE(SUBSTITUTE(SUBSTITUTE($D649,"-","")," ",""),".",""))</f>
        <v/>
      </c>
      <c r="J649" s="10" t="str">
        <f aca="false">IF($E649="","",UPPER(SUBSTITUTE($E649," ","")))</f>
        <v/>
      </c>
      <c r="K649" s="10" t="str">
        <f aca="false">IF($A649="","",$G649&amp;"|"&amp;$J649)</f>
        <v/>
      </c>
      <c r="L649" s="10" t="str">
        <f aca="false">IF($A649="","",ROW()-2)</f>
        <v/>
      </c>
      <c r="M649" s="10" t="str">
        <f aca="false">IF($A649="","",ROW())</f>
        <v/>
      </c>
    </row>
    <row r="650" customFormat="false" ht="15" hidden="false" customHeight="true" outlineLevel="0" collapsed="false">
      <c r="A650" s="8"/>
      <c r="B650" s="8"/>
      <c r="C650" s="8"/>
      <c r="D650" s="8"/>
      <c r="E650" s="8"/>
      <c r="F650" s="8"/>
      <c r="G650" s="10" t="str">
        <f aca="false">IF($A650="","",UPPER(SUBSTITUTE(SUBSTITUTE(SUBSTITUTE(SUBSTITUTE($A650," ",""),"(주)",""),"주식회사",""),"㈜","")))</f>
        <v/>
      </c>
      <c r="H650" s="10" t="str">
        <f aca="false">IF($B650="","",SUBSTITUTE(SUBSTITUTE(SUBSTITUTE($B650,"-","")," ",""),".",""))</f>
        <v/>
      </c>
      <c r="I650" s="10" t="str">
        <f aca="false">IF($D650="","",SUBSTITUTE(SUBSTITUTE(SUBSTITUTE($D650,"-","")," ",""),".",""))</f>
        <v/>
      </c>
      <c r="J650" s="10" t="str">
        <f aca="false">IF($E650="","",UPPER(SUBSTITUTE($E650," ","")))</f>
        <v/>
      </c>
      <c r="K650" s="10" t="str">
        <f aca="false">IF($A650="","",$G650&amp;"|"&amp;$J650)</f>
        <v/>
      </c>
      <c r="L650" s="10" t="str">
        <f aca="false">IF($A650="","",ROW()-2)</f>
        <v/>
      </c>
      <c r="M650" s="10" t="str">
        <f aca="false">IF($A650="","",ROW())</f>
        <v/>
      </c>
    </row>
    <row r="651" customFormat="false" ht="15" hidden="false" customHeight="true" outlineLevel="0" collapsed="false">
      <c r="A651" s="8"/>
      <c r="B651" s="8"/>
      <c r="C651" s="8"/>
      <c r="D651" s="8"/>
      <c r="E651" s="8"/>
      <c r="F651" s="8"/>
      <c r="G651" s="10" t="str">
        <f aca="false">IF($A651="","",UPPER(SUBSTITUTE(SUBSTITUTE(SUBSTITUTE(SUBSTITUTE($A651," ",""),"(주)",""),"주식회사",""),"㈜","")))</f>
        <v/>
      </c>
      <c r="H651" s="10" t="str">
        <f aca="false">IF($B651="","",SUBSTITUTE(SUBSTITUTE(SUBSTITUTE($B651,"-","")," ",""),".",""))</f>
        <v/>
      </c>
      <c r="I651" s="10" t="str">
        <f aca="false">IF($D651="","",SUBSTITUTE(SUBSTITUTE(SUBSTITUTE($D651,"-","")," ",""),".",""))</f>
        <v/>
      </c>
      <c r="J651" s="10" t="str">
        <f aca="false">IF($E651="","",UPPER(SUBSTITUTE($E651," ","")))</f>
        <v/>
      </c>
      <c r="K651" s="10" t="str">
        <f aca="false">IF($A651="","",$G651&amp;"|"&amp;$J651)</f>
        <v/>
      </c>
      <c r="L651" s="10" t="str">
        <f aca="false">IF($A651="","",ROW()-2)</f>
        <v/>
      </c>
      <c r="M651" s="10" t="str">
        <f aca="false">IF($A651="","",ROW())</f>
        <v/>
      </c>
    </row>
    <row r="652" customFormat="false" ht="15" hidden="false" customHeight="true" outlineLevel="0" collapsed="false">
      <c r="A652" s="8"/>
      <c r="B652" s="8"/>
      <c r="C652" s="8"/>
      <c r="D652" s="8"/>
      <c r="E652" s="8"/>
      <c r="F652" s="8"/>
      <c r="G652" s="10" t="str">
        <f aca="false">IF($A652="","",UPPER(SUBSTITUTE(SUBSTITUTE(SUBSTITUTE(SUBSTITUTE($A652," ",""),"(주)",""),"주식회사",""),"㈜","")))</f>
        <v/>
      </c>
      <c r="H652" s="10" t="str">
        <f aca="false">IF($B652="","",SUBSTITUTE(SUBSTITUTE(SUBSTITUTE($B652,"-","")," ",""),".",""))</f>
        <v/>
      </c>
      <c r="I652" s="10" t="str">
        <f aca="false">IF($D652="","",SUBSTITUTE(SUBSTITUTE(SUBSTITUTE($D652,"-","")," ",""),".",""))</f>
        <v/>
      </c>
      <c r="J652" s="10" t="str">
        <f aca="false">IF($E652="","",UPPER(SUBSTITUTE($E652," ","")))</f>
        <v/>
      </c>
      <c r="K652" s="10" t="str">
        <f aca="false">IF($A652="","",$G652&amp;"|"&amp;$J652)</f>
        <v/>
      </c>
      <c r="L652" s="10" t="str">
        <f aca="false">IF($A652="","",ROW()-2)</f>
        <v/>
      </c>
      <c r="M652" s="10" t="str">
        <f aca="false">IF($A652="","",ROW())</f>
        <v/>
      </c>
    </row>
    <row r="653" customFormat="false" ht="15" hidden="false" customHeight="true" outlineLevel="0" collapsed="false">
      <c r="A653" s="8"/>
      <c r="B653" s="8"/>
      <c r="C653" s="8"/>
      <c r="D653" s="8"/>
      <c r="E653" s="8"/>
      <c r="F653" s="8"/>
      <c r="G653" s="10" t="str">
        <f aca="false">IF($A653="","",UPPER(SUBSTITUTE(SUBSTITUTE(SUBSTITUTE(SUBSTITUTE($A653," ",""),"(주)",""),"주식회사",""),"㈜","")))</f>
        <v/>
      </c>
      <c r="H653" s="10" t="str">
        <f aca="false">IF($B653="","",SUBSTITUTE(SUBSTITUTE(SUBSTITUTE($B653,"-","")," ",""),".",""))</f>
        <v/>
      </c>
      <c r="I653" s="10" t="str">
        <f aca="false">IF($D653="","",SUBSTITUTE(SUBSTITUTE(SUBSTITUTE($D653,"-","")," ",""),".",""))</f>
        <v/>
      </c>
      <c r="J653" s="10" t="str">
        <f aca="false">IF($E653="","",UPPER(SUBSTITUTE($E653," ","")))</f>
        <v/>
      </c>
      <c r="K653" s="10" t="str">
        <f aca="false">IF($A653="","",$G653&amp;"|"&amp;$J653)</f>
        <v/>
      </c>
      <c r="L653" s="10" t="str">
        <f aca="false">IF($A653="","",ROW()-2)</f>
        <v/>
      </c>
      <c r="M653" s="10" t="str">
        <f aca="false">IF($A653="","",ROW())</f>
        <v/>
      </c>
    </row>
    <row r="654" customFormat="false" ht="15" hidden="false" customHeight="true" outlineLevel="0" collapsed="false">
      <c r="A654" s="8"/>
      <c r="B654" s="8"/>
      <c r="C654" s="8"/>
      <c r="D654" s="8"/>
      <c r="E654" s="8"/>
      <c r="F654" s="8"/>
      <c r="G654" s="10" t="str">
        <f aca="false">IF($A654="","",UPPER(SUBSTITUTE(SUBSTITUTE(SUBSTITUTE(SUBSTITUTE($A654," ",""),"(주)",""),"주식회사",""),"㈜","")))</f>
        <v/>
      </c>
      <c r="H654" s="10" t="str">
        <f aca="false">IF($B654="","",SUBSTITUTE(SUBSTITUTE(SUBSTITUTE($B654,"-","")," ",""),".",""))</f>
        <v/>
      </c>
      <c r="I654" s="10" t="str">
        <f aca="false">IF($D654="","",SUBSTITUTE(SUBSTITUTE(SUBSTITUTE($D654,"-","")," ",""),".",""))</f>
        <v/>
      </c>
      <c r="J654" s="10" t="str">
        <f aca="false">IF($E654="","",UPPER(SUBSTITUTE($E654," ","")))</f>
        <v/>
      </c>
      <c r="K654" s="10" t="str">
        <f aca="false">IF($A654="","",$G654&amp;"|"&amp;$J654)</f>
        <v/>
      </c>
      <c r="L654" s="10" t="str">
        <f aca="false">IF($A654="","",ROW()-2)</f>
        <v/>
      </c>
      <c r="M654" s="10" t="str">
        <f aca="false">IF($A654="","",ROW())</f>
        <v/>
      </c>
    </row>
    <row r="655" customFormat="false" ht="15" hidden="false" customHeight="true" outlineLevel="0" collapsed="false">
      <c r="A655" s="8"/>
      <c r="B655" s="8"/>
      <c r="C655" s="8"/>
      <c r="D655" s="8"/>
      <c r="E655" s="8"/>
      <c r="F655" s="8"/>
      <c r="G655" s="10" t="str">
        <f aca="false">IF($A655="","",UPPER(SUBSTITUTE(SUBSTITUTE(SUBSTITUTE(SUBSTITUTE($A655," ",""),"(주)",""),"주식회사",""),"㈜","")))</f>
        <v/>
      </c>
      <c r="H655" s="10" t="str">
        <f aca="false">IF($B655="","",SUBSTITUTE(SUBSTITUTE(SUBSTITUTE($B655,"-","")," ",""),".",""))</f>
        <v/>
      </c>
      <c r="I655" s="10" t="str">
        <f aca="false">IF($D655="","",SUBSTITUTE(SUBSTITUTE(SUBSTITUTE($D655,"-","")," ",""),".",""))</f>
        <v/>
      </c>
      <c r="J655" s="10" t="str">
        <f aca="false">IF($E655="","",UPPER(SUBSTITUTE($E655," ","")))</f>
        <v/>
      </c>
      <c r="K655" s="10" t="str">
        <f aca="false">IF($A655="","",$G655&amp;"|"&amp;$J655)</f>
        <v/>
      </c>
      <c r="L655" s="10" t="str">
        <f aca="false">IF($A655="","",ROW()-2)</f>
        <v/>
      </c>
      <c r="M655" s="10" t="str">
        <f aca="false">IF($A655="","",ROW())</f>
        <v/>
      </c>
    </row>
    <row r="656" customFormat="false" ht="15" hidden="false" customHeight="true" outlineLevel="0" collapsed="false">
      <c r="A656" s="8"/>
      <c r="B656" s="8"/>
      <c r="C656" s="8"/>
      <c r="D656" s="8"/>
      <c r="E656" s="8"/>
      <c r="F656" s="8"/>
      <c r="G656" s="10" t="str">
        <f aca="false">IF($A656="","",UPPER(SUBSTITUTE(SUBSTITUTE(SUBSTITUTE(SUBSTITUTE($A656," ",""),"(주)",""),"주식회사",""),"㈜","")))</f>
        <v/>
      </c>
      <c r="H656" s="10" t="str">
        <f aca="false">IF($B656="","",SUBSTITUTE(SUBSTITUTE(SUBSTITUTE($B656,"-","")," ",""),".",""))</f>
        <v/>
      </c>
      <c r="I656" s="10" t="str">
        <f aca="false">IF($D656="","",SUBSTITUTE(SUBSTITUTE(SUBSTITUTE($D656,"-","")," ",""),".",""))</f>
        <v/>
      </c>
      <c r="J656" s="10" t="str">
        <f aca="false">IF($E656="","",UPPER(SUBSTITUTE($E656," ","")))</f>
        <v/>
      </c>
      <c r="K656" s="10" t="str">
        <f aca="false">IF($A656="","",$G656&amp;"|"&amp;$J656)</f>
        <v/>
      </c>
      <c r="L656" s="10" t="str">
        <f aca="false">IF($A656="","",ROW()-2)</f>
        <v/>
      </c>
      <c r="M656" s="10" t="str">
        <f aca="false">IF($A656="","",ROW())</f>
        <v/>
      </c>
    </row>
    <row r="657" customFormat="false" ht="15" hidden="false" customHeight="true" outlineLevel="0" collapsed="false">
      <c r="A657" s="8"/>
      <c r="B657" s="8"/>
      <c r="C657" s="8"/>
      <c r="D657" s="8"/>
      <c r="E657" s="8"/>
      <c r="F657" s="8"/>
      <c r="G657" s="10" t="str">
        <f aca="false">IF($A657="","",UPPER(SUBSTITUTE(SUBSTITUTE(SUBSTITUTE(SUBSTITUTE($A657," ",""),"(주)",""),"주식회사",""),"㈜","")))</f>
        <v/>
      </c>
      <c r="H657" s="10" t="str">
        <f aca="false">IF($B657="","",SUBSTITUTE(SUBSTITUTE(SUBSTITUTE($B657,"-","")," ",""),".",""))</f>
        <v/>
      </c>
      <c r="I657" s="10" t="str">
        <f aca="false">IF($D657="","",SUBSTITUTE(SUBSTITUTE(SUBSTITUTE($D657,"-","")," ",""),".",""))</f>
        <v/>
      </c>
      <c r="J657" s="10" t="str">
        <f aca="false">IF($E657="","",UPPER(SUBSTITUTE($E657," ","")))</f>
        <v/>
      </c>
      <c r="K657" s="10" t="str">
        <f aca="false">IF($A657="","",$G657&amp;"|"&amp;$J657)</f>
        <v/>
      </c>
      <c r="L657" s="10" t="str">
        <f aca="false">IF($A657="","",ROW()-2)</f>
        <v/>
      </c>
      <c r="M657" s="10" t="str">
        <f aca="false">IF($A657="","",ROW())</f>
        <v/>
      </c>
    </row>
    <row r="658" customFormat="false" ht="15" hidden="false" customHeight="true" outlineLevel="0" collapsed="false">
      <c r="A658" s="8"/>
      <c r="B658" s="8"/>
      <c r="C658" s="8"/>
      <c r="D658" s="8"/>
      <c r="E658" s="8"/>
      <c r="F658" s="8"/>
      <c r="G658" s="10" t="str">
        <f aca="false">IF($A658="","",UPPER(SUBSTITUTE(SUBSTITUTE(SUBSTITUTE(SUBSTITUTE($A658," ",""),"(주)",""),"주식회사",""),"㈜","")))</f>
        <v/>
      </c>
      <c r="H658" s="10" t="str">
        <f aca="false">IF($B658="","",SUBSTITUTE(SUBSTITUTE(SUBSTITUTE($B658,"-","")," ",""),".",""))</f>
        <v/>
      </c>
      <c r="I658" s="10" t="str">
        <f aca="false">IF($D658="","",SUBSTITUTE(SUBSTITUTE(SUBSTITUTE($D658,"-","")," ",""),".",""))</f>
        <v/>
      </c>
      <c r="J658" s="10" t="str">
        <f aca="false">IF($E658="","",UPPER(SUBSTITUTE($E658," ","")))</f>
        <v/>
      </c>
      <c r="K658" s="10" t="str">
        <f aca="false">IF($A658="","",$G658&amp;"|"&amp;$J658)</f>
        <v/>
      </c>
      <c r="L658" s="10" t="str">
        <f aca="false">IF($A658="","",ROW()-2)</f>
        <v/>
      </c>
      <c r="M658" s="10" t="str">
        <f aca="false">IF($A658="","",ROW())</f>
        <v/>
      </c>
    </row>
    <row r="659" customFormat="false" ht="15" hidden="false" customHeight="true" outlineLevel="0" collapsed="false">
      <c r="A659" s="8"/>
      <c r="B659" s="8"/>
      <c r="C659" s="8"/>
      <c r="D659" s="8"/>
      <c r="E659" s="8"/>
      <c r="F659" s="8"/>
      <c r="G659" s="10" t="str">
        <f aca="false">IF($A659="","",UPPER(SUBSTITUTE(SUBSTITUTE(SUBSTITUTE(SUBSTITUTE($A659," ",""),"(주)",""),"주식회사",""),"㈜","")))</f>
        <v/>
      </c>
      <c r="H659" s="10" t="str">
        <f aca="false">IF($B659="","",SUBSTITUTE(SUBSTITUTE(SUBSTITUTE($B659,"-","")," ",""),".",""))</f>
        <v/>
      </c>
      <c r="I659" s="10" t="str">
        <f aca="false">IF($D659="","",SUBSTITUTE(SUBSTITUTE(SUBSTITUTE($D659,"-","")," ",""),".",""))</f>
        <v/>
      </c>
      <c r="J659" s="10" t="str">
        <f aca="false">IF($E659="","",UPPER(SUBSTITUTE($E659," ","")))</f>
        <v/>
      </c>
      <c r="K659" s="10" t="str">
        <f aca="false">IF($A659="","",$G659&amp;"|"&amp;$J659)</f>
        <v/>
      </c>
      <c r="L659" s="10" t="str">
        <f aca="false">IF($A659="","",ROW()-2)</f>
        <v/>
      </c>
      <c r="M659" s="10" t="str">
        <f aca="false">IF($A659="","",ROW())</f>
        <v/>
      </c>
    </row>
    <row r="660" customFormat="false" ht="15" hidden="false" customHeight="true" outlineLevel="0" collapsed="false">
      <c r="A660" s="8"/>
      <c r="B660" s="8"/>
      <c r="C660" s="8"/>
      <c r="D660" s="8"/>
      <c r="E660" s="8"/>
      <c r="F660" s="8"/>
      <c r="G660" s="10" t="str">
        <f aca="false">IF($A660="","",UPPER(SUBSTITUTE(SUBSTITUTE(SUBSTITUTE(SUBSTITUTE($A660," ",""),"(주)",""),"주식회사",""),"㈜","")))</f>
        <v/>
      </c>
      <c r="H660" s="10" t="str">
        <f aca="false">IF($B660="","",SUBSTITUTE(SUBSTITUTE(SUBSTITUTE($B660,"-","")," ",""),".",""))</f>
        <v/>
      </c>
      <c r="I660" s="10" t="str">
        <f aca="false">IF($D660="","",SUBSTITUTE(SUBSTITUTE(SUBSTITUTE($D660,"-","")," ",""),".",""))</f>
        <v/>
      </c>
      <c r="J660" s="10" t="str">
        <f aca="false">IF($E660="","",UPPER(SUBSTITUTE($E660," ","")))</f>
        <v/>
      </c>
      <c r="K660" s="10" t="str">
        <f aca="false">IF($A660="","",$G660&amp;"|"&amp;$J660)</f>
        <v/>
      </c>
      <c r="L660" s="10" t="str">
        <f aca="false">IF($A660="","",ROW()-2)</f>
        <v/>
      </c>
      <c r="M660" s="10" t="str">
        <f aca="false">IF($A660="","",ROW())</f>
        <v/>
      </c>
    </row>
    <row r="661" customFormat="false" ht="15" hidden="false" customHeight="true" outlineLevel="0" collapsed="false">
      <c r="A661" s="8"/>
      <c r="B661" s="8"/>
      <c r="C661" s="8"/>
      <c r="D661" s="8"/>
      <c r="E661" s="8"/>
      <c r="F661" s="8"/>
      <c r="G661" s="10" t="str">
        <f aca="false">IF($A661="","",UPPER(SUBSTITUTE(SUBSTITUTE(SUBSTITUTE(SUBSTITUTE($A661," ",""),"(주)",""),"주식회사",""),"㈜","")))</f>
        <v/>
      </c>
      <c r="H661" s="10" t="str">
        <f aca="false">IF($B661="","",SUBSTITUTE(SUBSTITUTE(SUBSTITUTE($B661,"-","")," ",""),".",""))</f>
        <v/>
      </c>
      <c r="I661" s="10" t="str">
        <f aca="false">IF($D661="","",SUBSTITUTE(SUBSTITUTE(SUBSTITUTE($D661,"-","")," ",""),".",""))</f>
        <v/>
      </c>
      <c r="J661" s="10" t="str">
        <f aca="false">IF($E661="","",UPPER(SUBSTITUTE($E661," ","")))</f>
        <v/>
      </c>
      <c r="K661" s="10" t="str">
        <f aca="false">IF($A661="","",$G661&amp;"|"&amp;$J661)</f>
        <v/>
      </c>
      <c r="L661" s="10" t="str">
        <f aca="false">IF($A661="","",ROW()-2)</f>
        <v/>
      </c>
      <c r="M661" s="10" t="str">
        <f aca="false">IF($A661="","",ROW())</f>
        <v/>
      </c>
    </row>
    <row r="662" customFormat="false" ht="15" hidden="false" customHeight="true" outlineLevel="0" collapsed="false">
      <c r="A662" s="8"/>
      <c r="B662" s="8"/>
      <c r="C662" s="8"/>
      <c r="D662" s="8"/>
      <c r="E662" s="8"/>
      <c r="F662" s="8"/>
      <c r="G662" s="10" t="str">
        <f aca="false">IF($A662="","",UPPER(SUBSTITUTE(SUBSTITUTE(SUBSTITUTE(SUBSTITUTE($A662," ",""),"(주)",""),"주식회사",""),"㈜","")))</f>
        <v/>
      </c>
      <c r="H662" s="10" t="str">
        <f aca="false">IF($B662="","",SUBSTITUTE(SUBSTITUTE(SUBSTITUTE($B662,"-","")," ",""),".",""))</f>
        <v/>
      </c>
      <c r="I662" s="10" t="str">
        <f aca="false">IF($D662="","",SUBSTITUTE(SUBSTITUTE(SUBSTITUTE($D662,"-","")," ",""),".",""))</f>
        <v/>
      </c>
      <c r="J662" s="10" t="str">
        <f aca="false">IF($E662="","",UPPER(SUBSTITUTE($E662," ","")))</f>
        <v/>
      </c>
      <c r="K662" s="10" t="str">
        <f aca="false">IF($A662="","",$G662&amp;"|"&amp;$J662)</f>
        <v/>
      </c>
      <c r="L662" s="10" t="str">
        <f aca="false">IF($A662="","",ROW()-2)</f>
        <v/>
      </c>
      <c r="M662" s="10" t="str">
        <f aca="false">IF($A662="","",ROW())</f>
        <v/>
      </c>
    </row>
    <row r="663" customFormat="false" ht="15" hidden="false" customHeight="true" outlineLevel="0" collapsed="false">
      <c r="A663" s="8"/>
      <c r="B663" s="8"/>
      <c r="C663" s="8"/>
      <c r="D663" s="8"/>
      <c r="E663" s="8"/>
      <c r="F663" s="8"/>
      <c r="G663" s="10" t="str">
        <f aca="false">IF($A663="","",UPPER(SUBSTITUTE(SUBSTITUTE(SUBSTITUTE(SUBSTITUTE($A663," ",""),"(주)",""),"주식회사",""),"㈜","")))</f>
        <v/>
      </c>
      <c r="H663" s="10" t="str">
        <f aca="false">IF($B663="","",SUBSTITUTE(SUBSTITUTE(SUBSTITUTE($B663,"-","")," ",""),".",""))</f>
        <v/>
      </c>
      <c r="I663" s="10" t="str">
        <f aca="false">IF($D663="","",SUBSTITUTE(SUBSTITUTE(SUBSTITUTE($D663,"-","")," ",""),".",""))</f>
        <v/>
      </c>
      <c r="J663" s="10" t="str">
        <f aca="false">IF($E663="","",UPPER(SUBSTITUTE($E663," ","")))</f>
        <v/>
      </c>
      <c r="K663" s="10" t="str">
        <f aca="false">IF($A663="","",$G663&amp;"|"&amp;$J663)</f>
        <v/>
      </c>
      <c r="L663" s="10" t="str">
        <f aca="false">IF($A663="","",ROW()-2)</f>
        <v/>
      </c>
      <c r="M663" s="10" t="str">
        <f aca="false">IF($A663="","",ROW())</f>
        <v/>
      </c>
    </row>
    <row r="664" customFormat="false" ht="15" hidden="false" customHeight="true" outlineLevel="0" collapsed="false">
      <c r="A664" s="8"/>
      <c r="B664" s="8"/>
      <c r="C664" s="8"/>
      <c r="D664" s="8"/>
      <c r="E664" s="8"/>
      <c r="F664" s="8"/>
      <c r="G664" s="10" t="str">
        <f aca="false">IF($A664="","",UPPER(SUBSTITUTE(SUBSTITUTE(SUBSTITUTE(SUBSTITUTE($A664," ",""),"(주)",""),"주식회사",""),"㈜","")))</f>
        <v/>
      </c>
      <c r="H664" s="10" t="str">
        <f aca="false">IF($B664="","",SUBSTITUTE(SUBSTITUTE(SUBSTITUTE($B664,"-","")," ",""),".",""))</f>
        <v/>
      </c>
      <c r="I664" s="10" t="str">
        <f aca="false">IF($D664="","",SUBSTITUTE(SUBSTITUTE(SUBSTITUTE($D664,"-","")," ",""),".",""))</f>
        <v/>
      </c>
      <c r="J664" s="10" t="str">
        <f aca="false">IF($E664="","",UPPER(SUBSTITUTE($E664," ","")))</f>
        <v/>
      </c>
      <c r="K664" s="10" t="str">
        <f aca="false">IF($A664="","",$G664&amp;"|"&amp;$J664)</f>
        <v/>
      </c>
      <c r="L664" s="10" t="str">
        <f aca="false">IF($A664="","",ROW()-2)</f>
        <v/>
      </c>
      <c r="M664" s="10" t="str">
        <f aca="false">IF($A664="","",ROW())</f>
        <v/>
      </c>
    </row>
    <row r="665" customFormat="false" ht="15" hidden="false" customHeight="true" outlineLevel="0" collapsed="false">
      <c r="A665" s="8"/>
      <c r="B665" s="8"/>
      <c r="C665" s="8"/>
      <c r="D665" s="8"/>
      <c r="E665" s="8"/>
      <c r="F665" s="8"/>
      <c r="G665" s="10" t="str">
        <f aca="false">IF($A665="","",UPPER(SUBSTITUTE(SUBSTITUTE(SUBSTITUTE(SUBSTITUTE($A665," ",""),"(주)",""),"주식회사",""),"㈜","")))</f>
        <v/>
      </c>
      <c r="H665" s="10" t="str">
        <f aca="false">IF($B665="","",SUBSTITUTE(SUBSTITUTE(SUBSTITUTE($B665,"-","")," ",""),".",""))</f>
        <v/>
      </c>
      <c r="I665" s="10" t="str">
        <f aca="false">IF($D665="","",SUBSTITUTE(SUBSTITUTE(SUBSTITUTE($D665,"-","")," ",""),".",""))</f>
        <v/>
      </c>
      <c r="J665" s="10" t="str">
        <f aca="false">IF($E665="","",UPPER(SUBSTITUTE($E665," ","")))</f>
        <v/>
      </c>
      <c r="K665" s="10" t="str">
        <f aca="false">IF($A665="","",$G665&amp;"|"&amp;$J665)</f>
        <v/>
      </c>
      <c r="L665" s="10" t="str">
        <f aca="false">IF($A665="","",ROW()-2)</f>
        <v/>
      </c>
      <c r="M665" s="10" t="str">
        <f aca="false">IF($A665="","",ROW())</f>
        <v/>
      </c>
    </row>
    <row r="666" customFormat="false" ht="15" hidden="false" customHeight="true" outlineLevel="0" collapsed="false">
      <c r="A666" s="8"/>
      <c r="B666" s="8"/>
      <c r="C666" s="8"/>
      <c r="D666" s="8"/>
      <c r="E666" s="8"/>
      <c r="F666" s="8"/>
      <c r="G666" s="10" t="str">
        <f aca="false">IF($A666="","",UPPER(SUBSTITUTE(SUBSTITUTE(SUBSTITUTE(SUBSTITUTE($A666," ",""),"(주)",""),"주식회사",""),"㈜","")))</f>
        <v/>
      </c>
      <c r="H666" s="10" t="str">
        <f aca="false">IF($B666="","",SUBSTITUTE(SUBSTITUTE(SUBSTITUTE($B666,"-","")," ",""),".",""))</f>
        <v/>
      </c>
      <c r="I666" s="10" t="str">
        <f aca="false">IF($D666="","",SUBSTITUTE(SUBSTITUTE(SUBSTITUTE($D666,"-","")," ",""),".",""))</f>
        <v/>
      </c>
      <c r="J666" s="10" t="str">
        <f aca="false">IF($E666="","",UPPER(SUBSTITUTE($E666," ","")))</f>
        <v/>
      </c>
      <c r="K666" s="10" t="str">
        <f aca="false">IF($A666="","",$G666&amp;"|"&amp;$J666)</f>
        <v/>
      </c>
      <c r="L666" s="10" t="str">
        <f aca="false">IF($A666="","",ROW()-2)</f>
        <v/>
      </c>
      <c r="M666" s="10" t="str">
        <f aca="false">IF($A666="","",ROW())</f>
        <v/>
      </c>
    </row>
    <row r="667" customFormat="false" ht="15" hidden="false" customHeight="true" outlineLevel="0" collapsed="false">
      <c r="A667" s="8"/>
      <c r="B667" s="8"/>
      <c r="C667" s="8"/>
      <c r="D667" s="8"/>
      <c r="E667" s="8"/>
      <c r="F667" s="8"/>
      <c r="G667" s="10" t="str">
        <f aca="false">IF($A667="","",UPPER(SUBSTITUTE(SUBSTITUTE(SUBSTITUTE(SUBSTITUTE($A667," ",""),"(주)",""),"주식회사",""),"㈜","")))</f>
        <v/>
      </c>
      <c r="H667" s="10" t="str">
        <f aca="false">IF($B667="","",SUBSTITUTE(SUBSTITUTE(SUBSTITUTE($B667,"-","")," ",""),".",""))</f>
        <v/>
      </c>
      <c r="I667" s="10" t="str">
        <f aca="false">IF($D667="","",SUBSTITUTE(SUBSTITUTE(SUBSTITUTE($D667,"-","")," ",""),".",""))</f>
        <v/>
      </c>
      <c r="J667" s="10" t="str">
        <f aca="false">IF($E667="","",UPPER(SUBSTITUTE($E667," ","")))</f>
        <v/>
      </c>
      <c r="K667" s="10" t="str">
        <f aca="false">IF($A667="","",$G667&amp;"|"&amp;$J667)</f>
        <v/>
      </c>
      <c r="L667" s="10" t="str">
        <f aca="false">IF($A667="","",ROW()-2)</f>
        <v/>
      </c>
      <c r="M667" s="10" t="str">
        <f aca="false">IF($A667="","",ROW())</f>
        <v/>
      </c>
    </row>
    <row r="668" customFormat="false" ht="15" hidden="false" customHeight="true" outlineLevel="0" collapsed="false">
      <c r="A668" s="8"/>
      <c r="B668" s="8"/>
      <c r="C668" s="8"/>
      <c r="D668" s="8"/>
      <c r="E668" s="8"/>
      <c r="F668" s="8"/>
      <c r="G668" s="10" t="str">
        <f aca="false">IF($A668="","",UPPER(SUBSTITUTE(SUBSTITUTE(SUBSTITUTE(SUBSTITUTE($A668," ",""),"(주)",""),"주식회사",""),"㈜","")))</f>
        <v/>
      </c>
      <c r="H668" s="10" t="str">
        <f aca="false">IF($B668="","",SUBSTITUTE(SUBSTITUTE(SUBSTITUTE($B668,"-","")," ",""),".",""))</f>
        <v/>
      </c>
      <c r="I668" s="10" t="str">
        <f aca="false">IF($D668="","",SUBSTITUTE(SUBSTITUTE(SUBSTITUTE($D668,"-","")," ",""),".",""))</f>
        <v/>
      </c>
      <c r="J668" s="10" t="str">
        <f aca="false">IF($E668="","",UPPER(SUBSTITUTE($E668," ","")))</f>
        <v/>
      </c>
      <c r="K668" s="10" t="str">
        <f aca="false">IF($A668="","",$G668&amp;"|"&amp;$J668)</f>
        <v/>
      </c>
      <c r="L668" s="10" t="str">
        <f aca="false">IF($A668="","",ROW()-2)</f>
        <v/>
      </c>
      <c r="M668" s="10" t="str">
        <f aca="false">IF($A668="","",ROW())</f>
        <v/>
      </c>
    </row>
    <row r="669" customFormat="false" ht="15" hidden="false" customHeight="true" outlineLevel="0" collapsed="false">
      <c r="A669" s="8"/>
      <c r="B669" s="8"/>
      <c r="C669" s="8"/>
      <c r="D669" s="8"/>
      <c r="E669" s="8"/>
      <c r="F669" s="8"/>
      <c r="G669" s="10" t="str">
        <f aca="false">IF($A669="","",UPPER(SUBSTITUTE(SUBSTITUTE(SUBSTITUTE(SUBSTITUTE($A669," ",""),"(주)",""),"주식회사",""),"㈜","")))</f>
        <v/>
      </c>
      <c r="H669" s="10" t="str">
        <f aca="false">IF($B669="","",SUBSTITUTE(SUBSTITUTE(SUBSTITUTE($B669,"-","")," ",""),".",""))</f>
        <v/>
      </c>
      <c r="I669" s="10" t="str">
        <f aca="false">IF($D669="","",SUBSTITUTE(SUBSTITUTE(SUBSTITUTE($D669,"-","")," ",""),".",""))</f>
        <v/>
      </c>
      <c r="J669" s="10" t="str">
        <f aca="false">IF($E669="","",UPPER(SUBSTITUTE($E669," ","")))</f>
        <v/>
      </c>
      <c r="K669" s="10" t="str">
        <f aca="false">IF($A669="","",$G669&amp;"|"&amp;$J669)</f>
        <v/>
      </c>
      <c r="L669" s="10" t="str">
        <f aca="false">IF($A669="","",ROW()-2)</f>
        <v/>
      </c>
      <c r="M669" s="10" t="str">
        <f aca="false">IF($A669="","",ROW())</f>
        <v/>
      </c>
    </row>
    <row r="670" customFormat="false" ht="15" hidden="false" customHeight="true" outlineLevel="0" collapsed="false">
      <c r="A670" s="8"/>
      <c r="B670" s="8"/>
      <c r="C670" s="8"/>
      <c r="D670" s="8"/>
      <c r="E670" s="8"/>
      <c r="F670" s="8"/>
      <c r="G670" s="10" t="str">
        <f aca="false">IF($A670="","",UPPER(SUBSTITUTE(SUBSTITUTE(SUBSTITUTE(SUBSTITUTE($A670," ",""),"(주)",""),"주식회사",""),"㈜","")))</f>
        <v/>
      </c>
      <c r="H670" s="10" t="str">
        <f aca="false">IF($B670="","",SUBSTITUTE(SUBSTITUTE(SUBSTITUTE($B670,"-","")," ",""),".",""))</f>
        <v/>
      </c>
      <c r="I670" s="10" t="str">
        <f aca="false">IF($D670="","",SUBSTITUTE(SUBSTITUTE(SUBSTITUTE($D670,"-","")," ",""),".",""))</f>
        <v/>
      </c>
      <c r="J670" s="10" t="str">
        <f aca="false">IF($E670="","",UPPER(SUBSTITUTE($E670," ","")))</f>
        <v/>
      </c>
      <c r="K670" s="10" t="str">
        <f aca="false">IF($A670="","",$G670&amp;"|"&amp;$J670)</f>
        <v/>
      </c>
      <c r="L670" s="10" t="str">
        <f aca="false">IF($A670="","",ROW()-2)</f>
        <v/>
      </c>
      <c r="M670" s="10" t="str">
        <f aca="false">IF($A670="","",ROW())</f>
        <v/>
      </c>
    </row>
    <row r="671" customFormat="false" ht="15" hidden="false" customHeight="true" outlineLevel="0" collapsed="false">
      <c r="A671" s="8"/>
      <c r="B671" s="8"/>
      <c r="C671" s="8"/>
      <c r="D671" s="8"/>
      <c r="E671" s="8"/>
      <c r="F671" s="8"/>
      <c r="G671" s="10" t="str">
        <f aca="false">IF($A671="","",UPPER(SUBSTITUTE(SUBSTITUTE(SUBSTITUTE(SUBSTITUTE($A671," ",""),"(주)",""),"주식회사",""),"㈜","")))</f>
        <v/>
      </c>
      <c r="H671" s="10" t="str">
        <f aca="false">IF($B671="","",SUBSTITUTE(SUBSTITUTE(SUBSTITUTE($B671,"-","")," ",""),".",""))</f>
        <v/>
      </c>
      <c r="I671" s="10" t="str">
        <f aca="false">IF($D671="","",SUBSTITUTE(SUBSTITUTE(SUBSTITUTE($D671,"-","")," ",""),".",""))</f>
        <v/>
      </c>
      <c r="J671" s="10" t="str">
        <f aca="false">IF($E671="","",UPPER(SUBSTITUTE($E671," ","")))</f>
        <v/>
      </c>
      <c r="K671" s="10" t="str">
        <f aca="false">IF($A671="","",$G671&amp;"|"&amp;$J671)</f>
        <v/>
      </c>
      <c r="L671" s="10" t="str">
        <f aca="false">IF($A671="","",ROW()-2)</f>
        <v/>
      </c>
      <c r="M671" s="10" t="str">
        <f aca="false">IF($A671="","",ROW())</f>
        <v/>
      </c>
    </row>
    <row r="672" customFormat="false" ht="15" hidden="false" customHeight="true" outlineLevel="0" collapsed="false">
      <c r="A672" s="8"/>
      <c r="B672" s="8"/>
      <c r="C672" s="8"/>
      <c r="D672" s="8"/>
      <c r="E672" s="8"/>
      <c r="F672" s="8"/>
      <c r="G672" s="10" t="str">
        <f aca="false">IF($A672="","",UPPER(SUBSTITUTE(SUBSTITUTE(SUBSTITUTE(SUBSTITUTE($A672," ",""),"(주)",""),"주식회사",""),"㈜","")))</f>
        <v/>
      </c>
      <c r="H672" s="10" t="str">
        <f aca="false">IF($B672="","",SUBSTITUTE(SUBSTITUTE(SUBSTITUTE($B672,"-","")," ",""),".",""))</f>
        <v/>
      </c>
      <c r="I672" s="10" t="str">
        <f aca="false">IF($D672="","",SUBSTITUTE(SUBSTITUTE(SUBSTITUTE($D672,"-","")," ",""),".",""))</f>
        <v/>
      </c>
      <c r="J672" s="10" t="str">
        <f aca="false">IF($E672="","",UPPER(SUBSTITUTE($E672," ","")))</f>
        <v/>
      </c>
      <c r="K672" s="10" t="str">
        <f aca="false">IF($A672="","",$G672&amp;"|"&amp;$J672)</f>
        <v/>
      </c>
      <c r="L672" s="10" t="str">
        <f aca="false">IF($A672="","",ROW()-2)</f>
        <v/>
      </c>
      <c r="M672" s="10" t="str">
        <f aca="false">IF($A672="","",ROW())</f>
        <v/>
      </c>
    </row>
    <row r="673" customFormat="false" ht="15" hidden="false" customHeight="true" outlineLevel="0" collapsed="false">
      <c r="A673" s="8"/>
      <c r="B673" s="8"/>
      <c r="C673" s="8"/>
      <c r="D673" s="8"/>
      <c r="E673" s="8"/>
      <c r="F673" s="8"/>
      <c r="G673" s="10" t="str">
        <f aca="false">IF($A673="","",UPPER(SUBSTITUTE(SUBSTITUTE(SUBSTITUTE(SUBSTITUTE($A673," ",""),"(주)",""),"주식회사",""),"㈜","")))</f>
        <v/>
      </c>
      <c r="H673" s="10" t="str">
        <f aca="false">IF($B673="","",SUBSTITUTE(SUBSTITUTE(SUBSTITUTE($B673,"-","")," ",""),".",""))</f>
        <v/>
      </c>
      <c r="I673" s="10" t="str">
        <f aca="false">IF($D673="","",SUBSTITUTE(SUBSTITUTE(SUBSTITUTE($D673,"-","")," ",""),".",""))</f>
        <v/>
      </c>
      <c r="J673" s="10" t="str">
        <f aca="false">IF($E673="","",UPPER(SUBSTITUTE($E673," ","")))</f>
        <v/>
      </c>
      <c r="K673" s="10" t="str">
        <f aca="false">IF($A673="","",$G673&amp;"|"&amp;$J673)</f>
        <v/>
      </c>
      <c r="L673" s="10" t="str">
        <f aca="false">IF($A673="","",ROW()-2)</f>
        <v/>
      </c>
      <c r="M673" s="10" t="str">
        <f aca="false">IF($A673="","",ROW())</f>
        <v/>
      </c>
    </row>
    <row r="674" customFormat="false" ht="15" hidden="false" customHeight="true" outlineLevel="0" collapsed="false">
      <c r="A674" s="8"/>
      <c r="B674" s="8"/>
      <c r="C674" s="8"/>
      <c r="D674" s="8"/>
      <c r="E674" s="8"/>
      <c r="F674" s="8"/>
      <c r="G674" s="10" t="str">
        <f aca="false">IF($A674="","",UPPER(SUBSTITUTE(SUBSTITUTE(SUBSTITUTE(SUBSTITUTE($A674," ",""),"(주)",""),"주식회사",""),"㈜","")))</f>
        <v/>
      </c>
      <c r="H674" s="10" t="str">
        <f aca="false">IF($B674="","",SUBSTITUTE(SUBSTITUTE(SUBSTITUTE($B674,"-","")," ",""),".",""))</f>
        <v/>
      </c>
      <c r="I674" s="10" t="str">
        <f aca="false">IF($D674="","",SUBSTITUTE(SUBSTITUTE(SUBSTITUTE($D674,"-","")," ",""),".",""))</f>
        <v/>
      </c>
      <c r="J674" s="10" t="str">
        <f aca="false">IF($E674="","",UPPER(SUBSTITUTE($E674," ","")))</f>
        <v/>
      </c>
      <c r="K674" s="10" t="str">
        <f aca="false">IF($A674="","",$G674&amp;"|"&amp;$J674)</f>
        <v/>
      </c>
      <c r="L674" s="10" t="str">
        <f aca="false">IF($A674="","",ROW()-2)</f>
        <v/>
      </c>
      <c r="M674" s="10" t="str">
        <f aca="false">IF($A674="","",ROW())</f>
        <v/>
      </c>
    </row>
    <row r="675" customFormat="false" ht="15" hidden="false" customHeight="true" outlineLevel="0" collapsed="false">
      <c r="A675" s="8"/>
      <c r="B675" s="8"/>
      <c r="C675" s="8"/>
      <c r="D675" s="8"/>
      <c r="E675" s="8"/>
      <c r="F675" s="8"/>
      <c r="G675" s="10" t="str">
        <f aca="false">IF($A675="","",UPPER(SUBSTITUTE(SUBSTITUTE(SUBSTITUTE(SUBSTITUTE($A675," ",""),"(주)",""),"주식회사",""),"㈜","")))</f>
        <v/>
      </c>
      <c r="H675" s="10" t="str">
        <f aca="false">IF($B675="","",SUBSTITUTE(SUBSTITUTE(SUBSTITUTE($B675,"-","")," ",""),".",""))</f>
        <v/>
      </c>
      <c r="I675" s="10" t="str">
        <f aca="false">IF($D675="","",SUBSTITUTE(SUBSTITUTE(SUBSTITUTE($D675,"-","")," ",""),".",""))</f>
        <v/>
      </c>
      <c r="J675" s="10" t="str">
        <f aca="false">IF($E675="","",UPPER(SUBSTITUTE($E675," ","")))</f>
        <v/>
      </c>
      <c r="K675" s="10" t="str">
        <f aca="false">IF($A675="","",$G675&amp;"|"&amp;$J675)</f>
        <v/>
      </c>
      <c r="L675" s="10" t="str">
        <f aca="false">IF($A675="","",ROW()-2)</f>
        <v/>
      </c>
      <c r="M675" s="10" t="str">
        <f aca="false">IF($A675="","",ROW())</f>
        <v/>
      </c>
    </row>
    <row r="676" customFormat="false" ht="15" hidden="false" customHeight="true" outlineLevel="0" collapsed="false">
      <c r="A676" s="8"/>
      <c r="B676" s="8"/>
      <c r="C676" s="8"/>
      <c r="D676" s="8"/>
      <c r="E676" s="8"/>
      <c r="F676" s="8"/>
      <c r="G676" s="10" t="str">
        <f aca="false">IF($A676="","",UPPER(SUBSTITUTE(SUBSTITUTE(SUBSTITUTE(SUBSTITUTE($A676," ",""),"(주)",""),"주식회사",""),"㈜","")))</f>
        <v/>
      </c>
      <c r="H676" s="10" t="str">
        <f aca="false">IF($B676="","",SUBSTITUTE(SUBSTITUTE(SUBSTITUTE($B676,"-","")," ",""),".",""))</f>
        <v/>
      </c>
      <c r="I676" s="10" t="str">
        <f aca="false">IF($D676="","",SUBSTITUTE(SUBSTITUTE(SUBSTITUTE($D676,"-","")," ",""),".",""))</f>
        <v/>
      </c>
      <c r="J676" s="10" t="str">
        <f aca="false">IF($E676="","",UPPER(SUBSTITUTE($E676," ","")))</f>
        <v/>
      </c>
      <c r="K676" s="10" t="str">
        <f aca="false">IF($A676="","",$G676&amp;"|"&amp;$J676)</f>
        <v/>
      </c>
      <c r="L676" s="10" t="str">
        <f aca="false">IF($A676="","",ROW()-2)</f>
        <v/>
      </c>
      <c r="M676" s="10" t="str">
        <f aca="false">IF($A676="","",ROW())</f>
        <v/>
      </c>
    </row>
    <row r="677" customFormat="false" ht="15" hidden="false" customHeight="true" outlineLevel="0" collapsed="false">
      <c r="A677" s="8"/>
      <c r="B677" s="8"/>
      <c r="C677" s="8"/>
      <c r="D677" s="8"/>
      <c r="E677" s="8"/>
      <c r="F677" s="8"/>
      <c r="G677" s="10" t="str">
        <f aca="false">IF($A677="","",UPPER(SUBSTITUTE(SUBSTITUTE(SUBSTITUTE(SUBSTITUTE($A677," ",""),"(주)",""),"주식회사",""),"㈜","")))</f>
        <v/>
      </c>
      <c r="H677" s="10" t="str">
        <f aca="false">IF($B677="","",SUBSTITUTE(SUBSTITUTE(SUBSTITUTE($B677,"-","")," ",""),".",""))</f>
        <v/>
      </c>
      <c r="I677" s="10" t="str">
        <f aca="false">IF($D677="","",SUBSTITUTE(SUBSTITUTE(SUBSTITUTE($D677,"-","")," ",""),".",""))</f>
        <v/>
      </c>
      <c r="J677" s="10" t="str">
        <f aca="false">IF($E677="","",UPPER(SUBSTITUTE($E677," ","")))</f>
        <v/>
      </c>
      <c r="K677" s="10" t="str">
        <f aca="false">IF($A677="","",$G677&amp;"|"&amp;$J677)</f>
        <v/>
      </c>
      <c r="L677" s="10" t="str">
        <f aca="false">IF($A677="","",ROW()-2)</f>
        <v/>
      </c>
      <c r="M677" s="10" t="str">
        <f aca="false">IF($A677="","",ROW())</f>
        <v/>
      </c>
    </row>
    <row r="678" customFormat="false" ht="15" hidden="false" customHeight="true" outlineLevel="0" collapsed="false">
      <c r="A678" s="8"/>
      <c r="B678" s="8"/>
      <c r="C678" s="8"/>
      <c r="D678" s="8"/>
      <c r="E678" s="8"/>
      <c r="F678" s="8"/>
      <c r="G678" s="10" t="str">
        <f aca="false">IF($A678="","",UPPER(SUBSTITUTE(SUBSTITUTE(SUBSTITUTE(SUBSTITUTE($A678," ",""),"(주)",""),"주식회사",""),"㈜","")))</f>
        <v/>
      </c>
      <c r="H678" s="10" t="str">
        <f aca="false">IF($B678="","",SUBSTITUTE(SUBSTITUTE(SUBSTITUTE($B678,"-","")," ",""),".",""))</f>
        <v/>
      </c>
      <c r="I678" s="10" t="str">
        <f aca="false">IF($D678="","",SUBSTITUTE(SUBSTITUTE(SUBSTITUTE($D678,"-","")," ",""),".",""))</f>
        <v/>
      </c>
      <c r="J678" s="10" t="str">
        <f aca="false">IF($E678="","",UPPER(SUBSTITUTE($E678," ","")))</f>
        <v/>
      </c>
      <c r="K678" s="10" t="str">
        <f aca="false">IF($A678="","",$G678&amp;"|"&amp;$J678)</f>
        <v/>
      </c>
      <c r="L678" s="10" t="str">
        <f aca="false">IF($A678="","",ROW()-2)</f>
        <v/>
      </c>
      <c r="M678" s="10" t="str">
        <f aca="false">IF($A678="","",ROW())</f>
        <v/>
      </c>
    </row>
    <row r="679" customFormat="false" ht="15" hidden="false" customHeight="true" outlineLevel="0" collapsed="false">
      <c r="A679" s="8"/>
      <c r="B679" s="8"/>
      <c r="C679" s="8"/>
      <c r="D679" s="8"/>
      <c r="E679" s="8"/>
      <c r="F679" s="8"/>
      <c r="G679" s="10" t="str">
        <f aca="false">IF($A679="","",UPPER(SUBSTITUTE(SUBSTITUTE(SUBSTITUTE(SUBSTITUTE($A679," ",""),"(주)",""),"주식회사",""),"㈜","")))</f>
        <v/>
      </c>
      <c r="H679" s="10" t="str">
        <f aca="false">IF($B679="","",SUBSTITUTE(SUBSTITUTE(SUBSTITUTE($B679,"-","")," ",""),".",""))</f>
        <v/>
      </c>
      <c r="I679" s="10" t="str">
        <f aca="false">IF($D679="","",SUBSTITUTE(SUBSTITUTE(SUBSTITUTE($D679,"-","")," ",""),".",""))</f>
        <v/>
      </c>
      <c r="J679" s="10" t="str">
        <f aca="false">IF($E679="","",UPPER(SUBSTITUTE($E679," ","")))</f>
        <v/>
      </c>
      <c r="K679" s="10" t="str">
        <f aca="false">IF($A679="","",$G679&amp;"|"&amp;$J679)</f>
        <v/>
      </c>
      <c r="L679" s="10" t="str">
        <f aca="false">IF($A679="","",ROW()-2)</f>
        <v/>
      </c>
      <c r="M679" s="10" t="str">
        <f aca="false">IF($A679="","",ROW())</f>
        <v/>
      </c>
    </row>
    <row r="680" customFormat="false" ht="15" hidden="false" customHeight="true" outlineLevel="0" collapsed="false">
      <c r="A680" s="8"/>
      <c r="B680" s="8"/>
      <c r="C680" s="8"/>
      <c r="D680" s="8"/>
      <c r="E680" s="8"/>
      <c r="F680" s="8"/>
      <c r="G680" s="10" t="str">
        <f aca="false">IF($A680="","",UPPER(SUBSTITUTE(SUBSTITUTE(SUBSTITUTE(SUBSTITUTE($A680," ",""),"(주)",""),"주식회사",""),"㈜","")))</f>
        <v/>
      </c>
      <c r="H680" s="10" t="str">
        <f aca="false">IF($B680="","",SUBSTITUTE(SUBSTITUTE(SUBSTITUTE($B680,"-","")," ",""),".",""))</f>
        <v/>
      </c>
      <c r="I680" s="10" t="str">
        <f aca="false">IF($D680="","",SUBSTITUTE(SUBSTITUTE(SUBSTITUTE($D680,"-","")," ",""),".",""))</f>
        <v/>
      </c>
      <c r="J680" s="10" t="str">
        <f aca="false">IF($E680="","",UPPER(SUBSTITUTE($E680," ","")))</f>
        <v/>
      </c>
      <c r="K680" s="10" t="str">
        <f aca="false">IF($A680="","",$G680&amp;"|"&amp;$J680)</f>
        <v/>
      </c>
      <c r="L680" s="10" t="str">
        <f aca="false">IF($A680="","",ROW()-2)</f>
        <v/>
      </c>
      <c r="M680" s="10" t="str">
        <f aca="false">IF($A680="","",ROW())</f>
        <v/>
      </c>
    </row>
    <row r="681" customFormat="false" ht="15" hidden="false" customHeight="true" outlineLevel="0" collapsed="false">
      <c r="A681" s="8"/>
      <c r="B681" s="8"/>
      <c r="C681" s="8"/>
      <c r="D681" s="8"/>
      <c r="E681" s="8"/>
      <c r="F681" s="8"/>
      <c r="G681" s="10" t="str">
        <f aca="false">IF($A681="","",UPPER(SUBSTITUTE(SUBSTITUTE(SUBSTITUTE(SUBSTITUTE($A681," ",""),"(주)",""),"주식회사",""),"㈜","")))</f>
        <v/>
      </c>
      <c r="H681" s="10" t="str">
        <f aca="false">IF($B681="","",SUBSTITUTE(SUBSTITUTE(SUBSTITUTE($B681,"-","")," ",""),".",""))</f>
        <v/>
      </c>
      <c r="I681" s="10" t="str">
        <f aca="false">IF($D681="","",SUBSTITUTE(SUBSTITUTE(SUBSTITUTE($D681,"-","")," ",""),".",""))</f>
        <v/>
      </c>
      <c r="J681" s="10" t="str">
        <f aca="false">IF($E681="","",UPPER(SUBSTITUTE($E681," ","")))</f>
        <v/>
      </c>
      <c r="K681" s="10" t="str">
        <f aca="false">IF($A681="","",$G681&amp;"|"&amp;$J681)</f>
        <v/>
      </c>
      <c r="L681" s="10" t="str">
        <f aca="false">IF($A681="","",ROW()-2)</f>
        <v/>
      </c>
      <c r="M681" s="10" t="str">
        <f aca="false">IF($A681="","",ROW())</f>
        <v/>
      </c>
    </row>
    <row r="682" customFormat="false" ht="15" hidden="false" customHeight="true" outlineLevel="0" collapsed="false">
      <c r="A682" s="8"/>
      <c r="B682" s="8"/>
      <c r="C682" s="8"/>
      <c r="D682" s="8"/>
      <c r="E682" s="8"/>
      <c r="F682" s="8"/>
      <c r="G682" s="10" t="str">
        <f aca="false">IF($A682="","",UPPER(SUBSTITUTE(SUBSTITUTE(SUBSTITUTE(SUBSTITUTE($A682," ",""),"(주)",""),"주식회사",""),"㈜","")))</f>
        <v/>
      </c>
      <c r="H682" s="10" t="str">
        <f aca="false">IF($B682="","",SUBSTITUTE(SUBSTITUTE(SUBSTITUTE($B682,"-","")," ",""),".",""))</f>
        <v/>
      </c>
      <c r="I682" s="10" t="str">
        <f aca="false">IF($D682="","",SUBSTITUTE(SUBSTITUTE(SUBSTITUTE($D682,"-","")," ",""),".",""))</f>
        <v/>
      </c>
      <c r="J682" s="10" t="str">
        <f aca="false">IF($E682="","",UPPER(SUBSTITUTE($E682," ","")))</f>
        <v/>
      </c>
      <c r="K682" s="10" t="str">
        <f aca="false">IF($A682="","",$G682&amp;"|"&amp;$J682)</f>
        <v/>
      </c>
      <c r="L682" s="10" t="str">
        <f aca="false">IF($A682="","",ROW()-2)</f>
        <v/>
      </c>
      <c r="M682" s="10" t="str">
        <f aca="false">IF($A682="","",ROW())</f>
        <v/>
      </c>
    </row>
    <row r="683" customFormat="false" ht="15" hidden="false" customHeight="true" outlineLevel="0" collapsed="false">
      <c r="A683" s="8"/>
      <c r="B683" s="8"/>
      <c r="C683" s="8"/>
      <c r="D683" s="8"/>
      <c r="E683" s="8"/>
      <c r="F683" s="8"/>
      <c r="G683" s="10" t="str">
        <f aca="false">IF($A683="","",UPPER(SUBSTITUTE(SUBSTITUTE(SUBSTITUTE(SUBSTITUTE($A683," ",""),"(주)",""),"주식회사",""),"㈜","")))</f>
        <v/>
      </c>
      <c r="H683" s="10" t="str">
        <f aca="false">IF($B683="","",SUBSTITUTE(SUBSTITUTE(SUBSTITUTE($B683,"-","")," ",""),".",""))</f>
        <v/>
      </c>
      <c r="I683" s="10" t="str">
        <f aca="false">IF($D683="","",SUBSTITUTE(SUBSTITUTE(SUBSTITUTE($D683,"-","")," ",""),".",""))</f>
        <v/>
      </c>
      <c r="J683" s="10" t="str">
        <f aca="false">IF($E683="","",UPPER(SUBSTITUTE($E683," ","")))</f>
        <v/>
      </c>
      <c r="K683" s="10" t="str">
        <f aca="false">IF($A683="","",$G683&amp;"|"&amp;$J683)</f>
        <v/>
      </c>
      <c r="L683" s="10" t="str">
        <f aca="false">IF($A683="","",ROW()-2)</f>
        <v/>
      </c>
      <c r="M683" s="10" t="str">
        <f aca="false">IF($A683="","",ROW())</f>
        <v/>
      </c>
    </row>
    <row r="684" customFormat="false" ht="15" hidden="false" customHeight="true" outlineLevel="0" collapsed="false">
      <c r="A684" s="8"/>
      <c r="B684" s="8"/>
      <c r="C684" s="8"/>
      <c r="D684" s="8"/>
      <c r="E684" s="8"/>
      <c r="F684" s="8"/>
      <c r="G684" s="10" t="str">
        <f aca="false">IF($A684="","",UPPER(SUBSTITUTE(SUBSTITUTE(SUBSTITUTE(SUBSTITUTE($A684," ",""),"(주)",""),"주식회사",""),"㈜","")))</f>
        <v/>
      </c>
      <c r="H684" s="10" t="str">
        <f aca="false">IF($B684="","",SUBSTITUTE(SUBSTITUTE(SUBSTITUTE($B684,"-","")," ",""),".",""))</f>
        <v/>
      </c>
      <c r="I684" s="10" t="str">
        <f aca="false">IF($D684="","",SUBSTITUTE(SUBSTITUTE(SUBSTITUTE($D684,"-","")," ",""),".",""))</f>
        <v/>
      </c>
      <c r="J684" s="10" t="str">
        <f aca="false">IF($E684="","",UPPER(SUBSTITUTE($E684," ","")))</f>
        <v/>
      </c>
      <c r="K684" s="10" t="str">
        <f aca="false">IF($A684="","",$G684&amp;"|"&amp;$J684)</f>
        <v/>
      </c>
      <c r="L684" s="10" t="str">
        <f aca="false">IF($A684="","",ROW()-2)</f>
        <v/>
      </c>
      <c r="M684" s="10" t="str">
        <f aca="false">IF($A684="","",ROW())</f>
        <v/>
      </c>
    </row>
    <row r="685" customFormat="false" ht="15" hidden="false" customHeight="true" outlineLevel="0" collapsed="false">
      <c r="A685" s="8"/>
      <c r="B685" s="8"/>
      <c r="C685" s="8"/>
      <c r="D685" s="8"/>
      <c r="E685" s="8"/>
      <c r="F685" s="8"/>
      <c r="G685" s="10" t="str">
        <f aca="false">IF($A685="","",UPPER(SUBSTITUTE(SUBSTITUTE(SUBSTITUTE(SUBSTITUTE($A685," ",""),"(주)",""),"주식회사",""),"㈜","")))</f>
        <v/>
      </c>
      <c r="H685" s="10" t="str">
        <f aca="false">IF($B685="","",SUBSTITUTE(SUBSTITUTE(SUBSTITUTE($B685,"-","")," ",""),".",""))</f>
        <v/>
      </c>
      <c r="I685" s="10" t="str">
        <f aca="false">IF($D685="","",SUBSTITUTE(SUBSTITUTE(SUBSTITUTE($D685,"-","")," ",""),".",""))</f>
        <v/>
      </c>
      <c r="J685" s="10" t="str">
        <f aca="false">IF($E685="","",UPPER(SUBSTITUTE($E685," ","")))</f>
        <v/>
      </c>
      <c r="K685" s="10" t="str">
        <f aca="false">IF($A685="","",$G685&amp;"|"&amp;$J685)</f>
        <v/>
      </c>
      <c r="L685" s="10" t="str">
        <f aca="false">IF($A685="","",ROW()-2)</f>
        <v/>
      </c>
      <c r="M685" s="10" t="str">
        <f aca="false">IF($A685="","",ROW())</f>
        <v/>
      </c>
    </row>
    <row r="686" customFormat="false" ht="15" hidden="false" customHeight="true" outlineLevel="0" collapsed="false">
      <c r="A686" s="8"/>
      <c r="B686" s="8"/>
      <c r="C686" s="8"/>
      <c r="D686" s="8"/>
      <c r="E686" s="8"/>
      <c r="F686" s="8"/>
      <c r="G686" s="10" t="str">
        <f aca="false">IF($A686="","",UPPER(SUBSTITUTE(SUBSTITUTE(SUBSTITUTE(SUBSTITUTE($A686," ",""),"(주)",""),"주식회사",""),"㈜","")))</f>
        <v/>
      </c>
      <c r="H686" s="10" t="str">
        <f aca="false">IF($B686="","",SUBSTITUTE(SUBSTITUTE(SUBSTITUTE($B686,"-","")," ",""),".",""))</f>
        <v/>
      </c>
      <c r="I686" s="10" t="str">
        <f aca="false">IF($D686="","",SUBSTITUTE(SUBSTITUTE(SUBSTITUTE($D686,"-","")," ",""),".",""))</f>
        <v/>
      </c>
      <c r="J686" s="10" t="str">
        <f aca="false">IF($E686="","",UPPER(SUBSTITUTE($E686," ","")))</f>
        <v/>
      </c>
      <c r="K686" s="10" t="str">
        <f aca="false">IF($A686="","",$G686&amp;"|"&amp;$J686)</f>
        <v/>
      </c>
      <c r="L686" s="10" t="str">
        <f aca="false">IF($A686="","",ROW()-2)</f>
        <v/>
      </c>
      <c r="M686" s="10" t="str">
        <f aca="false">IF($A686="","",ROW())</f>
        <v/>
      </c>
    </row>
    <row r="687" customFormat="false" ht="15" hidden="false" customHeight="true" outlineLevel="0" collapsed="false">
      <c r="A687" s="8"/>
      <c r="B687" s="8"/>
      <c r="C687" s="8"/>
      <c r="D687" s="8"/>
      <c r="E687" s="8"/>
      <c r="F687" s="8"/>
      <c r="G687" s="10" t="str">
        <f aca="false">IF($A687="","",UPPER(SUBSTITUTE(SUBSTITUTE(SUBSTITUTE(SUBSTITUTE($A687," ",""),"(주)",""),"주식회사",""),"㈜","")))</f>
        <v/>
      </c>
      <c r="H687" s="10" t="str">
        <f aca="false">IF($B687="","",SUBSTITUTE(SUBSTITUTE(SUBSTITUTE($B687,"-","")," ",""),".",""))</f>
        <v/>
      </c>
      <c r="I687" s="10" t="str">
        <f aca="false">IF($D687="","",SUBSTITUTE(SUBSTITUTE(SUBSTITUTE($D687,"-","")," ",""),".",""))</f>
        <v/>
      </c>
      <c r="J687" s="10" t="str">
        <f aca="false">IF($E687="","",UPPER(SUBSTITUTE($E687," ","")))</f>
        <v/>
      </c>
      <c r="K687" s="10" t="str">
        <f aca="false">IF($A687="","",$G687&amp;"|"&amp;$J687)</f>
        <v/>
      </c>
      <c r="L687" s="10" t="str">
        <f aca="false">IF($A687="","",ROW()-2)</f>
        <v/>
      </c>
      <c r="M687" s="10" t="str">
        <f aca="false">IF($A687="","",ROW())</f>
        <v/>
      </c>
    </row>
    <row r="688" customFormat="false" ht="15" hidden="false" customHeight="true" outlineLevel="0" collapsed="false">
      <c r="A688" s="8"/>
      <c r="B688" s="8"/>
      <c r="C688" s="8"/>
      <c r="D688" s="8"/>
      <c r="E688" s="8"/>
      <c r="F688" s="8"/>
      <c r="G688" s="10" t="str">
        <f aca="false">IF($A688="","",UPPER(SUBSTITUTE(SUBSTITUTE(SUBSTITUTE(SUBSTITUTE($A688," ",""),"(주)",""),"주식회사",""),"㈜","")))</f>
        <v/>
      </c>
      <c r="H688" s="10" t="str">
        <f aca="false">IF($B688="","",SUBSTITUTE(SUBSTITUTE(SUBSTITUTE($B688,"-","")," ",""),".",""))</f>
        <v/>
      </c>
      <c r="I688" s="10" t="str">
        <f aca="false">IF($D688="","",SUBSTITUTE(SUBSTITUTE(SUBSTITUTE($D688,"-","")," ",""),".",""))</f>
        <v/>
      </c>
      <c r="J688" s="10" t="str">
        <f aca="false">IF($E688="","",UPPER(SUBSTITUTE($E688," ","")))</f>
        <v/>
      </c>
      <c r="K688" s="10" t="str">
        <f aca="false">IF($A688="","",$G688&amp;"|"&amp;$J688)</f>
        <v/>
      </c>
      <c r="L688" s="10" t="str">
        <f aca="false">IF($A688="","",ROW()-2)</f>
        <v/>
      </c>
      <c r="M688" s="10" t="str">
        <f aca="false">IF($A688="","",ROW())</f>
        <v/>
      </c>
    </row>
    <row r="689" customFormat="false" ht="15" hidden="false" customHeight="true" outlineLevel="0" collapsed="false">
      <c r="A689" s="8"/>
      <c r="B689" s="8"/>
      <c r="C689" s="8"/>
      <c r="D689" s="8"/>
      <c r="E689" s="8"/>
      <c r="F689" s="8"/>
      <c r="G689" s="10" t="str">
        <f aca="false">IF($A689="","",UPPER(SUBSTITUTE(SUBSTITUTE(SUBSTITUTE(SUBSTITUTE($A689," ",""),"(주)",""),"주식회사",""),"㈜","")))</f>
        <v/>
      </c>
      <c r="H689" s="10" t="str">
        <f aca="false">IF($B689="","",SUBSTITUTE(SUBSTITUTE(SUBSTITUTE($B689,"-","")," ",""),".",""))</f>
        <v/>
      </c>
      <c r="I689" s="10" t="str">
        <f aca="false">IF($D689="","",SUBSTITUTE(SUBSTITUTE(SUBSTITUTE($D689,"-","")," ",""),".",""))</f>
        <v/>
      </c>
      <c r="J689" s="10" t="str">
        <f aca="false">IF($E689="","",UPPER(SUBSTITUTE($E689," ","")))</f>
        <v/>
      </c>
      <c r="K689" s="10" t="str">
        <f aca="false">IF($A689="","",$G689&amp;"|"&amp;$J689)</f>
        <v/>
      </c>
      <c r="L689" s="10" t="str">
        <f aca="false">IF($A689="","",ROW()-2)</f>
        <v/>
      </c>
      <c r="M689" s="10" t="str">
        <f aca="false">IF($A689="","",ROW())</f>
        <v/>
      </c>
    </row>
    <row r="690" customFormat="false" ht="15" hidden="false" customHeight="true" outlineLevel="0" collapsed="false">
      <c r="A690" s="8"/>
      <c r="B690" s="8"/>
      <c r="C690" s="8"/>
      <c r="D690" s="8"/>
      <c r="E690" s="8"/>
      <c r="F690" s="8"/>
      <c r="G690" s="10" t="str">
        <f aca="false">IF($A690="","",UPPER(SUBSTITUTE(SUBSTITUTE(SUBSTITUTE(SUBSTITUTE($A690," ",""),"(주)",""),"주식회사",""),"㈜","")))</f>
        <v/>
      </c>
      <c r="H690" s="10" t="str">
        <f aca="false">IF($B690="","",SUBSTITUTE(SUBSTITUTE(SUBSTITUTE($B690,"-","")," ",""),".",""))</f>
        <v/>
      </c>
      <c r="I690" s="10" t="str">
        <f aca="false">IF($D690="","",SUBSTITUTE(SUBSTITUTE(SUBSTITUTE($D690,"-","")," ",""),".",""))</f>
        <v/>
      </c>
      <c r="J690" s="10" t="str">
        <f aca="false">IF($E690="","",UPPER(SUBSTITUTE($E690," ","")))</f>
        <v/>
      </c>
      <c r="K690" s="10" t="str">
        <f aca="false">IF($A690="","",$G690&amp;"|"&amp;$J690)</f>
        <v/>
      </c>
      <c r="L690" s="10" t="str">
        <f aca="false">IF($A690="","",ROW()-2)</f>
        <v/>
      </c>
      <c r="M690" s="10" t="str">
        <f aca="false">IF($A690="","",ROW())</f>
        <v/>
      </c>
    </row>
    <row r="691" customFormat="false" ht="15" hidden="false" customHeight="true" outlineLevel="0" collapsed="false">
      <c r="A691" s="8"/>
      <c r="B691" s="8"/>
      <c r="C691" s="8"/>
      <c r="D691" s="8"/>
      <c r="E691" s="8"/>
      <c r="F691" s="8"/>
      <c r="G691" s="10" t="str">
        <f aca="false">IF($A691="","",UPPER(SUBSTITUTE(SUBSTITUTE(SUBSTITUTE(SUBSTITUTE($A691," ",""),"(주)",""),"주식회사",""),"㈜","")))</f>
        <v/>
      </c>
      <c r="H691" s="10" t="str">
        <f aca="false">IF($B691="","",SUBSTITUTE(SUBSTITUTE(SUBSTITUTE($B691,"-","")," ",""),".",""))</f>
        <v/>
      </c>
      <c r="I691" s="10" t="str">
        <f aca="false">IF($D691="","",SUBSTITUTE(SUBSTITUTE(SUBSTITUTE($D691,"-","")," ",""),".",""))</f>
        <v/>
      </c>
      <c r="J691" s="10" t="str">
        <f aca="false">IF($E691="","",UPPER(SUBSTITUTE($E691," ","")))</f>
        <v/>
      </c>
      <c r="K691" s="10" t="str">
        <f aca="false">IF($A691="","",$G691&amp;"|"&amp;$J691)</f>
        <v/>
      </c>
      <c r="L691" s="10" t="str">
        <f aca="false">IF($A691="","",ROW()-2)</f>
        <v/>
      </c>
      <c r="M691" s="10" t="str">
        <f aca="false">IF($A691="","",ROW())</f>
        <v/>
      </c>
    </row>
    <row r="692" customFormat="false" ht="15" hidden="false" customHeight="true" outlineLevel="0" collapsed="false">
      <c r="A692" s="8"/>
      <c r="B692" s="8"/>
      <c r="C692" s="8"/>
      <c r="D692" s="8"/>
      <c r="E692" s="8"/>
      <c r="F692" s="8"/>
      <c r="G692" s="10" t="str">
        <f aca="false">IF($A692="","",UPPER(SUBSTITUTE(SUBSTITUTE(SUBSTITUTE(SUBSTITUTE($A692," ",""),"(주)",""),"주식회사",""),"㈜","")))</f>
        <v/>
      </c>
      <c r="H692" s="10" t="str">
        <f aca="false">IF($B692="","",SUBSTITUTE(SUBSTITUTE(SUBSTITUTE($B692,"-","")," ",""),".",""))</f>
        <v/>
      </c>
      <c r="I692" s="10" t="str">
        <f aca="false">IF($D692="","",SUBSTITUTE(SUBSTITUTE(SUBSTITUTE($D692,"-","")," ",""),".",""))</f>
        <v/>
      </c>
      <c r="J692" s="10" t="str">
        <f aca="false">IF($E692="","",UPPER(SUBSTITUTE($E692," ","")))</f>
        <v/>
      </c>
      <c r="K692" s="10" t="str">
        <f aca="false">IF($A692="","",$G692&amp;"|"&amp;$J692)</f>
        <v/>
      </c>
      <c r="L692" s="10" t="str">
        <f aca="false">IF($A692="","",ROW()-2)</f>
        <v/>
      </c>
      <c r="M692" s="10" t="str">
        <f aca="false">IF($A692="","",ROW())</f>
        <v/>
      </c>
    </row>
    <row r="693" customFormat="false" ht="15" hidden="false" customHeight="true" outlineLevel="0" collapsed="false">
      <c r="A693" s="8"/>
      <c r="B693" s="8"/>
      <c r="C693" s="8"/>
      <c r="D693" s="8"/>
      <c r="E693" s="8"/>
      <c r="F693" s="8"/>
      <c r="G693" s="10" t="str">
        <f aca="false">IF($A693="","",UPPER(SUBSTITUTE(SUBSTITUTE(SUBSTITUTE(SUBSTITUTE($A693," ",""),"(주)",""),"주식회사",""),"㈜","")))</f>
        <v/>
      </c>
      <c r="H693" s="10" t="str">
        <f aca="false">IF($B693="","",SUBSTITUTE(SUBSTITUTE(SUBSTITUTE($B693,"-","")," ",""),".",""))</f>
        <v/>
      </c>
      <c r="I693" s="10" t="str">
        <f aca="false">IF($D693="","",SUBSTITUTE(SUBSTITUTE(SUBSTITUTE($D693,"-","")," ",""),".",""))</f>
        <v/>
      </c>
      <c r="J693" s="10" t="str">
        <f aca="false">IF($E693="","",UPPER(SUBSTITUTE($E693," ","")))</f>
        <v/>
      </c>
      <c r="K693" s="10" t="str">
        <f aca="false">IF($A693="","",$G693&amp;"|"&amp;$J693)</f>
        <v/>
      </c>
      <c r="L693" s="10" t="str">
        <f aca="false">IF($A693="","",ROW()-2)</f>
        <v/>
      </c>
      <c r="M693" s="10" t="str">
        <f aca="false">IF($A693="","",ROW())</f>
        <v/>
      </c>
    </row>
    <row r="694" customFormat="false" ht="15" hidden="false" customHeight="true" outlineLevel="0" collapsed="false">
      <c r="A694" s="8"/>
      <c r="B694" s="8"/>
      <c r="C694" s="8"/>
      <c r="D694" s="8"/>
      <c r="E694" s="8"/>
      <c r="F694" s="8"/>
      <c r="G694" s="10" t="str">
        <f aca="false">IF($A694="","",UPPER(SUBSTITUTE(SUBSTITUTE(SUBSTITUTE(SUBSTITUTE($A694," ",""),"(주)",""),"주식회사",""),"㈜","")))</f>
        <v/>
      </c>
      <c r="H694" s="10" t="str">
        <f aca="false">IF($B694="","",SUBSTITUTE(SUBSTITUTE(SUBSTITUTE($B694,"-","")," ",""),".",""))</f>
        <v/>
      </c>
      <c r="I694" s="10" t="str">
        <f aca="false">IF($D694="","",SUBSTITUTE(SUBSTITUTE(SUBSTITUTE($D694,"-","")," ",""),".",""))</f>
        <v/>
      </c>
      <c r="J694" s="10" t="str">
        <f aca="false">IF($E694="","",UPPER(SUBSTITUTE($E694," ","")))</f>
        <v/>
      </c>
      <c r="K694" s="10" t="str">
        <f aca="false">IF($A694="","",$G694&amp;"|"&amp;$J694)</f>
        <v/>
      </c>
      <c r="L694" s="10" t="str">
        <f aca="false">IF($A694="","",ROW()-2)</f>
        <v/>
      </c>
      <c r="M694" s="10" t="str">
        <f aca="false">IF($A694="","",ROW())</f>
        <v/>
      </c>
    </row>
    <row r="695" customFormat="false" ht="15" hidden="false" customHeight="true" outlineLevel="0" collapsed="false">
      <c r="A695" s="8"/>
      <c r="B695" s="8"/>
      <c r="C695" s="8"/>
      <c r="D695" s="8"/>
      <c r="E695" s="8"/>
      <c r="F695" s="8"/>
      <c r="G695" s="10" t="str">
        <f aca="false">IF($A695="","",UPPER(SUBSTITUTE(SUBSTITUTE(SUBSTITUTE(SUBSTITUTE($A695," ",""),"(주)",""),"주식회사",""),"㈜","")))</f>
        <v/>
      </c>
      <c r="H695" s="10" t="str">
        <f aca="false">IF($B695="","",SUBSTITUTE(SUBSTITUTE(SUBSTITUTE($B695,"-","")," ",""),".",""))</f>
        <v/>
      </c>
      <c r="I695" s="10" t="str">
        <f aca="false">IF($D695="","",SUBSTITUTE(SUBSTITUTE(SUBSTITUTE($D695,"-","")," ",""),".",""))</f>
        <v/>
      </c>
      <c r="J695" s="10" t="str">
        <f aca="false">IF($E695="","",UPPER(SUBSTITUTE($E695," ","")))</f>
        <v/>
      </c>
      <c r="K695" s="10" t="str">
        <f aca="false">IF($A695="","",$G695&amp;"|"&amp;$J695)</f>
        <v/>
      </c>
      <c r="L695" s="10" t="str">
        <f aca="false">IF($A695="","",ROW()-2)</f>
        <v/>
      </c>
      <c r="M695" s="10" t="str">
        <f aca="false">IF($A695="","",ROW())</f>
        <v/>
      </c>
    </row>
    <row r="696" customFormat="false" ht="15" hidden="false" customHeight="true" outlineLevel="0" collapsed="false">
      <c r="A696" s="8"/>
      <c r="B696" s="8"/>
      <c r="C696" s="8"/>
      <c r="D696" s="8"/>
      <c r="E696" s="8"/>
      <c r="F696" s="8"/>
      <c r="G696" s="10" t="str">
        <f aca="false">IF($A696="","",UPPER(SUBSTITUTE(SUBSTITUTE(SUBSTITUTE(SUBSTITUTE($A696," ",""),"(주)",""),"주식회사",""),"㈜","")))</f>
        <v/>
      </c>
      <c r="H696" s="10" t="str">
        <f aca="false">IF($B696="","",SUBSTITUTE(SUBSTITUTE(SUBSTITUTE($B696,"-","")," ",""),".",""))</f>
        <v/>
      </c>
      <c r="I696" s="10" t="str">
        <f aca="false">IF($D696="","",SUBSTITUTE(SUBSTITUTE(SUBSTITUTE($D696,"-","")," ",""),".",""))</f>
        <v/>
      </c>
      <c r="J696" s="10" t="str">
        <f aca="false">IF($E696="","",UPPER(SUBSTITUTE($E696," ","")))</f>
        <v/>
      </c>
      <c r="K696" s="10" t="str">
        <f aca="false">IF($A696="","",$G696&amp;"|"&amp;$J696)</f>
        <v/>
      </c>
      <c r="L696" s="10" t="str">
        <f aca="false">IF($A696="","",ROW()-2)</f>
        <v/>
      </c>
      <c r="M696" s="10" t="str">
        <f aca="false">IF($A696="","",ROW())</f>
        <v/>
      </c>
    </row>
    <row r="697" customFormat="false" ht="15" hidden="false" customHeight="true" outlineLevel="0" collapsed="false">
      <c r="A697" s="8"/>
      <c r="B697" s="8"/>
      <c r="C697" s="8"/>
      <c r="D697" s="8"/>
      <c r="E697" s="8"/>
      <c r="F697" s="8"/>
      <c r="G697" s="10" t="str">
        <f aca="false">IF($A697="","",UPPER(SUBSTITUTE(SUBSTITUTE(SUBSTITUTE(SUBSTITUTE($A697," ",""),"(주)",""),"주식회사",""),"㈜","")))</f>
        <v/>
      </c>
      <c r="H697" s="10" t="str">
        <f aca="false">IF($B697="","",SUBSTITUTE(SUBSTITUTE(SUBSTITUTE($B697,"-","")," ",""),".",""))</f>
        <v/>
      </c>
      <c r="I697" s="10" t="str">
        <f aca="false">IF($D697="","",SUBSTITUTE(SUBSTITUTE(SUBSTITUTE($D697,"-","")," ",""),".",""))</f>
        <v/>
      </c>
      <c r="J697" s="10" t="str">
        <f aca="false">IF($E697="","",UPPER(SUBSTITUTE($E697," ","")))</f>
        <v/>
      </c>
      <c r="K697" s="10" t="str">
        <f aca="false">IF($A697="","",$G697&amp;"|"&amp;$J697)</f>
        <v/>
      </c>
      <c r="L697" s="10" t="str">
        <f aca="false">IF($A697="","",ROW()-2)</f>
        <v/>
      </c>
      <c r="M697" s="10" t="str">
        <f aca="false">IF($A697="","",ROW())</f>
        <v/>
      </c>
    </row>
    <row r="698" customFormat="false" ht="15" hidden="false" customHeight="true" outlineLevel="0" collapsed="false">
      <c r="A698" s="8"/>
      <c r="B698" s="8"/>
      <c r="C698" s="8"/>
      <c r="D698" s="8"/>
      <c r="E698" s="8"/>
      <c r="F698" s="8"/>
      <c r="G698" s="10" t="str">
        <f aca="false">IF($A698="","",UPPER(SUBSTITUTE(SUBSTITUTE(SUBSTITUTE(SUBSTITUTE($A698," ",""),"(주)",""),"주식회사",""),"㈜","")))</f>
        <v/>
      </c>
      <c r="H698" s="10" t="str">
        <f aca="false">IF($B698="","",SUBSTITUTE(SUBSTITUTE(SUBSTITUTE($B698,"-","")," ",""),".",""))</f>
        <v/>
      </c>
      <c r="I698" s="10" t="str">
        <f aca="false">IF($D698="","",SUBSTITUTE(SUBSTITUTE(SUBSTITUTE($D698,"-","")," ",""),".",""))</f>
        <v/>
      </c>
      <c r="J698" s="10" t="str">
        <f aca="false">IF($E698="","",UPPER(SUBSTITUTE($E698," ","")))</f>
        <v/>
      </c>
      <c r="K698" s="10" t="str">
        <f aca="false">IF($A698="","",$G698&amp;"|"&amp;$J698)</f>
        <v/>
      </c>
      <c r="L698" s="10" t="str">
        <f aca="false">IF($A698="","",ROW()-2)</f>
        <v/>
      </c>
      <c r="M698" s="10" t="str">
        <f aca="false">IF($A698="","",ROW())</f>
        <v/>
      </c>
    </row>
    <row r="699" customFormat="false" ht="15" hidden="false" customHeight="true" outlineLevel="0" collapsed="false">
      <c r="A699" s="8"/>
      <c r="B699" s="8"/>
      <c r="C699" s="8"/>
      <c r="D699" s="8"/>
      <c r="E699" s="8"/>
      <c r="F699" s="8"/>
      <c r="G699" s="10" t="str">
        <f aca="false">IF($A699="","",UPPER(SUBSTITUTE(SUBSTITUTE(SUBSTITUTE(SUBSTITUTE($A699," ",""),"(주)",""),"주식회사",""),"㈜","")))</f>
        <v/>
      </c>
      <c r="H699" s="10" t="str">
        <f aca="false">IF($B699="","",SUBSTITUTE(SUBSTITUTE(SUBSTITUTE($B699,"-","")," ",""),".",""))</f>
        <v/>
      </c>
      <c r="I699" s="10" t="str">
        <f aca="false">IF($D699="","",SUBSTITUTE(SUBSTITUTE(SUBSTITUTE($D699,"-","")," ",""),".",""))</f>
        <v/>
      </c>
      <c r="J699" s="10" t="str">
        <f aca="false">IF($E699="","",UPPER(SUBSTITUTE($E699," ","")))</f>
        <v/>
      </c>
      <c r="K699" s="10" t="str">
        <f aca="false">IF($A699="","",$G699&amp;"|"&amp;$J699)</f>
        <v/>
      </c>
      <c r="L699" s="10" t="str">
        <f aca="false">IF($A699="","",ROW()-2)</f>
        <v/>
      </c>
      <c r="M699" s="10" t="str">
        <f aca="false">IF($A699="","",ROW())</f>
        <v/>
      </c>
    </row>
    <row r="700" customFormat="false" ht="15" hidden="false" customHeight="true" outlineLevel="0" collapsed="false">
      <c r="A700" s="8"/>
      <c r="B700" s="8"/>
      <c r="C700" s="8"/>
      <c r="D700" s="8"/>
      <c r="E700" s="8"/>
      <c r="F700" s="8"/>
      <c r="G700" s="10" t="str">
        <f aca="false">IF($A700="","",UPPER(SUBSTITUTE(SUBSTITUTE(SUBSTITUTE(SUBSTITUTE($A700," ",""),"(주)",""),"주식회사",""),"㈜","")))</f>
        <v/>
      </c>
      <c r="H700" s="10" t="str">
        <f aca="false">IF($B700="","",SUBSTITUTE(SUBSTITUTE(SUBSTITUTE($B700,"-","")," ",""),".",""))</f>
        <v/>
      </c>
      <c r="I700" s="10" t="str">
        <f aca="false">IF($D700="","",SUBSTITUTE(SUBSTITUTE(SUBSTITUTE($D700,"-","")," ",""),".",""))</f>
        <v/>
      </c>
      <c r="J700" s="10" t="str">
        <f aca="false">IF($E700="","",UPPER(SUBSTITUTE($E700," ","")))</f>
        <v/>
      </c>
      <c r="K700" s="10" t="str">
        <f aca="false">IF($A700="","",$G700&amp;"|"&amp;$J700)</f>
        <v/>
      </c>
      <c r="L700" s="10" t="str">
        <f aca="false">IF($A700="","",ROW()-2)</f>
        <v/>
      </c>
      <c r="M700" s="10" t="str">
        <f aca="false">IF($A700="","",ROW())</f>
        <v/>
      </c>
    </row>
    <row r="701" customFormat="false" ht="15" hidden="false" customHeight="true" outlineLevel="0" collapsed="false">
      <c r="A701" s="8"/>
      <c r="B701" s="8"/>
      <c r="C701" s="8"/>
      <c r="D701" s="8"/>
      <c r="E701" s="8"/>
      <c r="F701" s="8"/>
      <c r="G701" s="10" t="str">
        <f aca="false">IF($A701="","",UPPER(SUBSTITUTE(SUBSTITUTE(SUBSTITUTE(SUBSTITUTE($A701," ",""),"(주)",""),"주식회사",""),"㈜","")))</f>
        <v/>
      </c>
      <c r="H701" s="10" t="str">
        <f aca="false">IF($B701="","",SUBSTITUTE(SUBSTITUTE(SUBSTITUTE($B701,"-","")," ",""),".",""))</f>
        <v/>
      </c>
      <c r="I701" s="10" t="str">
        <f aca="false">IF($D701="","",SUBSTITUTE(SUBSTITUTE(SUBSTITUTE($D701,"-","")," ",""),".",""))</f>
        <v/>
      </c>
      <c r="J701" s="10" t="str">
        <f aca="false">IF($E701="","",UPPER(SUBSTITUTE($E701," ","")))</f>
        <v/>
      </c>
      <c r="K701" s="10" t="str">
        <f aca="false">IF($A701="","",$G701&amp;"|"&amp;$J701)</f>
        <v/>
      </c>
      <c r="L701" s="10" t="str">
        <f aca="false">IF($A701="","",ROW()-2)</f>
        <v/>
      </c>
      <c r="M701" s="10" t="str">
        <f aca="false">IF($A701="","",ROW())</f>
        <v/>
      </c>
    </row>
    <row r="702" customFormat="false" ht="15" hidden="false" customHeight="true" outlineLevel="0" collapsed="false">
      <c r="A702" s="8"/>
      <c r="B702" s="8"/>
      <c r="C702" s="8"/>
      <c r="D702" s="8"/>
      <c r="E702" s="8"/>
      <c r="F702" s="8"/>
      <c r="G702" s="10" t="str">
        <f aca="false">IF($A702="","",UPPER(SUBSTITUTE(SUBSTITUTE(SUBSTITUTE(SUBSTITUTE($A702," ",""),"(주)",""),"주식회사",""),"㈜","")))</f>
        <v/>
      </c>
      <c r="H702" s="10" t="str">
        <f aca="false">IF($B702="","",SUBSTITUTE(SUBSTITUTE(SUBSTITUTE($B702,"-","")," ",""),".",""))</f>
        <v/>
      </c>
      <c r="I702" s="10" t="str">
        <f aca="false">IF($D702="","",SUBSTITUTE(SUBSTITUTE(SUBSTITUTE($D702,"-","")," ",""),".",""))</f>
        <v/>
      </c>
      <c r="J702" s="10" t="str">
        <f aca="false">IF($E702="","",UPPER(SUBSTITUTE($E702," ","")))</f>
        <v/>
      </c>
      <c r="K702" s="10" t="str">
        <f aca="false">IF($A702="","",$G702&amp;"|"&amp;$J702)</f>
        <v/>
      </c>
      <c r="L702" s="10" t="str">
        <f aca="false">IF($A702="","",ROW()-2)</f>
        <v/>
      </c>
      <c r="M702" s="10" t="str">
        <f aca="false">IF($A702="","",ROW())</f>
        <v/>
      </c>
    </row>
    <row r="703" customFormat="false" ht="15" hidden="false" customHeight="true" outlineLevel="0" collapsed="false">
      <c r="A703" s="8"/>
      <c r="B703" s="8"/>
      <c r="C703" s="8"/>
      <c r="D703" s="8"/>
      <c r="E703" s="8"/>
      <c r="F703" s="8"/>
      <c r="G703" s="10" t="str">
        <f aca="false">IF($A703="","",UPPER(SUBSTITUTE(SUBSTITUTE(SUBSTITUTE(SUBSTITUTE($A703," ",""),"(주)",""),"주식회사",""),"㈜","")))</f>
        <v/>
      </c>
      <c r="H703" s="10" t="str">
        <f aca="false">IF($B703="","",SUBSTITUTE(SUBSTITUTE(SUBSTITUTE($B703,"-","")," ",""),".",""))</f>
        <v/>
      </c>
      <c r="I703" s="10" t="str">
        <f aca="false">IF($D703="","",SUBSTITUTE(SUBSTITUTE(SUBSTITUTE($D703,"-","")," ",""),".",""))</f>
        <v/>
      </c>
      <c r="J703" s="10" t="str">
        <f aca="false">IF($E703="","",UPPER(SUBSTITUTE($E703," ","")))</f>
        <v/>
      </c>
      <c r="K703" s="10" t="str">
        <f aca="false">IF($A703="","",$G703&amp;"|"&amp;$J703)</f>
        <v/>
      </c>
      <c r="L703" s="10" t="str">
        <f aca="false">IF($A703="","",ROW()-2)</f>
        <v/>
      </c>
      <c r="M703" s="10" t="str">
        <f aca="false">IF($A703="","",ROW())</f>
        <v/>
      </c>
    </row>
    <row r="704" customFormat="false" ht="15" hidden="false" customHeight="true" outlineLevel="0" collapsed="false">
      <c r="A704" s="8"/>
      <c r="B704" s="8"/>
      <c r="C704" s="8"/>
      <c r="D704" s="8"/>
      <c r="E704" s="8"/>
      <c r="F704" s="8"/>
      <c r="G704" s="10" t="str">
        <f aca="false">IF($A704="","",UPPER(SUBSTITUTE(SUBSTITUTE(SUBSTITUTE(SUBSTITUTE($A704," ",""),"(주)",""),"주식회사",""),"㈜","")))</f>
        <v/>
      </c>
      <c r="H704" s="10" t="str">
        <f aca="false">IF($B704="","",SUBSTITUTE(SUBSTITUTE(SUBSTITUTE($B704,"-","")," ",""),".",""))</f>
        <v/>
      </c>
      <c r="I704" s="10" t="str">
        <f aca="false">IF($D704="","",SUBSTITUTE(SUBSTITUTE(SUBSTITUTE($D704,"-","")," ",""),".",""))</f>
        <v/>
      </c>
      <c r="J704" s="10" t="str">
        <f aca="false">IF($E704="","",UPPER(SUBSTITUTE($E704," ","")))</f>
        <v/>
      </c>
      <c r="K704" s="10" t="str">
        <f aca="false">IF($A704="","",$G704&amp;"|"&amp;$J704)</f>
        <v/>
      </c>
      <c r="L704" s="10" t="str">
        <f aca="false">IF($A704="","",ROW()-2)</f>
        <v/>
      </c>
      <c r="M704" s="10" t="str">
        <f aca="false">IF($A704="","",ROW())</f>
        <v/>
      </c>
    </row>
    <row r="705" customFormat="false" ht="15" hidden="false" customHeight="true" outlineLevel="0" collapsed="false">
      <c r="A705" s="8"/>
      <c r="B705" s="8"/>
      <c r="C705" s="8"/>
      <c r="D705" s="8"/>
      <c r="E705" s="8"/>
      <c r="F705" s="8"/>
      <c r="G705" s="10" t="str">
        <f aca="false">IF($A705="","",UPPER(SUBSTITUTE(SUBSTITUTE(SUBSTITUTE(SUBSTITUTE($A705," ",""),"(주)",""),"주식회사",""),"㈜","")))</f>
        <v/>
      </c>
      <c r="H705" s="10" t="str">
        <f aca="false">IF($B705="","",SUBSTITUTE(SUBSTITUTE(SUBSTITUTE($B705,"-","")," ",""),".",""))</f>
        <v/>
      </c>
      <c r="I705" s="10" t="str">
        <f aca="false">IF($D705="","",SUBSTITUTE(SUBSTITUTE(SUBSTITUTE($D705,"-","")," ",""),".",""))</f>
        <v/>
      </c>
      <c r="J705" s="10" t="str">
        <f aca="false">IF($E705="","",UPPER(SUBSTITUTE($E705," ","")))</f>
        <v/>
      </c>
      <c r="K705" s="10" t="str">
        <f aca="false">IF($A705="","",$G705&amp;"|"&amp;$J705)</f>
        <v/>
      </c>
      <c r="L705" s="10" t="str">
        <f aca="false">IF($A705="","",ROW()-2)</f>
        <v/>
      </c>
      <c r="M705" s="10" t="str">
        <f aca="false">IF($A705="","",ROW())</f>
        <v/>
      </c>
    </row>
    <row r="706" customFormat="false" ht="15" hidden="false" customHeight="true" outlineLevel="0" collapsed="false">
      <c r="A706" s="8"/>
      <c r="B706" s="8"/>
      <c r="C706" s="8"/>
      <c r="D706" s="8"/>
      <c r="E706" s="8"/>
      <c r="F706" s="8"/>
      <c r="G706" s="10" t="str">
        <f aca="false">IF($A706="","",UPPER(SUBSTITUTE(SUBSTITUTE(SUBSTITUTE(SUBSTITUTE($A706," ",""),"(주)",""),"주식회사",""),"㈜","")))</f>
        <v/>
      </c>
      <c r="H706" s="10" t="str">
        <f aca="false">IF($B706="","",SUBSTITUTE(SUBSTITUTE(SUBSTITUTE($B706,"-","")," ",""),".",""))</f>
        <v/>
      </c>
      <c r="I706" s="10" t="str">
        <f aca="false">IF($D706="","",SUBSTITUTE(SUBSTITUTE(SUBSTITUTE($D706,"-","")," ",""),".",""))</f>
        <v/>
      </c>
      <c r="J706" s="10" t="str">
        <f aca="false">IF($E706="","",UPPER(SUBSTITUTE($E706," ","")))</f>
        <v/>
      </c>
      <c r="K706" s="10" t="str">
        <f aca="false">IF($A706="","",$G706&amp;"|"&amp;$J706)</f>
        <v/>
      </c>
      <c r="L706" s="10" t="str">
        <f aca="false">IF($A706="","",ROW()-2)</f>
        <v/>
      </c>
      <c r="M706" s="10" t="str">
        <f aca="false">IF($A706="","",ROW())</f>
        <v/>
      </c>
    </row>
    <row r="707" customFormat="false" ht="15" hidden="false" customHeight="true" outlineLevel="0" collapsed="false">
      <c r="A707" s="8"/>
      <c r="B707" s="8"/>
      <c r="C707" s="8"/>
      <c r="D707" s="8"/>
      <c r="E707" s="8"/>
      <c r="F707" s="8"/>
      <c r="G707" s="10" t="str">
        <f aca="false">IF($A707="","",UPPER(SUBSTITUTE(SUBSTITUTE(SUBSTITUTE(SUBSTITUTE($A707," ",""),"(주)",""),"주식회사",""),"㈜","")))</f>
        <v/>
      </c>
      <c r="H707" s="10" t="str">
        <f aca="false">IF($B707="","",SUBSTITUTE(SUBSTITUTE(SUBSTITUTE($B707,"-","")," ",""),".",""))</f>
        <v/>
      </c>
      <c r="I707" s="10" t="str">
        <f aca="false">IF($D707="","",SUBSTITUTE(SUBSTITUTE(SUBSTITUTE($D707,"-","")," ",""),".",""))</f>
        <v/>
      </c>
      <c r="J707" s="10" t="str">
        <f aca="false">IF($E707="","",UPPER(SUBSTITUTE($E707," ","")))</f>
        <v/>
      </c>
      <c r="K707" s="10" t="str">
        <f aca="false">IF($A707="","",$G707&amp;"|"&amp;$J707)</f>
        <v/>
      </c>
      <c r="L707" s="10" t="str">
        <f aca="false">IF($A707="","",ROW()-2)</f>
        <v/>
      </c>
      <c r="M707" s="10" t="str">
        <f aca="false">IF($A707="","",ROW())</f>
        <v/>
      </c>
    </row>
    <row r="708" customFormat="false" ht="15" hidden="false" customHeight="true" outlineLevel="0" collapsed="false">
      <c r="A708" s="8"/>
      <c r="B708" s="8"/>
      <c r="C708" s="8"/>
      <c r="D708" s="8"/>
      <c r="E708" s="8"/>
      <c r="F708" s="8"/>
      <c r="G708" s="10" t="str">
        <f aca="false">IF($A708="","",UPPER(SUBSTITUTE(SUBSTITUTE(SUBSTITUTE(SUBSTITUTE($A708," ",""),"(주)",""),"주식회사",""),"㈜","")))</f>
        <v/>
      </c>
      <c r="H708" s="10" t="str">
        <f aca="false">IF($B708="","",SUBSTITUTE(SUBSTITUTE(SUBSTITUTE($B708,"-","")," ",""),".",""))</f>
        <v/>
      </c>
      <c r="I708" s="10" t="str">
        <f aca="false">IF($D708="","",SUBSTITUTE(SUBSTITUTE(SUBSTITUTE($D708,"-","")," ",""),".",""))</f>
        <v/>
      </c>
      <c r="J708" s="10" t="str">
        <f aca="false">IF($E708="","",UPPER(SUBSTITUTE($E708," ","")))</f>
        <v/>
      </c>
      <c r="K708" s="10" t="str">
        <f aca="false">IF($A708="","",$G708&amp;"|"&amp;$J708)</f>
        <v/>
      </c>
      <c r="L708" s="10" t="str">
        <f aca="false">IF($A708="","",ROW()-2)</f>
        <v/>
      </c>
      <c r="M708" s="10" t="str">
        <f aca="false">IF($A708="","",ROW())</f>
        <v/>
      </c>
    </row>
    <row r="709" customFormat="false" ht="15" hidden="false" customHeight="true" outlineLevel="0" collapsed="false">
      <c r="A709" s="8"/>
      <c r="B709" s="8"/>
      <c r="C709" s="8"/>
      <c r="D709" s="8"/>
      <c r="E709" s="8"/>
      <c r="F709" s="8"/>
      <c r="G709" s="10" t="str">
        <f aca="false">IF($A709="","",UPPER(SUBSTITUTE(SUBSTITUTE(SUBSTITUTE(SUBSTITUTE($A709," ",""),"(주)",""),"주식회사",""),"㈜","")))</f>
        <v/>
      </c>
      <c r="H709" s="10" t="str">
        <f aca="false">IF($B709="","",SUBSTITUTE(SUBSTITUTE(SUBSTITUTE($B709,"-","")," ",""),".",""))</f>
        <v/>
      </c>
      <c r="I709" s="10" t="str">
        <f aca="false">IF($D709="","",SUBSTITUTE(SUBSTITUTE(SUBSTITUTE($D709,"-","")," ",""),".",""))</f>
        <v/>
      </c>
      <c r="J709" s="10" t="str">
        <f aca="false">IF($E709="","",UPPER(SUBSTITUTE($E709," ","")))</f>
        <v/>
      </c>
      <c r="K709" s="10" t="str">
        <f aca="false">IF($A709="","",$G709&amp;"|"&amp;$J709)</f>
        <v/>
      </c>
      <c r="L709" s="10" t="str">
        <f aca="false">IF($A709="","",ROW()-2)</f>
        <v/>
      </c>
      <c r="M709" s="10" t="str">
        <f aca="false">IF($A709="","",ROW())</f>
        <v/>
      </c>
    </row>
    <row r="710" customFormat="false" ht="15" hidden="false" customHeight="true" outlineLevel="0" collapsed="false">
      <c r="A710" s="8"/>
      <c r="B710" s="8"/>
      <c r="C710" s="8"/>
      <c r="D710" s="8"/>
      <c r="E710" s="8"/>
      <c r="F710" s="8"/>
      <c r="G710" s="10" t="str">
        <f aca="false">IF($A710="","",UPPER(SUBSTITUTE(SUBSTITUTE(SUBSTITUTE(SUBSTITUTE($A710," ",""),"(주)",""),"주식회사",""),"㈜","")))</f>
        <v/>
      </c>
      <c r="H710" s="10" t="str">
        <f aca="false">IF($B710="","",SUBSTITUTE(SUBSTITUTE(SUBSTITUTE($B710,"-","")," ",""),".",""))</f>
        <v/>
      </c>
      <c r="I710" s="10" t="str">
        <f aca="false">IF($D710="","",SUBSTITUTE(SUBSTITUTE(SUBSTITUTE($D710,"-","")," ",""),".",""))</f>
        <v/>
      </c>
      <c r="J710" s="10" t="str">
        <f aca="false">IF($E710="","",UPPER(SUBSTITUTE($E710," ","")))</f>
        <v/>
      </c>
      <c r="K710" s="10" t="str">
        <f aca="false">IF($A710="","",$G710&amp;"|"&amp;$J710)</f>
        <v/>
      </c>
      <c r="L710" s="10" t="str">
        <f aca="false">IF($A710="","",ROW()-2)</f>
        <v/>
      </c>
      <c r="M710" s="10" t="str">
        <f aca="false">IF($A710="","",ROW())</f>
        <v/>
      </c>
    </row>
    <row r="711" customFormat="false" ht="15" hidden="false" customHeight="true" outlineLevel="0" collapsed="false">
      <c r="A711" s="8"/>
      <c r="B711" s="8"/>
      <c r="C711" s="8"/>
      <c r="D711" s="8"/>
      <c r="E711" s="8"/>
      <c r="F711" s="8"/>
      <c r="G711" s="10" t="str">
        <f aca="false">IF($A711="","",UPPER(SUBSTITUTE(SUBSTITUTE(SUBSTITUTE(SUBSTITUTE($A711," ",""),"(주)",""),"주식회사",""),"㈜","")))</f>
        <v/>
      </c>
      <c r="H711" s="10" t="str">
        <f aca="false">IF($B711="","",SUBSTITUTE(SUBSTITUTE(SUBSTITUTE($B711,"-","")," ",""),".",""))</f>
        <v/>
      </c>
      <c r="I711" s="10" t="str">
        <f aca="false">IF($D711="","",SUBSTITUTE(SUBSTITUTE(SUBSTITUTE($D711,"-","")," ",""),".",""))</f>
        <v/>
      </c>
      <c r="J711" s="10" t="str">
        <f aca="false">IF($E711="","",UPPER(SUBSTITUTE($E711," ","")))</f>
        <v/>
      </c>
      <c r="K711" s="10" t="str">
        <f aca="false">IF($A711="","",$G711&amp;"|"&amp;$J711)</f>
        <v/>
      </c>
      <c r="L711" s="10" t="str">
        <f aca="false">IF($A711="","",ROW()-2)</f>
        <v/>
      </c>
      <c r="M711" s="10" t="str">
        <f aca="false">IF($A711="","",ROW())</f>
        <v/>
      </c>
    </row>
    <row r="712" customFormat="false" ht="15" hidden="false" customHeight="true" outlineLevel="0" collapsed="false">
      <c r="A712" s="8"/>
      <c r="B712" s="8"/>
      <c r="C712" s="8"/>
      <c r="D712" s="8"/>
      <c r="E712" s="8"/>
      <c r="F712" s="8"/>
      <c r="G712" s="10" t="str">
        <f aca="false">IF($A712="","",UPPER(SUBSTITUTE(SUBSTITUTE(SUBSTITUTE(SUBSTITUTE($A712," ",""),"(주)",""),"주식회사",""),"㈜","")))</f>
        <v/>
      </c>
      <c r="H712" s="10" t="str">
        <f aca="false">IF($B712="","",SUBSTITUTE(SUBSTITUTE(SUBSTITUTE($B712,"-","")," ",""),".",""))</f>
        <v/>
      </c>
      <c r="I712" s="10" t="str">
        <f aca="false">IF($D712="","",SUBSTITUTE(SUBSTITUTE(SUBSTITUTE($D712,"-","")," ",""),".",""))</f>
        <v/>
      </c>
      <c r="J712" s="10" t="str">
        <f aca="false">IF($E712="","",UPPER(SUBSTITUTE($E712," ","")))</f>
        <v/>
      </c>
      <c r="K712" s="10" t="str">
        <f aca="false">IF($A712="","",$G712&amp;"|"&amp;$J712)</f>
        <v/>
      </c>
      <c r="L712" s="10" t="str">
        <f aca="false">IF($A712="","",ROW()-2)</f>
        <v/>
      </c>
      <c r="M712" s="10" t="str">
        <f aca="false">IF($A712="","",ROW())</f>
        <v/>
      </c>
    </row>
    <row r="713" customFormat="false" ht="15" hidden="false" customHeight="true" outlineLevel="0" collapsed="false">
      <c r="A713" s="8"/>
      <c r="B713" s="8"/>
      <c r="C713" s="8"/>
      <c r="D713" s="8"/>
      <c r="E713" s="8"/>
      <c r="F713" s="8"/>
      <c r="G713" s="10" t="str">
        <f aca="false">IF($A713="","",UPPER(SUBSTITUTE(SUBSTITUTE(SUBSTITUTE(SUBSTITUTE($A713," ",""),"(주)",""),"주식회사",""),"㈜","")))</f>
        <v/>
      </c>
      <c r="H713" s="10" t="str">
        <f aca="false">IF($B713="","",SUBSTITUTE(SUBSTITUTE(SUBSTITUTE($B713,"-","")," ",""),".",""))</f>
        <v/>
      </c>
      <c r="I713" s="10" t="str">
        <f aca="false">IF($D713="","",SUBSTITUTE(SUBSTITUTE(SUBSTITUTE($D713,"-","")," ",""),".",""))</f>
        <v/>
      </c>
      <c r="J713" s="10" t="str">
        <f aca="false">IF($E713="","",UPPER(SUBSTITUTE($E713," ","")))</f>
        <v/>
      </c>
      <c r="K713" s="10" t="str">
        <f aca="false">IF($A713="","",$G713&amp;"|"&amp;$J713)</f>
        <v/>
      </c>
      <c r="L713" s="10" t="str">
        <f aca="false">IF($A713="","",ROW()-2)</f>
        <v/>
      </c>
      <c r="M713" s="10" t="str">
        <f aca="false">IF($A713="","",ROW())</f>
        <v/>
      </c>
    </row>
    <row r="714" customFormat="false" ht="15" hidden="false" customHeight="true" outlineLevel="0" collapsed="false">
      <c r="A714" s="8"/>
      <c r="B714" s="8"/>
      <c r="C714" s="8"/>
      <c r="D714" s="8"/>
      <c r="E714" s="8"/>
      <c r="F714" s="8"/>
      <c r="G714" s="10" t="str">
        <f aca="false">IF($A714="","",UPPER(SUBSTITUTE(SUBSTITUTE(SUBSTITUTE(SUBSTITUTE($A714," ",""),"(주)",""),"주식회사",""),"㈜","")))</f>
        <v/>
      </c>
      <c r="H714" s="10" t="str">
        <f aca="false">IF($B714="","",SUBSTITUTE(SUBSTITUTE(SUBSTITUTE($B714,"-","")," ",""),".",""))</f>
        <v/>
      </c>
      <c r="I714" s="10" t="str">
        <f aca="false">IF($D714="","",SUBSTITUTE(SUBSTITUTE(SUBSTITUTE($D714,"-","")," ",""),".",""))</f>
        <v/>
      </c>
      <c r="J714" s="10" t="str">
        <f aca="false">IF($E714="","",UPPER(SUBSTITUTE($E714," ","")))</f>
        <v/>
      </c>
      <c r="K714" s="10" t="str">
        <f aca="false">IF($A714="","",$G714&amp;"|"&amp;$J714)</f>
        <v/>
      </c>
      <c r="L714" s="10" t="str">
        <f aca="false">IF($A714="","",ROW()-2)</f>
        <v/>
      </c>
      <c r="M714" s="10" t="str">
        <f aca="false">IF($A714="","",ROW())</f>
        <v/>
      </c>
    </row>
    <row r="715" customFormat="false" ht="15" hidden="false" customHeight="true" outlineLevel="0" collapsed="false">
      <c r="A715" s="8"/>
      <c r="B715" s="8"/>
      <c r="C715" s="8"/>
      <c r="D715" s="8"/>
      <c r="E715" s="8"/>
      <c r="F715" s="8"/>
      <c r="G715" s="10" t="str">
        <f aca="false">IF($A715="","",UPPER(SUBSTITUTE(SUBSTITUTE(SUBSTITUTE(SUBSTITUTE($A715," ",""),"(주)",""),"주식회사",""),"㈜","")))</f>
        <v/>
      </c>
      <c r="H715" s="10" t="str">
        <f aca="false">IF($B715="","",SUBSTITUTE(SUBSTITUTE(SUBSTITUTE($B715,"-","")," ",""),".",""))</f>
        <v/>
      </c>
      <c r="I715" s="10" t="str">
        <f aca="false">IF($D715="","",SUBSTITUTE(SUBSTITUTE(SUBSTITUTE($D715,"-","")," ",""),".",""))</f>
        <v/>
      </c>
      <c r="J715" s="10" t="str">
        <f aca="false">IF($E715="","",UPPER(SUBSTITUTE($E715," ","")))</f>
        <v/>
      </c>
      <c r="K715" s="10" t="str">
        <f aca="false">IF($A715="","",$G715&amp;"|"&amp;$J715)</f>
        <v/>
      </c>
      <c r="L715" s="10" t="str">
        <f aca="false">IF($A715="","",ROW()-2)</f>
        <v/>
      </c>
      <c r="M715" s="10" t="str">
        <f aca="false">IF($A715="","",ROW())</f>
        <v/>
      </c>
    </row>
    <row r="716" customFormat="false" ht="15" hidden="false" customHeight="true" outlineLevel="0" collapsed="false">
      <c r="A716" s="8"/>
      <c r="B716" s="8"/>
      <c r="C716" s="8"/>
      <c r="D716" s="8"/>
      <c r="E716" s="8"/>
      <c r="F716" s="8"/>
      <c r="G716" s="10" t="str">
        <f aca="false">IF($A716="","",UPPER(SUBSTITUTE(SUBSTITUTE(SUBSTITUTE(SUBSTITUTE($A716," ",""),"(주)",""),"주식회사",""),"㈜","")))</f>
        <v/>
      </c>
      <c r="H716" s="10" t="str">
        <f aca="false">IF($B716="","",SUBSTITUTE(SUBSTITUTE(SUBSTITUTE($B716,"-","")," ",""),".",""))</f>
        <v/>
      </c>
      <c r="I716" s="10" t="str">
        <f aca="false">IF($D716="","",SUBSTITUTE(SUBSTITUTE(SUBSTITUTE($D716,"-","")," ",""),".",""))</f>
        <v/>
      </c>
      <c r="J716" s="10" t="str">
        <f aca="false">IF($E716="","",UPPER(SUBSTITUTE($E716," ","")))</f>
        <v/>
      </c>
      <c r="K716" s="10" t="str">
        <f aca="false">IF($A716="","",$G716&amp;"|"&amp;$J716)</f>
        <v/>
      </c>
      <c r="L716" s="10" t="str">
        <f aca="false">IF($A716="","",ROW()-2)</f>
        <v/>
      </c>
      <c r="M716" s="10" t="str">
        <f aca="false">IF($A716="","",ROW())</f>
        <v/>
      </c>
    </row>
    <row r="717" customFormat="false" ht="15" hidden="false" customHeight="true" outlineLevel="0" collapsed="false">
      <c r="A717" s="8"/>
      <c r="B717" s="8"/>
      <c r="C717" s="8"/>
      <c r="D717" s="8"/>
      <c r="E717" s="8"/>
      <c r="F717" s="8"/>
      <c r="G717" s="10" t="str">
        <f aca="false">IF($A717="","",UPPER(SUBSTITUTE(SUBSTITUTE(SUBSTITUTE(SUBSTITUTE($A717," ",""),"(주)",""),"주식회사",""),"㈜","")))</f>
        <v/>
      </c>
      <c r="H717" s="10" t="str">
        <f aca="false">IF($B717="","",SUBSTITUTE(SUBSTITUTE(SUBSTITUTE($B717,"-","")," ",""),".",""))</f>
        <v/>
      </c>
      <c r="I717" s="10" t="str">
        <f aca="false">IF($D717="","",SUBSTITUTE(SUBSTITUTE(SUBSTITUTE($D717,"-","")," ",""),".",""))</f>
        <v/>
      </c>
      <c r="J717" s="10" t="str">
        <f aca="false">IF($E717="","",UPPER(SUBSTITUTE($E717," ","")))</f>
        <v/>
      </c>
      <c r="K717" s="10" t="str">
        <f aca="false">IF($A717="","",$G717&amp;"|"&amp;$J717)</f>
        <v/>
      </c>
      <c r="L717" s="10" t="str">
        <f aca="false">IF($A717="","",ROW()-2)</f>
        <v/>
      </c>
      <c r="M717" s="10" t="str">
        <f aca="false">IF($A717="","",ROW())</f>
        <v/>
      </c>
    </row>
    <row r="718" customFormat="false" ht="15" hidden="false" customHeight="true" outlineLevel="0" collapsed="false">
      <c r="A718" s="8"/>
      <c r="B718" s="8"/>
      <c r="C718" s="8"/>
      <c r="D718" s="8"/>
      <c r="E718" s="8"/>
      <c r="F718" s="8"/>
      <c r="G718" s="10" t="str">
        <f aca="false">IF($A718="","",UPPER(SUBSTITUTE(SUBSTITUTE(SUBSTITUTE(SUBSTITUTE($A718," ",""),"(주)",""),"주식회사",""),"㈜","")))</f>
        <v/>
      </c>
      <c r="H718" s="10" t="str">
        <f aca="false">IF($B718="","",SUBSTITUTE(SUBSTITUTE(SUBSTITUTE($B718,"-","")," ",""),".",""))</f>
        <v/>
      </c>
      <c r="I718" s="10" t="str">
        <f aca="false">IF($D718="","",SUBSTITUTE(SUBSTITUTE(SUBSTITUTE($D718,"-","")," ",""),".",""))</f>
        <v/>
      </c>
      <c r="J718" s="10" t="str">
        <f aca="false">IF($E718="","",UPPER(SUBSTITUTE($E718," ","")))</f>
        <v/>
      </c>
      <c r="K718" s="10" t="str">
        <f aca="false">IF($A718="","",$G718&amp;"|"&amp;$J718)</f>
        <v/>
      </c>
      <c r="L718" s="10" t="str">
        <f aca="false">IF($A718="","",ROW()-2)</f>
        <v/>
      </c>
      <c r="M718" s="10" t="str">
        <f aca="false">IF($A718="","",ROW())</f>
        <v/>
      </c>
    </row>
    <row r="719" customFormat="false" ht="15" hidden="false" customHeight="true" outlineLevel="0" collapsed="false">
      <c r="A719" s="8"/>
      <c r="B719" s="8"/>
      <c r="C719" s="8"/>
      <c r="D719" s="8"/>
      <c r="E719" s="8"/>
      <c r="F719" s="8"/>
      <c r="G719" s="10" t="str">
        <f aca="false">IF($A719="","",UPPER(SUBSTITUTE(SUBSTITUTE(SUBSTITUTE(SUBSTITUTE($A719," ",""),"(주)",""),"주식회사",""),"㈜","")))</f>
        <v/>
      </c>
      <c r="H719" s="10" t="str">
        <f aca="false">IF($B719="","",SUBSTITUTE(SUBSTITUTE(SUBSTITUTE($B719,"-","")," ",""),".",""))</f>
        <v/>
      </c>
      <c r="I719" s="10" t="str">
        <f aca="false">IF($D719="","",SUBSTITUTE(SUBSTITUTE(SUBSTITUTE($D719,"-","")," ",""),".",""))</f>
        <v/>
      </c>
      <c r="J719" s="10" t="str">
        <f aca="false">IF($E719="","",UPPER(SUBSTITUTE($E719," ","")))</f>
        <v/>
      </c>
      <c r="K719" s="10" t="str">
        <f aca="false">IF($A719="","",$G719&amp;"|"&amp;$J719)</f>
        <v/>
      </c>
      <c r="L719" s="10" t="str">
        <f aca="false">IF($A719="","",ROW()-2)</f>
        <v/>
      </c>
      <c r="M719" s="10" t="str">
        <f aca="false">IF($A719="","",ROW())</f>
        <v/>
      </c>
    </row>
    <row r="720" customFormat="false" ht="15" hidden="false" customHeight="true" outlineLevel="0" collapsed="false">
      <c r="A720" s="8"/>
      <c r="B720" s="8"/>
      <c r="C720" s="8"/>
      <c r="D720" s="8"/>
      <c r="E720" s="8"/>
      <c r="F720" s="8"/>
      <c r="G720" s="10" t="str">
        <f aca="false">IF($A720="","",UPPER(SUBSTITUTE(SUBSTITUTE(SUBSTITUTE(SUBSTITUTE($A720," ",""),"(주)",""),"주식회사",""),"㈜","")))</f>
        <v/>
      </c>
      <c r="H720" s="10" t="str">
        <f aca="false">IF($B720="","",SUBSTITUTE(SUBSTITUTE(SUBSTITUTE($B720,"-","")," ",""),".",""))</f>
        <v/>
      </c>
      <c r="I720" s="10" t="str">
        <f aca="false">IF($D720="","",SUBSTITUTE(SUBSTITUTE(SUBSTITUTE($D720,"-","")," ",""),".",""))</f>
        <v/>
      </c>
      <c r="J720" s="10" t="str">
        <f aca="false">IF($E720="","",UPPER(SUBSTITUTE($E720," ","")))</f>
        <v/>
      </c>
      <c r="K720" s="10" t="str">
        <f aca="false">IF($A720="","",$G720&amp;"|"&amp;$J720)</f>
        <v/>
      </c>
      <c r="L720" s="10" t="str">
        <f aca="false">IF($A720="","",ROW()-2)</f>
        <v/>
      </c>
      <c r="M720" s="10" t="str">
        <f aca="false">IF($A720="","",ROW())</f>
        <v/>
      </c>
    </row>
    <row r="721" customFormat="false" ht="15" hidden="false" customHeight="true" outlineLevel="0" collapsed="false">
      <c r="A721" s="8"/>
      <c r="B721" s="8"/>
      <c r="C721" s="8"/>
      <c r="D721" s="8"/>
      <c r="E721" s="8"/>
      <c r="F721" s="8"/>
      <c r="G721" s="10" t="str">
        <f aca="false">IF($A721="","",UPPER(SUBSTITUTE(SUBSTITUTE(SUBSTITUTE(SUBSTITUTE($A721," ",""),"(주)",""),"주식회사",""),"㈜","")))</f>
        <v/>
      </c>
      <c r="H721" s="10" t="str">
        <f aca="false">IF($B721="","",SUBSTITUTE(SUBSTITUTE(SUBSTITUTE($B721,"-","")," ",""),".",""))</f>
        <v/>
      </c>
      <c r="I721" s="10" t="str">
        <f aca="false">IF($D721="","",SUBSTITUTE(SUBSTITUTE(SUBSTITUTE($D721,"-","")," ",""),".",""))</f>
        <v/>
      </c>
      <c r="J721" s="10" t="str">
        <f aca="false">IF($E721="","",UPPER(SUBSTITUTE($E721," ","")))</f>
        <v/>
      </c>
      <c r="K721" s="10" t="str">
        <f aca="false">IF($A721="","",$G721&amp;"|"&amp;$J721)</f>
        <v/>
      </c>
      <c r="L721" s="10" t="str">
        <f aca="false">IF($A721="","",ROW()-2)</f>
        <v/>
      </c>
      <c r="M721" s="10" t="str">
        <f aca="false">IF($A721="","",ROW())</f>
        <v/>
      </c>
    </row>
    <row r="722" customFormat="false" ht="15" hidden="false" customHeight="true" outlineLevel="0" collapsed="false">
      <c r="A722" s="8"/>
      <c r="B722" s="8"/>
      <c r="C722" s="8"/>
      <c r="D722" s="8"/>
      <c r="E722" s="8"/>
      <c r="F722" s="8"/>
      <c r="G722" s="10" t="str">
        <f aca="false">IF($A722="","",UPPER(SUBSTITUTE(SUBSTITUTE(SUBSTITUTE(SUBSTITUTE($A722," ",""),"(주)",""),"주식회사",""),"㈜","")))</f>
        <v/>
      </c>
      <c r="H722" s="10" t="str">
        <f aca="false">IF($B722="","",SUBSTITUTE(SUBSTITUTE(SUBSTITUTE($B722,"-","")," ",""),".",""))</f>
        <v/>
      </c>
      <c r="I722" s="10" t="str">
        <f aca="false">IF($D722="","",SUBSTITUTE(SUBSTITUTE(SUBSTITUTE($D722,"-","")," ",""),".",""))</f>
        <v/>
      </c>
      <c r="J722" s="10" t="str">
        <f aca="false">IF($E722="","",UPPER(SUBSTITUTE($E722," ","")))</f>
        <v/>
      </c>
      <c r="K722" s="10" t="str">
        <f aca="false">IF($A722="","",$G722&amp;"|"&amp;$J722)</f>
        <v/>
      </c>
      <c r="L722" s="10" t="str">
        <f aca="false">IF($A722="","",ROW()-2)</f>
        <v/>
      </c>
      <c r="M722" s="10" t="str">
        <f aca="false">IF($A722="","",ROW())</f>
        <v/>
      </c>
    </row>
    <row r="723" customFormat="false" ht="15" hidden="false" customHeight="true" outlineLevel="0" collapsed="false">
      <c r="A723" s="8"/>
      <c r="B723" s="8"/>
      <c r="C723" s="8"/>
      <c r="D723" s="8"/>
      <c r="E723" s="8"/>
      <c r="F723" s="8"/>
      <c r="G723" s="10" t="str">
        <f aca="false">IF($A723="","",UPPER(SUBSTITUTE(SUBSTITUTE(SUBSTITUTE(SUBSTITUTE($A723," ",""),"(주)",""),"주식회사",""),"㈜","")))</f>
        <v/>
      </c>
      <c r="H723" s="10" t="str">
        <f aca="false">IF($B723="","",SUBSTITUTE(SUBSTITUTE(SUBSTITUTE($B723,"-","")," ",""),".",""))</f>
        <v/>
      </c>
      <c r="I723" s="10" t="str">
        <f aca="false">IF($D723="","",SUBSTITUTE(SUBSTITUTE(SUBSTITUTE($D723,"-","")," ",""),".",""))</f>
        <v/>
      </c>
      <c r="J723" s="10" t="str">
        <f aca="false">IF($E723="","",UPPER(SUBSTITUTE($E723," ","")))</f>
        <v/>
      </c>
      <c r="K723" s="10" t="str">
        <f aca="false">IF($A723="","",$G723&amp;"|"&amp;$J723)</f>
        <v/>
      </c>
      <c r="L723" s="10" t="str">
        <f aca="false">IF($A723="","",ROW()-2)</f>
        <v/>
      </c>
      <c r="M723" s="10" t="str">
        <f aca="false">IF($A723="","",ROW())</f>
        <v/>
      </c>
    </row>
    <row r="724" customFormat="false" ht="15" hidden="false" customHeight="true" outlineLevel="0" collapsed="false">
      <c r="A724" s="8"/>
      <c r="B724" s="8"/>
      <c r="C724" s="8"/>
      <c r="D724" s="8"/>
      <c r="E724" s="8"/>
      <c r="F724" s="8"/>
      <c r="G724" s="10" t="str">
        <f aca="false">IF($A724="","",UPPER(SUBSTITUTE(SUBSTITUTE(SUBSTITUTE(SUBSTITUTE($A724," ",""),"(주)",""),"주식회사",""),"㈜","")))</f>
        <v/>
      </c>
      <c r="H724" s="10" t="str">
        <f aca="false">IF($B724="","",SUBSTITUTE(SUBSTITUTE(SUBSTITUTE($B724,"-","")," ",""),".",""))</f>
        <v/>
      </c>
      <c r="I724" s="10" t="str">
        <f aca="false">IF($D724="","",SUBSTITUTE(SUBSTITUTE(SUBSTITUTE($D724,"-","")," ",""),".",""))</f>
        <v/>
      </c>
      <c r="J724" s="10" t="str">
        <f aca="false">IF($E724="","",UPPER(SUBSTITUTE($E724," ","")))</f>
        <v/>
      </c>
      <c r="K724" s="10" t="str">
        <f aca="false">IF($A724="","",$G724&amp;"|"&amp;$J724)</f>
        <v/>
      </c>
      <c r="L724" s="10" t="str">
        <f aca="false">IF($A724="","",ROW()-2)</f>
        <v/>
      </c>
      <c r="M724" s="10" t="str">
        <f aca="false">IF($A724="","",ROW())</f>
        <v/>
      </c>
    </row>
    <row r="725" customFormat="false" ht="15" hidden="false" customHeight="true" outlineLevel="0" collapsed="false">
      <c r="A725" s="8"/>
      <c r="B725" s="8"/>
      <c r="C725" s="8"/>
      <c r="D725" s="8"/>
      <c r="E725" s="8"/>
      <c r="F725" s="8"/>
      <c r="G725" s="10" t="str">
        <f aca="false">IF($A725="","",UPPER(SUBSTITUTE(SUBSTITUTE(SUBSTITUTE(SUBSTITUTE($A725," ",""),"(주)",""),"주식회사",""),"㈜","")))</f>
        <v/>
      </c>
      <c r="H725" s="10" t="str">
        <f aca="false">IF($B725="","",SUBSTITUTE(SUBSTITUTE(SUBSTITUTE($B725,"-","")," ",""),".",""))</f>
        <v/>
      </c>
      <c r="I725" s="10" t="str">
        <f aca="false">IF($D725="","",SUBSTITUTE(SUBSTITUTE(SUBSTITUTE($D725,"-","")," ",""),".",""))</f>
        <v/>
      </c>
      <c r="J725" s="10" t="str">
        <f aca="false">IF($E725="","",UPPER(SUBSTITUTE($E725," ","")))</f>
        <v/>
      </c>
      <c r="K725" s="10" t="str">
        <f aca="false">IF($A725="","",$G725&amp;"|"&amp;$J725)</f>
        <v/>
      </c>
      <c r="L725" s="10" t="str">
        <f aca="false">IF($A725="","",ROW()-2)</f>
        <v/>
      </c>
      <c r="M725" s="10" t="str">
        <f aca="false">IF($A725="","",ROW())</f>
        <v/>
      </c>
    </row>
    <row r="726" customFormat="false" ht="15" hidden="false" customHeight="true" outlineLevel="0" collapsed="false">
      <c r="A726" s="8"/>
      <c r="B726" s="8"/>
      <c r="C726" s="8"/>
      <c r="D726" s="8"/>
      <c r="E726" s="8"/>
      <c r="F726" s="8"/>
      <c r="G726" s="10" t="str">
        <f aca="false">IF($A726="","",UPPER(SUBSTITUTE(SUBSTITUTE(SUBSTITUTE(SUBSTITUTE($A726," ",""),"(주)",""),"주식회사",""),"㈜","")))</f>
        <v/>
      </c>
      <c r="H726" s="10" t="str">
        <f aca="false">IF($B726="","",SUBSTITUTE(SUBSTITUTE(SUBSTITUTE($B726,"-","")," ",""),".",""))</f>
        <v/>
      </c>
      <c r="I726" s="10" t="str">
        <f aca="false">IF($D726="","",SUBSTITUTE(SUBSTITUTE(SUBSTITUTE($D726,"-","")," ",""),".",""))</f>
        <v/>
      </c>
      <c r="J726" s="10" t="str">
        <f aca="false">IF($E726="","",UPPER(SUBSTITUTE($E726," ","")))</f>
        <v/>
      </c>
      <c r="K726" s="10" t="str">
        <f aca="false">IF($A726="","",$G726&amp;"|"&amp;$J726)</f>
        <v/>
      </c>
      <c r="L726" s="10" t="str">
        <f aca="false">IF($A726="","",ROW()-2)</f>
        <v/>
      </c>
      <c r="M726" s="10" t="str">
        <f aca="false">IF($A726="","",ROW())</f>
        <v/>
      </c>
    </row>
    <row r="727" customFormat="false" ht="15" hidden="false" customHeight="true" outlineLevel="0" collapsed="false">
      <c r="A727" s="8"/>
      <c r="B727" s="8"/>
      <c r="C727" s="8"/>
      <c r="D727" s="8"/>
      <c r="E727" s="8"/>
      <c r="F727" s="8"/>
      <c r="G727" s="10" t="str">
        <f aca="false">IF($A727="","",UPPER(SUBSTITUTE(SUBSTITUTE(SUBSTITUTE(SUBSTITUTE($A727," ",""),"(주)",""),"주식회사",""),"㈜","")))</f>
        <v/>
      </c>
      <c r="H727" s="10" t="str">
        <f aca="false">IF($B727="","",SUBSTITUTE(SUBSTITUTE(SUBSTITUTE($B727,"-","")," ",""),".",""))</f>
        <v/>
      </c>
      <c r="I727" s="10" t="str">
        <f aca="false">IF($D727="","",SUBSTITUTE(SUBSTITUTE(SUBSTITUTE($D727,"-","")," ",""),".",""))</f>
        <v/>
      </c>
      <c r="J727" s="10" t="str">
        <f aca="false">IF($E727="","",UPPER(SUBSTITUTE($E727," ","")))</f>
        <v/>
      </c>
      <c r="K727" s="10" t="str">
        <f aca="false">IF($A727="","",$G727&amp;"|"&amp;$J727)</f>
        <v/>
      </c>
      <c r="L727" s="10" t="str">
        <f aca="false">IF($A727="","",ROW()-2)</f>
        <v/>
      </c>
      <c r="M727" s="10" t="str">
        <f aca="false">IF($A727="","",ROW())</f>
        <v/>
      </c>
    </row>
    <row r="728" customFormat="false" ht="15" hidden="false" customHeight="true" outlineLevel="0" collapsed="false">
      <c r="A728" s="8"/>
      <c r="B728" s="8"/>
      <c r="C728" s="8"/>
      <c r="D728" s="8"/>
      <c r="E728" s="8"/>
      <c r="F728" s="8"/>
      <c r="G728" s="10" t="str">
        <f aca="false">IF($A728="","",UPPER(SUBSTITUTE(SUBSTITUTE(SUBSTITUTE(SUBSTITUTE($A728," ",""),"(주)",""),"주식회사",""),"㈜","")))</f>
        <v/>
      </c>
      <c r="H728" s="10" t="str">
        <f aca="false">IF($B728="","",SUBSTITUTE(SUBSTITUTE(SUBSTITUTE($B728,"-","")," ",""),".",""))</f>
        <v/>
      </c>
      <c r="I728" s="10" t="str">
        <f aca="false">IF($D728="","",SUBSTITUTE(SUBSTITUTE(SUBSTITUTE($D728,"-","")," ",""),".",""))</f>
        <v/>
      </c>
      <c r="J728" s="10" t="str">
        <f aca="false">IF($E728="","",UPPER(SUBSTITUTE($E728," ","")))</f>
        <v/>
      </c>
      <c r="K728" s="10" t="str">
        <f aca="false">IF($A728="","",$G728&amp;"|"&amp;$J728)</f>
        <v/>
      </c>
      <c r="L728" s="10" t="str">
        <f aca="false">IF($A728="","",ROW()-2)</f>
        <v/>
      </c>
      <c r="M728" s="10" t="str">
        <f aca="false">IF($A728="","",ROW())</f>
        <v/>
      </c>
    </row>
    <row r="729" customFormat="false" ht="15" hidden="false" customHeight="true" outlineLevel="0" collapsed="false">
      <c r="A729" s="8"/>
      <c r="B729" s="8"/>
      <c r="C729" s="8"/>
      <c r="D729" s="8"/>
      <c r="E729" s="8"/>
      <c r="F729" s="8"/>
      <c r="G729" s="10" t="str">
        <f aca="false">IF($A729="","",UPPER(SUBSTITUTE(SUBSTITUTE(SUBSTITUTE(SUBSTITUTE($A729," ",""),"(주)",""),"주식회사",""),"㈜","")))</f>
        <v/>
      </c>
      <c r="H729" s="10" t="str">
        <f aca="false">IF($B729="","",SUBSTITUTE(SUBSTITUTE(SUBSTITUTE($B729,"-","")," ",""),".",""))</f>
        <v/>
      </c>
      <c r="I729" s="10" t="str">
        <f aca="false">IF($D729="","",SUBSTITUTE(SUBSTITUTE(SUBSTITUTE($D729,"-","")," ",""),".",""))</f>
        <v/>
      </c>
      <c r="J729" s="10" t="str">
        <f aca="false">IF($E729="","",UPPER(SUBSTITUTE($E729," ","")))</f>
        <v/>
      </c>
      <c r="K729" s="10" t="str">
        <f aca="false">IF($A729="","",$G729&amp;"|"&amp;$J729)</f>
        <v/>
      </c>
      <c r="L729" s="10" t="str">
        <f aca="false">IF($A729="","",ROW()-2)</f>
        <v/>
      </c>
      <c r="M729" s="10" t="str">
        <f aca="false">IF($A729="","",ROW())</f>
        <v/>
      </c>
    </row>
    <row r="730" customFormat="false" ht="15" hidden="false" customHeight="true" outlineLevel="0" collapsed="false">
      <c r="A730" s="8"/>
      <c r="B730" s="8"/>
      <c r="C730" s="8"/>
      <c r="D730" s="8"/>
      <c r="E730" s="8"/>
      <c r="F730" s="8"/>
      <c r="G730" s="10" t="str">
        <f aca="false">IF($A730="","",UPPER(SUBSTITUTE(SUBSTITUTE(SUBSTITUTE(SUBSTITUTE($A730," ",""),"(주)",""),"주식회사",""),"㈜","")))</f>
        <v/>
      </c>
      <c r="H730" s="10" t="str">
        <f aca="false">IF($B730="","",SUBSTITUTE(SUBSTITUTE(SUBSTITUTE($B730,"-","")," ",""),".",""))</f>
        <v/>
      </c>
      <c r="I730" s="10" t="str">
        <f aca="false">IF($D730="","",SUBSTITUTE(SUBSTITUTE(SUBSTITUTE($D730,"-","")," ",""),".",""))</f>
        <v/>
      </c>
      <c r="J730" s="10" t="str">
        <f aca="false">IF($E730="","",UPPER(SUBSTITUTE($E730," ","")))</f>
        <v/>
      </c>
      <c r="K730" s="10" t="str">
        <f aca="false">IF($A730="","",$G730&amp;"|"&amp;$J730)</f>
        <v/>
      </c>
      <c r="L730" s="10" t="str">
        <f aca="false">IF($A730="","",ROW()-2)</f>
        <v/>
      </c>
      <c r="M730" s="10" t="str">
        <f aca="false">IF($A730="","",ROW())</f>
        <v/>
      </c>
    </row>
    <row r="731" customFormat="false" ht="15" hidden="false" customHeight="true" outlineLevel="0" collapsed="false">
      <c r="A731" s="8"/>
      <c r="B731" s="8"/>
      <c r="C731" s="8"/>
      <c r="D731" s="8"/>
      <c r="E731" s="8"/>
      <c r="F731" s="8"/>
      <c r="G731" s="10" t="str">
        <f aca="false">IF($A731="","",UPPER(SUBSTITUTE(SUBSTITUTE(SUBSTITUTE(SUBSTITUTE($A731," ",""),"(주)",""),"주식회사",""),"㈜","")))</f>
        <v/>
      </c>
      <c r="H731" s="10" t="str">
        <f aca="false">IF($B731="","",SUBSTITUTE(SUBSTITUTE(SUBSTITUTE($B731,"-","")," ",""),".",""))</f>
        <v/>
      </c>
      <c r="I731" s="10" t="str">
        <f aca="false">IF($D731="","",SUBSTITUTE(SUBSTITUTE(SUBSTITUTE($D731,"-","")," ",""),".",""))</f>
        <v/>
      </c>
      <c r="J731" s="10" t="str">
        <f aca="false">IF($E731="","",UPPER(SUBSTITUTE($E731," ","")))</f>
        <v/>
      </c>
      <c r="K731" s="10" t="str">
        <f aca="false">IF($A731="","",$G731&amp;"|"&amp;$J731)</f>
        <v/>
      </c>
      <c r="L731" s="10" t="str">
        <f aca="false">IF($A731="","",ROW()-2)</f>
        <v/>
      </c>
      <c r="M731" s="10" t="str">
        <f aca="false">IF($A731="","",ROW())</f>
        <v/>
      </c>
    </row>
    <row r="732" customFormat="false" ht="15" hidden="false" customHeight="true" outlineLevel="0" collapsed="false">
      <c r="A732" s="8"/>
      <c r="B732" s="8"/>
      <c r="C732" s="8"/>
      <c r="D732" s="8"/>
      <c r="E732" s="8"/>
      <c r="F732" s="8"/>
      <c r="G732" s="10" t="str">
        <f aca="false">IF($A732="","",UPPER(SUBSTITUTE(SUBSTITUTE(SUBSTITUTE(SUBSTITUTE($A732," ",""),"(주)",""),"주식회사",""),"㈜","")))</f>
        <v/>
      </c>
      <c r="H732" s="10" t="str">
        <f aca="false">IF($B732="","",SUBSTITUTE(SUBSTITUTE(SUBSTITUTE($B732,"-","")," ",""),".",""))</f>
        <v/>
      </c>
      <c r="I732" s="10" t="str">
        <f aca="false">IF($D732="","",SUBSTITUTE(SUBSTITUTE(SUBSTITUTE($D732,"-","")," ",""),".",""))</f>
        <v/>
      </c>
      <c r="J732" s="10" t="str">
        <f aca="false">IF($E732="","",UPPER(SUBSTITUTE($E732," ","")))</f>
        <v/>
      </c>
      <c r="K732" s="10" t="str">
        <f aca="false">IF($A732="","",$G732&amp;"|"&amp;$J732)</f>
        <v/>
      </c>
      <c r="L732" s="10" t="str">
        <f aca="false">IF($A732="","",ROW()-2)</f>
        <v/>
      </c>
      <c r="M732" s="10" t="str">
        <f aca="false">IF($A732="","",ROW())</f>
        <v/>
      </c>
    </row>
    <row r="733" customFormat="false" ht="15" hidden="false" customHeight="true" outlineLevel="0" collapsed="false">
      <c r="A733" s="8"/>
      <c r="B733" s="8"/>
      <c r="C733" s="8"/>
      <c r="D733" s="8"/>
      <c r="E733" s="8"/>
      <c r="F733" s="8"/>
      <c r="G733" s="10" t="str">
        <f aca="false">IF($A733="","",UPPER(SUBSTITUTE(SUBSTITUTE(SUBSTITUTE(SUBSTITUTE($A733," ",""),"(주)",""),"주식회사",""),"㈜","")))</f>
        <v/>
      </c>
      <c r="H733" s="10" t="str">
        <f aca="false">IF($B733="","",SUBSTITUTE(SUBSTITUTE(SUBSTITUTE($B733,"-","")," ",""),".",""))</f>
        <v/>
      </c>
      <c r="I733" s="10" t="str">
        <f aca="false">IF($D733="","",SUBSTITUTE(SUBSTITUTE(SUBSTITUTE($D733,"-","")," ",""),".",""))</f>
        <v/>
      </c>
      <c r="J733" s="10" t="str">
        <f aca="false">IF($E733="","",UPPER(SUBSTITUTE($E733," ","")))</f>
        <v/>
      </c>
      <c r="K733" s="10" t="str">
        <f aca="false">IF($A733="","",$G733&amp;"|"&amp;$J733)</f>
        <v/>
      </c>
      <c r="L733" s="10" t="str">
        <f aca="false">IF($A733="","",ROW()-2)</f>
        <v/>
      </c>
      <c r="M733" s="10" t="str">
        <f aca="false">IF($A733="","",ROW())</f>
        <v/>
      </c>
    </row>
    <row r="734" customFormat="false" ht="15" hidden="false" customHeight="true" outlineLevel="0" collapsed="false">
      <c r="A734" s="8"/>
      <c r="B734" s="8"/>
      <c r="C734" s="8"/>
      <c r="D734" s="8"/>
      <c r="E734" s="8"/>
      <c r="F734" s="8"/>
      <c r="G734" s="10" t="str">
        <f aca="false">IF($A734="","",UPPER(SUBSTITUTE(SUBSTITUTE(SUBSTITUTE(SUBSTITUTE($A734," ",""),"(주)",""),"주식회사",""),"㈜","")))</f>
        <v/>
      </c>
      <c r="H734" s="10" t="str">
        <f aca="false">IF($B734="","",SUBSTITUTE(SUBSTITUTE(SUBSTITUTE($B734,"-","")," ",""),".",""))</f>
        <v/>
      </c>
      <c r="I734" s="10" t="str">
        <f aca="false">IF($D734="","",SUBSTITUTE(SUBSTITUTE(SUBSTITUTE($D734,"-","")," ",""),".",""))</f>
        <v/>
      </c>
      <c r="J734" s="10" t="str">
        <f aca="false">IF($E734="","",UPPER(SUBSTITUTE($E734," ","")))</f>
        <v/>
      </c>
      <c r="K734" s="10" t="str">
        <f aca="false">IF($A734="","",$G734&amp;"|"&amp;$J734)</f>
        <v/>
      </c>
      <c r="L734" s="10" t="str">
        <f aca="false">IF($A734="","",ROW()-2)</f>
        <v/>
      </c>
      <c r="M734" s="10" t="str">
        <f aca="false">IF($A734="","",ROW())</f>
        <v/>
      </c>
    </row>
    <row r="735" customFormat="false" ht="15" hidden="false" customHeight="true" outlineLevel="0" collapsed="false">
      <c r="A735" s="8"/>
      <c r="B735" s="8"/>
      <c r="C735" s="8"/>
      <c r="D735" s="8"/>
      <c r="E735" s="8"/>
      <c r="F735" s="8"/>
      <c r="G735" s="10" t="str">
        <f aca="false">IF($A735="","",UPPER(SUBSTITUTE(SUBSTITUTE(SUBSTITUTE(SUBSTITUTE($A735," ",""),"(주)",""),"주식회사",""),"㈜","")))</f>
        <v/>
      </c>
      <c r="H735" s="10" t="str">
        <f aca="false">IF($B735="","",SUBSTITUTE(SUBSTITUTE(SUBSTITUTE($B735,"-","")," ",""),".",""))</f>
        <v/>
      </c>
      <c r="I735" s="10" t="str">
        <f aca="false">IF($D735="","",SUBSTITUTE(SUBSTITUTE(SUBSTITUTE($D735,"-","")," ",""),".",""))</f>
        <v/>
      </c>
      <c r="J735" s="10" t="str">
        <f aca="false">IF($E735="","",UPPER(SUBSTITUTE($E735," ","")))</f>
        <v/>
      </c>
      <c r="K735" s="10" t="str">
        <f aca="false">IF($A735="","",$G735&amp;"|"&amp;$J735)</f>
        <v/>
      </c>
      <c r="L735" s="10" t="str">
        <f aca="false">IF($A735="","",ROW()-2)</f>
        <v/>
      </c>
      <c r="M735" s="10" t="str">
        <f aca="false">IF($A735="","",ROW())</f>
        <v/>
      </c>
    </row>
    <row r="736" customFormat="false" ht="15" hidden="false" customHeight="true" outlineLevel="0" collapsed="false">
      <c r="A736" s="8"/>
      <c r="B736" s="8"/>
      <c r="C736" s="8"/>
      <c r="D736" s="8"/>
      <c r="E736" s="8"/>
      <c r="F736" s="8"/>
      <c r="G736" s="10" t="str">
        <f aca="false">IF($A736="","",UPPER(SUBSTITUTE(SUBSTITUTE(SUBSTITUTE(SUBSTITUTE($A736," ",""),"(주)",""),"주식회사",""),"㈜","")))</f>
        <v/>
      </c>
      <c r="H736" s="10" t="str">
        <f aca="false">IF($B736="","",SUBSTITUTE(SUBSTITUTE(SUBSTITUTE($B736,"-","")," ",""),".",""))</f>
        <v/>
      </c>
      <c r="I736" s="10" t="str">
        <f aca="false">IF($D736="","",SUBSTITUTE(SUBSTITUTE(SUBSTITUTE($D736,"-","")," ",""),".",""))</f>
        <v/>
      </c>
      <c r="J736" s="10" t="str">
        <f aca="false">IF($E736="","",UPPER(SUBSTITUTE($E736," ","")))</f>
        <v/>
      </c>
      <c r="K736" s="10" t="str">
        <f aca="false">IF($A736="","",$G736&amp;"|"&amp;$J736)</f>
        <v/>
      </c>
      <c r="L736" s="10" t="str">
        <f aca="false">IF($A736="","",ROW()-2)</f>
        <v/>
      </c>
      <c r="M736" s="10" t="str">
        <f aca="false">IF($A736="","",ROW())</f>
        <v/>
      </c>
    </row>
    <row r="737" customFormat="false" ht="15" hidden="false" customHeight="true" outlineLevel="0" collapsed="false">
      <c r="A737" s="8"/>
      <c r="B737" s="8"/>
      <c r="C737" s="8"/>
      <c r="D737" s="8"/>
      <c r="E737" s="8"/>
      <c r="F737" s="8"/>
      <c r="G737" s="10" t="str">
        <f aca="false">IF($A737="","",UPPER(SUBSTITUTE(SUBSTITUTE(SUBSTITUTE(SUBSTITUTE($A737," ",""),"(주)",""),"주식회사",""),"㈜","")))</f>
        <v/>
      </c>
      <c r="H737" s="10" t="str">
        <f aca="false">IF($B737="","",SUBSTITUTE(SUBSTITUTE(SUBSTITUTE($B737,"-","")," ",""),".",""))</f>
        <v/>
      </c>
      <c r="I737" s="10" t="str">
        <f aca="false">IF($D737="","",SUBSTITUTE(SUBSTITUTE(SUBSTITUTE($D737,"-","")," ",""),".",""))</f>
        <v/>
      </c>
      <c r="J737" s="10" t="str">
        <f aca="false">IF($E737="","",UPPER(SUBSTITUTE($E737," ","")))</f>
        <v/>
      </c>
      <c r="K737" s="10" t="str">
        <f aca="false">IF($A737="","",$G737&amp;"|"&amp;$J737)</f>
        <v/>
      </c>
      <c r="L737" s="10" t="str">
        <f aca="false">IF($A737="","",ROW()-2)</f>
        <v/>
      </c>
      <c r="M737" s="10" t="str">
        <f aca="false">IF($A737="","",ROW())</f>
        <v/>
      </c>
    </row>
    <row r="738" customFormat="false" ht="15" hidden="false" customHeight="true" outlineLevel="0" collapsed="false">
      <c r="A738" s="8"/>
      <c r="B738" s="8"/>
      <c r="C738" s="8"/>
      <c r="D738" s="8"/>
      <c r="E738" s="8"/>
      <c r="F738" s="8"/>
      <c r="G738" s="10" t="str">
        <f aca="false">IF($A738="","",UPPER(SUBSTITUTE(SUBSTITUTE(SUBSTITUTE(SUBSTITUTE($A738," ",""),"(주)",""),"주식회사",""),"㈜","")))</f>
        <v/>
      </c>
      <c r="H738" s="10" t="str">
        <f aca="false">IF($B738="","",SUBSTITUTE(SUBSTITUTE(SUBSTITUTE($B738,"-","")," ",""),".",""))</f>
        <v/>
      </c>
      <c r="I738" s="10" t="str">
        <f aca="false">IF($D738="","",SUBSTITUTE(SUBSTITUTE(SUBSTITUTE($D738,"-","")," ",""),".",""))</f>
        <v/>
      </c>
      <c r="J738" s="10" t="str">
        <f aca="false">IF($E738="","",UPPER(SUBSTITUTE($E738," ","")))</f>
        <v/>
      </c>
      <c r="K738" s="10" t="str">
        <f aca="false">IF($A738="","",$G738&amp;"|"&amp;$J738)</f>
        <v/>
      </c>
      <c r="L738" s="10" t="str">
        <f aca="false">IF($A738="","",ROW()-2)</f>
        <v/>
      </c>
      <c r="M738" s="10" t="str">
        <f aca="false">IF($A738="","",ROW())</f>
        <v/>
      </c>
    </row>
    <row r="739" customFormat="false" ht="15" hidden="false" customHeight="true" outlineLevel="0" collapsed="false">
      <c r="A739" s="8"/>
      <c r="B739" s="8"/>
      <c r="C739" s="8"/>
      <c r="D739" s="8"/>
      <c r="E739" s="8"/>
      <c r="F739" s="8"/>
      <c r="G739" s="10" t="str">
        <f aca="false">IF($A739="","",UPPER(SUBSTITUTE(SUBSTITUTE(SUBSTITUTE(SUBSTITUTE($A739," ",""),"(주)",""),"주식회사",""),"㈜","")))</f>
        <v/>
      </c>
      <c r="H739" s="10" t="str">
        <f aca="false">IF($B739="","",SUBSTITUTE(SUBSTITUTE(SUBSTITUTE($B739,"-","")," ",""),".",""))</f>
        <v/>
      </c>
      <c r="I739" s="10" t="str">
        <f aca="false">IF($D739="","",SUBSTITUTE(SUBSTITUTE(SUBSTITUTE($D739,"-","")," ",""),".",""))</f>
        <v/>
      </c>
      <c r="J739" s="10" t="str">
        <f aca="false">IF($E739="","",UPPER(SUBSTITUTE($E739," ","")))</f>
        <v/>
      </c>
      <c r="K739" s="10" t="str">
        <f aca="false">IF($A739="","",$G739&amp;"|"&amp;$J739)</f>
        <v/>
      </c>
      <c r="L739" s="10" t="str">
        <f aca="false">IF($A739="","",ROW()-2)</f>
        <v/>
      </c>
      <c r="M739" s="10" t="str">
        <f aca="false">IF($A739="","",ROW())</f>
        <v/>
      </c>
    </row>
    <row r="740" customFormat="false" ht="15" hidden="false" customHeight="true" outlineLevel="0" collapsed="false">
      <c r="A740" s="8"/>
      <c r="B740" s="8"/>
      <c r="C740" s="8"/>
      <c r="D740" s="8"/>
      <c r="E740" s="8"/>
      <c r="F740" s="8"/>
      <c r="G740" s="10" t="str">
        <f aca="false">IF($A740="","",UPPER(SUBSTITUTE(SUBSTITUTE(SUBSTITUTE(SUBSTITUTE($A740," ",""),"(주)",""),"주식회사",""),"㈜","")))</f>
        <v/>
      </c>
      <c r="H740" s="10" t="str">
        <f aca="false">IF($B740="","",SUBSTITUTE(SUBSTITUTE(SUBSTITUTE($B740,"-","")," ",""),".",""))</f>
        <v/>
      </c>
      <c r="I740" s="10" t="str">
        <f aca="false">IF($D740="","",SUBSTITUTE(SUBSTITUTE(SUBSTITUTE($D740,"-","")," ",""),".",""))</f>
        <v/>
      </c>
      <c r="J740" s="10" t="str">
        <f aca="false">IF($E740="","",UPPER(SUBSTITUTE($E740," ","")))</f>
        <v/>
      </c>
      <c r="K740" s="10" t="str">
        <f aca="false">IF($A740="","",$G740&amp;"|"&amp;$J740)</f>
        <v/>
      </c>
      <c r="L740" s="10" t="str">
        <f aca="false">IF($A740="","",ROW()-2)</f>
        <v/>
      </c>
      <c r="M740" s="10" t="str">
        <f aca="false">IF($A740="","",ROW())</f>
        <v/>
      </c>
    </row>
    <row r="741" customFormat="false" ht="15" hidden="false" customHeight="true" outlineLevel="0" collapsed="false">
      <c r="A741" s="8"/>
      <c r="B741" s="8"/>
      <c r="C741" s="8"/>
      <c r="D741" s="8"/>
      <c r="E741" s="8"/>
      <c r="F741" s="8"/>
      <c r="G741" s="10" t="str">
        <f aca="false">IF($A741="","",UPPER(SUBSTITUTE(SUBSTITUTE(SUBSTITUTE(SUBSTITUTE($A741," ",""),"(주)",""),"주식회사",""),"㈜","")))</f>
        <v/>
      </c>
      <c r="H741" s="10" t="str">
        <f aca="false">IF($B741="","",SUBSTITUTE(SUBSTITUTE(SUBSTITUTE($B741,"-","")," ",""),".",""))</f>
        <v/>
      </c>
      <c r="I741" s="10" t="str">
        <f aca="false">IF($D741="","",SUBSTITUTE(SUBSTITUTE(SUBSTITUTE($D741,"-","")," ",""),".",""))</f>
        <v/>
      </c>
      <c r="J741" s="10" t="str">
        <f aca="false">IF($E741="","",UPPER(SUBSTITUTE($E741," ","")))</f>
        <v/>
      </c>
      <c r="K741" s="10" t="str">
        <f aca="false">IF($A741="","",$G741&amp;"|"&amp;$J741)</f>
        <v/>
      </c>
      <c r="L741" s="10" t="str">
        <f aca="false">IF($A741="","",ROW()-2)</f>
        <v/>
      </c>
      <c r="M741" s="10" t="str">
        <f aca="false">IF($A741="","",ROW())</f>
        <v/>
      </c>
    </row>
    <row r="742" customFormat="false" ht="15" hidden="false" customHeight="true" outlineLevel="0" collapsed="false">
      <c r="A742" s="8"/>
      <c r="B742" s="8"/>
      <c r="C742" s="8"/>
      <c r="D742" s="8"/>
      <c r="E742" s="8"/>
      <c r="F742" s="8"/>
      <c r="G742" s="10" t="str">
        <f aca="false">IF($A742="","",UPPER(SUBSTITUTE(SUBSTITUTE(SUBSTITUTE(SUBSTITUTE($A742," ",""),"(주)",""),"주식회사",""),"㈜","")))</f>
        <v/>
      </c>
      <c r="H742" s="10" t="str">
        <f aca="false">IF($B742="","",SUBSTITUTE(SUBSTITUTE(SUBSTITUTE($B742,"-","")," ",""),".",""))</f>
        <v/>
      </c>
      <c r="I742" s="10" t="str">
        <f aca="false">IF($D742="","",SUBSTITUTE(SUBSTITUTE(SUBSTITUTE($D742,"-","")," ",""),".",""))</f>
        <v/>
      </c>
      <c r="J742" s="10" t="str">
        <f aca="false">IF($E742="","",UPPER(SUBSTITUTE($E742," ","")))</f>
        <v/>
      </c>
      <c r="K742" s="10" t="str">
        <f aca="false">IF($A742="","",$G742&amp;"|"&amp;$J742)</f>
        <v/>
      </c>
      <c r="L742" s="10" t="str">
        <f aca="false">IF($A742="","",ROW()-2)</f>
        <v/>
      </c>
      <c r="M742" s="10" t="str">
        <f aca="false">IF($A742="","",ROW())</f>
        <v/>
      </c>
    </row>
    <row r="743" customFormat="false" ht="15" hidden="false" customHeight="true" outlineLevel="0" collapsed="false">
      <c r="A743" s="8"/>
      <c r="B743" s="8"/>
      <c r="C743" s="8"/>
      <c r="D743" s="8"/>
      <c r="E743" s="8"/>
      <c r="F743" s="8"/>
      <c r="G743" s="10" t="str">
        <f aca="false">IF($A743="","",UPPER(SUBSTITUTE(SUBSTITUTE(SUBSTITUTE(SUBSTITUTE($A743," ",""),"(주)",""),"주식회사",""),"㈜","")))</f>
        <v/>
      </c>
      <c r="H743" s="10" t="str">
        <f aca="false">IF($B743="","",SUBSTITUTE(SUBSTITUTE(SUBSTITUTE($B743,"-","")," ",""),".",""))</f>
        <v/>
      </c>
      <c r="I743" s="10" t="str">
        <f aca="false">IF($D743="","",SUBSTITUTE(SUBSTITUTE(SUBSTITUTE($D743,"-","")," ",""),".",""))</f>
        <v/>
      </c>
      <c r="J743" s="10" t="str">
        <f aca="false">IF($E743="","",UPPER(SUBSTITUTE($E743," ","")))</f>
        <v/>
      </c>
      <c r="K743" s="10" t="str">
        <f aca="false">IF($A743="","",$G743&amp;"|"&amp;$J743)</f>
        <v/>
      </c>
      <c r="L743" s="10" t="str">
        <f aca="false">IF($A743="","",ROW()-2)</f>
        <v/>
      </c>
      <c r="M743" s="10" t="str">
        <f aca="false">IF($A743="","",ROW())</f>
        <v/>
      </c>
    </row>
    <row r="744" customFormat="false" ht="15" hidden="false" customHeight="true" outlineLevel="0" collapsed="false">
      <c r="A744" s="8"/>
      <c r="B744" s="8"/>
      <c r="C744" s="8"/>
      <c r="D744" s="8"/>
      <c r="E744" s="8"/>
      <c r="F744" s="8"/>
      <c r="G744" s="10" t="str">
        <f aca="false">IF($A744="","",UPPER(SUBSTITUTE(SUBSTITUTE(SUBSTITUTE(SUBSTITUTE($A744," ",""),"(주)",""),"주식회사",""),"㈜","")))</f>
        <v/>
      </c>
      <c r="H744" s="10" t="str">
        <f aca="false">IF($B744="","",SUBSTITUTE(SUBSTITUTE(SUBSTITUTE($B744,"-","")," ",""),".",""))</f>
        <v/>
      </c>
      <c r="I744" s="10" t="str">
        <f aca="false">IF($D744="","",SUBSTITUTE(SUBSTITUTE(SUBSTITUTE($D744,"-","")," ",""),".",""))</f>
        <v/>
      </c>
      <c r="J744" s="10" t="str">
        <f aca="false">IF($E744="","",UPPER(SUBSTITUTE($E744," ","")))</f>
        <v/>
      </c>
      <c r="K744" s="10" t="str">
        <f aca="false">IF($A744="","",$G744&amp;"|"&amp;$J744)</f>
        <v/>
      </c>
      <c r="L744" s="10" t="str">
        <f aca="false">IF($A744="","",ROW()-2)</f>
        <v/>
      </c>
      <c r="M744" s="10" t="str">
        <f aca="false">IF($A744="","",ROW())</f>
        <v/>
      </c>
    </row>
    <row r="745" customFormat="false" ht="15" hidden="false" customHeight="true" outlineLevel="0" collapsed="false">
      <c r="A745" s="8"/>
      <c r="B745" s="8"/>
      <c r="C745" s="8"/>
      <c r="D745" s="8"/>
      <c r="E745" s="8"/>
      <c r="F745" s="8"/>
      <c r="G745" s="10" t="str">
        <f aca="false">IF($A745="","",UPPER(SUBSTITUTE(SUBSTITUTE(SUBSTITUTE(SUBSTITUTE($A745," ",""),"(주)",""),"주식회사",""),"㈜","")))</f>
        <v/>
      </c>
      <c r="H745" s="10" t="str">
        <f aca="false">IF($B745="","",SUBSTITUTE(SUBSTITUTE(SUBSTITUTE($B745,"-","")," ",""),".",""))</f>
        <v/>
      </c>
      <c r="I745" s="10" t="str">
        <f aca="false">IF($D745="","",SUBSTITUTE(SUBSTITUTE(SUBSTITUTE($D745,"-","")," ",""),".",""))</f>
        <v/>
      </c>
      <c r="J745" s="10" t="str">
        <f aca="false">IF($E745="","",UPPER(SUBSTITUTE($E745," ","")))</f>
        <v/>
      </c>
      <c r="K745" s="10" t="str">
        <f aca="false">IF($A745="","",$G745&amp;"|"&amp;$J745)</f>
        <v/>
      </c>
      <c r="L745" s="10" t="str">
        <f aca="false">IF($A745="","",ROW()-2)</f>
        <v/>
      </c>
      <c r="M745" s="10" t="str">
        <f aca="false">IF($A745="","",ROW())</f>
        <v/>
      </c>
    </row>
    <row r="746" customFormat="false" ht="15" hidden="false" customHeight="true" outlineLevel="0" collapsed="false">
      <c r="A746" s="8"/>
      <c r="B746" s="8"/>
      <c r="C746" s="8"/>
      <c r="D746" s="8"/>
      <c r="E746" s="8"/>
      <c r="F746" s="8"/>
      <c r="G746" s="10" t="str">
        <f aca="false">IF($A746="","",UPPER(SUBSTITUTE(SUBSTITUTE(SUBSTITUTE(SUBSTITUTE($A746," ",""),"(주)",""),"주식회사",""),"㈜","")))</f>
        <v/>
      </c>
      <c r="H746" s="10" t="str">
        <f aca="false">IF($B746="","",SUBSTITUTE(SUBSTITUTE(SUBSTITUTE($B746,"-","")," ",""),".",""))</f>
        <v/>
      </c>
      <c r="I746" s="10" t="str">
        <f aca="false">IF($D746="","",SUBSTITUTE(SUBSTITUTE(SUBSTITUTE($D746,"-","")," ",""),".",""))</f>
        <v/>
      </c>
      <c r="J746" s="10" t="str">
        <f aca="false">IF($E746="","",UPPER(SUBSTITUTE($E746," ","")))</f>
        <v/>
      </c>
      <c r="K746" s="10" t="str">
        <f aca="false">IF($A746="","",$G746&amp;"|"&amp;$J746)</f>
        <v/>
      </c>
      <c r="L746" s="10" t="str">
        <f aca="false">IF($A746="","",ROW()-2)</f>
        <v/>
      </c>
      <c r="M746" s="10" t="str">
        <f aca="false">IF($A746="","",ROW())</f>
        <v/>
      </c>
    </row>
    <row r="747" customFormat="false" ht="15" hidden="false" customHeight="true" outlineLevel="0" collapsed="false">
      <c r="A747" s="8"/>
      <c r="B747" s="8"/>
      <c r="C747" s="8"/>
      <c r="D747" s="8"/>
      <c r="E747" s="8"/>
      <c r="F747" s="8"/>
      <c r="G747" s="10" t="str">
        <f aca="false">IF($A747="","",UPPER(SUBSTITUTE(SUBSTITUTE(SUBSTITUTE(SUBSTITUTE($A747," ",""),"(주)",""),"주식회사",""),"㈜","")))</f>
        <v/>
      </c>
      <c r="H747" s="10" t="str">
        <f aca="false">IF($B747="","",SUBSTITUTE(SUBSTITUTE(SUBSTITUTE($B747,"-","")," ",""),".",""))</f>
        <v/>
      </c>
      <c r="I747" s="10" t="str">
        <f aca="false">IF($D747="","",SUBSTITUTE(SUBSTITUTE(SUBSTITUTE($D747,"-","")," ",""),".",""))</f>
        <v/>
      </c>
      <c r="J747" s="10" t="str">
        <f aca="false">IF($E747="","",UPPER(SUBSTITUTE($E747," ","")))</f>
        <v/>
      </c>
      <c r="K747" s="10" t="str">
        <f aca="false">IF($A747="","",$G747&amp;"|"&amp;$J747)</f>
        <v/>
      </c>
      <c r="L747" s="10" t="str">
        <f aca="false">IF($A747="","",ROW()-2)</f>
        <v/>
      </c>
      <c r="M747" s="10" t="str">
        <f aca="false">IF($A747="","",ROW())</f>
        <v/>
      </c>
    </row>
    <row r="748" customFormat="false" ht="15" hidden="false" customHeight="true" outlineLevel="0" collapsed="false">
      <c r="A748" s="8"/>
      <c r="B748" s="8"/>
      <c r="C748" s="8"/>
      <c r="D748" s="8"/>
      <c r="E748" s="8"/>
      <c r="F748" s="8"/>
      <c r="G748" s="10" t="str">
        <f aca="false">IF($A748="","",UPPER(SUBSTITUTE(SUBSTITUTE(SUBSTITUTE(SUBSTITUTE($A748," ",""),"(주)",""),"주식회사",""),"㈜","")))</f>
        <v/>
      </c>
      <c r="H748" s="10" t="str">
        <f aca="false">IF($B748="","",SUBSTITUTE(SUBSTITUTE(SUBSTITUTE($B748,"-","")," ",""),".",""))</f>
        <v/>
      </c>
      <c r="I748" s="10" t="str">
        <f aca="false">IF($D748="","",SUBSTITUTE(SUBSTITUTE(SUBSTITUTE($D748,"-","")," ",""),".",""))</f>
        <v/>
      </c>
      <c r="J748" s="10" t="str">
        <f aca="false">IF($E748="","",UPPER(SUBSTITUTE($E748," ","")))</f>
        <v/>
      </c>
      <c r="K748" s="10" t="str">
        <f aca="false">IF($A748="","",$G748&amp;"|"&amp;$J748)</f>
        <v/>
      </c>
      <c r="L748" s="10" t="str">
        <f aca="false">IF($A748="","",ROW()-2)</f>
        <v/>
      </c>
      <c r="M748" s="10" t="str">
        <f aca="false">IF($A748="","",ROW())</f>
        <v/>
      </c>
    </row>
    <row r="749" customFormat="false" ht="15" hidden="false" customHeight="true" outlineLevel="0" collapsed="false">
      <c r="A749" s="8"/>
      <c r="B749" s="8"/>
      <c r="C749" s="8"/>
      <c r="D749" s="8"/>
      <c r="E749" s="8"/>
      <c r="F749" s="8"/>
      <c r="G749" s="10" t="str">
        <f aca="false">IF($A749="","",UPPER(SUBSTITUTE(SUBSTITUTE(SUBSTITUTE(SUBSTITUTE($A749," ",""),"(주)",""),"주식회사",""),"㈜","")))</f>
        <v/>
      </c>
      <c r="H749" s="10" t="str">
        <f aca="false">IF($B749="","",SUBSTITUTE(SUBSTITUTE(SUBSTITUTE($B749,"-","")," ",""),".",""))</f>
        <v/>
      </c>
      <c r="I749" s="10" t="str">
        <f aca="false">IF($D749="","",SUBSTITUTE(SUBSTITUTE(SUBSTITUTE($D749,"-","")," ",""),".",""))</f>
        <v/>
      </c>
      <c r="J749" s="10" t="str">
        <f aca="false">IF($E749="","",UPPER(SUBSTITUTE($E749," ","")))</f>
        <v/>
      </c>
      <c r="K749" s="10" t="str">
        <f aca="false">IF($A749="","",$G749&amp;"|"&amp;$J749)</f>
        <v/>
      </c>
      <c r="L749" s="10" t="str">
        <f aca="false">IF($A749="","",ROW()-2)</f>
        <v/>
      </c>
      <c r="M749" s="10" t="str">
        <f aca="false">IF($A749="","",ROW())</f>
        <v/>
      </c>
    </row>
    <row r="750" customFormat="false" ht="15" hidden="false" customHeight="true" outlineLevel="0" collapsed="false">
      <c r="A750" s="8"/>
      <c r="B750" s="8"/>
      <c r="C750" s="8"/>
      <c r="D750" s="8"/>
      <c r="E750" s="8"/>
      <c r="F750" s="8"/>
      <c r="G750" s="10" t="str">
        <f aca="false">IF($A750="","",UPPER(SUBSTITUTE(SUBSTITUTE(SUBSTITUTE(SUBSTITUTE($A750," ",""),"(주)",""),"주식회사",""),"㈜","")))</f>
        <v/>
      </c>
      <c r="H750" s="10" t="str">
        <f aca="false">IF($B750="","",SUBSTITUTE(SUBSTITUTE(SUBSTITUTE($B750,"-","")," ",""),".",""))</f>
        <v/>
      </c>
      <c r="I750" s="10" t="str">
        <f aca="false">IF($D750="","",SUBSTITUTE(SUBSTITUTE(SUBSTITUTE($D750,"-","")," ",""),".",""))</f>
        <v/>
      </c>
      <c r="J750" s="10" t="str">
        <f aca="false">IF($E750="","",UPPER(SUBSTITUTE($E750," ","")))</f>
        <v/>
      </c>
      <c r="K750" s="10" t="str">
        <f aca="false">IF($A750="","",$G750&amp;"|"&amp;$J750)</f>
        <v/>
      </c>
      <c r="L750" s="10" t="str">
        <f aca="false">IF($A750="","",ROW()-2)</f>
        <v/>
      </c>
      <c r="M750" s="10" t="str">
        <f aca="false">IF($A750="","",ROW())</f>
        <v/>
      </c>
    </row>
    <row r="751" customFormat="false" ht="15" hidden="false" customHeight="true" outlineLevel="0" collapsed="false">
      <c r="A751" s="8"/>
      <c r="B751" s="8"/>
      <c r="C751" s="8"/>
      <c r="D751" s="8"/>
      <c r="E751" s="8"/>
      <c r="F751" s="8"/>
      <c r="G751" s="10" t="str">
        <f aca="false">IF($A751="","",UPPER(SUBSTITUTE(SUBSTITUTE(SUBSTITUTE(SUBSTITUTE($A751," ",""),"(주)",""),"주식회사",""),"㈜","")))</f>
        <v/>
      </c>
      <c r="H751" s="10" t="str">
        <f aca="false">IF($B751="","",SUBSTITUTE(SUBSTITUTE(SUBSTITUTE($B751,"-","")," ",""),".",""))</f>
        <v/>
      </c>
      <c r="I751" s="10" t="str">
        <f aca="false">IF($D751="","",SUBSTITUTE(SUBSTITUTE(SUBSTITUTE($D751,"-","")," ",""),".",""))</f>
        <v/>
      </c>
      <c r="J751" s="10" t="str">
        <f aca="false">IF($E751="","",UPPER(SUBSTITUTE($E751," ","")))</f>
        <v/>
      </c>
      <c r="K751" s="10" t="str">
        <f aca="false">IF($A751="","",$G751&amp;"|"&amp;$J751)</f>
        <v/>
      </c>
      <c r="L751" s="10" t="str">
        <f aca="false">IF($A751="","",ROW()-2)</f>
        <v/>
      </c>
      <c r="M751" s="10" t="str">
        <f aca="false">IF($A751="","",ROW())</f>
        <v/>
      </c>
    </row>
    <row r="752" customFormat="false" ht="15" hidden="false" customHeight="true" outlineLevel="0" collapsed="false">
      <c r="A752" s="8"/>
      <c r="B752" s="8"/>
      <c r="C752" s="8"/>
      <c r="D752" s="8"/>
      <c r="E752" s="8"/>
      <c r="F752" s="8"/>
      <c r="G752" s="10" t="str">
        <f aca="false">IF($A752="","",UPPER(SUBSTITUTE(SUBSTITUTE(SUBSTITUTE(SUBSTITUTE($A752," ",""),"(주)",""),"주식회사",""),"㈜","")))</f>
        <v/>
      </c>
      <c r="H752" s="10" t="str">
        <f aca="false">IF($B752="","",SUBSTITUTE(SUBSTITUTE(SUBSTITUTE($B752,"-","")," ",""),".",""))</f>
        <v/>
      </c>
      <c r="I752" s="10" t="str">
        <f aca="false">IF($D752="","",SUBSTITUTE(SUBSTITUTE(SUBSTITUTE($D752,"-","")," ",""),".",""))</f>
        <v/>
      </c>
      <c r="J752" s="10" t="str">
        <f aca="false">IF($E752="","",UPPER(SUBSTITUTE($E752," ","")))</f>
        <v/>
      </c>
      <c r="K752" s="10" t="str">
        <f aca="false">IF($A752="","",$G752&amp;"|"&amp;$J752)</f>
        <v/>
      </c>
      <c r="L752" s="10" t="str">
        <f aca="false">IF($A752="","",ROW()-2)</f>
        <v/>
      </c>
      <c r="M752" s="10" t="str">
        <f aca="false">IF($A752="","",ROW())</f>
        <v/>
      </c>
    </row>
    <row r="753" customFormat="false" ht="15" hidden="false" customHeight="true" outlineLevel="0" collapsed="false">
      <c r="A753" s="8"/>
      <c r="B753" s="8"/>
      <c r="C753" s="8"/>
      <c r="D753" s="8"/>
      <c r="E753" s="8"/>
      <c r="F753" s="8"/>
      <c r="G753" s="10" t="str">
        <f aca="false">IF($A753="","",UPPER(SUBSTITUTE(SUBSTITUTE(SUBSTITUTE(SUBSTITUTE($A753," ",""),"(주)",""),"주식회사",""),"㈜","")))</f>
        <v/>
      </c>
      <c r="H753" s="10" t="str">
        <f aca="false">IF($B753="","",SUBSTITUTE(SUBSTITUTE(SUBSTITUTE($B753,"-","")," ",""),".",""))</f>
        <v/>
      </c>
      <c r="I753" s="10" t="str">
        <f aca="false">IF($D753="","",SUBSTITUTE(SUBSTITUTE(SUBSTITUTE($D753,"-","")," ",""),".",""))</f>
        <v/>
      </c>
      <c r="J753" s="10" t="str">
        <f aca="false">IF($E753="","",UPPER(SUBSTITUTE($E753," ","")))</f>
        <v/>
      </c>
      <c r="K753" s="10" t="str">
        <f aca="false">IF($A753="","",$G753&amp;"|"&amp;$J753)</f>
        <v/>
      </c>
      <c r="L753" s="10" t="str">
        <f aca="false">IF($A753="","",ROW()-2)</f>
        <v/>
      </c>
      <c r="M753" s="10" t="str">
        <f aca="false">IF($A753="","",ROW())</f>
        <v/>
      </c>
    </row>
    <row r="754" customFormat="false" ht="15" hidden="false" customHeight="true" outlineLevel="0" collapsed="false">
      <c r="A754" s="8"/>
      <c r="B754" s="8"/>
      <c r="C754" s="8"/>
      <c r="D754" s="8"/>
      <c r="E754" s="8"/>
      <c r="F754" s="8"/>
      <c r="G754" s="10" t="str">
        <f aca="false">IF($A754="","",UPPER(SUBSTITUTE(SUBSTITUTE(SUBSTITUTE(SUBSTITUTE($A754," ",""),"(주)",""),"주식회사",""),"㈜","")))</f>
        <v/>
      </c>
      <c r="H754" s="10" t="str">
        <f aca="false">IF($B754="","",SUBSTITUTE(SUBSTITUTE(SUBSTITUTE($B754,"-","")," ",""),".",""))</f>
        <v/>
      </c>
      <c r="I754" s="10" t="str">
        <f aca="false">IF($D754="","",SUBSTITUTE(SUBSTITUTE(SUBSTITUTE($D754,"-","")," ",""),".",""))</f>
        <v/>
      </c>
      <c r="J754" s="10" t="str">
        <f aca="false">IF($E754="","",UPPER(SUBSTITUTE($E754," ","")))</f>
        <v/>
      </c>
      <c r="K754" s="10" t="str">
        <f aca="false">IF($A754="","",$G754&amp;"|"&amp;$J754)</f>
        <v/>
      </c>
      <c r="L754" s="10" t="str">
        <f aca="false">IF($A754="","",ROW()-2)</f>
        <v/>
      </c>
      <c r="M754" s="10" t="str">
        <f aca="false">IF($A754="","",ROW())</f>
        <v/>
      </c>
    </row>
    <row r="755" customFormat="false" ht="15" hidden="false" customHeight="true" outlineLevel="0" collapsed="false">
      <c r="A755" s="8"/>
      <c r="B755" s="8"/>
      <c r="C755" s="8"/>
      <c r="D755" s="8"/>
      <c r="E755" s="8"/>
      <c r="F755" s="8"/>
      <c r="G755" s="10" t="str">
        <f aca="false">IF($A755="","",UPPER(SUBSTITUTE(SUBSTITUTE(SUBSTITUTE(SUBSTITUTE($A755," ",""),"(주)",""),"주식회사",""),"㈜","")))</f>
        <v/>
      </c>
      <c r="H755" s="10" t="str">
        <f aca="false">IF($B755="","",SUBSTITUTE(SUBSTITUTE(SUBSTITUTE($B755,"-","")," ",""),".",""))</f>
        <v/>
      </c>
      <c r="I755" s="10" t="str">
        <f aca="false">IF($D755="","",SUBSTITUTE(SUBSTITUTE(SUBSTITUTE($D755,"-","")," ",""),".",""))</f>
        <v/>
      </c>
      <c r="J755" s="10" t="str">
        <f aca="false">IF($E755="","",UPPER(SUBSTITUTE($E755," ","")))</f>
        <v/>
      </c>
      <c r="K755" s="10" t="str">
        <f aca="false">IF($A755="","",$G755&amp;"|"&amp;$J755)</f>
        <v/>
      </c>
      <c r="L755" s="10" t="str">
        <f aca="false">IF($A755="","",ROW()-2)</f>
        <v/>
      </c>
      <c r="M755" s="10" t="str">
        <f aca="false">IF($A755="","",ROW())</f>
        <v/>
      </c>
    </row>
    <row r="756" customFormat="false" ht="15" hidden="false" customHeight="true" outlineLevel="0" collapsed="false">
      <c r="A756" s="8"/>
      <c r="B756" s="8"/>
      <c r="C756" s="8"/>
      <c r="D756" s="8"/>
      <c r="E756" s="8"/>
      <c r="F756" s="8"/>
      <c r="G756" s="10" t="str">
        <f aca="false">IF($A756="","",UPPER(SUBSTITUTE(SUBSTITUTE(SUBSTITUTE(SUBSTITUTE($A756," ",""),"(주)",""),"주식회사",""),"㈜","")))</f>
        <v/>
      </c>
      <c r="H756" s="10" t="str">
        <f aca="false">IF($B756="","",SUBSTITUTE(SUBSTITUTE(SUBSTITUTE($B756,"-","")," ",""),".",""))</f>
        <v/>
      </c>
      <c r="I756" s="10" t="str">
        <f aca="false">IF($D756="","",SUBSTITUTE(SUBSTITUTE(SUBSTITUTE($D756,"-","")," ",""),".",""))</f>
        <v/>
      </c>
      <c r="J756" s="10" t="str">
        <f aca="false">IF($E756="","",UPPER(SUBSTITUTE($E756," ","")))</f>
        <v/>
      </c>
      <c r="K756" s="10" t="str">
        <f aca="false">IF($A756="","",$G756&amp;"|"&amp;$J756)</f>
        <v/>
      </c>
      <c r="L756" s="10" t="str">
        <f aca="false">IF($A756="","",ROW()-2)</f>
        <v/>
      </c>
      <c r="M756" s="10" t="str">
        <f aca="false">IF($A756="","",ROW())</f>
        <v/>
      </c>
    </row>
    <row r="757" customFormat="false" ht="15" hidden="false" customHeight="true" outlineLevel="0" collapsed="false">
      <c r="A757" s="8"/>
      <c r="B757" s="8"/>
      <c r="C757" s="8"/>
      <c r="D757" s="8"/>
      <c r="E757" s="8"/>
      <c r="F757" s="8"/>
      <c r="G757" s="10" t="str">
        <f aca="false">IF($A757="","",UPPER(SUBSTITUTE(SUBSTITUTE(SUBSTITUTE(SUBSTITUTE($A757," ",""),"(주)",""),"주식회사",""),"㈜","")))</f>
        <v/>
      </c>
      <c r="H757" s="10" t="str">
        <f aca="false">IF($B757="","",SUBSTITUTE(SUBSTITUTE(SUBSTITUTE($B757,"-","")," ",""),".",""))</f>
        <v/>
      </c>
      <c r="I757" s="10" t="str">
        <f aca="false">IF($D757="","",SUBSTITUTE(SUBSTITUTE(SUBSTITUTE($D757,"-","")," ",""),".",""))</f>
        <v/>
      </c>
      <c r="J757" s="10" t="str">
        <f aca="false">IF($E757="","",UPPER(SUBSTITUTE($E757," ","")))</f>
        <v/>
      </c>
      <c r="K757" s="10" t="str">
        <f aca="false">IF($A757="","",$G757&amp;"|"&amp;$J757)</f>
        <v/>
      </c>
      <c r="L757" s="10" t="str">
        <f aca="false">IF($A757="","",ROW()-2)</f>
        <v/>
      </c>
      <c r="M757" s="10" t="str">
        <f aca="false">IF($A757="","",ROW())</f>
        <v/>
      </c>
    </row>
    <row r="758" customFormat="false" ht="15" hidden="false" customHeight="true" outlineLevel="0" collapsed="false">
      <c r="A758" s="8"/>
      <c r="B758" s="8"/>
      <c r="C758" s="8"/>
      <c r="D758" s="8"/>
      <c r="E758" s="8"/>
      <c r="F758" s="8"/>
      <c r="G758" s="10" t="str">
        <f aca="false">IF($A758="","",UPPER(SUBSTITUTE(SUBSTITUTE(SUBSTITUTE(SUBSTITUTE($A758," ",""),"(주)",""),"주식회사",""),"㈜","")))</f>
        <v/>
      </c>
      <c r="H758" s="10" t="str">
        <f aca="false">IF($B758="","",SUBSTITUTE(SUBSTITUTE(SUBSTITUTE($B758,"-","")," ",""),".",""))</f>
        <v/>
      </c>
      <c r="I758" s="10" t="str">
        <f aca="false">IF($D758="","",SUBSTITUTE(SUBSTITUTE(SUBSTITUTE($D758,"-","")," ",""),".",""))</f>
        <v/>
      </c>
      <c r="J758" s="10" t="str">
        <f aca="false">IF($E758="","",UPPER(SUBSTITUTE($E758," ","")))</f>
        <v/>
      </c>
      <c r="K758" s="10" t="str">
        <f aca="false">IF($A758="","",$G758&amp;"|"&amp;$J758)</f>
        <v/>
      </c>
      <c r="L758" s="10" t="str">
        <f aca="false">IF($A758="","",ROW()-2)</f>
        <v/>
      </c>
      <c r="M758" s="10" t="str">
        <f aca="false">IF($A758="","",ROW())</f>
        <v/>
      </c>
    </row>
    <row r="759" customFormat="false" ht="15" hidden="false" customHeight="true" outlineLevel="0" collapsed="false">
      <c r="A759" s="8"/>
      <c r="B759" s="8"/>
      <c r="C759" s="8"/>
      <c r="D759" s="8"/>
      <c r="E759" s="8"/>
      <c r="F759" s="8"/>
      <c r="G759" s="10" t="str">
        <f aca="false">IF($A759="","",UPPER(SUBSTITUTE(SUBSTITUTE(SUBSTITUTE(SUBSTITUTE($A759," ",""),"(주)",""),"주식회사",""),"㈜","")))</f>
        <v/>
      </c>
      <c r="H759" s="10" t="str">
        <f aca="false">IF($B759="","",SUBSTITUTE(SUBSTITUTE(SUBSTITUTE($B759,"-","")," ",""),".",""))</f>
        <v/>
      </c>
      <c r="I759" s="10" t="str">
        <f aca="false">IF($D759="","",SUBSTITUTE(SUBSTITUTE(SUBSTITUTE($D759,"-","")," ",""),".",""))</f>
        <v/>
      </c>
      <c r="J759" s="10" t="str">
        <f aca="false">IF($E759="","",UPPER(SUBSTITUTE($E759," ","")))</f>
        <v/>
      </c>
      <c r="K759" s="10" t="str">
        <f aca="false">IF($A759="","",$G759&amp;"|"&amp;$J759)</f>
        <v/>
      </c>
      <c r="L759" s="10" t="str">
        <f aca="false">IF($A759="","",ROW()-2)</f>
        <v/>
      </c>
      <c r="M759" s="10" t="str">
        <f aca="false">IF($A759="","",ROW())</f>
        <v/>
      </c>
    </row>
    <row r="760" customFormat="false" ht="15" hidden="false" customHeight="true" outlineLevel="0" collapsed="false">
      <c r="A760" s="8"/>
      <c r="B760" s="8"/>
      <c r="C760" s="8"/>
      <c r="D760" s="8"/>
      <c r="E760" s="8"/>
      <c r="F760" s="8"/>
      <c r="G760" s="10" t="str">
        <f aca="false">IF($A760="","",UPPER(SUBSTITUTE(SUBSTITUTE(SUBSTITUTE(SUBSTITUTE($A760," ",""),"(주)",""),"주식회사",""),"㈜","")))</f>
        <v/>
      </c>
      <c r="H760" s="10" t="str">
        <f aca="false">IF($B760="","",SUBSTITUTE(SUBSTITUTE(SUBSTITUTE($B760,"-","")," ",""),".",""))</f>
        <v/>
      </c>
      <c r="I760" s="10" t="str">
        <f aca="false">IF($D760="","",SUBSTITUTE(SUBSTITUTE(SUBSTITUTE($D760,"-","")," ",""),".",""))</f>
        <v/>
      </c>
      <c r="J760" s="10" t="str">
        <f aca="false">IF($E760="","",UPPER(SUBSTITUTE($E760," ","")))</f>
        <v/>
      </c>
      <c r="K760" s="10" t="str">
        <f aca="false">IF($A760="","",$G760&amp;"|"&amp;$J760)</f>
        <v/>
      </c>
      <c r="L760" s="10" t="str">
        <f aca="false">IF($A760="","",ROW()-2)</f>
        <v/>
      </c>
      <c r="M760" s="10" t="str">
        <f aca="false">IF($A760="","",ROW())</f>
        <v/>
      </c>
    </row>
    <row r="761" customFormat="false" ht="15" hidden="false" customHeight="true" outlineLevel="0" collapsed="false">
      <c r="A761" s="8"/>
      <c r="B761" s="8"/>
      <c r="C761" s="8"/>
      <c r="D761" s="8"/>
      <c r="E761" s="8"/>
      <c r="F761" s="8"/>
      <c r="G761" s="10" t="str">
        <f aca="false">IF($A761="","",UPPER(SUBSTITUTE(SUBSTITUTE(SUBSTITUTE(SUBSTITUTE($A761," ",""),"(주)",""),"주식회사",""),"㈜","")))</f>
        <v/>
      </c>
      <c r="H761" s="10" t="str">
        <f aca="false">IF($B761="","",SUBSTITUTE(SUBSTITUTE(SUBSTITUTE($B761,"-","")," ",""),".",""))</f>
        <v/>
      </c>
      <c r="I761" s="10" t="str">
        <f aca="false">IF($D761="","",SUBSTITUTE(SUBSTITUTE(SUBSTITUTE($D761,"-","")," ",""),".",""))</f>
        <v/>
      </c>
      <c r="J761" s="10" t="str">
        <f aca="false">IF($E761="","",UPPER(SUBSTITUTE($E761," ","")))</f>
        <v/>
      </c>
      <c r="K761" s="10" t="str">
        <f aca="false">IF($A761="","",$G761&amp;"|"&amp;$J761)</f>
        <v/>
      </c>
      <c r="L761" s="10" t="str">
        <f aca="false">IF($A761="","",ROW()-2)</f>
        <v/>
      </c>
      <c r="M761" s="10" t="str">
        <f aca="false">IF($A761="","",ROW())</f>
        <v/>
      </c>
    </row>
    <row r="762" customFormat="false" ht="15" hidden="false" customHeight="true" outlineLevel="0" collapsed="false">
      <c r="A762" s="8"/>
      <c r="B762" s="8"/>
      <c r="C762" s="8"/>
      <c r="D762" s="8"/>
      <c r="E762" s="8"/>
      <c r="F762" s="8"/>
      <c r="G762" s="10" t="str">
        <f aca="false">IF($A762="","",UPPER(SUBSTITUTE(SUBSTITUTE(SUBSTITUTE(SUBSTITUTE($A762," ",""),"(주)",""),"주식회사",""),"㈜","")))</f>
        <v/>
      </c>
      <c r="H762" s="10" t="str">
        <f aca="false">IF($B762="","",SUBSTITUTE(SUBSTITUTE(SUBSTITUTE($B762,"-","")," ",""),".",""))</f>
        <v/>
      </c>
      <c r="I762" s="10" t="str">
        <f aca="false">IF($D762="","",SUBSTITUTE(SUBSTITUTE(SUBSTITUTE($D762,"-","")," ",""),".",""))</f>
        <v/>
      </c>
      <c r="J762" s="10" t="str">
        <f aca="false">IF($E762="","",UPPER(SUBSTITUTE($E762," ","")))</f>
        <v/>
      </c>
      <c r="K762" s="10" t="str">
        <f aca="false">IF($A762="","",$G762&amp;"|"&amp;$J762)</f>
        <v/>
      </c>
      <c r="L762" s="10" t="str">
        <f aca="false">IF($A762="","",ROW()-2)</f>
        <v/>
      </c>
      <c r="M762" s="10" t="str">
        <f aca="false">IF($A762="","",ROW())</f>
        <v/>
      </c>
    </row>
    <row r="763" customFormat="false" ht="15" hidden="false" customHeight="true" outlineLevel="0" collapsed="false">
      <c r="A763" s="8"/>
      <c r="B763" s="8"/>
      <c r="C763" s="8"/>
      <c r="D763" s="8"/>
      <c r="E763" s="8"/>
      <c r="F763" s="8"/>
      <c r="G763" s="10" t="str">
        <f aca="false">IF($A763="","",UPPER(SUBSTITUTE(SUBSTITUTE(SUBSTITUTE(SUBSTITUTE($A763," ",""),"(주)",""),"주식회사",""),"㈜","")))</f>
        <v/>
      </c>
      <c r="H763" s="10" t="str">
        <f aca="false">IF($B763="","",SUBSTITUTE(SUBSTITUTE(SUBSTITUTE($B763,"-","")," ",""),".",""))</f>
        <v/>
      </c>
      <c r="I763" s="10" t="str">
        <f aca="false">IF($D763="","",SUBSTITUTE(SUBSTITUTE(SUBSTITUTE($D763,"-","")," ",""),".",""))</f>
        <v/>
      </c>
      <c r="J763" s="10" t="str">
        <f aca="false">IF($E763="","",UPPER(SUBSTITUTE($E763," ","")))</f>
        <v/>
      </c>
      <c r="K763" s="10" t="str">
        <f aca="false">IF($A763="","",$G763&amp;"|"&amp;$J763)</f>
        <v/>
      </c>
      <c r="L763" s="10" t="str">
        <f aca="false">IF($A763="","",ROW()-2)</f>
        <v/>
      </c>
      <c r="M763" s="10" t="str">
        <f aca="false">IF($A763="","",ROW())</f>
        <v/>
      </c>
    </row>
    <row r="764" customFormat="false" ht="15" hidden="false" customHeight="true" outlineLevel="0" collapsed="false">
      <c r="A764" s="8"/>
      <c r="B764" s="8"/>
      <c r="C764" s="8"/>
      <c r="D764" s="8"/>
      <c r="E764" s="8"/>
      <c r="F764" s="8"/>
      <c r="G764" s="10" t="str">
        <f aca="false">IF($A764="","",UPPER(SUBSTITUTE(SUBSTITUTE(SUBSTITUTE(SUBSTITUTE($A764," ",""),"(주)",""),"주식회사",""),"㈜","")))</f>
        <v/>
      </c>
      <c r="H764" s="10" t="str">
        <f aca="false">IF($B764="","",SUBSTITUTE(SUBSTITUTE(SUBSTITUTE($B764,"-","")," ",""),".",""))</f>
        <v/>
      </c>
      <c r="I764" s="10" t="str">
        <f aca="false">IF($D764="","",SUBSTITUTE(SUBSTITUTE(SUBSTITUTE($D764,"-","")," ",""),".",""))</f>
        <v/>
      </c>
      <c r="J764" s="10" t="str">
        <f aca="false">IF($E764="","",UPPER(SUBSTITUTE($E764," ","")))</f>
        <v/>
      </c>
      <c r="K764" s="10" t="str">
        <f aca="false">IF($A764="","",$G764&amp;"|"&amp;$J764)</f>
        <v/>
      </c>
      <c r="L764" s="10" t="str">
        <f aca="false">IF($A764="","",ROW()-2)</f>
        <v/>
      </c>
      <c r="M764" s="10" t="str">
        <f aca="false">IF($A764="","",ROW())</f>
        <v/>
      </c>
    </row>
    <row r="765" customFormat="false" ht="15" hidden="false" customHeight="true" outlineLevel="0" collapsed="false">
      <c r="A765" s="8"/>
      <c r="B765" s="8"/>
      <c r="C765" s="8"/>
      <c r="D765" s="8"/>
      <c r="E765" s="8"/>
      <c r="F765" s="8"/>
      <c r="G765" s="10" t="str">
        <f aca="false">IF($A765="","",UPPER(SUBSTITUTE(SUBSTITUTE(SUBSTITUTE(SUBSTITUTE($A765," ",""),"(주)",""),"주식회사",""),"㈜","")))</f>
        <v/>
      </c>
      <c r="H765" s="10" t="str">
        <f aca="false">IF($B765="","",SUBSTITUTE(SUBSTITUTE(SUBSTITUTE($B765,"-","")," ",""),".",""))</f>
        <v/>
      </c>
      <c r="I765" s="10" t="str">
        <f aca="false">IF($D765="","",SUBSTITUTE(SUBSTITUTE(SUBSTITUTE($D765,"-","")," ",""),".",""))</f>
        <v/>
      </c>
      <c r="J765" s="10" t="str">
        <f aca="false">IF($E765="","",UPPER(SUBSTITUTE($E765," ","")))</f>
        <v/>
      </c>
      <c r="K765" s="10" t="str">
        <f aca="false">IF($A765="","",$G765&amp;"|"&amp;$J765)</f>
        <v/>
      </c>
      <c r="L765" s="10" t="str">
        <f aca="false">IF($A765="","",ROW()-2)</f>
        <v/>
      </c>
      <c r="M765" s="10" t="str">
        <f aca="false">IF($A765="","",ROW())</f>
        <v/>
      </c>
    </row>
    <row r="766" customFormat="false" ht="15" hidden="false" customHeight="true" outlineLevel="0" collapsed="false">
      <c r="A766" s="8"/>
      <c r="B766" s="8"/>
      <c r="C766" s="8"/>
      <c r="D766" s="8"/>
      <c r="E766" s="8"/>
      <c r="F766" s="8"/>
      <c r="G766" s="10" t="str">
        <f aca="false">IF($A766="","",UPPER(SUBSTITUTE(SUBSTITUTE(SUBSTITUTE(SUBSTITUTE($A766," ",""),"(주)",""),"주식회사",""),"㈜","")))</f>
        <v/>
      </c>
      <c r="H766" s="10" t="str">
        <f aca="false">IF($B766="","",SUBSTITUTE(SUBSTITUTE(SUBSTITUTE($B766,"-","")," ",""),".",""))</f>
        <v/>
      </c>
      <c r="I766" s="10" t="str">
        <f aca="false">IF($D766="","",SUBSTITUTE(SUBSTITUTE(SUBSTITUTE($D766,"-","")," ",""),".",""))</f>
        <v/>
      </c>
      <c r="J766" s="10" t="str">
        <f aca="false">IF($E766="","",UPPER(SUBSTITUTE($E766," ","")))</f>
        <v/>
      </c>
      <c r="K766" s="10" t="str">
        <f aca="false">IF($A766="","",$G766&amp;"|"&amp;$J766)</f>
        <v/>
      </c>
      <c r="L766" s="10" t="str">
        <f aca="false">IF($A766="","",ROW()-2)</f>
        <v/>
      </c>
      <c r="M766" s="10" t="str">
        <f aca="false">IF($A766="","",ROW())</f>
        <v/>
      </c>
    </row>
    <row r="767" customFormat="false" ht="15" hidden="false" customHeight="true" outlineLevel="0" collapsed="false">
      <c r="A767" s="8"/>
      <c r="B767" s="8"/>
      <c r="C767" s="8"/>
      <c r="D767" s="8"/>
      <c r="E767" s="8"/>
      <c r="F767" s="8"/>
      <c r="G767" s="10" t="str">
        <f aca="false">IF($A767="","",UPPER(SUBSTITUTE(SUBSTITUTE(SUBSTITUTE(SUBSTITUTE($A767," ",""),"(주)",""),"주식회사",""),"㈜","")))</f>
        <v/>
      </c>
      <c r="H767" s="10" t="str">
        <f aca="false">IF($B767="","",SUBSTITUTE(SUBSTITUTE(SUBSTITUTE($B767,"-","")," ",""),".",""))</f>
        <v/>
      </c>
      <c r="I767" s="10" t="str">
        <f aca="false">IF($D767="","",SUBSTITUTE(SUBSTITUTE(SUBSTITUTE($D767,"-","")," ",""),".",""))</f>
        <v/>
      </c>
      <c r="J767" s="10" t="str">
        <f aca="false">IF($E767="","",UPPER(SUBSTITUTE($E767," ","")))</f>
        <v/>
      </c>
      <c r="K767" s="10" t="str">
        <f aca="false">IF($A767="","",$G767&amp;"|"&amp;$J767)</f>
        <v/>
      </c>
      <c r="L767" s="10" t="str">
        <f aca="false">IF($A767="","",ROW()-2)</f>
        <v/>
      </c>
      <c r="M767" s="10" t="str">
        <f aca="false">IF($A767="","",ROW())</f>
        <v/>
      </c>
    </row>
    <row r="768" customFormat="false" ht="15" hidden="false" customHeight="true" outlineLevel="0" collapsed="false">
      <c r="A768" s="8"/>
      <c r="B768" s="8"/>
      <c r="C768" s="8"/>
      <c r="D768" s="8"/>
      <c r="E768" s="8"/>
      <c r="F768" s="8"/>
      <c r="G768" s="10" t="str">
        <f aca="false">IF($A768="","",UPPER(SUBSTITUTE(SUBSTITUTE(SUBSTITUTE(SUBSTITUTE($A768," ",""),"(주)",""),"주식회사",""),"㈜","")))</f>
        <v/>
      </c>
      <c r="H768" s="10" t="str">
        <f aca="false">IF($B768="","",SUBSTITUTE(SUBSTITUTE(SUBSTITUTE($B768,"-","")," ",""),".",""))</f>
        <v/>
      </c>
      <c r="I768" s="10" t="str">
        <f aca="false">IF($D768="","",SUBSTITUTE(SUBSTITUTE(SUBSTITUTE($D768,"-","")," ",""),".",""))</f>
        <v/>
      </c>
      <c r="J768" s="10" t="str">
        <f aca="false">IF($E768="","",UPPER(SUBSTITUTE($E768," ","")))</f>
        <v/>
      </c>
      <c r="K768" s="10" t="str">
        <f aca="false">IF($A768="","",$G768&amp;"|"&amp;$J768)</f>
        <v/>
      </c>
      <c r="L768" s="10" t="str">
        <f aca="false">IF($A768="","",ROW()-2)</f>
        <v/>
      </c>
      <c r="M768" s="10" t="str">
        <f aca="false">IF($A768="","",ROW())</f>
        <v/>
      </c>
    </row>
    <row r="769" customFormat="false" ht="15" hidden="false" customHeight="true" outlineLevel="0" collapsed="false">
      <c r="A769" s="8"/>
      <c r="B769" s="8"/>
      <c r="C769" s="8"/>
      <c r="D769" s="8"/>
      <c r="E769" s="8"/>
      <c r="F769" s="8"/>
      <c r="G769" s="10" t="str">
        <f aca="false">IF($A769="","",UPPER(SUBSTITUTE(SUBSTITUTE(SUBSTITUTE(SUBSTITUTE($A769," ",""),"(주)",""),"주식회사",""),"㈜","")))</f>
        <v/>
      </c>
      <c r="H769" s="10" t="str">
        <f aca="false">IF($B769="","",SUBSTITUTE(SUBSTITUTE(SUBSTITUTE($B769,"-","")," ",""),".",""))</f>
        <v/>
      </c>
      <c r="I769" s="10" t="str">
        <f aca="false">IF($D769="","",SUBSTITUTE(SUBSTITUTE(SUBSTITUTE($D769,"-","")," ",""),".",""))</f>
        <v/>
      </c>
      <c r="J769" s="10" t="str">
        <f aca="false">IF($E769="","",UPPER(SUBSTITUTE($E769," ","")))</f>
        <v/>
      </c>
      <c r="K769" s="10" t="str">
        <f aca="false">IF($A769="","",$G769&amp;"|"&amp;$J769)</f>
        <v/>
      </c>
      <c r="L769" s="10" t="str">
        <f aca="false">IF($A769="","",ROW()-2)</f>
        <v/>
      </c>
      <c r="M769" s="10" t="str">
        <f aca="false">IF($A769="","",ROW())</f>
        <v/>
      </c>
    </row>
    <row r="770" customFormat="false" ht="15" hidden="false" customHeight="true" outlineLevel="0" collapsed="false">
      <c r="A770" s="8"/>
      <c r="B770" s="8"/>
      <c r="C770" s="8"/>
      <c r="D770" s="8"/>
      <c r="E770" s="8"/>
      <c r="F770" s="8"/>
      <c r="G770" s="10" t="str">
        <f aca="false">IF($A770="","",UPPER(SUBSTITUTE(SUBSTITUTE(SUBSTITUTE(SUBSTITUTE($A770," ",""),"(주)",""),"주식회사",""),"㈜","")))</f>
        <v/>
      </c>
      <c r="H770" s="10" t="str">
        <f aca="false">IF($B770="","",SUBSTITUTE(SUBSTITUTE(SUBSTITUTE($B770,"-","")," ",""),".",""))</f>
        <v/>
      </c>
      <c r="I770" s="10" t="str">
        <f aca="false">IF($D770="","",SUBSTITUTE(SUBSTITUTE(SUBSTITUTE($D770,"-","")," ",""),".",""))</f>
        <v/>
      </c>
      <c r="J770" s="10" t="str">
        <f aca="false">IF($E770="","",UPPER(SUBSTITUTE($E770," ","")))</f>
        <v/>
      </c>
      <c r="K770" s="10" t="str">
        <f aca="false">IF($A770="","",$G770&amp;"|"&amp;$J770)</f>
        <v/>
      </c>
      <c r="L770" s="10" t="str">
        <f aca="false">IF($A770="","",ROW()-2)</f>
        <v/>
      </c>
      <c r="M770" s="10" t="str">
        <f aca="false">IF($A770="","",ROW())</f>
        <v/>
      </c>
    </row>
    <row r="771" customFormat="false" ht="15" hidden="false" customHeight="true" outlineLevel="0" collapsed="false">
      <c r="A771" s="8"/>
      <c r="B771" s="8"/>
      <c r="C771" s="8"/>
      <c r="D771" s="8"/>
      <c r="E771" s="8"/>
      <c r="F771" s="8"/>
      <c r="G771" s="10" t="str">
        <f aca="false">IF($A771="","",UPPER(SUBSTITUTE(SUBSTITUTE(SUBSTITUTE(SUBSTITUTE($A771," ",""),"(주)",""),"주식회사",""),"㈜","")))</f>
        <v/>
      </c>
      <c r="H771" s="10" t="str">
        <f aca="false">IF($B771="","",SUBSTITUTE(SUBSTITUTE(SUBSTITUTE($B771,"-","")," ",""),".",""))</f>
        <v/>
      </c>
      <c r="I771" s="10" t="str">
        <f aca="false">IF($D771="","",SUBSTITUTE(SUBSTITUTE(SUBSTITUTE($D771,"-","")," ",""),".",""))</f>
        <v/>
      </c>
      <c r="J771" s="10" t="str">
        <f aca="false">IF($E771="","",UPPER(SUBSTITUTE($E771," ","")))</f>
        <v/>
      </c>
      <c r="K771" s="10" t="str">
        <f aca="false">IF($A771="","",$G771&amp;"|"&amp;$J771)</f>
        <v/>
      </c>
      <c r="L771" s="10" t="str">
        <f aca="false">IF($A771="","",ROW()-2)</f>
        <v/>
      </c>
      <c r="M771" s="10" t="str">
        <f aca="false">IF($A771="","",ROW())</f>
        <v/>
      </c>
    </row>
    <row r="772" customFormat="false" ht="15" hidden="false" customHeight="true" outlineLevel="0" collapsed="false">
      <c r="A772" s="8"/>
      <c r="B772" s="8"/>
      <c r="C772" s="8"/>
      <c r="D772" s="8"/>
      <c r="E772" s="8"/>
      <c r="F772" s="8"/>
      <c r="G772" s="10" t="str">
        <f aca="false">IF($A772="","",UPPER(SUBSTITUTE(SUBSTITUTE(SUBSTITUTE(SUBSTITUTE($A772," ",""),"(주)",""),"주식회사",""),"㈜","")))</f>
        <v/>
      </c>
      <c r="H772" s="10" t="str">
        <f aca="false">IF($B772="","",SUBSTITUTE(SUBSTITUTE(SUBSTITUTE($B772,"-","")," ",""),".",""))</f>
        <v/>
      </c>
      <c r="I772" s="10" t="str">
        <f aca="false">IF($D772="","",SUBSTITUTE(SUBSTITUTE(SUBSTITUTE($D772,"-","")," ",""),".",""))</f>
        <v/>
      </c>
      <c r="J772" s="10" t="str">
        <f aca="false">IF($E772="","",UPPER(SUBSTITUTE($E772," ","")))</f>
        <v/>
      </c>
      <c r="K772" s="10" t="str">
        <f aca="false">IF($A772="","",$G772&amp;"|"&amp;$J772)</f>
        <v/>
      </c>
      <c r="L772" s="10" t="str">
        <f aca="false">IF($A772="","",ROW()-2)</f>
        <v/>
      </c>
      <c r="M772" s="10" t="str">
        <f aca="false">IF($A772="","",ROW())</f>
        <v/>
      </c>
    </row>
    <row r="773" customFormat="false" ht="15" hidden="false" customHeight="true" outlineLevel="0" collapsed="false">
      <c r="A773" s="8"/>
      <c r="B773" s="8"/>
      <c r="C773" s="8"/>
      <c r="D773" s="8"/>
      <c r="E773" s="8"/>
      <c r="F773" s="8"/>
      <c r="G773" s="10" t="str">
        <f aca="false">IF($A773="","",UPPER(SUBSTITUTE(SUBSTITUTE(SUBSTITUTE(SUBSTITUTE($A773," ",""),"(주)",""),"주식회사",""),"㈜","")))</f>
        <v/>
      </c>
      <c r="H773" s="10" t="str">
        <f aca="false">IF($B773="","",SUBSTITUTE(SUBSTITUTE(SUBSTITUTE($B773,"-","")," ",""),".",""))</f>
        <v/>
      </c>
      <c r="I773" s="10" t="str">
        <f aca="false">IF($D773="","",SUBSTITUTE(SUBSTITUTE(SUBSTITUTE($D773,"-","")," ",""),".",""))</f>
        <v/>
      </c>
      <c r="J773" s="10" t="str">
        <f aca="false">IF($E773="","",UPPER(SUBSTITUTE($E773," ","")))</f>
        <v/>
      </c>
      <c r="K773" s="10" t="str">
        <f aca="false">IF($A773="","",$G773&amp;"|"&amp;$J773)</f>
        <v/>
      </c>
      <c r="L773" s="10" t="str">
        <f aca="false">IF($A773="","",ROW()-2)</f>
        <v/>
      </c>
      <c r="M773" s="10" t="str">
        <f aca="false">IF($A773="","",ROW())</f>
        <v/>
      </c>
    </row>
    <row r="774" customFormat="false" ht="15" hidden="false" customHeight="true" outlineLevel="0" collapsed="false">
      <c r="A774" s="8"/>
      <c r="B774" s="8"/>
      <c r="C774" s="8"/>
      <c r="D774" s="8"/>
      <c r="E774" s="8"/>
      <c r="F774" s="8"/>
      <c r="G774" s="10" t="str">
        <f aca="false">IF($A774="","",UPPER(SUBSTITUTE(SUBSTITUTE(SUBSTITUTE(SUBSTITUTE($A774," ",""),"(주)",""),"주식회사",""),"㈜","")))</f>
        <v/>
      </c>
      <c r="H774" s="10" t="str">
        <f aca="false">IF($B774="","",SUBSTITUTE(SUBSTITUTE(SUBSTITUTE($B774,"-","")," ",""),".",""))</f>
        <v/>
      </c>
      <c r="I774" s="10" t="str">
        <f aca="false">IF($D774="","",SUBSTITUTE(SUBSTITUTE(SUBSTITUTE($D774,"-","")," ",""),".",""))</f>
        <v/>
      </c>
      <c r="J774" s="10" t="str">
        <f aca="false">IF($E774="","",UPPER(SUBSTITUTE($E774," ","")))</f>
        <v/>
      </c>
      <c r="K774" s="10" t="str">
        <f aca="false">IF($A774="","",$G774&amp;"|"&amp;$J774)</f>
        <v/>
      </c>
      <c r="L774" s="10" t="str">
        <f aca="false">IF($A774="","",ROW()-2)</f>
        <v/>
      </c>
      <c r="M774" s="10" t="str">
        <f aca="false">IF($A774="","",ROW())</f>
        <v/>
      </c>
    </row>
    <row r="775" customFormat="false" ht="15" hidden="false" customHeight="true" outlineLevel="0" collapsed="false">
      <c r="A775" s="8"/>
      <c r="B775" s="8"/>
      <c r="C775" s="8"/>
      <c r="D775" s="8"/>
      <c r="E775" s="8"/>
      <c r="F775" s="8"/>
      <c r="G775" s="10" t="str">
        <f aca="false">IF($A775="","",UPPER(SUBSTITUTE(SUBSTITUTE(SUBSTITUTE(SUBSTITUTE($A775," ",""),"(주)",""),"주식회사",""),"㈜","")))</f>
        <v/>
      </c>
      <c r="H775" s="10" t="str">
        <f aca="false">IF($B775="","",SUBSTITUTE(SUBSTITUTE(SUBSTITUTE($B775,"-","")," ",""),".",""))</f>
        <v/>
      </c>
      <c r="I775" s="10" t="str">
        <f aca="false">IF($D775="","",SUBSTITUTE(SUBSTITUTE(SUBSTITUTE($D775,"-","")," ",""),".",""))</f>
        <v/>
      </c>
      <c r="J775" s="10" t="str">
        <f aca="false">IF($E775="","",UPPER(SUBSTITUTE($E775," ","")))</f>
        <v/>
      </c>
      <c r="K775" s="10" t="str">
        <f aca="false">IF($A775="","",$G775&amp;"|"&amp;$J775)</f>
        <v/>
      </c>
      <c r="L775" s="10" t="str">
        <f aca="false">IF($A775="","",ROW()-2)</f>
        <v/>
      </c>
      <c r="M775" s="10" t="str">
        <f aca="false">IF($A775="","",ROW())</f>
        <v/>
      </c>
    </row>
    <row r="776" customFormat="false" ht="15" hidden="false" customHeight="true" outlineLevel="0" collapsed="false">
      <c r="A776" s="8"/>
      <c r="B776" s="8"/>
      <c r="C776" s="8"/>
      <c r="D776" s="8"/>
      <c r="E776" s="8"/>
      <c r="F776" s="8"/>
      <c r="G776" s="10" t="str">
        <f aca="false">IF($A776="","",UPPER(SUBSTITUTE(SUBSTITUTE(SUBSTITUTE(SUBSTITUTE($A776," ",""),"(주)",""),"주식회사",""),"㈜","")))</f>
        <v/>
      </c>
      <c r="H776" s="10" t="str">
        <f aca="false">IF($B776="","",SUBSTITUTE(SUBSTITUTE(SUBSTITUTE($B776,"-","")," ",""),".",""))</f>
        <v/>
      </c>
      <c r="I776" s="10" t="str">
        <f aca="false">IF($D776="","",SUBSTITUTE(SUBSTITUTE(SUBSTITUTE($D776,"-","")," ",""),".",""))</f>
        <v/>
      </c>
      <c r="J776" s="10" t="str">
        <f aca="false">IF($E776="","",UPPER(SUBSTITUTE($E776," ","")))</f>
        <v/>
      </c>
      <c r="K776" s="10" t="str">
        <f aca="false">IF($A776="","",$G776&amp;"|"&amp;$J776)</f>
        <v/>
      </c>
      <c r="L776" s="10" t="str">
        <f aca="false">IF($A776="","",ROW()-2)</f>
        <v/>
      </c>
      <c r="M776" s="10" t="str">
        <f aca="false">IF($A776="","",ROW())</f>
        <v/>
      </c>
    </row>
    <row r="777" customFormat="false" ht="15" hidden="false" customHeight="true" outlineLevel="0" collapsed="false">
      <c r="A777" s="8"/>
      <c r="B777" s="8"/>
      <c r="C777" s="8"/>
      <c r="D777" s="8"/>
      <c r="E777" s="8"/>
      <c r="F777" s="8"/>
      <c r="G777" s="10" t="str">
        <f aca="false">IF($A777="","",UPPER(SUBSTITUTE(SUBSTITUTE(SUBSTITUTE(SUBSTITUTE($A777," ",""),"(주)",""),"주식회사",""),"㈜","")))</f>
        <v/>
      </c>
      <c r="H777" s="10" t="str">
        <f aca="false">IF($B777="","",SUBSTITUTE(SUBSTITUTE(SUBSTITUTE($B777,"-","")," ",""),".",""))</f>
        <v/>
      </c>
      <c r="I777" s="10" t="str">
        <f aca="false">IF($D777="","",SUBSTITUTE(SUBSTITUTE(SUBSTITUTE($D777,"-","")," ",""),".",""))</f>
        <v/>
      </c>
      <c r="J777" s="10" t="str">
        <f aca="false">IF($E777="","",UPPER(SUBSTITUTE($E777," ","")))</f>
        <v/>
      </c>
      <c r="K777" s="10" t="str">
        <f aca="false">IF($A777="","",$G777&amp;"|"&amp;$J777)</f>
        <v/>
      </c>
      <c r="L777" s="10" t="str">
        <f aca="false">IF($A777="","",ROW()-2)</f>
        <v/>
      </c>
      <c r="M777" s="10" t="str">
        <f aca="false">IF($A777="","",ROW())</f>
        <v/>
      </c>
    </row>
    <row r="778" customFormat="false" ht="15" hidden="false" customHeight="true" outlineLevel="0" collapsed="false">
      <c r="A778" s="8"/>
      <c r="B778" s="8"/>
      <c r="C778" s="8"/>
      <c r="D778" s="8"/>
      <c r="E778" s="8"/>
      <c r="F778" s="8"/>
      <c r="G778" s="10" t="str">
        <f aca="false">IF($A778="","",UPPER(SUBSTITUTE(SUBSTITUTE(SUBSTITUTE(SUBSTITUTE($A778," ",""),"(주)",""),"주식회사",""),"㈜","")))</f>
        <v/>
      </c>
      <c r="H778" s="10" t="str">
        <f aca="false">IF($B778="","",SUBSTITUTE(SUBSTITUTE(SUBSTITUTE($B778,"-","")," ",""),".",""))</f>
        <v/>
      </c>
      <c r="I778" s="10" t="str">
        <f aca="false">IF($D778="","",SUBSTITUTE(SUBSTITUTE(SUBSTITUTE($D778,"-","")," ",""),".",""))</f>
        <v/>
      </c>
      <c r="J778" s="10" t="str">
        <f aca="false">IF($E778="","",UPPER(SUBSTITUTE($E778," ","")))</f>
        <v/>
      </c>
      <c r="K778" s="10" t="str">
        <f aca="false">IF($A778="","",$G778&amp;"|"&amp;$J778)</f>
        <v/>
      </c>
      <c r="L778" s="10" t="str">
        <f aca="false">IF($A778="","",ROW()-2)</f>
        <v/>
      </c>
      <c r="M778" s="10" t="str">
        <f aca="false">IF($A778="","",ROW())</f>
        <v/>
      </c>
    </row>
    <row r="779" customFormat="false" ht="15" hidden="false" customHeight="true" outlineLevel="0" collapsed="false">
      <c r="A779" s="8"/>
      <c r="B779" s="8"/>
      <c r="C779" s="8"/>
      <c r="D779" s="8"/>
      <c r="E779" s="8"/>
      <c r="F779" s="8"/>
      <c r="G779" s="10" t="str">
        <f aca="false">IF($A779="","",UPPER(SUBSTITUTE(SUBSTITUTE(SUBSTITUTE(SUBSTITUTE($A779," ",""),"(주)",""),"주식회사",""),"㈜","")))</f>
        <v/>
      </c>
      <c r="H779" s="10" t="str">
        <f aca="false">IF($B779="","",SUBSTITUTE(SUBSTITUTE(SUBSTITUTE($B779,"-","")," ",""),".",""))</f>
        <v/>
      </c>
      <c r="I779" s="10" t="str">
        <f aca="false">IF($D779="","",SUBSTITUTE(SUBSTITUTE(SUBSTITUTE($D779,"-","")," ",""),".",""))</f>
        <v/>
      </c>
      <c r="J779" s="10" t="str">
        <f aca="false">IF($E779="","",UPPER(SUBSTITUTE($E779," ","")))</f>
        <v/>
      </c>
      <c r="K779" s="10" t="str">
        <f aca="false">IF($A779="","",$G779&amp;"|"&amp;$J779)</f>
        <v/>
      </c>
      <c r="L779" s="10" t="str">
        <f aca="false">IF($A779="","",ROW()-2)</f>
        <v/>
      </c>
      <c r="M779" s="10" t="str">
        <f aca="false">IF($A779="","",ROW())</f>
        <v/>
      </c>
    </row>
    <row r="780" customFormat="false" ht="15" hidden="false" customHeight="true" outlineLevel="0" collapsed="false">
      <c r="A780" s="8"/>
      <c r="B780" s="8"/>
      <c r="C780" s="8"/>
      <c r="D780" s="8"/>
      <c r="E780" s="8"/>
      <c r="F780" s="8"/>
      <c r="G780" s="10" t="str">
        <f aca="false">IF($A780="","",UPPER(SUBSTITUTE(SUBSTITUTE(SUBSTITUTE(SUBSTITUTE($A780," ",""),"(주)",""),"주식회사",""),"㈜","")))</f>
        <v/>
      </c>
      <c r="H780" s="10" t="str">
        <f aca="false">IF($B780="","",SUBSTITUTE(SUBSTITUTE(SUBSTITUTE($B780,"-","")," ",""),".",""))</f>
        <v/>
      </c>
      <c r="I780" s="10" t="str">
        <f aca="false">IF($D780="","",SUBSTITUTE(SUBSTITUTE(SUBSTITUTE($D780,"-","")," ",""),".",""))</f>
        <v/>
      </c>
      <c r="J780" s="10" t="str">
        <f aca="false">IF($E780="","",UPPER(SUBSTITUTE($E780," ","")))</f>
        <v/>
      </c>
      <c r="K780" s="10" t="str">
        <f aca="false">IF($A780="","",$G780&amp;"|"&amp;$J780)</f>
        <v/>
      </c>
      <c r="L780" s="10" t="str">
        <f aca="false">IF($A780="","",ROW()-2)</f>
        <v/>
      </c>
      <c r="M780" s="10" t="str">
        <f aca="false">IF($A780="","",ROW())</f>
        <v/>
      </c>
    </row>
    <row r="781" customFormat="false" ht="15" hidden="false" customHeight="true" outlineLevel="0" collapsed="false">
      <c r="A781" s="8"/>
      <c r="B781" s="8"/>
      <c r="C781" s="8"/>
      <c r="D781" s="8"/>
      <c r="E781" s="8"/>
      <c r="F781" s="8"/>
      <c r="G781" s="10" t="str">
        <f aca="false">IF($A781="","",UPPER(SUBSTITUTE(SUBSTITUTE(SUBSTITUTE(SUBSTITUTE($A781," ",""),"(주)",""),"주식회사",""),"㈜","")))</f>
        <v/>
      </c>
      <c r="H781" s="10" t="str">
        <f aca="false">IF($B781="","",SUBSTITUTE(SUBSTITUTE(SUBSTITUTE($B781,"-","")," ",""),".",""))</f>
        <v/>
      </c>
      <c r="I781" s="10" t="str">
        <f aca="false">IF($D781="","",SUBSTITUTE(SUBSTITUTE(SUBSTITUTE($D781,"-","")," ",""),".",""))</f>
        <v/>
      </c>
      <c r="J781" s="10" t="str">
        <f aca="false">IF($E781="","",UPPER(SUBSTITUTE($E781," ","")))</f>
        <v/>
      </c>
      <c r="K781" s="10" t="str">
        <f aca="false">IF($A781="","",$G781&amp;"|"&amp;$J781)</f>
        <v/>
      </c>
      <c r="L781" s="10" t="str">
        <f aca="false">IF($A781="","",ROW()-2)</f>
        <v/>
      </c>
      <c r="M781" s="10" t="str">
        <f aca="false">IF($A781="","",ROW())</f>
        <v/>
      </c>
    </row>
    <row r="782" customFormat="false" ht="15" hidden="false" customHeight="true" outlineLevel="0" collapsed="false">
      <c r="A782" s="8"/>
      <c r="B782" s="8"/>
      <c r="C782" s="8"/>
      <c r="D782" s="8"/>
      <c r="E782" s="8"/>
      <c r="F782" s="8"/>
      <c r="G782" s="10" t="str">
        <f aca="false">IF($A782="","",UPPER(SUBSTITUTE(SUBSTITUTE(SUBSTITUTE(SUBSTITUTE($A782," ",""),"(주)",""),"주식회사",""),"㈜","")))</f>
        <v/>
      </c>
      <c r="H782" s="10" t="str">
        <f aca="false">IF($B782="","",SUBSTITUTE(SUBSTITUTE(SUBSTITUTE($B782,"-","")," ",""),".",""))</f>
        <v/>
      </c>
      <c r="I782" s="10" t="str">
        <f aca="false">IF($D782="","",SUBSTITUTE(SUBSTITUTE(SUBSTITUTE($D782,"-","")," ",""),".",""))</f>
        <v/>
      </c>
      <c r="J782" s="10" t="str">
        <f aca="false">IF($E782="","",UPPER(SUBSTITUTE($E782," ","")))</f>
        <v/>
      </c>
      <c r="K782" s="10" t="str">
        <f aca="false">IF($A782="","",$G782&amp;"|"&amp;$J782)</f>
        <v/>
      </c>
      <c r="L782" s="10" t="str">
        <f aca="false">IF($A782="","",ROW()-2)</f>
        <v/>
      </c>
      <c r="M782" s="10" t="str">
        <f aca="false">IF($A782="","",ROW())</f>
        <v/>
      </c>
    </row>
    <row r="783" customFormat="false" ht="15" hidden="false" customHeight="true" outlineLevel="0" collapsed="false">
      <c r="A783" s="8"/>
      <c r="B783" s="8"/>
      <c r="C783" s="8"/>
      <c r="D783" s="8"/>
      <c r="E783" s="8"/>
      <c r="F783" s="8"/>
      <c r="G783" s="10" t="str">
        <f aca="false">IF($A783="","",UPPER(SUBSTITUTE(SUBSTITUTE(SUBSTITUTE(SUBSTITUTE($A783," ",""),"(주)",""),"주식회사",""),"㈜","")))</f>
        <v/>
      </c>
      <c r="H783" s="10" t="str">
        <f aca="false">IF($B783="","",SUBSTITUTE(SUBSTITUTE(SUBSTITUTE($B783,"-","")," ",""),".",""))</f>
        <v/>
      </c>
      <c r="I783" s="10" t="str">
        <f aca="false">IF($D783="","",SUBSTITUTE(SUBSTITUTE(SUBSTITUTE($D783,"-","")," ",""),".",""))</f>
        <v/>
      </c>
      <c r="J783" s="10" t="str">
        <f aca="false">IF($E783="","",UPPER(SUBSTITUTE($E783," ","")))</f>
        <v/>
      </c>
      <c r="K783" s="10" t="str">
        <f aca="false">IF($A783="","",$G783&amp;"|"&amp;$J783)</f>
        <v/>
      </c>
      <c r="L783" s="10" t="str">
        <f aca="false">IF($A783="","",ROW()-2)</f>
        <v/>
      </c>
      <c r="M783" s="10" t="str">
        <f aca="false">IF($A783="","",ROW())</f>
        <v/>
      </c>
    </row>
    <row r="784" customFormat="false" ht="15" hidden="false" customHeight="true" outlineLevel="0" collapsed="false">
      <c r="A784" s="8"/>
      <c r="B784" s="8"/>
      <c r="C784" s="8"/>
      <c r="D784" s="8"/>
      <c r="E784" s="8"/>
      <c r="F784" s="8"/>
      <c r="G784" s="10" t="str">
        <f aca="false">IF($A784="","",UPPER(SUBSTITUTE(SUBSTITUTE(SUBSTITUTE(SUBSTITUTE($A784," ",""),"(주)",""),"주식회사",""),"㈜","")))</f>
        <v/>
      </c>
      <c r="H784" s="10" t="str">
        <f aca="false">IF($B784="","",SUBSTITUTE(SUBSTITUTE(SUBSTITUTE($B784,"-","")," ",""),".",""))</f>
        <v/>
      </c>
      <c r="I784" s="10" t="str">
        <f aca="false">IF($D784="","",SUBSTITUTE(SUBSTITUTE(SUBSTITUTE($D784,"-","")," ",""),".",""))</f>
        <v/>
      </c>
      <c r="J784" s="10" t="str">
        <f aca="false">IF($E784="","",UPPER(SUBSTITUTE($E784," ","")))</f>
        <v/>
      </c>
      <c r="K784" s="10" t="str">
        <f aca="false">IF($A784="","",$G784&amp;"|"&amp;$J784)</f>
        <v/>
      </c>
      <c r="L784" s="10" t="str">
        <f aca="false">IF($A784="","",ROW()-2)</f>
        <v/>
      </c>
      <c r="M784" s="10" t="str">
        <f aca="false">IF($A784="","",ROW())</f>
        <v/>
      </c>
    </row>
    <row r="785" customFormat="false" ht="15" hidden="false" customHeight="true" outlineLevel="0" collapsed="false">
      <c r="A785" s="8"/>
      <c r="B785" s="8"/>
      <c r="C785" s="8"/>
      <c r="D785" s="8"/>
      <c r="E785" s="8"/>
      <c r="F785" s="8"/>
      <c r="G785" s="10" t="str">
        <f aca="false">IF($A785="","",UPPER(SUBSTITUTE(SUBSTITUTE(SUBSTITUTE(SUBSTITUTE($A785," ",""),"(주)",""),"주식회사",""),"㈜","")))</f>
        <v/>
      </c>
      <c r="H785" s="10" t="str">
        <f aca="false">IF($B785="","",SUBSTITUTE(SUBSTITUTE(SUBSTITUTE($B785,"-","")," ",""),".",""))</f>
        <v/>
      </c>
      <c r="I785" s="10" t="str">
        <f aca="false">IF($D785="","",SUBSTITUTE(SUBSTITUTE(SUBSTITUTE($D785,"-","")," ",""),".",""))</f>
        <v/>
      </c>
      <c r="J785" s="10" t="str">
        <f aca="false">IF($E785="","",UPPER(SUBSTITUTE($E785," ","")))</f>
        <v/>
      </c>
      <c r="K785" s="10" t="str">
        <f aca="false">IF($A785="","",$G785&amp;"|"&amp;$J785)</f>
        <v/>
      </c>
      <c r="L785" s="10" t="str">
        <f aca="false">IF($A785="","",ROW()-2)</f>
        <v/>
      </c>
      <c r="M785" s="10" t="str">
        <f aca="false">IF($A785="","",ROW())</f>
        <v/>
      </c>
    </row>
    <row r="786" customFormat="false" ht="15" hidden="false" customHeight="true" outlineLevel="0" collapsed="false">
      <c r="A786" s="8"/>
      <c r="B786" s="8"/>
      <c r="C786" s="8"/>
      <c r="D786" s="8"/>
      <c r="E786" s="8"/>
      <c r="F786" s="8"/>
      <c r="G786" s="10" t="str">
        <f aca="false">IF($A786="","",UPPER(SUBSTITUTE(SUBSTITUTE(SUBSTITUTE(SUBSTITUTE($A786," ",""),"(주)",""),"주식회사",""),"㈜","")))</f>
        <v/>
      </c>
      <c r="H786" s="10" t="str">
        <f aca="false">IF($B786="","",SUBSTITUTE(SUBSTITUTE(SUBSTITUTE($B786,"-","")," ",""),".",""))</f>
        <v/>
      </c>
      <c r="I786" s="10" t="str">
        <f aca="false">IF($D786="","",SUBSTITUTE(SUBSTITUTE(SUBSTITUTE($D786,"-","")," ",""),".",""))</f>
        <v/>
      </c>
      <c r="J786" s="10" t="str">
        <f aca="false">IF($E786="","",UPPER(SUBSTITUTE($E786," ","")))</f>
        <v/>
      </c>
      <c r="K786" s="10" t="str">
        <f aca="false">IF($A786="","",$G786&amp;"|"&amp;$J786)</f>
        <v/>
      </c>
      <c r="L786" s="10" t="str">
        <f aca="false">IF($A786="","",ROW()-2)</f>
        <v/>
      </c>
      <c r="M786" s="10" t="str">
        <f aca="false">IF($A786="","",ROW())</f>
        <v/>
      </c>
    </row>
    <row r="787" customFormat="false" ht="15" hidden="false" customHeight="true" outlineLevel="0" collapsed="false">
      <c r="A787" s="8"/>
      <c r="B787" s="8"/>
      <c r="C787" s="8"/>
      <c r="D787" s="8"/>
      <c r="E787" s="8"/>
      <c r="F787" s="8"/>
      <c r="G787" s="10" t="str">
        <f aca="false">IF($A787="","",UPPER(SUBSTITUTE(SUBSTITUTE(SUBSTITUTE(SUBSTITUTE($A787," ",""),"(주)",""),"주식회사",""),"㈜","")))</f>
        <v/>
      </c>
      <c r="H787" s="10" t="str">
        <f aca="false">IF($B787="","",SUBSTITUTE(SUBSTITUTE(SUBSTITUTE($B787,"-","")," ",""),".",""))</f>
        <v/>
      </c>
      <c r="I787" s="10" t="str">
        <f aca="false">IF($D787="","",SUBSTITUTE(SUBSTITUTE(SUBSTITUTE($D787,"-","")," ",""),".",""))</f>
        <v/>
      </c>
      <c r="J787" s="10" t="str">
        <f aca="false">IF($E787="","",UPPER(SUBSTITUTE($E787," ","")))</f>
        <v/>
      </c>
      <c r="K787" s="10" t="str">
        <f aca="false">IF($A787="","",$G787&amp;"|"&amp;$J787)</f>
        <v/>
      </c>
      <c r="L787" s="10" t="str">
        <f aca="false">IF($A787="","",ROW()-2)</f>
        <v/>
      </c>
      <c r="M787" s="10" t="str">
        <f aca="false">IF($A787="","",ROW())</f>
        <v/>
      </c>
    </row>
    <row r="788" customFormat="false" ht="15" hidden="false" customHeight="true" outlineLevel="0" collapsed="false">
      <c r="A788" s="8"/>
      <c r="B788" s="8"/>
      <c r="C788" s="8"/>
      <c r="D788" s="8"/>
      <c r="E788" s="8"/>
      <c r="F788" s="8"/>
      <c r="G788" s="10" t="str">
        <f aca="false">IF($A788="","",UPPER(SUBSTITUTE(SUBSTITUTE(SUBSTITUTE(SUBSTITUTE($A788," ",""),"(주)",""),"주식회사",""),"㈜","")))</f>
        <v/>
      </c>
      <c r="H788" s="10" t="str">
        <f aca="false">IF($B788="","",SUBSTITUTE(SUBSTITUTE(SUBSTITUTE($B788,"-","")," ",""),".",""))</f>
        <v/>
      </c>
      <c r="I788" s="10" t="str">
        <f aca="false">IF($D788="","",SUBSTITUTE(SUBSTITUTE(SUBSTITUTE($D788,"-","")," ",""),".",""))</f>
        <v/>
      </c>
      <c r="J788" s="10" t="str">
        <f aca="false">IF($E788="","",UPPER(SUBSTITUTE($E788," ","")))</f>
        <v/>
      </c>
      <c r="K788" s="10" t="str">
        <f aca="false">IF($A788="","",$G788&amp;"|"&amp;$J788)</f>
        <v/>
      </c>
      <c r="L788" s="10" t="str">
        <f aca="false">IF($A788="","",ROW()-2)</f>
        <v/>
      </c>
      <c r="M788" s="10" t="str">
        <f aca="false">IF($A788="","",ROW())</f>
        <v/>
      </c>
    </row>
    <row r="789" customFormat="false" ht="15" hidden="false" customHeight="true" outlineLevel="0" collapsed="false">
      <c r="A789" s="8"/>
      <c r="B789" s="8"/>
      <c r="C789" s="8"/>
      <c r="D789" s="8"/>
      <c r="E789" s="8"/>
      <c r="F789" s="8"/>
      <c r="G789" s="10" t="str">
        <f aca="false">IF($A789="","",UPPER(SUBSTITUTE(SUBSTITUTE(SUBSTITUTE(SUBSTITUTE($A789," ",""),"(주)",""),"주식회사",""),"㈜","")))</f>
        <v/>
      </c>
      <c r="H789" s="10" t="str">
        <f aca="false">IF($B789="","",SUBSTITUTE(SUBSTITUTE(SUBSTITUTE($B789,"-","")," ",""),".",""))</f>
        <v/>
      </c>
      <c r="I789" s="10" t="str">
        <f aca="false">IF($D789="","",SUBSTITUTE(SUBSTITUTE(SUBSTITUTE($D789,"-","")," ",""),".",""))</f>
        <v/>
      </c>
      <c r="J789" s="10" t="str">
        <f aca="false">IF($E789="","",UPPER(SUBSTITUTE($E789," ","")))</f>
        <v/>
      </c>
      <c r="K789" s="10" t="str">
        <f aca="false">IF($A789="","",$G789&amp;"|"&amp;$J789)</f>
        <v/>
      </c>
      <c r="L789" s="10" t="str">
        <f aca="false">IF($A789="","",ROW()-2)</f>
        <v/>
      </c>
      <c r="M789" s="10" t="str">
        <f aca="false">IF($A789="","",ROW())</f>
        <v/>
      </c>
    </row>
    <row r="790" customFormat="false" ht="15" hidden="false" customHeight="true" outlineLevel="0" collapsed="false">
      <c r="A790" s="8"/>
      <c r="B790" s="8"/>
      <c r="C790" s="8"/>
      <c r="D790" s="8"/>
      <c r="E790" s="8"/>
      <c r="F790" s="8"/>
      <c r="G790" s="10" t="str">
        <f aca="false">IF($A790="","",UPPER(SUBSTITUTE(SUBSTITUTE(SUBSTITUTE(SUBSTITUTE($A790," ",""),"(주)",""),"주식회사",""),"㈜","")))</f>
        <v/>
      </c>
      <c r="H790" s="10" t="str">
        <f aca="false">IF($B790="","",SUBSTITUTE(SUBSTITUTE(SUBSTITUTE($B790,"-","")," ",""),".",""))</f>
        <v/>
      </c>
      <c r="I790" s="10" t="str">
        <f aca="false">IF($D790="","",SUBSTITUTE(SUBSTITUTE(SUBSTITUTE($D790,"-","")," ",""),".",""))</f>
        <v/>
      </c>
      <c r="J790" s="10" t="str">
        <f aca="false">IF($E790="","",UPPER(SUBSTITUTE($E790," ","")))</f>
        <v/>
      </c>
      <c r="K790" s="10" t="str">
        <f aca="false">IF($A790="","",$G790&amp;"|"&amp;$J790)</f>
        <v/>
      </c>
      <c r="L790" s="10" t="str">
        <f aca="false">IF($A790="","",ROW()-2)</f>
        <v/>
      </c>
      <c r="M790" s="10" t="str">
        <f aca="false">IF($A790="","",ROW())</f>
        <v/>
      </c>
    </row>
    <row r="791" customFormat="false" ht="15" hidden="false" customHeight="true" outlineLevel="0" collapsed="false">
      <c r="A791" s="8"/>
      <c r="B791" s="8"/>
      <c r="C791" s="8"/>
      <c r="D791" s="8"/>
      <c r="E791" s="8"/>
      <c r="F791" s="8"/>
      <c r="G791" s="10" t="str">
        <f aca="false">IF($A791="","",UPPER(SUBSTITUTE(SUBSTITUTE(SUBSTITUTE(SUBSTITUTE($A791," ",""),"(주)",""),"주식회사",""),"㈜","")))</f>
        <v/>
      </c>
      <c r="H791" s="10" t="str">
        <f aca="false">IF($B791="","",SUBSTITUTE(SUBSTITUTE(SUBSTITUTE($B791,"-","")," ",""),".",""))</f>
        <v/>
      </c>
      <c r="I791" s="10" t="str">
        <f aca="false">IF($D791="","",SUBSTITUTE(SUBSTITUTE(SUBSTITUTE($D791,"-","")," ",""),".",""))</f>
        <v/>
      </c>
      <c r="J791" s="10" t="str">
        <f aca="false">IF($E791="","",UPPER(SUBSTITUTE($E791," ","")))</f>
        <v/>
      </c>
      <c r="K791" s="10" t="str">
        <f aca="false">IF($A791="","",$G791&amp;"|"&amp;$J791)</f>
        <v/>
      </c>
      <c r="L791" s="10" t="str">
        <f aca="false">IF($A791="","",ROW()-2)</f>
        <v/>
      </c>
      <c r="M791" s="10" t="str">
        <f aca="false">IF($A791="","",ROW())</f>
        <v/>
      </c>
    </row>
    <row r="792" customFormat="false" ht="15" hidden="false" customHeight="true" outlineLevel="0" collapsed="false">
      <c r="A792" s="8"/>
      <c r="B792" s="8"/>
      <c r="C792" s="8"/>
      <c r="D792" s="8"/>
      <c r="E792" s="8"/>
      <c r="F792" s="8"/>
      <c r="G792" s="10" t="str">
        <f aca="false">IF($A792="","",UPPER(SUBSTITUTE(SUBSTITUTE(SUBSTITUTE(SUBSTITUTE($A792," ",""),"(주)",""),"주식회사",""),"㈜","")))</f>
        <v/>
      </c>
      <c r="H792" s="10" t="str">
        <f aca="false">IF($B792="","",SUBSTITUTE(SUBSTITUTE(SUBSTITUTE($B792,"-","")," ",""),".",""))</f>
        <v/>
      </c>
      <c r="I792" s="10" t="str">
        <f aca="false">IF($D792="","",SUBSTITUTE(SUBSTITUTE(SUBSTITUTE($D792,"-","")," ",""),".",""))</f>
        <v/>
      </c>
      <c r="J792" s="10" t="str">
        <f aca="false">IF($E792="","",UPPER(SUBSTITUTE($E792," ","")))</f>
        <v/>
      </c>
      <c r="K792" s="10" t="str">
        <f aca="false">IF($A792="","",$G792&amp;"|"&amp;$J792)</f>
        <v/>
      </c>
      <c r="L792" s="10" t="str">
        <f aca="false">IF($A792="","",ROW()-2)</f>
        <v/>
      </c>
      <c r="M792" s="10" t="str">
        <f aca="false">IF($A792="","",ROW())</f>
        <v/>
      </c>
    </row>
    <row r="793" customFormat="false" ht="15" hidden="false" customHeight="true" outlineLevel="0" collapsed="false">
      <c r="A793" s="8"/>
      <c r="B793" s="8"/>
      <c r="C793" s="8"/>
      <c r="D793" s="8"/>
      <c r="E793" s="8"/>
      <c r="F793" s="8"/>
      <c r="G793" s="10" t="str">
        <f aca="false">IF($A793="","",UPPER(SUBSTITUTE(SUBSTITUTE(SUBSTITUTE(SUBSTITUTE($A793," ",""),"(주)",""),"주식회사",""),"㈜","")))</f>
        <v/>
      </c>
      <c r="H793" s="10" t="str">
        <f aca="false">IF($B793="","",SUBSTITUTE(SUBSTITUTE(SUBSTITUTE($B793,"-","")," ",""),".",""))</f>
        <v/>
      </c>
      <c r="I793" s="10" t="str">
        <f aca="false">IF($D793="","",SUBSTITUTE(SUBSTITUTE(SUBSTITUTE($D793,"-","")," ",""),".",""))</f>
        <v/>
      </c>
      <c r="J793" s="10" t="str">
        <f aca="false">IF($E793="","",UPPER(SUBSTITUTE($E793," ","")))</f>
        <v/>
      </c>
      <c r="K793" s="10" t="str">
        <f aca="false">IF($A793="","",$G793&amp;"|"&amp;$J793)</f>
        <v/>
      </c>
      <c r="L793" s="10" t="str">
        <f aca="false">IF($A793="","",ROW()-2)</f>
        <v/>
      </c>
      <c r="M793" s="10" t="str">
        <f aca="false">IF($A793="","",ROW())</f>
        <v/>
      </c>
    </row>
    <row r="794" customFormat="false" ht="15" hidden="false" customHeight="true" outlineLevel="0" collapsed="false">
      <c r="A794" s="8"/>
      <c r="B794" s="8"/>
      <c r="C794" s="8"/>
      <c r="D794" s="8"/>
      <c r="E794" s="8"/>
      <c r="F794" s="8"/>
      <c r="G794" s="10" t="str">
        <f aca="false">IF($A794="","",UPPER(SUBSTITUTE(SUBSTITUTE(SUBSTITUTE(SUBSTITUTE($A794," ",""),"(주)",""),"주식회사",""),"㈜","")))</f>
        <v/>
      </c>
      <c r="H794" s="10" t="str">
        <f aca="false">IF($B794="","",SUBSTITUTE(SUBSTITUTE(SUBSTITUTE($B794,"-","")," ",""),".",""))</f>
        <v/>
      </c>
      <c r="I794" s="10" t="str">
        <f aca="false">IF($D794="","",SUBSTITUTE(SUBSTITUTE(SUBSTITUTE($D794,"-","")," ",""),".",""))</f>
        <v/>
      </c>
      <c r="J794" s="10" t="str">
        <f aca="false">IF($E794="","",UPPER(SUBSTITUTE($E794," ","")))</f>
        <v/>
      </c>
      <c r="K794" s="10" t="str">
        <f aca="false">IF($A794="","",$G794&amp;"|"&amp;$J794)</f>
        <v/>
      </c>
      <c r="L794" s="10" t="str">
        <f aca="false">IF($A794="","",ROW()-2)</f>
        <v/>
      </c>
      <c r="M794" s="10" t="str">
        <f aca="false">IF($A794="","",ROW())</f>
        <v/>
      </c>
    </row>
    <row r="795" customFormat="false" ht="15" hidden="false" customHeight="true" outlineLevel="0" collapsed="false">
      <c r="A795" s="8"/>
      <c r="B795" s="8"/>
      <c r="C795" s="8"/>
      <c r="D795" s="8"/>
      <c r="E795" s="8"/>
      <c r="F795" s="8"/>
      <c r="G795" s="10" t="str">
        <f aca="false">IF($A795="","",UPPER(SUBSTITUTE(SUBSTITUTE(SUBSTITUTE(SUBSTITUTE($A795," ",""),"(주)",""),"주식회사",""),"㈜","")))</f>
        <v/>
      </c>
      <c r="H795" s="10" t="str">
        <f aca="false">IF($B795="","",SUBSTITUTE(SUBSTITUTE(SUBSTITUTE($B795,"-","")," ",""),".",""))</f>
        <v/>
      </c>
      <c r="I795" s="10" t="str">
        <f aca="false">IF($D795="","",SUBSTITUTE(SUBSTITUTE(SUBSTITUTE($D795,"-","")," ",""),".",""))</f>
        <v/>
      </c>
      <c r="J795" s="10" t="str">
        <f aca="false">IF($E795="","",UPPER(SUBSTITUTE($E795," ","")))</f>
        <v/>
      </c>
      <c r="K795" s="10" t="str">
        <f aca="false">IF($A795="","",$G795&amp;"|"&amp;$J795)</f>
        <v/>
      </c>
      <c r="L795" s="10" t="str">
        <f aca="false">IF($A795="","",ROW()-2)</f>
        <v/>
      </c>
      <c r="M795" s="10" t="str">
        <f aca="false">IF($A795="","",ROW())</f>
        <v/>
      </c>
    </row>
    <row r="796" customFormat="false" ht="15" hidden="false" customHeight="true" outlineLevel="0" collapsed="false">
      <c r="A796" s="8"/>
      <c r="B796" s="8"/>
      <c r="C796" s="8"/>
      <c r="D796" s="8"/>
      <c r="E796" s="8"/>
      <c r="F796" s="8"/>
      <c r="G796" s="10" t="str">
        <f aca="false">IF($A796="","",UPPER(SUBSTITUTE(SUBSTITUTE(SUBSTITUTE(SUBSTITUTE($A796," ",""),"(주)",""),"주식회사",""),"㈜","")))</f>
        <v/>
      </c>
      <c r="H796" s="10" t="str">
        <f aca="false">IF($B796="","",SUBSTITUTE(SUBSTITUTE(SUBSTITUTE($B796,"-","")," ",""),".",""))</f>
        <v/>
      </c>
      <c r="I796" s="10" t="str">
        <f aca="false">IF($D796="","",SUBSTITUTE(SUBSTITUTE(SUBSTITUTE($D796,"-","")," ",""),".",""))</f>
        <v/>
      </c>
      <c r="J796" s="10" t="str">
        <f aca="false">IF($E796="","",UPPER(SUBSTITUTE($E796," ","")))</f>
        <v/>
      </c>
      <c r="K796" s="10" t="str">
        <f aca="false">IF($A796="","",$G796&amp;"|"&amp;$J796)</f>
        <v/>
      </c>
      <c r="L796" s="10" t="str">
        <f aca="false">IF($A796="","",ROW()-2)</f>
        <v/>
      </c>
      <c r="M796" s="10" t="str">
        <f aca="false">IF($A796="","",ROW())</f>
        <v/>
      </c>
    </row>
    <row r="797" customFormat="false" ht="15" hidden="false" customHeight="true" outlineLevel="0" collapsed="false">
      <c r="A797" s="8"/>
      <c r="B797" s="8"/>
      <c r="C797" s="8"/>
      <c r="D797" s="8"/>
      <c r="E797" s="8"/>
      <c r="F797" s="8"/>
      <c r="G797" s="10" t="str">
        <f aca="false">IF($A797="","",UPPER(SUBSTITUTE(SUBSTITUTE(SUBSTITUTE(SUBSTITUTE($A797," ",""),"(주)",""),"주식회사",""),"㈜","")))</f>
        <v/>
      </c>
      <c r="H797" s="10" t="str">
        <f aca="false">IF($B797="","",SUBSTITUTE(SUBSTITUTE(SUBSTITUTE($B797,"-","")," ",""),".",""))</f>
        <v/>
      </c>
      <c r="I797" s="10" t="str">
        <f aca="false">IF($D797="","",SUBSTITUTE(SUBSTITUTE(SUBSTITUTE($D797,"-","")," ",""),".",""))</f>
        <v/>
      </c>
      <c r="J797" s="10" t="str">
        <f aca="false">IF($E797="","",UPPER(SUBSTITUTE($E797," ","")))</f>
        <v/>
      </c>
      <c r="K797" s="10" t="str">
        <f aca="false">IF($A797="","",$G797&amp;"|"&amp;$J797)</f>
        <v/>
      </c>
      <c r="L797" s="10" t="str">
        <f aca="false">IF($A797="","",ROW()-2)</f>
        <v/>
      </c>
      <c r="M797" s="10" t="str">
        <f aca="false">IF($A797="","",ROW())</f>
        <v/>
      </c>
    </row>
    <row r="798" customFormat="false" ht="15" hidden="false" customHeight="true" outlineLevel="0" collapsed="false">
      <c r="A798" s="8"/>
      <c r="B798" s="8"/>
      <c r="C798" s="8"/>
      <c r="D798" s="8"/>
      <c r="E798" s="8"/>
      <c r="F798" s="8"/>
      <c r="G798" s="10" t="str">
        <f aca="false">IF($A798="","",UPPER(SUBSTITUTE(SUBSTITUTE(SUBSTITUTE(SUBSTITUTE($A798," ",""),"(주)",""),"주식회사",""),"㈜","")))</f>
        <v/>
      </c>
      <c r="H798" s="10" t="str">
        <f aca="false">IF($B798="","",SUBSTITUTE(SUBSTITUTE(SUBSTITUTE($B798,"-","")," ",""),".",""))</f>
        <v/>
      </c>
      <c r="I798" s="10" t="str">
        <f aca="false">IF($D798="","",SUBSTITUTE(SUBSTITUTE(SUBSTITUTE($D798,"-","")," ",""),".",""))</f>
        <v/>
      </c>
      <c r="J798" s="10" t="str">
        <f aca="false">IF($E798="","",UPPER(SUBSTITUTE($E798," ","")))</f>
        <v/>
      </c>
      <c r="K798" s="10" t="str">
        <f aca="false">IF($A798="","",$G798&amp;"|"&amp;$J798)</f>
        <v/>
      </c>
      <c r="L798" s="10" t="str">
        <f aca="false">IF($A798="","",ROW()-2)</f>
        <v/>
      </c>
      <c r="M798" s="10" t="str">
        <f aca="false">IF($A798="","",ROW())</f>
        <v/>
      </c>
    </row>
    <row r="799" customFormat="false" ht="15" hidden="false" customHeight="true" outlineLevel="0" collapsed="false">
      <c r="A799" s="8"/>
      <c r="B799" s="8"/>
      <c r="C799" s="8"/>
      <c r="D799" s="8"/>
      <c r="E799" s="8"/>
      <c r="F799" s="8"/>
      <c r="G799" s="10" t="str">
        <f aca="false">IF($A799="","",UPPER(SUBSTITUTE(SUBSTITUTE(SUBSTITUTE(SUBSTITUTE($A799," ",""),"(주)",""),"주식회사",""),"㈜","")))</f>
        <v/>
      </c>
      <c r="H799" s="10" t="str">
        <f aca="false">IF($B799="","",SUBSTITUTE(SUBSTITUTE(SUBSTITUTE($B799,"-","")," ",""),".",""))</f>
        <v/>
      </c>
      <c r="I799" s="10" t="str">
        <f aca="false">IF($D799="","",SUBSTITUTE(SUBSTITUTE(SUBSTITUTE($D799,"-","")," ",""),".",""))</f>
        <v/>
      </c>
      <c r="J799" s="10" t="str">
        <f aca="false">IF($E799="","",UPPER(SUBSTITUTE($E799," ","")))</f>
        <v/>
      </c>
      <c r="K799" s="10" t="str">
        <f aca="false">IF($A799="","",$G799&amp;"|"&amp;$J799)</f>
        <v/>
      </c>
      <c r="L799" s="10" t="str">
        <f aca="false">IF($A799="","",ROW()-2)</f>
        <v/>
      </c>
      <c r="M799" s="10" t="str">
        <f aca="false">IF($A799="","",ROW())</f>
        <v/>
      </c>
    </row>
    <row r="800" customFormat="false" ht="15" hidden="false" customHeight="true" outlineLevel="0" collapsed="false">
      <c r="A800" s="8"/>
      <c r="B800" s="8"/>
      <c r="C800" s="8"/>
      <c r="D800" s="8"/>
      <c r="E800" s="8"/>
      <c r="F800" s="8"/>
      <c r="G800" s="10" t="str">
        <f aca="false">IF($A800="","",UPPER(SUBSTITUTE(SUBSTITUTE(SUBSTITUTE(SUBSTITUTE($A800," ",""),"(주)",""),"주식회사",""),"㈜","")))</f>
        <v/>
      </c>
      <c r="H800" s="10" t="str">
        <f aca="false">IF($B800="","",SUBSTITUTE(SUBSTITUTE(SUBSTITUTE($B800,"-","")," ",""),".",""))</f>
        <v/>
      </c>
      <c r="I800" s="10" t="str">
        <f aca="false">IF($D800="","",SUBSTITUTE(SUBSTITUTE(SUBSTITUTE($D800,"-","")," ",""),".",""))</f>
        <v/>
      </c>
      <c r="J800" s="10" t="str">
        <f aca="false">IF($E800="","",UPPER(SUBSTITUTE($E800," ","")))</f>
        <v/>
      </c>
      <c r="K800" s="10" t="str">
        <f aca="false">IF($A800="","",$G800&amp;"|"&amp;$J800)</f>
        <v/>
      </c>
      <c r="L800" s="10" t="str">
        <f aca="false">IF($A800="","",ROW()-2)</f>
        <v/>
      </c>
      <c r="M800" s="10" t="str">
        <f aca="false">IF($A800="","",ROW())</f>
        <v/>
      </c>
    </row>
    <row r="801" customFormat="false" ht="15" hidden="false" customHeight="true" outlineLevel="0" collapsed="false">
      <c r="A801" s="8"/>
      <c r="B801" s="8"/>
      <c r="C801" s="8"/>
      <c r="D801" s="8"/>
      <c r="E801" s="8"/>
      <c r="F801" s="8"/>
      <c r="G801" s="10" t="str">
        <f aca="false">IF($A801="","",UPPER(SUBSTITUTE(SUBSTITUTE(SUBSTITUTE(SUBSTITUTE($A801," ",""),"(주)",""),"주식회사",""),"㈜","")))</f>
        <v/>
      </c>
      <c r="H801" s="10" t="str">
        <f aca="false">IF($B801="","",SUBSTITUTE(SUBSTITUTE(SUBSTITUTE($B801,"-","")," ",""),".",""))</f>
        <v/>
      </c>
      <c r="I801" s="10" t="str">
        <f aca="false">IF($D801="","",SUBSTITUTE(SUBSTITUTE(SUBSTITUTE($D801,"-","")," ",""),".",""))</f>
        <v/>
      </c>
      <c r="J801" s="10" t="str">
        <f aca="false">IF($E801="","",UPPER(SUBSTITUTE($E801," ","")))</f>
        <v/>
      </c>
      <c r="K801" s="10" t="str">
        <f aca="false">IF($A801="","",$G801&amp;"|"&amp;$J801)</f>
        <v/>
      </c>
      <c r="L801" s="10" t="str">
        <f aca="false">IF($A801="","",ROW()-2)</f>
        <v/>
      </c>
      <c r="M801" s="10" t="str">
        <f aca="false">IF($A801="","",ROW())</f>
        <v/>
      </c>
    </row>
    <row r="802" customFormat="false" ht="15" hidden="false" customHeight="true" outlineLevel="0" collapsed="false">
      <c r="A802" s="8"/>
      <c r="B802" s="8"/>
      <c r="C802" s="8"/>
      <c r="D802" s="8"/>
      <c r="E802" s="8"/>
      <c r="F802" s="8"/>
      <c r="G802" s="10" t="str">
        <f aca="false">IF($A802="","",UPPER(SUBSTITUTE(SUBSTITUTE(SUBSTITUTE(SUBSTITUTE($A802," ",""),"(주)",""),"주식회사",""),"㈜","")))</f>
        <v/>
      </c>
      <c r="H802" s="10" t="str">
        <f aca="false">IF($B802="","",SUBSTITUTE(SUBSTITUTE(SUBSTITUTE($B802,"-","")," ",""),".",""))</f>
        <v/>
      </c>
      <c r="I802" s="10" t="str">
        <f aca="false">IF($D802="","",SUBSTITUTE(SUBSTITUTE(SUBSTITUTE($D802,"-","")," ",""),".",""))</f>
        <v/>
      </c>
      <c r="J802" s="10" t="str">
        <f aca="false">IF($E802="","",UPPER(SUBSTITUTE($E802," ","")))</f>
        <v/>
      </c>
      <c r="K802" s="10" t="str">
        <f aca="false">IF($A802="","",$G802&amp;"|"&amp;$J802)</f>
        <v/>
      </c>
      <c r="L802" s="10" t="str">
        <f aca="false">IF($A802="","",ROW()-2)</f>
        <v/>
      </c>
      <c r="M802" s="10" t="str">
        <f aca="false">IF($A802="","",ROW())</f>
        <v/>
      </c>
    </row>
    <row r="803" customFormat="false" ht="15" hidden="false" customHeight="true" outlineLevel="0" collapsed="false">
      <c r="A803" s="8"/>
      <c r="B803" s="8"/>
      <c r="C803" s="8"/>
      <c r="D803" s="8"/>
      <c r="E803" s="8"/>
      <c r="F803" s="8"/>
      <c r="G803" s="10" t="str">
        <f aca="false">IF($A803="","",UPPER(SUBSTITUTE(SUBSTITUTE(SUBSTITUTE(SUBSTITUTE($A803," ",""),"(주)",""),"주식회사",""),"㈜","")))</f>
        <v/>
      </c>
      <c r="H803" s="10" t="str">
        <f aca="false">IF($B803="","",SUBSTITUTE(SUBSTITUTE(SUBSTITUTE($B803,"-","")," ",""),".",""))</f>
        <v/>
      </c>
      <c r="I803" s="10" t="str">
        <f aca="false">IF($D803="","",SUBSTITUTE(SUBSTITUTE(SUBSTITUTE($D803,"-","")," ",""),".",""))</f>
        <v/>
      </c>
      <c r="J803" s="10" t="str">
        <f aca="false">IF($E803="","",UPPER(SUBSTITUTE($E803," ","")))</f>
        <v/>
      </c>
      <c r="K803" s="10" t="str">
        <f aca="false">IF($A803="","",$G803&amp;"|"&amp;$J803)</f>
        <v/>
      </c>
      <c r="L803" s="10" t="str">
        <f aca="false">IF($A803="","",ROW()-2)</f>
        <v/>
      </c>
      <c r="M803" s="10" t="str">
        <f aca="false">IF($A803="","",ROW())</f>
        <v/>
      </c>
    </row>
    <row r="804" customFormat="false" ht="15" hidden="false" customHeight="true" outlineLevel="0" collapsed="false">
      <c r="A804" s="8"/>
      <c r="B804" s="8"/>
      <c r="C804" s="8"/>
      <c r="D804" s="8"/>
      <c r="E804" s="8"/>
      <c r="F804" s="8"/>
      <c r="G804" s="10" t="str">
        <f aca="false">IF($A804="","",UPPER(SUBSTITUTE(SUBSTITUTE(SUBSTITUTE(SUBSTITUTE($A804," ",""),"(주)",""),"주식회사",""),"㈜","")))</f>
        <v/>
      </c>
      <c r="H804" s="10" t="str">
        <f aca="false">IF($B804="","",SUBSTITUTE(SUBSTITUTE(SUBSTITUTE($B804,"-","")," ",""),".",""))</f>
        <v/>
      </c>
      <c r="I804" s="10" t="str">
        <f aca="false">IF($D804="","",SUBSTITUTE(SUBSTITUTE(SUBSTITUTE($D804,"-","")," ",""),".",""))</f>
        <v/>
      </c>
      <c r="J804" s="10" t="str">
        <f aca="false">IF($E804="","",UPPER(SUBSTITUTE($E804," ","")))</f>
        <v/>
      </c>
      <c r="K804" s="10" t="str">
        <f aca="false">IF($A804="","",$G804&amp;"|"&amp;$J804)</f>
        <v/>
      </c>
      <c r="L804" s="10" t="str">
        <f aca="false">IF($A804="","",ROW()-2)</f>
        <v/>
      </c>
      <c r="M804" s="10" t="str">
        <f aca="false">IF($A804="","",ROW())</f>
        <v/>
      </c>
    </row>
    <row r="805" customFormat="false" ht="15" hidden="false" customHeight="true" outlineLevel="0" collapsed="false">
      <c r="A805" s="8"/>
      <c r="B805" s="8"/>
      <c r="C805" s="8"/>
      <c r="D805" s="8"/>
      <c r="E805" s="8"/>
      <c r="F805" s="8"/>
      <c r="G805" s="10" t="str">
        <f aca="false">IF($A805="","",UPPER(SUBSTITUTE(SUBSTITUTE(SUBSTITUTE(SUBSTITUTE($A805," ",""),"(주)",""),"주식회사",""),"㈜","")))</f>
        <v/>
      </c>
      <c r="H805" s="10" t="str">
        <f aca="false">IF($B805="","",SUBSTITUTE(SUBSTITUTE(SUBSTITUTE($B805,"-","")," ",""),".",""))</f>
        <v/>
      </c>
      <c r="I805" s="10" t="str">
        <f aca="false">IF($D805="","",SUBSTITUTE(SUBSTITUTE(SUBSTITUTE($D805,"-","")," ",""),".",""))</f>
        <v/>
      </c>
      <c r="J805" s="10" t="str">
        <f aca="false">IF($E805="","",UPPER(SUBSTITUTE($E805," ","")))</f>
        <v/>
      </c>
      <c r="K805" s="10" t="str">
        <f aca="false">IF($A805="","",$G805&amp;"|"&amp;$J805)</f>
        <v/>
      </c>
      <c r="L805" s="10" t="str">
        <f aca="false">IF($A805="","",ROW()-2)</f>
        <v/>
      </c>
      <c r="M805" s="10" t="str">
        <f aca="false">IF($A805="","",ROW())</f>
        <v/>
      </c>
    </row>
    <row r="806" customFormat="false" ht="15" hidden="false" customHeight="true" outlineLevel="0" collapsed="false">
      <c r="A806" s="8"/>
      <c r="B806" s="8"/>
      <c r="C806" s="8"/>
      <c r="D806" s="8"/>
      <c r="E806" s="8"/>
      <c r="F806" s="8"/>
      <c r="G806" s="10" t="str">
        <f aca="false">IF($A806="","",UPPER(SUBSTITUTE(SUBSTITUTE(SUBSTITUTE(SUBSTITUTE($A806," ",""),"(주)",""),"주식회사",""),"㈜","")))</f>
        <v/>
      </c>
      <c r="H806" s="10" t="str">
        <f aca="false">IF($B806="","",SUBSTITUTE(SUBSTITUTE(SUBSTITUTE($B806,"-","")," ",""),".",""))</f>
        <v/>
      </c>
      <c r="I806" s="10" t="str">
        <f aca="false">IF($D806="","",SUBSTITUTE(SUBSTITUTE(SUBSTITUTE($D806,"-","")," ",""),".",""))</f>
        <v/>
      </c>
      <c r="J806" s="10" t="str">
        <f aca="false">IF($E806="","",UPPER(SUBSTITUTE($E806," ","")))</f>
        <v/>
      </c>
      <c r="K806" s="10" t="str">
        <f aca="false">IF($A806="","",$G806&amp;"|"&amp;$J806)</f>
        <v/>
      </c>
      <c r="L806" s="10" t="str">
        <f aca="false">IF($A806="","",ROW()-2)</f>
        <v/>
      </c>
      <c r="M806" s="10" t="str">
        <f aca="false">IF($A806="","",ROW())</f>
        <v/>
      </c>
    </row>
    <row r="807" customFormat="false" ht="15" hidden="false" customHeight="true" outlineLevel="0" collapsed="false">
      <c r="A807" s="8"/>
      <c r="B807" s="8"/>
      <c r="C807" s="8"/>
      <c r="D807" s="8"/>
      <c r="E807" s="8"/>
      <c r="F807" s="8"/>
      <c r="G807" s="10" t="str">
        <f aca="false">IF($A807="","",UPPER(SUBSTITUTE(SUBSTITUTE(SUBSTITUTE(SUBSTITUTE($A807," ",""),"(주)",""),"주식회사",""),"㈜","")))</f>
        <v/>
      </c>
      <c r="H807" s="10" t="str">
        <f aca="false">IF($B807="","",SUBSTITUTE(SUBSTITUTE(SUBSTITUTE($B807,"-","")," ",""),".",""))</f>
        <v/>
      </c>
      <c r="I807" s="10" t="str">
        <f aca="false">IF($D807="","",SUBSTITUTE(SUBSTITUTE(SUBSTITUTE($D807,"-","")," ",""),".",""))</f>
        <v/>
      </c>
      <c r="J807" s="10" t="str">
        <f aca="false">IF($E807="","",UPPER(SUBSTITUTE($E807," ","")))</f>
        <v/>
      </c>
      <c r="K807" s="10" t="str">
        <f aca="false">IF($A807="","",$G807&amp;"|"&amp;$J807)</f>
        <v/>
      </c>
      <c r="L807" s="10" t="str">
        <f aca="false">IF($A807="","",ROW()-2)</f>
        <v/>
      </c>
      <c r="M807" s="10" t="str">
        <f aca="false">IF($A807="","",ROW())</f>
        <v/>
      </c>
    </row>
    <row r="808" customFormat="false" ht="15" hidden="false" customHeight="true" outlineLevel="0" collapsed="false">
      <c r="A808" s="8"/>
      <c r="B808" s="8"/>
      <c r="C808" s="8"/>
      <c r="D808" s="8"/>
      <c r="E808" s="8"/>
      <c r="F808" s="8"/>
      <c r="G808" s="10" t="str">
        <f aca="false">IF($A808="","",UPPER(SUBSTITUTE(SUBSTITUTE(SUBSTITUTE(SUBSTITUTE($A808," ",""),"(주)",""),"주식회사",""),"㈜","")))</f>
        <v/>
      </c>
      <c r="H808" s="10" t="str">
        <f aca="false">IF($B808="","",SUBSTITUTE(SUBSTITUTE(SUBSTITUTE($B808,"-","")," ",""),".",""))</f>
        <v/>
      </c>
      <c r="I808" s="10" t="str">
        <f aca="false">IF($D808="","",SUBSTITUTE(SUBSTITUTE(SUBSTITUTE($D808,"-","")," ",""),".",""))</f>
        <v/>
      </c>
      <c r="J808" s="10" t="str">
        <f aca="false">IF($E808="","",UPPER(SUBSTITUTE($E808," ","")))</f>
        <v/>
      </c>
      <c r="K808" s="10" t="str">
        <f aca="false">IF($A808="","",$G808&amp;"|"&amp;$J808)</f>
        <v/>
      </c>
      <c r="L808" s="10" t="str">
        <f aca="false">IF($A808="","",ROW()-2)</f>
        <v/>
      </c>
      <c r="M808" s="10" t="str">
        <f aca="false">IF($A808="","",ROW())</f>
        <v/>
      </c>
    </row>
    <row r="809" customFormat="false" ht="15" hidden="false" customHeight="true" outlineLevel="0" collapsed="false">
      <c r="A809" s="8"/>
      <c r="B809" s="8"/>
      <c r="C809" s="8"/>
      <c r="D809" s="8"/>
      <c r="E809" s="8"/>
      <c r="F809" s="8"/>
      <c r="G809" s="10" t="str">
        <f aca="false">IF($A809="","",UPPER(SUBSTITUTE(SUBSTITUTE(SUBSTITUTE(SUBSTITUTE($A809," ",""),"(주)",""),"주식회사",""),"㈜","")))</f>
        <v/>
      </c>
      <c r="H809" s="10" t="str">
        <f aca="false">IF($B809="","",SUBSTITUTE(SUBSTITUTE(SUBSTITUTE($B809,"-","")," ",""),".",""))</f>
        <v/>
      </c>
      <c r="I809" s="10" t="str">
        <f aca="false">IF($D809="","",SUBSTITUTE(SUBSTITUTE(SUBSTITUTE($D809,"-","")," ",""),".",""))</f>
        <v/>
      </c>
      <c r="J809" s="10" t="str">
        <f aca="false">IF($E809="","",UPPER(SUBSTITUTE($E809," ","")))</f>
        <v/>
      </c>
      <c r="K809" s="10" t="str">
        <f aca="false">IF($A809="","",$G809&amp;"|"&amp;$J809)</f>
        <v/>
      </c>
      <c r="L809" s="10" t="str">
        <f aca="false">IF($A809="","",ROW()-2)</f>
        <v/>
      </c>
      <c r="M809" s="10" t="str">
        <f aca="false">IF($A809="","",ROW())</f>
        <v/>
      </c>
    </row>
    <row r="810" customFormat="false" ht="15" hidden="false" customHeight="true" outlineLevel="0" collapsed="false">
      <c r="A810" s="8"/>
      <c r="B810" s="8"/>
      <c r="C810" s="8"/>
      <c r="D810" s="8"/>
      <c r="E810" s="8"/>
      <c r="F810" s="8"/>
      <c r="G810" s="10" t="str">
        <f aca="false">IF($A810="","",UPPER(SUBSTITUTE(SUBSTITUTE(SUBSTITUTE(SUBSTITUTE($A810," ",""),"(주)",""),"주식회사",""),"㈜","")))</f>
        <v/>
      </c>
      <c r="H810" s="10" t="str">
        <f aca="false">IF($B810="","",SUBSTITUTE(SUBSTITUTE(SUBSTITUTE($B810,"-","")," ",""),".",""))</f>
        <v/>
      </c>
      <c r="I810" s="10" t="str">
        <f aca="false">IF($D810="","",SUBSTITUTE(SUBSTITUTE(SUBSTITUTE($D810,"-","")," ",""),".",""))</f>
        <v/>
      </c>
      <c r="J810" s="10" t="str">
        <f aca="false">IF($E810="","",UPPER(SUBSTITUTE($E810," ","")))</f>
        <v/>
      </c>
      <c r="K810" s="10" t="str">
        <f aca="false">IF($A810="","",$G810&amp;"|"&amp;$J810)</f>
        <v/>
      </c>
      <c r="L810" s="10" t="str">
        <f aca="false">IF($A810="","",ROW()-2)</f>
        <v/>
      </c>
      <c r="M810" s="10" t="str">
        <f aca="false">IF($A810="","",ROW())</f>
        <v/>
      </c>
    </row>
    <row r="811" customFormat="false" ht="15" hidden="false" customHeight="true" outlineLevel="0" collapsed="false">
      <c r="A811" s="8"/>
      <c r="B811" s="8"/>
      <c r="C811" s="8"/>
      <c r="D811" s="8"/>
      <c r="E811" s="8"/>
      <c r="F811" s="8"/>
      <c r="G811" s="10" t="str">
        <f aca="false">IF($A811="","",UPPER(SUBSTITUTE(SUBSTITUTE(SUBSTITUTE(SUBSTITUTE($A811," ",""),"(주)",""),"주식회사",""),"㈜","")))</f>
        <v/>
      </c>
      <c r="H811" s="10" t="str">
        <f aca="false">IF($B811="","",SUBSTITUTE(SUBSTITUTE(SUBSTITUTE($B811,"-","")," ",""),".",""))</f>
        <v/>
      </c>
      <c r="I811" s="10" t="str">
        <f aca="false">IF($D811="","",SUBSTITUTE(SUBSTITUTE(SUBSTITUTE($D811,"-","")," ",""),".",""))</f>
        <v/>
      </c>
      <c r="J811" s="10" t="str">
        <f aca="false">IF($E811="","",UPPER(SUBSTITUTE($E811," ","")))</f>
        <v/>
      </c>
      <c r="K811" s="10" t="str">
        <f aca="false">IF($A811="","",$G811&amp;"|"&amp;$J811)</f>
        <v/>
      </c>
      <c r="L811" s="10" t="str">
        <f aca="false">IF($A811="","",ROW()-2)</f>
        <v/>
      </c>
      <c r="M811" s="10" t="str">
        <f aca="false">IF($A811="","",ROW())</f>
        <v/>
      </c>
    </row>
    <row r="812" customFormat="false" ht="15" hidden="false" customHeight="true" outlineLevel="0" collapsed="false">
      <c r="A812" s="8"/>
      <c r="B812" s="8"/>
      <c r="C812" s="8"/>
      <c r="D812" s="8"/>
      <c r="E812" s="8"/>
      <c r="F812" s="8"/>
      <c r="G812" s="10" t="str">
        <f aca="false">IF($A812="","",UPPER(SUBSTITUTE(SUBSTITUTE(SUBSTITUTE(SUBSTITUTE($A812," ",""),"(주)",""),"주식회사",""),"㈜","")))</f>
        <v/>
      </c>
      <c r="H812" s="10" t="str">
        <f aca="false">IF($B812="","",SUBSTITUTE(SUBSTITUTE(SUBSTITUTE($B812,"-","")," ",""),".",""))</f>
        <v/>
      </c>
      <c r="I812" s="10" t="str">
        <f aca="false">IF($D812="","",SUBSTITUTE(SUBSTITUTE(SUBSTITUTE($D812,"-","")," ",""),".",""))</f>
        <v/>
      </c>
      <c r="J812" s="10" t="str">
        <f aca="false">IF($E812="","",UPPER(SUBSTITUTE($E812," ","")))</f>
        <v/>
      </c>
      <c r="K812" s="10" t="str">
        <f aca="false">IF($A812="","",$G812&amp;"|"&amp;$J812)</f>
        <v/>
      </c>
      <c r="L812" s="10" t="str">
        <f aca="false">IF($A812="","",ROW()-2)</f>
        <v/>
      </c>
      <c r="M812" s="10" t="str">
        <f aca="false">IF($A812="","",ROW())</f>
        <v/>
      </c>
    </row>
    <row r="813" customFormat="false" ht="15" hidden="false" customHeight="true" outlineLevel="0" collapsed="false">
      <c r="A813" s="8"/>
      <c r="B813" s="8"/>
      <c r="C813" s="8"/>
      <c r="D813" s="8"/>
      <c r="E813" s="8"/>
      <c r="F813" s="8"/>
      <c r="G813" s="10" t="str">
        <f aca="false">IF($A813="","",UPPER(SUBSTITUTE(SUBSTITUTE(SUBSTITUTE(SUBSTITUTE($A813," ",""),"(주)",""),"주식회사",""),"㈜","")))</f>
        <v/>
      </c>
      <c r="H813" s="10" t="str">
        <f aca="false">IF($B813="","",SUBSTITUTE(SUBSTITUTE(SUBSTITUTE($B813,"-","")," ",""),".",""))</f>
        <v/>
      </c>
      <c r="I813" s="10" t="str">
        <f aca="false">IF($D813="","",SUBSTITUTE(SUBSTITUTE(SUBSTITUTE($D813,"-","")," ",""),".",""))</f>
        <v/>
      </c>
      <c r="J813" s="10" t="str">
        <f aca="false">IF($E813="","",UPPER(SUBSTITUTE($E813," ","")))</f>
        <v/>
      </c>
      <c r="K813" s="10" t="str">
        <f aca="false">IF($A813="","",$G813&amp;"|"&amp;$J813)</f>
        <v/>
      </c>
      <c r="L813" s="10" t="str">
        <f aca="false">IF($A813="","",ROW()-2)</f>
        <v/>
      </c>
      <c r="M813" s="10" t="str">
        <f aca="false">IF($A813="","",ROW())</f>
        <v/>
      </c>
    </row>
    <row r="814" customFormat="false" ht="15" hidden="false" customHeight="true" outlineLevel="0" collapsed="false">
      <c r="A814" s="8"/>
      <c r="B814" s="8"/>
      <c r="C814" s="8"/>
      <c r="D814" s="8"/>
      <c r="E814" s="8"/>
      <c r="F814" s="8"/>
      <c r="G814" s="10" t="str">
        <f aca="false">IF($A814="","",UPPER(SUBSTITUTE(SUBSTITUTE(SUBSTITUTE(SUBSTITUTE($A814," ",""),"(주)",""),"주식회사",""),"㈜","")))</f>
        <v/>
      </c>
      <c r="H814" s="10" t="str">
        <f aca="false">IF($B814="","",SUBSTITUTE(SUBSTITUTE(SUBSTITUTE($B814,"-","")," ",""),".",""))</f>
        <v/>
      </c>
      <c r="I814" s="10" t="str">
        <f aca="false">IF($D814="","",SUBSTITUTE(SUBSTITUTE(SUBSTITUTE($D814,"-","")," ",""),".",""))</f>
        <v/>
      </c>
      <c r="J814" s="10" t="str">
        <f aca="false">IF($E814="","",UPPER(SUBSTITUTE($E814," ","")))</f>
        <v/>
      </c>
      <c r="K814" s="10" t="str">
        <f aca="false">IF($A814="","",$G814&amp;"|"&amp;$J814)</f>
        <v/>
      </c>
      <c r="L814" s="10" t="str">
        <f aca="false">IF($A814="","",ROW()-2)</f>
        <v/>
      </c>
      <c r="M814" s="10" t="str">
        <f aca="false">IF($A814="","",ROW())</f>
        <v/>
      </c>
    </row>
    <row r="815" customFormat="false" ht="15" hidden="false" customHeight="true" outlineLevel="0" collapsed="false">
      <c r="A815" s="8"/>
      <c r="B815" s="8"/>
      <c r="C815" s="8"/>
      <c r="D815" s="8"/>
      <c r="E815" s="8"/>
      <c r="F815" s="8"/>
      <c r="G815" s="10" t="str">
        <f aca="false">IF($A815="","",UPPER(SUBSTITUTE(SUBSTITUTE(SUBSTITUTE(SUBSTITUTE($A815," ",""),"(주)",""),"주식회사",""),"㈜","")))</f>
        <v/>
      </c>
      <c r="H815" s="10" t="str">
        <f aca="false">IF($B815="","",SUBSTITUTE(SUBSTITUTE(SUBSTITUTE($B815,"-","")," ",""),".",""))</f>
        <v/>
      </c>
      <c r="I815" s="10" t="str">
        <f aca="false">IF($D815="","",SUBSTITUTE(SUBSTITUTE(SUBSTITUTE($D815,"-","")," ",""),".",""))</f>
        <v/>
      </c>
      <c r="J815" s="10" t="str">
        <f aca="false">IF($E815="","",UPPER(SUBSTITUTE($E815," ","")))</f>
        <v/>
      </c>
      <c r="K815" s="10" t="str">
        <f aca="false">IF($A815="","",$G815&amp;"|"&amp;$J815)</f>
        <v/>
      </c>
      <c r="L815" s="10" t="str">
        <f aca="false">IF($A815="","",ROW()-2)</f>
        <v/>
      </c>
      <c r="M815" s="10" t="str">
        <f aca="false">IF($A815="","",ROW())</f>
        <v/>
      </c>
    </row>
    <row r="816" customFormat="false" ht="15" hidden="false" customHeight="true" outlineLevel="0" collapsed="false">
      <c r="A816" s="8"/>
      <c r="B816" s="8"/>
      <c r="C816" s="8"/>
      <c r="D816" s="8"/>
      <c r="E816" s="8"/>
      <c r="F816" s="8"/>
      <c r="G816" s="10" t="str">
        <f aca="false">IF($A816="","",UPPER(SUBSTITUTE(SUBSTITUTE(SUBSTITUTE(SUBSTITUTE($A816," ",""),"(주)",""),"주식회사",""),"㈜","")))</f>
        <v/>
      </c>
      <c r="H816" s="10" t="str">
        <f aca="false">IF($B816="","",SUBSTITUTE(SUBSTITUTE(SUBSTITUTE($B816,"-","")," ",""),".",""))</f>
        <v/>
      </c>
      <c r="I816" s="10" t="str">
        <f aca="false">IF($D816="","",SUBSTITUTE(SUBSTITUTE(SUBSTITUTE($D816,"-","")," ",""),".",""))</f>
        <v/>
      </c>
      <c r="J816" s="10" t="str">
        <f aca="false">IF($E816="","",UPPER(SUBSTITUTE($E816," ","")))</f>
        <v/>
      </c>
      <c r="K816" s="10" t="str">
        <f aca="false">IF($A816="","",$G816&amp;"|"&amp;$J816)</f>
        <v/>
      </c>
      <c r="L816" s="10" t="str">
        <f aca="false">IF($A816="","",ROW()-2)</f>
        <v/>
      </c>
      <c r="M816" s="10" t="str">
        <f aca="false">IF($A816="","",ROW())</f>
        <v/>
      </c>
    </row>
    <row r="817" customFormat="false" ht="15" hidden="false" customHeight="true" outlineLevel="0" collapsed="false">
      <c r="A817" s="8"/>
      <c r="B817" s="8"/>
      <c r="C817" s="8"/>
      <c r="D817" s="8"/>
      <c r="E817" s="8"/>
      <c r="F817" s="8"/>
      <c r="G817" s="10" t="str">
        <f aca="false">IF($A817="","",UPPER(SUBSTITUTE(SUBSTITUTE(SUBSTITUTE(SUBSTITUTE($A817," ",""),"(주)",""),"주식회사",""),"㈜","")))</f>
        <v/>
      </c>
      <c r="H817" s="10" t="str">
        <f aca="false">IF($B817="","",SUBSTITUTE(SUBSTITUTE(SUBSTITUTE($B817,"-","")," ",""),".",""))</f>
        <v/>
      </c>
      <c r="I817" s="10" t="str">
        <f aca="false">IF($D817="","",SUBSTITUTE(SUBSTITUTE(SUBSTITUTE($D817,"-","")," ",""),".",""))</f>
        <v/>
      </c>
      <c r="J817" s="10" t="str">
        <f aca="false">IF($E817="","",UPPER(SUBSTITUTE($E817," ","")))</f>
        <v/>
      </c>
      <c r="K817" s="10" t="str">
        <f aca="false">IF($A817="","",$G817&amp;"|"&amp;$J817)</f>
        <v/>
      </c>
      <c r="L817" s="10" t="str">
        <f aca="false">IF($A817="","",ROW()-2)</f>
        <v/>
      </c>
      <c r="M817" s="10" t="str">
        <f aca="false">IF($A817="","",ROW())</f>
        <v/>
      </c>
    </row>
    <row r="818" customFormat="false" ht="15" hidden="false" customHeight="true" outlineLevel="0" collapsed="false">
      <c r="A818" s="8"/>
      <c r="B818" s="8"/>
      <c r="C818" s="8"/>
      <c r="D818" s="8"/>
      <c r="E818" s="8"/>
      <c r="F818" s="8"/>
      <c r="G818" s="10" t="str">
        <f aca="false">IF($A818="","",UPPER(SUBSTITUTE(SUBSTITUTE(SUBSTITUTE(SUBSTITUTE($A818," ",""),"(주)",""),"주식회사",""),"㈜","")))</f>
        <v/>
      </c>
      <c r="H818" s="10" t="str">
        <f aca="false">IF($B818="","",SUBSTITUTE(SUBSTITUTE(SUBSTITUTE($B818,"-","")," ",""),".",""))</f>
        <v/>
      </c>
      <c r="I818" s="10" t="str">
        <f aca="false">IF($D818="","",SUBSTITUTE(SUBSTITUTE(SUBSTITUTE($D818,"-","")," ",""),".",""))</f>
        <v/>
      </c>
      <c r="J818" s="10" t="str">
        <f aca="false">IF($E818="","",UPPER(SUBSTITUTE($E818," ","")))</f>
        <v/>
      </c>
      <c r="K818" s="10" t="str">
        <f aca="false">IF($A818="","",$G818&amp;"|"&amp;$J818)</f>
        <v/>
      </c>
      <c r="L818" s="10" t="str">
        <f aca="false">IF($A818="","",ROW()-2)</f>
        <v/>
      </c>
      <c r="M818" s="10" t="str">
        <f aca="false">IF($A818="","",ROW())</f>
        <v/>
      </c>
    </row>
    <row r="819" customFormat="false" ht="15" hidden="false" customHeight="true" outlineLevel="0" collapsed="false">
      <c r="A819" s="8"/>
      <c r="B819" s="8"/>
      <c r="C819" s="8"/>
      <c r="D819" s="8"/>
      <c r="E819" s="8"/>
      <c r="F819" s="8"/>
      <c r="G819" s="10" t="str">
        <f aca="false">IF($A819="","",UPPER(SUBSTITUTE(SUBSTITUTE(SUBSTITUTE(SUBSTITUTE($A819," ",""),"(주)",""),"주식회사",""),"㈜","")))</f>
        <v/>
      </c>
      <c r="H819" s="10" t="str">
        <f aca="false">IF($B819="","",SUBSTITUTE(SUBSTITUTE(SUBSTITUTE($B819,"-","")," ",""),".",""))</f>
        <v/>
      </c>
      <c r="I819" s="10" t="str">
        <f aca="false">IF($D819="","",SUBSTITUTE(SUBSTITUTE(SUBSTITUTE($D819,"-","")," ",""),".",""))</f>
        <v/>
      </c>
      <c r="J819" s="10" t="str">
        <f aca="false">IF($E819="","",UPPER(SUBSTITUTE($E819," ","")))</f>
        <v/>
      </c>
      <c r="K819" s="10" t="str">
        <f aca="false">IF($A819="","",$G819&amp;"|"&amp;$J819)</f>
        <v/>
      </c>
      <c r="L819" s="10" t="str">
        <f aca="false">IF($A819="","",ROW()-2)</f>
        <v/>
      </c>
      <c r="M819" s="10" t="str">
        <f aca="false">IF($A819="","",ROW())</f>
        <v/>
      </c>
    </row>
    <row r="820" customFormat="false" ht="15" hidden="false" customHeight="true" outlineLevel="0" collapsed="false">
      <c r="A820" s="8"/>
      <c r="B820" s="8"/>
      <c r="C820" s="8"/>
      <c r="D820" s="8"/>
      <c r="E820" s="8"/>
      <c r="F820" s="8"/>
      <c r="G820" s="10" t="str">
        <f aca="false">IF($A820="","",UPPER(SUBSTITUTE(SUBSTITUTE(SUBSTITUTE(SUBSTITUTE($A820," ",""),"(주)",""),"주식회사",""),"㈜","")))</f>
        <v/>
      </c>
      <c r="H820" s="10" t="str">
        <f aca="false">IF($B820="","",SUBSTITUTE(SUBSTITUTE(SUBSTITUTE($B820,"-","")," ",""),".",""))</f>
        <v/>
      </c>
      <c r="I820" s="10" t="str">
        <f aca="false">IF($D820="","",SUBSTITUTE(SUBSTITUTE(SUBSTITUTE($D820,"-","")," ",""),".",""))</f>
        <v/>
      </c>
      <c r="J820" s="10" t="str">
        <f aca="false">IF($E820="","",UPPER(SUBSTITUTE($E820," ","")))</f>
        <v/>
      </c>
      <c r="K820" s="10" t="str">
        <f aca="false">IF($A820="","",$G820&amp;"|"&amp;$J820)</f>
        <v/>
      </c>
      <c r="L820" s="10" t="str">
        <f aca="false">IF($A820="","",ROW()-2)</f>
        <v/>
      </c>
      <c r="M820" s="10" t="str">
        <f aca="false">IF($A820="","",ROW())</f>
        <v/>
      </c>
    </row>
    <row r="821" customFormat="false" ht="15" hidden="false" customHeight="true" outlineLevel="0" collapsed="false">
      <c r="A821" s="8"/>
      <c r="B821" s="8"/>
      <c r="C821" s="8"/>
      <c r="D821" s="8"/>
      <c r="E821" s="8"/>
      <c r="F821" s="8"/>
      <c r="G821" s="10" t="str">
        <f aca="false">IF($A821="","",UPPER(SUBSTITUTE(SUBSTITUTE(SUBSTITUTE(SUBSTITUTE($A821," ",""),"(주)",""),"주식회사",""),"㈜","")))</f>
        <v/>
      </c>
      <c r="H821" s="10" t="str">
        <f aca="false">IF($B821="","",SUBSTITUTE(SUBSTITUTE(SUBSTITUTE($B821,"-","")," ",""),".",""))</f>
        <v/>
      </c>
      <c r="I821" s="10" t="str">
        <f aca="false">IF($D821="","",SUBSTITUTE(SUBSTITUTE(SUBSTITUTE($D821,"-","")," ",""),".",""))</f>
        <v/>
      </c>
      <c r="J821" s="10" t="str">
        <f aca="false">IF($E821="","",UPPER(SUBSTITUTE($E821," ","")))</f>
        <v/>
      </c>
      <c r="K821" s="10" t="str">
        <f aca="false">IF($A821="","",$G821&amp;"|"&amp;$J821)</f>
        <v/>
      </c>
      <c r="L821" s="10" t="str">
        <f aca="false">IF($A821="","",ROW()-2)</f>
        <v/>
      </c>
      <c r="M821" s="10" t="str">
        <f aca="false">IF($A821="","",ROW())</f>
        <v/>
      </c>
    </row>
    <row r="822" customFormat="false" ht="15" hidden="false" customHeight="true" outlineLevel="0" collapsed="false">
      <c r="A822" s="8"/>
      <c r="B822" s="8"/>
      <c r="C822" s="8"/>
      <c r="D822" s="8"/>
      <c r="E822" s="8"/>
      <c r="F822" s="8"/>
      <c r="G822" s="10" t="str">
        <f aca="false">IF($A822="","",UPPER(SUBSTITUTE(SUBSTITUTE(SUBSTITUTE(SUBSTITUTE($A822," ",""),"(주)",""),"주식회사",""),"㈜","")))</f>
        <v/>
      </c>
      <c r="H822" s="10" t="str">
        <f aca="false">IF($B822="","",SUBSTITUTE(SUBSTITUTE(SUBSTITUTE($B822,"-","")," ",""),".",""))</f>
        <v/>
      </c>
      <c r="I822" s="10" t="str">
        <f aca="false">IF($D822="","",SUBSTITUTE(SUBSTITUTE(SUBSTITUTE($D822,"-","")," ",""),".",""))</f>
        <v/>
      </c>
      <c r="J822" s="10" t="str">
        <f aca="false">IF($E822="","",UPPER(SUBSTITUTE($E822," ","")))</f>
        <v/>
      </c>
      <c r="K822" s="10" t="str">
        <f aca="false">IF($A822="","",$G822&amp;"|"&amp;$J822)</f>
        <v/>
      </c>
      <c r="L822" s="10" t="str">
        <f aca="false">IF($A822="","",ROW()-2)</f>
        <v/>
      </c>
      <c r="M822" s="10" t="str">
        <f aca="false">IF($A822="","",ROW())</f>
        <v/>
      </c>
    </row>
    <row r="823" customFormat="false" ht="15" hidden="false" customHeight="true" outlineLevel="0" collapsed="false">
      <c r="A823" s="8"/>
      <c r="B823" s="8"/>
      <c r="C823" s="8"/>
      <c r="D823" s="8"/>
      <c r="E823" s="8"/>
      <c r="F823" s="8"/>
      <c r="G823" s="10" t="str">
        <f aca="false">IF($A823="","",UPPER(SUBSTITUTE(SUBSTITUTE(SUBSTITUTE(SUBSTITUTE($A823," ",""),"(주)",""),"주식회사",""),"㈜","")))</f>
        <v/>
      </c>
      <c r="H823" s="10" t="str">
        <f aca="false">IF($B823="","",SUBSTITUTE(SUBSTITUTE(SUBSTITUTE($B823,"-","")," ",""),".",""))</f>
        <v/>
      </c>
      <c r="I823" s="10" t="str">
        <f aca="false">IF($D823="","",SUBSTITUTE(SUBSTITUTE(SUBSTITUTE($D823,"-","")," ",""),".",""))</f>
        <v/>
      </c>
      <c r="J823" s="10" t="str">
        <f aca="false">IF($E823="","",UPPER(SUBSTITUTE($E823," ","")))</f>
        <v/>
      </c>
      <c r="K823" s="10" t="str">
        <f aca="false">IF($A823="","",$G823&amp;"|"&amp;$J823)</f>
        <v/>
      </c>
      <c r="L823" s="10" t="str">
        <f aca="false">IF($A823="","",ROW()-2)</f>
        <v/>
      </c>
      <c r="M823" s="10" t="str">
        <f aca="false">IF($A823="","",ROW())</f>
        <v/>
      </c>
    </row>
    <row r="824" customFormat="false" ht="15" hidden="false" customHeight="true" outlineLevel="0" collapsed="false">
      <c r="A824" s="8"/>
      <c r="B824" s="8"/>
      <c r="C824" s="8"/>
      <c r="D824" s="8"/>
      <c r="E824" s="8"/>
      <c r="F824" s="8"/>
      <c r="G824" s="10" t="str">
        <f aca="false">IF($A824="","",UPPER(SUBSTITUTE(SUBSTITUTE(SUBSTITUTE(SUBSTITUTE($A824," ",""),"(주)",""),"주식회사",""),"㈜","")))</f>
        <v/>
      </c>
      <c r="H824" s="10" t="str">
        <f aca="false">IF($B824="","",SUBSTITUTE(SUBSTITUTE(SUBSTITUTE($B824,"-","")," ",""),".",""))</f>
        <v/>
      </c>
      <c r="I824" s="10" t="str">
        <f aca="false">IF($D824="","",SUBSTITUTE(SUBSTITUTE(SUBSTITUTE($D824,"-","")," ",""),".",""))</f>
        <v/>
      </c>
      <c r="J824" s="10" t="str">
        <f aca="false">IF($E824="","",UPPER(SUBSTITUTE($E824," ","")))</f>
        <v/>
      </c>
      <c r="K824" s="10" t="str">
        <f aca="false">IF($A824="","",$G824&amp;"|"&amp;$J824)</f>
        <v/>
      </c>
      <c r="L824" s="10" t="str">
        <f aca="false">IF($A824="","",ROW()-2)</f>
        <v/>
      </c>
      <c r="M824" s="10" t="str">
        <f aca="false">IF($A824="","",ROW())</f>
        <v/>
      </c>
    </row>
    <row r="825" customFormat="false" ht="15" hidden="false" customHeight="true" outlineLevel="0" collapsed="false">
      <c r="A825" s="8"/>
      <c r="B825" s="8"/>
      <c r="C825" s="8"/>
      <c r="D825" s="8"/>
      <c r="E825" s="8"/>
      <c r="F825" s="8"/>
      <c r="G825" s="10" t="str">
        <f aca="false">IF($A825="","",UPPER(SUBSTITUTE(SUBSTITUTE(SUBSTITUTE(SUBSTITUTE($A825," ",""),"(주)",""),"주식회사",""),"㈜","")))</f>
        <v/>
      </c>
      <c r="H825" s="10" t="str">
        <f aca="false">IF($B825="","",SUBSTITUTE(SUBSTITUTE(SUBSTITUTE($B825,"-","")," ",""),".",""))</f>
        <v/>
      </c>
      <c r="I825" s="10" t="str">
        <f aca="false">IF($D825="","",SUBSTITUTE(SUBSTITUTE(SUBSTITUTE($D825,"-","")," ",""),".",""))</f>
        <v/>
      </c>
      <c r="J825" s="10" t="str">
        <f aca="false">IF($E825="","",UPPER(SUBSTITUTE($E825," ","")))</f>
        <v/>
      </c>
      <c r="K825" s="10" t="str">
        <f aca="false">IF($A825="","",$G825&amp;"|"&amp;$J825)</f>
        <v/>
      </c>
      <c r="L825" s="10" t="str">
        <f aca="false">IF($A825="","",ROW()-2)</f>
        <v/>
      </c>
      <c r="M825" s="10" t="str">
        <f aca="false">IF($A825="","",ROW())</f>
        <v/>
      </c>
    </row>
    <row r="826" customFormat="false" ht="15" hidden="false" customHeight="true" outlineLevel="0" collapsed="false">
      <c r="A826" s="8"/>
      <c r="B826" s="8"/>
      <c r="C826" s="8"/>
      <c r="D826" s="8"/>
      <c r="E826" s="8"/>
      <c r="F826" s="8"/>
      <c r="G826" s="10" t="str">
        <f aca="false">IF($A826="","",UPPER(SUBSTITUTE(SUBSTITUTE(SUBSTITUTE(SUBSTITUTE($A826," ",""),"(주)",""),"주식회사",""),"㈜","")))</f>
        <v/>
      </c>
      <c r="H826" s="10" t="str">
        <f aca="false">IF($B826="","",SUBSTITUTE(SUBSTITUTE(SUBSTITUTE($B826,"-","")," ",""),".",""))</f>
        <v/>
      </c>
      <c r="I826" s="10" t="str">
        <f aca="false">IF($D826="","",SUBSTITUTE(SUBSTITUTE(SUBSTITUTE($D826,"-","")," ",""),".",""))</f>
        <v/>
      </c>
      <c r="J826" s="10" t="str">
        <f aca="false">IF($E826="","",UPPER(SUBSTITUTE($E826," ","")))</f>
        <v/>
      </c>
      <c r="K826" s="10" t="str">
        <f aca="false">IF($A826="","",$G826&amp;"|"&amp;$J826)</f>
        <v/>
      </c>
      <c r="L826" s="10" t="str">
        <f aca="false">IF($A826="","",ROW()-2)</f>
        <v/>
      </c>
      <c r="M826" s="10" t="str">
        <f aca="false">IF($A826="","",ROW())</f>
        <v/>
      </c>
    </row>
    <row r="827" customFormat="false" ht="15" hidden="false" customHeight="true" outlineLevel="0" collapsed="false">
      <c r="A827" s="8"/>
      <c r="B827" s="8"/>
      <c r="C827" s="8"/>
      <c r="D827" s="8"/>
      <c r="E827" s="8"/>
      <c r="F827" s="8"/>
      <c r="G827" s="10" t="str">
        <f aca="false">IF($A827="","",UPPER(SUBSTITUTE(SUBSTITUTE(SUBSTITUTE(SUBSTITUTE($A827," ",""),"(주)",""),"주식회사",""),"㈜","")))</f>
        <v/>
      </c>
      <c r="H827" s="10" t="str">
        <f aca="false">IF($B827="","",SUBSTITUTE(SUBSTITUTE(SUBSTITUTE($B827,"-","")," ",""),".",""))</f>
        <v/>
      </c>
      <c r="I827" s="10" t="str">
        <f aca="false">IF($D827="","",SUBSTITUTE(SUBSTITUTE(SUBSTITUTE($D827,"-","")," ",""),".",""))</f>
        <v/>
      </c>
      <c r="J827" s="10" t="str">
        <f aca="false">IF($E827="","",UPPER(SUBSTITUTE($E827," ","")))</f>
        <v/>
      </c>
      <c r="K827" s="10" t="str">
        <f aca="false">IF($A827="","",$G827&amp;"|"&amp;$J827)</f>
        <v/>
      </c>
      <c r="L827" s="10" t="str">
        <f aca="false">IF($A827="","",ROW()-2)</f>
        <v/>
      </c>
      <c r="M827" s="10" t="str">
        <f aca="false">IF($A827="","",ROW())</f>
        <v/>
      </c>
    </row>
    <row r="828" customFormat="false" ht="15" hidden="false" customHeight="true" outlineLevel="0" collapsed="false">
      <c r="A828" s="8"/>
      <c r="B828" s="8"/>
      <c r="C828" s="8"/>
      <c r="D828" s="8"/>
      <c r="E828" s="8"/>
      <c r="F828" s="8"/>
      <c r="G828" s="10" t="str">
        <f aca="false">IF($A828="","",UPPER(SUBSTITUTE(SUBSTITUTE(SUBSTITUTE(SUBSTITUTE($A828," ",""),"(주)",""),"주식회사",""),"㈜","")))</f>
        <v/>
      </c>
      <c r="H828" s="10" t="str">
        <f aca="false">IF($B828="","",SUBSTITUTE(SUBSTITUTE(SUBSTITUTE($B828,"-","")," ",""),".",""))</f>
        <v/>
      </c>
      <c r="I828" s="10" t="str">
        <f aca="false">IF($D828="","",SUBSTITUTE(SUBSTITUTE(SUBSTITUTE($D828,"-","")," ",""),".",""))</f>
        <v/>
      </c>
      <c r="J828" s="10" t="str">
        <f aca="false">IF($E828="","",UPPER(SUBSTITUTE($E828," ","")))</f>
        <v/>
      </c>
      <c r="K828" s="10" t="str">
        <f aca="false">IF($A828="","",$G828&amp;"|"&amp;$J828)</f>
        <v/>
      </c>
      <c r="L828" s="10" t="str">
        <f aca="false">IF($A828="","",ROW()-2)</f>
        <v/>
      </c>
      <c r="M828" s="10" t="str">
        <f aca="false">IF($A828="","",ROW())</f>
        <v/>
      </c>
    </row>
    <row r="829" customFormat="false" ht="15" hidden="false" customHeight="true" outlineLevel="0" collapsed="false">
      <c r="A829" s="8"/>
      <c r="B829" s="8"/>
      <c r="C829" s="8"/>
      <c r="D829" s="8"/>
      <c r="E829" s="8"/>
      <c r="F829" s="8"/>
      <c r="G829" s="10" t="str">
        <f aca="false">IF($A829="","",UPPER(SUBSTITUTE(SUBSTITUTE(SUBSTITUTE(SUBSTITUTE($A829," ",""),"(주)",""),"주식회사",""),"㈜","")))</f>
        <v/>
      </c>
      <c r="H829" s="10" t="str">
        <f aca="false">IF($B829="","",SUBSTITUTE(SUBSTITUTE(SUBSTITUTE($B829,"-","")," ",""),".",""))</f>
        <v/>
      </c>
      <c r="I829" s="10" t="str">
        <f aca="false">IF($D829="","",SUBSTITUTE(SUBSTITUTE(SUBSTITUTE($D829,"-","")," ",""),".",""))</f>
        <v/>
      </c>
      <c r="J829" s="10" t="str">
        <f aca="false">IF($E829="","",UPPER(SUBSTITUTE($E829," ","")))</f>
        <v/>
      </c>
      <c r="K829" s="10" t="str">
        <f aca="false">IF($A829="","",$G829&amp;"|"&amp;$J829)</f>
        <v/>
      </c>
      <c r="L829" s="10" t="str">
        <f aca="false">IF($A829="","",ROW()-2)</f>
        <v/>
      </c>
      <c r="M829" s="10" t="str">
        <f aca="false">IF($A829="","",ROW())</f>
        <v/>
      </c>
    </row>
    <row r="830" customFormat="false" ht="15" hidden="false" customHeight="true" outlineLevel="0" collapsed="false">
      <c r="A830" s="8"/>
      <c r="B830" s="8"/>
      <c r="C830" s="8"/>
      <c r="D830" s="8"/>
      <c r="E830" s="8"/>
      <c r="F830" s="8"/>
      <c r="G830" s="10" t="str">
        <f aca="false">IF($A830="","",UPPER(SUBSTITUTE(SUBSTITUTE(SUBSTITUTE(SUBSTITUTE($A830," ",""),"(주)",""),"주식회사",""),"㈜","")))</f>
        <v/>
      </c>
      <c r="H830" s="10" t="str">
        <f aca="false">IF($B830="","",SUBSTITUTE(SUBSTITUTE(SUBSTITUTE($B830,"-","")," ",""),".",""))</f>
        <v/>
      </c>
      <c r="I830" s="10" t="str">
        <f aca="false">IF($D830="","",SUBSTITUTE(SUBSTITUTE(SUBSTITUTE($D830,"-","")," ",""),".",""))</f>
        <v/>
      </c>
      <c r="J830" s="10" t="str">
        <f aca="false">IF($E830="","",UPPER(SUBSTITUTE($E830," ","")))</f>
        <v/>
      </c>
      <c r="K830" s="10" t="str">
        <f aca="false">IF($A830="","",$G830&amp;"|"&amp;$J830)</f>
        <v/>
      </c>
      <c r="L830" s="10" t="str">
        <f aca="false">IF($A830="","",ROW()-2)</f>
        <v/>
      </c>
      <c r="M830" s="10" t="str">
        <f aca="false">IF($A830="","",ROW())</f>
        <v/>
      </c>
    </row>
    <row r="831" customFormat="false" ht="15" hidden="false" customHeight="true" outlineLevel="0" collapsed="false">
      <c r="A831" s="8"/>
      <c r="B831" s="8"/>
      <c r="C831" s="8"/>
      <c r="D831" s="8"/>
      <c r="E831" s="8"/>
      <c r="F831" s="8"/>
      <c r="G831" s="10" t="str">
        <f aca="false">IF($A831="","",UPPER(SUBSTITUTE(SUBSTITUTE(SUBSTITUTE(SUBSTITUTE($A831," ",""),"(주)",""),"주식회사",""),"㈜","")))</f>
        <v/>
      </c>
      <c r="H831" s="10" t="str">
        <f aca="false">IF($B831="","",SUBSTITUTE(SUBSTITUTE(SUBSTITUTE($B831,"-","")," ",""),".",""))</f>
        <v/>
      </c>
      <c r="I831" s="10" t="str">
        <f aca="false">IF($D831="","",SUBSTITUTE(SUBSTITUTE(SUBSTITUTE($D831,"-","")," ",""),".",""))</f>
        <v/>
      </c>
      <c r="J831" s="10" t="str">
        <f aca="false">IF($E831="","",UPPER(SUBSTITUTE($E831," ","")))</f>
        <v/>
      </c>
      <c r="K831" s="10" t="str">
        <f aca="false">IF($A831="","",$G831&amp;"|"&amp;$J831)</f>
        <v/>
      </c>
      <c r="L831" s="10" t="str">
        <f aca="false">IF($A831="","",ROW()-2)</f>
        <v/>
      </c>
      <c r="M831" s="10" t="str">
        <f aca="false">IF($A831="","",ROW())</f>
        <v/>
      </c>
    </row>
    <row r="832" customFormat="false" ht="15" hidden="false" customHeight="true" outlineLevel="0" collapsed="false">
      <c r="A832" s="8"/>
      <c r="B832" s="8"/>
      <c r="C832" s="8"/>
      <c r="D832" s="8"/>
      <c r="E832" s="8"/>
      <c r="F832" s="8"/>
      <c r="G832" s="10" t="str">
        <f aca="false">IF($A832="","",UPPER(SUBSTITUTE(SUBSTITUTE(SUBSTITUTE(SUBSTITUTE($A832," ",""),"(주)",""),"주식회사",""),"㈜","")))</f>
        <v/>
      </c>
      <c r="H832" s="10" t="str">
        <f aca="false">IF($B832="","",SUBSTITUTE(SUBSTITUTE(SUBSTITUTE($B832,"-","")," ",""),".",""))</f>
        <v/>
      </c>
      <c r="I832" s="10" t="str">
        <f aca="false">IF($D832="","",SUBSTITUTE(SUBSTITUTE(SUBSTITUTE($D832,"-","")," ",""),".",""))</f>
        <v/>
      </c>
      <c r="J832" s="10" t="str">
        <f aca="false">IF($E832="","",UPPER(SUBSTITUTE($E832," ","")))</f>
        <v/>
      </c>
      <c r="K832" s="10" t="str">
        <f aca="false">IF($A832="","",$G832&amp;"|"&amp;$J832)</f>
        <v/>
      </c>
      <c r="L832" s="10" t="str">
        <f aca="false">IF($A832="","",ROW()-2)</f>
        <v/>
      </c>
      <c r="M832" s="10" t="str">
        <f aca="false">IF($A832="","",ROW())</f>
        <v/>
      </c>
    </row>
    <row r="833" customFormat="false" ht="15" hidden="false" customHeight="true" outlineLevel="0" collapsed="false">
      <c r="A833" s="8"/>
      <c r="B833" s="8"/>
      <c r="C833" s="8"/>
      <c r="D833" s="8"/>
      <c r="E833" s="8"/>
      <c r="F833" s="8"/>
      <c r="G833" s="10" t="str">
        <f aca="false">IF($A833="","",UPPER(SUBSTITUTE(SUBSTITUTE(SUBSTITUTE(SUBSTITUTE($A833," ",""),"(주)",""),"주식회사",""),"㈜","")))</f>
        <v/>
      </c>
      <c r="H833" s="10" t="str">
        <f aca="false">IF($B833="","",SUBSTITUTE(SUBSTITUTE(SUBSTITUTE($B833,"-","")," ",""),".",""))</f>
        <v/>
      </c>
      <c r="I833" s="10" t="str">
        <f aca="false">IF($D833="","",SUBSTITUTE(SUBSTITUTE(SUBSTITUTE($D833,"-","")," ",""),".",""))</f>
        <v/>
      </c>
      <c r="J833" s="10" t="str">
        <f aca="false">IF($E833="","",UPPER(SUBSTITUTE($E833," ","")))</f>
        <v/>
      </c>
      <c r="K833" s="10" t="str">
        <f aca="false">IF($A833="","",$G833&amp;"|"&amp;$J833)</f>
        <v/>
      </c>
      <c r="L833" s="10" t="str">
        <f aca="false">IF($A833="","",ROW()-2)</f>
        <v/>
      </c>
      <c r="M833" s="10" t="str">
        <f aca="false">IF($A833="","",ROW())</f>
        <v/>
      </c>
    </row>
    <row r="834" customFormat="false" ht="15" hidden="false" customHeight="true" outlineLevel="0" collapsed="false">
      <c r="A834" s="8"/>
      <c r="B834" s="8"/>
      <c r="C834" s="8"/>
      <c r="D834" s="8"/>
      <c r="E834" s="8"/>
      <c r="F834" s="8"/>
      <c r="G834" s="10" t="str">
        <f aca="false">IF($A834="","",UPPER(SUBSTITUTE(SUBSTITUTE(SUBSTITUTE(SUBSTITUTE($A834," ",""),"(주)",""),"주식회사",""),"㈜","")))</f>
        <v/>
      </c>
      <c r="H834" s="10" t="str">
        <f aca="false">IF($B834="","",SUBSTITUTE(SUBSTITUTE(SUBSTITUTE($B834,"-","")," ",""),".",""))</f>
        <v/>
      </c>
      <c r="I834" s="10" t="str">
        <f aca="false">IF($D834="","",SUBSTITUTE(SUBSTITUTE(SUBSTITUTE($D834,"-","")," ",""),".",""))</f>
        <v/>
      </c>
      <c r="J834" s="10" t="str">
        <f aca="false">IF($E834="","",UPPER(SUBSTITUTE($E834," ","")))</f>
        <v/>
      </c>
      <c r="K834" s="10" t="str">
        <f aca="false">IF($A834="","",$G834&amp;"|"&amp;$J834)</f>
        <v/>
      </c>
      <c r="L834" s="10" t="str">
        <f aca="false">IF($A834="","",ROW()-2)</f>
        <v/>
      </c>
      <c r="M834" s="10" t="str">
        <f aca="false">IF($A834="","",ROW())</f>
        <v/>
      </c>
    </row>
    <row r="835" customFormat="false" ht="15" hidden="false" customHeight="true" outlineLevel="0" collapsed="false">
      <c r="A835" s="8"/>
      <c r="B835" s="8"/>
      <c r="C835" s="8"/>
      <c r="D835" s="8"/>
      <c r="E835" s="8"/>
      <c r="F835" s="8"/>
      <c r="G835" s="10" t="str">
        <f aca="false">IF($A835="","",UPPER(SUBSTITUTE(SUBSTITUTE(SUBSTITUTE(SUBSTITUTE($A835," ",""),"(주)",""),"주식회사",""),"㈜","")))</f>
        <v/>
      </c>
      <c r="H835" s="10" t="str">
        <f aca="false">IF($B835="","",SUBSTITUTE(SUBSTITUTE(SUBSTITUTE($B835,"-","")," ",""),".",""))</f>
        <v/>
      </c>
      <c r="I835" s="10" t="str">
        <f aca="false">IF($D835="","",SUBSTITUTE(SUBSTITUTE(SUBSTITUTE($D835,"-","")," ",""),".",""))</f>
        <v/>
      </c>
      <c r="J835" s="10" t="str">
        <f aca="false">IF($E835="","",UPPER(SUBSTITUTE($E835," ","")))</f>
        <v/>
      </c>
      <c r="K835" s="10" t="str">
        <f aca="false">IF($A835="","",$G835&amp;"|"&amp;$J835)</f>
        <v/>
      </c>
      <c r="L835" s="10" t="str">
        <f aca="false">IF($A835="","",ROW()-2)</f>
        <v/>
      </c>
      <c r="M835" s="10" t="str">
        <f aca="false">IF($A835="","",ROW())</f>
        <v/>
      </c>
    </row>
    <row r="836" customFormat="false" ht="15" hidden="false" customHeight="true" outlineLevel="0" collapsed="false">
      <c r="A836" s="8"/>
      <c r="B836" s="8"/>
      <c r="C836" s="8"/>
      <c r="D836" s="8"/>
      <c r="E836" s="8"/>
      <c r="F836" s="8"/>
      <c r="G836" s="10" t="str">
        <f aca="false">IF($A836="","",UPPER(SUBSTITUTE(SUBSTITUTE(SUBSTITUTE(SUBSTITUTE($A836," ",""),"(주)",""),"주식회사",""),"㈜","")))</f>
        <v/>
      </c>
      <c r="H836" s="10" t="str">
        <f aca="false">IF($B836="","",SUBSTITUTE(SUBSTITUTE(SUBSTITUTE($B836,"-","")," ",""),".",""))</f>
        <v/>
      </c>
      <c r="I836" s="10" t="str">
        <f aca="false">IF($D836="","",SUBSTITUTE(SUBSTITUTE(SUBSTITUTE($D836,"-","")," ",""),".",""))</f>
        <v/>
      </c>
      <c r="J836" s="10" t="str">
        <f aca="false">IF($E836="","",UPPER(SUBSTITUTE($E836," ","")))</f>
        <v/>
      </c>
      <c r="K836" s="10" t="str">
        <f aca="false">IF($A836="","",$G836&amp;"|"&amp;$J836)</f>
        <v/>
      </c>
      <c r="L836" s="10" t="str">
        <f aca="false">IF($A836="","",ROW()-2)</f>
        <v/>
      </c>
      <c r="M836" s="10" t="str">
        <f aca="false">IF($A836="","",ROW())</f>
        <v/>
      </c>
    </row>
    <row r="837" customFormat="false" ht="15" hidden="false" customHeight="true" outlineLevel="0" collapsed="false">
      <c r="A837" s="8"/>
      <c r="B837" s="8"/>
      <c r="C837" s="8"/>
      <c r="D837" s="8"/>
      <c r="E837" s="8"/>
      <c r="F837" s="8"/>
      <c r="G837" s="10" t="str">
        <f aca="false">IF($A837="","",UPPER(SUBSTITUTE(SUBSTITUTE(SUBSTITUTE(SUBSTITUTE($A837," ",""),"(주)",""),"주식회사",""),"㈜","")))</f>
        <v/>
      </c>
      <c r="H837" s="10" t="str">
        <f aca="false">IF($B837="","",SUBSTITUTE(SUBSTITUTE(SUBSTITUTE($B837,"-","")," ",""),".",""))</f>
        <v/>
      </c>
      <c r="I837" s="10" t="str">
        <f aca="false">IF($D837="","",SUBSTITUTE(SUBSTITUTE(SUBSTITUTE($D837,"-","")," ",""),".",""))</f>
        <v/>
      </c>
      <c r="J837" s="10" t="str">
        <f aca="false">IF($E837="","",UPPER(SUBSTITUTE($E837," ","")))</f>
        <v/>
      </c>
      <c r="K837" s="10" t="str">
        <f aca="false">IF($A837="","",$G837&amp;"|"&amp;$J837)</f>
        <v/>
      </c>
      <c r="L837" s="10" t="str">
        <f aca="false">IF($A837="","",ROW()-2)</f>
        <v/>
      </c>
      <c r="M837" s="10" t="str">
        <f aca="false">IF($A837="","",ROW())</f>
        <v/>
      </c>
    </row>
    <row r="838" customFormat="false" ht="15" hidden="false" customHeight="true" outlineLevel="0" collapsed="false">
      <c r="A838" s="8"/>
      <c r="B838" s="8"/>
      <c r="C838" s="8"/>
      <c r="D838" s="8"/>
      <c r="E838" s="8"/>
      <c r="F838" s="8"/>
      <c r="G838" s="10" t="str">
        <f aca="false">IF($A838="","",UPPER(SUBSTITUTE(SUBSTITUTE(SUBSTITUTE(SUBSTITUTE($A838," ",""),"(주)",""),"주식회사",""),"㈜","")))</f>
        <v/>
      </c>
      <c r="H838" s="10" t="str">
        <f aca="false">IF($B838="","",SUBSTITUTE(SUBSTITUTE(SUBSTITUTE($B838,"-","")," ",""),".",""))</f>
        <v/>
      </c>
      <c r="I838" s="10" t="str">
        <f aca="false">IF($D838="","",SUBSTITUTE(SUBSTITUTE(SUBSTITUTE($D838,"-","")," ",""),".",""))</f>
        <v/>
      </c>
      <c r="J838" s="10" t="str">
        <f aca="false">IF($E838="","",UPPER(SUBSTITUTE($E838," ","")))</f>
        <v/>
      </c>
      <c r="K838" s="10" t="str">
        <f aca="false">IF($A838="","",$G838&amp;"|"&amp;$J838)</f>
        <v/>
      </c>
      <c r="L838" s="10" t="str">
        <f aca="false">IF($A838="","",ROW()-2)</f>
        <v/>
      </c>
      <c r="M838" s="10" t="str">
        <f aca="false">IF($A838="","",ROW())</f>
        <v/>
      </c>
    </row>
    <row r="839" customFormat="false" ht="15" hidden="false" customHeight="true" outlineLevel="0" collapsed="false">
      <c r="A839" s="8"/>
      <c r="B839" s="8"/>
      <c r="C839" s="8"/>
      <c r="D839" s="8"/>
      <c r="E839" s="8"/>
      <c r="F839" s="8"/>
      <c r="G839" s="10" t="str">
        <f aca="false">IF($A839="","",UPPER(SUBSTITUTE(SUBSTITUTE(SUBSTITUTE(SUBSTITUTE($A839," ",""),"(주)",""),"주식회사",""),"㈜","")))</f>
        <v/>
      </c>
      <c r="H839" s="10" t="str">
        <f aca="false">IF($B839="","",SUBSTITUTE(SUBSTITUTE(SUBSTITUTE($B839,"-","")," ",""),".",""))</f>
        <v/>
      </c>
      <c r="I839" s="10" t="str">
        <f aca="false">IF($D839="","",SUBSTITUTE(SUBSTITUTE(SUBSTITUTE($D839,"-","")," ",""),".",""))</f>
        <v/>
      </c>
      <c r="J839" s="10" t="str">
        <f aca="false">IF($E839="","",UPPER(SUBSTITUTE($E839," ","")))</f>
        <v/>
      </c>
      <c r="K839" s="10" t="str">
        <f aca="false">IF($A839="","",$G839&amp;"|"&amp;$J839)</f>
        <v/>
      </c>
      <c r="L839" s="10" t="str">
        <f aca="false">IF($A839="","",ROW()-2)</f>
        <v/>
      </c>
      <c r="M839" s="10" t="str">
        <f aca="false">IF($A839="","",ROW())</f>
        <v/>
      </c>
    </row>
    <row r="840" customFormat="false" ht="15" hidden="false" customHeight="true" outlineLevel="0" collapsed="false">
      <c r="A840" s="8"/>
      <c r="B840" s="8"/>
      <c r="C840" s="8"/>
      <c r="D840" s="8"/>
      <c r="E840" s="8"/>
      <c r="F840" s="8"/>
      <c r="G840" s="10" t="str">
        <f aca="false">IF($A840="","",UPPER(SUBSTITUTE(SUBSTITUTE(SUBSTITUTE(SUBSTITUTE($A840," ",""),"(주)",""),"주식회사",""),"㈜","")))</f>
        <v/>
      </c>
      <c r="H840" s="10" t="str">
        <f aca="false">IF($B840="","",SUBSTITUTE(SUBSTITUTE(SUBSTITUTE($B840,"-","")," ",""),".",""))</f>
        <v/>
      </c>
      <c r="I840" s="10" t="str">
        <f aca="false">IF($D840="","",SUBSTITUTE(SUBSTITUTE(SUBSTITUTE($D840,"-","")," ",""),".",""))</f>
        <v/>
      </c>
      <c r="J840" s="10" t="str">
        <f aca="false">IF($E840="","",UPPER(SUBSTITUTE($E840," ","")))</f>
        <v/>
      </c>
      <c r="K840" s="10" t="str">
        <f aca="false">IF($A840="","",$G840&amp;"|"&amp;$J840)</f>
        <v/>
      </c>
      <c r="L840" s="10" t="str">
        <f aca="false">IF($A840="","",ROW()-2)</f>
        <v/>
      </c>
      <c r="M840" s="10" t="str">
        <f aca="false">IF($A840="","",ROW())</f>
        <v/>
      </c>
    </row>
    <row r="841" customFormat="false" ht="15" hidden="false" customHeight="true" outlineLevel="0" collapsed="false">
      <c r="A841" s="8"/>
      <c r="B841" s="8"/>
      <c r="C841" s="8"/>
      <c r="D841" s="8"/>
      <c r="E841" s="8"/>
      <c r="F841" s="8"/>
      <c r="G841" s="10" t="str">
        <f aca="false">IF($A841="","",UPPER(SUBSTITUTE(SUBSTITUTE(SUBSTITUTE(SUBSTITUTE($A841," ",""),"(주)",""),"주식회사",""),"㈜","")))</f>
        <v/>
      </c>
      <c r="H841" s="10" t="str">
        <f aca="false">IF($B841="","",SUBSTITUTE(SUBSTITUTE(SUBSTITUTE($B841,"-","")," ",""),".",""))</f>
        <v/>
      </c>
      <c r="I841" s="10" t="str">
        <f aca="false">IF($D841="","",SUBSTITUTE(SUBSTITUTE(SUBSTITUTE($D841,"-","")," ",""),".",""))</f>
        <v/>
      </c>
      <c r="J841" s="10" t="str">
        <f aca="false">IF($E841="","",UPPER(SUBSTITUTE($E841," ","")))</f>
        <v/>
      </c>
      <c r="K841" s="10" t="str">
        <f aca="false">IF($A841="","",$G841&amp;"|"&amp;$J841)</f>
        <v/>
      </c>
      <c r="L841" s="10" t="str">
        <f aca="false">IF($A841="","",ROW()-2)</f>
        <v/>
      </c>
      <c r="M841" s="10" t="str">
        <f aca="false">IF($A841="","",ROW())</f>
        <v/>
      </c>
    </row>
    <row r="842" customFormat="false" ht="15" hidden="false" customHeight="true" outlineLevel="0" collapsed="false">
      <c r="A842" s="8"/>
      <c r="B842" s="8"/>
      <c r="C842" s="8"/>
      <c r="D842" s="8"/>
      <c r="E842" s="8"/>
      <c r="F842" s="8"/>
      <c r="G842" s="10" t="str">
        <f aca="false">IF($A842="","",UPPER(SUBSTITUTE(SUBSTITUTE(SUBSTITUTE(SUBSTITUTE($A842," ",""),"(주)",""),"주식회사",""),"㈜","")))</f>
        <v/>
      </c>
      <c r="H842" s="10" t="str">
        <f aca="false">IF($B842="","",SUBSTITUTE(SUBSTITUTE(SUBSTITUTE($B842,"-","")," ",""),".",""))</f>
        <v/>
      </c>
      <c r="I842" s="10" t="str">
        <f aca="false">IF($D842="","",SUBSTITUTE(SUBSTITUTE(SUBSTITUTE($D842,"-","")," ",""),".",""))</f>
        <v/>
      </c>
      <c r="J842" s="10" t="str">
        <f aca="false">IF($E842="","",UPPER(SUBSTITUTE($E842," ","")))</f>
        <v/>
      </c>
      <c r="K842" s="10" t="str">
        <f aca="false">IF($A842="","",$G842&amp;"|"&amp;$J842)</f>
        <v/>
      </c>
      <c r="L842" s="10" t="str">
        <f aca="false">IF($A842="","",ROW()-2)</f>
        <v/>
      </c>
      <c r="M842" s="10" t="str">
        <f aca="false">IF($A842="","",ROW())</f>
        <v/>
      </c>
    </row>
    <row r="843" customFormat="false" ht="15" hidden="false" customHeight="true" outlineLevel="0" collapsed="false">
      <c r="A843" s="8"/>
      <c r="B843" s="8"/>
      <c r="C843" s="8"/>
      <c r="D843" s="8"/>
      <c r="E843" s="8"/>
      <c r="F843" s="8"/>
      <c r="G843" s="10" t="str">
        <f aca="false">IF($A843="","",UPPER(SUBSTITUTE(SUBSTITUTE(SUBSTITUTE(SUBSTITUTE($A843," ",""),"(주)",""),"주식회사",""),"㈜","")))</f>
        <v/>
      </c>
      <c r="H843" s="10" t="str">
        <f aca="false">IF($B843="","",SUBSTITUTE(SUBSTITUTE(SUBSTITUTE($B843,"-","")," ",""),".",""))</f>
        <v/>
      </c>
      <c r="I843" s="10" t="str">
        <f aca="false">IF($D843="","",SUBSTITUTE(SUBSTITUTE(SUBSTITUTE($D843,"-","")," ",""),".",""))</f>
        <v/>
      </c>
      <c r="J843" s="10" t="str">
        <f aca="false">IF($E843="","",UPPER(SUBSTITUTE($E843," ","")))</f>
        <v/>
      </c>
      <c r="K843" s="10" t="str">
        <f aca="false">IF($A843="","",$G843&amp;"|"&amp;$J843)</f>
        <v/>
      </c>
      <c r="L843" s="10" t="str">
        <f aca="false">IF($A843="","",ROW()-2)</f>
        <v/>
      </c>
      <c r="M843" s="10" t="str">
        <f aca="false">IF($A843="","",ROW())</f>
        <v/>
      </c>
    </row>
    <row r="844" customFormat="false" ht="15" hidden="false" customHeight="true" outlineLevel="0" collapsed="false">
      <c r="A844" s="8"/>
      <c r="B844" s="8"/>
      <c r="C844" s="8"/>
      <c r="D844" s="8"/>
      <c r="E844" s="8"/>
      <c r="F844" s="8"/>
      <c r="G844" s="10" t="str">
        <f aca="false">IF($A844="","",UPPER(SUBSTITUTE(SUBSTITUTE(SUBSTITUTE(SUBSTITUTE($A844," ",""),"(주)",""),"주식회사",""),"㈜","")))</f>
        <v/>
      </c>
      <c r="H844" s="10" t="str">
        <f aca="false">IF($B844="","",SUBSTITUTE(SUBSTITUTE(SUBSTITUTE($B844,"-","")," ",""),".",""))</f>
        <v/>
      </c>
      <c r="I844" s="10" t="str">
        <f aca="false">IF($D844="","",SUBSTITUTE(SUBSTITUTE(SUBSTITUTE($D844,"-","")," ",""),".",""))</f>
        <v/>
      </c>
      <c r="J844" s="10" t="str">
        <f aca="false">IF($E844="","",UPPER(SUBSTITUTE($E844," ","")))</f>
        <v/>
      </c>
      <c r="K844" s="10" t="str">
        <f aca="false">IF($A844="","",$G844&amp;"|"&amp;$J844)</f>
        <v/>
      </c>
      <c r="L844" s="10" t="str">
        <f aca="false">IF($A844="","",ROW()-2)</f>
        <v/>
      </c>
      <c r="M844" s="10" t="str">
        <f aca="false">IF($A844="","",ROW())</f>
        <v/>
      </c>
    </row>
    <row r="845" customFormat="false" ht="15" hidden="false" customHeight="true" outlineLevel="0" collapsed="false">
      <c r="A845" s="8"/>
      <c r="B845" s="8"/>
      <c r="C845" s="8"/>
      <c r="D845" s="8"/>
      <c r="E845" s="8"/>
      <c r="F845" s="8"/>
      <c r="G845" s="10" t="str">
        <f aca="false">IF($A845="","",UPPER(SUBSTITUTE(SUBSTITUTE(SUBSTITUTE(SUBSTITUTE($A845," ",""),"(주)",""),"주식회사",""),"㈜","")))</f>
        <v/>
      </c>
      <c r="H845" s="10" t="str">
        <f aca="false">IF($B845="","",SUBSTITUTE(SUBSTITUTE(SUBSTITUTE($B845,"-","")," ",""),".",""))</f>
        <v/>
      </c>
      <c r="I845" s="10" t="str">
        <f aca="false">IF($D845="","",SUBSTITUTE(SUBSTITUTE(SUBSTITUTE($D845,"-","")," ",""),".",""))</f>
        <v/>
      </c>
      <c r="J845" s="10" t="str">
        <f aca="false">IF($E845="","",UPPER(SUBSTITUTE($E845," ","")))</f>
        <v/>
      </c>
      <c r="K845" s="10" t="str">
        <f aca="false">IF($A845="","",$G845&amp;"|"&amp;$J845)</f>
        <v/>
      </c>
      <c r="L845" s="10" t="str">
        <f aca="false">IF($A845="","",ROW()-2)</f>
        <v/>
      </c>
      <c r="M845" s="10" t="str">
        <f aca="false">IF($A845="","",ROW())</f>
        <v/>
      </c>
    </row>
    <row r="846" customFormat="false" ht="15" hidden="false" customHeight="true" outlineLevel="0" collapsed="false">
      <c r="A846" s="8"/>
      <c r="B846" s="8"/>
      <c r="C846" s="8"/>
      <c r="D846" s="8"/>
      <c r="E846" s="8"/>
      <c r="F846" s="8"/>
      <c r="G846" s="10" t="str">
        <f aca="false">IF($A846="","",UPPER(SUBSTITUTE(SUBSTITUTE(SUBSTITUTE(SUBSTITUTE($A846," ",""),"(주)",""),"주식회사",""),"㈜","")))</f>
        <v/>
      </c>
      <c r="H846" s="10" t="str">
        <f aca="false">IF($B846="","",SUBSTITUTE(SUBSTITUTE(SUBSTITUTE($B846,"-","")," ",""),".",""))</f>
        <v/>
      </c>
      <c r="I846" s="10" t="str">
        <f aca="false">IF($D846="","",SUBSTITUTE(SUBSTITUTE(SUBSTITUTE($D846,"-","")," ",""),".",""))</f>
        <v/>
      </c>
      <c r="J846" s="10" t="str">
        <f aca="false">IF($E846="","",UPPER(SUBSTITUTE($E846," ","")))</f>
        <v/>
      </c>
      <c r="K846" s="10" t="str">
        <f aca="false">IF($A846="","",$G846&amp;"|"&amp;$J846)</f>
        <v/>
      </c>
      <c r="L846" s="10" t="str">
        <f aca="false">IF($A846="","",ROW()-2)</f>
        <v/>
      </c>
      <c r="M846" s="10" t="str">
        <f aca="false">IF($A846="","",ROW())</f>
        <v/>
      </c>
    </row>
    <row r="847" customFormat="false" ht="15" hidden="false" customHeight="true" outlineLevel="0" collapsed="false">
      <c r="A847" s="8"/>
      <c r="B847" s="8"/>
      <c r="C847" s="8"/>
      <c r="D847" s="8"/>
      <c r="E847" s="8"/>
      <c r="F847" s="8"/>
      <c r="G847" s="10" t="str">
        <f aca="false">IF($A847="","",UPPER(SUBSTITUTE(SUBSTITUTE(SUBSTITUTE(SUBSTITUTE($A847," ",""),"(주)",""),"주식회사",""),"㈜","")))</f>
        <v/>
      </c>
      <c r="H847" s="10" t="str">
        <f aca="false">IF($B847="","",SUBSTITUTE(SUBSTITUTE(SUBSTITUTE($B847,"-","")," ",""),".",""))</f>
        <v/>
      </c>
      <c r="I847" s="10" t="str">
        <f aca="false">IF($D847="","",SUBSTITUTE(SUBSTITUTE(SUBSTITUTE($D847,"-","")," ",""),".",""))</f>
        <v/>
      </c>
      <c r="J847" s="10" t="str">
        <f aca="false">IF($E847="","",UPPER(SUBSTITUTE($E847," ","")))</f>
        <v/>
      </c>
      <c r="K847" s="10" t="str">
        <f aca="false">IF($A847="","",$G847&amp;"|"&amp;$J847)</f>
        <v/>
      </c>
      <c r="L847" s="10" t="str">
        <f aca="false">IF($A847="","",ROW()-2)</f>
        <v/>
      </c>
      <c r="M847" s="10" t="str">
        <f aca="false">IF($A847="","",ROW())</f>
        <v/>
      </c>
    </row>
    <row r="848" customFormat="false" ht="15" hidden="false" customHeight="true" outlineLevel="0" collapsed="false">
      <c r="A848" s="8"/>
      <c r="B848" s="8"/>
      <c r="C848" s="8"/>
      <c r="D848" s="8"/>
      <c r="E848" s="8"/>
      <c r="F848" s="8"/>
      <c r="G848" s="10" t="str">
        <f aca="false">IF($A848="","",UPPER(SUBSTITUTE(SUBSTITUTE(SUBSTITUTE(SUBSTITUTE($A848," ",""),"(주)",""),"주식회사",""),"㈜","")))</f>
        <v/>
      </c>
      <c r="H848" s="10" t="str">
        <f aca="false">IF($B848="","",SUBSTITUTE(SUBSTITUTE(SUBSTITUTE($B848,"-","")," ",""),".",""))</f>
        <v/>
      </c>
      <c r="I848" s="10" t="str">
        <f aca="false">IF($D848="","",SUBSTITUTE(SUBSTITUTE(SUBSTITUTE($D848,"-","")," ",""),".",""))</f>
        <v/>
      </c>
      <c r="J848" s="10" t="str">
        <f aca="false">IF($E848="","",UPPER(SUBSTITUTE($E848," ","")))</f>
        <v/>
      </c>
      <c r="K848" s="10" t="str">
        <f aca="false">IF($A848="","",$G848&amp;"|"&amp;$J848)</f>
        <v/>
      </c>
      <c r="L848" s="10" t="str">
        <f aca="false">IF($A848="","",ROW()-2)</f>
        <v/>
      </c>
      <c r="M848" s="10" t="str">
        <f aca="false">IF($A848="","",ROW())</f>
        <v/>
      </c>
    </row>
    <row r="849" customFormat="false" ht="15" hidden="false" customHeight="true" outlineLevel="0" collapsed="false">
      <c r="A849" s="8"/>
      <c r="B849" s="8"/>
      <c r="C849" s="8"/>
      <c r="D849" s="8"/>
      <c r="E849" s="8"/>
      <c r="F849" s="8"/>
      <c r="G849" s="10" t="str">
        <f aca="false">IF($A849="","",UPPER(SUBSTITUTE(SUBSTITUTE(SUBSTITUTE(SUBSTITUTE($A849," ",""),"(주)",""),"주식회사",""),"㈜","")))</f>
        <v/>
      </c>
      <c r="H849" s="10" t="str">
        <f aca="false">IF($B849="","",SUBSTITUTE(SUBSTITUTE(SUBSTITUTE($B849,"-","")," ",""),".",""))</f>
        <v/>
      </c>
      <c r="I849" s="10" t="str">
        <f aca="false">IF($D849="","",SUBSTITUTE(SUBSTITUTE(SUBSTITUTE($D849,"-","")," ",""),".",""))</f>
        <v/>
      </c>
      <c r="J849" s="10" t="str">
        <f aca="false">IF($E849="","",UPPER(SUBSTITUTE($E849," ","")))</f>
        <v/>
      </c>
      <c r="K849" s="10" t="str">
        <f aca="false">IF($A849="","",$G849&amp;"|"&amp;$J849)</f>
        <v/>
      </c>
      <c r="L849" s="10" t="str">
        <f aca="false">IF($A849="","",ROW()-2)</f>
        <v/>
      </c>
      <c r="M849" s="10" t="str">
        <f aca="false">IF($A849="","",ROW())</f>
        <v/>
      </c>
    </row>
    <row r="850" customFormat="false" ht="15" hidden="false" customHeight="true" outlineLevel="0" collapsed="false">
      <c r="A850" s="8"/>
      <c r="B850" s="8"/>
      <c r="C850" s="8"/>
      <c r="D850" s="8"/>
      <c r="E850" s="8"/>
      <c r="F850" s="8"/>
      <c r="G850" s="10" t="str">
        <f aca="false">IF($A850="","",UPPER(SUBSTITUTE(SUBSTITUTE(SUBSTITUTE(SUBSTITUTE($A850," ",""),"(주)",""),"주식회사",""),"㈜","")))</f>
        <v/>
      </c>
      <c r="H850" s="10" t="str">
        <f aca="false">IF($B850="","",SUBSTITUTE(SUBSTITUTE(SUBSTITUTE($B850,"-","")," ",""),".",""))</f>
        <v/>
      </c>
      <c r="I850" s="10" t="str">
        <f aca="false">IF($D850="","",SUBSTITUTE(SUBSTITUTE(SUBSTITUTE($D850,"-","")," ",""),".",""))</f>
        <v/>
      </c>
      <c r="J850" s="10" t="str">
        <f aca="false">IF($E850="","",UPPER(SUBSTITUTE($E850," ","")))</f>
        <v/>
      </c>
      <c r="K850" s="10" t="str">
        <f aca="false">IF($A850="","",$G850&amp;"|"&amp;$J850)</f>
        <v/>
      </c>
      <c r="L850" s="10" t="str">
        <f aca="false">IF($A850="","",ROW()-2)</f>
        <v/>
      </c>
      <c r="M850" s="10" t="str">
        <f aca="false">IF($A850="","",ROW())</f>
        <v/>
      </c>
    </row>
    <row r="851" customFormat="false" ht="15" hidden="false" customHeight="true" outlineLevel="0" collapsed="false">
      <c r="A851" s="8"/>
      <c r="B851" s="8"/>
      <c r="C851" s="8"/>
      <c r="D851" s="8"/>
      <c r="E851" s="8"/>
      <c r="F851" s="8"/>
      <c r="G851" s="10" t="str">
        <f aca="false">IF($A851="","",UPPER(SUBSTITUTE(SUBSTITUTE(SUBSTITUTE(SUBSTITUTE($A851," ",""),"(주)",""),"주식회사",""),"㈜","")))</f>
        <v/>
      </c>
      <c r="H851" s="10" t="str">
        <f aca="false">IF($B851="","",SUBSTITUTE(SUBSTITUTE(SUBSTITUTE($B851,"-","")," ",""),".",""))</f>
        <v/>
      </c>
      <c r="I851" s="10" t="str">
        <f aca="false">IF($D851="","",SUBSTITUTE(SUBSTITUTE(SUBSTITUTE($D851,"-","")," ",""),".",""))</f>
        <v/>
      </c>
      <c r="J851" s="10" t="str">
        <f aca="false">IF($E851="","",UPPER(SUBSTITUTE($E851," ","")))</f>
        <v/>
      </c>
      <c r="K851" s="10" t="str">
        <f aca="false">IF($A851="","",$G851&amp;"|"&amp;$J851)</f>
        <v/>
      </c>
      <c r="L851" s="10" t="str">
        <f aca="false">IF($A851="","",ROW()-2)</f>
        <v/>
      </c>
      <c r="M851" s="10" t="str">
        <f aca="false">IF($A851="","",ROW())</f>
        <v/>
      </c>
    </row>
    <row r="852" customFormat="false" ht="15" hidden="false" customHeight="true" outlineLevel="0" collapsed="false">
      <c r="A852" s="8"/>
      <c r="B852" s="8"/>
      <c r="C852" s="8"/>
      <c r="D852" s="8"/>
      <c r="E852" s="8"/>
      <c r="F852" s="8"/>
      <c r="G852" s="10" t="str">
        <f aca="false">IF($A852="","",UPPER(SUBSTITUTE(SUBSTITUTE(SUBSTITUTE(SUBSTITUTE($A852," ",""),"(주)",""),"주식회사",""),"㈜","")))</f>
        <v/>
      </c>
      <c r="H852" s="10" t="str">
        <f aca="false">IF($B852="","",SUBSTITUTE(SUBSTITUTE(SUBSTITUTE($B852,"-","")," ",""),".",""))</f>
        <v/>
      </c>
      <c r="I852" s="10" t="str">
        <f aca="false">IF($D852="","",SUBSTITUTE(SUBSTITUTE(SUBSTITUTE($D852,"-","")," ",""),".",""))</f>
        <v/>
      </c>
      <c r="J852" s="10" t="str">
        <f aca="false">IF($E852="","",UPPER(SUBSTITUTE($E852," ","")))</f>
        <v/>
      </c>
      <c r="K852" s="10" t="str">
        <f aca="false">IF($A852="","",$G852&amp;"|"&amp;$J852)</f>
        <v/>
      </c>
      <c r="L852" s="10" t="str">
        <f aca="false">IF($A852="","",ROW()-2)</f>
        <v/>
      </c>
      <c r="M852" s="10" t="str">
        <f aca="false">IF($A852="","",ROW())</f>
        <v/>
      </c>
    </row>
    <row r="853" customFormat="false" ht="15" hidden="false" customHeight="true" outlineLevel="0" collapsed="false">
      <c r="A853" s="8"/>
      <c r="B853" s="8"/>
      <c r="C853" s="8"/>
      <c r="D853" s="8"/>
      <c r="E853" s="8"/>
      <c r="F853" s="8"/>
      <c r="G853" s="10" t="str">
        <f aca="false">IF($A853="","",UPPER(SUBSTITUTE(SUBSTITUTE(SUBSTITUTE(SUBSTITUTE($A853," ",""),"(주)",""),"주식회사",""),"㈜","")))</f>
        <v/>
      </c>
      <c r="H853" s="10" t="str">
        <f aca="false">IF($B853="","",SUBSTITUTE(SUBSTITUTE(SUBSTITUTE($B853,"-","")," ",""),".",""))</f>
        <v/>
      </c>
      <c r="I853" s="10" t="str">
        <f aca="false">IF($D853="","",SUBSTITUTE(SUBSTITUTE(SUBSTITUTE($D853,"-","")," ",""),".",""))</f>
        <v/>
      </c>
      <c r="J853" s="10" t="str">
        <f aca="false">IF($E853="","",UPPER(SUBSTITUTE($E853," ","")))</f>
        <v/>
      </c>
      <c r="K853" s="10" t="str">
        <f aca="false">IF($A853="","",$G853&amp;"|"&amp;$J853)</f>
        <v/>
      </c>
      <c r="L853" s="10" t="str">
        <f aca="false">IF($A853="","",ROW()-2)</f>
        <v/>
      </c>
      <c r="M853" s="10" t="str">
        <f aca="false">IF($A853="","",ROW())</f>
        <v/>
      </c>
    </row>
    <row r="854" customFormat="false" ht="15" hidden="false" customHeight="true" outlineLevel="0" collapsed="false">
      <c r="A854" s="8"/>
      <c r="B854" s="8"/>
      <c r="C854" s="8"/>
      <c r="D854" s="8"/>
      <c r="E854" s="8"/>
      <c r="F854" s="8"/>
      <c r="G854" s="10" t="str">
        <f aca="false">IF($A854="","",UPPER(SUBSTITUTE(SUBSTITUTE(SUBSTITUTE(SUBSTITUTE($A854," ",""),"(주)",""),"주식회사",""),"㈜","")))</f>
        <v/>
      </c>
      <c r="H854" s="10" t="str">
        <f aca="false">IF($B854="","",SUBSTITUTE(SUBSTITUTE(SUBSTITUTE($B854,"-","")," ",""),".",""))</f>
        <v/>
      </c>
      <c r="I854" s="10" t="str">
        <f aca="false">IF($D854="","",SUBSTITUTE(SUBSTITUTE(SUBSTITUTE($D854,"-","")," ",""),".",""))</f>
        <v/>
      </c>
      <c r="J854" s="10" t="str">
        <f aca="false">IF($E854="","",UPPER(SUBSTITUTE($E854," ","")))</f>
        <v/>
      </c>
      <c r="K854" s="10" t="str">
        <f aca="false">IF($A854="","",$G854&amp;"|"&amp;$J854)</f>
        <v/>
      </c>
      <c r="L854" s="10" t="str">
        <f aca="false">IF($A854="","",ROW()-2)</f>
        <v/>
      </c>
      <c r="M854" s="10" t="str">
        <f aca="false">IF($A854="","",ROW())</f>
        <v/>
      </c>
    </row>
    <row r="855" customFormat="false" ht="15" hidden="false" customHeight="true" outlineLevel="0" collapsed="false">
      <c r="A855" s="8"/>
      <c r="B855" s="8"/>
      <c r="C855" s="8"/>
      <c r="D855" s="8"/>
      <c r="E855" s="8"/>
      <c r="F855" s="8"/>
      <c r="G855" s="10" t="str">
        <f aca="false">IF($A855="","",UPPER(SUBSTITUTE(SUBSTITUTE(SUBSTITUTE(SUBSTITUTE($A855," ",""),"(주)",""),"주식회사",""),"㈜","")))</f>
        <v/>
      </c>
      <c r="H855" s="10" t="str">
        <f aca="false">IF($B855="","",SUBSTITUTE(SUBSTITUTE(SUBSTITUTE($B855,"-","")," ",""),".",""))</f>
        <v/>
      </c>
      <c r="I855" s="10" t="str">
        <f aca="false">IF($D855="","",SUBSTITUTE(SUBSTITUTE(SUBSTITUTE($D855,"-","")," ",""),".",""))</f>
        <v/>
      </c>
      <c r="J855" s="10" t="str">
        <f aca="false">IF($E855="","",UPPER(SUBSTITUTE($E855," ","")))</f>
        <v/>
      </c>
      <c r="K855" s="10" t="str">
        <f aca="false">IF($A855="","",$G855&amp;"|"&amp;$J855)</f>
        <v/>
      </c>
      <c r="L855" s="10" t="str">
        <f aca="false">IF($A855="","",ROW()-2)</f>
        <v/>
      </c>
      <c r="M855" s="10" t="str">
        <f aca="false">IF($A855="","",ROW())</f>
        <v/>
      </c>
    </row>
    <row r="856" customFormat="false" ht="15" hidden="false" customHeight="true" outlineLevel="0" collapsed="false">
      <c r="A856" s="8"/>
      <c r="B856" s="8"/>
      <c r="C856" s="8"/>
      <c r="D856" s="8"/>
      <c r="E856" s="8"/>
      <c r="F856" s="8"/>
      <c r="G856" s="10" t="str">
        <f aca="false">IF($A856="","",UPPER(SUBSTITUTE(SUBSTITUTE(SUBSTITUTE(SUBSTITUTE($A856," ",""),"(주)",""),"주식회사",""),"㈜","")))</f>
        <v/>
      </c>
      <c r="H856" s="10" t="str">
        <f aca="false">IF($B856="","",SUBSTITUTE(SUBSTITUTE(SUBSTITUTE($B856,"-","")," ",""),".",""))</f>
        <v/>
      </c>
      <c r="I856" s="10" t="str">
        <f aca="false">IF($D856="","",SUBSTITUTE(SUBSTITUTE(SUBSTITUTE($D856,"-","")," ",""),".",""))</f>
        <v/>
      </c>
      <c r="J856" s="10" t="str">
        <f aca="false">IF($E856="","",UPPER(SUBSTITUTE($E856," ","")))</f>
        <v/>
      </c>
      <c r="K856" s="10" t="str">
        <f aca="false">IF($A856="","",$G856&amp;"|"&amp;$J856)</f>
        <v/>
      </c>
      <c r="L856" s="10" t="str">
        <f aca="false">IF($A856="","",ROW()-2)</f>
        <v/>
      </c>
      <c r="M856" s="10" t="str">
        <f aca="false">IF($A856="","",ROW())</f>
        <v/>
      </c>
    </row>
    <row r="857" customFormat="false" ht="15" hidden="false" customHeight="true" outlineLevel="0" collapsed="false">
      <c r="A857" s="8"/>
      <c r="B857" s="8"/>
      <c r="C857" s="8"/>
      <c r="D857" s="8"/>
      <c r="E857" s="8"/>
      <c r="F857" s="8"/>
      <c r="G857" s="10" t="str">
        <f aca="false">IF($A857="","",UPPER(SUBSTITUTE(SUBSTITUTE(SUBSTITUTE(SUBSTITUTE($A857," ",""),"(주)",""),"주식회사",""),"㈜","")))</f>
        <v/>
      </c>
      <c r="H857" s="10" t="str">
        <f aca="false">IF($B857="","",SUBSTITUTE(SUBSTITUTE(SUBSTITUTE($B857,"-","")," ",""),".",""))</f>
        <v/>
      </c>
      <c r="I857" s="10" t="str">
        <f aca="false">IF($D857="","",SUBSTITUTE(SUBSTITUTE(SUBSTITUTE($D857,"-","")," ",""),".",""))</f>
        <v/>
      </c>
      <c r="J857" s="10" t="str">
        <f aca="false">IF($E857="","",UPPER(SUBSTITUTE($E857," ","")))</f>
        <v/>
      </c>
      <c r="K857" s="10" t="str">
        <f aca="false">IF($A857="","",$G857&amp;"|"&amp;$J857)</f>
        <v/>
      </c>
      <c r="L857" s="10" t="str">
        <f aca="false">IF($A857="","",ROW()-2)</f>
        <v/>
      </c>
      <c r="M857" s="10" t="str">
        <f aca="false">IF($A857="","",ROW())</f>
        <v/>
      </c>
    </row>
    <row r="858" customFormat="false" ht="15" hidden="false" customHeight="true" outlineLevel="0" collapsed="false">
      <c r="A858" s="8"/>
      <c r="B858" s="8"/>
      <c r="C858" s="8"/>
      <c r="D858" s="8"/>
      <c r="E858" s="8"/>
      <c r="F858" s="8"/>
      <c r="G858" s="10" t="str">
        <f aca="false">IF($A858="","",UPPER(SUBSTITUTE(SUBSTITUTE(SUBSTITUTE(SUBSTITUTE($A858," ",""),"(주)",""),"주식회사",""),"㈜","")))</f>
        <v/>
      </c>
      <c r="H858" s="10" t="str">
        <f aca="false">IF($B858="","",SUBSTITUTE(SUBSTITUTE(SUBSTITUTE($B858,"-","")," ",""),".",""))</f>
        <v/>
      </c>
      <c r="I858" s="10" t="str">
        <f aca="false">IF($D858="","",SUBSTITUTE(SUBSTITUTE(SUBSTITUTE($D858,"-","")," ",""),".",""))</f>
        <v/>
      </c>
      <c r="J858" s="10" t="str">
        <f aca="false">IF($E858="","",UPPER(SUBSTITUTE($E858," ","")))</f>
        <v/>
      </c>
      <c r="K858" s="10" t="str">
        <f aca="false">IF($A858="","",$G858&amp;"|"&amp;$J858)</f>
        <v/>
      </c>
      <c r="L858" s="10" t="str">
        <f aca="false">IF($A858="","",ROW()-2)</f>
        <v/>
      </c>
      <c r="M858" s="10" t="str">
        <f aca="false">IF($A858="","",ROW())</f>
        <v/>
      </c>
    </row>
    <row r="859" customFormat="false" ht="15" hidden="false" customHeight="true" outlineLevel="0" collapsed="false">
      <c r="A859" s="8"/>
      <c r="B859" s="8"/>
      <c r="C859" s="8"/>
      <c r="D859" s="8"/>
      <c r="E859" s="8"/>
      <c r="F859" s="8"/>
      <c r="G859" s="10" t="str">
        <f aca="false">IF($A859="","",UPPER(SUBSTITUTE(SUBSTITUTE(SUBSTITUTE(SUBSTITUTE($A859," ",""),"(주)",""),"주식회사",""),"㈜","")))</f>
        <v/>
      </c>
      <c r="H859" s="10" t="str">
        <f aca="false">IF($B859="","",SUBSTITUTE(SUBSTITUTE(SUBSTITUTE($B859,"-","")," ",""),".",""))</f>
        <v/>
      </c>
      <c r="I859" s="10" t="str">
        <f aca="false">IF($D859="","",SUBSTITUTE(SUBSTITUTE(SUBSTITUTE($D859,"-","")," ",""),".",""))</f>
        <v/>
      </c>
      <c r="J859" s="10" t="str">
        <f aca="false">IF($E859="","",UPPER(SUBSTITUTE($E859," ","")))</f>
        <v/>
      </c>
      <c r="K859" s="10" t="str">
        <f aca="false">IF($A859="","",$G859&amp;"|"&amp;$J859)</f>
        <v/>
      </c>
      <c r="L859" s="10" t="str">
        <f aca="false">IF($A859="","",ROW()-2)</f>
        <v/>
      </c>
      <c r="M859" s="10" t="str">
        <f aca="false">IF($A859="","",ROW())</f>
        <v/>
      </c>
    </row>
    <row r="860" customFormat="false" ht="15" hidden="false" customHeight="true" outlineLevel="0" collapsed="false">
      <c r="A860" s="8"/>
      <c r="B860" s="8"/>
      <c r="C860" s="8"/>
      <c r="D860" s="8"/>
      <c r="E860" s="8"/>
      <c r="F860" s="8"/>
      <c r="G860" s="10" t="str">
        <f aca="false">IF($A860="","",UPPER(SUBSTITUTE(SUBSTITUTE(SUBSTITUTE(SUBSTITUTE($A860," ",""),"(주)",""),"주식회사",""),"㈜","")))</f>
        <v/>
      </c>
      <c r="H860" s="10" t="str">
        <f aca="false">IF($B860="","",SUBSTITUTE(SUBSTITUTE(SUBSTITUTE($B860,"-","")," ",""),".",""))</f>
        <v/>
      </c>
      <c r="I860" s="10" t="str">
        <f aca="false">IF($D860="","",SUBSTITUTE(SUBSTITUTE(SUBSTITUTE($D860,"-","")," ",""),".",""))</f>
        <v/>
      </c>
      <c r="J860" s="10" t="str">
        <f aca="false">IF($E860="","",UPPER(SUBSTITUTE($E860," ","")))</f>
        <v/>
      </c>
      <c r="K860" s="10" t="str">
        <f aca="false">IF($A860="","",$G860&amp;"|"&amp;$J860)</f>
        <v/>
      </c>
      <c r="L860" s="10" t="str">
        <f aca="false">IF($A860="","",ROW()-2)</f>
        <v/>
      </c>
      <c r="M860" s="10" t="str">
        <f aca="false">IF($A860="","",ROW())</f>
        <v/>
      </c>
    </row>
    <row r="861" customFormat="false" ht="15" hidden="false" customHeight="true" outlineLevel="0" collapsed="false">
      <c r="A861" s="8"/>
      <c r="B861" s="8"/>
      <c r="C861" s="8"/>
      <c r="D861" s="8"/>
      <c r="E861" s="8"/>
      <c r="F861" s="8"/>
      <c r="G861" s="10" t="str">
        <f aca="false">IF($A861="","",UPPER(SUBSTITUTE(SUBSTITUTE(SUBSTITUTE(SUBSTITUTE($A861," ",""),"(주)",""),"주식회사",""),"㈜","")))</f>
        <v/>
      </c>
      <c r="H861" s="10" t="str">
        <f aca="false">IF($B861="","",SUBSTITUTE(SUBSTITUTE(SUBSTITUTE($B861,"-","")," ",""),".",""))</f>
        <v/>
      </c>
      <c r="I861" s="10" t="str">
        <f aca="false">IF($D861="","",SUBSTITUTE(SUBSTITUTE(SUBSTITUTE($D861,"-","")," ",""),".",""))</f>
        <v/>
      </c>
      <c r="J861" s="10" t="str">
        <f aca="false">IF($E861="","",UPPER(SUBSTITUTE($E861," ","")))</f>
        <v/>
      </c>
      <c r="K861" s="10" t="str">
        <f aca="false">IF($A861="","",$G861&amp;"|"&amp;$J861)</f>
        <v/>
      </c>
      <c r="L861" s="10" t="str">
        <f aca="false">IF($A861="","",ROW()-2)</f>
        <v/>
      </c>
      <c r="M861" s="10" t="str">
        <f aca="false">IF($A861="","",ROW())</f>
        <v/>
      </c>
    </row>
    <row r="862" customFormat="false" ht="15" hidden="false" customHeight="true" outlineLevel="0" collapsed="false">
      <c r="A862" s="8"/>
      <c r="B862" s="8"/>
      <c r="C862" s="8"/>
      <c r="D862" s="8"/>
      <c r="E862" s="8"/>
      <c r="F862" s="8"/>
      <c r="G862" s="10" t="str">
        <f aca="false">IF($A862="","",UPPER(SUBSTITUTE(SUBSTITUTE(SUBSTITUTE(SUBSTITUTE($A862," ",""),"(주)",""),"주식회사",""),"㈜","")))</f>
        <v/>
      </c>
      <c r="H862" s="10" t="str">
        <f aca="false">IF($B862="","",SUBSTITUTE(SUBSTITUTE(SUBSTITUTE($B862,"-","")," ",""),".",""))</f>
        <v/>
      </c>
      <c r="I862" s="10" t="str">
        <f aca="false">IF($D862="","",SUBSTITUTE(SUBSTITUTE(SUBSTITUTE($D862,"-","")," ",""),".",""))</f>
        <v/>
      </c>
      <c r="J862" s="10" t="str">
        <f aca="false">IF($E862="","",UPPER(SUBSTITUTE($E862," ","")))</f>
        <v/>
      </c>
      <c r="K862" s="10" t="str">
        <f aca="false">IF($A862="","",$G862&amp;"|"&amp;$J862)</f>
        <v/>
      </c>
      <c r="L862" s="10" t="str">
        <f aca="false">IF($A862="","",ROW()-2)</f>
        <v/>
      </c>
      <c r="M862" s="10" t="str">
        <f aca="false">IF($A862="","",ROW())</f>
        <v/>
      </c>
    </row>
    <row r="863" customFormat="false" ht="15" hidden="false" customHeight="true" outlineLevel="0" collapsed="false">
      <c r="A863" s="8"/>
      <c r="B863" s="8"/>
      <c r="C863" s="8"/>
      <c r="D863" s="8"/>
      <c r="E863" s="8"/>
      <c r="F863" s="8"/>
      <c r="G863" s="10" t="str">
        <f aca="false">IF($A863="","",UPPER(SUBSTITUTE(SUBSTITUTE(SUBSTITUTE(SUBSTITUTE($A863," ",""),"(주)",""),"주식회사",""),"㈜","")))</f>
        <v/>
      </c>
      <c r="H863" s="10" t="str">
        <f aca="false">IF($B863="","",SUBSTITUTE(SUBSTITUTE(SUBSTITUTE($B863,"-","")," ",""),".",""))</f>
        <v/>
      </c>
      <c r="I863" s="10" t="str">
        <f aca="false">IF($D863="","",SUBSTITUTE(SUBSTITUTE(SUBSTITUTE($D863,"-","")," ",""),".",""))</f>
        <v/>
      </c>
      <c r="J863" s="10" t="str">
        <f aca="false">IF($E863="","",UPPER(SUBSTITUTE($E863," ","")))</f>
        <v/>
      </c>
      <c r="K863" s="10" t="str">
        <f aca="false">IF($A863="","",$G863&amp;"|"&amp;$J863)</f>
        <v/>
      </c>
      <c r="L863" s="10" t="str">
        <f aca="false">IF($A863="","",ROW()-2)</f>
        <v/>
      </c>
      <c r="M863" s="10" t="str">
        <f aca="false">IF($A863="","",ROW())</f>
        <v/>
      </c>
    </row>
    <row r="864" customFormat="false" ht="15" hidden="false" customHeight="true" outlineLevel="0" collapsed="false">
      <c r="A864" s="8"/>
      <c r="B864" s="8"/>
      <c r="C864" s="8"/>
      <c r="D864" s="8"/>
      <c r="E864" s="8"/>
      <c r="F864" s="8"/>
      <c r="G864" s="10" t="str">
        <f aca="false">IF($A864="","",UPPER(SUBSTITUTE(SUBSTITUTE(SUBSTITUTE(SUBSTITUTE($A864," ",""),"(주)",""),"주식회사",""),"㈜","")))</f>
        <v/>
      </c>
      <c r="H864" s="10" t="str">
        <f aca="false">IF($B864="","",SUBSTITUTE(SUBSTITUTE(SUBSTITUTE($B864,"-","")," ",""),".",""))</f>
        <v/>
      </c>
      <c r="I864" s="10" t="str">
        <f aca="false">IF($D864="","",SUBSTITUTE(SUBSTITUTE(SUBSTITUTE($D864,"-","")," ",""),".",""))</f>
        <v/>
      </c>
      <c r="J864" s="10" t="str">
        <f aca="false">IF($E864="","",UPPER(SUBSTITUTE($E864," ","")))</f>
        <v/>
      </c>
      <c r="K864" s="10" t="str">
        <f aca="false">IF($A864="","",$G864&amp;"|"&amp;$J864)</f>
        <v/>
      </c>
      <c r="L864" s="10" t="str">
        <f aca="false">IF($A864="","",ROW()-2)</f>
        <v/>
      </c>
      <c r="M864" s="10" t="str">
        <f aca="false">IF($A864="","",ROW())</f>
        <v/>
      </c>
    </row>
    <row r="865" customFormat="false" ht="15" hidden="false" customHeight="true" outlineLevel="0" collapsed="false">
      <c r="A865" s="8"/>
      <c r="B865" s="8"/>
      <c r="C865" s="8"/>
      <c r="D865" s="8"/>
      <c r="E865" s="8"/>
      <c r="F865" s="8"/>
      <c r="G865" s="10" t="str">
        <f aca="false">IF($A865="","",UPPER(SUBSTITUTE(SUBSTITUTE(SUBSTITUTE(SUBSTITUTE($A865," ",""),"(주)",""),"주식회사",""),"㈜","")))</f>
        <v/>
      </c>
      <c r="H865" s="10" t="str">
        <f aca="false">IF($B865="","",SUBSTITUTE(SUBSTITUTE(SUBSTITUTE($B865,"-","")," ",""),".",""))</f>
        <v/>
      </c>
      <c r="I865" s="10" t="str">
        <f aca="false">IF($D865="","",SUBSTITUTE(SUBSTITUTE(SUBSTITUTE($D865,"-","")," ",""),".",""))</f>
        <v/>
      </c>
      <c r="J865" s="10" t="str">
        <f aca="false">IF($E865="","",UPPER(SUBSTITUTE($E865," ","")))</f>
        <v/>
      </c>
      <c r="K865" s="10" t="str">
        <f aca="false">IF($A865="","",$G865&amp;"|"&amp;$J865)</f>
        <v/>
      </c>
      <c r="L865" s="10" t="str">
        <f aca="false">IF($A865="","",ROW()-2)</f>
        <v/>
      </c>
      <c r="M865" s="10" t="str">
        <f aca="false">IF($A865="","",ROW())</f>
        <v/>
      </c>
    </row>
    <row r="866" customFormat="false" ht="15" hidden="false" customHeight="true" outlineLevel="0" collapsed="false">
      <c r="A866" s="8"/>
      <c r="B866" s="8"/>
      <c r="C866" s="8"/>
      <c r="D866" s="8"/>
      <c r="E866" s="8"/>
      <c r="F866" s="8"/>
      <c r="G866" s="10" t="str">
        <f aca="false">IF($A866="","",UPPER(SUBSTITUTE(SUBSTITUTE(SUBSTITUTE(SUBSTITUTE($A866," ",""),"(주)",""),"주식회사",""),"㈜","")))</f>
        <v/>
      </c>
      <c r="H866" s="10" t="str">
        <f aca="false">IF($B866="","",SUBSTITUTE(SUBSTITUTE(SUBSTITUTE($B866,"-","")," ",""),".",""))</f>
        <v/>
      </c>
      <c r="I866" s="10" t="str">
        <f aca="false">IF($D866="","",SUBSTITUTE(SUBSTITUTE(SUBSTITUTE($D866,"-","")," ",""),".",""))</f>
        <v/>
      </c>
      <c r="J866" s="10" t="str">
        <f aca="false">IF($E866="","",UPPER(SUBSTITUTE($E866," ","")))</f>
        <v/>
      </c>
      <c r="K866" s="10" t="str">
        <f aca="false">IF($A866="","",$G866&amp;"|"&amp;$J866)</f>
        <v/>
      </c>
      <c r="L866" s="10" t="str">
        <f aca="false">IF($A866="","",ROW()-2)</f>
        <v/>
      </c>
      <c r="M866" s="10" t="str">
        <f aca="false">IF($A866="","",ROW())</f>
        <v/>
      </c>
    </row>
    <row r="867" customFormat="false" ht="15" hidden="false" customHeight="true" outlineLevel="0" collapsed="false">
      <c r="A867" s="8"/>
      <c r="B867" s="8"/>
      <c r="C867" s="8"/>
      <c r="D867" s="8"/>
      <c r="E867" s="8"/>
      <c r="F867" s="8"/>
      <c r="G867" s="10" t="str">
        <f aca="false">IF($A867="","",UPPER(SUBSTITUTE(SUBSTITUTE(SUBSTITUTE(SUBSTITUTE($A867," ",""),"(주)",""),"주식회사",""),"㈜","")))</f>
        <v/>
      </c>
      <c r="H867" s="10" t="str">
        <f aca="false">IF($B867="","",SUBSTITUTE(SUBSTITUTE(SUBSTITUTE($B867,"-","")," ",""),".",""))</f>
        <v/>
      </c>
      <c r="I867" s="10" t="str">
        <f aca="false">IF($D867="","",SUBSTITUTE(SUBSTITUTE(SUBSTITUTE($D867,"-","")," ",""),".",""))</f>
        <v/>
      </c>
      <c r="J867" s="10" t="str">
        <f aca="false">IF($E867="","",UPPER(SUBSTITUTE($E867," ","")))</f>
        <v/>
      </c>
      <c r="K867" s="10" t="str">
        <f aca="false">IF($A867="","",$G867&amp;"|"&amp;$J867)</f>
        <v/>
      </c>
      <c r="L867" s="10" t="str">
        <f aca="false">IF($A867="","",ROW()-2)</f>
        <v/>
      </c>
      <c r="M867" s="10" t="str">
        <f aca="false">IF($A867="","",ROW())</f>
        <v/>
      </c>
    </row>
    <row r="868" customFormat="false" ht="15" hidden="false" customHeight="true" outlineLevel="0" collapsed="false">
      <c r="A868" s="8"/>
      <c r="B868" s="8"/>
      <c r="C868" s="8"/>
      <c r="D868" s="8"/>
      <c r="E868" s="8"/>
      <c r="F868" s="8"/>
      <c r="G868" s="10" t="str">
        <f aca="false">IF($A868="","",UPPER(SUBSTITUTE(SUBSTITUTE(SUBSTITUTE(SUBSTITUTE($A868," ",""),"(주)",""),"주식회사",""),"㈜","")))</f>
        <v/>
      </c>
      <c r="H868" s="10" t="str">
        <f aca="false">IF($B868="","",SUBSTITUTE(SUBSTITUTE(SUBSTITUTE($B868,"-","")," ",""),".",""))</f>
        <v/>
      </c>
      <c r="I868" s="10" t="str">
        <f aca="false">IF($D868="","",SUBSTITUTE(SUBSTITUTE(SUBSTITUTE($D868,"-","")," ",""),".",""))</f>
        <v/>
      </c>
      <c r="J868" s="10" t="str">
        <f aca="false">IF($E868="","",UPPER(SUBSTITUTE($E868," ","")))</f>
        <v/>
      </c>
      <c r="K868" s="10" t="str">
        <f aca="false">IF($A868="","",$G868&amp;"|"&amp;$J868)</f>
        <v/>
      </c>
      <c r="L868" s="10" t="str">
        <f aca="false">IF($A868="","",ROW()-2)</f>
        <v/>
      </c>
      <c r="M868" s="10" t="str">
        <f aca="false">IF($A868="","",ROW())</f>
        <v/>
      </c>
    </row>
    <row r="869" customFormat="false" ht="15" hidden="false" customHeight="true" outlineLevel="0" collapsed="false">
      <c r="A869" s="8"/>
      <c r="B869" s="8"/>
      <c r="C869" s="8"/>
      <c r="D869" s="8"/>
      <c r="E869" s="8"/>
      <c r="F869" s="8"/>
      <c r="G869" s="10" t="str">
        <f aca="false">IF($A869="","",UPPER(SUBSTITUTE(SUBSTITUTE(SUBSTITUTE(SUBSTITUTE($A869," ",""),"(주)",""),"주식회사",""),"㈜","")))</f>
        <v/>
      </c>
      <c r="H869" s="10" t="str">
        <f aca="false">IF($B869="","",SUBSTITUTE(SUBSTITUTE(SUBSTITUTE($B869,"-","")," ",""),".",""))</f>
        <v/>
      </c>
      <c r="I869" s="10" t="str">
        <f aca="false">IF($D869="","",SUBSTITUTE(SUBSTITUTE(SUBSTITUTE($D869,"-","")," ",""),".",""))</f>
        <v/>
      </c>
      <c r="J869" s="10" t="str">
        <f aca="false">IF($E869="","",UPPER(SUBSTITUTE($E869," ","")))</f>
        <v/>
      </c>
      <c r="K869" s="10" t="str">
        <f aca="false">IF($A869="","",$G869&amp;"|"&amp;$J869)</f>
        <v/>
      </c>
      <c r="L869" s="10" t="str">
        <f aca="false">IF($A869="","",ROW()-2)</f>
        <v/>
      </c>
      <c r="M869" s="10" t="str">
        <f aca="false">IF($A869="","",ROW())</f>
        <v/>
      </c>
    </row>
    <row r="870" customFormat="false" ht="15" hidden="false" customHeight="true" outlineLevel="0" collapsed="false">
      <c r="A870" s="8"/>
      <c r="B870" s="8"/>
      <c r="C870" s="8"/>
      <c r="D870" s="8"/>
      <c r="E870" s="8"/>
      <c r="F870" s="8"/>
      <c r="G870" s="10" t="str">
        <f aca="false">IF($A870="","",UPPER(SUBSTITUTE(SUBSTITUTE(SUBSTITUTE(SUBSTITUTE($A870," ",""),"(주)",""),"주식회사",""),"㈜","")))</f>
        <v/>
      </c>
      <c r="H870" s="10" t="str">
        <f aca="false">IF($B870="","",SUBSTITUTE(SUBSTITUTE(SUBSTITUTE($B870,"-","")," ",""),".",""))</f>
        <v/>
      </c>
      <c r="I870" s="10" t="str">
        <f aca="false">IF($D870="","",SUBSTITUTE(SUBSTITUTE(SUBSTITUTE($D870,"-","")," ",""),".",""))</f>
        <v/>
      </c>
      <c r="J870" s="10" t="str">
        <f aca="false">IF($E870="","",UPPER(SUBSTITUTE($E870," ","")))</f>
        <v/>
      </c>
      <c r="K870" s="10" t="str">
        <f aca="false">IF($A870="","",$G870&amp;"|"&amp;$J870)</f>
        <v/>
      </c>
      <c r="L870" s="10" t="str">
        <f aca="false">IF($A870="","",ROW()-2)</f>
        <v/>
      </c>
      <c r="M870" s="10" t="str">
        <f aca="false">IF($A870="","",ROW())</f>
        <v/>
      </c>
    </row>
    <row r="871" customFormat="false" ht="15" hidden="false" customHeight="true" outlineLevel="0" collapsed="false">
      <c r="A871" s="8"/>
      <c r="B871" s="8"/>
      <c r="C871" s="8"/>
      <c r="D871" s="8"/>
      <c r="E871" s="8"/>
      <c r="F871" s="8"/>
      <c r="G871" s="10" t="str">
        <f aca="false">IF($A871="","",UPPER(SUBSTITUTE(SUBSTITUTE(SUBSTITUTE(SUBSTITUTE($A871," ",""),"(주)",""),"주식회사",""),"㈜","")))</f>
        <v/>
      </c>
      <c r="H871" s="10" t="str">
        <f aca="false">IF($B871="","",SUBSTITUTE(SUBSTITUTE(SUBSTITUTE($B871,"-","")," ",""),".",""))</f>
        <v/>
      </c>
      <c r="I871" s="10" t="str">
        <f aca="false">IF($D871="","",SUBSTITUTE(SUBSTITUTE(SUBSTITUTE($D871,"-","")," ",""),".",""))</f>
        <v/>
      </c>
      <c r="J871" s="10" t="str">
        <f aca="false">IF($E871="","",UPPER(SUBSTITUTE($E871," ","")))</f>
        <v/>
      </c>
      <c r="K871" s="10" t="str">
        <f aca="false">IF($A871="","",$G871&amp;"|"&amp;$J871)</f>
        <v/>
      </c>
      <c r="L871" s="10" t="str">
        <f aca="false">IF($A871="","",ROW()-2)</f>
        <v/>
      </c>
      <c r="M871" s="10" t="str">
        <f aca="false">IF($A871="","",ROW())</f>
        <v/>
      </c>
    </row>
    <row r="872" customFormat="false" ht="15" hidden="false" customHeight="true" outlineLevel="0" collapsed="false">
      <c r="A872" s="8"/>
      <c r="B872" s="8"/>
      <c r="C872" s="8"/>
      <c r="D872" s="8"/>
      <c r="E872" s="8"/>
      <c r="F872" s="8"/>
      <c r="G872" s="10" t="str">
        <f aca="false">IF($A872="","",UPPER(SUBSTITUTE(SUBSTITUTE(SUBSTITUTE(SUBSTITUTE($A872," ",""),"(주)",""),"주식회사",""),"㈜","")))</f>
        <v/>
      </c>
      <c r="H872" s="10" t="str">
        <f aca="false">IF($B872="","",SUBSTITUTE(SUBSTITUTE(SUBSTITUTE($B872,"-","")," ",""),".",""))</f>
        <v/>
      </c>
      <c r="I872" s="10" t="str">
        <f aca="false">IF($D872="","",SUBSTITUTE(SUBSTITUTE(SUBSTITUTE($D872,"-","")," ",""),".",""))</f>
        <v/>
      </c>
      <c r="J872" s="10" t="str">
        <f aca="false">IF($E872="","",UPPER(SUBSTITUTE($E872," ","")))</f>
        <v/>
      </c>
      <c r="K872" s="10" t="str">
        <f aca="false">IF($A872="","",$G872&amp;"|"&amp;$J872)</f>
        <v/>
      </c>
      <c r="L872" s="10" t="str">
        <f aca="false">IF($A872="","",ROW()-2)</f>
        <v/>
      </c>
      <c r="M872" s="10" t="str">
        <f aca="false">IF($A872="","",ROW())</f>
        <v/>
      </c>
    </row>
    <row r="873" customFormat="false" ht="15" hidden="false" customHeight="true" outlineLevel="0" collapsed="false">
      <c r="A873" s="8"/>
      <c r="B873" s="8"/>
      <c r="C873" s="8"/>
      <c r="D873" s="8"/>
      <c r="E873" s="8"/>
      <c r="F873" s="8"/>
      <c r="G873" s="10" t="str">
        <f aca="false">IF($A873="","",UPPER(SUBSTITUTE(SUBSTITUTE(SUBSTITUTE(SUBSTITUTE($A873," ",""),"(주)",""),"주식회사",""),"㈜","")))</f>
        <v/>
      </c>
      <c r="H873" s="10" t="str">
        <f aca="false">IF($B873="","",SUBSTITUTE(SUBSTITUTE(SUBSTITUTE($B873,"-","")," ",""),".",""))</f>
        <v/>
      </c>
      <c r="I873" s="10" t="str">
        <f aca="false">IF($D873="","",SUBSTITUTE(SUBSTITUTE(SUBSTITUTE($D873,"-","")," ",""),".",""))</f>
        <v/>
      </c>
      <c r="J873" s="10" t="str">
        <f aca="false">IF($E873="","",UPPER(SUBSTITUTE($E873," ","")))</f>
        <v/>
      </c>
      <c r="K873" s="10" t="str">
        <f aca="false">IF($A873="","",$G873&amp;"|"&amp;$J873)</f>
        <v/>
      </c>
      <c r="L873" s="10" t="str">
        <f aca="false">IF($A873="","",ROW()-2)</f>
        <v/>
      </c>
      <c r="M873" s="10" t="str">
        <f aca="false">IF($A873="","",ROW())</f>
        <v/>
      </c>
    </row>
    <row r="874" customFormat="false" ht="15" hidden="false" customHeight="true" outlineLevel="0" collapsed="false">
      <c r="A874" s="8"/>
      <c r="B874" s="8"/>
      <c r="C874" s="8"/>
      <c r="D874" s="8"/>
      <c r="E874" s="8"/>
      <c r="F874" s="8"/>
      <c r="G874" s="10" t="str">
        <f aca="false">IF($A874="","",UPPER(SUBSTITUTE(SUBSTITUTE(SUBSTITUTE(SUBSTITUTE($A874," ",""),"(주)",""),"주식회사",""),"㈜","")))</f>
        <v/>
      </c>
      <c r="H874" s="10" t="str">
        <f aca="false">IF($B874="","",SUBSTITUTE(SUBSTITUTE(SUBSTITUTE($B874,"-","")," ",""),".",""))</f>
        <v/>
      </c>
      <c r="I874" s="10" t="str">
        <f aca="false">IF($D874="","",SUBSTITUTE(SUBSTITUTE(SUBSTITUTE($D874,"-","")," ",""),".",""))</f>
        <v/>
      </c>
      <c r="J874" s="10" t="str">
        <f aca="false">IF($E874="","",UPPER(SUBSTITUTE($E874," ","")))</f>
        <v/>
      </c>
      <c r="K874" s="10" t="str">
        <f aca="false">IF($A874="","",$G874&amp;"|"&amp;$J874)</f>
        <v/>
      </c>
      <c r="L874" s="10" t="str">
        <f aca="false">IF($A874="","",ROW()-2)</f>
        <v/>
      </c>
      <c r="M874" s="10" t="str">
        <f aca="false">IF($A874="","",ROW())</f>
        <v/>
      </c>
    </row>
    <row r="875" customFormat="false" ht="15" hidden="false" customHeight="true" outlineLevel="0" collapsed="false">
      <c r="A875" s="8"/>
      <c r="B875" s="8"/>
      <c r="C875" s="8"/>
      <c r="D875" s="8"/>
      <c r="E875" s="8"/>
      <c r="F875" s="8"/>
      <c r="G875" s="10" t="str">
        <f aca="false">IF($A875="","",UPPER(SUBSTITUTE(SUBSTITUTE(SUBSTITUTE(SUBSTITUTE($A875," ",""),"(주)",""),"주식회사",""),"㈜","")))</f>
        <v/>
      </c>
      <c r="H875" s="10" t="str">
        <f aca="false">IF($B875="","",SUBSTITUTE(SUBSTITUTE(SUBSTITUTE($B875,"-","")," ",""),".",""))</f>
        <v/>
      </c>
      <c r="I875" s="10" t="str">
        <f aca="false">IF($D875="","",SUBSTITUTE(SUBSTITUTE(SUBSTITUTE($D875,"-","")," ",""),".",""))</f>
        <v/>
      </c>
      <c r="J875" s="10" t="str">
        <f aca="false">IF($E875="","",UPPER(SUBSTITUTE($E875," ","")))</f>
        <v/>
      </c>
      <c r="K875" s="10" t="str">
        <f aca="false">IF($A875="","",$G875&amp;"|"&amp;$J875)</f>
        <v/>
      </c>
      <c r="L875" s="10" t="str">
        <f aca="false">IF($A875="","",ROW()-2)</f>
        <v/>
      </c>
      <c r="M875" s="10" t="str">
        <f aca="false">IF($A875="","",ROW())</f>
        <v/>
      </c>
    </row>
    <row r="876" customFormat="false" ht="15" hidden="false" customHeight="true" outlineLevel="0" collapsed="false">
      <c r="A876" s="8"/>
      <c r="B876" s="8"/>
      <c r="C876" s="8"/>
      <c r="D876" s="8"/>
      <c r="E876" s="8"/>
      <c r="F876" s="8"/>
      <c r="G876" s="10" t="str">
        <f aca="false">IF($A876="","",UPPER(SUBSTITUTE(SUBSTITUTE(SUBSTITUTE(SUBSTITUTE($A876," ",""),"(주)",""),"주식회사",""),"㈜","")))</f>
        <v/>
      </c>
      <c r="H876" s="10" t="str">
        <f aca="false">IF($B876="","",SUBSTITUTE(SUBSTITUTE(SUBSTITUTE($B876,"-","")," ",""),".",""))</f>
        <v/>
      </c>
      <c r="I876" s="10" t="str">
        <f aca="false">IF($D876="","",SUBSTITUTE(SUBSTITUTE(SUBSTITUTE($D876,"-","")," ",""),".",""))</f>
        <v/>
      </c>
      <c r="J876" s="10" t="str">
        <f aca="false">IF($E876="","",UPPER(SUBSTITUTE($E876," ","")))</f>
        <v/>
      </c>
      <c r="K876" s="10" t="str">
        <f aca="false">IF($A876="","",$G876&amp;"|"&amp;$J876)</f>
        <v/>
      </c>
      <c r="L876" s="10" t="str">
        <f aca="false">IF($A876="","",ROW()-2)</f>
        <v/>
      </c>
      <c r="M876" s="10" t="str">
        <f aca="false">IF($A876="","",ROW())</f>
        <v/>
      </c>
    </row>
    <row r="877" customFormat="false" ht="15" hidden="false" customHeight="true" outlineLevel="0" collapsed="false">
      <c r="A877" s="8"/>
      <c r="B877" s="8"/>
      <c r="C877" s="8"/>
      <c r="D877" s="8"/>
      <c r="E877" s="8"/>
      <c r="F877" s="8"/>
      <c r="G877" s="10" t="str">
        <f aca="false">IF($A877="","",UPPER(SUBSTITUTE(SUBSTITUTE(SUBSTITUTE(SUBSTITUTE($A877," ",""),"(주)",""),"주식회사",""),"㈜","")))</f>
        <v/>
      </c>
      <c r="H877" s="10" t="str">
        <f aca="false">IF($B877="","",SUBSTITUTE(SUBSTITUTE(SUBSTITUTE($B877,"-","")," ",""),".",""))</f>
        <v/>
      </c>
      <c r="I877" s="10" t="str">
        <f aca="false">IF($D877="","",SUBSTITUTE(SUBSTITUTE(SUBSTITUTE($D877,"-","")," ",""),".",""))</f>
        <v/>
      </c>
      <c r="J877" s="10" t="str">
        <f aca="false">IF($E877="","",UPPER(SUBSTITUTE($E877," ","")))</f>
        <v/>
      </c>
      <c r="K877" s="10" t="str">
        <f aca="false">IF($A877="","",$G877&amp;"|"&amp;$J877)</f>
        <v/>
      </c>
      <c r="L877" s="10" t="str">
        <f aca="false">IF($A877="","",ROW()-2)</f>
        <v/>
      </c>
      <c r="M877" s="10" t="str">
        <f aca="false">IF($A877="","",ROW())</f>
        <v/>
      </c>
    </row>
    <row r="878" customFormat="false" ht="15" hidden="false" customHeight="true" outlineLevel="0" collapsed="false">
      <c r="A878" s="8"/>
      <c r="B878" s="8"/>
      <c r="C878" s="8"/>
      <c r="D878" s="8"/>
      <c r="E878" s="8"/>
      <c r="F878" s="8"/>
      <c r="G878" s="10" t="str">
        <f aca="false">IF($A878="","",UPPER(SUBSTITUTE(SUBSTITUTE(SUBSTITUTE(SUBSTITUTE($A878," ",""),"(주)",""),"주식회사",""),"㈜","")))</f>
        <v/>
      </c>
      <c r="H878" s="10" t="str">
        <f aca="false">IF($B878="","",SUBSTITUTE(SUBSTITUTE(SUBSTITUTE($B878,"-","")," ",""),".",""))</f>
        <v/>
      </c>
      <c r="I878" s="10" t="str">
        <f aca="false">IF($D878="","",SUBSTITUTE(SUBSTITUTE(SUBSTITUTE($D878,"-","")," ",""),".",""))</f>
        <v/>
      </c>
      <c r="J878" s="10" t="str">
        <f aca="false">IF($E878="","",UPPER(SUBSTITUTE($E878," ","")))</f>
        <v/>
      </c>
      <c r="K878" s="10" t="str">
        <f aca="false">IF($A878="","",$G878&amp;"|"&amp;$J878)</f>
        <v/>
      </c>
      <c r="L878" s="10" t="str">
        <f aca="false">IF($A878="","",ROW()-2)</f>
        <v/>
      </c>
      <c r="M878" s="10" t="str">
        <f aca="false">IF($A878="","",ROW())</f>
        <v/>
      </c>
    </row>
    <row r="879" customFormat="false" ht="15" hidden="false" customHeight="true" outlineLevel="0" collapsed="false">
      <c r="A879" s="8"/>
      <c r="B879" s="8"/>
      <c r="C879" s="8"/>
      <c r="D879" s="8"/>
      <c r="E879" s="8"/>
      <c r="F879" s="8"/>
      <c r="G879" s="10" t="str">
        <f aca="false">IF($A879="","",UPPER(SUBSTITUTE(SUBSTITUTE(SUBSTITUTE(SUBSTITUTE($A879," ",""),"(주)",""),"주식회사",""),"㈜","")))</f>
        <v/>
      </c>
      <c r="H879" s="10" t="str">
        <f aca="false">IF($B879="","",SUBSTITUTE(SUBSTITUTE(SUBSTITUTE($B879,"-","")," ",""),".",""))</f>
        <v/>
      </c>
      <c r="I879" s="10" t="str">
        <f aca="false">IF($D879="","",SUBSTITUTE(SUBSTITUTE(SUBSTITUTE($D879,"-","")," ",""),".",""))</f>
        <v/>
      </c>
      <c r="J879" s="10" t="str">
        <f aca="false">IF($E879="","",UPPER(SUBSTITUTE($E879," ","")))</f>
        <v/>
      </c>
      <c r="K879" s="10" t="str">
        <f aca="false">IF($A879="","",$G879&amp;"|"&amp;$J879)</f>
        <v/>
      </c>
      <c r="L879" s="10" t="str">
        <f aca="false">IF($A879="","",ROW()-2)</f>
        <v/>
      </c>
      <c r="M879" s="10" t="str">
        <f aca="false">IF($A879="","",ROW())</f>
        <v/>
      </c>
    </row>
    <row r="880" customFormat="false" ht="15" hidden="false" customHeight="true" outlineLevel="0" collapsed="false">
      <c r="A880" s="8"/>
      <c r="B880" s="8"/>
      <c r="C880" s="8"/>
      <c r="D880" s="8"/>
      <c r="E880" s="8"/>
      <c r="F880" s="8"/>
      <c r="G880" s="10" t="str">
        <f aca="false">IF($A880="","",UPPER(SUBSTITUTE(SUBSTITUTE(SUBSTITUTE(SUBSTITUTE($A880," ",""),"(주)",""),"주식회사",""),"㈜","")))</f>
        <v/>
      </c>
      <c r="H880" s="10" t="str">
        <f aca="false">IF($B880="","",SUBSTITUTE(SUBSTITUTE(SUBSTITUTE($B880,"-","")," ",""),".",""))</f>
        <v/>
      </c>
      <c r="I880" s="10" t="str">
        <f aca="false">IF($D880="","",SUBSTITUTE(SUBSTITUTE(SUBSTITUTE($D880,"-","")," ",""),".",""))</f>
        <v/>
      </c>
      <c r="J880" s="10" t="str">
        <f aca="false">IF($E880="","",UPPER(SUBSTITUTE($E880," ","")))</f>
        <v/>
      </c>
      <c r="K880" s="10" t="str">
        <f aca="false">IF($A880="","",$G880&amp;"|"&amp;$J880)</f>
        <v/>
      </c>
      <c r="L880" s="10" t="str">
        <f aca="false">IF($A880="","",ROW()-2)</f>
        <v/>
      </c>
      <c r="M880" s="10" t="str">
        <f aca="false">IF($A880="","",ROW())</f>
        <v/>
      </c>
    </row>
    <row r="881" customFormat="false" ht="15" hidden="false" customHeight="true" outlineLevel="0" collapsed="false">
      <c r="A881" s="8"/>
      <c r="B881" s="8"/>
      <c r="C881" s="8"/>
      <c r="D881" s="8"/>
      <c r="E881" s="8"/>
      <c r="F881" s="8"/>
      <c r="G881" s="10" t="str">
        <f aca="false">IF($A881="","",UPPER(SUBSTITUTE(SUBSTITUTE(SUBSTITUTE(SUBSTITUTE($A881," ",""),"(주)",""),"주식회사",""),"㈜","")))</f>
        <v/>
      </c>
      <c r="H881" s="10" t="str">
        <f aca="false">IF($B881="","",SUBSTITUTE(SUBSTITUTE(SUBSTITUTE($B881,"-","")," ",""),".",""))</f>
        <v/>
      </c>
      <c r="I881" s="10" t="str">
        <f aca="false">IF($D881="","",SUBSTITUTE(SUBSTITUTE(SUBSTITUTE($D881,"-","")," ",""),".",""))</f>
        <v/>
      </c>
      <c r="J881" s="10" t="str">
        <f aca="false">IF($E881="","",UPPER(SUBSTITUTE($E881," ","")))</f>
        <v/>
      </c>
      <c r="K881" s="10" t="str">
        <f aca="false">IF($A881="","",$G881&amp;"|"&amp;$J881)</f>
        <v/>
      </c>
      <c r="L881" s="10" t="str">
        <f aca="false">IF($A881="","",ROW()-2)</f>
        <v/>
      </c>
      <c r="M881" s="10" t="str">
        <f aca="false">IF($A881="","",ROW())</f>
        <v/>
      </c>
    </row>
    <row r="882" customFormat="false" ht="15" hidden="false" customHeight="true" outlineLevel="0" collapsed="false">
      <c r="A882" s="8"/>
      <c r="B882" s="8"/>
      <c r="C882" s="8"/>
      <c r="D882" s="8"/>
      <c r="E882" s="8"/>
      <c r="F882" s="8"/>
      <c r="G882" s="10" t="str">
        <f aca="false">IF($A882="","",UPPER(SUBSTITUTE(SUBSTITUTE(SUBSTITUTE(SUBSTITUTE($A882," ",""),"(주)",""),"주식회사",""),"㈜","")))</f>
        <v/>
      </c>
      <c r="H882" s="10" t="str">
        <f aca="false">IF($B882="","",SUBSTITUTE(SUBSTITUTE(SUBSTITUTE($B882,"-","")," ",""),".",""))</f>
        <v/>
      </c>
      <c r="I882" s="10" t="str">
        <f aca="false">IF($D882="","",SUBSTITUTE(SUBSTITUTE(SUBSTITUTE($D882,"-","")," ",""),".",""))</f>
        <v/>
      </c>
      <c r="J882" s="10" t="str">
        <f aca="false">IF($E882="","",UPPER(SUBSTITUTE($E882," ","")))</f>
        <v/>
      </c>
      <c r="K882" s="10" t="str">
        <f aca="false">IF($A882="","",$G882&amp;"|"&amp;$J882)</f>
        <v/>
      </c>
      <c r="L882" s="10" t="str">
        <f aca="false">IF($A882="","",ROW()-2)</f>
        <v/>
      </c>
      <c r="M882" s="10" t="str">
        <f aca="false">IF($A882="","",ROW())</f>
        <v/>
      </c>
    </row>
    <row r="883" customFormat="false" ht="15" hidden="false" customHeight="true" outlineLevel="0" collapsed="false">
      <c r="A883" s="8"/>
      <c r="B883" s="8"/>
      <c r="C883" s="8"/>
      <c r="D883" s="8"/>
      <c r="E883" s="8"/>
      <c r="F883" s="8"/>
      <c r="G883" s="10" t="str">
        <f aca="false">IF($A883="","",UPPER(SUBSTITUTE(SUBSTITUTE(SUBSTITUTE(SUBSTITUTE($A883," ",""),"(주)",""),"주식회사",""),"㈜","")))</f>
        <v/>
      </c>
      <c r="H883" s="10" t="str">
        <f aca="false">IF($B883="","",SUBSTITUTE(SUBSTITUTE(SUBSTITUTE($B883,"-","")," ",""),".",""))</f>
        <v/>
      </c>
      <c r="I883" s="10" t="str">
        <f aca="false">IF($D883="","",SUBSTITUTE(SUBSTITUTE(SUBSTITUTE($D883,"-","")," ",""),".",""))</f>
        <v/>
      </c>
      <c r="J883" s="10" t="str">
        <f aca="false">IF($E883="","",UPPER(SUBSTITUTE($E883," ","")))</f>
        <v/>
      </c>
      <c r="K883" s="10" t="str">
        <f aca="false">IF($A883="","",$G883&amp;"|"&amp;$J883)</f>
        <v/>
      </c>
      <c r="L883" s="10" t="str">
        <f aca="false">IF($A883="","",ROW()-2)</f>
        <v/>
      </c>
      <c r="M883" s="10" t="str">
        <f aca="false">IF($A883="","",ROW())</f>
        <v/>
      </c>
    </row>
    <row r="884" customFormat="false" ht="15" hidden="false" customHeight="true" outlineLevel="0" collapsed="false">
      <c r="A884" s="8"/>
      <c r="B884" s="8"/>
      <c r="C884" s="8"/>
      <c r="D884" s="8"/>
      <c r="E884" s="8"/>
      <c r="F884" s="8"/>
      <c r="G884" s="10" t="str">
        <f aca="false">IF($A884="","",UPPER(SUBSTITUTE(SUBSTITUTE(SUBSTITUTE(SUBSTITUTE($A884," ",""),"(주)",""),"주식회사",""),"㈜","")))</f>
        <v/>
      </c>
      <c r="H884" s="10" t="str">
        <f aca="false">IF($B884="","",SUBSTITUTE(SUBSTITUTE(SUBSTITUTE($B884,"-","")," ",""),".",""))</f>
        <v/>
      </c>
      <c r="I884" s="10" t="str">
        <f aca="false">IF($D884="","",SUBSTITUTE(SUBSTITUTE(SUBSTITUTE($D884,"-","")," ",""),".",""))</f>
        <v/>
      </c>
      <c r="J884" s="10" t="str">
        <f aca="false">IF($E884="","",UPPER(SUBSTITUTE($E884," ","")))</f>
        <v/>
      </c>
      <c r="K884" s="10" t="str">
        <f aca="false">IF($A884="","",$G884&amp;"|"&amp;$J884)</f>
        <v/>
      </c>
      <c r="L884" s="10" t="str">
        <f aca="false">IF($A884="","",ROW()-2)</f>
        <v/>
      </c>
      <c r="M884" s="10" t="str">
        <f aca="false">IF($A884="","",ROW())</f>
        <v/>
      </c>
    </row>
    <row r="885" customFormat="false" ht="15" hidden="false" customHeight="true" outlineLevel="0" collapsed="false">
      <c r="A885" s="8"/>
      <c r="B885" s="8"/>
      <c r="C885" s="8"/>
      <c r="D885" s="8"/>
      <c r="E885" s="8"/>
      <c r="F885" s="8"/>
      <c r="G885" s="10" t="str">
        <f aca="false">IF($A885="","",UPPER(SUBSTITUTE(SUBSTITUTE(SUBSTITUTE(SUBSTITUTE($A885," ",""),"(주)",""),"주식회사",""),"㈜","")))</f>
        <v/>
      </c>
      <c r="H885" s="10" t="str">
        <f aca="false">IF($B885="","",SUBSTITUTE(SUBSTITUTE(SUBSTITUTE($B885,"-","")," ",""),".",""))</f>
        <v/>
      </c>
      <c r="I885" s="10" t="str">
        <f aca="false">IF($D885="","",SUBSTITUTE(SUBSTITUTE(SUBSTITUTE($D885,"-","")," ",""),".",""))</f>
        <v/>
      </c>
      <c r="J885" s="10" t="str">
        <f aca="false">IF($E885="","",UPPER(SUBSTITUTE($E885," ","")))</f>
        <v/>
      </c>
      <c r="K885" s="10" t="str">
        <f aca="false">IF($A885="","",$G885&amp;"|"&amp;$J885)</f>
        <v/>
      </c>
      <c r="L885" s="10" t="str">
        <f aca="false">IF($A885="","",ROW()-2)</f>
        <v/>
      </c>
      <c r="M885" s="10" t="str">
        <f aca="false">IF($A885="","",ROW())</f>
        <v/>
      </c>
    </row>
    <row r="886" customFormat="false" ht="15" hidden="false" customHeight="true" outlineLevel="0" collapsed="false">
      <c r="A886" s="8"/>
      <c r="B886" s="8"/>
      <c r="C886" s="8"/>
      <c r="D886" s="8"/>
      <c r="E886" s="8"/>
      <c r="F886" s="8"/>
      <c r="G886" s="10" t="str">
        <f aca="false">IF($A886="","",UPPER(SUBSTITUTE(SUBSTITUTE(SUBSTITUTE(SUBSTITUTE($A886," ",""),"(주)",""),"주식회사",""),"㈜","")))</f>
        <v/>
      </c>
      <c r="H886" s="10" t="str">
        <f aca="false">IF($B886="","",SUBSTITUTE(SUBSTITUTE(SUBSTITUTE($B886,"-","")," ",""),".",""))</f>
        <v/>
      </c>
      <c r="I886" s="10" t="str">
        <f aca="false">IF($D886="","",SUBSTITUTE(SUBSTITUTE(SUBSTITUTE($D886,"-","")," ",""),".",""))</f>
        <v/>
      </c>
      <c r="J886" s="10" t="str">
        <f aca="false">IF($E886="","",UPPER(SUBSTITUTE($E886," ","")))</f>
        <v/>
      </c>
      <c r="K886" s="10" t="str">
        <f aca="false">IF($A886="","",$G886&amp;"|"&amp;$J886)</f>
        <v/>
      </c>
      <c r="L886" s="10" t="str">
        <f aca="false">IF($A886="","",ROW()-2)</f>
        <v/>
      </c>
      <c r="M886" s="10" t="str">
        <f aca="false">IF($A886="","",ROW())</f>
        <v/>
      </c>
    </row>
    <row r="887" customFormat="false" ht="15" hidden="false" customHeight="true" outlineLevel="0" collapsed="false">
      <c r="A887" s="8"/>
      <c r="B887" s="8"/>
      <c r="C887" s="8"/>
      <c r="D887" s="8"/>
      <c r="E887" s="8"/>
      <c r="F887" s="8"/>
      <c r="G887" s="10" t="str">
        <f aca="false">IF($A887="","",UPPER(SUBSTITUTE(SUBSTITUTE(SUBSTITUTE(SUBSTITUTE($A887," ",""),"(주)",""),"주식회사",""),"㈜","")))</f>
        <v/>
      </c>
      <c r="H887" s="10" t="str">
        <f aca="false">IF($B887="","",SUBSTITUTE(SUBSTITUTE(SUBSTITUTE($B887,"-","")," ",""),".",""))</f>
        <v/>
      </c>
      <c r="I887" s="10" t="str">
        <f aca="false">IF($D887="","",SUBSTITUTE(SUBSTITUTE(SUBSTITUTE($D887,"-","")," ",""),".",""))</f>
        <v/>
      </c>
      <c r="J887" s="10" t="str">
        <f aca="false">IF($E887="","",UPPER(SUBSTITUTE($E887," ","")))</f>
        <v/>
      </c>
      <c r="K887" s="10" t="str">
        <f aca="false">IF($A887="","",$G887&amp;"|"&amp;$J887)</f>
        <v/>
      </c>
      <c r="L887" s="10" t="str">
        <f aca="false">IF($A887="","",ROW()-2)</f>
        <v/>
      </c>
      <c r="M887" s="10" t="str">
        <f aca="false">IF($A887="","",ROW())</f>
        <v/>
      </c>
    </row>
    <row r="888" customFormat="false" ht="15" hidden="false" customHeight="true" outlineLevel="0" collapsed="false">
      <c r="A888" s="8"/>
      <c r="B888" s="8"/>
      <c r="C888" s="8"/>
      <c r="D888" s="8"/>
      <c r="E888" s="8"/>
      <c r="F888" s="8"/>
      <c r="G888" s="10" t="str">
        <f aca="false">IF($A888="","",UPPER(SUBSTITUTE(SUBSTITUTE(SUBSTITUTE(SUBSTITUTE($A888," ",""),"(주)",""),"주식회사",""),"㈜","")))</f>
        <v/>
      </c>
      <c r="H888" s="10" t="str">
        <f aca="false">IF($B888="","",SUBSTITUTE(SUBSTITUTE(SUBSTITUTE($B888,"-","")," ",""),".",""))</f>
        <v/>
      </c>
      <c r="I888" s="10" t="str">
        <f aca="false">IF($D888="","",SUBSTITUTE(SUBSTITUTE(SUBSTITUTE($D888,"-","")," ",""),".",""))</f>
        <v/>
      </c>
      <c r="J888" s="10" t="str">
        <f aca="false">IF($E888="","",UPPER(SUBSTITUTE($E888," ","")))</f>
        <v/>
      </c>
      <c r="K888" s="10" t="str">
        <f aca="false">IF($A888="","",$G888&amp;"|"&amp;$J888)</f>
        <v/>
      </c>
      <c r="L888" s="10" t="str">
        <f aca="false">IF($A888="","",ROW()-2)</f>
        <v/>
      </c>
      <c r="M888" s="10" t="str">
        <f aca="false">IF($A888="","",ROW())</f>
        <v/>
      </c>
    </row>
    <row r="889" customFormat="false" ht="15" hidden="false" customHeight="true" outlineLevel="0" collapsed="false">
      <c r="A889" s="8"/>
      <c r="B889" s="8"/>
      <c r="C889" s="8"/>
      <c r="D889" s="8"/>
      <c r="E889" s="8"/>
      <c r="F889" s="8"/>
      <c r="G889" s="10" t="str">
        <f aca="false">IF($A889="","",UPPER(SUBSTITUTE(SUBSTITUTE(SUBSTITUTE(SUBSTITUTE($A889," ",""),"(주)",""),"주식회사",""),"㈜","")))</f>
        <v/>
      </c>
      <c r="H889" s="10" t="str">
        <f aca="false">IF($B889="","",SUBSTITUTE(SUBSTITUTE(SUBSTITUTE($B889,"-","")," ",""),".",""))</f>
        <v/>
      </c>
      <c r="I889" s="10" t="str">
        <f aca="false">IF($D889="","",SUBSTITUTE(SUBSTITUTE(SUBSTITUTE($D889,"-","")," ",""),".",""))</f>
        <v/>
      </c>
      <c r="J889" s="10" t="str">
        <f aca="false">IF($E889="","",UPPER(SUBSTITUTE($E889," ","")))</f>
        <v/>
      </c>
      <c r="K889" s="10" t="str">
        <f aca="false">IF($A889="","",$G889&amp;"|"&amp;$J889)</f>
        <v/>
      </c>
      <c r="L889" s="10" t="str">
        <f aca="false">IF($A889="","",ROW()-2)</f>
        <v/>
      </c>
      <c r="M889" s="10" t="str">
        <f aca="false">IF($A889="","",ROW())</f>
        <v/>
      </c>
    </row>
    <row r="890" customFormat="false" ht="15" hidden="false" customHeight="true" outlineLevel="0" collapsed="false">
      <c r="A890" s="8"/>
      <c r="B890" s="8"/>
      <c r="C890" s="8"/>
      <c r="D890" s="8"/>
      <c r="E890" s="8"/>
      <c r="F890" s="8"/>
      <c r="G890" s="10" t="str">
        <f aca="false">IF($A890="","",UPPER(SUBSTITUTE(SUBSTITUTE(SUBSTITUTE(SUBSTITUTE($A890," ",""),"(주)",""),"주식회사",""),"㈜","")))</f>
        <v/>
      </c>
      <c r="H890" s="10" t="str">
        <f aca="false">IF($B890="","",SUBSTITUTE(SUBSTITUTE(SUBSTITUTE($B890,"-","")," ",""),".",""))</f>
        <v/>
      </c>
      <c r="I890" s="10" t="str">
        <f aca="false">IF($D890="","",SUBSTITUTE(SUBSTITUTE(SUBSTITUTE($D890,"-","")," ",""),".",""))</f>
        <v/>
      </c>
      <c r="J890" s="10" t="str">
        <f aca="false">IF($E890="","",UPPER(SUBSTITUTE($E890," ","")))</f>
        <v/>
      </c>
      <c r="K890" s="10" t="str">
        <f aca="false">IF($A890="","",$G890&amp;"|"&amp;$J890)</f>
        <v/>
      </c>
      <c r="L890" s="10" t="str">
        <f aca="false">IF($A890="","",ROW()-2)</f>
        <v/>
      </c>
      <c r="M890" s="10" t="str">
        <f aca="false">IF($A890="","",ROW())</f>
        <v/>
      </c>
    </row>
    <row r="891" customFormat="false" ht="15" hidden="false" customHeight="true" outlineLevel="0" collapsed="false">
      <c r="A891" s="8"/>
      <c r="B891" s="8"/>
      <c r="C891" s="8"/>
      <c r="D891" s="8"/>
      <c r="E891" s="8"/>
      <c r="F891" s="8"/>
      <c r="G891" s="10" t="str">
        <f aca="false">IF($A891="","",UPPER(SUBSTITUTE(SUBSTITUTE(SUBSTITUTE(SUBSTITUTE($A891," ",""),"(주)",""),"주식회사",""),"㈜","")))</f>
        <v/>
      </c>
      <c r="H891" s="10" t="str">
        <f aca="false">IF($B891="","",SUBSTITUTE(SUBSTITUTE(SUBSTITUTE($B891,"-","")," ",""),".",""))</f>
        <v/>
      </c>
      <c r="I891" s="10" t="str">
        <f aca="false">IF($D891="","",SUBSTITUTE(SUBSTITUTE(SUBSTITUTE($D891,"-","")," ",""),".",""))</f>
        <v/>
      </c>
      <c r="J891" s="10" t="str">
        <f aca="false">IF($E891="","",UPPER(SUBSTITUTE($E891," ","")))</f>
        <v/>
      </c>
      <c r="K891" s="10" t="str">
        <f aca="false">IF($A891="","",$G891&amp;"|"&amp;$J891)</f>
        <v/>
      </c>
      <c r="L891" s="10" t="str">
        <f aca="false">IF($A891="","",ROW()-2)</f>
        <v/>
      </c>
      <c r="M891" s="10" t="str">
        <f aca="false">IF($A891="","",ROW())</f>
        <v/>
      </c>
    </row>
    <row r="892" customFormat="false" ht="15" hidden="false" customHeight="true" outlineLevel="0" collapsed="false">
      <c r="A892" s="8"/>
      <c r="B892" s="8"/>
      <c r="C892" s="8"/>
      <c r="D892" s="8"/>
      <c r="E892" s="8"/>
      <c r="F892" s="8"/>
      <c r="G892" s="10" t="str">
        <f aca="false">IF($A892="","",UPPER(SUBSTITUTE(SUBSTITUTE(SUBSTITUTE(SUBSTITUTE($A892," ",""),"(주)",""),"주식회사",""),"㈜","")))</f>
        <v/>
      </c>
      <c r="H892" s="10" t="str">
        <f aca="false">IF($B892="","",SUBSTITUTE(SUBSTITUTE(SUBSTITUTE($B892,"-","")," ",""),".",""))</f>
        <v/>
      </c>
      <c r="I892" s="10" t="str">
        <f aca="false">IF($D892="","",SUBSTITUTE(SUBSTITUTE(SUBSTITUTE($D892,"-","")," ",""),".",""))</f>
        <v/>
      </c>
      <c r="J892" s="10" t="str">
        <f aca="false">IF($E892="","",UPPER(SUBSTITUTE($E892," ","")))</f>
        <v/>
      </c>
      <c r="K892" s="10" t="str">
        <f aca="false">IF($A892="","",$G892&amp;"|"&amp;$J892)</f>
        <v/>
      </c>
      <c r="L892" s="10" t="str">
        <f aca="false">IF($A892="","",ROW()-2)</f>
        <v/>
      </c>
      <c r="M892" s="10" t="str">
        <f aca="false">IF($A892="","",ROW())</f>
        <v/>
      </c>
    </row>
    <row r="893" customFormat="false" ht="15" hidden="false" customHeight="true" outlineLevel="0" collapsed="false">
      <c r="A893" s="8"/>
      <c r="B893" s="8"/>
      <c r="C893" s="8"/>
      <c r="D893" s="8"/>
      <c r="E893" s="8"/>
      <c r="F893" s="8"/>
      <c r="G893" s="10" t="str">
        <f aca="false">IF($A893="","",UPPER(SUBSTITUTE(SUBSTITUTE(SUBSTITUTE(SUBSTITUTE($A893," ",""),"(주)",""),"주식회사",""),"㈜","")))</f>
        <v/>
      </c>
      <c r="H893" s="10" t="str">
        <f aca="false">IF($B893="","",SUBSTITUTE(SUBSTITUTE(SUBSTITUTE($B893,"-","")," ",""),".",""))</f>
        <v/>
      </c>
      <c r="I893" s="10" t="str">
        <f aca="false">IF($D893="","",SUBSTITUTE(SUBSTITUTE(SUBSTITUTE($D893,"-","")," ",""),".",""))</f>
        <v/>
      </c>
      <c r="J893" s="10" t="str">
        <f aca="false">IF($E893="","",UPPER(SUBSTITUTE($E893," ","")))</f>
        <v/>
      </c>
      <c r="K893" s="10" t="str">
        <f aca="false">IF($A893="","",$G893&amp;"|"&amp;$J893)</f>
        <v/>
      </c>
      <c r="L893" s="10" t="str">
        <f aca="false">IF($A893="","",ROW()-2)</f>
        <v/>
      </c>
      <c r="M893" s="10" t="str">
        <f aca="false">IF($A893="","",ROW())</f>
        <v/>
      </c>
    </row>
    <row r="894" customFormat="false" ht="15" hidden="false" customHeight="true" outlineLevel="0" collapsed="false">
      <c r="A894" s="8"/>
      <c r="B894" s="8"/>
      <c r="C894" s="8"/>
      <c r="D894" s="8"/>
      <c r="E894" s="8"/>
      <c r="F894" s="8"/>
      <c r="G894" s="10" t="str">
        <f aca="false">IF($A894="","",UPPER(SUBSTITUTE(SUBSTITUTE(SUBSTITUTE(SUBSTITUTE($A894," ",""),"(주)",""),"주식회사",""),"㈜","")))</f>
        <v/>
      </c>
      <c r="H894" s="10" t="str">
        <f aca="false">IF($B894="","",SUBSTITUTE(SUBSTITUTE(SUBSTITUTE($B894,"-","")," ",""),".",""))</f>
        <v/>
      </c>
      <c r="I894" s="10" t="str">
        <f aca="false">IF($D894="","",SUBSTITUTE(SUBSTITUTE(SUBSTITUTE($D894,"-","")," ",""),".",""))</f>
        <v/>
      </c>
      <c r="J894" s="10" t="str">
        <f aca="false">IF($E894="","",UPPER(SUBSTITUTE($E894," ","")))</f>
        <v/>
      </c>
      <c r="K894" s="10" t="str">
        <f aca="false">IF($A894="","",$G894&amp;"|"&amp;$J894)</f>
        <v/>
      </c>
      <c r="L894" s="10" t="str">
        <f aca="false">IF($A894="","",ROW()-2)</f>
        <v/>
      </c>
      <c r="M894" s="10" t="str">
        <f aca="false">IF($A894="","",ROW())</f>
        <v/>
      </c>
    </row>
    <row r="895" customFormat="false" ht="15" hidden="false" customHeight="true" outlineLevel="0" collapsed="false">
      <c r="A895" s="8"/>
      <c r="B895" s="8"/>
      <c r="C895" s="8"/>
      <c r="D895" s="8"/>
      <c r="E895" s="8"/>
      <c r="F895" s="8"/>
      <c r="G895" s="10" t="str">
        <f aca="false">IF($A895="","",UPPER(SUBSTITUTE(SUBSTITUTE(SUBSTITUTE(SUBSTITUTE($A895," ",""),"(주)",""),"주식회사",""),"㈜","")))</f>
        <v/>
      </c>
      <c r="H895" s="10" t="str">
        <f aca="false">IF($B895="","",SUBSTITUTE(SUBSTITUTE(SUBSTITUTE($B895,"-","")," ",""),".",""))</f>
        <v/>
      </c>
      <c r="I895" s="10" t="str">
        <f aca="false">IF($D895="","",SUBSTITUTE(SUBSTITUTE(SUBSTITUTE($D895,"-","")," ",""),".",""))</f>
        <v/>
      </c>
      <c r="J895" s="10" t="str">
        <f aca="false">IF($E895="","",UPPER(SUBSTITUTE($E895," ","")))</f>
        <v/>
      </c>
      <c r="K895" s="10" t="str">
        <f aca="false">IF($A895="","",$G895&amp;"|"&amp;$J895)</f>
        <v/>
      </c>
      <c r="L895" s="10" t="str">
        <f aca="false">IF($A895="","",ROW()-2)</f>
        <v/>
      </c>
      <c r="M895" s="10" t="str">
        <f aca="false">IF($A895="","",ROW())</f>
        <v/>
      </c>
    </row>
    <row r="896" customFormat="false" ht="15" hidden="false" customHeight="true" outlineLevel="0" collapsed="false">
      <c r="A896" s="8"/>
      <c r="B896" s="8"/>
      <c r="C896" s="8"/>
      <c r="D896" s="8"/>
      <c r="E896" s="8"/>
      <c r="F896" s="8"/>
      <c r="G896" s="10" t="str">
        <f aca="false">IF($A896="","",UPPER(SUBSTITUTE(SUBSTITUTE(SUBSTITUTE(SUBSTITUTE($A896," ",""),"(주)",""),"주식회사",""),"㈜","")))</f>
        <v/>
      </c>
      <c r="H896" s="10" t="str">
        <f aca="false">IF($B896="","",SUBSTITUTE(SUBSTITUTE(SUBSTITUTE($B896,"-","")," ",""),".",""))</f>
        <v/>
      </c>
      <c r="I896" s="10" t="str">
        <f aca="false">IF($D896="","",SUBSTITUTE(SUBSTITUTE(SUBSTITUTE($D896,"-","")," ",""),".",""))</f>
        <v/>
      </c>
      <c r="J896" s="10" t="str">
        <f aca="false">IF($E896="","",UPPER(SUBSTITUTE($E896," ","")))</f>
        <v/>
      </c>
      <c r="K896" s="10" t="str">
        <f aca="false">IF($A896="","",$G896&amp;"|"&amp;$J896)</f>
        <v/>
      </c>
      <c r="L896" s="10" t="str">
        <f aca="false">IF($A896="","",ROW()-2)</f>
        <v/>
      </c>
      <c r="M896" s="10" t="str">
        <f aca="false">IF($A896="","",ROW())</f>
        <v/>
      </c>
    </row>
    <row r="897" customFormat="false" ht="15" hidden="false" customHeight="true" outlineLevel="0" collapsed="false">
      <c r="A897" s="8"/>
      <c r="B897" s="8"/>
      <c r="C897" s="8"/>
      <c r="D897" s="8"/>
      <c r="E897" s="8"/>
      <c r="F897" s="8"/>
      <c r="G897" s="10" t="str">
        <f aca="false">IF($A897="","",UPPER(SUBSTITUTE(SUBSTITUTE(SUBSTITUTE(SUBSTITUTE($A897," ",""),"(주)",""),"주식회사",""),"㈜","")))</f>
        <v/>
      </c>
      <c r="H897" s="10" t="str">
        <f aca="false">IF($B897="","",SUBSTITUTE(SUBSTITUTE(SUBSTITUTE($B897,"-","")," ",""),".",""))</f>
        <v/>
      </c>
      <c r="I897" s="10" t="str">
        <f aca="false">IF($D897="","",SUBSTITUTE(SUBSTITUTE(SUBSTITUTE($D897,"-","")," ",""),".",""))</f>
        <v/>
      </c>
      <c r="J897" s="10" t="str">
        <f aca="false">IF($E897="","",UPPER(SUBSTITUTE($E897," ","")))</f>
        <v/>
      </c>
      <c r="K897" s="10" t="str">
        <f aca="false">IF($A897="","",$G897&amp;"|"&amp;$J897)</f>
        <v/>
      </c>
      <c r="L897" s="10" t="str">
        <f aca="false">IF($A897="","",ROW()-2)</f>
        <v/>
      </c>
      <c r="M897" s="10" t="str">
        <f aca="false">IF($A897="","",ROW())</f>
        <v/>
      </c>
    </row>
    <row r="898" customFormat="false" ht="15" hidden="false" customHeight="true" outlineLevel="0" collapsed="false">
      <c r="A898" s="8"/>
      <c r="B898" s="8"/>
      <c r="C898" s="8"/>
      <c r="D898" s="8"/>
      <c r="E898" s="8"/>
      <c r="F898" s="8"/>
      <c r="G898" s="10" t="str">
        <f aca="false">IF($A898="","",UPPER(SUBSTITUTE(SUBSTITUTE(SUBSTITUTE(SUBSTITUTE($A898," ",""),"(주)",""),"주식회사",""),"㈜","")))</f>
        <v/>
      </c>
      <c r="H898" s="10" t="str">
        <f aca="false">IF($B898="","",SUBSTITUTE(SUBSTITUTE(SUBSTITUTE($B898,"-","")," ",""),".",""))</f>
        <v/>
      </c>
      <c r="I898" s="10" t="str">
        <f aca="false">IF($D898="","",SUBSTITUTE(SUBSTITUTE(SUBSTITUTE($D898,"-","")," ",""),".",""))</f>
        <v/>
      </c>
      <c r="J898" s="10" t="str">
        <f aca="false">IF($E898="","",UPPER(SUBSTITUTE($E898," ","")))</f>
        <v/>
      </c>
      <c r="K898" s="10" t="str">
        <f aca="false">IF($A898="","",$G898&amp;"|"&amp;$J898)</f>
        <v/>
      </c>
      <c r="L898" s="10" t="str">
        <f aca="false">IF($A898="","",ROW()-2)</f>
        <v/>
      </c>
      <c r="M898" s="10" t="str">
        <f aca="false">IF($A898="","",ROW())</f>
        <v/>
      </c>
    </row>
    <row r="899" customFormat="false" ht="15" hidden="false" customHeight="true" outlineLevel="0" collapsed="false">
      <c r="A899" s="8"/>
      <c r="B899" s="8"/>
      <c r="C899" s="8"/>
      <c r="D899" s="8"/>
      <c r="E899" s="8"/>
      <c r="F899" s="8"/>
      <c r="G899" s="10" t="str">
        <f aca="false">IF($A899="","",UPPER(SUBSTITUTE(SUBSTITUTE(SUBSTITUTE(SUBSTITUTE($A899," ",""),"(주)",""),"주식회사",""),"㈜","")))</f>
        <v/>
      </c>
      <c r="H899" s="10" t="str">
        <f aca="false">IF($B899="","",SUBSTITUTE(SUBSTITUTE(SUBSTITUTE($B899,"-","")," ",""),".",""))</f>
        <v/>
      </c>
      <c r="I899" s="10" t="str">
        <f aca="false">IF($D899="","",SUBSTITUTE(SUBSTITUTE(SUBSTITUTE($D899,"-","")," ",""),".",""))</f>
        <v/>
      </c>
      <c r="J899" s="10" t="str">
        <f aca="false">IF($E899="","",UPPER(SUBSTITUTE($E899," ","")))</f>
        <v/>
      </c>
      <c r="K899" s="10" t="str">
        <f aca="false">IF($A899="","",$G899&amp;"|"&amp;$J899)</f>
        <v/>
      </c>
      <c r="L899" s="10" t="str">
        <f aca="false">IF($A899="","",ROW()-2)</f>
        <v/>
      </c>
      <c r="M899" s="10" t="str">
        <f aca="false">IF($A899="","",ROW())</f>
        <v/>
      </c>
    </row>
    <row r="900" customFormat="false" ht="15" hidden="false" customHeight="true" outlineLevel="0" collapsed="false">
      <c r="A900" s="8"/>
      <c r="B900" s="8"/>
      <c r="C900" s="8"/>
      <c r="D900" s="8"/>
      <c r="E900" s="8"/>
      <c r="F900" s="8"/>
      <c r="G900" s="10" t="str">
        <f aca="false">IF($A900="","",UPPER(SUBSTITUTE(SUBSTITUTE(SUBSTITUTE(SUBSTITUTE($A900," ",""),"(주)",""),"주식회사",""),"㈜","")))</f>
        <v/>
      </c>
      <c r="H900" s="10" t="str">
        <f aca="false">IF($B900="","",SUBSTITUTE(SUBSTITUTE(SUBSTITUTE($B900,"-","")," ",""),".",""))</f>
        <v/>
      </c>
      <c r="I900" s="10" t="str">
        <f aca="false">IF($D900="","",SUBSTITUTE(SUBSTITUTE(SUBSTITUTE($D900,"-","")," ",""),".",""))</f>
        <v/>
      </c>
      <c r="J900" s="10" t="str">
        <f aca="false">IF($E900="","",UPPER(SUBSTITUTE($E900," ","")))</f>
        <v/>
      </c>
      <c r="K900" s="10" t="str">
        <f aca="false">IF($A900="","",$G900&amp;"|"&amp;$J900)</f>
        <v/>
      </c>
      <c r="L900" s="10" t="str">
        <f aca="false">IF($A900="","",ROW()-2)</f>
        <v/>
      </c>
      <c r="M900" s="10" t="str">
        <f aca="false">IF($A900="","",ROW())</f>
        <v/>
      </c>
    </row>
    <row r="901" customFormat="false" ht="15" hidden="false" customHeight="true" outlineLevel="0" collapsed="false">
      <c r="A901" s="8"/>
      <c r="B901" s="8"/>
      <c r="C901" s="8"/>
      <c r="D901" s="8"/>
      <c r="E901" s="8"/>
      <c r="F901" s="8"/>
      <c r="G901" s="10" t="str">
        <f aca="false">IF($A901="","",UPPER(SUBSTITUTE(SUBSTITUTE(SUBSTITUTE(SUBSTITUTE($A901," ",""),"(주)",""),"주식회사",""),"㈜","")))</f>
        <v/>
      </c>
      <c r="H901" s="10" t="str">
        <f aca="false">IF($B901="","",SUBSTITUTE(SUBSTITUTE(SUBSTITUTE($B901,"-","")," ",""),".",""))</f>
        <v/>
      </c>
      <c r="I901" s="10" t="str">
        <f aca="false">IF($D901="","",SUBSTITUTE(SUBSTITUTE(SUBSTITUTE($D901,"-","")," ",""),".",""))</f>
        <v/>
      </c>
      <c r="J901" s="10" t="str">
        <f aca="false">IF($E901="","",UPPER(SUBSTITUTE($E901," ","")))</f>
        <v/>
      </c>
      <c r="K901" s="10" t="str">
        <f aca="false">IF($A901="","",$G901&amp;"|"&amp;$J901)</f>
        <v/>
      </c>
      <c r="L901" s="10" t="str">
        <f aca="false">IF($A901="","",ROW()-2)</f>
        <v/>
      </c>
      <c r="M901" s="10" t="str">
        <f aca="false">IF($A901="","",ROW())</f>
        <v/>
      </c>
    </row>
    <row r="902" customFormat="false" ht="15" hidden="false" customHeight="true" outlineLevel="0" collapsed="false">
      <c r="A902" s="8"/>
      <c r="B902" s="8"/>
      <c r="C902" s="8"/>
      <c r="D902" s="8"/>
      <c r="E902" s="8"/>
      <c r="F902" s="8"/>
      <c r="G902" s="10" t="str">
        <f aca="false">IF($A902="","",UPPER(SUBSTITUTE(SUBSTITUTE(SUBSTITUTE(SUBSTITUTE($A902," ",""),"(주)",""),"주식회사",""),"㈜","")))</f>
        <v/>
      </c>
      <c r="H902" s="10" t="str">
        <f aca="false">IF($B902="","",SUBSTITUTE(SUBSTITUTE(SUBSTITUTE($B902,"-","")," ",""),".",""))</f>
        <v/>
      </c>
      <c r="I902" s="10" t="str">
        <f aca="false">IF($D902="","",SUBSTITUTE(SUBSTITUTE(SUBSTITUTE($D902,"-","")," ",""),".",""))</f>
        <v/>
      </c>
      <c r="J902" s="10" t="str">
        <f aca="false">IF($E902="","",UPPER(SUBSTITUTE($E902," ","")))</f>
        <v/>
      </c>
      <c r="K902" s="10" t="str">
        <f aca="false">IF($A902="","",$G902&amp;"|"&amp;$J902)</f>
        <v/>
      </c>
      <c r="L902" s="10" t="str">
        <f aca="false">IF($A902="","",ROW()-2)</f>
        <v/>
      </c>
      <c r="M902" s="10" t="str">
        <f aca="false">IF($A902="","",ROW())</f>
        <v/>
      </c>
    </row>
    <row r="903" customFormat="false" ht="15" hidden="false" customHeight="true" outlineLevel="0" collapsed="false">
      <c r="A903" s="8"/>
      <c r="B903" s="8"/>
      <c r="C903" s="8"/>
      <c r="D903" s="8"/>
      <c r="E903" s="8"/>
      <c r="F903" s="8"/>
      <c r="G903" s="10" t="str">
        <f aca="false">IF($A903="","",UPPER(SUBSTITUTE(SUBSTITUTE(SUBSTITUTE(SUBSTITUTE($A903," ",""),"(주)",""),"주식회사",""),"㈜","")))</f>
        <v/>
      </c>
      <c r="H903" s="10" t="str">
        <f aca="false">IF($B903="","",SUBSTITUTE(SUBSTITUTE(SUBSTITUTE($B903,"-","")," ",""),".",""))</f>
        <v/>
      </c>
      <c r="I903" s="10" t="str">
        <f aca="false">IF($D903="","",SUBSTITUTE(SUBSTITUTE(SUBSTITUTE($D903,"-","")," ",""),".",""))</f>
        <v/>
      </c>
      <c r="J903" s="10" t="str">
        <f aca="false">IF($E903="","",UPPER(SUBSTITUTE($E903," ","")))</f>
        <v/>
      </c>
      <c r="K903" s="10" t="str">
        <f aca="false">IF($A903="","",$G903&amp;"|"&amp;$J903)</f>
        <v/>
      </c>
      <c r="L903" s="10" t="str">
        <f aca="false">IF($A903="","",ROW()-2)</f>
        <v/>
      </c>
      <c r="M903" s="10" t="str">
        <f aca="false">IF($A903="","",ROW())</f>
        <v/>
      </c>
    </row>
    <row r="904" customFormat="false" ht="15" hidden="false" customHeight="true" outlineLevel="0" collapsed="false">
      <c r="A904" s="8"/>
      <c r="B904" s="8"/>
      <c r="C904" s="8"/>
      <c r="D904" s="8"/>
      <c r="E904" s="8"/>
      <c r="F904" s="8"/>
      <c r="G904" s="10" t="str">
        <f aca="false">IF($A904="","",UPPER(SUBSTITUTE(SUBSTITUTE(SUBSTITUTE(SUBSTITUTE($A904," ",""),"(주)",""),"주식회사",""),"㈜","")))</f>
        <v/>
      </c>
      <c r="H904" s="10" t="str">
        <f aca="false">IF($B904="","",SUBSTITUTE(SUBSTITUTE(SUBSTITUTE($B904,"-","")," ",""),".",""))</f>
        <v/>
      </c>
      <c r="I904" s="10" t="str">
        <f aca="false">IF($D904="","",SUBSTITUTE(SUBSTITUTE(SUBSTITUTE($D904,"-","")," ",""),".",""))</f>
        <v/>
      </c>
      <c r="J904" s="10" t="str">
        <f aca="false">IF($E904="","",UPPER(SUBSTITUTE($E904," ","")))</f>
        <v/>
      </c>
      <c r="K904" s="10" t="str">
        <f aca="false">IF($A904="","",$G904&amp;"|"&amp;$J904)</f>
        <v/>
      </c>
      <c r="L904" s="10" t="str">
        <f aca="false">IF($A904="","",ROW()-2)</f>
        <v/>
      </c>
      <c r="M904" s="10" t="str">
        <f aca="false">IF($A904="","",ROW())</f>
        <v/>
      </c>
    </row>
    <row r="905" customFormat="false" ht="15" hidden="false" customHeight="true" outlineLevel="0" collapsed="false">
      <c r="A905" s="8"/>
      <c r="B905" s="8"/>
      <c r="C905" s="8"/>
      <c r="D905" s="8"/>
      <c r="E905" s="8"/>
      <c r="F905" s="8"/>
      <c r="G905" s="10" t="str">
        <f aca="false">IF($A905="","",UPPER(SUBSTITUTE(SUBSTITUTE(SUBSTITUTE(SUBSTITUTE($A905," ",""),"(주)",""),"주식회사",""),"㈜","")))</f>
        <v/>
      </c>
      <c r="H905" s="10" t="str">
        <f aca="false">IF($B905="","",SUBSTITUTE(SUBSTITUTE(SUBSTITUTE($B905,"-","")," ",""),".",""))</f>
        <v/>
      </c>
      <c r="I905" s="10" t="str">
        <f aca="false">IF($D905="","",SUBSTITUTE(SUBSTITUTE(SUBSTITUTE($D905,"-","")," ",""),".",""))</f>
        <v/>
      </c>
      <c r="J905" s="10" t="str">
        <f aca="false">IF($E905="","",UPPER(SUBSTITUTE($E905," ","")))</f>
        <v/>
      </c>
      <c r="K905" s="10" t="str">
        <f aca="false">IF($A905="","",$G905&amp;"|"&amp;$J905)</f>
        <v/>
      </c>
      <c r="L905" s="10" t="str">
        <f aca="false">IF($A905="","",ROW()-2)</f>
        <v/>
      </c>
      <c r="M905" s="10" t="str">
        <f aca="false">IF($A905="","",ROW())</f>
        <v/>
      </c>
    </row>
    <row r="906" customFormat="false" ht="15" hidden="false" customHeight="true" outlineLevel="0" collapsed="false">
      <c r="A906" s="8"/>
      <c r="B906" s="8"/>
      <c r="C906" s="8"/>
      <c r="D906" s="8"/>
      <c r="E906" s="8"/>
      <c r="F906" s="8"/>
      <c r="G906" s="10" t="str">
        <f aca="false">IF($A906="","",UPPER(SUBSTITUTE(SUBSTITUTE(SUBSTITUTE(SUBSTITUTE($A906," ",""),"(주)",""),"주식회사",""),"㈜","")))</f>
        <v/>
      </c>
      <c r="H906" s="10" t="str">
        <f aca="false">IF($B906="","",SUBSTITUTE(SUBSTITUTE(SUBSTITUTE($B906,"-","")," ",""),".",""))</f>
        <v/>
      </c>
      <c r="I906" s="10" t="str">
        <f aca="false">IF($D906="","",SUBSTITUTE(SUBSTITUTE(SUBSTITUTE($D906,"-","")," ",""),".",""))</f>
        <v/>
      </c>
      <c r="J906" s="10" t="str">
        <f aca="false">IF($E906="","",UPPER(SUBSTITUTE($E906," ","")))</f>
        <v/>
      </c>
      <c r="K906" s="10" t="str">
        <f aca="false">IF($A906="","",$G906&amp;"|"&amp;$J906)</f>
        <v/>
      </c>
      <c r="L906" s="10" t="str">
        <f aca="false">IF($A906="","",ROW()-2)</f>
        <v/>
      </c>
      <c r="M906" s="10" t="str">
        <f aca="false">IF($A906="","",ROW())</f>
        <v/>
      </c>
    </row>
    <row r="907" customFormat="false" ht="15" hidden="false" customHeight="true" outlineLevel="0" collapsed="false">
      <c r="A907" s="8"/>
      <c r="B907" s="8"/>
      <c r="C907" s="8"/>
      <c r="D907" s="8"/>
      <c r="E907" s="8"/>
      <c r="F907" s="8"/>
      <c r="G907" s="10" t="str">
        <f aca="false">IF($A907="","",UPPER(SUBSTITUTE(SUBSTITUTE(SUBSTITUTE(SUBSTITUTE($A907," ",""),"(주)",""),"주식회사",""),"㈜","")))</f>
        <v/>
      </c>
      <c r="H907" s="10" t="str">
        <f aca="false">IF($B907="","",SUBSTITUTE(SUBSTITUTE(SUBSTITUTE($B907,"-","")," ",""),".",""))</f>
        <v/>
      </c>
      <c r="I907" s="10" t="str">
        <f aca="false">IF($D907="","",SUBSTITUTE(SUBSTITUTE(SUBSTITUTE($D907,"-","")," ",""),".",""))</f>
        <v/>
      </c>
      <c r="J907" s="10" t="str">
        <f aca="false">IF($E907="","",UPPER(SUBSTITUTE($E907," ","")))</f>
        <v/>
      </c>
      <c r="K907" s="10" t="str">
        <f aca="false">IF($A907="","",$G907&amp;"|"&amp;$J907)</f>
        <v/>
      </c>
      <c r="L907" s="10" t="str">
        <f aca="false">IF($A907="","",ROW()-2)</f>
        <v/>
      </c>
      <c r="M907" s="10" t="str">
        <f aca="false">IF($A907="","",ROW())</f>
        <v/>
      </c>
    </row>
    <row r="908" customFormat="false" ht="15" hidden="false" customHeight="true" outlineLevel="0" collapsed="false">
      <c r="A908" s="8"/>
      <c r="B908" s="8"/>
      <c r="C908" s="8"/>
      <c r="D908" s="8"/>
      <c r="E908" s="8"/>
      <c r="F908" s="8"/>
      <c r="G908" s="10" t="str">
        <f aca="false">IF($A908="","",UPPER(SUBSTITUTE(SUBSTITUTE(SUBSTITUTE(SUBSTITUTE($A908," ",""),"(주)",""),"주식회사",""),"㈜","")))</f>
        <v/>
      </c>
      <c r="H908" s="10" t="str">
        <f aca="false">IF($B908="","",SUBSTITUTE(SUBSTITUTE(SUBSTITUTE($B908,"-","")," ",""),".",""))</f>
        <v/>
      </c>
      <c r="I908" s="10" t="str">
        <f aca="false">IF($D908="","",SUBSTITUTE(SUBSTITUTE(SUBSTITUTE($D908,"-","")," ",""),".",""))</f>
        <v/>
      </c>
      <c r="J908" s="10" t="str">
        <f aca="false">IF($E908="","",UPPER(SUBSTITUTE($E908," ","")))</f>
        <v/>
      </c>
      <c r="K908" s="10" t="str">
        <f aca="false">IF($A908="","",$G908&amp;"|"&amp;$J908)</f>
        <v/>
      </c>
      <c r="L908" s="10" t="str">
        <f aca="false">IF($A908="","",ROW()-2)</f>
        <v/>
      </c>
      <c r="M908" s="10" t="str">
        <f aca="false">IF($A908="","",ROW())</f>
        <v/>
      </c>
    </row>
    <row r="909" customFormat="false" ht="15" hidden="false" customHeight="true" outlineLevel="0" collapsed="false">
      <c r="A909" s="8"/>
      <c r="B909" s="8"/>
      <c r="C909" s="8"/>
      <c r="D909" s="8"/>
      <c r="E909" s="8"/>
      <c r="F909" s="8"/>
      <c r="G909" s="10" t="str">
        <f aca="false">IF($A909="","",UPPER(SUBSTITUTE(SUBSTITUTE(SUBSTITUTE(SUBSTITUTE($A909," ",""),"(주)",""),"주식회사",""),"㈜","")))</f>
        <v/>
      </c>
      <c r="H909" s="10" t="str">
        <f aca="false">IF($B909="","",SUBSTITUTE(SUBSTITUTE(SUBSTITUTE($B909,"-","")," ",""),".",""))</f>
        <v/>
      </c>
      <c r="I909" s="10" t="str">
        <f aca="false">IF($D909="","",SUBSTITUTE(SUBSTITUTE(SUBSTITUTE($D909,"-","")," ",""),".",""))</f>
        <v/>
      </c>
      <c r="J909" s="10" t="str">
        <f aca="false">IF($E909="","",UPPER(SUBSTITUTE($E909," ","")))</f>
        <v/>
      </c>
      <c r="K909" s="10" t="str">
        <f aca="false">IF($A909="","",$G909&amp;"|"&amp;$J909)</f>
        <v/>
      </c>
      <c r="L909" s="10" t="str">
        <f aca="false">IF($A909="","",ROW()-2)</f>
        <v/>
      </c>
      <c r="M909" s="10" t="str">
        <f aca="false">IF($A909="","",ROW())</f>
        <v/>
      </c>
    </row>
    <row r="910" customFormat="false" ht="15" hidden="false" customHeight="true" outlineLevel="0" collapsed="false">
      <c r="A910" s="8"/>
      <c r="B910" s="8"/>
      <c r="C910" s="8"/>
      <c r="D910" s="8"/>
      <c r="E910" s="8"/>
      <c r="F910" s="8"/>
      <c r="G910" s="10" t="str">
        <f aca="false">IF($A910="","",UPPER(SUBSTITUTE(SUBSTITUTE(SUBSTITUTE(SUBSTITUTE($A910," ",""),"(주)",""),"주식회사",""),"㈜","")))</f>
        <v/>
      </c>
      <c r="H910" s="10" t="str">
        <f aca="false">IF($B910="","",SUBSTITUTE(SUBSTITUTE(SUBSTITUTE($B910,"-","")," ",""),".",""))</f>
        <v/>
      </c>
      <c r="I910" s="10" t="str">
        <f aca="false">IF($D910="","",SUBSTITUTE(SUBSTITUTE(SUBSTITUTE($D910,"-","")," ",""),".",""))</f>
        <v/>
      </c>
      <c r="J910" s="10" t="str">
        <f aca="false">IF($E910="","",UPPER(SUBSTITUTE($E910," ","")))</f>
        <v/>
      </c>
      <c r="K910" s="10" t="str">
        <f aca="false">IF($A910="","",$G910&amp;"|"&amp;$J910)</f>
        <v/>
      </c>
      <c r="L910" s="10" t="str">
        <f aca="false">IF($A910="","",ROW()-2)</f>
        <v/>
      </c>
      <c r="M910" s="10" t="str">
        <f aca="false">IF($A910="","",ROW())</f>
        <v/>
      </c>
    </row>
    <row r="911" customFormat="false" ht="15" hidden="false" customHeight="true" outlineLevel="0" collapsed="false">
      <c r="A911" s="8"/>
      <c r="B911" s="8"/>
      <c r="C911" s="8"/>
      <c r="D911" s="8"/>
      <c r="E911" s="8"/>
      <c r="F911" s="8"/>
      <c r="G911" s="10" t="str">
        <f aca="false">IF($A911="","",UPPER(SUBSTITUTE(SUBSTITUTE(SUBSTITUTE(SUBSTITUTE($A911," ",""),"(주)",""),"주식회사",""),"㈜","")))</f>
        <v/>
      </c>
      <c r="H911" s="10" t="str">
        <f aca="false">IF($B911="","",SUBSTITUTE(SUBSTITUTE(SUBSTITUTE($B911,"-","")," ",""),".",""))</f>
        <v/>
      </c>
      <c r="I911" s="10" t="str">
        <f aca="false">IF($D911="","",SUBSTITUTE(SUBSTITUTE(SUBSTITUTE($D911,"-","")," ",""),".",""))</f>
        <v/>
      </c>
      <c r="J911" s="10" t="str">
        <f aca="false">IF($E911="","",UPPER(SUBSTITUTE($E911," ","")))</f>
        <v/>
      </c>
      <c r="K911" s="10" t="str">
        <f aca="false">IF($A911="","",$G911&amp;"|"&amp;$J911)</f>
        <v/>
      </c>
      <c r="L911" s="10" t="str">
        <f aca="false">IF($A911="","",ROW()-2)</f>
        <v/>
      </c>
      <c r="M911" s="10" t="str">
        <f aca="false">IF($A911="","",ROW())</f>
        <v/>
      </c>
    </row>
    <row r="912" customFormat="false" ht="15" hidden="false" customHeight="true" outlineLevel="0" collapsed="false">
      <c r="A912" s="8"/>
      <c r="B912" s="8"/>
      <c r="C912" s="8"/>
      <c r="D912" s="8"/>
      <c r="E912" s="8"/>
      <c r="F912" s="8"/>
      <c r="G912" s="10" t="str">
        <f aca="false">IF($A912="","",UPPER(SUBSTITUTE(SUBSTITUTE(SUBSTITUTE(SUBSTITUTE($A912," ",""),"(주)",""),"주식회사",""),"㈜","")))</f>
        <v/>
      </c>
      <c r="H912" s="10" t="str">
        <f aca="false">IF($B912="","",SUBSTITUTE(SUBSTITUTE(SUBSTITUTE($B912,"-","")," ",""),".",""))</f>
        <v/>
      </c>
      <c r="I912" s="10" t="str">
        <f aca="false">IF($D912="","",SUBSTITUTE(SUBSTITUTE(SUBSTITUTE($D912,"-","")," ",""),".",""))</f>
        <v/>
      </c>
      <c r="J912" s="10" t="str">
        <f aca="false">IF($E912="","",UPPER(SUBSTITUTE($E912," ","")))</f>
        <v/>
      </c>
      <c r="K912" s="10" t="str">
        <f aca="false">IF($A912="","",$G912&amp;"|"&amp;$J912)</f>
        <v/>
      </c>
      <c r="L912" s="10" t="str">
        <f aca="false">IF($A912="","",ROW()-2)</f>
        <v/>
      </c>
      <c r="M912" s="10" t="str">
        <f aca="false">IF($A912="","",ROW())</f>
        <v/>
      </c>
    </row>
    <row r="913" customFormat="false" ht="15" hidden="false" customHeight="true" outlineLevel="0" collapsed="false">
      <c r="A913" s="8"/>
      <c r="B913" s="8"/>
      <c r="C913" s="8"/>
      <c r="D913" s="8"/>
      <c r="E913" s="8"/>
      <c r="F913" s="8"/>
      <c r="G913" s="10" t="str">
        <f aca="false">IF($A913="","",UPPER(SUBSTITUTE(SUBSTITUTE(SUBSTITUTE(SUBSTITUTE($A913," ",""),"(주)",""),"주식회사",""),"㈜","")))</f>
        <v/>
      </c>
      <c r="H913" s="10" t="str">
        <f aca="false">IF($B913="","",SUBSTITUTE(SUBSTITUTE(SUBSTITUTE($B913,"-","")," ",""),".",""))</f>
        <v/>
      </c>
      <c r="I913" s="10" t="str">
        <f aca="false">IF($D913="","",SUBSTITUTE(SUBSTITUTE(SUBSTITUTE($D913,"-","")," ",""),".",""))</f>
        <v/>
      </c>
      <c r="J913" s="10" t="str">
        <f aca="false">IF($E913="","",UPPER(SUBSTITUTE($E913," ","")))</f>
        <v/>
      </c>
      <c r="K913" s="10" t="str">
        <f aca="false">IF($A913="","",$G913&amp;"|"&amp;$J913)</f>
        <v/>
      </c>
      <c r="L913" s="10" t="str">
        <f aca="false">IF($A913="","",ROW()-2)</f>
        <v/>
      </c>
      <c r="M913" s="10" t="str">
        <f aca="false">IF($A913="","",ROW())</f>
        <v/>
      </c>
    </row>
    <row r="914" customFormat="false" ht="15" hidden="false" customHeight="true" outlineLevel="0" collapsed="false">
      <c r="A914" s="8"/>
      <c r="B914" s="8"/>
      <c r="C914" s="8"/>
      <c r="D914" s="8"/>
      <c r="E914" s="8"/>
      <c r="F914" s="8"/>
      <c r="G914" s="10" t="str">
        <f aca="false">IF($A914="","",UPPER(SUBSTITUTE(SUBSTITUTE(SUBSTITUTE(SUBSTITUTE($A914," ",""),"(주)",""),"주식회사",""),"㈜","")))</f>
        <v/>
      </c>
      <c r="H914" s="10" t="str">
        <f aca="false">IF($B914="","",SUBSTITUTE(SUBSTITUTE(SUBSTITUTE($B914,"-","")," ",""),".",""))</f>
        <v/>
      </c>
      <c r="I914" s="10" t="str">
        <f aca="false">IF($D914="","",SUBSTITUTE(SUBSTITUTE(SUBSTITUTE($D914,"-","")," ",""),".",""))</f>
        <v/>
      </c>
      <c r="J914" s="10" t="str">
        <f aca="false">IF($E914="","",UPPER(SUBSTITUTE($E914," ","")))</f>
        <v/>
      </c>
      <c r="K914" s="10" t="str">
        <f aca="false">IF($A914="","",$G914&amp;"|"&amp;$J914)</f>
        <v/>
      </c>
      <c r="L914" s="10" t="str">
        <f aca="false">IF($A914="","",ROW()-2)</f>
        <v/>
      </c>
      <c r="M914" s="10" t="str">
        <f aca="false">IF($A914="","",ROW())</f>
        <v/>
      </c>
    </row>
    <row r="915" customFormat="false" ht="15" hidden="false" customHeight="true" outlineLevel="0" collapsed="false">
      <c r="A915" s="8"/>
      <c r="B915" s="8"/>
      <c r="C915" s="8"/>
      <c r="D915" s="8"/>
      <c r="E915" s="8"/>
      <c r="F915" s="8"/>
      <c r="G915" s="10" t="str">
        <f aca="false">IF($A915="","",UPPER(SUBSTITUTE(SUBSTITUTE(SUBSTITUTE(SUBSTITUTE($A915," ",""),"(주)",""),"주식회사",""),"㈜","")))</f>
        <v/>
      </c>
      <c r="H915" s="10" t="str">
        <f aca="false">IF($B915="","",SUBSTITUTE(SUBSTITUTE(SUBSTITUTE($B915,"-","")," ",""),".",""))</f>
        <v/>
      </c>
      <c r="I915" s="10" t="str">
        <f aca="false">IF($D915="","",SUBSTITUTE(SUBSTITUTE(SUBSTITUTE($D915,"-","")," ",""),".",""))</f>
        <v/>
      </c>
      <c r="J915" s="10" t="str">
        <f aca="false">IF($E915="","",UPPER(SUBSTITUTE($E915," ","")))</f>
        <v/>
      </c>
      <c r="K915" s="10" t="str">
        <f aca="false">IF($A915="","",$G915&amp;"|"&amp;$J915)</f>
        <v/>
      </c>
      <c r="L915" s="10" t="str">
        <f aca="false">IF($A915="","",ROW()-2)</f>
        <v/>
      </c>
      <c r="M915" s="10" t="str">
        <f aca="false">IF($A915="","",ROW())</f>
        <v/>
      </c>
    </row>
    <row r="916" customFormat="false" ht="15" hidden="false" customHeight="true" outlineLevel="0" collapsed="false">
      <c r="A916" s="8"/>
      <c r="B916" s="8"/>
      <c r="C916" s="8"/>
      <c r="D916" s="8"/>
      <c r="E916" s="8"/>
      <c r="F916" s="8"/>
      <c r="G916" s="10" t="str">
        <f aca="false">IF($A916="","",UPPER(SUBSTITUTE(SUBSTITUTE(SUBSTITUTE(SUBSTITUTE($A916," ",""),"(주)",""),"주식회사",""),"㈜","")))</f>
        <v/>
      </c>
      <c r="H916" s="10" t="str">
        <f aca="false">IF($B916="","",SUBSTITUTE(SUBSTITUTE(SUBSTITUTE($B916,"-","")," ",""),".",""))</f>
        <v/>
      </c>
      <c r="I916" s="10" t="str">
        <f aca="false">IF($D916="","",SUBSTITUTE(SUBSTITUTE(SUBSTITUTE($D916,"-","")," ",""),".",""))</f>
        <v/>
      </c>
      <c r="J916" s="10" t="str">
        <f aca="false">IF($E916="","",UPPER(SUBSTITUTE($E916," ","")))</f>
        <v/>
      </c>
      <c r="K916" s="10" t="str">
        <f aca="false">IF($A916="","",$G916&amp;"|"&amp;$J916)</f>
        <v/>
      </c>
      <c r="L916" s="10" t="str">
        <f aca="false">IF($A916="","",ROW()-2)</f>
        <v/>
      </c>
      <c r="M916" s="10" t="str">
        <f aca="false">IF($A916="","",ROW())</f>
        <v/>
      </c>
    </row>
    <row r="917" customFormat="false" ht="15" hidden="false" customHeight="true" outlineLevel="0" collapsed="false">
      <c r="A917" s="8"/>
      <c r="B917" s="8"/>
      <c r="C917" s="8"/>
      <c r="D917" s="8"/>
      <c r="E917" s="8"/>
      <c r="F917" s="8"/>
      <c r="G917" s="10" t="str">
        <f aca="false">IF($A917="","",UPPER(SUBSTITUTE(SUBSTITUTE(SUBSTITUTE(SUBSTITUTE($A917," ",""),"(주)",""),"주식회사",""),"㈜","")))</f>
        <v/>
      </c>
      <c r="H917" s="10" t="str">
        <f aca="false">IF($B917="","",SUBSTITUTE(SUBSTITUTE(SUBSTITUTE($B917,"-","")," ",""),".",""))</f>
        <v/>
      </c>
      <c r="I917" s="10" t="str">
        <f aca="false">IF($D917="","",SUBSTITUTE(SUBSTITUTE(SUBSTITUTE($D917,"-","")," ",""),".",""))</f>
        <v/>
      </c>
      <c r="J917" s="10" t="str">
        <f aca="false">IF($E917="","",UPPER(SUBSTITUTE($E917," ","")))</f>
        <v/>
      </c>
      <c r="K917" s="10" t="str">
        <f aca="false">IF($A917="","",$G917&amp;"|"&amp;$J917)</f>
        <v/>
      </c>
      <c r="L917" s="10" t="str">
        <f aca="false">IF($A917="","",ROW()-2)</f>
        <v/>
      </c>
      <c r="M917" s="10" t="str">
        <f aca="false">IF($A917="","",ROW())</f>
        <v/>
      </c>
    </row>
    <row r="918" customFormat="false" ht="15" hidden="false" customHeight="true" outlineLevel="0" collapsed="false">
      <c r="A918" s="8"/>
      <c r="B918" s="8"/>
      <c r="C918" s="8"/>
      <c r="D918" s="8"/>
      <c r="E918" s="8"/>
      <c r="F918" s="8"/>
      <c r="G918" s="10" t="str">
        <f aca="false">IF($A918="","",UPPER(SUBSTITUTE(SUBSTITUTE(SUBSTITUTE(SUBSTITUTE($A918," ",""),"(주)",""),"주식회사",""),"㈜","")))</f>
        <v/>
      </c>
      <c r="H918" s="10" t="str">
        <f aca="false">IF($B918="","",SUBSTITUTE(SUBSTITUTE(SUBSTITUTE($B918,"-","")," ",""),".",""))</f>
        <v/>
      </c>
      <c r="I918" s="10" t="str">
        <f aca="false">IF($D918="","",SUBSTITUTE(SUBSTITUTE(SUBSTITUTE($D918,"-","")," ",""),".",""))</f>
        <v/>
      </c>
      <c r="J918" s="10" t="str">
        <f aca="false">IF($E918="","",UPPER(SUBSTITUTE($E918," ","")))</f>
        <v/>
      </c>
      <c r="K918" s="10" t="str">
        <f aca="false">IF($A918="","",$G918&amp;"|"&amp;$J918)</f>
        <v/>
      </c>
      <c r="L918" s="10" t="str">
        <f aca="false">IF($A918="","",ROW()-2)</f>
        <v/>
      </c>
      <c r="M918" s="10" t="str">
        <f aca="false">IF($A918="","",ROW())</f>
        <v/>
      </c>
    </row>
    <row r="919" customFormat="false" ht="15" hidden="false" customHeight="true" outlineLevel="0" collapsed="false">
      <c r="A919" s="8"/>
      <c r="B919" s="8"/>
      <c r="C919" s="8"/>
      <c r="D919" s="8"/>
      <c r="E919" s="8"/>
      <c r="F919" s="8"/>
      <c r="G919" s="10" t="str">
        <f aca="false">IF($A919="","",UPPER(SUBSTITUTE(SUBSTITUTE(SUBSTITUTE(SUBSTITUTE($A919," ",""),"(주)",""),"주식회사",""),"㈜","")))</f>
        <v/>
      </c>
      <c r="H919" s="10" t="str">
        <f aca="false">IF($B919="","",SUBSTITUTE(SUBSTITUTE(SUBSTITUTE($B919,"-","")," ",""),".",""))</f>
        <v/>
      </c>
      <c r="I919" s="10" t="str">
        <f aca="false">IF($D919="","",SUBSTITUTE(SUBSTITUTE(SUBSTITUTE($D919,"-","")," ",""),".",""))</f>
        <v/>
      </c>
      <c r="J919" s="10" t="str">
        <f aca="false">IF($E919="","",UPPER(SUBSTITUTE($E919," ","")))</f>
        <v/>
      </c>
      <c r="K919" s="10" t="str">
        <f aca="false">IF($A919="","",$G919&amp;"|"&amp;$J919)</f>
        <v/>
      </c>
      <c r="L919" s="10" t="str">
        <f aca="false">IF($A919="","",ROW()-2)</f>
        <v/>
      </c>
      <c r="M919" s="10" t="str">
        <f aca="false">IF($A919="","",ROW())</f>
        <v/>
      </c>
    </row>
    <row r="920" customFormat="false" ht="15" hidden="false" customHeight="true" outlineLevel="0" collapsed="false">
      <c r="A920" s="8"/>
      <c r="B920" s="8"/>
      <c r="C920" s="8"/>
      <c r="D920" s="8"/>
      <c r="E920" s="8"/>
      <c r="F920" s="8"/>
      <c r="G920" s="10" t="str">
        <f aca="false">IF($A920="","",UPPER(SUBSTITUTE(SUBSTITUTE(SUBSTITUTE(SUBSTITUTE($A920," ",""),"(주)",""),"주식회사",""),"㈜","")))</f>
        <v/>
      </c>
      <c r="H920" s="10" t="str">
        <f aca="false">IF($B920="","",SUBSTITUTE(SUBSTITUTE(SUBSTITUTE($B920,"-","")," ",""),".",""))</f>
        <v/>
      </c>
      <c r="I920" s="10" t="str">
        <f aca="false">IF($D920="","",SUBSTITUTE(SUBSTITUTE(SUBSTITUTE($D920,"-","")," ",""),".",""))</f>
        <v/>
      </c>
      <c r="J920" s="10" t="str">
        <f aca="false">IF($E920="","",UPPER(SUBSTITUTE($E920," ","")))</f>
        <v/>
      </c>
      <c r="K920" s="10" t="str">
        <f aca="false">IF($A920="","",$G920&amp;"|"&amp;$J920)</f>
        <v/>
      </c>
      <c r="L920" s="10" t="str">
        <f aca="false">IF($A920="","",ROW()-2)</f>
        <v/>
      </c>
      <c r="M920" s="10" t="str">
        <f aca="false">IF($A920="","",ROW())</f>
        <v/>
      </c>
    </row>
    <row r="921" customFormat="false" ht="15" hidden="false" customHeight="true" outlineLevel="0" collapsed="false">
      <c r="A921" s="8"/>
      <c r="B921" s="8"/>
      <c r="C921" s="8"/>
      <c r="D921" s="8"/>
      <c r="E921" s="8"/>
      <c r="F921" s="8"/>
      <c r="G921" s="10" t="str">
        <f aca="false">IF($A921="","",UPPER(SUBSTITUTE(SUBSTITUTE(SUBSTITUTE(SUBSTITUTE($A921," ",""),"(주)",""),"주식회사",""),"㈜","")))</f>
        <v/>
      </c>
      <c r="H921" s="10" t="str">
        <f aca="false">IF($B921="","",SUBSTITUTE(SUBSTITUTE(SUBSTITUTE($B921,"-","")," ",""),".",""))</f>
        <v/>
      </c>
      <c r="I921" s="10" t="str">
        <f aca="false">IF($D921="","",SUBSTITUTE(SUBSTITUTE(SUBSTITUTE($D921,"-","")," ",""),".",""))</f>
        <v/>
      </c>
      <c r="J921" s="10" t="str">
        <f aca="false">IF($E921="","",UPPER(SUBSTITUTE($E921," ","")))</f>
        <v/>
      </c>
      <c r="K921" s="10" t="str">
        <f aca="false">IF($A921="","",$G921&amp;"|"&amp;$J921)</f>
        <v/>
      </c>
      <c r="L921" s="10" t="str">
        <f aca="false">IF($A921="","",ROW()-2)</f>
        <v/>
      </c>
      <c r="M921" s="10" t="str">
        <f aca="false">IF($A921="","",ROW())</f>
        <v/>
      </c>
    </row>
    <row r="922" customFormat="false" ht="15" hidden="false" customHeight="true" outlineLevel="0" collapsed="false">
      <c r="A922" s="8"/>
      <c r="B922" s="8"/>
      <c r="C922" s="8"/>
      <c r="D922" s="8"/>
      <c r="E922" s="8"/>
      <c r="F922" s="8"/>
      <c r="G922" s="10" t="str">
        <f aca="false">IF($A922="","",UPPER(SUBSTITUTE(SUBSTITUTE(SUBSTITUTE(SUBSTITUTE($A922," ",""),"(주)",""),"주식회사",""),"㈜","")))</f>
        <v/>
      </c>
      <c r="H922" s="10" t="str">
        <f aca="false">IF($B922="","",SUBSTITUTE(SUBSTITUTE(SUBSTITUTE($B922,"-","")," ",""),".",""))</f>
        <v/>
      </c>
      <c r="I922" s="10" t="str">
        <f aca="false">IF($D922="","",SUBSTITUTE(SUBSTITUTE(SUBSTITUTE($D922,"-","")," ",""),".",""))</f>
        <v/>
      </c>
      <c r="J922" s="10" t="str">
        <f aca="false">IF($E922="","",UPPER(SUBSTITUTE($E922," ","")))</f>
        <v/>
      </c>
      <c r="K922" s="10" t="str">
        <f aca="false">IF($A922="","",$G922&amp;"|"&amp;$J922)</f>
        <v/>
      </c>
      <c r="L922" s="10" t="str">
        <f aca="false">IF($A922="","",ROW()-2)</f>
        <v/>
      </c>
      <c r="M922" s="10" t="str">
        <f aca="false">IF($A922="","",ROW())</f>
        <v/>
      </c>
    </row>
    <row r="923" customFormat="false" ht="15" hidden="false" customHeight="true" outlineLevel="0" collapsed="false">
      <c r="A923" s="8"/>
      <c r="B923" s="8"/>
      <c r="C923" s="8"/>
      <c r="D923" s="8"/>
      <c r="E923" s="8"/>
      <c r="F923" s="8"/>
      <c r="G923" s="10" t="str">
        <f aca="false">IF($A923="","",UPPER(SUBSTITUTE(SUBSTITUTE(SUBSTITUTE(SUBSTITUTE($A923," ",""),"(주)",""),"주식회사",""),"㈜","")))</f>
        <v/>
      </c>
      <c r="H923" s="10" t="str">
        <f aca="false">IF($B923="","",SUBSTITUTE(SUBSTITUTE(SUBSTITUTE($B923,"-","")," ",""),".",""))</f>
        <v/>
      </c>
      <c r="I923" s="10" t="str">
        <f aca="false">IF($D923="","",SUBSTITUTE(SUBSTITUTE(SUBSTITUTE($D923,"-","")," ",""),".",""))</f>
        <v/>
      </c>
      <c r="J923" s="10" t="str">
        <f aca="false">IF($E923="","",UPPER(SUBSTITUTE($E923," ","")))</f>
        <v/>
      </c>
      <c r="K923" s="10" t="str">
        <f aca="false">IF($A923="","",$G923&amp;"|"&amp;$J923)</f>
        <v/>
      </c>
      <c r="L923" s="10" t="str">
        <f aca="false">IF($A923="","",ROW()-2)</f>
        <v/>
      </c>
      <c r="M923" s="10" t="str">
        <f aca="false">IF($A923="","",ROW())</f>
        <v/>
      </c>
    </row>
    <row r="924" customFormat="false" ht="15" hidden="false" customHeight="true" outlineLevel="0" collapsed="false">
      <c r="A924" s="8"/>
      <c r="B924" s="8"/>
      <c r="C924" s="8"/>
      <c r="D924" s="8"/>
      <c r="E924" s="8"/>
      <c r="F924" s="8"/>
      <c r="G924" s="10" t="str">
        <f aca="false">IF($A924="","",UPPER(SUBSTITUTE(SUBSTITUTE(SUBSTITUTE(SUBSTITUTE($A924," ",""),"(주)",""),"주식회사",""),"㈜","")))</f>
        <v/>
      </c>
      <c r="H924" s="10" t="str">
        <f aca="false">IF($B924="","",SUBSTITUTE(SUBSTITUTE(SUBSTITUTE($B924,"-","")," ",""),".",""))</f>
        <v/>
      </c>
      <c r="I924" s="10" t="str">
        <f aca="false">IF($D924="","",SUBSTITUTE(SUBSTITUTE(SUBSTITUTE($D924,"-","")," ",""),".",""))</f>
        <v/>
      </c>
      <c r="J924" s="10" t="str">
        <f aca="false">IF($E924="","",UPPER(SUBSTITUTE($E924," ","")))</f>
        <v/>
      </c>
      <c r="K924" s="10" t="str">
        <f aca="false">IF($A924="","",$G924&amp;"|"&amp;$J924)</f>
        <v/>
      </c>
      <c r="L924" s="10" t="str">
        <f aca="false">IF($A924="","",ROW()-2)</f>
        <v/>
      </c>
      <c r="M924" s="10" t="str">
        <f aca="false">IF($A924="","",ROW())</f>
        <v/>
      </c>
    </row>
    <row r="925" customFormat="false" ht="15" hidden="false" customHeight="true" outlineLevel="0" collapsed="false">
      <c r="A925" s="8"/>
      <c r="B925" s="8"/>
      <c r="C925" s="8"/>
      <c r="D925" s="8"/>
      <c r="E925" s="8"/>
      <c r="F925" s="8"/>
      <c r="G925" s="10" t="str">
        <f aca="false">IF($A925="","",UPPER(SUBSTITUTE(SUBSTITUTE(SUBSTITUTE(SUBSTITUTE($A925," ",""),"(주)",""),"주식회사",""),"㈜","")))</f>
        <v/>
      </c>
      <c r="H925" s="10" t="str">
        <f aca="false">IF($B925="","",SUBSTITUTE(SUBSTITUTE(SUBSTITUTE($B925,"-","")," ",""),".",""))</f>
        <v/>
      </c>
      <c r="I925" s="10" t="str">
        <f aca="false">IF($D925="","",SUBSTITUTE(SUBSTITUTE(SUBSTITUTE($D925,"-","")," ",""),".",""))</f>
        <v/>
      </c>
      <c r="J925" s="10" t="str">
        <f aca="false">IF($E925="","",UPPER(SUBSTITUTE($E925," ","")))</f>
        <v/>
      </c>
      <c r="K925" s="10" t="str">
        <f aca="false">IF($A925="","",$G925&amp;"|"&amp;$J925)</f>
        <v/>
      </c>
      <c r="L925" s="10" t="str">
        <f aca="false">IF($A925="","",ROW()-2)</f>
        <v/>
      </c>
      <c r="M925" s="10" t="str">
        <f aca="false">IF($A925="","",ROW())</f>
        <v/>
      </c>
    </row>
    <row r="926" customFormat="false" ht="15" hidden="false" customHeight="true" outlineLevel="0" collapsed="false">
      <c r="A926" s="8"/>
      <c r="B926" s="8"/>
      <c r="C926" s="8"/>
      <c r="D926" s="8"/>
      <c r="E926" s="8"/>
      <c r="F926" s="8"/>
      <c r="G926" s="10" t="str">
        <f aca="false">IF($A926="","",UPPER(SUBSTITUTE(SUBSTITUTE(SUBSTITUTE(SUBSTITUTE($A926," ",""),"(주)",""),"주식회사",""),"㈜","")))</f>
        <v/>
      </c>
      <c r="H926" s="10" t="str">
        <f aca="false">IF($B926="","",SUBSTITUTE(SUBSTITUTE(SUBSTITUTE($B926,"-","")," ",""),".",""))</f>
        <v/>
      </c>
      <c r="I926" s="10" t="str">
        <f aca="false">IF($D926="","",SUBSTITUTE(SUBSTITUTE(SUBSTITUTE($D926,"-","")," ",""),".",""))</f>
        <v/>
      </c>
      <c r="J926" s="10" t="str">
        <f aca="false">IF($E926="","",UPPER(SUBSTITUTE($E926," ","")))</f>
        <v/>
      </c>
      <c r="K926" s="10" t="str">
        <f aca="false">IF($A926="","",$G926&amp;"|"&amp;$J926)</f>
        <v/>
      </c>
      <c r="L926" s="10" t="str">
        <f aca="false">IF($A926="","",ROW()-2)</f>
        <v/>
      </c>
      <c r="M926" s="10" t="str">
        <f aca="false">IF($A926="","",ROW())</f>
        <v/>
      </c>
    </row>
    <row r="927" customFormat="false" ht="15" hidden="false" customHeight="true" outlineLevel="0" collapsed="false">
      <c r="A927" s="8"/>
      <c r="B927" s="8"/>
      <c r="C927" s="8"/>
      <c r="D927" s="8"/>
      <c r="E927" s="8"/>
      <c r="F927" s="8"/>
      <c r="G927" s="10" t="str">
        <f aca="false">IF($A927="","",UPPER(SUBSTITUTE(SUBSTITUTE(SUBSTITUTE(SUBSTITUTE($A927," ",""),"(주)",""),"주식회사",""),"㈜","")))</f>
        <v/>
      </c>
      <c r="H927" s="10" t="str">
        <f aca="false">IF($B927="","",SUBSTITUTE(SUBSTITUTE(SUBSTITUTE($B927,"-","")," ",""),".",""))</f>
        <v/>
      </c>
      <c r="I927" s="10" t="str">
        <f aca="false">IF($D927="","",SUBSTITUTE(SUBSTITUTE(SUBSTITUTE($D927,"-","")," ",""),".",""))</f>
        <v/>
      </c>
      <c r="J927" s="10" t="str">
        <f aca="false">IF($E927="","",UPPER(SUBSTITUTE($E927," ","")))</f>
        <v/>
      </c>
      <c r="K927" s="10" t="str">
        <f aca="false">IF($A927="","",$G927&amp;"|"&amp;$J927)</f>
        <v/>
      </c>
      <c r="L927" s="10" t="str">
        <f aca="false">IF($A927="","",ROW()-2)</f>
        <v/>
      </c>
      <c r="M927" s="10" t="str">
        <f aca="false">IF($A927="","",ROW())</f>
        <v/>
      </c>
    </row>
    <row r="928" customFormat="false" ht="15" hidden="false" customHeight="true" outlineLevel="0" collapsed="false">
      <c r="A928" s="8"/>
      <c r="B928" s="8"/>
      <c r="C928" s="8"/>
      <c r="D928" s="8"/>
      <c r="E928" s="8"/>
      <c r="F928" s="8"/>
      <c r="G928" s="10" t="str">
        <f aca="false">IF($A928="","",UPPER(SUBSTITUTE(SUBSTITUTE(SUBSTITUTE(SUBSTITUTE($A928," ",""),"(주)",""),"주식회사",""),"㈜","")))</f>
        <v/>
      </c>
      <c r="H928" s="10" t="str">
        <f aca="false">IF($B928="","",SUBSTITUTE(SUBSTITUTE(SUBSTITUTE($B928,"-","")," ",""),".",""))</f>
        <v/>
      </c>
      <c r="I928" s="10" t="str">
        <f aca="false">IF($D928="","",SUBSTITUTE(SUBSTITUTE(SUBSTITUTE($D928,"-","")," ",""),".",""))</f>
        <v/>
      </c>
      <c r="J928" s="10" t="str">
        <f aca="false">IF($E928="","",UPPER(SUBSTITUTE($E928," ","")))</f>
        <v/>
      </c>
      <c r="K928" s="10" t="str">
        <f aca="false">IF($A928="","",$G928&amp;"|"&amp;$J928)</f>
        <v/>
      </c>
      <c r="L928" s="10" t="str">
        <f aca="false">IF($A928="","",ROW()-2)</f>
        <v/>
      </c>
      <c r="M928" s="10" t="str">
        <f aca="false">IF($A928="","",ROW())</f>
        <v/>
      </c>
    </row>
    <row r="929" customFormat="false" ht="15" hidden="false" customHeight="true" outlineLevel="0" collapsed="false">
      <c r="A929" s="8"/>
      <c r="B929" s="8"/>
      <c r="C929" s="8"/>
      <c r="D929" s="8"/>
      <c r="E929" s="8"/>
      <c r="F929" s="8"/>
      <c r="G929" s="10" t="str">
        <f aca="false">IF($A929="","",UPPER(SUBSTITUTE(SUBSTITUTE(SUBSTITUTE(SUBSTITUTE($A929," ",""),"(주)",""),"주식회사",""),"㈜","")))</f>
        <v/>
      </c>
      <c r="H929" s="10" t="str">
        <f aca="false">IF($B929="","",SUBSTITUTE(SUBSTITUTE(SUBSTITUTE($B929,"-","")," ",""),".",""))</f>
        <v/>
      </c>
      <c r="I929" s="10" t="str">
        <f aca="false">IF($D929="","",SUBSTITUTE(SUBSTITUTE(SUBSTITUTE($D929,"-","")," ",""),".",""))</f>
        <v/>
      </c>
      <c r="J929" s="10" t="str">
        <f aca="false">IF($E929="","",UPPER(SUBSTITUTE($E929," ","")))</f>
        <v/>
      </c>
      <c r="K929" s="10" t="str">
        <f aca="false">IF($A929="","",$G929&amp;"|"&amp;$J929)</f>
        <v/>
      </c>
      <c r="L929" s="10" t="str">
        <f aca="false">IF($A929="","",ROW()-2)</f>
        <v/>
      </c>
      <c r="M929" s="10" t="str">
        <f aca="false">IF($A929="","",ROW())</f>
        <v/>
      </c>
    </row>
    <row r="930" customFormat="false" ht="15" hidden="false" customHeight="true" outlineLevel="0" collapsed="false">
      <c r="A930" s="8"/>
      <c r="B930" s="8"/>
      <c r="C930" s="8"/>
      <c r="D930" s="8"/>
      <c r="E930" s="8"/>
      <c r="F930" s="8"/>
      <c r="G930" s="10" t="str">
        <f aca="false">IF($A930="","",UPPER(SUBSTITUTE(SUBSTITUTE(SUBSTITUTE(SUBSTITUTE($A930," ",""),"(주)",""),"주식회사",""),"㈜","")))</f>
        <v/>
      </c>
      <c r="H930" s="10" t="str">
        <f aca="false">IF($B930="","",SUBSTITUTE(SUBSTITUTE(SUBSTITUTE($B930,"-","")," ",""),".",""))</f>
        <v/>
      </c>
      <c r="I930" s="10" t="str">
        <f aca="false">IF($D930="","",SUBSTITUTE(SUBSTITUTE(SUBSTITUTE($D930,"-","")," ",""),".",""))</f>
        <v/>
      </c>
      <c r="J930" s="10" t="str">
        <f aca="false">IF($E930="","",UPPER(SUBSTITUTE($E930," ","")))</f>
        <v/>
      </c>
      <c r="K930" s="10" t="str">
        <f aca="false">IF($A930="","",$G930&amp;"|"&amp;$J930)</f>
        <v/>
      </c>
      <c r="L930" s="10" t="str">
        <f aca="false">IF($A930="","",ROW()-2)</f>
        <v/>
      </c>
      <c r="M930" s="10" t="str">
        <f aca="false">IF($A930="","",ROW())</f>
        <v/>
      </c>
    </row>
    <row r="931" customFormat="false" ht="15" hidden="false" customHeight="true" outlineLevel="0" collapsed="false">
      <c r="A931" s="8"/>
      <c r="B931" s="8"/>
      <c r="C931" s="8"/>
      <c r="D931" s="8"/>
      <c r="E931" s="8"/>
      <c r="F931" s="8"/>
      <c r="G931" s="10" t="str">
        <f aca="false">IF($A931="","",UPPER(SUBSTITUTE(SUBSTITUTE(SUBSTITUTE(SUBSTITUTE($A931," ",""),"(주)",""),"주식회사",""),"㈜","")))</f>
        <v/>
      </c>
      <c r="H931" s="10" t="str">
        <f aca="false">IF($B931="","",SUBSTITUTE(SUBSTITUTE(SUBSTITUTE($B931,"-","")," ",""),".",""))</f>
        <v/>
      </c>
      <c r="I931" s="10" t="str">
        <f aca="false">IF($D931="","",SUBSTITUTE(SUBSTITUTE(SUBSTITUTE($D931,"-","")," ",""),".",""))</f>
        <v/>
      </c>
      <c r="J931" s="10" t="str">
        <f aca="false">IF($E931="","",UPPER(SUBSTITUTE($E931," ","")))</f>
        <v/>
      </c>
      <c r="K931" s="10" t="str">
        <f aca="false">IF($A931="","",$G931&amp;"|"&amp;$J931)</f>
        <v/>
      </c>
      <c r="L931" s="10" t="str">
        <f aca="false">IF($A931="","",ROW()-2)</f>
        <v/>
      </c>
      <c r="M931" s="10" t="str">
        <f aca="false">IF($A931="","",ROW())</f>
        <v/>
      </c>
    </row>
    <row r="932" customFormat="false" ht="15" hidden="false" customHeight="true" outlineLevel="0" collapsed="false">
      <c r="A932" s="8"/>
      <c r="B932" s="8"/>
      <c r="C932" s="8"/>
      <c r="D932" s="8"/>
      <c r="E932" s="8"/>
      <c r="F932" s="8"/>
      <c r="G932" s="10" t="str">
        <f aca="false">IF($A932="","",UPPER(SUBSTITUTE(SUBSTITUTE(SUBSTITUTE(SUBSTITUTE($A932," ",""),"(주)",""),"주식회사",""),"㈜","")))</f>
        <v/>
      </c>
      <c r="H932" s="10" t="str">
        <f aca="false">IF($B932="","",SUBSTITUTE(SUBSTITUTE(SUBSTITUTE($B932,"-","")," ",""),".",""))</f>
        <v/>
      </c>
      <c r="I932" s="10" t="str">
        <f aca="false">IF($D932="","",SUBSTITUTE(SUBSTITUTE(SUBSTITUTE($D932,"-","")," ",""),".",""))</f>
        <v/>
      </c>
      <c r="J932" s="10" t="str">
        <f aca="false">IF($E932="","",UPPER(SUBSTITUTE($E932," ","")))</f>
        <v/>
      </c>
      <c r="K932" s="10" t="str">
        <f aca="false">IF($A932="","",$G932&amp;"|"&amp;$J932)</f>
        <v/>
      </c>
      <c r="L932" s="10" t="str">
        <f aca="false">IF($A932="","",ROW()-2)</f>
        <v/>
      </c>
      <c r="M932" s="10" t="str">
        <f aca="false">IF($A932="","",ROW())</f>
        <v/>
      </c>
    </row>
    <row r="933" customFormat="false" ht="15" hidden="false" customHeight="true" outlineLevel="0" collapsed="false">
      <c r="A933" s="8"/>
      <c r="B933" s="8"/>
      <c r="C933" s="8"/>
      <c r="D933" s="8"/>
      <c r="E933" s="8"/>
      <c r="F933" s="8"/>
      <c r="G933" s="10" t="str">
        <f aca="false">IF($A933="","",UPPER(SUBSTITUTE(SUBSTITUTE(SUBSTITUTE(SUBSTITUTE($A933," ",""),"(주)",""),"주식회사",""),"㈜","")))</f>
        <v/>
      </c>
      <c r="H933" s="10" t="str">
        <f aca="false">IF($B933="","",SUBSTITUTE(SUBSTITUTE(SUBSTITUTE($B933,"-","")," ",""),".",""))</f>
        <v/>
      </c>
      <c r="I933" s="10" t="str">
        <f aca="false">IF($D933="","",SUBSTITUTE(SUBSTITUTE(SUBSTITUTE($D933,"-","")," ",""),".",""))</f>
        <v/>
      </c>
      <c r="J933" s="10" t="str">
        <f aca="false">IF($E933="","",UPPER(SUBSTITUTE($E933," ","")))</f>
        <v/>
      </c>
      <c r="K933" s="10" t="str">
        <f aca="false">IF($A933="","",$G933&amp;"|"&amp;$J933)</f>
        <v/>
      </c>
      <c r="L933" s="10" t="str">
        <f aca="false">IF($A933="","",ROW()-2)</f>
        <v/>
      </c>
      <c r="M933" s="10" t="str">
        <f aca="false">IF($A933="","",ROW())</f>
        <v/>
      </c>
    </row>
    <row r="934" customFormat="false" ht="15" hidden="false" customHeight="true" outlineLevel="0" collapsed="false">
      <c r="A934" s="8"/>
      <c r="B934" s="8"/>
      <c r="C934" s="8"/>
      <c r="D934" s="8"/>
      <c r="E934" s="8"/>
      <c r="F934" s="8"/>
      <c r="G934" s="10" t="str">
        <f aca="false">IF($A934="","",UPPER(SUBSTITUTE(SUBSTITUTE(SUBSTITUTE(SUBSTITUTE($A934," ",""),"(주)",""),"주식회사",""),"㈜","")))</f>
        <v/>
      </c>
      <c r="H934" s="10" t="str">
        <f aca="false">IF($B934="","",SUBSTITUTE(SUBSTITUTE(SUBSTITUTE($B934,"-","")," ",""),".",""))</f>
        <v/>
      </c>
      <c r="I934" s="10" t="str">
        <f aca="false">IF($D934="","",SUBSTITUTE(SUBSTITUTE(SUBSTITUTE($D934,"-","")," ",""),".",""))</f>
        <v/>
      </c>
      <c r="J934" s="10" t="str">
        <f aca="false">IF($E934="","",UPPER(SUBSTITUTE($E934," ","")))</f>
        <v/>
      </c>
      <c r="K934" s="10" t="str">
        <f aca="false">IF($A934="","",$G934&amp;"|"&amp;$J934)</f>
        <v/>
      </c>
      <c r="L934" s="10" t="str">
        <f aca="false">IF($A934="","",ROW()-2)</f>
        <v/>
      </c>
      <c r="M934" s="10" t="str">
        <f aca="false">IF($A934="","",ROW())</f>
        <v/>
      </c>
    </row>
    <row r="935" customFormat="false" ht="15" hidden="false" customHeight="true" outlineLevel="0" collapsed="false">
      <c r="A935" s="8"/>
      <c r="B935" s="8"/>
      <c r="C935" s="8"/>
      <c r="D935" s="8"/>
      <c r="E935" s="8"/>
      <c r="F935" s="8"/>
      <c r="G935" s="10" t="str">
        <f aca="false">IF($A935="","",UPPER(SUBSTITUTE(SUBSTITUTE(SUBSTITUTE(SUBSTITUTE($A935," ",""),"(주)",""),"주식회사",""),"㈜","")))</f>
        <v/>
      </c>
      <c r="H935" s="10" t="str">
        <f aca="false">IF($B935="","",SUBSTITUTE(SUBSTITUTE(SUBSTITUTE($B935,"-","")," ",""),".",""))</f>
        <v/>
      </c>
      <c r="I935" s="10" t="str">
        <f aca="false">IF($D935="","",SUBSTITUTE(SUBSTITUTE(SUBSTITUTE($D935,"-","")," ",""),".",""))</f>
        <v/>
      </c>
      <c r="J935" s="10" t="str">
        <f aca="false">IF($E935="","",UPPER(SUBSTITUTE($E935," ","")))</f>
        <v/>
      </c>
      <c r="K935" s="10" t="str">
        <f aca="false">IF($A935="","",$G935&amp;"|"&amp;$J935)</f>
        <v/>
      </c>
      <c r="L935" s="10" t="str">
        <f aca="false">IF($A935="","",ROW()-2)</f>
        <v/>
      </c>
      <c r="M935" s="10" t="str">
        <f aca="false">IF($A935="","",ROW())</f>
        <v/>
      </c>
    </row>
    <row r="936" customFormat="false" ht="15" hidden="false" customHeight="true" outlineLevel="0" collapsed="false">
      <c r="A936" s="8"/>
      <c r="B936" s="8"/>
      <c r="C936" s="8"/>
      <c r="D936" s="8"/>
      <c r="E936" s="8"/>
      <c r="F936" s="8"/>
      <c r="G936" s="10" t="str">
        <f aca="false">IF($A936="","",UPPER(SUBSTITUTE(SUBSTITUTE(SUBSTITUTE(SUBSTITUTE($A936," ",""),"(주)",""),"주식회사",""),"㈜","")))</f>
        <v/>
      </c>
      <c r="H936" s="10" t="str">
        <f aca="false">IF($B936="","",SUBSTITUTE(SUBSTITUTE(SUBSTITUTE($B936,"-","")," ",""),".",""))</f>
        <v/>
      </c>
      <c r="I936" s="10" t="str">
        <f aca="false">IF($D936="","",SUBSTITUTE(SUBSTITUTE(SUBSTITUTE($D936,"-","")," ",""),".",""))</f>
        <v/>
      </c>
      <c r="J936" s="10" t="str">
        <f aca="false">IF($E936="","",UPPER(SUBSTITUTE($E936," ","")))</f>
        <v/>
      </c>
      <c r="K936" s="10" t="str">
        <f aca="false">IF($A936="","",$G936&amp;"|"&amp;$J936)</f>
        <v/>
      </c>
      <c r="L936" s="10" t="str">
        <f aca="false">IF($A936="","",ROW()-2)</f>
        <v/>
      </c>
      <c r="M936" s="10" t="str">
        <f aca="false">IF($A936="","",ROW())</f>
        <v/>
      </c>
    </row>
    <row r="937" customFormat="false" ht="15" hidden="false" customHeight="true" outlineLevel="0" collapsed="false">
      <c r="A937" s="8"/>
      <c r="B937" s="8"/>
      <c r="C937" s="8"/>
      <c r="D937" s="8"/>
      <c r="E937" s="8"/>
      <c r="F937" s="8"/>
      <c r="G937" s="10" t="str">
        <f aca="false">IF($A937="","",UPPER(SUBSTITUTE(SUBSTITUTE(SUBSTITUTE(SUBSTITUTE($A937," ",""),"(주)",""),"주식회사",""),"㈜","")))</f>
        <v/>
      </c>
      <c r="H937" s="10" t="str">
        <f aca="false">IF($B937="","",SUBSTITUTE(SUBSTITUTE(SUBSTITUTE($B937,"-","")," ",""),".",""))</f>
        <v/>
      </c>
      <c r="I937" s="10" t="str">
        <f aca="false">IF($D937="","",SUBSTITUTE(SUBSTITUTE(SUBSTITUTE($D937,"-","")," ",""),".",""))</f>
        <v/>
      </c>
      <c r="J937" s="10" t="str">
        <f aca="false">IF($E937="","",UPPER(SUBSTITUTE($E937," ","")))</f>
        <v/>
      </c>
      <c r="K937" s="10" t="str">
        <f aca="false">IF($A937="","",$G937&amp;"|"&amp;$J937)</f>
        <v/>
      </c>
      <c r="L937" s="10" t="str">
        <f aca="false">IF($A937="","",ROW()-2)</f>
        <v/>
      </c>
      <c r="M937" s="10" t="str">
        <f aca="false">IF($A937="","",ROW())</f>
        <v/>
      </c>
    </row>
    <row r="938" customFormat="false" ht="15" hidden="false" customHeight="true" outlineLevel="0" collapsed="false">
      <c r="A938" s="8"/>
      <c r="B938" s="8"/>
      <c r="C938" s="8"/>
      <c r="D938" s="8"/>
      <c r="E938" s="8"/>
      <c r="F938" s="8"/>
      <c r="G938" s="10" t="str">
        <f aca="false">IF($A938="","",UPPER(SUBSTITUTE(SUBSTITUTE(SUBSTITUTE(SUBSTITUTE($A938," ",""),"(주)",""),"주식회사",""),"㈜","")))</f>
        <v/>
      </c>
      <c r="H938" s="10" t="str">
        <f aca="false">IF($B938="","",SUBSTITUTE(SUBSTITUTE(SUBSTITUTE($B938,"-","")," ",""),".",""))</f>
        <v/>
      </c>
      <c r="I938" s="10" t="str">
        <f aca="false">IF($D938="","",SUBSTITUTE(SUBSTITUTE(SUBSTITUTE($D938,"-","")," ",""),".",""))</f>
        <v/>
      </c>
      <c r="J938" s="10" t="str">
        <f aca="false">IF($E938="","",UPPER(SUBSTITUTE($E938," ","")))</f>
        <v/>
      </c>
      <c r="K938" s="10" t="str">
        <f aca="false">IF($A938="","",$G938&amp;"|"&amp;$J938)</f>
        <v/>
      </c>
      <c r="L938" s="10" t="str">
        <f aca="false">IF($A938="","",ROW()-2)</f>
        <v/>
      </c>
      <c r="M938" s="10" t="str">
        <f aca="false">IF($A938="","",ROW())</f>
        <v/>
      </c>
    </row>
    <row r="939" customFormat="false" ht="15" hidden="false" customHeight="true" outlineLevel="0" collapsed="false">
      <c r="A939" s="8"/>
      <c r="B939" s="8"/>
      <c r="C939" s="8"/>
      <c r="D939" s="8"/>
      <c r="E939" s="8"/>
      <c r="F939" s="8"/>
      <c r="G939" s="10" t="str">
        <f aca="false">IF($A939="","",UPPER(SUBSTITUTE(SUBSTITUTE(SUBSTITUTE(SUBSTITUTE($A939," ",""),"(주)",""),"주식회사",""),"㈜","")))</f>
        <v/>
      </c>
      <c r="H939" s="10" t="str">
        <f aca="false">IF($B939="","",SUBSTITUTE(SUBSTITUTE(SUBSTITUTE($B939,"-","")," ",""),".",""))</f>
        <v/>
      </c>
      <c r="I939" s="10" t="str">
        <f aca="false">IF($D939="","",SUBSTITUTE(SUBSTITUTE(SUBSTITUTE($D939,"-","")," ",""),".",""))</f>
        <v/>
      </c>
      <c r="J939" s="10" t="str">
        <f aca="false">IF($E939="","",UPPER(SUBSTITUTE($E939," ","")))</f>
        <v/>
      </c>
      <c r="K939" s="10" t="str">
        <f aca="false">IF($A939="","",$G939&amp;"|"&amp;$J939)</f>
        <v/>
      </c>
      <c r="L939" s="10" t="str">
        <f aca="false">IF($A939="","",ROW()-2)</f>
        <v/>
      </c>
      <c r="M939" s="10" t="str">
        <f aca="false">IF($A939="","",ROW())</f>
        <v/>
      </c>
    </row>
    <row r="940" customFormat="false" ht="15" hidden="false" customHeight="true" outlineLevel="0" collapsed="false">
      <c r="A940" s="8"/>
      <c r="B940" s="8"/>
      <c r="C940" s="8"/>
      <c r="D940" s="8"/>
      <c r="E940" s="8"/>
      <c r="F940" s="8"/>
      <c r="G940" s="10" t="str">
        <f aca="false">IF($A940="","",UPPER(SUBSTITUTE(SUBSTITUTE(SUBSTITUTE(SUBSTITUTE($A940," ",""),"(주)",""),"주식회사",""),"㈜","")))</f>
        <v/>
      </c>
      <c r="H940" s="10" t="str">
        <f aca="false">IF($B940="","",SUBSTITUTE(SUBSTITUTE(SUBSTITUTE($B940,"-","")," ",""),".",""))</f>
        <v/>
      </c>
      <c r="I940" s="10" t="str">
        <f aca="false">IF($D940="","",SUBSTITUTE(SUBSTITUTE(SUBSTITUTE($D940,"-","")," ",""),".",""))</f>
        <v/>
      </c>
      <c r="J940" s="10" t="str">
        <f aca="false">IF($E940="","",UPPER(SUBSTITUTE($E940," ","")))</f>
        <v/>
      </c>
      <c r="K940" s="10" t="str">
        <f aca="false">IF($A940="","",$G940&amp;"|"&amp;$J940)</f>
        <v/>
      </c>
      <c r="L940" s="10" t="str">
        <f aca="false">IF($A940="","",ROW()-2)</f>
        <v/>
      </c>
      <c r="M940" s="10" t="str">
        <f aca="false">IF($A940="","",ROW())</f>
        <v/>
      </c>
    </row>
    <row r="941" customFormat="false" ht="15" hidden="false" customHeight="true" outlineLevel="0" collapsed="false">
      <c r="A941" s="8"/>
      <c r="B941" s="8"/>
      <c r="C941" s="8"/>
      <c r="D941" s="8"/>
      <c r="E941" s="8"/>
      <c r="F941" s="8"/>
      <c r="G941" s="10" t="str">
        <f aca="false">IF($A941="","",UPPER(SUBSTITUTE(SUBSTITUTE(SUBSTITUTE(SUBSTITUTE($A941," ",""),"(주)",""),"주식회사",""),"㈜","")))</f>
        <v/>
      </c>
      <c r="H941" s="10" t="str">
        <f aca="false">IF($B941="","",SUBSTITUTE(SUBSTITUTE(SUBSTITUTE($B941,"-","")," ",""),".",""))</f>
        <v/>
      </c>
      <c r="I941" s="10" t="str">
        <f aca="false">IF($D941="","",SUBSTITUTE(SUBSTITUTE(SUBSTITUTE($D941,"-","")," ",""),".",""))</f>
        <v/>
      </c>
      <c r="J941" s="10" t="str">
        <f aca="false">IF($E941="","",UPPER(SUBSTITUTE($E941," ","")))</f>
        <v/>
      </c>
      <c r="K941" s="10" t="str">
        <f aca="false">IF($A941="","",$G941&amp;"|"&amp;$J941)</f>
        <v/>
      </c>
      <c r="L941" s="10" t="str">
        <f aca="false">IF($A941="","",ROW()-2)</f>
        <v/>
      </c>
      <c r="M941" s="10" t="str">
        <f aca="false">IF($A941="","",ROW())</f>
        <v/>
      </c>
    </row>
    <row r="942" customFormat="false" ht="15" hidden="false" customHeight="true" outlineLevel="0" collapsed="false">
      <c r="A942" s="8"/>
      <c r="B942" s="8"/>
      <c r="C942" s="8"/>
      <c r="D942" s="8"/>
      <c r="E942" s="8"/>
      <c r="F942" s="8"/>
      <c r="G942" s="10" t="str">
        <f aca="false">IF($A942="","",UPPER(SUBSTITUTE(SUBSTITUTE(SUBSTITUTE(SUBSTITUTE($A942," ",""),"(주)",""),"주식회사",""),"㈜","")))</f>
        <v/>
      </c>
      <c r="H942" s="10" t="str">
        <f aca="false">IF($B942="","",SUBSTITUTE(SUBSTITUTE(SUBSTITUTE($B942,"-","")," ",""),".",""))</f>
        <v/>
      </c>
      <c r="I942" s="10" t="str">
        <f aca="false">IF($D942="","",SUBSTITUTE(SUBSTITUTE(SUBSTITUTE($D942,"-","")," ",""),".",""))</f>
        <v/>
      </c>
      <c r="J942" s="10" t="str">
        <f aca="false">IF($E942="","",UPPER(SUBSTITUTE($E942," ","")))</f>
        <v/>
      </c>
      <c r="K942" s="10" t="str">
        <f aca="false">IF($A942="","",$G942&amp;"|"&amp;$J942)</f>
        <v/>
      </c>
      <c r="L942" s="10" t="str">
        <f aca="false">IF($A942="","",ROW()-2)</f>
        <v/>
      </c>
      <c r="M942" s="10" t="str">
        <f aca="false">IF($A942="","",ROW())</f>
        <v/>
      </c>
    </row>
    <row r="943" customFormat="false" ht="15" hidden="false" customHeight="true" outlineLevel="0" collapsed="false">
      <c r="A943" s="8"/>
      <c r="B943" s="8"/>
      <c r="C943" s="8"/>
      <c r="D943" s="8"/>
      <c r="E943" s="8"/>
      <c r="F943" s="8"/>
      <c r="G943" s="10" t="str">
        <f aca="false">IF($A943="","",UPPER(SUBSTITUTE(SUBSTITUTE(SUBSTITUTE(SUBSTITUTE($A943," ",""),"(주)",""),"주식회사",""),"㈜","")))</f>
        <v/>
      </c>
      <c r="H943" s="10" t="str">
        <f aca="false">IF($B943="","",SUBSTITUTE(SUBSTITUTE(SUBSTITUTE($B943,"-","")," ",""),".",""))</f>
        <v/>
      </c>
      <c r="I943" s="10" t="str">
        <f aca="false">IF($D943="","",SUBSTITUTE(SUBSTITUTE(SUBSTITUTE($D943,"-","")," ",""),".",""))</f>
        <v/>
      </c>
      <c r="J943" s="10" t="str">
        <f aca="false">IF($E943="","",UPPER(SUBSTITUTE($E943," ","")))</f>
        <v/>
      </c>
      <c r="K943" s="10" t="str">
        <f aca="false">IF($A943="","",$G943&amp;"|"&amp;$J943)</f>
        <v/>
      </c>
      <c r="L943" s="10" t="str">
        <f aca="false">IF($A943="","",ROW()-2)</f>
        <v/>
      </c>
      <c r="M943" s="10" t="str">
        <f aca="false">IF($A943="","",ROW())</f>
        <v/>
      </c>
    </row>
    <row r="944" customFormat="false" ht="15" hidden="false" customHeight="true" outlineLevel="0" collapsed="false">
      <c r="A944" s="8"/>
      <c r="B944" s="8"/>
      <c r="C944" s="8"/>
      <c r="D944" s="8"/>
      <c r="E944" s="8"/>
      <c r="F944" s="8"/>
      <c r="G944" s="10" t="str">
        <f aca="false">IF($A944="","",UPPER(SUBSTITUTE(SUBSTITUTE(SUBSTITUTE(SUBSTITUTE($A944," ",""),"(주)",""),"주식회사",""),"㈜","")))</f>
        <v/>
      </c>
      <c r="H944" s="10" t="str">
        <f aca="false">IF($B944="","",SUBSTITUTE(SUBSTITUTE(SUBSTITUTE($B944,"-","")," ",""),".",""))</f>
        <v/>
      </c>
      <c r="I944" s="10" t="str">
        <f aca="false">IF($D944="","",SUBSTITUTE(SUBSTITUTE(SUBSTITUTE($D944,"-","")," ",""),".",""))</f>
        <v/>
      </c>
      <c r="J944" s="10" t="str">
        <f aca="false">IF($E944="","",UPPER(SUBSTITUTE($E944," ","")))</f>
        <v/>
      </c>
      <c r="K944" s="10" t="str">
        <f aca="false">IF($A944="","",$G944&amp;"|"&amp;$J944)</f>
        <v/>
      </c>
      <c r="L944" s="10" t="str">
        <f aca="false">IF($A944="","",ROW()-2)</f>
        <v/>
      </c>
      <c r="M944" s="10" t="str">
        <f aca="false">IF($A944="","",ROW())</f>
        <v/>
      </c>
    </row>
    <row r="945" customFormat="false" ht="15" hidden="false" customHeight="true" outlineLevel="0" collapsed="false">
      <c r="A945" s="8"/>
      <c r="B945" s="8"/>
      <c r="C945" s="8"/>
      <c r="D945" s="8"/>
      <c r="E945" s="8"/>
      <c r="F945" s="8"/>
      <c r="G945" s="10" t="str">
        <f aca="false">IF($A945="","",UPPER(SUBSTITUTE(SUBSTITUTE(SUBSTITUTE(SUBSTITUTE($A945," ",""),"(주)",""),"주식회사",""),"㈜","")))</f>
        <v/>
      </c>
      <c r="H945" s="10" t="str">
        <f aca="false">IF($B945="","",SUBSTITUTE(SUBSTITUTE(SUBSTITUTE($B945,"-","")," ",""),".",""))</f>
        <v/>
      </c>
      <c r="I945" s="10" t="str">
        <f aca="false">IF($D945="","",SUBSTITUTE(SUBSTITUTE(SUBSTITUTE($D945,"-","")," ",""),".",""))</f>
        <v/>
      </c>
      <c r="J945" s="10" t="str">
        <f aca="false">IF($E945="","",UPPER(SUBSTITUTE($E945," ","")))</f>
        <v/>
      </c>
      <c r="K945" s="10" t="str">
        <f aca="false">IF($A945="","",$G945&amp;"|"&amp;$J945)</f>
        <v/>
      </c>
      <c r="L945" s="10" t="str">
        <f aca="false">IF($A945="","",ROW()-2)</f>
        <v/>
      </c>
      <c r="M945" s="10" t="str">
        <f aca="false">IF($A945="","",ROW())</f>
        <v/>
      </c>
    </row>
    <row r="946" customFormat="false" ht="15" hidden="false" customHeight="true" outlineLevel="0" collapsed="false">
      <c r="A946" s="8"/>
      <c r="B946" s="8"/>
      <c r="C946" s="8"/>
      <c r="D946" s="8"/>
      <c r="E946" s="8"/>
      <c r="F946" s="8"/>
      <c r="G946" s="10" t="str">
        <f aca="false">IF($A946="","",UPPER(SUBSTITUTE(SUBSTITUTE(SUBSTITUTE(SUBSTITUTE($A946," ",""),"(주)",""),"주식회사",""),"㈜","")))</f>
        <v/>
      </c>
      <c r="H946" s="10" t="str">
        <f aca="false">IF($B946="","",SUBSTITUTE(SUBSTITUTE(SUBSTITUTE($B946,"-","")," ",""),".",""))</f>
        <v/>
      </c>
      <c r="I946" s="10" t="str">
        <f aca="false">IF($D946="","",SUBSTITUTE(SUBSTITUTE(SUBSTITUTE($D946,"-","")," ",""),".",""))</f>
        <v/>
      </c>
      <c r="J946" s="10" t="str">
        <f aca="false">IF($E946="","",UPPER(SUBSTITUTE($E946," ","")))</f>
        <v/>
      </c>
      <c r="K946" s="10" t="str">
        <f aca="false">IF($A946="","",$G946&amp;"|"&amp;$J946)</f>
        <v/>
      </c>
      <c r="L946" s="10" t="str">
        <f aca="false">IF($A946="","",ROW()-2)</f>
        <v/>
      </c>
      <c r="M946" s="10" t="str">
        <f aca="false">IF($A946="","",ROW())</f>
        <v/>
      </c>
    </row>
    <row r="947" customFormat="false" ht="15" hidden="false" customHeight="true" outlineLevel="0" collapsed="false">
      <c r="A947" s="8"/>
      <c r="B947" s="8"/>
      <c r="C947" s="8"/>
      <c r="D947" s="8"/>
      <c r="E947" s="8"/>
      <c r="F947" s="8"/>
      <c r="G947" s="10" t="str">
        <f aca="false">IF($A947="","",UPPER(SUBSTITUTE(SUBSTITUTE(SUBSTITUTE(SUBSTITUTE($A947," ",""),"(주)",""),"주식회사",""),"㈜","")))</f>
        <v/>
      </c>
      <c r="H947" s="10" t="str">
        <f aca="false">IF($B947="","",SUBSTITUTE(SUBSTITUTE(SUBSTITUTE($B947,"-","")," ",""),".",""))</f>
        <v/>
      </c>
      <c r="I947" s="10" t="str">
        <f aca="false">IF($D947="","",SUBSTITUTE(SUBSTITUTE(SUBSTITUTE($D947,"-","")," ",""),".",""))</f>
        <v/>
      </c>
      <c r="J947" s="10" t="str">
        <f aca="false">IF($E947="","",UPPER(SUBSTITUTE($E947," ","")))</f>
        <v/>
      </c>
      <c r="K947" s="10" t="str">
        <f aca="false">IF($A947="","",$G947&amp;"|"&amp;$J947)</f>
        <v/>
      </c>
      <c r="L947" s="10" t="str">
        <f aca="false">IF($A947="","",ROW()-2)</f>
        <v/>
      </c>
      <c r="M947" s="10" t="str">
        <f aca="false">IF($A947="","",ROW())</f>
        <v/>
      </c>
    </row>
    <row r="948" customFormat="false" ht="15" hidden="false" customHeight="true" outlineLevel="0" collapsed="false">
      <c r="A948" s="8"/>
      <c r="B948" s="8"/>
      <c r="C948" s="8"/>
      <c r="D948" s="8"/>
      <c r="E948" s="8"/>
      <c r="F948" s="8"/>
      <c r="G948" s="10" t="str">
        <f aca="false">IF($A948="","",UPPER(SUBSTITUTE(SUBSTITUTE(SUBSTITUTE(SUBSTITUTE($A948," ",""),"(주)",""),"주식회사",""),"㈜","")))</f>
        <v/>
      </c>
      <c r="H948" s="10" t="str">
        <f aca="false">IF($B948="","",SUBSTITUTE(SUBSTITUTE(SUBSTITUTE($B948,"-","")," ",""),".",""))</f>
        <v/>
      </c>
      <c r="I948" s="10" t="str">
        <f aca="false">IF($D948="","",SUBSTITUTE(SUBSTITUTE(SUBSTITUTE($D948,"-","")," ",""),".",""))</f>
        <v/>
      </c>
      <c r="J948" s="10" t="str">
        <f aca="false">IF($E948="","",UPPER(SUBSTITUTE($E948," ","")))</f>
        <v/>
      </c>
      <c r="K948" s="10" t="str">
        <f aca="false">IF($A948="","",$G948&amp;"|"&amp;$J948)</f>
        <v/>
      </c>
      <c r="L948" s="10" t="str">
        <f aca="false">IF($A948="","",ROW()-2)</f>
        <v/>
      </c>
      <c r="M948" s="10" t="str">
        <f aca="false">IF($A948="","",ROW())</f>
        <v/>
      </c>
    </row>
    <row r="949" customFormat="false" ht="15" hidden="false" customHeight="true" outlineLevel="0" collapsed="false">
      <c r="A949" s="8"/>
      <c r="B949" s="8"/>
      <c r="C949" s="8"/>
      <c r="D949" s="8"/>
      <c r="E949" s="8"/>
      <c r="F949" s="8"/>
      <c r="G949" s="10" t="str">
        <f aca="false">IF($A949="","",UPPER(SUBSTITUTE(SUBSTITUTE(SUBSTITUTE(SUBSTITUTE($A949," ",""),"(주)",""),"주식회사",""),"㈜","")))</f>
        <v/>
      </c>
      <c r="H949" s="10" t="str">
        <f aca="false">IF($B949="","",SUBSTITUTE(SUBSTITUTE(SUBSTITUTE($B949,"-","")," ",""),".",""))</f>
        <v/>
      </c>
      <c r="I949" s="10" t="str">
        <f aca="false">IF($D949="","",SUBSTITUTE(SUBSTITUTE(SUBSTITUTE($D949,"-","")," ",""),".",""))</f>
        <v/>
      </c>
      <c r="J949" s="10" t="str">
        <f aca="false">IF($E949="","",UPPER(SUBSTITUTE($E949," ","")))</f>
        <v/>
      </c>
      <c r="K949" s="10" t="str">
        <f aca="false">IF($A949="","",$G949&amp;"|"&amp;$J949)</f>
        <v/>
      </c>
      <c r="L949" s="10" t="str">
        <f aca="false">IF($A949="","",ROW()-2)</f>
        <v/>
      </c>
      <c r="M949" s="10" t="str">
        <f aca="false">IF($A949="","",ROW())</f>
        <v/>
      </c>
    </row>
    <row r="950" customFormat="false" ht="15" hidden="false" customHeight="true" outlineLevel="0" collapsed="false">
      <c r="A950" s="8"/>
      <c r="B950" s="8"/>
      <c r="C950" s="8"/>
      <c r="D950" s="8"/>
      <c r="E950" s="8"/>
      <c r="F950" s="8"/>
      <c r="G950" s="10" t="str">
        <f aca="false">IF($A950="","",UPPER(SUBSTITUTE(SUBSTITUTE(SUBSTITUTE(SUBSTITUTE($A950," ",""),"(주)",""),"주식회사",""),"㈜","")))</f>
        <v/>
      </c>
      <c r="H950" s="10" t="str">
        <f aca="false">IF($B950="","",SUBSTITUTE(SUBSTITUTE(SUBSTITUTE($B950,"-","")," ",""),".",""))</f>
        <v/>
      </c>
      <c r="I950" s="10" t="str">
        <f aca="false">IF($D950="","",SUBSTITUTE(SUBSTITUTE(SUBSTITUTE($D950,"-","")," ",""),".",""))</f>
        <v/>
      </c>
      <c r="J950" s="10" t="str">
        <f aca="false">IF($E950="","",UPPER(SUBSTITUTE($E950," ","")))</f>
        <v/>
      </c>
      <c r="K950" s="10" t="str">
        <f aca="false">IF($A950="","",$G950&amp;"|"&amp;$J950)</f>
        <v/>
      </c>
      <c r="L950" s="10" t="str">
        <f aca="false">IF($A950="","",ROW()-2)</f>
        <v/>
      </c>
      <c r="M950" s="10" t="str">
        <f aca="false">IF($A950="","",ROW())</f>
        <v/>
      </c>
    </row>
    <row r="951" customFormat="false" ht="15" hidden="false" customHeight="true" outlineLevel="0" collapsed="false">
      <c r="A951" s="8"/>
      <c r="B951" s="8"/>
      <c r="C951" s="8"/>
      <c r="D951" s="8"/>
      <c r="E951" s="8"/>
      <c r="F951" s="8"/>
      <c r="G951" s="10" t="str">
        <f aca="false">IF($A951="","",UPPER(SUBSTITUTE(SUBSTITUTE(SUBSTITUTE(SUBSTITUTE($A951," ",""),"(주)",""),"주식회사",""),"㈜","")))</f>
        <v/>
      </c>
      <c r="H951" s="10" t="str">
        <f aca="false">IF($B951="","",SUBSTITUTE(SUBSTITUTE(SUBSTITUTE($B951,"-","")," ",""),".",""))</f>
        <v/>
      </c>
      <c r="I951" s="10" t="str">
        <f aca="false">IF($D951="","",SUBSTITUTE(SUBSTITUTE(SUBSTITUTE($D951,"-","")," ",""),".",""))</f>
        <v/>
      </c>
      <c r="J951" s="10" t="str">
        <f aca="false">IF($E951="","",UPPER(SUBSTITUTE($E951," ","")))</f>
        <v/>
      </c>
      <c r="K951" s="10" t="str">
        <f aca="false">IF($A951="","",$G951&amp;"|"&amp;$J951)</f>
        <v/>
      </c>
      <c r="L951" s="10" t="str">
        <f aca="false">IF($A951="","",ROW()-2)</f>
        <v/>
      </c>
      <c r="M951" s="10" t="str">
        <f aca="false">IF($A951="","",ROW())</f>
        <v/>
      </c>
    </row>
    <row r="952" customFormat="false" ht="15" hidden="false" customHeight="true" outlineLevel="0" collapsed="false">
      <c r="A952" s="8"/>
      <c r="B952" s="8"/>
      <c r="C952" s="8"/>
      <c r="D952" s="8"/>
      <c r="E952" s="8"/>
      <c r="F952" s="8"/>
      <c r="G952" s="10" t="str">
        <f aca="false">IF($A952="","",UPPER(SUBSTITUTE(SUBSTITUTE(SUBSTITUTE(SUBSTITUTE($A952," ",""),"(주)",""),"주식회사",""),"㈜","")))</f>
        <v/>
      </c>
      <c r="H952" s="10" t="str">
        <f aca="false">IF($B952="","",SUBSTITUTE(SUBSTITUTE(SUBSTITUTE($B952,"-","")," ",""),".",""))</f>
        <v/>
      </c>
      <c r="I952" s="10" t="str">
        <f aca="false">IF($D952="","",SUBSTITUTE(SUBSTITUTE(SUBSTITUTE($D952,"-","")," ",""),".",""))</f>
        <v/>
      </c>
      <c r="J952" s="10" t="str">
        <f aca="false">IF($E952="","",UPPER(SUBSTITUTE($E952," ","")))</f>
        <v/>
      </c>
      <c r="K952" s="10" t="str">
        <f aca="false">IF($A952="","",$G952&amp;"|"&amp;$J952)</f>
        <v/>
      </c>
      <c r="L952" s="10" t="str">
        <f aca="false">IF($A952="","",ROW()-2)</f>
        <v/>
      </c>
      <c r="M952" s="10" t="str">
        <f aca="false">IF($A952="","",ROW())</f>
        <v/>
      </c>
    </row>
    <row r="953" customFormat="false" ht="15" hidden="false" customHeight="true" outlineLevel="0" collapsed="false">
      <c r="A953" s="8"/>
      <c r="B953" s="8"/>
      <c r="C953" s="8"/>
      <c r="D953" s="8"/>
      <c r="E953" s="8"/>
      <c r="F953" s="8"/>
      <c r="G953" s="10" t="str">
        <f aca="false">IF($A953="","",UPPER(SUBSTITUTE(SUBSTITUTE(SUBSTITUTE(SUBSTITUTE($A953," ",""),"(주)",""),"주식회사",""),"㈜","")))</f>
        <v/>
      </c>
      <c r="H953" s="10" t="str">
        <f aca="false">IF($B953="","",SUBSTITUTE(SUBSTITUTE(SUBSTITUTE($B953,"-","")," ",""),".",""))</f>
        <v/>
      </c>
      <c r="I953" s="10" t="str">
        <f aca="false">IF($D953="","",SUBSTITUTE(SUBSTITUTE(SUBSTITUTE($D953,"-","")," ",""),".",""))</f>
        <v/>
      </c>
      <c r="J953" s="10" t="str">
        <f aca="false">IF($E953="","",UPPER(SUBSTITUTE($E953," ","")))</f>
        <v/>
      </c>
      <c r="K953" s="10" t="str">
        <f aca="false">IF($A953="","",$G953&amp;"|"&amp;$J953)</f>
        <v/>
      </c>
      <c r="L953" s="10" t="str">
        <f aca="false">IF($A953="","",ROW()-2)</f>
        <v/>
      </c>
      <c r="M953" s="10" t="str">
        <f aca="false">IF($A953="","",ROW())</f>
        <v/>
      </c>
    </row>
    <row r="954" customFormat="false" ht="15" hidden="false" customHeight="true" outlineLevel="0" collapsed="false">
      <c r="A954" s="8"/>
      <c r="B954" s="8"/>
      <c r="C954" s="8"/>
      <c r="D954" s="8"/>
      <c r="E954" s="8"/>
      <c r="F954" s="8"/>
      <c r="G954" s="10" t="str">
        <f aca="false">IF($A954="","",UPPER(SUBSTITUTE(SUBSTITUTE(SUBSTITUTE(SUBSTITUTE($A954," ",""),"(주)",""),"주식회사",""),"㈜","")))</f>
        <v/>
      </c>
      <c r="H954" s="10" t="str">
        <f aca="false">IF($B954="","",SUBSTITUTE(SUBSTITUTE(SUBSTITUTE($B954,"-","")," ",""),".",""))</f>
        <v/>
      </c>
      <c r="I954" s="10" t="str">
        <f aca="false">IF($D954="","",SUBSTITUTE(SUBSTITUTE(SUBSTITUTE($D954,"-","")," ",""),".",""))</f>
        <v/>
      </c>
      <c r="J954" s="10" t="str">
        <f aca="false">IF($E954="","",UPPER(SUBSTITUTE($E954," ","")))</f>
        <v/>
      </c>
      <c r="K954" s="10" t="str">
        <f aca="false">IF($A954="","",$G954&amp;"|"&amp;$J954)</f>
        <v/>
      </c>
      <c r="L954" s="10" t="str">
        <f aca="false">IF($A954="","",ROW()-2)</f>
        <v/>
      </c>
      <c r="M954" s="10" t="str">
        <f aca="false">IF($A954="","",ROW())</f>
        <v/>
      </c>
    </row>
    <row r="955" customFormat="false" ht="15" hidden="false" customHeight="true" outlineLevel="0" collapsed="false">
      <c r="A955" s="8"/>
      <c r="B955" s="8"/>
      <c r="C955" s="8"/>
      <c r="D955" s="8"/>
      <c r="E955" s="8"/>
      <c r="F955" s="8"/>
      <c r="G955" s="10" t="str">
        <f aca="false">IF($A955="","",UPPER(SUBSTITUTE(SUBSTITUTE(SUBSTITUTE(SUBSTITUTE($A955," ",""),"(주)",""),"주식회사",""),"㈜","")))</f>
        <v/>
      </c>
      <c r="H955" s="10" t="str">
        <f aca="false">IF($B955="","",SUBSTITUTE(SUBSTITUTE(SUBSTITUTE($B955,"-","")," ",""),".",""))</f>
        <v/>
      </c>
      <c r="I955" s="10" t="str">
        <f aca="false">IF($D955="","",SUBSTITUTE(SUBSTITUTE(SUBSTITUTE($D955,"-","")," ",""),".",""))</f>
        <v/>
      </c>
      <c r="J955" s="10" t="str">
        <f aca="false">IF($E955="","",UPPER(SUBSTITUTE($E955," ","")))</f>
        <v/>
      </c>
      <c r="K955" s="10" t="str">
        <f aca="false">IF($A955="","",$G955&amp;"|"&amp;$J955)</f>
        <v/>
      </c>
      <c r="L955" s="10" t="str">
        <f aca="false">IF($A955="","",ROW()-2)</f>
        <v/>
      </c>
      <c r="M955" s="10" t="str">
        <f aca="false">IF($A955="","",ROW())</f>
        <v/>
      </c>
    </row>
    <row r="956" customFormat="false" ht="15" hidden="false" customHeight="true" outlineLevel="0" collapsed="false">
      <c r="A956" s="8"/>
      <c r="B956" s="8"/>
      <c r="C956" s="8"/>
      <c r="D956" s="8"/>
      <c r="E956" s="8"/>
      <c r="F956" s="8"/>
      <c r="G956" s="10" t="str">
        <f aca="false">IF($A956="","",UPPER(SUBSTITUTE(SUBSTITUTE(SUBSTITUTE(SUBSTITUTE($A956," ",""),"(주)",""),"주식회사",""),"㈜","")))</f>
        <v/>
      </c>
      <c r="H956" s="10" t="str">
        <f aca="false">IF($B956="","",SUBSTITUTE(SUBSTITUTE(SUBSTITUTE($B956,"-","")," ",""),".",""))</f>
        <v/>
      </c>
      <c r="I956" s="10" t="str">
        <f aca="false">IF($D956="","",SUBSTITUTE(SUBSTITUTE(SUBSTITUTE($D956,"-","")," ",""),".",""))</f>
        <v/>
      </c>
      <c r="J956" s="10" t="str">
        <f aca="false">IF($E956="","",UPPER(SUBSTITUTE($E956," ","")))</f>
        <v/>
      </c>
      <c r="K956" s="10" t="str">
        <f aca="false">IF($A956="","",$G956&amp;"|"&amp;$J956)</f>
        <v/>
      </c>
      <c r="L956" s="10" t="str">
        <f aca="false">IF($A956="","",ROW()-2)</f>
        <v/>
      </c>
      <c r="M956" s="10" t="str">
        <f aca="false">IF($A956="","",ROW())</f>
        <v/>
      </c>
    </row>
    <row r="957" customFormat="false" ht="15" hidden="false" customHeight="true" outlineLevel="0" collapsed="false">
      <c r="A957" s="8"/>
      <c r="B957" s="8"/>
      <c r="C957" s="8"/>
      <c r="D957" s="8"/>
      <c r="E957" s="8"/>
      <c r="F957" s="8"/>
      <c r="G957" s="10" t="str">
        <f aca="false">IF($A957="","",UPPER(SUBSTITUTE(SUBSTITUTE(SUBSTITUTE(SUBSTITUTE($A957," ",""),"(주)",""),"주식회사",""),"㈜","")))</f>
        <v/>
      </c>
      <c r="H957" s="10" t="str">
        <f aca="false">IF($B957="","",SUBSTITUTE(SUBSTITUTE(SUBSTITUTE($B957,"-","")," ",""),".",""))</f>
        <v/>
      </c>
      <c r="I957" s="10" t="str">
        <f aca="false">IF($D957="","",SUBSTITUTE(SUBSTITUTE(SUBSTITUTE($D957,"-","")," ",""),".",""))</f>
        <v/>
      </c>
      <c r="J957" s="10" t="str">
        <f aca="false">IF($E957="","",UPPER(SUBSTITUTE($E957," ","")))</f>
        <v/>
      </c>
      <c r="K957" s="10" t="str">
        <f aca="false">IF($A957="","",$G957&amp;"|"&amp;$J957)</f>
        <v/>
      </c>
      <c r="L957" s="10" t="str">
        <f aca="false">IF($A957="","",ROW()-2)</f>
        <v/>
      </c>
      <c r="M957" s="10" t="str">
        <f aca="false">IF($A957="","",ROW())</f>
        <v/>
      </c>
    </row>
    <row r="958" customFormat="false" ht="15" hidden="false" customHeight="true" outlineLevel="0" collapsed="false">
      <c r="A958" s="8"/>
      <c r="B958" s="8"/>
      <c r="C958" s="8"/>
      <c r="D958" s="8"/>
      <c r="E958" s="8"/>
      <c r="F958" s="8"/>
      <c r="G958" s="10" t="str">
        <f aca="false">IF($A958="","",UPPER(SUBSTITUTE(SUBSTITUTE(SUBSTITUTE(SUBSTITUTE($A958," ",""),"(주)",""),"주식회사",""),"㈜","")))</f>
        <v/>
      </c>
      <c r="H958" s="10" t="str">
        <f aca="false">IF($B958="","",SUBSTITUTE(SUBSTITUTE(SUBSTITUTE($B958,"-","")," ",""),".",""))</f>
        <v/>
      </c>
      <c r="I958" s="10" t="str">
        <f aca="false">IF($D958="","",SUBSTITUTE(SUBSTITUTE(SUBSTITUTE($D958,"-","")," ",""),".",""))</f>
        <v/>
      </c>
      <c r="J958" s="10" t="str">
        <f aca="false">IF($E958="","",UPPER(SUBSTITUTE($E958," ","")))</f>
        <v/>
      </c>
      <c r="K958" s="10" t="str">
        <f aca="false">IF($A958="","",$G958&amp;"|"&amp;$J958)</f>
        <v/>
      </c>
      <c r="L958" s="10" t="str">
        <f aca="false">IF($A958="","",ROW()-2)</f>
        <v/>
      </c>
      <c r="M958" s="10" t="str">
        <f aca="false">IF($A958="","",ROW())</f>
        <v/>
      </c>
    </row>
    <row r="959" customFormat="false" ht="15" hidden="false" customHeight="true" outlineLevel="0" collapsed="false">
      <c r="A959" s="8"/>
      <c r="B959" s="8"/>
      <c r="C959" s="8"/>
      <c r="D959" s="8"/>
      <c r="E959" s="8"/>
      <c r="F959" s="8"/>
      <c r="G959" s="10" t="str">
        <f aca="false">IF($A959="","",UPPER(SUBSTITUTE(SUBSTITUTE(SUBSTITUTE(SUBSTITUTE($A959," ",""),"(주)",""),"주식회사",""),"㈜","")))</f>
        <v/>
      </c>
      <c r="H959" s="10" t="str">
        <f aca="false">IF($B959="","",SUBSTITUTE(SUBSTITUTE(SUBSTITUTE($B959,"-","")," ",""),".",""))</f>
        <v/>
      </c>
      <c r="I959" s="10" t="str">
        <f aca="false">IF($D959="","",SUBSTITUTE(SUBSTITUTE(SUBSTITUTE($D959,"-","")," ",""),".",""))</f>
        <v/>
      </c>
      <c r="J959" s="10" t="str">
        <f aca="false">IF($E959="","",UPPER(SUBSTITUTE($E959," ","")))</f>
        <v/>
      </c>
      <c r="K959" s="10" t="str">
        <f aca="false">IF($A959="","",$G959&amp;"|"&amp;$J959)</f>
        <v/>
      </c>
      <c r="L959" s="10" t="str">
        <f aca="false">IF($A959="","",ROW()-2)</f>
        <v/>
      </c>
      <c r="M959" s="10" t="str">
        <f aca="false">IF($A959="","",ROW())</f>
        <v/>
      </c>
    </row>
    <row r="960" customFormat="false" ht="15" hidden="false" customHeight="true" outlineLevel="0" collapsed="false">
      <c r="A960" s="8"/>
      <c r="B960" s="8"/>
      <c r="C960" s="8"/>
      <c r="D960" s="8"/>
      <c r="E960" s="8"/>
      <c r="F960" s="8"/>
      <c r="G960" s="10" t="str">
        <f aca="false">IF($A960="","",UPPER(SUBSTITUTE(SUBSTITUTE(SUBSTITUTE(SUBSTITUTE($A960," ",""),"(주)",""),"주식회사",""),"㈜","")))</f>
        <v/>
      </c>
      <c r="H960" s="10" t="str">
        <f aca="false">IF($B960="","",SUBSTITUTE(SUBSTITUTE(SUBSTITUTE($B960,"-","")," ",""),".",""))</f>
        <v/>
      </c>
      <c r="I960" s="10" t="str">
        <f aca="false">IF($D960="","",SUBSTITUTE(SUBSTITUTE(SUBSTITUTE($D960,"-","")," ",""),".",""))</f>
        <v/>
      </c>
      <c r="J960" s="10" t="str">
        <f aca="false">IF($E960="","",UPPER(SUBSTITUTE($E960," ","")))</f>
        <v/>
      </c>
      <c r="K960" s="10" t="str">
        <f aca="false">IF($A960="","",$G960&amp;"|"&amp;$J960)</f>
        <v/>
      </c>
      <c r="L960" s="10" t="str">
        <f aca="false">IF($A960="","",ROW()-2)</f>
        <v/>
      </c>
      <c r="M960" s="10" t="str">
        <f aca="false">IF($A960="","",ROW())</f>
        <v/>
      </c>
    </row>
    <row r="961" customFormat="false" ht="15" hidden="false" customHeight="true" outlineLevel="0" collapsed="false">
      <c r="A961" s="8"/>
      <c r="B961" s="8"/>
      <c r="C961" s="8"/>
      <c r="D961" s="8"/>
      <c r="E961" s="8"/>
      <c r="F961" s="8"/>
      <c r="G961" s="10" t="str">
        <f aca="false">IF($A961="","",UPPER(SUBSTITUTE(SUBSTITUTE(SUBSTITUTE(SUBSTITUTE($A961," ",""),"(주)",""),"주식회사",""),"㈜","")))</f>
        <v/>
      </c>
      <c r="H961" s="10" t="str">
        <f aca="false">IF($B961="","",SUBSTITUTE(SUBSTITUTE(SUBSTITUTE($B961,"-","")," ",""),".",""))</f>
        <v/>
      </c>
      <c r="I961" s="10" t="str">
        <f aca="false">IF($D961="","",SUBSTITUTE(SUBSTITUTE(SUBSTITUTE($D961,"-","")," ",""),".",""))</f>
        <v/>
      </c>
      <c r="J961" s="10" t="str">
        <f aca="false">IF($E961="","",UPPER(SUBSTITUTE($E961," ","")))</f>
        <v/>
      </c>
      <c r="K961" s="10" t="str">
        <f aca="false">IF($A961="","",$G961&amp;"|"&amp;$J961)</f>
        <v/>
      </c>
      <c r="L961" s="10" t="str">
        <f aca="false">IF($A961="","",ROW()-2)</f>
        <v/>
      </c>
      <c r="M961" s="10" t="str">
        <f aca="false">IF($A961="","",ROW())</f>
        <v/>
      </c>
    </row>
    <row r="962" customFormat="false" ht="15" hidden="false" customHeight="true" outlineLevel="0" collapsed="false">
      <c r="A962" s="8"/>
      <c r="B962" s="8"/>
      <c r="C962" s="8"/>
      <c r="D962" s="8"/>
      <c r="E962" s="8"/>
      <c r="F962" s="8"/>
      <c r="G962" s="10" t="str">
        <f aca="false">IF($A962="","",UPPER(SUBSTITUTE(SUBSTITUTE(SUBSTITUTE(SUBSTITUTE($A962," ",""),"(주)",""),"주식회사",""),"㈜","")))</f>
        <v/>
      </c>
      <c r="H962" s="10" t="str">
        <f aca="false">IF($B962="","",SUBSTITUTE(SUBSTITUTE(SUBSTITUTE($B962,"-","")," ",""),".",""))</f>
        <v/>
      </c>
      <c r="I962" s="10" t="str">
        <f aca="false">IF($D962="","",SUBSTITUTE(SUBSTITUTE(SUBSTITUTE($D962,"-","")," ",""),".",""))</f>
        <v/>
      </c>
      <c r="J962" s="10" t="str">
        <f aca="false">IF($E962="","",UPPER(SUBSTITUTE($E962," ","")))</f>
        <v/>
      </c>
      <c r="K962" s="10" t="str">
        <f aca="false">IF($A962="","",$G962&amp;"|"&amp;$J962)</f>
        <v/>
      </c>
      <c r="L962" s="10" t="str">
        <f aca="false">IF($A962="","",ROW()-2)</f>
        <v/>
      </c>
      <c r="M962" s="10" t="str">
        <f aca="false">IF($A962="","",ROW())</f>
        <v/>
      </c>
    </row>
    <row r="963" customFormat="false" ht="15" hidden="false" customHeight="true" outlineLevel="0" collapsed="false">
      <c r="A963" s="8"/>
      <c r="B963" s="8"/>
      <c r="C963" s="8"/>
      <c r="D963" s="8"/>
      <c r="E963" s="8"/>
      <c r="F963" s="8"/>
      <c r="G963" s="10" t="str">
        <f aca="false">IF($A963="","",UPPER(SUBSTITUTE(SUBSTITUTE(SUBSTITUTE(SUBSTITUTE($A963," ",""),"(주)",""),"주식회사",""),"㈜","")))</f>
        <v/>
      </c>
      <c r="H963" s="10" t="str">
        <f aca="false">IF($B963="","",SUBSTITUTE(SUBSTITUTE(SUBSTITUTE($B963,"-","")," ",""),".",""))</f>
        <v/>
      </c>
      <c r="I963" s="10" t="str">
        <f aca="false">IF($D963="","",SUBSTITUTE(SUBSTITUTE(SUBSTITUTE($D963,"-","")," ",""),".",""))</f>
        <v/>
      </c>
      <c r="J963" s="10" t="str">
        <f aca="false">IF($E963="","",UPPER(SUBSTITUTE($E963," ","")))</f>
        <v/>
      </c>
      <c r="K963" s="10" t="str">
        <f aca="false">IF($A963="","",$G963&amp;"|"&amp;$J963)</f>
        <v/>
      </c>
      <c r="L963" s="10" t="str">
        <f aca="false">IF($A963="","",ROW()-2)</f>
        <v/>
      </c>
      <c r="M963" s="10" t="str">
        <f aca="false">IF($A963="","",ROW())</f>
        <v/>
      </c>
    </row>
    <row r="964" customFormat="false" ht="15" hidden="false" customHeight="true" outlineLevel="0" collapsed="false">
      <c r="A964" s="8"/>
      <c r="B964" s="8"/>
      <c r="C964" s="8"/>
      <c r="D964" s="8"/>
      <c r="E964" s="8"/>
      <c r="F964" s="8"/>
      <c r="G964" s="10" t="str">
        <f aca="false">IF($A964="","",UPPER(SUBSTITUTE(SUBSTITUTE(SUBSTITUTE(SUBSTITUTE($A964," ",""),"(주)",""),"주식회사",""),"㈜","")))</f>
        <v/>
      </c>
      <c r="H964" s="10" t="str">
        <f aca="false">IF($B964="","",SUBSTITUTE(SUBSTITUTE(SUBSTITUTE($B964,"-","")," ",""),".",""))</f>
        <v/>
      </c>
      <c r="I964" s="10" t="str">
        <f aca="false">IF($D964="","",SUBSTITUTE(SUBSTITUTE(SUBSTITUTE($D964,"-","")," ",""),".",""))</f>
        <v/>
      </c>
      <c r="J964" s="10" t="str">
        <f aca="false">IF($E964="","",UPPER(SUBSTITUTE($E964," ","")))</f>
        <v/>
      </c>
      <c r="K964" s="10" t="str">
        <f aca="false">IF($A964="","",$G964&amp;"|"&amp;$J964)</f>
        <v/>
      </c>
      <c r="L964" s="10" t="str">
        <f aca="false">IF($A964="","",ROW()-2)</f>
        <v/>
      </c>
      <c r="M964" s="10" t="str">
        <f aca="false">IF($A964="","",ROW())</f>
        <v/>
      </c>
    </row>
    <row r="965" customFormat="false" ht="15" hidden="false" customHeight="true" outlineLevel="0" collapsed="false">
      <c r="A965" s="8"/>
      <c r="B965" s="8"/>
      <c r="C965" s="8"/>
      <c r="D965" s="8"/>
      <c r="E965" s="8"/>
      <c r="F965" s="8"/>
      <c r="G965" s="10" t="str">
        <f aca="false">IF($A965="","",UPPER(SUBSTITUTE(SUBSTITUTE(SUBSTITUTE(SUBSTITUTE($A965," ",""),"(주)",""),"주식회사",""),"㈜","")))</f>
        <v/>
      </c>
      <c r="H965" s="10" t="str">
        <f aca="false">IF($B965="","",SUBSTITUTE(SUBSTITUTE(SUBSTITUTE($B965,"-","")," ",""),".",""))</f>
        <v/>
      </c>
      <c r="I965" s="10" t="str">
        <f aca="false">IF($D965="","",SUBSTITUTE(SUBSTITUTE(SUBSTITUTE($D965,"-","")," ",""),".",""))</f>
        <v/>
      </c>
      <c r="J965" s="10" t="str">
        <f aca="false">IF($E965="","",UPPER(SUBSTITUTE($E965," ","")))</f>
        <v/>
      </c>
      <c r="K965" s="10" t="str">
        <f aca="false">IF($A965="","",$G965&amp;"|"&amp;$J965)</f>
        <v/>
      </c>
      <c r="L965" s="10" t="str">
        <f aca="false">IF($A965="","",ROW()-2)</f>
        <v/>
      </c>
      <c r="M965" s="10" t="str">
        <f aca="false">IF($A965="","",ROW())</f>
        <v/>
      </c>
    </row>
    <row r="966" customFormat="false" ht="15" hidden="false" customHeight="true" outlineLevel="0" collapsed="false">
      <c r="A966" s="8"/>
      <c r="B966" s="8"/>
      <c r="C966" s="8"/>
      <c r="D966" s="8"/>
      <c r="E966" s="8"/>
      <c r="F966" s="8"/>
      <c r="G966" s="10" t="str">
        <f aca="false">IF($A966="","",UPPER(SUBSTITUTE(SUBSTITUTE(SUBSTITUTE(SUBSTITUTE($A966," ",""),"(주)",""),"주식회사",""),"㈜","")))</f>
        <v/>
      </c>
      <c r="H966" s="10" t="str">
        <f aca="false">IF($B966="","",SUBSTITUTE(SUBSTITUTE(SUBSTITUTE($B966,"-","")," ",""),".",""))</f>
        <v/>
      </c>
      <c r="I966" s="10" t="str">
        <f aca="false">IF($D966="","",SUBSTITUTE(SUBSTITUTE(SUBSTITUTE($D966,"-","")," ",""),".",""))</f>
        <v/>
      </c>
      <c r="J966" s="10" t="str">
        <f aca="false">IF($E966="","",UPPER(SUBSTITUTE($E966," ","")))</f>
        <v/>
      </c>
      <c r="K966" s="10" t="str">
        <f aca="false">IF($A966="","",$G966&amp;"|"&amp;$J966)</f>
        <v/>
      </c>
      <c r="L966" s="10" t="str">
        <f aca="false">IF($A966="","",ROW()-2)</f>
        <v/>
      </c>
      <c r="M966" s="10" t="str">
        <f aca="false">IF($A966="","",ROW())</f>
        <v/>
      </c>
    </row>
    <row r="967" customFormat="false" ht="15" hidden="false" customHeight="true" outlineLevel="0" collapsed="false">
      <c r="A967" s="8"/>
      <c r="B967" s="8"/>
      <c r="C967" s="8"/>
      <c r="D967" s="8"/>
      <c r="E967" s="8"/>
      <c r="F967" s="8"/>
      <c r="G967" s="10" t="str">
        <f aca="false">IF($A967="","",UPPER(SUBSTITUTE(SUBSTITUTE(SUBSTITUTE(SUBSTITUTE($A967," ",""),"(주)",""),"주식회사",""),"㈜","")))</f>
        <v/>
      </c>
      <c r="H967" s="10" t="str">
        <f aca="false">IF($B967="","",SUBSTITUTE(SUBSTITUTE(SUBSTITUTE($B967,"-","")," ",""),".",""))</f>
        <v/>
      </c>
      <c r="I967" s="10" t="str">
        <f aca="false">IF($D967="","",SUBSTITUTE(SUBSTITUTE(SUBSTITUTE($D967,"-","")," ",""),".",""))</f>
        <v/>
      </c>
      <c r="J967" s="10" t="str">
        <f aca="false">IF($E967="","",UPPER(SUBSTITUTE($E967," ","")))</f>
        <v/>
      </c>
      <c r="K967" s="10" t="str">
        <f aca="false">IF($A967="","",$G967&amp;"|"&amp;$J967)</f>
        <v/>
      </c>
      <c r="L967" s="10" t="str">
        <f aca="false">IF($A967="","",ROW()-2)</f>
        <v/>
      </c>
      <c r="M967" s="10" t="str">
        <f aca="false">IF($A967="","",ROW())</f>
        <v/>
      </c>
    </row>
    <row r="968" customFormat="false" ht="15" hidden="false" customHeight="true" outlineLevel="0" collapsed="false">
      <c r="A968" s="8"/>
      <c r="B968" s="8"/>
      <c r="C968" s="8"/>
      <c r="D968" s="8"/>
      <c r="E968" s="8"/>
      <c r="F968" s="8"/>
      <c r="G968" s="10" t="str">
        <f aca="false">IF($A968="","",UPPER(SUBSTITUTE(SUBSTITUTE(SUBSTITUTE(SUBSTITUTE($A968," ",""),"(주)",""),"주식회사",""),"㈜","")))</f>
        <v/>
      </c>
      <c r="H968" s="10" t="str">
        <f aca="false">IF($B968="","",SUBSTITUTE(SUBSTITUTE(SUBSTITUTE($B968,"-","")," ",""),".",""))</f>
        <v/>
      </c>
      <c r="I968" s="10" t="str">
        <f aca="false">IF($D968="","",SUBSTITUTE(SUBSTITUTE(SUBSTITUTE($D968,"-","")," ",""),".",""))</f>
        <v/>
      </c>
      <c r="J968" s="10" t="str">
        <f aca="false">IF($E968="","",UPPER(SUBSTITUTE($E968," ","")))</f>
        <v/>
      </c>
      <c r="K968" s="10" t="str">
        <f aca="false">IF($A968="","",$G968&amp;"|"&amp;$J968)</f>
        <v/>
      </c>
      <c r="L968" s="10" t="str">
        <f aca="false">IF($A968="","",ROW()-2)</f>
        <v/>
      </c>
      <c r="M968" s="10" t="str">
        <f aca="false">IF($A968="","",ROW())</f>
        <v/>
      </c>
    </row>
    <row r="969" customFormat="false" ht="15" hidden="false" customHeight="true" outlineLevel="0" collapsed="false">
      <c r="A969" s="8"/>
      <c r="B969" s="8"/>
      <c r="C969" s="8"/>
      <c r="D969" s="8"/>
      <c r="E969" s="8"/>
      <c r="F969" s="8"/>
      <c r="G969" s="10" t="str">
        <f aca="false">IF($A969="","",UPPER(SUBSTITUTE(SUBSTITUTE(SUBSTITUTE(SUBSTITUTE($A969," ",""),"(주)",""),"주식회사",""),"㈜","")))</f>
        <v/>
      </c>
      <c r="H969" s="10" t="str">
        <f aca="false">IF($B969="","",SUBSTITUTE(SUBSTITUTE(SUBSTITUTE($B969,"-","")," ",""),".",""))</f>
        <v/>
      </c>
      <c r="I969" s="10" t="str">
        <f aca="false">IF($D969="","",SUBSTITUTE(SUBSTITUTE(SUBSTITUTE($D969,"-","")," ",""),".",""))</f>
        <v/>
      </c>
      <c r="J969" s="10" t="str">
        <f aca="false">IF($E969="","",UPPER(SUBSTITUTE($E969," ","")))</f>
        <v/>
      </c>
      <c r="K969" s="10" t="str">
        <f aca="false">IF($A969="","",$G969&amp;"|"&amp;$J969)</f>
        <v/>
      </c>
      <c r="L969" s="10" t="str">
        <f aca="false">IF($A969="","",ROW()-2)</f>
        <v/>
      </c>
      <c r="M969" s="10" t="str">
        <f aca="false">IF($A969="","",ROW())</f>
        <v/>
      </c>
    </row>
    <row r="970" customFormat="false" ht="15" hidden="false" customHeight="true" outlineLevel="0" collapsed="false">
      <c r="A970" s="8"/>
      <c r="B970" s="8"/>
      <c r="C970" s="8"/>
      <c r="D970" s="8"/>
      <c r="E970" s="8"/>
      <c r="F970" s="8"/>
      <c r="G970" s="10" t="str">
        <f aca="false">IF($A970="","",UPPER(SUBSTITUTE(SUBSTITUTE(SUBSTITUTE(SUBSTITUTE($A970," ",""),"(주)",""),"주식회사",""),"㈜","")))</f>
        <v/>
      </c>
      <c r="H970" s="10" t="str">
        <f aca="false">IF($B970="","",SUBSTITUTE(SUBSTITUTE(SUBSTITUTE($B970,"-","")," ",""),".",""))</f>
        <v/>
      </c>
      <c r="I970" s="10" t="str">
        <f aca="false">IF($D970="","",SUBSTITUTE(SUBSTITUTE(SUBSTITUTE($D970,"-","")," ",""),".",""))</f>
        <v/>
      </c>
      <c r="J970" s="10" t="str">
        <f aca="false">IF($E970="","",UPPER(SUBSTITUTE($E970," ","")))</f>
        <v/>
      </c>
      <c r="K970" s="10" t="str">
        <f aca="false">IF($A970="","",$G970&amp;"|"&amp;$J970)</f>
        <v/>
      </c>
      <c r="L970" s="10" t="str">
        <f aca="false">IF($A970="","",ROW()-2)</f>
        <v/>
      </c>
      <c r="M970" s="10" t="str">
        <f aca="false">IF($A970="","",ROW())</f>
        <v/>
      </c>
    </row>
    <row r="971" customFormat="false" ht="15" hidden="false" customHeight="true" outlineLevel="0" collapsed="false">
      <c r="A971" s="8"/>
      <c r="B971" s="8"/>
      <c r="C971" s="8"/>
      <c r="D971" s="8"/>
      <c r="E971" s="8"/>
      <c r="F971" s="8"/>
      <c r="G971" s="10" t="str">
        <f aca="false">IF($A971="","",UPPER(SUBSTITUTE(SUBSTITUTE(SUBSTITUTE(SUBSTITUTE($A971," ",""),"(주)",""),"주식회사",""),"㈜","")))</f>
        <v/>
      </c>
      <c r="H971" s="10" t="str">
        <f aca="false">IF($B971="","",SUBSTITUTE(SUBSTITUTE(SUBSTITUTE($B971,"-","")," ",""),".",""))</f>
        <v/>
      </c>
      <c r="I971" s="10" t="str">
        <f aca="false">IF($D971="","",SUBSTITUTE(SUBSTITUTE(SUBSTITUTE($D971,"-","")," ",""),".",""))</f>
        <v/>
      </c>
      <c r="J971" s="10" t="str">
        <f aca="false">IF($E971="","",UPPER(SUBSTITUTE($E971," ","")))</f>
        <v/>
      </c>
      <c r="K971" s="10" t="str">
        <f aca="false">IF($A971="","",$G971&amp;"|"&amp;$J971)</f>
        <v/>
      </c>
      <c r="L971" s="10" t="str">
        <f aca="false">IF($A971="","",ROW()-2)</f>
        <v/>
      </c>
      <c r="M971" s="10" t="str">
        <f aca="false">IF($A971="","",ROW())</f>
        <v/>
      </c>
    </row>
    <row r="972" customFormat="false" ht="15" hidden="false" customHeight="true" outlineLevel="0" collapsed="false">
      <c r="A972" s="8"/>
      <c r="B972" s="8"/>
      <c r="C972" s="8"/>
      <c r="D972" s="8"/>
      <c r="E972" s="8"/>
      <c r="F972" s="8"/>
      <c r="G972" s="10" t="str">
        <f aca="false">IF($A972="","",UPPER(SUBSTITUTE(SUBSTITUTE(SUBSTITUTE(SUBSTITUTE($A972," ",""),"(주)",""),"주식회사",""),"㈜","")))</f>
        <v/>
      </c>
      <c r="H972" s="10" t="str">
        <f aca="false">IF($B972="","",SUBSTITUTE(SUBSTITUTE(SUBSTITUTE($B972,"-","")," ",""),".",""))</f>
        <v/>
      </c>
      <c r="I972" s="10" t="str">
        <f aca="false">IF($D972="","",SUBSTITUTE(SUBSTITUTE(SUBSTITUTE($D972,"-","")," ",""),".",""))</f>
        <v/>
      </c>
      <c r="J972" s="10" t="str">
        <f aca="false">IF($E972="","",UPPER(SUBSTITUTE($E972," ","")))</f>
        <v/>
      </c>
      <c r="K972" s="10" t="str">
        <f aca="false">IF($A972="","",$G972&amp;"|"&amp;$J972)</f>
        <v/>
      </c>
      <c r="L972" s="10" t="str">
        <f aca="false">IF($A972="","",ROW()-2)</f>
        <v/>
      </c>
      <c r="M972" s="10" t="str">
        <f aca="false">IF($A972="","",ROW())</f>
        <v/>
      </c>
    </row>
    <row r="973" customFormat="false" ht="15" hidden="false" customHeight="true" outlineLevel="0" collapsed="false">
      <c r="A973" s="8"/>
      <c r="B973" s="8"/>
      <c r="C973" s="8"/>
      <c r="D973" s="8"/>
      <c r="E973" s="8"/>
      <c r="F973" s="8"/>
      <c r="G973" s="10" t="str">
        <f aca="false">IF($A973="","",UPPER(SUBSTITUTE(SUBSTITUTE(SUBSTITUTE(SUBSTITUTE($A973," ",""),"(주)",""),"주식회사",""),"㈜","")))</f>
        <v/>
      </c>
      <c r="H973" s="10" t="str">
        <f aca="false">IF($B973="","",SUBSTITUTE(SUBSTITUTE(SUBSTITUTE($B973,"-","")," ",""),".",""))</f>
        <v/>
      </c>
      <c r="I973" s="10" t="str">
        <f aca="false">IF($D973="","",SUBSTITUTE(SUBSTITUTE(SUBSTITUTE($D973,"-","")," ",""),".",""))</f>
        <v/>
      </c>
      <c r="J973" s="10" t="str">
        <f aca="false">IF($E973="","",UPPER(SUBSTITUTE($E973," ","")))</f>
        <v/>
      </c>
      <c r="K973" s="10" t="str">
        <f aca="false">IF($A973="","",$G973&amp;"|"&amp;$J973)</f>
        <v/>
      </c>
      <c r="L973" s="10" t="str">
        <f aca="false">IF($A973="","",ROW()-2)</f>
        <v/>
      </c>
      <c r="M973" s="10" t="str">
        <f aca="false">IF($A973="","",ROW())</f>
        <v/>
      </c>
    </row>
    <row r="974" customFormat="false" ht="15" hidden="false" customHeight="true" outlineLevel="0" collapsed="false">
      <c r="A974" s="8"/>
      <c r="B974" s="8"/>
      <c r="C974" s="8"/>
      <c r="D974" s="8"/>
      <c r="E974" s="8"/>
      <c r="F974" s="8"/>
      <c r="G974" s="10" t="str">
        <f aca="false">IF($A974="","",UPPER(SUBSTITUTE(SUBSTITUTE(SUBSTITUTE(SUBSTITUTE($A974," ",""),"(주)",""),"주식회사",""),"㈜","")))</f>
        <v/>
      </c>
      <c r="H974" s="10" t="str">
        <f aca="false">IF($B974="","",SUBSTITUTE(SUBSTITUTE(SUBSTITUTE($B974,"-","")," ",""),".",""))</f>
        <v/>
      </c>
      <c r="I974" s="10" t="str">
        <f aca="false">IF($D974="","",SUBSTITUTE(SUBSTITUTE(SUBSTITUTE($D974,"-","")," ",""),".",""))</f>
        <v/>
      </c>
      <c r="J974" s="10" t="str">
        <f aca="false">IF($E974="","",UPPER(SUBSTITUTE($E974," ","")))</f>
        <v/>
      </c>
      <c r="K974" s="10" t="str">
        <f aca="false">IF($A974="","",$G974&amp;"|"&amp;$J974)</f>
        <v/>
      </c>
      <c r="L974" s="10" t="str">
        <f aca="false">IF($A974="","",ROW()-2)</f>
        <v/>
      </c>
      <c r="M974" s="10" t="str">
        <f aca="false">IF($A974="","",ROW())</f>
        <v/>
      </c>
    </row>
    <row r="975" customFormat="false" ht="15" hidden="false" customHeight="true" outlineLevel="0" collapsed="false">
      <c r="A975" s="8"/>
      <c r="B975" s="8"/>
      <c r="C975" s="8"/>
      <c r="D975" s="8"/>
      <c r="E975" s="8"/>
      <c r="F975" s="8"/>
      <c r="G975" s="10" t="str">
        <f aca="false">IF($A975="","",UPPER(SUBSTITUTE(SUBSTITUTE(SUBSTITUTE(SUBSTITUTE($A975," ",""),"(주)",""),"주식회사",""),"㈜","")))</f>
        <v/>
      </c>
      <c r="H975" s="10" t="str">
        <f aca="false">IF($B975="","",SUBSTITUTE(SUBSTITUTE(SUBSTITUTE($B975,"-","")," ",""),".",""))</f>
        <v/>
      </c>
      <c r="I975" s="10" t="str">
        <f aca="false">IF($D975="","",SUBSTITUTE(SUBSTITUTE(SUBSTITUTE($D975,"-","")," ",""),".",""))</f>
        <v/>
      </c>
      <c r="J975" s="10" t="str">
        <f aca="false">IF($E975="","",UPPER(SUBSTITUTE($E975," ","")))</f>
        <v/>
      </c>
      <c r="K975" s="10" t="str">
        <f aca="false">IF($A975="","",$G975&amp;"|"&amp;$J975)</f>
        <v/>
      </c>
      <c r="L975" s="10" t="str">
        <f aca="false">IF($A975="","",ROW()-2)</f>
        <v/>
      </c>
      <c r="M975" s="10" t="str">
        <f aca="false">IF($A975="","",ROW())</f>
        <v/>
      </c>
    </row>
    <row r="976" customFormat="false" ht="15" hidden="false" customHeight="true" outlineLevel="0" collapsed="false">
      <c r="A976" s="8"/>
      <c r="B976" s="8"/>
      <c r="C976" s="8"/>
      <c r="D976" s="8"/>
      <c r="E976" s="8"/>
      <c r="F976" s="8"/>
      <c r="G976" s="10" t="str">
        <f aca="false">IF($A976="","",UPPER(SUBSTITUTE(SUBSTITUTE(SUBSTITUTE(SUBSTITUTE($A976," ",""),"(주)",""),"주식회사",""),"㈜","")))</f>
        <v/>
      </c>
      <c r="H976" s="10" t="str">
        <f aca="false">IF($B976="","",SUBSTITUTE(SUBSTITUTE(SUBSTITUTE($B976,"-","")," ",""),".",""))</f>
        <v/>
      </c>
      <c r="I976" s="10" t="str">
        <f aca="false">IF($D976="","",SUBSTITUTE(SUBSTITUTE(SUBSTITUTE($D976,"-","")," ",""),".",""))</f>
        <v/>
      </c>
      <c r="J976" s="10" t="str">
        <f aca="false">IF($E976="","",UPPER(SUBSTITUTE($E976," ","")))</f>
        <v/>
      </c>
      <c r="K976" s="10" t="str">
        <f aca="false">IF($A976="","",$G976&amp;"|"&amp;$J976)</f>
        <v/>
      </c>
      <c r="L976" s="10" t="str">
        <f aca="false">IF($A976="","",ROW()-2)</f>
        <v/>
      </c>
      <c r="M976" s="10" t="str">
        <f aca="false">IF($A976="","",ROW())</f>
        <v/>
      </c>
    </row>
    <row r="977" customFormat="false" ht="15" hidden="false" customHeight="true" outlineLevel="0" collapsed="false">
      <c r="A977" s="8"/>
      <c r="B977" s="8"/>
      <c r="C977" s="8"/>
      <c r="D977" s="8"/>
      <c r="E977" s="8"/>
      <c r="F977" s="8"/>
      <c r="G977" s="10" t="str">
        <f aca="false">IF($A977="","",UPPER(SUBSTITUTE(SUBSTITUTE(SUBSTITUTE(SUBSTITUTE($A977," ",""),"(주)",""),"주식회사",""),"㈜","")))</f>
        <v/>
      </c>
      <c r="H977" s="10" t="str">
        <f aca="false">IF($B977="","",SUBSTITUTE(SUBSTITUTE(SUBSTITUTE($B977,"-","")," ",""),".",""))</f>
        <v/>
      </c>
      <c r="I977" s="10" t="str">
        <f aca="false">IF($D977="","",SUBSTITUTE(SUBSTITUTE(SUBSTITUTE($D977,"-","")," ",""),".",""))</f>
        <v/>
      </c>
      <c r="J977" s="10" t="str">
        <f aca="false">IF($E977="","",UPPER(SUBSTITUTE($E977," ","")))</f>
        <v/>
      </c>
      <c r="K977" s="10" t="str">
        <f aca="false">IF($A977="","",$G977&amp;"|"&amp;$J977)</f>
        <v/>
      </c>
      <c r="L977" s="10" t="str">
        <f aca="false">IF($A977="","",ROW()-2)</f>
        <v/>
      </c>
      <c r="M977" s="10" t="str">
        <f aca="false">IF($A977="","",ROW())</f>
        <v/>
      </c>
    </row>
    <row r="978" customFormat="false" ht="15" hidden="false" customHeight="true" outlineLevel="0" collapsed="false">
      <c r="A978" s="8"/>
      <c r="B978" s="8"/>
      <c r="C978" s="8"/>
      <c r="D978" s="8"/>
      <c r="E978" s="8"/>
      <c r="F978" s="8"/>
      <c r="G978" s="10" t="str">
        <f aca="false">IF($A978="","",UPPER(SUBSTITUTE(SUBSTITUTE(SUBSTITUTE(SUBSTITUTE($A978," ",""),"(주)",""),"주식회사",""),"㈜","")))</f>
        <v/>
      </c>
      <c r="H978" s="10" t="str">
        <f aca="false">IF($B978="","",SUBSTITUTE(SUBSTITUTE(SUBSTITUTE($B978,"-","")," ",""),".",""))</f>
        <v/>
      </c>
      <c r="I978" s="10" t="str">
        <f aca="false">IF($D978="","",SUBSTITUTE(SUBSTITUTE(SUBSTITUTE($D978,"-","")," ",""),".",""))</f>
        <v/>
      </c>
      <c r="J978" s="10" t="str">
        <f aca="false">IF($E978="","",UPPER(SUBSTITUTE($E978," ","")))</f>
        <v/>
      </c>
      <c r="K978" s="10" t="str">
        <f aca="false">IF($A978="","",$G978&amp;"|"&amp;$J978)</f>
        <v/>
      </c>
      <c r="L978" s="10" t="str">
        <f aca="false">IF($A978="","",ROW()-2)</f>
        <v/>
      </c>
      <c r="M978" s="10" t="str">
        <f aca="false">IF($A978="","",ROW())</f>
        <v/>
      </c>
    </row>
    <row r="979" customFormat="false" ht="15" hidden="false" customHeight="true" outlineLevel="0" collapsed="false">
      <c r="A979" s="8"/>
      <c r="B979" s="8"/>
      <c r="C979" s="8"/>
      <c r="D979" s="8"/>
      <c r="E979" s="8"/>
      <c r="F979" s="8"/>
      <c r="G979" s="10" t="str">
        <f aca="false">IF($A979="","",UPPER(SUBSTITUTE(SUBSTITUTE(SUBSTITUTE(SUBSTITUTE($A979," ",""),"(주)",""),"주식회사",""),"㈜","")))</f>
        <v/>
      </c>
      <c r="H979" s="10" t="str">
        <f aca="false">IF($B979="","",SUBSTITUTE(SUBSTITUTE(SUBSTITUTE($B979,"-","")," ",""),".",""))</f>
        <v/>
      </c>
      <c r="I979" s="10" t="str">
        <f aca="false">IF($D979="","",SUBSTITUTE(SUBSTITUTE(SUBSTITUTE($D979,"-","")," ",""),".",""))</f>
        <v/>
      </c>
      <c r="J979" s="10" t="str">
        <f aca="false">IF($E979="","",UPPER(SUBSTITUTE($E979," ","")))</f>
        <v/>
      </c>
      <c r="K979" s="10" t="str">
        <f aca="false">IF($A979="","",$G979&amp;"|"&amp;$J979)</f>
        <v/>
      </c>
      <c r="L979" s="10" t="str">
        <f aca="false">IF($A979="","",ROW()-2)</f>
        <v/>
      </c>
      <c r="M979" s="10" t="str">
        <f aca="false">IF($A979="","",ROW())</f>
        <v/>
      </c>
    </row>
    <row r="980" customFormat="false" ht="15" hidden="false" customHeight="true" outlineLevel="0" collapsed="false">
      <c r="A980" s="8"/>
      <c r="B980" s="8"/>
      <c r="C980" s="8"/>
      <c r="D980" s="8"/>
      <c r="E980" s="8"/>
      <c r="F980" s="8"/>
      <c r="G980" s="10" t="str">
        <f aca="false">IF($A980="","",UPPER(SUBSTITUTE(SUBSTITUTE(SUBSTITUTE(SUBSTITUTE($A980," ",""),"(주)",""),"주식회사",""),"㈜","")))</f>
        <v/>
      </c>
      <c r="H980" s="10" t="str">
        <f aca="false">IF($B980="","",SUBSTITUTE(SUBSTITUTE(SUBSTITUTE($B980,"-","")," ",""),".",""))</f>
        <v/>
      </c>
      <c r="I980" s="10" t="str">
        <f aca="false">IF($D980="","",SUBSTITUTE(SUBSTITUTE(SUBSTITUTE($D980,"-","")," ",""),".",""))</f>
        <v/>
      </c>
      <c r="J980" s="10" t="str">
        <f aca="false">IF($E980="","",UPPER(SUBSTITUTE($E980," ","")))</f>
        <v/>
      </c>
      <c r="K980" s="10" t="str">
        <f aca="false">IF($A980="","",$G980&amp;"|"&amp;$J980)</f>
        <v/>
      </c>
      <c r="L980" s="10" t="str">
        <f aca="false">IF($A980="","",ROW()-2)</f>
        <v/>
      </c>
      <c r="M980" s="10" t="str">
        <f aca="false">IF($A980="","",ROW())</f>
        <v/>
      </c>
    </row>
    <row r="981" customFormat="false" ht="15" hidden="false" customHeight="true" outlineLevel="0" collapsed="false">
      <c r="A981" s="8"/>
      <c r="B981" s="8"/>
      <c r="C981" s="8"/>
      <c r="D981" s="8"/>
      <c r="E981" s="8"/>
      <c r="F981" s="8"/>
      <c r="G981" s="10" t="str">
        <f aca="false">IF($A981="","",UPPER(SUBSTITUTE(SUBSTITUTE(SUBSTITUTE(SUBSTITUTE($A981," ",""),"(주)",""),"주식회사",""),"㈜","")))</f>
        <v/>
      </c>
      <c r="H981" s="10" t="str">
        <f aca="false">IF($B981="","",SUBSTITUTE(SUBSTITUTE(SUBSTITUTE($B981,"-","")," ",""),".",""))</f>
        <v/>
      </c>
      <c r="I981" s="10" t="str">
        <f aca="false">IF($D981="","",SUBSTITUTE(SUBSTITUTE(SUBSTITUTE($D981,"-","")," ",""),".",""))</f>
        <v/>
      </c>
      <c r="J981" s="10" t="str">
        <f aca="false">IF($E981="","",UPPER(SUBSTITUTE($E981," ","")))</f>
        <v/>
      </c>
      <c r="K981" s="10" t="str">
        <f aca="false">IF($A981="","",$G981&amp;"|"&amp;$J981)</f>
        <v/>
      </c>
      <c r="L981" s="10" t="str">
        <f aca="false">IF($A981="","",ROW()-2)</f>
        <v/>
      </c>
      <c r="M981" s="10" t="str">
        <f aca="false">IF($A981="","",ROW())</f>
        <v/>
      </c>
    </row>
    <row r="982" customFormat="false" ht="15" hidden="false" customHeight="true" outlineLevel="0" collapsed="false">
      <c r="A982" s="8"/>
      <c r="B982" s="8"/>
      <c r="C982" s="8"/>
      <c r="D982" s="8"/>
      <c r="E982" s="8"/>
      <c r="F982" s="8"/>
      <c r="G982" s="10" t="str">
        <f aca="false">IF($A982="","",UPPER(SUBSTITUTE(SUBSTITUTE(SUBSTITUTE(SUBSTITUTE($A982," ",""),"(주)",""),"주식회사",""),"㈜","")))</f>
        <v/>
      </c>
      <c r="H982" s="10" t="str">
        <f aca="false">IF($B982="","",SUBSTITUTE(SUBSTITUTE(SUBSTITUTE($B982,"-","")," ",""),".",""))</f>
        <v/>
      </c>
      <c r="I982" s="10" t="str">
        <f aca="false">IF($D982="","",SUBSTITUTE(SUBSTITUTE(SUBSTITUTE($D982,"-","")," ",""),".",""))</f>
        <v/>
      </c>
      <c r="J982" s="10" t="str">
        <f aca="false">IF($E982="","",UPPER(SUBSTITUTE($E982," ","")))</f>
        <v/>
      </c>
      <c r="K982" s="10" t="str">
        <f aca="false">IF($A982="","",$G982&amp;"|"&amp;$J982)</f>
        <v/>
      </c>
      <c r="L982" s="10" t="str">
        <f aca="false">IF($A982="","",ROW()-2)</f>
        <v/>
      </c>
      <c r="M982" s="10" t="str">
        <f aca="false">IF($A982="","",ROW())</f>
        <v/>
      </c>
    </row>
    <row r="983" customFormat="false" ht="15" hidden="false" customHeight="true" outlineLevel="0" collapsed="false">
      <c r="A983" s="8"/>
      <c r="B983" s="8"/>
      <c r="C983" s="8"/>
      <c r="D983" s="8"/>
      <c r="E983" s="8"/>
      <c r="F983" s="8"/>
      <c r="G983" s="10" t="str">
        <f aca="false">IF($A983="","",UPPER(SUBSTITUTE(SUBSTITUTE(SUBSTITUTE(SUBSTITUTE($A983," ",""),"(주)",""),"주식회사",""),"㈜","")))</f>
        <v/>
      </c>
      <c r="H983" s="10" t="str">
        <f aca="false">IF($B983="","",SUBSTITUTE(SUBSTITUTE(SUBSTITUTE($B983,"-","")," ",""),".",""))</f>
        <v/>
      </c>
      <c r="I983" s="10" t="str">
        <f aca="false">IF($D983="","",SUBSTITUTE(SUBSTITUTE(SUBSTITUTE($D983,"-","")," ",""),".",""))</f>
        <v/>
      </c>
      <c r="J983" s="10" t="str">
        <f aca="false">IF($E983="","",UPPER(SUBSTITUTE($E983," ","")))</f>
        <v/>
      </c>
      <c r="K983" s="10" t="str">
        <f aca="false">IF($A983="","",$G983&amp;"|"&amp;$J983)</f>
        <v/>
      </c>
      <c r="L983" s="10" t="str">
        <f aca="false">IF($A983="","",ROW()-2)</f>
        <v/>
      </c>
      <c r="M983" s="10" t="str">
        <f aca="false">IF($A983="","",ROW())</f>
        <v/>
      </c>
    </row>
    <row r="984" customFormat="false" ht="15" hidden="false" customHeight="true" outlineLevel="0" collapsed="false">
      <c r="A984" s="8"/>
      <c r="B984" s="8"/>
      <c r="C984" s="8"/>
      <c r="D984" s="8"/>
      <c r="E984" s="8"/>
      <c r="F984" s="8"/>
      <c r="G984" s="10" t="str">
        <f aca="false">IF($A984="","",UPPER(SUBSTITUTE(SUBSTITUTE(SUBSTITUTE(SUBSTITUTE($A984," ",""),"(주)",""),"주식회사",""),"㈜","")))</f>
        <v/>
      </c>
      <c r="H984" s="10" t="str">
        <f aca="false">IF($B984="","",SUBSTITUTE(SUBSTITUTE(SUBSTITUTE($B984,"-","")," ",""),".",""))</f>
        <v/>
      </c>
      <c r="I984" s="10" t="str">
        <f aca="false">IF($D984="","",SUBSTITUTE(SUBSTITUTE(SUBSTITUTE($D984,"-","")," ",""),".",""))</f>
        <v/>
      </c>
      <c r="J984" s="10" t="str">
        <f aca="false">IF($E984="","",UPPER(SUBSTITUTE($E984," ","")))</f>
        <v/>
      </c>
      <c r="K984" s="10" t="str">
        <f aca="false">IF($A984="","",$G984&amp;"|"&amp;$J984)</f>
        <v/>
      </c>
      <c r="L984" s="10" t="str">
        <f aca="false">IF($A984="","",ROW()-2)</f>
        <v/>
      </c>
      <c r="M984" s="10" t="str">
        <f aca="false">IF($A984="","",ROW())</f>
        <v/>
      </c>
    </row>
    <row r="985" customFormat="false" ht="15" hidden="false" customHeight="true" outlineLevel="0" collapsed="false">
      <c r="A985" s="8"/>
      <c r="B985" s="8"/>
      <c r="C985" s="8"/>
      <c r="D985" s="8"/>
      <c r="E985" s="8"/>
      <c r="F985" s="8"/>
      <c r="G985" s="10" t="str">
        <f aca="false">IF($A985="","",UPPER(SUBSTITUTE(SUBSTITUTE(SUBSTITUTE(SUBSTITUTE($A985," ",""),"(주)",""),"주식회사",""),"㈜","")))</f>
        <v/>
      </c>
      <c r="H985" s="10" t="str">
        <f aca="false">IF($B985="","",SUBSTITUTE(SUBSTITUTE(SUBSTITUTE($B985,"-","")," ",""),".",""))</f>
        <v/>
      </c>
      <c r="I985" s="10" t="str">
        <f aca="false">IF($D985="","",SUBSTITUTE(SUBSTITUTE(SUBSTITUTE($D985,"-","")," ",""),".",""))</f>
        <v/>
      </c>
      <c r="J985" s="10" t="str">
        <f aca="false">IF($E985="","",UPPER(SUBSTITUTE($E985," ","")))</f>
        <v/>
      </c>
      <c r="K985" s="10" t="str">
        <f aca="false">IF($A985="","",$G985&amp;"|"&amp;$J985)</f>
        <v/>
      </c>
      <c r="L985" s="10" t="str">
        <f aca="false">IF($A985="","",ROW()-2)</f>
        <v/>
      </c>
      <c r="M985" s="10" t="str">
        <f aca="false">IF($A985="","",ROW())</f>
        <v/>
      </c>
    </row>
    <row r="986" customFormat="false" ht="15" hidden="false" customHeight="true" outlineLevel="0" collapsed="false">
      <c r="A986" s="8"/>
      <c r="B986" s="8"/>
      <c r="C986" s="8"/>
      <c r="D986" s="8"/>
      <c r="E986" s="8"/>
      <c r="F986" s="8"/>
      <c r="G986" s="10" t="str">
        <f aca="false">IF($A986="","",UPPER(SUBSTITUTE(SUBSTITUTE(SUBSTITUTE(SUBSTITUTE($A986," ",""),"(주)",""),"주식회사",""),"㈜","")))</f>
        <v/>
      </c>
      <c r="H986" s="10" t="str">
        <f aca="false">IF($B986="","",SUBSTITUTE(SUBSTITUTE(SUBSTITUTE($B986,"-","")," ",""),".",""))</f>
        <v/>
      </c>
      <c r="I986" s="10" t="str">
        <f aca="false">IF($D986="","",SUBSTITUTE(SUBSTITUTE(SUBSTITUTE($D986,"-","")," ",""),".",""))</f>
        <v/>
      </c>
      <c r="J986" s="10" t="str">
        <f aca="false">IF($E986="","",UPPER(SUBSTITUTE($E986," ","")))</f>
        <v/>
      </c>
      <c r="K986" s="10" t="str">
        <f aca="false">IF($A986="","",$G986&amp;"|"&amp;$J986)</f>
        <v/>
      </c>
      <c r="L986" s="10" t="str">
        <f aca="false">IF($A986="","",ROW()-2)</f>
        <v/>
      </c>
      <c r="M986" s="10" t="str">
        <f aca="false">IF($A986="","",ROW())</f>
        <v/>
      </c>
    </row>
    <row r="987" customFormat="false" ht="15" hidden="false" customHeight="true" outlineLevel="0" collapsed="false">
      <c r="A987" s="8"/>
      <c r="B987" s="8"/>
      <c r="C987" s="8"/>
      <c r="D987" s="8"/>
      <c r="E987" s="8"/>
      <c r="F987" s="8"/>
      <c r="G987" s="10" t="str">
        <f aca="false">IF($A987="","",UPPER(SUBSTITUTE(SUBSTITUTE(SUBSTITUTE(SUBSTITUTE($A987," ",""),"(주)",""),"주식회사",""),"㈜","")))</f>
        <v/>
      </c>
      <c r="H987" s="10" t="str">
        <f aca="false">IF($B987="","",SUBSTITUTE(SUBSTITUTE(SUBSTITUTE($B987,"-","")," ",""),".",""))</f>
        <v/>
      </c>
      <c r="I987" s="10" t="str">
        <f aca="false">IF($D987="","",SUBSTITUTE(SUBSTITUTE(SUBSTITUTE($D987,"-","")," ",""),".",""))</f>
        <v/>
      </c>
      <c r="J987" s="10" t="str">
        <f aca="false">IF($E987="","",UPPER(SUBSTITUTE($E987," ","")))</f>
        <v/>
      </c>
      <c r="K987" s="10" t="str">
        <f aca="false">IF($A987="","",$G987&amp;"|"&amp;$J987)</f>
        <v/>
      </c>
      <c r="L987" s="10" t="str">
        <f aca="false">IF($A987="","",ROW()-2)</f>
        <v/>
      </c>
      <c r="M987" s="10" t="str">
        <f aca="false">IF($A987="","",ROW())</f>
        <v/>
      </c>
    </row>
    <row r="988" customFormat="false" ht="15" hidden="false" customHeight="true" outlineLevel="0" collapsed="false">
      <c r="A988" s="8"/>
      <c r="B988" s="8"/>
      <c r="C988" s="8"/>
      <c r="D988" s="8"/>
      <c r="E988" s="8"/>
      <c r="F988" s="8"/>
      <c r="G988" s="10" t="str">
        <f aca="false">IF($A988="","",UPPER(SUBSTITUTE(SUBSTITUTE(SUBSTITUTE(SUBSTITUTE($A988," ",""),"(주)",""),"주식회사",""),"㈜","")))</f>
        <v/>
      </c>
      <c r="H988" s="10" t="str">
        <f aca="false">IF($B988="","",SUBSTITUTE(SUBSTITUTE(SUBSTITUTE($B988,"-","")," ",""),".",""))</f>
        <v/>
      </c>
      <c r="I988" s="10" t="str">
        <f aca="false">IF($D988="","",SUBSTITUTE(SUBSTITUTE(SUBSTITUTE($D988,"-","")," ",""),".",""))</f>
        <v/>
      </c>
      <c r="J988" s="10" t="str">
        <f aca="false">IF($E988="","",UPPER(SUBSTITUTE($E988," ","")))</f>
        <v/>
      </c>
      <c r="K988" s="10" t="str">
        <f aca="false">IF($A988="","",$G988&amp;"|"&amp;$J988)</f>
        <v/>
      </c>
      <c r="L988" s="10" t="str">
        <f aca="false">IF($A988="","",ROW()-2)</f>
        <v/>
      </c>
      <c r="M988" s="10" t="str">
        <f aca="false">IF($A988="","",ROW())</f>
        <v/>
      </c>
    </row>
    <row r="989" customFormat="false" ht="15" hidden="false" customHeight="true" outlineLevel="0" collapsed="false">
      <c r="A989" s="8"/>
      <c r="B989" s="8"/>
      <c r="C989" s="8"/>
      <c r="D989" s="8"/>
      <c r="E989" s="8"/>
      <c r="F989" s="8"/>
      <c r="G989" s="10" t="str">
        <f aca="false">IF($A989="","",UPPER(SUBSTITUTE(SUBSTITUTE(SUBSTITUTE(SUBSTITUTE($A989," ",""),"(주)",""),"주식회사",""),"㈜","")))</f>
        <v/>
      </c>
      <c r="H989" s="10" t="str">
        <f aca="false">IF($B989="","",SUBSTITUTE(SUBSTITUTE(SUBSTITUTE($B989,"-","")," ",""),".",""))</f>
        <v/>
      </c>
      <c r="I989" s="10" t="str">
        <f aca="false">IF($D989="","",SUBSTITUTE(SUBSTITUTE(SUBSTITUTE($D989,"-","")," ",""),".",""))</f>
        <v/>
      </c>
      <c r="J989" s="10" t="str">
        <f aca="false">IF($E989="","",UPPER(SUBSTITUTE($E989," ","")))</f>
        <v/>
      </c>
      <c r="K989" s="10" t="str">
        <f aca="false">IF($A989="","",$G989&amp;"|"&amp;$J989)</f>
        <v/>
      </c>
      <c r="L989" s="10" t="str">
        <f aca="false">IF($A989="","",ROW()-2)</f>
        <v/>
      </c>
      <c r="M989" s="10" t="str">
        <f aca="false">IF($A989="","",ROW())</f>
        <v/>
      </c>
    </row>
    <row r="990" customFormat="false" ht="15" hidden="false" customHeight="true" outlineLevel="0" collapsed="false">
      <c r="A990" s="8"/>
      <c r="B990" s="8"/>
      <c r="C990" s="8"/>
      <c r="D990" s="8"/>
      <c r="E990" s="8"/>
      <c r="F990" s="8"/>
      <c r="G990" s="10" t="str">
        <f aca="false">IF($A990="","",UPPER(SUBSTITUTE(SUBSTITUTE(SUBSTITUTE(SUBSTITUTE($A990," ",""),"(주)",""),"주식회사",""),"㈜","")))</f>
        <v/>
      </c>
      <c r="H990" s="10" t="str">
        <f aca="false">IF($B990="","",SUBSTITUTE(SUBSTITUTE(SUBSTITUTE($B990,"-","")," ",""),".",""))</f>
        <v/>
      </c>
      <c r="I990" s="10" t="str">
        <f aca="false">IF($D990="","",SUBSTITUTE(SUBSTITUTE(SUBSTITUTE($D990,"-","")," ",""),".",""))</f>
        <v/>
      </c>
      <c r="J990" s="10" t="str">
        <f aca="false">IF($E990="","",UPPER(SUBSTITUTE($E990," ","")))</f>
        <v/>
      </c>
      <c r="K990" s="10" t="str">
        <f aca="false">IF($A990="","",$G990&amp;"|"&amp;$J990)</f>
        <v/>
      </c>
      <c r="L990" s="10" t="str">
        <f aca="false">IF($A990="","",ROW()-2)</f>
        <v/>
      </c>
      <c r="M990" s="10" t="str">
        <f aca="false">IF($A990="","",ROW())</f>
        <v/>
      </c>
    </row>
    <row r="991" customFormat="false" ht="15" hidden="false" customHeight="true" outlineLevel="0" collapsed="false">
      <c r="A991" s="8"/>
      <c r="B991" s="8"/>
      <c r="C991" s="8"/>
      <c r="D991" s="8"/>
      <c r="E991" s="8"/>
      <c r="F991" s="8"/>
      <c r="G991" s="10" t="str">
        <f aca="false">IF($A991="","",UPPER(SUBSTITUTE(SUBSTITUTE(SUBSTITUTE(SUBSTITUTE($A991," ",""),"(주)",""),"주식회사",""),"㈜","")))</f>
        <v/>
      </c>
      <c r="H991" s="10" t="str">
        <f aca="false">IF($B991="","",SUBSTITUTE(SUBSTITUTE(SUBSTITUTE($B991,"-","")," ",""),".",""))</f>
        <v/>
      </c>
      <c r="I991" s="10" t="str">
        <f aca="false">IF($D991="","",SUBSTITUTE(SUBSTITUTE(SUBSTITUTE($D991,"-","")," ",""),".",""))</f>
        <v/>
      </c>
      <c r="J991" s="10" t="str">
        <f aca="false">IF($E991="","",UPPER(SUBSTITUTE($E991," ","")))</f>
        <v/>
      </c>
      <c r="K991" s="10" t="str">
        <f aca="false">IF($A991="","",$G991&amp;"|"&amp;$J991)</f>
        <v/>
      </c>
      <c r="L991" s="10" t="str">
        <f aca="false">IF($A991="","",ROW()-2)</f>
        <v/>
      </c>
      <c r="M991" s="10" t="str">
        <f aca="false">IF($A991="","",ROW())</f>
        <v/>
      </c>
    </row>
    <row r="992" customFormat="false" ht="15" hidden="false" customHeight="true" outlineLevel="0" collapsed="false">
      <c r="A992" s="8"/>
      <c r="B992" s="8"/>
      <c r="C992" s="8"/>
      <c r="D992" s="8"/>
      <c r="E992" s="8"/>
      <c r="F992" s="8"/>
      <c r="G992" s="10" t="str">
        <f aca="false">IF($A992="","",UPPER(SUBSTITUTE(SUBSTITUTE(SUBSTITUTE(SUBSTITUTE($A992," ",""),"(주)",""),"주식회사",""),"㈜","")))</f>
        <v/>
      </c>
      <c r="H992" s="10" t="str">
        <f aca="false">IF($B992="","",SUBSTITUTE(SUBSTITUTE(SUBSTITUTE($B992,"-","")," ",""),".",""))</f>
        <v/>
      </c>
      <c r="I992" s="10" t="str">
        <f aca="false">IF($D992="","",SUBSTITUTE(SUBSTITUTE(SUBSTITUTE($D992,"-","")," ",""),".",""))</f>
        <v/>
      </c>
      <c r="J992" s="10" t="str">
        <f aca="false">IF($E992="","",UPPER(SUBSTITUTE($E992," ","")))</f>
        <v/>
      </c>
      <c r="K992" s="10" t="str">
        <f aca="false">IF($A992="","",$G992&amp;"|"&amp;$J992)</f>
        <v/>
      </c>
      <c r="L992" s="10" t="str">
        <f aca="false">IF($A992="","",ROW()-2)</f>
        <v/>
      </c>
      <c r="M992" s="10" t="str">
        <f aca="false">IF($A992="","",ROW())</f>
        <v/>
      </c>
    </row>
    <row r="993" customFormat="false" ht="15" hidden="false" customHeight="true" outlineLevel="0" collapsed="false">
      <c r="A993" s="8"/>
      <c r="B993" s="8"/>
      <c r="C993" s="8"/>
      <c r="D993" s="8"/>
      <c r="E993" s="8"/>
      <c r="F993" s="8"/>
      <c r="G993" s="10" t="str">
        <f aca="false">IF($A993="","",UPPER(SUBSTITUTE(SUBSTITUTE(SUBSTITUTE(SUBSTITUTE($A993," ",""),"(주)",""),"주식회사",""),"㈜","")))</f>
        <v/>
      </c>
      <c r="H993" s="10" t="str">
        <f aca="false">IF($B993="","",SUBSTITUTE(SUBSTITUTE(SUBSTITUTE($B993,"-","")," ",""),".",""))</f>
        <v/>
      </c>
      <c r="I993" s="10" t="str">
        <f aca="false">IF($D993="","",SUBSTITUTE(SUBSTITUTE(SUBSTITUTE($D993,"-","")," ",""),".",""))</f>
        <v/>
      </c>
      <c r="J993" s="10" t="str">
        <f aca="false">IF($E993="","",UPPER(SUBSTITUTE($E993," ","")))</f>
        <v/>
      </c>
      <c r="K993" s="10" t="str">
        <f aca="false">IF($A993="","",$G993&amp;"|"&amp;$J993)</f>
        <v/>
      </c>
      <c r="L993" s="10" t="str">
        <f aca="false">IF($A993="","",ROW()-2)</f>
        <v/>
      </c>
      <c r="M993" s="10" t="str">
        <f aca="false">IF($A993="","",ROW())</f>
        <v/>
      </c>
    </row>
    <row r="994" customFormat="false" ht="15" hidden="false" customHeight="true" outlineLevel="0" collapsed="false">
      <c r="A994" s="8"/>
      <c r="B994" s="8"/>
      <c r="C994" s="8"/>
      <c r="D994" s="8"/>
      <c r="E994" s="8"/>
      <c r="F994" s="8"/>
      <c r="G994" s="10" t="str">
        <f aca="false">IF($A994="","",UPPER(SUBSTITUTE(SUBSTITUTE(SUBSTITUTE(SUBSTITUTE($A994," ",""),"(주)",""),"주식회사",""),"㈜","")))</f>
        <v/>
      </c>
      <c r="H994" s="10" t="str">
        <f aca="false">IF($B994="","",SUBSTITUTE(SUBSTITUTE(SUBSTITUTE($B994,"-","")," ",""),".",""))</f>
        <v/>
      </c>
      <c r="I994" s="10" t="str">
        <f aca="false">IF($D994="","",SUBSTITUTE(SUBSTITUTE(SUBSTITUTE($D994,"-","")," ",""),".",""))</f>
        <v/>
      </c>
      <c r="J994" s="10" t="str">
        <f aca="false">IF($E994="","",UPPER(SUBSTITUTE($E994," ","")))</f>
        <v/>
      </c>
      <c r="K994" s="10" t="str">
        <f aca="false">IF($A994="","",$G994&amp;"|"&amp;$J994)</f>
        <v/>
      </c>
      <c r="L994" s="10" t="str">
        <f aca="false">IF($A994="","",ROW()-2)</f>
        <v/>
      </c>
      <c r="M994" s="10" t="str">
        <f aca="false">IF($A994="","",ROW())</f>
        <v/>
      </c>
    </row>
    <row r="995" customFormat="false" ht="15" hidden="false" customHeight="true" outlineLevel="0" collapsed="false">
      <c r="A995" s="8"/>
      <c r="B995" s="8"/>
      <c r="C995" s="8"/>
      <c r="D995" s="8"/>
      <c r="E995" s="8"/>
      <c r="F995" s="8"/>
      <c r="G995" s="10" t="str">
        <f aca="false">IF($A995="","",UPPER(SUBSTITUTE(SUBSTITUTE(SUBSTITUTE(SUBSTITUTE($A995," ",""),"(주)",""),"주식회사",""),"㈜","")))</f>
        <v/>
      </c>
      <c r="H995" s="10" t="str">
        <f aca="false">IF($B995="","",SUBSTITUTE(SUBSTITUTE(SUBSTITUTE($B995,"-","")," ",""),".",""))</f>
        <v/>
      </c>
      <c r="I995" s="10" t="str">
        <f aca="false">IF($D995="","",SUBSTITUTE(SUBSTITUTE(SUBSTITUTE($D995,"-","")," ",""),".",""))</f>
        <v/>
      </c>
      <c r="J995" s="10" t="str">
        <f aca="false">IF($E995="","",UPPER(SUBSTITUTE($E995," ","")))</f>
        <v/>
      </c>
      <c r="K995" s="10" t="str">
        <f aca="false">IF($A995="","",$G995&amp;"|"&amp;$J995)</f>
        <v/>
      </c>
      <c r="L995" s="10" t="str">
        <f aca="false">IF($A995="","",ROW()-2)</f>
        <v/>
      </c>
      <c r="M995" s="10" t="str">
        <f aca="false">IF($A995="","",ROW())</f>
        <v/>
      </c>
    </row>
    <row r="996" customFormat="false" ht="15" hidden="false" customHeight="true" outlineLevel="0" collapsed="false">
      <c r="A996" s="8"/>
      <c r="B996" s="8"/>
      <c r="C996" s="8"/>
      <c r="D996" s="8"/>
      <c r="E996" s="8"/>
      <c r="F996" s="8"/>
      <c r="G996" s="10" t="str">
        <f aca="false">IF($A996="","",UPPER(SUBSTITUTE(SUBSTITUTE(SUBSTITUTE(SUBSTITUTE($A996," ",""),"(주)",""),"주식회사",""),"㈜","")))</f>
        <v/>
      </c>
      <c r="H996" s="10" t="str">
        <f aca="false">IF($B996="","",SUBSTITUTE(SUBSTITUTE(SUBSTITUTE($B996,"-","")," ",""),".",""))</f>
        <v/>
      </c>
      <c r="I996" s="10" t="str">
        <f aca="false">IF($D996="","",SUBSTITUTE(SUBSTITUTE(SUBSTITUTE($D996,"-","")," ",""),".",""))</f>
        <v/>
      </c>
      <c r="J996" s="10" t="str">
        <f aca="false">IF($E996="","",UPPER(SUBSTITUTE($E996," ","")))</f>
        <v/>
      </c>
      <c r="K996" s="10" t="str">
        <f aca="false">IF($A996="","",$G996&amp;"|"&amp;$J996)</f>
        <v/>
      </c>
      <c r="L996" s="10" t="str">
        <f aca="false">IF($A996="","",ROW()-2)</f>
        <v/>
      </c>
      <c r="M996" s="10" t="str">
        <f aca="false">IF($A996="","",ROW())</f>
        <v/>
      </c>
    </row>
    <row r="997" customFormat="false" ht="15" hidden="false" customHeight="true" outlineLevel="0" collapsed="false">
      <c r="A997" s="8"/>
      <c r="B997" s="8"/>
      <c r="C997" s="8"/>
      <c r="D997" s="8"/>
      <c r="E997" s="8"/>
      <c r="F997" s="8"/>
      <c r="G997" s="10" t="str">
        <f aca="false">IF($A997="","",UPPER(SUBSTITUTE(SUBSTITUTE(SUBSTITUTE(SUBSTITUTE($A997," ",""),"(주)",""),"주식회사",""),"㈜","")))</f>
        <v/>
      </c>
      <c r="H997" s="10" t="str">
        <f aca="false">IF($B997="","",SUBSTITUTE(SUBSTITUTE(SUBSTITUTE($B997,"-","")," ",""),".",""))</f>
        <v/>
      </c>
      <c r="I997" s="10" t="str">
        <f aca="false">IF($D997="","",SUBSTITUTE(SUBSTITUTE(SUBSTITUTE($D997,"-","")," ",""),".",""))</f>
        <v/>
      </c>
      <c r="J997" s="10" t="str">
        <f aca="false">IF($E997="","",UPPER(SUBSTITUTE($E997," ","")))</f>
        <v/>
      </c>
      <c r="K997" s="10" t="str">
        <f aca="false">IF($A997="","",$G997&amp;"|"&amp;$J997)</f>
        <v/>
      </c>
      <c r="L997" s="10" t="str">
        <f aca="false">IF($A997="","",ROW()-2)</f>
        <v/>
      </c>
      <c r="M997" s="10" t="str">
        <f aca="false">IF($A997="","",ROW())</f>
        <v/>
      </c>
    </row>
    <row r="998" customFormat="false" ht="15" hidden="false" customHeight="true" outlineLevel="0" collapsed="false">
      <c r="A998" s="8"/>
      <c r="B998" s="8"/>
      <c r="C998" s="8"/>
      <c r="D998" s="8"/>
      <c r="E998" s="8"/>
      <c r="F998" s="8"/>
      <c r="G998" s="10" t="str">
        <f aca="false">IF($A998="","",UPPER(SUBSTITUTE(SUBSTITUTE(SUBSTITUTE(SUBSTITUTE($A998," ",""),"(주)",""),"주식회사",""),"㈜","")))</f>
        <v/>
      </c>
      <c r="H998" s="10" t="str">
        <f aca="false">IF($B998="","",SUBSTITUTE(SUBSTITUTE(SUBSTITUTE($B998,"-","")," ",""),".",""))</f>
        <v/>
      </c>
      <c r="I998" s="10" t="str">
        <f aca="false">IF($D998="","",SUBSTITUTE(SUBSTITUTE(SUBSTITUTE($D998,"-","")," ",""),".",""))</f>
        <v/>
      </c>
      <c r="J998" s="10" t="str">
        <f aca="false">IF($E998="","",UPPER(SUBSTITUTE($E998," ","")))</f>
        <v/>
      </c>
      <c r="K998" s="10" t="str">
        <f aca="false">IF($A998="","",$G998&amp;"|"&amp;$J998)</f>
        <v/>
      </c>
      <c r="L998" s="10" t="str">
        <f aca="false">IF($A998="","",ROW()-2)</f>
        <v/>
      </c>
      <c r="M998" s="10" t="str">
        <f aca="false">IF($A998="","",ROW())</f>
        <v/>
      </c>
    </row>
    <row r="999" customFormat="false" ht="15" hidden="false" customHeight="true" outlineLevel="0" collapsed="false">
      <c r="A999" s="8"/>
      <c r="B999" s="8"/>
      <c r="C999" s="8"/>
      <c r="D999" s="8"/>
      <c r="E999" s="8"/>
      <c r="F999" s="8"/>
      <c r="G999" s="10" t="str">
        <f aca="false">IF($A999="","",UPPER(SUBSTITUTE(SUBSTITUTE(SUBSTITUTE(SUBSTITUTE($A999," ",""),"(주)",""),"주식회사",""),"㈜","")))</f>
        <v/>
      </c>
      <c r="H999" s="10" t="str">
        <f aca="false">IF($B999="","",SUBSTITUTE(SUBSTITUTE(SUBSTITUTE($B999,"-","")," ",""),".",""))</f>
        <v/>
      </c>
      <c r="I999" s="10" t="str">
        <f aca="false">IF($D999="","",SUBSTITUTE(SUBSTITUTE(SUBSTITUTE($D999,"-","")," ",""),".",""))</f>
        <v/>
      </c>
      <c r="J999" s="10" t="str">
        <f aca="false">IF($E999="","",UPPER(SUBSTITUTE($E999," ","")))</f>
        <v/>
      </c>
      <c r="K999" s="10" t="str">
        <f aca="false">IF($A999="","",$G999&amp;"|"&amp;$J999)</f>
        <v/>
      </c>
      <c r="L999" s="10" t="str">
        <f aca="false">IF($A999="","",ROW()-2)</f>
        <v/>
      </c>
      <c r="M999" s="10" t="str">
        <f aca="false">IF($A999="","",ROW())</f>
        <v/>
      </c>
    </row>
    <row r="1000" customFormat="false" ht="15" hidden="false" customHeight="true" outlineLevel="0" collapsed="false">
      <c r="A1000" s="8"/>
      <c r="B1000" s="8"/>
      <c r="C1000" s="8"/>
      <c r="D1000" s="8"/>
      <c r="E1000" s="8"/>
      <c r="F1000" s="8"/>
      <c r="G1000" s="10" t="str">
        <f aca="false">IF($A1000="","",UPPER(SUBSTITUTE(SUBSTITUTE(SUBSTITUTE(SUBSTITUTE($A1000," ",""),"(주)",""),"주식회사",""),"㈜","")))</f>
        <v/>
      </c>
      <c r="H1000" s="10" t="str">
        <f aca="false">IF($B1000="","",SUBSTITUTE(SUBSTITUTE(SUBSTITUTE($B1000,"-","")," ",""),".",""))</f>
        <v/>
      </c>
      <c r="I1000" s="10" t="str">
        <f aca="false">IF($D1000="","",SUBSTITUTE(SUBSTITUTE(SUBSTITUTE($D1000,"-","")," ",""),".",""))</f>
        <v/>
      </c>
      <c r="J1000" s="10" t="str">
        <f aca="false">IF($E1000="","",UPPER(SUBSTITUTE($E1000," ","")))</f>
        <v/>
      </c>
      <c r="K1000" s="10" t="str">
        <f aca="false">IF($A1000="","",$G1000&amp;"|"&amp;$J1000)</f>
        <v/>
      </c>
      <c r="L1000" s="10" t="str">
        <f aca="false">IF($A1000="","",ROW()-2)</f>
        <v/>
      </c>
      <c r="M1000" s="10" t="str">
        <f aca="false">IF($A1000="","",ROW())</f>
        <v/>
      </c>
    </row>
    <row r="1001" customFormat="false" ht="15" hidden="false" customHeight="true" outlineLevel="0" collapsed="false">
      <c r="A1001" s="8"/>
      <c r="B1001" s="8"/>
      <c r="C1001" s="8"/>
      <c r="D1001" s="8"/>
      <c r="E1001" s="8"/>
      <c r="F1001" s="8"/>
      <c r="G1001" s="10" t="str">
        <f aca="false">IF($A1001="","",UPPER(SUBSTITUTE(SUBSTITUTE(SUBSTITUTE(SUBSTITUTE($A1001," ",""),"(주)",""),"주식회사",""),"㈜","")))</f>
        <v/>
      </c>
      <c r="H1001" s="10" t="str">
        <f aca="false">IF($B1001="","",SUBSTITUTE(SUBSTITUTE(SUBSTITUTE($B1001,"-","")," ",""),".",""))</f>
        <v/>
      </c>
      <c r="I1001" s="10" t="str">
        <f aca="false">IF($D1001="","",SUBSTITUTE(SUBSTITUTE(SUBSTITUTE($D1001,"-","")," ",""),".",""))</f>
        <v/>
      </c>
      <c r="J1001" s="10" t="str">
        <f aca="false">IF($E1001="","",UPPER(SUBSTITUTE($E1001," ","")))</f>
        <v/>
      </c>
      <c r="K1001" s="10" t="str">
        <f aca="false">IF($A1001="","",$G1001&amp;"|"&amp;$J1001)</f>
        <v/>
      </c>
      <c r="L1001" s="10" t="str">
        <f aca="false">IF($A1001="","",ROW()-2)</f>
        <v/>
      </c>
      <c r="M1001" s="10" t="str">
        <f aca="false">IF($A1001="","",ROW())</f>
        <v/>
      </c>
    </row>
    <row r="1002" customFormat="false" ht="15" hidden="false" customHeight="true" outlineLevel="0" collapsed="false">
      <c r="A1002" s="8"/>
      <c r="B1002" s="8"/>
      <c r="C1002" s="8"/>
      <c r="D1002" s="8"/>
      <c r="E1002" s="8"/>
      <c r="F1002" s="8"/>
      <c r="G1002" s="10" t="str">
        <f aca="false">IF($A1002="","",UPPER(SUBSTITUTE(SUBSTITUTE(SUBSTITUTE(SUBSTITUTE($A1002," ",""),"(주)",""),"주식회사",""),"㈜","")))</f>
        <v/>
      </c>
      <c r="H1002" s="10" t="str">
        <f aca="false">IF($B1002="","",SUBSTITUTE(SUBSTITUTE(SUBSTITUTE($B1002,"-","")," ",""),".",""))</f>
        <v/>
      </c>
      <c r="I1002" s="10" t="str">
        <f aca="false">IF($D1002="","",SUBSTITUTE(SUBSTITUTE(SUBSTITUTE($D1002,"-","")," ",""),".",""))</f>
        <v/>
      </c>
      <c r="J1002" s="10" t="str">
        <f aca="false">IF($E1002="","",UPPER(SUBSTITUTE($E1002," ","")))</f>
        <v/>
      </c>
      <c r="K1002" s="10" t="str">
        <f aca="false">IF($A1002="","",$G1002&amp;"|"&amp;$J1002)</f>
        <v/>
      </c>
      <c r="L1002" s="10" t="str">
        <f aca="false">IF($A1002="","",ROW()-2)</f>
        <v/>
      </c>
      <c r="M1002" s="10" t="str">
        <f aca="false">IF($A1002="","",ROW())</f>
        <v/>
      </c>
    </row>
    <row r="1003" customFormat="false" ht="15" hidden="false" customHeight="true" outlineLevel="0" collapsed="false">
      <c r="A1003" s="8"/>
      <c r="B1003" s="8"/>
      <c r="C1003" s="8"/>
      <c r="D1003" s="8"/>
      <c r="E1003" s="8"/>
      <c r="F1003" s="8"/>
      <c r="G1003" s="10" t="str">
        <f aca="false">IF($A1003="","",UPPER(SUBSTITUTE(SUBSTITUTE(SUBSTITUTE(SUBSTITUTE($A1003," ",""),"(주)",""),"주식회사",""),"㈜","")))</f>
        <v/>
      </c>
      <c r="H1003" s="10" t="str">
        <f aca="false">IF($B1003="","",SUBSTITUTE(SUBSTITUTE(SUBSTITUTE($B1003,"-","")," ",""),".",""))</f>
        <v/>
      </c>
      <c r="I1003" s="10" t="str">
        <f aca="false">IF($D1003="","",SUBSTITUTE(SUBSTITUTE(SUBSTITUTE($D1003,"-","")," ",""),".",""))</f>
        <v/>
      </c>
      <c r="J1003" s="10" t="str">
        <f aca="false">IF($E1003="","",UPPER(SUBSTITUTE($E1003," ","")))</f>
        <v/>
      </c>
      <c r="K1003" s="10" t="str">
        <f aca="false">IF($A1003="","",$G1003&amp;"|"&amp;$J1003)</f>
        <v/>
      </c>
      <c r="L1003" s="10" t="str">
        <f aca="false">IF($A1003="","",ROW()-2)</f>
        <v/>
      </c>
      <c r="M1003" s="10" t="str">
        <f aca="false">IF($A1003="","",ROW())</f>
        <v/>
      </c>
    </row>
    <row r="1004" customFormat="false" ht="15" hidden="false" customHeight="true" outlineLevel="0" collapsed="false">
      <c r="A1004" s="8"/>
      <c r="B1004" s="8"/>
      <c r="C1004" s="8"/>
      <c r="D1004" s="8"/>
      <c r="E1004" s="8"/>
      <c r="F1004" s="8"/>
      <c r="G1004" s="10" t="str">
        <f aca="false">IF($A1004="","",UPPER(SUBSTITUTE(SUBSTITUTE(SUBSTITUTE(SUBSTITUTE($A1004," ",""),"(주)",""),"주식회사",""),"㈜","")))</f>
        <v/>
      </c>
      <c r="H1004" s="10" t="str">
        <f aca="false">IF($B1004="","",SUBSTITUTE(SUBSTITUTE(SUBSTITUTE($B1004,"-","")," ",""),".",""))</f>
        <v/>
      </c>
      <c r="I1004" s="10" t="str">
        <f aca="false">IF($D1004="","",SUBSTITUTE(SUBSTITUTE(SUBSTITUTE($D1004,"-","")," ",""),".",""))</f>
        <v/>
      </c>
      <c r="J1004" s="10" t="str">
        <f aca="false">IF($E1004="","",UPPER(SUBSTITUTE($E1004," ","")))</f>
        <v/>
      </c>
      <c r="K1004" s="10" t="str">
        <f aca="false">IF($A1004="","",$G1004&amp;"|"&amp;$J1004)</f>
        <v/>
      </c>
      <c r="L1004" s="10" t="str">
        <f aca="false">IF($A1004="","",ROW()-2)</f>
        <v/>
      </c>
      <c r="M1004" s="10" t="str">
        <f aca="false">IF($A1004="","",ROW())</f>
        <v/>
      </c>
    </row>
    <row r="1005" customFormat="false" ht="15" hidden="false" customHeight="true" outlineLevel="0" collapsed="false">
      <c r="A1005" s="8"/>
      <c r="B1005" s="8"/>
      <c r="C1005" s="8"/>
      <c r="D1005" s="8"/>
      <c r="E1005" s="8"/>
      <c r="F1005" s="8"/>
      <c r="G1005" s="10" t="str">
        <f aca="false">IF($A1005="","",UPPER(SUBSTITUTE(SUBSTITUTE(SUBSTITUTE(SUBSTITUTE($A1005," ",""),"(주)",""),"주식회사",""),"㈜","")))</f>
        <v/>
      </c>
      <c r="H1005" s="10" t="str">
        <f aca="false">IF($B1005="","",SUBSTITUTE(SUBSTITUTE(SUBSTITUTE($B1005,"-","")," ",""),".",""))</f>
        <v/>
      </c>
      <c r="I1005" s="10" t="str">
        <f aca="false">IF($D1005="","",SUBSTITUTE(SUBSTITUTE(SUBSTITUTE($D1005,"-","")," ",""),".",""))</f>
        <v/>
      </c>
      <c r="J1005" s="10" t="str">
        <f aca="false">IF($E1005="","",UPPER(SUBSTITUTE($E1005," ","")))</f>
        <v/>
      </c>
      <c r="K1005" s="10" t="str">
        <f aca="false">IF($A1005="","",$G1005&amp;"|"&amp;$J1005)</f>
        <v/>
      </c>
      <c r="L1005" s="10" t="str">
        <f aca="false">IF($A1005="","",ROW()-2)</f>
        <v/>
      </c>
      <c r="M1005" s="10" t="str">
        <f aca="false">IF($A1005="","",ROW())</f>
        <v/>
      </c>
    </row>
    <row r="1006" customFormat="false" ht="15" hidden="false" customHeight="true" outlineLevel="0" collapsed="false">
      <c r="A1006" s="8"/>
      <c r="B1006" s="8"/>
      <c r="C1006" s="8"/>
      <c r="D1006" s="8"/>
      <c r="E1006" s="8"/>
      <c r="F1006" s="8"/>
      <c r="G1006" s="10" t="str">
        <f aca="false">IF($A1006="","",UPPER(SUBSTITUTE(SUBSTITUTE(SUBSTITUTE(SUBSTITUTE($A1006," ",""),"(주)",""),"주식회사",""),"㈜","")))</f>
        <v/>
      </c>
      <c r="H1006" s="10" t="str">
        <f aca="false">IF($B1006="","",SUBSTITUTE(SUBSTITUTE(SUBSTITUTE($B1006,"-","")," ",""),".",""))</f>
        <v/>
      </c>
      <c r="I1006" s="10" t="str">
        <f aca="false">IF($D1006="","",SUBSTITUTE(SUBSTITUTE(SUBSTITUTE($D1006,"-","")," ",""),".",""))</f>
        <v/>
      </c>
      <c r="J1006" s="10" t="str">
        <f aca="false">IF($E1006="","",UPPER(SUBSTITUTE($E1006," ","")))</f>
        <v/>
      </c>
      <c r="K1006" s="10" t="str">
        <f aca="false">IF($A1006="","",$G1006&amp;"|"&amp;$J1006)</f>
        <v/>
      </c>
      <c r="L1006" s="10" t="str">
        <f aca="false">IF($A1006="","",ROW()-2)</f>
        <v/>
      </c>
      <c r="M1006" s="10" t="str">
        <f aca="false">IF($A1006="","",ROW())</f>
        <v/>
      </c>
    </row>
    <row r="1007" customFormat="false" ht="15" hidden="false" customHeight="true" outlineLevel="0" collapsed="false">
      <c r="A1007" s="8"/>
      <c r="B1007" s="8"/>
      <c r="C1007" s="8"/>
      <c r="D1007" s="8"/>
      <c r="E1007" s="8"/>
      <c r="F1007" s="8"/>
      <c r="G1007" s="10" t="str">
        <f aca="false">IF($A1007="","",UPPER(SUBSTITUTE(SUBSTITUTE(SUBSTITUTE(SUBSTITUTE($A1007," ",""),"(주)",""),"주식회사",""),"㈜","")))</f>
        <v/>
      </c>
      <c r="H1007" s="10" t="str">
        <f aca="false">IF($B1007="","",SUBSTITUTE(SUBSTITUTE(SUBSTITUTE($B1007,"-","")," ",""),".",""))</f>
        <v/>
      </c>
      <c r="I1007" s="10" t="str">
        <f aca="false">IF($D1007="","",SUBSTITUTE(SUBSTITUTE(SUBSTITUTE($D1007,"-","")," ",""),".",""))</f>
        <v/>
      </c>
      <c r="J1007" s="10" t="str">
        <f aca="false">IF($E1007="","",UPPER(SUBSTITUTE($E1007," ","")))</f>
        <v/>
      </c>
      <c r="K1007" s="10" t="str">
        <f aca="false">IF($A1007="","",$G1007&amp;"|"&amp;$J1007)</f>
        <v/>
      </c>
      <c r="L1007" s="10" t="str">
        <f aca="false">IF($A1007="","",ROW()-2)</f>
        <v/>
      </c>
      <c r="M1007" s="10" t="str">
        <f aca="false">IF($A1007="","",ROW())</f>
        <v/>
      </c>
    </row>
    <row r="1008" customFormat="false" ht="15" hidden="false" customHeight="true" outlineLevel="0" collapsed="false">
      <c r="A1008" s="8"/>
      <c r="B1008" s="8"/>
      <c r="C1008" s="8"/>
      <c r="D1008" s="8"/>
      <c r="E1008" s="8"/>
      <c r="F1008" s="8"/>
      <c r="G1008" s="10" t="str">
        <f aca="false">IF($A1008="","",UPPER(SUBSTITUTE(SUBSTITUTE(SUBSTITUTE(SUBSTITUTE($A1008," ",""),"(주)",""),"주식회사",""),"㈜","")))</f>
        <v/>
      </c>
      <c r="H1008" s="10" t="str">
        <f aca="false">IF($B1008="","",SUBSTITUTE(SUBSTITUTE(SUBSTITUTE($B1008,"-","")," ",""),".",""))</f>
        <v/>
      </c>
      <c r="I1008" s="10" t="str">
        <f aca="false">IF($D1008="","",SUBSTITUTE(SUBSTITUTE(SUBSTITUTE($D1008,"-","")," ",""),".",""))</f>
        <v/>
      </c>
      <c r="J1008" s="10" t="str">
        <f aca="false">IF($E1008="","",UPPER(SUBSTITUTE($E1008," ","")))</f>
        <v/>
      </c>
      <c r="K1008" s="10" t="str">
        <f aca="false">IF($A1008="","",$G1008&amp;"|"&amp;$J1008)</f>
        <v/>
      </c>
      <c r="L1008" s="10" t="str">
        <f aca="false">IF($A1008="","",ROW()-2)</f>
        <v/>
      </c>
      <c r="M1008" s="10" t="str">
        <f aca="false">IF($A1008="","",ROW())</f>
        <v/>
      </c>
    </row>
    <row r="1009" customFormat="false" ht="15" hidden="false" customHeight="true" outlineLevel="0" collapsed="false">
      <c r="A1009" s="8"/>
      <c r="B1009" s="8"/>
      <c r="C1009" s="8"/>
      <c r="D1009" s="8"/>
      <c r="E1009" s="8"/>
      <c r="F1009" s="8"/>
      <c r="G1009" s="10" t="str">
        <f aca="false">IF($A1009="","",UPPER(SUBSTITUTE(SUBSTITUTE(SUBSTITUTE(SUBSTITUTE($A1009," ",""),"(주)",""),"주식회사",""),"㈜","")))</f>
        <v/>
      </c>
      <c r="H1009" s="10" t="str">
        <f aca="false">IF($B1009="","",SUBSTITUTE(SUBSTITUTE(SUBSTITUTE($B1009,"-","")," ",""),".",""))</f>
        <v/>
      </c>
      <c r="I1009" s="10" t="str">
        <f aca="false">IF($D1009="","",SUBSTITUTE(SUBSTITUTE(SUBSTITUTE($D1009,"-","")," ",""),".",""))</f>
        <v/>
      </c>
      <c r="J1009" s="10" t="str">
        <f aca="false">IF($E1009="","",UPPER(SUBSTITUTE($E1009," ","")))</f>
        <v/>
      </c>
      <c r="K1009" s="10" t="str">
        <f aca="false">IF($A1009="","",$G1009&amp;"|"&amp;$J1009)</f>
        <v/>
      </c>
      <c r="L1009" s="10" t="str">
        <f aca="false">IF($A1009="","",ROW()-2)</f>
        <v/>
      </c>
      <c r="M1009" s="10" t="str">
        <f aca="false">IF($A1009="","",ROW())</f>
        <v/>
      </c>
    </row>
    <row r="1010" customFormat="false" ht="15" hidden="false" customHeight="true" outlineLevel="0" collapsed="false">
      <c r="A1010" s="8"/>
      <c r="B1010" s="8"/>
      <c r="C1010" s="8"/>
      <c r="D1010" s="8"/>
      <c r="E1010" s="8"/>
      <c r="F1010" s="8"/>
      <c r="G1010" s="10" t="str">
        <f aca="false">IF($A1010="","",UPPER(SUBSTITUTE(SUBSTITUTE(SUBSTITUTE(SUBSTITUTE($A1010," ",""),"(주)",""),"주식회사",""),"㈜","")))</f>
        <v/>
      </c>
      <c r="H1010" s="10" t="str">
        <f aca="false">IF($B1010="","",SUBSTITUTE(SUBSTITUTE(SUBSTITUTE($B1010,"-","")," ",""),".",""))</f>
        <v/>
      </c>
      <c r="I1010" s="10" t="str">
        <f aca="false">IF($D1010="","",SUBSTITUTE(SUBSTITUTE(SUBSTITUTE($D1010,"-","")," ",""),".",""))</f>
        <v/>
      </c>
      <c r="J1010" s="10" t="str">
        <f aca="false">IF($E1010="","",UPPER(SUBSTITUTE($E1010," ","")))</f>
        <v/>
      </c>
      <c r="K1010" s="10" t="str">
        <f aca="false">IF($A1010="","",$G1010&amp;"|"&amp;$J1010)</f>
        <v/>
      </c>
      <c r="L1010" s="10" t="str">
        <f aca="false">IF($A1010="","",ROW()-2)</f>
        <v/>
      </c>
      <c r="M1010" s="10" t="str">
        <f aca="false">IF($A1010="","",ROW())</f>
        <v/>
      </c>
    </row>
    <row r="1011" customFormat="false" ht="15" hidden="false" customHeight="true" outlineLevel="0" collapsed="false">
      <c r="A1011" s="8"/>
      <c r="B1011" s="8"/>
      <c r="C1011" s="8"/>
      <c r="D1011" s="8"/>
      <c r="E1011" s="8"/>
      <c r="F1011" s="8"/>
      <c r="G1011" s="10" t="str">
        <f aca="false">IF($A1011="","",UPPER(SUBSTITUTE(SUBSTITUTE(SUBSTITUTE(SUBSTITUTE($A1011," ",""),"(주)",""),"주식회사",""),"㈜","")))</f>
        <v/>
      </c>
      <c r="H1011" s="10" t="str">
        <f aca="false">IF($B1011="","",SUBSTITUTE(SUBSTITUTE(SUBSTITUTE($B1011,"-","")," ",""),".",""))</f>
        <v/>
      </c>
      <c r="I1011" s="10" t="str">
        <f aca="false">IF($D1011="","",SUBSTITUTE(SUBSTITUTE(SUBSTITUTE($D1011,"-","")," ",""),".",""))</f>
        <v/>
      </c>
      <c r="J1011" s="10" t="str">
        <f aca="false">IF($E1011="","",UPPER(SUBSTITUTE($E1011," ","")))</f>
        <v/>
      </c>
      <c r="K1011" s="10" t="str">
        <f aca="false">IF($A1011="","",$G1011&amp;"|"&amp;$J1011)</f>
        <v/>
      </c>
      <c r="L1011" s="10" t="str">
        <f aca="false">IF($A1011="","",ROW()-2)</f>
        <v/>
      </c>
      <c r="M1011" s="10" t="str">
        <f aca="false">IF($A1011="","",ROW())</f>
        <v/>
      </c>
    </row>
    <row r="1012" customFormat="false" ht="15" hidden="false" customHeight="true" outlineLevel="0" collapsed="false">
      <c r="A1012" s="8"/>
      <c r="B1012" s="8"/>
      <c r="C1012" s="8"/>
      <c r="D1012" s="8"/>
      <c r="E1012" s="8"/>
      <c r="F1012" s="8"/>
      <c r="G1012" s="10" t="str">
        <f aca="false">IF($A1012="","",UPPER(SUBSTITUTE(SUBSTITUTE(SUBSTITUTE(SUBSTITUTE($A1012," ",""),"(주)",""),"주식회사",""),"㈜","")))</f>
        <v/>
      </c>
      <c r="H1012" s="10" t="str">
        <f aca="false">IF($B1012="","",SUBSTITUTE(SUBSTITUTE(SUBSTITUTE($B1012,"-","")," ",""),".",""))</f>
        <v/>
      </c>
      <c r="I1012" s="10" t="str">
        <f aca="false">IF($D1012="","",SUBSTITUTE(SUBSTITUTE(SUBSTITUTE($D1012,"-","")," ",""),".",""))</f>
        <v/>
      </c>
      <c r="J1012" s="10" t="str">
        <f aca="false">IF($E1012="","",UPPER(SUBSTITUTE($E1012," ","")))</f>
        <v/>
      </c>
      <c r="K1012" s="10" t="str">
        <f aca="false">IF($A1012="","",$G1012&amp;"|"&amp;$J1012)</f>
        <v/>
      </c>
      <c r="L1012" s="10" t="str">
        <f aca="false">IF($A1012="","",ROW()-2)</f>
        <v/>
      </c>
      <c r="M1012" s="10" t="str">
        <f aca="false">IF($A1012="","",ROW())</f>
        <v/>
      </c>
    </row>
    <row r="1013" customFormat="false" ht="15" hidden="false" customHeight="true" outlineLevel="0" collapsed="false">
      <c r="A1013" s="8"/>
      <c r="B1013" s="8"/>
      <c r="C1013" s="8"/>
      <c r="D1013" s="8"/>
      <c r="E1013" s="8"/>
      <c r="F1013" s="8"/>
      <c r="G1013" s="10" t="str">
        <f aca="false">IF($A1013="","",UPPER(SUBSTITUTE(SUBSTITUTE(SUBSTITUTE(SUBSTITUTE($A1013," ",""),"(주)",""),"주식회사",""),"㈜","")))</f>
        <v/>
      </c>
      <c r="H1013" s="10" t="str">
        <f aca="false">IF($B1013="","",SUBSTITUTE(SUBSTITUTE(SUBSTITUTE($B1013,"-","")," ",""),".",""))</f>
        <v/>
      </c>
      <c r="I1013" s="10" t="str">
        <f aca="false">IF($D1013="","",SUBSTITUTE(SUBSTITUTE(SUBSTITUTE($D1013,"-","")," ",""),".",""))</f>
        <v/>
      </c>
      <c r="J1013" s="10" t="str">
        <f aca="false">IF($E1013="","",UPPER(SUBSTITUTE($E1013," ","")))</f>
        <v/>
      </c>
      <c r="K1013" s="10" t="str">
        <f aca="false">IF($A1013="","",$G1013&amp;"|"&amp;$J1013)</f>
        <v/>
      </c>
      <c r="L1013" s="10" t="str">
        <f aca="false">IF($A1013="","",ROW()-2)</f>
        <v/>
      </c>
      <c r="M1013" s="10" t="str">
        <f aca="false">IF($A1013="","",ROW())</f>
        <v/>
      </c>
    </row>
    <row r="1014" customFormat="false" ht="15" hidden="false" customHeight="true" outlineLevel="0" collapsed="false">
      <c r="A1014" s="8"/>
      <c r="B1014" s="8"/>
      <c r="C1014" s="8"/>
      <c r="D1014" s="8"/>
      <c r="E1014" s="8"/>
      <c r="F1014" s="8"/>
      <c r="G1014" s="10" t="str">
        <f aca="false">IF($A1014="","",UPPER(SUBSTITUTE(SUBSTITUTE(SUBSTITUTE(SUBSTITUTE($A1014," ",""),"(주)",""),"주식회사",""),"㈜","")))</f>
        <v/>
      </c>
      <c r="H1014" s="10" t="str">
        <f aca="false">IF($B1014="","",SUBSTITUTE(SUBSTITUTE(SUBSTITUTE($B1014,"-","")," ",""),".",""))</f>
        <v/>
      </c>
      <c r="I1014" s="10" t="str">
        <f aca="false">IF($D1014="","",SUBSTITUTE(SUBSTITUTE(SUBSTITUTE($D1014,"-","")," ",""),".",""))</f>
        <v/>
      </c>
      <c r="J1014" s="10" t="str">
        <f aca="false">IF($E1014="","",UPPER(SUBSTITUTE($E1014," ","")))</f>
        <v/>
      </c>
      <c r="K1014" s="10" t="str">
        <f aca="false">IF($A1014="","",$G1014&amp;"|"&amp;$J1014)</f>
        <v/>
      </c>
      <c r="L1014" s="10" t="str">
        <f aca="false">IF($A1014="","",ROW()-2)</f>
        <v/>
      </c>
      <c r="M1014" s="10" t="str">
        <f aca="false">IF($A1014="","",ROW())</f>
        <v/>
      </c>
    </row>
    <row r="1015" customFormat="false" ht="15" hidden="false" customHeight="true" outlineLevel="0" collapsed="false">
      <c r="A1015" s="8"/>
      <c r="B1015" s="8"/>
      <c r="C1015" s="8"/>
      <c r="D1015" s="8"/>
      <c r="E1015" s="8"/>
      <c r="F1015" s="8"/>
      <c r="G1015" s="10" t="str">
        <f aca="false">IF($A1015="","",UPPER(SUBSTITUTE(SUBSTITUTE(SUBSTITUTE(SUBSTITUTE($A1015," ",""),"(주)",""),"주식회사",""),"㈜","")))</f>
        <v/>
      </c>
      <c r="H1015" s="10" t="str">
        <f aca="false">IF($B1015="","",SUBSTITUTE(SUBSTITUTE(SUBSTITUTE($B1015,"-","")," ",""),".",""))</f>
        <v/>
      </c>
      <c r="I1015" s="10" t="str">
        <f aca="false">IF($D1015="","",SUBSTITUTE(SUBSTITUTE(SUBSTITUTE($D1015,"-","")," ",""),".",""))</f>
        <v/>
      </c>
      <c r="J1015" s="10" t="str">
        <f aca="false">IF($E1015="","",UPPER(SUBSTITUTE($E1015," ","")))</f>
        <v/>
      </c>
      <c r="K1015" s="10" t="str">
        <f aca="false">IF($A1015="","",$G1015&amp;"|"&amp;$J1015)</f>
        <v/>
      </c>
      <c r="L1015" s="10" t="str">
        <f aca="false">IF($A1015="","",ROW()-2)</f>
        <v/>
      </c>
      <c r="M1015" s="10" t="str">
        <f aca="false">IF($A1015="","",ROW())</f>
        <v/>
      </c>
    </row>
    <row r="1016" customFormat="false" ht="15" hidden="false" customHeight="true" outlineLevel="0" collapsed="false">
      <c r="A1016" s="8"/>
      <c r="B1016" s="8"/>
      <c r="C1016" s="8"/>
      <c r="D1016" s="8"/>
      <c r="E1016" s="8"/>
      <c r="F1016" s="8"/>
      <c r="G1016" s="10" t="str">
        <f aca="false">IF($A1016="","",UPPER(SUBSTITUTE(SUBSTITUTE(SUBSTITUTE(SUBSTITUTE($A1016," ",""),"(주)",""),"주식회사",""),"㈜","")))</f>
        <v/>
      </c>
      <c r="H1016" s="10" t="str">
        <f aca="false">IF($B1016="","",SUBSTITUTE(SUBSTITUTE(SUBSTITUTE($B1016,"-","")," ",""),".",""))</f>
        <v/>
      </c>
      <c r="I1016" s="10" t="str">
        <f aca="false">IF($D1016="","",SUBSTITUTE(SUBSTITUTE(SUBSTITUTE($D1016,"-","")," ",""),".",""))</f>
        <v/>
      </c>
      <c r="J1016" s="10" t="str">
        <f aca="false">IF($E1016="","",UPPER(SUBSTITUTE($E1016," ","")))</f>
        <v/>
      </c>
      <c r="K1016" s="10" t="str">
        <f aca="false">IF($A1016="","",$G1016&amp;"|"&amp;$J1016)</f>
        <v/>
      </c>
      <c r="L1016" s="10" t="str">
        <f aca="false">IF($A1016="","",ROW()-2)</f>
        <v/>
      </c>
      <c r="M1016" s="10" t="str">
        <f aca="false">IF($A1016="","",ROW())</f>
        <v/>
      </c>
    </row>
    <row r="1017" customFormat="false" ht="15" hidden="false" customHeight="true" outlineLevel="0" collapsed="false">
      <c r="A1017" s="8"/>
      <c r="B1017" s="8"/>
      <c r="C1017" s="8"/>
      <c r="D1017" s="8"/>
      <c r="E1017" s="8"/>
      <c r="F1017" s="8"/>
      <c r="G1017" s="10" t="str">
        <f aca="false">IF($A1017="","",UPPER(SUBSTITUTE(SUBSTITUTE(SUBSTITUTE(SUBSTITUTE($A1017," ",""),"(주)",""),"주식회사",""),"㈜","")))</f>
        <v/>
      </c>
      <c r="H1017" s="10" t="str">
        <f aca="false">IF($B1017="","",SUBSTITUTE(SUBSTITUTE(SUBSTITUTE($B1017,"-","")," ",""),".",""))</f>
        <v/>
      </c>
      <c r="I1017" s="10" t="str">
        <f aca="false">IF($D1017="","",SUBSTITUTE(SUBSTITUTE(SUBSTITUTE($D1017,"-","")," ",""),".",""))</f>
        <v/>
      </c>
      <c r="J1017" s="10" t="str">
        <f aca="false">IF($E1017="","",UPPER(SUBSTITUTE($E1017," ","")))</f>
        <v/>
      </c>
      <c r="K1017" s="10" t="str">
        <f aca="false">IF($A1017="","",$G1017&amp;"|"&amp;$J1017)</f>
        <v/>
      </c>
      <c r="L1017" s="10" t="str">
        <f aca="false">IF($A1017="","",ROW()-2)</f>
        <v/>
      </c>
      <c r="M1017" s="10" t="str">
        <f aca="false">IF($A1017="","",ROW())</f>
        <v/>
      </c>
    </row>
    <row r="1018" customFormat="false" ht="15" hidden="false" customHeight="true" outlineLevel="0" collapsed="false">
      <c r="A1018" s="8"/>
      <c r="B1018" s="8"/>
      <c r="C1018" s="8"/>
      <c r="D1018" s="8"/>
      <c r="E1018" s="8"/>
      <c r="F1018" s="8"/>
      <c r="G1018" s="10" t="str">
        <f aca="false">IF($A1018="","",UPPER(SUBSTITUTE(SUBSTITUTE(SUBSTITUTE(SUBSTITUTE($A1018," ",""),"(주)",""),"주식회사",""),"㈜","")))</f>
        <v/>
      </c>
      <c r="H1018" s="10" t="str">
        <f aca="false">IF($B1018="","",SUBSTITUTE(SUBSTITUTE(SUBSTITUTE($B1018,"-","")," ",""),".",""))</f>
        <v/>
      </c>
      <c r="I1018" s="10" t="str">
        <f aca="false">IF($D1018="","",SUBSTITUTE(SUBSTITUTE(SUBSTITUTE($D1018,"-","")," ",""),".",""))</f>
        <v/>
      </c>
      <c r="J1018" s="10" t="str">
        <f aca="false">IF($E1018="","",UPPER(SUBSTITUTE($E1018," ","")))</f>
        <v/>
      </c>
      <c r="K1018" s="10" t="str">
        <f aca="false">IF($A1018="","",$G1018&amp;"|"&amp;$J1018)</f>
        <v/>
      </c>
      <c r="L1018" s="10" t="str">
        <f aca="false">IF($A1018="","",ROW()-2)</f>
        <v/>
      </c>
      <c r="M1018" s="10" t="str">
        <f aca="false">IF($A1018="","",ROW())</f>
        <v/>
      </c>
    </row>
    <row r="1019" customFormat="false" ht="15" hidden="false" customHeight="true" outlineLevel="0" collapsed="false">
      <c r="A1019" s="8"/>
      <c r="B1019" s="8"/>
      <c r="C1019" s="8"/>
      <c r="D1019" s="8"/>
      <c r="E1019" s="8"/>
      <c r="F1019" s="8"/>
      <c r="G1019" s="10" t="str">
        <f aca="false">IF($A1019="","",UPPER(SUBSTITUTE(SUBSTITUTE(SUBSTITUTE(SUBSTITUTE($A1019," ",""),"(주)",""),"주식회사",""),"㈜","")))</f>
        <v/>
      </c>
      <c r="H1019" s="10" t="str">
        <f aca="false">IF($B1019="","",SUBSTITUTE(SUBSTITUTE(SUBSTITUTE($B1019,"-","")," ",""),".",""))</f>
        <v/>
      </c>
      <c r="I1019" s="10" t="str">
        <f aca="false">IF($D1019="","",SUBSTITUTE(SUBSTITUTE(SUBSTITUTE($D1019,"-","")," ",""),".",""))</f>
        <v/>
      </c>
      <c r="J1019" s="10" t="str">
        <f aca="false">IF($E1019="","",UPPER(SUBSTITUTE($E1019," ","")))</f>
        <v/>
      </c>
      <c r="K1019" s="10" t="str">
        <f aca="false">IF($A1019="","",$G1019&amp;"|"&amp;$J1019)</f>
        <v/>
      </c>
      <c r="L1019" s="10" t="str">
        <f aca="false">IF($A1019="","",ROW()-2)</f>
        <v/>
      </c>
      <c r="M1019" s="10" t="str">
        <f aca="false">IF($A1019="","",ROW())</f>
        <v/>
      </c>
    </row>
    <row r="1020" customFormat="false" ht="15" hidden="false" customHeight="true" outlineLevel="0" collapsed="false">
      <c r="A1020" s="8"/>
      <c r="B1020" s="8"/>
      <c r="C1020" s="8"/>
      <c r="D1020" s="8"/>
      <c r="E1020" s="8"/>
      <c r="F1020" s="8"/>
      <c r="G1020" s="10" t="str">
        <f aca="false">IF($A1020="","",UPPER(SUBSTITUTE(SUBSTITUTE(SUBSTITUTE(SUBSTITUTE($A1020," ",""),"(주)",""),"주식회사",""),"㈜","")))</f>
        <v/>
      </c>
      <c r="H1020" s="10" t="str">
        <f aca="false">IF($B1020="","",SUBSTITUTE(SUBSTITUTE(SUBSTITUTE($B1020,"-","")," ",""),".",""))</f>
        <v/>
      </c>
      <c r="I1020" s="10" t="str">
        <f aca="false">IF($D1020="","",SUBSTITUTE(SUBSTITUTE(SUBSTITUTE($D1020,"-","")," ",""),".",""))</f>
        <v/>
      </c>
      <c r="J1020" s="10" t="str">
        <f aca="false">IF($E1020="","",UPPER(SUBSTITUTE($E1020," ","")))</f>
        <v/>
      </c>
      <c r="K1020" s="10" t="str">
        <f aca="false">IF($A1020="","",$G1020&amp;"|"&amp;$J1020)</f>
        <v/>
      </c>
      <c r="L1020" s="10" t="str">
        <f aca="false">IF($A1020="","",ROW()-2)</f>
        <v/>
      </c>
      <c r="M1020" s="10" t="str">
        <f aca="false">IF($A1020="","",ROW())</f>
        <v/>
      </c>
    </row>
    <row r="1021" customFormat="false" ht="15" hidden="false" customHeight="true" outlineLevel="0" collapsed="false">
      <c r="A1021" s="8"/>
      <c r="B1021" s="8"/>
      <c r="C1021" s="8"/>
      <c r="D1021" s="8"/>
      <c r="E1021" s="8"/>
      <c r="F1021" s="8"/>
      <c r="G1021" s="10" t="str">
        <f aca="false">IF($A1021="","",UPPER(SUBSTITUTE(SUBSTITUTE(SUBSTITUTE(SUBSTITUTE($A1021," ",""),"(주)",""),"주식회사",""),"㈜","")))</f>
        <v/>
      </c>
      <c r="H1021" s="10" t="str">
        <f aca="false">IF($B1021="","",SUBSTITUTE(SUBSTITUTE(SUBSTITUTE($B1021,"-","")," ",""),".",""))</f>
        <v/>
      </c>
      <c r="I1021" s="10" t="str">
        <f aca="false">IF($D1021="","",SUBSTITUTE(SUBSTITUTE(SUBSTITUTE($D1021,"-","")," ",""),".",""))</f>
        <v/>
      </c>
      <c r="J1021" s="10" t="str">
        <f aca="false">IF($E1021="","",UPPER(SUBSTITUTE($E1021," ","")))</f>
        <v/>
      </c>
      <c r="K1021" s="10" t="str">
        <f aca="false">IF($A1021="","",$G1021&amp;"|"&amp;$J1021)</f>
        <v/>
      </c>
      <c r="L1021" s="10" t="str">
        <f aca="false">IF($A1021="","",ROW()-2)</f>
        <v/>
      </c>
      <c r="M1021" s="10" t="str">
        <f aca="false">IF($A1021="","",ROW())</f>
        <v/>
      </c>
    </row>
    <row r="1022" customFormat="false" ht="15" hidden="false" customHeight="true" outlineLevel="0" collapsed="false">
      <c r="A1022" s="8"/>
      <c r="B1022" s="8"/>
      <c r="C1022" s="8"/>
      <c r="D1022" s="8"/>
      <c r="E1022" s="8"/>
      <c r="F1022" s="8"/>
      <c r="G1022" s="10" t="str">
        <f aca="false">IF($A1022="","",UPPER(SUBSTITUTE(SUBSTITUTE(SUBSTITUTE(SUBSTITUTE($A1022," ",""),"(주)",""),"주식회사",""),"㈜","")))</f>
        <v/>
      </c>
      <c r="H1022" s="10" t="str">
        <f aca="false">IF($B1022="","",SUBSTITUTE(SUBSTITUTE(SUBSTITUTE($B1022,"-","")," ",""),".",""))</f>
        <v/>
      </c>
      <c r="I1022" s="10" t="str">
        <f aca="false">IF($D1022="","",SUBSTITUTE(SUBSTITUTE(SUBSTITUTE($D1022,"-","")," ",""),".",""))</f>
        <v/>
      </c>
      <c r="J1022" s="10" t="str">
        <f aca="false">IF($E1022="","",UPPER(SUBSTITUTE($E1022," ","")))</f>
        <v/>
      </c>
      <c r="K1022" s="10" t="str">
        <f aca="false">IF($A1022="","",$G1022&amp;"|"&amp;$J1022)</f>
        <v/>
      </c>
      <c r="L1022" s="10" t="str">
        <f aca="false">IF($A1022="","",ROW()-2)</f>
        <v/>
      </c>
      <c r="M1022" s="10" t="str">
        <f aca="false">IF($A1022="","",ROW())</f>
        <v/>
      </c>
    </row>
    <row r="1023" customFormat="false" ht="15" hidden="false" customHeight="true" outlineLevel="0" collapsed="false">
      <c r="A1023" s="8"/>
      <c r="B1023" s="8"/>
      <c r="C1023" s="8"/>
      <c r="D1023" s="8"/>
      <c r="E1023" s="8"/>
      <c r="F1023" s="8"/>
      <c r="G1023" s="10" t="str">
        <f aca="false">IF($A1023="","",UPPER(SUBSTITUTE(SUBSTITUTE(SUBSTITUTE(SUBSTITUTE($A1023," ",""),"(주)",""),"주식회사",""),"㈜","")))</f>
        <v/>
      </c>
      <c r="H1023" s="10" t="str">
        <f aca="false">IF($B1023="","",SUBSTITUTE(SUBSTITUTE(SUBSTITUTE($B1023,"-","")," ",""),".",""))</f>
        <v/>
      </c>
      <c r="I1023" s="10" t="str">
        <f aca="false">IF($D1023="","",SUBSTITUTE(SUBSTITUTE(SUBSTITUTE($D1023,"-","")," ",""),".",""))</f>
        <v/>
      </c>
      <c r="J1023" s="10" t="str">
        <f aca="false">IF($E1023="","",UPPER(SUBSTITUTE($E1023," ","")))</f>
        <v/>
      </c>
      <c r="K1023" s="10" t="str">
        <f aca="false">IF($A1023="","",$G1023&amp;"|"&amp;$J1023)</f>
        <v/>
      </c>
      <c r="L1023" s="10" t="str">
        <f aca="false">IF($A1023="","",ROW()-2)</f>
        <v/>
      </c>
      <c r="M1023" s="10" t="str">
        <f aca="false">IF($A1023="","",ROW())</f>
        <v/>
      </c>
    </row>
    <row r="1024" customFormat="false" ht="15" hidden="false" customHeight="true" outlineLevel="0" collapsed="false">
      <c r="A1024" s="8"/>
      <c r="B1024" s="8"/>
      <c r="C1024" s="8"/>
      <c r="D1024" s="8"/>
      <c r="E1024" s="8"/>
      <c r="F1024" s="8"/>
      <c r="G1024" s="10" t="str">
        <f aca="false">IF($A1024="","",UPPER(SUBSTITUTE(SUBSTITUTE(SUBSTITUTE(SUBSTITUTE($A1024," ",""),"(주)",""),"주식회사",""),"㈜","")))</f>
        <v/>
      </c>
      <c r="H1024" s="10" t="str">
        <f aca="false">IF($B1024="","",SUBSTITUTE(SUBSTITUTE(SUBSTITUTE($B1024,"-","")," ",""),".",""))</f>
        <v/>
      </c>
      <c r="I1024" s="10" t="str">
        <f aca="false">IF($D1024="","",SUBSTITUTE(SUBSTITUTE(SUBSTITUTE($D1024,"-","")," ",""),".",""))</f>
        <v/>
      </c>
      <c r="J1024" s="10" t="str">
        <f aca="false">IF($E1024="","",UPPER(SUBSTITUTE($E1024," ","")))</f>
        <v/>
      </c>
      <c r="K1024" s="10" t="str">
        <f aca="false">IF($A1024="","",$G1024&amp;"|"&amp;$J1024)</f>
        <v/>
      </c>
      <c r="L1024" s="10" t="str">
        <f aca="false">IF($A1024="","",ROW()-2)</f>
        <v/>
      </c>
      <c r="M1024" s="10" t="str">
        <f aca="false">IF($A1024="","",ROW())</f>
        <v/>
      </c>
    </row>
    <row r="1025" customFormat="false" ht="15" hidden="false" customHeight="true" outlineLevel="0" collapsed="false">
      <c r="A1025" s="8"/>
      <c r="B1025" s="8"/>
      <c r="C1025" s="8"/>
      <c r="D1025" s="8"/>
      <c r="E1025" s="8"/>
      <c r="F1025" s="8"/>
      <c r="G1025" s="10" t="str">
        <f aca="false">IF($A1025="","",UPPER(SUBSTITUTE(SUBSTITUTE(SUBSTITUTE(SUBSTITUTE($A1025," ",""),"(주)",""),"주식회사",""),"㈜","")))</f>
        <v/>
      </c>
      <c r="H1025" s="10" t="str">
        <f aca="false">IF($B1025="","",SUBSTITUTE(SUBSTITUTE(SUBSTITUTE($B1025,"-","")," ",""),".",""))</f>
        <v/>
      </c>
      <c r="I1025" s="10" t="str">
        <f aca="false">IF($D1025="","",SUBSTITUTE(SUBSTITUTE(SUBSTITUTE($D1025,"-","")," ",""),".",""))</f>
        <v/>
      </c>
      <c r="J1025" s="10" t="str">
        <f aca="false">IF($E1025="","",UPPER(SUBSTITUTE($E1025," ","")))</f>
        <v/>
      </c>
      <c r="K1025" s="10" t="str">
        <f aca="false">IF($A1025="","",$G1025&amp;"|"&amp;$J1025)</f>
        <v/>
      </c>
      <c r="L1025" s="10" t="str">
        <f aca="false">IF($A1025="","",ROW()-2)</f>
        <v/>
      </c>
      <c r="M1025" s="10" t="str">
        <f aca="false">IF($A1025="","",ROW())</f>
        <v/>
      </c>
    </row>
    <row r="1026" customFormat="false" ht="15" hidden="false" customHeight="true" outlineLevel="0" collapsed="false">
      <c r="A1026" s="8"/>
      <c r="B1026" s="8"/>
      <c r="C1026" s="8"/>
      <c r="D1026" s="8"/>
      <c r="E1026" s="8"/>
      <c r="F1026" s="8"/>
      <c r="G1026" s="10" t="str">
        <f aca="false">IF($A1026="","",UPPER(SUBSTITUTE(SUBSTITUTE(SUBSTITUTE(SUBSTITUTE($A1026," ",""),"(주)",""),"주식회사",""),"㈜","")))</f>
        <v/>
      </c>
      <c r="H1026" s="10" t="str">
        <f aca="false">IF($B1026="","",SUBSTITUTE(SUBSTITUTE(SUBSTITUTE($B1026,"-","")," ",""),".",""))</f>
        <v/>
      </c>
      <c r="I1026" s="10" t="str">
        <f aca="false">IF($D1026="","",SUBSTITUTE(SUBSTITUTE(SUBSTITUTE($D1026,"-","")," ",""),".",""))</f>
        <v/>
      </c>
      <c r="J1026" s="10" t="str">
        <f aca="false">IF($E1026="","",UPPER(SUBSTITUTE($E1026," ","")))</f>
        <v/>
      </c>
      <c r="K1026" s="10" t="str">
        <f aca="false">IF($A1026="","",$G1026&amp;"|"&amp;$J1026)</f>
        <v/>
      </c>
      <c r="L1026" s="10" t="str">
        <f aca="false">IF($A1026="","",ROW()-2)</f>
        <v/>
      </c>
      <c r="M1026" s="10" t="str">
        <f aca="false">IF($A1026="","",ROW())</f>
        <v/>
      </c>
    </row>
    <row r="1027" customFormat="false" ht="15" hidden="false" customHeight="true" outlineLevel="0" collapsed="false">
      <c r="A1027" s="8"/>
      <c r="B1027" s="8"/>
      <c r="C1027" s="8"/>
      <c r="D1027" s="8"/>
      <c r="E1027" s="8"/>
      <c r="F1027" s="8"/>
      <c r="G1027" s="10" t="str">
        <f aca="false">IF($A1027="","",UPPER(SUBSTITUTE(SUBSTITUTE(SUBSTITUTE(SUBSTITUTE($A1027," ",""),"(주)",""),"주식회사",""),"㈜","")))</f>
        <v/>
      </c>
      <c r="H1027" s="10" t="str">
        <f aca="false">IF($B1027="","",SUBSTITUTE(SUBSTITUTE(SUBSTITUTE($B1027,"-","")," ",""),".",""))</f>
        <v/>
      </c>
      <c r="I1027" s="10" t="str">
        <f aca="false">IF($D1027="","",SUBSTITUTE(SUBSTITUTE(SUBSTITUTE($D1027,"-","")," ",""),".",""))</f>
        <v/>
      </c>
      <c r="J1027" s="10" t="str">
        <f aca="false">IF($E1027="","",UPPER(SUBSTITUTE($E1027," ","")))</f>
        <v/>
      </c>
      <c r="K1027" s="10" t="str">
        <f aca="false">IF($A1027="","",$G1027&amp;"|"&amp;$J1027)</f>
        <v/>
      </c>
      <c r="L1027" s="10" t="str">
        <f aca="false">IF($A1027="","",ROW()-2)</f>
        <v/>
      </c>
      <c r="M1027" s="10" t="str">
        <f aca="false">IF($A1027="","",ROW())</f>
        <v/>
      </c>
    </row>
    <row r="1028" customFormat="false" ht="15" hidden="false" customHeight="true" outlineLevel="0" collapsed="false">
      <c r="A1028" s="8"/>
      <c r="B1028" s="8"/>
      <c r="C1028" s="8"/>
      <c r="D1028" s="8"/>
      <c r="E1028" s="8"/>
      <c r="F1028" s="8"/>
      <c r="G1028" s="10" t="str">
        <f aca="false">IF($A1028="","",UPPER(SUBSTITUTE(SUBSTITUTE(SUBSTITUTE(SUBSTITUTE($A1028," ",""),"(주)",""),"주식회사",""),"㈜","")))</f>
        <v/>
      </c>
      <c r="H1028" s="10" t="str">
        <f aca="false">IF($B1028="","",SUBSTITUTE(SUBSTITUTE(SUBSTITUTE($B1028,"-","")," ",""),".",""))</f>
        <v/>
      </c>
      <c r="I1028" s="10" t="str">
        <f aca="false">IF($D1028="","",SUBSTITUTE(SUBSTITUTE(SUBSTITUTE($D1028,"-","")," ",""),".",""))</f>
        <v/>
      </c>
      <c r="J1028" s="10" t="str">
        <f aca="false">IF($E1028="","",UPPER(SUBSTITUTE($E1028," ","")))</f>
        <v/>
      </c>
      <c r="K1028" s="10" t="str">
        <f aca="false">IF($A1028="","",$G1028&amp;"|"&amp;$J1028)</f>
        <v/>
      </c>
      <c r="L1028" s="10" t="str">
        <f aca="false">IF($A1028="","",ROW()-2)</f>
        <v/>
      </c>
      <c r="M1028" s="10" t="str">
        <f aca="false">IF($A1028="","",ROW())</f>
        <v/>
      </c>
    </row>
    <row r="1029" customFormat="false" ht="15" hidden="false" customHeight="true" outlineLevel="0" collapsed="false">
      <c r="A1029" s="8"/>
      <c r="B1029" s="8"/>
      <c r="C1029" s="8"/>
      <c r="D1029" s="8"/>
      <c r="E1029" s="8"/>
      <c r="F1029" s="8"/>
      <c r="G1029" s="10" t="str">
        <f aca="false">IF($A1029="","",UPPER(SUBSTITUTE(SUBSTITUTE(SUBSTITUTE(SUBSTITUTE($A1029," ",""),"(주)",""),"주식회사",""),"㈜","")))</f>
        <v/>
      </c>
      <c r="H1029" s="10" t="str">
        <f aca="false">IF($B1029="","",SUBSTITUTE(SUBSTITUTE(SUBSTITUTE($B1029,"-","")," ",""),".",""))</f>
        <v/>
      </c>
      <c r="I1029" s="10" t="str">
        <f aca="false">IF($D1029="","",SUBSTITUTE(SUBSTITUTE(SUBSTITUTE($D1029,"-","")," ",""),".",""))</f>
        <v/>
      </c>
      <c r="J1029" s="10" t="str">
        <f aca="false">IF($E1029="","",UPPER(SUBSTITUTE($E1029," ","")))</f>
        <v/>
      </c>
      <c r="K1029" s="10" t="str">
        <f aca="false">IF($A1029="","",$G1029&amp;"|"&amp;$J1029)</f>
        <v/>
      </c>
      <c r="L1029" s="10" t="str">
        <f aca="false">IF($A1029="","",ROW()-2)</f>
        <v/>
      </c>
      <c r="M1029" s="10" t="str">
        <f aca="false">IF($A1029="","",ROW())</f>
        <v/>
      </c>
    </row>
    <row r="1030" customFormat="false" ht="15" hidden="false" customHeight="true" outlineLevel="0" collapsed="false">
      <c r="A1030" s="8"/>
      <c r="B1030" s="8"/>
      <c r="C1030" s="8"/>
      <c r="D1030" s="8"/>
      <c r="E1030" s="8"/>
      <c r="F1030" s="8"/>
      <c r="G1030" s="10" t="str">
        <f aca="false">IF($A1030="","",UPPER(SUBSTITUTE(SUBSTITUTE(SUBSTITUTE(SUBSTITUTE($A1030," ",""),"(주)",""),"주식회사",""),"㈜","")))</f>
        <v/>
      </c>
      <c r="H1030" s="10" t="str">
        <f aca="false">IF($B1030="","",SUBSTITUTE(SUBSTITUTE(SUBSTITUTE($B1030,"-","")," ",""),".",""))</f>
        <v/>
      </c>
      <c r="I1030" s="10" t="str">
        <f aca="false">IF($D1030="","",SUBSTITUTE(SUBSTITUTE(SUBSTITUTE($D1030,"-","")," ",""),".",""))</f>
        <v/>
      </c>
      <c r="J1030" s="10" t="str">
        <f aca="false">IF($E1030="","",UPPER(SUBSTITUTE($E1030," ","")))</f>
        <v/>
      </c>
      <c r="K1030" s="10" t="str">
        <f aca="false">IF($A1030="","",$G1030&amp;"|"&amp;$J1030)</f>
        <v/>
      </c>
      <c r="L1030" s="10" t="str">
        <f aca="false">IF($A1030="","",ROW()-2)</f>
        <v/>
      </c>
      <c r="M1030" s="10" t="str">
        <f aca="false">IF($A1030="","",ROW())</f>
        <v/>
      </c>
    </row>
    <row r="1031" customFormat="false" ht="15" hidden="false" customHeight="true" outlineLevel="0" collapsed="false">
      <c r="A1031" s="8"/>
      <c r="B1031" s="8"/>
      <c r="C1031" s="8"/>
      <c r="D1031" s="8"/>
      <c r="E1031" s="8"/>
      <c r="F1031" s="8"/>
      <c r="G1031" s="10" t="str">
        <f aca="false">IF($A1031="","",UPPER(SUBSTITUTE(SUBSTITUTE(SUBSTITUTE(SUBSTITUTE($A1031," ",""),"(주)",""),"주식회사",""),"㈜","")))</f>
        <v/>
      </c>
      <c r="H1031" s="10" t="str">
        <f aca="false">IF($B1031="","",SUBSTITUTE(SUBSTITUTE(SUBSTITUTE($B1031,"-","")," ",""),".",""))</f>
        <v/>
      </c>
      <c r="I1031" s="10" t="str">
        <f aca="false">IF($D1031="","",SUBSTITUTE(SUBSTITUTE(SUBSTITUTE($D1031,"-","")," ",""),".",""))</f>
        <v/>
      </c>
      <c r="J1031" s="10" t="str">
        <f aca="false">IF($E1031="","",UPPER(SUBSTITUTE($E1031," ","")))</f>
        <v/>
      </c>
      <c r="K1031" s="10" t="str">
        <f aca="false">IF($A1031="","",$G1031&amp;"|"&amp;$J1031)</f>
        <v/>
      </c>
      <c r="L1031" s="10" t="str">
        <f aca="false">IF($A1031="","",ROW()-2)</f>
        <v/>
      </c>
      <c r="M1031" s="10" t="str">
        <f aca="false">IF($A1031="","",ROW())</f>
        <v/>
      </c>
    </row>
    <row r="1032" customFormat="false" ht="15" hidden="false" customHeight="true" outlineLevel="0" collapsed="false">
      <c r="A1032" s="8"/>
      <c r="B1032" s="8"/>
      <c r="C1032" s="8"/>
      <c r="D1032" s="8"/>
      <c r="E1032" s="8"/>
      <c r="F1032" s="8"/>
      <c r="G1032" s="10" t="str">
        <f aca="false">IF($A1032="","",UPPER(SUBSTITUTE(SUBSTITUTE(SUBSTITUTE(SUBSTITUTE($A1032," ",""),"(주)",""),"주식회사",""),"㈜","")))</f>
        <v/>
      </c>
      <c r="H1032" s="10" t="str">
        <f aca="false">IF($B1032="","",SUBSTITUTE(SUBSTITUTE(SUBSTITUTE($B1032,"-","")," ",""),".",""))</f>
        <v/>
      </c>
      <c r="I1032" s="10" t="str">
        <f aca="false">IF($D1032="","",SUBSTITUTE(SUBSTITUTE(SUBSTITUTE($D1032,"-","")," ",""),".",""))</f>
        <v/>
      </c>
      <c r="J1032" s="10" t="str">
        <f aca="false">IF($E1032="","",UPPER(SUBSTITUTE($E1032," ","")))</f>
        <v/>
      </c>
      <c r="K1032" s="10" t="str">
        <f aca="false">IF($A1032="","",$G1032&amp;"|"&amp;$J1032)</f>
        <v/>
      </c>
      <c r="L1032" s="10" t="str">
        <f aca="false">IF($A1032="","",ROW()-2)</f>
        <v/>
      </c>
      <c r="M1032" s="10" t="str">
        <f aca="false">IF($A1032="","",ROW())</f>
        <v/>
      </c>
    </row>
    <row r="1033" customFormat="false" ht="15" hidden="false" customHeight="true" outlineLevel="0" collapsed="false">
      <c r="A1033" s="8"/>
      <c r="B1033" s="8"/>
      <c r="C1033" s="8"/>
      <c r="D1033" s="8"/>
      <c r="E1033" s="8"/>
      <c r="F1033" s="8"/>
      <c r="G1033" s="10" t="str">
        <f aca="false">IF($A1033="","",UPPER(SUBSTITUTE(SUBSTITUTE(SUBSTITUTE(SUBSTITUTE($A1033," ",""),"(주)",""),"주식회사",""),"㈜","")))</f>
        <v/>
      </c>
      <c r="H1033" s="10" t="str">
        <f aca="false">IF($B1033="","",SUBSTITUTE(SUBSTITUTE(SUBSTITUTE($B1033,"-","")," ",""),".",""))</f>
        <v/>
      </c>
      <c r="I1033" s="10" t="str">
        <f aca="false">IF($D1033="","",SUBSTITUTE(SUBSTITUTE(SUBSTITUTE($D1033,"-","")," ",""),".",""))</f>
        <v/>
      </c>
      <c r="J1033" s="10" t="str">
        <f aca="false">IF($E1033="","",UPPER(SUBSTITUTE($E1033," ","")))</f>
        <v/>
      </c>
      <c r="K1033" s="10" t="str">
        <f aca="false">IF($A1033="","",$G1033&amp;"|"&amp;$J1033)</f>
        <v/>
      </c>
      <c r="L1033" s="10" t="str">
        <f aca="false">IF($A1033="","",ROW()-2)</f>
        <v/>
      </c>
      <c r="M1033" s="10" t="str">
        <f aca="false">IF($A1033="","",ROW())</f>
        <v/>
      </c>
    </row>
    <row r="1034" customFormat="false" ht="15" hidden="false" customHeight="true" outlineLevel="0" collapsed="false">
      <c r="A1034" s="8"/>
      <c r="B1034" s="8"/>
      <c r="C1034" s="8"/>
      <c r="D1034" s="8"/>
      <c r="E1034" s="8"/>
      <c r="F1034" s="8"/>
      <c r="G1034" s="10" t="str">
        <f aca="false">IF($A1034="","",UPPER(SUBSTITUTE(SUBSTITUTE(SUBSTITUTE(SUBSTITUTE($A1034," ",""),"(주)",""),"주식회사",""),"㈜","")))</f>
        <v/>
      </c>
      <c r="H1034" s="10" t="str">
        <f aca="false">IF($B1034="","",SUBSTITUTE(SUBSTITUTE(SUBSTITUTE($B1034,"-","")," ",""),".",""))</f>
        <v/>
      </c>
      <c r="I1034" s="10" t="str">
        <f aca="false">IF($D1034="","",SUBSTITUTE(SUBSTITUTE(SUBSTITUTE($D1034,"-","")," ",""),".",""))</f>
        <v/>
      </c>
      <c r="J1034" s="10" t="str">
        <f aca="false">IF($E1034="","",UPPER(SUBSTITUTE($E1034," ","")))</f>
        <v/>
      </c>
      <c r="K1034" s="10" t="str">
        <f aca="false">IF($A1034="","",$G1034&amp;"|"&amp;$J1034)</f>
        <v/>
      </c>
      <c r="L1034" s="10" t="str">
        <f aca="false">IF($A1034="","",ROW()-2)</f>
        <v/>
      </c>
      <c r="M1034" s="10" t="str">
        <f aca="false">IF($A1034="","",ROW())</f>
        <v/>
      </c>
    </row>
    <row r="1035" customFormat="false" ht="15" hidden="false" customHeight="true" outlineLevel="0" collapsed="false">
      <c r="A1035" s="8"/>
      <c r="B1035" s="8"/>
      <c r="C1035" s="8"/>
      <c r="D1035" s="8"/>
      <c r="E1035" s="8"/>
      <c r="F1035" s="8"/>
      <c r="G1035" s="10" t="str">
        <f aca="false">IF($A1035="","",UPPER(SUBSTITUTE(SUBSTITUTE(SUBSTITUTE(SUBSTITUTE($A1035," ",""),"(주)",""),"주식회사",""),"㈜","")))</f>
        <v/>
      </c>
      <c r="H1035" s="10" t="str">
        <f aca="false">IF($B1035="","",SUBSTITUTE(SUBSTITUTE(SUBSTITUTE($B1035,"-","")," ",""),".",""))</f>
        <v/>
      </c>
      <c r="I1035" s="10" t="str">
        <f aca="false">IF($D1035="","",SUBSTITUTE(SUBSTITUTE(SUBSTITUTE($D1035,"-","")," ",""),".",""))</f>
        <v/>
      </c>
      <c r="J1035" s="10" t="str">
        <f aca="false">IF($E1035="","",UPPER(SUBSTITUTE($E1035," ","")))</f>
        <v/>
      </c>
      <c r="K1035" s="10" t="str">
        <f aca="false">IF($A1035="","",$G1035&amp;"|"&amp;$J1035)</f>
        <v/>
      </c>
      <c r="L1035" s="10" t="str">
        <f aca="false">IF($A1035="","",ROW()-2)</f>
        <v/>
      </c>
      <c r="M1035" s="10" t="str">
        <f aca="false">IF($A1035="","",ROW())</f>
        <v/>
      </c>
    </row>
    <row r="1036" customFormat="false" ht="15" hidden="false" customHeight="true" outlineLevel="0" collapsed="false">
      <c r="A1036" s="8"/>
      <c r="B1036" s="8"/>
      <c r="C1036" s="8"/>
      <c r="D1036" s="8"/>
      <c r="E1036" s="8"/>
      <c r="F1036" s="8"/>
      <c r="G1036" s="10" t="str">
        <f aca="false">IF($A1036="","",UPPER(SUBSTITUTE(SUBSTITUTE(SUBSTITUTE(SUBSTITUTE($A1036," ",""),"(주)",""),"주식회사",""),"㈜","")))</f>
        <v/>
      </c>
      <c r="H1036" s="10" t="str">
        <f aca="false">IF($B1036="","",SUBSTITUTE(SUBSTITUTE(SUBSTITUTE($B1036,"-","")," ",""),".",""))</f>
        <v/>
      </c>
      <c r="I1036" s="10" t="str">
        <f aca="false">IF($D1036="","",SUBSTITUTE(SUBSTITUTE(SUBSTITUTE($D1036,"-","")," ",""),".",""))</f>
        <v/>
      </c>
      <c r="J1036" s="10" t="str">
        <f aca="false">IF($E1036="","",UPPER(SUBSTITUTE($E1036," ","")))</f>
        <v/>
      </c>
      <c r="K1036" s="10" t="str">
        <f aca="false">IF($A1036="","",$G1036&amp;"|"&amp;$J1036)</f>
        <v/>
      </c>
      <c r="L1036" s="10" t="str">
        <f aca="false">IF($A1036="","",ROW()-2)</f>
        <v/>
      </c>
      <c r="M1036" s="10" t="str">
        <f aca="false">IF($A1036="","",ROW())</f>
        <v/>
      </c>
    </row>
    <row r="1037" customFormat="false" ht="15" hidden="false" customHeight="true" outlineLevel="0" collapsed="false">
      <c r="A1037" s="8"/>
      <c r="B1037" s="8"/>
      <c r="C1037" s="8"/>
      <c r="D1037" s="8"/>
      <c r="E1037" s="8"/>
      <c r="F1037" s="8"/>
      <c r="G1037" s="10" t="str">
        <f aca="false">IF($A1037="","",UPPER(SUBSTITUTE(SUBSTITUTE(SUBSTITUTE(SUBSTITUTE($A1037," ",""),"(주)",""),"주식회사",""),"㈜","")))</f>
        <v/>
      </c>
      <c r="H1037" s="10" t="str">
        <f aca="false">IF($B1037="","",SUBSTITUTE(SUBSTITUTE(SUBSTITUTE($B1037,"-","")," ",""),".",""))</f>
        <v/>
      </c>
      <c r="I1037" s="10" t="str">
        <f aca="false">IF($D1037="","",SUBSTITUTE(SUBSTITUTE(SUBSTITUTE($D1037,"-","")," ",""),".",""))</f>
        <v/>
      </c>
      <c r="J1037" s="10" t="str">
        <f aca="false">IF($E1037="","",UPPER(SUBSTITUTE($E1037," ","")))</f>
        <v/>
      </c>
      <c r="K1037" s="10" t="str">
        <f aca="false">IF($A1037="","",$G1037&amp;"|"&amp;$J1037)</f>
        <v/>
      </c>
      <c r="L1037" s="10" t="str">
        <f aca="false">IF($A1037="","",ROW()-2)</f>
        <v/>
      </c>
      <c r="M1037" s="10" t="str">
        <f aca="false">IF($A1037="","",ROW())</f>
        <v/>
      </c>
    </row>
    <row r="1038" customFormat="false" ht="15" hidden="false" customHeight="true" outlineLevel="0" collapsed="false">
      <c r="A1038" s="8"/>
      <c r="B1038" s="8"/>
      <c r="C1038" s="8"/>
      <c r="D1038" s="8"/>
      <c r="E1038" s="8"/>
      <c r="F1038" s="8"/>
      <c r="G1038" s="10" t="str">
        <f aca="false">IF($A1038="","",UPPER(SUBSTITUTE(SUBSTITUTE(SUBSTITUTE(SUBSTITUTE($A1038," ",""),"(주)",""),"주식회사",""),"㈜","")))</f>
        <v/>
      </c>
      <c r="H1038" s="10" t="str">
        <f aca="false">IF($B1038="","",SUBSTITUTE(SUBSTITUTE(SUBSTITUTE($B1038,"-","")," ",""),".",""))</f>
        <v/>
      </c>
      <c r="I1038" s="10" t="str">
        <f aca="false">IF($D1038="","",SUBSTITUTE(SUBSTITUTE(SUBSTITUTE($D1038,"-","")," ",""),".",""))</f>
        <v/>
      </c>
      <c r="J1038" s="10" t="str">
        <f aca="false">IF($E1038="","",UPPER(SUBSTITUTE($E1038," ","")))</f>
        <v/>
      </c>
      <c r="K1038" s="10" t="str">
        <f aca="false">IF($A1038="","",$G1038&amp;"|"&amp;$J1038)</f>
        <v/>
      </c>
      <c r="L1038" s="10" t="str">
        <f aca="false">IF($A1038="","",ROW()-2)</f>
        <v/>
      </c>
      <c r="M1038" s="10" t="str">
        <f aca="false">IF($A1038="","",ROW())</f>
        <v/>
      </c>
    </row>
    <row r="1039" customFormat="false" ht="15" hidden="false" customHeight="true" outlineLevel="0" collapsed="false">
      <c r="A1039" s="8"/>
      <c r="B1039" s="8"/>
      <c r="C1039" s="8"/>
      <c r="D1039" s="8"/>
      <c r="E1039" s="8"/>
      <c r="F1039" s="8"/>
      <c r="G1039" s="10" t="str">
        <f aca="false">IF($A1039="","",UPPER(SUBSTITUTE(SUBSTITUTE(SUBSTITUTE(SUBSTITUTE($A1039," ",""),"(주)",""),"주식회사",""),"㈜","")))</f>
        <v/>
      </c>
      <c r="H1039" s="10" t="str">
        <f aca="false">IF($B1039="","",SUBSTITUTE(SUBSTITUTE(SUBSTITUTE($B1039,"-","")," ",""),".",""))</f>
        <v/>
      </c>
      <c r="I1039" s="10" t="str">
        <f aca="false">IF($D1039="","",SUBSTITUTE(SUBSTITUTE(SUBSTITUTE($D1039,"-","")," ",""),".",""))</f>
        <v/>
      </c>
      <c r="J1039" s="10" t="str">
        <f aca="false">IF($E1039="","",UPPER(SUBSTITUTE($E1039," ","")))</f>
        <v/>
      </c>
      <c r="K1039" s="10" t="str">
        <f aca="false">IF($A1039="","",$G1039&amp;"|"&amp;$J1039)</f>
        <v/>
      </c>
      <c r="L1039" s="10" t="str">
        <f aca="false">IF($A1039="","",ROW()-2)</f>
        <v/>
      </c>
      <c r="M1039" s="10" t="str">
        <f aca="false">IF($A1039="","",ROW())</f>
        <v/>
      </c>
    </row>
    <row r="1040" customFormat="false" ht="15" hidden="false" customHeight="true" outlineLevel="0" collapsed="false">
      <c r="A1040" s="8"/>
      <c r="B1040" s="8"/>
      <c r="C1040" s="8"/>
      <c r="D1040" s="8"/>
      <c r="E1040" s="8"/>
      <c r="F1040" s="8"/>
      <c r="G1040" s="10" t="str">
        <f aca="false">IF($A1040="","",UPPER(SUBSTITUTE(SUBSTITUTE(SUBSTITUTE(SUBSTITUTE($A1040," ",""),"(주)",""),"주식회사",""),"㈜","")))</f>
        <v/>
      </c>
      <c r="H1040" s="10" t="str">
        <f aca="false">IF($B1040="","",SUBSTITUTE(SUBSTITUTE(SUBSTITUTE($B1040,"-","")," ",""),".",""))</f>
        <v/>
      </c>
      <c r="I1040" s="10" t="str">
        <f aca="false">IF($D1040="","",SUBSTITUTE(SUBSTITUTE(SUBSTITUTE($D1040,"-","")," ",""),".",""))</f>
        <v/>
      </c>
      <c r="J1040" s="10" t="str">
        <f aca="false">IF($E1040="","",UPPER(SUBSTITUTE($E1040," ","")))</f>
        <v/>
      </c>
      <c r="K1040" s="10" t="str">
        <f aca="false">IF($A1040="","",$G1040&amp;"|"&amp;$J1040)</f>
        <v/>
      </c>
      <c r="L1040" s="10" t="str">
        <f aca="false">IF($A1040="","",ROW()-2)</f>
        <v/>
      </c>
      <c r="M1040" s="10" t="str">
        <f aca="false">IF($A1040="","",ROW())</f>
        <v/>
      </c>
    </row>
    <row r="1041" customFormat="false" ht="15" hidden="false" customHeight="true" outlineLevel="0" collapsed="false">
      <c r="A1041" s="8"/>
      <c r="B1041" s="8"/>
      <c r="C1041" s="8"/>
      <c r="D1041" s="8"/>
      <c r="E1041" s="8"/>
      <c r="F1041" s="8"/>
      <c r="G1041" s="10" t="str">
        <f aca="false">IF($A1041="","",UPPER(SUBSTITUTE(SUBSTITUTE(SUBSTITUTE(SUBSTITUTE($A1041," ",""),"(주)",""),"주식회사",""),"㈜","")))</f>
        <v/>
      </c>
      <c r="H1041" s="10" t="str">
        <f aca="false">IF($B1041="","",SUBSTITUTE(SUBSTITUTE(SUBSTITUTE($B1041,"-","")," ",""),".",""))</f>
        <v/>
      </c>
      <c r="I1041" s="10" t="str">
        <f aca="false">IF($D1041="","",SUBSTITUTE(SUBSTITUTE(SUBSTITUTE($D1041,"-","")," ",""),".",""))</f>
        <v/>
      </c>
      <c r="J1041" s="10" t="str">
        <f aca="false">IF($E1041="","",UPPER(SUBSTITUTE($E1041," ","")))</f>
        <v/>
      </c>
      <c r="K1041" s="10" t="str">
        <f aca="false">IF($A1041="","",$G1041&amp;"|"&amp;$J1041)</f>
        <v/>
      </c>
      <c r="L1041" s="10" t="str">
        <f aca="false">IF($A1041="","",ROW()-2)</f>
        <v/>
      </c>
      <c r="M1041" s="10" t="str">
        <f aca="false">IF($A1041="","",ROW())</f>
        <v/>
      </c>
    </row>
    <row r="1042" customFormat="false" ht="15" hidden="false" customHeight="true" outlineLevel="0" collapsed="false">
      <c r="A1042" s="8"/>
      <c r="B1042" s="8"/>
      <c r="C1042" s="8"/>
      <c r="D1042" s="8"/>
      <c r="E1042" s="8"/>
      <c r="F1042" s="8"/>
      <c r="G1042" s="10" t="str">
        <f aca="false">IF($A1042="","",UPPER(SUBSTITUTE(SUBSTITUTE(SUBSTITUTE(SUBSTITUTE($A1042," ",""),"(주)",""),"주식회사",""),"㈜","")))</f>
        <v/>
      </c>
      <c r="H1042" s="10" t="str">
        <f aca="false">IF($B1042="","",SUBSTITUTE(SUBSTITUTE(SUBSTITUTE($B1042,"-","")," ",""),".",""))</f>
        <v/>
      </c>
      <c r="I1042" s="10" t="str">
        <f aca="false">IF($D1042="","",SUBSTITUTE(SUBSTITUTE(SUBSTITUTE($D1042,"-","")," ",""),".",""))</f>
        <v/>
      </c>
      <c r="J1042" s="10" t="str">
        <f aca="false">IF($E1042="","",UPPER(SUBSTITUTE($E1042," ","")))</f>
        <v/>
      </c>
      <c r="K1042" s="10" t="str">
        <f aca="false">IF($A1042="","",$G1042&amp;"|"&amp;$J1042)</f>
        <v/>
      </c>
      <c r="L1042" s="10" t="str">
        <f aca="false">IF($A1042="","",ROW()-2)</f>
        <v/>
      </c>
      <c r="M1042" s="10" t="str">
        <f aca="false">IF($A1042="","",ROW())</f>
        <v/>
      </c>
    </row>
    <row r="1043" customFormat="false" ht="15" hidden="false" customHeight="true" outlineLevel="0" collapsed="false">
      <c r="A1043" s="8"/>
      <c r="B1043" s="8"/>
      <c r="C1043" s="8"/>
      <c r="D1043" s="8"/>
      <c r="E1043" s="8"/>
      <c r="F1043" s="8"/>
      <c r="G1043" s="10" t="str">
        <f aca="false">IF($A1043="","",UPPER(SUBSTITUTE(SUBSTITUTE(SUBSTITUTE(SUBSTITUTE($A1043," ",""),"(주)",""),"주식회사",""),"㈜","")))</f>
        <v/>
      </c>
      <c r="H1043" s="10" t="str">
        <f aca="false">IF($B1043="","",SUBSTITUTE(SUBSTITUTE(SUBSTITUTE($B1043,"-","")," ",""),".",""))</f>
        <v/>
      </c>
      <c r="I1043" s="10" t="str">
        <f aca="false">IF($D1043="","",SUBSTITUTE(SUBSTITUTE(SUBSTITUTE($D1043,"-","")," ",""),".",""))</f>
        <v/>
      </c>
      <c r="J1043" s="10" t="str">
        <f aca="false">IF($E1043="","",UPPER(SUBSTITUTE($E1043," ","")))</f>
        <v/>
      </c>
      <c r="K1043" s="10" t="str">
        <f aca="false">IF($A1043="","",$G1043&amp;"|"&amp;$J1043)</f>
        <v/>
      </c>
      <c r="L1043" s="10" t="str">
        <f aca="false">IF($A1043="","",ROW()-2)</f>
        <v/>
      </c>
      <c r="M1043" s="10" t="str">
        <f aca="false">IF($A1043="","",ROW())</f>
        <v/>
      </c>
    </row>
    <row r="1044" customFormat="false" ht="15" hidden="false" customHeight="true" outlineLevel="0" collapsed="false">
      <c r="A1044" s="8"/>
      <c r="B1044" s="8"/>
      <c r="C1044" s="8"/>
      <c r="D1044" s="8"/>
      <c r="E1044" s="8"/>
      <c r="F1044" s="8"/>
      <c r="G1044" s="10" t="str">
        <f aca="false">IF($A1044="","",UPPER(SUBSTITUTE(SUBSTITUTE(SUBSTITUTE(SUBSTITUTE($A1044," ",""),"(주)",""),"주식회사",""),"㈜","")))</f>
        <v/>
      </c>
      <c r="H1044" s="10" t="str">
        <f aca="false">IF($B1044="","",SUBSTITUTE(SUBSTITUTE(SUBSTITUTE($B1044,"-","")," ",""),".",""))</f>
        <v/>
      </c>
      <c r="I1044" s="10" t="str">
        <f aca="false">IF($D1044="","",SUBSTITUTE(SUBSTITUTE(SUBSTITUTE($D1044,"-","")," ",""),".",""))</f>
        <v/>
      </c>
      <c r="J1044" s="10" t="str">
        <f aca="false">IF($E1044="","",UPPER(SUBSTITUTE($E1044," ","")))</f>
        <v/>
      </c>
      <c r="K1044" s="10" t="str">
        <f aca="false">IF($A1044="","",$G1044&amp;"|"&amp;$J1044)</f>
        <v/>
      </c>
      <c r="L1044" s="10" t="str">
        <f aca="false">IF($A1044="","",ROW()-2)</f>
        <v/>
      </c>
      <c r="M1044" s="10" t="str">
        <f aca="false">IF($A1044="","",ROW())</f>
        <v/>
      </c>
    </row>
    <row r="1045" customFormat="false" ht="15" hidden="false" customHeight="true" outlineLevel="0" collapsed="false">
      <c r="A1045" s="8"/>
      <c r="B1045" s="8"/>
      <c r="C1045" s="8"/>
      <c r="D1045" s="8"/>
      <c r="E1045" s="8"/>
      <c r="F1045" s="8"/>
      <c r="G1045" s="10" t="str">
        <f aca="false">IF($A1045="","",UPPER(SUBSTITUTE(SUBSTITUTE(SUBSTITUTE(SUBSTITUTE($A1045," ",""),"(주)",""),"주식회사",""),"㈜","")))</f>
        <v/>
      </c>
      <c r="H1045" s="10" t="str">
        <f aca="false">IF($B1045="","",SUBSTITUTE(SUBSTITUTE(SUBSTITUTE($B1045,"-","")," ",""),".",""))</f>
        <v/>
      </c>
      <c r="I1045" s="10" t="str">
        <f aca="false">IF($D1045="","",SUBSTITUTE(SUBSTITUTE(SUBSTITUTE($D1045,"-","")," ",""),".",""))</f>
        <v/>
      </c>
      <c r="J1045" s="10" t="str">
        <f aca="false">IF($E1045="","",UPPER(SUBSTITUTE($E1045," ","")))</f>
        <v/>
      </c>
      <c r="K1045" s="10" t="str">
        <f aca="false">IF($A1045="","",$G1045&amp;"|"&amp;$J1045)</f>
        <v/>
      </c>
      <c r="L1045" s="10" t="str">
        <f aca="false">IF($A1045="","",ROW()-2)</f>
        <v/>
      </c>
      <c r="M1045" s="10" t="str">
        <f aca="false">IF($A1045="","",ROW())</f>
        <v/>
      </c>
    </row>
    <row r="1046" customFormat="false" ht="15" hidden="false" customHeight="true" outlineLevel="0" collapsed="false">
      <c r="A1046" s="8"/>
      <c r="B1046" s="8"/>
      <c r="C1046" s="8"/>
      <c r="D1046" s="8"/>
      <c r="E1046" s="8"/>
      <c r="F1046" s="8"/>
      <c r="G1046" s="10" t="str">
        <f aca="false">IF($A1046="","",UPPER(SUBSTITUTE(SUBSTITUTE(SUBSTITUTE(SUBSTITUTE($A1046," ",""),"(주)",""),"주식회사",""),"㈜","")))</f>
        <v/>
      </c>
      <c r="H1046" s="10" t="str">
        <f aca="false">IF($B1046="","",SUBSTITUTE(SUBSTITUTE(SUBSTITUTE($B1046,"-","")," ",""),".",""))</f>
        <v/>
      </c>
      <c r="I1046" s="10" t="str">
        <f aca="false">IF($D1046="","",SUBSTITUTE(SUBSTITUTE(SUBSTITUTE($D1046,"-","")," ",""),".",""))</f>
        <v/>
      </c>
      <c r="J1046" s="10" t="str">
        <f aca="false">IF($E1046="","",UPPER(SUBSTITUTE($E1046," ","")))</f>
        <v/>
      </c>
      <c r="K1046" s="10" t="str">
        <f aca="false">IF($A1046="","",$G1046&amp;"|"&amp;$J1046)</f>
        <v/>
      </c>
      <c r="L1046" s="10" t="str">
        <f aca="false">IF($A1046="","",ROW()-2)</f>
        <v/>
      </c>
      <c r="M1046" s="10" t="str">
        <f aca="false">IF($A1046="","",ROW())</f>
        <v/>
      </c>
    </row>
    <row r="1047" customFormat="false" ht="15" hidden="false" customHeight="true" outlineLevel="0" collapsed="false">
      <c r="A1047" s="8"/>
      <c r="B1047" s="8"/>
      <c r="C1047" s="8"/>
      <c r="D1047" s="8"/>
      <c r="E1047" s="8"/>
      <c r="F1047" s="8"/>
      <c r="G1047" s="10" t="str">
        <f aca="false">IF($A1047="","",UPPER(SUBSTITUTE(SUBSTITUTE(SUBSTITUTE(SUBSTITUTE($A1047," ",""),"(주)",""),"주식회사",""),"㈜","")))</f>
        <v/>
      </c>
      <c r="H1047" s="10" t="str">
        <f aca="false">IF($B1047="","",SUBSTITUTE(SUBSTITUTE(SUBSTITUTE($B1047,"-","")," ",""),".",""))</f>
        <v/>
      </c>
      <c r="I1047" s="10" t="str">
        <f aca="false">IF($D1047="","",SUBSTITUTE(SUBSTITUTE(SUBSTITUTE($D1047,"-","")," ",""),".",""))</f>
        <v/>
      </c>
      <c r="J1047" s="10" t="str">
        <f aca="false">IF($E1047="","",UPPER(SUBSTITUTE($E1047," ","")))</f>
        <v/>
      </c>
      <c r="K1047" s="10" t="str">
        <f aca="false">IF($A1047="","",$G1047&amp;"|"&amp;$J1047)</f>
        <v/>
      </c>
      <c r="L1047" s="10" t="str">
        <f aca="false">IF($A1047="","",ROW()-2)</f>
        <v/>
      </c>
      <c r="M1047" s="10" t="str">
        <f aca="false">IF($A1047="","",ROW())</f>
        <v/>
      </c>
    </row>
    <row r="1048" customFormat="false" ht="15" hidden="false" customHeight="true" outlineLevel="0" collapsed="false">
      <c r="A1048" s="8"/>
      <c r="B1048" s="8"/>
      <c r="C1048" s="8"/>
      <c r="D1048" s="8"/>
      <c r="E1048" s="8"/>
      <c r="F1048" s="8"/>
      <c r="G1048" s="10" t="str">
        <f aca="false">IF($A1048="","",UPPER(SUBSTITUTE(SUBSTITUTE(SUBSTITUTE(SUBSTITUTE($A1048," ",""),"(주)",""),"주식회사",""),"㈜","")))</f>
        <v/>
      </c>
      <c r="H1048" s="10" t="str">
        <f aca="false">IF($B1048="","",SUBSTITUTE(SUBSTITUTE(SUBSTITUTE($B1048,"-","")," ",""),".",""))</f>
        <v/>
      </c>
      <c r="I1048" s="10" t="str">
        <f aca="false">IF($D1048="","",SUBSTITUTE(SUBSTITUTE(SUBSTITUTE($D1048,"-","")," ",""),".",""))</f>
        <v/>
      </c>
      <c r="J1048" s="10" t="str">
        <f aca="false">IF($E1048="","",UPPER(SUBSTITUTE($E1048," ","")))</f>
        <v/>
      </c>
      <c r="K1048" s="10" t="str">
        <f aca="false">IF($A1048="","",$G1048&amp;"|"&amp;$J1048)</f>
        <v/>
      </c>
      <c r="L1048" s="10" t="str">
        <f aca="false">IF($A1048="","",ROW()-2)</f>
        <v/>
      </c>
      <c r="M1048" s="10" t="str">
        <f aca="false">IF($A1048="","",ROW())</f>
        <v/>
      </c>
    </row>
    <row r="1049" customFormat="false" ht="15" hidden="false" customHeight="true" outlineLevel="0" collapsed="false">
      <c r="A1049" s="8"/>
      <c r="B1049" s="8"/>
      <c r="C1049" s="8"/>
      <c r="D1049" s="8"/>
      <c r="E1049" s="8"/>
      <c r="F1049" s="8"/>
      <c r="G1049" s="10" t="str">
        <f aca="false">IF($A1049="","",UPPER(SUBSTITUTE(SUBSTITUTE(SUBSTITUTE(SUBSTITUTE($A1049," ",""),"(주)",""),"주식회사",""),"㈜","")))</f>
        <v/>
      </c>
      <c r="H1049" s="10" t="str">
        <f aca="false">IF($B1049="","",SUBSTITUTE(SUBSTITUTE(SUBSTITUTE($B1049,"-","")," ",""),".",""))</f>
        <v/>
      </c>
      <c r="I1049" s="10" t="str">
        <f aca="false">IF($D1049="","",SUBSTITUTE(SUBSTITUTE(SUBSTITUTE($D1049,"-","")," ",""),".",""))</f>
        <v/>
      </c>
      <c r="J1049" s="10" t="str">
        <f aca="false">IF($E1049="","",UPPER(SUBSTITUTE($E1049," ","")))</f>
        <v/>
      </c>
      <c r="K1049" s="10" t="str">
        <f aca="false">IF($A1049="","",$G1049&amp;"|"&amp;$J1049)</f>
        <v/>
      </c>
      <c r="L1049" s="10" t="str">
        <f aca="false">IF($A1049="","",ROW()-2)</f>
        <v/>
      </c>
      <c r="M1049" s="10" t="str">
        <f aca="false">IF($A1049="","",ROW())</f>
        <v/>
      </c>
    </row>
    <row r="1050" customFormat="false" ht="15" hidden="false" customHeight="true" outlineLevel="0" collapsed="false">
      <c r="A1050" s="8"/>
      <c r="B1050" s="8"/>
      <c r="C1050" s="8"/>
      <c r="D1050" s="8"/>
      <c r="E1050" s="8"/>
      <c r="F1050" s="8"/>
      <c r="G1050" s="10" t="str">
        <f aca="false">IF($A1050="","",UPPER(SUBSTITUTE(SUBSTITUTE(SUBSTITUTE(SUBSTITUTE($A1050," ",""),"(주)",""),"주식회사",""),"㈜","")))</f>
        <v/>
      </c>
      <c r="H1050" s="10" t="str">
        <f aca="false">IF($B1050="","",SUBSTITUTE(SUBSTITUTE(SUBSTITUTE($B1050,"-","")," ",""),".",""))</f>
        <v/>
      </c>
      <c r="I1050" s="10" t="str">
        <f aca="false">IF($D1050="","",SUBSTITUTE(SUBSTITUTE(SUBSTITUTE($D1050,"-","")," ",""),".",""))</f>
        <v/>
      </c>
      <c r="J1050" s="10" t="str">
        <f aca="false">IF($E1050="","",UPPER(SUBSTITUTE($E1050," ","")))</f>
        <v/>
      </c>
      <c r="K1050" s="10" t="str">
        <f aca="false">IF($A1050="","",$G1050&amp;"|"&amp;$J1050)</f>
        <v/>
      </c>
      <c r="L1050" s="10" t="str">
        <f aca="false">IF($A1050="","",ROW()-2)</f>
        <v/>
      </c>
      <c r="M1050" s="10" t="str">
        <f aca="false">IF($A1050="","",ROW())</f>
        <v/>
      </c>
    </row>
    <row r="1051" customFormat="false" ht="15" hidden="false" customHeight="true" outlineLevel="0" collapsed="false">
      <c r="A1051" s="8"/>
      <c r="B1051" s="8"/>
      <c r="C1051" s="8"/>
      <c r="D1051" s="8"/>
      <c r="E1051" s="8"/>
      <c r="F1051" s="8"/>
      <c r="G1051" s="10" t="str">
        <f aca="false">IF($A1051="","",UPPER(SUBSTITUTE(SUBSTITUTE(SUBSTITUTE(SUBSTITUTE($A1051," ",""),"(주)",""),"주식회사",""),"㈜","")))</f>
        <v/>
      </c>
      <c r="H1051" s="10" t="str">
        <f aca="false">IF($B1051="","",SUBSTITUTE(SUBSTITUTE(SUBSTITUTE($B1051,"-","")," ",""),".",""))</f>
        <v/>
      </c>
      <c r="I1051" s="10" t="str">
        <f aca="false">IF($D1051="","",SUBSTITUTE(SUBSTITUTE(SUBSTITUTE($D1051,"-","")," ",""),".",""))</f>
        <v/>
      </c>
      <c r="J1051" s="10" t="str">
        <f aca="false">IF($E1051="","",UPPER(SUBSTITUTE($E1051," ","")))</f>
        <v/>
      </c>
      <c r="K1051" s="10" t="str">
        <f aca="false">IF($A1051="","",$G1051&amp;"|"&amp;$J1051)</f>
        <v/>
      </c>
      <c r="L1051" s="10" t="str">
        <f aca="false">IF($A1051="","",ROW()-2)</f>
        <v/>
      </c>
      <c r="M1051" s="10" t="str">
        <f aca="false">IF($A1051="","",ROW())</f>
        <v/>
      </c>
    </row>
    <row r="1052" customFormat="false" ht="15" hidden="false" customHeight="true" outlineLevel="0" collapsed="false">
      <c r="A1052" s="8"/>
      <c r="B1052" s="8"/>
      <c r="C1052" s="8"/>
      <c r="D1052" s="8"/>
      <c r="E1052" s="8"/>
      <c r="F1052" s="8"/>
      <c r="G1052" s="10" t="str">
        <f aca="false">IF($A1052="","",UPPER(SUBSTITUTE(SUBSTITUTE(SUBSTITUTE(SUBSTITUTE($A1052," ",""),"(주)",""),"주식회사",""),"㈜","")))</f>
        <v/>
      </c>
      <c r="H1052" s="10" t="str">
        <f aca="false">IF($B1052="","",SUBSTITUTE(SUBSTITUTE(SUBSTITUTE($B1052,"-","")," ",""),".",""))</f>
        <v/>
      </c>
      <c r="I1052" s="10" t="str">
        <f aca="false">IF($D1052="","",SUBSTITUTE(SUBSTITUTE(SUBSTITUTE($D1052,"-","")," ",""),".",""))</f>
        <v/>
      </c>
      <c r="J1052" s="10" t="str">
        <f aca="false">IF($E1052="","",UPPER(SUBSTITUTE($E1052," ","")))</f>
        <v/>
      </c>
      <c r="K1052" s="10" t="str">
        <f aca="false">IF($A1052="","",$G1052&amp;"|"&amp;$J1052)</f>
        <v/>
      </c>
      <c r="L1052" s="10" t="str">
        <f aca="false">IF($A1052="","",ROW()-2)</f>
        <v/>
      </c>
      <c r="M1052" s="10" t="str">
        <f aca="false">IF($A1052="","",ROW())</f>
        <v/>
      </c>
    </row>
    <row r="1053" customFormat="false" ht="15" hidden="false" customHeight="true" outlineLevel="0" collapsed="false">
      <c r="A1053" s="8"/>
      <c r="B1053" s="8"/>
      <c r="C1053" s="8"/>
      <c r="D1053" s="8"/>
      <c r="E1053" s="8"/>
      <c r="F1053" s="8"/>
      <c r="G1053" s="10" t="str">
        <f aca="false">IF($A1053="","",UPPER(SUBSTITUTE(SUBSTITUTE(SUBSTITUTE(SUBSTITUTE($A1053," ",""),"(주)",""),"주식회사",""),"㈜","")))</f>
        <v/>
      </c>
      <c r="H1053" s="10" t="str">
        <f aca="false">IF($B1053="","",SUBSTITUTE(SUBSTITUTE(SUBSTITUTE($B1053,"-","")," ",""),".",""))</f>
        <v/>
      </c>
      <c r="I1053" s="10" t="str">
        <f aca="false">IF($D1053="","",SUBSTITUTE(SUBSTITUTE(SUBSTITUTE($D1053,"-","")," ",""),".",""))</f>
        <v/>
      </c>
      <c r="J1053" s="10" t="str">
        <f aca="false">IF($E1053="","",UPPER(SUBSTITUTE($E1053," ","")))</f>
        <v/>
      </c>
      <c r="K1053" s="10" t="str">
        <f aca="false">IF($A1053="","",$G1053&amp;"|"&amp;$J1053)</f>
        <v/>
      </c>
      <c r="L1053" s="10" t="str">
        <f aca="false">IF($A1053="","",ROW()-2)</f>
        <v/>
      </c>
      <c r="M1053" s="10" t="str">
        <f aca="false">IF($A1053="","",ROW())</f>
        <v/>
      </c>
    </row>
    <row r="1054" customFormat="false" ht="15" hidden="false" customHeight="true" outlineLevel="0" collapsed="false">
      <c r="A1054" s="8"/>
      <c r="B1054" s="8"/>
      <c r="C1054" s="8"/>
      <c r="D1054" s="8"/>
      <c r="E1054" s="8"/>
      <c r="F1054" s="8"/>
      <c r="G1054" s="10" t="str">
        <f aca="false">IF($A1054="","",UPPER(SUBSTITUTE(SUBSTITUTE(SUBSTITUTE(SUBSTITUTE($A1054," ",""),"(주)",""),"주식회사",""),"㈜","")))</f>
        <v/>
      </c>
      <c r="H1054" s="10" t="str">
        <f aca="false">IF($B1054="","",SUBSTITUTE(SUBSTITUTE(SUBSTITUTE($B1054,"-","")," ",""),".",""))</f>
        <v/>
      </c>
      <c r="I1054" s="10" t="str">
        <f aca="false">IF($D1054="","",SUBSTITUTE(SUBSTITUTE(SUBSTITUTE($D1054,"-","")," ",""),".",""))</f>
        <v/>
      </c>
      <c r="J1054" s="10" t="str">
        <f aca="false">IF($E1054="","",UPPER(SUBSTITUTE($E1054," ","")))</f>
        <v/>
      </c>
      <c r="K1054" s="10" t="str">
        <f aca="false">IF($A1054="","",$G1054&amp;"|"&amp;$J1054)</f>
        <v/>
      </c>
      <c r="L1054" s="10" t="str">
        <f aca="false">IF($A1054="","",ROW()-2)</f>
        <v/>
      </c>
      <c r="M1054" s="10" t="str">
        <f aca="false">IF($A1054="","",ROW())</f>
        <v/>
      </c>
    </row>
    <row r="1055" customFormat="false" ht="15" hidden="false" customHeight="true" outlineLevel="0" collapsed="false">
      <c r="A1055" s="8"/>
      <c r="B1055" s="8"/>
      <c r="C1055" s="8"/>
      <c r="D1055" s="8"/>
      <c r="E1055" s="8"/>
      <c r="F1055" s="8"/>
      <c r="G1055" s="10" t="str">
        <f aca="false">IF($A1055="","",UPPER(SUBSTITUTE(SUBSTITUTE(SUBSTITUTE(SUBSTITUTE($A1055," ",""),"(주)",""),"주식회사",""),"㈜","")))</f>
        <v/>
      </c>
      <c r="H1055" s="10" t="str">
        <f aca="false">IF($B1055="","",SUBSTITUTE(SUBSTITUTE(SUBSTITUTE($B1055,"-","")," ",""),".",""))</f>
        <v/>
      </c>
      <c r="I1055" s="10" t="str">
        <f aca="false">IF($D1055="","",SUBSTITUTE(SUBSTITUTE(SUBSTITUTE($D1055,"-","")," ",""),".",""))</f>
        <v/>
      </c>
      <c r="J1055" s="10" t="str">
        <f aca="false">IF($E1055="","",UPPER(SUBSTITUTE($E1055," ","")))</f>
        <v/>
      </c>
      <c r="K1055" s="10" t="str">
        <f aca="false">IF($A1055="","",$G1055&amp;"|"&amp;$J1055)</f>
        <v/>
      </c>
      <c r="L1055" s="10" t="str">
        <f aca="false">IF($A1055="","",ROW()-2)</f>
        <v/>
      </c>
      <c r="M1055" s="10" t="str">
        <f aca="false">IF($A1055="","",ROW())</f>
        <v/>
      </c>
    </row>
    <row r="1056" customFormat="false" ht="15" hidden="false" customHeight="true" outlineLevel="0" collapsed="false">
      <c r="A1056" s="8"/>
      <c r="B1056" s="8"/>
      <c r="C1056" s="8"/>
      <c r="D1056" s="8"/>
      <c r="E1056" s="8"/>
      <c r="F1056" s="8"/>
      <c r="G1056" s="10" t="str">
        <f aca="false">IF($A1056="","",UPPER(SUBSTITUTE(SUBSTITUTE(SUBSTITUTE(SUBSTITUTE($A1056," ",""),"(주)",""),"주식회사",""),"㈜","")))</f>
        <v/>
      </c>
      <c r="H1056" s="10" t="str">
        <f aca="false">IF($B1056="","",SUBSTITUTE(SUBSTITUTE(SUBSTITUTE($B1056,"-","")," ",""),".",""))</f>
        <v/>
      </c>
      <c r="I1056" s="10" t="str">
        <f aca="false">IF($D1056="","",SUBSTITUTE(SUBSTITUTE(SUBSTITUTE($D1056,"-","")," ",""),".",""))</f>
        <v/>
      </c>
      <c r="J1056" s="10" t="str">
        <f aca="false">IF($E1056="","",UPPER(SUBSTITUTE($E1056," ","")))</f>
        <v/>
      </c>
      <c r="K1056" s="10" t="str">
        <f aca="false">IF($A1056="","",$G1056&amp;"|"&amp;$J1056)</f>
        <v/>
      </c>
      <c r="L1056" s="10" t="str">
        <f aca="false">IF($A1056="","",ROW()-2)</f>
        <v/>
      </c>
      <c r="M1056" s="10" t="str">
        <f aca="false">IF($A1056="","",ROW())</f>
        <v/>
      </c>
    </row>
    <row r="1057" customFormat="false" ht="15" hidden="false" customHeight="true" outlineLevel="0" collapsed="false">
      <c r="A1057" s="8"/>
      <c r="B1057" s="8"/>
      <c r="C1057" s="8"/>
      <c r="D1057" s="8"/>
      <c r="E1057" s="8"/>
      <c r="F1057" s="8"/>
      <c r="G1057" s="10" t="str">
        <f aca="false">IF($A1057="","",UPPER(SUBSTITUTE(SUBSTITUTE(SUBSTITUTE(SUBSTITUTE($A1057," ",""),"(주)",""),"주식회사",""),"㈜","")))</f>
        <v/>
      </c>
      <c r="H1057" s="10" t="str">
        <f aca="false">IF($B1057="","",SUBSTITUTE(SUBSTITUTE(SUBSTITUTE($B1057,"-","")," ",""),".",""))</f>
        <v/>
      </c>
      <c r="I1057" s="10" t="str">
        <f aca="false">IF($D1057="","",SUBSTITUTE(SUBSTITUTE(SUBSTITUTE($D1057,"-","")," ",""),".",""))</f>
        <v/>
      </c>
      <c r="J1057" s="10" t="str">
        <f aca="false">IF($E1057="","",UPPER(SUBSTITUTE($E1057," ","")))</f>
        <v/>
      </c>
      <c r="K1057" s="10" t="str">
        <f aca="false">IF($A1057="","",$G1057&amp;"|"&amp;$J1057)</f>
        <v/>
      </c>
      <c r="L1057" s="10" t="str">
        <f aca="false">IF($A1057="","",ROW()-2)</f>
        <v/>
      </c>
      <c r="M1057" s="10" t="str">
        <f aca="false">IF($A1057="","",ROW())</f>
        <v/>
      </c>
    </row>
    <row r="1058" customFormat="false" ht="15" hidden="false" customHeight="true" outlineLevel="0" collapsed="false">
      <c r="A1058" s="8"/>
      <c r="B1058" s="8"/>
      <c r="C1058" s="8"/>
      <c r="D1058" s="8"/>
      <c r="E1058" s="8"/>
      <c r="F1058" s="8"/>
      <c r="G1058" s="10" t="str">
        <f aca="false">IF($A1058="","",UPPER(SUBSTITUTE(SUBSTITUTE(SUBSTITUTE(SUBSTITUTE($A1058," ",""),"(주)",""),"주식회사",""),"㈜","")))</f>
        <v/>
      </c>
      <c r="H1058" s="10" t="str">
        <f aca="false">IF($B1058="","",SUBSTITUTE(SUBSTITUTE(SUBSTITUTE($B1058,"-","")," ",""),".",""))</f>
        <v/>
      </c>
      <c r="I1058" s="10" t="str">
        <f aca="false">IF($D1058="","",SUBSTITUTE(SUBSTITUTE(SUBSTITUTE($D1058,"-","")," ",""),".",""))</f>
        <v/>
      </c>
      <c r="J1058" s="10" t="str">
        <f aca="false">IF($E1058="","",UPPER(SUBSTITUTE($E1058," ","")))</f>
        <v/>
      </c>
      <c r="K1058" s="10" t="str">
        <f aca="false">IF($A1058="","",$G1058&amp;"|"&amp;$J1058)</f>
        <v/>
      </c>
      <c r="L1058" s="10" t="str">
        <f aca="false">IF($A1058="","",ROW()-2)</f>
        <v/>
      </c>
      <c r="M1058" s="10" t="str">
        <f aca="false">IF($A1058="","",ROW())</f>
        <v/>
      </c>
    </row>
    <row r="1059" customFormat="false" ht="15" hidden="false" customHeight="true" outlineLevel="0" collapsed="false">
      <c r="A1059" s="8"/>
      <c r="B1059" s="8"/>
      <c r="C1059" s="8"/>
      <c r="D1059" s="8"/>
      <c r="E1059" s="8"/>
      <c r="F1059" s="8"/>
      <c r="G1059" s="10" t="str">
        <f aca="false">IF($A1059="","",UPPER(SUBSTITUTE(SUBSTITUTE(SUBSTITUTE(SUBSTITUTE($A1059," ",""),"(주)",""),"주식회사",""),"㈜","")))</f>
        <v/>
      </c>
      <c r="H1059" s="10" t="str">
        <f aca="false">IF($B1059="","",SUBSTITUTE(SUBSTITUTE(SUBSTITUTE($B1059,"-","")," ",""),".",""))</f>
        <v/>
      </c>
      <c r="I1059" s="10" t="str">
        <f aca="false">IF($D1059="","",SUBSTITUTE(SUBSTITUTE(SUBSTITUTE($D1059,"-","")," ",""),".",""))</f>
        <v/>
      </c>
      <c r="J1059" s="10" t="str">
        <f aca="false">IF($E1059="","",UPPER(SUBSTITUTE($E1059," ","")))</f>
        <v/>
      </c>
      <c r="K1059" s="10" t="str">
        <f aca="false">IF($A1059="","",$G1059&amp;"|"&amp;$J1059)</f>
        <v/>
      </c>
      <c r="L1059" s="10" t="str">
        <f aca="false">IF($A1059="","",ROW()-2)</f>
        <v/>
      </c>
      <c r="M1059" s="10" t="str">
        <f aca="false">IF($A1059="","",ROW())</f>
        <v/>
      </c>
    </row>
    <row r="1060" customFormat="false" ht="15" hidden="false" customHeight="true" outlineLevel="0" collapsed="false">
      <c r="A1060" s="8"/>
      <c r="B1060" s="8"/>
      <c r="C1060" s="8"/>
      <c r="D1060" s="8"/>
      <c r="E1060" s="8"/>
      <c r="F1060" s="8"/>
      <c r="G1060" s="10" t="str">
        <f aca="false">IF($A1060="","",UPPER(SUBSTITUTE(SUBSTITUTE(SUBSTITUTE(SUBSTITUTE($A1060," ",""),"(주)",""),"주식회사",""),"㈜","")))</f>
        <v/>
      </c>
      <c r="H1060" s="10" t="str">
        <f aca="false">IF($B1060="","",SUBSTITUTE(SUBSTITUTE(SUBSTITUTE($B1060,"-","")," ",""),".",""))</f>
        <v/>
      </c>
      <c r="I1060" s="10" t="str">
        <f aca="false">IF($D1060="","",SUBSTITUTE(SUBSTITUTE(SUBSTITUTE($D1060,"-","")," ",""),".",""))</f>
        <v/>
      </c>
      <c r="J1060" s="10" t="str">
        <f aca="false">IF($E1060="","",UPPER(SUBSTITUTE($E1060," ","")))</f>
        <v/>
      </c>
      <c r="K1060" s="10" t="str">
        <f aca="false">IF($A1060="","",$G1060&amp;"|"&amp;$J1060)</f>
        <v/>
      </c>
      <c r="L1060" s="10" t="str">
        <f aca="false">IF($A1060="","",ROW()-2)</f>
        <v/>
      </c>
      <c r="M1060" s="10" t="str">
        <f aca="false">IF($A1060="","",ROW())</f>
        <v/>
      </c>
    </row>
    <row r="1061" customFormat="false" ht="15" hidden="false" customHeight="true" outlineLevel="0" collapsed="false">
      <c r="A1061" s="8"/>
      <c r="B1061" s="8"/>
      <c r="C1061" s="8"/>
      <c r="D1061" s="8"/>
      <c r="E1061" s="8"/>
      <c r="F1061" s="8"/>
      <c r="G1061" s="10" t="str">
        <f aca="false">IF($A1061="","",UPPER(SUBSTITUTE(SUBSTITUTE(SUBSTITUTE(SUBSTITUTE($A1061," ",""),"(주)",""),"주식회사",""),"㈜","")))</f>
        <v/>
      </c>
      <c r="H1061" s="10" t="str">
        <f aca="false">IF($B1061="","",SUBSTITUTE(SUBSTITUTE(SUBSTITUTE($B1061,"-","")," ",""),".",""))</f>
        <v/>
      </c>
      <c r="I1061" s="10" t="str">
        <f aca="false">IF($D1061="","",SUBSTITUTE(SUBSTITUTE(SUBSTITUTE($D1061,"-","")," ",""),".",""))</f>
        <v/>
      </c>
      <c r="J1061" s="10" t="str">
        <f aca="false">IF($E1061="","",UPPER(SUBSTITUTE($E1061," ","")))</f>
        <v/>
      </c>
      <c r="K1061" s="10" t="str">
        <f aca="false">IF($A1061="","",$G1061&amp;"|"&amp;$J1061)</f>
        <v/>
      </c>
      <c r="L1061" s="10" t="str">
        <f aca="false">IF($A1061="","",ROW()-2)</f>
        <v/>
      </c>
      <c r="M1061" s="10" t="str">
        <f aca="false">IF($A1061="","",ROW())</f>
        <v/>
      </c>
    </row>
    <row r="1062" customFormat="false" ht="15" hidden="false" customHeight="true" outlineLevel="0" collapsed="false">
      <c r="A1062" s="8"/>
      <c r="B1062" s="8"/>
      <c r="C1062" s="8"/>
      <c r="D1062" s="8"/>
      <c r="E1062" s="8"/>
      <c r="F1062" s="8"/>
      <c r="G1062" s="10" t="str">
        <f aca="false">IF($A1062="","",UPPER(SUBSTITUTE(SUBSTITUTE(SUBSTITUTE(SUBSTITUTE($A1062," ",""),"(주)",""),"주식회사",""),"㈜","")))</f>
        <v/>
      </c>
      <c r="H1062" s="10" t="str">
        <f aca="false">IF($B1062="","",SUBSTITUTE(SUBSTITUTE(SUBSTITUTE($B1062,"-","")," ",""),".",""))</f>
        <v/>
      </c>
      <c r="I1062" s="10" t="str">
        <f aca="false">IF($D1062="","",SUBSTITUTE(SUBSTITUTE(SUBSTITUTE($D1062,"-","")," ",""),".",""))</f>
        <v/>
      </c>
      <c r="J1062" s="10" t="str">
        <f aca="false">IF($E1062="","",UPPER(SUBSTITUTE($E1062," ","")))</f>
        <v/>
      </c>
      <c r="K1062" s="10" t="str">
        <f aca="false">IF($A1062="","",$G1062&amp;"|"&amp;$J1062)</f>
        <v/>
      </c>
      <c r="L1062" s="10" t="str">
        <f aca="false">IF($A1062="","",ROW()-2)</f>
        <v/>
      </c>
      <c r="M1062" s="10" t="str">
        <f aca="false">IF($A1062="","",ROW())</f>
        <v/>
      </c>
    </row>
    <row r="1063" customFormat="false" ht="15" hidden="false" customHeight="true" outlineLevel="0" collapsed="false">
      <c r="A1063" s="8"/>
      <c r="B1063" s="8"/>
      <c r="C1063" s="8"/>
      <c r="D1063" s="8"/>
      <c r="E1063" s="8"/>
      <c r="F1063" s="8"/>
      <c r="G1063" s="10" t="str">
        <f aca="false">IF($A1063="","",UPPER(SUBSTITUTE(SUBSTITUTE(SUBSTITUTE(SUBSTITUTE($A1063," ",""),"(주)",""),"주식회사",""),"㈜","")))</f>
        <v/>
      </c>
      <c r="H1063" s="10" t="str">
        <f aca="false">IF($B1063="","",SUBSTITUTE(SUBSTITUTE(SUBSTITUTE($B1063,"-","")," ",""),".",""))</f>
        <v/>
      </c>
      <c r="I1063" s="10" t="str">
        <f aca="false">IF($D1063="","",SUBSTITUTE(SUBSTITUTE(SUBSTITUTE($D1063,"-","")," ",""),".",""))</f>
        <v/>
      </c>
      <c r="J1063" s="10" t="str">
        <f aca="false">IF($E1063="","",UPPER(SUBSTITUTE($E1063," ","")))</f>
        <v/>
      </c>
      <c r="K1063" s="10" t="str">
        <f aca="false">IF($A1063="","",$G1063&amp;"|"&amp;$J1063)</f>
        <v/>
      </c>
      <c r="L1063" s="10" t="str">
        <f aca="false">IF($A1063="","",ROW()-2)</f>
        <v/>
      </c>
      <c r="M1063" s="10" t="str">
        <f aca="false">IF($A1063="","",ROW())</f>
        <v/>
      </c>
    </row>
    <row r="1064" customFormat="false" ht="15" hidden="false" customHeight="true" outlineLevel="0" collapsed="false">
      <c r="A1064" s="8"/>
      <c r="B1064" s="8"/>
      <c r="C1064" s="8"/>
      <c r="D1064" s="8"/>
      <c r="E1064" s="8"/>
      <c r="F1064" s="8"/>
      <c r="G1064" s="10" t="str">
        <f aca="false">IF($A1064="","",UPPER(SUBSTITUTE(SUBSTITUTE(SUBSTITUTE(SUBSTITUTE($A1064," ",""),"(주)",""),"주식회사",""),"㈜","")))</f>
        <v/>
      </c>
      <c r="H1064" s="10" t="str">
        <f aca="false">IF($B1064="","",SUBSTITUTE(SUBSTITUTE(SUBSTITUTE($B1064,"-","")," ",""),".",""))</f>
        <v/>
      </c>
      <c r="I1064" s="10" t="str">
        <f aca="false">IF($D1064="","",SUBSTITUTE(SUBSTITUTE(SUBSTITUTE($D1064,"-","")," ",""),".",""))</f>
        <v/>
      </c>
      <c r="J1064" s="10" t="str">
        <f aca="false">IF($E1064="","",UPPER(SUBSTITUTE($E1064," ","")))</f>
        <v/>
      </c>
      <c r="K1064" s="10" t="str">
        <f aca="false">IF($A1064="","",$G1064&amp;"|"&amp;$J1064)</f>
        <v/>
      </c>
      <c r="L1064" s="10" t="str">
        <f aca="false">IF($A1064="","",ROW()-2)</f>
        <v/>
      </c>
      <c r="M1064" s="10" t="str">
        <f aca="false">IF($A1064="","",ROW())</f>
        <v/>
      </c>
    </row>
    <row r="1065" customFormat="false" ht="15" hidden="false" customHeight="true" outlineLevel="0" collapsed="false">
      <c r="A1065" s="8"/>
      <c r="B1065" s="8"/>
      <c r="C1065" s="8"/>
      <c r="D1065" s="8"/>
      <c r="E1065" s="8"/>
      <c r="F1065" s="8"/>
      <c r="G1065" s="10" t="str">
        <f aca="false">IF($A1065="","",UPPER(SUBSTITUTE(SUBSTITUTE(SUBSTITUTE(SUBSTITUTE($A1065," ",""),"(주)",""),"주식회사",""),"㈜","")))</f>
        <v/>
      </c>
      <c r="H1065" s="10" t="str">
        <f aca="false">IF($B1065="","",SUBSTITUTE(SUBSTITUTE(SUBSTITUTE($B1065,"-","")," ",""),".",""))</f>
        <v/>
      </c>
      <c r="I1065" s="10" t="str">
        <f aca="false">IF($D1065="","",SUBSTITUTE(SUBSTITUTE(SUBSTITUTE($D1065,"-","")," ",""),".",""))</f>
        <v/>
      </c>
      <c r="J1065" s="10" t="str">
        <f aca="false">IF($E1065="","",UPPER(SUBSTITUTE($E1065," ","")))</f>
        <v/>
      </c>
      <c r="K1065" s="10" t="str">
        <f aca="false">IF($A1065="","",$G1065&amp;"|"&amp;$J1065)</f>
        <v/>
      </c>
      <c r="L1065" s="10" t="str">
        <f aca="false">IF($A1065="","",ROW()-2)</f>
        <v/>
      </c>
      <c r="M1065" s="10" t="str">
        <f aca="false">IF($A1065="","",ROW())</f>
        <v/>
      </c>
    </row>
    <row r="1066" customFormat="false" ht="15" hidden="false" customHeight="true" outlineLevel="0" collapsed="false">
      <c r="A1066" s="8"/>
      <c r="B1066" s="8"/>
      <c r="C1066" s="8"/>
      <c r="D1066" s="8"/>
      <c r="E1066" s="8"/>
      <c r="F1066" s="8"/>
      <c r="G1066" s="10" t="str">
        <f aca="false">IF($A1066="","",UPPER(SUBSTITUTE(SUBSTITUTE(SUBSTITUTE(SUBSTITUTE($A1066," ",""),"(주)",""),"주식회사",""),"㈜","")))</f>
        <v/>
      </c>
      <c r="H1066" s="10" t="str">
        <f aca="false">IF($B1066="","",SUBSTITUTE(SUBSTITUTE(SUBSTITUTE($B1066,"-","")," ",""),".",""))</f>
        <v/>
      </c>
      <c r="I1066" s="10" t="str">
        <f aca="false">IF($D1066="","",SUBSTITUTE(SUBSTITUTE(SUBSTITUTE($D1066,"-","")," ",""),".",""))</f>
        <v/>
      </c>
      <c r="J1066" s="10" t="str">
        <f aca="false">IF($E1066="","",UPPER(SUBSTITUTE($E1066," ","")))</f>
        <v/>
      </c>
      <c r="K1066" s="10" t="str">
        <f aca="false">IF($A1066="","",$G1066&amp;"|"&amp;$J1066)</f>
        <v/>
      </c>
      <c r="L1066" s="10" t="str">
        <f aca="false">IF($A1066="","",ROW()-2)</f>
        <v/>
      </c>
      <c r="M1066" s="10" t="str">
        <f aca="false">IF($A1066="","",ROW())</f>
        <v/>
      </c>
    </row>
    <row r="1067" customFormat="false" ht="15" hidden="false" customHeight="true" outlineLevel="0" collapsed="false">
      <c r="A1067" s="8"/>
      <c r="B1067" s="8"/>
      <c r="C1067" s="8"/>
      <c r="D1067" s="8"/>
      <c r="E1067" s="8"/>
      <c r="F1067" s="8"/>
      <c r="G1067" s="10" t="str">
        <f aca="false">IF($A1067="","",UPPER(SUBSTITUTE(SUBSTITUTE(SUBSTITUTE(SUBSTITUTE($A1067," ",""),"(주)",""),"주식회사",""),"㈜","")))</f>
        <v/>
      </c>
      <c r="H1067" s="10" t="str">
        <f aca="false">IF($B1067="","",SUBSTITUTE(SUBSTITUTE(SUBSTITUTE($B1067,"-","")," ",""),".",""))</f>
        <v/>
      </c>
      <c r="I1067" s="10" t="str">
        <f aca="false">IF($D1067="","",SUBSTITUTE(SUBSTITUTE(SUBSTITUTE($D1067,"-","")," ",""),".",""))</f>
        <v/>
      </c>
      <c r="J1067" s="10" t="str">
        <f aca="false">IF($E1067="","",UPPER(SUBSTITUTE($E1067," ","")))</f>
        <v/>
      </c>
      <c r="K1067" s="10" t="str">
        <f aca="false">IF($A1067="","",$G1067&amp;"|"&amp;$J1067)</f>
        <v/>
      </c>
      <c r="L1067" s="10" t="str">
        <f aca="false">IF($A1067="","",ROW()-2)</f>
        <v/>
      </c>
      <c r="M1067" s="10" t="str">
        <f aca="false">IF($A1067="","",ROW())</f>
        <v/>
      </c>
    </row>
    <row r="1068" customFormat="false" ht="15" hidden="false" customHeight="true" outlineLevel="0" collapsed="false">
      <c r="A1068" s="8"/>
      <c r="B1068" s="8"/>
      <c r="C1068" s="8"/>
      <c r="D1068" s="8"/>
      <c r="E1068" s="8"/>
      <c r="F1068" s="8"/>
      <c r="G1068" s="10" t="str">
        <f aca="false">IF($A1068="","",UPPER(SUBSTITUTE(SUBSTITUTE(SUBSTITUTE(SUBSTITUTE($A1068," ",""),"(주)",""),"주식회사",""),"㈜","")))</f>
        <v/>
      </c>
      <c r="H1068" s="10" t="str">
        <f aca="false">IF($B1068="","",SUBSTITUTE(SUBSTITUTE(SUBSTITUTE($B1068,"-","")," ",""),".",""))</f>
        <v/>
      </c>
      <c r="I1068" s="10" t="str">
        <f aca="false">IF($D1068="","",SUBSTITUTE(SUBSTITUTE(SUBSTITUTE($D1068,"-","")," ",""),".",""))</f>
        <v/>
      </c>
      <c r="J1068" s="10" t="str">
        <f aca="false">IF($E1068="","",UPPER(SUBSTITUTE($E1068," ","")))</f>
        <v/>
      </c>
      <c r="K1068" s="10" t="str">
        <f aca="false">IF($A1068="","",$G1068&amp;"|"&amp;$J1068)</f>
        <v/>
      </c>
      <c r="L1068" s="10" t="str">
        <f aca="false">IF($A1068="","",ROW()-2)</f>
        <v/>
      </c>
      <c r="M1068" s="10" t="str">
        <f aca="false">IF($A1068="","",ROW())</f>
        <v/>
      </c>
    </row>
    <row r="1069" customFormat="false" ht="15" hidden="false" customHeight="true" outlineLevel="0" collapsed="false">
      <c r="A1069" s="8"/>
      <c r="B1069" s="8"/>
      <c r="C1069" s="8"/>
      <c r="D1069" s="8"/>
      <c r="E1069" s="8"/>
      <c r="F1069" s="8"/>
      <c r="G1069" s="10" t="str">
        <f aca="false">IF($A1069="","",UPPER(SUBSTITUTE(SUBSTITUTE(SUBSTITUTE(SUBSTITUTE($A1069," ",""),"(주)",""),"주식회사",""),"㈜","")))</f>
        <v/>
      </c>
      <c r="H1069" s="10" t="str">
        <f aca="false">IF($B1069="","",SUBSTITUTE(SUBSTITUTE(SUBSTITUTE($B1069,"-","")," ",""),".",""))</f>
        <v/>
      </c>
      <c r="I1069" s="10" t="str">
        <f aca="false">IF($D1069="","",SUBSTITUTE(SUBSTITUTE(SUBSTITUTE($D1069,"-","")," ",""),".",""))</f>
        <v/>
      </c>
      <c r="J1069" s="10" t="str">
        <f aca="false">IF($E1069="","",UPPER(SUBSTITUTE($E1069," ","")))</f>
        <v/>
      </c>
      <c r="K1069" s="10" t="str">
        <f aca="false">IF($A1069="","",$G1069&amp;"|"&amp;$J1069)</f>
        <v/>
      </c>
      <c r="L1069" s="10" t="str">
        <f aca="false">IF($A1069="","",ROW()-2)</f>
        <v/>
      </c>
      <c r="M1069" s="10" t="str">
        <f aca="false">IF($A1069="","",ROW())</f>
        <v/>
      </c>
    </row>
    <row r="1070" customFormat="false" ht="15" hidden="false" customHeight="true" outlineLevel="0" collapsed="false">
      <c r="A1070" s="8"/>
      <c r="B1070" s="8"/>
      <c r="C1070" s="8"/>
      <c r="D1070" s="8"/>
      <c r="E1070" s="8"/>
      <c r="F1070" s="8"/>
      <c r="G1070" s="10" t="str">
        <f aca="false">IF($A1070="","",UPPER(SUBSTITUTE(SUBSTITUTE(SUBSTITUTE(SUBSTITUTE($A1070," ",""),"(주)",""),"주식회사",""),"㈜","")))</f>
        <v/>
      </c>
      <c r="H1070" s="10" t="str">
        <f aca="false">IF($B1070="","",SUBSTITUTE(SUBSTITUTE(SUBSTITUTE($B1070,"-","")," ",""),".",""))</f>
        <v/>
      </c>
      <c r="I1070" s="10" t="str">
        <f aca="false">IF($D1070="","",SUBSTITUTE(SUBSTITUTE(SUBSTITUTE($D1070,"-","")," ",""),".",""))</f>
        <v/>
      </c>
      <c r="J1070" s="10" t="str">
        <f aca="false">IF($E1070="","",UPPER(SUBSTITUTE($E1070," ","")))</f>
        <v/>
      </c>
      <c r="K1070" s="10" t="str">
        <f aca="false">IF($A1070="","",$G1070&amp;"|"&amp;$J1070)</f>
        <v/>
      </c>
      <c r="L1070" s="10" t="str">
        <f aca="false">IF($A1070="","",ROW()-2)</f>
        <v/>
      </c>
      <c r="M1070" s="10" t="str">
        <f aca="false">IF($A1070="","",ROW())</f>
        <v/>
      </c>
    </row>
    <row r="1071" customFormat="false" ht="15" hidden="false" customHeight="true" outlineLevel="0" collapsed="false">
      <c r="A1071" s="8"/>
      <c r="B1071" s="8"/>
      <c r="C1071" s="8"/>
      <c r="D1071" s="8"/>
      <c r="E1071" s="8"/>
      <c r="F1071" s="8"/>
      <c r="G1071" s="10" t="str">
        <f aca="false">IF($A1071="","",UPPER(SUBSTITUTE(SUBSTITUTE(SUBSTITUTE(SUBSTITUTE($A1071," ",""),"(주)",""),"주식회사",""),"㈜","")))</f>
        <v/>
      </c>
      <c r="H1071" s="10" t="str">
        <f aca="false">IF($B1071="","",SUBSTITUTE(SUBSTITUTE(SUBSTITUTE($B1071,"-","")," ",""),".",""))</f>
        <v/>
      </c>
      <c r="I1071" s="10" t="str">
        <f aca="false">IF($D1071="","",SUBSTITUTE(SUBSTITUTE(SUBSTITUTE($D1071,"-","")," ",""),".",""))</f>
        <v/>
      </c>
      <c r="J1071" s="10" t="str">
        <f aca="false">IF($E1071="","",UPPER(SUBSTITUTE($E1071," ","")))</f>
        <v/>
      </c>
      <c r="K1071" s="10" t="str">
        <f aca="false">IF($A1071="","",$G1071&amp;"|"&amp;$J1071)</f>
        <v/>
      </c>
      <c r="L1071" s="10" t="str">
        <f aca="false">IF($A1071="","",ROW()-2)</f>
        <v/>
      </c>
      <c r="M1071" s="10" t="str">
        <f aca="false">IF($A1071="","",ROW())</f>
        <v/>
      </c>
    </row>
    <row r="1072" customFormat="false" ht="15" hidden="false" customHeight="true" outlineLevel="0" collapsed="false">
      <c r="A1072" s="8"/>
      <c r="B1072" s="8"/>
      <c r="C1072" s="8"/>
      <c r="D1072" s="8"/>
      <c r="E1072" s="8"/>
      <c r="F1072" s="8"/>
      <c r="G1072" s="10" t="str">
        <f aca="false">IF($A1072="","",UPPER(SUBSTITUTE(SUBSTITUTE(SUBSTITUTE(SUBSTITUTE($A1072," ",""),"(주)",""),"주식회사",""),"㈜","")))</f>
        <v/>
      </c>
      <c r="H1072" s="10" t="str">
        <f aca="false">IF($B1072="","",SUBSTITUTE(SUBSTITUTE(SUBSTITUTE($B1072,"-","")," ",""),".",""))</f>
        <v/>
      </c>
      <c r="I1072" s="10" t="str">
        <f aca="false">IF($D1072="","",SUBSTITUTE(SUBSTITUTE(SUBSTITUTE($D1072,"-","")," ",""),".",""))</f>
        <v/>
      </c>
      <c r="J1072" s="10" t="str">
        <f aca="false">IF($E1072="","",UPPER(SUBSTITUTE($E1072," ","")))</f>
        <v/>
      </c>
      <c r="K1072" s="10" t="str">
        <f aca="false">IF($A1072="","",$G1072&amp;"|"&amp;$J1072)</f>
        <v/>
      </c>
      <c r="L1072" s="10" t="str">
        <f aca="false">IF($A1072="","",ROW()-2)</f>
        <v/>
      </c>
      <c r="M1072" s="10" t="str">
        <f aca="false">IF($A1072="","",ROW())</f>
        <v/>
      </c>
    </row>
    <row r="1073" customFormat="false" ht="15" hidden="false" customHeight="true" outlineLevel="0" collapsed="false">
      <c r="A1073" s="8"/>
      <c r="B1073" s="8"/>
      <c r="C1073" s="8"/>
      <c r="D1073" s="8"/>
      <c r="E1073" s="8"/>
      <c r="F1073" s="8"/>
      <c r="G1073" s="10" t="str">
        <f aca="false">IF($A1073="","",UPPER(SUBSTITUTE(SUBSTITUTE(SUBSTITUTE(SUBSTITUTE($A1073," ",""),"(주)",""),"주식회사",""),"㈜","")))</f>
        <v/>
      </c>
      <c r="H1073" s="10" t="str">
        <f aca="false">IF($B1073="","",SUBSTITUTE(SUBSTITUTE(SUBSTITUTE($B1073,"-","")," ",""),".",""))</f>
        <v/>
      </c>
      <c r="I1073" s="10" t="str">
        <f aca="false">IF($D1073="","",SUBSTITUTE(SUBSTITUTE(SUBSTITUTE($D1073,"-","")," ",""),".",""))</f>
        <v/>
      </c>
      <c r="J1073" s="10" t="str">
        <f aca="false">IF($E1073="","",UPPER(SUBSTITUTE($E1073," ","")))</f>
        <v/>
      </c>
      <c r="K1073" s="10" t="str">
        <f aca="false">IF($A1073="","",$G1073&amp;"|"&amp;$J1073)</f>
        <v/>
      </c>
      <c r="L1073" s="10" t="str">
        <f aca="false">IF($A1073="","",ROW()-2)</f>
        <v/>
      </c>
      <c r="M1073" s="10" t="str">
        <f aca="false">IF($A1073="","",ROW())</f>
        <v/>
      </c>
    </row>
    <row r="1074" customFormat="false" ht="15" hidden="false" customHeight="true" outlineLevel="0" collapsed="false">
      <c r="A1074" s="8"/>
      <c r="B1074" s="8"/>
      <c r="C1074" s="8"/>
      <c r="D1074" s="8"/>
      <c r="E1074" s="8"/>
      <c r="F1074" s="8"/>
      <c r="G1074" s="10" t="str">
        <f aca="false">IF($A1074="","",UPPER(SUBSTITUTE(SUBSTITUTE(SUBSTITUTE(SUBSTITUTE($A1074," ",""),"(주)",""),"주식회사",""),"㈜","")))</f>
        <v/>
      </c>
      <c r="H1074" s="10" t="str">
        <f aca="false">IF($B1074="","",SUBSTITUTE(SUBSTITUTE(SUBSTITUTE($B1074,"-","")," ",""),".",""))</f>
        <v/>
      </c>
      <c r="I1074" s="10" t="str">
        <f aca="false">IF($D1074="","",SUBSTITUTE(SUBSTITUTE(SUBSTITUTE($D1074,"-","")," ",""),".",""))</f>
        <v/>
      </c>
      <c r="J1074" s="10" t="str">
        <f aca="false">IF($E1074="","",UPPER(SUBSTITUTE($E1074," ","")))</f>
        <v/>
      </c>
      <c r="K1074" s="10" t="str">
        <f aca="false">IF($A1074="","",$G1074&amp;"|"&amp;$J1074)</f>
        <v/>
      </c>
      <c r="L1074" s="10" t="str">
        <f aca="false">IF($A1074="","",ROW()-2)</f>
        <v/>
      </c>
      <c r="M1074" s="10" t="str">
        <f aca="false">IF($A1074="","",ROW())</f>
        <v/>
      </c>
    </row>
    <row r="1075" customFormat="false" ht="15" hidden="false" customHeight="true" outlineLevel="0" collapsed="false">
      <c r="A1075" s="8"/>
      <c r="B1075" s="8"/>
      <c r="C1075" s="8"/>
      <c r="D1075" s="8"/>
      <c r="E1075" s="8"/>
      <c r="F1075" s="8"/>
      <c r="G1075" s="10" t="str">
        <f aca="false">IF($A1075="","",UPPER(SUBSTITUTE(SUBSTITUTE(SUBSTITUTE(SUBSTITUTE($A1075," ",""),"(주)",""),"주식회사",""),"㈜","")))</f>
        <v/>
      </c>
      <c r="H1075" s="10" t="str">
        <f aca="false">IF($B1075="","",SUBSTITUTE(SUBSTITUTE(SUBSTITUTE($B1075,"-","")," ",""),".",""))</f>
        <v/>
      </c>
      <c r="I1075" s="10" t="str">
        <f aca="false">IF($D1075="","",SUBSTITUTE(SUBSTITUTE(SUBSTITUTE($D1075,"-","")," ",""),".",""))</f>
        <v/>
      </c>
      <c r="J1075" s="10" t="str">
        <f aca="false">IF($E1075="","",UPPER(SUBSTITUTE($E1075," ","")))</f>
        <v/>
      </c>
      <c r="K1075" s="10" t="str">
        <f aca="false">IF($A1075="","",$G1075&amp;"|"&amp;$J1075)</f>
        <v/>
      </c>
      <c r="L1075" s="10" t="str">
        <f aca="false">IF($A1075="","",ROW()-2)</f>
        <v/>
      </c>
      <c r="M1075" s="10" t="str">
        <f aca="false">IF($A1075="","",ROW())</f>
        <v/>
      </c>
    </row>
    <row r="1076" customFormat="false" ht="15" hidden="false" customHeight="true" outlineLevel="0" collapsed="false">
      <c r="A1076" s="8"/>
      <c r="B1076" s="8"/>
      <c r="C1076" s="8"/>
      <c r="D1076" s="8"/>
      <c r="E1076" s="8"/>
      <c r="F1076" s="8"/>
      <c r="G1076" s="10" t="str">
        <f aca="false">IF($A1076="","",UPPER(SUBSTITUTE(SUBSTITUTE(SUBSTITUTE(SUBSTITUTE($A1076," ",""),"(주)",""),"주식회사",""),"㈜","")))</f>
        <v/>
      </c>
      <c r="H1076" s="10" t="str">
        <f aca="false">IF($B1076="","",SUBSTITUTE(SUBSTITUTE(SUBSTITUTE($B1076,"-","")," ",""),".",""))</f>
        <v/>
      </c>
      <c r="I1076" s="10" t="str">
        <f aca="false">IF($D1076="","",SUBSTITUTE(SUBSTITUTE(SUBSTITUTE($D1076,"-","")," ",""),".",""))</f>
        <v/>
      </c>
      <c r="J1076" s="10" t="str">
        <f aca="false">IF($E1076="","",UPPER(SUBSTITUTE($E1076," ","")))</f>
        <v/>
      </c>
      <c r="K1076" s="10" t="str">
        <f aca="false">IF($A1076="","",$G1076&amp;"|"&amp;$J1076)</f>
        <v/>
      </c>
      <c r="L1076" s="10" t="str">
        <f aca="false">IF($A1076="","",ROW()-2)</f>
        <v/>
      </c>
      <c r="M1076" s="10" t="str">
        <f aca="false">IF($A1076="","",ROW())</f>
        <v/>
      </c>
    </row>
    <row r="1077" customFormat="false" ht="15" hidden="false" customHeight="true" outlineLevel="0" collapsed="false">
      <c r="A1077" s="8"/>
      <c r="B1077" s="8"/>
      <c r="C1077" s="8"/>
      <c r="D1077" s="8"/>
      <c r="E1077" s="8"/>
      <c r="F1077" s="8"/>
      <c r="G1077" s="10" t="str">
        <f aca="false">IF($A1077="","",UPPER(SUBSTITUTE(SUBSTITUTE(SUBSTITUTE(SUBSTITUTE($A1077," ",""),"(주)",""),"주식회사",""),"㈜","")))</f>
        <v/>
      </c>
      <c r="H1077" s="10" t="str">
        <f aca="false">IF($B1077="","",SUBSTITUTE(SUBSTITUTE(SUBSTITUTE($B1077,"-","")," ",""),".",""))</f>
        <v/>
      </c>
      <c r="I1077" s="10" t="str">
        <f aca="false">IF($D1077="","",SUBSTITUTE(SUBSTITUTE(SUBSTITUTE($D1077,"-","")," ",""),".",""))</f>
        <v/>
      </c>
      <c r="J1077" s="10" t="str">
        <f aca="false">IF($E1077="","",UPPER(SUBSTITUTE($E1077," ","")))</f>
        <v/>
      </c>
      <c r="K1077" s="10" t="str">
        <f aca="false">IF($A1077="","",$G1077&amp;"|"&amp;$J1077)</f>
        <v/>
      </c>
      <c r="L1077" s="10" t="str">
        <f aca="false">IF($A1077="","",ROW()-2)</f>
        <v/>
      </c>
      <c r="M1077" s="10" t="str">
        <f aca="false">IF($A1077="","",ROW())</f>
        <v/>
      </c>
    </row>
    <row r="1078" customFormat="false" ht="15" hidden="false" customHeight="true" outlineLevel="0" collapsed="false">
      <c r="A1078" s="8"/>
      <c r="B1078" s="8"/>
      <c r="C1078" s="8"/>
      <c r="D1078" s="8"/>
      <c r="E1078" s="8"/>
      <c r="F1078" s="8"/>
      <c r="G1078" s="10" t="str">
        <f aca="false">IF($A1078="","",UPPER(SUBSTITUTE(SUBSTITUTE(SUBSTITUTE(SUBSTITUTE($A1078," ",""),"(주)",""),"주식회사",""),"㈜","")))</f>
        <v/>
      </c>
      <c r="H1078" s="10" t="str">
        <f aca="false">IF($B1078="","",SUBSTITUTE(SUBSTITUTE(SUBSTITUTE($B1078,"-","")," ",""),".",""))</f>
        <v/>
      </c>
      <c r="I1078" s="10" t="str">
        <f aca="false">IF($D1078="","",SUBSTITUTE(SUBSTITUTE(SUBSTITUTE($D1078,"-","")," ",""),".",""))</f>
        <v/>
      </c>
      <c r="J1078" s="10" t="str">
        <f aca="false">IF($E1078="","",UPPER(SUBSTITUTE($E1078," ","")))</f>
        <v/>
      </c>
      <c r="K1078" s="10" t="str">
        <f aca="false">IF($A1078="","",$G1078&amp;"|"&amp;$J1078)</f>
        <v/>
      </c>
      <c r="L1078" s="10" t="str">
        <f aca="false">IF($A1078="","",ROW()-2)</f>
        <v/>
      </c>
      <c r="M1078" s="10" t="str">
        <f aca="false">IF($A1078="","",ROW())</f>
        <v/>
      </c>
    </row>
    <row r="1079" customFormat="false" ht="15" hidden="false" customHeight="true" outlineLevel="0" collapsed="false">
      <c r="A1079" s="8"/>
      <c r="B1079" s="8"/>
      <c r="C1079" s="8"/>
      <c r="D1079" s="8"/>
      <c r="E1079" s="8"/>
      <c r="F1079" s="8"/>
      <c r="G1079" s="10" t="str">
        <f aca="false">IF($A1079="","",UPPER(SUBSTITUTE(SUBSTITUTE(SUBSTITUTE(SUBSTITUTE($A1079," ",""),"(주)",""),"주식회사",""),"㈜","")))</f>
        <v/>
      </c>
      <c r="H1079" s="10" t="str">
        <f aca="false">IF($B1079="","",SUBSTITUTE(SUBSTITUTE(SUBSTITUTE($B1079,"-","")," ",""),".",""))</f>
        <v/>
      </c>
      <c r="I1079" s="10" t="str">
        <f aca="false">IF($D1079="","",SUBSTITUTE(SUBSTITUTE(SUBSTITUTE($D1079,"-","")," ",""),".",""))</f>
        <v/>
      </c>
      <c r="J1079" s="10" t="str">
        <f aca="false">IF($E1079="","",UPPER(SUBSTITUTE($E1079," ","")))</f>
        <v/>
      </c>
      <c r="K1079" s="10" t="str">
        <f aca="false">IF($A1079="","",$G1079&amp;"|"&amp;$J1079)</f>
        <v/>
      </c>
      <c r="L1079" s="10" t="str">
        <f aca="false">IF($A1079="","",ROW()-2)</f>
        <v/>
      </c>
      <c r="M1079" s="10" t="str">
        <f aca="false">IF($A1079="","",ROW())</f>
        <v/>
      </c>
    </row>
    <row r="1080" customFormat="false" ht="15" hidden="false" customHeight="true" outlineLevel="0" collapsed="false">
      <c r="A1080" s="8"/>
      <c r="B1080" s="8"/>
      <c r="C1080" s="8"/>
      <c r="D1080" s="8"/>
      <c r="E1080" s="8"/>
      <c r="F1080" s="8"/>
      <c r="G1080" s="10" t="str">
        <f aca="false">IF($A1080="","",UPPER(SUBSTITUTE(SUBSTITUTE(SUBSTITUTE(SUBSTITUTE($A1080," ",""),"(주)",""),"주식회사",""),"㈜","")))</f>
        <v/>
      </c>
      <c r="H1080" s="10" t="str">
        <f aca="false">IF($B1080="","",SUBSTITUTE(SUBSTITUTE(SUBSTITUTE($B1080,"-","")," ",""),".",""))</f>
        <v/>
      </c>
      <c r="I1080" s="10" t="str">
        <f aca="false">IF($D1080="","",SUBSTITUTE(SUBSTITUTE(SUBSTITUTE($D1080,"-","")," ",""),".",""))</f>
        <v/>
      </c>
      <c r="J1080" s="10" t="str">
        <f aca="false">IF($E1080="","",UPPER(SUBSTITUTE($E1080," ","")))</f>
        <v/>
      </c>
      <c r="K1080" s="10" t="str">
        <f aca="false">IF($A1080="","",$G1080&amp;"|"&amp;$J1080)</f>
        <v/>
      </c>
      <c r="L1080" s="10" t="str">
        <f aca="false">IF($A1080="","",ROW()-2)</f>
        <v/>
      </c>
      <c r="M1080" s="10" t="str">
        <f aca="false">IF($A1080="","",ROW())</f>
        <v/>
      </c>
    </row>
    <row r="1081" customFormat="false" ht="15" hidden="false" customHeight="true" outlineLevel="0" collapsed="false">
      <c r="A1081" s="8"/>
      <c r="B1081" s="8"/>
      <c r="C1081" s="8"/>
      <c r="D1081" s="8"/>
      <c r="E1081" s="8"/>
      <c r="F1081" s="8"/>
      <c r="G1081" s="10" t="str">
        <f aca="false">IF($A1081="","",UPPER(SUBSTITUTE(SUBSTITUTE(SUBSTITUTE(SUBSTITUTE($A1081," ",""),"(주)",""),"주식회사",""),"㈜","")))</f>
        <v/>
      </c>
      <c r="H1081" s="10" t="str">
        <f aca="false">IF($B1081="","",SUBSTITUTE(SUBSTITUTE(SUBSTITUTE($B1081,"-","")," ",""),".",""))</f>
        <v/>
      </c>
      <c r="I1081" s="10" t="str">
        <f aca="false">IF($D1081="","",SUBSTITUTE(SUBSTITUTE(SUBSTITUTE($D1081,"-","")," ",""),".",""))</f>
        <v/>
      </c>
      <c r="J1081" s="10" t="str">
        <f aca="false">IF($E1081="","",UPPER(SUBSTITUTE($E1081," ","")))</f>
        <v/>
      </c>
      <c r="K1081" s="10" t="str">
        <f aca="false">IF($A1081="","",$G1081&amp;"|"&amp;$J1081)</f>
        <v/>
      </c>
      <c r="L1081" s="10" t="str">
        <f aca="false">IF($A1081="","",ROW()-2)</f>
        <v/>
      </c>
      <c r="M1081" s="10" t="str">
        <f aca="false">IF($A1081="","",ROW())</f>
        <v/>
      </c>
    </row>
    <row r="1082" customFormat="false" ht="15" hidden="false" customHeight="true" outlineLevel="0" collapsed="false">
      <c r="A1082" s="8"/>
      <c r="B1082" s="8"/>
      <c r="C1082" s="8"/>
      <c r="D1082" s="8"/>
      <c r="E1082" s="8"/>
      <c r="F1082" s="8"/>
      <c r="G1082" s="10" t="str">
        <f aca="false">IF($A1082="","",UPPER(SUBSTITUTE(SUBSTITUTE(SUBSTITUTE(SUBSTITUTE($A1082," ",""),"(주)",""),"주식회사",""),"㈜","")))</f>
        <v/>
      </c>
      <c r="H1082" s="10" t="str">
        <f aca="false">IF($B1082="","",SUBSTITUTE(SUBSTITUTE(SUBSTITUTE($B1082,"-","")," ",""),".",""))</f>
        <v/>
      </c>
      <c r="I1082" s="10" t="str">
        <f aca="false">IF($D1082="","",SUBSTITUTE(SUBSTITUTE(SUBSTITUTE($D1082,"-","")," ",""),".",""))</f>
        <v/>
      </c>
      <c r="J1082" s="10" t="str">
        <f aca="false">IF($E1082="","",UPPER(SUBSTITUTE($E1082," ","")))</f>
        <v/>
      </c>
      <c r="K1082" s="10" t="str">
        <f aca="false">IF($A1082="","",$G1082&amp;"|"&amp;$J1082)</f>
        <v/>
      </c>
      <c r="L1082" s="10" t="str">
        <f aca="false">IF($A1082="","",ROW()-2)</f>
        <v/>
      </c>
      <c r="M1082" s="10" t="str">
        <f aca="false">IF($A1082="","",ROW())</f>
        <v/>
      </c>
    </row>
    <row r="1083" customFormat="false" ht="15" hidden="false" customHeight="true" outlineLevel="0" collapsed="false">
      <c r="A1083" s="8"/>
      <c r="B1083" s="8"/>
      <c r="C1083" s="8"/>
      <c r="D1083" s="8"/>
      <c r="E1083" s="8"/>
      <c r="F1083" s="8"/>
      <c r="G1083" s="10" t="str">
        <f aca="false">IF($A1083="","",UPPER(SUBSTITUTE(SUBSTITUTE(SUBSTITUTE(SUBSTITUTE($A1083," ",""),"(주)",""),"주식회사",""),"㈜","")))</f>
        <v/>
      </c>
      <c r="H1083" s="10" t="str">
        <f aca="false">IF($B1083="","",SUBSTITUTE(SUBSTITUTE(SUBSTITUTE($B1083,"-","")," ",""),".",""))</f>
        <v/>
      </c>
      <c r="I1083" s="10" t="str">
        <f aca="false">IF($D1083="","",SUBSTITUTE(SUBSTITUTE(SUBSTITUTE($D1083,"-","")," ",""),".",""))</f>
        <v/>
      </c>
      <c r="J1083" s="10" t="str">
        <f aca="false">IF($E1083="","",UPPER(SUBSTITUTE($E1083," ","")))</f>
        <v/>
      </c>
      <c r="K1083" s="10" t="str">
        <f aca="false">IF($A1083="","",$G1083&amp;"|"&amp;$J1083)</f>
        <v/>
      </c>
      <c r="L1083" s="10" t="str">
        <f aca="false">IF($A1083="","",ROW()-2)</f>
        <v/>
      </c>
      <c r="M1083" s="10" t="str">
        <f aca="false">IF($A1083="","",ROW())</f>
        <v/>
      </c>
    </row>
    <row r="1084" customFormat="false" ht="15" hidden="false" customHeight="true" outlineLevel="0" collapsed="false">
      <c r="A1084" s="8"/>
      <c r="B1084" s="8"/>
      <c r="C1084" s="8"/>
      <c r="D1084" s="8"/>
      <c r="E1084" s="8"/>
      <c r="F1084" s="8"/>
      <c r="G1084" s="10" t="str">
        <f aca="false">IF($A1084="","",UPPER(SUBSTITUTE(SUBSTITUTE(SUBSTITUTE(SUBSTITUTE($A1084," ",""),"(주)",""),"주식회사",""),"㈜","")))</f>
        <v/>
      </c>
      <c r="H1084" s="10" t="str">
        <f aca="false">IF($B1084="","",SUBSTITUTE(SUBSTITUTE(SUBSTITUTE($B1084,"-","")," ",""),".",""))</f>
        <v/>
      </c>
      <c r="I1084" s="10" t="str">
        <f aca="false">IF($D1084="","",SUBSTITUTE(SUBSTITUTE(SUBSTITUTE($D1084,"-","")," ",""),".",""))</f>
        <v/>
      </c>
      <c r="J1084" s="10" t="str">
        <f aca="false">IF($E1084="","",UPPER(SUBSTITUTE($E1084," ","")))</f>
        <v/>
      </c>
      <c r="K1084" s="10" t="str">
        <f aca="false">IF($A1084="","",$G1084&amp;"|"&amp;$J1084)</f>
        <v/>
      </c>
      <c r="L1084" s="10" t="str">
        <f aca="false">IF($A1084="","",ROW()-2)</f>
        <v/>
      </c>
      <c r="M1084" s="10" t="str">
        <f aca="false">IF($A1084="","",ROW())</f>
        <v/>
      </c>
    </row>
    <row r="1085" customFormat="false" ht="15" hidden="false" customHeight="true" outlineLevel="0" collapsed="false">
      <c r="A1085" s="8"/>
      <c r="B1085" s="8"/>
      <c r="C1085" s="8"/>
      <c r="D1085" s="8"/>
      <c r="E1085" s="8"/>
      <c r="F1085" s="8"/>
      <c r="G1085" s="10" t="str">
        <f aca="false">IF($A1085="","",UPPER(SUBSTITUTE(SUBSTITUTE(SUBSTITUTE(SUBSTITUTE($A1085," ",""),"(주)",""),"주식회사",""),"㈜","")))</f>
        <v/>
      </c>
      <c r="H1085" s="10" t="str">
        <f aca="false">IF($B1085="","",SUBSTITUTE(SUBSTITUTE(SUBSTITUTE($B1085,"-","")," ",""),".",""))</f>
        <v/>
      </c>
      <c r="I1085" s="10" t="str">
        <f aca="false">IF($D1085="","",SUBSTITUTE(SUBSTITUTE(SUBSTITUTE($D1085,"-","")," ",""),".",""))</f>
        <v/>
      </c>
      <c r="J1085" s="10" t="str">
        <f aca="false">IF($E1085="","",UPPER(SUBSTITUTE($E1085," ","")))</f>
        <v/>
      </c>
      <c r="K1085" s="10" t="str">
        <f aca="false">IF($A1085="","",$G1085&amp;"|"&amp;$J1085)</f>
        <v/>
      </c>
      <c r="L1085" s="10" t="str">
        <f aca="false">IF($A1085="","",ROW()-2)</f>
        <v/>
      </c>
      <c r="M1085" s="10" t="str">
        <f aca="false">IF($A1085="","",ROW())</f>
        <v/>
      </c>
    </row>
    <row r="1086" customFormat="false" ht="15" hidden="false" customHeight="true" outlineLevel="0" collapsed="false">
      <c r="A1086" s="8"/>
      <c r="B1086" s="8"/>
      <c r="C1086" s="8"/>
      <c r="D1086" s="8"/>
      <c r="E1086" s="8"/>
      <c r="F1086" s="8"/>
      <c r="G1086" s="10" t="str">
        <f aca="false">IF($A1086="","",UPPER(SUBSTITUTE(SUBSTITUTE(SUBSTITUTE(SUBSTITUTE($A1086," ",""),"(주)",""),"주식회사",""),"㈜","")))</f>
        <v/>
      </c>
      <c r="H1086" s="10" t="str">
        <f aca="false">IF($B1086="","",SUBSTITUTE(SUBSTITUTE(SUBSTITUTE($B1086,"-","")," ",""),".",""))</f>
        <v/>
      </c>
      <c r="I1086" s="10" t="str">
        <f aca="false">IF($D1086="","",SUBSTITUTE(SUBSTITUTE(SUBSTITUTE($D1086,"-","")," ",""),".",""))</f>
        <v/>
      </c>
      <c r="J1086" s="10" t="str">
        <f aca="false">IF($E1086="","",UPPER(SUBSTITUTE($E1086," ","")))</f>
        <v/>
      </c>
      <c r="K1086" s="10" t="str">
        <f aca="false">IF($A1086="","",$G1086&amp;"|"&amp;$J1086)</f>
        <v/>
      </c>
      <c r="L1086" s="10" t="str">
        <f aca="false">IF($A1086="","",ROW()-2)</f>
        <v/>
      </c>
      <c r="M1086" s="10" t="str">
        <f aca="false">IF($A1086="","",ROW())</f>
        <v/>
      </c>
    </row>
    <row r="1087" customFormat="false" ht="15" hidden="false" customHeight="true" outlineLevel="0" collapsed="false">
      <c r="A1087" s="8"/>
      <c r="B1087" s="8"/>
      <c r="C1087" s="8"/>
      <c r="D1087" s="8"/>
      <c r="E1087" s="8"/>
      <c r="F1087" s="8"/>
      <c r="G1087" s="10" t="str">
        <f aca="false">IF($A1087="","",UPPER(SUBSTITUTE(SUBSTITUTE(SUBSTITUTE(SUBSTITUTE($A1087," ",""),"(주)",""),"주식회사",""),"㈜","")))</f>
        <v/>
      </c>
      <c r="H1087" s="10" t="str">
        <f aca="false">IF($B1087="","",SUBSTITUTE(SUBSTITUTE(SUBSTITUTE($B1087,"-","")," ",""),".",""))</f>
        <v/>
      </c>
      <c r="I1087" s="10" t="str">
        <f aca="false">IF($D1087="","",SUBSTITUTE(SUBSTITUTE(SUBSTITUTE($D1087,"-","")," ",""),".",""))</f>
        <v/>
      </c>
      <c r="J1087" s="10" t="str">
        <f aca="false">IF($E1087="","",UPPER(SUBSTITUTE($E1087," ","")))</f>
        <v/>
      </c>
      <c r="K1087" s="10" t="str">
        <f aca="false">IF($A1087="","",$G1087&amp;"|"&amp;$J1087)</f>
        <v/>
      </c>
      <c r="L1087" s="10" t="str">
        <f aca="false">IF($A1087="","",ROW()-2)</f>
        <v/>
      </c>
      <c r="M1087" s="10" t="str">
        <f aca="false">IF($A1087="","",ROW())</f>
        <v/>
      </c>
    </row>
    <row r="1088" customFormat="false" ht="15" hidden="false" customHeight="true" outlineLevel="0" collapsed="false">
      <c r="A1088" s="8"/>
      <c r="B1088" s="8"/>
      <c r="C1088" s="8"/>
      <c r="D1088" s="8"/>
      <c r="E1088" s="8"/>
      <c r="F1088" s="8"/>
      <c r="G1088" s="10" t="str">
        <f aca="false">IF($A1088="","",UPPER(SUBSTITUTE(SUBSTITUTE(SUBSTITUTE(SUBSTITUTE($A1088," ",""),"(주)",""),"주식회사",""),"㈜","")))</f>
        <v/>
      </c>
      <c r="H1088" s="10" t="str">
        <f aca="false">IF($B1088="","",SUBSTITUTE(SUBSTITUTE(SUBSTITUTE($B1088,"-","")," ",""),".",""))</f>
        <v/>
      </c>
      <c r="I1088" s="10" t="str">
        <f aca="false">IF($D1088="","",SUBSTITUTE(SUBSTITUTE(SUBSTITUTE($D1088,"-","")," ",""),".",""))</f>
        <v/>
      </c>
      <c r="J1088" s="10" t="str">
        <f aca="false">IF($E1088="","",UPPER(SUBSTITUTE($E1088," ","")))</f>
        <v/>
      </c>
      <c r="K1088" s="10" t="str">
        <f aca="false">IF($A1088="","",$G1088&amp;"|"&amp;$J1088)</f>
        <v/>
      </c>
      <c r="L1088" s="10" t="str">
        <f aca="false">IF($A1088="","",ROW()-2)</f>
        <v/>
      </c>
      <c r="M1088" s="10" t="str">
        <f aca="false">IF($A1088="","",ROW())</f>
        <v/>
      </c>
    </row>
    <row r="1089" customFormat="false" ht="15" hidden="false" customHeight="true" outlineLevel="0" collapsed="false">
      <c r="A1089" s="8"/>
      <c r="B1089" s="8"/>
      <c r="C1089" s="8"/>
      <c r="D1089" s="8"/>
      <c r="E1089" s="8"/>
      <c r="F1089" s="8"/>
      <c r="G1089" s="10" t="str">
        <f aca="false">IF($A1089="","",UPPER(SUBSTITUTE(SUBSTITUTE(SUBSTITUTE(SUBSTITUTE($A1089," ",""),"(주)",""),"주식회사",""),"㈜","")))</f>
        <v/>
      </c>
      <c r="H1089" s="10" t="str">
        <f aca="false">IF($B1089="","",SUBSTITUTE(SUBSTITUTE(SUBSTITUTE($B1089,"-","")," ",""),".",""))</f>
        <v/>
      </c>
      <c r="I1089" s="10" t="str">
        <f aca="false">IF($D1089="","",SUBSTITUTE(SUBSTITUTE(SUBSTITUTE($D1089,"-","")," ",""),".",""))</f>
        <v/>
      </c>
      <c r="J1089" s="10" t="str">
        <f aca="false">IF($E1089="","",UPPER(SUBSTITUTE($E1089," ","")))</f>
        <v/>
      </c>
      <c r="K1089" s="10" t="str">
        <f aca="false">IF($A1089="","",$G1089&amp;"|"&amp;$J1089)</f>
        <v/>
      </c>
      <c r="L1089" s="10" t="str">
        <f aca="false">IF($A1089="","",ROW()-2)</f>
        <v/>
      </c>
      <c r="M1089" s="10" t="str">
        <f aca="false">IF($A1089="","",ROW())</f>
        <v/>
      </c>
    </row>
    <row r="1090" customFormat="false" ht="15" hidden="false" customHeight="true" outlineLevel="0" collapsed="false">
      <c r="A1090" s="8"/>
      <c r="B1090" s="8"/>
      <c r="C1090" s="8"/>
      <c r="D1090" s="8"/>
      <c r="E1090" s="8"/>
      <c r="F1090" s="8"/>
      <c r="G1090" s="10" t="str">
        <f aca="false">IF($A1090="","",UPPER(SUBSTITUTE(SUBSTITUTE(SUBSTITUTE(SUBSTITUTE($A1090," ",""),"(주)",""),"주식회사",""),"㈜","")))</f>
        <v/>
      </c>
      <c r="H1090" s="10" t="str">
        <f aca="false">IF($B1090="","",SUBSTITUTE(SUBSTITUTE(SUBSTITUTE($B1090,"-","")," ",""),".",""))</f>
        <v/>
      </c>
      <c r="I1090" s="10" t="str">
        <f aca="false">IF($D1090="","",SUBSTITUTE(SUBSTITUTE(SUBSTITUTE($D1090,"-","")," ",""),".",""))</f>
        <v/>
      </c>
      <c r="J1090" s="10" t="str">
        <f aca="false">IF($E1090="","",UPPER(SUBSTITUTE($E1090," ","")))</f>
        <v/>
      </c>
      <c r="K1090" s="10" t="str">
        <f aca="false">IF($A1090="","",$G1090&amp;"|"&amp;$J1090)</f>
        <v/>
      </c>
      <c r="L1090" s="10" t="str">
        <f aca="false">IF($A1090="","",ROW()-2)</f>
        <v/>
      </c>
      <c r="M1090" s="10" t="str">
        <f aca="false">IF($A1090="","",ROW())</f>
        <v/>
      </c>
    </row>
    <row r="1091" customFormat="false" ht="15" hidden="false" customHeight="true" outlineLevel="0" collapsed="false">
      <c r="A1091" s="8"/>
      <c r="B1091" s="8"/>
      <c r="C1091" s="8"/>
      <c r="D1091" s="8"/>
      <c r="E1091" s="8"/>
      <c r="F1091" s="8"/>
      <c r="G1091" s="10" t="str">
        <f aca="false">IF($A1091="","",UPPER(SUBSTITUTE(SUBSTITUTE(SUBSTITUTE(SUBSTITUTE($A1091," ",""),"(주)",""),"주식회사",""),"㈜","")))</f>
        <v/>
      </c>
      <c r="H1091" s="10" t="str">
        <f aca="false">IF($B1091="","",SUBSTITUTE(SUBSTITUTE(SUBSTITUTE($B1091,"-","")," ",""),".",""))</f>
        <v/>
      </c>
      <c r="I1091" s="10" t="str">
        <f aca="false">IF($D1091="","",SUBSTITUTE(SUBSTITUTE(SUBSTITUTE($D1091,"-","")," ",""),".",""))</f>
        <v/>
      </c>
      <c r="J1091" s="10" t="str">
        <f aca="false">IF($E1091="","",UPPER(SUBSTITUTE($E1091," ","")))</f>
        <v/>
      </c>
      <c r="K1091" s="10" t="str">
        <f aca="false">IF($A1091="","",$G1091&amp;"|"&amp;$J1091)</f>
        <v/>
      </c>
      <c r="L1091" s="10" t="str">
        <f aca="false">IF($A1091="","",ROW()-2)</f>
        <v/>
      </c>
      <c r="M1091" s="10" t="str">
        <f aca="false">IF($A1091="","",ROW())</f>
        <v/>
      </c>
    </row>
    <row r="1092" customFormat="false" ht="15" hidden="false" customHeight="true" outlineLevel="0" collapsed="false">
      <c r="A1092" s="8"/>
      <c r="B1092" s="8"/>
      <c r="C1092" s="8"/>
      <c r="D1092" s="8"/>
      <c r="E1092" s="8"/>
      <c r="F1092" s="8"/>
      <c r="G1092" s="10" t="str">
        <f aca="false">IF($A1092="","",UPPER(SUBSTITUTE(SUBSTITUTE(SUBSTITUTE(SUBSTITUTE($A1092," ",""),"(주)",""),"주식회사",""),"㈜","")))</f>
        <v/>
      </c>
      <c r="H1092" s="10" t="str">
        <f aca="false">IF($B1092="","",SUBSTITUTE(SUBSTITUTE(SUBSTITUTE($B1092,"-","")," ",""),".",""))</f>
        <v/>
      </c>
      <c r="I1092" s="10" t="str">
        <f aca="false">IF($D1092="","",SUBSTITUTE(SUBSTITUTE(SUBSTITUTE($D1092,"-","")," ",""),".",""))</f>
        <v/>
      </c>
      <c r="J1092" s="10" t="str">
        <f aca="false">IF($E1092="","",UPPER(SUBSTITUTE($E1092," ","")))</f>
        <v/>
      </c>
      <c r="K1092" s="10" t="str">
        <f aca="false">IF($A1092="","",$G1092&amp;"|"&amp;$J1092)</f>
        <v/>
      </c>
      <c r="L1092" s="10" t="str">
        <f aca="false">IF($A1092="","",ROW()-2)</f>
        <v/>
      </c>
      <c r="M1092" s="10" t="str">
        <f aca="false">IF($A1092="","",ROW())</f>
        <v/>
      </c>
    </row>
    <row r="1093" customFormat="false" ht="15" hidden="false" customHeight="true" outlineLevel="0" collapsed="false">
      <c r="A1093" s="8"/>
      <c r="B1093" s="8"/>
      <c r="C1093" s="8"/>
      <c r="D1093" s="8"/>
      <c r="E1093" s="8"/>
      <c r="F1093" s="8"/>
      <c r="G1093" s="10" t="str">
        <f aca="false">IF($A1093="","",UPPER(SUBSTITUTE(SUBSTITUTE(SUBSTITUTE(SUBSTITUTE($A1093," ",""),"(주)",""),"주식회사",""),"㈜","")))</f>
        <v/>
      </c>
      <c r="H1093" s="10" t="str">
        <f aca="false">IF($B1093="","",SUBSTITUTE(SUBSTITUTE(SUBSTITUTE($B1093,"-","")," ",""),".",""))</f>
        <v/>
      </c>
      <c r="I1093" s="10" t="str">
        <f aca="false">IF($D1093="","",SUBSTITUTE(SUBSTITUTE(SUBSTITUTE($D1093,"-","")," ",""),".",""))</f>
        <v/>
      </c>
      <c r="J1093" s="10" t="str">
        <f aca="false">IF($E1093="","",UPPER(SUBSTITUTE($E1093," ","")))</f>
        <v/>
      </c>
      <c r="K1093" s="10" t="str">
        <f aca="false">IF($A1093="","",$G1093&amp;"|"&amp;$J1093)</f>
        <v/>
      </c>
      <c r="L1093" s="10" t="str">
        <f aca="false">IF($A1093="","",ROW()-2)</f>
        <v/>
      </c>
      <c r="M1093" s="10" t="str">
        <f aca="false">IF($A1093="","",ROW())</f>
        <v/>
      </c>
    </row>
    <row r="1094" customFormat="false" ht="15" hidden="false" customHeight="true" outlineLevel="0" collapsed="false">
      <c r="A1094" s="8"/>
      <c r="B1094" s="8"/>
      <c r="C1094" s="8"/>
      <c r="D1094" s="8"/>
      <c r="E1094" s="8"/>
      <c r="F1094" s="8"/>
      <c r="G1094" s="10" t="str">
        <f aca="false">IF($A1094="","",UPPER(SUBSTITUTE(SUBSTITUTE(SUBSTITUTE(SUBSTITUTE($A1094," ",""),"(주)",""),"주식회사",""),"㈜","")))</f>
        <v/>
      </c>
      <c r="H1094" s="10" t="str">
        <f aca="false">IF($B1094="","",SUBSTITUTE(SUBSTITUTE(SUBSTITUTE($B1094,"-","")," ",""),".",""))</f>
        <v/>
      </c>
      <c r="I1094" s="10" t="str">
        <f aca="false">IF($D1094="","",SUBSTITUTE(SUBSTITUTE(SUBSTITUTE($D1094,"-","")," ",""),".",""))</f>
        <v/>
      </c>
      <c r="J1094" s="10" t="str">
        <f aca="false">IF($E1094="","",UPPER(SUBSTITUTE($E1094," ","")))</f>
        <v/>
      </c>
      <c r="K1094" s="10" t="str">
        <f aca="false">IF($A1094="","",$G1094&amp;"|"&amp;$J1094)</f>
        <v/>
      </c>
      <c r="L1094" s="10" t="str">
        <f aca="false">IF($A1094="","",ROW()-2)</f>
        <v/>
      </c>
      <c r="M1094" s="10" t="str">
        <f aca="false">IF($A1094="","",ROW())</f>
        <v/>
      </c>
    </row>
    <row r="1095" customFormat="false" ht="15" hidden="false" customHeight="true" outlineLevel="0" collapsed="false">
      <c r="A1095" s="8"/>
      <c r="B1095" s="8"/>
      <c r="C1095" s="8"/>
      <c r="D1095" s="8"/>
      <c r="E1095" s="8"/>
      <c r="F1095" s="8"/>
      <c r="G1095" s="10" t="str">
        <f aca="false">IF($A1095="","",UPPER(SUBSTITUTE(SUBSTITUTE(SUBSTITUTE(SUBSTITUTE($A1095," ",""),"(주)",""),"주식회사",""),"㈜","")))</f>
        <v/>
      </c>
      <c r="H1095" s="10" t="str">
        <f aca="false">IF($B1095="","",SUBSTITUTE(SUBSTITUTE(SUBSTITUTE($B1095,"-","")," ",""),".",""))</f>
        <v/>
      </c>
      <c r="I1095" s="10" t="str">
        <f aca="false">IF($D1095="","",SUBSTITUTE(SUBSTITUTE(SUBSTITUTE($D1095,"-","")," ",""),".",""))</f>
        <v/>
      </c>
      <c r="J1095" s="10" t="str">
        <f aca="false">IF($E1095="","",UPPER(SUBSTITUTE($E1095," ","")))</f>
        <v/>
      </c>
      <c r="K1095" s="10" t="str">
        <f aca="false">IF($A1095="","",$G1095&amp;"|"&amp;$J1095)</f>
        <v/>
      </c>
      <c r="L1095" s="10" t="str">
        <f aca="false">IF($A1095="","",ROW()-2)</f>
        <v/>
      </c>
      <c r="M1095" s="10" t="str">
        <f aca="false">IF($A1095="","",ROW())</f>
        <v/>
      </c>
    </row>
    <row r="1096" customFormat="false" ht="15" hidden="false" customHeight="true" outlineLevel="0" collapsed="false">
      <c r="A1096" s="8"/>
      <c r="B1096" s="8"/>
      <c r="C1096" s="8"/>
      <c r="D1096" s="8"/>
      <c r="E1096" s="8"/>
      <c r="F1096" s="8"/>
      <c r="G1096" s="10" t="str">
        <f aca="false">IF($A1096="","",UPPER(SUBSTITUTE(SUBSTITUTE(SUBSTITUTE(SUBSTITUTE($A1096," ",""),"(주)",""),"주식회사",""),"㈜","")))</f>
        <v/>
      </c>
      <c r="H1096" s="10" t="str">
        <f aca="false">IF($B1096="","",SUBSTITUTE(SUBSTITUTE(SUBSTITUTE($B1096,"-","")," ",""),".",""))</f>
        <v/>
      </c>
      <c r="I1096" s="10" t="str">
        <f aca="false">IF($D1096="","",SUBSTITUTE(SUBSTITUTE(SUBSTITUTE($D1096,"-","")," ",""),".",""))</f>
        <v/>
      </c>
      <c r="J1096" s="10" t="str">
        <f aca="false">IF($E1096="","",UPPER(SUBSTITUTE($E1096," ","")))</f>
        <v/>
      </c>
      <c r="K1096" s="10" t="str">
        <f aca="false">IF($A1096="","",$G1096&amp;"|"&amp;$J1096)</f>
        <v/>
      </c>
      <c r="L1096" s="10" t="str">
        <f aca="false">IF($A1096="","",ROW()-2)</f>
        <v/>
      </c>
      <c r="M1096" s="10" t="str">
        <f aca="false">IF($A1096="","",ROW())</f>
        <v/>
      </c>
    </row>
    <row r="1097" customFormat="false" ht="15" hidden="false" customHeight="true" outlineLevel="0" collapsed="false">
      <c r="A1097" s="8"/>
      <c r="B1097" s="8"/>
      <c r="C1097" s="8"/>
      <c r="D1097" s="8"/>
      <c r="E1097" s="8"/>
      <c r="F1097" s="8"/>
      <c r="G1097" s="10" t="str">
        <f aca="false">IF($A1097="","",UPPER(SUBSTITUTE(SUBSTITUTE(SUBSTITUTE(SUBSTITUTE($A1097," ",""),"(주)",""),"주식회사",""),"㈜","")))</f>
        <v/>
      </c>
      <c r="H1097" s="10" t="str">
        <f aca="false">IF($B1097="","",SUBSTITUTE(SUBSTITUTE(SUBSTITUTE($B1097,"-","")," ",""),".",""))</f>
        <v/>
      </c>
      <c r="I1097" s="10" t="str">
        <f aca="false">IF($D1097="","",SUBSTITUTE(SUBSTITUTE(SUBSTITUTE($D1097,"-","")," ",""),".",""))</f>
        <v/>
      </c>
      <c r="J1097" s="10" t="str">
        <f aca="false">IF($E1097="","",UPPER(SUBSTITUTE($E1097," ","")))</f>
        <v/>
      </c>
      <c r="K1097" s="10" t="str">
        <f aca="false">IF($A1097="","",$G1097&amp;"|"&amp;$J1097)</f>
        <v/>
      </c>
      <c r="L1097" s="10" t="str">
        <f aca="false">IF($A1097="","",ROW()-2)</f>
        <v/>
      </c>
      <c r="M1097" s="10" t="str">
        <f aca="false">IF($A1097="","",ROW())</f>
        <v/>
      </c>
    </row>
    <row r="1098" customFormat="false" ht="15" hidden="false" customHeight="true" outlineLevel="0" collapsed="false">
      <c r="A1098" s="8"/>
      <c r="B1098" s="8"/>
      <c r="C1098" s="8"/>
      <c r="D1098" s="8"/>
      <c r="E1098" s="8"/>
      <c r="F1098" s="8"/>
      <c r="G1098" s="10" t="str">
        <f aca="false">IF($A1098="","",UPPER(SUBSTITUTE(SUBSTITUTE(SUBSTITUTE(SUBSTITUTE($A1098," ",""),"(주)",""),"주식회사",""),"㈜","")))</f>
        <v/>
      </c>
      <c r="H1098" s="10" t="str">
        <f aca="false">IF($B1098="","",SUBSTITUTE(SUBSTITUTE(SUBSTITUTE($B1098,"-","")," ",""),".",""))</f>
        <v/>
      </c>
      <c r="I1098" s="10" t="str">
        <f aca="false">IF($D1098="","",SUBSTITUTE(SUBSTITUTE(SUBSTITUTE($D1098,"-","")," ",""),".",""))</f>
        <v/>
      </c>
      <c r="J1098" s="10" t="str">
        <f aca="false">IF($E1098="","",UPPER(SUBSTITUTE($E1098," ","")))</f>
        <v/>
      </c>
      <c r="K1098" s="10" t="str">
        <f aca="false">IF($A1098="","",$G1098&amp;"|"&amp;$J1098)</f>
        <v/>
      </c>
      <c r="L1098" s="10" t="str">
        <f aca="false">IF($A1098="","",ROW()-2)</f>
        <v/>
      </c>
      <c r="M1098" s="10" t="str">
        <f aca="false">IF($A1098="","",ROW())</f>
        <v/>
      </c>
    </row>
    <row r="1099" customFormat="false" ht="15" hidden="false" customHeight="true" outlineLevel="0" collapsed="false">
      <c r="A1099" s="8"/>
      <c r="B1099" s="8"/>
      <c r="C1099" s="8"/>
      <c r="D1099" s="8"/>
      <c r="E1099" s="8"/>
      <c r="F1099" s="8"/>
      <c r="G1099" s="10" t="str">
        <f aca="false">IF($A1099="","",UPPER(SUBSTITUTE(SUBSTITUTE(SUBSTITUTE(SUBSTITUTE($A1099," ",""),"(주)",""),"주식회사",""),"㈜","")))</f>
        <v/>
      </c>
      <c r="H1099" s="10" t="str">
        <f aca="false">IF($B1099="","",SUBSTITUTE(SUBSTITUTE(SUBSTITUTE($B1099,"-","")," ",""),".",""))</f>
        <v/>
      </c>
      <c r="I1099" s="10" t="str">
        <f aca="false">IF($D1099="","",SUBSTITUTE(SUBSTITUTE(SUBSTITUTE($D1099,"-","")," ",""),".",""))</f>
        <v/>
      </c>
      <c r="J1099" s="10" t="str">
        <f aca="false">IF($E1099="","",UPPER(SUBSTITUTE($E1099," ","")))</f>
        <v/>
      </c>
      <c r="K1099" s="10" t="str">
        <f aca="false">IF($A1099="","",$G1099&amp;"|"&amp;$J1099)</f>
        <v/>
      </c>
      <c r="L1099" s="10" t="str">
        <f aca="false">IF($A1099="","",ROW()-2)</f>
        <v/>
      </c>
      <c r="M1099" s="10" t="str">
        <f aca="false">IF($A1099="","",ROW())</f>
        <v/>
      </c>
    </row>
    <row r="1100" customFormat="false" ht="15" hidden="false" customHeight="true" outlineLevel="0" collapsed="false">
      <c r="A1100" s="8"/>
      <c r="B1100" s="8"/>
      <c r="C1100" s="8"/>
      <c r="D1100" s="8"/>
      <c r="E1100" s="8"/>
      <c r="F1100" s="8"/>
      <c r="G1100" s="10" t="str">
        <f aca="false">IF($A1100="","",UPPER(SUBSTITUTE(SUBSTITUTE(SUBSTITUTE(SUBSTITUTE($A1100," ",""),"(주)",""),"주식회사",""),"㈜","")))</f>
        <v/>
      </c>
      <c r="H1100" s="10" t="str">
        <f aca="false">IF($B1100="","",SUBSTITUTE(SUBSTITUTE(SUBSTITUTE($B1100,"-","")," ",""),".",""))</f>
        <v/>
      </c>
      <c r="I1100" s="10" t="str">
        <f aca="false">IF($D1100="","",SUBSTITUTE(SUBSTITUTE(SUBSTITUTE($D1100,"-","")," ",""),".",""))</f>
        <v/>
      </c>
      <c r="J1100" s="10" t="str">
        <f aca="false">IF($E1100="","",UPPER(SUBSTITUTE($E1100," ","")))</f>
        <v/>
      </c>
      <c r="K1100" s="10" t="str">
        <f aca="false">IF($A1100="","",$G1100&amp;"|"&amp;$J1100)</f>
        <v/>
      </c>
      <c r="L1100" s="10" t="str">
        <f aca="false">IF($A1100="","",ROW()-2)</f>
        <v/>
      </c>
      <c r="M1100" s="10" t="str">
        <f aca="false">IF($A1100="","",ROW())</f>
        <v/>
      </c>
    </row>
    <row r="1101" customFormat="false" ht="15" hidden="false" customHeight="true" outlineLevel="0" collapsed="false">
      <c r="A1101" s="8"/>
      <c r="B1101" s="8"/>
      <c r="C1101" s="8"/>
      <c r="D1101" s="8"/>
      <c r="E1101" s="8"/>
      <c r="F1101" s="8"/>
      <c r="G1101" s="10" t="str">
        <f aca="false">IF($A1101="","",UPPER(SUBSTITUTE(SUBSTITUTE(SUBSTITUTE(SUBSTITUTE($A1101," ",""),"(주)",""),"주식회사",""),"㈜","")))</f>
        <v/>
      </c>
      <c r="H1101" s="10" t="str">
        <f aca="false">IF($B1101="","",SUBSTITUTE(SUBSTITUTE(SUBSTITUTE($B1101,"-","")," ",""),".",""))</f>
        <v/>
      </c>
      <c r="I1101" s="10" t="str">
        <f aca="false">IF($D1101="","",SUBSTITUTE(SUBSTITUTE(SUBSTITUTE($D1101,"-","")," ",""),".",""))</f>
        <v/>
      </c>
      <c r="J1101" s="10" t="str">
        <f aca="false">IF($E1101="","",UPPER(SUBSTITUTE($E1101," ","")))</f>
        <v/>
      </c>
      <c r="K1101" s="10" t="str">
        <f aca="false">IF($A1101="","",$G1101&amp;"|"&amp;$J1101)</f>
        <v/>
      </c>
      <c r="L1101" s="10" t="str">
        <f aca="false">IF($A1101="","",ROW()-2)</f>
        <v/>
      </c>
      <c r="M1101" s="10" t="str">
        <f aca="false">IF($A1101="","",ROW())</f>
        <v/>
      </c>
    </row>
    <row r="1102" customFormat="false" ht="15" hidden="false" customHeight="true" outlineLevel="0" collapsed="false">
      <c r="A1102" s="8"/>
      <c r="B1102" s="8"/>
      <c r="C1102" s="8"/>
      <c r="D1102" s="8"/>
      <c r="E1102" s="8"/>
      <c r="F1102" s="8"/>
      <c r="G1102" s="10" t="str">
        <f aca="false">IF($A1102="","",UPPER(SUBSTITUTE(SUBSTITUTE(SUBSTITUTE(SUBSTITUTE($A1102," ",""),"(주)",""),"주식회사",""),"㈜","")))</f>
        <v/>
      </c>
      <c r="H1102" s="10" t="str">
        <f aca="false">IF($B1102="","",SUBSTITUTE(SUBSTITUTE(SUBSTITUTE($B1102,"-","")," ",""),".",""))</f>
        <v/>
      </c>
      <c r="I1102" s="10" t="str">
        <f aca="false">IF($D1102="","",SUBSTITUTE(SUBSTITUTE(SUBSTITUTE($D1102,"-","")," ",""),".",""))</f>
        <v/>
      </c>
      <c r="J1102" s="10" t="str">
        <f aca="false">IF($E1102="","",UPPER(SUBSTITUTE($E1102," ","")))</f>
        <v/>
      </c>
      <c r="K1102" s="10" t="str">
        <f aca="false">IF($A1102="","",$G1102&amp;"|"&amp;$J1102)</f>
        <v/>
      </c>
      <c r="L1102" s="10" t="str">
        <f aca="false">IF($A1102="","",ROW()-2)</f>
        <v/>
      </c>
      <c r="M1102" s="10" t="str">
        <f aca="false">IF($A1102="","",ROW())</f>
        <v/>
      </c>
    </row>
    <row r="1103" customFormat="false" ht="15" hidden="false" customHeight="true" outlineLevel="0" collapsed="false">
      <c r="A1103" s="8"/>
      <c r="B1103" s="8"/>
      <c r="C1103" s="8"/>
      <c r="D1103" s="8"/>
      <c r="E1103" s="8"/>
      <c r="F1103" s="8"/>
      <c r="G1103" s="10" t="str">
        <f aca="false">IF($A1103="","",UPPER(SUBSTITUTE(SUBSTITUTE(SUBSTITUTE(SUBSTITUTE($A1103," ",""),"(주)",""),"주식회사",""),"㈜","")))</f>
        <v/>
      </c>
      <c r="H1103" s="10" t="str">
        <f aca="false">IF($B1103="","",SUBSTITUTE(SUBSTITUTE(SUBSTITUTE($B1103,"-","")," ",""),".",""))</f>
        <v/>
      </c>
      <c r="I1103" s="10" t="str">
        <f aca="false">IF($D1103="","",SUBSTITUTE(SUBSTITUTE(SUBSTITUTE($D1103,"-","")," ",""),".",""))</f>
        <v/>
      </c>
      <c r="J1103" s="10" t="str">
        <f aca="false">IF($E1103="","",UPPER(SUBSTITUTE($E1103," ","")))</f>
        <v/>
      </c>
      <c r="K1103" s="10" t="str">
        <f aca="false">IF($A1103="","",$G1103&amp;"|"&amp;$J1103)</f>
        <v/>
      </c>
      <c r="L1103" s="10" t="str">
        <f aca="false">IF($A1103="","",ROW()-2)</f>
        <v/>
      </c>
      <c r="M1103" s="10" t="str">
        <f aca="false">IF($A1103="","",ROW())</f>
        <v/>
      </c>
    </row>
    <row r="1104" customFormat="false" ht="15" hidden="false" customHeight="true" outlineLevel="0" collapsed="false">
      <c r="A1104" s="8"/>
      <c r="B1104" s="8"/>
      <c r="C1104" s="8"/>
      <c r="D1104" s="8"/>
      <c r="E1104" s="8"/>
      <c r="F1104" s="8"/>
      <c r="G1104" s="10" t="str">
        <f aca="false">IF($A1104="","",UPPER(SUBSTITUTE(SUBSTITUTE(SUBSTITUTE(SUBSTITUTE($A1104," ",""),"(주)",""),"주식회사",""),"㈜","")))</f>
        <v/>
      </c>
      <c r="H1104" s="10" t="str">
        <f aca="false">IF($B1104="","",SUBSTITUTE(SUBSTITUTE(SUBSTITUTE($B1104,"-","")," ",""),".",""))</f>
        <v/>
      </c>
      <c r="I1104" s="10" t="str">
        <f aca="false">IF($D1104="","",SUBSTITUTE(SUBSTITUTE(SUBSTITUTE($D1104,"-","")," ",""),".",""))</f>
        <v/>
      </c>
      <c r="J1104" s="10" t="str">
        <f aca="false">IF($E1104="","",UPPER(SUBSTITUTE($E1104," ","")))</f>
        <v/>
      </c>
      <c r="K1104" s="10" t="str">
        <f aca="false">IF($A1104="","",$G1104&amp;"|"&amp;$J1104)</f>
        <v/>
      </c>
      <c r="L1104" s="10" t="str">
        <f aca="false">IF($A1104="","",ROW()-2)</f>
        <v/>
      </c>
      <c r="M1104" s="10" t="str">
        <f aca="false">IF($A1104="","",ROW())</f>
        <v/>
      </c>
    </row>
    <row r="1105" customFormat="false" ht="15" hidden="false" customHeight="true" outlineLevel="0" collapsed="false">
      <c r="A1105" s="8"/>
      <c r="B1105" s="8"/>
      <c r="C1105" s="8"/>
      <c r="D1105" s="8"/>
      <c r="E1105" s="8"/>
      <c r="F1105" s="8"/>
      <c r="G1105" s="10" t="str">
        <f aca="false">IF($A1105="","",UPPER(SUBSTITUTE(SUBSTITUTE(SUBSTITUTE(SUBSTITUTE($A1105," ",""),"(주)",""),"주식회사",""),"㈜","")))</f>
        <v/>
      </c>
      <c r="H1105" s="10" t="str">
        <f aca="false">IF($B1105="","",SUBSTITUTE(SUBSTITUTE(SUBSTITUTE($B1105,"-","")," ",""),".",""))</f>
        <v/>
      </c>
      <c r="I1105" s="10" t="str">
        <f aca="false">IF($D1105="","",SUBSTITUTE(SUBSTITUTE(SUBSTITUTE($D1105,"-","")," ",""),".",""))</f>
        <v/>
      </c>
      <c r="J1105" s="10" t="str">
        <f aca="false">IF($E1105="","",UPPER(SUBSTITUTE($E1105," ","")))</f>
        <v/>
      </c>
      <c r="K1105" s="10" t="str">
        <f aca="false">IF($A1105="","",$G1105&amp;"|"&amp;$J1105)</f>
        <v/>
      </c>
      <c r="L1105" s="10" t="str">
        <f aca="false">IF($A1105="","",ROW()-2)</f>
        <v/>
      </c>
      <c r="M1105" s="10" t="str">
        <f aca="false">IF($A1105="","",ROW())</f>
        <v/>
      </c>
    </row>
    <row r="1106" customFormat="false" ht="15" hidden="false" customHeight="true" outlineLevel="0" collapsed="false">
      <c r="A1106" s="8"/>
      <c r="B1106" s="8"/>
      <c r="C1106" s="8"/>
      <c r="D1106" s="8"/>
      <c r="E1106" s="8"/>
      <c r="F1106" s="8"/>
      <c r="G1106" s="10" t="str">
        <f aca="false">IF($A1106="","",UPPER(SUBSTITUTE(SUBSTITUTE(SUBSTITUTE(SUBSTITUTE($A1106," ",""),"(주)",""),"주식회사",""),"㈜","")))</f>
        <v/>
      </c>
      <c r="H1106" s="10" t="str">
        <f aca="false">IF($B1106="","",SUBSTITUTE(SUBSTITUTE(SUBSTITUTE($B1106,"-","")," ",""),".",""))</f>
        <v/>
      </c>
      <c r="I1106" s="10" t="str">
        <f aca="false">IF($D1106="","",SUBSTITUTE(SUBSTITUTE(SUBSTITUTE($D1106,"-","")," ",""),".",""))</f>
        <v/>
      </c>
      <c r="J1106" s="10" t="str">
        <f aca="false">IF($E1106="","",UPPER(SUBSTITUTE($E1106," ","")))</f>
        <v/>
      </c>
      <c r="K1106" s="10" t="str">
        <f aca="false">IF($A1106="","",$G1106&amp;"|"&amp;$J1106)</f>
        <v/>
      </c>
      <c r="L1106" s="10" t="str">
        <f aca="false">IF($A1106="","",ROW()-2)</f>
        <v/>
      </c>
      <c r="M1106" s="10" t="str">
        <f aca="false">IF($A1106="","",ROW())</f>
        <v/>
      </c>
    </row>
    <row r="1107" customFormat="false" ht="15" hidden="false" customHeight="true" outlineLevel="0" collapsed="false">
      <c r="A1107" s="8"/>
      <c r="B1107" s="8"/>
      <c r="C1107" s="8"/>
      <c r="D1107" s="8"/>
      <c r="E1107" s="8"/>
      <c r="F1107" s="8"/>
      <c r="G1107" s="10" t="str">
        <f aca="false">IF($A1107="","",UPPER(SUBSTITUTE(SUBSTITUTE(SUBSTITUTE(SUBSTITUTE($A1107," ",""),"(주)",""),"주식회사",""),"㈜","")))</f>
        <v/>
      </c>
      <c r="H1107" s="10" t="str">
        <f aca="false">IF($B1107="","",SUBSTITUTE(SUBSTITUTE(SUBSTITUTE($B1107,"-","")," ",""),".",""))</f>
        <v/>
      </c>
      <c r="I1107" s="10" t="str">
        <f aca="false">IF($D1107="","",SUBSTITUTE(SUBSTITUTE(SUBSTITUTE($D1107,"-","")," ",""),".",""))</f>
        <v/>
      </c>
      <c r="J1107" s="10" t="str">
        <f aca="false">IF($E1107="","",UPPER(SUBSTITUTE($E1107," ","")))</f>
        <v/>
      </c>
      <c r="K1107" s="10" t="str">
        <f aca="false">IF($A1107="","",$G1107&amp;"|"&amp;$J1107)</f>
        <v/>
      </c>
      <c r="L1107" s="10" t="str">
        <f aca="false">IF($A1107="","",ROW()-2)</f>
        <v/>
      </c>
      <c r="M1107" s="10" t="str">
        <f aca="false">IF($A1107="","",ROW())</f>
        <v/>
      </c>
    </row>
    <row r="1108" customFormat="false" ht="15" hidden="false" customHeight="true" outlineLevel="0" collapsed="false">
      <c r="A1108" s="8"/>
      <c r="B1108" s="8"/>
      <c r="C1108" s="8"/>
      <c r="D1108" s="8"/>
      <c r="E1108" s="8"/>
      <c r="F1108" s="8"/>
      <c r="G1108" s="10" t="str">
        <f aca="false">IF($A1108="","",UPPER(SUBSTITUTE(SUBSTITUTE(SUBSTITUTE(SUBSTITUTE($A1108," ",""),"(주)",""),"주식회사",""),"㈜","")))</f>
        <v/>
      </c>
      <c r="H1108" s="10" t="str">
        <f aca="false">IF($B1108="","",SUBSTITUTE(SUBSTITUTE(SUBSTITUTE($B1108,"-","")," ",""),".",""))</f>
        <v/>
      </c>
      <c r="I1108" s="10" t="str">
        <f aca="false">IF($D1108="","",SUBSTITUTE(SUBSTITUTE(SUBSTITUTE($D1108,"-","")," ",""),".",""))</f>
        <v/>
      </c>
      <c r="J1108" s="10" t="str">
        <f aca="false">IF($E1108="","",UPPER(SUBSTITUTE($E1108," ","")))</f>
        <v/>
      </c>
      <c r="K1108" s="10" t="str">
        <f aca="false">IF($A1108="","",$G1108&amp;"|"&amp;$J1108)</f>
        <v/>
      </c>
      <c r="L1108" s="10" t="str">
        <f aca="false">IF($A1108="","",ROW()-2)</f>
        <v/>
      </c>
      <c r="M1108" s="10" t="str">
        <f aca="false">IF($A1108="","",ROW())</f>
        <v/>
      </c>
    </row>
    <row r="1109" customFormat="false" ht="15" hidden="false" customHeight="true" outlineLevel="0" collapsed="false">
      <c r="A1109" s="8"/>
      <c r="B1109" s="8"/>
      <c r="C1109" s="8"/>
      <c r="D1109" s="8"/>
      <c r="E1109" s="8"/>
      <c r="F1109" s="8"/>
      <c r="G1109" s="10" t="str">
        <f aca="false">IF($A1109="","",UPPER(SUBSTITUTE(SUBSTITUTE(SUBSTITUTE(SUBSTITUTE($A1109," ",""),"(주)",""),"주식회사",""),"㈜","")))</f>
        <v/>
      </c>
      <c r="H1109" s="10" t="str">
        <f aca="false">IF($B1109="","",SUBSTITUTE(SUBSTITUTE(SUBSTITUTE($B1109,"-","")," ",""),".",""))</f>
        <v/>
      </c>
      <c r="I1109" s="10" t="str">
        <f aca="false">IF($D1109="","",SUBSTITUTE(SUBSTITUTE(SUBSTITUTE($D1109,"-","")," ",""),".",""))</f>
        <v/>
      </c>
      <c r="J1109" s="10" t="str">
        <f aca="false">IF($E1109="","",UPPER(SUBSTITUTE($E1109," ","")))</f>
        <v/>
      </c>
      <c r="K1109" s="10" t="str">
        <f aca="false">IF($A1109="","",$G1109&amp;"|"&amp;$J1109)</f>
        <v/>
      </c>
      <c r="L1109" s="10" t="str">
        <f aca="false">IF($A1109="","",ROW()-2)</f>
        <v/>
      </c>
      <c r="M1109" s="10" t="str">
        <f aca="false">IF($A1109="","",ROW())</f>
        <v/>
      </c>
    </row>
    <row r="1110" customFormat="false" ht="15" hidden="false" customHeight="true" outlineLevel="0" collapsed="false">
      <c r="A1110" s="8"/>
      <c r="B1110" s="8"/>
      <c r="C1110" s="8"/>
      <c r="D1110" s="8"/>
      <c r="E1110" s="8"/>
      <c r="F1110" s="8"/>
      <c r="G1110" s="10" t="str">
        <f aca="false">IF($A1110="","",UPPER(SUBSTITUTE(SUBSTITUTE(SUBSTITUTE(SUBSTITUTE($A1110," ",""),"(주)",""),"주식회사",""),"㈜","")))</f>
        <v/>
      </c>
      <c r="H1110" s="10" t="str">
        <f aca="false">IF($B1110="","",SUBSTITUTE(SUBSTITUTE(SUBSTITUTE($B1110,"-","")," ",""),".",""))</f>
        <v/>
      </c>
      <c r="I1110" s="10" t="str">
        <f aca="false">IF($D1110="","",SUBSTITUTE(SUBSTITUTE(SUBSTITUTE($D1110,"-","")," ",""),".",""))</f>
        <v/>
      </c>
      <c r="J1110" s="10" t="str">
        <f aca="false">IF($E1110="","",UPPER(SUBSTITUTE($E1110," ","")))</f>
        <v/>
      </c>
      <c r="K1110" s="10" t="str">
        <f aca="false">IF($A1110="","",$G1110&amp;"|"&amp;$J1110)</f>
        <v/>
      </c>
      <c r="L1110" s="10" t="str">
        <f aca="false">IF($A1110="","",ROW()-2)</f>
        <v/>
      </c>
      <c r="M1110" s="10" t="str">
        <f aca="false">IF($A1110="","",ROW())</f>
        <v/>
      </c>
    </row>
    <row r="1111" customFormat="false" ht="15" hidden="false" customHeight="true" outlineLevel="0" collapsed="false">
      <c r="A1111" s="8"/>
      <c r="B1111" s="8"/>
      <c r="C1111" s="8"/>
      <c r="D1111" s="8"/>
      <c r="E1111" s="8"/>
      <c r="F1111" s="8"/>
      <c r="G1111" s="10" t="str">
        <f aca="false">IF($A1111="","",UPPER(SUBSTITUTE(SUBSTITUTE(SUBSTITUTE(SUBSTITUTE($A1111," ",""),"(주)",""),"주식회사",""),"㈜","")))</f>
        <v/>
      </c>
      <c r="H1111" s="10" t="str">
        <f aca="false">IF($B1111="","",SUBSTITUTE(SUBSTITUTE(SUBSTITUTE($B1111,"-","")," ",""),".",""))</f>
        <v/>
      </c>
      <c r="I1111" s="10" t="str">
        <f aca="false">IF($D1111="","",SUBSTITUTE(SUBSTITUTE(SUBSTITUTE($D1111,"-","")," ",""),".",""))</f>
        <v/>
      </c>
      <c r="J1111" s="10" t="str">
        <f aca="false">IF($E1111="","",UPPER(SUBSTITUTE($E1111," ","")))</f>
        <v/>
      </c>
      <c r="K1111" s="10" t="str">
        <f aca="false">IF($A1111="","",$G1111&amp;"|"&amp;$J1111)</f>
        <v/>
      </c>
      <c r="L1111" s="10" t="str">
        <f aca="false">IF($A1111="","",ROW()-2)</f>
        <v/>
      </c>
      <c r="M1111" s="10" t="str">
        <f aca="false">IF($A1111="","",ROW())</f>
        <v/>
      </c>
    </row>
    <row r="1112" customFormat="false" ht="15" hidden="false" customHeight="true" outlineLevel="0" collapsed="false">
      <c r="A1112" s="8"/>
      <c r="B1112" s="8"/>
      <c r="C1112" s="8"/>
      <c r="D1112" s="8"/>
      <c r="E1112" s="8"/>
      <c r="F1112" s="8"/>
      <c r="G1112" s="10" t="str">
        <f aca="false">IF($A1112="","",UPPER(SUBSTITUTE(SUBSTITUTE(SUBSTITUTE(SUBSTITUTE($A1112," ",""),"(주)",""),"주식회사",""),"㈜","")))</f>
        <v/>
      </c>
      <c r="H1112" s="10" t="str">
        <f aca="false">IF($B1112="","",SUBSTITUTE(SUBSTITUTE(SUBSTITUTE($B1112,"-","")," ",""),".",""))</f>
        <v/>
      </c>
      <c r="I1112" s="10" t="str">
        <f aca="false">IF($D1112="","",SUBSTITUTE(SUBSTITUTE(SUBSTITUTE($D1112,"-","")," ",""),".",""))</f>
        <v/>
      </c>
      <c r="J1112" s="10" t="str">
        <f aca="false">IF($E1112="","",UPPER(SUBSTITUTE($E1112," ","")))</f>
        <v/>
      </c>
      <c r="K1112" s="10" t="str">
        <f aca="false">IF($A1112="","",$G1112&amp;"|"&amp;$J1112)</f>
        <v/>
      </c>
      <c r="L1112" s="10" t="str">
        <f aca="false">IF($A1112="","",ROW()-2)</f>
        <v/>
      </c>
      <c r="M1112" s="10" t="str">
        <f aca="false">IF($A1112="","",ROW())</f>
        <v/>
      </c>
    </row>
    <row r="1113" customFormat="false" ht="15" hidden="false" customHeight="true" outlineLevel="0" collapsed="false">
      <c r="A1113" s="8"/>
      <c r="B1113" s="8"/>
      <c r="C1113" s="8"/>
      <c r="D1113" s="8"/>
      <c r="E1113" s="8"/>
      <c r="F1113" s="8"/>
      <c r="G1113" s="10" t="str">
        <f aca="false">IF($A1113="","",UPPER(SUBSTITUTE(SUBSTITUTE(SUBSTITUTE(SUBSTITUTE($A1113," ",""),"(주)",""),"주식회사",""),"㈜","")))</f>
        <v/>
      </c>
      <c r="H1113" s="10" t="str">
        <f aca="false">IF($B1113="","",SUBSTITUTE(SUBSTITUTE(SUBSTITUTE($B1113,"-","")," ",""),".",""))</f>
        <v/>
      </c>
      <c r="I1113" s="10" t="str">
        <f aca="false">IF($D1113="","",SUBSTITUTE(SUBSTITUTE(SUBSTITUTE($D1113,"-","")," ",""),".",""))</f>
        <v/>
      </c>
      <c r="J1113" s="10" t="str">
        <f aca="false">IF($E1113="","",UPPER(SUBSTITUTE($E1113," ","")))</f>
        <v/>
      </c>
      <c r="K1113" s="10" t="str">
        <f aca="false">IF($A1113="","",$G1113&amp;"|"&amp;$J1113)</f>
        <v/>
      </c>
      <c r="L1113" s="10" t="str">
        <f aca="false">IF($A1113="","",ROW()-2)</f>
        <v/>
      </c>
      <c r="M1113" s="10" t="str">
        <f aca="false">IF($A1113="","",ROW())</f>
        <v/>
      </c>
    </row>
    <row r="1114" customFormat="false" ht="15" hidden="false" customHeight="true" outlineLevel="0" collapsed="false">
      <c r="A1114" s="8"/>
      <c r="B1114" s="8"/>
      <c r="C1114" s="8"/>
      <c r="D1114" s="8"/>
      <c r="E1114" s="8"/>
      <c r="F1114" s="8"/>
      <c r="G1114" s="10" t="str">
        <f aca="false">IF($A1114="","",UPPER(SUBSTITUTE(SUBSTITUTE(SUBSTITUTE(SUBSTITUTE($A1114," ",""),"(주)",""),"주식회사",""),"㈜","")))</f>
        <v/>
      </c>
      <c r="H1114" s="10" t="str">
        <f aca="false">IF($B1114="","",SUBSTITUTE(SUBSTITUTE(SUBSTITUTE($B1114,"-","")," ",""),".",""))</f>
        <v/>
      </c>
      <c r="I1114" s="10" t="str">
        <f aca="false">IF($D1114="","",SUBSTITUTE(SUBSTITUTE(SUBSTITUTE($D1114,"-","")," ",""),".",""))</f>
        <v/>
      </c>
      <c r="J1114" s="10" t="str">
        <f aca="false">IF($E1114="","",UPPER(SUBSTITUTE($E1114," ","")))</f>
        <v/>
      </c>
      <c r="K1114" s="10" t="str">
        <f aca="false">IF($A1114="","",$G1114&amp;"|"&amp;$J1114)</f>
        <v/>
      </c>
      <c r="L1114" s="10" t="str">
        <f aca="false">IF($A1114="","",ROW()-2)</f>
        <v/>
      </c>
      <c r="M1114" s="10" t="str">
        <f aca="false">IF($A1114="","",ROW())</f>
        <v/>
      </c>
    </row>
    <row r="1115" customFormat="false" ht="15" hidden="false" customHeight="true" outlineLevel="0" collapsed="false">
      <c r="A1115" s="8"/>
      <c r="B1115" s="8"/>
      <c r="C1115" s="8"/>
      <c r="D1115" s="8"/>
      <c r="E1115" s="8"/>
      <c r="F1115" s="8"/>
      <c r="G1115" s="10" t="str">
        <f aca="false">IF($A1115="","",UPPER(SUBSTITUTE(SUBSTITUTE(SUBSTITUTE(SUBSTITUTE($A1115," ",""),"(주)",""),"주식회사",""),"㈜","")))</f>
        <v/>
      </c>
      <c r="H1115" s="10" t="str">
        <f aca="false">IF($B1115="","",SUBSTITUTE(SUBSTITUTE(SUBSTITUTE($B1115,"-","")," ",""),".",""))</f>
        <v/>
      </c>
      <c r="I1115" s="10" t="str">
        <f aca="false">IF($D1115="","",SUBSTITUTE(SUBSTITUTE(SUBSTITUTE($D1115,"-","")," ",""),".",""))</f>
        <v/>
      </c>
      <c r="J1115" s="10" t="str">
        <f aca="false">IF($E1115="","",UPPER(SUBSTITUTE($E1115," ","")))</f>
        <v/>
      </c>
      <c r="K1115" s="10" t="str">
        <f aca="false">IF($A1115="","",$G1115&amp;"|"&amp;$J1115)</f>
        <v/>
      </c>
      <c r="L1115" s="10" t="str">
        <f aca="false">IF($A1115="","",ROW()-2)</f>
        <v/>
      </c>
      <c r="M1115" s="10" t="str">
        <f aca="false">IF($A1115="","",ROW())</f>
        <v/>
      </c>
    </row>
    <row r="1116" customFormat="false" ht="15" hidden="false" customHeight="true" outlineLevel="0" collapsed="false">
      <c r="A1116" s="8"/>
      <c r="B1116" s="8"/>
      <c r="C1116" s="8"/>
      <c r="D1116" s="8"/>
      <c r="E1116" s="8"/>
      <c r="F1116" s="8"/>
      <c r="G1116" s="10" t="str">
        <f aca="false">IF($A1116="","",UPPER(SUBSTITUTE(SUBSTITUTE(SUBSTITUTE(SUBSTITUTE($A1116," ",""),"(주)",""),"주식회사",""),"㈜","")))</f>
        <v/>
      </c>
      <c r="H1116" s="10" t="str">
        <f aca="false">IF($B1116="","",SUBSTITUTE(SUBSTITUTE(SUBSTITUTE($B1116,"-","")," ",""),".",""))</f>
        <v/>
      </c>
      <c r="I1116" s="10" t="str">
        <f aca="false">IF($D1116="","",SUBSTITUTE(SUBSTITUTE(SUBSTITUTE($D1116,"-","")," ",""),".",""))</f>
        <v/>
      </c>
      <c r="J1116" s="10" t="str">
        <f aca="false">IF($E1116="","",UPPER(SUBSTITUTE($E1116," ","")))</f>
        <v/>
      </c>
      <c r="K1116" s="10" t="str">
        <f aca="false">IF($A1116="","",$G1116&amp;"|"&amp;$J1116)</f>
        <v/>
      </c>
      <c r="L1116" s="10" t="str">
        <f aca="false">IF($A1116="","",ROW()-2)</f>
        <v/>
      </c>
      <c r="M1116" s="10" t="str">
        <f aca="false">IF($A1116="","",ROW())</f>
        <v/>
      </c>
    </row>
    <row r="1117" customFormat="false" ht="15" hidden="false" customHeight="true" outlineLevel="0" collapsed="false">
      <c r="A1117" s="8"/>
      <c r="B1117" s="8"/>
      <c r="C1117" s="8"/>
      <c r="D1117" s="8"/>
      <c r="E1117" s="8"/>
      <c r="F1117" s="8"/>
      <c r="G1117" s="10" t="str">
        <f aca="false">IF($A1117="","",UPPER(SUBSTITUTE(SUBSTITUTE(SUBSTITUTE(SUBSTITUTE($A1117," ",""),"(주)",""),"주식회사",""),"㈜","")))</f>
        <v/>
      </c>
      <c r="H1117" s="10" t="str">
        <f aca="false">IF($B1117="","",SUBSTITUTE(SUBSTITUTE(SUBSTITUTE($B1117,"-","")," ",""),".",""))</f>
        <v/>
      </c>
      <c r="I1117" s="10" t="str">
        <f aca="false">IF($D1117="","",SUBSTITUTE(SUBSTITUTE(SUBSTITUTE($D1117,"-","")," ",""),".",""))</f>
        <v/>
      </c>
      <c r="J1117" s="10" t="str">
        <f aca="false">IF($E1117="","",UPPER(SUBSTITUTE($E1117," ","")))</f>
        <v/>
      </c>
      <c r="K1117" s="10" t="str">
        <f aca="false">IF($A1117="","",$G1117&amp;"|"&amp;$J1117)</f>
        <v/>
      </c>
      <c r="L1117" s="10" t="str">
        <f aca="false">IF($A1117="","",ROW()-2)</f>
        <v/>
      </c>
      <c r="M1117" s="10" t="str">
        <f aca="false">IF($A1117="","",ROW())</f>
        <v/>
      </c>
    </row>
    <row r="1118" customFormat="false" ht="15" hidden="false" customHeight="true" outlineLevel="0" collapsed="false">
      <c r="A1118" s="8"/>
      <c r="B1118" s="8"/>
      <c r="C1118" s="8"/>
      <c r="D1118" s="8"/>
      <c r="E1118" s="8"/>
      <c r="F1118" s="8"/>
      <c r="G1118" s="10" t="str">
        <f aca="false">IF($A1118="","",UPPER(SUBSTITUTE(SUBSTITUTE(SUBSTITUTE(SUBSTITUTE($A1118," ",""),"(주)",""),"주식회사",""),"㈜","")))</f>
        <v/>
      </c>
      <c r="H1118" s="10" t="str">
        <f aca="false">IF($B1118="","",SUBSTITUTE(SUBSTITUTE(SUBSTITUTE($B1118,"-","")," ",""),".",""))</f>
        <v/>
      </c>
      <c r="I1118" s="10" t="str">
        <f aca="false">IF($D1118="","",SUBSTITUTE(SUBSTITUTE(SUBSTITUTE($D1118,"-","")," ",""),".",""))</f>
        <v/>
      </c>
      <c r="J1118" s="10" t="str">
        <f aca="false">IF($E1118="","",UPPER(SUBSTITUTE($E1118," ","")))</f>
        <v/>
      </c>
      <c r="K1118" s="10" t="str">
        <f aca="false">IF($A1118="","",$G1118&amp;"|"&amp;$J1118)</f>
        <v/>
      </c>
      <c r="L1118" s="10" t="str">
        <f aca="false">IF($A1118="","",ROW()-2)</f>
        <v/>
      </c>
      <c r="M1118" s="10" t="str">
        <f aca="false">IF($A1118="","",ROW())</f>
        <v/>
      </c>
    </row>
    <row r="1119" customFormat="false" ht="15" hidden="false" customHeight="true" outlineLevel="0" collapsed="false">
      <c r="A1119" s="8"/>
      <c r="B1119" s="8"/>
      <c r="C1119" s="8"/>
      <c r="D1119" s="8"/>
      <c r="E1119" s="8"/>
      <c r="F1119" s="8"/>
      <c r="G1119" s="10" t="str">
        <f aca="false">IF($A1119="","",UPPER(SUBSTITUTE(SUBSTITUTE(SUBSTITUTE(SUBSTITUTE($A1119," ",""),"(주)",""),"주식회사",""),"㈜","")))</f>
        <v/>
      </c>
      <c r="H1119" s="10" t="str">
        <f aca="false">IF($B1119="","",SUBSTITUTE(SUBSTITUTE(SUBSTITUTE($B1119,"-","")," ",""),".",""))</f>
        <v/>
      </c>
      <c r="I1119" s="10" t="str">
        <f aca="false">IF($D1119="","",SUBSTITUTE(SUBSTITUTE(SUBSTITUTE($D1119,"-","")," ",""),".",""))</f>
        <v/>
      </c>
      <c r="J1119" s="10" t="str">
        <f aca="false">IF($E1119="","",UPPER(SUBSTITUTE($E1119," ","")))</f>
        <v/>
      </c>
      <c r="K1119" s="10" t="str">
        <f aca="false">IF($A1119="","",$G1119&amp;"|"&amp;$J1119)</f>
        <v/>
      </c>
      <c r="L1119" s="10" t="str">
        <f aca="false">IF($A1119="","",ROW()-2)</f>
        <v/>
      </c>
      <c r="M1119" s="10" t="str">
        <f aca="false">IF($A1119="","",ROW())</f>
        <v/>
      </c>
    </row>
    <row r="1120" customFormat="false" ht="15" hidden="false" customHeight="true" outlineLevel="0" collapsed="false">
      <c r="A1120" s="8"/>
      <c r="B1120" s="8"/>
      <c r="C1120" s="8"/>
      <c r="D1120" s="8"/>
      <c r="E1120" s="8"/>
      <c r="F1120" s="8"/>
      <c r="G1120" s="10" t="str">
        <f aca="false">IF($A1120="","",UPPER(SUBSTITUTE(SUBSTITUTE(SUBSTITUTE(SUBSTITUTE($A1120," ",""),"(주)",""),"주식회사",""),"㈜","")))</f>
        <v/>
      </c>
      <c r="H1120" s="10" t="str">
        <f aca="false">IF($B1120="","",SUBSTITUTE(SUBSTITUTE(SUBSTITUTE($B1120,"-","")," ",""),".",""))</f>
        <v/>
      </c>
      <c r="I1120" s="10" t="str">
        <f aca="false">IF($D1120="","",SUBSTITUTE(SUBSTITUTE(SUBSTITUTE($D1120,"-","")," ",""),".",""))</f>
        <v/>
      </c>
      <c r="J1120" s="10" t="str">
        <f aca="false">IF($E1120="","",UPPER(SUBSTITUTE($E1120," ","")))</f>
        <v/>
      </c>
      <c r="K1120" s="10" t="str">
        <f aca="false">IF($A1120="","",$G1120&amp;"|"&amp;$J1120)</f>
        <v/>
      </c>
      <c r="L1120" s="10" t="str">
        <f aca="false">IF($A1120="","",ROW()-2)</f>
        <v/>
      </c>
      <c r="M1120" s="10" t="str">
        <f aca="false">IF($A1120="","",ROW())</f>
        <v/>
      </c>
    </row>
    <row r="1121" customFormat="false" ht="15" hidden="false" customHeight="true" outlineLevel="0" collapsed="false">
      <c r="A1121" s="8"/>
      <c r="B1121" s="8"/>
      <c r="C1121" s="8"/>
      <c r="D1121" s="8"/>
      <c r="E1121" s="8"/>
      <c r="F1121" s="8"/>
      <c r="G1121" s="10" t="str">
        <f aca="false">IF($A1121="","",UPPER(SUBSTITUTE(SUBSTITUTE(SUBSTITUTE(SUBSTITUTE($A1121," ",""),"(주)",""),"주식회사",""),"㈜","")))</f>
        <v/>
      </c>
      <c r="H1121" s="10" t="str">
        <f aca="false">IF($B1121="","",SUBSTITUTE(SUBSTITUTE(SUBSTITUTE($B1121,"-","")," ",""),".",""))</f>
        <v/>
      </c>
      <c r="I1121" s="10" t="str">
        <f aca="false">IF($D1121="","",SUBSTITUTE(SUBSTITUTE(SUBSTITUTE($D1121,"-","")," ",""),".",""))</f>
        <v/>
      </c>
      <c r="J1121" s="10" t="str">
        <f aca="false">IF($E1121="","",UPPER(SUBSTITUTE($E1121," ","")))</f>
        <v/>
      </c>
      <c r="K1121" s="10" t="str">
        <f aca="false">IF($A1121="","",$G1121&amp;"|"&amp;$J1121)</f>
        <v/>
      </c>
      <c r="L1121" s="10" t="str">
        <f aca="false">IF($A1121="","",ROW()-2)</f>
        <v/>
      </c>
      <c r="M1121" s="10" t="str">
        <f aca="false">IF($A1121="","",ROW())</f>
        <v/>
      </c>
    </row>
    <row r="1122" customFormat="false" ht="15" hidden="false" customHeight="true" outlineLevel="0" collapsed="false">
      <c r="A1122" s="8"/>
      <c r="B1122" s="8"/>
      <c r="C1122" s="8"/>
      <c r="D1122" s="8"/>
      <c r="E1122" s="8"/>
      <c r="F1122" s="8"/>
      <c r="G1122" s="10" t="str">
        <f aca="false">IF($A1122="","",UPPER(SUBSTITUTE(SUBSTITUTE(SUBSTITUTE(SUBSTITUTE($A1122," ",""),"(주)",""),"주식회사",""),"㈜","")))</f>
        <v/>
      </c>
      <c r="H1122" s="10" t="str">
        <f aca="false">IF($B1122="","",SUBSTITUTE(SUBSTITUTE(SUBSTITUTE($B1122,"-","")," ",""),".",""))</f>
        <v/>
      </c>
      <c r="I1122" s="10" t="str">
        <f aca="false">IF($D1122="","",SUBSTITUTE(SUBSTITUTE(SUBSTITUTE($D1122,"-","")," ",""),".",""))</f>
        <v/>
      </c>
      <c r="J1122" s="10" t="str">
        <f aca="false">IF($E1122="","",UPPER(SUBSTITUTE($E1122," ","")))</f>
        <v/>
      </c>
      <c r="K1122" s="10" t="str">
        <f aca="false">IF($A1122="","",$G1122&amp;"|"&amp;$J1122)</f>
        <v/>
      </c>
      <c r="L1122" s="10" t="str">
        <f aca="false">IF($A1122="","",ROW()-2)</f>
        <v/>
      </c>
      <c r="M1122" s="10" t="str">
        <f aca="false">IF($A1122="","",ROW())</f>
        <v/>
      </c>
    </row>
    <row r="1123" customFormat="false" ht="15" hidden="false" customHeight="true" outlineLevel="0" collapsed="false">
      <c r="A1123" s="8"/>
      <c r="B1123" s="8"/>
      <c r="C1123" s="8"/>
      <c r="D1123" s="8"/>
      <c r="E1123" s="8"/>
      <c r="F1123" s="8"/>
      <c r="G1123" s="10" t="str">
        <f aca="false">IF($A1123="","",UPPER(SUBSTITUTE(SUBSTITUTE(SUBSTITUTE(SUBSTITUTE($A1123," ",""),"(주)",""),"주식회사",""),"㈜","")))</f>
        <v/>
      </c>
      <c r="H1123" s="10" t="str">
        <f aca="false">IF($B1123="","",SUBSTITUTE(SUBSTITUTE(SUBSTITUTE($B1123,"-","")," ",""),".",""))</f>
        <v/>
      </c>
      <c r="I1123" s="10" t="str">
        <f aca="false">IF($D1123="","",SUBSTITUTE(SUBSTITUTE(SUBSTITUTE($D1123,"-","")," ",""),".",""))</f>
        <v/>
      </c>
      <c r="J1123" s="10" t="str">
        <f aca="false">IF($E1123="","",UPPER(SUBSTITUTE($E1123," ","")))</f>
        <v/>
      </c>
      <c r="K1123" s="10" t="str">
        <f aca="false">IF($A1123="","",$G1123&amp;"|"&amp;$J1123)</f>
        <v/>
      </c>
      <c r="L1123" s="10" t="str">
        <f aca="false">IF($A1123="","",ROW()-2)</f>
        <v/>
      </c>
      <c r="M1123" s="10" t="str">
        <f aca="false">IF($A1123="","",ROW())</f>
        <v/>
      </c>
    </row>
    <row r="1124" customFormat="false" ht="15" hidden="false" customHeight="true" outlineLevel="0" collapsed="false">
      <c r="A1124" s="8"/>
      <c r="B1124" s="8"/>
      <c r="C1124" s="8"/>
      <c r="D1124" s="8"/>
      <c r="E1124" s="8"/>
      <c r="F1124" s="8"/>
      <c r="G1124" s="10" t="str">
        <f aca="false">IF($A1124="","",UPPER(SUBSTITUTE(SUBSTITUTE(SUBSTITUTE(SUBSTITUTE($A1124," ",""),"(주)",""),"주식회사",""),"㈜","")))</f>
        <v/>
      </c>
      <c r="H1124" s="10" t="str">
        <f aca="false">IF($B1124="","",SUBSTITUTE(SUBSTITUTE(SUBSTITUTE($B1124,"-","")," ",""),".",""))</f>
        <v/>
      </c>
      <c r="I1124" s="10" t="str">
        <f aca="false">IF($D1124="","",SUBSTITUTE(SUBSTITUTE(SUBSTITUTE($D1124,"-","")," ",""),".",""))</f>
        <v/>
      </c>
      <c r="J1124" s="10" t="str">
        <f aca="false">IF($E1124="","",UPPER(SUBSTITUTE($E1124," ","")))</f>
        <v/>
      </c>
      <c r="K1124" s="10" t="str">
        <f aca="false">IF($A1124="","",$G1124&amp;"|"&amp;$J1124)</f>
        <v/>
      </c>
      <c r="L1124" s="10" t="str">
        <f aca="false">IF($A1124="","",ROW()-2)</f>
        <v/>
      </c>
      <c r="M1124" s="10" t="str">
        <f aca="false">IF($A1124="","",ROW())</f>
        <v/>
      </c>
    </row>
    <row r="1125" customFormat="false" ht="15" hidden="false" customHeight="true" outlineLevel="0" collapsed="false">
      <c r="A1125" s="8"/>
      <c r="B1125" s="8"/>
      <c r="C1125" s="8"/>
      <c r="D1125" s="8"/>
      <c r="E1125" s="8"/>
      <c r="F1125" s="8"/>
      <c r="G1125" s="10" t="str">
        <f aca="false">IF($A1125="","",UPPER(SUBSTITUTE(SUBSTITUTE(SUBSTITUTE(SUBSTITUTE($A1125," ",""),"(주)",""),"주식회사",""),"㈜","")))</f>
        <v/>
      </c>
      <c r="H1125" s="10" t="str">
        <f aca="false">IF($B1125="","",SUBSTITUTE(SUBSTITUTE(SUBSTITUTE($B1125,"-","")," ",""),".",""))</f>
        <v/>
      </c>
      <c r="I1125" s="10" t="str">
        <f aca="false">IF($D1125="","",SUBSTITUTE(SUBSTITUTE(SUBSTITUTE($D1125,"-","")," ",""),".",""))</f>
        <v/>
      </c>
      <c r="J1125" s="10" t="str">
        <f aca="false">IF($E1125="","",UPPER(SUBSTITUTE($E1125," ","")))</f>
        <v/>
      </c>
      <c r="K1125" s="10" t="str">
        <f aca="false">IF($A1125="","",$G1125&amp;"|"&amp;$J1125)</f>
        <v/>
      </c>
      <c r="L1125" s="10" t="str">
        <f aca="false">IF($A1125="","",ROW()-2)</f>
        <v/>
      </c>
      <c r="M1125" s="10" t="str">
        <f aca="false">IF($A1125="","",ROW())</f>
        <v/>
      </c>
    </row>
    <row r="1126" customFormat="false" ht="15" hidden="false" customHeight="true" outlineLevel="0" collapsed="false">
      <c r="A1126" s="8"/>
      <c r="B1126" s="8"/>
      <c r="C1126" s="8"/>
      <c r="D1126" s="8"/>
      <c r="E1126" s="8"/>
      <c r="F1126" s="8"/>
      <c r="G1126" s="10" t="str">
        <f aca="false">IF($A1126="","",UPPER(SUBSTITUTE(SUBSTITUTE(SUBSTITUTE(SUBSTITUTE($A1126," ",""),"(주)",""),"주식회사",""),"㈜","")))</f>
        <v/>
      </c>
      <c r="H1126" s="10" t="str">
        <f aca="false">IF($B1126="","",SUBSTITUTE(SUBSTITUTE(SUBSTITUTE($B1126,"-","")," ",""),".",""))</f>
        <v/>
      </c>
      <c r="I1126" s="10" t="str">
        <f aca="false">IF($D1126="","",SUBSTITUTE(SUBSTITUTE(SUBSTITUTE($D1126,"-","")," ",""),".",""))</f>
        <v/>
      </c>
      <c r="J1126" s="10" t="str">
        <f aca="false">IF($E1126="","",UPPER(SUBSTITUTE($E1126," ","")))</f>
        <v/>
      </c>
      <c r="K1126" s="10" t="str">
        <f aca="false">IF($A1126="","",$G1126&amp;"|"&amp;$J1126)</f>
        <v/>
      </c>
      <c r="L1126" s="10" t="str">
        <f aca="false">IF($A1126="","",ROW()-2)</f>
        <v/>
      </c>
      <c r="M1126" s="10" t="str">
        <f aca="false">IF($A1126="","",ROW())</f>
        <v/>
      </c>
    </row>
    <row r="1127" customFormat="false" ht="15" hidden="false" customHeight="true" outlineLevel="0" collapsed="false">
      <c r="A1127" s="8"/>
      <c r="B1127" s="8"/>
      <c r="C1127" s="8"/>
      <c r="D1127" s="8"/>
      <c r="E1127" s="8"/>
      <c r="F1127" s="8"/>
      <c r="G1127" s="10" t="str">
        <f aca="false">IF($A1127="","",UPPER(SUBSTITUTE(SUBSTITUTE(SUBSTITUTE(SUBSTITUTE($A1127," ",""),"(주)",""),"주식회사",""),"㈜","")))</f>
        <v/>
      </c>
      <c r="H1127" s="10" t="str">
        <f aca="false">IF($B1127="","",SUBSTITUTE(SUBSTITUTE(SUBSTITUTE($B1127,"-","")," ",""),".",""))</f>
        <v/>
      </c>
      <c r="I1127" s="10" t="str">
        <f aca="false">IF($D1127="","",SUBSTITUTE(SUBSTITUTE(SUBSTITUTE($D1127,"-","")," ",""),".",""))</f>
        <v/>
      </c>
      <c r="J1127" s="10" t="str">
        <f aca="false">IF($E1127="","",UPPER(SUBSTITUTE($E1127," ","")))</f>
        <v/>
      </c>
      <c r="K1127" s="10" t="str">
        <f aca="false">IF($A1127="","",$G1127&amp;"|"&amp;$J1127)</f>
        <v/>
      </c>
      <c r="L1127" s="10" t="str">
        <f aca="false">IF($A1127="","",ROW()-2)</f>
        <v/>
      </c>
      <c r="M1127" s="10" t="str">
        <f aca="false">IF($A1127="","",ROW())</f>
        <v/>
      </c>
    </row>
    <row r="1128" customFormat="false" ht="15" hidden="false" customHeight="true" outlineLevel="0" collapsed="false">
      <c r="A1128" s="8"/>
      <c r="B1128" s="8"/>
      <c r="C1128" s="8"/>
      <c r="D1128" s="8"/>
      <c r="E1128" s="8"/>
      <c r="F1128" s="8"/>
      <c r="G1128" s="10" t="str">
        <f aca="false">IF($A1128="","",UPPER(SUBSTITUTE(SUBSTITUTE(SUBSTITUTE(SUBSTITUTE($A1128," ",""),"(주)",""),"주식회사",""),"㈜","")))</f>
        <v/>
      </c>
      <c r="H1128" s="10" t="str">
        <f aca="false">IF($B1128="","",SUBSTITUTE(SUBSTITUTE(SUBSTITUTE($B1128,"-","")," ",""),".",""))</f>
        <v/>
      </c>
      <c r="I1128" s="10" t="str">
        <f aca="false">IF($D1128="","",SUBSTITUTE(SUBSTITUTE(SUBSTITUTE($D1128,"-","")," ",""),".",""))</f>
        <v/>
      </c>
      <c r="J1128" s="10" t="str">
        <f aca="false">IF($E1128="","",UPPER(SUBSTITUTE($E1128," ","")))</f>
        <v/>
      </c>
      <c r="K1128" s="10" t="str">
        <f aca="false">IF($A1128="","",$G1128&amp;"|"&amp;$J1128)</f>
        <v/>
      </c>
      <c r="L1128" s="10" t="str">
        <f aca="false">IF($A1128="","",ROW()-2)</f>
        <v/>
      </c>
      <c r="M1128" s="10" t="str">
        <f aca="false">IF($A1128="","",ROW())</f>
        <v/>
      </c>
    </row>
    <row r="1129" customFormat="false" ht="15" hidden="false" customHeight="true" outlineLevel="0" collapsed="false">
      <c r="A1129" s="8"/>
      <c r="B1129" s="8"/>
      <c r="C1129" s="8"/>
      <c r="D1129" s="8"/>
      <c r="E1129" s="8"/>
      <c r="F1129" s="8"/>
      <c r="G1129" s="10" t="str">
        <f aca="false">IF($A1129="","",UPPER(SUBSTITUTE(SUBSTITUTE(SUBSTITUTE(SUBSTITUTE($A1129," ",""),"(주)",""),"주식회사",""),"㈜","")))</f>
        <v/>
      </c>
      <c r="H1129" s="10" t="str">
        <f aca="false">IF($B1129="","",SUBSTITUTE(SUBSTITUTE(SUBSTITUTE($B1129,"-","")," ",""),".",""))</f>
        <v/>
      </c>
      <c r="I1129" s="10" t="str">
        <f aca="false">IF($D1129="","",SUBSTITUTE(SUBSTITUTE(SUBSTITUTE($D1129,"-","")," ",""),".",""))</f>
        <v/>
      </c>
      <c r="J1129" s="10" t="str">
        <f aca="false">IF($E1129="","",UPPER(SUBSTITUTE($E1129," ","")))</f>
        <v/>
      </c>
      <c r="K1129" s="10" t="str">
        <f aca="false">IF($A1129="","",$G1129&amp;"|"&amp;$J1129)</f>
        <v/>
      </c>
      <c r="L1129" s="10" t="str">
        <f aca="false">IF($A1129="","",ROW()-2)</f>
        <v/>
      </c>
      <c r="M1129" s="10" t="str">
        <f aca="false">IF($A1129="","",ROW())</f>
        <v/>
      </c>
    </row>
    <row r="1130" customFormat="false" ht="15" hidden="false" customHeight="true" outlineLevel="0" collapsed="false">
      <c r="A1130" s="8"/>
      <c r="B1130" s="8"/>
      <c r="C1130" s="8"/>
      <c r="D1130" s="8"/>
      <c r="E1130" s="8"/>
      <c r="F1130" s="8"/>
      <c r="G1130" s="10" t="str">
        <f aca="false">IF($A1130="","",UPPER(SUBSTITUTE(SUBSTITUTE(SUBSTITUTE(SUBSTITUTE($A1130," ",""),"(주)",""),"주식회사",""),"㈜","")))</f>
        <v/>
      </c>
      <c r="H1130" s="10" t="str">
        <f aca="false">IF($B1130="","",SUBSTITUTE(SUBSTITUTE(SUBSTITUTE($B1130,"-","")," ",""),".",""))</f>
        <v/>
      </c>
      <c r="I1130" s="10" t="str">
        <f aca="false">IF($D1130="","",SUBSTITUTE(SUBSTITUTE(SUBSTITUTE($D1130,"-","")," ",""),".",""))</f>
        <v/>
      </c>
      <c r="J1130" s="10" t="str">
        <f aca="false">IF($E1130="","",UPPER(SUBSTITUTE($E1130," ","")))</f>
        <v/>
      </c>
      <c r="K1130" s="10" t="str">
        <f aca="false">IF($A1130="","",$G1130&amp;"|"&amp;$J1130)</f>
        <v/>
      </c>
      <c r="L1130" s="10" t="str">
        <f aca="false">IF($A1130="","",ROW()-2)</f>
        <v/>
      </c>
      <c r="M1130" s="10" t="str">
        <f aca="false">IF($A1130="","",ROW())</f>
        <v/>
      </c>
    </row>
    <row r="1131" customFormat="false" ht="15" hidden="false" customHeight="true" outlineLevel="0" collapsed="false">
      <c r="A1131" s="8"/>
      <c r="B1131" s="8"/>
      <c r="C1131" s="8"/>
      <c r="D1131" s="8"/>
      <c r="E1131" s="8"/>
      <c r="F1131" s="8"/>
      <c r="G1131" s="10" t="str">
        <f aca="false">IF($A1131="","",UPPER(SUBSTITUTE(SUBSTITUTE(SUBSTITUTE(SUBSTITUTE($A1131," ",""),"(주)",""),"주식회사",""),"㈜","")))</f>
        <v/>
      </c>
      <c r="H1131" s="10" t="str">
        <f aca="false">IF($B1131="","",SUBSTITUTE(SUBSTITUTE(SUBSTITUTE($B1131,"-","")," ",""),".",""))</f>
        <v/>
      </c>
      <c r="I1131" s="10" t="str">
        <f aca="false">IF($D1131="","",SUBSTITUTE(SUBSTITUTE(SUBSTITUTE($D1131,"-","")," ",""),".",""))</f>
        <v/>
      </c>
      <c r="J1131" s="10" t="str">
        <f aca="false">IF($E1131="","",UPPER(SUBSTITUTE($E1131," ","")))</f>
        <v/>
      </c>
      <c r="K1131" s="10" t="str">
        <f aca="false">IF($A1131="","",$G1131&amp;"|"&amp;$J1131)</f>
        <v/>
      </c>
      <c r="L1131" s="10" t="str">
        <f aca="false">IF($A1131="","",ROW()-2)</f>
        <v/>
      </c>
      <c r="M1131" s="10" t="str">
        <f aca="false">IF($A1131="","",ROW())</f>
        <v/>
      </c>
    </row>
    <row r="1132" customFormat="false" ht="15" hidden="false" customHeight="true" outlineLevel="0" collapsed="false">
      <c r="A1132" s="8"/>
      <c r="B1132" s="8"/>
      <c r="C1132" s="8"/>
      <c r="D1132" s="8"/>
      <c r="E1132" s="8"/>
      <c r="F1132" s="8"/>
      <c r="G1132" s="10" t="str">
        <f aca="false">IF($A1132="","",UPPER(SUBSTITUTE(SUBSTITUTE(SUBSTITUTE(SUBSTITUTE($A1132," ",""),"(주)",""),"주식회사",""),"㈜","")))</f>
        <v/>
      </c>
      <c r="H1132" s="10" t="str">
        <f aca="false">IF($B1132="","",SUBSTITUTE(SUBSTITUTE(SUBSTITUTE($B1132,"-","")," ",""),".",""))</f>
        <v/>
      </c>
      <c r="I1132" s="10" t="str">
        <f aca="false">IF($D1132="","",SUBSTITUTE(SUBSTITUTE(SUBSTITUTE($D1132,"-","")," ",""),".",""))</f>
        <v/>
      </c>
      <c r="J1132" s="10" t="str">
        <f aca="false">IF($E1132="","",UPPER(SUBSTITUTE($E1132," ","")))</f>
        <v/>
      </c>
      <c r="K1132" s="10" t="str">
        <f aca="false">IF($A1132="","",$G1132&amp;"|"&amp;$J1132)</f>
        <v/>
      </c>
      <c r="L1132" s="10" t="str">
        <f aca="false">IF($A1132="","",ROW()-2)</f>
        <v/>
      </c>
      <c r="M1132" s="10" t="str">
        <f aca="false">IF($A1132="","",ROW())</f>
        <v/>
      </c>
    </row>
    <row r="1133" customFormat="false" ht="15" hidden="false" customHeight="true" outlineLevel="0" collapsed="false">
      <c r="A1133" s="8"/>
      <c r="B1133" s="8"/>
      <c r="C1133" s="8"/>
      <c r="D1133" s="8"/>
      <c r="E1133" s="8"/>
      <c r="F1133" s="8"/>
      <c r="G1133" s="10" t="str">
        <f aca="false">IF($A1133="","",UPPER(SUBSTITUTE(SUBSTITUTE(SUBSTITUTE(SUBSTITUTE($A1133," ",""),"(주)",""),"주식회사",""),"㈜","")))</f>
        <v/>
      </c>
      <c r="H1133" s="10" t="str">
        <f aca="false">IF($B1133="","",SUBSTITUTE(SUBSTITUTE(SUBSTITUTE($B1133,"-","")," ",""),".",""))</f>
        <v/>
      </c>
      <c r="I1133" s="10" t="str">
        <f aca="false">IF($D1133="","",SUBSTITUTE(SUBSTITUTE(SUBSTITUTE($D1133,"-","")," ",""),".",""))</f>
        <v/>
      </c>
      <c r="J1133" s="10" t="str">
        <f aca="false">IF($E1133="","",UPPER(SUBSTITUTE($E1133," ","")))</f>
        <v/>
      </c>
      <c r="K1133" s="10" t="str">
        <f aca="false">IF($A1133="","",$G1133&amp;"|"&amp;$J1133)</f>
        <v/>
      </c>
      <c r="L1133" s="10" t="str">
        <f aca="false">IF($A1133="","",ROW()-2)</f>
        <v/>
      </c>
      <c r="M1133" s="10" t="str">
        <f aca="false">IF($A1133="","",ROW())</f>
        <v/>
      </c>
    </row>
    <row r="1134" customFormat="false" ht="15" hidden="false" customHeight="true" outlineLevel="0" collapsed="false">
      <c r="A1134" s="8"/>
      <c r="B1134" s="8"/>
      <c r="C1134" s="8"/>
      <c r="D1134" s="8"/>
      <c r="E1134" s="8"/>
      <c r="F1134" s="8"/>
      <c r="G1134" s="10" t="str">
        <f aca="false">IF($A1134="","",UPPER(SUBSTITUTE(SUBSTITUTE(SUBSTITUTE(SUBSTITUTE($A1134," ",""),"(주)",""),"주식회사",""),"㈜","")))</f>
        <v/>
      </c>
      <c r="H1134" s="10" t="str">
        <f aca="false">IF($B1134="","",SUBSTITUTE(SUBSTITUTE(SUBSTITUTE($B1134,"-","")," ",""),".",""))</f>
        <v/>
      </c>
      <c r="I1134" s="10" t="str">
        <f aca="false">IF($D1134="","",SUBSTITUTE(SUBSTITUTE(SUBSTITUTE($D1134,"-","")," ",""),".",""))</f>
        <v/>
      </c>
      <c r="J1134" s="10" t="str">
        <f aca="false">IF($E1134="","",UPPER(SUBSTITUTE($E1134," ","")))</f>
        <v/>
      </c>
      <c r="K1134" s="10" t="str">
        <f aca="false">IF($A1134="","",$G1134&amp;"|"&amp;$J1134)</f>
        <v/>
      </c>
      <c r="L1134" s="10" t="str">
        <f aca="false">IF($A1134="","",ROW()-2)</f>
        <v/>
      </c>
      <c r="M1134" s="10" t="str">
        <f aca="false">IF($A1134="","",ROW())</f>
        <v/>
      </c>
    </row>
    <row r="1135" customFormat="false" ht="15" hidden="false" customHeight="true" outlineLevel="0" collapsed="false">
      <c r="A1135" s="8"/>
      <c r="B1135" s="8"/>
      <c r="C1135" s="8"/>
      <c r="D1135" s="8"/>
      <c r="E1135" s="8"/>
      <c r="F1135" s="8"/>
      <c r="G1135" s="10" t="str">
        <f aca="false">IF($A1135="","",UPPER(SUBSTITUTE(SUBSTITUTE(SUBSTITUTE(SUBSTITUTE($A1135," ",""),"(주)",""),"주식회사",""),"㈜","")))</f>
        <v/>
      </c>
      <c r="H1135" s="10" t="str">
        <f aca="false">IF($B1135="","",SUBSTITUTE(SUBSTITUTE(SUBSTITUTE($B1135,"-","")," ",""),".",""))</f>
        <v/>
      </c>
      <c r="I1135" s="10" t="str">
        <f aca="false">IF($D1135="","",SUBSTITUTE(SUBSTITUTE(SUBSTITUTE($D1135,"-","")," ",""),".",""))</f>
        <v/>
      </c>
      <c r="J1135" s="10" t="str">
        <f aca="false">IF($E1135="","",UPPER(SUBSTITUTE($E1135," ","")))</f>
        <v/>
      </c>
      <c r="K1135" s="10" t="str">
        <f aca="false">IF($A1135="","",$G1135&amp;"|"&amp;$J1135)</f>
        <v/>
      </c>
      <c r="L1135" s="10" t="str">
        <f aca="false">IF($A1135="","",ROW()-2)</f>
        <v/>
      </c>
      <c r="M1135" s="10" t="str">
        <f aca="false">IF($A1135="","",ROW())</f>
        <v/>
      </c>
    </row>
    <row r="1136" customFormat="false" ht="15" hidden="false" customHeight="true" outlineLevel="0" collapsed="false">
      <c r="A1136" s="8"/>
      <c r="B1136" s="8"/>
      <c r="C1136" s="8"/>
      <c r="D1136" s="8"/>
      <c r="E1136" s="8"/>
      <c r="F1136" s="8"/>
      <c r="G1136" s="10" t="str">
        <f aca="false">IF($A1136="","",UPPER(SUBSTITUTE(SUBSTITUTE(SUBSTITUTE(SUBSTITUTE($A1136," ",""),"(주)",""),"주식회사",""),"㈜","")))</f>
        <v/>
      </c>
      <c r="H1136" s="10" t="str">
        <f aca="false">IF($B1136="","",SUBSTITUTE(SUBSTITUTE(SUBSTITUTE($B1136,"-","")," ",""),".",""))</f>
        <v/>
      </c>
      <c r="I1136" s="10" t="str">
        <f aca="false">IF($D1136="","",SUBSTITUTE(SUBSTITUTE(SUBSTITUTE($D1136,"-","")," ",""),".",""))</f>
        <v/>
      </c>
      <c r="J1136" s="10" t="str">
        <f aca="false">IF($E1136="","",UPPER(SUBSTITUTE($E1136," ","")))</f>
        <v/>
      </c>
      <c r="K1136" s="10" t="str">
        <f aca="false">IF($A1136="","",$G1136&amp;"|"&amp;$J1136)</f>
        <v/>
      </c>
      <c r="L1136" s="10" t="str">
        <f aca="false">IF($A1136="","",ROW()-2)</f>
        <v/>
      </c>
      <c r="M1136" s="10" t="str">
        <f aca="false">IF($A1136="","",ROW())</f>
        <v/>
      </c>
    </row>
    <row r="1137" customFormat="false" ht="15" hidden="false" customHeight="true" outlineLevel="0" collapsed="false">
      <c r="A1137" s="8"/>
      <c r="B1137" s="8"/>
      <c r="C1137" s="8"/>
      <c r="D1137" s="8"/>
      <c r="E1137" s="8"/>
      <c r="F1137" s="8"/>
      <c r="G1137" s="10" t="str">
        <f aca="false">IF($A1137="","",UPPER(SUBSTITUTE(SUBSTITUTE(SUBSTITUTE(SUBSTITUTE($A1137," ",""),"(주)",""),"주식회사",""),"㈜","")))</f>
        <v/>
      </c>
      <c r="H1137" s="10" t="str">
        <f aca="false">IF($B1137="","",SUBSTITUTE(SUBSTITUTE(SUBSTITUTE($B1137,"-","")," ",""),".",""))</f>
        <v/>
      </c>
      <c r="I1137" s="10" t="str">
        <f aca="false">IF($D1137="","",SUBSTITUTE(SUBSTITUTE(SUBSTITUTE($D1137,"-","")," ",""),".",""))</f>
        <v/>
      </c>
      <c r="J1137" s="10" t="str">
        <f aca="false">IF($E1137="","",UPPER(SUBSTITUTE($E1137," ","")))</f>
        <v/>
      </c>
      <c r="K1137" s="10" t="str">
        <f aca="false">IF($A1137="","",$G1137&amp;"|"&amp;$J1137)</f>
        <v/>
      </c>
      <c r="L1137" s="10" t="str">
        <f aca="false">IF($A1137="","",ROW()-2)</f>
        <v/>
      </c>
      <c r="M1137" s="10" t="str">
        <f aca="false">IF($A1137="","",ROW())</f>
        <v/>
      </c>
    </row>
    <row r="1138" customFormat="false" ht="15" hidden="false" customHeight="true" outlineLevel="0" collapsed="false">
      <c r="A1138" s="8"/>
      <c r="B1138" s="8"/>
      <c r="C1138" s="8"/>
      <c r="D1138" s="8"/>
      <c r="E1138" s="8"/>
      <c r="F1138" s="8"/>
      <c r="G1138" s="10" t="str">
        <f aca="false">IF($A1138="","",UPPER(SUBSTITUTE(SUBSTITUTE(SUBSTITUTE(SUBSTITUTE($A1138," ",""),"(주)",""),"주식회사",""),"㈜","")))</f>
        <v/>
      </c>
      <c r="H1138" s="10" t="str">
        <f aca="false">IF($B1138="","",SUBSTITUTE(SUBSTITUTE(SUBSTITUTE($B1138,"-","")," ",""),".",""))</f>
        <v/>
      </c>
      <c r="I1138" s="10" t="str">
        <f aca="false">IF($D1138="","",SUBSTITUTE(SUBSTITUTE(SUBSTITUTE($D1138,"-","")," ",""),".",""))</f>
        <v/>
      </c>
      <c r="J1138" s="10" t="str">
        <f aca="false">IF($E1138="","",UPPER(SUBSTITUTE($E1138," ","")))</f>
        <v/>
      </c>
      <c r="K1138" s="10" t="str">
        <f aca="false">IF($A1138="","",$G1138&amp;"|"&amp;$J1138)</f>
        <v/>
      </c>
      <c r="L1138" s="10" t="str">
        <f aca="false">IF($A1138="","",ROW()-2)</f>
        <v/>
      </c>
      <c r="M1138" s="10" t="str">
        <f aca="false">IF($A1138="","",ROW())</f>
        <v/>
      </c>
    </row>
    <row r="1139" customFormat="false" ht="15" hidden="false" customHeight="true" outlineLevel="0" collapsed="false">
      <c r="A1139" s="8"/>
      <c r="B1139" s="8"/>
      <c r="C1139" s="8"/>
      <c r="D1139" s="8"/>
      <c r="E1139" s="8"/>
      <c r="F1139" s="8"/>
      <c r="G1139" s="10" t="str">
        <f aca="false">IF($A1139="","",UPPER(SUBSTITUTE(SUBSTITUTE(SUBSTITUTE(SUBSTITUTE($A1139," ",""),"(주)",""),"주식회사",""),"㈜","")))</f>
        <v/>
      </c>
      <c r="H1139" s="10" t="str">
        <f aca="false">IF($B1139="","",SUBSTITUTE(SUBSTITUTE(SUBSTITUTE($B1139,"-","")," ",""),".",""))</f>
        <v/>
      </c>
      <c r="I1139" s="10" t="str">
        <f aca="false">IF($D1139="","",SUBSTITUTE(SUBSTITUTE(SUBSTITUTE($D1139,"-","")," ",""),".",""))</f>
        <v/>
      </c>
      <c r="J1139" s="10" t="str">
        <f aca="false">IF($E1139="","",UPPER(SUBSTITUTE($E1139," ","")))</f>
        <v/>
      </c>
      <c r="K1139" s="10" t="str">
        <f aca="false">IF($A1139="","",$G1139&amp;"|"&amp;$J1139)</f>
        <v/>
      </c>
      <c r="L1139" s="10" t="str">
        <f aca="false">IF($A1139="","",ROW()-2)</f>
        <v/>
      </c>
      <c r="M1139" s="10" t="str">
        <f aca="false">IF($A1139="","",ROW())</f>
        <v/>
      </c>
    </row>
    <row r="1140" customFormat="false" ht="15" hidden="false" customHeight="true" outlineLevel="0" collapsed="false">
      <c r="A1140" s="8"/>
      <c r="B1140" s="8"/>
      <c r="C1140" s="8"/>
      <c r="D1140" s="8"/>
      <c r="E1140" s="8"/>
      <c r="F1140" s="8"/>
      <c r="G1140" s="10" t="str">
        <f aca="false">IF($A1140="","",UPPER(SUBSTITUTE(SUBSTITUTE(SUBSTITUTE(SUBSTITUTE($A1140," ",""),"(주)",""),"주식회사",""),"㈜","")))</f>
        <v/>
      </c>
      <c r="H1140" s="10" t="str">
        <f aca="false">IF($B1140="","",SUBSTITUTE(SUBSTITUTE(SUBSTITUTE($B1140,"-","")," ",""),".",""))</f>
        <v/>
      </c>
      <c r="I1140" s="10" t="str">
        <f aca="false">IF($D1140="","",SUBSTITUTE(SUBSTITUTE(SUBSTITUTE($D1140,"-","")," ",""),".",""))</f>
        <v/>
      </c>
      <c r="J1140" s="10" t="str">
        <f aca="false">IF($E1140="","",UPPER(SUBSTITUTE($E1140," ","")))</f>
        <v/>
      </c>
      <c r="K1140" s="10" t="str">
        <f aca="false">IF($A1140="","",$G1140&amp;"|"&amp;$J1140)</f>
        <v/>
      </c>
      <c r="L1140" s="10" t="str">
        <f aca="false">IF($A1140="","",ROW()-2)</f>
        <v/>
      </c>
      <c r="M1140" s="10" t="str">
        <f aca="false">IF($A1140="","",ROW())</f>
        <v/>
      </c>
    </row>
    <row r="1141" customFormat="false" ht="15" hidden="false" customHeight="true" outlineLevel="0" collapsed="false">
      <c r="A1141" s="8"/>
      <c r="B1141" s="8"/>
      <c r="C1141" s="8"/>
      <c r="D1141" s="8"/>
      <c r="E1141" s="8"/>
      <c r="F1141" s="8"/>
      <c r="G1141" s="10" t="str">
        <f aca="false">IF($A1141="","",UPPER(SUBSTITUTE(SUBSTITUTE(SUBSTITUTE(SUBSTITUTE($A1141," ",""),"(주)",""),"주식회사",""),"㈜","")))</f>
        <v/>
      </c>
      <c r="H1141" s="10" t="str">
        <f aca="false">IF($B1141="","",SUBSTITUTE(SUBSTITUTE(SUBSTITUTE($B1141,"-","")," ",""),".",""))</f>
        <v/>
      </c>
      <c r="I1141" s="10" t="str">
        <f aca="false">IF($D1141="","",SUBSTITUTE(SUBSTITUTE(SUBSTITUTE($D1141,"-","")," ",""),".",""))</f>
        <v/>
      </c>
      <c r="J1141" s="10" t="str">
        <f aca="false">IF($E1141="","",UPPER(SUBSTITUTE($E1141," ","")))</f>
        <v/>
      </c>
      <c r="K1141" s="10" t="str">
        <f aca="false">IF($A1141="","",$G1141&amp;"|"&amp;$J1141)</f>
        <v/>
      </c>
      <c r="L1141" s="10" t="str">
        <f aca="false">IF($A1141="","",ROW()-2)</f>
        <v/>
      </c>
      <c r="M1141" s="10" t="str">
        <f aca="false">IF($A1141="","",ROW())</f>
        <v/>
      </c>
    </row>
    <row r="1142" customFormat="false" ht="15" hidden="false" customHeight="true" outlineLevel="0" collapsed="false">
      <c r="A1142" s="8"/>
      <c r="B1142" s="8"/>
      <c r="C1142" s="8"/>
      <c r="D1142" s="8"/>
      <c r="E1142" s="8"/>
      <c r="F1142" s="8"/>
      <c r="G1142" s="10" t="str">
        <f aca="false">IF($A1142="","",UPPER(SUBSTITUTE(SUBSTITUTE(SUBSTITUTE(SUBSTITUTE($A1142," ",""),"(주)",""),"주식회사",""),"㈜","")))</f>
        <v/>
      </c>
      <c r="H1142" s="10" t="str">
        <f aca="false">IF($B1142="","",SUBSTITUTE(SUBSTITUTE(SUBSTITUTE($B1142,"-","")," ",""),".",""))</f>
        <v/>
      </c>
      <c r="I1142" s="10" t="str">
        <f aca="false">IF($D1142="","",SUBSTITUTE(SUBSTITUTE(SUBSTITUTE($D1142,"-","")," ",""),".",""))</f>
        <v/>
      </c>
      <c r="J1142" s="10" t="str">
        <f aca="false">IF($E1142="","",UPPER(SUBSTITUTE($E1142," ","")))</f>
        <v/>
      </c>
      <c r="K1142" s="10" t="str">
        <f aca="false">IF($A1142="","",$G1142&amp;"|"&amp;$J1142)</f>
        <v/>
      </c>
      <c r="L1142" s="10" t="str">
        <f aca="false">IF($A1142="","",ROW()-2)</f>
        <v/>
      </c>
      <c r="M1142" s="10" t="str">
        <f aca="false">IF($A1142="","",ROW())</f>
        <v/>
      </c>
    </row>
    <row r="1143" customFormat="false" ht="15" hidden="false" customHeight="true" outlineLevel="0" collapsed="false">
      <c r="A1143" s="8"/>
      <c r="B1143" s="8"/>
      <c r="C1143" s="8"/>
      <c r="D1143" s="8"/>
      <c r="E1143" s="8"/>
      <c r="F1143" s="8"/>
      <c r="G1143" s="10" t="str">
        <f aca="false">IF($A1143="","",UPPER(SUBSTITUTE(SUBSTITUTE(SUBSTITUTE(SUBSTITUTE($A1143," ",""),"(주)",""),"주식회사",""),"㈜","")))</f>
        <v/>
      </c>
      <c r="H1143" s="10" t="str">
        <f aca="false">IF($B1143="","",SUBSTITUTE(SUBSTITUTE(SUBSTITUTE($B1143,"-","")," ",""),".",""))</f>
        <v/>
      </c>
      <c r="I1143" s="10" t="str">
        <f aca="false">IF($D1143="","",SUBSTITUTE(SUBSTITUTE(SUBSTITUTE($D1143,"-","")," ",""),".",""))</f>
        <v/>
      </c>
      <c r="J1143" s="10" t="str">
        <f aca="false">IF($E1143="","",UPPER(SUBSTITUTE($E1143," ","")))</f>
        <v/>
      </c>
      <c r="K1143" s="10" t="str">
        <f aca="false">IF($A1143="","",$G1143&amp;"|"&amp;$J1143)</f>
        <v/>
      </c>
      <c r="L1143" s="10" t="str">
        <f aca="false">IF($A1143="","",ROW()-2)</f>
        <v/>
      </c>
      <c r="M1143" s="10" t="str">
        <f aca="false">IF($A1143="","",ROW())</f>
        <v/>
      </c>
    </row>
    <row r="1144" customFormat="false" ht="15" hidden="false" customHeight="true" outlineLevel="0" collapsed="false">
      <c r="A1144" s="8"/>
      <c r="B1144" s="8"/>
      <c r="C1144" s="8"/>
      <c r="D1144" s="8"/>
      <c r="E1144" s="8"/>
      <c r="F1144" s="8"/>
      <c r="G1144" s="10" t="str">
        <f aca="false">IF($A1144="","",UPPER(SUBSTITUTE(SUBSTITUTE(SUBSTITUTE(SUBSTITUTE($A1144," ",""),"(주)",""),"주식회사",""),"㈜","")))</f>
        <v/>
      </c>
      <c r="H1144" s="10" t="str">
        <f aca="false">IF($B1144="","",SUBSTITUTE(SUBSTITUTE(SUBSTITUTE($B1144,"-","")," ",""),".",""))</f>
        <v/>
      </c>
      <c r="I1144" s="10" t="str">
        <f aca="false">IF($D1144="","",SUBSTITUTE(SUBSTITUTE(SUBSTITUTE($D1144,"-","")," ",""),".",""))</f>
        <v/>
      </c>
      <c r="J1144" s="10" t="str">
        <f aca="false">IF($E1144="","",UPPER(SUBSTITUTE($E1144," ","")))</f>
        <v/>
      </c>
      <c r="K1144" s="10" t="str">
        <f aca="false">IF($A1144="","",$G1144&amp;"|"&amp;$J1144)</f>
        <v/>
      </c>
      <c r="L1144" s="10" t="str">
        <f aca="false">IF($A1144="","",ROW()-2)</f>
        <v/>
      </c>
      <c r="M1144" s="10" t="str">
        <f aca="false">IF($A1144="","",ROW())</f>
        <v/>
      </c>
    </row>
    <row r="1145" customFormat="false" ht="15" hidden="false" customHeight="true" outlineLevel="0" collapsed="false">
      <c r="A1145" s="8"/>
      <c r="B1145" s="8"/>
      <c r="C1145" s="8"/>
      <c r="D1145" s="8"/>
      <c r="E1145" s="8"/>
      <c r="F1145" s="8"/>
      <c r="G1145" s="10" t="str">
        <f aca="false">IF($A1145="","",UPPER(SUBSTITUTE(SUBSTITUTE(SUBSTITUTE(SUBSTITUTE($A1145," ",""),"(주)",""),"주식회사",""),"㈜","")))</f>
        <v/>
      </c>
      <c r="H1145" s="10" t="str">
        <f aca="false">IF($B1145="","",SUBSTITUTE(SUBSTITUTE(SUBSTITUTE($B1145,"-","")," ",""),".",""))</f>
        <v/>
      </c>
      <c r="I1145" s="10" t="str">
        <f aca="false">IF($D1145="","",SUBSTITUTE(SUBSTITUTE(SUBSTITUTE($D1145,"-","")," ",""),".",""))</f>
        <v/>
      </c>
      <c r="J1145" s="10" t="str">
        <f aca="false">IF($E1145="","",UPPER(SUBSTITUTE($E1145," ","")))</f>
        <v/>
      </c>
      <c r="K1145" s="10" t="str">
        <f aca="false">IF($A1145="","",$G1145&amp;"|"&amp;$J1145)</f>
        <v/>
      </c>
      <c r="L1145" s="10" t="str">
        <f aca="false">IF($A1145="","",ROW()-2)</f>
        <v/>
      </c>
      <c r="M1145" s="10" t="str">
        <f aca="false">IF($A1145="","",ROW())</f>
        <v/>
      </c>
    </row>
    <row r="1146" customFormat="false" ht="15" hidden="false" customHeight="true" outlineLevel="0" collapsed="false">
      <c r="A1146" s="8"/>
      <c r="B1146" s="8"/>
      <c r="C1146" s="8"/>
      <c r="D1146" s="8"/>
      <c r="E1146" s="8"/>
      <c r="F1146" s="8"/>
      <c r="G1146" s="10" t="str">
        <f aca="false">IF($A1146="","",UPPER(SUBSTITUTE(SUBSTITUTE(SUBSTITUTE(SUBSTITUTE($A1146," ",""),"(주)",""),"주식회사",""),"㈜","")))</f>
        <v/>
      </c>
      <c r="H1146" s="10" t="str">
        <f aca="false">IF($B1146="","",SUBSTITUTE(SUBSTITUTE(SUBSTITUTE($B1146,"-","")," ",""),".",""))</f>
        <v/>
      </c>
      <c r="I1146" s="10" t="str">
        <f aca="false">IF($D1146="","",SUBSTITUTE(SUBSTITUTE(SUBSTITUTE($D1146,"-","")," ",""),".",""))</f>
        <v/>
      </c>
      <c r="J1146" s="10" t="str">
        <f aca="false">IF($E1146="","",UPPER(SUBSTITUTE($E1146," ","")))</f>
        <v/>
      </c>
      <c r="K1146" s="10" t="str">
        <f aca="false">IF($A1146="","",$G1146&amp;"|"&amp;$J1146)</f>
        <v/>
      </c>
      <c r="L1146" s="10" t="str">
        <f aca="false">IF($A1146="","",ROW()-2)</f>
        <v/>
      </c>
      <c r="M1146" s="10" t="str">
        <f aca="false">IF($A1146="","",ROW())</f>
        <v/>
      </c>
    </row>
    <row r="1147" customFormat="false" ht="15" hidden="false" customHeight="true" outlineLevel="0" collapsed="false">
      <c r="A1147" s="8"/>
      <c r="B1147" s="8"/>
      <c r="C1147" s="8"/>
      <c r="D1147" s="8"/>
      <c r="E1147" s="8"/>
      <c r="F1147" s="8"/>
      <c r="G1147" s="10" t="str">
        <f aca="false">IF($A1147="","",UPPER(SUBSTITUTE(SUBSTITUTE(SUBSTITUTE(SUBSTITUTE($A1147," ",""),"(주)",""),"주식회사",""),"㈜","")))</f>
        <v/>
      </c>
      <c r="H1147" s="10" t="str">
        <f aca="false">IF($B1147="","",SUBSTITUTE(SUBSTITUTE(SUBSTITUTE($B1147,"-","")," ",""),".",""))</f>
        <v/>
      </c>
      <c r="I1147" s="10" t="str">
        <f aca="false">IF($D1147="","",SUBSTITUTE(SUBSTITUTE(SUBSTITUTE($D1147,"-","")," ",""),".",""))</f>
        <v/>
      </c>
      <c r="J1147" s="10" t="str">
        <f aca="false">IF($E1147="","",UPPER(SUBSTITUTE($E1147," ","")))</f>
        <v/>
      </c>
      <c r="K1147" s="10" t="str">
        <f aca="false">IF($A1147="","",$G1147&amp;"|"&amp;$J1147)</f>
        <v/>
      </c>
      <c r="L1147" s="10" t="str">
        <f aca="false">IF($A1147="","",ROW()-2)</f>
        <v/>
      </c>
      <c r="M1147" s="10" t="str">
        <f aca="false">IF($A1147="","",ROW())</f>
        <v/>
      </c>
    </row>
    <row r="1148" customFormat="false" ht="15" hidden="false" customHeight="true" outlineLevel="0" collapsed="false">
      <c r="A1148" s="8"/>
      <c r="B1148" s="8"/>
      <c r="C1148" s="8"/>
      <c r="D1148" s="8"/>
      <c r="E1148" s="8"/>
      <c r="F1148" s="8"/>
      <c r="G1148" s="10" t="str">
        <f aca="false">IF($A1148="","",UPPER(SUBSTITUTE(SUBSTITUTE(SUBSTITUTE(SUBSTITUTE($A1148," ",""),"(주)",""),"주식회사",""),"㈜","")))</f>
        <v/>
      </c>
      <c r="H1148" s="10" t="str">
        <f aca="false">IF($B1148="","",SUBSTITUTE(SUBSTITUTE(SUBSTITUTE($B1148,"-","")," ",""),".",""))</f>
        <v/>
      </c>
      <c r="I1148" s="10" t="str">
        <f aca="false">IF($D1148="","",SUBSTITUTE(SUBSTITUTE(SUBSTITUTE($D1148,"-","")," ",""),".",""))</f>
        <v/>
      </c>
      <c r="J1148" s="10" t="str">
        <f aca="false">IF($E1148="","",UPPER(SUBSTITUTE($E1148," ","")))</f>
        <v/>
      </c>
      <c r="K1148" s="10" t="str">
        <f aca="false">IF($A1148="","",$G1148&amp;"|"&amp;$J1148)</f>
        <v/>
      </c>
      <c r="L1148" s="10" t="str">
        <f aca="false">IF($A1148="","",ROW()-2)</f>
        <v/>
      </c>
      <c r="M1148" s="10" t="str">
        <f aca="false">IF($A1148="","",ROW())</f>
        <v/>
      </c>
    </row>
    <row r="1149" customFormat="false" ht="15" hidden="false" customHeight="true" outlineLevel="0" collapsed="false">
      <c r="A1149" s="8"/>
      <c r="B1149" s="8"/>
      <c r="C1149" s="8"/>
      <c r="D1149" s="8"/>
      <c r="E1149" s="8"/>
      <c r="F1149" s="8"/>
      <c r="G1149" s="10" t="str">
        <f aca="false">IF($A1149="","",UPPER(SUBSTITUTE(SUBSTITUTE(SUBSTITUTE(SUBSTITUTE($A1149," ",""),"(주)",""),"주식회사",""),"㈜","")))</f>
        <v/>
      </c>
      <c r="H1149" s="10" t="str">
        <f aca="false">IF($B1149="","",SUBSTITUTE(SUBSTITUTE(SUBSTITUTE($B1149,"-","")," ",""),".",""))</f>
        <v/>
      </c>
      <c r="I1149" s="10" t="str">
        <f aca="false">IF($D1149="","",SUBSTITUTE(SUBSTITUTE(SUBSTITUTE($D1149,"-","")," ",""),".",""))</f>
        <v/>
      </c>
      <c r="J1149" s="10" t="str">
        <f aca="false">IF($E1149="","",UPPER(SUBSTITUTE($E1149," ","")))</f>
        <v/>
      </c>
      <c r="K1149" s="10" t="str">
        <f aca="false">IF($A1149="","",$G1149&amp;"|"&amp;$J1149)</f>
        <v/>
      </c>
      <c r="L1149" s="10" t="str">
        <f aca="false">IF($A1149="","",ROW()-2)</f>
        <v/>
      </c>
      <c r="M1149" s="10" t="str">
        <f aca="false">IF($A1149="","",ROW())</f>
        <v/>
      </c>
    </row>
    <row r="1150" customFormat="false" ht="15" hidden="false" customHeight="true" outlineLevel="0" collapsed="false">
      <c r="A1150" s="8"/>
      <c r="B1150" s="8"/>
      <c r="C1150" s="8"/>
      <c r="D1150" s="8"/>
      <c r="E1150" s="8"/>
      <c r="F1150" s="8"/>
      <c r="G1150" s="10" t="str">
        <f aca="false">IF($A1150="","",UPPER(SUBSTITUTE(SUBSTITUTE(SUBSTITUTE(SUBSTITUTE($A1150," ",""),"(주)",""),"주식회사",""),"㈜","")))</f>
        <v/>
      </c>
      <c r="H1150" s="10" t="str">
        <f aca="false">IF($B1150="","",SUBSTITUTE(SUBSTITUTE(SUBSTITUTE($B1150,"-","")," ",""),".",""))</f>
        <v/>
      </c>
      <c r="I1150" s="10" t="str">
        <f aca="false">IF($D1150="","",SUBSTITUTE(SUBSTITUTE(SUBSTITUTE($D1150,"-","")," ",""),".",""))</f>
        <v/>
      </c>
      <c r="J1150" s="10" t="str">
        <f aca="false">IF($E1150="","",UPPER(SUBSTITUTE($E1150," ","")))</f>
        <v/>
      </c>
      <c r="K1150" s="10" t="str">
        <f aca="false">IF($A1150="","",$G1150&amp;"|"&amp;$J1150)</f>
        <v/>
      </c>
      <c r="L1150" s="10" t="str">
        <f aca="false">IF($A1150="","",ROW()-2)</f>
        <v/>
      </c>
      <c r="M1150" s="10" t="str">
        <f aca="false">IF($A1150="","",ROW())</f>
        <v/>
      </c>
    </row>
    <row r="1151" customFormat="false" ht="15" hidden="false" customHeight="true" outlineLevel="0" collapsed="false">
      <c r="A1151" s="8"/>
      <c r="B1151" s="8"/>
      <c r="C1151" s="8"/>
      <c r="D1151" s="8"/>
      <c r="E1151" s="8"/>
      <c r="F1151" s="8"/>
      <c r="G1151" s="10" t="str">
        <f aca="false">IF($A1151="","",UPPER(SUBSTITUTE(SUBSTITUTE(SUBSTITUTE(SUBSTITUTE($A1151," ",""),"(주)",""),"주식회사",""),"㈜","")))</f>
        <v/>
      </c>
      <c r="H1151" s="10" t="str">
        <f aca="false">IF($B1151="","",SUBSTITUTE(SUBSTITUTE(SUBSTITUTE($B1151,"-","")," ",""),".",""))</f>
        <v/>
      </c>
      <c r="I1151" s="10" t="str">
        <f aca="false">IF($D1151="","",SUBSTITUTE(SUBSTITUTE(SUBSTITUTE($D1151,"-","")," ",""),".",""))</f>
        <v/>
      </c>
      <c r="J1151" s="10" t="str">
        <f aca="false">IF($E1151="","",UPPER(SUBSTITUTE($E1151," ","")))</f>
        <v/>
      </c>
      <c r="K1151" s="10" t="str">
        <f aca="false">IF($A1151="","",$G1151&amp;"|"&amp;$J1151)</f>
        <v/>
      </c>
      <c r="L1151" s="10" t="str">
        <f aca="false">IF($A1151="","",ROW()-2)</f>
        <v/>
      </c>
      <c r="M1151" s="10" t="str">
        <f aca="false">IF($A1151="","",ROW())</f>
        <v/>
      </c>
    </row>
    <row r="1152" customFormat="false" ht="15" hidden="false" customHeight="true" outlineLevel="0" collapsed="false">
      <c r="A1152" s="8"/>
      <c r="B1152" s="8"/>
      <c r="C1152" s="8"/>
      <c r="D1152" s="8"/>
      <c r="E1152" s="8"/>
      <c r="F1152" s="8"/>
      <c r="G1152" s="10" t="str">
        <f aca="false">IF($A1152="","",UPPER(SUBSTITUTE(SUBSTITUTE(SUBSTITUTE(SUBSTITUTE($A1152," ",""),"(주)",""),"주식회사",""),"㈜","")))</f>
        <v/>
      </c>
      <c r="H1152" s="10" t="str">
        <f aca="false">IF($B1152="","",SUBSTITUTE(SUBSTITUTE(SUBSTITUTE($B1152,"-","")," ",""),".",""))</f>
        <v/>
      </c>
      <c r="I1152" s="10" t="str">
        <f aca="false">IF($D1152="","",SUBSTITUTE(SUBSTITUTE(SUBSTITUTE($D1152,"-","")," ",""),".",""))</f>
        <v/>
      </c>
      <c r="J1152" s="10" t="str">
        <f aca="false">IF($E1152="","",UPPER(SUBSTITUTE($E1152," ","")))</f>
        <v/>
      </c>
      <c r="K1152" s="10" t="str">
        <f aca="false">IF($A1152="","",$G1152&amp;"|"&amp;$J1152)</f>
        <v/>
      </c>
      <c r="L1152" s="10" t="str">
        <f aca="false">IF($A1152="","",ROW()-2)</f>
        <v/>
      </c>
      <c r="M1152" s="10" t="str">
        <f aca="false">IF($A1152="","",ROW())</f>
        <v/>
      </c>
    </row>
    <row r="1153" customFormat="false" ht="15" hidden="false" customHeight="true" outlineLevel="0" collapsed="false">
      <c r="A1153" s="8"/>
      <c r="B1153" s="8"/>
      <c r="C1153" s="8"/>
      <c r="D1153" s="8"/>
      <c r="E1153" s="8"/>
      <c r="F1153" s="8"/>
      <c r="G1153" s="10" t="str">
        <f aca="false">IF($A1153="","",UPPER(SUBSTITUTE(SUBSTITUTE(SUBSTITUTE(SUBSTITUTE($A1153," ",""),"(주)",""),"주식회사",""),"㈜","")))</f>
        <v/>
      </c>
      <c r="H1153" s="10" t="str">
        <f aca="false">IF($B1153="","",SUBSTITUTE(SUBSTITUTE(SUBSTITUTE($B1153,"-","")," ",""),".",""))</f>
        <v/>
      </c>
      <c r="I1153" s="10" t="str">
        <f aca="false">IF($D1153="","",SUBSTITUTE(SUBSTITUTE(SUBSTITUTE($D1153,"-","")," ",""),".",""))</f>
        <v/>
      </c>
      <c r="J1153" s="10" t="str">
        <f aca="false">IF($E1153="","",UPPER(SUBSTITUTE($E1153," ","")))</f>
        <v/>
      </c>
      <c r="K1153" s="10" t="str">
        <f aca="false">IF($A1153="","",$G1153&amp;"|"&amp;$J1153)</f>
        <v/>
      </c>
      <c r="L1153" s="10" t="str">
        <f aca="false">IF($A1153="","",ROW()-2)</f>
        <v/>
      </c>
      <c r="M1153" s="10" t="str">
        <f aca="false">IF($A1153="","",ROW())</f>
        <v/>
      </c>
    </row>
    <row r="1154" customFormat="false" ht="15" hidden="false" customHeight="true" outlineLevel="0" collapsed="false">
      <c r="A1154" s="8"/>
      <c r="B1154" s="8"/>
      <c r="C1154" s="8"/>
      <c r="D1154" s="8"/>
      <c r="E1154" s="8"/>
      <c r="F1154" s="8"/>
      <c r="G1154" s="10" t="str">
        <f aca="false">IF($A1154="","",UPPER(SUBSTITUTE(SUBSTITUTE(SUBSTITUTE(SUBSTITUTE($A1154," ",""),"(주)",""),"주식회사",""),"㈜","")))</f>
        <v/>
      </c>
      <c r="H1154" s="10" t="str">
        <f aca="false">IF($B1154="","",SUBSTITUTE(SUBSTITUTE(SUBSTITUTE($B1154,"-","")," ",""),".",""))</f>
        <v/>
      </c>
      <c r="I1154" s="10" t="str">
        <f aca="false">IF($D1154="","",SUBSTITUTE(SUBSTITUTE(SUBSTITUTE($D1154,"-","")," ",""),".",""))</f>
        <v/>
      </c>
      <c r="J1154" s="10" t="str">
        <f aca="false">IF($E1154="","",UPPER(SUBSTITUTE($E1154," ","")))</f>
        <v/>
      </c>
      <c r="K1154" s="10" t="str">
        <f aca="false">IF($A1154="","",$G1154&amp;"|"&amp;$J1154)</f>
        <v/>
      </c>
      <c r="L1154" s="10" t="str">
        <f aca="false">IF($A1154="","",ROW()-2)</f>
        <v/>
      </c>
      <c r="M1154" s="10" t="str">
        <f aca="false">IF($A1154="","",ROW())</f>
        <v/>
      </c>
    </row>
    <row r="1155" customFormat="false" ht="15" hidden="false" customHeight="true" outlineLevel="0" collapsed="false">
      <c r="A1155" s="8"/>
      <c r="B1155" s="8"/>
      <c r="C1155" s="8"/>
      <c r="D1155" s="8"/>
      <c r="E1155" s="8"/>
      <c r="F1155" s="8"/>
      <c r="G1155" s="10" t="str">
        <f aca="false">IF($A1155="","",UPPER(SUBSTITUTE(SUBSTITUTE(SUBSTITUTE(SUBSTITUTE($A1155," ",""),"(주)",""),"주식회사",""),"㈜","")))</f>
        <v/>
      </c>
      <c r="H1155" s="10" t="str">
        <f aca="false">IF($B1155="","",SUBSTITUTE(SUBSTITUTE(SUBSTITUTE($B1155,"-","")," ",""),".",""))</f>
        <v/>
      </c>
      <c r="I1155" s="10" t="str">
        <f aca="false">IF($D1155="","",SUBSTITUTE(SUBSTITUTE(SUBSTITUTE($D1155,"-","")," ",""),".",""))</f>
        <v/>
      </c>
      <c r="J1155" s="10" t="str">
        <f aca="false">IF($E1155="","",UPPER(SUBSTITUTE($E1155," ","")))</f>
        <v/>
      </c>
      <c r="K1155" s="10" t="str">
        <f aca="false">IF($A1155="","",$G1155&amp;"|"&amp;$J1155)</f>
        <v/>
      </c>
      <c r="L1155" s="10" t="str">
        <f aca="false">IF($A1155="","",ROW()-2)</f>
        <v/>
      </c>
      <c r="M1155" s="10" t="str">
        <f aca="false">IF($A1155="","",ROW())</f>
        <v/>
      </c>
    </row>
    <row r="1156" customFormat="false" ht="15" hidden="false" customHeight="true" outlineLevel="0" collapsed="false">
      <c r="A1156" s="8"/>
      <c r="B1156" s="8"/>
      <c r="C1156" s="8"/>
      <c r="D1156" s="8"/>
      <c r="E1156" s="8"/>
      <c r="F1156" s="8"/>
      <c r="G1156" s="10" t="str">
        <f aca="false">IF($A1156="","",UPPER(SUBSTITUTE(SUBSTITUTE(SUBSTITUTE(SUBSTITUTE($A1156," ",""),"(주)",""),"주식회사",""),"㈜","")))</f>
        <v/>
      </c>
      <c r="H1156" s="10" t="str">
        <f aca="false">IF($B1156="","",SUBSTITUTE(SUBSTITUTE(SUBSTITUTE($B1156,"-","")," ",""),".",""))</f>
        <v/>
      </c>
      <c r="I1156" s="10" t="str">
        <f aca="false">IF($D1156="","",SUBSTITUTE(SUBSTITUTE(SUBSTITUTE($D1156,"-","")," ",""),".",""))</f>
        <v/>
      </c>
      <c r="J1156" s="10" t="str">
        <f aca="false">IF($E1156="","",UPPER(SUBSTITUTE($E1156," ","")))</f>
        <v/>
      </c>
      <c r="K1156" s="10" t="str">
        <f aca="false">IF($A1156="","",$G1156&amp;"|"&amp;$J1156)</f>
        <v/>
      </c>
      <c r="L1156" s="10" t="str">
        <f aca="false">IF($A1156="","",ROW()-2)</f>
        <v/>
      </c>
      <c r="M1156" s="10" t="str">
        <f aca="false">IF($A1156="","",ROW())</f>
        <v/>
      </c>
    </row>
    <row r="1157" customFormat="false" ht="15" hidden="false" customHeight="true" outlineLevel="0" collapsed="false">
      <c r="A1157" s="8"/>
      <c r="B1157" s="8"/>
      <c r="C1157" s="8"/>
      <c r="D1157" s="8"/>
      <c r="E1157" s="8"/>
      <c r="F1157" s="8"/>
      <c r="G1157" s="10" t="str">
        <f aca="false">IF($A1157="","",UPPER(SUBSTITUTE(SUBSTITUTE(SUBSTITUTE(SUBSTITUTE($A1157," ",""),"(주)",""),"주식회사",""),"㈜","")))</f>
        <v/>
      </c>
      <c r="H1157" s="10" t="str">
        <f aca="false">IF($B1157="","",SUBSTITUTE(SUBSTITUTE(SUBSTITUTE($B1157,"-","")," ",""),".",""))</f>
        <v/>
      </c>
      <c r="I1157" s="10" t="str">
        <f aca="false">IF($D1157="","",SUBSTITUTE(SUBSTITUTE(SUBSTITUTE($D1157,"-","")," ",""),".",""))</f>
        <v/>
      </c>
      <c r="J1157" s="10" t="str">
        <f aca="false">IF($E1157="","",UPPER(SUBSTITUTE($E1157," ","")))</f>
        <v/>
      </c>
      <c r="K1157" s="10" t="str">
        <f aca="false">IF($A1157="","",$G1157&amp;"|"&amp;$J1157)</f>
        <v/>
      </c>
      <c r="L1157" s="10" t="str">
        <f aca="false">IF($A1157="","",ROW()-2)</f>
        <v/>
      </c>
      <c r="M1157" s="10" t="str">
        <f aca="false">IF($A1157="","",ROW())</f>
        <v/>
      </c>
    </row>
    <row r="1158" customFormat="false" ht="15" hidden="false" customHeight="true" outlineLevel="0" collapsed="false">
      <c r="A1158" s="8"/>
      <c r="B1158" s="8"/>
      <c r="C1158" s="8"/>
      <c r="D1158" s="8"/>
      <c r="E1158" s="8"/>
      <c r="F1158" s="8"/>
      <c r="G1158" s="10" t="str">
        <f aca="false">IF($A1158="","",UPPER(SUBSTITUTE(SUBSTITUTE(SUBSTITUTE(SUBSTITUTE($A1158," ",""),"(주)",""),"주식회사",""),"㈜","")))</f>
        <v/>
      </c>
      <c r="H1158" s="10" t="str">
        <f aca="false">IF($B1158="","",SUBSTITUTE(SUBSTITUTE(SUBSTITUTE($B1158,"-","")," ",""),".",""))</f>
        <v/>
      </c>
      <c r="I1158" s="10" t="str">
        <f aca="false">IF($D1158="","",SUBSTITUTE(SUBSTITUTE(SUBSTITUTE($D1158,"-","")," ",""),".",""))</f>
        <v/>
      </c>
      <c r="J1158" s="10" t="str">
        <f aca="false">IF($E1158="","",UPPER(SUBSTITUTE($E1158," ","")))</f>
        <v/>
      </c>
      <c r="K1158" s="10" t="str">
        <f aca="false">IF($A1158="","",$G1158&amp;"|"&amp;$J1158)</f>
        <v/>
      </c>
      <c r="L1158" s="10" t="str">
        <f aca="false">IF($A1158="","",ROW()-2)</f>
        <v/>
      </c>
      <c r="M1158" s="10" t="str">
        <f aca="false">IF($A1158="","",ROW())</f>
        <v/>
      </c>
    </row>
    <row r="1159" customFormat="false" ht="15" hidden="false" customHeight="true" outlineLevel="0" collapsed="false">
      <c r="A1159" s="8"/>
      <c r="B1159" s="8"/>
      <c r="C1159" s="8"/>
      <c r="D1159" s="8"/>
      <c r="E1159" s="8"/>
      <c r="F1159" s="8"/>
      <c r="G1159" s="10" t="str">
        <f aca="false">IF($A1159="","",UPPER(SUBSTITUTE(SUBSTITUTE(SUBSTITUTE(SUBSTITUTE($A1159," ",""),"(주)",""),"주식회사",""),"㈜","")))</f>
        <v/>
      </c>
      <c r="H1159" s="10" t="str">
        <f aca="false">IF($B1159="","",SUBSTITUTE(SUBSTITUTE(SUBSTITUTE($B1159,"-","")," ",""),".",""))</f>
        <v/>
      </c>
      <c r="I1159" s="10" t="str">
        <f aca="false">IF($D1159="","",SUBSTITUTE(SUBSTITUTE(SUBSTITUTE($D1159,"-","")," ",""),".",""))</f>
        <v/>
      </c>
      <c r="J1159" s="10" t="str">
        <f aca="false">IF($E1159="","",UPPER(SUBSTITUTE($E1159," ","")))</f>
        <v/>
      </c>
      <c r="K1159" s="10" t="str">
        <f aca="false">IF($A1159="","",$G1159&amp;"|"&amp;$J1159)</f>
        <v/>
      </c>
      <c r="L1159" s="10" t="str">
        <f aca="false">IF($A1159="","",ROW()-2)</f>
        <v/>
      </c>
      <c r="M1159" s="10" t="str">
        <f aca="false">IF($A1159="","",ROW())</f>
        <v/>
      </c>
    </row>
    <row r="1160" customFormat="false" ht="15" hidden="false" customHeight="true" outlineLevel="0" collapsed="false">
      <c r="A1160" s="8"/>
      <c r="B1160" s="8"/>
      <c r="C1160" s="8"/>
      <c r="D1160" s="8"/>
      <c r="E1160" s="8"/>
      <c r="F1160" s="8"/>
      <c r="G1160" s="10" t="str">
        <f aca="false">IF($A1160="","",UPPER(SUBSTITUTE(SUBSTITUTE(SUBSTITUTE(SUBSTITUTE($A1160," ",""),"(주)",""),"주식회사",""),"㈜","")))</f>
        <v/>
      </c>
      <c r="H1160" s="10" t="str">
        <f aca="false">IF($B1160="","",SUBSTITUTE(SUBSTITUTE(SUBSTITUTE($B1160,"-","")," ",""),".",""))</f>
        <v/>
      </c>
      <c r="I1160" s="10" t="str">
        <f aca="false">IF($D1160="","",SUBSTITUTE(SUBSTITUTE(SUBSTITUTE($D1160,"-","")," ",""),".",""))</f>
        <v/>
      </c>
      <c r="J1160" s="10" t="str">
        <f aca="false">IF($E1160="","",UPPER(SUBSTITUTE($E1160," ","")))</f>
        <v/>
      </c>
      <c r="K1160" s="10" t="str">
        <f aca="false">IF($A1160="","",$G1160&amp;"|"&amp;$J1160)</f>
        <v/>
      </c>
      <c r="L1160" s="10" t="str">
        <f aca="false">IF($A1160="","",ROW()-2)</f>
        <v/>
      </c>
      <c r="M1160" s="10" t="str">
        <f aca="false">IF($A1160="","",ROW())</f>
        <v/>
      </c>
    </row>
    <row r="1161" customFormat="false" ht="15" hidden="false" customHeight="true" outlineLevel="0" collapsed="false">
      <c r="A1161" s="8"/>
      <c r="B1161" s="8"/>
      <c r="C1161" s="8"/>
      <c r="D1161" s="8"/>
      <c r="E1161" s="8"/>
      <c r="F1161" s="8"/>
      <c r="G1161" s="10" t="str">
        <f aca="false">IF($A1161="","",UPPER(SUBSTITUTE(SUBSTITUTE(SUBSTITUTE(SUBSTITUTE($A1161," ",""),"(주)",""),"주식회사",""),"㈜","")))</f>
        <v/>
      </c>
      <c r="H1161" s="10" t="str">
        <f aca="false">IF($B1161="","",SUBSTITUTE(SUBSTITUTE(SUBSTITUTE($B1161,"-","")," ",""),".",""))</f>
        <v/>
      </c>
      <c r="I1161" s="10" t="str">
        <f aca="false">IF($D1161="","",SUBSTITUTE(SUBSTITUTE(SUBSTITUTE($D1161,"-","")," ",""),".",""))</f>
        <v/>
      </c>
      <c r="J1161" s="10" t="str">
        <f aca="false">IF($E1161="","",UPPER(SUBSTITUTE($E1161," ","")))</f>
        <v/>
      </c>
      <c r="K1161" s="10" t="str">
        <f aca="false">IF($A1161="","",$G1161&amp;"|"&amp;$J1161)</f>
        <v/>
      </c>
      <c r="L1161" s="10" t="str">
        <f aca="false">IF($A1161="","",ROW()-2)</f>
        <v/>
      </c>
      <c r="M1161" s="10" t="str">
        <f aca="false">IF($A1161="","",ROW())</f>
        <v/>
      </c>
    </row>
    <row r="1162" customFormat="false" ht="15" hidden="false" customHeight="true" outlineLevel="0" collapsed="false">
      <c r="A1162" s="8"/>
      <c r="B1162" s="8"/>
      <c r="C1162" s="8"/>
      <c r="D1162" s="8"/>
      <c r="E1162" s="8"/>
      <c r="F1162" s="8"/>
      <c r="G1162" s="10" t="str">
        <f aca="false">IF($A1162="","",UPPER(SUBSTITUTE(SUBSTITUTE(SUBSTITUTE(SUBSTITUTE($A1162," ",""),"(주)",""),"주식회사",""),"㈜","")))</f>
        <v/>
      </c>
      <c r="H1162" s="10" t="str">
        <f aca="false">IF($B1162="","",SUBSTITUTE(SUBSTITUTE(SUBSTITUTE($B1162,"-","")," ",""),".",""))</f>
        <v/>
      </c>
      <c r="I1162" s="10" t="str">
        <f aca="false">IF($D1162="","",SUBSTITUTE(SUBSTITUTE(SUBSTITUTE($D1162,"-","")," ",""),".",""))</f>
        <v/>
      </c>
      <c r="J1162" s="10" t="str">
        <f aca="false">IF($E1162="","",UPPER(SUBSTITUTE($E1162," ","")))</f>
        <v/>
      </c>
      <c r="K1162" s="10" t="str">
        <f aca="false">IF($A1162="","",$G1162&amp;"|"&amp;$J1162)</f>
        <v/>
      </c>
      <c r="L1162" s="10" t="str">
        <f aca="false">IF($A1162="","",ROW()-2)</f>
        <v/>
      </c>
      <c r="M1162" s="10" t="str">
        <f aca="false">IF($A1162="","",ROW())</f>
        <v/>
      </c>
    </row>
    <row r="1163" customFormat="false" ht="15" hidden="false" customHeight="true" outlineLevel="0" collapsed="false">
      <c r="A1163" s="8"/>
      <c r="B1163" s="8"/>
      <c r="C1163" s="8"/>
      <c r="D1163" s="8"/>
      <c r="E1163" s="8"/>
      <c r="F1163" s="8"/>
      <c r="G1163" s="10" t="str">
        <f aca="false">IF($A1163="","",UPPER(SUBSTITUTE(SUBSTITUTE(SUBSTITUTE(SUBSTITUTE($A1163," ",""),"(주)",""),"주식회사",""),"㈜","")))</f>
        <v/>
      </c>
      <c r="H1163" s="10" t="str">
        <f aca="false">IF($B1163="","",SUBSTITUTE(SUBSTITUTE(SUBSTITUTE($B1163,"-","")," ",""),".",""))</f>
        <v/>
      </c>
      <c r="I1163" s="10" t="str">
        <f aca="false">IF($D1163="","",SUBSTITUTE(SUBSTITUTE(SUBSTITUTE($D1163,"-","")," ",""),".",""))</f>
        <v/>
      </c>
      <c r="J1163" s="10" t="str">
        <f aca="false">IF($E1163="","",UPPER(SUBSTITUTE($E1163," ","")))</f>
        <v/>
      </c>
      <c r="K1163" s="10" t="str">
        <f aca="false">IF($A1163="","",$G1163&amp;"|"&amp;$J1163)</f>
        <v/>
      </c>
      <c r="L1163" s="10" t="str">
        <f aca="false">IF($A1163="","",ROW()-2)</f>
        <v/>
      </c>
      <c r="M1163" s="10" t="str">
        <f aca="false">IF($A1163="","",ROW())</f>
        <v/>
      </c>
    </row>
    <row r="1164" customFormat="false" ht="15" hidden="false" customHeight="true" outlineLevel="0" collapsed="false">
      <c r="A1164" s="8"/>
      <c r="B1164" s="8"/>
      <c r="C1164" s="8"/>
      <c r="D1164" s="8"/>
      <c r="E1164" s="8"/>
      <c r="F1164" s="8"/>
      <c r="G1164" s="10" t="str">
        <f aca="false">IF($A1164="","",UPPER(SUBSTITUTE(SUBSTITUTE(SUBSTITUTE(SUBSTITUTE($A1164," ",""),"(주)",""),"주식회사",""),"㈜","")))</f>
        <v/>
      </c>
      <c r="H1164" s="10" t="str">
        <f aca="false">IF($B1164="","",SUBSTITUTE(SUBSTITUTE(SUBSTITUTE($B1164,"-","")," ",""),".",""))</f>
        <v/>
      </c>
      <c r="I1164" s="10" t="str">
        <f aca="false">IF($D1164="","",SUBSTITUTE(SUBSTITUTE(SUBSTITUTE($D1164,"-","")," ",""),".",""))</f>
        <v/>
      </c>
      <c r="J1164" s="10" t="str">
        <f aca="false">IF($E1164="","",UPPER(SUBSTITUTE($E1164," ","")))</f>
        <v/>
      </c>
      <c r="K1164" s="10" t="str">
        <f aca="false">IF($A1164="","",$G1164&amp;"|"&amp;$J1164)</f>
        <v/>
      </c>
      <c r="L1164" s="10" t="str">
        <f aca="false">IF($A1164="","",ROW()-2)</f>
        <v/>
      </c>
      <c r="M1164" s="10" t="str">
        <f aca="false">IF($A1164="","",ROW())</f>
        <v/>
      </c>
    </row>
    <row r="1165" customFormat="false" ht="15" hidden="false" customHeight="true" outlineLevel="0" collapsed="false">
      <c r="A1165" s="8"/>
      <c r="B1165" s="8"/>
      <c r="C1165" s="8"/>
      <c r="D1165" s="8"/>
      <c r="E1165" s="8"/>
      <c r="F1165" s="8"/>
      <c r="G1165" s="10" t="str">
        <f aca="false">IF($A1165="","",UPPER(SUBSTITUTE(SUBSTITUTE(SUBSTITUTE(SUBSTITUTE($A1165," ",""),"(주)",""),"주식회사",""),"㈜","")))</f>
        <v/>
      </c>
      <c r="H1165" s="10" t="str">
        <f aca="false">IF($B1165="","",SUBSTITUTE(SUBSTITUTE(SUBSTITUTE($B1165,"-","")," ",""),".",""))</f>
        <v/>
      </c>
      <c r="I1165" s="10" t="str">
        <f aca="false">IF($D1165="","",SUBSTITUTE(SUBSTITUTE(SUBSTITUTE($D1165,"-","")," ",""),".",""))</f>
        <v/>
      </c>
      <c r="J1165" s="10" t="str">
        <f aca="false">IF($E1165="","",UPPER(SUBSTITUTE($E1165," ","")))</f>
        <v/>
      </c>
      <c r="K1165" s="10" t="str">
        <f aca="false">IF($A1165="","",$G1165&amp;"|"&amp;$J1165)</f>
        <v/>
      </c>
      <c r="L1165" s="10" t="str">
        <f aca="false">IF($A1165="","",ROW()-2)</f>
        <v/>
      </c>
      <c r="M1165" s="10" t="str">
        <f aca="false">IF($A1165="","",ROW())</f>
        <v/>
      </c>
    </row>
    <row r="1166" customFormat="false" ht="15" hidden="false" customHeight="true" outlineLevel="0" collapsed="false">
      <c r="A1166" s="8"/>
      <c r="B1166" s="8"/>
      <c r="C1166" s="8"/>
      <c r="D1166" s="8"/>
      <c r="E1166" s="8"/>
      <c r="F1166" s="8"/>
      <c r="G1166" s="10" t="str">
        <f aca="false">IF($A1166="","",UPPER(SUBSTITUTE(SUBSTITUTE(SUBSTITUTE(SUBSTITUTE($A1166," ",""),"(주)",""),"주식회사",""),"㈜","")))</f>
        <v/>
      </c>
      <c r="H1166" s="10" t="str">
        <f aca="false">IF($B1166="","",SUBSTITUTE(SUBSTITUTE(SUBSTITUTE($B1166,"-","")," ",""),".",""))</f>
        <v/>
      </c>
      <c r="I1166" s="10" t="str">
        <f aca="false">IF($D1166="","",SUBSTITUTE(SUBSTITUTE(SUBSTITUTE($D1166,"-","")," ",""),".",""))</f>
        <v/>
      </c>
      <c r="J1166" s="10" t="str">
        <f aca="false">IF($E1166="","",UPPER(SUBSTITUTE($E1166," ","")))</f>
        <v/>
      </c>
      <c r="K1166" s="10" t="str">
        <f aca="false">IF($A1166="","",$G1166&amp;"|"&amp;$J1166)</f>
        <v/>
      </c>
      <c r="L1166" s="10" t="str">
        <f aca="false">IF($A1166="","",ROW()-2)</f>
        <v/>
      </c>
      <c r="M1166" s="10" t="str">
        <f aca="false">IF($A1166="","",ROW())</f>
        <v/>
      </c>
    </row>
    <row r="1167" customFormat="false" ht="15" hidden="false" customHeight="true" outlineLevel="0" collapsed="false">
      <c r="A1167" s="8"/>
      <c r="B1167" s="8"/>
      <c r="C1167" s="8"/>
      <c r="D1167" s="8"/>
      <c r="E1167" s="8"/>
      <c r="F1167" s="8"/>
      <c r="G1167" s="10" t="str">
        <f aca="false">IF($A1167="","",UPPER(SUBSTITUTE(SUBSTITUTE(SUBSTITUTE(SUBSTITUTE($A1167," ",""),"(주)",""),"주식회사",""),"㈜","")))</f>
        <v/>
      </c>
      <c r="H1167" s="10" t="str">
        <f aca="false">IF($B1167="","",SUBSTITUTE(SUBSTITUTE(SUBSTITUTE($B1167,"-","")," ",""),".",""))</f>
        <v/>
      </c>
      <c r="I1167" s="10" t="str">
        <f aca="false">IF($D1167="","",SUBSTITUTE(SUBSTITUTE(SUBSTITUTE($D1167,"-","")," ",""),".",""))</f>
        <v/>
      </c>
      <c r="J1167" s="10" t="str">
        <f aca="false">IF($E1167="","",UPPER(SUBSTITUTE($E1167," ","")))</f>
        <v/>
      </c>
      <c r="K1167" s="10" t="str">
        <f aca="false">IF($A1167="","",$G1167&amp;"|"&amp;$J1167)</f>
        <v/>
      </c>
      <c r="L1167" s="10" t="str">
        <f aca="false">IF($A1167="","",ROW()-2)</f>
        <v/>
      </c>
      <c r="M1167" s="10" t="str">
        <f aca="false">IF($A1167="","",ROW())</f>
        <v/>
      </c>
    </row>
    <row r="1168" customFormat="false" ht="15" hidden="false" customHeight="true" outlineLevel="0" collapsed="false">
      <c r="A1168" s="8"/>
      <c r="B1168" s="8"/>
      <c r="C1168" s="8"/>
      <c r="D1168" s="8"/>
      <c r="E1168" s="8"/>
      <c r="F1168" s="8"/>
      <c r="G1168" s="10" t="str">
        <f aca="false">IF($A1168="","",UPPER(SUBSTITUTE(SUBSTITUTE(SUBSTITUTE(SUBSTITUTE($A1168," ",""),"(주)",""),"주식회사",""),"㈜","")))</f>
        <v/>
      </c>
      <c r="H1168" s="10" t="str">
        <f aca="false">IF($B1168="","",SUBSTITUTE(SUBSTITUTE(SUBSTITUTE($B1168,"-","")," ",""),".",""))</f>
        <v/>
      </c>
      <c r="I1168" s="10" t="str">
        <f aca="false">IF($D1168="","",SUBSTITUTE(SUBSTITUTE(SUBSTITUTE($D1168,"-","")," ",""),".",""))</f>
        <v/>
      </c>
      <c r="J1168" s="10" t="str">
        <f aca="false">IF($E1168="","",UPPER(SUBSTITUTE($E1168," ","")))</f>
        <v/>
      </c>
      <c r="K1168" s="10" t="str">
        <f aca="false">IF($A1168="","",$G1168&amp;"|"&amp;$J1168)</f>
        <v/>
      </c>
      <c r="L1168" s="10" t="str">
        <f aca="false">IF($A1168="","",ROW()-2)</f>
        <v/>
      </c>
      <c r="M1168" s="10" t="str">
        <f aca="false">IF($A1168="","",ROW())</f>
        <v/>
      </c>
    </row>
    <row r="1169" customFormat="false" ht="15" hidden="false" customHeight="true" outlineLevel="0" collapsed="false">
      <c r="A1169" s="8"/>
      <c r="B1169" s="8"/>
      <c r="C1169" s="8"/>
      <c r="D1169" s="8"/>
      <c r="E1169" s="8"/>
      <c r="F1169" s="8"/>
      <c r="G1169" s="10" t="str">
        <f aca="false">IF($A1169="","",UPPER(SUBSTITUTE(SUBSTITUTE(SUBSTITUTE(SUBSTITUTE($A1169," ",""),"(주)",""),"주식회사",""),"㈜","")))</f>
        <v/>
      </c>
      <c r="H1169" s="10" t="str">
        <f aca="false">IF($B1169="","",SUBSTITUTE(SUBSTITUTE(SUBSTITUTE($B1169,"-","")," ",""),".",""))</f>
        <v/>
      </c>
      <c r="I1169" s="10" t="str">
        <f aca="false">IF($D1169="","",SUBSTITUTE(SUBSTITUTE(SUBSTITUTE($D1169,"-","")," ",""),".",""))</f>
        <v/>
      </c>
      <c r="J1169" s="10" t="str">
        <f aca="false">IF($E1169="","",UPPER(SUBSTITUTE($E1169," ","")))</f>
        <v/>
      </c>
      <c r="K1169" s="10" t="str">
        <f aca="false">IF($A1169="","",$G1169&amp;"|"&amp;$J1169)</f>
        <v/>
      </c>
      <c r="L1169" s="10" t="str">
        <f aca="false">IF($A1169="","",ROW()-2)</f>
        <v/>
      </c>
      <c r="M1169" s="10" t="str">
        <f aca="false">IF($A1169="","",ROW())</f>
        <v/>
      </c>
    </row>
    <row r="1170" customFormat="false" ht="15" hidden="false" customHeight="true" outlineLevel="0" collapsed="false">
      <c r="A1170" s="8"/>
      <c r="B1170" s="8"/>
      <c r="C1170" s="8"/>
      <c r="D1170" s="8"/>
      <c r="E1170" s="8"/>
      <c r="F1170" s="8"/>
      <c r="G1170" s="10" t="str">
        <f aca="false">IF($A1170="","",UPPER(SUBSTITUTE(SUBSTITUTE(SUBSTITUTE(SUBSTITUTE($A1170," ",""),"(주)",""),"주식회사",""),"㈜","")))</f>
        <v/>
      </c>
      <c r="H1170" s="10" t="str">
        <f aca="false">IF($B1170="","",SUBSTITUTE(SUBSTITUTE(SUBSTITUTE($B1170,"-","")," ",""),".",""))</f>
        <v/>
      </c>
      <c r="I1170" s="10" t="str">
        <f aca="false">IF($D1170="","",SUBSTITUTE(SUBSTITUTE(SUBSTITUTE($D1170,"-","")," ",""),".",""))</f>
        <v/>
      </c>
      <c r="J1170" s="10" t="str">
        <f aca="false">IF($E1170="","",UPPER(SUBSTITUTE($E1170," ","")))</f>
        <v/>
      </c>
      <c r="K1170" s="10" t="str">
        <f aca="false">IF($A1170="","",$G1170&amp;"|"&amp;$J1170)</f>
        <v/>
      </c>
      <c r="L1170" s="10" t="str">
        <f aca="false">IF($A1170="","",ROW()-2)</f>
        <v/>
      </c>
      <c r="M1170" s="10" t="str">
        <f aca="false">IF($A1170="","",ROW())</f>
        <v/>
      </c>
    </row>
    <row r="1171" customFormat="false" ht="15" hidden="false" customHeight="true" outlineLevel="0" collapsed="false">
      <c r="A1171" s="8"/>
      <c r="B1171" s="8"/>
      <c r="C1171" s="8"/>
      <c r="D1171" s="8"/>
      <c r="E1171" s="8"/>
      <c r="F1171" s="8"/>
      <c r="G1171" s="10" t="str">
        <f aca="false">IF($A1171="","",UPPER(SUBSTITUTE(SUBSTITUTE(SUBSTITUTE(SUBSTITUTE($A1171," ",""),"(주)",""),"주식회사",""),"㈜","")))</f>
        <v/>
      </c>
      <c r="H1171" s="10" t="str">
        <f aca="false">IF($B1171="","",SUBSTITUTE(SUBSTITUTE(SUBSTITUTE($B1171,"-","")," ",""),".",""))</f>
        <v/>
      </c>
      <c r="I1171" s="10" t="str">
        <f aca="false">IF($D1171="","",SUBSTITUTE(SUBSTITUTE(SUBSTITUTE($D1171,"-","")," ",""),".",""))</f>
        <v/>
      </c>
      <c r="J1171" s="10" t="str">
        <f aca="false">IF($E1171="","",UPPER(SUBSTITUTE($E1171," ","")))</f>
        <v/>
      </c>
      <c r="K1171" s="10" t="str">
        <f aca="false">IF($A1171="","",$G1171&amp;"|"&amp;$J1171)</f>
        <v/>
      </c>
      <c r="L1171" s="10" t="str">
        <f aca="false">IF($A1171="","",ROW()-2)</f>
        <v/>
      </c>
      <c r="M1171" s="10" t="str">
        <f aca="false">IF($A1171="","",ROW())</f>
        <v/>
      </c>
    </row>
    <row r="1172" customFormat="false" ht="15" hidden="false" customHeight="true" outlineLevel="0" collapsed="false">
      <c r="A1172" s="8"/>
      <c r="B1172" s="8"/>
      <c r="C1172" s="8"/>
      <c r="D1172" s="8"/>
      <c r="E1172" s="8"/>
      <c r="F1172" s="8"/>
      <c r="G1172" s="10" t="str">
        <f aca="false">IF($A1172="","",UPPER(SUBSTITUTE(SUBSTITUTE(SUBSTITUTE(SUBSTITUTE($A1172," ",""),"(주)",""),"주식회사",""),"㈜","")))</f>
        <v/>
      </c>
      <c r="H1172" s="10" t="str">
        <f aca="false">IF($B1172="","",SUBSTITUTE(SUBSTITUTE(SUBSTITUTE($B1172,"-","")," ",""),".",""))</f>
        <v/>
      </c>
      <c r="I1172" s="10" t="str">
        <f aca="false">IF($D1172="","",SUBSTITUTE(SUBSTITUTE(SUBSTITUTE($D1172,"-","")," ",""),".",""))</f>
        <v/>
      </c>
      <c r="J1172" s="10" t="str">
        <f aca="false">IF($E1172="","",UPPER(SUBSTITUTE($E1172," ","")))</f>
        <v/>
      </c>
      <c r="K1172" s="10" t="str">
        <f aca="false">IF($A1172="","",$G1172&amp;"|"&amp;$J1172)</f>
        <v/>
      </c>
      <c r="L1172" s="10" t="str">
        <f aca="false">IF($A1172="","",ROW()-2)</f>
        <v/>
      </c>
      <c r="M1172" s="10" t="str">
        <f aca="false">IF($A1172="","",ROW())</f>
        <v/>
      </c>
    </row>
    <row r="1173" customFormat="false" ht="15" hidden="false" customHeight="true" outlineLevel="0" collapsed="false">
      <c r="A1173" s="8"/>
      <c r="B1173" s="8"/>
      <c r="C1173" s="8"/>
      <c r="D1173" s="8"/>
      <c r="E1173" s="8"/>
      <c r="F1173" s="8"/>
      <c r="G1173" s="10" t="str">
        <f aca="false">IF($A1173="","",UPPER(SUBSTITUTE(SUBSTITUTE(SUBSTITUTE(SUBSTITUTE($A1173," ",""),"(주)",""),"주식회사",""),"㈜","")))</f>
        <v/>
      </c>
      <c r="H1173" s="10" t="str">
        <f aca="false">IF($B1173="","",SUBSTITUTE(SUBSTITUTE(SUBSTITUTE($B1173,"-","")," ",""),".",""))</f>
        <v/>
      </c>
      <c r="I1173" s="10" t="str">
        <f aca="false">IF($D1173="","",SUBSTITUTE(SUBSTITUTE(SUBSTITUTE($D1173,"-","")," ",""),".",""))</f>
        <v/>
      </c>
      <c r="J1173" s="10" t="str">
        <f aca="false">IF($E1173="","",UPPER(SUBSTITUTE($E1173," ","")))</f>
        <v/>
      </c>
      <c r="K1173" s="10" t="str">
        <f aca="false">IF($A1173="","",$G1173&amp;"|"&amp;$J1173)</f>
        <v/>
      </c>
      <c r="L1173" s="10" t="str">
        <f aca="false">IF($A1173="","",ROW()-2)</f>
        <v/>
      </c>
      <c r="M1173" s="10" t="str">
        <f aca="false">IF($A1173="","",ROW())</f>
        <v/>
      </c>
    </row>
    <row r="1174" customFormat="false" ht="15" hidden="false" customHeight="true" outlineLevel="0" collapsed="false">
      <c r="A1174" s="8"/>
      <c r="B1174" s="8"/>
      <c r="C1174" s="8"/>
      <c r="D1174" s="8"/>
      <c r="E1174" s="8"/>
      <c r="F1174" s="8"/>
      <c r="G1174" s="10" t="str">
        <f aca="false">IF($A1174="","",UPPER(SUBSTITUTE(SUBSTITUTE(SUBSTITUTE(SUBSTITUTE($A1174," ",""),"(주)",""),"주식회사",""),"㈜","")))</f>
        <v/>
      </c>
      <c r="H1174" s="10" t="str">
        <f aca="false">IF($B1174="","",SUBSTITUTE(SUBSTITUTE(SUBSTITUTE($B1174,"-","")," ",""),".",""))</f>
        <v/>
      </c>
      <c r="I1174" s="10" t="str">
        <f aca="false">IF($D1174="","",SUBSTITUTE(SUBSTITUTE(SUBSTITUTE($D1174,"-","")," ",""),".",""))</f>
        <v/>
      </c>
      <c r="J1174" s="10" t="str">
        <f aca="false">IF($E1174="","",UPPER(SUBSTITUTE($E1174," ","")))</f>
        <v/>
      </c>
      <c r="K1174" s="10" t="str">
        <f aca="false">IF($A1174="","",$G1174&amp;"|"&amp;$J1174)</f>
        <v/>
      </c>
      <c r="L1174" s="10" t="str">
        <f aca="false">IF($A1174="","",ROW()-2)</f>
        <v/>
      </c>
      <c r="M1174" s="10" t="str">
        <f aca="false">IF($A1174="","",ROW())</f>
        <v/>
      </c>
    </row>
    <row r="1175" customFormat="false" ht="15" hidden="false" customHeight="true" outlineLevel="0" collapsed="false">
      <c r="A1175" s="8"/>
      <c r="B1175" s="8"/>
      <c r="C1175" s="8"/>
      <c r="D1175" s="8"/>
      <c r="E1175" s="8"/>
      <c r="F1175" s="8"/>
      <c r="G1175" s="10" t="str">
        <f aca="false">IF($A1175="","",UPPER(SUBSTITUTE(SUBSTITUTE(SUBSTITUTE(SUBSTITUTE($A1175," ",""),"(주)",""),"주식회사",""),"㈜","")))</f>
        <v/>
      </c>
      <c r="H1175" s="10" t="str">
        <f aca="false">IF($B1175="","",SUBSTITUTE(SUBSTITUTE(SUBSTITUTE($B1175,"-","")," ",""),".",""))</f>
        <v/>
      </c>
      <c r="I1175" s="10" t="str">
        <f aca="false">IF($D1175="","",SUBSTITUTE(SUBSTITUTE(SUBSTITUTE($D1175,"-","")," ",""),".",""))</f>
        <v/>
      </c>
      <c r="J1175" s="10" t="str">
        <f aca="false">IF($E1175="","",UPPER(SUBSTITUTE($E1175," ","")))</f>
        <v/>
      </c>
      <c r="K1175" s="10" t="str">
        <f aca="false">IF($A1175="","",$G1175&amp;"|"&amp;$J1175)</f>
        <v/>
      </c>
      <c r="L1175" s="10" t="str">
        <f aca="false">IF($A1175="","",ROW()-2)</f>
        <v/>
      </c>
      <c r="M1175" s="10" t="str">
        <f aca="false">IF($A1175="","",ROW())</f>
        <v/>
      </c>
    </row>
    <row r="1176" customFormat="false" ht="15" hidden="false" customHeight="true" outlineLevel="0" collapsed="false">
      <c r="A1176" s="8"/>
      <c r="B1176" s="8"/>
      <c r="C1176" s="8"/>
      <c r="D1176" s="8"/>
      <c r="E1176" s="8"/>
      <c r="F1176" s="8"/>
      <c r="G1176" s="10" t="str">
        <f aca="false">IF($A1176="","",UPPER(SUBSTITUTE(SUBSTITUTE(SUBSTITUTE(SUBSTITUTE($A1176," ",""),"(주)",""),"주식회사",""),"㈜","")))</f>
        <v/>
      </c>
      <c r="H1176" s="10" t="str">
        <f aca="false">IF($B1176="","",SUBSTITUTE(SUBSTITUTE(SUBSTITUTE($B1176,"-","")," ",""),".",""))</f>
        <v/>
      </c>
      <c r="I1176" s="10" t="str">
        <f aca="false">IF($D1176="","",SUBSTITUTE(SUBSTITUTE(SUBSTITUTE($D1176,"-","")," ",""),".",""))</f>
        <v/>
      </c>
      <c r="J1176" s="10" t="str">
        <f aca="false">IF($E1176="","",UPPER(SUBSTITUTE($E1176," ","")))</f>
        <v/>
      </c>
      <c r="K1176" s="10" t="str">
        <f aca="false">IF($A1176="","",$G1176&amp;"|"&amp;$J1176)</f>
        <v/>
      </c>
      <c r="L1176" s="10" t="str">
        <f aca="false">IF($A1176="","",ROW()-2)</f>
        <v/>
      </c>
      <c r="M1176" s="10" t="str">
        <f aca="false">IF($A1176="","",ROW())</f>
        <v/>
      </c>
    </row>
    <row r="1177" customFormat="false" ht="15" hidden="false" customHeight="true" outlineLevel="0" collapsed="false">
      <c r="A1177" s="8"/>
      <c r="B1177" s="8"/>
      <c r="C1177" s="8"/>
      <c r="D1177" s="8"/>
      <c r="E1177" s="8"/>
      <c r="F1177" s="8"/>
      <c r="G1177" s="10" t="str">
        <f aca="false">IF($A1177="","",UPPER(SUBSTITUTE(SUBSTITUTE(SUBSTITUTE(SUBSTITUTE($A1177," ",""),"(주)",""),"주식회사",""),"㈜","")))</f>
        <v/>
      </c>
      <c r="H1177" s="10" t="str">
        <f aca="false">IF($B1177="","",SUBSTITUTE(SUBSTITUTE(SUBSTITUTE($B1177,"-","")," ",""),".",""))</f>
        <v/>
      </c>
      <c r="I1177" s="10" t="str">
        <f aca="false">IF($D1177="","",SUBSTITUTE(SUBSTITUTE(SUBSTITUTE($D1177,"-","")," ",""),".",""))</f>
        <v/>
      </c>
      <c r="J1177" s="10" t="str">
        <f aca="false">IF($E1177="","",UPPER(SUBSTITUTE($E1177," ","")))</f>
        <v/>
      </c>
      <c r="K1177" s="10" t="str">
        <f aca="false">IF($A1177="","",$G1177&amp;"|"&amp;$J1177)</f>
        <v/>
      </c>
      <c r="L1177" s="10" t="str">
        <f aca="false">IF($A1177="","",ROW()-2)</f>
        <v/>
      </c>
      <c r="M1177" s="10" t="str">
        <f aca="false">IF($A1177="","",ROW())</f>
        <v/>
      </c>
    </row>
    <row r="1178" customFormat="false" ht="15" hidden="false" customHeight="true" outlineLevel="0" collapsed="false">
      <c r="A1178" s="8"/>
      <c r="B1178" s="8"/>
      <c r="C1178" s="8"/>
      <c r="D1178" s="8"/>
      <c r="E1178" s="8"/>
      <c r="F1178" s="8"/>
      <c r="G1178" s="10" t="str">
        <f aca="false">IF($A1178="","",UPPER(SUBSTITUTE(SUBSTITUTE(SUBSTITUTE(SUBSTITUTE($A1178," ",""),"(주)",""),"주식회사",""),"㈜","")))</f>
        <v/>
      </c>
      <c r="H1178" s="10" t="str">
        <f aca="false">IF($B1178="","",SUBSTITUTE(SUBSTITUTE(SUBSTITUTE($B1178,"-","")," ",""),".",""))</f>
        <v/>
      </c>
      <c r="I1178" s="10" t="str">
        <f aca="false">IF($D1178="","",SUBSTITUTE(SUBSTITUTE(SUBSTITUTE($D1178,"-","")," ",""),".",""))</f>
        <v/>
      </c>
      <c r="J1178" s="10" t="str">
        <f aca="false">IF($E1178="","",UPPER(SUBSTITUTE($E1178," ","")))</f>
        <v/>
      </c>
      <c r="K1178" s="10" t="str">
        <f aca="false">IF($A1178="","",$G1178&amp;"|"&amp;$J1178)</f>
        <v/>
      </c>
      <c r="L1178" s="10" t="str">
        <f aca="false">IF($A1178="","",ROW()-2)</f>
        <v/>
      </c>
      <c r="M1178" s="10" t="str">
        <f aca="false">IF($A1178="","",ROW())</f>
        <v/>
      </c>
    </row>
    <row r="1179" customFormat="false" ht="15" hidden="false" customHeight="true" outlineLevel="0" collapsed="false">
      <c r="A1179" s="8"/>
      <c r="B1179" s="8"/>
      <c r="C1179" s="8"/>
      <c r="D1179" s="8"/>
      <c r="E1179" s="8"/>
      <c r="F1179" s="8"/>
      <c r="G1179" s="10" t="str">
        <f aca="false">IF($A1179="","",UPPER(SUBSTITUTE(SUBSTITUTE(SUBSTITUTE(SUBSTITUTE($A1179," ",""),"(주)",""),"주식회사",""),"㈜","")))</f>
        <v/>
      </c>
      <c r="H1179" s="10" t="str">
        <f aca="false">IF($B1179="","",SUBSTITUTE(SUBSTITUTE(SUBSTITUTE($B1179,"-","")," ",""),".",""))</f>
        <v/>
      </c>
      <c r="I1179" s="10" t="str">
        <f aca="false">IF($D1179="","",SUBSTITUTE(SUBSTITUTE(SUBSTITUTE($D1179,"-","")," ",""),".",""))</f>
        <v/>
      </c>
      <c r="J1179" s="10" t="str">
        <f aca="false">IF($E1179="","",UPPER(SUBSTITUTE($E1179," ","")))</f>
        <v/>
      </c>
      <c r="K1179" s="10" t="str">
        <f aca="false">IF($A1179="","",$G1179&amp;"|"&amp;$J1179)</f>
        <v/>
      </c>
      <c r="L1179" s="10" t="str">
        <f aca="false">IF($A1179="","",ROW()-2)</f>
        <v/>
      </c>
      <c r="M1179" s="10" t="str">
        <f aca="false">IF($A1179="","",ROW())</f>
        <v/>
      </c>
    </row>
    <row r="1180" customFormat="false" ht="15" hidden="false" customHeight="true" outlineLevel="0" collapsed="false">
      <c r="A1180" s="8"/>
      <c r="B1180" s="8"/>
      <c r="C1180" s="8"/>
      <c r="D1180" s="8"/>
      <c r="E1180" s="8"/>
      <c r="F1180" s="8"/>
      <c r="G1180" s="10" t="str">
        <f aca="false">IF($A1180="","",UPPER(SUBSTITUTE(SUBSTITUTE(SUBSTITUTE(SUBSTITUTE($A1180," ",""),"(주)",""),"주식회사",""),"㈜","")))</f>
        <v/>
      </c>
      <c r="H1180" s="10" t="str">
        <f aca="false">IF($B1180="","",SUBSTITUTE(SUBSTITUTE(SUBSTITUTE($B1180,"-","")," ",""),".",""))</f>
        <v/>
      </c>
      <c r="I1180" s="10" t="str">
        <f aca="false">IF($D1180="","",SUBSTITUTE(SUBSTITUTE(SUBSTITUTE($D1180,"-","")," ",""),".",""))</f>
        <v/>
      </c>
      <c r="J1180" s="10" t="str">
        <f aca="false">IF($E1180="","",UPPER(SUBSTITUTE($E1180," ","")))</f>
        <v/>
      </c>
      <c r="K1180" s="10" t="str">
        <f aca="false">IF($A1180="","",$G1180&amp;"|"&amp;$J1180)</f>
        <v/>
      </c>
      <c r="L1180" s="10" t="str">
        <f aca="false">IF($A1180="","",ROW()-2)</f>
        <v/>
      </c>
      <c r="M1180" s="10" t="str">
        <f aca="false">IF($A1180="","",ROW())</f>
        <v/>
      </c>
    </row>
    <row r="1181" customFormat="false" ht="15" hidden="false" customHeight="true" outlineLevel="0" collapsed="false">
      <c r="A1181" s="8"/>
      <c r="B1181" s="8"/>
      <c r="C1181" s="8"/>
      <c r="D1181" s="8"/>
      <c r="E1181" s="8"/>
      <c r="F1181" s="8"/>
      <c r="G1181" s="10" t="str">
        <f aca="false">IF($A1181="","",UPPER(SUBSTITUTE(SUBSTITUTE(SUBSTITUTE(SUBSTITUTE($A1181," ",""),"(주)",""),"주식회사",""),"㈜","")))</f>
        <v/>
      </c>
      <c r="H1181" s="10" t="str">
        <f aca="false">IF($B1181="","",SUBSTITUTE(SUBSTITUTE(SUBSTITUTE($B1181,"-","")," ",""),".",""))</f>
        <v/>
      </c>
      <c r="I1181" s="10" t="str">
        <f aca="false">IF($D1181="","",SUBSTITUTE(SUBSTITUTE(SUBSTITUTE($D1181,"-","")," ",""),".",""))</f>
        <v/>
      </c>
      <c r="J1181" s="10" t="str">
        <f aca="false">IF($E1181="","",UPPER(SUBSTITUTE($E1181," ","")))</f>
        <v/>
      </c>
      <c r="K1181" s="10" t="str">
        <f aca="false">IF($A1181="","",$G1181&amp;"|"&amp;$J1181)</f>
        <v/>
      </c>
      <c r="L1181" s="10" t="str">
        <f aca="false">IF($A1181="","",ROW()-2)</f>
        <v/>
      </c>
      <c r="M1181" s="10" t="str">
        <f aca="false">IF($A1181="","",ROW())</f>
        <v/>
      </c>
    </row>
    <row r="1182" customFormat="false" ht="15" hidden="false" customHeight="true" outlineLevel="0" collapsed="false">
      <c r="A1182" s="8"/>
      <c r="B1182" s="8"/>
      <c r="C1182" s="8"/>
      <c r="D1182" s="8"/>
      <c r="E1182" s="8"/>
      <c r="F1182" s="8"/>
      <c r="G1182" s="10" t="str">
        <f aca="false">IF($A1182="","",UPPER(SUBSTITUTE(SUBSTITUTE(SUBSTITUTE(SUBSTITUTE($A1182," ",""),"(주)",""),"주식회사",""),"㈜","")))</f>
        <v/>
      </c>
      <c r="H1182" s="10" t="str">
        <f aca="false">IF($B1182="","",SUBSTITUTE(SUBSTITUTE(SUBSTITUTE($B1182,"-","")," ",""),".",""))</f>
        <v/>
      </c>
      <c r="I1182" s="10" t="str">
        <f aca="false">IF($D1182="","",SUBSTITUTE(SUBSTITUTE(SUBSTITUTE($D1182,"-","")," ",""),".",""))</f>
        <v/>
      </c>
      <c r="J1182" s="10" t="str">
        <f aca="false">IF($E1182="","",UPPER(SUBSTITUTE($E1182," ","")))</f>
        <v/>
      </c>
      <c r="K1182" s="10" t="str">
        <f aca="false">IF($A1182="","",$G1182&amp;"|"&amp;$J1182)</f>
        <v/>
      </c>
      <c r="L1182" s="10" t="str">
        <f aca="false">IF($A1182="","",ROW()-2)</f>
        <v/>
      </c>
      <c r="M1182" s="10" t="str">
        <f aca="false">IF($A1182="","",ROW())</f>
        <v/>
      </c>
    </row>
    <row r="1183" customFormat="false" ht="15" hidden="false" customHeight="true" outlineLevel="0" collapsed="false">
      <c r="A1183" s="8"/>
      <c r="B1183" s="8"/>
      <c r="C1183" s="8"/>
      <c r="D1183" s="8"/>
      <c r="E1183" s="8"/>
      <c r="F1183" s="8"/>
      <c r="G1183" s="10" t="str">
        <f aca="false">IF($A1183="","",UPPER(SUBSTITUTE(SUBSTITUTE(SUBSTITUTE(SUBSTITUTE($A1183," ",""),"(주)",""),"주식회사",""),"㈜","")))</f>
        <v/>
      </c>
      <c r="H1183" s="10" t="str">
        <f aca="false">IF($B1183="","",SUBSTITUTE(SUBSTITUTE(SUBSTITUTE($B1183,"-","")," ",""),".",""))</f>
        <v/>
      </c>
      <c r="I1183" s="10" t="str">
        <f aca="false">IF($D1183="","",SUBSTITUTE(SUBSTITUTE(SUBSTITUTE($D1183,"-","")," ",""),".",""))</f>
        <v/>
      </c>
      <c r="J1183" s="10" t="str">
        <f aca="false">IF($E1183="","",UPPER(SUBSTITUTE($E1183," ","")))</f>
        <v/>
      </c>
      <c r="K1183" s="10" t="str">
        <f aca="false">IF($A1183="","",$G1183&amp;"|"&amp;$J1183)</f>
        <v/>
      </c>
      <c r="L1183" s="10" t="str">
        <f aca="false">IF($A1183="","",ROW()-2)</f>
        <v/>
      </c>
      <c r="M1183" s="10" t="str">
        <f aca="false">IF($A1183="","",ROW())</f>
        <v/>
      </c>
    </row>
    <row r="1184" customFormat="false" ht="15" hidden="false" customHeight="true" outlineLevel="0" collapsed="false">
      <c r="A1184" s="8"/>
      <c r="B1184" s="8"/>
      <c r="C1184" s="8"/>
      <c r="D1184" s="8"/>
      <c r="E1184" s="8"/>
      <c r="F1184" s="8"/>
      <c r="G1184" s="10" t="str">
        <f aca="false">IF($A1184="","",UPPER(SUBSTITUTE(SUBSTITUTE(SUBSTITUTE(SUBSTITUTE($A1184," ",""),"(주)",""),"주식회사",""),"㈜","")))</f>
        <v/>
      </c>
      <c r="H1184" s="10" t="str">
        <f aca="false">IF($B1184="","",SUBSTITUTE(SUBSTITUTE(SUBSTITUTE($B1184,"-","")," ",""),".",""))</f>
        <v/>
      </c>
      <c r="I1184" s="10" t="str">
        <f aca="false">IF($D1184="","",SUBSTITUTE(SUBSTITUTE(SUBSTITUTE($D1184,"-","")," ",""),".",""))</f>
        <v/>
      </c>
      <c r="J1184" s="10" t="str">
        <f aca="false">IF($E1184="","",UPPER(SUBSTITUTE($E1184," ","")))</f>
        <v/>
      </c>
      <c r="K1184" s="10" t="str">
        <f aca="false">IF($A1184="","",$G1184&amp;"|"&amp;$J1184)</f>
        <v/>
      </c>
      <c r="L1184" s="10" t="str">
        <f aca="false">IF($A1184="","",ROW()-2)</f>
        <v/>
      </c>
      <c r="M1184" s="10" t="str">
        <f aca="false">IF($A1184="","",ROW())</f>
        <v/>
      </c>
    </row>
    <row r="1185" customFormat="false" ht="15" hidden="false" customHeight="true" outlineLevel="0" collapsed="false">
      <c r="A1185" s="8"/>
      <c r="B1185" s="8"/>
      <c r="C1185" s="8"/>
      <c r="D1185" s="8"/>
      <c r="E1185" s="8"/>
      <c r="F1185" s="8"/>
      <c r="G1185" s="10" t="str">
        <f aca="false">IF($A1185="","",UPPER(SUBSTITUTE(SUBSTITUTE(SUBSTITUTE(SUBSTITUTE($A1185," ",""),"(주)",""),"주식회사",""),"㈜","")))</f>
        <v/>
      </c>
      <c r="H1185" s="10" t="str">
        <f aca="false">IF($B1185="","",SUBSTITUTE(SUBSTITUTE(SUBSTITUTE($B1185,"-","")," ",""),".",""))</f>
        <v/>
      </c>
      <c r="I1185" s="10" t="str">
        <f aca="false">IF($D1185="","",SUBSTITUTE(SUBSTITUTE(SUBSTITUTE($D1185,"-","")," ",""),".",""))</f>
        <v/>
      </c>
      <c r="J1185" s="10" t="str">
        <f aca="false">IF($E1185="","",UPPER(SUBSTITUTE($E1185," ","")))</f>
        <v/>
      </c>
      <c r="K1185" s="10" t="str">
        <f aca="false">IF($A1185="","",$G1185&amp;"|"&amp;$J1185)</f>
        <v/>
      </c>
      <c r="L1185" s="10" t="str">
        <f aca="false">IF($A1185="","",ROW()-2)</f>
        <v/>
      </c>
      <c r="M1185" s="10" t="str">
        <f aca="false">IF($A1185="","",ROW())</f>
        <v/>
      </c>
    </row>
    <row r="1186" customFormat="false" ht="15" hidden="false" customHeight="true" outlineLevel="0" collapsed="false">
      <c r="A1186" s="8"/>
      <c r="B1186" s="8"/>
      <c r="C1186" s="8"/>
      <c r="D1186" s="8"/>
      <c r="E1186" s="8"/>
      <c r="F1186" s="8"/>
      <c r="G1186" s="10" t="str">
        <f aca="false">IF($A1186="","",UPPER(SUBSTITUTE(SUBSTITUTE(SUBSTITUTE(SUBSTITUTE($A1186," ",""),"(주)",""),"주식회사",""),"㈜","")))</f>
        <v/>
      </c>
      <c r="H1186" s="10" t="str">
        <f aca="false">IF($B1186="","",SUBSTITUTE(SUBSTITUTE(SUBSTITUTE($B1186,"-","")," ",""),".",""))</f>
        <v/>
      </c>
      <c r="I1186" s="10" t="str">
        <f aca="false">IF($D1186="","",SUBSTITUTE(SUBSTITUTE(SUBSTITUTE($D1186,"-","")," ",""),".",""))</f>
        <v/>
      </c>
      <c r="J1186" s="10" t="str">
        <f aca="false">IF($E1186="","",UPPER(SUBSTITUTE($E1186," ","")))</f>
        <v/>
      </c>
      <c r="K1186" s="10" t="str">
        <f aca="false">IF($A1186="","",$G1186&amp;"|"&amp;$J1186)</f>
        <v/>
      </c>
      <c r="L1186" s="10" t="str">
        <f aca="false">IF($A1186="","",ROW()-2)</f>
        <v/>
      </c>
      <c r="M1186" s="10" t="str">
        <f aca="false">IF($A1186="","",ROW())</f>
        <v/>
      </c>
    </row>
    <row r="1187" customFormat="false" ht="15" hidden="false" customHeight="true" outlineLevel="0" collapsed="false">
      <c r="A1187" s="8"/>
      <c r="B1187" s="8"/>
      <c r="C1187" s="8"/>
      <c r="D1187" s="8"/>
      <c r="E1187" s="8"/>
      <c r="F1187" s="8"/>
      <c r="G1187" s="10" t="str">
        <f aca="false">IF($A1187="","",UPPER(SUBSTITUTE(SUBSTITUTE(SUBSTITUTE(SUBSTITUTE($A1187," ",""),"(주)",""),"주식회사",""),"㈜","")))</f>
        <v/>
      </c>
      <c r="H1187" s="10" t="str">
        <f aca="false">IF($B1187="","",SUBSTITUTE(SUBSTITUTE(SUBSTITUTE($B1187,"-","")," ",""),".",""))</f>
        <v/>
      </c>
      <c r="I1187" s="10" t="str">
        <f aca="false">IF($D1187="","",SUBSTITUTE(SUBSTITUTE(SUBSTITUTE($D1187,"-","")," ",""),".",""))</f>
        <v/>
      </c>
      <c r="J1187" s="10" t="str">
        <f aca="false">IF($E1187="","",UPPER(SUBSTITUTE($E1187," ","")))</f>
        <v/>
      </c>
      <c r="K1187" s="10" t="str">
        <f aca="false">IF($A1187="","",$G1187&amp;"|"&amp;$J1187)</f>
        <v/>
      </c>
      <c r="L1187" s="10" t="str">
        <f aca="false">IF($A1187="","",ROW()-2)</f>
        <v/>
      </c>
      <c r="M1187" s="10" t="str">
        <f aca="false">IF($A1187="","",ROW())</f>
        <v/>
      </c>
    </row>
    <row r="1188" customFormat="false" ht="15" hidden="false" customHeight="true" outlineLevel="0" collapsed="false">
      <c r="A1188" s="8"/>
      <c r="B1188" s="8"/>
      <c r="C1188" s="8"/>
      <c r="D1188" s="8"/>
      <c r="E1188" s="8"/>
      <c r="F1188" s="8"/>
      <c r="G1188" s="10" t="str">
        <f aca="false">IF($A1188="","",UPPER(SUBSTITUTE(SUBSTITUTE(SUBSTITUTE(SUBSTITUTE($A1188," ",""),"(주)",""),"주식회사",""),"㈜","")))</f>
        <v/>
      </c>
      <c r="H1188" s="10" t="str">
        <f aca="false">IF($B1188="","",SUBSTITUTE(SUBSTITUTE(SUBSTITUTE($B1188,"-","")," ",""),".",""))</f>
        <v/>
      </c>
      <c r="I1188" s="10" t="str">
        <f aca="false">IF($D1188="","",SUBSTITUTE(SUBSTITUTE(SUBSTITUTE($D1188,"-","")," ",""),".",""))</f>
        <v/>
      </c>
      <c r="J1188" s="10" t="str">
        <f aca="false">IF($E1188="","",UPPER(SUBSTITUTE($E1188," ","")))</f>
        <v/>
      </c>
      <c r="K1188" s="10" t="str">
        <f aca="false">IF($A1188="","",$G1188&amp;"|"&amp;$J1188)</f>
        <v/>
      </c>
      <c r="L1188" s="10" t="str">
        <f aca="false">IF($A1188="","",ROW()-2)</f>
        <v/>
      </c>
      <c r="M1188" s="10" t="str">
        <f aca="false">IF($A1188="","",ROW())</f>
        <v/>
      </c>
    </row>
    <row r="1189" customFormat="false" ht="15" hidden="false" customHeight="true" outlineLevel="0" collapsed="false">
      <c r="A1189" s="8"/>
      <c r="B1189" s="8"/>
      <c r="C1189" s="8"/>
      <c r="D1189" s="8"/>
      <c r="E1189" s="8"/>
      <c r="F1189" s="8"/>
      <c r="G1189" s="10" t="str">
        <f aca="false">IF($A1189="","",UPPER(SUBSTITUTE(SUBSTITUTE(SUBSTITUTE(SUBSTITUTE($A1189," ",""),"(주)",""),"주식회사",""),"㈜","")))</f>
        <v/>
      </c>
      <c r="H1189" s="10" t="str">
        <f aca="false">IF($B1189="","",SUBSTITUTE(SUBSTITUTE(SUBSTITUTE($B1189,"-","")," ",""),".",""))</f>
        <v/>
      </c>
      <c r="I1189" s="10" t="str">
        <f aca="false">IF($D1189="","",SUBSTITUTE(SUBSTITUTE(SUBSTITUTE($D1189,"-","")," ",""),".",""))</f>
        <v/>
      </c>
      <c r="J1189" s="10" t="str">
        <f aca="false">IF($E1189="","",UPPER(SUBSTITUTE($E1189," ","")))</f>
        <v/>
      </c>
      <c r="K1189" s="10" t="str">
        <f aca="false">IF($A1189="","",$G1189&amp;"|"&amp;$J1189)</f>
        <v/>
      </c>
      <c r="L1189" s="10" t="str">
        <f aca="false">IF($A1189="","",ROW()-2)</f>
        <v/>
      </c>
      <c r="M1189" s="10" t="str">
        <f aca="false">IF($A1189="","",ROW())</f>
        <v/>
      </c>
    </row>
    <row r="1190" customFormat="false" ht="15" hidden="false" customHeight="true" outlineLevel="0" collapsed="false">
      <c r="A1190" s="8"/>
      <c r="B1190" s="8"/>
      <c r="C1190" s="8"/>
      <c r="D1190" s="8"/>
      <c r="E1190" s="8"/>
      <c r="F1190" s="8"/>
      <c r="G1190" s="10" t="str">
        <f aca="false">IF($A1190="","",UPPER(SUBSTITUTE(SUBSTITUTE(SUBSTITUTE(SUBSTITUTE($A1190," ",""),"(주)",""),"주식회사",""),"㈜","")))</f>
        <v/>
      </c>
      <c r="H1190" s="10" t="str">
        <f aca="false">IF($B1190="","",SUBSTITUTE(SUBSTITUTE(SUBSTITUTE($B1190,"-","")," ",""),".",""))</f>
        <v/>
      </c>
      <c r="I1190" s="10" t="str">
        <f aca="false">IF($D1190="","",SUBSTITUTE(SUBSTITUTE(SUBSTITUTE($D1190,"-","")," ",""),".",""))</f>
        <v/>
      </c>
      <c r="J1190" s="10" t="str">
        <f aca="false">IF($E1190="","",UPPER(SUBSTITUTE($E1190," ","")))</f>
        <v/>
      </c>
      <c r="K1190" s="10" t="str">
        <f aca="false">IF($A1190="","",$G1190&amp;"|"&amp;$J1190)</f>
        <v/>
      </c>
      <c r="L1190" s="10" t="str">
        <f aca="false">IF($A1190="","",ROW()-2)</f>
        <v/>
      </c>
      <c r="M1190" s="10" t="str">
        <f aca="false">IF($A1190="","",ROW())</f>
        <v/>
      </c>
    </row>
    <row r="1191" customFormat="false" ht="15" hidden="false" customHeight="true" outlineLevel="0" collapsed="false">
      <c r="A1191" s="8"/>
      <c r="B1191" s="8"/>
      <c r="C1191" s="8"/>
      <c r="D1191" s="8"/>
      <c r="E1191" s="8"/>
      <c r="F1191" s="8"/>
      <c r="G1191" s="10" t="str">
        <f aca="false">IF($A1191="","",UPPER(SUBSTITUTE(SUBSTITUTE(SUBSTITUTE(SUBSTITUTE($A1191," ",""),"(주)",""),"주식회사",""),"㈜","")))</f>
        <v/>
      </c>
      <c r="H1191" s="10" t="str">
        <f aca="false">IF($B1191="","",SUBSTITUTE(SUBSTITUTE(SUBSTITUTE($B1191,"-","")," ",""),".",""))</f>
        <v/>
      </c>
      <c r="I1191" s="10" t="str">
        <f aca="false">IF($D1191="","",SUBSTITUTE(SUBSTITUTE(SUBSTITUTE($D1191,"-","")," ",""),".",""))</f>
        <v/>
      </c>
      <c r="J1191" s="10" t="str">
        <f aca="false">IF($E1191="","",UPPER(SUBSTITUTE($E1191," ","")))</f>
        <v/>
      </c>
      <c r="K1191" s="10" t="str">
        <f aca="false">IF($A1191="","",$G1191&amp;"|"&amp;$J1191)</f>
        <v/>
      </c>
      <c r="L1191" s="10" t="str">
        <f aca="false">IF($A1191="","",ROW()-2)</f>
        <v/>
      </c>
      <c r="M1191" s="10" t="str">
        <f aca="false">IF($A1191="","",ROW())</f>
        <v/>
      </c>
    </row>
    <row r="1192" customFormat="false" ht="15" hidden="false" customHeight="true" outlineLevel="0" collapsed="false">
      <c r="A1192" s="8"/>
      <c r="B1192" s="8"/>
      <c r="C1192" s="8"/>
      <c r="D1192" s="8"/>
      <c r="E1192" s="8"/>
      <c r="F1192" s="8"/>
      <c r="G1192" s="10" t="str">
        <f aca="false">IF($A1192="","",UPPER(SUBSTITUTE(SUBSTITUTE(SUBSTITUTE(SUBSTITUTE($A1192," ",""),"(주)",""),"주식회사",""),"㈜","")))</f>
        <v/>
      </c>
      <c r="H1192" s="10" t="str">
        <f aca="false">IF($B1192="","",SUBSTITUTE(SUBSTITUTE(SUBSTITUTE($B1192,"-","")," ",""),".",""))</f>
        <v/>
      </c>
      <c r="I1192" s="10" t="str">
        <f aca="false">IF($D1192="","",SUBSTITUTE(SUBSTITUTE(SUBSTITUTE($D1192,"-","")," ",""),".",""))</f>
        <v/>
      </c>
      <c r="J1192" s="10" t="str">
        <f aca="false">IF($E1192="","",UPPER(SUBSTITUTE($E1192," ","")))</f>
        <v/>
      </c>
      <c r="K1192" s="10" t="str">
        <f aca="false">IF($A1192="","",$G1192&amp;"|"&amp;$J1192)</f>
        <v/>
      </c>
      <c r="L1192" s="10" t="str">
        <f aca="false">IF($A1192="","",ROW()-2)</f>
        <v/>
      </c>
      <c r="M1192" s="10" t="str">
        <f aca="false">IF($A1192="","",ROW())</f>
        <v/>
      </c>
    </row>
    <row r="1193" customFormat="false" ht="15" hidden="false" customHeight="true" outlineLevel="0" collapsed="false">
      <c r="A1193" s="8"/>
      <c r="B1193" s="8"/>
      <c r="C1193" s="8"/>
      <c r="D1193" s="8"/>
      <c r="E1193" s="8"/>
      <c r="F1193" s="8"/>
      <c r="G1193" s="10" t="str">
        <f aca="false">IF($A1193="","",UPPER(SUBSTITUTE(SUBSTITUTE(SUBSTITUTE(SUBSTITUTE($A1193," ",""),"(주)",""),"주식회사",""),"㈜","")))</f>
        <v/>
      </c>
      <c r="H1193" s="10" t="str">
        <f aca="false">IF($B1193="","",SUBSTITUTE(SUBSTITUTE(SUBSTITUTE($B1193,"-","")," ",""),".",""))</f>
        <v/>
      </c>
      <c r="I1193" s="10" t="str">
        <f aca="false">IF($D1193="","",SUBSTITUTE(SUBSTITUTE(SUBSTITUTE($D1193,"-","")," ",""),".",""))</f>
        <v/>
      </c>
      <c r="J1193" s="10" t="str">
        <f aca="false">IF($E1193="","",UPPER(SUBSTITUTE($E1193," ","")))</f>
        <v/>
      </c>
      <c r="K1193" s="10" t="str">
        <f aca="false">IF($A1193="","",$G1193&amp;"|"&amp;$J1193)</f>
        <v/>
      </c>
      <c r="L1193" s="10" t="str">
        <f aca="false">IF($A1193="","",ROW()-2)</f>
        <v/>
      </c>
      <c r="M1193" s="10" t="str">
        <f aca="false">IF($A1193="","",ROW())</f>
        <v/>
      </c>
    </row>
    <row r="1194" customFormat="false" ht="15" hidden="false" customHeight="true" outlineLevel="0" collapsed="false">
      <c r="A1194" s="8"/>
      <c r="B1194" s="8"/>
      <c r="C1194" s="8"/>
      <c r="D1194" s="8"/>
      <c r="E1194" s="8"/>
      <c r="F1194" s="8"/>
      <c r="G1194" s="10" t="str">
        <f aca="false">IF($A1194="","",UPPER(SUBSTITUTE(SUBSTITUTE(SUBSTITUTE(SUBSTITUTE($A1194," ",""),"(주)",""),"주식회사",""),"㈜","")))</f>
        <v/>
      </c>
      <c r="H1194" s="10" t="str">
        <f aca="false">IF($B1194="","",SUBSTITUTE(SUBSTITUTE(SUBSTITUTE($B1194,"-","")," ",""),".",""))</f>
        <v/>
      </c>
      <c r="I1194" s="10" t="str">
        <f aca="false">IF($D1194="","",SUBSTITUTE(SUBSTITUTE(SUBSTITUTE($D1194,"-","")," ",""),".",""))</f>
        <v/>
      </c>
      <c r="J1194" s="10" t="str">
        <f aca="false">IF($E1194="","",UPPER(SUBSTITUTE($E1194," ","")))</f>
        <v/>
      </c>
      <c r="K1194" s="10" t="str">
        <f aca="false">IF($A1194="","",$G1194&amp;"|"&amp;$J1194)</f>
        <v/>
      </c>
      <c r="L1194" s="10" t="str">
        <f aca="false">IF($A1194="","",ROW()-2)</f>
        <v/>
      </c>
      <c r="M1194" s="10" t="str">
        <f aca="false">IF($A1194="","",ROW())</f>
        <v/>
      </c>
    </row>
    <row r="1195" customFormat="false" ht="15" hidden="false" customHeight="true" outlineLevel="0" collapsed="false">
      <c r="A1195" s="8"/>
      <c r="B1195" s="8"/>
      <c r="C1195" s="8"/>
      <c r="D1195" s="8"/>
      <c r="E1195" s="8"/>
      <c r="F1195" s="8"/>
      <c r="G1195" s="10" t="str">
        <f aca="false">IF($A1195="","",UPPER(SUBSTITUTE(SUBSTITUTE(SUBSTITUTE(SUBSTITUTE($A1195," ",""),"(주)",""),"주식회사",""),"㈜","")))</f>
        <v/>
      </c>
      <c r="H1195" s="10" t="str">
        <f aca="false">IF($B1195="","",SUBSTITUTE(SUBSTITUTE(SUBSTITUTE($B1195,"-","")," ",""),".",""))</f>
        <v/>
      </c>
      <c r="I1195" s="10" t="str">
        <f aca="false">IF($D1195="","",SUBSTITUTE(SUBSTITUTE(SUBSTITUTE($D1195,"-","")," ",""),".",""))</f>
        <v/>
      </c>
      <c r="J1195" s="10" t="str">
        <f aca="false">IF($E1195="","",UPPER(SUBSTITUTE($E1195," ","")))</f>
        <v/>
      </c>
      <c r="K1195" s="10" t="str">
        <f aca="false">IF($A1195="","",$G1195&amp;"|"&amp;$J1195)</f>
        <v/>
      </c>
      <c r="L1195" s="10" t="str">
        <f aca="false">IF($A1195="","",ROW()-2)</f>
        <v/>
      </c>
      <c r="M1195" s="10" t="str">
        <f aca="false">IF($A1195="","",ROW())</f>
        <v/>
      </c>
    </row>
    <row r="1196" customFormat="false" ht="15" hidden="false" customHeight="true" outlineLevel="0" collapsed="false">
      <c r="A1196" s="8"/>
      <c r="B1196" s="8"/>
      <c r="C1196" s="8"/>
      <c r="D1196" s="8"/>
      <c r="E1196" s="8"/>
      <c r="F1196" s="8"/>
      <c r="G1196" s="10" t="str">
        <f aca="false">IF($A1196="","",UPPER(SUBSTITUTE(SUBSTITUTE(SUBSTITUTE(SUBSTITUTE($A1196," ",""),"(주)",""),"주식회사",""),"㈜","")))</f>
        <v/>
      </c>
      <c r="H1196" s="10" t="str">
        <f aca="false">IF($B1196="","",SUBSTITUTE(SUBSTITUTE(SUBSTITUTE($B1196,"-","")," ",""),".",""))</f>
        <v/>
      </c>
      <c r="I1196" s="10" t="str">
        <f aca="false">IF($D1196="","",SUBSTITUTE(SUBSTITUTE(SUBSTITUTE($D1196,"-","")," ",""),".",""))</f>
        <v/>
      </c>
      <c r="J1196" s="10" t="str">
        <f aca="false">IF($E1196="","",UPPER(SUBSTITUTE($E1196," ","")))</f>
        <v/>
      </c>
      <c r="K1196" s="10" t="str">
        <f aca="false">IF($A1196="","",$G1196&amp;"|"&amp;$J1196)</f>
        <v/>
      </c>
      <c r="L1196" s="10" t="str">
        <f aca="false">IF($A1196="","",ROW()-2)</f>
        <v/>
      </c>
      <c r="M1196" s="10" t="str">
        <f aca="false">IF($A1196="","",ROW())</f>
        <v/>
      </c>
    </row>
    <row r="1197" customFormat="false" ht="15" hidden="false" customHeight="true" outlineLevel="0" collapsed="false">
      <c r="A1197" s="8"/>
      <c r="B1197" s="8"/>
      <c r="C1197" s="8"/>
      <c r="D1197" s="8"/>
      <c r="E1197" s="8"/>
      <c r="F1197" s="8"/>
      <c r="G1197" s="10" t="str">
        <f aca="false">IF($A1197="","",UPPER(SUBSTITUTE(SUBSTITUTE(SUBSTITUTE(SUBSTITUTE($A1197," ",""),"(주)",""),"주식회사",""),"㈜","")))</f>
        <v/>
      </c>
      <c r="H1197" s="10" t="str">
        <f aca="false">IF($B1197="","",SUBSTITUTE(SUBSTITUTE(SUBSTITUTE($B1197,"-","")," ",""),".",""))</f>
        <v/>
      </c>
      <c r="I1197" s="10" t="str">
        <f aca="false">IF($D1197="","",SUBSTITUTE(SUBSTITUTE(SUBSTITUTE($D1197,"-","")," ",""),".",""))</f>
        <v/>
      </c>
      <c r="J1197" s="10" t="str">
        <f aca="false">IF($E1197="","",UPPER(SUBSTITUTE($E1197," ","")))</f>
        <v/>
      </c>
      <c r="K1197" s="10" t="str">
        <f aca="false">IF($A1197="","",$G1197&amp;"|"&amp;$J1197)</f>
        <v/>
      </c>
      <c r="L1197" s="10" t="str">
        <f aca="false">IF($A1197="","",ROW()-2)</f>
        <v/>
      </c>
      <c r="M1197" s="10" t="str">
        <f aca="false">IF($A1197="","",ROW())</f>
        <v/>
      </c>
    </row>
    <row r="1198" customFormat="false" ht="15" hidden="false" customHeight="true" outlineLevel="0" collapsed="false">
      <c r="A1198" s="8"/>
      <c r="B1198" s="8"/>
      <c r="C1198" s="8"/>
      <c r="D1198" s="8"/>
      <c r="E1198" s="8"/>
      <c r="F1198" s="8"/>
      <c r="G1198" s="10" t="str">
        <f aca="false">IF($A1198="","",UPPER(SUBSTITUTE(SUBSTITUTE(SUBSTITUTE(SUBSTITUTE($A1198," ",""),"(주)",""),"주식회사",""),"㈜","")))</f>
        <v/>
      </c>
      <c r="H1198" s="10" t="str">
        <f aca="false">IF($B1198="","",SUBSTITUTE(SUBSTITUTE(SUBSTITUTE($B1198,"-","")," ",""),".",""))</f>
        <v/>
      </c>
      <c r="I1198" s="10" t="str">
        <f aca="false">IF($D1198="","",SUBSTITUTE(SUBSTITUTE(SUBSTITUTE($D1198,"-","")," ",""),".",""))</f>
        <v/>
      </c>
      <c r="J1198" s="10" t="str">
        <f aca="false">IF($E1198="","",UPPER(SUBSTITUTE($E1198," ","")))</f>
        <v/>
      </c>
      <c r="K1198" s="10" t="str">
        <f aca="false">IF($A1198="","",$G1198&amp;"|"&amp;$J1198)</f>
        <v/>
      </c>
      <c r="L1198" s="10" t="str">
        <f aca="false">IF($A1198="","",ROW()-2)</f>
        <v/>
      </c>
      <c r="M1198" s="10" t="str">
        <f aca="false">IF($A1198="","",ROW())</f>
        <v/>
      </c>
    </row>
    <row r="1199" customFormat="false" ht="15" hidden="false" customHeight="true" outlineLevel="0" collapsed="false">
      <c r="A1199" s="8"/>
      <c r="B1199" s="8"/>
      <c r="C1199" s="8"/>
      <c r="D1199" s="8"/>
      <c r="E1199" s="8"/>
      <c r="F1199" s="8"/>
      <c r="G1199" s="10" t="str">
        <f aca="false">IF($A1199="","",UPPER(SUBSTITUTE(SUBSTITUTE(SUBSTITUTE(SUBSTITUTE($A1199," ",""),"(주)",""),"주식회사",""),"㈜","")))</f>
        <v/>
      </c>
      <c r="H1199" s="10" t="str">
        <f aca="false">IF($B1199="","",SUBSTITUTE(SUBSTITUTE(SUBSTITUTE($B1199,"-","")," ",""),".",""))</f>
        <v/>
      </c>
      <c r="I1199" s="10" t="str">
        <f aca="false">IF($D1199="","",SUBSTITUTE(SUBSTITUTE(SUBSTITUTE($D1199,"-","")," ",""),".",""))</f>
        <v/>
      </c>
      <c r="J1199" s="10" t="str">
        <f aca="false">IF($E1199="","",UPPER(SUBSTITUTE($E1199," ","")))</f>
        <v/>
      </c>
      <c r="K1199" s="10" t="str">
        <f aca="false">IF($A1199="","",$G1199&amp;"|"&amp;$J1199)</f>
        <v/>
      </c>
      <c r="L1199" s="10" t="str">
        <f aca="false">IF($A1199="","",ROW()-2)</f>
        <v/>
      </c>
      <c r="M1199" s="10" t="str">
        <f aca="false">IF($A1199="","",ROW())</f>
        <v/>
      </c>
    </row>
    <row r="1200" customFormat="false" ht="15" hidden="false" customHeight="true" outlineLevel="0" collapsed="false">
      <c r="A1200" s="8"/>
      <c r="B1200" s="8"/>
      <c r="C1200" s="8"/>
      <c r="D1200" s="8"/>
      <c r="E1200" s="8"/>
      <c r="F1200" s="8"/>
      <c r="G1200" s="10" t="str">
        <f aca="false">IF($A1200="","",UPPER(SUBSTITUTE(SUBSTITUTE(SUBSTITUTE(SUBSTITUTE($A1200," ",""),"(주)",""),"주식회사",""),"㈜","")))</f>
        <v/>
      </c>
      <c r="H1200" s="10" t="str">
        <f aca="false">IF($B1200="","",SUBSTITUTE(SUBSTITUTE(SUBSTITUTE($B1200,"-","")," ",""),".",""))</f>
        <v/>
      </c>
      <c r="I1200" s="10" t="str">
        <f aca="false">IF($D1200="","",SUBSTITUTE(SUBSTITUTE(SUBSTITUTE($D1200,"-","")," ",""),".",""))</f>
        <v/>
      </c>
      <c r="J1200" s="10" t="str">
        <f aca="false">IF($E1200="","",UPPER(SUBSTITUTE($E1200," ","")))</f>
        <v/>
      </c>
      <c r="K1200" s="10" t="str">
        <f aca="false">IF($A1200="","",$G1200&amp;"|"&amp;$J1200)</f>
        <v/>
      </c>
      <c r="L1200" s="10" t="str">
        <f aca="false">IF($A1200="","",ROW()-2)</f>
        <v/>
      </c>
      <c r="M1200" s="10" t="str">
        <f aca="false">IF($A1200="","",ROW())</f>
        <v/>
      </c>
    </row>
    <row r="1201" customFormat="false" ht="15" hidden="false" customHeight="true" outlineLevel="0" collapsed="false">
      <c r="A1201" s="8"/>
      <c r="B1201" s="8"/>
      <c r="C1201" s="8"/>
      <c r="D1201" s="8"/>
      <c r="E1201" s="8"/>
      <c r="F1201" s="8"/>
      <c r="G1201" s="10" t="str">
        <f aca="false">IF($A1201="","",UPPER(SUBSTITUTE(SUBSTITUTE(SUBSTITUTE(SUBSTITUTE($A1201," ",""),"(주)",""),"주식회사",""),"㈜","")))</f>
        <v/>
      </c>
      <c r="H1201" s="10" t="str">
        <f aca="false">IF($B1201="","",SUBSTITUTE(SUBSTITUTE(SUBSTITUTE($B1201,"-","")," ",""),".",""))</f>
        <v/>
      </c>
      <c r="I1201" s="10" t="str">
        <f aca="false">IF($D1201="","",SUBSTITUTE(SUBSTITUTE(SUBSTITUTE($D1201,"-","")," ",""),".",""))</f>
        <v/>
      </c>
      <c r="J1201" s="10" t="str">
        <f aca="false">IF($E1201="","",UPPER(SUBSTITUTE($E1201," ","")))</f>
        <v/>
      </c>
      <c r="K1201" s="10" t="str">
        <f aca="false">IF($A1201="","",$G1201&amp;"|"&amp;$J1201)</f>
        <v/>
      </c>
      <c r="L1201" s="10" t="str">
        <f aca="false">IF($A1201="","",ROW()-2)</f>
        <v/>
      </c>
      <c r="M1201" s="10" t="str">
        <f aca="false">IF($A1201="","",ROW())</f>
        <v/>
      </c>
    </row>
    <row r="1202" customFormat="false" ht="15" hidden="false" customHeight="true" outlineLevel="0" collapsed="false">
      <c r="A1202" s="8"/>
      <c r="B1202" s="8"/>
      <c r="C1202" s="8"/>
      <c r="D1202" s="8"/>
      <c r="E1202" s="8"/>
      <c r="F1202" s="8"/>
      <c r="G1202" s="10" t="str">
        <f aca="false">IF($A1202="","",UPPER(SUBSTITUTE(SUBSTITUTE(SUBSTITUTE(SUBSTITUTE($A1202," ",""),"(주)",""),"주식회사",""),"㈜","")))</f>
        <v/>
      </c>
      <c r="H1202" s="10" t="str">
        <f aca="false">IF($B1202="","",SUBSTITUTE(SUBSTITUTE(SUBSTITUTE($B1202,"-","")," ",""),".",""))</f>
        <v/>
      </c>
      <c r="I1202" s="10" t="str">
        <f aca="false">IF($D1202="","",SUBSTITUTE(SUBSTITUTE(SUBSTITUTE($D1202,"-","")," ",""),".",""))</f>
        <v/>
      </c>
      <c r="J1202" s="10" t="str">
        <f aca="false">IF($E1202="","",UPPER(SUBSTITUTE($E1202," ","")))</f>
        <v/>
      </c>
      <c r="K1202" s="10" t="str">
        <f aca="false">IF($A1202="","",$G1202&amp;"|"&amp;$J1202)</f>
        <v/>
      </c>
      <c r="L1202" s="10" t="str">
        <f aca="false">IF($A1202="","",ROW()-2)</f>
        <v/>
      </c>
      <c r="M1202" s="10" t="str">
        <f aca="false">IF($A1202="","",ROW())</f>
        <v/>
      </c>
    </row>
    <row r="1203" customFormat="false" ht="15" hidden="false" customHeight="true" outlineLevel="0" collapsed="false">
      <c r="A1203" s="8"/>
      <c r="B1203" s="8"/>
      <c r="C1203" s="8"/>
      <c r="D1203" s="8"/>
      <c r="E1203" s="8"/>
      <c r="F1203" s="8"/>
      <c r="G1203" s="10" t="str">
        <f aca="false">IF($A1203="","",UPPER(SUBSTITUTE(SUBSTITUTE(SUBSTITUTE(SUBSTITUTE($A1203," ",""),"(주)",""),"주식회사",""),"㈜","")))</f>
        <v/>
      </c>
      <c r="H1203" s="10" t="str">
        <f aca="false">IF($B1203="","",SUBSTITUTE(SUBSTITUTE(SUBSTITUTE($B1203,"-","")," ",""),".",""))</f>
        <v/>
      </c>
      <c r="I1203" s="10" t="str">
        <f aca="false">IF($D1203="","",SUBSTITUTE(SUBSTITUTE(SUBSTITUTE($D1203,"-","")," ",""),".",""))</f>
        <v/>
      </c>
      <c r="J1203" s="10" t="str">
        <f aca="false">IF($E1203="","",UPPER(SUBSTITUTE($E1203," ","")))</f>
        <v/>
      </c>
      <c r="K1203" s="10" t="str">
        <f aca="false">IF($A1203="","",$G1203&amp;"|"&amp;$J1203)</f>
        <v/>
      </c>
      <c r="L1203" s="10" t="str">
        <f aca="false">IF($A1203="","",ROW()-2)</f>
        <v/>
      </c>
      <c r="M1203" s="10" t="str">
        <f aca="false">IF($A1203="","",ROW())</f>
        <v/>
      </c>
    </row>
    <row r="1204" customFormat="false" ht="15" hidden="false" customHeight="true" outlineLevel="0" collapsed="false">
      <c r="A1204" s="8"/>
      <c r="B1204" s="8"/>
      <c r="C1204" s="8"/>
      <c r="D1204" s="8"/>
      <c r="E1204" s="8"/>
      <c r="F1204" s="8"/>
      <c r="G1204" s="10" t="str">
        <f aca="false">IF($A1204="","",UPPER(SUBSTITUTE(SUBSTITUTE(SUBSTITUTE(SUBSTITUTE($A1204," ",""),"(주)",""),"주식회사",""),"㈜","")))</f>
        <v/>
      </c>
      <c r="H1204" s="10" t="str">
        <f aca="false">IF($B1204="","",SUBSTITUTE(SUBSTITUTE(SUBSTITUTE($B1204,"-","")," ",""),".",""))</f>
        <v/>
      </c>
      <c r="I1204" s="10" t="str">
        <f aca="false">IF($D1204="","",SUBSTITUTE(SUBSTITUTE(SUBSTITUTE($D1204,"-","")," ",""),".",""))</f>
        <v/>
      </c>
      <c r="J1204" s="10" t="str">
        <f aca="false">IF($E1204="","",UPPER(SUBSTITUTE($E1204," ","")))</f>
        <v/>
      </c>
      <c r="K1204" s="10" t="str">
        <f aca="false">IF($A1204="","",$G1204&amp;"|"&amp;$J1204)</f>
        <v/>
      </c>
      <c r="L1204" s="10" t="str">
        <f aca="false">IF($A1204="","",ROW()-2)</f>
        <v/>
      </c>
      <c r="M1204" s="10" t="str">
        <f aca="false">IF($A1204="","",ROW())</f>
        <v/>
      </c>
    </row>
    <row r="1205" customFormat="false" ht="15" hidden="false" customHeight="true" outlineLevel="0" collapsed="false">
      <c r="A1205" s="8"/>
      <c r="B1205" s="8"/>
      <c r="C1205" s="8"/>
      <c r="D1205" s="8"/>
      <c r="E1205" s="8"/>
      <c r="F1205" s="8"/>
      <c r="G1205" s="10" t="str">
        <f aca="false">IF($A1205="","",UPPER(SUBSTITUTE(SUBSTITUTE(SUBSTITUTE(SUBSTITUTE($A1205," ",""),"(주)",""),"주식회사",""),"㈜","")))</f>
        <v/>
      </c>
      <c r="H1205" s="10" t="str">
        <f aca="false">IF($B1205="","",SUBSTITUTE(SUBSTITUTE(SUBSTITUTE($B1205,"-","")," ",""),".",""))</f>
        <v/>
      </c>
      <c r="I1205" s="10" t="str">
        <f aca="false">IF($D1205="","",SUBSTITUTE(SUBSTITUTE(SUBSTITUTE($D1205,"-","")," ",""),".",""))</f>
        <v/>
      </c>
      <c r="J1205" s="10" t="str">
        <f aca="false">IF($E1205="","",UPPER(SUBSTITUTE($E1205," ","")))</f>
        <v/>
      </c>
      <c r="K1205" s="10" t="str">
        <f aca="false">IF($A1205="","",$G1205&amp;"|"&amp;$J1205)</f>
        <v/>
      </c>
      <c r="L1205" s="10" t="str">
        <f aca="false">IF($A1205="","",ROW()-2)</f>
        <v/>
      </c>
      <c r="M1205" s="10" t="str">
        <f aca="false">IF($A1205="","",ROW())</f>
        <v/>
      </c>
    </row>
    <row r="1206" customFormat="false" ht="15" hidden="false" customHeight="true" outlineLevel="0" collapsed="false">
      <c r="A1206" s="8"/>
      <c r="B1206" s="8"/>
      <c r="C1206" s="8"/>
      <c r="D1206" s="8"/>
      <c r="E1206" s="8"/>
      <c r="F1206" s="8"/>
      <c r="G1206" s="10" t="str">
        <f aca="false">IF($A1206="","",UPPER(SUBSTITUTE(SUBSTITUTE(SUBSTITUTE(SUBSTITUTE($A1206," ",""),"(주)",""),"주식회사",""),"㈜","")))</f>
        <v/>
      </c>
      <c r="H1206" s="10" t="str">
        <f aca="false">IF($B1206="","",SUBSTITUTE(SUBSTITUTE(SUBSTITUTE($B1206,"-","")," ",""),".",""))</f>
        <v/>
      </c>
      <c r="I1206" s="10" t="str">
        <f aca="false">IF($D1206="","",SUBSTITUTE(SUBSTITUTE(SUBSTITUTE($D1206,"-","")," ",""),".",""))</f>
        <v/>
      </c>
      <c r="J1206" s="10" t="str">
        <f aca="false">IF($E1206="","",UPPER(SUBSTITUTE($E1206," ","")))</f>
        <v/>
      </c>
      <c r="K1206" s="10" t="str">
        <f aca="false">IF($A1206="","",$G1206&amp;"|"&amp;$J1206)</f>
        <v/>
      </c>
      <c r="L1206" s="10" t="str">
        <f aca="false">IF($A1206="","",ROW()-2)</f>
        <v/>
      </c>
      <c r="M1206" s="10" t="str">
        <f aca="false">IF($A1206="","",ROW())</f>
        <v/>
      </c>
    </row>
    <row r="1207" customFormat="false" ht="15" hidden="false" customHeight="true" outlineLevel="0" collapsed="false">
      <c r="A1207" s="8"/>
      <c r="B1207" s="8"/>
      <c r="C1207" s="8"/>
      <c r="D1207" s="8"/>
      <c r="E1207" s="8"/>
      <c r="F1207" s="8"/>
      <c r="G1207" s="10" t="str">
        <f aca="false">IF($A1207="","",UPPER(SUBSTITUTE(SUBSTITUTE(SUBSTITUTE(SUBSTITUTE($A1207," ",""),"(주)",""),"주식회사",""),"㈜","")))</f>
        <v/>
      </c>
      <c r="H1207" s="10" t="str">
        <f aca="false">IF($B1207="","",SUBSTITUTE(SUBSTITUTE(SUBSTITUTE($B1207,"-","")," ",""),".",""))</f>
        <v/>
      </c>
      <c r="I1207" s="10" t="str">
        <f aca="false">IF($D1207="","",SUBSTITUTE(SUBSTITUTE(SUBSTITUTE($D1207,"-","")," ",""),".",""))</f>
        <v/>
      </c>
      <c r="J1207" s="10" t="str">
        <f aca="false">IF($E1207="","",UPPER(SUBSTITUTE($E1207," ","")))</f>
        <v/>
      </c>
      <c r="K1207" s="10" t="str">
        <f aca="false">IF($A1207="","",$G1207&amp;"|"&amp;$J1207)</f>
        <v/>
      </c>
      <c r="L1207" s="10" t="str">
        <f aca="false">IF($A1207="","",ROW()-2)</f>
        <v/>
      </c>
      <c r="M1207" s="10" t="str">
        <f aca="false">IF($A1207="","",ROW())</f>
        <v/>
      </c>
    </row>
    <row r="1208" customFormat="false" ht="15" hidden="false" customHeight="true" outlineLevel="0" collapsed="false">
      <c r="A1208" s="8"/>
      <c r="B1208" s="8"/>
      <c r="C1208" s="8"/>
      <c r="D1208" s="8"/>
      <c r="E1208" s="8"/>
      <c r="F1208" s="8"/>
      <c r="G1208" s="10" t="str">
        <f aca="false">IF($A1208="","",UPPER(SUBSTITUTE(SUBSTITUTE(SUBSTITUTE(SUBSTITUTE($A1208," ",""),"(주)",""),"주식회사",""),"㈜","")))</f>
        <v/>
      </c>
      <c r="H1208" s="10" t="str">
        <f aca="false">IF($B1208="","",SUBSTITUTE(SUBSTITUTE(SUBSTITUTE($B1208,"-","")," ",""),".",""))</f>
        <v/>
      </c>
      <c r="I1208" s="10" t="str">
        <f aca="false">IF($D1208="","",SUBSTITUTE(SUBSTITUTE(SUBSTITUTE($D1208,"-","")," ",""),".",""))</f>
        <v/>
      </c>
      <c r="J1208" s="10" t="str">
        <f aca="false">IF($E1208="","",UPPER(SUBSTITUTE($E1208," ","")))</f>
        <v/>
      </c>
      <c r="K1208" s="10" t="str">
        <f aca="false">IF($A1208="","",$G1208&amp;"|"&amp;$J1208)</f>
        <v/>
      </c>
      <c r="L1208" s="10" t="str">
        <f aca="false">IF($A1208="","",ROW()-2)</f>
        <v/>
      </c>
      <c r="M1208" s="10" t="str">
        <f aca="false">IF($A1208="","",ROW())</f>
        <v/>
      </c>
    </row>
    <row r="1209" customFormat="false" ht="15" hidden="false" customHeight="true" outlineLevel="0" collapsed="false">
      <c r="A1209" s="8"/>
      <c r="B1209" s="8"/>
      <c r="C1209" s="8"/>
      <c r="D1209" s="8"/>
      <c r="E1209" s="8"/>
      <c r="F1209" s="8"/>
      <c r="G1209" s="10" t="str">
        <f aca="false">IF($A1209="","",UPPER(SUBSTITUTE(SUBSTITUTE(SUBSTITUTE(SUBSTITUTE($A1209," ",""),"(주)",""),"주식회사",""),"㈜","")))</f>
        <v/>
      </c>
      <c r="H1209" s="10" t="str">
        <f aca="false">IF($B1209="","",SUBSTITUTE(SUBSTITUTE(SUBSTITUTE($B1209,"-","")," ",""),".",""))</f>
        <v/>
      </c>
      <c r="I1209" s="10" t="str">
        <f aca="false">IF($D1209="","",SUBSTITUTE(SUBSTITUTE(SUBSTITUTE($D1209,"-","")," ",""),".",""))</f>
        <v/>
      </c>
      <c r="J1209" s="10" t="str">
        <f aca="false">IF($E1209="","",UPPER(SUBSTITUTE($E1209," ","")))</f>
        <v/>
      </c>
      <c r="K1209" s="10" t="str">
        <f aca="false">IF($A1209="","",$G1209&amp;"|"&amp;$J1209)</f>
        <v/>
      </c>
      <c r="L1209" s="10" t="str">
        <f aca="false">IF($A1209="","",ROW()-2)</f>
        <v/>
      </c>
      <c r="M1209" s="10" t="str">
        <f aca="false">IF($A1209="","",ROW())</f>
        <v/>
      </c>
    </row>
    <row r="1210" customFormat="false" ht="15" hidden="false" customHeight="true" outlineLevel="0" collapsed="false">
      <c r="A1210" s="8"/>
      <c r="B1210" s="8"/>
      <c r="C1210" s="8"/>
      <c r="D1210" s="8"/>
      <c r="E1210" s="8"/>
      <c r="F1210" s="8"/>
      <c r="G1210" s="10" t="str">
        <f aca="false">IF($A1210="","",UPPER(SUBSTITUTE(SUBSTITUTE(SUBSTITUTE(SUBSTITUTE($A1210," ",""),"(주)",""),"주식회사",""),"㈜","")))</f>
        <v/>
      </c>
      <c r="H1210" s="10" t="str">
        <f aca="false">IF($B1210="","",SUBSTITUTE(SUBSTITUTE(SUBSTITUTE($B1210,"-","")," ",""),".",""))</f>
        <v/>
      </c>
      <c r="I1210" s="10" t="str">
        <f aca="false">IF($D1210="","",SUBSTITUTE(SUBSTITUTE(SUBSTITUTE($D1210,"-","")," ",""),".",""))</f>
        <v/>
      </c>
      <c r="J1210" s="10" t="str">
        <f aca="false">IF($E1210="","",UPPER(SUBSTITUTE($E1210," ","")))</f>
        <v/>
      </c>
      <c r="K1210" s="10" t="str">
        <f aca="false">IF($A1210="","",$G1210&amp;"|"&amp;$J1210)</f>
        <v/>
      </c>
      <c r="L1210" s="10" t="str">
        <f aca="false">IF($A1210="","",ROW()-2)</f>
        <v/>
      </c>
      <c r="M1210" s="10" t="str">
        <f aca="false">IF($A1210="","",ROW())</f>
        <v/>
      </c>
    </row>
    <row r="1211" customFormat="false" ht="15" hidden="false" customHeight="true" outlineLevel="0" collapsed="false">
      <c r="A1211" s="8"/>
      <c r="B1211" s="8"/>
      <c r="C1211" s="8"/>
      <c r="D1211" s="8"/>
      <c r="E1211" s="8"/>
      <c r="F1211" s="8"/>
      <c r="G1211" s="10" t="str">
        <f aca="false">IF($A1211="","",UPPER(SUBSTITUTE(SUBSTITUTE(SUBSTITUTE(SUBSTITUTE($A1211," ",""),"(주)",""),"주식회사",""),"㈜","")))</f>
        <v/>
      </c>
      <c r="H1211" s="10" t="str">
        <f aca="false">IF($B1211="","",SUBSTITUTE(SUBSTITUTE(SUBSTITUTE($B1211,"-","")," ",""),".",""))</f>
        <v/>
      </c>
      <c r="I1211" s="10" t="str">
        <f aca="false">IF($D1211="","",SUBSTITUTE(SUBSTITUTE(SUBSTITUTE($D1211,"-","")," ",""),".",""))</f>
        <v/>
      </c>
      <c r="J1211" s="10" t="str">
        <f aca="false">IF($E1211="","",UPPER(SUBSTITUTE($E1211," ","")))</f>
        <v/>
      </c>
      <c r="K1211" s="10" t="str">
        <f aca="false">IF($A1211="","",$G1211&amp;"|"&amp;$J1211)</f>
        <v/>
      </c>
      <c r="L1211" s="10" t="str">
        <f aca="false">IF($A1211="","",ROW()-2)</f>
        <v/>
      </c>
      <c r="M1211" s="10" t="str">
        <f aca="false">IF($A1211="","",ROW())</f>
        <v/>
      </c>
    </row>
    <row r="1212" customFormat="false" ht="15" hidden="false" customHeight="true" outlineLevel="0" collapsed="false">
      <c r="A1212" s="8"/>
      <c r="B1212" s="8"/>
      <c r="C1212" s="8"/>
      <c r="D1212" s="8"/>
      <c r="E1212" s="8"/>
      <c r="F1212" s="8"/>
      <c r="G1212" s="10" t="str">
        <f aca="false">IF($A1212="","",UPPER(SUBSTITUTE(SUBSTITUTE(SUBSTITUTE(SUBSTITUTE($A1212," ",""),"(주)",""),"주식회사",""),"㈜","")))</f>
        <v/>
      </c>
      <c r="H1212" s="10" t="str">
        <f aca="false">IF($B1212="","",SUBSTITUTE(SUBSTITUTE(SUBSTITUTE($B1212,"-","")," ",""),".",""))</f>
        <v/>
      </c>
      <c r="I1212" s="10" t="str">
        <f aca="false">IF($D1212="","",SUBSTITUTE(SUBSTITUTE(SUBSTITUTE($D1212,"-","")," ",""),".",""))</f>
        <v/>
      </c>
      <c r="J1212" s="10" t="str">
        <f aca="false">IF($E1212="","",UPPER(SUBSTITUTE($E1212," ","")))</f>
        <v/>
      </c>
      <c r="K1212" s="10" t="str">
        <f aca="false">IF($A1212="","",$G1212&amp;"|"&amp;$J1212)</f>
        <v/>
      </c>
      <c r="L1212" s="10" t="str">
        <f aca="false">IF($A1212="","",ROW()-2)</f>
        <v/>
      </c>
      <c r="M1212" s="10" t="str">
        <f aca="false">IF($A1212="","",ROW())</f>
        <v/>
      </c>
    </row>
    <row r="1213" customFormat="false" ht="15" hidden="false" customHeight="true" outlineLevel="0" collapsed="false">
      <c r="A1213" s="8"/>
      <c r="B1213" s="8"/>
      <c r="C1213" s="8"/>
      <c r="D1213" s="8"/>
      <c r="E1213" s="8"/>
      <c r="F1213" s="8"/>
      <c r="G1213" s="10" t="str">
        <f aca="false">IF($A1213="","",UPPER(SUBSTITUTE(SUBSTITUTE(SUBSTITUTE(SUBSTITUTE($A1213," ",""),"(주)",""),"주식회사",""),"㈜","")))</f>
        <v/>
      </c>
      <c r="H1213" s="10" t="str">
        <f aca="false">IF($B1213="","",SUBSTITUTE(SUBSTITUTE(SUBSTITUTE($B1213,"-","")," ",""),".",""))</f>
        <v/>
      </c>
      <c r="I1213" s="10" t="str">
        <f aca="false">IF($D1213="","",SUBSTITUTE(SUBSTITUTE(SUBSTITUTE($D1213,"-","")," ",""),".",""))</f>
        <v/>
      </c>
      <c r="J1213" s="10" t="str">
        <f aca="false">IF($E1213="","",UPPER(SUBSTITUTE($E1213," ","")))</f>
        <v/>
      </c>
      <c r="K1213" s="10" t="str">
        <f aca="false">IF($A1213="","",$G1213&amp;"|"&amp;$J1213)</f>
        <v/>
      </c>
      <c r="L1213" s="10" t="str">
        <f aca="false">IF($A1213="","",ROW()-2)</f>
        <v/>
      </c>
      <c r="M1213" s="10" t="str">
        <f aca="false">IF($A1213="","",ROW())</f>
        <v/>
      </c>
    </row>
    <row r="1214" customFormat="false" ht="15" hidden="false" customHeight="true" outlineLevel="0" collapsed="false">
      <c r="A1214" s="8"/>
      <c r="B1214" s="8"/>
      <c r="C1214" s="8"/>
      <c r="D1214" s="8"/>
      <c r="E1214" s="8"/>
      <c r="F1214" s="8"/>
      <c r="G1214" s="10" t="str">
        <f aca="false">IF($A1214="","",UPPER(SUBSTITUTE(SUBSTITUTE(SUBSTITUTE(SUBSTITUTE($A1214," ",""),"(주)",""),"주식회사",""),"㈜","")))</f>
        <v/>
      </c>
      <c r="H1214" s="10" t="str">
        <f aca="false">IF($B1214="","",SUBSTITUTE(SUBSTITUTE(SUBSTITUTE($B1214,"-","")," ",""),".",""))</f>
        <v/>
      </c>
      <c r="I1214" s="10" t="str">
        <f aca="false">IF($D1214="","",SUBSTITUTE(SUBSTITUTE(SUBSTITUTE($D1214,"-","")," ",""),".",""))</f>
        <v/>
      </c>
      <c r="J1214" s="10" t="str">
        <f aca="false">IF($E1214="","",UPPER(SUBSTITUTE($E1214," ","")))</f>
        <v/>
      </c>
      <c r="K1214" s="10" t="str">
        <f aca="false">IF($A1214="","",$G1214&amp;"|"&amp;$J1214)</f>
        <v/>
      </c>
      <c r="L1214" s="10" t="str">
        <f aca="false">IF($A1214="","",ROW()-2)</f>
        <v/>
      </c>
      <c r="M1214" s="10" t="str">
        <f aca="false">IF($A1214="","",ROW())</f>
        <v/>
      </c>
    </row>
    <row r="1215" customFormat="false" ht="15" hidden="false" customHeight="true" outlineLevel="0" collapsed="false">
      <c r="A1215" s="8"/>
      <c r="B1215" s="8"/>
      <c r="C1215" s="8"/>
      <c r="D1215" s="8"/>
      <c r="E1215" s="8"/>
      <c r="F1215" s="8"/>
      <c r="G1215" s="10" t="str">
        <f aca="false">IF($A1215="","",UPPER(SUBSTITUTE(SUBSTITUTE(SUBSTITUTE(SUBSTITUTE($A1215," ",""),"(주)",""),"주식회사",""),"㈜","")))</f>
        <v/>
      </c>
      <c r="H1215" s="10" t="str">
        <f aca="false">IF($B1215="","",SUBSTITUTE(SUBSTITUTE(SUBSTITUTE($B1215,"-","")," ",""),".",""))</f>
        <v/>
      </c>
      <c r="I1215" s="10" t="str">
        <f aca="false">IF($D1215="","",SUBSTITUTE(SUBSTITUTE(SUBSTITUTE($D1215,"-","")," ",""),".",""))</f>
        <v/>
      </c>
      <c r="J1215" s="10" t="str">
        <f aca="false">IF($E1215="","",UPPER(SUBSTITUTE($E1215," ","")))</f>
        <v/>
      </c>
      <c r="K1215" s="10" t="str">
        <f aca="false">IF($A1215="","",$G1215&amp;"|"&amp;$J1215)</f>
        <v/>
      </c>
      <c r="L1215" s="10" t="str">
        <f aca="false">IF($A1215="","",ROW()-2)</f>
        <v/>
      </c>
      <c r="M1215" s="10" t="str">
        <f aca="false">IF($A1215="","",ROW())</f>
        <v/>
      </c>
    </row>
    <row r="1216" customFormat="false" ht="15" hidden="false" customHeight="true" outlineLevel="0" collapsed="false">
      <c r="A1216" s="8"/>
      <c r="B1216" s="8"/>
      <c r="C1216" s="8"/>
      <c r="D1216" s="8"/>
      <c r="E1216" s="8"/>
      <c r="F1216" s="8"/>
      <c r="G1216" s="10" t="str">
        <f aca="false">IF($A1216="","",UPPER(SUBSTITUTE(SUBSTITUTE(SUBSTITUTE(SUBSTITUTE($A1216," ",""),"(주)",""),"주식회사",""),"㈜","")))</f>
        <v/>
      </c>
      <c r="H1216" s="10" t="str">
        <f aca="false">IF($B1216="","",SUBSTITUTE(SUBSTITUTE(SUBSTITUTE($B1216,"-","")," ",""),".",""))</f>
        <v/>
      </c>
      <c r="I1216" s="10" t="str">
        <f aca="false">IF($D1216="","",SUBSTITUTE(SUBSTITUTE(SUBSTITUTE($D1216,"-","")," ",""),".",""))</f>
        <v/>
      </c>
      <c r="J1216" s="10" t="str">
        <f aca="false">IF($E1216="","",UPPER(SUBSTITUTE($E1216," ","")))</f>
        <v/>
      </c>
      <c r="K1216" s="10" t="str">
        <f aca="false">IF($A1216="","",$G1216&amp;"|"&amp;$J1216)</f>
        <v/>
      </c>
      <c r="L1216" s="10" t="str">
        <f aca="false">IF($A1216="","",ROW()-2)</f>
        <v/>
      </c>
      <c r="M1216" s="10" t="str">
        <f aca="false">IF($A1216="","",ROW())</f>
        <v/>
      </c>
    </row>
    <row r="1217" customFormat="false" ht="15" hidden="false" customHeight="true" outlineLevel="0" collapsed="false">
      <c r="A1217" s="8"/>
      <c r="B1217" s="8"/>
      <c r="C1217" s="8"/>
      <c r="D1217" s="8"/>
      <c r="E1217" s="8"/>
      <c r="F1217" s="8"/>
      <c r="G1217" s="10" t="str">
        <f aca="false">IF($A1217="","",UPPER(SUBSTITUTE(SUBSTITUTE(SUBSTITUTE(SUBSTITUTE($A1217," ",""),"(주)",""),"주식회사",""),"㈜","")))</f>
        <v/>
      </c>
      <c r="H1217" s="10" t="str">
        <f aca="false">IF($B1217="","",SUBSTITUTE(SUBSTITUTE(SUBSTITUTE($B1217,"-","")," ",""),".",""))</f>
        <v/>
      </c>
      <c r="I1217" s="10" t="str">
        <f aca="false">IF($D1217="","",SUBSTITUTE(SUBSTITUTE(SUBSTITUTE($D1217,"-","")," ",""),".",""))</f>
        <v/>
      </c>
      <c r="J1217" s="10" t="str">
        <f aca="false">IF($E1217="","",UPPER(SUBSTITUTE($E1217," ","")))</f>
        <v/>
      </c>
      <c r="K1217" s="10" t="str">
        <f aca="false">IF($A1217="","",$G1217&amp;"|"&amp;$J1217)</f>
        <v/>
      </c>
      <c r="L1217" s="10" t="str">
        <f aca="false">IF($A1217="","",ROW()-2)</f>
        <v/>
      </c>
      <c r="M1217" s="10" t="str">
        <f aca="false">IF($A1217="","",ROW())</f>
        <v/>
      </c>
    </row>
    <row r="1218" customFormat="false" ht="15" hidden="false" customHeight="true" outlineLevel="0" collapsed="false">
      <c r="A1218" s="8"/>
      <c r="B1218" s="8"/>
      <c r="C1218" s="8"/>
      <c r="D1218" s="8"/>
      <c r="E1218" s="8"/>
      <c r="F1218" s="8"/>
      <c r="G1218" s="10" t="str">
        <f aca="false">IF($A1218="","",UPPER(SUBSTITUTE(SUBSTITUTE(SUBSTITUTE(SUBSTITUTE($A1218," ",""),"(주)",""),"주식회사",""),"㈜","")))</f>
        <v/>
      </c>
      <c r="H1218" s="10" t="str">
        <f aca="false">IF($B1218="","",SUBSTITUTE(SUBSTITUTE(SUBSTITUTE($B1218,"-","")," ",""),".",""))</f>
        <v/>
      </c>
      <c r="I1218" s="10" t="str">
        <f aca="false">IF($D1218="","",SUBSTITUTE(SUBSTITUTE(SUBSTITUTE($D1218,"-","")," ",""),".",""))</f>
        <v/>
      </c>
      <c r="J1218" s="10" t="str">
        <f aca="false">IF($E1218="","",UPPER(SUBSTITUTE($E1218," ","")))</f>
        <v/>
      </c>
      <c r="K1218" s="10" t="str">
        <f aca="false">IF($A1218="","",$G1218&amp;"|"&amp;$J1218)</f>
        <v/>
      </c>
      <c r="L1218" s="10" t="str">
        <f aca="false">IF($A1218="","",ROW()-2)</f>
        <v/>
      </c>
      <c r="M1218" s="10" t="str">
        <f aca="false">IF($A1218="","",ROW())</f>
        <v/>
      </c>
    </row>
    <row r="1219" customFormat="false" ht="15" hidden="false" customHeight="true" outlineLevel="0" collapsed="false">
      <c r="A1219" s="8"/>
      <c r="B1219" s="8"/>
      <c r="C1219" s="8"/>
      <c r="D1219" s="8"/>
      <c r="E1219" s="8"/>
      <c r="F1219" s="8"/>
      <c r="G1219" s="10" t="str">
        <f aca="false">IF($A1219="","",UPPER(SUBSTITUTE(SUBSTITUTE(SUBSTITUTE(SUBSTITUTE($A1219," ",""),"(주)",""),"주식회사",""),"㈜","")))</f>
        <v/>
      </c>
      <c r="H1219" s="10" t="str">
        <f aca="false">IF($B1219="","",SUBSTITUTE(SUBSTITUTE(SUBSTITUTE($B1219,"-","")," ",""),".",""))</f>
        <v/>
      </c>
      <c r="I1219" s="10" t="str">
        <f aca="false">IF($D1219="","",SUBSTITUTE(SUBSTITUTE(SUBSTITUTE($D1219,"-","")," ",""),".",""))</f>
        <v/>
      </c>
      <c r="J1219" s="10" t="str">
        <f aca="false">IF($E1219="","",UPPER(SUBSTITUTE($E1219," ","")))</f>
        <v/>
      </c>
      <c r="K1219" s="10" t="str">
        <f aca="false">IF($A1219="","",$G1219&amp;"|"&amp;$J1219)</f>
        <v/>
      </c>
      <c r="L1219" s="10" t="str">
        <f aca="false">IF($A1219="","",ROW()-2)</f>
        <v/>
      </c>
      <c r="M1219" s="10" t="str">
        <f aca="false">IF($A1219="","",ROW())</f>
        <v/>
      </c>
    </row>
    <row r="1220" customFormat="false" ht="15" hidden="false" customHeight="true" outlineLevel="0" collapsed="false">
      <c r="A1220" s="8"/>
      <c r="B1220" s="8"/>
      <c r="C1220" s="8"/>
      <c r="D1220" s="8"/>
      <c r="E1220" s="8"/>
      <c r="F1220" s="8"/>
      <c r="G1220" s="10" t="str">
        <f aca="false">IF($A1220="","",UPPER(SUBSTITUTE(SUBSTITUTE(SUBSTITUTE(SUBSTITUTE($A1220," ",""),"(주)",""),"주식회사",""),"㈜","")))</f>
        <v/>
      </c>
      <c r="H1220" s="10" t="str">
        <f aca="false">IF($B1220="","",SUBSTITUTE(SUBSTITUTE(SUBSTITUTE($B1220,"-","")," ",""),".",""))</f>
        <v/>
      </c>
      <c r="I1220" s="10" t="str">
        <f aca="false">IF($D1220="","",SUBSTITUTE(SUBSTITUTE(SUBSTITUTE($D1220,"-","")," ",""),".",""))</f>
        <v/>
      </c>
      <c r="J1220" s="10" t="str">
        <f aca="false">IF($E1220="","",UPPER(SUBSTITUTE($E1220," ","")))</f>
        <v/>
      </c>
      <c r="K1220" s="10" t="str">
        <f aca="false">IF($A1220="","",$G1220&amp;"|"&amp;$J1220)</f>
        <v/>
      </c>
      <c r="L1220" s="10" t="str">
        <f aca="false">IF($A1220="","",ROW()-2)</f>
        <v/>
      </c>
      <c r="M1220" s="10" t="str">
        <f aca="false">IF($A1220="","",ROW())</f>
        <v/>
      </c>
    </row>
    <row r="1221" customFormat="false" ht="15" hidden="false" customHeight="true" outlineLevel="0" collapsed="false">
      <c r="A1221" s="8"/>
      <c r="B1221" s="8"/>
      <c r="C1221" s="8"/>
      <c r="D1221" s="8"/>
      <c r="E1221" s="8"/>
      <c r="F1221" s="8"/>
      <c r="G1221" s="10" t="str">
        <f aca="false">IF($A1221="","",UPPER(SUBSTITUTE(SUBSTITUTE(SUBSTITUTE(SUBSTITUTE($A1221," ",""),"(주)",""),"주식회사",""),"㈜","")))</f>
        <v/>
      </c>
      <c r="H1221" s="10" t="str">
        <f aca="false">IF($B1221="","",SUBSTITUTE(SUBSTITUTE(SUBSTITUTE($B1221,"-","")," ",""),".",""))</f>
        <v/>
      </c>
      <c r="I1221" s="10" t="str">
        <f aca="false">IF($D1221="","",SUBSTITUTE(SUBSTITUTE(SUBSTITUTE($D1221,"-","")," ",""),".",""))</f>
        <v/>
      </c>
      <c r="J1221" s="10" t="str">
        <f aca="false">IF($E1221="","",UPPER(SUBSTITUTE($E1221," ","")))</f>
        <v/>
      </c>
      <c r="K1221" s="10" t="str">
        <f aca="false">IF($A1221="","",$G1221&amp;"|"&amp;$J1221)</f>
        <v/>
      </c>
      <c r="L1221" s="10" t="str">
        <f aca="false">IF($A1221="","",ROW()-2)</f>
        <v/>
      </c>
      <c r="M1221" s="10" t="str">
        <f aca="false">IF($A1221="","",ROW())</f>
        <v/>
      </c>
    </row>
    <row r="1222" customFormat="false" ht="15" hidden="false" customHeight="true" outlineLevel="0" collapsed="false">
      <c r="A1222" s="8"/>
      <c r="B1222" s="8"/>
      <c r="C1222" s="8"/>
      <c r="D1222" s="8"/>
      <c r="E1222" s="8"/>
      <c r="F1222" s="8"/>
      <c r="G1222" s="10" t="str">
        <f aca="false">IF($A1222="","",UPPER(SUBSTITUTE(SUBSTITUTE(SUBSTITUTE(SUBSTITUTE($A1222," ",""),"(주)",""),"주식회사",""),"㈜","")))</f>
        <v/>
      </c>
      <c r="H1222" s="10" t="str">
        <f aca="false">IF($B1222="","",SUBSTITUTE(SUBSTITUTE(SUBSTITUTE($B1222,"-","")," ",""),".",""))</f>
        <v/>
      </c>
      <c r="I1222" s="10" t="str">
        <f aca="false">IF($D1222="","",SUBSTITUTE(SUBSTITUTE(SUBSTITUTE($D1222,"-","")," ",""),".",""))</f>
        <v/>
      </c>
      <c r="J1222" s="10" t="str">
        <f aca="false">IF($E1222="","",UPPER(SUBSTITUTE($E1222," ","")))</f>
        <v/>
      </c>
      <c r="K1222" s="10" t="str">
        <f aca="false">IF($A1222="","",$G1222&amp;"|"&amp;$J1222)</f>
        <v/>
      </c>
      <c r="L1222" s="10" t="str">
        <f aca="false">IF($A1222="","",ROW()-2)</f>
        <v/>
      </c>
      <c r="M1222" s="10" t="str">
        <f aca="false">IF($A1222="","",ROW())</f>
        <v/>
      </c>
    </row>
    <row r="1223" customFormat="false" ht="15" hidden="false" customHeight="true" outlineLevel="0" collapsed="false">
      <c r="A1223" s="8"/>
      <c r="B1223" s="8"/>
      <c r="C1223" s="8"/>
      <c r="D1223" s="8"/>
      <c r="E1223" s="8"/>
      <c r="F1223" s="8"/>
      <c r="G1223" s="10" t="str">
        <f aca="false">IF($A1223="","",UPPER(SUBSTITUTE(SUBSTITUTE(SUBSTITUTE(SUBSTITUTE($A1223," ",""),"(주)",""),"주식회사",""),"㈜","")))</f>
        <v/>
      </c>
      <c r="H1223" s="10" t="str">
        <f aca="false">IF($B1223="","",SUBSTITUTE(SUBSTITUTE(SUBSTITUTE($B1223,"-","")," ",""),".",""))</f>
        <v/>
      </c>
      <c r="I1223" s="10" t="str">
        <f aca="false">IF($D1223="","",SUBSTITUTE(SUBSTITUTE(SUBSTITUTE($D1223,"-","")," ",""),".",""))</f>
        <v/>
      </c>
      <c r="J1223" s="10" t="str">
        <f aca="false">IF($E1223="","",UPPER(SUBSTITUTE($E1223," ","")))</f>
        <v/>
      </c>
      <c r="K1223" s="10" t="str">
        <f aca="false">IF($A1223="","",$G1223&amp;"|"&amp;$J1223)</f>
        <v/>
      </c>
      <c r="L1223" s="10" t="str">
        <f aca="false">IF($A1223="","",ROW()-2)</f>
        <v/>
      </c>
      <c r="M1223" s="10" t="str">
        <f aca="false">IF($A1223="","",ROW())</f>
        <v/>
      </c>
    </row>
    <row r="1224" customFormat="false" ht="15" hidden="false" customHeight="true" outlineLevel="0" collapsed="false">
      <c r="A1224" s="8"/>
      <c r="B1224" s="8"/>
      <c r="C1224" s="8"/>
      <c r="D1224" s="8"/>
      <c r="E1224" s="8"/>
      <c r="F1224" s="8"/>
      <c r="G1224" s="10" t="str">
        <f aca="false">IF($A1224="","",UPPER(SUBSTITUTE(SUBSTITUTE(SUBSTITUTE(SUBSTITUTE($A1224," ",""),"(주)",""),"주식회사",""),"㈜","")))</f>
        <v/>
      </c>
      <c r="H1224" s="10" t="str">
        <f aca="false">IF($B1224="","",SUBSTITUTE(SUBSTITUTE(SUBSTITUTE($B1224,"-","")," ",""),".",""))</f>
        <v/>
      </c>
      <c r="I1224" s="10" t="str">
        <f aca="false">IF($D1224="","",SUBSTITUTE(SUBSTITUTE(SUBSTITUTE($D1224,"-","")," ",""),".",""))</f>
        <v/>
      </c>
      <c r="J1224" s="10" t="str">
        <f aca="false">IF($E1224="","",UPPER(SUBSTITUTE($E1224," ","")))</f>
        <v/>
      </c>
      <c r="K1224" s="10" t="str">
        <f aca="false">IF($A1224="","",$G1224&amp;"|"&amp;$J1224)</f>
        <v/>
      </c>
      <c r="L1224" s="10" t="str">
        <f aca="false">IF($A1224="","",ROW()-2)</f>
        <v/>
      </c>
      <c r="M1224" s="10" t="str">
        <f aca="false">IF($A1224="","",ROW())</f>
        <v/>
      </c>
    </row>
    <row r="1225" customFormat="false" ht="15" hidden="false" customHeight="true" outlineLevel="0" collapsed="false">
      <c r="A1225" s="8"/>
      <c r="B1225" s="8"/>
      <c r="C1225" s="8"/>
      <c r="D1225" s="8"/>
      <c r="E1225" s="8"/>
      <c r="F1225" s="8"/>
      <c r="G1225" s="10" t="str">
        <f aca="false">IF($A1225="","",UPPER(SUBSTITUTE(SUBSTITUTE(SUBSTITUTE(SUBSTITUTE($A1225," ",""),"(주)",""),"주식회사",""),"㈜","")))</f>
        <v/>
      </c>
      <c r="H1225" s="10" t="str">
        <f aca="false">IF($B1225="","",SUBSTITUTE(SUBSTITUTE(SUBSTITUTE($B1225,"-","")," ",""),".",""))</f>
        <v/>
      </c>
      <c r="I1225" s="10" t="str">
        <f aca="false">IF($D1225="","",SUBSTITUTE(SUBSTITUTE(SUBSTITUTE($D1225,"-","")," ",""),".",""))</f>
        <v/>
      </c>
      <c r="J1225" s="10" t="str">
        <f aca="false">IF($E1225="","",UPPER(SUBSTITUTE($E1225," ","")))</f>
        <v/>
      </c>
      <c r="K1225" s="10" t="str">
        <f aca="false">IF($A1225="","",$G1225&amp;"|"&amp;$J1225)</f>
        <v/>
      </c>
      <c r="L1225" s="10" t="str">
        <f aca="false">IF($A1225="","",ROW()-2)</f>
        <v/>
      </c>
      <c r="M1225" s="10" t="str">
        <f aca="false">IF($A1225="","",ROW())</f>
        <v/>
      </c>
    </row>
    <row r="1226" customFormat="false" ht="15" hidden="false" customHeight="true" outlineLevel="0" collapsed="false">
      <c r="A1226" s="8"/>
      <c r="B1226" s="8"/>
      <c r="C1226" s="8"/>
      <c r="D1226" s="8"/>
      <c r="E1226" s="8"/>
      <c r="F1226" s="8"/>
      <c r="G1226" s="10" t="str">
        <f aca="false">IF($A1226="","",UPPER(SUBSTITUTE(SUBSTITUTE(SUBSTITUTE(SUBSTITUTE($A1226," ",""),"(주)",""),"주식회사",""),"㈜","")))</f>
        <v/>
      </c>
      <c r="H1226" s="10" t="str">
        <f aca="false">IF($B1226="","",SUBSTITUTE(SUBSTITUTE(SUBSTITUTE($B1226,"-","")," ",""),".",""))</f>
        <v/>
      </c>
      <c r="I1226" s="10" t="str">
        <f aca="false">IF($D1226="","",SUBSTITUTE(SUBSTITUTE(SUBSTITUTE($D1226,"-","")," ",""),".",""))</f>
        <v/>
      </c>
      <c r="J1226" s="10" t="str">
        <f aca="false">IF($E1226="","",UPPER(SUBSTITUTE($E1226," ","")))</f>
        <v/>
      </c>
      <c r="K1226" s="10" t="str">
        <f aca="false">IF($A1226="","",$G1226&amp;"|"&amp;$J1226)</f>
        <v/>
      </c>
      <c r="L1226" s="10" t="str">
        <f aca="false">IF($A1226="","",ROW()-2)</f>
        <v/>
      </c>
      <c r="M1226" s="10" t="str">
        <f aca="false">IF($A1226="","",ROW())</f>
        <v/>
      </c>
    </row>
    <row r="1227" customFormat="false" ht="15" hidden="false" customHeight="true" outlineLevel="0" collapsed="false">
      <c r="A1227" s="8"/>
      <c r="B1227" s="8"/>
      <c r="C1227" s="8"/>
      <c r="D1227" s="8"/>
      <c r="E1227" s="8"/>
      <c r="F1227" s="8"/>
      <c r="G1227" s="10" t="str">
        <f aca="false">IF($A1227="","",UPPER(SUBSTITUTE(SUBSTITUTE(SUBSTITUTE(SUBSTITUTE($A1227," ",""),"(주)",""),"주식회사",""),"㈜","")))</f>
        <v/>
      </c>
      <c r="H1227" s="10" t="str">
        <f aca="false">IF($B1227="","",SUBSTITUTE(SUBSTITUTE(SUBSTITUTE($B1227,"-","")," ",""),".",""))</f>
        <v/>
      </c>
      <c r="I1227" s="10" t="str">
        <f aca="false">IF($D1227="","",SUBSTITUTE(SUBSTITUTE(SUBSTITUTE($D1227,"-","")," ",""),".",""))</f>
        <v/>
      </c>
      <c r="J1227" s="10" t="str">
        <f aca="false">IF($E1227="","",UPPER(SUBSTITUTE($E1227," ","")))</f>
        <v/>
      </c>
      <c r="K1227" s="10" t="str">
        <f aca="false">IF($A1227="","",$G1227&amp;"|"&amp;$J1227)</f>
        <v/>
      </c>
      <c r="L1227" s="10" t="str">
        <f aca="false">IF($A1227="","",ROW()-2)</f>
        <v/>
      </c>
      <c r="M1227" s="10" t="str">
        <f aca="false">IF($A1227="","",ROW())</f>
        <v/>
      </c>
    </row>
    <row r="1228" customFormat="false" ht="15" hidden="false" customHeight="true" outlineLevel="0" collapsed="false">
      <c r="A1228" s="8"/>
      <c r="B1228" s="8"/>
      <c r="C1228" s="8"/>
      <c r="D1228" s="8"/>
      <c r="E1228" s="8"/>
      <c r="F1228" s="8"/>
      <c r="G1228" s="10" t="str">
        <f aca="false">IF($A1228="","",UPPER(SUBSTITUTE(SUBSTITUTE(SUBSTITUTE(SUBSTITUTE($A1228," ",""),"(주)",""),"주식회사",""),"㈜","")))</f>
        <v/>
      </c>
      <c r="H1228" s="10" t="str">
        <f aca="false">IF($B1228="","",SUBSTITUTE(SUBSTITUTE(SUBSTITUTE($B1228,"-","")," ",""),".",""))</f>
        <v/>
      </c>
      <c r="I1228" s="10" t="str">
        <f aca="false">IF($D1228="","",SUBSTITUTE(SUBSTITUTE(SUBSTITUTE($D1228,"-","")," ",""),".",""))</f>
        <v/>
      </c>
      <c r="J1228" s="10" t="str">
        <f aca="false">IF($E1228="","",UPPER(SUBSTITUTE($E1228," ","")))</f>
        <v/>
      </c>
      <c r="K1228" s="10" t="str">
        <f aca="false">IF($A1228="","",$G1228&amp;"|"&amp;$J1228)</f>
        <v/>
      </c>
      <c r="L1228" s="10" t="str">
        <f aca="false">IF($A1228="","",ROW()-2)</f>
        <v/>
      </c>
      <c r="M1228" s="10" t="str">
        <f aca="false">IF($A1228="","",ROW())</f>
        <v/>
      </c>
    </row>
    <row r="1229" customFormat="false" ht="15" hidden="false" customHeight="true" outlineLevel="0" collapsed="false">
      <c r="A1229" s="8"/>
      <c r="B1229" s="8"/>
      <c r="C1229" s="8"/>
      <c r="D1229" s="8"/>
      <c r="E1229" s="8"/>
      <c r="F1229" s="8"/>
      <c r="G1229" s="10" t="str">
        <f aca="false">IF($A1229="","",UPPER(SUBSTITUTE(SUBSTITUTE(SUBSTITUTE(SUBSTITUTE($A1229," ",""),"(주)",""),"주식회사",""),"㈜","")))</f>
        <v/>
      </c>
      <c r="H1229" s="10" t="str">
        <f aca="false">IF($B1229="","",SUBSTITUTE(SUBSTITUTE(SUBSTITUTE($B1229,"-","")," ",""),".",""))</f>
        <v/>
      </c>
      <c r="I1229" s="10" t="str">
        <f aca="false">IF($D1229="","",SUBSTITUTE(SUBSTITUTE(SUBSTITUTE($D1229,"-","")," ",""),".",""))</f>
        <v/>
      </c>
      <c r="J1229" s="10" t="str">
        <f aca="false">IF($E1229="","",UPPER(SUBSTITUTE($E1229," ","")))</f>
        <v/>
      </c>
      <c r="K1229" s="10" t="str">
        <f aca="false">IF($A1229="","",$G1229&amp;"|"&amp;$J1229)</f>
        <v/>
      </c>
      <c r="L1229" s="10" t="str">
        <f aca="false">IF($A1229="","",ROW()-2)</f>
        <v/>
      </c>
      <c r="M1229" s="10" t="str">
        <f aca="false">IF($A1229="","",ROW())</f>
        <v/>
      </c>
    </row>
    <row r="1230" customFormat="false" ht="15" hidden="false" customHeight="true" outlineLevel="0" collapsed="false">
      <c r="A1230" s="8"/>
      <c r="B1230" s="8"/>
      <c r="C1230" s="8"/>
      <c r="D1230" s="8"/>
      <c r="E1230" s="8"/>
      <c r="F1230" s="8"/>
      <c r="G1230" s="10" t="str">
        <f aca="false">IF($A1230="","",UPPER(SUBSTITUTE(SUBSTITUTE(SUBSTITUTE(SUBSTITUTE($A1230," ",""),"(주)",""),"주식회사",""),"㈜","")))</f>
        <v/>
      </c>
      <c r="H1230" s="10" t="str">
        <f aca="false">IF($B1230="","",SUBSTITUTE(SUBSTITUTE(SUBSTITUTE($B1230,"-","")," ",""),".",""))</f>
        <v/>
      </c>
      <c r="I1230" s="10" t="str">
        <f aca="false">IF($D1230="","",SUBSTITUTE(SUBSTITUTE(SUBSTITUTE($D1230,"-","")," ",""),".",""))</f>
        <v/>
      </c>
      <c r="J1230" s="10" t="str">
        <f aca="false">IF($E1230="","",UPPER(SUBSTITUTE($E1230," ","")))</f>
        <v/>
      </c>
      <c r="K1230" s="10" t="str">
        <f aca="false">IF($A1230="","",$G1230&amp;"|"&amp;$J1230)</f>
        <v/>
      </c>
      <c r="L1230" s="10" t="str">
        <f aca="false">IF($A1230="","",ROW()-2)</f>
        <v/>
      </c>
      <c r="M1230" s="10" t="str">
        <f aca="false">IF($A1230="","",ROW())</f>
        <v/>
      </c>
    </row>
    <row r="1231" customFormat="false" ht="15" hidden="false" customHeight="true" outlineLevel="0" collapsed="false">
      <c r="A1231" s="8"/>
      <c r="B1231" s="8"/>
      <c r="C1231" s="8"/>
      <c r="D1231" s="8"/>
      <c r="E1231" s="8"/>
      <c r="F1231" s="8"/>
      <c r="G1231" s="10" t="str">
        <f aca="false">IF($A1231="","",UPPER(SUBSTITUTE(SUBSTITUTE(SUBSTITUTE(SUBSTITUTE($A1231," ",""),"(주)",""),"주식회사",""),"㈜","")))</f>
        <v/>
      </c>
      <c r="H1231" s="10" t="str">
        <f aca="false">IF($B1231="","",SUBSTITUTE(SUBSTITUTE(SUBSTITUTE($B1231,"-","")," ",""),".",""))</f>
        <v/>
      </c>
      <c r="I1231" s="10" t="str">
        <f aca="false">IF($D1231="","",SUBSTITUTE(SUBSTITUTE(SUBSTITUTE($D1231,"-","")," ",""),".",""))</f>
        <v/>
      </c>
      <c r="J1231" s="10" t="str">
        <f aca="false">IF($E1231="","",UPPER(SUBSTITUTE($E1231," ","")))</f>
        <v/>
      </c>
      <c r="K1231" s="10" t="str">
        <f aca="false">IF($A1231="","",$G1231&amp;"|"&amp;$J1231)</f>
        <v/>
      </c>
      <c r="L1231" s="10" t="str">
        <f aca="false">IF($A1231="","",ROW()-2)</f>
        <v/>
      </c>
      <c r="M1231" s="10" t="str">
        <f aca="false">IF($A1231="","",ROW())</f>
        <v/>
      </c>
    </row>
    <row r="1232" customFormat="false" ht="15" hidden="false" customHeight="true" outlineLevel="0" collapsed="false">
      <c r="A1232" s="8"/>
      <c r="B1232" s="8"/>
      <c r="C1232" s="8"/>
      <c r="D1232" s="8"/>
      <c r="E1232" s="8"/>
      <c r="F1232" s="8"/>
      <c r="G1232" s="10" t="str">
        <f aca="false">IF($A1232="","",UPPER(SUBSTITUTE(SUBSTITUTE(SUBSTITUTE(SUBSTITUTE($A1232," ",""),"(주)",""),"주식회사",""),"㈜","")))</f>
        <v/>
      </c>
      <c r="H1232" s="10" t="str">
        <f aca="false">IF($B1232="","",SUBSTITUTE(SUBSTITUTE(SUBSTITUTE($B1232,"-","")," ",""),".",""))</f>
        <v/>
      </c>
      <c r="I1232" s="10" t="str">
        <f aca="false">IF($D1232="","",SUBSTITUTE(SUBSTITUTE(SUBSTITUTE($D1232,"-","")," ",""),".",""))</f>
        <v/>
      </c>
      <c r="J1232" s="10" t="str">
        <f aca="false">IF($E1232="","",UPPER(SUBSTITUTE($E1232," ","")))</f>
        <v/>
      </c>
      <c r="K1232" s="10" t="str">
        <f aca="false">IF($A1232="","",$G1232&amp;"|"&amp;$J1232)</f>
        <v/>
      </c>
      <c r="L1232" s="10" t="str">
        <f aca="false">IF($A1232="","",ROW()-2)</f>
        <v/>
      </c>
      <c r="M1232" s="10" t="str">
        <f aca="false">IF($A1232="","",ROW())</f>
        <v/>
      </c>
    </row>
    <row r="1233" customFormat="false" ht="15" hidden="false" customHeight="true" outlineLevel="0" collapsed="false">
      <c r="A1233" s="8"/>
      <c r="B1233" s="8"/>
      <c r="C1233" s="8"/>
      <c r="D1233" s="8"/>
      <c r="E1233" s="8"/>
      <c r="F1233" s="8"/>
      <c r="G1233" s="10" t="str">
        <f aca="false">IF($A1233="","",UPPER(SUBSTITUTE(SUBSTITUTE(SUBSTITUTE(SUBSTITUTE($A1233," ",""),"(주)",""),"주식회사",""),"㈜","")))</f>
        <v/>
      </c>
      <c r="H1233" s="10" t="str">
        <f aca="false">IF($B1233="","",SUBSTITUTE(SUBSTITUTE(SUBSTITUTE($B1233,"-","")," ",""),".",""))</f>
        <v/>
      </c>
      <c r="I1233" s="10" t="str">
        <f aca="false">IF($D1233="","",SUBSTITUTE(SUBSTITUTE(SUBSTITUTE($D1233,"-","")," ",""),".",""))</f>
        <v/>
      </c>
      <c r="J1233" s="10" t="str">
        <f aca="false">IF($E1233="","",UPPER(SUBSTITUTE($E1233," ","")))</f>
        <v/>
      </c>
      <c r="K1233" s="10" t="str">
        <f aca="false">IF($A1233="","",$G1233&amp;"|"&amp;$J1233)</f>
        <v/>
      </c>
      <c r="L1233" s="10" t="str">
        <f aca="false">IF($A1233="","",ROW()-2)</f>
        <v/>
      </c>
      <c r="M1233" s="10" t="str">
        <f aca="false">IF($A1233="","",ROW())</f>
        <v/>
      </c>
    </row>
    <row r="1234" customFormat="false" ht="15" hidden="false" customHeight="true" outlineLevel="0" collapsed="false">
      <c r="A1234" s="8"/>
      <c r="B1234" s="8"/>
      <c r="C1234" s="8"/>
      <c r="D1234" s="8"/>
      <c r="E1234" s="8"/>
      <c r="F1234" s="8"/>
      <c r="G1234" s="10" t="str">
        <f aca="false">IF($A1234="","",UPPER(SUBSTITUTE(SUBSTITUTE(SUBSTITUTE(SUBSTITUTE($A1234," ",""),"(주)",""),"주식회사",""),"㈜","")))</f>
        <v/>
      </c>
      <c r="H1234" s="10" t="str">
        <f aca="false">IF($B1234="","",SUBSTITUTE(SUBSTITUTE(SUBSTITUTE($B1234,"-","")," ",""),".",""))</f>
        <v/>
      </c>
      <c r="I1234" s="10" t="str">
        <f aca="false">IF($D1234="","",SUBSTITUTE(SUBSTITUTE(SUBSTITUTE($D1234,"-","")," ",""),".",""))</f>
        <v/>
      </c>
      <c r="J1234" s="10" t="str">
        <f aca="false">IF($E1234="","",UPPER(SUBSTITUTE($E1234," ","")))</f>
        <v/>
      </c>
      <c r="K1234" s="10" t="str">
        <f aca="false">IF($A1234="","",$G1234&amp;"|"&amp;$J1234)</f>
        <v/>
      </c>
      <c r="L1234" s="10" t="str">
        <f aca="false">IF($A1234="","",ROW()-2)</f>
        <v/>
      </c>
      <c r="M1234" s="10" t="str">
        <f aca="false">IF($A1234="","",ROW())</f>
        <v/>
      </c>
    </row>
    <row r="1235" customFormat="false" ht="15" hidden="false" customHeight="true" outlineLevel="0" collapsed="false">
      <c r="A1235" s="8"/>
      <c r="B1235" s="8"/>
      <c r="C1235" s="8"/>
      <c r="D1235" s="8"/>
      <c r="E1235" s="8"/>
      <c r="F1235" s="8"/>
      <c r="G1235" s="10" t="str">
        <f aca="false">IF($A1235="","",UPPER(SUBSTITUTE(SUBSTITUTE(SUBSTITUTE(SUBSTITUTE($A1235," ",""),"(주)",""),"주식회사",""),"㈜","")))</f>
        <v/>
      </c>
      <c r="H1235" s="10" t="str">
        <f aca="false">IF($B1235="","",SUBSTITUTE(SUBSTITUTE(SUBSTITUTE($B1235,"-","")," ",""),".",""))</f>
        <v/>
      </c>
      <c r="I1235" s="10" t="str">
        <f aca="false">IF($D1235="","",SUBSTITUTE(SUBSTITUTE(SUBSTITUTE($D1235,"-","")," ",""),".",""))</f>
        <v/>
      </c>
      <c r="J1235" s="10" t="str">
        <f aca="false">IF($E1235="","",UPPER(SUBSTITUTE($E1235," ","")))</f>
        <v/>
      </c>
      <c r="K1235" s="10" t="str">
        <f aca="false">IF($A1235="","",$G1235&amp;"|"&amp;$J1235)</f>
        <v/>
      </c>
      <c r="L1235" s="10" t="str">
        <f aca="false">IF($A1235="","",ROW()-2)</f>
        <v/>
      </c>
      <c r="M1235" s="10" t="str">
        <f aca="false">IF($A1235="","",ROW())</f>
        <v/>
      </c>
    </row>
    <row r="1236" customFormat="false" ht="15" hidden="false" customHeight="true" outlineLevel="0" collapsed="false">
      <c r="A1236" s="8"/>
      <c r="B1236" s="8"/>
      <c r="C1236" s="8"/>
      <c r="D1236" s="8"/>
      <c r="E1236" s="8"/>
      <c r="F1236" s="8"/>
      <c r="G1236" s="10" t="str">
        <f aca="false">IF($A1236="","",UPPER(SUBSTITUTE(SUBSTITUTE(SUBSTITUTE(SUBSTITUTE($A1236," ",""),"(주)",""),"주식회사",""),"㈜","")))</f>
        <v/>
      </c>
      <c r="H1236" s="10" t="str">
        <f aca="false">IF($B1236="","",SUBSTITUTE(SUBSTITUTE(SUBSTITUTE($B1236,"-","")," ",""),".",""))</f>
        <v/>
      </c>
      <c r="I1236" s="10" t="str">
        <f aca="false">IF($D1236="","",SUBSTITUTE(SUBSTITUTE(SUBSTITUTE($D1236,"-","")," ",""),".",""))</f>
        <v/>
      </c>
      <c r="J1236" s="10" t="str">
        <f aca="false">IF($E1236="","",UPPER(SUBSTITUTE($E1236," ","")))</f>
        <v/>
      </c>
      <c r="K1236" s="10" t="str">
        <f aca="false">IF($A1236="","",$G1236&amp;"|"&amp;$J1236)</f>
        <v/>
      </c>
      <c r="L1236" s="10" t="str">
        <f aca="false">IF($A1236="","",ROW()-2)</f>
        <v/>
      </c>
      <c r="M1236" s="10" t="str">
        <f aca="false">IF($A1236="","",ROW())</f>
        <v/>
      </c>
    </row>
    <row r="1237" customFormat="false" ht="15" hidden="false" customHeight="true" outlineLevel="0" collapsed="false">
      <c r="A1237" s="8"/>
      <c r="B1237" s="8"/>
      <c r="C1237" s="8"/>
      <c r="D1237" s="8"/>
      <c r="E1237" s="8"/>
      <c r="F1237" s="8"/>
      <c r="G1237" s="10" t="str">
        <f aca="false">IF($A1237="","",UPPER(SUBSTITUTE(SUBSTITUTE(SUBSTITUTE(SUBSTITUTE($A1237," ",""),"(주)",""),"주식회사",""),"㈜","")))</f>
        <v/>
      </c>
      <c r="H1237" s="10" t="str">
        <f aca="false">IF($B1237="","",SUBSTITUTE(SUBSTITUTE(SUBSTITUTE($B1237,"-","")," ",""),".",""))</f>
        <v/>
      </c>
      <c r="I1237" s="10" t="str">
        <f aca="false">IF($D1237="","",SUBSTITUTE(SUBSTITUTE(SUBSTITUTE($D1237,"-","")," ",""),".",""))</f>
        <v/>
      </c>
      <c r="J1237" s="10" t="str">
        <f aca="false">IF($E1237="","",UPPER(SUBSTITUTE($E1237," ","")))</f>
        <v/>
      </c>
      <c r="K1237" s="10" t="str">
        <f aca="false">IF($A1237="","",$G1237&amp;"|"&amp;$J1237)</f>
        <v/>
      </c>
      <c r="L1237" s="10" t="str">
        <f aca="false">IF($A1237="","",ROW()-2)</f>
        <v/>
      </c>
      <c r="M1237" s="10" t="str">
        <f aca="false">IF($A1237="","",ROW())</f>
        <v/>
      </c>
    </row>
    <row r="1238" customFormat="false" ht="15" hidden="false" customHeight="true" outlineLevel="0" collapsed="false">
      <c r="A1238" s="8"/>
      <c r="B1238" s="8"/>
      <c r="C1238" s="8"/>
      <c r="D1238" s="8"/>
      <c r="E1238" s="8"/>
      <c r="F1238" s="8"/>
      <c r="G1238" s="10" t="str">
        <f aca="false">IF($A1238="","",UPPER(SUBSTITUTE(SUBSTITUTE(SUBSTITUTE(SUBSTITUTE($A1238," ",""),"(주)",""),"주식회사",""),"㈜","")))</f>
        <v/>
      </c>
      <c r="H1238" s="10" t="str">
        <f aca="false">IF($B1238="","",SUBSTITUTE(SUBSTITUTE(SUBSTITUTE($B1238,"-","")," ",""),".",""))</f>
        <v/>
      </c>
      <c r="I1238" s="10" t="str">
        <f aca="false">IF($D1238="","",SUBSTITUTE(SUBSTITUTE(SUBSTITUTE($D1238,"-","")," ",""),".",""))</f>
        <v/>
      </c>
      <c r="J1238" s="10" t="str">
        <f aca="false">IF($E1238="","",UPPER(SUBSTITUTE($E1238," ","")))</f>
        <v/>
      </c>
      <c r="K1238" s="10" t="str">
        <f aca="false">IF($A1238="","",$G1238&amp;"|"&amp;$J1238)</f>
        <v/>
      </c>
      <c r="L1238" s="10" t="str">
        <f aca="false">IF($A1238="","",ROW()-2)</f>
        <v/>
      </c>
      <c r="M1238" s="10" t="str">
        <f aca="false">IF($A1238="","",ROW())</f>
        <v/>
      </c>
    </row>
    <row r="1239" customFormat="false" ht="15" hidden="false" customHeight="true" outlineLevel="0" collapsed="false">
      <c r="A1239" s="8"/>
      <c r="B1239" s="8"/>
      <c r="C1239" s="8"/>
      <c r="D1239" s="8"/>
      <c r="E1239" s="8"/>
      <c r="F1239" s="8"/>
      <c r="G1239" s="10" t="str">
        <f aca="false">IF($A1239="","",UPPER(SUBSTITUTE(SUBSTITUTE(SUBSTITUTE(SUBSTITUTE($A1239," ",""),"(주)",""),"주식회사",""),"㈜","")))</f>
        <v/>
      </c>
      <c r="H1239" s="10" t="str">
        <f aca="false">IF($B1239="","",SUBSTITUTE(SUBSTITUTE(SUBSTITUTE($B1239,"-","")," ",""),".",""))</f>
        <v/>
      </c>
      <c r="I1239" s="10" t="str">
        <f aca="false">IF($D1239="","",SUBSTITUTE(SUBSTITUTE(SUBSTITUTE($D1239,"-","")," ",""),".",""))</f>
        <v/>
      </c>
      <c r="J1239" s="10" t="str">
        <f aca="false">IF($E1239="","",UPPER(SUBSTITUTE($E1239," ","")))</f>
        <v/>
      </c>
      <c r="K1239" s="10" t="str">
        <f aca="false">IF($A1239="","",$G1239&amp;"|"&amp;$J1239)</f>
        <v/>
      </c>
      <c r="L1239" s="10" t="str">
        <f aca="false">IF($A1239="","",ROW()-2)</f>
        <v/>
      </c>
      <c r="M1239" s="10" t="str">
        <f aca="false">IF($A1239="","",ROW())</f>
        <v/>
      </c>
    </row>
    <row r="1240" customFormat="false" ht="15" hidden="false" customHeight="true" outlineLevel="0" collapsed="false">
      <c r="A1240" s="8"/>
      <c r="B1240" s="8"/>
      <c r="C1240" s="8"/>
      <c r="D1240" s="8"/>
      <c r="E1240" s="8"/>
      <c r="F1240" s="8"/>
      <c r="G1240" s="10" t="str">
        <f aca="false">IF($A1240="","",UPPER(SUBSTITUTE(SUBSTITUTE(SUBSTITUTE(SUBSTITUTE($A1240," ",""),"(주)",""),"주식회사",""),"㈜","")))</f>
        <v/>
      </c>
      <c r="H1240" s="10" t="str">
        <f aca="false">IF($B1240="","",SUBSTITUTE(SUBSTITUTE(SUBSTITUTE($B1240,"-","")," ",""),".",""))</f>
        <v/>
      </c>
      <c r="I1240" s="10" t="str">
        <f aca="false">IF($D1240="","",SUBSTITUTE(SUBSTITUTE(SUBSTITUTE($D1240,"-","")," ",""),".",""))</f>
        <v/>
      </c>
      <c r="J1240" s="10" t="str">
        <f aca="false">IF($E1240="","",UPPER(SUBSTITUTE($E1240," ","")))</f>
        <v/>
      </c>
      <c r="K1240" s="10" t="str">
        <f aca="false">IF($A1240="","",$G1240&amp;"|"&amp;$J1240)</f>
        <v/>
      </c>
      <c r="L1240" s="10" t="str">
        <f aca="false">IF($A1240="","",ROW()-2)</f>
        <v/>
      </c>
      <c r="M1240" s="10" t="str">
        <f aca="false">IF($A1240="","",ROW())</f>
        <v/>
      </c>
    </row>
    <row r="1241" customFormat="false" ht="15" hidden="false" customHeight="true" outlineLevel="0" collapsed="false">
      <c r="A1241" s="8"/>
      <c r="B1241" s="8"/>
      <c r="C1241" s="8"/>
      <c r="D1241" s="8"/>
      <c r="E1241" s="8"/>
      <c r="F1241" s="8"/>
      <c r="G1241" s="10" t="str">
        <f aca="false">IF($A1241="","",UPPER(SUBSTITUTE(SUBSTITUTE(SUBSTITUTE(SUBSTITUTE($A1241," ",""),"(주)",""),"주식회사",""),"㈜","")))</f>
        <v/>
      </c>
      <c r="H1241" s="10" t="str">
        <f aca="false">IF($B1241="","",SUBSTITUTE(SUBSTITUTE(SUBSTITUTE($B1241,"-","")," ",""),".",""))</f>
        <v/>
      </c>
      <c r="I1241" s="10" t="str">
        <f aca="false">IF($D1241="","",SUBSTITUTE(SUBSTITUTE(SUBSTITUTE($D1241,"-","")," ",""),".",""))</f>
        <v/>
      </c>
      <c r="J1241" s="10" t="str">
        <f aca="false">IF($E1241="","",UPPER(SUBSTITUTE($E1241," ","")))</f>
        <v/>
      </c>
      <c r="K1241" s="10" t="str">
        <f aca="false">IF($A1241="","",$G1241&amp;"|"&amp;$J1241)</f>
        <v/>
      </c>
      <c r="L1241" s="10" t="str">
        <f aca="false">IF($A1241="","",ROW()-2)</f>
        <v/>
      </c>
      <c r="M1241" s="10" t="str">
        <f aca="false">IF($A1241="","",ROW())</f>
        <v/>
      </c>
    </row>
    <row r="1242" customFormat="false" ht="15" hidden="false" customHeight="true" outlineLevel="0" collapsed="false">
      <c r="A1242" s="8"/>
      <c r="B1242" s="8"/>
      <c r="C1242" s="8"/>
      <c r="D1242" s="8"/>
      <c r="E1242" s="8"/>
      <c r="F1242" s="8"/>
      <c r="G1242" s="10" t="str">
        <f aca="false">IF($A1242="","",UPPER(SUBSTITUTE(SUBSTITUTE(SUBSTITUTE(SUBSTITUTE($A1242," ",""),"(주)",""),"주식회사",""),"㈜","")))</f>
        <v/>
      </c>
      <c r="H1242" s="10" t="str">
        <f aca="false">IF($B1242="","",SUBSTITUTE(SUBSTITUTE(SUBSTITUTE($B1242,"-","")," ",""),".",""))</f>
        <v/>
      </c>
      <c r="I1242" s="10" t="str">
        <f aca="false">IF($D1242="","",SUBSTITUTE(SUBSTITUTE(SUBSTITUTE($D1242,"-","")," ",""),".",""))</f>
        <v/>
      </c>
      <c r="J1242" s="10" t="str">
        <f aca="false">IF($E1242="","",UPPER(SUBSTITUTE($E1242," ","")))</f>
        <v/>
      </c>
      <c r="K1242" s="10" t="str">
        <f aca="false">IF($A1242="","",$G1242&amp;"|"&amp;$J1242)</f>
        <v/>
      </c>
      <c r="L1242" s="10" t="str">
        <f aca="false">IF($A1242="","",ROW()-2)</f>
        <v/>
      </c>
      <c r="M1242" s="10" t="str">
        <f aca="false">IF($A1242="","",ROW())</f>
        <v/>
      </c>
    </row>
    <row r="1243" customFormat="false" ht="15" hidden="false" customHeight="true" outlineLevel="0" collapsed="false">
      <c r="A1243" s="8"/>
      <c r="B1243" s="8"/>
      <c r="C1243" s="8"/>
      <c r="D1243" s="8"/>
      <c r="E1243" s="8"/>
      <c r="F1243" s="8"/>
      <c r="G1243" s="10" t="str">
        <f aca="false">IF($A1243="","",UPPER(SUBSTITUTE(SUBSTITUTE(SUBSTITUTE(SUBSTITUTE($A1243," ",""),"(주)",""),"주식회사",""),"㈜","")))</f>
        <v/>
      </c>
      <c r="H1243" s="10" t="str">
        <f aca="false">IF($B1243="","",SUBSTITUTE(SUBSTITUTE(SUBSTITUTE($B1243,"-","")," ",""),".",""))</f>
        <v/>
      </c>
      <c r="I1243" s="10" t="str">
        <f aca="false">IF($D1243="","",SUBSTITUTE(SUBSTITUTE(SUBSTITUTE($D1243,"-","")," ",""),".",""))</f>
        <v/>
      </c>
      <c r="J1243" s="10" t="str">
        <f aca="false">IF($E1243="","",UPPER(SUBSTITUTE($E1243," ","")))</f>
        <v/>
      </c>
      <c r="K1243" s="10" t="str">
        <f aca="false">IF($A1243="","",$G1243&amp;"|"&amp;$J1243)</f>
        <v/>
      </c>
      <c r="L1243" s="10" t="str">
        <f aca="false">IF($A1243="","",ROW()-2)</f>
        <v/>
      </c>
      <c r="M1243" s="10" t="str">
        <f aca="false">IF($A1243="","",ROW())</f>
        <v/>
      </c>
    </row>
    <row r="1244" customFormat="false" ht="15" hidden="false" customHeight="true" outlineLevel="0" collapsed="false">
      <c r="A1244" s="8"/>
      <c r="B1244" s="8"/>
      <c r="C1244" s="8"/>
      <c r="D1244" s="8"/>
      <c r="E1244" s="8"/>
      <c r="F1244" s="8"/>
      <c r="G1244" s="10" t="str">
        <f aca="false">IF($A1244="","",UPPER(SUBSTITUTE(SUBSTITUTE(SUBSTITUTE(SUBSTITUTE($A1244," ",""),"(주)",""),"주식회사",""),"㈜","")))</f>
        <v/>
      </c>
      <c r="H1244" s="10" t="str">
        <f aca="false">IF($B1244="","",SUBSTITUTE(SUBSTITUTE(SUBSTITUTE($B1244,"-","")," ",""),".",""))</f>
        <v/>
      </c>
      <c r="I1244" s="10" t="str">
        <f aca="false">IF($D1244="","",SUBSTITUTE(SUBSTITUTE(SUBSTITUTE($D1244,"-","")," ",""),".",""))</f>
        <v/>
      </c>
      <c r="J1244" s="10" t="str">
        <f aca="false">IF($E1244="","",UPPER(SUBSTITUTE($E1244," ","")))</f>
        <v/>
      </c>
      <c r="K1244" s="10" t="str">
        <f aca="false">IF($A1244="","",$G1244&amp;"|"&amp;$J1244)</f>
        <v/>
      </c>
      <c r="L1244" s="10" t="str">
        <f aca="false">IF($A1244="","",ROW()-2)</f>
        <v/>
      </c>
      <c r="M1244" s="10" t="str">
        <f aca="false">IF($A1244="","",ROW())</f>
        <v/>
      </c>
    </row>
    <row r="1245" customFormat="false" ht="15" hidden="false" customHeight="true" outlineLevel="0" collapsed="false">
      <c r="A1245" s="8"/>
      <c r="B1245" s="8"/>
      <c r="C1245" s="8"/>
      <c r="D1245" s="8"/>
      <c r="E1245" s="8"/>
      <c r="F1245" s="8"/>
      <c r="G1245" s="10" t="str">
        <f aca="false">IF($A1245="","",UPPER(SUBSTITUTE(SUBSTITUTE(SUBSTITUTE(SUBSTITUTE($A1245," ",""),"(주)",""),"주식회사",""),"㈜","")))</f>
        <v/>
      </c>
      <c r="H1245" s="10" t="str">
        <f aca="false">IF($B1245="","",SUBSTITUTE(SUBSTITUTE(SUBSTITUTE($B1245,"-","")," ",""),".",""))</f>
        <v/>
      </c>
      <c r="I1245" s="10" t="str">
        <f aca="false">IF($D1245="","",SUBSTITUTE(SUBSTITUTE(SUBSTITUTE($D1245,"-","")," ",""),".",""))</f>
        <v/>
      </c>
      <c r="J1245" s="10" t="str">
        <f aca="false">IF($E1245="","",UPPER(SUBSTITUTE($E1245," ","")))</f>
        <v/>
      </c>
      <c r="K1245" s="10" t="str">
        <f aca="false">IF($A1245="","",$G1245&amp;"|"&amp;$J1245)</f>
        <v/>
      </c>
      <c r="L1245" s="10" t="str">
        <f aca="false">IF($A1245="","",ROW()-2)</f>
        <v/>
      </c>
      <c r="M1245" s="10" t="str">
        <f aca="false">IF($A1245="","",ROW())</f>
        <v/>
      </c>
    </row>
    <row r="1246" customFormat="false" ht="15" hidden="false" customHeight="true" outlineLevel="0" collapsed="false">
      <c r="A1246" s="8"/>
      <c r="B1246" s="8"/>
      <c r="C1246" s="8"/>
      <c r="D1246" s="8"/>
      <c r="E1246" s="8"/>
      <c r="F1246" s="8"/>
      <c r="G1246" s="10" t="str">
        <f aca="false">IF($A1246="","",UPPER(SUBSTITUTE(SUBSTITUTE(SUBSTITUTE(SUBSTITUTE($A1246," ",""),"(주)",""),"주식회사",""),"㈜","")))</f>
        <v/>
      </c>
      <c r="H1246" s="10" t="str">
        <f aca="false">IF($B1246="","",SUBSTITUTE(SUBSTITUTE(SUBSTITUTE($B1246,"-","")," ",""),".",""))</f>
        <v/>
      </c>
      <c r="I1246" s="10" t="str">
        <f aca="false">IF($D1246="","",SUBSTITUTE(SUBSTITUTE(SUBSTITUTE($D1246,"-","")," ",""),".",""))</f>
        <v/>
      </c>
      <c r="J1246" s="10" t="str">
        <f aca="false">IF($E1246="","",UPPER(SUBSTITUTE($E1246," ","")))</f>
        <v/>
      </c>
      <c r="K1246" s="10" t="str">
        <f aca="false">IF($A1246="","",$G1246&amp;"|"&amp;$J1246)</f>
        <v/>
      </c>
      <c r="L1246" s="10" t="str">
        <f aca="false">IF($A1246="","",ROW()-2)</f>
        <v/>
      </c>
      <c r="M1246" s="10" t="str">
        <f aca="false">IF($A1246="","",ROW())</f>
        <v/>
      </c>
    </row>
    <row r="1247" customFormat="false" ht="15" hidden="false" customHeight="true" outlineLevel="0" collapsed="false">
      <c r="A1247" s="8"/>
      <c r="B1247" s="8"/>
      <c r="C1247" s="8"/>
      <c r="D1247" s="8"/>
      <c r="E1247" s="8"/>
      <c r="F1247" s="8"/>
      <c r="G1247" s="10" t="str">
        <f aca="false">IF($A1247="","",UPPER(SUBSTITUTE(SUBSTITUTE(SUBSTITUTE(SUBSTITUTE($A1247," ",""),"(주)",""),"주식회사",""),"㈜","")))</f>
        <v/>
      </c>
      <c r="H1247" s="10" t="str">
        <f aca="false">IF($B1247="","",SUBSTITUTE(SUBSTITUTE(SUBSTITUTE($B1247,"-","")," ",""),".",""))</f>
        <v/>
      </c>
      <c r="I1247" s="10" t="str">
        <f aca="false">IF($D1247="","",SUBSTITUTE(SUBSTITUTE(SUBSTITUTE($D1247,"-","")," ",""),".",""))</f>
        <v/>
      </c>
      <c r="J1247" s="10" t="str">
        <f aca="false">IF($E1247="","",UPPER(SUBSTITUTE($E1247," ","")))</f>
        <v/>
      </c>
      <c r="K1247" s="10" t="str">
        <f aca="false">IF($A1247="","",$G1247&amp;"|"&amp;$J1247)</f>
        <v/>
      </c>
      <c r="L1247" s="10" t="str">
        <f aca="false">IF($A1247="","",ROW()-2)</f>
        <v/>
      </c>
      <c r="M1247" s="10" t="str">
        <f aca="false">IF($A1247="","",ROW())</f>
        <v/>
      </c>
    </row>
    <row r="1248" customFormat="false" ht="15" hidden="false" customHeight="true" outlineLevel="0" collapsed="false">
      <c r="A1248" s="8"/>
      <c r="B1248" s="8"/>
      <c r="C1248" s="8"/>
      <c r="D1248" s="8"/>
      <c r="E1248" s="8"/>
      <c r="F1248" s="8"/>
      <c r="G1248" s="10" t="str">
        <f aca="false">IF($A1248="","",UPPER(SUBSTITUTE(SUBSTITUTE(SUBSTITUTE(SUBSTITUTE($A1248," ",""),"(주)",""),"주식회사",""),"㈜","")))</f>
        <v/>
      </c>
      <c r="H1248" s="10" t="str">
        <f aca="false">IF($B1248="","",SUBSTITUTE(SUBSTITUTE(SUBSTITUTE($B1248,"-","")," ",""),".",""))</f>
        <v/>
      </c>
      <c r="I1248" s="10" t="str">
        <f aca="false">IF($D1248="","",SUBSTITUTE(SUBSTITUTE(SUBSTITUTE($D1248,"-","")," ",""),".",""))</f>
        <v/>
      </c>
      <c r="J1248" s="10" t="str">
        <f aca="false">IF($E1248="","",UPPER(SUBSTITUTE($E1248," ","")))</f>
        <v/>
      </c>
      <c r="K1248" s="10" t="str">
        <f aca="false">IF($A1248="","",$G1248&amp;"|"&amp;$J1248)</f>
        <v/>
      </c>
      <c r="L1248" s="10" t="str">
        <f aca="false">IF($A1248="","",ROW()-2)</f>
        <v/>
      </c>
      <c r="M1248" s="10" t="str">
        <f aca="false">IF($A1248="","",ROW())</f>
        <v/>
      </c>
    </row>
    <row r="1249" customFormat="false" ht="15" hidden="false" customHeight="true" outlineLevel="0" collapsed="false">
      <c r="A1249" s="8"/>
      <c r="B1249" s="8"/>
      <c r="C1249" s="8"/>
      <c r="D1249" s="8"/>
      <c r="E1249" s="8"/>
      <c r="F1249" s="8"/>
      <c r="G1249" s="10" t="str">
        <f aca="false">IF($A1249="","",UPPER(SUBSTITUTE(SUBSTITUTE(SUBSTITUTE(SUBSTITUTE($A1249," ",""),"(주)",""),"주식회사",""),"㈜","")))</f>
        <v/>
      </c>
      <c r="H1249" s="10" t="str">
        <f aca="false">IF($B1249="","",SUBSTITUTE(SUBSTITUTE(SUBSTITUTE($B1249,"-","")," ",""),".",""))</f>
        <v/>
      </c>
      <c r="I1249" s="10" t="str">
        <f aca="false">IF($D1249="","",SUBSTITUTE(SUBSTITUTE(SUBSTITUTE($D1249,"-","")," ",""),".",""))</f>
        <v/>
      </c>
      <c r="J1249" s="10" t="str">
        <f aca="false">IF($E1249="","",UPPER(SUBSTITUTE($E1249," ","")))</f>
        <v/>
      </c>
      <c r="K1249" s="10" t="str">
        <f aca="false">IF($A1249="","",$G1249&amp;"|"&amp;$J1249)</f>
        <v/>
      </c>
      <c r="L1249" s="10" t="str">
        <f aca="false">IF($A1249="","",ROW()-2)</f>
        <v/>
      </c>
      <c r="M1249" s="10" t="str">
        <f aca="false">IF($A1249="","",ROW())</f>
        <v/>
      </c>
    </row>
    <row r="1250" customFormat="false" ht="15" hidden="false" customHeight="true" outlineLevel="0" collapsed="false">
      <c r="A1250" s="8"/>
      <c r="B1250" s="8"/>
      <c r="C1250" s="8"/>
      <c r="D1250" s="8"/>
      <c r="E1250" s="8"/>
      <c r="F1250" s="8"/>
      <c r="G1250" s="10" t="str">
        <f aca="false">IF($A1250="","",UPPER(SUBSTITUTE(SUBSTITUTE(SUBSTITUTE(SUBSTITUTE($A1250," ",""),"(주)",""),"주식회사",""),"㈜","")))</f>
        <v/>
      </c>
      <c r="H1250" s="10" t="str">
        <f aca="false">IF($B1250="","",SUBSTITUTE(SUBSTITUTE(SUBSTITUTE($B1250,"-","")," ",""),".",""))</f>
        <v/>
      </c>
      <c r="I1250" s="10" t="str">
        <f aca="false">IF($D1250="","",SUBSTITUTE(SUBSTITUTE(SUBSTITUTE($D1250,"-","")," ",""),".",""))</f>
        <v/>
      </c>
      <c r="J1250" s="10" t="str">
        <f aca="false">IF($E1250="","",UPPER(SUBSTITUTE($E1250," ","")))</f>
        <v/>
      </c>
      <c r="K1250" s="10" t="str">
        <f aca="false">IF($A1250="","",$G1250&amp;"|"&amp;$J1250)</f>
        <v/>
      </c>
      <c r="L1250" s="10" t="str">
        <f aca="false">IF($A1250="","",ROW()-2)</f>
        <v/>
      </c>
      <c r="M1250" s="10" t="str">
        <f aca="false">IF($A1250="","",ROW())</f>
        <v/>
      </c>
    </row>
    <row r="1251" customFormat="false" ht="15" hidden="false" customHeight="true" outlineLevel="0" collapsed="false">
      <c r="A1251" s="8"/>
      <c r="B1251" s="8"/>
      <c r="C1251" s="8"/>
      <c r="D1251" s="8"/>
      <c r="E1251" s="8"/>
      <c r="F1251" s="8"/>
      <c r="G1251" s="10" t="str">
        <f aca="false">IF($A1251="","",UPPER(SUBSTITUTE(SUBSTITUTE(SUBSTITUTE(SUBSTITUTE($A1251," ",""),"(주)",""),"주식회사",""),"㈜","")))</f>
        <v/>
      </c>
      <c r="H1251" s="10" t="str">
        <f aca="false">IF($B1251="","",SUBSTITUTE(SUBSTITUTE(SUBSTITUTE($B1251,"-","")," ",""),".",""))</f>
        <v/>
      </c>
      <c r="I1251" s="10" t="str">
        <f aca="false">IF($D1251="","",SUBSTITUTE(SUBSTITUTE(SUBSTITUTE($D1251,"-","")," ",""),".",""))</f>
        <v/>
      </c>
      <c r="J1251" s="10" t="str">
        <f aca="false">IF($E1251="","",UPPER(SUBSTITUTE($E1251," ","")))</f>
        <v/>
      </c>
      <c r="K1251" s="10" t="str">
        <f aca="false">IF($A1251="","",$G1251&amp;"|"&amp;$J1251)</f>
        <v/>
      </c>
      <c r="L1251" s="10" t="str">
        <f aca="false">IF($A1251="","",ROW()-2)</f>
        <v/>
      </c>
      <c r="M1251" s="10" t="str">
        <f aca="false">IF($A1251="","",ROW())</f>
        <v/>
      </c>
    </row>
    <row r="1252" customFormat="false" ht="15" hidden="false" customHeight="true" outlineLevel="0" collapsed="false">
      <c r="A1252" s="8"/>
      <c r="B1252" s="8"/>
      <c r="C1252" s="8"/>
      <c r="D1252" s="8"/>
      <c r="E1252" s="8"/>
      <c r="F1252" s="8"/>
      <c r="G1252" s="10" t="str">
        <f aca="false">IF($A1252="","",UPPER(SUBSTITUTE(SUBSTITUTE(SUBSTITUTE(SUBSTITUTE($A1252," ",""),"(주)",""),"주식회사",""),"㈜","")))</f>
        <v/>
      </c>
      <c r="H1252" s="10" t="str">
        <f aca="false">IF($B1252="","",SUBSTITUTE(SUBSTITUTE(SUBSTITUTE($B1252,"-","")," ",""),".",""))</f>
        <v/>
      </c>
      <c r="I1252" s="10" t="str">
        <f aca="false">IF($D1252="","",SUBSTITUTE(SUBSTITUTE(SUBSTITUTE($D1252,"-","")," ",""),".",""))</f>
        <v/>
      </c>
      <c r="J1252" s="10" t="str">
        <f aca="false">IF($E1252="","",UPPER(SUBSTITUTE($E1252," ","")))</f>
        <v/>
      </c>
      <c r="K1252" s="10" t="str">
        <f aca="false">IF($A1252="","",$G1252&amp;"|"&amp;$J1252)</f>
        <v/>
      </c>
      <c r="L1252" s="10" t="str">
        <f aca="false">IF($A1252="","",ROW()-2)</f>
        <v/>
      </c>
      <c r="M1252" s="10" t="str">
        <f aca="false">IF($A1252="","",ROW())</f>
        <v/>
      </c>
    </row>
    <row r="1253" customFormat="false" ht="15" hidden="false" customHeight="true" outlineLevel="0" collapsed="false">
      <c r="A1253" s="8"/>
      <c r="B1253" s="8"/>
      <c r="C1253" s="8"/>
      <c r="D1253" s="8"/>
      <c r="E1253" s="8"/>
      <c r="F1253" s="8"/>
      <c r="G1253" s="10" t="str">
        <f aca="false">IF($A1253="","",UPPER(SUBSTITUTE(SUBSTITUTE(SUBSTITUTE(SUBSTITUTE($A1253," ",""),"(주)",""),"주식회사",""),"㈜","")))</f>
        <v/>
      </c>
      <c r="H1253" s="10" t="str">
        <f aca="false">IF($B1253="","",SUBSTITUTE(SUBSTITUTE(SUBSTITUTE($B1253,"-","")," ",""),".",""))</f>
        <v/>
      </c>
      <c r="I1253" s="10" t="str">
        <f aca="false">IF($D1253="","",SUBSTITUTE(SUBSTITUTE(SUBSTITUTE($D1253,"-","")," ",""),".",""))</f>
        <v/>
      </c>
      <c r="J1253" s="10" t="str">
        <f aca="false">IF($E1253="","",UPPER(SUBSTITUTE($E1253," ","")))</f>
        <v/>
      </c>
      <c r="K1253" s="10" t="str">
        <f aca="false">IF($A1253="","",$G1253&amp;"|"&amp;$J1253)</f>
        <v/>
      </c>
      <c r="L1253" s="10" t="str">
        <f aca="false">IF($A1253="","",ROW()-2)</f>
        <v/>
      </c>
      <c r="M1253" s="10" t="str">
        <f aca="false">IF($A1253="","",ROW())</f>
        <v/>
      </c>
    </row>
    <row r="1254" customFormat="false" ht="15" hidden="false" customHeight="true" outlineLevel="0" collapsed="false">
      <c r="A1254" s="8"/>
      <c r="B1254" s="8"/>
      <c r="C1254" s="8"/>
      <c r="D1254" s="8"/>
      <c r="E1254" s="8"/>
      <c r="F1254" s="8"/>
      <c r="G1254" s="10" t="str">
        <f aca="false">IF($A1254="","",UPPER(SUBSTITUTE(SUBSTITUTE(SUBSTITUTE(SUBSTITUTE($A1254," ",""),"(주)",""),"주식회사",""),"㈜","")))</f>
        <v/>
      </c>
      <c r="H1254" s="10" t="str">
        <f aca="false">IF($B1254="","",SUBSTITUTE(SUBSTITUTE(SUBSTITUTE($B1254,"-","")," ",""),".",""))</f>
        <v/>
      </c>
      <c r="I1254" s="10" t="str">
        <f aca="false">IF($D1254="","",SUBSTITUTE(SUBSTITUTE(SUBSTITUTE($D1254,"-","")," ",""),".",""))</f>
        <v/>
      </c>
      <c r="J1254" s="10" t="str">
        <f aca="false">IF($E1254="","",UPPER(SUBSTITUTE($E1254," ","")))</f>
        <v/>
      </c>
      <c r="K1254" s="10" t="str">
        <f aca="false">IF($A1254="","",$G1254&amp;"|"&amp;$J1254)</f>
        <v/>
      </c>
      <c r="L1254" s="10" t="str">
        <f aca="false">IF($A1254="","",ROW()-2)</f>
        <v/>
      </c>
      <c r="M1254" s="10" t="str">
        <f aca="false">IF($A1254="","",ROW())</f>
        <v/>
      </c>
    </row>
    <row r="1255" customFormat="false" ht="15" hidden="false" customHeight="true" outlineLevel="0" collapsed="false">
      <c r="A1255" s="8"/>
      <c r="B1255" s="8"/>
      <c r="C1255" s="8"/>
      <c r="D1255" s="8"/>
      <c r="E1255" s="8"/>
      <c r="F1255" s="8"/>
      <c r="G1255" s="10" t="str">
        <f aca="false">IF($A1255="","",UPPER(SUBSTITUTE(SUBSTITUTE(SUBSTITUTE(SUBSTITUTE($A1255," ",""),"(주)",""),"주식회사",""),"㈜","")))</f>
        <v/>
      </c>
      <c r="H1255" s="10" t="str">
        <f aca="false">IF($B1255="","",SUBSTITUTE(SUBSTITUTE(SUBSTITUTE($B1255,"-","")," ",""),".",""))</f>
        <v/>
      </c>
      <c r="I1255" s="10" t="str">
        <f aca="false">IF($D1255="","",SUBSTITUTE(SUBSTITUTE(SUBSTITUTE($D1255,"-","")," ",""),".",""))</f>
        <v/>
      </c>
      <c r="J1255" s="10" t="str">
        <f aca="false">IF($E1255="","",UPPER(SUBSTITUTE($E1255," ","")))</f>
        <v/>
      </c>
      <c r="K1255" s="10" t="str">
        <f aca="false">IF($A1255="","",$G1255&amp;"|"&amp;$J1255)</f>
        <v/>
      </c>
      <c r="L1255" s="10" t="str">
        <f aca="false">IF($A1255="","",ROW()-2)</f>
        <v/>
      </c>
      <c r="M1255" s="10" t="str">
        <f aca="false">IF($A1255="","",ROW())</f>
        <v/>
      </c>
    </row>
    <row r="1256" customFormat="false" ht="15" hidden="false" customHeight="true" outlineLevel="0" collapsed="false">
      <c r="A1256" s="8"/>
      <c r="B1256" s="8"/>
      <c r="C1256" s="8"/>
      <c r="D1256" s="8"/>
      <c r="E1256" s="8"/>
      <c r="F1256" s="8"/>
      <c r="G1256" s="10" t="str">
        <f aca="false">IF($A1256="","",UPPER(SUBSTITUTE(SUBSTITUTE(SUBSTITUTE(SUBSTITUTE($A1256," ",""),"(주)",""),"주식회사",""),"㈜","")))</f>
        <v/>
      </c>
      <c r="H1256" s="10" t="str">
        <f aca="false">IF($B1256="","",SUBSTITUTE(SUBSTITUTE(SUBSTITUTE($B1256,"-","")," ",""),".",""))</f>
        <v/>
      </c>
      <c r="I1256" s="10" t="str">
        <f aca="false">IF($D1256="","",SUBSTITUTE(SUBSTITUTE(SUBSTITUTE($D1256,"-","")," ",""),".",""))</f>
        <v/>
      </c>
      <c r="J1256" s="10" t="str">
        <f aca="false">IF($E1256="","",UPPER(SUBSTITUTE($E1256," ","")))</f>
        <v/>
      </c>
      <c r="K1256" s="10" t="str">
        <f aca="false">IF($A1256="","",$G1256&amp;"|"&amp;$J1256)</f>
        <v/>
      </c>
      <c r="L1256" s="10" t="str">
        <f aca="false">IF($A1256="","",ROW()-2)</f>
        <v/>
      </c>
      <c r="M1256" s="10" t="str">
        <f aca="false">IF($A1256="","",ROW())</f>
        <v/>
      </c>
    </row>
    <row r="1257" customFormat="false" ht="15" hidden="false" customHeight="true" outlineLevel="0" collapsed="false">
      <c r="A1257" s="8"/>
      <c r="B1257" s="8"/>
      <c r="C1257" s="8"/>
      <c r="D1257" s="8"/>
      <c r="E1257" s="8"/>
      <c r="F1257" s="8"/>
      <c r="G1257" s="10" t="str">
        <f aca="false">IF($A1257="","",UPPER(SUBSTITUTE(SUBSTITUTE(SUBSTITUTE(SUBSTITUTE($A1257," ",""),"(주)",""),"주식회사",""),"㈜","")))</f>
        <v/>
      </c>
      <c r="H1257" s="10" t="str">
        <f aca="false">IF($B1257="","",SUBSTITUTE(SUBSTITUTE(SUBSTITUTE($B1257,"-","")," ",""),".",""))</f>
        <v/>
      </c>
      <c r="I1257" s="10" t="str">
        <f aca="false">IF($D1257="","",SUBSTITUTE(SUBSTITUTE(SUBSTITUTE($D1257,"-","")," ",""),".",""))</f>
        <v/>
      </c>
      <c r="J1257" s="10" t="str">
        <f aca="false">IF($E1257="","",UPPER(SUBSTITUTE($E1257," ","")))</f>
        <v/>
      </c>
      <c r="K1257" s="10" t="str">
        <f aca="false">IF($A1257="","",$G1257&amp;"|"&amp;$J1257)</f>
        <v/>
      </c>
      <c r="L1257" s="10" t="str">
        <f aca="false">IF($A1257="","",ROW()-2)</f>
        <v/>
      </c>
      <c r="M1257" s="10" t="str">
        <f aca="false">IF($A1257="","",ROW())</f>
        <v/>
      </c>
    </row>
    <row r="1258" customFormat="false" ht="15" hidden="false" customHeight="true" outlineLevel="0" collapsed="false">
      <c r="A1258" s="8"/>
      <c r="B1258" s="8"/>
      <c r="C1258" s="8"/>
      <c r="D1258" s="8"/>
      <c r="E1258" s="8"/>
      <c r="F1258" s="8"/>
      <c r="G1258" s="10" t="str">
        <f aca="false">IF($A1258="","",UPPER(SUBSTITUTE(SUBSTITUTE(SUBSTITUTE(SUBSTITUTE($A1258," ",""),"(주)",""),"주식회사",""),"㈜","")))</f>
        <v/>
      </c>
      <c r="H1258" s="10" t="str">
        <f aca="false">IF($B1258="","",SUBSTITUTE(SUBSTITUTE(SUBSTITUTE($B1258,"-","")," ",""),".",""))</f>
        <v/>
      </c>
      <c r="I1258" s="10" t="str">
        <f aca="false">IF($D1258="","",SUBSTITUTE(SUBSTITUTE(SUBSTITUTE($D1258,"-","")," ",""),".",""))</f>
        <v/>
      </c>
      <c r="J1258" s="10" t="str">
        <f aca="false">IF($E1258="","",UPPER(SUBSTITUTE($E1258," ","")))</f>
        <v/>
      </c>
      <c r="K1258" s="10" t="str">
        <f aca="false">IF($A1258="","",$G1258&amp;"|"&amp;$J1258)</f>
        <v/>
      </c>
      <c r="L1258" s="10" t="str">
        <f aca="false">IF($A1258="","",ROW()-2)</f>
        <v/>
      </c>
      <c r="M1258" s="10" t="str">
        <f aca="false">IF($A1258="","",ROW())</f>
        <v/>
      </c>
    </row>
    <row r="1259" customFormat="false" ht="15" hidden="false" customHeight="true" outlineLevel="0" collapsed="false">
      <c r="A1259" s="8"/>
      <c r="B1259" s="8"/>
      <c r="C1259" s="8"/>
      <c r="D1259" s="8"/>
      <c r="E1259" s="8"/>
      <c r="F1259" s="8"/>
      <c r="G1259" s="10" t="str">
        <f aca="false">IF($A1259="","",UPPER(SUBSTITUTE(SUBSTITUTE(SUBSTITUTE(SUBSTITUTE($A1259," ",""),"(주)",""),"주식회사",""),"㈜","")))</f>
        <v/>
      </c>
      <c r="H1259" s="10" t="str">
        <f aca="false">IF($B1259="","",SUBSTITUTE(SUBSTITUTE(SUBSTITUTE($B1259,"-","")," ",""),".",""))</f>
        <v/>
      </c>
      <c r="I1259" s="10" t="str">
        <f aca="false">IF($D1259="","",SUBSTITUTE(SUBSTITUTE(SUBSTITUTE($D1259,"-","")," ",""),".",""))</f>
        <v/>
      </c>
      <c r="J1259" s="10" t="str">
        <f aca="false">IF($E1259="","",UPPER(SUBSTITUTE($E1259," ","")))</f>
        <v/>
      </c>
      <c r="K1259" s="10" t="str">
        <f aca="false">IF($A1259="","",$G1259&amp;"|"&amp;$J1259)</f>
        <v/>
      </c>
      <c r="L1259" s="10" t="str">
        <f aca="false">IF($A1259="","",ROW()-2)</f>
        <v/>
      </c>
      <c r="M1259" s="10" t="str">
        <f aca="false">IF($A1259="","",ROW())</f>
        <v/>
      </c>
    </row>
    <row r="1260" customFormat="false" ht="15" hidden="false" customHeight="true" outlineLevel="0" collapsed="false">
      <c r="A1260" s="8"/>
      <c r="B1260" s="8"/>
      <c r="C1260" s="8"/>
      <c r="D1260" s="8"/>
      <c r="E1260" s="8"/>
      <c r="F1260" s="8"/>
      <c r="G1260" s="10" t="str">
        <f aca="false">IF($A1260="","",UPPER(SUBSTITUTE(SUBSTITUTE(SUBSTITUTE(SUBSTITUTE($A1260," ",""),"(주)",""),"주식회사",""),"㈜","")))</f>
        <v/>
      </c>
      <c r="H1260" s="10" t="str">
        <f aca="false">IF($B1260="","",SUBSTITUTE(SUBSTITUTE(SUBSTITUTE($B1260,"-","")," ",""),".",""))</f>
        <v/>
      </c>
      <c r="I1260" s="10" t="str">
        <f aca="false">IF($D1260="","",SUBSTITUTE(SUBSTITUTE(SUBSTITUTE($D1260,"-","")," ",""),".",""))</f>
        <v/>
      </c>
      <c r="J1260" s="10" t="str">
        <f aca="false">IF($E1260="","",UPPER(SUBSTITUTE($E1260," ","")))</f>
        <v/>
      </c>
      <c r="K1260" s="10" t="str">
        <f aca="false">IF($A1260="","",$G1260&amp;"|"&amp;$J1260)</f>
        <v/>
      </c>
      <c r="L1260" s="10" t="str">
        <f aca="false">IF($A1260="","",ROW()-2)</f>
        <v/>
      </c>
      <c r="M1260" s="10" t="str">
        <f aca="false">IF($A1260="","",ROW())</f>
        <v/>
      </c>
    </row>
    <row r="1261" customFormat="false" ht="15" hidden="false" customHeight="true" outlineLevel="0" collapsed="false">
      <c r="A1261" s="8"/>
      <c r="B1261" s="8"/>
      <c r="C1261" s="8"/>
      <c r="D1261" s="8"/>
      <c r="E1261" s="8"/>
      <c r="F1261" s="8"/>
      <c r="G1261" s="10" t="str">
        <f aca="false">IF($A1261="","",UPPER(SUBSTITUTE(SUBSTITUTE(SUBSTITUTE(SUBSTITUTE($A1261," ",""),"(주)",""),"주식회사",""),"㈜","")))</f>
        <v/>
      </c>
      <c r="H1261" s="10" t="str">
        <f aca="false">IF($B1261="","",SUBSTITUTE(SUBSTITUTE(SUBSTITUTE($B1261,"-","")," ",""),".",""))</f>
        <v/>
      </c>
      <c r="I1261" s="10" t="str">
        <f aca="false">IF($D1261="","",SUBSTITUTE(SUBSTITUTE(SUBSTITUTE($D1261,"-","")," ",""),".",""))</f>
        <v/>
      </c>
      <c r="J1261" s="10" t="str">
        <f aca="false">IF($E1261="","",UPPER(SUBSTITUTE($E1261," ","")))</f>
        <v/>
      </c>
      <c r="K1261" s="10" t="str">
        <f aca="false">IF($A1261="","",$G1261&amp;"|"&amp;$J1261)</f>
        <v/>
      </c>
      <c r="L1261" s="10" t="str">
        <f aca="false">IF($A1261="","",ROW()-2)</f>
        <v/>
      </c>
      <c r="M1261" s="10" t="str">
        <f aca="false">IF($A1261="","",ROW())</f>
        <v/>
      </c>
    </row>
    <row r="1262" customFormat="false" ht="15" hidden="false" customHeight="true" outlineLevel="0" collapsed="false">
      <c r="A1262" s="8"/>
      <c r="B1262" s="8"/>
      <c r="C1262" s="8"/>
      <c r="D1262" s="8"/>
      <c r="E1262" s="8"/>
      <c r="F1262" s="8"/>
      <c r="G1262" s="10" t="str">
        <f aca="false">IF($A1262="","",UPPER(SUBSTITUTE(SUBSTITUTE(SUBSTITUTE(SUBSTITUTE($A1262," ",""),"(주)",""),"주식회사",""),"㈜","")))</f>
        <v/>
      </c>
      <c r="H1262" s="10" t="str">
        <f aca="false">IF($B1262="","",SUBSTITUTE(SUBSTITUTE(SUBSTITUTE($B1262,"-","")," ",""),".",""))</f>
        <v/>
      </c>
      <c r="I1262" s="10" t="str">
        <f aca="false">IF($D1262="","",SUBSTITUTE(SUBSTITUTE(SUBSTITUTE($D1262,"-","")," ",""),".",""))</f>
        <v/>
      </c>
      <c r="J1262" s="10" t="str">
        <f aca="false">IF($E1262="","",UPPER(SUBSTITUTE($E1262," ","")))</f>
        <v/>
      </c>
      <c r="K1262" s="10" t="str">
        <f aca="false">IF($A1262="","",$G1262&amp;"|"&amp;$J1262)</f>
        <v/>
      </c>
      <c r="L1262" s="10" t="str">
        <f aca="false">IF($A1262="","",ROW()-2)</f>
        <v/>
      </c>
      <c r="M1262" s="10" t="str">
        <f aca="false">IF($A1262="","",ROW())</f>
        <v/>
      </c>
    </row>
    <row r="1263" customFormat="false" ht="15" hidden="false" customHeight="true" outlineLevel="0" collapsed="false">
      <c r="A1263" s="8"/>
      <c r="B1263" s="8"/>
      <c r="C1263" s="8"/>
      <c r="D1263" s="8"/>
      <c r="E1263" s="8"/>
      <c r="F1263" s="8"/>
      <c r="G1263" s="10" t="str">
        <f aca="false">IF($A1263="","",UPPER(SUBSTITUTE(SUBSTITUTE(SUBSTITUTE(SUBSTITUTE($A1263," ",""),"(주)",""),"주식회사",""),"㈜","")))</f>
        <v/>
      </c>
      <c r="H1263" s="10" t="str">
        <f aca="false">IF($B1263="","",SUBSTITUTE(SUBSTITUTE(SUBSTITUTE($B1263,"-","")," ",""),".",""))</f>
        <v/>
      </c>
      <c r="I1263" s="10" t="str">
        <f aca="false">IF($D1263="","",SUBSTITUTE(SUBSTITUTE(SUBSTITUTE($D1263,"-","")," ",""),".",""))</f>
        <v/>
      </c>
      <c r="J1263" s="10" t="str">
        <f aca="false">IF($E1263="","",UPPER(SUBSTITUTE($E1263," ","")))</f>
        <v/>
      </c>
      <c r="K1263" s="10" t="str">
        <f aca="false">IF($A1263="","",$G1263&amp;"|"&amp;$J1263)</f>
        <v/>
      </c>
      <c r="L1263" s="10" t="str">
        <f aca="false">IF($A1263="","",ROW()-2)</f>
        <v/>
      </c>
      <c r="M1263" s="10" t="str">
        <f aca="false">IF($A1263="","",ROW())</f>
        <v/>
      </c>
    </row>
    <row r="1264" customFormat="false" ht="15" hidden="false" customHeight="true" outlineLevel="0" collapsed="false">
      <c r="A1264" s="8"/>
      <c r="B1264" s="8"/>
      <c r="C1264" s="8"/>
      <c r="D1264" s="8"/>
      <c r="E1264" s="8"/>
      <c r="F1264" s="8"/>
      <c r="G1264" s="10" t="str">
        <f aca="false">IF($A1264="","",UPPER(SUBSTITUTE(SUBSTITUTE(SUBSTITUTE(SUBSTITUTE($A1264," ",""),"(주)",""),"주식회사",""),"㈜","")))</f>
        <v/>
      </c>
      <c r="H1264" s="10" t="str">
        <f aca="false">IF($B1264="","",SUBSTITUTE(SUBSTITUTE(SUBSTITUTE($B1264,"-","")," ",""),".",""))</f>
        <v/>
      </c>
      <c r="I1264" s="10" t="str">
        <f aca="false">IF($D1264="","",SUBSTITUTE(SUBSTITUTE(SUBSTITUTE($D1264,"-","")," ",""),".",""))</f>
        <v/>
      </c>
      <c r="J1264" s="10" t="str">
        <f aca="false">IF($E1264="","",UPPER(SUBSTITUTE($E1264," ","")))</f>
        <v/>
      </c>
      <c r="K1264" s="10" t="str">
        <f aca="false">IF($A1264="","",$G1264&amp;"|"&amp;$J1264)</f>
        <v/>
      </c>
      <c r="L1264" s="10" t="str">
        <f aca="false">IF($A1264="","",ROW()-2)</f>
        <v/>
      </c>
      <c r="M1264" s="10" t="str">
        <f aca="false">IF($A1264="","",ROW())</f>
        <v/>
      </c>
    </row>
    <row r="1265" customFormat="false" ht="15" hidden="false" customHeight="true" outlineLevel="0" collapsed="false">
      <c r="A1265" s="8"/>
      <c r="B1265" s="8"/>
      <c r="C1265" s="8"/>
      <c r="D1265" s="8"/>
      <c r="E1265" s="8"/>
      <c r="F1265" s="8"/>
      <c r="G1265" s="10" t="str">
        <f aca="false">IF($A1265="","",UPPER(SUBSTITUTE(SUBSTITUTE(SUBSTITUTE(SUBSTITUTE($A1265," ",""),"(주)",""),"주식회사",""),"㈜","")))</f>
        <v/>
      </c>
      <c r="H1265" s="10" t="str">
        <f aca="false">IF($B1265="","",SUBSTITUTE(SUBSTITUTE(SUBSTITUTE($B1265,"-","")," ",""),".",""))</f>
        <v/>
      </c>
      <c r="I1265" s="10" t="str">
        <f aca="false">IF($D1265="","",SUBSTITUTE(SUBSTITUTE(SUBSTITUTE($D1265,"-","")," ",""),".",""))</f>
        <v/>
      </c>
      <c r="J1265" s="10" t="str">
        <f aca="false">IF($E1265="","",UPPER(SUBSTITUTE($E1265," ","")))</f>
        <v/>
      </c>
      <c r="K1265" s="10" t="str">
        <f aca="false">IF($A1265="","",$G1265&amp;"|"&amp;$J1265)</f>
        <v/>
      </c>
      <c r="L1265" s="10" t="str">
        <f aca="false">IF($A1265="","",ROW()-2)</f>
        <v/>
      </c>
      <c r="M1265" s="10" t="str">
        <f aca="false">IF($A1265="","",ROW())</f>
        <v/>
      </c>
    </row>
    <row r="1266" customFormat="false" ht="15" hidden="false" customHeight="true" outlineLevel="0" collapsed="false">
      <c r="A1266" s="8"/>
      <c r="B1266" s="8"/>
      <c r="C1266" s="8"/>
      <c r="D1266" s="8"/>
      <c r="E1266" s="8"/>
      <c r="F1266" s="8"/>
      <c r="G1266" s="10" t="str">
        <f aca="false">IF($A1266="","",UPPER(SUBSTITUTE(SUBSTITUTE(SUBSTITUTE(SUBSTITUTE($A1266," ",""),"(주)",""),"주식회사",""),"㈜","")))</f>
        <v/>
      </c>
      <c r="H1266" s="10" t="str">
        <f aca="false">IF($B1266="","",SUBSTITUTE(SUBSTITUTE(SUBSTITUTE($B1266,"-","")," ",""),".",""))</f>
        <v/>
      </c>
      <c r="I1266" s="10" t="str">
        <f aca="false">IF($D1266="","",SUBSTITUTE(SUBSTITUTE(SUBSTITUTE($D1266,"-","")," ",""),".",""))</f>
        <v/>
      </c>
      <c r="J1266" s="10" t="str">
        <f aca="false">IF($E1266="","",UPPER(SUBSTITUTE($E1266," ","")))</f>
        <v/>
      </c>
      <c r="K1266" s="10" t="str">
        <f aca="false">IF($A1266="","",$G1266&amp;"|"&amp;$J1266)</f>
        <v/>
      </c>
      <c r="L1266" s="10" t="str">
        <f aca="false">IF($A1266="","",ROW()-2)</f>
        <v/>
      </c>
      <c r="M1266" s="10" t="str">
        <f aca="false">IF($A1266="","",ROW())</f>
        <v/>
      </c>
    </row>
    <row r="1267" customFormat="false" ht="15" hidden="false" customHeight="true" outlineLevel="0" collapsed="false">
      <c r="A1267" s="8"/>
      <c r="B1267" s="8"/>
      <c r="C1267" s="8"/>
      <c r="D1267" s="8"/>
      <c r="E1267" s="8"/>
      <c r="F1267" s="8"/>
      <c r="G1267" s="10" t="str">
        <f aca="false">IF($A1267="","",UPPER(SUBSTITUTE(SUBSTITUTE(SUBSTITUTE(SUBSTITUTE($A1267," ",""),"(주)",""),"주식회사",""),"㈜","")))</f>
        <v/>
      </c>
      <c r="H1267" s="10" t="str">
        <f aca="false">IF($B1267="","",SUBSTITUTE(SUBSTITUTE(SUBSTITUTE($B1267,"-","")," ",""),".",""))</f>
        <v/>
      </c>
      <c r="I1267" s="10" t="str">
        <f aca="false">IF($D1267="","",SUBSTITUTE(SUBSTITUTE(SUBSTITUTE($D1267,"-","")," ",""),".",""))</f>
        <v/>
      </c>
      <c r="J1267" s="10" t="str">
        <f aca="false">IF($E1267="","",UPPER(SUBSTITUTE($E1267," ","")))</f>
        <v/>
      </c>
      <c r="K1267" s="10" t="str">
        <f aca="false">IF($A1267="","",$G1267&amp;"|"&amp;$J1267)</f>
        <v/>
      </c>
      <c r="L1267" s="10" t="str">
        <f aca="false">IF($A1267="","",ROW()-2)</f>
        <v/>
      </c>
      <c r="M1267" s="10" t="str">
        <f aca="false">IF($A1267="","",ROW())</f>
        <v/>
      </c>
    </row>
    <row r="1268" customFormat="false" ht="15" hidden="false" customHeight="true" outlineLevel="0" collapsed="false">
      <c r="A1268" s="8"/>
      <c r="B1268" s="8"/>
      <c r="C1268" s="8"/>
      <c r="D1268" s="8"/>
      <c r="E1268" s="8"/>
      <c r="F1268" s="8"/>
      <c r="G1268" s="10" t="str">
        <f aca="false">IF($A1268="","",UPPER(SUBSTITUTE(SUBSTITUTE(SUBSTITUTE(SUBSTITUTE($A1268," ",""),"(주)",""),"주식회사",""),"㈜","")))</f>
        <v/>
      </c>
      <c r="H1268" s="10" t="str">
        <f aca="false">IF($B1268="","",SUBSTITUTE(SUBSTITUTE(SUBSTITUTE($B1268,"-","")," ",""),".",""))</f>
        <v/>
      </c>
      <c r="I1268" s="10" t="str">
        <f aca="false">IF($D1268="","",SUBSTITUTE(SUBSTITUTE(SUBSTITUTE($D1268,"-","")," ",""),".",""))</f>
        <v/>
      </c>
      <c r="J1268" s="10" t="str">
        <f aca="false">IF($E1268="","",UPPER(SUBSTITUTE($E1268," ","")))</f>
        <v/>
      </c>
      <c r="K1268" s="10" t="str">
        <f aca="false">IF($A1268="","",$G1268&amp;"|"&amp;$J1268)</f>
        <v/>
      </c>
      <c r="L1268" s="10" t="str">
        <f aca="false">IF($A1268="","",ROW()-2)</f>
        <v/>
      </c>
      <c r="M1268" s="10" t="str">
        <f aca="false">IF($A1268="","",ROW())</f>
        <v/>
      </c>
    </row>
    <row r="1269" customFormat="false" ht="15" hidden="false" customHeight="true" outlineLevel="0" collapsed="false">
      <c r="A1269" s="8"/>
      <c r="B1269" s="8"/>
      <c r="C1269" s="8"/>
      <c r="D1269" s="8"/>
      <c r="E1269" s="8"/>
      <c r="F1269" s="8"/>
      <c r="G1269" s="10" t="str">
        <f aca="false">IF($A1269="","",UPPER(SUBSTITUTE(SUBSTITUTE(SUBSTITUTE(SUBSTITUTE($A1269," ",""),"(주)",""),"주식회사",""),"㈜","")))</f>
        <v/>
      </c>
      <c r="H1269" s="10" t="str">
        <f aca="false">IF($B1269="","",SUBSTITUTE(SUBSTITUTE(SUBSTITUTE($B1269,"-","")," ",""),".",""))</f>
        <v/>
      </c>
      <c r="I1269" s="10" t="str">
        <f aca="false">IF($D1269="","",SUBSTITUTE(SUBSTITUTE(SUBSTITUTE($D1269,"-","")," ",""),".",""))</f>
        <v/>
      </c>
      <c r="J1269" s="10" t="str">
        <f aca="false">IF($E1269="","",UPPER(SUBSTITUTE($E1269," ","")))</f>
        <v/>
      </c>
      <c r="K1269" s="10" t="str">
        <f aca="false">IF($A1269="","",$G1269&amp;"|"&amp;$J1269)</f>
        <v/>
      </c>
      <c r="L1269" s="10" t="str">
        <f aca="false">IF($A1269="","",ROW()-2)</f>
        <v/>
      </c>
      <c r="M1269" s="10" t="str">
        <f aca="false">IF($A1269="","",ROW())</f>
        <v/>
      </c>
    </row>
    <row r="1270" customFormat="false" ht="15" hidden="false" customHeight="true" outlineLevel="0" collapsed="false">
      <c r="A1270" s="8"/>
      <c r="B1270" s="8"/>
      <c r="C1270" s="8"/>
      <c r="D1270" s="8"/>
      <c r="E1270" s="8"/>
      <c r="F1270" s="8"/>
      <c r="G1270" s="10" t="str">
        <f aca="false">IF($A1270="","",UPPER(SUBSTITUTE(SUBSTITUTE(SUBSTITUTE(SUBSTITUTE($A1270," ",""),"(주)",""),"주식회사",""),"㈜","")))</f>
        <v/>
      </c>
      <c r="H1270" s="10" t="str">
        <f aca="false">IF($B1270="","",SUBSTITUTE(SUBSTITUTE(SUBSTITUTE($B1270,"-","")," ",""),".",""))</f>
        <v/>
      </c>
      <c r="I1270" s="10" t="str">
        <f aca="false">IF($D1270="","",SUBSTITUTE(SUBSTITUTE(SUBSTITUTE($D1270,"-","")," ",""),".",""))</f>
        <v/>
      </c>
      <c r="J1270" s="10" t="str">
        <f aca="false">IF($E1270="","",UPPER(SUBSTITUTE($E1270," ","")))</f>
        <v/>
      </c>
      <c r="K1270" s="10" t="str">
        <f aca="false">IF($A1270="","",$G1270&amp;"|"&amp;$J1270)</f>
        <v/>
      </c>
      <c r="L1270" s="10" t="str">
        <f aca="false">IF($A1270="","",ROW()-2)</f>
        <v/>
      </c>
      <c r="M1270" s="10" t="str">
        <f aca="false">IF($A1270="","",ROW())</f>
        <v/>
      </c>
    </row>
    <row r="1271" customFormat="false" ht="15" hidden="false" customHeight="true" outlineLevel="0" collapsed="false">
      <c r="A1271" s="8"/>
      <c r="B1271" s="8"/>
      <c r="C1271" s="8"/>
      <c r="D1271" s="8"/>
      <c r="E1271" s="8"/>
      <c r="F1271" s="8"/>
      <c r="G1271" s="10" t="str">
        <f aca="false">IF($A1271="","",UPPER(SUBSTITUTE(SUBSTITUTE(SUBSTITUTE(SUBSTITUTE($A1271," ",""),"(주)",""),"주식회사",""),"㈜","")))</f>
        <v/>
      </c>
      <c r="H1271" s="10" t="str">
        <f aca="false">IF($B1271="","",SUBSTITUTE(SUBSTITUTE(SUBSTITUTE($B1271,"-","")," ",""),".",""))</f>
        <v/>
      </c>
      <c r="I1271" s="10" t="str">
        <f aca="false">IF($D1271="","",SUBSTITUTE(SUBSTITUTE(SUBSTITUTE($D1271,"-","")," ",""),".",""))</f>
        <v/>
      </c>
      <c r="J1271" s="10" t="str">
        <f aca="false">IF($E1271="","",UPPER(SUBSTITUTE($E1271," ","")))</f>
        <v/>
      </c>
      <c r="K1271" s="10" t="str">
        <f aca="false">IF($A1271="","",$G1271&amp;"|"&amp;$J1271)</f>
        <v/>
      </c>
      <c r="L1271" s="10" t="str">
        <f aca="false">IF($A1271="","",ROW()-2)</f>
        <v/>
      </c>
      <c r="M1271" s="10" t="str">
        <f aca="false">IF($A1271="","",ROW())</f>
        <v/>
      </c>
    </row>
    <row r="1272" customFormat="false" ht="15" hidden="false" customHeight="true" outlineLevel="0" collapsed="false">
      <c r="A1272" s="8"/>
      <c r="B1272" s="8"/>
      <c r="C1272" s="8"/>
      <c r="D1272" s="8"/>
      <c r="E1272" s="8"/>
      <c r="F1272" s="8"/>
      <c r="G1272" s="10" t="str">
        <f aca="false">IF($A1272="","",UPPER(SUBSTITUTE(SUBSTITUTE(SUBSTITUTE(SUBSTITUTE($A1272," ",""),"(주)",""),"주식회사",""),"㈜","")))</f>
        <v/>
      </c>
      <c r="H1272" s="10" t="str">
        <f aca="false">IF($B1272="","",SUBSTITUTE(SUBSTITUTE(SUBSTITUTE($B1272,"-","")," ",""),".",""))</f>
        <v/>
      </c>
      <c r="I1272" s="10" t="str">
        <f aca="false">IF($D1272="","",SUBSTITUTE(SUBSTITUTE(SUBSTITUTE($D1272,"-","")," ",""),".",""))</f>
        <v/>
      </c>
      <c r="J1272" s="10" t="str">
        <f aca="false">IF($E1272="","",UPPER(SUBSTITUTE($E1272," ","")))</f>
        <v/>
      </c>
      <c r="K1272" s="10" t="str">
        <f aca="false">IF($A1272="","",$G1272&amp;"|"&amp;$J1272)</f>
        <v/>
      </c>
      <c r="L1272" s="10" t="str">
        <f aca="false">IF($A1272="","",ROW()-2)</f>
        <v/>
      </c>
      <c r="M1272" s="10" t="str">
        <f aca="false">IF($A1272="","",ROW())</f>
        <v/>
      </c>
    </row>
    <row r="1273" customFormat="false" ht="15" hidden="false" customHeight="true" outlineLevel="0" collapsed="false">
      <c r="A1273" s="8"/>
      <c r="B1273" s="8"/>
      <c r="C1273" s="8"/>
      <c r="D1273" s="8"/>
      <c r="E1273" s="8"/>
      <c r="F1273" s="8"/>
      <c r="G1273" s="10" t="str">
        <f aca="false">IF($A1273="","",UPPER(SUBSTITUTE(SUBSTITUTE(SUBSTITUTE(SUBSTITUTE($A1273," ",""),"(주)",""),"주식회사",""),"㈜","")))</f>
        <v/>
      </c>
      <c r="H1273" s="10" t="str">
        <f aca="false">IF($B1273="","",SUBSTITUTE(SUBSTITUTE(SUBSTITUTE($B1273,"-","")," ",""),".",""))</f>
        <v/>
      </c>
      <c r="I1273" s="10" t="str">
        <f aca="false">IF($D1273="","",SUBSTITUTE(SUBSTITUTE(SUBSTITUTE($D1273,"-","")," ",""),".",""))</f>
        <v/>
      </c>
      <c r="J1273" s="10" t="str">
        <f aca="false">IF($E1273="","",UPPER(SUBSTITUTE($E1273," ","")))</f>
        <v/>
      </c>
      <c r="K1273" s="10" t="str">
        <f aca="false">IF($A1273="","",$G1273&amp;"|"&amp;$J1273)</f>
        <v/>
      </c>
      <c r="L1273" s="10" t="str">
        <f aca="false">IF($A1273="","",ROW()-2)</f>
        <v/>
      </c>
      <c r="M1273" s="10" t="str">
        <f aca="false">IF($A1273="","",ROW())</f>
        <v/>
      </c>
    </row>
    <row r="1274" customFormat="false" ht="15" hidden="false" customHeight="true" outlineLevel="0" collapsed="false">
      <c r="A1274" s="8"/>
      <c r="B1274" s="8"/>
      <c r="C1274" s="8"/>
      <c r="D1274" s="8"/>
      <c r="E1274" s="8"/>
      <c r="F1274" s="8"/>
      <c r="G1274" s="10" t="str">
        <f aca="false">IF($A1274="","",UPPER(SUBSTITUTE(SUBSTITUTE(SUBSTITUTE(SUBSTITUTE($A1274," ",""),"(주)",""),"주식회사",""),"㈜","")))</f>
        <v/>
      </c>
      <c r="H1274" s="10" t="str">
        <f aca="false">IF($B1274="","",SUBSTITUTE(SUBSTITUTE(SUBSTITUTE($B1274,"-","")," ",""),".",""))</f>
        <v/>
      </c>
      <c r="I1274" s="10" t="str">
        <f aca="false">IF($D1274="","",SUBSTITUTE(SUBSTITUTE(SUBSTITUTE($D1274,"-","")," ",""),".",""))</f>
        <v/>
      </c>
      <c r="J1274" s="10" t="str">
        <f aca="false">IF($E1274="","",UPPER(SUBSTITUTE($E1274," ","")))</f>
        <v/>
      </c>
      <c r="K1274" s="10" t="str">
        <f aca="false">IF($A1274="","",$G1274&amp;"|"&amp;$J1274)</f>
        <v/>
      </c>
      <c r="L1274" s="10" t="str">
        <f aca="false">IF($A1274="","",ROW()-2)</f>
        <v/>
      </c>
      <c r="M1274" s="10" t="str">
        <f aca="false">IF($A1274="","",ROW())</f>
        <v/>
      </c>
    </row>
    <row r="1275" customFormat="false" ht="15" hidden="false" customHeight="true" outlineLevel="0" collapsed="false">
      <c r="A1275" s="8"/>
      <c r="B1275" s="8"/>
      <c r="C1275" s="8"/>
      <c r="D1275" s="8"/>
      <c r="E1275" s="8"/>
      <c r="F1275" s="8"/>
      <c r="G1275" s="10" t="str">
        <f aca="false">IF($A1275="","",UPPER(SUBSTITUTE(SUBSTITUTE(SUBSTITUTE(SUBSTITUTE($A1275," ",""),"(주)",""),"주식회사",""),"㈜","")))</f>
        <v/>
      </c>
      <c r="H1275" s="10" t="str">
        <f aca="false">IF($B1275="","",SUBSTITUTE(SUBSTITUTE(SUBSTITUTE($B1275,"-","")," ",""),".",""))</f>
        <v/>
      </c>
      <c r="I1275" s="10" t="str">
        <f aca="false">IF($D1275="","",SUBSTITUTE(SUBSTITUTE(SUBSTITUTE($D1275,"-","")," ",""),".",""))</f>
        <v/>
      </c>
      <c r="J1275" s="10" t="str">
        <f aca="false">IF($E1275="","",UPPER(SUBSTITUTE($E1275," ","")))</f>
        <v/>
      </c>
      <c r="K1275" s="10" t="str">
        <f aca="false">IF($A1275="","",$G1275&amp;"|"&amp;$J1275)</f>
        <v/>
      </c>
      <c r="L1275" s="10" t="str">
        <f aca="false">IF($A1275="","",ROW()-2)</f>
        <v/>
      </c>
      <c r="M1275" s="10" t="str">
        <f aca="false">IF($A1275="","",ROW())</f>
        <v/>
      </c>
    </row>
    <row r="1276" customFormat="false" ht="15" hidden="false" customHeight="true" outlineLevel="0" collapsed="false">
      <c r="A1276" s="8"/>
      <c r="B1276" s="8"/>
      <c r="C1276" s="8"/>
      <c r="D1276" s="8"/>
      <c r="E1276" s="8"/>
      <c r="F1276" s="8"/>
      <c r="G1276" s="10" t="str">
        <f aca="false">IF($A1276="","",UPPER(SUBSTITUTE(SUBSTITUTE(SUBSTITUTE(SUBSTITUTE($A1276," ",""),"(주)",""),"주식회사",""),"㈜","")))</f>
        <v/>
      </c>
      <c r="H1276" s="10" t="str">
        <f aca="false">IF($B1276="","",SUBSTITUTE(SUBSTITUTE(SUBSTITUTE($B1276,"-","")," ",""),".",""))</f>
        <v/>
      </c>
      <c r="I1276" s="10" t="str">
        <f aca="false">IF($D1276="","",SUBSTITUTE(SUBSTITUTE(SUBSTITUTE($D1276,"-","")," ",""),".",""))</f>
        <v/>
      </c>
      <c r="J1276" s="10" t="str">
        <f aca="false">IF($E1276="","",UPPER(SUBSTITUTE($E1276," ","")))</f>
        <v/>
      </c>
      <c r="K1276" s="10" t="str">
        <f aca="false">IF($A1276="","",$G1276&amp;"|"&amp;$J1276)</f>
        <v/>
      </c>
      <c r="L1276" s="10" t="str">
        <f aca="false">IF($A1276="","",ROW()-2)</f>
        <v/>
      </c>
      <c r="M1276" s="10" t="str">
        <f aca="false">IF($A1276="","",ROW())</f>
        <v/>
      </c>
    </row>
    <row r="1277" customFormat="false" ht="15" hidden="false" customHeight="true" outlineLevel="0" collapsed="false">
      <c r="A1277" s="8"/>
      <c r="B1277" s="8"/>
      <c r="C1277" s="8"/>
      <c r="D1277" s="8"/>
      <c r="E1277" s="8"/>
      <c r="F1277" s="8"/>
      <c r="G1277" s="10" t="str">
        <f aca="false">IF($A1277="","",UPPER(SUBSTITUTE(SUBSTITUTE(SUBSTITUTE(SUBSTITUTE($A1277," ",""),"(주)",""),"주식회사",""),"㈜","")))</f>
        <v/>
      </c>
      <c r="H1277" s="10" t="str">
        <f aca="false">IF($B1277="","",SUBSTITUTE(SUBSTITUTE(SUBSTITUTE($B1277,"-","")," ",""),".",""))</f>
        <v/>
      </c>
      <c r="I1277" s="10" t="str">
        <f aca="false">IF($D1277="","",SUBSTITUTE(SUBSTITUTE(SUBSTITUTE($D1277,"-","")," ",""),".",""))</f>
        <v/>
      </c>
      <c r="J1277" s="10" t="str">
        <f aca="false">IF($E1277="","",UPPER(SUBSTITUTE($E1277," ","")))</f>
        <v/>
      </c>
      <c r="K1277" s="10" t="str">
        <f aca="false">IF($A1277="","",$G1277&amp;"|"&amp;$J1277)</f>
        <v/>
      </c>
      <c r="L1277" s="10" t="str">
        <f aca="false">IF($A1277="","",ROW()-2)</f>
        <v/>
      </c>
      <c r="M1277" s="10" t="str">
        <f aca="false">IF($A1277="","",ROW())</f>
        <v/>
      </c>
    </row>
    <row r="1278" customFormat="false" ht="15" hidden="false" customHeight="true" outlineLevel="0" collapsed="false">
      <c r="A1278" s="8"/>
      <c r="B1278" s="8"/>
      <c r="C1278" s="8"/>
      <c r="D1278" s="8"/>
      <c r="E1278" s="8"/>
      <c r="F1278" s="8"/>
      <c r="G1278" s="10" t="str">
        <f aca="false">IF($A1278="","",UPPER(SUBSTITUTE(SUBSTITUTE(SUBSTITUTE(SUBSTITUTE($A1278," ",""),"(주)",""),"주식회사",""),"㈜","")))</f>
        <v/>
      </c>
      <c r="H1278" s="10" t="str">
        <f aca="false">IF($B1278="","",SUBSTITUTE(SUBSTITUTE(SUBSTITUTE($B1278,"-","")," ",""),".",""))</f>
        <v/>
      </c>
      <c r="I1278" s="10" t="str">
        <f aca="false">IF($D1278="","",SUBSTITUTE(SUBSTITUTE(SUBSTITUTE($D1278,"-","")," ",""),".",""))</f>
        <v/>
      </c>
      <c r="J1278" s="10" t="str">
        <f aca="false">IF($E1278="","",UPPER(SUBSTITUTE($E1278," ","")))</f>
        <v/>
      </c>
      <c r="K1278" s="10" t="str">
        <f aca="false">IF($A1278="","",$G1278&amp;"|"&amp;$J1278)</f>
        <v/>
      </c>
      <c r="L1278" s="10" t="str">
        <f aca="false">IF($A1278="","",ROW()-2)</f>
        <v/>
      </c>
      <c r="M1278" s="10" t="str">
        <f aca="false">IF($A1278="","",ROW())</f>
        <v/>
      </c>
    </row>
    <row r="1279" customFormat="false" ht="15" hidden="false" customHeight="true" outlineLevel="0" collapsed="false">
      <c r="A1279" s="8"/>
      <c r="B1279" s="8"/>
      <c r="C1279" s="8"/>
      <c r="D1279" s="8"/>
      <c r="E1279" s="8"/>
      <c r="F1279" s="8"/>
      <c r="G1279" s="10" t="str">
        <f aca="false">IF($A1279="","",UPPER(SUBSTITUTE(SUBSTITUTE(SUBSTITUTE(SUBSTITUTE($A1279," ",""),"(주)",""),"주식회사",""),"㈜","")))</f>
        <v/>
      </c>
      <c r="H1279" s="10" t="str">
        <f aca="false">IF($B1279="","",SUBSTITUTE(SUBSTITUTE(SUBSTITUTE($B1279,"-","")," ",""),".",""))</f>
        <v/>
      </c>
      <c r="I1279" s="10" t="str">
        <f aca="false">IF($D1279="","",SUBSTITUTE(SUBSTITUTE(SUBSTITUTE($D1279,"-","")," ",""),".",""))</f>
        <v/>
      </c>
      <c r="J1279" s="10" t="str">
        <f aca="false">IF($E1279="","",UPPER(SUBSTITUTE($E1279," ","")))</f>
        <v/>
      </c>
      <c r="K1279" s="10" t="str">
        <f aca="false">IF($A1279="","",$G1279&amp;"|"&amp;$J1279)</f>
        <v/>
      </c>
      <c r="L1279" s="10" t="str">
        <f aca="false">IF($A1279="","",ROW()-2)</f>
        <v/>
      </c>
      <c r="M1279" s="10" t="str">
        <f aca="false">IF($A1279="","",ROW())</f>
        <v/>
      </c>
    </row>
    <row r="1280" customFormat="false" ht="15" hidden="false" customHeight="true" outlineLevel="0" collapsed="false">
      <c r="A1280" s="8"/>
      <c r="B1280" s="8"/>
      <c r="C1280" s="8"/>
      <c r="D1280" s="8"/>
      <c r="E1280" s="8"/>
      <c r="F1280" s="8"/>
      <c r="G1280" s="10" t="str">
        <f aca="false">IF($A1280="","",UPPER(SUBSTITUTE(SUBSTITUTE(SUBSTITUTE(SUBSTITUTE($A1280," ",""),"(주)",""),"주식회사",""),"㈜","")))</f>
        <v/>
      </c>
      <c r="H1280" s="10" t="str">
        <f aca="false">IF($B1280="","",SUBSTITUTE(SUBSTITUTE(SUBSTITUTE($B1280,"-","")," ",""),".",""))</f>
        <v/>
      </c>
      <c r="I1280" s="10" t="str">
        <f aca="false">IF($D1280="","",SUBSTITUTE(SUBSTITUTE(SUBSTITUTE($D1280,"-","")," ",""),".",""))</f>
        <v/>
      </c>
      <c r="J1280" s="10" t="str">
        <f aca="false">IF($E1280="","",UPPER(SUBSTITUTE($E1280," ","")))</f>
        <v/>
      </c>
      <c r="K1280" s="10" t="str">
        <f aca="false">IF($A1280="","",$G1280&amp;"|"&amp;$J1280)</f>
        <v/>
      </c>
      <c r="L1280" s="10" t="str">
        <f aca="false">IF($A1280="","",ROW()-2)</f>
        <v/>
      </c>
      <c r="M1280" s="10" t="str">
        <f aca="false">IF($A1280="","",ROW())</f>
        <v/>
      </c>
    </row>
    <row r="1281" customFormat="false" ht="15" hidden="false" customHeight="true" outlineLevel="0" collapsed="false">
      <c r="A1281" s="8"/>
      <c r="B1281" s="8"/>
      <c r="C1281" s="8"/>
      <c r="D1281" s="8"/>
      <c r="E1281" s="8"/>
      <c r="F1281" s="8"/>
      <c r="G1281" s="10" t="str">
        <f aca="false">IF($A1281="","",UPPER(SUBSTITUTE(SUBSTITUTE(SUBSTITUTE(SUBSTITUTE($A1281," ",""),"(주)",""),"주식회사",""),"㈜","")))</f>
        <v/>
      </c>
      <c r="H1281" s="10" t="str">
        <f aca="false">IF($B1281="","",SUBSTITUTE(SUBSTITUTE(SUBSTITUTE($B1281,"-","")," ",""),".",""))</f>
        <v/>
      </c>
      <c r="I1281" s="10" t="str">
        <f aca="false">IF($D1281="","",SUBSTITUTE(SUBSTITUTE(SUBSTITUTE($D1281,"-","")," ",""),".",""))</f>
        <v/>
      </c>
      <c r="J1281" s="10" t="str">
        <f aca="false">IF($E1281="","",UPPER(SUBSTITUTE($E1281," ","")))</f>
        <v/>
      </c>
      <c r="K1281" s="10" t="str">
        <f aca="false">IF($A1281="","",$G1281&amp;"|"&amp;$J1281)</f>
        <v/>
      </c>
      <c r="L1281" s="10" t="str">
        <f aca="false">IF($A1281="","",ROW()-2)</f>
        <v/>
      </c>
      <c r="M1281" s="10" t="str">
        <f aca="false">IF($A1281="","",ROW())</f>
        <v/>
      </c>
    </row>
    <row r="1282" customFormat="false" ht="15" hidden="false" customHeight="true" outlineLevel="0" collapsed="false">
      <c r="A1282" s="8"/>
      <c r="B1282" s="8"/>
      <c r="C1282" s="8"/>
      <c r="D1282" s="8"/>
      <c r="E1282" s="8"/>
      <c r="F1282" s="8"/>
      <c r="G1282" s="10" t="str">
        <f aca="false">IF($A1282="","",UPPER(SUBSTITUTE(SUBSTITUTE(SUBSTITUTE(SUBSTITUTE($A1282," ",""),"(주)",""),"주식회사",""),"㈜","")))</f>
        <v/>
      </c>
      <c r="H1282" s="10" t="str">
        <f aca="false">IF($B1282="","",SUBSTITUTE(SUBSTITUTE(SUBSTITUTE($B1282,"-","")," ",""),".",""))</f>
        <v/>
      </c>
      <c r="I1282" s="10" t="str">
        <f aca="false">IF($D1282="","",SUBSTITUTE(SUBSTITUTE(SUBSTITUTE($D1282,"-","")," ",""),".",""))</f>
        <v/>
      </c>
      <c r="J1282" s="10" t="str">
        <f aca="false">IF($E1282="","",UPPER(SUBSTITUTE($E1282," ","")))</f>
        <v/>
      </c>
      <c r="K1282" s="10" t="str">
        <f aca="false">IF($A1282="","",$G1282&amp;"|"&amp;$J1282)</f>
        <v/>
      </c>
      <c r="L1282" s="10" t="str">
        <f aca="false">IF($A1282="","",ROW()-2)</f>
        <v/>
      </c>
      <c r="M1282" s="10" t="str">
        <f aca="false">IF($A1282="","",ROW())</f>
        <v/>
      </c>
    </row>
    <row r="1283" customFormat="false" ht="15" hidden="false" customHeight="true" outlineLevel="0" collapsed="false">
      <c r="A1283" s="8"/>
      <c r="B1283" s="8"/>
      <c r="C1283" s="8"/>
      <c r="D1283" s="8"/>
      <c r="E1283" s="8"/>
      <c r="F1283" s="8"/>
      <c r="G1283" s="10" t="str">
        <f aca="false">IF($A1283="","",UPPER(SUBSTITUTE(SUBSTITUTE(SUBSTITUTE(SUBSTITUTE($A1283," ",""),"(주)",""),"주식회사",""),"㈜","")))</f>
        <v/>
      </c>
      <c r="H1283" s="10" t="str">
        <f aca="false">IF($B1283="","",SUBSTITUTE(SUBSTITUTE(SUBSTITUTE($B1283,"-","")," ",""),".",""))</f>
        <v/>
      </c>
      <c r="I1283" s="10" t="str">
        <f aca="false">IF($D1283="","",SUBSTITUTE(SUBSTITUTE(SUBSTITUTE($D1283,"-","")," ",""),".",""))</f>
        <v/>
      </c>
      <c r="J1283" s="10" t="str">
        <f aca="false">IF($E1283="","",UPPER(SUBSTITUTE($E1283," ","")))</f>
        <v/>
      </c>
      <c r="K1283" s="10" t="str">
        <f aca="false">IF($A1283="","",$G1283&amp;"|"&amp;$J1283)</f>
        <v/>
      </c>
      <c r="L1283" s="10" t="str">
        <f aca="false">IF($A1283="","",ROW()-2)</f>
        <v/>
      </c>
      <c r="M1283" s="10" t="str">
        <f aca="false">IF($A1283="","",ROW())</f>
        <v/>
      </c>
    </row>
    <row r="1284" customFormat="false" ht="15" hidden="false" customHeight="true" outlineLevel="0" collapsed="false">
      <c r="A1284" s="8"/>
      <c r="B1284" s="8"/>
      <c r="C1284" s="8"/>
      <c r="D1284" s="8"/>
      <c r="E1284" s="8"/>
      <c r="F1284" s="8"/>
      <c r="G1284" s="10" t="str">
        <f aca="false">IF($A1284="","",UPPER(SUBSTITUTE(SUBSTITUTE(SUBSTITUTE(SUBSTITUTE($A1284," ",""),"(주)",""),"주식회사",""),"㈜","")))</f>
        <v/>
      </c>
      <c r="H1284" s="10" t="str">
        <f aca="false">IF($B1284="","",SUBSTITUTE(SUBSTITUTE(SUBSTITUTE($B1284,"-","")," ",""),".",""))</f>
        <v/>
      </c>
      <c r="I1284" s="10" t="str">
        <f aca="false">IF($D1284="","",SUBSTITUTE(SUBSTITUTE(SUBSTITUTE($D1284,"-","")," ",""),".",""))</f>
        <v/>
      </c>
      <c r="J1284" s="10" t="str">
        <f aca="false">IF($E1284="","",UPPER(SUBSTITUTE($E1284," ","")))</f>
        <v/>
      </c>
      <c r="K1284" s="10" t="str">
        <f aca="false">IF($A1284="","",$G1284&amp;"|"&amp;$J1284)</f>
        <v/>
      </c>
      <c r="L1284" s="10" t="str">
        <f aca="false">IF($A1284="","",ROW()-2)</f>
        <v/>
      </c>
      <c r="M1284" s="10" t="str">
        <f aca="false">IF($A1284="","",ROW())</f>
        <v/>
      </c>
    </row>
    <row r="1285" customFormat="false" ht="15" hidden="false" customHeight="true" outlineLevel="0" collapsed="false">
      <c r="A1285" s="8"/>
      <c r="B1285" s="8"/>
      <c r="C1285" s="8"/>
      <c r="D1285" s="8"/>
      <c r="E1285" s="8"/>
      <c r="F1285" s="8"/>
      <c r="G1285" s="10" t="str">
        <f aca="false">IF($A1285="","",UPPER(SUBSTITUTE(SUBSTITUTE(SUBSTITUTE(SUBSTITUTE($A1285," ",""),"(주)",""),"주식회사",""),"㈜","")))</f>
        <v/>
      </c>
      <c r="H1285" s="10" t="str">
        <f aca="false">IF($B1285="","",SUBSTITUTE(SUBSTITUTE(SUBSTITUTE($B1285,"-","")," ",""),".",""))</f>
        <v/>
      </c>
      <c r="I1285" s="10" t="str">
        <f aca="false">IF($D1285="","",SUBSTITUTE(SUBSTITUTE(SUBSTITUTE($D1285,"-","")," ",""),".",""))</f>
        <v/>
      </c>
      <c r="J1285" s="10" t="str">
        <f aca="false">IF($E1285="","",UPPER(SUBSTITUTE($E1285," ","")))</f>
        <v/>
      </c>
      <c r="K1285" s="10" t="str">
        <f aca="false">IF($A1285="","",$G1285&amp;"|"&amp;$J1285)</f>
        <v/>
      </c>
      <c r="L1285" s="10" t="str">
        <f aca="false">IF($A1285="","",ROW()-2)</f>
        <v/>
      </c>
      <c r="M1285" s="10" t="str">
        <f aca="false">IF($A1285="","",ROW())</f>
        <v/>
      </c>
    </row>
    <row r="1286" customFormat="false" ht="15" hidden="false" customHeight="true" outlineLevel="0" collapsed="false">
      <c r="A1286" s="8"/>
      <c r="B1286" s="8"/>
      <c r="C1286" s="8"/>
      <c r="D1286" s="8"/>
      <c r="E1286" s="8"/>
      <c r="F1286" s="8"/>
      <c r="G1286" s="10" t="str">
        <f aca="false">IF($A1286="","",UPPER(SUBSTITUTE(SUBSTITUTE(SUBSTITUTE(SUBSTITUTE($A1286," ",""),"(주)",""),"주식회사",""),"㈜","")))</f>
        <v/>
      </c>
      <c r="H1286" s="10" t="str">
        <f aca="false">IF($B1286="","",SUBSTITUTE(SUBSTITUTE(SUBSTITUTE($B1286,"-","")," ",""),".",""))</f>
        <v/>
      </c>
      <c r="I1286" s="10" t="str">
        <f aca="false">IF($D1286="","",SUBSTITUTE(SUBSTITUTE(SUBSTITUTE($D1286,"-","")," ",""),".",""))</f>
        <v/>
      </c>
      <c r="J1286" s="10" t="str">
        <f aca="false">IF($E1286="","",UPPER(SUBSTITUTE($E1286," ","")))</f>
        <v/>
      </c>
      <c r="K1286" s="10" t="str">
        <f aca="false">IF($A1286="","",$G1286&amp;"|"&amp;$J1286)</f>
        <v/>
      </c>
      <c r="L1286" s="10" t="str">
        <f aca="false">IF($A1286="","",ROW()-2)</f>
        <v/>
      </c>
      <c r="M1286" s="10" t="str">
        <f aca="false">IF($A1286="","",ROW())</f>
        <v/>
      </c>
    </row>
    <row r="1287" customFormat="false" ht="15" hidden="false" customHeight="true" outlineLevel="0" collapsed="false">
      <c r="A1287" s="8"/>
      <c r="B1287" s="8"/>
      <c r="C1287" s="8"/>
      <c r="D1287" s="8"/>
      <c r="E1287" s="8"/>
      <c r="F1287" s="8"/>
      <c r="G1287" s="10" t="str">
        <f aca="false">IF($A1287="","",UPPER(SUBSTITUTE(SUBSTITUTE(SUBSTITUTE(SUBSTITUTE($A1287," ",""),"(주)",""),"주식회사",""),"㈜","")))</f>
        <v/>
      </c>
      <c r="H1287" s="10" t="str">
        <f aca="false">IF($B1287="","",SUBSTITUTE(SUBSTITUTE(SUBSTITUTE($B1287,"-","")," ",""),".",""))</f>
        <v/>
      </c>
      <c r="I1287" s="10" t="str">
        <f aca="false">IF($D1287="","",SUBSTITUTE(SUBSTITUTE(SUBSTITUTE($D1287,"-","")," ",""),".",""))</f>
        <v/>
      </c>
      <c r="J1287" s="10" t="str">
        <f aca="false">IF($E1287="","",UPPER(SUBSTITUTE($E1287," ","")))</f>
        <v/>
      </c>
      <c r="K1287" s="10" t="str">
        <f aca="false">IF($A1287="","",$G1287&amp;"|"&amp;$J1287)</f>
        <v/>
      </c>
      <c r="L1287" s="10" t="str">
        <f aca="false">IF($A1287="","",ROW()-2)</f>
        <v/>
      </c>
      <c r="M1287" s="10" t="str">
        <f aca="false">IF($A1287="","",ROW())</f>
        <v/>
      </c>
    </row>
    <row r="1288" customFormat="false" ht="15" hidden="false" customHeight="true" outlineLevel="0" collapsed="false">
      <c r="A1288" s="8"/>
      <c r="B1288" s="8"/>
      <c r="C1288" s="8"/>
      <c r="D1288" s="8"/>
      <c r="E1288" s="8"/>
      <c r="F1288" s="8"/>
      <c r="G1288" s="10" t="str">
        <f aca="false">IF($A1288="","",UPPER(SUBSTITUTE(SUBSTITUTE(SUBSTITUTE(SUBSTITUTE($A1288," ",""),"(주)",""),"주식회사",""),"㈜","")))</f>
        <v/>
      </c>
      <c r="H1288" s="10" t="str">
        <f aca="false">IF($B1288="","",SUBSTITUTE(SUBSTITUTE(SUBSTITUTE($B1288,"-","")," ",""),".",""))</f>
        <v/>
      </c>
      <c r="I1288" s="10" t="str">
        <f aca="false">IF($D1288="","",SUBSTITUTE(SUBSTITUTE(SUBSTITUTE($D1288,"-","")," ",""),".",""))</f>
        <v/>
      </c>
      <c r="J1288" s="10" t="str">
        <f aca="false">IF($E1288="","",UPPER(SUBSTITUTE($E1288," ","")))</f>
        <v/>
      </c>
      <c r="K1288" s="10" t="str">
        <f aca="false">IF($A1288="","",$G1288&amp;"|"&amp;$J1288)</f>
        <v/>
      </c>
      <c r="L1288" s="10" t="str">
        <f aca="false">IF($A1288="","",ROW()-2)</f>
        <v/>
      </c>
      <c r="M1288" s="10" t="str">
        <f aca="false">IF($A1288="","",ROW())</f>
        <v/>
      </c>
    </row>
    <row r="1289" customFormat="false" ht="15" hidden="false" customHeight="true" outlineLevel="0" collapsed="false">
      <c r="A1289" s="8"/>
      <c r="B1289" s="8"/>
      <c r="C1289" s="8"/>
      <c r="D1289" s="8"/>
      <c r="E1289" s="8"/>
      <c r="F1289" s="8"/>
      <c r="G1289" s="10" t="str">
        <f aca="false">IF($A1289="","",UPPER(SUBSTITUTE(SUBSTITUTE(SUBSTITUTE(SUBSTITUTE($A1289," ",""),"(주)",""),"주식회사",""),"㈜","")))</f>
        <v/>
      </c>
      <c r="H1289" s="10" t="str">
        <f aca="false">IF($B1289="","",SUBSTITUTE(SUBSTITUTE(SUBSTITUTE($B1289,"-","")," ",""),".",""))</f>
        <v/>
      </c>
      <c r="I1289" s="10" t="str">
        <f aca="false">IF($D1289="","",SUBSTITUTE(SUBSTITUTE(SUBSTITUTE($D1289,"-","")," ",""),".",""))</f>
        <v/>
      </c>
      <c r="J1289" s="10" t="str">
        <f aca="false">IF($E1289="","",UPPER(SUBSTITUTE($E1289," ","")))</f>
        <v/>
      </c>
      <c r="K1289" s="10" t="str">
        <f aca="false">IF($A1289="","",$G1289&amp;"|"&amp;$J1289)</f>
        <v/>
      </c>
      <c r="L1289" s="10" t="str">
        <f aca="false">IF($A1289="","",ROW()-2)</f>
        <v/>
      </c>
      <c r="M1289" s="10" t="str">
        <f aca="false">IF($A1289="","",ROW())</f>
        <v/>
      </c>
    </row>
    <row r="1290" customFormat="false" ht="15" hidden="false" customHeight="true" outlineLevel="0" collapsed="false">
      <c r="A1290" s="8"/>
      <c r="B1290" s="8"/>
      <c r="C1290" s="8"/>
      <c r="D1290" s="8"/>
      <c r="E1290" s="8"/>
      <c r="F1290" s="8"/>
      <c r="G1290" s="10" t="str">
        <f aca="false">IF($A1290="","",UPPER(SUBSTITUTE(SUBSTITUTE(SUBSTITUTE(SUBSTITUTE($A1290," ",""),"(주)",""),"주식회사",""),"㈜","")))</f>
        <v/>
      </c>
      <c r="H1290" s="10" t="str">
        <f aca="false">IF($B1290="","",SUBSTITUTE(SUBSTITUTE(SUBSTITUTE($B1290,"-","")," ",""),".",""))</f>
        <v/>
      </c>
      <c r="I1290" s="10" t="str">
        <f aca="false">IF($D1290="","",SUBSTITUTE(SUBSTITUTE(SUBSTITUTE($D1290,"-","")," ",""),".",""))</f>
        <v/>
      </c>
      <c r="J1290" s="10" t="str">
        <f aca="false">IF($E1290="","",UPPER(SUBSTITUTE($E1290," ","")))</f>
        <v/>
      </c>
      <c r="K1290" s="10" t="str">
        <f aca="false">IF($A1290="","",$G1290&amp;"|"&amp;$J1290)</f>
        <v/>
      </c>
      <c r="L1290" s="10" t="str">
        <f aca="false">IF($A1290="","",ROW()-2)</f>
        <v/>
      </c>
      <c r="M1290" s="10" t="str">
        <f aca="false">IF($A1290="","",ROW())</f>
        <v/>
      </c>
    </row>
    <row r="1291" customFormat="false" ht="15" hidden="false" customHeight="true" outlineLevel="0" collapsed="false">
      <c r="A1291" s="8"/>
      <c r="B1291" s="8"/>
      <c r="C1291" s="8"/>
      <c r="D1291" s="8"/>
      <c r="E1291" s="8"/>
      <c r="F1291" s="8"/>
      <c r="G1291" s="10" t="str">
        <f aca="false">IF($A1291="","",UPPER(SUBSTITUTE(SUBSTITUTE(SUBSTITUTE(SUBSTITUTE($A1291," ",""),"(주)",""),"주식회사",""),"㈜","")))</f>
        <v/>
      </c>
      <c r="H1291" s="10" t="str">
        <f aca="false">IF($B1291="","",SUBSTITUTE(SUBSTITUTE(SUBSTITUTE($B1291,"-","")," ",""),".",""))</f>
        <v/>
      </c>
      <c r="I1291" s="10" t="str">
        <f aca="false">IF($D1291="","",SUBSTITUTE(SUBSTITUTE(SUBSTITUTE($D1291,"-","")," ",""),".",""))</f>
        <v/>
      </c>
      <c r="J1291" s="10" t="str">
        <f aca="false">IF($E1291="","",UPPER(SUBSTITUTE($E1291," ","")))</f>
        <v/>
      </c>
      <c r="K1291" s="10" t="str">
        <f aca="false">IF($A1291="","",$G1291&amp;"|"&amp;$J1291)</f>
        <v/>
      </c>
      <c r="L1291" s="10" t="str">
        <f aca="false">IF($A1291="","",ROW()-2)</f>
        <v/>
      </c>
      <c r="M1291" s="10" t="str">
        <f aca="false">IF($A1291="","",ROW())</f>
        <v/>
      </c>
    </row>
    <row r="1292" customFormat="false" ht="15" hidden="false" customHeight="true" outlineLevel="0" collapsed="false">
      <c r="A1292" s="8"/>
      <c r="B1292" s="8"/>
      <c r="C1292" s="8"/>
      <c r="D1292" s="8"/>
      <c r="E1292" s="8"/>
      <c r="F1292" s="8"/>
      <c r="G1292" s="10" t="str">
        <f aca="false">IF($A1292="","",UPPER(SUBSTITUTE(SUBSTITUTE(SUBSTITUTE(SUBSTITUTE($A1292," ",""),"(주)",""),"주식회사",""),"㈜","")))</f>
        <v/>
      </c>
      <c r="H1292" s="10" t="str">
        <f aca="false">IF($B1292="","",SUBSTITUTE(SUBSTITUTE(SUBSTITUTE($B1292,"-","")," ",""),".",""))</f>
        <v/>
      </c>
      <c r="I1292" s="10" t="str">
        <f aca="false">IF($D1292="","",SUBSTITUTE(SUBSTITUTE(SUBSTITUTE($D1292,"-","")," ",""),".",""))</f>
        <v/>
      </c>
      <c r="J1292" s="10" t="str">
        <f aca="false">IF($E1292="","",UPPER(SUBSTITUTE($E1292," ","")))</f>
        <v/>
      </c>
      <c r="K1292" s="10" t="str">
        <f aca="false">IF($A1292="","",$G1292&amp;"|"&amp;$J1292)</f>
        <v/>
      </c>
      <c r="L1292" s="10" t="str">
        <f aca="false">IF($A1292="","",ROW()-2)</f>
        <v/>
      </c>
      <c r="M1292" s="10" t="str">
        <f aca="false">IF($A1292="","",ROW())</f>
        <v/>
      </c>
    </row>
    <row r="1293" customFormat="false" ht="15" hidden="false" customHeight="true" outlineLevel="0" collapsed="false">
      <c r="A1293" s="8"/>
      <c r="B1293" s="8"/>
      <c r="C1293" s="8"/>
      <c r="D1293" s="8"/>
      <c r="E1293" s="8"/>
      <c r="F1293" s="8"/>
      <c r="G1293" s="10" t="str">
        <f aca="false">IF($A1293="","",UPPER(SUBSTITUTE(SUBSTITUTE(SUBSTITUTE(SUBSTITUTE($A1293," ",""),"(주)",""),"주식회사",""),"㈜","")))</f>
        <v/>
      </c>
      <c r="H1293" s="10" t="str">
        <f aca="false">IF($B1293="","",SUBSTITUTE(SUBSTITUTE(SUBSTITUTE($B1293,"-","")," ",""),".",""))</f>
        <v/>
      </c>
      <c r="I1293" s="10" t="str">
        <f aca="false">IF($D1293="","",SUBSTITUTE(SUBSTITUTE(SUBSTITUTE($D1293,"-","")," ",""),".",""))</f>
        <v/>
      </c>
      <c r="J1293" s="10" t="str">
        <f aca="false">IF($E1293="","",UPPER(SUBSTITUTE($E1293," ","")))</f>
        <v/>
      </c>
      <c r="K1293" s="10" t="str">
        <f aca="false">IF($A1293="","",$G1293&amp;"|"&amp;$J1293)</f>
        <v/>
      </c>
      <c r="L1293" s="10" t="str">
        <f aca="false">IF($A1293="","",ROW()-2)</f>
        <v/>
      </c>
      <c r="M1293" s="10" t="str">
        <f aca="false">IF($A1293="","",ROW())</f>
        <v/>
      </c>
    </row>
    <row r="1294" customFormat="false" ht="15" hidden="false" customHeight="true" outlineLevel="0" collapsed="false">
      <c r="A1294" s="8"/>
      <c r="B1294" s="8"/>
      <c r="C1294" s="8"/>
      <c r="D1294" s="8"/>
      <c r="E1294" s="8"/>
      <c r="F1294" s="8"/>
      <c r="G1294" s="10" t="str">
        <f aca="false">IF($A1294="","",UPPER(SUBSTITUTE(SUBSTITUTE(SUBSTITUTE(SUBSTITUTE($A1294," ",""),"(주)",""),"주식회사",""),"㈜","")))</f>
        <v/>
      </c>
      <c r="H1294" s="10" t="str">
        <f aca="false">IF($B1294="","",SUBSTITUTE(SUBSTITUTE(SUBSTITUTE($B1294,"-","")," ",""),".",""))</f>
        <v/>
      </c>
      <c r="I1294" s="10" t="str">
        <f aca="false">IF($D1294="","",SUBSTITUTE(SUBSTITUTE(SUBSTITUTE($D1294,"-","")," ",""),".",""))</f>
        <v/>
      </c>
      <c r="J1294" s="10" t="str">
        <f aca="false">IF($E1294="","",UPPER(SUBSTITUTE($E1294," ","")))</f>
        <v/>
      </c>
      <c r="K1294" s="10" t="str">
        <f aca="false">IF($A1294="","",$G1294&amp;"|"&amp;$J1294)</f>
        <v/>
      </c>
      <c r="L1294" s="10" t="str">
        <f aca="false">IF($A1294="","",ROW()-2)</f>
        <v/>
      </c>
      <c r="M1294" s="10" t="str">
        <f aca="false">IF($A1294="","",ROW())</f>
        <v/>
      </c>
    </row>
    <row r="1295" customFormat="false" ht="15" hidden="false" customHeight="true" outlineLevel="0" collapsed="false">
      <c r="A1295" s="8"/>
      <c r="B1295" s="8"/>
      <c r="C1295" s="8"/>
      <c r="D1295" s="8"/>
      <c r="E1295" s="8"/>
      <c r="F1295" s="8"/>
      <c r="G1295" s="10" t="str">
        <f aca="false">IF($A1295="","",UPPER(SUBSTITUTE(SUBSTITUTE(SUBSTITUTE(SUBSTITUTE($A1295," ",""),"(주)",""),"주식회사",""),"㈜","")))</f>
        <v/>
      </c>
      <c r="H1295" s="10" t="str">
        <f aca="false">IF($B1295="","",SUBSTITUTE(SUBSTITUTE(SUBSTITUTE($B1295,"-","")," ",""),".",""))</f>
        <v/>
      </c>
      <c r="I1295" s="10" t="str">
        <f aca="false">IF($D1295="","",SUBSTITUTE(SUBSTITUTE(SUBSTITUTE($D1295,"-","")," ",""),".",""))</f>
        <v/>
      </c>
      <c r="J1295" s="10" t="str">
        <f aca="false">IF($E1295="","",UPPER(SUBSTITUTE($E1295," ","")))</f>
        <v/>
      </c>
      <c r="K1295" s="10" t="str">
        <f aca="false">IF($A1295="","",$G1295&amp;"|"&amp;$J1295)</f>
        <v/>
      </c>
      <c r="L1295" s="10" t="str">
        <f aca="false">IF($A1295="","",ROW()-2)</f>
        <v/>
      </c>
      <c r="M1295" s="10" t="str">
        <f aca="false">IF($A1295="","",ROW())</f>
        <v/>
      </c>
    </row>
    <row r="1296" customFormat="false" ht="15" hidden="false" customHeight="true" outlineLevel="0" collapsed="false">
      <c r="A1296" s="8"/>
      <c r="B1296" s="8"/>
      <c r="C1296" s="8"/>
      <c r="D1296" s="8"/>
      <c r="E1296" s="8"/>
      <c r="F1296" s="8"/>
      <c r="G1296" s="10" t="str">
        <f aca="false">IF($A1296="","",UPPER(SUBSTITUTE(SUBSTITUTE(SUBSTITUTE(SUBSTITUTE($A1296," ",""),"(주)",""),"주식회사",""),"㈜","")))</f>
        <v/>
      </c>
      <c r="H1296" s="10" t="str">
        <f aca="false">IF($B1296="","",SUBSTITUTE(SUBSTITUTE(SUBSTITUTE($B1296,"-","")," ",""),".",""))</f>
        <v/>
      </c>
      <c r="I1296" s="10" t="str">
        <f aca="false">IF($D1296="","",SUBSTITUTE(SUBSTITUTE(SUBSTITUTE($D1296,"-","")," ",""),".",""))</f>
        <v/>
      </c>
      <c r="J1296" s="10" t="str">
        <f aca="false">IF($E1296="","",UPPER(SUBSTITUTE($E1296," ","")))</f>
        <v/>
      </c>
      <c r="K1296" s="10" t="str">
        <f aca="false">IF($A1296="","",$G1296&amp;"|"&amp;$J1296)</f>
        <v/>
      </c>
      <c r="L1296" s="10" t="str">
        <f aca="false">IF($A1296="","",ROW()-2)</f>
        <v/>
      </c>
      <c r="M1296" s="10" t="str">
        <f aca="false">IF($A1296="","",ROW())</f>
        <v/>
      </c>
    </row>
    <row r="1297" customFormat="false" ht="15" hidden="false" customHeight="true" outlineLevel="0" collapsed="false">
      <c r="A1297" s="8"/>
      <c r="B1297" s="8"/>
      <c r="C1297" s="8"/>
      <c r="D1297" s="8"/>
      <c r="E1297" s="8"/>
      <c r="F1297" s="8"/>
      <c r="G1297" s="10" t="str">
        <f aca="false">IF($A1297="","",UPPER(SUBSTITUTE(SUBSTITUTE(SUBSTITUTE(SUBSTITUTE($A1297," ",""),"(주)",""),"주식회사",""),"㈜","")))</f>
        <v/>
      </c>
      <c r="H1297" s="10" t="str">
        <f aca="false">IF($B1297="","",SUBSTITUTE(SUBSTITUTE(SUBSTITUTE($B1297,"-","")," ",""),".",""))</f>
        <v/>
      </c>
      <c r="I1297" s="10" t="str">
        <f aca="false">IF($D1297="","",SUBSTITUTE(SUBSTITUTE(SUBSTITUTE($D1297,"-","")," ",""),".",""))</f>
        <v/>
      </c>
      <c r="J1297" s="10" t="str">
        <f aca="false">IF($E1297="","",UPPER(SUBSTITUTE($E1297," ","")))</f>
        <v/>
      </c>
      <c r="K1297" s="10" t="str">
        <f aca="false">IF($A1297="","",$G1297&amp;"|"&amp;$J1297)</f>
        <v/>
      </c>
      <c r="L1297" s="10" t="str">
        <f aca="false">IF($A1297="","",ROW()-2)</f>
        <v/>
      </c>
      <c r="M1297" s="10" t="str">
        <f aca="false">IF($A1297="","",ROW())</f>
        <v/>
      </c>
    </row>
    <row r="1298" customFormat="false" ht="15" hidden="false" customHeight="true" outlineLevel="0" collapsed="false">
      <c r="A1298" s="8"/>
      <c r="B1298" s="8"/>
      <c r="C1298" s="8"/>
      <c r="D1298" s="8"/>
      <c r="E1298" s="8"/>
      <c r="F1298" s="8"/>
      <c r="G1298" s="10" t="str">
        <f aca="false">IF($A1298="","",UPPER(SUBSTITUTE(SUBSTITUTE(SUBSTITUTE(SUBSTITUTE($A1298," ",""),"(주)",""),"주식회사",""),"㈜","")))</f>
        <v/>
      </c>
      <c r="H1298" s="10" t="str">
        <f aca="false">IF($B1298="","",SUBSTITUTE(SUBSTITUTE(SUBSTITUTE($B1298,"-","")," ",""),".",""))</f>
        <v/>
      </c>
      <c r="I1298" s="10" t="str">
        <f aca="false">IF($D1298="","",SUBSTITUTE(SUBSTITUTE(SUBSTITUTE($D1298,"-","")," ",""),".",""))</f>
        <v/>
      </c>
      <c r="J1298" s="10" t="str">
        <f aca="false">IF($E1298="","",UPPER(SUBSTITUTE($E1298," ","")))</f>
        <v/>
      </c>
      <c r="K1298" s="10" t="str">
        <f aca="false">IF($A1298="","",$G1298&amp;"|"&amp;$J1298)</f>
        <v/>
      </c>
      <c r="L1298" s="10" t="str">
        <f aca="false">IF($A1298="","",ROW()-2)</f>
        <v/>
      </c>
      <c r="M1298" s="10" t="str">
        <f aca="false">IF($A1298="","",ROW())</f>
        <v/>
      </c>
    </row>
    <row r="1299" customFormat="false" ht="15" hidden="false" customHeight="true" outlineLevel="0" collapsed="false">
      <c r="A1299" s="8"/>
      <c r="B1299" s="8"/>
      <c r="C1299" s="8"/>
      <c r="D1299" s="8"/>
      <c r="E1299" s="8"/>
      <c r="F1299" s="8"/>
      <c r="G1299" s="10" t="str">
        <f aca="false">IF($A1299="","",UPPER(SUBSTITUTE(SUBSTITUTE(SUBSTITUTE(SUBSTITUTE($A1299," ",""),"(주)",""),"주식회사",""),"㈜","")))</f>
        <v/>
      </c>
      <c r="H1299" s="10" t="str">
        <f aca="false">IF($B1299="","",SUBSTITUTE(SUBSTITUTE(SUBSTITUTE($B1299,"-","")," ",""),".",""))</f>
        <v/>
      </c>
      <c r="I1299" s="10" t="str">
        <f aca="false">IF($D1299="","",SUBSTITUTE(SUBSTITUTE(SUBSTITUTE($D1299,"-","")," ",""),".",""))</f>
        <v/>
      </c>
      <c r="J1299" s="10" t="str">
        <f aca="false">IF($E1299="","",UPPER(SUBSTITUTE($E1299," ","")))</f>
        <v/>
      </c>
      <c r="K1299" s="10" t="str">
        <f aca="false">IF($A1299="","",$G1299&amp;"|"&amp;$J1299)</f>
        <v/>
      </c>
      <c r="L1299" s="10" t="str">
        <f aca="false">IF($A1299="","",ROW()-2)</f>
        <v/>
      </c>
      <c r="M1299" s="10" t="str">
        <f aca="false">IF($A1299="","",ROW())</f>
        <v/>
      </c>
    </row>
    <row r="1300" customFormat="false" ht="15" hidden="false" customHeight="true" outlineLevel="0" collapsed="false">
      <c r="A1300" s="8"/>
      <c r="B1300" s="8"/>
      <c r="C1300" s="8"/>
      <c r="D1300" s="8"/>
      <c r="E1300" s="8"/>
      <c r="F1300" s="8"/>
      <c r="G1300" s="10" t="str">
        <f aca="false">IF($A1300="","",UPPER(SUBSTITUTE(SUBSTITUTE(SUBSTITUTE(SUBSTITUTE($A1300," ",""),"(주)",""),"주식회사",""),"㈜","")))</f>
        <v/>
      </c>
      <c r="H1300" s="10" t="str">
        <f aca="false">IF($B1300="","",SUBSTITUTE(SUBSTITUTE(SUBSTITUTE($B1300,"-","")," ",""),".",""))</f>
        <v/>
      </c>
      <c r="I1300" s="10" t="str">
        <f aca="false">IF($D1300="","",SUBSTITUTE(SUBSTITUTE(SUBSTITUTE($D1300,"-","")," ",""),".",""))</f>
        <v/>
      </c>
      <c r="J1300" s="10" t="str">
        <f aca="false">IF($E1300="","",UPPER(SUBSTITUTE($E1300," ","")))</f>
        <v/>
      </c>
      <c r="K1300" s="10" t="str">
        <f aca="false">IF($A1300="","",$G1300&amp;"|"&amp;$J1300)</f>
        <v/>
      </c>
      <c r="L1300" s="10" t="str">
        <f aca="false">IF($A1300="","",ROW()-2)</f>
        <v/>
      </c>
      <c r="M1300" s="10" t="str">
        <f aca="false">IF($A1300="","",ROW())</f>
        <v/>
      </c>
    </row>
    <row r="1301" customFormat="false" ht="15" hidden="false" customHeight="true" outlineLevel="0" collapsed="false">
      <c r="A1301" s="8"/>
      <c r="B1301" s="8"/>
      <c r="C1301" s="8"/>
      <c r="D1301" s="8"/>
      <c r="E1301" s="8"/>
      <c r="F1301" s="8"/>
      <c r="G1301" s="10" t="str">
        <f aca="false">IF($A1301="","",UPPER(SUBSTITUTE(SUBSTITUTE(SUBSTITUTE(SUBSTITUTE($A1301," ",""),"(주)",""),"주식회사",""),"㈜","")))</f>
        <v/>
      </c>
      <c r="H1301" s="10" t="str">
        <f aca="false">IF($B1301="","",SUBSTITUTE(SUBSTITUTE(SUBSTITUTE($B1301,"-","")," ",""),".",""))</f>
        <v/>
      </c>
      <c r="I1301" s="10" t="str">
        <f aca="false">IF($D1301="","",SUBSTITUTE(SUBSTITUTE(SUBSTITUTE($D1301,"-","")," ",""),".",""))</f>
        <v/>
      </c>
      <c r="J1301" s="10" t="str">
        <f aca="false">IF($E1301="","",UPPER(SUBSTITUTE($E1301," ","")))</f>
        <v/>
      </c>
      <c r="K1301" s="10" t="str">
        <f aca="false">IF($A1301="","",$G1301&amp;"|"&amp;$J1301)</f>
        <v/>
      </c>
      <c r="L1301" s="10" t="str">
        <f aca="false">IF($A1301="","",ROW()-2)</f>
        <v/>
      </c>
      <c r="M1301" s="10" t="str">
        <f aca="false">IF($A1301="","",ROW())</f>
        <v/>
      </c>
    </row>
    <row r="1302" customFormat="false" ht="15" hidden="false" customHeight="true" outlineLevel="0" collapsed="false">
      <c r="A1302" s="8"/>
      <c r="B1302" s="8"/>
      <c r="C1302" s="8"/>
      <c r="D1302" s="8"/>
      <c r="E1302" s="8"/>
      <c r="F1302" s="8"/>
      <c r="G1302" s="10" t="str">
        <f aca="false">IF($A1302="","",UPPER(SUBSTITUTE(SUBSTITUTE(SUBSTITUTE(SUBSTITUTE($A1302," ",""),"(주)",""),"주식회사",""),"㈜","")))</f>
        <v/>
      </c>
      <c r="H1302" s="10" t="str">
        <f aca="false">IF($B1302="","",SUBSTITUTE(SUBSTITUTE(SUBSTITUTE($B1302,"-","")," ",""),".",""))</f>
        <v/>
      </c>
      <c r="I1302" s="10" t="str">
        <f aca="false">IF($D1302="","",SUBSTITUTE(SUBSTITUTE(SUBSTITUTE($D1302,"-","")," ",""),".",""))</f>
        <v/>
      </c>
      <c r="J1302" s="10" t="str">
        <f aca="false">IF($E1302="","",UPPER(SUBSTITUTE($E1302," ","")))</f>
        <v/>
      </c>
      <c r="K1302" s="10" t="str">
        <f aca="false">IF($A1302="","",$G1302&amp;"|"&amp;$J1302)</f>
        <v/>
      </c>
      <c r="L1302" s="10" t="str">
        <f aca="false">IF($A1302="","",ROW()-2)</f>
        <v/>
      </c>
      <c r="M1302" s="10" t="str">
        <f aca="false">IF($A1302="","",ROW())</f>
        <v/>
      </c>
    </row>
    <row r="1303" customFormat="false" ht="15" hidden="false" customHeight="true" outlineLevel="0" collapsed="false">
      <c r="A1303" s="8"/>
      <c r="B1303" s="8"/>
      <c r="C1303" s="8"/>
      <c r="D1303" s="8"/>
      <c r="E1303" s="8"/>
      <c r="F1303" s="8"/>
      <c r="G1303" s="10" t="str">
        <f aca="false">IF($A1303="","",UPPER(SUBSTITUTE(SUBSTITUTE(SUBSTITUTE(SUBSTITUTE($A1303," ",""),"(주)",""),"주식회사",""),"㈜","")))</f>
        <v/>
      </c>
      <c r="H1303" s="10" t="str">
        <f aca="false">IF($B1303="","",SUBSTITUTE(SUBSTITUTE(SUBSTITUTE($B1303,"-","")," ",""),".",""))</f>
        <v/>
      </c>
      <c r="I1303" s="10" t="str">
        <f aca="false">IF($D1303="","",SUBSTITUTE(SUBSTITUTE(SUBSTITUTE($D1303,"-","")," ",""),".",""))</f>
        <v/>
      </c>
      <c r="J1303" s="10" t="str">
        <f aca="false">IF($E1303="","",UPPER(SUBSTITUTE($E1303," ","")))</f>
        <v/>
      </c>
      <c r="K1303" s="10" t="str">
        <f aca="false">IF($A1303="","",$G1303&amp;"|"&amp;$J1303)</f>
        <v/>
      </c>
      <c r="L1303" s="10" t="str">
        <f aca="false">IF($A1303="","",ROW()-2)</f>
        <v/>
      </c>
      <c r="M1303" s="10" t="str">
        <f aca="false">IF($A1303="","",ROW())</f>
        <v/>
      </c>
    </row>
    <row r="1304" customFormat="false" ht="15" hidden="false" customHeight="true" outlineLevel="0" collapsed="false">
      <c r="A1304" s="8"/>
      <c r="B1304" s="8"/>
      <c r="C1304" s="8"/>
      <c r="D1304" s="8"/>
      <c r="E1304" s="8"/>
      <c r="F1304" s="8"/>
      <c r="G1304" s="10" t="str">
        <f aca="false">IF($A1304="","",UPPER(SUBSTITUTE(SUBSTITUTE(SUBSTITUTE(SUBSTITUTE($A1304," ",""),"(주)",""),"주식회사",""),"㈜","")))</f>
        <v/>
      </c>
      <c r="H1304" s="10" t="str">
        <f aca="false">IF($B1304="","",SUBSTITUTE(SUBSTITUTE(SUBSTITUTE($B1304,"-","")," ",""),".",""))</f>
        <v/>
      </c>
      <c r="I1304" s="10" t="str">
        <f aca="false">IF($D1304="","",SUBSTITUTE(SUBSTITUTE(SUBSTITUTE($D1304,"-","")," ",""),".",""))</f>
        <v/>
      </c>
      <c r="J1304" s="10" t="str">
        <f aca="false">IF($E1304="","",UPPER(SUBSTITUTE($E1304," ","")))</f>
        <v/>
      </c>
      <c r="K1304" s="10" t="str">
        <f aca="false">IF($A1304="","",$G1304&amp;"|"&amp;$J1304)</f>
        <v/>
      </c>
      <c r="L1304" s="10" t="str">
        <f aca="false">IF($A1304="","",ROW()-2)</f>
        <v/>
      </c>
      <c r="M1304" s="10" t="str">
        <f aca="false">IF($A1304="","",ROW())</f>
        <v/>
      </c>
    </row>
    <row r="1305" customFormat="false" ht="15" hidden="false" customHeight="true" outlineLevel="0" collapsed="false">
      <c r="A1305" s="8"/>
      <c r="B1305" s="8"/>
      <c r="C1305" s="8"/>
      <c r="D1305" s="8"/>
      <c r="E1305" s="8"/>
      <c r="F1305" s="8"/>
      <c r="G1305" s="10" t="str">
        <f aca="false">IF($A1305="","",UPPER(SUBSTITUTE(SUBSTITUTE(SUBSTITUTE(SUBSTITUTE($A1305," ",""),"(주)",""),"주식회사",""),"㈜","")))</f>
        <v/>
      </c>
      <c r="H1305" s="10" t="str">
        <f aca="false">IF($B1305="","",SUBSTITUTE(SUBSTITUTE(SUBSTITUTE($B1305,"-","")," ",""),".",""))</f>
        <v/>
      </c>
      <c r="I1305" s="10" t="str">
        <f aca="false">IF($D1305="","",SUBSTITUTE(SUBSTITUTE(SUBSTITUTE($D1305,"-","")," ",""),".",""))</f>
        <v/>
      </c>
      <c r="J1305" s="10" t="str">
        <f aca="false">IF($E1305="","",UPPER(SUBSTITUTE($E1305," ","")))</f>
        <v/>
      </c>
      <c r="K1305" s="10" t="str">
        <f aca="false">IF($A1305="","",$G1305&amp;"|"&amp;$J1305)</f>
        <v/>
      </c>
      <c r="L1305" s="10" t="str">
        <f aca="false">IF($A1305="","",ROW()-2)</f>
        <v/>
      </c>
      <c r="M1305" s="10" t="str">
        <f aca="false">IF($A1305="","",ROW())</f>
        <v/>
      </c>
    </row>
    <row r="1306" customFormat="false" ht="15" hidden="false" customHeight="true" outlineLevel="0" collapsed="false">
      <c r="A1306" s="8"/>
      <c r="B1306" s="8"/>
      <c r="C1306" s="8"/>
      <c r="D1306" s="8"/>
      <c r="E1306" s="8"/>
      <c r="F1306" s="8"/>
      <c r="G1306" s="10" t="str">
        <f aca="false">IF($A1306="","",UPPER(SUBSTITUTE(SUBSTITUTE(SUBSTITUTE(SUBSTITUTE($A1306," ",""),"(주)",""),"주식회사",""),"㈜","")))</f>
        <v/>
      </c>
      <c r="H1306" s="10" t="str">
        <f aca="false">IF($B1306="","",SUBSTITUTE(SUBSTITUTE(SUBSTITUTE($B1306,"-","")," ",""),".",""))</f>
        <v/>
      </c>
      <c r="I1306" s="10" t="str">
        <f aca="false">IF($D1306="","",SUBSTITUTE(SUBSTITUTE(SUBSTITUTE($D1306,"-","")," ",""),".",""))</f>
        <v/>
      </c>
      <c r="J1306" s="10" t="str">
        <f aca="false">IF($E1306="","",UPPER(SUBSTITUTE($E1306," ","")))</f>
        <v/>
      </c>
      <c r="K1306" s="10" t="str">
        <f aca="false">IF($A1306="","",$G1306&amp;"|"&amp;$J1306)</f>
        <v/>
      </c>
      <c r="L1306" s="10" t="str">
        <f aca="false">IF($A1306="","",ROW()-2)</f>
        <v/>
      </c>
      <c r="M1306" s="10" t="str">
        <f aca="false">IF($A1306="","",ROW())</f>
        <v/>
      </c>
    </row>
    <row r="1307" customFormat="false" ht="15" hidden="false" customHeight="true" outlineLevel="0" collapsed="false">
      <c r="A1307" s="8"/>
      <c r="B1307" s="8"/>
      <c r="C1307" s="8"/>
      <c r="D1307" s="8"/>
      <c r="E1307" s="8"/>
      <c r="F1307" s="8"/>
      <c r="G1307" s="10" t="str">
        <f aca="false">IF($A1307="","",UPPER(SUBSTITUTE(SUBSTITUTE(SUBSTITUTE(SUBSTITUTE($A1307," ",""),"(주)",""),"주식회사",""),"㈜","")))</f>
        <v/>
      </c>
      <c r="H1307" s="10" t="str">
        <f aca="false">IF($B1307="","",SUBSTITUTE(SUBSTITUTE(SUBSTITUTE($B1307,"-","")," ",""),".",""))</f>
        <v/>
      </c>
      <c r="I1307" s="10" t="str">
        <f aca="false">IF($D1307="","",SUBSTITUTE(SUBSTITUTE(SUBSTITUTE($D1307,"-","")," ",""),".",""))</f>
        <v/>
      </c>
      <c r="J1307" s="10" t="str">
        <f aca="false">IF($E1307="","",UPPER(SUBSTITUTE($E1307," ","")))</f>
        <v/>
      </c>
      <c r="K1307" s="10" t="str">
        <f aca="false">IF($A1307="","",$G1307&amp;"|"&amp;$J1307)</f>
        <v/>
      </c>
      <c r="L1307" s="10" t="str">
        <f aca="false">IF($A1307="","",ROW()-2)</f>
        <v/>
      </c>
      <c r="M1307" s="10" t="str">
        <f aca="false">IF($A1307="","",ROW())</f>
        <v/>
      </c>
    </row>
    <row r="1308" customFormat="false" ht="15" hidden="false" customHeight="true" outlineLevel="0" collapsed="false">
      <c r="A1308" s="8"/>
      <c r="B1308" s="8"/>
      <c r="C1308" s="8"/>
      <c r="D1308" s="8"/>
      <c r="E1308" s="8"/>
      <c r="F1308" s="8"/>
      <c r="G1308" s="10" t="str">
        <f aca="false">IF($A1308="","",UPPER(SUBSTITUTE(SUBSTITUTE(SUBSTITUTE(SUBSTITUTE($A1308," ",""),"(주)",""),"주식회사",""),"㈜","")))</f>
        <v/>
      </c>
      <c r="H1308" s="10" t="str">
        <f aca="false">IF($B1308="","",SUBSTITUTE(SUBSTITUTE(SUBSTITUTE($B1308,"-","")," ",""),".",""))</f>
        <v/>
      </c>
      <c r="I1308" s="10" t="str">
        <f aca="false">IF($D1308="","",SUBSTITUTE(SUBSTITUTE(SUBSTITUTE($D1308,"-","")," ",""),".",""))</f>
        <v/>
      </c>
      <c r="J1308" s="10" t="str">
        <f aca="false">IF($E1308="","",UPPER(SUBSTITUTE($E1308," ","")))</f>
        <v/>
      </c>
      <c r="K1308" s="10" t="str">
        <f aca="false">IF($A1308="","",$G1308&amp;"|"&amp;$J1308)</f>
        <v/>
      </c>
      <c r="L1308" s="10" t="str">
        <f aca="false">IF($A1308="","",ROW()-2)</f>
        <v/>
      </c>
      <c r="M1308" s="10" t="str">
        <f aca="false">IF($A1308="","",ROW())</f>
        <v/>
      </c>
    </row>
    <row r="1309" customFormat="false" ht="15" hidden="false" customHeight="true" outlineLevel="0" collapsed="false">
      <c r="A1309" s="8"/>
      <c r="B1309" s="8"/>
      <c r="C1309" s="8"/>
      <c r="D1309" s="8"/>
      <c r="E1309" s="8"/>
      <c r="F1309" s="8"/>
      <c r="G1309" s="10" t="str">
        <f aca="false">IF($A1309="","",UPPER(SUBSTITUTE(SUBSTITUTE(SUBSTITUTE(SUBSTITUTE($A1309," ",""),"(주)",""),"주식회사",""),"㈜","")))</f>
        <v/>
      </c>
      <c r="H1309" s="10" t="str">
        <f aca="false">IF($B1309="","",SUBSTITUTE(SUBSTITUTE(SUBSTITUTE($B1309,"-","")," ",""),".",""))</f>
        <v/>
      </c>
      <c r="I1309" s="10" t="str">
        <f aca="false">IF($D1309="","",SUBSTITUTE(SUBSTITUTE(SUBSTITUTE($D1309,"-","")," ",""),".",""))</f>
        <v/>
      </c>
      <c r="J1309" s="10" t="str">
        <f aca="false">IF($E1309="","",UPPER(SUBSTITUTE($E1309," ","")))</f>
        <v/>
      </c>
      <c r="K1309" s="10" t="str">
        <f aca="false">IF($A1309="","",$G1309&amp;"|"&amp;$J1309)</f>
        <v/>
      </c>
      <c r="L1309" s="10" t="str">
        <f aca="false">IF($A1309="","",ROW()-2)</f>
        <v/>
      </c>
      <c r="M1309" s="10" t="str">
        <f aca="false">IF($A1309="","",ROW())</f>
        <v/>
      </c>
    </row>
    <row r="1310" customFormat="false" ht="15" hidden="false" customHeight="true" outlineLevel="0" collapsed="false">
      <c r="A1310" s="8"/>
      <c r="B1310" s="8"/>
      <c r="C1310" s="8"/>
      <c r="D1310" s="8"/>
      <c r="E1310" s="8"/>
      <c r="F1310" s="8"/>
      <c r="G1310" s="10" t="str">
        <f aca="false">IF($A1310="","",UPPER(SUBSTITUTE(SUBSTITUTE(SUBSTITUTE(SUBSTITUTE($A1310," ",""),"(주)",""),"주식회사",""),"㈜","")))</f>
        <v/>
      </c>
      <c r="H1310" s="10" t="str">
        <f aca="false">IF($B1310="","",SUBSTITUTE(SUBSTITUTE(SUBSTITUTE($B1310,"-","")," ",""),".",""))</f>
        <v/>
      </c>
      <c r="I1310" s="10" t="str">
        <f aca="false">IF($D1310="","",SUBSTITUTE(SUBSTITUTE(SUBSTITUTE($D1310,"-","")," ",""),".",""))</f>
        <v/>
      </c>
      <c r="J1310" s="10" t="str">
        <f aca="false">IF($E1310="","",UPPER(SUBSTITUTE($E1310," ","")))</f>
        <v/>
      </c>
      <c r="K1310" s="10" t="str">
        <f aca="false">IF($A1310="","",$G1310&amp;"|"&amp;$J1310)</f>
        <v/>
      </c>
      <c r="L1310" s="10" t="str">
        <f aca="false">IF($A1310="","",ROW()-2)</f>
        <v/>
      </c>
      <c r="M1310" s="10" t="str">
        <f aca="false">IF($A1310="","",ROW())</f>
        <v/>
      </c>
    </row>
    <row r="1311" customFormat="false" ht="15" hidden="false" customHeight="true" outlineLevel="0" collapsed="false">
      <c r="A1311" s="8"/>
      <c r="B1311" s="8"/>
      <c r="C1311" s="8"/>
      <c r="D1311" s="8"/>
      <c r="E1311" s="8"/>
      <c r="F1311" s="8"/>
      <c r="G1311" s="10" t="str">
        <f aca="false">IF($A1311="","",UPPER(SUBSTITUTE(SUBSTITUTE(SUBSTITUTE(SUBSTITUTE($A1311," ",""),"(주)",""),"주식회사",""),"㈜","")))</f>
        <v/>
      </c>
      <c r="H1311" s="10" t="str">
        <f aca="false">IF($B1311="","",SUBSTITUTE(SUBSTITUTE(SUBSTITUTE($B1311,"-","")," ",""),".",""))</f>
        <v/>
      </c>
      <c r="I1311" s="10" t="str">
        <f aca="false">IF($D1311="","",SUBSTITUTE(SUBSTITUTE(SUBSTITUTE($D1311,"-","")," ",""),".",""))</f>
        <v/>
      </c>
      <c r="J1311" s="10" t="str">
        <f aca="false">IF($E1311="","",UPPER(SUBSTITUTE($E1311," ","")))</f>
        <v/>
      </c>
      <c r="K1311" s="10" t="str">
        <f aca="false">IF($A1311="","",$G1311&amp;"|"&amp;$J1311)</f>
        <v/>
      </c>
      <c r="L1311" s="10" t="str">
        <f aca="false">IF($A1311="","",ROW()-2)</f>
        <v/>
      </c>
      <c r="M1311" s="10" t="str">
        <f aca="false">IF($A1311="","",ROW())</f>
        <v/>
      </c>
    </row>
    <row r="1312" customFormat="false" ht="15" hidden="false" customHeight="true" outlineLevel="0" collapsed="false">
      <c r="A1312" s="8"/>
      <c r="B1312" s="8"/>
      <c r="C1312" s="8"/>
      <c r="D1312" s="8"/>
      <c r="E1312" s="8"/>
      <c r="F1312" s="8"/>
      <c r="G1312" s="10" t="str">
        <f aca="false">IF($A1312="","",UPPER(SUBSTITUTE(SUBSTITUTE(SUBSTITUTE(SUBSTITUTE($A1312," ",""),"(주)",""),"주식회사",""),"㈜","")))</f>
        <v/>
      </c>
      <c r="H1312" s="10" t="str">
        <f aca="false">IF($B1312="","",SUBSTITUTE(SUBSTITUTE(SUBSTITUTE($B1312,"-","")," ",""),".",""))</f>
        <v/>
      </c>
      <c r="I1312" s="10" t="str">
        <f aca="false">IF($D1312="","",SUBSTITUTE(SUBSTITUTE(SUBSTITUTE($D1312,"-","")," ",""),".",""))</f>
        <v/>
      </c>
      <c r="J1312" s="10" t="str">
        <f aca="false">IF($E1312="","",UPPER(SUBSTITUTE($E1312," ","")))</f>
        <v/>
      </c>
      <c r="K1312" s="10" t="str">
        <f aca="false">IF($A1312="","",$G1312&amp;"|"&amp;$J1312)</f>
        <v/>
      </c>
      <c r="L1312" s="10" t="str">
        <f aca="false">IF($A1312="","",ROW()-2)</f>
        <v/>
      </c>
      <c r="M1312" s="10" t="str">
        <f aca="false">IF($A1312="","",ROW())</f>
        <v/>
      </c>
    </row>
    <row r="1313" customFormat="false" ht="15" hidden="false" customHeight="true" outlineLevel="0" collapsed="false">
      <c r="A1313" s="8"/>
      <c r="B1313" s="8"/>
      <c r="C1313" s="8"/>
      <c r="D1313" s="8"/>
      <c r="E1313" s="8"/>
      <c r="F1313" s="8"/>
      <c r="G1313" s="10" t="str">
        <f aca="false">IF($A1313="","",UPPER(SUBSTITUTE(SUBSTITUTE(SUBSTITUTE(SUBSTITUTE($A1313," ",""),"(주)",""),"주식회사",""),"㈜","")))</f>
        <v/>
      </c>
      <c r="H1313" s="10" t="str">
        <f aca="false">IF($B1313="","",SUBSTITUTE(SUBSTITUTE(SUBSTITUTE($B1313,"-","")," ",""),".",""))</f>
        <v/>
      </c>
      <c r="I1313" s="10" t="str">
        <f aca="false">IF($D1313="","",SUBSTITUTE(SUBSTITUTE(SUBSTITUTE($D1313,"-","")," ",""),".",""))</f>
        <v/>
      </c>
      <c r="J1313" s="10" t="str">
        <f aca="false">IF($E1313="","",UPPER(SUBSTITUTE($E1313," ","")))</f>
        <v/>
      </c>
      <c r="K1313" s="10" t="str">
        <f aca="false">IF($A1313="","",$G1313&amp;"|"&amp;$J1313)</f>
        <v/>
      </c>
      <c r="L1313" s="10" t="str">
        <f aca="false">IF($A1313="","",ROW()-2)</f>
        <v/>
      </c>
      <c r="M1313" s="10" t="str">
        <f aca="false">IF($A1313="","",ROW())</f>
        <v/>
      </c>
    </row>
    <row r="1314" customFormat="false" ht="15" hidden="false" customHeight="true" outlineLevel="0" collapsed="false">
      <c r="A1314" s="8"/>
      <c r="B1314" s="8"/>
      <c r="C1314" s="8"/>
      <c r="D1314" s="8"/>
      <c r="E1314" s="8"/>
      <c r="F1314" s="8"/>
      <c r="G1314" s="10" t="str">
        <f aca="false">IF($A1314="","",UPPER(SUBSTITUTE(SUBSTITUTE(SUBSTITUTE(SUBSTITUTE($A1314," ",""),"(주)",""),"주식회사",""),"㈜","")))</f>
        <v/>
      </c>
      <c r="H1314" s="10" t="str">
        <f aca="false">IF($B1314="","",SUBSTITUTE(SUBSTITUTE(SUBSTITUTE($B1314,"-","")," ",""),".",""))</f>
        <v/>
      </c>
      <c r="I1314" s="10" t="str">
        <f aca="false">IF($D1314="","",SUBSTITUTE(SUBSTITUTE(SUBSTITUTE($D1314,"-","")," ",""),".",""))</f>
        <v/>
      </c>
      <c r="J1314" s="10" t="str">
        <f aca="false">IF($E1314="","",UPPER(SUBSTITUTE($E1314," ","")))</f>
        <v/>
      </c>
      <c r="K1314" s="10" t="str">
        <f aca="false">IF($A1314="","",$G1314&amp;"|"&amp;$J1314)</f>
        <v/>
      </c>
      <c r="L1314" s="10" t="str">
        <f aca="false">IF($A1314="","",ROW()-2)</f>
        <v/>
      </c>
      <c r="M1314" s="10" t="str">
        <f aca="false">IF($A1314="","",ROW())</f>
        <v/>
      </c>
    </row>
    <row r="1315" customFormat="false" ht="15" hidden="false" customHeight="true" outlineLevel="0" collapsed="false">
      <c r="A1315" s="8"/>
      <c r="B1315" s="8"/>
      <c r="C1315" s="8"/>
      <c r="D1315" s="8"/>
      <c r="E1315" s="8"/>
      <c r="F1315" s="8"/>
      <c r="G1315" s="10" t="str">
        <f aca="false">IF($A1315="","",UPPER(SUBSTITUTE(SUBSTITUTE(SUBSTITUTE(SUBSTITUTE($A1315," ",""),"(주)",""),"주식회사",""),"㈜","")))</f>
        <v/>
      </c>
      <c r="H1315" s="10" t="str">
        <f aca="false">IF($B1315="","",SUBSTITUTE(SUBSTITUTE(SUBSTITUTE($B1315,"-","")," ",""),".",""))</f>
        <v/>
      </c>
      <c r="I1315" s="10" t="str">
        <f aca="false">IF($D1315="","",SUBSTITUTE(SUBSTITUTE(SUBSTITUTE($D1315,"-","")," ",""),".",""))</f>
        <v/>
      </c>
      <c r="J1315" s="10" t="str">
        <f aca="false">IF($E1315="","",UPPER(SUBSTITUTE($E1315," ","")))</f>
        <v/>
      </c>
      <c r="K1315" s="10" t="str">
        <f aca="false">IF($A1315="","",$G1315&amp;"|"&amp;$J1315)</f>
        <v/>
      </c>
      <c r="L1315" s="10" t="str">
        <f aca="false">IF($A1315="","",ROW()-2)</f>
        <v/>
      </c>
      <c r="M1315" s="10" t="str">
        <f aca="false">IF($A1315="","",ROW())</f>
        <v/>
      </c>
    </row>
    <row r="1316" customFormat="false" ht="15" hidden="false" customHeight="true" outlineLevel="0" collapsed="false">
      <c r="A1316" s="8"/>
      <c r="B1316" s="8"/>
      <c r="C1316" s="8"/>
      <c r="D1316" s="8"/>
      <c r="E1316" s="8"/>
      <c r="F1316" s="8"/>
      <c r="G1316" s="10" t="str">
        <f aca="false">IF($A1316="","",UPPER(SUBSTITUTE(SUBSTITUTE(SUBSTITUTE(SUBSTITUTE($A1316," ",""),"(주)",""),"주식회사",""),"㈜","")))</f>
        <v/>
      </c>
      <c r="H1316" s="10" t="str">
        <f aca="false">IF($B1316="","",SUBSTITUTE(SUBSTITUTE(SUBSTITUTE($B1316,"-","")," ",""),".",""))</f>
        <v/>
      </c>
      <c r="I1316" s="10" t="str">
        <f aca="false">IF($D1316="","",SUBSTITUTE(SUBSTITUTE(SUBSTITUTE($D1316,"-","")," ",""),".",""))</f>
        <v/>
      </c>
      <c r="J1316" s="10" t="str">
        <f aca="false">IF($E1316="","",UPPER(SUBSTITUTE($E1316," ","")))</f>
        <v/>
      </c>
      <c r="K1316" s="10" t="str">
        <f aca="false">IF($A1316="","",$G1316&amp;"|"&amp;$J1316)</f>
        <v/>
      </c>
      <c r="L1316" s="10" t="str">
        <f aca="false">IF($A1316="","",ROW()-2)</f>
        <v/>
      </c>
      <c r="M1316" s="10" t="str">
        <f aca="false">IF($A1316="","",ROW())</f>
        <v/>
      </c>
    </row>
    <row r="1317" customFormat="false" ht="15" hidden="false" customHeight="true" outlineLevel="0" collapsed="false">
      <c r="A1317" s="8"/>
      <c r="B1317" s="8"/>
      <c r="C1317" s="8"/>
      <c r="D1317" s="8"/>
      <c r="E1317" s="8"/>
      <c r="F1317" s="8"/>
      <c r="G1317" s="10" t="str">
        <f aca="false">IF($A1317="","",UPPER(SUBSTITUTE(SUBSTITUTE(SUBSTITUTE(SUBSTITUTE($A1317," ",""),"(주)",""),"주식회사",""),"㈜","")))</f>
        <v/>
      </c>
      <c r="H1317" s="10" t="str">
        <f aca="false">IF($B1317="","",SUBSTITUTE(SUBSTITUTE(SUBSTITUTE($B1317,"-","")," ",""),".",""))</f>
        <v/>
      </c>
      <c r="I1317" s="10" t="str">
        <f aca="false">IF($D1317="","",SUBSTITUTE(SUBSTITUTE(SUBSTITUTE($D1317,"-","")," ",""),".",""))</f>
        <v/>
      </c>
      <c r="J1317" s="10" t="str">
        <f aca="false">IF($E1317="","",UPPER(SUBSTITUTE($E1317," ","")))</f>
        <v/>
      </c>
      <c r="K1317" s="10" t="str">
        <f aca="false">IF($A1317="","",$G1317&amp;"|"&amp;$J1317)</f>
        <v/>
      </c>
      <c r="L1317" s="10" t="str">
        <f aca="false">IF($A1317="","",ROW()-2)</f>
        <v/>
      </c>
      <c r="M1317" s="10" t="str">
        <f aca="false">IF($A1317="","",ROW())</f>
        <v/>
      </c>
    </row>
    <row r="1318" customFormat="false" ht="15" hidden="false" customHeight="true" outlineLevel="0" collapsed="false">
      <c r="A1318" s="8"/>
      <c r="B1318" s="8"/>
      <c r="C1318" s="8"/>
      <c r="D1318" s="8"/>
      <c r="E1318" s="8"/>
      <c r="F1318" s="8"/>
      <c r="G1318" s="10" t="str">
        <f aca="false">IF($A1318="","",UPPER(SUBSTITUTE(SUBSTITUTE(SUBSTITUTE(SUBSTITUTE($A1318," ",""),"(주)",""),"주식회사",""),"㈜","")))</f>
        <v/>
      </c>
      <c r="H1318" s="10" t="str">
        <f aca="false">IF($B1318="","",SUBSTITUTE(SUBSTITUTE(SUBSTITUTE($B1318,"-","")," ",""),".",""))</f>
        <v/>
      </c>
      <c r="I1318" s="10" t="str">
        <f aca="false">IF($D1318="","",SUBSTITUTE(SUBSTITUTE(SUBSTITUTE($D1318,"-","")," ",""),".",""))</f>
        <v/>
      </c>
      <c r="J1318" s="10" t="str">
        <f aca="false">IF($E1318="","",UPPER(SUBSTITUTE($E1318," ","")))</f>
        <v/>
      </c>
      <c r="K1318" s="10" t="str">
        <f aca="false">IF($A1318="","",$G1318&amp;"|"&amp;$J1318)</f>
        <v/>
      </c>
      <c r="L1318" s="10" t="str">
        <f aca="false">IF($A1318="","",ROW()-2)</f>
        <v/>
      </c>
      <c r="M1318" s="10" t="str">
        <f aca="false">IF($A1318="","",ROW())</f>
        <v/>
      </c>
    </row>
    <row r="1319" customFormat="false" ht="15" hidden="false" customHeight="true" outlineLevel="0" collapsed="false">
      <c r="A1319" s="8"/>
      <c r="B1319" s="8"/>
      <c r="C1319" s="8"/>
      <c r="D1319" s="8"/>
      <c r="E1319" s="8"/>
      <c r="F1319" s="8"/>
      <c r="G1319" s="10" t="str">
        <f aca="false">IF($A1319="","",UPPER(SUBSTITUTE(SUBSTITUTE(SUBSTITUTE(SUBSTITUTE($A1319," ",""),"(주)",""),"주식회사",""),"㈜","")))</f>
        <v/>
      </c>
      <c r="H1319" s="10" t="str">
        <f aca="false">IF($B1319="","",SUBSTITUTE(SUBSTITUTE(SUBSTITUTE($B1319,"-","")," ",""),".",""))</f>
        <v/>
      </c>
      <c r="I1319" s="10" t="str">
        <f aca="false">IF($D1319="","",SUBSTITUTE(SUBSTITUTE(SUBSTITUTE($D1319,"-","")," ",""),".",""))</f>
        <v/>
      </c>
      <c r="J1319" s="10" t="str">
        <f aca="false">IF($E1319="","",UPPER(SUBSTITUTE($E1319," ","")))</f>
        <v/>
      </c>
      <c r="K1319" s="10" t="str">
        <f aca="false">IF($A1319="","",$G1319&amp;"|"&amp;$J1319)</f>
        <v/>
      </c>
      <c r="L1319" s="10" t="str">
        <f aca="false">IF($A1319="","",ROW()-2)</f>
        <v/>
      </c>
      <c r="M1319" s="10" t="str">
        <f aca="false">IF($A1319="","",ROW())</f>
        <v/>
      </c>
    </row>
    <row r="1320" customFormat="false" ht="15" hidden="false" customHeight="true" outlineLevel="0" collapsed="false">
      <c r="A1320" s="8"/>
      <c r="B1320" s="8"/>
      <c r="C1320" s="8"/>
      <c r="D1320" s="8"/>
      <c r="E1320" s="8"/>
      <c r="F1320" s="8"/>
      <c r="G1320" s="10" t="str">
        <f aca="false">IF($A1320="","",UPPER(SUBSTITUTE(SUBSTITUTE(SUBSTITUTE(SUBSTITUTE($A1320," ",""),"(주)",""),"주식회사",""),"㈜","")))</f>
        <v/>
      </c>
      <c r="H1320" s="10" t="str">
        <f aca="false">IF($B1320="","",SUBSTITUTE(SUBSTITUTE(SUBSTITUTE($B1320,"-","")," ",""),".",""))</f>
        <v/>
      </c>
      <c r="I1320" s="10" t="str">
        <f aca="false">IF($D1320="","",SUBSTITUTE(SUBSTITUTE(SUBSTITUTE($D1320,"-","")," ",""),".",""))</f>
        <v/>
      </c>
      <c r="J1320" s="10" t="str">
        <f aca="false">IF($E1320="","",UPPER(SUBSTITUTE($E1320," ","")))</f>
        <v/>
      </c>
      <c r="K1320" s="10" t="str">
        <f aca="false">IF($A1320="","",$G1320&amp;"|"&amp;$J1320)</f>
        <v/>
      </c>
      <c r="L1320" s="10" t="str">
        <f aca="false">IF($A1320="","",ROW()-2)</f>
        <v/>
      </c>
      <c r="M1320" s="10" t="str">
        <f aca="false">IF($A1320="","",ROW())</f>
        <v/>
      </c>
    </row>
    <row r="1321" customFormat="false" ht="15" hidden="false" customHeight="true" outlineLevel="0" collapsed="false">
      <c r="A1321" s="8"/>
      <c r="B1321" s="8"/>
      <c r="C1321" s="8"/>
      <c r="D1321" s="8"/>
      <c r="E1321" s="8"/>
      <c r="F1321" s="8"/>
      <c r="G1321" s="10" t="str">
        <f aca="false">IF($A1321="","",UPPER(SUBSTITUTE(SUBSTITUTE(SUBSTITUTE(SUBSTITUTE($A1321," ",""),"(주)",""),"주식회사",""),"㈜","")))</f>
        <v/>
      </c>
      <c r="H1321" s="10" t="str">
        <f aca="false">IF($B1321="","",SUBSTITUTE(SUBSTITUTE(SUBSTITUTE($B1321,"-","")," ",""),".",""))</f>
        <v/>
      </c>
      <c r="I1321" s="10" t="str">
        <f aca="false">IF($D1321="","",SUBSTITUTE(SUBSTITUTE(SUBSTITUTE($D1321,"-","")," ",""),".",""))</f>
        <v/>
      </c>
      <c r="J1321" s="10" t="str">
        <f aca="false">IF($E1321="","",UPPER(SUBSTITUTE($E1321," ","")))</f>
        <v/>
      </c>
      <c r="K1321" s="10" t="str">
        <f aca="false">IF($A1321="","",$G1321&amp;"|"&amp;$J1321)</f>
        <v/>
      </c>
      <c r="L1321" s="10" t="str">
        <f aca="false">IF($A1321="","",ROW()-2)</f>
        <v/>
      </c>
      <c r="M1321" s="10" t="str">
        <f aca="false">IF($A1321="","",ROW())</f>
        <v/>
      </c>
    </row>
    <row r="1322" customFormat="false" ht="15" hidden="false" customHeight="true" outlineLevel="0" collapsed="false">
      <c r="A1322" s="8"/>
      <c r="B1322" s="8"/>
      <c r="C1322" s="8"/>
      <c r="D1322" s="8"/>
      <c r="E1322" s="8"/>
      <c r="F1322" s="8"/>
      <c r="G1322" s="10" t="str">
        <f aca="false">IF($A1322="","",UPPER(SUBSTITUTE(SUBSTITUTE(SUBSTITUTE(SUBSTITUTE($A1322," ",""),"(주)",""),"주식회사",""),"㈜","")))</f>
        <v/>
      </c>
      <c r="H1322" s="10" t="str">
        <f aca="false">IF($B1322="","",SUBSTITUTE(SUBSTITUTE(SUBSTITUTE($B1322,"-","")," ",""),".",""))</f>
        <v/>
      </c>
      <c r="I1322" s="10" t="str">
        <f aca="false">IF($D1322="","",SUBSTITUTE(SUBSTITUTE(SUBSTITUTE($D1322,"-","")," ",""),".",""))</f>
        <v/>
      </c>
      <c r="J1322" s="10" t="str">
        <f aca="false">IF($E1322="","",UPPER(SUBSTITUTE($E1322," ","")))</f>
        <v/>
      </c>
      <c r="K1322" s="10" t="str">
        <f aca="false">IF($A1322="","",$G1322&amp;"|"&amp;$J1322)</f>
        <v/>
      </c>
      <c r="L1322" s="10" t="str">
        <f aca="false">IF($A1322="","",ROW()-2)</f>
        <v/>
      </c>
      <c r="M1322" s="10" t="str">
        <f aca="false">IF($A1322="","",ROW())</f>
        <v/>
      </c>
    </row>
    <row r="1323" customFormat="false" ht="15" hidden="false" customHeight="true" outlineLevel="0" collapsed="false">
      <c r="A1323" s="8"/>
      <c r="B1323" s="8"/>
      <c r="C1323" s="8"/>
      <c r="D1323" s="8"/>
      <c r="E1323" s="8"/>
      <c r="F1323" s="8"/>
      <c r="G1323" s="10" t="str">
        <f aca="false">IF($A1323="","",UPPER(SUBSTITUTE(SUBSTITUTE(SUBSTITUTE(SUBSTITUTE($A1323," ",""),"(주)",""),"주식회사",""),"㈜","")))</f>
        <v/>
      </c>
      <c r="H1323" s="10" t="str">
        <f aca="false">IF($B1323="","",SUBSTITUTE(SUBSTITUTE(SUBSTITUTE($B1323,"-","")," ",""),".",""))</f>
        <v/>
      </c>
      <c r="I1323" s="10" t="str">
        <f aca="false">IF($D1323="","",SUBSTITUTE(SUBSTITUTE(SUBSTITUTE($D1323,"-","")," ",""),".",""))</f>
        <v/>
      </c>
      <c r="J1323" s="10" t="str">
        <f aca="false">IF($E1323="","",UPPER(SUBSTITUTE($E1323," ","")))</f>
        <v/>
      </c>
      <c r="K1323" s="10" t="str">
        <f aca="false">IF($A1323="","",$G1323&amp;"|"&amp;$J1323)</f>
        <v/>
      </c>
      <c r="L1323" s="10" t="str">
        <f aca="false">IF($A1323="","",ROW()-2)</f>
        <v/>
      </c>
      <c r="M1323" s="10" t="str">
        <f aca="false">IF($A1323="","",ROW())</f>
        <v/>
      </c>
    </row>
    <row r="1324" customFormat="false" ht="15" hidden="false" customHeight="true" outlineLevel="0" collapsed="false">
      <c r="A1324" s="8"/>
      <c r="B1324" s="8"/>
      <c r="C1324" s="8"/>
      <c r="D1324" s="8"/>
      <c r="E1324" s="8"/>
      <c r="F1324" s="8"/>
      <c r="G1324" s="10" t="str">
        <f aca="false">IF($A1324="","",UPPER(SUBSTITUTE(SUBSTITUTE(SUBSTITUTE(SUBSTITUTE($A1324," ",""),"(주)",""),"주식회사",""),"㈜","")))</f>
        <v/>
      </c>
      <c r="H1324" s="10" t="str">
        <f aca="false">IF($B1324="","",SUBSTITUTE(SUBSTITUTE(SUBSTITUTE($B1324,"-","")," ",""),".",""))</f>
        <v/>
      </c>
      <c r="I1324" s="10" t="str">
        <f aca="false">IF($D1324="","",SUBSTITUTE(SUBSTITUTE(SUBSTITUTE($D1324,"-","")," ",""),".",""))</f>
        <v/>
      </c>
      <c r="J1324" s="10" t="str">
        <f aca="false">IF($E1324="","",UPPER(SUBSTITUTE($E1324," ","")))</f>
        <v/>
      </c>
      <c r="K1324" s="10" t="str">
        <f aca="false">IF($A1324="","",$G1324&amp;"|"&amp;$J1324)</f>
        <v/>
      </c>
      <c r="L1324" s="10" t="str">
        <f aca="false">IF($A1324="","",ROW()-2)</f>
        <v/>
      </c>
      <c r="M1324" s="10" t="str">
        <f aca="false">IF($A1324="","",ROW())</f>
        <v/>
      </c>
    </row>
    <row r="1325" customFormat="false" ht="15" hidden="false" customHeight="true" outlineLevel="0" collapsed="false">
      <c r="A1325" s="8"/>
      <c r="B1325" s="8"/>
      <c r="C1325" s="8"/>
      <c r="D1325" s="8"/>
      <c r="E1325" s="8"/>
      <c r="F1325" s="8"/>
      <c r="G1325" s="10" t="str">
        <f aca="false">IF($A1325="","",UPPER(SUBSTITUTE(SUBSTITUTE(SUBSTITUTE(SUBSTITUTE($A1325," ",""),"(주)",""),"주식회사",""),"㈜","")))</f>
        <v/>
      </c>
      <c r="H1325" s="10" t="str">
        <f aca="false">IF($B1325="","",SUBSTITUTE(SUBSTITUTE(SUBSTITUTE($B1325,"-","")," ",""),".",""))</f>
        <v/>
      </c>
      <c r="I1325" s="10" t="str">
        <f aca="false">IF($D1325="","",SUBSTITUTE(SUBSTITUTE(SUBSTITUTE($D1325,"-","")," ",""),".",""))</f>
        <v/>
      </c>
      <c r="J1325" s="10" t="str">
        <f aca="false">IF($E1325="","",UPPER(SUBSTITUTE($E1325," ","")))</f>
        <v/>
      </c>
      <c r="K1325" s="10" t="str">
        <f aca="false">IF($A1325="","",$G1325&amp;"|"&amp;$J1325)</f>
        <v/>
      </c>
      <c r="L1325" s="10" t="str">
        <f aca="false">IF($A1325="","",ROW()-2)</f>
        <v/>
      </c>
      <c r="M1325" s="10" t="str">
        <f aca="false">IF($A1325="","",ROW())</f>
        <v/>
      </c>
    </row>
    <row r="1326" customFormat="false" ht="15" hidden="false" customHeight="true" outlineLevel="0" collapsed="false">
      <c r="A1326" s="8"/>
      <c r="B1326" s="8"/>
      <c r="C1326" s="8"/>
      <c r="D1326" s="8"/>
      <c r="E1326" s="8"/>
      <c r="F1326" s="8"/>
      <c r="G1326" s="10" t="str">
        <f aca="false">IF($A1326="","",UPPER(SUBSTITUTE(SUBSTITUTE(SUBSTITUTE(SUBSTITUTE($A1326," ",""),"(주)",""),"주식회사",""),"㈜","")))</f>
        <v/>
      </c>
      <c r="H1326" s="10" t="str">
        <f aca="false">IF($B1326="","",SUBSTITUTE(SUBSTITUTE(SUBSTITUTE($B1326,"-","")," ",""),".",""))</f>
        <v/>
      </c>
      <c r="I1326" s="10" t="str">
        <f aca="false">IF($D1326="","",SUBSTITUTE(SUBSTITUTE(SUBSTITUTE($D1326,"-","")," ",""),".",""))</f>
        <v/>
      </c>
      <c r="J1326" s="10" t="str">
        <f aca="false">IF($E1326="","",UPPER(SUBSTITUTE($E1326," ","")))</f>
        <v/>
      </c>
      <c r="K1326" s="10" t="str">
        <f aca="false">IF($A1326="","",$G1326&amp;"|"&amp;$J1326)</f>
        <v/>
      </c>
      <c r="L1326" s="10" t="str">
        <f aca="false">IF($A1326="","",ROW()-2)</f>
        <v/>
      </c>
      <c r="M1326" s="10" t="str">
        <f aca="false">IF($A1326="","",ROW())</f>
        <v/>
      </c>
    </row>
    <row r="1327" customFormat="false" ht="15" hidden="false" customHeight="true" outlineLevel="0" collapsed="false">
      <c r="A1327" s="8"/>
      <c r="B1327" s="8"/>
      <c r="C1327" s="8"/>
      <c r="D1327" s="8"/>
      <c r="E1327" s="8"/>
      <c r="F1327" s="8"/>
      <c r="G1327" s="10" t="str">
        <f aca="false">IF($A1327="","",UPPER(SUBSTITUTE(SUBSTITUTE(SUBSTITUTE(SUBSTITUTE($A1327," ",""),"(주)",""),"주식회사",""),"㈜","")))</f>
        <v/>
      </c>
      <c r="H1327" s="10" t="str">
        <f aca="false">IF($B1327="","",SUBSTITUTE(SUBSTITUTE(SUBSTITUTE($B1327,"-","")," ",""),".",""))</f>
        <v/>
      </c>
      <c r="I1327" s="10" t="str">
        <f aca="false">IF($D1327="","",SUBSTITUTE(SUBSTITUTE(SUBSTITUTE($D1327,"-","")," ",""),".",""))</f>
        <v/>
      </c>
      <c r="J1327" s="10" t="str">
        <f aca="false">IF($E1327="","",UPPER(SUBSTITUTE($E1327," ","")))</f>
        <v/>
      </c>
      <c r="K1327" s="10" t="str">
        <f aca="false">IF($A1327="","",$G1327&amp;"|"&amp;$J1327)</f>
        <v/>
      </c>
      <c r="L1327" s="10" t="str">
        <f aca="false">IF($A1327="","",ROW()-2)</f>
        <v/>
      </c>
      <c r="M1327" s="10" t="str">
        <f aca="false">IF($A1327="","",ROW())</f>
        <v/>
      </c>
    </row>
    <row r="1328" customFormat="false" ht="15" hidden="false" customHeight="true" outlineLevel="0" collapsed="false">
      <c r="A1328" s="8"/>
      <c r="B1328" s="8"/>
      <c r="C1328" s="8"/>
      <c r="D1328" s="8"/>
      <c r="E1328" s="8"/>
      <c r="F1328" s="8"/>
      <c r="G1328" s="10" t="str">
        <f aca="false">IF($A1328="","",UPPER(SUBSTITUTE(SUBSTITUTE(SUBSTITUTE(SUBSTITUTE($A1328," ",""),"(주)",""),"주식회사",""),"㈜","")))</f>
        <v/>
      </c>
      <c r="H1328" s="10" t="str">
        <f aca="false">IF($B1328="","",SUBSTITUTE(SUBSTITUTE(SUBSTITUTE($B1328,"-","")," ",""),".",""))</f>
        <v/>
      </c>
      <c r="I1328" s="10" t="str">
        <f aca="false">IF($D1328="","",SUBSTITUTE(SUBSTITUTE(SUBSTITUTE($D1328,"-","")," ",""),".",""))</f>
        <v/>
      </c>
      <c r="J1328" s="10" t="str">
        <f aca="false">IF($E1328="","",UPPER(SUBSTITUTE($E1328," ","")))</f>
        <v/>
      </c>
      <c r="K1328" s="10" t="str">
        <f aca="false">IF($A1328="","",$G1328&amp;"|"&amp;$J1328)</f>
        <v/>
      </c>
      <c r="L1328" s="10" t="str">
        <f aca="false">IF($A1328="","",ROW()-2)</f>
        <v/>
      </c>
      <c r="M1328" s="10" t="str">
        <f aca="false">IF($A1328="","",ROW())</f>
        <v/>
      </c>
    </row>
    <row r="1329" customFormat="false" ht="15" hidden="false" customHeight="true" outlineLevel="0" collapsed="false">
      <c r="A1329" s="8"/>
      <c r="B1329" s="8"/>
      <c r="C1329" s="8"/>
      <c r="D1329" s="8"/>
      <c r="E1329" s="8"/>
      <c r="F1329" s="8"/>
      <c r="G1329" s="10" t="str">
        <f aca="false">IF($A1329="","",UPPER(SUBSTITUTE(SUBSTITUTE(SUBSTITUTE(SUBSTITUTE($A1329," ",""),"(주)",""),"주식회사",""),"㈜","")))</f>
        <v/>
      </c>
      <c r="H1329" s="10" t="str">
        <f aca="false">IF($B1329="","",SUBSTITUTE(SUBSTITUTE(SUBSTITUTE($B1329,"-","")," ",""),".",""))</f>
        <v/>
      </c>
      <c r="I1329" s="10" t="str">
        <f aca="false">IF($D1329="","",SUBSTITUTE(SUBSTITUTE(SUBSTITUTE($D1329,"-","")," ",""),".",""))</f>
        <v/>
      </c>
      <c r="J1329" s="10" t="str">
        <f aca="false">IF($E1329="","",UPPER(SUBSTITUTE($E1329," ","")))</f>
        <v/>
      </c>
      <c r="K1329" s="10" t="str">
        <f aca="false">IF($A1329="","",$G1329&amp;"|"&amp;$J1329)</f>
        <v/>
      </c>
      <c r="L1329" s="10" t="str">
        <f aca="false">IF($A1329="","",ROW()-2)</f>
        <v/>
      </c>
      <c r="M1329" s="10" t="str">
        <f aca="false">IF($A1329="","",ROW())</f>
        <v/>
      </c>
    </row>
    <row r="1330" customFormat="false" ht="15" hidden="false" customHeight="true" outlineLevel="0" collapsed="false">
      <c r="A1330" s="8"/>
      <c r="B1330" s="8"/>
      <c r="C1330" s="8"/>
      <c r="D1330" s="8"/>
      <c r="E1330" s="8"/>
      <c r="F1330" s="8"/>
      <c r="G1330" s="10" t="str">
        <f aca="false">IF($A1330="","",UPPER(SUBSTITUTE(SUBSTITUTE(SUBSTITUTE(SUBSTITUTE($A1330," ",""),"(주)",""),"주식회사",""),"㈜","")))</f>
        <v/>
      </c>
      <c r="H1330" s="10" t="str">
        <f aca="false">IF($B1330="","",SUBSTITUTE(SUBSTITUTE(SUBSTITUTE($B1330,"-","")," ",""),".",""))</f>
        <v/>
      </c>
      <c r="I1330" s="10" t="str">
        <f aca="false">IF($D1330="","",SUBSTITUTE(SUBSTITUTE(SUBSTITUTE($D1330,"-","")," ",""),".",""))</f>
        <v/>
      </c>
      <c r="J1330" s="10" t="str">
        <f aca="false">IF($E1330="","",UPPER(SUBSTITUTE($E1330," ","")))</f>
        <v/>
      </c>
      <c r="K1330" s="10" t="str">
        <f aca="false">IF($A1330="","",$G1330&amp;"|"&amp;$J1330)</f>
        <v/>
      </c>
      <c r="L1330" s="10" t="str">
        <f aca="false">IF($A1330="","",ROW()-2)</f>
        <v/>
      </c>
      <c r="M1330" s="10" t="str">
        <f aca="false">IF($A1330="","",ROW())</f>
        <v/>
      </c>
    </row>
    <row r="1331" customFormat="false" ht="15" hidden="false" customHeight="true" outlineLevel="0" collapsed="false">
      <c r="A1331" s="8"/>
      <c r="B1331" s="8"/>
      <c r="C1331" s="8"/>
      <c r="D1331" s="8"/>
      <c r="E1331" s="8"/>
      <c r="F1331" s="8"/>
      <c r="G1331" s="10" t="str">
        <f aca="false">IF($A1331="","",UPPER(SUBSTITUTE(SUBSTITUTE(SUBSTITUTE(SUBSTITUTE($A1331," ",""),"(주)",""),"주식회사",""),"㈜","")))</f>
        <v/>
      </c>
      <c r="H1331" s="10" t="str">
        <f aca="false">IF($B1331="","",SUBSTITUTE(SUBSTITUTE(SUBSTITUTE($B1331,"-","")," ",""),".",""))</f>
        <v/>
      </c>
      <c r="I1331" s="10" t="str">
        <f aca="false">IF($D1331="","",SUBSTITUTE(SUBSTITUTE(SUBSTITUTE($D1331,"-","")," ",""),".",""))</f>
        <v/>
      </c>
      <c r="J1331" s="10" t="str">
        <f aca="false">IF($E1331="","",UPPER(SUBSTITUTE($E1331," ","")))</f>
        <v/>
      </c>
      <c r="K1331" s="10" t="str">
        <f aca="false">IF($A1331="","",$G1331&amp;"|"&amp;$J1331)</f>
        <v/>
      </c>
      <c r="L1331" s="10" t="str">
        <f aca="false">IF($A1331="","",ROW()-2)</f>
        <v/>
      </c>
      <c r="M1331" s="10" t="str">
        <f aca="false">IF($A1331="","",ROW())</f>
        <v/>
      </c>
    </row>
    <row r="1332" customFormat="false" ht="15" hidden="false" customHeight="true" outlineLevel="0" collapsed="false">
      <c r="A1332" s="8"/>
      <c r="B1332" s="8"/>
      <c r="C1332" s="8"/>
      <c r="D1332" s="8"/>
      <c r="E1332" s="8"/>
      <c r="F1332" s="8"/>
      <c r="G1332" s="10" t="str">
        <f aca="false">IF($A1332="","",UPPER(SUBSTITUTE(SUBSTITUTE(SUBSTITUTE(SUBSTITUTE($A1332," ",""),"(주)",""),"주식회사",""),"㈜","")))</f>
        <v/>
      </c>
      <c r="H1332" s="10" t="str">
        <f aca="false">IF($B1332="","",SUBSTITUTE(SUBSTITUTE(SUBSTITUTE($B1332,"-","")," ",""),".",""))</f>
        <v/>
      </c>
      <c r="I1332" s="10" t="str">
        <f aca="false">IF($D1332="","",SUBSTITUTE(SUBSTITUTE(SUBSTITUTE($D1332,"-","")," ",""),".",""))</f>
        <v/>
      </c>
      <c r="J1332" s="10" t="str">
        <f aca="false">IF($E1332="","",UPPER(SUBSTITUTE($E1332," ","")))</f>
        <v/>
      </c>
      <c r="K1332" s="10" t="str">
        <f aca="false">IF($A1332="","",$G1332&amp;"|"&amp;$J1332)</f>
        <v/>
      </c>
      <c r="L1332" s="10" t="str">
        <f aca="false">IF($A1332="","",ROW()-2)</f>
        <v/>
      </c>
      <c r="M1332" s="10" t="str">
        <f aca="false">IF($A1332="","",ROW())</f>
        <v/>
      </c>
    </row>
    <row r="1333" customFormat="false" ht="15" hidden="false" customHeight="true" outlineLevel="0" collapsed="false">
      <c r="A1333" s="8"/>
      <c r="B1333" s="8"/>
      <c r="C1333" s="8"/>
      <c r="D1333" s="8"/>
      <c r="E1333" s="8"/>
      <c r="F1333" s="8"/>
      <c r="G1333" s="10" t="str">
        <f aca="false">IF($A1333="","",UPPER(SUBSTITUTE(SUBSTITUTE(SUBSTITUTE(SUBSTITUTE($A1333," ",""),"(주)",""),"주식회사",""),"㈜","")))</f>
        <v/>
      </c>
      <c r="H1333" s="10" t="str">
        <f aca="false">IF($B1333="","",SUBSTITUTE(SUBSTITUTE(SUBSTITUTE($B1333,"-","")," ",""),".",""))</f>
        <v/>
      </c>
      <c r="I1333" s="10" t="str">
        <f aca="false">IF($D1333="","",SUBSTITUTE(SUBSTITUTE(SUBSTITUTE($D1333,"-","")," ",""),".",""))</f>
        <v/>
      </c>
      <c r="J1333" s="10" t="str">
        <f aca="false">IF($E1333="","",UPPER(SUBSTITUTE($E1333," ","")))</f>
        <v/>
      </c>
      <c r="K1333" s="10" t="str">
        <f aca="false">IF($A1333="","",$G1333&amp;"|"&amp;$J1333)</f>
        <v/>
      </c>
      <c r="L1333" s="10" t="str">
        <f aca="false">IF($A1333="","",ROW()-2)</f>
        <v/>
      </c>
      <c r="M1333" s="10" t="str">
        <f aca="false">IF($A1333="","",ROW())</f>
        <v/>
      </c>
    </row>
    <row r="1334" customFormat="false" ht="15" hidden="false" customHeight="true" outlineLevel="0" collapsed="false">
      <c r="A1334" s="8"/>
      <c r="B1334" s="8"/>
      <c r="C1334" s="8"/>
      <c r="D1334" s="8"/>
      <c r="E1334" s="8"/>
      <c r="F1334" s="8"/>
      <c r="G1334" s="10" t="str">
        <f aca="false">IF($A1334="","",UPPER(SUBSTITUTE(SUBSTITUTE(SUBSTITUTE(SUBSTITUTE($A1334," ",""),"(주)",""),"주식회사",""),"㈜","")))</f>
        <v/>
      </c>
      <c r="H1334" s="10" t="str">
        <f aca="false">IF($B1334="","",SUBSTITUTE(SUBSTITUTE(SUBSTITUTE($B1334,"-","")," ",""),".",""))</f>
        <v/>
      </c>
      <c r="I1334" s="10" t="str">
        <f aca="false">IF($D1334="","",SUBSTITUTE(SUBSTITUTE(SUBSTITUTE($D1334,"-","")," ",""),".",""))</f>
        <v/>
      </c>
      <c r="J1334" s="10" t="str">
        <f aca="false">IF($E1334="","",UPPER(SUBSTITUTE($E1334," ","")))</f>
        <v/>
      </c>
      <c r="K1334" s="10" t="str">
        <f aca="false">IF($A1334="","",$G1334&amp;"|"&amp;$J1334)</f>
        <v/>
      </c>
      <c r="L1334" s="10" t="str">
        <f aca="false">IF($A1334="","",ROW()-2)</f>
        <v/>
      </c>
      <c r="M1334" s="10" t="str">
        <f aca="false">IF($A1334="","",ROW())</f>
        <v/>
      </c>
    </row>
    <row r="1335" customFormat="false" ht="15" hidden="false" customHeight="true" outlineLevel="0" collapsed="false">
      <c r="A1335" s="8"/>
      <c r="B1335" s="8"/>
      <c r="C1335" s="8"/>
      <c r="D1335" s="8"/>
      <c r="E1335" s="8"/>
      <c r="F1335" s="8"/>
      <c r="G1335" s="10" t="str">
        <f aca="false">IF($A1335="","",UPPER(SUBSTITUTE(SUBSTITUTE(SUBSTITUTE(SUBSTITUTE($A1335," ",""),"(주)",""),"주식회사",""),"㈜","")))</f>
        <v/>
      </c>
      <c r="H1335" s="10" t="str">
        <f aca="false">IF($B1335="","",SUBSTITUTE(SUBSTITUTE(SUBSTITUTE($B1335,"-","")," ",""),".",""))</f>
        <v/>
      </c>
      <c r="I1335" s="10" t="str">
        <f aca="false">IF($D1335="","",SUBSTITUTE(SUBSTITUTE(SUBSTITUTE($D1335,"-","")," ",""),".",""))</f>
        <v/>
      </c>
      <c r="J1335" s="10" t="str">
        <f aca="false">IF($E1335="","",UPPER(SUBSTITUTE($E1335," ","")))</f>
        <v/>
      </c>
      <c r="K1335" s="10" t="str">
        <f aca="false">IF($A1335="","",$G1335&amp;"|"&amp;$J1335)</f>
        <v/>
      </c>
      <c r="L1335" s="10" t="str">
        <f aca="false">IF($A1335="","",ROW()-2)</f>
        <v/>
      </c>
      <c r="M1335" s="10" t="str">
        <f aca="false">IF($A1335="","",ROW())</f>
        <v/>
      </c>
    </row>
    <row r="1336" customFormat="false" ht="15" hidden="false" customHeight="true" outlineLevel="0" collapsed="false">
      <c r="A1336" s="8"/>
      <c r="B1336" s="8"/>
      <c r="C1336" s="8"/>
      <c r="D1336" s="8"/>
      <c r="E1336" s="8"/>
      <c r="F1336" s="8"/>
      <c r="G1336" s="10" t="str">
        <f aca="false">IF($A1336="","",UPPER(SUBSTITUTE(SUBSTITUTE(SUBSTITUTE(SUBSTITUTE($A1336," ",""),"(주)",""),"주식회사",""),"㈜","")))</f>
        <v/>
      </c>
      <c r="H1336" s="10" t="str">
        <f aca="false">IF($B1336="","",SUBSTITUTE(SUBSTITUTE(SUBSTITUTE($B1336,"-","")," ",""),".",""))</f>
        <v/>
      </c>
      <c r="I1336" s="10" t="str">
        <f aca="false">IF($D1336="","",SUBSTITUTE(SUBSTITUTE(SUBSTITUTE($D1336,"-","")," ",""),".",""))</f>
        <v/>
      </c>
      <c r="J1336" s="10" t="str">
        <f aca="false">IF($E1336="","",UPPER(SUBSTITUTE($E1336," ","")))</f>
        <v/>
      </c>
      <c r="K1336" s="10" t="str">
        <f aca="false">IF($A1336="","",$G1336&amp;"|"&amp;$J1336)</f>
        <v/>
      </c>
      <c r="L1336" s="10" t="str">
        <f aca="false">IF($A1336="","",ROW()-2)</f>
        <v/>
      </c>
      <c r="M1336" s="10" t="str">
        <f aca="false">IF($A1336="","",ROW())</f>
        <v/>
      </c>
    </row>
    <row r="1337" customFormat="false" ht="15" hidden="false" customHeight="true" outlineLevel="0" collapsed="false">
      <c r="A1337" s="8"/>
      <c r="B1337" s="8"/>
      <c r="C1337" s="8"/>
      <c r="D1337" s="8"/>
      <c r="E1337" s="8"/>
      <c r="F1337" s="8"/>
      <c r="G1337" s="10" t="str">
        <f aca="false">IF($A1337="","",UPPER(SUBSTITUTE(SUBSTITUTE(SUBSTITUTE(SUBSTITUTE($A1337," ",""),"(주)",""),"주식회사",""),"㈜","")))</f>
        <v/>
      </c>
      <c r="H1337" s="10" t="str">
        <f aca="false">IF($B1337="","",SUBSTITUTE(SUBSTITUTE(SUBSTITUTE($B1337,"-","")," ",""),".",""))</f>
        <v/>
      </c>
      <c r="I1337" s="10" t="str">
        <f aca="false">IF($D1337="","",SUBSTITUTE(SUBSTITUTE(SUBSTITUTE($D1337,"-","")," ",""),".",""))</f>
        <v/>
      </c>
      <c r="J1337" s="10" t="str">
        <f aca="false">IF($E1337="","",UPPER(SUBSTITUTE($E1337," ","")))</f>
        <v/>
      </c>
      <c r="K1337" s="10" t="str">
        <f aca="false">IF($A1337="","",$G1337&amp;"|"&amp;$J1337)</f>
        <v/>
      </c>
      <c r="L1337" s="10" t="str">
        <f aca="false">IF($A1337="","",ROW()-2)</f>
        <v/>
      </c>
      <c r="M1337" s="10" t="str">
        <f aca="false">IF($A1337="","",ROW())</f>
        <v/>
      </c>
    </row>
    <row r="1338" customFormat="false" ht="15" hidden="false" customHeight="true" outlineLevel="0" collapsed="false">
      <c r="A1338" s="8"/>
      <c r="B1338" s="8"/>
      <c r="C1338" s="8"/>
      <c r="D1338" s="8"/>
      <c r="E1338" s="8"/>
      <c r="F1338" s="8"/>
      <c r="G1338" s="10" t="str">
        <f aca="false">IF($A1338="","",UPPER(SUBSTITUTE(SUBSTITUTE(SUBSTITUTE(SUBSTITUTE($A1338," ",""),"(주)",""),"주식회사",""),"㈜","")))</f>
        <v/>
      </c>
      <c r="H1338" s="10" t="str">
        <f aca="false">IF($B1338="","",SUBSTITUTE(SUBSTITUTE(SUBSTITUTE($B1338,"-","")," ",""),".",""))</f>
        <v/>
      </c>
      <c r="I1338" s="10" t="str">
        <f aca="false">IF($D1338="","",SUBSTITUTE(SUBSTITUTE(SUBSTITUTE($D1338,"-","")," ",""),".",""))</f>
        <v/>
      </c>
      <c r="J1338" s="10" t="str">
        <f aca="false">IF($E1338="","",UPPER(SUBSTITUTE($E1338," ","")))</f>
        <v/>
      </c>
      <c r="K1338" s="10" t="str">
        <f aca="false">IF($A1338="","",$G1338&amp;"|"&amp;$J1338)</f>
        <v/>
      </c>
      <c r="L1338" s="10" t="str">
        <f aca="false">IF($A1338="","",ROW()-2)</f>
        <v/>
      </c>
      <c r="M1338" s="10" t="str">
        <f aca="false">IF($A1338="","",ROW())</f>
        <v/>
      </c>
    </row>
    <row r="1339" customFormat="false" ht="15" hidden="false" customHeight="true" outlineLevel="0" collapsed="false">
      <c r="A1339" s="8"/>
      <c r="B1339" s="8"/>
      <c r="C1339" s="8"/>
      <c r="D1339" s="8"/>
      <c r="E1339" s="8"/>
      <c r="F1339" s="8"/>
      <c r="G1339" s="10" t="str">
        <f aca="false">IF($A1339="","",UPPER(SUBSTITUTE(SUBSTITUTE(SUBSTITUTE(SUBSTITUTE($A1339," ",""),"(주)",""),"주식회사",""),"㈜","")))</f>
        <v/>
      </c>
      <c r="H1339" s="10" t="str">
        <f aca="false">IF($B1339="","",SUBSTITUTE(SUBSTITUTE(SUBSTITUTE($B1339,"-","")," ",""),".",""))</f>
        <v/>
      </c>
      <c r="I1339" s="10" t="str">
        <f aca="false">IF($D1339="","",SUBSTITUTE(SUBSTITUTE(SUBSTITUTE($D1339,"-","")," ",""),".",""))</f>
        <v/>
      </c>
      <c r="J1339" s="10" t="str">
        <f aca="false">IF($E1339="","",UPPER(SUBSTITUTE($E1339," ","")))</f>
        <v/>
      </c>
      <c r="K1339" s="10" t="str">
        <f aca="false">IF($A1339="","",$G1339&amp;"|"&amp;$J1339)</f>
        <v/>
      </c>
      <c r="L1339" s="10" t="str">
        <f aca="false">IF($A1339="","",ROW()-2)</f>
        <v/>
      </c>
      <c r="M1339" s="10" t="str">
        <f aca="false">IF($A1339="","",ROW())</f>
        <v/>
      </c>
    </row>
    <row r="1340" customFormat="false" ht="15" hidden="false" customHeight="true" outlineLevel="0" collapsed="false">
      <c r="A1340" s="8"/>
      <c r="B1340" s="8"/>
      <c r="C1340" s="8"/>
      <c r="D1340" s="8"/>
      <c r="E1340" s="8"/>
      <c r="F1340" s="8"/>
      <c r="G1340" s="10" t="str">
        <f aca="false">IF($A1340="","",UPPER(SUBSTITUTE(SUBSTITUTE(SUBSTITUTE(SUBSTITUTE($A1340," ",""),"(주)",""),"주식회사",""),"㈜","")))</f>
        <v/>
      </c>
      <c r="H1340" s="10" t="str">
        <f aca="false">IF($B1340="","",SUBSTITUTE(SUBSTITUTE(SUBSTITUTE($B1340,"-","")," ",""),".",""))</f>
        <v/>
      </c>
      <c r="I1340" s="10" t="str">
        <f aca="false">IF($D1340="","",SUBSTITUTE(SUBSTITUTE(SUBSTITUTE($D1340,"-","")," ",""),".",""))</f>
        <v/>
      </c>
      <c r="J1340" s="10" t="str">
        <f aca="false">IF($E1340="","",UPPER(SUBSTITUTE($E1340," ","")))</f>
        <v/>
      </c>
      <c r="K1340" s="10" t="str">
        <f aca="false">IF($A1340="","",$G1340&amp;"|"&amp;$J1340)</f>
        <v/>
      </c>
      <c r="L1340" s="10" t="str">
        <f aca="false">IF($A1340="","",ROW()-2)</f>
        <v/>
      </c>
      <c r="M1340" s="10" t="str">
        <f aca="false">IF($A1340="","",ROW())</f>
        <v/>
      </c>
    </row>
    <row r="1341" customFormat="false" ht="15" hidden="false" customHeight="true" outlineLevel="0" collapsed="false">
      <c r="A1341" s="8"/>
      <c r="B1341" s="8"/>
      <c r="C1341" s="8"/>
      <c r="D1341" s="8"/>
      <c r="E1341" s="8"/>
      <c r="F1341" s="8"/>
      <c r="G1341" s="10" t="str">
        <f aca="false">IF($A1341="","",UPPER(SUBSTITUTE(SUBSTITUTE(SUBSTITUTE(SUBSTITUTE($A1341," ",""),"(주)",""),"주식회사",""),"㈜","")))</f>
        <v/>
      </c>
      <c r="H1341" s="10" t="str">
        <f aca="false">IF($B1341="","",SUBSTITUTE(SUBSTITUTE(SUBSTITUTE($B1341,"-","")," ",""),".",""))</f>
        <v/>
      </c>
      <c r="I1341" s="10" t="str">
        <f aca="false">IF($D1341="","",SUBSTITUTE(SUBSTITUTE(SUBSTITUTE($D1341,"-","")," ",""),".",""))</f>
        <v/>
      </c>
      <c r="J1341" s="10" t="str">
        <f aca="false">IF($E1341="","",UPPER(SUBSTITUTE($E1341," ","")))</f>
        <v/>
      </c>
      <c r="K1341" s="10" t="str">
        <f aca="false">IF($A1341="","",$G1341&amp;"|"&amp;$J1341)</f>
        <v/>
      </c>
      <c r="L1341" s="10" t="str">
        <f aca="false">IF($A1341="","",ROW()-2)</f>
        <v/>
      </c>
      <c r="M1341" s="10" t="str">
        <f aca="false">IF($A1341="","",ROW())</f>
        <v/>
      </c>
    </row>
    <row r="1342" customFormat="false" ht="15" hidden="false" customHeight="true" outlineLevel="0" collapsed="false">
      <c r="A1342" s="8"/>
      <c r="B1342" s="8"/>
      <c r="C1342" s="8"/>
      <c r="D1342" s="8"/>
      <c r="E1342" s="8"/>
      <c r="F1342" s="8"/>
      <c r="G1342" s="10" t="str">
        <f aca="false">IF($A1342="","",UPPER(SUBSTITUTE(SUBSTITUTE(SUBSTITUTE(SUBSTITUTE($A1342," ",""),"(주)",""),"주식회사",""),"㈜","")))</f>
        <v/>
      </c>
      <c r="H1342" s="10" t="str">
        <f aca="false">IF($B1342="","",SUBSTITUTE(SUBSTITUTE(SUBSTITUTE($B1342,"-","")," ",""),".",""))</f>
        <v/>
      </c>
      <c r="I1342" s="10" t="str">
        <f aca="false">IF($D1342="","",SUBSTITUTE(SUBSTITUTE(SUBSTITUTE($D1342,"-","")," ",""),".",""))</f>
        <v/>
      </c>
      <c r="J1342" s="10" t="str">
        <f aca="false">IF($E1342="","",UPPER(SUBSTITUTE($E1342," ","")))</f>
        <v/>
      </c>
      <c r="K1342" s="10" t="str">
        <f aca="false">IF($A1342="","",$G1342&amp;"|"&amp;$J1342)</f>
        <v/>
      </c>
      <c r="L1342" s="10" t="str">
        <f aca="false">IF($A1342="","",ROW()-2)</f>
        <v/>
      </c>
      <c r="M1342" s="10" t="str">
        <f aca="false">IF($A1342="","",ROW())</f>
        <v/>
      </c>
    </row>
    <row r="1343" customFormat="false" ht="15" hidden="false" customHeight="true" outlineLevel="0" collapsed="false">
      <c r="A1343" s="8"/>
      <c r="B1343" s="8"/>
      <c r="C1343" s="8"/>
      <c r="D1343" s="8"/>
      <c r="E1343" s="8"/>
      <c r="F1343" s="8"/>
      <c r="G1343" s="10" t="str">
        <f aca="false">IF($A1343="","",UPPER(SUBSTITUTE(SUBSTITUTE(SUBSTITUTE(SUBSTITUTE($A1343," ",""),"(주)",""),"주식회사",""),"㈜","")))</f>
        <v/>
      </c>
      <c r="H1343" s="10" t="str">
        <f aca="false">IF($B1343="","",SUBSTITUTE(SUBSTITUTE(SUBSTITUTE($B1343,"-","")," ",""),".",""))</f>
        <v/>
      </c>
      <c r="I1343" s="10" t="str">
        <f aca="false">IF($D1343="","",SUBSTITUTE(SUBSTITUTE(SUBSTITUTE($D1343,"-","")," ",""),".",""))</f>
        <v/>
      </c>
      <c r="J1343" s="10" t="str">
        <f aca="false">IF($E1343="","",UPPER(SUBSTITUTE($E1343," ","")))</f>
        <v/>
      </c>
      <c r="K1343" s="10" t="str">
        <f aca="false">IF($A1343="","",$G1343&amp;"|"&amp;$J1343)</f>
        <v/>
      </c>
      <c r="L1343" s="10" t="str">
        <f aca="false">IF($A1343="","",ROW()-2)</f>
        <v/>
      </c>
      <c r="M1343" s="10" t="str">
        <f aca="false">IF($A1343="","",ROW())</f>
        <v/>
      </c>
    </row>
    <row r="1344" customFormat="false" ht="15" hidden="false" customHeight="true" outlineLevel="0" collapsed="false">
      <c r="A1344" s="8"/>
      <c r="B1344" s="8"/>
      <c r="C1344" s="8"/>
      <c r="D1344" s="8"/>
      <c r="E1344" s="8"/>
      <c r="F1344" s="8"/>
      <c r="G1344" s="10" t="str">
        <f aca="false">IF($A1344="","",UPPER(SUBSTITUTE(SUBSTITUTE(SUBSTITUTE(SUBSTITUTE($A1344," ",""),"(주)",""),"주식회사",""),"㈜","")))</f>
        <v/>
      </c>
      <c r="H1344" s="10" t="str">
        <f aca="false">IF($B1344="","",SUBSTITUTE(SUBSTITUTE(SUBSTITUTE($B1344,"-","")," ",""),".",""))</f>
        <v/>
      </c>
      <c r="I1344" s="10" t="str">
        <f aca="false">IF($D1344="","",SUBSTITUTE(SUBSTITUTE(SUBSTITUTE($D1344,"-","")," ",""),".",""))</f>
        <v/>
      </c>
      <c r="J1344" s="10" t="str">
        <f aca="false">IF($E1344="","",UPPER(SUBSTITUTE($E1344," ","")))</f>
        <v/>
      </c>
      <c r="K1344" s="10" t="str">
        <f aca="false">IF($A1344="","",$G1344&amp;"|"&amp;$J1344)</f>
        <v/>
      </c>
      <c r="L1344" s="10" t="str">
        <f aca="false">IF($A1344="","",ROW()-2)</f>
        <v/>
      </c>
      <c r="M1344" s="10" t="str">
        <f aca="false">IF($A1344="","",ROW())</f>
        <v/>
      </c>
    </row>
    <row r="1345" customFormat="false" ht="15" hidden="false" customHeight="true" outlineLevel="0" collapsed="false">
      <c r="A1345" s="8"/>
      <c r="B1345" s="8"/>
      <c r="C1345" s="8"/>
      <c r="D1345" s="8"/>
      <c r="E1345" s="8"/>
      <c r="F1345" s="8"/>
      <c r="G1345" s="10" t="str">
        <f aca="false">IF($A1345="","",UPPER(SUBSTITUTE(SUBSTITUTE(SUBSTITUTE(SUBSTITUTE($A1345," ",""),"(주)",""),"주식회사",""),"㈜","")))</f>
        <v/>
      </c>
      <c r="H1345" s="10" t="str">
        <f aca="false">IF($B1345="","",SUBSTITUTE(SUBSTITUTE(SUBSTITUTE($B1345,"-","")," ",""),".",""))</f>
        <v/>
      </c>
      <c r="I1345" s="10" t="str">
        <f aca="false">IF($D1345="","",SUBSTITUTE(SUBSTITUTE(SUBSTITUTE($D1345,"-","")," ",""),".",""))</f>
        <v/>
      </c>
      <c r="J1345" s="10" t="str">
        <f aca="false">IF($E1345="","",UPPER(SUBSTITUTE($E1345," ","")))</f>
        <v/>
      </c>
      <c r="K1345" s="10" t="str">
        <f aca="false">IF($A1345="","",$G1345&amp;"|"&amp;$J1345)</f>
        <v/>
      </c>
      <c r="L1345" s="10" t="str">
        <f aca="false">IF($A1345="","",ROW()-2)</f>
        <v/>
      </c>
      <c r="M1345" s="10" t="str">
        <f aca="false">IF($A1345="","",ROW())</f>
        <v/>
      </c>
    </row>
    <row r="1346" customFormat="false" ht="15" hidden="false" customHeight="true" outlineLevel="0" collapsed="false">
      <c r="A1346" s="8"/>
      <c r="B1346" s="8"/>
      <c r="C1346" s="8"/>
      <c r="D1346" s="8"/>
      <c r="E1346" s="8"/>
      <c r="F1346" s="8"/>
      <c r="G1346" s="10" t="str">
        <f aca="false">IF($A1346="","",UPPER(SUBSTITUTE(SUBSTITUTE(SUBSTITUTE(SUBSTITUTE($A1346," ",""),"(주)",""),"주식회사",""),"㈜","")))</f>
        <v/>
      </c>
      <c r="H1346" s="10" t="str">
        <f aca="false">IF($B1346="","",SUBSTITUTE(SUBSTITUTE(SUBSTITUTE($B1346,"-","")," ",""),".",""))</f>
        <v/>
      </c>
      <c r="I1346" s="10" t="str">
        <f aca="false">IF($D1346="","",SUBSTITUTE(SUBSTITUTE(SUBSTITUTE($D1346,"-","")," ",""),".",""))</f>
        <v/>
      </c>
      <c r="J1346" s="10" t="str">
        <f aca="false">IF($E1346="","",UPPER(SUBSTITUTE($E1346," ","")))</f>
        <v/>
      </c>
      <c r="K1346" s="10" t="str">
        <f aca="false">IF($A1346="","",$G1346&amp;"|"&amp;$J1346)</f>
        <v/>
      </c>
      <c r="L1346" s="10" t="str">
        <f aca="false">IF($A1346="","",ROW()-2)</f>
        <v/>
      </c>
      <c r="M1346" s="10" t="str">
        <f aca="false">IF($A1346="","",ROW())</f>
        <v/>
      </c>
    </row>
    <row r="1347" customFormat="false" ht="15" hidden="false" customHeight="true" outlineLevel="0" collapsed="false">
      <c r="A1347" s="8"/>
      <c r="B1347" s="8"/>
      <c r="C1347" s="8"/>
      <c r="D1347" s="8"/>
      <c r="E1347" s="8"/>
      <c r="F1347" s="8"/>
      <c r="G1347" s="10" t="str">
        <f aca="false">IF($A1347="","",UPPER(SUBSTITUTE(SUBSTITUTE(SUBSTITUTE(SUBSTITUTE($A1347," ",""),"(주)",""),"주식회사",""),"㈜","")))</f>
        <v/>
      </c>
      <c r="H1347" s="10" t="str">
        <f aca="false">IF($B1347="","",SUBSTITUTE(SUBSTITUTE(SUBSTITUTE($B1347,"-","")," ",""),".",""))</f>
        <v/>
      </c>
      <c r="I1347" s="10" t="str">
        <f aca="false">IF($D1347="","",SUBSTITUTE(SUBSTITUTE(SUBSTITUTE($D1347,"-","")," ",""),".",""))</f>
        <v/>
      </c>
      <c r="J1347" s="10" t="str">
        <f aca="false">IF($E1347="","",UPPER(SUBSTITUTE($E1347," ","")))</f>
        <v/>
      </c>
      <c r="K1347" s="10" t="str">
        <f aca="false">IF($A1347="","",$G1347&amp;"|"&amp;$J1347)</f>
        <v/>
      </c>
      <c r="L1347" s="10" t="str">
        <f aca="false">IF($A1347="","",ROW()-2)</f>
        <v/>
      </c>
      <c r="M1347" s="10" t="str">
        <f aca="false">IF($A1347="","",ROW())</f>
        <v/>
      </c>
    </row>
    <row r="1348" customFormat="false" ht="15" hidden="false" customHeight="true" outlineLevel="0" collapsed="false">
      <c r="A1348" s="8"/>
      <c r="B1348" s="8"/>
      <c r="C1348" s="8"/>
      <c r="D1348" s="8"/>
      <c r="E1348" s="8"/>
      <c r="F1348" s="8"/>
      <c r="G1348" s="10" t="str">
        <f aca="false">IF($A1348="","",UPPER(SUBSTITUTE(SUBSTITUTE(SUBSTITUTE(SUBSTITUTE($A1348," ",""),"(주)",""),"주식회사",""),"㈜","")))</f>
        <v/>
      </c>
      <c r="H1348" s="10" t="str">
        <f aca="false">IF($B1348="","",SUBSTITUTE(SUBSTITUTE(SUBSTITUTE($B1348,"-","")," ",""),".",""))</f>
        <v/>
      </c>
      <c r="I1348" s="10" t="str">
        <f aca="false">IF($D1348="","",SUBSTITUTE(SUBSTITUTE(SUBSTITUTE($D1348,"-","")," ",""),".",""))</f>
        <v/>
      </c>
      <c r="J1348" s="10" t="str">
        <f aca="false">IF($E1348="","",UPPER(SUBSTITUTE($E1348," ","")))</f>
        <v/>
      </c>
      <c r="K1348" s="10" t="str">
        <f aca="false">IF($A1348="","",$G1348&amp;"|"&amp;$J1348)</f>
        <v/>
      </c>
      <c r="L1348" s="10" t="str">
        <f aca="false">IF($A1348="","",ROW()-2)</f>
        <v/>
      </c>
      <c r="M1348" s="10" t="str">
        <f aca="false">IF($A1348="","",ROW())</f>
        <v/>
      </c>
    </row>
    <row r="1349" customFormat="false" ht="15" hidden="false" customHeight="true" outlineLevel="0" collapsed="false">
      <c r="A1349" s="8"/>
      <c r="B1349" s="8"/>
      <c r="C1349" s="8"/>
      <c r="D1349" s="8"/>
      <c r="E1349" s="8"/>
      <c r="F1349" s="8"/>
      <c r="G1349" s="10" t="str">
        <f aca="false">IF($A1349="","",UPPER(SUBSTITUTE(SUBSTITUTE(SUBSTITUTE(SUBSTITUTE($A1349," ",""),"(주)",""),"주식회사",""),"㈜","")))</f>
        <v/>
      </c>
      <c r="H1349" s="10" t="str">
        <f aca="false">IF($B1349="","",SUBSTITUTE(SUBSTITUTE(SUBSTITUTE($B1349,"-","")," ",""),".",""))</f>
        <v/>
      </c>
      <c r="I1349" s="10" t="str">
        <f aca="false">IF($D1349="","",SUBSTITUTE(SUBSTITUTE(SUBSTITUTE($D1349,"-","")," ",""),".",""))</f>
        <v/>
      </c>
      <c r="J1349" s="10" t="str">
        <f aca="false">IF($E1349="","",UPPER(SUBSTITUTE($E1349," ","")))</f>
        <v/>
      </c>
      <c r="K1349" s="10" t="str">
        <f aca="false">IF($A1349="","",$G1349&amp;"|"&amp;$J1349)</f>
        <v/>
      </c>
      <c r="L1349" s="10" t="str">
        <f aca="false">IF($A1349="","",ROW()-2)</f>
        <v/>
      </c>
      <c r="M1349" s="10" t="str">
        <f aca="false">IF($A1349="","",ROW())</f>
        <v/>
      </c>
    </row>
    <row r="1350" customFormat="false" ht="15" hidden="false" customHeight="true" outlineLevel="0" collapsed="false">
      <c r="A1350" s="8"/>
      <c r="B1350" s="8"/>
      <c r="C1350" s="8"/>
      <c r="D1350" s="8"/>
      <c r="E1350" s="8"/>
      <c r="F1350" s="8"/>
      <c r="G1350" s="10" t="str">
        <f aca="false">IF($A1350="","",UPPER(SUBSTITUTE(SUBSTITUTE(SUBSTITUTE(SUBSTITUTE($A1350," ",""),"(주)",""),"주식회사",""),"㈜","")))</f>
        <v/>
      </c>
      <c r="H1350" s="10" t="str">
        <f aca="false">IF($B1350="","",SUBSTITUTE(SUBSTITUTE(SUBSTITUTE($B1350,"-","")," ",""),".",""))</f>
        <v/>
      </c>
      <c r="I1350" s="10" t="str">
        <f aca="false">IF($D1350="","",SUBSTITUTE(SUBSTITUTE(SUBSTITUTE($D1350,"-","")," ",""),".",""))</f>
        <v/>
      </c>
      <c r="J1350" s="10" t="str">
        <f aca="false">IF($E1350="","",UPPER(SUBSTITUTE($E1350," ","")))</f>
        <v/>
      </c>
      <c r="K1350" s="10" t="str">
        <f aca="false">IF($A1350="","",$G1350&amp;"|"&amp;$J1350)</f>
        <v/>
      </c>
      <c r="L1350" s="10" t="str">
        <f aca="false">IF($A1350="","",ROW()-2)</f>
        <v/>
      </c>
      <c r="M1350" s="10" t="str">
        <f aca="false">IF($A1350="","",ROW())</f>
        <v/>
      </c>
    </row>
    <row r="1351" customFormat="false" ht="15" hidden="false" customHeight="true" outlineLevel="0" collapsed="false">
      <c r="A1351" s="8"/>
      <c r="B1351" s="8"/>
      <c r="C1351" s="8"/>
      <c r="D1351" s="8"/>
      <c r="E1351" s="8"/>
      <c r="F1351" s="8"/>
      <c r="G1351" s="10" t="str">
        <f aca="false">IF($A1351="","",UPPER(SUBSTITUTE(SUBSTITUTE(SUBSTITUTE(SUBSTITUTE($A1351," ",""),"(주)",""),"주식회사",""),"㈜","")))</f>
        <v/>
      </c>
      <c r="H1351" s="10" t="str">
        <f aca="false">IF($B1351="","",SUBSTITUTE(SUBSTITUTE(SUBSTITUTE($B1351,"-","")," ",""),".",""))</f>
        <v/>
      </c>
      <c r="I1351" s="10" t="str">
        <f aca="false">IF($D1351="","",SUBSTITUTE(SUBSTITUTE(SUBSTITUTE($D1351,"-","")," ",""),".",""))</f>
        <v/>
      </c>
      <c r="J1351" s="10" t="str">
        <f aca="false">IF($E1351="","",UPPER(SUBSTITUTE($E1351," ","")))</f>
        <v/>
      </c>
      <c r="K1351" s="10" t="str">
        <f aca="false">IF($A1351="","",$G1351&amp;"|"&amp;$J1351)</f>
        <v/>
      </c>
      <c r="L1351" s="10" t="str">
        <f aca="false">IF($A1351="","",ROW()-2)</f>
        <v/>
      </c>
      <c r="M1351" s="10" t="str">
        <f aca="false">IF($A1351="","",ROW())</f>
        <v/>
      </c>
    </row>
    <row r="1352" customFormat="false" ht="15" hidden="false" customHeight="true" outlineLevel="0" collapsed="false">
      <c r="A1352" s="8"/>
      <c r="B1352" s="8"/>
      <c r="C1352" s="8"/>
      <c r="D1352" s="8"/>
      <c r="E1352" s="8"/>
      <c r="F1352" s="8"/>
      <c r="G1352" s="10" t="str">
        <f aca="false">IF($A1352="","",UPPER(SUBSTITUTE(SUBSTITUTE(SUBSTITUTE(SUBSTITUTE($A1352," ",""),"(주)",""),"주식회사",""),"㈜","")))</f>
        <v/>
      </c>
      <c r="H1352" s="10" t="str">
        <f aca="false">IF($B1352="","",SUBSTITUTE(SUBSTITUTE(SUBSTITUTE($B1352,"-","")," ",""),".",""))</f>
        <v/>
      </c>
      <c r="I1352" s="10" t="str">
        <f aca="false">IF($D1352="","",SUBSTITUTE(SUBSTITUTE(SUBSTITUTE($D1352,"-","")," ",""),".",""))</f>
        <v/>
      </c>
      <c r="J1352" s="10" t="str">
        <f aca="false">IF($E1352="","",UPPER(SUBSTITUTE($E1352," ","")))</f>
        <v/>
      </c>
      <c r="K1352" s="10" t="str">
        <f aca="false">IF($A1352="","",$G1352&amp;"|"&amp;$J1352)</f>
        <v/>
      </c>
      <c r="L1352" s="10" t="str">
        <f aca="false">IF($A1352="","",ROW()-2)</f>
        <v/>
      </c>
      <c r="M1352" s="10" t="str">
        <f aca="false">IF($A1352="","",ROW())</f>
        <v/>
      </c>
    </row>
    <row r="1353" customFormat="false" ht="15" hidden="false" customHeight="true" outlineLevel="0" collapsed="false">
      <c r="A1353" s="8"/>
      <c r="B1353" s="8"/>
      <c r="C1353" s="8"/>
      <c r="D1353" s="8"/>
      <c r="E1353" s="8"/>
      <c r="F1353" s="8"/>
      <c r="G1353" s="10" t="str">
        <f aca="false">IF($A1353="","",UPPER(SUBSTITUTE(SUBSTITUTE(SUBSTITUTE(SUBSTITUTE($A1353," ",""),"(주)",""),"주식회사",""),"㈜","")))</f>
        <v/>
      </c>
      <c r="H1353" s="10" t="str">
        <f aca="false">IF($B1353="","",SUBSTITUTE(SUBSTITUTE(SUBSTITUTE($B1353,"-","")," ",""),".",""))</f>
        <v/>
      </c>
      <c r="I1353" s="10" t="str">
        <f aca="false">IF($D1353="","",SUBSTITUTE(SUBSTITUTE(SUBSTITUTE($D1353,"-","")," ",""),".",""))</f>
        <v/>
      </c>
      <c r="J1353" s="10" t="str">
        <f aca="false">IF($E1353="","",UPPER(SUBSTITUTE($E1353," ","")))</f>
        <v/>
      </c>
      <c r="K1353" s="10" t="str">
        <f aca="false">IF($A1353="","",$G1353&amp;"|"&amp;$J1353)</f>
        <v/>
      </c>
      <c r="L1353" s="10" t="str">
        <f aca="false">IF($A1353="","",ROW()-2)</f>
        <v/>
      </c>
      <c r="M1353" s="10" t="str">
        <f aca="false">IF($A1353="","",ROW())</f>
        <v/>
      </c>
    </row>
    <row r="1354" customFormat="false" ht="15" hidden="false" customHeight="true" outlineLevel="0" collapsed="false">
      <c r="A1354" s="8"/>
      <c r="B1354" s="8"/>
      <c r="C1354" s="8"/>
      <c r="D1354" s="8"/>
      <c r="E1354" s="8"/>
      <c r="F1354" s="8"/>
      <c r="G1354" s="10" t="str">
        <f aca="false">IF($A1354="","",UPPER(SUBSTITUTE(SUBSTITUTE(SUBSTITUTE(SUBSTITUTE($A1354," ",""),"(주)",""),"주식회사",""),"㈜","")))</f>
        <v/>
      </c>
      <c r="H1354" s="10" t="str">
        <f aca="false">IF($B1354="","",SUBSTITUTE(SUBSTITUTE(SUBSTITUTE($B1354,"-","")," ",""),".",""))</f>
        <v/>
      </c>
      <c r="I1354" s="10" t="str">
        <f aca="false">IF($D1354="","",SUBSTITUTE(SUBSTITUTE(SUBSTITUTE($D1354,"-","")," ",""),".",""))</f>
        <v/>
      </c>
      <c r="J1354" s="10" t="str">
        <f aca="false">IF($E1354="","",UPPER(SUBSTITUTE($E1354," ","")))</f>
        <v/>
      </c>
      <c r="K1354" s="10" t="str">
        <f aca="false">IF($A1354="","",$G1354&amp;"|"&amp;$J1354)</f>
        <v/>
      </c>
      <c r="L1354" s="10" t="str">
        <f aca="false">IF($A1354="","",ROW()-2)</f>
        <v/>
      </c>
      <c r="M1354" s="10" t="str">
        <f aca="false">IF($A1354="","",ROW())</f>
        <v/>
      </c>
    </row>
    <row r="1355" customFormat="false" ht="15" hidden="false" customHeight="true" outlineLevel="0" collapsed="false">
      <c r="A1355" s="8"/>
      <c r="B1355" s="8"/>
      <c r="C1355" s="8"/>
      <c r="D1355" s="8"/>
      <c r="E1355" s="8"/>
      <c r="F1355" s="8"/>
      <c r="G1355" s="10" t="str">
        <f aca="false">IF($A1355="","",UPPER(SUBSTITUTE(SUBSTITUTE(SUBSTITUTE(SUBSTITUTE($A1355," ",""),"(주)",""),"주식회사",""),"㈜","")))</f>
        <v/>
      </c>
      <c r="H1355" s="10" t="str">
        <f aca="false">IF($B1355="","",SUBSTITUTE(SUBSTITUTE(SUBSTITUTE($B1355,"-","")," ",""),".",""))</f>
        <v/>
      </c>
      <c r="I1355" s="10" t="str">
        <f aca="false">IF($D1355="","",SUBSTITUTE(SUBSTITUTE(SUBSTITUTE($D1355,"-","")," ",""),".",""))</f>
        <v/>
      </c>
      <c r="J1355" s="10" t="str">
        <f aca="false">IF($E1355="","",UPPER(SUBSTITUTE($E1355," ","")))</f>
        <v/>
      </c>
      <c r="K1355" s="10" t="str">
        <f aca="false">IF($A1355="","",$G1355&amp;"|"&amp;$J1355)</f>
        <v/>
      </c>
      <c r="L1355" s="10" t="str">
        <f aca="false">IF($A1355="","",ROW()-2)</f>
        <v/>
      </c>
      <c r="M1355" s="10" t="str">
        <f aca="false">IF($A1355="","",ROW())</f>
        <v/>
      </c>
    </row>
    <row r="1356" customFormat="false" ht="15" hidden="false" customHeight="true" outlineLevel="0" collapsed="false">
      <c r="A1356" s="8"/>
      <c r="B1356" s="8"/>
      <c r="C1356" s="8"/>
      <c r="D1356" s="8"/>
      <c r="E1356" s="8"/>
      <c r="F1356" s="8"/>
      <c r="G1356" s="10" t="str">
        <f aca="false">IF($A1356="","",UPPER(SUBSTITUTE(SUBSTITUTE(SUBSTITUTE(SUBSTITUTE($A1356," ",""),"(주)",""),"주식회사",""),"㈜","")))</f>
        <v/>
      </c>
      <c r="H1356" s="10" t="str">
        <f aca="false">IF($B1356="","",SUBSTITUTE(SUBSTITUTE(SUBSTITUTE($B1356,"-","")," ",""),".",""))</f>
        <v/>
      </c>
      <c r="I1356" s="10" t="str">
        <f aca="false">IF($D1356="","",SUBSTITUTE(SUBSTITUTE(SUBSTITUTE($D1356,"-","")," ",""),".",""))</f>
        <v/>
      </c>
      <c r="J1356" s="10" t="str">
        <f aca="false">IF($E1356="","",UPPER(SUBSTITUTE($E1356," ","")))</f>
        <v/>
      </c>
      <c r="K1356" s="10" t="str">
        <f aca="false">IF($A1356="","",$G1356&amp;"|"&amp;$J1356)</f>
        <v/>
      </c>
      <c r="L1356" s="10" t="str">
        <f aca="false">IF($A1356="","",ROW()-2)</f>
        <v/>
      </c>
      <c r="M1356" s="10" t="str">
        <f aca="false">IF($A1356="","",ROW())</f>
        <v/>
      </c>
    </row>
    <row r="1357" customFormat="false" ht="15" hidden="false" customHeight="true" outlineLevel="0" collapsed="false">
      <c r="A1357" s="8"/>
      <c r="B1357" s="8"/>
      <c r="C1357" s="8"/>
      <c r="D1357" s="8"/>
      <c r="E1357" s="8"/>
      <c r="F1357" s="8"/>
      <c r="G1357" s="10" t="str">
        <f aca="false">IF($A1357="","",UPPER(SUBSTITUTE(SUBSTITUTE(SUBSTITUTE(SUBSTITUTE($A1357," ",""),"(주)",""),"주식회사",""),"㈜","")))</f>
        <v/>
      </c>
      <c r="H1357" s="10" t="str">
        <f aca="false">IF($B1357="","",SUBSTITUTE(SUBSTITUTE(SUBSTITUTE($B1357,"-","")," ",""),".",""))</f>
        <v/>
      </c>
      <c r="I1357" s="10" t="str">
        <f aca="false">IF($D1357="","",SUBSTITUTE(SUBSTITUTE(SUBSTITUTE($D1357,"-","")," ",""),".",""))</f>
        <v/>
      </c>
      <c r="J1357" s="10" t="str">
        <f aca="false">IF($E1357="","",UPPER(SUBSTITUTE($E1357," ","")))</f>
        <v/>
      </c>
      <c r="K1357" s="10" t="str">
        <f aca="false">IF($A1357="","",$G1357&amp;"|"&amp;$J1357)</f>
        <v/>
      </c>
      <c r="L1357" s="10" t="str">
        <f aca="false">IF($A1357="","",ROW()-2)</f>
        <v/>
      </c>
      <c r="M1357" s="10" t="str">
        <f aca="false">IF($A1357="","",ROW())</f>
        <v/>
      </c>
    </row>
    <row r="1358" customFormat="false" ht="15" hidden="false" customHeight="true" outlineLevel="0" collapsed="false">
      <c r="A1358" s="8"/>
      <c r="B1358" s="8"/>
      <c r="C1358" s="8"/>
      <c r="D1358" s="8"/>
      <c r="E1358" s="8"/>
      <c r="F1358" s="8"/>
      <c r="G1358" s="10" t="str">
        <f aca="false">IF($A1358="","",UPPER(SUBSTITUTE(SUBSTITUTE(SUBSTITUTE(SUBSTITUTE($A1358," ",""),"(주)",""),"주식회사",""),"㈜","")))</f>
        <v/>
      </c>
      <c r="H1358" s="10" t="str">
        <f aca="false">IF($B1358="","",SUBSTITUTE(SUBSTITUTE(SUBSTITUTE($B1358,"-","")," ",""),".",""))</f>
        <v/>
      </c>
      <c r="I1358" s="10" t="str">
        <f aca="false">IF($D1358="","",SUBSTITUTE(SUBSTITUTE(SUBSTITUTE($D1358,"-","")," ",""),".",""))</f>
        <v/>
      </c>
      <c r="J1358" s="10" t="str">
        <f aca="false">IF($E1358="","",UPPER(SUBSTITUTE($E1358," ","")))</f>
        <v/>
      </c>
      <c r="K1358" s="10" t="str">
        <f aca="false">IF($A1358="","",$G1358&amp;"|"&amp;$J1358)</f>
        <v/>
      </c>
      <c r="L1358" s="10" t="str">
        <f aca="false">IF($A1358="","",ROW()-2)</f>
        <v/>
      </c>
      <c r="M1358" s="10" t="str">
        <f aca="false">IF($A1358="","",ROW())</f>
        <v/>
      </c>
    </row>
    <row r="1359" customFormat="false" ht="15" hidden="false" customHeight="true" outlineLevel="0" collapsed="false">
      <c r="A1359" s="8"/>
      <c r="B1359" s="8"/>
      <c r="C1359" s="8"/>
      <c r="D1359" s="8"/>
      <c r="E1359" s="8"/>
      <c r="F1359" s="8"/>
      <c r="G1359" s="10" t="str">
        <f aca="false">IF($A1359="","",UPPER(SUBSTITUTE(SUBSTITUTE(SUBSTITUTE(SUBSTITUTE($A1359," ",""),"(주)",""),"주식회사",""),"㈜","")))</f>
        <v/>
      </c>
      <c r="H1359" s="10" t="str">
        <f aca="false">IF($B1359="","",SUBSTITUTE(SUBSTITUTE(SUBSTITUTE($B1359,"-","")," ",""),".",""))</f>
        <v/>
      </c>
      <c r="I1359" s="10" t="str">
        <f aca="false">IF($D1359="","",SUBSTITUTE(SUBSTITUTE(SUBSTITUTE($D1359,"-","")," ",""),".",""))</f>
        <v/>
      </c>
      <c r="J1359" s="10" t="str">
        <f aca="false">IF($E1359="","",UPPER(SUBSTITUTE($E1359," ","")))</f>
        <v/>
      </c>
      <c r="K1359" s="10" t="str">
        <f aca="false">IF($A1359="","",$G1359&amp;"|"&amp;$J1359)</f>
        <v/>
      </c>
      <c r="L1359" s="10" t="str">
        <f aca="false">IF($A1359="","",ROW()-2)</f>
        <v/>
      </c>
      <c r="M1359" s="10" t="str">
        <f aca="false">IF($A1359="","",ROW())</f>
        <v/>
      </c>
    </row>
    <row r="1360" customFormat="false" ht="15" hidden="false" customHeight="true" outlineLevel="0" collapsed="false">
      <c r="A1360" s="8"/>
      <c r="B1360" s="8"/>
      <c r="C1360" s="8"/>
      <c r="D1360" s="8"/>
      <c r="E1360" s="8"/>
      <c r="F1360" s="8"/>
      <c r="G1360" s="10" t="str">
        <f aca="false">IF($A1360="","",UPPER(SUBSTITUTE(SUBSTITUTE(SUBSTITUTE(SUBSTITUTE($A1360," ",""),"(주)",""),"주식회사",""),"㈜","")))</f>
        <v/>
      </c>
      <c r="H1360" s="10" t="str">
        <f aca="false">IF($B1360="","",SUBSTITUTE(SUBSTITUTE(SUBSTITUTE($B1360,"-","")," ",""),".",""))</f>
        <v/>
      </c>
      <c r="I1360" s="10" t="str">
        <f aca="false">IF($D1360="","",SUBSTITUTE(SUBSTITUTE(SUBSTITUTE($D1360,"-","")," ",""),".",""))</f>
        <v/>
      </c>
      <c r="J1360" s="10" t="str">
        <f aca="false">IF($E1360="","",UPPER(SUBSTITUTE($E1360," ","")))</f>
        <v/>
      </c>
      <c r="K1360" s="10" t="str">
        <f aca="false">IF($A1360="","",$G1360&amp;"|"&amp;$J1360)</f>
        <v/>
      </c>
      <c r="L1360" s="10" t="str">
        <f aca="false">IF($A1360="","",ROW()-2)</f>
        <v/>
      </c>
      <c r="M1360" s="10" t="str">
        <f aca="false">IF($A1360="","",ROW())</f>
        <v/>
      </c>
    </row>
    <row r="1361" customFormat="false" ht="15" hidden="false" customHeight="true" outlineLevel="0" collapsed="false">
      <c r="A1361" s="8"/>
      <c r="B1361" s="8"/>
      <c r="C1361" s="8"/>
      <c r="D1361" s="8"/>
      <c r="E1361" s="8"/>
      <c r="F1361" s="8"/>
      <c r="G1361" s="10" t="str">
        <f aca="false">IF($A1361="","",UPPER(SUBSTITUTE(SUBSTITUTE(SUBSTITUTE(SUBSTITUTE($A1361," ",""),"(주)",""),"주식회사",""),"㈜","")))</f>
        <v/>
      </c>
      <c r="H1361" s="10" t="str">
        <f aca="false">IF($B1361="","",SUBSTITUTE(SUBSTITUTE(SUBSTITUTE($B1361,"-","")," ",""),".",""))</f>
        <v/>
      </c>
      <c r="I1361" s="10" t="str">
        <f aca="false">IF($D1361="","",SUBSTITUTE(SUBSTITUTE(SUBSTITUTE($D1361,"-","")," ",""),".",""))</f>
        <v/>
      </c>
      <c r="J1361" s="10" t="str">
        <f aca="false">IF($E1361="","",UPPER(SUBSTITUTE($E1361," ","")))</f>
        <v/>
      </c>
      <c r="K1361" s="10" t="str">
        <f aca="false">IF($A1361="","",$G1361&amp;"|"&amp;$J1361)</f>
        <v/>
      </c>
      <c r="L1361" s="10" t="str">
        <f aca="false">IF($A1361="","",ROW()-2)</f>
        <v/>
      </c>
      <c r="M1361" s="10" t="str">
        <f aca="false">IF($A1361="","",ROW())</f>
        <v/>
      </c>
    </row>
    <row r="1362" customFormat="false" ht="15" hidden="false" customHeight="true" outlineLevel="0" collapsed="false">
      <c r="A1362" s="8"/>
      <c r="B1362" s="8"/>
      <c r="C1362" s="8"/>
      <c r="D1362" s="8"/>
      <c r="E1362" s="8"/>
      <c r="F1362" s="8"/>
      <c r="G1362" s="10" t="str">
        <f aca="false">IF($A1362="","",UPPER(SUBSTITUTE(SUBSTITUTE(SUBSTITUTE(SUBSTITUTE($A1362," ",""),"(주)",""),"주식회사",""),"㈜","")))</f>
        <v/>
      </c>
      <c r="H1362" s="10" t="str">
        <f aca="false">IF($B1362="","",SUBSTITUTE(SUBSTITUTE(SUBSTITUTE($B1362,"-","")," ",""),".",""))</f>
        <v/>
      </c>
      <c r="I1362" s="10" t="str">
        <f aca="false">IF($D1362="","",SUBSTITUTE(SUBSTITUTE(SUBSTITUTE($D1362,"-","")," ",""),".",""))</f>
        <v/>
      </c>
      <c r="J1362" s="10" t="str">
        <f aca="false">IF($E1362="","",UPPER(SUBSTITUTE($E1362," ","")))</f>
        <v/>
      </c>
      <c r="K1362" s="10" t="str">
        <f aca="false">IF($A1362="","",$G1362&amp;"|"&amp;$J1362)</f>
        <v/>
      </c>
      <c r="L1362" s="10" t="str">
        <f aca="false">IF($A1362="","",ROW()-2)</f>
        <v/>
      </c>
      <c r="M1362" s="10" t="str">
        <f aca="false">IF($A1362="","",ROW())</f>
        <v/>
      </c>
    </row>
    <row r="1363" customFormat="false" ht="15" hidden="false" customHeight="true" outlineLevel="0" collapsed="false">
      <c r="A1363" s="8"/>
      <c r="B1363" s="8"/>
      <c r="C1363" s="8"/>
      <c r="D1363" s="8"/>
      <c r="E1363" s="8"/>
      <c r="F1363" s="8"/>
      <c r="G1363" s="10" t="str">
        <f aca="false">IF($A1363="","",UPPER(SUBSTITUTE(SUBSTITUTE(SUBSTITUTE(SUBSTITUTE($A1363," ",""),"(주)",""),"주식회사",""),"㈜","")))</f>
        <v/>
      </c>
      <c r="H1363" s="10" t="str">
        <f aca="false">IF($B1363="","",SUBSTITUTE(SUBSTITUTE(SUBSTITUTE($B1363,"-","")," ",""),".",""))</f>
        <v/>
      </c>
      <c r="I1363" s="10" t="str">
        <f aca="false">IF($D1363="","",SUBSTITUTE(SUBSTITUTE(SUBSTITUTE($D1363,"-","")," ",""),".",""))</f>
        <v/>
      </c>
      <c r="J1363" s="10" t="str">
        <f aca="false">IF($E1363="","",UPPER(SUBSTITUTE($E1363," ","")))</f>
        <v/>
      </c>
      <c r="K1363" s="10" t="str">
        <f aca="false">IF($A1363="","",$G1363&amp;"|"&amp;$J1363)</f>
        <v/>
      </c>
      <c r="L1363" s="10" t="str">
        <f aca="false">IF($A1363="","",ROW()-2)</f>
        <v/>
      </c>
      <c r="M1363" s="10" t="str">
        <f aca="false">IF($A1363="","",ROW())</f>
        <v/>
      </c>
    </row>
    <row r="1364" customFormat="false" ht="15" hidden="false" customHeight="true" outlineLevel="0" collapsed="false">
      <c r="A1364" s="8"/>
      <c r="B1364" s="8"/>
      <c r="C1364" s="8"/>
      <c r="D1364" s="8"/>
      <c r="E1364" s="8"/>
      <c r="F1364" s="8"/>
      <c r="G1364" s="10" t="str">
        <f aca="false">IF($A1364="","",UPPER(SUBSTITUTE(SUBSTITUTE(SUBSTITUTE(SUBSTITUTE($A1364," ",""),"(주)",""),"주식회사",""),"㈜","")))</f>
        <v/>
      </c>
      <c r="H1364" s="10" t="str">
        <f aca="false">IF($B1364="","",SUBSTITUTE(SUBSTITUTE(SUBSTITUTE($B1364,"-","")," ",""),".",""))</f>
        <v/>
      </c>
      <c r="I1364" s="10" t="str">
        <f aca="false">IF($D1364="","",SUBSTITUTE(SUBSTITUTE(SUBSTITUTE($D1364,"-","")," ",""),".",""))</f>
        <v/>
      </c>
      <c r="J1364" s="10" t="str">
        <f aca="false">IF($E1364="","",UPPER(SUBSTITUTE($E1364," ","")))</f>
        <v/>
      </c>
      <c r="K1364" s="10" t="str">
        <f aca="false">IF($A1364="","",$G1364&amp;"|"&amp;$J1364)</f>
        <v/>
      </c>
      <c r="L1364" s="10" t="str">
        <f aca="false">IF($A1364="","",ROW()-2)</f>
        <v/>
      </c>
      <c r="M1364" s="10" t="str">
        <f aca="false">IF($A1364="","",ROW())</f>
        <v/>
      </c>
    </row>
    <row r="1365" customFormat="false" ht="15" hidden="false" customHeight="true" outlineLevel="0" collapsed="false">
      <c r="A1365" s="8"/>
      <c r="B1365" s="8"/>
      <c r="C1365" s="8"/>
      <c r="D1365" s="8"/>
      <c r="E1365" s="8"/>
      <c r="F1365" s="8"/>
      <c r="G1365" s="10" t="str">
        <f aca="false">IF($A1365="","",UPPER(SUBSTITUTE(SUBSTITUTE(SUBSTITUTE(SUBSTITUTE($A1365," ",""),"(주)",""),"주식회사",""),"㈜","")))</f>
        <v/>
      </c>
      <c r="H1365" s="10" t="str">
        <f aca="false">IF($B1365="","",SUBSTITUTE(SUBSTITUTE(SUBSTITUTE($B1365,"-","")," ",""),".",""))</f>
        <v/>
      </c>
      <c r="I1365" s="10" t="str">
        <f aca="false">IF($D1365="","",SUBSTITUTE(SUBSTITUTE(SUBSTITUTE($D1365,"-","")," ",""),".",""))</f>
        <v/>
      </c>
      <c r="J1365" s="10" t="str">
        <f aca="false">IF($E1365="","",UPPER(SUBSTITUTE($E1365," ","")))</f>
        <v/>
      </c>
      <c r="K1365" s="10" t="str">
        <f aca="false">IF($A1365="","",$G1365&amp;"|"&amp;$J1365)</f>
        <v/>
      </c>
      <c r="L1365" s="10" t="str">
        <f aca="false">IF($A1365="","",ROW()-2)</f>
        <v/>
      </c>
      <c r="M1365" s="10" t="str">
        <f aca="false">IF($A1365="","",ROW())</f>
        <v/>
      </c>
    </row>
    <row r="1366" customFormat="false" ht="15" hidden="false" customHeight="true" outlineLevel="0" collapsed="false">
      <c r="A1366" s="8"/>
      <c r="B1366" s="8"/>
      <c r="C1366" s="8"/>
      <c r="D1366" s="8"/>
      <c r="E1366" s="8"/>
      <c r="F1366" s="8"/>
      <c r="G1366" s="10" t="str">
        <f aca="false">IF($A1366="","",UPPER(SUBSTITUTE(SUBSTITUTE(SUBSTITUTE(SUBSTITUTE($A1366," ",""),"(주)",""),"주식회사",""),"㈜","")))</f>
        <v/>
      </c>
      <c r="H1366" s="10" t="str">
        <f aca="false">IF($B1366="","",SUBSTITUTE(SUBSTITUTE(SUBSTITUTE($B1366,"-","")," ",""),".",""))</f>
        <v/>
      </c>
      <c r="I1366" s="10" t="str">
        <f aca="false">IF($D1366="","",SUBSTITUTE(SUBSTITUTE(SUBSTITUTE($D1366,"-","")," ",""),".",""))</f>
        <v/>
      </c>
      <c r="J1366" s="10" t="str">
        <f aca="false">IF($E1366="","",UPPER(SUBSTITUTE($E1366," ","")))</f>
        <v/>
      </c>
      <c r="K1366" s="10" t="str">
        <f aca="false">IF($A1366="","",$G1366&amp;"|"&amp;$J1366)</f>
        <v/>
      </c>
      <c r="L1366" s="10" t="str">
        <f aca="false">IF($A1366="","",ROW()-2)</f>
        <v/>
      </c>
      <c r="M1366" s="10" t="str">
        <f aca="false">IF($A1366="","",ROW())</f>
        <v/>
      </c>
    </row>
    <row r="1367" customFormat="false" ht="15" hidden="false" customHeight="true" outlineLevel="0" collapsed="false">
      <c r="A1367" s="8"/>
      <c r="B1367" s="8"/>
      <c r="C1367" s="8"/>
      <c r="D1367" s="8"/>
      <c r="E1367" s="8"/>
      <c r="F1367" s="8"/>
      <c r="G1367" s="10" t="str">
        <f aca="false">IF($A1367="","",UPPER(SUBSTITUTE(SUBSTITUTE(SUBSTITUTE(SUBSTITUTE($A1367," ",""),"(주)",""),"주식회사",""),"㈜","")))</f>
        <v/>
      </c>
      <c r="H1367" s="10" t="str">
        <f aca="false">IF($B1367="","",SUBSTITUTE(SUBSTITUTE(SUBSTITUTE($B1367,"-","")," ",""),".",""))</f>
        <v/>
      </c>
      <c r="I1367" s="10" t="str">
        <f aca="false">IF($D1367="","",SUBSTITUTE(SUBSTITUTE(SUBSTITUTE($D1367,"-","")," ",""),".",""))</f>
        <v/>
      </c>
      <c r="J1367" s="10" t="str">
        <f aca="false">IF($E1367="","",UPPER(SUBSTITUTE($E1367," ","")))</f>
        <v/>
      </c>
      <c r="K1367" s="10" t="str">
        <f aca="false">IF($A1367="","",$G1367&amp;"|"&amp;$J1367)</f>
        <v/>
      </c>
      <c r="L1367" s="10" t="str">
        <f aca="false">IF($A1367="","",ROW()-2)</f>
        <v/>
      </c>
      <c r="M1367" s="10" t="str">
        <f aca="false">IF($A1367="","",ROW())</f>
        <v/>
      </c>
    </row>
    <row r="1368" customFormat="false" ht="15" hidden="false" customHeight="true" outlineLevel="0" collapsed="false">
      <c r="A1368" s="8"/>
      <c r="B1368" s="8"/>
      <c r="C1368" s="8"/>
      <c r="D1368" s="8"/>
      <c r="E1368" s="8"/>
      <c r="F1368" s="8"/>
      <c r="G1368" s="10" t="str">
        <f aca="false">IF($A1368="","",UPPER(SUBSTITUTE(SUBSTITUTE(SUBSTITUTE(SUBSTITUTE($A1368," ",""),"(주)",""),"주식회사",""),"㈜","")))</f>
        <v/>
      </c>
      <c r="H1368" s="10" t="str">
        <f aca="false">IF($B1368="","",SUBSTITUTE(SUBSTITUTE(SUBSTITUTE($B1368,"-","")," ",""),".",""))</f>
        <v/>
      </c>
      <c r="I1368" s="10" t="str">
        <f aca="false">IF($D1368="","",SUBSTITUTE(SUBSTITUTE(SUBSTITUTE($D1368,"-","")," ",""),".",""))</f>
        <v/>
      </c>
      <c r="J1368" s="10" t="str">
        <f aca="false">IF($E1368="","",UPPER(SUBSTITUTE($E1368," ","")))</f>
        <v/>
      </c>
      <c r="K1368" s="10" t="str">
        <f aca="false">IF($A1368="","",$G1368&amp;"|"&amp;$J1368)</f>
        <v/>
      </c>
      <c r="L1368" s="10" t="str">
        <f aca="false">IF($A1368="","",ROW()-2)</f>
        <v/>
      </c>
      <c r="M1368" s="10" t="str">
        <f aca="false">IF($A1368="","",ROW())</f>
        <v/>
      </c>
    </row>
    <row r="1369" customFormat="false" ht="15" hidden="false" customHeight="true" outlineLevel="0" collapsed="false">
      <c r="A1369" s="8"/>
      <c r="B1369" s="8"/>
      <c r="C1369" s="8"/>
      <c r="D1369" s="8"/>
      <c r="E1369" s="8"/>
      <c r="F1369" s="8"/>
      <c r="G1369" s="10" t="str">
        <f aca="false">IF($A1369="","",UPPER(SUBSTITUTE(SUBSTITUTE(SUBSTITUTE(SUBSTITUTE($A1369," ",""),"(주)",""),"주식회사",""),"㈜","")))</f>
        <v/>
      </c>
      <c r="H1369" s="10" t="str">
        <f aca="false">IF($B1369="","",SUBSTITUTE(SUBSTITUTE(SUBSTITUTE($B1369,"-","")," ",""),".",""))</f>
        <v/>
      </c>
      <c r="I1369" s="10" t="str">
        <f aca="false">IF($D1369="","",SUBSTITUTE(SUBSTITUTE(SUBSTITUTE($D1369,"-","")," ",""),".",""))</f>
        <v/>
      </c>
      <c r="J1369" s="10" t="str">
        <f aca="false">IF($E1369="","",UPPER(SUBSTITUTE($E1369," ","")))</f>
        <v/>
      </c>
      <c r="K1369" s="10" t="str">
        <f aca="false">IF($A1369="","",$G1369&amp;"|"&amp;$J1369)</f>
        <v/>
      </c>
      <c r="L1369" s="10" t="str">
        <f aca="false">IF($A1369="","",ROW()-2)</f>
        <v/>
      </c>
      <c r="M1369" s="10" t="str">
        <f aca="false">IF($A1369="","",ROW())</f>
        <v/>
      </c>
    </row>
    <row r="1370" customFormat="false" ht="15" hidden="false" customHeight="true" outlineLevel="0" collapsed="false">
      <c r="A1370" s="8"/>
      <c r="B1370" s="8"/>
      <c r="C1370" s="8"/>
      <c r="D1370" s="8"/>
      <c r="E1370" s="8"/>
      <c r="F1370" s="8"/>
      <c r="G1370" s="10" t="str">
        <f aca="false">IF($A1370="","",UPPER(SUBSTITUTE(SUBSTITUTE(SUBSTITUTE(SUBSTITUTE($A1370," ",""),"(주)",""),"주식회사",""),"㈜","")))</f>
        <v/>
      </c>
      <c r="H1370" s="10" t="str">
        <f aca="false">IF($B1370="","",SUBSTITUTE(SUBSTITUTE(SUBSTITUTE($B1370,"-","")," ",""),".",""))</f>
        <v/>
      </c>
      <c r="I1370" s="10" t="str">
        <f aca="false">IF($D1370="","",SUBSTITUTE(SUBSTITUTE(SUBSTITUTE($D1370,"-","")," ",""),".",""))</f>
        <v/>
      </c>
      <c r="J1370" s="10" t="str">
        <f aca="false">IF($E1370="","",UPPER(SUBSTITUTE($E1370," ","")))</f>
        <v/>
      </c>
      <c r="K1370" s="10" t="str">
        <f aca="false">IF($A1370="","",$G1370&amp;"|"&amp;$J1370)</f>
        <v/>
      </c>
      <c r="L1370" s="10" t="str">
        <f aca="false">IF($A1370="","",ROW()-2)</f>
        <v/>
      </c>
      <c r="M1370" s="10" t="str">
        <f aca="false">IF($A1370="","",ROW())</f>
        <v/>
      </c>
    </row>
    <row r="1371" customFormat="false" ht="15" hidden="false" customHeight="true" outlineLevel="0" collapsed="false">
      <c r="A1371" s="8"/>
      <c r="B1371" s="8"/>
      <c r="C1371" s="8"/>
      <c r="D1371" s="8"/>
      <c r="E1371" s="8"/>
      <c r="F1371" s="8"/>
      <c r="G1371" s="10" t="str">
        <f aca="false">IF($A1371="","",UPPER(SUBSTITUTE(SUBSTITUTE(SUBSTITUTE(SUBSTITUTE($A1371," ",""),"(주)",""),"주식회사",""),"㈜","")))</f>
        <v/>
      </c>
      <c r="H1371" s="10" t="str">
        <f aca="false">IF($B1371="","",SUBSTITUTE(SUBSTITUTE(SUBSTITUTE($B1371,"-","")," ",""),".",""))</f>
        <v/>
      </c>
      <c r="I1371" s="10" t="str">
        <f aca="false">IF($D1371="","",SUBSTITUTE(SUBSTITUTE(SUBSTITUTE($D1371,"-","")," ",""),".",""))</f>
        <v/>
      </c>
      <c r="J1371" s="10" t="str">
        <f aca="false">IF($E1371="","",UPPER(SUBSTITUTE($E1371," ","")))</f>
        <v/>
      </c>
      <c r="K1371" s="10" t="str">
        <f aca="false">IF($A1371="","",$G1371&amp;"|"&amp;$J1371)</f>
        <v/>
      </c>
      <c r="L1371" s="10" t="str">
        <f aca="false">IF($A1371="","",ROW()-2)</f>
        <v/>
      </c>
      <c r="M1371" s="10" t="str">
        <f aca="false">IF($A1371="","",ROW())</f>
        <v/>
      </c>
    </row>
    <row r="1372" customFormat="false" ht="15" hidden="false" customHeight="true" outlineLevel="0" collapsed="false">
      <c r="A1372" s="8"/>
      <c r="B1372" s="8"/>
      <c r="C1372" s="8"/>
      <c r="D1372" s="8"/>
      <c r="E1372" s="8"/>
      <c r="F1372" s="8"/>
      <c r="G1372" s="10" t="str">
        <f aca="false">IF($A1372="","",UPPER(SUBSTITUTE(SUBSTITUTE(SUBSTITUTE(SUBSTITUTE($A1372," ",""),"(주)",""),"주식회사",""),"㈜","")))</f>
        <v/>
      </c>
      <c r="H1372" s="10" t="str">
        <f aca="false">IF($B1372="","",SUBSTITUTE(SUBSTITUTE(SUBSTITUTE($B1372,"-","")," ",""),".",""))</f>
        <v/>
      </c>
      <c r="I1372" s="10" t="str">
        <f aca="false">IF($D1372="","",SUBSTITUTE(SUBSTITUTE(SUBSTITUTE($D1372,"-","")," ",""),".",""))</f>
        <v/>
      </c>
      <c r="J1372" s="10" t="str">
        <f aca="false">IF($E1372="","",UPPER(SUBSTITUTE($E1372," ","")))</f>
        <v/>
      </c>
      <c r="K1372" s="10" t="str">
        <f aca="false">IF($A1372="","",$G1372&amp;"|"&amp;$J1372)</f>
        <v/>
      </c>
      <c r="L1372" s="10" t="str">
        <f aca="false">IF($A1372="","",ROW()-2)</f>
        <v/>
      </c>
      <c r="M1372" s="10" t="str">
        <f aca="false">IF($A1372="","",ROW())</f>
        <v/>
      </c>
    </row>
    <row r="1373" customFormat="false" ht="15" hidden="false" customHeight="true" outlineLevel="0" collapsed="false">
      <c r="A1373" s="8"/>
      <c r="B1373" s="8"/>
      <c r="C1373" s="8"/>
      <c r="D1373" s="8"/>
      <c r="E1373" s="8"/>
      <c r="F1373" s="8"/>
      <c r="G1373" s="10" t="str">
        <f aca="false">IF($A1373="","",UPPER(SUBSTITUTE(SUBSTITUTE(SUBSTITUTE(SUBSTITUTE($A1373," ",""),"(주)",""),"주식회사",""),"㈜","")))</f>
        <v/>
      </c>
      <c r="H1373" s="10" t="str">
        <f aca="false">IF($B1373="","",SUBSTITUTE(SUBSTITUTE(SUBSTITUTE($B1373,"-","")," ",""),".",""))</f>
        <v/>
      </c>
      <c r="I1373" s="10" t="str">
        <f aca="false">IF($D1373="","",SUBSTITUTE(SUBSTITUTE(SUBSTITUTE($D1373,"-","")," ",""),".",""))</f>
        <v/>
      </c>
      <c r="J1373" s="10" t="str">
        <f aca="false">IF($E1373="","",UPPER(SUBSTITUTE($E1373," ","")))</f>
        <v/>
      </c>
      <c r="K1373" s="10" t="str">
        <f aca="false">IF($A1373="","",$G1373&amp;"|"&amp;$J1373)</f>
        <v/>
      </c>
      <c r="L1373" s="10" t="str">
        <f aca="false">IF($A1373="","",ROW()-2)</f>
        <v/>
      </c>
      <c r="M1373" s="10" t="str">
        <f aca="false">IF($A1373="","",ROW())</f>
        <v/>
      </c>
    </row>
    <row r="1374" customFormat="false" ht="15" hidden="false" customHeight="true" outlineLevel="0" collapsed="false">
      <c r="A1374" s="8"/>
      <c r="B1374" s="8"/>
      <c r="C1374" s="8"/>
      <c r="D1374" s="8"/>
      <c r="E1374" s="8"/>
      <c r="F1374" s="8"/>
      <c r="G1374" s="10" t="str">
        <f aca="false">IF($A1374="","",UPPER(SUBSTITUTE(SUBSTITUTE(SUBSTITUTE(SUBSTITUTE($A1374," ",""),"(주)",""),"주식회사",""),"㈜","")))</f>
        <v/>
      </c>
      <c r="H1374" s="10" t="str">
        <f aca="false">IF($B1374="","",SUBSTITUTE(SUBSTITUTE(SUBSTITUTE($B1374,"-","")," ",""),".",""))</f>
        <v/>
      </c>
      <c r="I1374" s="10" t="str">
        <f aca="false">IF($D1374="","",SUBSTITUTE(SUBSTITUTE(SUBSTITUTE($D1374,"-","")," ",""),".",""))</f>
        <v/>
      </c>
      <c r="J1374" s="10" t="str">
        <f aca="false">IF($E1374="","",UPPER(SUBSTITUTE($E1374," ","")))</f>
        <v/>
      </c>
      <c r="K1374" s="10" t="str">
        <f aca="false">IF($A1374="","",$G1374&amp;"|"&amp;$J1374)</f>
        <v/>
      </c>
      <c r="L1374" s="10" t="str">
        <f aca="false">IF($A1374="","",ROW()-2)</f>
        <v/>
      </c>
      <c r="M1374" s="10" t="str">
        <f aca="false">IF($A1374="","",ROW())</f>
        <v/>
      </c>
    </row>
    <row r="1375" customFormat="false" ht="15" hidden="false" customHeight="true" outlineLevel="0" collapsed="false">
      <c r="A1375" s="8"/>
      <c r="B1375" s="8"/>
      <c r="C1375" s="8"/>
      <c r="D1375" s="8"/>
      <c r="E1375" s="8"/>
      <c r="F1375" s="8"/>
      <c r="G1375" s="10" t="str">
        <f aca="false">IF($A1375="","",UPPER(SUBSTITUTE(SUBSTITUTE(SUBSTITUTE(SUBSTITUTE($A1375," ",""),"(주)",""),"주식회사",""),"㈜","")))</f>
        <v/>
      </c>
      <c r="H1375" s="10" t="str">
        <f aca="false">IF($B1375="","",SUBSTITUTE(SUBSTITUTE(SUBSTITUTE($B1375,"-","")," ",""),".",""))</f>
        <v/>
      </c>
      <c r="I1375" s="10" t="str">
        <f aca="false">IF($D1375="","",SUBSTITUTE(SUBSTITUTE(SUBSTITUTE($D1375,"-","")," ",""),".",""))</f>
        <v/>
      </c>
      <c r="J1375" s="10" t="str">
        <f aca="false">IF($E1375="","",UPPER(SUBSTITUTE($E1375," ","")))</f>
        <v/>
      </c>
      <c r="K1375" s="10" t="str">
        <f aca="false">IF($A1375="","",$G1375&amp;"|"&amp;$J1375)</f>
        <v/>
      </c>
      <c r="L1375" s="10" t="str">
        <f aca="false">IF($A1375="","",ROW()-2)</f>
        <v/>
      </c>
      <c r="M1375" s="10" t="str">
        <f aca="false">IF($A1375="","",ROW())</f>
        <v/>
      </c>
    </row>
    <row r="1376" customFormat="false" ht="15" hidden="false" customHeight="true" outlineLevel="0" collapsed="false">
      <c r="A1376" s="8"/>
      <c r="B1376" s="8"/>
      <c r="C1376" s="8"/>
      <c r="D1376" s="8"/>
      <c r="E1376" s="8"/>
      <c r="F1376" s="8"/>
      <c r="G1376" s="10" t="str">
        <f aca="false">IF($A1376="","",UPPER(SUBSTITUTE(SUBSTITUTE(SUBSTITUTE(SUBSTITUTE($A1376," ",""),"(주)",""),"주식회사",""),"㈜","")))</f>
        <v/>
      </c>
      <c r="H1376" s="10" t="str">
        <f aca="false">IF($B1376="","",SUBSTITUTE(SUBSTITUTE(SUBSTITUTE($B1376,"-","")," ",""),".",""))</f>
        <v/>
      </c>
      <c r="I1376" s="10" t="str">
        <f aca="false">IF($D1376="","",SUBSTITUTE(SUBSTITUTE(SUBSTITUTE($D1376,"-","")," ",""),".",""))</f>
        <v/>
      </c>
      <c r="J1376" s="10" t="str">
        <f aca="false">IF($E1376="","",UPPER(SUBSTITUTE($E1376," ","")))</f>
        <v/>
      </c>
      <c r="K1376" s="10" t="str">
        <f aca="false">IF($A1376="","",$G1376&amp;"|"&amp;$J1376)</f>
        <v/>
      </c>
      <c r="L1376" s="10" t="str">
        <f aca="false">IF($A1376="","",ROW()-2)</f>
        <v/>
      </c>
      <c r="M1376" s="10" t="str">
        <f aca="false">IF($A1376="","",ROW())</f>
        <v/>
      </c>
    </row>
    <row r="1377" customFormat="false" ht="15" hidden="false" customHeight="true" outlineLevel="0" collapsed="false">
      <c r="A1377" s="8"/>
      <c r="B1377" s="8"/>
      <c r="C1377" s="8"/>
      <c r="D1377" s="8"/>
      <c r="E1377" s="8"/>
      <c r="F1377" s="8"/>
      <c r="G1377" s="10" t="str">
        <f aca="false">IF($A1377="","",UPPER(SUBSTITUTE(SUBSTITUTE(SUBSTITUTE(SUBSTITUTE($A1377," ",""),"(주)",""),"주식회사",""),"㈜","")))</f>
        <v/>
      </c>
      <c r="H1377" s="10" t="str">
        <f aca="false">IF($B1377="","",SUBSTITUTE(SUBSTITUTE(SUBSTITUTE($B1377,"-","")," ",""),".",""))</f>
        <v/>
      </c>
      <c r="I1377" s="10" t="str">
        <f aca="false">IF($D1377="","",SUBSTITUTE(SUBSTITUTE(SUBSTITUTE($D1377,"-","")," ",""),".",""))</f>
        <v/>
      </c>
      <c r="J1377" s="10" t="str">
        <f aca="false">IF($E1377="","",UPPER(SUBSTITUTE($E1377," ","")))</f>
        <v/>
      </c>
      <c r="K1377" s="10" t="str">
        <f aca="false">IF($A1377="","",$G1377&amp;"|"&amp;$J1377)</f>
        <v/>
      </c>
      <c r="L1377" s="10" t="str">
        <f aca="false">IF($A1377="","",ROW()-2)</f>
        <v/>
      </c>
      <c r="M1377" s="10" t="str">
        <f aca="false">IF($A1377="","",ROW())</f>
        <v/>
      </c>
    </row>
    <row r="1378" customFormat="false" ht="15" hidden="false" customHeight="true" outlineLevel="0" collapsed="false">
      <c r="A1378" s="8"/>
      <c r="B1378" s="8"/>
      <c r="C1378" s="8"/>
      <c r="D1378" s="8"/>
      <c r="E1378" s="8"/>
      <c r="F1378" s="8"/>
      <c r="G1378" s="10" t="str">
        <f aca="false">IF($A1378="","",UPPER(SUBSTITUTE(SUBSTITUTE(SUBSTITUTE(SUBSTITUTE($A1378," ",""),"(주)",""),"주식회사",""),"㈜","")))</f>
        <v/>
      </c>
      <c r="H1378" s="10" t="str">
        <f aca="false">IF($B1378="","",SUBSTITUTE(SUBSTITUTE(SUBSTITUTE($B1378,"-","")," ",""),".",""))</f>
        <v/>
      </c>
      <c r="I1378" s="10" t="str">
        <f aca="false">IF($D1378="","",SUBSTITUTE(SUBSTITUTE(SUBSTITUTE($D1378,"-","")," ",""),".",""))</f>
        <v/>
      </c>
      <c r="J1378" s="10" t="str">
        <f aca="false">IF($E1378="","",UPPER(SUBSTITUTE($E1378," ","")))</f>
        <v/>
      </c>
      <c r="K1378" s="10" t="str">
        <f aca="false">IF($A1378="","",$G1378&amp;"|"&amp;$J1378)</f>
        <v/>
      </c>
      <c r="L1378" s="10" t="str">
        <f aca="false">IF($A1378="","",ROW()-2)</f>
        <v/>
      </c>
      <c r="M1378" s="10" t="str">
        <f aca="false">IF($A1378="","",ROW())</f>
        <v/>
      </c>
    </row>
    <row r="1379" customFormat="false" ht="15" hidden="false" customHeight="true" outlineLevel="0" collapsed="false">
      <c r="A1379" s="8"/>
      <c r="B1379" s="8"/>
      <c r="C1379" s="8"/>
      <c r="D1379" s="8"/>
      <c r="E1379" s="8"/>
      <c r="F1379" s="8"/>
      <c r="G1379" s="10" t="str">
        <f aca="false">IF($A1379="","",UPPER(SUBSTITUTE(SUBSTITUTE(SUBSTITUTE(SUBSTITUTE($A1379," ",""),"(주)",""),"주식회사",""),"㈜","")))</f>
        <v/>
      </c>
      <c r="H1379" s="10" t="str">
        <f aca="false">IF($B1379="","",SUBSTITUTE(SUBSTITUTE(SUBSTITUTE($B1379,"-","")," ",""),".",""))</f>
        <v/>
      </c>
      <c r="I1379" s="10" t="str">
        <f aca="false">IF($D1379="","",SUBSTITUTE(SUBSTITUTE(SUBSTITUTE($D1379,"-","")," ",""),".",""))</f>
        <v/>
      </c>
      <c r="J1379" s="10" t="str">
        <f aca="false">IF($E1379="","",UPPER(SUBSTITUTE($E1379," ","")))</f>
        <v/>
      </c>
      <c r="K1379" s="10" t="str">
        <f aca="false">IF($A1379="","",$G1379&amp;"|"&amp;$J1379)</f>
        <v/>
      </c>
      <c r="L1379" s="10" t="str">
        <f aca="false">IF($A1379="","",ROW()-2)</f>
        <v/>
      </c>
      <c r="M1379" s="10" t="str">
        <f aca="false">IF($A1379="","",ROW())</f>
        <v/>
      </c>
    </row>
    <row r="1380" customFormat="false" ht="15" hidden="false" customHeight="true" outlineLevel="0" collapsed="false">
      <c r="A1380" s="8"/>
      <c r="B1380" s="8"/>
      <c r="C1380" s="8"/>
      <c r="D1380" s="8"/>
      <c r="E1380" s="8"/>
      <c r="F1380" s="8"/>
      <c r="G1380" s="10" t="str">
        <f aca="false">IF($A1380="","",UPPER(SUBSTITUTE(SUBSTITUTE(SUBSTITUTE(SUBSTITUTE($A1380," ",""),"(주)",""),"주식회사",""),"㈜","")))</f>
        <v/>
      </c>
      <c r="H1380" s="10" t="str">
        <f aca="false">IF($B1380="","",SUBSTITUTE(SUBSTITUTE(SUBSTITUTE($B1380,"-","")," ",""),".",""))</f>
        <v/>
      </c>
      <c r="I1380" s="10" t="str">
        <f aca="false">IF($D1380="","",SUBSTITUTE(SUBSTITUTE(SUBSTITUTE($D1380,"-","")," ",""),".",""))</f>
        <v/>
      </c>
      <c r="J1380" s="10" t="str">
        <f aca="false">IF($E1380="","",UPPER(SUBSTITUTE($E1380," ","")))</f>
        <v/>
      </c>
      <c r="K1380" s="10" t="str">
        <f aca="false">IF($A1380="","",$G1380&amp;"|"&amp;$J1380)</f>
        <v/>
      </c>
      <c r="L1380" s="10" t="str">
        <f aca="false">IF($A1380="","",ROW()-2)</f>
        <v/>
      </c>
      <c r="M1380" s="10" t="str">
        <f aca="false">IF($A1380="","",ROW())</f>
        <v/>
      </c>
    </row>
    <row r="1381" customFormat="false" ht="15" hidden="false" customHeight="true" outlineLevel="0" collapsed="false">
      <c r="A1381" s="8"/>
      <c r="B1381" s="8"/>
      <c r="C1381" s="8"/>
      <c r="D1381" s="8"/>
      <c r="E1381" s="8"/>
      <c r="F1381" s="8"/>
      <c r="G1381" s="10" t="str">
        <f aca="false">IF($A1381="","",UPPER(SUBSTITUTE(SUBSTITUTE(SUBSTITUTE(SUBSTITUTE($A1381," ",""),"(주)",""),"주식회사",""),"㈜","")))</f>
        <v/>
      </c>
      <c r="H1381" s="10" t="str">
        <f aca="false">IF($B1381="","",SUBSTITUTE(SUBSTITUTE(SUBSTITUTE($B1381,"-","")," ",""),".",""))</f>
        <v/>
      </c>
      <c r="I1381" s="10" t="str">
        <f aca="false">IF($D1381="","",SUBSTITUTE(SUBSTITUTE(SUBSTITUTE($D1381,"-","")," ",""),".",""))</f>
        <v/>
      </c>
      <c r="J1381" s="10" t="str">
        <f aca="false">IF($E1381="","",UPPER(SUBSTITUTE($E1381," ","")))</f>
        <v/>
      </c>
      <c r="K1381" s="10" t="str">
        <f aca="false">IF($A1381="","",$G1381&amp;"|"&amp;$J1381)</f>
        <v/>
      </c>
      <c r="L1381" s="10" t="str">
        <f aca="false">IF($A1381="","",ROW()-2)</f>
        <v/>
      </c>
      <c r="M1381" s="10" t="str">
        <f aca="false">IF($A1381="","",ROW())</f>
        <v/>
      </c>
    </row>
    <row r="1382" customFormat="false" ht="15" hidden="false" customHeight="true" outlineLevel="0" collapsed="false">
      <c r="A1382" s="8"/>
      <c r="B1382" s="8"/>
      <c r="C1382" s="8"/>
      <c r="D1382" s="8"/>
      <c r="E1382" s="8"/>
      <c r="F1382" s="8"/>
      <c r="G1382" s="10" t="str">
        <f aca="false">IF($A1382="","",UPPER(SUBSTITUTE(SUBSTITUTE(SUBSTITUTE(SUBSTITUTE($A1382," ",""),"(주)",""),"주식회사",""),"㈜","")))</f>
        <v/>
      </c>
      <c r="H1382" s="10" t="str">
        <f aca="false">IF($B1382="","",SUBSTITUTE(SUBSTITUTE(SUBSTITUTE($B1382,"-","")," ",""),".",""))</f>
        <v/>
      </c>
      <c r="I1382" s="10" t="str">
        <f aca="false">IF($D1382="","",SUBSTITUTE(SUBSTITUTE(SUBSTITUTE($D1382,"-","")," ",""),".",""))</f>
        <v/>
      </c>
      <c r="J1382" s="10" t="str">
        <f aca="false">IF($E1382="","",UPPER(SUBSTITUTE($E1382," ","")))</f>
        <v/>
      </c>
      <c r="K1382" s="10" t="str">
        <f aca="false">IF($A1382="","",$G1382&amp;"|"&amp;$J1382)</f>
        <v/>
      </c>
      <c r="L1382" s="10" t="str">
        <f aca="false">IF($A1382="","",ROW()-2)</f>
        <v/>
      </c>
      <c r="M1382" s="10" t="str">
        <f aca="false">IF($A1382="","",ROW())</f>
        <v/>
      </c>
    </row>
    <row r="1383" customFormat="false" ht="15" hidden="false" customHeight="true" outlineLevel="0" collapsed="false">
      <c r="A1383" s="8"/>
      <c r="B1383" s="8"/>
      <c r="C1383" s="8"/>
      <c r="D1383" s="8"/>
      <c r="E1383" s="8"/>
      <c r="F1383" s="8"/>
      <c r="G1383" s="10" t="str">
        <f aca="false">IF($A1383="","",UPPER(SUBSTITUTE(SUBSTITUTE(SUBSTITUTE(SUBSTITUTE($A1383," ",""),"(주)",""),"주식회사",""),"㈜","")))</f>
        <v/>
      </c>
      <c r="H1383" s="10" t="str">
        <f aca="false">IF($B1383="","",SUBSTITUTE(SUBSTITUTE(SUBSTITUTE($B1383,"-","")," ",""),".",""))</f>
        <v/>
      </c>
      <c r="I1383" s="10" t="str">
        <f aca="false">IF($D1383="","",SUBSTITUTE(SUBSTITUTE(SUBSTITUTE($D1383,"-","")," ",""),".",""))</f>
        <v/>
      </c>
      <c r="J1383" s="10" t="str">
        <f aca="false">IF($E1383="","",UPPER(SUBSTITUTE($E1383," ","")))</f>
        <v/>
      </c>
      <c r="K1383" s="10" t="str">
        <f aca="false">IF($A1383="","",$G1383&amp;"|"&amp;$J1383)</f>
        <v/>
      </c>
      <c r="L1383" s="10" t="str">
        <f aca="false">IF($A1383="","",ROW()-2)</f>
        <v/>
      </c>
      <c r="M1383" s="10" t="str">
        <f aca="false">IF($A1383="","",ROW())</f>
        <v/>
      </c>
    </row>
    <row r="1384" customFormat="false" ht="15" hidden="false" customHeight="true" outlineLevel="0" collapsed="false">
      <c r="A1384" s="8"/>
      <c r="B1384" s="8"/>
      <c r="C1384" s="8"/>
      <c r="D1384" s="8"/>
      <c r="E1384" s="8"/>
      <c r="F1384" s="8"/>
      <c r="G1384" s="10" t="str">
        <f aca="false">IF($A1384="","",UPPER(SUBSTITUTE(SUBSTITUTE(SUBSTITUTE(SUBSTITUTE($A1384," ",""),"(주)",""),"주식회사",""),"㈜","")))</f>
        <v/>
      </c>
      <c r="H1384" s="10" t="str">
        <f aca="false">IF($B1384="","",SUBSTITUTE(SUBSTITUTE(SUBSTITUTE($B1384,"-","")," ",""),".",""))</f>
        <v/>
      </c>
      <c r="I1384" s="10" t="str">
        <f aca="false">IF($D1384="","",SUBSTITUTE(SUBSTITUTE(SUBSTITUTE($D1384,"-","")," ",""),".",""))</f>
        <v/>
      </c>
      <c r="J1384" s="10" t="str">
        <f aca="false">IF($E1384="","",UPPER(SUBSTITUTE($E1384," ","")))</f>
        <v/>
      </c>
      <c r="K1384" s="10" t="str">
        <f aca="false">IF($A1384="","",$G1384&amp;"|"&amp;$J1384)</f>
        <v/>
      </c>
      <c r="L1384" s="10" t="str">
        <f aca="false">IF($A1384="","",ROW()-2)</f>
        <v/>
      </c>
      <c r="M1384" s="10" t="str">
        <f aca="false">IF($A1384="","",ROW())</f>
        <v/>
      </c>
    </row>
    <row r="1385" customFormat="false" ht="15" hidden="false" customHeight="true" outlineLevel="0" collapsed="false">
      <c r="A1385" s="8"/>
      <c r="B1385" s="8"/>
      <c r="C1385" s="8"/>
      <c r="D1385" s="8"/>
      <c r="E1385" s="8"/>
      <c r="F1385" s="8"/>
      <c r="G1385" s="10" t="str">
        <f aca="false">IF($A1385="","",UPPER(SUBSTITUTE(SUBSTITUTE(SUBSTITUTE(SUBSTITUTE($A1385," ",""),"(주)",""),"주식회사",""),"㈜","")))</f>
        <v/>
      </c>
      <c r="H1385" s="10" t="str">
        <f aca="false">IF($B1385="","",SUBSTITUTE(SUBSTITUTE(SUBSTITUTE($B1385,"-","")," ",""),".",""))</f>
        <v/>
      </c>
      <c r="I1385" s="10" t="str">
        <f aca="false">IF($D1385="","",SUBSTITUTE(SUBSTITUTE(SUBSTITUTE($D1385,"-","")," ",""),".",""))</f>
        <v/>
      </c>
      <c r="J1385" s="10" t="str">
        <f aca="false">IF($E1385="","",UPPER(SUBSTITUTE($E1385," ","")))</f>
        <v/>
      </c>
      <c r="K1385" s="10" t="str">
        <f aca="false">IF($A1385="","",$G1385&amp;"|"&amp;$J1385)</f>
        <v/>
      </c>
      <c r="L1385" s="10" t="str">
        <f aca="false">IF($A1385="","",ROW()-2)</f>
        <v/>
      </c>
      <c r="M1385" s="10" t="str">
        <f aca="false">IF($A1385="","",ROW())</f>
        <v/>
      </c>
    </row>
    <row r="1386" customFormat="false" ht="15" hidden="false" customHeight="true" outlineLevel="0" collapsed="false">
      <c r="A1386" s="8"/>
      <c r="B1386" s="8"/>
      <c r="C1386" s="8"/>
      <c r="D1386" s="8"/>
      <c r="E1386" s="8"/>
      <c r="F1386" s="8"/>
      <c r="G1386" s="10" t="str">
        <f aca="false">IF($A1386="","",UPPER(SUBSTITUTE(SUBSTITUTE(SUBSTITUTE(SUBSTITUTE($A1386," ",""),"(주)",""),"주식회사",""),"㈜","")))</f>
        <v/>
      </c>
      <c r="H1386" s="10" t="str">
        <f aca="false">IF($B1386="","",SUBSTITUTE(SUBSTITUTE(SUBSTITUTE($B1386,"-","")," ",""),".",""))</f>
        <v/>
      </c>
      <c r="I1386" s="10" t="str">
        <f aca="false">IF($D1386="","",SUBSTITUTE(SUBSTITUTE(SUBSTITUTE($D1386,"-","")," ",""),".",""))</f>
        <v/>
      </c>
      <c r="J1386" s="10" t="str">
        <f aca="false">IF($E1386="","",UPPER(SUBSTITUTE($E1386," ","")))</f>
        <v/>
      </c>
      <c r="K1386" s="10" t="str">
        <f aca="false">IF($A1386="","",$G1386&amp;"|"&amp;$J1386)</f>
        <v/>
      </c>
      <c r="L1386" s="10" t="str">
        <f aca="false">IF($A1386="","",ROW()-2)</f>
        <v/>
      </c>
      <c r="M1386" s="10" t="str">
        <f aca="false">IF($A1386="","",ROW())</f>
        <v/>
      </c>
    </row>
    <row r="1387" customFormat="false" ht="15" hidden="false" customHeight="true" outlineLevel="0" collapsed="false">
      <c r="A1387" s="8"/>
      <c r="B1387" s="8"/>
      <c r="C1387" s="8"/>
      <c r="D1387" s="8"/>
      <c r="E1387" s="8"/>
      <c r="F1387" s="8"/>
      <c r="G1387" s="10" t="str">
        <f aca="false">IF($A1387="","",UPPER(SUBSTITUTE(SUBSTITUTE(SUBSTITUTE(SUBSTITUTE($A1387," ",""),"(주)",""),"주식회사",""),"㈜","")))</f>
        <v/>
      </c>
      <c r="H1387" s="10" t="str">
        <f aca="false">IF($B1387="","",SUBSTITUTE(SUBSTITUTE(SUBSTITUTE($B1387,"-","")," ",""),".",""))</f>
        <v/>
      </c>
      <c r="I1387" s="10" t="str">
        <f aca="false">IF($D1387="","",SUBSTITUTE(SUBSTITUTE(SUBSTITUTE($D1387,"-","")," ",""),".",""))</f>
        <v/>
      </c>
      <c r="J1387" s="10" t="str">
        <f aca="false">IF($E1387="","",UPPER(SUBSTITUTE($E1387," ","")))</f>
        <v/>
      </c>
      <c r="K1387" s="10" t="str">
        <f aca="false">IF($A1387="","",$G1387&amp;"|"&amp;$J1387)</f>
        <v/>
      </c>
      <c r="L1387" s="10" t="str">
        <f aca="false">IF($A1387="","",ROW()-2)</f>
        <v/>
      </c>
      <c r="M1387" s="10" t="str">
        <f aca="false">IF($A1387="","",ROW())</f>
        <v/>
      </c>
    </row>
    <row r="1388" customFormat="false" ht="15" hidden="false" customHeight="true" outlineLevel="0" collapsed="false">
      <c r="A1388" s="8"/>
      <c r="B1388" s="8"/>
      <c r="C1388" s="8"/>
      <c r="D1388" s="8"/>
      <c r="E1388" s="8"/>
      <c r="F1388" s="8"/>
      <c r="G1388" s="10" t="str">
        <f aca="false">IF($A1388="","",UPPER(SUBSTITUTE(SUBSTITUTE(SUBSTITUTE(SUBSTITUTE($A1388," ",""),"(주)",""),"주식회사",""),"㈜","")))</f>
        <v/>
      </c>
      <c r="H1388" s="10" t="str">
        <f aca="false">IF($B1388="","",SUBSTITUTE(SUBSTITUTE(SUBSTITUTE($B1388,"-","")," ",""),".",""))</f>
        <v/>
      </c>
      <c r="I1388" s="10" t="str">
        <f aca="false">IF($D1388="","",SUBSTITUTE(SUBSTITUTE(SUBSTITUTE($D1388,"-","")," ",""),".",""))</f>
        <v/>
      </c>
      <c r="J1388" s="10" t="str">
        <f aca="false">IF($E1388="","",UPPER(SUBSTITUTE($E1388," ","")))</f>
        <v/>
      </c>
      <c r="K1388" s="10" t="str">
        <f aca="false">IF($A1388="","",$G1388&amp;"|"&amp;$J1388)</f>
        <v/>
      </c>
      <c r="L1388" s="10" t="str">
        <f aca="false">IF($A1388="","",ROW()-2)</f>
        <v/>
      </c>
      <c r="M1388" s="10" t="str">
        <f aca="false">IF($A1388="","",ROW())</f>
        <v/>
      </c>
    </row>
    <row r="1389" customFormat="false" ht="15" hidden="false" customHeight="true" outlineLevel="0" collapsed="false">
      <c r="A1389" s="8"/>
      <c r="B1389" s="8"/>
      <c r="C1389" s="8"/>
      <c r="D1389" s="8"/>
      <c r="E1389" s="8"/>
      <c r="F1389" s="8"/>
      <c r="G1389" s="10" t="str">
        <f aca="false">IF($A1389="","",UPPER(SUBSTITUTE(SUBSTITUTE(SUBSTITUTE(SUBSTITUTE($A1389," ",""),"(주)",""),"주식회사",""),"㈜","")))</f>
        <v/>
      </c>
      <c r="H1389" s="10" t="str">
        <f aca="false">IF($B1389="","",SUBSTITUTE(SUBSTITUTE(SUBSTITUTE($B1389,"-","")," ",""),".",""))</f>
        <v/>
      </c>
      <c r="I1389" s="10" t="str">
        <f aca="false">IF($D1389="","",SUBSTITUTE(SUBSTITUTE(SUBSTITUTE($D1389,"-","")," ",""),".",""))</f>
        <v/>
      </c>
      <c r="J1389" s="10" t="str">
        <f aca="false">IF($E1389="","",UPPER(SUBSTITUTE($E1389," ","")))</f>
        <v/>
      </c>
      <c r="K1389" s="10" t="str">
        <f aca="false">IF($A1389="","",$G1389&amp;"|"&amp;$J1389)</f>
        <v/>
      </c>
      <c r="L1389" s="10" t="str">
        <f aca="false">IF($A1389="","",ROW()-2)</f>
        <v/>
      </c>
      <c r="M1389" s="10" t="str">
        <f aca="false">IF($A1389="","",ROW())</f>
        <v/>
      </c>
    </row>
    <row r="1390" customFormat="false" ht="15" hidden="false" customHeight="true" outlineLevel="0" collapsed="false">
      <c r="A1390" s="8"/>
      <c r="B1390" s="8"/>
      <c r="C1390" s="8"/>
      <c r="D1390" s="8"/>
      <c r="E1390" s="8"/>
      <c r="F1390" s="8"/>
      <c r="G1390" s="10" t="str">
        <f aca="false">IF($A1390="","",UPPER(SUBSTITUTE(SUBSTITUTE(SUBSTITUTE(SUBSTITUTE($A1390," ",""),"(주)",""),"주식회사",""),"㈜","")))</f>
        <v/>
      </c>
      <c r="H1390" s="10" t="str">
        <f aca="false">IF($B1390="","",SUBSTITUTE(SUBSTITUTE(SUBSTITUTE($B1390,"-","")," ",""),".",""))</f>
        <v/>
      </c>
      <c r="I1390" s="10" t="str">
        <f aca="false">IF($D1390="","",SUBSTITUTE(SUBSTITUTE(SUBSTITUTE($D1390,"-","")," ",""),".",""))</f>
        <v/>
      </c>
      <c r="J1390" s="10" t="str">
        <f aca="false">IF($E1390="","",UPPER(SUBSTITUTE($E1390," ","")))</f>
        <v/>
      </c>
      <c r="K1390" s="10" t="str">
        <f aca="false">IF($A1390="","",$G1390&amp;"|"&amp;$J1390)</f>
        <v/>
      </c>
      <c r="L1390" s="10" t="str">
        <f aca="false">IF($A1390="","",ROW()-2)</f>
        <v/>
      </c>
      <c r="M1390" s="10" t="str">
        <f aca="false">IF($A1390="","",ROW())</f>
        <v/>
      </c>
    </row>
    <row r="1391" customFormat="false" ht="15" hidden="false" customHeight="true" outlineLevel="0" collapsed="false">
      <c r="A1391" s="8"/>
      <c r="B1391" s="8"/>
      <c r="C1391" s="8"/>
      <c r="D1391" s="8"/>
      <c r="E1391" s="8"/>
      <c r="F1391" s="8"/>
      <c r="G1391" s="10" t="str">
        <f aca="false">IF($A1391="","",UPPER(SUBSTITUTE(SUBSTITUTE(SUBSTITUTE(SUBSTITUTE($A1391," ",""),"(주)",""),"주식회사",""),"㈜","")))</f>
        <v/>
      </c>
      <c r="H1391" s="10" t="str">
        <f aca="false">IF($B1391="","",SUBSTITUTE(SUBSTITUTE(SUBSTITUTE($B1391,"-","")," ",""),".",""))</f>
        <v/>
      </c>
      <c r="I1391" s="10" t="str">
        <f aca="false">IF($D1391="","",SUBSTITUTE(SUBSTITUTE(SUBSTITUTE($D1391,"-","")," ",""),".",""))</f>
        <v/>
      </c>
      <c r="J1391" s="10" t="str">
        <f aca="false">IF($E1391="","",UPPER(SUBSTITUTE($E1391," ","")))</f>
        <v/>
      </c>
      <c r="K1391" s="10" t="str">
        <f aca="false">IF($A1391="","",$G1391&amp;"|"&amp;$J1391)</f>
        <v/>
      </c>
      <c r="L1391" s="10" t="str">
        <f aca="false">IF($A1391="","",ROW()-2)</f>
        <v/>
      </c>
      <c r="M1391" s="10" t="str">
        <f aca="false">IF($A1391="","",ROW())</f>
        <v/>
      </c>
    </row>
    <row r="1392" customFormat="false" ht="15" hidden="false" customHeight="true" outlineLevel="0" collapsed="false">
      <c r="A1392" s="8"/>
      <c r="B1392" s="8"/>
      <c r="C1392" s="8"/>
      <c r="D1392" s="8"/>
      <c r="E1392" s="8"/>
      <c r="F1392" s="8"/>
      <c r="G1392" s="10" t="str">
        <f aca="false">IF($A1392="","",UPPER(SUBSTITUTE(SUBSTITUTE(SUBSTITUTE(SUBSTITUTE($A1392," ",""),"(주)",""),"주식회사",""),"㈜","")))</f>
        <v/>
      </c>
      <c r="H1392" s="10" t="str">
        <f aca="false">IF($B1392="","",SUBSTITUTE(SUBSTITUTE(SUBSTITUTE($B1392,"-","")," ",""),".",""))</f>
        <v/>
      </c>
      <c r="I1392" s="10" t="str">
        <f aca="false">IF($D1392="","",SUBSTITUTE(SUBSTITUTE(SUBSTITUTE($D1392,"-","")," ",""),".",""))</f>
        <v/>
      </c>
      <c r="J1392" s="10" t="str">
        <f aca="false">IF($E1392="","",UPPER(SUBSTITUTE($E1392," ","")))</f>
        <v/>
      </c>
      <c r="K1392" s="10" t="str">
        <f aca="false">IF($A1392="","",$G1392&amp;"|"&amp;$J1392)</f>
        <v/>
      </c>
      <c r="L1392" s="10" t="str">
        <f aca="false">IF($A1392="","",ROW()-2)</f>
        <v/>
      </c>
      <c r="M1392" s="10" t="str">
        <f aca="false">IF($A1392="","",ROW())</f>
        <v/>
      </c>
    </row>
    <row r="1393" customFormat="false" ht="15" hidden="false" customHeight="true" outlineLevel="0" collapsed="false">
      <c r="A1393" s="8"/>
      <c r="B1393" s="8"/>
      <c r="C1393" s="8"/>
      <c r="D1393" s="8"/>
      <c r="E1393" s="8"/>
      <c r="F1393" s="8"/>
      <c r="G1393" s="10" t="str">
        <f aca="false">IF($A1393="","",UPPER(SUBSTITUTE(SUBSTITUTE(SUBSTITUTE(SUBSTITUTE($A1393," ",""),"(주)",""),"주식회사",""),"㈜","")))</f>
        <v/>
      </c>
      <c r="H1393" s="10" t="str">
        <f aca="false">IF($B1393="","",SUBSTITUTE(SUBSTITUTE(SUBSTITUTE($B1393,"-","")," ",""),".",""))</f>
        <v/>
      </c>
      <c r="I1393" s="10" t="str">
        <f aca="false">IF($D1393="","",SUBSTITUTE(SUBSTITUTE(SUBSTITUTE($D1393,"-","")," ",""),".",""))</f>
        <v/>
      </c>
      <c r="J1393" s="10" t="str">
        <f aca="false">IF($E1393="","",UPPER(SUBSTITUTE($E1393," ","")))</f>
        <v/>
      </c>
      <c r="K1393" s="10" t="str">
        <f aca="false">IF($A1393="","",$G1393&amp;"|"&amp;$J1393)</f>
        <v/>
      </c>
      <c r="L1393" s="10" t="str">
        <f aca="false">IF($A1393="","",ROW()-2)</f>
        <v/>
      </c>
      <c r="M1393" s="10" t="str">
        <f aca="false">IF($A1393="","",ROW())</f>
        <v/>
      </c>
    </row>
    <row r="1394" customFormat="false" ht="15" hidden="false" customHeight="true" outlineLevel="0" collapsed="false">
      <c r="A1394" s="8"/>
      <c r="B1394" s="8"/>
      <c r="C1394" s="8"/>
      <c r="D1394" s="8"/>
      <c r="E1394" s="8"/>
      <c r="F1394" s="8"/>
      <c r="G1394" s="10" t="str">
        <f aca="false">IF($A1394="","",UPPER(SUBSTITUTE(SUBSTITUTE(SUBSTITUTE(SUBSTITUTE($A1394," ",""),"(주)",""),"주식회사",""),"㈜","")))</f>
        <v/>
      </c>
      <c r="H1394" s="10" t="str">
        <f aca="false">IF($B1394="","",SUBSTITUTE(SUBSTITUTE(SUBSTITUTE($B1394,"-","")," ",""),".",""))</f>
        <v/>
      </c>
      <c r="I1394" s="10" t="str">
        <f aca="false">IF($D1394="","",SUBSTITUTE(SUBSTITUTE(SUBSTITUTE($D1394,"-","")," ",""),".",""))</f>
        <v/>
      </c>
      <c r="J1394" s="10" t="str">
        <f aca="false">IF($E1394="","",UPPER(SUBSTITUTE($E1394," ","")))</f>
        <v/>
      </c>
      <c r="K1394" s="10" t="str">
        <f aca="false">IF($A1394="","",$G1394&amp;"|"&amp;$J1394)</f>
        <v/>
      </c>
      <c r="L1394" s="10" t="str">
        <f aca="false">IF($A1394="","",ROW()-2)</f>
        <v/>
      </c>
      <c r="M1394" s="10" t="str">
        <f aca="false">IF($A1394="","",ROW())</f>
        <v/>
      </c>
    </row>
    <row r="1395" customFormat="false" ht="15" hidden="false" customHeight="true" outlineLevel="0" collapsed="false">
      <c r="A1395" s="8"/>
      <c r="B1395" s="8"/>
      <c r="C1395" s="8"/>
      <c r="D1395" s="8"/>
      <c r="E1395" s="8"/>
      <c r="F1395" s="8"/>
      <c r="G1395" s="10" t="str">
        <f aca="false">IF($A1395="","",UPPER(SUBSTITUTE(SUBSTITUTE(SUBSTITUTE(SUBSTITUTE($A1395," ",""),"(주)",""),"주식회사",""),"㈜","")))</f>
        <v/>
      </c>
      <c r="H1395" s="10" t="str">
        <f aca="false">IF($B1395="","",SUBSTITUTE(SUBSTITUTE(SUBSTITUTE($B1395,"-","")," ",""),".",""))</f>
        <v/>
      </c>
      <c r="I1395" s="10" t="str">
        <f aca="false">IF($D1395="","",SUBSTITUTE(SUBSTITUTE(SUBSTITUTE($D1395,"-","")," ",""),".",""))</f>
        <v/>
      </c>
      <c r="J1395" s="10" t="str">
        <f aca="false">IF($E1395="","",UPPER(SUBSTITUTE($E1395," ","")))</f>
        <v/>
      </c>
      <c r="K1395" s="10" t="str">
        <f aca="false">IF($A1395="","",$G1395&amp;"|"&amp;$J1395)</f>
        <v/>
      </c>
      <c r="L1395" s="10" t="str">
        <f aca="false">IF($A1395="","",ROW()-2)</f>
        <v/>
      </c>
      <c r="M1395" s="10" t="str">
        <f aca="false">IF($A1395="","",ROW())</f>
        <v/>
      </c>
    </row>
    <row r="1396" customFormat="false" ht="15" hidden="false" customHeight="true" outlineLevel="0" collapsed="false">
      <c r="A1396" s="8"/>
      <c r="B1396" s="8"/>
      <c r="C1396" s="8"/>
      <c r="D1396" s="8"/>
      <c r="E1396" s="8"/>
      <c r="F1396" s="8"/>
      <c r="G1396" s="10" t="str">
        <f aca="false">IF($A1396="","",UPPER(SUBSTITUTE(SUBSTITUTE(SUBSTITUTE(SUBSTITUTE($A1396," ",""),"(주)",""),"주식회사",""),"㈜","")))</f>
        <v/>
      </c>
      <c r="H1396" s="10" t="str">
        <f aca="false">IF($B1396="","",SUBSTITUTE(SUBSTITUTE(SUBSTITUTE($B1396,"-","")," ",""),".",""))</f>
        <v/>
      </c>
      <c r="I1396" s="10" t="str">
        <f aca="false">IF($D1396="","",SUBSTITUTE(SUBSTITUTE(SUBSTITUTE($D1396,"-","")," ",""),".",""))</f>
        <v/>
      </c>
      <c r="J1396" s="10" t="str">
        <f aca="false">IF($E1396="","",UPPER(SUBSTITUTE($E1396," ","")))</f>
        <v/>
      </c>
      <c r="K1396" s="10" t="str">
        <f aca="false">IF($A1396="","",$G1396&amp;"|"&amp;$J1396)</f>
        <v/>
      </c>
      <c r="L1396" s="10" t="str">
        <f aca="false">IF($A1396="","",ROW()-2)</f>
        <v/>
      </c>
      <c r="M1396" s="10" t="str">
        <f aca="false">IF($A1396="","",ROW())</f>
        <v/>
      </c>
    </row>
    <row r="1397" customFormat="false" ht="15" hidden="false" customHeight="true" outlineLevel="0" collapsed="false">
      <c r="A1397" s="8"/>
      <c r="B1397" s="8"/>
      <c r="C1397" s="8"/>
      <c r="D1397" s="8"/>
      <c r="E1397" s="8"/>
      <c r="F1397" s="8"/>
      <c r="G1397" s="10" t="str">
        <f aca="false">IF($A1397="","",UPPER(SUBSTITUTE(SUBSTITUTE(SUBSTITUTE(SUBSTITUTE($A1397," ",""),"(주)",""),"주식회사",""),"㈜","")))</f>
        <v/>
      </c>
      <c r="H1397" s="10" t="str">
        <f aca="false">IF($B1397="","",SUBSTITUTE(SUBSTITUTE(SUBSTITUTE($B1397,"-","")," ",""),".",""))</f>
        <v/>
      </c>
      <c r="I1397" s="10" t="str">
        <f aca="false">IF($D1397="","",SUBSTITUTE(SUBSTITUTE(SUBSTITUTE($D1397,"-","")," ",""),".",""))</f>
        <v/>
      </c>
      <c r="J1397" s="10" t="str">
        <f aca="false">IF($E1397="","",UPPER(SUBSTITUTE($E1397," ","")))</f>
        <v/>
      </c>
      <c r="K1397" s="10" t="str">
        <f aca="false">IF($A1397="","",$G1397&amp;"|"&amp;$J1397)</f>
        <v/>
      </c>
      <c r="L1397" s="10" t="str">
        <f aca="false">IF($A1397="","",ROW()-2)</f>
        <v/>
      </c>
      <c r="M1397" s="10" t="str">
        <f aca="false">IF($A1397="","",ROW())</f>
        <v/>
      </c>
    </row>
    <row r="1398" customFormat="false" ht="15" hidden="false" customHeight="true" outlineLevel="0" collapsed="false">
      <c r="A1398" s="8"/>
      <c r="B1398" s="8"/>
      <c r="C1398" s="8"/>
      <c r="D1398" s="8"/>
      <c r="E1398" s="8"/>
      <c r="F1398" s="8"/>
      <c r="G1398" s="10" t="str">
        <f aca="false">IF($A1398="","",UPPER(SUBSTITUTE(SUBSTITUTE(SUBSTITUTE(SUBSTITUTE($A1398," ",""),"(주)",""),"주식회사",""),"㈜","")))</f>
        <v/>
      </c>
      <c r="H1398" s="10" t="str">
        <f aca="false">IF($B1398="","",SUBSTITUTE(SUBSTITUTE(SUBSTITUTE($B1398,"-","")," ",""),".",""))</f>
        <v/>
      </c>
      <c r="I1398" s="10" t="str">
        <f aca="false">IF($D1398="","",SUBSTITUTE(SUBSTITUTE(SUBSTITUTE($D1398,"-","")," ",""),".",""))</f>
        <v/>
      </c>
      <c r="J1398" s="10" t="str">
        <f aca="false">IF($E1398="","",UPPER(SUBSTITUTE($E1398," ","")))</f>
        <v/>
      </c>
      <c r="K1398" s="10" t="str">
        <f aca="false">IF($A1398="","",$G1398&amp;"|"&amp;$J1398)</f>
        <v/>
      </c>
      <c r="L1398" s="10" t="str">
        <f aca="false">IF($A1398="","",ROW()-2)</f>
        <v/>
      </c>
      <c r="M1398" s="10" t="str">
        <f aca="false">IF($A1398="","",ROW())</f>
        <v/>
      </c>
    </row>
    <row r="1399" customFormat="false" ht="15" hidden="false" customHeight="true" outlineLevel="0" collapsed="false">
      <c r="A1399" s="8"/>
      <c r="B1399" s="8"/>
      <c r="C1399" s="8"/>
      <c r="D1399" s="8"/>
      <c r="E1399" s="8"/>
      <c r="F1399" s="8"/>
      <c r="G1399" s="10" t="str">
        <f aca="false">IF($A1399="","",UPPER(SUBSTITUTE(SUBSTITUTE(SUBSTITUTE(SUBSTITUTE($A1399," ",""),"(주)",""),"주식회사",""),"㈜","")))</f>
        <v/>
      </c>
      <c r="H1399" s="10" t="str">
        <f aca="false">IF($B1399="","",SUBSTITUTE(SUBSTITUTE(SUBSTITUTE($B1399,"-","")," ",""),".",""))</f>
        <v/>
      </c>
      <c r="I1399" s="10" t="str">
        <f aca="false">IF($D1399="","",SUBSTITUTE(SUBSTITUTE(SUBSTITUTE($D1399,"-","")," ",""),".",""))</f>
        <v/>
      </c>
      <c r="J1399" s="10" t="str">
        <f aca="false">IF($E1399="","",UPPER(SUBSTITUTE($E1399," ","")))</f>
        <v/>
      </c>
      <c r="K1399" s="10" t="str">
        <f aca="false">IF($A1399="","",$G1399&amp;"|"&amp;$J1399)</f>
        <v/>
      </c>
      <c r="L1399" s="10" t="str">
        <f aca="false">IF($A1399="","",ROW()-2)</f>
        <v/>
      </c>
      <c r="M1399" s="10" t="str">
        <f aca="false">IF($A1399="","",ROW())</f>
        <v/>
      </c>
    </row>
    <row r="1400" customFormat="false" ht="15" hidden="false" customHeight="true" outlineLevel="0" collapsed="false">
      <c r="A1400" s="8"/>
      <c r="B1400" s="8"/>
      <c r="C1400" s="8"/>
      <c r="D1400" s="8"/>
      <c r="E1400" s="8"/>
      <c r="F1400" s="8"/>
      <c r="G1400" s="10" t="str">
        <f aca="false">IF($A1400="","",UPPER(SUBSTITUTE(SUBSTITUTE(SUBSTITUTE(SUBSTITUTE($A1400," ",""),"(주)",""),"주식회사",""),"㈜","")))</f>
        <v/>
      </c>
      <c r="H1400" s="10" t="str">
        <f aca="false">IF($B1400="","",SUBSTITUTE(SUBSTITUTE(SUBSTITUTE($B1400,"-","")," ",""),".",""))</f>
        <v/>
      </c>
      <c r="I1400" s="10" t="str">
        <f aca="false">IF($D1400="","",SUBSTITUTE(SUBSTITUTE(SUBSTITUTE($D1400,"-","")," ",""),".",""))</f>
        <v/>
      </c>
      <c r="J1400" s="10" t="str">
        <f aca="false">IF($E1400="","",UPPER(SUBSTITUTE($E1400," ","")))</f>
        <v/>
      </c>
      <c r="K1400" s="10" t="str">
        <f aca="false">IF($A1400="","",$G1400&amp;"|"&amp;$J1400)</f>
        <v/>
      </c>
      <c r="L1400" s="10" t="str">
        <f aca="false">IF($A1400="","",ROW()-2)</f>
        <v/>
      </c>
      <c r="M1400" s="10" t="str">
        <f aca="false">IF($A1400="","",ROW())</f>
        <v/>
      </c>
    </row>
    <row r="1401" customFormat="false" ht="15" hidden="false" customHeight="true" outlineLevel="0" collapsed="false">
      <c r="A1401" s="8"/>
      <c r="B1401" s="8"/>
      <c r="C1401" s="8"/>
      <c r="D1401" s="8"/>
      <c r="E1401" s="8"/>
      <c r="F1401" s="8"/>
      <c r="G1401" s="10" t="str">
        <f aca="false">IF($A1401="","",UPPER(SUBSTITUTE(SUBSTITUTE(SUBSTITUTE(SUBSTITUTE($A1401," ",""),"(주)",""),"주식회사",""),"㈜","")))</f>
        <v/>
      </c>
      <c r="H1401" s="10" t="str">
        <f aca="false">IF($B1401="","",SUBSTITUTE(SUBSTITUTE(SUBSTITUTE($B1401,"-","")," ",""),".",""))</f>
        <v/>
      </c>
      <c r="I1401" s="10" t="str">
        <f aca="false">IF($D1401="","",SUBSTITUTE(SUBSTITUTE(SUBSTITUTE($D1401,"-","")," ",""),".",""))</f>
        <v/>
      </c>
      <c r="J1401" s="10" t="str">
        <f aca="false">IF($E1401="","",UPPER(SUBSTITUTE($E1401," ","")))</f>
        <v/>
      </c>
      <c r="K1401" s="10" t="str">
        <f aca="false">IF($A1401="","",$G1401&amp;"|"&amp;$J1401)</f>
        <v/>
      </c>
      <c r="L1401" s="10" t="str">
        <f aca="false">IF($A1401="","",ROW()-2)</f>
        <v/>
      </c>
      <c r="M1401" s="10" t="str">
        <f aca="false">IF($A1401="","",ROW())</f>
        <v/>
      </c>
    </row>
    <row r="1402" customFormat="false" ht="15" hidden="false" customHeight="true" outlineLevel="0" collapsed="false">
      <c r="A1402" s="8"/>
      <c r="B1402" s="8"/>
      <c r="C1402" s="8"/>
      <c r="D1402" s="8"/>
      <c r="E1402" s="8"/>
      <c r="F1402" s="8"/>
      <c r="G1402" s="10" t="str">
        <f aca="false">IF($A1402="","",UPPER(SUBSTITUTE(SUBSTITUTE(SUBSTITUTE(SUBSTITUTE($A1402," ",""),"(주)",""),"주식회사",""),"㈜","")))</f>
        <v/>
      </c>
      <c r="H1402" s="10" t="str">
        <f aca="false">IF($B1402="","",SUBSTITUTE(SUBSTITUTE(SUBSTITUTE($B1402,"-","")," ",""),".",""))</f>
        <v/>
      </c>
      <c r="I1402" s="10" t="str">
        <f aca="false">IF($D1402="","",SUBSTITUTE(SUBSTITUTE(SUBSTITUTE($D1402,"-","")," ",""),".",""))</f>
        <v/>
      </c>
      <c r="J1402" s="10" t="str">
        <f aca="false">IF($E1402="","",UPPER(SUBSTITUTE($E1402," ","")))</f>
        <v/>
      </c>
      <c r="K1402" s="10" t="str">
        <f aca="false">IF($A1402="","",$G1402&amp;"|"&amp;$J1402)</f>
        <v/>
      </c>
      <c r="L1402" s="10" t="str">
        <f aca="false">IF($A1402="","",ROW()-2)</f>
        <v/>
      </c>
      <c r="M1402" s="10" t="str">
        <f aca="false">IF($A1402="","",ROW())</f>
        <v/>
      </c>
    </row>
    <row r="1403" customFormat="false" ht="15" hidden="false" customHeight="true" outlineLevel="0" collapsed="false">
      <c r="A1403" s="8"/>
      <c r="B1403" s="8"/>
      <c r="C1403" s="8"/>
      <c r="D1403" s="8"/>
      <c r="E1403" s="8"/>
      <c r="F1403" s="8"/>
      <c r="G1403" s="10" t="str">
        <f aca="false">IF($A1403="","",UPPER(SUBSTITUTE(SUBSTITUTE(SUBSTITUTE(SUBSTITUTE($A1403," ",""),"(주)",""),"주식회사",""),"㈜","")))</f>
        <v/>
      </c>
      <c r="H1403" s="10" t="str">
        <f aca="false">IF($B1403="","",SUBSTITUTE(SUBSTITUTE(SUBSTITUTE($B1403,"-","")," ",""),".",""))</f>
        <v/>
      </c>
      <c r="I1403" s="10" t="str">
        <f aca="false">IF($D1403="","",SUBSTITUTE(SUBSTITUTE(SUBSTITUTE($D1403,"-","")," ",""),".",""))</f>
        <v/>
      </c>
      <c r="J1403" s="10" t="str">
        <f aca="false">IF($E1403="","",UPPER(SUBSTITUTE($E1403," ","")))</f>
        <v/>
      </c>
      <c r="K1403" s="10" t="str">
        <f aca="false">IF($A1403="","",$G1403&amp;"|"&amp;$J1403)</f>
        <v/>
      </c>
      <c r="L1403" s="10" t="str">
        <f aca="false">IF($A1403="","",ROW()-2)</f>
        <v/>
      </c>
      <c r="M1403" s="10" t="str">
        <f aca="false">IF($A1403="","",ROW())</f>
        <v/>
      </c>
    </row>
    <row r="1404" customFormat="false" ht="15" hidden="false" customHeight="true" outlineLevel="0" collapsed="false">
      <c r="A1404" s="8"/>
      <c r="B1404" s="8"/>
      <c r="C1404" s="8"/>
      <c r="D1404" s="8"/>
      <c r="E1404" s="8"/>
      <c r="F1404" s="8"/>
      <c r="G1404" s="10" t="str">
        <f aca="false">IF($A1404="","",UPPER(SUBSTITUTE(SUBSTITUTE(SUBSTITUTE(SUBSTITUTE($A1404," ",""),"(주)",""),"주식회사",""),"㈜","")))</f>
        <v/>
      </c>
      <c r="H1404" s="10" t="str">
        <f aca="false">IF($B1404="","",SUBSTITUTE(SUBSTITUTE(SUBSTITUTE($B1404,"-","")," ",""),".",""))</f>
        <v/>
      </c>
      <c r="I1404" s="10" t="str">
        <f aca="false">IF($D1404="","",SUBSTITUTE(SUBSTITUTE(SUBSTITUTE($D1404,"-","")," ",""),".",""))</f>
        <v/>
      </c>
      <c r="J1404" s="10" t="str">
        <f aca="false">IF($E1404="","",UPPER(SUBSTITUTE($E1404," ","")))</f>
        <v/>
      </c>
      <c r="K1404" s="10" t="str">
        <f aca="false">IF($A1404="","",$G1404&amp;"|"&amp;$J1404)</f>
        <v/>
      </c>
      <c r="L1404" s="10" t="str">
        <f aca="false">IF($A1404="","",ROW()-2)</f>
        <v/>
      </c>
      <c r="M1404" s="10" t="str">
        <f aca="false">IF($A1404="","",ROW())</f>
        <v/>
      </c>
    </row>
    <row r="1405" customFormat="false" ht="15" hidden="false" customHeight="true" outlineLevel="0" collapsed="false">
      <c r="A1405" s="8"/>
      <c r="B1405" s="8"/>
      <c r="C1405" s="8"/>
      <c r="D1405" s="8"/>
      <c r="E1405" s="8"/>
      <c r="F1405" s="8"/>
      <c r="G1405" s="10" t="str">
        <f aca="false">IF($A1405="","",UPPER(SUBSTITUTE(SUBSTITUTE(SUBSTITUTE(SUBSTITUTE($A1405," ",""),"(주)",""),"주식회사",""),"㈜","")))</f>
        <v/>
      </c>
      <c r="H1405" s="10" t="str">
        <f aca="false">IF($B1405="","",SUBSTITUTE(SUBSTITUTE(SUBSTITUTE($B1405,"-","")," ",""),".",""))</f>
        <v/>
      </c>
      <c r="I1405" s="10" t="str">
        <f aca="false">IF($D1405="","",SUBSTITUTE(SUBSTITUTE(SUBSTITUTE($D1405,"-","")," ",""),".",""))</f>
        <v/>
      </c>
      <c r="J1405" s="10" t="str">
        <f aca="false">IF($E1405="","",UPPER(SUBSTITUTE($E1405," ","")))</f>
        <v/>
      </c>
      <c r="K1405" s="10" t="str">
        <f aca="false">IF($A1405="","",$G1405&amp;"|"&amp;$J1405)</f>
        <v/>
      </c>
      <c r="L1405" s="10" t="str">
        <f aca="false">IF($A1405="","",ROW()-2)</f>
        <v/>
      </c>
      <c r="M1405" s="10" t="str">
        <f aca="false">IF($A1405="","",ROW())</f>
        <v/>
      </c>
    </row>
    <row r="1406" customFormat="false" ht="15" hidden="false" customHeight="true" outlineLevel="0" collapsed="false">
      <c r="A1406" s="8"/>
      <c r="B1406" s="8"/>
      <c r="C1406" s="8"/>
      <c r="D1406" s="8"/>
      <c r="E1406" s="8"/>
      <c r="F1406" s="8"/>
      <c r="G1406" s="10" t="str">
        <f aca="false">IF($A1406="","",UPPER(SUBSTITUTE(SUBSTITUTE(SUBSTITUTE(SUBSTITUTE($A1406," ",""),"(주)",""),"주식회사",""),"㈜","")))</f>
        <v/>
      </c>
      <c r="H1406" s="10" t="str">
        <f aca="false">IF($B1406="","",SUBSTITUTE(SUBSTITUTE(SUBSTITUTE($B1406,"-","")," ",""),".",""))</f>
        <v/>
      </c>
      <c r="I1406" s="10" t="str">
        <f aca="false">IF($D1406="","",SUBSTITUTE(SUBSTITUTE(SUBSTITUTE($D1406,"-","")," ",""),".",""))</f>
        <v/>
      </c>
      <c r="J1406" s="10" t="str">
        <f aca="false">IF($E1406="","",UPPER(SUBSTITUTE($E1406," ","")))</f>
        <v/>
      </c>
      <c r="K1406" s="10" t="str">
        <f aca="false">IF($A1406="","",$G1406&amp;"|"&amp;$J1406)</f>
        <v/>
      </c>
      <c r="L1406" s="10" t="str">
        <f aca="false">IF($A1406="","",ROW()-2)</f>
        <v/>
      </c>
      <c r="M1406" s="10" t="str">
        <f aca="false">IF($A1406="","",ROW())</f>
        <v/>
      </c>
    </row>
    <row r="1407" customFormat="false" ht="15" hidden="false" customHeight="true" outlineLevel="0" collapsed="false">
      <c r="A1407" s="8"/>
      <c r="B1407" s="8"/>
      <c r="C1407" s="8"/>
      <c r="D1407" s="8"/>
      <c r="E1407" s="8"/>
      <c r="F1407" s="8"/>
      <c r="G1407" s="10" t="str">
        <f aca="false">IF($A1407="","",UPPER(SUBSTITUTE(SUBSTITUTE(SUBSTITUTE(SUBSTITUTE($A1407," ",""),"(주)",""),"주식회사",""),"㈜","")))</f>
        <v/>
      </c>
      <c r="H1407" s="10" t="str">
        <f aca="false">IF($B1407="","",SUBSTITUTE(SUBSTITUTE(SUBSTITUTE($B1407,"-","")," ",""),".",""))</f>
        <v/>
      </c>
      <c r="I1407" s="10" t="str">
        <f aca="false">IF($D1407="","",SUBSTITUTE(SUBSTITUTE(SUBSTITUTE($D1407,"-","")," ",""),".",""))</f>
        <v/>
      </c>
      <c r="J1407" s="10" t="str">
        <f aca="false">IF($E1407="","",UPPER(SUBSTITUTE($E1407," ","")))</f>
        <v/>
      </c>
      <c r="K1407" s="10" t="str">
        <f aca="false">IF($A1407="","",$G1407&amp;"|"&amp;$J1407)</f>
        <v/>
      </c>
      <c r="L1407" s="10" t="str">
        <f aca="false">IF($A1407="","",ROW()-2)</f>
        <v/>
      </c>
      <c r="M1407" s="10" t="str">
        <f aca="false">IF($A1407="","",ROW())</f>
        <v/>
      </c>
    </row>
    <row r="1408" customFormat="false" ht="15" hidden="false" customHeight="true" outlineLevel="0" collapsed="false">
      <c r="A1408" s="8"/>
      <c r="B1408" s="8"/>
      <c r="C1408" s="8"/>
      <c r="D1408" s="8"/>
      <c r="E1408" s="8"/>
      <c r="F1408" s="8"/>
      <c r="G1408" s="10" t="str">
        <f aca="false">IF($A1408="","",UPPER(SUBSTITUTE(SUBSTITUTE(SUBSTITUTE(SUBSTITUTE($A1408," ",""),"(주)",""),"주식회사",""),"㈜","")))</f>
        <v/>
      </c>
      <c r="H1408" s="10" t="str">
        <f aca="false">IF($B1408="","",SUBSTITUTE(SUBSTITUTE(SUBSTITUTE($B1408,"-","")," ",""),".",""))</f>
        <v/>
      </c>
      <c r="I1408" s="10" t="str">
        <f aca="false">IF($D1408="","",SUBSTITUTE(SUBSTITUTE(SUBSTITUTE($D1408,"-","")," ",""),".",""))</f>
        <v/>
      </c>
      <c r="J1408" s="10" t="str">
        <f aca="false">IF($E1408="","",UPPER(SUBSTITUTE($E1408," ","")))</f>
        <v/>
      </c>
      <c r="K1408" s="10" t="str">
        <f aca="false">IF($A1408="","",$G1408&amp;"|"&amp;$J1408)</f>
        <v/>
      </c>
      <c r="L1408" s="10" t="str">
        <f aca="false">IF($A1408="","",ROW()-2)</f>
        <v/>
      </c>
      <c r="M1408" s="10" t="str">
        <f aca="false">IF($A1408="","",ROW())</f>
        <v/>
      </c>
    </row>
    <row r="1409" customFormat="false" ht="15" hidden="false" customHeight="true" outlineLevel="0" collapsed="false">
      <c r="A1409" s="8"/>
      <c r="B1409" s="8"/>
      <c r="C1409" s="8"/>
      <c r="D1409" s="8"/>
      <c r="E1409" s="8"/>
      <c r="F1409" s="8"/>
      <c r="G1409" s="10" t="str">
        <f aca="false">IF($A1409="","",UPPER(SUBSTITUTE(SUBSTITUTE(SUBSTITUTE(SUBSTITUTE($A1409," ",""),"(주)",""),"주식회사",""),"㈜","")))</f>
        <v/>
      </c>
      <c r="H1409" s="10" t="str">
        <f aca="false">IF($B1409="","",SUBSTITUTE(SUBSTITUTE(SUBSTITUTE($B1409,"-","")," ",""),".",""))</f>
        <v/>
      </c>
      <c r="I1409" s="10" t="str">
        <f aca="false">IF($D1409="","",SUBSTITUTE(SUBSTITUTE(SUBSTITUTE($D1409,"-","")," ",""),".",""))</f>
        <v/>
      </c>
      <c r="J1409" s="10" t="str">
        <f aca="false">IF($E1409="","",UPPER(SUBSTITUTE($E1409," ","")))</f>
        <v/>
      </c>
      <c r="K1409" s="10" t="str">
        <f aca="false">IF($A1409="","",$G1409&amp;"|"&amp;$J1409)</f>
        <v/>
      </c>
      <c r="L1409" s="10" t="str">
        <f aca="false">IF($A1409="","",ROW()-2)</f>
        <v/>
      </c>
      <c r="M1409" s="10" t="str">
        <f aca="false">IF($A1409="","",ROW())</f>
        <v/>
      </c>
    </row>
    <row r="1410" customFormat="false" ht="15" hidden="false" customHeight="true" outlineLevel="0" collapsed="false">
      <c r="A1410" s="8"/>
      <c r="B1410" s="8"/>
      <c r="C1410" s="8"/>
      <c r="D1410" s="8"/>
      <c r="E1410" s="8"/>
      <c r="F1410" s="8"/>
      <c r="G1410" s="10" t="str">
        <f aca="false">IF($A1410="","",UPPER(SUBSTITUTE(SUBSTITUTE(SUBSTITUTE(SUBSTITUTE($A1410," ",""),"(주)",""),"주식회사",""),"㈜","")))</f>
        <v/>
      </c>
      <c r="H1410" s="10" t="str">
        <f aca="false">IF($B1410="","",SUBSTITUTE(SUBSTITUTE(SUBSTITUTE($B1410,"-","")," ",""),".",""))</f>
        <v/>
      </c>
      <c r="I1410" s="10" t="str">
        <f aca="false">IF($D1410="","",SUBSTITUTE(SUBSTITUTE(SUBSTITUTE($D1410,"-","")," ",""),".",""))</f>
        <v/>
      </c>
      <c r="J1410" s="10" t="str">
        <f aca="false">IF($E1410="","",UPPER(SUBSTITUTE($E1410," ","")))</f>
        <v/>
      </c>
      <c r="K1410" s="10" t="str">
        <f aca="false">IF($A1410="","",$G1410&amp;"|"&amp;$J1410)</f>
        <v/>
      </c>
      <c r="L1410" s="10" t="str">
        <f aca="false">IF($A1410="","",ROW()-2)</f>
        <v/>
      </c>
      <c r="M1410" s="10" t="str">
        <f aca="false">IF($A1410="","",ROW())</f>
        <v/>
      </c>
    </row>
    <row r="1411" customFormat="false" ht="15" hidden="false" customHeight="true" outlineLevel="0" collapsed="false">
      <c r="A1411" s="8"/>
      <c r="B1411" s="8"/>
      <c r="C1411" s="8"/>
      <c r="D1411" s="8"/>
      <c r="E1411" s="8"/>
      <c r="F1411" s="8"/>
      <c r="G1411" s="10" t="str">
        <f aca="false">IF($A1411="","",UPPER(SUBSTITUTE(SUBSTITUTE(SUBSTITUTE(SUBSTITUTE($A1411," ",""),"(주)",""),"주식회사",""),"㈜","")))</f>
        <v/>
      </c>
      <c r="H1411" s="10" t="str">
        <f aca="false">IF($B1411="","",SUBSTITUTE(SUBSTITUTE(SUBSTITUTE($B1411,"-","")," ",""),".",""))</f>
        <v/>
      </c>
      <c r="I1411" s="10" t="str">
        <f aca="false">IF($D1411="","",SUBSTITUTE(SUBSTITUTE(SUBSTITUTE($D1411,"-","")," ",""),".",""))</f>
        <v/>
      </c>
      <c r="J1411" s="10" t="str">
        <f aca="false">IF($E1411="","",UPPER(SUBSTITUTE($E1411," ","")))</f>
        <v/>
      </c>
      <c r="K1411" s="10" t="str">
        <f aca="false">IF($A1411="","",$G1411&amp;"|"&amp;$J1411)</f>
        <v/>
      </c>
      <c r="L1411" s="10" t="str">
        <f aca="false">IF($A1411="","",ROW()-2)</f>
        <v/>
      </c>
      <c r="M1411" s="10" t="str">
        <f aca="false">IF($A1411="","",ROW())</f>
        <v/>
      </c>
    </row>
    <row r="1412" customFormat="false" ht="15" hidden="false" customHeight="true" outlineLevel="0" collapsed="false">
      <c r="A1412" s="8"/>
      <c r="B1412" s="8"/>
      <c r="C1412" s="8"/>
      <c r="D1412" s="8"/>
      <c r="E1412" s="8"/>
      <c r="F1412" s="8"/>
      <c r="G1412" s="10" t="str">
        <f aca="false">IF($A1412="","",UPPER(SUBSTITUTE(SUBSTITUTE(SUBSTITUTE(SUBSTITUTE($A1412," ",""),"(주)",""),"주식회사",""),"㈜","")))</f>
        <v/>
      </c>
      <c r="H1412" s="10" t="str">
        <f aca="false">IF($B1412="","",SUBSTITUTE(SUBSTITUTE(SUBSTITUTE($B1412,"-","")," ",""),".",""))</f>
        <v/>
      </c>
      <c r="I1412" s="10" t="str">
        <f aca="false">IF($D1412="","",SUBSTITUTE(SUBSTITUTE(SUBSTITUTE($D1412,"-","")," ",""),".",""))</f>
        <v/>
      </c>
      <c r="J1412" s="10" t="str">
        <f aca="false">IF($E1412="","",UPPER(SUBSTITUTE($E1412," ","")))</f>
        <v/>
      </c>
      <c r="K1412" s="10" t="str">
        <f aca="false">IF($A1412="","",$G1412&amp;"|"&amp;$J1412)</f>
        <v/>
      </c>
      <c r="L1412" s="10" t="str">
        <f aca="false">IF($A1412="","",ROW()-2)</f>
        <v/>
      </c>
      <c r="M1412" s="10" t="str">
        <f aca="false">IF($A1412="","",ROW())</f>
        <v/>
      </c>
    </row>
    <row r="1413" customFormat="false" ht="15" hidden="false" customHeight="true" outlineLevel="0" collapsed="false">
      <c r="A1413" s="8"/>
      <c r="B1413" s="8"/>
      <c r="C1413" s="8"/>
      <c r="D1413" s="8"/>
      <c r="E1413" s="8"/>
      <c r="F1413" s="8"/>
      <c r="G1413" s="10" t="str">
        <f aca="false">IF($A1413="","",UPPER(SUBSTITUTE(SUBSTITUTE(SUBSTITUTE(SUBSTITUTE($A1413," ",""),"(주)",""),"주식회사",""),"㈜","")))</f>
        <v/>
      </c>
      <c r="H1413" s="10" t="str">
        <f aca="false">IF($B1413="","",SUBSTITUTE(SUBSTITUTE(SUBSTITUTE($B1413,"-","")," ",""),".",""))</f>
        <v/>
      </c>
      <c r="I1413" s="10" t="str">
        <f aca="false">IF($D1413="","",SUBSTITUTE(SUBSTITUTE(SUBSTITUTE($D1413,"-","")," ",""),".",""))</f>
        <v/>
      </c>
      <c r="J1413" s="10" t="str">
        <f aca="false">IF($E1413="","",UPPER(SUBSTITUTE($E1413," ","")))</f>
        <v/>
      </c>
      <c r="K1413" s="10" t="str">
        <f aca="false">IF($A1413="","",$G1413&amp;"|"&amp;$J1413)</f>
        <v/>
      </c>
      <c r="L1413" s="10" t="str">
        <f aca="false">IF($A1413="","",ROW()-2)</f>
        <v/>
      </c>
      <c r="M1413" s="10" t="str">
        <f aca="false">IF($A1413="","",ROW())</f>
        <v/>
      </c>
    </row>
    <row r="1414" customFormat="false" ht="15" hidden="false" customHeight="true" outlineLevel="0" collapsed="false">
      <c r="A1414" s="8"/>
      <c r="B1414" s="8"/>
      <c r="C1414" s="8"/>
      <c r="D1414" s="8"/>
      <c r="E1414" s="8"/>
      <c r="F1414" s="8"/>
      <c r="G1414" s="10" t="str">
        <f aca="false">IF($A1414="","",UPPER(SUBSTITUTE(SUBSTITUTE(SUBSTITUTE(SUBSTITUTE($A1414," ",""),"(주)",""),"주식회사",""),"㈜","")))</f>
        <v/>
      </c>
      <c r="H1414" s="10" t="str">
        <f aca="false">IF($B1414="","",SUBSTITUTE(SUBSTITUTE(SUBSTITUTE($B1414,"-","")," ",""),".",""))</f>
        <v/>
      </c>
      <c r="I1414" s="10" t="str">
        <f aca="false">IF($D1414="","",SUBSTITUTE(SUBSTITUTE(SUBSTITUTE($D1414,"-","")," ",""),".",""))</f>
        <v/>
      </c>
      <c r="J1414" s="10" t="str">
        <f aca="false">IF($E1414="","",UPPER(SUBSTITUTE($E1414," ","")))</f>
        <v/>
      </c>
      <c r="K1414" s="10" t="str">
        <f aca="false">IF($A1414="","",$G1414&amp;"|"&amp;$J1414)</f>
        <v/>
      </c>
      <c r="L1414" s="10" t="str">
        <f aca="false">IF($A1414="","",ROW()-2)</f>
        <v/>
      </c>
      <c r="M1414" s="10" t="str">
        <f aca="false">IF($A1414="","",ROW())</f>
        <v/>
      </c>
    </row>
    <row r="1415" customFormat="false" ht="15" hidden="false" customHeight="true" outlineLevel="0" collapsed="false">
      <c r="A1415" s="8"/>
      <c r="B1415" s="8"/>
      <c r="C1415" s="8"/>
      <c r="D1415" s="8"/>
      <c r="E1415" s="8"/>
      <c r="F1415" s="8"/>
      <c r="G1415" s="10" t="str">
        <f aca="false">IF($A1415="","",UPPER(SUBSTITUTE(SUBSTITUTE(SUBSTITUTE(SUBSTITUTE($A1415," ",""),"(주)",""),"주식회사",""),"㈜","")))</f>
        <v/>
      </c>
      <c r="H1415" s="10" t="str">
        <f aca="false">IF($B1415="","",SUBSTITUTE(SUBSTITUTE(SUBSTITUTE($B1415,"-","")," ",""),".",""))</f>
        <v/>
      </c>
      <c r="I1415" s="10" t="str">
        <f aca="false">IF($D1415="","",SUBSTITUTE(SUBSTITUTE(SUBSTITUTE($D1415,"-","")," ",""),".",""))</f>
        <v/>
      </c>
      <c r="J1415" s="10" t="str">
        <f aca="false">IF($E1415="","",UPPER(SUBSTITUTE($E1415," ","")))</f>
        <v/>
      </c>
      <c r="K1415" s="10" t="str">
        <f aca="false">IF($A1415="","",$G1415&amp;"|"&amp;$J1415)</f>
        <v/>
      </c>
      <c r="L1415" s="10" t="str">
        <f aca="false">IF($A1415="","",ROW()-2)</f>
        <v/>
      </c>
      <c r="M1415" s="10" t="str">
        <f aca="false">IF($A1415="","",ROW())</f>
        <v/>
      </c>
    </row>
    <row r="1416" customFormat="false" ht="15" hidden="false" customHeight="true" outlineLevel="0" collapsed="false">
      <c r="A1416" s="8"/>
      <c r="B1416" s="8"/>
      <c r="C1416" s="8"/>
      <c r="D1416" s="8"/>
      <c r="E1416" s="8"/>
      <c r="F1416" s="8"/>
      <c r="G1416" s="10" t="str">
        <f aca="false">IF($A1416="","",UPPER(SUBSTITUTE(SUBSTITUTE(SUBSTITUTE(SUBSTITUTE($A1416," ",""),"(주)",""),"주식회사",""),"㈜","")))</f>
        <v/>
      </c>
      <c r="H1416" s="10" t="str">
        <f aca="false">IF($B1416="","",SUBSTITUTE(SUBSTITUTE(SUBSTITUTE($B1416,"-","")," ",""),".",""))</f>
        <v/>
      </c>
      <c r="I1416" s="10" t="str">
        <f aca="false">IF($D1416="","",SUBSTITUTE(SUBSTITUTE(SUBSTITUTE($D1416,"-","")," ",""),".",""))</f>
        <v/>
      </c>
      <c r="J1416" s="10" t="str">
        <f aca="false">IF($E1416="","",UPPER(SUBSTITUTE($E1416," ","")))</f>
        <v/>
      </c>
      <c r="K1416" s="10" t="str">
        <f aca="false">IF($A1416="","",$G1416&amp;"|"&amp;$J1416)</f>
        <v/>
      </c>
      <c r="L1416" s="10" t="str">
        <f aca="false">IF($A1416="","",ROW()-2)</f>
        <v/>
      </c>
      <c r="M1416" s="10" t="str">
        <f aca="false">IF($A1416="","",ROW())</f>
        <v/>
      </c>
    </row>
    <row r="1417" customFormat="false" ht="15" hidden="false" customHeight="true" outlineLevel="0" collapsed="false">
      <c r="A1417" s="8"/>
      <c r="B1417" s="8"/>
      <c r="C1417" s="8"/>
      <c r="D1417" s="8"/>
      <c r="E1417" s="8"/>
      <c r="F1417" s="8"/>
      <c r="G1417" s="10" t="str">
        <f aca="false">IF($A1417="","",UPPER(SUBSTITUTE(SUBSTITUTE(SUBSTITUTE(SUBSTITUTE($A1417," ",""),"(주)",""),"주식회사",""),"㈜","")))</f>
        <v/>
      </c>
      <c r="H1417" s="10" t="str">
        <f aca="false">IF($B1417="","",SUBSTITUTE(SUBSTITUTE(SUBSTITUTE($B1417,"-","")," ",""),".",""))</f>
        <v/>
      </c>
      <c r="I1417" s="10" t="str">
        <f aca="false">IF($D1417="","",SUBSTITUTE(SUBSTITUTE(SUBSTITUTE($D1417,"-","")," ",""),".",""))</f>
        <v/>
      </c>
      <c r="J1417" s="10" t="str">
        <f aca="false">IF($E1417="","",UPPER(SUBSTITUTE($E1417," ","")))</f>
        <v/>
      </c>
      <c r="K1417" s="10" t="str">
        <f aca="false">IF($A1417="","",$G1417&amp;"|"&amp;$J1417)</f>
        <v/>
      </c>
      <c r="L1417" s="10" t="str">
        <f aca="false">IF($A1417="","",ROW()-2)</f>
        <v/>
      </c>
      <c r="M1417" s="10" t="str">
        <f aca="false">IF($A1417="","",ROW())</f>
        <v/>
      </c>
    </row>
    <row r="1418" customFormat="false" ht="15" hidden="false" customHeight="true" outlineLevel="0" collapsed="false">
      <c r="A1418" s="8"/>
      <c r="B1418" s="8"/>
      <c r="C1418" s="8"/>
      <c r="D1418" s="8"/>
      <c r="E1418" s="8"/>
      <c r="F1418" s="8"/>
      <c r="G1418" s="10" t="str">
        <f aca="false">IF($A1418="","",UPPER(SUBSTITUTE(SUBSTITUTE(SUBSTITUTE(SUBSTITUTE($A1418," ",""),"(주)",""),"주식회사",""),"㈜","")))</f>
        <v/>
      </c>
      <c r="H1418" s="10" t="str">
        <f aca="false">IF($B1418="","",SUBSTITUTE(SUBSTITUTE(SUBSTITUTE($B1418,"-","")," ",""),".",""))</f>
        <v/>
      </c>
      <c r="I1418" s="10" t="str">
        <f aca="false">IF($D1418="","",SUBSTITUTE(SUBSTITUTE(SUBSTITUTE($D1418,"-","")," ",""),".",""))</f>
        <v/>
      </c>
      <c r="J1418" s="10" t="str">
        <f aca="false">IF($E1418="","",UPPER(SUBSTITUTE($E1418," ","")))</f>
        <v/>
      </c>
      <c r="K1418" s="10" t="str">
        <f aca="false">IF($A1418="","",$G1418&amp;"|"&amp;$J1418)</f>
        <v/>
      </c>
      <c r="L1418" s="10" t="str">
        <f aca="false">IF($A1418="","",ROW()-2)</f>
        <v/>
      </c>
      <c r="M1418" s="10" t="str">
        <f aca="false">IF($A1418="","",ROW())</f>
        <v/>
      </c>
    </row>
    <row r="1419" customFormat="false" ht="15" hidden="false" customHeight="true" outlineLevel="0" collapsed="false">
      <c r="A1419" s="8"/>
      <c r="B1419" s="8"/>
      <c r="C1419" s="8"/>
      <c r="D1419" s="8"/>
      <c r="E1419" s="8"/>
      <c r="F1419" s="8"/>
      <c r="G1419" s="10" t="str">
        <f aca="false">IF($A1419="","",UPPER(SUBSTITUTE(SUBSTITUTE(SUBSTITUTE(SUBSTITUTE($A1419," ",""),"(주)",""),"주식회사",""),"㈜","")))</f>
        <v/>
      </c>
      <c r="H1419" s="10" t="str">
        <f aca="false">IF($B1419="","",SUBSTITUTE(SUBSTITUTE(SUBSTITUTE($B1419,"-","")," ",""),".",""))</f>
        <v/>
      </c>
      <c r="I1419" s="10" t="str">
        <f aca="false">IF($D1419="","",SUBSTITUTE(SUBSTITUTE(SUBSTITUTE($D1419,"-","")," ",""),".",""))</f>
        <v/>
      </c>
      <c r="J1419" s="10" t="str">
        <f aca="false">IF($E1419="","",UPPER(SUBSTITUTE($E1419," ","")))</f>
        <v/>
      </c>
      <c r="K1419" s="10" t="str">
        <f aca="false">IF($A1419="","",$G1419&amp;"|"&amp;$J1419)</f>
        <v/>
      </c>
      <c r="L1419" s="10" t="str">
        <f aca="false">IF($A1419="","",ROW()-2)</f>
        <v/>
      </c>
      <c r="M1419" s="10" t="str">
        <f aca="false">IF($A1419="","",ROW())</f>
        <v/>
      </c>
    </row>
    <row r="1420" customFormat="false" ht="15" hidden="false" customHeight="true" outlineLevel="0" collapsed="false">
      <c r="A1420" s="8"/>
      <c r="B1420" s="8"/>
      <c r="C1420" s="8"/>
      <c r="D1420" s="8"/>
      <c r="E1420" s="8"/>
      <c r="F1420" s="8"/>
      <c r="G1420" s="10" t="str">
        <f aca="false">IF($A1420="","",UPPER(SUBSTITUTE(SUBSTITUTE(SUBSTITUTE(SUBSTITUTE($A1420," ",""),"(주)",""),"주식회사",""),"㈜","")))</f>
        <v/>
      </c>
      <c r="H1420" s="10" t="str">
        <f aca="false">IF($B1420="","",SUBSTITUTE(SUBSTITUTE(SUBSTITUTE($B1420,"-","")," ",""),".",""))</f>
        <v/>
      </c>
      <c r="I1420" s="10" t="str">
        <f aca="false">IF($D1420="","",SUBSTITUTE(SUBSTITUTE(SUBSTITUTE($D1420,"-","")," ",""),".",""))</f>
        <v/>
      </c>
      <c r="J1420" s="10" t="str">
        <f aca="false">IF($E1420="","",UPPER(SUBSTITUTE($E1420," ","")))</f>
        <v/>
      </c>
      <c r="K1420" s="10" t="str">
        <f aca="false">IF($A1420="","",$G1420&amp;"|"&amp;$J1420)</f>
        <v/>
      </c>
      <c r="L1420" s="10" t="str">
        <f aca="false">IF($A1420="","",ROW()-2)</f>
        <v/>
      </c>
      <c r="M1420" s="10" t="str">
        <f aca="false">IF($A1420="","",ROW())</f>
        <v/>
      </c>
    </row>
    <row r="1421" customFormat="false" ht="15" hidden="false" customHeight="true" outlineLevel="0" collapsed="false">
      <c r="A1421" s="8"/>
      <c r="B1421" s="8"/>
      <c r="C1421" s="8"/>
      <c r="D1421" s="8"/>
      <c r="E1421" s="8"/>
      <c r="F1421" s="8"/>
      <c r="G1421" s="10" t="str">
        <f aca="false">IF($A1421="","",UPPER(SUBSTITUTE(SUBSTITUTE(SUBSTITUTE(SUBSTITUTE($A1421," ",""),"(주)",""),"주식회사",""),"㈜","")))</f>
        <v/>
      </c>
      <c r="H1421" s="10" t="str">
        <f aca="false">IF($B1421="","",SUBSTITUTE(SUBSTITUTE(SUBSTITUTE($B1421,"-","")," ",""),".",""))</f>
        <v/>
      </c>
      <c r="I1421" s="10" t="str">
        <f aca="false">IF($D1421="","",SUBSTITUTE(SUBSTITUTE(SUBSTITUTE($D1421,"-","")," ",""),".",""))</f>
        <v/>
      </c>
      <c r="J1421" s="10" t="str">
        <f aca="false">IF($E1421="","",UPPER(SUBSTITUTE($E1421," ","")))</f>
        <v/>
      </c>
      <c r="K1421" s="10" t="str">
        <f aca="false">IF($A1421="","",$G1421&amp;"|"&amp;$J1421)</f>
        <v/>
      </c>
      <c r="L1421" s="10" t="str">
        <f aca="false">IF($A1421="","",ROW()-2)</f>
        <v/>
      </c>
      <c r="M1421" s="10" t="str">
        <f aca="false">IF($A1421="","",ROW())</f>
        <v/>
      </c>
    </row>
    <row r="1422" customFormat="false" ht="15" hidden="false" customHeight="true" outlineLevel="0" collapsed="false">
      <c r="A1422" s="8"/>
      <c r="B1422" s="8"/>
      <c r="C1422" s="8"/>
      <c r="D1422" s="8"/>
      <c r="E1422" s="8"/>
      <c r="F1422" s="8"/>
      <c r="G1422" s="10" t="str">
        <f aca="false">IF($A1422="","",UPPER(SUBSTITUTE(SUBSTITUTE(SUBSTITUTE(SUBSTITUTE($A1422," ",""),"(주)",""),"주식회사",""),"㈜","")))</f>
        <v/>
      </c>
      <c r="H1422" s="10" t="str">
        <f aca="false">IF($B1422="","",SUBSTITUTE(SUBSTITUTE(SUBSTITUTE($B1422,"-","")," ",""),".",""))</f>
        <v/>
      </c>
      <c r="I1422" s="10" t="str">
        <f aca="false">IF($D1422="","",SUBSTITUTE(SUBSTITUTE(SUBSTITUTE($D1422,"-","")," ",""),".",""))</f>
        <v/>
      </c>
      <c r="J1422" s="10" t="str">
        <f aca="false">IF($E1422="","",UPPER(SUBSTITUTE($E1422," ","")))</f>
        <v/>
      </c>
      <c r="K1422" s="10" t="str">
        <f aca="false">IF($A1422="","",$G1422&amp;"|"&amp;$J1422)</f>
        <v/>
      </c>
      <c r="L1422" s="10" t="str">
        <f aca="false">IF($A1422="","",ROW()-2)</f>
        <v/>
      </c>
      <c r="M1422" s="10" t="str">
        <f aca="false">IF($A1422="","",ROW())</f>
        <v/>
      </c>
    </row>
    <row r="1423" customFormat="false" ht="15" hidden="false" customHeight="true" outlineLevel="0" collapsed="false">
      <c r="A1423" s="8"/>
      <c r="B1423" s="8"/>
      <c r="C1423" s="8"/>
      <c r="D1423" s="8"/>
      <c r="E1423" s="8"/>
      <c r="F1423" s="8"/>
      <c r="G1423" s="10" t="str">
        <f aca="false">IF($A1423="","",UPPER(SUBSTITUTE(SUBSTITUTE(SUBSTITUTE(SUBSTITUTE($A1423," ",""),"(주)",""),"주식회사",""),"㈜","")))</f>
        <v/>
      </c>
      <c r="H1423" s="10" t="str">
        <f aca="false">IF($B1423="","",SUBSTITUTE(SUBSTITUTE(SUBSTITUTE($B1423,"-","")," ",""),".",""))</f>
        <v/>
      </c>
      <c r="I1423" s="10" t="str">
        <f aca="false">IF($D1423="","",SUBSTITUTE(SUBSTITUTE(SUBSTITUTE($D1423,"-","")," ",""),".",""))</f>
        <v/>
      </c>
      <c r="J1423" s="10" t="str">
        <f aca="false">IF($E1423="","",UPPER(SUBSTITUTE($E1423," ","")))</f>
        <v/>
      </c>
      <c r="K1423" s="10" t="str">
        <f aca="false">IF($A1423="","",$G1423&amp;"|"&amp;$J1423)</f>
        <v/>
      </c>
      <c r="L1423" s="10" t="str">
        <f aca="false">IF($A1423="","",ROW()-2)</f>
        <v/>
      </c>
      <c r="M1423" s="10" t="str">
        <f aca="false">IF($A1423="","",ROW())</f>
        <v/>
      </c>
    </row>
    <row r="1424" customFormat="false" ht="15" hidden="false" customHeight="true" outlineLevel="0" collapsed="false">
      <c r="A1424" s="8"/>
      <c r="B1424" s="8"/>
      <c r="C1424" s="8"/>
      <c r="D1424" s="8"/>
      <c r="E1424" s="8"/>
      <c r="F1424" s="8"/>
      <c r="G1424" s="10" t="str">
        <f aca="false">IF($A1424="","",UPPER(SUBSTITUTE(SUBSTITUTE(SUBSTITUTE(SUBSTITUTE($A1424," ",""),"(주)",""),"주식회사",""),"㈜","")))</f>
        <v/>
      </c>
      <c r="H1424" s="10" t="str">
        <f aca="false">IF($B1424="","",SUBSTITUTE(SUBSTITUTE(SUBSTITUTE($B1424,"-","")," ",""),".",""))</f>
        <v/>
      </c>
      <c r="I1424" s="10" t="str">
        <f aca="false">IF($D1424="","",SUBSTITUTE(SUBSTITUTE(SUBSTITUTE($D1424,"-","")," ",""),".",""))</f>
        <v/>
      </c>
      <c r="J1424" s="10" t="str">
        <f aca="false">IF($E1424="","",UPPER(SUBSTITUTE($E1424," ","")))</f>
        <v/>
      </c>
      <c r="K1424" s="10" t="str">
        <f aca="false">IF($A1424="","",$G1424&amp;"|"&amp;$J1424)</f>
        <v/>
      </c>
      <c r="L1424" s="10" t="str">
        <f aca="false">IF($A1424="","",ROW()-2)</f>
        <v/>
      </c>
      <c r="M1424" s="10" t="str">
        <f aca="false">IF($A1424="","",ROW())</f>
        <v/>
      </c>
    </row>
    <row r="1425" customFormat="false" ht="15" hidden="false" customHeight="true" outlineLevel="0" collapsed="false">
      <c r="A1425" s="8"/>
      <c r="B1425" s="8"/>
      <c r="C1425" s="8"/>
      <c r="D1425" s="8"/>
      <c r="E1425" s="8"/>
      <c r="F1425" s="8"/>
      <c r="G1425" s="10" t="str">
        <f aca="false">IF($A1425="","",UPPER(SUBSTITUTE(SUBSTITUTE(SUBSTITUTE(SUBSTITUTE($A1425," ",""),"(주)",""),"주식회사",""),"㈜","")))</f>
        <v/>
      </c>
      <c r="H1425" s="10" t="str">
        <f aca="false">IF($B1425="","",SUBSTITUTE(SUBSTITUTE(SUBSTITUTE($B1425,"-","")," ",""),".",""))</f>
        <v/>
      </c>
      <c r="I1425" s="10" t="str">
        <f aca="false">IF($D1425="","",SUBSTITUTE(SUBSTITUTE(SUBSTITUTE($D1425,"-","")," ",""),".",""))</f>
        <v/>
      </c>
      <c r="J1425" s="10" t="str">
        <f aca="false">IF($E1425="","",UPPER(SUBSTITUTE($E1425," ","")))</f>
        <v/>
      </c>
      <c r="K1425" s="10" t="str">
        <f aca="false">IF($A1425="","",$G1425&amp;"|"&amp;$J1425)</f>
        <v/>
      </c>
      <c r="L1425" s="10" t="str">
        <f aca="false">IF($A1425="","",ROW()-2)</f>
        <v/>
      </c>
      <c r="M1425" s="10" t="str">
        <f aca="false">IF($A1425="","",ROW())</f>
        <v/>
      </c>
    </row>
    <row r="1426" customFormat="false" ht="15" hidden="false" customHeight="true" outlineLevel="0" collapsed="false">
      <c r="A1426" s="8"/>
      <c r="B1426" s="8"/>
      <c r="C1426" s="8"/>
      <c r="D1426" s="8"/>
      <c r="E1426" s="8"/>
      <c r="F1426" s="8"/>
      <c r="G1426" s="10" t="str">
        <f aca="false">IF($A1426="","",UPPER(SUBSTITUTE(SUBSTITUTE(SUBSTITUTE(SUBSTITUTE($A1426," ",""),"(주)",""),"주식회사",""),"㈜","")))</f>
        <v/>
      </c>
      <c r="H1426" s="10" t="str">
        <f aca="false">IF($B1426="","",SUBSTITUTE(SUBSTITUTE(SUBSTITUTE($B1426,"-","")," ",""),".",""))</f>
        <v/>
      </c>
      <c r="I1426" s="10" t="str">
        <f aca="false">IF($D1426="","",SUBSTITUTE(SUBSTITUTE(SUBSTITUTE($D1426,"-","")," ",""),".",""))</f>
        <v/>
      </c>
      <c r="J1426" s="10" t="str">
        <f aca="false">IF($E1426="","",UPPER(SUBSTITUTE($E1426," ","")))</f>
        <v/>
      </c>
      <c r="K1426" s="10" t="str">
        <f aca="false">IF($A1426="","",$G1426&amp;"|"&amp;$J1426)</f>
        <v/>
      </c>
      <c r="L1426" s="10" t="str">
        <f aca="false">IF($A1426="","",ROW()-2)</f>
        <v/>
      </c>
      <c r="M1426" s="10" t="str">
        <f aca="false">IF($A1426="","",ROW())</f>
        <v/>
      </c>
    </row>
    <row r="1427" customFormat="false" ht="15" hidden="false" customHeight="true" outlineLevel="0" collapsed="false">
      <c r="A1427" s="8"/>
      <c r="B1427" s="8"/>
      <c r="C1427" s="8"/>
      <c r="D1427" s="8"/>
      <c r="E1427" s="8"/>
      <c r="F1427" s="8"/>
      <c r="G1427" s="10" t="str">
        <f aca="false">IF($A1427="","",UPPER(SUBSTITUTE(SUBSTITUTE(SUBSTITUTE(SUBSTITUTE($A1427," ",""),"(주)",""),"주식회사",""),"㈜","")))</f>
        <v/>
      </c>
      <c r="H1427" s="10" t="str">
        <f aca="false">IF($B1427="","",SUBSTITUTE(SUBSTITUTE(SUBSTITUTE($B1427,"-","")," ",""),".",""))</f>
        <v/>
      </c>
      <c r="I1427" s="10" t="str">
        <f aca="false">IF($D1427="","",SUBSTITUTE(SUBSTITUTE(SUBSTITUTE($D1427,"-","")," ",""),".",""))</f>
        <v/>
      </c>
      <c r="J1427" s="10" t="str">
        <f aca="false">IF($E1427="","",UPPER(SUBSTITUTE($E1427," ","")))</f>
        <v/>
      </c>
      <c r="K1427" s="10" t="str">
        <f aca="false">IF($A1427="","",$G1427&amp;"|"&amp;$J1427)</f>
        <v/>
      </c>
      <c r="L1427" s="10" t="str">
        <f aca="false">IF($A1427="","",ROW()-2)</f>
        <v/>
      </c>
      <c r="M1427" s="10" t="str">
        <f aca="false">IF($A1427="","",ROW())</f>
        <v/>
      </c>
    </row>
    <row r="1428" customFormat="false" ht="15" hidden="false" customHeight="true" outlineLevel="0" collapsed="false">
      <c r="A1428" s="8"/>
      <c r="B1428" s="8"/>
      <c r="C1428" s="8"/>
      <c r="D1428" s="8"/>
      <c r="E1428" s="8"/>
      <c r="F1428" s="8"/>
      <c r="G1428" s="10" t="str">
        <f aca="false">IF($A1428="","",UPPER(SUBSTITUTE(SUBSTITUTE(SUBSTITUTE(SUBSTITUTE($A1428," ",""),"(주)",""),"주식회사",""),"㈜","")))</f>
        <v/>
      </c>
      <c r="H1428" s="10" t="str">
        <f aca="false">IF($B1428="","",SUBSTITUTE(SUBSTITUTE(SUBSTITUTE($B1428,"-","")," ",""),".",""))</f>
        <v/>
      </c>
      <c r="I1428" s="10" t="str">
        <f aca="false">IF($D1428="","",SUBSTITUTE(SUBSTITUTE(SUBSTITUTE($D1428,"-","")," ",""),".",""))</f>
        <v/>
      </c>
      <c r="J1428" s="10" t="str">
        <f aca="false">IF($E1428="","",UPPER(SUBSTITUTE($E1428," ","")))</f>
        <v/>
      </c>
      <c r="K1428" s="10" t="str">
        <f aca="false">IF($A1428="","",$G1428&amp;"|"&amp;$J1428)</f>
        <v/>
      </c>
      <c r="L1428" s="10" t="str">
        <f aca="false">IF($A1428="","",ROW()-2)</f>
        <v/>
      </c>
      <c r="M1428" s="10" t="str">
        <f aca="false">IF($A1428="","",ROW())</f>
        <v/>
      </c>
    </row>
    <row r="1429" customFormat="false" ht="15" hidden="false" customHeight="true" outlineLevel="0" collapsed="false">
      <c r="A1429" s="8"/>
      <c r="B1429" s="8"/>
      <c r="C1429" s="8"/>
      <c r="D1429" s="8"/>
      <c r="E1429" s="8"/>
      <c r="F1429" s="8"/>
      <c r="G1429" s="10" t="str">
        <f aca="false">IF($A1429="","",UPPER(SUBSTITUTE(SUBSTITUTE(SUBSTITUTE(SUBSTITUTE($A1429," ",""),"(주)",""),"주식회사",""),"㈜","")))</f>
        <v/>
      </c>
      <c r="H1429" s="10" t="str">
        <f aca="false">IF($B1429="","",SUBSTITUTE(SUBSTITUTE(SUBSTITUTE($B1429,"-","")," ",""),".",""))</f>
        <v/>
      </c>
      <c r="I1429" s="10" t="str">
        <f aca="false">IF($D1429="","",SUBSTITUTE(SUBSTITUTE(SUBSTITUTE($D1429,"-","")," ",""),".",""))</f>
        <v/>
      </c>
      <c r="J1429" s="10" t="str">
        <f aca="false">IF($E1429="","",UPPER(SUBSTITUTE($E1429," ","")))</f>
        <v/>
      </c>
      <c r="K1429" s="10" t="str">
        <f aca="false">IF($A1429="","",$G1429&amp;"|"&amp;$J1429)</f>
        <v/>
      </c>
      <c r="L1429" s="10" t="str">
        <f aca="false">IF($A1429="","",ROW()-2)</f>
        <v/>
      </c>
      <c r="M1429" s="10" t="str">
        <f aca="false">IF($A1429="","",ROW())</f>
        <v/>
      </c>
    </row>
    <row r="1430" customFormat="false" ht="15" hidden="false" customHeight="true" outlineLevel="0" collapsed="false">
      <c r="A1430" s="8"/>
      <c r="B1430" s="8"/>
      <c r="C1430" s="8"/>
      <c r="D1430" s="8"/>
      <c r="E1430" s="8"/>
      <c r="F1430" s="8"/>
      <c r="G1430" s="10" t="str">
        <f aca="false">IF($A1430="","",UPPER(SUBSTITUTE(SUBSTITUTE(SUBSTITUTE(SUBSTITUTE($A1430," ",""),"(주)",""),"주식회사",""),"㈜","")))</f>
        <v/>
      </c>
      <c r="H1430" s="10" t="str">
        <f aca="false">IF($B1430="","",SUBSTITUTE(SUBSTITUTE(SUBSTITUTE($B1430,"-","")," ",""),".",""))</f>
        <v/>
      </c>
      <c r="I1430" s="10" t="str">
        <f aca="false">IF($D1430="","",SUBSTITUTE(SUBSTITUTE(SUBSTITUTE($D1430,"-","")," ",""),".",""))</f>
        <v/>
      </c>
      <c r="J1430" s="10" t="str">
        <f aca="false">IF($E1430="","",UPPER(SUBSTITUTE($E1430," ","")))</f>
        <v/>
      </c>
      <c r="K1430" s="10" t="str">
        <f aca="false">IF($A1430="","",$G1430&amp;"|"&amp;$J1430)</f>
        <v/>
      </c>
      <c r="L1430" s="10" t="str">
        <f aca="false">IF($A1430="","",ROW()-2)</f>
        <v/>
      </c>
      <c r="M1430" s="10" t="str">
        <f aca="false">IF($A1430="","",ROW())</f>
        <v/>
      </c>
    </row>
    <row r="1431" customFormat="false" ht="15" hidden="false" customHeight="true" outlineLevel="0" collapsed="false">
      <c r="A1431" s="8"/>
      <c r="B1431" s="8"/>
      <c r="C1431" s="8"/>
      <c r="D1431" s="8"/>
      <c r="E1431" s="8"/>
      <c r="F1431" s="8"/>
      <c r="G1431" s="10" t="str">
        <f aca="false">IF($A1431="","",UPPER(SUBSTITUTE(SUBSTITUTE(SUBSTITUTE(SUBSTITUTE($A1431," ",""),"(주)",""),"주식회사",""),"㈜","")))</f>
        <v/>
      </c>
      <c r="H1431" s="10" t="str">
        <f aca="false">IF($B1431="","",SUBSTITUTE(SUBSTITUTE(SUBSTITUTE($B1431,"-","")," ",""),".",""))</f>
        <v/>
      </c>
      <c r="I1431" s="10" t="str">
        <f aca="false">IF($D1431="","",SUBSTITUTE(SUBSTITUTE(SUBSTITUTE($D1431,"-","")," ",""),".",""))</f>
        <v/>
      </c>
      <c r="J1431" s="10" t="str">
        <f aca="false">IF($E1431="","",UPPER(SUBSTITUTE($E1431," ","")))</f>
        <v/>
      </c>
      <c r="K1431" s="10" t="str">
        <f aca="false">IF($A1431="","",$G1431&amp;"|"&amp;$J1431)</f>
        <v/>
      </c>
      <c r="L1431" s="10" t="str">
        <f aca="false">IF($A1431="","",ROW()-2)</f>
        <v/>
      </c>
      <c r="M1431" s="10" t="str">
        <f aca="false">IF($A1431="","",ROW())</f>
        <v/>
      </c>
    </row>
    <row r="1432" customFormat="false" ht="15" hidden="false" customHeight="true" outlineLevel="0" collapsed="false">
      <c r="A1432" s="8"/>
      <c r="B1432" s="8"/>
      <c r="C1432" s="8"/>
      <c r="D1432" s="8"/>
      <c r="E1432" s="8"/>
      <c r="F1432" s="8"/>
      <c r="G1432" s="10" t="str">
        <f aca="false">IF($A1432="","",UPPER(SUBSTITUTE(SUBSTITUTE(SUBSTITUTE(SUBSTITUTE($A1432," ",""),"(주)",""),"주식회사",""),"㈜","")))</f>
        <v/>
      </c>
      <c r="H1432" s="10" t="str">
        <f aca="false">IF($B1432="","",SUBSTITUTE(SUBSTITUTE(SUBSTITUTE($B1432,"-","")," ",""),".",""))</f>
        <v/>
      </c>
      <c r="I1432" s="10" t="str">
        <f aca="false">IF($D1432="","",SUBSTITUTE(SUBSTITUTE(SUBSTITUTE($D1432,"-","")," ",""),".",""))</f>
        <v/>
      </c>
      <c r="J1432" s="10" t="str">
        <f aca="false">IF($E1432="","",UPPER(SUBSTITUTE($E1432," ","")))</f>
        <v/>
      </c>
      <c r="K1432" s="10" t="str">
        <f aca="false">IF($A1432="","",$G1432&amp;"|"&amp;$J1432)</f>
        <v/>
      </c>
      <c r="L1432" s="10" t="str">
        <f aca="false">IF($A1432="","",ROW()-2)</f>
        <v/>
      </c>
      <c r="M1432" s="10" t="str">
        <f aca="false">IF($A1432="","",ROW())</f>
        <v/>
      </c>
    </row>
    <row r="1433" customFormat="false" ht="15" hidden="false" customHeight="true" outlineLevel="0" collapsed="false">
      <c r="A1433" s="8"/>
      <c r="B1433" s="8"/>
      <c r="C1433" s="8"/>
      <c r="D1433" s="8"/>
      <c r="E1433" s="8"/>
      <c r="F1433" s="8"/>
      <c r="G1433" s="10" t="str">
        <f aca="false">IF($A1433="","",UPPER(SUBSTITUTE(SUBSTITUTE(SUBSTITUTE(SUBSTITUTE($A1433," ",""),"(주)",""),"주식회사",""),"㈜","")))</f>
        <v/>
      </c>
      <c r="H1433" s="10" t="str">
        <f aca="false">IF($B1433="","",SUBSTITUTE(SUBSTITUTE(SUBSTITUTE($B1433,"-","")," ",""),".",""))</f>
        <v/>
      </c>
      <c r="I1433" s="10" t="str">
        <f aca="false">IF($D1433="","",SUBSTITUTE(SUBSTITUTE(SUBSTITUTE($D1433,"-","")," ",""),".",""))</f>
        <v/>
      </c>
      <c r="J1433" s="10" t="str">
        <f aca="false">IF($E1433="","",UPPER(SUBSTITUTE($E1433," ","")))</f>
        <v/>
      </c>
      <c r="K1433" s="10" t="str">
        <f aca="false">IF($A1433="","",$G1433&amp;"|"&amp;$J1433)</f>
        <v/>
      </c>
      <c r="L1433" s="10" t="str">
        <f aca="false">IF($A1433="","",ROW()-2)</f>
        <v/>
      </c>
      <c r="M1433" s="10" t="str">
        <f aca="false">IF($A1433="","",ROW())</f>
        <v/>
      </c>
    </row>
    <row r="1434" customFormat="false" ht="15" hidden="false" customHeight="true" outlineLevel="0" collapsed="false">
      <c r="A1434" s="8"/>
      <c r="B1434" s="8"/>
      <c r="C1434" s="8"/>
      <c r="D1434" s="8"/>
      <c r="E1434" s="8"/>
      <c r="F1434" s="8"/>
      <c r="G1434" s="10" t="str">
        <f aca="false">IF($A1434="","",UPPER(SUBSTITUTE(SUBSTITUTE(SUBSTITUTE(SUBSTITUTE($A1434," ",""),"(주)",""),"주식회사",""),"㈜","")))</f>
        <v/>
      </c>
      <c r="H1434" s="10" t="str">
        <f aca="false">IF($B1434="","",SUBSTITUTE(SUBSTITUTE(SUBSTITUTE($B1434,"-","")," ",""),".",""))</f>
        <v/>
      </c>
      <c r="I1434" s="10" t="str">
        <f aca="false">IF($D1434="","",SUBSTITUTE(SUBSTITUTE(SUBSTITUTE($D1434,"-","")," ",""),".",""))</f>
        <v/>
      </c>
      <c r="J1434" s="10" t="str">
        <f aca="false">IF($E1434="","",UPPER(SUBSTITUTE($E1434," ","")))</f>
        <v/>
      </c>
      <c r="K1434" s="10" t="str">
        <f aca="false">IF($A1434="","",$G1434&amp;"|"&amp;$J1434)</f>
        <v/>
      </c>
      <c r="L1434" s="10" t="str">
        <f aca="false">IF($A1434="","",ROW()-2)</f>
        <v/>
      </c>
      <c r="M1434" s="10" t="str">
        <f aca="false">IF($A1434="","",ROW())</f>
        <v/>
      </c>
    </row>
    <row r="1435" customFormat="false" ht="15" hidden="false" customHeight="true" outlineLevel="0" collapsed="false">
      <c r="A1435" s="8"/>
      <c r="B1435" s="8"/>
      <c r="C1435" s="8"/>
      <c r="D1435" s="8"/>
      <c r="E1435" s="8"/>
      <c r="F1435" s="8"/>
      <c r="G1435" s="10" t="str">
        <f aca="false">IF($A1435="","",UPPER(SUBSTITUTE(SUBSTITUTE(SUBSTITUTE(SUBSTITUTE($A1435," ",""),"(주)",""),"주식회사",""),"㈜","")))</f>
        <v/>
      </c>
      <c r="H1435" s="10" t="str">
        <f aca="false">IF($B1435="","",SUBSTITUTE(SUBSTITUTE(SUBSTITUTE($B1435,"-","")," ",""),".",""))</f>
        <v/>
      </c>
      <c r="I1435" s="10" t="str">
        <f aca="false">IF($D1435="","",SUBSTITUTE(SUBSTITUTE(SUBSTITUTE($D1435,"-","")," ",""),".",""))</f>
        <v/>
      </c>
      <c r="J1435" s="10" t="str">
        <f aca="false">IF($E1435="","",UPPER(SUBSTITUTE($E1435," ","")))</f>
        <v/>
      </c>
      <c r="K1435" s="10" t="str">
        <f aca="false">IF($A1435="","",$G1435&amp;"|"&amp;$J1435)</f>
        <v/>
      </c>
      <c r="L1435" s="10" t="str">
        <f aca="false">IF($A1435="","",ROW()-2)</f>
        <v/>
      </c>
      <c r="M1435" s="10" t="str">
        <f aca="false">IF($A1435="","",ROW())</f>
        <v/>
      </c>
    </row>
    <row r="1436" customFormat="false" ht="15" hidden="false" customHeight="true" outlineLevel="0" collapsed="false">
      <c r="A1436" s="8"/>
      <c r="B1436" s="8"/>
      <c r="C1436" s="8"/>
      <c r="D1436" s="8"/>
      <c r="E1436" s="8"/>
      <c r="F1436" s="8"/>
      <c r="G1436" s="10" t="str">
        <f aca="false">IF($A1436="","",UPPER(SUBSTITUTE(SUBSTITUTE(SUBSTITUTE(SUBSTITUTE($A1436," ",""),"(주)",""),"주식회사",""),"㈜","")))</f>
        <v/>
      </c>
      <c r="H1436" s="10" t="str">
        <f aca="false">IF($B1436="","",SUBSTITUTE(SUBSTITUTE(SUBSTITUTE($B1436,"-","")," ",""),".",""))</f>
        <v/>
      </c>
      <c r="I1436" s="10" t="str">
        <f aca="false">IF($D1436="","",SUBSTITUTE(SUBSTITUTE(SUBSTITUTE($D1436,"-","")," ",""),".",""))</f>
        <v/>
      </c>
      <c r="J1436" s="10" t="str">
        <f aca="false">IF($E1436="","",UPPER(SUBSTITUTE($E1436," ","")))</f>
        <v/>
      </c>
      <c r="K1436" s="10" t="str">
        <f aca="false">IF($A1436="","",$G1436&amp;"|"&amp;$J1436)</f>
        <v/>
      </c>
      <c r="L1436" s="10" t="str">
        <f aca="false">IF($A1436="","",ROW()-2)</f>
        <v/>
      </c>
      <c r="M1436" s="10" t="str">
        <f aca="false">IF($A1436="","",ROW())</f>
        <v/>
      </c>
    </row>
    <row r="1437" customFormat="false" ht="15" hidden="false" customHeight="true" outlineLevel="0" collapsed="false">
      <c r="A1437" s="8"/>
      <c r="B1437" s="8"/>
      <c r="C1437" s="8"/>
      <c r="D1437" s="8"/>
      <c r="E1437" s="8"/>
      <c r="F1437" s="8"/>
      <c r="G1437" s="10" t="str">
        <f aca="false">IF($A1437="","",UPPER(SUBSTITUTE(SUBSTITUTE(SUBSTITUTE(SUBSTITUTE($A1437," ",""),"(주)",""),"주식회사",""),"㈜","")))</f>
        <v/>
      </c>
      <c r="H1437" s="10" t="str">
        <f aca="false">IF($B1437="","",SUBSTITUTE(SUBSTITUTE(SUBSTITUTE($B1437,"-","")," ",""),".",""))</f>
        <v/>
      </c>
      <c r="I1437" s="10" t="str">
        <f aca="false">IF($D1437="","",SUBSTITUTE(SUBSTITUTE(SUBSTITUTE($D1437,"-","")," ",""),".",""))</f>
        <v/>
      </c>
      <c r="J1437" s="10" t="str">
        <f aca="false">IF($E1437="","",UPPER(SUBSTITUTE($E1437," ","")))</f>
        <v/>
      </c>
      <c r="K1437" s="10" t="str">
        <f aca="false">IF($A1437="","",$G1437&amp;"|"&amp;$J1437)</f>
        <v/>
      </c>
      <c r="L1437" s="10" t="str">
        <f aca="false">IF($A1437="","",ROW()-2)</f>
        <v/>
      </c>
      <c r="M1437" s="10" t="str">
        <f aca="false">IF($A1437="","",ROW())</f>
        <v/>
      </c>
    </row>
    <row r="1438" customFormat="false" ht="15" hidden="false" customHeight="true" outlineLevel="0" collapsed="false">
      <c r="A1438" s="8"/>
      <c r="B1438" s="8"/>
      <c r="C1438" s="8"/>
      <c r="D1438" s="8"/>
      <c r="E1438" s="8"/>
      <c r="F1438" s="8"/>
      <c r="G1438" s="10" t="str">
        <f aca="false">IF($A1438="","",UPPER(SUBSTITUTE(SUBSTITUTE(SUBSTITUTE(SUBSTITUTE($A1438," ",""),"(주)",""),"주식회사",""),"㈜","")))</f>
        <v/>
      </c>
      <c r="H1438" s="10" t="str">
        <f aca="false">IF($B1438="","",SUBSTITUTE(SUBSTITUTE(SUBSTITUTE($B1438,"-","")," ",""),".",""))</f>
        <v/>
      </c>
      <c r="I1438" s="10" t="str">
        <f aca="false">IF($D1438="","",SUBSTITUTE(SUBSTITUTE(SUBSTITUTE($D1438,"-","")," ",""),".",""))</f>
        <v/>
      </c>
      <c r="J1438" s="10" t="str">
        <f aca="false">IF($E1438="","",UPPER(SUBSTITUTE($E1438," ","")))</f>
        <v/>
      </c>
      <c r="K1438" s="10" t="str">
        <f aca="false">IF($A1438="","",$G1438&amp;"|"&amp;$J1438)</f>
        <v/>
      </c>
      <c r="L1438" s="10" t="str">
        <f aca="false">IF($A1438="","",ROW()-2)</f>
        <v/>
      </c>
      <c r="M1438" s="10" t="str">
        <f aca="false">IF($A1438="","",ROW())</f>
        <v/>
      </c>
    </row>
    <row r="1439" customFormat="false" ht="15" hidden="false" customHeight="true" outlineLevel="0" collapsed="false">
      <c r="A1439" s="8"/>
      <c r="B1439" s="8"/>
      <c r="C1439" s="8"/>
      <c r="D1439" s="8"/>
      <c r="E1439" s="8"/>
      <c r="F1439" s="8"/>
      <c r="G1439" s="10" t="str">
        <f aca="false">IF($A1439="","",UPPER(SUBSTITUTE(SUBSTITUTE(SUBSTITUTE(SUBSTITUTE($A1439," ",""),"(주)",""),"주식회사",""),"㈜","")))</f>
        <v/>
      </c>
      <c r="H1439" s="10" t="str">
        <f aca="false">IF($B1439="","",SUBSTITUTE(SUBSTITUTE(SUBSTITUTE($B1439,"-","")," ",""),".",""))</f>
        <v/>
      </c>
      <c r="I1439" s="10" t="str">
        <f aca="false">IF($D1439="","",SUBSTITUTE(SUBSTITUTE(SUBSTITUTE($D1439,"-","")," ",""),".",""))</f>
        <v/>
      </c>
      <c r="J1439" s="10" t="str">
        <f aca="false">IF($E1439="","",UPPER(SUBSTITUTE($E1439," ","")))</f>
        <v/>
      </c>
      <c r="K1439" s="10" t="str">
        <f aca="false">IF($A1439="","",$G1439&amp;"|"&amp;$J1439)</f>
        <v/>
      </c>
      <c r="L1439" s="10" t="str">
        <f aca="false">IF($A1439="","",ROW()-2)</f>
        <v/>
      </c>
      <c r="M1439" s="10" t="str">
        <f aca="false">IF($A1439="","",ROW())</f>
        <v/>
      </c>
    </row>
    <row r="1440" customFormat="false" ht="15" hidden="false" customHeight="true" outlineLevel="0" collapsed="false">
      <c r="A1440" s="8"/>
      <c r="B1440" s="8"/>
      <c r="C1440" s="8"/>
      <c r="D1440" s="8"/>
      <c r="E1440" s="8"/>
      <c r="F1440" s="8"/>
      <c r="G1440" s="10" t="str">
        <f aca="false">IF($A1440="","",UPPER(SUBSTITUTE(SUBSTITUTE(SUBSTITUTE(SUBSTITUTE($A1440," ",""),"(주)",""),"주식회사",""),"㈜","")))</f>
        <v/>
      </c>
      <c r="H1440" s="10" t="str">
        <f aca="false">IF($B1440="","",SUBSTITUTE(SUBSTITUTE(SUBSTITUTE($B1440,"-","")," ",""),".",""))</f>
        <v/>
      </c>
      <c r="I1440" s="10" t="str">
        <f aca="false">IF($D1440="","",SUBSTITUTE(SUBSTITUTE(SUBSTITUTE($D1440,"-","")," ",""),".",""))</f>
        <v/>
      </c>
      <c r="J1440" s="10" t="str">
        <f aca="false">IF($E1440="","",UPPER(SUBSTITUTE($E1440," ","")))</f>
        <v/>
      </c>
      <c r="K1440" s="10" t="str">
        <f aca="false">IF($A1440="","",$G1440&amp;"|"&amp;$J1440)</f>
        <v/>
      </c>
      <c r="L1440" s="10" t="str">
        <f aca="false">IF($A1440="","",ROW()-2)</f>
        <v/>
      </c>
      <c r="M1440" s="10" t="str">
        <f aca="false">IF($A1440="","",ROW())</f>
        <v/>
      </c>
    </row>
    <row r="1441" customFormat="false" ht="15" hidden="false" customHeight="true" outlineLevel="0" collapsed="false">
      <c r="A1441" s="8"/>
      <c r="B1441" s="8"/>
      <c r="C1441" s="8"/>
      <c r="D1441" s="8"/>
      <c r="E1441" s="8"/>
      <c r="F1441" s="8"/>
      <c r="G1441" s="10" t="str">
        <f aca="false">IF($A1441="","",UPPER(SUBSTITUTE(SUBSTITUTE(SUBSTITUTE(SUBSTITUTE($A1441," ",""),"(주)",""),"주식회사",""),"㈜","")))</f>
        <v/>
      </c>
      <c r="H1441" s="10" t="str">
        <f aca="false">IF($B1441="","",SUBSTITUTE(SUBSTITUTE(SUBSTITUTE($B1441,"-","")," ",""),".",""))</f>
        <v/>
      </c>
      <c r="I1441" s="10" t="str">
        <f aca="false">IF($D1441="","",SUBSTITUTE(SUBSTITUTE(SUBSTITUTE($D1441,"-","")," ",""),".",""))</f>
        <v/>
      </c>
      <c r="J1441" s="10" t="str">
        <f aca="false">IF($E1441="","",UPPER(SUBSTITUTE($E1441," ","")))</f>
        <v/>
      </c>
      <c r="K1441" s="10" t="str">
        <f aca="false">IF($A1441="","",$G1441&amp;"|"&amp;$J1441)</f>
        <v/>
      </c>
      <c r="L1441" s="10" t="str">
        <f aca="false">IF($A1441="","",ROW()-2)</f>
        <v/>
      </c>
      <c r="M1441" s="10" t="str">
        <f aca="false">IF($A1441="","",ROW())</f>
        <v/>
      </c>
    </row>
    <row r="1442" customFormat="false" ht="15" hidden="false" customHeight="true" outlineLevel="0" collapsed="false">
      <c r="A1442" s="8"/>
      <c r="B1442" s="8"/>
      <c r="C1442" s="8"/>
      <c r="D1442" s="8"/>
      <c r="E1442" s="8"/>
      <c r="F1442" s="8"/>
      <c r="G1442" s="10" t="str">
        <f aca="false">IF($A1442="","",UPPER(SUBSTITUTE(SUBSTITUTE(SUBSTITUTE(SUBSTITUTE($A1442," ",""),"(주)",""),"주식회사",""),"㈜","")))</f>
        <v/>
      </c>
      <c r="H1442" s="10" t="str">
        <f aca="false">IF($B1442="","",SUBSTITUTE(SUBSTITUTE(SUBSTITUTE($B1442,"-","")," ",""),".",""))</f>
        <v/>
      </c>
      <c r="I1442" s="10" t="str">
        <f aca="false">IF($D1442="","",SUBSTITUTE(SUBSTITUTE(SUBSTITUTE($D1442,"-","")," ",""),".",""))</f>
        <v/>
      </c>
      <c r="J1442" s="10" t="str">
        <f aca="false">IF($E1442="","",UPPER(SUBSTITUTE($E1442," ","")))</f>
        <v/>
      </c>
      <c r="K1442" s="10" t="str">
        <f aca="false">IF($A1442="","",$G1442&amp;"|"&amp;$J1442)</f>
        <v/>
      </c>
      <c r="L1442" s="10" t="str">
        <f aca="false">IF($A1442="","",ROW()-2)</f>
        <v/>
      </c>
      <c r="M1442" s="10" t="str">
        <f aca="false">IF($A1442="","",ROW())</f>
        <v/>
      </c>
    </row>
    <row r="1443" customFormat="false" ht="15" hidden="false" customHeight="true" outlineLevel="0" collapsed="false">
      <c r="A1443" s="8"/>
      <c r="B1443" s="8"/>
      <c r="C1443" s="8"/>
      <c r="D1443" s="8"/>
      <c r="E1443" s="8"/>
      <c r="F1443" s="8"/>
      <c r="G1443" s="10" t="str">
        <f aca="false">IF($A1443="","",UPPER(SUBSTITUTE(SUBSTITUTE(SUBSTITUTE(SUBSTITUTE($A1443," ",""),"(주)",""),"주식회사",""),"㈜","")))</f>
        <v/>
      </c>
      <c r="H1443" s="10" t="str">
        <f aca="false">IF($B1443="","",SUBSTITUTE(SUBSTITUTE(SUBSTITUTE($B1443,"-","")," ",""),".",""))</f>
        <v/>
      </c>
      <c r="I1443" s="10" t="str">
        <f aca="false">IF($D1443="","",SUBSTITUTE(SUBSTITUTE(SUBSTITUTE($D1443,"-","")," ",""),".",""))</f>
        <v/>
      </c>
      <c r="J1443" s="10" t="str">
        <f aca="false">IF($E1443="","",UPPER(SUBSTITUTE($E1443," ","")))</f>
        <v/>
      </c>
      <c r="K1443" s="10" t="str">
        <f aca="false">IF($A1443="","",$G1443&amp;"|"&amp;$J1443)</f>
        <v/>
      </c>
      <c r="L1443" s="10" t="str">
        <f aca="false">IF($A1443="","",ROW()-2)</f>
        <v/>
      </c>
      <c r="M1443" s="10" t="str">
        <f aca="false">IF($A1443="","",ROW())</f>
        <v/>
      </c>
    </row>
    <row r="1444" customFormat="false" ht="15" hidden="false" customHeight="true" outlineLevel="0" collapsed="false">
      <c r="A1444" s="8"/>
      <c r="B1444" s="8"/>
      <c r="C1444" s="8"/>
      <c r="D1444" s="8"/>
      <c r="E1444" s="8"/>
      <c r="F1444" s="8"/>
      <c r="G1444" s="10" t="str">
        <f aca="false">IF($A1444="","",UPPER(SUBSTITUTE(SUBSTITUTE(SUBSTITUTE(SUBSTITUTE($A1444," ",""),"(주)",""),"주식회사",""),"㈜","")))</f>
        <v/>
      </c>
      <c r="H1444" s="10" t="str">
        <f aca="false">IF($B1444="","",SUBSTITUTE(SUBSTITUTE(SUBSTITUTE($B1444,"-","")," ",""),".",""))</f>
        <v/>
      </c>
      <c r="I1444" s="10" t="str">
        <f aca="false">IF($D1444="","",SUBSTITUTE(SUBSTITUTE(SUBSTITUTE($D1444,"-","")," ",""),".",""))</f>
        <v/>
      </c>
      <c r="J1444" s="10" t="str">
        <f aca="false">IF($E1444="","",UPPER(SUBSTITUTE($E1444," ","")))</f>
        <v/>
      </c>
      <c r="K1444" s="10" t="str">
        <f aca="false">IF($A1444="","",$G1444&amp;"|"&amp;$J1444)</f>
        <v/>
      </c>
      <c r="L1444" s="10" t="str">
        <f aca="false">IF($A1444="","",ROW()-2)</f>
        <v/>
      </c>
      <c r="M1444" s="10" t="str">
        <f aca="false">IF($A1444="","",ROW())</f>
        <v/>
      </c>
    </row>
    <row r="1445" customFormat="false" ht="15" hidden="false" customHeight="true" outlineLevel="0" collapsed="false">
      <c r="A1445" s="8"/>
      <c r="B1445" s="8"/>
      <c r="C1445" s="8"/>
      <c r="D1445" s="8"/>
      <c r="E1445" s="8"/>
      <c r="F1445" s="8"/>
      <c r="G1445" s="10" t="str">
        <f aca="false">IF($A1445="","",UPPER(SUBSTITUTE(SUBSTITUTE(SUBSTITUTE(SUBSTITUTE($A1445," ",""),"(주)",""),"주식회사",""),"㈜","")))</f>
        <v/>
      </c>
      <c r="H1445" s="10" t="str">
        <f aca="false">IF($B1445="","",SUBSTITUTE(SUBSTITUTE(SUBSTITUTE($B1445,"-","")," ",""),".",""))</f>
        <v/>
      </c>
      <c r="I1445" s="10" t="str">
        <f aca="false">IF($D1445="","",SUBSTITUTE(SUBSTITUTE(SUBSTITUTE($D1445,"-","")," ",""),".",""))</f>
        <v/>
      </c>
      <c r="J1445" s="10" t="str">
        <f aca="false">IF($E1445="","",UPPER(SUBSTITUTE($E1445," ","")))</f>
        <v/>
      </c>
      <c r="K1445" s="10" t="str">
        <f aca="false">IF($A1445="","",$G1445&amp;"|"&amp;$J1445)</f>
        <v/>
      </c>
      <c r="L1445" s="10" t="str">
        <f aca="false">IF($A1445="","",ROW()-2)</f>
        <v/>
      </c>
      <c r="M1445" s="10" t="str">
        <f aca="false">IF($A1445="","",ROW())</f>
        <v/>
      </c>
    </row>
    <row r="1446" customFormat="false" ht="15" hidden="false" customHeight="true" outlineLevel="0" collapsed="false">
      <c r="A1446" s="8"/>
      <c r="B1446" s="8"/>
      <c r="C1446" s="8"/>
      <c r="D1446" s="8"/>
      <c r="E1446" s="8"/>
      <c r="F1446" s="8"/>
      <c r="G1446" s="10" t="str">
        <f aca="false">IF($A1446="","",UPPER(SUBSTITUTE(SUBSTITUTE(SUBSTITUTE(SUBSTITUTE($A1446," ",""),"(주)",""),"주식회사",""),"㈜","")))</f>
        <v/>
      </c>
      <c r="H1446" s="10" t="str">
        <f aca="false">IF($B1446="","",SUBSTITUTE(SUBSTITUTE(SUBSTITUTE($B1446,"-","")," ",""),".",""))</f>
        <v/>
      </c>
      <c r="I1446" s="10" t="str">
        <f aca="false">IF($D1446="","",SUBSTITUTE(SUBSTITUTE(SUBSTITUTE($D1446,"-","")," ",""),".",""))</f>
        <v/>
      </c>
      <c r="J1446" s="10" t="str">
        <f aca="false">IF($E1446="","",UPPER(SUBSTITUTE($E1446," ","")))</f>
        <v/>
      </c>
      <c r="K1446" s="10" t="str">
        <f aca="false">IF($A1446="","",$G1446&amp;"|"&amp;$J1446)</f>
        <v/>
      </c>
      <c r="L1446" s="10" t="str">
        <f aca="false">IF($A1446="","",ROW()-2)</f>
        <v/>
      </c>
      <c r="M1446" s="10" t="str">
        <f aca="false">IF($A1446="","",ROW())</f>
        <v/>
      </c>
    </row>
    <row r="1447" customFormat="false" ht="15" hidden="false" customHeight="true" outlineLevel="0" collapsed="false">
      <c r="A1447" s="8"/>
      <c r="B1447" s="8"/>
      <c r="C1447" s="8"/>
      <c r="D1447" s="8"/>
      <c r="E1447" s="8"/>
      <c r="F1447" s="8"/>
      <c r="G1447" s="10" t="str">
        <f aca="false">IF($A1447="","",UPPER(SUBSTITUTE(SUBSTITUTE(SUBSTITUTE(SUBSTITUTE($A1447," ",""),"(주)",""),"주식회사",""),"㈜","")))</f>
        <v/>
      </c>
      <c r="H1447" s="10" t="str">
        <f aca="false">IF($B1447="","",SUBSTITUTE(SUBSTITUTE(SUBSTITUTE($B1447,"-","")," ",""),".",""))</f>
        <v/>
      </c>
      <c r="I1447" s="10" t="str">
        <f aca="false">IF($D1447="","",SUBSTITUTE(SUBSTITUTE(SUBSTITUTE($D1447,"-","")," ",""),".",""))</f>
        <v/>
      </c>
      <c r="J1447" s="10" t="str">
        <f aca="false">IF($E1447="","",UPPER(SUBSTITUTE($E1447," ","")))</f>
        <v/>
      </c>
      <c r="K1447" s="10" t="str">
        <f aca="false">IF($A1447="","",$G1447&amp;"|"&amp;$J1447)</f>
        <v/>
      </c>
      <c r="L1447" s="10" t="str">
        <f aca="false">IF($A1447="","",ROW()-2)</f>
        <v/>
      </c>
      <c r="M1447" s="10" t="str">
        <f aca="false">IF($A1447="","",ROW())</f>
        <v/>
      </c>
    </row>
    <row r="1448" customFormat="false" ht="15" hidden="false" customHeight="true" outlineLevel="0" collapsed="false">
      <c r="A1448" s="8"/>
      <c r="B1448" s="8"/>
      <c r="C1448" s="8"/>
      <c r="D1448" s="8"/>
      <c r="E1448" s="8"/>
      <c r="F1448" s="8"/>
      <c r="G1448" s="10" t="str">
        <f aca="false">IF($A1448="","",UPPER(SUBSTITUTE(SUBSTITUTE(SUBSTITUTE(SUBSTITUTE($A1448," ",""),"(주)",""),"주식회사",""),"㈜","")))</f>
        <v/>
      </c>
      <c r="H1448" s="10" t="str">
        <f aca="false">IF($B1448="","",SUBSTITUTE(SUBSTITUTE(SUBSTITUTE($B1448,"-","")," ",""),".",""))</f>
        <v/>
      </c>
      <c r="I1448" s="10" t="str">
        <f aca="false">IF($D1448="","",SUBSTITUTE(SUBSTITUTE(SUBSTITUTE($D1448,"-","")," ",""),".",""))</f>
        <v/>
      </c>
      <c r="J1448" s="10" t="str">
        <f aca="false">IF($E1448="","",UPPER(SUBSTITUTE($E1448," ","")))</f>
        <v/>
      </c>
      <c r="K1448" s="10" t="str">
        <f aca="false">IF($A1448="","",$G1448&amp;"|"&amp;$J1448)</f>
        <v/>
      </c>
      <c r="L1448" s="10" t="str">
        <f aca="false">IF($A1448="","",ROW()-2)</f>
        <v/>
      </c>
      <c r="M1448" s="10" t="str">
        <f aca="false">IF($A1448="","",ROW())</f>
        <v/>
      </c>
    </row>
    <row r="1449" customFormat="false" ht="15" hidden="false" customHeight="true" outlineLevel="0" collapsed="false">
      <c r="A1449" s="8"/>
      <c r="B1449" s="8"/>
      <c r="C1449" s="8"/>
      <c r="D1449" s="8"/>
      <c r="E1449" s="8"/>
      <c r="F1449" s="8"/>
      <c r="G1449" s="10" t="str">
        <f aca="false">IF($A1449="","",UPPER(SUBSTITUTE(SUBSTITUTE(SUBSTITUTE(SUBSTITUTE($A1449," ",""),"(주)",""),"주식회사",""),"㈜","")))</f>
        <v/>
      </c>
      <c r="H1449" s="10" t="str">
        <f aca="false">IF($B1449="","",SUBSTITUTE(SUBSTITUTE(SUBSTITUTE($B1449,"-","")," ",""),".",""))</f>
        <v/>
      </c>
      <c r="I1449" s="10" t="str">
        <f aca="false">IF($D1449="","",SUBSTITUTE(SUBSTITUTE(SUBSTITUTE($D1449,"-","")," ",""),".",""))</f>
        <v/>
      </c>
      <c r="J1449" s="10" t="str">
        <f aca="false">IF($E1449="","",UPPER(SUBSTITUTE($E1449," ","")))</f>
        <v/>
      </c>
      <c r="K1449" s="10" t="str">
        <f aca="false">IF($A1449="","",$G1449&amp;"|"&amp;$J1449)</f>
        <v/>
      </c>
      <c r="L1449" s="10" t="str">
        <f aca="false">IF($A1449="","",ROW()-2)</f>
        <v/>
      </c>
      <c r="M1449" s="10" t="str">
        <f aca="false">IF($A1449="","",ROW())</f>
        <v/>
      </c>
    </row>
    <row r="1450" customFormat="false" ht="15" hidden="false" customHeight="true" outlineLevel="0" collapsed="false">
      <c r="A1450" s="8"/>
      <c r="B1450" s="8"/>
      <c r="C1450" s="8"/>
      <c r="D1450" s="8"/>
      <c r="E1450" s="8"/>
      <c r="F1450" s="8"/>
      <c r="G1450" s="10" t="str">
        <f aca="false">IF($A1450="","",UPPER(SUBSTITUTE(SUBSTITUTE(SUBSTITUTE(SUBSTITUTE($A1450," ",""),"(주)",""),"주식회사",""),"㈜","")))</f>
        <v/>
      </c>
      <c r="H1450" s="10" t="str">
        <f aca="false">IF($B1450="","",SUBSTITUTE(SUBSTITUTE(SUBSTITUTE($B1450,"-","")," ",""),".",""))</f>
        <v/>
      </c>
      <c r="I1450" s="10" t="str">
        <f aca="false">IF($D1450="","",SUBSTITUTE(SUBSTITUTE(SUBSTITUTE($D1450,"-","")," ",""),".",""))</f>
        <v/>
      </c>
      <c r="J1450" s="10" t="str">
        <f aca="false">IF($E1450="","",UPPER(SUBSTITUTE($E1450," ","")))</f>
        <v/>
      </c>
      <c r="K1450" s="10" t="str">
        <f aca="false">IF($A1450="","",$G1450&amp;"|"&amp;$J1450)</f>
        <v/>
      </c>
      <c r="L1450" s="10" t="str">
        <f aca="false">IF($A1450="","",ROW()-2)</f>
        <v/>
      </c>
      <c r="M1450" s="10" t="str">
        <f aca="false">IF($A1450="","",ROW())</f>
        <v/>
      </c>
    </row>
    <row r="1451" customFormat="false" ht="15" hidden="false" customHeight="true" outlineLevel="0" collapsed="false">
      <c r="A1451" s="8"/>
      <c r="B1451" s="8"/>
      <c r="C1451" s="8"/>
      <c r="D1451" s="8"/>
      <c r="E1451" s="8"/>
      <c r="F1451" s="8"/>
      <c r="G1451" s="10" t="str">
        <f aca="false">IF($A1451="","",UPPER(SUBSTITUTE(SUBSTITUTE(SUBSTITUTE(SUBSTITUTE($A1451," ",""),"(주)",""),"주식회사",""),"㈜","")))</f>
        <v/>
      </c>
      <c r="H1451" s="10" t="str">
        <f aca="false">IF($B1451="","",SUBSTITUTE(SUBSTITUTE(SUBSTITUTE($B1451,"-","")," ",""),".",""))</f>
        <v/>
      </c>
      <c r="I1451" s="10" t="str">
        <f aca="false">IF($D1451="","",SUBSTITUTE(SUBSTITUTE(SUBSTITUTE($D1451,"-","")," ",""),".",""))</f>
        <v/>
      </c>
      <c r="J1451" s="10" t="str">
        <f aca="false">IF($E1451="","",UPPER(SUBSTITUTE($E1451," ","")))</f>
        <v/>
      </c>
      <c r="K1451" s="10" t="str">
        <f aca="false">IF($A1451="","",$G1451&amp;"|"&amp;$J1451)</f>
        <v/>
      </c>
      <c r="L1451" s="10" t="str">
        <f aca="false">IF($A1451="","",ROW()-2)</f>
        <v/>
      </c>
      <c r="M1451" s="10" t="str">
        <f aca="false">IF($A1451="","",ROW())</f>
        <v/>
      </c>
    </row>
    <row r="1452" customFormat="false" ht="15" hidden="false" customHeight="true" outlineLevel="0" collapsed="false">
      <c r="A1452" s="8"/>
      <c r="B1452" s="8"/>
      <c r="C1452" s="8"/>
      <c r="D1452" s="8"/>
      <c r="E1452" s="8"/>
      <c r="F1452" s="8"/>
      <c r="G1452" s="10" t="str">
        <f aca="false">IF($A1452="","",UPPER(SUBSTITUTE(SUBSTITUTE(SUBSTITUTE(SUBSTITUTE($A1452," ",""),"(주)",""),"주식회사",""),"㈜","")))</f>
        <v/>
      </c>
      <c r="H1452" s="10" t="str">
        <f aca="false">IF($B1452="","",SUBSTITUTE(SUBSTITUTE(SUBSTITUTE($B1452,"-","")," ",""),".",""))</f>
        <v/>
      </c>
      <c r="I1452" s="10" t="str">
        <f aca="false">IF($D1452="","",SUBSTITUTE(SUBSTITUTE(SUBSTITUTE($D1452,"-","")," ",""),".",""))</f>
        <v/>
      </c>
      <c r="J1452" s="10" t="str">
        <f aca="false">IF($E1452="","",UPPER(SUBSTITUTE($E1452," ","")))</f>
        <v/>
      </c>
      <c r="K1452" s="10" t="str">
        <f aca="false">IF($A1452="","",$G1452&amp;"|"&amp;$J1452)</f>
        <v/>
      </c>
      <c r="L1452" s="10" t="str">
        <f aca="false">IF($A1452="","",ROW()-2)</f>
        <v/>
      </c>
      <c r="M1452" s="10" t="str">
        <f aca="false">IF($A1452="","",ROW())</f>
        <v/>
      </c>
    </row>
    <row r="1453" customFormat="false" ht="15" hidden="false" customHeight="true" outlineLevel="0" collapsed="false">
      <c r="A1453" s="8"/>
      <c r="B1453" s="8"/>
      <c r="C1453" s="8"/>
      <c r="D1453" s="8"/>
      <c r="E1453" s="8"/>
      <c r="F1453" s="8"/>
      <c r="G1453" s="10" t="str">
        <f aca="false">IF($A1453="","",UPPER(SUBSTITUTE(SUBSTITUTE(SUBSTITUTE(SUBSTITUTE($A1453," ",""),"(주)",""),"주식회사",""),"㈜","")))</f>
        <v/>
      </c>
      <c r="H1453" s="10" t="str">
        <f aca="false">IF($B1453="","",SUBSTITUTE(SUBSTITUTE(SUBSTITUTE($B1453,"-","")," ",""),".",""))</f>
        <v/>
      </c>
      <c r="I1453" s="10" t="str">
        <f aca="false">IF($D1453="","",SUBSTITUTE(SUBSTITUTE(SUBSTITUTE($D1453,"-","")," ",""),".",""))</f>
        <v/>
      </c>
      <c r="J1453" s="10" t="str">
        <f aca="false">IF($E1453="","",UPPER(SUBSTITUTE($E1453," ","")))</f>
        <v/>
      </c>
      <c r="K1453" s="10" t="str">
        <f aca="false">IF($A1453="","",$G1453&amp;"|"&amp;$J1453)</f>
        <v/>
      </c>
      <c r="L1453" s="10" t="str">
        <f aca="false">IF($A1453="","",ROW()-2)</f>
        <v/>
      </c>
      <c r="M1453" s="10" t="str">
        <f aca="false">IF($A1453="","",ROW())</f>
        <v/>
      </c>
    </row>
    <row r="1454" customFormat="false" ht="15" hidden="false" customHeight="true" outlineLevel="0" collapsed="false">
      <c r="A1454" s="8"/>
      <c r="B1454" s="8"/>
      <c r="C1454" s="8"/>
      <c r="D1454" s="8"/>
      <c r="E1454" s="8"/>
      <c r="F1454" s="8"/>
      <c r="G1454" s="10" t="str">
        <f aca="false">IF($A1454="","",UPPER(SUBSTITUTE(SUBSTITUTE(SUBSTITUTE(SUBSTITUTE($A1454," ",""),"(주)",""),"주식회사",""),"㈜","")))</f>
        <v/>
      </c>
      <c r="H1454" s="10" t="str">
        <f aca="false">IF($B1454="","",SUBSTITUTE(SUBSTITUTE(SUBSTITUTE($B1454,"-","")," ",""),".",""))</f>
        <v/>
      </c>
      <c r="I1454" s="10" t="str">
        <f aca="false">IF($D1454="","",SUBSTITUTE(SUBSTITUTE(SUBSTITUTE($D1454,"-","")," ",""),".",""))</f>
        <v/>
      </c>
      <c r="J1454" s="10" t="str">
        <f aca="false">IF($E1454="","",UPPER(SUBSTITUTE($E1454," ","")))</f>
        <v/>
      </c>
      <c r="K1454" s="10" t="str">
        <f aca="false">IF($A1454="","",$G1454&amp;"|"&amp;$J1454)</f>
        <v/>
      </c>
      <c r="L1454" s="10" t="str">
        <f aca="false">IF($A1454="","",ROW()-2)</f>
        <v/>
      </c>
      <c r="M1454" s="10" t="str">
        <f aca="false">IF($A1454="","",ROW())</f>
        <v/>
      </c>
    </row>
    <row r="1455" customFormat="false" ht="15" hidden="false" customHeight="true" outlineLevel="0" collapsed="false">
      <c r="A1455" s="8"/>
      <c r="B1455" s="8"/>
      <c r="C1455" s="8"/>
      <c r="D1455" s="8"/>
      <c r="E1455" s="8"/>
      <c r="F1455" s="8"/>
      <c r="G1455" s="10" t="str">
        <f aca="false">IF($A1455="","",UPPER(SUBSTITUTE(SUBSTITUTE(SUBSTITUTE(SUBSTITUTE($A1455," ",""),"(주)",""),"주식회사",""),"㈜","")))</f>
        <v/>
      </c>
      <c r="H1455" s="10" t="str">
        <f aca="false">IF($B1455="","",SUBSTITUTE(SUBSTITUTE(SUBSTITUTE($B1455,"-","")," ",""),".",""))</f>
        <v/>
      </c>
      <c r="I1455" s="10" t="str">
        <f aca="false">IF($D1455="","",SUBSTITUTE(SUBSTITUTE(SUBSTITUTE($D1455,"-","")," ",""),".",""))</f>
        <v/>
      </c>
      <c r="J1455" s="10" t="str">
        <f aca="false">IF($E1455="","",UPPER(SUBSTITUTE($E1455," ","")))</f>
        <v/>
      </c>
      <c r="K1455" s="10" t="str">
        <f aca="false">IF($A1455="","",$G1455&amp;"|"&amp;$J1455)</f>
        <v/>
      </c>
      <c r="L1455" s="10" t="str">
        <f aca="false">IF($A1455="","",ROW()-2)</f>
        <v/>
      </c>
      <c r="M1455" s="10" t="str">
        <f aca="false">IF($A1455="","",ROW())</f>
        <v/>
      </c>
    </row>
    <row r="1456" customFormat="false" ht="15" hidden="false" customHeight="true" outlineLevel="0" collapsed="false">
      <c r="A1456" s="8"/>
      <c r="B1456" s="8"/>
      <c r="C1456" s="8"/>
      <c r="D1456" s="8"/>
      <c r="E1456" s="8"/>
      <c r="F1456" s="8"/>
      <c r="G1456" s="10" t="str">
        <f aca="false">IF($A1456="","",UPPER(SUBSTITUTE(SUBSTITUTE(SUBSTITUTE(SUBSTITUTE($A1456," ",""),"(주)",""),"주식회사",""),"㈜","")))</f>
        <v/>
      </c>
      <c r="H1456" s="10" t="str">
        <f aca="false">IF($B1456="","",SUBSTITUTE(SUBSTITUTE(SUBSTITUTE($B1456,"-","")," ",""),".",""))</f>
        <v/>
      </c>
      <c r="I1456" s="10" t="str">
        <f aca="false">IF($D1456="","",SUBSTITUTE(SUBSTITUTE(SUBSTITUTE($D1456,"-","")," ",""),".",""))</f>
        <v/>
      </c>
      <c r="J1456" s="10" t="str">
        <f aca="false">IF($E1456="","",UPPER(SUBSTITUTE($E1456," ","")))</f>
        <v/>
      </c>
      <c r="K1456" s="10" t="str">
        <f aca="false">IF($A1456="","",$G1456&amp;"|"&amp;$J1456)</f>
        <v/>
      </c>
      <c r="L1456" s="10" t="str">
        <f aca="false">IF($A1456="","",ROW()-2)</f>
        <v/>
      </c>
      <c r="M1456" s="10" t="str">
        <f aca="false">IF($A1456="","",ROW())</f>
        <v/>
      </c>
    </row>
    <row r="1457" customFormat="false" ht="15" hidden="false" customHeight="true" outlineLevel="0" collapsed="false">
      <c r="A1457" s="8"/>
      <c r="B1457" s="8"/>
      <c r="C1457" s="8"/>
      <c r="D1457" s="8"/>
      <c r="E1457" s="8"/>
      <c r="F1457" s="8"/>
      <c r="G1457" s="10" t="str">
        <f aca="false">IF($A1457="","",UPPER(SUBSTITUTE(SUBSTITUTE(SUBSTITUTE(SUBSTITUTE($A1457," ",""),"(주)",""),"주식회사",""),"㈜","")))</f>
        <v/>
      </c>
      <c r="H1457" s="10" t="str">
        <f aca="false">IF($B1457="","",SUBSTITUTE(SUBSTITUTE(SUBSTITUTE($B1457,"-","")," ",""),".",""))</f>
        <v/>
      </c>
      <c r="I1457" s="10" t="str">
        <f aca="false">IF($D1457="","",SUBSTITUTE(SUBSTITUTE(SUBSTITUTE($D1457,"-","")," ",""),".",""))</f>
        <v/>
      </c>
      <c r="J1457" s="10" t="str">
        <f aca="false">IF($E1457="","",UPPER(SUBSTITUTE($E1457," ","")))</f>
        <v/>
      </c>
      <c r="K1457" s="10" t="str">
        <f aca="false">IF($A1457="","",$G1457&amp;"|"&amp;$J1457)</f>
        <v/>
      </c>
      <c r="L1457" s="10" t="str">
        <f aca="false">IF($A1457="","",ROW()-2)</f>
        <v/>
      </c>
      <c r="M1457" s="10" t="str">
        <f aca="false">IF($A1457="","",ROW())</f>
        <v/>
      </c>
    </row>
    <row r="1458" customFormat="false" ht="15" hidden="false" customHeight="true" outlineLevel="0" collapsed="false">
      <c r="A1458" s="8"/>
      <c r="B1458" s="8"/>
      <c r="C1458" s="8"/>
      <c r="D1458" s="8"/>
      <c r="E1458" s="8"/>
      <c r="F1458" s="8"/>
      <c r="G1458" s="10" t="str">
        <f aca="false">IF($A1458="","",UPPER(SUBSTITUTE(SUBSTITUTE(SUBSTITUTE(SUBSTITUTE($A1458," ",""),"(주)",""),"주식회사",""),"㈜","")))</f>
        <v/>
      </c>
      <c r="H1458" s="10" t="str">
        <f aca="false">IF($B1458="","",SUBSTITUTE(SUBSTITUTE(SUBSTITUTE($B1458,"-","")," ",""),".",""))</f>
        <v/>
      </c>
      <c r="I1458" s="10" t="str">
        <f aca="false">IF($D1458="","",SUBSTITUTE(SUBSTITUTE(SUBSTITUTE($D1458,"-","")," ",""),".",""))</f>
        <v/>
      </c>
      <c r="J1458" s="10" t="str">
        <f aca="false">IF($E1458="","",UPPER(SUBSTITUTE($E1458," ","")))</f>
        <v/>
      </c>
      <c r="K1458" s="10" t="str">
        <f aca="false">IF($A1458="","",$G1458&amp;"|"&amp;$J1458)</f>
        <v/>
      </c>
      <c r="L1458" s="10" t="str">
        <f aca="false">IF($A1458="","",ROW()-2)</f>
        <v/>
      </c>
      <c r="M1458" s="10" t="str">
        <f aca="false">IF($A1458="","",ROW())</f>
        <v/>
      </c>
    </row>
    <row r="1459" customFormat="false" ht="15" hidden="false" customHeight="true" outlineLevel="0" collapsed="false">
      <c r="A1459" s="8"/>
      <c r="B1459" s="8"/>
      <c r="C1459" s="8"/>
      <c r="D1459" s="8"/>
      <c r="E1459" s="8"/>
      <c r="F1459" s="8"/>
      <c r="G1459" s="10" t="str">
        <f aca="false">IF($A1459="","",UPPER(SUBSTITUTE(SUBSTITUTE(SUBSTITUTE(SUBSTITUTE($A1459," ",""),"(주)",""),"주식회사",""),"㈜","")))</f>
        <v/>
      </c>
      <c r="H1459" s="10" t="str">
        <f aca="false">IF($B1459="","",SUBSTITUTE(SUBSTITUTE(SUBSTITUTE($B1459,"-","")," ",""),".",""))</f>
        <v/>
      </c>
      <c r="I1459" s="10" t="str">
        <f aca="false">IF($D1459="","",SUBSTITUTE(SUBSTITUTE(SUBSTITUTE($D1459,"-","")," ",""),".",""))</f>
        <v/>
      </c>
      <c r="J1459" s="10" t="str">
        <f aca="false">IF($E1459="","",UPPER(SUBSTITUTE($E1459," ","")))</f>
        <v/>
      </c>
      <c r="K1459" s="10" t="str">
        <f aca="false">IF($A1459="","",$G1459&amp;"|"&amp;$J1459)</f>
        <v/>
      </c>
      <c r="L1459" s="10" t="str">
        <f aca="false">IF($A1459="","",ROW()-2)</f>
        <v/>
      </c>
      <c r="M1459" s="10" t="str">
        <f aca="false">IF($A1459="","",ROW())</f>
        <v/>
      </c>
    </row>
    <row r="1460" customFormat="false" ht="15" hidden="false" customHeight="true" outlineLevel="0" collapsed="false">
      <c r="A1460" s="8"/>
      <c r="B1460" s="8"/>
      <c r="C1460" s="8"/>
      <c r="D1460" s="8"/>
      <c r="E1460" s="8"/>
      <c r="F1460" s="8"/>
      <c r="G1460" s="10" t="str">
        <f aca="false">IF($A1460="","",UPPER(SUBSTITUTE(SUBSTITUTE(SUBSTITUTE(SUBSTITUTE($A1460," ",""),"(주)",""),"주식회사",""),"㈜","")))</f>
        <v/>
      </c>
      <c r="H1460" s="10" t="str">
        <f aca="false">IF($B1460="","",SUBSTITUTE(SUBSTITUTE(SUBSTITUTE($B1460,"-","")," ",""),".",""))</f>
        <v/>
      </c>
      <c r="I1460" s="10" t="str">
        <f aca="false">IF($D1460="","",SUBSTITUTE(SUBSTITUTE(SUBSTITUTE($D1460,"-","")," ",""),".",""))</f>
        <v/>
      </c>
      <c r="J1460" s="10" t="str">
        <f aca="false">IF($E1460="","",UPPER(SUBSTITUTE($E1460," ","")))</f>
        <v/>
      </c>
      <c r="K1460" s="10" t="str">
        <f aca="false">IF($A1460="","",$G1460&amp;"|"&amp;$J1460)</f>
        <v/>
      </c>
      <c r="L1460" s="10" t="str">
        <f aca="false">IF($A1460="","",ROW()-2)</f>
        <v/>
      </c>
      <c r="M1460" s="10" t="str">
        <f aca="false">IF($A1460="","",ROW())</f>
        <v/>
      </c>
    </row>
    <row r="1461" customFormat="false" ht="15" hidden="false" customHeight="true" outlineLevel="0" collapsed="false">
      <c r="A1461" s="8"/>
      <c r="B1461" s="8"/>
      <c r="C1461" s="8"/>
      <c r="D1461" s="8"/>
      <c r="E1461" s="8"/>
      <c r="F1461" s="8"/>
      <c r="G1461" s="10" t="str">
        <f aca="false">IF($A1461="","",UPPER(SUBSTITUTE(SUBSTITUTE(SUBSTITUTE(SUBSTITUTE($A1461," ",""),"(주)",""),"주식회사",""),"㈜","")))</f>
        <v/>
      </c>
      <c r="H1461" s="10" t="str">
        <f aca="false">IF($B1461="","",SUBSTITUTE(SUBSTITUTE(SUBSTITUTE($B1461,"-","")," ",""),".",""))</f>
        <v/>
      </c>
      <c r="I1461" s="10" t="str">
        <f aca="false">IF($D1461="","",SUBSTITUTE(SUBSTITUTE(SUBSTITUTE($D1461,"-","")," ",""),".",""))</f>
        <v/>
      </c>
      <c r="J1461" s="10" t="str">
        <f aca="false">IF($E1461="","",UPPER(SUBSTITUTE($E1461," ","")))</f>
        <v/>
      </c>
      <c r="K1461" s="10" t="str">
        <f aca="false">IF($A1461="","",$G1461&amp;"|"&amp;$J1461)</f>
        <v/>
      </c>
      <c r="L1461" s="10" t="str">
        <f aca="false">IF($A1461="","",ROW()-2)</f>
        <v/>
      </c>
      <c r="M1461" s="10" t="str">
        <f aca="false">IF($A1461="","",ROW())</f>
        <v/>
      </c>
    </row>
    <row r="1462" customFormat="false" ht="15" hidden="false" customHeight="true" outlineLevel="0" collapsed="false">
      <c r="A1462" s="8"/>
      <c r="B1462" s="8"/>
      <c r="C1462" s="8"/>
      <c r="D1462" s="8"/>
      <c r="E1462" s="8"/>
      <c r="F1462" s="8"/>
      <c r="G1462" s="10" t="str">
        <f aca="false">IF($A1462="","",UPPER(SUBSTITUTE(SUBSTITUTE(SUBSTITUTE(SUBSTITUTE($A1462," ",""),"(주)",""),"주식회사",""),"㈜","")))</f>
        <v/>
      </c>
      <c r="H1462" s="10" t="str">
        <f aca="false">IF($B1462="","",SUBSTITUTE(SUBSTITUTE(SUBSTITUTE($B1462,"-","")," ",""),".",""))</f>
        <v/>
      </c>
      <c r="I1462" s="10" t="str">
        <f aca="false">IF($D1462="","",SUBSTITUTE(SUBSTITUTE(SUBSTITUTE($D1462,"-","")," ",""),".",""))</f>
        <v/>
      </c>
      <c r="J1462" s="10" t="str">
        <f aca="false">IF($E1462="","",UPPER(SUBSTITUTE($E1462," ","")))</f>
        <v/>
      </c>
      <c r="K1462" s="10" t="str">
        <f aca="false">IF($A1462="","",$G1462&amp;"|"&amp;$J1462)</f>
        <v/>
      </c>
      <c r="L1462" s="10" t="str">
        <f aca="false">IF($A1462="","",ROW()-2)</f>
        <v/>
      </c>
      <c r="M1462" s="10" t="str">
        <f aca="false">IF($A1462="","",ROW())</f>
        <v/>
      </c>
    </row>
    <row r="1463" customFormat="false" ht="15" hidden="false" customHeight="true" outlineLevel="0" collapsed="false">
      <c r="A1463" s="8"/>
      <c r="B1463" s="8"/>
      <c r="C1463" s="8"/>
      <c r="D1463" s="8"/>
      <c r="E1463" s="8"/>
      <c r="F1463" s="8"/>
      <c r="G1463" s="10" t="str">
        <f aca="false">IF($A1463="","",UPPER(SUBSTITUTE(SUBSTITUTE(SUBSTITUTE(SUBSTITUTE($A1463," ",""),"(주)",""),"주식회사",""),"㈜","")))</f>
        <v/>
      </c>
      <c r="H1463" s="10" t="str">
        <f aca="false">IF($B1463="","",SUBSTITUTE(SUBSTITUTE(SUBSTITUTE($B1463,"-","")," ",""),".",""))</f>
        <v/>
      </c>
      <c r="I1463" s="10" t="str">
        <f aca="false">IF($D1463="","",SUBSTITUTE(SUBSTITUTE(SUBSTITUTE($D1463,"-","")," ",""),".",""))</f>
        <v/>
      </c>
      <c r="J1463" s="10" t="str">
        <f aca="false">IF($E1463="","",UPPER(SUBSTITUTE($E1463," ","")))</f>
        <v/>
      </c>
      <c r="K1463" s="10" t="str">
        <f aca="false">IF($A1463="","",$G1463&amp;"|"&amp;$J1463)</f>
        <v/>
      </c>
      <c r="L1463" s="10" t="str">
        <f aca="false">IF($A1463="","",ROW()-2)</f>
        <v/>
      </c>
      <c r="M1463" s="10" t="str">
        <f aca="false">IF($A1463="","",ROW())</f>
        <v/>
      </c>
    </row>
    <row r="1464" customFormat="false" ht="15" hidden="false" customHeight="true" outlineLevel="0" collapsed="false">
      <c r="A1464" s="8"/>
      <c r="B1464" s="8"/>
      <c r="C1464" s="8"/>
      <c r="D1464" s="8"/>
      <c r="E1464" s="8"/>
      <c r="F1464" s="8"/>
      <c r="G1464" s="10" t="str">
        <f aca="false">IF($A1464="","",UPPER(SUBSTITUTE(SUBSTITUTE(SUBSTITUTE(SUBSTITUTE($A1464," ",""),"(주)",""),"주식회사",""),"㈜","")))</f>
        <v/>
      </c>
      <c r="H1464" s="10" t="str">
        <f aca="false">IF($B1464="","",SUBSTITUTE(SUBSTITUTE(SUBSTITUTE($B1464,"-","")," ",""),".",""))</f>
        <v/>
      </c>
      <c r="I1464" s="10" t="str">
        <f aca="false">IF($D1464="","",SUBSTITUTE(SUBSTITUTE(SUBSTITUTE($D1464,"-","")," ",""),".",""))</f>
        <v/>
      </c>
      <c r="J1464" s="10" t="str">
        <f aca="false">IF($E1464="","",UPPER(SUBSTITUTE($E1464," ","")))</f>
        <v/>
      </c>
      <c r="K1464" s="10" t="str">
        <f aca="false">IF($A1464="","",$G1464&amp;"|"&amp;$J1464)</f>
        <v/>
      </c>
      <c r="L1464" s="10" t="str">
        <f aca="false">IF($A1464="","",ROW()-2)</f>
        <v/>
      </c>
      <c r="M1464" s="10" t="str">
        <f aca="false">IF($A1464="","",ROW())</f>
        <v/>
      </c>
    </row>
    <row r="1465" customFormat="false" ht="15" hidden="false" customHeight="true" outlineLevel="0" collapsed="false">
      <c r="A1465" s="8"/>
      <c r="B1465" s="8"/>
      <c r="C1465" s="8"/>
      <c r="D1465" s="8"/>
      <c r="E1465" s="8"/>
      <c r="F1465" s="8"/>
      <c r="G1465" s="10" t="str">
        <f aca="false">IF($A1465="","",UPPER(SUBSTITUTE(SUBSTITUTE(SUBSTITUTE(SUBSTITUTE($A1465," ",""),"(주)",""),"주식회사",""),"㈜","")))</f>
        <v/>
      </c>
      <c r="H1465" s="10" t="str">
        <f aca="false">IF($B1465="","",SUBSTITUTE(SUBSTITUTE(SUBSTITUTE($B1465,"-","")," ",""),".",""))</f>
        <v/>
      </c>
      <c r="I1465" s="10" t="str">
        <f aca="false">IF($D1465="","",SUBSTITUTE(SUBSTITUTE(SUBSTITUTE($D1465,"-","")," ",""),".",""))</f>
        <v/>
      </c>
      <c r="J1465" s="10" t="str">
        <f aca="false">IF($E1465="","",UPPER(SUBSTITUTE($E1465," ","")))</f>
        <v/>
      </c>
      <c r="K1465" s="10" t="str">
        <f aca="false">IF($A1465="","",$G1465&amp;"|"&amp;$J1465)</f>
        <v/>
      </c>
      <c r="L1465" s="10" t="str">
        <f aca="false">IF($A1465="","",ROW()-2)</f>
        <v/>
      </c>
      <c r="M1465" s="10" t="str">
        <f aca="false">IF($A1465="","",ROW())</f>
        <v/>
      </c>
    </row>
    <row r="1466" customFormat="false" ht="15" hidden="false" customHeight="true" outlineLevel="0" collapsed="false">
      <c r="A1466" s="8"/>
      <c r="B1466" s="8"/>
      <c r="C1466" s="8"/>
      <c r="D1466" s="8"/>
      <c r="E1466" s="8"/>
      <c r="F1466" s="8"/>
      <c r="G1466" s="10" t="str">
        <f aca="false">IF($A1466="","",UPPER(SUBSTITUTE(SUBSTITUTE(SUBSTITUTE(SUBSTITUTE($A1466," ",""),"(주)",""),"주식회사",""),"㈜","")))</f>
        <v/>
      </c>
      <c r="H1466" s="10" t="str">
        <f aca="false">IF($B1466="","",SUBSTITUTE(SUBSTITUTE(SUBSTITUTE($B1466,"-","")," ",""),".",""))</f>
        <v/>
      </c>
      <c r="I1466" s="10" t="str">
        <f aca="false">IF($D1466="","",SUBSTITUTE(SUBSTITUTE(SUBSTITUTE($D1466,"-","")," ",""),".",""))</f>
        <v/>
      </c>
      <c r="J1466" s="10" t="str">
        <f aca="false">IF($E1466="","",UPPER(SUBSTITUTE($E1466," ","")))</f>
        <v/>
      </c>
      <c r="K1466" s="10" t="str">
        <f aca="false">IF($A1466="","",$G1466&amp;"|"&amp;$J1466)</f>
        <v/>
      </c>
      <c r="L1466" s="10" t="str">
        <f aca="false">IF($A1466="","",ROW()-2)</f>
        <v/>
      </c>
      <c r="M1466" s="10" t="str">
        <f aca="false">IF($A1466="","",ROW())</f>
        <v/>
      </c>
    </row>
    <row r="1467" customFormat="false" ht="15" hidden="false" customHeight="true" outlineLevel="0" collapsed="false">
      <c r="A1467" s="8"/>
      <c r="B1467" s="8"/>
      <c r="C1467" s="8"/>
      <c r="D1467" s="8"/>
      <c r="E1467" s="8"/>
      <c r="F1467" s="8"/>
      <c r="G1467" s="10" t="str">
        <f aca="false">IF($A1467="","",UPPER(SUBSTITUTE(SUBSTITUTE(SUBSTITUTE(SUBSTITUTE($A1467," ",""),"(주)",""),"주식회사",""),"㈜","")))</f>
        <v/>
      </c>
      <c r="H1467" s="10" t="str">
        <f aca="false">IF($B1467="","",SUBSTITUTE(SUBSTITUTE(SUBSTITUTE($B1467,"-","")," ",""),".",""))</f>
        <v/>
      </c>
      <c r="I1467" s="10" t="str">
        <f aca="false">IF($D1467="","",SUBSTITUTE(SUBSTITUTE(SUBSTITUTE($D1467,"-","")," ",""),".",""))</f>
        <v/>
      </c>
      <c r="J1467" s="10" t="str">
        <f aca="false">IF($E1467="","",UPPER(SUBSTITUTE($E1467," ","")))</f>
        <v/>
      </c>
      <c r="K1467" s="10" t="str">
        <f aca="false">IF($A1467="","",$G1467&amp;"|"&amp;$J1467)</f>
        <v/>
      </c>
      <c r="L1467" s="10" t="str">
        <f aca="false">IF($A1467="","",ROW()-2)</f>
        <v/>
      </c>
      <c r="M1467" s="10" t="str">
        <f aca="false">IF($A1467="","",ROW())</f>
        <v/>
      </c>
    </row>
    <row r="1468" customFormat="false" ht="15" hidden="false" customHeight="true" outlineLevel="0" collapsed="false">
      <c r="A1468" s="8"/>
      <c r="B1468" s="8"/>
      <c r="C1468" s="8"/>
      <c r="D1468" s="8"/>
      <c r="E1468" s="8"/>
      <c r="F1468" s="8"/>
      <c r="G1468" s="10" t="str">
        <f aca="false">IF($A1468="","",UPPER(SUBSTITUTE(SUBSTITUTE(SUBSTITUTE(SUBSTITUTE($A1468," ",""),"(주)",""),"주식회사",""),"㈜","")))</f>
        <v/>
      </c>
      <c r="H1468" s="10" t="str">
        <f aca="false">IF($B1468="","",SUBSTITUTE(SUBSTITUTE(SUBSTITUTE($B1468,"-","")," ",""),".",""))</f>
        <v/>
      </c>
      <c r="I1468" s="10" t="str">
        <f aca="false">IF($D1468="","",SUBSTITUTE(SUBSTITUTE(SUBSTITUTE($D1468,"-","")," ",""),".",""))</f>
        <v/>
      </c>
      <c r="J1468" s="10" t="str">
        <f aca="false">IF($E1468="","",UPPER(SUBSTITUTE($E1468," ","")))</f>
        <v/>
      </c>
      <c r="K1468" s="10" t="str">
        <f aca="false">IF($A1468="","",$G1468&amp;"|"&amp;$J1468)</f>
        <v/>
      </c>
      <c r="L1468" s="10" t="str">
        <f aca="false">IF($A1468="","",ROW()-2)</f>
        <v/>
      </c>
      <c r="M1468" s="10" t="str">
        <f aca="false">IF($A1468="","",ROW())</f>
        <v/>
      </c>
    </row>
    <row r="1469" customFormat="false" ht="15" hidden="false" customHeight="true" outlineLevel="0" collapsed="false">
      <c r="A1469" s="8"/>
      <c r="B1469" s="8"/>
      <c r="C1469" s="8"/>
      <c r="D1469" s="8"/>
      <c r="E1469" s="8"/>
      <c r="F1469" s="8"/>
      <c r="G1469" s="10" t="str">
        <f aca="false">IF($A1469="","",UPPER(SUBSTITUTE(SUBSTITUTE(SUBSTITUTE(SUBSTITUTE($A1469," ",""),"(주)",""),"주식회사",""),"㈜","")))</f>
        <v/>
      </c>
      <c r="H1469" s="10" t="str">
        <f aca="false">IF($B1469="","",SUBSTITUTE(SUBSTITUTE(SUBSTITUTE($B1469,"-","")," ",""),".",""))</f>
        <v/>
      </c>
      <c r="I1469" s="10" t="str">
        <f aca="false">IF($D1469="","",SUBSTITUTE(SUBSTITUTE(SUBSTITUTE($D1469,"-","")," ",""),".",""))</f>
        <v/>
      </c>
      <c r="J1469" s="10" t="str">
        <f aca="false">IF($E1469="","",UPPER(SUBSTITUTE($E1469," ","")))</f>
        <v/>
      </c>
      <c r="K1469" s="10" t="str">
        <f aca="false">IF($A1469="","",$G1469&amp;"|"&amp;$J1469)</f>
        <v/>
      </c>
      <c r="L1469" s="10" t="str">
        <f aca="false">IF($A1469="","",ROW()-2)</f>
        <v/>
      </c>
      <c r="M1469" s="10" t="str">
        <f aca="false">IF($A1469="","",ROW())</f>
        <v/>
      </c>
    </row>
    <row r="1470" customFormat="false" ht="15" hidden="false" customHeight="true" outlineLevel="0" collapsed="false">
      <c r="A1470" s="8"/>
      <c r="B1470" s="8"/>
      <c r="C1470" s="8"/>
      <c r="D1470" s="8"/>
      <c r="E1470" s="8"/>
      <c r="F1470" s="8"/>
      <c r="G1470" s="10" t="str">
        <f aca="false">IF($A1470="","",UPPER(SUBSTITUTE(SUBSTITUTE(SUBSTITUTE(SUBSTITUTE($A1470," ",""),"(주)",""),"주식회사",""),"㈜","")))</f>
        <v/>
      </c>
      <c r="H1470" s="10" t="str">
        <f aca="false">IF($B1470="","",SUBSTITUTE(SUBSTITUTE(SUBSTITUTE($B1470,"-","")," ",""),".",""))</f>
        <v/>
      </c>
      <c r="I1470" s="10" t="str">
        <f aca="false">IF($D1470="","",SUBSTITUTE(SUBSTITUTE(SUBSTITUTE($D1470,"-","")," ",""),".",""))</f>
        <v/>
      </c>
      <c r="J1470" s="10" t="str">
        <f aca="false">IF($E1470="","",UPPER(SUBSTITUTE($E1470," ","")))</f>
        <v/>
      </c>
      <c r="K1470" s="10" t="str">
        <f aca="false">IF($A1470="","",$G1470&amp;"|"&amp;$J1470)</f>
        <v/>
      </c>
      <c r="L1470" s="10" t="str">
        <f aca="false">IF($A1470="","",ROW()-2)</f>
        <v/>
      </c>
      <c r="M1470" s="10" t="str">
        <f aca="false">IF($A1470="","",ROW())</f>
        <v/>
      </c>
    </row>
    <row r="1471" customFormat="false" ht="15" hidden="false" customHeight="true" outlineLevel="0" collapsed="false">
      <c r="A1471" s="8"/>
      <c r="B1471" s="8"/>
      <c r="C1471" s="8"/>
      <c r="D1471" s="8"/>
      <c r="E1471" s="8"/>
      <c r="F1471" s="8"/>
      <c r="G1471" s="10" t="str">
        <f aca="false">IF($A1471="","",UPPER(SUBSTITUTE(SUBSTITUTE(SUBSTITUTE(SUBSTITUTE($A1471," ",""),"(주)",""),"주식회사",""),"㈜","")))</f>
        <v/>
      </c>
      <c r="H1471" s="10" t="str">
        <f aca="false">IF($B1471="","",SUBSTITUTE(SUBSTITUTE(SUBSTITUTE($B1471,"-","")," ",""),".",""))</f>
        <v/>
      </c>
      <c r="I1471" s="10" t="str">
        <f aca="false">IF($D1471="","",SUBSTITUTE(SUBSTITUTE(SUBSTITUTE($D1471,"-","")," ",""),".",""))</f>
        <v/>
      </c>
      <c r="J1471" s="10" t="str">
        <f aca="false">IF($E1471="","",UPPER(SUBSTITUTE($E1471," ","")))</f>
        <v/>
      </c>
      <c r="K1471" s="10" t="str">
        <f aca="false">IF($A1471="","",$G1471&amp;"|"&amp;$J1471)</f>
        <v/>
      </c>
      <c r="L1471" s="10" t="str">
        <f aca="false">IF($A1471="","",ROW()-2)</f>
        <v/>
      </c>
      <c r="M1471" s="10" t="str">
        <f aca="false">IF($A1471="","",ROW())</f>
        <v/>
      </c>
    </row>
    <row r="1472" customFormat="false" ht="15" hidden="false" customHeight="true" outlineLevel="0" collapsed="false">
      <c r="A1472" s="8"/>
      <c r="B1472" s="8"/>
      <c r="C1472" s="8"/>
      <c r="D1472" s="8"/>
      <c r="E1472" s="8"/>
      <c r="F1472" s="8"/>
      <c r="G1472" s="10" t="str">
        <f aca="false">IF($A1472="","",UPPER(SUBSTITUTE(SUBSTITUTE(SUBSTITUTE(SUBSTITUTE($A1472," ",""),"(주)",""),"주식회사",""),"㈜","")))</f>
        <v/>
      </c>
      <c r="H1472" s="10" t="str">
        <f aca="false">IF($B1472="","",SUBSTITUTE(SUBSTITUTE(SUBSTITUTE($B1472,"-","")," ",""),".",""))</f>
        <v/>
      </c>
      <c r="I1472" s="10" t="str">
        <f aca="false">IF($D1472="","",SUBSTITUTE(SUBSTITUTE(SUBSTITUTE($D1472,"-","")," ",""),".",""))</f>
        <v/>
      </c>
      <c r="J1472" s="10" t="str">
        <f aca="false">IF($E1472="","",UPPER(SUBSTITUTE($E1472," ","")))</f>
        <v/>
      </c>
      <c r="K1472" s="10" t="str">
        <f aca="false">IF($A1472="","",$G1472&amp;"|"&amp;$J1472)</f>
        <v/>
      </c>
      <c r="L1472" s="10" t="str">
        <f aca="false">IF($A1472="","",ROW()-2)</f>
        <v/>
      </c>
      <c r="M1472" s="10" t="str">
        <f aca="false">IF($A1472="","",ROW())</f>
        <v/>
      </c>
    </row>
    <row r="1473" customFormat="false" ht="15" hidden="false" customHeight="true" outlineLevel="0" collapsed="false">
      <c r="A1473" s="8"/>
      <c r="B1473" s="8"/>
      <c r="C1473" s="8"/>
      <c r="D1473" s="8"/>
      <c r="E1473" s="8"/>
      <c r="F1473" s="8"/>
      <c r="G1473" s="10" t="str">
        <f aca="false">IF($A1473="","",UPPER(SUBSTITUTE(SUBSTITUTE(SUBSTITUTE(SUBSTITUTE($A1473," ",""),"(주)",""),"주식회사",""),"㈜","")))</f>
        <v/>
      </c>
      <c r="H1473" s="10" t="str">
        <f aca="false">IF($B1473="","",SUBSTITUTE(SUBSTITUTE(SUBSTITUTE($B1473,"-","")," ",""),".",""))</f>
        <v/>
      </c>
      <c r="I1473" s="10" t="str">
        <f aca="false">IF($D1473="","",SUBSTITUTE(SUBSTITUTE(SUBSTITUTE($D1473,"-","")," ",""),".",""))</f>
        <v/>
      </c>
      <c r="J1473" s="10" t="str">
        <f aca="false">IF($E1473="","",UPPER(SUBSTITUTE($E1473," ","")))</f>
        <v/>
      </c>
      <c r="K1473" s="10" t="str">
        <f aca="false">IF($A1473="","",$G1473&amp;"|"&amp;$J1473)</f>
        <v/>
      </c>
      <c r="L1473" s="10" t="str">
        <f aca="false">IF($A1473="","",ROW()-2)</f>
        <v/>
      </c>
      <c r="M1473" s="10" t="str">
        <f aca="false">IF($A1473="","",ROW())</f>
        <v/>
      </c>
    </row>
    <row r="1474" customFormat="false" ht="15" hidden="false" customHeight="true" outlineLevel="0" collapsed="false">
      <c r="A1474" s="8"/>
      <c r="B1474" s="8"/>
      <c r="C1474" s="8"/>
      <c r="D1474" s="8"/>
      <c r="E1474" s="8"/>
      <c r="F1474" s="8"/>
      <c r="G1474" s="10" t="str">
        <f aca="false">IF($A1474="","",UPPER(SUBSTITUTE(SUBSTITUTE(SUBSTITUTE(SUBSTITUTE($A1474," ",""),"(주)",""),"주식회사",""),"㈜","")))</f>
        <v/>
      </c>
      <c r="H1474" s="10" t="str">
        <f aca="false">IF($B1474="","",SUBSTITUTE(SUBSTITUTE(SUBSTITUTE($B1474,"-","")," ",""),".",""))</f>
        <v/>
      </c>
      <c r="I1474" s="10" t="str">
        <f aca="false">IF($D1474="","",SUBSTITUTE(SUBSTITUTE(SUBSTITUTE($D1474,"-","")," ",""),".",""))</f>
        <v/>
      </c>
      <c r="J1474" s="10" t="str">
        <f aca="false">IF($E1474="","",UPPER(SUBSTITUTE($E1474," ","")))</f>
        <v/>
      </c>
      <c r="K1474" s="10" t="str">
        <f aca="false">IF($A1474="","",$G1474&amp;"|"&amp;$J1474)</f>
        <v/>
      </c>
      <c r="L1474" s="10" t="str">
        <f aca="false">IF($A1474="","",ROW()-2)</f>
        <v/>
      </c>
      <c r="M1474" s="10" t="str">
        <f aca="false">IF($A1474="","",ROW())</f>
        <v/>
      </c>
    </row>
    <row r="1475" customFormat="false" ht="15" hidden="false" customHeight="true" outlineLevel="0" collapsed="false">
      <c r="A1475" s="8"/>
      <c r="B1475" s="8"/>
      <c r="C1475" s="8"/>
      <c r="D1475" s="8"/>
      <c r="E1475" s="8"/>
      <c r="F1475" s="8"/>
      <c r="G1475" s="10" t="str">
        <f aca="false">IF($A1475="","",UPPER(SUBSTITUTE(SUBSTITUTE(SUBSTITUTE(SUBSTITUTE($A1475," ",""),"(주)",""),"주식회사",""),"㈜","")))</f>
        <v/>
      </c>
      <c r="H1475" s="10" t="str">
        <f aca="false">IF($B1475="","",SUBSTITUTE(SUBSTITUTE(SUBSTITUTE($B1475,"-","")," ",""),".",""))</f>
        <v/>
      </c>
      <c r="I1475" s="10" t="str">
        <f aca="false">IF($D1475="","",SUBSTITUTE(SUBSTITUTE(SUBSTITUTE($D1475,"-","")," ",""),".",""))</f>
        <v/>
      </c>
      <c r="J1475" s="10" t="str">
        <f aca="false">IF($E1475="","",UPPER(SUBSTITUTE($E1475," ","")))</f>
        <v/>
      </c>
      <c r="K1475" s="10" t="str">
        <f aca="false">IF($A1475="","",$G1475&amp;"|"&amp;$J1475)</f>
        <v/>
      </c>
      <c r="L1475" s="10" t="str">
        <f aca="false">IF($A1475="","",ROW()-2)</f>
        <v/>
      </c>
      <c r="M1475" s="10" t="str">
        <f aca="false">IF($A1475="","",ROW())</f>
        <v/>
      </c>
    </row>
    <row r="1476" customFormat="false" ht="15" hidden="false" customHeight="true" outlineLevel="0" collapsed="false">
      <c r="A1476" s="8"/>
      <c r="B1476" s="8"/>
      <c r="C1476" s="8"/>
      <c r="D1476" s="8"/>
      <c r="E1476" s="8"/>
      <c r="F1476" s="8"/>
      <c r="G1476" s="10" t="str">
        <f aca="false">IF($A1476="","",UPPER(SUBSTITUTE(SUBSTITUTE(SUBSTITUTE(SUBSTITUTE($A1476," ",""),"(주)",""),"주식회사",""),"㈜","")))</f>
        <v/>
      </c>
      <c r="H1476" s="10" t="str">
        <f aca="false">IF($B1476="","",SUBSTITUTE(SUBSTITUTE(SUBSTITUTE($B1476,"-","")," ",""),".",""))</f>
        <v/>
      </c>
      <c r="I1476" s="10" t="str">
        <f aca="false">IF($D1476="","",SUBSTITUTE(SUBSTITUTE(SUBSTITUTE($D1476,"-","")," ",""),".",""))</f>
        <v/>
      </c>
      <c r="J1476" s="10" t="str">
        <f aca="false">IF($E1476="","",UPPER(SUBSTITUTE($E1476," ","")))</f>
        <v/>
      </c>
      <c r="K1476" s="10" t="str">
        <f aca="false">IF($A1476="","",$G1476&amp;"|"&amp;$J1476)</f>
        <v/>
      </c>
      <c r="L1476" s="10" t="str">
        <f aca="false">IF($A1476="","",ROW()-2)</f>
        <v/>
      </c>
      <c r="M1476" s="10" t="str">
        <f aca="false">IF($A1476="","",ROW())</f>
        <v/>
      </c>
    </row>
    <row r="1477" customFormat="false" ht="15" hidden="false" customHeight="true" outlineLevel="0" collapsed="false">
      <c r="A1477" s="8"/>
      <c r="B1477" s="8"/>
      <c r="C1477" s="8"/>
      <c r="D1477" s="8"/>
      <c r="E1477" s="8"/>
      <c r="F1477" s="8"/>
      <c r="G1477" s="10" t="str">
        <f aca="false">IF($A1477="","",UPPER(SUBSTITUTE(SUBSTITUTE(SUBSTITUTE(SUBSTITUTE($A1477," ",""),"(주)",""),"주식회사",""),"㈜","")))</f>
        <v/>
      </c>
      <c r="H1477" s="10" t="str">
        <f aca="false">IF($B1477="","",SUBSTITUTE(SUBSTITUTE(SUBSTITUTE($B1477,"-","")," ",""),".",""))</f>
        <v/>
      </c>
      <c r="I1477" s="10" t="str">
        <f aca="false">IF($D1477="","",SUBSTITUTE(SUBSTITUTE(SUBSTITUTE($D1477,"-","")," ",""),".",""))</f>
        <v/>
      </c>
      <c r="J1477" s="10" t="str">
        <f aca="false">IF($E1477="","",UPPER(SUBSTITUTE($E1477," ","")))</f>
        <v/>
      </c>
      <c r="K1477" s="10" t="str">
        <f aca="false">IF($A1477="","",$G1477&amp;"|"&amp;$J1477)</f>
        <v/>
      </c>
      <c r="L1477" s="10" t="str">
        <f aca="false">IF($A1477="","",ROW()-2)</f>
        <v/>
      </c>
      <c r="M1477" s="10" t="str">
        <f aca="false">IF($A1477="","",ROW())</f>
        <v/>
      </c>
    </row>
    <row r="1478" customFormat="false" ht="15" hidden="false" customHeight="true" outlineLevel="0" collapsed="false">
      <c r="A1478" s="8"/>
      <c r="B1478" s="8"/>
      <c r="C1478" s="8"/>
      <c r="D1478" s="8"/>
      <c r="E1478" s="8"/>
      <c r="F1478" s="8"/>
      <c r="G1478" s="10" t="str">
        <f aca="false">IF($A1478="","",UPPER(SUBSTITUTE(SUBSTITUTE(SUBSTITUTE(SUBSTITUTE($A1478," ",""),"(주)",""),"주식회사",""),"㈜","")))</f>
        <v/>
      </c>
      <c r="H1478" s="10" t="str">
        <f aca="false">IF($B1478="","",SUBSTITUTE(SUBSTITUTE(SUBSTITUTE($B1478,"-","")," ",""),".",""))</f>
        <v/>
      </c>
      <c r="I1478" s="10" t="str">
        <f aca="false">IF($D1478="","",SUBSTITUTE(SUBSTITUTE(SUBSTITUTE($D1478,"-","")," ",""),".",""))</f>
        <v/>
      </c>
      <c r="J1478" s="10" t="str">
        <f aca="false">IF($E1478="","",UPPER(SUBSTITUTE($E1478," ","")))</f>
        <v/>
      </c>
      <c r="K1478" s="10" t="str">
        <f aca="false">IF($A1478="","",$G1478&amp;"|"&amp;$J1478)</f>
        <v/>
      </c>
      <c r="L1478" s="10" t="str">
        <f aca="false">IF($A1478="","",ROW()-2)</f>
        <v/>
      </c>
      <c r="M1478" s="10" t="str">
        <f aca="false">IF($A1478="","",ROW())</f>
        <v/>
      </c>
    </row>
    <row r="1479" customFormat="false" ht="15" hidden="false" customHeight="true" outlineLevel="0" collapsed="false">
      <c r="A1479" s="8"/>
      <c r="B1479" s="8"/>
      <c r="C1479" s="8"/>
      <c r="D1479" s="8"/>
      <c r="E1479" s="8"/>
      <c r="F1479" s="8"/>
      <c r="G1479" s="10" t="str">
        <f aca="false">IF($A1479="","",UPPER(SUBSTITUTE(SUBSTITUTE(SUBSTITUTE(SUBSTITUTE($A1479," ",""),"(주)",""),"주식회사",""),"㈜","")))</f>
        <v/>
      </c>
      <c r="H1479" s="10" t="str">
        <f aca="false">IF($B1479="","",SUBSTITUTE(SUBSTITUTE(SUBSTITUTE($B1479,"-","")," ",""),".",""))</f>
        <v/>
      </c>
      <c r="I1479" s="10" t="str">
        <f aca="false">IF($D1479="","",SUBSTITUTE(SUBSTITUTE(SUBSTITUTE($D1479,"-","")," ",""),".",""))</f>
        <v/>
      </c>
      <c r="J1479" s="10" t="str">
        <f aca="false">IF($E1479="","",UPPER(SUBSTITUTE($E1479," ","")))</f>
        <v/>
      </c>
      <c r="K1479" s="10" t="str">
        <f aca="false">IF($A1479="","",$G1479&amp;"|"&amp;$J1479)</f>
        <v/>
      </c>
      <c r="L1479" s="10" t="str">
        <f aca="false">IF($A1479="","",ROW()-2)</f>
        <v/>
      </c>
      <c r="M1479" s="10" t="str">
        <f aca="false">IF($A1479="","",ROW())</f>
        <v/>
      </c>
    </row>
    <row r="1480" customFormat="false" ht="15" hidden="false" customHeight="true" outlineLevel="0" collapsed="false">
      <c r="A1480" s="8"/>
      <c r="B1480" s="8"/>
      <c r="C1480" s="8"/>
      <c r="D1480" s="8"/>
      <c r="E1480" s="8"/>
      <c r="F1480" s="8"/>
      <c r="G1480" s="10" t="str">
        <f aca="false">IF($A1480="","",UPPER(SUBSTITUTE(SUBSTITUTE(SUBSTITUTE(SUBSTITUTE($A1480," ",""),"(주)",""),"주식회사",""),"㈜","")))</f>
        <v/>
      </c>
      <c r="H1480" s="10" t="str">
        <f aca="false">IF($B1480="","",SUBSTITUTE(SUBSTITUTE(SUBSTITUTE($B1480,"-","")," ",""),".",""))</f>
        <v/>
      </c>
      <c r="I1480" s="10" t="str">
        <f aca="false">IF($D1480="","",SUBSTITUTE(SUBSTITUTE(SUBSTITUTE($D1480,"-","")," ",""),".",""))</f>
        <v/>
      </c>
      <c r="J1480" s="10" t="str">
        <f aca="false">IF($E1480="","",UPPER(SUBSTITUTE($E1480," ","")))</f>
        <v/>
      </c>
      <c r="K1480" s="10" t="str">
        <f aca="false">IF($A1480="","",$G1480&amp;"|"&amp;$J1480)</f>
        <v/>
      </c>
      <c r="L1480" s="10" t="str">
        <f aca="false">IF($A1480="","",ROW()-2)</f>
        <v/>
      </c>
      <c r="M1480" s="10" t="str">
        <f aca="false">IF($A1480="","",ROW())</f>
        <v/>
      </c>
    </row>
    <row r="1481" customFormat="false" ht="15" hidden="false" customHeight="true" outlineLevel="0" collapsed="false">
      <c r="A1481" s="8"/>
      <c r="B1481" s="8"/>
      <c r="C1481" s="8"/>
      <c r="D1481" s="8"/>
      <c r="E1481" s="8"/>
      <c r="F1481" s="8"/>
      <c r="G1481" s="10" t="str">
        <f aca="false">IF($A1481="","",UPPER(SUBSTITUTE(SUBSTITUTE(SUBSTITUTE(SUBSTITUTE($A1481," ",""),"(주)",""),"주식회사",""),"㈜","")))</f>
        <v/>
      </c>
      <c r="H1481" s="10" t="str">
        <f aca="false">IF($B1481="","",SUBSTITUTE(SUBSTITUTE(SUBSTITUTE($B1481,"-","")," ",""),".",""))</f>
        <v/>
      </c>
      <c r="I1481" s="10" t="str">
        <f aca="false">IF($D1481="","",SUBSTITUTE(SUBSTITUTE(SUBSTITUTE($D1481,"-","")," ",""),".",""))</f>
        <v/>
      </c>
      <c r="J1481" s="10" t="str">
        <f aca="false">IF($E1481="","",UPPER(SUBSTITUTE($E1481," ","")))</f>
        <v/>
      </c>
      <c r="K1481" s="10" t="str">
        <f aca="false">IF($A1481="","",$G1481&amp;"|"&amp;$J1481)</f>
        <v/>
      </c>
      <c r="L1481" s="10" t="str">
        <f aca="false">IF($A1481="","",ROW()-2)</f>
        <v/>
      </c>
      <c r="M1481" s="10" t="str">
        <f aca="false">IF($A1481="","",ROW())</f>
        <v/>
      </c>
    </row>
    <row r="1482" customFormat="false" ht="15" hidden="false" customHeight="true" outlineLevel="0" collapsed="false">
      <c r="A1482" s="8"/>
      <c r="B1482" s="8"/>
      <c r="C1482" s="8"/>
      <c r="D1482" s="8"/>
      <c r="E1482" s="8"/>
      <c r="F1482" s="8"/>
      <c r="G1482" s="10" t="str">
        <f aca="false">IF($A1482="","",UPPER(SUBSTITUTE(SUBSTITUTE(SUBSTITUTE(SUBSTITUTE($A1482," ",""),"(주)",""),"주식회사",""),"㈜","")))</f>
        <v/>
      </c>
      <c r="H1482" s="10" t="str">
        <f aca="false">IF($B1482="","",SUBSTITUTE(SUBSTITUTE(SUBSTITUTE($B1482,"-","")," ",""),".",""))</f>
        <v/>
      </c>
      <c r="I1482" s="10" t="str">
        <f aca="false">IF($D1482="","",SUBSTITUTE(SUBSTITUTE(SUBSTITUTE($D1482,"-","")," ",""),".",""))</f>
        <v/>
      </c>
      <c r="J1482" s="10" t="str">
        <f aca="false">IF($E1482="","",UPPER(SUBSTITUTE($E1482," ","")))</f>
        <v/>
      </c>
      <c r="K1482" s="10" t="str">
        <f aca="false">IF($A1482="","",$G1482&amp;"|"&amp;$J1482)</f>
        <v/>
      </c>
      <c r="L1482" s="10" t="str">
        <f aca="false">IF($A1482="","",ROW()-2)</f>
        <v/>
      </c>
      <c r="M1482" s="10" t="str">
        <f aca="false">IF($A1482="","",ROW())</f>
        <v/>
      </c>
    </row>
    <row r="1483" customFormat="false" ht="15" hidden="false" customHeight="true" outlineLevel="0" collapsed="false">
      <c r="A1483" s="8"/>
      <c r="B1483" s="8"/>
      <c r="C1483" s="8"/>
      <c r="D1483" s="8"/>
      <c r="E1483" s="8"/>
      <c r="F1483" s="8"/>
      <c r="G1483" s="10" t="str">
        <f aca="false">IF($A1483="","",UPPER(SUBSTITUTE(SUBSTITUTE(SUBSTITUTE(SUBSTITUTE($A1483," ",""),"(주)",""),"주식회사",""),"㈜","")))</f>
        <v/>
      </c>
      <c r="H1483" s="10" t="str">
        <f aca="false">IF($B1483="","",SUBSTITUTE(SUBSTITUTE(SUBSTITUTE($B1483,"-","")," ",""),".",""))</f>
        <v/>
      </c>
      <c r="I1483" s="10" t="str">
        <f aca="false">IF($D1483="","",SUBSTITUTE(SUBSTITUTE(SUBSTITUTE($D1483,"-","")," ",""),".",""))</f>
        <v/>
      </c>
      <c r="J1483" s="10" t="str">
        <f aca="false">IF($E1483="","",UPPER(SUBSTITUTE($E1483," ","")))</f>
        <v/>
      </c>
      <c r="K1483" s="10" t="str">
        <f aca="false">IF($A1483="","",$G1483&amp;"|"&amp;$J1483)</f>
        <v/>
      </c>
      <c r="L1483" s="10" t="str">
        <f aca="false">IF($A1483="","",ROW()-2)</f>
        <v/>
      </c>
      <c r="M1483" s="10" t="str">
        <f aca="false">IF($A1483="","",ROW())</f>
        <v/>
      </c>
    </row>
    <row r="1484" customFormat="false" ht="15" hidden="false" customHeight="true" outlineLevel="0" collapsed="false">
      <c r="A1484" s="8"/>
      <c r="B1484" s="8"/>
      <c r="C1484" s="8"/>
      <c r="D1484" s="8"/>
      <c r="E1484" s="8"/>
      <c r="F1484" s="8"/>
      <c r="G1484" s="10" t="str">
        <f aca="false">IF($A1484="","",UPPER(SUBSTITUTE(SUBSTITUTE(SUBSTITUTE(SUBSTITUTE($A1484," ",""),"(주)",""),"주식회사",""),"㈜","")))</f>
        <v/>
      </c>
      <c r="H1484" s="10" t="str">
        <f aca="false">IF($B1484="","",SUBSTITUTE(SUBSTITUTE(SUBSTITUTE($B1484,"-","")," ",""),".",""))</f>
        <v/>
      </c>
      <c r="I1484" s="10" t="str">
        <f aca="false">IF($D1484="","",SUBSTITUTE(SUBSTITUTE(SUBSTITUTE($D1484,"-","")," ",""),".",""))</f>
        <v/>
      </c>
      <c r="J1484" s="10" t="str">
        <f aca="false">IF($E1484="","",UPPER(SUBSTITUTE($E1484," ","")))</f>
        <v/>
      </c>
      <c r="K1484" s="10" t="str">
        <f aca="false">IF($A1484="","",$G1484&amp;"|"&amp;$J1484)</f>
        <v/>
      </c>
      <c r="L1484" s="10" t="str">
        <f aca="false">IF($A1484="","",ROW()-2)</f>
        <v/>
      </c>
      <c r="M1484" s="10" t="str">
        <f aca="false">IF($A1484="","",ROW())</f>
        <v/>
      </c>
    </row>
    <row r="1485" customFormat="false" ht="15" hidden="false" customHeight="true" outlineLevel="0" collapsed="false">
      <c r="A1485" s="8"/>
      <c r="B1485" s="8"/>
      <c r="C1485" s="8"/>
      <c r="D1485" s="8"/>
      <c r="E1485" s="8"/>
      <c r="F1485" s="8"/>
      <c r="G1485" s="10" t="str">
        <f aca="false">IF($A1485="","",UPPER(SUBSTITUTE(SUBSTITUTE(SUBSTITUTE(SUBSTITUTE($A1485," ",""),"(주)",""),"주식회사",""),"㈜","")))</f>
        <v/>
      </c>
      <c r="H1485" s="10" t="str">
        <f aca="false">IF($B1485="","",SUBSTITUTE(SUBSTITUTE(SUBSTITUTE($B1485,"-","")," ",""),".",""))</f>
        <v/>
      </c>
      <c r="I1485" s="10" t="str">
        <f aca="false">IF($D1485="","",SUBSTITUTE(SUBSTITUTE(SUBSTITUTE($D1485,"-","")," ",""),".",""))</f>
        <v/>
      </c>
      <c r="J1485" s="10" t="str">
        <f aca="false">IF($E1485="","",UPPER(SUBSTITUTE($E1485," ","")))</f>
        <v/>
      </c>
      <c r="K1485" s="10" t="str">
        <f aca="false">IF($A1485="","",$G1485&amp;"|"&amp;$J1485)</f>
        <v/>
      </c>
      <c r="L1485" s="10" t="str">
        <f aca="false">IF($A1485="","",ROW()-2)</f>
        <v/>
      </c>
      <c r="M1485" s="10" t="str">
        <f aca="false">IF($A1485="","",ROW())</f>
        <v/>
      </c>
    </row>
    <row r="1486" customFormat="false" ht="15" hidden="false" customHeight="true" outlineLevel="0" collapsed="false">
      <c r="A1486" s="8"/>
      <c r="B1486" s="8"/>
      <c r="C1486" s="8"/>
      <c r="D1486" s="8"/>
      <c r="E1486" s="8"/>
      <c r="F1486" s="8"/>
      <c r="G1486" s="10" t="str">
        <f aca="false">IF($A1486="","",UPPER(SUBSTITUTE(SUBSTITUTE(SUBSTITUTE(SUBSTITUTE($A1486," ",""),"(주)",""),"주식회사",""),"㈜","")))</f>
        <v/>
      </c>
      <c r="H1486" s="10" t="str">
        <f aca="false">IF($B1486="","",SUBSTITUTE(SUBSTITUTE(SUBSTITUTE($B1486,"-","")," ",""),".",""))</f>
        <v/>
      </c>
      <c r="I1486" s="10" t="str">
        <f aca="false">IF($D1486="","",SUBSTITUTE(SUBSTITUTE(SUBSTITUTE($D1486,"-","")," ",""),".",""))</f>
        <v/>
      </c>
      <c r="J1486" s="10" t="str">
        <f aca="false">IF($E1486="","",UPPER(SUBSTITUTE($E1486," ","")))</f>
        <v/>
      </c>
      <c r="K1486" s="10" t="str">
        <f aca="false">IF($A1486="","",$G1486&amp;"|"&amp;$J1486)</f>
        <v/>
      </c>
      <c r="L1486" s="10" t="str">
        <f aca="false">IF($A1486="","",ROW()-2)</f>
        <v/>
      </c>
      <c r="M1486" s="10" t="str">
        <f aca="false">IF($A1486="","",ROW())</f>
        <v/>
      </c>
    </row>
    <row r="1487" customFormat="false" ht="15" hidden="false" customHeight="true" outlineLevel="0" collapsed="false">
      <c r="A1487" s="8"/>
      <c r="B1487" s="8"/>
      <c r="C1487" s="8"/>
      <c r="D1487" s="8"/>
      <c r="E1487" s="8"/>
      <c r="F1487" s="8"/>
      <c r="G1487" s="10" t="str">
        <f aca="false">IF($A1487="","",UPPER(SUBSTITUTE(SUBSTITUTE(SUBSTITUTE(SUBSTITUTE($A1487," ",""),"(주)",""),"주식회사",""),"㈜","")))</f>
        <v/>
      </c>
      <c r="H1487" s="10" t="str">
        <f aca="false">IF($B1487="","",SUBSTITUTE(SUBSTITUTE(SUBSTITUTE($B1487,"-","")," ",""),".",""))</f>
        <v/>
      </c>
      <c r="I1487" s="10" t="str">
        <f aca="false">IF($D1487="","",SUBSTITUTE(SUBSTITUTE(SUBSTITUTE($D1487,"-","")," ",""),".",""))</f>
        <v/>
      </c>
      <c r="J1487" s="10" t="str">
        <f aca="false">IF($E1487="","",UPPER(SUBSTITUTE($E1487," ","")))</f>
        <v/>
      </c>
      <c r="K1487" s="10" t="str">
        <f aca="false">IF($A1487="","",$G1487&amp;"|"&amp;$J1487)</f>
        <v/>
      </c>
      <c r="L1487" s="10" t="str">
        <f aca="false">IF($A1487="","",ROW()-2)</f>
        <v/>
      </c>
      <c r="M1487" s="10" t="str">
        <f aca="false">IF($A1487="","",ROW())</f>
        <v/>
      </c>
    </row>
    <row r="1488" customFormat="false" ht="15" hidden="false" customHeight="true" outlineLevel="0" collapsed="false">
      <c r="A1488" s="8"/>
      <c r="B1488" s="8"/>
      <c r="C1488" s="8"/>
      <c r="D1488" s="8"/>
      <c r="E1488" s="8"/>
      <c r="F1488" s="8"/>
      <c r="G1488" s="10" t="str">
        <f aca="false">IF($A1488="","",UPPER(SUBSTITUTE(SUBSTITUTE(SUBSTITUTE(SUBSTITUTE($A1488," ",""),"(주)",""),"주식회사",""),"㈜","")))</f>
        <v/>
      </c>
      <c r="H1488" s="10" t="str">
        <f aca="false">IF($B1488="","",SUBSTITUTE(SUBSTITUTE(SUBSTITUTE($B1488,"-","")," ",""),".",""))</f>
        <v/>
      </c>
      <c r="I1488" s="10" t="str">
        <f aca="false">IF($D1488="","",SUBSTITUTE(SUBSTITUTE(SUBSTITUTE($D1488,"-","")," ",""),".",""))</f>
        <v/>
      </c>
      <c r="J1488" s="10" t="str">
        <f aca="false">IF($E1488="","",UPPER(SUBSTITUTE($E1488," ","")))</f>
        <v/>
      </c>
      <c r="K1488" s="10" t="str">
        <f aca="false">IF($A1488="","",$G1488&amp;"|"&amp;$J1488)</f>
        <v/>
      </c>
      <c r="L1488" s="10" t="str">
        <f aca="false">IF($A1488="","",ROW()-2)</f>
        <v/>
      </c>
      <c r="M1488" s="10" t="str">
        <f aca="false">IF($A1488="","",ROW())</f>
        <v/>
      </c>
    </row>
    <row r="1489" customFormat="false" ht="15" hidden="false" customHeight="true" outlineLevel="0" collapsed="false">
      <c r="A1489" s="8"/>
      <c r="B1489" s="8"/>
      <c r="C1489" s="8"/>
      <c r="D1489" s="8"/>
      <c r="E1489" s="8"/>
      <c r="F1489" s="8"/>
      <c r="G1489" s="10" t="str">
        <f aca="false">IF($A1489="","",UPPER(SUBSTITUTE(SUBSTITUTE(SUBSTITUTE(SUBSTITUTE($A1489," ",""),"(주)",""),"주식회사",""),"㈜","")))</f>
        <v/>
      </c>
      <c r="H1489" s="10" t="str">
        <f aca="false">IF($B1489="","",SUBSTITUTE(SUBSTITUTE(SUBSTITUTE($B1489,"-","")," ",""),".",""))</f>
        <v/>
      </c>
      <c r="I1489" s="10" t="str">
        <f aca="false">IF($D1489="","",SUBSTITUTE(SUBSTITUTE(SUBSTITUTE($D1489,"-","")," ",""),".",""))</f>
        <v/>
      </c>
      <c r="J1489" s="10" t="str">
        <f aca="false">IF($E1489="","",UPPER(SUBSTITUTE($E1489," ","")))</f>
        <v/>
      </c>
      <c r="K1489" s="10" t="str">
        <f aca="false">IF($A1489="","",$G1489&amp;"|"&amp;$J1489)</f>
        <v/>
      </c>
      <c r="L1489" s="10" t="str">
        <f aca="false">IF($A1489="","",ROW()-2)</f>
        <v/>
      </c>
      <c r="M1489" s="10" t="str">
        <f aca="false">IF($A1489="","",ROW())</f>
        <v/>
      </c>
    </row>
    <row r="1490" customFormat="false" ht="15" hidden="false" customHeight="true" outlineLevel="0" collapsed="false">
      <c r="A1490" s="8"/>
      <c r="B1490" s="8"/>
      <c r="C1490" s="8"/>
      <c r="D1490" s="8"/>
      <c r="E1490" s="8"/>
      <c r="F1490" s="8"/>
      <c r="G1490" s="10" t="str">
        <f aca="false">IF($A1490="","",UPPER(SUBSTITUTE(SUBSTITUTE(SUBSTITUTE(SUBSTITUTE($A1490," ",""),"(주)",""),"주식회사",""),"㈜","")))</f>
        <v/>
      </c>
      <c r="H1490" s="10" t="str">
        <f aca="false">IF($B1490="","",SUBSTITUTE(SUBSTITUTE(SUBSTITUTE($B1490,"-","")," ",""),".",""))</f>
        <v/>
      </c>
      <c r="I1490" s="10" t="str">
        <f aca="false">IF($D1490="","",SUBSTITUTE(SUBSTITUTE(SUBSTITUTE($D1490,"-","")," ",""),".",""))</f>
        <v/>
      </c>
      <c r="J1490" s="10" t="str">
        <f aca="false">IF($E1490="","",UPPER(SUBSTITUTE($E1490," ","")))</f>
        <v/>
      </c>
      <c r="K1490" s="10" t="str">
        <f aca="false">IF($A1490="","",$G1490&amp;"|"&amp;$J1490)</f>
        <v/>
      </c>
      <c r="L1490" s="10" t="str">
        <f aca="false">IF($A1490="","",ROW()-2)</f>
        <v/>
      </c>
      <c r="M1490" s="10" t="str">
        <f aca="false">IF($A1490="","",ROW())</f>
        <v/>
      </c>
    </row>
    <row r="1491" customFormat="false" ht="15" hidden="false" customHeight="true" outlineLevel="0" collapsed="false">
      <c r="A1491" s="8"/>
      <c r="B1491" s="8"/>
      <c r="C1491" s="8"/>
      <c r="D1491" s="8"/>
      <c r="E1491" s="8"/>
      <c r="F1491" s="8"/>
      <c r="G1491" s="10" t="str">
        <f aca="false">IF($A1491="","",UPPER(SUBSTITUTE(SUBSTITUTE(SUBSTITUTE(SUBSTITUTE($A1491," ",""),"(주)",""),"주식회사",""),"㈜","")))</f>
        <v/>
      </c>
      <c r="H1491" s="10" t="str">
        <f aca="false">IF($B1491="","",SUBSTITUTE(SUBSTITUTE(SUBSTITUTE($B1491,"-","")," ",""),".",""))</f>
        <v/>
      </c>
      <c r="I1491" s="10" t="str">
        <f aca="false">IF($D1491="","",SUBSTITUTE(SUBSTITUTE(SUBSTITUTE($D1491,"-","")," ",""),".",""))</f>
        <v/>
      </c>
      <c r="J1491" s="10" t="str">
        <f aca="false">IF($E1491="","",UPPER(SUBSTITUTE($E1491," ","")))</f>
        <v/>
      </c>
      <c r="K1491" s="10" t="str">
        <f aca="false">IF($A1491="","",$G1491&amp;"|"&amp;$J1491)</f>
        <v/>
      </c>
      <c r="L1491" s="10" t="str">
        <f aca="false">IF($A1491="","",ROW()-2)</f>
        <v/>
      </c>
      <c r="M1491" s="10" t="str">
        <f aca="false">IF($A1491="","",ROW())</f>
        <v/>
      </c>
    </row>
    <row r="1492" customFormat="false" ht="15" hidden="false" customHeight="true" outlineLevel="0" collapsed="false">
      <c r="A1492" s="8"/>
      <c r="B1492" s="8"/>
      <c r="C1492" s="8"/>
      <c r="D1492" s="8"/>
      <c r="E1492" s="8"/>
      <c r="F1492" s="8"/>
      <c r="G1492" s="10" t="str">
        <f aca="false">IF($A1492="","",UPPER(SUBSTITUTE(SUBSTITUTE(SUBSTITUTE(SUBSTITUTE($A1492," ",""),"(주)",""),"주식회사",""),"㈜","")))</f>
        <v/>
      </c>
      <c r="H1492" s="10" t="str">
        <f aca="false">IF($B1492="","",SUBSTITUTE(SUBSTITUTE(SUBSTITUTE($B1492,"-","")," ",""),".",""))</f>
        <v/>
      </c>
      <c r="I1492" s="10" t="str">
        <f aca="false">IF($D1492="","",SUBSTITUTE(SUBSTITUTE(SUBSTITUTE($D1492,"-","")," ",""),".",""))</f>
        <v/>
      </c>
      <c r="J1492" s="10" t="str">
        <f aca="false">IF($E1492="","",UPPER(SUBSTITUTE($E1492," ","")))</f>
        <v/>
      </c>
      <c r="K1492" s="10" t="str">
        <f aca="false">IF($A1492="","",$G1492&amp;"|"&amp;$J1492)</f>
        <v/>
      </c>
      <c r="L1492" s="10" t="str">
        <f aca="false">IF($A1492="","",ROW()-2)</f>
        <v/>
      </c>
      <c r="M1492" s="10" t="str">
        <f aca="false">IF($A1492="","",ROW())</f>
        <v/>
      </c>
    </row>
    <row r="1493" customFormat="false" ht="15" hidden="false" customHeight="true" outlineLevel="0" collapsed="false">
      <c r="A1493" s="8"/>
      <c r="B1493" s="8"/>
      <c r="C1493" s="8"/>
      <c r="D1493" s="8"/>
      <c r="E1493" s="8"/>
      <c r="F1493" s="8"/>
      <c r="G1493" s="10" t="str">
        <f aca="false">IF($A1493="","",UPPER(SUBSTITUTE(SUBSTITUTE(SUBSTITUTE(SUBSTITUTE($A1493," ",""),"(주)",""),"주식회사",""),"㈜","")))</f>
        <v/>
      </c>
      <c r="H1493" s="10" t="str">
        <f aca="false">IF($B1493="","",SUBSTITUTE(SUBSTITUTE(SUBSTITUTE($B1493,"-","")," ",""),".",""))</f>
        <v/>
      </c>
      <c r="I1493" s="10" t="str">
        <f aca="false">IF($D1493="","",SUBSTITUTE(SUBSTITUTE(SUBSTITUTE($D1493,"-","")," ",""),".",""))</f>
        <v/>
      </c>
      <c r="J1493" s="10" t="str">
        <f aca="false">IF($E1493="","",UPPER(SUBSTITUTE($E1493," ","")))</f>
        <v/>
      </c>
      <c r="K1493" s="10" t="str">
        <f aca="false">IF($A1493="","",$G1493&amp;"|"&amp;$J1493)</f>
        <v/>
      </c>
      <c r="L1493" s="10" t="str">
        <f aca="false">IF($A1493="","",ROW()-2)</f>
        <v/>
      </c>
      <c r="M1493" s="10" t="str">
        <f aca="false">IF($A1493="","",ROW())</f>
        <v/>
      </c>
    </row>
    <row r="1494" customFormat="false" ht="15" hidden="false" customHeight="true" outlineLevel="0" collapsed="false">
      <c r="A1494" s="8"/>
      <c r="B1494" s="8"/>
      <c r="C1494" s="8"/>
      <c r="D1494" s="8"/>
      <c r="E1494" s="8"/>
      <c r="F1494" s="8"/>
      <c r="G1494" s="10" t="str">
        <f aca="false">IF($A1494="","",UPPER(SUBSTITUTE(SUBSTITUTE(SUBSTITUTE(SUBSTITUTE($A1494," ",""),"(주)",""),"주식회사",""),"㈜","")))</f>
        <v/>
      </c>
      <c r="H1494" s="10" t="str">
        <f aca="false">IF($B1494="","",SUBSTITUTE(SUBSTITUTE(SUBSTITUTE($B1494,"-","")," ",""),".",""))</f>
        <v/>
      </c>
      <c r="I1494" s="10" t="str">
        <f aca="false">IF($D1494="","",SUBSTITUTE(SUBSTITUTE(SUBSTITUTE($D1494,"-","")," ",""),".",""))</f>
        <v/>
      </c>
      <c r="J1494" s="10" t="str">
        <f aca="false">IF($E1494="","",UPPER(SUBSTITUTE($E1494," ","")))</f>
        <v/>
      </c>
      <c r="K1494" s="10" t="str">
        <f aca="false">IF($A1494="","",$G1494&amp;"|"&amp;$J1494)</f>
        <v/>
      </c>
      <c r="L1494" s="10" t="str">
        <f aca="false">IF($A1494="","",ROW()-2)</f>
        <v/>
      </c>
      <c r="M1494" s="10" t="str">
        <f aca="false">IF($A1494="","",ROW())</f>
        <v/>
      </c>
    </row>
    <row r="1495" customFormat="false" ht="15" hidden="false" customHeight="true" outlineLevel="0" collapsed="false">
      <c r="A1495" s="8"/>
      <c r="B1495" s="8"/>
      <c r="C1495" s="8"/>
      <c r="D1495" s="8"/>
      <c r="E1495" s="8"/>
      <c r="F1495" s="8"/>
      <c r="G1495" s="10" t="str">
        <f aca="false">IF($A1495="","",UPPER(SUBSTITUTE(SUBSTITUTE(SUBSTITUTE(SUBSTITUTE($A1495," ",""),"(주)",""),"주식회사",""),"㈜","")))</f>
        <v/>
      </c>
      <c r="H1495" s="10" t="str">
        <f aca="false">IF($B1495="","",SUBSTITUTE(SUBSTITUTE(SUBSTITUTE($B1495,"-","")," ",""),".",""))</f>
        <v/>
      </c>
      <c r="I1495" s="10" t="str">
        <f aca="false">IF($D1495="","",SUBSTITUTE(SUBSTITUTE(SUBSTITUTE($D1495,"-","")," ",""),".",""))</f>
        <v/>
      </c>
      <c r="J1495" s="10" t="str">
        <f aca="false">IF($E1495="","",UPPER(SUBSTITUTE($E1495," ","")))</f>
        <v/>
      </c>
      <c r="K1495" s="10" t="str">
        <f aca="false">IF($A1495="","",$G1495&amp;"|"&amp;$J1495)</f>
        <v/>
      </c>
      <c r="L1495" s="10" t="str">
        <f aca="false">IF($A1495="","",ROW()-2)</f>
        <v/>
      </c>
      <c r="M1495" s="10" t="str">
        <f aca="false">IF($A1495="","",ROW())</f>
        <v/>
      </c>
    </row>
    <row r="1496" customFormat="false" ht="15" hidden="false" customHeight="true" outlineLevel="0" collapsed="false">
      <c r="A1496" s="8"/>
      <c r="B1496" s="8"/>
      <c r="C1496" s="8"/>
      <c r="D1496" s="8"/>
      <c r="E1496" s="8"/>
      <c r="F1496" s="8"/>
      <c r="G1496" s="10" t="str">
        <f aca="false">IF($A1496="","",UPPER(SUBSTITUTE(SUBSTITUTE(SUBSTITUTE(SUBSTITUTE($A1496," ",""),"(주)",""),"주식회사",""),"㈜","")))</f>
        <v/>
      </c>
      <c r="H1496" s="10" t="str">
        <f aca="false">IF($B1496="","",SUBSTITUTE(SUBSTITUTE(SUBSTITUTE($B1496,"-","")," ",""),".",""))</f>
        <v/>
      </c>
      <c r="I1496" s="10" t="str">
        <f aca="false">IF($D1496="","",SUBSTITUTE(SUBSTITUTE(SUBSTITUTE($D1496,"-","")," ",""),".",""))</f>
        <v/>
      </c>
      <c r="J1496" s="10" t="str">
        <f aca="false">IF($E1496="","",UPPER(SUBSTITUTE($E1496," ","")))</f>
        <v/>
      </c>
      <c r="K1496" s="10" t="str">
        <f aca="false">IF($A1496="","",$G1496&amp;"|"&amp;$J1496)</f>
        <v/>
      </c>
      <c r="L1496" s="10" t="str">
        <f aca="false">IF($A1496="","",ROW()-2)</f>
        <v/>
      </c>
      <c r="M1496" s="10" t="str">
        <f aca="false">IF($A1496="","",ROW())</f>
        <v/>
      </c>
    </row>
    <row r="1497" customFormat="false" ht="15" hidden="false" customHeight="true" outlineLevel="0" collapsed="false">
      <c r="A1497" s="8"/>
      <c r="B1497" s="8"/>
      <c r="C1497" s="8"/>
      <c r="D1497" s="8"/>
      <c r="E1497" s="8"/>
      <c r="F1497" s="8"/>
      <c r="G1497" s="10" t="str">
        <f aca="false">IF($A1497="","",UPPER(SUBSTITUTE(SUBSTITUTE(SUBSTITUTE(SUBSTITUTE($A1497," ",""),"(주)",""),"주식회사",""),"㈜","")))</f>
        <v/>
      </c>
      <c r="H1497" s="10" t="str">
        <f aca="false">IF($B1497="","",SUBSTITUTE(SUBSTITUTE(SUBSTITUTE($B1497,"-","")," ",""),".",""))</f>
        <v/>
      </c>
      <c r="I1497" s="10" t="str">
        <f aca="false">IF($D1497="","",SUBSTITUTE(SUBSTITUTE(SUBSTITUTE($D1497,"-","")," ",""),".",""))</f>
        <v/>
      </c>
      <c r="J1497" s="10" t="str">
        <f aca="false">IF($E1497="","",UPPER(SUBSTITUTE($E1497," ","")))</f>
        <v/>
      </c>
      <c r="K1497" s="10" t="str">
        <f aca="false">IF($A1497="","",$G1497&amp;"|"&amp;$J1497)</f>
        <v/>
      </c>
      <c r="L1497" s="10" t="str">
        <f aca="false">IF($A1497="","",ROW()-2)</f>
        <v/>
      </c>
      <c r="M1497" s="10" t="str">
        <f aca="false">IF($A1497="","",ROW())</f>
        <v/>
      </c>
    </row>
    <row r="1498" customFormat="false" ht="15" hidden="false" customHeight="true" outlineLevel="0" collapsed="false">
      <c r="A1498" s="8"/>
      <c r="B1498" s="8"/>
      <c r="C1498" s="8"/>
      <c r="D1498" s="8"/>
      <c r="E1498" s="8"/>
      <c r="F1498" s="8"/>
      <c r="G1498" s="10" t="str">
        <f aca="false">IF($A1498="","",UPPER(SUBSTITUTE(SUBSTITUTE(SUBSTITUTE(SUBSTITUTE($A1498," ",""),"(주)",""),"주식회사",""),"㈜","")))</f>
        <v/>
      </c>
      <c r="H1498" s="10" t="str">
        <f aca="false">IF($B1498="","",SUBSTITUTE(SUBSTITUTE(SUBSTITUTE($B1498,"-","")," ",""),".",""))</f>
        <v/>
      </c>
      <c r="I1498" s="10" t="str">
        <f aca="false">IF($D1498="","",SUBSTITUTE(SUBSTITUTE(SUBSTITUTE($D1498,"-","")," ",""),".",""))</f>
        <v/>
      </c>
      <c r="J1498" s="10" t="str">
        <f aca="false">IF($E1498="","",UPPER(SUBSTITUTE($E1498," ","")))</f>
        <v/>
      </c>
      <c r="K1498" s="10" t="str">
        <f aca="false">IF($A1498="","",$G1498&amp;"|"&amp;$J1498)</f>
        <v/>
      </c>
      <c r="L1498" s="10" t="str">
        <f aca="false">IF($A1498="","",ROW()-2)</f>
        <v/>
      </c>
      <c r="M1498" s="10" t="str">
        <f aca="false">IF($A1498="","",ROW())</f>
        <v/>
      </c>
    </row>
    <row r="1499" customFormat="false" ht="15" hidden="false" customHeight="true" outlineLevel="0" collapsed="false">
      <c r="A1499" s="8"/>
      <c r="B1499" s="8"/>
      <c r="C1499" s="8"/>
      <c r="D1499" s="8"/>
      <c r="E1499" s="8"/>
      <c r="F1499" s="8"/>
      <c r="G1499" s="10" t="str">
        <f aca="false">IF($A1499="","",UPPER(SUBSTITUTE(SUBSTITUTE(SUBSTITUTE(SUBSTITUTE($A1499," ",""),"(주)",""),"주식회사",""),"㈜","")))</f>
        <v/>
      </c>
      <c r="H1499" s="10" t="str">
        <f aca="false">IF($B1499="","",SUBSTITUTE(SUBSTITUTE(SUBSTITUTE($B1499,"-","")," ",""),".",""))</f>
        <v/>
      </c>
      <c r="I1499" s="10" t="str">
        <f aca="false">IF($D1499="","",SUBSTITUTE(SUBSTITUTE(SUBSTITUTE($D1499,"-","")," ",""),".",""))</f>
        <v/>
      </c>
      <c r="J1499" s="10" t="str">
        <f aca="false">IF($E1499="","",UPPER(SUBSTITUTE($E1499," ","")))</f>
        <v/>
      </c>
      <c r="K1499" s="10" t="str">
        <f aca="false">IF($A1499="","",$G1499&amp;"|"&amp;$J1499)</f>
        <v/>
      </c>
      <c r="L1499" s="10" t="str">
        <f aca="false">IF($A1499="","",ROW()-2)</f>
        <v/>
      </c>
      <c r="M1499" s="10" t="str">
        <f aca="false">IF($A1499="","",ROW())</f>
        <v/>
      </c>
    </row>
    <row r="1500" customFormat="false" ht="15" hidden="false" customHeight="true" outlineLevel="0" collapsed="false">
      <c r="A1500" s="8"/>
      <c r="B1500" s="8"/>
      <c r="C1500" s="8"/>
      <c r="D1500" s="8"/>
      <c r="E1500" s="8"/>
      <c r="F1500" s="8"/>
      <c r="G1500" s="10" t="str">
        <f aca="false">IF($A1500="","",UPPER(SUBSTITUTE(SUBSTITUTE(SUBSTITUTE(SUBSTITUTE($A1500," ",""),"(주)",""),"주식회사",""),"㈜","")))</f>
        <v/>
      </c>
      <c r="H1500" s="10" t="str">
        <f aca="false">IF($B1500="","",SUBSTITUTE(SUBSTITUTE(SUBSTITUTE($B1500,"-","")," ",""),".",""))</f>
        <v/>
      </c>
      <c r="I1500" s="10" t="str">
        <f aca="false">IF($D1500="","",SUBSTITUTE(SUBSTITUTE(SUBSTITUTE($D1500,"-","")," ",""),".",""))</f>
        <v/>
      </c>
      <c r="J1500" s="10" t="str">
        <f aca="false">IF($E1500="","",UPPER(SUBSTITUTE($E1500," ","")))</f>
        <v/>
      </c>
      <c r="K1500" s="10" t="str">
        <f aca="false">IF($A1500="","",$G1500&amp;"|"&amp;$J1500)</f>
        <v/>
      </c>
      <c r="L1500" s="10" t="str">
        <f aca="false">IF($A1500="","",ROW()-2)</f>
        <v/>
      </c>
      <c r="M1500" s="10" t="str">
        <f aca="false">IF($A1500="","",ROW())</f>
        <v/>
      </c>
    </row>
    <row r="1501" customFormat="false" ht="15" hidden="false" customHeight="true" outlineLevel="0" collapsed="false">
      <c r="A1501" s="8"/>
      <c r="B1501" s="8"/>
      <c r="C1501" s="8"/>
      <c r="D1501" s="8"/>
      <c r="E1501" s="8"/>
      <c r="F1501" s="8"/>
      <c r="G1501" s="10" t="str">
        <f aca="false">IF($A1501="","",UPPER(SUBSTITUTE(SUBSTITUTE(SUBSTITUTE(SUBSTITUTE($A1501," ",""),"(주)",""),"주식회사",""),"㈜","")))</f>
        <v/>
      </c>
      <c r="H1501" s="10" t="str">
        <f aca="false">IF($B1501="","",SUBSTITUTE(SUBSTITUTE(SUBSTITUTE($B1501,"-","")," ",""),".",""))</f>
        <v/>
      </c>
      <c r="I1501" s="10" t="str">
        <f aca="false">IF($D1501="","",SUBSTITUTE(SUBSTITUTE(SUBSTITUTE($D1501,"-","")," ",""),".",""))</f>
        <v/>
      </c>
      <c r="J1501" s="10" t="str">
        <f aca="false">IF($E1501="","",UPPER(SUBSTITUTE($E1501," ","")))</f>
        <v/>
      </c>
      <c r="K1501" s="10" t="str">
        <f aca="false">IF($A1501="","",$G1501&amp;"|"&amp;$J1501)</f>
        <v/>
      </c>
      <c r="L1501" s="10" t="str">
        <f aca="false">IF($A1501="","",ROW()-2)</f>
        <v/>
      </c>
      <c r="M1501" s="10" t="str">
        <f aca="false">IF($A1501="","",ROW())</f>
        <v/>
      </c>
    </row>
    <row r="1502" customFormat="false" ht="15" hidden="false" customHeight="true" outlineLevel="0" collapsed="false">
      <c r="A1502" s="8"/>
      <c r="B1502" s="8"/>
      <c r="C1502" s="8"/>
      <c r="D1502" s="8"/>
      <c r="E1502" s="8"/>
      <c r="F1502" s="8"/>
      <c r="G1502" s="10" t="str">
        <f aca="false">IF($A1502="","",UPPER(SUBSTITUTE(SUBSTITUTE(SUBSTITUTE(SUBSTITUTE($A1502," ",""),"(주)",""),"주식회사",""),"㈜","")))</f>
        <v/>
      </c>
      <c r="H1502" s="10" t="str">
        <f aca="false">IF($B1502="","",SUBSTITUTE(SUBSTITUTE(SUBSTITUTE($B1502,"-","")," ",""),".",""))</f>
        <v/>
      </c>
      <c r="I1502" s="10" t="str">
        <f aca="false">IF($D1502="","",SUBSTITUTE(SUBSTITUTE(SUBSTITUTE($D1502,"-","")," ",""),".",""))</f>
        <v/>
      </c>
      <c r="J1502" s="10" t="str">
        <f aca="false">IF($E1502="","",UPPER(SUBSTITUTE($E1502," ","")))</f>
        <v/>
      </c>
      <c r="K1502" s="10" t="str">
        <f aca="false">IF($A1502="","",$G1502&amp;"|"&amp;$J1502)</f>
        <v/>
      </c>
      <c r="L1502" s="10" t="str">
        <f aca="false">IF($A1502="","",ROW()-2)</f>
        <v/>
      </c>
      <c r="M1502" s="10" t="str">
        <f aca="false">IF($A1502="","",ROW())</f>
        <v/>
      </c>
    </row>
    <row r="1503" customFormat="false" ht="15" hidden="false" customHeight="true" outlineLevel="0" collapsed="false">
      <c r="A1503" s="8"/>
      <c r="B1503" s="8"/>
      <c r="C1503" s="8"/>
      <c r="D1503" s="8"/>
      <c r="E1503" s="8"/>
      <c r="F1503" s="8"/>
      <c r="G1503" s="10" t="str">
        <f aca="false">IF($A1503="","",UPPER(SUBSTITUTE(SUBSTITUTE(SUBSTITUTE(SUBSTITUTE($A1503," ",""),"(주)",""),"주식회사",""),"㈜","")))</f>
        <v/>
      </c>
      <c r="H1503" s="10" t="str">
        <f aca="false">IF($B1503="","",SUBSTITUTE(SUBSTITUTE(SUBSTITUTE($B1503,"-","")," ",""),".",""))</f>
        <v/>
      </c>
      <c r="I1503" s="10" t="str">
        <f aca="false">IF($D1503="","",SUBSTITUTE(SUBSTITUTE(SUBSTITUTE($D1503,"-","")," ",""),".",""))</f>
        <v/>
      </c>
      <c r="J1503" s="10" t="str">
        <f aca="false">IF($E1503="","",UPPER(SUBSTITUTE($E1503," ","")))</f>
        <v/>
      </c>
      <c r="K1503" s="10" t="str">
        <f aca="false">IF($A1503="","",$G1503&amp;"|"&amp;$J1503)</f>
        <v/>
      </c>
      <c r="L1503" s="10" t="str">
        <f aca="false">IF($A1503="","",ROW()-2)</f>
        <v/>
      </c>
      <c r="M1503" s="10" t="str">
        <f aca="false">IF($A1503="","",ROW())</f>
        <v/>
      </c>
    </row>
    <row r="1504" customFormat="false" ht="15" hidden="false" customHeight="true" outlineLevel="0" collapsed="false">
      <c r="A1504" s="8"/>
      <c r="B1504" s="8"/>
      <c r="C1504" s="8"/>
      <c r="D1504" s="8"/>
      <c r="E1504" s="8"/>
      <c r="F1504" s="8"/>
      <c r="G1504" s="10" t="str">
        <f aca="false">IF($A1504="","",UPPER(SUBSTITUTE(SUBSTITUTE(SUBSTITUTE(SUBSTITUTE($A1504," ",""),"(주)",""),"주식회사",""),"㈜","")))</f>
        <v/>
      </c>
      <c r="H1504" s="10" t="str">
        <f aca="false">IF($B1504="","",SUBSTITUTE(SUBSTITUTE(SUBSTITUTE($B1504,"-","")," ",""),".",""))</f>
        <v/>
      </c>
      <c r="I1504" s="10" t="str">
        <f aca="false">IF($D1504="","",SUBSTITUTE(SUBSTITUTE(SUBSTITUTE($D1504,"-","")," ",""),".",""))</f>
        <v/>
      </c>
      <c r="J1504" s="10" t="str">
        <f aca="false">IF($E1504="","",UPPER(SUBSTITUTE($E1504," ","")))</f>
        <v/>
      </c>
      <c r="K1504" s="10" t="str">
        <f aca="false">IF($A1504="","",$G1504&amp;"|"&amp;$J1504)</f>
        <v/>
      </c>
      <c r="L1504" s="10" t="str">
        <f aca="false">IF($A1504="","",ROW()-2)</f>
        <v/>
      </c>
      <c r="M1504" s="10" t="str">
        <f aca="false">IF($A1504="","",ROW())</f>
        <v/>
      </c>
    </row>
    <row r="1505" customFormat="false" ht="15" hidden="false" customHeight="true" outlineLevel="0" collapsed="false">
      <c r="A1505" s="8"/>
      <c r="B1505" s="8"/>
      <c r="C1505" s="8"/>
      <c r="D1505" s="8"/>
      <c r="E1505" s="8"/>
      <c r="F1505" s="8"/>
      <c r="G1505" s="10" t="str">
        <f aca="false">IF($A1505="","",UPPER(SUBSTITUTE(SUBSTITUTE(SUBSTITUTE(SUBSTITUTE($A1505," ",""),"(주)",""),"주식회사",""),"㈜","")))</f>
        <v/>
      </c>
      <c r="H1505" s="10" t="str">
        <f aca="false">IF($B1505="","",SUBSTITUTE(SUBSTITUTE(SUBSTITUTE($B1505,"-","")," ",""),".",""))</f>
        <v/>
      </c>
      <c r="I1505" s="10" t="str">
        <f aca="false">IF($D1505="","",SUBSTITUTE(SUBSTITUTE(SUBSTITUTE($D1505,"-","")," ",""),".",""))</f>
        <v/>
      </c>
      <c r="J1505" s="10" t="str">
        <f aca="false">IF($E1505="","",UPPER(SUBSTITUTE($E1505," ","")))</f>
        <v/>
      </c>
      <c r="K1505" s="10" t="str">
        <f aca="false">IF($A1505="","",$G1505&amp;"|"&amp;$J1505)</f>
        <v/>
      </c>
      <c r="L1505" s="10" t="str">
        <f aca="false">IF($A1505="","",ROW()-2)</f>
        <v/>
      </c>
      <c r="M1505" s="10" t="str">
        <f aca="false">IF($A1505="","",ROW())</f>
        <v/>
      </c>
    </row>
    <row r="1506" customFormat="false" ht="15" hidden="false" customHeight="true" outlineLevel="0" collapsed="false">
      <c r="A1506" s="8"/>
      <c r="B1506" s="8"/>
      <c r="C1506" s="8"/>
      <c r="D1506" s="8"/>
      <c r="E1506" s="8"/>
      <c r="F1506" s="8"/>
      <c r="G1506" s="10" t="str">
        <f aca="false">IF($A1506="","",UPPER(SUBSTITUTE(SUBSTITUTE(SUBSTITUTE(SUBSTITUTE($A1506," ",""),"(주)",""),"주식회사",""),"㈜","")))</f>
        <v/>
      </c>
      <c r="H1506" s="10" t="str">
        <f aca="false">IF($B1506="","",SUBSTITUTE(SUBSTITUTE(SUBSTITUTE($B1506,"-","")," ",""),".",""))</f>
        <v/>
      </c>
      <c r="I1506" s="10" t="str">
        <f aca="false">IF($D1506="","",SUBSTITUTE(SUBSTITUTE(SUBSTITUTE($D1506,"-","")," ",""),".",""))</f>
        <v/>
      </c>
      <c r="J1506" s="10" t="str">
        <f aca="false">IF($E1506="","",UPPER(SUBSTITUTE($E1506," ","")))</f>
        <v/>
      </c>
      <c r="K1506" s="10" t="str">
        <f aca="false">IF($A1506="","",$G1506&amp;"|"&amp;$J1506)</f>
        <v/>
      </c>
      <c r="L1506" s="10" t="str">
        <f aca="false">IF($A1506="","",ROW()-2)</f>
        <v/>
      </c>
      <c r="M1506" s="10" t="str">
        <f aca="false">IF($A1506="","",ROW())</f>
        <v/>
      </c>
    </row>
    <row r="1507" customFormat="false" ht="15" hidden="false" customHeight="true" outlineLevel="0" collapsed="false">
      <c r="A1507" s="8"/>
      <c r="B1507" s="8"/>
      <c r="C1507" s="8"/>
      <c r="D1507" s="8"/>
      <c r="E1507" s="8"/>
      <c r="F1507" s="8"/>
      <c r="G1507" s="10" t="str">
        <f aca="false">IF($A1507="","",UPPER(SUBSTITUTE(SUBSTITUTE(SUBSTITUTE(SUBSTITUTE($A1507," ",""),"(주)",""),"주식회사",""),"㈜","")))</f>
        <v/>
      </c>
      <c r="H1507" s="10" t="str">
        <f aca="false">IF($B1507="","",SUBSTITUTE(SUBSTITUTE(SUBSTITUTE($B1507,"-","")," ",""),".",""))</f>
        <v/>
      </c>
      <c r="I1507" s="10" t="str">
        <f aca="false">IF($D1507="","",SUBSTITUTE(SUBSTITUTE(SUBSTITUTE($D1507,"-","")," ",""),".",""))</f>
        <v/>
      </c>
      <c r="J1507" s="10" t="str">
        <f aca="false">IF($E1507="","",UPPER(SUBSTITUTE($E1507," ","")))</f>
        <v/>
      </c>
      <c r="K1507" s="10" t="str">
        <f aca="false">IF($A1507="","",$G1507&amp;"|"&amp;$J1507)</f>
        <v/>
      </c>
      <c r="L1507" s="10" t="str">
        <f aca="false">IF($A1507="","",ROW()-2)</f>
        <v/>
      </c>
      <c r="M1507" s="10" t="str">
        <f aca="false">IF($A1507="","",ROW())</f>
        <v/>
      </c>
    </row>
    <row r="1508" customFormat="false" ht="15" hidden="false" customHeight="true" outlineLevel="0" collapsed="false">
      <c r="A1508" s="8"/>
      <c r="B1508" s="8"/>
      <c r="C1508" s="8"/>
      <c r="D1508" s="8"/>
      <c r="E1508" s="8"/>
      <c r="F1508" s="8"/>
      <c r="G1508" s="10" t="str">
        <f aca="false">IF($A1508="","",UPPER(SUBSTITUTE(SUBSTITUTE(SUBSTITUTE(SUBSTITUTE($A1508," ",""),"(주)",""),"주식회사",""),"㈜","")))</f>
        <v/>
      </c>
      <c r="H1508" s="10" t="str">
        <f aca="false">IF($B1508="","",SUBSTITUTE(SUBSTITUTE(SUBSTITUTE($B1508,"-","")," ",""),".",""))</f>
        <v/>
      </c>
      <c r="I1508" s="10" t="str">
        <f aca="false">IF($D1508="","",SUBSTITUTE(SUBSTITUTE(SUBSTITUTE($D1508,"-","")," ",""),".",""))</f>
        <v/>
      </c>
      <c r="J1508" s="10" t="str">
        <f aca="false">IF($E1508="","",UPPER(SUBSTITUTE($E1508," ","")))</f>
        <v/>
      </c>
      <c r="K1508" s="10" t="str">
        <f aca="false">IF($A1508="","",$G1508&amp;"|"&amp;$J1508)</f>
        <v/>
      </c>
      <c r="L1508" s="10" t="str">
        <f aca="false">IF($A1508="","",ROW()-2)</f>
        <v/>
      </c>
      <c r="M1508" s="10" t="str">
        <f aca="false">IF($A1508="","",ROW())</f>
        <v/>
      </c>
    </row>
    <row r="1509" customFormat="false" ht="15" hidden="false" customHeight="true" outlineLevel="0" collapsed="false">
      <c r="A1509" s="8"/>
      <c r="B1509" s="8"/>
      <c r="C1509" s="8"/>
      <c r="D1509" s="8"/>
      <c r="E1509" s="8"/>
      <c r="F1509" s="8"/>
      <c r="G1509" s="10" t="str">
        <f aca="false">IF($A1509="","",UPPER(SUBSTITUTE(SUBSTITUTE(SUBSTITUTE(SUBSTITUTE($A1509," ",""),"(주)",""),"주식회사",""),"㈜","")))</f>
        <v/>
      </c>
      <c r="H1509" s="10" t="str">
        <f aca="false">IF($B1509="","",SUBSTITUTE(SUBSTITUTE(SUBSTITUTE($B1509,"-","")," ",""),".",""))</f>
        <v/>
      </c>
      <c r="I1509" s="10" t="str">
        <f aca="false">IF($D1509="","",SUBSTITUTE(SUBSTITUTE(SUBSTITUTE($D1509,"-","")," ",""),".",""))</f>
        <v/>
      </c>
      <c r="J1509" s="10" t="str">
        <f aca="false">IF($E1509="","",UPPER(SUBSTITUTE($E1509," ","")))</f>
        <v/>
      </c>
      <c r="K1509" s="10" t="str">
        <f aca="false">IF($A1509="","",$G1509&amp;"|"&amp;$J1509)</f>
        <v/>
      </c>
      <c r="L1509" s="10" t="str">
        <f aca="false">IF($A1509="","",ROW()-2)</f>
        <v/>
      </c>
      <c r="M1509" s="10" t="str">
        <f aca="false">IF($A1509="","",ROW())</f>
        <v/>
      </c>
    </row>
    <row r="1510" customFormat="false" ht="15" hidden="false" customHeight="true" outlineLevel="0" collapsed="false">
      <c r="A1510" s="8"/>
      <c r="B1510" s="8"/>
      <c r="C1510" s="8"/>
      <c r="D1510" s="8"/>
      <c r="E1510" s="8"/>
      <c r="F1510" s="8"/>
      <c r="G1510" s="10" t="str">
        <f aca="false">IF($A1510="","",UPPER(SUBSTITUTE(SUBSTITUTE(SUBSTITUTE(SUBSTITUTE($A1510," ",""),"(주)",""),"주식회사",""),"㈜","")))</f>
        <v/>
      </c>
      <c r="H1510" s="10" t="str">
        <f aca="false">IF($B1510="","",SUBSTITUTE(SUBSTITUTE(SUBSTITUTE($B1510,"-","")," ",""),".",""))</f>
        <v/>
      </c>
      <c r="I1510" s="10" t="str">
        <f aca="false">IF($D1510="","",SUBSTITUTE(SUBSTITUTE(SUBSTITUTE($D1510,"-","")," ",""),".",""))</f>
        <v/>
      </c>
      <c r="J1510" s="10" t="str">
        <f aca="false">IF($E1510="","",UPPER(SUBSTITUTE($E1510," ","")))</f>
        <v/>
      </c>
      <c r="K1510" s="10" t="str">
        <f aca="false">IF($A1510="","",$G1510&amp;"|"&amp;$J1510)</f>
        <v/>
      </c>
      <c r="L1510" s="10" t="str">
        <f aca="false">IF($A1510="","",ROW()-2)</f>
        <v/>
      </c>
      <c r="M1510" s="10" t="str">
        <f aca="false">IF($A1510="","",ROW())</f>
        <v/>
      </c>
    </row>
    <row r="1511" customFormat="false" ht="15" hidden="false" customHeight="true" outlineLevel="0" collapsed="false">
      <c r="A1511" s="8"/>
      <c r="B1511" s="8"/>
      <c r="C1511" s="8"/>
      <c r="D1511" s="8"/>
      <c r="E1511" s="8"/>
      <c r="F1511" s="8"/>
      <c r="G1511" s="10" t="str">
        <f aca="false">IF($A1511="","",UPPER(SUBSTITUTE(SUBSTITUTE(SUBSTITUTE(SUBSTITUTE($A1511," ",""),"(주)",""),"주식회사",""),"㈜","")))</f>
        <v/>
      </c>
      <c r="H1511" s="10" t="str">
        <f aca="false">IF($B1511="","",SUBSTITUTE(SUBSTITUTE(SUBSTITUTE($B1511,"-","")," ",""),".",""))</f>
        <v/>
      </c>
      <c r="I1511" s="10" t="str">
        <f aca="false">IF($D1511="","",SUBSTITUTE(SUBSTITUTE(SUBSTITUTE($D1511,"-","")," ",""),".",""))</f>
        <v/>
      </c>
      <c r="J1511" s="10" t="str">
        <f aca="false">IF($E1511="","",UPPER(SUBSTITUTE($E1511," ","")))</f>
        <v/>
      </c>
      <c r="K1511" s="10" t="str">
        <f aca="false">IF($A1511="","",$G1511&amp;"|"&amp;$J1511)</f>
        <v/>
      </c>
      <c r="L1511" s="10" t="str">
        <f aca="false">IF($A1511="","",ROW()-2)</f>
        <v/>
      </c>
      <c r="M1511" s="10" t="str">
        <f aca="false">IF($A1511="","",ROW())</f>
        <v/>
      </c>
    </row>
    <row r="1512" customFormat="false" ht="15" hidden="false" customHeight="true" outlineLevel="0" collapsed="false">
      <c r="A1512" s="8"/>
      <c r="B1512" s="8"/>
      <c r="C1512" s="8"/>
      <c r="D1512" s="8"/>
      <c r="E1512" s="8"/>
      <c r="F1512" s="8"/>
      <c r="G1512" s="10" t="str">
        <f aca="false">IF($A1512="","",UPPER(SUBSTITUTE(SUBSTITUTE(SUBSTITUTE(SUBSTITUTE($A1512," ",""),"(주)",""),"주식회사",""),"㈜","")))</f>
        <v/>
      </c>
      <c r="H1512" s="10" t="str">
        <f aca="false">IF($B1512="","",SUBSTITUTE(SUBSTITUTE(SUBSTITUTE($B1512,"-","")," ",""),".",""))</f>
        <v/>
      </c>
      <c r="I1512" s="10" t="str">
        <f aca="false">IF($D1512="","",SUBSTITUTE(SUBSTITUTE(SUBSTITUTE($D1512,"-","")," ",""),".",""))</f>
        <v/>
      </c>
      <c r="J1512" s="10" t="str">
        <f aca="false">IF($E1512="","",UPPER(SUBSTITUTE($E1512," ","")))</f>
        <v/>
      </c>
      <c r="K1512" s="10" t="str">
        <f aca="false">IF($A1512="","",$G1512&amp;"|"&amp;$J1512)</f>
        <v/>
      </c>
      <c r="L1512" s="10" t="str">
        <f aca="false">IF($A1512="","",ROW()-2)</f>
        <v/>
      </c>
      <c r="M1512" s="10" t="str">
        <f aca="false">IF($A1512="","",ROW())</f>
        <v/>
      </c>
    </row>
    <row r="1513" customFormat="false" ht="15" hidden="false" customHeight="true" outlineLevel="0" collapsed="false">
      <c r="A1513" s="8"/>
      <c r="B1513" s="8"/>
      <c r="C1513" s="8"/>
      <c r="D1513" s="8"/>
      <c r="E1513" s="8"/>
      <c r="F1513" s="8"/>
      <c r="G1513" s="10" t="str">
        <f aca="false">IF($A1513="","",UPPER(SUBSTITUTE(SUBSTITUTE(SUBSTITUTE(SUBSTITUTE($A1513," ",""),"(주)",""),"주식회사",""),"㈜","")))</f>
        <v/>
      </c>
      <c r="H1513" s="10" t="str">
        <f aca="false">IF($B1513="","",SUBSTITUTE(SUBSTITUTE(SUBSTITUTE($B1513,"-","")," ",""),".",""))</f>
        <v/>
      </c>
      <c r="I1513" s="10" t="str">
        <f aca="false">IF($D1513="","",SUBSTITUTE(SUBSTITUTE(SUBSTITUTE($D1513,"-","")," ",""),".",""))</f>
        <v/>
      </c>
      <c r="J1513" s="10" t="str">
        <f aca="false">IF($E1513="","",UPPER(SUBSTITUTE($E1513," ","")))</f>
        <v/>
      </c>
      <c r="K1513" s="10" t="str">
        <f aca="false">IF($A1513="","",$G1513&amp;"|"&amp;$J1513)</f>
        <v/>
      </c>
      <c r="L1513" s="10" t="str">
        <f aca="false">IF($A1513="","",ROW()-2)</f>
        <v/>
      </c>
      <c r="M1513" s="10" t="str">
        <f aca="false">IF($A1513="","",ROW())</f>
        <v/>
      </c>
    </row>
    <row r="1514" customFormat="false" ht="15" hidden="false" customHeight="true" outlineLevel="0" collapsed="false">
      <c r="A1514" s="8"/>
      <c r="B1514" s="8"/>
      <c r="C1514" s="8"/>
      <c r="D1514" s="8"/>
      <c r="E1514" s="8"/>
      <c r="F1514" s="8"/>
      <c r="G1514" s="10" t="str">
        <f aca="false">IF($A1514="","",UPPER(SUBSTITUTE(SUBSTITUTE(SUBSTITUTE(SUBSTITUTE($A1514," ",""),"(주)",""),"주식회사",""),"㈜","")))</f>
        <v/>
      </c>
      <c r="H1514" s="10" t="str">
        <f aca="false">IF($B1514="","",SUBSTITUTE(SUBSTITUTE(SUBSTITUTE($B1514,"-","")," ",""),".",""))</f>
        <v/>
      </c>
      <c r="I1514" s="10" t="str">
        <f aca="false">IF($D1514="","",SUBSTITUTE(SUBSTITUTE(SUBSTITUTE($D1514,"-","")," ",""),".",""))</f>
        <v/>
      </c>
      <c r="J1514" s="10" t="str">
        <f aca="false">IF($E1514="","",UPPER(SUBSTITUTE($E1514," ","")))</f>
        <v/>
      </c>
      <c r="K1514" s="10" t="str">
        <f aca="false">IF($A1514="","",$G1514&amp;"|"&amp;$J1514)</f>
        <v/>
      </c>
      <c r="L1514" s="10" t="str">
        <f aca="false">IF($A1514="","",ROW()-2)</f>
        <v/>
      </c>
      <c r="M1514" s="10" t="str">
        <f aca="false">IF($A1514="","",ROW())</f>
        <v/>
      </c>
    </row>
    <row r="1515" customFormat="false" ht="15" hidden="false" customHeight="true" outlineLevel="0" collapsed="false">
      <c r="A1515" s="8"/>
      <c r="B1515" s="8"/>
      <c r="C1515" s="8"/>
      <c r="D1515" s="8"/>
      <c r="E1515" s="8"/>
      <c r="F1515" s="8"/>
      <c r="G1515" s="10" t="str">
        <f aca="false">IF($A1515="","",UPPER(SUBSTITUTE(SUBSTITUTE(SUBSTITUTE(SUBSTITUTE($A1515," ",""),"(주)",""),"주식회사",""),"㈜","")))</f>
        <v/>
      </c>
      <c r="H1515" s="10" t="str">
        <f aca="false">IF($B1515="","",SUBSTITUTE(SUBSTITUTE(SUBSTITUTE($B1515,"-","")," ",""),".",""))</f>
        <v/>
      </c>
      <c r="I1515" s="10" t="str">
        <f aca="false">IF($D1515="","",SUBSTITUTE(SUBSTITUTE(SUBSTITUTE($D1515,"-","")," ",""),".",""))</f>
        <v/>
      </c>
      <c r="J1515" s="10" t="str">
        <f aca="false">IF($E1515="","",UPPER(SUBSTITUTE($E1515," ","")))</f>
        <v/>
      </c>
      <c r="K1515" s="10" t="str">
        <f aca="false">IF($A1515="","",$G1515&amp;"|"&amp;$J1515)</f>
        <v/>
      </c>
      <c r="L1515" s="10" t="str">
        <f aca="false">IF($A1515="","",ROW()-2)</f>
        <v/>
      </c>
      <c r="M1515" s="10" t="str">
        <f aca="false">IF($A1515="","",ROW())</f>
        <v/>
      </c>
    </row>
    <row r="1516" customFormat="false" ht="15" hidden="false" customHeight="true" outlineLevel="0" collapsed="false">
      <c r="A1516" s="8"/>
      <c r="B1516" s="8"/>
      <c r="C1516" s="8"/>
      <c r="D1516" s="8"/>
      <c r="E1516" s="8"/>
      <c r="F1516" s="8"/>
      <c r="G1516" s="10" t="str">
        <f aca="false">IF($A1516="","",UPPER(SUBSTITUTE(SUBSTITUTE(SUBSTITUTE(SUBSTITUTE($A1516," ",""),"(주)",""),"주식회사",""),"㈜","")))</f>
        <v/>
      </c>
      <c r="H1516" s="10" t="str">
        <f aca="false">IF($B1516="","",SUBSTITUTE(SUBSTITUTE(SUBSTITUTE($B1516,"-","")," ",""),".",""))</f>
        <v/>
      </c>
      <c r="I1516" s="10" t="str">
        <f aca="false">IF($D1516="","",SUBSTITUTE(SUBSTITUTE(SUBSTITUTE($D1516,"-","")," ",""),".",""))</f>
        <v/>
      </c>
      <c r="J1516" s="10" t="str">
        <f aca="false">IF($E1516="","",UPPER(SUBSTITUTE($E1516," ","")))</f>
        <v/>
      </c>
      <c r="K1516" s="10" t="str">
        <f aca="false">IF($A1516="","",$G1516&amp;"|"&amp;$J1516)</f>
        <v/>
      </c>
      <c r="L1516" s="10" t="str">
        <f aca="false">IF($A1516="","",ROW()-2)</f>
        <v/>
      </c>
      <c r="M1516" s="10" t="str">
        <f aca="false">IF($A1516="","",ROW())</f>
        <v/>
      </c>
    </row>
    <row r="1517" customFormat="false" ht="15" hidden="false" customHeight="true" outlineLevel="0" collapsed="false">
      <c r="A1517" s="8"/>
      <c r="B1517" s="8"/>
      <c r="C1517" s="8"/>
      <c r="D1517" s="8"/>
      <c r="E1517" s="8"/>
      <c r="F1517" s="8"/>
      <c r="G1517" s="10" t="str">
        <f aca="false">IF($A1517="","",UPPER(SUBSTITUTE(SUBSTITUTE(SUBSTITUTE(SUBSTITUTE($A1517," ",""),"(주)",""),"주식회사",""),"㈜","")))</f>
        <v/>
      </c>
      <c r="H1517" s="10" t="str">
        <f aca="false">IF($B1517="","",SUBSTITUTE(SUBSTITUTE(SUBSTITUTE($B1517,"-","")," ",""),".",""))</f>
        <v/>
      </c>
      <c r="I1517" s="10" t="str">
        <f aca="false">IF($D1517="","",SUBSTITUTE(SUBSTITUTE(SUBSTITUTE($D1517,"-","")," ",""),".",""))</f>
        <v/>
      </c>
      <c r="J1517" s="10" t="str">
        <f aca="false">IF($E1517="","",UPPER(SUBSTITUTE($E1517," ","")))</f>
        <v/>
      </c>
      <c r="K1517" s="10" t="str">
        <f aca="false">IF($A1517="","",$G1517&amp;"|"&amp;$J1517)</f>
        <v/>
      </c>
      <c r="L1517" s="10" t="str">
        <f aca="false">IF($A1517="","",ROW()-2)</f>
        <v/>
      </c>
      <c r="M1517" s="10" t="str">
        <f aca="false">IF($A1517="","",ROW())</f>
        <v/>
      </c>
    </row>
    <row r="1518" customFormat="false" ht="15" hidden="false" customHeight="true" outlineLevel="0" collapsed="false">
      <c r="A1518" s="8"/>
      <c r="B1518" s="8"/>
      <c r="C1518" s="8"/>
      <c r="D1518" s="8"/>
      <c r="E1518" s="8"/>
      <c r="F1518" s="8"/>
      <c r="G1518" s="10" t="str">
        <f aca="false">IF($A1518="","",UPPER(SUBSTITUTE(SUBSTITUTE(SUBSTITUTE(SUBSTITUTE($A1518," ",""),"(주)",""),"주식회사",""),"㈜","")))</f>
        <v/>
      </c>
      <c r="H1518" s="10" t="str">
        <f aca="false">IF($B1518="","",SUBSTITUTE(SUBSTITUTE(SUBSTITUTE($B1518,"-","")," ",""),".",""))</f>
        <v/>
      </c>
      <c r="I1518" s="10" t="str">
        <f aca="false">IF($D1518="","",SUBSTITUTE(SUBSTITUTE(SUBSTITUTE($D1518,"-","")," ",""),".",""))</f>
        <v/>
      </c>
      <c r="J1518" s="10" t="str">
        <f aca="false">IF($E1518="","",UPPER(SUBSTITUTE($E1518," ","")))</f>
        <v/>
      </c>
      <c r="K1518" s="10" t="str">
        <f aca="false">IF($A1518="","",$G1518&amp;"|"&amp;$J1518)</f>
        <v/>
      </c>
      <c r="L1518" s="10" t="str">
        <f aca="false">IF($A1518="","",ROW()-2)</f>
        <v/>
      </c>
      <c r="M1518" s="10" t="str">
        <f aca="false">IF($A1518="","",ROW())</f>
        <v/>
      </c>
    </row>
    <row r="1519" customFormat="false" ht="15" hidden="false" customHeight="true" outlineLevel="0" collapsed="false">
      <c r="A1519" s="8"/>
      <c r="B1519" s="8"/>
      <c r="C1519" s="8"/>
      <c r="D1519" s="8"/>
      <c r="E1519" s="8"/>
      <c r="F1519" s="8"/>
      <c r="G1519" s="10" t="str">
        <f aca="false">IF($A1519="","",UPPER(SUBSTITUTE(SUBSTITUTE(SUBSTITUTE(SUBSTITUTE($A1519," ",""),"(주)",""),"주식회사",""),"㈜","")))</f>
        <v/>
      </c>
      <c r="H1519" s="10" t="str">
        <f aca="false">IF($B1519="","",SUBSTITUTE(SUBSTITUTE(SUBSTITUTE($B1519,"-","")," ",""),".",""))</f>
        <v/>
      </c>
      <c r="I1519" s="10" t="str">
        <f aca="false">IF($D1519="","",SUBSTITUTE(SUBSTITUTE(SUBSTITUTE($D1519,"-","")," ",""),".",""))</f>
        <v/>
      </c>
      <c r="J1519" s="10" t="str">
        <f aca="false">IF($E1519="","",UPPER(SUBSTITUTE($E1519," ","")))</f>
        <v/>
      </c>
      <c r="K1519" s="10" t="str">
        <f aca="false">IF($A1519="","",$G1519&amp;"|"&amp;$J1519)</f>
        <v/>
      </c>
      <c r="L1519" s="10" t="str">
        <f aca="false">IF($A1519="","",ROW()-2)</f>
        <v/>
      </c>
      <c r="M1519" s="10" t="str">
        <f aca="false">IF($A1519="","",ROW())</f>
        <v/>
      </c>
    </row>
    <row r="1520" customFormat="false" ht="15" hidden="false" customHeight="true" outlineLevel="0" collapsed="false">
      <c r="A1520" s="8"/>
      <c r="B1520" s="8"/>
      <c r="C1520" s="8"/>
      <c r="D1520" s="8"/>
      <c r="E1520" s="8"/>
      <c r="F1520" s="8"/>
      <c r="G1520" s="10" t="str">
        <f aca="false">IF($A1520="","",UPPER(SUBSTITUTE(SUBSTITUTE(SUBSTITUTE(SUBSTITUTE($A1520," ",""),"(주)",""),"주식회사",""),"㈜","")))</f>
        <v/>
      </c>
      <c r="H1520" s="10" t="str">
        <f aca="false">IF($B1520="","",SUBSTITUTE(SUBSTITUTE(SUBSTITUTE($B1520,"-","")," ",""),".",""))</f>
        <v/>
      </c>
      <c r="I1520" s="10" t="str">
        <f aca="false">IF($D1520="","",SUBSTITUTE(SUBSTITUTE(SUBSTITUTE($D1520,"-","")," ",""),".",""))</f>
        <v/>
      </c>
      <c r="J1520" s="10" t="str">
        <f aca="false">IF($E1520="","",UPPER(SUBSTITUTE($E1520," ","")))</f>
        <v/>
      </c>
      <c r="K1520" s="10" t="str">
        <f aca="false">IF($A1520="","",$G1520&amp;"|"&amp;$J1520)</f>
        <v/>
      </c>
      <c r="L1520" s="10" t="str">
        <f aca="false">IF($A1520="","",ROW()-2)</f>
        <v/>
      </c>
      <c r="M1520" s="10" t="str">
        <f aca="false">IF($A1520="","",ROW())</f>
        <v/>
      </c>
    </row>
    <row r="1521" customFormat="false" ht="15" hidden="false" customHeight="true" outlineLevel="0" collapsed="false">
      <c r="A1521" s="8"/>
      <c r="B1521" s="8"/>
      <c r="C1521" s="8"/>
      <c r="D1521" s="8"/>
      <c r="E1521" s="8"/>
      <c r="F1521" s="8"/>
      <c r="G1521" s="10" t="str">
        <f aca="false">IF($A1521="","",UPPER(SUBSTITUTE(SUBSTITUTE(SUBSTITUTE(SUBSTITUTE($A1521," ",""),"(주)",""),"주식회사",""),"㈜","")))</f>
        <v/>
      </c>
      <c r="H1521" s="10" t="str">
        <f aca="false">IF($B1521="","",SUBSTITUTE(SUBSTITUTE(SUBSTITUTE($B1521,"-","")," ",""),".",""))</f>
        <v/>
      </c>
      <c r="I1521" s="10" t="str">
        <f aca="false">IF($D1521="","",SUBSTITUTE(SUBSTITUTE(SUBSTITUTE($D1521,"-","")," ",""),".",""))</f>
        <v/>
      </c>
      <c r="J1521" s="10" t="str">
        <f aca="false">IF($E1521="","",UPPER(SUBSTITUTE($E1521," ","")))</f>
        <v/>
      </c>
      <c r="K1521" s="10" t="str">
        <f aca="false">IF($A1521="","",$G1521&amp;"|"&amp;$J1521)</f>
        <v/>
      </c>
      <c r="L1521" s="10" t="str">
        <f aca="false">IF($A1521="","",ROW()-2)</f>
        <v/>
      </c>
      <c r="M1521" s="10" t="str">
        <f aca="false">IF($A1521="","",ROW())</f>
        <v/>
      </c>
    </row>
    <row r="1522" customFormat="false" ht="15" hidden="false" customHeight="true" outlineLevel="0" collapsed="false">
      <c r="A1522" s="8"/>
      <c r="B1522" s="8"/>
      <c r="C1522" s="8"/>
      <c r="D1522" s="8"/>
      <c r="E1522" s="8"/>
      <c r="F1522" s="8"/>
      <c r="G1522" s="10" t="str">
        <f aca="false">IF($A1522="","",UPPER(SUBSTITUTE(SUBSTITUTE(SUBSTITUTE(SUBSTITUTE($A1522," ",""),"(주)",""),"주식회사",""),"㈜","")))</f>
        <v/>
      </c>
      <c r="H1522" s="10" t="str">
        <f aca="false">IF($B1522="","",SUBSTITUTE(SUBSTITUTE(SUBSTITUTE($B1522,"-","")," ",""),".",""))</f>
        <v/>
      </c>
      <c r="I1522" s="10" t="str">
        <f aca="false">IF($D1522="","",SUBSTITUTE(SUBSTITUTE(SUBSTITUTE($D1522,"-","")," ",""),".",""))</f>
        <v/>
      </c>
      <c r="J1522" s="10" t="str">
        <f aca="false">IF($E1522="","",UPPER(SUBSTITUTE($E1522," ","")))</f>
        <v/>
      </c>
      <c r="K1522" s="10" t="str">
        <f aca="false">IF($A1522="","",$G1522&amp;"|"&amp;$J1522)</f>
        <v/>
      </c>
      <c r="L1522" s="10" t="str">
        <f aca="false">IF($A1522="","",ROW()-2)</f>
        <v/>
      </c>
      <c r="M1522" s="10" t="str">
        <f aca="false">IF($A1522="","",ROW())</f>
        <v/>
      </c>
    </row>
    <row r="1523" customFormat="false" ht="15" hidden="false" customHeight="true" outlineLevel="0" collapsed="false">
      <c r="A1523" s="8"/>
      <c r="B1523" s="8"/>
      <c r="C1523" s="8"/>
      <c r="D1523" s="8"/>
      <c r="E1523" s="8"/>
      <c r="F1523" s="8"/>
      <c r="G1523" s="10" t="str">
        <f aca="false">IF($A1523="","",UPPER(SUBSTITUTE(SUBSTITUTE(SUBSTITUTE(SUBSTITUTE($A1523," ",""),"(주)",""),"주식회사",""),"㈜","")))</f>
        <v/>
      </c>
      <c r="H1523" s="10" t="str">
        <f aca="false">IF($B1523="","",SUBSTITUTE(SUBSTITUTE(SUBSTITUTE($B1523,"-","")," ",""),".",""))</f>
        <v/>
      </c>
      <c r="I1523" s="10" t="str">
        <f aca="false">IF($D1523="","",SUBSTITUTE(SUBSTITUTE(SUBSTITUTE($D1523,"-","")," ",""),".",""))</f>
        <v/>
      </c>
      <c r="J1523" s="10" t="str">
        <f aca="false">IF($E1523="","",UPPER(SUBSTITUTE($E1523," ","")))</f>
        <v/>
      </c>
      <c r="K1523" s="10" t="str">
        <f aca="false">IF($A1523="","",$G1523&amp;"|"&amp;$J1523)</f>
        <v/>
      </c>
      <c r="L1523" s="10" t="str">
        <f aca="false">IF($A1523="","",ROW()-2)</f>
        <v/>
      </c>
      <c r="M1523" s="10" t="str">
        <f aca="false">IF($A1523="","",ROW())</f>
        <v/>
      </c>
    </row>
    <row r="1524" customFormat="false" ht="15" hidden="false" customHeight="true" outlineLevel="0" collapsed="false">
      <c r="A1524" s="8"/>
      <c r="B1524" s="8"/>
      <c r="C1524" s="8"/>
      <c r="D1524" s="8"/>
      <c r="E1524" s="8"/>
      <c r="F1524" s="8"/>
      <c r="G1524" s="10" t="str">
        <f aca="false">IF($A1524="","",UPPER(SUBSTITUTE(SUBSTITUTE(SUBSTITUTE(SUBSTITUTE($A1524," ",""),"(주)",""),"주식회사",""),"㈜","")))</f>
        <v/>
      </c>
      <c r="H1524" s="10" t="str">
        <f aca="false">IF($B1524="","",SUBSTITUTE(SUBSTITUTE(SUBSTITUTE($B1524,"-","")," ",""),".",""))</f>
        <v/>
      </c>
      <c r="I1524" s="10" t="str">
        <f aca="false">IF($D1524="","",SUBSTITUTE(SUBSTITUTE(SUBSTITUTE($D1524,"-","")," ",""),".",""))</f>
        <v/>
      </c>
      <c r="J1524" s="10" t="str">
        <f aca="false">IF($E1524="","",UPPER(SUBSTITUTE($E1524," ","")))</f>
        <v/>
      </c>
      <c r="K1524" s="10" t="str">
        <f aca="false">IF($A1524="","",$G1524&amp;"|"&amp;$J1524)</f>
        <v/>
      </c>
      <c r="L1524" s="10" t="str">
        <f aca="false">IF($A1524="","",ROW()-2)</f>
        <v/>
      </c>
      <c r="M1524" s="10" t="str">
        <f aca="false">IF($A1524="","",ROW())</f>
        <v/>
      </c>
    </row>
    <row r="1525" customFormat="false" ht="15" hidden="false" customHeight="true" outlineLevel="0" collapsed="false">
      <c r="A1525" s="8"/>
      <c r="B1525" s="8"/>
      <c r="C1525" s="8"/>
      <c r="D1525" s="8"/>
      <c r="E1525" s="8"/>
      <c r="F1525" s="8"/>
      <c r="G1525" s="10" t="str">
        <f aca="false">IF($A1525="","",UPPER(SUBSTITUTE(SUBSTITUTE(SUBSTITUTE(SUBSTITUTE($A1525," ",""),"(주)",""),"주식회사",""),"㈜","")))</f>
        <v/>
      </c>
      <c r="H1525" s="10" t="str">
        <f aca="false">IF($B1525="","",SUBSTITUTE(SUBSTITUTE(SUBSTITUTE($B1525,"-","")," ",""),".",""))</f>
        <v/>
      </c>
      <c r="I1525" s="10" t="str">
        <f aca="false">IF($D1525="","",SUBSTITUTE(SUBSTITUTE(SUBSTITUTE($D1525,"-","")," ",""),".",""))</f>
        <v/>
      </c>
      <c r="J1525" s="10" t="str">
        <f aca="false">IF($E1525="","",UPPER(SUBSTITUTE($E1525," ","")))</f>
        <v/>
      </c>
      <c r="K1525" s="10" t="str">
        <f aca="false">IF($A1525="","",$G1525&amp;"|"&amp;$J1525)</f>
        <v/>
      </c>
      <c r="L1525" s="10" t="str">
        <f aca="false">IF($A1525="","",ROW()-2)</f>
        <v/>
      </c>
      <c r="M1525" s="10" t="str">
        <f aca="false">IF($A1525="","",ROW())</f>
        <v/>
      </c>
    </row>
    <row r="1526" customFormat="false" ht="15" hidden="false" customHeight="true" outlineLevel="0" collapsed="false">
      <c r="A1526" s="8"/>
      <c r="B1526" s="8"/>
      <c r="C1526" s="8"/>
      <c r="D1526" s="8"/>
      <c r="E1526" s="8"/>
      <c r="F1526" s="8"/>
      <c r="G1526" s="10" t="str">
        <f aca="false">IF($A1526="","",UPPER(SUBSTITUTE(SUBSTITUTE(SUBSTITUTE(SUBSTITUTE($A1526," ",""),"(주)",""),"주식회사",""),"㈜","")))</f>
        <v/>
      </c>
      <c r="H1526" s="10" t="str">
        <f aca="false">IF($B1526="","",SUBSTITUTE(SUBSTITUTE(SUBSTITUTE($B1526,"-","")," ",""),".",""))</f>
        <v/>
      </c>
      <c r="I1526" s="10" t="str">
        <f aca="false">IF($D1526="","",SUBSTITUTE(SUBSTITUTE(SUBSTITUTE($D1526,"-","")," ",""),".",""))</f>
        <v/>
      </c>
      <c r="J1526" s="10" t="str">
        <f aca="false">IF($E1526="","",UPPER(SUBSTITUTE($E1526," ","")))</f>
        <v/>
      </c>
      <c r="K1526" s="10" t="str">
        <f aca="false">IF($A1526="","",$G1526&amp;"|"&amp;$J1526)</f>
        <v/>
      </c>
      <c r="L1526" s="10" t="str">
        <f aca="false">IF($A1526="","",ROW()-2)</f>
        <v/>
      </c>
      <c r="M1526" s="10" t="str">
        <f aca="false">IF($A1526="","",ROW())</f>
        <v/>
      </c>
    </row>
    <row r="1527" customFormat="false" ht="15" hidden="false" customHeight="true" outlineLevel="0" collapsed="false">
      <c r="A1527" s="8"/>
      <c r="B1527" s="8"/>
      <c r="C1527" s="8"/>
      <c r="D1527" s="8"/>
      <c r="E1527" s="8"/>
      <c r="F1527" s="8"/>
      <c r="G1527" s="10" t="str">
        <f aca="false">IF($A1527="","",UPPER(SUBSTITUTE(SUBSTITUTE(SUBSTITUTE(SUBSTITUTE($A1527," ",""),"(주)",""),"주식회사",""),"㈜","")))</f>
        <v/>
      </c>
      <c r="H1527" s="10" t="str">
        <f aca="false">IF($B1527="","",SUBSTITUTE(SUBSTITUTE(SUBSTITUTE($B1527,"-","")," ",""),".",""))</f>
        <v/>
      </c>
      <c r="I1527" s="10" t="str">
        <f aca="false">IF($D1527="","",SUBSTITUTE(SUBSTITUTE(SUBSTITUTE($D1527,"-","")," ",""),".",""))</f>
        <v/>
      </c>
      <c r="J1527" s="10" t="str">
        <f aca="false">IF($E1527="","",UPPER(SUBSTITUTE($E1527," ","")))</f>
        <v/>
      </c>
      <c r="K1527" s="10" t="str">
        <f aca="false">IF($A1527="","",$G1527&amp;"|"&amp;$J1527)</f>
        <v/>
      </c>
      <c r="L1527" s="10" t="str">
        <f aca="false">IF($A1527="","",ROW()-2)</f>
        <v/>
      </c>
      <c r="M1527" s="10" t="str">
        <f aca="false">IF($A1527="","",ROW())</f>
        <v/>
      </c>
    </row>
    <row r="1528" customFormat="false" ht="15" hidden="false" customHeight="true" outlineLevel="0" collapsed="false">
      <c r="A1528" s="8"/>
      <c r="B1528" s="8"/>
      <c r="C1528" s="8"/>
      <c r="D1528" s="8"/>
      <c r="E1528" s="8"/>
      <c r="F1528" s="8"/>
      <c r="G1528" s="10" t="str">
        <f aca="false">IF($A1528="","",UPPER(SUBSTITUTE(SUBSTITUTE(SUBSTITUTE(SUBSTITUTE($A1528," ",""),"(주)",""),"주식회사",""),"㈜","")))</f>
        <v/>
      </c>
      <c r="H1528" s="10" t="str">
        <f aca="false">IF($B1528="","",SUBSTITUTE(SUBSTITUTE(SUBSTITUTE($B1528,"-","")," ",""),".",""))</f>
        <v/>
      </c>
      <c r="I1528" s="10" t="str">
        <f aca="false">IF($D1528="","",SUBSTITUTE(SUBSTITUTE(SUBSTITUTE($D1528,"-","")," ",""),".",""))</f>
        <v/>
      </c>
      <c r="J1528" s="10" t="str">
        <f aca="false">IF($E1528="","",UPPER(SUBSTITUTE($E1528," ","")))</f>
        <v/>
      </c>
      <c r="K1528" s="10" t="str">
        <f aca="false">IF($A1528="","",$G1528&amp;"|"&amp;$J1528)</f>
        <v/>
      </c>
      <c r="L1528" s="10" t="str">
        <f aca="false">IF($A1528="","",ROW()-2)</f>
        <v/>
      </c>
      <c r="M1528" s="10" t="str">
        <f aca="false">IF($A1528="","",ROW())</f>
        <v/>
      </c>
    </row>
    <row r="1529" customFormat="false" ht="15" hidden="false" customHeight="true" outlineLevel="0" collapsed="false">
      <c r="A1529" s="8"/>
      <c r="B1529" s="8"/>
      <c r="C1529" s="8"/>
      <c r="D1529" s="8"/>
      <c r="E1529" s="8"/>
      <c r="F1529" s="8"/>
      <c r="G1529" s="10" t="str">
        <f aca="false">IF($A1529="","",UPPER(SUBSTITUTE(SUBSTITUTE(SUBSTITUTE(SUBSTITUTE($A1529," ",""),"(주)",""),"주식회사",""),"㈜","")))</f>
        <v/>
      </c>
      <c r="H1529" s="10" t="str">
        <f aca="false">IF($B1529="","",SUBSTITUTE(SUBSTITUTE(SUBSTITUTE($B1529,"-","")," ",""),".",""))</f>
        <v/>
      </c>
      <c r="I1529" s="10" t="str">
        <f aca="false">IF($D1529="","",SUBSTITUTE(SUBSTITUTE(SUBSTITUTE($D1529,"-","")," ",""),".",""))</f>
        <v/>
      </c>
      <c r="J1529" s="10" t="str">
        <f aca="false">IF($E1529="","",UPPER(SUBSTITUTE($E1529," ","")))</f>
        <v/>
      </c>
      <c r="K1529" s="10" t="str">
        <f aca="false">IF($A1529="","",$G1529&amp;"|"&amp;$J1529)</f>
        <v/>
      </c>
      <c r="L1529" s="10" t="str">
        <f aca="false">IF($A1529="","",ROW()-2)</f>
        <v/>
      </c>
      <c r="M1529" s="10" t="str">
        <f aca="false">IF($A1529="","",ROW())</f>
        <v/>
      </c>
    </row>
    <row r="1530" customFormat="false" ht="15" hidden="false" customHeight="true" outlineLevel="0" collapsed="false">
      <c r="A1530" s="8"/>
      <c r="B1530" s="8"/>
      <c r="C1530" s="8"/>
      <c r="D1530" s="8"/>
      <c r="E1530" s="8"/>
      <c r="F1530" s="8"/>
      <c r="G1530" s="10" t="str">
        <f aca="false">IF($A1530="","",UPPER(SUBSTITUTE(SUBSTITUTE(SUBSTITUTE(SUBSTITUTE($A1530," ",""),"(주)",""),"주식회사",""),"㈜","")))</f>
        <v/>
      </c>
      <c r="H1530" s="10" t="str">
        <f aca="false">IF($B1530="","",SUBSTITUTE(SUBSTITUTE(SUBSTITUTE($B1530,"-","")," ",""),".",""))</f>
        <v/>
      </c>
      <c r="I1530" s="10" t="str">
        <f aca="false">IF($D1530="","",SUBSTITUTE(SUBSTITUTE(SUBSTITUTE($D1530,"-","")," ",""),".",""))</f>
        <v/>
      </c>
      <c r="J1530" s="10" t="str">
        <f aca="false">IF($E1530="","",UPPER(SUBSTITUTE($E1530," ","")))</f>
        <v/>
      </c>
      <c r="K1530" s="10" t="str">
        <f aca="false">IF($A1530="","",$G1530&amp;"|"&amp;$J1530)</f>
        <v/>
      </c>
      <c r="L1530" s="10" t="str">
        <f aca="false">IF($A1530="","",ROW()-2)</f>
        <v/>
      </c>
      <c r="M1530" s="10" t="str">
        <f aca="false">IF($A1530="","",ROW())</f>
        <v/>
      </c>
    </row>
    <row r="1531" customFormat="false" ht="15" hidden="false" customHeight="true" outlineLevel="0" collapsed="false">
      <c r="A1531" s="8"/>
      <c r="B1531" s="8"/>
      <c r="C1531" s="8"/>
      <c r="D1531" s="8"/>
      <c r="E1531" s="8"/>
      <c r="F1531" s="8"/>
      <c r="G1531" s="10" t="str">
        <f aca="false">IF($A1531="","",UPPER(SUBSTITUTE(SUBSTITUTE(SUBSTITUTE(SUBSTITUTE($A1531," ",""),"(주)",""),"주식회사",""),"㈜","")))</f>
        <v/>
      </c>
      <c r="H1531" s="10" t="str">
        <f aca="false">IF($B1531="","",SUBSTITUTE(SUBSTITUTE(SUBSTITUTE($B1531,"-","")," ",""),".",""))</f>
        <v/>
      </c>
      <c r="I1531" s="10" t="str">
        <f aca="false">IF($D1531="","",SUBSTITUTE(SUBSTITUTE(SUBSTITUTE($D1531,"-","")," ",""),".",""))</f>
        <v/>
      </c>
      <c r="J1531" s="10" t="str">
        <f aca="false">IF($E1531="","",UPPER(SUBSTITUTE($E1531," ","")))</f>
        <v/>
      </c>
      <c r="K1531" s="10" t="str">
        <f aca="false">IF($A1531="","",$G1531&amp;"|"&amp;$J1531)</f>
        <v/>
      </c>
      <c r="L1531" s="10" t="str">
        <f aca="false">IF($A1531="","",ROW()-2)</f>
        <v/>
      </c>
      <c r="M1531" s="10" t="str">
        <f aca="false">IF($A1531="","",ROW())</f>
        <v/>
      </c>
    </row>
    <row r="1532" customFormat="false" ht="15" hidden="false" customHeight="true" outlineLevel="0" collapsed="false">
      <c r="A1532" s="8"/>
      <c r="B1532" s="8"/>
      <c r="C1532" s="8"/>
      <c r="D1532" s="8"/>
      <c r="E1532" s="8"/>
      <c r="F1532" s="8"/>
      <c r="G1532" s="10" t="str">
        <f aca="false">IF($A1532="","",UPPER(SUBSTITUTE(SUBSTITUTE(SUBSTITUTE(SUBSTITUTE($A1532," ",""),"(주)",""),"주식회사",""),"㈜","")))</f>
        <v/>
      </c>
      <c r="H1532" s="10" t="str">
        <f aca="false">IF($B1532="","",SUBSTITUTE(SUBSTITUTE(SUBSTITUTE($B1532,"-","")," ",""),".",""))</f>
        <v/>
      </c>
      <c r="I1532" s="10" t="str">
        <f aca="false">IF($D1532="","",SUBSTITUTE(SUBSTITUTE(SUBSTITUTE($D1532,"-","")," ",""),".",""))</f>
        <v/>
      </c>
      <c r="J1532" s="10" t="str">
        <f aca="false">IF($E1532="","",UPPER(SUBSTITUTE($E1532," ","")))</f>
        <v/>
      </c>
      <c r="K1532" s="10" t="str">
        <f aca="false">IF($A1532="","",$G1532&amp;"|"&amp;$J1532)</f>
        <v/>
      </c>
      <c r="L1532" s="10" t="str">
        <f aca="false">IF($A1532="","",ROW()-2)</f>
        <v/>
      </c>
      <c r="M1532" s="10" t="str">
        <f aca="false">IF($A1532="","",ROW())</f>
        <v/>
      </c>
    </row>
    <row r="1533" customFormat="false" ht="15" hidden="false" customHeight="true" outlineLevel="0" collapsed="false">
      <c r="A1533" s="8"/>
      <c r="B1533" s="8"/>
      <c r="C1533" s="8"/>
      <c r="D1533" s="8"/>
      <c r="E1533" s="8"/>
      <c r="F1533" s="8"/>
      <c r="G1533" s="10" t="str">
        <f aca="false">IF($A1533="","",UPPER(SUBSTITUTE(SUBSTITUTE(SUBSTITUTE(SUBSTITUTE($A1533," ",""),"(주)",""),"주식회사",""),"㈜","")))</f>
        <v/>
      </c>
      <c r="H1533" s="10" t="str">
        <f aca="false">IF($B1533="","",SUBSTITUTE(SUBSTITUTE(SUBSTITUTE($B1533,"-","")," ",""),".",""))</f>
        <v/>
      </c>
      <c r="I1533" s="10" t="str">
        <f aca="false">IF($D1533="","",SUBSTITUTE(SUBSTITUTE(SUBSTITUTE($D1533,"-","")," ",""),".",""))</f>
        <v/>
      </c>
      <c r="J1533" s="10" t="str">
        <f aca="false">IF($E1533="","",UPPER(SUBSTITUTE($E1533," ","")))</f>
        <v/>
      </c>
      <c r="K1533" s="10" t="str">
        <f aca="false">IF($A1533="","",$G1533&amp;"|"&amp;$J1533)</f>
        <v/>
      </c>
      <c r="L1533" s="10" t="str">
        <f aca="false">IF($A1533="","",ROW()-2)</f>
        <v/>
      </c>
      <c r="M1533" s="10" t="str">
        <f aca="false">IF($A1533="","",ROW())</f>
        <v/>
      </c>
    </row>
    <row r="1534" customFormat="false" ht="15" hidden="false" customHeight="true" outlineLevel="0" collapsed="false">
      <c r="A1534" s="8"/>
      <c r="B1534" s="8"/>
      <c r="C1534" s="8"/>
      <c r="D1534" s="8"/>
      <c r="E1534" s="8"/>
      <c r="F1534" s="8"/>
      <c r="G1534" s="10" t="str">
        <f aca="false">IF($A1534="","",UPPER(SUBSTITUTE(SUBSTITUTE(SUBSTITUTE(SUBSTITUTE($A1534," ",""),"(주)",""),"주식회사",""),"㈜","")))</f>
        <v/>
      </c>
      <c r="H1534" s="10" t="str">
        <f aca="false">IF($B1534="","",SUBSTITUTE(SUBSTITUTE(SUBSTITUTE($B1534,"-","")," ",""),".",""))</f>
        <v/>
      </c>
      <c r="I1534" s="10" t="str">
        <f aca="false">IF($D1534="","",SUBSTITUTE(SUBSTITUTE(SUBSTITUTE($D1534,"-","")," ",""),".",""))</f>
        <v/>
      </c>
      <c r="J1534" s="10" t="str">
        <f aca="false">IF($E1534="","",UPPER(SUBSTITUTE($E1534," ","")))</f>
        <v/>
      </c>
      <c r="K1534" s="10" t="str">
        <f aca="false">IF($A1534="","",$G1534&amp;"|"&amp;$J1534)</f>
        <v/>
      </c>
      <c r="L1534" s="10" t="str">
        <f aca="false">IF($A1534="","",ROW()-2)</f>
        <v/>
      </c>
      <c r="M1534" s="10" t="str">
        <f aca="false">IF($A1534="","",ROW())</f>
        <v/>
      </c>
    </row>
    <row r="1535" customFormat="false" ht="15" hidden="false" customHeight="true" outlineLevel="0" collapsed="false">
      <c r="A1535" s="8"/>
      <c r="B1535" s="8"/>
      <c r="C1535" s="8"/>
      <c r="D1535" s="8"/>
      <c r="E1535" s="8"/>
      <c r="F1535" s="8"/>
      <c r="G1535" s="10" t="str">
        <f aca="false">IF($A1535="","",UPPER(SUBSTITUTE(SUBSTITUTE(SUBSTITUTE(SUBSTITUTE($A1535," ",""),"(주)",""),"주식회사",""),"㈜","")))</f>
        <v/>
      </c>
      <c r="H1535" s="10" t="str">
        <f aca="false">IF($B1535="","",SUBSTITUTE(SUBSTITUTE(SUBSTITUTE($B1535,"-","")," ",""),".",""))</f>
        <v/>
      </c>
      <c r="I1535" s="10" t="str">
        <f aca="false">IF($D1535="","",SUBSTITUTE(SUBSTITUTE(SUBSTITUTE($D1535,"-","")," ",""),".",""))</f>
        <v/>
      </c>
      <c r="J1535" s="10" t="str">
        <f aca="false">IF($E1535="","",UPPER(SUBSTITUTE($E1535," ","")))</f>
        <v/>
      </c>
      <c r="K1535" s="10" t="str">
        <f aca="false">IF($A1535="","",$G1535&amp;"|"&amp;$J1535)</f>
        <v/>
      </c>
      <c r="L1535" s="10" t="str">
        <f aca="false">IF($A1535="","",ROW()-2)</f>
        <v/>
      </c>
      <c r="M1535" s="10" t="str">
        <f aca="false">IF($A1535="","",ROW())</f>
        <v/>
      </c>
    </row>
    <row r="1536" customFormat="false" ht="15" hidden="false" customHeight="true" outlineLevel="0" collapsed="false">
      <c r="A1536" s="8"/>
      <c r="B1536" s="8"/>
      <c r="C1536" s="8"/>
      <c r="D1536" s="8"/>
      <c r="E1536" s="8"/>
      <c r="F1536" s="8"/>
      <c r="G1536" s="10" t="str">
        <f aca="false">IF($A1536="","",UPPER(SUBSTITUTE(SUBSTITUTE(SUBSTITUTE(SUBSTITUTE($A1536," ",""),"(주)",""),"주식회사",""),"㈜","")))</f>
        <v/>
      </c>
      <c r="H1536" s="10" t="str">
        <f aca="false">IF($B1536="","",SUBSTITUTE(SUBSTITUTE(SUBSTITUTE($B1536,"-","")," ",""),".",""))</f>
        <v/>
      </c>
      <c r="I1536" s="10" t="str">
        <f aca="false">IF($D1536="","",SUBSTITUTE(SUBSTITUTE(SUBSTITUTE($D1536,"-","")," ",""),".",""))</f>
        <v/>
      </c>
      <c r="J1536" s="10" t="str">
        <f aca="false">IF($E1536="","",UPPER(SUBSTITUTE($E1536," ","")))</f>
        <v/>
      </c>
      <c r="K1536" s="10" t="str">
        <f aca="false">IF($A1536="","",$G1536&amp;"|"&amp;$J1536)</f>
        <v/>
      </c>
      <c r="L1536" s="10" t="str">
        <f aca="false">IF($A1536="","",ROW()-2)</f>
        <v/>
      </c>
      <c r="M1536" s="10" t="str">
        <f aca="false">IF($A1536="","",ROW())</f>
        <v/>
      </c>
    </row>
    <row r="1537" customFormat="false" ht="15" hidden="false" customHeight="true" outlineLevel="0" collapsed="false">
      <c r="A1537" s="8"/>
      <c r="B1537" s="8"/>
      <c r="C1537" s="8"/>
      <c r="D1537" s="8"/>
      <c r="E1537" s="8"/>
      <c r="F1537" s="8"/>
      <c r="G1537" s="10" t="str">
        <f aca="false">IF($A1537="","",UPPER(SUBSTITUTE(SUBSTITUTE(SUBSTITUTE(SUBSTITUTE($A1537," ",""),"(주)",""),"주식회사",""),"㈜","")))</f>
        <v/>
      </c>
      <c r="H1537" s="10" t="str">
        <f aca="false">IF($B1537="","",SUBSTITUTE(SUBSTITUTE(SUBSTITUTE($B1537,"-","")," ",""),".",""))</f>
        <v/>
      </c>
      <c r="I1537" s="10" t="str">
        <f aca="false">IF($D1537="","",SUBSTITUTE(SUBSTITUTE(SUBSTITUTE($D1537,"-","")," ",""),".",""))</f>
        <v/>
      </c>
      <c r="J1537" s="10" t="str">
        <f aca="false">IF($E1537="","",UPPER(SUBSTITUTE($E1537," ","")))</f>
        <v/>
      </c>
      <c r="K1537" s="10" t="str">
        <f aca="false">IF($A1537="","",$G1537&amp;"|"&amp;$J1537)</f>
        <v/>
      </c>
      <c r="L1537" s="10" t="str">
        <f aca="false">IF($A1537="","",ROW()-2)</f>
        <v/>
      </c>
      <c r="M1537" s="10" t="str">
        <f aca="false">IF($A1537="","",ROW())</f>
        <v/>
      </c>
    </row>
    <row r="1538" customFormat="false" ht="15" hidden="false" customHeight="true" outlineLevel="0" collapsed="false">
      <c r="A1538" s="8"/>
      <c r="B1538" s="8"/>
      <c r="C1538" s="8"/>
      <c r="D1538" s="8"/>
      <c r="E1538" s="8"/>
      <c r="F1538" s="8"/>
      <c r="G1538" s="10" t="str">
        <f aca="false">IF($A1538="","",UPPER(SUBSTITUTE(SUBSTITUTE(SUBSTITUTE(SUBSTITUTE($A1538," ",""),"(주)",""),"주식회사",""),"㈜","")))</f>
        <v/>
      </c>
      <c r="H1538" s="10" t="str">
        <f aca="false">IF($B1538="","",SUBSTITUTE(SUBSTITUTE(SUBSTITUTE($B1538,"-","")," ",""),".",""))</f>
        <v/>
      </c>
      <c r="I1538" s="10" t="str">
        <f aca="false">IF($D1538="","",SUBSTITUTE(SUBSTITUTE(SUBSTITUTE($D1538,"-","")," ",""),".",""))</f>
        <v/>
      </c>
      <c r="J1538" s="10" t="str">
        <f aca="false">IF($E1538="","",UPPER(SUBSTITUTE($E1538," ","")))</f>
        <v/>
      </c>
      <c r="K1538" s="10" t="str">
        <f aca="false">IF($A1538="","",$G1538&amp;"|"&amp;$J1538)</f>
        <v/>
      </c>
      <c r="L1538" s="10" t="str">
        <f aca="false">IF($A1538="","",ROW()-2)</f>
        <v/>
      </c>
      <c r="M1538" s="10" t="str">
        <f aca="false">IF($A1538="","",ROW())</f>
        <v/>
      </c>
    </row>
    <row r="1539" customFormat="false" ht="15" hidden="false" customHeight="true" outlineLevel="0" collapsed="false">
      <c r="A1539" s="8"/>
      <c r="B1539" s="8"/>
      <c r="C1539" s="8"/>
      <c r="D1539" s="8"/>
      <c r="E1539" s="8"/>
      <c r="F1539" s="8"/>
      <c r="G1539" s="10" t="str">
        <f aca="false">IF($A1539="","",UPPER(SUBSTITUTE(SUBSTITUTE(SUBSTITUTE(SUBSTITUTE($A1539," ",""),"(주)",""),"주식회사",""),"㈜","")))</f>
        <v/>
      </c>
      <c r="H1539" s="10" t="str">
        <f aca="false">IF($B1539="","",SUBSTITUTE(SUBSTITUTE(SUBSTITUTE($B1539,"-","")," ",""),".",""))</f>
        <v/>
      </c>
      <c r="I1539" s="10" t="str">
        <f aca="false">IF($D1539="","",SUBSTITUTE(SUBSTITUTE(SUBSTITUTE($D1539,"-","")," ",""),".",""))</f>
        <v/>
      </c>
      <c r="J1539" s="10" t="str">
        <f aca="false">IF($E1539="","",UPPER(SUBSTITUTE($E1539," ","")))</f>
        <v/>
      </c>
      <c r="K1539" s="10" t="str">
        <f aca="false">IF($A1539="","",$G1539&amp;"|"&amp;$J1539)</f>
        <v/>
      </c>
      <c r="L1539" s="10" t="str">
        <f aca="false">IF($A1539="","",ROW()-2)</f>
        <v/>
      </c>
      <c r="M1539" s="10" t="str">
        <f aca="false">IF($A1539="","",ROW())</f>
        <v/>
      </c>
    </row>
    <row r="1540" customFormat="false" ht="15" hidden="false" customHeight="true" outlineLevel="0" collapsed="false">
      <c r="A1540" s="8"/>
      <c r="B1540" s="8"/>
      <c r="C1540" s="8"/>
      <c r="D1540" s="8"/>
      <c r="E1540" s="8"/>
      <c r="F1540" s="8"/>
      <c r="G1540" s="10" t="str">
        <f aca="false">IF($A1540="","",UPPER(SUBSTITUTE(SUBSTITUTE(SUBSTITUTE(SUBSTITUTE($A1540," ",""),"(주)",""),"주식회사",""),"㈜","")))</f>
        <v/>
      </c>
      <c r="H1540" s="10" t="str">
        <f aca="false">IF($B1540="","",SUBSTITUTE(SUBSTITUTE(SUBSTITUTE($B1540,"-","")," ",""),".",""))</f>
        <v/>
      </c>
      <c r="I1540" s="10" t="str">
        <f aca="false">IF($D1540="","",SUBSTITUTE(SUBSTITUTE(SUBSTITUTE($D1540,"-","")," ",""),".",""))</f>
        <v/>
      </c>
      <c r="J1540" s="10" t="str">
        <f aca="false">IF($E1540="","",UPPER(SUBSTITUTE($E1540," ","")))</f>
        <v/>
      </c>
      <c r="K1540" s="10" t="str">
        <f aca="false">IF($A1540="","",$G1540&amp;"|"&amp;$J1540)</f>
        <v/>
      </c>
      <c r="L1540" s="10" t="str">
        <f aca="false">IF($A1540="","",ROW()-2)</f>
        <v/>
      </c>
      <c r="M1540" s="10" t="str">
        <f aca="false">IF($A1540="","",ROW())</f>
        <v/>
      </c>
    </row>
    <row r="1541" customFormat="false" ht="15" hidden="false" customHeight="true" outlineLevel="0" collapsed="false">
      <c r="A1541" s="8"/>
      <c r="B1541" s="8"/>
      <c r="C1541" s="8"/>
      <c r="D1541" s="8"/>
      <c r="E1541" s="8"/>
      <c r="F1541" s="8"/>
      <c r="G1541" s="10" t="str">
        <f aca="false">IF($A1541="","",UPPER(SUBSTITUTE(SUBSTITUTE(SUBSTITUTE(SUBSTITUTE($A1541," ",""),"(주)",""),"주식회사",""),"㈜","")))</f>
        <v/>
      </c>
      <c r="H1541" s="10" t="str">
        <f aca="false">IF($B1541="","",SUBSTITUTE(SUBSTITUTE(SUBSTITUTE($B1541,"-","")," ",""),".",""))</f>
        <v/>
      </c>
      <c r="I1541" s="10" t="str">
        <f aca="false">IF($D1541="","",SUBSTITUTE(SUBSTITUTE(SUBSTITUTE($D1541,"-","")," ",""),".",""))</f>
        <v/>
      </c>
      <c r="J1541" s="10" t="str">
        <f aca="false">IF($E1541="","",UPPER(SUBSTITUTE($E1541," ","")))</f>
        <v/>
      </c>
      <c r="K1541" s="10" t="str">
        <f aca="false">IF($A1541="","",$G1541&amp;"|"&amp;$J1541)</f>
        <v/>
      </c>
      <c r="L1541" s="10" t="str">
        <f aca="false">IF($A1541="","",ROW()-2)</f>
        <v/>
      </c>
      <c r="M1541" s="10" t="str">
        <f aca="false">IF($A1541="","",ROW())</f>
        <v/>
      </c>
    </row>
    <row r="1542" customFormat="false" ht="15" hidden="false" customHeight="true" outlineLevel="0" collapsed="false">
      <c r="A1542" s="8"/>
      <c r="B1542" s="8"/>
      <c r="C1542" s="8"/>
      <c r="D1542" s="8"/>
      <c r="E1542" s="8"/>
      <c r="F1542" s="8"/>
      <c r="G1542" s="10" t="str">
        <f aca="false">IF($A1542="","",UPPER(SUBSTITUTE(SUBSTITUTE(SUBSTITUTE(SUBSTITUTE($A1542," ",""),"(주)",""),"주식회사",""),"㈜","")))</f>
        <v/>
      </c>
      <c r="H1542" s="10" t="str">
        <f aca="false">IF($B1542="","",SUBSTITUTE(SUBSTITUTE(SUBSTITUTE($B1542,"-","")," ",""),".",""))</f>
        <v/>
      </c>
      <c r="I1542" s="10" t="str">
        <f aca="false">IF($D1542="","",SUBSTITUTE(SUBSTITUTE(SUBSTITUTE($D1542,"-","")," ",""),".",""))</f>
        <v/>
      </c>
      <c r="J1542" s="10" t="str">
        <f aca="false">IF($E1542="","",UPPER(SUBSTITUTE($E1542," ","")))</f>
        <v/>
      </c>
      <c r="K1542" s="10" t="str">
        <f aca="false">IF($A1542="","",$G1542&amp;"|"&amp;$J1542)</f>
        <v/>
      </c>
      <c r="L1542" s="10" t="str">
        <f aca="false">IF($A1542="","",ROW()-2)</f>
        <v/>
      </c>
      <c r="M1542" s="10" t="str">
        <f aca="false">IF($A1542="","",ROW())</f>
        <v/>
      </c>
    </row>
    <row r="1543" customFormat="false" ht="15" hidden="false" customHeight="true" outlineLevel="0" collapsed="false">
      <c r="A1543" s="8"/>
      <c r="B1543" s="8"/>
      <c r="C1543" s="8"/>
      <c r="D1543" s="8"/>
      <c r="E1543" s="8"/>
      <c r="F1543" s="8"/>
      <c r="G1543" s="10" t="str">
        <f aca="false">IF($A1543="","",UPPER(SUBSTITUTE(SUBSTITUTE(SUBSTITUTE(SUBSTITUTE($A1543," ",""),"(주)",""),"주식회사",""),"㈜","")))</f>
        <v/>
      </c>
      <c r="H1543" s="10" t="str">
        <f aca="false">IF($B1543="","",SUBSTITUTE(SUBSTITUTE(SUBSTITUTE($B1543,"-","")," ",""),".",""))</f>
        <v/>
      </c>
      <c r="I1543" s="10" t="str">
        <f aca="false">IF($D1543="","",SUBSTITUTE(SUBSTITUTE(SUBSTITUTE($D1543,"-","")," ",""),".",""))</f>
        <v/>
      </c>
      <c r="J1543" s="10" t="str">
        <f aca="false">IF($E1543="","",UPPER(SUBSTITUTE($E1543," ","")))</f>
        <v/>
      </c>
      <c r="K1543" s="10" t="str">
        <f aca="false">IF($A1543="","",$G1543&amp;"|"&amp;$J1543)</f>
        <v/>
      </c>
      <c r="L1543" s="10" t="str">
        <f aca="false">IF($A1543="","",ROW()-2)</f>
        <v/>
      </c>
      <c r="M1543" s="10" t="str">
        <f aca="false">IF($A1543="","",ROW())</f>
        <v/>
      </c>
    </row>
    <row r="1544" customFormat="false" ht="15" hidden="false" customHeight="true" outlineLevel="0" collapsed="false">
      <c r="A1544" s="8"/>
      <c r="B1544" s="8"/>
      <c r="C1544" s="8"/>
      <c r="D1544" s="8"/>
      <c r="E1544" s="8"/>
      <c r="F1544" s="8"/>
      <c r="G1544" s="10" t="str">
        <f aca="false">IF($A1544="","",UPPER(SUBSTITUTE(SUBSTITUTE(SUBSTITUTE(SUBSTITUTE($A1544," ",""),"(주)",""),"주식회사",""),"㈜","")))</f>
        <v/>
      </c>
      <c r="H1544" s="10" t="str">
        <f aca="false">IF($B1544="","",SUBSTITUTE(SUBSTITUTE(SUBSTITUTE($B1544,"-","")," ",""),".",""))</f>
        <v/>
      </c>
      <c r="I1544" s="10" t="str">
        <f aca="false">IF($D1544="","",SUBSTITUTE(SUBSTITUTE(SUBSTITUTE($D1544,"-","")," ",""),".",""))</f>
        <v/>
      </c>
      <c r="J1544" s="10" t="str">
        <f aca="false">IF($E1544="","",UPPER(SUBSTITUTE($E1544," ","")))</f>
        <v/>
      </c>
      <c r="K1544" s="10" t="str">
        <f aca="false">IF($A1544="","",$G1544&amp;"|"&amp;$J1544)</f>
        <v/>
      </c>
      <c r="L1544" s="10" t="str">
        <f aca="false">IF($A1544="","",ROW()-2)</f>
        <v/>
      </c>
      <c r="M1544" s="10" t="str">
        <f aca="false">IF($A1544="","",ROW())</f>
        <v/>
      </c>
    </row>
    <row r="1545" customFormat="false" ht="15" hidden="false" customHeight="true" outlineLevel="0" collapsed="false">
      <c r="A1545" s="8"/>
      <c r="B1545" s="8"/>
      <c r="C1545" s="8"/>
      <c r="D1545" s="8"/>
      <c r="E1545" s="8"/>
      <c r="F1545" s="8"/>
      <c r="G1545" s="10" t="str">
        <f aca="false">IF($A1545="","",UPPER(SUBSTITUTE(SUBSTITUTE(SUBSTITUTE(SUBSTITUTE($A1545," ",""),"(주)",""),"주식회사",""),"㈜","")))</f>
        <v/>
      </c>
      <c r="H1545" s="10" t="str">
        <f aca="false">IF($B1545="","",SUBSTITUTE(SUBSTITUTE(SUBSTITUTE($B1545,"-","")," ",""),".",""))</f>
        <v/>
      </c>
      <c r="I1545" s="10" t="str">
        <f aca="false">IF($D1545="","",SUBSTITUTE(SUBSTITUTE(SUBSTITUTE($D1545,"-","")," ",""),".",""))</f>
        <v/>
      </c>
      <c r="J1545" s="10" t="str">
        <f aca="false">IF($E1545="","",UPPER(SUBSTITUTE($E1545," ","")))</f>
        <v/>
      </c>
      <c r="K1545" s="10" t="str">
        <f aca="false">IF($A1545="","",$G1545&amp;"|"&amp;$J1545)</f>
        <v/>
      </c>
      <c r="L1545" s="10" t="str">
        <f aca="false">IF($A1545="","",ROW()-2)</f>
        <v/>
      </c>
      <c r="M1545" s="10" t="str">
        <f aca="false">IF($A1545="","",ROW())</f>
        <v/>
      </c>
    </row>
    <row r="1546" customFormat="false" ht="15" hidden="false" customHeight="true" outlineLevel="0" collapsed="false">
      <c r="A1546" s="8"/>
      <c r="B1546" s="8"/>
      <c r="C1546" s="8"/>
      <c r="D1546" s="8"/>
      <c r="E1546" s="8"/>
      <c r="F1546" s="8"/>
      <c r="G1546" s="10" t="str">
        <f aca="false">IF($A1546="","",UPPER(SUBSTITUTE(SUBSTITUTE(SUBSTITUTE(SUBSTITUTE($A1546," ",""),"(주)",""),"주식회사",""),"㈜","")))</f>
        <v/>
      </c>
      <c r="H1546" s="10" t="str">
        <f aca="false">IF($B1546="","",SUBSTITUTE(SUBSTITUTE(SUBSTITUTE($B1546,"-","")," ",""),".",""))</f>
        <v/>
      </c>
      <c r="I1546" s="10" t="str">
        <f aca="false">IF($D1546="","",SUBSTITUTE(SUBSTITUTE(SUBSTITUTE($D1546,"-","")," ",""),".",""))</f>
        <v/>
      </c>
      <c r="J1546" s="10" t="str">
        <f aca="false">IF($E1546="","",UPPER(SUBSTITUTE($E1546," ","")))</f>
        <v/>
      </c>
      <c r="K1546" s="10" t="str">
        <f aca="false">IF($A1546="","",$G1546&amp;"|"&amp;$J1546)</f>
        <v/>
      </c>
      <c r="L1546" s="10" t="str">
        <f aca="false">IF($A1546="","",ROW()-2)</f>
        <v/>
      </c>
      <c r="M1546" s="10" t="str">
        <f aca="false">IF($A1546="","",ROW())</f>
        <v/>
      </c>
    </row>
    <row r="1547" customFormat="false" ht="15" hidden="false" customHeight="true" outlineLevel="0" collapsed="false">
      <c r="A1547" s="8"/>
      <c r="B1547" s="8"/>
      <c r="C1547" s="8"/>
      <c r="D1547" s="8"/>
      <c r="E1547" s="8"/>
      <c r="F1547" s="8"/>
      <c r="G1547" s="10" t="str">
        <f aca="false">IF($A1547="","",UPPER(SUBSTITUTE(SUBSTITUTE(SUBSTITUTE(SUBSTITUTE($A1547," ",""),"(주)",""),"주식회사",""),"㈜","")))</f>
        <v/>
      </c>
      <c r="H1547" s="10" t="str">
        <f aca="false">IF($B1547="","",SUBSTITUTE(SUBSTITUTE(SUBSTITUTE($B1547,"-","")," ",""),".",""))</f>
        <v/>
      </c>
      <c r="I1547" s="10" t="str">
        <f aca="false">IF($D1547="","",SUBSTITUTE(SUBSTITUTE(SUBSTITUTE($D1547,"-","")," ",""),".",""))</f>
        <v/>
      </c>
      <c r="J1547" s="10" t="str">
        <f aca="false">IF($E1547="","",UPPER(SUBSTITUTE($E1547," ","")))</f>
        <v/>
      </c>
      <c r="K1547" s="10" t="str">
        <f aca="false">IF($A1547="","",$G1547&amp;"|"&amp;$J1547)</f>
        <v/>
      </c>
      <c r="L1547" s="10" t="str">
        <f aca="false">IF($A1547="","",ROW()-2)</f>
        <v/>
      </c>
      <c r="M1547" s="10" t="str">
        <f aca="false">IF($A1547="","",ROW())</f>
        <v/>
      </c>
    </row>
    <row r="1548" customFormat="false" ht="15" hidden="false" customHeight="true" outlineLevel="0" collapsed="false">
      <c r="A1548" s="8"/>
      <c r="B1548" s="8"/>
      <c r="C1548" s="8"/>
      <c r="D1548" s="8"/>
      <c r="E1548" s="8"/>
      <c r="F1548" s="8"/>
      <c r="G1548" s="10" t="str">
        <f aca="false">IF($A1548="","",UPPER(SUBSTITUTE(SUBSTITUTE(SUBSTITUTE(SUBSTITUTE($A1548," ",""),"(주)",""),"주식회사",""),"㈜","")))</f>
        <v/>
      </c>
      <c r="H1548" s="10" t="str">
        <f aca="false">IF($B1548="","",SUBSTITUTE(SUBSTITUTE(SUBSTITUTE($B1548,"-","")," ",""),".",""))</f>
        <v/>
      </c>
      <c r="I1548" s="10" t="str">
        <f aca="false">IF($D1548="","",SUBSTITUTE(SUBSTITUTE(SUBSTITUTE($D1548,"-","")," ",""),".",""))</f>
        <v/>
      </c>
      <c r="J1548" s="10" t="str">
        <f aca="false">IF($E1548="","",UPPER(SUBSTITUTE($E1548," ","")))</f>
        <v/>
      </c>
      <c r="K1548" s="10" t="str">
        <f aca="false">IF($A1548="","",$G1548&amp;"|"&amp;$J1548)</f>
        <v/>
      </c>
      <c r="L1548" s="10" t="str">
        <f aca="false">IF($A1548="","",ROW()-2)</f>
        <v/>
      </c>
      <c r="M1548" s="10" t="str">
        <f aca="false">IF($A1548="","",ROW())</f>
        <v/>
      </c>
    </row>
    <row r="1549" customFormat="false" ht="15" hidden="false" customHeight="true" outlineLevel="0" collapsed="false">
      <c r="A1549" s="8"/>
      <c r="B1549" s="8"/>
      <c r="C1549" s="8"/>
      <c r="D1549" s="8"/>
      <c r="E1549" s="8"/>
      <c r="F1549" s="8"/>
      <c r="G1549" s="10" t="str">
        <f aca="false">IF($A1549="","",UPPER(SUBSTITUTE(SUBSTITUTE(SUBSTITUTE(SUBSTITUTE($A1549," ",""),"(주)",""),"주식회사",""),"㈜","")))</f>
        <v/>
      </c>
      <c r="H1549" s="10" t="str">
        <f aca="false">IF($B1549="","",SUBSTITUTE(SUBSTITUTE(SUBSTITUTE($B1549,"-","")," ",""),".",""))</f>
        <v/>
      </c>
      <c r="I1549" s="10" t="str">
        <f aca="false">IF($D1549="","",SUBSTITUTE(SUBSTITUTE(SUBSTITUTE($D1549,"-","")," ",""),".",""))</f>
        <v/>
      </c>
      <c r="J1549" s="10" t="str">
        <f aca="false">IF($E1549="","",UPPER(SUBSTITUTE($E1549," ","")))</f>
        <v/>
      </c>
      <c r="K1549" s="10" t="str">
        <f aca="false">IF($A1549="","",$G1549&amp;"|"&amp;$J1549)</f>
        <v/>
      </c>
      <c r="L1549" s="10" t="str">
        <f aca="false">IF($A1549="","",ROW()-2)</f>
        <v/>
      </c>
      <c r="M1549" s="10" t="str">
        <f aca="false">IF($A1549="","",ROW())</f>
        <v/>
      </c>
    </row>
    <row r="1550" customFormat="false" ht="15" hidden="false" customHeight="true" outlineLevel="0" collapsed="false">
      <c r="A1550" s="8"/>
      <c r="B1550" s="8"/>
      <c r="C1550" s="8"/>
      <c r="D1550" s="8"/>
      <c r="E1550" s="8"/>
      <c r="F1550" s="8"/>
      <c r="G1550" s="10" t="str">
        <f aca="false">IF($A1550="","",UPPER(SUBSTITUTE(SUBSTITUTE(SUBSTITUTE(SUBSTITUTE($A1550," ",""),"(주)",""),"주식회사",""),"㈜","")))</f>
        <v/>
      </c>
      <c r="H1550" s="10" t="str">
        <f aca="false">IF($B1550="","",SUBSTITUTE(SUBSTITUTE(SUBSTITUTE($B1550,"-","")," ",""),".",""))</f>
        <v/>
      </c>
      <c r="I1550" s="10" t="str">
        <f aca="false">IF($D1550="","",SUBSTITUTE(SUBSTITUTE(SUBSTITUTE($D1550,"-","")," ",""),".",""))</f>
        <v/>
      </c>
      <c r="J1550" s="10" t="str">
        <f aca="false">IF($E1550="","",UPPER(SUBSTITUTE($E1550," ","")))</f>
        <v/>
      </c>
      <c r="K1550" s="10" t="str">
        <f aca="false">IF($A1550="","",$G1550&amp;"|"&amp;$J1550)</f>
        <v/>
      </c>
      <c r="L1550" s="10" t="str">
        <f aca="false">IF($A1550="","",ROW()-2)</f>
        <v/>
      </c>
      <c r="M1550" s="10" t="str">
        <f aca="false">IF($A1550="","",ROW())</f>
        <v/>
      </c>
    </row>
    <row r="1551" customFormat="false" ht="15" hidden="false" customHeight="true" outlineLevel="0" collapsed="false">
      <c r="A1551" s="8"/>
      <c r="B1551" s="8"/>
      <c r="C1551" s="8"/>
      <c r="D1551" s="8"/>
      <c r="E1551" s="8"/>
      <c r="F1551" s="8"/>
      <c r="G1551" s="10" t="str">
        <f aca="false">IF($A1551="","",UPPER(SUBSTITUTE(SUBSTITUTE(SUBSTITUTE(SUBSTITUTE($A1551," ",""),"(주)",""),"주식회사",""),"㈜","")))</f>
        <v/>
      </c>
      <c r="H1551" s="10" t="str">
        <f aca="false">IF($B1551="","",SUBSTITUTE(SUBSTITUTE(SUBSTITUTE($B1551,"-","")," ",""),".",""))</f>
        <v/>
      </c>
      <c r="I1551" s="10" t="str">
        <f aca="false">IF($D1551="","",SUBSTITUTE(SUBSTITUTE(SUBSTITUTE($D1551,"-","")," ",""),".",""))</f>
        <v/>
      </c>
      <c r="J1551" s="10" t="str">
        <f aca="false">IF($E1551="","",UPPER(SUBSTITUTE($E1551," ","")))</f>
        <v/>
      </c>
      <c r="K1551" s="10" t="str">
        <f aca="false">IF($A1551="","",$G1551&amp;"|"&amp;$J1551)</f>
        <v/>
      </c>
      <c r="L1551" s="10" t="str">
        <f aca="false">IF($A1551="","",ROW()-2)</f>
        <v/>
      </c>
      <c r="M1551" s="10" t="str">
        <f aca="false">IF($A1551="","",ROW())</f>
        <v/>
      </c>
    </row>
    <row r="1552" customFormat="false" ht="15" hidden="false" customHeight="true" outlineLevel="0" collapsed="false">
      <c r="A1552" s="8"/>
      <c r="B1552" s="8"/>
      <c r="C1552" s="8"/>
      <c r="D1552" s="8"/>
      <c r="E1552" s="8"/>
      <c r="F1552" s="8"/>
      <c r="G1552" s="10" t="str">
        <f aca="false">IF($A1552="","",UPPER(SUBSTITUTE(SUBSTITUTE(SUBSTITUTE(SUBSTITUTE($A1552," ",""),"(주)",""),"주식회사",""),"㈜","")))</f>
        <v/>
      </c>
      <c r="H1552" s="10" t="str">
        <f aca="false">IF($B1552="","",SUBSTITUTE(SUBSTITUTE(SUBSTITUTE($B1552,"-","")," ",""),".",""))</f>
        <v/>
      </c>
      <c r="I1552" s="10" t="str">
        <f aca="false">IF($D1552="","",SUBSTITUTE(SUBSTITUTE(SUBSTITUTE($D1552,"-","")," ",""),".",""))</f>
        <v/>
      </c>
      <c r="J1552" s="10" t="str">
        <f aca="false">IF($E1552="","",UPPER(SUBSTITUTE($E1552," ","")))</f>
        <v/>
      </c>
      <c r="K1552" s="10" t="str">
        <f aca="false">IF($A1552="","",$G1552&amp;"|"&amp;$J1552)</f>
        <v/>
      </c>
      <c r="L1552" s="10" t="str">
        <f aca="false">IF($A1552="","",ROW()-2)</f>
        <v/>
      </c>
      <c r="M1552" s="10" t="str">
        <f aca="false">IF($A1552="","",ROW())</f>
        <v/>
      </c>
    </row>
    <row r="1553" customFormat="false" ht="15" hidden="false" customHeight="true" outlineLevel="0" collapsed="false">
      <c r="A1553" s="8"/>
      <c r="B1553" s="8"/>
      <c r="C1553" s="8"/>
      <c r="D1553" s="8"/>
      <c r="E1553" s="8"/>
      <c r="F1553" s="8"/>
      <c r="G1553" s="10" t="str">
        <f aca="false">IF($A1553="","",UPPER(SUBSTITUTE(SUBSTITUTE(SUBSTITUTE(SUBSTITUTE($A1553," ",""),"(주)",""),"주식회사",""),"㈜","")))</f>
        <v/>
      </c>
      <c r="H1553" s="10" t="str">
        <f aca="false">IF($B1553="","",SUBSTITUTE(SUBSTITUTE(SUBSTITUTE($B1553,"-","")," ",""),".",""))</f>
        <v/>
      </c>
      <c r="I1553" s="10" t="str">
        <f aca="false">IF($D1553="","",SUBSTITUTE(SUBSTITUTE(SUBSTITUTE($D1553,"-","")," ",""),".",""))</f>
        <v/>
      </c>
      <c r="J1553" s="10" t="str">
        <f aca="false">IF($E1553="","",UPPER(SUBSTITUTE($E1553," ","")))</f>
        <v/>
      </c>
      <c r="K1553" s="10" t="str">
        <f aca="false">IF($A1553="","",$G1553&amp;"|"&amp;$J1553)</f>
        <v/>
      </c>
      <c r="L1553" s="10" t="str">
        <f aca="false">IF($A1553="","",ROW()-2)</f>
        <v/>
      </c>
      <c r="M1553" s="10" t="str">
        <f aca="false">IF($A1553="","",ROW())</f>
        <v/>
      </c>
    </row>
    <row r="1554" customFormat="false" ht="15" hidden="false" customHeight="true" outlineLevel="0" collapsed="false">
      <c r="A1554" s="8"/>
      <c r="B1554" s="8"/>
      <c r="C1554" s="8"/>
      <c r="D1554" s="8"/>
      <c r="E1554" s="8"/>
      <c r="F1554" s="8"/>
      <c r="G1554" s="10" t="str">
        <f aca="false">IF($A1554="","",UPPER(SUBSTITUTE(SUBSTITUTE(SUBSTITUTE(SUBSTITUTE($A1554," ",""),"(주)",""),"주식회사",""),"㈜","")))</f>
        <v/>
      </c>
      <c r="H1554" s="10" t="str">
        <f aca="false">IF($B1554="","",SUBSTITUTE(SUBSTITUTE(SUBSTITUTE($B1554,"-","")," ",""),".",""))</f>
        <v/>
      </c>
      <c r="I1554" s="10" t="str">
        <f aca="false">IF($D1554="","",SUBSTITUTE(SUBSTITUTE(SUBSTITUTE($D1554,"-","")," ",""),".",""))</f>
        <v/>
      </c>
      <c r="J1554" s="10" t="str">
        <f aca="false">IF($E1554="","",UPPER(SUBSTITUTE($E1554," ","")))</f>
        <v/>
      </c>
      <c r="K1554" s="10" t="str">
        <f aca="false">IF($A1554="","",$G1554&amp;"|"&amp;$J1554)</f>
        <v/>
      </c>
      <c r="L1554" s="10" t="str">
        <f aca="false">IF($A1554="","",ROW()-2)</f>
        <v/>
      </c>
      <c r="M1554" s="10" t="str">
        <f aca="false">IF($A1554="","",ROW())</f>
        <v/>
      </c>
    </row>
    <row r="1555" customFormat="false" ht="15" hidden="false" customHeight="true" outlineLevel="0" collapsed="false">
      <c r="A1555" s="8"/>
      <c r="B1555" s="8"/>
      <c r="C1555" s="8"/>
      <c r="D1555" s="8"/>
      <c r="E1555" s="8"/>
      <c r="F1555" s="8"/>
      <c r="G1555" s="10" t="str">
        <f aca="false">IF($A1555="","",UPPER(SUBSTITUTE(SUBSTITUTE(SUBSTITUTE(SUBSTITUTE($A1555," ",""),"(주)",""),"주식회사",""),"㈜","")))</f>
        <v/>
      </c>
      <c r="H1555" s="10" t="str">
        <f aca="false">IF($B1555="","",SUBSTITUTE(SUBSTITUTE(SUBSTITUTE($B1555,"-","")," ",""),".",""))</f>
        <v/>
      </c>
      <c r="I1555" s="10" t="str">
        <f aca="false">IF($D1555="","",SUBSTITUTE(SUBSTITUTE(SUBSTITUTE($D1555,"-","")," ",""),".",""))</f>
        <v/>
      </c>
      <c r="J1555" s="10" t="str">
        <f aca="false">IF($E1555="","",UPPER(SUBSTITUTE($E1555," ","")))</f>
        <v/>
      </c>
      <c r="K1555" s="10" t="str">
        <f aca="false">IF($A1555="","",$G1555&amp;"|"&amp;$J1555)</f>
        <v/>
      </c>
      <c r="L1555" s="10" t="str">
        <f aca="false">IF($A1555="","",ROW()-2)</f>
        <v/>
      </c>
      <c r="M1555" s="10" t="str">
        <f aca="false">IF($A1555="","",ROW())</f>
        <v/>
      </c>
    </row>
    <row r="1556" customFormat="false" ht="15" hidden="false" customHeight="true" outlineLevel="0" collapsed="false">
      <c r="A1556" s="8"/>
      <c r="B1556" s="8"/>
      <c r="C1556" s="8"/>
      <c r="D1556" s="8"/>
      <c r="E1556" s="8"/>
      <c r="F1556" s="8"/>
      <c r="G1556" s="10" t="str">
        <f aca="false">IF($A1556="","",UPPER(SUBSTITUTE(SUBSTITUTE(SUBSTITUTE(SUBSTITUTE($A1556," ",""),"(주)",""),"주식회사",""),"㈜","")))</f>
        <v/>
      </c>
      <c r="H1556" s="10" t="str">
        <f aca="false">IF($B1556="","",SUBSTITUTE(SUBSTITUTE(SUBSTITUTE($B1556,"-","")," ",""),".",""))</f>
        <v/>
      </c>
      <c r="I1556" s="10" t="str">
        <f aca="false">IF($D1556="","",SUBSTITUTE(SUBSTITUTE(SUBSTITUTE($D1556,"-","")," ",""),".",""))</f>
        <v/>
      </c>
      <c r="J1556" s="10" t="str">
        <f aca="false">IF($E1556="","",UPPER(SUBSTITUTE($E1556," ","")))</f>
        <v/>
      </c>
      <c r="K1556" s="10" t="str">
        <f aca="false">IF($A1556="","",$G1556&amp;"|"&amp;$J1556)</f>
        <v/>
      </c>
      <c r="L1556" s="10" t="str">
        <f aca="false">IF($A1556="","",ROW()-2)</f>
        <v/>
      </c>
      <c r="M1556" s="10" t="str">
        <f aca="false">IF($A1556="","",ROW())</f>
        <v/>
      </c>
    </row>
    <row r="1557" customFormat="false" ht="15" hidden="false" customHeight="true" outlineLevel="0" collapsed="false">
      <c r="A1557" s="8"/>
      <c r="B1557" s="8"/>
      <c r="C1557" s="8"/>
      <c r="D1557" s="8"/>
      <c r="E1557" s="8"/>
      <c r="F1557" s="8"/>
      <c r="G1557" s="10" t="str">
        <f aca="false">IF($A1557="","",UPPER(SUBSTITUTE(SUBSTITUTE(SUBSTITUTE(SUBSTITUTE($A1557," ",""),"(주)",""),"주식회사",""),"㈜","")))</f>
        <v/>
      </c>
      <c r="H1557" s="10" t="str">
        <f aca="false">IF($B1557="","",SUBSTITUTE(SUBSTITUTE(SUBSTITUTE($B1557,"-","")," ",""),".",""))</f>
        <v/>
      </c>
      <c r="I1557" s="10" t="str">
        <f aca="false">IF($D1557="","",SUBSTITUTE(SUBSTITUTE(SUBSTITUTE($D1557,"-","")," ",""),".",""))</f>
        <v/>
      </c>
      <c r="J1557" s="10" t="str">
        <f aca="false">IF($E1557="","",UPPER(SUBSTITUTE($E1557," ","")))</f>
        <v/>
      </c>
      <c r="K1557" s="10" t="str">
        <f aca="false">IF($A1557="","",$G1557&amp;"|"&amp;$J1557)</f>
        <v/>
      </c>
      <c r="L1557" s="10" t="str">
        <f aca="false">IF($A1557="","",ROW()-2)</f>
        <v/>
      </c>
      <c r="M1557" s="10" t="str">
        <f aca="false">IF($A1557="","",ROW())</f>
        <v/>
      </c>
    </row>
    <row r="1558" customFormat="false" ht="15" hidden="false" customHeight="true" outlineLevel="0" collapsed="false">
      <c r="A1558" s="8"/>
      <c r="B1558" s="8"/>
      <c r="C1558" s="8"/>
      <c r="D1558" s="8"/>
      <c r="E1558" s="8"/>
      <c r="F1558" s="8"/>
      <c r="G1558" s="10" t="str">
        <f aca="false">IF($A1558="","",UPPER(SUBSTITUTE(SUBSTITUTE(SUBSTITUTE(SUBSTITUTE($A1558," ",""),"(주)",""),"주식회사",""),"㈜","")))</f>
        <v/>
      </c>
      <c r="H1558" s="10" t="str">
        <f aca="false">IF($B1558="","",SUBSTITUTE(SUBSTITUTE(SUBSTITUTE($B1558,"-","")," ",""),".",""))</f>
        <v/>
      </c>
      <c r="I1558" s="10" t="str">
        <f aca="false">IF($D1558="","",SUBSTITUTE(SUBSTITUTE(SUBSTITUTE($D1558,"-","")," ",""),".",""))</f>
        <v/>
      </c>
      <c r="J1558" s="10" t="str">
        <f aca="false">IF($E1558="","",UPPER(SUBSTITUTE($E1558," ","")))</f>
        <v/>
      </c>
      <c r="K1558" s="10" t="str">
        <f aca="false">IF($A1558="","",$G1558&amp;"|"&amp;$J1558)</f>
        <v/>
      </c>
      <c r="L1558" s="10" t="str">
        <f aca="false">IF($A1558="","",ROW()-2)</f>
        <v/>
      </c>
      <c r="M1558" s="10" t="str">
        <f aca="false">IF($A1558="","",ROW())</f>
        <v/>
      </c>
    </row>
    <row r="1559" customFormat="false" ht="15" hidden="false" customHeight="true" outlineLevel="0" collapsed="false">
      <c r="A1559" s="8"/>
      <c r="B1559" s="8"/>
      <c r="C1559" s="8"/>
      <c r="D1559" s="8"/>
      <c r="E1559" s="8"/>
      <c r="F1559" s="8"/>
      <c r="G1559" s="10" t="str">
        <f aca="false">IF($A1559="","",UPPER(SUBSTITUTE(SUBSTITUTE(SUBSTITUTE(SUBSTITUTE($A1559," ",""),"(주)",""),"주식회사",""),"㈜","")))</f>
        <v/>
      </c>
      <c r="H1559" s="10" t="str">
        <f aca="false">IF($B1559="","",SUBSTITUTE(SUBSTITUTE(SUBSTITUTE($B1559,"-","")," ",""),".",""))</f>
        <v/>
      </c>
      <c r="I1559" s="10" t="str">
        <f aca="false">IF($D1559="","",SUBSTITUTE(SUBSTITUTE(SUBSTITUTE($D1559,"-","")," ",""),".",""))</f>
        <v/>
      </c>
      <c r="J1559" s="10" t="str">
        <f aca="false">IF($E1559="","",UPPER(SUBSTITUTE($E1559," ","")))</f>
        <v/>
      </c>
      <c r="K1559" s="10" t="str">
        <f aca="false">IF($A1559="","",$G1559&amp;"|"&amp;$J1559)</f>
        <v/>
      </c>
      <c r="L1559" s="10" t="str">
        <f aca="false">IF($A1559="","",ROW()-2)</f>
        <v/>
      </c>
      <c r="M1559" s="10" t="str">
        <f aca="false">IF($A1559="","",ROW())</f>
        <v/>
      </c>
    </row>
    <row r="1560" customFormat="false" ht="15" hidden="false" customHeight="true" outlineLevel="0" collapsed="false">
      <c r="A1560" s="8"/>
      <c r="B1560" s="8"/>
      <c r="C1560" s="8"/>
      <c r="D1560" s="8"/>
      <c r="E1560" s="8"/>
      <c r="F1560" s="8"/>
      <c r="G1560" s="10" t="str">
        <f aca="false">IF($A1560="","",UPPER(SUBSTITUTE(SUBSTITUTE(SUBSTITUTE(SUBSTITUTE($A1560," ",""),"(주)",""),"주식회사",""),"㈜","")))</f>
        <v/>
      </c>
      <c r="H1560" s="10" t="str">
        <f aca="false">IF($B1560="","",SUBSTITUTE(SUBSTITUTE(SUBSTITUTE($B1560,"-","")," ",""),".",""))</f>
        <v/>
      </c>
      <c r="I1560" s="10" t="str">
        <f aca="false">IF($D1560="","",SUBSTITUTE(SUBSTITUTE(SUBSTITUTE($D1560,"-","")," ",""),".",""))</f>
        <v/>
      </c>
      <c r="J1560" s="10" t="str">
        <f aca="false">IF($E1560="","",UPPER(SUBSTITUTE($E1560," ","")))</f>
        <v/>
      </c>
      <c r="K1560" s="10" t="str">
        <f aca="false">IF($A1560="","",$G1560&amp;"|"&amp;$J1560)</f>
        <v/>
      </c>
      <c r="L1560" s="10" t="str">
        <f aca="false">IF($A1560="","",ROW()-2)</f>
        <v/>
      </c>
      <c r="M1560" s="10" t="str">
        <f aca="false">IF($A1560="","",ROW())</f>
        <v/>
      </c>
    </row>
    <row r="1561" customFormat="false" ht="15" hidden="false" customHeight="true" outlineLevel="0" collapsed="false">
      <c r="A1561" s="8"/>
      <c r="B1561" s="8"/>
      <c r="C1561" s="8"/>
      <c r="D1561" s="8"/>
      <c r="E1561" s="8"/>
      <c r="F1561" s="8"/>
      <c r="G1561" s="10" t="str">
        <f aca="false">IF($A1561="","",UPPER(SUBSTITUTE(SUBSTITUTE(SUBSTITUTE(SUBSTITUTE($A1561," ",""),"(주)",""),"주식회사",""),"㈜","")))</f>
        <v/>
      </c>
      <c r="H1561" s="10" t="str">
        <f aca="false">IF($B1561="","",SUBSTITUTE(SUBSTITUTE(SUBSTITUTE($B1561,"-","")," ",""),".",""))</f>
        <v/>
      </c>
      <c r="I1561" s="10" t="str">
        <f aca="false">IF($D1561="","",SUBSTITUTE(SUBSTITUTE(SUBSTITUTE($D1561,"-","")," ",""),".",""))</f>
        <v/>
      </c>
      <c r="J1561" s="10" t="str">
        <f aca="false">IF($E1561="","",UPPER(SUBSTITUTE($E1561," ","")))</f>
        <v/>
      </c>
      <c r="K1561" s="10" t="str">
        <f aca="false">IF($A1561="","",$G1561&amp;"|"&amp;$J1561)</f>
        <v/>
      </c>
      <c r="L1561" s="10" t="str">
        <f aca="false">IF($A1561="","",ROW()-2)</f>
        <v/>
      </c>
      <c r="M1561" s="10" t="str">
        <f aca="false">IF($A1561="","",ROW())</f>
        <v/>
      </c>
    </row>
    <row r="1562" customFormat="false" ht="15" hidden="false" customHeight="true" outlineLevel="0" collapsed="false">
      <c r="A1562" s="8"/>
      <c r="B1562" s="8"/>
      <c r="C1562" s="8"/>
      <c r="D1562" s="8"/>
      <c r="E1562" s="8"/>
      <c r="F1562" s="8"/>
      <c r="G1562" s="10" t="str">
        <f aca="false">IF($A1562="","",UPPER(SUBSTITUTE(SUBSTITUTE(SUBSTITUTE(SUBSTITUTE($A1562," ",""),"(주)",""),"주식회사",""),"㈜","")))</f>
        <v/>
      </c>
      <c r="H1562" s="10" t="str">
        <f aca="false">IF($B1562="","",SUBSTITUTE(SUBSTITUTE(SUBSTITUTE($B1562,"-","")," ",""),".",""))</f>
        <v/>
      </c>
      <c r="I1562" s="10" t="str">
        <f aca="false">IF($D1562="","",SUBSTITUTE(SUBSTITUTE(SUBSTITUTE($D1562,"-","")," ",""),".",""))</f>
        <v/>
      </c>
      <c r="J1562" s="10" t="str">
        <f aca="false">IF($E1562="","",UPPER(SUBSTITUTE($E1562," ","")))</f>
        <v/>
      </c>
      <c r="K1562" s="10" t="str">
        <f aca="false">IF($A1562="","",$G1562&amp;"|"&amp;$J1562)</f>
        <v/>
      </c>
      <c r="L1562" s="10" t="str">
        <f aca="false">IF($A1562="","",ROW()-2)</f>
        <v/>
      </c>
      <c r="M1562" s="10" t="str">
        <f aca="false">IF($A1562="","",ROW())</f>
        <v/>
      </c>
    </row>
    <row r="1563" customFormat="false" ht="15" hidden="false" customHeight="true" outlineLevel="0" collapsed="false">
      <c r="A1563" s="8"/>
      <c r="B1563" s="8"/>
      <c r="C1563" s="8"/>
      <c r="D1563" s="8"/>
      <c r="E1563" s="8"/>
      <c r="F1563" s="8"/>
      <c r="G1563" s="10" t="str">
        <f aca="false">IF($A1563="","",UPPER(SUBSTITUTE(SUBSTITUTE(SUBSTITUTE(SUBSTITUTE($A1563," ",""),"(주)",""),"주식회사",""),"㈜","")))</f>
        <v/>
      </c>
      <c r="H1563" s="10" t="str">
        <f aca="false">IF($B1563="","",SUBSTITUTE(SUBSTITUTE(SUBSTITUTE($B1563,"-","")," ",""),".",""))</f>
        <v/>
      </c>
      <c r="I1563" s="10" t="str">
        <f aca="false">IF($D1563="","",SUBSTITUTE(SUBSTITUTE(SUBSTITUTE($D1563,"-","")," ",""),".",""))</f>
        <v/>
      </c>
      <c r="J1563" s="10" t="str">
        <f aca="false">IF($E1563="","",UPPER(SUBSTITUTE($E1563," ","")))</f>
        <v/>
      </c>
      <c r="K1563" s="10" t="str">
        <f aca="false">IF($A1563="","",$G1563&amp;"|"&amp;$J1563)</f>
        <v/>
      </c>
      <c r="L1563" s="10" t="str">
        <f aca="false">IF($A1563="","",ROW()-2)</f>
        <v/>
      </c>
      <c r="M1563" s="10" t="str">
        <f aca="false">IF($A1563="","",ROW())</f>
        <v/>
      </c>
    </row>
    <row r="1564" customFormat="false" ht="15" hidden="false" customHeight="true" outlineLevel="0" collapsed="false">
      <c r="A1564" s="8"/>
      <c r="B1564" s="8"/>
      <c r="C1564" s="8"/>
      <c r="D1564" s="8"/>
      <c r="E1564" s="8"/>
      <c r="F1564" s="8"/>
      <c r="G1564" s="10" t="str">
        <f aca="false">IF($A1564="","",UPPER(SUBSTITUTE(SUBSTITUTE(SUBSTITUTE(SUBSTITUTE($A1564," ",""),"(주)",""),"주식회사",""),"㈜","")))</f>
        <v/>
      </c>
      <c r="H1564" s="10" t="str">
        <f aca="false">IF($B1564="","",SUBSTITUTE(SUBSTITUTE(SUBSTITUTE($B1564,"-","")," ",""),".",""))</f>
        <v/>
      </c>
      <c r="I1564" s="10" t="str">
        <f aca="false">IF($D1564="","",SUBSTITUTE(SUBSTITUTE(SUBSTITUTE($D1564,"-","")," ",""),".",""))</f>
        <v/>
      </c>
      <c r="J1564" s="10" t="str">
        <f aca="false">IF($E1564="","",UPPER(SUBSTITUTE($E1564," ","")))</f>
        <v/>
      </c>
      <c r="K1564" s="10" t="str">
        <f aca="false">IF($A1564="","",$G1564&amp;"|"&amp;$J1564)</f>
        <v/>
      </c>
      <c r="L1564" s="10" t="str">
        <f aca="false">IF($A1564="","",ROW()-2)</f>
        <v/>
      </c>
      <c r="M1564" s="10" t="str">
        <f aca="false">IF($A1564="","",ROW())</f>
        <v/>
      </c>
    </row>
    <row r="1565" customFormat="false" ht="15" hidden="false" customHeight="true" outlineLevel="0" collapsed="false">
      <c r="A1565" s="8"/>
      <c r="B1565" s="8"/>
      <c r="C1565" s="8"/>
      <c r="D1565" s="8"/>
      <c r="E1565" s="8"/>
      <c r="F1565" s="8"/>
      <c r="G1565" s="10" t="str">
        <f aca="false">IF($A1565="","",UPPER(SUBSTITUTE(SUBSTITUTE(SUBSTITUTE(SUBSTITUTE($A1565," ",""),"(주)",""),"주식회사",""),"㈜","")))</f>
        <v/>
      </c>
      <c r="H1565" s="10" t="str">
        <f aca="false">IF($B1565="","",SUBSTITUTE(SUBSTITUTE(SUBSTITUTE($B1565,"-","")," ",""),".",""))</f>
        <v/>
      </c>
      <c r="I1565" s="10" t="str">
        <f aca="false">IF($D1565="","",SUBSTITUTE(SUBSTITUTE(SUBSTITUTE($D1565,"-","")," ",""),".",""))</f>
        <v/>
      </c>
      <c r="J1565" s="10" t="str">
        <f aca="false">IF($E1565="","",UPPER(SUBSTITUTE($E1565," ","")))</f>
        <v/>
      </c>
      <c r="K1565" s="10" t="str">
        <f aca="false">IF($A1565="","",$G1565&amp;"|"&amp;$J1565)</f>
        <v/>
      </c>
      <c r="L1565" s="10" t="str">
        <f aca="false">IF($A1565="","",ROW()-2)</f>
        <v/>
      </c>
      <c r="M1565" s="10" t="str">
        <f aca="false">IF($A1565="","",ROW())</f>
        <v/>
      </c>
    </row>
    <row r="1566" customFormat="false" ht="15" hidden="false" customHeight="true" outlineLevel="0" collapsed="false">
      <c r="A1566" s="8"/>
      <c r="B1566" s="8"/>
      <c r="C1566" s="8"/>
      <c r="D1566" s="8"/>
      <c r="E1566" s="8"/>
      <c r="F1566" s="8"/>
      <c r="G1566" s="10" t="str">
        <f aca="false">IF($A1566="","",UPPER(SUBSTITUTE(SUBSTITUTE(SUBSTITUTE(SUBSTITUTE($A1566," ",""),"(주)",""),"주식회사",""),"㈜","")))</f>
        <v/>
      </c>
      <c r="H1566" s="10" t="str">
        <f aca="false">IF($B1566="","",SUBSTITUTE(SUBSTITUTE(SUBSTITUTE($B1566,"-","")," ",""),".",""))</f>
        <v/>
      </c>
      <c r="I1566" s="10" t="str">
        <f aca="false">IF($D1566="","",SUBSTITUTE(SUBSTITUTE(SUBSTITUTE($D1566,"-","")," ",""),".",""))</f>
        <v/>
      </c>
      <c r="J1566" s="10" t="str">
        <f aca="false">IF($E1566="","",UPPER(SUBSTITUTE($E1566," ","")))</f>
        <v/>
      </c>
      <c r="K1566" s="10" t="str">
        <f aca="false">IF($A1566="","",$G1566&amp;"|"&amp;$J1566)</f>
        <v/>
      </c>
      <c r="L1566" s="10" t="str">
        <f aca="false">IF($A1566="","",ROW()-2)</f>
        <v/>
      </c>
      <c r="M1566" s="10" t="str">
        <f aca="false">IF($A1566="","",ROW())</f>
        <v/>
      </c>
    </row>
    <row r="1567" customFormat="false" ht="15" hidden="false" customHeight="true" outlineLevel="0" collapsed="false">
      <c r="A1567" s="8"/>
      <c r="B1567" s="8"/>
      <c r="C1567" s="8"/>
      <c r="D1567" s="8"/>
      <c r="E1567" s="8"/>
      <c r="F1567" s="8"/>
      <c r="G1567" s="10" t="str">
        <f aca="false">IF($A1567="","",UPPER(SUBSTITUTE(SUBSTITUTE(SUBSTITUTE(SUBSTITUTE($A1567," ",""),"(주)",""),"주식회사",""),"㈜","")))</f>
        <v/>
      </c>
      <c r="H1567" s="10" t="str">
        <f aca="false">IF($B1567="","",SUBSTITUTE(SUBSTITUTE(SUBSTITUTE($B1567,"-","")," ",""),".",""))</f>
        <v/>
      </c>
      <c r="I1567" s="10" t="str">
        <f aca="false">IF($D1567="","",SUBSTITUTE(SUBSTITUTE(SUBSTITUTE($D1567,"-","")," ",""),".",""))</f>
        <v/>
      </c>
      <c r="J1567" s="10" t="str">
        <f aca="false">IF($E1567="","",UPPER(SUBSTITUTE($E1567," ","")))</f>
        <v/>
      </c>
      <c r="K1567" s="10" t="str">
        <f aca="false">IF($A1567="","",$G1567&amp;"|"&amp;$J1567)</f>
        <v/>
      </c>
      <c r="L1567" s="10" t="str">
        <f aca="false">IF($A1567="","",ROW()-2)</f>
        <v/>
      </c>
      <c r="M1567" s="10" t="str">
        <f aca="false">IF($A1567="","",ROW())</f>
        <v/>
      </c>
    </row>
    <row r="1568" customFormat="false" ht="15" hidden="false" customHeight="true" outlineLevel="0" collapsed="false">
      <c r="A1568" s="8"/>
      <c r="B1568" s="8"/>
      <c r="C1568" s="8"/>
      <c r="D1568" s="8"/>
      <c r="E1568" s="8"/>
      <c r="F1568" s="8"/>
      <c r="G1568" s="10" t="str">
        <f aca="false">IF($A1568="","",UPPER(SUBSTITUTE(SUBSTITUTE(SUBSTITUTE(SUBSTITUTE($A1568," ",""),"(주)",""),"주식회사",""),"㈜","")))</f>
        <v/>
      </c>
      <c r="H1568" s="10" t="str">
        <f aca="false">IF($B1568="","",SUBSTITUTE(SUBSTITUTE(SUBSTITUTE($B1568,"-","")," ",""),".",""))</f>
        <v/>
      </c>
      <c r="I1568" s="10" t="str">
        <f aca="false">IF($D1568="","",SUBSTITUTE(SUBSTITUTE(SUBSTITUTE($D1568,"-","")," ",""),".",""))</f>
        <v/>
      </c>
      <c r="J1568" s="10" t="str">
        <f aca="false">IF($E1568="","",UPPER(SUBSTITUTE($E1568," ","")))</f>
        <v/>
      </c>
      <c r="K1568" s="10" t="str">
        <f aca="false">IF($A1568="","",$G1568&amp;"|"&amp;$J1568)</f>
        <v/>
      </c>
      <c r="L1568" s="10" t="str">
        <f aca="false">IF($A1568="","",ROW()-2)</f>
        <v/>
      </c>
      <c r="M1568" s="10" t="str">
        <f aca="false">IF($A1568="","",ROW())</f>
        <v/>
      </c>
    </row>
    <row r="1569" customFormat="false" ht="15" hidden="false" customHeight="true" outlineLevel="0" collapsed="false">
      <c r="A1569" s="8"/>
      <c r="B1569" s="8"/>
      <c r="C1569" s="8"/>
      <c r="D1569" s="8"/>
      <c r="E1569" s="8"/>
      <c r="F1569" s="8"/>
      <c r="G1569" s="10" t="str">
        <f aca="false">IF($A1569="","",UPPER(SUBSTITUTE(SUBSTITUTE(SUBSTITUTE(SUBSTITUTE($A1569," ",""),"(주)",""),"주식회사",""),"㈜","")))</f>
        <v/>
      </c>
      <c r="H1569" s="10" t="str">
        <f aca="false">IF($B1569="","",SUBSTITUTE(SUBSTITUTE(SUBSTITUTE($B1569,"-","")," ",""),".",""))</f>
        <v/>
      </c>
      <c r="I1569" s="10" t="str">
        <f aca="false">IF($D1569="","",SUBSTITUTE(SUBSTITUTE(SUBSTITUTE($D1569,"-","")," ",""),".",""))</f>
        <v/>
      </c>
      <c r="J1569" s="10" t="str">
        <f aca="false">IF($E1569="","",UPPER(SUBSTITUTE($E1569," ","")))</f>
        <v/>
      </c>
      <c r="K1569" s="10" t="str">
        <f aca="false">IF($A1569="","",$G1569&amp;"|"&amp;$J1569)</f>
        <v/>
      </c>
      <c r="L1569" s="10" t="str">
        <f aca="false">IF($A1569="","",ROW()-2)</f>
        <v/>
      </c>
      <c r="M1569" s="10" t="str">
        <f aca="false">IF($A1569="","",ROW())</f>
        <v/>
      </c>
    </row>
    <row r="1570" customFormat="false" ht="15" hidden="false" customHeight="true" outlineLevel="0" collapsed="false">
      <c r="A1570" s="8"/>
      <c r="B1570" s="8"/>
      <c r="C1570" s="8"/>
      <c r="D1570" s="8"/>
      <c r="E1570" s="8"/>
      <c r="F1570" s="8"/>
      <c r="G1570" s="10" t="str">
        <f aca="false">IF($A1570="","",UPPER(SUBSTITUTE(SUBSTITUTE(SUBSTITUTE(SUBSTITUTE($A1570," ",""),"(주)",""),"주식회사",""),"㈜","")))</f>
        <v/>
      </c>
      <c r="H1570" s="10" t="str">
        <f aca="false">IF($B1570="","",SUBSTITUTE(SUBSTITUTE(SUBSTITUTE($B1570,"-","")," ",""),".",""))</f>
        <v/>
      </c>
      <c r="I1570" s="10" t="str">
        <f aca="false">IF($D1570="","",SUBSTITUTE(SUBSTITUTE(SUBSTITUTE($D1570,"-","")," ",""),".",""))</f>
        <v/>
      </c>
      <c r="J1570" s="10" t="str">
        <f aca="false">IF($E1570="","",UPPER(SUBSTITUTE($E1570," ","")))</f>
        <v/>
      </c>
      <c r="K1570" s="10" t="str">
        <f aca="false">IF($A1570="","",$G1570&amp;"|"&amp;$J1570)</f>
        <v/>
      </c>
      <c r="L1570" s="10" t="str">
        <f aca="false">IF($A1570="","",ROW()-2)</f>
        <v/>
      </c>
      <c r="M1570" s="10" t="str">
        <f aca="false">IF($A1570="","",ROW())</f>
        <v/>
      </c>
    </row>
    <row r="1571" customFormat="false" ht="15" hidden="false" customHeight="true" outlineLevel="0" collapsed="false">
      <c r="A1571" s="8"/>
      <c r="B1571" s="8"/>
      <c r="C1571" s="8"/>
      <c r="D1571" s="8"/>
      <c r="E1571" s="8"/>
      <c r="F1571" s="8"/>
      <c r="G1571" s="10" t="str">
        <f aca="false">IF($A1571="","",UPPER(SUBSTITUTE(SUBSTITUTE(SUBSTITUTE(SUBSTITUTE($A1571," ",""),"(주)",""),"주식회사",""),"㈜","")))</f>
        <v/>
      </c>
      <c r="H1571" s="10" t="str">
        <f aca="false">IF($B1571="","",SUBSTITUTE(SUBSTITUTE(SUBSTITUTE($B1571,"-","")," ",""),".",""))</f>
        <v/>
      </c>
      <c r="I1571" s="10" t="str">
        <f aca="false">IF($D1571="","",SUBSTITUTE(SUBSTITUTE(SUBSTITUTE($D1571,"-","")," ",""),".",""))</f>
        <v/>
      </c>
      <c r="J1571" s="10" t="str">
        <f aca="false">IF($E1571="","",UPPER(SUBSTITUTE($E1571," ","")))</f>
        <v/>
      </c>
      <c r="K1571" s="10" t="str">
        <f aca="false">IF($A1571="","",$G1571&amp;"|"&amp;$J1571)</f>
        <v/>
      </c>
      <c r="L1571" s="10" t="str">
        <f aca="false">IF($A1571="","",ROW()-2)</f>
        <v/>
      </c>
      <c r="M1571" s="10" t="str">
        <f aca="false">IF($A1571="","",ROW())</f>
        <v/>
      </c>
    </row>
    <row r="1572" customFormat="false" ht="15" hidden="false" customHeight="true" outlineLevel="0" collapsed="false">
      <c r="A1572" s="8"/>
      <c r="B1572" s="8"/>
      <c r="C1572" s="8"/>
      <c r="D1572" s="8"/>
      <c r="E1572" s="8"/>
      <c r="F1572" s="8"/>
      <c r="G1572" s="10" t="str">
        <f aca="false">IF($A1572="","",UPPER(SUBSTITUTE(SUBSTITUTE(SUBSTITUTE(SUBSTITUTE($A1572," ",""),"(주)",""),"주식회사",""),"㈜","")))</f>
        <v/>
      </c>
      <c r="H1572" s="10" t="str">
        <f aca="false">IF($B1572="","",SUBSTITUTE(SUBSTITUTE(SUBSTITUTE($B1572,"-","")," ",""),".",""))</f>
        <v/>
      </c>
      <c r="I1572" s="10" t="str">
        <f aca="false">IF($D1572="","",SUBSTITUTE(SUBSTITUTE(SUBSTITUTE($D1572,"-","")," ",""),".",""))</f>
        <v/>
      </c>
      <c r="J1572" s="10" t="str">
        <f aca="false">IF($E1572="","",UPPER(SUBSTITUTE($E1572," ","")))</f>
        <v/>
      </c>
      <c r="K1572" s="10" t="str">
        <f aca="false">IF($A1572="","",$G1572&amp;"|"&amp;$J1572)</f>
        <v/>
      </c>
      <c r="L1572" s="10" t="str">
        <f aca="false">IF($A1572="","",ROW()-2)</f>
        <v/>
      </c>
      <c r="M1572" s="10" t="str">
        <f aca="false">IF($A1572="","",ROW())</f>
        <v/>
      </c>
    </row>
    <row r="1573" customFormat="false" ht="15" hidden="false" customHeight="true" outlineLevel="0" collapsed="false">
      <c r="A1573" s="8"/>
      <c r="B1573" s="8"/>
      <c r="C1573" s="8"/>
      <c r="D1573" s="8"/>
      <c r="E1573" s="8"/>
      <c r="F1573" s="8"/>
      <c r="G1573" s="10" t="str">
        <f aca="false">IF($A1573="","",UPPER(SUBSTITUTE(SUBSTITUTE(SUBSTITUTE(SUBSTITUTE($A1573," ",""),"(주)",""),"주식회사",""),"㈜","")))</f>
        <v/>
      </c>
      <c r="H1573" s="10" t="str">
        <f aca="false">IF($B1573="","",SUBSTITUTE(SUBSTITUTE(SUBSTITUTE($B1573,"-","")," ",""),".",""))</f>
        <v/>
      </c>
      <c r="I1573" s="10" t="str">
        <f aca="false">IF($D1573="","",SUBSTITUTE(SUBSTITUTE(SUBSTITUTE($D1573,"-","")," ",""),".",""))</f>
        <v/>
      </c>
      <c r="J1573" s="10" t="str">
        <f aca="false">IF($E1573="","",UPPER(SUBSTITUTE($E1573," ","")))</f>
        <v/>
      </c>
      <c r="K1573" s="10" t="str">
        <f aca="false">IF($A1573="","",$G1573&amp;"|"&amp;$J1573)</f>
        <v/>
      </c>
      <c r="L1573" s="10" t="str">
        <f aca="false">IF($A1573="","",ROW()-2)</f>
        <v/>
      </c>
      <c r="M1573" s="10" t="str">
        <f aca="false">IF($A1573="","",ROW())</f>
        <v/>
      </c>
    </row>
    <row r="1574" customFormat="false" ht="15" hidden="false" customHeight="true" outlineLevel="0" collapsed="false">
      <c r="A1574" s="8"/>
      <c r="B1574" s="8"/>
      <c r="C1574" s="8"/>
      <c r="D1574" s="8"/>
      <c r="E1574" s="8"/>
      <c r="F1574" s="8"/>
      <c r="G1574" s="10" t="str">
        <f aca="false">IF($A1574="","",UPPER(SUBSTITUTE(SUBSTITUTE(SUBSTITUTE(SUBSTITUTE($A1574," ",""),"(주)",""),"주식회사",""),"㈜","")))</f>
        <v/>
      </c>
      <c r="H1574" s="10" t="str">
        <f aca="false">IF($B1574="","",SUBSTITUTE(SUBSTITUTE(SUBSTITUTE($B1574,"-","")," ",""),".",""))</f>
        <v/>
      </c>
      <c r="I1574" s="10" t="str">
        <f aca="false">IF($D1574="","",SUBSTITUTE(SUBSTITUTE(SUBSTITUTE($D1574,"-","")," ",""),".",""))</f>
        <v/>
      </c>
      <c r="J1574" s="10" t="str">
        <f aca="false">IF($E1574="","",UPPER(SUBSTITUTE($E1574," ","")))</f>
        <v/>
      </c>
      <c r="K1574" s="10" t="str">
        <f aca="false">IF($A1574="","",$G1574&amp;"|"&amp;$J1574)</f>
        <v/>
      </c>
      <c r="L1574" s="10" t="str">
        <f aca="false">IF($A1574="","",ROW()-2)</f>
        <v/>
      </c>
      <c r="M1574" s="10" t="str">
        <f aca="false">IF($A1574="","",ROW())</f>
        <v/>
      </c>
    </row>
    <row r="1575" customFormat="false" ht="15" hidden="false" customHeight="true" outlineLevel="0" collapsed="false">
      <c r="A1575" s="8"/>
      <c r="B1575" s="8"/>
      <c r="C1575" s="8"/>
      <c r="D1575" s="8"/>
      <c r="E1575" s="8"/>
      <c r="F1575" s="8"/>
      <c r="G1575" s="10" t="str">
        <f aca="false">IF($A1575="","",UPPER(SUBSTITUTE(SUBSTITUTE(SUBSTITUTE(SUBSTITUTE($A1575," ",""),"(주)",""),"주식회사",""),"㈜","")))</f>
        <v/>
      </c>
      <c r="H1575" s="10" t="str">
        <f aca="false">IF($B1575="","",SUBSTITUTE(SUBSTITUTE(SUBSTITUTE($B1575,"-","")," ",""),".",""))</f>
        <v/>
      </c>
      <c r="I1575" s="10" t="str">
        <f aca="false">IF($D1575="","",SUBSTITUTE(SUBSTITUTE(SUBSTITUTE($D1575,"-","")," ",""),".",""))</f>
        <v/>
      </c>
      <c r="J1575" s="10" t="str">
        <f aca="false">IF($E1575="","",UPPER(SUBSTITUTE($E1575," ","")))</f>
        <v/>
      </c>
      <c r="K1575" s="10" t="str">
        <f aca="false">IF($A1575="","",$G1575&amp;"|"&amp;$J1575)</f>
        <v/>
      </c>
      <c r="L1575" s="10" t="str">
        <f aca="false">IF($A1575="","",ROW()-2)</f>
        <v/>
      </c>
      <c r="M1575" s="10" t="str">
        <f aca="false">IF($A1575="","",ROW())</f>
        <v/>
      </c>
    </row>
    <row r="1576" customFormat="false" ht="15" hidden="false" customHeight="true" outlineLevel="0" collapsed="false">
      <c r="A1576" s="8"/>
      <c r="B1576" s="8"/>
      <c r="C1576" s="8"/>
      <c r="D1576" s="8"/>
      <c r="E1576" s="8"/>
      <c r="F1576" s="8"/>
      <c r="G1576" s="10" t="str">
        <f aca="false">IF($A1576="","",UPPER(SUBSTITUTE(SUBSTITUTE(SUBSTITUTE(SUBSTITUTE($A1576," ",""),"(주)",""),"주식회사",""),"㈜","")))</f>
        <v/>
      </c>
      <c r="H1576" s="10" t="str">
        <f aca="false">IF($B1576="","",SUBSTITUTE(SUBSTITUTE(SUBSTITUTE($B1576,"-","")," ",""),".",""))</f>
        <v/>
      </c>
      <c r="I1576" s="10" t="str">
        <f aca="false">IF($D1576="","",SUBSTITUTE(SUBSTITUTE(SUBSTITUTE($D1576,"-","")," ",""),".",""))</f>
        <v/>
      </c>
      <c r="J1576" s="10" t="str">
        <f aca="false">IF($E1576="","",UPPER(SUBSTITUTE($E1576," ","")))</f>
        <v/>
      </c>
      <c r="K1576" s="10" t="str">
        <f aca="false">IF($A1576="","",$G1576&amp;"|"&amp;$J1576)</f>
        <v/>
      </c>
      <c r="L1576" s="10" t="str">
        <f aca="false">IF($A1576="","",ROW()-2)</f>
        <v/>
      </c>
      <c r="M1576" s="10" t="str">
        <f aca="false">IF($A1576="","",ROW())</f>
        <v/>
      </c>
    </row>
    <row r="1577" customFormat="false" ht="15" hidden="false" customHeight="true" outlineLevel="0" collapsed="false">
      <c r="A1577" s="8"/>
      <c r="B1577" s="8"/>
      <c r="C1577" s="8"/>
      <c r="D1577" s="8"/>
      <c r="E1577" s="8"/>
      <c r="F1577" s="8"/>
      <c r="G1577" s="10" t="str">
        <f aca="false">IF($A1577="","",UPPER(SUBSTITUTE(SUBSTITUTE(SUBSTITUTE(SUBSTITUTE($A1577," ",""),"(주)",""),"주식회사",""),"㈜","")))</f>
        <v/>
      </c>
      <c r="H1577" s="10" t="str">
        <f aca="false">IF($B1577="","",SUBSTITUTE(SUBSTITUTE(SUBSTITUTE($B1577,"-","")," ",""),".",""))</f>
        <v/>
      </c>
      <c r="I1577" s="10" t="str">
        <f aca="false">IF($D1577="","",SUBSTITUTE(SUBSTITUTE(SUBSTITUTE($D1577,"-","")," ",""),".",""))</f>
        <v/>
      </c>
      <c r="J1577" s="10" t="str">
        <f aca="false">IF($E1577="","",UPPER(SUBSTITUTE($E1577," ","")))</f>
        <v/>
      </c>
      <c r="K1577" s="10" t="str">
        <f aca="false">IF($A1577="","",$G1577&amp;"|"&amp;$J1577)</f>
        <v/>
      </c>
      <c r="L1577" s="10" t="str">
        <f aca="false">IF($A1577="","",ROW()-2)</f>
        <v/>
      </c>
      <c r="M1577" s="10" t="str">
        <f aca="false">IF($A1577="","",ROW())</f>
        <v/>
      </c>
    </row>
    <row r="1578" customFormat="false" ht="15" hidden="false" customHeight="true" outlineLevel="0" collapsed="false">
      <c r="A1578" s="8"/>
      <c r="B1578" s="8"/>
      <c r="C1578" s="8"/>
      <c r="D1578" s="8"/>
      <c r="E1578" s="8"/>
      <c r="F1578" s="8"/>
      <c r="G1578" s="10" t="str">
        <f aca="false">IF($A1578="","",UPPER(SUBSTITUTE(SUBSTITUTE(SUBSTITUTE(SUBSTITUTE($A1578," ",""),"(주)",""),"주식회사",""),"㈜","")))</f>
        <v/>
      </c>
      <c r="H1578" s="10" t="str">
        <f aca="false">IF($B1578="","",SUBSTITUTE(SUBSTITUTE(SUBSTITUTE($B1578,"-","")," ",""),".",""))</f>
        <v/>
      </c>
      <c r="I1578" s="10" t="str">
        <f aca="false">IF($D1578="","",SUBSTITUTE(SUBSTITUTE(SUBSTITUTE($D1578,"-","")," ",""),".",""))</f>
        <v/>
      </c>
      <c r="J1578" s="10" t="str">
        <f aca="false">IF($E1578="","",UPPER(SUBSTITUTE($E1578," ","")))</f>
        <v/>
      </c>
      <c r="K1578" s="10" t="str">
        <f aca="false">IF($A1578="","",$G1578&amp;"|"&amp;$J1578)</f>
        <v/>
      </c>
      <c r="L1578" s="10" t="str">
        <f aca="false">IF($A1578="","",ROW()-2)</f>
        <v/>
      </c>
      <c r="M1578" s="10" t="str">
        <f aca="false">IF($A1578="","",ROW())</f>
        <v/>
      </c>
    </row>
    <row r="1579" customFormat="false" ht="15" hidden="false" customHeight="true" outlineLevel="0" collapsed="false">
      <c r="A1579" s="8"/>
      <c r="B1579" s="8"/>
      <c r="C1579" s="8"/>
      <c r="D1579" s="8"/>
      <c r="E1579" s="8"/>
      <c r="F1579" s="8"/>
      <c r="G1579" s="10" t="str">
        <f aca="false">IF($A1579="","",UPPER(SUBSTITUTE(SUBSTITUTE(SUBSTITUTE(SUBSTITUTE($A1579," ",""),"(주)",""),"주식회사",""),"㈜","")))</f>
        <v/>
      </c>
      <c r="H1579" s="10" t="str">
        <f aca="false">IF($B1579="","",SUBSTITUTE(SUBSTITUTE(SUBSTITUTE($B1579,"-","")," ",""),".",""))</f>
        <v/>
      </c>
      <c r="I1579" s="10" t="str">
        <f aca="false">IF($D1579="","",SUBSTITUTE(SUBSTITUTE(SUBSTITUTE($D1579,"-","")," ",""),".",""))</f>
        <v/>
      </c>
      <c r="J1579" s="10" t="str">
        <f aca="false">IF($E1579="","",UPPER(SUBSTITUTE($E1579," ","")))</f>
        <v/>
      </c>
      <c r="K1579" s="10" t="str">
        <f aca="false">IF($A1579="","",$G1579&amp;"|"&amp;$J1579)</f>
        <v/>
      </c>
      <c r="L1579" s="10" t="str">
        <f aca="false">IF($A1579="","",ROW()-2)</f>
        <v/>
      </c>
      <c r="M1579" s="10" t="str">
        <f aca="false">IF($A1579="","",ROW())</f>
        <v/>
      </c>
    </row>
    <row r="1580" customFormat="false" ht="15" hidden="false" customHeight="true" outlineLevel="0" collapsed="false">
      <c r="A1580" s="8"/>
      <c r="B1580" s="8"/>
      <c r="C1580" s="8"/>
      <c r="D1580" s="8"/>
      <c r="E1580" s="8"/>
      <c r="F1580" s="8"/>
      <c r="G1580" s="10" t="str">
        <f aca="false">IF($A1580="","",UPPER(SUBSTITUTE(SUBSTITUTE(SUBSTITUTE(SUBSTITUTE($A1580," ",""),"(주)",""),"주식회사",""),"㈜","")))</f>
        <v/>
      </c>
      <c r="H1580" s="10" t="str">
        <f aca="false">IF($B1580="","",SUBSTITUTE(SUBSTITUTE(SUBSTITUTE($B1580,"-","")," ",""),".",""))</f>
        <v/>
      </c>
      <c r="I1580" s="10" t="str">
        <f aca="false">IF($D1580="","",SUBSTITUTE(SUBSTITUTE(SUBSTITUTE($D1580,"-","")," ",""),".",""))</f>
        <v/>
      </c>
      <c r="J1580" s="10" t="str">
        <f aca="false">IF($E1580="","",UPPER(SUBSTITUTE($E1580," ","")))</f>
        <v/>
      </c>
      <c r="K1580" s="10" t="str">
        <f aca="false">IF($A1580="","",$G1580&amp;"|"&amp;$J1580)</f>
        <v/>
      </c>
      <c r="L1580" s="10" t="str">
        <f aca="false">IF($A1580="","",ROW()-2)</f>
        <v/>
      </c>
      <c r="M1580" s="10" t="str">
        <f aca="false">IF($A1580="","",ROW())</f>
        <v/>
      </c>
    </row>
    <row r="1581" customFormat="false" ht="15" hidden="false" customHeight="true" outlineLevel="0" collapsed="false">
      <c r="A1581" s="8"/>
      <c r="B1581" s="8"/>
      <c r="C1581" s="8"/>
      <c r="D1581" s="8"/>
      <c r="E1581" s="8"/>
      <c r="F1581" s="8"/>
      <c r="G1581" s="10" t="str">
        <f aca="false">IF($A1581="","",UPPER(SUBSTITUTE(SUBSTITUTE(SUBSTITUTE(SUBSTITUTE($A1581," ",""),"(주)",""),"주식회사",""),"㈜","")))</f>
        <v/>
      </c>
      <c r="H1581" s="10" t="str">
        <f aca="false">IF($B1581="","",SUBSTITUTE(SUBSTITUTE(SUBSTITUTE($B1581,"-","")," ",""),".",""))</f>
        <v/>
      </c>
      <c r="I1581" s="10" t="str">
        <f aca="false">IF($D1581="","",SUBSTITUTE(SUBSTITUTE(SUBSTITUTE($D1581,"-","")," ",""),".",""))</f>
        <v/>
      </c>
      <c r="J1581" s="10" t="str">
        <f aca="false">IF($E1581="","",UPPER(SUBSTITUTE($E1581," ","")))</f>
        <v/>
      </c>
      <c r="K1581" s="10" t="str">
        <f aca="false">IF($A1581="","",$G1581&amp;"|"&amp;$J1581)</f>
        <v/>
      </c>
      <c r="L1581" s="10" t="str">
        <f aca="false">IF($A1581="","",ROW()-2)</f>
        <v/>
      </c>
      <c r="M1581" s="10" t="str">
        <f aca="false">IF($A1581="","",ROW())</f>
        <v/>
      </c>
    </row>
    <row r="1582" customFormat="false" ht="15" hidden="false" customHeight="true" outlineLevel="0" collapsed="false">
      <c r="A1582" s="8"/>
      <c r="B1582" s="8"/>
      <c r="C1582" s="8"/>
      <c r="D1582" s="8"/>
      <c r="E1582" s="8"/>
      <c r="F1582" s="8"/>
      <c r="G1582" s="10" t="str">
        <f aca="false">IF($A1582="","",UPPER(SUBSTITUTE(SUBSTITUTE(SUBSTITUTE(SUBSTITUTE($A1582," ",""),"(주)",""),"주식회사",""),"㈜","")))</f>
        <v/>
      </c>
      <c r="H1582" s="10" t="str">
        <f aca="false">IF($B1582="","",SUBSTITUTE(SUBSTITUTE(SUBSTITUTE($B1582,"-","")," ",""),".",""))</f>
        <v/>
      </c>
      <c r="I1582" s="10" t="str">
        <f aca="false">IF($D1582="","",SUBSTITUTE(SUBSTITUTE(SUBSTITUTE($D1582,"-","")," ",""),".",""))</f>
        <v/>
      </c>
      <c r="J1582" s="10" t="str">
        <f aca="false">IF($E1582="","",UPPER(SUBSTITUTE($E1582," ","")))</f>
        <v/>
      </c>
      <c r="K1582" s="10" t="str">
        <f aca="false">IF($A1582="","",$G1582&amp;"|"&amp;$J1582)</f>
        <v/>
      </c>
      <c r="L1582" s="10" t="str">
        <f aca="false">IF($A1582="","",ROW()-2)</f>
        <v/>
      </c>
      <c r="M1582" s="10" t="str">
        <f aca="false">IF($A1582="","",ROW())</f>
        <v/>
      </c>
    </row>
    <row r="1583" customFormat="false" ht="15" hidden="false" customHeight="true" outlineLevel="0" collapsed="false">
      <c r="A1583" s="8"/>
      <c r="B1583" s="8"/>
      <c r="C1583" s="8"/>
      <c r="D1583" s="8"/>
      <c r="E1583" s="8"/>
      <c r="F1583" s="8"/>
      <c r="G1583" s="10" t="str">
        <f aca="false">IF($A1583="","",UPPER(SUBSTITUTE(SUBSTITUTE(SUBSTITUTE(SUBSTITUTE($A1583," ",""),"(주)",""),"주식회사",""),"㈜","")))</f>
        <v/>
      </c>
      <c r="H1583" s="10" t="str">
        <f aca="false">IF($B1583="","",SUBSTITUTE(SUBSTITUTE(SUBSTITUTE($B1583,"-","")," ",""),".",""))</f>
        <v/>
      </c>
      <c r="I1583" s="10" t="str">
        <f aca="false">IF($D1583="","",SUBSTITUTE(SUBSTITUTE(SUBSTITUTE($D1583,"-","")," ",""),".",""))</f>
        <v/>
      </c>
      <c r="J1583" s="10" t="str">
        <f aca="false">IF($E1583="","",UPPER(SUBSTITUTE($E1583," ","")))</f>
        <v/>
      </c>
      <c r="K1583" s="10" t="str">
        <f aca="false">IF($A1583="","",$G1583&amp;"|"&amp;$J1583)</f>
        <v/>
      </c>
      <c r="L1583" s="10" t="str">
        <f aca="false">IF($A1583="","",ROW()-2)</f>
        <v/>
      </c>
      <c r="M1583" s="10" t="str">
        <f aca="false">IF($A1583="","",ROW())</f>
        <v/>
      </c>
    </row>
    <row r="1584" customFormat="false" ht="15" hidden="false" customHeight="true" outlineLevel="0" collapsed="false">
      <c r="A1584" s="8"/>
      <c r="B1584" s="8"/>
      <c r="C1584" s="8"/>
      <c r="D1584" s="8"/>
      <c r="E1584" s="8"/>
      <c r="F1584" s="8"/>
      <c r="G1584" s="10" t="str">
        <f aca="false">IF($A1584="","",UPPER(SUBSTITUTE(SUBSTITUTE(SUBSTITUTE(SUBSTITUTE($A1584," ",""),"(주)",""),"주식회사",""),"㈜","")))</f>
        <v/>
      </c>
      <c r="H1584" s="10" t="str">
        <f aca="false">IF($B1584="","",SUBSTITUTE(SUBSTITUTE(SUBSTITUTE($B1584,"-","")," ",""),".",""))</f>
        <v/>
      </c>
      <c r="I1584" s="10" t="str">
        <f aca="false">IF($D1584="","",SUBSTITUTE(SUBSTITUTE(SUBSTITUTE($D1584,"-","")," ",""),".",""))</f>
        <v/>
      </c>
      <c r="J1584" s="10" t="str">
        <f aca="false">IF($E1584="","",UPPER(SUBSTITUTE($E1584," ","")))</f>
        <v/>
      </c>
      <c r="K1584" s="10" t="str">
        <f aca="false">IF($A1584="","",$G1584&amp;"|"&amp;$J1584)</f>
        <v/>
      </c>
      <c r="L1584" s="10" t="str">
        <f aca="false">IF($A1584="","",ROW()-2)</f>
        <v/>
      </c>
      <c r="M1584" s="10" t="str">
        <f aca="false">IF($A1584="","",ROW())</f>
        <v/>
      </c>
    </row>
    <row r="1585" customFormat="false" ht="15" hidden="false" customHeight="true" outlineLevel="0" collapsed="false">
      <c r="A1585" s="8"/>
      <c r="B1585" s="8"/>
      <c r="C1585" s="8"/>
      <c r="D1585" s="8"/>
      <c r="E1585" s="8"/>
      <c r="F1585" s="8"/>
      <c r="G1585" s="10" t="str">
        <f aca="false">IF($A1585="","",UPPER(SUBSTITUTE(SUBSTITUTE(SUBSTITUTE(SUBSTITUTE($A1585," ",""),"(주)",""),"주식회사",""),"㈜","")))</f>
        <v/>
      </c>
      <c r="H1585" s="10" t="str">
        <f aca="false">IF($B1585="","",SUBSTITUTE(SUBSTITUTE(SUBSTITUTE($B1585,"-","")," ",""),".",""))</f>
        <v/>
      </c>
      <c r="I1585" s="10" t="str">
        <f aca="false">IF($D1585="","",SUBSTITUTE(SUBSTITUTE(SUBSTITUTE($D1585,"-","")," ",""),".",""))</f>
        <v/>
      </c>
      <c r="J1585" s="10" t="str">
        <f aca="false">IF($E1585="","",UPPER(SUBSTITUTE($E1585," ","")))</f>
        <v/>
      </c>
      <c r="K1585" s="10" t="str">
        <f aca="false">IF($A1585="","",$G1585&amp;"|"&amp;$J1585)</f>
        <v/>
      </c>
      <c r="L1585" s="10" t="str">
        <f aca="false">IF($A1585="","",ROW()-2)</f>
        <v/>
      </c>
      <c r="M1585" s="10" t="str">
        <f aca="false">IF($A1585="","",ROW())</f>
        <v/>
      </c>
    </row>
    <row r="1586" customFormat="false" ht="15" hidden="false" customHeight="true" outlineLevel="0" collapsed="false">
      <c r="A1586" s="8"/>
      <c r="B1586" s="8"/>
      <c r="C1586" s="8"/>
      <c r="D1586" s="8"/>
      <c r="E1586" s="8"/>
      <c r="F1586" s="8"/>
      <c r="G1586" s="10" t="str">
        <f aca="false">IF($A1586="","",UPPER(SUBSTITUTE(SUBSTITUTE(SUBSTITUTE(SUBSTITUTE($A1586," ",""),"(주)",""),"주식회사",""),"㈜","")))</f>
        <v/>
      </c>
      <c r="H1586" s="10" t="str">
        <f aca="false">IF($B1586="","",SUBSTITUTE(SUBSTITUTE(SUBSTITUTE($B1586,"-","")," ",""),".",""))</f>
        <v/>
      </c>
      <c r="I1586" s="10" t="str">
        <f aca="false">IF($D1586="","",SUBSTITUTE(SUBSTITUTE(SUBSTITUTE($D1586,"-","")," ",""),".",""))</f>
        <v/>
      </c>
      <c r="J1586" s="10" t="str">
        <f aca="false">IF($E1586="","",UPPER(SUBSTITUTE($E1586," ","")))</f>
        <v/>
      </c>
      <c r="K1586" s="10" t="str">
        <f aca="false">IF($A1586="","",$G1586&amp;"|"&amp;$J1586)</f>
        <v/>
      </c>
      <c r="L1586" s="10" t="str">
        <f aca="false">IF($A1586="","",ROW()-2)</f>
        <v/>
      </c>
      <c r="M1586" s="10" t="str">
        <f aca="false">IF($A1586="","",ROW())</f>
        <v/>
      </c>
    </row>
    <row r="1587" customFormat="false" ht="15" hidden="false" customHeight="true" outlineLevel="0" collapsed="false">
      <c r="A1587" s="8"/>
      <c r="B1587" s="8"/>
      <c r="C1587" s="8"/>
      <c r="D1587" s="8"/>
      <c r="E1587" s="8"/>
      <c r="F1587" s="8"/>
      <c r="G1587" s="10" t="str">
        <f aca="false">IF($A1587="","",UPPER(SUBSTITUTE(SUBSTITUTE(SUBSTITUTE(SUBSTITUTE($A1587," ",""),"(주)",""),"주식회사",""),"㈜","")))</f>
        <v/>
      </c>
      <c r="H1587" s="10" t="str">
        <f aca="false">IF($B1587="","",SUBSTITUTE(SUBSTITUTE(SUBSTITUTE($B1587,"-","")," ",""),".",""))</f>
        <v/>
      </c>
      <c r="I1587" s="10" t="str">
        <f aca="false">IF($D1587="","",SUBSTITUTE(SUBSTITUTE(SUBSTITUTE($D1587,"-","")," ",""),".",""))</f>
        <v/>
      </c>
      <c r="J1587" s="10" t="str">
        <f aca="false">IF($E1587="","",UPPER(SUBSTITUTE($E1587," ","")))</f>
        <v/>
      </c>
      <c r="K1587" s="10" t="str">
        <f aca="false">IF($A1587="","",$G1587&amp;"|"&amp;$J1587)</f>
        <v/>
      </c>
      <c r="L1587" s="10" t="str">
        <f aca="false">IF($A1587="","",ROW()-2)</f>
        <v/>
      </c>
      <c r="M1587" s="10" t="str">
        <f aca="false">IF($A1587="","",ROW())</f>
        <v/>
      </c>
    </row>
    <row r="1588" customFormat="false" ht="15" hidden="false" customHeight="true" outlineLevel="0" collapsed="false">
      <c r="A1588" s="8"/>
      <c r="B1588" s="8"/>
      <c r="C1588" s="8"/>
      <c r="D1588" s="8"/>
      <c r="E1588" s="8"/>
      <c r="F1588" s="8"/>
      <c r="G1588" s="10" t="str">
        <f aca="false">IF($A1588="","",UPPER(SUBSTITUTE(SUBSTITUTE(SUBSTITUTE(SUBSTITUTE($A1588," ",""),"(주)",""),"주식회사",""),"㈜","")))</f>
        <v/>
      </c>
      <c r="H1588" s="10" t="str">
        <f aca="false">IF($B1588="","",SUBSTITUTE(SUBSTITUTE(SUBSTITUTE($B1588,"-","")," ",""),".",""))</f>
        <v/>
      </c>
      <c r="I1588" s="10" t="str">
        <f aca="false">IF($D1588="","",SUBSTITUTE(SUBSTITUTE(SUBSTITUTE($D1588,"-","")," ",""),".",""))</f>
        <v/>
      </c>
      <c r="J1588" s="10" t="str">
        <f aca="false">IF($E1588="","",UPPER(SUBSTITUTE($E1588," ","")))</f>
        <v/>
      </c>
      <c r="K1588" s="10" t="str">
        <f aca="false">IF($A1588="","",$G1588&amp;"|"&amp;$J1588)</f>
        <v/>
      </c>
      <c r="L1588" s="10" t="str">
        <f aca="false">IF($A1588="","",ROW()-2)</f>
        <v/>
      </c>
      <c r="M1588" s="10" t="str">
        <f aca="false">IF($A1588="","",ROW())</f>
        <v/>
      </c>
    </row>
    <row r="1589" customFormat="false" ht="15" hidden="false" customHeight="true" outlineLevel="0" collapsed="false">
      <c r="A1589" s="8"/>
      <c r="B1589" s="8"/>
      <c r="C1589" s="8"/>
      <c r="D1589" s="8"/>
      <c r="E1589" s="8"/>
      <c r="F1589" s="8"/>
      <c r="G1589" s="10" t="str">
        <f aca="false">IF($A1589="","",UPPER(SUBSTITUTE(SUBSTITUTE(SUBSTITUTE(SUBSTITUTE($A1589," ",""),"(주)",""),"주식회사",""),"㈜","")))</f>
        <v/>
      </c>
      <c r="H1589" s="10" t="str">
        <f aca="false">IF($B1589="","",SUBSTITUTE(SUBSTITUTE(SUBSTITUTE($B1589,"-","")," ",""),".",""))</f>
        <v/>
      </c>
      <c r="I1589" s="10" t="str">
        <f aca="false">IF($D1589="","",SUBSTITUTE(SUBSTITUTE(SUBSTITUTE($D1589,"-","")," ",""),".",""))</f>
        <v/>
      </c>
      <c r="J1589" s="10" t="str">
        <f aca="false">IF($E1589="","",UPPER(SUBSTITUTE($E1589," ","")))</f>
        <v/>
      </c>
      <c r="K1589" s="10" t="str">
        <f aca="false">IF($A1589="","",$G1589&amp;"|"&amp;$J1589)</f>
        <v/>
      </c>
      <c r="L1589" s="10" t="str">
        <f aca="false">IF($A1589="","",ROW()-2)</f>
        <v/>
      </c>
      <c r="M1589" s="10" t="str">
        <f aca="false">IF($A1589="","",ROW())</f>
        <v/>
      </c>
    </row>
    <row r="1590" customFormat="false" ht="15" hidden="false" customHeight="true" outlineLevel="0" collapsed="false">
      <c r="A1590" s="8"/>
      <c r="B1590" s="8"/>
      <c r="C1590" s="8"/>
      <c r="D1590" s="8"/>
      <c r="E1590" s="8"/>
      <c r="F1590" s="8"/>
      <c r="G1590" s="10" t="str">
        <f aca="false">IF($A1590="","",UPPER(SUBSTITUTE(SUBSTITUTE(SUBSTITUTE(SUBSTITUTE($A1590," ",""),"(주)",""),"주식회사",""),"㈜","")))</f>
        <v/>
      </c>
      <c r="H1590" s="10" t="str">
        <f aca="false">IF($B1590="","",SUBSTITUTE(SUBSTITUTE(SUBSTITUTE($B1590,"-","")," ",""),".",""))</f>
        <v/>
      </c>
      <c r="I1590" s="10" t="str">
        <f aca="false">IF($D1590="","",SUBSTITUTE(SUBSTITUTE(SUBSTITUTE($D1590,"-","")," ",""),".",""))</f>
        <v/>
      </c>
      <c r="J1590" s="10" t="str">
        <f aca="false">IF($E1590="","",UPPER(SUBSTITUTE($E1590," ","")))</f>
        <v/>
      </c>
      <c r="K1590" s="10" t="str">
        <f aca="false">IF($A1590="","",$G1590&amp;"|"&amp;$J1590)</f>
        <v/>
      </c>
      <c r="L1590" s="10" t="str">
        <f aca="false">IF($A1590="","",ROW()-2)</f>
        <v/>
      </c>
      <c r="M1590" s="10" t="str">
        <f aca="false">IF($A1590="","",ROW())</f>
        <v/>
      </c>
    </row>
    <row r="1591" customFormat="false" ht="15" hidden="false" customHeight="true" outlineLevel="0" collapsed="false">
      <c r="A1591" s="8"/>
      <c r="B1591" s="8"/>
      <c r="C1591" s="8"/>
      <c r="D1591" s="8"/>
      <c r="E1591" s="8"/>
      <c r="F1591" s="8"/>
      <c r="G1591" s="10" t="str">
        <f aca="false">IF($A1591="","",UPPER(SUBSTITUTE(SUBSTITUTE(SUBSTITUTE(SUBSTITUTE($A1591," ",""),"(주)",""),"주식회사",""),"㈜","")))</f>
        <v/>
      </c>
      <c r="H1591" s="10" t="str">
        <f aca="false">IF($B1591="","",SUBSTITUTE(SUBSTITUTE(SUBSTITUTE($B1591,"-","")," ",""),".",""))</f>
        <v/>
      </c>
      <c r="I1591" s="10" t="str">
        <f aca="false">IF($D1591="","",SUBSTITUTE(SUBSTITUTE(SUBSTITUTE($D1591,"-","")," ",""),".",""))</f>
        <v/>
      </c>
      <c r="J1591" s="10" t="str">
        <f aca="false">IF($E1591="","",UPPER(SUBSTITUTE($E1591," ","")))</f>
        <v/>
      </c>
      <c r="K1591" s="10" t="str">
        <f aca="false">IF($A1591="","",$G1591&amp;"|"&amp;$J1591)</f>
        <v/>
      </c>
      <c r="L1591" s="10" t="str">
        <f aca="false">IF($A1591="","",ROW()-2)</f>
        <v/>
      </c>
      <c r="M1591" s="10" t="str">
        <f aca="false">IF($A1591="","",ROW())</f>
        <v/>
      </c>
    </row>
    <row r="1592" customFormat="false" ht="15" hidden="false" customHeight="true" outlineLevel="0" collapsed="false">
      <c r="A1592" s="8"/>
      <c r="B1592" s="8"/>
      <c r="C1592" s="8"/>
      <c r="D1592" s="8"/>
      <c r="E1592" s="8"/>
      <c r="F1592" s="8"/>
      <c r="G1592" s="10" t="str">
        <f aca="false">IF($A1592="","",UPPER(SUBSTITUTE(SUBSTITUTE(SUBSTITUTE(SUBSTITUTE($A1592," ",""),"(주)",""),"주식회사",""),"㈜","")))</f>
        <v/>
      </c>
      <c r="H1592" s="10" t="str">
        <f aca="false">IF($B1592="","",SUBSTITUTE(SUBSTITUTE(SUBSTITUTE($B1592,"-","")," ",""),".",""))</f>
        <v/>
      </c>
      <c r="I1592" s="10" t="str">
        <f aca="false">IF($D1592="","",SUBSTITUTE(SUBSTITUTE(SUBSTITUTE($D1592,"-","")," ",""),".",""))</f>
        <v/>
      </c>
      <c r="J1592" s="10" t="str">
        <f aca="false">IF($E1592="","",UPPER(SUBSTITUTE($E1592," ","")))</f>
        <v/>
      </c>
      <c r="K1592" s="10" t="str">
        <f aca="false">IF($A1592="","",$G1592&amp;"|"&amp;$J1592)</f>
        <v/>
      </c>
      <c r="L1592" s="10" t="str">
        <f aca="false">IF($A1592="","",ROW()-2)</f>
        <v/>
      </c>
      <c r="M1592" s="10" t="str">
        <f aca="false">IF($A1592="","",ROW())</f>
        <v/>
      </c>
    </row>
    <row r="1593" customFormat="false" ht="15" hidden="false" customHeight="true" outlineLevel="0" collapsed="false">
      <c r="A1593" s="8"/>
      <c r="B1593" s="8"/>
      <c r="C1593" s="8"/>
      <c r="D1593" s="8"/>
      <c r="E1593" s="8"/>
      <c r="F1593" s="8"/>
      <c r="G1593" s="10" t="str">
        <f aca="false">IF($A1593="","",UPPER(SUBSTITUTE(SUBSTITUTE(SUBSTITUTE(SUBSTITUTE($A1593," ",""),"(주)",""),"주식회사",""),"㈜","")))</f>
        <v/>
      </c>
      <c r="H1593" s="10" t="str">
        <f aca="false">IF($B1593="","",SUBSTITUTE(SUBSTITUTE(SUBSTITUTE($B1593,"-","")," ",""),".",""))</f>
        <v/>
      </c>
      <c r="I1593" s="10" t="str">
        <f aca="false">IF($D1593="","",SUBSTITUTE(SUBSTITUTE(SUBSTITUTE($D1593,"-","")," ",""),".",""))</f>
        <v/>
      </c>
      <c r="J1593" s="10" t="str">
        <f aca="false">IF($E1593="","",UPPER(SUBSTITUTE($E1593," ","")))</f>
        <v/>
      </c>
      <c r="K1593" s="10" t="str">
        <f aca="false">IF($A1593="","",$G1593&amp;"|"&amp;$J1593)</f>
        <v/>
      </c>
      <c r="L1593" s="10" t="str">
        <f aca="false">IF($A1593="","",ROW()-2)</f>
        <v/>
      </c>
      <c r="M1593" s="10" t="str">
        <f aca="false">IF($A1593="","",ROW())</f>
        <v/>
      </c>
    </row>
    <row r="1594" customFormat="false" ht="15" hidden="false" customHeight="true" outlineLevel="0" collapsed="false">
      <c r="A1594" s="8"/>
      <c r="B1594" s="8"/>
      <c r="C1594" s="8"/>
      <c r="D1594" s="8"/>
      <c r="E1594" s="8"/>
      <c r="F1594" s="8"/>
      <c r="G1594" s="10" t="str">
        <f aca="false">IF($A1594="","",UPPER(SUBSTITUTE(SUBSTITUTE(SUBSTITUTE(SUBSTITUTE($A1594," ",""),"(주)",""),"주식회사",""),"㈜","")))</f>
        <v/>
      </c>
      <c r="H1594" s="10" t="str">
        <f aca="false">IF($B1594="","",SUBSTITUTE(SUBSTITUTE(SUBSTITUTE($B1594,"-","")," ",""),".",""))</f>
        <v/>
      </c>
      <c r="I1594" s="10" t="str">
        <f aca="false">IF($D1594="","",SUBSTITUTE(SUBSTITUTE(SUBSTITUTE($D1594,"-","")," ",""),".",""))</f>
        <v/>
      </c>
      <c r="J1594" s="10" t="str">
        <f aca="false">IF($E1594="","",UPPER(SUBSTITUTE($E1594," ","")))</f>
        <v/>
      </c>
      <c r="K1594" s="10" t="str">
        <f aca="false">IF($A1594="","",$G1594&amp;"|"&amp;$J1594)</f>
        <v/>
      </c>
      <c r="L1594" s="10" t="str">
        <f aca="false">IF($A1594="","",ROW()-2)</f>
        <v/>
      </c>
      <c r="M1594" s="10" t="str">
        <f aca="false">IF($A1594="","",ROW())</f>
        <v/>
      </c>
    </row>
    <row r="1595" customFormat="false" ht="15" hidden="false" customHeight="true" outlineLevel="0" collapsed="false">
      <c r="A1595" s="8"/>
      <c r="B1595" s="8"/>
      <c r="C1595" s="8"/>
      <c r="D1595" s="8"/>
      <c r="E1595" s="8"/>
      <c r="F1595" s="8"/>
      <c r="G1595" s="10" t="str">
        <f aca="false">IF($A1595="","",UPPER(SUBSTITUTE(SUBSTITUTE(SUBSTITUTE(SUBSTITUTE($A1595," ",""),"(주)",""),"주식회사",""),"㈜","")))</f>
        <v/>
      </c>
      <c r="H1595" s="10" t="str">
        <f aca="false">IF($B1595="","",SUBSTITUTE(SUBSTITUTE(SUBSTITUTE($B1595,"-","")," ",""),".",""))</f>
        <v/>
      </c>
      <c r="I1595" s="10" t="str">
        <f aca="false">IF($D1595="","",SUBSTITUTE(SUBSTITUTE(SUBSTITUTE($D1595,"-","")," ",""),".",""))</f>
        <v/>
      </c>
      <c r="J1595" s="10" t="str">
        <f aca="false">IF($E1595="","",UPPER(SUBSTITUTE($E1595," ","")))</f>
        <v/>
      </c>
      <c r="K1595" s="10" t="str">
        <f aca="false">IF($A1595="","",$G1595&amp;"|"&amp;$J1595)</f>
        <v/>
      </c>
      <c r="L1595" s="10" t="str">
        <f aca="false">IF($A1595="","",ROW()-2)</f>
        <v/>
      </c>
      <c r="M1595" s="10" t="str">
        <f aca="false">IF($A1595="","",ROW())</f>
        <v/>
      </c>
    </row>
    <row r="1596" customFormat="false" ht="15" hidden="false" customHeight="true" outlineLevel="0" collapsed="false">
      <c r="A1596" s="8"/>
      <c r="B1596" s="8"/>
      <c r="C1596" s="8"/>
      <c r="D1596" s="8"/>
      <c r="E1596" s="8"/>
      <c r="F1596" s="8"/>
      <c r="G1596" s="10" t="str">
        <f aca="false">IF($A1596="","",UPPER(SUBSTITUTE(SUBSTITUTE(SUBSTITUTE(SUBSTITUTE($A1596," ",""),"(주)",""),"주식회사",""),"㈜","")))</f>
        <v/>
      </c>
      <c r="H1596" s="10" t="str">
        <f aca="false">IF($B1596="","",SUBSTITUTE(SUBSTITUTE(SUBSTITUTE($B1596,"-","")," ",""),".",""))</f>
        <v/>
      </c>
      <c r="I1596" s="10" t="str">
        <f aca="false">IF($D1596="","",SUBSTITUTE(SUBSTITUTE(SUBSTITUTE($D1596,"-","")," ",""),".",""))</f>
        <v/>
      </c>
      <c r="J1596" s="10" t="str">
        <f aca="false">IF($E1596="","",UPPER(SUBSTITUTE($E1596," ","")))</f>
        <v/>
      </c>
      <c r="K1596" s="10" t="str">
        <f aca="false">IF($A1596="","",$G1596&amp;"|"&amp;$J1596)</f>
        <v/>
      </c>
      <c r="L1596" s="10" t="str">
        <f aca="false">IF($A1596="","",ROW()-2)</f>
        <v/>
      </c>
      <c r="M1596" s="10" t="str">
        <f aca="false">IF($A1596="","",ROW())</f>
        <v/>
      </c>
    </row>
    <row r="1597" customFormat="false" ht="15" hidden="false" customHeight="true" outlineLevel="0" collapsed="false">
      <c r="A1597" s="8"/>
      <c r="B1597" s="8"/>
      <c r="C1597" s="8"/>
      <c r="D1597" s="8"/>
      <c r="E1597" s="8"/>
      <c r="F1597" s="8"/>
      <c r="G1597" s="10" t="str">
        <f aca="false">IF($A1597="","",UPPER(SUBSTITUTE(SUBSTITUTE(SUBSTITUTE(SUBSTITUTE($A1597," ",""),"(주)",""),"주식회사",""),"㈜","")))</f>
        <v/>
      </c>
      <c r="H1597" s="10" t="str">
        <f aca="false">IF($B1597="","",SUBSTITUTE(SUBSTITUTE(SUBSTITUTE($B1597,"-","")," ",""),".",""))</f>
        <v/>
      </c>
      <c r="I1597" s="10" t="str">
        <f aca="false">IF($D1597="","",SUBSTITUTE(SUBSTITUTE(SUBSTITUTE($D1597,"-","")," ",""),".",""))</f>
        <v/>
      </c>
      <c r="J1597" s="10" t="str">
        <f aca="false">IF($E1597="","",UPPER(SUBSTITUTE($E1597," ","")))</f>
        <v/>
      </c>
      <c r="K1597" s="10" t="str">
        <f aca="false">IF($A1597="","",$G1597&amp;"|"&amp;$J1597)</f>
        <v/>
      </c>
      <c r="L1597" s="10" t="str">
        <f aca="false">IF($A1597="","",ROW()-2)</f>
        <v/>
      </c>
      <c r="M1597" s="10" t="str">
        <f aca="false">IF($A1597="","",ROW())</f>
        <v/>
      </c>
    </row>
    <row r="1598" customFormat="false" ht="15" hidden="false" customHeight="true" outlineLevel="0" collapsed="false">
      <c r="A1598" s="8"/>
      <c r="B1598" s="8"/>
      <c r="C1598" s="8"/>
      <c r="D1598" s="8"/>
      <c r="E1598" s="8"/>
      <c r="F1598" s="8"/>
      <c r="G1598" s="10" t="str">
        <f aca="false">IF($A1598="","",UPPER(SUBSTITUTE(SUBSTITUTE(SUBSTITUTE(SUBSTITUTE($A1598," ",""),"(주)",""),"주식회사",""),"㈜","")))</f>
        <v/>
      </c>
      <c r="H1598" s="10" t="str">
        <f aca="false">IF($B1598="","",SUBSTITUTE(SUBSTITUTE(SUBSTITUTE($B1598,"-","")," ",""),".",""))</f>
        <v/>
      </c>
      <c r="I1598" s="10" t="str">
        <f aca="false">IF($D1598="","",SUBSTITUTE(SUBSTITUTE(SUBSTITUTE($D1598,"-","")," ",""),".",""))</f>
        <v/>
      </c>
      <c r="J1598" s="10" t="str">
        <f aca="false">IF($E1598="","",UPPER(SUBSTITUTE($E1598," ","")))</f>
        <v/>
      </c>
      <c r="K1598" s="10" t="str">
        <f aca="false">IF($A1598="","",$G1598&amp;"|"&amp;$J1598)</f>
        <v/>
      </c>
      <c r="L1598" s="10" t="str">
        <f aca="false">IF($A1598="","",ROW()-2)</f>
        <v/>
      </c>
      <c r="M1598" s="10" t="str">
        <f aca="false">IF($A1598="","",ROW())</f>
        <v/>
      </c>
    </row>
    <row r="1599" customFormat="false" ht="15" hidden="false" customHeight="true" outlineLevel="0" collapsed="false">
      <c r="A1599" s="8"/>
      <c r="B1599" s="8"/>
      <c r="C1599" s="8"/>
      <c r="D1599" s="8"/>
      <c r="E1599" s="8"/>
      <c r="F1599" s="8"/>
      <c r="G1599" s="10" t="str">
        <f aca="false">IF($A1599="","",UPPER(SUBSTITUTE(SUBSTITUTE(SUBSTITUTE(SUBSTITUTE($A1599," ",""),"(주)",""),"주식회사",""),"㈜","")))</f>
        <v/>
      </c>
      <c r="H1599" s="10" t="str">
        <f aca="false">IF($B1599="","",SUBSTITUTE(SUBSTITUTE(SUBSTITUTE($B1599,"-","")," ",""),".",""))</f>
        <v/>
      </c>
      <c r="I1599" s="10" t="str">
        <f aca="false">IF($D1599="","",SUBSTITUTE(SUBSTITUTE(SUBSTITUTE($D1599,"-","")," ",""),".",""))</f>
        <v/>
      </c>
      <c r="J1599" s="10" t="str">
        <f aca="false">IF($E1599="","",UPPER(SUBSTITUTE($E1599," ","")))</f>
        <v/>
      </c>
      <c r="K1599" s="10" t="str">
        <f aca="false">IF($A1599="","",$G1599&amp;"|"&amp;$J1599)</f>
        <v/>
      </c>
      <c r="L1599" s="10" t="str">
        <f aca="false">IF($A1599="","",ROW()-2)</f>
        <v/>
      </c>
      <c r="M1599" s="10" t="str">
        <f aca="false">IF($A1599="","",ROW())</f>
        <v/>
      </c>
    </row>
    <row r="1600" customFormat="false" ht="15" hidden="false" customHeight="true" outlineLevel="0" collapsed="false">
      <c r="A1600" s="8"/>
      <c r="B1600" s="8"/>
      <c r="C1600" s="8"/>
      <c r="D1600" s="8"/>
      <c r="E1600" s="8"/>
      <c r="F1600" s="8"/>
      <c r="G1600" s="10" t="str">
        <f aca="false">IF($A1600="","",UPPER(SUBSTITUTE(SUBSTITUTE(SUBSTITUTE(SUBSTITUTE($A1600," ",""),"(주)",""),"주식회사",""),"㈜","")))</f>
        <v/>
      </c>
      <c r="H1600" s="10" t="str">
        <f aca="false">IF($B1600="","",SUBSTITUTE(SUBSTITUTE(SUBSTITUTE($B1600,"-","")," ",""),".",""))</f>
        <v/>
      </c>
      <c r="I1600" s="10" t="str">
        <f aca="false">IF($D1600="","",SUBSTITUTE(SUBSTITUTE(SUBSTITUTE($D1600,"-","")," ",""),".",""))</f>
        <v/>
      </c>
      <c r="J1600" s="10" t="str">
        <f aca="false">IF($E1600="","",UPPER(SUBSTITUTE($E1600," ","")))</f>
        <v/>
      </c>
      <c r="K1600" s="10" t="str">
        <f aca="false">IF($A1600="","",$G1600&amp;"|"&amp;$J1600)</f>
        <v/>
      </c>
      <c r="L1600" s="10" t="str">
        <f aca="false">IF($A1600="","",ROW()-2)</f>
        <v/>
      </c>
      <c r="M1600" s="10" t="str">
        <f aca="false">IF($A1600="","",ROW())</f>
        <v/>
      </c>
    </row>
    <row r="1601" customFormat="false" ht="15" hidden="false" customHeight="true" outlineLevel="0" collapsed="false">
      <c r="A1601" s="8"/>
      <c r="B1601" s="8"/>
      <c r="C1601" s="8"/>
      <c r="D1601" s="8"/>
      <c r="E1601" s="8"/>
      <c r="F1601" s="8"/>
      <c r="G1601" s="10" t="str">
        <f aca="false">IF($A1601="","",UPPER(SUBSTITUTE(SUBSTITUTE(SUBSTITUTE(SUBSTITUTE($A1601," ",""),"(주)",""),"주식회사",""),"㈜","")))</f>
        <v/>
      </c>
      <c r="H1601" s="10" t="str">
        <f aca="false">IF($B1601="","",SUBSTITUTE(SUBSTITUTE(SUBSTITUTE($B1601,"-","")," ",""),".",""))</f>
        <v/>
      </c>
      <c r="I1601" s="10" t="str">
        <f aca="false">IF($D1601="","",SUBSTITUTE(SUBSTITUTE(SUBSTITUTE($D1601,"-","")," ",""),".",""))</f>
        <v/>
      </c>
      <c r="J1601" s="10" t="str">
        <f aca="false">IF($E1601="","",UPPER(SUBSTITUTE($E1601," ","")))</f>
        <v/>
      </c>
      <c r="K1601" s="10" t="str">
        <f aca="false">IF($A1601="","",$G1601&amp;"|"&amp;$J1601)</f>
        <v/>
      </c>
      <c r="L1601" s="10" t="str">
        <f aca="false">IF($A1601="","",ROW()-2)</f>
        <v/>
      </c>
      <c r="M1601" s="10" t="str">
        <f aca="false">IF($A1601="","",ROW())</f>
        <v/>
      </c>
    </row>
    <row r="1602" customFormat="false" ht="15" hidden="false" customHeight="true" outlineLevel="0" collapsed="false">
      <c r="A1602" s="8"/>
      <c r="B1602" s="8"/>
      <c r="C1602" s="8"/>
      <c r="D1602" s="8"/>
      <c r="E1602" s="8"/>
      <c r="F1602" s="8"/>
      <c r="G1602" s="10" t="str">
        <f aca="false">IF($A1602="","",UPPER(SUBSTITUTE(SUBSTITUTE(SUBSTITUTE(SUBSTITUTE($A1602," ",""),"(주)",""),"주식회사",""),"㈜","")))</f>
        <v/>
      </c>
      <c r="H1602" s="10" t="str">
        <f aca="false">IF($B1602="","",SUBSTITUTE(SUBSTITUTE(SUBSTITUTE($B1602,"-","")," ",""),".",""))</f>
        <v/>
      </c>
      <c r="I1602" s="10" t="str">
        <f aca="false">IF($D1602="","",SUBSTITUTE(SUBSTITUTE(SUBSTITUTE($D1602,"-","")," ",""),".",""))</f>
        <v/>
      </c>
      <c r="J1602" s="10" t="str">
        <f aca="false">IF($E1602="","",UPPER(SUBSTITUTE($E1602," ","")))</f>
        <v/>
      </c>
      <c r="K1602" s="10" t="str">
        <f aca="false">IF($A1602="","",$G1602&amp;"|"&amp;$J1602)</f>
        <v/>
      </c>
      <c r="L1602" s="10" t="str">
        <f aca="false">IF($A1602="","",ROW()-2)</f>
        <v/>
      </c>
      <c r="M1602" s="10" t="str">
        <f aca="false">IF($A1602="","",ROW())</f>
        <v/>
      </c>
    </row>
    <row r="1603" customFormat="false" ht="15" hidden="false" customHeight="true" outlineLevel="0" collapsed="false">
      <c r="A1603" s="8"/>
      <c r="B1603" s="8"/>
      <c r="C1603" s="8"/>
      <c r="D1603" s="8"/>
      <c r="E1603" s="8"/>
      <c r="F1603" s="8"/>
      <c r="G1603" s="10" t="str">
        <f aca="false">IF($A1603="","",UPPER(SUBSTITUTE(SUBSTITUTE(SUBSTITUTE(SUBSTITUTE($A1603," ",""),"(주)",""),"주식회사",""),"㈜","")))</f>
        <v/>
      </c>
      <c r="H1603" s="10" t="str">
        <f aca="false">IF($B1603="","",SUBSTITUTE(SUBSTITUTE(SUBSTITUTE($B1603,"-","")," ",""),".",""))</f>
        <v/>
      </c>
      <c r="I1603" s="10" t="str">
        <f aca="false">IF($D1603="","",SUBSTITUTE(SUBSTITUTE(SUBSTITUTE($D1603,"-","")," ",""),".",""))</f>
        <v/>
      </c>
      <c r="J1603" s="10" t="str">
        <f aca="false">IF($E1603="","",UPPER(SUBSTITUTE($E1603," ","")))</f>
        <v/>
      </c>
      <c r="K1603" s="10" t="str">
        <f aca="false">IF($A1603="","",$G1603&amp;"|"&amp;$J1603)</f>
        <v/>
      </c>
      <c r="L1603" s="10" t="str">
        <f aca="false">IF($A1603="","",ROW()-2)</f>
        <v/>
      </c>
      <c r="M1603" s="10" t="str">
        <f aca="false">IF($A1603="","",ROW())</f>
        <v/>
      </c>
    </row>
    <row r="1604" customFormat="false" ht="15" hidden="false" customHeight="true" outlineLevel="0" collapsed="false">
      <c r="A1604" s="8"/>
      <c r="B1604" s="8"/>
      <c r="C1604" s="8"/>
      <c r="D1604" s="8"/>
      <c r="E1604" s="8"/>
      <c r="F1604" s="8"/>
      <c r="G1604" s="10" t="str">
        <f aca="false">IF($A1604="","",UPPER(SUBSTITUTE(SUBSTITUTE(SUBSTITUTE(SUBSTITUTE($A1604," ",""),"(주)",""),"주식회사",""),"㈜","")))</f>
        <v/>
      </c>
      <c r="H1604" s="10" t="str">
        <f aca="false">IF($B1604="","",SUBSTITUTE(SUBSTITUTE(SUBSTITUTE($B1604,"-","")," ",""),".",""))</f>
        <v/>
      </c>
      <c r="I1604" s="10" t="str">
        <f aca="false">IF($D1604="","",SUBSTITUTE(SUBSTITUTE(SUBSTITUTE($D1604,"-","")," ",""),".",""))</f>
        <v/>
      </c>
      <c r="J1604" s="10" t="str">
        <f aca="false">IF($E1604="","",UPPER(SUBSTITUTE($E1604," ","")))</f>
        <v/>
      </c>
      <c r="K1604" s="10" t="str">
        <f aca="false">IF($A1604="","",$G1604&amp;"|"&amp;$J1604)</f>
        <v/>
      </c>
      <c r="L1604" s="10" t="str">
        <f aca="false">IF($A1604="","",ROW()-2)</f>
        <v/>
      </c>
      <c r="M1604" s="10" t="str">
        <f aca="false">IF($A1604="","",ROW())</f>
        <v/>
      </c>
    </row>
    <row r="1605" customFormat="false" ht="15" hidden="false" customHeight="true" outlineLevel="0" collapsed="false">
      <c r="A1605" s="8"/>
      <c r="B1605" s="8"/>
      <c r="C1605" s="8"/>
      <c r="D1605" s="8"/>
      <c r="E1605" s="8"/>
      <c r="F1605" s="8"/>
      <c r="G1605" s="10" t="str">
        <f aca="false">IF($A1605="","",UPPER(SUBSTITUTE(SUBSTITUTE(SUBSTITUTE(SUBSTITUTE($A1605," ",""),"(주)",""),"주식회사",""),"㈜","")))</f>
        <v/>
      </c>
      <c r="H1605" s="10" t="str">
        <f aca="false">IF($B1605="","",SUBSTITUTE(SUBSTITUTE(SUBSTITUTE($B1605,"-","")," ",""),".",""))</f>
        <v/>
      </c>
      <c r="I1605" s="10" t="str">
        <f aca="false">IF($D1605="","",SUBSTITUTE(SUBSTITUTE(SUBSTITUTE($D1605,"-","")," ",""),".",""))</f>
        <v/>
      </c>
      <c r="J1605" s="10" t="str">
        <f aca="false">IF($E1605="","",UPPER(SUBSTITUTE($E1605," ","")))</f>
        <v/>
      </c>
      <c r="K1605" s="10" t="str">
        <f aca="false">IF($A1605="","",$G1605&amp;"|"&amp;$J1605)</f>
        <v/>
      </c>
      <c r="L1605" s="10" t="str">
        <f aca="false">IF($A1605="","",ROW()-2)</f>
        <v/>
      </c>
      <c r="M1605" s="10" t="str">
        <f aca="false">IF($A1605="","",ROW())</f>
        <v/>
      </c>
    </row>
    <row r="1606" customFormat="false" ht="15" hidden="false" customHeight="true" outlineLevel="0" collapsed="false">
      <c r="A1606" s="8"/>
      <c r="B1606" s="8"/>
      <c r="C1606" s="8"/>
      <c r="D1606" s="8"/>
      <c r="E1606" s="8"/>
      <c r="F1606" s="8"/>
      <c r="G1606" s="10" t="str">
        <f aca="false">IF($A1606="","",UPPER(SUBSTITUTE(SUBSTITUTE(SUBSTITUTE(SUBSTITUTE($A1606," ",""),"(주)",""),"주식회사",""),"㈜","")))</f>
        <v/>
      </c>
      <c r="H1606" s="10" t="str">
        <f aca="false">IF($B1606="","",SUBSTITUTE(SUBSTITUTE(SUBSTITUTE($B1606,"-","")," ",""),".",""))</f>
        <v/>
      </c>
      <c r="I1606" s="10" t="str">
        <f aca="false">IF($D1606="","",SUBSTITUTE(SUBSTITUTE(SUBSTITUTE($D1606,"-","")," ",""),".",""))</f>
        <v/>
      </c>
      <c r="J1606" s="10" t="str">
        <f aca="false">IF($E1606="","",UPPER(SUBSTITUTE($E1606," ","")))</f>
        <v/>
      </c>
      <c r="K1606" s="10" t="str">
        <f aca="false">IF($A1606="","",$G1606&amp;"|"&amp;$J1606)</f>
        <v/>
      </c>
      <c r="L1606" s="10" t="str">
        <f aca="false">IF($A1606="","",ROW()-2)</f>
        <v/>
      </c>
      <c r="M1606" s="10" t="str">
        <f aca="false">IF($A1606="","",ROW())</f>
        <v/>
      </c>
    </row>
    <row r="1607" customFormat="false" ht="15" hidden="false" customHeight="true" outlineLevel="0" collapsed="false">
      <c r="A1607" s="8"/>
      <c r="B1607" s="8"/>
      <c r="C1607" s="8"/>
      <c r="D1607" s="8"/>
      <c r="E1607" s="8"/>
      <c r="F1607" s="8"/>
      <c r="G1607" s="10" t="str">
        <f aca="false">IF($A1607="","",UPPER(SUBSTITUTE(SUBSTITUTE(SUBSTITUTE(SUBSTITUTE($A1607," ",""),"(주)",""),"주식회사",""),"㈜","")))</f>
        <v/>
      </c>
      <c r="H1607" s="10" t="str">
        <f aca="false">IF($B1607="","",SUBSTITUTE(SUBSTITUTE(SUBSTITUTE($B1607,"-","")," ",""),".",""))</f>
        <v/>
      </c>
      <c r="I1607" s="10" t="str">
        <f aca="false">IF($D1607="","",SUBSTITUTE(SUBSTITUTE(SUBSTITUTE($D1607,"-","")," ",""),".",""))</f>
        <v/>
      </c>
      <c r="J1607" s="10" t="str">
        <f aca="false">IF($E1607="","",UPPER(SUBSTITUTE($E1607," ","")))</f>
        <v/>
      </c>
      <c r="K1607" s="10" t="str">
        <f aca="false">IF($A1607="","",$G1607&amp;"|"&amp;$J1607)</f>
        <v/>
      </c>
      <c r="L1607" s="10" t="str">
        <f aca="false">IF($A1607="","",ROW()-2)</f>
        <v/>
      </c>
      <c r="M1607" s="10" t="str">
        <f aca="false">IF($A1607="","",ROW())</f>
        <v/>
      </c>
    </row>
    <row r="1608" customFormat="false" ht="15" hidden="false" customHeight="true" outlineLevel="0" collapsed="false">
      <c r="A1608" s="8"/>
      <c r="B1608" s="8"/>
      <c r="C1608" s="8"/>
      <c r="D1608" s="8"/>
      <c r="E1608" s="8"/>
      <c r="F1608" s="8"/>
      <c r="G1608" s="10" t="str">
        <f aca="false">IF($A1608="","",UPPER(SUBSTITUTE(SUBSTITUTE(SUBSTITUTE(SUBSTITUTE($A1608," ",""),"(주)",""),"주식회사",""),"㈜","")))</f>
        <v/>
      </c>
      <c r="H1608" s="10" t="str">
        <f aca="false">IF($B1608="","",SUBSTITUTE(SUBSTITUTE(SUBSTITUTE($B1608,"-","")," ",""),".",""))</f>
        <v/>
      </c>
      <c r="I1608" s="10" t="str">
        <f aca="false">IF($D1608="","",SUBSTITUTE(SUBSTITUTE(SUBSTITUTE($D1608,"-","")," ",""),".",""))</f>
        <v/>
      </c>
      <c r="J1608" s="10" t="str">
        <f aca="false">IF($E1608="","",UPPER(SUBSTITUTE($E1608," ","")))</f>
        <v/>
      </c>
      <c r="K1608" s="10" t="str">
        <f aca="false">IF($A1608="","",$G1608&amp;"|"&amp;$J1608)</f>
        <v/>
      </c>
      <c r="L1608" s="10" t="str">
        <f aca="false">IF($A1608="","",ROW()-2)</f>
        <v/>
      </c>
      <c r="M1608" s="10" t="str">
        <f aca="false">IF($A1608="","",ROW())</f>
        <v/>
      </c>
    </row>
    <row r="1609" customFormat="false" ht="15" hidden="false" customHeight="true" outlineLevel="0" collapsed="false">
      <c r="A1609" s="8"/>
      <c r="B1609" s="8"/>
      <c r="C1609" s="8"/>
      <c r="D1609" s="8"/>
      <c r="E1609" s="8"/>
      <c r="F1609" s="8"/>
      <c r="G1609" s="10" t="str">
        <f aca="false">IF($A1609="","",UPPER(SUBSTITUTE(SUBSTITUTE(SUBSTITUTE(SUBSTITUTE($A1609," ",""),"(주)",""),"주식회사",""),"㈜","")))</f>
        <v/>
      </c>
      <c r="H1609" s="10" t="str">
        <f aca="false">IF($B1609="","",SUBSTITUTE(SUBSTITUTE(SUBSTITUTE($B1609,"-","")," ",""),".",""))</f>
        <v/>
      </c>
      <c r="I1609" s="10" t="str">
        <f aca="false">IF($D1609="","",SUBSTITUTE(SUBSTITUTE(SUBSTITUTE($D1609,"-","")," ",""),".",""))</f>
        <v/>
      </c>
      <c r="J1609" s="10" t="str">
        <f aca="false">IF($E1609="","",UPPER(SUBSTITUTE($E1609," ","")))</f>
        <v/>
      </c>
      <c r="K1609" s="10" t="str">
        <f aca="false">IF($A1609="","",$G1609&amp;"|"&amp;$J1609)</f>
        <v/>
      </c>
      <c r="L1609" s="10" t="str">
        <f aca="false">IF($A1609="","",ROW()-2)</f>
        <v/>
      </c>
      <c r="M1609" s="10" t="str">
        <f aca="false">IF($A1609="","",ROW())</f>
        <v/>
      </c>
    </row>
    <row r="1610" customFormat="false" ht="15" hidden="false" customHeight="true" outlineLevel="0" collapsed="false">
      <c r="A1610" s="8"/>
      <c r="B1610" s="8"/>
      <c r="C1610" s="8"/>
      <c r="D1610" s="8"/>
      <c r="E1610" s="8"/>
      <c r="F1610" s="8"/>
      <c r="G1610" s="10" t="str">
        <f aca="false">IF($A1610="","",UPPER(SUBSTITUTE(SUBSTITUTE(SUBSTITUTE(SUBSTITUTE($A1610," ",""),"(주)",""),"주식회사",""),"㈜","")))</f>
        <v/>
      </c>
      <c r="H1610" s="10" t="str">
        <f aca="false">IF($B1610="","",SUBSTITUTE(SUBSTITUTE(SUBSTITUTE($B1610,"-","")," ",""),".",""))</f>
        <v/>
      </c>
      <c r="I1610" s="10" t="str">
        <f aca="false">IF($D1610="","",SUBSTITUTE(SUBSTITUTE(SUBSTITUTE($D1610,"-","")," ",""),".",""))</f>
        <v/>
      </c>
      <c r="J1610" s="10" t="str">
        <f aca="false">IF($E1610="","",UPPER(SUBSTITUTE($E1610," ","")))</f>
        <v/>
      </c>
      <c r="K1610" s="10" t="str">
        <f aca="false">IF($A1610="","",$G1610&amp;"|"&amp;$J1610)</f>
        <v/>
      </c>
      <c r="L1610" s="10" t="str">
        <f aca="false">IF($A1610="","",ROW()-2)</f>
        <v/>
      </c>
      <c r="M1610" s="10" t="str">
        <f aca="false">IF($A1610="","",ROW())</f>
        <v/>
      </c>
    </row>
    <row r="1611" customFormat="false" ht="15" hidden="false" customHeight="true" outlineLevel="0" collapsed="false">
      <c r="A1611" s="8"/>
      <c r="B1611" s="8"/>
      <c r="C1611" s="8"/>
      <c r="D1611" s="8"/>
      <c r="E1611" s="8"/>
      <c r="F1611" s="8"/>
      <c r="G1611" s="10" t="str">
        <f aca="false">IF($A1611="","",UPPER(SUBSTITUTE(SUBSTITUTE(SUBSTITUTE(SUBSTITUTE($A1611," ",""),"(주)",""),"주식회사",""),"㈜","")))</f>
        <v/>
      </c>
      <c r="H1611" s="10" t="str">
        <f aca="false">IF($B1611="","",SUBSTITUTE(SUBSTITUTE(SUBSTITUTE($B1611,"-","")," ",""),".",""))</f>
        <v/>
      </c>
      <c r="I1611" s="10" t="str">
        <f aca="false">IF($D1611="","",SUBSTITUTE(SUBSTITUTE(SUBSTITUTE($D1611,"-","")," ",""),".",""))</f>
        <v/>
      </c>
      <c r="J1611" s="10" t="str">
        <f aca="false">IF($E1611="","",UPPER(SUBSTITUTE($E1611," ","")))</f>
        <v/>
      </c>
      <c r="K1611" s="10" t="str">
        <f aca="false">IF($A1611="","",$G1611&amp;"|"&amp;$J1611)</f>
        <v/>
      </c>
      <c r="L1611" s="10" t="str">
        <f aca="false">IF($A1611="","",ROW()-2)</f>
        <v/>
      </c>
      <c r="M1611" s="10" t="str">
        <f aca="false">IF($A1611="","",ROW())</f>
        <v/>
      </c>
    </row>
    <row r="1612" customFormat="false" ht="15" hidden="false" customHeight="true" outlineLevel="0" collapsed="false">
      <c r="A1612" s="8"/>
      <c r="B1612" s="8"/>
      <c r="C1612" s="8"/>
      <c r="D1612" s="8"/>
      <c r="E1612" s="8"/>
      <c r="F1612" s="8"/>
      <c r="G1612" s="10" t="str">
        <f aca="false">IF($A1612="","",UPPER(SUBSTITUTE(SUBSTITUTE(SUBSTITUTE(SUBSTITUTE($A1612," ",""),"(주)",""),"주식회사",""),"㈜","")))</f>
        <v/>
      </c>
      <c r="H1612" s="10" t="str">
        <f aca="false">IF($B1612="","",SUBSTITUTE(SUBSTITUTE(SUBSTITUTE($B1612,"-","")," ",""),".",""))</f>
        <v/>
      </c>
      <c r="I1612" s="10" t="str">
        <f aca="false">IF($D1612="","",SUBSTITUTE(SUBSTITUTE(SUBSTITUTE($D1612,"-","")," ",""),".",""))</f>
        <v/>
      </c>
      <c r="J1612" s="10" t="str">
        <f aca="false">IF($E1612="","",UPPER(SUBSTITUTE($E1612," ","")))</f>
        <v/>
      </c>
      <c r="K1612" s="10" t="str">
        <f aca="false">IF($A1612="","",$G1612&amp;"|"&amp;$J1612)</f>
        <v/>
      </c>
      <c r="L1612" s="10" t="str">
        <f aca="false">IF($A1612="","",ROW()-2)</f>
        <v/>
      </c>
      <c r="M1612" s="10" t="str">
        <f aca="false">IF($A1612="","",ROW())</f>
        <v/>
      </c>
    </row>
    <row r="1613" customFormat="false" ht="15" hidden="false" customHeight="true" outlineLevel="0" collapsed="false">
      <c r="A1613" s="8"/>
      <c r="B1613" s="8"/>
      <c r="C1613" s="8"/>
      <c r="D1613" s="8"/>
      <c r="E1613" s="8"/>
      <c r="F1613" s="8"/>
      <c r="G1613" s="10" t="str">
        <f aca="false">IF($A1613="","",UPPER(SUBSTITUTE(SUBSTITUTE(SUBSTITUTE(SUBSTITUTE($A1613," ",""),"(주)",""),"주식회사",""),"㈜","")))</f>
        <v/>
      </c>
      <c r="H1613" s="10" t="str">
        <f aca="false">IF($B1613="","",SUBSTITUTE(SUBSTITUTE(SUBSTITUTE($B1613,"-","")," ",""),".",""))</f>
        <v/>
      </c>
      <c r="I1613" s="10" t="str">
        <f aca="false">IF($D1613="","",SUBSTITUTE(SUBSTITUTE(SUBSTITUTE($D1613,"-","")," ",""),".",""))</f>
        <v/>
      </c>
      <c r="J1613" s="10" t="str">
        <f aca="false">IF($E1613="","",UPPER(SUBSTITUTE($E1613," ","")))</f>
        <v/>
      </c>
      <c r="K1613" s="10" t="str">
        <f aca="false">IF($A1613="","",$G1613&amp;"|"&amp;$J1613)</f>
        <v/>
      </c>
      <c r="L1613" s="10" t="str">
        <f aca="false">IF($A1613="","",ROW()-2)</f>
        <v/>
      </c>
      <c r="M1613" s="10" t="str">
        <f aca="false">IF($A1613="","",ROW())</f>
        <v/>
      </c>
    </row>
    <row r="1614" customFormat="false" ht="15" hidden="false" customHeight="true" outlineLevel="0" collapsed="false">
      <c r="A1614" s="8"/>
      <c r="B1614" s="8"/>
      <c r="C1614" s="8"/>
      <c r="D1614" s="8"/>
      <c r="E1614" s="8"/>
      <c r="F1614" s="8"/>
      <c r="G1614" s="10" t="str">
        <f aca="false">IF($A1614="","",UPPER(SUBSTITUTE(SUBSTITUTE(SUBSTITUTE(SUBSTITUTE($A1614," ",""),"(주)",""),"주식회사",""),"㈜","")))</f>
        <v/>
      </c>
      <c r="H1614" s="10" t="str">
        <f aca="false">IF($B1614="","",SUBSTITUTE(SUBSTITUTE(SUBSTITUTE($B1614,"-","")," ",""),".",""))</f>
        <v/>
      </c>
      <c r="I1614" s="10" t="str">
        <f aca="false">IF($D1614="","",SUBSTITUTE(SUBSTITUTE(SUBSTITUTE($D1614,"-","")," ",""),".",""))</f>
        <v/>
      </c>
      <c r="J1614" s="10" t="str">
        <f aca="false">IF($E1614="","",UPPER(SUBSTITUTE($E1614," ","")))</f>
        <v/>
      </c>
      <c r="K1614" s="10" t="str">
        <f aca="false">IF($A1614="","",$G1614&amp;"|"&amp;$J1614)</f>
        <v/>
      </c>
      <c r="L1614" s="10" t="str">
        <f aca="false">IF($A1614="","",ROW()-2)</f>
        <v/>
      </c>
      <c r="M1614" s="10" t="str">
        <f aca="false">IF($A1614="","",ROW())</f>
        <v/>
      </c>
    </row>
    <row r="1615" customFormat="false" ht="15" hidden="false" customHeight="true" outlineLevel="0" collapsed="false">
      <c r="A1615" s="8"/>
      <c r="B1615" s="8"/>
      <c r="C1615" s="8"/>
      <c r="D1615" s="8"/>
      <c r="E1615" s="8"/>
      <c r="F1615" s="8"/>
      <c r="G1615" s="10" t="str">
        <f aca="false">IF($A1615="","",UPPER(SUBSTITUTE(SUBSTITUTE(SUBSTITUTE(SUBSTITUTE($A1615," ",""),"(주)",""),"주식회사",""),"㈜","")))</f>
        <v/>
      </c>
      <c r="H1615" s="10" t="str">
        <f aca="false">IF($B1615="","",SUBSTITUTE(SUBSTITUTE(SUBSTITUTE($B1615,"-","")," ",""),".",""))</f>
        <v/>
      </c>
      <c r="I1615" s="10" t="str">
        <f aca="false">IF($D1615="","",SUBSTITUTE(SUBSTITUTE(SUBSTITUTE($D1615,"-","")," ",""),".",""))</f>
        <v/>
      </c>
      <c r="J1615" s="10" t="str">
        <f aca="false">IF($E1615="","",UPPER(SUBSTITUTE($E1615," ","")))</f>
        <v/>
      </c>
      <c r="K1615" s="10" t="str">
        <f aca="false">IF($A1615="","",$G1615&amp;"|"&amp;$J1615)</f>
        <v/>
      </c>
      <c r="L1615" s="10" t="str">
        <f aca="false">IF($A1615="","",ROW()-2)</f>
        <v/>
      </c>
      <c r="M1615" s="10" t="str">
        <f aca="false">IF($A1615="","",ROW())</f>
        <v/>
      </c>
    </row>
    <row r="1616" customFormat="false" ht="15" hidden="false" customHeight="true" outlineLevel="0" collapsed="false">
      <c r="A1616" s="8"/>
      <c r="B1616" s="8"/>
      <c r="C1616" s="8"/>
      <c r="D1616" s="8"/>
      <c r="E1616" s="8"/>
      <c r="F1616" s="8"/>
      <c r="G1616" s="10" t="str">
        <f aca="false">IF($A1616="","",UPPER(SUBSTITUTE(SUBSTITUTE(SUBSTITUTE(SUBSTITUTE($A1616," ",""),"(주)",""),"주식회사",""),"㈜","")))</f>
        <v/>
      </c>
      <c r="H1616" s="10" t="str">
        <f aca="false">IF($B1616="","",SUBSTITUTE(SUBSTITUTE(SUBSTITUTE($B1616,"-","")," ",""),".",""))</f>
        <v/>
      </c>
      <c r="I1616" s="10" t="str">
        <f aca="false">IF($D1616="","",SUBSTITUTE(SUBSTITUTE(SUBSTITUTE($D1616,"-","")," ",""),".",""))</f>
        <v/>
      </c>
      <c r="J1616" s="10" t="str">
        <f aca="false">IF($E1616="","",UPPER(SUBSTITUTE($E1616," ","")))</f>
        <v/>
      </c>
      <c r="K1616" s="10" t="str">
        <f aca="false">IF($A1616="","",$G1616&amp;"|"&amp;$J1616)</f>
        <v/>
      </c>
      <c r="L1616" s="10" t="str">
        <f aca="false">IF($A1616="","",ROW()-2)</f>
        <v/>
      </c>
      <c r="M1616" s="10" t="str">
        <f aca="false">IF($A1616="","",ROW())</f>
        <v/>
      </c>
    </row>
    <row r="1617" customFormat="false" ht="15" hidden="false" customHeight="true" outlineLevel="0" collapsed="false">
      <c r="A1617" s="8"/>
      <c r="B1617" s="8"/>
      <c r="C1617" s="8"/>
      <c r="D1617" s="8"/>
      <c r="E1617" s="8"/>
      <c r="F1617" s="8"/>
      <c r="G1617" s="10" t="str">
        <f aca="false">IF($A1617="","",UPPER(SUBSTITUTE(SUBSTITUTE(SUBSTITUTE(SUBSTITUTE($A1617," ",""),"(주)",""),"주식회사",""),"㈜","")))</f>
        <v/>
      </c>
      <c r="H1617" s="10" t="str">
        <f aca="false">IF($B1617="","",SUBSTITUTE(SUBSTITUTE(SUBSTITUTE($B1617,"-","")," ",""),".",""))</f>
        <v/>
      </c>
      <c r="I1617" s="10" t="str">
        <f aca="false">IF($D1617="","",SUBSTITUTE(SUBSTITUTE(SUBSTITUTE($D1617,"-","")," ",""),".",""))</f>
        <v/>
      </c>
      <c r="J1617" s="10" t="str">
        <f aca="false">IF($E1617="","",UPPER(SUBSTITUTE($E1617," ","")))</f>
        <v/>
      </c>
      <c r="K1617" s="10" t="str">
        <f aca="false">IF($A1617="","",$G1617&amp;"|"&amp;$J1617)</f>
        <v/>
      </c>
      <c r="L1617" s="10" t="str">
        <f aca="false">IF($A1617="","",ROW()-2)</f>
        <v/>
      </c>
      <c r="M1617" s="10" t="str">
        <f aca="false">IF($A1617="","",ROW())</f>
        <v/>
      </c>
    </row>
    <row r="1618" customFormat="false" ht="15" hidden="false" customHeight="true" outlineLevel="0" collapsed="false">
      <c r="A1618" s="8"/>
      <c r="B1618" s="8"/>
      <c r="C1618" s="8"/>
      <c r="D1618" s="8"/>
      <c r="E1618" s="8"/>
      <c r="F1618" s="8"/>
      <c r="G1618" s="10" t="str">
        <f aca="false">IF($A1618="","",UPPER(SUBSTITUTE(SUBSTITUTE(SUBSTITUTE(SUBSTITUTE($A1618," ",""),"(주)",""),"주식회사",""),"㈜","")))</f>
        <v/>
      </c>
      <c r="H1618" s="10" t="str">
        <f aca="false">IF($B1618="","",SUBSTITUTE(SUBSTITUTE(SUBSTITUTE($B1618,"-","")," ",""),".",""))</f>
        <v/>
      </c>
      <c r="I1618" s="10" t="str">
        <f aca="false">IF($D1618="","",SUBSTITUTE(SUBSTITUTE(SUBSTITUTE($D1618,"-","")," ",""),".",""))</f>
        <v/>
      </c>
      <c r="J1618" s="10" t="str">
        <f aca="false">IF($E1618="","",UPPER(SUBSTITUTE($E1618," ","")))</f>
        <v/>
      </c>
      <c r="K1618" s="10" t="str">
        <f aca="false">IF($A1618="","",$G1618&amp;"|"&amp;$J1618)</f>
        <v/>
      </c>
      <c r="L1618" s="10" t="str">
        <f aca="false">IF($A1618="","",ROW()-2)</f>
        <v/>
      </c>
      <c r="M1618" s="10" t="str">
        <f aca="false">IF($A1618="","",ROW())</f>
        <v/>
      </c>
    </row>
    <row r="1619" customFormat="false" ht="15" hidden="false" customHeight="true" outlineLevel="0" collapsed="false">
      <c r="A1619" s="8"/>
      <c r="B1619" s="8"/>
      <c r="C1619" s="8"/>
      <c r="D1619" s="8"/>
      <c r="E1619" s="8"/>
      <c r="F1619" s="8"/>
      <c r="G1619" s="10" t="str">
        <f aca="false">IF($A1619="","",UPPER(SUBSTITUTE(SUBSTITUTE(SUBSTITUTE(SUBSTITUTE($A1619," ",""),"(주)",""),"주식회사",""),"㈜","")))</f>
        <v/>
      </c>
      <c r="H1619" s="10" t="str">
        <f aca="false">IF($B1619="","",SUBSTITUTE(SUBSTITUTE(SUBSTITUTE($B1619,"-","")," ",""),".",""))</f>
        <v/>
      </c>
      <c r="I1619" s="10" t="str">
        <f aca="false">IF($D1619="","",SUBSTITUTE(SUBSTITUTE(SUBSTITUTE($D1619,"-","")," ",""),".",""))</f>
        <v/>
      </c>
      <c r="J1619" s="10" t="str">
        <f aca="false">IF($E1619="","",UPPER(SUBSTITUTE($E1619," ","")))</f>
        <v/>
      </c>
      <c r="K1619" s="10" t="str">
        <f aca="false">IF($A1619="","",$G1619&amp;"|"&amp;$J1619)</f>
        <v/>
      </c>
      <c r="L1619" s="10" t="str">
        <f aca="false">IF($A1619="","",ROW()-2)</f>
        <v/>
      </c>
      <c r="M1619" s="10" t="str">
        <f aca="false">IF($A1619="","",ROW())</f>
        <v/>
      </c>
    </row>
    <row r="1620" customFormat="false" ht="15" hidden="false" customHeight="true" outlineLevel="0" collapsed="false">
      <c r="A1620" s="8"/>
      <c r="B1620" s="8"/>
      <c r="C1620" s="8"/>
      <c r="D1620" s="8"/>
      <c r="E1620" s="8"/>
      <c r="F1620" s="8"/>
      <c r="G1620" s="10" t="str">
        <f aca="false">IF($A1620="","",UPPER(SUBSTITUTE(SUBSTITUTE(SUBSTITUTE(SUBSTITUTE($A1620," ",""),"(주)",""),"주식회사",""),"㈜","")))</f>
        <v/>
      </c>
      <c r="H1620" s="10" t="str">
        <f aca="false">IF($B1620="","",SUBSTITUTE(SUBSTITUTE(SUBSTITUTE($B1620,"-","")," ",""),".",""))</f>
        <v/>
      </c>
      <c r="I1620" s="10" t="str">
        <f aca="false">IF($D1620="","",SUBSTITUTE(SUBSTITUTE(SUBSTITUTE($D1620,"-","")," ",""),".",""))</f>
        <v/>
      </c>
      <c r="J1620" s="10" t="str">
        <f aca="false">IF($E1620="","",UPPER(SUBSTITUTE($E1620," ","")))</f>
        <v/>
      </c>
      <c r="K1620" s="10" t="str">
        <f aca="false">IF($A1620="","",$G1620&amp;"|"&amp;$J1620)</f>
        <v/>
      </c>
      <c r="L1620" s="10" t="str">
        <f aca="false">IF($A1620="","",ROW()-2)</f>
        <v/>
      </c>
      <c r="M1620" s="10" t="str">
        <f aca="false">IF($A1620="","",ROW())</f>
        <v/>
      </c>
    </row>
    <row r="1621" customFormat="false" ht="15" hidden="false" customHeight="true" outlineLevel="0" collapsed="false">
      <c r="A1621" s="8"/>
      <c r="B1621" s="8"/>
      <c r="C1621" s="8"/>
      <c r="D1621" s="8"/>
      <c r="E1621" s="8"/>
      <c r="F1621" s="8"/>
      <c r="G1621" s="10" t="str">
        <f aca="false">IF($A1621="","",UPPER(SUBSTITUTE(SUBSTITUTE(SUBSTITUTE(SUBSTITUTE($A1621," ",""),"(주)",""),"주식회사",""),"㈜","")))</f>
        <v/>
      </c>
      <c r="H1621" s="10" t="str">
        <f aca="false">IF($B1621="","",SUBSTITUTE(SUBSTITUTE(SUBSTITUTE($B1621,"-","")," ",""),".",""))</f>
        <v/>
      </c>
      <c r="I1621" s="10" t="str">
        <f aca="false">IF($D1621="","",SUBSTITUTE(SUBSTITUTE(SUBSTITUTE($D1621,"-","")," ",""),".",""))</f>
        <v/>
      </c>
      <c r="J1621" s="10" t="str">
        <f aca="false">IF($E1621="","",UPPER(SUBSTITUTE($E1621," ","")))</f>
        <v/>
      </c>
      <c r="K1621" s="10" t="str">
        <f aca="false">IF($A1621="","",$G1621&amp;"|"&amp;$J1621)</f>
        <v/>
      </c>
      <c r="L1621" s="10" t="str">
        <f aca="false">IF($A1621="","",ROW()-2)</f>
        <v/>
      </c>
      <c r="M1621" s="10" t="str">
        <f aca="false">IF($A1621="","",ROW())</f>
        <v/>
      </c>
    </row>
    <row r="1622" customFormat="false" ht="15" hidden="false" customHeight="true" outlineLevel="0" collapsed="false">
      <c r="A1622" s="8"/>
      <c r="B1622" s="8"/>
      <c r="C1622" s="8"/>
      <c r="D1622" s="8"/>
      <c r="E1622" s="8"/>
      <c r="F1622" s="8"/>
      <c r="G1622" s="10" t="str">
        <f aca="false">IF($A1622="","",UPPER(SUBSTITUTE(SUBSTITUTE(SUBSTITUTE(SUBSTITUTE($A1622," ",""),"(주)",""),"주식회사",""),"㈜","")))</f>
        <v/>
      </c>
      <c r="H1622" s="10" t="str">
        <f aca="false">IF($B1622="","",SUBSTITUTE(SUBSTITUTE(SUBSTITUTE($B1622,"-","")," ",""),".",""))</f>
        <v/>
      </c>
      <c r="I1622" s="10" t="str">
        <f aca="false">IF($D1622="","",SUBSTITUTE(SUBSTITUTE(SUBSTITUTE($D1622,"-","")," ",""),".",""))</f>
        <v/>
      </c>
      <c r="J1622" s="10" t="str">
        <f aca="false">IF($E1622="","",UPPER(SUBSTITUTE($E1622," ","")))</f>
        <v/>
      </c>
      <c r="K1622" s="10" t="str">
        <f aca="false">IF($A1622="","",$G1622&amp;"|"&amp;$J1622)</f>
        <v/>
      </c>
      <c r="L1622" s="10" t="str">
        <f aca="false">IF($A1622="","",ROW()-2)</f>
        <v/>
      </c>
      <c r="M1622" s="10" t="str">
        <f aca="false">IF($A1622="","",ROW())</f>
        <v/>
      </c>
    </row>
    <row r="1623" customFormat="false" ht="15" hidden="false" customHeight="true" outlineLevel="0" collapsed="false">
      <c r="A1623" s="8"/>
      <c r="B1623" s="8"/>
      <c r="C1623" s="8"/>
      <c r="D1623" s="8"/>
      <c r="E1623" s="8"/>
      <c r="F1623" s="8"/>
      <c r="G1623" s="10" t="str">
        <f aca="false">IF($A1623="","",UPPER(SUBSTITUTE(SUBSTITUTE(SUBSTITUTE(SUBSTITUTE($A1623," ",""),"(주)",""),"주식회사",""),"㈜","")))</f>
        <v/>
      </c>
      <c r="H1623" s="10" t="str">
        <f aca="false">IF($B1623="","",SUBSTITUTE(SUBSTITUTE(SUBSTITUTE($B1623,"-","")," ",""),".",""))</f>
        <v/>
      </c>
      <c r="I1623" s="10" t="str">
        <f aca="false">IF($D1623="","",SUBSTITUTE(SUBSTITUTE(SUBSTITUTE($D1623,"-","")," ",""),".",""))</f>
        <v/>
      </c>
      <c r="J1623" s="10" t="str">
        <f aca="false">IF($E1623="","",UPPER(SUBSTITUTE($E1623," ","")))</f>
        <v/>
      </c>
      <c r="K1623" s="10" t="str">
        <f aca="false">IF($A1623="","",$G1623&amp;"|"&amp;$J1623)</f>
        <v/>
      </c>
      <c r="L1623" s="10" t="str">
        <f aca="false">IF($A1623="","",ROW()-2)</f>
        <v/>
      </c>
      <c r="M1623" s="10" t="str">
        <f aca="false">IF($A1623="","",ROW())</f>
        <v/>
      </c>
    </row>
    <row r="1624" customFormat="false" ht="15" hidden="false" customHeight="true" outlineLevel="0" collapsed="false">
      <c r="A1624" s="8"/>
      <c r="B1624" s="8"/>
      <c r="C1624" s="8"/>
      <c r="D1624" s="8"/>
      <c r="E1624" s="8"/>
      <c r="F1624" s="8"/>
      <c r="G1624" s="10" t="str">
        <f aca="false">IF($A1624="","",UPPER(SUBSTITUTE(SUBSTITUTE(SUBSTITUTE(SUBSTITUTE($A1624," ",""),"(주)",""),"주식회사",""),"㈜","")))</f>
        <v/>
      </c>
      <c r="H1624" s="10" t="str">
        <f aca="false">IF($B1624="","",SUBSTITUTE(SUBSTITUTE(SUBSTITUTE($B1624,"-","")," ",""),".",""))</f>
        <v/>
      </c>
      <c r="I1624" s="10" t="str">
        <f aca="false">IF($D1624="","",SUBSTITUTE(SUBSTITUTE(SUBSTITUTE($D1624,"-","")," ",""),".",""))</f>
        <v/>
      </c>
      <c r="J1624" s="10" t="str">
        <f aca="false">IF($E1624="","",UPPER(SUBSTITUTE($E1624," ","")))</f>
        <v/>
      </c>
      <c r="K1624" s="10" t="str">
        <f aca="false">IF($A1624="","",$G1624&amp;"|"&amp;$J1624)</f>
        <v/>
      </c>
      <c r="L1624" s="10" t="str">
        <f aca="false">IF($A1624="","",ROW()-2)</f>
        <v/>
      </c>
      <c r="M1624" s="10" t="str">
        <f aca="false">IF($A1624="","",ROW())</f>
        <v/>
      </c>
    </row>
    <row r="1625" customFormat="false" ht="15" hidden="false" customHeight="true" outlineLevel="0" collapsed="false">
      <c r="A1625" s="8"/>
      <c r="B1625" s="8"/>
      <c r="C1625" s="8"/>
      <c r="D1625" s="8"/>
      <c r="E1625" s="8"/>
      <c r="F1625" s="8"/>
      <c r="G1625" s="10" t="str">
        <f aca="false">IF($A1625="","",UPPER(SUBSTITUTE(SUBSTITUTE(SUBSTITUTE(SUBSTITUTE($A1625," ",""),"(주)",""),"주식회사",""),"㈜","")))</f>
        <v/>
      </c>
      <c r="H1625" s="10" t="str">
        <f aca="false">IF($B1625="","",SUBSTITUTE(SUBSTITUTE(SUBSTITUTE($B1625,"-","")," ",""),".",""))</f>
        <v/>
      </c>
      <c r="I1625" s="10" t="str">
        <f aca="false">IF($D1625="","",SUBSTITUTE(SUBSTITUTE(SUBSTITUTE($D1625,"-","")," ",""),".",""))</f>
        <v/>
      </c>
      <c r="J1625" s="10" t="str">
        <f aca="false">IF($E1625="","",UPPER(SUBSTITUTE($E1625," ","")))</f>
        <v/>
      </c>
      <c r="K1625" s="10" t="str">
        <f aca="false">IF($A1625="","",$G1625&amp;"|"&amp;$J1625)</f>
        <v/>
      </c>
      <c r="L1625" s="10" t="str">
        <f aca="false">IF($A1625="","",ROW()-2)</f>
        <v/>
      </c>
      <c r="M1625" s="10" t="str">
        <f aca="false">IF($A1625="","",ROW())</f>
        <v/>
      </c>
    </row>
    <row r="1626" customFormat="false" ht="15" hidden="false" customHeight="true" outlineLevel="0" collapsed="false">
      <c r="A1626" s="8"/>
      <c r="B1626" s="8"/>
      <c r="C1626" s="8"/>
      <c r="D1626" s="8"/>
      <c r="E1626" s="8"/>
      <c r="F1626" s="8"/>
      <c r="G1626" s="10" t="str">
        <f aca="false">IF($A1626="","",UPPER(SUBSTITUTE(SUBSTITUTE(SUBSTITUTE(SUBSTITUTE($A1626," ",""),"(주)",""),"주식회사",""),"㈜","")))</f>
        <v/>
      </c>
      <c r="H1626" s="10" t="str">
        <f aca="false">IF($B1626="","",SUBSTITUTE(SUBSTITUTE(SUBSTITUTE($B1626,"-","")," ",""),".",""))</f>
        <v/>
      </c>
      <c r="I1626" s="10" t="str">
        <f aca="false">IF($D1626="","",SUBSTITUTE(SUBSTITUTE(SUBSTITUTE($D1626,"-","")," ",""),".",""))</f>
        <v/>
      </c>
      <c r="J1626" s="10" t="str">
        <f aca="false">IF($E1626="","",UPPER(SUBSTITUTE($E1626," ","")))</f>
        <v/>
      </c>
      <c r="K1626" s="10" t="str">
        <f aca="false">IF($A1626="","",$G1626&amp;"|"&amp;$J1626)</f>
        <v/>
      </c>
      <c r="L1626" s="10" t="str">
        <f aca="false">IF($A1626="","",ROW()-2)</f>
        <v/>
      </c>
      <c r="M1626" s="10" t="str">
        <f aca="false">IF($A1626="","",ROW())</f>
        <v/>
      </c>
    </row>
    <row r="1627" customFormat="false" ht="15" hidden="false" customHeight="true" outlineLevel="0" collapsed="false">
      <c r="A1627" s="8"/>
      <c r="B1627" s="8"/>
      <c r="C1627" s="8"/>
      <c r="D1627" s="8"/>
      <c r="E1627" s="8"/>
      <c r="F1627" s="8"/>
      <c r="G1627" s="10" t="str">
        <f aca="false">IF($A1627="","",UPPER(SUBSTITUTE(SUBSTITUTE(SUBSTITUTE(SUBSTITUTE($A1627," ",""),"(주)",""),"주식회사",""),"㈜","")))</f>
        <v/>
      </c>
      <c r="H1627" s="10" t="str">
        <f aca="false">IF($B1627="","",SUBSTITUTE(SUBSTITUTE(SUBSTITUTE($B1627,"-","")," ",""),".",""))</f>
        <v/>
      </c>
      <c r="I1627" s="10" t="str">
        <f aca="false">IF($D1627="","",SUBSTITUTE(SUBSTITUTE(SUBSTITUTE($D1627,"-","")," ",""),".",""))</f>
        <v/>
      </c>
      <c r="J1627" s="10" t="str">
        <f aca="false">IF($E1627="","",UPPER(SUBSTITUTE($E1627," ","")))</f>
        <v/>
      </c>
      <c r="K1627" s="10" t="str">
        <f aca="false">IF($A1627="","",$G1627&amp;"|"&amp;$J1627)</f>
        <v/>
      </c>
      <c r="L1627" s="10" t="str">
        <f aca="false">IF($A1627="","",ROW()-2)</f>
        <v/>
      </c>
      <c r="M1627" s="10" t="str">
        <f aca="false">IF($A1627="","",ROW())</f>
        <v/>
      </c>
    </row>
    <row r="1628" customFormat="false" ht="15" hidden="false" customHeight="true" outlineLevel="0" collapsed="false">
      <c r="A1628" s="8"/>
      <c r="B1628" s="8"/>
      <c r="C1628" s="8"/>
      <c r="D1628" s="8"/>
      <c r="E1628" s="8"/>
      <c r="F1628" s="8"/>
      <c r="G1628" s="10" t="str">
        <f aca="false">IF($A1628="","",UPPER(SUBSTITUTE(SUBSTITUTE(SUBSTITUTE(SUBSTITUTE($A1628," ",""),"(주)",""),"주식회사",""),"㈜","")))</f>
        <v/>
      </c>
      <c r="H1628" s="10" t="str">
        <f aca="false">IF($B1628="","",SUBSTITUTE(SUBSTITUTE(SUBSTITUTE($B1628,"-","")," ",""),".",""))</f>
        <v/>
      </c>
      <c r="I1628" s="10" t="str">
        <f aca="false">IF($D1628="","",SUBSTITUTE(SUBSTITUTE(SUBSTITUTE($D1628,"-","")," ",""),".",""))</f>
        <v/>
      </c>
      <c r="J1628" s="10" t="str">
        <f aca="false">IF($E1628="","",UPPER(SUBSTITUTE($E1628," ","")))</f>
        <v/>
      </c>
      <c r="K1628" s="10" t="str">
        <f aca="false">IF($A1628="","",$G1628&amp;"|"&amp;$J1628)</f>
        <v/>
      </c>
      <c r="L1628" s="10" t="str">
        <f aca="false">IF($A1628="","",ROW()-2)</f>
        <v/>
      </c>
      <c r="M1628" s="10" t="str">
        <f aca="false">IF($A1628="","",ROW())</f>
        <v/>
      </c>
    </row>
    <row r="1629" customFormat="false" ht="15" hidden="false" customHeight="true" outlineLevel="0" collapsed="false">
      <c r="A1629" s="8"/>
      <c r="B1629" s="8"/>
      <c r="C1629" s="8"/>
      <c r="D1629" s="8"/>
      <c r="E1629" s="8"/>
      <c r="F1629" s="8"/>
      <c r="G1629" s="10" t="str">
        <f aca="false">IF($A1629="","",UPPER(SUBSTITUTE(SUBSTITUTE(SUBSTITUTE(SUBSTITUTE($A1629," ",""),"(주)",""),"주식회사",""),"㈜","")))</f>
        <v/>
      </c>
      <c r="H1629" s="10" t="str">
        <f aca="false">IF($B1629="","",SUBSTITUTE(SUBSTITUTE(SUBSTITUTE($B1629,"-","")," ",""),".",""))</f>
        <v/>
      </c>
      <c r="I1629" s="10" t="str">
        <f aca="false">IF($D1629="","",SUBSTITUTE(SUBSTITUTE(SUBSTITUTE($D1629,"-","")," ",""),".",""))</f>
        <v/>
      </c>
      <c r="J1629" s="10" t="str">
        <f aca="false">IF($E1629="","",UPPER(SUBSTITUTE($E1629," ","")))</f>
        <v/>
      </c>
      <c r="K1629" s="10" t="str">
        <f aca="false">IF($A1629="","",$G1629&amp;"|"&amp;$J1629)</f>
        <v/>
      </c>
      <c r="L1629" s="10" t="str">
        <f aca="false">IF($A1629="","",ROW()-2)</f>
        <v/>
      </c>
      <c r="M1629" s="10" t="str">
        <f aca="false">IF($A1629="","",ROW())</f>
        <v/>
      </c>
    </row>
    <row r="1630" customFormat="false" ht="15" hidden="false" customHeight="true" outlineLevel="0" collapsed="false">
      <c r="A1630" s="8"/>
      <c r="B1630" s="8"/>
      <c r="C1630" s="8"/>
      <c r="D1630" s="8"/>
      <c r="E1630" s="8"/>
      <c r="F1630" s="8"/>
      <c r="G1630" s="10" t="str">
        <f aca="false">IF($A1630="","",UPPER(SUBSTITUTE(SUBSTITUTE(SUBSTITUTE(SUBSTITUTE($A1630," ",""),"(주)",""),"주식회사",""),"㈜","")))</f>
        <v/>
      </c>
      <c r="H1630" s="10" t="str">
        <f aca="false">IF($B1630="","",SUBSTITUTE(SUBSTITUTE(SUBSTITUTE($B1630,"-","")," ",""),".",""))</f>
        <v/>
      </c>
      <c r="I1630" s="10" t="str">
        <f aca="false">IF($D1630="","",SUBSTITUTE(SUBSTITUTE(SUBSTITUTE($D1630,"-","")," ",""),".",""))</f>
        <v/>
      </c>
      <c r="J1630" s="10" t="str">
        <f aca="false">IF($E1630="","",UPPER(SUBSTITUTE($E1630," ","")))</f>
        <v/>
      </c>
      <c r="K1630" s="10" t="str">
        <f aca="false">IF($A1630="","",$G1630&amp;"|"&amp;$J1630)</f>
        <v/>
      </c>
      <c r="L1630" s="10" t="str">
        <f aca="false">IF($A1630="","",ROW()-2)</f>
        <v/>
      </c>
      <c r="M1630" s="10" t="str">
        <f aca="false">IF($A1630="","",ROW())</f>
        <v/>
      </c>
    </row>
    <row r="1631" customFormat="false" ht="15" hidden="false" customHeight="true" outlineLevel="0" collapsed="false">
      <c r="A1631" s="8"/>
      <c r="B1631" s="8"/>
      <c r="C1631" s="8"/>
      <c r="D1631" s="8"/>
      <c r="E1631" s="8"/>
      <c r="F1631" s="8"/>
      <c r="G1631" s="10" t="str">
        <f aca="false">IF($A1631="","",UPPER(SUBSTITUTE(SUBSTITUTE(SUBSTITUTE(SUBSTITUTE($A1631," ",""),"(주)",""),"주식회사",""),"㈜","")))</f>
        <v/>
      </c>
      <c r="H1631" s="10" t="str">
        <f aca="false">IF($B1631="","",SUBSTITUTE(SUBSTITUTE(SUBSTITUTE($B1631,"-","")," ",""),".",""))</f>
        <v/>
      </c>
      <c r="I1631" s="10" t="str">
        <f aca="false">IF($D1631="","",SUBSTITUTE(SUBSTITUTE(SUBSTITUTE($D1631,"-","")," ",""),".",""))</f>
        <v/>
      </c>
      <c r="J1631" s="10" t="str">
        <f aca="false">IF($E1631="","",UPPER(SUBSTITUTE($E1631," ","")))</f>
        <v/>
      </c>
      <c r="K1631" s="10" t="str">
        <f aca="false">IF($A1631="","",$G1631&amp;"|"&amp;$J1631)</f>
        <v/>
      </c>
      <c r="L1631" s="10" t="str">
        <f aca="false">IF($A1631="","",ROW()-2)</f>
        <v/>
      </c>
      <c r="M1631" s="10" t="str">
        <f aca="false">IF($A1631="","",ROW())</f>
        <v/>
      </c>
    </row>
    <row r="1632" customFormat="false" ht="15" hidden="false" customHeight="true" outlineLevel="0" collapsed="false">
      <c r="A1632" s="8"/>
      <c r="B1632" s="8"/>
      <c r="C1632" s="8"/>
      <c r="D1632" s="8"/>
      <c r="E1632" s="8"/>
      <c r="F1632" s="8"/>
      <c r="G1632" s="10" t="str">
        <f aca="false">IF($A1632="","",UPPER(SUBSTITUTE(SUBSTITUTE(SUBSTITUTE(SUBSTITUTE($A1632," ",""),"(주)",""),"주식회사",""),"㈜","")))</f>
        <v/>
      </c>
      <c r="H1632" s="10" t="str">
        <f aca="false">IF($B1632="","",SUBSTITUTE(SUBSTITUTE(SUBSTITUTE($B1632,"-","")," ",""),".",""))</f>
        <v/>
      </c>
      <c r="I1632" s="10" t="str">
        <f aca="false">IF($D1632="","",SUBSTITUTE(SUBSTITUTE(SUBSTITUTE($D1632,"-","")," ",""),".",""))</f>
        <v/>
      </c>
      <c r="J1632" s="10" t="str">
        <f aca="false">IF($E1632="","",UPPER(SUBSTITUTE($E1632," ","")))</f>
        <v/>
      </c>
      <c r="K1632" s="10" t="str">
        <f aca="false">IF($A1632="","",$G1632&amp;"|"&amp;$J1632)</f>
        <v/>
      </c>
      <c r="L1632" s="10" t="str">
        <f aca="false">IF($A1632="","",ROW()-2)</f>
        <v/>
      </c>
      <c r="M1632" s="10" t="str">
        <f aca="false">IF($A1632="","",ROW())</f>
        <v/>
      </c>
    </row>
    <row r="1633" customFormat="false" ht="15" hidden="false" customHeight="true" outlineLevel="0" collapsed="false">
      <c r="A1633" s="8"/>
      <c r="B1633" s="8"/>
      <c r="C1633" s="8"/>
      <c r="D1633" s="8"/>
      <c r="E1633" s="8"/>
      <c r="F1633" s="8"/>
      <c r="G1633" s="10" t="str">
        <f aca="false">IF($A1633="","",UPPER(SUBSTITUTE(SUBSTITUTE(SUBSTITUTE(SUBSTITUTE($A1633," ",""),"(주)",""),"주식회사",""),"㈜","")))</f>
        <v/>
      </c>
      <c r="H1633" s="10" t="str">
        <f aca="false">IF($B1633="","",SUBSTITUTE(SUBSTITUTE(SUBSTITUTE($B1633,"-","")," ",""),".",""))</f>
        <v/>
      </c>
      <c r="I1633" s="10" t="str">
        <f aca="false">IF($D1633="","",SUBSTITUTE(SUBSTITUTE(SUBSTITUTE($D1633,"-","")," ",""),".",""))</f>
        <v/>
      </c>
      <c r="J1633" s="10" t="str">
        <f aca="false">IF($E1633="","",UPPER(SUBSTITUTE($E1633," ","")))</f>
        <v/>
      </c>
      <c r="K1633" s="10" t="str">
        <f aca="false">IF($A1633="","",$G1633&amp;"|"&amp;$J1633)</f>
        <v/>
      </c>
      <c r="L1633" s="10" t="str">
        <f aca="false">IF($A1633="","",ROW()-2)</f>
        <v/>
      </c>
      <c r="M1633" s="10" t="str">
        <f aca="false">IF($A1633="","",ROW())</f>
        <v/>
      </c>
    </row>
    <row r="1634" customFormat="false" ht="15" hidden="false" customHeight="true" outlineLevel="0" collapsed="false">
      <c r="A1634" s="8"/>
      <c r="B1634" s="8"/>
      <c r="C1634" s="8"/>
      <c r="D1634" s="8"/>
      <c r="E1634" s="8"/>
      <c r="F1634" s="8"/>
      <c r="G1634" s="10" t="str">
        <f aca="false">IF($A1634="","",UPPER(SUBSTITUTE(SUBSTITUTE(SUBSTITUTE(SUBSTITUTE($A1634," ",""),"(주)",""),"주식회사",""),"㈜","")))</f>
        <v/>
      </c>
      <c r="H1634" s="10" t="str">
        <f aca="false">IF($B1634="","",SUBSTITUTE(SUBSTITUTE(SUBSTITUTE($B1634,"-","")," ",""),".",""))</f>
        <v/>
      </c>
      <c r="I1634" s="10" t="str">
        <f aca="false">IF($D1634="","",SUBSTITUTE(SUBSTITUTE(SUBSTITUTE($D1634,"-","")," ",""),".",""))</f>
        <v/>
      </c>
      <c r="J1634" s="10" t="str">
        <f aca="false">IF($E1634="","",UPPER(SUBSTITUTE($E1634," ","")))</f>
        <v/>
      </c>
      <c r="K1634" s="10" t="str">
        <f aca="false">IF($A1634="","",$G1634&amp;"|"&amp;$J1634)</f>
        <v/>
      </c>
      <c r="L1634" s="10" t="str">
        <f aca="false">IF($A1634="","",ROW()-2)</f>
        <v/>
      </c>
      <c r="M1634" s="10" t="str">
        <f aca="false">IF($A1634="","",ROW())</f>
        <v/>
      </c>
    </row>
    <row r="1635" customFormat="false" ht="15" hidden="false" customHeight="true" outlineLevel="0" collapsed="false">
      <c r="A1635" s="8"/>
      <c r="B1635" s="8"/>
      <c r="C1635" s="8"/>
      <c r="D1635" s="8"/>
      <c r="E1635" s="8"/>
      <c r="F1635" s="8"/>
      <c r="G1635" s="10" t="str">
        <f aca="false">IF($A1635="","",UPPER(SUBSTITUTE(SUBSTITUTE(SUBSTITUTE(SUBSTITUTE($A1635," ",""),"(주)",""),"주식회사",""),"㈜","")))</f>
        <v/>
      </c>
      <c r="H1635" s="10" t="str">
        <f aca="false">IF($B1635="","",SUBSTITUTE(SUBSTITUTE(SUBSTITUTE($B1635,"-","")," ",""),".",""))</f>
        <v/>
      </c>
      <c r="I1635" s="10" t="str">
        <f aca="false">IF($D1635="","",SUBSTITUTE(SUBSTITUTE(SUBSTITUTE($D1635,"-","")," ",""),".",""))</f>
        <v/>
      </c>
      <c r="J1635" s="10" t="str">
        <f aca="false">IF($E1635="","",UPPER(SUBSTITUTE($E1635," ","")))</f>
        <v/>
      </c>
      <c r="K1635" s="10" t="str">
        <f aca="false">IF($A1635="","",$G1635&amp;"|"&amp;$J1635)</f>
        <v/>
      </c>
      <c r="L1635" s="10" t="str">
        <f aca="false">IF($A1635="","",ROW()-2)</f>
        <v/>
      </c>
      <c r="M1635" s="10" t="str">
        <f aca="false">IF($A1635="","",ROW())</f>
        <v/>
      </c>
    </row>
    <row r="1636" customFormat="false" ht="15" hidden="false" customHeight="true" outlineLevel="0" collapsed="false">
      <c r="A1636" s="8"/>
      <c r="B1636" s="8"/>
      <c r="C1636" s="8"/>
      <c r="D1636" s="8"/>
      <c r="E1636" s="8"/>
      <c r="F1636" s="8"/>
      <c r="G1636" s="10" t="str">
        <f aca="false">IF($A1636="","",UPPER(SUBSTITUTE(SUBSTITUTE(SUBSTITUTE(SUBSTITUTE($A1636," ",""),"(주)",""),"주식회사",""),"㈜","")))</f>
        <v/>
      </c>
      <c r="H1636" s="10" t="str">
        <f aca="false">IF($B1636="","",SUBSTITUTE(SUBSTITUTE(SUBSTITUTE($B1636,"-","")," ",""),".",""))</f>
        <v/>
      </c>
      <c r="I1636" s="10" t="str">
        <f aca="false">IF($D1636="","",SUBSTITUTE(SUBSTITUTE(SUBSTITUTE($D1636,"-","")," ",""),".",""))</f>
        <v/>
      </c>
      <c r="J1636" s="10" t="str">
        <f aca="false">IF($E1636="","",UPPER(SUBSTITUTE($E1636," ","")))</f>
        <v/>
      </c>
      <c r="K1636" s="10" t="str">
        <f aca="false">IF($A1636="","",$G1636&amp;"|"&amp;$J1636)</f>
        <v/>
      </c>
      <c r="L1636" s="10" t="str">
        <f aca="false">IF($A1636="","",ROW()-2)</f>
        <v/>
      </c>
      <c r="M1636" s="10" t="str">
        <f aca="false">IF($A1636="","",ROW())</f>
        <v/>
      </c>
    </row>
    <row r="1637" customFormat="false" ht="15" hidden="false" customHeight="true" outlineLevel="0" collapsed="false">
      <c r="A1637" s="8"/>
      <c r="B1637" s="8"/>
      <c r="C1637" s="8"/>
      <c r="D1637" s="8"/>
      <c r="E1637" s="8"/>
      <c r="F1637" s="8"/>
      <c r="G1637" s="10" t="str">
        <f aca="false">IF($A1637="","",UPPER(SUBSTITUTE(SUBSTITUTE(SUBSTITUTE(SUBSTITUTE($A1637," ",""),"(주)",""),"주식회사",""),"㈜","")))</f>
        <v/>
      </c>
      <c r="H1637" s="10" t="str">
        <f aca="false">IF($B1637="","",SUBSTITUTE(SUBSTITUTE(SUBSTITUTE($B1637,"-","")," ",""),".",""))</f>
        <v/>
      </c>
      <c r="I1637" s="10" t="str">
        <f aca="false">IF($D1637="","",SUBSTITUTE(SUBSTITUTE(SUBSTITUTE($D1637,"-","")," ",""),".",""))</f>
        <v/>
      </c>
      <c r="J1637" s="10" t="str">
        <f aca="false">IF($E1637="","",UPPER(SUBSTITUTE($E1637," ","")))</f>
        <v/>
      </c>
      <c r="K1637" s="10" t="str">
        <f aca="false">IF($A1637="","",$G1637&amp;"|"&amp;$J1637)</f>
        <v/>
      </c>
      <c r="L1637" s="10" t="str">
        <f aca="false">IF($A1637="","",ROW()-2)</f>
        <v/>
      </c>
      <c r="M1637" s="10" t="str">
        <f aca="false">IF($A1637="","",ROW())</f>
        <v/>
      </c>
    </row>
    <row r="1638" customFormat="false" ht="15" hidden="false" customHeight="true" outlineLevel="0" collapsed="false">
      <c r="A1638" s="8"/>
      <c r="B1638" s="8"/>
      <c r="C1638" s="8"/>
      <c r="D1638" s="8"/>
      <c r="E1638" s="8"/>
      <c r="F1638" s="8"/>
      <c r="G1638" s="10" t="str">
        <f aca="false">IF($A1638="","",UPPER(SUBSTITUTE(SUBSTITUTE(SUBSTITUTE(SUBSTITUTE($A1638," ",""),"(주)",""),"주식회사",""),"㈜","")))</f>
        <v/>
      </c>
      <c r="H1638" s="10" t="str">
        <f aca="false">IF($B1638="","",SUBSTITUTE(SUBSTITUTE(SUBSTITUTE($B1638,"-","")," ",""),".",""))</f>
        <v/>
      </c>
      <c r="I1638" s="10" t="str">
        <f aca="false">IF($D1638="","",SUBSTITUTE(SUBSTITUTE(SUBSTITUTE($D1638,"-","")," ",""),".",""))</f>
        <v/>
      </c>
      <c r="J1638" s="10" t="str">
        <f aca="false">IF($E1638="","",UPPER(SUBSTITUTE($E1638," ","")))</f>
        <v/>
      </c>
      <c r="K1638" s="10" t="str">
        <f aca="false">IF($A1638="","",$G1638&amp;"|"&amp;$J1638)</f>
        <v/>
      </c>
      <c r="L1638" s="10" t="str">
        <f aca="false">IF($A1638="","",ROW()-2)</f>
        <v/>
      </c>
      <c r="M1638" s="10" t="str">
        <f aca="false">IF($A1638="","",ROW())</f>
        <v/>
      </c>
    </row>
    <row r="1639" customFormat="false" ht="15" hidden="false" customHeight="true" outlineLevel="0" collapsed="false">
      <c r="A1639" s="8"/>
      <c r="B1639" s="8"/>
      <c r="C1639" s="8"/>
      <c r="D1639" s="8"/>
      <c r="E1639" s="8"/>
      <c r="F1639" s="8"/>
      <c r="G1639" s="10" t="str">
        <f aca="false">IF($A1639="","",UPPER(SUBSTITUTE(SUBSTITUTE(SUBSTITUTE(SUBSTITUTE($A1639," ",""),"(주)",""),"주식회사",""),"㈜","")))</f>
        <v/>
      </c>
      <c r="H1639" s="10" t="str">
        <f aca="false">IF($B1639="","",SUBSTITUTE(SUBSTITUTE(SUBSTITUTE($B1639,"-","")," ",""),".",""))</f>
        <v/>
      </c>
      <c r="I1639" s="10" t="str">
        <f aca="false">IF($D1639="","",SUBSTITUTE(SUBSTITUTE(SUBSTITUTE($D1639,"-","")," ",""),".",""))</f>
        <v/>
      </c>
      <c r="J1639" s="10" t="str">
        <f aca="false">IF($E1639="","",UPPER(SUBSTITUTE($E1639," ","")))</f>
        <v/>
      </c>
      <c r="K1639" s="10" t="str">
        <f aca="false">IF($A1639="","",$G1639&amp;"|"&amp;$J1639)</f>
        <v/>
      </c>
      <c r="L1639" s="10" t="str">
        <f aca="false">IF($A1639="","",ROW()-2)</f>
        <v/>
      </c>
      <c r="M1639" s="10" t="str">
        <f aca="false">IF($A1639="","",ROW())</f>
        <v/>
      </c>
    </row>
    <row r="1640" customFormat="false" ht="15" hidden="false" customHeight="true" outlineLevel="0" collapsed="false">
      <c r="A1640" s="8"/>
      <c r="B1640" s="8"/>
      <c r="C1640" s="8"/>
      <c r="D1640" s="8"/>
      <c r="E1640" s="8"/>
      <c r="F1640" s="8"/>
      <c r="G1640" s="10" t="str">
        <f aca="false">IF($A1640="","",UPPER(SUBSTITUTE(SUBSTITUTE(SUBSTITUTE(SUBSTITUTE($A1640," ",""),"(주)",""),"주식회사",""),"㈜","")))</f>
        <v/>
      </c>
      <c r="H1640" s="10" t="str">
        <f aca="false">IF($B1640="","",SUBSTITUTE(SUBSTITUTE(SUBSTITUTE($B1640,"-","")," ",""),".",""))</f>
        <v/>
      </c>
      <c r="I1640" s="10" t="str">
        <f aca="false">IF($D1640="","",SUBSTITUTE(SUBSTITUTE(SUBSTITUTE($D1640,"-","")," ",""),".",""))</f>
        <v/>
      </c>
      <c r="J1640" s="10" t="str">
        <f aca="false">IF($E1640="","",UPPER(SUBSTITUTE($E1640," ","")))</f>
        <v/>
      </c>
      <c r="K1640" s="10" t="str">
        <f aca="false">IF($A1640="","",$G1640&amp;"|"&amp;$J1640)</f>
        <v/>
      </c>
      <c r="L1640" s="10" t="str">
        <f aca="false">IF($A1640="","",ROW()-2)</f>
        <v/>
      </c>
      <c r="M1640" s="10" t="str">
        <f aca="false">IF($A1640="","",ROW())</f>
        <v/>
      </c>
    </row>
    <row r="1641" customFormat="false" ht="15" hidden="false" customHeight="true" outlineLevel="0" collapsed="false">
      <c r="A1641" s="8"/>
      <c r="B1641" s="8"/>
      <c r="C1641" s="8"/>
      <c r="D1641" s="8"/>
      <c r="E1641" s="8"/>
      <c r="F1641" s="8"/>
      <c r="G1641" s="10" t="str">
        <f aca="false">IF($A1641="","",UPPER(SUBSTITUTE(SUBSTITUTE(SUBSTITUTE(SUBSTITUTE($A1641," ",""),"(주)",""),"주식회사",""),"㈜","")))</f>
        <v/>
      </c>
      <c r="H1641" s="10" t="str">
        <f aca="false">IF($B1641="","",SUBSTITUTE(SUBSTITUTE(SUBSTITUTE($B1641,"-","")," ",""),".",""))</f>
        <v/>
      </c>
      <c r="I1641" s="10" t="str">
        <f aca="false">IF($D1641="","",SUBSTITUTE(SUBSTITUTE(SUBSTITUTE($D1641,"-","")," ",""),".",""))</f>
        <v/>
      </c>
      <c r="J1641" s="10" t="str">
        <f aca="false">IF($E1641="","",UPPER(SUBSTITUTE($E1641," ","")))</f>
        <v/>
      </c>
      <c r="K1641" s="10" t="str">
        <f aca="false">IF($A1641="","",$G1641&amp;"|"&amp;$J1641)</f>
        <v/>
      </c>
      <c r="L1641" s="10" t="str">
        <f aca="false">IF($A1641="","",ROW()-2)</f>
        <v/>
      </c>
      <c r="M1641" s="10" t="str">
        <f aca="false">IF($A1641="","",ROW())</f>
        <v/>
      </c>
    </row>
    <row r="1642" customFormat="false" ht="15" hidden="false" customHeight="true" outlineLevel="0" collapsed="false">
      <c r="A1642" s="8"/>
      <c r="B1642" s="8"/>
      <c r="C1642" s="8"/>
      <c r="D1642" s="8"/>
      <c r="E1642" s="8"/>
      <c r="F1642" s="8"/>
      <c r="G1642" s="10" t="str">
        <f aca="false">IF($A1642="","",UPPER(SUBSTITUTE(SUBSTITUTE(SUBSTITUTE(SUBSTITUTE($A1642," ",""),"(주)",""),"주식회사",""),"㈜","")))</f>
        <v/>
      </c>
      <c r="H1642" s="10" t="str">
        <f aca="false">IF($B1642="","",SUBSTITUTE(SUBSTITUTE(SUBSTITUTE($B1642,"-","")," ",""),".",""))</f>
        <v/>
      </c>
      <c r="I1642" s="10" t="str">
        <f aca="false">IF($D1642="","",SUBSTITUTE(SUBSTITUTE(SUBSTITUTE($D1642,"-","")," ",""),".",""))</f>
        <v/>
      </c>
      <c r="J1642" s="10" t="str">
        <f aca="false">IF($E1642="","",UPPER(SUBSTITUTE($E1642," ","")))</f>
        <v/>
      </c>
      <c r="K1642" s="10" t="str">
        <f aca="false">IF($A1642="","",$G1642&amp;"|"&amp;$J1642)</f>
        <v/>
      </c>
      <c r="L1642" s="10" t="str">
        <f aca="false">IF($A1642="","",ROW()-2)</f>
        <v/>
      </c>
      <c r="M1642" s="10" t="str">
        <f aca="false">IF($A1642="","",ROW())</f>
        <v/>
      </c>
    </row>
    <row r="1643" customFormat="false" ht="15" hidden="false" customHeight="true" outlineLevel="0" collapsed="false">
      <c r="A1643" s="8"/>
      <c r="B1643" s="8"/>
      <c r="C1643" s="8"/>
      <c r="D1643" s="8"/>
      <c r="E1643" s="8"/>
      <c r="F1643" s="8"/>
      <c r="G1643" s="10" t="str">
        <f aca="false">IF($A1643="","",UPPER(SUBSTITUTE(SUBSTITUTE(SUBSTITUTE(SUBSTITUTE($A1643," ",""),"(주)",""),"주식회사",""),"㈜","")))</f>
        <v/>
      </c>
      <c r="H1643" s="10" t="str">
        <f aca="false">IF($B1643="","",SUBSTITUTE(SUBSTITUTE(SUBSTITUTE($B1643,"-","")," ",""),".",""))</f>
        <v/>
      </c>
      <c r="I1643" s="10" t="str">
        <f aca="false">IF($D1643="","",SUBSTITUTE(SUBSTITUTE(SUBSTITUTE($D1643,"-","")," ",""),".",""))</f>
        <v/>
      </c>
      <c r="J1643" s="10" t="str">
        <f aca="false">IF($E1643="","",UPPER(SUBSTITUTE($E1643," ","")))</f>
        <v/>
      </c>
      <c r="K1643" s="10" t="str">
        <f aca="false">IF($A1643="","",$G1643&amp;"|"&amp;$J1643)</f>
        <v/>
      </c>
      <c r="L1643" s="10" t="str">
        <f aca="false">IF($A1643="","",ROW()-2)</f>
        <v/>
      </c>
      <c r="M1643" s="10" t="str">
        <f aca="false">IF($A1643="","",ROW())</f>
        <v/>
      </c>
    </row>
    <row r="1644" customFormat="false" ht="15" hidden="false" customHeight="true" outlineLevel="0" collapsed="false">
      <c r="A1644" s="8"/>
      <c r="B1644" s="8"/>
      <c r="C1644" s="8"/>
      <c r="D1644" s="8"/>
      <c r="E1644" s="8"/>
      <c r="F1644" s="8"/>
      <c r="G1644" s="10" t="str">
        <f aca="false">IF($A1644="","",UPPER(SUBSTITUTE(SUBSTITUTE(SUBSTITUTE(SUBSTITUTE($A1644," ",""),"(주)",""),"주식회사",""),"㈜","")))</f>
        <v/>
      </c>
      <c r="H1644" s="10" t="str">
        <f aca="false">IF($B1644="","",SUBSTITUTE(SUBSTITUTE(SUBSTITUTE($B1644,"-","")," ",""),".",""))</f>
        <v/>
      </c>
      <c r="I1644" s="10" t="str">
        <f aca="false">IF($D1644="","",SUBSTITUTE(SUBSTITUTE(SUBSTITUTE($D1644,"-","")," ",""),".",""))</f>
        <v/>
      </c>
      <c r="J1644" s="10" t="str">
        <f aca="false">IF($E1644="","",UPPER(SUBSTITUTE($E1644," ","")))</f>
        <v/>
      </c>
      <c r="K1644" s="10" t="str">
        <f aca="false">IF($A1644="","",$G1644&amp;"|"&amp;$J1644)</f>
        <v/>
      </c>
      <c r="L1644" s="10" t="str">
        <f aca="false">IF($A1644="","",ROW()-2)</f>
        <v/>
      </c>
      <c r="M1644" s="10" t="str">
        <f aca="false">IF($A1644="","",ROW())</f>
        <v/>
      </c>
    </row>
    <row r="1645" customFormat="false" ht="15" hidden="false" customHeight="true" outlineLevel="0" collapsed="false">
      <c r="A1645" s="8"/>
      <c r="B1645" s="8"/>
      <c r="C1645" s="8"/>
      <c r="D1645" s="8"/>
      <c r="E1645" s="8"/>
      <c r="F1645" s="8"/>
      <c r="G1645" s="10" t="str">
        <f aca="false">IF($A1645="","",UPPER(SUBSTITUTE(SUBSTITUTE(SUBSTITUTE(SUBSTITUTE($A1645," ",""),"(주)",""),"주식회사",""),"㈜","")))</f>
        <v/>
      </c>
      <c r="H1645" s="10" t="str">
        <f aca="false">IF($B1645="","",SUBSTITUTE(SUBSTITUTE(SUBSTITUTE($B1645,"-","")," ",""),".",""))</f>
        <v/>
      </c>
      <c r="I1645" s="10" t="str">
        <f aca="false">IF($D1645="","",SUBSTITUTE(SUBSTITUTE(SUBSTITUTE($D1645,"-","")," ",""),".",""))</f>
        <v/>
      </c>
      <c r="J1645" s="10" t="str">
        <f aca="false">IF($E1645="","",UPPER(SUBSTITUTE($E1645," ","")))</f>
        <v/>
      </c>
      <c r="K1645" s="10" t="str">
        <f aca="false">IF($A1645="","",$G1645&amp;"|"&amp;$J1645)</f>
        <v/>
      </c>
      <c r="L1645" s="10" t="str">
        <f aca="false">IF($A1645="","",ROW()-2)</f>
        <v/>
      </c>
      <c r="M1645" s="10" t="str">
        <f aca="false">IF($A1645="","",ROW())</f>
        <v/>
      </c>
    </row>
    <row r="1646" customFormat="false" ht="15" hidden="false" customHeight="true" outlineLevel="0" collapsed="false">
      <c r="A1646" s="8"/>
      <c r="B1646" s="8"/>
      <c r="C1646" s="8"/>
      <c r="D1646" s="8"/>
      <c r="E1646" s="8"/>
      <c r="F1646" s="8"/>
      <c r="G1646" s="10" t="str">
        <f aca="false">IF($A1646="","",UPPER(SUBSTITUTE(SUBSTITUTE(SUBSTITUTE(SUBSTITUTE($A1646," ",""),"(주)",""),"주식회사",""),"㈜","")))</f>
        <v/>
      </c>
      <c r="H1646" s="10" t="str">
        <f aca="false">IF($B1646="","",SUBSTITUTE(SUBSTITUTE(SUBSTITUTE($B1646,"-","")," ",""),".",""))</f>
        <v/>
      </c>
      <c r="I1646" s="10" t="str">
        <f aca="false">IF($D1646="","",SUBSTITUTE(SUBSTITUTE(SUBSTITUTE($D1646,"-","")," ",""),".",""))</f>
        <v/>
      </c>
      <c r="J1646" s="10" t="str">
        <f aca="false">IF($E1646="","",UPPER(SUBSTITUTE($E1646," ","")))</f>
        <v/>
      </c>
      <c r="K1646" s="10" t="str">
        <f aca="false">IF($A1646="","",$G1646&amp;"|"&amp;$J1646)</f>
        <v/>
      </c>
      <c r="L1646" s="10" t="str">
        <f aca="false">IF($A1646="","",ROW()-2)</f>
        <v/>
      </c>
      <c r="M1646" s="10" t="str">
        <f aca="false">IF($A1646="","",ROW())</f>
        <v/>
      </c>
    </row>
    <row r="1647" customFormat="false" ht="15" hidden="false" customHeight="true" outlineLevel="0" collapsed="false">
      <c r="A1647" s="8"/>
      <c r="B1647" s="8"/>
      <c r="C1647" s="8"/>
      <c r="D1647" s="8"/>
      <c r="E1647" s="8"/>
      <c r="F1647" s="8"/>
      <c r="G1647" s="10" t="str">
        <f aca="false">IF($A1647="","",UPPER(SUBSTITUTE(SUBSTITUTE(SUBSTITUTE(SUBSTITUTE($A1647," ",""),"(주)",""),"주식회사",""),"㈜","")))</f>
        <v/>
      </c>
      <c r="H1647" s="10" t="str">
        <f aca="false">IF($B1647="","",SUBSTITUTE(SUBSTITUTE(SUBSTITUTE($B1647,"-","")," ",""),".",""))</f>
        <v/>
      </c>
      <c r="I1647" s="10" t="str">
        <f aca="false">IF($D1647="","",SUBSTITUTE(SUBSTITUTE(SUBSTITUTE($D1647,"-","")," ",""),".",""))</f>
        <v/>
      </c>
      <c r="J1647" s="10" t="str">
        <f aca="false">IF($E1647="","",UPPER(SUBSTITUTE($E1647," ","")))</f>
        <v/>
      </c>
      <c r="K1647" s="10" t="str">
        <f aca="false">IF($A1647="","",$G1647&amp;"|"&amp;$J1647)</f>
        <v/>
      </c>
      <c r="L1647" s="10" t="str">
        <f aca="false">IF($A1647="","",ROW()-2)</f>
        <v/>
      </c>
      <c r="M1647" s="10" t="str">
        <f aca="false">IF($A1647="","",ROW())</f>
        <v/>
      </c>
    </row>
    <row r="1648" customFormat="false" ht="15" hidden="false" customHeight="true" outlineLevel="0" collapsed="false">
      <c r="A1648" s="8"/>
      <c r="B1648" s="8"/>
      <c r="C1648" s="8"/>
      <c r="D1648" s="8"/>
      <c r="E1648" s="8"/>
      <c r="F1648" s="8"/>
      <c r="G1648" s="10" t="str">
        <f aca="false">IF($A1648="","",UPPER(SUBSTITUTE(SUBSTITUTE(SUBSTITUTE(SUBSTITUTE($A1648," ",""),"(주)",""),"주식회사",""),"㈜","")))</f>
        <v/>
      </c>
      <c r="H1648" s="10" t="str">
        <f aca="false">IF($B1648="","",SUBSTITUTE(SUBSTITUTE(SUBSTITUTE($B1648,"-","")," ",""),".",""))</f>
        <v/>
      </c>
      <c r="I1648" s="10" t="str">
        <f aca="false">IF($D1648="","",SUBSTITUTE(SUBSTITUTE(SUBSTITUTE($D1648,"-","")," ",""),".",""))</f>
        <v/>
      </c>
      <c r="J1648" s="10" t="str">
        <f aca="false">IF($E1648="","",UPPER(SUBSTITUTE($E1648," ","")))</f>
        <v/>
      </c>
      <c r="K1648" s="10" t="str">
        <f aca="false">IF($A1648="","",$G1648&amp;"|"&amp;$J1648)</f>
        <v/>
      </c>
      <c r="L1648" s="10" t="str">
        <f aca="false">IF($A1648="","",ROW()-2)</f>
        <v/>
      </c>
      <c r="M1648" s="10" t="str">
        <f aca="false">IF($A1648="","",ROW())</f>
        <v/>
      </c>
    </row>
    <row r="1649" customFormat="false" ht="15" hidden="false" customHeight="true" outlineLevel="0" collapsed="false">
      <c r="A1649" s="8"/>
      <c r="B1649" s="8"/>
      <c r="C1649" s="8"/>
      <c r="D1649" s="8"/>
      <c r="E1649" s="8"/>
      <c r="F1649" s="8"/>
      <c r="G1649" s="10" t="str">
        <f aca="false">IF($A1649="","",UPPER(SUBSTITUTE(SUBSTITUTE(SUBSTITUTE(SUBSTITUTE($A1649," ",""),"(주)",""),"주식회사",""),"㈜","")))</f>
        <v/>
      </c>
      <c r="H1649" s="10" t="str">
        <f aca="false">IF($B1649="","",SUBSTITUTE(SUBSTITUTE(SUBSTITUTE($B1649,"-","")," ",""),".",""))</f>
        <v/>
      </c>
      <c r="I1649" s="10" t="str">
        <f aca="false">IF($D1649="","",SUBSTITUTE(SUBSTITUTE(SUBSTITUTE($D1649,"-","")," ",""),".",""))</f>
        <v/>
      </c>
      <c r="J1649" s="10" t="str">
        <f aca="false">IF($E1649="","",UPPER(SUBSTITUTE($E1649," ","")))</f>
        <v/>
      </c>
      <c r="K1649" s="10" t="str">
        <f aca="false">IF($A1649="","",$G1649&amp;"|"&amp;$J1649)</f>
        <v/>
      </c>
      <c r="L1649" s="10" t="str">
        <f aca="false">IF($A1649="","",ROW()-2)</f>
        <v/>
      </c>
      <c r="M1649" s="10" t="str">
        <f aca="false">IF($A1649="","",ROW())</f>
        <v/>
      </c>
    </row>
    <row r="1650" customFormat="false" ht="15" hidden="false" customHeight="true" outlineLevel="0" collapsed="false">
      <c r="A1650" s="8"/>
      <c r="B1650" s="8"/>
      <c r="C1650" s="8"/>
      <c r="D1650" s="8"/>
      <c r="E1650" s="8"/>
      <c r="F1650" s="8"/>
      <c r="G1650" s="10" t="str">
        <f aca="false">IF($A1650="","",UPPER(SUBSTITUTE(SUBSTITUTE(SUBSTITUTE(SUBSTITUTE($A1650," ",""),"(주)",""),"주식회사",""),"㈜","")))</f>
        <v/>
      </c>
      <c r="H1650" s="10" t="str">
        <f aca="false">IF($B1650="","",SUBSTITUTE(SUBSTITUTE(SUBSTITUTE($B1650,"-","")," ",""),".",""))</f>
        <v/>
      </c>
      <c r="I1650" s="10" t="str">
        <f aca="false">IF($D1650="","",SUBSTITUTE(SUBSTITUTE(SUBSTITUTE($D1650,"-","")," ",""),".",""))</f>
        <v/>
      </c>
      <c r="J1650" s="10" t="str">
        <f aca="false">IF($E1650="","",UPPER(SUBSTITUTE($E1650," ","")))</f>
        <v/>
      </c>
      <c r="K1650" s="10" t="str">
        <f aca="false">IF($A1650="","",$G1650&amp;"|"&amp;$J1650)</f>
        <v/>
      </c>
      <c r="L1650" s="10" t="str">
        <f aca="false">IF($A1650="","",ROW()-2)</f>
        <v/>
      </c>
      <c r="M1650" s="10" t="str">
        <f aca="false">IF($A1650="","",ROW())</f>
        <v/>
      </c>
    </row>
    <row r="1651" customFormat="false" ht="15" hidden="false" customHeight="true" outlineLevel="0" collapsed="false">
      <c r="A1651" s="8"/>
      <c r="B1651" s="8"/>
      <c r="C1651" s="8"/>
      <c r="D1651" s="8"/>
      <c r="E1651" s="8"/>
      <c r="F1651" s="8"/>
      <c r="G1651" s="10" t="str">
        <f aca="false">IF($A1651="","",UPPER(SUBSTITUTE(SUBSTITUTE(SUBSTITUTE(SUBSTITUTE($A1651," ",""),"(주)",""),"주식회사",""),"㈜","")))</f>
        <v/>
      </c>
      <c r="H1651" s="10" t="str">
        <f aca="false">IF($B1651="","",SUBSTITUTE(SUBSTITUTE(SUBSTITUTE($B1651,"-","")," ",""),".",""))</f>
        <v/>
      </c>
      <c r="I1651" s="10" t="str">
        <f aca="false">IF($D1651="","",SUBSTITUTE(SUBSTITUTE(SUBSTITUTE($D1651,"-","")," ",""),".",""))</f>
        <v/>
      </c>
      <c r="J1651" s="10" t="str">
        <f aca="false">IF($E1651="","",UPPER(SUBSTITUTE($E1651," ","")))</f>
        <v/>
      </c>
      <c r="K1651" s="10" t="str">
        <f aca="false">IF($A1651="","",$G1651&amp;"|"&amp;$J1651)</f>
        <v/>
      </c>
      <c r="L1651" s="10" t="str">
        <f aca="false">IF($A1651="","",ROW()-2)</f>
        <v/>
      </c>
      <c r="M1651" s="10" t="str">
        <f aca="false">IF($A1651="","",ROW())</f>
        <v/>
      </c>
    </row>
    <row r="1652" customFormat="false" ht="15" hidden="false" customHeight="true" outlineLevel="0" collapsed="false">
      <c r="A1652" s="8"/>
      <c r="B1652" s="8"/>
      <c r="C1652" s="8"/>
      <c r="D1652" s="8"/>
      <c r="E1652" s="8"/>
      <c r="F1652" s="8"/>
      <c r="G1652" s="10" t="str">
        <f aca="false">IF($A1652="","",UPPER(SUBSTITUTE(SUBSTITUTE(SUBSTITUTE(SUBSTITUTE($A1652," ",""),"(주)",""),"주식회사",""),"㈜","")))</f>
        <v/>
      </c>
      <c r="H1652" s="10" t="str">
        <f aca="false">IF($B1652="","",SUBSTITUTE(SUBSTITUTE(SUBSTITUTE($B1652,"-","")," ",""),".",""))</f>
        <v/>
      </c>
      <c r="I1652" s="10" t="str">
        <f aca="false">IF($D1652="","",SUBSTITUTE(SUBSTITUTE(SUBSTITUTE($D1652,"-","")," ",""),".",""))</f>
        <v/>
      </c>
      <c r="J1652" s="10" t="str">
        <f aca="false">IF($E1652="","",UPPER(SUBSTITUTE($E1652," ","")))</f>
        <v/>
      </c>
      <c r="K1652" s="10" t="str">
        <f aca="false">IF($A1652="","",$G1652&amp;"|"&amp;$J1652)</f>
        <v/>
      </c>
      <c r="L1652" s="10" t="str">
        <f aca="false">IF($A1652="","",ROW()-2)</f>
        <v/>
      </c>
      <c r="M1652" s="10" t="str">
        <f aca="false">IF($A1652="","",ROW())</f>
        <v/>
      </c>
    </row>
    <row r="1653" customFormat="false" ht="15" hidden="false" customHeight="true" outlineLevel="0" collapsed="false">
      <c r="A1653" s="8"/>
      <c r="B1653" s="8"/>
      <c r="C1653" s="8"/>
      <c r="D1653" s="8"/>
      <c r="E1653" s="8"/>
      <c r="F1653" s="8"/>
      <c r="G1653" s="10" t="str">
        <f aca="false">IF($A1653="","",UPPER(SUBSTITUTE(SUBSTITUTE(SUBSTITUTE(SUBSTITUTE($A1653," ",""),"(주)",""),"주식회사",""),"㈜","")))</f>
        <v/>
      </c>
      <c r="H1653" s="10" t="str">
        <f aca="false">IF($B1653="","",SUBSTITUTE(SUBSTITUTE(SUBSTITUTE($B1653,"-","")," ",""),".",""))</f>
        <v/>
      </c>
      <c r="I1653" s="10" t="str">
        <f aca="false">IF($D1653="","",SUBSTITUTE(SUBSTITUTE(SUBSTITUTE($D1653,"-","")," ",""),".",""))</f>
        <v/>
      </c>
      <c r="J1653" s="10" t="str">
        <f aca="false">IF($E1653="","",UPPER(SUBSTITUTE($E1653," ","")))</f>
        <v/>
      </c>
      <c r="K1653" s="10" t="str">
        <f aca="false">IF($A1653="","",$G1653&amp;"|"&amp;$J1653)</f>
        <v/>
      </c>
      <c r="L1653" s="10" t="str">
        <f aca="false">IF($A1653="","",ROW()-2)</f>
        <v/>
      </c>
      <c r="M1653" s="10" t="str">
        <f aca="false">IF($A1653="","",ROW())</f>
        <v/>
      </c>
    </row>
    <row r="1654" customFormat="false" ht="15" hidden="false" customHeight="true" outlineLevel="0" collapsed="false">
      <c r="A1654" s="8"/>
      <c r="B1654" s="8"/>
      <c r="C1654" s="8"/>
      <c r="D1654" s="8"/>
      <c r="E1654" s="8"/>
      <c r="F1654" s="8"/>
      <c r="G1654" s="10" t="str">
        <f aca="false">IF($A1654="","",UPPER(SUBSTITUTE(SUBSTITUTE(SUBSTITUTE(SUBSTITUTE($A1654," ",""),"(주)",""),"주식회사",""),"㈜","")))</f>
        <v/>
      </c>
      <c r="H1654" s="10" t="str">
        <f aca="false">IF($B1654="","",SUBSTITUTE(SUBSTITUTE(SUBSTITUTE($B1654,"-","")," ",""),".",""))</f>
        <v/>
      </c>
      <c r="I1654" s="10" t="str">
        <f aca="false">IF($D1654="","",SUBSTITUTE(SUBSTITUTE(SUBSTITUTE($D1654,"-","")," ",""),".",""))</f>
        <v/>
      </c>
      <c r="J1654" s="10" t="str">
        <f aca="false">IF($E1654="","",UPPER(SUBSTITUTE($E1654," ","")))</f>
        <v/>
      </c>
      <c r="K1654" s="10" t="str">
        <f aca="false">IF($A1654="","",$G1654&amp;"|"&amp;$J1654)</f>
        <v/>
      </c>
      <c r="L1654" s="10" t="str">
        <f aca="false">IF($A1654="","",ROW()-2)</f>
        <v/>
      </c>
      <c r="M1654" s="10" t="str">
        <f aca="false">IF($A1654="","",ROW())</f>
        <v/>
      </c>
    </row>
    <row r="1655" customFormat="false" ht="15" hidden="false" customHeight="true" outlineLevel="0" collapsed="false">
      <c r="A1655" s="8"/>
      <c r="B1655" s="8"/>
      <c r="C1655" s="8"/>
      <c r="D1655" s="8"/>
      <c r="E1655" s="8"/>
      <c r="F1655" s="8"/>
      <c r="G1655" s="10" t="str">
        <f aca="false">IF($A1655="","",UPPER(SUBSTITUTE(SUBSTITUTE(SUBSTITUTE(SUBSTITUTE($A1655," ",""),"(주)",""),"주식회사",""),"㈜","")))</f>
        <v/>
      </c>
      <c r="H1655" s="10" t="str">
        <f aca="false">IF($B1655="","",SUBSTITUTE(SUBSTITUTE(SUBSTITUTE($B1655,"-","")," ",""),".",""))</f>
        <v/>
      </c>
      <c r="I1655" s="10" t="str">
        <f aca="false">IF($D1655="","",SUBSTITUTE(SUBSTITUTE(SUBSTITUTE($D1655,"-","")," ",""),".",""))</f>
        <v/>
      </c>
      <c r="J1655" s="10" t="str">
        <f aca="false">IF($E1655="","",UPPER(SUBSTITUTE($E1655," ","")))</f>
        <v/>
      </c>
      <c r="K1655" s="10" t="str">
        <f aca="false">IF($A1655="","",$G1655&amp;"|"&amp;$J1655)</f>
        <v/>
      </c>
      <c r="L1655" s="10" t="str">
        <f aca="false">IF($A1655="","",ROW()-2)</f>
        <v/>
      </c>
      <c r="M1655" s="10" t="str">
        <f aca="false">IF($A1655="","",ROW())</f>
        <v/>
      </c>
    </row>
    <row r="1656" customFormat="false" ht="15" hidden="false" customHeight="true" outlineLevel="0" collapsed="false">
      <c r="A1656" s="8"/>
      <c r="B1656" s="8"/>
      <c r="C1656" s="8"/>
      <c r="D1656" s="8"/>
      <c r="E1656" s="8"/>
      <c r="F1656" s="8"/>
      <c r="G1656" s="10" t="str">
        <f aca="false">IF($A1656="","",UPPER(SUBSTITUTE(SUBSTITUTE(SUBSTITUTE(SUBSTITUTE($A1656," ",""),"(주)",""),"주식회사",""),"㈜","")))</f>
        <v/>
      </c>
      <c r="H1656" s="10" t="str">
        <f aca="false">IF($B1656="","",SUBSTITUTE(SUBSTITUTE(SUBSTITUTE($B1656,"-","")," ",""),".",""))</f>
        <v/>
      </c>
      <c r="I1656" s="10" t="str">
        <f aca="false">IF($D1656="","",SUBSTITUTE(SUBSTITUTE(SUBSTITUTE($D1656,"-","")," ",""),".",""))</f>
        <v/>
      </c>
      <c r="J1656" s="10" t="str">
        <f aca="false">IF($E1656="","",UPPER(SUBSTITUTE($E1656," ","")))</f>
        <v/>
      </c>
      <c r="K1656" s="10" t="str">
        <f aca="false">IF($A1656="","",$G1656&amp;"|"&amp;$J1656)</f>
        <v/>
      </c>
      <c r="L1656" s="10" t="str">
        <f aca="false">IF($A1656="","",ROW()-2)</f>
        <v/>
      </c>
      <c r="M1656" s="10" t="str">
        <f aca="false">IF($A1656="","",ROW())</f>
        <v/>
      </c>
    </row>
    <row r="1657" customFormat="false" ht="15" hidden="false" customHeight="true" outlineLevel="0" collapsed="false">
      <c r="A1657" s="8"/>
      <c r="B1657" s="8"/>
      <c r="C1657" s="8"/>
      <c r="D1657" s="8"/>
      <c r="E1657" s="8"/>
      <c r="F1657" s="8"/>
      <c r="G1657" s="10" t="str">
        <f aca="false">IF($A1657="","",UPPER(SUBSTITUTE(SUBSTITUTE(SUBSTITUTE(SUBSTITUTE($A1657," ",""),"(주)",""),"주식회사",""),"㈜","")))</f>
        <v/>
      </c>
      <c r="H1657" s="10" t="str">
        <f aca="false">IF($B1657="","",SUBSTITUTE(SUBSTITUTE(SUBSTITUTE($B1657,"-","")," ",""),".",""))</f>
        <v/>
      </c>
      <c r="I1657" s="10" t="str">
        <f aca="false">IF($D1657="","",SUBSTITUTE(SUBSTITUTE(SUBSTITUTE($D1657,"-","")," ",""),".",""))</f>
        <v/>
      </c>
      <c r="J1657" s="10" t="str">
        <f aca="false">IF($E1657="","",UPPER(SUBSTITUTE($E1657," ","")))</f>
        <v/>
      </c>
      <c r="K1657" s="10" t="str">
        <f aca="false">IF($A1657="","",$G1657&amp;"|"&amp;$J1657)</f>
        <v/>
      </c>
      <c r="L1657" s="10" t="str">
        <f aca="false">IF($A1657="","",ROW()-2)</f>
        <v/>
      </c>
      <c r="M1657" s="10" t="str">
        <f aca="false">IF($A1657="","",ROW())</f>
        <v/>
      </c>
    </row>
    <row r="1658" customFormat="false" ht="15" hidden="false" customHeight="true" outlineLevel="0" collapsed="false">
      <c r="A1658" s="8"/>
      <c r="B1658" s="8"/>
      <c r="C1658" s="8"/>
      <c r="D1658" s="8"/>
      <c r="E1658" s="8"/>
      <c r="F1658" s="8"/>
      <c r="G1658" s="10" t="str">
        <f aca="false">IF($A1658="","",UPPER(SUBSTITUTE(SUBSTITUTE(SUBSTITUTE(SUBSTITUTE($A1658," ",""),"(주)",""),"주식회사",""),"㈜","")))</f>
        <v/>
      </c>
      <c r="H1658" s="10" t="str">
        <f aca="false">IF($B1658="","",SUBSTITUTE(SUBSTITUTE(SUBSTITUTE($B1658,"-","")," ",""),".",""))</f>
        <v/>
      </c>
      <c r="I1658" s="10" t="str">
        <f aca="false">IF($D1658="","",SUBSTITUTE(SUBSTITUTE(SUBSTITUTE($D1658,"-","")," ",""),".",""))</f>
        <v/>
      </c>
      <c r="J1658" s="10" t="str">
        <f aca="false">IF($E1658="","",UPPER(SUBSTITUTE($E1658," ","")))</f>
        <v/>
      </c>
      <c r="K1658" s="10" t="str">
        <f aca="false">IF($A1658="","",$G1658&amp;"|"&amp;$J1658)</f>
        <v/>
      </c>
      <c r="L1658" s="10" t="str">
        <f aca="false">IF($A1658="","",ROW()-2)</f>
        <v/>
      </c>
      <c r="M1658" s="10" t="str">
        <f aca="false">IF($A1658="","",ROW())</f>
        <v/>
      </c>
    </row>
    <row r="1659" customFormat="false" ht="15" hidden="false" customHeight="true" outlineLevel="0" collapsed="false">
      <c r="A1659" s="8"/>
      <c r="B1659" s="8"/>
      <c r="C1659" s="8"/>
      <c r="D1659" s="8"/>
      <c r="E1659" s="8"/>
      <c r="F1659" s="8"/>
      <c r="G1659" s="10" t="str">
        <f aca="false">IF($A1659="","",UPPER(SUBSTITUTE(SUBSTITUTE(SUBSTITUTE(SUBSTITUTE($A1659," ",""),"(주)",""),"주식회사",""),"㈜","")))</f>
        <v/>
      </c>
      <c r="H1659" s="10" t="str">
        <f aca="false">IF($B1659="","",SUBSTITUTE(SUBSTITUTE(SUBSTITUTE($B1659,"-","")," ",""),".",""))</f>
        <v/>
      </c>
      <c r="I1659" s="10" t="str">
        <f aca="false">IF($D1659="","",SUBSTITUTE(SUBSTITUTE(SUBSTITUTE($D1659,"-","")," ",""),".",""))</f>
        <v/>
      </c>
      <c r="J1659" s="10" t="str">
        <f aca="false">IF($E1659="","",UPPER(SUBSTITUTE($E1659," ","")))</f>
        <v/>
      </c>
      <c r="K1659" s="10" t="str">
        <f aca="false">IF($A1659="","",$G1659&amp;"|"&amp;$J1659)</f>
        <v/>
      </c>
      <c r="L1659" s="10" t="str">
        <f aca="false">IF($A1659="","",ROW()-2)</f>
        <v/>
      </c>
      <c r="M1659" s="10" t="str">
        <f aca="false">IF($A1659="","",ROW())</f>
        <v/>
      </c>
    </row>
    <row r="1660" customFormat="false" ht="15" hidden="false" customHeight="true" outlineLevel="0" collapsed="false">
      <c r="A1660" s="8"/>
      <c r="B1660" s="8"/>
      <c r="C1660" s="8"/>
      <c r="D1660" s="8"/>
      <c r="E1660" s="8"/>
      <c r="F1660" s="8"/>
      <c r="G1660" s="10" t="str">
        <f aca="false">IF($A1660="","",UPPER(SUBSTITUTE(SUBSTITUTE(SUBSTITUTE(SUBSTITUTE($A1660," ",""),"(주)",""),"주식회사",""),"㈜","")))</f>
        <v/>
      </c>
      <c r="H1660" s="10" t="str">
        <f aca="false">IF($B1660="","",SUBSTITUTE(SUBSTITUTE(SUBSTITUTE($B1660,"-","")," ",""),".",""))</f>
        <v/>
      </c>
      <c r="I1660" s="10" t="str">
        <f aca="false">IF($D1660="","",SUBSTITUTE(SUBSTITUTE(SUBSTITUTE($D1660,"-","")," ",""),".",""))</f>
        <v/>
      </c>
      <c r="J1660" s="10" t="str">
        <f aca="false">IF($E1660="","",UPPER(SUBSTITUTE($E1660," ","")))</f>
        <v/>
      </c>
      <c r="K1660" s="10" t="str">
        <f aca="false">IF($A1660="","",$G1660&amp;"|"&amp;$J1660)</f>
        <v/>
      </c>
      <c r="L1660" s="10" t="str">
        <f aca="false">IF($A1660="","",ROW()-2)</f>
        <v/>
      </c>
      <c r="M1660" s="10" t="str">
        <f aca="false">IF($A1660="","",ROW())</f>
        <v/>
      </c>
    </row>
    <row r="1661" customFormat="false" ht="15" hidden="false" customHeight="true" outlineLevel="0" collapsed="false">
      <c r="A1661" s="8"/>
      <c r="B1661" s="8"/>
      <c r="C1661" s="8"/>
      <c r="D1661" s="8"/>
      <c r="E1661" s="8"/>
      <c r="F1661" s="8"/>
      <c r="G1661" s="10" t="str">
        <f aca="false">IF($A1661="","",UPPER(SUBSTITUTE(SUBSTITUTE(SUBSTITUTE(SUBSTITUTE($A1661," ",""),"(주)",""),"주식회사",""),"㈜","")))</f>
        <v/>
      </c>
      <c r="H1661" s="10" t="str">
        <f aca="false">IF($B1661="","",SUBSTITUTE(SUBSTITUTE(SUBSTITUTE($B1661,"-","")," ",""),".",""))</f>
        <v/>
      </c>
      <c r="I1661" s="10" t="str">
        <f aca="false">IF($D1661="","",SUBSTITUTE(SUBSTITUTE(SUBSTITUTE($D1661,"-","")," ",""),".",""))</f>
        <v/>
      </c>
      <c r="J1661" s="10" t="str">
        <f aca="false">IF($E1661="","",UPPER(SUBSTITUTE($E1661," ","")))</f>
        <v/>
      </c>
      <c r="K1661" s="10" t="str">
        <f aca="false">IF($A1661="","",$G1661&amp;"|"&amp;$J1661)</f>
        <v/>
      </c>
      <c r="L1661" s="10" t="str">
        <f aca="false">IF($A1661="","",ROW()-2)</f>
        <v/>
      </c>
      <c r="M1661" s="10" t="str">
        <f aca="false">IF($A1661="","",ROW())</f>
        <v/>
      </c>
    </row>
    <row r="1662" customFormat="false" ht="15" hidden="false" customHeight="true" outlineLevel="0" collapsed="false">
      <c r="A1662" s="8"/>
      <c r="B1662" s="8"/>
      <c r="C1662" s="8"/>
      <c r="D1662" s="8"/>
      <c r="E1662" s="8"/>
      <c r="F1662" s="8"/>
      <c r="G1662" s="10" t="str">
        <f aca="false">IF($A1662="","",UPPER(SUBSTITUTE(SUBSTITUTE(SUBSTITUTE(SUBSTITUTE($A1662," ",""),"(주)",""),"주식회사",""),"㈜","")))</f>
        <v/>
      </c>
      <c r="H1662" s="10" t="str">
        <f aca="false">IF($B1662="","",SUBSTITUTE(SUBSTITUTE(SUBSTITUTE($B1662,"-","")," ",""),".",""))</f>
        <v/>
      </c>
      <c r="I1662" s="10" t="str">
        <f aca="false">IF($D1662="","",SUBSTITUTE(SUBSTITUTE(SUBSTITUTE($D1662,"-","")," ",""),".",""))</f>
        <v/>
      </c>
      <c r="J1662" s="10" t="str">
        <f aca="false">IF($E1662="","",UPPER(SUBSTITUTE($E1662," ","")))</f>
        <v/>
      </c>
      <c r="K1662" s="10" t="str">
        <f aca="false">IF($A1662="","",$G1662&amp;"|"&amp;$J1662)</f>
        <v/>
      </c>
      <c r="L1662" s="10" t="str">
        <f aca="false">IF($A1662="","",ROW()-2)</f>
        <v/>
      </c>
      <c r="M1662" s="10" t="str">
        <f aca="false">IF($A1662="","",ROW())</f>
        <v/>
      </c>
    </row>
    <row r="1663" customFormat="false" ht="15" hidden="false" customHeight="true" outlineLevel="0" collapsed="false">
      <c r="A1663" s="8"/>
      <c r="B1663" s="8"/>
      <c r="C1663" s="8"/>
      <c r="D1663" s="8"/>
      <c r="E1663" s="8"/>
      <c r="F1663" s="8"/>
      <c r="G1663" s="10" t="str">
        <f aca="false">IF($A1663="","",UPPER(SUBSTITUTE(SUBSTITUTE(SUBSTITUTE(SUBSTITUTE($A1663," ",""),"(주)",""),"주식회사",""),"㈜","")))</f>
        <v/>
      </c>
      <c r="H1663" s="10" t="str">
        <f aca="false">IF($B1663="","",SUBSTITUTE(SUBSTITUTE(SUBSTITUTE($B1663,"-","")," ",""),".",""))</f>
        <v/>
      </c>
      <c r="I1663" s="10" t="str">
        <f aca="false">IF($D1663="","",SUBSTITUTE(SUBSTITUTE(SUBSTITUTE($D1663,"-","")," ",""),".",""))</f>
        <v/>
      </c>
      <c r="J1663" s="10" t="str">
        <f aca="false">IF($E1663="","",UPPER(SUBSTITUTE($E1663," ","")))</f>
        <v/>
      </c>
      <c r="K1663" s="10" t="str">
        <f aca="false">IF($A1663="","",$G1663&amp;"|"&amp;$J1663)</f>
        <v/>
      </c>
      <c r="L1663" s="10" t="str">
        <f aca="false">IF($A1663="","",ROW()-2)</f>
        <v/>
      </c>
      <c r="M1663" s="10" t="str">
        <f aca="false">IF($A1663="","",ROW())</f>
        <v/>
      </c>
    </row>
    <row r="1664" customFormat="false" ht="15" hidden="false" customHeight="true" outlineLevel="0" collapsed="false">
      <c r="A1664" s="8"/>
      <c r="B1664" s="8"/>
      <c r="C1664" s="8"/>
      <c r="D1664" s="8"/>
      <c r="E1664" s="8"/>
      <c r="F1664" s="8"/>
      <c r="G1664" s="10" t="str">
        <f aca="false">IF($A1664="","",UPPER(SUBSTITUTE(SUBSTITUTE(SUBSTITUTE(SUBSTITUTE($A1664," ",""),"(주)",""),"주식회사",""),"㈜","")))</f>
        <v/>
      </c>
      <c r="H1664" s="10" t="str">
        <f aca="false">IF($B1664="","",SUBSTITUTE(SUBSTITUTE(SUBSTITUTE($B1664,"-","")," ",""),".",""))</f>
        <v/>
      </c>
      <c r="I1664" s="10" t="str">
        <f aca="false">IF($D1664="","",SUBSTITUTE(SUBSTITUTE(SUBSTITUTE($D1664,"-","")," ",""),".",""))</f>
        <v/>
      </c>
      <c r="J1664" s="10" t="str">
        <f aca="false">IF($E1664="","",UPPER(SUBSTITUTE($E1664," ","")))</f>
        <v/>
      </c>
      <c r="K1664" s="10" t="str">
        <f aca="false">IF($A1664="","",$G1664&amp;"|"&amp;$J1664)</f>
        <v/>
      </c>
      <c r="L1664" s="10" t="str">
        <f aca="false">IF($A1664="","",ROW()-2)</f>
        <v/>
      </c>
      <c r="M1664" s="10" t="str">
        <f aca="false">IF($A1664="","",ROW())</f>
        <v/>
      </c>
    </row>
    <row r="1665" customFormat="false" ht="15" hidden="false" customHeight="true" outlineLevel="0" collapsed="false">
      <c r="A1665" s="8"/>
      <c r="B1665" s="8"/>
      <c r="C1665" s="8"/>
      <c r="D1665" s="8"/>
      <c r="E1665" s="8"/>
      <c r="F1665" s="8"/>
      <c r="G1665" s="10" t="str">
        <f aca="false">IF($A1665="","",UPPER(SUBSTITUTE(SUBSTITUTE(SUBSTITUTE(SUBSTITUTE($A1665," ",""),"(주)",""),"주식회사",""),"㈜","")))</f>
        <v/>
      </c>
      <c r="H1665" s="10" t="str">
        <f aca="false">IF($B1665="","",SUBSTITUTE(SUBSTITUTE(SUBSTITUTE($B1665,"-","")," ",""),".",""))</f>
        <v/>
      </c>
      <c r="I1665" s="10" t="str">
        <f aca="false">IF($D1665="","",SUBSTITUTE(SUBSTITUTE(SUBSTITUTE($D1665,"-","")," ",""),".",""))</f>
        <v/>
      </c>
      <c r="J1665" s="10" t="str">
        <f aca="false">IF($E1665="","",UPPER(SUBSTITUTE($E1665," ","")))</f>
        <v/>
      </c>
      <c r="K1665" s="10" t="str">
        <f aca="false">IF($A1665="","",$G1665&amp;"|"&amp;$J1665)</f>
        <v/>
      </c>
      <c r="L1665" s="10" t="str">
        <f aca="false">IF($A1665="","",ROW()-2)</f>
        <v/>
      </c>
      <c r="M1665" s="10" t="str">
        <f aca="false">IF($A1665="","",ROW())</f>
        <v/>
      </c>
    </row>
    <row r="1666" customFormat="false" ht="15" hidden="false" customHeight="true" outlineLevel="0" collapsed="false">
      <c r="A1666" s="8"/>
      <c r="B1666" s="8"/>
      <c r="C1666" s="8"/>
      <c r="D1666" s="8"/>
      <c r="E1666" s="8"/>
      <c r="F1666" s="8"/>
      <c r="G1666" s="10" t="str">
        <f aca="false">IF($A1666="","",UPPER(SUBSTITUTE(SUBSTITUTE(SUBSTITUTE(SUBSTITUTE($A1666," ",""),"(주)",""),"주식회사",""),"㈜","")))</f>
        <v/>
      </c>
      <c r="H1666" s="10" t="str">
        <f aca="false">IF($B1666="","",SUBSTITUTE(SUBSTITUTE(SUBSTITUTE($B1666,"-","")," ",""),".",""))</f>
        <v/>
      </c>
      <c r="I1666" s="10" t="str">
        <f aca="false">IF($D1666="","",SUBSTITUTE(SUBSTITUTE(SUBSTITUTE($D1666,"-","")," ",""),".",""))</f>
        <v/>
      </c>
      <c r="J1666" s="10" t="str">
        <f aca="false">IF($E1666="","",UPPER(SUBSTITUTE($E1666," ","")))</f>
        <v/>
      </c>
      <c r="K1666" s="10" t="str">
        <f aca="false">IF($A1666="","",$G1666&amp;"|"&amp;$J1666)</f>
        <v/>
      </c>
      <c r="L1666" s="10" t="str">
        <f aca="false">IF($A1666="","",ROW()-2)</f>
        <v/>
      </c>
      <c r="M1666" s="10" t="str">
        <f aca="false">IF($A1666="","",ROW())</f>
        <v/>
      </c>
    </row>
    <row r="1667" customFormat="false" ht="15" hidden="false" customHeight="true" outlineLevel="0" collapsed="false">
      <c r="A1667" s="8"/>
      <c r="B1667" s="8"/>
      <c r="C1667" s="8"/>
      <c r="D1667" s="8"/>
      <c r="E1667" s="8"/>
      <c r="F1667" s="8"/>
      <c r="G1667" s="10" t="str">
        <f aca="false">IF($A1667="","",UPPER(SUBSTITUTE(SUBSTITUTE(SUBSTITUTE(SUBSTITUTE($A1667," ",""),"(주)",""),"주식회사",""),"㈜","")))</f>
        <v/>
      </c>
      <c r="H1667" s="10" t="str">
        <f aca="false">IF($B1667="","",SUBSTITUTE(SUBSTITUTE(SUBSTITUTE($B1667,"-","")," ",""),".",""))</f>
        <v/>
      </c>
      <c r="I1667" s="10" t="str">
        <f aca="false">IF($D1667="","",SUBSTITUTE(SUBSTITUTE(SUBSTITUTE($D1667,"-","")," ",""),".",""))</f>
        <v/>
      </c>
      <c r="J1667" s="10" t="str">
        <f aca="false">IF($E1667="","",UPPER(SUBSTITUTE($E1667," ","")))</f>
        <v/>
      </c>
      <c r="K1667" s="10" t="str">
        <f aca="false">IF($A1667="","",$G1667&amp;"|"&amp;$J1667)</f>
        <v/>
      </c>
      <c r="L1667" s="10" t="str">
        <f aca="false">IF($A1667="","",ROW()-2)</f>
        <v/>
      </c>
      <c r="M1667" s="10" t="str">
        <f aca="false">IF($A1667="","",ROW())</f>
        <v/>
      </c>
    </row>
    <row r="1668" customFormat="false" ht="15" hidden="false" customHeight="true" outlineLevel="0" collapsed="false">
      <c r="A1668" s="8"/>
      <c r="B1668" s="8"/>
      <c r="C1668" s="8"/>
      <c r="D1668" s="8"/>
      <c r="E1668" s="8"/>
      <c r="F1668" s="8"/>
      <c r="G1668" s="10" t="str">
        <f aca="false">IF($A1668="","",UPPER(SUBSTITUTE(SUBSTITUTE(SUBSTITUTE(SUBSTITUTE($A1668," ",""),"(주)",""),"주식회사",""),"㈜","")))</f>
        <v/>
      </c>
      <c r="H1668" s="10" t="str">
        <f aca="false">IF($B1668="","",SUBSTITUTE(SUBSTITUTE(SUBSTITUTE($B1668,"-","")," ",""),".",""))</f>
        <v/>
      </c>
      <c r="I1668" s="10" t="str">
        <f aca="false">IF($D1668="","",SUBSTITUTE(SUBSTITUTE(SUBSTITUTE($D1668,"-","")," ",""),".",""))</f>
        <v/>
      </c>
      <c r="J1668" s="10" t="str">
        <f aca="false">IF($E1668="","",UPPER(SUBSTITUTE($E1668," ","")))</f>
        <v/>
      </c>
      <c r="K1668" s="10" t="str">
        <f aca="false">IF($A1668="","",$G1668&amp;"|"&amp;$J1668)</f>
        <v/>
      </c>
      <c r="L1668" s="10" t="str">
        <f aca="false">IF($A1668="","",ROW()-2)</f>
        <v/>
      </c>
      <c r="M1668" s="10" t="str">
        <f aca="false">IF($A1668="","",ROW())</f>
        <v/>
      </c>
    </row>
    <row r="1669" customFormat="false" ht="15" hidden="false" customHeight="true" outlineLevel="0" collapsed="false">
      <c r="A1669" s="8"/>
      <c r="B1669" s="8"/>
      <c r="C1669" s="8"/>
      <c r="D1669" s="8"/>
      <c r="E1669" s="8"/>
      <c r="F1669" s="8"/>
      <c r="G1669" s="10" t="str">
        <f aca="false">IF($A1669="","",UPPER(SUBSTITUTE(SUBSTITUTE(SUBSTITUTE(SUBSTITUTE($A1669," ",""),"(주)",""),"주식회사",""),"㈜","")))</f>
        <v/>
      </c>
      <c r="H1669" s="10" t="str">
        <f aca="false">IF($B1669="","",SUBSTITUTE(SUBSTITUTE(SUBSTITUTE($B1669,"-","")," ",""),".",""))</f>
        <v/>
      </c>
      <c r="I1669" s="10" t="str">
        <f aca="false">IF($D1669="","",SUBSTITUTE(SUBSTITUTE(SUBSTITUTE($D1669,"-","")," ",""),".",""))</f>
        <v/>
      </c>
      <c r="J1669" s="10" t="str">
        <f aca="false">IF($E1669="","",UPPER(SUBSTITUTE($E1669," ","")))</f>
        <v/>
      </c>
      <c r="K1669" s="10" t="str">
        <f aca="false">IF($A1669="","",$G1669&amp;"|"&amp;$J1669)</f>
        <v/>
      </c>
      <c r="L1669" s="10" t="str">
        <f aca="false">IF($A1669="","",ROW()-2)</f>
        <v/>
      </c>
      <c r="M1669" s="10" t="str">
        <f aca="false">IF($A1669="","",ROW())</f>
        <v/>
      </c>
    </row>
    <row r="1670" customFormat="false" ht="15" hidden="false" customHeight="true" outlineLevel="0" collapsed="false">
      <c r="A1670" s="8"/>
      <c r="B1670" s="8"/>
      <c r="C1670" s="8"/>
      <c r="D1670" s="8"/>
      <c r="E1670" s="8"/>
      <c r="F1670" s="8"/>
      <c r="G1670" s="10" t="str">
        <f aca="false">IF($A1670="","",UPPER(SUBSTITUTE(SUBSTITUTE(SUBSTITUTE(SUBSTITUTE($A1670," ",""),"(주)",""),"주식회사",""),"㈜","")))</f>
        <v/>
      </c>
      <c r="H1670" s="10" t="str">
        <f aca="false">IF($B1670="","",SUBSTITUTE(SUBSTITUTE(SUBSTITUTE($B1670,"-","")," ",""),".",""))</f>
        <v/>
      </c>
      <c r="I1670" s="10" t="str">
        <f aca="false">IF($D1670="","",SUBSTITUTE(SUBSTITUTE(SUBSTITUTE($D1670,"-","")," ",""),".",""))</f>
        <v/>
      </c>
      <c r="J1670" s="10" t="str">
        <f aca="false">IF($E1670="","",UPPER(SUBSTITUTE($E1670," ","")))</f>
        <v/>
      </c>
      <c r="K1670" s="10" t="str">
        <f aca="false">IF($A1670="","",$G1670&amp;"|"&amp;$J1670)</f>
        <v/>
      </c>
      <c r="L1670" s="10" t="str">
        <f aca="false">IF($A1670="","",ROW()-2)</f>
        <v/>
      </c>
      <c r="M1670" s="10" t="str">
        <f aca="false">IF($A1670="","",ROW())</f>
        <v/>
      </c>
    </row>
    <row r="1671" customFormat="false" ht="15" hidden="false" customHeight="true" outlineLevel="0" collapsed="false">
      <c r="A1671" s="8"/>
      <c r="B1671" s="8"/>
      <c r="C1671" s="8"/>
      <c r="D1671" s="8"/>
      <c r="E1671" s="8"/>
      <c r="F1671" s="8"/>
      <c r="G1671" s="10" t="str">
        <f aca="false">IF($A1671="","",UPPER(SUBSTITUTE(SUBSTITUTE(SUBSTITUTE(SUBSTITUTE($A1671," ",""),"(주)",""),"주식회사",""),"㈜","")))</f>
        <v/>
      </c>
      <c r="H1671" s="10" t="str">
        <f aca="false">IF($B1671="","",SUBSTITUTE(SUBSTITUTE(SUBSTITUTE($B1671,"-","")," ",""),".",""))</f>
        <v/>
      </c>
      <c r="I1671" s="10" t="str">
        <f aca="false">IF($D1671="","",SUBSTITUTE(SUBSTITUTE(SUBSTITUTE($D1671,"-","")," ",""),".",""))</f>
        <v/>
      </c>
      <c r="J1671" s="10" t="str">
        <f aca="false">IF($E1671="","",UPPER(SUBSTITUTE($E1671," ","")))</f>
        <v/>
      </c>
      <c r="K1671" s="10" t="str">
        <f aca="false">IF($A1671="","",$G1671&amp;"|"&amp;$J1671)</f>
        <v/>
      </c>
      <c r="L1671" s="10" t="str">
        <f aca="false">IF($A1671="","",ROW()-2)</f>
        <v/>
      </c>
      <c r="M1671" s="10" t="str">
        <f aca="false">IF($A1671="","",ROW())</f>
        <v/>
      </c>
    </row>
    <row r="1672" customFormat="false" ht="15" hidden="false" customHeight="true" outlineLevel="0" collapsed="false">
      <c r="A1672" s="8"/>
      <c r="B1672" s="8"/>
      <c r="C1672" s="8"/>
      <c r="D1672" s="8"/>
      <c r="E1672" s="8"/>
      <c r="F1672" s="8"/>
      <c r="G1672" s="10" t="str">
        <f aca="false">IF($A1672="","",UPPER(SUBSTITUTE(SUBSTITUTE(SUBSTITUTE(SUBSTITUTE($A1672," ",""),"(주)",""),"주식회사",""),"㈜","")))</f>
        <v/>
      </c>
      <c r="H1672" s="10" t="str">
        <f aca="false">IF($B1672="","",SUBSTITUTE(SUBSTITUTE(SUBSTITUTE($B1672,"-","")," ",""),".",""))</f>
        <v/>
      </c>
      <c r="I1672" s="10" t="str">
        <f aca="false">IF($D1672="","",SUBSTITUTE(SUBSTITUTE(SUBSTITUTE($D1672,"-","")," ",""),".",""))</f>
        <v/>
      </c>
      <c r="J1672" s="10" t="str">
        <f aca="false">IF($E1672="","",UPPER(SUBSTITUTE($E1672," ","")))</f>
        <v/>
      </c>
      <c r="K1672" s="10" t="str">
        <f aca="false">IF($A1672="","",$G1672&amp;"|"&amp;$J1672)</f>
        <v/>
      </c>
      <c r="L1672" s="10" t="str">
        <f aca="false">IF($A1672="","",ROW()-2)</f>
        <v/>
      </c>
      <c r="M1672" s="10" t="str">
        <f aca="false">IF($A1672="","",ROW())</f>
        <v/>
      </c>
    </row>
    <row r="1673" customFormat="false" ht="15" hidden="false" customHeight="true" outlineLevel="0" collapsed="false">
      <c r="A1673" s="8"/>
      <c r="B1673" s="8"/>
      <c r="C1673" s="8"/>
      <c r="D1673" s="8"/>
      <c r="E1673" s="8"/>
      <c r="F1673" s="8"/>
      <c r="G1673" s="10" t="str">
        <f aca="false">IF($A1673="","",UPPER(SUBSTITUTE(SUBSTITUTE(SUBSTITUTE(SUBSTITUTE($A1673," ",""),"(주)",""),"주식회사",""),"㈜","")))</f>
        <v/>
      </c>
      <c r="H1673" s="10" t="str">
        <f aca="false">IF($B1673="","",SUBSTITUTE(SUBSTITUTE(SUBSTITUTE($B1673,"-","")," ",""),".",""))</f>
        <v/>
      </c>
      <c r="I1673" s="10" t="str">
        <f aca="false">IF($D1673="","",SUBSTITUTE(SUBSTITUTE(SUBSTITUTE($D1673,"-","")," ",""),".",""))</f>
        <v/>
      </c>
      <c r="J1673" s="10" t="str">
        <f aca="false">IF($E1673="","",UPPER(SUBSTITUTE($E1673," ","")))</f>
        <v/>
      </c>
      <c r="K1673" s="10" t="str">
        <f aca="false">IF($A1673="","",$G1673&amp;"|"&amp;$J1673)</f>
        <v/>
      </c>
      <c r="L1673" s="10" t="str">
        <f aca="false">IF($A1673="","",ROW()-2)</f>
        <v/>
      </c>
      <c r="M1673" s="10" t="str">
        <f aca="false">IF($A1673="","",ROW())</f>
        <v/>
      </c>
    </row>
    <row r="1674" customFormat="false" ht="15" hidden="false" customHeight="true" outlineLevel="0" collapsed="false">
      <c r="A1674" s="8"/>
      <c r="B1674" s="8"/>
      <c r="C1674" s="8"/>
      <c r="D1674" s="8"/>
      <c r="E1674" s="8"/>
      <c r="F1674" s="8"/>
      <c r="G1674" s="10" t="str">
        <f aca="false">IF($A1674="","",UPPER(SUBSTITUTE(SUBSTITUTE(SUBSTITUTE(SUBSTITUTE($A1674," ",""),"(주)",""),"주식회사",""),"㈜","")))</f>
        <v/>
      </c>
      <c r="H1674" s="10" t="str">
        <f aca="false">IF($B1674="","",SUBSTITUTE(SUBSTITUTE(SUBSTITUTE($B1674,"-","")," ",""),".",""))</f>
        <v/>
      </c>
      <c r="I1674" s="10" t="str">
        <f aca="false">IF($D1674="","",SUBSTITUTE(SUBSTITUTE(SUBSTITUTE($D1674,"-","")," ",""),".",""))</f>
        <v/>
      </c>
      <c r="J1674" s="10" t="str">
        <f aca="false">IF($E1674="","",UPPER(SUBSTITUTE($E1674," ","")))</f>
        <v/>
      </c>
      <c r="K1674" s="10" t="str">
        <f aca="false">IF($A1674="","",$G1674&amp;"|"&amp;$J1674)</f>
        <v/>
      </c>
      <c r="L1674" s="10" t="str">
        <f aca="false">IF($A1674="","",ROW()-2)</f>
        <v/>
      </c>
      <c r="M1674" s="10" t="str">
        <f aca="false">IF($A1674="","",ROW())</f>
        <v/>
      </c>
    </row>
    <row r="1675" customFormat="false" ht="15" hidden="false" customHeight="true" outlineLevel="0" collapsed="false">
      <c r="A1675" s="8"/>
      <c r="B1675" s="8"/>
      <c r="C1675" s="8"/>
      <c r="D1675" s="8"/>
      <c r="E1675" s="8"/>
      <c r="F1675" s="8"/>
      <c r="G1675" s="10" t="str">
        <f aca="false">IF($A1675="","",UPPER(SUBSTITUTE(SUBSTITUTE(SUBSTITUTE(SUBSTITUTE($A1675," ",""),"(주)",""),"주식회사",""),"㈜","")))</f>
        <v/>
      </c>
      <c r="H1675" s="10" t="str">
        <f aca="false">IF($B1675="","",SUBSTITUTE(SUBSTITUTE(SUBSTITUTE($B1675,"-","")," ",""),".",""))</f>
        <v/>
      </c>
      <c r="I1675" s="10" t="str">
        <f aca="false">IF($D1675="","",SUBSTITUTE(SUBSTITUTE(SUBSTITUTE($D1675,"-","")," ",""),".",""))</f>
        <v/>
      </c>
      <c r="J1675" s="10" t="str">
        <f aca="false">IF($E1675="","",UPPER(SUBSTITUTE($E1675," ","")))</f>
        <v/>
      </c>
      <c r="K1675" s="10" t="str">
        <f aca="false">IF($A1675="","",$G1675&amp;"|"&amp;$J1675)</f>
        <v/>
      </c>
      <c r="L1675" s="10" t="str">
        <f aca="false">IF($A1675="","",ROW()-2)</f>
        <v/>
      </c>
      <c r="M1675" s="10" t="str">
        <f aca="false">IF($A1675="","",ROW())</f>
        <v/>
      </c>
    </row>
    <row r="1676" customFormat="false" ht="15" hidden="false" customHeight="true" outlineLevel="0" collapsed="false">
      <c r="A1676" s="8"/>
      <c r="B1676" s="8"/>
      <c r="C1676" s="8"/>
      <c r="D1676" s="8"/>
      <c r="E1676" s="8"/>
      <c r="F1676" s="8"/>
      <c r="G1676" s="10" t="str">
        <f aca="false">IF($A1676="","",UPPER(SUBSTITUTE(SUBSTITUTE(SUBSTITUTE(SUBSTITUTE($A1676," ",""),"(주)",""),"주식회사",""),"㈜","")))</f>
        <v/>
      </c>
      <c r="H1676" s="10" t="str">
        <f aca="false">IF($B1676="","",SUBSTITUTE(SUBSTITUTE(SUBSTITUTE($B1676,"-","")," ",""),".",""))</f>
        <v/>
      </c>
      <c r="I1676" s="10" t="str">
        <f aca="false">IF($D1676="","",SUBSTITUTE(SUBSTITUTE(SUBSTITUTE($D1676,"-","")," ",""),".",""))</f>
        <v/>
      </c>
      <c r="J1676" s="10" t="str">
        <f aca="false">IF($E1676="","",UPPER(SUBSTITUTE($E1676," ","")))</f>
        <v/>
      </c>
      <c r="K1676" s="10" t="str">
        <f aca="false">IF($A1676="","",$G1676&amp;"|"&amp;$J1676)</f>
        <v/>
      </c>
      <c r="L1676" s="10" t="str">
        <f aca="false">IF($A1676="","",ROW()-2)</f>
        <v/>
      </c>
      <c r="M1676" s="10" t="str">
        <f aca="false">IF($A1676="","",ROW())</f>
        <v/>
      </c>
    </row>
    <row r="1677" customFormat="false" ht="15" hidden="false" customHeight="true" outlineLevel="0" collapsed="false">
      <c r="A1677" s="8"/>
      <c r="B1677" s="8"/>
      <c r="C1677" s="8"/>
      <c r="D1677" s="8"/>
      <c r="E1677" s="8"/>
      <c r="F1677" s="8"/>
      <c r="G1677" s="10" t="str">
        <f aca="false">IF($A1677="","",UPPER(SUBSTITUTE(SUBSTITUTE(SUBSTITUTE(SUBSTITUTE($A1677," ",""),"(주)",""),"주식회사",""),"㈜","")))</f>
        <v/>
      </c>
      <c r="H1677" s="10" t="str">
        <f aca="false">IF($B1677="","",SUBSTITUTE(SUBSTITUTE(SUBSTITUTE($B1677,"-","")," ",""),".",""))</f>
        <v/>
      </c>
      <c r="I1677" s="10" t="str">
        <f aca="false">IF($D1677="","",SUBSTITUTE(SUBSTITUTE(SUBSTITUTE($D1677,"-","")," ",""),".",""))</f>
        <v/>
      </c>
      <c r="J1677" s="10" t="str">
        <f aca="false">IF($E1677="","",UPPER(SUBSTITUTE($E1677," ","")))</f>
        <v/>
      </c>
      <c r="K1677" s="10" t="str">
        <f aca="false">IF($A1677="","",$G1677&amp;"|"&amp;$J1677)</f>
        <v/>
      </c>
      <c r="L1677" s="10" t="str">
        <f aca="false">IF($A1677="","",ROW()-2)</f>
        <v/>
      </c>
      <c r="M1677" s="10" t="str">
        <f aca="false">IF($A1677="","",ROW())</f>
        <v/>
      </c>
    </row>
    <row r="1678" customFormat="false" ht="15" hidden="false" customHeight="true" outlineLevel="0" collapsed="false">
      <c r="A1678" s="8"/>
      <c r="B1678" s="8"/>
      <c r="C1678" s="8"/>
      <c r="D1678" s="8"/>
      <c r="E1678" s="8"/>
      <c r="F1678" s="8"/>
      <c r="G1678" s="10" t="str">
        <f aca="false">IF($A1678="","",UPPER(SUBSTITUTE(SUBSTITUTE(SUBSTITUTE(SUBSTITUTE($A1678," ",""),"(주)",""),"주식회사",""),"㈜","")))</f>
        <v/>
      </c>
      <c r="H1678" s="10" t="str">
        <f aca="false">IF($B1678="","",SUBSTITUTE(SUBSTITUTE(SUBSTITUTE($B1678,"-","")," ",""),".",""))</f>
        <v/>
      </c>
      <c r="I1678" s="10" t="str">
        <f aca="false">IF($D1678="","",SUBSTITUTE(SUBSTITUTE(SUBSTITUTE($D1678,"-","")," ",""),".",""))</f>
        <v/>
      </c>
      <c r="J1678" s="10" t="str">
        <f aca="false">IF($E1678="","",UPPER(SUBSTITUTE($E1678," ","")))</f>
        <v/>
      </c>
      <c r="K1678" s="10" t="str">
        <f aca="false">IF($A1678="","",$G1678&amp;"|"&amp;$J1678)</f>
        <v/>
      </c>
      <c r="L1678" s="10" t="str">
        <f aca="false">IF($A1678="","",ROW()-2)</f>
        <v/>
      </c>
      <c r="M1678" s="10" t="str">
        <f aca="false">IF($A1678="","",ROW())</f>
        <v/>
      </c>
    </row>
    <row r="1679" customFormat="false" ht="15" hidden="false" customHeight="true" outlineLevel="0" collapsed="false">
      <c r="A1679" s="8"/>
      <c r="B1679" s="8"/>
      <c r="C1679" s="8"/>
      <c r="D1679" s="8"/>
      <c r="E1679" s="8"/>
      <c r="F1679" s="8"/>
      <c r="G1679" s="10" t="str">
        <f aca="false">IF($A1679="","",UPPER(SUBSTITUTE(SUBSTITUTE(SUBSTITUTE(SUBSTITUTE($A1679," ",""),"(주)",""),"주식회사",""),"㈜","")))</f>
        <v/>
      </c>
      <c r="H1679" s="10" t="str">
        <f aca="false">IF($B1679="","",SUBSTITUTE(SUBSTITUTE(SUBSTITUTE($B1679,"-","")," ",""),".",""))</f>
        <v/>
      </c>
      <c r="I1679" s="10" t="str">
        <f aca="false">IF($D1679="","",SUBSTITUTE(SUBSTITUTE(SUBSTITUTE($D1679,"-","")," ",""),".",""))</f>
        <v/>
      </c>
      <c r="J1679" s="10" t="str">
        <f aca="false">IF($E1679="","",UPPER(SUBSTITUTE($E1679," ","")))</f>
        <v/>
      </c>
      <c r="K1679" s="10" t="str">
        <f aca="false">IF($A1679="","",$G1679&amp;"|"&amp;$J1679)</f>
        <v/>
      </c>
      <c r="L1679" s="10" t="str">
        <f aca="false">IF($A1679="","",ROW()-2)</f>
        <v/>
      </c>
      <c r="M1679" s="10" t="str">
        <f aca="false">IF($A1679="","",ROW())</f>
        <v/>
      </c>
    </row>
    <row r="1680" customFormat="false" ht="15" hidden="false" customHeight="true" outlineLevel="0" collapsed="false">
      <c r="A1680" s="8"/>
      <c r="B1680" s="8"/>
      <c r="C1680" s="8"/>
      <c r="D1680" s="8"/>
      <c r="E1680" s="8"/>
      <c r="F1680" s="8"/>
      <c r="G1680" s="10" t="str">
        <f aca="false">IF($A1680="","",UPPER(SUBSTITUTE(SUBSTITUTE(SUBSTITUTE(SUBSTITUTE($A1680," ",""),"(주)",""),"주식회사",""),"㈜","")))</f>
        <v/>
      </c>
      <c r="H1680" s="10" t="str">
        <f aca="false">IF($B1680="","",SUBSTITUTE(SUBSTITUTE(SUBSTITUTE($B1680,"-","")," ",""),".",""))</f>
        <v/>
      </c>
      <c r="I1680" s="10" t="str">
        <f aca="false">IF($D1680="","",SUBSTITUTE(SUBSTITUTE(SUBSTITUTE($D1680,"-","")," ",""),".",""))</f>
        <v/>
      </c>
      <c r="J1680" s="10" t="str">
        <f aca="false">IF($E1680="","",UPPER(SUBSTITUTE($E1680," ","")))</f>
        <v/>
      </c>
      <c r="K1680" s="10" t="str">
        <f aca="false">IF($A1680="","",$G1680&amp;"|"&amp;$J1680)</f>
        <v/>
      </c>
      <c r="L1680" s="10" t="str">
        <f aca="false">IF($A1680="","",ROW()-2)</f>
        <v/>
      </c>
      <c r="M1680" s="10" t="str">
        <f aca="false">IF($A1680="","",ROW())</f>
        <v/>
      </c>
    </row>
    <row r="1681" customFormat="false" ht="15" hidden="false" customHeight="true" outlineLevel="0" collapsed="false">
      <c r="A1681" s="8"/>
      <c r="B1681" s="8"/>
      <c r="C1681" s="8"/>
      <c r="D1681" s="8"/>
      <c r="E1681" s="8"/>
      <c r="F1681" s="8"/>
      <c r="G1681" s="10" t="str">
        <f aca="false">IF($A1681="","",UPPER(SUBSTITUTE(SUBSTITUTE(SUBSTITUTE(SUBSTITUTE($A1681," ",""),"(주)",""),"주식회사",""),"㈜","")))</f>
        <v/>
      </c>
      <c r="H1681" s="10" t="str">
        <f aca="false">IF($B1681="","",SUBSTITUTE(SUBSTITUTE(SUBSTITUTE($B1681,"-","")," ",""),".",""))</f>
        <v/>
      </c>
      <c r="I1681" s="10" t="str">
        <f aca="false">IF($D1681="","",SUBSTITUTE(SUBSTITUTE(SUBSTITUTE($D1681,"-","")," ",""),".",""))</f>
        <v/>
      </c>
      <c r="J1681" s="10" t="str">
        <f aca="false">IF($E1681="","",UPPER(SUBSTITUTE($E1681," ","")))</f>
        <v/>
      </c>
      <c r="K1681" s="10" t="str">
        <f aca="false">IF($A1681="","",$G1681&amp;"|"&amp;$J1681)</f>
        <v/>
      </c>
      <c r="L1681" s="10" t="str">
        <f aca="false">IF($A1681="","",ROW()-2)</f>
        <v/>
      </c>
      <c r="M1681" s="10" t="str">
        <f aca="false">IF($A1681="","",ROW())</f>
        <v/>
      </c>
    </row>
    <row r="1682" customFormat="false" ht="15" hidden="false" customHeight="true" outlineLevel="0" collapsed="false">
      <c r="A1682" s="8"/>
      <c r="B1682" s="8"/>
      <c r="C1682" s="8"/>
      <c r="D1682" s="8"/>
      <c r="E1682" s="8"/>
      <c r="F1682" s="8"/>
      <c r="G1682" s="10" t="str">
        <f aca="false">IF($A1682="","",UPPER(SUBSTITUTE(SUBSTITUTE(SUBSTITUTE(SUBSTITUTE($A1682," ",""),"(주)",""),"주식회사",""),"㈜","")))</f>
        <v/>
      </c>
      <c r="H1682" s="10" t="str">
        <f aca="false">IF($B1682="","",SUBSTITUTE(SUBSTITUTE(SUBSTITUTE($B1682,"-","")," ",""),".",""))</f>
        <v/>
      </c>
      <c r="I1682" s="10" t="str">
        <f aca="false">IF($D1682="","",SUBSTITUTE(SUBSTITUTE(SUBSTITUTE($D1682,"-","")," ",""),".",""))</f>
        <v/>
      </c>
      <c r="J1682" s="10" t="str">
        <f aca="false">IF($E1682="","",UPPER(SUBSTITUTE($E1682," ","")))</f>
        <v/>
      </c>
      <c r="K1682" s="10" t="str">
        <f aca="false">IF($A1682="","",$G1682&amp;"|"&amp;$J1682)</f>
        <v/>
      </c>
      <c r="L1682" s="10" t="str">
        <f aca="false">IF($A1682="","",ROW()-2)</f>
        <v/>
      </c>
      <c r="M1682" s="10" t="str">
        <f aca="false">IF($A1682="","",ROW())</f>
        <v/>
      </c>
    </row>
    <row r="1683" customFormat="false" ht="15" hidden="false" customHeight="true" outlineLevel="0" collapsed="false">
      <c r="A1683" s="8"/>
      <c r="B1683" s="8"/>
      <c r="C1683" s="8"/>
      <c r="D1683" s="8"/>
      <c r="E1683" s="8"/>
      <c r="F1683" s="8"/>
      <c r="G1683" s="10" t="str">
        <f aca="false">IF($A1683="","",UPPER(SUBSTITUTE(SUBSTITUTE(SUBSTITUTE(SUBSTITUTE($A1683," ",""),"(주)",""),"주식회사",""),"㈜","")))</f>
        <v/>
      </c>
      <c r="H1683" s="10" t="str">
        <f aca="false">IF($B1683="","",SUBSTITUTE(SUBSTITUTE(SUBSTITUTE($B1683,"-","")," ",""),".",""))</f>
        <v/>
      </c>
      <c r="I1683" s="10" t="str">
        <f aca="false">IF($D1683="","",SUBSTITUTE(SUBSTITUTE(SUBSTITUTE($D1683,"-","")," ",""),".",""))</f>
        <v/>
      </c>
      <c r="J1683" s="10" t="str">
        <f aca="false">IF($E1683="","",UPPER(SUBSTITUTE($E1683," ","")))</f>
        <v/>
      </c>
      <c r="K1683" s="10" t="str">
        <f aca="false">IF($A1683="","",$G1683&amp;"|"&amp;$J1683)</f>
        <v/>
      </c>
      <c r="L1683" s="10" t="str">
        <f aca="false">IF($A1683="","",ROW()-2)</f>
        <v/>
      </c>
      <c r="M1683" s="10" t="str">
        <f aca="false">IF($A1683="","",ROW())</f>
        <v/>
      </c>
    </row>
    <row r="1684" customFormat="false" ht="15" hidden="false" customHeight="true" outlineLevel="0" collapsed="false">
      <c r="A1684" s="8"/>
      <c r="B1684" s="8"/>
      <c r="C1684" s="8"/>
      <c r="D1684" s="8"/>
      <c r="E1684" s="8"/>
      <c r="F1684" s="8"/>
      <c r="G1684" s="10" t="str">
        <f aca="false">IF($A1684="","",UPPER(SUBSTITUTE(SUBSTITUTE(SUBSTITUTE(SUBSTITUTE($A1684," ",""),"(주)",""),"주식회사",""),"㈜","")))</f>
        <v/>
      </c>
      <c r="H1684" s="10" t="str">
        <f aca="false">IF($B1684="","",SUBSTITUTE(SUBSTITUTE(SUBSTITUTE($B1684,"-","")," ",""),".",""))</f>
        <v/>
      </c>
      <c r="I1684" s="10" t="str">
        <f aca="false">IF($D1684="","",SUBSTITUTE(SUBSTITUTE(SUBSTITUTE($D1684,"-","")," ",""),".",""))</f>
        <v/>
      </c>
      <c r="J1684" s="10" t="str">
        <f aca="false">IF($E1684="","",UPPER(SUBSTITUTE($E1684," ","")))</f>
        <v/>
      </c>
      <c r="K1684" s="10" t="str">
        <f aca="false">IF($A1684="","",$G1684&amp;"|"&amp;$J1684)</f>
        <v/>
      </c>
      <c r="L1684" s="10" t="str">
        <f aca="false">IF($A1684="","",ROW()-2)</f>
        <v/>
      </c>
      <c r="M1684" s="10" t="str">
        <f aca="false">IF($A1684="","",ROW())</f>
        <v/>
      </c>
    </row>
    <row r="1685" customFormat="false" ht="15" hidden="false" customHeight="true" outlineLevel="0" collapsed="false">
      <c r="A1685" s="8"/>
      <c r="B1685" s="8"/>
      <c r="C1685" s="8"/>
      <c r="D1685" s="8"/>
      <c r="E1685" s="8"/>
      <c r="F1685" s="8"/>
      <c r="G1685" s="10" t="str">
        <f aca="false">IF($A1685="","",UPPER(SUBSTITUTE(SUBSTITUTE(SUBSTITUTE(SUBSTITUTE($A1685," ",""),"(주)",""),"주식회사",""),"㈜","")))</f>
        <v/>
      </c>
      <c r="H1685" s="10" t="str">
        <f aca="false">IF($B1685="","",SUBSTITUTE(SUBSTITUTE(SUBSTITUTE($B1685,"-","")," ",""),".",""))</f>
        <v/>
      </c>
      <c r="I1685" s="10" t="str">
        <f aca="false">IF($D1685="","",SUBSTITUTE(SUBSTITUTE(SUBSTITUTE($D1685,"-","")," ",""),".",""))</f>
        <v/>
      </c>
      <c r="J1685" s="10" t="str">
        <f aca="false">IF($E1685="","",UPPER(SUBSTITUTE($E1685," ","")))</f>
        <v/>
      </c>
      <c r="K1685" s="10" t="str">
        <f aca="false">IF($A1685="","",$G1685&amp;"|"&amp;$J1685)</f>
        <v/>
      </c>
      <c r="L1685" s="10" t="str">
        <f aca="false">IF($A1685="","",ROW()-2)</f>
        <v/>
      </c>
      <c r="M1685" s="10" t="str">
        <f aca="false">IF($A1685="","",ROW())</f>
        <v/>
      </c>
    </row>
    <row r="1686" customFormat="false" ht="15" hidden="false" customHeight="true" outlineLevel="0" collapsed="false">
      <c r="A1686" s="8"/>
      <c r="B1686" s="8"/>
      <c r="C1686" s="8"/>
      <c r="D1686" s="8"/>
      <c r="E1686" s="8"/>
      <c r="F1686" s="8"/>
      <c r="G1686" s="10" t="str">
        <f aca="false">IF($A1686="","",UPPER(SUBSTITUTE(SUBSTITUTE(SUBSTITUTE(SUBSTITUTE($A1686," ",""),"(주)",""),"주식회사",""),"㈜","")))</f>
        <v/>
      </c>
      <c r="H1686" s="10" t="str">
        <f aca="false">IF($B1686="","",SUBSTITUTE(SUBSTITUTE(SUBSTITUTE($B1686,"-","")," ",""),".",""))</f>
        <v/>
      </c>
      <c r="I1686" s="10" t="str">
        <f aca="false">IF($D1686="","",SUBSTITUTE(SUBSTITUTE(SUBSTITUTE($D1686,"-","")," ",""),".",""))</f>
        <v/>
      </c>
      <c r="J1686" s="10" t="str">
        <f aca="false">IF($E1686="","",UPPER(SUBSTITUTE($E1686," ","")))</f>
        <v/>
      </c>
      <c r="K1686" s="10" t="str">
        <f aca="false">IF($A1686="","",$G1686&amp;"|"&amp;$J1686)</f>
        <v/>
      </c>
      <c r="L1686" s="10" t="str">
        <f aca="false">IF($A1686="","",ROW()-2)</f>
        <v/>
      </c>
      <c r="M1686" s="10" t="str">
        <f aca="false">IF($A1686="","",ROW())</f>
        <v/>
      </c>
    </row>
    <row r="1687" customFormat="false" ht="15" hidden="false" customHeight="true" outlineLevel="0" collapsed="false">
      <c r="A1687" s="8"/>
      <c r="B1687" s="8"/>
      <c r="C1687" s="8"/>
      <c r="D1687" s="8"/>
      <c r="E1687" s="8"/>
      <c r="F1687" s="8"/>
      <c r="G1687" s="10" t="str">
        <f aca="false">IF($A1687="","",UPPER(SUBSTITUTE(SUBSTITUTE(SUBSTITUTE(SUBSTITUTE($A1687," ",""),"(주)",""),"주식회사",""),"㈜","")))</f>
        <v/>
      </c>
      <c r="H1687" s="10" t="str">
        <f aca="false">IF($B1687="","",SUBSTITUTE(SUBSTITUTE(SUBSTITUTE($B1687,"-","")," ",""),".",""))</f>
        <v/>
      </c>
      <c r="I1687" s="10" t="str">
        <f aca="false">IF($D1687="","",SUBSTITUTE(SUBSTITUTE(SUBSTITUTE($D1687,"-","")," ",""),".",""))</f>
        <v/>
      </c>
      <c r="J1687" s="10" t="str">
        <f aca="false">IF($E1687="","",UPPER(SUBSTITUTE($E1687," ","")))</f>
        <v/>
      </c>
      <c r="K1687" s="10" t="str">
        <f aca="false">IF($A1687="","",$G1687&amp;"|"&amp;$J1687)</f>
        <v/>
      </c>
      <c r="L1687" s="10" t="str">
        <f aca="false">IF($A1687="","",ROW()-2)</f>
        <v/>
      </c>
      <c r="M1687" s="10" t="str">
        <f aca="false">IF($A1687="","",ROW())</f>
        <v/>
      </c>
    </row>
    <row r="1688" customFormat="false" ht="15" hidden="false" customHeight="true" outlineLevel="0" collapsed="false">
      <c r="A1688" s="8"/>
      <c r="B1688" s="8"/>
      <c r="C1688" s="8"/>
      <c r="D1688" s="8"/>
      <c r="E1688" s="8"/>
      <c r="F1688" s="8"/>
      <c r="G1688" s="10" t="str">
        <f aca="false">IF($A1688="","",UPPER(SUBSTITUTE(SUBSTITUTE(SUBSTITUTE(SUBSTITUTE($A1688," ",""),"(주)",""),"주식회사",""),"㈜","")))</f>
        <v/>
      </c>
      <c r="H1688" s="10" t="str">
        <f aca="false">IF($B1688="","",SUBSTITUTE(SUBSTITUTE(SUBSTITUTE($B1688,"-","")," ",""),".",""))</f>
        <v/>
      </c>
      <c r="I1688" s="10" t="str">
        <f aca="false">IF($D1688="","",SUBSTITUTE(SUBSTITUTE(SUBSTITUTE($D1688,"-","")," ",""),".",""))</f>
        <v/>
      </c>
      <c r="J1688" s="10" t="str">
        <f aca="false">IF($E1688="","",UPPER(SUBSTITUTE($E1688," ","")))</f>
        <v/>
      </c>
      <c r="K1688" s="10" t="str">
        <f aca="false">IF($A1688="","",$G1688&amp;"|"&amp;$J1688)</f>
        <v/>
      </c>
      <c r="L1688" s="10" t="str">
        <f aca="false">IF($A1688="","",ROW()-2)</f>
        <v/>
      </c>
      <c r="M1688" s="10" t="str">
        <f aca="false">IF($A1688="","",ROW())</f>
        <v/>
      </c>
    </row>
    <row r="1689" customFormat="false" ht="15" hidden="false" customHeight="true" outlineLevel="0" collapsed="false">
      <c r="A1689" s="8"/>
      <c r="B1689" s="8"/>
      <c r="C1689" s="8"/>
      <c r="D1689" s="8"/>
      <c r="E1689" s="8"/>
      <c r="F1689" s="8"/>
      <c r="G1689" s="10" t="str">
        <f aca="false">IF($A1689="","",UPPER(SUBSTITUTE(SUBSTITUTE(SUBSTITUTE(SUBSTITUTE($A1689," ",""),"(주)",""),"주식회사",""),"㈜","")))</f>
        <v/>
      </c>
      <c r="H1689" s="10" t="str">
        <f aca="false">IF($B1689="","",SUBSTITUTE(SUBSTITUTE(SUBSTITUTE($B1689,"-","")," ",""),".",""))</f>
        <v/>
      </c>
      <c r="I1689" s="10" t="str">
        <f aca="false">IF($D1689="","",SUBSTITUTE(SUBSTITUTE(SUBSTITUTE($D1689,"-","")," ",""),".",""))</f>
        <v/>
      </c>
      <c r="J1689" s="10" t="str">
        <f aca="false">IF($E1689="","",UPPER(SUBSTITUTE($E1689," ","")))</f>
        <v/>
      </c>
      <c r="K1689" s="10" t="str">
        <f aca="false">IF($A1689="","",$G1689&amp;"|"&amp;$J1689)</f>
        <v/>
      </c>
      <c r="L1689" s="10" t="str">
        <f aca="false">IF($A1689="","",ROW()-2)</f>
        <v/>
      </c>
      <c r="M1689" s="10" t="str">
        <f aca="false">IF($A1689="","",ROW())</f>
        <v/>
      </c>
    </row>
    <row r="1690" customFormat="false" ht="15" hidden="false" customHeight="true" outlineLevel="0" collapsed="false">
      <c r="A1690" s="8"/>
      <c r="B1690" s="8"/>
      <c r="C1690" s="8"/>
      <c r="D1690" s="8"/>
      <c r="E1690" s="8"/>
      <c r="F1690" s="8"/>
      <c r="G1690" s="10" t="str">
        <f aca="false">IF($A1690="","",UPPER(SUBSTITUTE(SUBSTITUTE(SUBSTITUTE(SUBSTITUTE($A1690," ",""),"(주)",""),"주식회사",""),"㈜","")))</f>
        <v/>
      </c>
      <c r="H1690" s="10" t="str">
        <f aca="false">IF($B1690="","",SUBSTITUTE(SUBSTITUTE(SUBSTITUTE($B1690,"-","")," ",""),".",""))</f>
        <v/>
      </c>
      <c r="I1690" s="10" t="str">
        <f aca="false">IF($D1690="","",SUBSTITUTE(SUBSTITUTE(SUBSTITUTE($D1690,"-","")," ",""),".",""))</f>
        <v/>
      </c>
      <c r="J1690" s="10" t="str">
        <f aca="false">IF($E1690="","",UPPER(SUBSTITUTE($E1690," ","")))</f>
        <v/>
      </c>
      <c r="K1690" s="10" t="str">
        <f aca="false">IF($A1690="","",$G1690&amp;"|"&amp;$J1690)</f>
        <v/>
      </c>
      <c r="L1690" s="10" t="str">
        <f aca="false">IF($A1690="","",ROW()-2)</f>
        <v/>
      </c>
      <c r="M1690" s="10" t="str">
        <f aca="false">IF($A1690="","",ROW())</f>
        <v/>
      </c>
    </row>
    <row r="1691" customFormat="false" ht="15" hidden="false" customHeight="true" outlineLevel="0" collapsed="false">
      <c r="A1691" s="8"/>
      <c r="B1691" s="8"/>
      <c r="C1691" s="8"/>
      <c r="D1691" s="8"/>
      <c r="E1691" s="8"/>
      <c r="F1691" s="8"/>
      <c r="G1691" s="10" t="str">
        <f aca="false">IF($A1691="","",UPPER(SUBSTITUTE(SUBSTITUTE(SUBSTITUTE(SUBSTITUTE($A1691," ",""),"(주)",""),"주식회사",""),"㈜","")))</f>
        <v/>
      </c>
      <c r="H1691" s="10" t="str">
        <f aca="false">IF($B1691="","",SUBSTITUTE(SUBSTITUTE(SUBSTITUTE($B1691,"-","")," ",""),".",""))</f>
        <v/>
      </c>
      <c r="I1691" s="10" t="str">
        <f aca="false">IF($D1691="","",SUBSTITUTE(SUBSTITUTE(SUBSTITUTE($D1691,"-","")," ",""),".",""))</f>
        <v/>
      </c>
      <c r="J1691" s="10" t="str">
        <f aca="false">IF($E1691="","",UPPER(SUBSTITUTE($E1691," ","")))</f>
        <v/>
      </c>
      <c r="K1691" s="10" t="str">
        <f aca="false">IF($A1691="","",$G1691&amp;"|"&amp;$J1691)</f>
        <v/>
      </c>
      <c r="L1691" s="10" t="str">
        <f aca="false">IF($A1691="","",ROW()-2)</f>
        <v/>
      </c>
      <c r="M1691" s="10" t="str">
        <f aca="false">IF($A1691="","",ROW())</f>
        <v/>
      </c>
    </row>
    <row r="1692" customFormat="false" ht="15" hidden="false" customHeight="true" outlineLevel="0" collapsed="false">
      <c r="A1692" s="8"/>
      <c r="B1692" s="8"/>
      <c r="C1692" s="8"/>
      <c r="D1692" s="8"/>
      <c r="E1692" s="8"/>
      <c r="F1692" s="8"/>
      <c r="G1692" s="10" t="str">
        <f aca="false">IF($A1692="","",UPPER(SUBSTITUTE(SUBSTITUTE(SUBSTITUTE(SUBSTITUTE($A1692," ",""),"(주)",""),"주식회사",""),"㈜","")))</f>
        <v/>
      </c>
      <c r="H1692" s="10" t="str">
        <f aca="false">IF($B1692="","",SUBSTITUTE(SUBSTITUTE(SUBSTITUTE($B1692,"-","")," ",""),".",""))</f>
        <v/>
      </c>
      <c r="I1692" s="10" t="str">
        <f aca="false">IF($D1692="","",SUBSTITUTE(SUBSTITUTE(SUBSTITUTE($D1692,"-","")," ",""),".",""))</f>
        <v/>
      </c>
      <c r="J1692" s="10" t="str">
        <f aca="false">IF($E1692="","",UPPER(SUBSTITUTE($E1692," ","")))</f>
        <v/>
      </c>
      <c r="K1692" s="10" t="str">
        <f aca="false">IF($A1692="","",$G1692&amp;"|"&amp;$J1692)</f>
        <v/>
      </c>
      <c r="L1692" s="10" t="str">
        <f aca="false">IF($A1692="","",ROW()-2)</f>
        <v/>
      </c>
      <c r="M1692" s="10" t="str">
        <f aca="false">IF($A1692="","",ROW())</f>
        <v/>
      </c>
    </row>
    <row r="1693" customFormat="false" ht="15" hidden="false" customHeight="true" outlineLevel="0" collapsed="false">
      <c r="A1693" s="8"/>
      <c r="B1693" s="8"/>
      <c r="C1693" s="8"/>
      <c r="D1693" s="8"/>
      <c r="E1693" s="8"/>
      <c r="F1693" s="8"/>
      <c r="G1693" s="10" t="str">
        <f aca="false">IF($A1693="","",UPPER(SUBSTITUTE(SUBSTITUTE(SUBSTITUTE(SUBSTITUTE($A1693," ",""),"(주)",""),"주식회사",""),"㈜","")))</f>
        <v/>
      </c>
      <c r="H1693" s="10" t="str">
        <f aca="false">IF($B1693="","",SUBSTITUTE(SUBSTITUTE(SUBSTITUTE($B1693,"-","")," ",""),".",""))</f>
        <v/>
      </c>
      <c r="I1693" s="10" t="str">
        <f aca="false">IF($D1693="","",SUBSTITUTE(SUBSTITUTE(SUBSTITUTE($D1693,"-","")," ",""),".",""))</f>
        <v/>
      </c>
      <c r="J1693" s="10" t="str">
        <f aca="false">IF($E1693="","",UPPER(SUBSTITUTE($E1693," ","")))</f>
        <v/>
      </c>
      <c r="K1693" s="10" t="str">
        <f aca="false">IF($A1693="","",$G1693&amp;"|"&amp;$J1693)</f>
        <v/>
      </c>
      <c r="L1693" s="10" t="str">
        <f aca="false">IF($A1693="","",ROW()-2)</f>
        <v/>
      </c>
      <c r="M1693" s="10" t="str">
        <f aca="false">IF($A1693="","",ROW())</f>
        <v/>
      </c>
    </row>
    <row r="1694" customFormat="false" ht="15" hidden="false" customHeight="true" outlineLevel="0" collapsed="false">
      <c r="A1694" s="8"/>
      <c r="B1694" s="8"/>
      <c r="C1694" s="8"/>
      <c r="D1694" s="8"/>
      <c r="E1694" s="8"/>
      <c r="F1694" s="8"/>
      <c r="G1694" s="10" t="str">
        <f aca="false">IF($A1694="","",UPPER(SUBSTITUTE(SUBSTITUTE(SUBSTITUTE(SUBSTITUTE($A1694," ",""),"(주)",""),"주식회사",""),"㈜","")))</f>
        <v/>
      </c>
      <c r="H1694" s="10" t="str">
        <f aca="false">IF($B1694="","",SUBSTITUTE(SUBSTITUTE(SUBSTITUTE($B1694,"-","")," ",""),".",""))</f>
        <v/>
      </c>
      <c r="I1694" s="10" t="str">
        <f aca="false">IF($D1694="","",SUBSTITUTE(SUBSTITUTE(SUBSTITUTE($D1694,"-","")," ",""),".",""))</f>
        <v/>
      </c>
      <c r="J1694" s="10" t="str">
        <f aca="false">IF($E1694="","",UPPER(SUBSTITUTE($E1694," ","")))</f>
        <v/>
      </c>
      <c r="K1694" s="10" t="str">
        <f aca="false">IF($A1694="","",$G1694&amp;"|"&amp;$J1694)</f>
        <v/>
      </c>
      <c r="L1694" s="10" t="str">
        <f aca="false">IF($A1694="","",ROW()-2)</f>
        <v/>
      </c>
      <c r="M1694" s="10" t="str">
        <f aca="false">IF($A1694="","",ROW())</f>
        <v/>
      </c>
    </row>
    <row r="1695" customFormat="false" ht="15" hidden="false" customHeight="true" outlineLevel="0" collapsed="false">
      <c r="A1695" s="8"/>
      <c r="B1695" s="8"/>
      <c r="C1695" s="8"/>
      <c r="D1695" s="8"/>
      <c r="E1695" s="8"/>
      <c r="F1695" s="8"/>
      <c r="G1695" s="10" t="str">
        <f aca="false">IF($A1695="","",UPPER(SUBSTITUTE(SUBSTITUTE(SUBSTITUTE(SUBSTITUTE($A1695," ",""),"(주)",""),"주식회사",""),"㈜","")))</f>
        <v/>
      </c>
      <c r="H1695" s="10" t="str">
        <f aca="false">IF($B1695="","",SUBSTITUTE(SUBSTITUTE(SUBSTITUTE($B1695,"-","")," ",""),".",""))</f>
        <v/>
      </c>
      <c r="I1695" s="10" t="str">
        <f aca="false">IF($D1695="","",SUBSTITUTE(SUBSTITUTE(SUBSTITUTE($D1695,"-","")," ",""),".",""))</f>
        <v/>
      </c>
      <c r="J1695" s="10" t="str">
        <f aca="false">IF($E1695="","",UPPER(SUBSTITUTE($E1695," ","")))</f>
        <v/>
      </c>
      <c r="K1695" s="10" t="str">
        <f aca="false">IF($A1695="","",$G1695&amp;"|"&amp;$J1695)</f>
        <v/>
      </c>
      <c r="L1695" s="10" t="str">
        <f aca="false">IF($A1695="","",ROW()-2)</f>
        <v/>
      </c>
      <c r="M1695" s="10" t="str">
        <f aca="false">IF($A1695="","",ROW())</f>
        <v/>
      </c>
    </row>
    <row r="1696" customFormat="false" ht="15" hidden="false" customHeight="true" outlineLevel="0" collapsed="false">
      <c r="A1696" s="8"/>
      <c r="B1696" s="8"/>
      <c r="C1696" s="8"/>
      <c r="D1696" s="8"/>
      <c r="E1696" s="8"/>
      <c r="F1696" s="8"/>
      <c r="G1696" s="10" t="str">
        <f aca="false">IF($A1696="","",UPPER(SUBSTITUTE(SUBSTITUTE(SUBSTITUTE(SUBSTITUTE($A1696," ",""),"(주)",""),"주식회사",""),"㈜","")))</f>
        <v/>
      </c>
      <c r="H1696" s="10" t="str">
        <f aca="false">IF($B1696="","",SUBSTITUTE(SUBSTITUTE(SUBSTITUTE($B1696,"-","")," ",""),".",""))</f>
        <v/>
      </c>
      <c r="I1696" s="10" t="str">
        <f aca="false">IF($D1696="","",SUBSTITUTE(SUBSTITUTE(SUBSTITUTE($D1696,"-","")," ",""),".",""))</f>
        <v/>
      </c>
      <c r="J1696" s="10" t="str">
        <f aca="false">IF($E1696="","",UPPER(SUBSTITUTE($E1696," ","")))</f>
        <v/>
      </c>
      <c r="K1696" s="10" t="str">
        <f aca="false">IF($A1696="","",$G1696&amp;"|"&amp;$J1696)</f>
        <v/>
      </c>
      <c r="L1696" s="10" t="str">
        <f aca="false">IF($A1696="","",ROW()-2)</f>
        <v/>
      </c>
      <c r="M1696" s="10" t="str">
        <f aca="false">IF($A1696="","",ROW())</f>
        <v/>
      </c>
    </row>
    <row r="1697" customFormat="false" ht="15" hidden="false" customHeight="true" outlineLevel="0" collapsed="false">
      <c r="A1697" s="8"/>
      <c r="B1697" s="8"/>
      <c r="C1697" s="8"/>
      <c r="D1697" s="8"/>
      <c r="E1697" s="8"/>
      <c r="F1697" s="8"/>
      <c r="G1697" s="10" t="str">
        <f aca="false">IF($A1697="","",UPPER(SUBSTITUTE(SUBSTITUTE(SUBSTITUTE(SUBSTITUTE($A1697," ",""),"(주)",""),"주식회사",""),"㈜","")))</f>
        <v/>
      </c>
      <c r="H1697" s="10" t="str">
        <f aca="false">IF($B1697="","",SUBSTITUTE(SUBSTITUTE(SUBSTITUTE($B1697,"-","")," ",""),".",""))</f>
        <v/>
      </c>
      <c r="I1697" s="10" t="str">
        <f aca="false">IF($D1697="","",SUBSTITUTE(SUBSTITUTE(SUBSTITUTE($D1697,"-","")," ",""),".",""))</f>
        <v/>
      </c>
      <c r="J1697" s="10" t="str">
        <f aca="false">IF($E1697="","",UPPER(SUBSTITUTE($E1697," ","")))</f>
        <v/>
      </c>
      <c r="K1697" s="10" t="str">
        <f aca="false">IF($A1697="","",$G1697&amp;"|"&amp;$J1697)</f>
        <v/>
      </c>
      <c r="L1697" s="10" t="str">
        <f aca="false">IF($A1697="","",ROW()-2)</f>
        <v/>
      </c>
      <c r="M1697" s="10" t="str">
        <f aca="false">IF($A1697="","",ROW())</f>
        <v/>
      </c>
    </row>
    <row r="1698" customFormat="false" ht="15" hidden="false" customHeight="true" outlineLevel="0" collapsed="false">
      <c r="A1698" s="8"/>
      <c r="B1698" s="8"/>
      <c r="C1698" s="8"/>
      <c r="D1698" s="8"/>
      <c r="E1698" s="8"/>
      <c r="F1698" s="8"/>
      <c r="G1698" s="10" t="str">
        <f aca="false">IF($A1698="","",UPPER(SUBSTITUTE(SUBSTITUTE(SUBSTITUTE(SUBSTITUTE($A1698," ",""),"(주)",""),"주식회사",""),"㈜","")))</f>
        <v/>
      </c>
      <c r="H1698" s="10" t="str">
        <f aca="false">IF($B1698="","",SUBSTITUTE(SUBSTITUTE(SUBSTITUTE($B1698,"-","")," ",""),".",""))</f>
        <v/>
      </c>
      <c r="I1698" s="10" t="str">
        <f aca="false">IF($D1698="","",SUBSTITUTE(SUBSTITUTE(SUBSTITUTE($D1698,"-","")," ",""),".",""))</f>
        <v/>
      </c>
      <c r="J1698" s="10" t="str">
        <f aca="false">IF($E1698="","",UPPER(SUBSTITUTE($E1698," ","")))</f>
        <v/>
      </c>
      <c r="K1698" s="10" t="str">
        <f aca="false">IF($A1698="","",$G1698&amp;"|"&amp;$J1698)</f>
        <v/>
      </c>
      <c r="L1698" s="10" t="str">
        <f aca="false">IF($A1698="","",ROW()-2)</f>
        <v/>
      </c>
      <c r="M1698" s="10" t="str">
        <f aca="false">IF($A1698="","",ROW())</f>
        <v/>
      </c>
    </row>
    <row r="1699" customFormat="false" ht="15" hidden="false" customHeight="true" outlineLevel="0" collapsed="false">
      <c r="A1699" s="8"/>
      <c r="B1699" s="8"/>
      <c r="C1699" s="8"/>
      <c r="D1699" s="8"/>
      <c r="E1699" s="8"/>
      <c r="F1699" s="8"/>
      <c r="G1699" s="10" t="str">
        <f aca="false">IF($A1699="","",UPPER(SUBSTITUTE(SUBSTITUTE(SUBSTITUTE(SUBSTITUTE($A1699," ",""),"(주)",""),"주식회사",""),"㈜","")))</f>
        <v/>
      </c>
      <c r="H1699" s="10" t="str">
        <f aca="false">IF($B1699="","",SUBSTITUTE(SUBSTITUTE(SUBSTITUTE($B1699,"-","")," ",""),".",""))</f>
        <v/>
      </c>
      <c r="I1699" s="10" t="str">
        <f aca="false">IF($D1699="","",SUBSTITUTE(SUBSTITUTE(SUBSTITUTE($D1699,"-","")," ",""),".",""))</f>
        <v/>
      </c>
      <c r="J1699" s="10" t="str">
        <f aca="false">IF($E1699="","",UPPER(SUBSTITUTE($E1699," ","")))</f>
        <v/>
      </c>
      <c r="K1699" s="10" t="str">
        <f aca="false">IF($A1699="","",$G1699&amp;"|"&amp;$J1699)</f>
        <v/>
      </c>
      <c r="L1699" s="10" t="str">
        <f aca="false">IF($A1699="","",ROW()-2)</f>
        <v/>
      </c>
      <c r="M1699" s="10" t="str">
        <f aca="false">IF($A1699="","",ROW())</f>
        <v/>
      </c>
    </row>
    <row r="1700" customFormat="false" ht="15" hidden="false" customHeight="true" outlineLevel="0" collapsed="false">
      <c r="A1700" s="8"/>
      <c r="B1700" s="8"/>
      <c r="C1700" s="8"/>
      <c r="D1700" s="8"/>
      <c r="E1700" s="8"/>
      <c r="F1700" s="8"/>
      <c r="G1700" s="10" t="str">
        <f aca="false">IF($A1700="","",UPPER(SUBSTITUTE(SUBSTITUTE(SUBSTITUTE(SUBSTITUTE($A1700," ",""),"(주)",""),"주식회사",""),"㈜","")))</f>
        <v/>
      </c>
      <c r="H1700" s="10" t="str">
        <f aca="false">IF($B1700="","",SUBSTITUTE(SUBSTITUTE(SUBSTITUTE($B1700,"-","")," ",""),".",""))</f>
        <v/>
      </c>
      <c r="I1700" s="10" t="str">
        <f aca="false">IF($D1700="","",SUBSTITUTE(SUBSTITUTE(SUBSTITUTE($D1700,"-","")," ",""),".",""))</f>
        <v/>
      </c>
      <c r="J1700" s="10" t="str">
        <f aca="false">IF($E1700="","",UPPER(SUBSTITUTE($E1700," ","")))</f>
        <v/>
      </c>
      <c r="K1700" s="10" t="str">
        <f aca="false">IF($A1700="","",$G1700&amp;"|"&amp;$J1700)</f>
        <v/>
      </c>
      <c r="L1700" s="10" t="str">
        <f aca="false">IF($A1700="","",ROW()-2)</f>
        <v/>
      </c>
      <c r="M1700" s="10" t="str">
        <f aca="false">IF($A1700="","",ROW())</f>
        <v/>
      </c>
    </row>
    <row r="1701" customFormat="false" ht="15" hidden="false" customHeight="true" outlineLevel="0" collapsed="false">
      <c r="A1701" s="8"/>
      <c r="B1701" s="8"/>
      <c r="C1701" s="8"/>
      <c r="D1701" s="8"/>
      <c r="E1701" s="8"/>
      <c r="F1701" s="8"/>
      <c r="G1701" s="10" t="str">
        <f aca="false">IF($A1701="","",UPPER(SUBSTITUTE(SUBSTITUTE(SUBSTITUTE(SUBSTITUTE($A1701," ",""),"(주)",""),"주식회사",""),"㈜","")))</f>
        <v/>
      </c>
      <c r="H1701" s="10" t="str">
        <f aca="false">IF($B1701="","",SUBSTITUTE(SUBSTITUTE(SUBSTITUTE($B1701,"-","")," ",""),".",""))</f>
        <v/>
      </c>
      <c r="I1701" s="10" t="str">
        <f aca="false">IF($D1701="","",SUBSTITUTE(SUBSTITUTE(SUBSTITUTE($D1701,"-","")," ",""),".",""))</f>
        <v/>
      </c>
      <c r="J1701" s="10" t="str">
        <f aca="false">IF($E1701="","",UPPER(SUBSTITUTE($E1701," ","")))</f>
        <v/>
      </c>
      <c r="K1701" s="10" t="str">
        <f aca="false">IF($A1701="","",$G1701&amp;"|"&amp;$J1701)</f>
        <v/>
      </c>
      <c r="L1701" s="10" t="str">
        <f aca="false">IF($A1701="","",ROW()-2)</f>
        <v/>
      </c>
      <c r="M1701" s="10" t="str">
        <f aca="false">IF($A1701="","",ROW())</f>
        <v/>
      </c>
    </row>
    <row r="1702" customFormat="false" ht="15" hidden="false" customHeight="true" outlineLevel="0" collapsed="false">
      <c r="A1702" s="8"/>
      <c r="B1702" s="8"/>
      <c r="C1702" s="8"/>
      <c r="D1702" s="8"/>
      <c r="E1702" s="8"/>
      <c r="F1702" s="8"/>
      <c r="G1702" s="10" t="str">
        <f aca="false">IF($A1702="","",UPPER(SUBSTITUTE(SUBSTITUTE(SUBSTITUTE(SUBSTITUTE($A1702," ",""),"(주)",""),"주식회사",""),"㈜","")))</f>
        <v/>
      </c>
      <c r="H1702" s="10" t="str">
        <f aca="false">IF($B1702="","",SUBSTITUTE(SUBSTITUTE(SUBSTITUTE($B1702,"-","")," ",""),".",""))</f>
        <v/>
      </c>
      <c r="I1702" s="10" t="str">
        <f aca="false">IF($D1702="","",SUBSTITUTE(SUBSTITUTE(SUBSTITUTE($D1702,"-","")," ",""),".",""))</f>
        <v/>
      </c>
      <c r="J1702" s="10" t="str">
        <f aca="false">IF($E1702="","",UPPER(SUBSTITUTE($E1702," ","")))</f>
        <v/>
      </c>
      <c r="K1702" s="10" t="str">
        <f aca="false">IF($A1702="","",$G1702&amp;"|"&amp;$J1702)</f>
        <v/>
      </c>
      <c r="L1702" s="10" t="str">
        <f aca="false">IF($A1702="","",ROW()-2)</f>
        <v/>
      </c>
      <c r="M1702" s="10" t="str">
        <f aca="false">IF($A1702="","",ROW())</f>
        <v/>
      </c>
    </row>
    <row r="1703" customFormat="false" ht="15" hidden="false" customHeight="true" outlineLevel="0" collapsed="false">
      <c r="A1703" s="8"/>
      <c r="B1703" s="8"/>
      <c r="C1703" s="8"/>
      <c r="D1703" s="8"/>
      <c r="E1703" s="8"/>
      <c r="F1703" s="8"/>
      <c r="G1703" s="10" t="str">
        <f aca="false">IF($A1703="","",UPPER(SUBSTITUTE(SUBSTITUTE(SUBSTITUTE(SUBSTITUTE($A1703," ",""),"(주)",""),"주식회사",""),"㈜","")))</f>
        <v/>
      </c>
      <c r="H1703" s="10" t="str">
        <f aca="false">IF($B1703="","",SUBSTITUTE(SUBSTITUTE(SUBSTITUTE($B1703,"-","")," ",""),".",""))</f>
        <v/>
      </c>
      <c r="I1703" s="10" t="str">
        <f aca="false">IF($D1703="","",SUBSTITUTE(SUBSTITUTE(SUBSTITUTE($D1703,"-","")," ",""),".",""))</f>
        <v/>
      </c>
      <c r="J1703" s="10" t="str">
        <f aca="false">IF($E1703="","",UPPER(SUBSTITUTE($E1703," ","")))</f>
        <v/>
      </c>
      <c r="K1703" s="10" t="str">
        <f aca="false">IF($A1703="","",$G1703&amp;"|"&amp;$J1703)</f>
        <v/>
      </c>
      <c r="L1703" s="10" t="str">
        <f aca="false">IF($A1703="","",ROW()-2)</f>
        <v/>
      </c>
      <c r="M1703" s="10" t="str">
        <f aca="false">IF($A1703="","",ROW())</f>
        <v/>
      </c>
    </row>
    <row r="1704" customFormat="false" ht="15" hidden="false" customHeight="true" outlineLevel="0" collapsed="false">
      <c r="A1704" s="8"/>
      <c r="B1704" s="8"/>
      <c r="C1704" s="8"/>
      <c r="D1704" s="8"/>
      <c r="E1704" s="8"/>
      <c r="F1704" s="8"/>
      <c r="G1704" s="10" t="str">
        <f aca="false">IF($A1704="","",UPPER(SUBSTITUTE(SUBSTITUTE(SUBSTITUTE(SUBSTITUTE($A1704," ",""),"(주)",""),"주식회사",""),"㈜","")))</f>
        <v/>
      </c>
      <c r="H1704" s="10" t="str">
        <f aca="false">IF($B1704="","",SUBSTITUTE(SUBSTITUTE(SUBSTITUTE($B1704,"-","")," ",""),".",""))</f>
        <v/>
      </c>
      <c r="I1704" s="10" t="str">
        <f aca="false">IF($D1704="","",SUBSTITUTE(SUBSTITUTE(SUBSTITUTE($D1704,"-","")," ",""),".",""))</f>
        <v/>
      </c>
      <c r="J1704" s="10" t="str">
        <f aca="false">IF($E1704="","",UPPER(SUBSTITUTE($E1704," ","")))</f>
        <v/>
      </c>
      <c r="K1704" s="10" t="str">
        <f aca="false">IF($A1704="","",$G1704&amp;"|"&amp;$J1704)</f>
        <v/>
      </c>
      <c r="L1704" s="10" t="str">
        <f aca="false">IF($A1704="","",ROW()-2)</f>
        <v/>
      </c>
      <c r="M1704" s="10" t="str">
        <f aca="false">IF($A1704="","",ROW())</f>
        <v/>
      </c>
    </row>
    <row r="1705" customFormat="false" ht="15" hidden="false" customHeight="true" outlineLevel="0" collapsed="false">
      <c r="A1705" s="8"/>
      <c r="B1705" s="8"/>
      <c r="C1705" s="8"/>
      <c r="D1705" s="8"/>
      <c r="E1705" s="8"/>
      <c r="F1705" s="8"/>
      <c r="G1705" s="10" t="str">
        <f aca="false">IF($A1705="","",UPPER(SUBSTITUTE(SUBSTITUTE(SUBSTITUTE(SUBSTITUTE($A1705," ",""),"(주)",""),"주식회사",""),"㈜","")))</f>
        <v/>
      </c>
      <c r="H1705" s="10" t="str">
        <f aca="false">IF($B1705="","",SUBSTITUTE(SUBSTITUTE(SUBSTITUTE($B1705,"-","")," ",""),".",""))</f>
        <v/>
      </c>
      <c r="I1705" s="10" t="str">
        <f aca="false">IF($D1705="","",SUBSTITUTE(SUBSTITUTE(SUBSTITUTE($D1705,"-","")," ",""),".",""))</f>
        <v/>
      </c>
      <c r="J1705" s="10" t="str">
        <f aca="false">IF($E1705="","",UPPER(SUBSTITUTE($E1705," ","")))</f>
        <v/>
      </c>
      <c r="K1705" s="10" t="str">
        <f aca="false">IF($A1705="","",$G1705&amp;"|"&amp;$J1705)</f>
        <v/>
      </c>
      <c r="L1705" s="10" t="str">
        <f aca="false">IF($A1705="","",ROW()-2)</f>
        <v/>
      </c>
      <c r="M1705" s="10" t="str">
        <f aca="false">IF($A1705="","",ROW())</f>
        <v/>
      </c>
    </row>
    <row r="1706" customFormat="false" ht="15" hidden="false" customHeight="true" outlineLevel="0" collapsed="false">
      <c r="A1706" s="8"/>
      <c r="B1706" s="8"/>
      <c r="C1706" s="8"/>
      <c r="D1706" s="8"/>
      <c r="E1706" s="8"/>
      <c r="F1706" s="8"/>
      <c r="G1706" s="10" t="str">
        <f aca="false">IF($A1706="","",UPPER(SUBSTITUTE(SUBSTITUTE(SUBSTITUTE(SUBSTITUTE($A1706," ",""),"(주)",""),"주식회사",""),"㈜","")))</f>
        <v/>
      </c>
      <c r="H1706" s="10" t="str">
        <f aca="false">IF($B1706="","",SUBSTITUTE(SUBSTITUTE(SUBSTITUTE($B1706,"-","")," ",""),".",""))</f>
        <v/>
      </c>
      <c r="I1706" s="10" t="str">
        <f aca="false">IF($D1706="","",SUBSTITUTE(SUBSTITUTE(SUBSTITUTE($D1706,"-","")," ",""),".",""))</f>
        <v/>
      </c>
      <c r="J1706" s="10" t="str">
        <f aca="false">IF($E1706="","",UPPER(SUBSTITUTE($E1706," ","")))</f>
        <v/>
      </c>
      <c r="K1706" s="10" t="str">
        <f aca="false">IF($A1706="","",$G1706&amp;"|"&amp;$J1706)</f>
        <v/>
      </c>
      <c r="L1706" s="10" t="str">
        <f aca="false">IF($A1706="","",ROW()-2)</f>
        <v/>
      </c>
      <c r="M1706" s="10" t="str">
        <f aca="false">IF($A1706="","",ROW())</f>
        <v/>
      </c>
    </row>
    <row r="1707" customFormat="false" ht="15" hidden="false" customHeight="true" outlineLevel="0" collapsed="false">
      <c r="A1707" s="8"/>
      <c r="B1707" s="8"/>
      <c r="C1707" s="8"/>
      <c r="D1707" s="8"/>
      <c r="E1707" s="8"/>
      <c r="F1707" s="8"/>
      <c r="G1707" s="10" t="str">
        <f aca="false">IF($A1707="","",UPPER(SUBSTITUTE(SUBSTITUTE(SUBSTITUTE(SUBSTITUTE($A1707," ",""),"(주)",""),"주식회사",""),"㈜","")))</f>
        <v/>
      </c>
      <c r="H1707" s="10" t="str">
        <f aca="false">IF($B1707="","",SUBSTITUTE(SUBSTITUTE(SUBSTITUTE($B1707,"-","")," ",""),".",""))</f>
        <v/>
      </c>
      <c r="I1707" s="10" t="str">
        <f aca="false">IF($D1707="","",SUBSTITUTE(SUBSTITUTE(SUBSTITUTE($D1707,"-","")," ",""),".",""))</f>
        <v/>
      </c>
      <c r="J1707" s="10" t="str">
        <f aca="false">IF($E1707="","",UPPER(SUBSTITUTE($E1707," ","")))</f>
        <v/>
      </c>
      <c r="K1707" s="10" t="str">
        <f aca="false">IF($A1707="","",$G1707&amp;"|"&amp;$J1707)</f>
        <v/>
      </c>
      <c r="L1707" s="10" t="str">
        <f aca="false">IF($A1707="","",ROW()-2)</f>
        <v/>
      </c>
      <c r="M1707" s="10" t="str">
        <f aca="false">IF($A1707="","",ROW())</f>
        <v/>
      </c>
    </row>
    <row r="1708" customFormat="false" ht="15" hidden="false" customHeight="true" outlineLevel="0" collapsed="false">
      <c r="A1708" s="8"/>
      <c r="B1708" s="8"/>
      <c r="C1708" s="8"/>
      <c r="D1708" s="8"/>
      <c r="E1708" s="8"/>
      <c r="F1708" s="8"/>
      <c r="G1708" s="10" t="str">
        <f aca="false">IF($A1708="","",UPPER(SUBSTITUTE(SUBSTITUTE(SUBSTITUTE(SUBSTITUTE($A1708," ",""),"(주)",""),"주식회사",""),"㈜","")))</f>
        <v/>
      </c>
      <c r="H1708" s="10" t="str">
        <f aca="false">IF($B1708="","",SUBSTITUTE(SUBSTITUTE(SUBSTITUTE($B1708,"-","")," ",""),".",""))</f>
        <v/>
      </c>
      <c r="I1708" s="10" t="str">
        <f aca="false">IF($D1708="","",SUBSTITUTE(SUBSTITUTE(SUBSTITUTE($D1708,"-","")," ",""),".",""))</f>
        <v/>
      </c>
      <c r="J1708" s="10" t="str">
        <f aca="false">IF($E1708="","",UPPER(SUBSTITUTE($E1708," ","")))</f>
        <v/>
      </c>
      <c r="K1708" s="10" t="str">
        <f aca="false">IF($A1708="","",$G1708&amp;"|"&amp;$J1708)</f>
        <v/>
      </c>
      <c r="L1708" s="10" t="str">
        <f aca="false">IF($A1708="","",ROW()-2)</f>
        <v/>
      </c>
      <c r="M1708" s="10" t="str">
        <f aca="false">IF($A1708="","",ROW())</f>
        <v/>
      </c>
    </row>
    <row r="1709" customFormat="false" ht="15" hidden="false" customHeight="true" outlineLevel="0" collapsed="false">
      <c r="A1709" s="8"/>
      <c r="B1709" s="8"/>
      <c r="C1709" s="8"/>
      <c r="D1709" s="8"/>
      <c r="E1709" s="8"/>
      <c r="F1709" s="8"/>
      <c r="G1709" s="10" t="str">
        <f aca="false">IF($A1709="","",UPPER(SUBSTITUTE(SUBSTITUTE(SUBSTITUTE(SUBSTITUTE($A1709," ",""),"(주)",""),"주식회사",""),"㈜","")))</f>
        <v/>
      </c>
      <c r="H1709" s="10" t="str">
        <f aca="false">IF($B1709="","",SUBSTITUTE(SUBSTITUTE(SUBSTITUTE($B1709,"-","")," ",""),".",""))</f>
        <v/>
      </c>
      <c r="I1709" s="10" t="str">
        <f aca="false">IF($D1709="","",SUBSTITUTE(SUBSTITUTE(SUBSTITUTE($D1709,"-","")," ",""),".",""))</f>
        <v/>
      </c>
      <c r="J1709" s="10" t="str">
        <f aca="false">IF($E1709="","",UPPER(SUBSTITUTE($E1709," ","")))</f>
        <v/>
      </c>
      <c r="K1709" s="10" t="str">
        <f aca="false">IF($A1709="","",$G1709&amp;"|"&amp;$J1709)</f>
        <v/>
      </c>
      <c r="L1709" s="10" t="str">
        <f aca="false">IF($A1709="","",ROW()-2)</f>
        <v/>
      </c>
      <c r="M1709" s="10" t="str">
        <f aca="false">IF($A1709="","",ROW())</f>
        <v/>
      </c>
    </row>
    <row r="1710" customFormat="false" ht="15" hidden="false" customHeight="true" outlineLevel="0" collapsed="false">
      <c r="A1710" s="8"/>
      <c r="B1710" s="8"/>
      <c r="C1710" s="8"/>
      <c r="D1710" s="8"/>
      <c r="E1710" s="8"/>
      <c r="F1710" s="8"/>
      <c r="G1710" s="10" t="str">
        <f aca="false">IF($A1710="","",UPPER(SUBSTITUTE(SUBSTITUTE(SUBSTITUTE(SUBSTITUTE($A1710," ",""),"(주)",""),"주식회사",""),"㈜","")))</f>
        <v/>
      </c>
      <c r="H1710" s="10" t="str">
        <f aca="false">IF($B1710="","",SUBSTITUTE(SUBSTITUTE(SUBSTITUTE($B1710,"-","")," ",""),".",""))</f>
        <v/>
      </c>
      <c r="I1710" s="10" t="str">
        <f aca="false">IF($D1710="","",SUBSTITUTE(SUBSTITUTE(SUBSTITUTE($D1710,"-","")," ",""),".",""))</f>
        <v/>
      </c>
      <c r="J1710" s="10" t="str">
        <f aca="false">IF($E1710="","",UPPER(SUBSTITUTE($E1710," ","")))</f>
        <v/>
      </c>
      <c r="K1710" s="10" t="str">
        <f aca="false">IF($A1710="","",$G1710&amp;"|"&amp;$J1710)</f>
        <v/>
      </c>
      <c r="L1710" s="10" t="str">
        <f aca="false">IF($A1710="","",ROW()-2)</f>
        <v/>
      </c>
      <c r="M1710" s="10" t="str">
        <f aca="false">IF($A1710="","",ROW())</f>
        <v/>
      </c>
    </row>
    <row r="1711" customFormat="false" ht="15" hidden="false" customHeight="true" outlineLevel="0" collapsed="false">
      <c r="A1711" s="8"/>
      <c r="B1711" s="8"/>
      <c r="C1711" s="8"/>
      <c r="D1711" s="8"/>
      <c r="E1711" s="8"/>
      <c r="F1711" s="8"/>
      <c r="G1711" s="10" t="str">
        <f aca="false">IF($A1711="","",UPPER(SUBSTITUTE(SUBSTITUTE(SUBSTITUTE(SUBSTITUTE($A1711," ",""),"(주)",""),"주식회사",""),"㈜","")))</f>
        <v/>
      </c>
      <c r="H1711" s="10" t="str">
        <f aca="false">IF($B1711="","",SUBSTITUTE(SUBSTITUTE(SUBSTITUTE($B1711,"-","")," ",""),".",""))</f>
        <v/>
      </c>
      <c r="I1711" s="10" t="str">
        <f aca="false">IF($D1711="","",SUBSTITUTE(SUBSTITUTE(SUBSTITUTE($D1711,"-","")," ",""),".",""))</f>
        <v/>
      </c>
      <c r="J1711" s="10" t="str">
        <f aca="false">IF($E1711="","",UPPER(SUBSTITUTE($E1711," ","")))</f>
        <v/>
      </c>
      <c r="K1711" s="10" t="str">
        <f aca="false">IF($A1711="","",$G1711&amp;"|"&amp;$J1711)</f>
        <v/>
      </c>
      <c r="L1711" s="10" t="str">
        <f aca="false">IF($A1711="","",ROW()-2)</f>
        <v/>
      </c>
      <c r="M1711" s="10" t="str">
        <f aca="false">IF($A1711="","",ROW())</f>
        <v/>
      </c>
    </row>
    <row r="1712" customFormat="false" ht="15" hidden="false" customHeight="true" outlineLevel="0" collapsed="false">
      <c r="A1712" s="8"/>
      <c r="B1712" s="8"/>
      <c r="C1712" s="8"/>
      <c r="D1712" s="8"/>
      <c r="E1712" s="8"/>
      <c r="F1712" s="8"/>
      <c r="G1712" s="10" t="str">
        <f aca="false">IF($A1712="","",UPPER(SUBSTITUTE(SUBSTITUTE(SUBSTITUTE(SUBSTITUTE($A1712," ",""),"(주)",""),"주식회사",""),"㈜","")))</f>
        <v/>
      </c>
      <c r="H1712" s="10" t="str">
        <f aca="false">IF($B1712="","",SUBSTITUTE(SUBSTITUTE(SUBSTITUTE($B1712,"-","")," ",""),".",""))</f>
        <v/>
      </c>
      <c r="I1712" s="10" t="str">
        <f aca="false">IF($D1712="","",SUBSTITUTE(SUBSTITUTE(SUBSTITUTE($D1712,"-","")," ",""),".",""))</f>
        <v/>
      </c>
      <c r="J1712" s="10" t="str">
        <f aca="false">IF($E1712="","",UPPER(SUBSTITUTE($E1712," ","")))</f>
        <v/>
      </c>
      <c r="K1712" s="10" t="str">
        <f aca="false">IF($A1712="","",$G1712&amp;"|"&amp;$J1712)</f>
        <v/>
      </c>
      <c r="L1712" s="10" t="str">
        <f aca="false">IF($A1712="","",ROW()-2)</f>
        <v/>
      </c>
      <c r="M1712" s="10" t="str">
        <f aca="false">IF($A1712="","",ROW())</f>
        <v/>
      </c>
    </row>
    <row r="1713" customFormat="false" ht="15" hidden="false" customHeight="true" outlineLevel="0" collapsed="false">
      <c r="A1713" s="8"/>
      <c r="B1713" s="8"/>
      <c r="C1713" s="8"/>
      <c r="D1713" s="8"/>
      <c r="E1713" s="8"/>
      <c r="F1713" s="8"/>
      <c r="G1713" s="10" t="str">
        <f aca="false">IF($A1713="","",UPPER(SUBSTITUTE(SUBSTITUTE(SUBSTITUTE(SUBSTITUTE($A1713," ",""),"(주)",""),"주식회사",""),"㈜","")))</f>
        <v/>
      </c>
      <c r="H1713" s="10" t="str">
        <f aca="false">IF($B1713="","",SUBSTITUTE(SUBSTITUTE(SUBSTITUTE($B1713,"-","")," ",""),".",""))</f>
        <v/>
      </c>
      <c r="I1713" s="10" t="str">
        <f aca="false">IF($D1713="","",SUBSTITUTE(SUBSTITUTE(SUBSTITUTE($D1713,"-","")," ",""),".",""))</f>
        <v/>
      </c>
      <c r="J1713" s="10" t="str">
        <f aca="false">IF($E1713="","",UPPER(SUBSTITUTE($E1713," ","")))</f>
        <v/>
      </c>
      <c r="K1713" s="10" t="str">
        <f aca="false">IF($A1713="","",$G1713&amp;"|"&amp;$J1713)</f>
        <v/>
      </c>
      <c r="L1713" s="10" t="str">
        <f aca="false">IF($A1713="","",ROW()-2)</f>
        <v/>
      </c>
      <c r="M1713" s="10" t="str">
        <f aca="false">IF($A1713="","",ROW())</f>
        <v/>
      </c>
    </row>
    <row r="1714" customFormat="false" ht="15" hidden="false" customHeight="true" outlineLevel="0" collapsed="false">
      <c r="A1714" s="8"/>
      <c r="B1714" s="8"/>
      <c r="C1714" s="8"/>
      <c r="D1714" s="8"/>
      <c r="E1714" s="8"/>
      <c r="F1714" s="8"/>
      <c r="G1714" s="10" t="str">
        <f aca="false">IF($A1714="","",UPPER(SUBSTITUTE(SUBSTITUTE(SUBSTITUTE(SUBSTITUTE($A1714," ",""),"(주)",""),"주식회사",""),"㈜","")))</f>
        <v/>
      </c>
      <c r="H1714" s="10" t="str">
        <f aca="false">IF($B1714="","",SUBSTITUTE(SUBSTITUTE(SUBSTITUTE($B1714,"-","")," ",""),".",""))</f>
        <v/>
      </c>
      <c r="I1714" s="10" t="str">
        <f aca="false">IF($D1714="","",SUBSTITUTE(SUBSTITUTE(SUBSTITUTE($D1714,"-","")," ",""),".",""))</f>
        <v/>
      </c>
      <c r="J1714" s="10" t="str">
        <f aca="false">IF($E1714="","",UPPER(SUBSTITUTE($E1714," ","")))</f>
        <v/>
      </c>
      <c r="K1714" s="10" t="str">
        <f aca="false">IF($A1714="","",$G1714&amp;"|"&amp;$J1714)</f>
        <v/>
      </c>
      <c r="L1714" s="10" t="str">
        <f aca="false">IF($A1714="","",ROW()-2)</f>
        <v/>
      </c>
      <c r="M1714" s="10" t="str">
        <f aca="false">IF($A1714="","",ROW())</f>
        <v/>
      </c>
    </row>
    <row r="1715" customFormat="false" ht="15" hidden="false" customHeight="true" outlineLevel="0" collapsed="false">
      <c r="A1715" s="8"/>
      <c r="B1715" s="8"/>
      <c r="C1715" s="8"/>
      <c r="D1715" s="8"/>
      <c r="E1715" s="8"/>
      <c r="F1715" s="8"/>
      <c r="G1715" s="10" t="str">
        <f aca="false">IF($A1715="","",UPPER(SUBSTITUTE(SUBSTITUTE(SUBSTITUTE(SUBSTITUTE($A1715," ",""),"(주)",""),"주식회사",""),"㈜","")))</f>
        <v/>
      </c>
      <c r="H1715" s="10" t="str">
        <f aca="false">IF($B1715="","",SUBSTITUTE(SUBSTITUTE(SUBSTITUTE($B1715,"-","")," ",""),".",""))</f>
        <v/>
      </c>
      <c r="I1715" s="10" t="str">
        <f aca="false">IF($D1715="","",SUBSTITUTE(SUBSTITUTE(SUBSTITUTE($D1715,"-","")," ",""),".",""))</f>
        <v/>
      </c>
      <c r="J1715" s="10" t="str">
        <f aca="false">IF($E1715="","",UPPER(SUBSTITUTE($E1715," ","")))</f>
        <v/>
      </c>
      <c r="K1715" s="10" t="str">
        <f aca="false">IF($A1715="","",$G1715&amp;"|"&amp;$J1715)</f>
        <v/>
      </c>
      <c r="L1715" s="10" t="str">
        <f aca="false">IF($A1715="","",ROW()-2)</f>
        <v/>
      </c>
      <c r="M1715" s="10" t="str">
        <f aca="false">IF($A1715="","",ROW())</f>
        <v/>
      </c>
    </row>
    <row r="1716" customFormat="false" ht="15" hidden="false" customHeight="true" outlineLevel="0" collapsed="false">
      <c r="A1716" s="8"/>
      <c r="B1716" s="8"/>
      <c r="C1716" s="8"/>
      <c r="D1716" s="8"/>
      <c r="E1716" s="8"/>
      <c r="F1716" s="8"/>
      <c r="G1716" s="10" t="str">
        <f aca="false">IF($A1716="","",UPPER(SUBSTITUTE(SUBSTITUTE(SUBSTITUTE(SUBSTITUTE($A1716," ",""),"(주)",""),"주식회사",""),"㈜","")))</f>
        <v/>
      </c>
      <c r="H1716" s="10" t="str">
        <f aca="false">IF($B1716="","",SUBSTITUTE(SUBSTITUTE(SUBSTITUTE($B1716,"-","")," ",""),".",""))</f>
        <v/>
      </c>
      <c r="I1716" s="10" t="str">
        <f aca="false">IF($D1716="","",SUBSTITUTE(SUBSTITUTE(SUBSTITUTE($D1716,"-","")," ",""),".",""))</f>
        <v/>
      </c>
      <c r="J1716" s="10" t="str">
        <f aca="false">IF($E1716="","",UPPER(SUBSTITUTE($E1716," ","")))</f>
        <v/>
      </c>
      <c r="K1716" s="10" t="str">
        <f aca="false">IF($A1716="","",$G1716&amp;"|"&amp;$J1716)</f>
        <v/>
      </c>
      <c r="L1716" s="10" t="str">
        <f aca="false">IF($A1716="","",ROW()-2)</f>
        <v/>
      </c>
      <c r="M1716" s="10" t="str">
        <f aca="false">IF($A1716="","",ROW())</f>
        <v/>
      </c>
    </row>
    <row r="1717" customFormat="false" ht="15" hidden="false" customHeight="true" outlineLevel="0" collapsed="false">
      <c r="A1717" s="8"/>
      <c r="B1717" s="8"/>
      <c r="C1717" s="8"/>
      <c r="D1717" s="8"/>
      <c r="E1717" s="8"/>
      <c r="F1717" s="8"/>
      <c r="G1717" s="10" t="str">
        <f aca="false">IF($A1717="","",UPPER(SUBSTITUTE(SUBSTITUTE(SUBSTITUTE(SUBSTITUTE($A1717," ",""),"(주)",""),"주식회사",""),"㈜","")))</f>
        <v/>
      </c>
      <c r="H1717" s="10" t="str">
        <f aca="false">IF($B1717="","",SUBSTITUTE(SUBSTITUTE(SUBSTITUTE($B1717,"-","")," ",""),".",""))</f>
        <v/>
      </c>
      <c r="I1717" s="10" t="str">
        <f aca="false">IF($D1717="","",SUBSTITUTE(SUBSTITUTE(SUBSTITUTE($D1717,"-","")," ",""),".",""))</f>
        <v/>
      </c>
      <c r="J1717" s="10" t="str">
        <f aca="false">IF($E1717="","",UPPER(SUBSTITUTE($E1717," ","")))</f>
        <v/>
      </c>
      <c r="K1717" s="10" t="str">
        <f aca="false">IF($A1717="","",$G1717&amp;"|"&amp;$J1717)</f>
        <v/>
      </c>
      <c r="L1717" s="10" t="str">
        <f aca="false">IF($A1717="","",ROW()-2)</f>
        <v/>
      </c>
      <c r="M1717" s="10" t="str">
        <f aca="false">IF($A1717="","",ROW())</f>
        <v/>
      </c>
    </row>
    <row r="1718" customFormat="false" ht="15" hidden="false" customHeight="true" outlineLevel="0" collapsed="false">
      <c r="A1718" s="8"/>
      <c r="B1718" s="8"/>
      <c r="C1718" s="8"/>
      <c r="D1718" s="8"/>
      <c r="E1718" s="8"/>
      <c r="F1718" s="8"/>
      <c r="G1718" s="10" t="str">
        <f aca="false">IF($A1718="","",UPPER(SUBSTITUTE(SUBSTITUTE(SUBSTITUTE(SUBSTITUTE($A1718," ",""),"(주)",""),"주식회사",""),"㈜","")))</f>
        <v/>
      </c>
      <c r="H1718" s="10" t="str">
        <f aca="false">IF($B1718="","",SUBSTITUTE(SUBSTITUTE(SUBSTITUTE($B1718,"-","")," ",""),".",""))</f>
        <v/>
      </c>
      <c r="I1718" s="10" t="str">
        <f aca="false">IF($D1718="","",SUBSTITUTE(SUBSTITUTE(SUBSTITUTE($D1718,"-","")," ",""),".",""))</f>
        <v/>
      </c>
      <c r="J1718" s="10" t="str">
        <f aca="false">IF($E1718="","",UPPER(SUBSTITUTE($E1718," ","")))</f>
        <v/>
      </c>
      <c r="K1718" s="10" t="str">
        <f aca="false">IF($A1718="","",$G1718&amp;"|"&amp;$J1718)</f>
        <v/>
      </c>
      <c r="L1718" s="10" t="str">
        <f aca="false">IF($A1718="","",ROW()-2)</f>
        <v/>
      </c>
      <c r="M1718" s="10" t="str">
        <f aca="false">IF($A1718="","",ROW())</f>
        <v/>
      </c>
    </row>
    <row r="1719" customFormat="false" ht="15" hidden="false" customHeight="true" outlineLevel="0" collapsed="false">
      <c r="A1719" s="8"/>
      <c r="B1719" s="8"/>
      <c r="C1719" s="8"/>
      <c r="D1719" s="8"/>
      <c r="E1719" s="8"/>
      <c r="F1719" s="8"/>
      <c r="G1719" s="10" t="str">
        <f aca="false">IF($A1719="","",UPPER(SUBSTITUTE(SUBSTITUTE(SUBSTITUTE(SUBSTITUTE($A1719," ",""),"(주)",""),"주식회사",""),"㈜","")))</f>
        <v/>
      </c>
      <c r="H1719" s="10" t="str">
        <f aca="false">IF($B1719="","",SUBSTITUTE(SUBSTITUTE(SUBSTITUTE($B1719,"-","")," ",""),".",""))</f>
        <v/>
      </c>
      <c r="I1719" s="10" t="str">
        <f aca="false">IF($D1719="","",SUBSTITUTE(SUBSTITUTE(SUBSTITUTE($D1719,"-","")," ",""),".",""))</f>
        <v/>
      </c>
      <c r="J1719" s="10" t="str">
        <f aca="false">IF($E1719="","",UPPER(SUBSTITUTE($E1719," ","")))</f>
        <v/>
      </c>
      <c r="K1719" s="10" t="str">
        <f aca="false">IF($A1719="","",$G1719&amp;"|"&amp;$J1719)</f>
        <v/>
      </c>
      <c r="L1719" s="10" t="str">
        <f aca="false">IF($A1719="","",ROW()-2)</f>
        <v/>
      </c>
      <c r="M1719" s="10" t="str">
        <f aca="false">IF($A1719="","",ROW())</f>
        <v/>
      </c>
    </row>
    <row r="1720" customFormat="false" ht="15" hidden="false" customHeight="true" outlineLevel="0" collapsed="false">
      <c r="A1720" s="8"/>
      <c r="B1720" s="8"/>
      <c r="C1720" s="8"/>
      <c r="D1720" s="8"/>
      <c r="E1720" s="8"/>
      <c r="F1720" s="8"/>
      <c r="G1720" s="10" t="str">
        <f aca="false">IF($A1720="","",UPPER(SUBSTITUTE(SUBSTITUTE(SUBSTITUTE(SUBSTITUTE($A1720," ",""),"(주)",""),"주식회사",""),"㈜","")))</f>
        <v/>
      </c>
      <c r="H1720" s="10" t="str">
        <f aca="false">IF($B1720="","",SUBSTITUTE(SUBSTITUTE(SUBSTITUTE($B1720,"-","")," ",""),".",""))</f>
        <v/>
      </c>
      <c r="I1720" s="10" t="str">
        <f aca="false">IF($D1720="","",SUBSTITUTE(SUBSTITUTE(SUBSTITUTE($D1720,"-","")," ",""),".",""))</f>
        <v/>
      </c>
      <c r="J1720" s="10" t="str">
        <f aca="false">IF($E1720="","",UPPER(SUBSTITUTE($E1720," ","")))</f>
        <v/>
      </c>
      <c r="K1720" s="10" t="str">
        <f aca="false">IF($A1720="","",$G1720&amp;"|"&amp;$J1720)</f>
        <v/>
      </c>
      <c r="L1720" s="10" t="str">
        <f aca="false">IF($A1720="","",ROW()-2)</f>
        <v/>
      </c>
      <c r="M1720" s="10" t="str">
        <f aca="false">IF($A1720="","",ROW())</f>
        <v/>
      </c>
    </row>
    <row r="1721" customFormat="false" ht="15" hidden="false" customHeight="true" outlineLevel="0" collapsed="false">
      <c r="A1721" s="8"/>
      <c r="B1721" s="8"/>
      <c r="C1721" s="8"/>
      <c r="D1721" s="8"/>
      <c r="E1721" s="8"/>
      <c r="F1721" s="8"/>
      <c r="G1721" s="10" t="str">
        <f aca="false">IF($A1721="","",UPPER(SUBSTITUTE(SUBSTITUTE(SUBSTITUTE(SUBSTITUTE($A1721," ",""),"(주)",""),"주식회사",""),"㈜","")))</f>
        <v/>
      </c>
      <c r="H1721" s="10" t="str">
        <f aca="false">IF($B1721="","",SUBSTITUTE(SUBSTITUTE(SUBSTITUTE($B1721,"-","")," ",""),".",""))</f>
        <v/>
      </c>
      <c r="I1721" s="10" t="str">
        <f aca="false">IF($D1721="","",SUBSTITUTE(SUBSTITUTE(SUBSTITUTE($D1721,"-","")," ",""),".",""))</f>
        <v/>
      </c>
      <c r="J1721" s="10" t="str">
        <f aca="false">IF($E1721="","",UPPER(SUBSTITUTE($E1721," ","")))</f>
        <v/>
      </c>
      <c r="K1721" s="10" t="str">
        <f aca="false">IF($A1721="","",$G1721&amp;"|"&amp;$J1721)</f>
        <v/>
      </c>
      <c r="L1721" s="10" t="str">
        <f aca="false">IF($A1721="","",ROW()-2)</f>
        <v/>
      </c>
      <c r="M1721" s="10" t="str">
        <f aca="false">IF($A1721="","",ROW())</f>
        <v/>
      </c>
    </row>
    <row r="1722" customFormat="false" ht="15" hidden="false" customHeight="true" outlineLevel="0" collapsed="false">
      <c r="A1722" s="8"/>
      <c r="B1722" s="8"/>
      <c r="C1722" s="8"/>
      <c r="D1722" s="8"/>
      <c r="E1722" s="8"/>
      <c r="F1722" s="8"/>
      <c r="G1722" s="10" t="str">
        <f aca="false">IF($A1722="","",UPPER(SUBSTITUTE(SUBSTITUTE(SUBSTITUTE(SUBSTITUTE($A1722," ",""),"(주)",""),"주식회사",""),"㈜","")))</f>
        <v/>
      </c>
      <c r="H1722" s="10" t="str">
        <f aca="false">IF($B1722="","",SUBSTITUTE(SUBSTITUTE(SUBSTITUTE($B1722,"-","")," ",""),".",""))</f>
        <v/>
      </c>
      <c r="I1722" s="10" t="str">
        <f aca="false">IF($D1722="","",SUBSTITUTE(SUBSTITUTE(SUBSTITUTE($D1722,"-","")," ",""),".",""))</f>
        <v/>
      </c>
      <c r="J1722" s="10" t="str">
        <f aca="false">IF($E1722="","",UPPER(SUBSTITUTE($E1722," ","")))</f>
        <v/>
      </c>
      <c r="K1722" s="10" t="str">
        <f aca="false">IF($A1722="","",$G1722&amp;"|"&amp;$J1722)</f>
        <v/>
      </c>
      <c r="L1722" s="10" t="str">
        <f aca="false">IF($A1722="","",ROW()-2)</f>
        <v/>
      </c>
      <c r="M1722" s="10" t="str">
        <f aca="false">IF($A1722="","",ROW())</f>
        <v/>
      </c>
    </row>
    <row r="1723" customFormat="false" ht="15" hidden="false" customHeight="true" outlineLevel="0" collapsed="false">
      <c r="A1723" s="8"/>
      <c r="B1723" s="8"/>
      <c r="C1723" s="8"/>
      <c r="D1723" s="8"/>
      <c r="E1723" s="8"/>
      <c r="F1723" s="8"/>
      <c r="G1723" s="10" t="str">
        <f aca="false">IF($A1723="","",UPPER(SUBSTITUTE(SUBSTITUTE(SUBSTITUTE(SUBSTITUTE($A1723," ",""),"(주)",""),"주식회사",""),"㈜","")))</f>
        <v/>
      </c>
      <c r="H1723" s="10" t="str">
        <f aca="false">IF($B1723="","",SUBSTITUTE(SUBSTITUTE(SUBSTITUTE($B1723,"-","")," ",""),".",""))</f>
        <v/>
      </c>
      <c r="I1723" s="10" t="str">
        <f aca="false">IF($D1723="","",SUBSTITUTE(SUBSTITUTE(SUBSTITUTE($D1723,"-","")," ",""),".",""))</f>
        <v/>
      </c>
      <c r="J1723" s="10" t="str">
        <f aca="false">IF($E1723="","",UPPER(SUBSTITUTE($E1723," ","")))</f>
        <v/>
      </c>
      <c r="K1723" s="10" t="str">
        <f aca="false">IF($A1723="","",$G1723&amp;"|"&amp;$J1723)</f>
        <v/>
      </c>
      <c r="L1723" s="10" t="str">
        <f aca="false">IF($A1723="","",ROW()-2)</f>
        <v/>
      </c>
      <c r="M1723" s="10" t="str">
        <f aca="false">IF($A1723="","",ROW())</f>
        <v/>
      </c>
    </row>
    <row r="1724" customFormat="false" ht="15" hidden="false" customHeight="true" outlineLevel="0" collapsed="false">
      <c r="A1724" s="8"/>
      <c r="B1724" s="8"/>
      <c r="C1724" s="8"/>
      <c r="D1724" s="8"/>
      <c r="E1724" s="8"/>
      <c r="F1724" s="8"/>
      <c r="G1724" s="10" t="str">
        <f aca="false">IF($A1724="","",UPPER(SUBSTITUTE(SUBSTITUTE(SUBSTITUTE(SUBSTITUTE($A1724," ",""),"(주)",""),"주식회사",""),"㈜","")))</f>
        <v/>
      </c>
      <c r="H1724" s="10" t="str">
        <f aca="false">IF($B1724="","",SUBSTITUTE(SUBSTITUTE(SUBSTITUTE($B1724,"-","")," ",""),".",""))</f>
        <v/>
      </c>
      <c r="I1724" s="10" t="str">
        <f aca="false">IF($D1724="","",SUBSTITUTE(SUBSTITUTE(SUBSTITUTE($D1724,"-","")," ",""),".",""))</f>
        <v/>
      </c>
      <c r="J1724" s="10" t="str">
        <f aca="false">IF($E1724="","",UPPER(SUBSTITUTE($E1724," ","")))</f>
        <v/>
      </c>
      <c r="K1724" s="10" t="str">
        <f aca="false">IF($A1724="","",$G1724&amp;"|"&amp;$J1724)</f>
        <v/>
      </c>
      <c r="L1724" s="10" t="str">
        <f aca="false">IF($A1724="","",ROW()-2)</f>
        <v/>
      </c>
      <c r="M1724" s="10" t="str">
        <f aca="false">IF($A1724="","",ROW())</f>
        <v/>
      </c>
    </row>
    <row r="1725" customFormat="false" ht="15" hidden="false" customHeight="true" outlineLevel="0" collapsed="false">
      <c r="A1725" s="8"/>
      <c r="B1725" s="8"/>
      <c r="C1725" s="8"/>
      <c r="D1725" s="8"/>
      <c r="E1725" s="8"/>
      <c r="F1725" s="8"/>
      <c r="G1725" s="10" t="str">
        <f aca="false">IF($A1725="","",UPPER(SUBSTITUTE(SUBSTITUTE(SUBSTITUTE(SUBSTITUTE($A1725," ",""),"(주)",""),"주식회사",""),"㈜","")))</f>
        <v/>
      </c>
      <c r="H1725" s="10" t="str">
        <f aca="false">IF($B1725="","",SUBSTITUTE(SUBSTITUTE(SUBSTITUTE($B1725,"-","")," ",""),".",""))</f>
        <v/>
      </c>
      <c r="I1725" s="10" t="str">
        <f aca="false">IF($D1725="","",SUBSTITUTE(SUBSTITUTE(SUBSTITUTE($D1725,"-","")," ",""),".",""))</f>
        <v/>
      </c>
      <c r="J1725" s="10" t="str">
        <f aca="false">IF($E1725="","",UPPER(SUBSTITUTE($E1725," ","")))</f>
        <v/>
      </c>
      <c r="K1725" s="10" t="str">
        <f aca="false">IF($A1725="","",$G1725&amp;"|"&amp;$J1725)</f>
        <v/>
      </c>
      <c r="L1725" s="10" t="str">
        <f aca="false">IF($A1725="","",ROW()-2)</f>
        <v/>
      </c>
      <c r="M1725" s="10" t="str">
        <f aca="false">IF($A1725="","",ROW())</f>
        <v/>
      </c>
    </row>
    <row r="1726" customFormat="false" ht="15" hidden="false" customHeight="true" outlineLevel="0" collapsed="false">
      <c r="A1726" s="8"/>
      <c r="B1726" s="8"/>
      <c r="C1726" s="8"/>
      <c r="D1726" s="8"/>
      <c r="E1726" s="8"/>
      <c r="F1726" s="8"/>
      <c r="G1726" s="10" t="str">
        <f aca="false">IF($A1726="","",UPPER(SUBSTITUTE(SUBSTITUTE(SUBSTITUTE(SUBSTITUTE($A1726," ",""),"(주)",""),"주식회사",""),"㈜","")))</f>
        <v/>
      </c>
      <c r="H1726" s="10" t="str">
        <f aca="false">IF($B1726="","",SUBSTITUTE(SUBSTITUTE(SUBSTITUTE($B1726,"-","")," ",""),".",""))</f>
        <v/>
      </c>
      <c r="I1726" s="10" t="str">
        <f aca="false">IF($D1726="","",SUBSTITUTE(SUBSTITUTE(SUBSTITUTE($D1726,"-","")," ",""),".",""))</f>
        <v/>
      </c>
      <c r="J1726" s="10" t="str">
        <f aca="false">IF($E1726="","",UPPER(SUBSTITUTE($E1726," ","")))</f>
        <v/>
      </c>
      <c r="K1726" s="10" t="str">
        <f aca="false">IF($A1726="","",$G1726&amp;"|"&amp;$J1726)</f>
        <v/>
      </c>
      <c r="L1726" s="10" t="str">
        <f aca="false">IF($A1726="","",ROW()-2)</f>
        <v/>
      </c>
      <c r="M1726" s="10" t="str">
        <f aca="false">IF($A1726="","",ROW())</f>
        <v/>
      </c>
    </row>
    <row r="1727" customFormat="false" ht="15" hidden="false" customHeight="true" outlineLevel="0" collapsed="false">
      <c r="A1727" s="8"/>
      <c r="B1727" s="8"/>
      <c r="C1727" s="8"/>
      <c r="D1727" s="8"/>
      <c r="E1727" s="8"/>
      <c r="F1727" s="8"/>
      <c r="G1727" s="10" t="str">
        <f aca="false">IF($A1727="","",UPPER(SUBSTITUTE(SUBSTITUTE(SUBSTITUTE(SUBSTITUTE($A1727," ",""),"(주)",""),"주식회사",""),"㈜","")))</f>
        <v/>
      </c>
      <c r="H1727" s="10" t="str">
        <f aca="false">IF($B1727="","",SUBSTITUTE(SUBSTITUTE(SUBSTITUTE($B1727,"-","")," ",""),".",""))</f>
        <v/>
      </c>
      <c r="I1727" s="10" t="str">
        <f aca="false">IF($D1727="","",SUBSTITUTE(SUBSTITUTE(SUBSTITUTE($D1727,"-","")," ",""),".",""))</f>
        <v/>
      </c>
      <c r="J1727" s="10" t="str">
        <f aca="false">IF($E1727="","",UPPER(SUBSTITUTE($E1727," ","")))</f>
        <v/>
      </c>
      <c r="K1727" s="10" t="str">
        <f aca="false">IF($A1727="","",$G1727&amp;"|"&amp;$J1727)</f>
        <v/>
      </c>
      <c r="L1727" s="10" t="str">
        <f aca="false">IF($A1727="","",ROW()-2)</f>
        <v/>
      </c>
      <c r="M1727" s="10" t="str">
        <f aca="false">IF($A1727="","",ROW())</f>
        <v/>
      </c>
    </row>
    <row r="1728" customFormat="false" ht="15" hidden="false" customHeight="true" outlineLevel="0" collapsed="false">
      <c r="A1728" s="8"/>
      <c r="B1728" s="8"/>
      <c r="C1728" s="8"/>
      <c r="D1728" s="8"/>
      <c r="E1728" s="8"/>
      <c r="F1728" s="8"/>
      <c r="G1728" s="10" t="str">
        <f aca="false">IF($A1728="","",UPPER(SUBSTITUTE(SUBSTITUTE(SUBSTITUTE(SUBSTITUTE($A1728," ",""),"(주)",""),"주식회사",""),"㈜","")))</f>
        <v/>
      </c>
      <c r="H1728" s="10" t="str">
        <f aca="false">IF($B1728="","",SUBSTITUTE(SUBSTITUTE(SUBSTITUTE($B1728,"-","")," ",""),".",""))</f>
        <v/>
      </c>
      <c r="I1728" s="10" t="str">
        <f aca="false">IF($D1728="","",SUBSTITUTE(SUBSTITUTE(SUBSTITUTE($D1728,"-","")," ",""),".",""))</f>
        <v/>
      </c>
      <c r="J1728" s="10" t="str">
        <f aca="false">IF($E1728="","",UPPER(SUBSTITUTE($E1728," ","")))</f>
        <v/>
      </c>
      <c r="K1728" s="10" t="str">
        <f aca="false">IF($A1728="","",$G1728&amp;"|"&amp;$J1728)</f>
        <v/>
      </c>
      <c r="L1728" s="10" t="str">
        <f aca="false">IF($A1728="","",ROW()-2)</f>
        <v/>
      </c>
      <c r="M1728" s="10" t="str">
        <f aca="false">IF($A1728="","",ROW())</f>
        <v/>
      </c>
    </row>
    <row r="1729" customFormat="false" ht="15" hidden="false" customHeight="true" outlineLevel="0" collapsed="false">
      <c r="A1729" s="8"/>
      <c r="B1729" s="8"/>
      <c r="C1729" s="8"/>
      <c r="D1729" s="8"/>
      <c r="E1729" s="8"/>
      <c r="F1729" s="8"/>
      <c r="G1729" s="10" t="str">
        <f aca="false">IF($A1729="","",UPPER(SUBSTITUTE(SUBSTITUTE(SUBSTITUTE(SUBSTITUTE($A1729," ",""),"(주)",""),"주식회사",""),"㈜","")))</f>
        <v/>
      </c>
      <c r="H1729" s="10" t="str">
        <f aca="false">IF($B1729="","",SUBSTITUTE(SUBSTITUTE(SUBSTITUTE($B1729,"-","")," ",""),".",""))</f>
        <v/>
      </c>
      <c r="I1729" s="10" t="str">
        <f aca="false">IF($D1729="","",SUBSTITUTE(SUBSTITUTE(SUBSTITUTE($D1729,"-","")," ",""),".",""))</f>
        <v/>
      </c>
      <c r="J1729" s="10" t="str">
        <f aca="false">IF($E1729="","",UPPER(SUBSTITUTE($E1729," ","")))</f>
        <v/>
      </c>
      <c r="K1729" s="10" t="str">
        <f aca="false">IF($A1729="","",$G1729&amp;"|"&amp;$J1729)</f>
        <v/>
      </c>
      <c r="L1729" s="10" t="str">
        <f aca="false">IF($A1729="","",ROW()-2)</f>
        <v/>
      </c>
      <c r="M1729" s="10" t="str">
        <f aca="false">IF($A1729="","",ROW())</f>
        <v/>
      </c>
    </row>
    <row r="1730" customFormat="false" ht="15" hidden="false" customHeight="true" outlineLevel="0" collapsed="false">
      <c r="A1730" s="8"/>
      <c r="B1730" s="8"/>
      <c r="C1730" s="8"/>
      <c r="D1730" s="8"/>
      <c r="E1730" s="8"/>
      <c r="F1730" s="8"/>
      <c r="G1730" s="10" t="str">
        <f aca="false">IF($A1730="","",UPPER(SUBSTITUTE(SUBSTITUTE(SUBSTITUTE(SUBSTITUTE($A1730," ",""),"(주)",""),"주식회사",""),"㈜","")))</f>
        <v/>
      </c>
      <c r="H1730" s="10" t="str">
        <f aca="false">IF($B1730="","",SUBSTITUTE(SUBSTITUTE(SUBSTITUTE($B1730,"-","")," ",""),".",""))</f>
        <v/>
      </c>
      <c r="I1730" s="10" t="str">
        <f aca="false">IF($D1730="","",SUBSTITUTE(SUBSTITUTE(SUBSTITUTE($D1730,"-","")," ",""),".",""))</f>
        <v/>
      </c>
      <c r="J1730" s="10" t="str">
        <f aca="false">IF($E1730="","",UPPER(SUBSTITUTE($E1730," ","")))</f>
        <v/>
      </c>
      <c r="K1730" s="10" t="str">
        <f aca="false">IF($A1730="","",$G1730&amp;"|"&amp;$J1730)</f>
        <v/>
      </c>
      <c r="L1730" s="10" t="str">
        <f aca="false">IF($A1730="","",ROW()-2)</f>
        <v/>
      </c>
      <c r="M1730" s="10" t="str">
        <f aca="false">IF($A1730="","",ROW())</f>
        <v/>
      </c>
    </row>
    <row r="1731" customFormat="false" ht="15" hidden="false" customHeight="true" outlineLevel="0" collapsed="false">
      <c r="A1731" s="8"/>
      <c r="B1731" s="8"/>
      <c r="C1731" s="8"/>
      <c r="D1731" s="8"/>
      <c r="E1731" s="8"/>
      <c r="F1731" s="8"/>
      <c r="G1731" s="10" t="str">
        <f aca="false">IF($A1731="","",UPPER(SUBSTITUTE(SUBSTITUTE(SUBSTITUTE(SUBSTITUTE($A1731," ",""),"(주)",""),"주식회사",""),"㈜","")))</f>
        <v/>
      </c>
      <c r="H1731" s="10" t="str">
        <f aca="false">IF($B1731="","",SUBSTITUTE(SUBSTITUTE(SUBSTITUTE($B1731,"-","")," ",""),".",""))</f>
        <v/>
      </c>
      <c r="I1731" s="10" t="str">
        <f aca="false">IF($D1731="","",SUBSTITUTE(SUBSTITUTE(SUBSTITUTE($D1731,"-","")," ",""),".",""))</f>
        <v/>
      </c>
      <c r="J1731" s="10" t="str">
        <f aca="false">IF($E1731="","",UPPER(SUBSTITUTE($E1731," ","")))</f>
        <v/>
      </c>
      <c r="K1731" s="10" t="str">
        <f aca="false">IF($A1731="","",$G1731&amp;"|"&amp;$J1731)</f>
        <v/>
      </c>
      <c r="L1731" s="10" t="str">
        <f aca="false">IF($A1731="","",ROW()-2)</f>
        <v/>
      </c>
      <c r="M1731" s="10" t="str">
        <f aca="false">IF($A1731="","",ROW())</f>
        <v/>
      </c>
    </row>
    <row r="1732" customFormat="false" ht="15" hidden="false" customHeight="true" outlineLevel="0" collapsed="false">
      <c r="A1732" s="8"/>
      <c r="B1732" s="8"/>
      <c r="C1732" s="8"/>
      <c r="D1732" s="8"/>
      <c r="E1732" s="8"/>
      <c r="F1732" s="8"/>
      <c r="G1732" s="10" t="str">
        <f aca="false">IF($A1732="","",UPPER(SUBSTITUTE(SUBSTITUTE(SUBSTITUTE(SUBSTITUTE($A1732," ",""),"(주)",""),"주식회사",""),"㈜","")))</f>
        <v/>
      </c>
      <c r="H1732" s="10" t="str">
        <f aca="false">IF($B1732="","",SUBSTITUTE(SUBSTITUTE(SUBSTITUTE($B1732,"-","")," ",""),".",""))</f>
        <v/>
      </c>
      <c r="I1732" s="10" t="str">
        <f aca="false">IF($D1732="","",SUBSTITUTE(SUBSTITUTE(SUBSTITUTE($D1732,"-","")," ",""),".",""))</f>
        <v/>
      </c>
      <c r="J1732" s="10" t="str">
        <f aca="false">IF($E1732="","",UPPER(SUBSTITUTE($E1732," ","")))</f>
        <v/>
      </c>
      <c r="K1732" s="10" t="str">
        <f aca="false">IF($A1732="","",$G1732&amp;"|"&amp;$J1732)</f>
        <v/>
      </c>
      <c r="L1732" s="10" t="str">
        <f aca="false">IF($A1732="","",ROW()-2)</f>
        <v/>
      </c>
      <c r="M1732" s="10" t="str">
        <f aca="false">IF($A1732="","",ROW())</f>
        <v/>
      </c>
    </row>
    <row r="1733" customFormat="false" ht="15" hidden="false" customHeight="true" outlineLevel="0" collapsed="false">
      <c r="A1733" s="8"/>
      <c r="B1733" s="8"/>
      <c r="C1733" s="8"/>
      <c r="D1733" s="8"/>
      <c r="E1733" s="8"/>
      <c r="F1733" s="8"/>
      <c r="G1733" s="10" t="str">
        <f aca="false">IF($A1733="","",UPPER(SUBSTITUTE(SUBSTITUTE(SUBSTITUTE(SUBSTITUTE($A1733," ",""),"(주)",""),"주식회사",""),"㈜","")))</f>
        <v/>
      </c>
      <c r="H1733" s="10" t="str">
        <f aca="false">IF($B1733="","",SUBSTITUTE(SUBSTITUTE(SUBSTITUTE($B1733,"-","")," ",""),".",""))</f>
        <v/>
      </c>
      <c r="I1733" s="10" t="str">
        <f aca="false">IF($D1733="","",SUBSTITUTE(SUBSTITUTE(SUBSTITUTE($D1733,"-","")," ",""),".",""))</f>
        <v/>
      </c>
      <c r="J1733" s="10" t="str">
        <f aca="false">IF($E1733="","",UPPER(SUBSTITUTE($E1733," ","")))</f>
        <v/>
      </c>
      <c r="K1733" s="10" t="str">
        <f aca="false">IF($A1733="","",$G1733&amp;"|"&amp;$J1733)</f>
        <v/>
      </c>
      <c r="L1733" s="10" t="str">
        <f aca="false">IF($A1733="","",ROW()-2)</f>
        <v/>
      </c>
      <c r="M1733" s="10" t="str">
        <f aca="false">IF($A1733="","",ROW())</f>
        <v/>
      </c>
    </row>
    <row r="1734" customFormat="false" ht="15" hidden="false" customHeight="true" outlineLevel="0" collapsed="false">
      <c r="A1734" s="8"/>
      <c r="B1734" s="8"/>
      <c r="C1734" s="8"/>
      <c r="D1734" s="8"/>
      <c r="E1734" s="8"/>
      <c r="F1734" s="8"/>
      <c r="G1734" s="10" t="str">
        <f aca="false">IF($A1734="","",UPPER(SUBSTITUTE(SUBSTITUTE(SUBSTITUTE(SUBSTITUTE($A1734," ",""),"(주)",""),"주식회사",""),"㈜","")))</f>
        <v/>
      </c>
      <c r="H1734" s="10" t="str">
        <f aca="false">IF($B1734="","",SUBSTITUTE(SUBSTITUTE(SUBSTITUTE($B1734,"-","")," ",""),".",""))</f>
        <v/>
      </c>
      <c r="I1734" s="10" t="str">
        <f aca="false">IF($D1734="","",SUBSTITUTE(SUBSTITUTE(SUBSTITUTE($D1734,"-","")," ",""),".",""))</f>
        <v/>
      </c>
      <c r="J1734" s="10" t="str">
        <f aca="false">IF($E1734="","",UPPER(SUBSTITUTE($E1734," ","")))</f>
        <v/>
      </c>
      <c r="K1734" s="10" t="str">
        <f aca="false">IF($A1734="","",$G1734&amp;"|"&amp;$J1734)</f>
        <v/>
      </c>
      <c r="L1734" s="10" t="str">
        <f aca="false">IF($A1734="","",ROW()-2)</f>
        <v/>
      </c>
      <c r="M1734" s="10" t="str">
        <f aca="false">IF($A1734="","",ROW())</f>
        <v/>
      </c>
    </row>
    <row r="1735" customFormat="false" ht="15" hidden="false" customHeight="true" outlineLevel="0" collapsed="false">
      <c r="A1735" s="8"/>
      <c r="B1735" s="8"/>
      <c r="C1735" s="8"/>
      <c r="D1735" s="8"/>
      <c r="E1735" s="8"/>
      <c r="F1735" s="8"/>
      <c r="G1735" s="10" t="str">
        <f aca="false">IF($A1735="","",UPPER(SUBSTITUTE(SUBSTITUTE(SUBSTITUTE(SUBSTITUTE($A1735," ",""),"(주)",""),"주식회사",""),"㈜","")))</f>
        <v/>
      </c>
      <c r="H1735" s="10" t="str">
        <f aca="false">IF($B1735="","",SUBSTITUTE(SUBSTITUTE(SUBSTITUTE($B1735,"-","")," ",""),".",""))</f>
        <v/>
      </c>
      <c r="I1735" s="10" t="str">
        <f aca="false">IF($D1735="","",SUBSTITUTE(SUBSTITUTE(SUBSTITUTE($D1735,"-","")," ",""),".",""))</f>
        <v/>
      </c>
      <c r="J1735" s="10" t="str">
        <f aca="false">IF($E1735="","",UPPER(SUBSTITUTE($E1735," ","")))</f>
        <v/>
      </c>
      <c r="K1735" s="10" t="str">
        <f aca="false">IF($A1735="","",$G1735&amp;"|"&amp;$J1735)</f>
        <v/>
      </c>
      <c r="L1735" s="10" t="str">
        <f aca="false">IF($A1735="","",ROW()-2)</f>
        <v/>
      </c>
      <c r="M1735" s="10" t="str">
        <f aca="false">IF($A1735="","",ROW())</f>
        <v/>
      </c>
    </row>
    <row r="1736" customFormat="false" ht="15" hidden="false" customHeight="true" outlineLevel="0" collapsed="false">
      <c r="A1736" s="8"/>
      <c r="B1736" s="8"/>
      <c r="C1736" s="8"/>
      <c r="D1736" s="8"/>
      <c r="E1736" s="8"/>
      <c r="F1736" s="8"/>
      <c r="G1736" s="10" t="str">
        <f aca="false">IF($A1736="","",UPPER(SUBSTITUTE(SUBSTITUTE(SUBSTITUTE(SUBSTITUTE($A1736," ",""),"(주)",""),"주식회사",""),"㈜","")))</f>
        <v/>
      </c>
      <c r="H1736" s="10" t="str">
        <f aca="false">IF($B1736="","",SUBSTITUTE(SUBSTITUTE(SUBSTITUTE($B1736,"-","")," ",""),".",""))</f>
        <v/>
      </c>
      <c r="I1736" s="10" t="str">
        <f aca="false">IF($D1736="","",SUBSTITUTE(SUBSTITUTE(SUBSTITUTE($D1736,"-","")," ",""),".",""))</f>
        <v/>
      </c>
      <c r="J1736" s="10" t="str">
        <f aca="false">IF($E1736="","",UPPER(SUBSTITUTE($E1736," ","")))</f>
        <v/>
      </c>
      <c r="K1736" s="10" t="str">
        <f aca="false">IF($A1736="","",$G1736&amp;"|"&amp;$J1736)</f>
        <v/>
      </c>
      <c r="L1736" s="10" t="str">
        <f aca="false">IF($A1736="","",ROW()-2)</f>
        <v/>
      </c>
      <c r="M1736" s="10" t="str">
        <f aca="false">IF($A1736="","",ROW())</f>
        <v/>
      </c>
    </row>
    <row r="1737" customFormat="false" ht="15" hidden="false" customHeight="true" outlineLevel="0" collapsed="false">
      <c r="A1737" s="8"/>
      <c r="B1737" s="8"/>
      <c r="C1737" s="8"/>
      <c r="D1737" s="8"/>
      <c r="E1737" s="8"/>
      <c r="F1737" s="8"/>
      <c r="G1737" s="10" t="str">
        <f aca="false">IF($A1737="","",UPPER(SUBSTITUTE(SUBSTITUTE(SUBSTITUTE(SUBSTITUTE($A1737," ",""),"(주)",""),"주식회사",""),"㈜","")))</f>
        <v/>
      </c>
      <c r="H1737" s="10" t="str">
        <f aca="false">IF($B1737="","",SUBSTITUTE(SUBSTITUTE(SUBSTITUTE($B1737,"-","")," ",""),".",""))</f>
        <v/>
      </c>
      <c r="I1737" s="10" t="str">
        <f aca="false">IF($D1737="","",SUBSTITUTE(SUBSTITUTE(SUBSTITUTE($D1737,"-","")," ",""),".",""))</f>
        <v/>
      </c>
      <c r="J1737" s="10" t="str">
        <f aca="false">IF($E1737="","",UPPER(SUBSTITUTE($E1737," ","")))</f>
        <v/>
      </c>
      <c r="K1737" s="10" t="str">
        <f aca="false">IF($A1737="","",$G1737&amp;"|"&amp;$J1737)</f>
        <v/>
      </c>
      <c r="L1737" s="10" t="str">
        <f aca="false">IF($A1737="","",ROW()-2)</f>
        <v/>
      </c>
      <c r="M1737" s="10" t="str">
        <f aca="false">IF($A1737="","",ROW())</f>
        <v/>
      </c>
    </row>
    <row r="1738" customFormat="false" ht="15" hidden="false" customHeight="true" outlineLevel="0" collapsed="false">
      <c r="A1738" s="8"/>
      <c r="B1738" s="8"/>
      <c r="C1738" s="8"/>
      <c r="D1738" s="8"/>
      <c r="E1738" s="8"/>
      <c r="F1738" s="8"/>
      <c r="G1738" s="10" t="str">
        <f aca="false">IF($A1738="","",UPPER(SUBSTITUTE(SUBSTITUTE(SUBSTITUTE(SUBSTITUTE($A1738," ",""),"(주)",""),"주식회사",""),"㈜","")))</f>
        <v/>
      </c>
      <c r="H1738" s="10" t="str">
        <f aca="false">IF($B1738="","",SUBSTITUTE(SUBSTITUTE(SUBSTITUTE($B1738,"-","")," ",""),".",""))</f>
        <v/>
      </c>
      <c r="I1738" s="10" t="str">
        <f aca="false">IF($D1738="","",SUBSTITUTE(SUBSTITUTE(SUBSTITUTE($D1738,"-","")," ",""),".",""))</f>
        <v/>
      </c>
      <c r="J1738" s="10" t="str">
        <f aca="false">IF($E1738="","",UPPER(SUBSTITUTE($E1738," ","")))</f>
        <v/>
      </c>
      <c r="K1738" s="10" t="str">
        <f aca="false">IF($A1738="","",$G1738&amp;"|"&amp;$J1738)</f>
        <v/>
      </c>
      <c r="L1738" s="10" t="str">
        <f aca="false">IF($A1738="","",ROW()-2)</f>
        <v/>
      </c>
      <c r="M1738" s="10" t="str">
        <f aca="false">IF($A1738="","",ROW())</f>
        <v/>
      </c>
    </row>
    <row r="1739" customFormat="false" ht="15" hidden="false" customHeight="true" outlineLevel="0" collapsed="false">
      <c r="A1739" s="8"/>
      <c r="B1739" s="8"/>
      <c r="C1739" s="8"/>
      <c r="D1739" s="8"/>
      <c r="E1739" s="8"/>
      <c r="F1739" s="8"/>
      <c r="G1739" s="10" t="str">
        <f aca="false">IF($A1739="","",UPPER(SUBSTITUTE(SUBSTITUTE(SUBSTITUTE(SUBSTITUTE($A1739," ",""),"(주)",""),"주식회사",""),"㈜","")))</f>
        <v/>
      </c>
      <c r="H1739" s="10" t="str">
        <f aca="false">IF($B1739="","",SUBSTITUTE(SUBSTITUTE(SUBSTITUTE($B1739,"-","")," ",""),".",""))</f>
        <v/>
      </c>
      <c r="I1739" s="10" t="str">
        <f aca="false">IF($D1739="","",SUBSTITUTE(SUBSTITUTE(SUBSTITUTE($D1739,"-","")," ",""),".",""))</f>
        <v/>
      </c>
      <c r="J1739" s="10" t="str">
        <f aca="false">IF($E1739="","",UPPER(SUBSTITUTE($E1739," ","")))</f>
        <v/>
      </c>
      <c r="K1739" s="10" t="str">
        <f aca="false">IF($A1739="","",$G1739&amp;"|"&amp;$J1739)</f>
        <v/>
      </c>
      <c r="L1739" s="10" t="str">
        <f aca="false">IF($A1739="","",ROW()-2)</f>
        <v/>
      </c>
      <c r="M1739" s="10" t="str">
        <f aca="false">IF($A1739="","",ROW())</f>
        <v/>
      </c>
    </row>
    <row r="1740" customFormat="false" ht="15" hidden="false" customHeight="true" outlineLevel="0" collapsed="false">
      <c r="A1740" s="8"/>
      <c r="B1740" s="8"/>
      <c r="C1740" s="8"/>
      <c r="D1740" s="8"/>
      <c r="E1740" s="8"/>
      <c r="F1740" s="8"/>
      <c r="G1740" s="10" t="str">
        <f aca="false">IF($A1740="","",UPPER(SUBSTITUTE(SUBSTITUTE(SUBSTITUTE(SUBSTITUTE($A1740," ",""),"(주)",""),"주식회사",""),"㈜","")))</f>
        <v/>
      </c>
      <c r="H1740" s="10" t="str">
        <f aca="false">IF($B1740="","",SUBSTITUTE(SUBSTITUTE(SUBSTITUTE($B1740,"-","")," ",""),".",""))</f>
        <v/>
      </c>
      <c r="I1740" s="10" t="str">
        <f aca="false">IF($D1740="","",SUBSTITUTE(SUBSTITUTE(SUBSTITUTE($D1740,"-","")," ",""),".",""))</f>
        <v/>
      </c>
      <c r="J1740" s="10" t="str">
        <f aca="false">IF($E1740="","",UPPER(SUBSTITUTE($E1740," ","")))</f>
        <v/>
      </c>
      <c r="K1740" s="10" t="str">
        <f aca="false">IF($A1740="","",$G1740&amp;"|"&amp;$J1740)</f>
        <v/>
      </c>
      <c r="L1740" s="10" t="str">
        <f aca="false">IF($A1740="","",ROW()-2)</f>
        <v/>
      </c>
      <c r="M1740" s="10" t="str">
        <f aca="false">IF($A1740="","",ROW())</f>
        <v/>
      </c>
    </row>
    <row r="1741" customFormat="false" ht="15" hidden="false" customHeight="true" outlineLevel="0" collapsed="false">
      <c r="A1741" s="8"/>
      <c r="B1741" s="8"/>
      <c r="C1741" s="8"/>
      <c r="D1741" s="8"/>
      <c r="E1741" s="8"/>
      <c r="F1741" s="8"/>
      <c r="G1741" s="10" t="str">
        <f aca="false">IF($A1741="","",UPPER(SUBSTITUTE(SUBSTITUTE(SUBSTITUTE(SUBSTITUTE($A1741," ",""),"(주)",""),"주식회사",""),"㈜","")))</f>
        <v/>
      </c>
      <c r="H1741" s="10" t="str">
        <f aca="false">IF($B1741="","",SUBSTITUTE(SUBSTITUTE(SUBSTITUTE($B1741,"-","")," ",""),".",""))</f>
        <v/>
      </c>
      <c r="I1741" s="10" t="str">
        <f aca="false">IF($D1741="","",SUBSTITUTE(SUBSTITUTE(SUBSTITUTE($D1741,"-","")," ",""),".",""))</f>
        <v/>
      </c>
      <c r="J1741" s="10" t="str">
        <f aca="false">IF($E1741="","",UPPER(SUBSTITUTE($E1741," ","")))</f>
        <v/>
      </c>
      <c r="K1741" s="10" t="str">
        <f aca="false">IF($A1741="","",$G1741&amp;"|"&amp;$J1741)</f>
        <v/>
      </c>
      <c r="L1741" s="10" t="str">
        <f aca="false">IF($A1741="","",ROW()-2)</f>
        <v/>
      </c>
      <c r="M1741" s="10" t="str">
        <f aca="false">IF($A1741="","",ROW())</f>
        <v/>
      </c>
    </row>
    <row r="1742" customFormat="false" ht="15" hidden="false" customHeight="true" outlineLevel="0" collapsed="false">
      <c r="A1742" s="8"/>
      <c r="B1742" s="8"/>
      <c r="C1742" s="8"/>
      <c r="D1742" s="8"/>
      <c r="E1742" s="8"/>
      <c r="F1742" s="8"/>
      <c r="G1742" s="10" t="str">
        <f aca="false">IF($A1742="","",UPPER(SUBSTITUTE(SUBSTITUTE(SUBSTITUTE(SUBSTITUTE($A1742," ",""),"(주)",""),"주식회사",""),"㈜","")))</f>
        <v/>
      </c>
      <c r="H1742" s="10" t="str">
        <f aca="false">IF($B1742="","",SUBSTITUTE(SUBSTITUTE(SUBSTITUTE($B1742,"-","")," ",""),".",""))</f>
        <v/>
      </c>
      <c r="I1742" s="10" t="str">
        <f aca="false">IF($D1742="","",SUBSTITUTE(SUBSTITUTE(SUBSTITUTE($D1742,"-","")," ",""),".",""))</f>
        <v/>
      </c>
      <c r="J1742" s="10" t="str">
        <f aca="false">IF($E1742="","",UPPER(SUBSTITUTE($E1742," ","")))</f>
        <v/>
      </c>
      <c r="K1742" s="10" t="str">
        <f aca="false">IF($A1742="","",$G1742&amp;"|"&amp;$J1742)</f>
        <v/>
      </c>
      <c r="L1742" s="10" t="str">
        <f aca="false">IF($A1742="","",ROW()-2)</f>
        <v/>
      </c>
      <c r="M1742" s="10" t="str">
        <f aca="false">IF($A1742="","",ROW())</f>
        <v/>
      </c>
    </row>
    <row r="1743" customFormat="false" ht="15" hidden="false" customHeight="true" outlineLevel="0" collapsed="false">
      <c r="A1743" s="8"/>
      <c r="B1743" s="8"/>
      <c r="C1743" s="8"/>
      <c r="D1743" s="8"/>
      <c r="E1743" s="8"/>
      <c r="F1743" s="8"/>
      <c r="G1743" s="10" t="str">
        <f aca="false">IF($A1743="","",UPPER(SUBSTITUTE(SUBSTITUTE(SUBSTITUTE(SUBSTITUTE($A1743," ",""),"(주)",""),"주식회사",""),"㈜","")))</f>
        <v/>
      </c>
      <c r="H1743" s="10" t="str">
        <f aca="false">IF($B1743="","",SUBSTITUTE(SUBSTITUTE(SUBSTITUTE($B1743,"-","")," ",""),".",""))</f>
        <v/>
      </c>
      <c r="I1743" s="10" t="str">
        <f aca="false">IF($D1743="","",SUBSTITUTE(SUBSTITUTE(SUBSTITUTE($D1743,"-","")," ",""),".",""))</f>
        <v/>
      </c>
      <c r="J1743" s="10" t="str">
        <f aca="false">IF($E1743="","",UPPER(SUBSTITUTE($E1743," ","")))</f>
        <v/>
      </c>
      <c r="K1743" s="10" t="str">
        <f aca="false">IF($A1743="","",$G1743&amp;"|"&amp;$J1743)</f>
        <v/>
      </c>
      <c r="L1743" s="10" t="str">
        <f aca="false">IF($A1743="","",ROW()-2)</f>
        <v/>
      </c>
      <c r="M1743" s="10" t="str">
        <f aca="false">IF($A1743="","",ROW())</f>
        <v/>
      </c>
    </row>
    <row r="1744" customFormat="false" ht="15" hidden="false" customHeight="true" outlineLevel="0" collapsed="false">
      <c r="A1744" s="8"/>
      <c r="B1744" s="8"/>
      <c r="C1744" s="8"/>
      <c r="D1744" s="8"/>
      <c r="E1744" s="8"/>
      <c r="F1744" s="8"/>
      <c r="G1744" s="10" t="str">
        <f aca="false">IF($A1744="","",UPPER(SUBSTITUTE(SUBSTITUTE(SUBSTITUTE(SUBSTITUTE($A1744," ",""),"(주)",""),"주식회사",""),"㈜","")))</f>
        <v/>
      </c>
      <c r="H1744" s="10" t="str">
        <f aca="false">IF($B1744="","",SUBSTITUTE(SUBSTITUTE(SUBSTITUTE($B1744,"-","")," ",""),".",""))</f>
        <v/>
      </c>
      <c r="I1744" s="10" t="str">
        <f aca="false">IF($D1744="","",SUBSTITUTE(SUBSTITUTE(SUBSTITUTE($D1744,"-","")," ",""),".",""))</f>
        <v/>
      </c>
      <c r="J1744" s="10" t="str">
        <f aca="false">IF($E1744="","",UPPER(SUBSTITUTE($E1744," ","")))</f>
        <v/>
      </c>
      <c r="K1744" s="10" t="str">
        <f aca="false">IF($A1744="","",$G1744&amp;"|"&amp;$J1744)</f>
        <v/>
      </c>
      <c r="L1744" s="10" t="str">
        <f aca="false">IF($A1744="","",ROW()-2)</f>
        <v/>
      </c>
      <c r="M1744" s="10" t="str">
        <f aca="false">IF($A1744="","",ROW())</f>
        <v/>
      </c>
    </row>
    <row r="1745" customFormat="false" ht="15" hidden="false" customHeight="true" outlineLevel="0" collapsed="false">
      <c r="A1745" s="8"/>
      <c r="B1745" s="8"/>
      <c r="C1745" s="8"/>
      <c r="D1745" s="8"/>
      <c r="E1745" s="8"/>
      <c r="F1745" s="8"/>
      <c r="G1745" s="10" t="str">
        <f aca="false">IF($A1745="","",UPPER(SUBSTITUTE(SUBSTITUTE(SUBSTITUTE(SUBSTITUTE($A1745," ",""),"(주)",""),"주식회사",""),"㈜","")))</f>
        <v/>
      </c>
      <c r="H1745" s="10" t="str">
        <f aca="false">IF($B1745="","",SUBSTITUTE(SUBSTITUTE(SUBSTITUTE($B1745,"-","")," ",""),".",""))</f>
        <v/>
      </c>
      <c r="I1745" s="10" t="str">
        <f aca="false">IF($D1745="","",SUBSTITUTE(SUBSTITUTE(SUBSTITUTE($D1745,"-","")," ",""),".",""))</f>
        <v/>
      </c>
      <c r="J1745" s="10" t="str">
        <f aca="false">IF($E1745="","",UPPER(SUBSTITUTE($E1745," ","")))</f>
        <v/>
      </c>
      <c r="K1745" s="10" t="str">
        <f aca="false">IF($A1745="","",$G1745&amp;"|"&amp;$J1745)</f>
        <v/>
      </c>
      <c r="L1745" s="10" t="str">
        <f aca="false">IF($A1745="","",ROW()-2)</f>
        <v/>
      </c>
      <c r="M1745" s="10" t="str">
        <f aca="false">IF($A1745="","",ROW())</f>
        <v/>
      </c>
    </row>
    <row r="1746" customFormat="false" ht="15" hidden="false" customHeight="true" outlineLevel="0" collapsed="false">
      <c r="A1746" s="8"/>
      <c r="B1746" s="8"/>
      <c r="C1746" s="8"/>
      <c r="D1746" s="8"/>
      <c r="E1746" s="8"/>
      <c r="F1746" s="8"/>
      <c r="G1746" s="10" t="str">
        <f aca="false">IF($A1746="","",UPPER(SUBSTITUTE(SUBSTITUTE(SUBSTITUTE(SUBSTITUTE($A1746," ",""),"(주)",""),"주식회사",""),"㈜","")))</f>
        <v/>
      </c>
      <c r="H1746" s="10" t="str">
        <f aca="false">IF($B1746="","",SUBSTITUTE(SUBSTITUTE(SUBSTITUTE($B1746,"-","")," ",""),".",""))</f>
        <v/>
      </c>
      <c r="I1746" s="10" t="str">
        <f aca="false">IF($D1746="","",SUBSTITUTE(SUBSTITUTE(SUBSTITUTE($D1746,"-","")," ",""),".",""))</f>
        <v/>
      </c>
      <c r="J1746" s="10" t="str">
        <f aca="false">IF($E1746="","",UPPER(SUBSTITUTE($E1746," ","")))</f>
        <v/>
      </c>
      <c r="K1746" s="10" t="str">
        <f aca="false">IF($A1746="","",$G1746&amp;"|"&amp;$J1746)</f>
        <v/>
      </c>
      <c r="L1746" s="10" t="str">
        <f aca="false">IF($A1746="","",ROW()-2)</f>
        <v/>
      </c>
      <c r="M1746" s="10" t="str">
        <f aca="false">IF($A1746="","",ROW())</f>
        <v/>
      </c>
    </row>
    <row r="1747" customFormat="false" ht="15" hidden="false" customHeight="true" outlineLevel="0" collapsed="false">
      <c r="A1747" s="8"/>
      <c r="B1747" s="8"/>
      <c r="C1747" s="8"/>
      <c r="D1747" s="8"/>
      <c r="E1747" s="8"/>
      <c r="F1747" s="8"/>
      <c r="G1747" s="10" t="str">
        <f aca="false">IF($A1747="","",UPPER(SUBSTITUTE(SUBSTITUTE(SUBSTITUTE(SUBSTITUTE($A1747," ",""),"(주)",""),"주식회사",""),"㈜","")))</f>
        <v/>
      </c>
      <c r="H1747" s="10" t="str">
        <f aca="false">IF($B1747="","",SUBSTITUTE(SUBSTITUTE(SUBSTITUTE($B1747,"-","")," ",""),".",""))</f>
        <v/>
      </c>
      <c r="I1747" s="10" t="str">
        <f aca="false">IF($D1747="","",SUBSTITUTE(SUBSTITUTE(SUBSTITUTE($D1747,"-","")," ",""),".",""))</f>
        <v/>
      </c>
      <c r="J1747" s="10" t="str">
        <f aca="false">IF($E1747="","",UPPER(SUBSTITUTE($E1747," ","")))</f>
        <v/>
      </c>
      <c r="K1747" s="10" t="str">
        <f aca="false">IF($A1747="","",$G1747&amp;"|"&amp;$J1747)</f>
        <v/>
      </c>
      <c r="L1747" s="10" t="str">
        <f aca="false">IF($A1747="","",ROW()-2)</f>
        <v/>
      </c>
      <c r="M1747" s="10" t="str">
        <f aca="false">IF($A1747="","",ROW())</f>
        <v/>
      </c>
    </row>
    <row r="1748" customFormat="false" ht="15" hidden="false" customHeight="true" outlineLevel="0" collapsed="false">
      <c r="A1748" s="8"/>
      <c r="B1748" s="8"/>
      <c r="C1748" s="8"/>
      <c r="D1748" s="8"/>
      <c r="E1748" s="8"/>
      <c r="F1748" s="8"/>
      <c r="G1748" s="10" t="str">
        <f aca="false">IF($A1748="","",UPPER(SUBSTITUTE(SUBSTITUTE(SUBSTITUTE(SUBSTITUTE($A1748," ",""),"(주)",""),"주식회사",""),"㈜","")))</f>
        <v/>
      </c>
      <c r="H1748" s="10" t="str">
        <f aca="false">IF($B1748="","",SUBSTITUTE(SUBSTITUTE(SUBSTITUTE($B1748,"-","")," ",""),".",""))</f>
        <v/>
      </c>
      <c r="I1748" s="10" t="str">
        <f aca="false">IF($D1748="","",SUBSTITUTE(SUBSTITUTE(SUBSTITUTE($D1748,"-","")," ",""),".",""))</f>
        <v/>
      </c>
      <c r="J1748" s="10" t="str">
        <f aca="false">IF($E1748="","",UPPER(SUBSTITUTE($E1748," ","")))</f>
        <v/>
      </c>
      <c r="K1748" s="10" t="str">
        <f aca="false">IF($A1748="","",$G1748&amp;"|"&amp;$J1748)</f>
        <v/>
      </c>
      <c r="L1748" s="10" t="str">
        <f aca="false">IF($A1748="","",ROW()-2)</f>
        <v/>
      </c>
      <c r="M1748" s="10" t="str">
        <f aca="false">IF($A1748="","",ROW())</f>
        <v/>
      </c>
    </row>
    <row r="1749" customFormat="false" ht="15" hidden="false" customHeight="true" outlineLevel="0" collapsed="false">
      <c r="A1749" s="8"/>
      <c r="B1749" s="8"/>
      <c r="C1749" s="8"/>
      <c r="D1749" s="8"/>
      <c r="E1749" s="8"/>
      <c r="F1749" s="8"/>
      <c r="G1749" s="10" t="str">
        <f aca="false">IF($A1749="","",UPPER(SUBSTITUTE(SUBSTITUTE(SUBSTITUTE(SUBSTITUTE($A1749," ",""),"(주)",""),"주식회사",""),"㈜","")))</f>
        <v/>
      </c>
      <c r="H1749" s="10" t="str">
        <f aca="false">IF($B1749="","",SUBSTITUTE(SUBSTITUTE(SUBSTITUTE($B1749,"-","")," ",""),".",""))</f>
        <v/>
      </c>
      <c r="I1749" s="10" t="str">
        <f aca="false">IF($D1749="","",SUBSTITUTE(SUBSTITUTE(SUBSTITUTE($D1749,"-","")," ",""),".",""))</f>
        <v/>
      </c>
      <c r="J1749" s="10" t="str">
        <f aca="false">IF($E1749="","",UPPER(SUBSTITUTE($E1749," ","")))</f>
        <v/>
      </c>
      <c r="K1749" s="10" t="str">
        <f aca="false">IF($A1749="","",$G1749&amp;"|"&amp;$J1749)</f>
        <v/>
      </c>
      <c r="L1749" s="10" t="str">
        <f aca="false">IF($A1749="","",ROW()-2)</f>
        <v/>
      </c>
      <c r="M1749" s="10" t="str">
        <f aca="false">IF($A1749="","",ROW())</f>
        <v/>
      </c>
    </row>
    <row r="1750" customFormat="false" ht="15" hidden="false" customHeight="true" outlineLevel="0" collapsed="false">
      <c r="A1750" s="8"/>
      <c r="B1750" s="8"/>
      <c r="C1750" s="8"/>
      <c r="D1750" s="8"/>
      <c r="E1750" s="8"/>
      <c r="F1750" s="8"/>
      <c r="G1750" s="10" t="str">
        <f aca="false">IF($A1750="","",UPPER(SUBSTITUTE(SUBSTITUTE(SUBSTITUTE(SUBSTITUTE($A1750," ",""),"(주)",""),"주식회사",""),"㈜","")))</f>
        <v/>
      </c>
      <c r="H1750" s="10" t="str">
        <f aca="false">IF($B1750="","",SUBSTITUTE(SUBSTITUTE(SUBSTITUTE($B1750,"-","")," ",""),".",""))</f>
        <v/>
      </c>
      <c r="I1750" s="10" t="str">
        <f aca="false">IF($D1750="","",SUBSTITUTE(SUBSTITUTE(SUBSTITUTE($D1750,"-","")," ",""),".",""))</f>
        <v/>
      </c>
      <c r="J1750" s="10" t="str">
        <f aca="false">IF($E1750="","",UPPER(SUBSTITUTE($E1750," ","")))</f>
        <v/>
      </c>
      <c r="K1750" s="10" t="str">
        <f aca="false">IF($A1750="","",$G1750&amp;"|"&amp;$J1750)</f>
        <v/>
      </c>
      <c r="L1750" s="10" t="str">
        <f aca="false">IF($A1750="","",ROW()-2)</f>
        <v/>
      </c>
      <c r="M1750" s="10" t="str">
        <f aca="false">IF($A1750="","",ROW())</f>
        <v/>
      </c>
    </row>
    <row r="1751" customFormat="false" ht="15" hidden="false" customHeight="true" outlineLevel="0" collapsed="false">
      <c r="A1751" s="8"/>
      <c r="B1751" s="8"/>
      <c r="C1751" s="8"/>
      <c r="D1751" s="8"/>
      <c r="E1751" s="8"/>
      <c r="F1751" s="8"/>
      <c r="G1751" s="10" t="str">
        <f aca="false">IF($A1751="","",UPPER(SUBSTITUTE(SUBSTITUTE(SUBSTITUTE(SUBSTITUTE($A1751," ",""),"(주)",""),"주식회사",""),"㈜","")))</f>
        <v/>
      </c>
      <c r="H1751" s="10" t="str">
        <f aca="false">IF($B1751="","",SUBSTITUTE(SUBSTITUTE(SUBSTITUTE($B1751,"-","")," ",""),".",""))</f>
        <v/>
      </c>
      <c r="I1751" s="10" t="str">
        <f aca="false">IF($D1751="","",SUBSTITUTE(SUBSTITUTE(SUBSTITUTE($D1751,"-","")," ",""),".",""))</f>
        <v/>
      </c>
      <c r="J1751" s="10" t="str">
        <f aca="false">IF($E1751="","",UPPER(SUBSTITUTE($E1751," ","")))</f>
        <v/>
      </c>
      <c r="K1751" s="10" t="str">
        <f aca="false">IF($A1751="","",$G1751&amp;"|"&amp;$J1751)</f>
        <v/>
      </c>
      <c r="L1751" s="10" t="str">
        <f aca="false">IF($A1751="","",ROW()-2)</f>
        <v/>
      </c>
      <c r="M1751" s="10" t="str">
        <f aca="false">IF($A1751="","",ROW())</f>
        <v/>
      </c>
    </row>
    <row r="1752" customFormat="false" ht="15" hidden="false" customHeight="true" outlineLevel="0" collapsed="false">
      <c r="A1752" s="8"/>
      <c r="B1752" s="8"/>
      <c r="C1752" s="8"/>
      <c r="D1752" s="8"/>
      <c r="E1752" s="8"/>
      <c r="F1752" s="8"/>
      <c r="G1752" s="10" t="str">
        <f aca="false">IF($A1752="","",UPPER(SUBSTITUTE(SUBSTITUTE(SUBSTITUTE(SUBSTITUTE($A1752," ",""),"(주)",""),"주식회사",""),"㈜","")))</f>
        <v/>
      </c>
      <c r="H1752" s="10" t="str">
        <f aca="false">IF($B1752="","",SUBSTITUTE(SUBSTITUTE(SUBSTITUTE($B1752,"-","")," ",""),".",""))</f>
        <v/>
      </c>
      <c r="I1752" s="10" t="str">
        <f aca="false">IF($D1752="","",SUBSTITUTE(SUBSTITUTE(SUBSTITUTE($D1752,"-","")," ",""),".",""))</f>
        <v/>
      </c>
      <c r="J1752" s="10" t="str">
        <f aca="false">IF($E1752="","",UPPER(SUBSTITUTE($E1752," ","")))</f>
        <v/>
      </c>
      <c r="K1752" s="10" t="str">
        <f aca="false">IF($A1752="","",$G1752&amp;"|"&amp;$J1752)</f>
        <v/>
      </c>
      <c r="L1752" s="10" t="str">
        <f aca="false">IF($A1752="","",ROW()-2)</f>
        <v/>
      </c>
      <c r="M1752" s="10" t="str">
        <f aca="false">IF($A1752="","",ROW())</f>
        <v/>
      </c>
    </row>
    <row r="1753" customFormat="false" ht="15" hidden="false" customHeight="true" outlineLevel="0" collapsed="false">
      <c r="A1753" s="8"/>
      <c r="B1753" s="8"/>
      <c r="C1753" s="8"/>
      <c r="D1753" s="8"/>
      <c r="E1753" s="8"/>
      <c r="F1753" s="8"/>
      <c r="G1753" s="10" t="str">
        <f aca="false">IF($A1753="","",UPPER(SUBSTITUTE(SUBSTITUTE(SUBSTITUTE(SUBSTITUTE($A1753," ",""),"(주)",""),"주식회사",""),"㈜","")))</f>
        <v/>
      </c>
      <c r="H1753" s="10" t="str">
        <f aca="false">IF($B1753="","",SUBSTITUTE(SUBSTITUTE(SUBSTITUTE($B1753,"-","")," ",""),".",""))</f>
        <v/>
      </c>
      <c r="I1753" s="10" t="str">
        <f aca="false">IF($D1753="","",SUBSTITUTE(SUBSTITUTE(SUBSTITUTE($D1753,"-","")," ",""),".",""))</f>
        <v/>
      </c>
      <c r="J1753" s="10" t="str">
        <f aca="false">IF($E1753="","",UPPER(SUBSTITUTE($E1753," ","")))</f>
        <v/>
      </c>
      <c r="K1753" s="10" t="str">
        <f aca="false">IF($A1753="","",$G1753&amp;"|"&amp;$J1753)</f>
        <v/>
      </c>
      <c r="L1753" s="10" t="str">
        <f aca="false">IF($A1753="","",ROW()-2)</f>
        <v/>
      </c>
      <c r="M1753" s="10" t="str">
        <f aca="false">IF($A1753="","",ROW())</f>
        <v/>
      </c>
    </row>
    <row r="1754" customFormat="false" ht="15" hidden="false" customHeight="true" outlineLevel="0" collapsed="false">
      <c r="A1754" s="8"/>
      <c r="B1754" s="8"/>
      <c r="C1754" s="8"/>
      <c r="D1754" s="8"/>
      <c r="E1754" s="8"/>
      <c r="F1754" s="8"/>
      <c r="G1754" s="10" t="str">
        <f aca="false">IF($A1754="","",UPPER(SUBSTITUTE(SUBSTITUTE(SUBSTITUTE(SUBSTITUTE($A1754," ",""),"(주)",""),"주식회사",""),"㈜","")))</f>
        <v/>
      </c>
      <c r="H1754" s="10" t="str">
        <f aca="false">IF($B1754="","",SUBSTITUTE(SUBSTITUTE(SUBSTITUTE($B1754,"-","")," ",""),".",""))</f>
        <v/>
      </c>
      <c r="I1754" s="10" t="str">
        <f aca="false">IF($D1754="","",SUBSTITUTE(SUBSTITUTE(SUBSTITUTE($D1754,"-","")," ",""),".",""))</f>
        <v/>
      </c>
      <c r="J1754" s="10" t="str">
        <f aca="false">IF($E1754="","",UPPER(SUBSTITUTE($E1754," ","")))</f>
        <v/>
      </c>
      <c r="K1754" s="10" t="str">
        <f aca="false">IF($A1754="","",$G1754&amp;"|"&amp;$J1754)</f>
        <v/>
      </c>
      <c r="L1754" s="10" t="str">
        <f aca="false">IF($A1754="","",ROW()-2)</f>
        <v/>
      </c>
      <c r="M1754" s="10" t="str">
        <f aca="false">IF($A1754="","",ROW())</f>
        <v/>
      </c>
    </row>
    <row r="1755" customFormat="false" ht="15" hidden="false" customHeight="true" outlineLevel="0" collapsed="false">
      <c r="A1755" s="8"/>
      <c r="B1755" s="8"/>
      <c r="C1755" s="8"/>
      <c r="D1755" s="8"/>
      <c r="E1755" s="8"/>
      <c r="F1755" s="8"/>
      <c r="G1755" s="10" t="str">
        <f aca="false">IF($A1755="","",UPPER(SUBSTITUTE(SUBSTITUTE(SUBSTITUTE(SUBSTITUTE($A1755," ",""),"(주)",""),"주식회사",""),"㈜","")))</f>
        <v/>
      </c>
      <c r="H1755" s="10" t="str">
        <f aca="false">IF($B1755="","",SUBSTITUTE(SUBSTITUTE(SUBSTITUTE($B1755,"-","")," ",""),".",""))</f>
        <v/>
      </c>
      <c r="I1755" s="10" t="str">
        <f aca="false">IF($D1755="","",SUBSTITUTE(SUBSTITUTE(SUBSTITUTE($D1755,"-","")," ",""),".",""))</f>
        <v/>
      </c>
      <c r="J1755" s="10" t="str">
        <f aca="false">IF($E1755="","",UPPER(SUBSTITUTE($E1755," ","")))</f>
        <v/>
      </c>
      <c r="K1755" s="10" t="str">
        <f aca="false">IF($A1755="","",$G1755&amp;"|"&amp;$J1755)</f>
        <v/>
      </c>
      <c r="L1755" s="10" t="str">
        <f aca="false">IF($A1755="","",ROW()-2)</f>
        <v/>
      </c>
      <c r="M1755" s="10" t="str">
        <f aca="false">IF($A1755="","",ROW())</f>
        <v/>
      </c>
    </row>
    <row r="1756" customFormat="false" ht="15" hidden="false" customHeight="true" outlineLevel="0" collapsed="false">
      <c r="A1756" s="8"/>
      <c r="B1756" s="8"/>
      <c r="C1756" s="8"/>
      <c r="D1756" s="8"/>
      <c r="E1756" s="8"/>
      <c r="F1756" s="8"/>
      <c r="G1756" s="10" t="str">
        <f aca="false">IF($A1756="","",UPPER(SUBSTITUTE(SUBSTITUTE(SUBSTITUTE(SUBSTITUTE($A1756," ",""),"(주)",""),"주식회사",""),"㈜","")))</f>
        <v/>
      </c>
      <c r="H1756" s="10" t="str">
        <f aca="false">IF($B1756="","",SUBSTITUTE(SUBSTITUTE(SUBSTITUTE($B1756,"-","")," ",""),".",""))</f>
        <v/>
      </c>
      <c r="I1756" s="10" t="str">
        <f aca="false">IF($D1756="","",SUBSTITUTE(SUBSTITUTE(SUBSTITUTE($D1756,"-","")," ",""),".",""))</f>
        <v/>
      </c>
      <c r="J1756" s="10" t="str">
        <f aca="false">IF($E1756="","",UPPER(SUBSTITUTE($E1756," ","")))</f>
        <v/>
      </c>
      <c r="K1756" s="10" t="str">
        <f aca="false">IF($A1756="","",$G1756&amp;"|"&amp;$J1756)</f>
        <v/>
      </c>
      <c r="L1756" s="10" t="str">
        <f aca="false">IF($A1756="","",ROW()-2)</f>
        <v/>
      </c>
      <c r="M1756" s="10" t="str">
        <f aca="false">IF($A1756="","",ROW())</f>
        <v/>
      </c>
    </row>
    <row r="1757" customFormat="false" ht="15" hidden="false" customHeight="true" outlineLevel="0" collapsed="false">
      <c r="A1757" s="8"/>
      <c r="B1757" s="8"/>
      <c r="C1757" s="8"/>
      <c r="D1757" s="8"/>
      <c r="E1757" s="8"/>
      <c r="F1757" s="8"/>
      <c r="G1757" s="10" t="str">
        <f aca="false">IF($A1757="","",UPPER(SUBSTITUTE(SUBSTITUTE(SUBSTITUTE(SUBSTITUTE($A1757," ",""),"(주)",""),"주식회사",""),"㈜","")))</f>
        <v/>
      </c>
      <c r="H1757" s="10" t="str">
        <f aca="false">IF($B1757="","",SUBSTITUTE(SUBSTITUTE(SUBSTITUTE($B1757,"-","")," ",""),".",""))</f>
        <v/>
      </c>
      <c r="I1757" s="10" t="str">
        <f aca="false">IF($D1757="","",SUBSTITUTE(SUBSTITUTE(SUBSTITUTE($D1757,"-","")," ",""),".",""))</f>
        <v/>
      </c>
      <c r="J1757" s="10" t="str">
        <f aca="false">IF($E1757="","",UPPER(SUBSTITUTE($E1757," ","")))</f>
        <v/>
      </c>
      <c r="K1757" s="10" t="str">
        <f aca="false">IF($A1757="","",$G1757&amp;"|"&amp;$J1757)</f>
        <v/>
      </c>
      <c r="L1757" s="10" t="str">
        <f aca="false">IF($A1757="","",ROW()-2)</f>
        <v/>
      </c>
      <c r="M1757" s="10" t="str">
        <f aca="false">IF($A1757="","",ROW())</f>
        <v/>
      </c>
    </row>
    <row r="1758" customFormat="false" ht="15" hidden="false" customHeight="true" outlineLevel="0" collapsed="false">
      <c r="A1758" s="8"/>
      <c r="B1758" s="8"/>
      <c r="C1758" s="8"/>
      <c r="D1758" s="8"/>
      <c r="E1758" s="8"/>
      <c r="F1758" s="8"/>
      <c r="G1758" s="10" t="str">
        <f aca="false">IF($A1758="","",UPPER(SUBSTITUTE(SUBSTITUTE(SUBSTITUTE(SUBSTITUTE($A1758," ",""),"(주)",""),"주식회사",""),"㈜","")))</f>
        <v/>
      </c>
      <c r="H1758" s="10" t="str">
        <f aca="false">IF($B1758="","",SUBSTITUTE(SUBSTITUTE(SUBSTITUTE($B1758,"-","")," ",""),".",""))</f>
        <v/>
      </c>
      <c r="I1758" s="10" t="str">
        <f aca="false">IF($D1758="","",SUBSTITUTE(SUBSTITUTE(SUBSTITUTE($D1758,"-","")," ",""),".",""))</f>
        <v/>
      </c>
      <c r="J1758" s="10" t="str">
        <f aca="false">IF($E1758="","",UPPER(SUBSTITUTE($E1758," ","")))</f>
        <v/>
      </c>
      <c r="K1758" s="10" t="str">
        <f aca="false">IF($A1758="","",$G1758&amp;"|"&amp;$J1758)</f>
        <v/>
      </c>
      <c r="L1758" s="10" t="str">
        <f aca="false">IF($A1758="","",ROW()-2)</f>
        <v/>
      </c>
      <c r="M1758" s="10" t="str">
        <f aca="false">IF($A1758="","",ROW())</f>
        <v/>
      </c>
    </row>
    <row r="1759" customFormat="false" ht="15" hidden="false" customHeight="true" outlineLevel="0" collapsed="false">
      <c r="A1759" s="8"/>
      <c r="B1759" s="8"/>
      <c r="C1759" s="8"/>
      <c r="D1759" s="8"/>
      <c r="E1759" s="8"/>
      <c r="F1759" s="8"/>
      <c r="G1759" s="10" t="str">
        <f aca="false">IF($A1759="","",UPPER(SUBSTITUTE(SUBSTITUTE(SUBSTITUTE(SUBSTITUTE($A1759," ",""),"(주)",""),"주식회사",""),"㈜","")))</f>
        <v/>
      </c>
      <c r="H1759" s="10" t="str">
        <f aca="false">IF($B1759="","",SUBSTITUTE(SUBSTITUTE(SUBSTITUTE($B1759,"-","")," ",""),".",""))</f>
        <v/>
      </c>
      <c r="I1759" s="10" t="str">
        <f aca="false">IF($D1759="","",SUBSTITUTE(SUBSTITUTE(SUBSTITUTE($D1759,"-","")," ",""),".",""))</f>
        <v/>
      </c>
      <c r="J1759" s="10" t="str">
        <f aca="false">IF($E1759="","",UPPER(SUBSTITUTE($E1759," ","")))</f>
        <v/>
      </c>
      <c r="K1759" s="10" t="str">
        <f aca="false">IF($A1759="","",$G1759&amp;"|"&amp;$J1759)</f>
        <v/>
      </c>
      <c r="L1759" s="10" t="str">
        <f aca="false">IF($A1759="","",ROW()-2)</f>
        <v/>
      </c>
      <c r="M1759" s="10" t="str">
        <f aca="false">IF($A1759="","",ROW())</f>
        <v/>
      </c>
    </row>
    <row r="1760" customFormat="false" ht="15" hidden="false" customHeight="true" outlineLevel="0" collapsed="false">
      <c r="A1760" s="8"/>
      <c r="B1760" s="8"/>
      <c r="C1760" s="8"/>
      <c r="D1760" s="8"/>
      <c r="E1760" s="8"/>
      <c r="F1760" s="8"/>
      <c r="G1760" s="10" t="str">
        <f aca="false">IF($A1760="","",UPPER(SUBSTITUTE(SUBSTITUTE(SUBSTITUTE(SUBSTITUTE($A1760," ",""),"(주)",""),"주식회사",""),"㈜","")))</f>
        <v/>
      </c>
      <c r="H1760" s="10" t="str">
        <f aca="false">IF($B1760="","",SUBSTITUTE(SUBSTITUTE(SUBSTITUTE($B1760,"-","")," ",""),".",""))</f>
        <v/>
      </c>
      <c r="I1760" s="10" t="str">
        <f aca="false">IF($D1760="","",SUBSTITUTE(SUBSTITUTE(SUBSTITUTE($D1760,"-","")," ",""),".",""))</f>
        <v/>
      </c>
      <c r="J1760" s="10" t="str">
        <f aca="false">IF($E1760="","",UPPER(SUBSTITUTE($E1760," ","")))</f>
        <v/>
      </c>
      <c r="K1760" s="10" t="str">
        <f aca="false">IF($A1760="","",$G1760&amp;"|"&amp;$J1760)</f>
        <v/>
      </c>
      <c r="L1760" s="10" t="str">
        <f aca="false">IF($A1760="","",ROW()-2)</f>
        <v/>
      </c>
      <c r="M1760" s="10" t="str">
        <f aca="false">IF($A1760="","",ROW())</f>
        <v/>
      </c>
    </row>
    <row r="1761" customFormat="false" ht="15" hidden="false" customHeight="true" outlineLevel="0" collapsed="false">
      <c r="A1761" s="8"/>
      <c r="B1761" s="8"/>
      <c r="C1761" s="8"/>
      <c r="D1761" s="8"/>
      <c r="E1761" s="8"/>
      <c r="F1761" s="8"/>
      <c r="G1761" s="10" t="str">
        <f aca="false">IF($A1761="","",UPPER(SUBSTITUTE(SUBSTITUTE(SUBSTITUTE(SUBSTITUTE($A1761," ",""),"(주)",""),"주식회사",""),"㈜","")))</f>
        <v/>
      </c>
      <c r="H1761" s="10" t="str">
        <f aca="false">IF($B1761="","",SUBSTITUTE(SUBSTITUTE(SUBSTITUTE($B1761,"-","")," ",""),".",""))</f>
        <v/>
      </c>
      <c r="I1761" s="10" t="str">
        <f aca="false">IF($D1761="","",SUBSTITUTE(SUBSTITUTE(SUBSTITUTE($D1761,"-","")," ",""),".",""))</f>
        <v/>
      </c>
      <c r="J1761" s="10" t="str">
        <f aca="false">IF($E1761="","",UPPER(SUBSTITUTE($E1761," ","")))</f>
        <v/>
      </c>
      <c r="K1761" s="10" t="str">
        <f aca="false">IF($A1761="","",$G1761&amp;"|"&amp;$J1761)</f>
        <v/>
      </c>
      <c r="L1761" s="10" t="str">
        <f aca="false">IF($A1761="","",ROW()-2)</f>
        <v/>
      </c>
      <c r="M1761" s="10" t="str">
        <f aca="false">IF($A1761="","",ROW())</f>
        <v/>
      </c>
    </row>
    <row r="1762" customFormat="false" ht="15" hidden="false" customHeight="true" outlineLevel="0" collapsed="false">
      <c r="A1762" s="8"/>
      <c r="B1762" s="8"/>
      <c r="C1762" s="8"/>
      <c r="D1762" s="8"/>
      <c r="E1762" s="8"/>
      <c r="F1762" s="8"/>
      <c r="G1762" s="10" t="str">
        <f aca="false">IF($A1762="","",UPPER(SUBSTITUTE(SUBSTITUTE(SUBSTITUTE(SUBSTITUTE($A1762," ",""),"(주)",""),"주식회사",""),"㈜","")))</f>
        <v/>
      </c>
      <c r="H1762" s="10" t="str">
        <f aca="false">IF($B1762="","",SUBSTITUTE(SUBSTITUTE(SUBSTITUTE($B1762,"-","")," ",""),".",""))</f>
        <v/>
      </c>
      <c r="I1762" s="10" t="str">
        <f aca="false">IF($D1762="","",SUBSTITUTE(SUBSTITUTE(SUBSTITUTE($D1762,"-","")," ",""),".",""))</f>
        <v/>
      </c>
      <c r="J1762" s="10" t="str">
        <f aca="false">IF($E1762="","",UPPER(SUBSTITUTE($E1762," ","")))</f>
        <v/>
      </c>
      <c r="K1762" s="10" t="str">
        <f aca="false">IF($A1762="","",$G1762&amp;"|"&amp;$J1762)</f>
        <v/>
      </c>
      <c r="L1762" s="10" t="str">
        <f aca="false">IF($A1762="","",ROW()-2)</f>
        <v/>
      </c>
      <c r="M1762" s="10" t="str">
        <f aca="false">IF($A1762="","",ROW())</f>
        <v/>
      </c>
    </row>
    <row r="1763" customFormat="false" ht="15" hidden="false" customHeight="true" outlineLevel="0" collapsed="false">
      <c r="A1763" s="8"/>
      <c r="B1763" s="8"/>
      <c r="C1763" s="8"/>
      <c r="D1763" s="8"/>
      <c r="E1763" s="8"/>
      <c r="F1763" s="8"/>
      <c r="G1763" s="10" t="str">
        <f aca="false">IF($A1763="","",UPPER(SUBSTITUTE(SUBSTITUTE(SUBSTITUTE(SUBSTITUTE($A1763," ",""),"(주)",""),"주식회사",""),"㈜","")))</f>
        <v/>
      </c>
      <c r="H1763" s="10" t="str">
        <f aca="false">IF($B1763="","",SUBSTITUTE(SUBSTITUTE(SUBSTITUTE($B1763,"-","")," ",""),".",""))</f>
        <v/>
      </c>
      <c r="I1763" s="10" t="str">
        <f aca="false">IF($D1763="","",SUBSTITUTE(SUBSTITUTE(SUBSTITUTE($D1763,"-","")," ",""),".",""))</f>
        <v/>
      </c>
      <c r="J1763" s="10" t="str">
        <f aca="false">IF($E1763="","",UPPER(SUBSTITUTE($E1763," ","")))</f>
        <v/>
      </c>
      <c r="K1763" s="10" t="str">
        <f aca="false">IF($A1763="","",$G1763&amp;"|"&amp;$J1763)</f>
        <v/>
      </c>
      <c r="L1763" s="10" t="str">
        <f aca="false">IF($A1763="","",ROW()-2)</f>
        <v/>
      </c>
      <c r="M1763" s="10" t="str">
        <f aca="false">IF($A1763="","",ROW())</f>
        <v/>
      </c>
    </row>
    <row r="1764" customFormat="false" ht="15" hidden="false" customHeight="true" outlineLevel="0" collapsed="false">
      <c r="A1764" s="8"/>
      <c r="B1764" s="8"/>
      <c r="C1764" s="8"/>
      <c r="D1764" s="8"/>
      <c r="E1764" s="8"/>
      <c r="F1764" s="8"/>
      <c r="G1764" s="10" t="str">
        <f aca="false">IF($A1764="","",UPPER(SUBSTITUTE(SUBSTITUTE(SUBSTITUTE(SUBSTITUTE($A1764," ",""),"(주)",""),"주식회사",""),"㈜","")))</f>
        <v/>
      </c>
      <c r="H1764" s="10" t="str">
        <f aca="false">IF($B1764="","",SUBSTITUTE(SUBSTITUTE(SUBSTITUTE($B1764,"-","")," ",""),".",""))</f>
        <v/>
      </c>
      <c r="I1764" s="10" t="str">
        <f aca="false">IF($D1764="","",SUBSTITUTE(SUBSTITUTE(SUBSTITUTE($D1764,"-","")," ",""),".",""))</f>
        <v/>
      </c>
      <c r="J1764" s="10" t="str">
        <f aca="false">IF($E1764="","",UPPER(SUBSTITUTE($E1764," ","")))</f>
        <v/>
      </c>
      <c r="K1764" s="10" t="str">
        <f aca="false">IF($A1764="","",$G1764&amp;"|"&amp;$J1764)</f>
        <v/>
      </c>
      <c r="L1764" s="10" t="str">
        <f aca="false">IF($A1764="","",ROW()-2)</f>
        <v/>
      </c>
      <c r="M1764" s="10" t="str">
        <f aca="false">IF($A1764="","",ROW())</f>
        <v/>
      </c>
    </row>
    <row r="1765" customFormat="false" ht="15" hidden="false" customHeight="true" outlineLevel="0" collapsed="false">
      <c r="A1765" s="8"/>
      <c r="B1765" s="8"/>
      <c r="C1765" s="8"/>
      <c r="D1765" s="8"/>
      <c r="E1765" s="8"/>
      <c r="F1765" s="8"/>
      <c r="G1765" s="10" t="str">
        <f aca="false">IF($A1765="","",UPPER(SUBSTITUTE(SUBSTITUTE(SUBSTITUTE(SUBSTITUTE($A1765," ",""),"(주)",""),"주식회사",""),"㈜","")))</f>
        <v/>
      </c>
      <c r="H1765" s="10" t="str">
        <f aca="false">IF($B1765="","",SUBSTITUTE(SUBSTITUTE(SUBSTITUTE($B1765,"-","")," ",""),".",""))</f>
        <v/>
      </c>
      <c r="I1765" s="10" t="str">
        <f aca="false">IF($D1765="","",SUBSTITUTE(SUBSTITUTE(SUBSTITUTE($D1765,"-","")," ",""),".",""))</f>
        <v/>
      </c>
      <c r="J1765" s="10" t="str">
        <f aca="false">IF($E1765="","",UPPER(SUBSTITUTE($E1765," ","")))</f>
        <v/>
      </c>
      <c r="K1765" s="10" t="str">
        <f aca="false">IF($A1765="","",$G1765&amp;"|"&amp;$J1765)</f>
        <v/>
      </c>
      <c r="L1765" s="10" t="str">
        <f aca="false">IF($A1765="","",ROW()-2)</f>
        <v/>
      </c>
      <c r="M1765" s="10" t="str">
        <f aca="false">IF($A1765="","",ROW())</f>
        <v/>
      </c>
    </row>
    <row r="1766" customFormat="false" ht="15" hidden="false" customHeight="true" outlineLevel="0" collapsed="false">
      <c r="A1766" s="8"/>
      <c r="B1766" s="8"/>
      <c r="C1766" s="8"/>
      <c r="D1766" s="8"/>
      <c r="E1766" s="8"/>
      <c r="F1766" s="8"/>
      <c r="G1766" s="10" t="str">
        <f aca="false">IF($A1766="","",UPPER(SUBSTITUTE(SUBSTITUTE(SUBSTITUTE(SUBSTITUTE($A1766," ",""),"(주)",""),"주식회사",""),"㈜","")))</f>
        <v/>
      </c>
      <c r="H1766" s="10" t="str">
        <f aca="false">IF($B1766="","",SUBSTITUTE(SUBSTITUTE(SUBSTITUTE($B1766,"-","")," ",""),".",""))</f>
        <v/>
      </c>
      <c r="I1766" s="10" t="str">
        <f aca="false">IF($D1766="","",SUBSTITUTE(SUBSTITUTE(SUBSTITUTE($D1766,"-","")," ",""),".",""))</f>
        <v/>
      </c>
      <c r="J1766" s="10" t="str">
        <f aca="false">IF($E1766="","",UPPER(SUBSTITUTE($E1766," ","")))</f>
        <v/>
      </c>
      <c r="K1766" s="10" t="str">
        <f aca="false">IF($A1766="","",$G1766&amp;"|"&amp;$J1766)</f>
        <v/>
      </c>
      <c r="L1766" s="10" t="str">
        <f aca="false">IF($A1766="","",ROW()-2)</f>
        <v/>
      </c>
      <c r="M1766" s="10" t="str">
        <f aca="false">IF($A1766="","",ROW())</f>
        <v/>
      </c>
    </row>
    <row r="1767" customFormat="false" ht="15" hidden="false" customHeight="true" outlineLevel="0" collapsed="false">
      <c r="A1767" s="8"/>
      <c r="B1767" s="8"/>
      <c r="C1767" s="8"/>
      <c r="D1767" s="8"/>
      <c r="E1767" s="8"/>
      <c r="F1767" s="8"/>
      <c r="G1767" s="10" t="str">
        <f aca="false">IF($A1767="","",UPPER(SUBSTITUTE(SUBSTITUTE(SUBSTITUTE(SUBSTITUTE($A1767," ",""),"(주)",""),"주식회사",""),"㈜","")))</f>
        <v/>
      </c>
      <c r="H1767" s="10" t="str">
        <f aca="false">IF($B1767="","",SUBSTITUTE(SUBSTITUTE(SUBSTITUTE($B1767,"-","")," ",""),".",""))</f>
        <v/>
      </c>
      <c r="I1767" s="10" t="str">
        <f aca="false">IF($D1767="","",SUBSTITUTE(SUBSTITUTE(SUBSTITUTE($D1767,"-","")," ",""),".",""))</f>
        <v/>
      </c>
      <c r="J1767" s="10" t="str">
        <f aca="false">IF($E1767="","",UPPER(SUBSTITUTE($E1767," ","")))</f>
        <v/>
      </c>
      <c r="K1767" s="10" t="str">
        <f aca="false">IF($A1767="","",$G1767&amp;"|"&amp;$J1767)</f>
        <v/>
      </c>
      <c r="L1767" s="10" t="str">
        <f aca="false">IF($A1767="","",ROW()-2)</f>
        <v/>
      </c>
      <c r="M1767" s="10" t="str">
        <f aca="false">IF($A1767="","",ROW())</f>
        <v/>
      </c>
    </row>
    <row r="1768" customFormat="false" ht="15" hidden="false" customHeight="true" outlineLevel="0" collapsed="false">
      <c r="A1768" s="8"/>
      <c r="B1768" s="8"/>
      <c r="C1768" s="8"/>
      <c r="D1768" s="8"/>
      <c r="E1768" s="8"/>
      <c r="F1768" s="8"/>
      <c r="G1768" s="10" t="str">
        <f aca="false">IF($A1768="","",UPPER(SUBSTITUTE(SUBSTITUTE(SUBSTITUTE(SUBSTITUTE($A1768," ",""),"(주)",""),"주식회사",""),"㈜","")))</f>
        <v/>
      </c>
      <c r="H1768" s="10" t="str">
        <f aca="false">IF($B1768="","",SUBSTITUTE(SUBSTITUTE(SUBSTITUTE($B1768,"-","")," ",""),".",""))</f>
        <v/>
      </c>
      <c r="I1768" s="10" t="str">
        <f aca="false">IF($D1768="","",SUBSTITUTE(SUBSTITUTE(SUBSTITUTE($D1768,"-","")," ",""),".",""))</f>
        <v/>
      </c>
      <c r="J1768" s="10" t="str">
        <f aca="false">IF($E1768="","",UPPER(SUBSTITUTE($E1768," ","")))</f>
        <v/>
      </c>
      <c r="K1768" s="10" t="str">
        <f aca="false">IF($A1768="","",$G1768&amp;"|"&amp;$J1768)</f>
        <v/>
      </c>
      <c r="L1768" s="10" t="str">
        <f aca="false">IF($A1768="","",ROW()-2)</f>
        <v/>
      </c>
      <c r="M1768" s="10" t="str">
        <f aca="false">IF($A1768="","",ROW())</f>
        <v/>
      </c>
    </row>
    <row r="1769" customFormat="false" ht="15" hidden="false" customHeight="true" outlineLevel="0" collapsed="false">
      <c r="A1769" s="8"/>
      <c r="B1769" s="8"/>
      <c r="C1769" s="8"/>
      <c r="D1769" s="8"/>
      <c r="E1769" s="8"/>
      <c r="F1769" s="8"/>
      <c r="G1769" s="10" t="str">
        <f aca="false">IF($A1769="","",UPPER(SUBSTITUTE(SUBSTITUTE(SUBSTITUTE(SUBSTITUTE($A1769," ",""),"(주)",""),"주식회사",""),"㈜","")))</f>
        <v/>
      </c>
      <c r="H1769" s="10" t="str">
        <f aca="false">IF($B1769="","",SUBSTITUTE(SUBSTITUTE(SUBSTITUTE($B1769,"-","")," ",""),".",""))</f>
        <v/>
      </c>
      <c r="I1769" s="10" t="str">
        <f aca="false">IF($D1769="","",SUBSTITUTE(SUBSTITUTE(SUBSTITUTE($D1769,"-","")," ",""),".",""))</f>
        <v/>
      </c>
      <c r="J1769" s="10" t="str">
        <f aca="false">IF($E1769="","",UPPER(SUBSTITUTE($E1769," ","")))</f>
        <v/>
      </c>
      <c r="K1769" s="10" t="str">
        <f aca="false">IF($A1769="","",$G1769&amp;"|"&amp;$J1769)</f>
        <v/>
      </c>
      <c r="L1769" s="10" t="str">
        <f aca="false">IF($A1769="","",ROW()-2)</f>
        <v/>
      </c>
      <c r="M1769" s="10" t="str">
        <f aca="false">IF($A1769="","",ROW())</f>
        <v/>
      </c>
    </row>
    <row r="1770" customFormat="false" ht="15" hidden="false" customHeight="true" outlineLevel="0" collapsed="false">
      <c r="A1770" s="8"/>
      <c r="B1770" s="8"/>
      <c r="C1770" s="8"/>
      <c r="D1770" s="8"/>
      <c r="E1770" s="8"/>
      <c r="F1770" s="8"/>
      <c r="G1770" s="10" t="str">
        <f aca="false">IF($A1770="","",UPPER(SUBSTITUTE(SUBSTITUTE(SUBSTITUTE(SUBSTITUTE($A1770," ",""),"(주)",""),"주식회사",""),"㈜","")))</f>
        <v/>
      </c>
      <c r="H1770" s="10" t="str">
        <f aca="false">IF($B1770="","",SUBSTITUTE(SUBSTITUTE(SUBSTITUTE($B1770,"-","")," ",""),".",""))</f>
        <v/>
      </c>
      <c r="I1770" s="10" t="str">
        <f aca="false">IF($D1770="","",SUBSTITUTE(SUBSTITUTE(SUBSTITUTE($D1770,"-","")," ",""),".",""))</f>
        <v/>
      </c>
      <c r="J1770" s="10" t="str">
        <f aca="false">IF($E1770="","",UPPER(SUBSTITUTE($E1770," ","")))</f>
        <v/>
      </c>
      <c r="K1770" s="10" t="str">
        <f aca="false">IF($A1770="","",$G1770&amp;"|"&amp;$J1770)</f>
        <v/>
      </c>
      <c r="L1770" s="10" t="str">
        <f aca="false">IF($A1770="","",ROW()-2)</f>
        <v/>
      </c>
      <c r="M1770" s="10" t="str">
        <f aca="false">IF($A1770="","",ROW())</f>
        <v/>
      </c>
    </row>
    <row r="1771" customFormat="false" ht="15" hidden="false" customHeight="true" outlineLevel="0" collapsed="false">
      <c r="A1771" s="8"/>
      <c r="B1771" s="8"/>
      <c r="C1771" s="8"/>
      <c r="D1771" s="8"/>
      <c r="E1771" s="8"/>
      <c r="F1771" s="8"/>
      <c r="G1771" s="10" t="str">
        <f aca="false">IF($A1771="","",UPPER(SUBSTITUTE(SUBSTITUTE(SUBSTITUTE(SUBSTITUTE($A1771," ",""),"(주)",""),"주식회사",""),"㈜","")))</f>
        <v/>
      </c>
      <c r="H1771" s="10" t="str">
        <f aca="false">IF($B1771="","",SUBSTITUTE(SUBSTITUTE(SUBSTITUTE($B1771,"-","")," ",""),".",""))</f>
        <v/>
      </c>
      <c r="I1771" s="10" t="str">
        <f aca="false">IF($D1771="","",SUBSTITUTE(SUBSTITUTE(SUBSTITUTE($D1771,"-","")," ",""),".",""))</f>
        <v/>
      </c>
      <c r="J1771" s="10" t="str">
        <f aca="false">IF($E1771="","",UPPER(SUBSTITUTE($E1771," ","")))</f>
        <v/>
      </c>
      <c r="K1771" s="10" t="str">
        <f aca="false">IF($A1771="","",$G1771&amp;"|"&amp;$J1771)</f>
        <v/>
      </c>
      <c r="L1771" s="10" t="str">
        <f aca="false">IF($A1771="","",ROW()-2)</f>
        <v/>
      </c>
      <c r="M1771" s="10" t="str">
        <f aca="false">IF($A1771="","",ROW())</f>
        <v/>
      </c>
    </row>
    <row r="1772" customFormat="false" ht="15" hidden="false" customHeight="true" outlineLevel="0" collapsed="false">
      <c r="A1772" s="8"/>
      <c r="B1772" s="8"/>
      <c r="C1772" s="8"/>
      <c r="D1772" s="8"/>
      <c r="E1772" s="8"/>
      <c r="F1772" s="8"/>
      <c r="G1772" s="10" t="str">
        <f aca="false">IF($A1772="","",UPPER(SUBSTITUTE(SUBSTITUTE(SUBSTITUTE(SUBSTITUTE($A1772," ",""),"(주)",""),"주식회사",""),"㈜","")))</f>
        <v/>
      </c>
      <c r="H1772" s="10" t="str">
        <f aca="false">IF($B1772="","",SUBSTITUTE(SUBSTITUTE(SUBSTITUTE($B1772,"-","")," ",""),".",""))</f>
        <v/>
      </c>
      <c r="I1772" s="10" t="str">
        <f aca="false">IF($D1772="","",SUBSTITUTE(SUBSTITUTE(SUBSTITUTE($D1772,"-","")," ",""),".",""))</f>
        <v/>
      </c>
      <c r="J1772" s="10" t="str">
        <f aca="false">IF($E1772="","",UPPER(SUBSTITUTE($E1772," ","")))</f>
        <v/>
      </c>
      <c r="K1772" s="10" t="str">
        <f aca="false">IF($A1772="","",$G1772&amp;"|"&amp;$J1772)</f>
        <v/>
      </c>
      <c r="L1772" s="10" t="str">
        <f aca="false">IF($A1772="","",ROW()-2)</f>
        <v/>
      </c>
      <c r="M1772" s="10" t="str">
        <f aca="false">IF($A1772="","",ROW())</f>
        <v/>
      </c>
    </row>
    <row r="1773" customFormat="false" ht="15" hidden="false" customHeight="true" outlineLevel="0" collapsed="false">
      <c r="A1773" s="8"/>
      <c r="B1773" s="8"/>
      <c r="C1773" s="8"/>
      <c r="D1773" s="8"/>
      <c r="E1773" s="8"/>
      <c r="F1773" s="8"/>
      <c r="G1773" s="10" t="str">
        <f aca="false">IF($A1773="","",UPPER(SUBSTITUTE(SUBSTITUTE(SUBSTITUTE(SUBSTITUTE($A1773," ",""),"(주)",""),"주식회사",""),"㈜","")))</f>
        <v/>
      </c>
      <c r="H1773" s="10" t="str">
        <f aca="false">IF($B1773="","",SUBSTITUTE(SUBSTITUTE(SUBSTITUTE($B1773,"-","")," ",""),".",""))</f>
        <v/>
      </c>
      <c r="I1773" s="10" t="str">
        <f aca="false">IF($D1773="","",SUBSTITUTE(SUBSTITUTE(SUBSTITUTE($D1773,"-","")," ",""),".",""))</f>
        <v/>
      </c>
      <c r="J1773" s="10" t="str">
        <f aca="false">IF($E1773="","",UPPER(SUBSTITUTE($E1773," ","")))</f>
        <v/>
      </c>
      <c r="K1773" s="10" t="str">
        <f aca="false">IF($A1773="","",$G1773&amp;"|"&amp;$J1773)</f>
        <v/>
      </c>
      <c r="L1773" s="10" t="str">
        <f aca="false">IF($A1773="","",ROW()-2)</f>
        <v/>
      </c>
      <c r="M1773" s="10" t="str">
        <f aca="false">IF($A1773="","",ROW())</f>
        <v/>
      </c>
    </row>
    <row r="1774" customFormat="false" ht="15" hidden="false" customHeight="true" outlineLevel="0" collapsed="false">
      <c r="A1774" s="8"/>
      <c r="B1774" s="8"/>
      <c r="C1774" s="8"/>
      <c r="D1774" s="8"/>
      <c r="E1774" s="8"/>
      <c r="F1774" s="8"/>
      <c r="G1774" s="10" t="str">
        <f aca="false">IF($A1774="","",UPPER(SUBSTITUTE(SUBSTITUTE(SUBSTITUTE(SUBSTITUTE($A1774," ",""),"(주)",""),"주식회사",""),"㈜","")))</f>
        <v/>
      </c>
      <c r="H1774" s="10" t="str">
        <f aca="false">IF($B1774="","",SUBSTITUTE(SUBSTITUTE(SUBSTITUTE($B1774,"-","")," ",""),".",""))</f>
        <v/>
      </c>
      <c r="I1774" s="10" t="str">
        <f aca="false">IF($D1774="","",SUBSTITUTE(SUBSTITUTE(SUBSTITUTE($D1774,"-","")," ",""),".",""))</f>
        <v/>
      </c>
      <c r="J1774" s="10" t="str">
        <f aca="false">IF($E1774="","",UPPER(SUBSTITUTE($E1774," ","")))</f>
        <v/>
      </c>
      <c r="K1774" s="10" t="str">
        <f aca="false">IF($A1774="","",$G1774&amp;"|"&amp;$J1774)</f>
        <v/>
      </c>
      <c r="L1774" s="10" t="str">
        <f aca="false">IF($A1774="","",ROW()-2)</f>
        <v/>
      </c>
      <c r="M1774" s="10" t="str">
        <f aca="false">IF($A1774="","",ROW())</f>
        <v/>
      </c>
    </row>
    <row r="1775" customFormat="false" ht="15" hidden="false" customHeight="true" outlineLevel="0" collapsed="false">
      <c r="A1775" s="8"/>
      <c r="B1775" s="8"/>
      <c r="C1775" s="8"/>
      <c r="D1775" s="8"/>
      <c r="E1775" s="8"/>
      <c r="F1775" s="8"/>
      <c r="G1775" s="10" t="str">
        <f aca="false">IF($A1775="","",UPPER(SUBSTITUTE(SUBSTITUTE(SUBSTITUTE(SUBSTITUTE($A1775," ",""),"(주)",""),"주식회사",""),"㈜","")))</f>
        <v/>
      </c>
      <c r="H1775" s="10" t="str">
        <f aca="false">IF($B1775="","",SUBSTITUTE(SUBSTITUTE(SUBSTITUTE($B1775,"-","")," ",""),".",""))</f>
        <v/>
      </c>
      <c r="I1775" s="10" t="str">
        <f aca="false">IF($D1775="","",SUBSTITUTE(SUBSTITUTE(SUBSTITUTE($D1775,"-","")," ",""),".",""))</f>
        <v/>
      </c>
      <c r="J1775" s="10" t="str">
        <f aca="false">IF($E1775="","",UPPER(SUBSTITUTE($E1775," ","")))</f>
        <v/>
      </c>
      <c r="K1775" s="10" t="str">
        <f aca="false">IF($A1775="","",$G1775&amp;"|"&amp;$J1775)</f>
        <v/>
      </c>
      <c r="L1775" s="10" t="str">
        <f aca="false">IF($A1775="","",ROW()-2)</f>
        <v/>
      </c>
      <c r="M1775" s="10" t="str">
        <f aca="false">IF($A1775="","",ROW())</f>
        <v/>
      </c>
    </row>
    <row r="1776" customFormat="false" ht="15" hidden="false" customHeight="true" outlineLevel="0" collapsed="false">
      <c r="A1776" s="8"/>
      <c r="B1776" s="8"/>
      <c r="C1776" s="8"/>
      <c r="D1776" s="8"/>
      <c r="E1776" s="8"/>
      <c r="F1776" s="8"/>
      <c r="G1776" s="10" t="str">
        <f aca="false">IF($A1776="","",UPPER(SUBSTITUTE(SUBSTITUTE(SUBSTITUTE(SUBSTITUTE($A1776," ",""),"(주)",""),"주식회사",""),"㈜","")))</f>
        <v/>
      </c>
      <c r="H1776" s="10" t="str">
        <f aca="false">IF($B1776="","",SUBSTITUTE(SUBSTITUTE(SUBSTITUTE($B1776,"-","")," ",""),".",""))</f>
        <v/>
      </c>
      <c r="I1776" s="10" t="str">
        <f aca="false">IF($D1776="","",SUBSTITUTE(SUBSTITUTE(SUBSTITUTE($D1776,"-","")," ",""),".",""))</f>
        <v/>
      </c>
      <c r="J1776" s="10" t="str">
        <f aca="false">IF($E1776="","",UPPER(SUBSTITUTE($E1776," ","")))</f>
        <v/>
      </c>
      <c r="K1776" s="10" t="str">
        <f aca="false">IF($A1776="","",$G1776&amp;"|"&amp;$J1776)</f>
        <v/>
      </c>
      <c r="L1776" s="10" t="str">
        <f aca="false">IF($A1776="","",ROW()-2)</f>
        <v/>
      </c>
      <c r="M1776" s="10" t="str">
        <f aca="false">IF($A1776="","",ROW())</f>
        <v/>
      </c>
    </row>
    <row r="1777" customFormat="false" ht="15" hidden="false" customHeight="true" outlineLevel="0" collapsed="false">
      <c r="A1777" s="8"/>
      <c r="B1777" s="8"/>
      <c r="C1777" s="8"/>
      <c r="D1777" s="8"/>
      <c r="E1777" s="8"/>
      <c r="F1777" s="8"/>
      <c r="G1777" s="10" t="str">
        <f aca="false">IF($A1777="","",UPPER(SUBSTITUTE(SUBSTITUTE(SUBSTITUTE(SUBSTITUTE($A1777," ",""),"(주)",""),"주식회사",""),"㈜","")))</f>
        <v/>
      </c>
      <c r="H1777" s="10" t="str">
        <f aca="false">IF($B1777="","",SUBSTITUTE(SUBSTITUTE(SUBSTITUTE($B1777,"-","")," ",""),".",""))</f>
        <v/>
      </c>
      <c r="I1777" s="10" t="str">
        <f aca="false">IF($D1777="","",SUBSTITUTE(SUBSTITUTE(SUBSTITUTE($D1777,"-","")," ",""),".",""))</f>
        <v/>
      </c>
      <c r="J1777" s="10" t="str">
        <f aca="false">IF($E1777="","",UPPER(SUBSTITUTE($E1777," ","")))</f>
        <v/>
      </c>
      <c r="K1777" s="10" t="str">
        <f aca="false">IF($A1777="","",$G1777&amp;"|"&amp;$J1777)</f>
        <v/>
      </c>
      <c r="L1777" s="10" t="str">
        <f aca="false">IF($A1777="","",ROW()-2)</f>
        <v/>
      </c>
      <c r="M1777" s="10" t="str">
        <f aca="false">IF($A1777="","",ROW())</f>
        <v/>
      </c>
    </row>
    <row r="1778" customFormat="false" ht="15" hidden="false" customHeight="true" outlineLevel="0" collapsed="false">
      <c r="A1778" s="8"/>
      <c r="B1778" s="8"/>
      <c r="C1778" s="8"/>
      <c r="D1778" s="8"/>
      <c r="E1778" s="8"/>
      <c r="F1778" s="8"/>
      <c r="G1778" s="10" t="str">
        <f aca="false">IF($A1778="","",UPPER(SUBSTITUTE(SUBSTITUTE(SUBSTITUTE(SUBSTITUTE($A1778," ",""),"(주)",""),"주식회사",""),"㈜","")))</f>
        <v/>
      </c>
      <c r="H1778" s="10" t="str">
        <f aca="false">IF($B1778="","",SUBSTITUTE(SUBSTITUTE(SUBSTITUTE($B1778,"-","")," ",""),".",""))</f>
        <v/>
      </c>
      <c r="I1778" s="10" t="str">
        <f aca="false">IF($D1778="","",SUBSTITUTE(SUBSTITUTE(SUBSTITUTE($D1778,"-","")," ",""),".",""))</f>
        <v/>
      </c>
      <c r="J1778" s="10" t="str">
        <f aca="false">IF($E1778="","",UPPER(SUBSTITUTE($E1778," ","")))</f>
        <v/>
      </c>
      <c r="K1778" s="10" t="str">
        <f aca="false">IF($A1778="","",$G1778&amp;"|"&amp;$J1778)</f>
        <v/>
      </c>
      <c r="L1778" s="10" t="str">
        <f aca="false">IF($A1778="","",ROW()-2)</f>
        <v/>
      </c>
      <c r="M1778" s="10" t="str">
        <f aca="false">IF($A1778="","",ROW())</f>
        <v/>
      </c>
    </row>
    <row r="1779" customFormat="false" ht="15" hidden="false" customHeight="true" outlineLevel="0" collapsed="false">
      <c r="A1779" s="8"/>
      <c r="B1779" s="8"/>
      <c r="C1779" s="8"/>
      <c r="D1779" s="8"/>
      <c r="E1779" s="8"/>
      <c r="F1779" s="8"/>
      <c r="G1779" s="10" t="str">
        <f aca="false">IF($A1779="","",UPPER(SUBSTITUTE(SUBSTITUTE(SUBSTITUTE(SUBSTITUTE($A1779," ",""),"(주)",""),"주식회사",""),"㈜","")))</f>
        <v/>
      </c>
      <c r="H1779" s="10" t="str">
        <f aca="false">IF($B1779="","",SUBSTITUTE(SUBSTITUTE(SUBSTITUTE($B1779,"-","")," ",""),".",""))</f>
        <v/>
      </c>
      <c r="I1779" s="10" t="str">
        <f aca="false">IF($D1779="","",SUBSTITUTE(SUBSTITUTE(SUBSTITUTE($D1779,"-","")," ",""),".",""))</f>
        <v/>
      </c>
      <c r="J1779" s="10" t="str">
        <f aca="false">IF($E1779="","",UPPER(SUBSTITUTE($E1779," ","")))</f>
        <v/>
      </c>
      <c r="K1779" s="10" t="str">
        <f aca="false">IF($A1779="","",$G1779&amp;"|"&amp;$J1779)</f>
        <v/>
      </c>
      <c r="L1779" s="10" t="str">
        <f aca="false">IF($A1779="","",ROW()-2)</f>
        <v/>
      </c>
      <c r="M1779" s="10" t="str">
        <f aca="false">IF($A1779="","",ROW())</f>
        <v/>
      </c>
    </row>
    <row r="1780" customFormat="false" ht="15" hidden="false" customHeight="true" outlineLevel="0" collapsed="false">
      <c r="A1780" s="8"/>
      <c r="B1780" s="8"/>
      <c r="C1780" s="8"/>
      <c r="D1780" s="8"/>
      <c r="E1780" s="8"/>
      <c r="F1780" s="8"/>
      <c r="G1780" s="10" t="str">
        <f aca="false">IF($A1780="","",UPPER(SUBSTITUTE(SUBSTITUTE(SUBSTITUTE(SUBSTITUTE($A1780," ",""),"(주)",""),"주식회사",""),"㈜","")))</f>
        <v/>
      </c>
      <c r="H1780" s="10" t="str">
        <f aca="false">IF($B1780="","",SUBSTITUTE(SUBSTITUTE(SUBSTITUTE($B1780,"-","")," ",""),".",""))</f>
        <v/>
      </c>
      <c r="I1780" s="10" t="str">
        <f aca="false">IF($D1780="","",SUBSTITUTE(SUBSTITUTE(SUBSTITUTE($D1780,"-","")," ",""),".",""))</f>
        <v/>
      </c>
      <c r="J1780" s="10" t="str">
        <f aca="false">IF($E1780="","",UPPER(SUBSTITUTE($E1780," ","")))</f>
        <v/>
      </c>
      <c r="K1780" s="10" t="str">
        <f aca="false">IF($A1780="","",$G1780&amp;"|"&amp;$J1780)</f>
        <v/>
      </c>
      <c r="L1780" s="10" t="str">
        <f aca="false">IF($A1780="","",ROW()-2)</f>
        <v/>
      </c>
      <c r="M1780" s="10" t="str">
        <f aca="false">IF($A1780="","",ROW())</f>
        <v/>
      </c>
    </row>
    <row r="1781" customFormat="false" ht="15" hidden="false" customHeight="true" outlineLevel="0" collapsed="false">
      <c r="A1781" s="8"/>
      <c r="B1781" s="8"/>
      <c r="C1781" s="8"/>
      <c r="D1781" s="8"/>
      <c r="E1781" s="8"/>
      <c r="F1781" s="8"/>
      <c r="G1781" s="10" t="str">
        <f aca="false">IF($A1781="","",UPPER(SUBSTITUTE(SUBSTITUTE(SUBSTITUTE(SUBSTITUTE($A1781," ",""),"(주)",""),"주식회사",""),"㈜","")))</f>
        <v/>
      </c>
      <c r="H1781" s="10" t="str">
        <f aca="false">IF($B1781="","",SUBSTITUTE(SUBSTITUTE(SUBSTITUTE($B1781,"-","")," ",""),".",""))</f>
        <v/>
      </c>
      <c r="I1781" s="10" t="str">
        <f aca="false">IF($D1781="","",SUBSTITUTE(SUBSTITUTE(SUBSTITUTE($D1781,"-","")," ",""),".",""))</f>
        <v/>
      </c>
      <c r="J1781" s="10" t="str">
        <f aca="false">IF($E1781="","",UPPER(SUBSTITUTE($E1781," ","")))</f>
        <v/>
      </c>
      <c r="K1781" s="10" t="str">
        <f aca="false">IF($A1781="","",$G1781&amp;"|"&amp;$J1781)</f>
        <v/>
      </c>
      <c r="L1781" s="10" t="str">
        <f aca="false">IF($A1781="","",ROW()-2)</f>
        <v/>
      </c>
      <c r="M1781" s="10" t="str">
        <f aca="false">IF($A1781="","",ROW())</f>
        <v/>
      </c>
    </row>
    <row r="1782" customFormat="false" ht="15" hidden="false" customHeight="true" outlineLevel="0" collapsed="false">
      <c r="A1782" s="8"/>
      <c r="B1782" s="8"/>
      <c r="C1782" s="8"/>
      <c r="D1782" s="8"/>
      <c r="E1782" s="8"/>
      <c r="F1782" s="8"/>
      <c r="G1782" s="10" t="str">
        <f aca="false">IF($A1782="","",UPPER(SUBSTITUTE(SUBSTITUTE(SUBSTITUTE(SUBSTITUTE($A1782," ",""),"(주)",""),"주식회사",""),"㈜","")))</f>
        <v/>
      </c>
      <c r="H1782" s="10" t="str">
        <f aca="false">IF($B1782="","",SUBSTITUTE(SUBSTITUTE(SUBSTITUTE($B1782,"-","")," ",""),".",""))</f>
        <v/>
      </c>
      <c r="I1782" s="10" t="str">
        <f aca="false">IF($D1782="","",SUBSTITUTE(SUBSTITUTE(SUBSTITUTE($D1782,"-","")," ",""),".",""))</f>
        <v/>
      </c>
      <c r="J1782" s="10" t="str">
        <f aca="false">IF($E1782="","",UPPER(SUBSTITUTE($E1782," ","")))</f>
        <v/>
      </c>
      <c r="K1782" s="10" t="str">
        <f aca="false">IF($A1782="","",$G1782&amp;"|"&amp;$J1782)</f>
        <v/>
      </c>
      <c r="L1782" s="10" t="str">
        <f aca="false">IF($A1782="","",ROW()-2)</f>
        <v/>
      </c>
      <c r="M1782" s="10" t="str">
        <f aca="false">IF($A1782="","",ROW())</f>
        <v/>
      </c>
    </row>
    <row r="1783" customFormat="false" ht="15" hidden="false" customHeight="true" outlineLevel="0" collapsed="false">
      <c r="A1783" s="8"/>
      <c r="B1783" s="8"/>
      <c r="C1783" s="8"/>
      <c r="D1783" s="8"/>
      <c r="E1783" s="8"/>
      <c r="F1783" s="8"/>
      <c r="G1783" s="10" t="str">
        <f aca="false">IF($A1783="","",UPPER(SUBSTITUTE(SUBSTITUTE(SUBSTITUTE(SUBSTITUTE($A1783," ",""),"(주)",""),"주식회사",""),"㈜","")))</f>
        <v/>
      </c>
      <c r="H1783" s="10" t="str">
        <f aca="false">IF($B1783="","",SUBSTITUTE(SUBSTITUTE(SUBSTITUTE($B1783,"-","")," ",""),".",""))</f>
        <v/>
      </c>
      <c r="I1783" s="10" t="str">
        <f aca="false">IF($D1783="","",SUBSTITUTE(SUBSTITUTE(SUBSTITUTE($D1783,"-","")," ",""),".",""))</f>
        <v/>
      </c>
      <c r="J1783" s="10" t="str">
        <f aca="false">IF($E1783="","",UPPER(SUBSTITUTE($E1783," ","")))</f>
        <v/>
      </c>
      <c r="K1783" s="10" t="str">
        <f aca="false">IF($A1783="","",$G1783&amp;"|"&amp;$J1783)</f>
        <v/>
      </c>
      <c r="L1783" s="10" t="str">
        <f aca="false">IF($A1783="","",ROW()-2)</f>
        <v/>
      </c>
      <c r="M1783" s="10" t="str">
        <f aca="false">IF($A1783="","",ROW())</f>
        <v/>
      </c>
    </row>
    <row r="1784" customFormat="false" ht="15" hidden="false" customHeight="true" outlineLevel="0" collapsed="false">
      <c r="A1784" s="8"/>
      <c r="B1784" s="8"/>
      <c r="C1784" s="8"/>
      <c r="D1784" s="8"/>
      <c r="E1784" s="8"/>
      <c r="F1784" s="8"/>
      <c r="G1784" s="10" t="str">
        <f aca="false">IF($A1784="","",UPPER(SUBSTITUTE(SUBSTITUTE(SUBSTITUTE(SUBSTITUTE($A1784," ",""),"(주)",""),"주식회사",""),"㈜","")))</f>
        <v/>
      </c>
      <c r="H1784" s="10" t="str">
        <f aca="false">IF($B1784="","",SUBSTITUTE(SUBSTITUTE(SUBSTITUTE($B1784,"-","")," ",""),".",""))</f>
        <v/>
      </c>
      <c r="I1784" s="10" t="str">
        <f aca="false">IF($D1784="","",SUBSTITUTE(SUBSTITUTE(SUBSTITUTE($D1784,"-","")," ",""),".",""))</f>
        <v/>
      </c>
      <c r="J1784" s="10" t="str">
        <f aca="false">IF($E1784="","",UPPER(SUBSTITUTE($E1784," ","")))</f>
        <v/>
      </c>
      <c r="K1784" s="10" t="str">
        <f aca="false">IF($A1784="","",$G1784&amp;"|"&amp;$J1784)</f>
        <v/>
      </c>
      <c r="L1784" s="10" t="str">
        <f aca="false">IF($A1784="","",ROW()-2)</f>
        <v/>
      </c>
      <c r="M1784" s="10" t="str">
        <f aca="false">IF($A1784="","",ROW())</f>
        <v/>
      </c>
    </row>
    <row r="1785" customFormat="false" ht="15" hidden="false" customHeight="true" outlineLevel="0" collapsed="false">
      <c r="A1785" s="8"/>
      <c r="B1785" s="8"/>
      <c r="C1785" s="8"/>
      <c r="D1785" s="8"/>
      <c r="E1785" s="8"/>
      <c r="F1785" s="8"/>
      <c r="G1785" s="10" t="str">
        <f aca="false">IF($A1785="","",UPPER(SUBSTITUTE(SUBSTITUTE(SUBSTITUTE(SUBSTITUTE($A1785," ",""),"(주)",""),"주식회사",""),"㈜","")))</f>
        <v/>
      </c>
      <c r="H1785" s="10" t="str">
        <f aca="false">IF($B1785="","",SUBSTITUTE(SUBSTITUTE(SUBSTITUTE($B1785,"-","")," ",""),".",""))</f>
        <v/>
      </c>
      <c r="I1785" s="10" t="str">
        <f aca="false">IF($D1785="","",SUBSTITUTE(SUBSTITUTE(SUBSTITUTE($D1785,"-","")," ",""),".",""))</f>
        <v/>
      </c>
      <c r="J1785" s="10" t="str">
        <f aca="false">IF($E1785="","",UPPER(SUBSTITUTE($E1785," ","")))</f>
        <v/>
      </c>
      <c r="K1785" s="10" t="str">
        <f aca="false">IF($A1785="","",$G1785&amp;"|"&amp;$J1785)</f>
        <v/>
      </c>
      <c r="L1785" s="10" t="str">
        <f aca="false">IF($A1785="","",ROW()-2)</f>
        <v/>
      </c>
      <c r="M1785" s="10" t="str">
        <f aca="false">IF($A1785="","",ROW())</f>
        <v/>
      </c>
    </row>
    <row r="1786" customFormat="false" ht="15" hidden="false" customHeight="true" outlineLevel="0" collapsed="false">
      <c r="A1786" s="8"/>
      <c r="B1786" s="8"/>
      <c r="C1786" s="8"/>
      <c r="D1786" s="8"/>
      <c r="E1786" s="8"/>
      <c r="F1786" s="8"/>
      <c r="G1786" s="10" t="str">
        <f aca="false">IF($A1786="","",UPPER(SUBSTITUTE(SUBSTITUTE(SUBSTITUTE(SUBSTITUTE($A1786," ",""),"(주)",""),"주식회사",""),"㈜","")))</f>
        <v/>
      </c>
      <c r="H1786" s="10" t="str">
        <f aca="false">IF($B1786="","",SUBSTITUTE(SUBSTITUTE(SUBSTITUTE($B1786,"-","")," ",""),".",""))</f>
        <v/>
      </c>
      <c r="I1786" s="10" t="str">
        <f aca="false">IF($D1786="","",SUBSTITUTE(SUBSTITUTE(SUBSTITUTE($D1786,"-","")," ",""),".",""))</f>
        <v/>
      </c>
      <c r="J1786" s="10" t="str">
        <f aca="false">IF($E1786="","",UPPER(SUBSTITUTE($E1786," ","")))</f>
        <v/>
      </c>
      <c r="K1786" s="10" t="str">
        <f aca="false">IF($A1786="","",$G1786&amp;"|"&amp;$J1786)</f>
        <v/>
      </c>
      <c r="L1786" s="10" t="str">
        <f aca="false">IF($A1786="","",ROW()-2)</f>
        <v/>
      </c>
      <c r="M1786" s="10" t="str">
        <f aca="false">IF($A1786="","",ROW())</f>
        <v/>
      </c>
    </row>
    <row r="1787" customFormat="false" ht="15" hidden="false" customHeight="true" outlineLevel="0" collapsed="false">
      <c r="A1787" s="8"/>
      <c r="B1787" s="8"/>
      <c r="C1787" s="8"/>
      <c r="D1787" s="8"/>
      <c r="E1787" s="8"/>
      <c r="F1787" s="8"/>
      <c r="G1787" s="10" t="str">
        <f aca="false">IF($A1787="","",UPPER(SUBSTITUTE(SUBSTITUTE(SUBSTITUTE(SUBSTITUTE($A1787," ",""),"(주)",""),"주식회사",""),"㈜","")))</f>
        <v/>
      </c>
      <c r="H1787" s="10" t="str">
        <f aca="false">IF($B1787="","",SUBSTITUTE(SUBSTITUTE(SUBSTITUTE($B1787,"-","")," ",""),".",""))</f>
        <v/>
      </c>
      <c r="I1787" s="10" t="str">
        <f aca="false">IF($D1787="","",SUBSTITUTE(SUBSTITUTE(SUBSTITUTE($D1787,"-","")," ",""),".",""))</f>
        <v/>
      </c>
      <c r="J1787" s="10" t="str">
        <f aca="false">IF($E1787="","",UPPER(SUBSTITUTE($E1787," ","")))</f>
        <v/>
      </c>
      <c r="K1787" s="10" t="str">
        <f aca="false">IF($A1787="","",$G1787&amp;"|"&amp;$J1787)</f>
        <v/>
      </c>
      <c r="L1787" s="10" t="str">
        <f aca="false">IF($A1787="","",ROW()-2)</f>
        <v/>
      </c>
      <c r="M1787" s="10" t="str">
        <f aca="false">IF($A1787="","",ROW())</f>
        <v/>
      </c>
    </row>
    <row r="1788" customFormat="false" ht="15" hidden="false" customHeight="true" outlineLevel="0" collapsed="false">
      <c r="A1788" s="8"/>
      <c r="B1788" s="8"/>
      <c r="C1788" s="8"/>
      <c r="D1788" s="8"/>
      <c r="E1788" s="8"/>
      <c r="F1788" s="8"/>
      <c r="G1788" s="10" t="str">
        <f aca="false">IF($A1788="","",UPPER(SUBSTITUTE(SUBSTITUTE(SUBSTITUTE(SUBSTITUTE($A1788," ",""),"(주)",""),"주식회사",""),"㈜","")))</f>
        <v/>
      </c>
      <c r="H1788" s="10" t="str">
        <f aca="false">IF($B1788="","",SUBSTITUTE(SUBSTITUTE(SUBSTITUTE($B1788,"-","")," ",""),".",""))</f>
        <v/>
      </c>
      <c r="I1788" s="10" t="str">
        <f aca="false">IF($D1788="","",SUBSTITUTE(SUBSTITUTE(SUBSTITUTE($D1788,"-","")," ",""),".",""))</f>
        <v/>
      </c>
      <c r="J1788" s="10" t="str">
        <f aca="false">IF($E1788="","",UPPER(SUBSTITUTE($E1788," ","")))</f>
        <v/>
      </c>
      <c r="K1788" s="10" t="str">
        <f aca="false">IF($A1788="","",$G1788&amp;"|"&amp;$J1788)</f>
        <v/>
      </c>
      <c r="L1788" s="10" t="str">
        <f aca="false">IF($A1788="","",ROW()-2)</f>
        <v/>
      </c>
      <c r="M1788" s="10" t="str">
        <f aca="false">IF($A1788="","",ROW())</f>
        <v/>
      </c>
    </row>
    <row r="1789" customFormat="false" ht="15" hidden="false" customHeight="true" outlineLevel="0" collapsed="false">
      <c r="A1789" s="8"/>
      <c r="B1789" s="8"/>
      <c r="C1789" s="8"/>
      <c r="D1789" s="8"/>
      <c r="E1789" s="8"/>
      <c r="F1789" s="8"/>
      <c r="G1789" s="10" t="str">
        <f aca="false">IF($A1789="","",UPPER(SUBSTITUTE(SUBSTITUTE(SUBSTITUTE(SUBSTITUTE($A1789," ",""),"(주)",""),"주식회사",""),"㈜","")))</f>
        <v/>
      </c>
      <c r="H1789" s="10" t="str">
        <f aca="false">IF($B1789="","",SUBSTITUTE(SUBSTITUTE(SUBSTITUTE($B1789,"-","")," ",""),".",""))</f>
        <v/>
      </c>
      <c r="I1789" s="10" t="str">
        <f aca="false">IF($D1789="","",SUBSTITUTE(SUBSTITUTE(SUBSTITUTE($D1789,"-","")," ",""),".",""))</f>
        <v/>
      </c>
      <c r="J1789" s="10" t="str">
        <f aca="false">IF($E1789="","",UPPER(SUBSTITUTE($E1789," ","")))</f>
        <v/>
      </c>
      <c r="K1789" s="10" t="str">
        <f aca="false">IF($A1789="","",$G1789&amp;"|"&amp;$J1789)</f>
        <v/>
      </c>
      <c r="L1789" s="10" t="str">
        <f aca="false">IF($A1789="","",ROW()-2)</f>
        <v/>
      </c>
      <c r="M1789" s="10" t="str">
        <f aca="false">IF($A1789="","",ROW())</f>
        <v/>
      </c>
    </row>
    <row r="1790" customFormat="false" ht="15" hidden="false" customHeight="true" outlineLevel="0" collapsed="false">
      <c r="A1790" s="8"/>
      <c r="B1790" s="8"/>
      <c r="C1790" s="8"/>
      <c r="D1790" s="8"/>
      <c r="E1790" s="8"/>
      <c r="F1790" s="8"/>
      <c r="G1790" s="10" t="str">
        <f aca="false">IF($A1790="","",UPPER(SUBSTITUTE(SUBSTITUTE(SUBSTITUTE(SUBSTITUTE($A1790," ",""),"(주)",""),"주식회사",""),"㈜","")))</f>
        <v/>
      </c>
      <c r="H1790" s="10" t="str">
        <f aca="false">IF($B1790="","",SUBSTITUTE(SUBSTITUTE(SUBSTITUTE($B1790,"-","")," ",""),".",""))</f>
        <v/>
      </c>
      <c r="I1790" s="10" t="str">
        <f aca="false">IF($D1790="","",SUBSTITUTE(SUBSTITUTE(SUBSTITUTE($D1790,"-","")," ",""),".",""))</f>
        <v/>
      </c>
      <c r="J1790" s="10" t="str">
        <f aca="false">IF($E1790="","",UPPER(SUBSTITUTE($E1790," ","")))</f>
        <v/>
      </c>
      <c r="K1790" s="10" t="str">
        <f aca="false">IF($A1790="","",$G1790&amp;"|"&amp;$J1790)</f>
        <v/>
      </c>
      <c r="L1790" s="10" t="str">
        <f aca="false">IF($A1790="","",ROW()-2)</f>
        <v/>
      </c>
      <c r="M1790" s="10" t="str">
        <f aca="false">IF($A1790="","",ROW())</f>
        <v/>
      </c>
    </row>
    <row r="1791" customFormat="false" ht="15" hidden="false" customHeight="true" outlineLevel="0" collapsed="false">
      <c r="A1791" s="8"/>
      <c r="B1791" s="8"/>
      <c r="C1791" s="8"/>
      <c r="D1791" s="8"/>
      <c r="E1791" s="8"/>
      <c r="F1791" s="8"/>
      <c r="G1791" s="10" t="str">
        <f aca="false">IF($A1791="","",UPPER(SUBSTITUTE(SUBSTITUTE(SUBSTITUTE(SUBSTITUTE($A1791," ",""),"(주)",""),"주식회사",""),"㈜","")))</f>
        <v/>
      </c>
      <c r="H1791" s="10" t="str">
        <f aca="false">IF($B1791="","",SUBSTITUTE(SUBSTITUTE(SUBSTITUTE($B1791,"-","")," ",""),".",""))</f>
        <v/>
      </c>
      <c r="I1791" s="10" t="str">
        <f aca="false">IF($D1791="","",SUBSTITUTE(SUBSTITUTE(SUBSTITUTE($D1791,"-","")," ",""),".",""))</f>
        <v/>
      </c>
      <c r="J1791" s="10" t="str">
        <f aca="false">IF($E1791="","",UPPER(SUBSTITUTE($E1791," ","")))</f>
        <v/>
      </c>
      <c r="K1791" s="10" t="str">
        <f aca="false">IF($A1791="","",$G1791&amp;"|"&amp;$J1791)</f>
        <v/>
      </c>
      <c r="L1791" s="10" t="str">
        <f aca="false">IF($A1791="","",ROW()-2)</f>
        <v/>
      </c>
      <c r="M1791" s="10" t="str">
        <f aca="false">IF($A1791="","",ROW())</f>
        <v/>
      </c>
    </row>
    <row r="1792" customFormat="false" ht="15" hidden="false" customHeight="true" outlineLevel="0" collapsed="false">
      <c r="A1792" s="8"/>
      <c r="B1792" s="8"/>
      <c r="C1792" s="8"/>
      <c r="D1792" s="8"/>
      <c r="E1792" s="8"/>
      <c r="F1792" s="8"/>
      <c r="G1792" s="10" t="str">
        <f aca="false">IF($A1792="","",UPPER(SUBSTITUTE(SUBSTITUTE(SUBSTITUTE(SUBSTITUTE($A1792," ",""),"(주)",""),"주식회사",""),"㈜","")))</f>
        <v/>
      </c>
      <c r="H1792" s="10" t="str">
        <f aca="false">IF($B1792="","",SUBSTITUTE(SUBSTITUTE(SUBSTITUTE($B1792,"-","")," ",""),".",""))</f>
        <v/>
      </c>
      <c r="I1792" s="10" t="str">
        <f aca="false">IF($D1792="","",SUBSTITUTE(SUBSTITUTE(SUBSTITUTE($D1792,"-","")," ",""),".",""))</f>
        <v/>
      </c>
      <c r="J1792" s="10" t="str">
        <f aca="false">IF($E1792="","",UPPER(SUBSTITUTE($E1792," ","")))</f>
        <v/>
      </c>
      <c r="K1792" s="10" t="str">
        <f aca="false">IF($A1792="","",$G1792&amp;"|"&amp;$J1792)</f>
        <v/>
      </c>
      <c r="L1792" s="10" t="str">
        <f aca="false">IF($A1792="","",ROW()-2)</f>
        <v/>
      </c>
      <c r="M1792" s="10" t="str">
        <f aca="false">IF($A1792="","",ROW())</f>
        <v/>
      </c>
    </row>
    <row r="1793" customFormat="false" ht="15" hidden="false" customHeight="true" outlineLevel="0" collapsed="false">
      <c r="A1793" s="8"/>
      <c r="B1793" s="8"/>
      <c r="C1793" s="8"/>
      <c r="D1793" s="8"/>
      <c r="E1793" s="8"/>
      <c r="F1793" s="8"/>
      <c r="G1793" s="10" t="str">
        <f aca="false">IF($A1793="","",UPPER(SUBSTITUTE(SUBSTITUTE(SUBSTITUTE(SUBSTITUTE($A1793," ",""),"(주)",""),"주식회사",""),"㈜","")))</f>
        <v/>
      </c>
      <c r="H1793" s="10" t="str">
        <f aca="false">IF($B1793="","",SUBSTITUTE(SUBSTITUTE(SUBSTITUTE($B1793,"-","")," ",""),".",""))</f>
        <v/>
      </c>
      <c r="I1793" s="10" t="str">
        <f aca="false">IF($D1793="","",SUBSTITUTE(SUBSTITUTE(SUBSTITUTE($D1793,"-","")," ",""),".",""))</f>
        <v/>
      </c>
      <c r="J1793" s="10" t="str">
        <f aca="false">IF($E1793="","",UPPER(SUBSTITUTE($E1793," ","")))</f>
        <v/>
      </c>
      <c r="K1793" s="10" t="str">
        <f aca="false">IF($A1793="","",$G1793&amp;"|"&amp;$J1793)</f>
        <v/>
      </c>
      <c r="L1793" s="10" t="str">
        <f aca="false">IF($A1793="","",ROW()-2)</f>
        <v/>
      </c>
      <c r="M1793" s="10" t="str">
        <f aca="false">IF($A1793="","",ROW())</f>
        <v/>
      </c>
    </row>
    <row r="1794" customFormat="false" ht="15" hidden="false" customHeight="true" outlineLevel="0" collapsed="false">
      <c r="A1794" s="8"/>
      <c r="B1794" s="8"/>
      <c r="C1794" s="8"/>
      <c r="D1794" s="8"/>
      <c r="E1794" s="8"/>
      <c r="F1794" s="8"/>
      <c r="G1794" s="10" t="str">
        <f aca="false">IF($A1794="","",UPPER(SUBSTITUTE(SUBSTITUTE(SUBSTITUTE(SUBSTITUTE($A1794," ",""),"(주)",""),"주식회사",""),"㈜","")))</f>
        <v/>
      </c>
      <c r="H1794" s="10" t="str">
        <f aca="false">IF($B1794="","",SUBSTITUTE(SUBSTITUTE(SUBSTITUTE($B1794,"-","")," ",""),".",""))</f>
        <v/>
      </c>
      <c r="I1794" s="10" t="str">
        <f aca="false">IF($D1794="","",SUBSTITUTE(SUBSTITUTE(SUBSTITUTE($D1794,"-","")," ",""),".",""))</f>
        <v/>
      </c>
      <c r="J1794" s="10" t="str">
        <f aca="false">IF($E1794="","",UPPER(SUBSTITUTE($E1794," ","")))</f>
        <v/>
      </c>
      <c r="K1794" s="10" t="str">
        <f aca="false">IF($A1794="","",$G1794&amp;"|"&amp;$J1794)</f>
        <v/>
      </c>
      <c r="L1794" s="10" t="str">
        <f aca="false">IF($A1794="","",ROW()-2)</f>
        <v/>
      </c>
      <c r="M1794" s="10" t="str">
        <f aca="false">IF($A1794="","",ROW())</f>
        <v/>
      </c>
    </row>
    <row r="1795" customFormat="false" ht="15" hidden="false" customHeight="true" outlineLevel="0" collapsed="false">
      <c r="A1795" s="8"/>
      <c r="B1795" s="8"/>
      <c r="C1795" s="8"/>
      <c r="D1795" s="8"/>
      <c r="E1795" s="8"/>
      <c r="F1795" s="8"/>
      <c r="G1795" s="10" t="str">
        <f aca="false">IF($A1795="","",UPPER(SUBSTITUTE(SUBSTITUTE(SUBSTITUTE(SUBSTITUTE($A1795," ",""),"(주)",""),"주식회사",""),"㈜","")))</f>
        <v/>
      </c>
      <c r="H1795" s="10" t="str">
        <f aca="false">IF($B1795="","",SUBSTITUTE(SUBSTITUTE(SUBSTITUTE($B1795,"-","")," ",""),".",""))</f>
        <v/>
      </c>
      <c r="I1795" s="10" t="str">
        <f aca="false">IF($D1795="","",SUBSTITUTE(SUBSTITUTE(SUBSTITUTE($D1795,"-","")," ",""),".",""))</f>
        <v/>
      </c>
      <c r="J1795" s="10" t="str">
        <f aca="false">IF($E1795="","",UPPER(SUBSTITUTE($E1795," ","")))</f>
        <v/>
      </c>
      <c r="K1795" s="10" t="str">
        <f aca="false">IF($A1795="","",$G1795&amp;"|"&amp;$J1795)</f>
        <v/>
      </c>
      <c r="L1795" s="10" t="str">
        <f aca="false">IF($A1795="","",ROW()-2)</f>
        <v/>
      </c>
      <c r="M1795" s="10" t="str">
        <f aca="false">IF($A1795="","",ROW())</f>
        <v/>
      </c>
    </row>
    <row r="1796" customFormat="false" ht="15" hidden="false" customHeight="true" outlineLevel="0" collapsed="false">
      <c r="A1796" s="8"/>
      <c r="B1796" s="8"/>
      <c r="C1796" s="8"/>
      <c r="D1796" s="8"/>
      <c r="E1796" s="8"/>
      <c r="F1796" s="8"/>
      <c r="G1796" s="10" t="str">
        <f aca="false">IF($A1796="","",UPPER(SUBSTITUTE(SUBSTITUTE(SUBSTITUTE(SUBSTITUTE($A1796," ",""),"(주)",""),"주식회사",""),"㈜","")))</f>
        <v/>
      </c>
      <c r="H1796" s="10" t="str">
        <f aca="false">IF($B1796="","",SUBSTITUTE(SUBSTITUTE(SUBSTITUTE($B1796,"-","")," ",""),".",""))</f>
        <v/>
      </c>
      <c r="I1796" s="10" t="str">
        <f aca="false">IF($D1796="","",SUBSTITUTE(SUBSTITUTE(SUBSTITUTE($D1796,"-","")," ",""),".",""))</f>
        <v/>
      </c>
      <c r="J1796" s="10" t="str">
        <f aca="false">IF($E1796="","",UPPER(SUBSTITUTE($E1796," ","")))</f>
        <v/>
      </c>
      <c r="K1796" s="10" t="str">
        <f aca="false">IF($A1796="","",$G1796&amp;"|"&amp;$J1796)</f>
        <v/>
      </c>
      <c r="L1796" s="10" t="str">
        <f aca="false">IF($A1796="","",ROW()-2)</f>
        <v/>
      </c>
      <c r="M1796" s="10" t="str">
        <f aca="false">IF($A1796="","",ROW())</f>
        <v/>
      </c>
    </row>
    <row r="1797" customFormat="false" ht="15" hidden="false" customHeight="true" outlineLevel="0" collapsed="false">
      <c r="A1797" s="8"/>
      <c r="B1797" s="8"/>
      <c r="C1797" s="8"/>
      <c r="D1797" s="8"/>
      <c r="E1797" s="8"/>
      <c r="F1797" s="8"/>
      <c r="G1797" s="10" t="str">
        <f aca="false">IF($A1797="","",UPPER(SUBSTITUTE(SUBSTITUTE(SUBSTITUTE(SUBSTITUTE($A1797," ",""),"(주)",""),"주식회사",""),"㈜","")))</f>
        <v/>
      </c>
      <c r="H1797" s="10" t="str">
        <f aca="false">IF($B1797="","",SUBSTITUTE(SUBSTITUTE(SUBSTITUTE($B1797,"-","")," ",""),".",""))</f>
        <v/>
      </c>
      <c r="I1797" s="10" t="str">
        <f aca="false">IF($D1797="","",SUBSTITUTE(SUBSTITUTE(SUBSTITUTE($D1797,"-","")," ",""),".",""))</f>
        <v/>
      </c>
      <c r="J1797" s="10" t="str">
        <f aca="false">IF($E1797="","",UPPER(SUBSTITUTE($E1797," ","")))</f>
        <v/>
      </c>
      <c r="K1797" s="10" t="str">
        <f aca="false">IF($A1797="","",$G1797&amp;"|"&amp;$J1797)</f>
        <v/>
      </c>
      <c r="L1797" s="10" t="str">
        <f aca="false">IF($A1797="","",ROW()-2)</f>
        <v/>
      </c>
      <c r="M1797" s="10" t="str">
        <f aca="false">IF($A1797="","",ROW())</f>
        <v/>
      </c>
    </row>
    <row r="1798" customFormat="false" ht="15" hidden="false" customHeight="true" outlineLevel="0" collapsed="false">
      <c r="A1798" s="8"/>
      <c r="B1798" s="8"/>
      <c r="C1798" s="8"/>
      <c r="D1798" s="8"/>
      <c r="E1798" s="8"/>
      <c r="F1798" s="8"/>
      <c r="G1798" s="10" t="str">
        <f aca="false">IF($A1798="","",UPPER(SUBSTITUTE(SUBSTITUTE(SUBSTITUTE(SUBSTITUTE($A1798," ",""),"(주)",""),"주식회사",""),"㈜","")))</f>
        <v/>
      </c>
      <c r="H1798" s="10" t="str">
        <f aca="false">IF($B1798="","",SUBSTITUTE(SUBSTITUTE(SUBSTITUTE($B1798,"-","")," ",""),".",""))</f>
        <v/>
      </c>
      <c r="I1798" s="10" t="str">
        <f aca="false">IF($D1798="","",SUBSTITUTE(SUBSTITUTE(SUBSTITUTE($D1798,"-","")," ",""),".",""))</f>
        <v/>
      </c>
      <c r="J1798" s="10" t="str">
        <f aca="false">IF($E1798="","",UPPER(SUBSTITUTE($E1798," ","")))</f>
        <v/>
      </c>
      <c r="K1798" s="10" t="str">
        <f aca="false">IF($A1798="","",$G1798&amp;"|"&amp;$J1798)</f>
        <v/>
      </c>
      <c r="L1798" s="10" t="str">
        <f aca="false">IF($A1798="","",ROW()-2)</f>
        <v/>
      </c>
      <c r="M1798" s="10" t="str">
        <f aca="false">IF($A1798="","",ROW())</f>
        <v/>
      </c>
    </row>
    <row r="1799" customFormat="false" ht="15" hidden="false" customHeight="true" outlineLevel="0" collapsed="false">
      <c r="A1799" s="8"/>
      <c r="B1799" s="8"/>
      <c r="C1799" s="8"/>
      <c r="D1799" s="8"/>
      <c r="E1799" s="8"/>
      <c r="F1799" s="8"/>
      <c r="G1799" s="10" t="str">
        <f aca="false">IF($A1799="","",UPPER(SUBSTITUTE(SUBSTITUTE(SUBSTITUTE(SUBSTITUTE($A1799," ",""),"(주)",""),"주식회사",""),"㈜","")))</f>
        <v/>
      </c>
      <c r="H1799" s="10" t="str">
        <f aca="false">IF($B1799="","",SUBSTITUTE(SUBSTITUTE(SUBSTITUTE($B1799,"-","")," ",""),".",""))</f>
        <v/>
      </c>
      <c r="I1799" s="10" t="str">
        <f aca="false">IF($D1799="","",SUBSTITUTE(SUBSTITUTE(SUBSTITUTE($D1799,"-","")," ",""),".",""))</f>
        <v/>
      </c>
      <c r="J1799" s="10" t="str">
        <f aca="false">IF($E1799="","",UPPER(SUBSTITUTE($E1799," ","")))</f>
        <v/>
      </c>
      <c r="K1799" s="10" t="str">
        <f aca="false">IF($A1799="","",$G1799&amp;"|"&amp;$J1799)</f>
        <v/>
      </c>
      <c r="L1799" s="10" t="str">
        <f aca="false">IF($A1799="","",ROW()-2)</f>
        <v/>
      </c>
      <c r="M1799" s="10" t="str">
        <f aca="false">IF($A1799="","",ROW())</f>
        <v/>
      </c>
    </row>
    <row r="1800" customFormat="false" ht="15" hidden="false" customHeight="true" outlineLevel="0" collapsed="false">
      <c r="A1800" s="8"/>
      <c r="B1800" s="8"/>
      <c r="C1800" s="8"/>
      <c r="D1800" s="8"/>
      <c r="E1800" s="8"/>
      <c r="F1800" s="8"/>
      <c r="G1800" s="10" t="str">
        <f aca="false">IF($A1800="","",UPPER(SUBSTITUTE(SUBSTITUTE(SUBSTITUTE(SUBSTITUTE($A1800," ",""),"(주)",""),"주식회사",""),"㈜","")))</f>
        <v/>
      </c>
      <c r="H1800" s="10" t="str">
        <f aca="false">IF($B1800="","",SUBSTITUTE(SUBSTITUTE(SUBSTITUTE($B1800,"-","")," ",""),".",""))</f>
        <v/>
      </c>
      <c r="I1800" s="10" t="str">
        <f aca="false">IF($D1800="","",SUBSTITUTE(SUBSTITUTE(SUBSTITUTE($D1800,"-","")," ",""),".",""))</f>
        <v/>
      </c>
      <c r="J1800" s="10" t="str">
        <f aca="false">IF($E1800="","",UPPER(SUBSTITUTE($E1800," ","")))</f>
        <v/>
      </c>
      <c r="K1800" s="10" t="str">
        <f aca="false">IF($A1800="","",$G1800&amp;"|"&amp;$J1800)</f>
        <v/>
      </c>
      <c r="L1800" s="10" t="str">
        <f aca="false">IF($A1800="","",ROW()-2)</f>
        <v/>
      </c>
      <c r="M1800" s="10" t="str">
        <f aca="false">IF($A1800="","",ROW())</f>
        <v/>
      </c>
    </row>
    <row r="1801" customFormat="false" ht="15" hidden="false" customHeight="true" outlineLevel="0" collapsed="false">
      <c r="A1801" s="8"/>
      <c r="B1801" s="8"/>
      <c r="C1801" s="8"/>
      <c r="D1801" s="8"/>
      <c r="E1801" s="8"/>
      <c r="F1801" s="8"/>
      <c r="G1801" s="10" t="str">
        <f aca="false">IF($A1801="","",UPPER(SUBSTITUTE(SUBSTITUTE(SUBSTITUTE(SUBSTITUTE($A1801," ",""),"(주)",""),"주식회사",""),"㈜","")))</f>
        <v/>
      </c>
      <c r="H1801" s="10" t="str">
        <f aca="false">IF($B1801="","",SUBSTITUTE(SUBSTITUTE(SUBSTITUTE($B1801,"-","")," ",""),".",""))</f>
        <v/>
      </c>
      <c r="I1801" s="10" t="str">
        <f aca="false">IF($D1801="","",SUBSTITUTE(SUBSTITUTE(SUBSTITUTE($D1801,"-","")," ",""),".",""))</f>
        <v/>
      </c>
      <c r="J1801" s="10" t="str">
        <f aca="false">IF($E1801="","",UPPER(SUBSTITUTE($E1801," ","")))</f>
        <v/>
      </c>
      <c r="K1801" s="10" t="str">
        <f aca="false">IF($A1801="","",$G1801&amp;"|"&amp;$J1801)</f>
        <v/>
      </c>
      <c r="L1801" s="10" t="str">
        <f aca="false">IF($A1801="","",ROW()-2)</f>
        <v/>
      </c>
      <c r="M1801" s="10" t="str">
        <f aca="false">IF($A1801="","",ROW())</f>
        <v/>
      </c>
    </row>
    <row r="1802" customFormat="false" ht="15" hidden="false" customHeight="true" outlineLevel="0" collapsed="false">
      <c r="A1802" s="8"/>
      <c r="B1802" s="8"/>
      <c r="C1802" s="8"/>
      <c r="D1802" s="8"/>
      <c r="E1802" s="8"/>
      <c r="F1802" s="8"/>
      <c r="G1802" s="10" t="str">
        <f aca="false">IF($A1802="","",UPPER(SUBSTITUTE(SUBSTITUTE(SUBSTITUTE(SUBSTITUTE($A1802," ",""),"(주)",""),"주식회사",""),"㈜","")))</f>
        <v/>
      </c>
      <c r="H1802" s="10" t="str">
        <f aca="false">IF($B1802="","",SUBSTITUTE(SUBSTITUTE(SUBSTITUTE($B1802,"-","")," ",""),".",""))</f>
        <v/>
      </c>
      <c r="I1802" s="10" t="str">
        <f aca="false">IF($D1802="","",SUBSTITUTE(SUBSTITUTE(SUBSTITUTE($D1802,"-","")," ",""),".",""))</f>
        <v/>
      </c>
      <c r="J1802" s="10" t="str">
        <f aca="false">IF($E1802="","",UPPER(SUBSTITUTE($E1802," ","")))</f>
        <v/>
      </c>
      <c r="K1802" s="10" t="str">
        <f aca="false">IF($A1802="","",$G1802&amp;"|"&amp;$J1802)</f>
        <v/>
      </c>
      <c r="L1802" s="10" t="str">
        <f aca="false">IF($A1802="","",ROW()-2)</f>
        <v/>
      </c>
      <c r="M1802" s="10" t="str">
        <f aca="false">IF($A1802="","",ROW())</f>
        <v/>
      </c>
    </row>
    <row r="1803" customFormat="false" ht="15" hidden="false" customHeight="true" outlineLevel="0" collapsed="false">
      <c r="A1803" s="8"/>
      <c r="B1803" s="8"/>
      <c r="C1803" s="8"/>
      <c r="D1803" s="8"/>
      <c r="E1803" s="8"/>
      <c r="F1803" s="8"/>
      <c r="G1803" s="10" t="str">
        <f aca="false">IF($A1803="","",UPPER(SUBSTITUTE(SUBSTITUTE(SUBSTITUTE(SUBSTITUTE($A1803," ",""),"(주)",""),"주식회사",""),"㈜","")))</f>
        <v/>
      </c>
      <c r="H1803" s="10" t="str">
        <f aca="false">IF($B1803="","",SUBSTITUTE(SUBSTITUTE(SUBSTITUTE($B1803,"-","")," ",""),".",""))</f>
        <v/>
      </c>
      <c r="I1803" s="10" t="str">
        <f aca="false">IF($D1803="","",SUBSTITUTE(SUBSTITUTE(SUBSTITUTE($D1803,"-","")," ",""),".",""))</f>
        <v/>
      </c>
      <c r="J1803" s="10" t="str">
        <f aca="false">IF($E1803="","",UPPER(SUBSTITUTE($E1803," ","")))</f>
        <v/>
      </c>
      <c r="K1803" s="10" t="str">
        <f aca="false">IF($A1803="","",$G1803&amp;"|"&amp;$J1803)</f>
        <v/>
      </c>
      <c r="L1803" s="10" t="str">
        <f aca="false">IF($A1803="","",ROW()-2)</f>
        <v/>
      </c>
      <c r="M1803" s="10" t="str">
        <f aca="false">IF($A1803="","",ROW())</f>
        <v/>
      </c>
    </row>
    <row r="1804" customFormat="false" ht="15" hidden="false" customHeight="true" outlineLevel="0" collapsed="false">
      <c r="A1804" s="8"/>
      <c r="B1804" s="8"/>
      <c r="C1804" s="8"/>
      <c r="D1804" s="8"/>
      <c r="E1804" s="8"/>
      <c r="F1804" s="8"/>
      <c r="G1804" s="10" t="str">
        <f aca="false">IF($A1804="","",UPPER(SUBSTITUTE(SUBSTITUTE(SUBSTITUTE(SUBSTITUTE($A1804," ",""),"(주)",""),"주식회사",""),"㈜","")))</f>
        <v/>
      </c>
      <c r="H1804" s="10" t="str">
        <f aca="false">IF($B1804="","",SUBSTITUTE(SUBSTITUTE(SUBSTITUTE($B1804,"-","")," ",""),".",""))</f>
        <v/>
      </c>
      <c r="I1804" s="10" t="str">
        <f aca="false">IF($D1804="","",SUBSTITUTE(SUBSTITUTE(SUBSTITUTE($D1804,"-","")," ",""),".",""))</f>
        <v/>
      </c>
      <c r="J1804" s="10" t="str">
        <f aca="false">IF($E1804="","",UPPER(SUBSTITUTE($E1804," ","")))</f>
        <v/>
      </c>
      <c r="K1804" s="10" t="str">
        <f aca="false">IF($A1804="","",$G1804&amp;"|"&amp;$J1804)</f>
        <v/>
      </c>
      <c r="L1804" s="10" t="str">
        <f aca="false">IF($A1804="","",ROW()-2)</f>
        <v/>
      </c>
      <c r="M1804" s="10" t="str">
        <f aca="false">IF($A1804="","",ROW())</f>
        <v/>
      </c>
    </row>
    <row r="1805" customFormat="false" ht="15" hidden="false" customHeight="true" outlineLevel="0" collapsed="false">
      <c r="A1805" s="8"/>
      <c r="B1805" s="8"/>
      <c r="C1805" s="8"/>
      <c r="D1805" s="8"/>
      <c r="E1805" s="8"/>
      <c r="F1805" s="8"/>
      <c r="G1805" s="10" t="str">
        <f aca="false">IF($A1805="","",UPPER(SUBSTITUTE(SUBSTITUTE(SUBSTITUTE(SUBSTITUTE($A1805," ",""),"(주)",""),"주식회사",""),"㈜","")))</f>
        <v/>
      </c>
      <c r="H1805" s="10" t="str">
        <f aca="false">IF($B1805="","",SUBSTITUTE(SUBSTITUTE(SUBSTITUTE($B1805,"-","")," ",""),".",""))</f>
        <v/>
      </c>
      <c r="I1805" s="10" t="str">
        <f aca="false">IF($D1805="","",SUBSTITUTE(SUBSTITUTE(SUBSTITUTE($D1805,"-","")," ",""),".",""))</f>
        <v/>
      </c>
      <c r="J1805" s="10" t="str">
        <f aca="false">IF($E1805="","",UPPER(SUBSTITUTE($E1805," ","")))</f>
        <v/>
      </c>
      <c r="K1805" s="10" t="str">
        <f aca="false">IF($A1805="","",$G1805&amp;"|"&amp;$J1805)</f>
        <v/>
      </c>
      <c r="L1805" s="10" t="str">
        <f aca="false">IF($A1805="","",ROW()-2)</f>
        <v/>
      </c>
      <c r="M1805" s="10" t="str">
        <f aca="false">IF($A1805="","",ROW())</f>
        <v/>
      </c>
    </row>
    <row r="1806" customFormat="false" ht="15" hidden="false" customHeight="true" outlineLevel="0" collapsed="false">
      <c r="A1806" s="8"/>
      <c r="B1806" s="8"/>
      <c r="C1806" s="8"/>
      <c r="D1806" s="8"/>
      <c r="E1806" s="8"/>
      <c r="F1806" s="8"/>
      <c r="G1806" s="10" t="str">
        <f aca="false">IF($A1806="","",UPPER(SUBSTITUTE(SUBSTITUTE(SUBSTITUTE(SUBSTITUTE($A1806," ",""),"(주)",""),"주식회사",""),"㈜","")))</f>
        <v/>
      </c>
      <c r="H1806" s="10" t="str">
        <f aca="false">IF($B1806="","",SUBSTITUTE(SUBSTITUTE(SUBSTITUTE($B1806,"-","")," ",""),".",""))</f>
        <v/>
      </c>
      <c r="I1806" s="10" t="str">
        <f aca="false">IF($D1806="","",SUBSTITUTE(SUBSTITUTE(SUBSTITUTE($D1806,"-","")," ",""),".",""))</f>
        <v/>
      </c>
      <c r="J1806" s="10" t="str">
        <f aca="false">IF($E1806="","",UPPER(SUBSTITUTE($E1806," ","")))</f>
        <v/>
      </c>
      <c r="K1806" s="10" t="str">
        <f aca="false">IF($A1806="","",$G1806&amp;"|"&amp;$J1806)</f>
        <v/>
      </c>
      <c r="L1806" s="10" t="str">
        <f aca="false">IF($A1806="","",ROW()-2)</f>
        <v/>
      </c>
      <c r="M1806" s="10" t="str">
        <f aca="false">IF($A1806="","",ROW())</f>
        <v/>
      </c>
    </row>
    <row r="1807" customFormat="false" ht="15" hidden="false" customHeight="true" outlineLevel="0" collapsed="false">
      <c r="A1807" s="8"/>
      <c r="B1807" s="8"/>
      <c r="C1807" s="8"/>
      <c r="D1807" s="8"/>
      <c r="E1807" s="8"/>
      <c r="F1807" s="8"/>
      <c r="G1807" s="10" t="str">
        <f aca="false">IF($A1807="","",UPPER(SUBSTITUTE(SUBSTITUTE(SUBSTITUTE(SUBSTITUTE($A1807," ",""),"(주)",""),"주식회사",""),"㈜","")))</f>
        <v/>
      </c>
      <c r="H1807" s="10" t="str">
        <f aca="false">IF($B1807="","",SUBSTITUTE(SUBSTITUTE(SUBSTITUTE($B1807,"-","")," ",""),".",""))</f>
        <v/>
      </c>
      <c r="I1807" s="10" t="str">
        <f aca="false">IF($D1807="","",SUBSTITUTE(SUBSTITUTE(SUBSTITUTE($D1807,"-","")," ",""),".",""))</f>
        <v/>
      </c>
      <c r="J1807" s="10" t="str">
        <f aca="false">IF($E1807="","",UPPER(SUBSTITUTE($E1807," ","")))</f>
        <v/>
      </c>
      <c r="K1807" s="10" t="str">
        <f aca="false">IF($A1807="","",$G1807&amp;"|"&amp;$J1807)</f>
        <v/>
      </c>
      <c r="L1807" s="10" t="str">
        <f aca="false">IF($A1807="","",ROW()-2)</f>
        <v/>
      </c>
      <c r="M1807" s="10" t="str">
        <f aca="false">IF($A1807="","",ROW())</f>
        <v/>
      </c>
    </row>
    <row r="1808" customFormat="false" ht="15" hidden="false" customHeight="true" outlineLevel="0" collapsed="false">
      <c r="A1808" s="8"/>
      <c r="B1808" s="8"/>
      <c r="C1808" s="8"/>
      <c r="D1808" s="8"/>
      <c r="E1808" s="8"/>
      <c r="F1808" s="8"/>
      <c r="G1808" s="10" t="str">
        <f aca="false">IF($A1808="","",UPPER(SUBSTITUTE(SUBSTITUTE(SUBSTITUTE(SUBSTITUTE($A1808," ",""),"(주)",""),"주식회사",""),"㈜","")))</f>
        <v/>
      </c>
      <c r="H1808" s="10" t="str">
        <f aca="false">IF($B1808="","",SUBSTITUTE(SUBSTITUTE(SUBSTITUTE($B1808,"-","")," ",""),".",""))</f>
        <v/>
      </c>
      <c r="I1808" s="10" t="str">
        <f aca="false">IF($D1808="","",SUBSTITUTE(SUBSTITUTE(SUBSTITUTE($D1808,"-","")," ",""),".",""))</f>
        <v/>
      </c>
      <c r="J1808" s="10" t="str">
        <f aca="false">IF($E1808="","",UPPER(SUBSTITUTE($E1808," ","")))</f>
        <v/>
      </c>
      <c r="K1808" s="10" t="str">
        <f aca="false">IF($A1808="","",$G1808&amp;"|"&amp;$J1808)</f>
        <v/>
      </c>
      <c r="L1808" s="10" t="str">
        <f aca="false">IF($A1808="","",ROW()-2)</f>
        <v/>
      </c>
      <c r="M1808" s="10" t="str">
        <f aca="false">IF($A1808="","",ROW())</f>
        <v/>
      </c>
    </row>
    <row r="1809" customFormat="false" ht="15" hidden="false" customHeight="true" outlineLevel="0" collapsed="false">
      <c r="A1809" s="8"/>
      <c r="B1809" s="8"/>
      <c r="C1809" s="8"/>
      <c r="D1809" s="8"/>
      <c r="E1809" s="8"/>
      <c r="F1809" s="8"/>
      <c r="G1809" s="10" t="str">
        <f aca="false">IF($A1809="","",UPPER(SUBSTITUTE(SUBSTITUTE(SUBSTITUTE(SUBSTITUTE($A1809," ",""),"(주)",""),"주식회사",""),"㈜","")))</f>
        <v/>
      </c>
      <c r="H1809" s="10" t="str">
        <f aca="false">IF($B1809="","",SUBSTITUTE(SUBSTITUTE(SUBSTITUTE($B1809,"-","")," ",""),".",""))</f>
        <v/>
      </c>
      <c r="I1809" s="10" t="str">
        <f aca="false">IF($D1809="","",SUBSTITUTE(SUBSTITUTE(SUBSTITUTE($D1809,"-","")," ",""),".",""))</f>
        <v/>
      </c>
      <c r="J1809" s="10" t="str">
        <f aca="false">IF($E1809="","",UPPER(SUBSTITUTE($E1809," ","")))</f>
        <v/>
      </c>
      <c r="K1809" s="10" t="str">
        <f aca="false">IF($A1809="","",$G1809&amp;"|"&amp;$J1809)</f>
        <v/>
      </c>
      <c r="L1809" s="10" t="str">
        <f aca="false">IF($A1809="","",ROW()-2)</f>
        <v/>
      </c>
      <c r="M1809" s="10" t="str">
        <f aca="false">IF($A1809="","",ROW())</f>
        <v/>
      </c>
    </row>
    <row r="1810" customFormat="false" ht="15" hidden="false" customHeight="true" outlineLevel="0" collapsed="false">
      <c r="A1810" s="8"/>
      <c r="B1810" s="8"/>
      <c r="C1810" s="8"/>
      <c r="D1810" s="8"/>
      <c r="E1810" s="8"/>
      <c r="F1810" s="8"/>
      <c r="G1810" s="10" t="str">
        <f aca="false">IF($A1810="","",UPPER(SUBSTITUTE(SUBSTITUTE(SUBSTITUTE(SUBSTITUTE($A1810," ",""),"(주)",""),"주식회사",""),"㈜","")))</f>
        <v/>
      </c>
      <c r="H1810" s="10" t="str">
        <f aca="false">IF($B1810="","",SUBSTITUTE(SUBSTITUTE(SUBSTITUTE($B1810,"-","")," ",""),".",""))</f>
        <v/>
      </c>
      <c r="I1810" s="10" t="str">
        <f aca="false">IF($D1810="","",SUBSTITUTE(SUBSTITUTE(SUBSTITUTE($D1810,"-","")," ",""),".",""))</f>
        <v/>
      </c>
      <c r="J1810" s="10" t="str">
        <f aca="false">IF($E1810="","",UPPER(SUBSTITUTE($E1810," ","")))</f>
        <v/>
      </c>
      <c r="K1810" s="10" t="str">
        <f aca="false">IF($A1810="","",$G1810&amp;"|"&amp;$J1810)</f>
        <v/>
      </c>
      <c r="L1810" s="10" t="str">
        <f aca="false">IF($A1810="","",ROW()-2)</f>
        <v/>
      </c>
      <c r="M1810" s="10" t="str">
        <f aca="false">IF($A1810="","",ROW())</f>
        <v/>
      </c>
    </row>
    <row r="1811" customFormat="false" ht="15" hidden="false" customHeight="true" outlineLevel="0" collapsed="false">
      <c r="A1811" s="8"/>
      <c r="B1811" s="8"/>
      <c r="C1811" s="8"/>
      <c r="D1811" s="8"/>
      <c r="E1811" s="8"/>
      <c r="F1811" s="8"/>
      <c r="G1811" s="10" t="str">
        <f aca="false">IF($A1811="","",UPPER(SUBSTITUTE(SUBSTITUTE(SUBSTITUTE(SUBSTITUTE($A1811," ",""),"(주)",""),"주식회사",""),"㈜","")))</f>
        <v/>
      </c>
      <c r="H1811" s="10" t="str">
        <f aca="false">IF($B1811="","",SUBSTITUTE(SUBSTITUTE(SUBSTITUTE($B1811,"-","")," ",""),".",""))</f>
        <v/>
      </c>
      <c r="I1811" s="10" t="str">
        <f aca="false">IF($D1811="","",SUBSTITUTE(SUBSTITUTE(SUBSTITUTE($D1811,"-","")," ",""),".",""))</f>
        <v/>
      </c>
      <c r="J1811" s="10" t="str">
        <f aca="false">IF($E1811="","",UPPER(SUBSTITUTE($E1811," ","")))</f>
        <v/>
      </c>
      <c r="K1811" s="10" t="str">
        <f aca="false">IF($A1811="","",$G1811&amp;"|"&amp;$J1811)</f>
        <v/>
      </c>
      <c r="L1811" s="10" t="str">
        <f aca="false">IF($A1811="","",ROW()-2)</f>
        <v/>
      </c>
      <c r="M1811" s="10" t="str">
        <f aca="false">IF($A1811="","",ROW())</f>
        <v/>
      </c>
    </row>
    <row r="1812" customFormat="false" ht="15" hidden="false" customHeight="true" outlineLevel="0" collapsed="false">
      <c r="A1812" s="8"/>
      <c r="B1812" s="8"/>
      <c r="C1812" s="8"/>
      <c r="D1812" s="8"/>
      <c r="E1812" s="8"/>
      <c r="F1812" s="8"/>
      <c r="G1812" s="10" t="str">
        <f aca="false">IF($A1812="","",UPPER(SUBSTITUTE(SUBSTITUTE(SUBSTITUTE(SUBSTITUTE($A1812," ",""),"(주)",""),"주식회사",""),"㈜","")))</f>
        <v/>
      </c>
      <c r="H1812" s="10" t="str">
        <f aca="false">IF($B1812="","",SUBSTITUTE(SUBSTITUTE(SUBSTITUTE($B1812,"-","")," ",""),".",""))</f>
        <v/>
      </c>
      <c r="I1812" s="10" t="str">
        <f aca="false">IF($D1812="","",SUBSTITUTE(SUBSTITUTE(SUBSTITUTE($D1812,"-","")," ",""),".",""))</f>
        <v/>
      </c>
      <c r="J1812" s="10" t="str">
        <f aca="false">IF($E1812="","",UPPER(SUBSTITUTE($E1812," ","")))</f>
        <v/>
      </c>
      <c r="K1812" s="10" t="str">
        <f aca="false">IF($A1812="","",$G1812&amp;"|"&amp;$J1812)</f>
        <v/>
      </c>
      <c r="L1812" s="10" t="str">
        <f aca="false">IF($A1812="","",ROW()-2)</f>
        <v/>
      </c>
      <c r="M1812" s="10" t="str">
        <f aca="false">IF($A1812="","",ROW())</f>
        <v/>
      </c>
    </row>
    <row r="1813" customFormat="false" ht="15" hidden="false" customHeight="true" outlineLevel="0" collapsed="false">
      <c r="A1813" s="8"/>
      <c r="B1813" s="8"/>
      <c r="C1813" s="8"/>
      <c r="D1813" s="8"/>
      <c r="E1813" s="8"/>
      <c r="F1813" s="8"/>
      <c r="G1813" s="10" t="str">
        <f aca="false">IF($A1813="","",UPPER(SUBSTITUTE(SUBSTITUTE(SUBSTITUTE(SUBSTITUTE($A1813," ",""),"(주)",""),"주식회사",""),"㈜","")))</f>
        <v/>
      </c>
      <c r="H1813" s="10" t="str">
        <f aca="false">IF($B1813="","",SUBSTITUTE(SUBSTITUTE(SUBSTITUTE($B1813,"-","")," ",""),".",""))</f>
        <v/>
      </c>
      <c r="I1813" s="10" t="str">
        <f aca="false">IF($D1813="","",SUBSTITUTE(SUBSTITUTE(SUBSTITUTE($D1813,"-","")," ",""),".",""))</f>
        <v/>
      </c>
      <c r="J1813" s="10" t="str">
        <f aca="false">IF($E1813="","",UPPER(SUBSTITUTE($E1813," ","")))</f>
        <v/>
      </c>
      <c r="K1813" s="10" t="str">
        <f aca="false">IF($A1813="","",$G1813&amp;"|"&amp;$J1813)</f>
        <v/>
      </c>
      <c r="L1813" s="10" t="str">
        <f aca="false">IF($A1813="","",ROW()-2)</f>
        <v/>
      </c>
      <c r="M1813" s="10" t="str">
        <f aca="false">IF($A1813="","",ROW())</f>
        <v/>
      </c>
    </row>
    <row r="1814" customFormat="false" ht="15" hidden="false" customHeight="true" outlineLevel="0" collapsed="false">
      <c r="A1814" s="8"/>
      <c r="B1814" s="8"/>
      <c r="C1814" s="8"/>
      <c r="D1814" s="8"/>
      <c r="E1814" s="8"/>
      <c r="F1814" s="8"/>
      <c r="G1814" s="10" t="str">
        <f aca="false">IF($A1814="","",UPPER(SUBSTITUTE(SUBSTITUTE(SUBSTITUTE(SUBSTITUTE($A1814," ",""),"(주)",""),"주식회사",""),"㈜","")))</f>
        <v/>
      </c>
      <c r="H1814" s="10" t="str">
        <f aca="false">IF($B1814="","",SUBSTITUTE(SUBSTITUTE(SUBSTITUTE($B1814,"-","")," ",""),".",""))</f>
        <v/>
      </c>
      <c r="I1814" s="10" t="str">
        <f aca="false">IF($D1814="","",SUBSTITUTE(SUBSTITUTE(SUBSTITUTE($D1814,"-","")," ",""),".",""))</f>
        <v/>
      </c>
      <c r="J1814" s="10" t="str">
        <f aca="false">IF($E1814="","",UPPER(SUBSTITUTE($E1814," ","")))</f>
        <v/>
      </c>
      <c r="K1814" s="10" t="str">
        <f aca="false">IF($A1814="","",$G1814&amp;"|"&amp;$J1814)</f>
        <v/>
      </c>
      <c r="L1814" s="10" t="str">
        <f aca="false">IF($A1814="","",ROW()-2)</f>
        <v/>
      </c>
      <c r="M1814" s="10" t="str">
        <f aca="false">IF($A1814="","",ROW())</f>
        <v/>
      </c>
    </row>
    <row r="1815" customFormat="false" ht="15" hidden="false" customHeight="true" outlineLevel="0" collapsed="false">
      <c r="A1815" s="8"/>
      <c r="B1815" s="8"/>
      <c r="C1815" s="8"/>
      <c r="D1815" s="8"/>
      <c r="E1815" s="8"/>
      <c r="F1815" s="8"/>
      <c r="G1815" s="10" t="str">
        <f aca="false">IF($A1815="","",UPPER(SUBSTITUTE(SUBSTITUTE(SUBSTITUTE(SUBSTITUTE($A1815," ",""),"(주)",""),"주식회사",""),"㈜","")))</f>
        <v/>
      </c>
      <c r="H1815" s="10" t="str">
        <f aca="false">IF($B1815="","",SUBSTITUTE(SUBSTITUTE(SUBSTITUTE($B1815,"-","")," ",""),".",""))</f>
        <v/>
      </c>
      <c r="I1815" s="10" t="str">
        <f aca="false">IF($D1815="","",SUBSTITUTE(SUBSTITUTE(SUBSTITUTE($D1815,"-","")," ",""),".",""))</f>
        <v/>
      </c>
      <c r="J1815" s="10" t="str">
        <f aca="false">IF($E1815="","",UPPER(SUBSTITUTE($E1815," ","")))</f>
        <v/>
      </c>
      <c r="K1815" s="10" t="str">
        <f aca="false">IF($A1815="","",$G1815&amp;"|"&amp;$J1815)</f>
        <v/>
      </c>
      <c r="L1815" s="10" t="str">
        <f aca="false">IF($A1815="","",ROW()-2)</f>
        <v/>
      </c>
      <c r="M1815" s="10" t="str">
        <f aca="false">IF($A1815="","",ROW())</f>
        <v/>
      </c>
    </row>
    <row r="1816" customFormat="false" ht="15" hidden="false" customHeight="true" outlineLevel="0" collapsed="false">
      <c r="A1816" s="8"/>
      <c r="B1816" s="8"/>
      <c r="C1816" s="8"/>
      <c r="D1816" s="8"/>
      <c r="E1816" s="8"/>
      <c r="F1816" s="8"/>
      <c r="G1816" s="10" t="str">
        <f aca="false">IF($A1816="","",UPPER(SUBSTITUTE(SUBSTITUTE(SUBSTITUTE(SUBSTITUTE($A1816," ",""),"(주)",""),"주식회사",""),"㈜","")))</f>
        <v/>
      </c>
      <c r="H1816" s="10" t="str">
        <f aca="false">IF($B1816="","",SUBSTITUTE(SUBSTITUTE(SUBSTITUTE($B1816,"-","")," ",""),".",""))</f>
        <v/>
      </c>
      <c r="I1816" s="10" t="str">
        <f aca="false">IF($D1816="","",SUBSTITUTE(SUBSTITUTE(SUBSTITUTE($D1816,"-","")," ",""),".",""))</f>
        <v/>
      </c>
      <c r="J1816" s="10" t="str">
        <f aca="false">IF($E1816="","",UPPER(SUBSTITUTE($E1816," ","")))</f>
        <v/>
      </c>
      <c r="K1816" s="10" t="str">
        <f aca="false">IF($A1816="","",$G1816&amp;"|"&amp;$J1816)</f>
        <v/>
      </c>
      <c r="L1816" s="10" t="str">
        <f aca="false">IF($A1816="","",ROW()-2)</f>
        <v/>
      </c>
      <c r="M1816" s="10" t="str">
        <f aca="false">IF($A1816="","",ROW())</f>
        <v/>
      </c>
    </row>
    <row r="1817" customFormat="false" ht="15" hidden="false" customHeight="true" outlineLevel="0" collapsed="false">
      <c r="A1817" s="8"/>
      <c r="B1817" s="8"/>
      <c r="C1817" s="8"/>
      <c r="D1817" s="8"/>
      <c r="E1817" s="8"/>
      <c r="F1817" s="8"/>
      <c r="G1817" s="10" t="str">
        <f aca="false">IF($A1817="","",UPPER(SUBSTITUTE(SUBSTITUTE(SUBSTITUTE(SUBSTITUTE($A1817," ",""),"(주)",""),"주식회사",""),"㈜","")))</f>
        <v/>
      </c>
      <c r="H1817" s="10" t="str">
        <f aca="false">IF($B1817="","",SUBSTITUTE(SUBSTITUTE(SUBSTITUTE($B1817,"-","")," ",""),".",""))</f>
        <v/>
      </c>
      <c r="I1817" s="10" t="str">
        <f aca="false">IF($D1817="","",SUBSTITUTE(SUBSTITUTE(SUBSTITUTE($D1817,"-","")," ",""),".",""))</f>
        <v/>
      </c>
      <c r="J1817" s="10" t="str">
        <f aca="false">IF($E1817="","",UPPER(SUBSTITUTE($E1817," ","")))</f>
        <v/>
      </c>
      <c r="K1817" s="10" t="str">
        <f aca="false">IF($A1817="","",$G1817&amp;"|"&amp;$J1817)</f>
        <v/>
      </c>
      <c r="L1817" s="10" t="str">
        <f aca="false">IF($A1817="","",ROW()-2)</f>
        <v/>
      </c>
      <c r="M1817" s="10" t="str">
        <f aca="false">IF($A1817="","",ROW())</f>
        <v/>
      </c>
    </row>
    <row r="1818" customFormat="false" ht="15" hidden="false" customHeight="true" outlineLevel="0" collapsed="false">
      <c r="A1818" s="8"/>
      <c r="B1818" s="8"/>
      <c r="C1818" s="8"/>
      <c r="D1818" s="8"/>
      <c r="E1818" s="8"/>
      <c r="F1818" s="8"/>
      <c r="G1818" s="10" t="str">
        <f aca="false">IF($A1818="","",UPPER(SUBSTITUTE(SUBSTITUTE(SUBSTITUTE(SUBSTITUTE($A1818," ",""),"(주)",""),"주식회사",""),"㈜","")))</f>
        <v/>
      </c>
      <c r="H1818" s="10" t="str">
        <f aca="false">IF($B1818="","",SUBSTITUTE(SUBSTITUTE(SUBSTITUTE($B1818,"-","")," ",""),".",""))</f>
        <v/>
      </c>
      <c r="I1818" s="10" t="str">
        <f aca="false">IF($D1818="","",SUBSTITUTE(SUBSTITUTE(SUBSTITUTE($D1818,"-","")," ",""),".",""))</f>
        <v/>
      </c>
      <c r="J1818" s="10" t="str">
        <f aca="false">IF($E1818="","",UPPER(SUBSTITUTE($E1818," ","")))</f>
        <v/>
      </c>
      <c r="K1818" s="10" t="str">
        <f aca="false">IF($A1818="","",$G1818&amp;"|"&amp;$J1818)</f>
        <v/>
      </c>
      <c r="L1818" s="10" t="str">
        <f aca="false">IF($A1818="","",ROW()-2)</f>
        <v/>
      </c>
      <c r="M1818" s="10" t="str">
        <f aca="false">IF($A1818="","",ROW())</f>
        <v/>
      </c>
    </row>
    <row r="1819" customFormat="false" ht="15" hidden="false" customHeight="true" outlineLevel="0" collapsed="false">
      <c r="A1819" s="8"/>
      <c r="B1819" s="8"/>
      <c r="C1819" s="8"/>
      <c r="D1819" s="8"/>
      <c r="E1819" s="8"/>
      <c r="F1819" s="8"/>
      <c r="G1819" s="10" t="str">
        <f aca="false">IF($A1819="","",UPPER(SUBSTITUTE(SUBSTITUTE(SUBSTITUTE(SUBSTITUTE($A1819," ",""),"(주)",""),"주식회사",""),"㈜","")))</f>
        <v/>
      </c>
      <c r="H1819" s="10" t="str">
        <f aca="false">IF($B1819="","",SUBSTITUTE(SUBSTITUTE(SUBSTITUTE($B1819,"-","")," ",""),".",""))</f>
        <v/>
      </c>
      <c r="I1819" s="10" t="str">
        <f aca="false">IF($D1819="","",SUBSTITUTE(SUBSTITUTE(SUBSTITUTE($D1819,"-","")," ",""),".",""))</f>
        <v/>
      </c>
      <c r="J1819" s="10" t="str">
        <f aca="false">IF($E1819="","",UPPER(SUBSTITUTE($E1819," ","")))</f>
        <v/>
      </c>
      <c r="K1819" s="10" t="str">
        <f aca="false">IF($A1819="","",$G1819&amp;"|"&amp;$J1819)</f>
        <v/>
      </c>
      <c r="L1819" s="10" t="str">
        <f aca="false">IF($A1819="","",ROW()-2)</f>
        <v/>
      </c>
      <c r="M1819" s="10" t="str">
        <f aca="false">IF($A1819="","",ROW())</f>
        <v/>
      </c>
    </row>
    <row r="1820" customFormat="false" ht="15" hidden="false" customHeight="true" outlineLevel="0" collapsed="false">
      <c r="A1820" s="8"/>
      <c r="B1820" s="8"/>
      <c r="C1820" s="8"/>
      <c r="D1820" s="8"/>
      <c r="E1820" s="8"/>
      <c r="F1820" s="8"/>
      <c r="G1820" s="10" t="str">
        <f aca="false">IF($A1820="","",UPPER(SUBSTITUTE(SUBSTITUTE(SUBSTITUTE(SUBSTITUTE($A1820," ",""),"(주)",""),"주식회사",""),"㈜","")))</f>
        <v/>
      </c>
      <c r="H1820" s="10" t="str">
        <f aca="false">IF($B1820="","",SUBSTITUTE(SUBSTITUTE(SUBSTITUTE($B1820,"-","")," ",""),".",""))</f>
        <v/>
      </c>
      <c r="I1820" s="10" t="str">
        <f aca="false">IF($D1820="","",SUBSTITUTE(SUBSTITUTE(SUBSTITUTE($D1820,"-","")," ",""),".",""))</f>
        <v/>
      </c>
      <c r="J1820" s="10" t="str">
        <f aca="false">IF($E1820="","",UPPER(SUBSTITUTE($E1820," ","")))</f>
        <v/>
      </c>
      <c r="K1820" s="10" t="str">
        <f aca="false">IF($A1820="","",$G1820&amp;"|"&amp;$J1820)</f>
        <v/>
      </c>
      <c r="L1820" s="10" t="str">
        <f aca="false">IF($A1820="","",ROW()-2)</f>
        <v/>
      </c>
      <c r="M1820" s="10" t="str">
        <f aca="false">IF($A1820="","",ROW())</f>
        <v/>
      </c>
    </row>
    <row r="1821" customFormat="false" ht="15" hidden="false" customHeight="true" outlineLevel="0" collapsed="false">
      <c r="A1821" s="8"/>
      <c r="B1821" s="8"/>
      <c r="C1821" s="8"/>
      <c r="D1821" s="8"/>
      <c r="E1821" s="8"/>
      <c r="F1821" s="8"/>
      <c r="G1821" s="10" t="str">
        <f aca="false">IF($A1821="","",UPPER(SUBSTITUTE(SUBSTITUTE(SUBSTITUTE(SUBSTITUTE($A1821," ",""),"(주)",""),"주식회사",""),"㈜","")))</f>
        <v/>
      </c>
      <c r="H1821" s="10" t="str">
        <f aca="false">IF($B1821="","",SUBSTITUTE(SUBSTITUTE(SUBSTITUTE($B1821,"-","")," ",""),".",""))</f>
        <v/>
      </c>
      <c r="I1821" s="10" t="str">
        <f aca="false">IF($D1821="","",SUBSTITUTE(SUBSTITUTE(SUBSTITUTE($D1821,"-","")," ",""),".",""))</f>
        <v/>
      </c>
      <c r="J1821" s="10" t="str">
        <f aca="false">IF($E1821="","",UPPER(SUBSTITUTE($E1821," ","")))</f>
        <v/>
      </c>
      <c r="K1821" s="10" t="str">
        <f aca="false">IF($A1821="","",$G1821&amp;"|"&amp;$J1821)</f>
        <v/>
      </c>
      <c r="L1821" s="10" t="str">
        <f aca="false">IF($A1821="","",ROW()-2)</f>
        <v/>
      </c>
      <c r="M1821" s="10" t="str">
        <f aca="false">IF($A1821="","",ROW())</f>
        <v/>
      </c>
    </row>
    <row r="1822" customFormat="false" ht="15" hidden="false" customHeight="true" outlineLevel="0" collapsed="false">
      <c r="A1822" s="8"/>
      <c r="B1822" s="8"/>
      <c r="C1822" s="8"/>
      <c r="D1822" s="8"/>
      <c r="E1822" s="8"/>
      <c r="F1822" s="8"/>
      <c r="G1822" s="10" t="str">
        <f aca="false">IF($A1822="","",UPPER(SUBSTITUTE(SUBSTITUTE(SUBSTITUTE(SUBSTITUTE($A1822," ",""),"(주)",""),"주식회사",""),"㈜","")))</f>
        <v/>
      </c>
      <c r="H1822" s="10" t="str">
        <f aca="false">IF($B1822="","",SUBSTITUTE(SUBSTITUTE(SUBSTITUTE($B1822,"-","")," ",""),".",""))</f>
        <v/>
      </c>
      <c r="I1822" s="10" t="str">
        <f aca="false">IF($D1822="","",SUBSTITUTE(SUBSTITUTE(SUBSTITUTE($D1822,"-","")," ",""),".",""))</f>
        <v/>
      </c>
      <c r="J1822" s="10" t="str">
        <f aca="false">IF($E1822="","",UPPER(SUBSTITUTE($E1822," ","")))</f>
        <v/>
      </c>
      <c r="K1822" s="10" t="str">
        <f aca="false">IF($A1822="","",$G1822&amp;"|"&amp;$J1822)</f>
        <v/>
      </c>
      <c r="L1822" s="10" t="str">
        <f aca="false">IF($A1822="","",ROW()-2)</f>
        <v/>
      </c>
      <c r="M1822" s="10" t="str">
        <f aca="false">IF($A1822="","",ROW())</f>
        <v/>
      </c>
    </row>
    <row r="1823" customFormat="false" ht="15" hidden="false" customHeight="true" outlineLevel="0" collapsed="false">
      <c r="A1823" s="8"/>
      <c r="B1823" s="8"/>
      <c r="C1823" s="8"/>
      <c r="D1823" s="8"/>
      <c r="E1823" s="8"/>
      <c r="F1823" s="8"/>
      <c r="G1823" s="10" t="str">
        <f aca="false">IF($A1823="","",UPPER(SUBSTITUTE(SUBSTITUTE(SUBSTITUTE(SUBSTITUTE($A1823," ",""),"(주)",""),"주식회사",""),"㈜","")))</f>
        <v/>
      </c>
      <c r="H1823" s="10" t="str">
        <f aca="false">IF($B1823="","",SUBSTITUTE(SUBSTITUTE(SUBSTITUTE($B1823,"-","")," ",""),".",""))</f>
        <v/>
      </c>
      <c r="I1823" s="10" t="str">
        <f aca="false">IF($D1823="","",SUBSTITUTE(SUBSTITUTE(SUBSTITUTE($D1823,"-","")," ",""),".",""))</f>
        <v/>
      </c>
      <c r="J1823" s="10" t="str">
        <f aca="false">IF($E1823="","",UPPER(SUBSTITUTE($E1823," ","")))</f>
        <v/>
      </c>
      <c r="K1823" s="10" t="str">
        <f aca="false">IF($A1823="","",$G1823&amp;"|"&amp;$J1823)</f>
        <v/>
      </c>
      <c r="L1823" s="10" t="str">
        <f aca="false">IF($A1823="","",ROW()-2)</f>
        <v/>
      </c>
      <c r="M1823" s="10" t="str">
        <f aca="false">IF($A1823="","",ROW())</f>
        <v/>
      </c>
    </row>
    <row r="1824" customFormat="false" ht="15" hidden="false" customHeight="true" outlineLevel="0" collapsed="false">
      <c r="A1824" s="8"/>
      <c r="B1824" s="8"/>
      <c r="C1824" s="8"/>
      <c r="D1824" s="8"/>
      <c r="E1824" s="8"/>
      <c r="F1824" s="8"/>
      <c r="G1824" s="10" t="str">
        <f aca="false">IF($A1824="","",UPPER(SUBSTITUTE(SUBSTITUTE(SUBSTITUTE(SUBSTITUTE($A1824," ",""),"(주)",""),"주식회사",""),"㈜","")))</f>
        <v/>
      </c>
      <c r="H1824" s="10" t="str">
        <f aca="false">IF($B1824="","",SUBSTITUTE(SUBSTITUTE(SUBSTITUTE($B1824,"-","")," ",""),".",""))</f>
        <v/>
      </c>
      <c r="I1824" s="10" t="str">
        <f aca="false">IF($D1824="","",SUBSTITUTE(SUBSTITUTE(SUBSTITUTE($D1824,"-","")," ",""),".",""))</f>
        <v/>
      </c>
      <c r="J1824" s="10" t="str">
        <f aca="false">IF($E1824="","",UPPER(SUBSTITUTE($E1824," ","")))</f>
        <v/>
      </c>
      <c r="K1824" s="10" t="str">
        <f aca="false">IF($A1824="","",$G1824&amp;"|"&amp;$J1824)</f>
        <v/>
      </c>
      <c r="L1824" s="10" t="str">
        <f aca="false">IF($A1824="","",ROW()-2)</f>
        <v/>
      </c>
      <c r="M1824" s="10" t="str">
        <f aca="false">IF($A1824="","",ROW())</f>
        <v/>
      </c>
    </row>
    <row r="1825" customFormat="false" ht="15" hidden="false" customHeight="true" outlineLevel="0" collapsed="false">
      <c r="A1825" s="8"/>
      <c r="B1825" s="8"/>
      <c r="C1825" s="8"/>
      <c r="D1825" s="8"/>
      <c r="E1825" s="8"/>
      <c r="F1825" s="8"/>
      <c r="G1825" s="10" t="str">
        <f aca="false">IF($A1825="","",UPPER(SUBSTITUTE(SUBSTITUTE(SUBSTITUTE(SUBSTITUTE($A1825," ",""),"(주)",""),"주식회사",""),"㈜","")))</f>
        <v/>
      </c>
      <c r="H1825" s="10" t="str">
        <f aca="false">IF($B1825="","",SUBSTITUTE(SUBSTITUTE(SUBSTITUTE($B1825,"-","")," ",""),".",""))</f>
        <v/>
      </c>
      <c r="I1825" s="10" t="str">
        <f aca="false">IF($D1825="","",SUBSTITUTE(SUBSTITUTE(SUBSTITUTE($D1825,"-","")," ",""),".",""))</f>
        <v/>
      </c>
      <c r="J1825" s="10" t="str">
        <f aca="false">IF($E1825="","",UPPER(SUBSTITUTE($E1825," ","")))</f>
        <v/>
      </c>
      <c r="K1825" s="10" t="str">
        <f aca="false">IF($A1825="","",$G1825&amp;"|"&amp;$J1825)</f>
        <v/>
      </c>
      <c r="L1825" s="10" t="str">
        <f aca="false">IF($A1825="","",ROW()-2)</f>
        <v/>
      </c>
      <c r="M1825" s="10" t="str">
        <f aca="false">IF($A1825="","",ROW())</f>
        <v/>
      </c>
    </row>
    <row r="1826" customFormat="false" ht="15" hidden="false" customHeight="true" outlineLevel="0" collapsed="false">
      <c r="A1826" s="8"/>
      <c r="B1826" s="8"/>
      <c r="C1826" s="8"/>
      <c r="D1826" s="8"/>
      <c r="E1826" s="8"/>
      <c r="F1826" s="8"/>
      <c r="G1826" s="10" t="str">
        <f aca="false">IF($A1826="","",UPPER(SUBSTITUTE(SUBSTITUTE(SUBSTITUTE(SUBSTITUTE($A1826," ",""),"(주)",""),"주식회사",""),"㈜","")))</f>
        <v/>
      </c>
      <c r="H1826" s="10" t="str">
        <f aca="false">IF($B1826="","",SUBSTITUTE(SUBSTITUTE(SUBSTITUTE($B1826,"-","")," ",""),".",""))</f>
        <v/>
      </c>
      <c r="I1826" s="10" t="str">
        <f aca="false">IF($D1826="","",SUBSTITUTE(SUBSTITUTE(SUBSTITUTE($D1826,"-","")," ",""),".",""))</f>
        <v/>
      </c>
      <c r="J1826" s="10" t="str">
        <f aca="false">IF($E1826="","",UPPER(SUBSTITUTE($E1826," ","")))</f>
        <v/>
      </c>
      <c r="K1826" s="10" t="str">
        <f aca="false">IF($A1826="","",$G1826&amp;"|"&amp;$J1826)</f>
        <v/>
      </c>
      <c r="L1826" s="10" t="str">
        <f aca="false">IF($A1826="","",ROW()-2)</f>
        <v/>
      </c>
      <c r="M1826" s="10" t="str">
        <f aca="false">IF($A1826="","",ROW())</f>
        <v/>
      </c>
    </row>
    <row r="1827" customFormat="false" ht="15" hidden="false" customHeight="true" outlineLevel="0" collapsed="false">
      <c r="A1827" s="8"/>
      <c r="B1827" s="8"/>
      <c r="C1827" s="8"/>
      <c r="D1827" s="8"/>
      <c r="E1827" s="8"/>
      <c r="F1827" s="8"/>
      <c r="G1827" s="10" t="str">
        <f aca="false">IF($A1827="","",UPPER(SUBSTITUTE(SUBSTITUTE(SUBSTITUTE(SUBSTITUTE($A1827," ",""),"(주)",""),"주식회사",""),"㈜","")))</f>
        <v/>
      </c>
      <c r="H1827" s="10" t="str">
        <f aca="false">IF($B1827="","",SUBSTITUTE(SUBSTITUTE(SUBSTITUTE($B1827,"-","")," ",""),".",""))</f>
        <v/>
      </c>
      <c r="I1827" s="10" t="str">
        <f aca="false">IF($D1827="","",SUBSTITUTE(SUBSTITUTE(SUBSTITUTE($D1827,"-","")," ",""),".",""))</f>
        <v/>
      </c>
      <c r="J1827" s="10" t="str">
        <f aca="false">IF($E1827="","",UPPER(SUBSTITUTE($E1827," ","")))</f>
        <v/>
      </c>
      <c r="K1827" s="10" t="str">
        <f aca="false">IF($A1827="","",$G1827&amp;"|"&amp;$J1827)</f>
        <v/>
      </c>
      <c r="L1827" s="10" t="str">
        <f aca="false">IF($A1827="","",ROW()-2)</f>
        <v/>
      </c>
      <c r="M1827" s="10" t="str">
        <f aca="false">IF($A1827="","",ROW())</f>
        <v/>
      </c>
    </row>
    <row r="1828" customFormat="false" ht="15" hidden="false" customHeight="true" outlineLevel="0" collapsed="false">
      <c r="A1828" s="8"/>
      <c r="B1828" s="8"/>
      <c r="C1828" s="8"/>
      <c r="D1828" s="8"/>
      <c r="E1828" s="8"/>
      <c r="F1828" s="8"/>
      <c r="G1828" s="10" t="str">
        <f aca="false">IF($A1828="","",UPPER(SUBSTITUTE(SUBSTITUTE(SUBSTITUTE(SUBSTITUTE($A1828," ",""),"(주)",""),"주식회사",""),"㈜","")))</f>
        <v/>
      </c>
      <c r="H1828" s="10" t="str">
        <f aca="false">IF($B1828="","",SUBSTITUTE(SUBSTITUTE(SUBSTITUTE($B1828,"-","")," ",""),".",""))</f>
        <v/>
      </c>
      <c r="I1828" s="10" t="str">
        <f aca="false">IF($D1828="","",SUBSTITUTE(SUBSTITUTE(SUBSTITUTE($D1828,"-","")," ",""),".",""))</f>
        <v/>
      </c>
      <c r="J1828" s="10" t="str">
        <f aca="false">IF($E1828="","",UPPER(SUBSTITUTE($E1828," ","")))</f>
        <v/>
      </c>
      <c r="K1828" s="10" t="str">
        <f aca="false">IF($A1828="","",$G1828&amp;"|"&amp;$J1828)</f>
        <v/>
      </c>
      <c r="L1828" s="10" t="str">
        <f aca="false">IF($A1828="","",ROW()-2)</f>
        <v/>
      </c>
      <c r="M1828" s="10" t="str">
        <f aca="false">IF($A1828="","",ROW())</f>
        <v/>
      </c>
    </row>
    <row r="1829" customFormat="false" ht="15" hidden="false" customHeight="true" outlineLevel="0" collapsed="false">
      <c r="A1829" s="8"/>
      <c r="B1829" s="8"/>
      <c r="C1829" s="8"/>
      <c r="D1829" s="8"/>
      <c r="E1829" s="8"/>
      <c r="F1829" s="8"/>
      <c r="G1829" s="10" t="str">
        <f aca="false">IF($A1829="","",UPPER(SUBSTITUTE(SUBSTITUTE(SUBSTITUTE(SUBSTITUTE($A1829," ",""),"(주)",""),"주식회사",""),"㈜","")))</f>
        <v/>
      </c>
      <c r="H1829" s="10" t="str">
        <f aca="false">IF($B1829="","",SUBSTITUTE(SUBSTITUTE(SUBSTITUTE($B1829,"-","")," ",""),".",""))</f>
        <v/>
      </c>
      <c r="I1829" s="10" t="str">
        <f aca="false">IF($D1829="","",SUBSTITUTE(SUBSTITUTE(SUBSTITUTE($D1829,"-","")," ",""),".",""))</f>
        <v/>
      </c>
      <c r="J1829" s="10" t="str">
        <f aca="false">IF($E1829="","",UPPER(SUBSTITUTE($E1829," ","")))</f>
        <v/>
      </c>
      <c r="K1829" s="10" t="str">
        <f aca="false">IF($A1829="","",$G1829&amp;"|"&amp;$J1829)</f>
        <v/>
      </c>
      <c r="L1829" s="10" t="str">
        <f aca="false">IF($A1829="","",ROW()-2)</f>
        <v/>
      </c>
      <c r="M1829" s="10" t="str">
        <f aca="false">IF($A1829="","",ROW())</f>
        <v/>
      </c>
    </row>
    <row r="1830" customFormat="false" ht="15" hidden="false" customHeight="true" outlineLevel="0" collapsed="false">
      <c r="A1830" s="8"/>
      <c r="B1830" s="8"/>
      <c r="C1830" s="8"/>
      <c r="D1830" s="8"/>
      <c r="E1830" s="8"/>
      <c r="F1830" s="8"/>
      <c r="G1830" s="10" t="str">
        <f aca="false">IF($A1830="","",UPPER(SUBSTITUTE(SUBSTITUTE(SUBSTITUTE(SUBSTITUTE($A1830," ",""),"(주)",""),"주식회사",""),"㈜","")))</f>
        <v/>
      </c>
      <c r="H1830" s="10" t="str">
        <f aca="false">IF($B1830="","",SUBSTITUTE(SUBSTITUTE(SUBSTITUTE($B1830,"-","")," ",""),".",""))</f>
        <v/>
      </c>
      <c r="I1830" s="10" t="str">
        <f aca="false">IF($D1830="","",SUBSTITUTE(SUBSTITUTE(SUBSTITUTE($D1830,"-","")," ",""),".",""))</f>
        <v/>
      </c>
      <c r="J1830" s="10" t="str">
        <f aca="false">IF($E1830="","",UPPER(SUBSTITUTE($E1830," ","")))</f>
        <v/>
      </c>
      <c r="K1830" s="10" t="str">
        <f aca="false">IF($A1830="","",$G1830&amp;"|"&amp;$J1830)</f>
        <v/>
      </c>
      <c r="L1830" s="10" t="str">
        <f aca="false">IF($A1830="","",ROW()-2)</f>
        <v/>
      </c>
      <c r="M1830" s="10" t="str">
        <f aca="false">IF($A1830="","",ROW())</f>
        <v/>
      </c>
    </row>
    <row r="1831" customFormat="false" ht="15" hidden="false" customHeight="true" outlineLevel="0" collapsed="false">
      <c r="A1831" s="8"/>
      <c r="B1831" s="8"/>
      <c r="C1831" s="8"/>
      <c r="D1831" s="8"/>
      <c r="E1831" s="8"/>
      <c r="F1831" s="8"/>
      <c r="G1831" s="10" t="str">
        <f aca="false">IF($A1831="","",UPPER(SUBSTITUTE(SUBSTITUTE(SUBSTITUTE(SUBSTITUTE($A1831," ",""),"(주)",""),"주식회사",""),"㈜","")))</f>
        <v/>
      </c>
      <c r="H1831" s="10" t="str">
        <f aca="false">IF($B1831="","",SUBSTITUTE(SUBSTITUTE(SUBSTITUTE($B1831,"-","")," ",""),".",""))</f>
        <v/>
      </c>
      <c r="I1831" s="10" t="str">
        <f aca="false">IF($D1831="","",SUBSTITUTE(SUBSTITUTE(SUBSTITUTE($D1831,"-","")," ",""),".",""))</f>
        <v/>
      </c>
      <c r="J1831" s="10" t="str">
        <f aca="false">IF($E1831="","",UPPER(SUBSTITUTE($E1831," ","")))</f>
        <v/>
      </c>
      <c r="K1831" s="10" t="str">
        <f aca="false">IF($A1831="","",$G1831&amp;"|"&amp;$J1831)</f>
        <v/>
      </c>
      <c r="L1831" s="10" t="str">
        <f aca="false">IF($A1831="","",ROW()-2)</f>
        <v/>
      </c>
      <c r="M1831" s="10" t="str">
        <f aca="false">IF($A1831="","",ROW())</f>
        <v/>
      </c>
    </row>
    <row r="1832" customFormat="false" ht="15" hidden="false" customHeight="true" outlineLevel="0" collapsed="false">
      <c r="A1832" s="8"/>
      <c r="B1832" s="8"/>
      <c r="C1832" s="8"/>
      <c r="D1832" s="8"/>
      <c r="E1832" s="8"/>
      <c r="F1832" s="8"/>
      <c r="G1832" s="10" t="str">
        <f aca="false">IF($A1832="","",UPPER(SUBSTITUTE(SUBSTITUTE(SUBSTITUTE(SUBSTITUTE($A1832," ",""),"(주)",""),"주식회사",""),"㈜","")))</f>
        <v/>
      </c>
      <c r="H1832" s="10" t="str">
        <f aca="false">IF($B1832="","",SUBSTITUTE(SUBSTITUTE(SUBSTITUTE($B1832,"-","")," ",""),".",""))</f>
        <v/>
      </c>
      <c r="I1832" s="10" t="str">
        <f aca="false">IF($D1832="","",SUBSTITUTE(SUBSTITUTE(SUBSTITUTE($D1832,"-","")," ",""),".",""))</f>
        <v/>
      </c>
      <c r="J1832" s="10" t="str">
        <f aca="false">IF($E1832="","",UPPER(SUBSTITUTE($E1832," ","")))</f>
        <v/>
      </c>
      <c r="K1832" s="10" t="str">
        <f aca="false">IF($A1832="","",$G1832&amp;"|"&amp;$J1832)</f>
        <v/>
      </c>
      <c r="L1832" s="10" t="str">
        <f aca="false">IF($A1832="","",ROW()-2)</f>
        <v/>
      </c>
      <c r="M1832" s="10" t="str">
        <f aca="false">IF($A1832="","",ROW())</f>
        <v/>
      </c>
    </row>
    <row r="1833" customFormat="false" ht="15" hidden="false" customHeight="true" outlineLevel="0" collapsed="false">
      <c r="A1833" s="8"/>
      <c r="B1833" s="8"/>
      <c r="C1833" s="8"/>
      <c r="D1833" s="8"/>
      <c r="E1833" s="8"/>
      <c r="F1833" s="8"/>
      <c r="G1833" s="10" t="str">
        <f aca="false">IF($A1833="","",UPPER(SUBSTITUTE(SUBSTITUTE(SUBSTITUTE(SUBSTITUTE($A1833," ",""),"(주)",""),"주식회사",""),"㈜","")))</f>
        <v/>
      </c>
      <c r="H1833" s="10" t="str">
        <f aca="false">IF($B1833="","",SUBSTITUTE(SUBSTITUTE(SUBSTITUTE($B1833,"-","")," ",""),".",""))</f>
        <v/>
      </c>
      <c r="I1833" s="10" t="str">
        <f aca="false">IF($D1833="","",SUBSTITUTE(SUBSTITUTE(SUBSTITUTE($D1833,"-","")," ",""),".",""))</f>
        <v/>
      </c>
      <c r="J1833" s="10" t="str">
        <f aca="false">IF($E1833="","",UPPER(SUBSTITUTE($E1833," ","")))</f>
        <v/>
      </c>
      <c r="K1833" s="10" t="str">
        <f aca="false">IF($A1833="","",$G1833&amp;"|"&amp;$J1833)</f>
        <v/>
      </c>
      <c r="L1833" s="10" t="str">
        <f aca="false">IF($A1833="","",ROW()-2)</f>
        <v/>
      </c>
      <c r="M1833" s="10" t="str">
        <f aca="false">IF($A1833="","",ROW())</f>
        <v/>
      </c>
    </row>
    <row r="1834" customFormat="false" ht="15" hidden="false" customHeight="true" outlineLevel="0" collapsed="false">
      <c r="A1834" s="8"/>
      <c r="B1834" s="8"/>
      <c r="C1834" s="8"/>
      <c r="D1834" s="8"/>
      <c r="E1834" s="8"/>
      <c r="F1834" s="8"/>
      <c r="G1834" s="10" t="str">
        <f aca="false">IF($A1834="","",UPPER(SUBSTITUTE(SUBSTITUTE(SUBSTITUTE(SUBSTITUTE($A1834," ",""),"(주)",""),"주식회사",""),"㈜","")))</f>
        <v/>
      </c>
      <c r="H1834" s="10" t="str">
        <f aca="false">IF($B1834="","",SUBSTITUTE(SUBSTITUTE(SUBSTITUTE($B1834,"-","")," ",""),".",""))</f>
        <v/>
      </c>
      <c r="I1834" s="10" t="str">
        <f aca="false">IF($D1834="","",SUBSTITUTE(SUBSTITUTE(SUBSTITUTE($D1834,"-","")," ",""),".",""))</f>
        <v/>
      </c>
      <c r="J1834" s="10" t="str">
        <f aca="false">IF($E1834="","",UPPER(SUBSTITUTE($E1834," ","")))</f>
        <v/>
      </c>
      <c r="K1834" s="10" t="str">
        <f aca="false">IF($A1834="","",$G1834&amp;"|"&amp;$J1834)</f>
        <v/>
      </c>
      <c r="L1834" s="10" t="str">
        <f aca="false">IF($A1834="","",ROW()-2)</f>
        <v/>
      </c>
      <c r="M1834" s="10" t="str">
        <f aca="false">IF($A1834="","",ROW())</f>
        <v/>
      </c>
    </row>
    <row r="1835" customFormat="false" ht="15" hidden="false" customHeight="true" outlineLevel="0" collapsed="false">
      <c r="A1835" s="8"/>
      <c r="B1835" s="8"/>
      <c r="C1835" s="8"/>
      <c r="D1835" s="8"/>
      <c r="E1835" s="8"/>
      <c r="F1835" s="8"/>
      <c r="G1835" s="10" t="str">
        <f aca="false">IF($A1835="","",UPPER(SUBSTITUTE(SUBSTITUTE(SUBSTITUTE(SUBSTITUTE($A1835," ",""),"(주)",""),"주식회사",""),"㈜","")))</f>
        <v/>
      </c>
      <c r="H1835" s="10" t="str">
        <f aca="false">IF($B1835="","",SUBSTITUTE(SUBSTITUTE(SUBSTITUTE($B1835,"-","")," ",""),".",""))</f>
        <v/>
      </c>
      <c r="I1835" s="10" t="str">
        <f aca="false">IF($D1835="","",SUBSTITUTE(SUBSTITUTE(SUBSTITUTE($D1835,"-","")," ",""),".",""))</f>
        <v/>
      </c>
      <c r="J1835" s="10" t="str">
        <f aca="false">IF($E1835="","",UPPER(SUBSTITUTE($E1835," ","")))</f>
        <v/>
      </c>
      <c r="K1835" s="10" t="str">
        <f aca="false">IF($A1835="","",$G1835&amp;"|"&amp;$J1835)</f>
        <v/>
      </c>
      <c r="L1835" s="10" t="str">
        <f aca="false">IF($A1835="","",ROW()-2)</f>
        <v/>
      </c>
      <c r="M1835" s="10" t="str">
        <f aca="false">IF($A1835="","",ROW())</f>
        <v/>
      </c>
    </row>
    <row r="1836" customFormat="false" ht="15" hidden="false" customHeight="true" outlineLevel="0" collapsed="false">
      <c r="A1836" s="8"/>
      <c r="B1836" s="8"/>
      <c r="C1836" s="8"/>
      <c r="D1836" s="8"/>
      <c r="E1836" s="8"/>
      <c r="F1836" s="8"/>
      <c r="G1836" s="10" t="str">
        <f aca="false">IF($A1836="","",UPPER(SUBSTITUTE(SUBSTITUTE(SUBSTITUTE(SUBSTITUTE($A1836," ",""),"(주)",""),"주식회사",""),"㈜","")))</f>
        <v/>
      </c>
      <c r="H1836" s="10" t="str">
        <f aca="false">IF($B1836="","",SUBSTITUTE(SUBSTITUTE(SUBSTITUTE($B1836,"-","")," ",""),".",""))</f>
        <v/>
      </c>
      <c r="I1836" s="10" t="str">
        <f aca="false">IF($D1836="","",SUBSTITUTE(SUBSTITUTE(SUBSTITUTE($D1836,"-","")," ",""),".",""))</f>
        <v/>
      </c>
      <c r="J1836" s="10" t="str">
        <f aca="false">IF($E1836="","",UPPER(SUBSTITUTE($E1836," ","")))</f>
        <v/>
      </c>
      <c r="K1836" s="10" t="str">
        <f aca="false">IF($A1836="","",$G1836&amp;"|"&amp;$J1836)</f>
        <v/>
      </c>
      <c r="L1836" s="10" t="str">
        <f aca="false">IF($A1836="","",ROW()-2)</f>
        <v/>
      </c>
      <c r="M1836" s="10" t="str">
        <f aca="false">IF($A1836="","",ROW())</f>
        <v/>
      </c>
    </row>
    <row r="1837" customFormat="false" ht="15" hidden="false" customHeight="true" outlineLevel="0" collapsed="false">
      <c r="A1837" s="8"/>
      <c r="B1837" s="8"/>
      <c r="C1837" s="8"/>
      <c r="D1837" s="8"/>
      <c r="E1837" s="8"/>
      <c r="F1837" s="8"/>
      <c r="G1837" s="10" t="str">
        <f aca="false">IF($A1837="","",UPPER(SUBSTITUTE(SUBSTITUTE(SUBSTITUTE(SUBSTITUTE($A1837," ",""),"(주)",""),"주식회사",""),"㈜","")))</f>
        <v/>
      </c>
      <c r="H1837" s="10" t="str">
        <f aca="false">IF($B1837="","",SUBSTITUTE(SUBSTITUTE(SUBSTITUTE($B1837,"-","")," ",""),".",""))</f>
        <v/>
      </c>
      <c r="I1837" s="10" t="str">
        <f aca="false">IF($D1837="","",SUBSTITUTE(SUBSTITUTE(SUBSTITUTE($D1837,"-","")," ",""),".",""))</f>
        <v/>
      </c>
      <c r="J1837" s="10" t="str">
        <f aca="false">IF($E1837="","",UPPER(SUBSTITUTE($E1837," ","")))</f>
        <v/>
      </c>
      <c r="K1837" s="10" t="str">
        <f aca="false">IF($A1837="","",$G1837&amp;"|"&amp;$J1837)</f>
        <v/>
      </c>
      <c r="L1837" s="10" t="str">
        <f aca="false">IF($A1837="","",ROW()-2)</f>
        <v/>
      </c>
      <c r="M1837" s="10" t="str">
        <f aca="false">IF($A1837="","",ROW())</f>
        <v/>
      </c>
    </row>
    <row r="1838" customFormat="false" ht="15" hidden="false" customHeight="true" outlineLevel="0" collapsed="false">
      <c r="A1838" s="8"/>
      <c r="B1838" s="8"/>
      <c r="C1838" s="8"/>
      <c r="D1838" s="8"/>
      <c r="E1838" s="8"/>
      <c r="F1838" s="8"/>
      <c r="G1838" s="10" t="str">
        <f aca="false">IF($A1838="","",UPPER(SUBSTITUTE(SUBSTITUTE(SUBSTITUTE(SUBSTITUTE($A1838," ",""),"(주)",""),"주식회사",""),"㈜","")))</f>
        <v/>
      </c>
      <c r="H1838" s="10" t="str">
        <f aca="false">IF($B1838="","",SUBSTITUTE(SUBSTITUTE(SUBSTITUTE($B1838,"-","")," ",""),".",""))</f>
        <v/>
      </c>
      <c r="I1838" s="10" t="str">
        <f aca="false">IF($D1838="","",SUBSTITUTE(SUBSTITUTE(SUBSTITUTE($D1838,"-","")," ",""),".",""))</f>
        <v/>
      </c>
      <c r="J1838" s="10" t="str">
        <f aca="false">IF($E1838="","",UPPER(SUBSTITUTE($E1838," ","")))</f>
        <v/>
      </c>
      <c r="K1838" s="10" t="str">
        <f aca="false">IF($A1838="","",$G1838&amp;"|"&amp;$J1838)</f>
        <v/>
      </c>
      <c r="L1838" s="10" t="str">
        <f aca="false">IF($A1838="","",ROW()-2)</f>
        <v/>
      </c>
      <c r="M1838" s="10" t="str">
        <f aca="false">IF($A1838="","",ROW())</f>
        <v/>
      </c>
    </row>
    <row r="1839" customFormat="false" ht="15" hidden="false" customHeight="true" outlineLevel="0" collapsed="false">
      <c r="A1839" s="8"/>
      <c r="B1839" s="8"/>
      <c r="C1839" s="8"/>
      <c r="D1839" s="8"/>
      <c r="E1839" s="8"/>
      <c r="F1839" s="8"/>
      <c r="G1839" s="10" t="str">
        <f aca="false">IF($A1839="","",UPPER(SUBSTITUTE(SUBSTITUTE(SUBSTITUTE(SUBSTITUTE($A1839," ",""),"(주)",""),"주식회사",""),"㈜","")))</f>
        <v/>
      </c>
      <c r="H1839" s="10" t="str">
        <f aca="false">IF($B1839="","",SUBSTITUTE(SUBSTITUTE(SUBSTITUTE($B1839,"-","")," ",""),".",""))</f>
        <v/>
      </c>
      <c r="I1839" s="10" t="str">
        <f aca="false">IF($D1839="","",SUBSTITUTE(SUBSTITUTE(SUBSTITUTE($D1839,"-","")," ",""),".",""))</f>
        <v/>
      </c>
      <c r="J1839" s="10" t="str">
        <f aca="false">IF($E1839="","",UPPER(SUBSTITUTE($E1839," ","")))</f>
        <v/>
      </c>
      <c r="K1839" s="10" t="str">
        <f aca="false">IF($A1839="","",$G1839&amp;"|"&amp;$J1839)</f>
        <v/>
      </c>
      <c r="L1839" s="10" t="str">
        <f aca="false">IF($A1839="","",ROW()-2)</f>
        <v/>
      </c>
      <c r="M1839" s="10" t="str">
        <f aca="false">IF($A1839="","",ROW())</f>
        <v/>
      </c>
    </row>
    <row r="1840" customFormat="false" ht="15" hidden="false" customHeight="true" outlineLevel="0" collapsed="false">
      <c r="A1840" s="8"/>
      <c r="B1840" s="8"/>
      <c r="C1840" s="8"/>
      <c r="D1840" s="8"/>
      <c r="E1840" s="8"/>
      <c r="F1840" s="8"/>
      <c r="G1840" s="10" t="str">
        <f aca="false">IF($A1840="","",UPPER(SUBSTITUTE(SUBSTITUTE(SUBSTITUTE(SUBSTITUTE($A1840," ",""),"(주)",""),"주식회사",""),"㈜","")))</f>
        <v/>
      </c>
      <c r="H1840" s="10" t="str">
        <f aca="false">IF($B1840="","",SUBSTITUTE(SUBSTITUTE(SUBSTITUTE($B1840,"-","")," ",""),".",""))</f>
        <v/>
      </c>
      <c r="I1840" s="10" t="str">
        <f aca="false">IF($D1840="","",SUBSTITUTE(SUBSTITUTE(SUBSTITUTE($D1840,"-","")," ",""),".",""))</f>
        <v/>
      </c>
      <c r="J1840" s="10" t="str">
        <f aca="false">IF($E1840="","",UPPER(SUBSTITUTE($E1840," ","")))</f>
        <v/>
      </c>
      <c r="K1840" s="10" t="str">
        <f aca="false">IF($A1840="","",$G1840&amp;"|"&amp;$J1840)</f>
        <v/>
      </c>
      <c r="L1840" s="10" t="str">
        <f aca="false">IF($A1840="","",ROW()-2)</f>
        <v/>
      </c>
      <c r="M1840" s="10" t="str">
        <f aca="false">IF($A1840="","",ROW())</f>
        <v/>
      </c>
    </row>
    <row r="1841" customFormat="false" ht="15" hidden="false" customHeight="true" outlineLevel="0" collapsed="false">
      <c r="A1841" s="8"/>
      <c r="B1841" s="8"/>
      <c r="C1841" s="8"/>
      <c r="D1841" s="8"/>
      <c r="E1841" s="8"/>
      <c r="F1841" s="8"/>
      <c r="G1841" s="10" t="str">
        <f aca="false">IF($A1841="","",UPPER(SUBSTITUTE(SUBSTITUTE(SUBSTITUTE(SUBSTITUTE($A1841," ",""),"(주)",""),"주식회사",""),"㈜","")))</f>
        <v/>
      </c>
      <c r="H1841" s="10" t="str">
        <f aca="false">IF($B1841="","",SUBSTITUTE(SUBSTITUTE(SUBSTITUTE($B1841,"-","")," ",""),".",""))</f>
        <v/>
      </c>
      <c r="I1841" s="10" t="str">
        <f aca="false">IF($D1841="","",SUBSTITUTE(SUBSTITUTE(SUBSTITUTE($D1841,"-","")," ",""),".",""))</f>
        <v/>
      </c>
      <c r="J1841" s="10" t="str">
        <f aca="false">IF($E1841="","",UPPER(SUBSTITUTE($E1841," ","")))</f>
        <v/>
      </c>
      <c r="K1841" s="10" t="str">
        <f aca="false">IF($A1841="","",$G1841&amp;"|"&amp;$J1841)</f>
        <v/>
      </c>
      <c r="L1841" s="10" t="str">
        <f aca="false">IF($A1841="","",ROW()-2)</f>
        <v/>
      </c>
      <c r="M1841" s="10" t="str">
        <f aca="false">IF($A1841="","",ROW())</f>
        <v/>
      </c>
    </row>
    <row r="1842" customFormat="false" ht="15" hidden="false" customHeight="true" outlineLevel="0" collapsed="false">
      <c r="A1842" s="8"/>
      <c r="B1842" s="8"/>
      <c r="C1842" s="8"/>
      <c r="D1842" s="8"/>
      <c r="E1842" s="8"/>
      <c r="F1842" s="8"/>
      <c r="G1842" s="10" t="str">
        <f aca="false">IF($A1842="","",UPPER(SUBSTITUTE(SUBSTITUTE(SUBSTITUTE(SUBSTITUTE($A1842," ",""),"(주)",""),"주식회사",""),"㈜","")))</f>
        <v/>
      </c>
      <c r="H1842" s="10" t="str">
        <f aca="false">IF($B1842="","",SUBSTITUTE(SUBSTITUTE(SUBSTITUTE($B1842,"-","")," ",""),".",""))</f>
        <v/>
      </c>
      <c r="I1842" s="10" t="str">
        <f aca="false">IF($D1842="","",SUBSTITUTE(SUBSTITUTE(SUBSTITUTE($D1842,"-","")," ",""),".",""))</f>
        <v/>
      </c>
      <c r="J1842" s="10" t="str">
        <f aca="false">IF($E1842="","",UPPER(SUBSTITUTE($E1842," ","")))</f>
        <v/>
      </c>
      <c r="K1842" s="10" t="str">
        <f aca="false">IF($A1842="","",$G1842&amp;"|"&amp;$J1842)</f>
        <v/>
      </c>
      <c r="L1842" s="10" t="str">
        <f aca="false">IF($A1842="","",ROW()-2)</f>
        <v/>
      </c>
      <c r="M1842" s="10" t="str">
        <f aca="false">IF($A1842="","",ROW())</f>
        <v/>
      </c>
    </row>
    <row r="1843" customFormat="false" ht="15" hidden="false" customHeight="true" outlineLevel="0" collapsed="false">
      <c r="A1843" s="8"/>
      <c r="B1843" s="8"/>
      <c r="C1843" s="8"/>
      <c r="D1843" s="8"/>
      <c r="E1843" s="8"/>
      <c r="F1843" s="8"/>
      <c r="G1843" s="10" t="str">
        <f aca="false">IF($A1843="","",UPPER(SUBSTITUTE(SUBSTITUTE(SUBSTITUTE(SUBSTITUTE($A1843," ",""),"(주)",""),"주식회사",""),"㈜","")))</f>
        <v/>
      </c>
      <c r="H1843" s="10" t="str">
        <f aca="false">IF($B1843="","",SUBSTITUTE(SUBSTITUTE(SUBSTITUTE($B1843,"-","")," ",""),".",""))</f>
        <v/>
      </c>
      <c r="I1843" s="10" t="str">
        <f aca="false">IF($D1843="","",SUBSTITUTE(SUBSTITUTE(SUBSTITUTE($D1843,"-","")," ",""),".",""))</f>
        <v/>
      </c>
      <c r="J1843" s="10" t="str">
        <f aca="false">IF($E1843="","",UPPER(SUBSTITUTE($E1843," ","")))</f>
        <v/>
      </c>
      <c r="K1843" s="10" t="str">
        <f aca="false">IF($A1843="","",$G1843&amp;"|"&amp;$J1843)</f>
        <v/>
      </c>
      <c r="L1843" s="10" t="str">
        <f aca="false">IF($A1843="","",ROW()-2)</f>
        <v/>
      </c>
      <c r="M1843" s="10" t="str">
        <f aca="false">IF($A1843="","",ROW())</f>
        <v/>
      </c>
    </row>
    <row r="1844" customFormat="false" ht="15" hidden="false" customHeight="true" outlineLevel="0" collapsed="false">
      <c r="A1844" s="8"/>
      <c r="B1844" s="8"/>
      <c r="C1844" s="8"/>
      <c r="D1844" s="8"/>
      <c r="E1844" s="8"/>
      <c r="F1844" s="8"/>
      <c r="G1844" s="10" t="str">
        <f aca="false">IF($A1844="","",UPPER(SUBSTITUTE(SUBSTITUTE(SUBSTITUTE(SUBSTITUTE($A1844," ",""),"(주)",""),"주식회사",""),"㈜","")))</f>
        <v/>
      </c>
      <c r="H1844" s="10" t="str">
        <f aca="false">IF($B1844="","",SUBSTITUTE(SUBSTITUTE(SUBSTITUTE($B1844,"-","")," ",""),".",""))</f>
        <v/>
      </c>
      <c r="I1844" s="10" t="str">
        <f aca="false">IF($D1844="","",SUBSTITUTE(SUBSTITUTE(SUBSTITUTE($D1844,"-","")," ",""),".",""))</f>
        <v/>
      </c>
      <c r="J1844" s="10" t="str">
        <f aca="false">IF($E1844="","",UPPER(SUBSTITUTE($E1844," ","")))</f>
        <v/>
      </c>
      <c r="K1844" s="10" t="str">
        <f aca="false">IF($A1844="","",$G1844&amp;"|"&amp;$J1844)</f>
        <v/>
      </c>
      <c r="L1844" s="10" t="str">
        <f aca="false">IF($A1844="","",ROW()-2)</f>
        <v/>
      </c>
      <c r="M1844" s="10" t="str">
        <f aca="false">IF($A1844="","",ROW())</f>
        <v/>
      </c>
    </row>
    <row r="1845" customFormat="false" ht="15" hidden="false" customHeight="true" outlineLevel="0" collapsed="false">
      <c r="A1845" s="8"/>
      <c r="B1845" s="8"/>
      <c r="C1845" s="8"/>
      <c r="D1845" s="8"/>
      <c r="E1845" s="8"/>
      <c r="F1845" s="8"/>
      <c r="G1845" s="10" t="str">
        <f aca="false">IF($A1845="","",UPPER(SUBSTITUTE(SUBSTITUTE(SUBSTITUTE(SUBSTITUTE($A1845," ",""),"(주)",""),"주식회사",""),"㈜","")))</f>
        <v/>
      </c>
      <c r="H1845" s="10" t="str">
        <f aca="false">IF($B1845="","",SUBSTITUTE(SUBSTITUTE(SUBSTITUTE($B1845,"-","")," ",""),".",""))</f>
        <v/>
      </c>
      <c r="I1845" s="10" t="str">
        <f aca="false">IF($D1845="","",SUBSTITUTE(SUBSTITUTE(SUBSTITUTE($D1845,"-","")," ",""),".",""))</f>
        <v/>
      </c>
      <c r="J1845" s="10" t="str">
        <f aca="false">IF($E1845="","",UPPER(SUBSTITUTE($E1845," ","")))</f>
        <v/>
      </c>
      <c r="K1845" s="10" t="str">
        <f aca="false">IF($A1845="","",$G1845&amp;"|"&amp;$J1845)</f>
        <v/>
      </c>
      <c r="L1845" s="10" t="str">
        <f aca="false">IF($A1845="","",ROW()-2)</f>
        <v/>
      </c>
      <c r="M1845" s="10" t="str">
        <f aca="false">IF($A1845="","",ROW())</f>
        <v/>
      </c>
    </row>
    <row r="1846" customFormat="false" ht="15" hidden="false" customHeight="true" outlineLevel="0" collapsed="false">
      <c r="A1846" s="8"/>
      <c r="B1846" s="8"/>
      <c r="C1846" s="8"/>
      <c r="D1846" s="8"/>
      <c r="E1846" s="8"/>
      <c r="F1846" s="8"/>
      <c r="G1846" s="10" t="str">
        <f aca="false">IF($A1846="","",UPPER(SUBSTITUTE(SUBSTITUTE(SUBSTITUTE(SUBSTITUTE($A1846," ",""),"(주)",""),"주식회사",""),"㈜","")))</f>
        <v/>
      </c>
      <c r="H1846" s="10" t="str">
        <f aca="false">IF($B1846="","",SUBSTITUTE(SUBSTITUTE(SUBSTITUTE($B1846,"-","")," ",""),".",""))</f>
        <v/>
      </c>
      <c r="I1846" s="10" t="str">
        <f aca="false">IF($D1846="","",SUBSTITUTE(SUBSTITUTE(SUBSTITUTE($D1846,"-","")," ",""),".",""))</f>
        <v/>
      </c>
      <c r="J1846" s="10" t="str">
        <f aca="false">IF($E1846="","",UPPER(SUBSTITUTE($E1846," ","")))</f>
        <v/>
      </c>
      <c r="K1846" s="10" t="str">
        <f aca="false">IF($A1846="","",$G1846&amp;"|"&amp;$J1846)</f>
        <v/>
      </c>
      <c r="L1846" s="10" t="str">
        <f aca="false">IF($A1846="","",ROW()-2)</f>
        <v/>
      </c>
      <c r="M1846" s="10" t="str">
        <f aca="false">IF($A1846="","",ROW())</f>
        <v/>
      </c>
    </row>
    <row r="1847" customFormat="false" ht="15" hidden="false" customHeight="true" outlineLevel="0" collapsed="false">
      <c r="A1847" s="8"/>
      <c r="B1847" s="8"/>
      <c r="C1847" s="8"/>
      <c r="D1847" s="8"/>
      <c r="E1847" s="8"/>
      <c r="F1847" s="8"/>
      <c r="G1847" s="10" t="str">
        <f aca="false">IF($A1847="","",UPPER(SUBSTITUTE(SUBSTITUTE(SUBSTITUTE(SUBSTITUTE($A1847," ",""),"(주)",""),"주식회사",""),"㈜","")))</f>
        <v/>
      </c>
      <c r="H1847" s="10" t="str">
        <f aca="false">IF($B1847="","",SUBSTITUTE(SUBSTITUTE(SUBSTITUTE($B1847,"-","")," ",""),".",""))</f>
        <v/>
      </c>
      <c r="I1847" s="10" t="str">
        <f aca="false">IF($D1847="","",SUBSTITUTE(SUBSTITUTE(SUBSTITUTE($D1847,"-","")," ",""),".",""))</f>
        <v/>
      </c>
      <c r="J1847" s="10" t="str">
        <f aca="false">IF($E1847="","",UPPER(SUBSTITUTE($E1847," ","")))</f>
        <v/>
      </c>
      <c r="K1847" s="10" t="str">
        <f aca="false">IF($A1847="","",$G1847&amp;"|"&amp;$J1847)</f>
        <v/>
      </c>
      <c r="L1847" s="10" t="str">
        <f aca="false">IF($A1847="","",ROW()-2)</f>
        <v/>
      </c>
      <c r="M1847" s="10" t="str">
        <f aca="false">IF($A1847="","",ROW())</f>
        <v/>
      </c>
    </row>
    <row r="1848" customFormat="false" ht="15" hidden="false" customHeight="true" outlineLevel="0" collapsed="false">
      <c r="A1848" s="8"/>
      <c r="B1848" s="8"/>
      <c r="C1848" s="8"/>
      <c r="D1848" s="8"/>
      <c r="E1848" s="8"/>
      <c r="F1848" s="8"/>
      <c r="G1848" s="10" t="str">
        <f aca="false">IF($A1848="","",UPPER(SUBSTITUTE(SUBSTITUTE(SUBSTITUTE(SUBSTITUTE($A1848," ",""),"(주)",""),"주식회사",""),"㈜","")))</f>
        <v/>
      </c>
      <c r="H1848" s="10" t="str">
        <f aca="false">IF($B1848="","",SUBSTITUTE(SUBSTITUTE(SUBSTITUTE($B1848,"-","")," ",""),".",""))</f>
        <v/>
      </c>
      <c r="I1848" s="10" t="str">
        <f aca="false">IF($D1848="","",SUBSTITUTE(SUBSTITUTE(SUBSTITUTE($D1848,"-","")," ",""),".",""))</f>
        <v/>
      </c>
      <c r="J1848" s="10" t="str">
        <f aca="false">IF($E1848="","",UPPER(SUBSTITUTE($E1848," ","")))</f>
        <v/>
      </c>
      <c r="K1848" s="10" t="str">
        <f aca="false">IF($A1848="","",$G1848&amp;"|"&amp;$J1848)</f>
        <v/>
      </c>
      <c r="L1848" s="10" t="str">
        <f aca="false">IF($A1848="","",ROW()-2)</f>
        <v/>
      </c>
      <c r="M1848" s="10" t="str">
        <f aca="false">IF($A1848="","",ROW())</f>
        <v/>
      </c>
    </row>
    <row r="1849" customFormat="false" ht="15" hidden="false" customHeight="true" outlineLevel="0" collapsed="false">
      <c r="A1849" s="8"/>
      <c r="B1849" s="8"/>
      <c r="C1849" s="8"/>
      <c r="D1849" s="8"/>
      <c r="E1849" s="8"/>
      <c r="F1849" s="8"/>
      <c r="G1849" s="10" t="str">
        <f aca="false">IF($A1849="","",UPPER(SUBSTITUTE(SUBSTITUTE(SUBSTITUTE(SUBSTITUTE($A1849," ",""),"(주)",""),"주식회사",""),"㈜","")))</f>
        <v/>
      </c>
      <c r="H1849" s="10" t="str">
        <f aca="false">IF($B1849="","",SUBSTITUTE(SUBSTITUTE(SUBSTITUTE($B1849,"-","")," ",""),".",""))</f>
        <v/>
      </c>
      <c r="I1849" s="10" t="str">
        <f aca="false">IF($D1849="","",SUBSTITUTE(SUBSTITUTE(SUBSTITUTE($D1849,"-","")," ",""),".",""))</f>
        <v/>
      </c>
      <c r="J1849" s="10" t="str">
        <f aca="false">IF($E1849="","",UPPER(SUBSTITUTE($E1849," ","")))</f>
        <v/>
      </c>
      <c r="K1849" s="10" t="str">
        <f aca="false">IF($A1849="","",$G1849&amp;"|"&amp;$J1849)</f>
        <v/>
      </c>
      <c r="L1849" s="10" t="str">
        <f aca="false">IF($A1849="","",ROW()-2)</f>
        <v/>
      </c>
      <c r="M1849" s="10" t="str">
        <f aca="false">IF($A1849="","",ROW())</f>
        <v/>
      </c>
    </row>
    <row r="1850" customFormat="false" ht="15" hidden="false" customHeight="true" outlineLevel="0" collapsed="false">
      <c r="A1850" s="8"/>
      <c r="B1850" s="8"/>
      <c r="C1850" s="8"/>
      <c r="D1850" s="8"/>
      <c r="E1850" s="8"/>
      <c r="F1850" s="8"/>
      <c r="G1850" s="10" t="str">
        <f aca="false">IF($A1850="","",UPPER(SUBSTITUTE(SUBSTITUTE(SUBSTITUTE(SUBSTITUTE($A1850," ",""),"(주)",""),"주식회사",""),"㈜","")))</f>
        <v/>
      </c>
      <c r="H1850" s="10" t="str">
        <f aca="false">IF($B1850="","",SUBSTITUTE(SUBSTITUTE(SUBSTITUTE($B1850,"-","")," ",""),".",""))</f>
        <v/>
      </c>
      <c r="I1850" s="10" t="str">
        <f aca="false">IF($D1850="","",SUBSTITUTE(SUBSTITUTE(SUBSTITUTE($D1850,"-","")," ",""),".",""))</f>
        <v/>
      </c>
      <c r="J1850" s="10" t="str">
        <f aca="false">IF($E1850="","",UPPER(SUBSTITUTE($E1850," ","")))</f>
        <v/>
      </c>
      <c r="K1850" s="10" t="str">
        <f aca="false">IF($A1850="","",$G1850&amp;"|"&amp;$J1850)</f>
        <v/>
      </c>
      <c r="L1850" s="10" t="str">
        <f aca="false">IF($A1850="","",ROW()-2)</f>
        <v/>
      </c>
      <c r="M1850" s="10" t="str">
        <f aca="false">IF($A1850="","",ROW())</f>
        <v/>
      </c>
    </row>
    <row r="1851" customFormat="false" ht="15" hidden="false" customHeight="true" outlineLevel="0" collapsed="false">
      <c r="A1851" s="8"/>
      <c r="B1851" s="8"/>
      <c r="C1851" s="8"/>
      <c r="D1851" s="8"/>
      <c r="E1851" s="8"/>
      <c r="F1851" s="8"/>
      <c r="G1851" s="10" t="str">
        <f aca="false">IF($A1851="","",UPPER(SUBSTITUTE(SUBSTITUTE(SUBSTITUTE(SUBSTITUTE($A1851," ",""),"(주)",""),"주식회사",""),"㈜","")))</f>
        <v/>
      </c>
      <c r="H1851" s="10" t="str">
        <f aca="false">IF($B1851="","",SUBSTITUTE(SUBSTITUTE(SUBSTITUTE($B1851,"-","")," ",""),".",""))</f>
        <v/>
      </c>
      <c r="I1851" s="10" t="str">
        <f aca="false">IF($D1851="","",SUBSTITUTE(SUBSTITUTE(SUBSTITUTE($D1851,"-","")," ",""),".",""))</f>
        <v/>
      </c>
      <c r="J1851" s="10" t="str">
        <f aca="false">IF($E1851="","",UPPER(SUBSTITUTE($E1851," ","")))</f>
        <v/>
      </c>
      <c r="K1851" s="10" t="str">
        <f aca="false">IF($A1851="","",$G1851&amp;"|"&amp;$J1851)</f>
        <v/>
      </c>
      <c r="L1851" s="10" t="str">
        <f aca="false">IF($A1851="","",ROW()-2)</f>
        <v/>
      </c>
      <c r="M1851" s="10" t="str">
        <f aca="false">IF($A1851="","",ROW())</f>
        <v/>
      </c>
    </row>
    <row r="1852" customFormat="false" ht="15" hidden="false" customHeight="true" outlineLevel="0" collapsed="false">
      <c r="A1852" s="8"/>
      <c r="B1852" s="8"/>
      <c r="C1852" s="8"/>
      <c r="D1852" s="8"/>
      <c r="E1852" s="8"/>
      <c r="F1852" s="8"/>
      <c r="G1852" s="10" t="str">
        <f aca="false">IF($A1852="","",UPPER(SUBSTITUTE(SUBSTITUTE(SUBSTITUTE(SUBSTITUTE($A1852," ",""),"(주)",""),"주식회사",""),"㈜","")))</f>
        <v/>
      </c>
      <c r="H1852" s="10" t="str">
        <f aca="false">IF($B1852="","",SUBSTITUTE(SUBSTITUTE(SUBSTITUTE($B1852,"-","")," ",""),".",""))</f>
        <v/>
      </c>
      <c r="I1852" s="10" t="str">
        <f aca="false">IF($D1852="","",SUBSTITUTE(SUBSTITUTE(SUBSTITUTE($D1852,"-","")," ",""),".",""))</f>
        <v/>
      </c>
      <c r="J1852" s="10" t="str">
        <f aca="false">IF($E1852="","",UPPER(SUBSTITUTE($E1852," ","")))</f>
        <v/>
      </c>
      <c r="K1852" s="10" t="str">
        <f aca="false">IF($A1852="","",$G1852&amp;"|"&amp;$J1852)</f>
        <v/>
      </c>
      <c r="L1852" s="10" t="str">
        <f aca="false">IF($A1852="","",ROW()-2)</f>
        <v/>
      </c>
      <c r="M1852" s="10" t="str">
        <f aca="false">IF($A1852="","",ROW())</f>
        <v/>
      </c>
    </row>
    <row r="1853" customFormat="false" ht="15" hidden="false" customHeight="true" outlineLevel="0" collapsed="false">
      <c r="A1853" s="8"/>
      <c r="B1853" s="8"/>
      <c r="C1853" s="8"/>
      <c r="D1853" s="8"/>
      <c r="E1853" s="8"/>
      <c r="F1853" s="8"/>
      <c r="G1853" s="10" t="str">
        <f aca="false">IF($A1853="","",UPPER(SUBSTITUTE(SUBSTITUTE(SUBSTITUTE(SUBSTITUTE($A1853," ",""),"(주)",""),"주식회사",""),"㈜","")))</f>
        <v/>
      </c>
      <c r="H1853" s="10" t="str">
        <f aca="false">IF($B1853="","",SUBSTITUTE(SUBSTITUTE(SUBSTITUTE($B1853,"-","")," ",""),".",""))</f>
        <v/>
      </c>
      <c r="I1853" s="10" t="str">
        <f aca="false">IF($D1853="","",SUBSTITUTE(SUBSTITUTE(SUBSTITUTE($D1853,"-","")," ",""),".",""))</f>
        <v/>
      </c>
      <c r="J1853" s="10" t="str">
        <f aca="false">IF($E1853="","",UPPER(SUBSTITUTE($E1853," ","")))</f>
        <v/>
      </c>
      <c r="K1853" s="10" t="str">
        <f aca="false">IF($A1853="","",$G1853&amp;"|"&amp;$J1853)</f>
        <v/>
      </c>
      <c r="L1853" s="10" t="str">
        <f aca="false">IF($A1853="","",ROW()-2)</f>
        <v/>
      </c>
      <c r="M1853" s="10" t="str">
        <f aca="false">IF($A1853="","",ROW())</f>
        <v/>
      </c>
    </row>
    <row r="1854" customFormat="false" ht="15" hidden="false" customHeight="true" outlineLevel="0" collapsed="false">
      <c r="A1854" s="8"/>
      <c r="B1854" s="8"/>
      <c r="C1854" s="8"/>
      <c r="D1854" s="8"/>
      <c r="E1854" s="8"/>
      <c r="F1854" s="8"/>
      <c r="G1854" s="10" t="str">
        <f aca="false">IF($A1854="","",UPPER(SUBSTITUTE(SUBSTITUTE(SUBSTITUTE(SUBSTITUTE($A1854," ",""),"(주)",""),"주식회사",""),"㈜","")))</f>
        <v/>
      </c>
      <c r="H1854" s="10" t="str">
        <f aca="false">IF($B1854="","",SUBSTITUTE(SUBSTITUTE(SUBSTITUTE($B1854,"-","")," ",""),".",""))</f>
        <v/>
      </c>
      <c r="I1854" s="10" t="str">
        <f aca="false">IF($D1854="","",SUBSTITUTE(SUBSTITUTE(SUBSTITUTE($D1854,"-","")," ",""),".",""))</f>
        <v/>
      </c>
      <c r="J1854" s="10" t="str">
        <f aca="false">IF($E1854="","",UPPER(SUBSTITUTE($E1854," ","")))</f>
        <v/>
      </c>
      <c r="K1854" s="10" t="str">
        <f aca="false">IF($A1854="","",$G1854&amp;"|"&amp;$J1854)</f>
        <v/>
      </c>
      <c r="L1854" s="10" t="str">
        <f aca="false">IF($A1854="","",ROW()-2)</f>
        <v/>
      </c>
      <c r="M1854" s="10" t="str">
        <f aca="false">IF($A1854="","",ROW())</f>
        <v/>
      </c>
    </row>
    <row r="1855" customFormat="false" ht="15" hidden="false" customHeight="true" outlineLevel="0" collapsed="false">
      <c r="A1855" s="8"/>
      <c r="B1855" s="8"/>
      <c r="C1855" s="8"/>
      <c r="D1855" s="8"/>
      <c r="E1855" s="8"/>
      <c r="F1855" s="8"/>
      <c r="G1855" s="10" t="str">
        <f aca="false">IF($A1855="","",UPPER(SUBSTITUTE(SUBSTITUTE(SUBSTITUTE(SUBSTITUTE($A1855," ",""),"(주)",""),"주식회사",""),"㈜","")))</f>
        <v/>
      </c>
      <c r="H1855" s="10" t="str">
        <f aca="false">IF($B1855="","",SUBSTITUTE(SUBSTITUTE(SUBSTITUTE($B1855,"-","")," ",""),".",""))</f>
        <v/>
      </c>
      <c r="I1855" s="10" t="str">
        <f aca="false">IF($D1855="","",SUBSTITUTE(SUBSTITUTE(SUBSTITUTE($D1855,"-","")," ",""),".",""))</f>
        <v/>
      </c>
      <c r="J1855" s="10" t="str">
        <f aca="false">IF($E1855="","",UPPER(SUBSTITUTE($E1855," ","")))</f>
        <v/>
      </c>
      <c r="K1855" s="10" t="str">
        <f aca="false">IF($A1855="","",$G1855&amp;"|"&amp;$J1855)</f>
        <v/>
      </c>
      <c r="L1855" s="10" t="str">
        <f aca="false">IF($A1855="","",ROW()-2)</f>
        <v/>
      </c>
      <c r="M1855" s="10" t="str">
        <f aca="false">IF($A1855="","",ROW())</f>
        <v/>
      </c>
    </row>
    <row r="1856" customFormat="false" ht="15" hidden="false" customHeight="true" outlineLevel="0" collapsed="false">
      <c r="A1856" s="8"/>
      <c r="B1856" s="8"/>
      <c r="C1856" s="8"/>
      <c r="D1856" s="8"/>
      <c r="E1856" s="8"/>
      <c r="F1856" s="8"/>
      <c r="G1856" s="10" t="str">
        <f aca="false">IF($A1856="","",UPPER(SUBSTITUTE(SUBSTITUTE(SUBSTITUTE(SUBSTITUTE($A1856," ",""),"(주)",""),"주식회사",""),"㈜","")))</f>
        <v/>
      </c>
      <c r="H1856" s="10" t="str">
        <f aca="false">IF($B1856="","",SUBSTITUTE(SUBSTITUTE(SUBSTITUTE($B1856,"-","")," ",""),".",""))</f>
        <v/>
      </c>
      <c r="I1856" s="10" t="str">
        <f aca="false">IF($D1856="","",SUBSTITUTE(SUBSTITUTE(SUBSTITUTE($D1856,"-","")," ",""),".",""))</f>
        <v/>
      </c>
      <c r="J1856" s="10" t="str">
        <f aca="false">IF($E1856="","",UPPER(SUBSTITUTE($E1856," ","")))</f>
        <v/>
      </c>
      <c r="K1856" s="10" t="str">
        <f aca="false">IF($A1856="","",$G1856&amp;"|"&amp;$J1856)</f>
        <v/>
      </c>
      <c r="L1856" s="10" t="str">
        <f aca="false">IF($A1856="","",ROW()-2)</f>
        <v/>
      </c>
      <c r="M1856" s="10" t="str">
        <f aca="false">IF($A1856="","",ROW())</f>
        <v/>
      </c>
    </row>
    <row r="1857" customFormat="false" ht="15" hidden="false" customHeight="true" outlineLevel="0" collapsed="false">
      <c r="A1857" s="8"/>
      <c r="B1857" s="8"/>
      <c r="C1857" s="8"/>
      <c r="D1857" s="8"/>
      <c r="E1857" s="8"/>
      <c r="F1857" s="8"/>
      <c r="G1857" s="10" t="str">
        <f aca="false">IF($A1857="","",UPPER(SUBSTITUTE(SUBSTITUTE(SUBSTITUTE(SUBSTITUTE($A1857," ",""),"(주)",""),"주식회사",""),"㈜","")))</f>
        <v/>
      </c>
      <c r="H1857" s="10" t="str">
        <f aca="false">IF($B1857="","",SUBSTITUTE(SUBSTITUTE(SUBSTITUTE($B1857,"-","")," ",""),".",""))</f>
        <v/>
      </c>
      <c r="I1857" s="10" t="str">
        <f aca="false">IF($D1857="","",SUBSTITUTE(SUBSTITUTE(SUBSTITUTE($D1857,"-","")," ",""),".",""))</f>
        <v/>
      </c>
      <c r="J1857" s="10" t="str">
        <f aca="false">IF($E1857="","",UPPER(SUBSTITUTE($E1857," ","")))</f>
        <v/>
      </c>
      <c r="K1857" s="10" t="str">
        <f aca="false">IF($A1857="","",$G1857&amp;"|"&amp;$J1857)</f>
        <v/>
      </c>
      <c r="L1857" s="10" t="str">
        <f aca="false">IF($A1857="","",ROW()-2)</f>
        <v/>
      </c>
      <c r="M1857" s="10" t="str">
        <f aca="false">IF($A1857="","",ROW())</f>
        <v/>
      </c>
    </row>
    <row r="1858" customFormat="false" ht="15" hidden="false" customHeight="true" outlineLevel="0" collapsed="false">
      <c r="A1858" s="8"/>
      <c r="B1858" s="8"/>
      <c r="C1858" s="8"/>
      <c r="D1858" s="8"/>
      <c r="E1858" s="8"/>
      <c r="F1858" s="8"/>
      <c r="G1858" s="10" t="str">
        <f aca="false">IF($A1858="","",UPPER(SUBSTITUTE(SUBSTITUTE(SUBSTITUTE(SUBSTITUTE($A1858," ",""),"(주)",""),"주식회사",""),"㈜","")))</f>
        <v/>
      </c>
      <c r="H1858" s="10" t="str">
        <f aca="false">IF($B1858="","",SUBSTITUTE(SUBSTITUTE(SUBSTITUTE($B1858,"-","")," ",""),".",""))</f>
        <v/>
      </c>
      <c r="I1858" s="10" t="str">
        <f aca="false">IF($D1858="","",SUBSTITUTE(SUBSTITUTE(SUBSTITUTE($D1858,"-","")," ",""),".",""))</f>
        <v/>
      </c>
      <c r="J1858" s="10" t="str">
        <f aca="false">IF($E1858="","",UPPER(SUBSTITUTE($E1858," ","")))</f>
        <v/>
      </c>
      <c r="K1858" s="10" t="str">
        <f aca="false">IF($A1858="","",$G1858&amp;"|"&amp;$J1858)</f>
        <v/>
      </c>
      <c r="L1858" s="10" t="str">
        <f aca="false">IF($A1858="","",ROW()-2)</f>
        <v/>
      </c>
      <c r="M1858" s="10" t="str">
        <f aca="false">IF($A1858="","",ROW())</f>
        <v/>
      </c>
    </row>
    <row r="1859" customFormat="false" ht="15" hidden="false" customHeight="true" outlineLevel="0" collapsed="false">
      <c r="A1859" s="8"/>
      <c r="B1859" s="8"/>
      <c r="C1859" s="8"/>
      <c r="D1859" s="8"/>
      <c r="E1859" s="8"/>
      <c r="F1859" s="8"/>
      <c r="G1859" s="10" t="str">
        <f aca="false">IF($A1859="","",UPPER(SUBSTITUTE(SUBSTITUTE(SUBSTITUTE(SUBSTITUTE($A1859," ",""),"(주)",""),"주식회사",""),"㈜","")))</f>
        <v/>
      </c>
      <c r="H1859" s="10" t="str">
        <f aca="false">IF($B1859="","",SUBSTITUTE(SUBSTITUTE(SUBSTITUTE($B1859,"-","")," ",""),".",""))</f>
        <v/>
      </c>
      <c r="I1859" s="10" t="str">
        <f aca="false">IF($D1859="","",SUBSTITUTE(SUBSTITUTE(SUBSTITUTE($D1859,"-","")," ",""),".",""))</f>
        <v/>
      </c>
      <c r="J1859" s="10" t="str">
        <f aca="false">IF($E1859="","",UPPER(SUBSTITUTE($E1859," ","")))</f>
        <v/>
      </c>
      <c r="K1859" s="10" t="str">
        <f aca="false">IF($A1859="","",$G1859&amp;"|"&amp;$J1859)</f>
        <v/>
      </c>
      <c r="L1859" s="10" t="str">
        <f aca="false">IF($A1859="","",ROW()-2)</f>
        <v/>
      </c>
      <c r="M1859" s="10" t="str">
        <f aca="false">IF($A1859="","",ROW())</f>
        <v/>
      </c>
    </row>
    <row r="1860" customFormat="false" ht="15" hidden="false" customHeight="true" outlineLevel="0" collapsed="false">
      <c r="A1860" s="8"/>
      <c r="B1860" s="8"/>
      <c r="C1860" s="8"/>
      <c r="D1860" s="8"/>
      <c r="E1860" s="8"/>
      <c r="F1860" s="8"/>
      <c r="G1860" s="10" t="str">
        <f aca="false">IF($A1860="","",UPPER(SUBSTITUTE(SUBSTITUTE(SUBSTITUTE(SUBSTITUTE($A1860," ",""),"(주)",""),"주식회사",""),"㈜","")))</f>
        <v/>
      </c>
      <c r="H1860" s="10" t="str">
        <f aca="false">IF($B1860="","",SUBSTITUTE(SUBSTITUTE(SUBSTITUTE($B1860,"-","")," ",""),".",""))</f>
        <v/>
      </c>
      <c r="I1860" s="10" t="str">
        <f aca="false">IF($D1860="","",SUBSTITUTE(SUBSTITUTE(SUBSTITUTE($D1860,"-","")," ",""),".",""))</f>
        <v/>
      </c>
      <c r="J1860" s="10" t="str">
        <f aca="false">IF($E1860="","",UPPER(SUBSTITUTE($E1860," ","")))</f>
        <v/>
      </c>
      <c r="K1860" s="10" t="str">
        <f aca="false">IF($A1860="","",$G1860&amp;"|"&amp;$J1860)</f>
        <v/>
      </c>
      <c r="L1860" s="10" t="str">
        <f aca="false">IF($A1860="","",ROW()-2)</f>
        <v/>
      </c>
      <c r="M1860" s="10" t="str">
        <f aca="false">IF($A1860="","",ROW())</f>
        <v/>
      </c>
    </row>
    <row r="1861" customFormat="false" ht="15" hidden="false" customHeight="true" outlineLevel="0" collapsed="false">
      <c r="A1861" s="8"/>
      <c r="B1861" s="8"/>
      <c r="C1861" s="8"/>
      <c r="D1861" s="8"/>
      <c r="E1861" s="8"/>
      <c r="F1861" s="8"/>
      <c r="G1861" s="10" t="str">
        <f aca="false">IF($A1861="","",UPPER(SUBSTITUTE(SUBSTITUTE(SUBSTITUTE(SUBSTITUTE($A1861," ",""),"(주)",""),"주식회사",""),"㈜","")))</f>
        <v/>
      </c>
      <c r="H1861" s="10" t="str">
        <f aca="false">IF($B1861="","",SUBSTITUTE(SUBSTITUTE(SUBSTITUTE($B1861,"-","")," ",""),".",""))</f>
        <v/>
      </c>
      <c r="I1861" s="10" t="str">
        <f aca="false">IF($D1861="","",SUBSTITUTE(SUBSTITUTE(SUBSTITUTE($D1861,"-","")," ",""),".",""))</f>
        <v/>
      </c>
      <c r="J1861" s="10" t="str">
        <f aca="false">IF($E1861="","",UPPER(SUBSTITUTE($E1861," ","")))</f>
        <v/>
      </c>
      <c r="K1861" s="10" t="str">
        <f aca="false">IF($A1861="","",$G1861&amp;"|"&amp;$J1861)</f>
        <v/>
      </c>
      <c r="L1861" s="10" t="str">
        <f aca="false">IF($A1861="","",ROW()-2)</f>
        <v/>
      </c>
      <c r="M1861" s="10" t="str">
        <f aca="false">IF($A1861="","",ROW())</f>
        <v/>
      </c>
    </row>
    <row r="1862" customFormat="false" ht="15" hidden="false" customHeight="true" outlineLevel="0" collapsed="false">
      <c r="A1862" s="8"/>
      <c r="B1862" s="8"/>
      <c r="C1862" s="8"/>
      <c r="D1862" s="8"/>
      <c r="E1862" s="8"/>
      <c r="F1862" s="8"/>
      <c r="G1862" s="10" t="str">
        <f aca="false">IF($A1862="","",UPPER(SUBSTITUTE(SUBSTITUTE(SUBSTITUTE(SUBSTITUTE($A1862," ",""),"(주)",""),"주식회사",""),"㈜","")))</f>
        <v/>
      </c>
      <c r="H1862" s="10" t="str">
        <f aca="false">IF($B1862="","",SUBSTITUTE(SUBSTITUTE(SUBSTITUTE($B1862,"-","")," ",""),".",""))</f>
        <v/>
      </c>
      <c r="I1862" s="10" t="str">
        <f aca="false">IF($D1862="","",SUBSTITUTE(SUBSTITUTE(SUBSTITUTE($D1862,"-","")," ",""),".",""))</f>
        <v/>
      </c>
      <c r="J1862" s="10" t="str">
        <f aca="false">IF($E1862="","",UPPER(SUBSTITUTE($E1862," ","")))</f>
        <v/>
      </c>
      <c r="K1862" s="10" t="str">
        <f aca="false">IF($A1862="","",$G1862&amp;"|"&amp;$J1862)</f>
        <v/>
      </c>
      <c r="L1862" s="10" t="str">
        <f aca="false">IF($A1862="","",ROW()-2)</f>
        <v/>
      </c>
      <c r="M1862" s="10" t="str">
        <f aca="false">IF($A1862="","",ROW())</f>
        <v/>
      </c>
    </row>
    <row r="1863" customFormat="false" ht="15" hidden="false" customHeight="true" outlineLevel="0" collapsed="false">
      <c r="A1863" s="8"/>
      <c r="B1863" s="8"/>
      <c r="C1863" s="8"/>
      <c r="D1863" s="8"/>
      <c r="E1863" s="8"/>
      <c r="F1863" s="8"/>
      <c r="G1863" s="10" t="str">
        <f aca="false">IF($A1863="","",UPPER(SUBSTITUTE(SUBSTITUTE(SUBSTITUTE(SUBSTITUTE($A1863," ",""),"(주)",""),"주식회사",""),"㈜","")))</f>
        <v/>
      </c>
      <c r="H1863" s="10" t="str">
        <f aca="false">IF($B1863="","",SUBSTITUTE(SUBSTITUTE(SUBSTITUTE($B1863,"-","")," ",""),".",""))</f>
        <v/>
      </c>
      <c r="I1863" s="10" t="str">
        <f aca="false">IF($D1863="","",SUBSTITUTE(SUBSTITUTE(SUBSTITUTE($D1863,"-","")," ",""),".",""))</f>
        <v/>
      </c>
      <c r="J1863" s="10" t="str">
        <f aca="false">IF($E1863="","",UPPER(SUBSTITUTE($E1863," ","")))</f>
        <v/>
      </c>
      <c r="K1863" s="10" t="str">
        <f aca="false">IF($A1863="","",$G1863&amp;"|"&amp;$J1863)</f>
        <v/>
      </c>
      <c r="L1863" s="10" t="str">
        <f aca="false">IF($A1863="","",ROW()-2)</f>
        <v/>
      </c>
      <c r="M1863" s="10" t="str">
        <f aca="false">IF($A1863="","",ROW())</f>
        <v/>
      </c>
    </row>
    <row r="1864" customFormat="false" ht="15" hidden="false" customHeight="true" outlineLevel="0" collapsed="false">
      <c r="A1864" s="8"/>
      <c r="B1864" s="8"/>
      <c r="C1864" s="8"/>
      <c r="D1864" s="8"/>
      <c r="E1864" s="8"/>
      <c r="F1864" s="8"/>
      <c r="G1864" s="10" t="str">
        <f aca="false">IF($A1864="","",UPPER(SUBSTITUTE(SUBSTITUTE(SUBSTITUTE(SUBSTITUTE($A1864," ",""),"(주)",""),"주식회사",""),"㈜","")))</f>
        <v/>
      </c>
      <c r="H1864" s="10" t="str">
        <f aca="false">IF($B1864="","",SUBSTITUTE(SUBSTITUTE(SUBSTITUTE($B1864,"-","")," ",""),".",""))</f>
        <v/>
      </c>
      <c r="I1864" s="10" t="str">
        <f aca="false">IF($D1864="","",SUBSTITUTE(SUBSTITUTE(SUBSTITUTE($D1864,"-","")," ",""),".",""))</f>
        <v/>
      </c>
      <c r="J1864" s="10" t="str">
        <f aca="false">IF($E1864="","",UPPER(SUBSTITUTE($E1864," ","")))</f>
        <v/>
      </c>
      <c r="K1864" s="10" t="str">
        <f aca="false">IF($A1864="","",$G1864&amp;"|"&amp;$J1864)</f>
        <v/>
      </c>
      <c r="L1864" s="10" t="str">
        <f aca="false">IF($A1864="","",ROW()-2)</f>
        <v/>
      </c>
      <c r="M1864" s="10" t="str">
        <f aca="false">IF($A1864="","",ROW())</f>
        <v/>
      </c>
    </row>
    <row r="1865" customFormat="false" ht="15" hidden="false" customHeight="true" outlineLevel="0" collapsed="false">
      <c r="A1865" s="8"/>
      <c r="B1865" s="8"/>
      <c r="C1865" s="8"/>
      <c r="D1865" s="8"/>
      <c r="E1865" s="8"/>
      <c r="F1865" s="8"/>
      <c r="G1865" s="10" t="str">
        <f aca="false">IF($A1865="","",UPPER(SUBSTITUTE(SUBSTITUTE(SUBSTITUTE(SUBSTITUTE($A1865," ",""),"(주)",""),"주식회사",""),"㈜","")))</f>
        <v/>
      </c>
      <c r="H1865" s="10" t="str">
        <f aca="false">IF($B1865="","",SUBSTITUTE(SUBSTITUTE(SUBSTITUTE($B1865,"-","")," ",""),".",""))</f>
        <v/>
      </c>
      <c r="I1865" s="10" t="str">
        <f aca="false">IF($D1865="","",SUBSTITUTE(SUBSTITUTE(SUBSTITUTE($D1865,"-","")," ",""),".",""))</f>
        <v/>
      </c>
      <c r="J1865" s="10" t="str">
        <f aca="false">IF($E1865="","",UPPER(SUBSTITUTE($E1865," ","")))</f>
        <v/>
      </c>
      <c r="K1865" s="10" t="str">
        <f aca="false">IF($A1865="","",$G1865&amp;"|"&amp;$J1865)</f>
        <v/>
      </c>
      <c r="L1865" s="10" t="str">
        <f aca="false">IF($A1865="","",ROW()-2)</f>
        <v/>
      </c>
      <c r="M1865" s="10" t="str">
        <f aca="false">IF($A1865="","",ROW())</f>
        <v/>
      </c>
    </row>
    <row r="1866" customFormat="false" ht="15" hidden="false" customHeight="true" outlineLevel="0" collapsed="false">
      <c r="A1866" s="8"/>
      <c r="B1866" s="8"/>
      <c r="C1866" s="8"/>
      <c r="D1866" s="8"/>
      <c r="E1866" s="8"/>
      <c r="F1866" s="8"/>
      <c r="G1866" s="10" t="str">
        <f aca="false">IF($A1866="","",UPPER(SUBSTITUTE(SUBSTITUTE(SUBSTITUTE(SUBSTITUTE($A1866," ",""),"(주)",""),"주식회사",""),"㈜","")))</f>
        <v/>
      </c>
      <c r="H1866" s="10" t="str">
        <f aca="false">IF($B1866="","",SUBSTITUTE(SUBSTITUTE(SUBSTITUTE($B1866,"-","")," ",""),".",""))</f>
        <v/>
      </c>
      <c r="I1866" s="10" t="str">
        <f aca="false">IF($D1866="","",SUBSTITUTE(SUBSTITUTE(SUBSTITUTE($D1866,"-","")," ",""),".",""))</f>
        <v/>
      </c>
      <c r="J1866" s="10" t="str">
        <f aca="false">IF($E1866="","",UPPER(SUBSTITUTE($E1866," ","")))</f>
        <v/>
      </c>
      <c r="K1866" s="10" t="str">
        <f aca="false">IF($A1866="","",$G1866&amp;"|"&amp;$J1866)</f>
        <v/>
      </c>
      <c r="L1866" s="10" t="str">
        <f aca="false">IF($A1866="","",ROW()-2)</f>
        <v/>
      </c>
      <c r="M1866" s="10" t="str">
        <f aca="false">IF($A1866="","",ROW())</f>
        <v/>
      </c>
    </row>
    <row r="1867" customFormat="false" ht="15" hidden="false" customHeight="true" outlineLevel="0" collapsed="false">
      <c r="A1867" s="8"/>
      <c r="B1867" s="8"/>
      <c r="C1867" s="8"/>
      <c r="D1867" s="8"/>
      <c r="E1867" s="8"/>
      <c r="F1867" s="8"/>
      <c r="G1867" s="10" t="str">
        <f aca="false">IF($A1867="","",UPPER(SUBSTITUTE(SUBSTITUTE(SUBSTITUTE(SUBSTITUTE($A1867," ",""),"(주)",""),"주식회사",""),"㈜","")))</f>
        <v/>
      </c>
      <c r="H1867" s="10" t="str">
        <f aca="false">IF($B1867="","",SUBSTITUTE(SUBSTITUTE(SUBSTITUTE($B1867,"-","")," ",""),".",""))</f>
        <v/>
      </c>
      <c r="I1867" s="10" t="str">
        <f aca="false">IF($D1867="","",SUBSTITUTE(SUBSTITUTE(SUBSTITUTE($D1867,"-","")," ",""),".",""))</f>
        <v/>
      </c>
      <c r="J1867" s="10" t="str">
        <f aca="false">IF($E1867="","",UPPER(SUBSTITUTE($E1867," ","")))</f>
        <v/>
      </c>
      <c r="K1867" s="10" t="str">
        <f aca="false">IF($A1867="","",$G1867&amp;"|"&amp;$J1867)</f>
        <v/>
      </c>
      <c r="L1867" s="10" t="str">
        <f aca="false">IF($A1867="","",ROW()-2)</f>
        <v/>
      </c>
      <c r="M1867" s="10" t="str">
        <f aca="false">IF($A1867="","",ROW())</f>
        <v/>
      </c>
    </row>
    <row r="1868" customFormat="false" ht="15" hidden="false" customHeight="true" outlineLevel="0" collapsed="false">
      <c r="A1868" s="8"/>
      <c r="B1868" s="8"/>
      <c r="C1868" s="8"/>
      <c r="D1868" s="8"/>
      <c r="E1868" s="8"/>
      <c r="F1868" s="8"/>
      <c r="G1868" s="10" t="str">
        <f aca="false">IF($A1868="","",UPPER(SUBSTITUTE(SUBSTITUTE(SUBSTITUTE(SUBSTITUTE($A1868," ",""),"(주)",""),"주식회사",""),"㈜","")))</f>
        <v/>
      </c>
      <c r="H1868" s="10" t="str">
        <f aca="false">IF($B1868="","",SUBSTITUTE(SUBSTITUTE(SUBSTITUTE($B1868,"-","")," ",""),".",""))</f>
        <v/>
      </c>
      <c r="I1868" s="10" t="str">
        <f aca="false">IF($D1868="","",SUBSTITUTE(SUBSTITUTE(SUBSTITUTE($D1868,"-","")," ",""),".",""))</f>
        <v/>
      </c>
      <c r="J1868" s="10" t="str">
        <f aca="false">IF($E1868="","",UPPER(SUBSTITUTE($E1868," ","")))</f>
        <v/>
      </c>
      <c r="K1868" s="10" t="str">
        <f aca="false">IF($A1868="","",$G1868&amp;"|"&amp;$J1868)</f>
        <v/>
      </c>
      <c r="L1868" s="10" t="str">
        <f aca="false">IF($A1868="","",ROW()-2)</f>
        <v/>
      </c>
      <c r="M1868" s="10" t="str">
        <f aca="false">IF($A1868="","",ROW())</f>
        <v/>
      </c>
    </row>
    <row r="1869" customFormat="false" ht="15" hidden="false" customHeight="true" outlineLevel="0" collapsed="false">
      <c r="A1869" s="8"/>
      <c r="B1869" s="8"/>
      <c r="C1869" s="8"/>
      <c r="D1869" s="8"/>
      <c r="E1869" s="8"/>
      <c r="F1869" s="8"/>
      <c r="G1869" s="10" t="str">
        <f aca="false">IF($A1869="","",UPPER(SUBSTITUTE(SUBSTITUTE(SUBSTITUTE(SUBSTITUTE($A1869," ",""),"(주)",""),"주식회사",""),"㈜","")))</f>
        <v/>
      </c>
      <c r="H1869" s="10" t="str">
        <f aca="false">IF($B1869="","",SUBSTITUTE(SUBSTITUTE(SUBSTITUTE($B1869,"-","")," ",""),".",""))</f>
        <v/>
      </c>
      <c r="I1869" s="10" t="str">
        <f aca="false">IF($D1869="","",SUBSTITUTE(SUBSTITUTE(SUBSTITUTE($D1869,"-","")," ",""),".",""))</f>
        <v/>
      </c>
      <c r="J1869" s="10" t="str">
        <f aca="false">IF($E1869="","",UPPER(SUBSTITUTE($E1869," ","")))</f>
        <v/>
      </c>
      <c r="K1869" s="10" t="str">
        <f aca="false">IF($A1869="","",$G1869&amp;"|"&amp;$J1869)</f>
        <v/>
      </c>
      <c r="L1869" s="10" t="str">
        <f aca="false">IF($A1869="","",ROW()-2)</f>
        <v/>
      </c>
      <c r="M1869" s="10" t="str">
        <f aca="false">IF($A1869="","",ROW())</f>
        <v/>
      </c>
    </row>
    <row r="1870" customFormat="false" ht="15" hidden="false" customHeight="true" outlineLevel="0" collapsed="false">
      <c r="A1870" s="8"/>
      <c r="B1870" s="8"/>
      <c r="C1870" s="8"/>
      <c r="D1870" s="8"/>
      <c r="E1870" s="8"/>
      <c r="F1870" s="8"/>
      <c r="G1870" s="10" t="str">
        <f aca="false">IF($A1870="","",UPPER(SUBSTITUTE(SUBSTITUTE(SUBSTITUTE(SUBSTITUTE($A1870," ",""),"(주)",""),"주식회사",""),"㈜","")))</f>
        <v/>
      </c>
      <c r="H1870" s="10" t="str">
        <f aca="false">IF($B1870="","",SUBSTITUTE(SUBSTITUTE(SUBSTITUTE($B1870,"-","")," ",""),".",""))</f>
        <v/>
      </c>
      <c r="I1870" s="10" t="str">
        <f aca="false">IF($D1870="","",SUBSTITUTE(SUBSTITUTE(SUBSTITUTE($D1870,"-","")," ",""),".",""))</f>
        <v/>
      </c>
      <c r="J1870" s="10" t="str">
        <f aca="false">IF($E1870="","",UPPER(SUBSTITUTE($E1870," ","")))</f>
        <v/>
      </c>
      <c r="K1870" s="10" t="str">
        <f aca="false">IF($A1870="","",$G1870&amp;"|"&amp;$J1870)</f>
        <v/>
      </c>
      <c r="L1870" s="10" t="str">
        <f aca="false">IF($A1870="","",ROW()-2)</f>
        <v/>
      </c>
      <c r="M1870" s="10" t="str">
        <f aca="false">IF($A1870="","",ROW())</f>
        <v/>
      </c>
    </row>
    <row r="1871" customFormat="false" ht="15" hidden="false" customHeight="true" outlineLevel="0" collapsed="false">
      <c r="A1871" s="8"/>
      <c r="B1871" s="8"/>
      <c r="C1871" s="8"/>
      <c r="D1871" s="8"/>
      <c r="E1871" s="8"/>
      <c r="F1871" s="8"/>
      <c r="G1871" s="10" t="str">
        <f aca="false">IF($A1871="","",UPPER(SUBSTITUTE(SUBSTITUTE(SUBSTITUTE(SUBSTITUTE($A1871," ",""),"(주)",""),"주식회사",""),"㈜","")))</f>
        <v/>
      </c>
      <c r="H1871" s="10" t="str">
        <f aca="false">IF($B1871="","",SUBSTITUTE(SUBSTITUTE(SUBSTITUTE($B1871,"-","")," ",""),".",""))</f>
        <v/>
      </c>
      <c r="I1871" s="10" t="str">
        <f aca="false">IF($D1871="","",SUBSTITUTE(SUBSTITUTE(SUBSTITUTE($D1871,"-","")," ",""),".",""))</f>
        <v/>
      </c>
      <c r="J1871" s="10" t="str">
        <f aca="false">IF($E1871="","",UPPER(SUBSTITUTE($E1871," ","")))</f>
        <v/>
      </c>
      <c r="K1871" s="10" t="str">
        <f aca="false">IF($A1871="","",$G1871&amp;"|"&amp;$J1871)</f>
        <v/>
      </c>
      <c r="L1871" s="10" t="str">
        <f aca="false">IF($A1871="","",ROW()-2)</f>
        <v/>
      </c>
      <c r="M1871" s="10" t="str">
        <f aca="false">IF($A1871="","",ROW())</f>
        <v/>
      </c>
    </row>
    <row r="1872" customFormat="false" ht="15" hidden="false" customHeight="true" outlineLevel="0" collapsed="false">
      <c r="A1872" s="8"/>
      <c r="B1872" s="8"/>
      <c r="C1872" s="8"/>
      <c r="D1872" s="8"/>
      <c r="E1872" s="8"/>
      <c r="F1872" s="8"/>
      <c r="G1872" s="10" t="str">
        <f aca="false">IF($A1872="","",UPPER(SUBSTITUTE(SUBSTITUTE(SUBSTITUTE(SUBSTITUTE($A1872," ",""),"(주)",""),"주식회사",""),"㈜","")))</f>
        <v/>
      </c>
      <c r="H1872" s="10" t="str">
        <f aca="false">IF($B1872="","",SUBSTITUTE(SUBSTITUTE(SUBSTITUTE($B1872,"-","")," ",""),".",""))</f>
        <v/>
      </c>
      <c r="I1872" s="10" t="str">
        <f aca="false">IF($D1872="","",SUBSTITUTE(SUBSTITUTE(SUBSTITUTE($D1872,"-","")," ",""),".",""))</f>
        <v/>
      </c>
      <c r="J1872" s="10" t="str">
        <f aca="false">IF($E1872="","",UPPER(SUBSTITUTE($E1872," ","")))</f>
        <v/>
      </c>
      <c r="K1872" s="10" t="str">
        <f aca="false">IF($A1872="","",$G1872&amp;"|"&amp;$J1872)</f>
        <v/>
      </c>
      <c r="L1872" s="10" t="str">
        <f aca="false">IF($A1872="","",ROW()-2)</f>
        <v/>
      </c>
      <c r="M1872" s="10" t="str">
        <f aca="false">IF($A1872="","",ROW())</f>
        <v/>
      </c>
    </row>
    <row r="1873" customFormat="false" ht="15" hidden="false" customHeight="true" outlineLevel="0" collapsed="false">
      <c r="A1873" s="8"/>
      <c r="B1873" s="8"/>
      <c r="C1873" s="8"/>
      <c r="D1873" s="8"/>
      <c r="E1873" s="8"/>
      <c r="F1873" s="8"/>
      <c r="G1873" s="10" t="str">
        <f aca="false">IF($A1873="","",UPPER(SUBSTITUTE(SUBSTITUTE(SUBSTITUTE(SUBSTITUTE($A1873," ",""),"(주)",""),"주식회사",""),"㈜","")))</f>
        <v/>
      </c>
      <c r="H1873" s="10" t="str">
        <f aca="false">IF($B1873="","",SUBSTITUTE(SUBSTITUTE(SUBSTITUTE($B1873,"-","")," ",""),".",""))</f>
        <v/>
      </c>
      <c r="I1873" s="10" t="str">
        <f aca="false">IF($D1873="","",SUBSTITUTE(SUBSTITUTE(SUBSTITUTE($D1873,"-","")," ",""),".",""))</f>
        <v/>
      </c>
      <c r="J1873" s="10" t="str">
        <f aca="false">IF($E1873="","",UPPER(SUBSTITUTE($E1873," ","")))</f>
        <v/>
      </c>
      <c r="K1873" s="10" t="str">
        <f aca="false">IF($A1873="","",$G1873&amp;"|"&amp;$J1873)</f>
        <v/>
      </c>
      <c r="L1873" s="10" t="str">
        <f aca="false">IF($A1873="","",ROW()-2)</f>
        <v/>
      </c>
      <c r="M1873" s="10" t="str">
        <f aca="false">IF($A1873="","",ROW())</f>
        <v/>
      </c>
    </row>
    <row r="1874" customFormat="false" ht="15" hidden="false" customHeight="true" outlineLevel="0" collapsed="false">
      <c r="A1874" s="8"/>
      <c r="B1874" s="8"/>
      <c r="C1874" s="8"/>
      <c r="D1874" s="8"/>
      <c r="E1874" s="8"/>
      <c r="F1874" s="8"/>
      <c r="G1874" s="10" t="str">
        <f aca="false">IF($A1874="","",UPPER(SUBSTITUTE(SUBSTITUTE(SUBSTITUTE(SUBSTITUTE($A1874," ",""),"(주)",""),"주식회사",""),"㈜","")))</f>
        <v/>
      </c>
      <c r="H1874" s="10" t="str">
        <f aca="false">IF($B1874="","",SUBSTITUTE(SUBSTITUTE(SUBSTITUTE($B1874,"-","")," ",""),".",""))</f>
        <v/>
      </c>
      <c r="I1874" s="10" t="str">
        <f aca="false">IF($D1874="","",SUBSTITUTE(SUBSTITUTE(SUBSTITUTE($D1874,"-","")," ",""),".",""))</f>
        <v/>
      </c>
      <c r="J1874" s="10" t="str">
        <f aca="false">IF($E1874="","",UPPER(SUBSTITUTE($E1874," ","")))</f>
        <v/>
      </c>
      <c r="K1874" s="10" t="str">
        <f aca="false">IF($A1874="","",$G1874&amp;"|"&amp;$J1874)</f>
        <v/>
      </c>
      <c r="L1874" s="10" t="str">
        <f aca="false">IF($A1874="","",ROW()-2)</f>
        <v/>
      </c>
      <c r="M1874" s="10" t="str">
        <f aca="false">IF($A1874="","",ROW())</f>
        <v/>
      </c>
    </row>
    <row r="1875" customFormat="false" ht="15" hidden="false" customHeight="true" outlineLevel="0" collapsed="false">
      <c r="A1875" s="8"/>
      <c r="B1875" s="8"/>
      <c r="C1875" s="8"/>
      <c r="D1875" s="8"/>
      <c r="E1875" s="8"/>
      <c r="F1875" s="8"/>
      <c r="G1875" s="10" t="str">
        <f aca="false">IF($A1875="","",UPPER(SUBSTITUTE(SUBSTITUTE(SUBSTITUTE(SUBSTITUTE($A1875," ",""),"(주)",""),"주식회사",""),"㈜","")))</f>
        <v/>
      </c>
      <c r="H1875" s="10" t="str">
        <f aca="false">IF($B1875="","",SUBSTITUTE(SUBSTITUTE(SUBSTITUTE($B1875,"-","")," ",""),".",""))</f>
        <v/>
      </c>
      <c r="I1875" s="10" t="str">
        <f aca="false">IF($D1875="","",SUBSTITUTE(SUBSTITUTE(SUBSTITUTE($D1875,"-","")," ",""),".",""))</f>
        <v/>
      </c>
      <c r="J1875" s="10" t="str">
        <f aca="false">IF($E1875="","",UPPER(SUBSTITUTE($E1875," ","")))</f>
        <v/>
      </c>
      <c r="K1875" s="10" t="str">
        <f aca="false">IF($A1875="","",$G1875&amp;"|"&amp;$J1875)</f>
        <v/>
      </c>
      <c r="L1875" s="10" t="str">
        <f aca="false">IF($A1875="","",ROW()-2)</f>
        <v/>
      </c>
      <c r="M1875" s="10" t="str">
        <f aca="false">IF($A1875="","",ROW())</f>
        <v/>
      </c>
    </row>
    <row r="1876" customFormat="false" ht="15" hidden="false" customHeight="true" outlineLevel="0" collapsed="false">
      <c r="A1876" s="8"/>
      <c r="B1876" s="8"/>
      <c r="C1876" s="8"/>
      <c r="D1876" s="8"/>
      <c r="E1876" s="8"/>
      <c r="F1876" s="8"/>
      <c r="G1876" s="10" t="str">
        <f aca="false">IF($A1876="","",UPPER(SUBSTITUTE(SUBSTITUTE(SUBSTITUTE(SUBSTITUTE($A1876," ",""),"(주)",""),"주식회사",""),"㈜","")))</f>
        <v/>
      </c>
      <c r="H1876" s="10" t="str">
        <f aca="false">IF($B1876="","",SUBSTITUTE(SUBSTITUTE(SUBSTITUTE($B1876,"-","")," ",""),".",""))</f>
        <v/>
      </c>
      <c r="I1876" s="10" t="str">
        <f aca="false">IF($D1876="","",SUBSTITUTE(SUBSTITUTE(SUBSTITUTE($D1876,"-","")," ",""),".",""))</f>
        <v/>
      </c>
      <c r="J1876" s="10" t="str">
        <f aca="false">IF($E1876="","",UPPER(SUBSTITUTE($E1876," ","")))</f>
        <v/>
      </c>
      <c r="K1876" s="10" t="str">
        <f aca="false">IF($A1876="","",$G1876&amp;"|"&amp;$J1876)</f>
        <v/>
      </c>
      <c r="L1876" s="10" t="str">
        <f aca="false">IF($A1876="","",ROW()-2)</f>
        <v/>
      </c>
      <c r="M1876" s="10" t="str">
        <f aca="false">IF($A1876="","",ROW())</f>
        <v/>
      </c>
    </row>
    <row r="1877" customFormat="false" ht="15" hidden="false" customHeight="true" outlineLevel="0" collapsed="false">
      <c r="A1877" s="8"/>
      <c r="B1877" s="8"/>
      <c r="C1877" s="8"/>
      <c r="D1877" s="8"/>
      <c r="E1877" s="8"/>
      <c r="F1877" s="8"/>
      <c r="G1877" s="10" t="str">
        <f aca="false">IF($A1877="","",UPPER(SUBSTITUTE(SUBSTITUTE(SUBSTITUTE(SUBSTITUTE($A1877," ",""),"(주)",""),"주식회사",""),"㈜","")))</f>
        <v/>
      </c>
      <c r="H1877" s="10" t="str">
        <f aca="false">IF($B1877="","",SUBSTITUTE(SUBSTITUTE(SUBSTITUTE($B1877,"-","")," ",""),".",""))</f>
        <v/>
      </c>
      <c r="I1877" s="10" t="str">
        <f aca="false">IF($D1877="","",SUBSTITUTE(SUBSTITUTE(SUBSTITUTE($D1877,"-","")," ",""),".",""))</f>
        <v/>
      </c>
      <c r="J1877" s="10" t="str">
        <f aca="false">IF($E1877="","",UPPER(SUBSTITUTE($E1877," ","")))</f>
        <v/>
      </c>
      <c r="K1877" s="10" t="str">
        <f aca="false">IF($A1877="","",$G1877&amp;"|"&amp;$J1877)</f>
        <v/>
      </c>
      <c r="L1877" s="10" t="str">
        <f aca="false">IF($A1877="","",ROW()-2)</f>
        <v/>
      </c>
      <c r="M1877" s="10" t="str">
        <f aca="false">IF($A1877="","",ROW())</f>
        <v/>
      </c>
    </row>
    <row r="1878" customFormat="false" ht="15" hidden="false" customHeight="true" outlineLevel="0" collapsed="false">
      <c r="A1878" s="8"/>
      <c r="B1878" s="8"/>
      <c r="C1878" s="8"/>
      <c r="D1878" s="8"/>
      <c r="E1878" s="8"/>
      <c r="F1878" s="8"/>
      <c r="G1878" s="10" t="str">
        <f aca="false">IF($A1878="","",UPPER(SUBSTITUTE(SUBSTITUTE(SUBSTITUTE(SUBSTITUTE($A1878," ",""),"(주)",""),"주식회사",""),"㈜","")))</f>
        <v/>
      </c>
      <c r="H1878" s="10" t="str">
        <f aca="false">IF($B1878="","",SUBSTITUTE(SUBSTITUTE(SUBSTITUTE($B1878,"-","")," ",""),".",""))</f>
        <v/>
      </c>
      <c r="I1878" s="10" t="str">
        <f aca="false">IF($D1878="","",SUBSTITUTE(SUBSTITUTE(SUBSTITUTE($D1878,"-","")," ",""),".",""))</f>
        <v/>
      </c>
      <c r="J1878" s="10" t="str">
        <f aca="false">IF($E1878="","",UPPER(SUBSTITUTE($E1878," ","")))</f>
        <v/>
      </c>
      <c r="K1878" s="10" t="str">
        <f aca="false">IF($A1878="","",$G1878&amp;"|"&amp;$J1878)</f>
        <v/>
      </c>
      <c r="L1878" s="10" t="str">
        <f aca="false">IF($A1878="","",ROW()-2)</f>
        <v/>
      </c>
      <c r="M1878" s="10" t="str">
        <f aca="false">IF($A1878="","",ROW())</f>
        <v/>
      </c>
    </row>
    <row r="1879" customFormat="false" ht="15" hidden="false" customHeight="true" outlineLevel="0" collapsed="false">
      <c r="A1879" s="8"/>
      <c r="B1879" s="8"/>
      <c r="C1879" s="8"/>
      <c r="D1879" s="8"/>
      <c r="E1879" s="8"/>
      <c r="F1879" s="8"/>
      <c r="G1879" s="10" t="str">
        <f aca="false">IF($A1879="","",UPPER(SUBSTITUTE(SUBSTITUTE(SUBSTITUTE(SUBSTITUTE($A1879," ",""),"(주)",""),"주식회사",""),"㈜","")))</f>
        <v/>
      </c>
      <c r="H1879" s="10" t="str">
        <f aca="false">IF($B1879="","",SUBSTITUTE(SUBSTITUTE(SUBSTITUTE($B1879,"-","")," ",""),".",""))</f>
        <v/>
      </c>
      <c r="I1879" s="10" t="str">
        <f aca="false">IF($D1879="","",SUBSTITUTE(SUBSTITUTE(SUBSTITUTE($D1879,"-","")," ",""),".",""))</f>
        <v/>
      </c>
      <c r="J1879" s="10" t="str">
        <f aca="false">IF($E1879="","",UPPER(SUBSTITUTE($E1879," ","")))</f>
        <v/>
      </c>
      <c r="K1879" s="10" t="str">
        <f aca="false">IF($A1879="","",$G1879&amp;"|"&amp;$J1879)</f>
        <v/>
      </c>
      <c r="L1879" s="10" t="str">
        <f aca="false">IF($A1879="","",ROW()-2)</f>
        <v/>
      </c>
      <c r="M1879" s="10" t="str">
        <f aca="false">IF($A1879="","",ROW())</f>
        <v/>
      </c>
    </row>
    <row r="1880" customFormat="false" ht="15" hidden="false" customHeight="true" outlineLevel="0" collapsed="false">
      <c r="A1880" s="8"/>
      <c r="B1880" s="8"/>
      <c r="C1880" s="8"/>
      <c r="D1880" s="8"/>
      <c r="E1880" s="8"/>
      <c r="F1880" s="8"/>
      <c r="G1880" s="10" t="str">
        <f aca="false">IF($A1880="","",UPPER(SUBSTITUTE(SUBSTITUTE(SUBSTITUTE(SUBSTITUTE($A1880," ",""),"(주)",""),"주식회사",""),"㈜","")))</f>
        <v/>
      </c>
      <c r="H1880" s="10" t="str">
        <f aca="false">IF($B1880="","",SUBSTITUTE(SUBSTITUTE(SUBSTITUTE($B1880,"-","")," ",""),".",""))</f>
        <v/>
      </c>
      <c r="I1880" s="10" t="str">
        <f aca="false">IF($D1880="","",SUBSTITUTE(SUBSTITUTE(SUBSTITUTE($D1880,"-","")," ",""),".",""))</f>
        <v/>
      </c>
      <c r="J1880" s="10" t="str">
        <f aca="false">IF($E1880="","",UPPER(SUBSTITUTE($E1880," ","")))</f>
        <v/>
      </c>
      <c r="K1880" s="10" t="str">
        <f aca="false">IF($A1880="","",$G1880&amp;"|"&amp;$J1880)</f>
        <v/>
      </c>
      <c r="L1880" s="10" t="str">
        <f aca="false">IF($A1880="","",ROW()-2)</f>
        <v/>
      </c>
      <c r="M1880" s="10" t="str">
        <f aca="false">IF($A1880="","",ROW())</f>
        <v/>
      </c>
    </row>
    <row r="1881" customFormat="false" ht="15" hidden="false" customHeight="true" outlineLevel="0" collapsed="false">
      <c r="A1881" s="8"/>
      <c r="B1881" s="8"/>
      <c r="C1881" s="8"/>
      <c r="D1881" s="8"/>
      <c r="E1881" s="8"/>
      <c r="F1881" s="8"/>
      <c r="G1881" s="10" t="str">
        <f aca="false">IF($A1881="","",UPPER(SUBSTITUTE(SUBSTITUTE(SUBSTITUTE(SUBSTITUTE($A1881," ",""),"(주)",""),"주식회사",""),"㈜","")))</f>
        <v/>
      </c>
      <c r="H1881" s="10" t="str">
        <f aca="false">IF($B1881="","",SUBSTITUTE(SUBSTITUTE(SUBSTITUTE($B1881,"-","")," ",""),".",""))</f>
        <v/>
      </c>
      <c r="I1881" s="10" t="str">
        <f aca="false">IF($D1881="","",SUBSTITUTE(SUBSTITUTE(SUBSTITUTE($D1881,"-","")," ",""),".",""))</f>
        <v/>
      </c>
      <c r="J1881" s="10" t="str">
        <f aca="false">IF($E1881="","",UPPER(SUBSTITUTE($E1881," ","")))</f>
        <v/>
      </c>
      <c r="K1881" s="10" t="str">
        <f aca="false">IF($A1881="","",$G1881&amp;"|"&amp;$J1881)</f>
        <v/>
      </c>
      <c r="L1881" s="10" t="str">
        <f aca="false">IF($A1881="","",ROW()-2)</f>
        <v/>
      </c>
      <c r="M1881" s="10" t="str">
        <f aca="false">IF($A1881="","",ROW())</f>
        <v/>
      </c>
    </row>
    <row r="1882" customFormat="false" ht="15" hidden="false" customHeight="true" outlineLevel="0" collapsed="false">
      <c r="A1882" s="8"/>
      <c r="B1882" s="8"/>
      <c r="C1882" s="8"/>
      <c r="D1882" s="8"/>
      <c r="E1882" s="8"/>
      <c r="F1882" s="8"/>
      <c r="G1882" s="10" t="str">
        <f aca="false">IF($A1882="","",UPPER(SUBSTITUTE(SUBSTITUTE(SUBSTITUTE(SUBSTITUTE($A1882," ",""),"(주)",""),"주식회사",""),"㈜","")))</f>
        <v/>
      </c>
      <c r="H1882" s="10" t="str">
        <f aca="false">IF($B1882="","",SUBSTITUTE(SUBSTITUTE(SUBSTITUTE($B1882,"-","")," ",""),".",""))</f>
        <v/>
      </c>
      <c r="I1882" s="10" t="str">
        <f aca="false">IF($D1882="","",SUBSTITUTE(SUBSTITUTE(SUBSTITUTE($D1882,"-","")," ",""),".",""))</f>
        <v/>
      </c>
      <c r="J1882" s="10" t="str">
        <f aca="false">IF($E1882="","",UPPER(SUBSTITUTE($E1882," ","")))</f>
        <v/>
      </c>
      <c r="K1882" s="10" t="str">
        <f aca="false">IF($A1882="","",$G1882&amp;"|"&amp;$J1882)</f>
        <v/>
      </c>
      <c r="L1882" s="10" t="str">
        <f aca="false">IF($A1882="","",ROW()-2)</f>
        <v/>
      </c>
      <c r="M1882" s="10" t="str">
        <f aca="false">IF($A1882="","",ROW())</f>
        <v/>
      </c>
    </row>
    <row r="1883" customFormat="false" ht="15" hidden="false" customHeight="true" outlineLevel="0" collapsed="false">
      <c r="A1883" s="8"/>
      <c r="B1883" s="8"/>
      <c r="C1883" s="8"/>
      <c r="D1883" s="8"/>
      <c r="E1883" s="8"/>
      <c r="F1883" s="8"/>
      <c r="G1883" s="10" t="str">
        <f aca="false">IF($A1883="","",UPPER(SUBSTITUTE(SUBSTITUTE(SUBSTITUTE(SUBSTITUTE($A1883," ",""),"(주)",""),"주식회사",""),"㈜","")))</f>
        <v/>
      </c>
      <c r="H1883" s="10" t="str">
        <f aca="false">IF($B1883="","",SUBSTITUTE(SUBSTITUTE(SUBSTITUTE($B1883,"-","")," ",""),".",""))</f>
        <v/>
      </c>
      <c r="I1883" s="10" t="str">
        <f aca="false">IF($D1883="","",SUBSTITUTE(SUBSTITUTE(SUBSTITUTE($D1883,"-","")," ",""),".",""))</f>
        <v/>
      </c>
      <c r="J1883" s="10" t="str">
        <f aca="false">IF($E1883="","",UPPER(SUBSTITUTE($E1883," ","")))</f>
        <v/>
      </c>
      <c r="K1883" s="10" t="str">
        <f aca="false">IF($A1883="","",$G1883&amp;"|"&amp;$J1883)</f>
        <v/>
      </c>
      <c r="L1883" s="10" t="str">
        <f aca="false">IF($A1883="","",ROW()-2)</f>
        <v/>
      </c>
      <c r="M1883" s="10" t="str">
        <f aca="false">IF($A1883="","",ROW())</f>
        <v/>
      </c>
    </row>
    <row r="1884" customFormat="false" ht="15" hidden="false" customHeight="true" outlineLevel="0" collapsed="false">
      <c r="A1884" s="8"/>
      <c r="B1884" s="8"/>
      <c r="C1884" s="8"/>
      <c r="D1884" s="8"/>
      <c r="E1884" s="8"/>
      <c r="F1884" s="8"/>
      <c r="G1884" s="10" t="str">
        <f aca="false">IF($A1884="","",UPPER(SUBSTITUTE(SUBSTITUTE(SUBSTITUTE(SUBSTITUTE($A1884," ",""),"(주)",""),"주식회사",""),"㈜","")))</f>
        <v/>
      </c>
      <c r="H1884" s="10" t="str">
        <f aca="false">IF($B1884="","",SUBSTITUTE(SUBSTITUTE(SUBSTITUTE($B1884,"-","")," ",""),".",""))</f>
        <v/>
      </c>
      <c r="I1884" s="10" t="str">
        <f aca="false">IF($D1884="","",SUBSTITUTE(SUBSTITUTE(SUBSTITUTE($D1884,"-","")," ",""),".",""))</f>
        <v/>
      </c>
      <c r="J1884" s="10" t="str">
        <f aca="false">IF($E1884="","",UPPER(SUBSTITUTE($E1884," ","")))</f>
        <v/>
      </c>
      <c r="K1884" s="10" t="str">
        <f aca="false">IF($A1884="","",$G1884&amp;"|"&amp;$J1884)</f>
        <v/>
      </c>
      <c r="L1884" s="10" t="str">
        <f aca="false">IF($A1884="","",ROW()-2)</f>
        <v/>
      </c>
      <c r="M1884" s="10" t="str">
        <f aca="false">IF($A1884="","",ROW())</f>
        <v/>
      </c>
    </row>
    <row r="1885" customFormat="false" ht="15" hidden="false" customHeight="true" outlineLevel="0" collapsed="false">
      <c r="A1885" s="8"/>
      <c r="B1885" s="8"/>
      <c r="C1885" s="8"/>
      <c r="D1885" s="8"/>
      <c r="E1885" s="8"/>
      <c r="F1885" s="8"/>
      <c r="G1885" s="10" t="str">
        <f aca="false">IF($A1885="","",UPPER(SUBSTITUTE(SUBSTITUTE(SUBSTITUTE(SUBSTITUTE($A1885," ",""),"(주)",""),"주식회사",""),"㈜","")))</f>
        <v/>
      </c>
      <c r="H1885" s="10" t="str">
        <f aca="false">IF($B1885="","",SUBSTITUTE(SUBSTITUTE(SUBSTITUTE($B1885,"-","")," ",""),".",""))</f>
        <v/>
      </c>
      <c r="I1885" s="10" t="str">
        <f aca="false">IF($D1885="","",SUBSTITUTE(SUBSTITUTE(SUBSTITUTE($D1885,"-","")," ",""),".",""))</f>
        <v/>
      </c>
      <c r="J1885" s="10" t="str">
        <f aca="false">IF($E1885="","",UPPER(SUBSTITUTE($E1885," ","")))</f>
        <v/>
      </c>
      <c r="K1885" s="10" t="str">
        <f aca="false">IF($A1885="","",$G1885&amp;"|"&amp;$J1885)</f>
        <v/>
      </c>
      <c r="L1885" s="10" t="str">
        <f aca="false">IF($A1885="","",ROW()-2)</f>
        <v/>
      </c>
      <c r="M1885" s="10" t="str">
        <f aca="false">IF($A1885="","",ROW())</f>
        <v/>
      </c>
    </row>
    <row r="1886" customFormat="false" ht="15" hidden="false" customHeight="true" outlineLevel="0" collapsed="false">
      <c r="A1886" s="8"/>
      <c r="B1886" s="8"/>
      <c r="C1886" s="8"/>
      <c r="D1886" s="8"/>
      <c r="E1886" s="8"/>
      <c r="F1886" s="8"/>
      <c r="G1886" s="10" t="str">
        <f aca="false">IF($A1886="","",UPPER(SUBSTITUTE(SUBSTITUTE(SUBSTITUTE(SUBSTITUTE($A1886," ",""),"(주)",""),"주식회사",""),"㈜","")))</f>
        <v/>
      </c>
      <c r="H1886" s="10" t="str">
        <f aca="false">IF($B1886="","",SUBSTITUTE(SUBSTITUTE(SUBSTITUTE($B1886,"-","")," ",""),".",""))</f>
        <v/>
      </c>
      <c r="I1886" s="10" t="str">
        <f aca="false">IF($D1886="","",SUBSTITUTE(SUBSTITUTE(SUBSTITUTE($D1886,"-","")," ",""),".",""))</f>
        <v/>
      </c>
      <c r="J1886" s="10" t="str">
        <f aca="false">IF($E1886="","",UPPER(SUBSTITUTE($E1886," ","")))</f>
        <v/>
      </c>
      <c r="K1886" s="10" t="str">
        <f aca="false">IF($A1886="","",$G1886&amp;"|"&amp;$J1886)</f>
        <v/>
      </c>
      <c r="L1886" s="10" t="str">
        <f aca="false">IF($A1886="","",ROW()-2)</f>
        <v/>
      </c>
      <c r="M1886" s="10" t="str">
        <f aca="false">IF($A1886="","",ROW())</f>
        <v/>
      </c>
    </row>
    <row r="1887" customFormat="false" ht="15" hidden="false" customHeight="true" outlineLevel="0" collapsed="false">
      <c r="A1887" s="8"/>
      <c r="B1887" s="8"/>
      <c r="C1887" s="8"/>
      <c r="D1887" s="8"/>
      <c r="E1887" s="8"/>
      <c r="F1887" s="8"/>
      <c r="G1887" s="10" t="str">
        <f aca="false">IF($A1887="","",UPPER(SUBSTITUTE(SUBSTITUTE(SUBSTITUTE(SUBSTITUTE($A1887," ",""),"(주)",""),"주식회사",""),"㈜","")))</f>
        <v/>
      </c>
      <c r="H1887" s="10" t="str">
        <f aca="false">IF($B1887="","",SUBSTITUTE(SUBSTITUTE(SUBSTITUTE($B1887,"-","")," ",""),".",""))</f>
        <v/>
      </c>
      <c r="I1887" s="10" t="str">
        <f aca="false">IF($D1887="","",SUBSTITUTE(SUBSTITUTE(SUBSTITUTE($D1887,"-","")," ",""),".",""))</f>
        <v/>
      </c>
      <c r="J1887" s="10" t="str">
        <f aca="false">IF($E1887="","",UPPER(SUBSTITUTE($E1887," ","")))</f>
        <v/>
      </c>
      <c r="K1887" s="10" t="str">
        <f aca="false">IF($A1887="","",$G1887&amp;"|"&amp;$J1887)</f>
        <v/>
      </c>
      <c r="L1887" s="10" t="str">
        <f aca="false">IF($A1887="","",ROW()-2)</f>
        <v/>
      </c>
      <c r="M1887" s="10" t="str">
        <f aca="false">IF($A1887="","",ROW())</f>
        <v/>
      </c>
    </row>
    <row r="1888" customFormat="false" ht="15" hidden="false" customHeight="true" outlineLevel="0" collapsed="false">
      <c r="A1888" s="8"/>
      <c r="B1888" s="8"/>
      <c r="C1888" s="8"/>
      <c r="D1888" s="8"/>
      <c r="E1888" s="8"/>
      <c r="F1888" s="8"/>
      <c r="G1888" s="10" t="str">
        <f aca="false">IF($A1888="","",UPPER(SUBSTITUTE(SUBSTITUTE(SUBSTITUTE(SUBSTITUTE($A1888," ",""),"(주)",""),"주식회사",""),"㈜","")))</f>
        <v/>
      </c>
      <c r="H1888" s="10" t="str">
        <f aca="false">IF($B1888="","",SUBSTITUTE(SUBSTITUTE(SUBSTITUTE($B1888,"-","")," ",""),".",""))</f>
        <v/>
      </c>
      <c r="I1888" s="10" t="str">
        <f aca="false">IF($D1888="","",SUBSTITUTE(SUBSTITUTE(SUBSTITUTE($D1888,"-","")," ",""),".",""))</f>
        <v/>
      </c>
      <c r="J1888" s="10" t="str">
        <f aca="false">IF($E1888="","",UPPER(SUBSTITUTE($E1888," ","")))</f>
        <v/>
      </c>
      <c r="K1888" s="10" t="str">
        <f aca="false">IF($A1888="","",$G1888&amp;"|"&amp;$J1888)</f>
        <v/>
      </c>
      <c r="L1888" s="10" t="str">
        <f aca="false">IF($A1888="","",ROW()-2)</f>
        <v/>
      </c>
      <c r="M1888" s="10" t="str">
        <f aca="false">IF($A1888="","",ROW())</f>
        <v/>
      </c>
    </row>
    <row r="1889" customFormat="false" ht="15" hidden="false" customHeight="true" outlineLevel="0" collapsed="false">
      <c r="A1889" s="8"/>
      <c r="B1889" s="8"/>
      <c r="C1889" s="8"/>
      <c r="D1889" s="8"/>
      <c r="E1889" s="8"/>
      <c r="F1889" s="8"/>
      <c r="G1889" s="10" t="str">
        <f aca="false">IF($A1889="","",UPPER(SUBSTITUTE(SUBSTITUTE(SUBSTITUTE(SUBSTITUTE($A1889," ",""),"(주)",""),"주식회사",""),"㈜","")))</f>
        <v/>
      </c>
      <c r="H1889" s="10" t="str">
        <f aca="false">IF($B1889="","",SUBSTITUTE(SUBSTITUTE(SUBSTITUTE($B1889,"-","")," ",""),".",""))</f>
        <v/>
      </c>
      <c r="I1889" s="10" t="str">
        <f aca="false">IF($D1889="","",SUBSTITUTE(SUBSTITUTE(SUBSTITUTE($D1889,"-","")," ",""),".",""))</f>
        <v/>
      </c>
      <c r="J1889" s="10" t="str">
        <f aca="false">IF($E1889="","",UPPER(SUBSTITUTE($E1889," ","")))</f>
        <v/>
      </c>
      <c r="K1889" s="10" t="str">
        <f aca="false">IF($A1889="","",$G1889&amp;"|"&amp;$J1889)</f>
        <v/>
      </c>
      <c r="L1889" s="10" t="str">
        <f aca="false">IF($A1889="","",ROW()-2)</f>
        <v/>
      </c>
      <c r="M1889" s="10" t="str">
        <f aca="false">IF($A1889="","",ROW())</f>
        <v/>
      </c>
    </row>
    <row r="1890" customFormat="false" ht="15" hidden="false" customHeight="true" outlineLevel="0" collapsed="false">
      <c r="A1890" s="8"/>
      <c r="B1890" s="8"/>
      <c r="C1890" s="8"/>
      <c r="D1890" s="8"/>
      <c r="E1890" s="8"/>
      <c r="F1890" s="8"/>
      <c r="G1890" s="10" t="str">
        <f aca="false">IF($A1890="","",UPPER(SUBSTITUTE(SUBSTITUTE(SUBSTITUTE(SUBSTITUTE($A1890," ",""),"(주)",""),"주식회사",""),"㈜","")))</f>
        <v/>
      </c>
      <c r="H1890" s="10" t="str">
        <f aca="false">IF($B1890="","",SUBSTITUTE(SUBSTITUTE(SUBSTITUTE($B1890,"-","")," ",""),".",""))</f>
        <v/>
      </c>
      <c r="I1890" s="10" t="str">
        <f aca="false">IF($D1890="","",SUBSTITUTE(SUBSTITUTE(SUBSTITUTE($D1890,"-","")," ",""),".",""))</f>
        <v/>
      </c>
      <c r="J1890" s="10" t="str">
        <f aca="false">IF($E1890="","",UPPER(SUBSTITUTE($E1890," ","")))</f>
        <v/>
      </c>
      <c r="K1890" s="10" t="str">
        <f aca="false">IF($A1890="","",$G1890&amp;"|"&amp;$J1890)</f>
        <v/>
      </c>
      <c r="L1890" s="10" t="str">
        <f aca="false">IF($A1890="","",ROW()-2)</f>
        <v/>
      </c>
      <c r="M1890" s="10" t="str">
        <f aca="false">IF($A1890="","",ROW())</f>
        <v/>
      </c>
    </row>
    <row r="1891" customFormat="false" ht="15" hidden="false" customHeight="true" outlineLevel="0" collapsed="false">
      <c r="A1891" s="8"/>
      <c r="B1891" s="8"/>
      <c r="C1891" s="8"/>
      <c r="D1891" s="8"/>
      <c r="E1891" s="8"/>
      <c r="F1891" s="8"/>
      <c r="G1891" s="10" t="str">
        <f aca="false">IF($A1891="","",UPPER(SUBSTITUTE(SUBSTITUTE(SUBSTITUTE(SUBSTITUTE($A1891," ",""),"(주)",""),"주식회사",""),"㈜","")))</f>
        <v/>
      </c>
      <c r="H1891" s="10" t="str">
        <f aca="false">IF($B1891="","",SUBSTITUTE(SUBSTITUTE(SUBSTITUTE($B1891,"-","")," ",""),".",""))</f>
        <v/>
      </c>
      <c r="I1891" s="10" t="str">
        <f aca="false">IF($D1891="","",SUBSTITUTE(SUBSTITUTE(SUBSTITUTE($D1891,"-","")," ",""),".",""))</f>
        <v/>
      </c>
      <c r="J1891" s="10" t="str">
        <f aca="false">IF($E1891="","",UPPER(SUBSTITUTE($E1891," ","")))</f>
        <v/>
      </c>
      <c r="K1891" s="10" t="str">
        <f aca="false">IF($A1891="","",$G1891&amp;"|"&amp;$J1891)</f>
        <v/>
      </c>
      <c r="L1891" s="10" t="str">
        <f aca="false">IF($A1891="","",ROW()-2)</f>
        <v/>
      </c>
      <c r="M1891" s="10" t="str">
        <f aca="false">IF($A1891="","",ROW())</f>
        <v/>
      </c>
    </row>
    <row r="1892" customFormat="false" ht="15" hidden="false" customHeight="true" outlineLevel="0" collapsed="false">
      <c r="A1892" s="8"/>
      <c r="B1892" s="8"/>
      <c r="C1892" s="8"/>
      <c r="D1892" s="8"/>
      <c r="E1892" s="8"/>
      <c r="F1892" s="8"/>
      <c r="G1892" s="10" t="str">
        <f aca="false">IF($A1892="","",UPPER(SUBSTITUTE(SUBSTITUTE(SUBSTITUTE(SUBSTITUTE($A1892," ",""),"(주)",""),"주식회사",""),"㈜","")))</f>
        <v/>
      </c>
      <c r="H1892" s="10" t="str">
        <f aca="false">IF($B1892="","",SUBSTITUTE(SUBSTITUTE(SUBSTITUTE($B1892,"-","")," ",""),".",""))</f>
        <v/>
      </c>
      <c r="I1892" s="10" t="str">
        <f aca="false">IF($D1892="","",SUBSTITUTE(SUBSTITUTE(SUBSTITUTE($D1892,"-","")," ",""),".",""))</f>
        <v/>
      </c>
      <c r="J1892" s="10" t="str">
        <f aca="false">IF($E1892="","",UPPER(SUBSTITUTE($E1892," ","")))</f>
        <v/>
      </c>
      <c r="K1892" s="10" t="str">
        <f aca="false">IF($A1892="","",$G1892&amp;"|"&amp;$J1892)</f>
        <v/>
      </c>
      <c r="L1892" s="10" t="str">
        <f aca="false">IF($A1892="","",ROW()-2)</f>
        <v/>
      </c>
      <c r="M1892" s="10" t="str">
        <f aca="false">IF($A1892="","",ROW())</f>
        <v/>
      </c>
    </row>
    <row r="1893" customFormat="false" ht="15" hidden="false" customHeight="true" outlineLevel="0" collapsed="false">
      <c r="A1893" s="8"/>
      <c r="B1893" s="8"/>
      <c r="C1893" s="8"/>
      <c r="D1893" s="8"/>
      <c r="E1893" s="8"/>
      <c r="F1893" s="8"/>
      <c r="G1893" s="10" t="str">
        <f aca="false">IF($A1893="","",UPPER(SUBSTITUTE(SUBSTITUTE(SUBSTITUTE(SUBSTITUTE($A1893," ",""),"(주)",""),"주식회사",""),"㈜","")))</f>
        <v/>
      </c>
      <c r="H1893" s="10" t="str">
        <f aca="false">IF($B1893="","",SUBSTITUTE(SUBSTITUTE(SUBSTITUTE($B1893,"-","")," ",""),".",""))</f>
        <v/>
      </c>
      <c r="I1893" s="10" t="str">
        <f aca="false">IF($D1893="","",SUBSTITUTE(SUBSTITUTE(SUBSTITUTE($D1893,"-","")," ",""),".",""))</f>
        <v/>
      </c>
      <c r="J1893" s="10" t="str">
        <f aca="false">IF($E1893="","",UPPER(SUBSTITUTE($E1893," ","")))</f>
        <v/>
      </c>
      <c r="K1893" s="10" t="str">
        <f aca="false">IF($A1893="","",$G1893&amp;"|"&amp;$J1893)</f>
        <v/>
      </c>
      <c r="L1893" s="10" t="str">
        <f aca="false">IF($A1893="","",ROW()-2)</f>
        <v/>
      </c>
      <c r="M1893" s="10" t="str">
        <f aca="false">IF($A1893="","",ROW())</f>
        <v/>
      </c>
    </row>
    <row r="1894" customFormat="false" ht="15" hidden="false" customHeight="true" outlineLevel="0" collapsed="false">
      <c r="A1894" s="8"/>
      <c r="B1894" s="8"/>
      <c r="C1894" s="8"/>
      <c r="D1894" s="8"/>
      <c r="E1894" s="8"/>
      <c r="F1894" s="8"/>
      <c r="G1894" s="10" t="str">
        <f aca="false">IF($A1894="","",UPPER(SUBSTITUTE(SUBSTITUTE(SUBSTITUTE(SUBSTITUTE($A1894," ",""),"(주)",""),"주식회사",""),"㈜","")))</f>
        <v/>
      </c>
      <c r="H1894" s="10" t="str">
        <f aca="false">IF($B1894="","",SUBSTITUTE(SUBSTITUTE(SUBSTITUTE($B1894,"-","")," ",""),".",""))</f>
        <v/>
      </c>
      <c r="I1894" s="10" t="str">
        <f aca="false">IF($D1894="","",SUBSTITUTE(SUBSTITUTE(SUBSTITUTE($D1894,"-","")," ",""),".",""))</f>
        <v/>
      </c>
      <c r="J1894" s="10" t="str">
        <f aca="false">IF($E1894="","",UPPER(SUBSTITUTE($E1894," ","")))</f>
        <v/>
      </c>
      <c r="K1894" s="10" t="str">
        <f aca="false">IF($A1894="","",$G1894&amp;"|"&amp;$J1894)</f>
        <v/>
      </c>
      <c r="L1894" s="10" t="str">
        <f aca="false">IF($A1894="","",ROW()-2)</f>
        <v/>
      </c>
      <c r="M1894" s="10" t="str">
        <f aca="false">IF($A1894="","",ROW())</f>
        <v/>
      </c>
    </row>
    <row r="1895" customFormat="false" ht="15" hidden="false" customHeight="true" outlineLevel="0" collapsed="false">
      <c r="A1895" s="8"/>
      <c r="B1895" s="8"/>
      <c r="C1895" s="8"/>
      <c r="D1895" s="8"/>
      <c r="E1895" s="8"/>
      <c r="F1895" s="8"/>
      <c r="G1895" s="10" t="str">
        <f aca="false">IF($A1895="","",UPPER(SUBSTITUTE(SUBSTITUTE(SUBSTITUTE(SUBSTITUTE($A1895," ",""),"(주)",""),"주식회사",""),"㈜","")))</f>
        <v/>
      </c>
      <c r="H1895" s="10" t="str">
        <f aca="false">IF($B1895="","",SUBSTITUTE(SUBSTITUTE(SUBSTITUTE($B1895,"-","")," ",""),".",""))</f>
        <v/>
      </c>
      <c r="I1895" s="10" t="str">
        <f aca="false">IF($D1895="","",SUBSTITUTE(SUBSTITUTE(SUBSTITUTE($D1895,"-","")," ",""),".",""))</f>
        <v/>
      </c>
      <c r="J1895" s="10" t="str">
        <f aca="false">IF($E1895="","",UPPER(SUBSTITUTE($E1895," ","")))</f>
        <v/>
      </c>
      <c r="K1895" s="10" t="str">
        <f aca="false">IF($A1895="","",$G1895&amp;"|"&amp;$J1895)</f>
        <v/>
      </c>
      <c r="L1895" s="10" t="str">
        <f aca="false">IF($A1895="","",ROW()-2)</f>
        <v/>
      </c>
      <c r="M1895" s="10" t="str">
        <f aca="false">IF($A1895="","",ROW())</f>
        <v/>
      </c>
    </row>
    <row r="1896" customFormat="false" ht="15" hidden="false" customHeight="true" outlineLevel="0" collapsed="false">
      <c r="A1896" s="8"/>
      <c r="B1896" s="8"/>
      <c r="C1896" s="8"/>
      <c r="D1896" s="8"/>
      <c r="E1896" s="8"/>
      <c r="F1896" s="8"/>
      <c r="G1896" s="10" t="str">
        <f aca="false">IF($A1896="","",UPPER(SUBSTITUTE(SUBSTITUTE(SUBSTITUTE(SUBSTITUTE($A1896," ",""),"(주)",""),"주식회사",""),"㈜","")))</f>
        <v/>
      </c>
      <c r="H1896" s="10" t="str">
        <f aca="false">IF($B1896="","",SUBSTITUTE(SUBSTITUTE(SUBSTITUTE($B1896,"-","")," ",""),".",""))</f>
        <v/>
      </c>
      <c r="I1896" s="10" t="str">
        <f aca="false">IF($D1896="","",SUBSTITUTE(SUBSTITUTE(SUBSTITUTE($D1896,"-","")," ",""),".",""))</f>
        <v/>
      </c>
      <c r="J1896" s="10" t="str">
        <f aca="false">IF($E1896="","",UPPER(SUBSTITUTE($E1896," ","")))</f>
        <v/>
      </c>
      <c r="K1896" s="10" t="str">
        <f aca="false">IF($A1896="","",$G1896&amp;"|"&amp;$J1896)</f>
        <v/>
      </c>
      <c r="L1896" s="10" t="str">
        <f aca="false">IF($A1896="","",ROW()-2)</f>
        <v/>
      </c>
      <c r="M1896" s="10" t="str">
        <f aca="false">IF($A1896="","",ROW())</f>
        <v/>
      </c>
    </row>
    <row r="1897" customFormat="false" ht="15" hidden="false" customHeight="true" outlineLevel="0" collapsed="false">
      <c r="A1897" s="8"/>
      <c r="B1897" s="8"/>
      <c r="C1897" s="8"/>
      <c r="D1897" s="8"/>
      <c r="E1897" s="8"/>
      <c r="F1897" s="8"/>
      <c r="G1897" s="10" t="str">
        <f aca="false">IF($A1897="","",UPPER(SUBSTITUTE(SUBSTITUTE(SUBSTITUTE(SUBSTITUTE($A1897," ",""),"(주)",""),"주식회사",""),"㈜","")))</f>
        <v/>
      </c>
      <c r="H1897" s="10" t="str">
        <f aca="false">IF($B1897="","",SUBSTITUTE(SUBSTITUTE(SUBSTITUTE($B1897,"-","")," ",""),".",""))</f>
        <v/>
      </c>
      <c r="I1897" s="10" t="str">
        <f aca="false">IF($D1897="","",SUBSTITUTE(SUBSTITUTE(SUBSTITUTE($D1897,"-","")," ",""),".",""))</f>
        <v/>
      </c>
      <c r="J1897" s="10" t="str">
        <f aca="false">IF($E1897="","",UPPER(SUBSTITUTE($E1897," ","")))</f>
        <v/>
      </c>
      <c r="K1897" s="10" t="str">
        <f aca="false">IF($A1897="","",$G1897&amp;"|"&amp;$J1897)</f>
        <v/>
      </c>
      <c r="L1897" s="10" t="str">
        <f aca="false">IF($A1897="","",ROW()-2)</f>
        <v/>
      </c>
      <c r="M1897" s="10" t="str">
        <f aca="false">IF($A1897="","",ROW())</f>
        <v/>
      </c>
    </row>
    <row r="1898" customFormat="false" ht="15" hidden="false" customHeight="true" outlineLevel="0" collapsed="false">
      <c r="A1898" s="8"/>
      <c r="B1898" s="8"/>
      <c r="C1898" s="8"/>
      <c r="D1898" s="8"/>
      <c r="E1898" s="8"/>
      <c r="F1898" s="8"/>
      <c r="G1898" s="10" t="str">
        <f aca="false">IF($A1898="","",UPPER(SUBSTITUTE(SUBSTITUTE(SUBSTITUTE(SUBSTITUTE($A1898," ",""),"(주)",""),"주식회사",""),"㈜","")))</f>
        <v/>
      </c>
      <c r="H1898" s="10" t="str">
        <f aca="false">IF($B1898="","",SUBSTITUTE(SUBSTITUTE(SUBSTITUTE($B1898,"-","")," ",""),".",""))</f>
        <v/>
      </c>
      <c r="I1898" s="10" t="str">
        <f aca="false">IF($D1898="","",SUBSTITUTE(SUBSTITUTE(SUBSTITUTE($D1898,"-","")," ",""),".",""))</f>
        <v/>
      </c>
      <c r="J1898" s="10" t="str">
        <f aca="false">IF($E1898="","",UPPER(SUBSTITUTE($E1898," ","")))</f>
        <v/>
      </c>
      <c r="K1898" s="10" t="str">
        <f aca="false">IF($A1898="","",$G1898&amp;"|"&amp;$J1898)</f>
        <v/>
      </c>
      <c r="L1898" s="10" t="str">
        <f aca="false">IF($A1898="","",ROW()-2)</f>
        <v/>
      </c>
      <c r="M1898" s="10" t="str">
        <f aca="false">IF($A1898="","",ROW())</f>
        <v/>
      </c>
    </row>
    <row r="1899" customFormat="false" ht="15" hidden="false" customHeight="true" outlineLevel="0" collapsed="false">
      <c r="A1899" s="8"/>
      <c r="B1899" s="8"/>
      <c r="C1899" s="8"/>
      <c r="D1899" s="8"/>
      <c r="E1899" s="8"/>
      <c r="F1899" s="8"/>
      <c r="G1899" s="10" t="str">
        <f aca="false">IF($A1899="","",UPPER(SUBSTITUTE(SUBSTITUTE(SUBSTITUTE(SUBSTITUTE($A1899," ",""),"(주)",""),"주식회사",""),"㈜","")))</f>
        <v/>
      </c>
      <c r="H1899" s="10" t="str">
        <f aca="false">IF($B1899="","",SUBSTITUTE(SUBSTITUTE(SUBSTITUTE($B1899,"-","")," ",""),".",""))</f>
        <v/>
      </c>
      <c r="I1899" s="10" t="str">
        <f aca="false">IF($D1899="","",SUBSTITUTE(SUBSTITUTE(SUBSTITUTE($D1899,"-","")," ",""),".",""))</f>
        <v/>
      </c>
      <c r="J1899" s="10" t="str">
        <f aca="false">IF($E1899="","",UPPER(SUBSTITUTE($E1899," ","")))</f>
        <v/>
      </c>
      <c r="K1899" s="10" t="str">
        <f aca="false">IF($A1899="","",$G1899&amp;"|"&amp;$J1899)</f>
        <v/>
      </c>
      <c r="L1899" s="10" t="str">
        <f aca="false">IF($A1899="","",ROW()-2)</f>
        <v/>
      </c>
      <c r="M1899" s="10" t="str">
        <f aca="false">IF($A1899="","",ROW())</f>
        <v/>
      </c>
    </row>
    <row r="1900" customFormat="false" ht="15" hidden="false" customHeight="true" outlineLevel="0" collapsed="false">
      <c r="A1900" s="8"/>
      <c r="B1900" s="8"/>
      <c r="C1900" s="8"/>
      <c r="D1900" s="8"/>
      <c r="E1900" s="8"/>
      <c r="F1900" s="8"/>
      <c r="G1900" s="10" t="str">
        <f aca="false">IF($A1900="","",UPPER(SUBSTITUTE(SUBSTITUTE(SUBSTITUTE(SUBSTITUTE($A1900," ",""),"(주)",""),"주식회사",""),"㈜","")))</f>
        <v/>
      </c>
      <c r="H1900" s="10" t="str">
        <f aca="false">IF($B1900="","",SUBSTITUTE(SUBSTITUTE(SUBSTITUTE($B1900,"-","")," ",""),".",""))</f>
        <v/>
      </c>
      <c r="I1900" s="10" t="str">
        <f aca="false">IF($D1900="","",SUBSTITUTE(SUBSTITUTE(SUBSTITUTE($D1900,"-","")," ",""),".",""))</f>
        <v/>
      </c>
      <c r="J1900" s="10" t="str">
        <f aca="false">IF($E1900="","",UPPER(SUBSTITUTE($E1900," ","")))</f>
        <v/>
      </c>
      <c r="K1900" s="10" t="str">
        <f aca="false">IF($A1900="","",$G1900&amp;"|"&amp;$J1900)</f>
        <v/>
      </c>
      <c r="L1900" s="10" t="str">
        <f aca="false">IF($A1900="","",ROW()-2)</f>
        <v/>
      </c>
      <c r="M1900" s="10" t="str">
        <f aca="false">IF($A1900="","",ROW())</f>
        <v/>
      </c>
    </row>
    <row r="1901" customFormat="false" ht="15" hidden="false" customHeight="true" outlineLevel="0" collapsed="false">
      <c r="A1901" s="8"/>
      <c r="B1901" s="8"/>
      <c r="C1901" s="8"/>
      <c r="D1901" s="8"/>
      <c r="E1901" s="8"/>
      <c r="F1901" s="8"/>
      <c r="G1901" s="10" t="str">
        <f aca="false">IF($A1901="","",UPPER(SUBSTITUTE(SUBSTITUTE(SUBSTITUTE(SUBSTITUTE($A1901," ",""),"(주)",""),"주식회사",""),"㈜","")))</f>
        <v/>
      </c>
      <c r="H1901" s="10" t="str">
        <f aca="false">IF($B1901="","",SUBSTITUTE(SUBSTITUTE(SUBSTITUTE($B1901,"-","")," ",""),".",""))</f>
        <v/>
      </c>
      <c r="I1901" s="10" t="str">
        <f aca="false">IF($D1901="","",SUBSTITUTE(SUBSTITUTE(SUBSTITUTE($D1901,"-","")," ",""),".",""))</f>
        <v/>
      </c>
      <c r="J1901" s="10" t="str">
        <f aca="false">IF($E1901="","",UPPER(SUBSTITUTE($E1901," ","")))</f>
        <v/>
      </c>
      <c r="K1901" s="10" t="str">
        <f aca="false">IF($A1901="","",$G1901&amp;"|"&amp;$J1901)</f>
        <v/>
      </c>
      <c r="L1901" s="10" t="str">
        <f aca="false">IF($A1901="","",ROW()-2)</f>
        <v/>
      </c>
      <c r="M1901" s="10" t="str">
        <f aca="false">IF($A1901="","",ROW())</f>
        <v/>
      </c>
    </row>
    <row r="1902" customFormat="false" ht="15" hidden="false" customHeight="true" outlineLevel="0" collapsed="false">
      <c r="A1902" s="8"/>
      <c r="B1902" s="8"/>
      <c r="C1902" s="8"/>
      <c r="D1902" s="8"/>
      <c r="E1902" s="8"/>
      <c r="F1902" s="8"/>
      <c r="G1902" s="10" t="str">
        <f aca="false">IF($A1902="","",UPPER(SUBSTITUTE(SUBSTITUTE(SUBSTITUTE(SUBSTITUTE($A1902," ",""),"(주)",""),"주식회사",""),"㈜","")))</f>
        <v/>
      </c>
      <c r="H1902" s="10" t="str">
        <f aca="false">IF($B1902="","",SUBSTITUTE(SUBSTITUTE(SUBSTITUTE($B1902,"-","")," ",""),".",""))</f>
        <v/>
      </c>
      <c r="I1902" s="10" t="str">
        <f aca="false">IF($D1902="","",SUBSTITUTE(SUBSTITUTE(SUBSTITUTE($D1902,"-","")," ",""),".",""))</f>
        <v/>
      </c>
      <c r="J1902" s="10" t="str">
        <f aca="false">IF($E1902="","",UPPER(SUBSTITUTE($E1902," ","")))</f>
        <v/>
      </c>
      <c r="K1902" s="10" t="str">
        <f aca="false">IF($A1902="","",$G1902&amp;"|"&amp;$J1902)</f>
        <v/>
      </c>
      <c r="L1902" s="10" t="str">
        <f aca="false">IF($A1902="","",ROW()-2)</f>
        <v/>
      </c>
      <c r="M1902" s="10" t="str">
        <f aca="false">IF($A1902="","",ROW())</f>
        <v/>
      </c>
    </row>
    <row r="1903" customFormat="false" ht="15" hidden="false" customHeight="true" outlineLevel="0" collapsed="false">
      <c r="A1903" s="8"/>
      <c r="B1903" s="8"/>
      <c r="C1903" s="8"/>
      <c r="D1903" s="8"/>
      <c r="E1903" s="8"/>
      <c r="F1903" s="8"/>
      <c r="G1903" s="10" t="str">
        <f aca="false">IF($A1903="","",UPPER(SUBSTITUTE(SUBSTITUTE(SUBSTITUTE(SUBSTITUTE($A1903," ",""),"(주)",""),"주식회사",""),"㈜","")))</f>
        <v/>
      </c>
      <c r="H1903" s="10" t="str">
        <f aca="false">IF($B1903="","",SUBSTITUTE(SUBSTITUTE(SUBSTITUTE($B1903,"-","")," ",""),".",""))</f>
        <v/>
      </c>
      <c r="I1903" s="10" t="str">
        <f aca="false">IF($D1903="","",SUBSTITUTE(SUBSTITUTE(SUBSTITUTE($D1903,"-","")," ",""),".",""))</f>
        <v/>
      </c>
      <c r="J1903" s="10" t="str">
        <f aca="false">IF($E1903="","",UPPER(SUBSTITUTE($E1903," ","")))</f>
        <v/>
      </c>
      <c r="K1903" s="10" t="str">
        <f aca="false">IF($A1903="","",$G1903&amp;"|"&amp;$J1903)</f>
        <v/>
      </c>
      <c r="L1903" s="10" t="str">
        <f aca="false">IF($A1903="","",ROW()-2)</f>
        <v/>
      </c>
      <c r="M1903" s="10" t="str">
        <f aca="false">IF($A1903="","",ROW())</f>
        <v/>
      </c>
    </row>
    <row r="1904" customFormat="false" ht="15" hidden="false" customHeight="true" outlineLevel="0" collapsed="false">
      <c r="A1904" s="8"/>
      <c r="B1904" s="8"/>
      <c r="C1904" s="8"/>
      <c r="D1904" s="8"/>
      <c r="E1904" s="8"/>
      <c r="F1904" s="8"/>
      <c r="G1904" s="10" t="str">
        <f aca="false">IF($A1904="","",UPPER(SUBSTITUTE(SUBSTITUTE(SUBSTITUTE(SUBSTITUTE($A1904," ",""),"(주)",""),"주식회사",""),"㈜","")))</f>
        <v/>
      </c>
      <c r="H1904" s="10" t="str">
        <f aca="false">IF($B1904="","",SUBSTITUTE(SUBSTITUTE(SUBSTITUTE($B1904,"-","")," ",""),".",""))</f>
        <v/>
      </c>
      <c r="I1904" s="10" t="str">
        <f aca="false">IF($D1904="","",SUBSTITUTE(SUBSTITUTE(SUBSTITUTE($D1904,"-","")," ",""),".",""))</f>
        <v/>
      </c>
      <c r="J1904" s="10" t="str">
        <f aca="false">IF($E1904="","",UPPER(SUBSTITUTE($E1904," ","")))</f>
        <v/>
      </c>
      <c r="K1904" s="10" t="str">
        <f aca="false">IF($A1904="","",$G1904&amp;"|"&amp;$J1904)</f>
        <v/>
      </c>
      <c r="L1904" s="10" t="str">
        <f aca="false">IF($A1904="","",ROW()-2)</f>
        <v/>
      </c>
      <c r="M1904" s="10" t="str">
        <f aca="false">IF($A1904="","",ROW())</f>
        <v/>
      </c>
    </row>
    <row r="1905" customFormat="false" ht="15" hidden="false" customHeight="true" outlineLevel="0" collapsed="false">
      <c r="A1905" s="8"/>
      <c r="B1905" s="8"/>
      <c r="C1905" s="8"/>
      <c r="D1905" s="8"/>
      <c r="E1905" s="8"/>
      <c r="F1905" s="8"/>
      <c r="G1905" s="10" t="str">
        <f aca="false">IF($A1905="","",UPPER(SUBSTITUTE(SUBSTITUTE(SUBSTITUTE(SUBSTITUTE($A1905," ",""),"(주)",""),"주식회사",""),"㈜","")))</f>
        <v/>
      </c>
      <c r="H1905" s="10" t="str">
        <f aca="false">IF($B1905="","",SUBSTITUTE(SUBSTITUTE(SUBSTITUTE($B1905,"-","")," ",""),".",""))</f>
        <v/>
      </c>
      <c r="I1905" s="10" t="str">
        <f aca="false">IF($D1905="","",SUBSTITUTE(SUBSTITUTE(SUBSTITUTE($D1905,"-","")," ",""),".",""))</f>
        <v/>
      </c>
      <c r="J1905" s="10" t="str">
        <f aca="false">IF($E1905="","",UPPER(SUBSTITUTE($E1905," ","")))</f>
        <v/>
      </c>
      <c r="K1905" s="10" t="str">
        <f aca="false">IF($A1905="","",$G1905&amp;"|"&amp;$J1905)</f>
        <v/>
      </c>
      <c r="L1905" s="10" t="str">
        <f aca="false">IF($A1905="","",ROW()-2)</f>
        <v/>
      </c>
      <c r="M1905" s="10" t="str">
        <f aca="false">IF($A1905="","",ROW())</f>
        <v/>
      </c>
    </row>
    <row r="1906" customFormat="false" ht="15" hidden="false" customHeight="true" outlineLevel="0" collapsed="false">
      <c r="A1906" s="8"/>
      <c r="B1906" s="8"/>
      <c r="C1906" s="8"/>
      <c r="D1906" s="8"/>
      <c r="E1906" s="8"/>
      <c r="F1906" s="8"/>
      <c r="G1906" s="10" t="str">
        <f aca="false">IF($A1906="","",UPPER(SUBSTITUTE(SUBSTITUTE(SUBSTITUTE(SUBSTITUTE($A1906," ",""),"(주)",""),"주식회사",""),"㈜","")))</f>
        <v/>
      </c>
      <c r="H1906" s="10" t="str">
        <f aca="false">IF($B1906="","",SUBSTITUTE(SUBSTITUTE(SUBSTITUTE($B1906,"-","")," ",""),".",""))</f>
        <v/>
      </c>
      <c r="I1906" s="10" t="str">
        <f aca="false">IF($D1906="","",SUBSTITUTE(SUBSTITUTE(SUBSTITUTE($D1906,"-","")," ",""),".",""))</f>
        <v/>
      </c>
      <c r="J1906" s="10" t="str">
        <f aca="false">IF($E1906="","",UPPER(SUBSTITUTE($E1906," ","")))</f>
        <v/>
      </c>
      <c r="K1906" s="10" t="str">
        <f aca="false">IF($A1906="","",$G1906&amp;"|"&amp;$J1906)</f>
        <v/>
      </c>
      <c r="L1906" s="10" t="str">
        <f aca="false">IF($A1906="","",ROW()-2)</f>
        <v/>
      </c>
      <c r="M1906" s="10" t="str">
        <f aca="false">IF($A1906="","",ROW())</f>
        <v/>
      </c>
    </row>
    <row r="1907" customFormat="false" ht="15" hidden="false" customHeight="true" outlineLevel="0" collapsed="false">
      <c r="A1907" s="8"/>
      <c r="B1907" s="8"/>
      <c r="C1907" s="8"/>
      <c r="D1907" s="8"/>
      <c r="E1907" s="8"/>
      <c r="F1907" s="8"/>
      <c r="G1907" s="10" t="str">
        <f aca="false">IF($A1907="","",UPPER(SUBSTITUTE(SUBSTITUTE(SUBSTITUTE(SUBSTITUTE($A1907," ",""),"(주)",""),"주식회사",""),"㈜","")))</f>
        <v/>
      </c>
      <c r="H1907" s="10" t="str">
        <f aca="false">IF($B1907="","",SUBSTITUTE(SUBSTITUTE(SUBSTITUTE($B1907,"-","")," ",""),".",""))</f>
        <v/>
      </c>
      <c r="I1907" s="10" t="str">
        <f aca="false">IF($D1907="","",SUBSTITUTE(SUBSTITUTE(SUBSTITUTE($D1907,"-","")," ",""),".",""))</f>
        <v/>
      </c>
      <c r="J1907" s="10" t="str">
        <f aca="false">IF($E1907="","",UPPER(SUBSTITUTE($E1907," ","")))</f>
        <v/>
      </c>
      <c r="K1907" s="10" t="str">
        <f aca="false">IF($A1907="","",$G1907&amp;"|"&amp;$J1907)</f>
        <v/>
      </c>
      <c r="L1907" s="10" t="str">
        <f aca="false">IF($A1907="","",ROW()-2)</f>
        <v/>
      </c>
      <c r="M1907" s="10" t="str">
        <f aca="false">IF($A1907="","",ROW())</f>
        <v/>
      </c>
    </row>
    <row r="1908" customFormat="false" ht="15" hidden="false" customHeight="true" outlineLevel="0" collapsed="false">
      <c r="A1908" s="8"/>
      <c r="B1908" s="8"/>
      <c r="C1908" s="8"/>
      <c r="D1908" s="8"/>
      <c r="E1908" s="8"/>
      <c r="F1908" s="8"/>
      <c r="G1908" s="10" t="str">
        <f aca="false">IF($A1908="","",UPPER(SUBSTITUTE(SUBSTITUTE(SUBSTITUTE(SUBSTITUTE($A1908," ",""),"(주)",""),"주식회사",""),"㈜","")))</f>
        <v/>
      </c>
      <c r="H1908" s="10" t="str">
        <f aca="false">IF($B1908="","",SUBSTITUTE(SUBSTITUTE(SUBSTITUTE($B1908,"-","")," ",""),".",""))</f>
        <v/>
      </c>
      <c r="I1908" s="10" t="str">
        <f aca="false">IF($D1908="","",SUBSTITUTE(SUBSTITUTE(SUBSTITUTE($D1908,"-","")," ",""),".",""))</f>
        <v/>
      </c>
      <c r="J1908" s="10" t="str">
        <f aca="false">IF($E1908="","",UPPER(SUBSTITUTE($E1908," ","")))</f>
        <v/>
      </c>
      <c r="K1908" s="10" t="str">
        <f aca="false">IF($A1908="","",$G1908&amp;"|"&amp;$J1908)</f>
        <v/>
      </c>
      <c r="L1908" s="10" t="str">
        <f aca="false">IF($A1908="","",ROW()-2)</f>
        <v/>
      </c>
      <c r="M1908" s="10" t="str">
        <f aca="false">IF($A1908="","",ROW())</f>
        <v/>
      </c>
    </row>
    <row r="1909" customFormat="false" ht="15" hidden="false" customHeight="true" outlineLevel="0" collapsed="false">
      <c r="A1909" s="8"/>
      <c r="B1909" s="8"/>
      <c r="C1909" s="8"/>
      <c r="D1909" s="8"/>
      <c r="E1909" s="8"/>
      <c r="F1909" s="8"/>
      <c r="G1909" s="10" t="str">
        <f aca="false">IF($A1909="","",UPPER(SUBSTITUTE(SUBSTITUTE(SUBSTITUTE(SUBSTITUTE($A1909," ",""),"(주)",""),"주식회사",""),"㈜","")))</f>
        <v/>
      </c>
      <c r="H1909" s="10" t="str">
        <f aca="false">IF($B1909="","",SUBSTITUTE(SUBSTITUTE(SUBSTITUTE($B1909,"-","")," ",""),".",""))</f>
        <v/>
      </c>
      <c r="I1909" s="10" t="str">
        <f aca="false">IF($D1909="","",SUBSTITUTE(SUBSTITUTE(SUBSTITUTE($D1909,"-","")," ",""),".",""))</f>
        <v/>
      </c>
      <c r="J1909" s="10" t="str">
        <f aca="false">IF($E1909="","",UPPER(SUBSTITUTE($E1909," ","")))</f>
        <v/>
      </c>
      <c r="K1909" s="10" t="str">
        <f aca="false">IF($A1909="","",$G1909&amp;"|"&amp;$J1909)</f>
        <v/>
      </c>
      <c r="L1909" s="10" t="str">
        <f aca="false">IF($A1909="","",ROW()-2)</f>
        <v/>
      </c>
      <c r="M1909" s="10" t="str">
        <f aca="false">IF($A1909="","",ROW())</f>
        <v/>
      </c>
    </row>
    <row r="1910" customFormat="false" ht="15" hidden="false" customHeight="true" outlineLevel="0" collapsed="false">
      <c r="A1910" s="8"/>
      <c r="B1910" s="8"/>
      <c r="C1910" s="8"/>
      <c r="D1910" s="8"/>
      <c r="E1910" s="8"/>
      <c r="F1910" s="8"/>
      <c r="G1910" s="10" t="str">
        <f aca="false">IF($A1910="","",UPPER(SUBSTITUTE(SUBSTITUTE(SUBSTITUTE(SUBSTITUTE($A1910," ",""),"(주)",""),"주식회사",""),"㈜","")))</f>
        <v/>
      </c>
      <c r="H1910" s="10" t="str">
        <f aca="false">IF($B1910="","",SUBSTITUTE(SUBSTITUTE(SUBSTITUTE($B1910,"-","")," ",""),".",""))</f>
        <v/>
      </c>
      <c r="I1910" s="10" t="str">
        <f aca="false">IF($D1910="","",SUBSTITUTE(SUBSTITUTE(SUBSTITUTE($D1910,"-","")," ",""),".",""))</f>
        <v/>
      </c>
      <c r="J1910" s="10" t="str">
        <f aca="false">IF($E1910="","",UPPER(SUBSTITUTE($E1910," ","")))</f>
        <v/>
      </c>
      <c r="K1910" s="10" t="str">
        <f aca="false">IF($A1910="","",$G1910&amp;"|"&amp;$J1910)</f>
        <v/>
      </c>
      <c r="L1910" s="10" t="str">
        <f aca="false">IF($A1910="","",ROW()-2)</f>
        <v/>
      </c>
      <c r="M1910" s="10" t="str">
        <f aca="false">IF($A1910="","",ROW())</f>
        <v/>
      </c>
    </row>
    <row r="1911" customFormat="false" ht="15" hidden="false" customHeight="true" outlineLevel="0" collapsed="false">
      <c r="A1911" s="8"/>
      <c r="B1911" s="8"/>
      <c r="C1911" s="8"/>
      <c r="D1911" s="8"/>
      <c r="E1911" s="8"/>
      <c r="F1911" s="8"/>
      <c r="G1911" s="10" t="str">
        <f aca="false">IF($A1911="","",UPPER(SUBSTITUTE(SUBSTITUTE(SUBSTITUTE(SUBSTITUTE($A1911," ",""),"(주)",""),"주식회사",""),"㈜","")))</f>
        <v/>
      </c>
      <c r="H1911" s="10" t="str">
        <f aca="false">IF($B1911="","",SUBSTITUTE(SUBSTITUTE(SUBSTITUTE($B1911,"-","")," ",""),".",""))</f>
        <v/>
      </c>
      <c r="I1911" s="10" t="str">
        <f aca="false">IF($D1911="","",SUBSTITUTE(SUBSTITUTE(SUBSTITUTE($D1911,"-","")," ",""),".",""))</f>
        <v/>
      </c>
      <c r="J1911" s="10" t="str">
        <f aca="false">IF($E1911="","",UPPER(SUBSTITUTE($E1911," ","")))</f>
        <v/>
      </c>
      <c r="K1911" s="10" t="str">
        <f aca="false">IF($A1911="","",$G1911&amp;"|"&amp;$J1911)</f>
        <v/>
      </c>
      <c r="L1911" s="10" t="str">
        <f aca="false">IF($A1911="","",ROW()-2)</f>
        <v/>
      </c>
      <c r="M1911" s="10" t="str">
        <f aca="false">IF($A1911="","",ROW())</f>
        <v/>
      </c>
    </row>
    <row r="1912" customFormat="false" ht="15" hidden="false" customHeight="true" outlineLevel="0" collapsed="false">
      <c r="A1912" s="8"/>
      <c r="B1912" s="8"/>
      <c r="C1912" s="8"/>
      <c r="D1912" s="8"/>
      <c r="E1912" s="8"/>
      <c r="F1912" s="8"/>
      <c r="G1912" s="10" t="str">
        <f aca="false">IF($A1912="","",UPPER(SUBSTITUTE(SUBSTITUTE(SUBSTITUTE(SUBSTITUTE($A1912," ",""),"(주)",""),"주식회사",""),"㈜","")))</f>
        <v/>
      </c>
      <c r="H1912" s="10" t="str">
        <f aca="false">IF($B1912="","",SUBSTITUTE(SUBSTITUTE(SUBSTITUTE($B1912,"-","")," ",""),".",""))</f>
        <v/>
      </c>
      <c r="I1912" s="10" t="str">
        <f aca="false">IF($D1912="","",SUBSTITUTE(SUBSTITUTE(SUBSTITUTE($D1912,"-","")," ",""),".",""))</f>
        <v/>
      </c>
      <c r="J1912" s="10" t="str">
        <f aca="false">IF($E1912="","",UPPER(SUBSTITUTE($E1912," ","")))</f>
        <v/>
      </c>
      <c r="K1912" s="10" t="str">
        <f aca="false">IF($A1912="","",$G1912&amp;"|"&amp;$J1912)</f>
        <v/>
      </c>
      <c r="L1912" s="10" t="str">
        <f aca="false">IF($A1912="","",ROW()-2)</f>
        <v/>
      </c>
      <c r="M1912" s="10" t="str">
        <f aca="false">IF($A1912="","",ROW())</f>
        <v/>
      </c>
    </row>
    <row r="1913" customFormat="false" ht="15" hidden="false" customHeight="true" outlineLevel="0" collapsed="false">
      <c r="A1913" s="8"/>
      <c r="B1913" s="8"/>
      <c r="C1913" s="8"/>
      <c r="D1913" s="8"/>
      <c r="E1913" s="8"/>
      <c r="F1913" s="8"/>
      <c r="G1913" s="10" t="str">
        <f aca="false">IF($A1913="","",UPPER(SUBSTITUTE(SUBSTITUTE(SUBSTITUTE(SUBSTITUTE($A1913," ",""),"(주)",""),"주식회사",""),"㈜","")))</f>
        <v/>
      </c>
      <c r="H1913" s="10" t="str">
        <f aca="false">IF($B1913="","",SUBSTITUTE(SUBSTITUTE(SUBSTITUTE($B1913,"-","")," ",""),".",""))</f>
        <v/>
      </c>
      <c r="I1913" s="10" t="str">
        <f aca="false">IF($D1913="","",SUBSTITUTE(SUBSTITUTE(SUBSTITUTE($D1913,"-","")," ",""),".",""))</f>
        <v/>
      </c>
      <c r="J1913" s="10" t="str">
        <f aca="false">IF($E1913="","",UPPER(SUBSTITUTE($E1913," ","")))</f>
        <v/>
      </c>
      <c r="K1913" s="10" t="str">
        <f aca="false">IF($A1913="","",$G1913&amp;"|"&amp;$J1913)</f>
        <v/>
      </c>
      <c r="L1913" s="10" t="str">
        <f aca="false">IF($A1913="","",ROW()-2)</f>
        <v/>
      </c>
      <c r="M1913" s="10" t="str">
        <f aca="false">IF($A1913="","",ROW())</f>
        <v/>
      </c>
    </row>
    <row r="1914" customFormat="false" ht="15" hidden="false" customHeight="true" outlineLevel="0" collapsed="false">
      <c r="A1914" s="8"/>
      <c r="B1914" s="8"/>
      <c r="C1914" s="8"/>
      <c r="D1914" s="8"/>
      <c r="E1914" s="8"/>
      <c r="F1914" s="8"/>
      <c r="G1914" s="10" t="str">
        <f aca="false">IF($A1914="","",UPPER(SUBSTITUTE(SUBSTITUTE(SUBSTITUTE(SUBSTITUTE($A1914," ",""),"(주)",""),"주식회사",""),"㈜","")))</f>
        <v/>
      </c>
      <c r="H1914" s="10" t="str">
        <f aca="false">IF($B1914="","",SUBSTITUTE(SUBSTITUTE(SUBSTITUTE($B1914,"-","")," ",""),".",""))</f>
        <v/>
      </c>
      <c r="I1914" s="10" t="str">
        <f aca="false">IF($D1914="","",SUBSTITUTE(SUBSTITUTE(SUBSTITUTE($D1914,"-","")," ",""),".",""))</f>
        <v/>
      </c>
      <c r="J1914" s="10" t="str">
        <f aca="false">IF($E1914="","",UPPER(SUBSTITUTE($E1914," ","")))</f>
        <v/>
      </c>
      <c r="K1914" s="10" t="str">
        <f aca="false">IF($A1914="","",$G1914&amp;"|"&amp;$J1914)</f>
        <v/>
      </c>
      <c r="L1914" s="10" t="str">
        <f aca="false">IF($A1914="","",ROW()-2)</f>
        <v/>
      </c>
      <c r="M1914" s="10" t="str">
        <f aca="false">IF($A1914="","",ROW())</f>
        <v/>
      </c>
    </row>
    <row r="1915" customFormat="false" ht="15" hidden="false" customHeight="true" outlineLevel="0" collapsed="false">
      <c r="A1915" s="8"/>
      <c r="B1915" s="8"/>
      <c r="C1915" s="8"/>
      <c r="D1915" s="8"/>
      <c r="E1915" s="8"/>
      <c r="F1915" s="8"/>
      <c r="G1915" s="10" t="str">
        <f aca="false">IF($A1915="","",UPPER(SUBSTITUTE(SUBSTITUTE(SUBSTITUTE(SUBSTITUTE($A1915," ",""),"(주)",""),"주식회사",""),"㈜","")))</f>
        <v/>
      </c>
      <c r="H1915" s="10" t="str">
        <f aca="false">IF($B1915="","",SUBSTITUTE(SUBSTITUTE(SUBSTITUTE($B1915,"-","")," ",""),".",""))</f>
        <v/>
      </c>
      <c r="I1915" s="10" t="str">
        <f aca="false">IF($D1915="","",SUBSTITUTE(SUBSTITUTE(SUBSTITUTE($D1915,"-","")," ",""),".",""))</f>
        <v/>
      </c>
      <c r="J1915" s="10" t="str">
        <f aca="false">IF($E1915="","",UPPER(SUBSTITUTE($E1915," ","")))</f>
        <v/>
      </c>
      <c r="K1915" s="10" t="str">
        <f aca="false">IF($A1915="","",$G1915&amp;"|"&amp;$J1915)</f>
        <v/>
      </c>
      <c r="L1915" s="10" t="str">
        <f aca="false">IF($A1915="","",ROW()-2)</f>
        <v/>
      </c>
      <c r="M1915" s="10" t="str">
        <f aca="false">IF($A1915="","",ROW())</f>
        <v/>
      </c>
    </row>
    <row r="1916" customFormat="false" ht="15" hidden="false" customHeight="true" outlineLevel="0" collapsed="false">
      <c r="A1916" s="8"/>
      <c r="B1916" s="8"/>
      <c r="C1916" s="8"/>
      <c r="D1916" s="8"/>
      <c r="E1916" s="8"/>
      <c r="F1916" s="8"/>
      <c r="G1916" s="10" t="str">
        <f aca="false">IF($A1916="","",UPPER(SUBSTITUTE(SUBSTITUTE(SUBSTITUTE(SUBSTITUTE($A1916," ",""),"(주)",""),"주식회사",""),"㈜","")))</f>
        <v/>
      </c>
      <c r="H1916" s="10" t="str">
        <f aca="false">IF($B1916="","",SUBSTITUTE(SUBSTITUTE(SUBSTITUTE($B1916,"-","")," ",""),".",""))</f>
        <v/>
      </c>
      <c r="I1916" s="10" t="str">
        <f aca="false">IF($D1916="","",SUBSTITUTE(SUBSTITUTE(SUBSTITUTE($D1916,"-","")," ",""),".",""))</f>
        <v/>
      </c>
      <c r="J1916" s="10" t="str">
        <f aca="false">IF($E1916="","",UPPER(SUBSTITUTE($E1916," ","")))</f>
        <v/>
      </c>
      <c r="K1916" s="10" t="str">
        <f aca="false">IF($A1916="","",$G1916&amp;"|"&amp;$J1916)</f>
        <v/>
      </c>
      <c r="L1916" s="10" t="str">
        <f aca="false">IF($A1916="","",ROW()-2)</f>
        <v/>
      </c>
      <c r="M1916" s="10" t="str">
        <f aca="false">IF($A1916="","",ROW())</f>
        <v/>
      </c>
    </row>
    <row r="1917" customFormat="false" ht="15" hidden="false" customHeight="true" outlineLevel="0" collapsed="false">
      <c r="A1917" s="8"/>
      <c r="B1917" s="8"/>
      <c r="C1917" s="8"/>
      <c r="D1917" s="8"/>
      <c r="E1917" s="8"/>
      <c r="F1917" s="8"/>
      <c r="G1917" s="10" t="str">
        <f aca="false">IF($A1917="","",UPPER(SUBSTITUTE(SUBSTITUTE(SUBSTITUTE(SUBSTITUTE($A1917," ",""),"(주)",""),"주식회사",""),"㈜","")))</f>
        <v/>
      </c>
      <c r="H1917" s="10" t="str">
        <f aca="false">IF($B1917="","",SUBSTITUTE(SUBSTITUTE(SUBSTITUTE($B1917,"-","")," ",""),".",""))</f>
        <v/>
      </c>
      <c r="I1917" s="10" t="str">
        <f aca="false">IF($D1917="","",SUBSTITUTE(SUBSTITUTE(SUBSTITUTE($D1917,"-","")," ",""),".",""))</f>
        <v/>
      </c>
      <c r="J1917" s="10" t="str">
        <f aca="false">IF($E1917="","",UPPER(SUBSTITUTE($E1917," ","")))</f>
        <v/>
      </c>
      <c r="K1917" s="10" t="str">
        <f aca="false">IF($A1917="","",$G1917&amp;"|"&amp;$J1917)</f>
        <v/>
      </c>
      <c r="L1917" s="10" t="str">
        <f aca="false">IF($A1917="","",ROW()-2)</f>
        <v/>
      </c>
      <c r="M1917" s="10" t="str">
        <f aca="false">IF($A1917="","",ROW())</f>
        <v/>
      </c>
    </row>
    <row r="1918" customFormat="false" ht="15" hidden="false" customHeight="true" outlineLevel="0" collapsed="false">
      <c r="A1918" s="8"/>
      <c r="B1918" s="8"/>
      <c r="C1918" s="8"/>
      <c r="D1918" s="8"/>
      <c r="E1918" s="8"/>
      <c r="F1918" s="8"/>
      <c r="G1918" s="10" t="str">
        <f aca="false">IF($A1918="","",UPPER(SUBSTITUTE(SUBSTITUTE(SUBSTITUTE(SUBSTITUTE($A1918," ",""),"(주)",""),"주식회사",""),"㈜","")))</f>
        <v/>
      </c>
      <c r="H1918" s="10" t="str">
        <f aca="false">IF($B1918="","",SUBSTITUTE(SUBSTITUTE(SUBSTITUTE($B1918,"-","")," ",""),".",""))</f>
        <v/>
      </c>
      <c r="I1918" s="10" t="str">
        <f aca="false">IF($D1918="","",SUBSTITUTE(SUBSTITUTE(SUBSTITUTE($D1918,"-","")," ",""),".",""))</f>
        <v/>
      </c>
      <c r="J1918" s="10" t="str">
        <f aca="false">IF($E1918="","",UPPER(SUBSTITUTE($E1918," ","")))</f>
        <v/>
      </c>
      <c r="K1918" s="10" t="str">
        <f aca="false">IF($A1918="","",$G1918&amp;"|"&amp;$J1918)</f>
        <v/>
      </c>
      <c r="L1918" s="10" t="str">
        <f aca="false">IF($A1918="","",ROW()-2)</f>
        <v/>
      </c>
      <c r="M1918" s="10" t="str">
        <f aca="false">IF($A1918="","",ROW())</f>
        <v/>
      </c>
    </row>
    <row r="1919" customFormat="false" ht="15" hidden="false" customHeight="true" outlineLevel="0" collapsed="false">
      <c r="A1919" s="8"/>
      <c r="B1919" s="8"/>
      <c r="C1919" s="8"/>
      <c r="D1919" s="8"/>
      <c r="E1919" s="8"/>
      <c r="F1919" s="8"/>
      <c r="G1919" s="10" t="str">
        <f aca="false">IF($A1919="","",UPPER(SUBSTITUTE(SUBSTITUTE(SUBSTITUTE(SUBSTITUTE($A1919," ",""),"(주)",""),"주식회사",""),"㈜","")))</f>
        <v/>
      </c>
      <c r="H1919" s="10" t="str">
        <f aca="false">IF($B1919="","",SUBSTITUTE(SUBSTITUTE(SUBSTITUTE($B1919,"-","")," ",""),".",""))</f>
        <v/>
      </c>
      <c r="I1919" s="10" t="str">
        <f aca="false">IF($D1919="","",SUBSTITUTE(SUBSTITUTE(SUBSTITUTE($D1919,"-","")," ",""),".",""))</f>
        <v/>
      </c>
      <c r="J1919" s="10" t="str">
        <f aca="false">IF($E1919="","",UPPER(SUBSTITUTE($E1919," ","")))</f>
        <v/>
      </c>
      <c r="K1919" s="10" t="str">
        <f aca="false">IF($A1919="","",$G1919&amp;"|"&amp;$J1919)</f>
        <v/>
      </c>
      <c r="L1919" s="10" t="str">
        <f aca="false">IF($A1919="","",ROW()-2)</f>
        <v/>
      </c>
      <c r="M1919" s="10" t="str">
        <f aca="false">IF($A1919="","",ROW())</f>
        <v/>
      </c>
    </row>
    <row r="1920" customFormat="false" ht="15" hidden="false" customHeight="true" outlineLevel="0" collapsed="false">
      <c r="A1920" s="8"/>
      <c r="B1920" s="8"/>
      <c r="C1920" s="8"/>
      <c r="D1920" s="8"/>
      <c r="E1920" s="8"/>
      <c r="F1920" s="8"/>
      <c r="G1920" s="10" t="str">
        <f aca="false">IF($A1920="","",UPPER(SUBSTITUTE(SUBSTITUTE(SUBSTITUTE(SUBSTITUTE($A1920," ",""),"(주)",""),"주식회사",""),"㈜","")))</f>
        <v/>
      </c>
      <c r="H1920" s="10" t="str">
        <f aca="false">IF($B1920="","",SUBSTITUTE(SUBSTITUTE(SUBSTITUTE($B1920,"-","")," ",""),".",""))</f>
        <v/>
      </c>
      <c r="I1920" s="10" t="str">
        <f aca="false">IF($D1920="","",SUBSTITUTE(SUBSTITUTE(SUBSTITUTE($D1920,"-","")," ",""),".",""))</f>
        <v/>
      </c>
      <c r="J1920" s="10" t="str">
        <f aca="false">IF($E1920="","",UPPER(SUBSTITUTE($E1920," ","")))</f>
        <v/>
      </c>
      <c r="K1920" s="10" t="str">
        <f aca="false">IF($A1920="","",$G1920&amp;"|"&amp;$J1920)</f>
        <v/>
      </c>
      <c r="L1920" s="10" t="str">
        <f aca="false">IF($A1920="","",ROW()-2)</f>
        <v/>
      </c>
      <c r="M1920" s="10" t="str">
        <f aca="false">IF($A1920="","",ROW())</f>
        <v/>
      </c>
    </row>
    <row r="1921" customFormat="false" ht="15" hidden="false" customHeight="true" outlineLevel="0" collapsed="false">
      <c r="A1921" s="8"/>
      <c r="B1921" s="8"/>
      <c r="C1921" s="8"/>
      <c r="D1921" s="8"/>
      <c r="E1921" s="8"/>
      <c r="F1921" s="8"/>
      <c r="G1921" s="10" t="str">
        <f aca="false">IF($A1921="","",UPPER(SUBSTITUTE(SUBSTITUTE(SUBSTITUTE(SUBSTITUTE($A1921," ",""),"(주)",""),"주식회사",""),"㈜","")))</f>
        <v/>
      </c>
      <c r="H1921" s="10" t="str">
        <f aca="false">IF($B1921="","",SUBSTITUTE(SUBSTITUTE(SUBSTITUTE($B1921,"-","")," ",""),".",""))</f>
        <v/>
      </c>
      <c r="I1921" s="10" t="str">
        <f aca="false">IF($D1921="","",SUBSTITUTE(SUBSTITUTE(SUBSTITUTE($D1921,"-","")," ",""),".",""))</f>
        <v/>
      </c>
      <c r="J1921" s="10" t="str">
        <f aca="false">IF($E1921="","",UPPER(SUBSTITUTE($E1921," ","")))</f>
        <v/>
      </c>
      <c r="K1921" s="10" t="str">
        <f aca="false">IF($A1921="","",$G1921&amp;"|"&amp;$J1921)</f>
        <v/>
      </c>
      <c r="L1921" s="10" t="str">
        <f aca="false">IF($A1921="","",ROW()-2)</f>
        <v/>
      </c>
      <c r="M1921" s="10" t="str">
        <f aca="false">IF($A1921="","",ROW())</f>
        <v/>
      </c>
    </row>
    <row r="1922" customFormat="false" ht="15" hidden="false" customHeight="true" outlineLevel="0" collapsed="false">
      <c r="A1922" s="8"/>
      <c r="B1922" s="8"/>
      <c r="C1922" s="8"/>
      <c r="D1922" s="8"/>
      <c r="E1922" s="8"/>
      <c r="F1922" s="8"/>
      <c r="G1922" s="10" t="str">
        <f aca="false">IF($A1922="","",UPPER(SUBSTITUTE(SUBSTITUTE(SUBSTITUTE(SUBSTITUTE($A1922," ",""),"(주)",""),"주식회사",""),"㈜","")))</f>
        <v/>
      </c>
      <c r="H1922" s="10" t="str">
        <f aca="false">IF($B1922="","",SUBSTITUTE(SUBSTITUTE(SUBSTITUTE($B1922,"-","")," ",""),".",""))</f>
        <v/>
      </c>
      <c r="I1922" s="10" t="str">
        <f aca="false">IF($D1922="","",SUBSTITUTE(SUBSTITUTE(SUBSTITUTE($D1922,"-","")," ",""),".",""))</f>
        <v/>
      </c>
      <c r="J1922" s="10" t="str">
        <f aca="false">IF($E1922="","",UPPER(SUBSTITUTE($E1922," ","")))</f>
        <v/>
      </c>
      <c r="K1922" s="10" t="str">
        <f aca="false">IF($A1922="","",$G1922&amp;"|"&amp;$J1922)</f>
        <v/>
      </c>
      <c r="L1922" s="10" t="str">
        <f aca="false">IF($A1922="","",ROW()-2)</f>
        <v/>
      </c>
      <c r="M1922" s="10" t="str">
        <f aca="false">IF($A1922="","",ROW())</f>
        <v/>
      </c>
    </row>
    <row r="1923" customFormat="false" ht="15" hidden="false" customHeight="true" outlineLevel="0" collapsed="false">
      <c r="A1923" s="8"/>
      <c r="B1923" s="8"/>
      <c r="C1923" s="8"/>
      <c r="D1923" s="8"/>
      <c r="E1923" s="8"/>
      <c r="F1923" s="8"/>
      <c r="G1923" s="10" t="str">
        <f aca="false">IF($A1923="","",UPPER(SUBSTITUTE(SUBSTITUTE(SUBSTITUTE(SUBSTITUTE($A1923," ",""),"(주)",""),"주식회사",""),"㈜","")))</f>
        <v/>
      </c>
      <c r="H1923" s="10" t="str">
        <f aca="false">IF($B1923="","",SUBSTITUTE(SUBSTITUTE(SUBSTITUTE($B1923,"-","")," ",""),".",""))</f>
        <v/>
      </c>
      <c r="I1923" s="10" t="str">
        <f aca="false">IF($D1923="","",SUBSTITUTE(SUBSTITUTE(SUBSTITUTE($D1923,"-","")," ",""),".",""))</f>
        <v/>
      </c>
      <c r="J1923" s="10" t="str">
        <f aca="false">IF($E1923="","",UPPER(SUBSTITUTE($E1923," ","")))</f>
        <v/>
      </c>
      <c r="K1923" s="10" t="str">
        <f aca="false">IF($A1923="","",$G1923&amp;"|"&amp;$J1923)</f>
        <v/>
      </c>
      <c r="L1923" s="10" t="str">
        <f aca="false">IF($A1923="","",ROW()-2)</f>
        <v/>
      </c>
      <c r="M1923" s="10" t="str">
        <f aca="false">IF($A1923="","",ROW())</f>
        <v/>
      </c>
    </row>
    <row r="1924" customFormat="false" ht="15" hidden="false" customHeight="true" outlineLevel="0" collapsed="false">
      <c r="A1924" s="8"/>
      <c r="B1924" s="8"/>
      <c r="C1924" s="8"/>
      <c r="D1924" s="8"/>
      <c r="E1924" s="8"/>
      <c r="F1924" s="8"/>
      <c r="G1924" s="10" t="str">
        <f aca="false">IF($A1924="","",UPPER(SUBSTITUTE(SUBSTITUTE(SUBSTITUTE(SUBSTITUTE($A1924," ",""),"(주)",""),"주식회사",""),"㈜","")))</f>
        <v/>
      </c>
      <c r="H1924" s="10" t="str">
        <f aca="false">IF($B1924="","",SUBSTITUTE(SUBSTITUTE(SUBSTITUTE($B1924,"-","")," ",""),".",""))</f>
        <v/>
      </c>
      <c r="I1924" s="10" t="str">
        <f aca="false">IF($D1924="","",SUBSTITUTE(SUBSTITUTE(SUBSTITUTE($D1924,"-","")," ",""),".",""))</f>
        <v/>
      </c>
      <c r="J1924" s="10" t="str">
        <f aca="false">IF($E1924="","",UPPER(SUBSTITUTE($E1924," ","")))</f>
        <v/>
      </c>
      <c r="K1924" s="10" t="str">
        <f aca="false">IF($A1924="","",$G1924&amp;"|"&amp;$J1924)</f>
        <v/>
      </c>
      <c r="L1924" s="10" t="str">
        <f aca="false">IF($A1924="","",ROW()-2)</f>
        <v/>
      </c>
      <c r="M1924" s="10" t="str">
        <f aca="false">IF($A1924="","",ROW())</f>
        <v/>
      </c>
    </row>
    <row r="1925" customFormat="false" ht="15" hidden="false" customHeight="true" outlineLevel="0" collapsed="false">
      <c r="A1925" s="8"/>
      <c r="B1925" s="8"/>
      <c r="C1925" s="8"/>
      <c r="D1925" s="8"/>
      <c r="E1925" s="8"/>
      <c r="F1925" s="8"/>
      <c r="G1925" s="10" t="str">
        <f aca="false">IF($A1925="","",UPPER(SUBSTITUTE(SUBSTITUTE(SUBSTITUTE(SUBSTITUTE($A1925," ",""),"(주)",""),"주식회사",""),"㈜","")))</f>
        <v/>
      </c>
      <c r="H1925" s="10" t="str">
        <f aca="false">IF($B1925="","",SUBSTITUTE(SUBSTITUTE(SUBSTITUTE($B1925,"-","")," ",""),".",""))</f>
        <v/>
      </c>
      <c r="I1925" s="10" t="str">
        <f aca="false">IF($D1925="","",SUBSTITUTE(SUBSTITUTE(SUBSTITUTE($D1925,"-","")," ",""),".",""))</f>
        <v/>
      </c>
      <c r="J1925" s="10" t="str">
        <f aca="false">IF($E1925="","",UPPER(SUBSTITUTE($E1925," ","")))</f>
        <v/>
      </c>
      <c r="K1925" s="10" t="str">
        <f aca="false">IF($A1925="","",$G1925&amp;"|"&amp;$J1925)</f>
        <v/>
      </c>
      <c r="L1925" s="10" t="str">
        <f aca="false">IF($A1925="","",ROW()-2)</f>
        <v/>
      </c>
      <c r="M1925" s="10" t="str">
        <f aca="false">IF($A1925="","",ROW())</f>
        <v/>
      </c>
    </row>
    <row r="1926" customFormat="false" ht="15" hidden="false" customHeight="true" outlineLevel="0" collapsed="false">
      <c r="A1926" s="8"/>
      <c r="B1926" s="8"/>
      <c r="C1926" s="8"/>
      <c r="D1926" s="8"/>
      <c r="E1926" s="8"/>
      <c r="F1926" s="8"/>
      <c r="G1926" s="10" t="str">
        <f aca="false">IF($A1926="","",UPPER(SUBSTITUTE(SUBSTITUTE(SUBSTITUTE(SUBSTITUTE($A1926," ",""),"(주)",""),"주식회사",""),"㈜","")))</f>
        <v/>
      </c>
      <c r="H1926" s="10" t="str">
        <f aca="false">IF($B1926="","",SUBSTITUTE(SUBSTITUTE(SUBSTITUTE($B1926,"-","")," ",""),".",""))</f>
        <v/>
      </c>
      <c r="I1926" s="10" t="str">
        <f aca="false">IF($D1926="","",SUBSTITUTE(SUBSTITUTE(SUBSTITUTE($D1926,"-","")," ",""),".",""))</f>
        <v/>
      </c>
      <c r="J1926" s="10" t="str">
        <f aca="false">IF($E1926="","",UPPER(SUBSTITUTE($E1926," ","")))</f>
        <v/>
      </c>
      <c r="K1926" s="10" t="str">
        <f aca="false">IF($A1926="","",$G1926&amp;"|"&amp;$J1926)</f>
        <v/>
      </c>
      <c r="L1926" s="10" t="str">
        <f aca="false">IF($A1926="","",ROW()-2)</f>
        <v/>
      </c>
      <c r="M1926" s="10" t="str">
        <f aca="false">IF($A1926="","",ROW())</f>
        <v/>
      </c>
    </row>
    <row r="1927" customFormat="false" ht="15" hidden="false" customHeight="true" outlineLevel="0" collapsed="false">
      <c r="A1927" s="8"/>
      <c r="B1927" s="8"/>
      <c r="C1927" s="8"/>
      <c r="D1927" s="8"/>
      <c r="E1927" s="8"/>
      <c r="F1927" s="8"/>
      <c r="G1927" s="10" t="str">
        <f aca="false">IF($A1927="","",UPPER(SUBSTITUTE(SUBSTITUTE(SUBSTITUTE(SUBSTITUTE($A1927," ",""),"(주)",""),"주식회사",""),"㈜","")))</f>
        <v/>
      </c>
      <c r="H1927" s="10" t="str">
        <f aca="false">IF($B1927="","",SUBSTITUTE(SUBSTITUTE(SUBSTITUTE($B1927,"-","")," ",""),".",""))</f>
        <v/>
      </c>
      <c r="I1927" s="10" t="str">
        <f aca="false">IF($D1927="","",SUBSTITUTE(SUBSTITUTE(SUBSTITUTE($D1927,"-","")," ",""),".",""))</f>
        <v/>
      </c>
      <c r="J1927" s="10" t="str">
        <f aca="false">IF($E1927="","",UPPER(SUBSTITUTE($E1927," ","")))</f>
        <v/>
      </c>
      <c r="K1927" s="10" t="str">
        <f aca="false">IF($A1927="","",$G1927&amp;"|"&amp;$J1927)</f>
        <v/>
      </c>
      <c r="L1927" s="10" t="str">
        <f aca="false">IF($A1927="","",ROW()-2)</f>
        <v/>
      </c>
      <c r="M1927" s="10" t="str">
        <f aca="false">IF($A1927="","",ROW())</f>
        <v/>
      </c>
    </row>
    <row r="1928" customFormat="false" ht="15" hidden="false" customHeight="true" outlineLevel="0" collapsed="false">
      <c r="A1928" s="8"/>
      <c r="B1928" s="8"/>
      <c r="C1928" s="8"/>
      <c r="D1928" s="8"/>
      <c r="E1928" s="8"/>
      <c r="F1928" s="8"/>
      <c r="G1928" s="10" t="str">
        <f aca="false">IF($A1928="","",UPPER(SUBSTITUTE(SUBSTITUTE(SUBSTITUTE(SUBSTITUTE($A1928," ",""),"(주)",""),"주식회사",""),"㈜","")))</f>
        <v/>
      </c>
      <c r="H1928" s="10" t="str">
        <f aca="false">IF($B1928="","",SUBSTITUTE(SUBSTITUTE(SUBSTITUTE($B1928,"-","")," ",""),".",""))</f>
        <v/>
      </c>
      <c r="I1928" s="10" t="str">
        <f aca="false">IF($D1928="","",SUBSTITUTE(SUBSTITUTE(SUBSTITUTE($D1928,"-","")," ",""),".",""))</f>
        <v/>
      </c>
      <c r="J1928" s="10" t="str">
        <f aca="false">IF($E1928="","",UPPER(SUBSTITUTE($E1928," ","")))</f>
        <v/>
      </c>
      <c r="K1928" s="10" t="str">
        <f aca="false">IF($A1928="","",$G1928&amp;"|"&amp;$J1928)</f>
        <v/>
      </c>
      <c r="L1928" s="10" t="str">
        <f aca="false">IF($A1928="","",ROW()-2)</f>
        <v/>
      </c>
      <c r="M1928" s="10" t="str">
        <f aca="false">IF($A1928="","",ROW())</f>
        <v/>
      </c>
    </row>
    <row r="1929" customFormat="false" ht="15" hidden="false" customHeight="true" outlineLevel="0" collapsed="false">
      <c r="A1929" s="8"/>
      <c r="B1929" s="8"/>
      <c r="C1929" s="8"/>
      <c r="D1929" s="8"/>
      <c r="E1929" s="8"/>
      <c r="F1929" s="8"/>
      <c r="G1929" s="10" t="str">
        <f aca="false">IF($A1929="","",UPPER(SUBSTITUTE(SUBSTITUTE(SUBSTITUTE(SUBSTITUTE($A1929," ",""),"(주)",""),"주식회사",""),"㈜","")))</f>
        <v/>
      </c>
      <c r="H1929" s="10" t="str">
        <f aca="false">IF($B1929="","",SUBSTITUTE(SUBSTITUTE(SUBSTITUTE($B1929,"-","")," ",""),".",""))</f>
        <v/>
      </c>
      <c r="I1929" s="10" t="str">
        <f aca="false">IF($D1929="","",SUBSTITUTE(SUBSTITUTE(SUBSTITUTE($D1929,"-","")," ",""),".",""))</f>
        <v/>
      </c>
      <c r="J1929" s="10" t="str">
        <f aca="false">IF($E1929="","",UPPER(SUBSTITUTE($E1929," ","")))</f>
        <v/>
      </c>
      <c r="K1929" s="10" t="str">
        <f aca="false">IF($A1929="","",$G1929&amp;"|"&amp;$J1929)</f>
        <v/>
      </c>
      <c r="L1929" s="10" t="str">
        <f aca="false">IF($A1929="","",ROW()-2)</f>
        <v/>
      </c>
      <c r="M1929" s="10" t="str">
        <f aca="false">IF($A1929="","",ROW())</f>
        <v/>
      </c>
    </row>
    <row r="1930" customFormat="false" ht="15" hidden="false" customHeight="true" outlineLevel="0" collapsed="false">
      <c r="A1930" s="8"/>
      <c r="B1930" s="8"/>
      <c r="C1930" s="8"/>
      <c r="D1930" s="8"/>
      <c r="E1930" s="8"/>
      <c r="F1930" s="8"/>
      <c r="G1930" s="10" t="str">
        <f aca="false">IF($A1930="","",UPPER(SUBSTITUTE(SUBSTITUTE(SUBSTITUTE(SUBSTITUTE($A1930," ",""),"(주)",""),"주식회사",""),"㈜","")))</f>
        <v/>
      </c>
      <c r="H1930" s="10" t="str">
        <f aca="false">IF($B1930="","",SUBSTITUTE(SUBSTITUTE(SUBSTITUTE($B1930,"-","")," ",""),".",""))</f>
        <v/>
      </c>
      <c r="I1930" s="10" t="str">
        <f aca="false">IF($D1930="","",SUBSTITUTE(SUBSTITUTE(SUBSTITUTE($D1930,"-","")," ",""),".",""))</f>
        <v/>
      </c>
      <c r="J1930" s="10" t="str">
        <f aca="false">IF($E1930="","",UPPER(SUBSTITUTE($E1930," ","")))</f>
        <v/>
      </c>
      <c r="K1930" s="10" t="str">
        <f aca="false">IF($A1930="","",$G1930&amp;"|"&amp;$J1930)</f>
        <v/>
      </c>
      <c r="L1930" s="10" t="str">
        <f aca="false">IF($A1930="","",ROW()-2)</f>
        <v/>
      </c>
      <c r="M1930" s="10" t="str">
        <f aca="false">IF($A1930="","",ROW())</f>
        <v/>
      </c>
    </row>
    <row r="1931" customFormat="false" ht="15" hidden="false" customHeight="true" outlineLevel="0" collapsed="false">
      <c r="A1931" s="8"/>
      <c r="B1931" s="8"/>
      <c r="C1931" s="8"/>
      <c r="D1931" s="8"/>
      <c r="E1931" s="8"/>
      <c r="F1931" s="8"/>
      <c r="G1931" s="10" t="str">
        <f aca="false">IF($A1931="","",UPPER(SUBSTITUTE(SUBSTITUTE(SUBSTITUTE(SUBSTITUTE($A1931," ",""),"(주)",""),"주식회사",""),"㈜","")))</f>
        <v/>
      </c>
      <c r="H1931" s="10" t="str">
        <f aca="false">IF($B1931="","",SUBSTITUTE(SUBSTITUTE(SUBSTITUTE($B1931,"-","")," ",""),".",""))</f>
        <v/>
      </c>
      <c r="I1931" s="10" t="str">
        <f aca="false">IF($D1931="","",SUBSTITUTE(SUBSTITUTE(SUBSTITUTE($D1931,"-","")," ",""),".",""))</f>
        <v/>
      </c>
      <c r="J1931" s="10" t="str">
        <f aca="false">IF($E1931="","",UPPER(SUBSTITUTE($E1931," ","")))</f>
        <v/>
      </c>
      <c r="K1931" s="10" t="str">
        <f aca="false">IF($A1931="","",$G1931&amp;"|"&amp;$J1931)</f>
        <v/>
      </c>
      <c r="L1931" s="10" t="str">
        <f aca="false">IF($A1931="","",ROW()-2)</f>
        <v/>
      </c>
      <c r="M1931" s="10" t="str">
        <f aca="false">IF($A1931="","",ROW())</f>
        <v/>
      </c>
    </row>
    <row r="1932" customFormat="false" ht="15" hidden="false" customHeight="true" outlineLevel="0" collapsed="false">
      <c r="A1932" s="8"/>
      <c r="B1932" s="8"/>
      <c r="C1932" s="8"/>
      <c r="D1932" s="8"/>
      <c r="E1932" s="8"/>
      <c r="F1932" s="8"/>
      <c r="G1932" s="10" t="str">
        <f aca="false">IF($A1932="","",UPPER(SUBSTITUTE(SUBSTITUTE(SUBSTITUTE(SUBSTITUTE($A1932," ",""),"(주)",""),"주식회사",""),"㈜","")))</f>
        <v/>
      </c>
      <c r="H1932" s="10" t="str">
        <f aca="false">IF($B1932="","",SUBSTITUTE(SUBSTITUTE(SUBSTITUTE($B1932,"-","")," ",""),".",""))</f>
        <v/>
      </c>
      <c r="I1932" s="10" t="str">
        <f aca="false">IF($D1932="","",SUBSTITUTE(SUBSTITUTE(SUBSTITUTE($D1932,"-","")," ",""),".",""))</f>
        <v/>
      </c>
      <c r="J1932" s="10" t="str">
        <f aca="false">IF($E1932="","",UPPER(SUBSTITUTE($E1932," ","")))</f>
        <v/>
      </c>
      <c r="K1932" s="10" t="str">
        <f aca="false">IF($A1932="","",$G1932&amp;"|"&amp;$J1932)</f>
        <v/>
      </c>
      <c r="L1932" s="10" t="str">
        <f aca="false">IF($A1932="","",ROW()-2)</f>
        <v/>
      </c>
      <c r="M1932" s="10" t="str">
        <f aca="false">IF($A1932="","",ROW())</f>
        <v/>
      </c>
    </row>
    <row r="1933" customFormat="false" ht="15" hidden="false" customHeight="true" outlineLevel="0" collapsed="false">
      <c r="A1933" s="8"/>
      <c r="B1933" s="8"/>
      <c r="C1933" s="8"/>
      <c r="D1933" s="8"/>
      <c r="E1933" s="8"/>
      <c r="F1933" s="8"/>
      <c r="G1933" s="10" t="str">
        <f aca="false">IF($A1933="","",UPPER(SUBSTITUTE(SUBSTITUTE(SUBSTITUTE(SUBSTITUTE($A1933," ",""),"(주)",""),"주식회사",""),"㈜","")))</f>
        <v/>
      </c>
      <c r="H1933" s="10" t="str">
        <f aca="false">IF($B1933="","",SUBSTITUTE(SUBSTITUTE(SUBSTITUTE($B1933,"-","")," ",""),".",""))</f>
        <v/>
      </c>
      <c r="I1933" s="10" t="str">
        <f aca="false">IF($D1933="","",SUBSTITUTE(SUBSTITUTE(SUBSTITUTE($D1933,"-","")," ",""),".",""))</f>
        <v/>
      </c>
      <c r="J1933" s="10" t="str">
        <f aca="false">IF($E1933="","",UPPER(SUBSTITUTE($E1933," ","")))</f>
        <v/>
      </c>
      <c r="K1933" s="10" t="str">
        <f aca="false">IF($A1933="","",$G1933&amp;"|"&amp;$J1933)</f>
        <v/>
      </c>
      <c r="L1933" s="10" t="str">
        <f aca="false">IF($A1933="","",ROW()-2)</f>
        <v/>
      </c>
      <c r="M1933" s="10" t="str">
        <f aca="false">IF($A1933="","",ROW())</f>
        <v/>
      </c>
    </row>
    <row r="1934" customFormat="false" ht="15" hidden="false" customHeight="true" outlineLevel="0" collapsed="false">
      <c r="A1934" s="8"/>
      <c r="B1934" s="8"/>
      <c r="C1934" s="8"/>
      <c r="D1934" s="8"/>
      <c r="E1934" s="8"/>
      <c r="F1934" s="8"/>
      <c r="G1934" s="10" t="str">
        <f aca="false">IF($A1934="","",UPPER(SUBSTITUTE(SUBSTITUTE(SUBSTITUTE(SUBSTITUTE($A1934," ",""),"(주)",""),"주식회사",""),"㈜","")))</f>
        <v/>
      </c>
      <c r="H1934" s="10" t="str">
        <f aca="false">IF($B1934="","",SUBSTITUTE(SUBSTITUTE(SUBSTITUTE($B1934,"-","")," ",""),".",""))</f>
        <v/>
      </c>
      <c r="I1934" s="10" t="str">
        <f aca="false">IF($D1934="","",SUBSTITUTE(SUBSTITUTE(SUBSTITUTE($D1934,"-","")," ",""),".",""))</f>
        <v/>
      </c>
      <c r="J1934" s="10" t="str">
        <f aca="false">IF($E1934="","",UPPER(SUBSTITUTE($E1934," ","")))</f>
        <v/>
      </c>
      <c r="K1934" s="10" t="str">
        <f aca="false">IF($A1934="","",$G1934&amp;"|"&amp;$J1934)</f>
        <v/>
      </c>
      <c r="L1934" s="10" t="str">
        <f aca="false">IF($A1934="","",ROW()-2)</f>
        <v/>
      </c>
      <c r="M1934" s="10" t="str">
        <f aca="false">IF($A1934="","",ROW())</f>
        <v/>
      </c>
    </row>
    <row r="1935" customFormat="false" ht="15" hidden="false" customHeight="true" outlineLevel="0" collapsed="false">
      <c r="A1935" s="8"/>
      <c r="B1935" s="8"/>
      <c r="C1935" s="8"/>
      <c r="D1935" s="8"/>
      <c r="E1935" s="8"/>
      <c r="F1935" s="8"/>
      <c r="G1935" s="10" t="str">
        <f aca="false">IF($A1935="","",UPPER(SUBSTITUTE(SUBSTITUTE(SUBSTITUTE(SUBSTITUTE($A1935," ",""),"(주)",""),"주식회사",""),"㈜","")))</f>
        <v/>
      </c>
      <c r="H1935" s="10" t="str">
        <f aca="false">IF($B1935="","",SUBSTITUTE(SUBSTITUTE(SUBSTITUTE($B1935,"-","")," ",""),".",""))</f>
        <v/>
      </c>
      <c r="I1935" s="10" t="str">
        <f aca="false">IF($D1935="","",SUBSTITUTE(SUBSTITUTE(SUBSTITUTE($D1935,"-","")," ",""),".",""))</f>
        <v/>
      </c>
      <c r="J1935" s="10" t="str">
        <f aca="false">IF($E1935="","",UPPER(SUBSTITUTE($E1935," ","")))</f>
        <v/>
      </c>
      <c r="K1935" s="10" t="str">
        <f aca="false">IF($A1935="","",$G1935&amp;"|"&amp;$J1935)</f>
        <v/>
      </c>
      <c r="L1935" s="10" t="str">
        <f aca="false">IF($A1935="","",ROW()-2)</f>
        <v/>
      </c>
      <c r="M1935" s="10" t="str">
        <f aca="false">IF($A1935="","",ROW())</f>
        <v/>
      </c>
    </row>
    <row r="1936" customFormat="false" ht="15" hidden="false" customHeight="true" outlineLevel="0" collapsed="false">
      <c r="A1936" s="8"/>
      <c r="B1936" s="8"/>
      <c r="C1936" s="8"/>
      <c r="D1936" s="8"/>
      <c r="E1936" s="8"/>
      <c r="F1936" s="8"/>
      <c r="G1936" s="10" t="str">
        <f aca="false">IF($A1936="","",UPPER(SUBSTITUTE(SUBSTITUTE(SUBSTITUTE(SUBSTITUTE($A1936," ",""),"(주)",""),"주식회사",""),"㈜","")))</f>
        <v/>
      </c>
      <c r="H1936" s="10" t="str">
        <f aca="false">IF($B1936="","",SUBSTITUTE(SUBSTITUTE(SUBSTITUTE($B1936,"-","")," ",""),".",""))</f>
        <v/>
      </c>
      <c r="I1936" s="10" t="str">
        <f aca="false">IF($D1936="","",SUBSTITUTE(SUBSTITUTE(SUBSTITUTE($D1936,"-","")," ",""),".",""))</f>
        <v/>
      </c>
      <c r="J1936" s="10" t="str">
        <f aca="false">IF($E1936="","",UPPER(SUBSTITUTE($E1936," ","")))</f>
        <v/>
      </c>
      <c r="K1936" s="10" t="str">
        <f aca="false">IF($A1936="","",$G1936&amp;"|"&amp;$J1936)</f>
        <v/>
      </c>
      <c r="L1936" s="10" t="str">
        <f aca="false">IF($A1936="","",ROW()-2)</f>
        <v/>
      </c>
      <c r="M1936" s="10" t="str">
        <f aca="false">IF($A1936="","",ROW())</f>
        <v/>
      </c>
    </row>
    <row r="1937" customFormat="false" ht="15" hidden="false" customHeight="true" outlineLevel="0" collapsed="false">
      <c r="A1937" s="8"/>
      <c r="B1937" s="8"/>
      <c r="C1937" s="8"/>
      <c r="D1937" s="8"/>
      <c r="E1937" s="8"/>
      <c r="F1937" s="8"/>
      <c r="G1937" s="10" t="str">
        <f aca="false">IF($A1937="","",UPPER(SUBSTITUTE(SUBSTITUTE(SUBSTITUTE(SUBSTITUTE($A1937," ",""),"(주)",""),"주식회사",""),"㈜","")))</f>
        <v/>
      </c>
      <c r="H1937" s="10" t="str">
        <f aca="false">IF($B1937="","",SUBSTITUTE(SUBSTITUTE(SUBSTITUTE($B1937,"-","")," ",""),".",""))</f>
        <v/>
      </c>
      <c r="I1937" s="10" t="str">
        <f aca="false">IF($D1937="","",SUBSTITUTE(SUBSTITUTE(SUBSTITUTE($D1937,"-","")," ",""),".",""))</f>
        <v/>
      </c>
      <c r="J1937" s="10" t="str">
        <f aca="false">IF($E1937="","",UPPER(SUBSTITUTE($E1937," ","")))</f>
        <v/>
      </c>
      <c r="K1937" s="10" t="str">
        <f aca="false">IF($A1937="","",$G1937&amp;"|"&amp;$J1937)</f>
        <v/>
      </c>
      <c r="L1937" s="10" t="str">
        <f aca="false">IF($A1937="","",ROW()-2)</f>
        <v/>
      </c>
      <c r="M1937" s="10" t="str">
        <f aca="false">IF($A1937="","",ROW())</f>
        <v/>
      </c>
    </row>
    <row r="1938" customFormat="false" ht="15" hidden="false" customHeight="true" outlineLevel="0" collapsed="false">
      <c r="A1938" s="8"/>
      <c r="B1938" s="8"/>
      <c r="C1938" s="8"/>
      <c r="D1938" s="8"/>
      <c r="E1938" s="8"/>
      <c r="F1938" s="8"/>
      <c r="G1938" s="10" t="str">
        <f aca="false">IF($A1938="","",UPPER(SUBSTITUTE(SUBSTITUTE(SUBSTITUTE(SUBSTITUTE($A1938," ",""),"(주)",""),"주식회사",""),"㈜","")))</f>
        <v/>
      </c>
      <c r="H1938" s="10" t="str">
        <f aca="false">IF($B1938="","",SUBSTITUTE(SUBSTITUTE(SUBSTITUTE($B1938,"-","")," ",""),".",""))</f>
        <v/>
      </c>
      <c r="I1938" s="10" t="str">
        <f aca="false">IF($D1938="","",SUBSTITUTE(SUBSTITUTE(SUBSTITUTE($D1938,"-","")," ",""),".",""))</f>
        <v/>
      </c>
      <c r="J1938" s="10" t="str">
        <f aca="false">IF($E1938="","",UPPER(SUBSTITUTE($E1938," ","")))</f>
        <v/>
      </c>
      <c r="K1938" s="10" t="str">
        <f aca="false">IF($A1938="","",$G1938&amp;"|"&amp;$J1938)</f>
        <v/>
      </c>
      <c r="L1938" s="10" t="str">
        <f aca="false">IF($A1938="","",ROW()-2)</f>
        <v/>
      </c>
      <c r="M1938" s="10" t="str">
        <f aca="false">IF($A1938="","",ROW())</f>
        <v/>
      </c>
    </row>
    <row r="1939" customFormat="false" ht="15" hidden="false" customHeight="true" outlineLevel="0" collapsed="false">
      <c r="A1939" s="8"/>
      <c r="B1939" s="8"/>
      <c r="C1939" s="8"/>
      <c r="D1939" s="8"/>
      <c r="E1939" s="8"/>
      <c r="F1939" s="8"/>
      <c r="G1939" s="10" t="str">
        <f aca="false">IF($A1939="","",UPPER(SUBSTITUTE(SUBSTITUTE(SUBSTITUTE(SUBSTITUTE($A1939," ",""),"(주)",""),"주식회사",""),"㈜","")))</f>
        <v/>
      </c>
      <c r="H1939" s="10" t="str">
        <f aca="false">IF($B1939="","",SUBSTITUTE(SUBSTITUTE(SUBSTITUTE($B1939,"-","")," ",""),".",""))</f>
        <v/>
      </c>
      <c r="I1939" s="10" t="str">
        <f aca="false">IF($D1939="","",SUBSTITUTE(SUBSTITUTE(SUBSTITUTE($D1939,"-","")," ",""),".",""))</f>
        <v/>
      </c>
      <c r="J1939" s="10" t="str">
        <f aca="false">IF($E1939="","",UPPER(SUBSTITUTE($E1939," ","")))</f>
        <v/>
      </c>
      <c r="K1939" s="10" t="str">
        <f aca="false">IF($A1939="","",$G1939&amp;"|"&amp;$J1939)</f>
        <v/>
      </c>
      <c r="L1939" s="10" t="str">
        <f aca="false">IF($A1939="","",ROW()-2)</f>
        <v/>
      </c>
      <c r="M1939" s="10" t="str">
        <f aca="false">IF($A1939="","",ROW())</f>
        <v/>
      </c>
    </row>
    <row r="1940" customFormat="false" ht="15" hidden="false" customHeight="true" outlineLevel="0" collapsed="false">
      <c r="A1940" s="8"/>
      <c r="B1940" s="8"/>
      <c r="C1940" s="8"/>
      <c r="D1940" s="8"/>
      <c r="E1940" s="8"/>
      <c r="F1940" s="8"/>
      <c r="G1940" s="10" t="str">
        <f aca="false">IF($A1940="","",UPPER(SUBSTITUTE(SUBSTITUTE(SUBSTITUTE(SUBSTITUTE($A1940," ",""),"(주)",""),"주식회사",""),"㈜","")))</f>
        <v/>
      </c>
      <c r="H1940" s="10" t="str">
        <f aca="false">IF($B1940="","",SUBSTITUTE(SUBSTITUTE(SUBSTITUTE($B1940,"-","")," ",""),".",""))</f>
        <v/>
      </c>
      <c r="I1940" s="10" t="str">
        <f aca="false">IF($D1940="","",SUBSTITUTE(SUBSTITUTE(SUBSTITUTE($D1940,"-","")," ",""),".",""))</f>
        <v/>
      </c>
      <c r="J1940" s="10" t="str">
        <f aca="false">IF($E1940="","",UPPER(SUBSTITUTE($E1940," ","")))</f>
        <v/>
      </c>
      <c r="K1940" s="10" t="str">
        <f aca="false">IF($A1940="","",$G1940&amp;"|"&amp;$J1940)</f>
        <v/>
      </c>
      <c r="L1940" s="10" t="str">
        <f aca="false">IF($A1940="","",ROW()-2)</f>
        <v/>
      </c>
      <c r="M1940" s="10" t="str">
        <f aca="false">IF($A1940="","",ROW())</f>
        <v/>
      </c>
    </row>
    <row r="1941" customFormat="false" ht="15" hidden="false" customHeight="true" outlineLevel="0" collapsed="false">
      <c r="A1941" s="8"/>
      <c r="B1941" s="8"/>
      <c r="C1941" s="8"/>
      <c r="D1941" s="8"/>
      <c r="E1941" s="8"/>
      <c r="F1941" s="8"/>
      <c r="G1941" s="10" t="str">
        <f aca="false">IF($A1941="","",UPPER(SUBSTITUTE(SUBSTITUTE(SUBSTITUTE(SUBSTITUTE($A1941," ",""),"(주)",""),"주식회사",""),"㈜","")))</f>
        <v/>
      </c>
      <c r="H1941" s="10" t="str">
        <f aca="false">IF($B1941="","",SUBSTITUTE(SUBSTITUTE(SUBSTITUTE($B1941,"-","")," ",""),".",""))</f>
        <v/>
      </c>
      <c r="I1941" s="10" t="str">
        <f aca="false">IF($D1941="","",SUBSTITUTE(SUBSTITUTE(SUBSTITUTE($D1941,"-","")," ",""),".",""))</f>
        <v/>
      </c>
      <c r="J1941" s="10" t="str">
        <f aca="false">IF($E1941="","",UPPER(SUBSTITUTE($E1941," ","")))</f>
        <v/>
      </c>
      <c r="K1941" s="10" t="str">
        <f aca="false">IF($A1941="","",$G1941&amp;"|"&amp;$J1941)</f>
        <v/>
      </c>
      <c r="L1941" s="10" t="str">
        <f aca="false">IF($A1941="","",ROW()-2)</f>
        <v/>
      </c>
      <c r="M1941" s="10" t="str">
        <f aca="false">IF($A1941="","",ROW())</f>
        <v/>
      </c>
    </row>
    <row r="1942" customFormat="false" ht="15" hidden="false" customHeight="true" outlineLevel="0" collapsed="false">
      <c r="A1942" s="8"/>
      <c r="B1942" s="8"/>
      <c r="C1942" s="8"/>
      <c r="D1942" s="8"/>
      <c r="E1942" s="8"/>
      <c r="F1942" s="8"/>
      <c r="G1942" s="10" t="str">
        <f aca="false">IF($A1942="","",UPPER(SUBSTITUTE(SUBSTITUTE(SUBSTITUTE(SUBSTITUTE($A1942," ",""),"(주)",""),"주식회사",""),"㈜","")))</f>
        <v/>
      </c>
      <c r="H1942" s="10" t="str">
        <f aca="false">IF($B1942="","",SUBSTITUTE(SUBSTITUTE(SUBSTITUTE($B1942,"-","")," ",""),".",""))</f>
        <v/>
      </c>
      <c r="I1942" s="10" t="str">
        <f aca="false">IF($D1942="","",SUBSTITUTE(SUBSTITUTE(SUBSTITUTE($D1942,"-","")," ",""),".",""))</f>
        <v/>
      </c>
      <c r="J1942" s="10" t="str">
        <f aca="false">IF($E1942="","",UPPER(SUBSTITUTE($E1942," ","")))</f>
        <v/>
      </c>
      <c r="K1942" s="10" t="str">
        <f aca="false">IF($A1942="","",$G1942&amp;"|"&amp;$J1942)</f>
        <v/>
      </c>
      <c r="L1942" s="10" t="str">
        <f aca="false">IF($A1942="","",ROW()-2)</f>
        <v/>
      </c>
      <c r="M1942" s="10" t="str">
        <f aca="false">IF($A1942="","",ROW())</f>
        <v/>
      </c>
    </row>
    <row r="1943" customFormat="false" ht="15" hidden="false" customHeight="true" outlineLevel="0" collapsed="false">
      <c r="A1943" s="8"/>
      <c r="B1943" s="8"/>
      <c r="C1943" s="8"/>
      <c r="D1943" s="8"/>
      <c r="E1943" s="8"/>
      <c r="F1943" s="8"/>
      <c r="G1943" s="10" t="str">
        <f aca="false">IF($A1943="","",UPPER(SUBSTITUTE(SUBSTITUTE(SUBSTITUTE(SUBSTITUTE($A1943," ",""),"(주)",""),"주식회사",""),"㈜","")))</f>
        <v/>
      </c>
      <c r="H1943" s="10" t="str">
        <f aca="false">IF($B1943="","",SUBSTITUTE(SUBSTITUTE(SUBSTITUTE($B1943,"-","")," ",""),".",""))</f>
        <v/>
      </c>
      <c r="I1943" s="10" t="str">
        <f aca="false">IF($D1943="","",SUBSTITUTE(SUBSTITUTE(SUBSTITUTE($D1943,"-","")," ",""),".",""))</f>
        <v/>
      </c>
      <c r="J1943" s="10" t="str">
        <f aca="false">IF($E1943="","",UPPER(SUBSTITUTE($E1943," ","")))</f>
        <v/>
      </c>
      <c r="K1943" s="10" t="str">
        <f aca="false">IF($A1943="","",$G1943&amp;"|"&amp;$J1943)</f>
        <v/>
      </c>
      <c r="L1943" s="10" t="str">
        <f aca="false">IF($A1943="","",ROW()-2)</f>
        <v/>
      </c>
      <c r="M1943" s="10" t="str">
        <f aca="false">IF($A1943="","",ROW())</f>
        <v/>
      </c>
    </row>
    <row r="1944" customFormat="false" ht="15" hidden="false" customHeight="true" outlineLevel="0" collapsed="false">
      <c r="A1944" s="8"/>
      <c r="B1944" s="8"/>
      <c r="C1944" s="8"/>
      <c r="D1944" s="8"/>
      <c r="E1944" s="8"/>
      <c r="F1944" s="8"/>
      <c r="G1944" s="10" t="str">
        <f aca="false">IF($A1944="","",UPPER(SUBSTITUTE(SUBSTITUTE(SUBSTITUTE(SUBSTITUTE($A1944," ",""),"(주)",""),"주식회사",""),"㈜","")))</f>
        <v/>
      </c>
      <c r="H1944" s="10" t="str">
        <f aca="false">IF($B1944="","",SUBSTITUTE(SUBSTITUTE(SUBSTITUTE($B1944,"-","")," ",""),".",""))</f>
        <v/>
      </c>
      <c r="I1944" s="10" t="str">
        <f aca="false">IF($D1944="","",SUBSTITUTE(SUBSTITUTE(SUBSTITUTE($D1944,"-","")," ",""),".",""))</f>
        <v/>
      </c>
      <c r="J1944" s="10" t="str">
        <f aca="false">IF($E1944="","",UPPER(SUBSTITUTE($E1944," ","")))</f>
        <v/>
      </c>
      <c r="K1944" s="10" t="str">
        <f aca="false">IF($A1944="","",$G1944&amp;"|"&amp;$J1944)</f>
        <v/>
      </c>
      <c r="L1944" s="10" t="str">
        <f aca="false">IF($A1944="","",ROW()-2)</f>
        <v/>
      </c>
      <c r="M1944" s="10" t="str">
        <f aca="false">IF($A1944="","",ROW())</f>
        <v/>
      </c>
    </row>
    <row r="1945" customFormat="false" ht="15" hidden="false" customHeight="true" outlineLevel="0" collapsed="false">
      <c r="A1945" s="8"/>
      <c r="B1945" s="8"/>
      <c r="C1945" s="8"/>
      <c r="D1945" s="8"/>
      <c r="E1945" s="8"/>
      <c r="F1945" s="8"/>
      <c r="G1945" s="10" t="str">
        <f aca="false">IF($A1945="","",UPPER(SUBSTITUTE(SUBSTITUTE(SUBSTITUTE(SUBSTITUTE($A1945," ",""),"(주)",""),"주식회사",""),"㈜","")))</f>
        <v/>
      </c>
      <c r="H1945" s="10" t="str">
        <f aca="false">IF($B1945="","",SUBSTITUTE(SUBSTITUTE(SUBSTITUTE($B1945,"-","")," ",""),".",""))</f>
        <v/>
      </c>
      <c r="I1945" s="10" t="str">
        <f aca="false">IF($D1945="","",SUBSTITUTE(SUBSTITUTE(SUBSTITUTE($D1945,"-","")," ",""),".",""))</f>
        <v/>
      </c>
      <c r="J1945" s="10" t="str">
        <f aca="false">IF($E1945="","",UPPER(SUBSTITUTE($E1945," ","")))</f>
        <v/>
      </c>
      <c r="K1945" s="10" t="str">
        <f aca="false">IF($A1945="","",$G1945&amp;"|"&amp;$J1945)</f>
        <v/>
      </c>
      <c r="L1945" s="10" t="str">
        <f aca="false">IF($A1945="","",ROW()-2)</f>
        <v/>
      </c>
      <c r="M1945" s="10" t="str">
        <f aca="false">IF($A1945="","",ROW())</f>
        <v/>
      </c>
    </row>
    <row r="1946" customFormat="false" ht="15" hidden="false" customHeight="true" outlineLevel="0" collapsed="false">
      <c r="A1946" s="8"/>
      <c r="B1946" s="8"/>
      <c r="C1946" s="8"/>
      <c r="D1946" s="8"/>
      <c r="E1946" s="8"/>
      <c r="F1946" s="8"/>
      <c r="G1946" s="10" t="str">
        <f aca="false">IF($A1946="","",UPPER(SUBSTITUTE(SUBSTITUTE(SUBSTITUTE(SUBSTITUTE($A1946," ",""),"(주)",""),"주식회사",""),"㈜","")))</f>
        <v/>
      </c>
      <c r="H1946" s="10" t="str">
        <f aca="false">IF($B1946="","",SUBSTITUTE(SUBSTITUTE(SUBSTITUTE($B1946,"-","")," ",""),".",""))</f>
        <v/>
      </c>
      <c r="I1946" s="10" t="str">
        <f aca="false">IF($D1946="","",SUBSTITUTE(SUBSTITUTE(SUBSTITUTE($D1946,"-","")," ",""),".",""))</f>
        <v/>
      </c>
      <c r="J1946" s="10" t="str">
        <f aca="false">IF($E1946="","",UPPER(SUBSTITUTE($E1946," ","")))</f>
        <v/>
      </c>
      <c r="K1946" s="10" t="str">
        <f aca="false">IF($A1946="","",$G1946&amp;"|"&amp;$J1946)</f>
        <v/>
      </c>
      <c r="L1946" s="10" t="str">
        <f aca="false">IF($A1946="","",ROW()-2)</f>
        <v/>
      </c>
      <c r="M1946" s="10" t="str">
        <f aca="false">IF($A1946="","",ROW())</f>
        <v/>
      </c>
    </row>
    <row r="1947" customFormat="false" ht="15" hidden="false" customHeight="true" outlineLevel="0" collapsed="false">
      <c r="A1947" s="8"/>
      <c r="B1947" s="8"/>
      <c r="C1947" s="8"/>
      <c r="D1947" s="8"/>
      <c r="E1947" s="8"/>
      <c r="F1947" s="8"/>
      <c r="G1947" s="10" t="str">
        <f aca="false">IF($A1947="","",UPPER(SUBSTITUTE(SUBSTITUTE(SUBSTITUTE(SUBSTITUTE($A1947," ",""),"(주)",""),"주식회사",""),"㈜","")))</f>
        <v/>
      </c>
      <c r="H1947" s="10" t="str">
        <f aca="false">IF($B1947="","",SUBSTITUTE(SUBSTITUTE(SUBSTITUTE($B1947,"-","")," ",""),".",""))</f>
        <v/>
      </c>
      <c r="I1947" s="10" t="str">
        <f aca="false">IF($D1947="","",SUBSTITUTE(SUBSTITUTE(SUBSTITUTE($D1947,"-","")," ",""),".",""))</f>
        <v/>
      </c>
      <c r="J1947" s="10" t="str">
        <f aca="false">IF($E1947="","",UPPER(SUBSTITUTE($E1947," ","")))</f>
        <v/>
      </c>
      <c r="K1947" s="10" t="str">
        <f aca="false">IF($A1947="","",$G1947&amp;"|"&amp;$J1947)</f>
        <v/>
      </c>
      <c r="L1947" s="10" t="str">
        <f aca="false">IF($A1947="","",ROW()-2)</f>
        <v/>
      </c>
      <c r="M1947" s="10" t="str">
        <f aca="false">IF($A1947="","",ROW())</f>
        <v/>
      </c>
    </row>
    <row r="1948" customFormat="false" ht="15" hidden="false" customHeight="true" outlineLevel="0" collapsed="false">
      <c r="A1948" s="8"/>
      <c r="B1948" s="8"/>
      <c r="C1948" s="8"/>
      <c r="D1948" s="8"/>
      <c r="E1948" s="8"/>
      <c r="F1948" s="8"/>
      <c r="G1948" s="10" t="str">
        <f aca="false">IF($A1948="","",UPPER(SUBSTITUTE(SUBSTITUTE(SUBSTITUTE(SUBSTITUTE($A1948," ",""),"(주)",""),"주식회사",""),"㈜","")))</f>
        <v/>
      </c>
      <c r="H1948" s="10" t="str">
        <f aca="false">IF($B1948="","",SUBSTITUTE(SUBSTITUTE(SUBSTITUTE($B1948,"-","")," ",""),".",""))</f>
        <v/>
      </c>
      <c r="I1948" s="10" t="str">
        <f aca="false">IF($D1948="","",SUBSTITUTE(SUBSTITUTE(SUBSTITUTE($D1948,"-","")," ",""),".",""))</f>
        <v/>
      </c>
      <c r="J1948" s="10" t="str">
        <f aca="false">IF($E1948="","",UPPER(SUBSTITUTE($E1948," ","")))</f>
        <v/>
      </c>
      <c r="K1948" s="10" t="str">
        <f aca="false">IF($A1948="","",$G1948&amp;"|"&amp;$J1948)</f>
        <v/>
      </c>
      <c r="L1948" s="10" t="str">
        <f aca="false">IF($A1948="","",ROW()-2)</f>
        <v/>
      </c>
      <c r="M1948" s="10" t="str">
        <f aca="false">IF($A1948="","",ROW())</f>
        <v/>
      </c>
    </row>
    <row r="1949" customFormat="false" ht="15" hidden="false" customHeight="true" outlineLevel="0" collapsed="false">
      <c r="A1949" s="8"/>
      <c r="B1949" s="8"/>
      <c r="C1949" s="8"/>
      <c r="D1949" s="8"/>
      <c r="E1949" s="8"/>
      <c r="F1949" s="8"/>
      <c r="G1949" s="10" t="str">
        <f aca="false">IF($A1949="","",UPPER(SUBSTITUTE(SUBSTITUTE(SUBSTITUTE(SUBSTITUTE($A1949," ",""),"(주)",""),"주식회사",""),"㈜","")))</f>
        <v/>
      </c>
      <c r="H1949" s="10" t="str">
        <f aca="false">IF($B1949="","",SUBSTITUTE(SUBSTITUTE(SUBSTITUTE($B1949,"-","")," ",""),".",""))</f>
        <v/>
      </c>
      <c r="I1949" s="10" t="str">
        <f aca="false">IF($D1949="","",SUBSTITUTE(SUBSTITUTE(SUBSTITUTE($D1949,"-","")," ",""),".",""))</f>
        <v/>
      </c>
      <c r="J1949" s="10" t="str">
        <f aca="false">IF($E1949="","",UPPER(SUBSTITUTE($E1949," ","")))</f>
        <v/>
      </c>
      <c r="K1949" s="10" t="str">
        <f aca="false">IF($A1949="","",$G1949&amp;"|"&amp;$J1949)</f>
        <v/>
      </c>
      <c r="L1949" s="10" t="str">
        <f aca="false">IF($A1949="","",ROW()-2)</f>
        <v/>
      </c>
      <c r="M1949" s="10" t="str">
        <f aca="false">IF($A1949="","",ROW())</f>
        <v/>
      </c>
    </row>
    <row r="1950" customFormat="false" ht="15" hidden="false" customHeight="true" outlineLevel="0" collapsed="false">
      <c r="A1950" s="8"/>
      <c r="B1950" s="8"/>
      <c r="C1950" s="8"/>
      <c r="D1950" s="8"/>
      <c r="E1950" s="8"/>
      <c r="F1950" s="8"/>
      <c r="G1950" s="10" t="str">
        <f aca="false">IF($A1950="","",UPPER(SUBSTITUTE(SUBSTITUTE(SUBSTITUTE(SUBSTITUTE($A1950," ",""),"(주)",""),"주식회사",""),"㈜","")))</f>
        <v/>
      </c>
      <c r="H1950" s="10" t="str">
        <f aca="false">IF($B1950="","",SUBSTITUTE(SUBSTITUTE(SUBSTITUTE($B1950,"-","")," ",""),".",""))</f>
        <v/>
      </c>
      <c r="I1950" s="10" t="str">
        <f aca="false">IF($D1950="","",SUBSTITUTE(SUBSTITUTE(SUBSTITUTE($D1950,"-","")," ",""),".",""))</f>
        <v/>
      </c>
      <c r="J1950" s="10" t="str">
        <f aca="false">IF($E1950="","",UPPER(SUBSTITUTE($E1950," ","")))</f>
        <v/>
      </c>
      <c r="K1950" s="10" t="str">
        <f aca="false">IF($A1950="","",$G1950&amp;"|"&amp;$J1950)</f>
        <v/>
      </c>
      <c r="L1950" s="10" t="str">
        <f aca="false">IF($A1950="","",ROW()-2)</f>
        <v/>
      </c>
      <c r="M1950" s="10" t="str">
        <f aca="false">IF($A1950="","",ROW())</f>
        <v/>
      </c>
    </row>
    <row r="1951" customFormat="false" ht="15" hidden="false" customHeight="true" outlineLevel="0" collapsed="false">
      <c r="A1951" s="8"/>
      <c r="B1951" s="8"/>
      <c r="C1951" s="8"/>
      <c r="D1951" s="8"/>
      <c r="E1951" s="8"/>
      <c r="F1951" s="8"/>
      <c r="G1951" s="10" t="str">
        <f aca="false">IF($A1951="","",UPPER(SUBSTITUTE(SUBSTITUTE(SUBSTITUTE(SUBSTITUTE($A1951," ",""),"(주)",""),"주식회사",""),"㈜","")))</f>
        <v/>
      </c>
      <c r="H1951" s="10" t="str">
        <f aca="false">IF($B1951="","",SUBSTITUTE(SUBSTITUTE(SUBSTITUTE($B1951,"-","")," ",""),".",""))</f>
        <v/>
      </c>
      <c r="I1951" s="10" t="str">
        <f aca="false">IF($D1951="","",SUBSTITUTE(SUBSTITUTE(SUBSTITUTE($D1951,"-","")," ",""),".",""))</f>
        <v/>
      </c>
      <c r="J1951" s="10" t="str">
        <f aca="false">IF($E1951="","",UPPER(SUBSTITUTE($E1951," ","")))</f>
        <v/>
      </c>
      <c r="K1951" s="10" t="str">
        <f aca="false">IF($A1951="","",$G1951&amp;"|"&amp;$J1951)</f>
        <v/>
      </c>
      <c r="L1951" s="10" t="str">
        <f aca="false">IF($A1951="","",ROW()-2)</f>
        <v/>
      </c>
      <c r="M1951" s="10" t="str">
        <f aca="false">IF($A1951="","",ROW())</f>
        <v/>
      </c>
    </row>
    <row r="1952" customFormat="false" ht="15" hidden="false" customHeight="true" outlineLevel="0" collapsed="false">
      <c r="A1952" s="8"/>
      <c r="B1952" s="8"/>
      <c r="C1952" s="8"/>
      <c r="D1952" s="8"/>
      <c r="E1952" s="8"/>
      <c r="F1952" s="8"/>
      <c r="G1952" s="10" t="str">
        <f aca="false">IF($A1952="","",UPPER(SUBSTITUTE(SUBSTITUTE(SUBSTITUTE(SUBSTITUTE($A1952," ",""),"(주)",""),"주식회사",""),"㈜","")))</f>
        <v/>
      </c>
      <c r="H1952" s="10" t="str">
        <f aca="false">IF($B1952="","",SUBSTITUTE(SUBSTITUTE(SUBSTITUTE($B1952,"-","")," ",""),".",""))</f>
        <v/>
      </c>
      <c r="I1952" s="10" t="str">
        <f aca="false">IF($D1952="","",SUBSTITUTE(SUBSTITUTE(SUBSTITUTE($D1952,"-","")," ",""),".",""))</f>
        <v/>
      </c>
      <c r="J1952" s="10" t="str">
        <f aca="false">IF($E1952="","",UPPER(SUBSTITUTE($E1952," ","")))</f>
        <v/>
      </c>
      <c r="K1952" s="10" t="str">
        <f aca="false">IF($A1952="","",$G1952&amp;"|"&amp;$J1952)</f>
        <v/>
      </c>
      <c r="L1952" s="10" t="str">
        <f aca="false">IF($A1952="","",ROW()-2)</f>
        <v/>
      </c>
      <c r="M1952" s="10" t="str">
        <f aca="false">IF($A1952="","",ROW())</f>
        <v/>
      </c>
    </row>
    <row r="1953" customFormat="false" ht="15" hidden="false" customHeight="true" outlineLevel="0" collapsed="false">
      <c r="A1953" s="8"/>
      <c r="B1953" s="8"/>
      <c r="C1953" s="8"/>
      <c r="D1953" s="8"/>
      <c r="E1953" s="8"/>
      <c r="F1953" s="8"/>
      <c r="G1953" s="10" t="str">
        <f aca="false">IF($A1953="","",UPPER(SUBSTITUTE(SUBSTITUTE(SUBSTITUTE(SUBSTITUTE($A1953," ",""),"(주)",""),"주식회사",""),"㈜","")))</f>
        <v/>
      </c>
      <c r="H1953" s="10" t="str">
        <f aca="false">IF($B1953="","",SUBSTITUTE(SUBSTITUTE(SUBSTITUTE($B1953,"-","")," ",""),".",""))</f>
        <v/>
      </c>
      <c r="I1953" s="10" t="str">
        <f aca="false">IF($D1953="","",SUBSTITUTE(SUBSTITUTE(SUBSTITUTE($D1953,"-","")," ",""),".",""))</f>
        <v/>
      </c>
      <c r="J1953" s="10" t="str">
        <f aca="false">IF($E1953="","",UPPER(SUBSTITUTE($E1953," ","")))</f>
        <v/>
      </c>
      <c r="K1953" s="10" t="str">
        <f aca="false">IF($A1953="","",$G1953&amp;"|"&amp;$J1953)</f>
        <v/>
      </c>
      <c r="L1953" s="10" t="str">
        <f aca="false">IF($A1953="","",ROW()-2)</f>
        <v/>
      </c>
      <c r="M1953" s="10" t="str">
        <f aca="false">IF($A1953="","",ROW())</f>
        <v/>
      </c>
    </row>
    <row r="1954" customFormat="false" ht="15" hidden="false" customHeight="true" outlineLevel="0" collapsed="false">
      <c r="A1954" s="8"/>
      <c r="B1954" s="8"/>
      <c r="C1954" s="8"/>
      <c r="D1954" s="8"/>
      <c r="E1954" s="8"/>
      <c r="F1954" s="8"/>
      <c r="G1954" s="10" t="str">
        <f aca="false">IF($A1954="","",UPPER(SUBSTITUTE(SUBSTITUTE(SUBSTITUTE(SUBSTITUTE($A1954," ",""),"(주)",""),"주식회사",""),"㈜","")))</f>
        <v/>
      </c>
      <c r="H1954" s="10" t="str">
        <f aca="false">IF($B1954="","",SUBSTITUTE(SUBSTITUTE(SUBSTITUTE($B1954,"-","")," ",""),".",""))</f>
        <v/>
      </c>
      <c r="I1954" s="10" t="str">
        <f aca="false">IF($D1954="","",SUBSTITUTE(SUBSTITUTE(SUBSTITUTE($D1954,"-","")," ",""),".",""))</f>
        <v/>
      </c>
      <c r="J1954" s="10" t="str">
        <f aca="false">IF($E1954="","",UPPER(SUBSTITUTE($E1954," ","")))</f>
        <v/>
      </c>
      <c r="K1954" s="10" t="str">
        <f aca="false">IF($A1954="","",$G1954&amp;"|"&amp;$J1954)</f>
        <v/>
      </c>
      <c r="L1954" s="10" t="str">
        <f aca="false">IF($A1954="","",ROW()-2)</f>
        <v/>
      </c>
      <c r="M1954" s="10" t="str">
        <f aca="false">IF($A1954="","",ROW())</f>
        <v/>
      </c>
    </row>
    <row r="1955" customFormat="false" ht="15" hidden="false" customHeight="true" outlineLevel="0" collapsed="false">
      <c r="A1955" s="8"/>
      <c r="B1955" s="8"/>
      <c r="C1955" s="8"/>
      <c r="D1955" s="8"/>
      <c r="E1955" s="8"/>
      <c r="F1955" s="8"/>
      <c r="G1955" s="10" t="str">
        <f aca="false">IF($A1955="","",UPPER(SUBSTITUTE(SUBSTITUTE(SUBSTITUTE(SUBSTITUTE($A1955," ",""),"(주)",""),"주식회사",""),"㈜","")))</f>
        <v/>
      </c>
      <c r="H1955" s="10" t="str">
        <f aca="false">IF($B1955="","",SUBSTITUTE(SUBSTITUTE(SUBSTITUTE($B1955,"-","")," ",""),".",""))</f>
        <v/>
      </c>
      <c r="I1955" s="10" t="str">
        <f aca="false">IF($D1955="","",SUBSTITUTE(SUBSTITUTE(SUBSTITUTE($D1955,"-","")," ",""),".",""))</f>
        <v/>
      </c>
      <c r="J1955" s="10" t="str">
        <f aca="false">IF($E1955="","",UPPER(SUBSTITUTE($E1955," ","")))</f>
        <v/>
      </c>
      <c r="K1955" s="10" t="str">
        <f aca="false">IF($A1955="","",$G1955&amp;"|"&amp;$J1955)</f>
        <v/>
      </c>
      <c r="L1955" s="10" t="str">
        <f aca="false">IF($A1955="","",ROW()-2)</f>
        <v/>
      </c>
      <c r="M1955" s="10" t="str">
        <f aca="false">IF($A1955="","",ROW())</f>
        <v/>
      </c>
    </row>
    <row r="1956" customFormat="false" ht="15" hidden="false" customHeight="true" outlineLevel="0" collapsed="false">
      <c r="A1956" s="8"/>
      <c r="B1956" s="8"/>
      <c r="C1956" s="8"/>
      <c r="D1956" s="8"/>
      <c r="E1956" s="8"/>
      <c r="F1956" s="8"/>
      <c r="G1956" s="10" t="str">
        <f aca="false">IF($A1956="","",UPPER(SUBSTITUTE(SUBSTITUTE(SUBSTITUTE(SUBSTITUTE($A1956," ",""),"(주)",""),"주식회사",""),"㈜","")))</f>
        <v/>
      </c>
      <c r="H1956" s="10" t="str">
        <f aca="false">IF($B1956="","",SUBSTITUTE(SUBSTITUTE(SUBSTITUTE($B1956,"-","")," ",""),".",""))</f>
        <v/>
      </c>
      <c r="I1956" s="10" t="str">
        <f aca="false">IF($D1956="","",SUBSTITUTE(SUBSTITUTE(SUBSTITUTE($D1956,"-","")," ",""),".",""))</f>
        <v/>
      </c>
      <c r="J1956" s="10" t="str">
        <f aca="false">IF($E1956="","",UPPER(SUBSTITUTE($E1956," ","")))</f>
        <v/>
      </c>
      <c r="K1956" s="10" t="str">
        <f aca="false">IF($A1956="","",$G1956&amp;"|"&amp;$J1956)</f>
        <v/>
      </c>
      <c r="L1956" s="10" t="str">
        <f aca="false">IF($A1956="","",ROW()-2)</f>
        <v/>
      </c>
      <c r="M1956" s="10" t="str">
        <f aca="false">IF($A1956="","",ROW())</f>
        <v/>
      </c>
    </row>
    <row r="1957" customFormat="false" ht="15" hidden="false" customHeight="true" outlineLevel="0" collapsed="false">
      <c r="A1957" s="8"/>
      <c r="B1957" s="8"/>
      <c r="C1957" s="8"/>
      <c r="D1957" s="8"/>
      <c r="E1957" s="8"/>
      <c r="F1957" s="8"/>
      <c r="G1957" s="10" t="str">
        <f aca="false">IF($A1957="","",UPPER(SUBSTITUTE(SUBSTITUTE(SUBSTITUTE(SUBSTITUTE($A1957," ",""),"(주)",""),"주식회사",""),"㈜","")))</f>
        <v/>
      </c>
      <c r="H1957" s="10" t="str">
        <f aca="false">IF($B1957="","",SUBSTITUTE(SUBSTITUTE(SUBSTITUTE($B1957,"-","")," ",""),".",""))</f>
        <v/>
      </c>
      <c r="I1957" s="10" t="str">
        <f aca="false">IF($D1957="","",SUBSTITUTE(SUBSTITUTE(SUBSTITUTE($D1957,"-","")," ",""),".",""))</f>
        <v/>
      </c>
      <c r="J1957" s="10" t="str">
        <f aca="false">IF($E1957="","",UPPER(SUBSTITUTE($E1957," ","")))</f>
        <v/>
      </c>
      <c r="K1957" s="10" t="str">
        <f aca="false">IF($A1957="","",$G1957&amp;"|"&amp;$J1957)</f>
        <v/>
      </c>
      <c r="L1957" s="10" t="str">
        <f aca="false">IF($A1957="","",ROW()-2)</f>
        <v/>
      </c>
      <c r="M1957" s="10" t="str">
        <f aca="false">IF($A1957="","",ROW())</f>
        <v/>
      </c>
    </row>
    <row r="1958" customFormat="false" ht="15" hidden="false" customHeight="true" outlineLevel="0" collapsed="false">
      <c r="A1958" s="8"/>
      <c r="B1958" s="8"/>
      <c r="C1958" s="8"/>
      <c r="D1958" s="8"/>
      <c r="E1958" s="8"/>
      <c r="F1958" s="8"/>
      <c r="G1958" s="10" t="str">
        <f aca="false">IF($A1958="","",UPPER(SUBSTITUTE(SUBSTITUTE(SUBSTITUTE(SUBSTITUTE($A1958," ",""),"(주)",""),"주식회사",""),"㈜","")))</f>
        <v/>
      </c>
      <c r="H1958" s="10" t="str">
        <f aca="false">IF($B1958="","",SUBSTITUTE(SUBSTITUTE(SUBSTITUTE($B1958,"-","")," ",""),".",""))</f>
        <v/>
      </c>
      <c r="I1958" s="10" t="str">
        <f aca="false">IF($D1958="","",SUBSTITUTE(SUBSTITUTE(SUBSTITUTE($D1958,"-","")," ",""),".",""))</f>
        <v/>
      </c>
      <c r="J1958" s="10" t="str">
        <f aca="false">IF($E1958="","",UPPER(SUBSTITUTE($E1958," ","")))</f>
        <v/>
      </c>
      <c r="K1958" s="10" t="str">
        <f aca="false">IF($A1958="","",$G1958&amp;"|"&amp;$J1958)</f>
        <v/>
      </c>
      <c r="L1958" s="10" t="str">
        <f aca="false">IF($A1958="","",ROW()-2)</f>
        <v/>
      </c>
      <c r="M1958" s="10" t="str">
        <f aca="false">IF($A1958="","",ROW())</f>
        <v/>
      </c>
    </row>
    <row r="1959" customFormat="false" ht="15" hidden="false" customHeight="true" outlineLevel="0" collapsed="false">
      <c r="A1959" s="8"/>
      <c r="B1959" s="8"/>
      <c r="C1959" s="8"/>
      <c r="D1959" s="8"/>
      <c r="E1959" s="8"/>
      <c r="F1959" s="8"/>
      <c r="G1959" s="10" t="str">
        <f aca="false">IF($A1959="","",UPPER(SUBSTITUTE(SUBSTITUTE(SUBSTITUTE(SUBSTITUTE($A1959," ",""),"(주)",""),"주식회사",""),"㈜","")))</f>
        <v/>
      </c>
      <c r="H1959" s="10" t="str">
        <f aca="false">IF($B1959="","",SUBSTITUTE(SUBSTITUTE(SUBSTITUTE($B1959,"-","")," ",""),".",""))</f>
        <v/>
      </c>
      <c r="I1959" s="10" t="str">
        <f aca="false">IF($D1959="","",SUBSTITUTE(SUBSTITUTE(SUBSTITUTE($D1959,"-","")," ",""),".",""))</f>
        <v/>
      </c>
      <c r="J1959" s="10" t="str">
        <f aca="false">IF($E1959="","",UPPER(SUBSTITUTE($E1959," ","")))</f>
        <v/>
      </c>
      <c r="K1959" s="10" t="str">
        <f aca="false">IF($A1959="","",$G1959&amp;"|"&amp;$J1959)</f>
        <v/>
      </c>
      <c r="L1959" s="10" t="str">
        <f aca="false">IF($A1959="","",ROW()-2)</f>
        <v/>
      </c>
      <c r="M1959" s="10" t="str">
        <f aca="false">IF($A1959="","",ROW())</f>
        <v/>
      </c>
    </row>
    <row r="1960" customFormat="false" ht="15" hidden="false" customHeight="true" outlineLevel="0" collapsed="false">
      <c r="A1960" s="8"/>
      <c r="B1960" s="8"/>
      <c r="C1960" s="8"/>
      <c r="D1960" s="8"/>
      <c r="E1960" s="8"/>
      <c r="F1960" s="8"/>
      <c r="G1960" s="10" t="str">
        <f aca="false">IF($A1960="","",UPPER(SUBSTITUTE(SUBSTITUTE(SUBSTITUTE(SUBSTITUTE($A1960," ",""),"(주)",""),"주식회사",""),"㈜","")))</f>
        <v/>
      </c>
      <c r="H1960" s="10" t="str">
        <f aca="false">IF($B1960="","",SUBSTITUTE(SUBSTITUTE(SUBSTITUTE($B1960,"-","")," ",""),".",""))</f>
        <v/>
      </c>
      <c r="I1960" s="10" t="str">
        <f aca="false">IF($D1960="","",SUBSTITUTE(SUBSTITUTE(SUBSTITUTE($D1960,"-","")," ",""),".",""))</f>
        <v/>
      </c>
      <c r="J1960" s="10" t="str">
        <f aca="false">IF($E1960="","",UPPER(SUBSTITUTE($E1960," ","")))</f>
        <v/>
      </c>
      <c r="K1960" s="10" t="str">
        <f aca="false">IF($A1960="","",$G1960&amp;"|"&amp;$J1960)</f>
        <v/>
      </c>
      <c r="L1960" s="10" t="str">
        <f aca="false">IF($A1960="","",ROW()-2)</f>
        <v/>
      </c>
      <c r="M1960" s="10" t="str">
        <f aca="false">IF($A1960="","",ROW())</f>
        <v/>
      </c>
    </row>
    <row r="1961" customFormat="false" ht="15" hidden="false" customHeight="true" outlineLevel="0" collapsed="false">
      <c r="A1961" s="8"/>
      <c r="B1961" s="8"/>
      <c r="C1961" s="8"/>
      <c r="D1961" s="8"/>
      <c r="E1961" s="8"/>
      <c r="F1961" s="8"/>
      <c r="G1961" s="10" t="str">
        <f aca="false">IF($A1961="","",UPPER(SUBSTITUTE(SUBSTITUTE(SUBSTITUTE(SUBSTITUTE($A1961," ",""),"(주)",""),"주식회사",""),"㈜","")))</f>
        <v/>
      </c>
      <c r="H1961" s="10" t="str">
        <f aca="false">IF($B1961="","",SUBSTITUTE(SUBSTITUTE(SUBSTITUTE($B1961,"-","")," ",""),".",""))</f>
        <v/>
      </c>
      <c r="I1961" s="10" t="str">
        <f aca="false">IF($D1961="","",SUBSTITUTE(SUBSTITUTE(SUBSTITUTE($D1961,"-","")," ",""),".",""))</f>
        <v/>
      </c>
      <c r="J1961" s="10" t="str">
        <f aca="false">IF($E1961="","",UPPER(SUBSTITUTE($E1961," ","")))</f>
        <v/>
      </c>
      <c r="K1961" s="10" t="str">
        <f aca="false">IF($A1961="","",$G1961&amp;"|"&amp;$J1961)</f>
        <v/>
      </c>
      <c r="L1961" s="10" t="str">
        <f aca="false">IF($A1961="","",ROW()-2)</f>
        <v/>
      </c>
      <c r="M1961" s="10" t="str">
        <f aca="false">IF($A1961="","",ROW())</f>
        <v/>
      </c>
    </row>
    <row r="1962" customFormat="false" ht="15" hidden="false" customHeight="true" outlineLevel="0" collapsed="false">
      <c r="A1962" s="8"/>
      <c r="B1962" s="8"/>
      <c r="C1962" s="8"/>
      <c r="D1962" s="8"/>
      <c r="E1962" s="8"/>
      <c r="F1962" s="8"/>
      <c r="G1962" s="10" t="str">
        <f aca="false">IF($A1962="","",UPPER(SUBSTITUTE(SUBSTITUTE(SUBSTITUTE(SUBSTITUTE($A1962," ",""),"(주)",""),"주식회사",""),"㈜","")))</f>
        <v/>
      </c>
      <c r="H1962" s="10" t="str">
        <f aca="false">IF($B1962="","",SUBSTITUTE(SUBSTITUTE(SUBSTITUTE($B1962,"-","")," ",""),".",""))</f>
        <v/>
      </c>
      <c r="I1962" s="10" t="str">
        <f aca="false">IF($D1962="","",SUBSTITUTE(SUBSTITUTE(SUBSTITUTE($D1962,"-","")," ",""),".",""))</f>
        <v/>
      </c>
      <c r="J1962" s="10" t="str">
        <f aca="false">IF($E1962="","",UPPER(SUBSTITUTE($E1962," ","")))</f>
        <v/>
      </c>
      <c r="K1962" s="10" t="str">
        <f aca="false">IF($A1962="","",$G1962&amp;"|"&amp;$J1962)</f>
        <v/>
      </c>
      <c r="L1962" s="10" t="str">
        <f aca="false">IF($A1962="","",ROW()-2)</f>
        <v/>
      </c>
      <c r="M1962" s="10" t="str">
        <f aca="false">IF($A1962="","",ROW())</f>
        <v/>
      </c>
    </row>
    <row r="1963" customFormat="false" ht="15" hidden="false" customHeight="true" outlineLevel="0" collapsed="false">
      <c r="A1963" s="8"/>
      <c r="B1963" s="8"/>
      <c r="C1963" s="8"/>
      <c r="D1963" s="8"/>
      <c r="E1963" s="8"/>
      <c r="F1963" s="8"/>
      <c r="G1963" s="10" t="str">
        <f aca="false">IF($A1963="","",UPPER(SUBSTITUTE(SUBSTITUTE(SUBSTITUTE(SUBSTITUTE($A1963," ",""),"(주)",""),"주식회사",""),"㈜","")))</f>
        <v/>
      </c>
      <c r="H1963" s="10" t="str">
        <f aca="false">IF($B1963="","",SUBSTITUTE(SUBSTITUTE(SUBSTITUTE($B1963,"-","")," ",""),".",""))</f>
        <v/>
      </c>
      <c r="I1963" s="10" t="str">
        <f aca="false">IF($D1963="","",SUBSTITUTE(SUBSTITUTE(SUBSTITUTE($D1963,"-","")," ",""),".",""))</f>
        <v/>
      </c>
      <c r="J1963" s="10" t="str">
        <f aca="false">IF($E1963="","",UPPER(SUBSTITUTE($E1963," ","")))</f>
        <v/>
      </c>
      <c r="K1963" s="10" t="str">
        <f aca="false">IF($A1963="","",$G1963&amp;"|"&amp;$J1963)</f>
        <v/>
      </c>
      <c r="L1963" s="10" t="str">
        <f aca="false">IF($A1963="","",ROW()-2)</f>
        <v/>
      </c>
      <c r="M1963" s="10" t="str">
        <f aca="false">IF($A1963="","",ROW())</f>
        <v/>
      </c>
    </row>
    <row r="1964" customFormat="false" ht="15" hidden="false" customHeight="true" outlineLevel="0" collapsed="false">
      <c r="A1964" s="8"/>
      <c r="B1964" s="8"/>
      <c r="C1964" s="8"/>
      <c r="D1964" s="8"/>
      <c r="E1964" s="8"/>
      <c r="F1964" s="8"/>
      <c r="G1964" s="10" t="str">
        <f aca="false">IF($A1964="","",UPPER(SUBSTITUTE(SUBSTITUTE(SUBSTITUTE(SUBSTITUTE($A1964," ",""),"(주)",""),"주식회사",""),"㈜","")))</f>
        <v/>
      </c>
      <c r="H1964" s="10" t="str">
        <f aca="false">IF($B1964="","",SUBSTITUTE(SUBSTITUTE(SUBSTITUTE($B1964,"-","")," ",""),".",""))</f>
        <v/>
      </c>
      <c r="I1964" s="10" t="str">
        <f aca="false">IF($D1964="","",SUBSTITUTE(SUBSTITUTE(SUBSTITUTE($D1964,"-","")," ",""),".",""))</f>
        <v/>
      </c>
      <c r="J1964" s="10" t="str">
        <f aca="false">IF($E1964="","",UPPER(SUBSTITUTE($E1964," ","")))</f>
        <v/>
      </c>
      <c r="K1964" s="10" t="str">
        <f aca="false">IF($A1964="","",$G1964&amp;"|"&amp;$J1964)</f>
        <v/>
      </c>
      <c r="L1964" s="10" t="str">
        <f aca="false">IF($A1964="","",ROW()-2)</f>
        <v/>
      </c>
      <c r="M1964" s="10" t="str">
        <f aca="false">IF($A1964="","",ROW())</f>
        <v/>
      </c>
    </row>
    <row r="1965" customFormat="false" ht="15" hidden="false" customHeight="true" outlineLevel="0" collapsed="false">
      <c r="A1965" s="8"/>
      <c r="B1965" s="8"/>
      <c r="C1965" s="8"/>
      <c r="D1965" s="8"/>
      <c r="E1965" s="8"/>
      <c r="F1965" s="8"/>
      <c r="G1965" s="10" t="str">
        <f aca="false">IF($A1965="","",UPPER(SUBSTITUTE(SUBSTITUTE(SUBSTITUTE(SUBSTITUTE($A1965," ",""),"(주)",""),"주식회사",""),"㈜","")))</f>
        <v/>
      </c>
      <c r="H1965" s="10" t="str">
        <f aca="false">IF($B1965="","",SUBSTITUTE(SUBSTITUTE(SUBSTITUTE($B1965,"-","")," ",""),".",""))</f>
        <v/>
      </c>
      <c r="I1965" s="10" t="str">
        <f aca="false">IF($D1965="","",SUBSTITUTE(SUBSTITUTE(SUBSTITUTE($D1965,"-","")," ",""),".",""))</f>
        <v/>
      </c>
      <c r="J1965" s="10" t="str">
        <f aca="false">IF($E1965="","",UPPER(SUBSTITUTE($E1965," ","")))</f>
        <v/>
      </c>
      <c r="K1965" s="10" t="str">
        <f aca="false">IF($A1965="","",$G1965&amp;"|"&amp;$J1965)</f>
        <v/>
      </c>
      <c r="L1965" s="10" t="str">
        <f aca="false">IF($A1965="","",ROW()-2)</f>
        <v/>
      </c>
      <c r="M1965" s="10" t="str">
        <f aca="false">IF($A1965="","",ROW())</f>
        <v/>
      </c>
    </row>
    <row r="1966" customFormat="false" ht="15" hidden="false" customHeight="true" outlineLevel="0" collapsed="false">
      <c r="A1966" s="8"/>
      <c r="B1966" s="8"/>
      <c r="C1966" s="8"/>
      <c r="D1966" s="8"/>
      <c r="E1966" s="8"/>
      <c r="F1966" s="8"/>
      <c r="G1966" s="10" t="str">
        <f aca="false">IF($A1966="","",UPPER(SUBSTITUTE(SUBSTITUTE(SUBSTITUTE(SUBSTITUTE($A1966," ",""),"(주)",""),"주식회사",""),"㈜","")))</f>
        <v/>
      </c>
      <c r="H1966" s="10" t="str">
        <f aca="false">IF($B1966="","",SUBSTITUTE(SUBSTITUTE(SUBSTITUTE($B1966,"-","")," ",""),".",""))</f>
        <v/>
      </c>
      <c r="I1966" s="10" t="str">
        <f aca="false">IF($D1966="","",SUBSTITUTE(SUBSTITUTE(SUBSTITUTE($D1966,"-","")," ",""),".",""))</f>
        <v/>
      </c>
      <c r="J1966" s="10" t="str">
        <f aca="false">IF($E1966="","",UPPER(SUBSTITUTE($E1966," ","")))</f>
        <v/>
      </c>
      <c r="K1966" s="10" t="str">
        <f aca="false">IF($A1966="","",$G1966&amp;"|"&amp;$J1966)</f>
        <v/>
      </c>
      <c r="L1966" s="10" t="str">
        <f aca="false">IF($A1966="","",ROW()-2)</f>
        <v/>
      </c>
      <c r="M1966" s="10" t="str">
        <f aca="false">IF($A1966="","",ROW())</f>
        <v/>
      </c>
    </row>
    <row r="1967" customFormat="false" ht="15" hidden="false" customHeight="true" outlineLevel="0" collapsed="false">
      <c r="A1967" s="8"/>
      <c r="B1967" s="8"/>
      <c r="C1967" s="8"/>
      <c r="D1967" s="8"/>
      <c r="E1967" s="8"/>
      <c r="F1967" s="8"/>
      <c r="G1967" s="10" t="str">
        <f aca="false">IF($A1967="","",UPPER(SUBSTITUTE(SUBSTITUTE(SUBSTITUTE(SUBSTITUTE($A1967," ",""),"(주)",""),"주식회사",""),"㈜","")))</f>
        <v/>
      </c>
      <c r="H1967" s="10" t="str">
        <f aca="false">IF($B1967="","",SUBSTITUTE(SUBSTITUTE(SUBSTITUTE($B1967,"-","")," ",""),".",""))</f>
        <v/>
      </c>
      <c r="I1967" s="10" t="str">
        <f aca="false">IF($D1967="","",SUBSTITUTE(SUBSTITUTE(SUBSTITUTE($D1967,"-","")," ",""),".",""))</f>
        <v/>
      </c>
      <c r="J1967" s="10" t="str">
        <f aca="false">IF($E1967="","",UPPER(SUBSTITUTE($E1967," ","")))</f>
        <v/>
      </c>
      <c r="K1967" s="10" t="str">
        <f aca="false">IF($A1967="","",$G1967&amp;"|"&amp;$J1967)</f>
        <v/>
      </c>
      <c r="L1967" s="10" t="str">
        <f aca="false">IF($A1967="","",ROW()-2)</f>
        <v/>
      </c>
      <c r="M1967" s="10" t="str">
        <f aca="false">IF($A1967="","",ROW())</f>
        <v/>
      </c>
    </row>
    <row r="1968" customFormat="false" ht="15" hidden="false" customHeight="true" outlineLevel="0" collapsed="false">
      <c r="A1968" s="8"/>
      <c r="B1968" s="8"/>
      <c r="C1968" s="8"/>
      <c r="D1968" s="8"/>
      <c r="E1968" s="8"/>
      <c r="F1968" s="8"/>
      <c r="G1968" s="10" t="str">
        <f aca="false">IF($A1968="","",UPPER(SUBSTITUTE(SUBSTITUTE(SUBSTITUTE(SUBSTITUTE($A1968," ",""),"(주)",""),"주식회사",""),"㈜","")))</f>
        <v/>
      </c>
      <c r="H1968" s="10" t="str">
        <f aca="false">IF($B1968="","",SUBSTITUTE(SUBSTITUTE(SUBSTITUTE($B1968,"-","")," ",""),".",""))</f>
        <v/>
      </c>
      <c r="I1968" s="10" t="str">
        <f aca="false">IF($D1968="","",SUBSTITUTE(SUBSTITUTE(SUBSTITUTE($D1968,"-","")," ",""),".",""))</f>
        <v/>
      </c>
      <c r="J1968" s="10" t="str">
        <f aca="false">IF($E1968="","",UPPER(SUBSTITUTE($E1968," ","")))</f>
        <v/>
      </c>
      <c r="K1968" s="10" t="str">
        <f aca="false">IF($A1968="","",$G1968&amp;"|"&amp;$J1968)</f>
        <v/>
      </c>
      <c r="L1968" s="10" t="str">
        <f aca="false">IF($A1968="","",ROW()-2)</f>
        <v/>
      </c>
      <c r="M1968" s="10" t="str">
        <f aca="false">IF($A1968="","",ROW())</f>
        <v/>
      </c>
    </row>
    <row r="1969" customFormat="false" ht="15" hidden="false" customHeight="true" outlineLevel="0" collapsed="false">
      <c r="A1969" s="8"/>
      <c r="B1969" s="8"/>
      <c r="C1969" s="8"/>
      <c r="D1969" s="8"/>
      <c r="E1969" s="8"/>
      <c r="F1969" s="8"/>
      <c r="G1969" s="10" t="str">
        <f aca="false">IF($A1969="","",UPPER(SUBSTITUTE(SUBSTITUTE(SUBSTITUTE(SUBSTITUTE($A1969," ",""),"(주)",""),"주식회사",""),"㈜","")))</f>
        <v/>
      </c>
      <c r="H1969" s="10" t="str">
        <f aca="false">IF($B1969="","",SUBSTITUTE(SUBSTITUTE(SUBSTITUTE($B1969,"-","")," ",""),".",""))</f>
        <v/>
      </c>
      <c r="I1969" s="10" t="str">
        <f aca="false">IF($D1969="","",SUBSTITUTE(SUBSTITUTE(SUBSTITUTE($D1969,"-","")," ",""),".",""))</f>
        <v/>
      </c>
      <c r="J1969" s="10" t="str">
        <f aca="false">IF($E1969="","",UPPER(SUBSTITUTE($E1969," ","")))</f>
        <v/>
      </c>
      <c r="K1969" s="10" t="str">
        <f aca="false">IF($A1969="","",$G1969&amp;"|"&amp;$J1969)</f>
        <v/>
      </c>
      <c r="L1969" s="10" t="str">
        <f aca="false">IF($A1969="","",ROW()-2)</f>
        <v/>
      </c>
      <c r="M1969" s="10" t="str">
        <f aca="false">IF($A1969="","",ROW())</f>
        <v/>
      </c>
    </row>
    <row r="1970" customFormat="false" ht="15" hidden="false" customHeight="true" outlineLevel="0" collapsed="false">
      <c r="A1970" s="8"/>
      <c r="B1970" s="8"/>
      <c r="C1970" s="8"/>
      <c r="D1970" s="8"/>
      <c r="E1970" s="8"/>
      <c r="F1970" s="8"/>
      <c r="G1970" s="10" t="str">
        <f aca="false">IF($A1970="","",UPPER(SUBSTITUTE(SUBSTITUTE(SUBSTITUTE(SUBSTITUTE($A1970," ",""),"(주)",""),"주식회사",""),"㈜","")))</f>
        <v/>
      </c>
      <c r="H1970" s="10" t="str">
        <f aca="false">IF($B1970="","",SUBSTITUTE(SUBSTITUTE(SUBSTITUTE($B1970,"-","")," ",""),".",""))</f>
        <v/>
      </c>
      <c r="I1970" s="10" t="str">
        <f aca="false">IF($D1970="","",SUBSTITUTE(SUBSTITUTE(SUBSTITUTE($D1970,"-","")," ",""),".",""))</f>
        <v/>
      </c>
      <c r="J1970" s="10" t="str">
        <f aca="false">IF($E1970="","",UPPER(SUBSTITUTE($E1970," ","")))</f>
        <v/>
      </c>
      <c r="K1970" s="10" t="str">
        <f aca="false">IF($A1970="","",$G1970&amp;"|"&amp;$J1970)</f>
        <v/>
      </c>
      <c r="L1970" s="10" t="str">
        <f aca="false">IF($A1970="","",ROW()-2)</f>
        <v/>
      </c>
      <c r="M1970" s="10" t="str">
        <f aca="false">IF($A1970="","",ROW())</f>
        <v/>
      </c>
    </row>
    <row r="1971" customFormat="false" ht="15" hidden="false" customHeight="true" outlineLevel="0" collapsed="false">
      <c r="A1971" s="8"/>
      <c r="B1971" s="8"/>
      <c r="C1971" s="8"/>
      <c r="D1971" s="8"/>
      <c r="E1971" s="8"/>
      <c r="F1971" s="8"/>
      <c r="G1971" s="10" t="str">
        <f aca="false">IF($A1971="","",UPPER(SUBSTITUTE(SUBSTITUTE(SUBSTITUTE(SUBSTITUTE($A1971," ",""),"(주)",""),"주식회사",""),"㈜","")))</f>
        <v/>
      </c>
      <c r="H1971" s="10" t="str">
        <f aca="false">IF($B1971="","",SUBSTITUTE(SUBSTITUTE(SUBSTITUTE($B1971,"-","")," ",""),".",""))</f>
        <v/>
      </c>
      <c r="I1971" s="10" t="str">
        <f aca="false">IF($D1971="","",SUBSTITUTE(SUBSTITUTE(SUBSTITUTE($D1971,"-","")," ",""),".",""))</f>
        <v/>
      </c>
      <c r="J1971" s="10" t="str">
        <f aca="false">IF($E1971="","",UPPER(SUBSTITUTE($E1971," ","")))</f>
        <v/>
      </c>
      <c r="K1971" s="10" t="str">
        <f aca="false">IF($A1971="","",$G1971&amp;"|"&amp;$J1971)</f>
        <v/>
      </c>
      <c r="L1971" s="10" t="str">
        <f aca="false">IF($A1971="","",ROW()-2)</f>
        <v/>
      </c>
      <c r="M1971" s="10" t="str">
        <f aca="false">IF($A1971="","",ROW())</f>
        <v/>
      </c>
    </row>
    <row r="1972" customFormat="false" ht="15" hidden="false" customHeight="true" outlineLevel="0" collapsed="false">
      <c r="A1972" s="8"/>
      <c r="B1972" s="8"/>
      <c r="C1972" s="8"/>
      <c r="D1972" s="8"/>
      <c r="E1972" s="8"/>
      <c r="F1972" s="8"/>
      <c r="G1972" s="10" t="str">
        <f aca="false">IF($A1972="","",UPPER(SUBSTITUTE(SUBSTITUTE(SUBSTITUTE(SUBSTITUTE($A1972," ",""),"(주)",""),"주식회사",""),"㈜","")))</f>
        <v/>
      </c>
      <c r="H1972" s="10" t="str">
        <f aca="false">IF($B1972="","",SUBSTITUTE(SUBSTITUTE(SUBSTITUTE($B1972,"-","")," ",""),".",""))</f>
        <v/>
      </c>
      <c r="I1972" s="10" t="str">
        <f aca="false">IF($D1972="","",SUBSTITUTE(SUBSTITUTE(SUBSTITUTE($D1972,"-","")," ",""),".",""))</f>
        <v/>
      </c>
      <c r="J1972" s="10" t="str">
        <f aca="false">IF($E1972="","",UPPER(SUBSTITUTE($E1972," ","")))</f>
        <v/>
      </c>
      <c r="K1972" s="10" t="str">
        <f aca="false">IF($A1972="","",$G1972&amp;"|"&amp;$J1972)</f>
        <v/>
      </c>
      <c r="L1972" s="10" t="str">
        <f aca="false">IF($A1972="","",ROW()-2)</f>
        <v/>
      </c>
      <c r="M1972" s="10" t="str">
        <f aca="false">IF($A1972="","",ROW())</f>
        <v/>
      </c>
    </row>
    <row r="1973" customFormat="false" ht="15" hidden="false" customHeight="true" outlineLevel="0" collapsed="false">
      <c r="A1973" s="8"/>
      <c r="B1973" s="8"/>
      <c r="C1973" s="8"/>
      <c r="D1973" s="8"/>
      <c r="E1973" s="8"/>
      <c r="F1973" s="8"/>
      <c r="G1973" s="10" t="str">
        <f aca="false">IF($A1973="","",UPPER(SUBSTITUTE(SUBSTITUTE(SUBSTITUTE(SUBSTITUTE($A1973," ",""),"(주)",""),"주식회사",""),"㈜","")))</f>
        <v/>
      </c>
      <c r="H1973" s="10" t="str">
        <f aca="false">IF($B1973="","",SUBSTITUTE(SUBSTITUTE(SUBSTITUTE($B1973,"-","")," ",""),".",""))</f>
        <v/>
      </c>
      <c r="I1973" s="10" t="str">
        <f aca="false">IF($D1973="","",SUBSTITUTE(SUBSTITUTE(SUBSTITUTE($D1973,"-","")," ",""),".",""))</f>
        <v/>
      </c>
      <c r="J1973" s="10" t="str">
        <f aca="false">IF($E1973="","",UPPER(SUBSTITUTE($E1973," ","")))</f>
        <v/>
      </c>
      <c r="K1973" s="10" t="str">
        <f aca="false">IF($A1973="","",$G1973&amp;"|"&amp;$J1973)</f>
        <v/>
      </c>
      <c r="L1973" s="10" t="str">
        <f aca="false">IF($A1973="","",ROW()-2)</f>
        <v/>
      </c>
      <c r="M1973" s="10" t="str">
        <f aca="false">IF($A1973="","",ROW())</f>
        <v/>
      </c>
    </row>
    <row r="1974" customFormat="false" ht="15" hidden="false" customHeight="true" outlineLevel="0" collapsed="false">
      <c r="A1974" s="8"/>
      <c r="B1974" s="8"/>
      <c r="C1974" s="8"/>
      <c r="D1974" s="8"/>
      <c r="E1974" s="8"/>
      <c r="F1974" s="8"/>
      <c r="G1974" s="10" t="str">
        <f aca="false">IF($A1974="","",UPPER(SUBSTITUTE(SUBSTITUTE(SUBSTITUTE(SUBSTITUTE($A1974," ",""),"(주)",""),"주식회사",""),"㈜","")))</f>
        <v/>
      </c>
      <c r="H1974" s="10" t="str">
        <f aca="false">IF($B1974="","",SUBSTITUTE(SUBSTITUTE(SUBSTITUTE($B1974,"-","")," ",""),".",""))</f>
        <v/>
      </c>
      <c r="I1974" s="10" t="str">
        <f aca="false">IF($D1974="","",SUBSTITUTE(SUBSTITUTE(SUBSTITUTE($D1974,"-","")," ",""),".",""))</f>
        <v/>
      </c>
      <c r="J1974" s="10" t="str">
        <f aca="false">IF($E1974="","",UPPER(SUBSTITUTE($E1974," ","")))</f>
        <v/>
      </c>
      <c r="K1974" s="10" t="str">
        <f aca="false">IF($A1974="","",$G1974&amp;"|"&amp;$J1974)</f>
        <v/>
      </c>
      <c r="L1974" s="10" t="str">
        <f aca="false">IF($A1974="","",ROW()-2)</f>
        <v/>
      </c>
      <c r="M1974" s="10" t="str">
        <f aca="false">IF($A1974="","",ROW())</f>
        <v/>
      </c>
    </row>
    <row r="1975" customFormat="false" ht="15" hidden="false" customHeight="true" outlineLevel="0" collapsed="false">
      <c r="A1975" s="8"/>
      <c r="B1975" s="8"/>
      <c r="C1975" s="8"/>
      <c r="D1975" s="8"/>
      <c r="E1975" s="8"/>
      <c r="F1975" s="8"/>
      <c r="G1975" s="10" t="str">
        <f aca="false">IF($A1975="","",UPPER(SUBSTITUTE(SUBSTITUTE(SUBSTITUTE(SUBSTITUTE($A1975," ",""),"(주)",""),"주식회사",""),"㈜","")))</f>
        <v/>
      </c>
      <c r="H1975" s="10" t="str">
        <f aca="false">IF($B1975="","",SUBSTITUTE(SUBSTITUTE(SUBSTITUTE($B1975,"-","")," ",""),".",""))</f>
        <v/>
      </c>
      <c r="I1975" s="10" t="str">
        <f aca="false">IF($D1975="","",SUBSTITUTE(SUBSTITUTE(SUBSTITUTE($D1975,"-","")," ",""),".",""))</f>
        <v/>
      </c>
      <c r="J1975" s="10" t="str">
        <f aca="false">IF($E1975="","",UPPER(SUBSTITUTE($E1975," ","")))</f>
        <v/>
      </c>
      <c r="K1975" s="10" t="str">
        <f aca="false">IF($A1975="","",$G1975&amp;"|"&amp;$J1975)</f>
        <v/>
      </c>
      <c r="L1975" s="10" t="str">
        <f aca="false">IF($A1975="","",ROW()-2)</f>
        <v/>
      </c>
      <c r="M1975" s="10" t="str">
        <f aca="false">IF($A1975="","",ROW())</f>
        <v/>
      </c>
    </row>
    <row r="1976" customFormat="false" ht="15" hidden="false" customHeight="true" outlineLevel="0" collapsed="false">
      <c r="A1976" s="8"/>
      <c r="B1976" s="8"/>
      <c r="C1976" s="8"/>
      <c r="D1976" s="8"/>
      <c r="E1976" s="8"/>
      <c r="F1976" s="8"/>
      <c r="G1976" s="10" t="str">
        <f aca="false">IF($A1976="","",UPPER(SUBSTITUTE(SUBSTITUTE(SUBSTITUTE(SUBSTITUTE($A1976," ",""),"(주)",""),"주식회사",""),"㈜","")))</f>
        <v/>
      </c>
      <c r="H1976" s="10" t="str">
        <f aca="false">IF($B1976="","",SUBSTITUTE(SUBSTITUTE(SUBSTITUTE($B1976,"-","")," ",""),".",""))</f>
        <v/>
      </c>
      <c r="I1976" s="10" t="str">
        <f aca="false">IF($D1976="","",SUBSTITUTE(SUBSTITUTE(SUBSTITUTE($D1976,"-","")," ",""),".",""))</f>
        <v/>
      </c>
      <c r="J1976" s="10" t="str">
        <f aca="false">IF($E1976="","",UPPER(SUBSTITUTE($E1976," ","")))</f>
        <v/>
      </c>
      <c r="K1976" s="10" t="str">
        <f aca="false">IF($A1976="","",$G1976&amp;"|"&amp;$J1976)</f>
        <v/>
      </c>
      <c r="L1976" s="10" t="str">
        <f aca="false">IF($A1976="","",ROW()-2)</f>
        <v/>
      </c>
      <c r="M1976" s="10" t="str">
        <f aca="false">IF($A1976="","",ROW())</f>
        <v/>
      </c>
    </row>
    <row r="1977" customFormat="false" ht="15" hidden="false" customHeight="true" outlineLevel="0" collapsed="false">
      <c r="A1977" s="8"/>
      <c r="B1977" s="8"/>
      <c r="C1977" s="8"/>
      <c r="D1977" s="8"/>
      <c r="E1977" s="8"/>
      <c r="F1977" s="8"/>
      <c r="G1977" s="10" t="str">
        <f aca="false">IF($A1977="","",UPPER(SUBSTITUTE(SUBSTITUTE(SUBSTITUTE(SUBSTITUTE($A1977," ",""),"(주)",""),"주식회사",""),"㈜","")))</f>
        <v/>
      </c>
      <c r="H1977" s="10" t="str">
        <f aca="false">IF($B1977="","",SUBSTITUTE(SUBSTITUTE(SUBSTITUTE($B1977,"-","")," ",""),".",""))</f>
        <v/>
      </c>
      <c r="I1977" s="10" t="str">
        <f aca="false">IF($D1977="","",SUBSTITUTE(SUBSTITUTE(SUBSTITUTE($D1977,"-","")," ",""),".",""))</f>
        <v/>
      </c>
      <c r="J1977" s="10" t="str">
        <f aca="false">IF($E1977="","",UPPER(SUBSTITUTE($E1977," ","")))</f>
        <v/>
      </c>
      <c r="K1977" s="10" t="str">
        <f aca="false">IF($A1977="","",$G1977&amp;"|"&amp;$J1977)</f>
        <v/>
      </c>
      <c r="L1977" s="10" t="str">
        <f aca="false">IF($A1977="","",ROW()-2)</f>
        <v/>
      </c>
      <c r="M1977" s="10" t="str">
        <f aca="false">IF($A1977="","",ROW())</f>
        <v/>
      </c>
    </row>
    <row r="1978" customFormat="false" ht="15" hidden="false" customHeight="true" outlineLevel="0" collapsed="false">
      <c r="A1978" s="8"/>
      <c r="B1978" s="8"/>
      <c r="C1978" s="8"/>
      <c r="D1978" s="8"/>
      <c r="E1978" s="8"/>
      <c r="F1978" s="8"/>
      <c r="G1978" s="10" t="str">
        <f aca="false">IF($A1978="","",UPPER(SUBSTITUTE(SUBSTITUTE(SUBSTITUTE(SUBSTITUTE($A1978," ",""),"(주)",""),"주식회사",""),"㈜","")))</f>
        <v/>
      </c>
      <c r="H1978" s="10" t="str">
        <f aca="false">IF($B1978="","",SUBSTITUTE(SUBSTITUTE(SUBSTITUTE($B1978,"-","")," ",""),".",""))</f>
        <v/>
      </c>
      <c r="I1978" s="10" t="str">
        <f aca="false">IF($D1978="","",SUBSTITUTE(SUBSTITUTE(SUBSTITUTE($D1978,"-","")," ",""),".",""))</f>
        <v/>
      </c>
      <c r="J1978" s="10" t="str">
        <f aca="false">IF($E1978="","",UPPER(SUBSTITUTE($E1978," ","")))</f>
        <v/>
      </c>
      <c r="K1978" s="10" t="str">
        <f aca="false">IF($A1978="","",$G1978&amp;"|"&amp;$J1978)</f>
        <v/>
      </c>
      <c r="L1978" s="10" t="str">
        <f aca="false">IF($A1978="","",ROW()-2)</f>
        <v/>
      </c>
      <c r="M1978" s="10" t="str">
        <f aca="false">IF($A1978="","",ROW())</f>
        <v/>
      </c>
    </row>
    <row r="1979" customFormat="false" ht="15" hidden="false" customHeight="true" outlineLevel="0" collapsed="false">
      <c r="A1979" s="8"/>
      <c r="B1979" s="8"/>
      <c r="C1979" s="8"/>
      <c r="D1979" s="8"/>
      <c r="E1979" s="8"/>
      <c r="F1979" s="8"/>
      <c r="G1979" s="10" t="str">
        <f aca="false">IF($A1979="","",UPPER(SUBSTITUTE(SUBSTITUTE(SUBSTITUTE(SUBSTITUTE($A1979," ",""),"(주)",""),"주식회사",""),"㈜","")))</f>
        <v/>
      </c>
      <c r="H1979" s="10" t="str">
        <f aca="false">IF($B1979="","",SUBSTITUTE(SUBSTITUTE(SUBSTITUTE($B1979,"-","")," ",""),".",""))</f>
        <v/>
      </c>
      <c r="I1979" s="10" t="str">
        <f aca="false">IF($D1979="","",SUBSTITUTE(SUBSTITUTE(SUBSTITUTE($D1979,"-","")," ",""),".",""))</f>
        <v/>
      </c>
      <c r="J1979" s="10" t="str">
        <f aca="false">IF($E1979="","",UPPER(SUBSTITUTE($E1979," ","")))</f>
        <v/>
      </c>
      <c r="K1979" s="10" t="str">
        <f aca="false">IF($A1979="","",$G1979&amp;"|"&amp;$J1979)</f>
        <v/>
      </c>
      <c r="L1979" s="10" t="str">
        <f aca="false">IF($A1979="","",ROW()-2)</f>
        <v/>
      </c>
      <c r="M1979" s="10" t="str">
        <f aca="false">IF($A1979="","",ROW())</f>
        <v/>
      </c>
    </row>
    <row r="1980" customFormat="false" ht="15" hidden="false" customHeight="true" outlineLevel="0" collapsed="false">
      <c r="A1980" s="8"/>
      <c r="B1980" s="8"/>
      <c r="C1980" s="8"/>
      <c r="D1980" s="8"/>
      <c r="E1980" s="8"/>
      <c r="F1980" s="8"/>
      <c r="G1980" s="10" t="str">
        <f aca="false">IF($A1980="","",UPPER(SUBSTITUTE(SUBSTITUTE(SUBSTITUTE(SUBSTITUTE($A1980," ",""),"(주)",""),"주식회사",""),"㈜","")))</f>
        <v/>
      </c>
      <c r="H1980" s="10" t="str">
        <f aca="false">IF($B1980="","",SUBSTITUTE(SUBSTITUTE(SUBSTITUTE($B1980,"-","")," ",""),".",""))</f>
        <v/>
      </c>
      <c r="I1980" s="10" t="str">
        <f aca="false">IF($D1980="","",SUBSTITUTE(SUBSTITUTE(SUBSTITUTE($D1980,"-","")," ",""),".",""))</f>
        <v/>
      </c>
      <c r="J1980" s="10" t="str">
        <f aca="false">IF($E1980="","",UPPER(SUBSTITUTE($E1980," ","")))</f>
        <v/>
      </c>
      <c r="K1980" s="10" t="str">
        <f aca="false">IF($A1980="","",$G1980&amp;"|"&amp;$J1980)</f>
        <v/>
      </c>
      <c r="L1980" s="10" t="str">
        <f aca="false">IF($A1980="","",ROW()-2)</f>
        <v/>
      </c>
      <c r="M1980" s="10" t="str">
        <f aca="false">IF($A1980="","",ROW())</f>
        <v/>
      </c>
    </row>
    <row r="1981" customFormat="false" ht="15" hidden="false" customHeight="true" outlineLevel="0" collapsed="false">
      <c r="A1981" s="8"/>
      <c r="B1981" s="8"/>
      <c r="C1981" s="8"/>
      <c r="D1981" s="8"/>
      <c r="E1981" s="8"/>
      <c r="F1981" s="8"/>
      <c r="G1981" s="10" t="str">
        <f aca="false">IF($A1981="","",UPPER(SUBSTITUTE(SUBSTITUTE(SUBSTITUTE(SUBSTITUTE($A1981," ",""),"(주)",""),"주식회사",""),"㈜","")))</f>
        <v/>
      </c>
      <c r="H1981" s="10" t="str">
        <f aca="false">IF($B1981="","",SUBSTITUTE(SUBSTITUTE(SUBSTITUTE($B1981,"-","")," ",""),".",""))</f>
        <v/>
      </c>
      <c r="I1981" s="10" t="str">
        <f aca="false">IF($D1981="","",SUBSTITUTE(SUBSTITUTE(SUBSTITUTE($D1981,"-","")," ",""),".",""))</f>
        <v/>
      </c>
      <c r="J1981" s="10" t="str">
        <f aca="false">IF($E1981="","",UPPER(SUBSTITUTE($E1981," ","")))</f>
        <v/>
      </c>
      <c r="K1981" s="10" t="str">
        <f aca="false">IF($A1981="","",$G1981&amp;"|"&amp;$J1981)</f>
        <v/>
      </c>
      <c r="L1981" s="10" t="str">
        <f aca="false">IF($A1981="","",ROW()-2)</f>
        <v/>
      </c>
      <c r="M1981" s="10" t="str">
        <f aca="false">IF($A1981="","",ROW())</f>
        <v/>
      </c>
    </row>
    <row r="1982" customFormat="false" ht="15" hidden="false" customHeight="true" outlineLevel="0" collapsed="false">
      <c r="A1982" s="8"/>
      <c r="B1982" s="8"/>
      <c r="C1982" s="8"/>
      <c r="D1982" s="8"/>
      <c r="E1982" s="8"/>
      <c r="F1982" s="8"/>
      <c r="G1982" s="10" t="str">
        <f aca="false">IF($A1982="","",UPPER(SUBSTITUTE(SUBSTITUTE(SUBSTITUTE(SUBSTITUTE($A1982," ",""),"(주)",""),"주식회사",""),"㈜","")))</f>
        <v/>
      </c>
      <c r="H1982" s="10" t="str">
        <f aca="false">IF($B1982="","",SUBSTITUTE(SUBSTITUTE(SUBSTITUTE($B1982,"-","")," ",""),".",""))</f>
        <v/>
      </c>
      <c r="I1982" s="10" t="str">
        <f aca="false">IF($D1982="","",SUBSTITUTE(SUBSTITUTE(SUBSTITUTE($D1982,"-","")," ",""),".",""))</f>
        <v/>
      </c>
      <c r="J1982" s="10" t="str">
        <f aca="false">IF($E1982="","",UPPER(SUBSTITUTE($E1982," ","")))</f>
        <v/>
      </c>
      <c r="K1982" s="10" t="str">
        <f aca="false">IF($A1982="","",$G1982&amp;"|"&amp;$J1982)</f>
        <v/>
      </c>
      <c r="L1982" s="10" t="str">
        <f aca="false">IF($A1982="","",ROW()-2)</f>
        <v/>
      </c>
      <c r="M1982" s="10" t="str">
        <f aca="false">IF($A1982="","",ROW())</f>
        <v/>
      </c>
    </row>
    <row r="1983" customFormat="false" ht="15" hidden="false" customHeight="true" outlineLevel="0" collapsed="false">
      <c r="A1983" s="8"/>
      <c r="B1983" s="8"/>
      <c r="C1983" s="8"/>
      <c r="D1983" s="8"/>
      <c r="E1983" s="8"/>
      <c r="F1983" s="8"/>
      <c r="G1983" s="10" t="str">
        <f aca="false">IF($A1983="","",UPPER(SUBSTITUTE(SUBSTITUTE(SUBSTITUTE(SUBSTITUTE($A1983," ",""),"(주)",""),"주식회사",""),"㈜","")))</f>
        <v/>
      </c>
      <c r="H1983" s="10" t="str">
        <f aca="false">IF($B1983="","",SUBSTITUTE(SUBSTITUTE(SUBSTITUTE($B1983,"-","")," ",""),".",""))</f>
        <v/>
      </c>
      <c r="I1983" s="10" t="str">
        <f aca="false">IF($D1983="","",SUBSTITUTE(SUBSTITUTE(SUBSTITUTE($D1983,"-","")," ",""),".",""))</f>
        <v/>
      </c>
      <c r="J1983" s="10" t="str">
        <f aca="false">IF($E1983="","",UPPER(SUBSTITUTE($E1983," ","")))</f>
        <v/>
      </c>
      <c r="K1983" s="10" t="str">
        <f aca="false">IF($A1983="","",$G1983&amp;"|"&amp;$J1983)</f>
        <v/>
      </c>
      <c r="L1983" s="10" t="str">
        <f aca="false">IF($A1983="","",ROW()-2)</f>
        <v/>
      </c>
      <c r="M1983" s="10" t="str">
        <f aca="false">IF($A1983="","",ROW())</f>
        <v/>
      </c>
    </row>
    <row r="1984" customFormat="false" ht="15" hidden="false" customHeight="true" outlineLevel="0" collapsed="false">
      <c r="A1984" s="8"/>
      <c r="B1984" s="8"/>
      <c r="C1984" s="8"/>
      <c r="D1984" s="8"/>
      <c r="E1984" s="8"/>
      <c r="F1984" s="8"/>
      <c r="G1984" s="10" t="str">
        <f aca="false">IF($A1984="","",UPPER(SUBSTITUTE(SUBSTITUTE(SUBSTITUTE(SUBSTITUTE($A1984," ",""),"(주)",""),"주식회사",""),"㈜","")))</f>
        <v/>
      </c>
      <c r="H1984" s="10" t="str">
        <f aca="false">IF($B1984="","",SUBSTITUTE(SUBSTITUTE(SUBSTITUTE($B1984,"-","")," ",""),".",""))</f>
        <v/>
      </c>
      <c r="I1984" s="10" t="str">
        <f aca="false">IF($D1984="","",SUBSTITUTE(SUBSTITUTE(SUBSTITUTE($D1984,"-","")," ",""),".",""))</f>
        <v/>
      </c>
      <c r="J1984" s="10" t="str">
        <f aca="false">IF($E1984="","",UPPER(SUBSTITUTE($E1984," ","")))</f>
        <v/>
      </c>
      <c r="K1984" s="10" t="str">
        <f aca="false">IF($A1984="","",$G1984&amp;"|"&amp;$J1984)</f>
        <v/>
      </c>
      <c r="L1984" s="10" t="str">
        <f aca="false">IF($A1984="","",ROW()-2)</f>
        <v/>
      </c>
      <c r="M1984" s="10" t="str">
        <f aca="false">IF($A1984="","",ROW())</f>
        <v/>
      </c>
    </row>
    <row r="1985" customFormat="false" ht="15" hidden="false" customHeight="true" outlineLevel="0" collapsed="false">
      <c r="A1985" s="8"/>
      <c r="B1985" s="8"/>
      <c r="C1985" s="8"/>
      <c r="D1985" s="8"/>
      <c r="E1985" s="8"/>
      <c r="F1985" s="8"/>
      <c r="G1985" s="10" t="str">
        <f aca="false">IF($A1985="","",UPPER(SUBSTITUTE(SUBSTITUTE(SUBSTITUTE(SUBSTITUTE($A1985," ",""),"(주)",""),"주식회사",""),"㈜","")))</f>
        <v/>
      </c>
      <c r="H1985" s="10" t="str">
        <f aca="false">IF($B1985="","",SUBSTITUTE(SUBSTITUTE(SUBSTITUTE($B1985,"-","")," ",""),".",""))</f>
        <v/>
      </c>
      <c r="I1985" s="10" t="str">
        <f aca="false">IF($D1985="","",SUBSTITUTE(SUBSTITUTE(SUBSTITUTE($D1985,"-","")," ",""),".",""))</f>
        <v/>
      </c>
      <c r="J1985" s="10" t="str">
        <f aca="false">IF($E1985="","",UPPER(SUBSTITUTE($E1985," ","")))</f>
        <v/>
      </c>
      <c r="K1985" s="10" t="str">
        <f aca="false">IF($A1985="","",$G1985&amp;"|"&amp;$J1985)</f>
        <v/>
      </c>
      <c r="L1985" s="10" t="str">
        <f aca="false">IF($A1985="","",ROW()-2)</f>
        <v/>
      </c>
      <c r="M1985" s="10" t="str">
        <f aca="false">IF($A1985="","",ROW())</f>
        <v/>
      </c>
    </row>
    <row r="1986" customFormat="false" ht="15" hidden="false" customHeight="true" outlineLevel="0" collapsed="false">
      <c r="A1986" s="8"/>
      <c r="B1986" s="8"/>
      <c r="C1986" s="8"/>
      <c r="D1986" s="8"/>
      <c r="E1986" s="8"/>
      <c r="F1986" s="8"/>
      <c r="G1986" s="10" t="str">
        <f aca="false">IF($A1986="","",UPPER(SUBSTITUTE(SUBSTITUTE(SUBSTITUTE(SUBSTITUTE($A1986," ",""),"(주)",""),"주식회사",""),"㈜","")))</f>
        <v/>
      </c>
      <c r="H1986" s="10" t="str">
        <f aca="false">IF($B1986="","",SUBSTITUTE(SUBSTITUTE(SUBSTITUTE($B1986,"-","")," ",""),".",""))</f>
        <v/>
      </c>
      <c r="I1986" s="10" t="str">
        <f aca="false">IF($D1986="","",SUBSTITUTE(SUBSTITUTE(SUBSTITUTE($D1986,"-","")," ",""),".",""))</f>
        <v/>
      </c>
      <c r="J1986" s="10" t="str">
        <f aca="false">IF($E1986="","",UPPER(SUBSTITUTE($E1986," ","")))</f>
        <v/>
      </c>
      <c r="K1986" s="10" t="str">
        <f aca="false">IF($A1986="","",$G1986&amp;"|"&amp;$J1986)</f>
        <v/>
      </c>
      <c r="L1986" s="10" t="str">
        <f aca="false">IF($A1986="","",ROW()-2)</f>
        <v/>
      </c>
      <c r="M1986" s="10" t="str">
        <f aca="false">IF($A1986="","",ROW())</f>
        <v/>
      </c>
    </row>
    <row r="1987" customFormat="false" ht="15" hidden="false" customHeight="true" outlineLevel="0" collapsed="false">
      <c r="A1987" s="8"/>
      <c r="B1987" s="8"/>
      <c r="C1987" s="8"/>
      <c r="D1987" s="8"/>
      <c r="E1987" s="8"/>
      <c r="F1987" s="8"/>
      <c r="G1987" s="10" t="str">
        <f aca="false">IF($A1987="","",UPPER(SUBSTITUTE(SUBSTITUTE(SUBSTITUTE(SUBSTITUTE($A1987," ",""),"(주)",""),"주식회사",""),"㈜","")))</f>
        <v/>
      </c>
      <c r="H1987" s="10" t="str">
        <f aca="false">IF($B1987="","",SUBSTITUTE(SUBSTITUTE(SUBSTITUTE($B1987,"-","")," ",""),".",""))</f>
        <v/>
      </c>
      <c r="I1987" s="10" t="str">
        <f aca="false">IF($D1987="","",SUBSTITUTE(SUBSTITUTE(SUBSTITUTE($D1987,"-","")," ",""),".",""))</f>
        <v/>
      </c>
      <c r="J1987" s="10" t="str">
        <f aca="false">IF($E1987="","",UPPER(SUBSTITUTE($E1987," ","")))</f>
        <v/>
      </c>
      <c r="K1987" s="10" t="str">
        <f aca="false">IF($A1987="","",$G1987&amp;"|"&amp;$J1987)</f>
        <v/>
      </c>
      <c r="L1987" s="10" t="str">
        <f aca="false">IF($A1987="","",ROW()-2)</f>
        <v/>
      </c>
      <c r="M1987" s="10" t="str">
        <f aca="false">IF($A1987="","",ROW())</f>
        <v/>
      </c>
    </row>
    <row r="1988" customFormat="false" ht="15" hidden="false" customHeight="true" outlineLevel="0" collapsed="false">
      <c r="A1988" s="8"/>
      <c r="B1988" s="8"/>
      <c r="C1988" s="8"/>
      <c r="D1988" s="8"/>
      <c r="E1988" s="8"/>
      <c r="F1988" s="8"/>
      <c r="G1988" s="10" t="str">
        <f aca="false">IF($A1988="","",UPPER(SUBSTITUTE(SUBSTITUTE(SUBSTITUTE(SUBSTITUTE($A1988," ",""),"(주)",""),"주식회사",""),"㈜","")))</f>
        <v/>
      </c>
      <c r="H1988" s="10" t="str">
        <f aca="false">IF($B1988="","",SUBSTITUTE(SUBSTITUTE(SUBSTITUTE($B1988,"-","")," ",""),".",""))</f>
        <v/>
      </c>
      <c r="I1988" s="10" t="str">
        <f aca="false">IF($D1988="","",SUBSTITUTE(SUBSTITUTE(SUBSTITUTE($D1988,"-","")," ",""),".",""))</f>
        <v/>
      </c>
      <c r="J1988" s="10" t="str">
        <f aca="false">IF($E1988="","",UPPER(SUBSTITUTE($E1988," ","")))</f>
        <v/>
      </c>
      <c r="K1988" s="10" t="str">
        <f aca="false">IF($A1988="","",$G1988&amp;"|"&amp;$J1988)</f>
        <v/>
      </c>
      <c r="L1988" s="10" t="str">
        <f aca="false">IF($A1988="","",ROW()-2)</f>
        <v/>
      </c>
      <c r="M1988" s="10" t="str">
        <f aca="false">IF($A1988="","",ROW())</f>
        <v/>
      </c>
    </row>
    <row r="1989" customFormat="false" ht="15" hidden="false" customHeight="true" outlineLevel="0" collapsed="false">
      <c r="A1989" s="8"/>
      <c r="B1989" s="8"/>
      <c r="C1989" s="8"/>
      <c r="D1989" s="8"/>
      <c r="E1989" s="8"/>
      <c r="F1989" s="8"/>
      <c r="G1989" s="10" t="str">
        <f aca="false">IF($A1989="","",UPPER(SUBSTITUTE(SUBSTITUTE(SUBSTITUTE(SUBSTITUTE($A1989," ",""),"(주)",""),"주식회사",""),"㈜","")))</f>
        <v/>
      </c>
      <c r="H1989" s="10" t="str">
        <f aca="false">IF($B1989="","",SUBSTITUTE(SUBSTITUTE(SUBSTITUTE($B1989,"-","")," ",""),".",""))</f>
        <v/>
      </c>
      <c r="I1989" s="10" t="str">
        <f aca="false">IF($D1989="","",SUBSTITUTE(SUBSTITUTE(SUBSTITUTE($D1989,"-","")," ",""),".",""))</f>
        <v/>
      </c>
      <c r="J1989" s="10" t="str">
        <f aca="false">IF($E1989="","",UPPER(SUBSTITUTE($E1989," ","")))</f>
        <v/>
      </c>
      <c r="K1989" s="10" t="str">
        <f aca="false">IF($A1989="","",$G1989&amp;"|"&amp;$J1989)</f>
        <v/>
      </c>
      <c r="L1989" s="10" t="str">
        <f aca="false">IF($A1989="","",ROW()-2)</f>
        <v/>
      </c>
      <c r="M1989" s="10" t="str">
        <f aca="false">IF($A1989="","",ROW())</f>
        <v/>
      </c>
    </row>
    <row r="1990" customFormat="false" ht="15" hidden="false" customHeight="true" outlineLevel="0" collapsed="false">
      <c r="A1990" s="8"/>
      <c r="B1990" s="8"/>
      <c r="C1990" s="8"/>
      <c r="D1990" s="8"/>
      <c r="E1990" s="8"/>
      <c r="F1990" s="8"/>
      <c r="G1990" s="10" t="str">
        <f aca="false">IF($A1990="","",UPPER(SUBSTITUTE(SUBSTITUTE(SUBSTITUTE(SUBSTITUTE($A1990," ",""),"(주)",""),"주식회사",""),"㈜","")))</f>
        <v/>
      </c>
      <c r="H1990" s="10" t="str">
        <f aca="false">IF($B1990="","",SUBSTITUTE(SUBSTITUTE(SUBSTITUTE($B1990,"-","")," ",""),".",""))</f>
        <v/>
      </c>
      <c r="I1990" s="10" t="str">
        <f aca="false">IF($D1990="","",SUBSTITUTE(SUBSTITUTE(SUBSTITUTE($D1990,"-","")," ",""),".",""))</f>
        <v/>
      </c>
      <c r="J1990" s="10" t="str">
        <f aca="false">IF($E1990="","",UPPER(SUBSTITUTE($E1990," ","")))</f>
        <v/>
      </c>
      <c r="K1990" s="10" t="str">
        <f aca="false">IF($A1990="","",$G1990&amp;"|"&amp;$J1990)</f>
        <v/>
      </c>
      <c r="L1990" s="10" t="str">
        <f aca="false">IF($A1990="","",ROW()-2)</f>
        <v/>
      </c>
      <c r="M1990" s="10" t="str">
        <f aca="false">IF($A1990="","",ROW())</f>
        <v/>
      </c>
    </row>
    <row r="1991" customFormat="false" ht="15" hidden="false" customHeight="true" outlineLevel="0" collapsed="false">
      <c r="A1991" s="8"/>
      <c r="B1991" s="8"/>
      <c r="C1991" s="8"/>
      <c r="D1991" s="8"/>
      <c r="E1991" s="8"/>
      <c r="F1991" s="8"/>
      <c r="G1991" s="10" t="str">
        <f aca="false">IF($A1991="","",UPPER(SUBSTITUTE(SUBSTITUTE(SUBSTITUTE(SUBSTITUTE($A1991," ",""),"(주)",""),"주식회사",""),"㈜","")))</f>
        <v/>
      </c>
      <c r="H1991" s="10" t="str">
        <f aca="false">IF($B1991="","",SUBSTITUTE(SUBSTITUTE(SUBSTITUTE($B1991,"-","")," ",""),".",""))</f>
        <v/>
      </c>
      <c r="I1991" s="10" t="str">
        <f aca="false">IF($D1991="","",SUBSTITUTE(SUBSTITUTE(SUBSTITUTE($D1991,"-","")," ",""),".",""))</f>
        <v/>
      </c>
      <c r="J1991" s="10" t="str">
        <f aca="false">IF($E1991="","",UPPER(SUBSTITUTE($E1991," ","")))</f>
        <v/>
      </c>
      <c r="K1991" s="10" t="str">
        <f aca="false">IF($A1991="","",$G1991&amp;"|"&amp;$J1991)</f>
        <v/>
      </c>
      <c r="L1991" s="10" t="str">
        <f aca="false">IF($A1991="","",ROW()-2)</f>
        <v/>
      </c>
      <c r="M1991" s="10" t="str">
        <f aca="false">IF($A1991="","",ROW())</f>
        <v/>
      </c>
    </row>
    <row r="1992" customFormat="false" ht="15" hidden="false" customHeight="true" outlineLevel="0" collapsed="false">
      <c r="A1992" s="8"/>
      <c r="B1992" s="8"/>
      <c r="C1992" s="8"/>
      <c r="D1992" s="8"/>
      <c r="E1992" s="8"/>
      <c r="F1992" s="8"/>
      <c r="G1992" s="10" t="str">
        <f aca="false">IF($A1992="","",UPPER(SUBSTITUTE(SUBSTITUTE(SUBSTITUTE(SUBSTITUTE($A1992," ",""),"(주)",""),"주식회사",""),"㈜","")))</f>
        <v/>
      </c>
      <c r="H1992" s="10" t="str">
        <f aca="false">IF($B1992="","",SUBSTITUTE(SUBSTITUTE(SUBSTITUTE($B1992,"-","")," ",""),".",""))</f>
        <v/>
      </c>
      <c r="I1992" s="10" t="str">
        <f aca="false">IF($D1992="","",SUBSTITUTE(SUBSTITUTE(SUBSTITUTE($D1992,"-","")," ",""),".",""))</f>
        <v/>
      </c>
      <c r="J1992" s="10" t="str">
        <f aca="false">IF($E1992="","",UPPER(SUBSTITUTE($E1992," ","")))</f>
        <v/>
      </c>
      <c r="K1992" s="10" t="str">
        <f aca="false">IF($A1992="","",$G1992&amp;"|"&amp;$J1992)</f>
        <v/>
      </c>
      <c r="L1992" s="10" t="str">
        <f aca="false">IF($A1992="","",ROW()-2)</f>
        <v/>
      </c>
      <c r="M1992" s="10" t="str">
        <f aca="false">IF($A1992="","",ROW())</f>
        <v/>
      </c>
    </row>
    <row r="1993" customFormat="false" ht="15" hidden="false" customHeight="true" outlineLevel="0" collapsed="false">
      <c r="A1993" s="8"/>
      <c r="B1993" s="8"/>
      <c r="C1993" s="8"/>
      <c r="D1993" s="8"/>
      <c r="E1993" s="8"/>
      <c r="F1993" s="8"/>
      <c r="G1993" s="10" t="str">
        <f aca="false">IF($A1993="","",UPPER(SUBSTITUTE(SUBSTITUTE(SUBSTITUTE(SUBSTITUTE($A1993," ",""),"(주)",""),"주식회사",""),"㈜","")))</f>
        <v/>
      </c>
      <c r="H1993" s="10" t="str">
        <f aca="false">IF($B1993="","",SUBSTITUTE(SUBSTITUTE(SUBSTITUTE($B1993,"-","")," ",""),".",""))</f>
        <v/>
      </c>
      <c r="I1993" s="10" t="str">
        <f aca="false">IF($D1993="","",SUBSTITUTE(SUBSTITUTE(SUBSTITUTE($D1993,"-","")," ",""),".",""))</f>
        <v/>
      </c>
      <c r="J1993" s="10" t="str">
        <f aca="false">IF($E1993="","",UPPER(SUBSTITUTE($E1993," ","")))</f>
        <v/>
      </c>
      <c r="K1993" s="10" t="str">
        <f aca="false">IF($A1993="","",$G1993&amp;"|"&amp;$J1993)</f>
        <v/>
      </c>
      <c r="L1993" s="10" t="str">
        <f aca="false">IF($A1993="","",ROW()-2)</f>
        <v/>
      </c>
      <c r="M1993" s="10" t="str">
        <f aca="false">IF($A1993="","",ROW())</f>
        <v/>
      </c>
    </row>
    <row r="1994" customFormat="false" ht="15" hidden="false" customHeight="true" outlineLevel="0" collapsed="false">
      <c r="A1994" s="8"/>
      <c r="B1994" s="8"/>
      <c r="C1994" s="8"/>
      <c r="D1994" s="8"/>
      <c r="E1994" s="8"/>
      <c r="F1994" s="8"/>
      <c r="G1994" s="10" t="str">
        <f aca="false">IF($A1994="","",UPPER(SUBSTITUTE(SUBSTITUTE(SUBSTITUTE(SUBSTITUTE($A1994," ",""),"(주)",""),"주식회사",""),"㈜","")))</f>
        <v/>
      </c>
      <c r="H1994" s="10" t="str">
        <f aca="false">IF($B1994="","",SUBSTITUTE(SUBSTITUTE(SUBSTITUTE($B1994,"-","")," ",""),".",""))</f>
        <v/>
      </c>
      <c r="I1994" s="10" t="str">
        <f aca="false">IF($D1994="","",SUBSTITUTE(SUBSTITUTE(SUBSTITUTE($D1994,"-","")," ",""),".",""))</f>
        <v/>
      </c>
      <c r="J1994" s="10" t="str">
        <f aca="false">IF($E1994="","",UPPER(SUBSTITUTE($E1994," ","")))</f>
        <v/>
      </c>
      <c r="K1994" s="10" t="str">
        <f aca="false">IF($A1994="","",$G1994&amp;"|"&amp;$J1994)</f>
        <v/>
      </c>
      <c r="L1994" s="10" t="str">
        <f aca="false">IF($A1994="","",ROW()-2)</f>
        <v/>
      </c>
      <c r="M1994" s="10" t="str">
        <f aca="false">IF($A1994="","",ROW())</f>
        <v/>
      </c>
    </row>
    <row r="1995" customFormat="false" ht="15" hidden="false" customHeight="true" outlineLevel="0" collapsed="false">
      <c r="A1995" s="8"/>
      <c r="B1995" s="8"/>
      <c r="C1995" s="8"/>
      <c r="D1995" s="8"/>
      <c r="E1995" s="8"/>
      <c r="F1995" s="8"/>
      <c r="G1995" s="10" t="str">
        <f aca="false">IF($A1995="","",UPPER(SUBSTITUTE(SUBSTITUTE(SUBSTITUTE(SUBSTITUTE($A1995," ",""),"(주)",""),"주식회사",""),"㈜","")))</f>
        <v/>
      </c>
      <c r="H1995" s="10" t="str">
        <f aca="false">IF($B1995="","",SUBSTITUTE(SUBSTITUTE(SUBSTITUTE($B1995,"-","")," ",""),".",""))</f>
        <v/>
      </c>
      <c r="I1995" s="10" t="str">
        <f aca="false">IF($D1995="","",SUBSTITUTE(SUBSTITUTE(SUBSTITUTE($D1995,"-","")," ",""),".",""))</f>
        <v/>
      </c>
      <c r="J1995" s="10" t="str">
        <f aca="false">IF($E1995="","",UPPER(SUBSTITUTE($E1995," ","")))</f>
        <v/>
      </c>
      <c r="K1995" s="10" t="str">
        <f aca="false">IF($A1995="","",$G1995&amp;"|"&amp;$J1995)</f>
        <v/>
      </c>
      <c r="L1995" s="10" t="str">
        <f aca="false">IF($A1995="","",ROW()-2)</f>
        <v/>
      </c>
      <c r="M1995" s="10" t="str">
        <f aca="false">IF($A1995="","",ROW())</f>
        <v/>
      </c>
    </row>
    <row r="1996" customFormat="false" ht="15" hidden="false" customHeight="true" outlineLevel="0" collapsed="false">
      <c r="A1996" s="8"/>
      <c r="B1996" s="8"/>
      <c r="C1996" s="8"/>
      <c r="D1996" s="8"/>
      <c r="E1996" s="8"/>
      <c r="F1996" s="8"/>
      <c r="G1996" s="10" t="str">
        <f aca="false">IF($A1996="","",UPPER(SUBSTITUTE(SUBSTITUTE(SUBSTITUTE(SUBSTITUTE($A1996," ",""),"(주)",""),"주식회사",""),"㈜","")))</f>
        <v/>
      </c>
      <c r="H1996" s="10" t="str">
        <f aca="false">IF($B1996="","",SUBSTITUTE(SUBSTITUTE(SUBSTITUTE($B1996,"-","")," ",""),".",""))</f>
        <v/>
      </c>
      <c r="I1996" s="10" t="str">
        <f aca="false">IF($D1996="","",SUBSTITUTE(SUBSTITUTE(SUBSTITUTE($D1996,"-","")," ",""),".",""))</f>
        <v/>
      </c>
      <c r="J1996" s="10" t="str">
        <f aca="false">IF($E1996="","",UPPER(SUBSTITUTE($E1996," ","")))</f>
        <v/>
      </c>
      <c r="K1996" s="10" t="str">
        <f aca="false">IF($A1996="","",$G1996&amp;"|"&amp;$J1996)</f>
        <v/>
      </c>
      <c r="L1996" s="10" t="str">
        <f aca="false">IF($A1996="","",ROW()-2)</f>
        <v/>
      </c>
      <c r="M1996" s="10" t="str">
        <f aca="false">IF($A1996="","",ROW())</f>
        <v/>
      </c>
    </row>
    <row r="1997" customFormat="false" ht="15" hidden="false" customHeight="true" outlineLevel="0" collapsed="false">
      <c r="A1997" s="8"/>
      <c r="B1997" s="8"/>
      <c r="C1997" s="8"/>
      <c r="D1997" s="8"/>
      <c r="E1997" s="8"/>
      <c r="F1997" s="8"/>
      <c r="G1997" s="10" t="str">
        <f aca="false">IF($A1997="","",UPPER(SUBSTITUTE(SUBSTITUTE(SUBSTITUTE(SUBSTITUTE($A1997," ",""),"(주)",""),"주식회사",""),"㈜","")))</f>
        <v/>
      </c>
      <c r="H1997" s="10" t="str">
        <f aca="false">IF($B1997="","",SUBSTITUTE(SUBSTITUTE(SUBSTITUTE($B1997,"-","")," ",""),".",""))</f>
        <v/>
      </c>
      <c r="I1997" s="10" t="str">
        <f aca="false">IF($D1997="","",SUBSTITUTE(SUBSTITUTE(SUBSTITUTE($D1997,"-","")," ",""),".",""))</f>
        <v/>
      </c>
      <c r="J1997" s="10" t="str">
        <f aca="false">IF($E1997="","",UPPER(SUBSTITUTE($E1997," ","")))</f>
        <v/>
      </c>
      <c r="K1997" s="10" t="str">
        <f aca="false">IF($A1997="","",$G1997&amp;"|"&amp;$J1997)</f>
        <v/>
      </c>
      <c r="L1997" s="10" t="str">
        <f aca="false">IF($A1997="","",ROW()-2)</f>
        <v/>
      </c>
      <c r="M1997" s="10" t="str">
        <f aca="false">IF($A1997="","",ROW())</f>
        <v/>
      </c>
    </row>
    <row r="1998" customFormat="false" ht="15" hidden="false" customHeight="true" outlineLevel="0" collapsed="false">
      <c r="A1998" s="8"/>
      <c r="B1998" s="8"/>
      <c r="C1998" s="8"/>
      <c r="D1998" s="8"/>
      <c r="E1998" s="8"/>
      <c r="F1998" s="8"/>
      <c r="G1998" s="10" t="str">
        <f aca="false">IF($A1998="","",UPPER(SUBSTITUTE(SUBSTITUTE(SUBSTITUTE(SUBSTITUTE($A1998," ",""),"(주)",""),"주식회사",""),"㈜","")))</f>
        <v/>
      </c>
      <c r="H1998" s="10" t="str">
        <f aca="false">IF($B1998="","",SUBSTITUTE(SUBSTITUTE(SUBSTITUTE($B1998,"-","")," ",""),".",""))</f>
        <v/>
      </c>
      <c r="I1998" s="10" t="str">
        <f aca="false">IF($D1998="","",SUBSTITUTE(SUBSTITUTE(SUBSTITUTE($D1998,"-","")," ",""),".",""))</f>
        <v/>
      </c>
      <c r="J1998" s="10" t="str">
        <f aca="false">IF($E1998="","",UPPER(SUBSTITUTE($E1998," ","")))</f>
        <v/>
      </c>
      <c r="K1998" s="10" t="str">
        <f aca="false">IF($A1998="","",$G1998&amp;"|"&amp;$J1998)</f>
        <v/>
      </c>
      <c r="L1998" s="10" t="str">
        <f aca="false">IF($A1998="","",ROW()-2)</f>
        <v/>
      </c>
      <c r="M1998" s="10" t="str">
        <f aca="false">IF($A1998="","",ROW())</f>
        <v/>
      </c>
    </row>
    <row r="1999" customFormat="false" ht="15" hidden="false" customHeight="true" outlineLevel="0" collapsed="false">
      <c r="A1999" s="8"/>
      <c r="B1999" s="8"/>
      <c r="C1999" s="8"/>
      <c r="D1999" s="8"/>
      <c r="E1999" s="8"/>
      <c r="F1999" s="8"/>
      <c r="G1999" s="10" t="str">
        <f aca="false">IF($A1999="","",UPPER(SUBSTITUTE(SUBSTITUTE(SUBSTITUTE(SUBSTITUTE($A1999," ",""),"(주)",""),"주식회사",""),"㈜","")))</f>
        <v/>
      </c>
      <c r="H1999" s="10" t="str">
        <f aca="false">IF($B1999="","",SUBSTITUTE(SUBSTITUTE(SUBSTITUTE($B1999,"-","")," ",""),".",""))</f>
        <v/>
      </c>
      <c r="I1999" s="10" t="str">
        <f aca="false">IF($D1999="","",SUBSTITUTE(SUBSTITUTE(SUBSTITUTE($D1999,"-","")," ",""),".",""))</f>
        <v/>
      </c>
      <c r="J1999" s="10" t="str">
        <f aca="false">IF($E1999="","",UPPER(SUBSTITUTE($E1999," ","")))</f>
        <v/>
      </c>
      <c r="K1999" s="10" t="str">
        <f aca="false">IF($A1999="","",$G1999&amp;"|"&amp;$J1999)</f>
        <v/>
      </c>
      <c r="L1999" s="10" t="str">
        <f aca="false">IF($A1999="","",ROW()-2)</f>
        <v/>
      </c>
      <c r="M1999" s="10" t="str">
        <f aca="false">IF($A1999="","",ROW())</f>
        <v/>
      </c>
    </row>
    <row r="2000" customFormat="false" ht="15" hidden="false" customHeight="true" outlineLevel="0" collapsed="false">
      <c r="A2000" s="8"/>
      <c r="B2000" s="8"/>
      <c r="C2000" s="8"/>
      <c r="D2000" s="8"/>
      <c r="E2000" s="8"/>
      <c r="F2000" s="8"/>
      <c r="G2000" s="10" t="str">
        <f aca="false">IF($A2000="","",UPPER(SUBSTITUTE(SUBSTITUTE(SUBSTITUTE(SUBSTITUTE($A2000," ",""),"(주)",""),"주식회사",""),"㈜","")))</f>
        <v/>
      </c>
      <c r="H2000" s="10" t="str">
        <f aca="false">IF($B2000="","",SUBSTITUTE(SUBSTITUTE(SUBSTITUTE($B2000,"-","")," ",""),".",""))</f>
        <v/>
      </c>
      <c r="I2000" s="10" t="str">
        <f aca="false">IF($D2000="","",SUBSTITUTE(SUBSTITUTE(SUBSTITUTE($D2000,"-","")," ",""),".",""))</f>
        <v/>
      </c>
      <c r="J2000" s="10" t="str">
        <f aca="false">IF($E2000="","",UPPER(SUBSTITUTE($E2000," ","")))</f>
        <v/>
      </c>
      <c r="K2000" s="10" t="str">
        <f aca="false">IF($A2000="","",$G2000&amp;"|"&amp;$J2000)</f>
        <v/>
      </c>
      <c r="L2000" s="10" t="str">
        <f aca="false">IF($A2000="","",ROW()-2)</f>
        <v/>
      </c>
      <c r="M2000" s="10" t="str">
        <f aca="false">IF($A2000="","",ROW())</f>
        <v/>
      </c>
    </row>
    <row r="2001" customFormat="false" ht="15" hidden="false" customHeight="true" outlineLevel="0" collapsed="false">
      <c r="A2001" s="8"/>
      <c r="B2001" s="8"/>
      <c r="C2001" s="8"/>
      <c r="D2001" s="8"/>
      <c r="E2001" s="8"/>
      <c r="F2001" s="8"/>
      <c r="G2001" s="10" t="str">
        <f aca="false">IF($A2001="","",UPPER(SUBSTITUTE(SUBSTITUTE(SUBSTITUTE(SUBSTITUTE($A2001," ",""),"(주)",""),"주식회사",""),"㈜","")))</f>
        <v/>
      </c>
      <c r="H2001" s="10" t="str">
        <f aca="false">IF($B2001="","",SUBSTITUTE(SUBSTITUTE(SUBSTITUTE($B2001,"-","")," ",""),".",""))</f>
        <v/>
      </c>
      <c r="I2001" s="10" t="str">
        <f aca="false">IF($D2001="","",SUBSTITUTE(SUBSTITUTE(SUBSTITUTE($D2001,"-","")," ",""),".",""))</f>
        <v/>
      </c>
      <c r="J2001" s="10" t="str">
        <f aca="false">IF($E2001="","",UPPER(SUBSTITUTE($E2001," ","")))</f>
        <v/>
      </c>
      <c r="K2001" s="10" t="str">
        <f aca="false">IF($A2001="","",$G2001&amp;"|"&amp;$J2001)</f>
        <v/>
      </c>
      <c r="L2001" s="10" t="str">
        <f aca="false">IF($A2001="","",ROW()-2)</f>
        <v/>
      </c>
      <c r="M2001" s="10" t="str">
        <f aca="false">IF($A2001="","",ROW())</f>
        <v/>
      </c>
    </row>
    <row r="2002" customFormat="false" ht="15" hidden="false" customHeight="true" outlineLevel="0" collapsed="false">
      <c r="A2002" s="8"/>
      <c r="B2002" s="8"/>
      <c r="C2002" s="8"/>
      <c r="D2002" s="8"/>
      <c r="E2002" s="8"/>
      <c r="F2002" s="8"/>
      <c r="G2002" s="10" t="str">
        <f aca="false">IF($A2002="","",UPPER(SUBSTITUTE(SUBSTITUTE(SUBSTITUTE(SUBSTITUTE($A2002," ",""),"(주)",""),"주식회사",""),"㈜","")))</f>
        <v/>
      </c>
      <c r="H2002" s="10" t="str">
        <f aca="false">IF($B2002="","",SUBSTITUTE(SUBSTITUTE(SUBSTITUTE($B2002,"-","")," ",""),".",""))</f>
        <v/>
      </c>
      <c r="I2002" s="10" t="str">
        <f aca="false">IF($D2002="","",SUBSTITUTE(SUBSTITUTE(SUBSTITUTE($D2002,"-","")," ",""),".",""))</f>
        <v/>
      </c>
      <c r="J2002" s="10" t="str">
        <f aca="false">IF($E2002="","",UPPER(SUBSTITUTE($E2002," ","")))</f>
        <v/>
      </c>
      <c r="K2002" s="10" t="str">
        <f aca="false">IF($A2002="","",$G2002&amp;"|"&amp;$J2002)</f>
        <v/>
      </c>
      <c r="L2002" s="10" t="str">
        <f aca="false">IF($A2002="","",ROW()-2)</f>
        <v/>
      </c>
      <c r="M2002" s="10" t="str">
        <f aca="false">IF($A2002="","",ROW())</f>
        <v/>
      </c>
    </row>
    <row r="2003" customFormat="false" ht="15" hidden="false" customHeight="true" outlineLevel="0" collapsed="false">
      <c r="A2003" s="8"/>
      <c r="B2003" s="8"/>
      <c r="C2003" s="8"/>
      <c r="D2003" s="8"/>
      <c r="E2003" s="8"/>
      <c r="F2003" s="8"/>
      <c r="G2003" s="10" t="str">
        <f aca="false">IF($A2003="","",UPPER(SUBSTITUTE(SUBSTITUTE(SUBSTITUTE(SUBSTITUTE($A2003," ",""),"(주)",""),"주식회사",""),"㈜","")))</f>
        <v/>
      </c>
      <c r="H2003" s="10" t="str">
        <f aca="false">IF($B2003="","",SUBSTITUTE(SUBSTITUTE(SUBSTITUTE($B2003,"-","")," ",""),".",""))</f>
        <v/>
      </c>
      <c r="I2003" s="10" t="str">
        <f aca="false">IF($D2003="","",SUBSTITUTE(SUBSTITUTE(SUBSTITUTE($D2003,"-","")," ",""),".",""))</f>
        <v/>
      </c>
      <c r="J2003" s="10" t="str">
        <f aca="false">IF($E2003="","",UPPER(SUBSTITUTE($E2003," ","")))</f>
        <v/>
      </c>
      <c r="K2003" s="10" t="str">
        <f aca="false">IF($A2003="","",$G2003&amp;"|"&amp;$J2003)</f>
        <v/>
      </c>
      <c r="L2003" s="10" t="str">
        <f aca="false">IF($A2003="","",ROW()-2)</f>
        <v/>
      </c>
      <c r="M2003" s="10" t="str">
        <f aca="false">IF($A2003="","",ROW())</f>
        <v/>
      </c>
    </row>
    <row r="2004" customFormat="false" ht="15" hidden="false" customHeight="true" outlineLevel="0" collapsed="false">
      <c r="A2004" s="8"/>
      <c r="B2004" s="8"/>
      <c r="C2004" s="8"/>
      <c r="D2004" s="8"/>
      <c r="E2004" s="8"/>
      <c r="F2004" s="8"/>
      <c r="G2004" s="10" t="str">
        <f aca="false">IF($A2004="","",UPPER(SUBSTITUTE(SUBSTITUTE(SUBSTITUTE(SUBSTITUTE($A2004," ",""),"(주)",""),"주식회사",""),"㈜","")))</f>
        <v/>
      </c>
      <c r="H2004" s="10" t="str">
        <f aca="false">IF($B2004="","",SUBSTITUTE(SUBSTITUTE(SUBSTITUTE($B2004,"-","")," ",""),".",""))</f>
        <v/>
      </c>
      <c r="I2004" s="10" t="str">
        <f aca="false">IF($D2004="","",SUBSTITUTE(SUBSTITUTE(SUBSTITUTE($D2004,"-","")," ",""),".",""))</f>
        <v/>
      </c>
      <c r="J2004" s="10" t="str">
        <f aca="false">IF($E2004="","",UPPER(SUBSTITUTE($E2004," ","")))</f>
        <v/>
      </c>
      <c r="K2004" s="10" t="str">
        <f aca="false">IF($A2004="","",$G2004&amp;"|"&amp;$J2004)</f>
        <v/>
      </c>
      <c r="L2004" s="10" t="str">
        <f aca="false">IF($A2004="","",ROW()-2)</f>
        <v/>
      </c>
      <c r="M2004" s="10" t="str">
        <f aca="false">IF($A2004="","",ROW())</f>
        <v/>
      </c>
    </row>
    <row r="2005" customFormat="false" ht="15" hidden="false" customHeight="true" outlineLevel="0" collapsed="false">
      <c r="A2005" s="8"/>
      <c r="B2005" s="8"/>
      <c r="C2005" s="8"/>
      <c r="D2005" s="8"/>
      <c r="E2005" s="8"/>
      <c r="F2005" s="8"/>
      <c r="G2005" s="10" t="str">
        <f aca="false">IF($A2005="","",UPPER(SUBSTITUTE(SUBSTITUTE(SUBSTITUTE(SUBSTITUTE($A2005," ",""),"(주)",""),"주식회사",""),"㈜","")))</f>
        <v/>
      </c>
      <c r="H2005" s="10" t="str">
        <f aca="false">IF($B2005="","",SUBSTITUTE(SUBSTITUTE(SUBSTITUTE($B2005,"-","")," ",""),".",""))</f>
        <v/>
      </c>
      <c r="I2005" s="10" t="str">
        <f aca="false">IF($D2005="","",SUBSTITUTE(SUBSTITUTE(SUBSTITUTE($D2005,"-","")," ",""),".",""))</f>
        <v/>
      </c>
      <c r="J2005" s="10" t="str">
        <f aca="false">IF($E2005="","",UPPER(SUBSTITUTE($E2005," ","")))</f>
        <v/>
      </c>
      <c r="K2005" s="10" t="str">
        <f aca="false">IF($A2005="","",$G2005&amp;"|"&amp;$J2005)</f>
        <v/>
      </c>
      <c r="L2005" s="10" t="str">
        <f aca="false">IF($A2005="","",ROW()-2)</f>
        <v/>
      </c>
      <c r="M2005" s="10" t="str">
        <f aca="false">IF($A2005="","",ROW())</f>
        <v/>
      </c>
    </row>
    <row r="2006" customFormat="false" ht="15" hidden="false" customHeight="true" outlineLevel="0" collapsed="false">
      <c r="A2006" s="8"/>
      <c r="B2006" s="8"/>
      <c r="C2006" s="8"/>
      <c r="D2006" s="8"/>
      <c r="E2006" s="8"/>
      <c r="F2006" s="8"/>
      <c r="G2006" s="10" t="str">
        <f aca="false">IF($A2006="","",UPPER(SUBSTITUTE(SUBSTITUTE(SUBSTITUTE(SUBSTITUTE($A2006," ",""),"(주)",""),"주식회사",""),"㈜","")))</f>
        <v/>
      </c>
      <c r="H2006" s="10" t="str">
        <f aca="false">IF($B2006="","",SUBSTITUTE(SUBSTITUTE(SUBSTITUTE($B2006,"-","")," ",""),".",""))</f>
        <v/>
      </c>
      <c r="I2006" s="10" t="str">
        <f aca="false">IF($D2006="","",SUBSTITUTE(SUBSTITUTE(SUBSTITUTE($D2006,"-","")," ",""),".",""))</f>
        <v/>
      </c>
      <c r="J2006" s="10" t="str">
        <f aca="false">IF($E2006="","",UPPER(SUBSTITUTE($E2006," ","")))</f>
        <v/>
      </c>
      <c r="K2006" s="10" t="str">
        <f aca="false">IF($A2006="","",$G2006&amp;"|"&amp;$J2006)</f>
        <v/>
      </c>
      <c r="L2006" s="10" t="str">
        <f aca="false">IF($A2006="","",ROW()-2)</f>
        <v/>
      </c>
      <c r="M2006" s="10" t="str">
        <f aca="false">IF($A2006="","",ROW())</f>
        <v/>
      </c>
    </row>
    <row r="2007" customFormat="false" ht="15" hidden="false" customHeight="true" outlineLevel="0" collapsed="false">
      <c r="A2007" s="8"/>
      <c r="B2007" s="8"/>
      <c r="C2007" s="8"/>
      <c r="D2007" s="8"/>
      <c r="E2007" s="8"/>
      <c r="F2007" s="8"/>
      <c r="G2007" s="10" t="str">
        <f aca="false">IF($A2007="","",UPPER(SUBSTITUTE(SUBSTITUTE(SUBSTITUTE(SUBSTITUTE($A2007," ",""),"(주)",""),"주식회사",""),"㈜","")))</f>
        <v/>
      </c>
      <c r="H2007" s="10" t="str">
        <f aca="false">IF($B2007="","",SUBSTITUTE(SUBSTITUTE(SUBSTITUTE($B2007,"-","")," ",""),".",""))</f>
        <v/>
      </c>
      <c r="I2007" s="10" t="str">
        <f aca="false">IF($D2007="","",SUBSTITUTE(SUBSTITUTE(SUBSTITUTE($D2007,"-","")," ",""),".",""))</f>
        <v/>
      </c>
      <c r="J2007" s="10" t="str">
        <f aca="false">IF($E2007="","",UPPER(SUBSTITUTE($E2007," ","")))</f>
        <v/>
      </c>
      <c r="K2007" s="10" t="str">
        <f aca="false">IF($A2007="","",$G2007&amp;"|"&amp;$J2007)</f>
        <v/>
      </c>
      <c r="L2007" s="10" t="str">
        <f aca="false">IF($A2007="","",ROW()-2)</f>
        <v/>
      </c>
      <c r="M2007" s="10" t="str">
        <f aca="false">IF($A2007="","",ROW())</f>
        <v/>
      </c>
    </row>
    <row r="2008" customFormat="false" ht="15" hidden="false" customHeight="true" outlineLevel="0" collapsed="false">
      <c r="A2008" s="8"/>
      <c r="B2008" s="8"/>
      <c r="C2008" s="8"/>
      <c r="D2008" s="8"/>
      <c r="E2008" s="8"/>
      <c r="F2008" s="8"/>
      <c r="G2008" s="10" t="str">
        <f aca="false">IF($A2008="","",UPPER(SUBSTITUTE(SUBSTITUTE(SUBSTITUTE(SUBSTITUTE($A2008," ",""),"(주)",""),"주식회사",""),"㈜","")))</f>
        <v/>
      </c>
      <c r="H2008" s="10" t="str">
        <f aca="false">IF($B2008="","",SUBSTITUTE(SUBSTITUTE(SUBSTITUTE($B2008,"-","")," ",""),".",""))</f>
        <v/>
      </c>
      <c r="I2008" s="10" t="str">
        <f aca="false">IF($D2008="","",SUBSTITUTE(SUBSTITUTE(SUBSTITUTE($D2008,"-","")," ",""),".",""))</f>
        <v/>
      </c>
      <c r="J2008" s="10" t="str">
        <f aca="false">IF($E2008="","",UPPER(SUBSTITUTE($E2008," ","")))</f>
        <v/>
      </c>
      <c r="K2008" s="10" t="str">
        <f aca="false">IF($A2008="","",$G2008&amp;"|"&amp;$J2008)</f>
        <v/>
      </c>
      <c r="L2008" s="10" t="str">
        <f aca="false">IF($A2008="","",ROW()-2)</f>
        <v/>
      </c>
      <c r="M2008" s="10" t="str">
        <f aca="false">IF($A2008="","",ROW())</f>
        <v/>
      </c>
    </row>
    <row r="2009" customFormat="false" ht="15" hidden="false" customHeight="true" outlineLevel="0" collapsed="false">
      <c r="A2009" s="8"/>
      <c r="B2009" s="8"/>
      <c r="C2009" s="8"/>
      <c r="D2009" s="8"/>
      <c r="E2009" s="8"/>
      <c r="F2009" s="8"/>
      <c r="G2009" s="10" t="str">
        <f aca="false">IF($A2009="","",UPPER(SUBSTITUTE(SUBSTITUTE(SUBSTITUTE(SUBSTITUTE($A2009," ",""),"(주)",""),"주식회사",""),"㈜","")))</f>
        <v/>
      </c>
      <c r="H2009" s="10" t="str">
        <f aca="false">IF($B2009="","",SUBSTITUTE(SUBSTITUTE(SUBSTITUTE($B2009,"-","")," ",""),".",""))</f>
        <v/>
      </c>
      <c r="I2009" s="10" t="str">
        <f aca="false">IF($D2009="","",SUBSTITUTE(SUBSTITUTE(SUBSTITUTE($D2009,"-","")," ",""),".",""))</f>
        <v/>
      </c>
      <c r="J2009" s="10" t="str">
        <f aca="false">IF($E2009="","",UPPER(SUBSTITUTE($E2009," ","")))</f>
        <v/>
      </c>
      <c r="K2009" s="10" t="str">
        <f aca="false">IF($A2009="","",$G2009&amp;"|"&amp;$J2009)</f>
        <v/>
      </c>
      <c r="L2009" s="10" t="str">
        <f aca="false">IF($A2009="","",ROW()-2)</f>
        <v/>
      </c>
      <c r="M2009" s="10" t="str">
        <f aca="false">IF($A2009="","",ROW())</f>
        <v/>
      </c>
    </row>
    <row r="2010" customFormat="false" ht="15" hidden="false" customHeight="true" outlineLevel="0" collapsed="false">
      <c r="A2010" s="8"/>
      <c r="B2010" s="8"/>
      <c r="C2010" s="8"/>
      <c r="D2010" s="8"/>
      <c r="E2010" s="8"/>
      <c r="F2010" s="8"/>
      <c r="G2010" s="10" t="str">
        <f aca="false">IF($A2010="","",UPPER(SUBSTITUTE(SUBSTITUTE(SUBSTITUTE(SUBSTITUTE($A2010," ",""),"(주)",""),"주식회사",""),"㈜","")))</f>
        <v/>
      </c>
      <c r="H2010" s="10" t="str">
        <f aca="false">IF($B2010="","",SUBSTITUTE(SUBSTITUTE(SUBSTITUTE($B2010,"-","")," ",""),".",""))</f>
        <v/>
      </c>
      <c r="I2010" s="10" t="str">
        <f aca="false">IF($D2010="","",SUBSTITUTE(SUBSTITUTE(SUBSTITUTE($D2010,"-","")," ",""),".",""))</f>
        <v/>
      </c>
      <c r="J2010" s="10" t="str">
        <f aca="false">IF($E2010="","",UPPER(SUBSTITUTE($E2010," ","")))</f>
        <v/>
      </c>
      <c r="K2010" s="10" t="str">
        <f aca="false">IF($A2010="","",$G2010&amp;"|"&amp;$J2010)</f>
        <v/>
      </c>
      <c r="L2010" s="10" t="str">
        <f aca="false">IF($A2010="","",ROW()-2)</f>
        <v/>
      </c>
      <c r="M2010" s="10" t="str">
        <f aca="false">IF($A2010="","",ROW())</f>
        <v/>
      </c>
    </row>
    <row r="2011" customFormat="false" ht="15" hidden="false" customHeight="true" outlineLevel="0" collapsed="false">
      <c r="A2011" s="8"/>
      <c r="B2011" s="8"/>
      <c r="C2011" s="8"/>
      <c r="D2011" s="8"/>
      <c r="E2011" s="8"/>
      <c r="F2011" s="8"/>
      <c r="G2011" s="10" t="str">
        <f aca="false">IF($A2011="","",UPPER(SUBSTITUTE(SUBSTITUTE(SUBSTITUTE(SUBSTITUTE($A2011," ",""),"(주)",""),"주식회사",""),"㈜","")))</f>
        <v/>
      </c>
      <c r="H2011" s="10" t="str">
        <f aca="false">IF($B2011="","",SUBSTITUTE(SUBSTITUTE(SUBSTITUTE($B2011,"-","")," ",""),".",""))</f>
        <v/>
      </c>
      <c r="I2011" s="10" t="str">
        <f aca="false">IF($D2011="","",SUBSTITUTE(SUBSTITUTE(SUBSTITUTE($D2011,"-","")," ",""),".",""))</f>
        <v/>
      </c>
      <c r="J2011" s="10" t="str">
        <f aca="false">IF($E2011="","",UPPER(SUBSTITUTE($E2011," ","")))</f>
        <v/>
      </c>
      <c r="K2011" s="10" t="str">
        <f aca="false">IF($A2011="","",$G2011&amp;"|"&amp;$J2011)</f>
        <v/>
      </c>
      <c r="L2011" s="10" t="str">
        <f aca="false">IF($A2011="","",ROW()-2)</f>
        <v/>
      </c>
      <c r="M2011" s="10" t="str">
        <f aca="false">IF($A2011="","",ROW())</f>
        <v/>
      </c>
    </row>
    <row r="2012" customFormat="false" ht="15" hidden="false" customHeight="true" outlineLevel="0" collapsed="false">
      <c r="A2012" s="8"/>
      <c r="B2012" s="8"/>
      <c r="C2012" s="8"/>
      <c r="D2012" s="8"/>
      <c r="E2012" s="8"/>
      <c r="F2012" s="8"/>
      <c r="G2012" s="10" t="str">
        <f aca="false">IF($A2012="","",UPPER(SUBSTITUTE(SUBSTITUTE(SUBSTITUTE(SUBSTITUTE($A2012," ",""),"(주)",""),"주식회사",""),"㈜","")))</f>
        <v/>
      </c>
      <c r="H2012" s="10" t="str">
        <f aca="false">IF($B2012="","",SUBSTITUTE(SUBSTITUTE(SUBSTITUTE($B2012,"-","")," ",""),".",""))</f>
        <v/>
      </c>
      <c r="I2012" s="10" t="str">
        <f aca="false">IF($D2012="","",SUBSTITUTE(SUBSTITUTE(SUBSTITUTE($D2012,"-","")," ",""),".",""))</f>
        <v/>
      </c>
      <c r="J2012" s="10" t="str">
        <f aca="false">IF($E2012="","",UPPER(SUBSTITUTE($E2012," ","")))</f>
        <v/>
      </c>
      <c r="K2012" s="10" t="str">
        <f aca="false">IF($A2012="","",$G2012&amp;"|"&amp;$J2012)</f>
        <v/>
      </c>
      <c r="L2012" s="10" t="str">
        <f aca="false">IF($A2012="","",ROW()-2)</f>
        <v/>
      </c>
      <c r="M2012" s="10" t="str">
        <f aca="false">IF($A2012="","",ROW())</f>
        <v/>
      </c>
    </row>
    <row r="2013" customFormat="false" ht="15" hidden="false" customHeight="true" outlineLevel="0" collapsed="false">
      <c r="A2013" s="8"/>
      <c r="B2013" s="8"/>
      <c r="C2013" s="8"/>
      <c r="D2013" s="8"/>
      <c r="E2013" s="8"/>
      <c r="F2013" s="8"/>
      <c r="G2013" s="10" t="str">
        <f aca="false">IF($A2013="","",UPPER(SUBSTITUTE(SUBSTITUTE(SUBSTITUTE(SUBSTITUTE($A2013," ",""),"(주)",""),"주식회사",""),"㈜","")))</f>
        <v/>
      </c>
      <c r="H2013" s="10" t="str">
        <f aca="false">IF($B2013="","",SUBSTITUTE(SUBSTITUTE(SUBSTITUTE($B2013,"-","")," ",""),".",""))</f>
        <v/>
      </c>
      <c r="I2013" s="10" t="str">
        <f aca="false">IF($D2013="","",SUBSTITUTE(SUBSTITUTE(SUBSTITUTE($D2013,"-","")," ",""),".",""))</f>
        <v/>
      </c>
      <c r="J2013" s="10" t="str">
        <f aca="false">IF($E2013="","",UPPER(SUBSTITUTE($E2013," ","")))</f>
        <v/>
      </c>
      <c r="K2013" s="10" t="str">
        <f aca="false">IF($A2013="","",$G2013&amp;"|"&amp;$J2013)</f>
        <v/>
      </c>
      <c r="L2013" s="10" t="str">
        <f aca="false">IF($A2013="","",ROW()-2)</f>
        <v/>
      </c>
      <c r="M2013" s="10" t="str">
        <f aca="false">IF($A2013="","",ROW())</f>
        <v/>
      </c>
    </row>
    <row r="2014" customFormat="false" ht="15" hidden="false" customHeight="true" outlineLevel="0" collapsed="false">
      <c r="A2014" s="8"/>
      <c r="B2014" s="8"/>
      <c r="C2014" s="8"/>
      <c r="D2014" s="8"/>
      <c r="E2014" s="8"/>
      <c r="F2014" s="8"/>
      <c r="G2014" s="10" t="str">
        <f aca="false">IF($A2014="","",UPPER(SUBSTITUTE(SUBSTITUTE(SUBSTITUTE(SUBSTITUTE($A2014," ",""),"(주)",""),"주식회사",""),"㈜","")))</f>
        <v/>
      </c>
      <c r="H2014" s="10" t="str">
        <f aca="false">IF($B2014="","",SUBSTITUTE(SUBSTITUTE(SUBSTITUTE($B2014,"-","")," ",""),".",""))</f>
        <v/>
      </c>
      <c r="I2014" s="10" t="str">
        <f aca="false">IF($D2014="","",SUBSTITUTE(SUBSTITUTE(SUBSTITUTE($D2014,"-","")," ",""),".",""))</f>
        <v/>
      </c>
      <c r="J2014" s="10" t="str">
        <f aca="false">IF($E2014="","",UPPER(SUBSTITUTE($E2014," ","")))</f>
        <v/>
      </c>
      <c r="K2014" s="10" t="str">
        <f aca="false">IF($A2014="","",$G2014&amp;"|"&amp;$J2014)</f>
        <v/>
      </c>
      <c r="L2014" s="10" t="str">
        <f aca="false">IF($A2014="","",ROW()-2)</f>
        <v/>
      </c>
      <c r="M2014" s="10" t="str">
        <f aca="false">IF($A2014="","",ROW())</f>
        <v/>
      </c>
    </row>
    <row r="2015" customFormat="false" ht="15" hidden="false" customHeight="true" outlineLevel="0" collapsed="false">
      <c r="A2015" s="8"/>
      <c r="B2015" s="8"/>
      <c r="C2015" s="8"/>
      <c r="D2015" s="8"/>
      <c r="E2015" s="8"/>
      <c r="F2015" s="8"/>
      <c r="G2015" s="10" t="str">
        <f aca="false">IF($A2015="","",UPPER(SUBSTITUTE(SUBSTITUTE(SUBSTITUTE(SUBSTITUTE($A2015," ",""),"(주)",""),"주식회사",""),"㈜","")))</f>
        <v/>
      </c>
      <c r="H2015" s="10" t="str">
        <f aca="false">IF($B2015="","",SUBSTITUTE(SUBSTITUTE(SUBSTITUTE($B2015,"-","")," ",""),".",""))</f>
        <v/>
      </c>
      <c r="I2015" s="10" t="str">
        <f aca="false">IF($D2015="","",SUBSTITUTE(SUBSTITUTE(SUBSTITUTE($D2015,"-","")," ",""),".",""))</f>
        <v/>
      </c>
      <c r="J2015" s="10" t="str">
        <f aca="false">IF($E2015="","",UPPER(SUBSTITUTE($E2015," ","")))</f>
        <v/>
      </c>
      <c r="K2015" s="10" t="str">
        <f aca="false">IF($A2015="","",$G2015&amp;"|"&amp;$J2015)</f>
        <v/>
      </c>
      <c r="L2015" s="10" t="str">
        <f aca="false">IF($A2015="","",ROW()-2)</f>
        <v/>
      </c>
      <c r="M2015" s="10" t="str">
        <f aca="false">IF($A2015="","",ROW())</f>
        <v/>
      </c>
    </row>
    <row r="2016" customFormat="false" ht="15" hidden="false" customHeight="true" outlineLevel="0" collapsed="false">
      <c r="A2016" s="8"/>
      <c r="B2016" s="8"/>
      <c r="C2016" s="8"/>
      <c r="D2016" s="8"/>
      <c r="E2016" s="8"/>
      <c r="F2016" s="8"/>
      <c r="G2016" s="10" t="str">
        <f aca="false">IF($A2016="","",UPPER(SUBSTITUTE(SUBSTITUTE(SUBSTITUTE(SUBSTITUTE($A2016," ",""),"(주)",""),"주식회사",""),"㈜","")))</f>
        <v/>
      </c>
      <c r="H2016" s="10" t="str">
        <f aca="false">IF($B2016="","",SUBSTITUTE(SUBSTITUTE(SUBSTITUTE($B2016,"-","")," ",""),".",""))</f>
        <v/>
      </c>
      <c r="I2016" s="10" t="str">
        <f aca="false">IF($D2016="","",SUBSTITUTE(SUBSTITUTE(SUBSTITUTE($D2016,"-","")," ",""),".",""))</f>
        <v/>
      </c>
      <c r="J2016" s="10" t="str">
        <f aca="false">IF($E2016="","",UPPER(SUBSTITUTE($E2016," ","")))</f>
        <v/>
      </c>
      <c r="K2016" s="10" t="str">
        <f aca="false">IF($A2016="","",$G2016&amp;"|"&amp;$J2016)</f>
        <v/>
      </c>
      <c r="L2016" s="10" t="str">
        <f aca="false">IF($A2016="","",ROW()-2)</f>
        <v/>
      </c>
      <c r="M2016" s="10" t="str">
        <f aca="false">IF($A2016="","",ROW())</f>
        <v/>
      </c>
    </row>
    <row r="2017" customFormat="false" ht="15" hidden="false" customHeight="true" outlineLevel="0" collapsed="false">
      <c r="A2017" s="8"/>
      <c r="B2017" s="8"/>
      <c r="C2017" s="8"/>
      <c r="D2017" s="8"/>
      <c r="E2017" s="8"/>
      <c r="F2017" s="8"/>
      <c r="G2017" s="10" t="str">
        <f aca="false">IF($A2017="","",UPPER(SUBSTITUTE(SUBSTITUTE(SUBSTITUTE(SUBSTITUTE($A2017," ",""),"(주)",""),"주식회사",""),"㈜","")))</f>
        <v/>
      </c>
      <c r="H2017" s="10" t="str">
        <f aca="false">IF($B2017="","",SUBSTITUTE(SUBSTITUTE(SUBSTITUTE($B2017,"-","")," ",""),".",""))</f>
        <v/>
      </c>
      <c r="I2017" s="10" t="str">
        <f aca="false">IF($D2017="","",SUBSTITUTE(SUBSTITUTE(SUBSTITUTE($D2017,"-","")," ",""),".",""))</f>
        <v/>
      </c>
      <c r="J2017" s="10" t="str">
        <f aca="false">IF($E2017="","",UPPER(SUBSTITUTE($E2017," ","")))</f>
        <v/>
      </c>
      <c r="K2017" s="10" t="str">
        <f aca="false">IF($A2017="","",$G2017&amp;"|"&amp;$J2017)</f>
        <v/>
      </c>
      <c r="L2017" s="10" t="str">
        <f aca="false">IF($A2017="","",ROW()-2)</f>
        <v/>
      </c>
      <c r="M2017" s="10" t="str">
        <f aca="false">IF($A2017="","",ROW())</f>
        <v/>
      </c>
    </row>
    <row r="2018" customFormat="false" ht="15" hidden="false" customHeight="true" outlineLevel="0" collapsed="false">
      <c r="A2018" s="8"/>
      <c r="B2018" s="8"/>
      <c r="C2018" s="8"/>
      <c r="D2018" s="8"/>
      <c r="E2018" s="8"/>
      <c r="F2018" s="8"/>
      <c r="G2018" s="10" t="str">
        <f aca="false">IF($A2018="","",UPPER(SUBSTITUTE(SUBSTITUTE(SUBSTITUTE(SUBSTITUTE($A2018," ",""),"(주)",""),"주식회사",""),"㈜","")))</f>
        <v/>
      </c>
      <c r="H2018" s="10" t="str">
        <f aca="false">IF($B2018="","",SUBSTITUTE(SUBSTITUTE(SUBSTITUTE($B2018,"-","")," ",""),".",""))</f>
        <v/>
      </c>
      <c r="I2018" s="10" t="str">
        <f aca="false">IF($D2018="","",SUBSTITUTE(SUBSTITUTE(SUBSTITUTE($D2018,"-","")," ",""),".",""))</f>
        <v/>
      </c>
      <c r="J2018" s="10" t="str">
        <f aca="false">IF($E2018="","",UPPER(SUBSTITUTE($E2018," ","")))</f>
        <v/>
      </c>
      <c r="K2018" s="10" t="str">
        <f aca="false">IF($A2018="","",$G2018&amp;"|"&amp;$J2018)</f>
        <v/>
      </c>
      <c r="L2018" s="10" t="str">
        <f aca="false">IF($A2018="","",ROW()-2)</f>
        <v/>
      </c>
      <c r="M2018" s="10" t="str">
        <f aca="false">IF($A2018="","",ROW())</f>
        <v/>
      </c>
    </row>
    <row r="2019" customFormat="false" ht="15" hidden="false" customHeight="true" outlineLevel="0" collapsed="false">
      <c r="A2019" s="8"/>
      <c r="B2019" s="8"/>
      <c r="C2019" s="8"/>
      <c r="D2019" s="8"/>
      <c r="E2019" s="8"/>
      <c r="F2019" s="8"/>
      <c r="G2019" s="10" t="str">
        <f aca="false">IF($A2019="","",UPPER(SUBSTITUTE(SUBSTITUTE(SUBSTITUTE(SUBSTITUTE($A2019," ",""),"(주)",""),"주식회사",""),"㈜","")))</f>
        <v/>
      </c>
      <c r="H2019" s="10" t="str">
        <f aca="false">IF($B2019="","",SUBSTITUTE(SUBSTITUTE(SUBSTITUTE($B2019,"-","")," ",""),".",""))</f>
        <v/>
      </c>
      <c r="I2019" s="10" t="str">
        <f aca="false">IF($D2019="","",SUBSTITUTE(SUBSTITUTE(SUBSTITUTE($D2019,"-","")," ",""),".",""))</f>
        <v/>
      </c>
      <c r="J2019" s="10" t="str">
        <f aca="false">IF($E2019="","",UPPER(SUBSTITUTE($E2019," ","")))</f>
        <v/>
      </c>
      <c r="K2019" s="10" t="str">
        <f aca="false">IF($A2019="","",$G2019&amp;"|"&amp;$J2019)</f>
        <v/>
      </c>
      <c r="L2019" s="10" t="str">
        <f aca="false">IF($A2019="","",ROW()-2)</f>
        <v/>
      </c>
      <c r="M2019" s="10" t="str">
        <f aca="false">IF($A2019="","",ROW())</f>
        <v/>
      </c>
    </row>
    <row r="2020" customFormat="false" ht="15" hidden="false" customHeight="true" outlineLevel="0" collapsed="false">
      <c r="A2020" s="8"/>
      <c r="B2020" s="8"/>
      <c r="C2020" s="8"/>
      <c r="D2020" s="8"/>
      <c r="E2020" s="8"/>
      <c r="F2020" s="8"/>
      <c r="G2020" s="10" t="str">
        <f aca="false">IF($A2020="","",UPPER(SUBSTITUTE(SUBSTITUTE(SUBSTITUTE(SUBSTITUTE($A2020," ",""),"(주)",""),"주식회사",""),"㈜","")))</f>
        <v/>
      </c>
      <c r="H2020" s="10" t="str">
        <f aca="false">IF($B2020="","",SUBSTITUTE(SUBSTITUTE(SUBSTITUTE($B2020,"-","")," ",""),".",""))</f>
        <v/>
      </c>
      <c r="I2020" s="10" t="str">
        <f aca="false">IF($D2020="","",SUBSTITUTE(SUBSTITUTE(SUBSTITUTE($D2020,"-","")," ",""),".",""))</f>
        <v/>
      </c>
      <c r="J2020" s="10" t="str">
        <f aca="false">IF($E2020="","",UPPER(SUBSTITUTE($E2020," ","")))</f>
        <v/>
      </c>
      <c r="K2020" s="10" t="str">
        <f aca="false">IF($A2020="","",$G2020&amp;"|"&amp;$J2020)</f>
        <v/>
      </c>
      <c r="L2020" s="10" t="str">
        <f aca="false">IF($A2020="","",ROW()-2)</f>
        <v/>
      </c>
      <c r="M2020" s="10" t="str">
        <f aca="false">IF($A2020="","",ROW())</f>
        <v/>
      </c>
    </row>
    <row r="2021" customFormat="false" ht="15" hidden="false" customHeight="true" outlineLevel="0" collapsed="false">
      <c r="A2021" s="8"/>
      <c r="B2021" s="8"/>
      <c r="C2021" s="8"/>
      <c r="D2021" s="8"/>
      <c r="E2021" s="8"/>
      <c r="F2021" s="8"/>
      <c r="G2021" s="10" t="str">
        <f aca="false">IF($A2021="","",UPPER(SUBSTITUTE(SUBSTITUTE(SUBSTITUTE(SUBSTITUTE($A2021," ",""),"(주)",""),"주식회사",""),"㈜","")))</f>
        <v/>
      </c>
      <c r="H2021" s="10" t="str">
        <f aca="false">IF($B2021="","",SUBSTITUTE(SUBSTITUTE(SUBSTITUTE($B2021,"-","")," ",""),".",""))</f>
        <v/>
      </c>
      <c r="I2021" s="10" t="str">
        <f aca="false">IF($D2021="","",SUBSTITUTE(SUBSTITUTE(SUBSTITUTE($D2021,"-","")," ",""),".",""))</f>
        <v/>
      </c>
      <c r="J2021" s="10" t="str">
        <f aca="false">IF($E2021="","",UPPER(SUBSTITUTE($E2021," ","")))</f>
        <v/>
      </c>
      <c r="K2021" s="10" t="str">
        <f aca="false">IF($A2021="","",$G2021&amp;"|"&amp;$J2021)</f>
        <v/>
      </c>
      <c r="L2021" s="10" t="str">
        <f aca="false">IF($A2021="","",ROW()-2)</f>
        <v/>
      </c>
      <c r="M2021" s="10" t="str">
        <f aca="false">IF($A2021="","",ROW())</f>
        <v/>
      </c>
    </row>
    <row r="2022" customFormat="false" ht="15" hidden="false" customHeight="true" outlineLevel="0" collapsed="false">
      <c r="A2022" s="8"/>
      <c r="B2022" s="8"/>
      <c r="C2022" s="8"/>
      <c r="D2022" s="8"/>
      <c r="E2022" s="8"/>
      <c r="F2022" s="8"/>
      <c r="G2022" s="10" t="str">
        <f aca="false">IF($A2022="","",UPPER(SUBSTITUTE(SUBSTITUTE(SUBSTITUTE(SUBSTITUTE($A2022," ",""),"(주)",""),"주식회사",""),"㈜","")))</f>
        <v/>
      </c>
      <c r="H2022" s="10" t="str">
        <f aca="false">IF($B2022="","",SUBSTITUTE(SUBSTITUTE(SUBSTITUTE($B2022,"-","")," ",""),".",""))</f>
        <v/>
      </c>
      <c r="I2022" s="10" t="str">
        <f aca="false">IF($D2022="","",SUBSTITUTE(SUBSTITUTE(SUBSTITUTE($D2022,"-","")," ",""),".",""))</f>
        <v/>
      </c>
      <c r="J2022" s="10" t="str">
        <f aca="false">IF($E2022="","",UPPER(SUBSTITUTE($E2022," ","")))</f>
        <v/>
      </c>
      <c r="K2022" s="10" t="str">
        <f aca="false">IF($A2022="","",$G2022&amp;"|"&amp;$J2022)</f>
        <v/>
      </c>
      <c r="L2022" s="10" t="str">
        <f aca="false">IF($A2022="","",ROW()-2)</f>
        <v/>
      </c>
      <c r="M2022" s="10" t="str">
        <f aca="false">IF($A2022="","",ROW())</f>
        <v/>
      </c>
    </row>
    <row r="2023" customFormat="false" ht="15" hidden="false" customHeight="true" outlineLevel="0" collapsed="false">
      <c r="A2023" s="8"/>
      <c r="B2023" s="8"/>
      <c r="C2023" s="8"/>
      <c r="D2023" s="8"/>
      <c r="E2023" s="8"/>
      <c r="F2023" s="8"/>
      <c r="G2023" s="10" t="str">
        <f aca="false">IF($A2023="","",UPPER(SUBSTITUTE(SUBSTITUTE(SUBSTITUTE(SUBSTITUTE($A2023," ",""),"(주)",""),"주식회사",""),"㈜","")))</f>
        <v/>
      </c>
      <c r="H2023" s="10" t="str">
        <f aca="false">IF($B2023="","",SUBSTITUTE(SUBSTITUTE(SUBSTITUTE($B2023,"-","")," ",""),".",""))</f>
        <v/>
      </c>
      <c r="I2023" s="10" t="str">
        <f aca="false">IF($D2023="","",SUBSTITUTE(SUBSTITUTE(SUBSTITUTE($D2023,"-","")," ",""),".",""))</f>
        <v/>
      </c>
      <c r="J2023" s="10" t="str">
        <f aca="false">IF($E2023="","",UPPER(SUBSTITUTE($E2023," ","")))</f>
        <v/>
      </c>
      <c r="K2023" s="10" t="str">
        <f aca="false">IF($A2023="","",$G2023&amp;"|"&amp;$J2023)</f>
        <v/>
      </c>
      <c r="L2023" s="10" t="str">
        <f aca="false">IF($A2023="","",ROW()-2)</f>
        <v/>
      </c>
      <c r="M2023" s="10" t="str">
        <f aca="false">IF($A2023="","",ROW())</f>
        <v/>
      </c>
    </row>
    <row r="2024" customFormat="false" ht="15" hidden="false" customHeight="true" outlineLevel="0" collapsed="false">
      <c r="A2024" s="8"/>
      <c r="B2024" s="8"/>
      <c r="C2024" s="8"/>
      <c r="D2024" s="8"/>
      <c r="E2024" s="8"/>
      <c r="F2024" s="8"/>
      <c r="G2024" s="10" t="str">
        <f aca="false">IF($A2024="","",UPPER(SUBSTITUTE(SUBSTITUTE(SUBSTITUTE(SUBSTITUTE($A2024," ",""),"(주)",""),"주식회사",""),"㈜","")))</f>
        <v/>
      </c>
      <c r="H2024" s="10" t="str">
        <f aca="false">IF($B2024="","",SUBSTITUTE(SUBSTITUTE(SUBSTITUTE($B2024,"-","")," ",""),".",""))</f>
        <v/>
      </c>
      <c r="I2024" s="10" t="str">
        <f aca="false">IF($D2024="","",SUBSTITUTE(SUBSTITUTE(SUBSTITUTE($D2024,"-","")," ",""),".",""))</f>
        <v/>
      </c>
      <c r="J2024" s="10" t="str">
        <f aca="false">IF($E2024="","",UPPER(SUBSTITUTE($E2024," ","")))</f>
        <v/>
      </c>
      <c r="K2024" s="10" t="str">
        <f aca="false">IF($A2024="","",$G2024&amp;"|"&amp;$J2024)</f>
        <v/>
      </c>
      <c r="L2024" s="10" t="str">
        <f aca="false">IF($A2024="","",ROW()-2)</f>
        <v/>
      </c>
      <c r="M2024" s="10" t="str">
        <f aca="false">IF($A2024="","",ROW())</f>
        <v/>
      </c>
    </row>
    <row r="2025" customFormat="false" ht="15" hidden="false" customHeight="true" outlineLevel="0" collapsed="false">
      <c r="A2025" s="8"/>
      <c r="B2025" s="8"/>
      <c r="C2025" s="8"/>
      <c r="D2025" s="8"/>
      <c r="E2025" s="8"/>
      <c r="F2025" s="8"/>
      <c r="G2025" s="10" t="str">
        <f aca="false">IF($A2025="","",UPPER(SUBSTITUTE(SUBSTITUTE(SUBSTITUTE(SUBSTITUTE($A2025," ",""),"(주)",""),"주식회사",""),"㈜","")))</f>
        <v/>
      </c>
      <c r="H2025" s="10" t="str">
        <f aca="false">IF($B2025="","",SUBSTITUTE(SUBSTITUTE(SUBSTITUTE($B2025,"-","")," ",""),".",""))</f>
        <v/>
      </c>
      <c r="I2025" s="10" t="str">
        <f aca="false">IF($D2025="","",SUBSTITUTE(SUBSTITUTE(SUBSTITUTE($D2025,"-","")," ",""),".",""))</f>
        <v/>
      </c>
      <c r="J2025" s="10" t="str">
        <f aca="false">IF($E2025="","",UPPER(SUBSTITUTE($E2025," ","")))</f>
        <v/>
      </c>
      <c r="K2025" s="10" t="str">
        <f aca="false">IF($A2025="","",$G2025&amp;"|"&amp;$J2025)</f>
        <v/>
      </c>
      <c r="L2025" s="10" t="str">
        <f aca="false">IF($A2025="","",ROW()-2)</f>
        <v/>
      </c>
      <c r="M2025" s="10" t="str">
        <f aca="false">IF($A2025="","",ROW())</f>
        <v/>
      </c>
    </row>
    <row r="2026" customFormat="false" ht="15" hidden="false" customHeight="true" outlineLevel="0" collapsed="false">
      <c r="A2026" s="8"/>
      <c r="B2026" s="8"/>
      <c r="C2026" s="8"/>
      <c r="D2026" s="8"/>
      <c r="E2026" s="8"/>
      <c r="F2026" s="8"/>
      <c r="G2026" s="10" t="str">
        <f aca="false">IF($A2026="","",UPPER(SUBSTITUTE(SUBSTITUTE(SUBSTITUTE(SUBSTITUTE($A2026," ",""),"(주)",""),"주식회사",""),"㈜","")))</f>
        <v/>
      </c>
      <c r="H2026" s="10" t="str">
        <f aca="false">IF($B2026="","",SUBSTITUTE(SUBSTITUTE(SUBSTITUTE($B2026,"-","")," ",""),".",""))</f>
        <v/>
      </c>
      <c r="I2026" s="10" t="str">
        <f aca="false">IF($D2026="","",SUBSTITUTE(SUBSTITUTE(SUBSTITUTE($D2026,"-","")," ",""),".",""))</f>
        <v/>
      </c>
      <c r="J2026" s="10" t="str">
        <f aca="false">IF($E2026="","",UPPER(SUBSTITUTE($E2026," ","")))</f>
        <v/>
      </c>
      <c r="K2026" s="10" t="str">
        <f aca="false">IF($A2026="","",$G2026&amp;"|"&amp;$J2026)</f>
        <v/>
      </c>
      <c r="L2026" s="10" t="str">
        <f aca="false">IF($A2026="","",ROW()-2)</f>
        <v/>
      </c>
      <c r="M2026" s="10" t="str">
        <f aca="false">IF($A2026="","",ROW())</f>
        <v/>
      </c>
    </row>
    <row r="2027" customFormat="false" ht="15" hidden="false" customHeight="true" outlineLevel="0" collapsed="false">
      <c r="A2027" s="8"/>
      <c r="B2027" s="8"/>
      <c r="C2027" s="8"/>
      <c r="D2027" s="8"/>
      <c r="E2027" s="8"/>
      <c r="F2027" s="8"/>
      <c r="G2027" s="10" t="str">
        <f aca="false">IF($A2027="","",UPPER(SUBSTITUTE(SUBSTITUTE(SUBSTITUTE(SUBSTITUTE($A2027," ",""),"(주)",""),"주식회사",""),"㈜","")))</f>
        <v/>
      </c>
      <c r="H2027" s="10" t="str">
        <f aca="false">IF($B2027="","",SUBSTITUTE(SUBSTITUTE(SUBSTITUTE($B2027,"-","")," ",""),".",""))</f>
        <v/>
      </c>
      <c r="I2027" s="10" t="str">
        <f aca="false">IF($D2027="","",SUBSTITUTE(SUBSTITUTE(SUBSTITUTE($D2027,"-","")," ",""),".",""))</f>
        <v/>
      </c>
      <c r="J2027" s="10" t="str">
        <f aca="false">IF($E2027="","",UPPER(SUBSTITUTE($E2027," ","")))</f>
        <v/>
      </c>
      <c r="K2027" s="10" t="str">
        <f aca="false">IF($A2027="","",$G2027&amp;"|"&amp;$J2027)</f>
        <v/>
      </c>
      <c r="L2027" s="10" t="str">
        <f aca="false">IF($A2027="","",ROW()-2)</f>
        <v/>
      </c>
      <c r="M2027" s="10" t="str">
        <f aca="false">IF($A2027="","",ROW())</f>
        <v/>
      </c>
    </row>
    <row r="2028" customFormat="false" ht="15" hidden="false" customHeight="true" outlineLevel="0" collapsed="false">
      <c r="A2028" s="8"/>
      <c r="B2028" s="8"/>
      <c r="C2028" s="8"/>
      <c r="D2028" s="8"/>
      <c r="E2028" s="8"/>
      <c r="F2028" s="8"/>
      <c r="G2028" s="10" t="str">
        <f aca="false">IF($A2028="","",UPPER(SUBSTITUTE(SUBSTITUTE(SUBSTITUTE(SUBSTITUTE($A2028," ",""),"(주)",""),"주식회사",""),"㈜","")))</f>
        <v/>
      </c>
      <c r="H2028" s="10" t="str">
        <f aca="false">IF($B2028="","",SUBSTITUTE(SUBSTITUTE(SUBSTITUTE($B2028,"-","")," ",""),".",""))</f>
        <v/>
      </c>
      <c r="I2028" s="10" t="str">
        <f aca="false">IF($D2028="","",SUBSTITUTE(SUBSTITUTE(SUBSTITUTE($D2028,"-","")," ",""),".",""))</f>
        <v/>
      </c>
      <c r="J2028" s="10" t="str">
        <f aca="false">IF($E2028="","",UPPER(SUBSTITUTE($E2028," ","")))</f>
        <v/>
      </c>
      <c r="K2028" s="10" t="str">
        <f aca="false">IF($A2028="","",$G2028&amp;"|"&amp;$J2028)</f>
        <v/>
      </c>
      <c r="L2028" s="10" t="str">
        <f aca="false">IF($A2028="","",ROW()-2)</f>
        <v/>
      </c>
      <c r="M2028" s="10" t="str">
        <f aca="false">IF($A2028="","",ROW())</f>
        <v/>
      </c>
    </row>
    <row r="2029" customFormat="false" ht="15" hidden="false" customHeight="true" outlineLevel="0" collapsed="false">
      <c r="A2029" s="8"/>
      <c r="B2029" s="8"/>
      <c r="C2029" s="8"/>
      <c r="D2029" s="8"/>
      <c r="E2029" s="8"/>
      <c r="F2029" s="8"/>
      <c r="G2029" s="10" t="str">
        <f aca="false">IF($A2029="","",UPPER(SUBSTITUTE(SUBSTITUTE(SUBSTITUTE(SUBSTITUTE($A2029," ",""),"(주)",""),"주식회사",""),"㈜","")))</f>
        <v/>
      </c>
      <c r="H2029" s="10" t="str">
        <f aca="false">IF($B2029="","",SUBSTITUTE(SUBSTITUTE(SUBSTITUTE($B2029,"-","")," ",""),".",""))</f>
        <v/>
      </c>
      <c r="I2029" s="10" t="str">
        <f aca="false">IF($D2029="","",SUBSTITUTE(SUBSTITUTE(SUBSTITUTE($D2029,"-","")," ",""),".",""))</f>
        <v/>
      </c>
      <c r="J2029" s="10" t="str">
        <f aca="false">IF($E2029="","",UPPER(SUBSTITUTE($E2029," ","")))</f>
        <v/>
      </c>
      <c r="K2029" s="10" t="str">
        <f aca="false">IF($A2029="","",$G2029&amp;"|"&amp;$J2029)</f>
        <v/>
      </c>
      <c r="L2029" s="10" t="str">
        <f aca="false">IF($A2029="","",ROW()-2)</f>
        <v/>
      </c>
      <c r="M2029" s="10" t="str">
        <f aca="false">IF($A2029="","",ROW())</f>
        <v/>
      </c>
    </row>
    <row r="2030" customFormat="false" ht="15" hidden="false" customHeight="true" outlineLevel="0" collapsed="false">
      <c r="A2030" s="8"/>
      <c r="B2030" s="8"/>
      <c r="C2030" s="8"/>
      <c r="D2030" s="8"/>
      <c r="E2030" s="8"/>
      <c r="F2030" s="8"/>
      <c r="G2030" s="10" t="str">
        <f aca="false">IF($A2030="","",UPPER(SUBSTITUTE(SUBSTITUTE(SUBSTITUTE(SUBSTITUTE($A2030," ",""),"(주)",""),"주식회사",""),"㈜","")))</f>
        <v/>
      </c>
      <c r="H2030" s="10" t="str">
        <f aca="false">IF($B2030="","",SUBSTITUTE(SUBSTITUTE(SUBSTITUTE($B2030,"-","")," ",""),".",""))</f>
        <v/>
      </c>
      <c r="I2030" s="10" t="str">
        <f aca="false">IF($D2030="","",SUBSTITUTE(SUBSTITUTE(SUBSTITUTE($D2030,"-","")," ",""),".",""))</f>
        <v/>
      </c>
      <c r="J2030" s="10" t="str">
        <f aca="false">IF($E2030="","",UPPER(SUBSTITUTE($E2030," ","")))</f>
        <v/>
      </c>
      <c r="K2030" s="10" t="str">
        <f aca="false">IF($A2030="","",$G2030&amp;"|"&amp;$J2030)</f>
        <v/>
      </c>
      <c r="L2030" s="10" t="str">
        <f aca="false">IF($A2030="","",ROW()-2)</f>
        <v/>
      </c>
      <c r="M2030" s="10" t="str">
        <f aca="false">IF($A2030="","",ROW())</f>
        <v/>
      </c>
    </row>
    <row r="2031" customFormat="false" ht="15" hidden="false" customHeight="true" outlineLevel="0" collapsed="false">
      <c r="A2031" s="8"/>
      <c r="B2031" s="8"/>
      <c r="C2031" s="8"/>
      <c r="D2031" s="8"/>
      <c r="E2031" s="8"/>
      <c r="F2031" s="8"/>
      <c r="G2031" s="10" t="str">
        <f aca="false">IF($A2031="","",UPPER(SUBSTITUTE(SUBSTITUTE(SUBSTITUTE(SUBSTITUTE($A2031," ",""),"(주)",""),"주식회사",""),"㈜","")))</f>
        <v/>
      </c>
      <c r="H2031" s="10" t="str">
        <f aca="false">IF($B2031="","",SUBSTITUTE(SUBSTITUTE(SUBSTITUTE($B2031,"-","")," ",""),".",""))</f>
        <v/>
      </c>
      <c r="I2031" s="10" t="str">
        <f aca="false">IF($D2031="","",SUBSTITUTE(SUBSTITUTE(SUBSTITUTE($D2031,"-","")," ",""),".",""))</f>
        <v/>
      </c>
      <c r="J2031" s="10" t="str">
        <f aca="false">IF($E2031="","",UPPER(SUBSTITUTE($E2031," ","")))</f>
        <v/>
      </c>
      <c r="K2031" s="10" t="str">
        <f aca="false">IF($A2031="","",$G2031&amp;"|"&amp;$J2031)</f>
        <v/>
      </c>
      <c r="L2031" s="10" t="str">
        <f aca="false">IF($A2031="","",ROW()-2)</f>
        <v/>
      </c>
      <c r="M2031" s="10" t="str">
        <f aca="false">IF($A2031="","",ROW())</f>
        <v/>
      </c>
    </row>
    <row r="2032" customFormat="false" ht="15" hidden="false" customHeight="true" outlineLevel="0" collapsed="false">
      <c r="A2032" s="8"/>
      <c r="B2032" s="8"/>
      <c r="C2032" s="8"/>
      <c r="D2032" s="8"/>
      <c r="E2032" s="8"/>
      <c r="F2032" s="8"/>
      <c r="G2032" s="10" t="str">
        <f aca="false">IF($A2032="","",UPPER(SUBSTITUTE(SUBSTITUTE(SUBSTITUTE(SUBSTITUTE($A2032," ",""),"(주)",""),"주식회사",""),"㈜","")))</f>
        <v/>
      </c>
      <c r="H2032" s="10" t="str">
        <f aca="false">IF($B2032="","",SUBSTITUTE(SUBSTITUTE(SUBSTITUTE($B2032,"-","")," ",""),".",""))</f>
        <v/>
      </c>
      <c r="I2032" s="10" t="str">
        <f aca="false">IF($D2032="","",SUBSTITUTE(SUBSTITUTE(SUBSTITUTE($D2032,"-","")," ",""),".",""))</f>
        <v/>
      </c>
      <c r="J2032" s="10" t="str">
        <f aca="false">IF($E2032="","",UPPER(SUBSTITUTE($E2032," ","")))</f>
        <v/>
      </c>
      <c r="K2032" s="10" t="str">
        <f aca="false">IF($A2032="","",$G2032&amp;"|"&amp;$J2032)</f>
        <v/>
      </c>
      <c r="L2032" s="10" t="str">
        <f aca="false">IF($A2032="","",ROW()-2)</f>
        <v/>
      </c>
      <c r="M2032" s="10" t="str">
        <f aca="false">IF($A2032="","",ROW())</f>
        <v/>
      </c>
    </row>
    <row r="2033" customFormat="false" ht="15" hidden="false" customHeight="true" outlineLevel="0" collapsed="false">
      <c r="A2033" s="8"/>
      <c r="B2033" s="8"/>
      <c r="C2033" s="8"/>
      <c r="D2033" s="8"/>
      <c r="E2033" s="8"/>
      <c r="F2033" s="8"/>
      <c r="G2033" s="10" t="str">
        <f aca="false">IF($A2033="","",UPPER(SUBSTITUTE(SUBSTITUTE(SUBSTITUTE(SUBSTITUTE($A2033," ",""),"(주)",""),"주식회사",""),"㈜","")))</f>
        <v/>
      </c>
      <c r="H2033" s="10" t="str">
        <f aca="false">IF($B2033="","",SUBSTITUTE(SUBSTITUTE(SUBSTITUTE($B2033,"-","")," ",""),".",""))</f>
        <v/>
      </c>
      <c r="I2033" s="10" t="str">
        <f aca="false">IF($D2033="","",SUBSTITUTE(SUBSTITUTE(SUBSTITUTE($D2033,"-","")," ",""),".",""))</f>
        <v/>
      </c>
      <c r="J2033" s="10" t="str">
        <f aca="false">IF($E2033="","",UPPER(SUBSTITUTE($E2033," ","")))</f>
        <v/>
      </c>
      <c r="K2033" s="10" t="str">
        <f aca="false">IF($A2033="","",$G2033&amp;"|"&amp;$J2033)</f>
        <v/>
      </c>
      <c r="L2033" s="10" t="str">
        <f aca="false">IF($A2033="","",ROW()-2)</f>
        <v/>
      </c>
      <c r="M2033" s="10" t="str">
        <f aca="false">IF($A2033="","",ROW())</f>
        <v/>
      </c>
    </row>
    <row r="2034" customFormat="false" ht="15" hidden="false" customHeight="true" outlineLevel="0" collapsed="false">
      <c r="A2034" s="8"/>
      <c r="B2034" s="8"/>
      <c r="C2034" s="8"/>
      <c r="D2034" s="8"/>
      <c r="E2034" s="8"/>
      <c r="F2034" s="8"/>
      <c r="G2034" s="10" t="str">
        <f aca="false">IF($A2034="","",UPPER(SUBSTITUTE(SUBSTITUTE(SUBSTITUTE(SUBSTITUTE($A2034," ",""),"(주)",""),"주식회사",""),"㈜","")))</f>
        <v/>
      </c>
      <c r="H2034" s="10" t="str">
        <f aca="false">IF($B2034="","",SUBSTITUTE(SUBSTITUTE(SUBSTITUTE($B2034,"-","")," ",""),".",""))</f>
        <v/>
      </c>
      <c r="I2034" s="10" t="str">
        <f aca="false">IF($D2034="","",SUBSTITUTE(SUBSTITUTE(SUBSTITUTE($D2034,"-","")," ",""),".",""))</f>
        <v/>
      </c>
      <c r="J2034" s="10" t="str">
        <f aca="false">IF($E2034="","",UPPER(SUBSTITUTE($E2034," ","")))</f>
        <v/>
      </c>
      <c r="K2034" s="10" t="str">
        <f aca="false">IF($A2034="","",$G2034&amp;"|"&amp;$J2034)</f>
        <v/>
      </c>
      <c r="L2034" s="10" t="str">
        <f aca="false">IF($A2034="","",ROW()-2)</f>
        <v/>
      </c>
      <c r="M2034" s="10" t="str">
        <f aca="false">IF($A2034="","",ROW())</f>
        <v/>
      </c>
    </row>
    <row r="2035" customFormat="false" ht="15" hidden="false" customHeight="true" outlineLevel="0" collapsed="false">
      <c r="A2035" s="8"/>
      <c r="B2035" s="8"/>
      <c r="C2035" s="8"/>
      <c r="D2035" s="8"/>
      <c r="E2035" s="8"/>
      <c r="F2035" s="8"/>
      <c r="G2035" s="10" t="str">
        <f aca="false">IF($A2035="","",UPPER(SUBSTITUTE(SUBSTITUTE(SUBSTITUTE(SUBSTITUTE($A2035," ",""),"(주)",""),"주식회사",""),"㈜","")))</f>
        <v/>
      </c>
      <c r="H2035" s="10" t="str">
        <f aca="false">IF($B2035="","",SUBSTITUTE(SUBSTITUTE(SUBSTITUTE($B2035,"-","")," ",""),".",""))</f>
        <v/>
      </c>
      <c r="I2035" s="10" t="str">
        <f aca="false">IF($D2035="","",SUBSTITUTE(SUBSTITUTE(SUBSTITUTE($D2035,"-","")," ",""),".",""))</f>
        <v/>
      </c>
      <c r="J2035" s="10" t="str">
        <f aca="false">IF($E2035="","",UPPER(SUBSTITUTE($E2035," ","")))</f>
        <v/>
      </c>
      <c r="K2035" s="10" t="str">
        <f aca="false">IF($A2035="","",$G2035&amp;"|"&amp;$J2035)</f>
        <v/>
      </c>
      <c r="L2035" s="10" t="str">
        <f aca="false">IF($A2035="","",ROW()-2)</f>
        <v/>
      </c>
      <c r="M2035" s="10" t="str">
        <f aca="false">IF($A2035="","",ROW())</f>
        <v/>
      </c>
    </row>
    <row r="2036" customFormat="false" ht="15" hidden="false" customHeight="true" outlineLevel="0" collapsed="false">
      <c r="A2036" s="8"/>
      <c r="B2036" s="8"/>
      <c r="C2036" s="8"/>
      <c r="D2036" s="8"/>
      <c r="E2036" s="8"/>
      <c r="F2036" s="8"/>
      <c r="G2036" s="10" t="str">
        <f aca="false">IF($A2036="","",UPPER(SUBSTITUTE(SUBSTITUTE(SUBSTITUTE(SUBSTITUTE($A2036," ",""),"(주)",""),"주식회사",""),"㈜","")))</f>
        <v/>
      </c>
      <c r="H2036" s="10" t="str">
        <f aca="false">IF($B2036="","",SUBSTITUTE(SUBSTITUTE(SUBSTITUTE($B2036,"-","")," ",""),".",""))</f>
        <v/>
      </c>
      <c r="I2036" s="10" t="str">
        <f aca="false">IF($D2036="","",SUBSTITUTE(SUBSTITUTE(SUBSTITUTE($D2036,"-","")," ",""),".",""))</f>
        <v/>
      </c>
      <c r="J2036" s="10" t="str">
        <f aca="false">IF($E2036="","",UPPER(SUBSTITUTE($E2036," ","")))</f>
        <v/>
      </c>
      <c r="K2036" s="10" t="str">
        <f aca="false">IF($A2036="","",$G2036&amp;"|"&amp;$J2036)</f>
        <v/>
      </c>
      <c r="L2036" s="10" t="str">
        <f aca="false">IF($A2036="","",ROW()-2)</f>
        <v/>
      </c>
      <c r="M2036" s="10" t="str">
        <f aca="false">IF($A2036="","",ROW())</f>
        <v/>
      </c>
    </row>
    <row r="2037" customFormat="false" ht="15" hidden="false" customHeight="true" outlineLevel="0" collapsed="false">
      <c r="A2037" s="8"/>
      <c r="B2037" s="8"/>
      <c r="C2037" s="8"/>
      <c r="D2037" s="8"/>
      <c r="E2037" s="8"/>
      <c r="F2037" s="8"/>
      <c r="G2037" s="10" t="str">
        <f aca="false">IF($A2037="","",UPPER(SUBSTITUTE(SUBSTITUTE(SUBSTITUTE(SUBSTITUTE($A2037," ",""),"(주)",""),"주식회사",""),"㈜","")))</f>
        <v/>
      </c>
      <c r="H2037" s="10" t="str">
        <f aca="false">IF($B2037="","",SUBSTITUTE(SUBSTITUTE(SUBSTITUTE($B2037,"-","")," ",""),".",""))</f>
        <v/>
      </c>
      <c r="I2037" s="10" t="str">
        <f aca="false">IF($D2037="","",SUBSTITUTE(SUBSTITUTE(SUBSTITUTE($D2037,"-","")," ",""),".",""))</f>
        <v/>
      </c>
      <c r="J2037" s="10" t="str">
        <f aca="false">IF($E2037="","",UPPER(SUBSTITUTE($E2037," ","")))</f>
        <v/>
      </c>
      <c r="K2037" s="10" t="str">
        <f aca="false">IF($A2037="","",$G2037&amp;"|"&amp;$J2037)</f>
        <v/>
      </c>
      <c r="L2037" s="10" t="str">
        <f aca="false">IF($A2037="","",ROW()-2)</f>
        <v/>
      </c>
      <c r="M2037" s="10" t="str">
        <f aca="false">IF($A2037="","",ROW())</f>
        <v/>
      </c>
    </row>
    <row r="2038" customFormat="false" ht="15" hidden="false" customHeight="true" outlineLevel="0" collapsed="false">
      <c r="A2038" s="8"/>
      <c r="B2038" s="8"/>
      <c r="C2038" s="8"/>
      <c r="D2038" s="8"/>
      <c r="E2038" s="8"/>
      <c r="F2038" s="8"/>
      <c r="G2038" s="10" t="str">
        <f aca="false">IF($A2038="","",UPPER(SUBSTITUTE(SUBSTITUTE(SUBSTITUTE(SUBSTITUTE($A2038," ",""),"(주)",""),"주식회사",""),"㈜","")))</f>
        <v/>
      </c>
      <c r="H2038" s="10" t="str">
        <f aca="false">IF($B2038="","",SUBSTITUTE(SUBSTITUTE(SUBSTITUTE($B2038,"-","")," ",""),".",""))</f>
        <v/>
      </c>
      <c r="I2038" s="10" t="str">
        <f aca="false">IF($D2038="","",SUBSTITUTE(SUBSTITUTE(SUBSTITUTE($D2038,"-","")," ",""),".",""))</f>
        <v/>
      </c>
      <c r="J2038" s="10" t="str">
        <f aca="false">IF($E2038="","",UPPER(SUBSTITUTE($E2038," ","")))</f>
        <v/>
      </c>
      <c r="K2038" s="10" t="str">
        <f aca="false">IF($A2038="","",$G2038&amp;"|"&amp;$J2038)</f>
        <v/>
      </c>
      <c r="L2038" s="10" t="str">
        <f aca="false">IF($A2038="","",ROW()-2)</f>
        <v/>
      </c>
      <c r="M2038" s="10" t="str">
        <f aca="false">IF($A2038="","",ROW())</f>
        <v/>
      </c>
    </row>
    <row r="2039" customFormat="false" ht="15" hidden="false" customHeight="true" outlineLevel="0" collapsed="false">
      <c r="A2039" s="8"/>
      <c r="B2039" s="8"/>
      <c r="C2039" s="8"/>
      <c r="D2039" s="8"/>
      <c r="E2039" s="8"/>
      <c r="F2039" s="8"/>
      <c r="G2039" s="10" t="str">
        <f aca="false">IF($A2039="","",UPPER(SUBSTITUTE(SUBSTITUTE(SUBSTITUTE(SUBSTITUTE($A2039," ",""),"(주)",""),"주식회사",""),"㈜","")))</f>
        <v/>
      </c>
      <c r="H2039" s="10" t="str">
        <f aca="false">IF($B2039="","",SUBSTITUTE(SUBSTITUTE(SUBSTITUTE($B2039,"-","")," ",""),".",""))</f>
        <v/>
      </c>
      <c r="I2039" s="10" t="str">
        <f aca="false">IF($D2039="","",SUBSTITUTE(SUBSTITUTE(SUBSTITUTE($D2039,"-","")," ",""),".",""))</f>
        <v/>
      </c>
      <c r="J2039" s="10" t="str">
        <f aca="false">IF($E2039="","",UPPER(SUBSTITUTE($E2039," ","")))</f>
        <v/>
      </c>
      <c r="K2039" s="10" t="str">
        <f aca="false">IF($A2039="","",$G2039&amp;"|"&amp;$J2039)</f>
        <v/>
      </c>
      <c r="L2039" s="10" t="str">
        <f aca="false">IF($A2039="","",ROW()-2)</f>
        <v/>
      </c>
      <c r="M2039" s="10" t="str">
        <f aca="false">IF($A2039="","",ROW())</f>
        <v/>
      </c>
    </row>
    <row r="2040" customFormat="false" ht="15" hidden="false" customHeight="true" outlineLevel="0" collapsed="false">
      <c r="A2040" s="8"/>
      <c r="B2040" s="8"/>
      <c r="C2040" s="8"/>
      <c r="D2040" s="8"/>
      <c r="E2040" s="8"/>
      <c r="F2040" s="8"/>
      <c r="G2040" s="10" t="str">
        <f aca="false">IF($A2040="","",UPPER(SUBSTITUTE(SUBSTITUTE(SUBSTITUTE(SUBSTITUTE($A2040," ",""),"(주)",""),"주식회사",""),"㈜","")))</f>
        <v/>
      </c>
      <c r="H2040" s="10" t="str">
        <f aca="false">IF($B2040="","",SUBSTITUTE(SUBSTITUTE(SUBSTITUTE($B2040,"-","")," ",""),".",""))</f>
        <v/>
      </c>
      <c r="I2040" s="10" t="str">
        <f aca="false">IF($D2040="","",SUBSTITUTE(SUBSTITUTE(SUBSTITUTE($D2040,"-","")," ",""),".",""))</f>
        <v/>
      </c>
      <c r="J2040" s="10" t="str">
        <f aca="false">IF($E2040="","",UPPER(SUBSTITUTE($E2040," ","")))</f>
        <v/>
      </c>
      <c r="K2040" s="10" t="str">
        <f aca="false">IF($A2040="","",$G2040&amp;"|"&amp;$J2040)</f>
        <v/>
      </c>
      <c r="L2040" s="10" t="str">
        <f aca="false">IF($A2040="","",ROW()-2)</f>
        <v/>
      </c>
      <c r="M2040" s="10" t="str">
        <f aca="false">IF($A2040="","",ROW())</f>
        <v/>
      </c>
    </row>
    <row r="2041" customFormat="false" ht="15" hidden="false" customHeight="true" outlineLevel="0" collapsed="false">
      <c r="A2041" s="8"/>
      <c r="B2041" s="8"/>
      <c r="C2041" s="8"/>
      <c r="D2041" s="8"/>
      <c r="E2041" s="8"/>
      <c r="F2041" s="8"/>
      <c r="G2041" s="10" t="str">
        <f aca="false">IF($A2041="","",UPPER(SUBSTITUTE(SUBSTITUTE(SUBSTITUTE(SUBSTITUTE($A2041," ",""),"(주)",""),"주식회사",""),"㈜","")))</f>
        <v/>
      </c>
      <c r="H2041" s="10" t="str">
        <f aca="false">IF($B2041="","",SUBSTITUTE(SUBSTITUTE(SUBSTITUTE($B2041,"-","")," ",""),".",""))</f>
        <v/>
      </c>
      <c r="I2041" s="10" t="str">
        <f aca="false">IF($D2041="","",SUBSTITUTE(SUBSTITUTE(SUBSTITUTE($D2041,"-","")," ",""),".",""))</f>
        <v/>
      </c>
      <c r="J2041" s="10" t="str">
        <f aca="false">IF($E2041="","",UPPER(SUBSTITUTE($E2041," ","")))</f>
        <v/>
      </c>
      <c r="K2041" s="10" t="str">
        <f aca="false">IF($A2041="","",$G2041&amp;"|"&amp;$J2041)</f>
        <v/>
      </c>
      <c r="L2041" s="10" t="str">
        <f aca="false">IF($A2041="","",ROW()-2)</f>
        <v/>
      </c>
      <c r="M2041" s="10" t="str">
        <f aca="false">IF($A2041="","",ROW())</f>
        <v/>
      </c>
    </row>
    <row r="2042" customFormat="false" ht="15" hidden="false" customHeight="true" outlineLevel="0" collapsed="false">
      <c r="A2042" s="8"/>
      <c r="B2042" s="8"/>
      <c r="C2042" s="8"/>
      <c r="D2042" s="8"/>
      <c r="E2042" s="8"/>
      <c r="F2042" s="8"/>
      <c r="G2042" s="10" t="str">
        <f aca="false">IF($A2042="","",UPPER(SUBSTITUTE(SUBSTITUTE(SUBSTITUTE(SUBSTITUTE($A2042," ",""),"(주)",""),"주식회사",""),"㈜","")))</f>
        <v/>
      </c>
      <c r="H2042" s="10" t="str">
        <f aca="false">IF($B2042="","",SUBSTITUTE(SUBSTITUTE(SUBSTITUTE($B2042,"-","")," ",""),".",""))</f>
        <v/>
      </c>
      <c r="I2042" s="10" t="str">
        <f aca="false">IF($D2042="","",SUBSTITUTE(SUBSTITUTE(SUBSTITUTE($D2042,"-","")," ",""),".",""))</f>
        <v/>
      </c>
      <c r="J2042" s="10" t="str">
        <f aca="false">IF($E2042="","",UPPER(SUBSTITUTE($E2042," ","")))</f>
        <v/>
      </c>
      <c r="K2042" s="10" t="str">
        <f aca="false">IF($A2042="","",$G2042&amp;"|"&amp;$J2042)</f>
        <v/>
      </c>
      <c r="L2042" s="10" t="str">
        <f aca="false">IF($A2042="","",ROW()-2)</f>
        <v/>
      </c>
      <c r="M2042" s="10" t="str">
        <f aca="false">IF($A2042="","",ROW())</f>
        <v/>
      </c>
    </row>
    <row r="2043" customFormat="false" ht="15" hidden="false" customHeight="true" outlineLevel="0" collapsed="false">
      <c r="A2043" s="8"/>
      <c r="B2043" s="8"/>
      <c r="C2043" s="8"/>
      <c r="D2043" s="8"/>
      <c r="E2043" s="8"/>
      <c r="F2043" s="8"/>
      <c r="G2043" s="10" t="str">
        <f aca="false">IF($A2043="","",UPPER(SUBSTITUTE(SUBSTITUTE(SUBSTITUTE(SUBSTITUTE($A2043," ",""),"(주)",""),"주식회사",""),"㈜","")))</f>
        <v/>
      </c>
      <c r="H2043" s="10" t="str">
        <f aca="false">IF($B2043="","",SUBSTITUTE(SUBSTITUTE(SUBSTITUTE($B2043,"-","")," ",""),".",""))</f>
        <v/>
      </c>
      <c r="I2043" s="10" t="str">
        <f aca="false">IF($D2043="","",SUBSTITUTE(SUBSTITUTE(SUBSTITUTE($D2043,"-","")," ",""),".",""))</f>
        <v/>
      </c>
      <c r="J2043" s="10" t="str">
        <f aca="false">IF($E2043="","",UPPER(SUBSTITUTE($E2043," ","")))</f>
        <v/>
      </c>
      <c r="K2043" s="10" t="str">
        <f aca="false">IF($A2043="","",$G2043&amp;"|"&amp;$J2043)</f>
        <v/>
      </c>
      <c r="L2043" s="10" t="str">
        <f aca="false">IF($A2043="","",ROW()-2)</f>
        <v/>
      </c>
      <c r="M2043" s="10" t="str">
        <f aca="false">IF($A2043="","",ROW())</f>
        <v/>
      </c>
    </row>
    <row r="2044" customFormat="false" ht="15" hidden="false" customHeight="true" outlineLevel="0" collapsed="false">
      <c r="A2044" s="8"/>
      <c r="B2044" s="8"/>
      <c r="C2044" s="8"/>
      <c r="D2044" s="8"/>
      <c r="E2044" s="8"/>
      <c r="F2044" s="8"/>
      <c r="G2044" s="10" t="str">
        <f aca="false">IF($A2044="","",UPPER(SUBSTITUTE(SUBSTITUTE(SUBSTITUTE(SUBSTITUTE($A2044," ",""),"(주)",""),"주식회사",""),"㈜","")))</f>
        <v/>
      </c>
      <c r="H2044" s="10" t="str">
        <f aca="false">IF($B2044="","",SUBSTITUTE(SUBSTITUTE(SUBSTITUTE($B2044,"-","")," ",""),".",""))</f>
        <v/>
      </c>
      <c r="I2044" s="10" t="str">
        <f aca="false">IF($D2044="","",SUBSTITUTE(SUBSTITUTE(SUBSTITUTE($D2044,"-","")," ",""),".",""))</f>
        <v/>
      </c>
      <c r="J2044" s="10" t="str">
        <f aca="false">IF($E2044="","",UPPER(SUBSTITUTE($E2044," ","")))</f>
        <v/>
      </c>
      <c r="K2044" s="10" t="str">
        <f aca="false">IF($A2044="","",$G2044&amp;"|"&amp;$J2044)</f>
        <v/>
      </c>
      <c r="L2044" s="10" t="str">
        <f aca="false">IF($A2044="","",ROW()-2)</f>
        <v/>
      </c>
      <c r="M2044" s="10" t="str">
        <f aca="false">IF($A2044="","",ROW())</f>
        <v/>
      </c>
    </row>
    <row r="2045" customFormat="false" ht="15" hidden="false" customHeight="true" outlineLevel="0" collapsed="false">
      <c r="A2045" s="8"/>
      <c r="B2045" s="8"/>
      <c r="C2045" s="8"/>
      <c r="D2045" s="8"/>
      <c r="E2045" s="8"/>
      <c r="F2045" s="8"/>
      <c r="G2045" s="10" t="str">
        <f aca="false">IF($A2045="","",UPPER(SUBSTITUTE(SUBSTITUTE(SUBSTITUTE(SUBSTITUTE($A2045," ",""),"(주)",""),"주식회사",""),"㈜","")))</f>
        <v/>
      </c>
      <c r="H2045" s="10" t="str">
        <f aca="false">IF($B2045="","",SUBSTITUTE(SUBSTITUTE(SUBSTITUTE($B2045,"-","")," ",""),".",""))</f>
        <v/>
      </c>
      <c r="I2045" s="10" t="str">
        <f aca="false">IF($D2045="","",SUBSTITUTE(SUBSTITUTE(SUBSTITUTE($D2045,"-","")," ",""),".",""))</f>
        <v/>
      </c>
      <c r="J2045" s="10" t="str">
        <f aca="false">IF($E2045="","",UPPER(SUBSTITUTE($E2045," ","")))</f>
        <v/>
      </c>
      <c r="K2045" s="10" t="str">
        <f aca="false">IF($A2045="","",$G2045&amp;"|"&amp;$J2045)</f>
        <v/>
      </c>
      <c r="L2045" s="10" t="str">
        <f aca="false">IF($A2045="","",ROW()-2)</f>
        <v/>
      </c>
      <c r="M2045" s="10" t="str">
        <f aca="false">IF($A2045="","",ROW())</f>
        <v/>
      </c>
    </row>
    <row r="2046" customFormat="false" ht="15" hidden="false" customHeight="true" outlineLevel="0" collapsed="false">
      <c r="A2046" s="8"/>
      <c r="B2046" s="8"/>
      <c r="C2046" s="8"/>
      <c r="D2046" s="8"/>
      <c r="E2046" s="8"/>
      <c r="F2046" s="8"/>
      <c r="G2046" s="10" t="str">
        <f aca="false">IF($A2046="","",UPPER(SUBSTITUTE(SUBSTITUTE(SUBSTITUTE(SUBSTITUTE($A2046," ",""),"(주)",""),"주식회사",""),"㈜","")))</f>
        <v/>
      </c>
      <c r="H2046" s="10" t="str">
        <f aca="false">IF($B2046="","",SUBSTITUTE(SUBSTITUTE(SUBSTITUTE($B2046,"-","")," ",""),".",""))</f>
        <v/>
      </c>
      <c r="I2046" s="10" t="str">
        <f aca="false">IF($D2046="","",SUBSTITUTE(SUBSTITUTE(SUBSTITUTE($D2046,"-","")," ",""),".",""))</f>
        <v/>
      </c>
      <c r="J2046" s="10" t="str">
        <f aca="false">IF($E2046="","",UPPER(SUBSTITUTE($E2046," ","")))</f>
        <v/>
      </c>
      <c r="K2046" s="10" t="str">
        <f aca="false">IF($A2046="","",$G2046&amp;"|"&amp;$J2046)</f>
        <v/>
      </c>
      <c r="L2046" s="10" t="str">
        <f aca="false">IF($A2046="","",ROW()-2)</f>
        <v/>
      </c>
      <c r="M2046" s="10" t="str">
        <f aca="false">IF($A2046="","",ROW())</f>
        <v/>
      </c>
    </row>
    <row r="2047" customFormat="false" ht="15" hidden="false" customHeight="true" outlineLevel="0" collapsed="false">
      <c r="A2047" s="8"/>
      <c r="B2047" s="8"/>
      <c r="C2047" s="8"/>
      <c r="D2047" s="8"/>
      <c r="E2047" s="8"/>
      <c r="F2047" s="8"/>
      <c r="G2047" s="10" t="str">
        <f aca="false">IF($A2047="","",UPPER(SUBSTITUTE(SUBSTITUTE(SUBSTITUTE(SUBSTITUTE($A2047," ",""),"(주)",""),"주식회사",""),"㈜","")))</f>
        <v/>
      </c>
      <c r="H2047" s="10" t="str">
        <f aca="false">IF($B2047="","",SUBSTITUTE(SUBSTITUTE(SUBSTITUTE($B2047,"-","")," ",""),".",""))</f>
        <v/>
      </c>
      <c r="I2047" s="10" t="str">
        <f aca="false">IF($D2047="","",SUBSTITUTE(SUBSTITUTE(SUBSTITUTE($D2047,"-","")," ",""),".",""))</f>
        <v/>
      </c>
      <c r="J2047" s="10" t="str">
        <f aca="false">IF($E2047="","",UPPER(SUBSTITUTE($E2047," ","")))</f>
        <v/>
      </c>
      <c r="K2047" s="10" t="str">
        <f aca="false">IF($A2047="","",$G2047&amp;"|"&amp;$J2047)</f>
        <v/>
      </c>
      <c r="L2047" s="10" t="str">
        <f aca="false">IF($A2047="","",ROW()-2)</f>
        <v/>
      </c>
      <c r="M2047" s="10" t="str">
        <f aca="false">IF($A2047="","",ROW())</f>
        <v/>
      </c>
    </row>
    <row r="2048" customFormat="false" ht="15" hidden="false" customHeight="true" outlineLevel="0" collapsed="false">
      <c r="A2048" s="8"/>
      <c r="B2048" s="8"/>
      <c r="C2048" s="8"/>
      <c r="D2048" s="8"/>
      <c r="E2048" s="8"/>
      <c r="F2048" s="8"/>
      <c r="G2048" s="10" t="str">
        <f aca="false">IF($A2048="","",UPPER(SUBSTITUTE(SUBSTITUTE(SUBSTITUTE(SUBSTITUTE($A2048," ",""),"(주)",""),"주식회사",""),"㈜","")))</f>
        <v/>
      </c>
      <c r="H2048" s="10" t="str">
        <f aca="false">IF($B2048="","",SUBSTITUTE(SUBSTITUTE(SUBSTITUTE($B2048,"-","")," ",""),".",""))</f>
        <v/>
      </c>
      <c r="I2048" s="10" t="str">
        <f aca="false">IF($D2048="","",SUBSTITUTE(SUBSTITUTE(SUBSTITUTE($D2048,"-","")," ",""),".",""))</f>
        <v/>
      </c>
      <c r="J2048" s="10" t="str">
        <f aca="false">IF($E2048="","",UPPER(SUBSTITUTE($E2048," ","")))</f>
        <v/>
      </c>
      <c r="K2048" s="10" t="str">
        <f aca="false">IF($A2048="","",$G2048&amp;"|"&amp;$J2048)</f>
        <v/>
      </c>
      <c r="L2048" s="10" t="str">
        <f aca="false">IF($A2048="","",ROW()-2)</f>
        <v/>
      </c>
      <c r="M2048" s="10" t="str">
        <f aca="false">IF($A2048="","",ROW())</f>
        <v/>
      </c>
    </row>
    <row r="2049" customFormat="false" ht="15" hidden="false" customHeight="true" outlineLevel="0" collapsed="false">
      <c r="A2049" s="8"/>
      <c r="B2049" s="8"/>
      <c r="C2049" s="8"/>
      <c r="D2049" s="8"/>
      <c r="E2049" s="8"/>
      <c r="F2049" s="8"/>
      <c r="G2049" s="10" t="str">
        <f aca="false">IF($A2049="","",UPPER(SUBSTITUTE(SUBSTITUTE(SUBSTITUTE(SUBSTITUTE($A2049," ",""),"(주)",""),"주식회사",""),"㈜","")))</f>
        <v/>
      </c>
      <c r="H2049" s="10" t="str">
        <f aca="false">IF($B2049="","",SUBSTITUTE(SUBSTITUTE(SUBSTITUTE($B2049,"-","")," ",""),".",""))</f>
        <v/>
      </c>
      <c r="I2049" s="10" t="str">
        <f aca="false">IF($D2049="","",SUBSTITUTE(SUBSTITUTE(SUBSTITUTE($D2049,"-","")," ",""),".",""))</f>
        <v/>
      </c>
      <c r="J2049" s="10" t="str">
        <f aca="false">IF($E2049="","",UPPER(SUBSTITUTE($E2049," ","")))</f>
        <v/>
      </c>
      <c r="K2049" s="10" t="str">
        <f aca="false">IF($A2049="","",$G2049&amp;"|"&amp;$J2049)</f>
        <v/>
      </c>
      <c r="L2049" s="10" t="str">
        <f aca="false">IF($A2049="","",ROW()-2)</f>
        <v/>
      </c>
      <c r="M2049" s="10" t="str">
        <f aca="false">IF($A2049="","",ROW())</f>
        <v/>
      </c>
    </row>
    <row r="2050" customFormat="false" ht="15" hidden="false" customHeight="true" outlineLevel="0" collapsed="false">
      <c r="A2050" s="8"/>
      <c r="B2050" s="8"/>
      <c r="C2050" s="8"/>
      <c r="D2050" s="8"/>
      <c r="E2050" s="8"/>
      <c r="F2050" s="8"/>
      <c r="G2050" s="10" t="str">
        <f aca="false">IF($A2050="","",UPPER(SUBSTITUTE(SUBSTITUTE(SUBSTITUTE(SUBSTITUTE($A2050," ",""),"(주)",""),"주식회사",""),"㈜","")))</f>
        <v/>
      </c>
      <c r="H2050" s="10" t="str">
        <f aca="false">IF($B2050="","",SUBSTITUTE(SUBSTITUTE(SUBSTITUTE($B2050,"-","")," ",""),".",""))</f>
        <v/>
      </c>
      <c r="I2050" s="10" t="str">
        <f aca="false">IF($D2050="","",SUBSTITUTE(SUBSTITUTE(SUBSTITUTE($D2050,"-","")," ",""),".",""))</f>
        <v/>
      </c>
      <c r="J2050" s="10" t="str">
        <f aca="false">IF($E2050="","",UPPER(SUBSTITUTE($E2050," ","")))</f>
        <v/>
      </c>
      <c r="K2050" s="10" t="str">
        <f aca="false">IF($A2050="","",$G2050&amp;"|"&amp;$J2050)</f>
        <v/>
      </c>
      <c r="L2050" s="10" t="str">
        <f aca="false">IF($A2050="","",ROW()-2)</f>
        <v/>
      </c>
      <c r="M2050" s="10" t="str">
        <f aca="false">IF($A2050="","",ROW())</f>
        <v/>
      </c>
    </row>
    <row r="2051" customFormat="false" ht="15" hidden="false" customHeight="true" outlineLevel="0" collapsed="false">
      <c r="A2051" s="8"/>
      <c r="B2051" s="8"/>
      <c r="C2051" s="8"/>
      <c r="D2051" s="8"/>
      <c r="E2051" s="8"/>
      <c r="F2051" s="8"/>
      <c r="G2051" s="10" t="str">
        <f aca="false">IF($A2051="","",UPPER(SUBSTITUTE(SUBSTITUTE(SUBSTITUTE(SUBSTITUTE($A2051," ",""),"(주)",""),"주식회사",""),"㈜","")))</f>
        <v/>
      </c>
      <c r="H2051" s="10" t="str">
        <f aca="false">IF($B2051="","",SUBSTITUTE(SUBSTITUTE(SUBSTITUTE($B2051,"-","")," ",""),".",""))</f>
        <v/>
      </c>
      <c r="I2051" s="10" t="str">
        <f aca="false">IF($D2051="","",SUBSTITUTE(SUBSTITUTE(SUBSTITUTE($D2051,"-","")," ",""),".",""))</f>
        <v/>
      </c>
      <c r="J2051" s="10" t="str">
        <f aca="false">IF($E2051="","",UPPER(SUBSTITUTE($E2051," ","")))</f>
        <v/>
      </c>
      <c r="K2051" s="10" t="str">
        <f aca="false">IF($A2051="","",$G2051&amp;"|"&amp;$J2051)</f>
        <v/>
      </c>
      <c r="L2051" s="10" t="str">
        <f aca="false">IF($A2051="","",ROW()-2)</f>
        <v/>
      </c>
      <c r="M2051" s="10" t="str">
        <f aca="false">IF($A2051="","",ROW())</f>
        <v/>
      </c>
    </row>
    <row r="2052" customFormat="false" ht="15" hidden="false" customHeight="true" outlineLevel="0" collapsed="false">
      <c r="A2052" s="8"/>
      <c r="B2052" s="8"/>
      <c r="C2052" s="8"/>
      <c r="D2052" s="8"/>
      <c r="E2052" s="8"/>
      <c r="F2052" s="8"/>
      <c r="G2052" s="10" t="str">
        <f aca="false">IF($A2052="","",UPPER(SUBSTITUTE(SUBSTITUTE(SUBSTITUTE(SUBSTITUTE($A2052," ",""),"(주)",""),"주식회사",""),"㈜","")))</f>
        <v/>
      </c>
      <c r="H2052" s="10" t="str">
        <f aca="false">IF($B2052="","",SUBSTITUTE(SUBSTITUTE(SUBSTITUTE($B2052,"-","")," ",""),".",""))</f>
        <v/>
      </c>
      <c r="I2052" s="10" t="str">
        <f aca="false">IF($D2052="","",SUBSTITUTE(SUBSTITUTE(SUBSTITUTE($D2052,"-","")," ",""),".",""))</f>
        <v/>
      </c>
      <c r="J2052" s="10" t="str">
        <f aca="false">IF($E2052="","",UPPER(SUBSTITUTE($E2052," ","")))</f>
        <v/>
      </c>
      <c r="K2052" s="10" t="str">
        <f aca="false">IF($A2052="","",$G2052&amp;"|"&amp;$J2052)</f>
        <v/>
      </c>
      <c r="L2052" s="10" t="str">
        <f aca="false">IF($A2052="","",ROW()-2)</f>
        <v/>
      </c>
      <c r="M2052" s="10" t="str">
        <f aca="false">IF($A2052="","",ROW())</f>
        <v/>
      </c>
    </row>
    <row r="2053" customFormat="false" ht="15" hidden="false" customHeight="true" outlineLevel="0" collapsed="false">
      <c r="A2053" s="8"/>
      <c r="B2053" s="8"/>
      <c r="C2053" s="8"/>
      <c r="D2053" s="8"/>
      <c r="E2053" s="8"/>
      <c r="F2053" s="8"/>
      <c r="G2053" s="10" t="str">
        <f aca="false">IF($A2053="","",UPPER(SUBSTITUTE(SUBSTITUTE(SUBSTITUTE(SUBSTITUTE($A2053," ",""),"(주)",""),"주식회사",""),"㈜","")))</f>
        <v/>
      </c>
      <c r="H2053" s="10" t="str">
        <f aca="false">IF($B2053="","",SUBSTITUTE(SUBSTITUTE(SUBSTITUTE($B2053,"-","")," ",""),".",""))</f>
        <v/>
      </c>
      <c r="I2053" s="10" t="str">
        <f aca="false">IF($D2053="","",SUBSTITUTE(SUBSTITUTE(SUBSTITUTE($D2053,"-","")," ",""),".",""))</f>
        <v/>
      </c>
      <c r="J2053" s="10" t="str">
        <f aca="false">IF($E2053="","",UPPER(SUBSTITUTE($E2053," ","")))</f>
        <v/>
      </c>
      <c r="K2053" s="10" t="str">
        <f aca="false">IF($A2053="","",$G2053&amp;"|"&amp;$J2053)</f>
        <v/>
      </c>
      <c r="L2053" s="10" t="str">
        <f aca="false">IF($A2053="","",ROW()-2)</f>
        <v/>
      </c>
      <c r="M2053" s="10" t="str">
        <f aca="false">IF($A2053="","",ROW())</f>
        <v/>
      </c>
    </row>
    <row r="2054" customFormat="false" ht="15" hidden="false" customHeight="true" outlineLevel="0" collapsed="false">
      <c r="A2054" s="8"/>
      <c r="B2054" s="8"/>
      <c r="C2054" s="8"/>
      <c r="D2054" s="8"/>
      <c r="E2054" s="8"/>
      <c r="F2054" s="8"/>
      <c r="G2054" s="10" t="str">
        <f aca="false">IF($A2054="","",UPPER(SUBSTITUTE(SUBSTITUTE(SUBSTITUTE(SUBSTITUTE($A2054," ",""),"(주)",""),"주식회사",""),"㈜","")))</f>
        <v/>
      </c>
      <c r="H2054" s="10" t="str">
        <f aca="false">IF($B2054="","",SUBSTITUTE(SUBSTITUTE(SUBSTITUTE($B2054,"-","")," ",""),".",""))</f>
        <v/>
      </c>
      <c r="I2054" s="10" t="str">
        <f aca="false">IF($D2054="","",SUBSTITUTE(SUBSTITUTE(SUBSTITUTE($D2054,"-","")," ",""),".",""))</f>
        <v/>
      </c>
      <c r="J2054" s="10" t="str">
        <f aca="false">IF($E2054="","",UPPER(SUBSTITUTE($E2054," ","")))</f>
        <v/>
      </c>
      <c r="K2054" s="10" t="str">
        <f aca="false">IF($A2054="","",$G2054&amp;"|"&amp;$J2054)</f>
        <v/>
      </c>
      <c r="L2054" s="10" t="str">
        <f aca="false">IF($A2054="","",ROW()-2)</f>
        <v/>
      </c>
      <c r="M2054" s="10" t="str">
        <f aca="false">IF($A2054="","",ROW())</f>
        <v/>
      </c>
    </row>
    <row r="2055" customFormat="false" ht="15" hidden="false" customHeight="true" outlineLevel="0" collapsed="false">
      <c r="A2055" s="8"/>
      <c r="B2055" s="8"/>
      <c r="C2055" s="8"/>
      <c r="D2055" s="8"/>
      <c r="E2055" s="8"/>
      <c r="F2055" s="8"/>
      <c r="G2055" s="10" t="str">
        <f aca="false">IF($A2055="","",UPPER(SUBSTITUTE(SUBSTITUTE(SUBSTITUTE(SUBSTITUTE($A2055," ",""),"(주)",""),"주식회사",""),"㈜","")))</f>
        <v/>
      </c>
      <c r="H2055" s="10" t="str">
        <f aca="false">IF($B2055="","",SUBSTITUTE(SUBSTITUTE(SUBSTITUTE($B2055,"-","")," ",""),".",""))</f>
        <v/>
      </c>
      <c r="I2055" s="10" t="str">
        <f aca="false">IF($D2055="","",SUBSTITUTE(SUBSTITUTE(SUBSTITUTE($D2055,"-","")," ",""),".",""))</f>
        <v/>
      </c>
      <c r="J2055" s="10" t="str">
        <f aca="false">IF($E2055="","",UPPER(SUBSTITUTE($E2055," ","")))</f>
        <v/>
      </c>
      <c r="K2055" s="10" t="str">
        <f aca="false">IF($A2055="","",$G2055&amp;"|"&amp;$J2055)</f>
        <v/>
      </c>
      <c r="L2055" s="10" t="str">
        <f aca="false">IF($A2055="","",ROW()-2)</f>
        <v/>
      </c>
      <c r="M2055" s="10" t="str">
        <f aca="false">IF($A2055="","",ROW())</f>
        <v/>
      </c>
    </row>
    <row r="2056" customFormat="false" ht="15" hidden="false" customHeight="true" outlineLevel="0" collapsed="false">
      <c r="A2056" s="8"/>
      <c r="B2056" s="8"/>
      <c r="C2056" s="8"/>
      <c r="D2056" s="8"/>
      <c r="E2056" s="8"/>
      <c r="F2056" s="8"/>
      <c r="G2056" s="10" t="str">
        <f aca="false">IF($A2056="","",UPPER(SUBSTITUTE(SUBSTITUTE(SUBSTITUTE(SUBSTITUTE($A2056," ",""),"(주)",""),"주식회사",""),"㈜","")))</f>
        <v/>
      </c>
      <c r="H2056" s="10" t="str">
        <f aca="false">IF($B2056="","",SUBSTITUTE(SUBSTITUTE(SUBSTITUTE($B2056,"-","")," ",""),".",""))</f>
        <v/>
      </c>
      <c r="I2056" s="10" t="str">
        <f aca="false">IF($D2056="","",SUBSTITUTE(SUBSTITUTE(SUBSTITUTE($D2056,"-","")," ",""),".",""))</f>
        <v/>
      </c>
      <c r="J2056" s="10" t="str">
        <f aca="false">IF($E2056="","",UPPER(SUBSTITUTE($E2056," ","")))</f>
        <v/>
      </c>
      <c r="K2056" s="10" t="str">
        <f aca="false">IF($A2056="","",$G2056&amp;"|"&amp;$J2056)</f>
        <v/>
      </c>
      <c r="L2056" s="10" t="str">
        <f aca="false">IF($A2056="","",ROW()-2)</f>
        <v/>
      </c>
      <c r="M2056" s="10" t="str">
        <f aca="false">IF($A2056="","",ROW())</f>
        <v/>
      </c>
    </row>
    <row r="2057" customFormat="false" ht="15" hidden="false" customHeight="true" outlineLevel="0" collapsed="false">
      <c r="A2057" s="8"/>
      <c r="B2057" s="8"/>
      <c r="C2057" s="8"/>
      <c r="D2057" s="8"/>
      <c r="E2057" s="8"/>
      <c r="F2057" s="8"/>
      <c r="G2057" s="10" t="str">
        <f aca="false">IF($A2057="","",UPPER(SUBSTITUTE(SUBSTITUTE(SUBSTITUTE(SUBSTITUTE($A2057," ",""),"(주)",""),"주식회사",""),"㈜","")))</f>
        <v/>
      </c>
      <c r="H2057" s="10" t="str">
        <f aca="false">IF($B2057="","",SUBSTITUTE(SUBSTITUTE(SUBSTITUTE($B2057,"-","")," ",""),".",""))</f>
        <v/>
      </c>
      <c r="I2057" s="10" t="str">
        <f aca="false">IF($D2057="","",SUBSTITUTE(SUBSTITUTE(SUBSTITUTE($D2057,"-","")," ",""),".",""))</f>
        <v/>
      </c>
      <c r="J2057" s="10" t="str">
        <f aca="false">IF($E2057="","",UPPER(SUBSTITUTE($E2057," ","")))</f>
        <v/>
      </c>
      <c r="K2057" s="10" t="str">
        <f aca="false">IF($A2057="","",$G2057&amp;"|"&amp;$J2057)</f>
        <v/>
      </c>
      <c r="L2057" s="10" t="str">
        <f aca="false">IF($A2057="","",ROW()-2)</f>
        <v/>
      </c>
      <c r="M2057" s="10" t="str">
        <f aca="false">IF($A2057="","",ROW())</f>
        <v/>
      </c>
    </row>
    <row r="2058" customFormat="false" ht="15" hidden="false" customHeight="true" outlineLevel="0" collapsed="false">
      <c r="A2058" s="8"/>
      <c r="B2058" s="8"/>
      <c r="C2058" s="8"/>
      <c r="D2058" s="8"/>
      <c r="E2058" s="8"/>
      <c r="F2058" s="8"/>
      <c r="G2058" s="10" t="str">
        <f aca="false">IF($A2058="","",UPPER(SUBSTITUTE(SUBSTITUTE(SUBSTITUTE(SUBSTITUTE($A2058," ",""),"(주)",""),"주식회사",""),"㈜","")))</f>
        <v/>
      </c>
      <c r="H2058" s="10" t="str">
        <f aca="false">IF($B2058="","",SUBSTITUTE(SUBSTITUTE(SUBSTITUTE($B2058,"-","")," ",""),".",""))</f>
        <v/>
      </c>
      <c r="I2058" s="10" t="str">
        <f aca="false">IF($D2058="","",SUBSTITUTE(SUBSTITUTE(SUBSTITUTE($D2058,"-","")," ",""),".",""))</f>
        <v/>
      </c>
      <c r="J2058" s="10" t="str">
        <f aca="false">IF($E2058="","",UPPER(SUBSTITUTE($E2058," ","")))</f>
        <v/>
      </c>
      <c r="K2058" s="10" t="str">
        <f aca="false">IF($A2058="","",$G2058&amp;"|"&amp;$J2058)</f>
        <v/>
      </c>
      <c r="L2058" s="10" t="str">
        <f aca="false">IF($A2058="","",ROW()-2)</f>
        <v/>
      </c>
      <c r="M2058" s="10" t="str">
        <f aca="false">IF($A2058="","",ROW())</f>
        <v/>
      </c>
    </row>
    <row r="2059" customFormat="false" ht="15" hidden="false" customHeight="true" outlineLevel="0" collapsed="false">
      <c r="A2059" s="8"/>
      <c r="B2059" s="8"/>
      <c r="C2059" s="8"/>
      <c r="D2059" s="8"/>
      <c r="E2059" s="8"/>
      <c r="F2059" s="8"/>
      <c r="G2059" s="10" t="str">
        <f aca="false">IF($A2059="","",UPPER(SUBSTITUTE(SUBSTITUTE(SUBSTITUTE(SUBSTITUTE($A2059," ",""),"(주)",""),"주식회사",""),"㈜","")))</f>
        <v/>
      </c>
      <c r="H2059" s="10" t="str">
        <f aca="false">IF($B2059="","",SUBSTITUTE(SUBSTITUTE(SUBSTITUTE($B2059,"-","")," ",""),".",""))</f>
        <v/>
      </c>
      <c r="I2059" s="10" t="str">
        <f aca="false">IF($D2059="","",SUBSTITUTE(SUBSTITUTE(SUBSTITUTE($D2059,"-","")," ",""),".",""))</f>
        <v/>
      </c>
      <c r="J2059" s="10" t="str">
        <f aca="false">IF($E2059="","",UPPER(SUBSTITUTE($E2059," ","")))</f>
        <v/>
      </c>
      <c r="K2059" s="10" t="str">
        <f aca="false">IF($A2059="","",$G2059&amp;"|"&amp;$J2059)</f>
        <v/>
      </c>
      <c r="L2059" s="10" t="str">
        <f aca="false">IF($A2059="","",ROW()-2)</f>
        <v/>
      </c>
      <c r="M2059" s="10" t="str">
        <f aca="false">IF($A2059="","",ROW())</f>
        <v/>
      </c>
    </row>
    <row r="2060" customFormat="false" ht="15" hidden="false" customHeight="true" outlineLevel="0" collapsed="false">
      <c r="A2060" s="8"/>
      <c r="B2060" s="8"/>
      <c r="C2060" s="8"/>
      <c r="D2060" s="8"/>
      <c r="E2060" s="8"/>
      <c r="F2060" s="8"/>
      <c r="G2060" s="10" t="str">
        <f aca="false">IF($A2060="","",UPPER(SUBSTITUTE(SUBSTITUTE(SUBSTITUTE(SUBSTITUTE($A2060," ",""),"(주)",""),"주식회사",""),"㈜","")))</f>
        <v/>
      </c>
      <c r="H2060" s="10" t="str">
        <f aca="false">IF($B2060="","",SUBSTITUTE(SUBSTITUTE(SUBSTITUTE($B2060,"-","")," ",""),".",""))</f>
        <v/>
      </c>
      <c r="I2060" s="10" t="str">
        <f aca="false">IF($D2060="","",SUBSTITUTE(SUBSTITUTE(SUBSTITUTE($D2060,"-","")," ",""),".",""))</f>
        <v/>
      </c>
      <c r="J2060" s="10" t="str">
        <f aca="false">IF($E2060="","",UPPER(SUBSTITUTE($E2060," ","")))</f>
        <v/>
      </c>
      <c r="K2060" s="10" t="str">
        <f aca="false">IF($A2060="","",$G2060&amp;"|"&amp;$J2060)</f>
        <v/>
      </c>
      <c r="L2060" s="10" t="str">
        <f aca="false">IF($A2060="","",ROW()-2)</f>
        <v/>
      </c>
      <c r="M2060" s="10" t="str">
        <f aca="false">IF($A2060="","",ROW())</f>
        <v/>
      </c>
    </row>
    <row r="2061" customFormat="false" ht="15" hidden="false" customHeight="true" outlineLevel="0" collapsed="false">
      <c r="A2061" s="8"/>
      <c r="B2061" s="8"/>
      <c r="C2061" s="8"/>
      <c r="D2061" s="8"/>
      <c r="E2061" s="8"/>
      <c r="F2061" s="8"/>
      <c r="G2061" s="10" t="str">
        <f aca="false">IF($A2061="","",UPPER(SUBSTITUTE(SUBSTITUTE(SUBSTITUTE(SUBSTITUTE($A2061," ",""),"(주)",""),"주식회사",""),"㈜","")))</f>
        <v/>
      </c>
      <c r="H2061" s="10" t="str">
        <f aca="false">IF($B2061="","",SUBSTITUTE(SUBSTITUTE(SUBSTITUTE($B2061,"-","")," ",""),".",""))</f>
        <v/>
      </c>
      <c r="I2061" s="10" t="str">
        <f aca="false">IF($D2061="","",SUBSTITUTE(SUBSTITUTE(SUBSTITUTE($D2061,"-","")," ",""),".",""))</f>
        <v/>
      </c>
      <c r="J2061" s="10" t="str">
        <f aca="false">IF($E2061="","",UPPER(SUBSTITUTE($E2061," ","")))</f>
        <v/>
      </c>
      <c r="K2061" s="10" t="str">
        <f aca="false">IF($A2061="","",$G2061&amp;"|"&amp;$J2061)</f>
        <v/>
      </c>
      <c r="L2061" s="10" t="str">
        <f aca="false">IF($A2061="","",ROW()-2)</f>
        <v/>
      </c>
      <c r="M2061" s="10" t="str">
        <f aca="false">IF($A2061="","",ROW())</f>
        <v/>
      </c>
    </row>
    <row r="2062" customFormat="false" ht="15" hidden="false" customHeight="true" outlineLevel="0" collapsed="false">
      <c r="A2062" s="8"/>
      <c r="B2062" s="8"/>
      <c r="C2062" s="8"/>
      <c r="D2062" s="8"/>
      <c r="E2062" s="8"/>
      <c r="F2062" s="8"/>
      <c r="G2062" s="10" t="str">
        <f aca="false">IF($A2062="","",UPPER(SUBSTITUTE(SUBSTITUTE(SUBSTITUTE(SUBSTITUTE($A2062," ",""),"(주)",""),"주식회사",""),"㈜","")))</f>
        <v/>
      </c>
      <c r="H2062" s="10" t="str">
        <f aca="false">IF($B2062="","",SUBSTITUTE(SUBSTITUTE(SUBSTITUTE($B2062,"-","")," ",""),".",""))</f>
        <v/>
      </c>
      <c r="I2062" s="10" t="str">
        <f aca="false">IF($D2062="","",SUBSTITUTE(SUBSTITUTE(SUBSTITUTE($D2062,"-","")," ",""),".",""))</f>
        <v/>
      </c>
      <c r="J2062" s="10" t="str">
        <f aca="false">IF($E2062="","",UPPER(SUBSTITUTE($E2062," ","")))</f>
        <v/>
      </c>
      <c r="K2062" s="10" t="str">
        <f aca="false">IF($A2062="","",$G2062&amp;"|"&amp;$J2062)</f>
        <v/>
      </c>
      <c r="L2062" s="10" t="str">
        <f aca="false">IF($A2062="","",ROW()-2)</f>
        <v/>
      </c>
      <c r="M2062" s="10" t="str">
        <f aca="false">IF($A2062="","",ROW())</f>
        <v/>
      </c>
    </row>
    <row r="2063" customFormat="false" ht="15" hidden="false" customHeight="true" outlineLevel="0" collapsed="false">
      <c r="A2063" s="8"/>
      <c r="B2063" s="8"/>
      <c r="C2063" s="8"/>
      <c r="D2063" s="8"/>
      <c r="E2063" s="8"/>
      <c r="F2063" s="8"/>
      <c r="G2063" s="10" t="str">
        <f aca="false">IF($A2063="","",UPPER(SUBSTITUTE(SUBSTITUTE(SUBSTITUTE(SUBSTITUTE($A2063," ",""),"(주)",""),"주식회사",""),"㈜","")))</f>
        <v/>
      </c>
      <c r="H2063" s="10" t="str">
        <f aca="false">IF($B2063="","",SUBSTITUTE(SUBSTITUTE(SUBSTITUTE($B2063,"-","")," ",""),".",""))</f>
        <v/>
      </c>
      <c r="I2063" s="10" t="str">
        <f aca="false">IF($D2063="","",SUBSTITUTE(SUBSTITUTE(SUBSTITUTE($D2063,"-","")," ",""),".",""))</f>
        <v/>
      </c>
      <c r="J2063" s="10" t="str">
        <f aca="false">IF($E2063="","",UPPER(SUBSTITUTE($E2063," ","")))</f>
        <v/>
      </c>
      <c r="K2063" s="10" t="str">
        <f aca="false">IF($A2063="","",$G2063&amp;"|"&amp;$J2063)</f>
        <v/>
      </c>
      <c r="L2063" s="10" t="str">
        <f aca="false">IF($A2063="","",ROW()-2)</f>
        <v/>
      </c>
      <c r="M2063" s="10" t="str">
        <f aca="false">IF($A2063="","",ROW())</f>
        <v/>
      </c>
    </row>
    <row r="2064" customFormat="false" ht="15" hidden="false" customHeight="true" outlineLevel="0" collapsed="false">
      <c r="A2064" s="8"/>
      <c r="B2064" s="8"/>
      <c r="C2064" s="8"/>
      <c r="D2064" s="8"/>
      <c r="E2064" s="8"/>
      <c r="F2064" s="8"/>
      <c r="G2064" s="10" t="str">
        <f aca="false">IF($A2064="","",UPPER(SUBSTITUTE(SUBSTITUTE(SUBSTITUTE(SUBSTITUTE($A2064," ",""),"(주)",""),"주식회사",""),"㈜","")))</f>
        <v/>
      </c>
      <c r="H2064" s="10" t="str">
        <f aca="false">IF($B2064="","",SUBSTITUTE(SUBSTITUTE(SUBSTITUTE($B2064,"-","")," ",""),".",""))</f>
        <v/>
      </c>
      <c r="I2064" s="10" t="str">
        <f aca="false">IF($D2064="","",SUBSTITUTE(SUBSTITUTE(SUBSTITUTE($D2064,"-","")," ",""),".",""))</f>
        <v/>
      </c>
      <c r="J2064" s="10" t="str">
        <f aca="false">IF($E2064="","",UPPER(SUBSTITUTE($E2064," ","")))</f>
        <v/>
      </c>
      <c r="K2064" s="10" t="str">
        <f aca="false">IF($A2064="","",$G2064&amp;"|"&amp;$J2064)</f>
        <v/>
      </c>
      <c r="L2064" s="10" t="str">
        <f aca="false">IF($A2064="","",ROW()-2)</f>
        <v/>
      </c>
      <c r="M2064" s="10" t="str">
        <f aca="false">IF($A2064="","",ROW())</f>
        <v/>
      </c>
    </row>
    <row r="2065" customFormat="false" ht="15" hidden="false" customHeight="true" outlineLevel="0" collapsed="false">
      <c r="A2065" s="8"/>
      <c r="B2065" s="8"/>
      <c r="C2065" s="8"/>
      <c r="D2065" s="8"/>
      <c r="E2065" s="8"/>
      <c r="F2065" s="8"/>
      <c r="G2065" s="10" t="str">
        <f aca="false">IF($A2065="","",UPPER(SUBSTITUTE(SUBSTITUTE(SUBSTITUTE(SUBSTITUTE($A2065," ",""),"(주)",""),"주식회사",""),"㈜","")))</f>
        <v/>
      </c>
      <c r="H2065" s="10" t="str">
        <f aca="false">IF($B2065="","",SUBSTITUTE(SUBSTITUTE(SUBSTITUTE($B2065,"-","")," ",""),".",""))</f>
        <v/>
      </c>
      <c r="I2065" s="10" t="str">
        <f aca="false">IF($D2065="","",SUBSTITUTE(SUBSTITUTE(SUBSTITUTE($D2065,"-","")," ",""),".",""))</f>
        <v/>
      </c>
      <c r="J2065" s="10" t="str">
        <f aca="false">IF($E2065="","",UPPER(SUBSTITUTE($E2065," ","")))</f>
        <v/>
      </c>
      <c r="K2065" s="10" t="str">
        <f aca="false">IF($A2065="","",$G2065&amp;"|"&amp;$J2065)</f>
        <v/>
      </c>
      <c r="L2065" s="10" t="str">
        <f aca="false">IF($A2065="","",ROW()-2)</f>
        <v/>
      </c>
      <c r="M2065" s="10" t="str">
        <f aca="false">IF($A2065="","",ROW())</f>
        <v/>
      </c>
    </row>
    <row r="2066" customFormat="false" ht="15" hidden="false" customHeight="true" outlineLevel="0" collapsed="false">
      <c r="A2066" s="8"/>
      <c r="B2066" s="8"/>
      <c r="C2066" s="8"/>
      <c r="D2066" s="8"/>
      <c r="E2066" s="8"/>
      <c r="F2066" s="8"/>
      <c r="G2066" s="10" t="str">
        <f aca="false">IF($A2066="","",UPPER(SUBSTITUTE(SUBSTITUTE(SUBSTITUTE(SUBSTITUTE($A2066," ",""),"(주)",""),"주식회사",""),"㈜","")))</f>
        <v/>
      </c>
      <c r="H2066" s="10" t="str">
        <f aca="false">IF($B2066="","",SUBSTITUTE(SUBSTITUTE(SUBSTITUTE($B2066,"-","")," ",""),".",""))</f>
        <v/>
      </c>
      <c r="I2066" s="10" t="str">
        <f aca="false">IF($D2066="","",SUBSTITUTE(SUBSTITUTE(SUBSTITUTE($D2066,"-","")," ",""),".",""))</f>
        <v/>
      </c>
      <c r="J2066" s="10" t="str">
        <f aca="false">IF($E2066="","",UPPER(SUBSTITUTE($E2066," ","")))</f>
        <v/>
      </c>
      <c r="K2066" s="10" t="str">
        <f aca="false">IF($A2066="","",$G2066&amp;"|"&amp;$J2066)</f>
        <v/>
      </c>
      <c r="L2066" s="10" t="str">
        <f aca="false">IF($A2066="","",ROW()-2)</f>
        <v/>
      </c>
      <c r="M2066" s="10" t="str">
        <f aca="false">IF($A2066="","",ROW())</f>
        <v/>
      </c>
    </row>
    <row r="2067" customFormat="false" ht="15" hidden="false" customHeight="true" outlineLevel="0" collapsed="false">
      <c r="A2067" s="8"/>
      <c r="B2067" s="8"/>
      <c r="C2067" s="8"/>
      <c r="D2067" s="8"/>
      <c r="E2067" s="8"/>
      <c r="F2067" s="8"/>
      <c r="G2067" s="10" t="str">
        <f aca="false">IF($A2067="","",UPPER(SUBSTITUTE(SUBSTITUTE(SUBSTITUTE(SUBSTITUTE($A2067," ",""),"(주)",""),"주식회사",""),"㈜","")))</f>
        <v/>
      </c>
      <c r="H2067" s="10" t="str">
        <f aca="false">IF($B2067="","",SUBSTITUTE(SUBSTITUTE(SUBSTITUTE($B2067,"-","")," ",""),".",""))</f>
        <v/>
      </c>
      <c r="I2067" s="10" t="str">
        <f aca="false">IF($D2067="","",SUBSTITUTE(SUBSTITUTE(SUBSTITUTE($D2067,"-","")," ",""),".",""))</f>
        <v/>
      </c>
      <c r="J2067" s="10" t="str">
        <f aca="false">IF($E2067="","",UPPER(SUBSTITUTE($E2067," ","")))</f>
        <v/>
      </c>
      <c r="K2067" s="10" t="str">
        <f aca="false">IF($A2067="","",$G2067&amp;"|"&amp;$J2067)</f>
        <v/>
      </c>
      <c r="L2067" s="10" t="str">
        <f aca="false">IF($A2067="","",ROW()-2)</f>
        <v/>
      </c>
      <c r="M2067" s="10" t="str">
        <f aca="false">IF($A2067="","",ROW())</f>
        <v/>
      </c>
    </row>
    <row r="2068" customFormat="false" ht="15" hidden="false" customHeight="true" outlineLevel="0" collapsed="false">
      <c r="A2068" s="8"/>
      <c r="B2068" s="8"/>
      <c r="C2068" s="8"/>
      <c r="D2068" s="8"/>
      <c r="E2068" s="8"/>
      <c r="F2068" s="8"/>
      <c r="G2068" s="10" t="str">
        <f aca="false">IF($A2068="","",UPPER(SUBSTITUTE(SUBSTITUTE(SUBSTITUTE(SUBSTITUTE($A2068," ",""),"(주)",""),"주식회사",""),"㈜","")))</f>
        <v/>
      </c>
      <c r="H2068" s="10" t="str">
        <f aca="false">IF($B2068="","",SUBSTITUTE(SUBSTITUTE(SUBSTITUTE($B2068,"-","")," ",""),".",""))</f>
        <v/>
      </c>
      <c r="I2068" s="10" t="str">
        <f aca="false">IF($D2068="","",SUBSTITUTE(SUBSTITUTE(SUBSTITUTE($D2068,"-","")," ",""),".",""))</f>
        <v/>
      </c>
      <c r="J2068" s="10" t="str">
        <f aca="false">IF($E2068="","",UPPER(SUBSTITUTE($E2068," ","")))</f>
        <v/>
      </c>
      <c r="K2068" s="10" t="str">
        <f aca="false">IF($A2068="","",$G2068&amp;"|"&amp;$J2068)</f>
        <v/>
      </c>
      <c r="L2068" s="10" t="str">
        <f aca="false">IF($A2068="","",ROW()-2)</f>
        <v/>
      </c>
      <c r="M2068" s="10" t="str">
        <f aca="false">IF($A2068="","",ROW())</f>
        <v/>
      </c>
    </row>
    <row r="2069" customFormat="false" ht="15" hidden="false" customHeight="true" outlineLevel="0" collapsed="false">
      <c r="A2069" s="8"/>
      <c r="B2069" s="8"/>
      <c r="C2069" s="8"/>
      <c r="D2069" s="8"/>
      <c r="E2069" s="8"/>
      <c r="F2069" s="8"/>
      <c r="G2069" s="10" t="str">
        <f aca="false">IF($A2069="","",UPPER(SUBSTITUTE(SUBSTITUTE(SUBSTITUTE(SUBSTITUTE($A2069," ",""),"(주)",""),"주식회사",""),"㈜","")))</f>
        <v/>
      </c>
      <c r="H2069" s="10" t="str">
        <f aca="false">IF($B2069="","",SUBSTITUTE(SUBSTITUTE(SUBSTITUTE($B2069,"-","")," ",""),".",""))</f>
        <v/>
      </c>
      <c r="I2069" s="10" t="str">
        <f aca="false">IF($D2069="","",SUBSTITUTE(SUBSTITUTE(SUBSTITUTE($D2069,"-","")," ",""),".",""))</f>
        <v/>
      </c>
      <c r="J2069" s="10" t="str">
        <f aca="false">IF($E2069="","",UPPER(SUBSTITUTE($E2069," ","")))</f>
        <v/>
      </c>
      <c r="K2069" s="10" t="str">
        <f aca="false">IF($A2069="","",$G2069&amp;"|"&amp;$J2069)</f>
        <v/>
      </c>
      <c r="L2069" s="10" t="str">
        <f aca="false">IF($A2069="","",ROW()-2)</f>
        <v/>
      </c>
      <c r="M2069" s="10" t="str">
        <f aca="false">IF($A2069="","",ROW())</f>
        <v/>
      </c>
    </row>
    <row r="2070" customFormat="false" ht="15" hidden="false" customHeight="true" outlineLevel="0" collapsed="false">
      <c r="A2070" s="8"/>
      <c r="B2070" s="8"/>
      <c r="C2070" s="8"/>
      <c r="D2070" s="8"/>
      <c r="E2070" s="8"/>
      <c r="F2070" s="8"/>
      <c r="G2070" s="10" t="str">
        <f aca="false">IF($A2070="","",UPPER(SUBSTITUTE(SUBSTITUTE(SUBSTITUTE(SUBSTITUTE($A2070," ",""),"(주)",""),"주식회사",""),"㈜","")))</f>
        <v/>
      </c>
      <c r="H2070" s="10" t="str">
        <f aca="false">IF($B2070="","",SUBSTITUTE(SUBSTITUTE(SUBSTITUTE($B2070,"-","")," ",""),".",""))</f>
        <v/>
      </c>
      <c r="I2070" s="10" t="str">
        <f aca="false">IF($D2070="","",SUBSTITUTE(SUBSTITUTE(SUBSTITUTE($D2070,"-","")," ",""),".",""))</f>
        <v/>
      </c>
      <c r="J2070" s="10" t="str">
        <f aca="false">IF($E2070="","",UPPER(SUBSTITUTE($E2070," ","")))</f>
        <v/>
      </c>
      <c r="K2070" s="10" t="str">
        <f aca="false">IF($A2070="","",$G2070&amp;"|"&amp;$J2070)</f>
        <v/>
      </c>
      <c r="L2070" s="10" t="str">
        <f aca="false">IF($A2070="","",ROW()-2)</f>
        <v/>
      </c>
      <c r="M2070" s="10" t="str">
        <f aca="false">IF($A2070="","",ROW())</f>
        <v/>
      </c>
    </row>
    <row r="2071" customFormat="false" ht="15" hidden="false" customHeight="true" outlineLevel="0" collapsed="false">
      <c r="A2071" s="8"/>
      <c r="B2071" s="8"/>
      <c r="C2071" s="8"/>
      <c r="D2071" s="8"/>
      <c r="E2071" s="8"/>
      <c r="F2071" s="8"/>
      <c r="G2071" s="10" t="str">
        <f aca="false">IF($A2071="","",UPPER(SUBSTITUTE(SUBSTITUTE(SUBSTITUTE(SUBSTITUTE($A2071," ",""),"(주)",""),"주식회사",""),"㈜","")))</f>
        <v/>
      </c>
      <c r="H2071" s="10" t="str">
        <f aca="false">IF($B2071="","",SUBSTITUTE(SUBSTITUTE(SUBSTITUTE($B2071,"-","")," ",""),".",""))</f>
        <v/>
      </c>
      <c r="I2071" s="10" t="str">
        <f aca="false">IF($D2071="","",SUBSTITUTE(SUBSTITUTE(SUBSTITUTE($D2071,"-","")," ",""),".",""))</f>
        <v/>
      </c>
      <c r="J2071" s="10" t="str">
        <f aca="false">IF($E2071="","",UPPER(SUBSTITUTE($E2071," ","")))</f>
        <v/>
      </c>
      <c r="K2071" s="10" t="str">
        <f aca="false">IF($A2071="","",$G2071&amp;"|"&amp;$J2071)</f>
        <v/>
      </c>
      <c r="L2071" s="10" t="str">
        <f aca="false">IF($A2071="","",ROW()-2)</f>
        <v/>
      </c>
      <c r="M2071" s="10" t="str">
        <f aca="false">IF($A2071="","",ROW())</f>
        <v/>
      </c>
    </row>
    <row r="2072" customFormat="false" ht="15" hidden="false" customHeight="true" outlineLevel="0" collapsed="false">
      <c r="A2072" s="8"/>
      <c r="B2072" s="8"/>
      <c r="C2072" s="8"/>
      <c r="D2072" s="8"/>
      <c r="E2072" s="8"/>
      <c r="F2072" s="8"/>
      <c r="G2072" s="10" t="str">
        <f aca="false">IF($A2072="","",UPPER(SUBSTITUTE(SUBSTITUTE(SUBSTITUTE(SUBSTITUTE($A2072," ",""),"(주)",""),"주식회사",""),"㈜","")))</f>
        <v/>
      </c>
      <c r="H2072" s="10" t="str">
        <f aca="false">IF($B2072="","",SUBSTITUTE(SUBSTITUTE(SUBSTITUTE($B2072,"-","")," ",""),".",""))</f>
        <v/>
      </c>
      <c r="I2072" s="10" t="str">
        <f aca="false">IF($D2072="","",SUBSTITUTE(SUBSTITUTE(SUBSTITUTE($D2072,"-","")," ",""),".",""))</f>
        <v/>
      </c>
      <c r="J2072" s="10" t="str">
        <f aca="false">IF($E2072="","",UPPER(SUBSTITUTE($E2072," ","")))</f>
        <v/>
      </c>
      <c r="K2072" s="10" t="str">
        <f aca="false">IF($A2072="","",$G2072&amp;"|"&amp;$J2072)</f>
        <v/>
      </c>
      <c r="L2072" s="10" t="str">
        <f aca="false">IF($A2072="","",ROW()-2)</f>
        <v/>
      </c>
      <c r="M2072" s="10" t="str">
        <f aca="false">IF($A2072="","",ROW())</f>
        <v/>
      </c>
    </row>
    <row r="2073" customFormat="false" ht="15" hidden="false" customHeight="true" outlineLevel="0" collapsed="false">
      <c r="A2073" s="8"/>
      <c r="B2073" s="8"/>
      <c r="C2073" s="8"/>
      <c r="D2073" s="8"/>
      <c r="E2073" s="8"/>
      <c r="F2073" s="8"/>
      <c r="G2073" s="10" t="str">
        <f aca="false">IF($A2073="","",UPPER(SUBSTITUTE(SUBSTITUTE(SUBSTITUTE(SUBSTITUTE($A2073," ",""),"(주)",""),"주식회사",""),"㈜","")))</f>
        <v/>
      </c>
      <c r="H2073" s="10" t="str">
        <f aca="false">IF($B2073="","",SUBSTITUTE(SUBSTITUTE(SUBSTITUTE($B2073,"-","")," ",""),".",""))</f>
        <v/>
      </c>
      <c r="I2073" s="10" t="str">
        <f aca="false">IF($D2073="","",SUBSTITUTE(SUBSTITUTE(SUBSTITUTE($D2073,"-","")," ",""),".",""))</f>
        <v/>
      </c>
      <c r="J2073" s="10" t="str">
        <f aca="false">IF($E2073="","",UPPER(SUBSTITUTE($E2073," ","")))</f>
        <v/>
      </c>
      <c r="K2073" s="10" t="str">
        <f aca="false">IF($A2073="","",$G2073&amp;"|"&amp;$J2073)</f>
        <v/>
      </c>
      <c r="L2073" s="10" t="str">
        <f aca="false">IF($A2073="","",ROW()-2)</f>
        <v/>
      </c>
      <c r="M2073" s="10" t="str">
        <f aca="false">IF($A2073="","",ROW())</f>
        <v/>
      </c>
    </row>
    <row r="2074" customFormat="false" ht="15" hidden="false" customHeight="true" outlineLevel="0" collapsed="false">
      <c r="A2074" s="8"/>
      <c r="B2074" s="8"/>
      <c r="C2074" s="8"/>
      <c r="D2074" s="8"/>
      <c r="E2074" s="8"/>
      <c r="F2074" s="8"/>
      <c r="G2074" s="10" t="str">
        <f aca="false">IF($A2074="","",UPPER(SUBSTITUTE(SUBSTITUTE(SUBSTITUTE(SUBSTITUTE($A2074," ",""),"(주)",""),"주식회사",""),"㈜","")))</f>
        <v/>
      </c>
      <c r="H2074" s="10" t="str">
        <f aca="false">IF($B2074="","",SUBSTITUTE(SUBSTITUTE(SUBSTITUTE($B2074,"-","")," ",""),".",""))</f>
        <v/>
      </c>
      <c r="I2074" s="10" t="str">
        <f aca="false">IF($D2074="","",SUBSTITUTE(SUBSTITUTE(SUBSTITUTE($D2074,"-","")," ",""),".",""))</f>
        <v/>
      </c>
      <c r="J2074" s="10" t="str">
        <f aca="false">IF($E2074="","",UPPER(SUBSTITUTE($E2074," ","")))</f>
        <v/>
      </c>
      <c r="K2074" s="10" t="str">
        <f aca="false">IF($A2074="","",$G2074&amp;"|"&amp;$J2074)</f>
        <v/>
      </c>
      <c r="L2074" s="10" t="str">
        <f aca="false">IF($A2074="","",ROW()-2)</f>
        <v/>
      </c>
      <c r="M2074" s="10" t="str">
        <f aca="false">IF($A2074="","",ROW())</f>
        <v/>
      </c>
    </row>
    <row r="2075" customFormat="false" ht="15" hidden="false" customHeight="true" outlineLevel="0" collapsed="false">
      <c r="A2075" s="8"/>
      <c r="B2075" s="8"/>
      <c r="C2075" s="8"/>
      <c r="D2075" s="8"/>
      <c r="E2075" s="8"/>
      <c r="F2075" s="8"/>
      <c r="G2075" s="10" t="str">
        <f aca="false">IF($A2075="","",UPPER(SUBSTITUTE(SUBSTITUTE(SUBSTITUTE(SUBSTITUTE($A2075," ",""),"(주)",""),"주식회사",""),"㈜","")))</f>
        <v/>
      </c>
      <c r="H2075" s="10" t="str">
        <f aca="false">IF($B2075="","",SUBSTITUTE(SUBSTITUTE(SUBSTITUTE($B2075,"-","")," ",""),".",""))</f>
        <v/>
      </c>
      <c r="I2075" s="10" t="str">
        <f aca="false">IF($D2075="","",SUBSTITUTE(SUBSTITUTE(SUBSTITUTE($D2075,"-","")," ",""),".",""))</f>
        <v/>
      </c>
      <c r="J2075" s="10" t="str">
        <f aca="false">IF($E2075="","",UPPER(SUBSTITUTE($E2075," ","")))</f>
        <v/>
      </c>
      <c r="K2075" s="10" t="str">
        <f aca="false">IF($A2075="","",$G2075&amp;"|"&amp;$J2075)</f>
        <v/>
      </c>
      <c r="L2075" s="10" t="str">
        <f aca="false">IF($A2075="","",ROW()-2)</f>
        <v/>
      </c>
      <c r="M2075" s="10" t="str">
        <f aca="false">IF($A2075="","",ROW())</f>
        <v/>
      </c>
    </row>
    <row r="2076" customFormat="false" ht="15" hidden="false" customHeight="true" outlineLevel="0" collapsed="false">
      <c r="A2076" s="8"/>
      <c r="B2076" s="8"/>
      <c r="C2076" s="8"/>
      <c r="D2076" s="8"/>
      <c r="E2076" s="8"/>
      <c r="F2076" s="8"/>
      <c r="G2076" s="10" t="str">
        <f aca="false">IF($A2076="","",UPPER(SUBSTITUTE(SUBSTITUTE(SUBSTITUTE(SUBSTITUTE($A2076," ",""),"(주)",""),"주식회사",""),"㈜","")))</f>
        <v/>
      </c>
      <c r="H2076" s="10" t="str">
        <f aca="false">IF($B2076="","",SUBSTITUTE(SUBSTITUTE(SUBSTITUTE($B2076,"-","")," ",""),".",""))</f>
        <v/>
      </c>
      <c r="I2076" s="10" t="str">
        <f aca="false">IF($D2076="","",SUBSTITUTE(SUBSTITUTE(SUBSTITUTE($D2076,"-","")," ",""),".",""))</f>
        <v/>
      </c>
      <c r="J2076" s="10" t="str">
        <f aca="false">IF($E2076="","",UPPER(SUBSTITUTE($E2076," ","")))</f>
        <v/>
      </c>
      <c r="K2076" s="10" t="str">
        <f aca="false">IF($A2076="","",$G2076&amp;"|"&amp;$J2076)</f>
        <v/>
      </c>
      <c r="L2076" s="10" t="str">
        <f aca="false">IF($A2076="","",ROW()-2)</f>
        <v/>
      </c>
      <c r="M2076" s="10" t="str">
        <f aca="false">IF($A2076="","",ROW())</f>
        <v/>
      </c>
    </row>
    <row r="2077" customFormat="false" ht="15" hidden="false" customHeight="true" outlineLevel="0" collapsed="false">
      <c r="A2077" s="8"/>
      <c r="B2077" s="8"/>
      <c r="C2077" s="8"/>
      <c r="D2077" s="8"/>
      <c r="E2077" s="8"/>
      <c r="F2077" s="8"/>
      <c r="G2077" s="10" t="str">
        <f aca="false">IF($A2077="","",UPPER(SUBSTITUTE(SUBSTITUTE(SUBSTITUTE(SUBSTITUTE($A2077," ",""),"(주)",""),"주식회사",""),"㈜","")))</f>
        <v/>
      </c>
      <c r="H2077" s="10" t="str">
        <f aca="false">IF($B2077="","",SUBSTITUTE(SUBSTITUTE(SUBSTITUTE($B2077,"-","")," ",""),".",""))</f>
        <v/>
      </c>
      <c r="I2077" s="10" t="str">
        <f aca="false">IF($D2077="","",SUBSTITUTE(SUBSTITUTE(SUBSTITUTE($D2077,"-","")," ",""),".",""))</f>
        <v/>
      </c>
      <c r="J2077" s="10" t="str">
        <f aca="false">IF($E2077="","",UPPER(SUBSTITUTE($E2077," ","")))</f>
        <v/>
      </c>
      <c r="K2077" s="10" t="str">
        <f aca="false">IF($A2077="","",$G2077&amp;"|"&amp;$J2077)</f>
        <v/>
      </c>
      <c r="L2077" s="10" t="str">
        <f aca="false">IF($A2077="","",ROW()-2)</f>
        <v/>
      </c>
      <c r="M2077" s="10" t="str">
        <f aca="false">IF($A2077="","",ROW())</f>
        <v/>
      </c>
    </row>
    <row r="2078" customFormat="false" ht="15" hidden="false" customHeight="true" outlineLevel="0" collapsed="false">
      <c r="A2078" s="8"/>
      <c r="B2078" s="8"/>
      <c r="C2078" s="8"/>
      <c r="D2078" s="8"/>
      <c r="E2078" s="8"/>
      <c r="F2078" s="8"/>
      <c r="G2078" s="10" t="str">
        <f aca="false">IF($A2078="","",UPPER(SUBSTITUTE(SUBSTITUTE(SUBSTITUTE(SUBSTITUTE($A2078," ",""),"(주)",""),"주식회사",""),"㈜","")))</f>
        <v/>
      </c>
      <c r="H2078" s="10" t="str">
        <f aca="false">IF($B2078="","",SUBSTITUTE(SUBSTITUTE(SUBSTITUTE($B2078,"-","")," ",""),".",""))</f>
        <v/>
      </c>
      <c r="I2078" s="10" t="str">
        <f aca="false">IF($D2078="","",SUBSTITUTE(SUBSTITUTE(SUBSTITUTE($D2078,"-","")," ",""),".",""))</f>
        <v/>
      </c>
      <c r="J2078" s="10" t="str">
        <f aca="false">IF($E2078="","",UPPER(SUBSTITUTE($E2078," ","")))</f>
        <v/>
      </c>
      <c r="K2078" s="10" t="str">
        <f aca="false">IF($A2078="","",$G2078&amp;"|"&amp;$J2078)</f>
        <v/>
      </c>
      <c r="L2078" s="10" t="str">
        <f aca="false">IF($A2078="","",ROW()-2)</f>
        <v/>
      </c>
      <c r="M2078" s="10" t="str">
        <f aca="false">IF($A2078="","",ROW())</f>
        <v/>
      </c>
    </row>
    <row r="2079" customFormat="false" ht="15" hidden="false" customHeight="true" outlineLevel="0" collapsed="false">
      <c r="A2079" s="8"/>
      <c r="B2079" s="8"/>
      <c r="C2079" s="8"/>
      <c r="D2079" s="8"/>
      <c r="E2079" s="8"/>
      <c r="F2079" s="8"/>
      <c r="G2079" s="10" t="str">
        <f aca="false">IF($A2079="","",UPPER(SUBSTITUTE(SUBSTITUTE(SUBSTITUTE(SUBSTITUTE($A2079," ",""),"(주)",""),"주식회사",""),"㈜","")))</f>
        <v/>
      </c>
      <c r="H2079" s="10" t="str">
        <f aca="false">IF($B2079="","",SUBSTITUTE(SUBSTITUTE(SUBSTITUTE($B2079,"-","")," ",""),".",""))</f>
        <v/>
      </c>
      <c r="I2079" s="10" t="str">
        <f aca="false">IF($D2079="","",SUBSTITUTE(SUBSTITUTE(SUBSTITUTE($D2079,"-","")," ",""),".",""))</f>
        <v/>
      </c>
      <c r="J2079" s="10" t="str">
        <f aca="false">IF($E2079="","",UPPER(SUBSTITUTE($E2079," ","")))</f>
        <v/>
      </c>
      <c r="K2079" s="10" t="str">
        <f aca="false">IF($A2079="","",$G2079&amp;"|"&amp;$J2079)</f>
        <v/>
      </c>
      <c r="L2079" s="10" t="str">
        <f aca="false">IF($A2079="","",ROW()-2)</f>
        <v/>
      </c>
      <c r="M2079" s="10" t="str">
        <f aca="false">IF($A2079="","",ROW())</f>
        <v/>
      </c>
    </row>
    <row r="2080" customFormat="false" ht="15" hidden="false" customHeight="true" outlineLevel="0" collapsed="false">
      <c r="A2080" s="8"/>
      <c r="B2080" s="8"/>
      <c r="C2080" s="8"/>
      <c r="D2080" s="8"/>
      <c r="E2080" s="8"/>
      <c r="F2080" s="8"/>
      <c r="G2080" s="10" t="str">
        <f aca="false">IF($A2080="","",UPPER(SUBSTITUTE(SUBSTITUTE(SUBSTITUTE(SUBSTITUTE($A2080," ",""),"(주)",""),"주식회사",""),"㈜","")))</f>
        <v/>
      </c>
      <c r="H2080" s="10" t="str">
        <f aca="false">IF($B2080="","",SUBSTITUTE(SUBSTITUTE(SUBSTITUTE($B2080,"-","")," ",""),".",""))</f>
        <v/>
      </c>
      <c r="I2080" s="10" t="str">
        <f aca="false">IF($D2080="","",SUBSTITUTE(SUBSTITUTE(SUBSTITUTE($D2080,"-","")," ",""),".",""))</f>
        <v/>
      </c>
      <c r="J2080" s="10" t="str">
        <f aca="false">IF($E2080="","",UPPER(SUBSTITUTE($E2080," ","")))</f>
        <v/>
      </c>
      <c r="K2080" s="10" t="str">
        <f aca="false">IF($A2080="","",$G2080&amp;"|"&amp;$J2080)</f>
        <v/>
      </c>
      <c r="L2080" s="10" t="str">
        <f aca="false">IF($A2080="","",ROW()-2)</f>
        <v/>
      </c>
      <c r="M2080" s="10" t="str">
        <f aca="false">IF($A2080="","",ROW())</f>
        <v/>
      </c>
    </row>
    <row r="2081" customFormat="false" ht="15" hidden="false" customHeight="true" outlineLevel="0" collapsed="false">
      <c r="A2081" s="8"/>
      <c r="B2081" s="8"/>
      <c r="C2081" s="8"/>
      <c r="D2081" s="8"/>
      <c r="E2081" s="8"/>
      <c r="F2081" s="8"/>
      <c r="G2081" s="10" t="str">
        <f aca="false">IF($A2081="","",UPPER(SUBSTITUTE(SUBSTITUTE(SUBSTITUTE(SUBSTITUTE($A2081," ",""),"(주)",""),"주식회사",""),"㈜","")))</f>
        <v/>
      </c>
      <c r="H2081" s="10" t="str">
        <f aca="false">IF($B2081="","",SUBSTITUTE(SUBSTITUTE(SUBSTITUTE($B2081,"-","")," ",""),".",""))</f>
        <v/>
      </c>
      <c r="I2081" s="10" t="str">
        <f aca="false">IF($D2081="","",SUBSTITUTE(SUBSTITUTE(SUBSTITUTE($D2081,"-","")," ",""),".",""))</f>
        <v/>
      </c>
      <c r="J2081" s="10" t="str">
        <f aca="false">IF($E2081="","",UPPER(SUBSTITUTE($E2081," ","")))</f>
        <v/>
      </c>
      <c r="K2081" s="10" t="str">
        <f aca="false">IF($A2081="","",$G2081&amp;"|"&amp;$J2081)</f>
        <v/>
      </c>
      <c r="L2081" s="10" t="str">
        <f aca="false">IF($A2081="","",ROW()-2)</f>
        <v/>
      </c>
      <c r="M2081" s="10" t="str">
        <f aca="false">IF($A2081="","",ROW())</f>
        <v/>
      </c>
    </row>
    <row r="2082" customFormat="false" ht="15" hidden="false" customHeight="true" outlineLevel="0" collapsed="false">
      <c r="A2082" s="8"/>
      <c r="B2082" s="8"/>
      <c r="C2082" s="8"/>
      <c r="D2082" s="8"/>
      <c r="E2082" s="8"/>
      <c r="F2082" s="8"/>
      <c r="G2082" s="10" t="str">
        <f aca="false">IF($A2082="","",UPPER(SUBSTITUTE(SUBSTITUTE(SUBSTITUTE(SUBSTITUTE($A2082," ",""),"(주)",""),"주식회사",""),"㈜","")))</f>
        <v/>
      </c>
      <c r="H2082" s="10" t="str">
        <f aca="false">IF($B2082="","",SUBSTITUTE(SUBSTITUTE(SUBSTITUTE($B2082,"-","")," ",""),".",""))</f>
        <v/>
      </c>
      <c r="I2082" s="10" t="str">
        <f aca="false">IF($D2082="","",SUBSTITUTE(SUBSTITUTE(SUBSTITUTE($D2082,"-","")," ",""),".",""))</f>
        <v/>
      </c>
      <c r="J2082" s="10" t="str">
        <f aca="false">IF($E2082="","",UPPER(SUBSTITUTE($E2082," ","")))</f>
        <v/>
      </c>
      <c r="K2082" s="10" t="str">
        <f aca="false">IF($A2082="","",$G2082&amp;"|"&amp;$J2082)</f>
        <v/>
      </c>
      <c r="L2082" s="10" t="str">
        <f aca="false">IF($A2082="","",ROW()-2)</f>
        <v/>
      </c>
      <c r="M2082" s="10" t="str">
        <f aca="false">IF($A2082="","",ROW())</f>
        <v/>
      </c>
    </row>
    <row r="2083" customFormat="false" ht="15" hidden="false" customHeight="true" outlineLevel="0" collapsed="false">
      <c r="A2083" s="8"/>
      <c r="B2083" s="8"/>
      <c r="C2083" s="8"/>
      <c r="D2083" s="8"/>
      <c r="E2083" s="8"/>
      <c r="F2083" s="8"/>
      <c r="G2083" s="10" t="str">
        <f aca="false">IF($A2083="","",UPPER(SUBSTITUTE(SUBSTITUTE(SUBSTITUTE(SUBSTITUTE($A2083," ",""),"(주)",""),"주식회사",""),"㈜","")))</f>
        <v/>
      </c>
      <c r="H2083" s="10" t="str">
        <f aca="false">IF($B2083="","",SUBSTITUTE(SUBSTITUTE(SUBSTITUTE($B2083,"-","")," ",""),".",""))</f>
        <v/>
      </c>
      <c r="I2083" s="10" t="str">
        <f aca="false">IF($D2083="","",SUBSTITUTE(SUBSTITUTE(SUBSTITUTE($D2083,"-","")," ",""),".",""))</f>
        <v/>
      </c>
      <c r="J2083" s="10" t="str">
        <f aca="false">IF($E2083="","",UPPER(SUBSTITUTE($E2083," ","")))</f>
        <v/>
      </c>
      <c r="K2083" s="10" t="str">
        <f aca="false">IF($A2083="","",$G2083&amp;"|"&amp;$J2083)</f>
        <v/>
      </c>
      <c r="L2083" s="10" t="str">
        <f aca="false">IF($A2083="","",ROW()-2)</f>
        <v/>
      </c>
      <c r="M2083" s="10" t="str">
        <f aca="false">IF($A2083="","",ROW())</f>
        <v/>
      </c>
    </row>
    <row r="2084" customFormat="false" ht="15" hidden="false" customHeight="true" outlineLevel="0" collapsed="false">
      <c r="A2084" s="8"/>
      <c r="B2084" s="8"/>
      <c r="C2084" s="8"/>
      <c r="D2084" s="8"/>
      <c r="E2084" s="8"/>
      <c r="F2084" s="8"/>
      <c r="G2084" s="10" t="str">
        <f aca="false">IF($A2084="","",UPPER(SUBSTITUTE(SUBSTITUTE(SUBSTITUTE(SUBSTITUTE($A2084," ",""),"(주)",""),"주식회사",""),"㈜","")))</f>
        <v/>
      </c>
      <c r="H2084" s="10" t="str">
        <f aca="false">IF($B2084="","",SUBSTITUTE(SUBSTITUTE(SUBSTITUTE($B2084,"-","")," ",""),".",""))</f>
        <v/>
      </c>
      <c r="I2084" s="10" t="str">
        <f aca="false">IF($D2084="","",SUBSTITUTE(SUBSTITUTE(SUBSTITUTE($D2084,"-","")," ",""),".",""))</f>
        <v/>
      </c>
      <c r="J2084" s="10" t="str">
        <f aca="false">IF($E2084="","",UPPER(SUBSTITUTE($E2084," ","")))</f>
        <v/>
      </c>
      <c r="K2084" s="10" t="str">
        <f aca="false">IF($A2084="","",$G2084&amp;"|"&amp;$J2084)</f>
        <v/>
      </c>
      <c r="L2084" s="10" t="str">
        <f aca="false">IF($A2084="","",ROW()-2)</f>
        <v/>
      </c>
      <c r="M2084" s="10" t="str">
        <f aca="false">IF($A2084="","",ROW())</f>
        <v/>
      </c>
    </row>
    <row r="2085" customFormat="false" ht="15" hidden="false" customHeight="true" outlineLevel="0" collapsed="false">
      <c r="A2085" s="8"/>
      <c r="B2085" s="8"/>
      <c r="C2085" s="8"/>
      <c r="D2085" s="8"/>
      <c r="E2085" s="8"/>
      <c r="F2085" s="8"/>
      <c r="G2085" s="10" t="str">
        <f aca="false">IF($A2085="","",UPPER(SUBSTITUTE(SUBSTITUTE(SUBSTITUTE(SUBSTITUTE($A2085," ",""),"(주)",""),"주식회사",""),"㈜","")))</f>
        <v/>
      </c>
      <c r="H2085" s="10" t="str">
        <f aca="false">IF($B2085="","",SUBSTITUTE(SUBSTITUTE(SUBSTITUTE($B2085,"-","")," ",""),".",""))</f>
        <v/>
      </c>
      <c r="I2085" s="10" t="str">
        <f aca="false">IF($D2085="","",SUBSTITUTE(SUBSTITUTE(SUBSTITUTE($D2085,"-","")," ",""),".",""))</f>
        <v/>
      </c>
      <c r="J2085" s="10" t="str">
        <f aca="false">IF($E2085="","",UPPER(SUBSTITUTE($E2085," ","")))</f>
        <v/>
      </c>
      <c r="K2085" s="10" t="str">
        <f aca="false">IF($A2085="","",$G2085&amp;"|"&amp;$J2085)</f>
        <v/>
      </c>
      <c r="L2085" s="10" t="str">
        <f aca="false">IF($A2085="","",ROW()-2)</f>
        <v/>
      </c>
      <c r="M2085" s="10" t="str">
        <f aca="false">IF($A2085="","",ROW())</f>
        <v/>
      </c>
    </row>
    <row r="2086" customFormat="false" ht="15" hidden="false" customHeight="true" outlineLevel="0" collapsed="false">
      <c r="A2086" s="8"/>
      <c r="B2086" s="8"/>
      <c r="C2086" s="8"/>
      <c r="D2086" s="8"/>
      <c r="E2086" s="8"/>
      <c r="F2086" s="8"/>
      <c r="G2086" s="10" t="str">
        <f aca="false">IF($A2086="","",UPPER(SUBSTITUTE(SUBSTITUTE(SUBSTITUTE(SUBSTITUTE($A2086," ",""),"(주)",""),"주식회사",""),"㈜","")))</f>
        <v/>
      </c>
      <c r="H2086" s="10" t="str">
        <f aca="false">IF($B2086="","",SUBSTITUTE(SUBSTITUTE(SUBSTITUTE($B2086,"-","")," ",""),".",""))</f>
        <v/>
      </c>
      <c r="I2086" s="10" t="str">
        <f aca="false">IF($D2086="","",SUBSTITUTE(SUBSTITUTE(SUBSTITUTE($D2086,"-","")," ",""),".",""))</f>
        <v/>
      </c>
      <c r="J2086" s="10" t="str">
        <f aca="false">IF($E2086="","",UPPER(SUBSTITUTE($E2086," ","")))</f>
        <v/>
      </c>
      <c r="K2086" s="10" t="str">
        <f aca="false">IF($A2086="","",$G2086&amp;"|"&amp;$J2086)</f>
        <v/>
      </c>
      <c r="L2086" s="10" t="str">
        <f aca="false">IF($A2086="","",ROW()-2)</f>
        <v/>
      </c>
      <c r="M2086" s="10" t="str">
        <f aca="false">IF($A2086="","",ROW())</f>
        <v/>
      </c>
    </row>
    <row r="2087" customFormat="false" ht="15" hidden="false" customHeight="true" outlineLevel="0" collapsed="false">
      <c r="A2087" s="8"/>
      <c r="B2087" s="8"/>
      <c r="C2087" s="8"/>
      <c r="D2087" s="8"/>
      <c r="E2087" s="8"/>
      <c r="F2087" s="8"/>
      <c r="G2087" s="10" t="str">
        <f aca="false">IF($A2087="","",UPPER(SUBSTITUTE(SUBSTITUTE(SUBSTITUTE(SUBSTITUTE($A2087," ",""),"(주)",""),"주식회사",""),"㈜","")))</f>
        <v/>
      </c>
      <c r="H2087" s="10" t="str">
        <f aca="false">IF($B2087="","",SUBSTITUTE(SUBSTITUTE(SUBSTITUTE($B2087,"-","")," ",""),".",""))</f>
        <v/>
      </c>
      <c r="I2087" s="10" t="str">
        <f aca="false">IF($D2087="","",SUBSTITUTE(SUBSTITUTE(SUBSTITUTE($D2087,"-","")," ",""),".",""))</f>
        <v/>
      </c>
      <c r="J2087" s="10" t="str">
        <f aca="false">IF($E2087="","",UPPER(SUBSTITUTE($E2087," ","")))</f>
        <v/>
      </c>
      <c r="K2087" s="10" t="str">
        <f aca="false">IF($A2087="","",$G2087&amp;"|"&amp;$J2087)</f>
        <v/>
      </c>
      <c r="L2087" s="10" t="str">
        <f aca="false">IF($A2087="","",ROW()-2)</f>
        <v/>
      </c>
      <c r="M2087" s="10" t="str">
        <f aca="false">IF($A2087="","",ROW())</f>
        <v/>
      </c>
    </row>
    <row r="2088" customFormat="false" ht="15" hidden="false" customHeight="true" outlineLevel="0" collapsed="false">
      <c r="A2088" s="8"/>
      <c r="B2088" s="8"/>
      <c r="C2088" s="8"/>
      <c r="D2088" s="8"/>
      <c r="E2088" s="8"/>
      <c r="F2088" s="8"/>
      <c r="G2088" s="10" t="str">
        <f aca="false">IF($A2088="","",UPPER(SUBSTITUTE(SUBSTITUTE(SUBSTITUTE(SUBSTITUTE($A2088," ",""),"(주)",""),"주식회사",""),"㈜","")))</f>
        <v/>
      </c>
      <c r="H2088" s="10" t="str">
        <f aca="false">IF($B2088="","",SUBSTITUTE(SUBSTITUTE(SUBSTITUTE($B2088,"-","")," ",""),".",""))</f>
        <v/>
      </c>
      <c r="I2088" s="10" t="str">
        <f aca="false">IF($D2088="","",SUBSTITUTE(SUBSTITUTE(SUBSTITUTE($D2088,"-","")," ",""),".",""))</f>
        <v/>
      </c>
      <c r="J2088" s="10" t="str">
        <f aca="false">IF($E2088="","",UPPER(SUBSTITUTE($E2088," ","")))</f>
        <v/>
      </c>
      <c r="K2088" s="10" t="str">
        <f aca="false">IF($A2088="","",$G2088&amp;"|"&amp;$J2088)</f>
        <v/>
      </c>
      <c r="L2088" s="10" t="str">
        <f aca="false">IF($A2088="","",ROW()-2)</f>
        <v/>
      </c>
      <c r="M2088" s="10" t="str">
        <f aca="false">IF($A2088="","",ROW())</f>
        <v/>
      </c>
    </row>
    <row r="2089" customFormat="false" ht="15" hidden="false" customHeight="true" outlineLevel="0" collapsed="false">
      <c r="A2089" s="8"/>
      <c r="B2089" s="8"/>
      <c r="C2089" s="8"/>
      <c r="D2089" s="8"/>
      <c r="E2089" s="8"/>
      <c r="F2089" s="8"/>
      <c r="G2089" s="10" t="str">
        <f aca="false">IF($A2089="","",UPPER(SUBSTITUTE(SUBSTITUTE(SUBSTITUTE(SUBSTITUTE($A2089," ",""),"(주)",""),"주식회사",""),"㈜","")))</f>
        <v/>
      </c>
      <c r="H2089" s="10" t="str">
        <f aca="false">IF($B2089="","",SUBSTITUTE(SUBSTITUTE(SUBSTITUTE($B2089,"-","")," ",""),".",""))</f>
        <v/>
      </c>
      <c r="I2089" s="10" t="str">
        <f aca="false">IF($D2089="","",SUBSTITUTE(SUBSTITUTE(SUBSTITUTE($D2089,"-","")," ",""),".",""))</f>
        <v/>
      </c>
      <c r="J2089" s="10" t="str">
        <f aca="false">IF($E2089="","",UPPER(SUBSTITUTE($E2089," ","")))</f>
        <v/>
      </c>
      <c r="K2089" s="10" t="str">
        <f aca="false">IF($A2089="","",$G2089&amp;"|"&amp;$J2089)</f>
        <v/>
      </c>
      <c r="L2089" s="10" t="str">
        <f aca="false">IF($A2089="","",ROW()-2)</f>
        <v/>
      </c>
      <c r="M2089" s="10" t="str">
        <f aca="false">IF($A2089="","",ROW())</f>
        <v/>
      </c>
    </row>
    <row r="2090" customFormat="false" ht="15" hidden="false" customHeight="true" outlineLevel="0" collapsed="false">
      <c r="A2090" s="8"/>
      <c r="B2090" s="8"/>
      <c r="C2090" s="8"/>
      <c r="D2090" s="8"/>
      <c r="E2090" s="8"/>
      <c r="F2090" s="8"/>
      <c r="G2090" s="10" t="str">
        <f aca="false">IF($A2090="","",UPPER(SUBSTITUTE(SUBSTITUTE(SUBSTITUTE(SUBSTITUTE($A2090," ",""),"(주)",""),"주식회사",""),"㈜","")))</f>
        <v/>
      </c>
      <c r="H2090" s="10" t="str">
        <f aca="false">IF($B2090="","",SUBSTITUTE(SUBSTITUTE(SUBSTITUTE($B2090,"-","")," ",""),".",""))</f>
        <v/>
      </c>
      <c r="I2090" s="10" t="str">
        <f aca="false">IF($D2090="","",SUBSTITUTE(SUBSTITUTE(SUBSTITUTE($D2090,"-","")," ",""),".",""))</f>
        <v/>
      </c>
      <c r="J2090" s="10" t="str">
        <f aca="false">IF($E2090="","",UPPER(SUBSTITUTE($E2090," ","")))</f>
        <v/>
      </c>
      <c r="K2090" s="10" t="str">
        <f aca="false">IF($A2090="","",$G2090&amp;"|"&amp;$J2090)</f>
        <v/>
      </c>
      <c r="L2090" s="10" t="str">
        <f aca="false">IF($A2090="","",ROW()-2)</f>
        <v/>
      </c>
      <c r="M2090" s="10" t="str">
        <f aca="false">IF($A2090="","",ROW())</f>
        <v/>
      </c>
    </row>
    <row r="2091" customFormat="false" ht="15" hidden="false" customHeight="true" outlineLevel="0" collapsed="false">
      <c r="A2091" s="8"/>
      <c r="B2091" s="8"/>
      <c r="C2091" s="8"/>
      <c r="D2091" s="8"/>
      <c r="E2091" s="8"/>
      <c r="F2091" s="8"/>
      <c r="G2091" s="10" t="str">
        <f aca="false">IF($A2091="","",UPPER(SUBSTITUTE(SUBSTITUTE(SUBSTITUTE(SUBSTITUTE($A2091," ",""),"(주)",""),"주식회사",""),"㈜","")))</f>
        <v/>
      </c>
      <c r="H2091" s="10" t="str">
        <f aca="false">IF($B2091="","",SUBSTITUTE(SUBSTITUTE(SUBSTITUTE($B2091,"-","")," ",""),".",""))</f>
        <v/>
      </c>
      <c r="I2091" s="10" t="str">
        <f aca="false">IF($D2091="","",SUBSTITUTE(SUBSTITUTE(SUBSTITUTE($D2091,"-","")," ",""),".",""))</f>
        <v/>
      </c>
      <c r="J2091" s="10" t="str">
        <f aca="false">IF($E2091="","",UPPER(SUBSTITUTE($E2091," ","")))</f>
        <v/>
      </c>
      <c r="K2091" s="10" t="str">
        <f aca="false">IF($A2091="","",$G2091&amp;"|"&amp;$J2091)</f>
        <v/>
      </c>
      <c r="L2091" s="10" t="str">
        <f aca="false">IF($A2091="","",ROW()-2)</f>
        <v/>
      </c>
      <c r="M2091" s="10" t="str">
        <f aca="false">IF($A2091="","",ROW())</f>
        <v/>
      </c>
    </row>
    <row r="2092" customFormat="false" ht="15" hidden="false" customHeight="true" outlineLevel="0" collapsed="false">
      <c r="A2092" s="8"/>
      <c r="B2092" s="8"/>
      <c r="C2092" s="8"/>
      <c r="D2092" s="8"/>
      <c r="E2092" s="8"/>
      <c r="F2092" s="8"/>
      <c r="G2092" s="10" t="str">
        <f aca="false">IF($A2092="","",UPPER(SUBSTITUTE(SUBSTITUTE(SUBSTITUTE(SUBSTITUTE($A2092," ",""),"(주)",""),"주식회사",""),"㈜","")))</f>
        <v/>
      </c>
      <c r="H2092" s="10" t="str">
        <f aca="false">IF($B2092="","",SUBSTITUTE(SUBSTITUTE(SUBSTITUTE($B2092,"-","")," ",""),".",""))</f>
        <v/>
      </c>
      <c r="I2092" s="10" t="str">
        <f aca="false">IF($D2092="","",SUBSTITUTE(SUBSTITUTE(SUBSTITUTE($D2092,"-","")," ",""),".",""))</f>
        <v/>
      </c>
      <c r="J2092" s="10" t="str">
        <f aca="false">IF($E2092="","",UPPER(SUBSTITUTE($E2092," ","")))</f>
        <v/>
      </c>
      <c r="K2092" s="10" t="str">
        <f aca="false">IF($A2092="","",$G2092&amp;"|"&amp;$J2092)</f>
        <v/>
      </c>
      <c r="L2092" s="10" t="str">
        <f aca="false">IF($A2092="","",ROW()-2)</f>
        <v/>
      </c>
      <c r="M2092" s="10" t="str">
        <f aca="false">IF($A2092="","",ROW())</f>
        <v/>
      </c>
    </row>
    <row r="2093" customFormat="false" ht="15" hidden="false" customHeight="true" outlineLevel="0" collapsed="false">
      <c r="A2093" s="8"/>
      <c r="B2093" s="8"/>
      <c r="C2093" s="8"/>
      <c r="D2093" s="8"/>
      <c r="E2093" s="8"/>
      <c r="F2093" s="8"/>
      <c r="G2093" s="10" t="str">
        <f aca="false">IF($A2093="","",UPPER(SUBSTITUTE(SUBSTITUTE(SUBSTITUTE(SUBSTITUTE($A2093," ",""),"(주)",""),"주식회사",""),"㈜","")))</f>
        <v/>
      </c>
      <c r="H2093" s="10" t="str">
        <f aca="false">IF($B2093="","",SUBSTITUTE(SUBSTITUTE(SUBSTITUTE($B2093,"-","")," ",""),".",""))</f>
        <v/>
      </c>
      <c r="I2093" s="10" t="str">
        <f aca="false">IF($D2093="","",SUBSTITUTE(SUBSTITUTE(SUBSTITUTE($D2093,"-","")," ",""),".",""))</f>
        <v/>
      </c>
      <c r="J2093" s="10" t="str">
        <f aca="false">IF($E2093="","",UPPER(SUBSTITUTE($E2093," ","")))</f>
        <v/>
      </c>
      <c r="K2093" s="10" t="str">
        <f aca="false">IF($A2093="","",$G2093&amp;"|"&amp;$J2093)</f>
        <v/>
      </c>
      <c r="L2093" s="10" t="str">
        <f aca="false">IF($A2093="","",ROW()-2)</f>
        <v/>
      </c>
      <c r="M2093" s="10" t="str">
        <f aca="false">IF($A2093="","",ROW())</f>
        <v/>
      </c>
    </row>
    <row r="2094" customFormat="false" ht="15" hidden="false" customHeight="true" outlineLevel="0" collapsed="false">
      <c r="A2094" s="8"/>
      <c r="B2094" s="8"/>
      <c r="C2094" s="8"/>
      <c r="D2094" s="8"/>
      <c r="E2094" s="8"/>
      <c r="F2094" s="8"/>
      <c r="G2094" s="10" t="str">
        <f aca="false">IF($A2094="","",UPPER(SUBSTITUTE(SUBSTITUTE(SUBSTITUTE(SUBSTITUTE($A2094," ",""),"(주)",""),"주식회사",""),"㈜","")))</f>
        <v/>
      </c>
      <c r="H2094" s="10" t="str">
        <f aca="false">IF($B2094="","",SUBSTITUTE(SUBSTITUTE(SUBSTITUTE($B2094,"-","")," ",""),".",""))</f>
        <v/>
      </c>
      <c r="I2094" s="10" t="str">
        <f aca="false">IF($D2094="","",SUBSTITUTE(SUBSTITUTE(SUBSTITUTE($D2094,"-","")," ",""),".",""))</f>
        <v/>
      </c>
      <c r="J2094" s="10" t="str">
        <f aca="false">IF($E2094="","",UPPER(SUBSTITUTE($E2094," ","")))</f>
        <v/>
      </c>
      <c r="K2094" s="10" t="str">
        <f aca="false">IF($A2094="","",$G2094&amp;"|"&amp;$J2094)</f>
        <v/>
      </c>
      <c r="L2094" s="10" t="str">
        <f aca="false">IF($A2094="","",ROW()-2)</f>
        <v/>
      </c>
      <c r="M2094" s="10" t="str">
        <f aca="false">IF($A2094="","",ROW())</f>
        <v/>
      </c>
    </row>
    <row r="2095" customFormat="false" ht="15" hidden="false" customHeight="true" outlineLevel="0" collapsed="false">
      <c r="A2095" s="8"/>
      <c r="B2095" s="8"/>
      <c r="C2095" s="8"/>
      <c r="D2095" s="8"/>
      <c r="E2095" s="8"/>
      <c r="F2095" s="8"/>
      <c r="G2095" s="10" t="str">
        <f aca="false">IF($A2095="","",UPPER(SUBSTITUTE(SUBSTITUTE(SUBSTITUTE(SUBSTITUTE($A2095," ",""),"(주)",""),"주식회사",""),"㈜","")))</f>
        <v/>
      </c>
      <c r="H2095" s="10" t="str">
        <f aca="false">IF($B2095="","",SUBSTITUTE(SUBSTITUTE(SUBSTITUTE($B2095,"-","")," ",""),".",""))</f>
        <v/>
      </c>
      <c r="I2095" s="10" t="str">
        <f aca="false">IF($D2095="","",SUBSTITUTE(SUBSTITUTE(SUBSTITUTE($D2095,"-","")," ",""),".",""))</f>
        <v/>
      </c>
      <c r="J2095" s="10" t="str">
        <f aca="false">IF($E2095="","",UPPER(SUBSTITUTE($E2095," ","")))</f>
        <v/>
      </c>
      <c r="K2095" s="10" t="str">
        <f aca="false">IF($A2095="","",$G2095&amp;"|"&amp;$J2095)</f>
        <v/>
      </c>
      <c r="L2095" s="10" t="str">
        <f aca="false">IF($A2095="","",ROW()-2)</f>
        <v/>
      </c>
      <c r="M2095" s="10" t="str">
        <f aca="false">IF($A2095="","",ROW())</f>
        <v/>
      </c>
    </row>
    <row r="2096" customFormat="false" ht="15" hidden="false" customHeight="true" outlineLevel="0" collapsed="false">
      <c r="A2096" s="8"/>
      <c r="B2096" s="8"/>
      <c r="C2096" s="8"/>
      <c r="D2096" s="8"/>
      <c r="E2096" s="8"/>
      <c r="F2096" s="8"/>
      <c r="G2096" s="10" t="str">
        <f aca="false">IF($A2096="","",UPPER(SUBSTITUTE(SUBSTITUTE(SUBSTITUTE(SUBSTITUTE($A2096," ",""),"(주)",""),"주식회사",""),"㈜","")))</f>
        <v/>
      </c>
      <c r="H2096" s="10" t="str">
        <f aca="false">IF($B2096="","",SUBSTITUTE(SUBSTITUTE(SUBSTITUTE($B2096,"-","")," ",""),".",""))</f>
        <v/>
      </c>
      <c r="I2096" s="10" t="str">
        <f aca="false">IF($D2096="","",SUBSTITUTE(SUBSTITUTE(SUBSTITUTE($D2096,"-","")," ",""),".",""))</f>
        <v/>
      </c>
      <c r="J2096" s="10" t="str">
        <f aca="false">IF($E2096="","",UPPER(SUBSTITUTE($E2096," ","")))</f>
        <v/>
      </c>
      <c r="K2096" s="10" t="str">
        <f aca="false">IF($A2096="","",$G2096&amp;"|"&amp;$J2096)</f>
        <v/>
      </c>
      <c r="L2096" s="10" t="str">
        <f aca="false">IF($A2096="","",ROW()-2)</f>
        <v/>
      </c>
      <c r="M2096" s="10" t="str">
        <f aca="false">IF($A2096="","",ROW())</f>
        <v/>
      </c>
    </row>
    <row r="2097" customFormat="false" ht="15" hidden="false" customHeight="true" outlineLevel="0" collapsed="false">
      <c r="A2097" s="8"/>
      <c r="B2097" s="8"/>
      <c r="C2097" s="8"/>
      <c r="D2097" s="8"/>
      <c r="E2097" s="8"/>
      <c r="F2097" s="8"/>
      <c r="G2097" s="10" t="str">
        <f aca="false">IF($A2097="","",UPPER(SUBSTITUTE(SUBSTITUTE(SUBSTITUTE(SUBSTITUTE($A2097," ",""),"(주)",""),"주식회사",""),"㈜","")))</f>
        <v/>
      </c>
      <c r="H2097" s="10" t="str">
        <f aca="false">IF($B2097="","",SUBSTITUTE(SUBSTITUTE(SUBSTITUTE($B2097,"-","")," ",""),".",""))</f>
        <v/>
      </c>
      <c r="I2097" s="10" t="str">
        <f aca="false">IF($D2097="","",SUBSTITUTE(SUBSTITUTE(SUBSTITUTE($D2097,"-","")," ",""),".",""))</f>
        <v/>
      </c>
      <c r="J2097" s="10" t="str">
        <f aca="false">IF($E2097="","",UPPER(SUBSTITUTE($E2097," ","")))</f>
        <v/>
      </c>
      <c r="K2097" s="10" t="str">
        <f aca="false">IF($A2097="","",$G2097&amp;"|"&amp;$J2097)</f>
        <v/>
      </c>
      <c r="L2097" s="10" t="str">
        <f aca="false">IF($A2097="","",ROW()-2)</f>
        <v/>
      </c>
      <c r="M2097" s="10" t="str">
        <f aca="false">IF($A2097="","",ROW())</f>
        <v/>
      </c>
    </row>
    <row r="2098" customFormat="false" ht="15" hidden="false" customHeight="true" outlineLevel="0" collapsed="false">
      <c r="A2098" s="8"/>
      <c r="B2098" s="8"/>
      <c r="C2098" s="8"/>
      <c r="D2098" s="8"/>
      <c r="E2098" s="8"/>
      <c r="F2098" s="8"/>
      <c r="G2098" s="10" t="str">
        <f aca="false">IF($A2098="","",UPPER(SUBSTITUTE(SUBSTITUTE(SUBSTITUTE(SUBSTITUTE($A2098," ",""),"(주)",""),"주식회사",""),"㈜","")))</f>
        <v/>
      </c>
      <c r="H2098" s="10" t="str">
        <f aca="false">IF($B2098="","",SUBSTITUTE(SUBSTITUTE(SUBSTITUTE($B2098,"-","")," ",""),".",""))</f>
        <v/>
      </c>
      <c r="I2098" s="10" t="str">
        <f aca="false">IF($D2098="","",SUBSTITUTE(SUBSTITUTE(SUBSTITUTE($D2098,"-","")," ",""),".",""))</f>
        <v/>
      </c>
      <c r="J2098" s="10" t="str">
        <f aca="false">IF($E2098="","",UPPER(SUBSTITUTE($E2098," ","")))</f>
        <v/>
      </c>
      <c r="K2098" s="10" t="str">
        <f aca="false">IF($A2098="","",$G2098&amp;"|"&amp;$J2098)</f>
        <v/>
      </c>
      <c r="L2098" s="10" t="str">
        <f aca="false">IF($A2098="","",ROW()-2)</f>
        <v/>
      </c>
      <c r="M2098" s="10" t="str">
        <f aca="false">IF($A2098="","",ROW())</f>
        <v/>
      </c>
    </row>
    <row r="2099" customFormat="false" ht="15" hidden="false" customHeight="true" outlineLevel="0" collapsed="false">
      <c r="A2099" s="8"/>
      <c r="B2099" s="8"/>
      <c r="C2099" s="8"/>
      <c r="D2099" s="8"/>
      <c r="E2099" s="8"/>
      <c r="F2099" s="8"/>
      <c r="G2099" s="10" t="str">
        <f aca="false">IF($A2099="","",UPPER(SUBSTITUTE(SUBSTITUTE(SUBSTITUTE(SUBSTITUTE($A2099," ",""),"(주)",""),"주식회사",""),"㈜","")))</f>
        <v/>
      </c>
      <c r="H2099" s="10" t="str">
        <f aca="false">IF($B2099="","",SUBSTITUTE(SUBSTITUTE(SUBSTITUTE($B2099,"-","")," ",""),".",""))</f>
        <v/>
      </c>
      <c r="I2099" s="10" t="str">
        <f aca="false">IF($D2099="","",SUBSTITUTE(SUBSTITUTE(SUBSTITUTE($D2099,"-","")," ",""),".",""))</f>
        <v/>
      </c>
      <c r="J2099" s="10" t="str">
        <f aca="false">IF($E2099="","",UPPER(SUBSTITUTE($E2099," ","")))</f>
        <v/>
      </c>
      <c r="K2099" s="10" t="str">
        <f aca="false">IF($A2099="","",$G2099&amp;"|"&amp;$J2099)</f>
        <v/>
      </c>
      <c r="L2099" s="10" t="str">
        <f aca="false">IF($A2099="","",ROW()-2)</f>
        <v/>
      </c>
      <c r="M2099" s="10" t="str">
        <f aca="false">IF($A2099="","",ROW())</f>
        <v/>
      </c>
    </row>
    <row r="2100" customFormat="false" ht="15" hidden="false" customHeight="true" outlineLevel="0" collapsed="false">
      <c r="A2100" s="8"/>
      <c r="B2100" s="8"/>
      <c r="C2100" s="8"/>
      <c r="D2100" s="8"/>
      <c r="E2100" s="8"/>
      <c r="F2100" s="8"/>
      <c r="G2100" s="10" t="str">
        <f aca="false">IF($A2100="","",UPPER(SUBSTITUTE(SUBSTITUTE(SUBSTITUTE(SUBSTITUTE($A2100," ",""),"(주)",""),"주식회사",""),"㈜","")))</f>
        <v/>
      </c>
      <c r="H2100" s="10" t="str">
        <f aca="false">IF($B2100="","",SUBSTITUTE(SUBSTITUTE(SUBSTITUTE($B2100,"-","")," ",""),".",""))</f>
        <v/>
      </c>
      <c r="I2100" s="10" t="str">
        <f aca="false">IF($D2100="","",SUBSTITUTE(SUBSTITUTE(SUBSTITUTE($D2100,"-","")," ",""),".",""))</f>
        <v/>
      </c>
      <c r="J2100" s="10" t="str">
        <f aca="false">IF($E2100="","",UPPER(SUBSTITUTE($E2100," ","")))</f>
        <v/>
      </c>
      <c r="K2100" s="10" t="str">
        <f aca="false">IF($A2100="","",$G2100&amp;"|"&amp;$J2100)</f>
        <v/>
      </c>
      <c r="L2100" s="10" t="str">
        <f aca="false">IF($A2100="","",ROW()-2)</f>
        <v/>
      </c>
      <c r="M2100" s="10" t="str">
        <f aca="false">IF($A2100="","",ROW())</f>
        <v/>
      </c>
    </row>
    <row r="2101" customFormat="false" ht="15" hidden="false" customHeight="true" outlineLevel="0" collapsed="false">
      <c r="A2101" s="8"/>
      <c r="B2101" s="8"/>
      <c r="C2101" s="8"/>
      <c r="D2101" s="8"/>
      <c r="E2101" s="8"/>
      <c r="F2101" s="8"/>
      <c r="G2101" s="10" t="str">
        <f aca="false">IF($A2101="","",UPPER(SUBSTITUTE(SUBSTITUTE(SUBSTITUTE(SUBSTITUTE($A2101," ",""),"(주)",""),"주식회사",""),"㈜","")))</f>
        <v/>
      </c>
      <c r="H2101" s="10" t="str">
        <f aca="false">IF($B2101="","",SUBSTITUTE(SUBSTITUTE(SUBSTITUTE($B2101,"-","")," ",""),".",""))</f>
        <v/>
      </c>
      <c r="I2101" s="10" t="str">
        <f aca="false">IF($D2101="","",SUBSTITUTE(SUBSTITUTE(SUBSTITUTE($D2101,"-","")," ",""),".",""))</f>
        <v/>
      </c>
      <c r="J2101" s="10" t="str">
        <f aca="false">IF($E2101="","",UPPER(SUBSTITUTE($E2101," ","")))</f>
        <v/>
      </c>
      <c r="K2101" s="10" t="str">
        <f aca="false">IF($A2101="","",$G2101&amp;"|"&amp;$J2101)</f>
        <v/>
      </c>
      <c r="L2101" s="10" t="str">
        <f aca="false">IF($A2101="","",ROW()-2)</f>
        <v/>
      </c>
      <c r="M2101" s="10" t="str">
        <f aca="false">IF($A2101="","",ROW())</f>
        <v/>
      </c>
    </row>
    <row r="2102" customFormat="false" ht="15" hidden="false" customHeight="true" outlineLevel="0" collapsed="false">
      <c r="A2102" s="8"/>
      <c r="B2102" s="8"/>
      <c r="C2102" s="8"/>
      <c r="D2102" s="8"/>
      <c r="E2102" s="8"/>
      <c r="F2102" s="8"/>
      <c r="G2102" s="10" t="str">
        <f aca="false">IF($A2102="","",UPPER(SUBSTITUTE(SUBSTITUTE(SUBSTITUTE(SUBSTITUTE($A2102," ",""),"(주)",""),"주식회사",""),"㈜","")))</f>
        <v/>
      </c>
      <c r="H2102" s="10" t="str">
        <f aca="false">IF($B2102="","",SUBSTITUTE(SUBSTITUTE(SUBSTITUTE($B2102,"-","")," ",""),".",""))</f>
        <v/>
      </c>
      <c r="I2102" s="10" t="str">
        <f aca="false">IF($D2102="","",SUBSTITUTE(SUBSTITUTE(SUBSTITUTE($D2102,"-","")," ",""),".",""))</f>
        <v/>
      </c>
      <c r="J2102" s="10" t="str">
        <f aca="false">IF($E2102="","",UPPER(SUBSTITUTE($E2102," ","")))</f>
        <v/>
      </c>
      <c r="K2102" s="10" t="str">
        <f aca="false">IF($A2102="","",$G2102&amp;"|"&amp;$J2102)</f>
        <v/>
      </c>
      <c r="L2102" s="10" t="str">
        <f aca="false">IF($A2102="","",ROW()-2)</f>
        <v/>
      </c>
      <c r="M2102" s="10" t="str">
        <f aca="false">IF($A2102="","",ROW())</f>
        <v/>
      </c>
    </row>
    <row r="2103" customFormat="false" ht="15" hidden="false" customHeight="true" outlineLevel="0" collapsed="false">
      <c r="A2103" s="8"/>
      <c r="B2103" s="8"/>
      <c r="C2103" s="8"/>
      <c r="D2103" s="8"/>
      <c r="E2103" s="8"/>
      <c r="F2103" s="8"/>
      <c r="G2103" s="10" t="str">
        <f aca="false">IF($A2103="","",UPPER(SUBSTITUTE(SUBSTITUTE(SUBSTITUTE(SUBSTITUTE($A2103," ",""),"(주)",""),"주식회사",""),"㈜","")))</f>
        <v/>
      </c>
      <c r="H2103" s="10" t="str">
        <f aca="false">IF($B2103="","",SUBSTITUTE(SUBSTITUTE(SUBSTITUTE($B2103,"-","")," ",""),".",""))</f>
        <v/>
      </c>
      <c r="I2103" s="10" t="str">
        <f aca="false">IF($D2103="","",SUBSTITUTE(SUBSTITUTE(SUBSTITUTE($D2103,"-","")," ",""),".",""))</f>
        <v/>
      </c>
      <c r="J2103" s="10" t="str">
        <f aca="false">IF($E2103="","",UPPER(SUBSTITUTE($E2103," ","")))</f>
        <v/>
      </c>
      <c r="K2103" s="10" t="str">
        <f aca="false">IF($A2103="","",$G2103&amp;"|"&amp;$J2103)</f>
        <v/>
      </c>
      <c r="L2103" s="10" t="str">
        <f aca="false">IF($A2103="","",ROW()-2)</f>
        <v/>
      </c>
      <c r="M2103" s="10" t="str">
        <f aca="false">IF($A2103="","",ROW())</f>
        <v/>
      </c>
    </row>
    <row r="2104" customFormat="false" ht="15" hidden="false" customHeight="true" outlineLevel="0" collapsed="false">
      <c r="A2104" s="8"/>
      <c r="B2104" s="8"/>
      <c r="C2104" s="8"/>
      <c r="D2104" s="8"/>
      <c r="E2104" s="8"/>
      <c r="F2104" s="8"/>
      <c r="G2104" s="10" t="str">
        <f aca="false">IF($A2104="","",UPPER(SUBSTITUTE(SUBSTITUTE(SUBSTITUTE(SUBSTITUTE($A2104," ",""),"(주)",""),"주식회사",""),"㈜","")))</f>
        <v/>
      </c>
      <c r="H2104" s="10" t="str">
        <f aca="false">IF($B2104="","",SUBSTITUTE(SUBSTITUTE(SUBSTITUTE($B2104,"-","")," ",""),".",""))</f>
        <v/>
      </c>
      <c r="I2104" s="10" t="str">
        <f aca="false">IF($D2104="","",SUBSTITUTE(SUBSTITUTE(SUBSTITUTE($D2104,"-","")," ",""),".",""))</f>
        <v/>
      </c>
      <c r="J2104" s="10" t="str">
        <f aca="false">IF($E2104="","",UPPER(SUBSTITUTE($E2104," ","")))</f>
        <v/>
      </c>
      <c r="K2104" s="10" t="str">
        <f aca="false">IF($A2104="","",$G2104&amp;"|"&amp;$J2104)</f>
        <v/>
      </c>
      <c r="L2104" s="10" t="str">
        <f aca="false">IF($A2104="","",ROW()-2)</f>
        <v/>
      </c>
      <c r="M2104" s="10" t="str">
        <f aca="false">IF($A2104="","",ROW())</f>
        <v/>
      </c>
    </row>
    <row r="2105" customFormat="false" ht="15" hidden="false" customHeight="true" outlineLevel="0" collapsed="false">
      <c r="A2105" s="8"/>
      <c r="B2105" s="8"/>
      <c r="C2105" s="8"/>
      <c r="D2105" s="8"/>
      <c r="E2105" s="8"/>
      <c r="F2105" s="8"/>
      <c r="G2105" s="10" t="str">
        <f aca="false">IF($A2105="","",UPPER(SUBSTITUTE(SUBSTITUTE(SUBSTITUTE(SUBSTITUTE($A2105," ",""),"(주)",""),"주식회사",""),"㈜","")))</f>
        <v/>
      </c>
      <c r="H2105" s="10" t="str">
        <f aca="false">IF($B2105="","",SUBSTITUTE(SUBSTITUTE(SUBSTITUTE($B2105,"-","")," ",""),".",""))</f>
        <v/>
      </c>
      <c r="I2105" s="10" t="str">
        <f aca="false">IF($D2105="","",SUBSTITUTE(SUBSTITUTE(SUBSTITUTE($D2105,"-","")," ",""),".",""))</f>
        <v/>
      </c>
      <c r="J2105" s="10" t="str">
        <f aca="false">IF($E2105="","",UPPER(SUBSTITUTE($E2105," ","")))</f>
        <v/>
      </c>
      <c r="K2105" s="10" t="str">
        <f aca="false">IF($A2105="","",$G2105&amp;"|"&amp;$J2105)</f>
        <v/>
      </c>
      <c r="L2105" s="10" t="str">
        <f aca="false">IF($A2105="","",ROW()-2)</f>
        <v/>
      </c>
      <c r="M2105" s="10" t="str">
        <f aca="false">IF($A2105="","",ROW())</f>
        <v/>
      </c>
    </row>
    <row r="2106" customFormat="false" ht="15" hidden="false" customHeight="true" outlineLevel="0" collapsed="false">
      <c r="A2106" s="8"/>
      <c r="B2106" s="8"/>
      <c r="C2106" s="8"/>
      <c r="D2106" s="8"/>
      <c r="E2106" s="8"/>
      <c r="F2106" s="8"/>
      <c r="G2106" s="10" t="str">
        <f aca="false">IF($A2106="","",UPPER(SUBSTITUTE(SUBSTITUTE(SUBSTITUTE(SUBSTITUTE($A2106," ",""),"(주)",""),"주식회사",""),"㈜","")))</f>
        <v/>
      </c>
      <c r="H2106" s="10" t="str">
        <f aca="false">IF($B2106="","",SUBSTITUTE(SUBSTITUTE(SUBSTITUTE($B2106,"-","")," ",""),".",""))</f>
        <v/>
      </c>
      <c r="I2106" s="10" t="str">
        <f aca="false">IF($D2106="","",SUBSTITUTE(SUBSTITUTE(SUBSTITUTE($D2106,"-","")," ",""),".",""))</f>
        <v/>
      </c>
      <c r="J2106" s="10" t="str">
        <f aca="false">IF($E2106="","",UPPER(SUBSTITUTE($E2106," ","")))</f>
        <v/>
      </c>
      <c r="K2106" s="10" t="str">
        <f aca="false">IF($A2106="","",$G2106&amp;"|"&amp;$J2106)</f>
        <v/>
      </c>
      <c r="L2106" s="10" t="str">
        <f aca="false">IF($A2106="","",ROW()-2)</f>
        <v/>
      </c>
      <c r="M2106" s="10" t="str">
        <f aca="false">IF($A2106="","",ROW())</f>
        <v/>
      </c>
    </row>
    <row r="2107" customFormat="false" ht="15" hidden="false" customHeight="true" outlineLevel="0" collapsed="false">
      <c r="A2107" s="8"/>
      <c r="B2107" s="8"/>
      <c r="C2107" s="8"/>
      <c r="D2107" s="8"/>
      <c r="E2107" s="8"/>
      <c r="F2107" s="8"/>
      <c r="G2107" s="10" t="str">
        <f aca="false">IF($A2107="","",UPPER(SUBSTITUTE(SUBSTITUTE(SUBSTITUTE(SUBSTITUTE($A2107," ",""),"(주)",""),"주식회사",""),"㈜","")))</f>
        <v/>
      </c>
      <c r="H2107" s="10" t="str">
        <f aca="false">IF($B2107="","",SUBSTITUTE(SUBSTITUTE(SUBSTITUTE($B2107,"-","")," ",""),".",""))</f>
        <v/>
      </c>
      <c r="I2107" s="10" t="str">
        <f aca="false">IF($D2107="","",SUBSTITUTE(SUBSTITUTE(SUBSTITUTE($D2107,"-","")," ",""),".",""))</f>
        <v/>
      </c>
      <c r="J2107" s="10" t="str">
        <f aca="false">IF($E2107="","",UPPER(SUBSTITUTE($E2107," ","")))</f>
        <v/>
      </c>
      <c r="K2107" s="10" t="str">
        <f aca="false">IF($A2107="","",$G2107&amp;"|"&amp;$J2107)</f>
        <v/>
      </c>
      <c r="L2107" s="10" t="str">
        <f aca="false">IF($A2107="","",ROW()-2)</f>
        <v/>
      </c>
      <c r="M2107" s="10" t="str">
        <f aca="false">IF($A2107="","",ROW())</f>
        <v/>
      </c>
    </row>
    <row r="2108" customFormat="false" ht="15" hidden="false" customHeight="true" outlineLevel="0" collapsed="false">
      <c r="A2108" s="8"/>
      <c r="B2108" s="8"/>
      <c r="C2108" s="8"/>
      <c r="D2108" s="8"/>
      <c r="E2108" s="8"/>
      <c r="F2108" s="8"/>
      <c r="G2108" s="10" t="str">
        <f aca="false">IF($A2108="","",UPPER(SUBSTITUTE(SUBSTITUTE(SUBSTITUTE(SUBSTITUTE($A2108," ",""),"(주)",""),"주식회사",""),"㈜","")))</f>
        <v/>
      </c>
      <c r="H2108" s="10" t="str">
        <f aca="false">IF($B2108="","",SUBSTITUTE(SUBSTITUTE(SUBSTITUTE($B2108,"-","")," ",""),".",""))</f>
        <v/>
      </c>
      <c r="I2108" s="10" t="str">
        <f aca="false">IF($D2108="","",SUBSTITUTE(SUBSTITUTE(SUBSTITUTE($D2108,"-","")," ",""),".",""))</f>
        <v/>
      </c>
      <c r="J2108" s="10" t="str">
        <f aca="false">IF($E2108="","",UPPER(SUBSTITUTE($E2108," ","")))</f>
        <v/>
      </c>
      <c r="K2108" s="10" t="str">
        <f aca="false">IF($A2108="","",$G2108&amp;"|"&amp;$J2108)</f>
        <v/>
      </c>
      <c r="L2108" s="10" t="str">
        <f aca="false">IF($A2108="","",ROW()-2)</f>
        <v/>
      </c>
      <c r="M2108" s="10" t="str">
        <f aca="false">IF($A2108="","",ROW())</f>
        <v/>
      </c>
    </row>
    <row r="2109" customFormat="false" ht="15" hidden="false" customHeight="true" outlineLevel="0" collapsed="false">
      <c r="A2109" s="8"/>
      <c r="B2109" s="8"/>
      <c r="C2109" s="8"/>
      <c r="D2109" s="8"/>
      <c r="E2109" s="8"/>
      <c r="F2109" s="8"/>
      <c r="G2109" s="10" t="str">
        <f aca="false">IF($A2109="","",UPPER(SUBSTITUTE(SUBSTITUTE(SUBSTITUTE(SUBSTITUTE($A2109," ",""),"(주)",""),"주식회사",""),"㈜","")))</f>
        <v/>
      </c>
      <c r="H2109" s="10" t="str">
        <f aca="false">IF($B2109="","",SUBSTITUTE(SUBSTITUTE(SUBSTITUTE($B2109,"-","")," ",""),".",""))</f>
        <v/>
      </c>
      <c r="I2109" s="10" t="str">
        <f aca="false">IF($D2109="","",SUBSTITUTE(SUBSTITUTE(SUBSTITUTE($D2109,"-","")," ",""),".",""))</f>
        <v/>
      </c>
      <c r="J2109" s="10" t="str">
        <f aca="false">IF($E2109="","",UPPER(SUBSTITUTE($E2109," ","")))</f>
        <v/>
      </c>
      <c r="K2109" s="10" t="str">
        <f aca="false">IF($A2109="","",$G2109&amp;"|"&amp;$J2109)</f>
        <v/>
      </c>
      <c r="L2109" s="10" t="str">
        <f aca="false">IF($A2109="","",ROW()-2)</f>
        <v/>
      </c>
      <c r="M2109" s="10" t="str">
        <f aca="false">IF($A2109="","",ROW())</f>
        <v/>
      </c>
    </row>
    <row r="2110" customFormat="false" ht="15" hidden="false" customHeight="true" outlineLevel="0" collapsed="false">
      <c r="A2110" s="8"/>
      <c r="B2110" s="8"/>
      <c r="C2110" s="8"/>
      <c r="D2110" s="8"/>
      <c r="E2110" s="8"/>
      <c r="F2110" s="8"/>
      <c r="G2110" s="10" t="str">
        <f aca="false">IF($A2110="","",UPPER(SUBSTITUTE(SUBSTITUTE(SUBSTITUTE(SUBSTITUTE($A2110," ",""),"(주)",""),"주식회사",""),"㈜","")))</f>
        <v/>
      </c>
      <c r="H2110" s="10" t="str">
        <f aca="false">IF($B2110="","",SUBSTITUTE(SUBSTITUTE(SUBSTITUTE($B2110,"-","")," ",""),".",""))</f>
        <v/>
      </c>
      <c r="I2110" s="10" t="str">
        <f aca="false">IF($D2110="","",SUBSTITUTE(SUBSTITUTE(SUBSTITUTE($D2110,"-","")," ",""),".",""))</f>
        <v/>
      </c>
      <c r="J2110" s="10" t="str">
        <f aca="false">IF($E2110="","",UPPER(SUBSTITUTE($E2110," ","")))</f>
        <v/>
      </c>
      <c r="K2110" s="10" t="str">
        <f aca="false">IF($A2110="","",$G2110&amp;"|"&amp;$J2110)</f>
        <v/>
      </c>
      <c r="L2110" s="10" t="str">
        <f aca="false">IF($A2110="","",ROW()-2)</f>
        <v/>
      </c>
      <c r="M2110" s="10" t="str">
        <f aca="false">IF($A2110="","",ROW())</f>
        <v/>
      </c>
    </row>
    <row r="2111" customFormat="false" ht="15" hidden="false" customHeight="true" outlineLevel="0" collapsed="false">
      <c r="A2111" s="8"/>
      <c r="B2111" s="8"/>
      <c r="C2111" s="8"/>
      <c r="D2111" s="8"/>
      <c r="E2111" s="8"/>
      <c r="F2111" s="8"/>
      <c r="G2111" s="10" t="str">
        <f aca="false">IF($A2111="","",UPPER(SUBSTITUTE(SUBSTITUTE(SUBSTITUTE(SUBSTITUTE($A2111," ",""),"(주)",""),"주식회사",""),"㈜","")))</f>
        <v/>
      </c>
      <c r="H2111" s="10" t="str">
        <f aca="false">IF($B2111="","",SUBSTITUTE(SUBSTITUTE(SUBSTITUTE($B2111,"-","")," ",""),".",""))</f>
        <v/>
      </c>
      <c r="I2111" s="10" t="str">
        <f aca="false">IF($D2111="","",SUBSTITUTE(SUBSTITUTE(SUBSTITUTE($D2111,"-","")," ",""),".",""))</f>
        <v/>
      </c>
      <c r="J2111" s="10" t="str">
        <f aca="false">IF($E2111="","",UPPER(SUBSTITUTE($E2111," ","")))</f>
        <v/>
      </c>
      <c r="K2111" s="10" t="str">
        <f aca="false">IF($A2111="","",$G2111&amp;"|"&amp;$J2111)</f>
        <v/>
      </c>
      <c r="L2111" s="10" t="str">
        <f aca="false">IF($A2111="","",ROW()-2)</f>
        <v/>
      </c>
      <c r="M2111" s="10" t="str">
        <f aca="false">IF($A2111="","",ROW())</f>
        <v/>
      </c>
    </row>
    <row r="2112" customFormat="false" ht="15" hidden="false" customHeight="true" outlineLevel="0" collapsed="false">
      <c r="A2112" s="8"/>
      <c r="B2112" s="8"/>
      <c r="C2112" s="8"/>
      <c r="D2112" s="8"/>
      <c r="E2112" s="8"/>
      <c r="F2112" s="8"/>
      <c r="G2112" s="10" t="str">
        <f aca="false">IF($A2112="","",UPPER(SUBSTITUTE(SUBSTITUTE(SUBSTITUTE(SUBSTITUTE($A2112," ",""),"(주)",""),"주식회사",""),"㈜","")))</f>
        <v/>
      </c>
      <c r="H2112" s="10" t="str">
        <f aca="false">IF($B2112="","",SUBSTITUTE(SUBSTITUTE(SUBSTITUTE($B2112,"-","")," ",""),".",""))</f>
        <v/>
      </c>
      <c r="I2112" s="10" t="str">
        <f aca="false">IF($D2112="","",SUBSTITUTE(SUBSTITUTE(SUBSTITUTE($D2112,"-","")," ",""),".",""))</f>
        <v/>
      </c>
      <c r="J2112" s="10" t="str">
        <f aca="false">IF($E2112="","",UPPER(SUBSTITUTE($E2112," ","")))</f>
        <v/>
      </c>
      <c r="K2112" s="10" t="str">
        <f aca="false">IF($A2112="","",$G2112&amp;"|"&amp;$J2112)</f>
        <v/>
      </c>
      <c r="L2112" s="10" t="str">
        <f aca="false">IF($A2112="","",ROW()-2)</f>
        <v/>
      </c>
      <c r="M2112" s="10" t="str">
        <f aca="false">IF($A2112="","",ROW())</f>
        <v/>
      </c>
    </row>
    <row r="2113" customFormat="false" ht="15" hidden="false" customHeight="true" outlineLevel="0" collapsed="false">
      <c r="A2113" s="8"/>
      <c r="B2113" s="8"/>
      <c r="C2113" s="8"/>
      <c r="D2113" s="8"/>
      <c r="E2113" s="8"/>
      <c r="F2113" s="8"/>
      <c r="G2113" s="10" t="str">
        <f aca="false">IF($A2113="","",UPPER(SUBSTITUTE(SUBSTITUTE(SUBSTITUTE(SUBSTITUTE($A2113," ",""),"(주)",""),"주식회사",""),"㈜","")))</f>
        <v/>
      </c>
      <c r="H2113" s="10" t="str">
        <f aca="false">IF($B2113="","",SUBSTITUTE(SUBSTITUTE(SUBSTITUTE($B2113,"-","")," ",""),".",""))</f>
        <v/>
      </c>
      <c r="I2113" s="10" t="str">
        <f aca="false">IF($D2113="","",SUBSTITUTE(SUBSTITUTE(SUBSTITUTE($D2113,"-","")," ",""),".",""))</f>
        <v/>
      </c>
      <c r="J2113" s="10" t="str">
        <f aca="false">IF($E2113="","",UPPER(SUBSTITUTE($E2113," ","")))</f>
        <v/>
      </c>
      <c r="K2113" s="10" t="str">
        <f aca="false">IF($A2113="","",$G2113&amp;"|"&amp;$J2113)</f>
        <v/>
      </c>
      <c r="L2113" s="10" t="str">
        <f aca="false">IF($A2113="","",ROW()-2)</f>
        <v/>
      </c>
      <c r="M2113" s="10" t="str">
        <f aca="false">IF($A2113="","",ROW())</f>
        <v/>
      </c>
    </row>
    <row r="2114" customFormat="false" ht="15" hidden="false" customHeight="true" outlineLevel="0" collapsed="false">
      <c r="A2114" s="8"/>
      <c r="B2114" s="8"/>
      <c r="C2114" s="8"/>
      <c r="D2114" s="8"/>
      <c r="E2114" s="8"/>
      <c r="F2114" s="8"/>
      <c r="G2114" s="10" t="str">
        <f aca="false">IF($A2114="","",UPPER(SUBSTITUTE(SUBSTITUTE(SUBSTITUTE(SUBSTITUTE($A2114," ",""),"(주)",""),"주식회사",""),"㈜","")))</f>
        <v/>
      </c>
      <c r="H2114" s="10" t="str">
        <f aca="false">IF($B2114="","",SUBSTITUTE(SUBSTITUTE(SUBSTITUTE($B2114,"-","")," ",""),".",""))</f>
        <v/>
      </c>
      <c r="I2114" s="10" t="str">
        <f aca="false">IF($D2114="","",SUBSTITUTE(SUBSTITUTE(SUBSTITUTE($D2114,"-","")," ",""),".",""))</f>
        <v/>
      </c>
      <c r="J2114" s="10" t="str">
        <f aca="false">IF($E2114="","",UPPER(SUBSTITUTE($E2114," ","")))</f>
        <v/>
      </c>
      <c r="K2114" s="10" t="str">
        <f aca="false">IF($A2114="","",$G2114&amp;"|"&amp;$J2114)</f>
        <v/>
      </c>
      <c r="L2114" s="10" t="str">
        <f aca="false">IF($A2114="","",ROW()-2)</f>
        <v/>
      </c>
      <c r="M2114" s="10" t="str">
        <f aca="false">IF($A2114="","",ROW())</f>
        <v/>
      </c>
    </row>
    <row r="2115" customFormat="false" ht="15" hidden="false" customHeight="true" outlineLevel="0" collapsed="false">
      <c r="A2115" s="8"/>
      <c r="B2115" s="8"/>
      <c r="C2115" s="8"/>
      <c r="D2115" s="8"/>
      <c r="E2115" s="8"/>
      <c r="F2115" s="8"/>
      <c r="G2115" s="10" t="str">
        <f aca="false">IF($A2115="","",UPPER(SUBSTITUTE(SUBSTITUTE(SUBSTITUTE(SUBSTITUTE($A2115," ",""),"(주)",""),"주식회사",""),"㈜","")))</f>
        <v/>
      </c>
      <c r="H2115" s="10" t="str">
        <f aca="false">IF($B2115="","",SUBSTITUTE(SUBSTITUTE(SUBSTITUTE($B2115,"-","")," ",""),".",""))</f>
        <v/>
      </c>
      <c r="I2115" s="10" t="str">
        <f aca="false">IF($D2115="","",SUBSTITUTE(SUBSTITUTE(SUBSTITUTE($D2115,"-","")," ",""),".",""))</f>
        <v/>
      </c>
      <c r="J2115" s="10" t="str">
        <f aca="false">IF($E2115="","",UPPER(SUBSTITUTE($E2115," ","")))</f>
        <v/>
      </c>
      <c r="K2115" s="10" t="str">
        <f aca="false">IF($A2115="","",$G2115&amp;"|"&amp;$J2115)</f>
        <v/>
      </c>
      <c r="L2115" s="10" t="str">
        <f aca="false">IF($A2115="","",ROW()-2)</f>
        <v/>
      </c>
      <c r="M2115" s="10" t="str">
        <f aca="false">IF($A2115="","",ROW())</f>
        <v/>
      </c>
    </row>
    <row r="2116" customFormat="false" ht="15" hidden="false" customHeight="true" outlineLevel="0" collapsed="false">
      <c r="A2116" s="8"/>
      <c r="B2116" s="8"/>
      <c r="C2116" s="8"/>
      <c r="D2116" s="8"/>
      <c r="E2116" s="8"/>
      <c r="F2116" s="8"/>
      <c r="G2116" s="10" t="str">
        <f aca="false">IF($A2116="","",UPPER(SUBSTITUTE(SUBSTITUTE(SUBSTITUTE(SUBSTITUTE($A2116," ",""),"(주)",""),"주식회사",""),"㈜","")))</f>
        <v/>
      </c>
      <c r="H2116" s="10" t="str">
        <f aca="false">IF($B2116="","",SUBSTITUTE(SUBSTITUTE(SUBSTITUTE($B2116,"-","")," ",""),".",""))</f>
        <v/>
      </c>
      <c r="I2116" s="10" t="str">
        <f aca="false">IF($D2116="","",SUBSTITUTE(SUBSTITUTE(SUBSTITUTE($D2116,"-","")," ",""),".",""))</f>
        <v/>
      </c>
      <c r="J2116" s="10" t="str">
        <f aca="false">IF($E2116="","",UPPER(SUBSTITUTE($E2116," ","")))</f>
        <v/>
      </c>
      <c r="K2116" s="10" t="str">
        <f aca="false">IF($A2116="","",$G2116&amp;"|"&amp;$J2116)</f>
        <v/>
      </c>
      <c r="L2116" s="10" t="str">
        <f aca="false">IF($A2116="","",ROW()-2)</f>
        <v/>
      </c>
      <c r="M2116" s="10" t="str">
        <f aca="false">IF($A2116="","",ROW())</f>
        <v/>
      </c>
    </row>
    <row r="2117" customFormat="false" ht="15" hidden="false" customHeight="true" outlineLevel="0" collapsed="false">
      <c r="A2117" s="8"/>
      <c r="B2117" s="8"/>
      <c r="C2117" s="8"/>
      <c r="D2117" s="8"/>
      <c r="E2117" s="8"/>
      <c r="F2117" s="8"/>
      <c r="G2117" s="10" t="str">
        <f aca="false">IF($A2117="","",UPPER(SUBSTITUTE(SUBSTITUTE(SUBSTITUTE(SUBSTITUTE($A2117," ",""),"(주)",""),"주식회사",""),"㈜","")))</f>
        <v/>
      </c>
      <c r="H2117" s="10" t="str">
        <f aca="false">IF($B2117="","",SUBSTITUTE(SUBSTITUTE(SUBSTITUTE($B2117,"-","")," ",""),".",""))</f>
        <v/>
      </c>
      <c r="I2117" s="10" t="str">
        <f aca="false">IF($D2117="","",SUBSTITUTE(SUBSTITUTE(SUBSTITUTE($D2117,"-","")," ",""),".",""))</f>
        <v/>
      </c>
      <c r="J2117" s="10" t="str">
        <f aca="false">IF($E2117="","",UPPER(SUBSTITUTE($E2117," ","")))</f>
        <v/>
      </c>
      <c r="K2117" s="10" t="str">
        <f aca="false">IF($A2117="","",$G2117&amp;"|"&amp;$J2117)</f>
        <v/>
      </c>
      <c r="L2117" s="10" t="str">
        <f aca="false">IF($A2117="","",ROW()-2)</f>
        <v/>
      </c>
      <c r="M2117" s="10" t="str">
        <f aca="false">IF($A2117="","",ROW())</f>
        <v/>
      </c>
    </row>
    <row r="2118" customFormat="false" ht="15" hidden="false" customHeight="true" outlineLevel="0" collapsed="false">
      <c r="A2118" s="8"/>
      <c r="B2118" s="8"/>
      <c r="C2118" s="8"/>
      <c r="D2118" s="8"/>
      <c r="E2118" s="8"/>
      <c r="F2118" s="8"/>
      <c r="G2118" s="10" t="str">
        <f aca="false">IF($A2118="","",UPPER(SUBSTITUTE(SUBSTITUTE(SUBSTITUTE(SUBSTITUTE($A2118," ",""),"(주)",""),"주식회사",""),"㈜","")))</f>
        <v/>
      </c>
      <c r="H2118" s="10" t="str">
        <f aca="false">IF($B2118="","",SUBSTITUTE(SUBSTITUTE(SUBSTITUTE($B2118,"-","")," ",""),".",""))</f>
        <v/>
      </c>
      <c r="I2118" s="10" t="str">
        <f aca="false">IF($D2118="","",SUBSTITUTE(SUBSTITUTE(SUBSTITUTE($D2118,"-","")," ",""),".",""))</f>
        <v/>
      </c>
      <c r="J2118" s="10" t="str">
        <f aca="false">IF($E2118="","",UPPER(SUBSTITUTE($E2118," ","")))</f>
        <v/>
      </c>
      <c r="K2118" s="10" t="str">
        <f aca="false">IF($A2118="","",$G2118&amp;"|"&amp;$J2118)</f>
        <v/>
      </c>
      <c r="L2118" s="10" t="str">
        <f aca="false">IF($A2118="","",ROW()-2)</f>
        <v/>
      </c>
      <c r="M2118" s="10" t="str">
        <f aca="false">IF($A2118="","",ROW())</f>
        <v/>
      </c>
    </row>
    <row r="2119" customFormat="false" ht="15" hidden="false" customHeight="true" outlineLevel="0" collapsed="false">
      <c r="A2119" s="8"/>
      <c r="B2119" s="8"/>
      <c r="C2119" s="8"/>
      <c r="D2119" s="8"/>
      <c r="E2119" s="8"/>
      <c r="F2119" s="8"/>
      <c r="G2119" s="10" t="str">
        <f aca="false">IF($A2119="","",UPPER(SUBSTITUTE(SUBSTITUTE(SUBSTITUTE(SUBSTITUTE($A2119," ",""),"(주)",""),"주식회사",""),"㈜","")))</f>
        <v/>
      </c>
      <c r="H2119" s="10" t="str">
        <f aca="false">IF($B2119="","",SUBSTITUTE(SUBSTITUTE(SUBSTITUTE($B2119,"-","")," ",""),".",""))</f>
        <v/>
      </c>
      <c r="I2119" s="10" t="str">
        <f aca="false">IF($D2119="","",SUBSTITUTE(SUBSTITUTE(SUBSTITUTE($D2119,"-","")," ",""),".",""))</f>
        <v/>
      </c>
      <c r="J2119" s="10" t="str">
        <f aca="false">IF($E2119="","",UPPER(SUBSTITUTE($E2119," ","")))</f>
        <v/>
      </c>
      <c r="K2119" s="10" t="str">
        <f aca="false">IF($A2119="","",$G2119&amp;"|"&amp;$J2119)</f>
        <v/>
      </c>
      <c r="L2119" s="10" t="str">
        <f aca="false">IF($A2119="","",ROW()-2)</f>
        <v/>
      </c>
      <c r="M2119" s="10" t="str">
        <f aca="false">IF($A2119="","",ROW())</f>
        <v/>
      </c>
    </row>
    <row r="2120" customFormat="false" ht="15" hidden="false" customHeight="true" outlineLevel="0" collapsed="false">
      <c r="A2120" s="8"/>
      <c r="B2120" s="8"/>
      <c r="C2120" s="8"/>
      <c r="D2120" s="8"/>
      <c r="E2120" s="8"/>
      <c r="F2120" s="8"/>
      <c r="G2120" s="10" t="str">
        <f aca="false">IF($A2120="","",UPPER(SUBSTITUTE(SUBSTITUTE(SUBSTITUTE(SUBSTITUTE($A2120," ",""),"(주)",""),"주식회사",""),"㈜","")))</f>
        <v/>
      </c>
      <c r="H2120" s="10" t="str">
        <f aca="false">IF($B2120="","",SUBSTITUTE(SUBSTITUTE(SUBSTITUTE($B2120,"-","")," ",""),".",""))</f>
        <v/>
      </c>
      <c r="I2120" s="10" t="str">
        <f aca="false">IF($D2120="","",SUBSTITUTE(SUBSTITUTE(SUBSTITUTE($D2120,"-","")," ",""),".",""))</f>
        <v/>
      </c>
      <c r="J2120" s="10" t="str">
        <f aca="false">IF($E2120="","",UPPER(SUBSTITUTE($E2120," ","")))</f>
        <v/>
      </c>
      <c r="K2120" s="10" t="str">
        <f aca="false">IF($A2120="","",$G2120&amp;"|"&amp;$J2120)</f>
        <v/>
      </c>
      <c r="L2120" s="10" t="str">
        <f aca="false">IF($A2120="","",ROW()-2)</f>
        <v/>
      </c>
      <c r="M2120" s="10" t="str">
        <f aca="false">IF($A2120="","",ROW())</f>
        <v/>
      </c>
    </row>
    <row r="2121" customFormat="false" ht="15" hidden="false" customHeight="true" outlineLevel="0" collapsed="false">
      <c r="A2121" s="8"/>
      <c r="B2121" s="8"/>
      <c r="C2121" s="8"/>
      <c r="D2121" s="8"/>
      <c r="E2121" s="8"/>
      <c r="F2121" s="8"/>
      <c r="G2121" s="10" t="str">
        <f aca="false">IF($A2121="","",UPPER(SUBSTITUTE(SUBSTITUTE(SUBSTITUTE(SUBSTITUTE($A2121," ",""),"(주)",""),"주식회사",""),"㈜","")))</f>
        <v/>
      </c>
      <c r="H2121" s="10" t="str">
        <f aca="false">IF($B2121="","",SUBSTITUTE(SUBSTITUTE(SUBSTITUTE($B2121,"-","")," ",""),".",""))</f>
        <v/>
      </c>
      <c r="I2121" s="10" t="str">
        <f aca="false">IF($D2121="","",SUBSTITUTE(SUBSTITUTE(SUBSTITUTE($D2121,"-","")," ",""),".",""))</f>
        <v/>
      </c>
      <c r="J2121" s="10" t="str">
        <f aca="false">IF($E2121="","",UPPER(SUBSTITUTE($E2121," ","")))</f>
        <v/>
      </c>
      <c r="K2121" s="10" t="str">
        <f aca="false">IF($A2121="","",$G2121&amp;"|"&amp;$J2121)</f>
        <v/>
      </c>
      <c r="L2121" s="10" t="str">
        <f aca="false">IF($A2121="","",ROW()-2)</f>
        <v/>
      </c>
      <c r="M2121" s="10" t="str">
        <f aca="false">IF($A2121="","",ROW())</f>
        <v/>
      </c>
    </row>
    <row r="2122" customFormat="false" ht="15" hidden="false" customHeight="true" outlineLevel="0" collapsed="false">
      <c r="A2122" s="8"/>
      <c r="B2122" s="8"/>
      <c r="C2122" s="8"/>
      <c r="D2122" s="8"/>
      <c r="E2122" s="8"/>
      <c r="F2122" s="8"/>
      <c r="G2122" s="10" t="str">
        <f aca="false">IF($A2122="","",UPPER(SUBSTITUTE(SUBSTITUTE(SUBSTITUTE(SUBSTITUTE($A2122," ",""),"(주)",""),"주식회사",""),"㈜","")))</f>
        <v/>
      </c>
      <c r="H2122" s="10" t="str">
        <f aca="false">IF($B2122="","",SUBSTITUTE(SUBSTITUTE(SUBSTITUTE($B2122,"-","")," ",""),".",""))</f>
        <v/>
      </c>
      <c r="I2122" s="10" t="str">
        <f aca="false">IF($D2122="","",SUBSTITUTE(SUBSTITUTE(SUBSTITUTE($D2122,"-","")," ",""),".",""))</f>
        <v/>
      </c>
      <c r="J2122" s="10" t="str">
        <f aca="false">IF($E2122="","",UPPER(SUBSTITUTE($E2122," ","")))</f>
        <v/>
      </c>
      <c r="K2122" s="10" t="str">
        <f aca="false">IF($A2122="","",$G2122&amp;"|"&amp;$J2122)</f>
        <v/>
      </c>
      <c r="L2122" s="10" t="str">
        <f aca="false">IF($A2122="","",ROW()-2)</f>
        <v/>
      </c>
      <c r="M2122" s="10" t="str">
        <f aca="false">IF($A2122="","",ROW())</f>
        <v/>
      </c>
    </row>
    <row r="2123" customFormat="false" ht="15" hidden="false" customHeight="true" outlineLevel="0" collapsed="false">
      <c r="A2123" s="8"/>
      <c r="B2123" s="8"/>
      <c r="C2123" s="8"/>
      <c r="D2123" s="8"/>
      <c r="E2123" s="8"/>
      <c r="F2123" s="8"/>
      <c r="G2123" s="10" t="str">
        <f aca="false">IF($A2123="","",UPPER(SUBSTITUTE(SUBSTITUTE(SUBSTITUTE(SUBSTITUTE($A2123," ",""),"(주)",""),"주식회사",""),"㈜","")))</f>
        <v/>
      </c>
      <c r="H2123" s="10" t="str">
        <f aca="false">IF($B2123="","",SUBSTITUTE(SUBSTITUTE(SUBSTITUTE($B2123,"-","")," ",""),".",""))</f>
        <v/>
      </c>
      <c r="I2123" s="10" t="str">
        <f aca="false">IF($D2123="","",SUBSTITUTE(SUBSTITUTE(SUBSTITUTE($D2123,"-","")," ",""),".",""))</f>
        <v/>
      </c>
      <c r="J2123" s="10" t="str">
        <f aca="false">IF($E2123="","",UPPER(SUBSTITUTE($E2123," ","")))</f>
        <v/>
      </c>
      <c r="K2123" s="10" t="str">
        <f aca="false">IF($A2123="","",$G2123&amp;"|"&amp;$J2123)</f>
        <v/>
      </c>
      <c r="L2123" s="10" t="str">
        <f aca="false">IF($A2123="","",ROW()-2)</f>
        <v/>
      </c>
      <c r="M2123" s="10" t="str">
        <f aca="false">IF($A2123="","",ROW())</f>
        <v/>
      </c>
    </row>
    <row r="2124" customFormat="false" ht="15" hidden="false" customHeight="true" outlineLevel="0" collapsed="false">
      <c r="A2124" s="8"/>
      <c r="B2124" s="8"/>
      <c r="C2124" s="8"/>
      <c r="D2124" s="8"/>
      <c r="E2124" s="8"/>
      <c r="F2124" s="8"/>
      <c r="G2124" s="10" t="str">
        <f aca="false">IF($A2124="","",UPPER(SUBSTITUTE(SUBSTITUTE(SUBSTITUTE(SUBSTITUTE($A2124," ",""),"(주)",""),"주식회사",""),"㈜","")))</f>
        <v/>
      </c>
      <c r="H2124" s="10" t="str">
        <f aca="false">IF($B2124="","",SUBSTITUTE(SUBSTITUTE(SUBSTITUTE($B2124,"-","")," ",""),".",""))</f>
        <v/>
      </c>
      <c r="I2124" s="10" t="str">
        <f aca="false">IF($D2124="","",SUBSTITUTE(SUBSTITUTE(SUBSTITUTE($D2124,"-","")," ",""),".",""))</f>
        <v/>
      </c>
      <c r="J2124" s="10" t="str">
        <f aca="false">IF($E2124="","",UPPER(SUBSTITUTE($E2124," ","")))</f>
        <v/>
      </c>
      <c r="K2124" s="10" t="str">
        <f aca="false">IF($A2124="","",$G2124&amp;"|"&amp;$J2124)</f>
        <v/>
      </c>
      <c r="L2124" s="10" t="str">
        <f aca="false">IF($A2124="","",ROW()-2)</f>
        <v/>
      </c>
      <c r="M2124" s="10" t="str">
        <f aca="false">IF($A2124="","",ROW())</f>
        <v/>
      </c>
    </row>
    <row r="2125" customFormat="false" ht="15" hidden="false" customHeight="true" outlineLevel="0" collapsed="false">
      <c r="A2125" s="8"/>
      <c r="B2125" s="8"/>
      <c r="C2125" s="8"/>
      <c r="D2125" s="8"/>
      <c r="E2125" s="8"/>
      <c r="F2125" s="8"/>
      <c r="G2125" s="10" t="str">
        <f aca="false">IF($A2125="","",UPPER(SUBSTITUTE(SUBSTITUTE(SUBSTITUTE(SUBSTITUTE($A2125," ",""),"(주)",""),"주식회사",""),"㈜","")))</f>
        <v/>
      </c>
      <c r="H2125" s="10" t="str">
        <f aca="false">IF($B2125="","",SUBSTITUTE(SUBSTITUTE(SUBSTITUTE($B2125,"-","")," ",""),".",""))</f>
        <v/>
      </c>
      <c r="I2125" s="10" t="str">
        <f aca="false">IF($D2125="","",SUBSTITUTE(SUBSTITUTE(SUBSTITUTE($D2125,"-","")," ",""),".",""))</f>
        <v/>
      </c>
      <c r="J2125" s="10" t="str">
        <f aca="false">IF($E2125="","",UPPER(SUBSTITUTE($E2125," ","")))</f>
        <v/>
      </c>
      <c r="K2125" s="10" t="str">
        <f aca="false">IF($A2125="","",$G2125&amp;"|"&amp;$J2125)</f>
        <v/>
      </c>
      <c r="L2125" s="10" t="str">
        <f aca="false">IF($A2125="","",ROW()-2)</f>
        <v/>
      </c>
      <c r="M2125" s="10" t="str">
        <f aca="false">IF($A2125="","",ROW())</f>
        <v/>
      </c>
    </row>
    <row r="2126" customFormat="false" ht="15" hidden="false" customHeight="true" outlineLevel="0" collapsed="false">
      <c r="A2126" s="8"/>
      <c r="B2126" s="8"/>
      <c r="C2126" s="8"/>
      <c r="D2126" s="8"/>
      <c r="E2126" s="8"/>
      <c r="F2126" s="8"/>
      <c r="G2126" s="10" t="str">
        <f aca="false">IF($A2126="","",UPPER(SUBSTITUTE(SUBSTITUTE(SUBSTITUTE(SUBSTITUTE($A2126," ",""),"(주)",""),"주식회사",""),"㈜","")))</f>
        <v/>
      </c>
      <c r="H2126" s="10" t="str">
        <f aca="false">IF($B2126="","",SUBSTITUTE(SUBSTITUTE(SUBSTITUTE($B2126,"-","")," ",""),".",""))</f>
        <v/>
      </c>
      <c r="I2126" s="10" t="str">
        <f aca="false">IF($D2126="","",SUBSTITUTE(SUBSTITUTE(SUBSTITUTE($D2126,"-","")," ",""),".",""))</f>
        <v/>
      </c>
      <c r="J2126" s="10" t="str">
        <f aca="false">IF($E2126="","",UPPER(SUBSTITUTE($E2126," ","")))</f>
        <v/>
      </c>
      <c r="K2126" s="10" t="str">
        <f aca="false">IF($A2126="","",$G2126&amp;"|"&amp;$J2126)</f>
        <v/>
      </c>
      <c r="L2126" s="10" t="str">
        <f aca="false">IF($A2126="","",ROW()-2)</f>
        <v/>
      </c>
      <c r="M2126" s="10" t="str">
        <f aca="false">IF($A2126="","",ROW())</f>
        <v/>
      </c>
    </row>
    <row r="2127" customFormat="false" ht="15" hidden="false" customHeight="true" outlineLevel="0" collapsed="false">
      <c r="A2127" s="8"/>
      <c r="B2127" s="8"/>
      <c r="C2127" s="8"/>
      <c r="D2127" s="8"/>
      <c r="E2127" s="8"/>
      <c r="F2127" s="8"/>
      <c r="G2127" s="10" t="str">
        <f aca="false">IF($A2127="","",UPPER(SUBSTITUTE(SUBSTITUTE(SUBSTITUTE(SUBSTITUTE($A2127," ",""),"(주)",""),"주식회사",""),"㈜","")))</f>
        <v/>
      </c>
      <c r="H2127" s="10" t="str">
        <f aca="false">IF($B2127="","",SUBSTITUTE(SUBSTITUTE(SUBSTITUTE($B2127,"-","")," ",""),".",""))</f>
        <v/>
      </c>
      <c r="I2127" s="10" t="str">
        <f aca="false">IF($D2127="","",SUBSTITUTE(SUBSTITUTE(SUBSTITUTE($D2127,"-","")," ",""),".",""))</f>
        <v/>
      </c>
      <c r="J2127" s="10" t="str">
        <f aca="false">IF($E2127="","",UPPER(SUBSTITUTE($E2127," ","")))</f>
        <v/>
      </c>
      <c r="K2127" s="10" t="str">
        <f aca="false">IF($A2127="","",$G2127&amp;"|"&amp;$J2127)</f>
        <v/>
      </c>
      <c r="L2127" s="10" t="str">
        <f aca="false">IF($A2127="","",ROW()-2)</f>
        <v/>
      </c>
      <c r="M2127" s="10" t="str">
        <f aca="false">IF($A2127="","",ROW())</f>
        <v/>
      </c>
    </row>
    <row r="2128" customFormat="false" ht="15" hidden="false" customHeight="true" outlineLevel="0" collapsed="false">
      <c r="A2128" s="8"/>
      <c r="B2128" s="8"/>
      <c r="C2128" s="8"/>
      <c r="D2128" s="8"/>
      <c r="E2128" s="8"/>
      <c r="F2128" s="8"/>
      <c r="G2128" s="10" t="str">
        <f aca="false">IF($A2128="","",UPPER(SUBSTITUTE(SUBSTITUTE(SUBSTITUTE(SUBSTITUTE($A2128," ",""),"(주)",""),"주식회사",""),"㈜","")))</f>
        <v/>
      </c>
      <c r="H2128" s="10" t="str">
        <f aca="false">IF($B2128="","",SUBSTITUTE(SUBSTITUTE(SUBSTITUTE($B2128,"-","")," ",""),".",""))</f>
        <v/>
      </c>
      <c r="I2128" s="10" t="str">
        <f aca="false">IF($D2128="","",SUBSTITUTE(SUBSTITUTE(SUBSTITUTE($D2128,"-","")," ",""),".",""))</f>
        <v/>
      </c>
      <c r="J2128" s="10" t="str">
        <f aca="false">IF($E2128="","",UPPER(SUBSTITUTE($E2128," ","")))</f>
        <v/>
      </c>
      <c r="K2128" s="10" t="str">
        <f aca="false">IF($A2128="","",$G2128&amp;"|"&amp;$J2128)</f>
        <v/>
      </c>
      <c r="L2128" s="10" t="str">
        <f aca="false">IF($A2128="","",ROW()-2)</f>
        <v/>
      </c>
      <c r="M2128" s="10" t="str">
        <f aca="false">IF($A2128="","",ROW())</f>
        <v/>
      </c>
    </row>
    <row r="2129" customFormat="false" ht="15" hidden="false" customHeight="true" outlineLevel="0" collapsed="false">
      <c r="A2129" s="8"/>
      <c r="B2129" s="8"/>
      <c r="C2129" s="8"/>
      <c r="D2129" s="8"/>
      <c r="E2129" s="8"/>
      <c r="F2129" s="8"/>
      <c r="G2129" s="10" t="str">
        <f aca="false">IF($A2129="","",UPPER(SUBSTITUTE(SUBSTITUTE(SUBSTITUTE(SUBSTITUTE($A2129," ",""),"(주)",""),"주식회사",""),"㈜","")))</f>
        <v/>
      </c>
      <c r="H2129" s="10" t="str">
        <f aca="false">IF($B2129="","",SUBSTITUTE(SUBSTITUTE(SUBSTITUTE($B2129,"-","")," ",""),".",""))</f>
        <v/>
      </c>
      <c r="I2129" s="10" t="str">
        <f aca="false">IF($D2129="","",SUBSTITUTE(SUBSTITUTE(SUBSTITUTE($D2129,"-","")," ",""),".",""))</f>
        <v/>
      </c>
      <c r="J2129" s="10" t="str">
        <f aca="false">IF($E2129="","",UPPER(SUBSTITUTE($E2129," ","")))</f>
        <v/>
      </c>
      <c r="K2129" s="10" t="str">
        <f aca="false">IF($A2129="","",$G2129&amp;"|"&amp;$J2129)</f>
        <v/>
      </c>
      <c r="L2129" s="10" t="str">
        <f aca="false">IF($A2129="","",ROW()-2)</f>
        <v/>
      </c>
      <c r="M2129" s="10" t="str">
        <f aca="false">IF($A2129="","",ROW())</f>
        <v/>
      </c>
    </row>
    <row r="2130" customFormat="false" ht="15" hidden="false" customHeight="true" outlineLevel="0" collapsed="false">
      <c r="A2130" s="8"/>
      <c r="B2130" s="8"/>
      <c r="C2130" s="8"/>
      <c r="D2130" s="8"/>
      <c r="E2130" s="8"/>
      <c r="F2130" s="8"/>
      <c r="G2130" s="10" t="str">
        <f aca="false">IF($A2130="","",UPPER(SUBSTITUTE(SUBSTITUTE(SUBSTITUTE(SUBSTITUTE($A2130," ",""),"(주)",""),"주식회사",""),"㈜","")))</f>
        <v/>
      </c>
      <c r="H2130" s="10" t="str">
        <f aca="false">IF($B2130="","",SUBSTITUTE(SUBSTITUTE(SUBSTITUTE($B2130,"-","")," ",""),".",""))</f>
        <v/>
      </c>
      <c r="I2130" s="10" t="str">
        <f aca="false">IF($D2130="","",SUBSTITUTE(SUBSTITUTE(SUBSTITUTE($D2130,"-","")," ",""),".",""))</f>
        <v/>
      </c>
      <c r="J2130" s="10" t="str">
        <f aca="false">IF($E2130="","",UPPER(SUBSTITUTE($E2130," ","")))</f>
        <v/>
      </c>
      <c r="K2130" s="10" t="str">
        <f aca="false">IF($A2130="","",$G2130&amp;"|"&amp;$J2130)</f>
        <v/>
      </c>
      <c r="L2130" s="10" t="str">
        <f aca="false">IF($A2130="","",ROW()-2)</f>
        <v/>
      </c>
      <c r="M2130" s="10" t="str">
        <f aca="false">IF($A2130="","",ROW())</f>
        <v/>
      </c>
    </row>
    <row r="2131" customFormat="false" ht="15" hidden="false" customHeight="true" outlineLevel="0" collapsed="false">
      <c r="A2131" s="8"/>
      <c r="B2131" s="8"/>
      <c r="C2131" s="8"/>
      <c r="D2131" s="8"/>
      <c r="E2131" s="8"/>
      <c r="F2131" s="8"/>
      <c r="G2131" s="10" t="str">
        <f aca="false">IF($A2131="","",UPPER(SUBSTITUTE(SUBSTITUTE(SUBSTITUTE(SUBSTITUTE($A2131," ",""),"(주)",""),"주식회사",""),"㈜","")))</f>
        <v/>
      </c>
      <c r="H2131" s="10" t="str">
        <f aca="false">IF($B2131="","",SUBSTITUTE(SUBSTITUTE(SUBSTITUTE($B2131,"-","")," ",""),".",""))</f>
        <v/>
      </c>
      <c r="I2131" s="10" t="str">
        <f aca="false">IF($D2131="","",SUBSTITUTE(SUBSTITUTE(SUBSTITUTE($D2131,"-","")," ",""),".",""))</f>
        <v/>
      </c>
      <c r="J2131" s="10" t="str">
        <f aca="false">IF($E2131="","",UPPER(SUBSTITUTE($E2131," ","")))</f>
        <v/>
      </c>
      <c r="K2131" s="10" t="str">
        <f aca="false">IF($A2131="","",$G2131&amp;"|"&amp;$J2131)</f>
        <v/>
      </c>
      <c r="L2131" s="10" t="str">
        <f aca="false">IF($A2131="","",ROW()-2)</f>
        <v/>
      </c>
      <c r="M2131" s="10" t="str">
        <f aca="false">IF($A2131="","",ROW())</f>
        <v/>
      </c>
    </row>
    <row r="2132" customFormat="false" ht="15" hidden="false" customHeight="true" outlineLevel="0" collapsed="false">
      <c r="A2132" s="8"/>
      <c r="B2132" s="8"/>
      <c r="C2132" s="8"/>
      <c r="D2132" s="8"/>
      <c r="E2132" s="8"/>
      <c r="F2132" s="8"/>
      <c r="G2132" s="10" t="str">
        <f aca="false">IF($A2132="","",UPPER(SUBSTITUTE(SUBSTITUTE(SUBSTITUTE(SUBSTITUTE($A2132," ",""),"(주)",""),"주식회사",""),"㈜","")))</f>
        <v/>
      </c>
      <c r="H2132" s="10" t="str">
        <f aca="false">IF($B2132="","",SUBSTITUTE(SUBSTITUTE(SUBSTITUTE($B2132,"-","")," ",""),".",""))</f>
        <v/>
      </c>
      <c r="I2132" s="10" t="str">
        <f aca="false">IF($D2132="","",SUBSTITUTE(SUBSTITUTE(SUBSTITUTE($D2132,"-","")," ",""),".",""))</f>
        <v/>
      </c>
      <c r="J2132" s="10" t="str">
        <f aca="false">IF($E2132="","",UPPER(SUBSTITUTE($E2132," ","")))</f>
        <v/>
      </c>
      <c r="K2132" s="10" t="str">
        <f aca="false">IF($A2132="","",$G2132&amp;"|"&amp;$J2132)</f>
        <v/>
      </c>
      <c r="L2132" s="10" t="str">
        <f aca="false">IF($A2132="","",ROW()-2)</f>
        <v/>
      </c>
      <c r="M2132" s="10" t="str">
        <f aca="false">IF($A2132="","",ROW())</f>
        <v/>
      </c>
    </row>
    <row r="2133" customFormat="false" ht="15" hidden="false" customHeight="true" outlineLevel="0" collapsed="false">
      <c r="A2133" s="8"/>
      <c r="B2133" s="8"/>
      <c r="C2133" s="8"/>
      <c r="D2133" s="8"/>
      <c r="E2133" s="8"/>
      <c r="F2133" s="8"/>
      <c r="G2133" s="10" t="str">
        <f aca="false">IF($A2133="","",UPPER(SUBSTITUTE(SUBSTITUTE(SUBSTITUTE(SUBSTITUTE($A2133," ",""),"(주)",""),"주식회사",""),"㈜","")))</f>
        <v/>
      </c>
      <c r="H2133" s="10" t="str">
        <f aca="false">IF($B2133="","",SUBSTITUTE(SUBSTITUTE(SUBSTITUTE($B2133,"-","")," ",""),".",""))</f>
        <v/>
      </c>
      <c r="I2133" s="10" t="str">
        <f aca="false">IF($D2133="","",SUBSTITUTE(SUBSTITUTE(SUBSTITUTE($D2133,"-","")," ",""),".",""))</f>
        <v/>
      </c>
      <c r="J2133" s="10" t="str">
        <f aca="false">IF($E2133="","",UPPER(SUBSTITUTE($E2133," ","")))</f>
        <v/>
      </c>
      <c r="K2133" s="10" t="str">
        <f aca="false">IF($A2133="","",$G2133&amp;"|"&amp;$J2133)</f>
        <v/>
      </c>
      <c r="L2133" s="10" t="str">
        <f aca="false">IF($A2133="","",ROW()-2)</f>
        <v/>
      </c>
      <c r="M2133" s="10" t="str">
        <f aca="false">IF($A2133="","",ROW())</f>
        <v/>
      </c>
    </row>
    <row r="2134" customFormat="false" ht="15" hidden="false" customHeight="true" outlineLevel="0" collapsed="false">
      <c r="A2134" s="8"/>
      <c r="B2134" s="8"/>
      <c r="C2134" s="8"/>
      <c r="D2134" s="8"/>
      <c r="E2134" s="8"/>
      <c r="F2134" s="8"/>
      <c r="G2134" s="10" t="str">
        <f aca="false">IF($A2134="","",UPPER(SUBSTITUTE(SUBSTITUTE(SUBSTITUTE(SUBSTITUTE($A2134," ",""),"(주)",""),"주식회사",""),"㈜","")))</f>
        <v/>
      </c>
      <c r="H2134" s="10" t="str">
        <f aca="false">IF($B2134="","",SUBSTITUTE(SUBSTITUTE(SUBSTITUTE($B2134,"-","")," ",""),".",""))</f>
        <v/>
      </c>
      <c r="I2134" s="10" t="str">
        <f aca="false">IF($D2134="","",SUBSTITUTE(SUBSTITUTE(SUBSTITUTE($D2134,"-","")," ",""),".",""))</f>
        <v/>
      </c>
      <c r="J2134" s="10" t="str">
        <f aca="false">IF($E2134="","",UPPER(SUBSTITUTE($E2134," ","")))</f>
        <v/>
      </c>
      <c r="K2134" s="10" t="str">
        <f aca="false">IF($A2134="","",$G2134&amp;"|"&amp;$J2134)</f>
        <v/>
      </c>
      <c r="L2134" s="10" t="str">
        <f aca="false">IF($A2134="","",ROW()-2)</f>
        <v/>
      </c>
      <c r="M2134" s="10" t="str">
        <f aca="false">IF($A2134="","",ROW())</f>
        <v/>
      </c>
    </row>
    <row r="2135" customFormat="false" ht="15" hidden="false" customHeight="true" outlineLevel="0" collapsed="false">
      <c r="A2135" s="8"/>
      <c r="B2135" s="8"/>
      <c r="C2135" s="8"/>
      <c r="D2135" s="8"/>
      <c r="E2135" s="8"/>
      <c r="F2135" s="8"/>
      <c r="G2135" s="10" t="str">
        <f aca="false">IF($A2135="","",UPPER(SUBSTITUTE(SUBSTITUTE(SUBSTITUTE(SUBSTITUTE($A2135," ",""),"(주)",""),"주식회사",""),"㈜","")))</f>
        <v/>
      </c>
      <c r="H2135" s="10" t="str">
        <f aca="false">IF($B2135="","",SUBSTITUTE(SUBSTITUTE(SUBSTITUTE($B2135,"-","")," ",""),".",""))</f>
        <v/>
      </c>
      <c r="I2135" s="10" t="str">
        <f aca="false">IF($D2135="","",SUBSTITUTE(SUBSTITUTE(SUBSTITUTE($D2135,"-","")," ",""),".",""))</f>
        <v/>
      </c>
      <c r="J2135" s="10" t="str">
        <f aca="false">IF($E2135="","",UPPER(SUBSTITUTE($E2135," ","")))</f>
        <v/>
      </c>
      <c r="K2135" s="10" t="str">
        <f aca="false">IF($A2135="","",$G2135&amp;"|"&amp;$J2135)</f>
        <v/>
      </c>
      <c r="L2135" s="10" t="str">
        <f aca="false">IF($A2135="","",ROW()-2)</f>
        <v/>
      </c>
      <c r="M2135" s="10" t="str">
        <f aca="false">IF($A2135="","",ROW())</f>
        <v/>
      </c>
    </row>
    <row r="2136" customFormat="false" ht="15" hidden="false" customHeight="true" outlineLevel="0" collapsed="false">
      <c r="A2136" s="8"/>
      <c r="B2136" s="8"/>
      <c r="C2136" s="8"/>
      <c r="D2136" s="8"/>
      <c r="E2136" s="8"/>
      <c r="F2136" s="8"/>
      <c r="G2136" s="10" t="str">
        <f aca="false">IF($A2136="","",UPPER(SUBSTITUTE(SUBSTITUTE(SUBSTITUTE(SUBSTITUTE($A2136," ",""),"(주)",""),"주식회사",""),"㈜","")))</f>
        <v/>
      </c>
      <c r="H2136" s="10" t="str">
        <f aca="false">IF($B2136="","",SUBSTITUTE(SUBSTITUTE(SUBSTITUTE($B2136,"-","")," ",""),".",""))</f>
        <v/>
      </c>
      <c r="I2136" s="10" t="str">
        <f aca="false">IF($D2136="","",SUBSTITUTE(SUBSTITUTE(SUBSTITUTE($D2136,"-","")," ",""),".",""))</f>
        <v/>
      </c>
      <c r="J2136" s="10" t="str">
        <f aca="false">IF($E2136="","",UPPER(SUBSTITUTE($E2136," ","")))</f>
        <v/>
      </c>
      <c r="K2136" s="10" t="str">
        <f aca="false">IF($A2136="","",$G2136&amp;"|"&amp;$J2136)</f>
        <v/>
      </c>
      <c r="L2136" s="10" t="str">
        <f aca="false">IF($A2136="","",ROW()-2)</f>
        <v/>
      </c>
      <c r="M2136" s="10" t="str">
        <f aca="false">IF($A2136="","",ROW())</f>
        <v/>
      </c>
    </row>
    <row r="2137" customFormat="false" ht="15" hidden="false" customHeight="true" outlineLevel="0" collapsed="false">
      <c r="A2137" s="8"/>
      <c r="B2137" s="8"/>
      <c r="C2137" s="8"/>
      <c r="D2137" s="8"/>
      <c r="E2137" s="8"/>
      <c r="F2137" s="8"/>
      <c r="G2137" s="10" t="str">
        <f aca="false">IF($A2137="","",UPPER(SUBSTITUTE(SUBSTITUTE(SUBSTITUTE(SUBSTITUTE($A2137," ",""),"(주)",""),"주식회사",""),"㈜","")))</f>
        <v/>
      </c>
      <c r="H2137" s="10" t="str">
        <f aca="false">IF($B2137="","",SUBSTITUTE(SUBSTITUTE(SUBSTITUTE($B2137,"-","")," ",""),".",""))</f>
        <v/>
      </c>
      <c r="I2137" s="10" t="str">
        <f aca="false">IF($D2137="","",SUBSTITUTE(SUBSTITUTE(SUBSTITUTE($D2137,"-","")," ",""),".",""))</f>
        <v/>
      </c>
      <c r="J2137" s="10" t="str">
        <f aca="false">IF($E2137="","",UPPER(SUBSTITUTE($E2137," ","")))</f>
        <v/>
      </c>
      <c r="K2137" s="10" t="str">
        <f aca="false">IF($A2137="","",$G2137&amp;"|"&amp;$J2137)</f>
        <v/>
      </c>
      <c r="L2137" s="10" t="str">
        <f aca="false">IF($A2137="","",ROW()-2)</f>
        <v/>
      </c>
      <c r="M2137" s="10" t="str">
        <f aca="false">IF($A2137="","",ROW())</f>
        <v/>
      </c>
    </row>
    <row r="2138" customFormat="false" ht="15" hidden="false" customHeight="true" outlineLevel="0" collapsed="false">
      <c r="A2138" s="8"/>
      <c r="B2138" s="8"/>
      <c r="C2138" s="8"/>
      <c r="D2138" s="8"/>
      <c r="E2138" s="8"/>
      <c r="F2138" s="8"/>
      <c r="G2138" s="10" t="str">
        <f aca="false">IF($A2138="","",UPPER(SUBSTITUTE(SUBSTITUTE(SUBSTITUTE(SUBSTITUTE($A2138," ",""),"(주)",""),"주식회사",""),"㈜","")))</f>
        <v/>
      </c>
      <c r="H2138" s="10" t="str">
        <f aca="false">IF($B2138="","",SUBSTITUTE(SUBSTITUTE(SUBSTITUTE($B2138,"-","")," ",""),".",""))</f>
        <v/>
      </c>
      <c r="I2138" s="10" t="str">
        <f aca="false">IF($D2138="","",SUBSTITUTE(SUBSTITUTE(SUBSTITUTE($D2138,"-","")," ",""),".",""))</f>
        <v/>
      </c>
      <c r="J2138" s="10" t="str">
        <f aca="false">IF($E2138="","",UPPER(SUBSTITUTE($E2138," ","")))</f>
        <v/>
      </c>
      <c r="K2138" s="10" t="str">
        <f aca="false">IF($A2138="","",$G2138&amp;"|"&amp;$J2138)</f>
        <v/>
      </c>
      <c r="L2138" s="10" t="str">
        <f aca="false">IF($A2138="","",ROW()-2)</f>
        <v/>
      </c>
      <c r="M2138" s="10" t="str">
        <f aca="false">IF($A2138="","",ROW())</f>
        <v/>
      </c>
    </row>
    <row r="2139" customFormat="false" ht="15" hidden="false" customHeight="true" outlineLevel="0" collapsed="false">
      <c r="A2139" s="8"/>
      <c r="B2139" s="8"/>
      <c r="C2139" s="8"/>
      <c r="D2139" s="8"/>
      <c r="E2139" s="8"/>
      <c r="F2139" s="8"/>
      <c r="G2139" s="10" t="str">
        <f aca="false">IF($A2139="","",UPPER(SUBSTITUTE(SUBSTITUTE(SUBSTITUTE(SUBSTITUTE($A2139," ",""),"(주)",""),"주식회사",""),"㈜","")))</f>
        <v/>
      </c>
      <c r="H2139" s="10" t="str">
        <f aca="false">IF($B2139="","",SUBSTITUTE(SUBSTITUTE(SUBSTITUTE($B2139,"-","")," ",""),".",""))</f>
        <v/>
      </c>
      <c r="I2139" s="10" t="str">
        <f aca="false">IF($D2139="","",SUBSTITUTE(SUBSTITUTE(SUBSTITUTE($D2139,"-","")," ",""),".",""))</f>
        <v/>
      </c>
      <c r="J2139" s="10" t="str">
        <f aca="false">IF($E2139="","",UPPER(SUBSTITUTE($E2139," ","")))</f>
        <v/>
      </c>
      <c r="K2139" s="10" t="str">
        <f aca="false">IF($A2139="","",$G2139&amp;"|"&amp;$J2139)</f>
        <v/>
      </c>
      <c r="L2139" s="10" t="str">
        <f aca="false">IF($A2139="","",ROW()-2)</f>
        <v/>
      </c>
      <c r="M2139" s="10" t="str">
        <f aca="false">IF($A2139="","",ROW())</f>
        <v/>
      </c>
    </row>
    <row r="2140" customFormat="false" ht="15" hidden="false" customHeight="true" outlineLevel="0" collapsed="false">
      <c r="A2140" s="8"/>
      <c r="B2140" s="8"/>
      <c r="C2140" s="8"/>
      <c r="D2140" s="8"/>
      <c r="E2140" s="8"/>
      <c r="F2140" s="8"/>
      <c r="G2140" s="10" t="str">
        <f aca="false">IF($A2140="","",UPPER(SUBSTITUTE(SUBSTITUTE(SUBSTITUTE(SUBSTITUTE($A2140," ",""),"(주)",""),"주식회사",""),"㈜","")))</f>
        <v/>
      </c>
      <c r="H2140" s="10" t="str">
        <f aca="false">IF($B2140="","",SUBSTITUTE(SUBSTITUTE(SUBSTITUTE($B2140,"-","")," ",""),".",""))</f>
        <v/>
      </c>
      <c r="I2140" s="10" t="str">
        <f aca="false">IF($D2140="","",SUBSTITUTE(SUBSTITUTE(SUBSTITUTE($D2140,"-","")," ",""),".",""))</f>
        <v/>
      </c>
      <c r="J2140" s="10" t="str">
        <f aca="false">IF($E2140="","",UPPER(SUBSTITUTE($E2140," ","")))</f>
        <v/>
      </c>
      <c r="K2140" s="10" t="str">
        <f aca="false">IF($A2140="","",$G2140&amp;"|"&amp;$J2140)</f>
        <v/>
      </c>
      <c r="L2140" s="10" t="str">
        <f aca="false">IF($A2140="","",ROW()-2)</f>
        <v/>
      </c>
      <c r="M2140" s="10" t="str">
        <f aca="false">IF($A2140="","",ROW())</f>
        <v/>
      </c>
    </row>
    <row r="2141" customFormat="false" ht="15" hidden="false" customHeight="true" outlineLevel="0" collapsed="false">
      <c r="A2141" s="8"/>
      <c r="B2141" s="8"/>
      <c r="C2141" s="8"/>
      <c r="D2141" s="8"/>
      <c r="E2141" s="8"/>
      <c r="F2141" s="8"/>
      <c r="G2141" s="10" t="str">
        <f aca="false">IF($A2141="","",UPPER(SUBSTITUTE(SUBSTITUTE(SUBSTITUTE(SUBSTITUTE($A2141," ",""),"(주)",""),"주식회사",""),"㈜","")))</f>
        <v/>
      </c>
      <c r="H2141" s="10" t="str">
        <f aca="false">IF($B2141="","",SUBSTITUTE(SUBSTITUTE(SUBSTITUTE($B2141,"-","")," ",""),".",""))</f>
        <v/>
      </c>
      <c r="I2141" s="10" t="str">
        <f aca="false">IF($D2141="","",SUBSTITUTE(SUBSTITUTE(SUBSTITUTE($D2141,"-","")," ",""),".",""))</f>
        <v/>
      </c>
      <c r="J2141" s="10" t="str">
        <f aca="false">IF($E2141="","",UPPER(SUBSTITUTE($E2141," ","")))</f>
        <v/>
      </c>
      <c r="K2141" s="10" t="str">
        <f aca="false">IF($A2141="","",$G2141&amp;"|"&amp;$J2141)</f>
        <v/>
      </c>
      <c r="L2141" s="10" t="str">
        <f aca="false">IF($A2141="","",ROW()-2)</f>
        <v/>
      </c>
      <c r="M2141" s="10" t="str">
        <f aca="false">IF($A2141="","",ROW())</f>
        <v/>
      </c>
    </row>
    <row r="2142" customFormat="false" ht="15" hidden="false" customHeight="true" outlineLevel="0" collapsed="false">
      <c r="A2142" s="8"/>
      <c r="B2142" s="8"/>
      <c r="C2142" s="8"/>
      <c r="D2142" s="8"/>
      <c r="E2142" s="8"/>
      <c r="F2142" s="8"/>
      <c r="G2142" s="10" t="str">
        <f aca="false">IF($A2142="","",UPPER(SUBSTITUTE(SUBSTITUTE(SUBSTITUTE(SUBSTITUTE($A2142," ",""),"(주)",""),"주식회사",""),"㈜","")))</f>
        <v/>
      </c>
      <c r="H2142" s="10" t="str">
        <f aca="false">IF($B2142="","",SUBSTITUTE(SUBSTITUTE(SUBSTITUTE($B2142,"-","")," ",""),".",""))</f>
        <v/>
      </c>
      <c r="I2142" s="10" t="str">
        <f aca="false">IF($D2142="","",SUBSTITUTE(SUBSTITUTE(SUBSTITUTE($D2142,"-","")," ",""),".",""))</f>
        <v/>
      </c>
      <c r="J2142" s="10" t="str">
        <f aca="false">IF($E2142="","",UPPER(SUBSTITUTE($E2142," ","")))</f>
        <v/>
      </c>
      <c r="K2142" s="10" t="str">
        <f aca="false">IF($A2142="","",$G2142&amp;"|"&amp;$J2142)</f>
        <v/>
      </c>
      <c r="L2142" s="10" t="str">
        <f aca="false">IF($A2142="","",ROW()-2)</f>
        <v/>
      </c>
      <c r="M2142" s="10" t="str">
        <f aca="false">IF($A2142="","",ROW())</f>
        <v/>
      </c>
    </row>
    <row r="2143" customFormat="false" ht="15" hidden="false" customHeight="true" outlineLevel="0" collapsed="false">
      <c r="A2143" s="8"/>
      <c r="B2143" s="8"/>
      <c r="C2143" s="8"/>
      <c r="D2143" s="8"/>
      <c r="E2143" s="8"/>
      <c r="F2143" s="8"/>
      <c r="G2143" s="10" t="str">
        <f aca="false">IF($A2143="","",UPPER(SUBSTITUTE(SUBSTITUTE(SUBSTITUTE(SUBSTITUTE($A2143," ",""),"(주)",""),"주식회사",""),"㈜","")))</f>
        <v/>
      </c>
      <c r="H2143" s="10" t="str">
        <f aca="false">IF($B2143="","",SUBSTITUTE(SUBSTITUTE(SUBSTITUTE($B2143,"-","")," ",""),".",""))</f>
        <v/>
      </c>
      <c r="I2143" s="10" t="str">
        <f aca="false">IF($D2143="","",SUBSTITUTE(SUBSTITUTE(SUBSTITUTE($D2143,"-","")," ",""),".",""))</f>
        <v/>
      </c>
      <c r="J2143" s="10" t="str">
        <f aca="false">IF($E2143="","",UPPER(SUBSTITUTE($E2143," ","")))</f>
        <v/>
      </c>
      <c r="K2143" s="10" t="str">
        <f aca="false">IF($A2143="","",$G2143&amp;"|"&amp;$J2143)</f>
        <v/>
      </c>
      <c r="L2143" s="10" t="str">
        <f aca="false">IF($A2143="","",ROW()-2)</f>
        <v/>
      </c>
      <c r="M2143" s="10" t="str">
        <f aca="false">IF($A2143="","",ROW())</f>
        <v/>
      </c>
    </row>
    <row r="2144" customFormat="false" ht="15" hidden="false" customHeight="true" outlineLevel="0" collapsed="false">
      <c r="A2144" s="8"/>
      <c r="B2144" s="8"/>
      <c r="C2144" s="8"/>
      <c r="D2144" s="8"/>
      <c r="E2144" s="8"/>
      <c r="F2144" s="8"/>
      <c r="G2144" s="10" t="str">
        <f aca="false">IF($A2144="","",UPPER(SUBSTITUTE(SUBSTITUTE(SUBSTITUTE(SUBSTITUTE($A2144," ",""),"(주)",""),"주식회사",""),"㈜","")))</f>
        <v/>
      </c>
      <c r="H2144" s="10" t="str">
        <f aca="false">IF($B2144="","",SUBSTITUTE(SUBSTITUTE(SUBSTITUTE($B2144,"-","")," ",""),".",""))</f>
        <v/>
      </c>
      <c r="I2144" s="10" t="str">
        <f aca="false">IF($D2144="","",SUBSTITUTE(SUBSTITUTE(SUBSTITUTE($D2144,"-","")," ",""),".",""))</f>
        <v/>
      </c>
      <c r="J2144" s="10" t="str">
        <f aca="false">IF($E2144="","",UPPER(SUBSTITUTE($E2144," ","")))</f>
        <v/>
      </c>
      <c r="K2144" s="10" t="str">
        <f aca="false">IF($A2144="","",$G2144&amp;"|"&amp;$J2144)</f>
        <v/>
      </c>
      <c r="L2144" s="10" t="str">
        <f aca="false">IF($A2144="","",ROW()-2)</f>
        <v/>
      </c>
      <c r="M2144" s="10" t="str">
        <f aca="false">IF($A2144="","",ROW())</f>
        <v/>
      </c>
    </row>
    <row r="2145" customFormat="false" ht="15" hidden="false" customHeight="true" outlineLevel="0" collapsed="false">
      <c r="A2145" s="8"/>
      <c r="B2145" s="8"/>
      <c r="C2145" s="8"/>
      <c r="D2145" s="8"/>
      <c r="E2145" s="8"/>
      <c r="F2145" s="8"/>
      <c r="G2145" s="10" t="str">
        <f aca="false">IF($A2145="","",UPPER(SUBSTITUTE(SUBSTITUTE(SUBSTITUTE(SUBSTITUTE($A2145," ",""),"(주)",""),"주식회사",""),"㈜","")))</f>
        <v/>
      </c>
      <c r="H2145" s="10" t="str">
        <f aca="false">IF($B2145="","",SUBSTITUTE(SUBSTITUTE(SUBSTITUTE($B2145,"-","")," ",""),".",""))</f>
        <v/>
      </c>
      <c r="I2145" s="10" t="str">
        <f aca="false">IF($D2145="","",SUBSTITUTE(SUBSTITUTE(SUBSTITUTE($D2145,"-","")," ",""),".",""))</f>
        <v/>
      </c>
      <c r="J2145" s="10" t="str">
        <f aca="false">IF($E2145="","",UPPER(SUBSTITUTE($E2145," ","")))</f>
        <v/>
      </c>
      <c r="K2145" s="10" t="str">
        <f aca="false">IF($A2145="","",$G2145&amp;"|"&amp;$J2145)</f>
        <v/>
      </c>
      <c r="L2145" s="10" t="str">
        <f aca="false">IF($A2145="","",ROW()-2)</f>
        <v/>
      </c>
      <c r="M2145" s="10" t="str">
        <f aca="false">IF($A2145="","",ROW())</f>
        <v/>
      </c>
    </row>
    <row r="2146" customFormat="false" ht="15" hidden="false" customHeight="true" outlineLevel="0" collapsed="false">
      <c r="A2146" s="8"/>
      <c r="B2146" s="8"/>
      <c r="C2146" s="8"/>
      <c r="D2146" s="8"/>
      <c r="E2146" s="8"/>
      <c r="F2146" s="8"/>
      <c r="G2146" s="10" t="str">
        <f aca="false">IF($A2146="","",UPPER(SUBSTITUTE(SUBSTITUTE(SUBSTITUTE(SUBSTITUTE($A2146," ",""),"(주)",""),"주식회사",""),"㈜","")))</f>
        <v/>
      </c>
      <c r="H2146" s="10" t="str">
        <f aca="false">IF($B2146="","",SUBSTITUTE(SUBSTITUTE(SUBSTITUTE($B2146,"-","")," ",""),".",""))</f>
        <v/>
      </c>
      <c r="I2146" s="10" t="str">
        <f aca="false">IF($D2146="","",SUBSTITUTE(SUBSTITUTE(SUBSTITUTE($D2146,"-","")," ",""),".",""))</f>
        <v/>
      </c>
      <c r="J2146" s="10" t="str">
        <f aca="false">IF($E2146="","",UPPER(SUBSTITUTE($E2146," ","")))</f>
        <v/>
      </c>
      <c r="K2146" s="10" t="str">
        <f aca="false">IF($A2146="","",$G2146&amp;"|"&amp;$J2146)</f>
        <v/>
      </c>
      <c r="L2146" s="10" t="str">
        <f aca="false">IF($A2146="","",ROW()-2)</f>
        <v/>
      </c>
      <c r="M2146" s="10" t="str">
        <f aca="false">IF($A2146="","",ROW())</f>
        <v/>
      </c>
    </row>
    <row r="2147" customFormat="false" ht="15" hidden="false" customHeight="true" outlineLevel="0" collapsed="false">
      <c r="A2147" s="8"/>
      <c r="B2147" s="8"/>
      <c r="C2147" s="8"/>
      <c r="D2147" s="8"/>
      <c r="E2147" s="8"/>
      <c r="F2147" s="8"/>
      <c r="G2147" s="10" t="str">
        <f aca="false">IF($A2147="","",UPPER(SUBSTITUTE(SUBSTITUTE(SUBSTITUTE(SUBSTITUTE($A2147," ",""),"(주)",""),"주식회사",""),"㈜","")))</f>
        <v/>
      </c>
      <c r="H2147" s="10" t="str">
        <f aca="false">IF($B2147="","",SUBSTITUTE(SUBSTITUTE(SUBSTITUTE($B2147,"-","")," ",""),".",""))</f>
        <v/>
      </c>
      <c r="I2147" s="10" t="str">
        <f aca="false">IF($D2147="","",SUBSTITUTE(SUBSTITUTE(SUBSTITUTE($D2147,"-","")," ",""),".",""))</f>
        <v/>
      </c>
      <c r="J2147" s="10" t="str">
        <f aca="false">IF($E2147="","",UPPER(SUBSTITUTE($E2147," ","")))</f>
        <v/>
      </c>
      <c r="K2147" s="10" t="str">
        <f aca="false">IF($A2147="","",$G2147&amp;"|"&amp;$J2147)</f>
        <v/>
      </c>
      <c r="L2147" s="10" t="str">
        <f aca="false">IF($A2147="","",ROW()-2)</f>
        <v/>
      </c>
      <c r="M2147" s="10" t="str">
        <f aca="false">IF($A2147="","",ROW())</f>
        <v/>
      </c>
    </row>
    <row r="2148" customFormat="false" ht="15" hidden="false" customHeight="true" outlineLevel="0" collapsed="false">
      <c r="A2148" s="8"/>
      <c r="B2148" s="8"/>
      <c r="C2148" s="8"/>
      <c r="D2148" s="8"/>
      <c r="E2148" s="8"/>
      <c r="F2148" s="8"/>
      <c r="G2148" s="10" t="str">
        <f aca="false">IF($A2148="","",UPPER(SUBSTITUTE(SUBSTITUTE(SUBSTITUTE(SUBSTITUTE($A2148," ",""),"(주)",""),"주식회사",""),"㈜","")))</f>
        <v/>
      </c>
      <c r="H2148" s="10" t="str">
        <f aca="false">IF($B2148="","",SUBSTITUTE(SUBSTITUTE(SUBSTITUTE($B2148,"-","")," ",""),".",""))</f>
        <v/>
      </c>
      <c r="I2148" s="10" t="str">
        <f aca="false">IF($D2148="","",SUBSTITUTE(SUBSTITUTE(SUBSTITUTE($D2148,"-","")," ",""),".",""))</f>
        <v/>
      </c>
      <c r="J2148" s="10" t="str">
        <f aca="false">IF($E2148="","",UPPER(SUBSTITUTE($E2148," ","")))</f>
        <v/>
      </c>
      <c r="K2148" s="10" t="str">
        <f aca="false">IF($A2148="","",$G2148&amp;"|"&amp;$J2148)</f>
        <v/>
      </c>
      <c r="L2148" s="10" t="str">
        <f aca="false">IF($A2148="","",ROW()-2)</f>
        <v/>
      </c>
      <c r="M2148" s="10" t="str">
        <f aca="false">IF($A2148="","",ROW())</f>
        <v/>
      </c>
    </row>
    <row r="2149" customFormat="false" ht="15" hidden="false" customHeight="true" outlineLevel="0" collapsed="false">
      <c r="A2149" s="8"/>
      <c r="B2149" s="8"/>
      <c r="C2149" s="8"/>
      <c r="D2149" s="8"/>
      <c r="E2149" s="8"/>
      <c r="F2149" s="8"/>
      <c r="G2149" s="10" t="str">
        <f aca="false">IF($A2149="","",UPPER(SUBSTITUTE(SUBSTITUTE(SUBSTITUTE(SUBSTITUTE($A2149," ",""),"(주)",""),"주식회사",""),"㈜","")))</f>
        <v/>
      </c>
      <c r="H2149" s="10" t="str">
        <f aca="false">IF($B2149="","",SUBSTITUTE(SUBSTITUTE(SUBSTITUTE($B2149,"-","")," ",""),".",""))</f>
        <v/>
      </c>
      <c r="I2149" s="10" t="str">
        <f aca="false">IF($D2149="","",SUBSTITUTE(SUBSTITUTE(SUBSTITUTE($D2149,"-","")," ",""),".",""))</f>
        <v/>
      </c>
      <c r="J2149" s="10" t="str">
        <f aca="false">IF($E2149="","",UPPER(SUBSTITUTE($E2149," ","")))</f>
        <v/>
      </c>
      <c r="K2149" s="10" t="str">
        <f aca="false">IF($A2149="","",$G2149&amp;"|"&amp;$J2149)</f>
        <v/>
      </c>
      <c r="L2149" s="10" t="str">
        <f aca="false">IF($A2149="","",ROW()-2)</f>
        <v/>
      </c>
      <c r="M2149" s="10" t="str">
        <f aca="false">IF($A2149="","",ROW())</f>
        <v/>
      </c>
    </row>
    <row r="2150" customFormat="false" ht="15" hidden="false" customHeight="true" outlineLevel="0" collapsed="false">
      <c r="A2150" s="8"/>
      <c r="B2150" s="8"/>
      <c r="C2150" s="8"/>
      <c r="D2150" s="8"/>
      <c r="E2150" s="8"/>
      <c r="F2150" s="8"/>
      <c r="G2150" s="10" t="str">
        <f aca="false">IF($A2150="","",UPPER(SUBSTITUTE(SUBSTITUTE(SUBSTITUTE(SUBSTITUTE($A2150," ",""),"(주)",""),"주식회사",""),"㈜","")))</f>
        <v/>
      </c>
      <c r="H2150" s="10" t="str">
        <f aca="false">IF($B2150="","",SUBSTITUTE(SUBSTITUTE(SUBSTITUTE($B2150,"-","")," ",""),".",""))</f>
        <v/>
      </c>
      <c r="I2150" s="10" t="str">
        <f aca="false">IF($D2150="","",SUBSTITUTE(SUBSTITUTE(SUBSTITUTE($D2150,"-","")," ",""),".",""))</f>
        <v/>
      </c>
      <c r="J2150" s="10" t="str">
        <f aca="false">IF($E2150="","",UPPER(SUBSTITUTE($E2150," ","")))</f>
        <v/>
      </c>
      <c r="K2150" s="10" t="str">
        <f aca="false">IF($A2150="","",$G2150&amp;"|"&amp;$J2150)</f>
        <v/>
      </c>
      <c r="L2150" s="10" t="str">
        <f aca="false">IF($A2150="","",ROW()-2)</f>
        <v/>
      </c>
      <c r="M2150" s="10" t="str">
        <f aca="false">IF($A2150="","",ROW())</f>
        <v/>
      </c>
    </row>
    <row r="2151" customFormat="false" ht="15" hidden="false" customHeight="true" outlineLevel="0" collapsed="false">
      <c r="A2151" s="8"/>
      <c r="B2151" s="8"/>
      <c r="C2151" s="8"/>
      <c r="D2151" s="8"/>
      <c r="E2151" s="8"/>
      <c r="F2151" s="8"/>
      <c r="G2151" s="10" t="str">
        <f aca="false">IF($A2151="","",UPPER(SUBSTITUTE(SUBSTITUTE(SUBSTITUTE(SUBSTITUTE($A2151," ",""),"(주)",""),"주식회사",""),"㈜","")))</f>
        <v/>
      </c>
      <c r="H2151" s="10" t="str">
        <f aca="false">IF($B2151="","",SUBSTITUTE(SUBSTITUTE(SUBSTITUTE($B2151,"-","")," ",""),".",""))</f>
        <v/>
      </c>
      <c r="I2151" s="10" t="str">
        <f aca="false">IF($D2151="","",SUBSTITUTE(SUBSTITUTE(SUBSTITUTE($D2151,"-","")," ",""),".",""))</f>
        <v/>
      </c>
      <c r="J2151" s="10" t="str">
        <f aca="false">IF($E2151="","",UPPER(SUBSTITUTE($E2151," ","")))</f>
        <v/>
      </c>
      <c r="K2151" s="10" t="str">
        <f aca="false">IF($A2151="","",$G2151&amp;"|"&amp;$J2151)</f>
        <v/>
      </c>
      <c r="L2151" s="10" t="str">
        <f aca="false">IF($A2151="","",ROW()-2)</f>
        <v/>
      </c>
      <c r="M2151" s="10" t="str">
        <f aca="false">IF($A2151="","",ROW())</f>
        <v/>
      </c>
    </row>
    <row r="2152" customFormat="false" ht="15" hidden="false" customHeight="true" outlineLevel="0" collapsed="false">
      <c r="A2152" s="8"/>
      <c r="B2152" s="8"/>
      <c r="C2152" s="8"/>
      <c r="D2152" s="8"/>
      <c r="E2152" s="8"/>
      <c r="F2152" s="8"/>
      <c r="G2152" s="10" t="str">
        <f aca="false">IF($A2152="","",UPPER(SUBSTITUTE(SUBSTITUTE(SUBSTITUTE(SUBSTITUTE($A2152," ",""),"(주)",""),"주식회사",""),"㈜","")))</f>
        <v/>
      </c>
      <c r="H2152" s="10" t="str">
        <f aca="false">IF($B2152="","",SUBSTITUTE(SUBSTITUTE(SUBSTITUTE($B2152,"-","")," ",""),".",""))</f>
        <v/>
      </c>
      <c r="I2152" s="10" t="str">
        <f aca="false">IF($D2152="","",SUBSTITUTE(SUBSTITUTE(SUBSTITUTE($D2152,"-","")," ",""),".",""))</f>
        <v/>
      </c>
      <c r="J2152" s="10" t="str">
        <f aca="false">IF($E2152="","",UPPER(SUBSTITUTE($E2152," ","")))</f>
        <v/>
      </c>
      <c r="K2152" s="10" t="str">
        <f aca="false">IF($A2152="","",$G2152&amp;"|"&amp;$J2152)</f>
        <v/>
      </c>
      <c r="L2152" s="10" t="str">
        <f aca="false">IF($A2152="","",ROW()-2)</f>
        <v/>
      </c>
      <c r="M2152" s="10" t="str">
        <f aca="false">IF($A2152="","",ROW())</f>
        <v/>
      </c>
    </row>
    <row r="2153" customFormat="false" ht="15" hidden="false" customHeight="true" outlineLevel="0" collapsed="false">
      <c r="A2153" s="8"/>
      <c r="B2153" s="8"/>
      <c r="C2153" s="8"/>
      <c r="D2153" s="8"/>
      <c r="E2153" s="8"/>
      <c r="F2153" s="8"/>
      <c r="G2153" s="10" t="str">
        <f aca="false">IF($A2153="","",UPPER(SUBSTITUTE(SUBSTITUTE(SUBSTITUTE(SUBSTITUTE($A2153," ",""),"(주)",""),"주식회사",""),"㈜","")))</f>
        <v/>
      </c>
      <c r="H2153" s="10" t="str">
        <f aca="false">IF($B2153="","",SUBSTITUTE(SUBSTITUTE(SUBSTITUTE($B2153,"-","")," ",""),".",""))</f>
        <v/>
      </c>
      <c r="I2153" s="10" t="str">
        <f aca="false">IF($D2153="","",SUBSTITUTE(SUBSTITUTE(SUBSTITUTE($D2153,"-","")," ",""),".",""))</f>
        <v/>
      </c>
      <c r="J2153" s="10" t="str">
        <f aca="false">IF($E2153="","",UPPER(SUBSTITUTE($E2153," ","")))</f>
        <v/>
      </c>
      <c r="K2153" s="10" t="str">
        <f aca="false">IF($A2153="","",$G2153&amp;"|"&amp;$J2153)</f>
        <v/>
      </c>
      <c r="L2153" s="10" t="str">
        <f aca="false">IF($A2153="","",ROW()-2)</f>
        <v/>
      </c>
      <c r="M2153" s="10" t="str">
        <f aca="false">IF($A2153="","",ROW())</f>
        <v/>
      </c>
    </row>
    <row r="2154" customFormat="false" ht="15" hidden="false" customHeight="true" outlineLevel="0" collapsed="false">
      <c r="A2154" s="8"/>
      <c r="B2154" s="8"/>
      <c r="C2154" s="8"/>
      <c r="D2154" s="8"/>
      <c r="E2154" s="8"/>
      <c r="F2154" s="8"/>
      <c r="G2154" s="10" t="str">
        <f aca="false">IF($A2154="","",UPPER(SUBSTITUTE(SUBSTITUTE(SUBSTITUTE(SUBSTITUTE($A2154," ",""),"(주)",""),"주식회사",""),"㈜","")))</f>
        <v/>
      </c>
      <c r="H2154" s="10" t="str">
        <f aca="false">IF($B2154="","",SUBSTITUTE(SUBSTITUTE(SUBSTITUTE($B2154,"-","")," ",""),".",""))</f>
        <v/>
      </c>
      <c r="I2154" s="10" t="str">
        <f aca="false">IF($D2154="","",SUBSTITUTE(SUBSTITUTE(SUBSTITUTE($D2154,"-","")," ",""),".",""))</f>
        <v/>
      </c>
      <c r="J2154" s="10" t="str">
        <f aca="false">IF($E2154="","",UPPER(SUBSTITUTE($E2154," ","")))</f>
        <v/>
      </c>
      <c r="K2154" s="10" t="str">
        <f aca="false">IF($A2154="","",$G2154&amp;"|"&amp;$J2154)</f>
        <v/>
      </c>
      <c r="L2154" s="10" t="str">
        <f aca="false">IF($A2154="","",ROW()-2)</f>
        <v/>
      </c>
      <c r="M2154" s="10" t="str">
        <f aca="false">IF($A2154="","",ROW())</f>
        <v/>
      </c>
    </row>
    <row r="2155" customFormat="false" ht="15" hidden="false" customHeight="true" outlineLevel="0" collapsed="false">
      <c r="A2155" s="8"/>
      <c r="B2155" s="8"/>
      <c r="C2155" s="8"/>
      <c r="D2155" s="8"/>
      <c r="E2155" s="8"/>
      <c r="F2155" s="8"/>
      <c r="G2155" s="10" t="str">
        <f aca="false">IF($A2155="","",UPPER(SUBSTITUTE(SUBSTITUTE(SUBSTITUTE(SUBSTITUTE($A2155," ",""),"(주)",""),"주식회사",""),"㈜","")))</f>
        <v/>
      </c>
      <c r="H2155" s="10" t="str">
        <f aca="false">IF($B2155="","",SUBSTITUTE(SUBSTITUTE(SUBSTITUTE($B2155,"-","")," ",""),".",""))</f>
        <v/>
      </c>
      <c r="I2155" s="10" t="str">
        <f aca="false">IF($D2155="","",SUBSTITUTE(SUBSTITUTE(SUBSTITUTE($D2155,"-","")," ",""),".",""))</f>
        <v/>
      </c>
      <c r="J2155" s="10" t="str">
        <f aca="false">IF($E2155="","",UPPER(SUBSTITUTE($E2155," ","")))</f>
        <v/>
      </c>
      <c r="K2155" s="10" t="str">
        <f aca="false">IF($A2155="","",$G2155&amp;"|"&amp;$J2155)</f>
        <v/>
      </c>
      <c r="L2155" s="10" t="str">
        <f aca="false">IF($A2155="","",ROW()-2)</f>
        <v/>
      </c>
      <c r="M2155" s="10" t="str">
        <f aca="false">IF($A2155="","",ROW())</f>
        <v/>
      </c>
    </row>
    <row r="2156" customFormat="false" ht="15" hidden="false" customHeight="true" outlineLevel="0" collapsed="false">
      <c r="A2156" s="8"/>
      <c r="B2156" s="8"/>
      <c r="C2156" s="8"/>
      <c r="D2156" s="8"/>
      <c r="E2156" s="8"/>
      <c r="F2156" s="8"/>
      <c r="G2156" s="10" t="str">
        <f aca="false">IF($A2156="","",UPPER(SUBSTITUTE(SUBSTITUTE(SUBSTITUTE(SUBSTITUTE($A2156," ",""),"(주)",""),"주식회사",""),"㈜","")))</f>
        <v/>
      </c>
      <c r="H2156" s="10" t="str">
        <f aca="false">IF($B2156="","",SUBSTITUTE(SUBSTITUTE(SUBSTITUTE($B2156,"-","")," ",""),".",""))</f>
        <v/>
      </c>
      <c r="I2156" s="10" t="str">
        <f aca="false">IF($D2156="","",SUBSTITUTE(SUBSTITUTE(SUBSTITUTE($D2156,"-","")," ",""),".",""))</f>
        <v/>
      </c>
      <c r="J2156" s="10" t="str">
        <f aca="false">IF($E2156="","",UPPER(SUBSTITUTE($E2156," ","")))</f>
        <v/>
      </c>
      <c r="K2156" s="10" t="str">
        <f aca="false">IF($A2156="","",$G2156&amp;"|"&amp;$J2156)</f>
        <v/>
      </c>
      <c r="L2156" s="10" t="str">
        <f aca="false">IF($A2156="","",ROW()-2)</f>
        <v/>
      </c>
      <c r="M2156" s="10" t="str">
        <f aca="false">IF($A2156="","",ROW())</f>
        <v/>
      </c>
    </row>
    <row r="2157" customFormat="false" ht="15" hidden="false" customHeight="true" outlineLevel="0" collapsed="false">
      <c r="A2157" s="8"/>
      <c r="B2157" s="8"/>
      <c r="C2157" s="8"/>
      <c r="D2157" s="8"/>
      <c r="E2157" s="8"/>
      <c r="F2157" s="8"/>
      <c r="G2157" s="10" t="str">
        <f aca="false">IF($A2157="","",UPPER(SUBSTITUTE(SUBSTITUTE(SUBSTITUTE(SUBSTITUTE($A2157," ",""),"(주)",""),"주식회사",""),"㈜","")))</f>
        <v/>
      </c>
      <c r="H2157" s="10" t="str">
        <f aca="false">IF($B2157="","",SUBSTITUTE(SUBSTITUTE(SUBSTITUTE($B2157,"-","")," ",""),".",""))</f>
        <v/>
      </c>
      <c r="I2157" s="10" t="str">
        <f aca="false">IF($D2157="","",SUBSTITUTE(SUBSTITUTE(SUBSTITUTE($D2157,"-","")," ",""),".",""))</f>
        <v/>
      </c>
      <c r="J2157" s="10" t="str">
        <f aca="false">IF($E2157="","",UPPER(SUBSTITUTE($E2157," ","")))</f>
        <v/>
      </c>
      <c r="K2157" s="10" t="str">
        <f aca="false">IF($A2157="","",$G2157&amp;"|"&amp;$J2157)</f>
        <v/>
      </c>
      <c r="L2157" s="10" t="str">
        <f aca="false">IF($A2157="","",ROW()-2)</f>
        <v/>
      </c>
      <c r="M2157" s="10" t="str">
        <f aca="false">IF($A2157="","",ROW())</f>
        <v/>
      </c>
    </row>
    <row r="2158" customFormat="false" ht="15" hidden="false" customHeight="true" outlineLevel="0" collapsed="false">
      <c r="A2158" s="8"/>
      <c r="B2158" s="8"/>
      <c r="C2158" s="8"/>
      <c r="D2158" s="8"/>
      <c r="E2158" s="8"/>
      <c r="F2158" s="8"/>
      <c r="G2158" s="10" t="str">
        <f aca="false">IF($A2158="","",UPPER(SUBSTITUTE(SUBSTITUTE(SUBSTITUTE(SUBSTITUTE($A2158," ",""),"(주)",""),"주식회사",""),"㈜","")))</f>
        <v/>
      </c>
      <c r="H2158" s="10" t="str">
        <f aca="false">IF($B2158="","",SUBSTITUTE(SUBSTITUTE(SUBSTITUTE($B2158,"-","")," ",""),".",""))</f>
        <v/>
      </c>
      <c r="I2158" s="10" t="str">
        <f aca="false">IF($D2158="","",SUBSTITUTE(SUBSTITUTE(SUBSTITUTE($D2158,"-","")," ",""),".",""))</f>
        <v/>
      </c>
      <c r="J2158" s="10" t="str">
        <f aca="false">IF($E2158="","",UPPER(SUBSTITUTE($E2158," ","")))</f>
        <v/>
      </c>
      <c r="K2158" s="10" t="str">
        <f aca="false">IF($A2158="","",$G2158&amp;"|"&amp;$J2158)</f>
        <v/>
      </c>
      <c r="L2158" s="10" t="str">
        <f aca="false">IF($A2158="","",ROW()-2)</f>
        <v/>
      </c>
      <c r="M2158" s="10" t="str">
        <f aca="false">IF($A2158="","",ROW())</f>
        <v/>
      </c>
    </row>
    <row r="2159" customFormat="false" ht="15" hidden="false" customHeight="true" outlineLevel="0" collapsed="false">
      <c r="A2159" s="8"/>
      <c r="B2159" s="8"/>
      <c r="C2159" s="8"/>
      <c r="D2159" s="8"/>
      <c r="E2159" s="8"/>
      <c r="F2159" s="8"/>
      <c r="G2159" s="10" t="str">
        <f aca="false">IF($A2159="","",UPPER(SUBSTITUTE(SUBSTITUTE(SUBSTITUTE(SUBSTITUTE($A2159," ",""),"(주)",""),"주식회사",""),"㈜","")))</f>
        <v/>
      </c>
      <c r="H2159" s="10" t="str">
        <f aca="false">IF($B2159="","",SUBSTITUTE(SUBSTITUTE(SUBSTITUTE($B2159,"-","")," ",""),".",""))</f>
        <v/>
      </c>
      <c r="I2159" s="10" t="str">
        <f aca="false">IF($D2159="","",SUBSTITUTE(SUBSTITUTE(SUBSTITUTE($D2159,"-","")," ",""),".",""))</f>
        <v/>
      </c>
      <c r="J2159" s="10" t="str">
        <f aca="false">IF($E2159="","",UPPER(SUBSTITUTE($E2159," ","")))</f>
        <v/>
      </c>
      <c r="K2159" s="10" t="str">
        <f aca="false">IF($A2159="","",$G2159&amp;"|"&amp;$J2159)</f>
        <v/>
      </c>
      <c r="L2159" s="10" t="str">
        <f aca="false">IF($A2159="","",ROW()-2)</f>
        <v/>
      </c>
      <c r="M2159" s="10" t="str">
        <f aca="false">IF($A2159="","",ROW())</f>
        <v/>
      </c>
    </row>
    <row r="2160" customFormat="false" ht="15" hidden="false" customHeight="true" outlineLevel="0" collapsed="false">
      <c r="A2160" s="8"/>
      <c r="B2160" s="8"/>
      <c r="C2160" s="8"/>
      <c r="D2160" s="8"/>
      <c r="E2160" s="8"/>
      <c r="F2160" s="8"/>
      <c r="G2160" s="10" t="str">
        <f aca="false">IF($A2160="","",UPPER(SUBSTITUTE(SUBSTITUTE(SUBSTITUTE(SUBSTITUTE($A2160," ",""),"(주)",""),"주식회사",""),"㈜","")))</f>
        <v/>
      </c>
      <c r="H2160" s="10" t="str">
        <f aca="false">IF($B2160="","",SUBSTITUTE(SUBSTITUTE(SUBSTITUTE($B2160,"-","")," ",""),".",""))</f>
        <v/>
      </c>
      <c r="I2160" s="10" t="str">
        <f aca="false">IF($D2160="","",SUBSTITUTE(SUBSTITUTE(SUBSTITUTE($D2160,"-","")," ",""),".",""))</f>
        <v/>
      </c>
      <c r="J2160" s="10" t="str">
        <f aca="false">IF($E2160="","",UPPER(SUBSTITUTE($E2160," ","")))</f>
        <v/>
      </c>
      <c r="K2160" s="10" t="str">
        <f aca="false">IF($A2160="","",$G2160&amp;"|"&amp;$J2160)</f>
        <v/>
      </c>
      <c r="L2160" s="10" t="str">
        <f aca="false">IF($A2160="","",ROW()-2)</f>
        <v/>
      </c>
      <c r="M2160" s="10" t="str">
        <f aca="false">IF($A2160="","",ROW())</f>
        <v/>
      </c>
    </row>
    <row r="2161" customFormat="false" ht="15" hidden="false" customHeight="true" outlineLevel="0" collapsed="false">
      <c r="A2161" s="8"/>
      <c r="B2161" s="8"/>
      <c r="C2161" s="8"/>
      <c r="D2161" s="8"/>
      <c r="E2161" s="8"/>
      <c r="F2161" s="8"/>
      <c r="G2161" s="10" t="str">
        <f aca="false">IF($A2161="","",UPPER(SUBSTITUTE(SUBSTITUTE(SUBSTITUTE(SUBSTITUTE($A2161," ",""),"(주)",""),"주식회사",""),"㈜","")))</f>
        <v/>
      </c>
      <c r="H2161" s="10" t="str">
        <f aca="false">IF($B2161="","",SUBSTITUTE(SUBSTITUTE(SUBSTITUTE($B2161,"-","")," ",""),".",""))</f>
        <v/>
      </c>
      <c r="I2161" s="10" t="str">
        <f aca="false">IF($D2161="","",SUBSTITUTE(SUBSTITUTE(SUBSTITUTE($D2161,"-","")," ",""),".",""))</f>
        <v/>
      </c>
      <c r="J2161" s="10" t="str">
        <f aca="false">IF($E2161="","",UPPER(SUBSTITUTE($E2161," ","")))</f>
        <v/>
      </c>
      <c r="K2161" s="10" t="str">
        <f aca="false">IF($A2161="","",$G2161&amp;"|"&amp;$J2161)</f>
        <v/>
      </c>
      <c r="L2161" s="10" t="str">
        <f aca="false">IF($A2161="","",ROW()-2)</f>
        <v/>
      </c>
      <c r="M2161" s="10" t="str">
        <f aca="false">IF($A2161="","",ROW())</f>
        <v/>
      </c>
    </row>
    <row r="2162" customFormat="false" ht="15" hidden="false" customHeight="true" outlineLevel="0" collapsed="false">
      <c r="A2162" s="8"/>
      <c r="B2162" s="8"/>
      <c r="C2162" s="8"/>
      <c r="D2162" s="8"/>
      <c r="E2162" s="8"/>
      <c r="F2162" s="8"/>
      <c r="G2162" s="10" t="str">
        <f aca="false">IF($A2162="","",UPPER(SUBSTITUTE(SUBSTITUTE(SUBSTITUTE(SUBSTITUTE($A2162," ",""),"(주)",""),"주식회사",""),"㈜","")))</f>
        <v/>
      </c>
      <c r="H2162" s="10" t="str">
        <f aca="false">IF($B2162="","",SUBSTITUTE(SUBSTITUTE(SUBSTITUTE($B2162,"-","")," ",""),".",""))</f>
        <v/>
      </c>
      <c r="I2162" s="10" t="str">
        <f aca="false">IF($D2162="","",SUBSTITUTE(SUBSTITUTE(SUBSTITUTE($D2162,"-","")," ",""),".",""))</f>
        <v/>
      </c>
      <c r="J2162" s="10" t="str">
        <f aca="false">IF($E2162="","",UPPER(SUBSTITUTE($E2162," ","")))</f>
        <v/>
      </c>
      <c r="K2162" s="10" t="str">
        <f aca="false">IF($A2162="","",$G2162&amp;"|"&amp;$J2162)</f>
        <v/>
      </c>
      <c r="L2162" s="10" t="str">
        <f aca="false">IF($A2162="","",ROW()-2)</f>
        <v/>
      </c>
      <c r="M2162" s="10" t="str">
        <f aca="false">IF($A2162="","",ROW())</f>
        <v/>
      </c>
    </row>
    <row r="2163" customFormat="false" ht="15" hidden="false" customHeight="true" outlineLevel="0" collapsed="false">
      <c r="A2163" s="8"/>
      <c r="B2163" s="8"/>
      <c r="C2163" s="8"/>
      <c r="D2163" s="8"/>
      <c r="E2163" s="8"/>
      <c r="F2163" s="8"/>
      <c r="G2163" s="10" t="str">
        <f aca="false">IF($A2163="","",UPPER(SUBSTITUTE(SUBSTITUTE(SUBSTITUTE(SUBSTITUTE($A2163," ",""),"(주)",""),"주식회사",""),"㈜","")))</f>
        <v/>
      </c>
      <c r="H2163" s="10" t="str">
        <f aca="false">IF($B2163="","",SUBSTITUTE(SUBSTITUTE(SUBSTITUTE($B2163,"-","")," ",""),".",""))</f>
        <v/>
      </c>
      <c r="I2163" s="10" t="str">
        <f aca="false">IF($D2163="","",SUBSTITUTE(SUBSTITUTE(SUBSTITUTE($D2163,"-","")," ",""),".",""))</f>
        <v/>
      </c>
      <c r="J2163" s="10" t="str">
        <f aca="false">IF($E2163="","",UPPER(SUBSTITUTE($E2163," ","")))</f>
        <v/>
      </c>
      <c r="K2163" s="10" t="str">
        <f aca="false">IF($A2163="","",$G2163&amp;"|"&amp;$J2163)</f>
        <v/>
      </c>
      <c r="L2163" s="10" t="str">
        <f aca="false">IF($A2163="","",ROW()-2)</f>
        <v/>
      </c>
      <c r="M2163" s="10" t="str">
        <f aca="false">IF($A2163="","",ROW())</f>
        <v/>
      </c>
    </row>
    <row r="2164" customFormat="false" ht="15" hidden="false" customHeight="true" outlineLevel="0" collapsed="false">
      <c r="A2164" s="8"/>
      <c r="B2164" s="8"/>
      <c r="C2164" s="8"/>
      <c r="D2164" s="8"/>
      <c r="E2164" s="8"/>
      <c r="F2164" s="8"/>
      <c r="G2164" s="10" t="str">
        <f aca="false">IF($A2164="","",UPPER(SUBSTITUTE(SUBSTITUTE(SUBSTITUTE(SUBSTITUTE($A2164," ",""),"(주)",""),"주식회사",""),"㈜","")))</f>
        <v/>
      </c>
      <c r="H2164" s="10" t="str">
        <f aca="false">IF($B2164="","",SUBSTITUTE(SUBSTITUTE(SUBSTITUTE($B2164,"-","")," ",""),".",""))</f>
        <v/>
      </c>
      <c r="I2164" s="10" t="str">
        <f aca="false">IF($D2164="","",SUBSTITUTE(SUBSTITUTE(SUBSTITUTE($D2164,"-","")," ",""),".",""))</f>
        <v/>
      </c>
      <c r="J2164" s="10" t="str">
        <f aca="false">IF($E2164="","",UPPER(SUBSTITUTE($E2164," ","")))</f>
        <v/>
      </c>
      <c r="K2164" s="10" t="str">
        <f aca="false">IF($A2164="","",$G2164&amp;"|"&amp;$J2164)</f>
        <v/>
      </c>
      <c r="L2164" s="10" t="str">
        <f aca="false">IF($A2164="","",ROW()-2)</f>
        <v/>
      </c>
      <c r="M2164" s="10" t="str">
        <f aca="false">IF($A2164="","",ROW())</f>
        <v/>
      </c>
    </row>
    <row r="2165" customFormat="false" ht="15" hidden="false" customHeight="true" outlineLevel="0" collapsed="false">
      <c r="A2165" s="8"/>
      <c r="B2165" s="8"/>
      <c r="C2165" s="8"/>
      <c r="D2165" s="8"/>
      <c r="E2165" s="8"/>
      <c r="F2165" s="8"/>
      <c r="G2165" s="10" t="str">
        <f aca="false">IF($A2165="","",UPPER(SUBSTITUTE(SUBSTITUTE(SUBSTITUTE(SUBSTITUTE($A2165," ",""),"(주)",""),"주식회사",""),"㈜","")))</f>
        <v/>
      </c>
      <c r="H2165" s="10" t="str">
        <f aca="false">IF($B2165="","",SUBSTITUTE(SUBSTITUTE(SUBSTITUTE($B2165,"-","")," ",""),".",""))</f>
        <v/>
      </c>
      <c r="I2165" s="10" t="str">
        <f aca="false">IF($D2165="","",SUBSTITUTE(SUBSTITUTE(SUBSTITUTE($D2165,"-","")," ",""),".",""))</f>
        <v/>
      </c>
      <c r="J2165" s="10" t="str">
        <f aca="false">IF($E2165="","",UPPER(SUBSTITUTE($E2165," ","")))</f>
        <v/>
      </c>
      <c r="K2165" s="10" t="str">
        <f aca="false">IF($A2165="","",$G2165&amp;"|"&amp;$J2165)</f>
        <v/>
      </c>
      <c r="L2165" s="10" t="str">
        <f aca="false">IF($A2165="","",ROW()-2)</f>
        <v/>
      </c>
      <c r="M2165" s="10" t="str">
        <f aca="false">IF($A2165="","",ROW())</f>
        <v/>
      </c>
    </row>
    <row r="2166" customFormat="false" ht="15" hidden="false" customHeight="true" outlineLevel="0" collapsed="false">
      <c r="A2166" s="8"/>
      <c r="B2166" s="8"/>
      <c r="C2166" s="8"/>
      <c r="D2166" s="8"/>
      <c r="E2166" s="8"/>
      <c r="F2166" s="8"/>
      <c r="G2166" s="10" t="str">
        <f aca="false">IF($A2166="","",UPPER(SUBSTITUTE(SUBSTITUTE(SUBSTITUTE(SUBSTITUTE($A2166," ",""),"(주)",""),"주식회사",""),"㈜","")))</f>
        <v/>
      </c>
      <c r="H2166" s="10" t="str">
        <f aca="false">IF($B2166="","",SUBSTITUTE(SUBSTITUTE(SUBSTITUTE($B2166,"-","")," ",""),".",""))</f>
        <v/>
      </c>
      <c r="I2166" s="10" t="str">
        <f aca="false">IF($D2166="","",SUBSTITUTE(SUBSTITUTE(SUBSTITUTE($D2166,"-","")," ",""),".",""))</f>
        <v/>
      </c>
      <c r="J2166" s="10" t="str">
        <f aca="false">IF($E2166="","",UPPER(SUBSTITUTE($E2166," ","")))</f>
        <v/>
      </c>
      <c r="K2166" s="10" t="str">
        <f aca="false">IF($A2166="","",$G2166&amp;"|"&amp;$J2166)</f>
        <v/>
      </c>
      <c r="L2166" s="10" t="str">
        <f aca="false">IF($A2166="","",ROW()-2)</f>
        <v/>
      </c>
      <c r="M2166" s="10" t="str">
        <f aca="false">IF($A2166="","",ROW())</f>
        <v/>
      </c>
    </row>
    <row r="2167" customFormat="false" ht="15" hidden="false" customHeight="true" outlineLevel="0" collapsed="false">
      <c r="A2167" s="8"/>
      <c r="B2167" s="8"/>
      <c r="C2167" s="8"/>
      <c r="D2167" s="8"/>
      <c r="E2167" s="8"/>
      <c r="F2167" s="8"/>
      <c r="G2167" s="10" t="str">
        <f aca="false">IF($A2167="","",UPPER(SUBSTITUTE(SUBSTITUTE(SUBSTITUTE(SUBSTITUTE($A2167," ",""),"(주)",""),"주식회사",""),"㈜","")))</f>
        <v/>
      </c>
      <c r="H2167" s="10" t="str">
        <f aca="false">IF($B2167="","",SUBSTITUTE(SUBSTITUTE(SUBSTITUTE($B2167,"-","")," ",""),".",""))</f>
        <v/>
      </c>
      <c r="I2167" s="10" t="str">
        <f aca="false">IF($D2167="","",SUBSTITUTE(SUBSTITUTE(SUBSTITUTE($D2167,"-","")," ",""),".",""))</f>
        <v/>
      </c>
      <c r="J2167" s="10" t="str">
        <f aca="false">IF($E2167="","",UPPER(SUBSTITUTE($E2167," ","")))</f>
        <v/>
      </c>
      <c r="K2167" s="10" t="str">
        <f aca="false">IF($A2167="","",$G2167&amp;"|"&amp;$J2167)</f>
        <v/>
      </c>
      <c r="L2167" s="10" t="str">
        <f aca="false">IF($A2167="","",ROW()-2)</f>
        <v/>
      </c>
      <c r="M2167" s="10" t="str">
        <f aca="false">IF($A2167="","",ROW())</f>
        <v/>
      </c>
    </row>
    <row r="2168" customFormat="false" ht="15" hidden="false" customHeight="true" outlineLevel="0" collapsed="false">
      <c r="A2168" s="8"/>
      <c r="B2168" s="8"/>
      <c r="C2168" s="8"/>
      <c r="D2168" s="8"/>
      <c r="E2168" s="8"/>
      <c r="F2168" s="8"/>
      <c r="G2168" s="10" t="str">
        <f aca="false">IF($A2168="","",UPPER(SUBSTITUTE(SUBSTITUTE(SUBSTITUTE(SUBSTITUTE($A2168," ",""),"(주)",""),"주식회사",""),"㈜","")))</f>
        <v/>
      </c>
      <c r="H2168" s="10" t="str">
        <f aca="false">IF($B2168="","",SUBSTITUTE(SUBSTITUTE(SUBSTITUTE($B2168,"-","")," ",""),".",""))</f>
        <v/>
      </c>
      <c r="I2168" s="10" t="str">
        <f aca="false">IF($D2168="","",SUBSTITUTE(SUBSTITUTE(SUBSTITUTE($D2168,"-","")," ",""),".",""))</f>
        <v/>
      </c>
      <c r="J2168" s="10" t="str">
        <f aca="false">IF($E2168="","",UPPER(SUBSTITUTE($E2168," ","")))</f>
        <v/>
      </c>
      <c r="K2168" s="10" t="str">
        <f aca="false">IF($A2168="","",$G2168&amp;"|"&amp;$J2168)</f>
        <v/>
      </c>
      <c r="L2168" s="10" t="str">
        <f aca="false">IF($A2168="","",ROW()-2)</f>
        <v/>
      </c>
      <c r="M2168" s="10" t="str">
        <f aca="false">IF($A2168="","",ROW())</f>
        <v/>
      </c>
    </row>
    <row r="2169" customFormat="false" ht="15" hidden="false" customHeight="true" outlineLevel="0" collapsed="false">
      <c r="A2169" s="8"/>
      <c r="B2169" s="8"/>
      <c r="C2169" s="8"/>
      <c r="D2169" s="8"/>
      <c r="E2169" s="8"/>
      <c r="F2169" s="8"/>
      <c r="G2169" s="10" t="str">
        <f aca="false">IF($A2169="","",UPPER(SUBSTITUTE(SUBSTITUTE(SUBSTITUTE(SUBSTITUTE($A2169," ",""),"(주)",""),"주식회사",""),"㈜","")))</f>
        <v/>
      </c>
      <c r="H2169" s="10" t="str">
        <f aca="false">IF($B2169="","",SUBSTITUTE(SUBSTITUTE(SUBSTITUTE($B2169,"-","")," ",""),".",""))</f>
        <v/>
      </c>
      <c r="I2169" s="10" t="str">
        <f aca="false">IF($D2169="","",SUBSTITUTE(SUBSTITUTE(SUBSTITUTE($D2169,"-","")," ",""),".",""))</f>
        <v/>
      </c>
      <c r="J2169" s="10" t="str">
        <f aca="false">IF($E2169="","",UPPER(SUBSTITUTE($E2169," ","")))</f>
        <v/>
      </c>
      <c r="K2169" s="10" t="str">
        <f aca="false">IF($A2169="","",$G2169&amp;"|"&amp;$J2169)</f>
        <v/>
      </c>
      <c r="L2169" s="10" t="str">
        <f aca="false">IF($A2169="","",ROW()-2)</f>
        <v/>
      </c>
      <c r="M2169" s="10" t="str">
        <f aca="false">IF($A2169="","",ROW())</f>
        <v/>
      </c>
    </row>
    <row r="2170" customFormat="false" ht="15" hidden="false" customHeight="true" outlineLevel="0" collapsed="false">
      <c r="A2170" s="8"/>
      <c r="B2170" s="8"/>
      <c r="C2170" s="8"/>
      <c r="D2170" s="8"/>
      <c r="E2170" s="8"/>
      <c r="F2170" s="8"/>
      <c r="G2170" s="10" t="str">
        <f aca="false">IF($A2170="","",UPPER(SUBSTITUTE(SUBSTITUTE(SUBSTITUTE(SUBSTITUTE($A2170," ",""),"(주)",""),"주식회사",""),"㈜","")))</f>
        <v/>
      </c>
      <c r="H2170" s="10" t="str">
        <f aca="false">IF($B2170="","",SUBSTITUTE(SUBSTITUTE(SUBSTITUTE($B2170,"-","")," ",""),".",""))</f>
        <v/>
      </c>
      <c r="I2170" s="10" t="str">
        <f aca="false">IF($D2170="","",SUBSTITUTE(SUBSTITUTE(SUBSTITUTE($D2170,"-","")," ",""),".",""))</f>
        <v/>
      </c>
      <c r="J2170" s="10" t="str">
        <f aca="false">IF($E2170="","",UPPER(SUBSTITUTE($E2170," ","")))</f>
        <v/>
      </c>
      <c r="K2170" s="10" t="str">
        <f aca="false">IF($A2170="","",$G2170&amp;"|"&amp;$J2170)</f>
        <v/>
      </c>
      <c r="L2170" s="10" t="str">
        <f aca="false">IF($A2170="","",ROW()-2)</f>
        <v/>
      </c>
      <c r="M2170" s="10" t="str">
        <f aca="false">IF($A2170="","",ROW())</f>
        <v/>
      </c>
    </row>
    <row r="2171" customFormat="false" ht="15" hidden="false" customHeight="true" outlineLevel="0" collapsed="false">
      <c r="A2171" s="8"/>
      <c r="B2171" s="8"/>
      <c r="C2171" s="8"/>
      <c r="D2171" s="8"/>
      <c r="E2171" s="8"/>
      <c r="F2171" s="8"/>
      <c r="G2171" s="10" t="str">
        <f aca="false">IF($A2171="","",UPPER(SUBSTITUTE(SUBSTITUTE(SUBSTITUTE(SUBSTITUTE($A2171," ",""),"(주)",""),"주식회사",""),"㈜","")))</f>
        <v/>
      </c>
      <c r="H2171" s="10" t="str">
        <f aca="false">IF($B2171="","",SUBSTITUTE(SUBSTITUTE(SUBSTITUTE($B2171,"-","")," ",""),".",""))</f>
        <v/>
      </c>
      <c r="I2171" s="10" t="str">
        <f aca="false">IF($D2171="","",SUBSTITUTE(SUBSTITUTE(SUBSTITUTE($D2171,"-","")," ",""),".",""))</f>
        <v/>
      </c>
      <c r="J2171" s="10" t="str">
        <f aca="false">IF($E2171="","",UPPER(SUBSTITUTE($E2171," ","")))</f>
        <v/>
      </c>
      <c r="K2171" s="10" t="str">
        <f aca="false">IF($A2171="","",$G2171&amp;"|"&amp;$J2171)</f>
        <v/>
      </c>
      <c r="L2171" s="10" t="str">
        <f aca="false">IF($A2171="","",ROW()-2)</f>
        <v/>
      </c>
      <c r="M2171" s="10" t="str">
        <f aca="false">IF($A2171="","",ROW())</f>
        <v/>
      </c>
    </row>
    <row r="2172" customFormat="false" ht="15" hidden="false" customHeight="true" outlineLevel="0" collapsed="false">
      <c r="A2172" s="8"/>
      <c r="B2172" s="8"/>
      <c r="C2172" s="8"/>
      <c r="D2172" s="8"/>
      <c r="E2172" s="8"/>
      <c r="F2172" s="8"/>
      <c r="G2172" s="10" t="str">
        <f aca="false">IF($A2172="","",UPPER(SUBSTITUTE(SUBSTITUTE(SUBSTITUTE(SUBSTITUTE($A2172," ",""),"(주)",""),"주식회사",""),"㈜","")))</f>
        <v/>
      </c>
      <c r="H2172" s="10" t="str">
        <f aca="false">IF($B2172="","",SUBSTITUTE(SUBSTITUTE(SUBSTITUTE($B2172,"-","")," ",""),".",""))</f>
        <v/>
      </c>
      <c r="I2172" s="10" t="str">
        <f aca="false">IF($D2172="","",SUBSTITUTE(SUBSTITUTE(SUBSTITUTE($D2172,"-","")," ",""),".",""))</f>
        <v/>
      </c>
      <c r="J2172" s="10" t="str">
        <f aca="false">IF($E2172="","",UPPER(SUBSTITUTE($E2172," ","")))</f>
        <v/>
      </c>
      <c r="K2172" s="10" t="str">
        <f aca="false">IF($A2172="","",$G2172&amp;"|"&amp;$J2172)</f>
        <v/>
      </c>
      <c r="L2172" s="10" t="str">
        <f aca="false">IF($A2172="","",ROW()-2)</f>
        <v/>
      </c>
      <c r="M2172" s="10" t="str">
        <f aca="false">IF($A2172="","",ROW())</f>
        <v/>
      </c>
    </row>
    <row r="2173" customFormat="false" ht="15" hidden="false" customHeight="true" outlineLevel="0" collapsed="false">
      <c r="A2173" s="8"/>
      <c r="B2173" s="8"/>
      <c r="C2173" s="8"/>
      <c r="D2173" s="8"/>
      <c r="E2173" s="8"/>
      <c r="F2173" s="8"/>
      <c r="G2173" s="10" t="str">
        <f aca="false">IF($A2173="","",UPPER(SUBSTITUTE(SUBSTITUTE(SUBSTITUTE(SUBSTITUTE($A2173," ",""),"(주)",""),"주식회사",""),"㈜","")))</f>
        <v/>
      </c>
      <c r="H2173" s="10" t="str">
        <f aca="false">IF($B2173="","",SUBSTITUTE(SUBSTITUTE(SUBSTITUTE($B2173,"-","")," ",""),".",""))</f>
        <v/>
      </c>
      <c r="I2173" s="10" t="str">
        <f aca="false">IF($D2173="","",SUBSTITUTE(SUBSTITUTE(SUBSTITUTE($D2173,"-","")," ",""),".",""))</f>
        <v/>
      </c>
      <c r="J2173" s="10" t="str">
        <f aca="false">IF($E2173="","",UPPER(SUBSTITUTE($E2173," ","")))</f>
        <v/>
      </c>
      <c r="K2173" s="10" t="str">
        <f aca="false">IF($A2173="","",$G2173&amp;"|"&amp;$J2173)</f>
        <v/>
      </c>
      <c r="L2173" s="10" t="str">
        <f aca="false">IF($A2173="","",ROW()-2)</f>
        <v/>
      </c>
      <c r="M2173" s="10" t="str">
        <f aca="false">IF($A2173="","",ROW())</f>
        <v/>
      </c>
    </row>
    <row r="2174" customFormat="false" ht="15" hidden="false" customHeight="true" outlineLevel="0" collapsed="false">
      <c r="A2174" s="8"/>
      <c r="B2174" s="8"/>
      <c r="C2174" s="8"/>
      <c r="D2174" s="8"/>
      <c r="E2174" s="8"/>
      <c r="F2174" s="8"/>
      <c r="G2174" s="10" t="str">
        <f aca="false">IF($A2174="","",UPPER(SUBSTITUTE(SUBSTITUTE(SUBSTITUTE(SUBSTITUTE($A2174," ",""),"(주)",""),"주식회사",""),"㈜","")))</f>
        <v/>
      </c>
      <c r="H2174" s="10" t="str">
        <f aca="false">IF($B2174="","",SUBSTITUTE(SUBSTITUTE(SUBSTITUTE($B2174,"-","")," ",""),".",""))</f>
        <v/>
      </c>
      <c r="I2174" s="10" t="str">
        <f aca="false">IF($D2174="","",SUBSTITUTE(SUBSTITUTE(SUBSTITUTE($D2174,"-","")," ",""),".",""))</f>
        <v/>
      </c>
      <c r="J2174" s="10" t="str">
        <f aca="false">IF($E2174="","",UPPER(SUBSTITUTE($E2174," ","")))</f>
        <v/>
      </c>
      <c r="K2174" s="10" t="str">
        <f aca="false">IF($A2174="","",$G2174&amp;"|"&amp;$J2174)</f>
        <v/>
      </c>
      <c r="L2174" s="10" t="str">
        <f aca="false">IF($A2174="","",ROW()-2)</f>
        <v/>
      </c>
      <c r="M2174" s="10" t="str">
        <f aca="false">IF($A2174="","",ROW())</f>
        <v/>
      </c>
    </row>
    <row r="2175" customFormat="false" ht="15" hidden="false" customHeight="true" outlineLevel="0" collapsed="false">
      <c r="A2175" s="8"/>
      <c r="B2175" s="8"/>
      <c r="C2175" s="8"/>
      <c r="D2175" s="8"/>
      <c r="E2175" s="8"/>
      <c r="F2175" s="8"/>
      <c r="G2175" s="10" t="str">
        <f aca="false">IF($A2175="","",UPPER(SUBSTITUTE(SUBSTITUTE(SUBSTITUTE(SUBSTITUTE($A2175," ",""),"(주)",""),"주식회사",""),"㈜","")))</f>
        <v/>
      </c>
      <c r="H2175" s="10" t="str">
        <f aca="false">IF($B2175="","",SUBSTITUTE(SUBSTITUTE(SUBSTITUTE($B2175,"-","")," ",""),".",""))</f>
        <v/>
      </c>
      <c r="I2175" s="10" t="str">
        <f aca="false">IF($D2175="","",SUBSTITUTE(SUBSTITUTE(SUBSTITUTE($D2175,"-","")," ",""),".",""))</f>
        <v/>
      </c>
      <c r="J2175" s="10" t="str">
        <f aca="false">IF($E2175="","",UPPER(SUBSTITUTE($E2175," ","")))</f>
        <v/>
      </c>
      <c r="K2175" s="10" t="str">
        <f aca="false">IF($A2175="","",$G2175&amp;"|"&amp;$J2175)</f>
        <v/>
      </c>
      <c r="L2175" s="10" t="str">
        <f aca="false">IF($A2175="","",ROW()-2)</f>
        <v/>
      </c>
      <c r="M2175" s="10" t="str">
        <f aca="false">IF($A2175="","",ROW())</f>
        <v/>
      </c>
    </row>
    <row r="2176" customFormat="false" ht="15" hidden="false" customHeight="true" outlineLevel="0" collapsed="false">
      <c r="A2176" s="8"/>
      <c r="B2176" s="8"/>
      <c r="C2176" s="8"/>
      <c r="D2176" s="8"/>
      <c r="E2176" s="8"/>
      <c r="F2176" s="8"/>
      <c r="G2176" s="10" t="str">
        <f aca="false">IF($A2176="","",UPPER(SUBSTITUTE(SUBSTITUTE(SUBSTITUTE(SUBSTITUTE($A2176," ",""),"(주)",""),"주식회사",""),"㈜","")))</f>
        <v/>
      </c>
      <c r="H2176" s="10" t="str">
        <f aca="false">IF($B2176="","",SUBSTITUTE(SUBSTITUTE(SUBSTITUTE($B2176,"-","")," ",""),".",""))</f>
        <v/>
      </c>
      <c r="I2176" s="10" t="str">
        <f aca="false">IF($D2176="","",SUBSTITUTE(SUBSTITUTE(SUBSTITUTE($D2176,"-","")," ",""),".",""))</f>
        <v/>
      </c>
      <c r="J2176" s="10" t="str">
        <f aca="false">IF($E2176="","",UPPER(SUBSTITUTE($E2176," ","")))</f>
        <v/>
      </c>
      <c r="K2176" s="10" t="str">
        <f aca="false">IF($A2176="","",$G2176&amp;"|"&amp;$J2176)</f>
        <v/>
      </c>
      <c r="L2176" s="10" t="str">
        <f aca="false">IF($A2176="","",ROW()-2)</f>
        <v/>
      </c>
      <c r="M2176" s="10" t="str">
        <f aca="false">IF($A2176="","",ROW())</f>
        <v/>
      </c>
    </row>
    <row r="2177" customFormat="false" ht="15" hidden="false" customHeight="true" outlineLevel="0" collapsed="false">
      <c r="A2177" s="8"/>
      <c r="B2177" s="8"/>
      <c r="C2177" s="8"/>
      <c r="D2177" s="8"/>
      <c r="E2177" s="8"/>
      <c r="F2177" s="8"/>
      <c r="G2177" s="10" t="str">
        <f aca="false">IF($A2177="","",UPPER(SUBSTITUTE(SUBSTITUTE(SUBSTITUTE(SUBSTITUTE($A2177," ",""),"(주)",""),"주식회사",""),"㈜","")))</f>
        <v/>
      </c>
      <c r="H2177" s="10" t="str">
        <f aca="false">IF($B2177="","",SUBSTITUTE(SUBSTITUTE(SUBSTITUTE($B2177,"-","")," ",""),".",""))</f>
        <v/>
      </c>
      <c r="I2177" s="10" t="str">
        <f aca="false">IF($D2177="","",SUBSTITUTE(SUBSTITUTE(SUBSTITUTE($D2177,"-","")," ",""),".",""))</f>
        <v/>
      </c>
      <c r="J2177" s="10" t="str">
        <f aca="false">IF($E2177="","",UPPER(SUBSTITUTE($E2177," ","")))</f>
        <v/>
      </c>
      <c r="K2177" s="10" t="str">
        <f aca="false">IF($A2177="","",$G2177&amp;"|"&amp;$J2177)</f>
        <v/>
      </c>
      <c r="L2177" s="10" t="str">
        <f aca="false">IF($A2177="","",ROW()-2)</f>
        <v/>
      </c>
      <c r="M2177" s="10" t="str">
        <f aca="false">IF($A2177="","",ROW())</f>
        <v/>
      </c>
    </row>
    <row r="2178" customFormat="false" ht="15" hidden="false" customHeight="true" outlineLevel="0" collapsed="false">
      <c r="A2178" s="8"/>
      <c r="B2178" s="8"/>
      <c r="C2178" s="8"/>
      <c r="D2178" s="8"/>
      <c r="E2178" s="8"/>
      <c r="F2178" s="8"/>
      <c r="G2178" s="10" t="str">
        <f aca="false">IF($A2178="","",UPPER(SUBSTITUTE(SUBSTITUTE(SUBSTITUTE(SUBSTITUTE($A2178," ",""),"(주)",""),"주식회사",""),"㈜","")))</f>
        <v/>
      </c>
      <c r="H2178" s="10" t="str">
        <f aca="false">IF($B2178="","",SUBSTITUTE(SUBSTITUTE(SUBSTITUTE($B2178,"-","")," ",""),".",""))</f>
        <v/>
      </c>
      <c r="I2178" s="10" t="str">
        <f aca="false">IF($D2178="","",SUBSTITUTE(SUBSTITUTE(SUBSTITUTE($D2178,"-","")," ",""),".",""))</f>
        <v/>
      </c>
      <c r="J2178" s="10" t="str">
        <f aca="false">IF($E2178="","",UPPER(SUBSTITUTE($E2178," ","")))</f>
        <v/>
      </c>
      <c r="K2178" s="10" t="str">
        <f aca="false">IF($A2178="","",$G2178&amp;"|"&amp;$J2178)</f>
        <v/>
      </c>
      <c r="L2178" s="10" t="str">
        <f aca="false">IF($A2178="","",ROW()-2)</f>
        <v/>
      </c>
      <c r="M2178" s="10" t="str">
        <f aca="false">IF($A2178="","",ROW())</f>
        <v/>
      </c>
    </row>
    <row r="2179" customFormat="false" ht="15" hidden="false" customHeight="true" outlineLevel="0" collapsed="false">
      <c r="A2179" s="8"/>
      <c r="B2179" s="8"/>
      <c r="C2179" s="8"/>
      <c r="D2179" s="8"/>
      <c r="E2179" s="8"/>
      <c r="F2179" s="8"/>
      <c r="G2179" s="10" t="str">
        <f aca="false">IF($A2179="","",UPPER(SUBSTITUTE(SUBSTITUTE(SUBSTITUTE(SUBSTITUTE($A2179," ",""),"(주)",""),"주식회사",""),"㈜","")))</f>
        <v/>
      </c>
      <c r="H2179" s="10" t="str">
        <f aca="false">IF($B2179="","",SUBSTITUTE(SUBSTITUTE(SUBSTITUTE($B2179,"-","")," ",""),".",""))</f>
        <v/>
      </c>
      <c r="I2179" s="10" t="str">
        <f aca="false">IF($D2179="","",SUBSTITUTE(SUBSTITUTE(SUBSTITUTE($D2179,"-","")," ",""),".",""))</f>
        <v/>
      </c>
      <c r="J2179" s="10" t="str">
        <f aca="false">IF($E2179="","",UPPER(SUBSTITUTE($E2179," ","")))</f>
        <v/>
      </c>
      <c r="K2179" s="10" t="str">
        <f aca="false">IF($A2179="","",$G2179&amp;"|"&amp;$J2179)</f>
        <v/>
      </c>
      <c r="L2179" s="10" t="str">
        <f aca="false">IF($A2179="","",ROW()-2)</f>
        <v/>
      </c>
      <c r="M2179" s="10" t="str">
        <f aca="false">IF($A2179="","",ROW())</f>
        <v/>
      </c>
    </row>
    <row r="2180" customFormat="false" ht="15" hidden="false" customHeight="true" outlineLevel="0" collapsed="false">
      <c r="A2180" s="8"/>
      <c r="B2180" s="8"/>
      <c r="C2180" s="8"/>
      <c r="D2180" s="8"/>
      <c r="E2180" s="8"/>
      <c r="F2180" s="8"/>
      <c r="G2180" s="10" t="str">
        <f aca="false">IF($A2180="","",UPPER(SUBSTITUTE(SUBSTITUTE(SUBSTITUTE(SUBSTITUTE($A2180," ",""),"(주)",""),"주식회사",""),"㈜","")))</f>
        <v/>
      </c>
      <c r="H2180" s="10" t="str">
        <f aca="false">IF($B2180="","",SUBSTITUTE(SUBSTITUTE(SUBSTITUTE($B2180,"-","")," ",""),".",""))</f>
        <v/>
      </c>
      <c r="I2180" s="10" t="str">
        <f aca="false">IF($D2180="","",SUBSTITUTE(SUBSTITUTE(SUBSTITUTE($D2180,"-","")," ",""),".",""))</f>
        <v/>
      </c>
      <c r="J2180" s="10" t="str">
        <f aca="false">IF($E2180="","",UPPER(SUBSTITUTE($E2180," ","")))</f>
        <v/>
      </c>
      <c r="K2180" s="10" t="str">
        <f aca="false">IF($A2180="","",$G2180&amp;"|"&amp;$J2180)</f>
        <v/>
      </c>
      <c r="L2180" s="10" t="str">
        <f aca="false">IF($A2180="","",ROW()-2)</f>
        <v/>
      </c>
      <c r="M2180" s="10" t="str">
        <f aca="false">IF($A2180="","",ROW())</f>
        <v/>
      </c>
    </row>
    <row r="2181" customFormat="false" ht="15" hidden="false" customHeight="true" outlineLevel="0" collapsed="false">
      <c r="A2181" s="8"/>
      <c r="B2181" s="8"/>
      <c r="C2181" s="8"/>
      <c r="D2181" s="8"/>
      <c r="E2181" s="8"/>
      <c r="F2181" s="8"/>
      <c r="G2181" s="10" t="str">
        <f aca="false">IF($A2181="","",UPPER(SUBSTITUTE(SUBSTITUTE(SUBSTITUTE(SUBSTITUTE($A2181," ",""),"(주)",""),"주식회사",""),"㈜","")))</f>
        <v/>
      </c>
      <c r="H2181" s="10" t="str">
        <f aca="false">IF($B2181="","",SUBSTITUTE(SUBSTITUTE(SUBSTITUTE($B2181,"-","")," ",""),".",""))</f>
        <v/>
      </c>
      <c r="I2181" s="10" t="str">
        <f aca="false">IF($D2181="","",SUBSTITUTE(SUBSTITUTE(SUBSTITUTE($D2181,"-","")," ",""),".",""))</f>
        <v/>
      </c>
      <c r="J2181" s="10" t="str">
        <f aca="false">IF($E2181="","",UPPER(SUBSTITUTE($E2181," ","")))</f>
        <v/>
      </c>
      <c r="K2181" s="10" t="str">
        <f aca="false">IF($A2181="","",$G2181&amp;"|"&amp;$J2181)</f>
        <v/>
      </c>
      <c r="L2181" s="10" t="str">
        <f aca="false">IF($A2181="","",ROW()-2)</f>
        <v/>
      </c>
      <c r="M2181" s="10" t="str">
        <f aca="false">IF($A2181="","",ROW())</f>
        <v/>
      </c>
    </row>
    <row r="2182" customFormat="false" ht="15" hidden="false" customHeight="true" outlineLevel="0" collapsed="false">
      <c r="A2182" s="8"/>
      <c r="B2182" s="8"/>
      <c r="C2182" s="8"/>
      <c r="D2182" s="8"/>
      <c r="E2182" s="8"/>
      <c r="F2182" s="8"/>
      <c r="G2182" s="10" t="str">
        <f aca="false">IF($A2182="","",UPPER(SUBSTITUTE(SUBSTITUTE(SUBSTITUTE(SUBSTITUTE($A2182," ",""),"(주)",""),"주식회사",""),"㈜","")))</f>
        <v/>
      </c>
      <c r="H2182" s="10" t="str">
        <f aca="false">IF($B2182="","",SUBSTITUTE(SUBSTITUTE(SUBSTITUTE($B2182,"-","")," ",""),".",""))</f>
        <v/>
      </c>
      <c r="I2182" s="10" t="str">
        <f aca="false">IF($D2182="","",SUBSTITUTE(SUBSTITUTE(SUBSTITUTE($D2182,"-","")," ",""),".",""))</f>
        <v/>
      </c>
      <c r="J2182" s="10" t="str">
        <f aca="false">IF($E2182="","",UPPER(SUBSTITUTE($E2182," ","")))</f>
        <v/>
      </c>
      <c r="K2182" s="10" t="str">
        <f aca="false">IF($A2182="","",$G2182&amp;"|"&amp;$J2182)</f>
        <v/>
      </c>
      <c r="L2182" s="10" t="str">
        <f aca="false">IF($A2182="","",ROW()-2)</f>
        <v/>
      </c>
      <c r="M2182" s="10" t="str">
        <f aca="false">IF($A2182="","",ROW())</f>
        <v/>
      </c>
    </row>
    <row r="2183" customFormat="false" ht="15" hidden="false" customHeight="true" outlineLevel="0" collapsed="false">
      <c r="A2183" s="8"/>
      <c r="B2183" s="8"/>
      <c r="C2183" s="8"/>
      <c r="D2183" s="8"/>
      <c r="E2183" s="8"/>
      <c r="F2183" s="8"/>
      <c r="G2183" s="10" t="str">
        <f aca="false">IF($A2183="","",UPPER(SUBSTITUTE(SUBSTITUTE(SUBSTITUTE(SUBSTITUTE($A2183," ",""),"(주)",""),"주식회사",""),"㈜","")))</f>
        <v/>
      </c>
      <c r="H2183" s="10" t="str">
        <f aca="false">IF($B2183="","",SUBSTITUTE(SUBSTITUTE(SUBSTITUTE($B2183,"-","")," ",""),".",""))</f>
        <v/>
      </c>
      <c r="I2183" s="10" t="str">
        <f aca="false">IF($D2183="","",SUBSTITUTE(SUBSTITUTE(SUBSTITUTE($D2183,"-","")," ",""),".",""))</f>
        <v/>
      </c>
      <c r="J2183" s="10" t="str">
        <f aca="false">IF($E2183="","",UPPER(SUBSTITUTE($E2183," ","")))</f>
        <v/>
      </c>
      <c r="K2183" s="10" t="str">
        <f aca="false">IF($A2183="","",$G2183&amp;"|"&amp;$J2183)</f>
        <v/>
      </c>
      <c r="L2183" s="10" t="str">
        <f aca="false">IF($A2183="","",ROW()-2)</f>
        <v/>
      </c>
      <c r="M2183" s="10" t="str">
        <f aca="false">IF($A2183="","",ROW())</f>
        <v/>
      </c>
    </row>
    <row r="2184" customFormat="false" ht="15" hidden="false" customHeight="true" outlineLevel="0" collapsed="false">
      <c r="A2184" s="8"/>
      <c r="B2184" s="8"/>
      <c r="C2184" s="8"/>
      <c r="D2184" s="8"/>
      <c r="E2184" s="8"/>
      <c r="F2184" s="8"/>
      <c r="G2184" s="10" t="str">
        <f aca="false">IF($A2184="","",UPPER(SUBSTITUTE(SUBSTITUTE(SUBSTITUTE(SUBSTITUTE($A2184," ",""),"(주)",""),"주식회사",""),"㈜","")))</f>
        <v/>
      </c>
      <c r="H2184" s="10" t="str">
        <f aca="false">IF($B2184="","",SUBSTITUTE(SUBSTITUTE(SUBSTITUTE($B2184,"-","")," ",""),".",""))</f>
        <v/>
      </c>
      <c r="I2184" s="10" t="str">
        <f aca="false">IF($D2184="","",SUBSTITUTE(SUBSTITUTE(SUBSTITUTE($D2184,"-","")," ",""),".",""))</f>
        <v/>
      </c>
      <c r="J2184" s="10" t="str">
        <f aca="false">IF($E2184="","",UPPER(SUBSTITUTE($E2184," ","")))</f>
        <v/>
      </c>
      <c r="K2184" s="10" t="str">
        <f aca="false">IF($A2184="","",$G2184&amp;"|"&amp;$J2184)</f>
        <v/>
      </c>
      <c r="L2184" s="10" t="str">
        <f aca="false">IF($A2184="","",ROW()-2)</f>
        <v/>
      </c>
      <c r="M2184" s="10" t="str">
        <f aca="false">IF($A2184="","",ROW())</f>
        <v/>
      </c>
    </row>
    <row r="2185" customFormat="false" ht="15" hidden="false" customHeight="true" outlineLevel="0" collapsed="false">
      <c r="A2185" s="8"/>
      <c r="B2185" s="8"/>
      <c r="C2185" s="8"/>
      <c r="D2185" s="8"/>
      <c r="E2185" s="8"/>
      <c r="F2185" s="8"/>
      <c r="G2185" s="10" t="str">
        <f aca="false">IF($A2185="","",UPPER(SUBSTITUTE(SUBSTITUTE(SUBSTITUTE(SUBSTITUTE($A2185," ",""),"(주)",""),"주식회사",""),"㈜","")))</f>
        <v/>
      </c>
      <c r="H2185" s="10" t="str">
        <f aca="false">IF($B2185="","",SUBSTITUTE(SUBSTITUTE(SUBSTITUTE($B2185,"-","")," ",""),".",""))</f>
        <v/>
      </c>
      <c r="I2185" s="10" t="str">
        <f aca="false">IF($D2185="","",SUBSTITUTE(SUBSTITUTE(SUBSTITUTE($D2185,"-","")," ",""),".",""))</f>
        <v/>
      </c>
      <c r="J2185" s="10" t="str">
        <f aca="false">IF($E2185="","",UPPER(SUBSTITUTE($E2185," ","")))</f>
        <v/>
      </c>
      <c r="K2185" s="10" t="str">
        <f aca="false">IF($A2185="","",$G2185&amp;"|"&amp;$J2185)</f>
        <v/>
      </c>
      <c r="L2185" s="10" t="str">
        <f aca="false">IF($A2185="","",ROW()-2)</f>
        <v/>
      </c>
      <c r="M2185" s="10" t="str">
        <f aca="false">IF($A2185="","",ROW())</f>
        <v/>
      </c>
    </row>
    <row r="2186" customFormat="false" ht="15" hidden="false" customHeight="true" outlineLevel="0" collapsed="false">
      <c r="A2186" s="8"/>
      <c r="B2186" s="8"/>
      <c r="C2186" s="8"/>
      <c r="D2186" s="8"/>
      <c r="E2186" s="8"/>
      <c r="F2186" s="8"/>
      <c r="G2186" s="10" t="str">
        <f aca="false">IF($A2186="","",UPPER(SUBSTITUTE(SUBSTITUTE(SUBSTITUTE(SUBSTITUTE($A2186," ",""),"(주)",""),"주식회사",""),"㈜","")))</f>
        <v/>
      </c>
      <c r="H2186" s="10" t="str">
        <f aca="false">IF($B2186="","",SUBSTITUTE(SUBSTITUTE(SUBSTITUTE($B2186,"-","")," ",""),".",""))</f>
        <v/>
      </c>
      <c r="I2186" s="10" t="str">
        <f aca="false">IF($D2186="","",SUBSTITUTE(SUBSTITUTE(SUBSTITUTE($D2186,"-","")," ",""),".",""))</f>
        <v/>
      </c>
      <c r="J2186" s="10" t="str">
        <f aca="false">IF($E2186="","",UPPER(SUBSTITUTE($E2186," ","")))</f>
        <v/>
      </c>
      <c r="K2186" s="10" t="str">
        <f aca="false">IF($A2186="","",$G2186&amp;"|"&amp;$J2186)</f>
        <v/>
      </c>
      <c r="L2186" s="10" t="str">
        <f aca="false">IF($A2186="","",ROW()-2)</f>
        <v/>
      </c>
      <c r="M2186" s="10" t="str">
        <f aca="false">IF($A2186="","",ROW())</f>
        <v/>
      </c>
    </row>
    <row r="2187" customFormat="false" ht="15" hidden="false" customHeight="true" outlineLevel="0" collapsed="false">
      <c r="A2187" s="8"/>
      <c r="B2187" s="8"/>
      <c r="C2187" s="8"/>
      <c r="D2187" s="8"/>
      <c r="E2187" s="8"/>
      <c r="F2187" s="8"/>
      <c r="G2187" s="10" t="str">
        <f aca="false">IF($A2187="","",UPPER(SUBSTITUTE(SUBSTITUTE(SUBSTITUTE(SUBSTITUTE($A2187," ",""),"(주)",""),"주식회사",""),"㈜","")))</f>
        <v/>
      </c>
      <c r="H2187" s="10" t="str">
        <f aca="false">IF($B2187="","",SUBSTITUTE(SUBSTITUTE(SUBSTITUTE($B2187,"-","")," ",""),".",""))</f>
        <v/>
      </c>
      <c r="I2187" s="10" t="str">
        <f aca="false">IF($D2187="","",SUBSTITUTE(SUBSTITUTE(SUBSTITUTE($D2187,"-","")," ",""),".",""))</f>
        <v/>
      </c>
      <c r="J2187" s="10" t="str">
        <f aca="false">IF($E2187="","",UPPER(SUBSTITUTE($E2187," ","")))</f>
        <v/>
      </c>
      <c r="K2187" s="10" t="str">
        <f aca="false">IF($A2187="","",$G2187&amp;"|"&amp;$J2187)</f>
        <v/>
      </c>
      <c r="L2187" s="10" t="str">
        <f aca="false">IF($A2187="","",ROW()-2)</f>
        <v/>
      </c>
      <c r="M2187" s="10" t="str">
        <f aca="false">IF($A2187="","",ROW())</f>
        <v/>
      </c>
    </row>
    <row r="2188" customFormat="false" ht="15" hidden="false" customHeight="true" outlineLevel="0" collapsed="false">
      <c r="A2188" s="8"/>
      <c r="B2188" s="8"/>
      <c r="C2188" s="8"/>
      <c r="D2188" s="8"/>
      <c r="E2188" s="8"/>
      <c r="F2188" s="8"/>
      <c r="G2188" s="10" t="str">
        <f aca="false">IF($A2188="","",UPPER(SUBSTITUTE(SUBSTITUTE(SUBSTITUTE(SUBSTITUTE($A2188," ",""),"(주)",""),"주식회사",""),"㈜","")))</f>
        <v/>
      </c>
      <c r="H2188" s="10" t="str">
        <f aca="false">IF($B2188="","",SUBSTITUTE(SUBSTITUTE(SUBSTITUTE($B2188,"-","")," ",""),".",""))</f>
        <v/>
      </c>
      <c r="I2188" s="10" t="str">
        <f aca="false">IF($D2188="","",SUBSTITUTE(SUBSTITUTE(SUBSTITUTE($D2188,"-","")," ",""),".",""))</f>
        <v/>
      </c>
      <c r="J2188" s="10" t="str">
        <f aca="false">IF($E2188="","",UPPER(SUBSTITUTE($E2188," ","")))</f>
        <v/>
      </c>
      <c r="K2188" s="10" t="str">
        <f aca="false">IF($A2188="","",$G2188&amp;"|"&amp;$J2188)</f>
        <v/>
      </c>
      <c r="L2188" s="10" t="str">
        <f aca="false">IF($A2188="","",ROW()-2)</f>
        <v/>
      </c>
      <c r="M2188" s="10" t="str">
        <f aca="false">IF($A2188="","",ROW())</f>
        <v/>
      </c>
    </row>
    <row r="2189" customFormat="false" ht="15" hidden="false" customHeight="true" outlineLevel="0" collapsed="false">
      <c r="A2189" s="8"/>
      <c r="B2189" s="8"/>
      <c r="C2189" s="8"/>
      <c r="D2189" s="8"/>
      <c r="E2189" s="8"/>
      <c r="F2189" s="8"/>
      <c r="G2189" s="10" t="str">
        <f aca="false">IF($A2189="","",UPPER(SUBSTITUTE(SUBSTITUTE(SUBSTITUTE(SUBSTITUTE($A2189," ",""),"(주)",""),"주식회사",""),"㈜","")))</f>
        <v/>
      </c>
      <c r="H2189" s="10" t="str">
        <f aca="false">IF($B2189="","",SUBSTITUTE(SUBSTITUTE(SUBSTITUTE($B2189,"-","")," ",""),".",""))</f>
        <v/>
      </c>
      <c r="I2189" s="10" t="str">
        <f aca="false">IF($D2189="","",SUBSTITUTE(SUBSTITUTE(SUBSTITUTE($D2189,"-","")," ",""),".",""))</f>
        <v/>
      </c>
      <c r="J2189" s="10" t="str">
        <f aca="false">IF($E2189="","",UPPER(SUBSTITUTE($E2189," ","")))</f>
        <v/>
      </c>
      <c r="K2189" s="10" t="str">
        <f aca="false">IF($A2189="","",$G2189&amp;"|"&amp;$J2189)</f>
        <v/>
      </c>
      <c r="L2189" s="10" t="str">
        <f aca="false">IF($A2189="","",ROW()-2)</f>
        <v/>
      </c>
      <c r="M2189" s="10" t="str">
        <f aca="false">IF($A2189="","",ROW())</f>
        <v/>
      </c>
    </row>
    <row r="2190" customFormat="false" ht="15" hidden="false" customHeight="true" outlineLevel="0" collapsed="false">
      <c r="A2190" s="8"/>
      <c r="B2190" s="8"/>
      <c r="C2190" s="8"/>
      <c r="D2190" s="8"/>
      <c r="E2190" s="8"/>
      <c r="F2190" s="8"/>
      <c r="G2190" s="10" t="str">
        <f aca="false">IF($A2190="","",UPPER(SUBSTITUTE(SUBSTITUTE(SUBSTITUTE(SUBSTITUTE($A2190," ",""),"(주)",""),"주식회사",""),"㈜","")))</f>
        <v/>
      </c>
      <c r="H2190" s="10" t="str">
        <f aca="false">IF($B2190="","",SUBSTITUTE(SUBSTITUTE(SUBSTITUTE($B2190,"-","")," ",""),".",""))</f>
        <v/>
      </c>
      <c r="I2190" s="10" t="str">
        <f aca="false">IF($D2190="","",SUBSTITUTE(SUBSTITUTE(SUBSTITUTE($D2190,"-","")," ",""),".",""))</f>
        <v/>
      </c>
      <c r="J2190" s="10" t="str">
        <f aca="false">IF($E2190="","",UPPER(SUBSTITUTE($E2190," ","")))</f>
        <v/>
      </c>
      <c r="K2190" s="10" t="str">
        <f aca="false">IF($A2190="","",$G2190&amp;"|"&amp;$J2190)</f>
        <v/>
      </c>
      <c r="L2190" s="10" t="str">
        <f aca="false">IF($A2190="","",ROW()-2)</f>
        <v/>
      </c>
      <c r="M2190" s="10" t="str">
        <f aca="false">IF($A2190="","",ROW())</f>
        <v/>
      </c>
    </row>
    <row r="2191" customFormat="false" ht="15" hidden="false" customHeight="true" outlineLevel="0" collapsed="false">
      <c r="A2191" s="8"/>
      <c r="B2191" s="8"/>
      <c r="C2191" s="8"/>
      <c r="D2191" s="8"/>
      <c r="E2191" s="8"/>
      <c r="F2191" s="8"/>
      <c r="G2191" s="10" t="str">
        <f aca="false">IF($A2191="","",UPPER(SUBSTITUTE(SUBSTITUTE(SUBSTITUTE(SUBSTITUTE($A2191," ",""),"(주)",""),"주식회사",""),"㈜","")))</f>
        <v/>
      </c>
      <c r="H2191" s="10" t="str">
        <f aca="false">IF($B2191="","",SUBSTITUTE(SUBSTITUTE(SUBSTITUTE($B2191,"-","")," ",""),".",""))</f>
        <v/>
      </c>
      <c r="I2191" s="10" t="str">
        <f aca="false">IF($D2191="","",SUBSTITUTE(SUBSTITUTE(SUBSTITUTE($D2191,"-","")," ",""),".",""))</f>
        <v/>
      </c>
      <c r="J2191" s="10" t="str">
        <f aca="false">IF($E2191="","",UPPER(SUBSTITUTE($E2191," ","")))</f>
        <v/>
      </c>
      <c r="K2191" s="10" t="str">
        <f aca="false">IF($A2191="","",$G2191&amp;"|"&amp;$J2191)</f>
        <v/>
      </c>
      <c r="L2191" s="10" t="str">
        <f aca="false">IF($A2191="","",ROW()-2)</f>
        <v/>
      </c>
      <c r="M2191" s="10" t="str">
        <f aca="false">IF($A2191="","",ROW())</f>
        <v/>
      </c>
    </row>
    <row r="2192" customFormat="false" ht="15" hidden="false" customHeight="true" outlineLevel="0" collapsed="false">
      <c r="A2192" s="8"/>
      <c r="B2192" s="8"/>
      <c r="C2192" s="8"/>
      <c r="D2192" s="8"/>
      <c r="E2192" s="8"/>
      <c r="F2192" s="8"/>
      <c r="G2192" s="10" t="str">
        <f aca="false">IF($A2192="","",UPPER(SUBSTITUTE(SUBSTITUTE(SUBSTITUTE(SUBSTITUTE($A2192," ",""),"(주)",""),"주식회사",""),"㈜","")))</f>
        <v/>
      </c>
      <c r="H2192" s="10" t="str">
        <f aca="false">IF($B2192="","",SUBSTITUTE(SUBSTITUTE(SUBSTITUTE($B2192,"-","")," ",""),".",""))</f>
        <v/>
      </c>
      <c r="I2192" s="10" t="str">
        <f aca="false">IF($D2192="","",SUBSTITUTE(SUBSTITUTE(SUBSTITUTE($D2192,"-","")," ",""),".",""))</f>
        <v/>
      </c>
      <c r="J2192" s="10" t="str">
        <f aca="false">IF($E2192="","",UPPER(SUBSTITUTE($E2192," ","")))</f>
        <v/>
      </c>
      <c r="K2192" s="10" t="str">
        <f aca="false">IF($A2192="","",$G2192&amp;"|"&amp;$J2192)</f>
        <v/>
      </c>
      <c r="L2192" s="10" t="str">
        <f aca="false">IF($A2192="","",ROW()-2)</f>
        <v/>
      </c>
      <c r="M2192" s="10" t="str">
        <f aca="false">IF($A2192="","",ROW())</f>
        <v/>
      </c>
    </row>
    <row r="2193" customFormat="false" ht="15" hidden="false" customHeight="true" outlineLevel="0" collapsed="false">
      <c r="A2193" s="8"/>
      <c r="B2193" s="8"/>
      <c r="C2193" s="8"/>
      <c r="D2193" s="8"/>
      <c r="E2193" s="8"/>
      <c r="F2193" s="8"/>
      <c r="G2193" s="10" t="str">
        <f aca="false">IF($A2193="","",UPPER(SUBSTITUTE(SUBSTITUTE(SUBSTITUTE(SUBSTITUTE($A2193," ",""),"(주)",""),"주식회사",""),"㈜","")))</f>
        <v/>
      </c>
      <c r="H2193" s="10" t="str">
        <f aca="false">IF($B2193="","",SUBSTITUTE(SUBSTITUTE(SUBSTITUTE($B2193,"-","")," ",""),".",""))</f>
        <v/>
      </c>
      <c r="I2193" s="10" t="str">
        <f aca="false">IF($D2193="","",SUBSTITUTE(SUBSTITUTE(SUBSTITUTE($D2193,"-","")," ",""),".",""))</f>
        <v/>
      </c>
      <c r="J2193" s="10" t="str">
        <f aca="false">IF($E2193="","",UPPER(SUBSTITUTE($E2193," ","")))</f>
        <v/>
      </c>
      <c r="K2193" s="10" t="str">
        <f aca="false">IF($A2193="","",$G2193&amp;"|"&amp;$J2193)</f>
        <v/>
      </c>
      <c r="L2193" s="10" t="str">
        <f aca="false">IF($A2193="","",ROW()-2)</f>
        <v/>
      </c>
      <c r="M2193" s="10" t="str">
        <f aca="false">IF($A2193="","",ROW())</f>
        <v/>
      </c>
    </row>
    <row r="2194" customFormat="false" ht="15" hidden="false" customHeight="true" outlineLevel="0" collapsed="false">
      <c r="A2194" s="8"/>
      <c r="B2194" s="8"/>
      <c r="C2194" s="8"/>
      <c r="D2194" s="8"/>
      <c r="E2194" s="8"/>
      <c r="F2194" s="8"/>
      <c r="G2194" s="10" t="str">
        <f aca="false">IF($A2194="","",UPPER(SUBSTITUTE(SUBSTITUTE(SUBSTITUTE(SUBSTITUTE($A2194," ",""),"(주)",""),"주식회사",""),"㈜","")))</f>
        <v/>
      </c>
      <c r="H2194" s="10" t="str">
        <f aca="false">IF($B2194="","",SUBSTITUTE(SUBSTITUTE(SUBSTITUTE($B2194,"-","")," ",""),".",""))</f>
        <v/>
      </c>
      <c r="I2194" s="10" t="str">
        <f aca="false">IF($D2194="","",SUBSTITUTE(SUBSTITUTE(SUBSTITUTE($D2194,"-","")," ",""),".",""))</f>
        <v/>
      </c>
      <c r="J2194" s="10" t="str">
        <f aca="false">IF($E2194="","",UPPER(SUBSTITUTE($E2194," ","")))</f>
        <v/>
      </c>
      <c r="K2194" s="10" t="str">
        <f aca="false">IF($A2194="","",$G2194&amp;"|"&amp;$J2194)</f>
        <v/>
      </c>
      <c r="L2194" s="10" t="str">
        <f aca="false">IF($A2194="","",ROW()-2)</f>
        <v/>
      </c>
      <c r="M2194" s="10" t="str">
        <f aca="false">IF($A2194="","",ROW())</f>
        <v/>
      </c>
    </row>
    <row r="2195" customFormat="false" ht="15" hidden="false" customHeight="true" outlineLevel="0" collapsed="false">
      <c r="A2195" s="8"/>
      <c r="B2195" s="8"/>
      <c r="C2195" s="8"/>
      <c r="D2195" s="8"/>
      <c r="E2195" s="8"/>
      <c r="F2195" s="8"/>
      <c r="G2195" s="10" t="str">
        <f aca="false">IF($A2195="","",UPPER(SUBSTITUTE(SUBSTITUTE(SUBSTITUTE(SUBSTITUTE($A2195," ",""),"(주)",""),"주식회사",""),"㈜","")))</f>
        <v/>
      </c>
      <c r="H2195" s="10" t="str">
        <f aca="false">IF($B2195="","",SUBSTITUTE(SUBSTITUTE(SUBSTITUTE($B2195,"-","")," ",""),".",""))</f>
        <v/>
      </c>
      <c r="I2195" s="10" t="str">
        <f aca="false">IF($D2195="","",SUBSTITUTE(SUBSTITUTE(SUBSTITUTE($D2195,"-","")," ",""),".",""))</f>
        <v/>
      </c>
      <c r="J2195" s="10" t="str">
        <f aca="false">IF($E2195="","",UPPER(SUBSTITUTE($E2195," ","")))</f>
        <v/>
      </c>
      <c r="K2195" s="10" t="str">
        <f aca="false">IF($A2195="","",$G2195&amp;"|"&amp;$J2195)</f>
        <v/>
      </c>
      <c r="L2195" s="10" t="str">
        <f aca="false">IF($A2195="","",ROW()-2)</f>
        <v/>
      </c>
      <c r="M2195" s="10" t="str">
        <f aca="false">IF($A2195="","",ROW())</f>
        <v/>
      </c>
    </row>
    <row r="2196" customFormat="false" ht="15" hidden="false" customHeight="true" outlineLevel="0" collapsed="false">
      <c r="A2196" s="8"/>
      <c r="B2196" s="8"/>
      <c r="C2196" s="8"/>
      <c r="D2196" s="8"/>
      <c r="E2196" s="8"/>
      <c r="F2196" s="8"/>
      <c r="G2196" s="10" t="str">
        <f aca="false">IF($A2196="","",UPPER(SUBSTITUTE(SUBSTITUTE(SUBSTITUTE(SUBSTITUTE($A2196," ",""),"(주)",""),"주식회사",""),"㈜","")))</f>
        <v/>
      </c>
      <c r="H2196" s="10" t="str">
        <f aca="false">IF($B2196="","",SUBSTITUTE(SUBSTITUTE(SUBSTITUTE($B2196,"-","")," ",""),".",""))</f>
        <v/>
      </c>
      <c r="I2196" s="10" t="str">
        <f aca="false">IF($D2196="","",SUBSTITUTE(SUBSTITUTE(SUBSTITUTE($D2196,"-","")," ",""),".",""))</f>
        <v/>
      </c>
      <c r="J2196" s="10" t="str">
        <f aca="false">IF($E2196="","",UPPER(SUBSTITUTE($E2196," ","")))</f>
        <v/>
      </c>
      <c r="K2196" s="10" t="str">
        <f aca="false">IF($A2196="","",$G2196&amp;"|"&amp;$J2196)</f>
        <v/>
      </c>
      <c r="L2196" s="10" t="str">
        <f aca="false">IF($A2196="","",ROW()-2)</f>
        <v/>
      </c>
      <c r="M2196" s="10" t="str">
        <f aca="false">IF($A2196="","",ROW())</f>
        <v/>
      </c>
    </row>
    <row r="2197" customFormat="false" ht="15" hidden="false" customHeight="true" outlineLevel="0" collapsed="false">
      <c r="A2197" s="8"/>
      <c r="B2197" s="8"/>
      <c r="C2197" s="8"/>
      <c r="D2197" s="8"/>
      <c r="E2197" s="8"/>
      <c r="F2197" s="8"/>
      <c r="G2197" s="10" t="str">
        <f aca="false">IF($A2197="","",UPPER(SUBSTITUTE(SUBSTITUTE(SUBSTITUTE(SUBSTITUTE($A2197," ",""),"(주)",""),"주식회사",""),"㈜","")))</f>
        <v/>
      </c>
      <c r="H2197" s="10" t="str">
        <f aca="false">IF($B2197="","",SUBSTITUTE(SUBSTITUTE(SUBSTITUTE($B2197,"-","")," ",""),".",""))</f>
        <v/>
      </c>
      <c r="I2197" s="10" t="str">
        <f aca="false">IF($D2197="","",SUBSTITUTE(SUBSTITUTE(SUBSTITUTE($D2197,"-","")," ",""),".",""))</f>
        <v/>
      </c>
      <c r="J2197" s="10" t="str">
        <f aca="false">IF($E2197="","",UPPER(SUBSTITUTE($E2197," ","")))</f>
        <v/>
      </c>
      <c r="K2197" s="10" t="str">
        <f aca="false">IF($A2197="","",$G2197&amp;"|"&amp;$J2197)</f>
        <v/>
      </c>
      <c r="L2197" s="10" t="str">
        <f aca="false">IF($A2197="","",ROW()-2)</f>
        <v/>
      </c>
      <c r="M2197" s="10" t="str">
        <f aca="false">IF($A2197="","",ROW())</f>
        <v/>
      </c>
    </row>
    <row r="2198" customFormat="false" ht="15" hidden="false" customHeight="true" outlineLevel="0" collapsed="false">
      <c r="A2198" s="8"/>
      <c r="B2198" s="8"/>
      <c r="C2198" s="8"/>
      <c r="D2198" s="8"/>
      <c r="E2198" s="8"/>
      <c r="F2198" s="8"/>
      <c r="G2198" s="10" t="str">
        <f aca="false">IF($A2198="","",UPPER(SUBSTITUTE(SUBSTITUTE(SUBSTITUTE(SUBSTITUTE($A2198," ",""),"(주)",""),"주식회사",""),"㈜","")))</f>
        <v/>
      </c>
      <c r="H2198" s="10" t="str">
        <f aca="false">IF($B2198="","",SUBSTITUTE(SUBSTITUTE(SUBSTITUTE($B2198,"-","")," ",""),".",""))</f>
        <v/>
      </c>
      <c r="I2198" s="10" t="str">
        <f aca="false">IF($D2198="","",SUBSTITUTE(SUBSTITUTE(SUBSTITUTE($D2198,"-","")," ",""),".",""))</f>
        <v/>
      </c>
      <c r="J2198" s="10" t="str">
        <f aca="false">IF($E2198="","",UPPER(SUBSTITUTE($E2198," ","")))</f>
        <v/>
      </c>
      <c r="K2198" s="10" t="str">
        <f aca="false">IF($A2198="","",$G2198&amp;"|"&amp;$J2198)</f>
        <v/>
      </c>
      <c r="L2198" s="10" t="str">
        <f aca="false">IF($A2198="","",ROW()-2)</f>
        <v/>
      </c>
      <c r="M2198" s="10" t="str">
        <f aca="false">IF($A2198="","",ROW())</f>
        <v/>
      </c>
    </row>
    <row r="2199" customFormat="false" ht="15" hidden="false" customHeight="true" outlineLevel="0" collapsed="false">
      <c r="A2199" s="8"/>
      <c r="B2199" s="8"/>
      <c r="C2199" s="8"/>
      <c r="D2199" s="8"/>
      <c r="E2199" s="8"/>
      <c r="F2199" s="8"/>
      <c r="G2199" s="10" t="str">
        <f aca="false">IF($A2199="","",UPPER(SUBSTITUTE(SUBSTITUTE(SUBSTITUTE(SUBSTITUTE($A2199," ",""),"(주)",""),"주식회사",""),"㈜","")))</f>
        <v/>
      </c>
      <c r="H2199" s="10" t="str">
        <f aca="false">IF($B2199="","",SUBSTITUTE(SUBSTITUTE(SUBSTITUTE($B2199,"-","")," ",""),".",""))</f>
        <v/>
      </c>
      <c r="I2199" s="10" t="str">
        <f aca="false">IF($D2199="","",SUBSTITUTE(SUBSTITUTE(SUBSTITUTE($D2199,"-","")," ",""),".",""))</f>
        <v/>
      </c>
      <c r="J2199" s="10" t="str">
        <f aca="false">IF($E2199="","",UPPER(SUBSTITUTE($E2199," ","")))</f>
        <v/>
      </c>
      <c r="K2199" s="10" t="str">
        <f aca="false">IF($A2199="","",$G2199&amp;"|"&amp;$J2199)</f>
        <v/>
      </c>
      <c r="L2199" s="10" t="str">
        <f aca="false">IF($A2199="","",ROW()-2)</f>
        <v/>
      </c>
      <c r="M2199" s="10" t="str">
        <f aca="false">IF($A2199="","",ROW())</f>
        <v/>
      </c>
    </row>
    <row r="2200" customFormat="false" ht="15" hidden="false" customHeight="true" outlineLevel="0" collapsed="false">
      <c r="A2200" s="8"/>
      <c r="B2200" s="8"/>
      <c r="C2200" s="8"/>
      <c r="D2200" s="8"/>
      <c r="E2200" s="8"/>
      <c r="F2200" s="8"/>
      <c r="G2200" s="10" t="str">
        <f aca="false">IF($A2200="","",UPPER(SUBSTITUTE(SUBSTITUTE(SUBSTITUTE(SUBSTITUTE($A2200," ",""),"(주)",""),"주식회사",""),"㈜","")))</f>
        <v/>
      </c>
      <c r="H2200" s="10" t="str">
        <f aca="false">IF($B2200="","",SUBSTITUTE(SUBSTITUTE(SUBSTITUTE($B2200,"-","")," ",""),".",""))</f>
        <v/>
      </c>
      <c r="I2200" s="10" t="str">
        <f aca="false">IF($D2200="","",SUBSTITUTE(SUBSTITUTE(SUBSTITUTE($D2200,"-","")," ",""),".",""))</f>
        <v/>
      </c>
      <c r="J2200" s="10" t="str">
        <f aca="false">IF($E2200="","",UPPER(SUBSTITUTE($E2200," ","")))</f>
        <v/>
      </c>
      <c r="K2200" s="10" t="str">
        <f aca="false">IF($A2200="","",$G2200&amp;"|"&amp;$J2200)</f>
        <v/>
      </c>
      <c r="L2200" s="10" t="str">
        <f aca="false">IF($A2200="","",ROW()-2)</f>
        <v/>
      </c>
      <c r="M2200" s="10" t="str">
        <f aca="false">IF($A2200="","",ROW())</f>
        <v/>
      </c>
    </row>
    <row r="2201" customFormat="false" ht="15" hidden="false" customHeight="true" outlineLevel="0" collapsed="false">
      <c r="A2201" s="8"/>
      <c r="B2201" s="8"/>
      <c r="C2201" s="8"/>
      <c r="D2201" s="8"/>
      <c r="E2201" s="8"/>
      <c r="F2201" s="8"/>
      <c r="G2201" s="10" t="str">
        <f aca="false">IF($A2201="","",UPPER(SUBSTITUTE(SUBSTITUTE(SUBSTITUTE(SUBSTITUTE($A2201," ",""),"(주)",""),"주식회사",""),"㈜","")))</f>
        <v/>
      </c>
      <c r="H2201" s="10" t="str">
        <f aca="false">IF($B2201="","",SUBSTITUTE(SUBSTITUTE(SUBSTITUTE($B2201,"-","")," ",""),".",""))</f>
        <v/>
      </c>
      <c r="I2201" s="10" t="str">
        <f aca="false">IF($D2201="","",SUBSTITUTE(SUBSTITUTE(SUBSTITUTE($D2201,"-","")," ",""),".",""))</f>
        <v/>
      </c>
      <c r="J2201" s="10" t="str">
        <f aca="false">IF($E2201="","",UPPER(SUBSTITUTE($E2201," ","")))</f>
        <v/>
      </c>
      <c r="K2201" s="10" t="str">
        <f aca="false">IF($A2201="","",$G2201&amp;"|"&amp;$J2201)</f>
        <v/>
      </c>
      <c r="L2201" s="10" t="str">
        <f aca="false">IF($A2201="","",ROW()-2)</f>
        <v/>
      </c>
      <c r="M2201" s="10" t="str">
        <f aca="false">IF($A2201="","",ROW())</f>
        <v/>
      </c>
    </row>
    <row r="2202" customFormat="false" ht="15" hidden="false" customHeight="true" outlineLevel="0" collapsed="false">
      <c r="A2202" s="8"/>
      <c r="B2202" s="8"/>
      <c r="C2202" s="8"/>
      <c r="D2202" s="8"/>
      <c r="E2202" s="8"/>
      <c r="F2202" s="8"/>
      <c r="G2202" s="10" t="str">
        <f aca="false">IF($A2202="","",UPPER(SUBSTITUTE(SUBSTITUTE(SUBSTITUTE(SUBSTITUTE($A2202," ",""),"(주)",""),"주식회사",""),"㈜","")))</f>
        <v/>
      </c>
      <c r="H2202" s="10" t="str">
        <f aca="false">IF($B2202="","",SUBSTITUTE(SUBSTITUTE(SUBSTITUTE($B2202,"-","")," ",""),".",""))</f>
        <v/>
      </c>
      <c r="I2202" s="10" t="str">
        <f aca="false">IF($D2202="","",SUBSTITUTE(SUBSTITUTE(SUBSTITUTE($D2202,"-","")," ",""),".",""))</f>
        <v/>
      </c>
      <c r="J2202" s="10" t="str">
        <f aca="false">IF($E2202="","",UPPER(SUBSTITUTE($E2202," ","")))</f>
        <v/>
      </c>
      <c r="K2202" s="10" t="str">
        <f aca="false">IF($A2202="","",$G2202&amp;"|"&amp;$J2202)</f>
        <v/>
      </c>
      <c r="L2202" s="10" t="str">
        <f aca="false">IF($A2202="","",ROW()-2)</f>
        <v/>
      </c>
      <c r="M2202" s="10" t="str">
        <f aca="false">IF($A2202="","",ROW())</f>
        <v/>
      </c>
    </row>
    <row r="2203" customFormat="false" ht="15" hidden="false" customHeight="true" outlineLevel="0" collapsed="false">
      <c r="A2203" s="8"/>
      <c r="B2203" s="8"/>
      <c r="C2203" s="8"/>
      <c r="D2203" s="8"/>
      <c r="E2203" s="8"/>
      <c r="F2203" s="8"/>
      <c r="G2203" s="10" t="str">
        <f aca="false">IF($A2203="","",UPPER(SUBSTITUTE(SUBSTITUTE(SUBSTITUTE(SUBSTITUTE($A2203," ",""),"(주)",""),"주식회사",""),"㈜","")))</f>
        <v/>
      </c>
      <c r="H2203" s="10" t="str">
        <f aca="false">IF($B2203="","",SUBSTITUTE(SUBSTITUTE(SUBSTITUTE($B2203,"-","")," ",""),".",""))</f>
        <v/>
      </c>
      <c r="I2203" s="10" t="str">
        <f aca="false">IF($D2203="","",SUBSTITUTE(SUBSTITUTE(SUBSTITUTE($D2203,"-","")," ",""),".",""))</f>
        <v/>
      </c>
      <c r="J2203" s="10" t="str">
        <f aca="false">IF($E2203="","",UPPER(SUBSTITUTE($E2203," ","")))</f>
        <v/>
      </c>
      <c r="K2203" s="10" t="str">
        <f aca="false">IF($A2203="","",$G2203&amp;"|"&amp;$J2203)</f>
        <v/>
      </c>
      <c r="L2203" s="10" t="str">
        <f aca="false">IF($A2203="","",ROW()-2)</f>
        <v/>
      </c>
      <c r="M2203" s="10" t="str">
        <f aca="false">IF($A2203="","",ROW())</f>
        <v/>
      </c>
    </row>
    <row r="2204" customFormat="false" ht="15" hidden="false" customHeight="true" outlineLevel="0" collapsed="false">
      <c r="A2204" s="8"/>
      <c r="B2204" s="8"/>
      <c r="C2204" s="8"/>
      <c r="D2204" s="8"/>
      <c r="E2204" s="8"/>
      <c r="F2204" s="8"/>
      <c r="G2204" s="10" t="str">
        <f aca="false">IF($A2204="","",UPPER(SUBSTITUTE(SUBSTITUTE(SUBSTITUTE(SUBSTITUTE($A2204," ",""),"(주)",""),"주식회사",""),"㈜","")))</f>
        <v/>
      </c>
      <c r="H2204" s="10" t="str">
        <f aca="false">IF($B2204="","",SUBSTITUTE(SUBSTITUTE(SUBSTITUTE($B2204,"-","")," ",""),".",""))</f>
        <v/>
      </c>
      <c r="I2204" s="10" t="str">
        <f aca="false">IF($D2204="","",SUBSTITUTE(SUBSTITUTE(SUBSTITUTE($D2204,"-","")," ",""),".",""))</f>
        <v/>
      </c>
      <c r="J2204" s="10" t="str">
        <f aca="false">IF($E2204="","",UPPER(SUBSTITUTE($E2204," ","")))</f>
        <v/>
      </c>
      <c r="K2204" s="10" t="str">
        <f aca="false">IF($A2204="","",$G2204&amp;"|"&amp;$J2204)</f>
        <v/>
      </c>
      <c r="L2204" s="10" t="str">
        <f aca="false">IF($A2204="","",ROW()-2)</f>
        <v/>
      </c>
      <c r="M2204" s="10" t="str">
        <f aca="false">IF($A2204="","",ROW())</f>
        <v/>
      </c>
    </row>
    <row r="2205" customFormat="false" ht="15" hidden="false" customHeight="true" outlineLevel="0" collapsed="false">
      <c r="A2205" s="8"/>
      <c r="B2205" s="8"/>
      <c r="C2205" s="8"/>
      <c r="D2205" s="8"/>
      <c r="E2205" s="8"/>
      <c r="F2205" s="8"/>
      <c r="G2205" s="10" t="str">
        <f aca="false">IF($A2205="","",UPPER(SUBSTITUTE(SUBSTITUTE(SUBSTITUTE(SUBSTITUTE($A2205," ",""),"(주)",""),"주식회사",""),"㈜","")))</f>
        <v/>
      </c>
      <c r="H2205" s="10" t="str">
        <f aca="false">IF($B2205="","",SUBSTITUTE(SUBSTITUTE(SUBSTITUTE($B2205,"-","")," ",""),".",""))</f>
        <v/>
      </c>
      <c r="I2205" s="10" t="str">
        <f aca="false">IF($D2205="","",SUBSTITUTE(SUBSTITUTE(SUBSTITUTE($D2205,"-","")," ",""),".",""))</f>
        <v/>
      </c>
      <c r="J2205" s="10" t="str">
        <f aca="false">IF($E2205="","",UPPER(SUBSTITUTE($E2205," ","")))</f>
        <v/>
      </c>
      <c r="K2205" s="10" t="str">
        <f aca="false">IF($A2205="","",$G2205&amp;"|"&amp;$J2205)</f>
        <v/>
      </c>
      <c r="L2205" s="10" t="str">
        <f aca="false">IF($A2205="","",ROW()-2)</f>
        <v/>
      </c>
      <c r="M2205" s="10" t="str">
        <f aca="false">IF($A2205="","",ROW())</f>
        <v/>
      </c>
    </row>
    <row r="2206" customFormat="false" ht="15" hidden="false" customHeight="true" outlineLevel="0" collapsed="false">
      <c r="A2206" s="8"/>
      <c r="B2206" s="8"/>
      <c r="C2206" s="8"/>
      <c r="D2206" s="8"/>
      <c r="E2206" s="8"/>
      <c r="F2206" s="8"/>
      <c r="G2206" s="10" t="str">
        <f aca="false">IF($A2206="","",UPPER(SUBSTITUTE(SUBSTITUTE(SUBSTITUTE(SUBSTITUTE($A2206," ",""),"(주)",""),"주식회사",""),"㈜","")))</f>
        <v/>
      </c>
      <c r="H2206" s="10" t="str">
        <f aca="false">IF($B2206="","",SUBSTITUTE(SUBSTITUTE(SUBSTITUTE($B2206,"-","")," ",""),".",""))</f>
        <v/>
      </c>
      <c r="I2206" s="10" t="str">
        <f aca="false">IF($D2206="","",SUBSTITUTE(SUBSTITUTE(SUBSTITUTE($D2206,"-","")," ",""),".",""))</f>
        <v/>
      </c>
      <c r="J2206" s="10" t="str">
        <f aca="false">IF($E2206="","",UPPER(SUBSTITUTE($E2206," ","")))</f>
        <v/>
      </c>
      <c r="K2206" s="10" t="str">
        <f aca="false">IF($A2206="","",$G2206&amp;"|"&amp;$J2206)</f>
        <v/>
      </c>
      <c r="L2206" s="10" t="str">
        <f aca="false">IF($A2206="","",ROW()-2)</f>
        <v/>
      </c>
      <c r="M2206" s="10" t="str">
        <f aca="false">IF($A2206="","",ROW())</f>
        <v/>
      </c>
    </row>
    <row r="2207" customFormat="false" ht="15" hidden="false" customHeight="true" outlineLevel="0" collapsed="false">
      <c r="A2207" s="8"/>
      <c r="B2207" s="8"/>
      <c r="C2207" s="8"/>
      <c r="D2207" s="8"/>
      <c r="E2207" s="8"/>
      <c r="F2207" s="8"/>
      <c r="G2207" s="10" t="str">
        <f aca="false">IF($A2207="","",UPPER(SUBSTITUTE(SUBSTITUTE(SUBSTITUTE(SUBSTITUTE($A2207," ",""),"(주)",""),"주식회사",""),"㈜","")))</f>
        <v/>
      </c>
      <c r="H2207" s="10" t="str">
        <f aca="false">IF($B2207="","",SUBSTITUTE(SUBSTITUTE(SUBSTITUTE($B2207,"-","")," ",""),".",""))</f>
        <v/>
      </c>
      <c r="I2207" s="10" t="str">
        <f aca="false">IF($D2207="","",SUBSTITUTE(SUBSTITUTE(SUBSTITUTE($D2207,"-","")," ",""),".",""))</f>
        <v/>
      </c>
      <c r="J2207" s="10" t="str">
        <f aca="false">IF($E2207="","",UPPER(SUBSTITUTE($E2207," ","")))</f>
        <v/>
      </c>
      <c r="K2207" s="10" t="str">
        <f aca="false">IF($A2207="","",$G2207&amp;"|"&amp;$J2207)</f>
        <v/>
      </c>
      <c r="L2207" s="10" t="str">
        <f aca="false">IF($A2207="","",ROW()-2)</f>
        <v/>
      </c>
      <c r="M2207" s="10" t="str">
        <f aca="false">IF($A2207="","",ROW())</f>
        <v/>
      </c>
    </row>
    <row r="2208" customFormat="false" ht="15" hidden="false" customHeight="true" outlineLevel="0" collapsed="false">
      <c r="A2208" s="8"/>
      <c r="B2208" s="8"/>
      <c r="C2208" s="8"/>
      <c r="D2208" s="8"/>
      <c r="E2208" s="8"/>
      <c r="F2208" s="8"/>
      <c r="G2208" s="10" t="str">
        <f aca="false">IF($A2208="","",UPPER(SUBSTITUTE(SUBSTITUTE(SUBSTITUTE(SUBSTITUTE($A2208," ",""),"(주)",""),"주식회사",""),"㈜","")))</f>
        <v/>
      </c>
      <c r="H2208" s="10" t="str">
        <f aca="false">IF($B2208="","",SUBSTITUTE(SUBSTITUTE(SUBSTITUTE($B2208,"-","")," ",""),".",""))</f>
        <v/>
      </c>
      <c r="I2208" s="10" t="str">
        <f aca="false">IF($D2208="","",SUBSTITUTE(SUBSTITUTE(SUBSTITUTE($D2208,"-","")," ",""),".",""))</f>
        <v/>
      </c>
      <c r="J2208" s="10" t="str">
        <f aca="false">IF($E2208="","",UPPER(SUBSTITUTE($E2208," ","")))</f>
        <v/>
      </c>
      <c r="K2208" s="10" t="str">
        <f aca="false">IF($A2208="","",$G2208&amp;"|"&amp;$J2208)</f>
        <v/>
      </c>
      <c r="L2208" s="10" t="str">
        <f aca="false">IF($A2208="","",ROW()-2)</f>
        <v/>
      </c>
      <c r="M2208" s="10" t="str">
        <f aca="false">IF($A2208="","",ROW())</f>
        <v/>
      </c>
    </row>
    <row r="2209" customFormat="false" ht="15" hidden="false" customHeight="true" outlineLevel="0" collapsed="false">
      <c r="A2209" s="8"/>
      <c r="B2209" s="8"/>
      <c r="C2209" s="8"/>
      <c r="D2209" s="8"/>
      <c r="E2209" s="8"/>
      <c r="F2209" s="8"/>
      <c r="G2209" s="10" t="str">
        <f aca="false">IF($A2209="","",UPPER(SUBSTITUTE(SUBSTITUTE(SUBSTITUTE(SUBSTITUTE($A2209," ",""),"(주)",""),"주식회사",""),"㈜","")))</f>
        <v/>
      </c>
      <c r="H2209" s="10" t="str">
        <f aca="false">IF($B2209="","",SUBSTITUTE(SUBSTITUTE(SUBSTITUTE($B2209,"-","")," ",""),".",""))</f>
        <v/>
      </c>
      <c r="I2209" s="10" t="str">
        <f aca="false">IF($D2209="","",SUBSTITUTE(SUBSTITUTE(SUBSTITUTE($D2209,"-","")," ",""),".",""))</f>
        <v/>
      </c>
      <c r="J2209" s="10" t="str">
        <f aca="false">IF($E2209="","",UPPER(SUBSTITUTE($E2209," ","")))</f>
        <v/>
      </c>
      <c r="K2209" s="10" t="str">
        <f aca="false">IF($A2209="","",$G2209&amp;"|"&amp;$J2209)</f>
        <v/>
      </c>
      <c r="L2209" s="10" t="str">
        <f aca="false">IF($A2209="","",ROW()-2)</f>
        <v/>
      </c>
      <c r="M2209" s="10" t="str">
        <f aca="false">IF($A2209="","",ROW())</f>
        <v/>
      </c>
    </row>
    <row r="2210" customFormat="false" ht="15" hidden="false" customHeight="true" outlineLevel="0" collapsed="false">
      <c r="A2210" s="8"/>
      <c r="B2210" s="8"/>
      <c r="C2210" s="8"/>
      <c r="D2210" s="8"/>
      <c r="E2210" s="8"/>
      <c r="F2210" s="8"/>
      <c r="G2210" s="10" t="str">
        <f aca="false">IF($A2210="","",UPPER(SUBSTITUTE(SUBSTITUTE(SUBSTITUTE(SUBSTITUTE($A2210," ",""),"(주)",""),"주식회사",""),"㈜","")))</f>
        <v/>
      </c>
      <c r="H2210" s="10" t="str">
        <f aca="false">IF($B2210="","",SUBSTITUTE(SUBSTITUTE(SUBSTITUTE($B2210,"-","")," ",""),".",""))</f>
        <v/>
      </c>
      <c r="I2210" s="10" t="str">
        <f aca="false">IF($D2210="","",SUBSTITUTE(SUBSTITUTE(SUBSTITUTE($D2210,"-","")," ",""),".",""))</f>
        <v/>
      </c>
      <c r="J2210" s="10" t="str">
        <f aca="false">IF($E2210="","",UPPER(SUBSTITUTE($E2210," ","")))</f>
        <v/>
      </c>
      <c r="K2210" s="10" t="str">
        <f aca="false">IF($A2210="","",$G2210&amp;"|"&amp;$J2210)</f>
        <v/>
      </c>
      <c r="L2210" s="10" t="str">
        <f aca="false">IF($A2210="","",ROW()-2)</f>
        <v/>
      </c>
      <c r="M2210" s="10" t="str">
        <f aca="false">IF($A2210="","",ROW())</f>
        <v/>
      </c>
    </row>
    <row r="2211" customFormat="false" ht="15" hidden="false" customHeight="true" outlineLevel="0" collapsed="false">
      <c r="A2211" s="8"/>
      <c r="B2211" s="8"/>
      <c r="C2211" s="8"/>
      <c r="D2211" s="8"/>
      <c r="E2211" s="8"/>
      <c r="F2211" s="8"/>
      <c r="G2211" s="10" t="str">
        <f aca="false">IF($A2211="","",UPPER(SUBSTITUTE(SUBSTITUTE(SUBSTITUTE(SUBSTITUTE($A2211," ",""),"(주)",""),"주식회사",""),"㈜","")))</f>
        <v/>
      </c>
      <c r="H2211" s="10" t="str">
        <f aca="false">IF($B2211="","",SUBSTITUTE(SUBSTITUTE(SUBSTITUTE($B2211,"-","")," ",""),".",""))</f>
        <v/>
      </c>
      <c r="I2211" s="10" t="str">
        <f aca="false">IF($D2211="","",SUBSTITUTE(SUBSTITUTE(SUBSTITUTE($D2211,"-","")," ",""),".",""))</f>
        <v/>
      </c>
      <c r="J2211" s="10" t="str">
        <f aca="false">IF($E2211="","",UPPER(SUBSTITUTE($E2211," ","")))</f>
        <v/>
      </c>
      <c r="K2211" s="10" t="str">
        <f aca="false">IF($A2211="","",$G2211&amp;"|"&amp;$J2211)</f>
        <v/>
      </c>
      <c r="L2211" s="10" t="str">
        <f aca="false">IF($A2211="","",ROW()-2)</f>
        <v/>
      </c>
      <c r="M2211" s="10" t="str">
        <f aca="false">IF($A2211="","",ROW())</f>
        <v/>
      </c>
    </row>
    <row r="2212" customFormat="false" ht="15" hidden="false" customHeight="true" outlineLevel="0" collapsed="false">
      <c r="A2212" s="8"/>
      <c r="B2212" s="8"/>
      <c r="C2212" s="8"/>
      <c r="D2212" s="8"/>
      <c r="E2212" s="8"/>
      <c r="F2212" s="8"/>
      <c r="G2212" s="10" t="str">
        <f aca="false">IF($A2212="","",UPPER(SUBSTITUTE(SUBSTITUTE(SUBSTITUTE(SUBSTITUTE($A2212," ",""),"(주)",""),"주식회사",""),"㈜","")))</f>
        <v/>
      </c>
      <c r="H2212" s="10" t="str">
        <f aca="false">IF($B2212="","",SUBSTITUTE(SUBSTITUTE(SUBSTITUTE($B2212,"-","")," ",""),".",""))</f>
        <v/>
      </c>
      <c r="I2212" s="10" t="str">
        <f aca="false">IF($D2212="","",SUBSTITUTE(SUBSTITUTE(SUBSTITUTE($D2212,"-","")," ",""),".",""))</f>
        <v/>
      </c>
      <c r="J2212" s="10" t="str">
        <f aca="false">IF($E2212="","",UPPER(SUBSTITUTE($E2212," ","")))</f>
        <v/>
      </c>
      <c r="K2212" s="10" t="str">
        <f aca="false">IF($A2212="","",$G2212&amp;"|"&amp;$J2212)</f>
        <v/>
      </c>
      <c r="L2212" s="10" t="str">
        <f aca="false">IF($A2212="","",ROW()-2)</f>
        <v/>
      </c>
      <c r="M2212" s="10" t="str">
        <f aca="false">IF($A2212="","",ROW())</f>
        <v/>
      </c>
    </row>
    <row r="2213" customFormat="false" ht="15" hidden="false" customHeight="true" outlineLevel="0" collapsed="false">
      <c r="A2213" s="8"/>
      <c r="B2213" s="8"/>
      <c r="C2213" s="8"/>
      <c r="D2213" s="8"/>
      <c r="E2213" s="8"/>
      <c r="F2213" s="8"/>
      <c r="G2213" s="10" t="str">
        <f aca="false">IF($A2213="","",UPPER(SUBSTITUTE(SUBSTITUTE(SUBSTITUTE(SUBSTITUTE($A2213," ",""),"(주)",""),"주식회사",""),"㈜","")))</f>
        <v/>
      </c>
      <c r="H2213" s="10" t="str">
        <f aca="false">IF($B2213="","",SUBSTITUTE(SUBSTITUTE(SUBSTITUTE($B2213,"-","")," ",""),".",""))</f>
        <v/>
      </c>
      <c r="I2213" s="10" t="str">
        <f aca="false">IF($D2213="","",SUBSTITUTE(SUBSTITUTE(SUBSTITUTE($D2213,"-","")," ",""),".",""))</f>
        <v/>
      </c>
      <c r="J2213" s="10" t="str">
        <f aca="false">IF($E2213="","",UPPER(SUBSTITUTE($E2213," ","")))</f>
        <v/>
      </c>
      <c r="K2213" s="10" t="str">
        <f aca="false">IF($A2213="","",$G2213&amp;"|"&amp;$J2213)</f>
        <v/>
      </c>
      <c r="L2213" s="10" t="str">
        <f aca="false">IF($A2213="","",ROW()-2)</f>
        <v/>
      </c>
      <c r="M2213" s="10" t="str">
        <f aca="false">IF($A2213="","",ROW())</f>
        <v/>
      </c>
    </row>
    <row r="2214" customFormat="false" ht="15" hidden="false" customHeight="true" outlineLevel="0" collapsed="false">
      <c r="A2214" s="8"/>
      <c r="B2214" s="8"/>
      <c r="C2214" s="8"/>
      <c r="D2214" s="8"/>
      <c r="E2214" s="8"/>
      <c r="F2214" s="8"/>
      <c r="G2214" s="10" t="str">
        <f aca="false">IF($A2214="","",UPPER(SUBSTITUTE(SUBSTITUTE(SUBSTITUTE(SUBSTITUTE($A2214," ",""),"(주)",""),"주식회사",""),"㈜","")))</f>
        <v/>
      </c>
      <c r="H2214" s="10" t="str">
        <f aca="false">IF($B2214="","",SUBSTITUTE(SUBSTITUTE(SUBSTITUTE($B2214,"-","")," ",""),".",""))</f>
        <v/>
      </c>
      <c r="I2214" s="10" t="str">
        <f aca="false">IF($D2214="","",SUBSTITUTE(SUBSTITUTE(SUBSTITUTE($D2214,"-","")," ",""),".",""))</f>
        <v/>
      </c>
      <c r="J2214" s="10" t="str">
        <f aca="false">IF($E2214="","",UPPER(SUBSTITUTE($E2214," ","")))</f>
        <v/>
      </c>
      <c r="K2214" s="10" t="str">
        <f aca="false">IF($A2214="","",$G2214&amp;"|"&amp;$J2214)</f>
        <v/>
      </c>
      <c r="L2214" s="10" t="str">
        <f aca="false">IF($A2214="","",ROW()-2)</f>
        <v/>
      </c>
      <c r="M2214" s="10" t="str">
        <f aca="false">IF($A2214="","",ROW())</f>
        <v/>
      </c>
    </row>
    <row r="2215" customFormat="false" ht="15" hidden="false" customHeight="true" outlineLevel="0" collapsed="false">
      <c r="A2215" s="8"/>
      <c r="B2215" s="8"/>
      <c r="C2215" s="8"/>
      <c r="D2215" s="8"/>
      <c r="E2215" s="8"/>
      <c r="F2215" s="8"/>
      <c r="G2215" s="10" t="str">
        <f aca="false">IF($A2215="","",UPPER(SUBSTITUTE(SUBSTITUTE(SUBSTITUTE(SUBSTITUTE($A2215," ",""),"(주)",""),"주식회사",""),"㈜","")))</f>
        <v/>
      </c>
      <c r="H2215" s="10" t="str">
        <f aca="false">IF($B2215="","",SUBSTITUTE(SUBSTITUTE(SUBSTITUTE($B2215,"-","")," ",""),".",""))</f>
        <v/>
      </c>
      <c r="I2215" s="10" t="str">
        <f aca="false">IF($D2215="","",SUBSTITUTE(SUBSTITUTE(SUBSTITUTE($D2215,"-","")," ",""),".",""))</f>
        <v/>
      </c>
      <c r="J2215" s="10" t="str">
        <f aca="false">IF($E2215="","",UPPER(SUBSTITUTE($E2215," ","")))</f>
        <v/>
      </c>
      <c r="K2215" s="10" t="str">
        <f aca="false">IF($A2215="","",$G2215&amp;"|"&amp;$J2215)</f>
        <v/>
      </c>
      <c r="L2215" s="10" t="str">
        <f aca="false">IF($A2215="","",ROW()-2)</f>
        <v/>
      </c>
      <c r="M2215" s="10" t="str">
        <f aca="false">IF($A2215="","",ROW())</f>
        <v/>
      </c>
    </row>
    <row r="2216" customFormat="false" ht="15" hidden="false" customHeight="true" outlineLevel="0" collapsed="false">
      <c r="A2216" s="8"/>
      <c r="B2216" s="8"/>
      <c r="C2216" s="8"/>
      <c r="D2216" s="8"/>
      <c r="E2216" s="8"/>
      <c r="F2216" s="8"/>
      <c r="G2216" s="10" t="str">
        <f aca="false">IF($A2216="","",UPPER(SUBSTITUTE(SUBSTITUTE(SUBSTITUTE(SUBSTITUTE($A2216," ",""),"(주)",""),"주식회사",""),"㈜","")))</f>
        <v/>
      </c>
      <c r="H2216" s="10" t="str">
        <f aca="false">IF($B2216="","",SUBSTITUTE(SUBSTITUTE(SUBSTITUTE($B2216,"-","")," ",""),".",""))</f>
        <v/>
      </c>
      <c r="I2216" s="10" t="str">
        <f aca="false">IF($D2216="","",SUBSTITUTE(SUBSTITUTE(SUBSTITUTE($D2216,"-","")," ",""),".",""))</f>
        <v/>
      </c>
      <c r="J2216" s="10" t="str">
        <f aca="false">IF($E2216="","",UPPER(SUBSTITUTE($E2216," ","")))</f>
        <v/>
      </c>
      <c r="K2216" s="10" t="str">
        <f aca="false">IF($A2216="","",$G2216&amp;"|"&amp;$J2216)</f>
        <v/>
      </c>
      <c r="L2216" s="10" t="str">
        <f aca="false">IF($A2216="","",ROW()-2)</f>
        <v/>
      </c>
      <c r="M2216" s="10" t="str">
        <f aca="false">IF($A2216="","",ROW())</f>
        <v/>
      </c>
    </row>
    <row r="2217" customFormat="false" ht="15" hidden="false" customHeight="true" outlineLevel="0" collapsed="false">
      <c r="A2217" s="8"/>
      <c r="B2217" s="8"/>
      <c r="C2217" s="8"/>
      <c r="D2217" s="8"/>
      <c r="E2217" s="8"/>
      <c r="F2217" s="8"/>
      <c r="G2217" s="10" t="str">
        <f aca="false">IF($A2217="","",UPPER(SUBSTITUTE(SUBSTITUTE(SUBSTITUTE(SUBSTITUTE($A2217," ",""),"(주)",""),"주식회사",""),"㈜","")))</f>
        <v/>
      </c>
      <c r="H2217" s="10" t="str">
        <f aca="false">IF($B2217="","",SUBSTITUTE(SUBSTITUTE(SUBSTITUTE($B2217,"-","")," ",""),".",""))</f>
        <v/>
      </c>
      <c r="I2217" s="10" t="str">
        <f aca="false">IF($D2217="","",SUBSTITUTE(SUBSTITUTE(SUBSTITUTE($D2217,"-","")," ",""),".",""))</f>
        <v/>
      </c>
      <c r="J2217" s="10" t="str">
        <f aca="false">IF($E2217="","",UPPER(SUBSTITUTE($E2217," ","")))</f>
        <v/>
      </c>
      <c r="K2217" s="10" t="str">
        <f aca="false">IF($A2217="","",$G2217&amp;"|"&amp;$J2217)</f>
        <v/>
      </c>
      <c r="L2217" s="10" t="str">
        <f aca="false">IF($A2217="","",ROW()-2)</f>
        <v/>
      </c>
      <c r="M2217" s="10" t="str">
        <f aca="false">IF($A2217="","",ROW())</f>
        <v/>
      </c>
    </row>
    <row r="2218" customFormat="false" ht="15" hidden="false" customHeight="true" outlineLevel="0" collapsed="false">
      <c r="A2218" s="8"/>
      <c r="B2218" s="8"/>
      <c r="C2218" s="8"/>
      <c r="D2218" s="8"/>
      <c r="E2218" s="8"/>
      <c r="F2218" s="8"/>
      <c r="G2218" s="10" t="str">
        <f aca="false">IF($A2218="","",UPPER(SUBSTITUTE(SUBSTITUTE(SUBSTITUTE(SUBSTITUTE($A2218," ",""),"(주)",""),"주식회사",""),"㈜","")))</f>
        <v/>
      </c>
      <c r="H2218" s="10" t="str">
        <f aca="false">IF($B2218="","",SUBSTITUTE(SUBSTITUTE(SUBSTITUTE($B2218,"-","")," ",""),".",""))</f>
        <v/>
      </c>
      <c r="I2218" s="10" t="str">
        <f aca="false">IF($D2218="","",SUBSTITUTE(SUBSTITUTE(SUBSTITUTE($D2218,"-","")," ",""),".",""))</f>
        <v/>
      </c>
      <c r="J2218" s="10" t="str">
        <f aca="false">IF($E2218="","",UPPER(SUBSTITUTE($E2218," ","")))</f>
        <v/>
      </c>
      <c r="K2218" s="10" t="str">
        <f aca="false">IF($A2218="","",$G2218&amp;"|"&amp;$J2218)</f>
        <v/>
      </c>
      <c r="L2218" s="10" t="str">
        <f aca="false">IF($A2218="","",ROW()-2)</f>
        <v/>
      </c>
      <c r="M2218" s="10" t="str">
        <f aca="false">IF($A2218="","",ROW())</f>
        <v/>
      </c>
    </row>
    <row r="2219" customFormat="false" ht="15" hidden="false" customHeight="true" outlineLevel="0" collapsed="false">
      <c r="A2219" s="8"/>
      <c r="B2219" s="8"/>
      <c r="C2219" s="8"/>
      <c r="D2219" s="8"/>
      <c r="E2219" s="8"/>
      <c r="F2219" s="8"/>
      <c r="G2219" s="10" t="str">
        <f aca="false">IF($A2219="","",UPPER(SUBSTITUTE(SUBSTITUTE(SUBSTITUTE(SUBSTITUTE($A2219," ",""),"(주)",""),"주식회사",""),"㈜","")))</f>
        <v/>
      </c>
      <c r="H2219" s="10" t="str">
        <f aca="false">IF($B2219="","",SUBSTITUTE(SUBSTITUTE(SUBSTITUTE($B2219,"-","")," ",""),".",""))</f>
        <v/>
      </c>
      <c r="I2219" s="10" t="str">
        <f aca="false">IF($D2219="","",SUBSTITUTE(SUBSTITUTE(SUBSTITUTE($D2219,"-","")," ",""),".",""))</f>
        <v/>
      </c>
      <c r="J2219" s="10" t="str">
        <f aca="false">IF($E2219="","",UPPER(SUBSTITUTE($E2219," ","")))</f>
        <v/>
      </c>
      <c r="K2219" s="10" t="str">
        <f aca="false">IF($A2219="","",$G2219&amp;"|"&amp;$J2219)</f>
        <v/>
      </c>
      <c r="L2219" s="10" t="str">
        <f aca="false">IF($A2219="","",ROW()-2)</f>
        <v/>
      </c>
      <c r="M2219" s="10" t="str">
        <f aca="false">IF($A2219="","",ROW())</f>
        <v/>
      </c>
    </row>
    <row r="2220" customFormat="false" ht="15" hidden="false" customHeight="true" outlineLevel="0" collapsed="false">
      <c r="A2220" s="8"/>
      <c r="B2220" s="8"/>
      <c r="C2220" s="8"/>
      <c r="D2220" s="8"/>
      <c r="E2220" s="8"/>
      <c r="F2220" s="8"/>
      <c r="G2220" s="10" t="str">
        <f aca="false">IF($A2220="","",UPPER(SUBSTITUTE(SUBSTITUTE(SUBSTITUTE(SUBSTITUTE($A2220," ",""),"(주)",""),"주식회사",""),"㈜","")))</f>
        <v/>
      </c>
      <c r="H2220" s="10" t="str">
        <f aca="false">IF($B2220="","",SUBSTITUTE(SUBSTITUTE(SUBSTITUTE($B2220,"-","")," ",""),".",""))</f>
        <v/>
      </c>
      <c r="I2220" s="10" t="str">
        <f aca="false">IF($D2220="","",SUBSTITUTE(SUBSTITUTE(SUBSTITUTE($D2220,"-","")," ",""),".",""))</f>
        <v/>
      </c>
      <c r="J2220" s="10" t="str">
        <f aca="false">IF($E2220="","",UPPER(SUBSTITUTE($E2220," ","")))</f>
        <v/>
      </c>
      <c r="K2220" s="10" t="str">
        <f aca="false">IF($A2220="","",$G2220&amp;"|"&amp;$J2220)</f>
        <v/>
      </c>
      <c r="L2220" s="10" t="str">
        <f aca="false">IF($A2220="","",ROW()-2)</f>
        <v/>
      </c>
      <c r="M2220" s="10" t="str">
        <f aca="false">IF($A2220="","",ROW())</f>
        <v/>
      </c>
    </row>
    <row r="2221" customFormat="false" ht="15" hidden="false" customHeight="true" outlineLevel="0" collapsed="false">
      <c r="A2221" s="8"/>
      <c r="B2221" s="8"/>
      <c r="C2221" s="8"/>
      <c r="D2221" s="8"/>
      <c r="E2221" s="8"/>
      <c r="F2221" s="8"/>
      <c r="G2221" s="10" t="str">
        <f aca="false">IF($A2221="","",UPPER(SUBSTITUTE(SUBSTITUTE(SUBSTITUTE(SUBSTITUTE($A2221," ",""),"(주)",""),"주식회사",""),"㈜","")))</f>
        <v/>
      </c>
      <c r="H2221" s="10" t="str">
        <f aca="false">IF($B2221="","",SUBSTITUTE(SUBSTITUTE(SUBSTITUTE($B2221,"-","")," ",""),".",""))</f>
        <v/>
      </c>
      <c r="I2221" s="10" t="str">
        <f aca="false">IF($D2221="","",SUBSTITUTE(SUBSTITUTE(SUBSTITUTE($D2221,"-","")," ",""),".",""))</f>
        <v/>
      </c>
      <c r="J2221" s="10" t="str">
        <f aca="false">IF($E2221="","",UPPER(SUBSTITUTE($E2221," ","")))</f>
        <v/>
      </c>
      <c r="K2221" s="10" t="str">
        <f aca="false">IF($A2221="","",$G2221&amp;"|"&amp;$J2221)</f>
        <v/>
      </c>
      <c r="L2221" s="10" t="str">
        <f aca="false">IF($A2221="","",ROW()-2)</f>
        <v/>
      </c>
      <c r="M2221" s="10" t="str">
        <f aca="false">IF($A2221="","",ROW())</f>
        <v/>
      </c>
    </row>
    <row r="2222" customFormat="false" ht="15" hidden="false" customHeight="true" outlineLevel="0" collapsed="false">
      <c r="A2222" s="8"/>
      <c r="B2222" s="8"/>
      <c r="C2222" s="8"/>
      <c r="D2222" s="8"/>
      <c r="E2222" s="8"/>
      <c r="F2222" s="8"/>
      <c r="G2222" s="10" t="str">
        <f aca="false">IF($A2222="","",UPPER(SUBSTITUTE(SUBSTITUTE(SUBSTITUTE(SUBSTITUTE($A2222," ",""),"(주)",""),"주식회사",""),"㈜","")))</f>
        <v/>
      </c>
      <c r="H2222" s="10" t="str">
        <f aca="false">IF($B2222="","",SUBSTITUTE(SUBSTITUTE(SUBSTITUTE($B2222,"-","")," ",""),".",""))</f>
        <v/>
      </c>
      <c r="I2222" s="10" t="str">
        <f aca="false">IF($D2222="","",SUBSTITUTE(SUBSTITUTE(SUBSTITUTE($D2222,"-","")," ",""),".",""))</f>
        <v/>
      </c>
      <c r="J2222" s="10" t="str">
        <f aca="false">IF($E2222="","",UPPER(SUBSTITUTE($E2222," ","")))</f>
        <v/>
      </c>
      <c r="K2222" s="10" t="str">
        <f aca="false">IF($A2222="","",$G2222&amp;"|"&amp;$J2222)</f>
        <v/>
      </c>
      <c r="L2222" s="10" t="str">
        <f aca="false">IF($A2222="","",ROW()-2)</f>
        <v/>
      </c>
      <c r="M2222" s="10" t="str">
        <f aca="false">IF($A2222="","",ROW())</f>
        <v/>
      </c>
    </row>
    <row r="2223" customFormat="false" ht="15" hidden="false" customHeight="true" outlineLevel="0" collapsed="false">
      <c r="A2223" s="8"/>
      <c r="B2223" s="8"/>
      <c r="C2223" s="8"/>
      <c r="D2223" s="8"/>
      <c r="E2223" s="8"/>
      <c r="F2223" s="8"/>
      <c r="G2223" s="10" t="str">
        <f aca="false">IF($A2223="","",UPPER(SUBSTITUTE(SUBSTITUTE(SUBSTITUTE(SUBSTITUTE($A2223," ",""),"(주)",""),"주식회사",""),"㈜","")))</f>
        <v/>
      </c>
      <c r="H2223" s="10" t="str">
        <f aca="false">IF($B2223="","",SUBSTITUTE(SUBSTITUTE(SUBSTITUTE($B2223,"-","")," ",""),".",""))</f>
        <v/>
      </c>
      <c r="I2223" s="10" t="str">
        <f aca="false">IF($D2223="","",SUBSTITUTE(SUBSTITUTE(SUBSTITUTE($D2223,"-","")," ",""),".",""))</f>
        <v/>
      </c>
      <c r="J2223" s="10" t="str">
        <f aca="false">IF($E2223="","",UPPER(SUBSTITUTE($E2223," ","")))</f>
        <v/>
      </c>
      <c r="K2223" s="10" t="str">
        <f aca="false">IF($A2223="","",$G2223&amp;"|"&amp;$J2223)</f>
        <v/>
      </c>
      <c r="L2223" s="10" t="str">
        <f aca="false">IF($A2223="","",ROW()-2)</f>
        <v/>
      </c>
      <c r="M2223" s="10" t="str">
        <f aca="false">IF($A2223="","",ROW())</f>
        <v/>
      </c>
    </row>
    <row r="2224" customFormat="false" ht="15" hidden="false" customHeight="true" outlineLevel="0" collapsed="false">
      <c r="A2224" s="8"/>
      <c r="B2224" s="8"/>
      <c r="C2224" s="8"/>
      <c r="D2224" s="8"/>
      <c r="E2224" s="8"/>
      <c r="F2224" s="8"/>
      <c r="G2224" s="10" t="str">
        <f aca="false">IF($A2224="","",UPPER(SUBSTITUTE(SUBSTITUTE(SUBSTITUTE(SUBSTITUTE($A2224," ",""),"(주)",""),"주식회사",""),"㈜","")))</f>
        <v/>
      </c>
      <c r="H2224" s="10" t="str">
        <f aca="false">IF($B2224="","",SUBSTITUTE(SUBSTITUTE(SUBSTITUTE($B2224,"-","")," ",""),".",""))</f>
        <v/>
      </c>
      <c r="I2224" s="10" t="str">
        <f aca="false">IF($D2224="","",SUBSTITUTE(SUBSTITUTE(SUBSTITUTE($D2224,"-","")," ",""),".",""))</f>
        <v/>
      </c>
      <c r="J2224" s="10" t="str">
        <f aca="false">IF($E2224="","",UPPER(SUBSTITUTE($E2224," ","")))</f>
        <v/>
      </c>
      <c r="K2224" s="10" t="str">
        <f aca="false">IF($A2224="","",$G2224&amp;"|"&amp;$J2224)</f>
        <v/>
      </c>
      <c r="L2224" s="10" t="str">
        <f aca="false">IF($A2224="","",ROW()-2)</f>
        <v/>
      </c>
      <c r="M2224" s="10" t="str">
        <f aca="false">IF($A2224="","",ROW())</f>
        <v/>
      </c>
    </row>
    <row r="2225" customFormat="false" ht="15" hidden="false" customHeight="true" outlineLevel="0" collapsed="false">
      <c r="A2225" s="8"/>
      <c r="B2225" s="8"/>
      <c r="C2225" s="8"/>
      <c r="D2225" s="8"/>
      <c r="E2225" s="8"/>
      <c r="F2225" s="8"/>
      <c r="G2225" s="10" t="str">
        <f aca="false">IF($A2225="","",UPPER(SUBSTITUTE(SUBSTITUTE(SUBSTITUTE(SUBSTITUTE($A2225," ",""),"(주)",""),"주식회사",""),"㈜","")))</f>
        <v/>
      </c>
      <c r="H2225" s="10" t="str">
        <f aca="false">IF($B2225="","",SUBSTITUTE(SUBSTITUTE(SUBSTITUTE($B2225,"-","")," ",""),".",""))</f>
        <v/>
      </c>
      <c r="I2225" s="10" t="str">
        <f aca="false">IF($D2225="","",SUBSTITUTE(SUBSTITUTE(SUBSTITUTE($D2225,"-","")," ",""),".",""))</f>
        <v/>
      </c>
      <c r="J2225" s="10" t="str">
        <f aca="false">IF($E2225="","",UPPER(SUBSTITUTE($E2225," ","")))</f>
        <v/>
      </c>
      <c r="K2225" s="10" t="str">
        <f aca="false">IF($A2225="","",$G2225&amp;"|"&amp;$J2225)</f>
        <v/>
      </c>
      <c r="L2225" s="10" t="str">
        <f aca="false">IF($A2225="","",ROW()-2)</f>
        <v/>
      </c>
      <c r="M2225" s="10" t="str">
        <f aca="false">IF($A2225="","",ROW())</f>
        <v/>
      </c>
    </row>
    <row r="2226" customFormat="false" ht="15" hidden="false" customHeight="true" outlineLevel="0" collapsed="false">
      <c r="A2226" s="8"/>
      <c r="B2226" s="8"/>
      <c r="C2226" s="8"/>
      <c r="D2226" s="8"/>
      <c r="E2226" s="8"/>
      <c r="F2226" s="8"/>
      <c r="G2226" s="10" t="str">
        <f aca="false">IF($A2226="","",UPPER(SUBSTITUTE(SUBSTITUTE(SUBSTITUTE(SUBSTITUTE($A2226," ",""),"(주)",""),"주식회사",""),"㈜","")))</f>
        <v/>
      </c>
      <c r="H2226" s="10" t="str">
        <f aca="false">IF($B2226="","",SUBSTITUTE(SUBSTITUTE(SUBSTITUTE($B2226,"-","")," ",""),".",""))</f>
        <v/>
      </c>
      <c r="I2226" s="10" t="str">
        <f aca="false">IF($D2226="","",SUBSTITUTE(SUBSTITUTE(SUBSTITUTE($D2226,"-","")," ",""),".",""))</f>
        <v/>
      </c>
      <c r="J2226" s="10" t="str">
        <f aca="false">IF($E2226="","",UPPER(SUBSTITUTE($E2226," ","")))</f>
        <v/>
      </c>
      <c r="K2226" s="10" t="str">
        <f aca="false">IF($A2226="","",$G2226&amp;"|"&amp;$J2226)</f>
        <v/>
      </c>
      <c r="L2226" s="10" t="str">
        <f aca="false">IF($A2226="","",ROW()-2)</f>
        <v/>
      </c>
      <c r="M2226" s="10" t="str">
        <f aca="false">IF($A2226="","",ROW())</f>
        <v/>
      </c>
    </row>
    <row r="2227" customFormat="false" ht="15" hidden="false" customHeight="true" outlineLevel="0" collapsed="false">
      <c r="A2227" s="8"/>
      <c r="B2227" s="8"/>
      <c r="C2227" s="8"/>
      <c r="D2227" s="8"/>
      <c r="E2227" s="8"/>
      <c r="F2227" s="8"/>
      <c r="G2227" s="10" t="str">
        <f aca="false">IF($A2227="","",UPPER(SUBSTITUTE(SUBSTITUTE(SUBSTITUTE(SUBSTITUTE($A2227," ",""),"(주)",""),"주식회사",""),"㈜","")))</f>
        <v/>
      </c>
      <c r="H2227" s="10" t="str">
        <f aca="false">IF($B2227="","",SUBSTITUTE(SUBSTITUTE(SUBSTITUTE($B2227,"-","")," ",""),".",""))</f>
        <v/>
      </c>
      <c r="I2227" s="10" t="str">
        <f aca="false">IF($D2227="","",SUBSTITUTE(SUBSTITUTE(SUBSTITUTE($D2227,"-","")," ",""),".",""))</f>
        <v/>
      </c>
      <c r="J2227" s="10" t="str">
        <f aca="false">IF($E2227="","",UPPER(SUBSTITUTE($E2227," ","")))</f>
        <v/>
      </c>
      <c r="K2227" s="10" t="str">
        <f aca="false">IF($A2227="","",$G2227&amp;"|"&amp;$J2227)</f>
        <v/>
      </c>
      <c r="L2227" s="10" t="str">
        <f aca="false">IF($A2227="","",ROW()-2)</f>
        <v/>
      </c>
      <c r="M2227" s="10" t="str">
        <f aca="false">IF($A2227="","",ROW())</f>
        <v/>
      </c>
    </row>
    <row r="2228" customFormat="false" ht="15" hidden="false" customHeight="true" outlineLevel="0" collapsed="false">
      <c r="A2228" s="8"/>
      <c r="B2228" s="8"/>
      <c r="C2228" s="8"/>
      <c r="D2228" s="8"/>
      <c r="E2228" s="8"/>
      <c r="F2228" s="8"/>
      <c r="G2228" s="10" t="str">
        <f aca="false">IF($A2228="","",UPPER(SUBSTITUTE(SUBSTITUTE(SUBSTITUTE(SUBSTITUTE($A2228," ",""),"(주)",""),"주식회사",""),"㈜","")))</f>
        <v/>
      </c>
      <c r="H2228" s="10" t="str">
        <f aca="false">IF($B2228="","",SUBSTITUTE(SUBSTITUTE(SUBSTITUTE($B2228,"-","")," ",""),".",""))</f>
        <v/>
      </c>
      <c r="I2228" s="10" t="str">
        <f aca="false">IF($D2228="","",SUBSTITUTE(SUBSTITUTE(SUBSTITUTE($D2228,"-","")," ",""),".",""))</f>
        <v/>
      </c>
      <c r="J2228" s="10" t="str">
        <f aca="false">IF($E2228="","",UPPER(SUBSTITUTE($E2228," ","")))</f>
        <v/>
      </c>
      <c r="K2228" s="10" t="str">
        <f aca="false">IF($A2228="","",$G2228&amp;"|"&amp;$J2228)</f>
        <v/>
      </c>
      <c r="L2228" s="10" t="str">
        <f aca="false">IF($A2228="","",ROW()-2)</f>
        <v/>
      </c>
      <c r="M2228" s="10" t="str">
        <f aca="false">IF($A2228="","",ROW())</f>
        <v/>
      </c>
    </row>
    <row r="2229" customFormat="false" ht="15" hidden="false" customHeight="true" outlineLevel="0" collapsed="false">
      <c r="A2229" s="8"/>
      <c r="B2229" s="8"/>
      <c r="C2229" s="8"/>
      <c r="D2229" s="8"/>
      <c r="E2229" s="8"/>
      <c r="F2229" s="8"/>
      <c r="G2229" s="10" t="str">
        <f aca="false">IF($A2229="","",UPPER(SUBSTITUTE(SUBSTITUTE(SUBSTITUTE(SUBSTITUTE($A2229," ",""),"(주)",""),"주식회사",""),"㈜","")))</f>
        <v/>
      </c>
      <c r="H2229" s="10" t="str">
        <f aca="false">IF($B2229="","",SUBSTITUTE(SUBSTITUTE(SUBSTITUTE($B2229,"-","")," ",""),".",""))</f>
        <v/>
      </c>
      <c r="I2229" s="10" t="str">
        <f aca="false">IF($D2229="","",SUBSTITUTE(SUBSTITUTE(SUBSTITUTE($D2229,"-","")," ",""),".",""))</f>
        <v/>
      </c>
      <c r="J2229" s="10" t="str">
        <f aca="false">IF($E2229="","",UPPER(SUBSTITUTE($E2229," ","")))</f>
        <v/>
      </c>
      <c r="K2229" s="10" t="str">
        <f aca="false">IF($A2229="","",$G2229&amp;"|"&amp;$J2229)</f>
        <v/>
      </c>
      <c r="L2229" s="10" t="str">
        <f aca="false">IF($A2229="","",ROW()-2)</f>
        <v/>
      </c>
      <c r="M2229" s="10" t="str">
        <f aca="false">IF($A2229="","",ROW())</f>
        <v/>
      </c>
    </row>
    <row r="2230" customFormat="false" ht="15" hidden="false" customHeight="true" outlineLevel="0" collapsed="false">
      <c r="A2230" s="8"/>
      <c r="B2230" s="8"/>
      <c r="C2230" s="8"/>
      <c r="D2230" s="8"/>
      <c r="E2230" s="8"/>
      <c r="F2230" s="8"/>
      <c r="G2230" s="10" t="str">
        <f aca="false">IF($A2230="","",UPPER(SUBSTITUTE(SUBSTITUTE(SUBSTITUTE(SUBSTITUTE($A2230," ",""),"(주)",""),"주식회사",""),"㈜","")))</f>
        <v/>
      </c>
      <c r="H2230" s="10" t="str">
        <f aca="false">IF($B2230="","",SUBSTITUTE(SUBSTITUTE(SUBSTITUTE($B2230,"-","")," ",""),".",""))</f>
        <v/>
      </c>
      <c r="I2230" s="10" t="str">
        <f aca="false">IF($D2230="","",SUBSTITUTE(SUBSTITUTE(SUBSTITUTE($D2230,"-","")," ",""),".",""))</f>
        <v/>
      </c>
      <c r="J2230" s="10" t="str">
        <f aca="false">IF($E2230="","",UPPER(SUBSTITUTE($E2230," ","")))</f>
        <v/>
      </c>
      <c r="K2230" s="10" t="str">
        <f aca="false">IF($A2230="","",$G2230&amp;"|"&amp;$J2230)</f>
        <v/>
      </c>
      <c r="L2230" s="10" t="str">
        <f aca="false">IF($A2230="","",ROW()-2)</f>
        <v/>
      </c>
      <c r="M2230" s="10" t="str">
        <f aca="false">IF($A2230="","",ROW())</f>
        <v/>
      </c>
    </row>
    <row r="2231" customFormat="false" ht="15" hidden="false" customHeight="true" outlineLevel="0" collapsed="false">
      <c r="A2231" s="8"/>
      <c r="B2231" s="8"/>
      <c r="C2231" s="8"/>
      <c r="D2231" s="8"/>
      <c r="E2231" s="8"/>
      <c r="F2231" s="8"/>
      <c r="G2231" s="10" t="str">
        <f aca="false">IF($A2231="","",UPPER(SUBSTITUTE(SUBSTITUTE(SUBSTITUTE(SUBSTITUTE($A2231," ",""),"(주)",""),"주식회사",""),"㈜","")))</f>
        <v/>
      </c>
      <c r="H2231" s="10" t="str">
        <f aca="false">IF($B2231="","",SUBSTITUTE(SUBSTITUTE(SUBSTITUTE($B2231,"-","")," ",""),".",""))</f>
        <v/>
      </c>
      <c r="I2231" s="10" t="str">
        <f aca="false">IF($D2231="","",SUBSTITUTE(SUBSTITUTE(SUBSTITUTE($D2231,"-","")," ",""),".",""))</f>
        <v/>
      </c>
      <c r="J2231" s="10" t="str">
        <f aca="false">IF($E2231="","",UPPER(SUBSTITUTE($E2231," ","")))</f>
        <v/>
      </c>
      <c r="K2231" s="10" t="str">
        <f aca="false">IF($A2231="","",$G2231&amp;"|"&amp;$J2231)</f>
        <v/>
      </c>
      <c r="L2231" s="10" t="str">
        <f aca="false">IF($A2231="","",ROW()-2)</f>
        <v/>
      </c>
      <c r="M2231" s="10" t="str">
        <f aca="false">IF($A2231="","",ROW())</f>
        <v/>
      </c>
    </row>
    <row r="2232" customFormat="false" ht="15" hidden="false" customHeight="true" outlineLevel="0" collapsed="false">
      <c r="A2232" s="8"/>
      <c r="B2232" s="8"/>
      <c r="C2232" s="8"/>
      <c r="D2232" s="8"/>
      <c r="E2232" s="8"/>
      <c r="F2232" s="8"/>
      <c r="G2232" s="10" t="str">
        <f aca="false">IF($A2232="","",UPPER(SUBSTITUTE(SUBSTITUTE(SUBSTITUTE(SUBSTITUTE($A2232," ",""),"(주)",""),"주식회사",""),"㈜","")))</f>
        <v/>
      </c>
      <c r="H2232" s="10" t="str">
        <f aca="false">IF($B2232="","",SUBSTITUTE(SUBSTITUTE(SUBSTITUTE($B2232,"-","")," ",""),".",""))</f>
        <v/>
      </c>
      <c r="I2232" s="10" t="str">
        <f aca="false">IF($D2232="","",SUBSTITUTE(SUBSTITUTE(SUBSTITUTE($D2232,"-","")," ",""),".",""))</f>
        <v/>
      </c>
      <c r="J2232" s="10" t="str">
        <f aca="false">IF($E2232="","",UPPER(SUBSTITUTE($E2232," ","")))</f>
        <v/>
      </c>
      <c r="K2232" s="10" t="str">
        <f aca="false">IF($A2232="","",$G2232&amp;"|"&amp;$J2232)</f>
        <v/>
      </c>
      <c r="L2232" s="10" t="str">
        <f aca="false">IF($A2232="","",ROW()-2)</f>
        <v/>
      </c>
      <c r="M2232" s="10" t="str">
        <f aca="false">IF($A2232="","",ROW())</f>
        <v/>
      </c>
    </row>
    <row r="2233" customFormat="false" ht="15" hidden="false" customHeight="true" outlineLevel="0" collapsed="false">
      <c r="A2233" s="8"/>
      <c r="B2233" s="8"/>
      <c r="C2233" s="8"/>
      <c r="D2233" s="8"/>
      <c r="E2233" s="8"/>
      <c r="F2233" s="8"/>
      <c r="G2233" s="10" t="str">
        <f aca="false">IF($A2233="","",UPPER(SUBSTITUTE(SUBSTITUTE(SUBSTITUTE(SUBSTITUTE($A2233," ",""),"(주)",""),"주식회사",""),"㈜","")))</f>
        <v/>
      </c>
      <c r="H2233" s="10" t="str">
        <f aca="false">IF($B2233="","",SUBSTITUTE(SUBSTITUTE(SUBSTITUTE($B2233,"-","")," ",""),".",""))</f>
        <v/>
      </c>
      <c r="I2233" s="10" t="str">
        <f aca="false">IF($D2233="","",SUBSTITUTE(SUBSTITUTE(SUBSTITUTE($D2233,"-","")," ",""),".",""))</f>
        <v/>
      </c>
      <c r="J2233" s="10" t="str">
        <f aca="false">IF($E2233="","",UPPER(SUBSTITUTE($E2233," ","")))</f>
        <v/>
      </c>
      <c r="K2233" s="10" t="str">
        <f aca="false">IF($A2233="","",$G2233&amp;"|"&amp;$J2233)</f>
        <v/>
      </c>
      <c r="L2233" s="10" t="str">
        <f aca="false">IF($A2233="","",ROW()-2)</f>
        <v/>
      </c>
      <c r="M2233" s="10" t="str">
        <f aca="false">IF($A2233="","",ROW())</f>
        <v/>
      </c>
    </row>
    <row r="2234" customFormat="false" ht="15" hidden="false" customHeight="true" outlineLevel="0" collapsed="false">
      <c r="A2234" s="8"/>
      <c r="B2234" s="8"/>
      <c r="C2234" s="8"/>
      <c r="D2234" s="8"/>
      <c r="E2234" s="8"/>
      <c r="F2234" s="8"/>
      <c r="G2234" s="10" t="str">
        <f aca="false">IF($A2234="","",UPPER(SUBSTITUTE(SUBSTITUTE(SUBSTITUTE(SUBSTITUTE($A2234," ",""),"(주)",""),"주식회사",""),"㈜","")))</f>
        <v/>
      </c>
      <c r="H2234" s="10" t="str">
        <f aca="false">IF($B2234="","",SUBSTITUTE(SUBSTITUTE(SUBSTITUTE($B2234,"-","")," ",""),".",""))</f>
        <v/>
      </c>
      <c r="I2234" s="10" t="str">
        <f aca="false">IF($D2234="","",SUBSTITUTE(SUBSTITUTE(SUBSTITUTE($D2234,"-","")," ",""),".",""))</f>
        <v/>
      </c>
      <c r="J2234" s="10" t="str">
        <f aca="false">IF($E2234="","",UPPER(SUBSTITUTE($E2234," ","")))</f>
        <v/>
      </c>
      <c r="K2234" s="10" t="str">
        <f aca="false">IF($A2234="","",$G2234&amp;"|"&amp;$J2234)</f>
        <v/>
      </c>
      <c r="L2234" s="10" t="str">
        <f aca="false">IF($A2234="","",ROW()-2)</f>
        <v/>
      </c>
      <c r="M2234" s="10" t="str">
        <f aca="false">IF($A2234="","",ROW())</f>
        <v/>
      </c>
    </row>
    <row r="2235" customFormat="false" ht="15" hidden="false" customHeight="true" outlineLevel="0" collapsed="false">
      <c r="A2235" s="8"/>
      <c r="B2235" s="8"/>
      <c r="C2235" s="8"/>
      <c r="D2235" s="8"/>
      <c r="E2235" s="8"/>
      <c r="F2235" s="8"/>
      <c r="G2235" s="10" t="str">
        <f aca="false">IF($A2235="","",UPPER(SUBSTITUTE(SUBSTITUTE(SUBSTITUTE(SUBSTITUTE($A2235," ",""),"(주)",""),"주식회사",""),"㈜","")))</f>
        <v/>
      </c>
      <c r="H2235" s="10" t="str">
        <f aca="false">IF($B2235="","",SUBSTITUTE(SUBSTITUTE(SUBSTITUTE($B2235,"-","")," ",""),".",""))</f>
        <v/>
      </c>
      <c r="I2235" s="10" t="str">
        <f aca="false">IF($D2235="","",SUBSTITUTE(SUBSTITUTE(SUBSTITUTE($D2235,"-","")," ",""),".",""))</f>
        <v/>
      </c>
      <c r="J2235" s="10" t="str">
        <f aca="false">IF($E2235="","",UPPER(SUBSTITUTE($E2235," ","")))</f>
        <v/>
      </c>
      <c r="K2235" s="10" t="str">
        <f aca="false">IF($A2235="","",$G2235&amp;"|"&amp;$J2235)</f>
        <v/>
      </c>
      <c r="L2235" s="10" t="str">
        <f aca="false">IF($A2235="","",ROW()-2)</f>
        <v/>
      </c>
      <c r="M2235" s="10" t="str">
        <f aca="false">IF($A2235="","",ROW())</f>
        <v/>
      </c>
    </row>
    <row r="2236" customFormat="false" ht="15" hidden="false" customHeight="true" outlineLevel="0" collapsed="false">
      <c r="A2236" s="8"/>
      <c r="B2236" s="8"/>
      <c r="C2236" s="8"/>
      <c r="D2236" s="8"/>
      <c r="E2236" s="8"/>
      <c r="F2236" s="8"/>
      <c r="G2236" s="10" t="str">
        <f aca="false">IF($A2236="","",UPPER(SUBSTITUTE(SUBSTITUTE(SUBSTITUTE(SUBSTITUTE($A2236," ",""),"(주)",""),"주식회사",""),"㈜","")))</f>
        <v/>
      </c>
      <c r="H2236" s="10" t="str">
        <f aca="false">IF($B2236="","",SUBSTITUTE(SUBSTITUTE(SUBSTITUTE($B2236,"-","")," ",""),".",""))</f>
        <v/>
      </c>
      <c r="I2236" s="10" t="str">
        <f aca="false">IF($D2236="","",SUBSTITUTE(SUBSTITUTE(SUBSTITUTE($D2236,"-","")," ",""),".",""))</f>
        <v/>
      </c>
      <c r="J2236" s="10" t="str">
        <f aca="false">IF($E2236="","",UPPER(SUBSTITUTE($E2236," ","")))</f>
        <v/>
      </c>
      <c r="K2236" s="10" t="str">
        <f aca="false">IF($A2236="","",$G2236&amp;"|"&amp;$J2236)</f>
        <v/>
      </c>
      <c r="L2236" s="10" t="str">
        <f aca="false">IF($A2236="","",ROW()-2)</f>
        <v/>
      </c>
      <c r="M2236" s="10" t="str">
        <f aca="false">IF($A2236="","",ROW())</f>
        <v/>
      </c>
    </row>
    <row r="2237" customFormat="false" ht="15" hidden="false" customHeight="true" outlineLevel="0" collapsed="false">
      <c r="A2237" s="8"/>
      <c r="B2237" s="8"/>
      <c r="C2237" s="8"/>
      <c r="D2237" s="8"/>
      <c r="E2237" s="8"/>
      <c r="F2237" s="8"/>
      <c r="G2237" s="10" t="str">
        <f aca="false">IF($A2237="","",UPPER(SUBSTITUTE(SUBSTITUTE(SUBSTITUTE(SUBSTITUTE($A2237," ",""),"(주)",""),"주식회사",""),"㈜","")))</f>
        <v/>
      </c>
      <c r="H2237" s="10" t="str">
        <f aca="false">IF($B2237="","",SUBSTITUTE(SUBSTITUTE(SUBSTITUTE($B2237,"-","")," ",""),".",""))</f>
        <v/>
      </c>
      <c r="I2237" s="10" t="str">
        <f aca="false">IF($D2237="","",SUBSTITUTE(SUBSTITUTE(SUBSTITUTE($D2237,"-","")," ",""),".",""))</f>
        <v/>
      </c>
      <c r="J2237" s="10" t="str">
        <f aca="false">IF($E2237="","",UPPER(SUBSTITUTE($E2237," ","")))</f>
        <v/>
      </c>
      <c r="K2237" s="10" t="str">
        <f aca="false">IF($A2237="","",$G2237&amp;"|"&amp;$J2237)</f>
        <v/>
      </c>
      <c r="L2237" s="10" t="str">
        <f aca="false">IF($A2237="","",ROW()-2)</f>
        <v/>
      </c>
      <c r="M2237" s="10" t="str">
        <f aca="false">IF($A2237="","",ROW())</f>
        <v/>
      </c>
    </row>
    <row r="2238" customFormat="false" ht="15" hidden="false" customHeight="true" outlineLevel="0" collapsed="false">
      <c r="A2238" s="8"/>
      <c r="B2238" s="8"/>
      <c r="C2238" s="8"/>
      <c r="D2238" s="8"/>
      <c r="E2238" s="8"/>
      <c r="F2238" s="8"/>
      <c r="G2238" s="10" t="str">
        <f aca="false">IF($A2238="","",UPPER(SUBSTITUTE(SUBSTITUTE(SUBSTITUTE(SUBSTITUTE($A2238," ",""),"(주)",""),"주식회사",""),"㈜","")))</f>
        <v/>
      </c>
      <c r="H2238" s="10" t="str">
        <f aca="false">IF($B2238="","",SUBSTITUTE(SUBSTITUTE(SUBSTITUTE($B2238,"-","")," ",""),".",""))</f>
        <v/>
      </c>
      <c r="I2238" s="10" t="str">
        <f aca="false">IF($D2238="","",SUBSTITUTE(SUBSTITUTE(SUBSTITUTE($D2238,"-","")," ",""),".",""))</f>
        <v/>
      </c>
      <c r="J2238" s="10" t="str">
        <f aca="false">IF($E2238="","",UPPER(SUBSTITUTE($E2238," ","")))</f>
        <v/>
      </c>
      <c r="K2238" s="10" t="str">
        <f aca="false">IF($A2238="","",$G2238&amp;"|"&amp;$J2238)</f>
        <v/>
      </c>
      <c r="L2238" s="10" t="str">
        <f aca="false">IF($A2238="","",ROW()-2)</f>
        <v/>
      </c>
      <c r="M2238" s="10" t="str">
        <f aca="false">IF($A2238="","",ROW())</f>
        <v/>
      </c>
    </row>
    <row r="2239" customFormat="false" ht="15" hidden="false" customHeight="true" outlineLevel="0" collapsed="false">
      <c r="A2239" s="8"/>
      <c r="B2239" s="8"/>
      <c r="C2239" s="8"/>
      <c r="D2239" s="8"/>
      <c r="E2239" s="8"/>
      <c r="F2239" s="8"/>
      <c r="G2239" s="10" t="str">
        <f aca="false">IF($A2239="","",UPPER(SUBSTITUTE(SUBSTITUTE(SUBSTITUTE(SUBSTITUTE($A2239," ",""),"(주)",""),"주식회사",""),"㈜","")))</f>
        <v/>
      </c>
      <c r="H2239" s="10" t="str">
        <f aca="false">IF($B2239="","",SUBSTITUTE(SUBSTITUTE(SUBSTITUTE($B2239,"-","")," ",""),".",""))</f>
        <v/>
      </c>
      <c r="I2239" s="10" t="str">
        <f aca="false">IF($D2239="","",SUBSTITUTE(SUBSTITUTE(SUBSTITUTE($D2239,"-","")," ",""),".",""))</f>
        <v/>
      </c>
      <c r="J2239" s="10" t="str">
        <f aca="false">IF($E2239="","",UPPER(SUBSTITUTE($E2239," ","")))</f>
        <v/>
      </c>
      <c r="K2239" s="10" t="str">
        <f aca="false">IF($A2239="","",$G2239&amp;"|"&amp;$J2239)</f>
        <v/>
      </c>
      <c r="L2239" s="10" t="str">
        <f aca="false">IF($A2239="","",ROW()-2)</f>
        <v/>
      </c>
      <c r="M2239" s="10" t="str">
        <f aca="false">IF($A2239="","",ROW())</f>
        <v/>
      </c>
    </row>
    <row r="2240" customFormat="false" ht="15" hidden="false" customHeight="true" outlineLevel="0" collapsed="false">
      <c r="A2240" s="8"/>
      <c r="B2240" s="8"/>
      <c r="C2240" s="8"/>
      <c r="D2240" s="8"/>
      <c r="E2240" s="8"/>
      <c r="F2240" s="8"/>
      <c r="G2240" s="10" t="str">
        <f aca="false">IF($A2240="","",UPPER(SUBSTITUTE(SUBSTITUTE(SUBSTITUTE(SUBSTITUTE($A2240," ",""),"(주)",""),"주식회사",""),"㈜","")))</f>
        <v/>
      </c>
      <c r="H2240" s="10" t="str">
        <f aca="false">IF($B2240="","",SUBSTITUTE(SUBSTITUTE(SUBSTITUTE($B2240,"-","")," ",""),".",""))</f>
        <v/>
      </c>
      <c r="I2240" s="10" t="str">
        <f aca="false">IF($D2240="","",SUBSTITUTE(SUBSTITUTE(SUBSTITUTE($D2240,"-","")," ",""),".",""))</f>
        <v/>
      </c>
      <c r="J2240" s="10" t="str">
        <f aca="false">IF($E2240="","",UPPER(SUBSTITUTE($E2240," ","")))</f>
        <v/>
      </c>
      <c r="K2240" s="10" t="str">
        <f aca="false">IF($A2240="","",$G2240&amp;"|"&amp;$J2240)</f>
        <v/>
      </c>
      <c r="L2240" s="10" t="str">
        <f aca="false">IF($A2240="","",ROW()-2)</f>
        <v/>
      </c>
      <c r="M2240" s="10" t="str">
        <f aca="false">IF($A2240="","",ROW())</f>
        <v/>
      </c>
    </row>
    <row r="2241" customFormat="false" ht="15" hidden="false" customHeight="true" outlineLevel="0" collapsed="false">
      <c r="A2241" s="8"/>
      <c r="B2241" s="8"/>
      <c r="C2241" s="8"/>
      <c r="D2241" s="8"/>
      <c r="E2241" s="8"/>
      <c r="F2241" s="8"/>
      <c r="G2241" s="10" t="str">
        <f aca="false">IF($A2241="","",UPPER(SUBSTITUTE(SUBSTITUTE(SUBSTITUTE(SUBSTITUTE($A2241," ",""),"(주)",""),"주식회사",""),"㈜","")))</f>
        <v/>
      </c>
      <c r="H2241" s="10" t="str">
        <f aca="false">IF($B2241="","",SUBSTITUTE(SUBSTITUTE(SUBSTITUTE($B2241,"-","")," ",""),".",""))</f>
        <v/>
      </c>
      <c r="I2241" s="10" t="str">
        <f aca="false">IF($D2241="","",SUBSTITUTE(SUBSTITUTE(SUBSTITUTE($D2241,"-","")," ",""),".",""))</f>
        <v/>
      </c>
      <c r="J2241" s="10" t="str">
        <f aca="false">IF($E2241="","",UPPER(SUBSTITUTE($E2241," ","")))</f>
        <v/>
      </c>
      <c r="K2241" s="10" t="str">
        <f aca="false">IF($A2241="","",$G2241&amp;"|"&amp;$J2241)</f>
        <v/>
      </c>
      <c r="L2241" s="10" t="str">
        <f aca="false">IF($A2241="","",ROW()-2)</f>
        <v/>
      </c>
      <c r="M2241" s="10" t="str">
        <f aca="false">IF($A2241="","",ROW())</f>
        <v/>
      </c>
    </row>
    <row r="2242" customFormat="false" ht="15" hidden="false" customHeight="true" outlineLevel="0" collapsed="false">
      <c r="A2242" s="8"/>
      <c r="B2242" s="8"/>
      <c r="C2242" s="8"/>
      <c r="D2242" s="8"/>
      <c r="E2242" s="8"/>
      <c r="F2242" s="8"/>
      <c r="G2242" s="10" t="str">
        <f aca="false">IF($A2242="","",UPPER(SUBSTITUTE(SUBSTITUTE(SUBSTITUTE(SUBSTITUTE($A2242," ",""),"(주)",""),"주식회사",""),"㈜","")))</f>
        <v/>
      </c>
      <c r="H2242" s="10" t="str">
        <f aca="false">IF($B2242="","",SUBSTITUTE(SUBSTITUTE(SUBSTITUTE($B2242,"-","")," ",""),".",""))</f>
        <v/>
      </c>
      <c r="I2242" s="10" t="str">
        <f aca="false">IF($D2242="","",SUBSTITUTE(SUBSTITUTE(SUBSTITUTE($D2242,"-","")," ",""),".",""))</f>
        <v/>
      </c>
      <c r="J2242" s="10" t="str">
        <f aca="false">IF($E2242="","",UPPER(SUBSTITUTE($E2242," ","")))</f>
        <v/>
      </c>
      <c r="K2242" s="10" t="str">
        <f aca="false">IF($A2242="","",$G2242&amp;"|"&amp;$J2242)</f>
        <v/>
      </c>
      <c r="L2242" s="10" t="str">
        <f aca="false">IF($A2242="","",ROW()-2)</f>
        <v/>
      </c>
      <c r="M2242" s="10" t="str">
        <f aca="false">IF($A2242="","",ROW())</f>
        <v/>
      </c>
    </row>
    <row r="2243" customFormat="false" ht="15" hidden="false" customHeight="true" outlineLevel="0" collapsed="false">
      <c r="A2243" s="8"/>
      <c r="B2243" s="8"/>
      <c r="C2243" s="8"/>
      <c r="D2243" s="8"/>
      <c r="E2243" s="8"/>
      <c r="F2243" s="8"/>
      <c r="G2243" s="10" t="str">
        <f aca="false">IF($A2243="","",UPPER(SUBSTITUTE(SUBSTITUTE(SUBSTITUTE(SUBSTITUTE($A2243," ",""),"(주)",""),"주식회사",""),"㈜","")))</f>
        <v/>
      </c>
      <c r="H2243" s="10" t="str">
        <f aca="false">IF($B2243="","",SUBSTITUTE(SUBSTITUTE(SUBSTITUTE($B2243,"-","")," ",""),".",""))</f>
        <v/>
      </c>
      <c r="I2243" s="10" t="str">
        <f aca="false">IF($D2243="","",SUBSTITUTE(SUBSTITUTE(SUBSTITUTE($D2243,"-","")," ",""),".",""))</f>
        <v/>
      </c>
      <c r="J2243" s="10" t="str">
        <f aca="false">IF($E2243="","",UPPER(SUBSTITUTE($E2243," ","")))</f>
        <v/>
      </c>
      <c r="K2243" s="10" t="str">
        <f aca="false">IF($A2243="","",$G2243&amp;"|"&amp;$J2243)</f>
        <v/>
      </c>
      <c r="L2243" s="10" t="str">
        <f aca="false">IF($A2243="","",ROW()-2)</f>
        <v/>
      </c>
      <c r="M2243" s="10" t="str">
        <f aca="false">IF($A2243="","",ROW())</f>
        <v/>
      </c>
    </row>
    <row r="2244" customFormat="false" ht="15" hidden="false" customHeight="true" outlineLevel="0" collapsed="false">
      <c r="A2244" s="8"/>
      <c r="B2244" s="8"/>
      <c r="C2244" s="8"/>
      <c r="D2244" s="8"/>
      <c r="E2244" s="8"/>
      <c r="F2244" s="8"/>
      <c r="G2244" s="10" t="str">
        <f aca="false">IF($A2244="","",UPPER(SUBSTITUTE(SUBSTITUTE(SUBSTITUTE(SUBSTITUTE($A2244," ",""),"(주)",""),"주식회사",""),"㈜","")))</f>
        <v/>
      </c>
      <c r="H2244" s="10" t="str">
        <f aca="false">IF($B2244="","",SUBSTITUTE(SUBSTITUTE(SUBSTITUTE($B2244,"-","")," ",""),".",""))</f>
        <v/>
      </c>
      <c r="I2244" s="10" t="str">
        <f aca="false">IF($D2244="","",SUBSTITUTE(SUBSTITUTE(SUBSTITUTE($D2244,"-","")," ",""),".",""))</f>
        <v/>
      </c>
      <c r="J2244" s="10" t="str">
        <f aca="false">IF($E2244="","",UPPER(SUBSTITUTE($E2244," ","")))</f>
        <v/>
      </c>
      <c r="K2244" s="10" t="str">
        <f aca="false">IF($A2244="","",$G2244&amp;"|"&amp;$J2244)</f>
        <v/>
      </c>
      <c r="L2244" s="10" t="str">
        <f aca="false">IF($A2244="","",ROW()-2)</f>
        <v/>
      </c>
      <c r="M2244" s="10" t="str">
        <f aca="false">IF($A2244="","",ROW())</f>
        <v/>
      </c>
    </row>
    <row r="2245" customFormat="false" ht="15" hidden="false" customHeight="true" outlineLevel="0" collapsed="false">
      <c r="A2245" s="8"/>
      <c r="B2245" s="8"/>
      <c r="C2245" s="8"/>
      <c r="D2245" s="8"/>
      <c r="E2245" s="8"/>
      <c r="F2245" s="8"/>
      <c r="G2245" s="10" t="str">
        <f aca="false">IF($A2245="","",UPPER(SUBSTITUTE(SUBSTITUTE(SUBSTITUTE(SUBSTITUTE($A2245," ",""),"(주)",""),"주식회사",""),"㈜","")))</f>
        <v/>
      </c>
      <c r="H2245" s="10" t="str">
        <f aca="false">IF($B2245="","",SUBSTITUTE(SUBSTITUTE(SUBSTITUTE($B2245,"-","")," ",""),".",""))</f>
        <v/>
      </c>
      <c r="I2245" s="10" t="str">
        <f aca="false">IF($D2245="","",SUBSTITUTE(SUBSTITUTE(SUBSTITUTE($D2245,"-","")," ",""),".",""))</f>
        <v/>
      </c>
      <c r="J2245" s="10" t="str">
        <f aca="false">IF($E2245="","",UPPER(SUBSTITUTE($E2245," ","")))</f>
        <v/>
      </c>
      <c r="K2245" s="10" t="str">
        <f aca="false">IF($A2245="","",$G2245&amp;"|"&amp;$J2245)</f>
        <v/>
      </c>
      <c r="L2245" s="10" t="str">
        <f aca="false">IF($A2245="","",ROW()-2)</f>
        <v/>
      </c>
      <c r="M2245" s="10" t="str">
        <f aca="false">IF($A2245="","",ROW())</f>
        <v/>
      </c>
    </row>
    <row r="2246" customFormat="false" ht="15" hidden="false" customHeight="true" outlineLevel="0" collapsed="false">
      <c r="A2246" s="8"/>
      <c r="B2246" s="8"/>
      <c r="C2246" s="8"/>
      <c r="D2246" s="8"/>
      <c r="E2246" s="8"/>
      <c r="F2246" s="8"/>
      <c r="G2246" s="10" t="str">
        <f aca="false">IF($A2246="","",UPPER(SUBSTITUTE(SUBSTITUTE(SUBSTITUTE(SUBSTITUTE($A2246," ",""),"(주)",""),"주식회사",""),"㈜","")))</f>
        <v/>
      </c>
      <c r="H2246" s="10" t="str">
        <f aca="false">IF($B2246="","",SUBSTITUTE(SUBSTITUTE(SUBSTITUTE($B2246,"-","")," ",""),".",""))</f>
        <v/>
      </c>
      <c r="I2246" s="10" t="str">
        <f aca="false">IF($D2246="","",SUBSTITUTE(SUBSTITUTE(SUBSTITUTE($D2246,"-","")," ",""),".",""))</f>
        <v/>
      </c>
      <c r="J2246" s="10" t="str">
        <f aca="false">IF($E2246="","",UPPER(SUBSTITUTE($E2246," ","")))</f>
        <v/>
      </c>
      <c r="K2246" s="10" t="str">
        <f aca="false">IF($A2246="","",$G2246&amp;"|"&amp;$J2246)</f>
        <v/>
      </c>
      <c r="L2246" s="10" t="str">
        <f aca="false">IF($A2246="","",ROW()-2)</f>
        <v/>
      </c>
      <c r="M2246" s="10" t="str">
        <f aca="false">IF($A2246="","",ROW())</f>
        <v/>
      </c>
    </row>
    <row r="2247" customFormat="false" ht="15" hidden="false" customHeight="true" outlineLevel="0" collapsed="false">
      <c r="A2247" s="8"/>
      <c r="B2247" s="8"/>
      <c r="C2247" s="8"/>
      <c r="D2247" s="8"/>
      <c r="E2247" s="8"/>
      <c r="F2247" s="8"/>
      <c r="G2247" s="10" t="str">
        <f aca="false">IF($A2247="","",UPPER(SUBSTITUTE(SUBSTITUTE(SUBSTITUTE(SUBSTITUTE($A2247," ",""),"(주)",""),"주식회사",""),"㈜","")))</f>
        <v/>
      </c>
      <c r="H2247" s="10" t="str">
        <f aca="false">IF($B2247="","",SUBSTITUTE(SUBSTITUTE(SUBSTITUTE($B2247,"-","")," ",""),".",""))</f>
        <v/>
      </c>
      <c r="I2247" s="10" t="str">
        <f aca="false">IF($D2247="","",SUBSTITUTE(SUBSTITUTE(SUBSTITUTE($D2247,"-","")," ",""),".",""))</f>
        <v/>
      </c>
      <c r="J2247" s="10" t="str">
        <f aca="false">IF($E2247="","",UPPER(SUBSTITUTE($E2247," ","")))</f>
        <v/>
      </c>
      <c r="K2247" s="10" t="str">
        <f aca="false">IF($A2247="","",$G2247&amp;"|"&amp;$J2247)</f>
        <v/>
      </c>
      <c r="L2247" s="10" t="str">
        <f aca="false">IF($A2247="","",ROW()-2)</f>
        <v/>
      </c>
      <c r="M2247" s="10" t="str">
        <f aca="false">IF($A2247="","",ROW())</f>
        <v/>
      </c>
    </row>
    <row r="2248" customFormat="false" ht="15" hidden="false" customHeight="true" outlineLevel="0" collapsed="false">
      <c r="A2248" s="8"/>
      <c r="B2248" s="8"/>
      <c r="C2248" s="8"/>
      <c r="D2248" s="8"/>
      <c r="E2248" s="8"/>
      <c r="F2248" s="8"/>
      <c r="G2248" s="10" t="str">
        <f aca="false">IF($A2248="","",UPPER(SUBSTITUTE(SUBSTITUTE(SUBSTITUTE(SUBSTITUTE($A2248," ",""),"(주)",""),"주식회사",""),"㈜","")))</f>
        <v/>
      </c>
      <c r="H2248" s="10" t="str">
        <f aca="false">IF($B2248="","",SUBSTITUTE(SUBSTITUTE(SUBSTITUTE($B2248,"-","")," ",""),".",""))</f>
        <v/>
      </c>
      <c r="I2248" s="10" t="str">
        <f aca="false">IF($D2248="","",SUBSTITUTE(SUBSTITUTE(SUBSTITUTE($D2248,"-","")," ",""),".",""))</f>
        <v/>
      </c>
      <c r="J2248" s="10" t="str">
        <f aca="false">IF($E2248="","",UPPER(SUBSTITUTE($E2248," ","")))</f>
        <v/>
      </c>
      <c r="K2248" s="10" t="str">
        <f aca="false">IF($A2248="","",$G2248&amp;"|"&amp;$J2248)</f>
        <v/>
      </c>
      <c r="L2248" s="10" t="str">
        <f aca="false">IF($A2248="","",ROW()-2)</f>
        <v/>
      </c>
      <c r="M2248" s="10" t="str">
        <f aca="false">IF($A2248="","",ROW())</f>
        <v/>
      </c>
    </row>
    <row r="2249" customFormat="false" ht="15" hidden="false" customHeight="true" outlineLevel="0" collapsed="false">
      <c r="A2249" s="8"/>
      <c r="B2249" s="8"/>
      <c r="C2249" s="8"/>
      <c r="D2249" s="8"/>
      <c r="E2249" s="8"/>
      <c r="F2249" s="8"/>
      <c r="G2249" s="10" t="str">
        <f aca="false">IF($A2249="","",UPPER(SUBSTITUTE(SUBSTITUTE(SUBSTITUTE(SUBSTITUTE($A2249," ",""),"(주)",""),"주식회사",""),"㈜","")))</f>
        <v/>
      </c>
      <c r="H2249" s="10" t="str">
        <f aca="false">IF($B2249="","",SUBSTITUTE(SUBSTITUTE(SUBSTITUTE($B2249,"-","")," ",""),".",""))</f>
        <v/>
      </c>
      <c r="I2249" s="10" t="str">
        <f aca="false">IF($D2249="","",SUBSTITUTE(SUBSTITUTE(SUBSTITUTE($D2249,"-","")," ",""),".",""))</f>
        <v/>
      </c>
      <c r="J2249" s="10" t="str">
        <f aca="false">IF($E2249="","",UPPER(SUBSTITUTE($E2249," ","")))</f>
        <v/>
      </c>
      <c r="K2249" s="10" t="str">
        <f aca="false">IF($A2249="","",$G2249&amp;"|"&amp;$J2249)</f>
        <v/>
      </c>
      <c r="L2249" s="10" t="str">
        <f aca="false">IF($A2249="","",ROW()-2)</f>
        <v/>
      </c>
      <c r="M2249" s="10" t="str">
        <f aca="false">IF($A2249="","",ROW())</f>
        <v/>
      </c>
    </row>
    <row r="2250" customFormat="false" ht="15" hidden="false" customHeight="true" outlineLevel="0" collapsed="false">
      <c r="A2250" s="8"/>
      <c r="B2250" s="8"/>
      <c r="C2250" s="8"/>
      <c r="D2250" s="8"/>
      <c r="E2250" s="8"/>
      <c r="F2250" s="8"/>
      <c r="G2250" s="10" t="str">
        <f aca="false">IF($A2250="","",UPPER(SUBSTITUTE(SUBSTITUTE(SUBSTITUTE(SUBSTITUTE($A2250," ",""),"(주)",""),"주식회사",""),"㈜","")))</f>
        <v/>
      </c>
      <c r="H2250" s="10" t="str">
        <f aca="false">IF($B2250="","",SUBSTITUTE(SUBSTITUTE(SUBSTITUTE($B2250,"-","")," ",""),".",""))</f>
        <v/>
      </c>
      <c r="I2250" s="10" t="str">
        <f aca="false">IF($D2250="","",SUBSTITUTE(SUBSTITUTE(SUBSTITUTE($D2250,"-","")," ",""),".",""))</f>
        <v/>
      </c>
      <c r="J2250" s="10" t="str">
        <f aca="false">IF($E2250="","",UPPER(SUBSTITUTE($E2250," ","")))</f>
        <v/>
      </c>
      <c r="K2250" s="10" t="str">
        <f aca="false">IF($A2250="","",$G2250&amp;"|"&amp;$J2250)</f>
        <v/>
      </c>
      <c r="L2250" s="10" t="str">
        <f aca="false">IF($A2250="","",ROW()-2)</f>
        <v/>
      </c>
      <c r="M2250" s="10" t="str">
        <f aca="false">IF($A2250="","",ROW())</f>
        <v/>
      </c>
    </row>
    <row r="2251" customFormat="false" ht="15" hidden="false" customHeight="true" outlineLevel="0" collapsed="false">
      <c r="A2251" s="8"/>
      <c r="B2251" s="8"/>
      <c r="C2251" s="8"/>
      <c r="D2251" s="8"/>
      <c r="E2251" s="8"/>
      <c r="F2251" s="8"/>
      <c r="G2251" s="10" t="str">
        <f aca="false">IF($A2251="","",UPPER(SUBSTITUTE(SUBSTITUTE(SUBSTITUTE(SUBSTITUTE($A2251," ",""),"(주)",""),"주식회사",""),"㈜","")))</f>
        <v/>
      </c>
      <c r="H2251" s="10" t="str">
        <f aca="false">IF($B2251="","",SUBSTITUTE(SUBSTITUTE(SUBSTITUTE($B2251,"-","")," ",""),".",""))</f>
        <v/>
      </c>
      <c r="I2251" s="10" t="str">
        <f aca="false">IF($D2251="","",SUBSTITUTE(SUBSTITUTE(SUBSTITUTE($D2251,"-","")," ",""),".",""))</f>
        <v/>
      </c>
      <c r="J2251" s="10" t="str">
        <f aca="false">IF($E2251="","",UPPER(SUBSTITUTE($E2251," ","")))</f>
        <v/>
      </c>
      <c r="K2251" s="10" t="str">
        <f aca="false">IF($A2251="","",$G2251&amp;"|"&amp;$J2251)</f>
        <v/>
      </c>
      <c r="L2251" s="10" t="str">
        <f aca="false">IF($A2251="","",ROW()-2)</f>
        <v/>
      </c>
      <c r="M2251" s="10" t="str">
        <f aca="false">IF($A2251="","",ROW())</f>
        <v/>
      </c>
    </row>
    <row r="2252" customFormat="false" ht="15" hidden="false" customHeight="true" outlineLevel="0" collapsed="false">
      <c r="A2252" s="8"/>
      <c r="B2252" s="8"/>
      <c r="C2252" s="8"/>
      <c r="D2252" s="8"/>
      <c r="E2252" s="8"/>
      <c r="F2252" s="8"/>
      <c r="G2252" s="10" t="str">
        <f aca="false">IF($A2252="","",UPPER(SUBSTITUTE(SUBSTITUTE(SUBSTITUTE(SUBSTITUTE($A2252," ",""),"(주)",""),"주식회사",""),"㈜","")))</f>
        <v/>
      </c>
      <c r="H2252" s="10" t="str">
        <f aca="false">IF($B2252="","",SUBSTITUTE(SUBSTITUTE(SUBSTITUTE($B2252,"-","")," ",""),".",""))</f>
        <v/>
      </c>
      <c r="I2252" s="10" t="str">
        <f aca="false">IF($D2252="","",SUBSTITUTE(SUBSTITUTE(SUBSTITUTE($D2252,"-","")," ",""),".",""))</f>
        <v/>
      </c>
      <c r="J2252" s="10" t="str">
        <f aca="false">IF($E2252="","",UPPER(SUBSTITUTE($E2252," ","")))</f>
        <v/>
      </c>
      <c r="K2252" s="10" t="str">
        <f aca="false">IF($A2252="","",$G2252&amp;"|"&amp;$J2252)</f>
        <v/>
      </c>
      <c r="L2252" s="10" t="str">
        <f aca="false">IF($A2252="","",ROW()-2)</f>
        <v/>
      </c>
      <c r="M2252" s="10" t="str">
        <f aca="false">IF($A2252="","",ROW())</f>
        <v/>
      </c>
    </row>
    <row r="2253" customFormat="false" ht="15" hidden="false" customHeight="true" outlineLevel="0" collapsed="false">
      <c r="A2253" s="8"/>
      <c r="B2253" s="8"/>
      <c r="C2253" s="8"/>
      <c r="D2253" s="8"/>
      <c r="E2253" s="8"/>
      <c r="F2253" s="8"/>
      <c r="G2253" s="10" t="str">
        <f aca="false">IF($A2253="","",UPPER(SUBSTITUTE(SUBSTITUTE(SUBSTITUTE(SUBSTITUTE($A2253," ",""),"(주)",""),"주식회사",""),"㈜","")))</f>
        <v/>
      </c>
      <c r="H2253" s="10" t="str">
        <f aca="false">IF($B2253="","",SUBSTITUTE(SUBSTITUTE(SUBSTITUTE($B2253,"-","")," ",""),".",""))</f>
        <v/>
      </c>
      <c r="I2253" s="10" t="str">
        <f aca="false">IF($D2253="","",SUBSTITUTE(SUBSTITUTE(SUBSTITUTE($D2253,"-","")," ",""),".",""))</f>
        <v/>
      </c>
      <c r="J2253" s="10" t="str">
        <f aca="false">IF($E2253="","",UPPER(SUBSTITUTE($E2253," ","")))</f>
        <v/>
      </c>
      <c r="K2253" s="10" t="str">
        <f aca="false">IF($A2253="","",$G2253&amp;"|"&amp;$J2253)</f>
        <v/>
      </c>
      <c r="L2253" s="10" t="str">
        <f aca="false">IF($A2253="","",ROW()-2)</f>
        <v/>
      </c>
      <c r="M2253" s="10" t="str">
        <f aca="false">IF($A2253="","",ROW())</f>
        <v/>
      </c>
    </row>
    <row r="2254" customFormat="false" ht="15" hidden="false" customHeight="true" outlineLevel="0" collapsed="false">
      <c r="A2254" s="8"/>
      <c r="B2254" s="8"/>
      <c r="C2254" s="8"/>
      <c r="D2254" s="8"/>
      <c r="E2254" s="8"/>
      <c r="F2254" s="8"/>
      <c r="G2254" s="10" t="str">
        <f aca="false">IF($A2254="","",UPPER(SUBSTITUTE(SUBSTITUTE(SUBSTITUTE(SUBSTITUTE($A2254," ",""),"(주)",""),"주식회사",""),"㈜","")))</f>
        <v/>
      </c>
      <c r="H2254" s="10" t="str">
        <f aca="false">IF($B2254="","",SUBSTITUTE(SUBSTITUTE(SUBSTITUTE($B2254,"-","")," ",""),".",""))</f>
        <v/>
      </c>
      <c r="I2254" s="10" t="str">
        <f aca="false">IF($D2254="","",SUBSTITUTE(SUBSTITUTE(SUBSTITUTE($D2254,"-","")," ",""),".",""))</f>
        <v/>
      </c>
      <c r="J2254" s="10" t="str">
        <f aca="false">IF($E2254="","",UPPER(SUBSTITUTE($E2254," ","")))</f>
        <v/>
      </c>
      <c r="K2254" s="10" t="str">
        <f aca="false">IF($A2254="","",$G2254&amp;"|"&amp;$J2254)</f>
        <v/>
      </c>
      <c r="L2254" s="10" t="str">
        <f aca="false">IF($A2254="","",ROW()-2)</f>
        <v/>
      </c>
      <c r="M2254" s="10" t="str">
        <f aca="false">IF($A2254="","",ROW())</f>
        <v/>
      </c>
    </row>
    <row r="2255" customFormat="false" ht="15" hidden="false" customHeight="true" outlineLevel="0" collapsed="false">
      <c r="A2255" s="8"/>
      <c r="B2255" s="8"/>
      <c r="C2255" s="8"/>
      <c r="D2255" s="8"/>
      <c r="E2255" s="8"/>
      <c r="F2255" s="8"/>
      <c r="G2255" s="10" t="str">
        <f aca="false">IF($A2255="","",UPPER(SUBSTITUTE(SUBSTITUTE(SUBSTITUTE(SUBSTITUTE($A2255," ",""),"(주)",""),"주식회사",""),"㈜","")))</f>
        <v/>
      </c>
      <c r="H2255" s="10" t="str">
        <f aca="false">IF($B2255="","",SUBSTITUTE(SUBSTITUTE(SUBSTITUTE($B2255,"-","")," ",""),".",""))</f>
        <v/>
      </c>
      <c r="I2255" s="10" t="str">
        <f aca="false">IF($D2255="","",SUBSTITUTE(SUBSTITUTE(SUBSTITUTE($D2255,"-","")," ",""),".",""))</f>
        <v/>
      </c>
      <c r="J2255" s="10" t="str">
        <f aca="false">IF($E2255="","",UPPER(SUBSTITUTE($E2255," ","")))</f>
        <v/>
      </c>
      <c r="K2255" s="10" t="str">
        <f aca="false">IF($A2255="","",$G2255&amp;"|"&amp;$J2255)</f>
        <v/>
      </c>
      <c r="L2255" s="10" t="str">
        <f aca="false">IF($A2255="","",ROW()-2)</f>
        <v/>
      </c>
      <c r="M2255" s="10" t="str">
        <f aca="false">IF($A2255="","",ROW())</f>
        <v/>
      </c>
    </row>
    <row r="2256" customFormat="false" ht="15" hidden="false" customHeight="true" outlineLevel="0" collapsed="false">
      <c r="A2256" s="8"/>
      <c r="B2256" s="8"/>
      <c r="C2256" s="8"/>
      <c r="D2256" s="8"/>
      <c r="E2256" s="8"/>
      <c r="F2256" s="8"/>
      <c r="G2256" s="10" t="str">
        <f aca="false">IF($A2256="","",UPPER(SUBSTITUTE(SUBSTITUTE(SUBSTITUTE(SUBSTITUTE($A2256," ",""),"(주)",""),"주식회사",""),"㈜","")))</f>
        <v/>
      </c>
      <c r="H2256" s="10" t="str">
        <f aca="false">IF($B2256="","",SUBSTITUTE(SUBSTITUTE(SUBSTITUTE($B2256,"-","")," ",""),".",""))</f>
        <v/>
      </c>
      <c r="I2256" s="10" t="str">
        <f aca="false">IF($D2256="","",SUBSTITUTE(SUBSTITUTE(SUBSTITUTE($D2256,"-","")," ",""),".",""))</f>
        <v/>
      </c>
      <c r="J2256" s="10" t="str">
        <f aca="false">IF($E2256="","",UPPER(SUBSTITUTE($E2256," ","")))</f>
        <v/>
      </c>
      <c r="K2256" s="10" t="str">
        <f aca="false">IF($A2256="","",$G2256&amp;"|"&amp;$J2256)</f>
        <v/>
      </c>
      <c r="L2256" s="10" t="str">
        <f aca="false">IF($A2256="","",ROW()-2)</f>
        <v/>
      </c>
      <c r="M2256" s="10" t="str">
        <f aca="false">IF($A2256="","",ROW())</f>
        <v/>
      </c>
    </row>
    <row r="2257" customFormat="false" ht="15" hidden="false" customHeight="true" outlineLevel="0" collapsed="false">
      <c r="A2257" s="8"/>
      <c r="B2257" s="8"/>
      <c r="C2257" s="8"/>
      <c r="D2257" s="8"/>
      <c r="E2257" s="8"/>
      <c r="F2257" s="8"/>
      <c r="G2257" s="10" t="str">
        <f aca="false">IF($A2257="","",UPPER(SUBSTITUTE(SUBSTITUTE(SUBSTITUTE(SUBSTITUTE($A2257," ",""),"(주)",""),"주식회사",""),"㈜","")))</f>
        <v/>
      </c>
      <c r="H2257" s="10" t="str">
        <f aca="false">IF($B2257="","",SUBSTITUTE(SUBSTITUTE(SUBSTITUTE($B2257,"-","")," ",""),".",""))</f>
        <v/>
      </c>
      <c r="I2257" s="10" t="str">
        <f aca="false">IF($D2257="","",SUBSTITUTE(SUBSTITUTE(SUBSTITUTE($D2257,"-","")," ",""),".",""))</f>
        <v/>
      </c>
      <c r="J2257" s="10" t="str">
        <f aca="false">IF($E2257="","",UPPER(SUBSTITUTE($E2257," ","")))</f>
        <v/>
      </c>
      <c r="K2257" s="10" t="str">
        <f aca="false">IF($A2257="","",$G2257&amp;"|"&amp;$J2257)</f>
        <v/>
      </c>
      <c r="L2257" s="10" t="str">
        <f aca="false">IF($A2257="","",ROW()-2)</f>
        <v/>
      </c>
      <c r="M2257" s="10" t="str">
        <f aca="false">IF($A2257="","",ROW())</f>
        <v/>
      </c>
    </row>
    <row r="2258" customFormat="false" ht="15" hidden="false" customHeight="true" outlineLevel="0" collapsed="false">
      <c r="A2258" s="8"/>
      <c r="B2258" s="8"/>
      <c r="C2258" s="8"/>
      <c r="D2258" s="8"/>
      <c r="E2258" s="8"/>
      <c r="F2258" s="8"/>
      <c r="G2258" s="10" t="str">
        <f aca="false">IF($A2258="","",UPPER(SUBSTITUTE(SUBSTITUTE(SUBSTITUTE(SUBSTITUTE($A2258," ",""),"(주)",""),"주식회사",""),"㈜","")))</f>
        <v/>
      </c>
      <c r="H2258" s="10" t="str">
        <f aca="false">IF($B2258="","",SUBSTITUTE(SUBSTITUTE(SUBSTITUTE($B2258,"-","")," ",""),".",""))</f>
        <v/>
      </c>
      <c r="I2258" s="10" t="str">
        <f aca="false">IF($D2258="","",SUBSTITUTE(SUBSTITUTE(SUBSTITUTE($D2258,"-","")," ",""),".",""))</f>
        <v/>
      </c>
      <c r="J2258" s="10" t="str">
        <f aca="false">IF($E2258="","",UPPER(SUBSTITUTE($E2258," ","")))</f>
        <v/>
      </c>
      <c r="K2258" s="10" t="str">
        <f aca="false">IF($A2258="","",$G2258&amp;"|"&amp;$J2258)</f>
        <v/>
      </c>
      <c r="L2258" s="10" t="str">
        <f aca="false">IF($A2258="","",ROW()-2)</f>
        <v/>
      </c>
      <c r="M2258" s="10" t="str">
        <f aca="false">IF($A2258="","",ROW())</f>
        <v/>
      </c>
    </row>
    <row r="2259" customFormat="false" ht="15" hidden="false" customHeight="true" outlineLevel="0" collapsed="false">
      <c r="A2259" s="8"/>
      <c r="B2259" s="8"/>
      <c r="C2259" s="8"/>
      <c r="D2259" s="8"/>
      <c r="E2259" s="8"/>
      <c r="F2259" s="8"/>
      <c r="G2259" s="10" t="str">
        <f aca="false">IF($A2259="","",UPPER(SUBSTITUTE(SUBSTITUTE(SUBSTITUTE(SUBSTITUTE($A2259," ",""),"(주)",""),"주식회사",""),"㈜","")))</f>
        <v/>
      </c>
      <c r="H2259" s="10" t="str">
        <f aca="false">IF($B2259="","",SUBSTITUTE(SUBSTITUTE(SUBSTITUTE($B2259,"-","")," ",""),".",""))</f>
        <v/>
      </c>
      <c r="I2259" s="10" t="str">
        <f aca="false">IF($D2259="","",SUBSTITUTE(SUBSTITUTE(SUBSTITUTE($D2259,"-","")," ",""),".",""))</f>
        <v/>
      </c>
      <c r="J2259" s="10" t="str">
        <f aca="false">IF($E2259="","",UPPER(SUBSTITUTE($E2259," ","")))</f>
        <v/>
      </c>
      <c r="K2259" s="10" t="str">
        <f aca="false">IF($A2259="","",$G2259&amp;"|"&amp;$J2259)</f>
        <v/>
      </c>
      <c r="L2259" s="10" t="str">
        <f aca="false">IF($A2259="","",ROW()-2)</f>
        <v/>
      </c>
      <c r="M2259" s="10" t="str">
        <f aca="false">IF($A2259="","",ROW())</f>
        <v/>
      </c>
    </row>
    <row r="2260" customFormat="false" ht="15" hidden="false" customHeight="true" outlineLevel="0" collapsed="false">
      <c r="A2260" s="8"/>
      <c r="B2260" s="8"/>
      <c r="C2260" s="8"/>
      <c r="D2260" s="8"/>
      <c r="E2260" s="8"/>
      <c r="F2260" s="8"/>
      <c r="G2260" s="10" t="str">
        <f aca="false">IF($A2260="","",UPPER(SUBSTITUTE(SUBSTITUTE(SUBSTITUTE(SUBSTITUTE($A2260," ",""),"(주)",""),"주식회사",""),"㈜","")))</f>
        <v/>
      </c>
      <c r="H2260" s="10" t="str">
        <f aca="false">IF($B2260="","",SUBSTITUTE(SUBSTITUTE(SUBSTITUTE($B2260,"-","")," ",""),".",""))</f>
        <v/>
      </c>
      <c r="I2260" s="10" t="str">
        <f aca="false">IF($D2260="","",SUBSTITUTE(SUBSTITUTE(SUBSTITUTE($D2260,"-","")," ",""),".",""))</f>
        <v/>
      </c>
      <c r="J2260" s="10" t="str">
        <f aca="false">IF($E2260="","",UPPER(SUBSTITUTE($E2260," ","")))</f>
        <v/>
      </c>
      <c r="K2260" s="10" t="str">
        <f aca="false">IF($A2260="","",$G2260&amp;"|"&amp;$J2260)</f>
        <v/>
      </c>
      <c r="L2260" s="10" t="str">
        <f aca="false">IF($A2260="","",ROW()-2)</f>
        <v/>
      </c>
      <c r="M2260" s="10" t="str">
        <f aca="false">IF($A2260="","",ROW())</f>
        <v/>
      </c>
    </row>
    <row r="2261" customFormat="false" ht="15" hidden="false" customHeight="true" outlineLevel="0" collapsed="false">
      <c r="A2261" s="8"/>
      <c r="B2261" s="8"/>
      <c r="C2261" s="8"/>
      <c r="D2261" s="8"/>
      <c r="E2261" s="8"/>
      <c r="F2261" s="8"/>
      <c r="G2261" s="10" t="str">
        <f aca="false">IF($A2261="","",UPPER(SUBSTITUTE(SUBSTITUTE(SUBSTITUTE(SUBSTITUTE($A2261," ",""),"(주)",""),"주식회사",""),"㈜","")))</f>
        <v/>
      </c>
      <c r="H2261" s="10" t="str">
        <f aca="false">IF($B2261="","",SUBSTITUTE(SUBSTITUTE(SUBSTITUTE($B2261,"-","")," ",""),".",""))</f>
        <v/>
      </c>
      <c r="I2261" s="10" t="str">
        <f aca="false">IF($D2261="","",SUBSTITUTE(SUBSTITUTE(SUBSTITUTE($D2261,"-","")," ",""),".",""))</f>
        <v/>
      </c>
      <c r="J2261" s="10" t="str">
        <f aca="false">IF($E2261="","",UPPER(SUBSTITUTE($E2261," ","")))</f>
        <v/>
      </c>
      <c r="K2261" s="10" t="str">
        <f aca="false">IF($A2261="","",$G2261&amp;"|"&amp;$J2261)</f>
        <v/>
      </c>
      <c r="L2261" s="10" t="str">
        <f aca="false">IF($A2261="","",ROW()-2)</f>
        <v/>
      </c>
      <c r="M2261" s="10" t="str">
        <f aca="false">IF($A2261="","",ROW())</f>
        <v/>
      </c>
    </row>
    <row r="2262" customFormat="false" ht="15" hidden="false" customHeight="true" outlineLevel="0" collapsed="false">
      <c r="A2262" s="8"/>
      <c r="B2262" s="8"/>
      <c r="C2262" s="8"/>
      <c r="D2262" s="8"/>
      <c r="E2262" s="8"/>
      <c r="F2262" s="8"/>
      <c r="G2262" s="10" t="str">
        <f aca="false">IF($A2262="","",UPPER(SUBSTITUTE(SUBSTITUTE(SUBSTITUTE(SUBSTITUTE($A2262," ",""),"(주)",""),"주식회사",""),"㈜","")))</f>
        <v/>
      </c>
      <c r="H2262" s="10" t="str">
        <f aca="false">IF($B2262="","",SUBSTITUTE(SUBSTITUTE(SUBSTITUTE($B2262,"-","")," ",""),".",""))</f>
        <v/>
      </c>
      <c r="I2262" s="10" t="str">
        <f aca="false">IF($D2262="","",SUBSTITUTE(SUBSTITUTE(SUBSTITUTE($D2262,"-","")," ",""),".",""))</f>
        <v/>
      </c>
      <c r="J2262" s="10" t="str">
        <f aca="false">IF($E2262="","",UPPER(SUBSTITUTE($E2262," ","")))</f>
        <v/>
      </c>
      <c r="K2262" s="10" t="str">
        <f aca="false">IF($A2262="","",$G2262&amp;"|"&amp;$J2262)</f>
        <v/>
      </c>
      <c r="L2262" s="10" t="str">
        <f aca="false">IF($A2262="","",ROW()-2)</f>
        <v/>
      </c>
      <c r="M2262" s="10" t="str">
        <f aca="false">IF($A2262="","",ROW())</f>
        <v/>
      </c>
    </row>
    <row r="2263" customFormat="false" ht="15" hidden="false" customHeight="true" outlineLevel="0" collapsed="false">
      <c r="A2263" s="8"/>
      <c r="B2263" s="8"/>
      <c r="C2263" s="8"/>
      <c r="D2263" s="8"/>
      <c r="E2263" s="8"/>
      <c r="F2263" s="8"/>
      <c r="G2263" s="10" t="str">
        <f aca="false">IF($A2263="","",UPPER(SUBSTITUTE(SUBSTITUTE(SUBSTITUTE(SUBSTITUTE($A2263," ",""),"(주)",""),"주식회사",""),"㈜","")))</f>
        <v/>
      </c>
      <c r="H2263" s="10" t="str">
        <f aca="false">IF($B2263="","",SUBSTITUTE(SUBSTITUTE(SUBSTITUTE($B2263,"-","")," ",""),".",""))</f>
        <v/>
      </c>
      <c r="I2263" s="10" t="str">
        <f aca="false">IF($D2263="","",SUBSTITUTE(SUBSTITUTE(SUBSTITUTE($D2263,"-","")," ",""),".",""))</f>
        <v/>
      </c>
      <c r="J2263" s="10" t="str">
        <f aca="false">IF($E2263="","",UPPER(SUBSTITUTE($E2263," ","")))</f>
        <v/>
      </c>
      <c r="K2263" s="10" t="str">
        <f aca="false">IF($A2263="","",$G2263&amp;"|"&amp;$J2263)</f>
        <v/>
      </c>
      <c r="L2263" s="10" t="str">
        <f aca="false">IF($A2263="","",ROW()-2)</f>
        <v/>
      </c>
      <c r="M2263" s="10" t="str">
        <f aca="false">IF($A2263="","",ROW())</f>
        <v/>
      </c>
    </row>
    <row r="2264" customFormat="false" ht="15" hidden="false" customHeight="true" outlineLevel="0" collapsed="false">
      <c r="A2264" s="8"/>
      <c r="B2264" s="8"/>
      <c r="C2264" s="8"/>
      <c r="D2264" s="8"/>
      <c r="E2264" s="8"/>
      <c r="F2264" s="8"/>
      <c r="G2264" s="10" t="str">
        <f aca="false">IF($A2264="","",UPPER(SUBSTITUTE(SUBSTITUTE(SUBSTITUTE(SUBSTITUTE($A2264," ",""),"(주)",""),"주식회사",""),"㈜","")))</f>
        <v/>
      </c>
      <c r="H2264" s="10" t="str">
        <f aca="false">IF($B2264="","",SUBSTITUTE(SUBSTITUTE(SUBSTITUTE($B2264,"-","")," ",""),".",""))</f>
        <v/>
      </c>
      <c r="I2264" s="10" t="str">
        <f aca="false">IF($D2264="","",SUBSTITUTE(SUBSTITUTE(SUBSTITUTE($D2264,"-","")," ",""),".",""))</f>
        <v/>
      </c>
      <c r="J2264" s="10" t="str">
        <f aca="false">IF($E2264="","",UPPER(SUBSTITUTE($E2264," ","")))</f>
        <v/>
      </c>
      <c r="K2264" s="10" t="str">
        <f aca="false">IF($A2264="","",$G2264&amp;"|"&amp;$J2264)</f>
        <v/>
      </c>
      <c r="L2264" s="10" t="str">
        <f aca="false">IF($A2264="","",ROW()-2)</f>
        <v/>
      </c>
      <c r="M2264" s="10" t="str">
        <f aca="false">IF($A2264="","",ROW())</f>
        <v/>
      </c>
    </row>
    <row r="2265" customFormat="false" ht="15" hidden="false" customHeight="true" outlineLevel="0" collapsed="false">
      <c r="A2265" s="8"/>
      <c r="B2265" s="8"/>
      <c r="C2265" s="8"/>
      <c r="D2265" s="8"/>
      <c r="E2265" s="8"/>
      <c r="F2265" s="8"/>
      <c r="G2265" s="10" t="str">
        <f aca="false">IF($A2265="","",UPPER(SUBSTITUTE(SUBSTITUTE(SUBSTITUTE(SUBSTITUTE($A2265," ",""),"(주)",""),"주식회사",""),"㈜","")))</f>
        <v/>
      </c>
      <c r="H2265" s="10" t="str">
        <f aca="false">IF($B2265="","",SUBSTITUTE(SUBSTITUTE(SUBSTITUTE($B2265,"-","")," ",""),".",""))</f>
        <v/>
      </c>
      <c r="I2265" s="10" t="str">
        <f aca="false">IF($D2265="","",SUBSTITUTE(SUBSTITUTE(SUBSTITUTE($D2265,"-","")," ",""),".",""))</f>
        <v/>
      </c>
      <c r="J2265" s="10" t="str">
        <f aca="false">IF($E2265="","",UPPER(SUBSTITUTE($E2265," ","")))</f>
        <v/>
      </c>
      <c r="K2265" s="10" t="str">
        <f aca="false">IF($A2265="","",$G2265&amp;"|"&amp;$J2265)</f>
        <v/>
      </c>
      <c r="L2265" s="10" t="str">
        <f aca="false">IF($A2265="","",ROW()-2)</f>
        <v/>
      </c>
      <c r="M2265" s="10" t="str">
        <f aca="false">IF($A2265="","",ROW())</f>
        <v/>
      </c>
    </row>
    <row r="2266" customFormat="false" ht="15" hidden="false" customHeight="true" outlineLevel="0" collapsed="false">
      <c r="A2266" s="8"/>
      <c r="B2266" s="8"/>
      <c r="C2266" s="8"/>
      <c r="D2266" s="8"/>
      <c r="E2266" s="8"/>
      <c r="F2266" s="8"/>
      <c r="G2266" s="10" t="str">
        <f aca="false">IF($A2266="","",UPPER(SUBSTITUTE(SUBSTITUTE(SUBSTITUTE(SUBSTITUTE($A2266," ",""),"(주)",""),"주식회사",""),"㈜","")))</f>
        <v/>
      </c>
      <c r="H2266" s="10" t="str">
        <f aca="false">IF($B2266="","",SUBSTITUTE(SUBSTITUTE(SUBSTITUTE($B2266,"-","")," ",""),".",""))</f>
        <v/>
      </c>
      <c r="I2266" s="10" t="str">
        <f aca="false">IF($D2266="","",SUBSTITUTE(SUBSTITUTE(SUBSTITUTE($D2266,"-","")," ",""),".",""))</f>
        <v/>
      </c>
      <c r="J2266" s="10" t="str">
        <f aca="false">IF($E2266="","",UPPER(SUBSTITUTE($E2266," ","")))</f>
        <v/>
      </c>
      <c r="K2266" s="10" t="str">
        <f aca="false">IF($A2266="","",$G2266&amp;"|"&amp;$J2266)</f>
        <v/>
      </c>
      <c r="L2266" s="10" t="str">
        <f aca="false">IF($A2266="","",ROW()-2)</f>
        <v/>
      </c>
      <c r="M2266" s="10" t="str">
        <f aca="false">IF($A2266="","",ROW())</f>
        <v/>
      </c>
    </row>
    <row r="2267" customFormat="false" ht="15" hidden="false" customHeight="true" outlineLevel="0" collapsed="false">
      <c r="A2267" s="8"/>
      <c r="B2267" s="8"/>
      <c r="C2267" s="8"/>
      <c r="D2267" s="8"/>
      <c r="E2267" s="8"/>
      <c r="F2267" s="8"/>
      <c r="G2267" s="10" t="str">
        <f aca="false">IF($A2267="","",UPPER(SUBSTITUTE(SUBSTITUTE(SUBSTITUTE(SUBSTITUTE($A2267," ",""),"(주)",""),"주식회사",""),"㈜","")))</f>
        <v/>
      </c>
      <c r="H2267" s="10" t="str">
        <f aca="false">IF($B2267="","",SUBSTITUTE(SUBSTITUTE(SUBSTITUTE($B2267,"-","")," ",""),".",""))</f>
        <v/>
      </c>
      <c r="I2267" s="10" t="str">
        <f aca="false">IF($D2267="","",SUBSTITUTE(SUBSTITUTE(SUBSTITUTE($D2267,"-","")," ",""),".",""))</f>
        <v/>
      </c>
      <c r="J2267" s="10" t="str">
        <f aca="false">IF($E2267="","",UPPER(SUBSTITUTE($E2267," ","")))</f>
        <v/>
      </c>
      <c r="K2267" s="10" t="str">
        <f aca="false">IF($A2267="","",$G2267&amp;"|"&amp;$J2267)</f>
        <v/>
      </c>
      <c r="L2267" s="10" t="str">
        <f aca="false">IF($A2267="","",ROW()-2)</f>
        <v/>
      </c>
      <c r="M2267" s="10" t="str">
        <f aca="false">IF($A2267="","",ROW())</f>
        <v/>
      </c>
    </row>
    <row r="2268" customFormat="false" ht="15" hidden="false" customHeight="true" outlineLevel="0" collapsed="false">
      <c r="A2268" s="8"/>
      <c r="B2268" s="8"/>
      <c r="C2268" s="8"/>
      <c r="D2268" s="8"/>
      <c r="E2268" s="8"/>
      <c r="F2268" s="8"/>
      <c r="G2268" s="10" t="str">
        <f aca="false">IF($A2268="","",UPPER(SUBSTITUTE(SUBSTITUTE(SUBSTITUTE(SUBSTITUTE($A2268," ",""),"(주)",""),"주식회사",""),"㈜","")))</f>
        <v/>
      </c>
      <c r="H2268" s="10" t="str">
        <f aca="false">IF($B2268="","",SUBSTITUTE(SUBSTITUTE(SUBSTITUTE($B2268,"-","")," ",""),".",""))</f>
        <v/>
      </c>
      <c r="I2268" s="10" t="str">
        <f aca="false">IF($D2268="","",SUBSTITUTE(SUBSTITUTE(SUBSTITUTE($D2268,"-","")," ",""),".",""))</f>
        <v/>
      </c>
      <c r="J2268" s="10" t="str">
        <f aca="false">IF($E2268="","",UPPER(SUBSTITUTE($E2268," ","")))</f>
        <v/>
      </c>
      <c r="K2268" s="10" t="str">
        <f aca="false">IF($A2268="","",$G2268&amp;"|"&amp;$J2268)</f>
        <v/>
      </c>
      <c r="L2268" s="10" t="str">
        <f aca="false">IF($A2268="","",ROW()-2)</f>
        <v/>
      </c>
      <c r="M2268" s="10" t="str">
        <f aca="false">IF($A2268="","",ROW())</f>
        <v/>
      </c>
    </row>
    <row r="2269" customFormat="false" ht="15" hidden="false" customHeight="true" outlineLevel="0" collapsed="false">
      <c r="A2269" s="8"/>
      <c r="B2269" s="8"/>
      <c r="C2269" s="8"/>
      <c r="D2269" s="8"/>
      <c r="E2269" s="8"/>
      <c r="F2269" s="8"/>
      <c r="G2269" s="10" t="str">
        <f aca="false">IF($A2269="","",UPPER(SUBSTITUTE(SUBSTITUTE(SUBSTITUTE(SUBSTITUTE($A2269," ",""),"(주)",""),"주식회사",""),"㈜","")))</f>
        <v/>
      </c>
      <c r="H2269" s="10" t="str">
        <f aca="false">IF($B2269="","",SUBSTITUTE(SUBSTITUTE(SUBSTITUTE($B2269,"-","")," ",""),".",""))</f>
        <v/>
      </c>
      <c r="I2269" s="10" t="str">
        <f aca="false">IF($D2269="","",SUBSTITUTE(SUBSTITUTE(SUBSTITUTE($D2269,"-","")," ",""),".",""))</f>
        <v/>
      </c>
      <c r="J2269" s="10" t="str">
        <f aca="false">IF($E2269="","",UPPER(SUBSTITUTE($E2269," ","")))</f>
        <v/>
      </c>
      <c r="K2269" s="10" t="str">
        <f aca="false">IF($A2269="","",$G2269&amp;"|"&amp;$J2269)</f>
        <v/>
      </c>
      <c r="L2269" s="10" t="str">
        <f aca="false">IF($A2269="","",ROW()-2)</f>
        <v/>
      </c>
      <c r="M2269" s="10" t="str">
        <f aca="false">IF($A2269="","",ROW())</f>
        <v/>
      </c>
    </row>
    <row r="2270" customFormat="false" ht="15" hidden="false" customHeight="true" outlineLevel="0" collapsed="false">
      <c r="A2270" s="8"/>
      <c r="B2270" s="8"/>
      <c r="C2270" s="8"/>
      <c r="D2270" s="8"/>
      <c r="E2270" s="8"/>
      <c r="F2270" s="8"/>
      <c r="G2270" s="10" t="str">
        <f aca="false">IF($A2270="","",UPPER(SUBSTITUTE(SUBSTITUTE(SUBSTITUTE(SUBSTITUTE($A2270," ",""),"(주)",""),"주식회사",""),"㈜","")))</f>
        <v/>
      </c>
      <c r="H2270" s="10" t="str">
        <f aca="false">IF($B2270="","",SUBSTITUTE(SUBSTITUTE(SUBSTITUTE($B2270,"-","")," ",""),".",""))</f>
        <v/>
      </c>
      <c r="I2270" s="10" t="str">
        <f aca="false">IF($D2270="","",SUBSTITUTE(SUBSTITUTE(SUBSTITUTE($D2270,"-","")," ",""),".",""))</f>
        <v/>
      </c>
      <c r="J2270" s="10" t="str">
        <f aca="false">IF($E2270="","",UPPER(SUBSTITUTE($E2270," ","")))</f>
        <v/>
      </c>
      <c r="K2270" s="10" t="str">
        <f aca="false">IF($A2270="","",$G2270&amp;"|"&amp;$J2270)</f>
        <v/>
      </c>
      <c r="L2270" s="10" t="str">
        <f aca="false">IF($A2270="","",ROW()-2)</f>
        <v/>
      </c>
      <c r="M2270" s="10" t="str">
        <f aca="false">IF($A2270="","",ROW())</f>
        <v/>
      </c>
    </row>
    <row r="2271" customFormat="false" ht="15" hidden="false" customHeight="true" outlineLevel="0" collapsed="false">
      <c r="A2271" s="8"/>
      <c r="B2271" s="8"/>
      <c r="C2271" s="8"/>
      <c r="D2271" s="8"/>
      <c r="E2271" s="8"/>
      <c r="F2271" s="8"/>
      <c r="G2271" s="10" t="str">
        <f aca="false">IF($A2271="","",UPPER(SUBSTITUTE(SUBSTITUTE(SUBSTITUTE(SUBSTITUTE($A2271," ",""),"(주)",""),"주식회사",""),"㈜","")))</f>
        <v/>
      </c>
      <c r="H2271" s="10" t="str">
        <f aca="false">IF($B2271="","",SUBSTITUTE(SUBSTITUTE(SUBSTITUTE($B2271,"-","")," ",""),".",""))</f>
        <v/>
      </c>
      <c r="I2271" s="10" t="str">
        <f aca="false">IF($D2271="","",SUBSTITUTE(SUBSTITUTE(SUBSTITUTE($D2271,"-","")," ",""),".",""))</f>
        <v/>
      </c>
      <c r="J2271" s="10" t="str">
        <f aca="false">IF($E2271="","",UPPER(SUBSTITUTE($E2271," ","")))</f>
        <v/>
      </c>
      <c r="K2271" s="10" t="str">
        <f aca="false">IF($A2271="","",$G2271&amp;"|"&amp;$J2271)</f>
        <v/>
      </c>
      <c r="L2271" s="10" t="str">
        <f aca="false">IF($A2271="","",ROW()-2)</f>
        <v/>
      </c>
      <c r="M2271" s="10" t="str">
        <f aca="false">IF($A2271="","",ROW())</f>
        <v/>
      </c>
    </row>
    <row r="2272" customFormat="false" ht="15" hidden="false" customHeight="true" outlineLevel="0" collapsed="false">
      <c r="A2272" s="8"/>
      <c r="B2272" s="8"/>
      <c r="C2272" s="8"/>
      <c r="D2272" s="8"/>
      <c r="E2272" s="8"/>
      <c r="F2272" s="8"/>
      <c r="G2272" s="10" t="str">
        <f aca="false">IF($A2272="","",UPPER(SUBSTITUTE(SUBSTITUTE(SUBSTITUTE(SUBSTITUTE($A2272," ",""),"(주)",""),"주식회사",""),"㈜","")))</f>
        <v/>
      </c>
      <c r="H2272" s="10" t="str">
        <f aca="false">IF($B2272="","",SUBSTITUTE(SUBSTITUTE(SUBSTITUTE($B2272,"-","")," ",""),".",""))</f>
        <v/>
      </c>
      <c r="I2272" s="10" t="str">
        <f aca="false">IF($D2272="","",SUBSTITUTE(SUBSTITUTE(SUBSTITUTE($D2272,"-","")," ",""),".",""))</f>
        <v/>
      </c>
      <c r="J2272" s="10" t="str">
        <f aca="false">IF($E2272="","",UPPER(SUBSTITUTE($E2272," ","")))</f>
        <v/>
      </c>
      <c r="K2272" s="10" t="str">
        <f aca="false">IF($A2272="","",$G2272&amp;"|"&amp;$J2272)</f>
        <v/>
      </c>
      <c r="L2272" s="10" t="str">
        <f aca="false">IF($A2272="","",ROW()-2)</f>
        <v/>
      </c>
      <c r="M2272" s="10" t="str">
        <f aca="false">IF($A2272="","",ROW())</f>
        <v/>
      </c>
    </row>
    <row r="2273" customFormat="false" ht="15" hidden="false" customHeight="true" outlineLevel="0" collapsed="false">
      <c r="A2273" s="8"/>
      <c r="B2273" s="8"/>
      <c r="C2273" s="8"/>
      <c r="D2273" s="8"/>
      <c r="E2273" s="8"/>
      <c r="F2273" s="8"/>
      <c r="G2273" s="10" t="str">
        <f aca="false">IF($A2273="","",UPPER(SUBSTITUTE(SUBSTITUTE(SUBSTITUTE(SUBSTITUTE($A2273," ",""),"(주)",""),"주식회사",""),"㈜","")))</f>
        <v/>
      </c>
      <c r="H2273" s="10" t="str">
        <f aca="false">IF($B2273="","",SUBSTITUTE(SUBSTITUTE(SUBSTITUTE($B2273,"-","")," ",""),".",""))</f>
        <v/>
      </c>
      <c r="I2273" s="10" t="str">
        <f aca="false">IF($D2273="","",SUBSTITUTE(SUBSTITUTE(SUBSTITUTE($D2273,"-","")," ",""),".",""))</f>
        <v/>
      </c>
      <c r="J2273" s="10" t="str">
        <f aca="false">IF($E2273="","",UPPER(SUBSTITUTE($E2273," ","")))</f>
        <v/>
      </c>
      <c r="K2273" s="10" t="str">
        <f aca="false">IF($A2273="","",$G2273&amp;"|"&amp;$J2273)</f>
        <v/>
      </c>
      <c r="L2273" s="10" t="str">
        <f aca="false">IF($A2273="","",ROW()-2)</f>
        <v/>
      </c>
      <c r="M2273" s="10" t="str">
        <f aca="false">IF($A2273="","",ROW())</f>
        <v/>
      </c>
    </row>
    <row r="2274" customFormat="false" ht="15" hidden="false" customHeight="true" outlineLevel="0" collapsed="false">
      <c r="A2274" s="8"/>
      <c r="B2274" s="8"/>
      <c r="C2274" s="8"/>
      <c r="D2274" s="8"/>
      <c r="E2274" s="8"/>
      <c r="F2274" s="8"/>
      <c r="G2274" s="10" t="str">
        <f aca="false">IF($A2274="","",UPPER(SUBSTITUTE(SUBSTITUTE(SUBSTITUTE(SUBSTITUTE($A2274," ",""),"(주)",""),"주식회사",""),"㈜","")))</f>
        <v/>
      </c>
      <c r="H2274" s="10" t="str">
        <f aca="false">IF($B2274="","",SUBSTITUTE(SUBSTITUTE(SUBSTITUTE($B2274,"-","")," ",""),".",""))</f>
        <v/>
      </c>
      <c r="I2274" s="10" t="str">
        <f aca="false">IF($D2274="","",SUBSTITUTE(SUBSTITUTE(SUBSTITUTE($D2274,"-","")," ",""),".",""))</f>
        <v/>
      </c>
      <c r="J2274" s="10" t="str">
        <f aca="false">IF($E2274="","",UPPER(SUBSTITUTE($E2274," ","")))</f>
        <v/>
      </c>
      <c r="K2274" s="10" t="str">
        <f aca="false">IF($A2274="","",$G2274&amp;"|"&amp;$J2274)</f>
        <v/>
      </c>
      <c r="L2274" s="10" t="str">
        <f aca="false">IF($A2274="","",ROW()-2)</f>
        <v/>
      </c>
      <c r="M2274" s="10" t="str">
        <f aca="false">IF($A2274="","",ROW())</f>
        <v/>
      </c>
    </row>
    <row r="2275" customFormat="false" ht="15" hidden="false" customHeight="true" outlineLevel="0" collapsed="false">
      <c r="A2275" s="8"/>
      <c r="B2275" s="8"/>
      <c r="C2275" s="8"/>
      <c r="D2275" s="8"/>
      <c r="E2275" s="8"/>
      <c r="F2275" s="8"/>
      <c r="G2275" s="10" t="str">
        <f aca="false">IF($A2275="","",UPPER(SUBSTITUTE(SUBSTITUTE(SUBSTITUTE(SUBSTITUTE($A2275," ",""),"(주)",""),"주식회사",""),"㈜","")))</f>
        <v/>
      </c>
      <c r="H2275" s="10" t="str">
        <f aca="false">IF($B2275="","",SUBSTITUTE(SUBSTITUTE(SUBSTITUTE($B2275,"-","")," ",""),".",""))</f>
        <v/>
      </c>
      <c r="I2275" s="10" t="str">
        <f aca="false">IF($D2275="","",SUBSTITUTE(SUBSTITUTE(SUBSTITUTE($D2275,"-","")," ",""),".",""))</f>
        <v/>
      </c>
      <c r="J2275" s="10" t="str">
        <f aca="false">IF($E2275="","",UPPER(SUBSTITUTE($E2275," ","")))</f>
        <v/>
      </c>
      <c r="K2275" s="10" t="str">
        <f aca="false">IF($A2275="","",$G2275&amp;"|"&amp;$J2275)</f>
        <v/>
      </c>
      <c r="L2275" s="10" t="str">
        <f aca="false">IF($A2275="","",ROW()-2)</f>
        <v/>
      </c>
      <c r="M2275" s="10" t="str">
        <f aca="false">IF($A2275="","",ROW())</f>
        <v/>
      </c>
    </row>
    <row r="2276" customFormat="false" ht="15" hidden="false" customHeight="true" outlineLevel="0" collapsed="false">
      <c r="A2276" s="8"/>
      <c r="B2276" s="8"/>
      <c r="C2276" s="8"/>
      <c r="D2276" s="8"/>
      <c r="E2276" s="8"/>
      <c r="F2276" s="8"/>
      <c r="G2276" s="10" t="str">
        <f aca="false">IF($A2276="","",UPPER(SUBSTITUTE(SUBSTITUTE(SUBSTITUTE(SUBSTITUTE($A2276," ",""),"(주)",""),"주식회사",""),"㈜","")))</f>
        <v/>
      </c>
      <c r="H2276" s="10" t="str">
        <f aca="false">IF($B2276="","",SUBSTITUTE(SUBSTITUTE(SUBSTITUTE($B2276,"-","")," ",""),".",""))</f>
        <v/>
      </c>
      <c r="I2276" s="10" t="str">
        <f aca="false">IF($D2276="","",SUBSTITUTE(SUBSTITUTE(SUBSTITUTE($D2276,"-","")," ",""),".",""))</f>
        <v/>
      </c>
      <c r="J2276" s="10" t="str">
        <f aca="false">IF($E2276="","",UPPER(SUBSTITUTE($E2276," ","")))</f>
        <v/>
      </c>
      <c r="K2276" s="10" t="str">
        <f aca="false">IF($A2276="","",$G2276&amp;"|"&amp;$J2276)</f>
        <v/>
      </c>
      <c r="L2276" s="10" t="str">
        <f aca="false">IF($A2276="","",ROW()-2)</f>
        <v/>
      </c>
      <c r="M2276" s="10" t="str">
        <f aca="false">IF($A2276="","",ROW())</f>
        <v/>
      </c>
    </row>
    <row r="2277" customFormat="false" ht="15" hidden="false" customHeight="true" outlineLevel="0" collapsed="false">
      <c r="A2277" s="8"/>
      <c r="B2277" s="8"/>
      <c r="C2277" s="8"/>
      <c r="D2277" s="8"/>
      <c r="E2277" s="8"/>
      <c r="F2277" s="8"/>
      <c r="G2277" s="10" t="str">
        <f aca="false">IF($A2277="","",UPPER(SUBSTITUTE(SUBSTITUTE(SUBSTITUTE(SUBSTITUTE($A2277," ",""),"(주)",""),"주식회사",""),"㈜","")))</f>
        <v/>
      </c>
      <c r="H2277" s="10" t="str">
        <f aca="false">IF($B2277="","",SUBSTITUTE(SUBSTITUTE(SUBSTITUTE($B2277,"-","")," ",""),".",""))</f>
        <v/>
      </c>
      <c r="I2277" s="10" t="str">
        <f aca="false">IF($D2277="","",SUBSTITUTE(SUBSTITUTE(SUBSTITUTE($D2277,"-","")," ",""),".",""))</f>
        <v/>
      </c>
      <c r="J2277" s="10" t="str">
        <f aca="false">IF($E2277="","",UPPER(SUBSTITUTE($E2277," ","")))</f>
        <v/>
      </c>
      <c r="K2277" s="10" t="str">
        <f aca="false">IF($A2277="","",$G2277&amp;"|"&amp;$J2277)</f>
        <v/>
      </c>
      <c r="L2277" s="10" t="str">
        <f aca="false">IF($A2277="","",ROW()-2)</f>
        <v/>
      </c>
      <c r="M2277" s="10" t="str">
        <f aca="false">IF($A2277="","",ROW())</f>
        <v/>
      </c>
    </row>
    <row r="2278" customFormat="false" ht="15" hidden="false" customHeight="true" outlineLevel="0" collapsed="false">
      <c r="A2278" s="8"/>
      <c r="B2278" s="8"/>
      <c r="C2278" s="8"/>
      <c r="D2278" s="8"/>
      <c r="E2278" s="8"/>
      <c r="F2278" s="8"/>
      <c r="G2278" s="10" t="str">
        <f aca="false">IF($A2278="","",UPPER(SUBSTITUTE(SUBSTITUTE(SUBSTITUTE(SUBSTITUTE($A2278," ",""),"(주)",""),"주식회사",""),"㈜","")))</f>
        <v/>
      </c>
      <c r="H2278" s="10" t="str">
        <f aca="false">IF($B2278="","",SUBSTITUTE(SUBSTITUTE(SUBSTITUTE($B2278,"-","")," ",""),".",""))</f>
        <v/>
      </c>
      <c r="I2278" s="10" t="str">
        <f aca="false">IF($D2278="","",SUBSTITUTE(SUBSTITUTE(SUBSTITUTE($D2278,"-","")," ",""),".",""))</f>
        <v/>
      </c>
      <c r="J2278" s="10" t="str">
        <f aca="false">IF($E2278="","",UPPER(SUBSTITUTE($E2278," ","")))</f>
        <v/>
      </c>
      <c r="K2278" s="10" t="str">
        <f aca="false">IF($A2278="","",$G2278&amp;"|"&amp;$J2278)</f>
        <v/>
      </c>
      <c r="L2278" s="10" t="str">
        <f aca="false">IF($A2278="","",ROW()-2)</f>
        <v/>
      </c>
      <c r="M2278" s="10" t="str">
        <f aca="false">IF($A2278="","",ROW())</f>
        <v/>
      </c>
    </row>
    <row r="2279" customFormat="false" ht="15" hidden="false" customHeight="true" outlineLevel="0" collapsed="false">
      <c r="A2279" s="8"/>
      <c r="B2279" s="8"/>
      <c r="C2279" s="8"/>
      <c r="D2279" s="8"/>
      <c r="E2279" s="8"/>
      <c r="F2279" s="8"/>
      <c r="G2279" s="10" t="str">
        <f aca="false">IF($A2279="","",UPPER(SUBSTITUTE(SUBSTITUTE(SUBSTITUTE(SUBSTITUTE($A2279," ",""),"(주)",""),"주식회사",""),"㈜","")))</f>
        <v/>
      </c>
      <c r="H2279" s="10" t="str">
        <f aca="false">IF($B2279="","",SUBSTITUTE(SUBSTITUTE(SUBSTITUTE($B2279,"-","")," ",""),".",""))</f>
        <v/>
      </c>
      <c r="I2279" s="10" t="str">
        <f aca="false">IF($D2279="","",SUBSTITUTE(SUBSTITUTE(SUBSTITUTE($D2279,"-","")," ",""),".",""))</f>
        <v/>
      </c>
      <c r="J2279" s="10" t="str">
        <f aca="false">IF($E2279="","",UPPER(SUBSTITUTE($E2279," ","")))</f>
        <v/>
      </c>
      <c r="K2279" s="10" t="str">
        <f aca="false">IF($A2279="","",$G2279&amp;"|"&amp;$J2279)</f>
        <v/>
      </c>
      <c r="L2279" s="10" t="str">
        <f aca="false">IF($A2279="","",ROW()-2)</f>
        <v/>
      </c>
      <c r="M2279" s="10" t="str">
        <f aca="false">IF($A2279="","",ROW())</f>
        <v/>
      </c>
    </row>
    <row r="2280" customFormat="false" ht="15" hidden="false" customHeight="true" outlineLevel="0" collapsed="false">
      <c r="A2280" s="8"/>
      <c r="B2280" s="8"/>
      <c r="C2280" s="8"/>
      <c r="D2280" s="8"/>
      <c r="E2280" s="8"/>
      <c r="F2280" s="8"/>
      <c r="G2280" s="10" t="str">
        <f aca="false">IF($A2280="","",UPPER(SUBSTITUTE(SUBSTITUTE(SUBSTITUTE(SUBSTITUTE($A2280," ",""),"(주)",""),"주식회사",""),"㈜","")))</f>
        <v/>
      </c>
      <c r="H2280" s="10" t="str">
        <f aca="false">IF($B2280="","",SUBSTITUTE(SUBSTITUTE(SUBSTITUTE($B2280,"-","")," ",""),".",""))</f>
        <v/>
      </c>
      <c r="I2280" s="10" t="str">
        <f aca="false">IF($D2280="","",SUBSTITUTE(SUBSTITUTE(SUBSTITUTE($D2280,"-","")," ",""),".",""))</f>
        <v/>
      </c>
      <c r="J2280" s="10" t="str">
        <f aca="false">IF($E2280="","",UPPER(SUBSTITUTE($E2280," ","")))</f>
        <v/>
      </c>
      <c r="K2280" s="10" t="str">
        <f aca="false">IF($A2280="","",$G2280&amp;"|"&amp;$J2280)</f>
        <v/>
      </c>
      <c r="L2280" s="10" t="str">
        <f aca="false">IF($A2280="","",ROW()-2)</f>
        <v/>
      </c>
      <c r="M2280" s="10" t="str">
        <f aca="false">IF($A2280="","",ROW())</f>
        <v/>
      </c>
    </row>
    <row r="2281" customFormat="false" ht="15" hidden="false" customHeight="true" outlineLevel="0" collapsed="false">
      <c r="A2281" s="8"/>
      <c r="B2281" s="8"/>
      <c r="C2281" s="8"/>
      <c r="D2281" s="8"/>
      <c r="E2281" s="8"/>
      <c r="F2281" s="8"/>
      <c r="G2281" s="10" t="str">
        <f aca="false">IF($A2281="","",UPPER(SUBSTITUTE(SUBSTITUTE(SUBSTITUTE(SUBSTITUTE($A2281," ",""),"(주)",""),"주식회사",""),"㈜","")))</f>
        <v/>
      </c>
      <c r="H2281" s="10" t="str">
        <f aca="false">IF($B2281="","",SUBSTITUTE(SUBSTITUTE(SUBSTITUTE($B2281,"-","")," ",""),".",""))</f>
        <v/>
      </c>
      <c r="I2281" s="10" t="str">
        <f aca="false">IF($D2281="","",SUBSTITUTE(SUBSTITUTE(SUBSTITUTE($D2281,"-","")," ",""),".",""))</f>
        <v/>
      </c>
      <c r="J2281" s="10" t="str">
        <f aca="false">IF($E2281="","",UPPER(SUBSTITUTE($E2281," ","")))</f>
        <v/>
      </c>
      <c r="K2281" s="10" t="str">
        <f aca="false">IF($A2281="","",$G2281&amp;"|"&amp;$J2281)</f>
        <v/>
      </c>
      <c r="L2281" s="10" t="str">
        <f aca="false">IF($A2281="","",ROW()-2)</f>
        <v/>
      </c>
      <c r="M2281" s="10" t="str">
        <f aca="false">IF($A2281="","",ROW())</f>
        <v/>
      </c>
    </row>
    <row r="2282" customFormat="false" ht="15" hidden="false" customHeight="true" outlineLevel="0" collapsed="false">
      <c r="A2282" s="8"/>
      <c r="B2282" s="8"/>
      <c r="C2282" s="8"/>
      <c r="D2282" s="8"/>
      <c r="E2282" s="8"/>
      <c r="F2282" s="8"/>
      <c r="G2282" s="10" t="str">
        <f aca="false">IF($A2282="","",UPPER(SUBSTITUTE(SUBSTITUTE(SUBSTITUTE(SUBSTITUTE($A2282," ",""),"(주)",""),"주식회사",""),"㈜","")))</f>
        <v/>
      </c>
      <c r="H2282" s="10" t="str">
        <f aca="false">IF($B2282="","",SUBSTITUTE(SUBSTITUTE(SUBSTITUTE($B2282,"-","")," ",""),".",""))</f>
        <v/>
      </c>
      <c r="I2282" s="10" t="str">
        <f aca="false">IF($D2282="","",SUBSTITUTE(SUBSTITUTE(SUBSTITUTE($D2282,"-","")," ",""),".",""))</f>
        <v/>
      </c>
      <c r="J2282" s="10" t="str">
        <f aca="false">IF($E2282="","",UPPER(SUBSTITUTE($E2282," ","")))</f>
        <v/>
      </c>
      <c r="K2282" s="10" t="str">
        <f aca="false">IF($A2282="","",$G2282&amp;"|"&amp;$J2282)</f>
        <v/>
      </c>
      <c r="L2282" s="10" t="str">
        <f aca="false">IF($A2282="","",ROW()-2)</f>
        <v/>
      </c>
      <c r="M2282" s="10" t="str">
        <f aca="false">IF($A2282="","",ROW())</f>
        <v/>
      </c>
    </row>
    <row r="2283" customFormat="false" ht="15" hidden="false" customHeight="true" outlineLevel="0" collapsed="false">
      <c r="A2283" s="8"/>
      <c r="B2283" s="8"/>
      <c r="C2283" s="8"/>
      <c r="D2283" s="8"/>
      <c r="E2283" s="8"/>
      <c r="F2283" s="8"/>
      <c r="G2283" s="10" t="str">
        <f aca="false">IF($A2283="","",UPPER(SUBSTITUTE(SUBSTITUTE(SUBSTITUTE(SUBSTITUTE($A2283," ",""),"(주)",""),"주식회사",""),"㈜","")))</f>
        <v/>
      </c>
      <c r="H2283" s="10" t="str">
        <f aca="false">IF($B2283="","",SUBSTITUTE(SUBSTITUTE(SUBSTITUTE($B2283,"-","")," ",""),".",""))</f>
        <v/>
      </c>
      <c r="I2283" s="10" t="str">
        <f aca="false">IF($D2283="","",SUBSTITUTE(SUBSTITUTE(SUBSTITUTE($D2283,"-","")," ",""),".",""))</f>
        <v/>
      </c>
      <c r="J2283" s="10" t="str">
        <f aca="false">IF($E2283="","",UPPER(SUBSTITUTE($E2283," ","")))</f>
        <v/>
      </c>
      <c r="K2283" s="10" t="str">
        <f aca="false">IF($A2283="","",$G2283&amp;"|"&amp;$J2283)</f>
        <v/>
      </c>
      <c r="L2283" s="10" t="str">
        <f aca="false">IF($A2283="","",ROW()-2)</f>
        <v/>
      </c>
      <c r="M2283" s="10" t="str">
        <f aca="false">IF($A2283="","",ROW())</f>
        <v/>
      </c>
    </row>
    <row r="2284" customFormat="false" ht="15" hidden="false" customHeight="true" outlineLevel="0" collapsed="false">
      <c r="A2284" s="8"/>
      <c r="B2284" s="8"/>
      <c r="C2284" s="8"/>
      <c r="D2284" s="8"/>
      <c r="E2284" s="8"/>
      <c r="F2284" s="8"/>
      <c r="G2284" s="10" t="str">
        <f aca="false">IF($A2284="","",UPPER(SUBSTITUTE(SUBSTITUTE(SUBSTITUTE(SUBSTITUTE($A2284," ",""),"(주)",""),"주식회사",""),"㈜","")))</f>
        <v/>
      </c>
      <c r="H2284" s="10" t="str">
        <f aca="false">IF($B2284="","",SUBSTITUTE(SUBSTITUTE(SUBSTITUTE($B2284,"-","")," ",""),".",""))</f>
        <v/>
      </c>
      <c r="I2284" s="10" t="str">
        <f aca="false">IF($D2284="","",SUBSTITUTE(SUBSTITUTE(SUBSTITUTE($D2284,"-","")," ",""),".",""))</f>
        <v/>
      </c>
      <c r="J2284" s="10" t="str">
        <f aca="false">IF($E2284="","",UPPER(SUBSTITUTE($E2284," ","")))</f>
        <v/>
      </c>
      <c r="K2284" s="10" t="str">
        <f aca="false">IF($A2284="","",$G2284&amp;"|"&amp;$J2284)</f>
        <v/>
      </c>
      <c r="L2284" s="10" t="str">
        <f aca="false">IF($A2284="","",ROW()-2)</f>
        <v/>
      </c>
      <c r="M2284" s="10" t="str">
        <f aca="false">IF($A2284="","",ROW())</f>
        <v/>
      </c>
    </row>
    <row r="2285" customFormat="false" ht="15" hidden="false" customHeight="true" outlineLevel="0" collapsed="false">
      <c r="A2285" s="8"/>
      <c r="B2285" s="8"/>
      <c r="C2285" s="8"/>
      <c r="D2285" s="8"/>
      <c r="E2285" s="8"/>
      <c r="F2285" s="8"/>
      <c r="G2285" s="10" t="str">
        <f aca="false">IF($A2285="","",UPPER(SUBSTITUTE(SUBSTITUTE(SUBSTITUTE(SUBSTITUTE($A2285," ",""),"(주)",""),"주식회사",""),"㈜","")))</f>
        <v/>
      </c>
      <c r="H2285" s="10" t="str">
        <f aca="false">IF($B2285="","",SUBSTITUTE(SUBSTITUTE(SUBSTITUTE($B2285,"-","")," ",""),".",""))</f>
        <v/>
      </c>
      <c r="I2285" s="10" t="str">
        <f aca="false">IF($D2285="","",SUBSTITUTE(SUBSTITUTE(SUBSTITUTE($D2285,"-","")," ",""),".",""))</f>
        <v/>
      </c>
      <c r="J2285" s="10" t="str">
        <f aca="false">IF($E2285="","",UPPER(SUBSTITUTE($E2285," ","")))</f>
        <v/>
      </c>
      <c r="K2285" s="10" t="str">
        <f aca="false">IF($A2285="","",$G2285&amp;"|"&amp;$J2285)</f>
        <v/>
      </c>
      <c r="L2285" s="10" t="str">
        <f aca="false">IF($A2285="","",ROW()-2)</f>
        <v/>
      </c>
      <c r="M2285" s="10" t="str">
        <f aca="false">IF($A2285="","",ROW())</f>
        <v/>
      </c>
    </row>
    <row r="2286" customFormat="false" ht="15" hidden="false" customHeight="true" outlineLevel="0" collapsed="false">
      <c r="A2286" s="8"/>
      <c r="B2286" s="8"/>
      <c r="C2286" s="8"/>
      <c r="D2286" s="8"/>
      <c r="E2286" s="8"/>
      <c r="F2286" s="8"/>
      <c r="G2286" s="10" t="str">
        <f aca="false">IF($A2286="","",UPPER(SUBSTITUTE(SUBSTITUTE(SUBSTITUTE(SUBSTITUTE($A2286," ",""),"(주)",""),"주식회사",""),"㈜","")))</f>
        <v/>
      </c>
      <c r="H2286" s="10" t="str">
        <f aca="false">IF($B2286="","",SUBSTITUTE(SUBSTITUTE(SUBSTITUTE($B2286,"-","")," ",""),".",""))</f>
        <v/>
      </c>
      <c r="I2286" s="10" t="str">
        <f aca="false">IF($D2286="","",SUBSTITUTE(SUBSTITUTE(SUBSTITUTE($D2286,"-","")," ",""),".",""))</f>
        <v/>
      </c>
      <c r="J2286" s="10" t="str">
        <f aca="false">IF($E2286="","",UPPER(SUBSTITUTE($E2286," ","")))</f>
        <v/>
      </c>
      <c r="K2286" s="10" t="str">
        <f aca="false">IF($A2286="","",$G2286&amp;"|"&amp;$J2286)</f>
        <v/>
      </c>
      <c r="L2286" s="10" t="str">
        <f aca="false">IF($A2286="","",ROW()-2)</f>
        <v/>
      </c>
      <c r="M2286" s="10" t="str">
        <f aca="false">IF($A2286="","",ROW())</f>
        <v/>
      </c>
    </row>
    <row r="2287" customFormat="false" ht="15" hidden="false" customHeight="true" outlineLevel="0" collapsed="false">
      <c r="A2287" s="8"/>
      <c r="B2287" s="8"/>
      <c r="C2287" s="8"/>
      <c r="D2287" s="8"/>
      <c r="E2287" s="8"/>
      <c r="F2287" s="8"/>
      <c r="G2287" s="10" t="str">
        <f aca="false">IF($A2287="","",UPPER(SUBSTITUTE(SUBSTITUTE(SUBSTITUTE(SUBSTITUTE($A2287," ",""),"(주)",""),"주식회사",""),"㈜","")))</f>
        <v/>
      </c>
      <c r="H2287" s="10" t="str">
        <f aca="false">IF($B2287="","",SUBSTITUTE(SUBSTITUTE(SUBSTITUTE($B2287,"-","")," ",""),".",""))</f>
        <v/>
      </c>
      <c r="I2287" s="10" t="str">
        <f aca="false">IF($D2287="","",SUBSTITUTE(SUBSTITUTE(SUBSTITUTE($D2287,"-","")," ",""),".",""))</f>
        <v/>
      </c>
      <c r="J2287" s="10" t="str">
        <f aca="false">IF($E2287="","",UPPER(SUBSTITUTE($E2287," ","")))</f>
        <v/>
      </c>
      <c r="K2287" s="10" t="str">
        <f aca="false">IF($A2287="","",$G2287&amp;"|"&amp;$J2287)</f>
        <v/>
      </c>
      <c r="L2287" s="10" t="str">
        <f aca="false">IF($A2287="","",ROW()-2)</f>
        <v/>
      </c>
      <c r="M2287" s="10" t="str">
        <f aca="false">IF($A2287="","",ROW())</f>
        <v/>
      </c>
    </row>
    <row r="2288" customFormat="false" ht="15" hidden="false" customHeight="true" outlineLevel="0" collapsed="false">
      <c r="A2288" s="8"/>
      <c r="B2288" s="8"/>
      <c r="C2288" s="8"/>
      <c r="D2288" s="8"/>
      <c r="E2288" s="8"/>
      <c r="F2288" s="8"/>
      <c r="G2288" s="10" t="str">
        <f aca="false">IF($A2288="","",UPPER(SUBSTITUTE(SUBSTITUTE(SUBSTITUTE(SUBSTITUTE($A2288," ",""),"(주)",""),"주식회사",""),"㈜","")))</f>
        <v/>
      </c>
      <c r="H2288" s="10" t="str">
        <f aca="false">IF($B2288="","",SUBSTITUTE(SUBSTITUTE(SUBSTITUTE($B2288,"-","")," ",""),".",""))</f>
        <v/>
      </c>
      <c r="I2288" s="10" t="str">
        <f aca="false">IF($D2288="","",SUBSTITUTE(SUBSTITUTE(SUBSTITUTE($D2288,"-","")," ",""),".",""))</f>
        <v/>
      </c>
      <c r="J2288" s="10" t="str">
        <f aca="false">IF($E2288="","",UPPER(SUBSTITUTE($E2288," ","")))</f>
        <v/>
      </c>
      <c r="K2288" s="10" t="str">
        <f aca="false">IF($A2288="","",$G2288&amp;"|"&amp;$J2288)</f>
        <v/>
      </c>
      <c r="L2288" s="10" t="str">
        <f aca="false">IF($A2288="","",ROW()-2)</f>
        <v/>
      </c>
      <c r="M2288" s="10" t="str">
        <f aca="false">IF($A2288="","",ROW())</f>
        <v/>
      </c>
    </row>
    <row r="2289" customFormat="false" ht="15" hidden="false" customHeight="true" outlineLevel="0" collapsed="false">
      <c r="A2289" s="8"/>
      <c r="B2289" s="8"/>
      <c r="C2289" s="8"/>
      <c r="D2289" s="8"/>
      <c r="E2289" s="8"/>
      <c r="F2289" s="8"/>
      <c r="G2289" s="10" t="str">
        <f aca="false">IF($A2289="","",UPPER(SUBSTITUTE(SUBSTITUTE(SUBSTITUTE(SUBSTITUTE($A2289," ",""),"(주)",""),"주식회사",""),"㈜","")))</f>
        <v/>
      </c>
      <c r="H2289" s="10" t="str">
        <f aca="false">IF($B2289="","",SUBSTITUTE(SUBSTITUTE(SUBSTITUTE($B2289,"-","")," ",""),".",""))</f>
        <v/>
      </c>
      <c r="I2289" s="10" t="str">
        <f aca="false">IF($D2289="","",SUBSTITUTE(SUBSTITUTE(SUBSTITUTE($D2289,"-","")," ",""),".",""))</f>
        <v/>
      </c>
      <c r="J2289" s="10" t="str">
        <f aca="false">IF($E2289="","",UPPER(SUBSTITUTE($E2289," ","")))</f>
        <v/>
      </c>
      <c r="K2289" s="10" t="str">
        <f aca="false">IF($A2289="","",$G2289&amp;"|"&amp;$J2289)</f>
        <v/>
      </c>
      <c r="L2289" s="10" t="str">
        <f aca="false">IF($A2289="","",ROW()-2)</f>
        <v/>
      </c>
      <c r="M2289" s="10" t="str">
        <f aca="false">IF($A2289="","",ROW())</f>
        <v/>
      </c>
    </row>
    <row r="2290" customFormat="false" ht="15" hidden="false" customHeight="true" outlineLevel="0" collapsed="false">
      <c r="A2290" s="8"/>
      <c r="B2290" s="8"/>
      <c r="C2290" s="8"/>
      <c r="D2290" s="8"/>
      <c r="E2290" s="8"/>
      <c r="F2290" s="8"/>
      <c r="G2290" s="10" t="str">
        <f aca="false">IF($A2290="","",UPPER(SUBSTITUTE(SUBSTITUTE(SUBSTITUTE(SUBSTITUTE($A2290," ",""),"(주)",""),"주식회사",""),"㈜","")))</f>
        <v/>
      </c>
      <c r="H2290" s="10" t="str">
        <f aca="false">IF($B2290="","",SUBSTITUTE(SUBSTITUTE(SUBSTITUTE($B2290,"-","")," ",""),".",""))</f>
        <v/>
      </c>
      <c r="I2290" s="10" t="str">
        <f aca="false">IF($D2290="","",SUBSTITUTE(SUBSTITUTE(SUBSTITUTE($D2290,"-","")," ",""),".",""))</f>
        <v/>
      </c>
      <c r="J2290" s="10" t="str">
        <f aca="false">IF($E2290="","",UPPER(SUBSTITUTE($E2290," ","")))</f>
        <v/>
      </c>
      <c r="K2290" s="10" t="str">
        <f aca="false">IF($A2290="","",$G2290&amp;"|"&amp;$J2290)</f>
        <v/>
      </c>
      <c r="L2290" s="10" t="str">
        <f aca="false">IF($A2290="","",ROW()-2)</f>
        <v/>
      </c>
      <c r="M2290" s="10" t="str">
        <f aca="false">IF($A2290="","",ROW())</f>
        <v/>
      </c>
    </row>
    <row r="2291" customFormat="false" ht="15" hidden="false" customHeight="true" outlineLevel="0" collapsed="false">
      <c r="A2291" s="8"/>
      <c r="B2291" s="8"/>
      <c r="C2291" s="8"/>
      <c r="D2291" s="8"/>
      <c r="E2291" s="8"/>
      <c r="F2291" s="8"/>
      <c r="G2291" s="10" t="str">
        <f aca="false">IF($A2291="","",UPPER(SUBSTITUTE(SUBSTITUTE(SUBSTITUTE(SUBSTITUTE($A2291," ",""),"(주)",""),"주식회사",""),"㈜","")))</f>
        <v/>
      </c>
      <c r="H2291" s="10" t="str">
        <f aca="false">IF($B2291="","",SUBSTITUTE(SUBSTITUTE(SUBSTITUTE($B2291,"-","")," ",""),".",""))</f>
        <v/>
      </c>
      <c r="I2291" s="10" t="str">
        <f aca="false">IF($D2291="","",SUBSTITUTE(SUBSTITUTE(SUBSTITUTE($D2291,"-","")," ",""),".",""))</f>
        <v/>
      </c>
      <c r="J2291" s="10" t="str">
        <f aca="false">IF($E2291="","",UPPER(SUBSTITUTE($E2291," ","")))</f>
        <v/>
      </c>
      <c r="K2291" s="10" t="str">
        <f aca="false">IF($A2291="","",$G2291&amp;"|"&amp;$J2291)</f>
        <v/>
      </c>
      <c r="L2291" s="10" t="str">
        <f aca="false">IF($A2291="","",ROW()-2)</f>
        <v/>
      </c>
      <c r="M2291" s="10" t="str">
        <f aca="false">IF($A2291="","",ROW())</f>
        <v/>
      </c>
    </row>
    <row r="2292" customFormat="false" ht="15" hidden="false" customHeight="true" outlineLevel="0" collapsed="false">
      <c r="A2292" s="8"/>
      <c r="B2292" s="8"/>
      <c r="C2292" s="8"/>
      <c r="D2292" s="8"/>
      <c r="E2292" s="8"/>
      <c r="F2292" s="8"/>
      <c r="G2292" s="10" t="str">
        <f aca="false">IF($A2292="","",UPPER(SUBSTITUTE(SUBSTITUTE(SUBSTITUTE(SUBSTITUTE($A2292," ",""),"(주)",""),"주식회사",""),"㈜","")))</f>
        <v/>
      </c>
      <c r="H2292" s="10" t="str">
        <f aca="false">IF($B2292="","",SUBSTITUTE(SUBSTITUTE(SUBSTITUTE($B2292,"-","")," ",""),".",""))</f>
        <v/>
      </c>
      <c r="I2292" s="10" t="str">
        <f aca="false">IF($D2292="","",SUBSTITUTE(SUBSTITUTE(SUBSTITUTE($D2292,"-","")," ",""),".",""))</f>
        <v/>
      </c>
      <c r="J2292" s="10" t="str">
        <f aca="false">IF($E2292="","",UPPER(SUBSTITUTE($E2292," ","")))</f>
        <v/>
      </c>
      <c r="K2292" s="10" t="str">
        <f aca="false">IF($A2292="","",$G2292&amp;"|"&amp;$J2292)</f>
        <v/>
      </c>
      <c r="L2292" s="10" t="str">
        <f aca="false">IF($A2292="","",ROW()-2)</f>
        <v/>
      </c>
      <c r="M2292" s="10" t="str">
        <f aca="false">IF($A2292="","",ROW())</f>
        <v/>
      </c>
    </row>
    <row r="2293" customFormat="false" ht="15" hidden="false" customHeight="true" outlineLevel="0" collapsed="false">
      <c r="A2293" s="8"/>
      <c r="B2293" s="8"/>
      <c r="C2293" s="8"/>
      <c r="D2293" s="8"/>
      <c r="E2293" s="8"/>
      <c r="F2293" s="8"/>
      <c r="G2293" s="10" t="str">
        <f aca="false">IF($A2293="","",UPPER(SUBSTITUTE(SUBSTITUTE(SUBSTITUTE(SUBSTITUTE($A2293," ",""),"(주)",""),"주식회사",""),"㈜","")))</f>
        <v/>
      </c>
      <c r="H2293" s="10" t="str">
        <f aca="false">IF($B2293="","",SUBSTITUTE(SUBSTITUTE(SUBSTITUTE($B2293,"-","")," ",""),".",""))</f>
        <v/>
      </c>
      <c r="I2293" s="10" t="str">
        <f aca="false">IF($D2293="","",SUBSTITUTE(SUBSTITUTE(SUBSTITUTE($D2293,"-","")," ",""),".",""))</f>
        <v/>
      </c>
      <c r="J2293" s="10" t="str">
        <f aca="false">IF($E2293="","",UPPER(SUBSTITUTE($E2293," ","")))</f>
        <v/>
      </c>
      <c r="K2293" s="10" t="str">
        <f aca="false">IF($A2293="","",$G2293&amp;"|"&amp;$J2293)</f>
        <v/>
      </c>
      <c r="L2293" s="10" t="str">
        <f aca="false">IF($A2293="","",ROW()-2)</f>
        <v/>
      </c>
      <c r="M2293" s="10" t="str">
        <f aca="false">IF($A2293="","",ROW())</f>
        <v/>
      </c>
    </row>
    <row r="2294" customFormat="false" ht="15" hidden="false" customHeight="true" outlineLevel="0" collapsed="false">
      <c r="A2294" s="8"/>
      <c r="B2294" s="8"/>
      <c r="C2294" s="8"/>
      <c r="D2294" s="8"/>
      <c r="E2294" s="8"/>
      <c r="F2294" s="8"/>
      <c r="G2294" s="10" t="str">
        <f aca="false">IF($A2294="","",UPPER(SUBSTITUTE(SUBSTITUTE(SUBSTITUTE(SUBSTITUTE($A2294," ",""),"(주)",""),"주식회사",""),"㈜","")))</f>
        <v/>
      </c>
      <c r="H2294" s="10" t="str">
        <f aca="false">IF($B2294="","",SUBSTITUTE(SUBSTITUTE(SUBSTITUTE($B2294,"-","")," ",""),".",""))</f>
        <v/>
      </c>
      <c r="I2294" s="10" t="str">
        <f aca="false">IF($D2294="","",SUBSTITUTE(SUBSTITUTE(SUBSTITUTE($D2294,"-","")," ",""),".",""))</f>
        <v/>
      </c>
      <c r="J2294" s="10" t="str">
        <f aca="false">IF($E2294="","",UPPER(SUBSTITUTE($E2294," ","")))</f>
        <v/>
      </c>
      <c r="K2294" s="10" t="str">
        <f aca="false">IF($A2294="","",$G2294&amp;"|"&amp;$J2294)</f>
        <v/>
      </c>
      <c r="L2294" s="10" t="str">
        <f aca="false">IF($A2294="","",ROW()-2)</f>
        <v/>
      </c>
      <c r="M2294" s="10" t="str">
        <f aca="false">IF($A2294="","",ROW())</f>
        <v/>
      </c>
    </row>
    <row r="2295" customFormat="false" ht="15" hidden="false" customHeight="true" outlineLevel="0" collapsed="false">
      <c r="A2295" s="8"/>
      <c r="B2295" s="8"/>
      <c r="C2295" s="8"/>
      <c r="D2295" s="8"/>
      <c r="E2295" s="8"/>
      <c r="F2295" s="8"/>
      <c r="G2295" s="10" t="str">
        <f aca="false">IF($A2295="","",UPPER(SUBSTITUTE(SUBSTITUTE(SUBSTITUTE(SUBSTITUTE($A2295," ",""),"(주)",""),"주식회사",""),"㈜","")))</f>
        <v/>
      </c>
      <c r="H2295" s="10" t="str">
        <f aca="false">IF($B2295="","",SUBSTITUTE(SUBSTITUTE(SUBSTITUTE($B2295,"-","")," ",""),".",""))</f>
        <v/>
      </c>
      <c r="I2295" s="10" t="str">
        <f aca="false">IF($D2295="","",SUBSTITUTE(SUBSTITUTE(SUBSTITUTE($D2295,"-","")," ",""),".",""))</f>
        <v/>
      </c>
      <c r="J2295" s="10" t="str">
        <f aca="false">IF($E2295="","",UPPER(SUBSTITUTE($E2295," ","")))</f>
        <v/>
      </c>
      <c r="K2295" s="10" t="str">
        <f aca="false">IF($A2295="","",$G2295&amp;"|"&amp;$J2295)</f>
        <v/>
      </c>
      <c r="L2295" s="10" t="str">
        <f aca="false">IF($A2295="","",ROW()-2)</f>
        <v/>
      </c>
      <c r="M2295" s="10" t="str">
        <f aca="false">IF($A2295="","",ROW())</f>
        <v/>
      </c>
    </row>
    <row r="2296" customFormat="false" ht="15" hidden="false" customHeight="true" outlineLevel="0" collapsed="false">
      <c r="A2296" s="8"/>
      <c r="B2296" s="8"/>
      <c r="C2296" s="8"/>
      <c r="D2296" s="8"/>
      <c r="E2296" s="8"/>
      <c r="F2296" s="8"/>
      <c r="G2296" s="10" t="str">
        <f aca="false">IF($A2296="","",UPPER(SUBSTITUTE(SUBSTITUTE(SUBSTITUTE(SUBSTITUTE($A2296," ",""),"(주)",""),"주식회사",""),"㈜","")))</f>
        <v/>
      </c>
      <c r="H2296" s="10" t="str">
        <f aca="false">IF($B2296="","",SUBSTITUTE(SUBSTITUTE(SUBSTITUTE($B2296,"-","")," ",""),".",""))</f>
        <v/>
      </c>
      <c r="I2296" s="10" t="str">
        <f aca="false">IF($D2296="","",SUBSTITUTE(SUBSTITUTE(SUBSTITUTE($D2296,"-","")," ",""),".",""))</f>
        <v/>
      </c>
      <c r="J2296" s="10" t="str">
        <f aca="false">IF($E2296="","",UPPER(SUBSTITUTE($E2296," ","")))</f>
        <v/>
      </c>
      <c r="K2296" s="10" t="str">
        <f aca="false">IF($A2296="","",$G2296&amp;"|"&amp;$J2296)</f>
        <v/>
      </c>
      <c r="L2296" s="10" t="str">
        <f aca="false">IF($A2296="","",ROW()-2)</f>
        <v/>
      </c>
      <c r="M2296" s="10" t="str">
        <f aca="false">IF($A2296="","",ROW())</f>
        <v/>
      </c>
    </row>
    <row r="2297" customFormat="false" ht="15" hidden="false" customHeight="true" outlineLevel="0" collapsed="false">
      <c r="A2297" s="8"/>
      <c r="B2297" s="8"/>
      <c r="C2297" s="8"/>
      <c r="D2297" s="8"/>
      <c r="E2297" s="8"/>
      <c r="F2297" s="8"/>
      <c r="G2297" s="10" t="str">
        <f aca="false">IF($A2297="","",UPPER(SUBSTITUTE(SUBSTITUTE(SUBSTITUTE(SUBSTITUTE($A2297," ",""),"(주)",""),"주식회사",""),"㈜","")))</f>
        <v/>
      </c>
      <c r="H2297" s="10" t="str">
        <f aca="false">IF($B2297="","",SUBSTITUTE(SUBSTITUTE(SUBSTITUTE($B2297,"-","")," ",""),".",""))</f>
        <v/>
      </c>
      <c r="I2297" s="10" t="str">
        <f aca="false">IF($D2297="","",SUBSTITUTE(SUBSTITUTE(SUBSTITUTE($D2297,"-","")," ",""),".",""))</f>
        <v/>
      </c>
      <c r="J2297" s="10" t="str">
        <f aca="false">IF($E2297="","",UPPER(SUBSTITUTE($E2297," ","")))</f>
        <v/>
      </c>
      <c r="K2297" s="10" t="str">
        <f aca="false">IF($A2297="","",$G2297&amp;"|"&amp;$J2297)</f>
        <v/>
      </c>
      <c r="L2297" s="10" t="str">
        <f aca="false">IF($A2297="","",ROW()-2)</f>
        <v/>
      </c>
      <c r="M2297" s="10" t="str">
        <f aca="false">IF($A2297="","",ROW())</f>
        <v/>
      </c>
    </row>
    <row r="2298" customFormat="false" ht="15" hidden="false" customHeight="true" outlineLevel="0" collapsed="false">
      <c r="A2298" s="8"/>
      <c r="B2298" s="8"/>
      <c r="C2298" s="8"/>
      <c r="D2298" s="8"/>
      <c r="E2298" s="8"/>
      <c r="F2298" s="8"/>
      <c r="G2298" s="10" t="str">
        <f aca="false">IF($A2298="","",UPPER(SUBSTITUTE(SUBSTITUTE(SUBSTITUTE(SUBSTITUTE($A2298," ",""),"(주)",""),"주식회사",""),"㈜","")))</f>
        <v/>
      </c>
      <c r="H2298" s="10" t="str">
        <f aca="false">IF($B2298="","",SUBSTITUTE(SUBSTITUTE(SUBSTITUTE($B2298,"-","")," ",""),".",""))</f>
        <v/>
      </c>
      <c r="I2298" s="10" t="str">
        <f aca="false">IF($D2298="","",SUBSTITUTE(SUBSTITUTE(SUBSTITUTE($D2298,"-","")," ",""),".",""))</f>
        <v/>
      </c>
      <c r="J2298" s="10" t="str">
        <f aca="false">IF($E2298="","",UPPER(SUBSTITUTE($E2298," ","")))</f>
        <v/>
      </c>
      <c r="K2298" s="10" t="str">
        <f aca="false">IF($A2298="","",$G2298&amp;"|"&amp;$J2298)</f>
        <v/>
      </c>
      <c r="L2298" s="10" t="str">
        <f aca="false">IF($A2298="","",ROW()-2)</f>
        <v/>
      </c>
      <c r="M2298" s="10" t="str">
        <f aca="false">IF($A2298="","",ROW())</f>
        <v/>
      </c>
    </row>
    <row r="2299" customFormat="false" ht="15" hidden="false" customHeight="true" outlineLevel="0" collapsed="false">
      <c r="A2299" s="8"/>
      <c r="B2299" s="8"/>
      <c r="C2299" s="8"/>
      <c r="D2299" s="8"/>
      <c r="E2299" s="8"/>
      <c r="F2299" s="8"/>
      <c r="G2299" s="10" t="str">
        <f aca="false">IF($A2299="","",UPPER(SUBSTITUTE(SUBSTITUTE(SUBSTITUTE(SUBSTITUTE($A2299," ",""),"(주)",""),"주식회사",""),"㈜","")))</f>
        <v/>
      </c>
      <c r="H2299" s="10" t="str">
        <f aca="false">IF($B2299="","",SUBSTITUTE(SUBSTITUTE(SUBSTITUTE($B2299,"-","")," ",""),".",""))</f>
        <v/>
      </c>
      <c r="I2299" s="10" t="str">
        <f aca="false">IF($D2299="","",SUBSTITUTE(SUBSTITUTE(SUBSTITUTE($D2299,"-","")," ",""),".",""))</f>
        <v/>
      </c>
      <c r="J2299" s="10" t="str">
        <f aca="false">IF($E2299="","",UPPER(SUBSTITUTE($E2299," ","")))</f>
        <v/>
      </c>
      <c r="K2299" s="10" t="str">
        <f aca="false">IF($A2299="","",$G2299&amp;"|"&amp;$J2299)</f>
        <v/>
      </c>
      <c r="L2299" s="10" t="str">
        <f aca="false">IF($A2299="","",ROW()-2)</f>
        <v/>
      </c>
      <c r="M2299" s="10" t="str">
        <f aca="false">IF($A2299="","",ROW())</f>
        <v/>
      </c>
    </row>
    <row r="2300" customFormat="false" ht="15" hidden="false" customHeight="true" outlineLevel="0" collapsed="false">
      <c r="A2300" s="8"/>
      <c r="B2300" s="8"/>
      <c r="C2300" s="8"/>
      <c r="D2300" s="8"/>
      <c r="E2300" s="8"/>
      <c r="F2300" s="8"/>
      <c r="G2300" s="10" t="str">
        <f aca="false">IF($A2300="","",UPPER(SUBSTITUTE(SUBSTITUTE(SUBSTITUTE(SUBSTITUTE($A2300," ",""),"(주)",""),"주식회사",""),"㈜","")))</f>
        <v/>
      </c>
      <c r="H2300" s="10" t="str">
        <f aca="false">IF($B2300="","",SUBSTITUTE(SUBSTITUTE(SUBSTITUTE($B2300,"-","")," ",""),".",""))</f>
        <v/>
      </c>
      <c r="I2300" s="10" t="str">
        <f aca="false">IF($D2300="","",SUBSTITUTE(SUBSTITUTE(SUBSTITUTE($D2300,"-","")," ",""),".",""))</f>
        <v/>
      </c>
      <c r="J2300" s="10" t="str">
        <f aca="false">IF($E2300="","",UPPER(SUBSTITUTE($E2300," ","")))</f>
        <v/>
      </c>
      <c r="K2300" s="10" t="str">
        <f aca="false">IF($A2300="","",$G2300&amp;"|"&amp;$J2300)</f>
        <v/>
      </c>
      <c r="L2300" s="10" t="str">
        <f aca="false">IF($A2300="","",ROW()-2)</f>
        <v/>
      </c>
      <c r="M2300" s="10" t="str">
        <f aca="false">IF($A2300="","",ROW())</f>
        <v/>
      </c>
    </row>
    <row r="2301" customFormat="false" ht="15" hidden="false" customHeight="true" outlineLevel="0" collapsed="false">
      <c r="A2301" s="8"/>
      <c r="B2301" s="8"/>
      <c r="C2301" s="8"/>
      <c r="D2301" s="8"/>
      <c r="E2301" s="8"/>
      <c r="F2301" s="8"/>
      <c r="G2301" s="10" t="str">
        <f aca="false">IF($A2301="","",UPPER(SUBSTITUTE(SUBSTITUTE(SUBSTITUTE(SUBSTITUTE($A2301," ",""),"(주)",""),"주식회사",""),"㈜","")))</f>
        <v/>
      </c>
      <c r="H2301" s="10" t="str">
        <f aca="false">IF($B2301="","",SUBSTITUTE(SUBSTITUTE(SUBSTITUTE($B2301,"-","")," ",""),".",""))</f>
        <v/>
      </c>
      <c r="I2301" s="10" t="str">
        <f aca="false">IF($D2301="","",SUBSTITUTE(SUBSTITUTE(SUBSTITUTE($D2301,"-","")," ",""),".",""))</f>
        <v/>
      </c>
      <c r="J2301" s="10" t="str">
        <f aca="false">IF($E2301="","",UPPER(SUBSTITUTE($E2301," ","")))</f>
        <v/>
      </c>
      <c r="K2301" s="10" t="str">
        <f aca="false">IF($A2301="","",$G2301&amp;"|"&amp;$J2301)</f>
        <v/>
      </c>
      <c r="L2301" s="10" t="str">
        <f aca="false">IF($A2301="","",ROW()-2)</f>
        <v/>
      </c>
      <c r="M2301" s="10" t="str">
        <f aca="false">IF($A2301="","",ROW())</f>
        <v/>
      </c>
    </row>
    <row r="2302" customFormat="false" ht="15" hidden="false" customHeight="true" outlineLevel="0" collapsed="false">
      <c r="A2302" s="8"/>
      <c r="B2302" s="8"/>
      <c r="C2302" s="8"/>
      <c r="D2302" s="8"/>
      <c r="E2302" s="8"/>
      <c r="F2302" s="8"/>
      <c r="G2302" s="10" t="str">
        <f aca="false">IF($A2302="","",UPPER(SUBSTITUTE(SUBSTITUTE(SUBSTITUTE(SUBSTITUTE($A2302," ",""),"(주)",""),"주식회사",""),"㈜","")))</f>
        <v/>
      </c>
      <c r="H2302" s="10" t="str">
        <f aca="false">IF($B2302="","",SUBSTITUTE(SUBSTITUTE(SUBSTITUTE($B2302,"-","")," ",""),".",""))</f>
        <v/>
      </c>
      <c r="I2302" s="10" t="str">
        <f aca="false">IF($D2302="","",SUBSTITUTE(SUBSTITUTE(SUBSTITUTE($D2302,"-","")," ",""),".",""))</f>
        <v/>
      </c>
      <c r="J2302" s="10" t="str">
        <f aca="false">IF($E2302="","",UPPER(SUBSTITUTE($E2302," ","")))</f>
        <v/>
      </c>
      <c r="K2302" s="10" t="str">
        <f aca="false">IF($A2302="","",$G2302&amp;"|"&amp;$J2302)</f>
        <v/>
      </c>
      <c r="L2302" s="10" t="str">
        <f aca="false">IF($A2302="","",ROW()-2)</f>
        <v/>
      </c>
      <c r="M2302" s="10" t="str">
        <f aca="false">IF($A2302="","",ROW())</f>
        <v/>
      </c>
    </row>
    <row r="2303" customFormat="false" ht="15" hidden="false" customHeight="true" outlineLevel="0" collapsed="false">
      <c r="A2303" s="8"/>
      <c r="B2303" s="8"/>
      <c r="C2303" s="8"/>
      <c r="D2303" s="8"/>
      <c r="E2303" s="8"/>
      <c r="F2303" s="8"/>
      <c r="G2303" s="10" t="str">
        <f aca="false">IF($A2303="","",UPPER(SUBSTITUTE(SUBSTITUTE(SUBSTITUTE(SUBSTITUTE($A2303," ",""),"(주)",""),"주식회사",""),"㈜","")))</f>
        <v/>
      </c>
      <c r="H2303" s="10" t="str">
        <f aca="false">IF($B2303="","",SUBSTITUTE(SUBSTITUTE(SUBSTITUTE($B2303,"-","")," ",""),".",""))</f>
        <v/>
      </c>
      <c r="I2303" s="10" t="str">
        <f aca="false">IF($D2303="","",SUBSTITUTE(SUBSTITUTE(SUBSTITUTE($D2303,"-","")," ",""),".",""))</f>
        <v/>
      </c>
      <c r="J2303" s="10" t="str">
        <f aca="false">IF($E2303="","",UPPER(SUBSTITUTE($E2303," ","")))</f>
        <v/>
      </c>
      <c r="K2303" s="10" t="str">
        <f aca="false">IF($A2303="","",$G2303&amp;"|"&amp;$J2303)</f>
        <v/>
      </c>
      <c r="L2303" s="10" t="str">
        <f aca="false">IF($A2303="","",ROW()-2)</f>
        <v/>
      </c>
      <c r="M2303" s="10" t="str">
        <f aca="false">IF($A2303="","",ROW())</f>
        <v/>
      </c>
    </row>
    <row r="2304" customFormat="false" ht="15" hidden="false" customHeight="true" outlineLevel="0" collapsed="false">
      <c r="A2304" s="8"/>
      <c r="B2304" s="8"/>
      <c r="C2304" s="8"/>
      <c r="D2304" s="8"/>
      <c r="E2304" s="8"/>
      <c r="F2304" s="8"/>
      <c r="G2304" s="10" t="str">
        <f aca="false">IF($A2304="","",UPPER(SUBSTITUTE(SUBSTITUTE(SUBSTITUTE(SUBSTITUTE($A2304," ",""),"(주)",""),"주식회사",""),"㈜","")))</f>
        <v/>
      </c>
      <c r="H2304" s="10" t="str">
        <f aca="false">IF($B2304="","",SUBSTITUTE(SUBSTITUTE(SUBSTITUTE($B2304,"-","")," ",""),".",""))</f>
        <v/>
      </c>
      <c r="I2304" s="10" t="str">
        <f aca="false">IF($D2304="","",SUBSTITUTE(SUBSTITUTE(SUBSTITUTE($D2304,"-","")," ",""),".",""))</f>
        <v/>
      </c>
      <c r="J2304" s="10" t="str">
        <f aca="false">IF($E2304="","",UPPER(SUBSTITUTE($E2304," ","")))</f>
        <v/>
      </c>
      <c r="K2304" s="10" t="str">
        <f aca="false">IF($A2304="","",$G2304&amp;"|"&amp;$J2304)</f>
        <v/>
      </c>
      <c r="L2304" s="10" t="str">
        <f aca="false">IF($A2304="","",ROW()-2)</f>
        <v/>
      </c>
      <c r="M2304" s="10" t="str">
        <f aca="false">IF($A2304="","",ROW())</f>
        <v/>
      </c>
    </row>
    <row r="2305" customFormat="false" ht="15" hidden="false" customHeight="true" outlineLevel="0" collapsed="false">
      <c r="A2305" s="8"/>
      <c r="B2305" s="8"/>
      <c r="C2305" s="8"/>
      <c r="D2305" s="8"/>
      <c r="E2305" s="8"/>
      <c r="F2305" s="8"/>
      <c r="G2305" s="10" t="str">
        <f aca="false">IF($A2305="","",UPPER(SUBSTITUTE(SUBSTITUTE(SUBSTITUTE(SUBSTITUTE($A2305," ",""),"(주)",""),"주식회사",""),"㈜","")))</f>
        <v/>
      </c>
      <c r="H2305" s="10" t="str">
        <f aca="false">IF($B2305="","",SUBSTITUTE(SUBSTITUTE(SUBSTITUTE($B2305,"-","")," ",""),".",""))</f>
        <v/>
      </c>
      <c r="I2305" s="10" t="str">
        <f aca="false">IF($D2305="","",SUBSTITUTE(SUBSTITUTE(SUBSTITUTE($D2305,"-","")," ",""),".",""))</f>
        <v/>
      </c>
      <c r="J2305" s="10" t="str">
        <f aca="false">IF($E2305="","",UPPER(SUBSTITUTE($E2305," ","")))</f>
        <v/>
      </c>
      <c r="K2305" s="10" t="str">
        <f aca="false">IF($A2305="","",$G2305&amp;"|"&amp;$J2305)</f>
        <v/>
      </c>
      <c r="L2305" s="10" t="str">
        <f aca="false">IF($A2305="","",ROW()-2)</f>
        <v/>
      </c>
      <c r="M2305" s="10" t="str">
        <f aca="false">IF($A2305="","",ROW())</f>
        <v/>
      </c>
    </row>
    <row r="2306" customFormat="false" ht="15" hidden="false" customHeight="true" outlineLevel="0" collapsed="false">
      <c r="A2306" s="8"/>
      <c r="B2306" s="8"/>
      <c r="C2306" s="8"/>
      <c r="D2306" s="8"/>
      <c r="E2306" s="8"/>
      <c r="F2306" s="8"/>
      <c r="G2306" s="10" t="str">
        <f aca="false">IF($A2306="","",UPPER(SUBSTITUTE(SUBSTITUTE(SUBSTITUTE(SUBSTITUTE($A2306," ",""),"(주)",""),"주식회사",""),"㈜","")))</f>
        <v/>
      </c>
      <c r="H2306" s="10" t="str">
        <f aca="false">IF($B2306="","",SUBSTITUTE(SUBSTITUTE(SUBSTITUTE($B2306,"-","")," ",""),".",""))</f>
        <v/>
      </c>
      <c r="I2306" s="10" t="str">
        <f aca="false">IF($D2306="","",SUBSTITUTE(SUBSTITUTE(SUBSTITUTE($D2306,"-","")," ",""),".",""))</f>
        <v/>
      </c>
      <c r="J2306" s="10" t="str">
        <f aca="false">IF($E2306="","",UPPER(SUBSTITUTE($E2306," ","")))</f>
        <v/>
      </c>
      <c r="K2306" s="10" t="str">
        <f aca="false">IF($A2306="","",$G2306&amp;"|"&amp;$J2306)</f>
        <v/>
      </c>
      <c r="L2306" s="10" t="str">
        <f aca="false">IF($A2306="","",ROW()-2)</f>
        <v/>
      </c>
      <c r="M2306" s="10" t="str">
        <f aca="false">IF($A2306="","",ROW())</f>
        <v/>
      </c>
    </row>
    <row r="2307" customFormat="false" ht="15" hidden="false" customHeight="true" outlineLevel="0" collapsed="false">
      <c r="A2307" s="8"/>
      <c r="B2307" s="8"/>
      <c r="C2307" s="8"/>
      <c r="D2307" s="8"/>
      <c r="E2307" s="8"/>
      <c r="F2307" s="8"/>
      <c r="G2307" s="10" t="str">
        <f aca="false">IF($A2307="","",UPPER(SUBSTITUTE(SUBSTITUTE(SUBSTITUTE(SUBSTITUTE($A2307," ",""),"(주)",""),"주식회사",""),"㈜","")))</f>
        <v/>
      </c>
      <c r="H2307" s="10" t="str">
        <f aca="false">IF($B2307="","",SUBSTITUTE(SUBSTITUTE(SUBSTITUTE($B2307,"-","")," ",""),".",""))</f>
        <v/>
      </c>
      <c r="I2307" s="10" t="str">
        <f aca="false">IF($D2307="","",SUBSTITUTE(SUBSTITUTE(SUBSTITUTE($D2307,"-","")," ",""),".",""))</f>
        <v/>
      </c>
      <c r="J2307" s="10" t="str">
        <f aca="false">IF($E2307="","",UPPER(SUBSTITUTE($E2307," ","")))</f>
        <v/>
      </c>
      <c r="K2307" s="10" t="str">
        <f aca="false">IF($A2307="","",$G2307&amp;"|"&amp;$J2307)</f>
        <v/>
      </c>
      <c r="L2307" s="10" t="str">
        <f aca="false">IF($A2307="","",ROW()-2)</f>
        <v/>
      </c>
      <c r="M2307" s="10" t="str">
        <f aca="false">IF($A2307="","",ROW())</f>
        <v/>
      </c>
    </row>
    <row r="2308" customFormat="false" ht="15" hidden="false" customHeight="true" outlineLevel="0" collapsed="false">
      <c r="A2308" s="8"/>
      <c r="B2308" s="8"/>
      <c r="C2308" s="8"/>
      <c r="D2308" s="8"/>
      <c r="E2308" s="8"/>
      <c r="F2308" s="8"/>
      <c r="G2308" s="10" t="str">
        <f aca="false">IF($A2308="","",UPPER(SUBSTITUTE(SUBSTITUTE(SUBSTITUTE(SUBSTITUTE($A2308," ",""),"(주)",""),"주식회사",""),"㈜","")))</f>
        <v/>
      </c>
      <c r="H2308" s="10" t="str">
        <f aca="false">IF($B2308="","",SUBSTITUTE(SUBSTITUTE(SUBSTITUTE($B2308,"-","")," ",""),".",""))</f>
        <v/>
      </c>
      <c r="I2308" s="10" t="str">
        <f aca="false">IF($D2308="","",SUBSTITUTE(SUBSTITUTE(SUBSTITUTE($D2308,"-","")," ",""),".",""))</f>
        <v/>
      </c>
      <c r="J2308" s="10" t="str">
        <f aca="false">IF($E2308="","",UPPER(SUBSTITUTE($E2308," ","")))</f>
        <v/>
      </c>
      <c r="K2308" s="10" t="str">
        <f aca="false">IF($A2308="","",$G2308&amp;"|"&amp;$J2308)</f>
        <v/>
      </c>
      <c r="L2308" s="10" t="str">
        <f aca="false">IF($A2308="","",ROW()-2)</f>
        <v/>
      </c>
      <c r="M2308" s="10" t="str">
        <f aca="false">IF($A2308="","",ROW())</f>
        <v/>
      </c>
    </row>
    <row r="2309" customFormat="false" ht="15" hidden="false" customHeight="true" outlineLevel="0" collapsed="false">
      <c r="A2309" s="8"/>
      <c r="B2309" s="8"/>
      <c r="C2309" s="8"/>
      <c r="D2309" s="8"/>
      <c r="E2309" s="8"/>
      <c r="F2309" s="8"/>
      <c r="G2309" s="10" t="str">
        <f aca="false">IF($A2309="","",UPPER(SUBSTITUTE(SUBSTITUTE(SUBSTITUTE(SUBSTITUTE($A2309," ",""),"(주)",""),"주식회사",""),"㈜","")))</f>
        <v/>
      </c>
      <c r="H2309" s="10" t="str">
        <f aca="false">IF($B2309="","",SUBSTITUTE(SUBSTITUTE(SUBSTITUTE($B2309,"-","")," ",""),".",""))</f>
        <v/>
      </c>
      <c r="I2309" s="10" t="str">
        <f aca="false">IF($D2309="","",SUBSTITUTE(SUBSTITUTE(SUBSTITUTE($D2309,"-","")," ",""),".",""))</f>
        <v/>
      </c>
      <c r="J2309" s="10" t="str">
        <f aca="false">IF($E2309="","",UPPER(SUBSTITUTE($E2309," ","")))</f>
        <v/>
      </c>
      <c r="K2309" s="10" t="str">
        <f aca="false">IF($A2309="","",$G2309&amp;"|"&amp;$J2309)</f>
        <v/>
      </c>
      <c r="L2309" s="10" t="str">
        <f aca="false">IF($A2309="","",ROW()-2)</f>
        <v/>
      </c>
      <c r="M2309" s="10" t="str">
        <f aca="false">IF($A2309="","",ROW())</f>
        <v/>
      </c>
    </row>
    <row r="2310" customFormat="false" ht="15" hidden="false" customHeight="true" outlineLevel="0" collapsed="false">
      <c r="A2310" s="8"/>
      <c r="B2310" s="8"/>
      <c r="C2310" s="8"/>
      <c r="D2310" s="8"/>
      <c r="E2310" s="8"/>
      <c r="F2310" s="8"/>
      <c r="G2310" s="10" t="str">
        <f aca="false">IF($A2310="","",UPPER(SUBSTITUTE(SUBSTITUTE(SUBSTITUTE(SUBSTITUTE($A2310," ",""),"(주)",""),"주식회사",""),"㈜","")))</f>
        <v/>
      </c>
      <c r="H2310" s="10" t="str">
        <f aca="false">IF($B2310="","",SUBSTITUTE(SUBSTITUTE(SUBSTITUTE($B2310,"-","")," ",""),".",""))</f>
        <v/>
      </c>
      <c r="I2310" s="10" t="str">
        <f aca="false">IF($D2310="","",SUBSTITUTE(SUBSTITUTE(SUBSTITUTE($D2310,"-","")," ",""),".",""))</f>
        <v/>
      </c>
      <c r="J2310" s="10" t="str">
        <f aca="false">IF($E2310="","",UPPER(SUBSTITUTE($E2310," ","")))</f>
        <v/>
      </c>
      <c r="K2310" s="10" t="str">
        <f aca="false">IF($A2310="","",$G2310&amp;"|"&amp;$J2310)</f>
        <v/>
      </c>
      <c r="L2310" s="10" t="str">
        <f aca="false">IF($A2310="","",ROW()-2)</f>
        <v/>
      </c>
      <c r="M2310" s="10" t="str">
        <f aca="false">IF($A2310="","",ROW())</f>
        <v/>
      </c>
    </row>
    <row r="2311" customFormat="false" ht="15" hidden="false" customHeight="true" outlineLevel="0" collapsed="false">
      <c r="A2311" s="8"/>
      <c r="B2311" s="8"/>
      <c r="C2311" s="8"/>
      <c r="D2311" s="8"/>
      <c r="E2311" s="8"/>
      <c r="F2311" s="8"/>
      <c r="G2311" s="10" t="str">
        <f aca="false">IF($A2311="","",UPPER(SUBSTITUTE(SUBSTITUTE(SUBSTITUTE(SUBSTITUTE($A2311," ",""),"(주)",""),"주식회사",""),"㈜","")))</f>
        <v/>
      </c>
      <c r="H2311" s="10" t="str">
        <f aca="false">IF($B2311="","",SUBSTITUTE(SUBSTITUTE(SUBSTITUTE($B2311,"-","")," ",""),".",""))</f>
        <v/>
      </c>
      <c r="I2311" s="10" t="str">
        <f aca="false">IF($D2311="","",SUBSTITUTE(SUBSTITUTE(SUBSTITUTE($D2311,"-","")," ",""),".",""))</f>
        <v/>
      </c>
      <c r="J2311" s="10" t="str">
        <f aca="false">IF($E2311="","",UPPER(SUBSTITUTE($E2311," ","")))</f>
        <v/>
      </c>
      <c r="K2311" s="10" t="str">
        <f aca="false">IF($A2311="","",$G2311&amp;"|"&amp;$J2311)</f>
        <v/>
      </c>
      <c r="L2311" s="10" t="str">
        <f aca="false">IF($A2311="","",ROW()-2)</f>
        <v/>
      </c>
      <c r="M2311" s="10" t="str">
        <f aca="false">IF($A2311="","",ROW())</f>
        <v/>
      </c>
    </row>
    <row r="2312" customFormat="false" ht="15" hidden="false" customHeight="true" outlineLevel="0" collapsed="false">
      <c r="A2312" s="8"/>
      <c r="B2312" s="8"/>
      <c r="C2312" s="8"/>
      <c r="D2312" s="8"/>
      <c r="E2312" s="8"/>
      <c r="F2312" s="8"/>
      <c r="G2312" s="10" t="str">
        <f aca="false">IF($A2312="","",UPPER(SUBSTITUTE(SUBSTITUTE(SUBSTITUTE(SUBSTITUTE($A2312," ",""),"(주)",""),"주식회사",""),"㈜","")))</f>
        <v/>
      </c>
      <c r="H2312" s="10" t="str">
        <f aca="false">IF($B2312="","",SUBSTITUTE(SUBSTITUTE(SUBSTITUTE($B2312,"-","")," ",""),".",""))</f>
        <v/>
      </c>
      <c r="I2312" s="10" t="str">
        <f aca="false">IF($D2312="","",SUBSTITUTE(SUBSTITUTE(SUBSTITUTE($D2312,"-","")," ",""),".",""))</f>
        <v/>
      </c>
      <c r="J2312" s="10" t="str">
        <f aca="false">IF($E2312="","",UPPER(SUBSTITUTE($E2312," ","")))</f>
        <v/>
      </c>
      <c r="K2312" s="10" t="str">
        <f aca="false">IF($A2312="","",$G2312&amp;"|"&amp;$J2312)</f>
        <v/>
      </c>
      <c r="L2312" s="10" t="str">
        <f aca="false">IF($A2312="","",ROW()-2)</f>
        <v/>
      </c>
      <c r="M2312" s="10" t="str">
        <f aca="false">IF($A2312="","",ROW())</f>
        <v/>
      </c>
    </row>
    <row r="2313" customFormat="false" ht="15" hidden="false" customHeight="true" outlineLevel="0" collapsed="false">
      <c r="A2313" s="8"/>
      <c r="B2313" s="8"/>
      <c r="C2313" s="8"/>
      <c r="D2313" s="8"/>
      <c r="E2313" s="8"/>
      <c r="F2313" s="8"/>
      <c r="G2313" s="10" t="str">
        <f aca="false">IF($A2313="","",UPPER(SUBSTITUTE(SUBSTITUTE(SUBSTITUTE(SUBSTITUTE($A2313," ",""),"(주)",""),"주식회사",""),"㈜","")))</f>
        <v/>
      </c>
      <c r="H2313" s="10" t="str">
        <f aca="false">IF($B2313="","",SUBSTITUTE(SUBSTITUTE(SUBSTITUTE($B2313,"-","")," ",""),".",""))</f>
        <v/>
      </c>
      <c r="I2313" s="10" t="str">
        <f aca="false">IF($D2313="","",SUBSTITUTE(SUBSTITUTE(SUBSTITUTE($D2313,"-","")," ",""),".",""))</f>
        <v/>
      </c>
      <c r="J2313" s="10" t="str">
        <f aca="false">IF($E2313="","",UPPER(SUBSTITUTE($E2313," ","")))</f>
        <v/>
      </c>
      <c r="K2313" s="10" t="str">
        <f aca="false">IF($A2313="","",$G2313&amp;"|"&amp;$J2313)</f>
        <v/>
      </c>
      <c r="L2313" s="10" t="str">
        <f aca="false">IF($A2313="","",ROW()-2)</f>
        <v/>
      </c>
      <c r="M2313" s="10" t="str">
        <f aca="false">IF($A2313="","",ROW())</f>
        <v/>
      </c>
    </row>
    <row r="2314" customFormat="false" ht="15" hidden="false" customHeight="true" outlineLevel="0" collapsed="false">
      <c r="A2314" s="8"/>
      <c r="B2314" s="8"/>
      <c r="C2314" s="8"/>
      <c r="D2314" s="8"/>
      <c r="E2314" s="8"/>
      <c r="F2314" s="8"/>
      <c r="G2314" s="10" t="str">
        <f aca="false">IF($A2314="","",UPPER(SUBSTITUTE(SUBSTITUTE(SUBSTITUTE(SUBSTITUTE($A2314," ",""),"(주)",""),"주식회사",""),"㈜","")))</f>
        <v/>
      </c>
      <c r="H2314" s="10" t="str">
        <f aca="false">IF($B2314="","",SUBSTITUTE(SUBSTITUTE(SUBSTITUTE($B2314,"-","")," ",""),".",""))</f>
        <v/>
      </c>
      <c r="I2314" s="10" t="str">
        <f aca="false">IF($D2314="","",SUBSTITUTE(SUBSTITUTE(SUBSTITUTE($D2314,"-","")," ",""),".",""))</f>
        <v/>
      </c>
      <c r="J2314" s="10" t="str">
        <f aca="false">IF($E2314="","",UPPER(SUBSTITUTE($E2314," ","")))</f>
        <v/>
      </c>
      <c r="K2314" s="10" t="str">
        <f aca="false">IF($A2314="","",$G2314&amp;"|"&amp;$J2314)</f>
        <v/>
      </c>
      <c r="L2314" s="10" t="str">
        <f aca="false">IF($A2314="","",ROW()-2)</f>
        <v/>
      </c>
      <c r="M2314" s="10" t="str">
        <f aca="false">IF($A2314="","",ROW())</f>
        <v/>
      </c>
    </row>
    <row r="2315" customFormat="false" ht="15" hidden="false" customHeight="true" outlineLevel="0" collapsed="false">
      <c r="A2315" s="8"/>
      <c r="B2315" s="8"/>
      <c r="C2315" s="8"/>
      <c r="D2315" s="8"/>
      <c r="E2315" s="8"/>
      <c r="F2315" s="8"/>
      <c r="G2315" s="10" t="str">
        <f aca="false">IF($A2315="","",UPPER(SUBSTITUTE(SUBSTITUTE(SUBSTITUTE(SUBSTITUTE($A2315," ",""),"(주)",""),"주식회사",""),"㈜","")))</f>
        <v/>
      </c>
      <c r="H2315" s="10" t="str">
        <f aca="false">IF($B2315="","",SUBSTITUTE(SUBSTITUTE(SUBSTITUTE($B2315,"-","")," ",""),".",""))</f>
        <v/>
      </c>
      <c r="I2315" s="10" t="str">
        <f aca="false">IF($D2315="","",SUBSTITUTE(SUBSTITUTE(SUBSTITUTE($D2315,"-","")," ",""),".",""))</f>
        <v/>
      </c>
      <c r="J2315" s="10" t="str">
        <f aca="false">IF($E2315="","",UPPER(SUBSTITUTE($E2315," ","")))</f>
        <v/>
      </c>
      <c r="K2315" s="10" t="str">
        <f aca="false">IF($A2315="","",$G2315&amp;"|"&amp;$J2315)</f>
        <v/>
      </c>
      <c r="L2315" s="10" t="str">
        <f aca="false">IF($A2315="","",ROW()-2)</f>
        <v/>
      </c>
      <c r="M2315" s="10" t="str">
        <f aca="false">IF($A2315="","",ROW())</f>
        <v/>
      </c>
    </row>
    <row r="2316" customFormat="false" ht="15" hidden="false" customHeight="true" outlineLevel="0" collapsed="false">
      <c r="A2316" s="8"/>
      <c r="B2316" s="8"/>
      <c r="C2316" s="8"/>
      <c r="D2316" s="8"/>
      <c r="E2316" s="8"/>
      <c r="F2316" s="8"/>
      <c r="G2316" s="10" t="str">
        <f aca="false">IF($A2316="","",UPPER(SUBSTITUTE(SUBSTITUTE(SUBSTITUTE(SUBSTITUTE($A2316," ",""),"(주)",""),"주식회사",""),"㈜","")))</f>
        <v/>
      </c>
      <c r="H2316" s="10" t="str">
        <f aca="false">IF($B2316="","",SUBSTITUTE(SUBSTITUTE(SUBSTITUTE($B2316,"-","")," ",""),".",""))</f>
        <v/>
      </c>
      <c r="I2316" s="10" t="str">
        <f aca="false">IF($D2316="","",SUBSTITUTE(SUBSTITUTE(SUBSTITUTE($D2316,"-","")," ",""),".",""))</f>
        <v/>
      </c>
      <c r="J2316" s="10" t="str">
        <f aca="false">IF($E2316="","",UPPER(SUBSTITUTE($E2316," ","")))</f>
        <v/>
      </c>
      <c r="K2316" s="10" t="str">
        <f aca="false">IF($A2316="","",$G2316&amp;"|"&amp;$J2316)</f>
        <v/>
      </c>
      <c r="L2316" s="10" t="str">
        <f aca="false">IF($A2316="","",ROW()-2)</f>
        <v/>
      </c>
      <c r="M2316" s="10" t="str">
        <f aca="false">IF($A2316="","",ROW())</f>
        <v/>
      </c>
    </row>
    <row r="2317" customFormat="false" ht="15" hidden="false" customHeight="true" outlineLevel="0" collapsed="false">
      <c r="A2317" s="8"/>
      <c r="B2317" s="8"/>
      <c r="C2317" s="8"/>
      <c r="D2317" s="8"/>
      <c r="E2317" s="8"/>
      <c r="F2317" s="8"/>
      <c r="G2317" s="10" t="str">
        <f aca="false">IF($A2317="","",UPPER(SUBSTITUTE(SUBSTITUTE(SUBSTITUTE(SUBSTITUTE($A2317," ",""),"(주)",""),"주식회사",""),"㈜","")))</f>
        <v/>
      </c>
      <c r="H2317" s="10" t="str">
        <f aca="false">IF($B2317="","",SUBSTITUTE(SUBSTITUTE(SUBSTITUTE($B2317,"-","")," ",""),".",""))</f>
        <v/>
      </c>
      <c r="I2317" s="10" t="str">
        <f aca="false">IF($D2317="","",SUBSTITUTE(SUBSTITUTE(SUBSTITUTE($D2317,"-","")," ",""),".",""))</f>
        <v/>
      </c>
      <c r="J2317" s="10" t="str">
        <f aca="false">IF($E2317="","",UPPER(SUBSTITUTE($E2317," ","")))</f>
        <v/>
      </c>
      <c r="K2317" s="10" t="str">
        <f aca="false">IF($A2317="","",$G2317&amp;"|"&amp;$J2317)</f>
        <v/>
      </c>
      <c r="L2317" s="10" t="str">
        <f aca="false">IF($A2317="","",ROW()-2)</f>
        <v/>
      </c>
      <c r="M2317" s="10" t="str">
        <f aca="false">IF($A2317="","",ROW())</f>
        <v/>
      </c>
    </row>
    <row r="2318" customFormat="false" ht="15" hidden="false" customHeight="true" outlineLevel="0" collapsed="false">
      <c r="A2318" s="8"/>
      <c r="B2318" s="8"/>
      <c r="C2318" s="8"/>
      <c r="D2318" s="8"/>
      <c r="E2318" s="8"/>
      <c r="F2318" s="8"/>
      <c r="G2318" s="10" t="str">
        <f aca="false">IF($A2318="","",UPPER(SUBSTITUTE(SUBSTITUTE(SUBSTITUTE(SUBSTITUTE($A2318," ",""),"(주)",""),"주식회사",""),"㈜","")))</f>
        <v/>
      </c>
      <c r="H2318" s="10" t="str">
        <f aca="false">IF($B2318="","",SUBSTITUTE(SUBSTITUTE(SUBSTITUTE($B2318,"-","")," ",""),".",""))</f>
        <v/>
      </c>
      <c r="I2318" s="10" t="str">
        <f aca="false">IF($D2318="","",SUBSTITUTE(SUBSTITUTE(SUBSTITUTE($D2318,"-","")," ",""),".",""))</f>
        <v/>
      </c>
      <c r="J2318" s="10" t="str">
        <f aca="false">IF($E2318="","",UPPER(SUBSTITUTE($E2318," ","")))</f>
        <v/>
      </c>
      <c r="K2318" s="10" t="str">
        <f aca="false">IF($A2318="","",$G2318&amp;"|"&amp;$J2318)</f>
        <v/>
      </c>
      <c r="L2318" s="10" t="str">
        <f aca="false">IF($A2318="","",ROW()-2)</f>
        <v/>
      </c>
      <c r="M2318" s="10" t="str">
        <f aca="false">IF($A2318="","",ROW())</f>
        <v/>
      </c>
    </row>
    <row r="2319" customFormat="false" ht="15" hidden="false" customHeight="true" outlineLevel="0" collapsed="false">
      <c r="A2319" s="8"/>
      <c r="B2319" s="8"/>
      <c r="C2319" s="8"/>
      <c r="D2319" s="8"/>
      <c r="E2319" s="8"/>
      <c r="F2319" s="8"/>
      <c r="G2319" s="10" t="str">
        <f aca="false">IF($A2319="","",UPPER(SUBSTITUTE(SUBSTITUTE(SUBSTITUTE(SUBSTITUTE($A2319," ",""),"(주)",""),"주식회사",""),"㈜","")))</f>
        <v/>
      </c>
      <c r="H2319" s="10" t="str">
        <f aca="false">IF($B2319="","",SUBSTITUTE(SUBSTITUTE(SUBSTITUTE($B2319,"-","")," ",""),".",""))</f>
        <v/>
      </c>
      <c r="I2319" s="10" t="str">
        <f aca="false">IF($D2319="","",SUBSTITUTE(SUBSTITUTE(SUBSTITUTE($D2319,"-","")," ",""),".",""))</f>
        <v/>
      </c>
      <c r="J2319" s="10" t="str">
        <f aca="false">IF($E2319="","",UPPER(SUBSTITUTE($E2319," ","")))</f>
        <v/>
      </c>
      <c r="K2319" s="10" t="str">
        <f aca="false">IF($A2319="","",$G2319&amp;"|"&amp;$J2319)</f>
        <v/>
      </c>
      <c r="L2319" s="10" t="str">
        <f aca="false">IF($A2319="","",ROW()-2)</f>
        <v/>
      </c>
      <c r="M2319" s="10" t="str">
        <f aca="false">IF($A2319="","",ROW())</f>
        <v/>
      </c>
    </row>
    <row r="2320" customFormat="false" ht="15" hidden="false" customHeight="true" outlineLevel="0" collapsed="false">
      <c r="A2320" s="8"/>
      <c r="B2320" s="8"/>
      <c r="C2320" s="8"/>
      <c r="D2320" s="8"/>
      <c r="E2320" s="8"/>
      <c r="F2320" s="8"/>
      <c r="G2320" s="10" t="str">
        <f aca="false">IF($A2320="","",UPPER(SUBSTITUTE(SUBSTITUTE(SUBSTITUTE(SUBSTITUTE($A2320," ",""),"(주)",""),"주식회사",""),"㈜","")))</f>
        <v/>
      </c>
      <c r="H2320" s="10" t="str">
        <f aca="false">IF($B2320="","",SUBSTITUTE(SUBSTITUTE(SUBSTITUTE($B2320,"-","")," ",""),".",""))</f>
        <v/>
      </c>
      <c r="I2320" s="10" t="str">
        <f aca="false">IF($D2320="","",SUBSTITUTE(SUBSTITUTE(SUBSTITUTE($D2320,"-","")," ",""),".",""))</f>
        <v/>
      </c>
      <c r="J2320" s="10" t="str">
        <f aca="false">IF($E2320="","",UPPER(SUBSTITUTE($E2320," ","")))</f>
        <v/>
      </c>
      <c r="K2320" s="10" t="str">
        <f aca="false">IF($A2320="","",$G2320&amp;"|"&amp;$J2320)</f>
        <v/>
      </c>
      <c r="L2320" s="10" t="str">
        <f aca="false">IF($A2320="","",ROW()-2)</f>
        <v/>
      </c>
      <c r="M2320" s="10" t="str">
        <f aca="false">IF($A2320="","",ROW())</f>
        <v/>
      </c>
    </row>
    <row r="2321" customFormat="false" ht="15" hidden="false" customHeight="true" outlineLevel="0" collapsed="false">
      <c r="A2321" s="8"/>
      <c r="B2321" s="8"/>
      <c r="C2321" s="8"/>
      <c r="D2321" s="8"/>
      <c r="E2321" s="8"/>
      <c r="F2321" s="8"/>
      <c r="G2321" s="10" t="str">
        <f aca="false">IF($A2321="","",UPPER(SUBSTITUTE(SUBSTITUTE(SUBSTITUTE(SUBSTITUTE($A2321," ",""),"(주)",""),"주식회사",""),"㈜","")))</f>
        <v/>
      </c>
      <c r="H2321" s="10" t="str">
        <f aca="false">IF($B2321="","",SUBSTITUTE(SUBSTITUTE(SUBSTITUTE($B2321,"-","")," ",""),".",""))</f>
        <v/>
      </c>
      <c r="I2321" s="10" t="str">
        <f aca="false">IF($D2321="","",SUBSTITUTE(SUBSTITUTE(SUBSTITUTE($D2321,"-","")," ",""),".",""))</f>
        <v/>
      </c>
      <c r="J2321" s="10" t="str">
        <f aca="false">IF($E2321="","",UPPER(SUBSTITUTE($E2321," ","")))</f>
        <v/>
      </c>
      <c r="K2321" s="10" t="str">
        <f aca="false">IF($A2321="","",$G2321&amp;"|"&amp;$J2321)</f>
        <v/>
      </c>
      <c r="L2321" s="10" t="str">
        <f aca="false">IF($A2321="","",ROW()-2)</f>
        <v/>
      </c>
      <c r="M2321" s="10" t="str">
        <f aca="false">IF($A2321="","",ROW())</f>
        <v/>
      </c>
    </row>
    <row r="2322" customFormat="false" ht="15" hidden="false" customHeight="true" outlineLevel="0" collapsed="false">
      <c r="A2322" s="8"/>
      <c r="B2322" s="8"/>
      <c r="C2322" s="8"/>
      <c r="D2322" s="8"/>
      <c r="E2322" s="8"/>
      <c r="F2322" s="8"/>
      <c r="G2322" s="10" t="str">
        <f aca="false">IF($A2322="","",UPPER(SUBSTITUTE(SUBSTITUTE(SUBSTITUTE(SUBSTITUTE($A2322," ",""),"(주)",""),"주식회사",""),"㈜","")))</f>
        <v/>
      </c>
      <c r="H2322" s="10" t="str">
        <f aca="false">IF($B2322="","",SUBSTITUTE(SUBSTITUTE(SUBSTITUTE($B2322,"-","")," ",""),".",""))</f>
        <v/>
      </c>
      <c r="I2322" s="10" t="str">
        <f aca="false">IF($D2322="","",SUBSTITUTE(SUBSTITUTE(SUBSTITUTE($D2322,"-","")," ",""),".",""))</f>
        <v/>
      </c>
      <c r="J2322" s="10" t="str">
        <f aca="false">IF($E2322="","",UPPER(SUBSTITUTE($E2322," ","")))</f>
        <v/>
      </c>
      <c r="K2322" s="10" t="str">
        <f aca="false">IF($A2322="","",$G2322&amp;"|"&amp;$J2322)</f>
        <v/>
      </c>
      <c r="L2322" s="10" t="str">
        <f aca="false">IF($A2322="","",ROW()-2)</f>
        <v/>
      </c>
      <c r="M2322" s="10" t="str">
        <f aca="false">IF($A2322="","",ROW())</f>
        <v/>
      </c>
    </row>
    <row r="2323" customFormat="false" ht="15" hidden="false" customHeight="true" outlineLevel="0" collapsed="false">
      <c r="A2323" s="8"/>
      <c r="B2323" s="8"/>
      <c r="C2323" s="8"/>
      <c r="D2323" s="8"/>
      <c r="E2323" s="8"/>
      <c r="F2323" s="8"/>
      <c r="G2323" s="10" t="str">
        <f aca="false">IF($A2323="","",UPPER(SUBSTITUTE(SUBSTITUTE(SUBSTITUTE(SUBSTITUTE($A2323," ",""),"(주)",""),"주식회사",""),"㈜","")))</f>
        <v/>
      </c>
      <c r="H2323" s="10" t="str">
        <f aca="false">IF($B2323="","",SUBSTITUTE(SUBSTITUTE(SUBSTITUTE($B2323,"-","")," ",""),".",""))</f>
        <v/>
      </c>
      <c r="I2323" s="10" t="str">
        <f aca="false">IF($D2323="","",SUBSTITUTE(SUBSTITUTE(SUBSTITUTE($D2323,"-","")," ",""),".",""))</f>
        <v/>
      </c>
      <c r="J2323" s="10" t="str">
        <f aca="false">IF($E2323="","",UPPER(SUBSTITUTE($E2323," ","")))</f>
        <v/>
      </c>
      <c r="K2323" s="10" t="str">
        <f aca="false">IF($A2323="","",$G2323&amp;"|"&amp;$J2323)</f>
        <v/>
      </c>
      <c r="L2323" s="10" t="str">
        <f aca="false">IF($A2323="","",ROW()-2)</f>
        <v/>
      </c>
      <c r="M2323" s="10" t="str">
        <f aca="false">IF($A2323="","",ROW())</f>
        <v/>
      </c>
    </row>
    <row r="2324" customFormat="false" ht="15" hidden="false" customHeight="true" outlineLevel="0" collapsed="false">
      <c r="A2324" s="8"/>
      <c r="B2324" s="8"/>
      <c r="C2324" s="8"/>
      <c r="D2324" s="8"/>
      <c r="E2324" s="8"/>
      <c r="F2324" s="8"/>
      <c r="G2324" s="10" t="str">
        <f aca="false">IF($A2324="","",UPPER(SUBSTITUTE(SUBSTITUTE(SUBSTITUTE(SUBSTITUTE($A2324," ",""),"(주)",""),"주식회사",""),"㈜","")))</f>
        <v/>
      </c>
      <c r="H2324" s="10" t="str">
        <f aca="false">IF($B2324="","",SUBSTITUTE(SUBSTITUTE(SUBSTITUTE($B2324,"-","")," ",""),".",""))</f>
        <v/>
      </c>
      <c r="I2324" s="10" t="str">
        <f aca="false">IF($D2324="","",SUBSTITUTE(SUBSTITUTE(SUBSTITUTE($D2324,"-","")," ",""),".",""))</f>
        <v/>
      </c>
      <c r="J2324" s="10" t="str">
        <f aca="false">IF($E2324="","",UPPER(SUBSTITUTE($E2324," ","")))</f>
        <v/>
      </c>
      <c r="K2324" s="10" t="str">
        <f aca="false">IF($A2324="","",$G2324&amp;"|"&amp;$J2324)</f>
        <v/>
      </c>
      <c r="L2324" s="10" t="str">
        <f aca="false">IF($A2324="","",ROW()-2)</f>
        <v/>
      </c>
      <c r="M2324" s="10" t="str">
        <f aca="false">IF($A2324="","",ROW())</f>
        <v/>
      </c>
    </row>
    <row r="2325" customFormat="false" ht="15" hidden="false" customHeight="true" outlineLevel="0" collapsed="false">
      <c r="A2325" s="8"/>
      <c r="B2325" s="8"/>
      <c r="C2325" s="8"/>
      <c r="D2325" s="8"/>
      <c r="E2325" s="8"/>
      <c r="F2325" s="8"/>
      <c r="G2325" s="10" t="str">
        <f aca="false">IF($A2325="","",UPPER(SUBSTITUTE(SUBSTITUTE(SUBSTITUTE(SUBSTITUTE($A2325," ",""),"(주)",""),"주식회사",""),"㈜","")))</f>
        <v/>
      </c>
      <c r="H2325" s="10" t="str">
        <f aca="false">IF($B2325="","",SUBSTITUTE(SUBSTITUTE(SUBSTITUTE($B2325,"-","")," ",""),".",""))</f>
        <v/>
      </c>
      <c r="I2325" s="10" t="str">
        <f aca="false">IF($D2325="","",SUBSTITUTE(SUBSTITUTE(SUBSTITUTE($D2325,"-","")," ",""),".",""))</f>
        <v/>
      </c>
      <c r="J2325" s="10" t="str">
        <f aca="false">IF($E2325="","",UPPER(SUBSTITUTE($E2325," ","")))</f>
        <v/>
      </c>
      <c r="K2325" s="10" t="str">
        <f aca="false">IF($A2325="","",$G2325&amp;"|"&amp;$J2325)</f>
        <v/>
      </c>
      <c r="L2325" s="10" t="str">
        <f aca="false">IF($A2325="","",ROW()-2)</f>
        <v/>
      </c>
      <c r="M2325" s="10" t="str">
        <f aca="false">IF($A2325="","",ROW())</f>
        <v/>
      </c>
    </row>
    <row r="2326" customFormat="false" ht="15" hidden="false" customHeight="true" outlineLevel="0" collapsed="false">
      <c r="A2326" s="8"/>
      <c r="B2326" s="8"/>
      <c r="C2326" s="8"/>
      <c r="D2326" s="8"/>
      <c r="E2326" s="8"/>
      <c r="F2326" s="8"/>
      <c r="G2326" s="10" t="str">
        <f aca="false">IF($A2326="","",UPPER(SUBSTITUTE(SUBSTITUTE(SUBSTITUTE(SUBSTITUTE($A2326," ",""),"(주)",""),"주식회사",""),"㈜","")))</f>
        <v/>
      </c>
      <c r="H2326" s="10" t="str">
        <f aca="false">IF($B2326="","",SUBSTITUTE(SUBSTITUTE(SUBSTITUTE($B2326,"-","")," ",""),".",""))</f>
        <v/>
      </c>
      <c r="I2326" s="10" t="str">
        <f aca="false">IF($D2326="","",SUBSTITUTE(SUBSTITUTE(SUBSTITUTE($D2326,"-","")," ",""),".",""))</f>
        <v/>
      </c>
      <c r="J2326" s="10" t="str">
        <f aca="false">IF($E2326="","",UPPER(SUBSTITUTE($E2326," ","")))</f>
        <v/>
      </c>
      <c r="K2326" s="10" t="str">
        <f aca="false">IF($A2326="","",$G2326&amp;"|"&amp;$J2326)</f>
        <v/>
      </c>
      <c r="L2326" s="10" t="str">
        <f aca="false">IF($A2326="","",ROW()-2)</f>
        <v/>
      </c>
      <c r="M2326" s="10" t="str">
        <f aca="false">IF($A2326="","",ROW())</f>
        <v/>
      </c>
    </row>
    <row r="2327" customFormat="false" ht="15" hidden="false" customHeight="true" outlineLevel="0" collapsed="false">
      <c r="A2327" s="8"/>
      <c r="B2327" s="8"/>
      <c r="C2327" s="8"/>
      <c r="D2327" s="8"/>
      <c r="E2327" s="8"/>
      <c r="F2327" s="8"/>
      <c r="G2327" s="10" t="str">
        <f aca="false">IF($A2327="","",UPPER(SUBSTITUTE(SUBSTITUTE(SUBSTITUTE(SUBSTITUTE($A2327," ",""),"(주)",""),"주식회사",""),"㈜","")))</f>
        <v/>
      </c>
      <c r="H2327" s="10" t="str">
        <f aca="false">IF($B2327="","",SUBSTITUTE(SUBSTITUTE(SUBSTITUTE($B2327,"-","")," ",""),".",""))</f>
        <v/>
      </c>
      <c r="I2327" s="10" t="str">
        <f aca="false">IF($D2327="","",SUBSTITUTE(SUBSTITUTE(SUBSTITUTE($D2327,"-","")," ",""),".",""))</f>
        <v/>
      </c>
      <c r="J2327" s="10" t="str">
        <f aca="false">IF($E2327="","",UPPER(SUBSTITUTE($E2327," ","")))</f>
        <v/>
      </c>
      <c r="K2327" s="10" t="str">
        <f aca="false">IF($A2327="","",$G2327&amp;"|"&amp;$J2327)</f>
        <v/>
      </c>
      <c r="L2327" s="10" t="str">
        <f aca="false">IF($A2327="","",ROW()-2)</f>
        <v/>
      </c>
      <c r="M2327" s="10" t="str">
        <f aca="false">IF($A2327="","",ROW())</f>
        <v/>
      </c>
    </row>
    <row r="2328" customFormat="false" ht="15" hidden="false" customHeight="true" outlineLevel="0" collapsed="false">
      <c r="A2328" s="8"/>
      <c r="B2328" s="8"/>
      <c r="C2328" s="8"/>
      <c r="D2328" s="8"/>
      <c r="E2328" s="8"/>
      <c r="F2328" s="8"/>
      <c r="G2328" s="10" t="str">
        <f aca="false">IF($A2328="","",UPPER(SUBSTITUTE(SUBSTITUTE(SUBSTITUTE(SUBSTITUTE($A2328," ",""),"(주)",""),"주식회사",""),"㈜","")))</f>
        <v/>
      </c>
      <c r="H2328" s="10" t="str">
        <f aca="false">IF($B2328="","",SUBSTITUTE(SUBSTITUTE(SUBSTITUTE($B2328,"-","")," ",""),".",""))</f>
        <v/>
      </c>
      <c r="I2328" s="10" t="str">
        <f aca="false">IF($D2328="","",SUBSTITUTE(SUBSTITUTE(SUBSTITUTE($D2328,"-","")," ",""),".",""))</f>
        <v/>
      </c>
      <c r="J2328" s="10" t="str">
        <f aca="false">IF($E2328="","",UPPER(SUBSTITUTE($E2328," ","")))</f>
        <v/>
      </c>
      <c r="K2328" s="10" t="str">
        <f aca="false">IF($A2328="","",$G2328&amp;"|"&amp;$J2328)</f>
        <v/>
      </c>
      <c r="L2328" s="10" t="str">
        <f aca="false">IF($A2328="","",ROW()-2)</f>
        <v/>
      </c>
      <c r="M2328" s="10" t="str">
        <f aca="false">IF($A2328="","",ROW())</f>
        <v/>
      </c>
    </row>
    <row r="2329" customFormat="false" ht="15" hidden="false" customHeight="true" outlineLevel="0" collapsed="false">
      <c r="A2329" s="8"/>
      <c r="B2329" s="8"/>
      <c r="C2329" s="8"/>
      <c r="D2329" s="8"/>
      <c r="E2329" s="8"/>
      <c r="F2329" s="8"/>
      <c r="G2329" s="10" t="str">
        <f aca="false">IF($A2329="","",UPPER(SUBSTITUTE(SUBSTITUTE(SUBSTITUTE(SUBSTITUTE($A2329," ",""),"(주)",""),"주식회사",""),"㈜","")))</f>
        <v/>
      </c>
      <c r="H2329" s="10" t="str">
        <f aca="false">IF($B2329="","",SUBSTITUTE(SUBSTITUTE(SUBSTITUTE($B2329,"-","")," ",""),".",""))</f>
        <v/>
      </c>
      <c r="I2329" s="10" t="str">
        <f aca="false">IF($D2329="","",SUBSTITUTE(SUBSTITUTE(SUBSTITUTE($D2329,"-","")," ",""),".",""))</f>
        <v/>
      </c>
      <c r="J2329" s="10" t="str">
        <f aca="false">IF($E2329="","",UPPER(SUBSTITUTE($E2329," ","")))</f>
        <v/>
      </c>
      <c r="K2329" s="10" t="str">
        <f aca="false">IF($A2329="","",$G2329&amp;"|"&amp;$J2329)</f>
        <v/>
      </c>
      <c r="L2329" s="10" t="str">
        <f aca="false">IF($A2329="","",ROW()-2)</f>
        <v/>
      </c>
      <c r="M2329" s="10" t="str">
        <f aca="false">IF($A2329="","",ROW())</f>
        <v/>
      </c>
    </row>
    <row r="2330" customFormat="false" ht="15" hidden="false" customHeight="true" outlineLevel="0" collapsed="false">
      <c r="A2330" s="8"/>
      <c r="B2330" s="8"/>
      <c r="C2330" s="8"/>
      <c r="D2330" s="8"/>
      <c r="E2330" s="8"/>
      <c r="F2330" s="8"/>
      <c r="G2330" s="10" t="str">
        <f aca="false">IF($A2330="","",UPPER(SUBSTITUTE(SUBSTITUTE(SUBSTITUTE(SUBSTITUTE($A2330," ",""),"(주)",""),"주식회사",""),"㈜","")))</f>
        <v/>
      </c>
      <c r="H2330" s="10" t="str">
        <f aca="false">IF($B2330="","",SUBSTITUTE(SUBSTITUTE(SUBSTITUTE($B2330,"-","")," ",""),".",""))</f>
        <v/>
      </c>
      <c r="I2330" s="10" t="str">
        <f aca="false">IF($D2330="","",SUBSTITUTE(SUBSTITUTE(SUBSTITUTE($D2330,"-","")," ",""),".",""))</f>
        <v/>
      </c>
      <c r="J2330" s="10" t="str">
        <f aca="false">IF($E2330="","",UPPER(SUBSTITUTE($E2330," ","")))</f>
        <v/>
      </c>
      <c r="K2330" s="10" t="str">
        <f aca="false">IF($A2330="","",$G2330&amp;"|"&amp;$J2330)</f>
        <v/>
      </c>
      <c r="L2330" s="10" t="str">
        <f aca="false">IF($A2330="","",ROW()-2)</f>
        <v/>
      </c>
      <c r="M2330" s="10" t="str">
        <f aca="false">IF($A2330="","",ROW())</f>
        <v/>
      </c>
    </row>
    <row r="2331" customFormat="false" ht="15" hidden="false" customHeight="true" outlineLevel="0" collapsed="false">
      <c r="A2331" s="8"/>
      <c r="B2331" s="8"/>
      <c r="C2331" s="8"/>
      <c r="D2331" s="8"/>
      <c r="E2331" s="8"/>
      <c r="F2331" s="8"/>
      <c r="G2331" s="10" t="str">
        <f aca="false">IF($A2331="","",UPPER(SUBSTITUTE(SUBSTITUTE(SUBSTITUTE(SUBSTITUTE($A2331," ",""),"(주)",""),"주식회사",""),"㈜","")))</f>
        <v/>
      </c>
      <c r="H2331" s="10" t="str">
        <f aca="false">IF($B2331="","",SUBSTITUTE(SUBSTITUTE(SUBSTITUTE($B2331,"-","")," ",""),".",""))</f>
        <v/>
      </c>
      <c r="I2331" s="10" t="str">
        <f aca="false">IF($D2331="","",SUBSTITUTE(SUBSTITUTE(SUBSTITUTE($D2331,"-","")," ",""),".",""))</f>
        <v/>
      </c>
      <c r="J2331" s="10" t="str">
        <f aca="false">IF($E2331="","",UPPER(SUBSTITUTE($E2331," ","")))</f>
        <v/>
      </c>
      <c r="K2331" s="10" t="str">
        <f aca="false">IF($A2331="","",$G2331&amp;"|"&amp;$J2331)</f>
        <v/>
      </c>
      <c r="L2331" s="10" t="str">
        <f aca="false">IF($A2331="","",ROW()-2)</f>
        <v/>
      </c>
      <c r="M2331" s="10" t="str">
        <f aca="false">IF($A2331="","",ROW())</f>
        <v/>
      </c>
    </row>
    <row r="2332" customFormat="false" ht="15" hidden="false" customHeight="true" outlineLevel="0" collapsed="false">
      <c r="A2332" s="8"/>
      <c r="B2332" s="8"/>
      <c r="C2332" s="8"/>
      <c r="D2332" s="8"/>
      <c r="E2332" s="8"/>
      <c r="F2332" s="8"/>
      <c r="G2332" s="10" t="str">
        <f aca="false">IF($A2332="","",UPPER(SUBSTITUTE(SUBSTITUTE(SUBSTITUTE(SUBSTITUTE($A2332," ",""),"(주)",""),"주식회사",""),"㈜","")))</f>
        <v/>
      </c>
      <c r="H2332" s="10" t="str">
        <f aca="false">IF($B2332="","",SUBSTITUTE(SUBSTITUTE(SUBSTITUTE($B2332,"-","")," ",""),".",""))</f>
        <v/>
      </c>
      <c r="I2332" s="10" t="str">
        <f aca="false">IF($D2332="","",SUBSTITUTE(SUBSTITUTE(SUBSTITUTE($D2332,"-","")," ",""),".",""))</f>
        <v/>
      </c>
      <c r="J2332" s="10" t="str">
        <f aca="false">IF($E2332="","",UPPER(SUBSTITUTE($E2332," ","")))</f>
        <v/>
      </c>
      <c r="K2332" s="10" t="str">
        <f aca="false">IF($A2332="","",$G2332&amp;"|"&amp;$J2332)</f>
        <v/>
      </c>
      <c r="L2332" s="10" t="str">
        <f aca="false">IF($A2332="","",ROW()-2)</f>
        <v/>
      </c>
      <c r="M2332" s="10" t="str">
        <f aca="false">IF($A2332="","",ROW())</f>
        <v/>
      </c>
    </row>
    <row r="2333" customFormat="false" ht="15" hidden="false" customHeight="true" outlineLevel="0" collapsed="false">
      <c r="A2333" s="8"/>
      <c r="B2333" s="8"/>
      <c r="C2333" s="8"/>
      <c r="D2333" s="8"/>
      <c r="E2333" s="8"/>
      <c r="F2333" s="8"/>
      <c r="G2333" s="10" t="str">
        <f aca="false">IF($A2333="","",UPPER(SUBSTITUTE(SUBSTITUTE(SUBSTITUTE(SUBSTITUTE($A2333," ",""),"(주)",""),"주식회사",""),"㈜","")))</f>
        <v/>
      </c>
      <c r="H2333" s="10" t="str">
        <f aca="false">IF($B2333="","",SUBSTITUTE(SUBSTITUTE(SUBSTITUTE($B2333,"-","")," ",""),".",""))</f>
        <v/>
      </c>
      <c r="I2333" s="10" t="str">
        <f aca="false">IF($D2333="","",SUBSTITUTE(SUBSTITUTE(SUBSTITUTE($D2333,"-","")," ",""),".",""))</f>
        <v/>
      </c>
      <c r="J2333" s="10" t="str">
        <f aca="false">IF($E2333="","",UPPER(SUBSTITUTE($E2333," ","")))</f>
        <v/>
      </c>
      <c r="K2333" s="10" t="str">
        <f aca="false">IF($A2333="","",$G2333&amp;"|"&amp;$J2333)</f>
        <v/>
      </c>
      <c r="L2333" s="10" t="str">
        <f aca="false">IF($A2333="","",ROW()-2)</f>
        <v/>
      </c>
      <c r="M2333" s="10" t="str">
        <f aca="false">IF($A2333="","",ROW())</f>
        <v/>
      </c>
    </row>
    <row r="2334" customFormat="false" ht="15" hidden="false" customHeight="true" outlineLevel="0" collapsed="false">
      <c r="A2334" s="8"/>
      <c r="B2334" s="8"/>
      <c r="C2334" s="8"/>
      <c r="D2334" s="8"/>
      <c r="E2334" s="8"/>
      <c r="F2334" s="8"/>
      <c r="G2334" s="10" t="str">
        <f aca="false">IF($A2334="","",UPPER(SUBSTITUTE(SUBSTITUTE(SUBSTITUTE(SUBSTITUTE($A2334," ",""),"(주)",""),"주식회사",""),"㈜","")))</f>
        <v/>
      </c>
      <c r="H2334" s="10" t="str">
        <f aca="false">IF($B2334="","",SUBSTITUTE(SUBSTITUTE(SUBSTITUTE($B2334,"-","")," ",""),".",""))</f>
        <v/>
      </c>
      <c r="I2334" s="10" t="str">
        <f aca="false">IF($D2334="","",SUBSTITUTE(SUBSTITUTE(SUBSTITUTE($D2334,"-","")," ",""),".",""))</f>
        <v/>
      </c>
      <c r="J2334" s="10" t="str">
        <f aca="false">IF($E2334="","",UPPER(SUBSTITUTE($E2334," ","")))</f>
        <v/>
      </c>
      <c r="K2334" s="10" t="str">
        <f aca="false">IF($A2334="","",$G2334&amp;"|"&amp;$J2334)</f>
        <v/>
      </c>
      <c r="L2334" s="10" t="str">
        <f aca="false">IF($A2334="","",ROW()-2)</f>
        <v/>
      </c>
      <c r="M2334" s="10" t="str">
        <f aca="false">IF($A2334="","",ROW())</f>
        <v/>
      </c>
    </row>
    <row r="2335" customFormat="false" ht="15" hidden="false" customHeight="true" outlineLevel="0" collapsed="false">
      <c r="A2335" s="8"/>
      <c r="B2335" s="8"/>
      <c r="C2335" s="8"/>
      <c r="D2335" s="8"/>
      <c r="E2335" s="8"/>
      <c r="F2335" s="8"/>
      <c r="G2335" s="10" t="str">
        <f aca="false">IF($A2335="","",UPPER(SUBSTITUTE(SUBSTITUTE(SUBSTITUTE(SUBSTITUTE($A2335," ",""),"(주)",""),"주식회사",""),"㈜","")))</f>
        <v/>
      </c>
      <c r="H2335" s="10" t="str">
        <f aca="false">IF($B2335="","",SUBSTITUTE(SUBSTITUTE(SUBSTITUTE($B2335,"-","")," ",""),".",""))</f>
        <v/>
      </c>
      <c r="I2335" s="10" t="str">
        <f aca="false">IF($D2335="","",SUBSTITUTE(SUBSTITUTE(SUBSTITUTE($D2335,"-","")," ",""),".",""))</f>
        <v/>
      </c>
      <c r="J2335" s="10" t="str">
        <f aca="false">IF($E2335="","",UPPER(SUBSTITUTE($E2335," ","")))</f>
        <v/>
      </c>
      <c r="K2335" s="10" t="str">
        <f aca="false">IF($A2335="","",$G2335&amp;"|"&amp;$J2335)</f>
        <v/>
      </c>
      <c r="L2335" s="10" t="str">
        <f aca="false">IF($A2335="","",ROW()-2)</f>
        <v/>
      </c>
      <c r="M2335" s="10" t="str">
        <f aca="false">IF($A2335="","",ROW())</f>
        <v/>
      </c>
    </row>
    <row r="2336" customFormat="false" ht="15" hidden="false" customHeight="true" outlineLevel="0" collapsed="false">
      <c r="A2336" s="8"/>
      <c r="B2336" s="8"/>
      <c r="C2336" s="8"/>
      <c r="D2336" s="8"/>
      <c r="E2336" s="8"/>
      <c r="F2336" s="8"/>
      <c r="G2336" s="10" t="str">
        <f aca="false">IF($A2336="","",UPPER(SUBSTITUTE(SUBSTITUTE(SUBSTITUTE(SUBSTITUTE($A2336," ",""),"(주)",""),"주식회사",""),"㈜","")))</f>
        <v/>
      </c>
      <c r="H2336" s="10" t="str">
        <f aca="false">IF($B2336="","",SUBSTITUTE(SUBSTITUTE(SUBSTITUTE($B2336,"-","")," ",""),".",""))</f>
        <v/>
      </c>
      <c r="I2336" s="10" t="str">
        <f aca="false">IF($D2336="","",SUBSTITUTE(SUBSTITUTE(SUBSTITUTE($D2336,"-","")," ",""),".",""))</f>
        <v/>
      </c>
      <c r="J2336" s="10" t="str">
        <f aca="false">IF($E2336="","",UPPER(SUBSTITUTE($E2336," ","")))</f>
        <v/>
      </c>
      <c r="K2336" s="10" t="str">
        <f aca="false">IF($A2336="","",$G2336&amp;"|"&amp;$J2336)</f>
        <v/>
      </c>
      <c r="L2336" s="10" t="str">
        <f aca="false">IF($A2336="","",ROW()-2)</f>
        <v/>
      </c>
      <c r="M2336" s="10" t="str">
        <f aca="false">IF($A2336="","",ROW())</f>
        <v/>
      </c>
    </row>
    <row r="2337" customFormat="false" ht="15" hidden="false" customHeight="true" outlineLevel="0" collapsed="false">
      <c r="A2337" s="8"/>
      <c r="B2337" s="8"/>
      <c r="C2337" s="8"/>
      <c r="D2337" s="8"/>
      <c r="E2337" s="8"/>
      <c r="F2337" s="8"/>
      <c r="G2337" s="10" t="str">
        <f aca="false">IF($A2337="","",UPPER(SUBSTITUTE(SUBSTITUTE(SUBSTITUTE(SUBSTITUTE($A2337," ",""),"(주)",""),"주식회사",""),"㈜","")))</f>
        <v/>
      </c>
      <c r="H2337" s="10" t="str">
        <f aca="false">IF($B2337="","",SUBSTITUTE(SUBSTITUTE(SUBSTITUTE($B2337,"-","")," ",""),".",""))</f>
        <v/>
      </c>
      <c r="I2337" s="10" t="str">
        <f aca="false">IF($D2337="","",SUBSTITUTE(SUBSTITUTE(SUBSTITUTE($D2337,"-","")," ",""),".",""))</f>
        <v/>
      </c>
      <c r="J2337" s="10" t="str">
        <f aca="false">IF($E2337="","",UPPER(SUBSTITUTE($E2337," ","")))</f>
        <v/>
      </c>
      <c r="K2337" s="10" t="str">
        <f aca="false">IF($A2337="","",$G2337&amp;"|"&amp;$J2337)</f>
        <v/>
      </c>
      <c r="L2337" s="10" t="str">
        <f aca="false">IF($A2337="","",ROW()-2)</f>
        <v/>
      </c>
      <c r="M2337" s="10" t="str">
        <f aca="false">IF($A2337="","",ROW())</f>
        <v/>
      </c>
    </row>
    <row r="2338" customFormat="false" ht="15" hidden="false" customHeight="true" outlineLevel="0" collapsed="false">
      <c r="A2338" s="8"/>
      <c r="B2338" s="8"/>
      <c r="C2338" s="8"/>
      <c r="D2338" s="8"/>
      <c r="E2338" s="8"/>
      <c r="F2338" s="8"/>
      <c r="G2338" s="10" t="str">
        <f aca="false">IF($A2338="","",UPPER(SUBSTITUTE(SUBSTITUTE(SUBSTITUTE(SUBSTITUTE($A2338," ",""),"(주)",""),"주식회사",""),"㈜","")))</f>
        <v/>
      </c>
      <c r="H2338" s="10" t="str">
        <f aca="false">IF($B2338="","",SUBSTITUTE(SUBSTITUTE(SUBSTITUTE($B2338,"-","")," ",""),".",""))</f>
        <v/>
      </c>
      <c r="I2338" s="10" t="str">
        <f aca="false">IF($D2338="","",SUBSTITUTE(SUBSTITUTE(SUBSTITUTE($D2338,"-","")," ",""),".",""))</f>
        <v/>
      </c>
      <c r="J2338" s="10" t="str">
        <f aca="false">IF($E2338="","",UPPER(SUBSTITUTE($E2338," ","")))</f>
        <v/>
      </c>
      <c r="K2338" s="10" t="str">
        <f aca="false">IF($A2338="","",$G2338&amp;"|"&amp;$J2338)</f>
        <v/>
      </c>
      <c r="L2338" s="10" t="str">
        <f aca="false">IF($A2338="","",ROW()-2)</f>
        <v/>
      </c>
      <c r="M2338" s="10" t="str">
        <f aca="false">IF($A2338="","",ROW())</f>
        <v/>
      </c>
    </row>
    <row r="2339" customFormat="false" ht="15" hidden="false" customHeight="true" outlineLevel="0" collapsed="false">
      <c r="A2339" s="8"/>
      <c r="B2339" s="8"/>
      <c r="C2339" s="8"/>
      <c r="D2339" s="8"/>
      <c r="E2339" s="8"/>
      <c r="F2339" s="8"/>
      <c r="G2339" s="10" t="str">
        <f aca="false">IF($A2339="","",UPPER(SUBSTITUTE(SUBSTITUTE(SUBSTITUTE(SUBSTITUTE($A2339," ",""),"(주)",""),"주식회사",""),"㈜","")))</f>
        <v/>
      </c>
      <c r="H2339" s="10" t="str">
        <f aca="false">IF($B2339="","",SUBSTITUTE(SUBSTITUTE(SUBSTITUTE($B2339,"-","")," ",""),".",""))</f>
        <v/>
      </c>
      <c r="I2339" s="10" t="str">
        <f aca="false">IF($D2339="","",SUBSTITUTE(SUBSTITUTE(SUBSTITUTE($D2339,"-","")," ",""),".",""))</f>
        <v/>
      </c>
      <c r="J2339" s="10" t="str">
        <f aca="false">IF($E2339="","",UPPER(SUBSTITUTE($E2339," ","")))</f>
        <v/>
      </c>
      <c r="K2339" s="10" t="str">
        <f aca="false">IF($A2339="","",$G2339&amp;"|"&amp;$J2339)</f>
        <v/>
      </c>
      <c r="L2339" s="10" t="str">
        <f aca="false">IF($A2339="","",ROW()-2)</f>
        <v/>
      </c>
      <c r="M2339" s="10" t="str">
        <f aca="false">IF($A2339="","",ROW())</f>
        <v/>
      </c>
    </row>
    <row r="2340" customFormat="false" ht="15" hidden="false" customHeight="true" outlineLevel="0" collapsed="false">
      <c r="A2340" s="8"/>
      <c r="B2340" s="8"/>
      <c r="C2340" s="8"/>
      <c r="D2340" s="8"/>
      <c r="E2340" s="8"/>
      <c r="F2340" s="8"/>
      <c r="G2340" s="10" t="str">
        <f aca="false">IF($A2340="","",UPPER(SUBSTITUTE(SUBSTITUTE(SUBSTITUTE(SUBSTITUTE($A2340," ",""),"(주)",""),"주식회사",""),"㈜","")))</f>
        <v/>
      </c>
      <c r="H2340" s="10" t="str">
        <f aca="false">IF($B2340="","",SUBSTITUTE(SUBSTITUTE(SUBSTITUTE($B2340,"-","")," ",""),".",""))</f>
        <v/>
      </c>
      <c r="I2340" s="10" t="str">
        <f aca="false">IF($D2340="","",SUBSTITUTE(SUBSTITUTE(SUBSTITUTE($D2340,"-","")," ",""),".",""))</f>
        <v/>
      </c>
      <c r="J2340" s="10" t="str">
        <f aca="false">IF($E2340="","",UPPER(SUBSTITUTE($E2340," ","")))</f>
        <v/>
      </c>
      <c r="K2340" s="10" t="str">
        <f aca="false">IF($A2340="","",$G2340&amp;"|"&amp;$J2340)</f>
        <v/>
      </c>
      <c r="L2340" s="10" t="str">
        <f aca="false">IF($A2340="","",ROW()-2)</f>
        <v/>
      </c>
      <c r="M2340" s="10" t="str">
        <f aca="false">IF($A2340="","",ROW())</f>
        <v/>
      </c>
    </row>
    <row r="2341" customFormat="false" ht="15" hidden="false" customHeight="true" outlineLevel="0" collapsed="false">
      <c r="A2341" s="8"/>
      <c r="B2341" s="8"/>
      <c r="C2341" s="8"/>
      <c r="D2341" s="8"/>
      <c r="E2341" s="8"/>
      <c r="F2341" s="8"/>
      <c r="G2341" s="10" t="str">
        <f aca="false">IF($A2341="","",UPPER(SUBSTITUTE(SUBSTITUTE(SUBSTITUTE(SUBSTITUTE($A2341," ",""),"(주)",""),"주식회사",""),"㈜","")))</f>
        <v/>
      </c>
      <c r="H2341" s="10" t="str">
        <f aca="false">IF($B2341="","",SUBSTITUTE(SUBSTITUTE(SUBSTITUTE($B2341,"-","")," ",""),".",""))</f>
        <v/>
      </c>
      <c r="I2341" s="10" t="str">
        <f aca="false">IF($D2341="","",SUBSTITUTE(SUBSTITUTE(SUBSTITUTE($D2341,"-","")," ",""),".",""))</f>
        <v/>
      </c>
      <c r="J2341" s="10" t="str">
        <f aca="false">IF($E2341="","",UPPER(SUBSTITUTE($E2341," ","")))</f>
        <v/>
      </c>
      <c r="K2341" s="10" t="str">
        <f aca="false">IF($A2341="","",$G2341&amp;"|"&amp;$J2341)</f>
        <v/>
      </c>
      <c r="L2341" s="10" t="str">
        <f aca="false">IF($A2341="","",ROW()-2)</f>
        <v/>
      </c>
      <c r="M2341" s="10" t="str">
        <f aca="false">IF($A2341="","",ROW())</f>
        <v/>
      </c>
    </row>
    <row r="2342" customFormat="false" ht="15" hidden="false" customHeight="true" outlineLevel="0" collapsed="false">
      <c r="A2342" s="8"/>
      <c r="B2342" s="8"/>
      <c r="C2342" s="8"/>
      <c r="D2342" s="8"/>
      <c r="E2342" s="8"/>
      <c r="F2342" s="8"/>
      <c r="G2342" s="10" t="str">
        <f aca="false">IF($A2342="","",UPPER(SUBSTITUTE(SUBSTITUTE(SUBSTITUTE(SUBSTITUTE($A2342," ",""),"(주)",""),"주식회사",""),"㈜","")))</f>
        <v/>
      </c>
      <c r="H2342" s="10" t="str">
        <f aca="false">IF($B2342="","",SUBSTITUTE(SUBSTITUTE(SUBSTITUTE($B2342,"-","")," ",""),".",""))</f>
        <v/>
      </c>
      <c r="I2342" s="10" t="str">
        <f aca="false">IF($D2342="","",SUBSTITUTE(SUBSTITUTE(SUBSTITUTE($D2342,"-","")," ",""),".",""))</f>
        <v/>
      </c>
      <c r="J2342" s="10" t="str">
        <f aca="false">IF($E2342="","",UPPER(SUBSTITUTE($E2342," ","")))</f>
        <v/>
      </c>
      <c r="K2342" s="10" t="str">
        <f aca="false">IF($A2342="","",$G2342&amp;"|"&amp;$J2342)</f>
        <v/>
      </c>
      <c r="L2342" s="10" t="str">
        <f aca="false">IF($A2342="","",ROW()-2)</f>
        <v/>
      </c>
      <c r="M2342" s="10" t="str">
        <f aca="false">IF($A2342="","",ROW())</f>
        <v/>
      </c>
    </row>
    <row r="2343" customFormat="false" ht="15" hidden="false" customHeight="true" outlineLevel="0" collapsed="false">
      <c r="A2343" s="8"/>
      <c r="B2343" s="8"/>
      <c r="C2343" s="8"/>
      <c r="D2343" s="8"/>
      <c r="E2343" s="8"/>
      <c r="F2343" s="8"/>
      <c r="G2343" s="10" t="str">
        <f aca="false">IF($A2343="","",UPPER(SUBSTITUTE(SUBSTITUTE(SUBSTITUTE(SUBSTITUTE($A2343," ",""),"(주)",""),"주식회사",""),"㈜","")))</f>
        <v/>
      </c>
      <c r="H2343" s="10" t="str">
        <f aca="false">IF($B2343="","",SUBSTITUTE(SUBSTITUTE(SUBSTITUTE($B2343,"-","")," ",""),".",""))</f>
        <v/>
      </c>
      <c r="I2343" s="10" t="str">
        <f aca="false">IF($D2343="","",SUBSTITUTE(SUBSTITUTE(SUBSTITUTE($D2343,"-","")," ",""),".",""))</f>
        <v/>
      </c>
      <c r="J2343" s="10" t="str">
        <f aca="false">IF($E2343="","",UPPER(SUBSTITUTE($E2343," ","")))</f>
        <v/>
      </c>
      <c r="K2343" s="10" t="str">
        <f aca="false">IF($A2343="","",$G2343&amp;"|"&amp;$J2343)</f>
        <v/>
      </c>
      <c r="L2343" s="10" t="str">
        <f aca="false">IF($A2343="","",ROW()-2)</f>
        <v/>
      </c>
      <c r="M2343" s="10" t="str">
        <f aca="false">IF($A2343="","",ROW())</f>
        <v/>
      </c>
    </row>
    <row r="2344" customFormat="false" ht="15" hidden="false" customHeight="true" outlineLevel="0" collapsed="false">
      <c r="A2344" s="8"/>
      <c r="B2344" s="8"/>
      <c r="C2344" s="8"/>
      <c r="D2344" s="8"/>
      <c r="E2344" s="8"/>
      <c r="F2344" s="8"/>
      <c r="G2344" s="10" t="str">
        <f aca="false">IF($A2344="","",UPPER(SUBSTITUTE(SUBSTITUTE(SUBSTITUTE(SUBSTITUTE($A2344," ",""),"(주)",""),"주식회사",""),"㈜","")))</f>
        <v/>
      </c>
      <c r="H2344" s="10" t="str">
        <f aca="false">IF($B2344="","",SUBSTITUTE(SUBSTITUTE(SUBSTITUTE($B2344,"-","")," ",""),".",""))</f>
        <v/>
      </c>
      <c r="I2344" s="10" t="str">
        <f aca="false">IF($D2344="","",SUBSTITUTE(SUBSTITUTE(SUBSTITUTE($D2344,"-","")," ",""),".",""))</f>
        <v/>
      </c>
      <c r="J2344" s="10" t="str">
        <f aca="false">IF($E2344="","",UPPER(SUBSTITUTE($E2344," ","")))</f>
        <v/>
      </c>
      <c r="K2344" s="10" t="str">
        <f aca="false">IF($A2344="","",$G2344&amp;"|"&amp;$J2344)</f>
        <v/>
      </c>
      <c r="L2344" s="10" t="str">
        <f aca="false">IF($A2344="","",ROW()-2)</f>
        <v/>
      </c>
      <c r="M2344" s="10" t="str">
        <f aca="false">IF($A2344="","",ROW())</f>
        <v/>
      </c>
    </row>
    <row r="2345" customFormat="false" ht="15" hidden="false" customHeight="true" outlineLevel="0" collapsed="false">
      <c r="A2345" s="8"/>
      <c r="B2345" s="8"/>
      <c r="C2345" s="8"/>
      <c r="D2345" s="8"/>
      <c r="E2345" s="8"/>
      <c r="F2345" s="8"/>
      <c r="G2345" s="10" t="str">
        <f aca="false">IF($A2345="","",UPPER(SUBSTITUTE(SUBSTITUTE(SUBSTITUTE(SUBSTITUTE($A2345," ",""),"(주)",""),"주식회사",""),"㈜","")))</f>
        <v/>
      </c>
      <c r="H2345" s="10" t="str">
        <f aca="false">IF($B2345="","",SUBSTITUTE(SUBSTITUTE(SUBSTITUTE($B2345,"-","")," ",""),".",""))</f>
        <v/>
      </c>
      <c r="I2345" s="10" t="str">
        <f aca="false">IF($D2345="","",SUBSTITUTE(SUBSTITUTE(SUBSTITUTE($D2345,"-","")," ",""),".",""))</f>
        <v/>
      </c>
      <c r="J2345" s="10" t="str">
        <f aca="false">IF($E2345="","",UPPER(SUBSTITUTE($E2345," ","")))</f>
        <v/>
      </c>
      <c r="K2345" s="10" t="str">
        <f aca="false">IF($A2345="","",$G2345&amp;"|"&amp;$J2345)</f>
        <v/>
      </c>
      <c r="L2345" s="10" t="str">
        <f aca="false">IF($A2345="","",ROW()-2)</f>
        <v/>
      </c>
      <c r="M2345" s="10" t="str">
        <f aca="false">IF($A2345="","",ROW())</f>
        <v/>
      </c>
    </row>
    <row r="2346" customFormat="false" ht="15" hidden="false" customHeight="true" outlineLevel="0" collapsed="false">
      <c r="A2346" s="8"/>
      <c r="B2346" s="8"/>
      <c r="C2346" s="8"/>
      <c r="D2346" s="8"/>
      <c r="E2346" s="8"/>
      <c r="F2346" s="8"/>
      <c r="G2346" s="10" t="str">
        <f aca="false">IF($A2346="","",UPPER(SUBSTITUTE(SUBSTITUTE(SUBSTITUTE(SUBSTITUTE($A2346," ",""),"(주)",""),"주식회사",""),"㈜","")))</f>
        <v/>
      </c>
      <c r="H2346" s="10" t="str">
        <f aca="false">IF($B2346="","",SUBSTITUTE(SUBSTITUTE(SUBSTITUTE($B2346,"-","")," ",""),".",""))</f>
        <v/>
      </c>
      <c r="I2346" s="10" t="str">
        <f aca="false">IF($D2346="","",SUBSTITUTE(SUBSTITUTE(SUBSTITUTE($D2346,"-","")," ",""),".",""))</f>
        <v/>
      </c>
      <c r="J2346" s="10" t="str">
        <f aca="false">IF($E2346="","",UPPER(SUBSTITUTE($E2346," ","")))</f>
        <v/>
      </c>
      <c r="K2346" s="10" t="str">
        <f aca="false">IF($A2346="","",$G2346&amp;"|"&amp;$J2346)</f>
        <v/>
      </c>
      <c r="L2346" s="10" t="str">
        <f aca="false">IF($A2346="","",ROW()-2)</f>
        <v/>
      </c>
      <c r="M2346" s="10" t="str">
        <f aca="false">IF($A2346="","",ROW())</f>
        <v/>
      </c>
    </row>
    <row r="2347" customFormat="false" ht="15" hidden="false" customHeight="true" outlineLevel="0" collapsed="false">
      <c r="A2347" s="8"/>
      <c r="B2347" s="8"/>
      <c r="C2347" s="8"/>
      <c r="D2347" s="8"/>
      <c r="E2347" s="8"/>
      <c r="F2347" s="8"/>
      <c r="G2347" s="10" t="str">
        <f aca="false">IF($A2347="","",UPPER(SUBSTITUTE(SUBSTITUTE(SUBSTITUTE(SUBSTITUTE($A2347," ",""),"(주)",""),"주식회사",""),"㈜","")))</f>
        <v/>
      </c>
      <c r="H2347" s="10" t="str">
        <f aca="false">IF($B2347="","",SUBSTITUTE(SUBSTITUTE(SUBSTITUTE($B2347,"-","")," ",""),".",""))</f>
        <v/>
      </c>
      <c r="I2347" s="10" t="str">
        <f aca="false">IF($D2347="","",SUBSTITUTE(SUBSTITUTE(SUBSTITUTE($D2347,"-","")," ",""),".",""))</f>
        <v/>
      </c>
      <c r="J2347" s="10" t="str">
        <f aca="false">IF($E2347="","",UPPER(SUBSTITUTE($E2347," ","")))</f>
        <v/>
      </c>
      <c r="K2347" s="10" t="str">
        <f aca="false">IF($A2347="","",$G2347&amp;"|"&amp;$J2347)</f>
        <v/>
      </c>
      <c r="L2347" s="10" t="str">
        <f aca="false">IF($A2347="","",ROW()-2)</f>
        <v/>
      </c>
      <c r="M2347" s="10" t="str">
        <f aca="false">IF($A2347="","",ROW())</f>
        <v/>
      </c>
    </row>
    <row r="2348" customFormat="false" ht="15" hidden="false" customHeight="true" outlineLevel="0" collapsed="false">
      <c r="A2348" s="8"/>
      <c r="B2348" s="8"/>
      <c r="C2348" s="8"/>
      <c r="D2348" s="8"/>
      <c r="E2348" s="8"/>
      <c r="F2348" s="8"/>
      <c r="G2348" s="10" t="str">
        <f aca="false">IF($A2348="","",UPPER(SUBSTITUTE(SUBSTITUTE(SUBSTITUTE(SUBSTITUTE($A2348," ",""),"(주)",""),"주식회사",""),"㈜","")))</f>
        <v/>
      </c>
      <c r="H2348" s="10" t="str">
        <f aca="false">IF($B2348="","",SUBSTITUTE(SUBSTITUTE(SUBSTITUTE($B2348,"-","")," ",""),".",""))</f>
        <v/>
      </c>
      <c r="I2348" s="10" t="str">
        <f aca="false">IF($D2348="","",SUBSTITUTE(SUBSTITUTE(SUBSTITUTE($D2348,"-","")," ",""),".",""))</f>
        <v/>
      </c>
      <c r="J2348" s="10" t="str">
        <f aca="false">IF($E2348="","",UPPER(SUBSTITUTE($E2348," ","")))</f>
        <v/>
      </c>
      <c r="K2348" s="10" t="str">
        <f aca="false">IF($A2348="","",$G2348&amp;"|"&amp;$J2348)</f>
        <v/>
      </c>
      <c r="L2348" s="10" t="str">
        <f aca="false">IF($A2348="","",ROW()-2)</f>
        <v/>
      </c>
      <c r="M2348" s="10" t="str">
        <f aca="false">IF($A2348="","",ROW())</f>
        <v/>
      </c>
    </row>
    <row r="2349" customFormat="false" ht="15" hidden="false" customHeight="true" outlineLevel="0" collapsed="false">
      <c r="A2349" s="8"/>
      <c r="B2349" s="8"/>
      <c r="C2349" s="8"/>
      <c r="D2349" s="8"/>
      <c r="E2349" s="8"/>
      <c r="F2349" s="8"/>
      <c r="G2349" s="10" t="str">
        <f aca="false">IF($A2349="","",UPPER(SUBSTITUTE(SUBSTITUTE(SUBSTITUTE(SUBSTITUTE($A2349," ",""),"(주)",""),"주식회사",""),"㈜","")))</f>
        <v/>
      </c>
      <c r="H2349" s="10" t="str">
        <f aca="false">IF($B2349="","",SUBSTITUTE(SUBSTITUTE(SUBSTITUTE($B2349,"-","")," ",""),".",""))</f>
        <v/>
      </c>
      <c r="I2349" s="10" t="str">
        <f aca="false">IF($D2349="","",SUBSTITUTE(SUBSTITUTE(SUBSTITUTE($D2349,"-","")," ",""),".",""))</f>
        <v/>
      </c>
      <c r="J2349" s="10" t="str">
        <f aca="false">IF($E2349="","",UPPER(SUBSTITUTE($E2349," ","")))</f>
        <v/>
      </c>
      <c r="K2349" s="10" t="str">
        <f aca="false">IF($A2349="","",$G2349&amp;"|"&amp;$J2349)</f>
        <v/>
      </c>
      <c r="L2349" s="10" t="str">
        <f aca="false">IF($A2349="","",ROW()-2)</f>
        <v/>
      </c>
      <c r="M2349" s="10" t="str">
        <f aca="false">IF($A2349="","",ROW())</f>
        <v/>
      </c>
    </row>
    <row r="2350" customFormat="false" ht="15" hidden="false" customHeight="true" outlineLevel="0" collapsed="false">
      <c r="A2350" s="8"/>
      <c r="B2350" s="8"/>
      <c r="C2350" s="8"/>
      <c r="D2350" s="8"/>
      <c r="E2350" s="8"/>
      <c r="F2350" s="8"/>
      <c r="G2350" s="10" t="str">
        <f aca="false">IF($A2350="","",UPPER(SUBSTITUTE(SUBSTITUTE(SUBSTITUTE(SUBSTITUTE($A2350," ",""),"(주)",""),"주식회사",""),"㈜","")))</f>
        <v/>
      </c>
      <c r="H2350" s="10" t="str">
        <f aca="false">IF($B2350="","",SUBSTITUTE(SUBSTITUTE(SUBSTITUTE($B2350,"-","")," ",""),".",""))</f>
        <v/>
      </c>
      <c r="I2350" s="10" t="str">
        <f aca="false">IF($D2350="","",SUBSTITUTE(SUBSTITUTE(SUBSTITUTE($D2350,"-","")," ",""),".",""))</f>
        <v/>
      </c>
      <c r="J2350" s="10" t="str">
        <f aca="false">IF($E2350="","",UPPER(SUBSTITUTE($E2350," ","")))</f>
        <v/>
      </c>
      <c r="K2350" s="10" t="str">
        <f aca="false">IF($A2350="","",$G2350&amp;"|"&amp;$J2350)</f>
        <v/>
      </c>
      <c r="L2350" s="10" t="str">
        <f aca="false">IF($A2350="","",ROW()-2)</f>
        <v/>
      </c>
      <c r="M2350" s="10" t="str">
        <f aca="false">IF($A2350="","",ROW())</f>
        <v/>
      </c>
    </row>
    <row r="2351" customFormat="false" ht="15" hidden="false" customHeight="true" outlineLevel="0" collapsed="false">
      <c r="A2351" s="8"/>
      <c r="B2351" s="8"/>
      <c r="C2351" s="8"/>
      <c r="D2351" s="8"/>
      <c r="E2351" s="8"/>
      <c r="F2351" s="8"/>
      <c r="G2351" s="10" t="str">
        <f aca="false">IF($A2351="","",UPPER(SUBSTITUTE(SUBSTITUTE(SUBSTITUTE(SUBSTITUTE($A2351," ",""),"(주)",""),"주식회사",""),"㈜","")))</f>
        <v/>
      </c>
      <c r="H2351" s="10" t="str">
        <f aca="false">IF($B2351="","",SUBSTITUTE(SUBSTITUTE(SUBSTITUTE($B2351,"-","")," ",""),".",""))</f>
        <v/>
      </c>
      <c r="I2351" s="10" t="str">
        <f aca="false">IF($D2351="","",SUBSTITUTE(SUBSTITUTE(SUBSTITUTE($D2351,"-","")," ",""),".",""))</f>
        <v/>
      </c>
      <c r="J2351" s="10" t="str">
        <f aca="false">IF($E2351="","",UPPER(SUBSTITUTE($E2351," ","")))</f>
        <v/>
      </c>
      <c r="K2351" s="10" t="str">
        <f aca="false">IF($A2351="","",$G2351&amp;"|"&amp;$J2351)</f>
        <v/>
      </c>
      <c r="L2351" s="10" t="str">
        <f aca="false">IF($A2351="","",ROW()-2)</f>
        <v/>
      </c>
      <c r="M2351" s="10" t="str">
        <f aca="false">IF($A2351="","",ROW())</f>
        <v/>
      </c>
    </row>
    <row r="2352" customFormat="false" ht="15" hidden="false" customHeight="true" outlineLevel="0" collapsed="false">
      <c r="A2352" s="8"/>
      <c r="B2352" s="8"/>
      <c r="C2352" s="8"/>
      <c r="D2352" s="8"/>
      <c r="E2352" s="8"/>
      <c r="F2352" s="8"/>
      <c r="G2352" s="10" t="str">
        <f aca="false">IF($A2352="","",UPPER(SUBSTITUTE(SUBSTITUTE(SUBSTITUTE(SUBSTITUTE($A2352," ",""),"(주)",""),"주식회사",""),"㈜","")))</f>
        <v/>
      </c>
      <c r="H2352" s="10" t="str">
        <f aca="false">IF($B2352="","",SUBSTITUTE(SUBSTITUTE(SUBSTITUTE($B2352,"-","")," ",""),".",""))</f>
        <v/>
      </c>
      <c r="I2352" s="10" t="str">
        <f aca="false">IF($D2352="","",SUBSTITUTE(SUBSTITUTE(SUBSTITUTE($D2352,"-","")," ",""),".",""))</f>
        <v/>
      </c>
      <c r="J2352" s="10" t="str">
        <f aca="false">IF($E2352="","",UPPER(SUBSTITUTE($E2352," ","")))</f>
        <v/>
      </c>
      <c r="K2352" s="10" t="str">
        <f aca="false">IF($A2352="","",$G2352&amp;"|"&amp;$J2352)</f>
        <v/>
      </c>
      <c r="L2352" s="10" t="str">
        <f aca="false">IF($A2352="","",ROW()-2)</f>
        <v/>
      </c>
      <c r="M2352" s="10" t="str">
        <f aca="false">IF($A2352="","",ROW())</f>
        <v/>
      </c>
    </row>
    <row r="2353" customFormat="false" ht="15" hidden="false" customHeight="true" outlineLevel="0" collapsed="false">
      <c r="A2353" s="8"/>
      <c r="B2353" s="8"/>
      <c r="C2353" s="8"/>
      <c r="D2353" s="8"/>
      <c r="E2353" s="8"/>
      <c r="F2353" s="8"/>
      <c r="G2353" s="10" t="str">
        <f aca="false">IF($A2353="","",UPPER(SUBSTITUTE(SUBSTITUTE(SUBSTITUTE(SUBSTITUTE($A2353," ",""),"(주)",""),"주식회사",""),"㈜","")))</f>
        <v/>
      </c>
      <c r="H2353" s="10" t="str">
        <f aca="false">IF($B2353="","",SUBSTITUTE(SUBSTITUTE(SUBSTITUTE($B2353,"-","")," ",""),".",""))</f>
        <v/>
      </c>
      <c r="I2353" s="10" t="str">
        <f aca="false">IF($D2353="","",SUBSTITUTE(SUBSTITUTE(SUBSTITUTE($D2353,"-","")," ",""),".",""))</f>
        <v/>
      </c>
      <c r="J2353" s="10" t="str">
        <f aca="false">IF($E2353="","",UPPER(SUBSTITUTE($E2353," ","")))</f>
        <v/>
      </c>
      <c r="K2353" s="10" t="str">
        <f aca="false">IF($A2353="","",$G2353&amp;"|"&amp;$J2353)</f>
        <v/>
      </c>
      <c r="L2353" s="10" t="str">
        <f aca="false">IF($A2353="","",ROW()-2)</f>
        <v/>
      </c>
      <c r="M2353" s="10" t="str">
        <f aca="false">IF($A2353="","",ROW())</f>
        <v/>
      </c>
    </row>
    <row r="2354" customFormat="false" ht="15" hidden="false" customHeight="true" outlineLevel="0" collapsed="false">
      <c r="A2354" s="8"/>
      <c r="B2354" s="8"/>
      <c r="C2354" s="8"/>
      <c r="D2354" s="8"/>
      <c r="E2354" s="8"/>
      <c r="F2354" s="8"/>
      <c r="G2354" s="10" t="str">
        <f aca="false">IF($A2354="","",UPPER(SUBSTITUTE(SUBSTITUTE(SUBSTITUTE(SUBSTITUTE($A2354," ",""),"(주)",""),"주식회사",""),"㈜","")))</f>
        <v/>
      </c>
      <c r="H2354" s="10" t="str">
        <f aca="false">IF($B2354="","",SUBSTITUTE(SUBSTITUTE(SUBSTITUTE($B2354,"-","")," ",""),".",""))</f>
        <v/>
      </c>
      <c r="I2354" s="10" t="str">
        <f aca="false">IF($D2354="","",SUBSTITUTE(SUBSTITUTE(SUBSTITUTE($D2354,"-","")," ",""),".",""))</f>
        <v/>
      </c>
      <c r="J2354" s="10" t="str">
        <f aca="false">IF($E2354="","",UPPER(SUBSTITUTE($E2354," ","")))</f>
        <v/>
      </c>
      <c r="K2354" s="10" t="str">
        <f aca="false">IF($A2354="","",$G2354&amp;"|"&amp;$J2354)</f>
        <v/>
      </c>
      <c r="L2354" s="10" t="str">
        <f aca="false">IF($A2354="","",ROW()-2)</f>
        <v/>
      </c>
      <c r="M2354" s="10" t="str">
        <f aca="false">IF($A2354="","",ROW())</f>
        <v/>
      </c>
    </row>
    <row r="2355" customFormat="false" ht="15" hidden="false" customHeight="true" outlineLevel="0" collapsed="false">
      <c r="A2355" s="8"/>
      <c r="B2355" s="8"/>
      <c r="C2355" s="8"/>
      <c r="D2355" s="8"/>
      <c r="E2355" s="8"/>
      <c r="F2355" s="8"/>
      <c r="G2355" s="10" t="str">
        <f aca="false">IF($A2355="","",UPPER(SUBSTITUTE(SUBSTITUTE(SUBSTITUTE(SUBSTITUTE($A2355," ",""),"(주)",""),"주식회사",""),"㈜","")))</f>
        <v/>
      </c>
      <c r="H2355" s="10" t="str">
        <f aca="false">IF($B2355="","",SUBSTITUTE(SUBSTITUTE(SUBSTITUTE($B2355,"-","")," ",""),".",""))</f>
        <v/>
      </c>
      <c r="I2355" s="10" t="str">
        <f aca="false">IF($D2355="","",SUBSTITUTE(SUBSTITUTE(SUBSTITUTE($D2355,"-","")," ",""),".",""))</f>
        <v/>
      </c>
      <c r="J2355" s="10" t="str">
        <f aca="false">IF($E2355="","",UPPER(SUBSTITUTE($E2355," ","")))</f>
        <v/>
      </c>
      <c r="K2355" s="10" t="str">
        <f aca="false">IF($A2355="","",$G2355&amp;"|"&amp;$J2355)</f>
        <v/>
      </c>
      <c r="L2355" s="10" t="str">
        <f aca="false">IF($A2355="","",ROW()-2)</f>
        <v/>
      </c>
      <c r="M2355" s="10" t="str">
        <f aca="false">IF($A2355="","",ROW())</f>
        <v/>
      </c>
    </row>
    <row r="2356" customFormat="false" ht="15" hidden="false" customHeight="true" outlineLevel="0" collapsed="false">
      <c r="A2356" s="8"/>
      <c r="B2356" s="8"/>
      <c r="C2356" s="8"/>
      <c r="D2356" s="8"/>
      <c r="E2356" s="8"/>
      <c r="F2356" s="8"/>
      <c r="G2356" s="10" t="str">
        <f aca="false">IF($A2356="","",UPPER(SUBSTITUTE(SUBSTITUTE(SUBSTITUTE(SUBSTITUTE($A2356," ",""),"(주)",""),"주식회사",""),"㈜","")))</f>
        <v/>
      </c>
      <c r="H2356" s="10" t="str">
        <f aca="false">IF($B2356="","",SUBSTITUTE(SUBSTITUTE(SUBSTITUTE($B2356,"-","")," ",""),".",""))</f>
        <v/>
      </c>
      <c r="I2356" s="10" t="str">
        <f aca="false">IF($D2356="","",SUBSTITUTE(SUBSTITUTE(SUBSTITUTE($D2356,"-","")," ",""),".",""))</f>
        <v/>
      </c>
      <c r="J2356" s="10" t="str">
        <f aca="false">IF($E2356="","",UPPER(SUBSTITUTE($E2356," ","")))</f>
        <v/>
      </c>
      <c r="K2356" s="10" t="str">
        <f aca="false">IF($A2356="","",$G2356&amp;"|"&amp;$J2356)</f>
        <v/>
      </c>
      <c r="L2356" s="10" t="str">
        <f aca="false">IF($A2356="","",ROW()-2)</f>
        <v/>
      </c>
      <c r="M2356" s="10" t="str">
        <f aca="false">IF($A2356="","",ROW())</f>
        <v/>
      </c>
    </row>
    <row r="2357" customFormat="false" ht="15" hidden="false" customHeight="true" outlineLevel="0" collapsed="false">
      <c r="A2357" s="8"/>
      <c r="B2357" s="8"/>
      <c r="C2357" s="8"/>
      <c r="D2357" s="8"/>
      <c r="E2357" s="8"/>
      <c r="F2357" s="8"/>
      <c r="G2357" s="10" t="str">
        <f aca="false">IF($A2357="","",UPPER(SUBSTITUTE(SUBSTITUTE(SUBSTITUTE(SUBSTITUTE($A2357," ",""),"(주)",""),"주식회사",""),"㈜","")))</f>
        <v/>
      </c>
      <c r="H2357" s="10" t="str">
        <f aca="false">IF($B2357="","",SUBSTITUTE(SUBSTITUTE(SUBSTITUTE($B2357,"-","")," ",""),".",""))</f>
        <v/>
      </c>
      <c r="I2357" s="10" t="str">
        <f aca="false">IF($D2357="","",SUBSTITUTE(SUBSTITUTE(SUBSTITUTE($D2357,"-","")," ",""),".",""))</f>
        <v/>
      </c>
      <c r="J2357" s="10" t="str">
        <f aca="false">IF($E2357="","",UPPER(SUBSTITUTE($E2357," ","")))</f>
        <v/>
      </c>
      <c r="K2357" s="10" t="str">
        <f aca="false">IF($A2357="","",$G2357&amp;"|"&amp;$J2357)</f>
        <v/>
      </c>
      <c r="L2357" s="10" t="str">
        <f aca="false">IF($A2357="","",ROW()-2)</f>
        <v/>
      </c>
      <c r="M2357" s="10" t="str">
        <f aca="false">IF($A2357="","",ROW())</f>
        <v/>
      </c>
    </row>
    <row r="2358" customFormat="false" ht="15" hidden="false" customHeight="true" outlineLevel="0" collapsed="false">
      <c r="A2358" s="8"/>
      <c r="B2358" s="8"/>
      <c r="C2358" s="8"/>
      <c r="D2358" s="8"/>
      <c r="E2358" s="8"/>
      <c r="F2358" s="8"/>
      <c r="G2358" s="10" t="str">
        <f aca="false">IF($A2358="","",UPPER(SUBSTITUTE(SUBSTITUTE(SUBSTITUTE(SUBSTITUTE($A2358," ",""),"(주)",""),"주식회사",""),"㈜","")))</f>
        <v/>
      </c>
      <c r="H2358" s="10" t="str">
        <f aca="false">IF($B2358="","",SUBSTITUTE(SUBSTITUTE(SUBSTITUTE($B2358,"-","")," ",""),".",""))</f>
        <v/>
      </c>
      <c r="I2358" s="10" t="str">
        <f aca="false">IF($D2358="","",SUBSTITUTE(SUBSTITUTE(SUBSTITUTE($D2358,"-","")," ",""),".",""))</f>
        <v/>
      </c>
      <c r="J2358" s="10" t="str">
        <f aca="false">IF($E2358="","",UPPER(SUBSTITUTE($E2358," ","")))</f>
        <v/>
      </c>
      <c r="K2358" s="10" t="str">
        <f aca="false">IF($A2358="","",$G2358&amp;"|"&amp;$J2358)</f>
        <v/>
      </c>
      <c r="L2358" s="10" t="str">
        <f aca="false">IF($A2358="","",ROW()-2)</f>
        <v/>
      </c>
      <c r="M2358" s="10" t="str">
        <f aca="false">IF($A2358="","",ROW())</f>
        <v/>
      </c>
    </row>
    <row r="2359" customFormat="false" ht="15" hidden="false" customHeight="true" outlineLevel="0" collapsed="false">
      <c r="A2359" s="8"/>
      <c r="B2359" s="8"/>
      <c r="C2359" s="8"/>
      <c r="D2359" s="8"/>
      <c r="E2359" s="8"/>
      <c r="F2359" s="8"/>
      <c r="G2359" s="10" t="str">
        <f aca="false">IF($A2359="","",UPPER(SUBSTITUTE(SUBSTITUTE(SUBSTITUTE(SUBSTITUTE($A2359," ",""),"(주)",""),"주식회사",""),"㈜","")))</f>
        <v/>
      </c>
      <c r="H2359" s="10" t="str">
        <f aca="false">IF($B2359="","",SUBSTITUTE(SUBSTITUTE(SUBSTITUTE($B2359,"-","")," ",""),".",""))</f>
        <v/>
      </c>
      <c r="I2359" s="10" t="str">
        <f aca="false">IF($D2359="","",SUBSTITUTE(SUBSTITUTE(SUBSTITUTE($D2359,"-","")," ",""),".",""))</f>
        <v/>
      </c>
      <c r="J2359" s="10" t="str">
        <f aca="false">IF($E2359="","",UPPER(SUBSTITUTE($E2359," ","")))</f>
        <v/>
      </c>
      <c r="K2359" s="10" t="str">
        <f aca="false">IF($A2359="","",$G2359&amp;"|"&amp;$J2359)</f>
        <v/>
      </c>
      <c r="L2359" s="10" t="str">
        <f aca="false">IF($A2359="","",ROW()-2)</f>
        <v/>
      </c>
      <c r="M2359" s="10" t="str">
        <f aca="false">IF($A2359="","",ROW())</f>
        <v/>
      </c>
    </row>
    <row r="2360" customFormat="false" ht="15" hidden="false" customHeight="true" outlineLevel="0" collapsed="false">
      <c r="A2360" s="8"/>
      <c r="B2360" s="8"/>
      <c r="C2360" s="8"/>
      <c r="D2360" s="8"/>
      <c r="E2360" s="8"/>
      <c r="F2360" s="8"/>
      <c r="G2360" s="10" t="str">
        <f aca="false">IF($A2360="","",UPPER(SUBSTITUTE(SUBSTITUTE(SUBSTITUTE(SUBSTITUTE($A2360," ",""),"(주)",""),"주식회사",""),"㈜","")))</f>
        <v/>
      </c>
      <c r="H2360" s="10" t="str">
        <f aca="false">IF($B2360="","",SUBSTITUTE(SUBSTITUTE(SUBSTITUTE($B2360,"-","")," ",""),".",""))</f>
        <v/>
      </c>
      <c r="I2360" s="10" t="str">
        <f aca="false">IF($D2360="","",SUBSTITUTE(SUBSTITUTE(SUBSTITUTE($D2360,"-","")," ",""),".",""))</f>
        <v/>
      </c>
      <c r="J2360" s="10" t="str">
        <f aca="false">IF($E2360="","",UPPER(SUBSTITUTE($E2360," ","")))</f>
        <v/>
      </c>
      <c r="K2360" s="10" t="str">
        <f aca="false">IF($A2360="","",$G2360&amp;"|"&amp;$J2360)</f>
        <v/>
      </c>
      <c r="L2360" s="10" t="str">
        <f aca="false">IF($A2360="","",ROW()-2)</f>
        <v/>
      </c>
      <c r="M2360" s="10" t="str">
        <f aca="false">IF($A2360="","",ROW())</f>
        <v/>
      </c>
    </row>
    <row r="2361" customFormat="false" ht="15" hidden="false" customHeight="true" outlineLevel="0" collapsed="false">
      <c r="A2361" s="8"/>
      <c r="B2361" s="8"/>
      <c r="C2361" s="8"/>
      <c r="D2361" s="8"/>
      <c r="E2361" s="8"/>
      <c r="F2361" s="8"/>
      <c r="G2361" s="10" t="str">
        <f aca="false">IF($A2361="","",UPPER(SUBSTITUTE(SUBSTITUTE(SUBSTITUTE(SUBSTITUTE($A2361," ",""),"(주)",""),"주식회사",""),"㈜","")))</f>
        <v/>
      </c>
      <c r="H2361" s="10" t="str">
        <f aca="false">IF($B2361="","",SUBSTITUTE(SUBSTITUTE(SUBSTITUTE($B2361,"-","")," ",""),".",""))</f>
        <v/>
      </c>
      <c r="I2361" s="10" t="str">
        <f aca="false">IF($D2361="","",SUBSTITUTE(SUBSTITUTE(SUBSTITUTE($D2361,"-","")," ",""),".",""))</f>
        <v/>
      </c>
      <c r="J2361" s="10" t="str">
        <f aca="false">IF($E2361="","",UPPER(SUBSTITUTE($E2361," ","")))</f>
        <v/>
      </c>
      <c r="K2361" s="10" t="str">
        <f aca="false">IF($A2361="","",$G2361&amp;"|"&amp;$J2361)</f>
        <v/>
      </c>
      <c r="L2361" s="10" t="str">
        <f aca="false">IF($A2361="","",ROW()-2)</f>
        <v/>
      </c>
      <c r="M2361" s="10" t="str">
        <f aca="false">IF($A2361="","",ROW())</f>
        <v/>
      </c>
    </row>
    <row r="2362" customFormat="false" ht="15" hidden="false" customHeight="true" outlineLevel="0" collapsed="false">
      <c r="A2362" s="8"/>
      <c r="B2362" s="8"/>
      <c r="C2362" s="8"/>
      <c r="D2362" s="8"/>
      <c r="E2362" s="8"/>
      <c r="F2362" s="8"/>
      <c r="G2362" s="10" t="str">
        <f aca="false">IF($A2362="","",UPPER(SUBSTITUTE(SUBSTITUTE(SUBSTITUTE(SUBSTITUTE($A2362," ",""),"(주)",""),"주식회사",""),"㈜","")))</f>
        <v/>
      </c>
      <c r="H2362" s="10" t="str">
        <f aca="false">IF($B2362="","",SUBSTITUTE(SUBSTITUTE(SUBSTITUTE($B2362,"-","")," ",""),".",""))</f>
        <v/>
      </c>
      <c r="I2362" s="10" t="str">
        <f aca="false">IF($D2362="","",SUBSTITUTE(SUBSTITUTE(SUBSTITUTE($D2362,"-","")," ",""),".",""))</f>
        <v/>
      </c>
      <c r="J2362" s="10" t="str">
        <f aca="false">IF($E2362="","",UPPER(SUBSTITUTE($E2362," ","")))</f>
        <v/>
      </c>
      <c r="K2362" s="10" t="str">
        <f aca="false">IF($A2362="","",$G2362&amp;"|"&amp;$J2362)</f>
        <v/>
      </c>
      <c r="L2362" s="10" t="str">
        <f aca="false">IF($A2362="","",ROW()-2)</f>
        <v/>
      </c>
      <c r="M2362" s="10" t="str">
        <f aca="false">IF($A2362="","",ROW())</f>
        <v/>
      </c>
    </row>
    <row r="2363" customFormat="false" ht="15" hidden="false" customHeight="true" outlineLevel="0" collapsed="false">
      <c r="A2363" s="8"/>
      <c r="B2363" s="8"/>
      <c r="C2363" s="8"/>
      <c r="D2363" s="8"/>
      <c r="E2363" s="8"/>
      <c r="F2363" s="8"/>
      <c r="G2363" s="10" t="str">
        <f aca="false">IF($A2363="","",UPPER(SUBSTITUTE(SUBSTITUTE(SUBSTITUTE(SUBSTITUTE($A2363," ",""),"(주)",""),"주식회사",""),"㈜","")))</f>
        <v/>
      </c>
      <c r="H2363" s="10" t="str">
        <f aca="false">IF($B2363="","",SUBSTITUTE(SUBSTITUTE(SUBSTITUTE($B2363,"-","")," ",""),".",""))</f>
        <v/>
      </c>
      <c r="I2363" s="10" t="str">
        <f aca="false">IF($D2363="","",SUBSTITUTE(SUBSTITUTE(SUBSTITUTE($D2363,"-","")," ",""),".",""))</f>
        <v/>
      </c>
      <c r="J2363" s="10" t="str">
        <f aca="false">IF($E2363="","",UPPER(SUBSTITUTE($E2363," ","")))</f>
        <v/>
      </c>
      <c r="K2363" s="10" t="str">
        <f aca="false">IF($A2363="","",$G2363&amp;"|"&amp;$J2363)</f>
        <v/>
      </c>
      <c r="L2363" s="10" t="str">
        <f aca="false">IF($A2363="","",ROW()-2)</f>
        <v/>
      </c>
      <c r="M2363" s="10" t="str">
        <f aca="false">IF($A2363="","",ROW())</f>
        <v/>
      </c>
    </row>
    <row r="2364" customFormat="false" ht="15" hidden="false" customHeight="true" outlineLevel="0" collapsed="false">
      <c r="A2364" s="8"/>
      <c r="B2364" s="8"/>
      <c r="C2364" s="8"/>
      <c r="D2364" s="8"/>
      <c r="E2364" s="8"/>
      <c r="F2364" s="8"/>
      <c r="G2364" s="10" t="str">
        <f aca="false">IF($A2364="","",UPPER(SUBSTITUTE(SUBSTITUTE(SUBSTITUTE(SUBSTITUTE($A2364," ",""),"(주)",""),"주식회사",""),"㈜","")))</f>
        <v/>
      </c>
      <c r="H2364" s="10" t="str">
        <f aca="false">IF($B2364="","",SUBSTITUTE(SUBSTITUTE(SUBSTITUTE($B2364,"-","")," ",""),".",""))</f>
        <v/>
      </c>
      <c r="I2364" s="10" t="str">
        <f aca="false">IF($D2364="","",SUBSTITUTE(SUBSTITUTE(SUBSTITUTE($D2364,"-","")," ",""),".",""))</f>
        <v/>
      </c>
      <c r="J2364" s="10" t="str">
        <f aca="false">IF($E2364="","",UPPER(SUBSTITUTE($E2364," ","")))</f>
        <v/>
      </c>
      <c r="K2364" s="10" t="str">
        <f aca="false">IF($A2364="","",$G2364&amp;"|"&amp;$J2364)</f>
        <v/>
      </c>
      <c r="L2364" s="10" t="str">
        <f aca="false">IF($A2364="","",ROW()-2)</f>
        <v/>
      </c>
      <c r="M2364" s="10" t="str">
        <f aca="false">IF($A2364="","",ROW())</f>
        <v/>
      </c>
    </row>
    <row r="2365" customFormat="false" ht="15" hidden="false" customHeight="true" outlineLevel="0" collapsed="false">
      <c r="A2365" s="8"/>
      <c r="B2365" s="8"/>
      <c r="C2365" s="8"/>
      <c r="D2365" s="8"/>
      <c r="E2365" s="8"/>
      <c r="F2365" s="8"/>
      <c r="G2365" s="10" t="str">
        <f aca="false">IF($A2365="","",UPPER(SUBSTITUTE(SUBSTITUTE(SUBSTITUTE(SUBSTITUTE($A2365," ",""),"(주)",""),"주식회사",""),"㈜","")))</f>
        <v/>
      </c>
      <c r="H2365" s="10" t="str">
        <f aca="false">IF($B2365="","",SUBSTITUTE(SUBSTITUTE(SUBSTITUTE($B2365,"-","")," ",""),".",""))</f>
        <v/>
      </c>
      <c r="I2365" s="10" t="str">
        <f aca="false">IF($D2365="","",SUBSTITUTE(SUBSTITUTE(SUBSTITUTE($D2365,"-","")," ",""),".",""))</f>
        <v/>
      </c>
      <c r="J2365" s="10" t="str">
        <f aca="false">IF($E2365="","",UPPER(SUBSTITUTE($E2365," ","")))</f>
        <v/>
      </c>
      <c r="K2365" s="10" t="str">
        <f aca="false">IF($A2365="","",$G2365&amp;"|"&amp;$J2365)</f>
        <v/>
      </c>
      <c r="L2365" s="10" t="str">
        <f aca="false">IF($A2365="","",ROW()-2)</f>
        <v/>
      </c>
      <c r="M2365" s="10" t="str">
        <f aca="false">IF($A2365="","",ROW())</f>
        <v/>
      </c>
    </row>
    <row r="2366" customFormat="false" ht="15" hidden="false" customHeight="true" outlineLevel="0" collapsed="false">
      <c r="A2366" s="8"/>
      <c r="B2366" s="8"/>
      <c r="C2366" s="8"/>
      <c r="D2366" s="8"/>
      <c r="E2366" s="8"/>
      <c r="F2366" s="8"/>
      <c r="G2366" s="10" t="str">
        <f aca="false">IF($A2366="","",UPPER(SUBSTITUTE(SUBSTITUTE(SUBSTITUTE(SUBSTITUTE($A2366," ",""),"(주)",""),"주식회사",""),"㈜","")))</f>
        <v/>
      </c>
      <c r="H2366" s="10" t="str">
        <f aca="false">IF($B2366="","",SUBSTITUTE(SUBSTITUTE(SUBSTITUTE($B2366,"-","")," ",""),".",""))</f>
        <v/>
      </c>
      <c r="I2366" s="10" t="str">
        <f aca="false">IF($D2366="","",SUBSTITUTE(SUBSTITUTE(SUBSTITUTE($D2366,"-","")," ",""),".",""))</f>
        <v/>
      </c>
      <c r="J2366" s="10" t="str">
        <f aca="false">IF($E2366="","",UPPER(SUBSTITUTE($E2366," ","")))</f>
        <v/>
      </c>
      <c r="K2366" s="10" t="str">
        <f aca="false">IF($A2366="","",$G2366&amp;"|"&amp;$J2366)</f>
        <v/>
      </c>
      <c r="L2366" s="10" t="str">
        <f aca="false">IF($A2366="","",ROW()-2)</f>
        <v/>
      </c>
      <c r="M2366" s="10" t="str">
        <f aca="false">IF($A2366="","",ROW())</f>
        <v/>
      </c>
    </row>
    <row r="2367" customFormat="false" ht="15" hidden="false" customHeight="true" outlineLevel="0" collapsed="false">
      <c r="A2367" s="8"/>
      <c r="B2367" s="8"/>
      <c r="C2367" s="8"/>
      <c r="D2367" s="8"/>
      <c r="E2367" s="8"/>
      <c r="F2367" s="8"/>
      <c r="G2367" s="10" t="str">
        <f aca="false">IF($A2367="","",UPPER(SUBSTITUTE(SUBSTITUTE(SUBSTITUTE(SUBSTITUTE($A2367," ",""),"(주)",""),"주식회사",""),"㈜","")))</f>
        <v/>
      </c>
      <c r="H2367" s="10" t="str">
        <f aca="false">IF($B2367="","",SUBSTITUTE(SUBSTITUTE(SUBSTITUTE($B2367,"-","")," ",""),".",""))</f>
        <v/>
      </c>
      <c r="I2367" s="10" t="str">
        <f aca="false">IF($D2367="","",SUBSTITUTE(SUBSTITUTE(SUBSTITUTE($D2367,"-","")," ",""),".",""))</f>
        <v/>
      </c>
      <c r="J2367" s="10" t="str">
        <f aca="false">IF($E2367="","",UPPER(SUBSTITUTE($E2367," ","")))</f>
        <v/>
      </c>
      <c r="K2367" s="10" t="str">
        <f aca="false">IF($A2367="","",$G2367&amp;"|"&amp;$J2367)</f>
        <v/>
      </c>
      <c r="L2367" s="10" t="str">
        <f aca="false">IF($A2367="","",ROW()-2)</f>
        <v/>
      </c>
      <c r="M2367" s="10" t="str">
        <f aca="false">IF($A2367="","",ROW())</f>
        <v/>
      </c>
    </row>
    <row r="2368" customFormat="false" ht="15" hidden="false" customHeight="true" outlineLevel="0" collapsed="false">
      <c r="A2368" s="8"/>
      <c r="B2368" s="8"/>
      <c r="C2368" s="8"/>
      <c r="D2368" s="8"/>
      <c r="E2368" s="8"/>
      <c r="F2368" s="8"/>
      <c r="G2368" s="10" t="str">
        <f aca="false">IF($A2368="","",UPPER(SUBSTITUTE(SUBSTITUTE(SUBSTITUTE(SUBSTITUTE($A2368," ",""),"(주)",""),"주식회사",""),"㈜","")))</f>
        <v/>
      </c>
      <c r="H2368" s="10" t="str">
        <f aca="false">IF($B2368="","",SUBSTITUTE(SUBSTITUTE(SUBSTITUTE($B2368,"-","")," ",""),".",""))</f>
        <v/>
      </c>
      <c r="I2368" s="10" t="str">
        <f aca="false">IF($D2368="","",SUBSTITUTE(SUBSTITUTE(SUBSTITUTE($D2368,"-","")," ",""),".",""))</f>
        <v/>
      </c>
      <c r="J2368" s="10" t="str">
        <f aca="false">IF($E2368="","",UPPER(SUBSTITUTE($E2368," ","")))</f>
        <v/>
      </c>
      <c r="K2368" s="10" t="str">
        <f aca="false">IF($A2368="","",$G2368&amp;"|"&amp;$J2368)</f>
        <v/>
      </c>
      <c r="L2368" s="10" t="str">
        <f aca="false">IF($A2368="","",ROW()-2)</f>
        <v/>
      </c>
      <c r="M2368" s="10" t="str">
        <f aca="false">IF($A2368="","",ROW())</f>
        <v/>
      </c>
    </row>
    <row r="2369" customFormat="false" ht="15" hidden="false" customHeight="true" outlineLevel="0" collapsed="false">
      <c r="A2369" s="8"/>
      <c r="B2369" s="8"/>
      <c r="C2369" s="8"/>
      <c r="D2369" s="8"/>
      <c r="E2369" s="8"/>
      <c r="F2369" s="8"/>
      <c r="G2369" s="10" t="str">
        <f aca="false">IF($A2369="","",UPPER(SUBSTITUTE(SUBSTITUTE(SUBSTITUTE(SUBSTITUTE($A2369," ",""),"(주)",""),"주식회사",""),"㈜","")))</f>
        <v/>
      </c>
      <c r="H2369" s="10" t="str">
        <f aca="false">IF($B2369="","",SUBSTITUTE(SUBSTITUTE(SUBSTITUTE($B2369,"-","")," ",""),".",""))</f>
        <v/>
      </c>
      <c r="I2369" s="10" t="str">
        <f aca="false">IF($D2369="","",SUBSTITUTE(SUBSTITUTE(SUBSTITUTE($D2369,"-","")," ",""),".",""))</f>
        <v/>
      </c>
      <c r="J2369" s="10" t="str">
        <f aca="false">IF($E2369="","",UPPER(SUBSTITUTE($E2369," ","")))</f>
        <v/>
      </c>
      <c r="K2369" s="10" t="str">
        <f aca="false">IF($A2369="","",$G2369&amp;"|"&amp;$J2369)</f>
        <v/>
      </c>
      <c r="L2369" s="10" t="str">
        <f aca="false">IF($A2369="","",ROW()-2)</f>
        <v/>
      </c>
      <c r="M2369" s="10" t="str">
        <f aca="false">IF($A2369="","",ROW())</f>
        <v/>
      </c>
    </row>
    <row r="2370" customFormat="false" ht="15" hidden="false" customHeight="true" outlineLevel="0" collapsed="false">
      <c r="A2370" s="8"/>
      <c r="B2370" s="8"/>
      <c r="C2370" s="8"/>
      <c r="D2370" s="8"/>
      <c r="E2370" s="8"/>
      <c r="F2370" s="8"/>
      <c r="G2370" s="10" t="str">
        <f aca="false">IF($A2370="","",UPPER(SUBSTITUTE(SUBSTITUTE(SUBSTITUTE(SUBSTITUTE($A2370," ",""),"(주)",""),"주식회사",""),"㈜","")))</f>
        <v/>
      </c>
      <c r="H2370" s="10" t="str">
        <f aca="false">IF($B2370="","",SUBSTITUTE(SUBSTITUTE(SUBSTITUTE($B2370,"-","")," ",""),".",""))</f>
        <v/>
      </c>
      <c r="I2370" s="10" t="str">
        <f aca="false">IF($D2370="","",SUBSTITUTE(SUBSTITUTE(SUBSTITUTE($D2370,"-","")," ",""),".",""))</f>
        <v/>
      </c>
      <c r="J2370" s="10" t="str">
        <f aca="false">IF($E2370="","",UPPER(SUBSTITUTE($E2370," ","")))</f>
        <v/>
      </c>
      <c r="K2370" s="10" t="str">
        <f aca="false">IF($A2370="","",$G2370&amp;"|"&amp;$J2370)</f>
        <v/>
      </c>
      <c r="L2370" s="10" t="str">
        <f aca="false">IF($A2370="","",ROW()-2)</f>
        <v/>
      </c>
      <c r="M2370" s="10" t="str">
        <f aca="false">IF($A2370="","",ROW())</f>
        <v/>
      </c>
    </row>
    <row r="2371" customFormat="false" ht="15" hidden="false" customHeight="true" outlineLevel="0" collapsed="false">
      <c r="A2371" s="8"/>
      <c r="B2371" s="8"/>
      <c r="C2371" s="8"/>
      <c r="D2371" s="8"/>
      <c r="E2371" s="8"/>
      <c r="F2371" s="8"/>
      <c r="G2371" s="10" t="str">
        <f aca="false">IF($A2371="","",UPPER(SUBSTITUTE(SUBSTITUTE(SUBSTITUTE(SUBSTITUTE($A2371," ",""),"(주)",""),"주식회사",""),"㈜","")))</f>
        <v/>
      </c>
      <c r="H2371" s="10" t="str">
        <f aca="false">IF($B2371="","",SUBSTITUTE(SUBSTITUTE(SUBSTITUTE($B2371,"-","")," ",""),".",""))</f>
        <v/>
      </c>
      <c r="I2371" s="10" t="str">
        <f aca="false">IF($D2371="","",SUBSTITUTE(SUBSTITUTE(SUBSTITUTE($D2371,"-","")," ",""),".",""))</f>
        <v/>
      </c>
      <c r="J2371" s="10" t="str">
        <f aca="false">IF($E2371="","",UPPER(SUBSTITUTE($E2371," ","")))</f>
        <v/>
      </c>
      <c r="K2371" s="10" t="str">
        <f aca="false">IF($A2371="","",$G2371&amp;"|"&amp;$J2371)</f>
        <v/>
      </c>
      <c r="L2371" s="10" t="str">
        <f aca="false">IF($A2371="","",ROW()-2)</f>
        <v/>
      </c>
      <c r="M2371" s="10" t="str">
        <f aca="false">IF($A2371="","",ROW())</f>
        <v/>
      </c>
    </row>
    <row r="2372" customFormat="false" ht="15" hidden="false" customHeight="true" outlineLevel="0" collapsed="false">
      <c r="A2372" s="8"/>
      <c r="B2372" s="8"/>
      <c r="C2372" s="8"/>
      <c r="D2372" s="8"/>
      <c r="E2372" s="8"/>
      <c r="F2372" s="8"/>
      <c r="G2372" s="10" t="str">
        <f aca="false">IF($A2372="","",UPPER(SUBSTITUTE(SUBSTITUTE(SUBSTITUTE(SUBSTITUTE($A2372," ",""),"(주)",""),"주식회사",""),"㈜","")))</f>
        <v/>
      </c>
      <c r="H2372" s="10" t="str">
        <f aca="false">IF($B2372="","",SUBSTITUTE(SUBSTITUTE(SUBSTITUTE($B2372,"-","")," ",""),".",""))</f>
        <v/>
      </c>
      <c r="I2372" s="10" t="str">
        <f aca="false">IF($D2372="","",SUBSTITUTE(SUBSTITUTE(SUBSTITUTE($D2372,"-","")," ",""),".",""))</f>
        <v/>
      </c>
      <c r="J2372" s="10" t="str">
        <f aca="false">IF($E2372="","",UPPER(SUBSTITUTE($E2372," ","")))</f>
        <v/>
      </c>
      <c r="K2372" s="10" t="str">
        <f aca="false">IF($A2372="","",$G2372&amp;"|"&amp;$J2372)</f>
        <v/>
      </c>
      <c r="L2372" s="10" t="str">
        <f aca="false">IF($A2372="","",ROW()-2)</f>
        <v/>
      </c>
      <c r="M2372" s="10" t="str">
        <f aca="false">IF($A2372="","",ROW())</f>
        <v/>
      </c>
    </row>
    <row r="2373" customFormat="false" ht="15" hidden="false" customHeight="true" outlineLevel="0" collapsed="false">
      <c r="A2373" s="8"/>
      <c r="B2373" s="8"/>
      <c r="C2373" s="8"/>
      <c r="D2373" s="8"/>
      <c r="E2373" s="8"/>
      <c r="F2373" s="8"/>
      <c r="G2373" s="10" t="str">
        <f aca="false">IF($A2373="","",UPPER(SUBSTITUTE(SUBSTITUTE(SUBSTITUTE(SUBSTITUTE($A2373," ",""),"(주)",""),"주식회사",""),"㈜","")))</f>
        <v/>
      </c>
      <c r="H2373" s="10" t="str">
        <f aca="false">IF($B2373="","",SUBSTITUTE(SUBSTITUTE(SUBSTITUTE($B2373,"-","")," ",""),".",""))</f>
        <v/>
      </c>
      <c r="I2373" s="10" t="str">
        <f aca="false">IF($D2373="","",SUBSTITUTE(SUBSTITUTE(SUBSTITUTE($D2373,"-","")," ",""),".",""))</f>
        <v/>
      </c>
      <c r="J2373" s="10" t="str">
        <f aca="false">IF($E2373="","",UPPER(SUBSTITUTE($E2373," ","")))</f>
        <v/>
      </c>
      <c r="K2373" s="10" t="str">
        <f aca="false">IF($A2373="","",$G2373&amp;"|"&amp;$J2373)</f>
        <v/>
      </c>
      <c r="L2373" s="10" t="str">
        <f aca="false">IF($A2373="","",ROW()-2)</f>
        <v/>
      </c>
      <c r="M2373" s="10" t="str">
        <f aca="false">IF($A2373="","",ROW())</f>
        <v/>
      </c>
    </row>
    <row r="2374" customFormat="false" ht="15" hidden="false" customHeight="true" outlineLevel="0" collapsed="false">
      <c r="A2374" s="8"/>
      <c r="B2374" s="8"/>
      <c r="C2374" s="8"/>
      <c r="D2374" s="8"/>
      <c r="E2374" s="8"/>
      <c r="F2374" s="8"/>
      <c r="G2374" s="10" t="str">
        <f aca="false">IF($A2374="","",UPPER(SUBSTITUTE(SUBSTITUTE(SUBSTITUTE(SUBSTITUTE($A2374," ",""),"(주)",""),"주식회사",""),"㈜","")))</f>
        <v/>
      </c>
      <c r="H2374" s="10" t="str">
        <f aca="false">IF($B2374="","",SUBSTITUTE(SUBSTITUTE(SUBSTITUTE($B2374,"-","")," ",""),".",""))</f>
        <v/>
      </c>
      <c r="I2374" s="10" t="str">
        <f aca="false">IF($D2374="","",SUBSTITUTE(SUBSTITUTE(SUBSTITUTE($D2374,"-","")," ",""),".",""))</f>
        <v/>
      </c>
      <c r="J2374" s="10" t="str">
        <f aca="false">IF($E2374="","",UPPER(SUBSTITUTE($E2374," ","")))</f>
        <v/>
      </c>
      <c r="K2374" s="10" t="str">
        <f aca="false">IF($A2374="","",$G2374&amp;"|"&amp;$J2374)</f>
        <v/>
      </c>
      <c r="L2374" s="10" t="str">
        <f aca="false">IF($A2374="","",ROW()-2)</f>
        <v/>
      </c>
      <c r="M2374" s="10" t="str">
        <f aca="false">IF($A2374="","",ROW())</f>
        <v/>
      </c>
    </row>
    <row r="2375" customFormat="false" ht="15" hidden="false" customHeight="true" outlineLevel="0" collapsed="false">
      <c r="A2375" s="8"/>
      <c r="B2375" s="8"/>
      <c r="C2375" s="8"/>
      <c r="D2375" s="8"/>
      <c r="E2375" s="8"/>
      <c r="F2375" s="8"/>
      <c r="G2375" s="10" t="str">
        <f aca="false">IF($A2375="","",UPPER(SUBSTITUTE(SUBSTITUTE(SUBSTITUTE(SUBSTITUTE($A2375," ",""),"(주)",""),"주식회사",""),"㈜","")))</f>
        <v/>
      </c>
      <c r="H2375" s="10" t="str">
        <f aca="false">IF($B2375="","",SUBSTITUTE(SUBSTITUTE(SUBSTITUTE($B2375,"-","")," ",""),".",""))</f>
        <v/>
      </c>
      <c r="I2375" s="10" t="str">
        <f aca="false">IF($D2375="","",SUBSTITUTE(SUBSTITUTE(SUBSTITUTE($D2375,"-","")," ",""),".",""))</f>
        <v/>
      </c>
      <c r="J2375" s="10" t="str">
        <f aca="false">IF($E2375="","",UPPER(SUBSTITUTE($E2375," ","")))</f>
        <v/>
      </c>
      <c r="K2375" s="10" t="str">
        <f aca="false">IF($A2375="","",$G2375&amp;"|"&amp;$J2375)</f>
        <v/>
      </c>
      <c r="L2375" s="10" t="str">
        <f aca="false">IF($A2375="","",ROW()-2)</f>
        <v/>
      </c>
      <c r="M2375" s="10" t="str">
        <f aca="false">IF($A2375="","",ROW())</f>
        <v/>
      </c>
    </row>
    <row r="2376" customFormat="false" ht="15" hidden="false" customHeight="true" outlineLevel="0" collapsed="false">
      <c r="A2376" s="8"/>
      <c r="B2376" s="8"/>
      <c r="C2376" s="8"/>
      <c r="D2376" s="8"/>
      <c r="E2376" s="8"/>
      <c r="F2376" s="8"/>
      <c r="G2376" s="10" t="str">
        <f aca="false">IF($A2376="","",UPPER(SUBSTITUTE(SUBSTITUTE(SUBSTITUTE(SUBSTITUTE($A2376," ",""),"(주)",""),"주식회사",""),"㈜","")))</f>
        <v/>
      </c>
      <c r="H2376" s="10" t="str">
        <f aca="false">IF($B2376="","",SUBSTITUTE(SUBSTITUTE(SUBSTITUTE($B2376,"-","")," ",""),".",""))</f>
        <v/>
      </c>
      <c r="I2376" s="10" t="str">
        <f aca="false">IF($D2376="","",SUBSTITUTE(SUBSTITUTE(SUBSTITUTE($D2376,"-","")," ",""),".",""))</f>
        <v/>
      </c>
      <c r="J2376" s="10" t="str">
        <f aca="false">IF($E2376="","",UPPER(SUBSTITUTE($E2376," ","")))</f>
        <v/>
      </c>
      <c r="K2376" s="10" t="str">
        <f aca="false">IF($A2376="","",$G2376&amp;"|"&amp;$J2376)</f>
        <v/>
      </c>
      <c r="L2376" s="10" t="str">
        <f aca="false">IF($A2376="","",ROW()-2)</f>
        <v/>
      </c>
      <c r="M2376" s="10" t="str">
        <f aca="false">IF($A2376="","",ROW())</f>
        <v/>
      </c>
    </row>
    <row r="2377" customFormat="false" ht="15" hidden="false" customHeight="true" outlineLevel="0" collapsed="false">
      <c r="A2377" s="8"/>
      <c r="B2377" s="8"/>
      <c r="C2377" s="8"/>
      <c r="D2377" s="8"/>
      <c r="E2377" s="8"/>
      <c r="F2377" s="8"/>
      <c r="G2377" s="10" t="str">
        <f aca="false">IF($A2377="","",UPPER(SUBSTITUTE(SUBSTITUTE(SUBSTITUTE(SUBSTITUTE($A2377," ",""),"(주)",""),"주식회사",""),"㈜","")))</f>
        <v/>
      </c>
      <c r="H2377" s="10" t="str">
        <f aca="false">IF($B2377="","",SUBSTITUTE(SUBSTITUTE(SUBSTITUTE($B2377,"-","")," ",""),".",""))</f>
        <v/>
      </c>
      <c r="I2377" s="10" t="str">
        <f aca="false">IF($D2377="","",SUBSTITUTE(SUBSTITUTE(SUBSTITUTE($D2377,"-","")," ",""),".",""))</f>
        <v/>
      </c>
      <c r="J2377" s="10" t="str">
        <f aca="false">IF($E2377="","",UPPER(SUBSTITUTE($E2377," ","")))</f>
        <v/>
      </c>
      <c r="K2377" s="10" t="str">
        <f aca="false">IF($A2377="","",$G2377&amp;"|"&amp;$J2377)</f>
        <v/>
      </c>
      <c r="L2377" s="10" t="str">
        <f aca="false">IF($A2377="","",ROW()-2)</f>
        <v/>
      </c>
      <c r="M2377" s="10" t="str">
        <f aca="false">IF($A2377="","",ROW())</f>
        <v/>
      </c>
    </row>
    <row r="2378" customFormat="false" ht="15" hidden="false" customHeight="true" outlineLevel="0" collapsed="false">
      <c r="A2378" s="8"/>
      <c r="B2378" s="8"/>
      <c r="C2378" s="8"/>
      <c r="D2378" s="8"/>
      <c r="E2378" s="8"/>
      <c r="F2378" s="8"/>
      <c r="G2378" s="10" t="str">
        <f aca="false">IF($A2378="","",UPPER(SUBSTITUTE(SUBSTITUTE(SUBSTITUTE(SUBSTITUTE($A2378," ",""),"(주)",""),"주식회사",""),"㈜","")))</f>
        <v/>
      </c>
      <c r="H2378" s="10" t="str">
        <f aca="false">IF($B2378="","",SUBSTITUTE(SUBSTITUTE(SUBSTITUTE($B2378,"-","")," ",""),".",""))</f>
        <v/>
      </c>
      <c r="I2378" s="10" t="str">
        <f aca="false">IF($D2378="","",SUBSTITUTE(SUBSTITUTE(SUBSTITUTE($D2378,"-","")," ",""),".",""))</f>
        <v/>
      </c>
      <c r="J2378" s="10" t="str">
        <f aca="false">IF($E2378="","",UPPER(SUBSTITUTE($E2378," ","")))</f>
        <v/>
      </c>
      <c r="K2378" s="10" t="str">
        <f aca="false">IF($A2378="","",$G2378&amp;"|"&amp;$J2378)</f>
        <v/>
      </c>
      <c r="L2378" s="10" t="str">
        <f aca="false">IF($A2378="","",ROW()-2)</f>
        <v/>
      </c>
      <c r="M2378" s="10" t="str">
        <f aca="false">IF($A2378="","",ROW())</f>
        <v/>
      </c>
    </row>
    <row r="2379" customFormat="false" ht="15" hidden="false" customHeight="true" outlineLevel="0" collapsed="false">
      <c r="A2379" s="8"/>
      <c r="B2379" s="8"/>
      <c r="C2379" s="8"/>
      <c r="D2379" s="8"/>
      <c r="E2379" s="8"/>
      <c r="F2379" s="8"/>
      <c r="G2379" s="10" t="str">
        <f aca="false">IF($A2379="","",UPPER(SUBSTITUTE(SUBSTITUTE(SUBSTITUTE(SUBSTITUTE($A2379," ",""),"(주)",""),"주식회사",""),"㈜","")))</f>
        <v/>
      </c>
      <c r="H2379" s="10" t="str">
        <f aca="false">IF($B2379="","",SUBSTITUTE(SUBSTITUTE(SUBSTITUTE($B2379,"-","")," ",""),".",""))</f>
        <v/>
      </c>
      <c r="I2379" s="10" t="str">
        <f aca="false">IF($D2379="","",SUBSTITUTE(SUBSTITUTE(SUBSTITUTE($D2379,"-","")," ",""),".",""))</f>
        <v/>
      </c>
      <c r="J2379" s="10" t="str">
        <f aca="false">IF($E2379="","",UPPER(SUBSTITUTE($E2379," ","")))</f>
        <v/>
      </c>
      <c r="K2379" s="10" t="str">
        <f aca="false">IF($A2379="","",$G2379&amp;"|"&amp;$J2379)</f>
        <v/>
      </c>
      <c r="L2379" s="10" t="str">
        <f aca="false">IF($A2379="","",ROW()-2)</f>
        <v/>
      </c>
      <c r="M2379" s="10" t="str">
        <f aca="false">IF($A2379="","",ROW())</f>
        <v/>
      </c>
    </row>
    <row r="2380" customFormat="false" ht="15" hidden="false" customHeight="true" outlineLevel="0" collapsed="false">
      <c r="A2380" s="8"/>
      <c r="B2380" s="8"/>
      <c r="C2380" s="8"/>
      <c r="D2380" s="8"/>
      <c r="E2380" s="8"/>
      <c r="F2380" s="8"/>
      <c r="G2380" s="10" t="str">
        <f aca="false">IF($A2380="","",UPPER(SUBSTITUTE(SUBSTITUTE(SUBSTITUTE(SUBSTITUTE($A2380," ",""),"(주)",""),"주식회사",""),"㈜","")))</f>
        <v/>
      </c>
      <c r="H2380" s="10" t="str">
        <f aca="false">IF($B2380="","",SUBSTITUTE(SUBSTITUTE(SUBSTITUTE($B2380,"-","")," ",""),".",""))</f>
        <v/>
      </c>
      <c r="I2380" s="10" t="str">
        <f aca="false">IF($D2380="","",SUBSTITUTE(SUBSTITUTE(SUBSTITUTE($D2380,"-","")," ",""),".",""))</f>
        <v/>
      </c>
      <c r="J2380" s="10" t="str">
        <f aca="false">IF($E2380="","",UPPER(SUBSTITUTE($E2380," ","")))</f>
        <v/>
      </c>
      <c r="K2380" s="10" t="str">
        <f aca="false">IF($A2380="","",$G2380&amp;"|"&amp;$J2380)</f>
        <v/>
      </c>
      <c r="L2380" s="10" t="str">
        <f aca="false">IF($A2380="","",ROW()-2)</f>
        <v/>
      </c>
      <c r="M2380" s="10" t="str">
        <f aca="false">IF($A2380="","",ROW())</f>
        <v/>
      </c>
    </row>
    <row r="2381" customFormat="false" ht="15" hidden="false" customHeight="true" outlineLevel="0" collapsed="false">
      <c r="A2381" s="8"/>
      <c r="B2381" s="8"/>
      <c r="C2381" s="8"/>
      <c r="D2381" s="8"/>
      <c r="E2381" s="8"/>
      <c r="F2381" s="8"/>
      <c r="G2381" s="10" t="str">
        <f aca="false">IF($A2381="","",UPPER(SUBSTITUTE(SUBSTITUTE(SUBSTITUTE(SUBSTITUTE($A2381," ",""),"(주)",""),"주식회사",""),"㈜","")))</f>
        <v/>
      </c>
      <c r="H2381" s="10" t="str">
        <f aca="false">IF($B2381="","",SUBSTITUTE(SUBSTITUTE(SUBSTITUTE($B2381,"-","")," ",""),".",""))</f>
        <v/>
      </c>
      <c r="I2381" s="10" t="str">
        <f aca="false">IF($D2381="","",SUBSTITUTE(SUBSTITUTE(SUBSTITUTE($D2381,"-","")," ",""),".",""))</f>
        <v/>
      </c>
      <c r="J2381" s="10" t="str">
        <f aca="false">IF($E2381="","",UPPER(SUBSTITUTE($E2381," ","")))</f>
        <v/>
      </c>
      <c r="K2381" s="10" t="str">
        <f aca="false">IF($A2381="","",$G2381&amp;"|"&amp;$J2381)</f>
        <v/>
      </c>
      <c r="L2381" s="10" t="str">
        <f aca="false">IF($A2381="","",ROW()-2)</f>
        <v/>
      </c>
      <c r="M2381" s="10" t="str">
        <f aca="false">IF($A2381="","",ROW())</f>
        <v/>
      </c>
    </row>
    <row r="2382" customFormat="false" ht="15" hidden="false" customHeight="true" outlineLevel="0" collapsed="false">
      <c r="A2382" s="8"/>
      <c r="B2382" s="8"/>
      <c r="C2382" s="8"/>
      <c r="D2382" s="8"/>
      <c r="E2382" s="8"/>
      <c r="F2382" s="8"/>
      <c r="G2382" s="10" t="str">
        <f aca="false">IF($A2382="","",UPPER(SUBSTITUTE(SUBSTITUTE(SUBSTITUTE(SUBSTITUTE($A2382," ",""),"(주)",""),"주식회사",""),"㈜","")))</f>
        <v/>
      </c>
      <c r="H2382" s="10" t="str">
        <f aca="false">IF($B2382="","",SUBSTITUTE(SUBSTITUTE(SUBSTITUTE($B2382,"-","")," ",""),".",""))</f>
        <v/>
      </c>
      <c r="I2382" s="10" t="str">
        <f aca="false">IF($D2382="","",SUBSTITUTE(SUBSTITUTE(SUBSTITUTE($D2382,"-","")," ",""),".",""))</f>
        <v/>
      </c>
      <c r="J2382" s="10" t="str">
        <f aca="false">IF($E2382="","",UPPER(SUBSTITUTE($E2382," ","")))</f>
        <v/>
      </c>
      <c r="K2382" s="10" t="str">
        <f aca="false">IF($A2382="","",$G2382&amp;"|"&amp;$J2382)</f>
        <v/>
      </c>
      <c r="L2382" s="10" t="str">
        <f aca="false">IF($A2382="","",ROW()-2)</f>
        <v/>
      </c>
      <c r="M2382" s="10" t="str">
        <f aca="false">IF($A2382="","",ROW())</f>
        <v/>
      </c>
    </row>
    <row r="2383" customFormat="false" ht="15" hidden="false" customHeight="true" outlineLevel="0" collapsed="false">
      <c r="A2383" s="8"/>
      <c r="B2383" s="8"/>
      <c r="C2383" s="8"/>
      <c r="D2383" s="8"/>
      <c r="E2383" s="8"/>
      <c r="F2383" s="8"/>
      <c r="G2383" s="10" t="str">
        <f aca="false">IF($A2383="","",UPPER(SUBSTITUTE(SUBSTITUTE(SUBSTITUTE(SUBSTITUTE($A2383," ",""),"(주)",""),"주식회사",""),"㈜","")))</f>
        <v/>
      </c>
      <c r="H2383" s="10" t="str">
        <f aca="false">IF($B2383="","",SUBSTITUTE(SUBSTITUTE(SUBSTITUTE($B2383,"-","")," ",""),".",""))</f>
        <v/>
      </c>
      <c r="I2383" s="10" t="str">
        <f aca="false">IF($D2383="","",SUBSTITUTE(SUBSTITUTE(SUBSTITUTE($D2383,"-","")," ",""),".",""))</f>
        <v/>
      </c>
      <c r="J2383" s="10" t="str">
        <f aca="false">IF($E2383="","",UPPER(SUBSTITUTE($E2383," ","")))</f>
        <v/>
      </c>
      <c r="K2383" s="10" t="str">
        <f aca="false">IF($A2383="","",$G2383&amp;"|"&amp;$J2383)</f>
        <v/>
      </c>
      <c r="L2383" s="10" t="str">
        <f aca="false">IF($A2383="","",ROW()-2)</f>
        <v/>
      </c>
      <c r="M2383" s="10" t="str">
        <f aca="false">IF($A2383="","",ROW())</f>
        <v/>
      </c>
    </row>
    <row r="2384" customFormat="false" ht="15" hidden="false" customHeight="true" outlineLevel="0" collapsed="false">
      <c r="A2384" s="8"/>
      <c r="B2384" s="8"/>
      <c r="C2384" s="8"/>
      <c r="D2384" s="8"/>
      <c r="E2384" s="8"/>
      <c r="F2384" s="8"/>
      <c r="G2384" s="10" t="str">
        <f aca="false">IF($A2384="","",UPPER(SUBSTITUTE(SUBSTITUTE(SUBSTITUTE(SUBSTITUTE($A2384," ",""),"(주)",""),"주식회사",""),"㈜","")))</f>
        <v/>
      </c>
      <c r="H2384" s="10" t="str">
        <f aca="false">IF($B2384="","",SUBSTITUTE(SUBSTITUTE(SUBSTITUTE($B2384,"-","")," ",""),".",""))</f>
        <v/>
      </c>
      <c r="I2384" s="10" t="str">
        <f aca="false">IF($D2384="","",SUBSTITUTE(SUBSTITUTE(SUBSTITUTE($D2384,"-","")," ",""),".",""))</f>
        <v/>
      </c>
      <c r="J2384" s="10" t="str">
        <f aca="false">IF($E2384="","",UPPER(SUBSTITUTE($E2384," ","")))</f>
        <v/>
      </c>
      <c r="K2384" s="10" t="str">
        <f aca="false">IF($A2384="","",$G2384&amp;"|"&amp;$J2384)</f>
        <v/>
      </c>
      <c r="L2384" s="10" t="str">
        <f aca="false">IF($A2384="","",ROW()-2)</f>
        <v/>
      </c>
      <c r="M2384" s="10" t="str">
        <f aca="false">IF($A2384="","",ROW())</f>
        <v/>
      </c>
    </row>
    <row r="2385" customFormat="false" ht="15" hidden="false" customHeight="true" outlineLevel="0" collapsed="false">
      <c r="A2385" s="8"/>
      <c r="B2385" s="8"/>
      <c r="C2385" s="8"/>
      <c r="D2385" s="8"/>
      <c r="E2385" s="8"/>
      <c r="F2385" s="8"/>
      <c r="G2385" s="10" t="str">
        <f aca="false">IF($A2385="","",UPPER(SUBSTITUTE(SUBSTITUTE(SUBSTITUTE(SUBSTITUTE($A2385," ",""),"(주)",""),"주식회사",""),"㈜","")))</f>
        <v/>
      </c>
      <c r="H2385" s="10" t="str">
        <f aca="false">IF($B2385="","",SUBSTITUTE(SUBSTITUTE(SUBSTITUTE($B2385,"-","")," ",""),".",""))</f>
        <v/>
      </c>
      <c r="I2385" s="10" t="str">
        <f aca="false">IF($D2385="","",SUBSTITUTE(SUBSTITUTE(SUBSTITUTE($D2385,"-","")," ",""),".",""))</f>
        <v/>
      </c>
      <c r="J2385" s="10" t="str">
        <f aca="false">IF($E2385="","",UPPER(SUBSTITUTE($E2385," ","")))</f>
        <v/>
      </c>
      <c r="K2385" s="10" t="str">
        <f aca="false">IF($A2385="","",$G2385&amp;"|"&amp;$J2385)</f>
        <v/>
      </c>
      <c r="L2385" s="10" t="str">
        <f aca="false">IF($A2385="","",ROW()-2)</f>
        <v/>
      </c>
      <c r="M2385" s="10" t="str">
        <f aca="false">IF($A2385="","",ROW())</f>
        <v/>
      </c>
    </row>
    <row r="2386" customFormat="false" ht="15" hidden="false" customHeight="true" outlineLevel="0" collapsed="false">
      <c r="A2386" s="8"/>
      <c r="B2386" s="8"/>
      <c r="C2386" s="8"/>
      <c r="D2386" s="8"/>
      <c r="E2386" s="8"/>
      <c r="F2386" s="8"/>
      <c r="G2386" s="10" t="str">
        <f aca="false">IF($A2386="","",UPPER(SUBSTITUTE(SUBSTITUTE(SUBSTITUTE(SUBSTITUTE($A2386," ",""),"(주)",""),"주식회사",""),"㈜","")))</f>
        <v/>
      </c>
      <c r="H2386" s="10" t="str">
        <f aca="false">IF($B2386="","",SUBSTITUTE(SUBSTITUTE(SUBSTITUTE($B2386,"-","")," ",""),".",""))</f>
        <v/>
      </c>
      <c r="I2386" s="10" t="str">
        <f aca="false">IF($D2386="","",SUBSTITUTE(SUBSTITUTE(SUBSTITUTE($D2386,"-","")," ",""),".",""))</f>
        <v/>
      </c>
      <c r="J2386" s="10" t="str">
        <f aca="false">IF($E2386="","",UPPER(SUBSTITUTE($E2386," ","")))</f>
        <v/>
      </c>
      <c r="K2386" s="10" t="str">
        <f aca="false">IF($A2386="","",$G2386&amp;"|"&amp;$J2386)</f>
        <v/>
      </c>
      <c r="L2386" s="10" t="str">
        <f aca="false">IF($A2386="","",ROW()-2)</f>
        <v/>
      </c>
      <c r="M2386" s="10" t="str">
        <f aca="false">IF($A2386="","",ROW())</f>
        <v/>
      </c>
    </row>
    <row r="2387" customFormat="false" ht="15" hidden="false" customHeight="true" outlineLevel="0" collapsed="false">
      <c r="A2387" s="8"/>
      <c r="B2387" s="8"/>
      <c r="C2387" s="8"/>
      <c r="D2387" s="8"/>
      <c r="E2387" s="8"/>
      <c r="F2387" s="8"/>
      <c r="G2387" s="10" t="str">
        <f aca="false">IF($A2387="","",UPPER(SUBSTITUTE(SUBSTITUTE(SUBSTITUTE(SUBSTITUTE($A2387," ",""),"(주)",""),"주식회사",""),"㈜","")))</f>
        <v/>
      </c>
      <c r="H2387" s="10" t="str">
        <f aca="false">IF($B2387="","",SUBSTITUTE(SUBSTITUTE(SUBSTITUTE($B2387,"-","")," ",""),".",""))</f>
        <v/>
      </c>
      <c r="I2387" s="10" t="str">
        <f aca="false">IF($D2387="","",SUBSTITUTE(SUBSTITUTE(SUBSTITUTE($D2387,"-","")," ",""),".",""))</f>
        <v/>
      </c>
      <c r="J2387" s="10" t="str">
        <f aca="false">IF($E2387="","",UPPER(SUBSTITUTE($E2387," ","")))</f>
        <v/>
      </c>
      <c r="K2387" s="10" t="str">
        <f aca="false">IF($A2387="","",$G2387&amp;"|"&amp;$J2387)</f>
        <v/>
      </c>
      <c r="L2387" s="10" t="str">
        <f aca="false">IF($A2387="","",ROW()-2)</f>
        <v/>
      </c>
      <c r="M2387" s="10" t="str">
        <f aca="false">IF($A2387="","",ROW())</f>
        <v/>
      </c>
    </row>
    <row r="2388" customFormat="false" ht="15" hidden="false" customHeight="true" outlineLevel="0" collapsed="false">
      <c r="A2388" s="8"/>
      <c r="B2388" s="8"/>
      <c r="C2388" s="8"/>
      <c r="D2388" s="8"/>
      <c r="E2388" s="8"/>
      <c r="F2388" s="8"/>
      <c r="G2388" s="10" t="str">
        <f aca="false">IF($A2388="","",UPPER(SUBSTITUTE(SUBSTITUTE(SUBSTITUTE(SUBSTITUTE($A2388," ",""),"(주)",""),"주식회사",""),"㈜","")))</f>
        <v/>
      </c>
      <c r="H2388" s="10" t="str">
        <f aca="false">IF($B2388="","",SUBSTITUTE(SUBSTITUTE(SUBSTITUTE($B2388,"-","")," ",""),".",""))</f>
        <v/>
      </c>
      <c r="I2388" s="10" t="str">
        <f aca="false">IF($D2388="","",SUBSTITUTE(SUBSTITUTE(SUBSTITUTE($D2388,"-","")," ",""),".",""))</f>
        <v/>
      </c>
      <c r="J2388" s="10" t="str">
        <f aca="false">IF($E2388="","",UPPER(SUBSTITUTE($E2388," ","")))</f>
        <v/>
      </c>
      <c r="K2388" s="10" t="str">
        <f aca="false">IF($A2388="","",$G2388&amp;"|"&amp;$J2388)</f>
        <v/>
      </c>
      <c r="L2388" s="10" t="str">
        <f aca="false">IF($A2388="","",ROW()-2)</f>
        <v/>
      </c>
      <c r="M2388" s="10" t="str">
        <f aca="false">IF($A2388="","",ROW())</f>
        <v/>
      </c>
    </row>
    <row r="2389" customFormat="false" ht="15" hidden="false" customHeight="true" outlineLevel="0" collapsed="false">
      <c r="A2389" s="8"/>
      <c r="B2389" s="8"/>
      <c r="C2389" s="8"/>
      <c r="D2389" s="8"/>
      <c r="E2389" s="8"/>
      <c r="F2389" s="8"/>
      <c r="G2389" s="10" t="str">
        <f aca="false">IF($A2389="","",UPPER(SUBSTITUTE(SUBSTITUTE(SUBSTITUTE(SUBSTITUTE($A2389," ",""),"(주)",""),"주식회사",""),"㈜","")))</f>
        <v/>
      </c>
      <c r="H2389" s="10" t="str">
        <f aca="false">IF($B2389="","",SUBSTITUTE(SUBSTITUTE(SUBSTITUTE($B2389,"-","")," ",""),".",""))</f>
        <v/>
      </c>
      <c r="I2389" s="10" t="str">
        <f aca="false">IF($D2389="","",SUBSTITUTE(SUBSTITUTE(SUBSTITUTE($D2389,"-","")," ",""),".",""))</f>
        <v/>
      </c>
      <c r="J2389" s="10" t="str">
        <f aca="false">IF($E2389="","",UPPER(SUBSTITUTE($E2389," ","")))</f>
        <v/>
      </c>
      <c r="K2389" s="10" t="str">
        <f aca="false">IF($A2389="","",$G2389&amp;"|"&amp;$J2389)</f>
        <v/>
      </c>
      <c r="L2389" s="10" t="str">
        <f aca="false">IF($A2389="","",ROW()-2)</f>
        <v/>
      </c>
      <c r="M2389" s="10" t="str">
        <f aca="false">IF($A2389="","",ROW())</f>
        <v/>
      </c>
    </row>
    <row r="2390" customFormat="false" ht="15" hidden="false" customHeight="true" outlineLevel="0" collapsed="false">
      <c r="A2390" s="8"/>
      <c r="B2390" s="8"/>
      <c r="C2390" s="8"/>
      <c r="D2390" s="8"/>
      <c r="E2390" s="8"/>
      <c r="F2390" s="8"/>
      <c r="G2390" s="10" t="str">
        <f aca="false">IF($A2390="","",UPPER(SUBSTITUTE(SUBSTITUTE(SUBSTITUTE(SUBSTITUTE($A2390," ",""),"(주)",""),"주식회사",""),"㈜","")))</f>
        <v/>
      </c>
      <c r="H2390" s="10" t="str">
        <f aca="false">IF($B2390="","",SUBSTITUTE(SUBSTITUTE(SUBSTITUTE($B2390,"-","")," ",""),".",""))</f>
        <v/>
      </c>
      <c r="I2390" s="10" t="str">
        <f aca="false">IF($D2390="","",SUBSTITUTE(SUBSTITUTE(SUBSTITUTE($D2390,"-","")," ",""),".",""))</f>
        <v/>
      </c>
      <c r="J2390" s="10" t="str">
        <f aca="false">IF($E2390="","",UPPER(SUBSTITUTE($E2390," ","")))</f>
        <v/>
      </c>
      <c r="K2390" s="10" t="str">
        <f aca="false">IF($A2390="","",$G2390&amp;"|"&amp;$J2390)</f>
        <v/>
      </c>
      <c r="L2390" s="10" t="str">
        <f aca="false">IF($A2390="","",ROW()-2)</f>
        <v/>
      </c>
      <c r="M2390" s="10" t="str">
        <f aca="false">IF($A2390="","",ROW())</f>
        <v/>
      </c>
    </row>
    <row r="2391" customFormat="false" ht="15" hidden="false" customHeight="true" outlineLevel="0" collapsed="false">
      <c r="A2391" s="8"/>
      <c r="B2391" s="8"/>
      <c r="C2391" s="8"/>
      <c r="D2391" s="8"/>
      <c r="E2391" s="8"/>
      <c r="F2391" s="8"/>
      <c r="G2391" s="10" t="str">
        <f aca="false">IF($A2391="","",UPPER(SUBSTITUTE(SUBSTITUTE(SUBSTITUTE(SUBSTITUTE($A2391," ",""),"(주)",""),"주식회사",""),"㈜","")))</f>
        <v/>
      </c>
      <c r="H2391" s="10" t="str">
        <f aca="false">IF($B2391="","",SUBSTITUTE(SUBSTITUTE(SUBSTITUTE($B2391,"-","")," ",""),".",""))</f>
        <v/>
      </c>
      <c r="I2391" s="10" t="str">
        <f aca="false">IF($D2391="","",SUBSTITUTE(SUBSTITUTE(SUBSTITUTE($D2391,"-","")," ",""),".",""))</f>
        <v/>
      </c>
      <c r="J2391" s="10" t="str">
        <f aca="false">IF($E2391="","",UPPER(SUBSTITUTE($E2391," ","")))</f>
        <v/>
      </c>
      <c r="K2391" s="10" t="str">
        <f aca="false">IF($A2391="","",$G2391&amp;"|"&amp;$J2391)</f>
        <v/>
      </c>
      <c r="L2391" s="10" t="str">
        <f aca="false">IF($A2391="","",ROW()-2)</f>
        <v/>
      </c>
      <c r="M2391" s="10" t="str">
        <f aca="false">IF($A2391="","",ROW())</f>
        <v/>
      </c>
    </row>
    <row r="2392" customFormat="false" ht="15" hidden="false" customHeight="true" outlineLevel="0" collapsed="false">
      <c r="A2392" s="8"/>
      <c r="B2392" s="8"/>
      <c r="C2392" s="8"/>
      <c r="D2392" s="8"/>
      <c r="E2392" s="8"/>
      <c r="F2392" s="8"/>
      <c r="G2392" s="10" t="str">
        <f aca="false">IF($A2392="","",UPPER(SUBSTITUTE(SUBSTITUTE(SUBSTITUTE(SUBSTITUTE($A2392," ",""),"(주)",""),"주식회사",""),"㈜","")))</f>
        <v/>
      </c>
      <c r="H2392" s="10" t="str">
        <f aca="false">IF($B2392="","",SUBSTITUTE(SUBSTITUTE(SUBSTITUTE($B2392,"-","")," ",""),".",""))</f>
        <v/>
      </c>
      <c r="I2392" s="10" t="str">
        <f aca="false">IF($D2392="","",SUBSTITUTE(SUBSTITUTE(SUBSTITUTE($D2392,"-","")," ",""),".",""))</f>
        <v/>
      </c>
      <c r="J2392" s="10" t="str">
        <f aca="false">IF($E2392="","",UPPER(SUBSTITUTE($E2392," ","")))</f>
        <v/>
      </c>
      <c r="K2392" s="10" t="str">
        <f aca="false">IF($A2392="","",$G2392&amp;"|"&amp;$J2392)</f>
        <v/>
      </c>
      <c r="L2392" s="10" t="str">
        <f aca="false">IF($A2392="","",ROW()-2)</f>
        <v/>
      </c>
      <c r="M2392" s="10" t="str">
        <f aca="false">IF($A2392="","",ROW())</f>
        <v/>
      </c>
    </row>
    <row r="2393" customFormat="false" ht="15" hidden="false" customHeight="true" outlineLevel="0" collapsed="false">
      <c r="A2393" s="8"/>
      <c r="B2393" s="8"/>
      <c r="C2393" s="8"/>
      <c r="D2393" s="8"/>
      <c r="E2393" s="8"/>
      <c r="F2393" s="8"/>
      <c r="G2393" s="10" t="str">
        <f aca="false">IF($A2393="","",UPPER(SUBSTITUTE(SUBSTITUTE(SUBSTITUTE(SUBSTITUTE($A2393," ",""),"(주)",""),"주식회사",""),"㈜","")))</f>
        <v/>
      </c>
      <c r="H2393" s="10" t="str">
        <f aca="false">IF($B2393="","",SUBSTITUTE(SUBSTITUTE(SUBSTITUTE($B2393,"-","")," ",""),".",""))</f>
        <v/>
      </c>
      <c r="I2393" s="10" t="str">
        <f aca="false">IF($D2393="","",SUBSTITUTE(SUBSTITUTE(SUBSTITUTE($D2393,"-","")," ",""),".",""))</f>
        <v/>
      </c>
      <c r="J2393" s="10" t="str">
        <f aca="false">IF($E2393="","",UPPER(SUBSTITUTE($E2393," ","")))</f>
        <v/>
      </c>
      <c r="K2393" s="10" t="str">
        <f aca="false">IF($A2393="","",$G2393&amp;"|"&amp;$J2393)</f>
        <v/>
      </c>
      <c r="L2393" s="10" t="str">
        <f aca="false">IF($A2393="","",ROW()-2)</f>
        <v/>
      </c>
      <c r="M2393" s="10" t="str">
        <f aca="false">IF($A2393="","",ROW())</f>
        <v/>
      </c>
    </row>
    <row r="2394" customFormat="false" ht="15" hidden="false" customHeight="true" outlineLevel="0" collapsed="false">
      <c r="A2394" s="8"/>
      <c r="B2394" s="8"/>
      <c r="C2394" s="8"/>
      <c r="D2394" s="8"/>
      <c r="E2394" s="8"/>
      <c r="F2394" s="8"/>
      <c r="G2394" s="10" t="str">
        <f aca="false">IF($A2394="","",UPPER(SUBSTITUTE(SUBSTITUTE(SUBSTITUTE(SUBSTITUTE($A2394," ",""),"(주)",""),"주식회사",""),"㈜","")))</f>
        <v/>
      </c>
      <c r="H2394" s="10" t="str">
        <f aca="false">IF($B2394="","",SUBSTITUTE(SUBSTITUTE(SUBSTITUTE($B2394,"-","")," ",""),".",""))</f>
        <v/>
      </c>
      <c r="I2394" s="10" t="str">
        <f aca="false">IF($D2394="","",SUBSTITUTE(SUBSTITUTE(SUBSTITUTE($D2394,"-","")," ",""),".",""))</f>
        <v/>
      </c>
      <c r="J2394" s="10" t="str">
        <f aca="false">IF($E2394="","",UPPER(SUBSTITUTE($E2394," ","")))</f>
        <v/>
      </c>
      <c r="K2394" s="10" t="str">
        <f aca="false">IF($A2394="","",$G2394&amp;"|"&amp;$J2394)</f>
        <v/>
      </c>
      <c r="L2394" s="10" t="str">
        <f aca="false">IF($A2394="","",ROW()-2)</f>
        <v/>
      </c>
      <c r="M2394" s="10" t="str">
        <f aca="false">IF($A2394="","",ROW())</f>
        <v/>
      </c>
    </row>
    <row r="2395" customFormat="false" ht="15" hidden="false" customHeight="true" outlineLevel="0" collapsed="false">
      <c r="A2395" s="8"/>
      <c r="B2395" s="8"/>
      <c r="C2395" s="8"/>
      <c r="D2395" s="8"/>
      <c r="E2395" s="8"/>
      <c r="F2395" s="8"/>
      <c r="G2395" s="10" t="str">
        <f aca="false">IF($A2395="","",UPPER(SUBSTITUTE(SUBSTITUTE(SUBSTITUTE(SUBSTITUTE($A2395," ",""),"(주)",""),"주식회사",""),"㈜","")))</f>
        <v/>
      </c>
      <c r="H2395" s="10" t="str">
        <f aca="false">IF($B2395="","",SUBSTITUTE(SUBSTITUTE(SUBSTITUTE($B2395,"-","")," ",""),".",""))</f>
        <v/>
      </c>
      <c r="I2395" s="10" t="str">
        <f aca="false">IF($D2395="","",SUBSTITUTE(SUBSTITUTE(SUBSTITUTE($D2395,"-","")," ",""),".",""))</f>
        <v/>
      </c>
      <c r="J2395" s="10" t="str">
        <f aca="false">IF($E2395="","",UPPER(SUBSTITUTE($E2395," ","")))</f>
        <v/>
      </c>
      <c r="K2395" s="10" t="str">
        <f aca="false">IF($A2395="","",$G2395&amp;"|"&amp;$J2395)</f>
        <v/>
      </c>
      <c r="L2395" s="10" t="str">
        <f aca="false">IF($A2395="","",ROW()-2)</f>
        <v/>
      </c>
      <c r="M2395" s="10" t="str">
        <f aca="false">IF($A2395="","",ROW())</f>
        <v/>
      </c>
    </row>
    <row r="2396" customFormat="false" ht="15" hidden="false" customHeight="true" outlineLevel="0" collapsed="false">
      <c r="A2396" s="8"/>
      <c r="B2396" s="8"/>
      <c r="C2396" s="8"/>
      <c r="D2396" s="8"/>
      <c r="E2396" s="8"/>
      <c r="F2396" s="8"/>
      <c r="G2396" s="10" t="str">
        <f aca="false">IF($A2396="","",UPPER(SUBSTITUTE(SUBSTITUTE(SUBSTITUTE(SUBSTITUTE($A2396," ",""),"(주)",""),"주식회사",""),"㈜","")))</f>
        <v/>
      </c>
      <c r="H2396" s="10" t="str">
        <f aca="false">IF($B2396="","",SUBSTITUTE(SUBSTITUTE(SUBSTITUTE($B2396,"-","")," ",""),".",""))</f>
        <v/>
      </c>
      <c r="I2396" s="10" t="str">
        <f aca="false">IF($D2396="","",SUBSTITUTE(SUBSTITUTE(SUBSTITUTE($D2396,"-","")," ",""),".",""))</f>
        <v/>
      </c>
      <c r="J2396" s="10" t="str">
        <f aca="false">IF($E2396="","",UPPER(SUBSTITUTE($E2396," ","")))</f>
        <v/>
      </c>
      <c r="K2396" s="10" t="str">
        <f aca="false">IF($A2396="","",$G2396&amp;"|"&amp;$J2396)</f>
        <v/>
      </c>
      <c r="L2396" s="10" t="str">
        <f aca="false">IF($A2396="","",ROW()-2)</f>
        <v/>
      </c>
      <c r="M2396" s="10" t="str">
        <f aca="false">IF($A2396="","",ROW())</f>
        <v/>
      </c>
    </row>
    <row r="2397" customFormat="false" ht="15" hidden="false" customHeight="true" outlineLevel="0" collapsed="false">
      <c r="A2397" s="8"/>
      <c r="B2397" s="8"/>
      <c r="C2397" s="8"/>
      <c r="D2397" s="8"/>
      <c r="E2397" s="8"/>
      <c r="F2397" s="8"/>
      <c r="G2397" s="10" t="str">
        <f aca="false">IF($A2397="","",UPPER(SUBSTITUTE(SUBSTITUTE(SUBSTITUTE(SUBSTITUTE($A2397," ",""),"(주)",""),"주식회사",""),"㈜","")))</f>
        <v/>
      </c>
      <c r="H2397" s="10" t="str">
        <f aca="false">IF($B2397="","",SUBSTITUTE(SUBSTITUTE(SUBSTITUTE($B2397,"-","")," ",""),".",""))</f>
        <v/>
      </c>
      <c r="I2397" s="10" t="str">
        <f aca="false">IF($D2397="","",SUBSTITUTE(SUBSTITUTE(SUBSTITUTE($D2397,"-","")," ",""),".",""))</f>
        <v/>
      </c>
      <c r="J2397" s="10" t="str">
        <f aca="false">IF($E2397="","",UPPER(SUBSTITUTE($E2397," ","")))</f>
        <v/>
      </c>
      <c r="K2397" s="10" t="str">
        <f aca="false">IF($A2397="","",$G2397&amp;"|"&amp;$J2397)</f>
        <v/>
      </c>
      <c r="L2397" s="10" t="str">
        <f aca="false">IF($A2397="","",ROW()-2)</f>
        <v/>
      </c>
      <c r="M2397" s="10" t="str">
        <f aca="false">IF($A2397="","",ROW())</f>
        <v/>
      </c>
    </row>
    <row r="2398" customFormat="false" ht="15" hidden="false" customHeight="true" outlineLevel="0" collapsed="false">
      <c r="A2398" s="8"/>
      <c r="B2398" s="8"/>
      <c r="C2398" s="8"/>
      <c r="D2398" s="8"/>
      <c r="E2398" s="8"/>
      <c r="F2398" s="8"/>
      <c r="G2398" s="10" t="str">
        <f aca="false">IF($A2398="","",UPPER(SUBSTITUTE(SUBSTITUTE(SUBSTITUTE(SUBSTITUTE($A2398," ",""),"(주)",""),"주식회사",""),"㈜","")))</f>
        <v/>
      </c>
      <c r="H2398" s="10" t="str">
        <f aca="false">IF($B2398="","",SUBSTITUTE(SUBSTITUTE(SUBSTITUTE($B2398,"-","")," ",""),".",""))</f>
        <v/>
      </c>
      <c r="I2398" s="10" t="str">
        <f aca="false">IF($D2398="","",SUBSTITUTE(SUBSTITUTE(SUBSTITUTE($D2398,"-","")," ",""),".",""))</f>
        <v/>
      </c>
      <c r="J2398" s="10" t="str">
        <f aca="false">IF($E2398="","",UPPER(SUBSTITUTE($E2398," ","")))</f>
        <v/>
      </c>
      <c r="K2398" s="10" t="str">
        <f aca="false">IF($A2398="","",$G2398&amp;"|"&amp;$J2398)</f>
        <v/>
      </c>
      <c r="L2398" s="10" t="str">
        <f aca="false">IF($A2398="","",ROW()-2)</f>
        <v/>
      </c>
      <c r="M2398" s="10" t="str">
        <f aca="false">IF($A2398="","",ROW())</f>
        <v/>
      </c>
    </row>
    <row r="2399" customFormat="false" ht="15" hidden="false" customHeight="true" outlineLevel="0" collapsed="false">
      <c r="A2399" s="8"/>
      <c r="B2399" s="8"/>
      <c r="C2399" s="8"/>
      <c r="D2399" s="8"/>
      <c r="E2399" s="8"/>
      <c r="F2399" s="8"/>
      <c r="G2399" s="10" t="str">
        <f aca="false">IF($A2399="","",UPPER(SUBSTITUTE(SUBSTITUTE(SUBSTITUTE(SUBSTITUTE($A2399," ",""),"(주)",""),"주식회사",""),"㈜","")))</f>
        <v/>
      </c>
      <c r="H2399" s="10" t="str">
        <f aca="false">IF($B2399="","",SUBSTITUTE(SUBSTITUTE(SUBSTITUTE($B2399,"-","")," ",""),".",""))</f>
        <v/>
      </c>
      <c r="I2399" s="10" t="str">
        <f aca="false">IF($D2399="","",SUBSTITUTE(SUBSTITUTE(SUBSTITUTE($D2399,"-","")," ",""),".",""))</f>
        <v/>
      </c>
      <c r="J2399" s="10" t="str">
        <f aca="false">IF($E2399="","",UPPER(SUBSTITUTE($E2399," ","")))</f>
        <v/>
      </c>
      <c r="K2399" s="10" t="str">
        <f aca="false">IF($A2399="","",$G2399&amp;"|"&amp;$J2399)</f>
        <v/>
      </c>
      <c r="L2399" s="10" t="str">
        <f aca="false">IF($A2399="","",ROW()-2)</f>
        <v/>
      </c>
      <c r="M2399" s="10" t="str">
        <f aca="false">IF($A2399="","",ROW())</f>
        <v/>
      </c>
    </row>
    <row r="2400" customFormat="false" ht="15" hidden="false" customHeight="true" outlineLevel="0" collapsed="false">
      <c r="A2400" s="8"/>
      <c r="B2400" s="8"/>
      <c r="C2400" s="8"/>
      <c r="D2400" s="8"/>
      <c r="E2400" s="8"/>
      <c r="F2400" s="8"/>
      <c r="G2400" s="10" t="str">
        <f aca="false">IF($A2400="","",UPPER(SUBSTITUTE(SUBSTITUTE(SUBSTITUTE(SUBSTITUTE($A2400," ",""),"(주)",""),"주식회사",""),"㈜","")))</f>
        <v/>
      </c>
      <c r="H2400" s="10" t="str">
        <f aca="false">IF($B2400="","",SUBSTITUTE(SUBSTITUTE(SUBSTITUTE($B2400,"-","")," ",""),".",""))</f>
        <v/>
      </c>
      <c r="I2400" s="10" t="str">
        <f aca="false">IF($D2400="","",SUBSTITUTE(SUBSTITUTE(SUBSTITUTE($D2400,"-","")," ",""),".",""))</f>
        <v/>
      </c>
      <c r="J2400" s="10" t="str">
        <f aca="false">IF($E2400="","",UPPER(SUBSTITUTE($E2400," ","")))</f>
        <v/>
      </c>
      <c r="K2400" s="10" t="str">
        <f aca="false">IF($A2400="","",$G2400&amp;"|"&amp;$J2400)</f>
        <v/>
      </c>
      <c r="L2400" s="10" t="str">
        <f aca="false">IF($A2400="","",ROW()-2)</f>
        <v/>
      </c>
      <c r="M2400" s="10" t="str">
        <f aca="false">IF($A2400="","",ROW())</f>
        <v/>
      </c>
    </row>
    <row r="2401" customFormat="false" ht="15" hidden="false" customHeight="true" outlineLevel="0" collapsed="false">
      <c r="A2401" s="8"/>
      <c r="B2401" s="8"/>
      <c r="C2401" s="8"/>
      <c r="D2401" s="8"/>
      <c r="E2401" s="8"/>
      <c r="F2401" s="8"/>
      <c r="G2401" s="10" t="str">
        <f aca="false">IF($A2401="","",UPPER(SUBSTITUTE(SUBSTITUTE(SUBSTITUTE(SUBSTITUTE($A2401," ",""),"(주)",""),"주식회사",""),"㈜","")))</f>
        <v/>
      </c>
      <c r="H2401" s="10" t="str">
        <f aca="false">IF($B2401="","",SUBSTITUTE(SUBSTITUTE(SUBSTITUTE($B2401,"-","")," ",""),".",""))</f>
        <v/>
      </c>
      <c r="I2401" s="10" t="str">
        <f aca="false">IF($D2401="","",SUBSTITUTE(SUBSTITUTE(SUBSTITUTE($D2401,"-","")," ",""),".",""))</f>
        <v/>
      </c>
      <c r="J2401" s="10" t="str">
        <f aca="false">IF($E2401="","",UPPER(SUBSTITUTE($E2401," ","")))</f>
        <v/>
      </c>
      <c r="K2401" s="10" t="str">
        <f aca="false">IF($A2401="","",$G2401&amp;"|"&amp;$J2401)</f>
        <v/>
      </c>
      <c r="L2401" s="10" t="str">
        <f aca="false">IF($A2401="","",ROW()-2)</f>
        <v/>
      </c>
      <c r="M2401" s="10" t="str">
        <f aca="false">IF($A2401="","",ROW())</f>
        <v/>
      </c>
    </row>
    <row r="2402" customFormat="false" ht="15" hidden="false" customHeight="true" outlineLevel="0" collapsed="false">
      <c r="A2402" s="8"/>
      <c r="B2402" s="8"/>
      <c r="C2402" s="8"/>
      <c r="D2402" s="8"/>
      <c r="E2402" s="8"/>
      <c r="F2402" s="8"/>
      <c r="G2402" s="10" t="str">
        <f aca="false">IF($A2402="","",UPPER(SUBSTITUTE(SUBSTITUTE(SUBSTITUTE(SUBSTITUTE($A2402," ",""),"(주)",""),"주식회사",""),"㈜","")))</f>
        <v/>
      </c>
      <c r="H2402" s="10" t="str">
        <f aca="false">IF($B2402="","",SUBSTITUTE(SUBSTITUTE(SUBSTITUTE($B2402,"-","")," ",""),".",""))</f>
        <v/>
      </c>
      <c r="I2402" s="10" t="str">
        <f aca="false">IF($D2402="","",SUBSTITUTE(SUBSTITUTE(SUBSTITUTE($D2402,"-","")," ",""),".",""))</f>
        <v/>
      </c>
      <c r="J2402" s="10" t="str">
        <f aca="false">IF($E2402="","",UPPER(SUBSTITUTE($E2402," ","")))</f>
        <v/>
      </c>
      <c r="K2402" s="10" t="str">
        <f aca="false">IF($A2402="","",$G2402&amp;"|"&amp;$J2402)</f>
        <v/>
      </c>
      <c r="L2402" s="10" t="str">
        <f aca="false">IF($A2402="","",ROW()-2)</f>
        <v/>
      </c>
      <c r="M2402" s="10" t="str">
        <f aca="false">IF($A2402="","",ROW())</f>
        <v/>
      </c>
    </row>
    <row r="2403" customFormat="false" ht="15" hidden="false" customHeight="true" outlineLevel="0" collapsed="false">
      <c r="A2403" s="8"/>
      <c r="B2403" s="8"/>
      <c r="C2403" s="8"/>
      <c r="D2403" s="8"/>
      <c r="E2403" s="8"/>
      <c r="F2403" s="8"/>
      <c r="G2403" s="10" t="str">
        <f aca="false">IF($A2403="","",UPPER(SUBSTITUTE(SUBSTITUTE(SUBSTITUTE(SUBSTITUTE($A2403," ",""),"(주)",""),"주식회사",""),"㈜","")))</f>
        <v/>
      </c>
      <c r="H2403" s="10" t="str">
        <f aca="false">IF($B2403="","",SUBSTITUTE(SUBSTITUTE(SUBSTITUTE($B2403,"-","")," ",""),".",""))</f>
        <v/>
      </c>
      <c r="I2403" s="10" t="str">
        <f aca="false">IF($D2403="","",SUBSTITUTE(SUBSTITUTE(SUBSTITUTE($D2403,"-","")," ",""),".",""))</f>
        <v/>
      </c>
      <c r="J2403" s="10" t="str">
        <f aca="false">IF($E2403="","",UPPER(SUBSTITUTE($E2403," ","")))</f>
        <v/>
      </c>
      <c r="K2403" s="10" t="str">
        <f aca="false">IF($A2403="","",$G2403&amp;"|"&amp;$J2403)</f>
        <v/>
      </c>
      <c r="L2403" s="10" t="str">
        <f aca="false">IF($A2403="","",ROW()-2)</f>
        <v/>
      </c>
      <c r="M2403" s="10" t="str">
        <f aca="false">IF($A2403="","",ROW())</f>
        <v/>
      </c>
    </row>
    <row r="2404" customFormat="false" ht="15" hidden="false" customHeight="true" outlineLevel="0" collapsed="false">
      <c r="A2404" s="8"/>
      <c r="B2404" s="8"/>
      <c r="C2404" s="8"/>
      <c r="D2404" s="8"/>
      <c r="E2404" s="8"/>
      <c r="F2404" s="8"/>
      <c r="G2404" s="10" t="str">
        <f aca="false">IF($A2404="","",UPPER(SUBSTITUTE(SUBSTITUTE(SUBSTITUTE(SUBSTITUTE($A2404," ",""),"(주)",""),"주식회사",""),"㈜","")))</f>
        <v/>
      </c>
      <c r="H2404" s="10" t="str">
        <f aca="false">IF($B2404="","",SUBSTITUTE(SUBSTITUTE(SUBSTITUTE($B2404,"-","")," ",""),".",""))</f>
        <v/>
      </c>
      <c r="I2404" s="10" t="str">
        <f aca="false">IF($D2404="","",SUBSTITUTE(SUBSTITUTE(SUBSTITUTE($D2404,"-","")," ",""),".",""))</f>
        <v/>
      </c>
      <c r="J2404" s="10" t="str">
        <f aca="false">IF($E2404="","",UPPER(SUBSTITUTE($E2404," ","")))</f>
        <v/>
      </c>
      <c r="K2404" s="10" t="str">
        <f aca="false">IF($A2404="","",$G2404&amp;"|"&amp;$J2404)</f>
        <v/>
      </c>
      <c r="L2404" s="10" t="str">
        <f aca="false">IF($A2404="","",ROW()-2)</f>
        <v/>
      </c>
      <c r="M2404" s="10" t="str">
        <f aca="false">IF($A2404="","",ROW())</f>
        <v/>
      </c>
    </row>
    <row r="2405" customFormat="false" ht="15" hidden="false" customHeight="true" outlineLevel="0" collapsed="false">
      <c r="A2405" s="8"/>
      <c r="B2405" s="8"/>
      <c r="C2405" s="8"/>
      <c r="D2405" s="8"/>
      <c r="E2405" s="8"/>
      <c r="F2405" s="8"/>
      <c r="G2405" s="10" t="str">
        <f aca="false">IF($A2405="","",UPPER(SUBSTITUTE(SUBSTITUTE(SUBSTITUTE(SUBSTITUTE($A2405," ",""),"(주)",""),"주식회사",""),"㈜","")))</f>
        <v/>
      </c>
      <c r="H2405" s="10" t="str">
        <f aca="false">IF($B2405="","",SUBSTITUTE(SUBSTITUTE(SUBSTITUTE($B2405,"-","")," ",""),".",""))</f>
        <v/>
      </c>
      <c r="I2405" s="10" t="str">
        <f aca="false">IF($D2405="","",SUBSTITUTE(SUBSTITUTE(SUBSTITUTE($D2405,"-","")," ",""),".",""))</f>
        <v/>
      </c>
      <c r="J2405" s="10" t="str">
        <f aca="false">IF($E2405="","",UPPER(SUBSTITUTE($E2405," ","")))</f>
        <v/>
      </c>
      <c r="K2405" s="10" t="str">
        <f aca="false">IF($A2405="","",$G2405&amp;"|"&amp;$J2405)</f>
        <v/>
      </c>
      <c r="L2405" s="10" t="str">
        <f aca="false">IF($A2405="","",ROW()-2)</f>
        <v/>
      </c>
      <c r="M2405" s="10" t="str">
        <f aca="false">IF($A2405="","",ROW())</f>
        <v/>
      </c>
    </row>
    <row r="2406" customFormat="false" ht="15" hidden="false" customHeight="true" outlineLevel="0" collapsed="false">
      <c r="A2406" s="8"/>
      <c r="B2406" s="8"/>
      <c r="C2406" s="8"/>
      <c r="D2406" s="8"/>
      <c r="E2406" s="8"/>
      <c r="F2406" s="8"/>
      <c r="G2406" s="10" t="str">
        <f aca="false">IF($A2406="","",UPPER(SUBSTITUTE(SUBSTITUTE(SUBSTITUTE(SUBSTITUTE($A2406," ",""),"(주)",""),"주식회사",""),"㈜","")))</f>
        <v/>
      </c>
      <c r="H2406" s="10" t="str">
        <f aca="false">IF($B2406="","",SUBSTITUTE(SUBSTITUTE(SUBSTITUTE($B2406,"-","")," ",""),".",""))</f>
        <v/>
      </c>
      <c r="I2406" s="10" t="str">
        <f aca="false">IF($D2406="","",SUBSTITUTE(SUBSTITUTE(SUBSTITUTE($D2406,"-","")," ",""),".",""))</f>
        <v/>
      </c>
      <c r="J2406" s="10" t="str">
        <f aca="false">IF($E2406="","",UPPER(SUBSTITUTE($E2406," ","")))</f>
        <v/>
      </c>
      <c r="K2406" s="10" t="str">
        <f aca="false">IF($A2406="","",$G2406&amp;"|"&amp;$J2406)</f>
        <v/>
      </c>
      <c r="L2406" s="10" t="str">
        <f aca="false">IF($A2406="","",ROW()-2)</f>
        <v/>
      </c>
      <c r="M2406" s="10" t="str">
        <f aca="false">IF($A2406="","",ROW())</f>
        <v/>
      </c>
    </row>
    <row r="2407" customFormat="false" ht="15" hidden="false" customHeight="true" outlineLevel="0" collapsed="false">
      <c r="A2407" s="8"/>
      <c r="B2407" s="8"/>
      <c r="C2407" s="8"/>
      <c r="D2407" s="8"/>
      <c r="E2407" s="8"/>
      <c r="F2407" s="8"/>
      <c r="G2407" s="10" t="str">
        <f aca="false">IF($A2407="","",UPPER(SUBSTITUTE(SUBSTITUTE(SUBSTITUTE(SUBSTITUTE($A2407," ",""),"(주)",""),"주식회사",""),"㈜","")))</f>
        <v/>
      </c>
      <c r="H2407" s="10" t="str">
        <f aca="false">IF($B2407="","",SUBSTITUTE(SUBSTITUTE(SUBSTITUTE($B2407,"-","")," ",""),".",""))</f>
        <v/>
      </c>
      <c r="I2407" s="10" t="str">
        <f aca="false">IF($D2407="","",SUBSTITUTE(SUBSTITUTE(SUBSTITUTE($D2407,"-","")," ",""),".",""))</f>
        <v/>
      </c>
      <c r="J2407" s="10" t="str">
        <f aca="false">IF($E2407="","",UPPER(SUBSTITUTE($E2407," ","")))</f>
        <v/>
      </c>
      <c r="K2407" s="10" t="str">
        <f aca="false">IF($A2407="","",$G2407&amp;"|"&amp;$J2407)</f>
        <v/>
      </c>
      <c r="L2407" s="10" t="str">
        <f aca="false">IF($A2407="","",ROW()-2)</f>
        <v/>
      </c>
      <c r="M2407" s="10" t="str">
        <f aca="false">IF($A2407="","",ROW())</f>
        <v/>
      </c>
    </row>
    <row r="2408" customFormat="false" ht="15" hidden="false" customHeight="true" outlineLevel="0" collapsed="false">
      <c r="A2408" s="8"/>
      <c r="B2408" s="8"/>
      <c r="C2408" s="8"/>
      <c r="D2408" s="8"/>
      <c r="E2408" s="8"/>
      <c r="F2408" s="8"/>
      <c r="G2408" s="10" t="str">
        <f aca="false">IF($A2408="","",UPPER(SUBSTITUTE(SUBSTITUTE(SUBSTITUTE(SUBSTITUTE($A2408," ",""),"(주)",""),"주식회사",""),"㈜","")))</f>
        <v/>
      </c>
      <c r="H2408" s="10" t="str">
        <f aca="false">IF($B2408="","",SUBSTITUTE(SUBSTITUTE(SUBSTITUTE($B2408,"-","")," ",""),".",""))</f>
        <v/>
      </c>
      <c r="I2408" s="10" t="str">
        <f aca="false">IF($D2408="","",SUBSTITUTE(SUBSTITUTE(SUBSTITUTE($D2408,"-","")," ",""),".",""))</f>
        <v/>
      </c>
      <c r="J2408" s="10" t="str">
        <f aca="false">IF($E2408="","",UPPER(SUBSTITUTE($E2408," ","")))</f>
        <v/>
      </c>
      <c r="K2408" s="10" t="str">
        <f aca="false">IF($A2408="","",$G2408&amp;"|"&amp;$J2408)</f>
        <v/>
      </c>
      <c r="L2408" s="10" t="str">
        <f aca="false">IF($A2408="","",ROW()-2)</f>
        <v/>
      </c>
      <c r="M2408" s="10" t="str">
        <f aca="false">IF($A2408="","",ROW())</f>
        <v/>
      </c>
    </row>
    <row r="2409" customFormat="false" ht="15" hidden="false" customHeight="true" outlineLevel="0" collapsed="false">
      <c r="A2409" s="8"/>
      <c r="B2409" s="8"/>
      <c r="C2409" s="8"/>
      <c r="D2409" s="8"/>
      <c r="E2409" s="8"/>
      <c r="F2409" s="8"/>
      <c r="G2409" s="10" t="str">
        <f aca="false">IF($A2409="","",UPPER(SUBSTITUTE(SUBSTITUTE(SUBSTITUTE(SUBSTITUTE($A2409," ",""),"(주)",""),"주식회사",""),"㈜","")))</f>
        <v/>
      </c>
      <c r="H2409" s="10" t="str">
        <f aca="false">IF($B2409="","",SUBSTITUTE(SUBSTITUTE(SUBSTITUTE($B2409,"-","")," ",""),".",""))</f>
        <v/>
      </c>
      <c r="I2409" s="10" t="str">
        <f aca="false">IF($D2409="","",SUBSTITUTE(SUBSTITUTE(SUBSTITUTE($D2409,"-","")," ",""),".",""))</f>
        <v/>
      </c>
      <c r="J2409" s="10" t="str">
        <f aca="false">IF($E2409="","",UPPER(SUBSTITUTE($E2409," ","")))</f>
        <v/>
      </c>
      <c r="K2409" s="10" t="str">
        <f aca="false">IF($A2409="","",$G2409&amp;"|"&amp;$J2409)</f>
        <v/>
      </c>
      <c r="L2409" s="10" t="str">
        <f aca="false">IF($A2409="","",ROW()-2)</f>
        <v/>
      </c>
      <c r="M2409" s="10" t="str">
        <f aca="false">IF($A2409="","",ROW())</f>
        <v/>
      </c>
    </row>
    <row r="2410" customFormat="false" ht="15" hidden="false" customHeight="true" outlineLevel="0" collapsed="false">
      <c r="A2410" s="8"/>
      <c r="B2410" s="8"/>
      <c r="C2410" s="8"/>
      <c r="D2410" s="8"/>
      <c r="E2410" s="8"/>
      <c r="F2410" s="8"/>
      <c r="G2410" s="10" t="str">
        <f aca="false">IF($A2410="","",UPPER(SUBSTITUTE(SUBSTITUTE(SUBSTITUTE(SUBSTITUTE($A2410," ",""),"(주)",""),"주식회사",""),"㈜","")))</f>
        <v/>
      </c>
      <c r="H2410" s="10" t="str">
        <f aca="false">IF($B2410="","",SUBSTITUTE(SUBSTITUTE(SUBSTITUTE($B2410,"-","")," ",""),".",""))</f>
        <v/>
      </c>
      <c r="I2410" s="10" t="str">
        <f aca="false">IF($D2410="","",SUBSTITUTE(SUBSTITUTE(SUBSTITUTE($D2410,"-","")," ",""),".",""))</f>
        <v/>
      </c>
      <c r="J2410" s="10" t="str">
        <f aca="false">IF($E2410="","",UPPER(SUBSTITUTE($E2410," ","")))</f>
        <v/>
      </c>
      <c r="K2410" s="10" t="str">
        <f aca="false">IF($A2410="","",$G2410&amp;"|"&amp;$J2410)</f>
        <v/>
      </c>
      <c r="L2410" s="10" t="str">
        <f aca="false">IF($A2410="","",ROW()-2)</f>
        <v/>
      </c>
      <c r="M2410" s="10" t="str">
        <f aca="false">IF($A2410="","",ROW())</f>
        <v/>
      </c>
    </row>
    <row r="2411" customFormat="false" ht="15" hidden="false" customHeight="true" outlineLevel="0" collapsed="false">
      <c r="A2411" s="8"/>
      <c r="B2411" s="8"/>
      <c r="C2411" s="8"/>
      <c r="D2411" s="8"/>
      <c r="E2411" s="8"/>
      <c r="F2411" s="8"/>
      <c r="G2411" s="10" t="str">
        <f aca="false">IF($A2411="","",UPPER(SUBSTITUTE(SUBSTITUTE(SUBSTITUTE(SUBSTITUTE($A2411," ",""),"(주)",""),"주식회사",""),"㈜","")))</f>
        <v/>
      </c>
      <c r="H2411" s="10" t="str">
        <f aca="false">IF($B2411="","",SUBSTITUTE(SUBSTITUTE(SUBSTITUTE($B2411,"-","")," ",""),".",""))</f>
        <v/>
      </c>
      <c r="I2411" s="10" t="str">
        <f aca="false">IF($D2411="","",SUBSTITUTE(SUBSTITUTE(SUBSTITUTE($D2411,"-","")," ",""),".",""))</f>
        <v/>
      </c>
      <c r="J2411" s="10" t="str">
        <f aca="false">IF($E2411="","",UPPER(SUBSTITUTE($E2411," ","")))</f>
        <v/>
      </c>
      <c r="K2411" s="10" t="str">
        <f aca="false">IF($A2411="","",$G2411&amp;"|"&amp;$J2411)</f>
        <v/>
      </c>
      <c r="L2411" s="10" t="str">
        <f aca="false">IF($A2411="","",ROW()-2)</f>
        <v/>
      </c>
      <c r="M2411" s="10" t="str">
        <f aca="false">IF($A2411="","",ROW())</f>
        <v/>
      </c>
    </row>
    <row r="2412" customFormat="false" ht="15" hidden="false" customHeight="true" outlineLevel="0" collapsed="false">
      <c r="A2412" s="8"/>
      <c r="B2412" s="8"/>
      <c r="C2412" s="8"/>
      <c r="D2412" s="8"/>
      <c r="E2412" s="8"/>
      <c r="F2412" s="8"/>
      <c r="G2412" s="10" t="str">
        <f aca="false">IF($A2412="","",UPPER(SUBSTITUTE(SUBSTITUTE(SUBSTITUTE(SUBSTITUTE($A2412," ",""),"(주)",""),"주식회사",""),"㈜","")))</f>
        <v/>
      </c>
      <c r="H2412" s="10" t="str">
        <f aca="false">IF($B2412="","",SUBSTITUTE(SUBSTITUTE(SUBSTITUTE($B2412,"-","")," ",""),".",""))</f>
        <v/>
      </c>
      <c r="I2412" s="10" t="str">
        <f aca="false">IF($D2412="","",SUBSTITUTE(SUBSTITUTE(SUBSTITUTE($D2412,"-","")," ",""),".",""))</f>
        <v/>
      </c>
      <c r="J2412" s="10" t="str">
        <f aca="false">IF($E2412="","",UPPER(SUBSTITUTE($E2412," ","")))</f>
        <v/>
      </c>
      <c r="K2412" s="10" t="str">
        <f aca="false">IF($A2412="","",$G2412&amp;"|"&amp;$J2412)</f>
        <v/>
      </c>
      <c r="L2412" s="10" t="str">
        <f aca="false">IF($A2412="","",ROW()-2)</f>
        <v/>
      </c>
      <c r="M2412" s="10" t="str">
        <f aca="false">IF($A2412="","",ROW())</f>
        <v/>
      </c>
    </row>
    <row r="2413" customFormat="false" ht="15" hidden="false" customHeight="true" outlineLevel="0" collapsed="false">
      <c r="A2413" s="8"/>
      <c r="B2413" s="8"/>
      <c r="C2413" s="8"/>
      <c r="D2413" s="8"/>
      <c r="E2413" s="8"/>
      <c r="F2413" s="8"/>
      <c r="G2413" s="10" t="str">
        <f aca="false">IF($A2413="","",UPPER(SUBSTITUTE(SUBSTITUTE(SUBSTITUTE(SUBSTITUTE($A2413," ",""),"(주)",""),"주식회사",""),"㈜","")))</f>
        <v/>
      </c>
      <c r="H2413" s="10" t="str">
        <f aca="false">IF($B2413="","",SUBSTITUTE(SUBSTITUTE(SUBSTITUTE($B2413,"-","")," ",""),".",""))</f>
        <v/>
      </c>
      <c r="I2413" s="10" t="str">
        <f aca="false">IF($D2413="","",SUBSTITUTE(SUBSTITUTE(SUBSTITUTE($D2413,"-","")," ",""),".",""))</f>
        <v/>
      </c>
      <c r="J2413" s="10" t="str">
        <f aca="false">IF($E2413="","",UPPER(SUBSTITUTE($E2413," ","")))</f>
        <v/>
      </c>
      <c r="K2413" s="10" t="str">
        <f aca="false">IF($A2413="","",$G2413&amp;"|"&amp;$J2413)</f>
        <v/>
      </c>
      <c r="L2413" s="10" t="str">
        <f aca="false">IF($A2413="","",ROW()-2)</f>
        <v/>
      </c>
      <c r="M2413" s="10" t="str">
        <f aca="false">IF($A2413="","",ROW())</f>
        <v/>
      </c>
    </row>
    <row r="2414" customFormat="false" ht="15" hidden="false" customHeight="true" outlineLevel="0" collapsed="false">
      <c r="A2414" s="8"/>
      <c r="B2414" s="8"/>
      <c r="C2414" s="8"/>
      <c r="D2414" s="8"/>
      <c r="E2414" s="8"/>
      <c r="F2414" s="8"/>
      <c r="G2414" s="10" t="str">
        <f aca="false">IF($A2414="","",UPPER(SUBSTITUTE(SUBSTITUTE(SUBSTITUTE(SUBSTITUTE($A2414," ",""),"(주)",""),"주식회사",""),"㈜","")))</f>
        <v/>
      </c>
      <c r="H2414" s="10" t="str">
        <f aca="false">IF($B2414="","",SUBSTITUTE(SUBSTITUTE(SUBSTITUTE($B2414,"-","")," ",""),".",""))</f>
        <v/>
      </c>
      <c r="I2414" s="10" t="str">
        <f aca="false">IF($D2414="","",SUBSTITUTE(SUBSTITUTE(SUBSTITUTE($D2414,"-","")," ",""),".",""))</f>
        <v/>
      </c>
      <c r="J2414" s="10" t="str">
        <f aca="false">IF($E2414="","",UPPER(SUBSTITUTE($E2414," ","")))</f>
        <v/>
      </c>
      <c r="K2414" s="10" t="str">
        <f aca="false">IF($A2414="","",$G2414&amp;"|"&amp;$J2414)</f>
        <v/>
      </c>
      <c r="L2414" s="10" t="str">
        <f aca="false">IF($A2414="","",ROW()-2)</f>
        <v/>
      </c>
      <c r="M2414" s="10" t="str">
        <f aca="false">IF($A2414="","",ROW())</f>
        <v/>
      </c>
    </row>
    <row r="2415" customFormat="false" ht="15" hidden="false" customHeight="true" outlineLevel="0" collapsed="false">
      <c r="A2415" s="8"/>
      <c r="B2415" s="8"/>
      <c r="C2415" s="8"/>
      <c r="D2415" s="8"/>
      <c r="E2415" s="8"/>
      <c r="F2415" s="8"/>
      <c r="G2415" s="10" t="str">
        <f aca="false">IF($A2415="","",UPPER(SUBSTITUTE(SUBSTITUTE(SUBSTITUTE(SUBSTITUTE($A2415," ",""),"(주)",""),"주식회사",""),"㈜","")))</f>
        <v/>
      </c>
      <c r="H2415" s="10" t="str">
        <f aca="false">IF($B2415="","",SUBSTITUTE(SUBSTITUTE(SUBSTITUTE($B2415,"-","")," ",""),".",""))</f>
        <v/>
      </c>
      <c r="I2415" s="10" t="str">
        <f aca="false">IF($D2415="","",SUBSTITUTE(SUBSTITUTE(SUBSTITUTE($D2415,"-","")," ",""),".",""))</f>
        <v/>
      </c>
      <c r="J2415" s="10" t="str">
        <f aca="false">IF($E2415="","",UPPER(SUBSTITUTE($E2415," ","")))</f>
        <v/>
      </c>
      <c r="K2415" s="10" t="str">
        <f aca="false">IF($A2415="","",$G2415&amp;"|"&amp;$J2415)</f>
        <v/>
      </c>
      <c r="L2415" s="10" t="str">
        <f aca="false">IF($A2415="","",ROW()-2)</f>
        <v/>
      </c>
      <c r="M2415" s="10" t="str">
        <f aca="false">IF($A2415="","",ROW())</f>
        <v/>
      </c>
    </row>
    <row r="2416" customFormat="false" ht="15" hidden="false" customHeight="true" outlineLevel="0" collapsed="false">
      <c r="A2416" s="8"/>
      <c r="B2416" s="8"/>
      <c r="C2416" s="8"/>
      <c r="D2416" s="8"/>
      <c r="E2416" s="8"/>
      <c r="F2416" s="8"/>
      <c r="G2416" s="10" t="str">
        <f aca="false">IF($A2416="","",UPPER(SUBSTITUTE(SUBSTITUTE(SUBSTITUTE(SUBSTITUTE($A2416," ",""),"(주)",""),"주식회사",""),"㈜","")))</f>
        <v/>
      </c>
      <c r="H2416" s="10" t="str">
        <f aca="false">IF($B2416="","",SUBSTITUTE(SUBSTITUTE(SUBSTITUTE($B2416,"-","")," ",""),".",""))</f>
        <v/>
      </c>
      <c r="I2416" s="10" t="str">
        <f aca="false">IF($D2416="","",SUBSTITUTE(SUBSTITUTE(SUBSTITUTE($D2416,"-","")," ",""),".",""))</f>
        <v/>
      </c>
      <c r="J2416" s="10" t="str">
        <f aca="false">IF($E2416="","",UPPER(SUBSTITUTE($E2416," ","")))</f>
        <v/>
      </c>
      <c r="K2416" s="10" t="str">
        <f aca="false">IF($A2416="","",$G2416&amp;"|"&amp;$J2416)</f>
        <v/>
      </c>
      <c r="L2416" s="10" t="str">
        <f aca="false">IF($A2416="","",ROW()-2)</f>
        <v/>
      </c>
      <c r="M2416" s="10" t="str">
        <f aca="false">IF($A2416="","",ROW())</f>
        <v/>
      </c>
    </row>
    <row r="2417" customFormat="false" ht="15" hidden="false" customHeight="true" outlineLevel="0" collapsed="false">
      <c r="A2417" s="8"/>
      <c r="B2417" s="8"/>
      <c r="C2417" s="8"/>
      <c r="D2417" s="8"/>
      <c r="E2417" s="8"/>
      <c r="F2417" s="8"/>
      <c r="G2417" s="10" t="str">
        <f aca="false">IF($A2417="","",UPPER(SUBSTITUTE(SUBSTITUTE(SUBSTITUTE(SUBSTITUTE($A2417," ",""),"(주)",""),"주식회사",""),"㈜","")))</f>
        <v/>
      </c>
      <c r="H2417" s="10" t="str">
        <f aca="false">IF($B2417="","",SUBSTITUTE(SUBSTITUTE(SUBSTITUTE($B2417,"-","")," ",""),".",""))</f>
        <v/>
      </c>
      <c r="I2417" s="10" t="str">
        <f aca="false">IF($D2417="","",SUBSTITUTE(SUBSTITUTE(SUBSTITUTE($D2417,"-","")," ",""),".",""))</f>
        <v/>
      </c>
      <c r="J2417" s="10" t="str">
        <f aca="false">IF($E2417="","",UPPER(SUBSTITUTE($E2417," ","")))</f>
        <v/>
      </c>
      <c r="K2417" s="10" t="str">
        <f aca="false">IF($A2417="","",$G2417&amp;"|"&amp;$J2417)</f>
        <v/>
      </c>
      <c r="L2417" s="10" t="str">
        <f aca="false">IF($A2417="","",ROW()-2)</f>
        <v/>
      </c>
      <c r="M2417" s="10" t="str">
        <f aca="false">IF($A2417="","",ROW())</f>
        <v/>
      </c>
    </row>
    <row r="2418" customFormat="false" ht="15" hidden="false" customHeight="true" outlineLevel="0" collapsed="false">
      <c r="A2418" s="8"/>
      <c r="B2418" s="8"/>
      <c r="C2418" s="8"/>
      <c r="D2418" s="8"/>
      <c r="E2418" s="8"/>
      <c r="F2418" s="8"/>
      <c r="G2418" s="10" t="str">
        <f aca="false">IF($A2418="","",UPPER(SUBSTITUTE(SUBSTITUTE(SUBSTITUTE(SUBSTITUTE($A2418," ",""),"(주)",""),"주식회사",""),"㈜","")))</f>
        <v/>
      </c>
      <c r="H2418" s="10" t="str">
        <f aca="false">IF($B2418="","",SUBSTITUTE(SUBSTITUTE(SUBSTITUTE($B2418,"-","")," ",""),".",""))</f>
        <v/>
      </c>
      <c r="I2418" s="10" t="str">
        <f aca="false">IF($D2418="","",SUBSTITUTE(SUBSTITUTE(SUBSTITUTE($D2418,"-","")," ",""),".",""))</f>
        <v/>
      </c>
      <c r="J2418" s="10" t="str">
        <f aca="false">IF($E2418="","",UPPER(SUBSTITUTE($E2418," ","")))</f>
        <v/>
      </c>
      <c r="K2418" s="10" t="str">
        <f aca="false">IF($A2418="","",$G2418&amp;"|"&amp;$J2418)</f>
        <v/>
      </c>
      <c r="L2418" s="10" t="str">
        <f aca="false">IF($A2418="","",ROW()-2)</f>
        <v/>
      </c>
      <c r="M2418" s="10" t="str">
        <f aca="false">IF($A2418="","",ROW())</f>
        <v/>
      </c>
    </row>
    <row r="2419" customFormat="false" ht="15" hidden="false" customHeight="true" outlineLevel="0" collapsed="false">
      <c r="A2419" s="8"/>
      <c r="B2419" s="8"/>
      <c r="C2419" s="8"/>
      <c r="D2419" s="8"/>
      <c r="E2419" s="8"/>
      <c r="F2419" s="8"/>
      <c r="G2419" s="10" t="str">
        <f aca="false">IF($A2419="","",UPPER(SUBSTITUTE(SUBSTITUTE(SUBSTITUTE(SUBSTITUTE($A2419," ",""),"(주)",""),"주식회사",""),"㈜","")))</f>
        <v/>
      </c>
      <c r="H2419" s="10" t="str">
        <f aca="false">IF($B2419="","",SUBSTITUTE(SUBSTITUTE(SUBSTITUTE($B2419,"-","")," ",""),".",""))</f>
        <v/>
      </c>
      <c r="I2419" s="10" t="str">
        <f aca="false">IF($D2419="","",SUBSTITUTE(SUBSTITUTE(SUBSTITUTE($D2419,"-","")," ",""),".",""))</f>
        <v/>
      </c>
      <c r="J2419" s="10" t="str">
        <f aca="false">IF($E2419="","",UPPER(SUBSTITUTE($E2419," ","")))</f>
        <v/>
      </c>
      <c r="K2419" s="10" t="str">
        <f aca="false">IF($A2419="","",$G2419&amp;"|"&amp;$J2419)</f>
        <v/>
      </c>
      <c r="L2419" s="10" t="str">
        <f aca="false">IF($A2419="","",ROW()-2)</f>
        <v/>
      </c>
      <c r="M2419" s="10" t="str">
        <f aca="false">IF($A2419="","",ROW())</f>
        <v/>
      </c>
    </row>
    <row r="2420" customFormat="false" ht="15" hidden="false" customHeight="true" outlineLevel="0" collapsed="false">
      <c r="A2420" s="8"/>
      <c r="B2420" s="8"/>
      <c r="C2420" s="8"/>
      <c r="D2420" s="8"/>
      <c r="E2420" s="8"/>
      <c r="F2420" s="8"/>
      <c r="G2420" s="10" t="str">
        <f aca="false">IF($A2420="","",UPPER(SUBSTITUTE(SUBSTITUTE(SUBSTITUTE(SUBSTITUTE($A2420," ",""),"(주)",""),"주식회사",""),"㈜","")))</f>
        <v/>
      </c>
      <c r="H2420" s="10" t="str">
        <f aca="false">IF($B2420="","",SUBSTITUTE(SUBSTITUTE(SUBSTITUTE($B2420,"-","")," ",""),".",""))</f>
        <v/>
      </c>
      <c r="I2420" s="10" t="str">
        <f aca="false">IF($D2420="","",SUBSTITUTE(SUBSTITUTE(SUBSTITUTE($D2420,"-","")," ",""),".",""))</f>
        <v/>
      </c>
      <c r="J2420" s="10" t="str">
        <f aca="false">IF($E2420="","",UPPER(SUBSTITUTE($E2420," ","")))</f>
        <v/>
      </c>
      <c r="K2420" s="10" t="str">
        <f aca="false">IF($A2420="","",$G2420&amp;"|"&amp;$J2420)</f>
        <v/>
      </c>
      <c r="L2420" s="10" t="str">
        <f aca="false">IF($A2420="","",ROW()-2)</f>
        <v/>
      </c>
      <c r="M2420" s="10" t="str">
        <f aca="false">IF($A2420="","",ROW())</f>
        <v/>
      </c>
    </row>
    <row r="2421" customFormat="false" ht="15" hidden="false" customHeight="true" outlineLevel="0" collapsed="false">
      <c r="A2421" s="8"/>
      <c r="B2421" s="8"/>
      <c r="C2421" s="8"/>
      <c r="D2421" s="8"/>
      <c r="E2421" s="8"/>
      <c r="F2421" s="8"/>
      <c r="G2421" s="10" t="str">
        <f aca="false">IF($A2421="","",UPPER(SUBSTITUTE(SUBSTITUTE(SUBSTITUTE(SUBSTITUTE($A2421," ",""),"(주)",""),"주식회사",""),"㈜","")))</f>
        <v/>
      </c>
      <c r="H2421" s="10" t="str">
        <f aca="false">IF($B2421="","",SUBSTITUTE(SUBSTITUTE(SUBSTITUTE($B2421,"-","")," ",""),".",""))</f>
        <v/>
      </c>
      <c r="I2421" s="10" t="str">
        <f aca="false">IF($D2421="","",SUBSTITUTE(SUBSTITUTE(SUBSTITUTE($D2421,"-","")," ",""),".",""))</f>
        <v/>
      </c>
      <c r="J2421" s="10" t="str">
        <f aca="false">IF($E2421="","",UPPER(SUBSTITUTE($E2421," ","")))</f>
        <v/>
      </c>
      <c r="K2421" s="10" t="str">
        <f aca="false">IF($A2421="","",$G2421&amp;"|"&amp;$J2421)</f>
        <v/>
      </c>
      <c r="L2421" s="10" t="str">
        <f aca="false">IF($A2421="","",ROW()-2)</f>
        <v/>
      </c>
      <c r="M2421" s="10" t="str">
        <f aca="false">IF($A2421="","",ROW())</f>
        <v/>
      </c>
    </row>
    <row r="2422" customFormat="false" ht="15" hidden="false" customHeight="true" outlineLevel="0" collapsed="false">
      <c r="A2422" s="8"/>
      <c r="B2422" s="8"/>
      <c r="C2422" s="8"/>
      <c r="D2422" s="8"/>
      <c r="E2422" s="8"/>
      <c r="F2422" s="8"/>
      <c r="G2422" s="10" t="str">
        <f aca="false">IF($A2422="","",UPPER(SUBSTITUTE(SUBSTITUTE(SUBSTITUTE(SUBSTITUTE($A2422," ",""),"(주)",""),"주식회사",""),"㈜","")))</f>
        <v/>
      </c>
      <c r="H2422" s="10" t="str">
        <f aca="false">IF($B2422="","",SUBSTITUTE(SUBSTITUTE(SUBSTITUTE($B2422,"-","")," ",""),".",""))</f>
        <v/>
      </c>
      <c r="I2422" s="10" t="str">
        <f aca="false">IF($D2422="","",SUBSTITUTE(SUBSTITUTE(SUBSTITUTE($D2422,"-","")," ",""),".",""))</f>
        <v/>
      </c>
      <c r="J2422" s="10" t="str">
        <f aca="false">IF($E2422="","",UPPER(SUBSTITUTE($E2422," ","")))</f>
        <v/>
      </c>
      <c r="K2422" s="10" t="str">
        <f aca="false">IF($A2422="","",$G2422&amp;"|"&amp;$J2422)</f>
        <v/>
      </c>
      <c r="L2422" s="10" t="str">
        <f aca="false">IF($A2422="","",ROW()-2)</f>
        <v/>
      </c>
      <c r="M2422" s="10" t="str">
        <f aca="false">IF($A2422="","",ROW())</f>
        <v/>
      </c>
    </row>
    <row r="2423" customFormat="false" ht="15" hidden="false" customHeight="true" outlineLevel="0" collapsed="false">
      <c r="A2423" s="8"/>
      <c r="B2423" s="8"/>
      <c r="C2423" s="8"/>
      <c r="D2423" s="8"/>
      <c r="E2423" s="8"/>
      <c r="F2423" s="8"/>
      <c r="G2423" s="10" t="str">
        <f aca="false">IF($A2423="","",UPPER(SUBSTITUTE(SUBSTITUTE(SUBSTITUTE(SUBSTITUTE($A2423," ",""),"(주)",""),"주식회사",""),"㈜","")))</f>
        <v/>
      </c>
      <c r="H2423" s="10" t="str">
        <f aca="false">IF($B2423="","",SUBSTITUTE(SUBSTITUTE(SUBSTITUTE($B2423,"-","")," ",""),".",""))</f>
        <v/>
      </c>
      <c r="I2423" s="10" t="str">
        <f aca="false">IF($D2423="","",SUBSTITUTE(SUBSTITUTE(SUBSTITUTE($D2423,"-","")," ",""),".",""))</f>
        <v/>
      </c>
      <c r="J2423" s="10" t="str">
        <f aca="false">IF($E2423="","",UPPER(SUBSTITUTE($E2423," ","")))</f>
        <v/>
      </c>
      <c r="K2423" s="10" t="str">
        <f aca="false">IF($A2423="","",$G2423&amp;"|"&amp;$J2423)</f>
        <v/>
      </c>
      <c r="L2423" s="10" t="str">
        <f aca="false">IF($A2423="","",ROW()-2)</f>
        <v/>
      </c>
      <c r="M2423" s="10" t="str">
        <f aca="false">IF($A2423="","",ROW())</f>
        <v/>
      </c>
    </row>
    <row r="2424" customFormat="false" ht="15" hidden="false" customHeight="true" outlineLevel="0" collapsed="false">
      <c r="A2424" s="8"/>
      <c r="B2424" s="8"/>
      <c r="C2424" s="8"/>
      <c r="D2424" s="8"/>
      <c r="E2424" s="8"/>
      <c r="F2424" s="8"/>
      <c r="G2424" s="10" t="str">
        <f aca="false">IF($A2424="","",UPPER(SUBSTITUTE(SUBSTITUTE(SUBSTITUTE(SUBSTITUTE($A2424," ",""),"(주)",""),"주식회사",""),"㈜","")))</f>
        <v/>
      </c>
      <c r="H2424" s="10" t="str">
        <f aca="false">IF($B2424="","",SUBSTITUTE(SUBSTITUTE(SUBSTITUTE($B2424,"-","")," ",""),".",""))</f>
        <v/>
      </c>
      <c r="I2424" s="10" t="str">
        <f aca="false">IF($D2424="","",SUBSTITUTE(SUBSTITUTE(SUBSTITUTE($D2424,"-","")," ",""),".",""))</f>
        <v/>
      </c>
      <c r="J2424" s="10" t="str">
        <f aca="false">IF($E2424="","",UPPER(SUBSTITUTE($E2424," ","")))</f>
        <v/>
      </c>
      <c r="K2424" s="10" t="str">
        <f aca="false">IF($A2424="","",$G2424&amp;"|"&amp;$J2424)</f>
        <v/>
      </c>
      <c r="L2424" s="10" t="str">
        <f aca="false">IF($A2424="","",ROW()-2)</f>
        <v/>
      </c>
      <c r="M2424" s="10" t="str">
        <f aca="false">IF($A2424="","",ROW())</f>
        <v/>
      </c>
    </row>
    <row r="2425" customFormat="false" ht="15" hidden="false" customHeight="true" outlineLevel="0" collapsed="false">
      <c r="A2425" s="8"/>
      <c r="B2425" s="8"/>
      <c r="C2425" s="8"/>
      <c r="D2425" s="8"/>
      <c r="E2425" s="8"/>
      <c r="F2425" s="8"/>
      <c r="G2425" s="10" t="str">
        <f aca="false">IF($A2425="","",UPPER(SUBSTITUTE(SUBSTITUTE(SUBSTITUTE(SUBSTITUTE($A2425," ",""),"(주)",""),"주식회사",""),"㈜","")))</f>
        <v/>
      </c>
      <c r="H2425" s="10" t="str">
        <f aca="false">IF($B2425="","",SUBSTITUTE(SUBSTITUTE(SUBSTITUTE($B2425,"-","")," ",""),".",""))</f>
        <v/>
      </c>
      <c r="I2425" s="10" t="str">
        <f aca="false">IF($D2425="","",SUBSTITUTE(SUBSTITUTE(SUBSTITUTE($D2425,"-","")," ",""),".",""))</f>
        <v/>
      </c>
      <c r="J2425" s="10" t="str">
        <f aca="false">IF($E2425="","",UPPER(SUBSTITUTE($E2425," ","")))</f>
        <v/>
      </c>
      <c r="K2425" s="10" t="str">
        <f aca="false">IF($A2425="","",$G2425&amp;"|"&amp;$J2425)</f>
        <v/>
      </c>
      <c r="L2425" s="10" t="str">
        <f aca="false">IF($A2425="","",ROW()-2)</f>
        <v/>
      </c>
      <c r="M2425" s="10" t="str">
        <f aca="false">IF($A2425="","",ROW())</f>
        <v/>
      </c>
    </row>
    <row r="2426" customFormat="false" ht="15" hidden="false" customHeight="true" outlineLevel="0" collapsed="false">
      <c r="A2426" s="8"/>
      <c r="B2426" s="8"/>
      <c r="C2426" s="8"/>
      <c r="D2426" s="8"/>
      <c r="E2426" s="8"/>
      <c r="F2426" s="8"/>
      <c r="G2426" s="10" t="str">
        <f aca="false">IF($A2426="","",UPPER(SUBSTITUTE(SUBSTITUTE(SUBSTITUTE(SUBSTITUTE($A2426," ",""),"(주)",""),"주식회사",""),"㈜","")))</f>
        <v/>
      </c>
      <c r="H2426" s="10" t="str">
        <f aca="false">IF($B2426="","",SUBSTITUTE(SUBSTITUTE(SUBSTITUTE($B2426,"-","")," ",""),".",""))</f>
        <v/>
      </c>
      <c r="I2426" s="10" t="str">
        <f aca="false">IF($D2426="","",SUBSTITUTE(SUBSTITUTE(SUBSTITUTE($D2426,"-","")," ",""),".",""))</f>
        <v/>
      </c>
      <c r="J2426" s="10" t="str">
        <f aca="false">IF($E2426="","",UPPER(SUBSTITUTE($E2426," ","")))</f>
        <v/>
      </c>
      <c r="K2426" s="10" t="str">
        <f aca="false">IF($A2426="","",$G2426&amp;"|"&amp;$J2426)</f>
        <v/>
      </c>
      <c r="L2426" s="10" t="str">
        <f aca="false">IF($A2426="","",ROW()-2)</f>
        <v/>
      </c>
      <c r="M2426" s="10" t="str">
        <f aca="false">IF($A2426="","",ROW())</f>
        <v/>
      </c>
    </row>
    <row r="2427" customFormat="false" ht="15" hidden="false" customHeight="true" outlineLevel="0" collapsed="false">
      <c r="A2427" s="8"/>
      <c r="B2427" s="8"/>
      <c r="C2427" s="8"/>
      <c r="D2427" s="8"/>
      <c r="E2427" s="8"/>
      <c r="F2427" s="8"/>
      <c r="G2427" s="10" t="str">
        <f aca="false">IF($A2427="","",UPPER(SUBSTITUTE(SUBSTITUTE(SUBSTITUTE(SUBSTITUTE($A2427," ",""),"(주)",""),"주식회사",""),"㈜","")))</f>
        <v/>
      </c>
      <c r="H2427" s="10" t="str">
        <f aca="false">IF($B2427="","",SUBSTITUTE(SUBSTITUTE(SUBSTITUTE($B2427,"-","")," ",""),".",""))</f>
        <v/>
      </c>
      <c r="I2427" s="10" t="str">
        <f aca="false">IF($D2427="","",SUBSTITUTE(SUBSTITUTE(SUBSTITUTE($D2427,"-","")," ",""),".",""))</f>
        <v/>
      </c>
      <c r="J2427" s="10" t="str">
        <f aca="false">IF($E2427="","",UPPER(SUBSTITUTE($E2427," ","")))</f>
        <v/>
      </c>
      <c r="K2427" s="10" t="str">
        <f aca="false">IF($A2427="","",$G2427&amp;"|"&amp;$J2427)</f>
        <v/>
      </c>
      <c r="L2427" s="10" t="str">
        <f aca="false">IF($A2427="","",ROW()-2)</f>
        <v/>
      </c>
      <c r="M2427" s="10" t="str">
        <f aca="false">IF($A2427="","",ROW())</f>
        <v/>
      </c>
    </row>
    <row r="2428" customFormat="false" ht="15" hidden="false" customHeight="true" outlineLevel="0" collapsed="false">
      <c r="A2428" s="8"/>
      <c r="B2428" s="8"/>
      <c r="C2428" s="8"/>
      <c r="D2428" s="8"/>
      <c r="E2428" s="8"/>
      <c r="F2428" s="8"/>
      <c r="G2428" s="10" t="str">
        <f aca="false">IF($A2428="","",UPPER(SUBSTITUTE(SUBSTITUTE(SUBSTITUTE(SUBSTITUTE($A2428," ",""),"(주)",""),"주식회사",""),"㈜","")))</f>
        <v/>
      </c>
      <c r="H2428" s="10" t="str">
        <f aca="false">IF($B2428="","",SUBSTITUTE(SUBSTITUTE(SUBSTITUTE($B2428,"-","")," ",""),".",""))</f>
        <v/>
      </c>
      <c r="I2428" s="10" t="str">
        <f aca="false">IF($D2428="","",SUBSTITUTE(SUBSTITUTE(SUBSTITUTE($D2428,"-","")," ",""),".",""))</f>
        <v/>
      </c>
      <c r="J2428" s="10" t="str">
        <f aca="false">IF($E2428="","",UPPER(SUBSTITUTE($E2428," ","")))</f>
        <v/>
      </c>
      <c r="K2428" s="10" t="str">
        <f aca="false">IF($A2428="","",$G2428&amp;"|"&amp;$J2428)</f>
        <v/>
      </c>
      <c r="L2428" s="10" t="str">
        <f aca="false">IF($A2428="","",ROW()-2)</f>
        <v/>
      </c>
      <c r="M2428" s="10" t="str">
        <f aca="false">IF($A2428="","",ROW())</f>
        <v/>
      </c>
    </row>
    <row r="2429" customFormat="false" ht="15" hidden="false" customHeight="true" outlineLevel="0" collapsed="false">
      <c r="A2429" s="8"/>
      <c r="B2429" s="8"/>
      <c r="C2429" s="8"/>
      <c r="D2429" s="8"/>
      <c r="E2429" s="8"/>
      <c r="F2429" s="8"/>
      <c r="G2429" s="10" t="str">
        <f aca="false">IF($A2429="","",UPPER(SUBSTITUTE(SUBSTITUTE(SUBSTITUTE(SUBSTITUTE($A2429," ",""),"(주)",""),"주식회사",""),"㈜","")))</f>
        <v/>
      </c>
      <c r="H2429" s="10" t="str">
        <f aca="false">IF($B2429="","",SUBSTITUTE(SUBSTITUTE(SUBSTITUTE($B2429,"-","")," ",""),".",""))</f>
        <v/>
      </c>
      <c r="I2429" s="10" t="str">
        <f aca="false">IF($D2429="","",SUBSTITUTE(SUBSTITUTE(SUBSTITUTE($D2429,"-","")," ",""),".",""))</f>
        <v/>
      </c>
      <c r="J2429" s="10" t="str">
        <f aca="false">IF($E2429="","",UPPER(SUBSTITUTE($E2429," ","")))</f>
        <v/>
      </c>
      <c r="K2429" s="10" t="str">
        <f aca="false">IF($A2429="","",$G2429&amp;"|"&amp;$J2429)</f>
        <v/>
      </c>
      <c r="L2429" s="10" t="str">
        <f aca="false">IF($A2429="","",ROW()-2)</f>
        <v/>
      </c>
      <c r="M2429" s="10" t="str">
        <f aca="false">IF($A2429="","",ROW())</f>
        <v/>
      </c>
    </row>
    <row r="2430" customFormat="false" ht="15" hidden="false" customHeight="true" outlineLevel="0" collapsed="false">
      <c r="A2430" s="8"/>
      <c r="B2430" s="8"/>
      <c r="C2430" s="8"/>
      <c r="D2430" s="8"/>
      <c r="E2430" s="8"/>
      <c r="F2430" s="8"/>
      <c r="G2430" s="10" t="str">
        <f aca="false">IF($A2430="","",UPPER(SUBSTITUTE(SUBSTITUTE(SUBSTITUTE(SUBSTITUTE($A2430," ",""),"(주)",""),"주식회사",""),"㈜","")))</f>
        <v/>
      </c>
      <c r="H2430" s="10" t="str">
        <f aca="false">IF($B2430="","",SUBSTITUTE(SUBSTITUTE(SUBSTITUTE($B2430,"-","")," ",""),".",""))</f>
        <v/>
      </c>
      <c r="I2430" s="10" t="str">
        <f aca="false">IF($D2430="","",SUBSTITUTE(SUBSTITUTE(SUBSTITUTE($D2430,"-","")," ",""),".",""))</f>
        <v/>
      </c>
      <c r="J2430" s="10" t="str">
        <f aca="false">IF($E2430="","",UPPER(SUBSTITUTE($E2430," ","")))</f>
        <v/>
      </c>
      <c r="K2430" s="10" t="str">
        <f aca="false">IF($A2430="","",$G2430&amp;"|"&amp;$J2430)</f>
        <v/>
      </c>
      <c r="L2430" s="10" t="str">
        <f aca="false">IF($A2430="","",ROW()-2)</f>
        <v/>
      </c>
      <c r="M2430" s="10" t="str">
        <f aca="false">IF($A2430="","",ROW())</f>
        <v/>
      </c>
    </row>
    <row r="2431" customFormat="false" ht="15" hidden="false" customHeight="true" outlineLevel="0" collapsed="false">
      <c r="A2431" s="8"/>
      <c r="B2431" s="8"/>
      <c r="C2431" s="8"/>
      <c r="D2431" s="8"/>
      <c r="E2431" s="8"/>
      <c r="F2431" s="8"/>
      <c r="G2431" s="10" t="str">
        <f aca="false">IF($A2431="","",UPPER(SUBSTITUTE(SUBSTITUTE(SUBSTITUTE(SUBSTITUTE($A2431," ",""),"(주)",""),"주식회사",""),"㈜","")))</f>
        <v/>
      </c>
      <c r="H2431" s="10" t="str">
        <f aca="false">IF($B2431="","",SUBSTITUTE(SUBSTITUTE(SUBSTITUTE($B2431,"-","")," ",""),".",""))</f>
        <v/>
      </c>
      <c r="I2431" s="10" t="str">
        <f aca="false">IF($D2431="","",SUBSTITUTE(SUBSTITUTE(SUBSTITUTE($D2431,"-","")," ",""),".",""))</f>
        <v/>
      </c>
      <c r="J2431" s="10" t="str">
        <f aca="false">IF($E2431="","",UPPER(SUBSTITUTE($E2431," ","")))</f>
        <v/>
      </c>
      <c r="K2431" s="10" t="str">
        <f aca="false">IF($A2431="","",$G2431&amp;"|"&amp;$J2431)</f>
        <v/>
      </c>
      <c r="L2431" s="10" t="str">
        <f aca="false">IF($A2431="","",ROW()-2)</f>
        <v/>
      </c>
      <c r="M2431" s="10" t="str">
        <f aca="false">IF($A2431="","",ROW())</f>
        <v/>
      </c>
    </row>
    <row r="2432" customFormat="false" ht="15" hidden="false" customHeight="true" outlineLevel="0" collapsed="false">
      <c r="A2432" s="8"/>
      <c r="B2432" s="8"/>
      <c r="C2432" s="8"/>
      <c r="D2432" s="8"/>
      <c r="E2432" s="8"/>
      <c r="F2432" s="8"/>
      <c r="G2432" s="10" t="str">
        <f aca="false">IF($A2432="","",UPPER(SUBSTITUTE(SUBSTITUTE(SUBSTITUTE(SUBSTITUTE($A2432," ",""),"(주)",""),"주식회사",""),"㈜","")))</f>
        <v/>
      </c>
      <c r="H2432" s="10" t="str">
        <f aca="false">IF($B2432="","",SUBSTITUTE(SUBSTITUTE(SUBSTITUTE($B2432,"-","")," ",""),".",""))</f>
        <v/>
      </c>
      <c r="I2432" s="10" t="str">
        <f aca="false">IF($D2432="","",SUBSTITUTE(SUBSTITUTE(SUBSTITUTE($D2432,"-","")," ",""),".",""))</f>
        <v/>
      </c>
      <c r="J2432" s="10" t="str">
        <f aca="false">IF($E2432="","",UPPER(SUBSTITUTE($E2432," ","")))</f>
        <v/>
      </c>
      <c r="K2432" s="10" t="str">
        <f aca="false">IF($A2432="","",$G2432&amp;"|"&amp;$J2432)</f>
        <v/>
      </c>
      <c r="L2432" s="10" t="str">
        <f aca="false">IF($A2432="","",ROW()-2)</f>
        <v/>
      </c>
      <c r="M2432" s="10" t="str">
        <f aca="false">IF($A2432="","",ROW())</f>
        <v/>
      </c>
    </row>
    <row r="2433" customFormat="false" ht="15" hidden="false" customHeight="true" outlineLevel="0" collapsed="false">
      <c r="A2433" s="8"/>
      <c r="B2433" s="8"/>
      <c r="C2433" s="8"/>
      <c r="D2433" s="8"/>
      <c r="E2433" s="8"/>
      <c r="F2433" s="8"/>
      <c r="G2433" s="10" t="str">
        <f aca="false">IF($A2433="","",UPPER(SUBSTITUTE(SUBSTITUTE(SUBSTITUTE(SUBSTITUTE($A2433," ",""),"(주)",""),"주식회사",""),"㈜","")))</f>
        <v/>
      </c>
      <c r="H2433" s="10" t="str">
        <f aca="false">IF($B2433="","",SUBSTITUTE(SUBSTITUTE(SUBSTITUTE($B2433,"-","")," ",""),".",""))</f>
        <v/>
      </c>
      <c r="I2433" s="10" t="str">
        <f aca="false">IF($D2433="","",SUBSTITUTE(SUBSTITUTE(SUBSTITUTE($D2433,"-","")," ",""),".",""))</f>
        <v/>
      </c>
      <c r="J2433" s="10" t="str">
        <f aca="false">IF($E2433="","",UPPER(SUBSTITUTE($E2433," ","")))</f>
        <v/>
      </c>
      <c r="K2433" s="10" t="str">
        <f aca="false">IF($A2433="","",$G2433&amp;"|"&amp;$J2433)</f>
        <v/>
      </c>
      <c r="L2433" s="10" t="str">
        <f aca="false">IF($A2433="","",ROW()-2)</f>
        <v/>
      </c>
      <c r="M2433" s="10" t="str">
        <f aca="false">IF($A2433="","",ROW())</f>
        <v/>
      </c>
    </row>
    <row r="2434" customFormat="false" ht="15" hidden="false" customHeight="true" outlineLevel="0" collapsed="false">
      <c r="A2434" s="8"/>
      <c r="B2434" s="8"/>
      <c r="C2434" s="8"/>
      <c r="D2434" s="8"/>
      <c r="E2434" s="8"/>
      <c r="F2434" s="8"/>
      <c r="G2434" s="10" t="str">
        <f aca="false">IF($A2434="","",UPPER(SUBSTITUTE(SUBSTITUTE(SUBSTITUTE(SUBSTITUTE($A2434," ",""),"(주)",""),"주식회사",""),"㈜","")))</f>
        <v/>
      </c>
      <c r="H2434" s="10" t="str">
        <f aca="false">IF($B2434="","",SUBSTITUTE(SUBSTITUTE(SUBSTITUTE($B2434,"-","")," ",""),".",""))</f>
        <v/>
      </c>
      <c r="I2434" s="10" t="str">
        <f aca="false">IF($D2434="","",SUBSTITUTE(SUBSTITUTE(SUBSTITUTE($D2434,"-","")," ",""),".",""))</f>
        <v/>
      </c>
      <c r="J2434" s="10" t="str">
        <f aca="false">IF($E2434="","",UPPER(SUBSTITUTE($E2434," ","")))</f>
        <v/>
      </c>
      <c r="K2434" s="10" t="str">
        <f aca="false">IF($A2434="","",$G2434&amp;"|"&amp;$J2434)</f>
        <v/>
      </c>
      <c r="L2434" s="10" t="str">
        <f aca="false">IF($A2434="","",ROW()-2)</f>
        <v/>
      </c>
      <c r="M2434" s="10" t="str">
        <f aca="false">IF($A2434="","",ROW())</f>
        <v/>
      </c>
    </row>
    <row r="2435" customFormat="false" ht="15" hidden="false" customHeight="true" outlineLevel="0" collapsed="false">
      <c r="A2435" s="8"/>
      <c r="B2435" s="8"/>
      <c r="C2435" s="8"/>
      <c r="D2435" s="8"/>
      <c r="E2435" s="8"/>
      <c r="F2435" s="8"/>
      <c r="G2435" s="10" t="str">
        <f aca="false">IF($A2435="","",UPPER(SUBSTITUTE(SUBSTITUTE(SUBSTITUTE(SUBSTITUTE($A2435," ",""),"(주)",""),"주식회사",""),"㈜","")))</f>
        <v/>
      </c>
      <c r="H2435" s="10" t="str">
        <f aca="false">IF($B2435="","",SUBSTITUTE(SUBSTITUTE(SUBSTITUTE($B2435,"-","")," ",""),".",""))</f>
        <v/>
      </c>
      <c r="I2435" s="10" t="str">
        <f aca="false">IF($D2435="","",SUBSTITUTE(SUBSTITUTE(SUBSTITUTE($D2435,"-","")," ",""),".",""))</f>
        <v/>
      </c>
      <c r="J2435" s="10" t="str">
        <f aca="false">IF($E2435="","",UPPER(SUBSTITUTE($E2435," ","")))</f>
        <v/>
      </c>
      <c r="K2435" s="10" t="str">
        <f aca="false">IF($A2435="","",$G2435&amp;"|"&amp;$J2435)</f>
        <v/>
      </c>
      <c r="L2435" s="10" t="str">
        <f aca="false">IF($A2435="","",ROW()-2)</f>
        <v/>
      </c>
      <c r="M2435" s="10" t="str">
        <f aca="false">IF($A2435="","",ROW())</f>
        <v/>
      </c>
    </row>
    <row r="2436" customFormat="false" ht="15" hidden="false" customHeight="true" outlineLevel="0" collapsed="false">
      <c r="A2436" s="8"/>
      <c r="B2436" s="8"/>
      <c r="C2436" s="8"/>
      <c r="D2436" s="8"/>
      <c r="E2436" s="8"/>
      <c r="F2436" s="8"/>
      <c r="G2436" s="10" t="str">
        <f aca="false">IF($A2436="","",UPPER(SUBSTITUTE(SUBSTITUTE(SUBSTITUTE(SUBSTITUTE($A2436," ",""),"(주)",""),"주식회사",""),"㈜","")))</f>
        <v/>
      </c>
      <c r="H2436" s="10" t="str">
        <f aca="false">IF($B2436="","",SUBSTITUTE(SUBSTITUTE(SUBSTITUTE($B2436,"-","")," ",""),".",""))</f>
        <v/>
      </c>
      <c r="I2436" s="10" t="str">
        <f aca="false">IF($D2436="","",SUBSTITUTE(SUBSTITUTE(SUBSTITUTE($D2436,"-","")," ",""),".",""))</f>
        <v/>
      </c>
      <c r="J2436" s="10" t="str">
        <f aca="false">IF($E2436="","",UPPER(SUBSTITUTE($E2436," ","")))</f>
        <v/>
      </c>
      <c r="K2436" s="10" t="str">
        <f aca="false">IF($A2436="","",$G2436&amp;"|"&amp;$J2436)</f>
        <v/>
      </c>
      <c r="L2436" s="10" t="str">
        <f aca="false">IF($A2436="","",ROW()-2)</f>
        <v/>
      </c>
      <c r="M2436" s="10" t="str">
        <f aca="false">IF($A2436="","",ROW())</f>
        <v/>
      </c>
    </row>
    <row r="2437" customFormat="false" ht="15" hidden="false" customHeight="true" outlineLevel="0" collapsed="false">
      <c r="A2437" s="8"/>
      <c r="B2437" s="8"/>
      <c r="C2437" s="8"/>
      <c r="D2437" s="8"/>
      <c r="E2437" s="8"/>
      <c r="F2437" s="8"/>
      <c r="G2437" s="10" t="str">
        <f aca="false">IF($A2437="","",UPPER(SUBSTITUTE(SUBSTITUTE(SUBSTITUTE(SUBSTITUTE($A2437," ",""),"(주)",""),"주식회사",""),"㈜","")))</f>
        <v/>
      </c>
      <c r="H2437" s="10" t="str">
        <f aca="false">IF($B2437="","",SUBSTITUTE(SUBSTITUTE(SUBSTITUTE($B2437,"-","")," ",""),".",""))</f>
        <v/>
      </c>
      <c r="I2437" s="10" t="str">
        <f aca="false">IF($D2437="","",SUBSTITUTE(SUBSTITUTE(SUBSTITUTE($D2437,"-","")," ",""),".",""))</f>
        <v/>
      </c>
      <c r="J2437" s="10" t="str">
        <f aca="false">IF($E2437="","",UPPER(SUBSTITUTE($E2437," ","")))</f>
        <v/>
      </c>
      <c r="K2437" s="10" t="str">
        <f aca="false">IF($A2437="","",$G2437&amp;"|"&amp;$J2437)</f>
        <v/>
      </c>
      <c r="L2437" s="10" t="str">
        <f aca="false">IF($A2437="","",ROW()-2)</f>
        <v/>
      </c>
      <c r="M2437" s="10" t="str">
        <f aca="false">IF($A2437="","",ROW())</f>
        <v/>
      </c>
    </row>
    <row r="2438" customFormat="false" ht="15" hidden="false" customHeight="true" outlineLevel="0" collapsed="false">
      <c r="A2438" s="8"/>
      <c r="B2438" s="8"/>
      <c r="C2438" s="8"/>
      <c r="D2438" s="8"/>
      <c r="E2438" s="8"/>
      <c r="F2438" s="8"/>
      <c r="G2438" s="10" t="str">
        <f aca="false">IF($A2438="","",UPPER(SUBSTITUTE(SUBSTITUTE(SUBSTITUTE(SUBSTITUTE($A2438," ",""),"(주)",""),"주식회사",""),"㈜","")))</f>
        <v/>
      </c>
      <c r="H2438" s="10" t="str">
        <f aca="false">IF($B2438="","",SUBSTITUTE(SUBSTITUTE(SUBSTITUTE($B2438,"-","")," ",""),".",""))</f>
        <v/>
      </c>
      <c r="I2438" s="10" t="str">
        <f aca="false">IF($D2438="","",SUBSTITUTE(SUBSTITUTE(SUBSTITUTE($D2438,"-","")," ",""),".",""))</f>
        <v/>
      </c>
      <c r="J2438" s="10" t="str">
        <f aca="false">IF($E2438="","",UPPER(SUBSTITUTE($E2438," ","")))</f>
        <v/>
      </c>
      <c r="K2438" s="10" t="str">
        <f aca="false">IF($A2438="","",$G2438&amp;"|"&amp;$J2438)</f>
        <v/>
      </c>
      <c r="L2438" s="10" t="str">
        <f aca="false">IF($A2438="","",ROW()-2)</f>
        <v/>
      </c>
      <c r="M2438" s="10" t="str">
        <f aca="false">IF($A2438="","",ROW())</f>
        <v/>
      </c>
    </row>
    <row r="2439" customFormat="false" ht="15" hidden="false" customHeight="true" outlineLevel="0" collapsed="false">
      <c r="A2439" s="8"/>
      <c r="B2439" s="8"/>
      <c r="C2439" s="8"/>
      <c r="D2439" s="8"/>
      <c r="E2439" s="8"/>
      <c r="F2439" s="8"/>
      <c r="G2439" s="10" t="str">
        <f aca="false">IF($A2439="","",UPPER(SUBSTITUTE(SUBSTITUTE(SUBSTITUTE(SUBSTITUTE($A2439," ",""),"(주)",""),"주식회사",""),"㈜","")))</f>
        <v/>
      </c>
      <c r="H2439" s="10" t="str">
        <f aca="false">IF($B2439="","",SUBSTITUTE(SUBSTITUTE(SUBSTITUTE($B2439,"-","")," ",""),".",""))</f>
        <v/>
      </c>
      <c r="I2439" s="10" t="str">
        <f aca="false">IF($D2439="","",SUBSTITUTE(SUBSTITUTE(SUBSTITUTE($D2439,"-","")," ",""),".",""))</f>
        <v/>
      </c>
      <c r="J2439" s="10" t="str">
        <f aca="false">IF($E2439="","",UPPER(SUBSTITUTE($E2439," ","")))</f>
        <v/>
      </c>
      <c r="K2439" s="10" t="str">
        <f aca="false">IF($A2439="","",$G2439&amp;"|"&amp;$J2439)</f>
        <v/>
      </c>
      <c r="L2439" s="10" t="str">
        <f aca="false">IF($A2439="","",ROW()-2)</f>
        <v/>
      </c>
      <c r="M2439" s="10" t="str">
        <f aca="false">IF($A2439="","",ROW())</f>
        <v/>
      </c>
    </row>
    <row r="2440" customFormat="false" ht="15" hidden="false" customHeight="true" outlineLevel="0" collapsed="false">
      <c r="A2440" s="8"/>
      <c r="B2440" s="8"/>
      <c r="C2440" s="8"/>
      <c r="D2440" s="8"/>
      <c r="E2440" s="8"/>
      <c r="F2440" s="8"/>
      <c r="G2440" s="10" t="str">
        <f aca="false">IF($A2440="","",UPPER(SUBSTITUTE(SUBSTITUTE(SUBSTITUTE(SUBSTITUTE($A2440," ",""),"(주)",""),"주식회사",""),"㈜","")))</f>
        <v/>
      </c>
      <c r="H2440" s="10" t="str">
        <f aca="false">IF($B2440="","",SUBSTITUTE(SUBSTITUTE(SUBSTITUTE($B2440,"-","")," ",""),".",""))</f>
        <v/>
      </c>
      <c r="I2440" s="10" t="str">
        <f aca="false">IF($D2440="","",SUBSTITUTE(SUBSTITUTE(SUBSTITUTE($D2440,"-","")," ",""),".",""))</f>
        <v/>
      </c>
      <c r="J2440" s="10" t="str">
        <f aca="false">IF($E2440="","",UPPER(SUBSTITUTE($E2440," ","")))</f>
        <v/>
      </c>
      <c r="K2440" s="10" t="str">
        <f aca="false">IF($A2440="","",$G2440&amp;"|"&amp;$J2440)</f>
        <v/>
      </c>
      <c r="L2440" s="10" t="str">
        <f aca="false">IF($A2440="","",ROW()-2)</f>
        <v/>
      </c>
      <c r="M2440" s="10" t="str">
        <f aca="false">IF($A2440="","",ROW())</f>
        <v/>
      </c>
    </row>
    <row r="2441" customFormat="false" ht="15" hidden="false" customHeight="true" outlineLevel="0" collapsed="false">
      <c r="A2441" s="8"/>
      <c r="B2441" s="8"/>
      <c r="C2441" s="8"/>
      <c r="D2441" s="8"/>
      <c r="E2441" s="8"/>
      <c r="F2441" s="8"/>
      <c r="G2441" s="10" t="str">
        <f aca="false">IF($A2441="","",UPPER(SUBSTITUTE(SUBSTITUTE(SUBSTITUTE(SUBSTITUTE($A2441," ",""),"(주)",""),"주식회사",""),"㈜","")))</f>
        <v/>
      </c>
      <c r="H2441" s="10" t="str">
        <f aca="false">IF($B2441="","",SUBSTITUTE(SUBSTITUTE(SUBSTITUTE($B2441,"-","")," ",""),".",""))</f>
        <v/>
      </c>
      <c r="I2441" s="10" t="str">
        <f aca="false">IF($D2441="","",SUBSTITUTE(SUBSTITUTE(SUBSTITUTE($D2441,"-","")," ",""),".",""))</f>
        <v/>
      </c>
      <c r="J2441" s="10" t="str">
        <f aca="false">IF($E2441="","",UPPER(SUBSTITUTE($E2441," ","")))</f>
        <v/>
      </c>
      <c r="K2441" s="10" t="str">
        <f aca="false">IF($A2441="","",$G2441&amp;"|"&amp;$J2441)</f>
        <v/>
      </c>
      <c r="L2441" s="10" t="str">
        <f aca="false">IF($A2441="","",ROW()-2)</f>
        <v/>
      </c>
      <c r="M2441" s="10" t="str">
        <f aca="false">IF($A2441="","",ROW())</f>
        <v/>
      </c>
    </row>
    <row r="2442" customFormat="false" ht="15" hidden="false" customHeight="true" outlineLevel="0" collapsed="false">
      <c r="A2442" s="8"/>
      <c r="B2442" s="8"/>
      <c r="C2442" s="8"/>
      <c r="D2442" s="8"/>
      <c r="E2442" s="8"/>
      <c r="F2442" s="8"/>
      <c r="G2442" s="10" t="str">
        <f aca="false">IF($A2442="","",UPPER(SUBSTITUTE(SUBSTITUTE(SUBSTITUTE(SUBSTITUTE($A2442," ",""),"(주)",""),"주식회사",""),"㈜","")))</f>
        <v/>
      </c>
      <c r="H2442" s="10" t="str">
        <f aca="false">IF($B2442="","",SUBSTITUTE(SUBSTITUTE(SUBSTITUTE($B2442,"-","")," ",""),".",""))</f>
        <v/>
      </c>
      <c r="I2442" s="10" t="str">
        <f aca="false">IF($D2442="","",SUBSTITUTE(SUBSTITUTE(SUBSTITUTE($D2442,"-","")," ",""),".",""))</f>
        <v/>
      </c>
      <c r="J2442" s="10" t="str">
        <f aca="false">IF($E2442="","",UPPER(SUBSTITUTE($E2442," ","")))</f>
        <v/>
      </c>
      <c r="K2442" s="10" t="str">
        <f aca="false">IF($A2442="","",$G2442&amp;"|"&amp;$J2442)</f>
        <v/>
      </c>
      <c r="L2442" s="10" t="str">
        <f aca="false">IF($A2442="","",ROW()-2)</f>
        <v/>
      </c>
      <c r="M2442" s="10" t="str">
        <f aca="false">IF($A2442="","",ROW())</f>
        <v/>
      </c>
    </row>
    <row r="2443" customFormat="false" ht="15" hidden="false" customHeight="true" outlineLevel="0" collapsed="false">
      <c r="A2443" s="8"/>
      <c r="B2443" s="8"/>
      <c r="C2443" s="8"/>
      <c r="D2443" s="8"/>
      <c r="E2443" s="8"/>
      <c r="F2443" s="8"/>
      <c r="G2443" s="10" t="str">
        <f aca="false">IF($A2443="","",UPPER(SUBSTITUTE(SUBSTITUTE(SUBSTITUTE(SUBSTITUTE($A2443," ",""),"(주)",""),"주식회사",""),"㈜","")))</f>
        <v/>
      </c>
      <c r="H2443" s="10" t="str">
        <f aca="false">IF($B2443="","",SUBSTITUTE(SUBSTITUTE(SUBSTITUTE($B2443,"-","")," ",""),".",""))</f>
        <v/>
      </c>
      <c r="I2443" s="10" t="str">
        <f aca="false">IF($D2443="","",SUBSTITUTE(SUBSTITUTE(SUBSTITUTE($D2443,"-","")," ",""),".",""))</f>
        <v/>
      </c>
      <c r="J2443" s="10" t="str">
        <f aca="false">IF($E2443="","",UPPER(SUBSTITUTE($E2443," ","")))</f>
        <v/>
      </c>
      <c r="K2443" s="10" t="str">
        <f aca="false">IF($A2443="","",$G2443&amp;"|"&amp;$J2443)</f>
        <v/>
      </c>
      <c r="L2443" s="10" t="str">
        <f aca="false">IF($A2443="","",ROW()-2)</f>
        <v/>
      </c>
      <c r="M2443" s="10" t="str">
        <f aca="false">IF($A2443="","",ROW())</f>
        <v/>
      </c>
    </row>
    <row r="2444" customFormat="false" ht="15" hidden="false" customHeight="true" outlineLevel="0" collapsed="false">
      <c r="A2444" s="8"/>
      <c r="B2444" s="8"/>
      <c r="C2444" s="8"/>
      <c r="D2444" s="8"/>
      <c r="E2444" s="8"/>
      <c r="F2444" s="8"/>
      <c r="G2444" s="10" t="str">
        <f aca="false">IF($A2444="","",UPPER(SUBSTITUTE(SUBSTITUTE(SUBSTITUTE(SUBSTITUTE($A2444," ",""),"(주)",""),"주식회사",""),"㈜","")))</f>
        <v/>
      </c>
      <c r="H2444" s="10" t="str">
        <f aca="false">IF($B2444="","",SUBSTITUTE(SUBSTITUTE(SUBSTITUTE($B2444,"-","")," ",""),".",""))</f>
        <v/>
      </c>
      <c r="I2444" s="10" t="str">
        <f aca="false">IF($D2444="","",SUBSTITUTE(SUBSTITUTE(SUBSTITUTE($D2444,"-","")," ",""),".",""))</f>
        <v/>
      </c>
      <c r="J2444" s="10" t="str">
        <f aca="false">IF($E2444="","",UPPER(SUBSTITUTE($E2444," ","")))</f>
        <v/>
      </c>
      <c r="K2444" s="10" t="str">
        <f aca="false">IF($A2444="","",$G2444&amp;"|"&amp;$J2444)</f>
        <v/>
      </c>
      <c r="L2444" s="10" t="str">
        <f aca="false">IF($A2444="","",ROW()-2)</f>
        <v/>
      </c>
      <c r="M2444" s="10" t="str">
        <f aca="false">IF($A2444="","",ROW())</f>
        <v/>
      </c>
    </row>
    <row r="2445" customFormat="false" ht="15" hidden="false" customHeight="true" outlineLevel="0" collapsed="false">
      <c r="A2445" s="8"/>
      <c r="B2445" s="8"/>
      <c r="C2445" s="8"/>
      <c r="D2445" s="8"/>
      <c r="E2445" s="8"/>
      <c r="F2445" s="8"/>
      <c r="G2445" s="10" t="str">
        <f aca="false">IF($A2445="","",UPPER(SUBSTITUTE(SUBSTITUTE(SUBSTITUTE(SUBSTITUTE($A2445," ",""),"(주)",""),"주식회사",""),"㈜","")))</f>
        <v/>
      </c>
      <c r="H2445" s="10" t="str">
        <f aca="false">IF($B2445="","",SUBSTITUTE(SUBSTITUTE(SUBSTITUTE($B2445,"-","")," ",""),".",""))</f>
        <v/>
      </c>
      <c r="I2445" s="10" t="str">
        <f aca="false">IF($D2445="","",SUBSTITUTE(SUBSTITUTE(SUBSTITUTE($D2445,"-","")," ",""),".",""))</f>
        <v/>
      </c>
      <c r="J2445" s="10" t="str">
        <f aca="false">IF($E2445="","",UPPER(SUBSTITUTE($E2445," ","")))</f>
        <v/>
      </c>
      <c r="K2445" s="10" t="str">
        <f aca="false">IF($A2445="","",$G2445&amp;"|"&amp;$J2445)</f>
        <v/>
      </c>
      <c r="L2445" s="10" t="str">
        <f aca="false">IF($A2445="","",ROW()-2)</f>
        <v/>
      </c>
      <c r="M2445" s="10" t="str">
        <f aca="false">IF($A2445="","",ROW())</f>
        <v/>
      </c>
    </row>
    <row r="2446" customFormat="false" ht="15" hidden="false" customHeight="true" outlineLevel="0" collapsed="false">
      <c r="A2446" s="8"/>
      <c r="B2446" s="8"/>
      <c r="C2446" s="8"/>
      <c r="D2446" s="8"/>
      <c r="E2446" s="8"/>
      <c r="F2446" s="8"/>
      <c r="G2446" s="10" t="str">
        <f aca="false">IF($A2446="","",UPPER(SUBSTITUTE(SUBSTITUTE(SUBSTITUTE(SUBSTITUTE($A2446," ",""),"(주)",""),"주식회사",""),"㈜","")))</f>
        <v/>
      </c>
      <c r="H2446" s="10" t="str">
        <f aca="false">IF($B2446="","",SUBSTITUTE(SUBSTITUTE(SUBSTITUTE($B2446,"-","")," ",""),".",""))</f>
        <v/>
      </c>
      <c r="I2446" s="10" t="str">
        <f aca="false">IF($D2446="","",SUBSTITUTE(SUBSTITUTE(SUBSTITUTE($D2446,"-","")," ",""),".",""))</f>
        <v/>
      </c>
      <c r="J2446" s="10" t="str">
        <f aca="false">IF($E2446="","",UPPER(SUBSTITUTE($E2446," ","")))</f>
        <v/>
      </c>
      <c r="K2446" s="10" t="str">
        <f aca="false">IF($A2446="","",$G2446&amp;"|"&amp;$J2446)</f>
        <v/>
      </c>
      <c r="L2446" s="10" t="str">
        <f aca="false">IF($A2446="","",ROW()-2)</f>
        <v/>
      </c>
      <c r="M2446" s="10" t="str">
        <f aca="false">IF($A2446="","",ROW())</f>
        <v/>
      </c>
    </row>
    <row r="2447" customFormat="false" ht="15" hidden="false" customHeight="true" outlineLevel="0" collapsed="false">
      <c r="A2447" s="8"/>
      <c r="B2447" s="8"/>
      <c r="C2447" s="8"/>
      <c r="D2447" s="8"/>
      <c r="E2447" s="8"/>
      <c r="F2447" s="8"/>
      <c r="G2447" s="10" t="str">
        <f aca="false">IF($A2447="","",UPPER(SUBSTITUTE(SUBSTITUTE(SUBSTITUTE(SUBSTITUTE($A2447," ",""),"(주)",""),"주식회사",""),"㈜","")))</f>
        <v/>
      </c>
      <c r="H2447" s="10" t="str">
        <f aca="false">IF($B2447="","",SUBSTITUTE(SUBSTITUTE(SUBSTITUTE($B2447,"-","")," ",""),".",""))</f>
        <v/>
      </c>
      <c r="I2447" s="10" t="str">
        <f aca="false">IF($D2447="","",SUBSTITUTE(SUBSTITUTE(SUBSTITUTE($D2447,"-","")," ",""),".",""))</f>
        <v/>
      </c>
      <c r="J2447" s="10" t="str">
        <f aca="false">IF($E2447="","",UPPER(SUBSTITUTE($E2447," ","")))</f>
        <v/>
      </c>
      <c r="K2447" s="10" t="str">
        <f aca="false">IF($A2447="","",$G2447&amp;"|"&amp;$J2447)</f>
        <v/>
      </c>
      <c r="L2447" s="10" t="str">
        <f aca="false">IF($A2447="","",ROW()-2)</f>
        <v/>
      </c>
      <c r="M2447" s="10" t="str">
        <f aca="false">IF($A2447="","",ROW())</f>
        <v/>
      </c>
    </row>
    <row r="2448" customFormat="false" ht="15" hidden="false" customHeight="true" outlineLevel="0" collapsed="false">
      <c r="A2448" s="8"/>
      <c r="B2448" s="8"/>
      <c r="C2448" s="8"/>
      <c r="D2448" s="8"/>
      <c r="E2448" s="8"/>
      <c r="F2448" s="8"/>
      <c r="G2448" s="10" t="str">
        <f aca="false">IF($A2448="","",UPPER(SUBSTITUTE(SUBSTITUTE(SUBSTITUTE(SUBSTITUTE($A2448," ",""),"(주)",""),"주식회사",""),"㈜","")))</f>
        <v/>
      </c>
      <c r="H2448" s="10" t="str">
        <f aca="false">IF($B2448="","",SUBSTITUTE(SUBSTITUTE(SUBSTITUTE($B2448,"-","")," ",""),".",""))</f>
        <v/>
      </c>
      <c r="I2448" s="10" t="str">
        <f aca="false">IF($D2448="","",SUBSTITUTE(SUBSTITUTE(SUBSTITUTE($D2448,"-","")," ",""),".",""))</f>
        <v/>
      </c>
      <c r="J2448" s="10" t="str">
        <f aca="false">IF($E2448="","",UPPER(SUBSTITUTE($E2448," ","")))</f>
        <v/>
      </c>
      <c r="K2448" s="10" t="str">
        <f aca="false">IF($A2448="","",$G2448&amp;"|"&amp;$J2448)</f>
        <v/>
      </c>
      <c r="L2448" s="10" t="str">
        <f aca="false">IF($A2448="","",ROW()-2)</f>
        <v/>
      </c>
      <c r="M2448" s="10" t="str">
        <f aca="false">IF($A2448="","",ROW())</f>
        <v/>
      </c>
    </row>
    <row r="2449" customFormat="false" ht="15" hidden="false" customHeight="true" outlineLevel="0" collapsed="false">
      <c r="A2449" s="8"/>
      <c r="B2449" s="8"/>
      <c r="C2449" s="8"/>
      <c r="D2449" s="8"/>
      <c r="E2449" s="8"/>
      <c r="F2449" s="8"/>
      <c r="G2449" s="10" t="str">
        <f aca="false">IF($A2449="","",UPPER(SUBSTITUTE(SUBSTITUTE(SUBSTITUTE(SUBSTITUTE($A2449," ",""),"(주)",""),"주식회사",""),"㈜","")))</f>
        <v/>
      </c>
      <c r="H2449" s="10" t="str">
        <f aca="false">IF($B2449="","",SUBSTITUTE(SUBSTITUTE(SUBSTITUTE($B2449,"-","")," ",""),".",""))</f>
        <v/>
      </c>
      <c r="I2449" s="10" t="str">
        <f aca="false">IF($D2449="","",SUBSTITUTE(SUBSTITUTE(SUBSTITUTE($D2449,"-","")," ",""),".",""))</f>
        <v/>
      </c>
      <c r="J2449" s="10" t="str">
        <f aca="false">IF($E2449="","",UPPER(SUBSTITUTE($E2449," ","")))</f>
        <v/>
      </c>
      <c r="K2449" s="10" t="str">
        <f aca="false">IF($A2449="","",$G2449&amp;"|"&amp;$J2449)</f>
        <v/>
      </c>
      <c r="L2449" s="10" t="str">
        <f aca="false">IF($A2449="","",ROW()-2)</f>
        <v/>
      </c>
      <c r="M2449" s="10" t="str">
        <f aca="false">IF($A2449="","",ROW())</f>
        <v/>
      </c>
    </row>
    <row r="2450" customFormat="false" ht="15" hidden="false" customHeight="true" outlineLevel="0" collapsed="false">
      <c r="A2450" s="8"/>
      <c r="B2450" s="8"/>
      <c r="C2450" s="8"/>
      <c r="D2450" s="8"/>
      <c r="E2450" s="8"/>
      <c r="F2450" s="8"/>
      <c r="G2450" s="10" t="str">
        <f aca="false">IF($A2450="","",UPPER(SUBSTITUTE(SUBSTITUTE(SUBSTITUTE(SUBSTITUTE($A2450," ",""),"(주)",""),"주식회사",""),"㈜","")))</f>
        <v/>
      </c>
      <c r="H2450" s="10" t="str">
        <f aca="false">IF($B2450="","",SUBSTITUTE(SUBSTITUTE(SUBSTITUTE($B2450,"-","")," ",""),".",""))</f>
        <v/>
      </c>
      <c r="I2450" s="10" t="str">
        <f aca="false">IF($D2450="","",SUBSTITUTE(SUBSTITUTE(SUBSTITUTE($D2450,"-","")," ",""),".",""))</f>
        <v/>
      </c>
      <c r="J2450" s="10" t="str">
        <f aca="false">IF($E2450="","",UPPER(SUBSTITUTE($E2450," ","")))</f>
        <v/>
      </c>
      <c r="K2450" s="10" t="str">
        <f aca="false">IF($A2450="","",$G2450&amp;"|"&amp;$J2450)</f>
        <v/>
      </c>
      <c r="L2450" s="10" t="str">
        <f aca="false">IF($A2450="","",ROW()-2)</f>
        <v/>
      </c>
      <c r="M2450" s="10" t="str">
        <f aca="false">IF($A2450="","",ROW())</f>
        <v/>
      </c>
    </row>
    <row r="2451" customFormat="false" ht="15" hidden="false" customHeight="true" outlineLevel="0" collapsed="false">
      <c r="A2451" s="8"/>
      <c r="B2451" s="8"/>
      <c r="C2451" s="8"/>
      <c r="D2451" s="8"/>
      <c r="E2451" s="8"/>
      <c r="F2451" s="8"/>
      <c r="G2451" s="10" t="str">
        <f aca="false">IF($A2451="","",UPPER(SUBSTITUTE(SUBSTITUTE(SUBSTITUTE(SUBSTITUTE($A2451," ",""),"(주)",""),"주식회사",""),"㈜","")))</f>
        <v/>
      </c>
      <c r="H2451" s="10" t="str">
        <f aca="false">IF($B2451="","",SUBSTITUTE(SUBSTITUTE(SUBSTITUTE($B2451,"-","")," ",""),".",""))</f>
        <v/>
      </c>
      <c r="I2451" s="10" t="str">
        <f aca="false">IF($D2451="","",SUBSTITUTE(SUBSTITUTE(SUBSTITUTE($D2451,"-","")," ",""),".",""))</f>
        <v/>
      </c>
      <c r="J2451" s="10" t="str">
        <f aca="false">IF($E2451="","",UPPER(SUBSTITUTE($E2451," ","")))</f>
        <v/>
      </c>
      <c r="K2451" s="10" t="str">
        <f aca="false">IF($A2451="","",$G2451&amp;"|"&amp;$J2451)</f>
        <v/>
      </c>
      <c r="L2451" s="10" t="str">
        <f aca="false">IF($A2451="","",ROW()-2)</f>
        <v/>
      </c>
      <c r="M2451" s="10" t="str">
        <f aca="false">IF($A2451="","",ROW())</f>
        <v/>
      </c>
    </row>
    <row r="2452" customFormat="false" ht="15" hidden="false" customHeight="true" outlineLevel="0" collapsed="false">
      <c r="A2452" s="8"/>
      <c r="B2452" s="8"/>
      <c r="C2452" s="8"/>
      <c r="D2452" s="8"/>
      <c r="E2452" s="8"/>
      <c r="F2452" s="8"/>
      <c r="G2452" s="10" t="str">
        <f aca="false">IF($A2452="","",UPPER(SUBSTITUTE(SUBSTITUTE(SUBSTITUTE(SUBSTITUTE($A2452," ",""),"(주)",""),"주식회사",""),"㈜","")))</f>
        <v/>
      </c>
      <c r="H2452" s="10" t="str">
        <f aca="false">IF($B2452="","",SUBSTITUTE(SUBSTITUTE(SUBSTITUTE($B2452,"-","")," ",""),".",""))</f>
        <v/>
      </c>
      <c r="I2452" s="10" t="str">
        <f aca="false">IF($D2452="","",SUBSTITUTE(SUBSTITUTE(SUBSTITUTE($D2452,"-","")," ",""),".",""))</f>
        <v/>
      </c>
      <c r="J2452" s="10" t="str">
        <f aca="false">IF($E2452="","",UPPER(SUBSTITUTE($E2452," ","")))</f>
        <v/>
      </c>
      <c r="K2452" s="10" t="str">
        <f aca="false">IF($A2452="","",$G2452&amp;"|"&amp;$J2452)</f>
        <v/>
      </c>
      <c r="L2452" s="10" t="str">
        <f aca="false">IF($A2452="","",ROW()-2)</f>
        <v/>
      </c>
      <c r="M2452" s="10" t="str">
        <f aca="false">IF($A2452="","",ROW())</f>
        <v/>
      </c>
    </row>
    <row r="2453" customFormat="false" ht="15" hidden="false" customHeight="true" outlineLevel="0" collapsed="false">
      <c r="A2453" s="8"/>
      <c r="B2453" s="8"/>
      <c r="C2453" s="8"/>
      <c r="D2453" s="8"/>
      <c r="E2453" s="8"/>
      <c r="F2453" s="8"/>
      <c r="G2453" s="10" t="str">
        <f aca="false">IF($A2453="","",UPPER(SUBSTITUTE(SUBSTITUTE(SUBSTITUTE(SUBSTITUTE($A2453," ",""),"(주)",""),"주식회사",""),"㈜","")))</f>
        <v/>
      </c>
      <c r="H2453" s="10" t="str">
        <f aca="false">IF($B2453="","",SUBSTITUTE(SUBSTITUTE(SUBSTITUTE($B2453,"-","")," ",""),".",""))</f>
        <v/>
      </c>
      <c r="I2453" s="10" t="str">
        <f aca="false">IF($D2453="","",SUBSTITUTE(SUBSTITUTE(SUBSTITUTE($D2453,"-","")," ",""),".",""))</f>
        <v/>
      </c>
      <c r="J2453" s="10" t="str">
        <f aca="false">IF($E2453="","",UPPER(SUBSTITUTE($E2453," ","")))</f>
        <v/>
      </c>
      <c r="K2453" s="10" t="str">
        <f aca="false">IF($A2453="","",$G2453&amp;"|"&amp;$J2453)</f>
        <v/>
      </c>
      <c r="L2453" s="10" t="str">
        <f aca="false">IF($A2453="","",ROW()-2)</f>
        <v/>
      </c>
      <c r="M2453" s="10" t="str">
        <f aca="false">IF($A2453="","",ROW())</f>
        <v/>
      </c>
    </row>
    <row r="2454" customFormat="false" ht="15" hidden="false" customHeight="true" outlineLevel="0" collapsed="false">
      <c r="A2454" s="8"/>
      <c r="B2454" s="8"/>
      <c r="C2454" s="8"/>
      <c r="D2454" s="8"/>
      <c r="E2454" s="8"/>
      <c r="F2454" s="8"/>
      <c r="G2454" s="10" t="str">
        <f aca="false">IF($A2454="","",UPPER(SUBSTITUTE(SUBSTITUTE(SUBSTITUTE(SUBSTITUTE($A2454," ",""),"(주)",""),"주식회사",""),"㈜","")))</f>
        <v/>
      </c>
      <c r="H2454" s="10" t="str">
        <f aca="false">IF($B2454="","",SUBSTITUTE(SUBSTITUTE(SUBSTITUTE($B2454,"-","")," ",""),".",""))</f>
        <v/>
      </c>
      <c r="I2454" s="10" t="str">
        <f aca="false">IF($D2454="","",SUBSTITUTE(SUBSTITUTE(SUBSTITUTE($D2454,"-","")," ",""),".",""))</f>
        <v/>
      </c>
      <c r="J2454" s="10" t="str">
        <f aca="false">IF($E2454="","",UPPER(SUBSTITUTE($E2454," ","")))</f>
        <v/>
      </c>
      <c r="K2454" s="10" t="str">
        <f aca="false">IF($A2454="","",$G2454&amp;"|"&amp;$J2454)</f>
        <v/>
      </c>
      <c r="L2454" s="10" t="str">
        <f aca="false">IF($A2454="","",ROW()-2)</f>
        <v/>
      </c>
      <c r="M2454" s="10" t="str">
        <f aca="false">IF($A2454="","",ROW())</f>
        <v/>
      </c>
    </row>
    <row r="2455" customFormat="false" ht="15" hidden="false" customHeight="true" outlineLevel="0" collapsed="false">
      <c r="A2455" s="8"/>
      <c r="B2455" s="8"/>
      <c r="C2455" s="8"/>
      <c r="D2455" s="8"/>
      <c r="E2455" s="8"/>
      <c r="F2455" s="8"/>
      <c r="G2455" s="10" t="str">
        <f aca="false">IF($A2455="","",UPPER(SUBSTITUTE(SUBSTITUTE(SUBSTITUTE(SUBSTITUTE($A2455," ",""),"(주)",""),"주식회사",""),"㈜","")))</f>
        <v/>
      </c>
      <c r="H2455" s="10" t="str">
        <f aca="false">IF($B2455="","",SUBSTITUTE(SUBSTITUTE(SUBSTITUTE($B2455,"-","")," ",""),".",""))</f>
        <v/>
      </c>
      <c r="I2455" s="10" t="str">
        <f aca="false">IF($D2455="","",SUBSTITUTE(SUBSTITUTE(SUBSTITUTE($D2455,"-","")," ",""),".",""))</f>
        <v/>
      </c>
      <c r="J2455" s="10" t="str">
        <f aca="false">IF($E2455="","",UPPER(SUBSTITUTE($E2455," ","")))</f>
        <v/>
      </c>
      <c r="K2455" s="10" t="str">
        <f aca="false">IF($A2455="","",$G2455&amp;"|"&amp;$J2455)</f>
        <v/>
      </c>
      <c r="L2455" s="10" t="str">
        <f aca="false">IF($A2455="","",ROW()-2)</f>
        <v/>
      </c>
      <c r="M2455" s="10" t="str">
        <f aca="false">IF($A2455="","",ROW())</f>
        <v/>
      </c>
    </row>
    <row r="2456" customFormat="false" ht="15" hidden="false" customHeight="true" outlineLevel="0" collapsed="false">
      <c r="A2456" s="8"/>
      <c r="B2456" s="8"/>
      <c r="C2456" s="8"/>
      <c r="D2456" s="8"/>
      <c r="E2456" s="8"/>
      <c r="F2456" s="8"/>
      <c r="G2456" s="10" t="str">
        <f aca="false">IF($A2456="","",UPPER(SUBSTITUTE(SUBSTITUTE(SUBSTITUTE(SUBSTITUTE($A2456," ",""),"(주)",""),"주식회사",""),"㈜","")))</f>
        <v/>
      </c>
      <c r="H2456" s="10" t="str">
        <f aca="false">IF($B2456="","",SUBSTITUTE(SUBSTITUTE(SUBSTITUTE($B2456,"-","")," ",""),".",""))</f>
        <v/>
      </c>
      <c r="I2456" s="10" t="str">
        <f aca="false">IF($D2456="","",SUBSTITUTE(SUBSTITUTE(SUBSTITUTE($D2456,"-","")," ",""),".",""))</f>
        <v/>
      </c>
      <c r="J2456" s="10" t="str">
        <f aca="false">IF($E2456="","",UPPER(SUBSTITUTE($E2456," ","")))</f>
        <v/>
      </c>
      <c r="K2456" s="10" t="str">
        <f aca="false">IF($A2456="","",$G2456&amp;"|"&amp;$J2456)</f>
        <v/>
      </c>
      <c r="L2456" s="10" t="str">
        <f aca="false">IF($A2456="","",ROW()-2)</f>
        <v/>
      </c>
      <c r="M2456" s="10" t="str">
        <f aca="false">IF($A2456="","",ROW())</f>
        <v/>
      </c>
    </row>
    <row r="2457" customFormat="false" ht="15" hidden="false" customHeight="true" outlineLevel="0" collapsed="false">
      <c r="A2457" s="8"/>
      <c r="B2457" s="8"/>
      <c r="C2457" s="8"/>
      <c r="D2457" s="8"/>
      <c r="E2457" s="8"/>
      <c r="F2457" s="8"/>
      <c r="G2457" s="10" t="str">
        <f aca="false">IF($A2457="","",UPPER(SUBSTITUTE(SUBSTITUTE(SUBSTITUTE(SUBSTITUTE($A2457," ",""),"(주)",""),"주식회사",""),"㈜","")))</f>
        <v/>
      </c>
      <c r="H2457" s="10" t="str">
        <f aca="false">IF($B2457="","",SUBSTITUTE(SUBSTITUTE(SUBSTITUTE($B2457,"-","")," ",""),".",""))</f>
        <v/>
      </c>
      <c r="I2457" s="10" t="str">
        <f aca="false">IF($D2457="","",SUBSTITUTE(SUBSTITUTE(SUBSTITUTE($D2457,"-","")," ",""),".",""))</f>
        <v/>
      </c>
      <c r="J2457" s="10" t="str">
        <f aca="false">IF($E2457="","",UPPER(SUBSTITUTE($E2457," ","")))</f>
        <v/>
      </c>
      <c r="K2457" s="10" t="str">
        <f aca="false">IF($A2457="","",$G2457&amp;"|"&amp;$J2457)</f>
        <v/>
      </c>
      <c r="L2457" s="10" t="str">
        <f aca="false">IF($A2457="","",ROW()-2)</f>
        <v/>
      </c>
      <c r="M2457" s="10" t="str">
        <f aca="false">IF($A2457="","",ROW())</f>
        <v/>
      </c>
    </row>
    <row r="2458" customFormat="false" ht="15" hidden="false" customHeight="true" outlineLevel="0" collapsed="false">
      <c r="A2458" s="8"/>
      <c r="B2458" s="8"/>
      <c r="C2458" s="8"/>
      <c r="D2458" s="8"/>
      <c r="E2458" s="8"/>
      <c r="F2458" s="8"/>
      <c r="G2458" s="10" t="str">
        <f aca="false">IF($A2458="","",UPPER(SUBSTITUTE(SUBSTITUTE(SUBSTITUTE(SUBSTITUTE($A2458," ",""),"(주)",""),"주식회사",""),"㈜","")))</f>
        <v/>
      </c>
      <c r="H2458" s="10" t="str">
        <f aca="false">IF($B2458="","",SUBSTITUTE(SUBSTITUTE(SUBSTITUTE($B2458,"-","")," ",""),".",""))</f>
        <v/>
      </c>
      <c r="I2458" s="10" t="str">
        <f aca="false">IF($D2458="","",SUBSTITUTE(SUBSTITUTE(SUBSTITUTE($D2458,"-","")," ",""),".",""))</f>
        <v/>
      </c>
      <c r="J2458" s="10" t="str">
        <f aca="false">IF($E2458="","",UPPER(SUBSTITUTE($E2458," ","")))</f>
        <v/>
      </c>
      <c r="K2458" s="10" t="str">
        <f aca="false">IF($A2458="","",$G2458&amp;"|"&amp;$J2458)</f>
        <v/>
      </c>
      <c r="L2458" s="10" t="str">
        <f aca="false">IF($A2458="","",ROW()-2)</f>
        <v/>
      </c>
      <c r="M2458" s="10" t="str">
        <f aca="false">IF($A2458="","",ROW())</f>
        <v/>
      </c>
    </row>
    <row r="2459" customFormat="false" ht="15" hidden="false" customHeight="true" outlineLevel="0" collapsed="false">
      <c r="A2459" s="8"/>
      <c r="B2459" s="8"/>
      <c r="C2459" s="8"/>
      <c r="D2459" s="8"/>
      <c r="E2459" s="8"/>
      <c r="F2459" s="8"/>
      <c r="G2459" s="10" t="str">
        <f aca="false">IF($A2459="","",UPPER(SUBSTITUTE(SUBSTITUTE(SUBSTITUTE(SUBSTITUTE($A2459," ",""),"(주)",""),"주식회사",""),"㈜","")))</f>
        <v/>
      </c>
      <c r="H2459" s="10" t="str">
        <f aca="false">IF($B2459="","",SUBSTITUTE(SUBSTITUTE(SUBSTITUTE($B2459,"-","")," ",""),".",""))</f>
        <v/>
      </c>
      <c r="I2459" s="10" t="str">
        <f aca="false">IF($D2459="","",SUBSTITUTE(SUBSTITUTE(SUBSTITUTE($D2459,"-","")," ",""),".",""))</f>
        <v/>
      </c>
      <c r="J2459" s="10" t="str">
        <f aca="false">IF($E2459="","",UPPER(SUBSTITUTE($E2459," ","")))</f>
        <v/>
      </c>
      <c r="K2459" s="10" t="str">
        <f aca="false">IF($A2459="","",$G2459&amp;"|"&amp;$J2459)</f>
        <v/>
      </c>
      <c r="L2459" s="10" t="str">
        <f aca="false">IF($A2459="","",ROW()-2)</f>
        <v/>
      </c>
      <c r="M2459" s="10" t="str">
        <f aca="false">IF($A2459="","",ROW())</f>
        <v/>
      </c>
    </row>
    <row r="2460" customFormat="false" ht="15" hidden="false" customHeight="true" outlineLevel="0" collapsed="false">
      <c r="A2460" s="8"/>
      <c r="B2460" s="8"/>
      <c r="C2460" s="8"/>
      <c r="D2460" s="8"/>
      <c r="E2460" s="8"/>
      <c r="F2460" s="8"/>
      <c r="G2460" s="10" t="str">
        <f aca="false">IF($A2460="","",UPPER(SUBSTITUTE(SUBSTITUTE(SUBSTITUTE(SUBSTITUTE($A2460," ",""),"(주)",""),"주식회사",""),"㈜","")))</f>
        <v/>
      </c>
      <c r="H2460" s="10" t="str">
        <f aca="false">IF($B2460="","",SUBSTITUTE(SUBSTITUTE(SUBSTITUTE($B2460,"-","")," ",""),".",""))</f>
        <v/>
      </c>
      <c r="I2460" s="10" t="str">
        <f aca="false">IF($D2460="","",SUBSTITUTE(SUBSTITUTE(SUBSTITUTE($D2460,"-","")," ",""),".",""))</f>
        <v/>
      </c>
      <c r="J2460" s="10" t="str">
        <f aca="false">IF($E2460="","",UPPER(SUBSTITUTE($E2460," ","")))</f>
        <v/>
      </c>
      <c r="K2460" s="10" t="str">
        <f aca="false">IF($A2460="","",$G2460&amp;"|"&amp;$J2460)</f>
        <v/>
      </c>
      <c r="L2460" s="10" t="str">
        <f aca="false">IF($A2460="","",ROW()-2)</f>
        <v/>
      </c>
      <c r="M2460" s="10" t="str">
        <f aca="false">IF($A2460="","",ROW())</f>
        <v/>
      </c>
    </row>
    <row r="2461" customFormat="false" ht="15" hidden="false" customHeight="true" outlineLevel="0" collapsed="false">
      <c r="A2461" s="8"/>
      <c r="B2461" s="8"/>
      <c r="C2461" s="8"/>
      <c r="D2461" s="8"/>
      <c r="E2461" s="8"/>
      <c r="F2461" s="8"/>
      <c r="G2461" s="10" t="str">
        <f aca="false">IF($A2461="","",UPPER(SUBSTITUTE(SUBSTITUTE(SUBSTITUTE(SUBSTITUTE($A2461," ",""),"(주)",""),"주식회사",""),"㈜","")))</f>
        <v/>
      </c>
      <c r="H2461" s="10" t="str">
        <f aca="false">IF($B2461="","",SUBSTITUTE(SUBSTITUTE(SUBSTITUTE($B2461,"-","")," ",""),".",""))</f>
        <v/>
      </c>
      <c r="I2461" s="10" t="str">
        <f aca="false">IF($D2461="","",SUBSTITUTE(SUBSTITUTE(SUBSTITUTE($D2461,"-","")," ",""),".",""))</f>
        <v/>
      </c>
      <c r="J2461" s="10" t="str">
        <f aca="false">IF($E2461="","",UPPER(SUBSTITUTE($E2461," ","")))</f>
        <v/>
      </c>
      <c r="K2461" s="10" t="str">
        <f aca="false">IF($A2461="","",$G2461&amp;"|"&amp;$J2461)</f>
        <v/>
      </c>
      <c r="L2461" s="10" t="str">
        <f aca="false">IF($A2461="","",ROW()-2)</f>
        <v/>
      </c>
      <c r="M2461" s="10" t="str">
        <f aca="false">IF($A2461="","",ROW())</f>
        <v/>
      </c>
    </row>
    <row r="2462" customFormat="false" ht="15" hidden="false" customHeight="true" outlineLevel="0" collapsed="false">
      <c r="A2462" s="8"/>
      <c r="B2462" s="8"/>
      <c r="C2462" s="8"/>
      <c r="D2462" s="8"/>
      <c r="E2462" s="8"/>
      <c r="F2462" s="8"/>
      <c r="G2462" s="10" t="str">
        <f aca="false">IF($A2462="","",UPPER(SUBSTITUTE(SUBSTITUTE(SUBSTITUTE(SUBSTITUTE($A2462," ",""),"(주)",""),"주식회사",""),"㈜","")))</f>
        <v/>
      </c>
      <c r="H2462" s="10" t="str">
        <f aca="false">IF($B2462="","",SUBSTITUTE(SUBSTITUTE(SUBSTITUTE($B2462,"-","")," ",""),".",""))</f>
        <v/>
      </c>
      <c r="I2462" s="10" t="str">
        <f aca="false">IF($D2462="","",SUBSTITUTE(SUBSTITUTE(SUBSTITUTE($D2462,"-","")," ",""),".",""))</f>
        <v/>
      </c>
      <c r="J2462" s="10" t="str">
        <f aca="false">IF($E2462="","",UPPER(SUBSTITUTE($E2462," ","")))</f>
        <v/>
      </c>
      <c r="K2462" s="10" t="str">
        <f aca="false">IF($A2462="","",$G2462&amp;"|"&amp;$J2462)</f>
        <v/>
      </c>
      <c r="L2462" s="10" t="str">
        <f aca="false">IF($A2462="","",ROW()-2)</f>
        <v/>
      </c>
      <c r="M2462" s="10" t="str">
        <f aca="false">IF($A2462="","",ROW())</f>
        <v/>
      </c>
    </row>
    <row r="2463" customFormat="false" ht="15" hidden="false" customHeight="true" outlineLevel="0" collapsed="false">
      <c r="A2463" s="8"/>
      <c r="B2463" s="8"/>
      <c r="C2463" s="8"/>
      <c r="D2463" s="8"/>
      <c r="E2463" s="8"/>
      <c r="F2463" s="8"/>
      <c r="G2463" s="10" t="str">
        <f aca="false">IF($A2463="","",UPPER(SUBSTITUTE(SUBSTITUTE(SUBSTITUTE(SUBSTITUTE($A2463," ",""),"(주)",""),"주식회사",""),"㈜","")))</f>
        <v/>
      </c>
      <c r="H2463" s="10" t="str">
        <f aca="false">IF($B2463="","",SUBSTITUTE(SUBSTITUTE(SUBSTITUTE($B2463,"-","")," ",""),".",""))</f>
        <v/>
      </c>
      <c r="I2463" s="10" t="str">
        <f aca="false">IF($D2463="","",SUBSTITUTE(SUBSTITUTE(SUBSTITUTE($D2463,"-","")," ",""),".",""))</f>
        <v/>
      </c>
      <c r="J2463" s="10" t="str">
        <f aca="false">IF($E2463="","",UPPER(SUBSTITUTE($E2463," ","")))</f>
        <v/>
      </c>
      <c r="K2463" s="10" t="str">
        <f aca="false">IF($A2463="","",$G2463&amp;"|"&amp;$J2463)</f>
        <v/>
      </c>
      <c r="L2463" s="10" t="str">
        <f aca="false">IF($A2463="","",ROW()-2)</f>
        <v/>
      </c>
      <c r="M2463" s="10" t="str">
        <f aca="false">IF($A2463="","",ROW())</f>
        <v/>
      </c>
    </row>
    <row r="2464" customFormat="false" ht="15" hidden="false" customHeight="true" outlineLevel="0" collapsed="false">
      <c r="A2464" s="8"/>
      <c r="B2464" s="8"/>
      <c r="C2464" s="8"/>
      <c r="D2464" s="8"/>
      <c r="E2464" s="8"/>
      <c r="F2464" s="8"/>
      <c r="G2464" s="10" t="str">
        <f aca="false">IF($A2464="","",UPPER(SUBSTITUTE(SUBSTITUTE(SUBSTITUTE(SUBSTITUTE($A2464," ",""),"(주)",""),"주식회사",""),"㈜","")))</f>
        <v/>
      </c>
      <c r="H2464" s="10" t="str">
        <f aca="false">IF($B2464="","",SUBSTITUTE(SUBSTITUTE(SUBSTITUTE($B2464,"-","")," ",""),".",""))</f>
        <v/>
      </c>
      <c r="I2464" s="10" t="str">
        <f aca="false">IF($D2464="","",SUBSTITUTE(SUBSTITUTE(SUBSTITUTE($D2464,"-","")," ",""),".",""))</f>
        <v/>
      </c>
      <c r="J2464" s="10" t="str">
        <f aca="false">IF($E2464="","",UPPER(SUBSTITUTE($E2464," ","")))</f>
        <v/>
      </c>
      <c r="K2464" s="10" t="str">
        <f aca="false">IF($A2464="","",$G2464&amp;"|"&amp;$J2464)</f>
        <v/>
      </c>
      <c r="L2464" s="10" t="str">
        <f aca="false">IF($A2464="","",ROW()-2)</f>
        <v/>
      </c>
      <c r="M2464" s="10" t="str">
        <f aca="false">IF($A2464="","",ROW())</f>
        <v/>
      </c>
    </row>
    <row r="2465" customFormat="false" ht="15" hidden="false" customHeight="true" outlineLevel="0" collapsed="false">
      <c r="A2465" s="8"/>
      <c r="B2465" s="8"/>
      <c r="C2465" s="8"/>
      <c r="D2465" s="8"/>
      <c r="E2465" s="8"/>
      <c r="F2465" s="8"/>
      <c r="G2465" s="10" t="str">
        <f aca="false">IF($A2465="","",UPPER(SUBSTITUTE(SUBSTITUTE(SUBSTITUTE(SUBSTITUTE($A2465," ",""),"(주)",""),"주식회사",""),"㈜","")))</f>
        <v/>
      </c>
      <c r="H2465" s="10" t="str">
        <f aca="false">IF($B2465="","",SUBSTITUTE(SUBSTITUTE(SUBSTITUTE($B2465,"-","")," ",""),".",""))</f>
        <v/>
      </c>
      <c r="I2465" s="10" t="str">
        <f aca="false">IF($D2465="","",SUBSTITUTE(SUBSTITUTE(SUBSTITUTE($D2465,"-","")," ",""),".",""))</f>
        <v/>
      </c>
      <c r="J2465" s="10" t="str">
        <f aca="false">IF($E2465="","",UPPER(SUBSTITUTE($E2465," ","")))</f>
        <v/>
      </c>
      <c r="K2465" s="10" t="str">
        <f aca="false">IF($A2465="","",$G2465&amp;"|"&amp;$J2465)</f>
        <v/>
      </c>
      <c r="L2465" s="10" t="str">
        <f aca="false">IF($A2465="","",ROW()-2)</f>
        <v/>
      </c>
      <c r="M2465" s="10" t="str">
        <f aca="false">IF($A2465="","",ROW())</f>
        <v/>
      </c>
    </row>
    <row r="2466" customFormat="false" ht="15" hidden="false" customHeight="true" outlineLevel="0" collapsed="false">
      <c r="A2466" s="8"/>
      <c r="B2466" s="8"/>
      <c r="C2466" s="8"/>
      <c r="D2466" s="8"/>
      <c r="E2466" s="8"/>
      <c r="F2466" s="8"/>
      <c r="G2466" s="10" t="str">
        <f aca="false">IF($A2466="","",UPPER(SUBSTITUTE(SUBSTITUTE(SUBSTITUTE(SUBSTITUTE($A2466," ",""),"(주)",""),"주식회사",""),"㈜","")))</f>
        <v/>
      </c>
      <c r="H2466" s="10" t="str">
        <f aca="false">IF($B2466="","",SUBSTITUTE(SUBSTITUTE(SUBSTITUTE($B2466,"-","")," ",""),".",""))</f>
        <v/>
      </c>
      <c r="I2466" s="10" t="str">
        <f aca="false">IF($D2466="","",SUBSTITUTE(SUBSTITUTE(SUBSTITUTE($D2466,"-","")," ",""),".",""))</f>
        <v/>
      </c>
      <c r="J2466" s="10" t="str">
        <f aca="false">IF($E2466="","",UPPER(SUBSTITUTE($E2466," ","")))</f>
        <v/>
      </c>
      <c r="K2466" s="10" t="str">
        <f aca="false">IF($A2466="","",$G2466&amp;"|"&amp;$J2466)</f>
        <v/>
      </c>
      <c r="L2466" s="10" t="str">
        <f aca="false">IF($A2466="","",ROW()-2)</f>
        <v/>
      </c>
      <c r="M2466" s="10" t="str">
        <f aca="false">IF($A2466="","",ROW())</f>
        <v/>
      </c>
    </row>
    <row r="2467" customFormat="false" ht="15" hidden="false" customHeight="true" outlineLevel="0" collapsed="false">
      <c r="A2467" s="8"/>
      <c r="B2467" s="8"/>
      <c r="C2467" s="8"/>
      <c r="D2467" s="8"/>
      <c r="E2467" s="8"/>
      <c r="F2467" s="8"/>
      <c r="G2467" s="10" t="str">
        <f aca="false">IF($A2467="","",UPPER(SUBSTITUTE(SUBSTITUTE(SUBSTITUTE(SUBSTITUTE($A2467," ",""),"(주)",""),"주식회사",""),"㈜","")))</f>
        <v/>
      </c>
      <c r="H2467" s="10" t="str">
        <f aca="false">IF($B2467="","",SUBSTITUTE(SUBSTITUTE(SUBSTITUTE($B2467,"-","")," ",""),".",""))</f>
        <v/>
      </c>
      <c r="I2467" s="10" t="str">
        <f aca="false">IF($D2467="","",SUBSTITUTE(SUBSTITUTE(SUBSTITUTE($D2467,"-","")," ",""),".",""))</f>
        <v/>
      </c>
      <c r="J2467" s="10" t="str">
        <f aca="false">IF($E2467="","",UPPER(SUBSTITUTE($E2467," ","")))</f>
        <v/>
      </c>
      <c r="K2467" s="10" t="str">
        <f aca="false">IF($A2467="","",$G2467&amp;"|"&amp;$J2467)</f>
        <v/>
      </c>
      <c r="L2467" s="10" t="str">
        <f aca="false">IF($A2467="","",ROW()-2)</f>
        <v/>
      </c>
      <c r="M2467" s="10" t="str">
        <f aca="false">IF($A2467="","",ROW())</f>
        <v/>
      </c>
    </row>
    <row r="2468" customFormat="false" ht="15" hidden="false" customHeight="true" outlineLevel="0" collapsed="false">
      <c r="A2468" s="8"/>
      <c r="B2468" s="8"/>
      <c r="C2468" s="8"/>
      <c r="D2468" s="8"/>
      <c r="E2468" s="8"/>
      <c r="F2468" s="8"/>
      <c r="G2468" s="10" t="str">
        <f aca="false">IF($A2468="","",UPPER(SUBSTITUTE(SUBSTITUTE(SUBSTITUTE(SUBSTITUTE($A2468," ",""),"(주)",""),"주식회사",""),"㈜","")))</f>
        <v/>
      </c>
      <c r="H2468" s="10" t="str">
        <f aca="false">IF($B2468="","",SUBSTITUTE(SUBSTITUTE(SUBSTITUTE($B2468,"-","")," ",""),".",""))</f>
        <v/>
      </c>
      <c r="I2468" s="10" t="str">
        <f aca="false">IF($D2468="","",SUBSTITUTE(SUBSTITUTE(SUBSTITUTE($D2468,"-","")," ",""),".",""))</f>
        <v/>
      </c>
      <c r="J2468" s="10" t="str">
        <f aca="false">IF($E2468="","",UPPER(SUBSTITUTE($E2468," ","")))</f>
        <v/>
      </c>
      <c r="K2468" s="10" t="str">
        <f aca="false">IF($A2468="","",$G2468&amp;"|"&amp;$J2468)</f>
        <v/>
      </c>
      <c r="L2468" s="10" t="str">
        <f aca="false">IF($A2468="","",ROW()-2)</f>
        <v/>
      </c>
      <c r="M2468" s="10" t="str">
        <f aca="false">IF($A2468="","",ROW())</f>
        <v/>
      </c>
    </row>
    <row r="2469" customFormat="false" ht="15" hidden="false" customHeight="true" outlineLevel="0" collapsed="false">
      <c r="A2469" s="8"/>
      <c r="B2469" s="8"/>
      <c r="C2469" s="8"/>
      <c r="D2469" s="8"/>
      <c r="E2469" s="8"/>
      <c r="F2469" s="8"/>
      <c r="G2469" s="10" t="str">
        <f aca="false">IF($A2469="","",UPPER(SUBSTITUTE(SUBSTITUTE(SUBSTITUTE(SUBSTITUTE($A2469," ",""),"(주)",""),"주식회사",""),"㈜","")))</f>
        <v/>
      </c>
      <c r="H2469" s="10" t="str">
        <f aca="false">IF($B2469="","",SUBSTITUTE(SUBSTITUTE(SUBSTITUTE($B2469,"-","")," ",""),".",""))</f>
        <v/>
      </c>
      <c r="I2469" s="10" t="str">
        <f aca="false">IF($D2469="","",SUBSTITUTE(SUBSTITUTE(SUBSTITUTE($D2469,"-","")," ",""),".",""))</f>
        <v/>
      </c>
      <c r="J2469" s="10" t="str">
        <f aca="false">IF($E2469="","",UPPER(SUBSTITUTE($E2469," ","")))</f>
        <v/>
      </c>
      <c r="K2469" s="10" t="str">
        <f aca="false">IF($A2469="","",$G2469&amp;"|"&amp;$J2469)</f>
        <v/>
      </c>
      <c r="L2469" s="10" t="str">
        <f aca="false">IF($A2469="","",ROW()-2)</f>
        <v/>
      </c>
      <c r="M2469" s="10" t="str">
        <f aca="false">IF($A2469="","",ROW())</f>
        <v/>
      </c>
    </row>
    <row r="2470" customFormat="false" ht="15" hidden="false" customHeight="true" outlineLevel="0" collapsed="false">
      <c r="A2470" s="8"/>
      <c r="B2470" s="8"/>
      <c r="C2470" s="8"/>
      <c r="D2470" s="8"/>
      <c r="E2470" s="8"/>
      <c r="F2470" s="8"/>
      <c r="G2470" s="10" t="str">
        <f aca="false">IF($A2470="","",UPPER(SUBSTITUTE(SUBSTITUTE(SUBSTITUTE(SUBSTITUTE($A2470," ",""),"(주)",""),"주식회사",""),"㈜","")))</f>
        <v/>
      </c>
      <c r="H2470" s="10" t="str">
        <f aca="false">IF($B2470="","",SUBSTITUTE(SUBSTITUTE(SUBSTITUTE($B2470,"-","")," ",""),".",""))</f>
        <v/>
      </c>
      <c r="I2470" s="10" t="str">
        <f aca="false">IF($D2470="","",SUBSTITUTE(SUBSTITUTE(SUBSTITUTE($D2470,"-","")," ",""),".",""))</f>
        <v/>
      </c>
      <c r="J2470" s="10" t="str">
        <f aca="false">IF($E2470="","",UPPER(SUBSTITUTE($E2470," ","")))</f>
        <v/>
      </c>
      <c r="K2470" s="10" t="str">
        <f aca="false">IF($A2470="","",$G2470&amp;"|"&amp;$J2470)</f>
        <v/>
      </c>
      <c r="L2470" s="10" t="str">
        <f aca="false">IF($A2470="","",ROW()-2)</f>
        <v/>
      </c>
      <c r="M2470" s="10" t="str">
        <f aca="false">IF($A2470="","",ROW())</f>
        <v/>
      </c>
    </row>
    <row r="2471" customFormat="false" ht="15" hidden="false" customHeight="true" outlineLevel="0" collapsed="false">
      <c r="A2471" s="8"/>
      <c r="B2471" s="8"/>
      <c r="C2471" s="8"/>
      <c r="D2471" s="8"/>
      <c r="E2471" s="8"/>
      <c r="F2471" s="8"/>
      <c r="G2471" s="10" t="str">
        <f aca="false">IF($A2471="","",UPPER(SUBSTITUTE(SUBSTITUTE(SUBSTITUTE(SUBSTITUTE($A2471," ",""),"(주)",""),"주식회사",""),"㈜","")))</f>
        <v/>
      </c>
      <c r="H2471" s="10" t="str">
        <f aca="false">IF($B2471="","",SUBSTITUTE(SUBSTITUTE(SUBSTITUTE($B2471,"-","")," ",""),".",""))</f>
        <v/>
      </c>
      <c r="I2471" s="10" t="str">
        <f aca="false">IF($D2471="","",SUBSTITUTE(SUBSTITUTE(SUBSTITUTE($D2471,"-","")," ",""),".",""))</f>
        <v/>
      </c>
      <c r="J2471" s="10" t="str">
        <f aca="false">IF($E2471="","",UPPER(SUBSTITUTE($E2471," ","")))</f>
        <v/>
      </c>
      <c r="K2471" s="10" t="str">
        <f aca="false">IF($A2471="","",$G2471&amp;"|"&amp;$J2471)</f>
        <v/>
      </c>
      <c r="L2471" s="10" t="str">
        <f aca="false">IF($A2471="","",ROW()-2)</f>
        <v/>
      </c>
      <c r="M2471" s="10" t="str">
        <f aca="false">IF($A2471="","",ROW())</f>
        <v/>
      </c>
    </row>
    <row r="2472" customFormat="false" ht="15" hidden="false" customHeight="true" outlineLevel="0" collapsed="false">
      <c r="A2472" s="8"/>
      <c r="B2472" s="8"/>
      <c r="C2472" s="8"/>
      <c r="D2472" s="8"/>
      <c r="E2472" s="8"/>
      <c r="F2472" s="8"/>
      <c r="G2472" s="10" t="str">
        <f aca="false">IF($A2472="","",UPPER(SUBSTITUTE(SUBSTITUTE(SUBSTITUTE(SUBSTITUTE($A2472," ",""),"(주)",""),"주식회사",""),"㈜","")))</f>
        <v/>
      </c>
      <c r="H2472" s="10" t="str">
        <f aca="false">IF($B2472="","",SUBSTITUTE(SUBSTITUTE(SUBSTITUTE($B2472,"-","")," ",""),".",""))</f>
        <v/>
      </c>
      <c r="I2472" s="10" t="str">
        <f aca="false">IF($D2472="","",SUBSTITUTE(SUBSTITUTE(SUBSTITUTE($D2472,"-","")," ",""),".",""))</f>
        <v/>
      </c>
      <c r="J2472" s="10" t="str">
        <f aca="false">IF($E2472="","",UPPER(SUBSTITUTE($E2472," ","")))</f>
        <v/>
      </c>
      <c r="K2472" s="10" t="str">
        <f aca="false">IF($A2472="","",$G2472&amp;"|"&amp;$J2472)</f>
        <v/>
      </c>
      <c r="L2472" s="10" t="str">
        <f aca="false">IF($A2472="","",ROW()-2)</f>
        <v/>
      </c>
      <c r="M2472" s="10" t="str">
        <f aca="false">IF($A2472="","",ROW())</f>
        <v/>
      </c>
    </row>
    <row r="2473" customFormat="false" ht="15" hidden="false" customHeight="true" outlineLevel="0" collapsed="false">
      <c r="A2473" s="8"/>
      <c r="B2473" s="8"/>
      <c r="C2473" s="8"/>
      <c r="D2473" s="8"/>
      <c r="E2473" s="8"/>
      <c r="F2473" s="8"/>
      <c r="G2473" s="10" t="str">
        <f aca="false">IF($A2473="","",UPPER(SUBSTITUTE(SUBSTITUTE(SUBSTITUTE(SUBSTITUTE($A2473," ",""),"(주)",""),"주식회사",""),"㈜","")))</f>
        <v/>
      </c>
      <c r="H2473" s="10" t="str">
        <f aca="false">IF($B2473="","",SUBSTITUTE(SUBSTITUTE(SUBSTITUTE($B2473,"-","")," ",""),".",""))</f>
        <v/>
      </c>
      <c r="I2473" s="10" t="str">
        <f aca="false">IF($D2473="","",SUBSTITUTE(SUBSTITUTE(SUBSTITUTE($D2473,"-","")," ",""),".",""))</f>
        <v/>
      </c>
      <c r="J2473" s="10" t="str">
        <f aca="false">IF($E2473="","",UPPER(SUBSTITUTE($E2473," ","")))</f>
        <v/>
      </c>
      <c r="K2473" s="10" t="str">
        <f aca="false">IF($A2473="","",$G2473&amp;"|"&amp;$J2473)</f>
        <v/>
      </c>
      <c r="L2473" s="10" t="str">
        <f aca="false">IF($A2473="","",ROW()-2)</f>
        <v/>
      </c>
      <c r="M2473" s="10" t="str">
        <f aca="false">IF($A2473="","",ROW())</f>
        <v/>
      </c>
    </row>
    <row r="2474" customFormat="false" ht="15" hidden="false" customHeight="true" outlineLevel="0" collapsed="false">
      <c r="A2474" s="8"/>
      <c r="B2474" s="8"/>
      <c r="C2474" s="8"/>
      <c r="D2474" s="8"/>
      <c r="E2474" s="8"/>
      <c r="F2474" s="8"/>
      <c r="G2474" s="10" t="str">
        <f aca="false">IF($A2474="","",UPPER(SUBSTITUTE(SUBSTITUTE(SUBSTITUTE(SUBSTITUTE($A2474," ",""),"(주)",""),"주식회사",""),"㈜","")))</f>
        <v/>
      </c>
      <c r="H2474" s="10" t="str">
        <f aca="false">IF($B2474="","",SUBSTITUTE(SUBSTITUTE(SUBSTITUTE($B2474,"-","")," ",""),".",""))</f>
        <v/>
      </c>
      <c r="I2474" s="10" t="str">
        <f aca="false">IF($D2474="","",SUBSTITUTE(SUBSTITUTE(SUBSTITUTE($D2474,"-","")," ",""),".",""))</f>
        <v/>
      </c>
      <c r="J2474" s="10" t="str">
        <f aca="false">IF($E2474="","",UPPER(SUBSTITUTE($E2474," ","")))</f>
        <v/>
      </c>
      <c r="K2474" s="10" t="str">
        <f aca="false">IF($A2474="","",$G2474&amp;"|"&amp;$J2474)</f>
        <v/>
      </c>
      <c r="L2474" s="10" t="str">
        <f aca="false">IF($A2474="","",ROW()-2)</f>
        <v/>
      </c>
      <c r="M2474" s="10" t="str">
        <f aca="false">IF($A2474="","",ROW())</f>
        <v/>
      </c>
    </row>
    <row r="2475" customFormat="false" ht="15" hidden="false" customHeight="true" outlineLevel="0" collapsed="false">
      <c r="A2475" s="8"/>
      <c r="B2475" s="8"/>
      <c r="C2475" s="8"/>
      <c r="D2475" s="8"/>
      <c r="E2475" s="8"/>
      <c r="F2475" s="8"/>
      <c r="G2475" s="10" t="str">
        <f aca="false">IF($A2475="","",UPPER(SUBSTITUTE(SUBSTITUTE(SUBSTITUTE(SUBSTITUTE($A2475," ",""),"(주)",""),"주식회사",""),"㈜","")))</f>
        <v/>
      </c>
      <c r="H2475" s="10" t="str">
        <f aca="false">IF($B2475="","",SUBSTITUTE(SUBSTITUTE(SUBSTITUTE($B2475,"-","")," ",""),".",""))</f>
        <v/>
      </c>
      <c r="I2475" s="10" t="str">
        <f aca="false">IF($D2475="","",SUBSTITUTE(SUBSTITUTE(SUBSTITUTE($D2475,"-","")," ",""),".",""))</f>
        <v/>
      </c>
      <c r="J2475" s="10" t="str">
        <f aca="false">IF($E2475="","",UPPER(SUBSTITUTE($E2475," ","")))</f>
        <v/>
      </c>
      <c r="K2475" s="10" t="str">
        <f aca="false">IF($A2475="","",$G2475&amp;"|"&amp;$J2475)</f>
        <v/>
      </c>
      <c r="L2475" s="10" t="str">
        <f aca="false">IF($A2475="","",ROW()-2)</f>
        <v/>
      </c>
      <c r="M2475" s="10" t="str">
        <f aca="false">IF($A2475="","",ROW())</f>
        <v/>
      </c>
    </row>
    <row r="2476" customFormat="false" ht="15" hidden="false" customHeight="true" outlineLevel="0" collapsed="false">
      <c r="A2476" s="8"/>
      <c r="B2476" s="8"/>
      <c r="C2476" s="8"/>
      <c r="D2476" s="8"/>
      <c r="E2476" s="8"/>
      <c r="F2476" s="8"/>
      <c r="G2476" s="10" t="str">
        <f aca="false">IF($A2476="","",UPPER(SUBSTITUTE(SUBSTITUTE(SUBSTITUTE(SUBSTITUTE($A2476," ",""),"(주)",""),"주식회사",""),"㈜","")))</f>
        <v/>
      </c>
      <c r="H2476" s="10" t="str">
        <f aca="false">IF($B2476="","",SUBSTITUTE(SUBSTITUTE(SUBSTITUTE($B2476,"-","")," ",""),".",""))</f>
        <v/>
      </c>
      <c r="I2476" s="10" t="str">
        <f aca="false">IF($D2476="","",SUBSTITUTE(SUBSTITUTE(SUBSTITUTE($D2476,"-","")," ",""),".",""))</f>
        <v/>
      </c>
      <c r="J2476" s="10" t="str">
        <f aca="false">IF($E2476="","",UPPER(SUBSTITUTE($E2476," ","")))</f>
        <v/>
      </c>
      <c r="K2476" s="10" t="str">
        <f aca="false">IF($A2476="","",$G2476&amp;"|"&amp;$J2476)</f>
        <v/>
      </c>
      <c r="L2476" s="10" t="str">
        <f aca="false">IF($A2476="","",ROW()-2)</f>
        <v/>
      </c>
      <c r="M2476" s="10" t="str">
        <f aca="false">IF($A2476="","",ROW())</f>
        <v/>
      </c>
    </row>
    <row r="2477" customFormat="false" ht="15" hidden="false" customHeight="true" outlineLevel="0" collapsed="false">
      <c r="A2477" s="8"/>
      <c r="B2477" s="8"/>
      <c r="C2477" s="8"/>
      <c r="D2477" s="8"/>
      <c r="E2477" s="8"/>
      <c r="F2477" s="8"/>
      <c r="G2477" s="10" t="str">
        <f aca="false">IF($A2477="","",UPPER(SUBSTITUTE(SUBSTITUTE(SUBSTITUTE(SUBSTITUTE($A2477," ",""),"(주)",""),"주식회사",""),"㈜","")))</f>
        <v/>
      </c>
      <c r="H2477" s="10" t="str">
        <f aca="false">IF($B2477="","",SUBSTITUTE(SUBSTITUTE(SUBSTITUTE($B2477,"-","")," ",""),".",""))</f>
        <v/>
      </c>
      <c r="I2477" s="10" t="str">
        <f aca="false">IF($D2477="","",SUBSTITUTE(SUBSTITUTE(SUBSTITUTE($D2477,"-","")," ",""),".",""))</f>
        <v/>
      </c>
      <c r="J2477" s="10" t="str">
        <f aca="false">IF($E2477="","",UPPER(SUBSTITUTE($E2477," ","")))</f>
        <v/>
      </c>
      <c r="K2477" s="10" t="str">
        <f aca="false">IF($A2477="","",$G2477&amp;"|"&amp;$J2477)</f>
        <v/>
      </c>
      <c r="L2477" s="10" t="str">
        <f aca="false">IF($A2477="","",ROW()-2)</f>
        <v/>
      </c>
      <c r="M2477" s="10" t="str">
        <f aca="false">IF($A2477="","",ROW())</f>
        <v/>
      </c>
    </row>
    <row r="2478" customFormat="false" ht="15" hidden="false" customHeight="true" outlineLevel="0" collapsed="false">
      <c r="A2478" s="8"/>
      <c r="B2478" s="8"/>
      <c r="C2478" s="8"/>
      <c r="D2478" s="8"/>
      <c r="E2478" s="8"/>
      <c r="F2478" s="8"/>
      <c r="G2478" s="10" t="str">
        <f aca="false">IF($A2478="","",UPPER(SUBSTITUTE(SUBSTITUTE(SUBSTITUTE(SUBSTITUTE($A2478," ",""),"(주)",""),"주식회사",""),"㈜","")))</f>
        <v/>
      </c>
      <c r="H2478" s="10" t="str">
        <f aca="false">IF($B2478="","",SUBSTITUTE(SUBSTITUTE(SUBSTITUTE($B2478,"-","")," ",""),".",""))</f>
        <v/>
      </c>
      <c r="I2478" s="10" t="str">
        <f aca="false">IF($D2478="","",SUBSTITUTE(SUBSTITUTE(SUBSTITUTE($D2478,"-","")," ",""),".",""))</f>
        <v/>
      </c>
      <c r="J2478" s="10" t="str">
        <f aca="false">IF($E2478="","",UPPER(SUBSTITUTE($E2478," ","")))</f>
        <v/>
      </c>
      <c r="K2478" s="10" t="str">
        <f aca="false">IF($A2478="","",$G2478&amp;"|"&amp;$J2478)</f>
        <v/>
      </c>
      <c r="L2478" s="10" t="str">
        <f aca="false">IF($A2478="","",ROW()-2)</f>
        <v/>
      </c>
      <c r="M2478" s="10" t="str">
        <f aca="false">IF($A2478="","",ROW())</f>
        <v/>
      </c>
    </row>
    <row r="2479" customFormat="false" ht="15" hidden="false" customHeight="true" outlineLevel="0" collapsed="false">
      <c r="A2479" s="8"/>
      <c r="B2479" s="8"/>
      <c r="C2479" s="8"/>
      <c r="D2479" s="8"/>
      <c r="E2479" s="8"/>
      <c r="F2479" s="8"/>
      <c r="G2479" s="10" t="str">
        <f aca="false">IF($A2479="","",UPPER(SUBSTITUTE(SUBSTITUTE(SUBSTITUTE(SUBSTITUTE($A2479," ",""),"(주)",""),"주식회사",""),"㈜","")))</f>
        <v/>
      </c>
      <c r="H2479" s="10" t="str">
        <f aca="false">IF($B2479="","",SUBSTITUTE(SUBSTITUTE(SUBSTITUTE($B2479,"-","")," ",""),".",""))</f>
        <v/>
      </c>
      <c r="I2479" s="10" t="str">
        <f aca="false">IF($D2479="","",SUBSTITUTE(SUBSTITUTE(SUBSTITUTE($D2479,"-","")," ",""),".",""))</f>
        <v/>
      </c>
      <c r="J2479" s="10" t="str">
        <f aca="false">IF($E2479="","",UPPER(SUBSTITUTE($E2479," ","")))</f>
        <v/>
      </c>
      <c r="K2479" s="10" t="str">
        <f aca="false">IF($A2479="","",$G2479&amp;"|"&amp;$J2479)</f>
        <v/>
      </c>
      <c r="L2479" s="10" t="str">
        <f aca="false">IF($A2479="","",ROW()-2)</f>
        <v/>
      </c>
      <c r="M2479" s="10" t="str">
        <f aca="false">IF($A2479="","",ROW())</f>
        <v/>
      </c>
    </row>
    <row r="2480" customFormat="false" ht="15" hidden="false" customHeight="true" outlineLevel="0" collapsed="false">
      <c r="A2480" s="8"/>
      <c r="B2480" s="8"/>
      <c r="C2480" s="8"/>
      <c r="D2480" s="8"/>
      <c r="E2480" s="8"/>
      <c r="F2480" s="8"/>
      <c r="G2480" s="10" t="str">
        <f aca="false">IF($A2480="","",UPPER(SUBSTITUTE(SUBSTITUTE(SUBSTITUTE(SUBSTITUTE($A2480," ",""),"(주)",""),"주식회사",""),"㈜","")))</f>
        <v/>
      </c>
      <c r="H2480" s="10" t="str">
        <f aca="false">IF($B2480="","",SUBSTITUTE(SUBSTITUTE(SUBSTITUTE($B2480,"-","")," ",""),".",""))</f>
        <v/>
      </c>
      <c r="I2480" s="10" t="str">
        <f aca="false">IF($D2480="","",SUBSTITUTE(SUBSTITUTE(SUBSTITUTE($D2480,"-","")," ",""),".",""))</f>
        <v/>
      </c>
      <c r="J2480" s="10" t="str">
        <f aca="false">IF($E2480="","",UPPER(SUBSTITUTE($E2480," ","")))</f>
        <v/>
      </c>
      <c r="K2480" s="10" t="str">
        <f aca="false">IF($A2480="","",$G2480&amp;"|"&amp;$J2480)</f>
        <v/>
      </c>
      <c r="L2480" s="10" t="str">
        <f aca="false">IF($A2480="","",ROW()-2)</f>
        <v/>
      </c>
      <c r="M2480" s="10" t="str">
        <f aca="false">IF($A2480="","",ROW())</f>
        <v/>
      </c>
    </row>
    <row r="2481" customFormat="false" ht="15" hidden="false" customHeight="true" outlineLevel="0" collapsed="false">
      <c r="A2481" s="8"/>
      <c r="B2481" s="8"/>
      <c r="C2481" s="8"/>
      <c r="D2481" s="8"/>
      <c r="E2481" s="8"/>
      <c r="F2481" s="8"/>
      <c r="G2481" s="10" t="str">
        <f aca="false">IF($A2481="","",UPPER(SUBSTITUTE(SUBSTITUTE(SUBSTITUTE(SUBSTITUTE($A2481," ",""),"(주)",""),"주식회사",""),"㈜","")))</f>
        <v/>
      </c>
      <c r="H2481" s="10" t="str">
        <f aca="false">IF($B2481="","",SUBSTITUTE(SUBSTITUTE(SUBSTITUTE($B2481,"-","")," ",""),".",""))</f>
        <v/>
      </c>
      <c r="I2481" s="10" t="str">
        <f aca="false">IF($D2481="","",SUBSTITUTE(SUBSTITUTE(SUBSTITUTE($D2481,"-","")," ",""),".",""))</f>
        <v/>
      </c>
      <c r="J2481" s="10" t="str">
        <f aca="false">IF($E2481="","",UPPER(SUBSTITUTE($E2481," ","")))</f>
        <v/>
      </c>
      <c r="K2481" s="10" t="str">
        <f aca="false">IF($A2481="","",$G2481&amp;"|"&amp;$J2481)</f>
        <v/>
      </c>
      <c r="L2481" s="10" t="str">
        <f aca="false">IF($A2481="","",ROW()-2)</f>
        <v/>
      </c>
      <c r="M2481" s="10" t="str">
        <f aca="false">IF($A2481="","",ROW())</f>
        <v/>
      </c>
    </row>
    <row r="2482" customFormat="false" ht="15" hidden="false" customHeight="true" outlineLevel="0" collapsed="false">
      <c r="A2482" s="8"/>
      <c r="B2482" s="8"/>
      <c r="C2482" s="8"/>
      <c r="D2482" s="8"/>
      <c r="E2482" s="8"/>
      <c r="F2482" s="8"/>
      <c r="G2482" s="10" t="str">
        <f aca="false">IF($A2482="","",UPPER(SUBSTITUTE(SUBSTITUTE(SUBSTITUTE(SUBSTITUTE($A2482," ",""),"(주)",""),"주식회사",""),"㈜","")))</f>
        <v/>
      </c>
      <c r="H2482" s="10" t="str">
        <f aca="false">IF($B2482="","",SUBSTITUTE(SUBSTITUTE(SUBSTITUTE($B2482,"-","")," ",""),".",""))</f>
        <v/>
      </c>
      <c r="I2482" s="10" t="str">
        <f aca="false">IF($D2482="","",SUBSTITUTE(SUBSTITUTE(SUBSTITUTE($D2482,"-","")," ",""),".",""))</f>
        <v/>
      </c>
      <c r="J2482" s="10" t="str">
        <f aca="false">IF($E2482="","",UPPER(SUBSTITUTE($E2482," ","")))</f>
        <v/>
      </c>
      <c r="K2482" s="10" t="str">
        <f aca="false">IF($A2482="","",$G2482&amp;"|"&amp;$J2482)</f>
        <v/>
      </c>
      <c r="L2482" s="10" t="str">
        <f aca="false">IF($A2482="","",ROW()-2)</f>
        <v/>
      </c>
      <c r="M2482" s="10" t="str">
        <f aca="false">IF($A2482="","",ROW())</f>
        <v/>
      </c>
    </row>
    <row r="2483" customFormat="false" ht="15" hidden="false" customHeight="true" outlineLevel="0" collapsed="false">
      <c r="A2483" s="8"/>
      <c r="B2483" s="8"/>
      <c r="C2483" s="8"/>
      <c r="D2483" s="8"/>
      <c r="E2483" s="8"/>
      <c r="F2483" s="8"/>
      <c r="G2483" s="10" t="str">
        <f aca="false">IF($A2483="","",UPPER(SUBSTITUTE(SUBSTITUTE(SUBSTITUTE(SUBSTITUTE($A2483," ",""),"(주)",""),"주식회사",""),"㈜","")))</f>
        <v/>
      </c>
      <c r="H2483" s="10" t="str">
        <f aca="false">IF($B2483="","",SUBSTITUTE(SUBSTITUTE(SUBSTITUTE($B2483,"-","")," ",""),".",""))</f>
        <v/>
      </c>
      <c r="I2483" s="10" t="str">
        <f aca="false">IF($D2483="","",SUBSTITUTE(SUBSTITUTE(SUBSTITUTE($D2483,"-","")," ",""),".",""))</f>
        <v/>
      </c>
      <c r="J2483" s="10" t="str">
        <f aca="false">IF($E2483="","",UPPER(SUBSTITUTE($E2483," ","")))</f>
        <v/>
      </c>
      <c r="K2483" s="10" t="str">
        <f aca="false">IF($A2483="","",$G2483&amp;"|"&amp;$J2483)</f>
        <v/>
      </c>
      <c r="L2483" s="10" t="str">
        <f aca="false">IF($A2483="","",ROW()-2)</f>
        <v/>
      </c>
      <c r="M2483" s="10" t="str">
        <f aca="false">IF($A2483="","",ROW())</f>
        <v/>
      </c>
    </row>
    <row r="2484" customFormat="false" ht="15" hidden="false" customHeight="true" outlineLevel="0" collapsed="false">
      <c r="A2484" s="8"/>
      <c r="B2484" s="8"/>
      <c r="C2484" s="8"/>
      <c r="D2484" s="8"/>
      <c r="E2484" s="8"/>
      <c r="F2484" s="8"/>
      <c r="G2484" s="10" t="str">
        <f aca="false">IF($A2484="","",UPPER(SUBSTITUTE(SUBSTITUTE(SUBSTITUTE(SUBSTITUTE($A2484," ",""),"(주)",""),"주식회사",""),"㈜","")))</f>
        <v/>
      </c>
      <c r="H2484" s="10" t="str">
        <f aca="false">IF($B2484="","",SUBSTITUTE(SUBSTITUTE(SUBSTITUTE($B2484,"-","")," ",""),".",""))</f>
        <v/>
      </c>
      <c r="I2484" s="10" t="str">
        <f aca="false">IF($D2484="","",SUBSTITUTE(SUBSTITUTE(SUBSTITUTE($D2484,"-","")," ",""),".",""))</f>
        <v/>
      </c>
      <c r="J2484" s="10" t="str">
        <f aca="false">IF($E2484="","",UPPER(SUBSTITUTE($E2484," ","")))</f>
        <v/>
      </c>
      <c r="K2484" s="10" t="str">
        <f aca="false">IF($A2484="","",$G2484&amp;"|"&amp;$J2484)</f>
        <v/>
      </c>
      <c r="L2484" s="10" t="str">
        <f aca="false">IF($A2484="","",ROW()-2)</f>
        <v/>
      </c>
      <c r="M2484" s="10" t="str">
        <f aca="false">IF($A2484="","",ROW())</f>
        <v/>
      </c>
    </row>
    <row r="2485" customFormat="false" ht="15" hidden="false" customHeight="true" outlineLevel="0" collapsed="false">
      <c r="A2485" s="8"/>
      <c r="B2485" s="8"/>
      <c r="C2485" s="8"/>
      <c r="D2485" s="8"/>
      <c r="E2485" s="8"/>
      <c r="F2485" s="8"/>
      <c r="G2485" s="10" t="str">
        <f aca="false">IF($A2485="","",UPPER(SUBSTITUTE(SUBSTITUTE(SUBSTITUTE(SUBSTITUTE($A2485," ",""),"(주)",""),"주식회사",""),"㈜","")))</f>
        <v/>
      </c>
      <c r="H2485" s="10" t="str">
        <f aca="false">IF($B2485="","",SUBSTITUTE(SUBSTITUTE(SUBSTITUTE($B2485,"-","")," ",""),".",""))</f>
        <v/>
      </c>
      <c r="I2485" s="10" t="str">
        <f aca="false">IF($D2485="","",SUBSTITUTE(SUBSTITUTE(SUBSTITUTE($D2485,"-","")," ",""),".",""))</f>
        <v/>
      </c>
      <c r="J2485" s="10" t="str">
        <f aca="false">IF($E2485="","",UPPER(SUBSTITUTE($E2485," ","")))</f>
        <v/>
      </c>
      <c r="K2485" s="10" t="str">
        <f aca="false">IF($A2485="","",$G2485&amp;"|"&amp;$J2485)</f>
        <v/>
      </c>
      <c r="L2485" s="10" t="str">
        <f aca="false">IF($A2485="","",ROW()-2)</f>
        <v/>
      </c>
      <c r="M2485" s="10" t="str">
        <f aca="false">IF($A2485="","",ROW())</f>
        <v/>
      </c>
    </row>
    <row r="2486" customFormat="false" ht="15" hidden="false" customHeight="true" outlineLevel="0" collapsed="false">
      <c r="A2486" s="8"/>
      <c r="B2486" s="8"/>
      <c r="C2486" s="8"/>
      <c r="D2486" s="8"/>
      <c r="E2486" s="8"/>
      <c r="F2486" s="8"/>
      <c r="G2486" s="10" t="str">
        <f aca="false">IF($A2486="","",UPPER(SUBSTITUTE(SUBSTITUTE(SUBSTITUTE(SUBSTITUTE($A2486," ",""),"(주)",""),"주식회사",""),"㈜","")))</f>
        <v/>
      </c>
      <c r="H2486" s="10" t="str">
        <f aca="false">IF($B2486="","",SUBSTITUTE(SUBSTITUTE(SUBSTITUTE($B2486,"-","")," ",""),".",""))</f>
        <v/>
      </c>
      <c r="I2486" s="10" t="str">
        <f aca="false">IF($D2486="","",SUBSTITUTE(SUBSTITUTE(SUBSTITUTE($D2486,"-","")," ",""),".",""))</f>
        <v/>
      </c>
      <c r="J2486" s="10" t="str">
        <f aca="false">IF($E2486="","",UPPER(SUBSTITUTE($E2486," ","")))</f>
        <v/>
      </c>
      <c r="K2486" s="10" t="str">
        <f aca="false">IF($A2486="","",$G2486&amp;"|"&amp;$J2486)</f>
        <v/>
      </c>
      <c r="L2486" s="10" t="str">
        <f aca="false">IF($A2486="","",ROW()-2)</f>
        <v/>
      </c>
      <c r="M2486" s="10" t="str">
        <f aca="false">IF($A2486="","",ROW())</f>
        <v/>
      </c>
    </row>
    <row r="2487" customFormat="false" ht="15" hidden="false" customHeight="true" outlineLevel="0" collapsed="false">
      <c r="A2487" s="8"/>
      <c r="B2487" s="8"/>
      <c r="C2487" s="8"/>
      <c r="D2487" s="8"/>
      <c r="E2487" s="8"/>
      <c r="F2487" s="8"/>
      <c r="G2487" s="10" t="str">
        <f aca="false">IF($A2487="","",UPPER(SUBSTITUTE(SUBSTITUTE(SUBSTITUTE(SUBSTITUTE($A2487," ",""),"(주)",""),"주식회사",""),"㈜","")))</f>
        <v/>
      </c>
      <c r="H2487" s="10" t="str">
        <f aca="false">IF($B2487="","",SUBSTITUTE(SUBSTITUTE(SUBSTITUTE($B2487,"-","")," ",""),".",""))</f>
        <v/>
      </c>
      <c r="I2487" s="10" t="str">
        <f aca="false">IF($D2487="","",SUBSTITUTE(SUBSTITUTE(SUBSTITUTE($D2487,"-","")," ",""),".",""))</f>
        <v/>
      </c>
      <c r="J2487" s="10" t="str">
        <f aca="false">IF($E2487="","",UPPER(SUBSTITUTE($E2487," ","")))</f>
        <v/>
      </c>
      <c r="K2487" s="10" t="str">
        <f aca="false">IF($A2487="","",$G2487&amp;"|"&amp;$J2487)</f>
        <v/>
      </c>
      <c r="L2487" s="10" t="str">
        <f aca="false">IF($A2487="","",ROW()-2)</f>
        <v/>
      </c>
      <c r="M2487" s="10" t="str">
        <f aca="false">IF($A2487="","",ROW())</f>
        <v/>
      </c>
    </row>
    <row r="2488" customFormat="false" ht="15" hidden="false" customHeight="true" outlineLevel="0" collapsed="false">
      <c r="A2488" s="8"/>
      <c r="B2488" s="8"/>
      <c r="C2488" s="8"/>
      <c r="D2488" s="8"/>
      <c r="E2488" s="8"/>
      <c r="F2488" s="8"/>
      <c r="G2488" s="10" t="str">
        <f aca="false">IF($A2488="","",UPPER(SUBSTITUTE(SUBSTITUTE(SUBSTITUTE(SUBSTITUTE($A2488," ",""),"(주)",""),"주식회사",""),"㈜","")))</f>
        <v/>
      </c>
      <c r="H2488" s="10" t="str">
        <f aca="false">IF($B2488="","",SUBSTITUTE(SUBSTITUTE(SUBSTITUTE($B2488,"-","")," ",""),".",""))</f>
        <v/>
      </c>
      <c r="I2488" s="10" t="str">
        <f aca="false">IF($D2488="","",SUBSTITUTE(SUBSTITUTE(SUBSTITUTE($D2488,"-","")," ",""),".",""))</f>
        <v/>
      </c>
      <c r="J2488" s="10" t="str">
        <f aca="false">IF($E2488="","",UPPER(SUBSTITUTE($E2488," ","")))</f>
        <v/>
      </c>
      <c r="K2488" s="10" t="str">
        <f aca="false">IF($A2488="","",$G2488&amp;"|"&amp;$J2488)</f>
        <v/>
      </c>
      <c r="L2488" s="10" t="str">
        <f aca="false">IF($A2488="","",ROW()-2)</f>
        <v/>
      </c>
      <c r="M2488" s="10" t="str">
        <f aca="false">IF($A2488="","",ROW())</f>
        <v/>
      </c>
    </row>
    <row r="2489" customFormat="false" ht="15" hidden="false" customHeight="true" outlineLevel="0" collapsed="false">
      <c r="A2489" s="8"/>
      <c r="B2489" s="8"/>
      <c r="C2489" s="8"/>
      <c r="D2489" s="8"/>
      <c r="E2489" s="8"/>
      <c r="F2489" s="8"/>
      <c r="G2489" s="10" t="str">
        <f aca="false">IF($A2489="","",UPPER(SUBSTITUTE(SUBSTITUTE(SUBSTITUTE(SUBSTITUTE($A2489," ",""),"(주)",""),"주식회사",""),"㈜","")))</f>
        <v/>
      </c>
      <c r="H2489" s="10" t="str">
        <f aca="false">IF($B2489="","",SUBSTITUTE(SUBSTITUTE(SUBSTITUTE($B2489,"-","")," ",""),".",""))</f>
        <v/>
      </c>
      <c r="I2489" s="10" t="str">
        <f aca="false">IF($D2489="","",SUBSTITUTE(SUBSTITUTE(SUBSTITUTE($D2489,"-","")," ",""),".",""))</f>
        <v/>
      </c>
      <c r="J2489" s="10" t="str">
        <f aca="false">IF($E2489="","",UPPER(SUBSTITUTE($E2489," ","")))</f>
        <v/>
      </c>
      <c r="K2489" s="10" t="str">
        <f aca="false">IF($A2489="","",$G2489&amp;"|"&amp;$J2489)</f>
        <v/>
      </c>
      <c r="L2489" s="10" t="str">
        <f aca="false">IF($A2489="","",ROW()-2)</f>
        <v/>
      </c>
      <c r="M2489" s="10" t="str">
        <f aca="false">IF($A2489="","",ROW())</f>
        <v/>
      </c>
    </row>
    <row r="2490" customFormat="false" ht="15" hidden="false" customHeight="true" outlineLevel="0" collapsed="false">
      <c r="A2490" s="8"/>
      <c r="B2490" s="8"/>
      <c r="C2490" s="8"/>
      <c r="D2490" s="8"/>
      <c r="E2490" s="8"/>
      <c r="F2490" s="8"/>
      <c r="G2490" s="10" t="str">
        <f aca="false">IF($A2490="","",UPPER(SUBSTITUTE(SUBSTITUTE(SUBSTITUTE(SUBSTITUTE($A2490," ",""),"(주)",""),"주식회사",""),"㈜","")))</f>
        <v/>
      </c>
      <c r="H2490" s="10" t="str">
        <f aca="false">IF($B2490="","",SUBSTITUTE(SUBSTITUTE(SUBSTITUTE($B2490,"-","")," ",""),".",""))</f>
        <v/>
      </c>
      <c r="I2490" s="10" t="str">
        <f aca="false">IF($D2490="","",SUBSTITUTE(SUBSTITUTE(SUBSTITUTE($D2490,"-","")," ",""),".",""))</f>
        <v/>
      </c>
      <c r="J2490" s="10" t="str">
        <f aca="false">IF($E2490="","",UPPER(SUBSTITUTE($E2490," ","")))</f>
        <v/>
      </c>
      <c r="K2490" s="10" t="str">
        <f aca="false">IF($A2490="","",$G2490&amp;"|"&amp;$J2490)</f>
        <v/>
      </c>
      <c r="L2490" s="10" t="str">
        <f aca="false">IF($A2490="","",ROW()-2)</f>
        <v/>
      </c>
      <c r="M2490" s="10" t="str">
        <f aca="false">IF($A2490="","",ROW())</f>
        <v/>
      </c>
    </row>
    <row r="2491" customFormat="false" ht="15" hidden="false" customHeight="true" outlineLevel="0" collapsed="false">
      <c r="A2491" s="8"/>
      <c r="B2491" s="8"/>
      <c r="C2491" s="8"/>
      <c r="D2491" s="8"/>
      <c r="E2491" s="8"/>
      <c r="F2491" s="8"/>
      <c r="G2491" s="10" t="str">
        <f aca="false">IF($A2491="","",UPPER(SUBSTITUTE(SUBSTITUTE(SUBSTITUTE(SUBSTITUTE($A2491," ",""),"(주)",""),"주식회사",""),"㈜","")))</f>
        <v/>
      </c>
      <c r="H2491" s="10" t="str">
        <f aca="false">IF($B2491="","",SUBSTITUTE(SUBSTITUTE(SUBSTITUTE($B2491,"-","")," ",""),".",""))</f>
        <v/>
      </c>
      <c r="I2491" s="10" t="str">
        <f aca="false">IF($D2491="","",SUBSTITUTE(SUBSTITUTE(SUBSTITUTE($D2491,"-","")," ",""),".",""))</f>
        <v/>
      </c>
      <c r="J2491" s="10" t="str">
        <f aca="false">IF($E2491="","",UPPER(SUBSTITUTE($E2491," ","")))</f>
        <v/>
      </c>
      <c r="K2491" s="10" t="str">
        <f aca="false">IF($A2491="","",$G2491&amp;"|"&amp;$J2491)</f>
        <v/>
      </c>
      <c r="L2491" s="10" t="str">
        <f aca="false">IF($A2491="","",ROW()-2)</f>
        <v/>
      </c>
      <c r="M2491" s="10" t="str">
        <f aca="false">IF($A2491="","",ROW())</f>
        <v/>
      </c>
    </row>
    <row r="2492" customFormat="false" ht="15" hidden="false" customHeight="true" outlineLevel="0" collapsed="false">
      <c r="A2492" s="8"/>
      <c r="B2492" s="8"/>
      <c r="C2492" s="8"/>
      <c r="D2492" s="8"/>
      <c r="E2492" s="8"/>
      <c r="F2492" s="8"/>
      <c r="G2492" s="10" t="str">
        <f aca="false">IF($A2492="","",UPPER(SUBSTITUTE(SUBSTITUTE(SUBSTITUTE(SUBSTITUTE($A2492," ",""),"(주)",""),"주식회사",""),"㈜","")))</f>
        <v/>
      </c>
      <c r="H2492" s="10" t="str">
        <f aca="false">IF($B2492="","",SUBSTITUTE(SUBSTITUTE(SUBSTITUTE($B2492,"-","")," ",""),".",""))</f>
        <v/>
      </c>
      <c r="I2492" s="10" t="str">
        <f aca="false">IF($D2492="","",SUBSTITUTE(SUBSTITUTE(SUBSTITUTE($D2492,"-","")," ",""),".",""))</f>
        <v/>
      </c>
      <c r="J2492" s="10" t="str">
        <f aca="false">IF($E2492="","",UPPER(SUBSTITUTE($E2492," ","")))</f>
        <v/>
      </c>
      <c r="K2492" s="10" t="str">
        <f aca="false">IF($A2492="","",$G2492&amp;"|"&amp;$J2492)</f>
        <v/>
      </c>
      <c r="L2492" s="10" t="str">
        <f aca="false">IF($A2492="","",ROW()-2)</f>
        <v/>
      </c>
      <c r="M2492" s="10" t="str">
        <f aca="false">IF($A2492="","",ROW())</f>
        <v/>
      </c>
    </row>
    <row r="2493" customFormat="false" ht="15" hidden="false" customHeight="true" outlineLevel="0" collapsed="false">
      <c r="A2493" s="8"/>
      <c r="B2493" s="8"/>
      <c r="C2493" s="8"/>
      <c r="D2493" s="8"/>
      <c r="E2493" s="8"/>
      <c r="F2493" s="8"/>
      <c r="G2493" s="10" t="str">
        <f aca="false">IF($A2493="","",UPPER(SUBSTITUTE(SUBSTITUTE(SUBSTITUTE(SUBSTITUTE($A2493," ",""),"(주)",""),"주식회사",""),"㈜","")))</f>
        <v/>
      </c>
      <c r="H2493" s="10" t="str">
        <f aca="false">IF($B2493="","",SUBSTITUTE(SUBSTITUTE(SUBSTITUTE($B2493,"-","")," ",""),".",""))</f>
        <v/>
      </c>
      <c r="I2493" s="10" t="str">
        <f aca="false">IF($D2493="","",SUBSTITUTE(SUBSTITUTE(SUBSTITUTE($D2493,"-","")," ",""),".",""))</f>
        <v/>
      </c>
      <c r="J2493" s="10" t="str">
        <f aca="false">IF($E2493="","",UPPER(SUBSTITUTE($E2493," ","")))</f>
        <v/>
      </c>
      <c r="K2493" s="10" t="str">
        <f aca="false">IF($A2493="","",$G2493&amp;"|"&amp;$J2493)</f>
        <v/>
      </c>
      <c r="L2493" s="10" t="str">
        <f aca="false">IF($A2493="","",ROW()-2)</f>
        <v/>
      </c>
      <c r="M2493" s="10" t="str">
        <f aca="false">IF($A2493="","",ROW())</f>
        <v/>
      </c>
    </row>
    <row r="2494" customFormat="false" ht="15" hidden="false" customHeight="true" outlineLevel="0" collapsed="false">
      <c r="A2494" s="8"/>
      <c r="B2494" s="8"/>
      <c r="C2494" s="8"/>
      <c r="D2494" s="8"/>
      <c r="E2494" s="8"/>
      <c r="F2494" s="8"/>
      <c r="G2494" s="10" t="str">
        <f aca="false">IF($A2494="","",UPPER(SUBSTITUTE(SUBSTITUTE(SUBSTITUTE(SUBSTITUTE($A2494," ",""),"(주)",""),"주식회사",""),"㈜","")))</f>
        <v/>
      </c>
      <c r="H2494" s="10" t="str">
        <f aca="false">IF($B2494="","",SUBSTITUTE(SUBSTITUTE(SUBSTITUTE($B2494,"-","")," ",""),".",""))</f>
        <v/>
      </c>
      <c r="I2494" s="10" t="str">
        <f aca="false">IF($D2494="","",SUBSTITUTE(SUBSTITUTE(SUBSTITUTE($D2494,"-","")," ",""),".",""))</f>
        <v/>
      </c>
      <c r="J2494" s="10" t="str">
        <f aca="false">IF($E2494="","",UPPER(SUBSTITUTE($E2494," ","")))</f>
        <v/>
      </c>
      <c r="K2494" s="10" t="str">
        <f aca="false">IF($A2494="","",$G2494&amp;"|"&amp;$J2494)</f>
        <v/>
      </c>
      <c r="L2494" s="10" t="str">
        <f aca="false">IF($A2494="","",ROW()-2)</f>
        <v/>
      </c>
      <c r="M2494" s="10" t="str">
        <f aca="false">IF($A2494="","",ROW())</f>
        <v/>
      </c>
    </row>
    <row r="2495" customFormat="false" ht="15" hidden="false" customHeight="true" outlineLevel="0" collapsed="false">
      <c r="A2495" s="8"/>
      <c r="B2495" s="8"/>
      <c r="C2495" s="8"/>
      <c r="D2495" s="8"/>
      <c r="E2495" s="8"/>
      <c r="F2495" s="8"/>
      <c r="G2495" s="10" t="str">
        <f aca="false">IF($A2495="","",UPPER(SUBSTITUTE(SUBSTITUTE(SUBSTITUTE(SUBSTITUTE($A2495," ",""),"(주)",""),"주식회사",""),"㈜","")))</f>
        <v/>
      </c>
      <c r="H2495" s="10" t="str">
        <f aca="false">IF($B2495="","",SUBSTITUTE(SUBSTITUTE(SUBSTITUTE($B2495,"-","")," ",""),".",""))</f>
        <v/>
      </c>
      <c r="I2495" s="10" t="str">
        <f aca="false">IF($D2495="","",SUBSTITUTE(SUBSTITUTE(SUBSTITUTE($D2495,"-","")," ",""),".",""))</f>
        <v/>
      </c>
      <c r="J2495" s="10" t="str">
        <f aca="false">IF($E2495="","",UPPER(SUBSTITUTE($E2495," ","")))</f>
        <v/>
      </c>
      <c r="K2495" s="10" t="str">
        <f aca="false">IF($A2495="","",$G2495&amp;"|"&amp;$J2495)</f>
        <v/>
      </c>
      <c r="L2495" s="10" t="str">
        <f aca="false">IF($A2495="","",ROW()-2)</f>
        <v/>
      </c>
      <c r="M2495" s="10" t="str">
        <f aca="false">IF($A2495="","",ROW())</f>
        <v/>
      </c>
    </row>
    <row r="2496" customFormat="false" ht="15" hidden="false" customHeight="true" outlineLevel="0" collapsed="false">
      <c r="A2496" s="8"/>
      <c r="B2496" s="8"/>
      <c r="C2496" s="8"/>
      <c r="D2496" s="8"/>
      <c r="E2496" s="8"/>
      <c r="F2496" s="8"/>
      <c r="G2496" s="10" t="str">
        <f aca="false">IF($A2496="","",UPPER(SUBSTITUTE(SUBSTITUTE(SUBSTITUTE(SUBSTITUTE($A2496," ",""),"(주)",""),"주식회사",""),"㈜","")))</f>
        <v/>
      </c>
      <c r="H2496" s="10" t="str">
        <f aca="false">IF($B2496="","",SUBSTITUTE(SUBSTITUTE(SUBSTITUTE($B2496,"-","")," ",""),".",""))</f>
        <v/>
      </c>
      <c r="I2496" s="10" t="str">
        <f aca="false">IF($D2496="","",SUBSTITUTE(SUBSTITUTE(SUBSTITUTE($D2496,"-","")," ",""),".",""))</f>
        <v/>
      </c>
      <c r="J2496" s="10" t="str">
        <f aca="false">IF($E2496="","",UPPER(SUBSTITUTE($E2496," ","")))</f>
        <v/>
      </c>
      <c r="K2496" s="10" t="str">
        <f aca="false">IF($A2496="","",$G2496&amp;"|"&amp;$J2496)</f>
        <v/>
      </c>
      <c r="L2496" s="10" t="str">
        <f aca="false">IF($A2496="","",ROW()-2)</f>
        <v/>
      </c>
      <c r="M2496" s="10" t="str">
        <f aca="false">IF($A2496="","",ROW())</f>
        <v/>
      </c>
    </row>
    <row r="2497" customFormat="false" ht="15" hidden="false" customHeight="true" outlineLevel="0" collapsed="false">
      <c r="A2497" s="8"/>
      <c r="B2497" s="8"/>
      <c r="C2497" s="8"/>
      <c r="D2497" s="8"/>
      <c r="E2497" s="8"/>
      <c r="F2497" s="8"/>
      <c r="G2497" s="10" t="str">
        <f aca="false">IF($A2497="","",UPPER(SUBSTITUTE(SUBSTITUTE(SUBSTITUTE(SUBSTITUTE($A2497," ",""),"(주)",""),"주식회사",""),"㈜","")))</f>
        <v/>
      </c>
      <c r="H2497" s="10" t="str">
        <f aca="false">IF($B2497="","",SUBSTITUTE(SUBSTITUTE(SUBSTITUTE($B2497,"-","")," ",""),".",""))</f>
        <v/>
      </c>
      <c r="I2497" s="10" t="str">
        <f aca="false">IF($D2497="","",SUBSTITUTE(SUBSTITUTE(SUBSTITUTE($D2497,"-","")," ",""),".",""))</f>
        <v/>
      </c>
      <c r="J2497" s="10" t="str">
        <f aca="false">IF($E2497="","",UPPER(SUBSTITUTE($E2497," ","")))</f>
        <v/>
      </c>
      <c r="K2497" s="10" t="str">
        <f aca="false">IF($A2497="","",$G2497&amp;"|"&amp;$J2497)</f>
        <v/>
      </c>
      <c r="L2497" s="10" t="str">
        <f aca="false">IF($A2497="","",ROW()-2)</f>
        <v/>
      </c>
      <c r="M2497" s="10" t="str">
        <f aca="false">IF($A2497="","",ROW())</f>
        <v/>
      </c>
    </row>
    <row r="2498" customFormat="false" ht="15" hidden="false" customHeight="true" outlineLevel="0" collapsed="false">
      <c r="A2498" s="8"/>
      <c r="B2498" s="8"/>
      <c r="C2498" s="8"/>
      <c r="D2498" s="8"/>
      <c r="E2498" s="8"/>
      <c r="F2498" s="8"/>
      <c r="G2498" s="10" t="str">
        <f aca="false">IF($A2498="","",UPPER(SUBSTITUTE(SUBSTITUTE(SUBSTITUTE(SUBSTITUTE($A2498," ",""),"(주)",""),"주식회사",""),"㈜","")))</f>
        <v/>
      </c>
      <c r="H2498" s="10" t="str">
        <f aca="false">IF($B2498="","",SUBSTITUTE(SUBSTITUTE(SUBSTITUTE($B2498,"-","")," ",""),".",""))</f>
        <v/>
      </c>
      <c r="I2498" s="10" t="str">
        <f aca="false">IF($D2498="","",SUBSTITUTE(SUBSTITUTE(SUBSTITUTE($D2498,"-","")," ",""),".",""))</f>
        <v/>
      </c>
      <c r="J2498" s="10" t="str">
        <f aca="false">IF($E2498="","",UPPER(SUBSTITUTE($E2498," ","")))</f>
        <v/>
      </c>
      <c r="K2498" s="10" t="str">
        <f aca="false">IF($A2498="","",$G2498&amp;"|"&amp;$J2498)</f>
        <v/>
      </c>
      <c r="L2498" s="10" t="str">
        <f aca="false">IF($A2498="","",ROW()-2)</f>
        <v/>
      </c>
      <c r="M2498" s="10" t="str">
        <f aca="false">IF($A2498="","",ROW())</f>
        <v/>
      </c>
    </row>
    <row r="2499" customFormat="false" ht="15" hidden="false" customHeight="true" outlineLevel="0" collapsed="false">
      <c r="A2499" s="8"/>
      <c r="B2499" s="8"/>
      <c r="C2499" s="8"/>
      <c r="D2499" s="8"/>
      <c r="E2499" s="8"/>
      <c r="F2499" s="8"/>
      <c r="G2499" s="10" t="str">
        <f aca="false">IF($A2499="","",UPPER(SUBSTITUTE(SUBSTITUTE(SUBSTITUTE(SUBSTITUTE($A2499," ",""),"(주)",""),"주식회사",""),"㈜","")))</f>
        <v/>
      </c>
      <c r="H2499" s="10" t="str">
        <f aca="false">IF($B2499="","",SUBSTITUTE(SUBSTITUTE(SUBSTITUTE($B2499,"-","")," ",""),".",""))</f>
        <v/>
      </c>
      <c r="I2499" s="10" t="str">
        <f aca="false">IF($D2499="","",SUBSTITUTE(SUBSTITUTE(SUBSTITUTE($D2499,"-","")," ",""),".",""))</f>
        <v/>
      </c>
      <c r="J2499" s="10" t="str">
        <f aca="false">IF($E2499="","",UPPER(SUBSTITUTE($E2499," ","")))</f>
        <v/>
      </c>
      <c r="K2499" s="10" t="str">
        <f aca="false">IF($A2499="","",$G2499&amp;"|"&amp;$J2499)</f>
        <v/>
      </c>
      <c r="L2499" s="10" t="str">
        <f aca="false">IF($A2499="","",ROW()-2)</f>
        <v/>
      </c>
      <c r="M2499" s="10" t="str">
        <f aca="false">IF($A2499="","",ROW())</f>
        <v/>
      </c>
    </row>
    <row r="2500" customFormat="false" ht="15" hidden="false" customHeight="true" outlineLevel="0" collapsed="false">
      <c r="A2500" s="8"/>
      <c r="B2500" s="8"/>
      <c r="C2500" s="8"/>
      <c r="D2500" s="8"/>
      <c r="E2500" s="8"/>
      <c r="F2500" s="8"/>
      <c r="G2500" s="10" t="str">
        <f aca="false">IF($A2500="","",UPPER(SUBSTITUTE(SUBSTITUTE(SUBSTITUTE(SUBSTITUTE($A2500," ",""),"(주)",""),"주식회사",""),"㈜","")))</f>
        <v/>
      </c>
      <c r="H2500" s="10" t="str">
        <f aca="false">IF($B2500="","",SUBSTITUTE(SUBSTITUTE(SUBSTITUTE($B2500,"-","")," ",""),".",""))</f>
        <v/>
      </c>
      <c r="I2500" s="10" t="str">
        <f aca="false">IF($D2500="","",SUBSTITUTE(SUBSTITUTE(SUBSTITUTE($D2500,"-","")," ",""),".",""))</f>
        <v/>
      </c>
      <c r="J2500" s="10" t="str">
        <f aca="false">IF($E2500="","",UPPER(SUBSTITUTE($E2500," ","")))</f>
        <v/>
      </c>
      <c r="K2500" s="10" t="str">
        <f aca="false">IF($A2500="","",$G2500&amp;"|"&amp;$J2500)</f>
        <v/>
      </c>
      <c r="L2500" s="10" t="str">
        <f aca="false">IF($A2500="","",ROW()-2)</f>
        <v/>
      </c>
      <c r="M2500" s="10" t="str">
        <f aca="false">IF($A2500="","",ROW())</f>
        <v/>
      </c>
    </row>
    <row r="2501" customFormat="false" ht="15" hidden="false" customHeight="true" outlineLevel="0" collapsed="false">
      <c r="A2501" s="8"/>
      <c r="B2501" s="8"/>
      <c r="C2501" s="8"/>
      <c r="D2501" s="8"/>
      <c r="E2501" s="8"/>
      <c r="F2501" s="8"/>
      <c r="G2501" s="10" t="str">
        <f aca="false">IF($A2501="","",UPPER(SUBSTITUTE(SUBSTITUTE(SUBSTITUTE(SUBSTITUTE($A2501," ",""),"(주)",""),"주식회사",""),"㈜","")))</f>
        <v/>
      </c>
      <c r="H2501" s="10" t="str">
        <f aca="false">IF($B2501="","",SUBSTITUTE(SUBSTITUTE(SUBSTITUTE($B2501,"-","")," ",""),".",""))</f>
        <v/>
      </c>
      <c r="I2501" s="10" t="str">
        <f aca="false">IF($D2501="","",SUBSTITUTE(SUBSTITUTE(SUBSTITUTE($D2501,"-","")," ",""),".",""))</f>
        <v/>
      </c>
      <c r="J2501" s="10" t="str">
        <f aca="false">IF($E2501="","",UPPER(SUBSTITUTE($E2501," ","")))</f>
        <v/>
      </c>
      <c r="K2501" s="10" t="str">
        <f aca="false">IF($A2501="","",$G2501&amp;"|"&amp;$J2501)</f>
        <v/>
      </c>
      <c r="L2501" s="10" t="str">
        <f aca="false">IF($A2501="","",ROW()-2)</f>
        <v/>
      </c>
      <c r="M2501" s="10" t="str">
        <f aca="false">IF($A2501="","",ROW())</f>
        <v/>
      </c>
    </row>
    <row r="2502" customFormat="false" ht="15" hidden="false" customHeight="true" outlineLevel="0" collapsed="false">
      <c r="A2502" s="8"/>
      <c r="B2502" s="8"/>
      <c r="C2502" s="8"/>
      <c r="D2502" s="8"/>
      <c r="E2502" s="8"/>
      <c r="F2502" s="8"/>
      <c r="G2502" s="10" t="str">
        <f aca="false">IF($A2502="","",UPPER(SUBSTITUTE(SUBSTITUTE(SUBSTITUTE(SUBSTITUTE($A2502," ",""),"(주)",""),"주식회사",""),"㈜","")))</f>
        <v/>
      </c>
      <c r="H2502" s="10" t="str">
        <f aca="false">IF($B2502="","",SUBSTITUTE(SUBSTITUTE(SUBSTITUTE($B2502,"-","")," ",""),".",""))</f>
        <v/>
      </c>
      <c r="I2502" s="10" t="str">
        <f aca="false">IF($D2502="","",SUBSTITUTE(SUBSTITUTE(SUBSTITUTE($D2502,"-","")," ",""),".",""))</f>
        <v/>
      </c>
      <c r="J2502" s="10" t="str">
        <f aca="false">IF($E2502="","",UPPER(SUBSTITUTE($E2502," ","")))</f>
        <v/>
      </c>
      <c r="K2502" s="10" t="str">
        <f aca="false">IF($A2502="","",$G2502&amp;"|"&amp;$J2502)</f>
        <v/>
      </c>
      <c r="L2502" s="10" t="str">
        <f aca="false">IF($A2502="","",ROW()-2)</f>
        <v/>
      </c>
      <c r="M2502" s="10" t="str">
        <f aca="false">IF($A2502="","",ROW())</f>
        <v/>
      </c>
    </row>
    <row r="2503" customFormat="false" ht="15" hidden="false" customHeight="true" outlineLevel="0" collapsed="false">
      <c r="A2503" s="8"/>
      <c r="B2503" s="8"/>
      <c r="C2503" s="8"/>
      <c r="D2503" s="8"/>
      <c r="E2503" s="8"/>
      <c r="F2503" s="8"/>
      <c r="G2503" s="10" t="str">
        <f aca="false">IF($A2503="","",UPPER(SUBSTITUTE(SUBSTITUTE(SUBSTITUTE(SUBSTITUTE($A2503," ",""),"(주)",""),"주식회사",""),"㈜","")))</f>
        <v/>
      </c>
      <c r="H2503" s="10" t="str">
        <f aca="false">IF($B2503="","",SUBSTITUTE(SUBSTITUTE(SUBSTITUTE($B2503,"-","")," ",""),".",""))</f>
        <v/>
      </c>
      <c r="I2503" s="10" t="str">
        <f aca="false">IF($D2503="","",SUBSTITUTE(SUBSTITUTE(SUBSTITUTE($D2503,"-","")," ",""),".",""))</f>
        <v/>
      </c>
      <c r="J2503" s="10" t="str">
        <f aca="false">IF($E2503="","",UPPER(SUBSTITUTE($E2503," ","")))</f>
        <v/>
      </c>
      <c r="K2503" s="10" t="str">
        <f aca="false">IF($A2503="","",$G2503&amp;"|"&amp;$J2503)</f>
        <v/>
      </c>
      <c r="L2503" s="10" t="str">
        <f aca="false">IF($A2503="","",ROW()-2)</f>
        <v/>
      </c>
      <c r="M2503" s="10" t="str">
        <f aca="false">IF($A2503="","",ROW())</f>
        <v/>
      </c>
    </row>
    <row r="2504" customFormat="false" ht="15" hidden="false" customHeight="true" outlineLevel="0" collapsed="false">
      <c r="A2504" s="8"/>
      <c r="B2504" s="8"/>
      <c r="C2504" s="8"/>
      <c r="D2504" s="8"/>
      <c r="E2504" s="8"/>
      <c r="F2504" s="8"/>
      <c r="G2504" s="10" t="str">
        <f aca="false">IF($A2504="","",UPPER(SUBSTITUTE(SUBSTITUTE(SUBSTITUTE(SUBSTITUTE($A2504," ",""),"(주)",""),"주식회사",""),"㈜","")))</f>
        <v/>
      </c>
      <c r="H2504" s="10" t="str">
        <f aca="false">IF($B2504="","",SUBSTITUTE(SUBSTITUTE(SUBSTITUTE($B2504,"-","")," ",""),".",""))</f>
        <v/>
      </c>
      <c r="I2504" s="10" t="str">
        <f aca="false">IF($D2504="","",SUBSTITUTE(SUBSTITUTE(SUBSTITUTE($D2504,"-","")," ",""),".",""))</f>
        <v/>
      </c>
      <c r="J2504" s="10" t="str">
        <f aca="false">IF($E2504="","",UPPER(SUBSTITUTE($E2504," ","")))</f>
        <v/>
      </c>
      <c r="K2504" s="10" t="str">
        <f aca="false">IF($A2504="","",$G2504&amp;"|"&amp;$J2504)</f>
        <v/>
      </c>
      <c r="L2504" s="10" t="str">
        <f aca="false">IF($A2504="","",ROW()-2)</f>
        <v/>
      </c>
      <c r="M2504" s="10" t="str">
        <f aca="false">IF($A2504="","",ROW())</f>
        <v/>
      </c>
    </row>
    <row r="2505" customFormat="false" ht="15" hidden="false" customHeight="true" outlineLevel="0" collapsed="false">
      <c r="A2505" s="8"/>
      <c r="B2505" s="8"/>
      <c r="C2505" s="8"/>
      <c r="D2505" s="8"/>
      <c r="E2505" s="8"/>
      <c r="F2505" s="8"/>
      <c r="G2505" s="10" t="str">
        <f aca="false">IF($A2505="","",UPPER(SUBSTITUTE(SUBSTITUTE(SUBSTITUTE(SUBSTITUTE($A2505," ",""),"(주)",""),"주식회사",""),"㈜","")))</f>
        <v/>
      </c>
      <c r="H2505" s="10" t="str">
        <f aca="false">IF($B2505="","",SUBSTITUTE(SUBSTITUTE(SUBSTITUTE($B2505,"-","")," ",""),".",""))</f>
        <v/>
      </c>
      <c r="I2505" s="10" t="str">
        <f aca="false">IF($D2505="","",SUBSTITUTE(SUBSTITUTE(SUBSTITUTE($D2505,"-","")," ",""),".",""))</f>
        <v/>
      </c>
      <c r="J2505" s="10" t="str">
        <f aca="false">IF($E2505="","",UPPER(SUBSTITUTE($E2505," ","")))</f>
        <v/>
      </c>
      <c r="K2505" s="10" t="str">
        <f aca="false">IF($A2505="","",$G2505&amp;"|"&amp;$J2505)</f>
        <v/>
      </c>
      <c r="L2505" s="10" t="str">
        <f aca="false">IF($A2505="","",ROW()-2)</f>
        <v/>
      </c>
      <c r="M2505" s="10" t="str">
        <f aca="false">IF($A2505="","",ROW())</f>
        <v/>
      </c>
    </row>
    <row r="2506" customFormat="false" ht="15" hidden="false" customHeight="true" outlineLevel="0" collapsed="false">
      <c r="A2506" s="8"/>
      <c r="B2506" s="8"/>
      <c r="C2506" s="8"/>
      <c r="D2506" s="8"/>
      <c r="E2506" s="8"/>
      <c r="F2506" s="8"/>
      <c r="G2506" s="10" t="str">
        <f aca="false">IF($A2506="","",UPPER(SUBSTITUTE(SUBSTITUTE(SUBSTITUTE(SUBSTITUTE($A2506," ",""),"(주)",""),"주식회사",""),"㈜","")))</f>
        <v/>
      </c>
      <c r="H2506" s="10" t="str">
        <f aca="false">IF($B2506="","",SUBSTITUTE(SUBSTITUTE(SUBSTITUTE($B2506,"-","")," ",""),".",""))</f>
        <v/>
      </c>
      <c r="I2506" s="10" t="str">
        <f aca="false">IF($D2506="","",SUBSTITUTE(SUBSTITUTE(SUBSTITUTE($D2506,"-","")," ",""),".",""))</f>
        <v/>
      </c>
      <c r="J2506" s="10" t="str">
        <f aca="false">IF($E2506="","",UPPER(SUBSTITUTE($E2506," ","")))</f>
        <v/>
      </c>
      <c r="K2506" s="10" t="str">
        <f aca="false">IF($A2506="","",$G2506&amp;"|"&amp;$J2506)</f>
        <v/>
      </c>
      <c r="L2506" s="10" t="str">
        <f aca="false">IF($A2506="","",ROW()-2)</f>
        <v/>
      </c>
      <c r="M2506" s="10" t="str">
        <f aca="false">IF($A2506="","",ROW())</f>
        <v/>
      </c>
    </row>
    <row r="2507" customFormat="false" ht="15" hidden="false" customHeight="true" outlineLevel="0" collapsed="false">
      <c r="A2507" s="8"/>
      <c r="B2507" s="8"/>
      <c r="C2507" s="8"/>
      <c r="D2507" s="8"/>
      <c r="E2507" s="8"/>
      <c r="F2507" s="8"/>
      <c r="G2507" s="10" t="str">
        <f aca="false">IF($A2507="","",UPPER(SUBSTITUTE(SUBSTITUTE(SUBSTITUTE(SUBSTITUTE($A2507," ",""),"(주)",""),"주식회사",""),"㈜","")))</f>
        <v/>
      </c>
      <c r="H2507" s="10" t="str">
        <f aca="false">IF($B2507="","",SUBSTITUTE(SUBSTITUTE(SUBSTITUTE($B2507,"-","")," ",""),".",""))</f>
        <v/>
      </c>
      <c r="I2507" s="10" t="str">
        <f aca="false">IF($D2507="","",SUBSTITUTE(SUBSTITUTE(SUBSTITUTE($D2507,"-","")," ",""),".",""))</f>
        <v/>
      </c>
      <c r="J2507" s="10" t="str">
        <f aca="false">IF($E2507="","",UPPER(SUBSTITUTE($E2507," ","")))</f>
        <v/>
      </c>
      <c r="K2507" s="10" t="str">
        <f aca="false">IF($A2507="","",$G2507&amp;"|"&amp;$J2507)</f>
        <v/>
      </c>
      <c r="L2507" s="10" t="str">
        <f aca="false">IF($A2507="","",ROW()-2)</f>
        <v/>
      </c>
      <c r="M2507" s="10" t="str">
        <f aca="false">IF($A2507="","",ROW())</f>
        <v/>
      </c>
    </row>
    <row r="2508" customFormat="false" ht="15" hidden="false" customHeight="true" outlineLevel="0" collapsed="false">
      <c r="A2508" s="8"/>
      <c r="B2508" s="8"/>
      <c r="C2508" s="8"/>
      <c r="D2508" s="8"/>
      <c r="E2508" s="8"/>
      <c r="F2508" s="8"/>
      <c r="G2508" s="10" t="str">
        <f aca="false">IF($A2508="","",UPPER(SUBSTITUTE(SUBSTITUTE(SUBSTITUTE(SUBSTITUTE($A2508," ",""),"(주)",""),"주식회사",""),"㈜","")))</f>
        <v/>
      </c>
      <c r="H2508" s="10" t="str">
        <f aca="false">IF($B2508="","",SUBSTITUTE(SUBSTITUTE(SUBSTITUTE($B2508,"-","")," ",""),".",""))</f>
        <v/>
      </c>
      <c r="I2508" s="10" t="str">
        <f aca="false">IF($D2508="","",SUBSTITUTE(SUBSTITUTE(SUBSTITUTE($D2508,"-","")," ",""),".",""))</f>
        <v/>
      </c>
      <c r="J2508" s="10" t="str">
        <f aca="false">IF($E2508="","",UPPER(SUBSTITUTE($E2508," ","")))</f>
        <v/>
      </c>
      <c r="K2508" s="10" t="str">
        <f aca="false">IF($A2508="","",$G2508&amp;"|"&amp;$J2508)</f>
        <v/>
      </c>
      <c r="L2508" s="10" t="str">
        <f aca="false">IF($A2508="","",ROW()-2)</f>
        <v/>
      </c>
      <c r="M2508" s="10" t="str">
        <f aca="false">IF($A2508="","",ROW())</f>
        <v/>
      </c>
    </row>
    <row r="2509" customFormat="false" ht="15" hidden="false" customHeight="true" outlineLevel="0" collapsed="false">
      <c r="A2509" s="8"/>
      <c r="B2509" s="8"/>
      <c r="C2509" s="8"/>
      <c r="D2509" s="8"/>
      <c r="E2509" s="8"/>
      <c r="F2509" s="8"/>
      <c r="G2509" s="10" t="str">
        <f aca="false">IF($A2509="","",UPPER(SUBSTITUTE(SUBSTITUTE(SUBSTITUTE(SUBSTITUTE($A2509," ",""),"(주)",""),"주식회사",""),"㈜","")))</f>
        <v/>
      </c>
      <c r="H2509" s="10" t="str">
        <f aca="false">IF($B2509="","",SUBSTITUTE(SUBSTITUTE(SUBSTITUTE($B2509,"-","")," ",""),".",""))</f>
        <v/>
      </c>
      <c r="I2509" s="10" t="str">
        <f aca="false">IF($D2509="","",SUBSTITUTE(SUBSTITUTE(SUBSTITUTE($D2509,"-","")," ",""),".",""))</f>
        <v/>
      </c>
      <c r="J2509" s="10" t="str">
        <f aca="false">IF($E2509="","",UPPER(SUBSTITUTE($E2509," ","")))</f>
        <v/>
      </c>
      <c r="K2509" s="10" t="str">
        <f aca="false">IF($A2509="","",$G2509&amp;"|"&amp;$J2509)</f>
        <v/>
      </c>
      <c r="L2509" s="10" t="str">
        <f aca="false">IF($A2509="","",ROW()-2)</f>
        <v/>
      </c>
      <c r="M2509" s="10" t="str">
        <f aca="false">IF($A2509="","",ROW())</f>
        <v/>
      </c>
    </row>
    <row r="2510" customFormat="false" ht="15" hidden="false" customHeight="true" outlineLevel="0" collapsed="false">
      <c r="A2510" s="8"/>
      <c r="B2510" s="8"/>
      <c r="C2510" s="8"/>
      <c r="D2510" s="8"/>
      <c r="E2510" s="8"/>
      <c r="F2510" s="8"/>
      <c r="G2510" s="10" t="str">
        <f aca="false">IF($A2510="","",UPPER(SUBSTITUTE(SUBSTITUTE(SUBSTITUTE(SUBSTITUTE($A2510," ",""),"(주)",""),"주식회사",""),"㈜","")))</f>
        <v/>
      </c>
      <c r="H2510" s="10" t="str">
        <f aca="false">IF($B2510="","",SUBSTITUTE(SUBSTITUTE(SUBSTITUTE($B2510,"-","")," ",""),".",""))</f>
        <v/>
      </c>
      <c r="I2510" s="10" t="str">
        <f aca="false">IF($D2510="","",SUBSTITUTE(SUBSTITUTE(SUBSTITUTE($D2510,"-","")," ",""),".",""))</f>
        <v/>
      </c>
      <c r="J2510" s="10" t="str">
        <f aca="false">IF($E2510="","",UPPER(SUBSTITUTE($E2510," ","")))</f>
        <v/>
      </c>
      <c r="K2510" s="10" t="str">
        <f aca="false">IF($A2510="","",$G2510&amp;"|"&amp;$J2510)</f>
        <v/>
      </c>
      <c r="L2510" s="10" t="str">
        <f aca="false">IF($A2510="","",ROW()-2)</f>
        <v/>
      </c>
      <c r="M2510" s="10" t="str">
        <f aca="false">IF($A2510="","",ROW())</f>
        <v/>
      </c>
    </row>
    <row r="2511" customFormat="false" ht="15" hidden="false" customHeight="true" outlineLevel="0" collapsed="false">
      <c r="A2511" s="8"/>
      <c r="B2511" s="8"/>
      <c r="C2511" s="8"/>
      <c r="D2511" s="8"/>
      <c r="E2511" s="8"/>
      <c r="F2511" s="8"/>
      <c r="G2511" s="10" t="str">
        <f aca="false">IF($A2511="","",UPPER(SUBSTITUTE(SUBSTITUTE(SUBSTITUTE(SUBSTITUTE($A2511," ",""),"(주)",""),"주식회사",""),"㈜","")))</f>
        <v/>
      </c>
      <c r="H2511" s="10" t="str">
        <f aca="false">IF($B2511="","",SUBSTITUTE(SUBSTITUTE(SUBSTITUTE($B2511,"-","")," ",""),".",""))</f>
        <v/>
      </c>
      <c r="I2511" s="10" t="str">
        <f aca="false">IF($D2511="","",SUBSTITUTE(SUBSTITUTE(SUBSTITUTE($D2511,"-","")," ",""),".",""))</f>
        <v/>
      </c>
      <c r="J2511" s="10" t="str">
        <f aca="false">IF($E2511="","",UPPER(SUBSTITUTE($E2511," ","")))</f>
        <v/>
      </c>
      <c r="K2511" s="10" t="str">
        <f aca="false">IF($A2511="","",$G2511&amp;"|"&amp;$J2511)</f>
        <v/>
      </c>
      <c r="L2511" s="10" t="str">
        <f aca="false">IF($A2511="","",ROW()-2)</f>
        <v/>
      </c>
      <c r="M2511" s="10" t="str">
        <f aca="false">IF($A2511="","",ROW())</f>
        <v/>
      </c>
    </row>
    <row r="2512" customFormat="false" ht="15" hidden="false" customHeight="true" outlineLevel="0" collapsed="false">
      <c r="A2512" s="8"/>
      <c r="B2512" s="8"/>
      <c r="C2512" s="8"/>
      <c r="D2512" s="8"/>
      <c r="E2512" s="8"/>
      <c r="F2512" s="8"/>
      <c r="G2512" s="10" t="str">
        <f aca="false">IF($A2512="","",UPPER(SUBSTITUTE(SUBSTITUTE(SUBSTITUTE(SUBSTITUTE($A2512," ",""),"(주)",""),"주식회사",""),"㈜","")))</f>
        <v/>
      </c>
      <c r="H2512" s="10" t="str">
        <f aca="false">IF($B2512="","",SUBSTITUTE(SUBSTITUTE(SUBSTITUTE($B2512,"-","")," ",""),".",""))</f>
        <v/>
      </c>
      <c r="I2512" s="10" t="str">
        <f aca="false">IF($D2512="","",SUBSTITUTE(SUBSTITUTE(SUBSTITUTE($D2512,"-","")," ",""),".",""))</f>
        <v/>
      </c>
      <c r="J2512" s="10" t="str">
        <f aca="false">IF($E2512="","",UPPER(SUBSTITUTE($E2512," ","")))</f>
        <v/>
      </c>
      <c r="K2512" s="10" t="str">
        <f aca="false">IF($A2512="","",$G2512&amp;"|"&amp;$J2512)</f>
        <v/>
      </c>
      <c r="L2512" s="10" t="str">
        <f aca="false">IF($A2512="","",ROW()-2)</f>
        <v/>
      </c>
      <c r="M2512" s="10" t="str">
        <f aca="false">IF($A2512="","",ROW())</f>
        <v/>
      </c>
    </row>
    <row r="2513" customFormat="false" ht="15" hidden="false" customHeight="true" outlineLevel="0" collapsed="false">
      <c r="A2513" s="8"/>
      <c r="B2513" s="8"/>
      <c r="C2513" s="8"/>
      <c r="D2513" s="8"/>
      <c r="E2513" s="8"/>
      <c r="F2513" s="8"/>
      <c r="G2513" s="10" t="str">
        <f aca="false">IF($A2513="","",UPPER(SUBSTITUTE(SUBSTITUTE(SUBSTITUTE(SUBSTITUTE($A2513," ",""),"(주)",""),"주식회사",""),"㈜","")))</f>
        <v/>
      </c>
      <c r="H2513" s="10" t="str">
        <f aca="false">IF($B2513="","",SUBSTITUTE(SUBSTITUTE(SUBSTITUTE($B2513,"-","")," ",""),".",""))</f>
        <v/>
      </c>
      <c r="I2513" s="10" t="str">
        <f aca="false">IF($D2513="","",SUBSTITUTE(SUBSTITUTE(SUBSTITUTE($D2513,"-","")," ",""),".",""))</f>
        <v/>
      </c>
      <c r="J2513" s="10" t="str">
        <f aca="false">IF($E2513="","",UPPER(SUBSTITUTE($E2513," ","")))</f>
        <v/>
      </c>
      <c r="K2513" s="10" t="str">
        <f aca="false">IF($A2513="","",$G2513&amp;"|"&amp;$J2513)</f>
        <v/>
      </c>
      <c r="L2513" s="10" t="str">
        <f aca="false">IF($A2513="","",ROW()-2)</f>
        <v/>
      </c>
      <c r="M2513" s="10" t="str">
        <f aca="false">IF($A2513="","",ROW())</f>
        <v/>
      </c>
    </row>
    <row r="2514" customFormat="false" ht="15" hidden="false" customHeight="true" outlineLevel="0" collapsed="false">
      <c r="A2514" s="8"/>
      <c r="B2514" s="8"/>
      <c r="C2514" s="8"/>
      <c r="D2514" s="8"/>
      <c r="E2514" s="8"/>
      <c r="F2514" s="8"/>
      <c r="G2514" s="10" t="str">
        <f aca="false">IF($A2514="","",UPPER(SUBSTITUTE(SUBSTITUTE(SUBSTITUTE(SUBSTITUTE($A2514," ",""),"(주)",""),"주식회사",""),"㈜","")))</f>
        <v/>
      </c>
      <c r="H2514" s="10" t="str">
        <f aca="false">IF($B2514="","",SUBSTITUTE(SUBSTITUTE(SUBSTITUTE($B2514,"-","")," ",""),".",""))</f>
        <v/>
      </c>
      <c r="I2514" s="10" t="str">
        <f aca="false">IF($D2514="","",SUBSTITUTE(SUBSTITUTE(SUBSTITUTE($D2514,"-","")," ",""),".",""))</f>
        <v/>
      </c>
      <c r="J2514" s="10" t="str">
        <f aca="false">IF($E2514="","",UPPER(SUBSTITUTE($E2514," ","")))</f>
        <v/>
      </c>
      <c r="K2514" s="10" t="str">
        <f aca="false">IF($A2514="","",$G2514&amp;"|"&amp;$J2514)</f>
        <v/>
      </c>
      <c r="L2514" s="10" t="str">
        <f aca="false">IF($A2514="","",ROW()-2)</f>
        <v/>
      </c>
      <c r="M2514" s="10" t="str">
        <f aca="false">IF($A2514="","",ROW())</f>
        <v/>
      </c>
    </row>
    <row r="2515" customFormat="false" ht="15" hidden="false" customHeight="true" outlineLevel="0" collapsed="false">
      <c r="A2515" s="8"/>
      <c r="B2515" s="8"/>
      <c r="C2515" s="8"/>
      <c r="D2515" s="8"/>
      <c r="E2515" s="8"/>
      <c r="F2515" s="8"/>
      <c r="G2515" s="10" t="str">
        <f aca="false">IF($A2515="","",UPPER(SUBSTITUTE(SUBSTITUTE(SUBSTITUTE(SUBSTITUTE($A2515," ",""),"(주)",""),"주식회사",""),"㈜","")))</f>
        <v/>
      </c>
      <c r="H2515" s="10" t="str">
        <f aca="false">IF($B2515="","",SUBSTITUTE(SUBSTITUTE(SUBSTITUTE($B2515,"-","")," ",""),".",""))</f>
        <v/>
      </c>
      <c r="I2515" s="10" t="str">
        <f aca="false">IF($D2515="","",SUBSTITUTE(SUBSTITUTE(SUBSTITUTE($D2515,"-","")," ",""),".",""))</f>
        <v/>
      </c>
      <c r="J2515" s="10" t="str">
        <f aca="false">IF($E2515="","",UPPER(SUBSTITUTE($E2515," ","")))</f>
        <v/>
      </c>
      <c r="K2515" s="10" t="str">
        <f aca="false">IF($A2515="","",$G2515&amp;"|"&amp;$J2515)</f>
        <v/>
      </c>
      <c r="L2515" s="10" t="str">
        <f aca="false">IF($A2515="","",ROW()-2)</f>
        <v/>
      </c>
      <c r="M2515" s="10" t="str">
        <f aca="false">IF($A2515="","",ROW())</f>
        <v/>
      </c>
    </row>
    <row r="2516" customFormat="false" ht="15" hidden="false" customHeight="true" outlineLevel="0" collapsed="false">
      <c r="A2516" s="8"/>
      <c r="B2516" s="8"/>
      <c r="C2516" s="8"/>
      <c r="D2516" s="8"/>
      <c r="E2516" s="8"/>
      <c r="F2516" s="8"/>
      <c r="G2516" s="10" t="str">
        <f aca="false">IF($A2516="","",UPPER(SUBSTITUTE(SUBSTITUTE(SUBSTITUTE(SUBSTITUTE($A2516," ",""),"(주)",""),"주식회사",""),"㈜","")))</f>
        <v/>
      </c>
      <c r="H2516" s="10" t="str">
        <f aca="false">IF($B2516="","",SUBSTITUTE(SUBSTITUTE(SUBSTITUTE($B2516,"-","")," ",""),".",""))</f>
        <v/>
      </c>
      <c r="I2516" s="10" t="str">
        <f aca="false">IF($D2516="","",SUBSTITUTE(SUBSTITUTE(SUBSTITUTE($D2516,"-","")," ",""),".",""))</f>
        <v/>
      </c>
      <c r="J2516" s="10" t="str">
        <f aca="false">IF($E2516="","",UPPER(SUBSTITUTE($E2516," ","")))</f>
        <v/>
      </c>
      <c r="K2516" s="10" t="str">
        <f aca="false">IF($A2516="","",$G2516&amp;"|"&amp;$J2516)</f>
        <v/>
      </c>
      <c r="L2516" s="10" t="str">
        <f aca="false">IF($A2516="","",ROW()-2)</f>
        <v/>
      </c>
      <c r="M2516" s="10" t="str">
        <f aca="false">IF($A2516="","",ROW())</f>
        <v/>
      </c>
    </row>
    <row r="2517" customFormat="false" ht="15" hidden="false" customHeight="true" outlineLevel="0" collapsed="false">
      <c r="A2517" s="8"/>
      <c r="B2517" s="8"/>
      <c r="C2517" s="8"/>
      <c r="D2517" s="8"/>
      <c r="E2517" s="8"/>
      <c r="F2517" s="8"/>
      <c r="G2517" s="10" t="str">
        <f aca="false">IF($A2517="","",UPPER(SUBSTITUTE(SUBSTITUTE(SUBSTITUTE(SUBSTITUTE($A2517," ",""),"(주)",""),"주식회사",""),"㈜","")))</f>
        <v/>
      </c>
      <c r="H2517" s="10" t="str">
        <f aca="false">IF($B2517="","",SUBSTITUTE(SUBSTITUTE(SUBSTITUTE($B2517,"-","")," ",""),".",""))</f>
        <v/>
      </c>
      <c r="I2517" s="10" t="str">
        <f aca="false">IF($D2517="","",SUBSTITUTE(SUBSTITUTE(SUBSTITUTE($D2517,"-","")," ",""),".",""))</f>
        <v/>
      </c>
      <c r="J2517" s="10" t="str">
        <f aca="false">IF($E2517="","",UPPER(SUBSTITUTE($E2517," ","")))</f>
        <v/>
      </c>
      <c r="K2517" s="10" t="str">
        <f aca="false">IF($A2517="","",$G2517&amp;"|"&amp;$J2517)</f>
        <v/>
      </c>
      <c r="L2517" s="10" t="str">
        <f aca="false">IF($A2517="","",ROW()-2)</f>
        <v/>
      </c>
      <c r="M2517" s="10" t="str">
        <f aca="false">IF($A2517="","",ROW())</f>
        <v/>
      </c>
    </row>
    <row r="2518" customFormat="false" ht="15" hidden="false" customHeight="true" outlineLevel="0" collapsed="false">
      <c r="A2518" s="8"/>
      <c r="B2518" s="8"/>
      <c r="C2518" s="8"/>
      <c r="D2518" s="8"/>
      <c r="E2518" s="8"/>
      <c r="F2518" s="8"/>
      <c r="G2518" s="10" t="str">
        <f aca="false">IF($A2518="","",UPPER(SUBSTITUTE(SUBSTITUTE(SUBSTITUTE(SUBSTITUTE($A2518," ",""),"(주)",""),"주식회사",""),"㈜","")))</f>
        <v/>
      </c>
      <c r="H2518" s="10" t="str">
        <f aca="false">IF($B2518="","",SUBSTITUTE(SUBSTITUTE(SUBSTITUTE($B2518,"-","")," ",""),".",""))</f>
        <v/>
      </c>
      <c r="I2518" s="10" t="str">
        <f aca="false">IF($D2518="","",SUBSTITUTE(SUBSTITUTE(SUBSTITUTE($D2518,"-","")," ",""),".",""))</f>
        <v/>
      </c>
      <c r="J2518" s="10" t="str">
        <f aca="false">IF($E2518="","",UPPER(SUBSTITUTE($E2518," ","")))</f>
        <v/>
      </c>
      <c r="K2518" s="10" t="str">
        <f aca="false">IF($A2518="","",$G2518&amp;"|"&amp;$J2518)</f>
        <v/>
      </c>
      <c r="L2518" s="10" t="str">
        <f aca="false">IF($A2518="","",ROW()-2)</f>
        <v/>
      </c>
      <c r="M2518" s="10" t="str">
        <f aca="false">IF($A2518="","",ROW())</f>
        <v/>
      </c>
    </row>
    <row r="2519" customFormat="false" ht="15" hidden="false" customHeight="true" outlineLevel="0" collapsed="false">
      <c r="A2519" s="8"/>
      <c r="B2519" s="8"/>
      <c r="C2519" s="8"/>
      <c r="D2519" s="8"/>
      <c r="E2519" s="8"/>
      <c r="F2519" s="8"/>
      <c r="G2519" s="10" t="str">
        <f aca="false">IF($A2519="","",UPPER(SUBSTITUTE(SUBSTITUTE(SUBSTITUTE(SUBSTITUTE($A2519," ",""),"(주)",""),"주식회사",""),"㈜","")))</f>
        <v/>
      </c>
      <c r="H2519" s="10" t="str">
        <f aca="false">IF($B2519="","",SUBSTITUTE(SUBSTITUTE(SUBSTITUTE($B2519,"-","")," ",""),".",""))</f>
        <v/>
      </c>
      <c r="I2519" s="10" t="str">
        <f aca="false">IF($D2519="","",SUBSTITUTE(SUBSTITUTE(SUBSTITUTE($D2519,"-","")," ",""),".",""))</f>
        <v/>
      </c>
      <c r="J2519" s="10" t="str">
        <f aca="false">IF($E2519="","",UPPER(SUBSTITUTE($E2519," ","")))</f>
        <v/>
      </c>
      <c r="K2519" s="10" t="str">
        <f aca="false">IF($A2519="","",$G2519&amp;"|"&amp;$J2519)</f>
        <v/>
      </c>
      <c r="L2519" s="10" t="str">
        <f aca="false">IF($A2519="","",ROW()-2)</f>
        <v/>
      </c>
      <c r="M2519" s="10" t="str">
        <f aca="false">IF($A2519="","",ROW())</f>
        <v/>
      </c>
    </row>
    <row r="2520" customFormat="false" ht="15" hidden="false" customHeight="true" outlineLevel="0" collapsed="false">
      <c r="A2520" s="8"/>
      <c r="B2520" s="8"/>
      <c r="C2520" s="8"/>
      <c r="D2520" s="8"/>
      <c r="E2520" s="8"/>
      <c r="F2520" s="8"/>
      <c r="G2520" s="10" t="str">
        <f aca="false">IF($A2520="","",UPPER(SUBSTITUTE(SUBSTITUTE(SUBSTITUTE(SUBSTITUTE($A2520," ",""),"(주)",""),"주식회사",""),"㈜","")))</f>
        <v/>
      </c>
      <c r="H2520" s="10" t="str">
        <f aca="false">IF($B2520="","",SUBSTITUTE(SUBSTITUTE(SUBSTITUTE($B2520,"-","")," ",""),".",""))</f>
        <v/>
      </c>
      <c r="I2520" s="10" t="str">
        <f aca="false">IF($D2520="","",SUBSTITUTE(SUBSTITUTE(SUBSTITUTE($D2520,"-","")," ",""),".",""))</f>
        <v/>
      </c>
      <c r="J2520" s="10" t="str">
        <f aca="false">IF($E2520="","",UPPER(SUBSTITUTE($E2520," ","")))</f>
        <v/>
      </c>
      <c r="K2520" s="10" t="str">
        <f aca="false">IF($A2520="","",$G2520&amp;"|"&amp;$J2520)</f>
        <v/>
      </c>
      <c r="L2520" s="10" t="str">
        <f aca="false">IF($A2520="","",ROW()-2)</f>
        <v/>
      </c>
      <c r="M2520" s="10" t="str">
        <f aca="false">IF($A2520="","",ROW())</f>
        <v/>
      </c>
    </row>
    <row r="2521" customFormat="false" ht="15" hidden="false" customHeight="true" outlineLevel="0" collapsed="false">
      <c r="A2521" s="8"/>
      <c r="B2521" s="8"/>
      <c r="C2521" s="8"/>
      <c r="D2521" s="8"/>
      <c r="E2521" s="8"/>
      <c r="F2521" s="8"/>
      <c r="G2521" s="10" t="str">
        <f aca="false">IF($A2521="","",UPPER(SUBSTITUTE(SUBSTITUTE(SUBSTITUTE(SUBSTITUTE($A2521," ",""),"(주)",""),"주식회사",""),"㈜","")))</f>
        <v/>
      </c>
      <c r="H2521" s="10" t="str">
        <f aca="false">IF($B2521="","",SUBSTITUTE(SUBSTITUTE(SUBSTITUTE($B2521,"-","")," ",""),".",""))</f>
        <v/>
      </c>
      <c r="I2521" s="10" t="str">
        <f aca="false">IF($D2521="","",SUBSTITUTE(SUBSTITUTE(SUBSTITUTE($D2521,"-","")," ",""),".",""))</f>
        <v/>
      </c>
      <c r="J2521" s="10" t="str">
        <f aca="false">IF($E2521="","",UPPER(SUBSTITUTE($E2521," ","")))</f>
        <v/>
      </c>
      <c r="K2521" s="10" t="str">
        <f aca="false">IF($A2521="","",$G2521&amp;"|"&amp;$J2521)</f>
        <v/>
      </c>
      <c r="L2521" s="10" t="str">
        <f aca="false">IF($A2521="","",ROW()-2)</f>
        <v/>
      </c>
      <c r="M2521" s="10" t="str">
        <f aca="false">IF($A2521="","",ROW())</f>
        <v/>
      </c>
    </row>
    <row r="2522" customFormat="false" ht="15" hidden="false" customHeight="true" outlineLevel="0" collapsed="false">
      <c r="A2522" s="8"/>
      <c r="B2522" s="8"/>
      <c r="C2522" s="8"/>
      <c r="D2522" s="8"/>
      <c r="E2522" s="8"/>
      <c r="F2522" s="8"/>
      <c r="G2522" s="10" t="str">
        <f aca="false">IF($A2522="","",UPPER(SUBSTITUTE(SUBSTITUTE(SUBSTITUTE(SUBSTITUTE($A2522," ",""),"(주)",""),"주식회사",""),"㈜","")))</f>
        <v/>
      </c>
      <c r="H2522" s="10" t="str">
        <f aca="false">IF($B2522="","",SUBSTITUTE(SUBSTITUTE(SUBSTITUTE($B2522,"-","")," ",""),".",""))</f>
        <v/>
      </c>
      <c r="I2522" s="10" t="str">
        <f aca="false">IF($D2522="","",SUBSTITUTE(SUBSTITUTE(SUBSTITUTE($D2522,"-","")," ",""),".",""))</f>
        <v/>
      </c>
      <c r="J2522" s="10" t="str">
        <f aca="false">IF($E2522="","",UPPER(SUBSTITUTE($E2522," ","")))</f>
        <v/>
      </c>
      <c r="K2522" s="10" t="str">
        <f aca="false">IF($A2522="","",$G2522&amp;"|"&amp;$J2522)</f>
        <v/>
      </c>
      <c r="L2522" s="10" t="str">
        <f aca="false">IF($A2522="","",ROW()-2)</f>
        <v/>
      </c>
      <c r="M2522" s="10" t="str">
        <f aca="false">IF($A2522="","",ROW())</f>
        <v/>
      </c>
    </row>
    <row r="2523" customFormat="false" ht="15" hidden="false" customHeight="true" outlineLevel="0" collapsed="false">
      <c r="A2523" s="8"/>
      <c r="B2523" s="8"/>
      <c r="C2523" s="8"/>
      <c r="D2523" s="8"/>
      <c r="E2523" s="8"/>
      <c r="F2523" s="8"/>
      <c r="G2523" s="10" t="str">
        <f aca="false">IF($A2523="","",UPPER(SUBSTITUTE(SUBSTITUTE(SUBSTITUTE(SUBSTITUTE($A2523," ",""),"(주)",""),"주식회사",""),"㈜","")))</f>
        <v/>
      </c>
      <c r="H2523" s="10" t="str">
        <f aca="false">IF($B2523="","",SUBSTITUTE(SUBSTITUTE(SUBSTITUTE($B2523,"-","")," ",""),".",""))</f>
        <v/>
      </c>
      <c r="I2523" s="10" t="str">
        <f aca="false">IF($D2523="","",SUBSTITUTE(SUBSTITUTE(SUBSTITUTE($D2523,"-","")," ",""),".",""))</f>
        <v/>
      </c>
      <c r="J2523" s="10" t="str">
        <f aca="false">IF($E2523="","",UPPER(SUBSTITUTE($E2523," ","")))</f>
        <v/>
      </c>
      <c r="K2523" s="10" t="str">
        <f aca="false">IF($A2523="","",$G2523&amp;"|"&amp;$J2523)</f>
        <v/>
      </c>
      <c r="L2523" s="10" t="str">
        <f aca="false">IF($A2523="","",ROW()-2)</f>
        <v/>
      </c>
      <c r="M2523" s="10" t="str">
        <f aca="false">IF($A2523="","",ROW())</f>
        <v/>
      </c>
    </row>
    <row r="2524" customFormat="false" ht="15" hidden="false" customHeight="true" outlineLevel="0" collapsed="false">
      <c r="A2524" s="8"/>
      <c r="B2524" s="8"/>
      <c r="C2524" s="8"/>
      <c r="D2524" s="8"/>
      <c r="E2524" s="8"/>
      <c r="F2524" s="8"/>
      <c r="G2524" s="10" t="str">
        <f aca="false">IF($A2524="","",UPPER(SUBSTITUTE(SUBSTITUTE(SUBSTITUTE(SUBSTITUTE($A2524," ",""),"(주)",""),"주식회사",""),"㈜","")))</f>
        <v/>
      </c>
      <c r="H2524" s="10" t="str">
        <f aca="false">IF($B2524="","",SUBSTITUTE(SUBSTITUTE(SUBSTITUTE($B2524,"-","")," ",""),".",""))</f>
        <v/>
      </c>
      <c r="I2524" s="10" t="str">
        <f aca="false">IF($D2524="","",SUBSTITUTE(SUBSTITUTE(SUBSTITUTE($D2524,"-","")," ",""),".",""))</f>
        <v/>
      </c>
      <c r="J2524" s="10" t="str">
        <f aca="false">IF($E2524="","",UPPER(SUBSTITUTE($E2524," ","")))</f>
        <v/>
      </c>
      <c r="K2524" s="10" t="str">
        <f aca="false">IF($A2524="","",$G2524&amp;"|"&amp;$J2524)</f>
        <v/>
      </c>
      <c r="L2524" s="10" t="str">
        <f aca="false">IF($A2524="","",ROW()-2)</f>
        <v/>
      </c>
      <c r="M2524" s="10" t="str">
        <f aca="false">IF($A2524="","",ROW())</f>
        <v/>
      </c>
    </row>
    <row r="2525" customFormat="false" ht="15" hidden="false" customHeight="true" outlineLevel="0" collapsed="false">
      <c r="A2525" s="8"/>
      <c r="B2525" s="8"/>
      <c r="C2525" s="8"/>
      <c r="D2525" s="8"/>
      <c r="E2525" s="8"/>
      <c r="F2525" s="8"/>
      <c r="G2525" s="10" t="str">
        <f aca="false">IF($A2525="","",UPPER(SUBSTITUTE(SUBSTITUTE(SUBSTITUTE(SUBSTITUTE($A2525," ",""),"(주)",""),"주식회사",""),"㈜","")))</f>
        <v/>
      </c>
      <c r="H2525" s="10" t="str">
        <f aca="false">IF($B2525="","",SUBSTITUTE(SUBSTITUTE(SUBSTITUTE($B2525,"-","")," ",""),".",""))</f>
        <v/>
      </c>
      <c r="I2525" s="10" t="str">
        <f aca="false">IF($D2525="","",SUBSTITUTE(SUBSTITUTE(SUBSTITUTE($D2525,"-","")," ",""),".",""))</f>
        <v/>
      </c>
      <c r="J2525" s="10" t="str">
        <f aca="false">IF($E2525="","",UPPER(SUBSTITUTE($E2525," ","")))</f>
        <v/>
      </c>
      <c r="K2525" s="10" t="str">
        <f aca="false">IF($A2525="","",$G2525&amp;"|"&amp;$J2525)</f>
        <v/>
      </c>
      <c r="L2525" s="10" t="str">
        <f aca="false">IF($A2525="","",ROW()-2)</f>
        <v/>
      </c>
      <c r="M2525" s="10" t="str">
        <f aca="false">IF($A2525="","",ROW())</f>
        <v/>
      </c>
    </row>
    <row r="2526" customFormat="false" ht="15" hidden="false" customHeight="true" outlineLevel="0" collapsed="false">
      <c r="A2526" s="8"/>
      <c r="B2526" s="8"/>
      <c r="C2526" s="8"/>
      <c r="D2526" s="8"/>
      <c r="E2526" s="8"/>
      <c r="F2526" s="8"/>
      <c r="G2526" s="10" t="str">
        <f aca="false">IF($A2526="","",UPPER(SUBSTITUTE(SUBSTITUTE(SUBSTITUTE(SUBSTITUTE($A2526," ",""),"(주)",""),"주식회사",""),"㈜","")))</f>
        <v/>
      </c>
      <c r="H2526" s="10" t="str">
        <f aca="false">IF($B2526="","",SUBSTITUTE(SUBSTITUTE(SUBSTITUTE($B2526,"-","")," ",""),".",""))</f>
        <v/>
      </c>
      <c r="I2526" s="10" t="str">
        <f aca="false">IF($D2526="","",SUBSTITUTE(SUBSTITUTE(SUBSTITUTE($D2526,"-","")," ",""),".",""))</f>
        <v/>
      </c>
      <c r="J2526" s="10" t="str">
        <f aca="false">IF($E2526="","",UPPER(SUBSTITUTE($E2526," ","")))</f>
        <v/>
      </c>
      <c r="K2526" s="10" t="str">
        <f aca="false">IF($A2526="","",$G2526&amp;"|"&amp;$J2526)</f>
        <v/>
      </c>
      <c r="L2526" s="10" t="str">
        <f aca="false">IF($A2526="","",ROW()-2)</f>
        <v/>
      </c>
      <c r="M2526" s="10" t="str">
        <f aca="false">IF($A2526="","",ROW())</f>
        <v/>
      </c>
    </row>
    <row r="2527" customFormat="false" ht="15" hidden="false" customHeight="true" outlineLevel="0" collapsed="false">
      <c r="A2527" s="8"/>
      <c r="B2527" s="8"/>
      <c r="C2527" s="8"/>
      <c r="D2527" s="8"/>
      <c r="E2527" s="8"/>
      <c r="F2527" s="8"/>
      <c r="G2527" s="10" t="str">
        <f aca="false">IF($A2527="","",UPPER(SUBSTITUTE(SUBSTITUTE(SUBSTITUTE(SUBSTITUTE($A2527," ",""),"(주)",""),"주식회사",""),"㈜","")))</f>
        <v/>
      </c>
      <c r="H2527" s="10" t="str">
        <f aca="false">IF($B2527="","",SUBSTITUTE(SUBSTITUTE(SUBSTITUTE($B2527,"-","")," ",""),".",""))</f>
        <v/>
      </c>
      <c r="I2527" s="10" t="str">
        <f aca="false">IF($D2527="","",SUBSTITUTE(SUBSTITUTE(SUBSTITUTE($D2527,"-","")," ",""),".",""))</f>
        <v/>
      </c>
      <c r="J2527" s="10" t="str">
        <f aca="false">IF($E2527="","",UPPER(SUBSTITUTE($E2527," ","")))</f>
        <v/>
      </c>
      <c r="K2527" s="10" t="str">
        <f aca="false">IF($A2527="","",$G2527&amp;"|"&amp;$J2527)</f>
        <v/>
      </c>
      <c r="L2527" s="10" t="str">
        <f aca="false">IF($A2527="","",ROW()-2)</f>
        <v/>
      </c>
      <c r="M2527" s="10" t="str">
        <f aca="false">IF($A2527="","",ROW())</f>
        <v/>
      </c>
    </row>
    <row r="2528" customFormat="false" ht="15" hidden="false" customHeight="true" outlineLevel="0" collapsed="false">
      <c r="A2528" s="8"/>
      <c r="B2528" s="8"/>
      <c r="C2528" s="8"/>
      <c r="D2528" s="8"/>
      <c r="E2528" s="8"/>
      <c r="F2528" s="8"/>
      <c r="G2528" s="10" t="str">
        <f aca="false">IF($A2528="","",UPPER(SUBSTITUTE(SUBSTITUTE(SUBSTITUTE(SUBSTITUTE($A2528," ",""),"(주)",""),"주식회사",""),"㈜","")))</f>
        <v/>
      </c>
      <c r="H2528" s="10" t="str">
        <f aca="false">IF($B2528="","",SUBSTITUTE(SUBSTITUTE(SUBSTITUTE($B2528,"-","")," ",""),".",""))</f>
        <v/>
      </c>
      <c r="I2528" s="10" t="str">
        <f aca="false">IF($D2528="","",SUBSTITUTE(SUBSTITUTE(SUBSTITUTE($D2528,"-","")," ",""),".",""))</f>
        <v/>
      </c>
      <c r="J2528" s="10" t="str">
        <f aca="false">IF($E2528="","",UPPER(SUBSTITUTE($E2528," ","")))</f>
        <v/>
      </c>
      <c r="K2528" s="10" t="str">
        <f aca="false">IF($A2528="","",$G2528&amp;"|"&amp;$J2528)</f>
        <v/>
      </c>
      <c r="L2528" s="10" t="str">
        <f aca="false">IF($A2528="","",ROW()-2)</f>
        <v/>
      </c>
      <c r="M2528" s="10" t="str">
        <f aca="false">IF($A2528="","",ROW())</f>
        <v/>
      </c>
    </row>
    <row r="2529" customFormat="false" ht="15" hidden="false" customHeight="true" outlineLevel="0" collapsed="false">
      <c r="A2529" s="8"/>
      <c r="B2529" s="8"/>
      <c r="C2529" s="8"/>
      <c r="D2529" s="8"/>
      <c r="E2529" s="8"/>
      <c r="F2529" s="8"/>
      <c r="G2529" s="10" t="str">
        <f aca="false">IF($A2529="","",UPPER(SUBSTITUTE(SUBSTITUTE(SUBSTITUTE(SUBSTITUTE($A2529," ",""),"(주)",""),"주식회사",""),"㈜","")))</f>
        <v/>
      </c>
      <c r="H2529" s="10" t="str">
        <f aca="false">IF($B2529="","",SUBSTITUTE(SUBSTITUTE(SUBSTITUTE($B2529,"-","")," ",""),".",""))</f>
        <v/>
      </c>
      <c r="I2529" s="10" t="str">
        <f aca="false">IF($D2529="","",SUBSTITUTE(SUBSTITUTE(SUBSTITUTE($D2529,"-","")," ",""),".",""))</f>
        <v/>
      </c>
      <c r="J2529" s="10" t="str">
        <f aca="false">IF($E2529="","",UPPER(SUBSTITUTE($E2529," ","")))</f>
        <v/>
      </c>
      <c r="K2529" s="10" t="str">
        <f aca="false">IF($A2529="","",$G2529&amp;"|"&amp;$J2529)</f>
        <v/>
      </c>
      <c r="L2529" s="10" t="str">
        <f aca="false">IF($A2529="","",ROW()-2)</f>
        <v/>
      </c>
      <c r="M2529" s="10" t="str">
        <f aca="false">IF($A2529="","",ROW())</f>
        <v/>
      </c>
    </row>
    <row r="2530" customFormat="false" ht="15" hidden="false" customHeight="true" outlineLevel="0" collapsed="false">
      <c r="A2530" s="8"/>
      <c r="B2530" s="8"/>
      <c r="C2530" s="8"/>
      <c r="D2530" s="8"/>
      <c r="E2530" s="8"/>
      <c r="F2530" s="8"/>
      <c r="G2530" s="10" t="str">
        <f aca="false">IF($A2530="","",UPPER(SUBSTITUTE(SUBSTITUTE(SUBSTITUTE(SUBSTITUTE($A2530," ",""),"(주)",""),"주식회사",""),"㈜","")))</f>
        <v/>
      </c>
      <c r="H2530" s="10" t="str">
        <f aca="false">IF($B2530="","",SUBSTITUTE(SUBSTITUTE(SUBSTITUTE($B2530,"-","")," ",""),".",""))</f>
        <v/>
      </c>
      <c r="I2530" s="10" t="str">
        <f aca="false">IF($D2530="","",SUBSTITUTE(SUBSTITUTE(SUBSTITUTE($D2530,"-","")," ",""),".",""))</f>
        <v/>
      </c>
      <c r="J2530" s="10" t="str">
        <f aca="false">IF($E2530="","",UPPER(SUBSTITUTE($E2530," ","")))</f>
        <v/>
      </c>
      <c r="K2530" s="10" t="str">
        <f aca="false">IF($A2530="","",$G2530&amp;"|"&amp;$J2530)</f>
        <v/>
      </c>
      <c r="L2530" s="10" t="str">
        <f aca="false">IF($A2530="","",ROW()-2)</f>
        <v/>
      </c>
      <c r="M2530" s="10" t="str">
        <f aca="false">IF($A2530="","",ROW())</f>
        <v/>
      </c>
    </row>
    <row r="2531" customFormat="false" ht="15" hidden="false" customHeight="true" outlineLevel="0" collapsed="false">
      <c r="A2531" s="8"/>
      <c r="B2531" s="8"/>
      <c r="C2531" s="8"/>
      <c r="D2531" s="8"/>
      <c r="E2531" s="8"/>
      <c r="F2531" s="8"/>
      <c r="G2531" s="10" t="str">
        <f aca="false">IF($A2531="","",UPPER(SUBSTITUTE(SUBSTITUTE(SUBSTITUTE(SUBSTITUTE($A2531," ",""),"(주)",""),"주식회사",""),"㈜","")))</f>
        <v/>
      </c>
      <c r="H2531" s="10" t="str">
        <f aca="false">IF($B2531="","",SUBSTITUTE(SUBSTITUTE(SUBSTITUTE($B2531,"-","")," ",""),".",""))</f>
        <v/>
      </c>
      <c r="I2531" s="10" t="str">
        <f aca="false">IF($D2531="","",SUBSTITUTE(SUBSTITUTE(SUBSTITUTE($D2531,"-","")," ",""),".",""))</f>
        <v/>
      </c>
      <c r="J2531" s="10" t="str">
        <f aca="false">IF($E2531="","",UPPER(SUBSTITUTE($E2531," ","")))</f>
        <v/>
      </c>
      <c r="K2531" s="10" t="str">
        <f aca="false">IF($A2531="","",$G2531&amp;"|"&amp;$J2531)</f>
        <v/>
      </c>
      <c r="L2531" s="10" t="str">
        <f aca="false">IF($A2531="","",ROW()-2)</f>
        <v/>
      </c>
      <c r="M2531" s="10" t="str">
        <f aca="false">IF($A2531="","",ROW())</f>
        <v/>
      </c>
    </row>
    <row r="2532" customFormat="false" ht="15" hidden="false" customHeight="true" outlineLevel="0" collapsed="false">
      <c r="A2532" s="8"/>
      <c r="B2532" s="8"/>
      <c r="C2532" s="8"/>
      <c r="D2532" s="8"/>
      <c r="E2532" s="8"/>
      <c r="F2532" s="8"/>
      <c r="G2532" s="10" t="str">
        <f aca="false">IF($A2532="","",UPPER(SUBSTITUTE(SUBSTITUTE(SUBSTITUTE(SUBSTITUTE($A2532," ",""),"(주)",""),"주식회사",""),"㈜","")))</f>
        <v/>
      </c>
      <c r="H2532" s="10" t="str">
        <f aca="false">IF($B2532="","",SUBSTITUTE(SUBSTITUTE(SUBSTITUTE($B2532,"-","")," ",""),".",""))</f>
        <v/>
      </c>
      <c r="I2532" s="10" t="str">
        <f aca="false">IF($D2532="","",SUBSTITUTE(SUBSTITUTE(SUBSTITUTE($D2532,"-","")," ",""),".",""))</f>
        <v/>
      </c>
      <c r="J2532" s="10" t="str">
        <f aca="false">IF($E2532="","",UPPER(SUBSTITUTE($E2532," ","")))</f>
        <v/>
      </c>
      <c r="K2532" s="10" t="str">
        <f aca="false">IF($A2532="","",$G2532&amp;"|"&amp;$J2532)</f>
        <v/>
      </c>
      <c r="L2532" s="10" t="str">
        <f aca="false">IF($A2532="","",ROW()-2)</f>
        <v/>
      </c>
      <c r="M2532" s="10" t="str">
        <f aca="false">IF($A2532="","",ROW())</f>
        <v/>
      </c>
    </row>
    <row r="2533" customFormat="false" ht="15" hidden="false" customHeight="true" outlineLevel="0" collapsed="false">
      <c r="A2533" s="8"/>
      <c r="B2533" s="8"/>
      <c r="C2533" s="8"/>
      <c r="D2533" s="8"/>
      <c r="E2533" s="8"/>
      <c r="F2533" s="8"/>
      <c r="G2533" s="10" t="str">
        <f aca="false">IF($A2533="","",UPPER(SUBSTITUTE(SUBSTITUTE(SUBSTITUTE(SUBSTITUTE($A2533," ",""),"(주)",""),"주식회사",""),"㈜","")))</f>
        <v/>
      </c>
      <c r="H2533" s="10" t="str">
        <f aca="false">IF($B2533="","",SUBSTITUTE(SUBSTITUTE(SUBSTITUTE($B2533,"-","")," ",""),".",""))</f>
        <v/>
      </c>
      <c r="I2533" s="10" t="str">
        <f aca="false">IF($D2533="","",SUBSTITUTE(SUBSTITUTE(SUBSTITUTE($D2533,"-","")," ",""),".",""))</f>
        <v/>
      </c>
      <c r="J2533" s="10" t="str">
        <f aca="false">IF($E2533="","",UPPER(SUBSTITUTE($E2533," ","")))</f>
        <v/>
      </c>
      <c r="K2533" s="10" t="str">
        <f aca="false">IF($A2533="","",$G2533&amp;"|"&amp;$J2533)</f>
        <v/>
      </c>
      <c r="L2533" s="10" t="str">
        <f aca="false">IF($A2533="","",ROW()-2)</f>
        <v/>
      </c>
      <c r="M2533" s="10" t="str">
        <f aca="false">IF($A2533="","",ROW())</f>
        <v/>
      </c>
    </row>
    <row r="2534" customFormat="false" ht="15" hidden="false" customHeight="true" outlineLevel="0" collapsed="false">
      <c r="A2534" s="8"/>
      <c r="B2534" s="8"/>
      <c r="C2534" s="8"/>
      <c r="D2534" s="8"/>
      <c r="E2534" s="8"/>
      <c r="F2534" s="8"/>
      <c r="G2534" s="10" t="str">
        <f aca="false">IF($A2534="","",UPPER(SUBSTITUTE(SUBSTITUTE(SUBSTITUTE(SUBSTITUTE($A2534," ",""),"(주)",""),"주식회사",""),"㈜","")))</f>
        <v/>
      </c>
      <c r="H2534" s="10" t="str">
        <f aca="false">IF($B2534="","",SUBSTITUTE(SUBSTITUTE(SUBSTITUTE($B2534,"-","")," ",""),".",""))</f>
        <v/>
      </c>
      <c r="I2534" s="10" t="str">
        <f aca="false">IF($D2534="","",SUBSTITUTE(SUBSTITUTE(SUBSTITUTE($D2534,"-","")," ",""),".",""))</f>
        <v/>
      </c>
      <c r="J2534" s="10" t="str">
        <f aca="false">IF($E2534="","",UPPER(SUBSTITUTE($E2534," ","")))</f>
        <v/>
      </c>
      <c r="K2534" s="10" t="str">
        <f aca="false">IF($A2534="","",$G2534&amp;"|"&amp;$J2534)</f>
        <v/>
      </c>
      <c r="L2534" s="10" t="str">
        <f aca="false">IF($A2534="","",ROW()-2)</f>
        <v/>
      </c>
      <c r="M2534" s="10" t="str">
        <f aca="false">IF($A2534="","",ROW())</f>
        <v/>
      </c>
    </row>
    <row r="2535" customFormat="false" ht="15" hidden="false" customHeight="true" outlineLevel="0" collapsed="false">
      <c r="A2535" s="8"/>
      <c r="B2535" s="8"/>
      <c r="C2535" s="8"/>
      <c r="D2535" s="8"/>
      <c r="E2535" s="8"/>
      <c r="F2535" s="8"/>
      <c r="G2535" s="10" t="str">
        <f aca="false">IF($A2535="","",UPPER(SUBSTITUTE(SUBSTITUTE(SUBSTITUTE(SUBSTITUTE($A2535," ",""),"(주)",""),"주식회사",""),"㈜","")))</f>
        <v/>
      </c>
      <c r="H2535" s="10" t="str">
        <f aca="false">IF($B2535="","",SUBSTITUTE(SUBSTITUTE(SUBSTITUTE($B2535,"-","")," ",""),".",""))</f>
        <v/>
      </c>
      <c r="I2535" s="10" t="str">
        <f aca="false">IF($D2535="","",SUBSTITUTE(SUBSTITUTE(SUBSTITUTE($D2535,"-","")," ",""),".",""))</f>
        <v/>
      </c>
      <c r="J2535" s="10" t="str">
        <f aca="false">IF($E2535="","",UPPER(SUBSTITUTE($E2535," ","")))</f>
        <v/>
      </c>
      <c r="K2535" s="10" t="str">
        <f aca="false">IF($A2535="","",$G2535&amp;"|"&amp;$J2535)</f>
        <v/>
      </c>
      <c r="L2535" s="10" t="str">
        <f aca="false">IF($A2535="","",ROW()-2)</f>
        <v/>
      </c>
      <c r="M2535" s="10" t="str">
        <f aca="false">IF($A2535="","",ROW())</f>
        <v/>
      </c>
    </row>
    <row r="2536" customFormat="false" ht="15" hidden="false" customHeight="true" outlineLevel="0" collapsed="false">
      <c r="A2536" s="8"/>
      <c r="B2536" s="8"/>
      <c r="C2536" s="8"/>
      <c r="D2536" s="8"/>
      <c r="E2536" s="8"/>
      <c r="F2536" s="8"/>
      <c r="G2536" s="10" t="str">
        <f aca="false">IF($A2536="","",UPPER(SUBSTITUTE(SUBSTITUTE(SUBSTITUTE(SUBSTITUTE($A2536," ",""),"(주)",""),"주식회사",""),"㈜","")))</f>
        <v/>
      </c>
      <c r="H2536" s="10" t="str">
        <f aca="false">IF($B2536="","",SUBSTITUTE(SUBSTITUTE(SUBSTITUTE($B2536,"-","")," ",""),".",""))</f>
        <v/>
      </c>
      <c r="I2536" s="10" t="str">
        <f aca="false">IF($D2536="","",SUBSTITUTE(SUBSTITUTE(SUBSTITUTE($D2536,"-","")," ",""),".",""))</f>
        <v/>
      </c>
      <c r="J2536" s="10" t="str">
        <f aca="false">IF($E2536="","",UPPER(SUBSTITUTE($E2536," ","")))</f>
        <v/>
      </c>
      <c r="K2536" s="10" t="str">
        <f aca="false">IF($A2536="","",$G2536&amp;"|"&amp;$J2536)</f>
        <v/>
      </c>
      <c r="L2536" s="10" t="str">
        <f aca="false">IF($A2536="","",ROW()-2)</f>
        <v/>
      </c>
      <c r="M2536" s="10" t="str">
        <f aca="false">IF($A2536="","",ROW())</f>
        <v/>
      </c>
    </row>
    <row r="2537" customFormat="false" ht="15" hidden="false" customHeight="true" outlineLevel="0" collapsed="false">
      <c r="A2537" s="8"/>
      <c r="B2537" s="8"/>
      <c r="C2537" s="8"/>
      <c r="D2537" s="8"/>
      <c r="E2537" s="8"/>
      <c r="F2537" s="8"/>
      <c r="G2537" s="10" t="str">
        <f aca="false">IF($A2537="","",UPPER(SUBSTITUTE(SUBSTITUTE(SUBSTITUTE(SUBSTITUTE($A2537," ",""),"(주)",""),"주식회사",""),"㈜","")))</f>
        <v/>
      </c>
      <c r="H2537" s="10" t="str">
        <f aca="false">IF($B2537="","",SUBSTITUTE(SUBSTITUTE(SUBSTITUTE($B2537,"-","")," ",""),".",""))</f>
        <v/>
      </c>
      <c r="I2537" s="10" t="str">
        <f aca="false">IF($D2537="","",SUBSTITUTE(SUBSTITUTE(SUBSTITUTE($D2537,"-","")," ",""),".",""))</f>
        <v/>
      </c>
      <c r="J2537" s="10" t="str">
        <f aca="false">IF($E2537="","",UPPER(SUBSTITUTE($E2537," ","")))</f>
        <v/>
      </c>
      <c r="K2537" s="10" t="str">
        <f aca="false">IF($A2537="","",$G2537&amp;"|"&amp;$J2537)</f>
        <v/>
      </c>
      <c r="L2537" s="10" t="str">
        <f aca="false">IF($A2537="","",ROW()-2)</f>
        <v/>
      </c>
      <c r="M2537" s="10" t="str">
        <f aca="false">IF($A2537="","",ROW())</f>
        <v/>
      </c>
    </row>
    <row r="2538" customFormat="false" ht="15" hidden="false" customHeight="true" outlineLevel="0" collapsed="false">
      <c r="A2538" s="8"/>
      <c r="B2538" s="8"/>
      <c r="C2538" s="8"/>
      <c r="D2538" s="8"/>
      <c r="E2538" s="8"/>
      <c r="F2538" s="8"/>
      <c r="G2538" s="10" t="str">
        <f aca="false">IF($A2538="","",UPPER(SUBSTITUTE(SUBSTITUTE(SUBSTITUTE(SUBSTITUTE($A2538," ",""),"(주)",""),"주식회사",""),"㈜","")))</f>
        <v/>
      </c>
      <c r="H2538" s="10" t="str">
        <f aca="false">IF($B2538="","",SUBSTITUTE(SUBSTITUTE(SUBSTITUTE($B2538,"-","")," ",""),".",""))</f>
        <v/>
      </c>
      <c r="I2538" s="10" t="str">
        <f aca="false">IF($D2538="","",SUBSTITUTE(SUBSTITUTE(SUBSTITUTE($D2538,"-","")," ",""),".",""))</f>
        <v/>
      </c>
      <c r="J2538" s="10" t="str">
        <f aca="false">IF($E2538="","",UPPER(SUBSTITUTE($E2538," ","")))</f>
        <v/>
      </c>
      <c r="K2538" s="10" t="str">
        <f aca="false">IF($A2538="","",$G2538&amp;"|"&amp;$J2538)</f>
        <v/>
      </c>
      <c r="L2538" s="10" t="str">
        <f aca="false">IF($A2538="","",ROW()-2)</f>
        <v/>
      </c>
      <c r="M2538" s="10" t="str">
        <f aca="false">IF($A2538="","",ROW())</f>
        <v/>
      </c>
    </row>
    <row r="2539" customFormat="false" ht="15" hidden="false" customHeight="true" outlineLevel="0" collapsed="false">
      <c r="A2539" s="8"/>
      <c r="B2539" s="8"/>
      <c r="C2539" s="8"/>
      <c r="D2539" s="8"/>
      <c r="E2539" s="8"/>
      <c r="F2539" s="8"/>
      <c r="G2539" s="10" t="str">
        <f aca="false">IF($A2539="","",UPPER(SUBSTITUTE(SUBSTITUTE(SUBSTITUTE(SUBSTITUTE($A2539," ",""),"(주)",""),"주식회사",""),"㈜","")))</f>
        <v/>
      </c>
      <c r="H2539" s="10" t="str">
        <f aca="false">IF($B2539="","",SUBSTITUTE(SUBSTITUTE(SUBSTITUTE($B2539,"-","")," ",""),".",""))</f>
        <v/>
      </c>
      <c r="I2539" s="10" t="str">
        <f aca="false">IF($D2539="","",SUBSTITUTE(SUBSTITUTE(SUBSTITUTE($D2539,"-","")," ",""),".",""))</f>
        <v/>
      </c>
      <c r="J2539" s="10" t="str">
        <f aca="false">IF($E2539="","",UPPER(SUBSTITUTE($E2539," ","")))</f>
        <v/>
      </c>
      <c r="K2539" s="10" t="str">
        <f aca="false">IF($A2539="","",$G2539&amp;"|"&amp;$J2539)</f>
        <v/>
      </c>
      <c r="L2539" s="10" t="str">
        <f aca="false">IF($A2539="","",ROW()-2)</f>
        <v/>
      </c>
      <c r="M2539" s="10" t="str">
        <f aca="false">IF($A2539="","",ROW())</f>
        <v/>
      </c>
    </row>
    <row r="2540" customFormat="false" ht="15" hidden="false" customHeight="true" outlineLevel="0" collapsed="false">
      <c r="A2540" s="8"/>
      <c r="B2540" s="8"/>
      <c r="C2540" s="8"/>
      <c r="D2540" s="8"/>
      <c r="E2540" s="8"/>
      <c r="F2540" s="8"/>
      <c r="G2540" s="10" t="str">
        <f aca="false">IF($A2540="","",UPPER(SUBSTITUTE(SUBSTITUTE(SUBSTITUTE(SUBSTITUTE($A2540," ",""),"(주)",""),"주식회사",""),"㈜","")))</f>
        <v/>
      </c>
      <c r="H2540" s="10" t="str">
        <f aca="false">IF($B2540="","",SUBSTITUTE(SUBSTITUTE(SUBSTITUTE($B2540,"-","")," ",""),".",""))</f>
        <v/>
      </c>
      <c r="I2540" s="10" t="str">
        <f aca="false">IF($D2540="","",SUBSTITUTE(SUBSTITUTE(SUBSTITUTE($D2540,"-","")," ",""),".",""))</f>
        <v/>
      </c>
      <c r="J2540" s="10" t="str">
        <f aca="false">IF($E2540="","",UPPER(SUBSTITUTE($E2540," ","")))</f>
        <v/>
      </c>
      <c r="K2540" s="10" t="str">
        <f aca="false">IF($A2540="","",$G2540&amp;"|"&amp;$J2540)</f>
        <v/>
      </c>
      <c r="L2540" s="10" t="str">
        <f aca="false">IF($A2540="","",ROW()-2)</f>
        <v/>
      </c>
      <c r="M2540" s="10" t="str">
        <f aca="false">IF($A2540="","",ROW())</f>
        <v/>
      </c>
    </row>
    <row r="2541" customFormat="false" ht="15" hidden="false" customHeight="true" outlineLevel="0" collapsed="false">
      <c r="A2541" s="8"/>
      <c r="B2541" s="8"/>
      <c r="C2541" s="8"/>
      <c r="D2541" s="8"/>
      <c r="E2541" s="8"/>
      <c r="F2541" s="8"/>
      <c r="G2541" s="10" t="str">
        <f aca="false">IF($A2541="","",UPPER(SUBSTITUTE(SUBSTITUTE(SUBSTITUTE(SUBSTITUTE($A2541," ",""),"(주)",""),"주식회사",""),"㈜","")))</f>
        <v/>
      </c>
      <c r="H2541" s="10" t="str">
        <f aca="false">IF($B2541="","",SUBSTITUTE(SUBSTITUTE(SUBSTITUTE($B2541,"-","")," ",""),".",""))</f>
        <v/>
      </c>
      <c r="I2541" s="10" t="str">
        <f aca="false">IF($D2541="","",SUBSTITUTE(SUBSTITUTE(SUBSTITUTE($D2541,"-","")," ",""),".",""))</f>
        <v/>
      </c>
      <c r="J2541" s="10" t="str">
        <f aca="false">IF($E2541="","",UPPER(SUBSTITUTE($E2541," ","")))</f>
        <v/>
      </c>
      <c r="K2541" s="10" t="str">
        <f aca="false">IF($A2541="","",$G2541&amp;"|"&amp;$J2541)</f>
        <v/>
      </c>
      <c r="L2541" s="10" t="str">
        <f aca="false">IF($A2541="","",ROW()-2)</f>
        <v/>
      </c>
      <c r="M2541" s="10" t="str">
        <f aca="false">IF($A2541="","",ROW())</f>
        <v/>
      </c>
    </row>
    <row r="2542" customFormat="false" ht="15" hidden="false" customHeight="true" outlineLevel="0" collapsed="false">
      <c r="A2542" s="8"/>
      <c r="B2542" s="8"/>
      <c r="C2542" s="8"/>
      <c r="D2542" s="8"/>
      <c r="E2542" s="8"/>
      <c r="F2542" s="8"/>
      <c r="G2542" s="10" t="str">
        <f aca="false">IF($A2542="","",UPPER(SUBSTITUTE(SUBSTITUTE(SUBSTITUTE(SUBSTITUTE($A2542," ",""),"(주)",""),"주식회사",""),"㈜","")))</f>
        <v/>
      </c>
      <c r="H2542" s="10" t="str">
        <f aca="false">IF($B2542="","",SUBSTITUTE(SUBSTITUTE(SUBSTITUTE($B2542,"-","")," ",""),".",""))</f>
        <v/>
      </c>
      <c r="I2542" s="10" t="str">
        <f aca="false">IF($D2542="","",SUBSTITUTE(SUBSTITUTE(SUBSTITUTE($D2542,"-","")," ",""),".",""))</f>
        <v/>
      </c>
      <c r="J2542" s="10" t="str">
        <f aca="false">IF($E2542="","",UPPER(SUBSTITUTE($E2542," ","")))</f>
        <v/>
      </c>
      <c r="K2542" s="10" t="str">
        <f aca="false">IF($A2542="","",$G2542&amp;"|"&amp;$J2542)</f>
        <v/>
      </c>
      <c r="L2542" s="10" t="str">
        <f aca="false">IF($A2542="","",ROW()-2)</f>
        <v/>
      </c>
      <c r="M2542" s="10" t="str">
        <f aca="false">IF($A2542="","",ROW())</f>
        <v/>
      </c>
    </row>
    <row r="2543" customFormat="false" ht="15" hidden="false" customHeight="true" outlineLevel="0" collapsed="false">
      <c r="A2543" s="8"/>
      <c r="B2543" s="8"/>
      <c r="C2543" s="8"/>
      <c r="D2543" s="8"/>
      <c r="E2543" s="8"/>
      <c r="F2543" s="8"/>
      <c r="G2543" s="10" t="str">
        <f aca="false">IF($A2543="","",UPPER(SUBSTITUTE(SUBSTITUTE(SUBSTITUTE(SUBSTITUTE($A2543," ",""),"(주)",""),"주식회사",""),"㈜","")))</f>
        <v/>
      </c>
      <c r="H2543" s="10" t="str">
        <f aca="false">IF($B2543="","",SUBSTITUTE(SUBSTITUTE(SUBSTITUTE($B2543,"-","")," ",""),".",""))</f>
        <v/>
      </c>
      <c r="I2543" s="10" t="str">
        <f aca="false">IF($D2543="","",SUBSTITUTE(SUBSTITUTE(SUBSTITUTE($D2543,"-","")," ",""),".",""))</f>
        <v/>
      </c>
      <c r="J2543" s="10" t="str">
        <f aca="false">IF($E2543="","",UPPER(SUBSTITUTE($E2543," ","")))</f>
        <v/>
      </c>
      <c r="K2543" s="10" t="str">
        <f aca="false">IF($A2543="","",$G2543&amp;"|"&amp;$J2543)</f>
        <v/>
      </c>
      <c r="L2543" s="10" t="str">
        <f aca="false">IF($A2543="","",ROW()-2)</f>
        <v/>
      </c>
      <c r="M2543" s="10" t="str">
        <f aca="false">IF($A2543="","",ROW())</f>
        <v/>
      </c>
    </row>
    <row r="2544" customFormat="false" ht="15" hidden="false" customHeight="true" outlineLevel="0" collapsed="false">
      <c r="A2544" s="8"/>
      <c r="B2544" s="8"/>
      <c r="C2544" s="8"/>
      <c r="D2544" s="8"/>
      <c r="E2544" s="8"/>
      <c r="F2544" s="8"/>
      <c r="G2544" s="10" t="str">
        <f aca="false">IF($A2544="","",UPPER(SUBSTITUTE(SUBSTITUTE(SUBSTITUTE(SUBSTITUTE($A2544," ",""),"(주)",""),"주식회사",""),"㈜","")))</f>
        <v/>
      </c>
      <c r="H2544" s="10" t="str">
        <f aca="false">IF($B2544="","",SUBSTITUTE(SUBSTITUTE(SUBSTITUTE($B2544,"-","")," ",""),".",""))</f>
        <v/>
      </c>
      <c r="I2544" s="10" t="str">
        <f aca="false">IF($D2544="","",SUBSTITUTE(SUBSTITUTE(SUBSTITUTE($D2544,"-","")," ",""),".",""))</f>
        <v/>
      </c>
      <c r="J2544" s="10" t="str">
        <f aca="false">IF($E2544="","",UPPER(SUBSTITUTE($E2544," ","")))</f>
        <v/>
      </c>
      <c r="K2544" s="10" t="str">
        <f aca="false">IF($A2544="","",$G2544&amp;"|"&amp;$J2544)</f>
        <v/>
      </c>
      <c r="L2544" s="10" t="str">
        <f aca="false">IF($A2544="","",ROW()-2)</f>
        <v/>
      </c>
      <c r="M2544" s="10" t="str">
        <f aca="false">IF($A2544="","",ROW())</f>
        <v/>
      </c>
    </row>
    <row r="2545" customFormat="false" ht="15" hidden="false" customHeight="true" outlineLevel="0" collapsed="false">
      <c r="A2545" s="8"/>
      <c r="B2545" s="8"/>
      <c r="C2545" s="8"/>
      <c r="D2545" s="8"/>
      <c r="E2545" s="8"/>
      <c r="F2545" s="8"/>
      <c r="G2545" s="10" t="str">
        <f aca="false">IF($A2545="","",UPPER(SUBSTITUTE(SUBSTITUTE(SUBSTITUTE(SUBSTITUTE($A2545," ",""),"(주)",""),"주식회사",""),"㈜","")))</f>
        <v/>
      </c>
      <c r="H2545" s="10" t="str">
        <f aca="false">IF($B2545="","",SUBSTITUTE(SUBSTITUTE(SUBSTITUTE($B2545,"-","")," ",""),".",""))</f>
        <v/>
      </c>
      <c r="I2545" s="10" t="str">
        <f aca="false">IF($D2545="","",SUBSTITUTE(SUBSTITUTE(SUBSTITUTE($D2545,"-","")," ",""),".",""))</f>
        <v/>
      </c>
      <c r="J2545" s="10" t="str">
        <f aca="false">IF($E2545="","",UPPER(SUBSTITUTE($E2545," ","")))</f>
        <v/>
      </c>
      <c r="K2545" s="10" t="str">
        <f aca="false">IF($A2545="","",$G2545&amp;"|"&amp;$J2545)</f>
        <v/>
      </c>
      <c r="L2545" s="10" t="str">
        <f aca="false">IF($A2545="","",ROW()-2)</f>
        <v/>
      </c>
      <c r="M2545" s="10" t="str">
        <f aca="false">IF($A2545="","",ROW())</f>
        <v/>
      </c>
    </row>
    <row r="2546" customFormat="false" ht="15" hidden="false" customHeight="true" outlineLevel="0" collapsed="false">
      <c r="A2546" s="8"/>
      <c r="B2546" s="8"/>
      <c r="C2546" s="8"/>
      <c r="D2546" s="8"/>
      <c r="E2546" s="8"/>
      <c r="F2546" s="8"/>
      <c r="G2546" s="10" t="str">
        <f aca="false">IF($A2546="","",UPPER(SUBSTITUTE(SUBSTITUTE(SUBSTITUTE(SUBSTITUTE($A2546," ",""),"(주)",""),"주식회사",""),"㈜","")))</f>
        <v/>
      </c>
      <c r="H2546" s="10" t="str">
        <f aca="false">IF($B2546="","",SUBSTITUTE(SUBSTITUTE(SUBSTITUTE($B2546,"-","")," ",""),".",""))</f>
        <v/>
      </c>
      <c r="I2546" s="10" t="str">
        <f aca="false">IF($D2546="","",SUBSTITUTE(SUBSTITUTE(SUBSTITUTE($D2546,"-","")," ",""),".",""))</f>
        <v/>
      </c>
      <c r="J2546" s="10" t="str">
        <f aca="false">IF($E2546="","",UPPER(SUBSTITUTE($E2546," ","")))</f>
        <v/>
      </c>
      <c r="K2546" s="10" t="str">
        <f aca="false">IF($A2546="","",$G2546&amp;"|"&amp;$J2546)</f>
        <v/>
      </c>
      <c r="L2546" s="10" t="str">
        <f aca="false">IF($A2546="","",ROW()-2)</f>
        <v/>
      </c>
      <c r="M2546" s="10" t="str">
        <f aca="false">IF($A2546="","",ROW())</f>
        <v/>
      </c>
    </row>
    <row r="2547" customFormat="false" ht="15" hidden="false" customHeight="true" outlineLevel="0" collapsed="false">
      <c r="A2547" s="8"/>
      <c r="B2547" s="8"/>
      <c r="C2547" s="8"/>
      <c r="D2547" s="8"/>
      <c r="E2547" s="8"/>
      <c r="F2547" s="8"/>
      <c r="G2547" s="10" t="str">
        <f aca="false">IF($A2547="","",UPPER(SUBSTITUTE(SUBSTITUTE(SUBSTITUTE(SUBSTITUTE($A2547," ",""),"(주)",""),"주식회사",""),"㈜","")))</f>
        <v/>
      </c>
      <c r="H2547" s="10" t="str">
        <f aca="false">IF($B2547="","",SUBSTITUTE(SUBSTITUTE(SUBSTITUTE($B2547,"-","")," ",""),".",""))</f>
        <v/>
      </c>
      <c r="I2547" s="10" t="str">
        <f aca="false">IF($D2547="","",SUBSTITUTE(SUBSTITUTE(SUBSTITUTE($D2547,"-","")," ",""),".",""))</f>
        <v/>
      </c>
      <c r="J2547" s="10" t="str">
        <f aca="false">IF($E2547="","",UPPER(SUBSTITUTE($E2547," ","")))</f>
        <v/>
      </c>
      <c r="K2547" s="10" t="str">
        <f aca="false">IF($A2547="","",$G2547&amp;"|"&amp;$J2547)</f>
        <v/>
      </c>
      <c r="L2547" s="10" t="str">
        <f aca="false">IF($A2547="","",ROW()-2)</f>
        <v/>
      </c>
      <c r="M2547" s="10" t="str">
        <f aca="false">IF($A2547="","",ROW())</f>
        <v/>
      </c>
    </row>
    <row r="2548" customFormat="false" ht="15" hidden="false" customHeight="true" outlineLevel="0" collapsed="false">
      <c r="A2548" s="8"/>
      <c r="B2548" s="8"/>
      <c r="C2548" s="8"/>
      <c r="D2548" s="8"/>
      <c r="E2548" s="8"/>
      <c r="F2548" s="8"/>
      <c r="G2548" s="10" t="str">
        <f aca="false">IF($A2548="","",UPPER(SUBSTITUTE(SUBSTITUTE(SUBSTITUTE(SUBSTITUTE($A2548," ",""),"(주)",""),"주식회사",""),"㈜","")))</f>
        <v/>
      </c>
      <c r="H2548" s="10" t="str">
        <f aca="false">IF($B2548="","",SUBSTITUTE(SUBSTITUTE(SUBSTITUTE($B2548,"-","")," ",""),".",""))</f>
        <v/>
      </c>
      <c r="I2548" s="10" t="str">
        <f aca="false">IF($D2548="","",SUBSTITUTE(SUBSTITUTE(SUBSTITUTE($D2548,"-","")," ",""),".",""))</f>
        <v/>
      </c>
      <c r="J2548" s="10" t="str">
        <f aca="false">IF($E2548="","",UPPER(SUBSTITUTE($E2548," ","")))</f>
        <v/>
      </c>
      <c r="K2548" s="10" t="str">
        <f aca="false">IF($A2548="","",$G2548&amp;"|"&amp;$J2548)</f>
        <v/>
      </c>
      <c r="L2548" s="10" t="str">
        <f aca="false">IF($A2548="","",ROW()-2)</f>
        <v/>
      </c>
      <c r="M2548" s="10" t="str">
        <f aca="false">IF($A2548="","",ROW())</f>
        <v/>
      </c>
    </row>
    <row r="2549" customFormat="false" ht="15" hidden="false" customHeight="true" outlineLevel="0" collapsed="false">
      <c r="A2549" s="8"/>
      <c r="B2549" s="8"/>
      <c r="C2549" s="8"/>
      <c r="D2549" s="8"/>
      <c r="E2549" s="8"/>
      <c r="F2549" s="8"/>
      <c r="G2549" s="10" t="str">
        <f aca="false">IF($A2549="","",UPPER(SUBSTITUTE(SUBSTITUTE(SUBSTITUTE(SUBSTITUTE($A2549," ",""),"(주)",""),"주식회사",""),"㈜","")))</f>
        <v/>
      </c>
      <c r="H2549" s="10" t="str">
        <f aca="false">IF($B2549="","",SUBSTITUTE(SUBSTITUTE(SUBSTITUTE($B2549,"-","")," ",""),".",""))</f>
        <v/>
      </c>
      <c r="I2549" s="10" t="str">
        <f aca="false">IF($D2549="","",SUBSTITUTE(SUBSTITUTE(SUBSTITUTE($D2549,"-","")," ",""),".",""))</f>
        <v/>
      </c>
      <c r="J2549" s="10" t="str">
        <f aca="false">IF($E2549="","",UPPER(SUBSTITUTE($E2549," ","")))</f>
        <v/>
      </c>
      <c r="K2549" s="10" t="str">
        <f aca="false">IF($A2549="","",$G2549&amp;"|"&amp;$J2549)</f>
        <v/>
      </c>
      <c r="L2549" s="10" t="str">
        <f aca="false">IF($A2549="","",ROW()-2)</f>
        <v/>
      </c>
      <c r="M2549" s="10" t="str">
        <f aca="false">IF($A2549="","",ROW())</f>
        <v/>
      </c>
    </row>
    <row r="2550" customFormat="false" ht="15" hidden="false" customHeight="true" outlineLevel="0" collapsed="false">
      <c r="A2550" s="8"/>
      <c r="B2550" s="8"/>
      <c r="C2550" s="8"/>
      <c r="D2550" s="8"/>
      <c r="E2550" s="8"/>
      <c r="F2550" s="8"/>
      <c r="G2550" s="10" t="str">
        <f aca="false">IF($A2550="","",UPPER(SUBSTITUTE(SUBSTITUTE(SUBSTITUTE(SUBSTITUTE($A2550," ",""),"(주)",""),"주식회사",""),"㈜","")))</f>
        <v/>
      </c>
      <c r="H2550" s="10" t="str">
        <f aca="false">IF($B2550="","",SUBSTITUTE(SUBSTITUTE(SUBSTITUTE($B2550,"-","")," ",""),".",""))</f>
        <v/>
      </c>
      <c r="I2550" s="10" t="str">
        <f aca="false">IF($D2550="","",SUBSTITUTE(SUBSTITUTE(SUBSTITUTE($D2550,"-","")," ",""),".",""))</f>
        <v/>
      </c>
      <c r="J2550" s="10" t="str">
        <f aca="false">IF($E2550="","",UPPER(SUBSTITUTE($E2550," ","")))</f>
        <v/>
      </c>
      <c r="K2550" s="10" t="str">
        <f aca="false">IF($A2550="","",$G2550&amp;"|"&amp;$J2550)</f>
        <v/>
      </c>
      <c r="L2550" s="10" t="str">
        <f aca="false">IF($A2550="","",ROW()-2)</f>
        <v/>
      </c>
      <c r="M2550" s="10" t="str">
        <f aca="false">IF($A2550="","",ROW())</f>
        <v/>
      </c>
    </row>
    <row r="2551" customFormat="false" ht="15" hidden="false" customHeight="true" outlineLevel="0" collapsed="false">
      <c r="A2551" s="8"/>
      <c r="B2551" s="8"/>
      <c r="C2551" s="8"/>
      <c r="D2551" s="8"/>
      <c r="E2551" s="8"/>
      <c r="F2551" s="8"/>
      <c r="G2551" s="10" t="str">
        <f aca="false">IF($A2551="","",UPPER(SUBSTITUTE(SUBSTITUTE(SUBSTITUTE(SUBSTITUTE($A2551," ",""),"(주)",""),"주식회사",""),"㈜","")))</f>
        <v/>
      </c>
      <c r="H2551" s="10" t="str">
        <f aca="false">IF($B2551="","",SUBSTITUTE(SUBSTITUTE(SUBSTITUTE($B2551,"-","")," ",""),".",""))</f>
        <v/>
      </c>
      <c r="I2551" s="10" t="str">
        <f aca="false">IF($D2551="","",SUBSTITUTE(SUBSTITUTE(SUBSTITUTE($D2551,"-","")," ",""),".",""))</f>
        <v/>
      </c>
      <c r="J2551" s="10" t="str">
        <f aca="false">IF($E2551="","",UPPER(SUBSTITUTE($E2551," ","")))</f>
        <v/>
      </c>
      <c r="K2551" s="10" t="str">
        <f aca="false">IF($A2551="","",$G2551&amp;"|"&amp;$J2551)</f>
        <v/>
      </c>
      <c r="L2551" s="10" t="str">
        <f aca="false">IF($A2551="","",ROW()-2)</f>
        <v/>
      </c>
      <c r="M2551" s="10" t="str">
        <f aca="false">IF($A2551="","",ROW())</f>
        <v/>
      </c>
    </row>
    <row r="2552" customFormat="false" ht="15" hidden="false" customHeight="true" outlineLevel="0" collapsed="false">
      <c r="A2552" s="8"/>
      <c r="B2552" s="8"/>
      <c r="C2552" s="8"/>
      <c r="D2552" s="8"/>
      <c r="E2552" s="8"/>
      <c r="F2552" s="8"/>
      <c r="G2552" s="10" t="str">
        <f aca="false">IF($A2552="","",UPPER(SUBSTITUTE(SUBSTITUTE(SUBSTITUTE(SUBSTITUTE($A2552," ",""),"(주)",""),"주식회사",""),"㈜","")))</f>
        <v/>
      </c>
      <c r="H2552" s="10" t="str">
        <f aca="false">IF($B2552="","",SUBSTITUTE(SUBSTITUTE(SUBSTITUTE($B2552,"-","")," ",""),".",""))</f>
        <v/>
      </c>
      <c r="I2552" s="10" t="str">
        <f aca="false">IF($D2552="","",SUBSTITUTE(SUBSTITUTE(SUBSTITUTE($D2552,"-","")," ",""),".",""))</f>
        <v/>
      </c>
      <c r="J2552" s="10" t="str">
        <f aca="false">IF($E2552="","",UPPER(SUBSTITUTE($E2552," ","")))</f>
        <v/>
      </c>
      <c r="K2552" s="10" t="str">
        <f aca="false">IF($A2552="","",$G2552&amp;"|"&amp;$J2552)</f>
        <v/>
      </c>
      <c r="L2552" s="10" t="str">
        <f aca="false">IF($A2552="","",ROW()-2)</f>
        <v/>
      </c>
      <c r="M2552" s="10" t="str">
        <f aca="false">IF($A2552="","",ROW())</f>
        <v/>
      </c>
    </row>
    <row r="2553" customFormat="false" ht="15" hidden="false" customHeight="true" outlineLevel="0" collapsed="false">
      <c r="A2553" s="8"/>
      <c r="B2553" s="8"/>
      <c r="C2553" s="8"/>
      <c r="D2553" s="8"/>
      <c r="E2553" s="8"/>
      <c r="F2553" s="8"/>
      <c r="G2553" s="10" t="str">
        <f aca="false">IF($A2553="","",UPPER(SUBSTITUTE(SUBSTITUTE(SUBSTITUTE(SUBSTITUTE($A2553," ",""),"(주)",""),"주식회사",""),"㈜","")))</f>
        <v/>
      </c>
      <c r="H2553" s="10" t="str">
        <f aca="false">IF($B2553="","",SUBSTITUTE(SUBSTITUTE(SUBSTITUTE($B2553,"-","")," ",""),".",""))</f>
        <v/>
      </c>
      <c r="I2553" s="10" t="str">
        <f aca="false">IF($D2553="","",SUBSTITUTE(SUBSTITUTE(SUBSTITUTE($D2553,"-","")," ",""),".",""))</f>
        <v/>
      </c>
      <c r="J2553" s="10" t="str">
        <f aca="false">IF($E2553="","",UPPER(SUBSTITUTE($E2553," ","")))</f>
        <v/>
      </c>
      <c r="K2553" s="10" t="str">
        <f aca="false">IF($A2553="","",$G2553&amp;"|"&amp;$J2553)</f>
        <v/>
      </c>
      <c r="L2553" s="10" t="str">
        <f aca="false">IF($A2553="","",ROW()-2)</f>
        <v/>
      </c>
      <c r="M2553" s="10" t="str">
        <f aca="false">IF($A2553="","",ROW())</f>
        <v/>
      </c>
    </row>
    <row r="2554" customFormat="false" ht="15" hidden="false" customHeight="true" outlineLevel="0" collapsed="false">
      <c r="A2554" s="8"/>
      <c r="B2554" s="8"/>
      <c r="C2554" s="8"/>
      <c r="D2554" s="8"/>
      <c r="E2554" s="8"/>
      <c r="F2554" s="8"/>
      <c r="G2554" s="10" t="str">
        <f aca="false">IF($A2554="","",UPPER(SUBSTITUTE(SUBSTITUTE(SUBSTITUTE(SUBSTITUTE($A2554," ",""),"(주)",""),"주식회사",""),"㈜","")))</f>
        <v/>
      </c>
      <c r="H2554" s="10" t="str">
        <f aca="false">IF($B2554="","",SUBSTITUTE(SUBSTITUTE(SUBSTITUTE($B2554,"-","")," ",""),".",""))</f>
        <v/>
      </c>
      <c r="I2554" s="10" t="str">
        <f aca="false">IF($D2554="","",SUBSTITUTE(SUBSTITUTE(SUBSTITUTE($D2554,"-","")," ",""),".",""))</f>
        <v/>
      </c>
      <c r="J2554" s="10" t="str">
        <f aca="false">IF($E2554="","",UPPER(SUBSTITUTE($E2554," ","")))</f>
        <v/>
      </c>
      <c r="K2554" s="10" t="str">
        <f aca="false">IF($A2554="","",$G2554&amp;"|"&amp;$J2554)</f>
        <v/>
      </c>
      <c r="L2554" s="10" t="str">
        <f aca="false">IF($A2554="","",ROW()-2)</f>
        <v/>
      </c>
      <c r="M2554" s="10" t="str">
        <f aca="false">IF($A2554="","",ROW())</f>
        <v/>
      </c>
    </row>
    <row r="2555" customFormat="false" ht="15" hidden="false" customHeight="true" outlineLevel="0" collapsed="false">
      <c r="A2555" s="8"/>
      <c r="B2555" s="8"/>
      <c r="C2555" s="8"/>
      <c r="D2555" s="8"/>
      <c r="E2555" s="8"/>
      <c r="F2555" s="8"/>
      <c r="G2555" s="10" t="str">
        <f aca="false">IF($A2555="","",UPPER(SUBSTITUTE(SUBSTITUTE(SUBSTITUTE(SUBSTITUTE($A2555," ",""),"(주)",""),"주식회사",""),"㈜","")))</f>
        <v/>
      </c>
      <c r="H2555" s="10" t="str">
        <f aca="false">IF($B2555="","",SUBSTITUTE(SUBSTITUTE(SUBSTITUTE($B2555,"-","")," ",""),".",""))</f>
        <v/>
      </c>
      <c r="I2555" s="10" t="str">
        <f aca="false">IF($D2555="","",SUBSTITUTE(SUBSTITUTE(SUBSTITUTE($D2555,"-","")," ",""),".",""))</f>
        <v/>
      </c>
      <c r="J2555" s="10" t="str">
        <f aca="false">IF($E2555="","",UPPER(SUBSTITUTE($E2555," ","")))</f>
        <v/>
      </c>
      <c r="K2555" s="10" t="str">
        <f aca="false">IF($A2555="","",$G2555&amp;"|"&amp;$J2555)</f>
        <v/>
      </c>
      <c r="L2555" s="10" t="str">
        <f aca="false">IF($A2555="","",ROW()-2)</f>
        <v/>
      </c>
      <c r="M2555" s="10" t="str">
        <f aca="false">IF($A2555="","",ROW())</f>
        <v/>
      </c>
    </row>
    <row r="2556" customFormat="false" ht="15" hidden="false" customHeight="true" outlineLevel="0" collapsed="false">
      <c r="A2556" s="8"/>
      <c r="B2556" s="8"/>
      <c r="C2556" s="8"/>
      <c r="D2556" s="8"/>
      <c r="E2556" s="8"/>
      <c r="F2556" s="8"/>
      <c r="G2556" s="10" t="str">
        <f aca="false">IF($A2556="","",UPPER(SUBSTITUTE(SUBSTITUTE(SUBSTITUTE(SUBSTITUTE($A2556," ",""),"(주)",""),"주식회사",""),"㈜","")))</f>
        <v/>
      </c>
      <c r="H2556" s="10" t="str">
        <f aca="false">IF($B2556="","",SUBSTITUTE(SUBSTITUTE(SUBSTITUTE($B2556,"-","")," ",""),".",""))</f>
        <v/>
      </c>
      <c r="I2556" s="10" t="str">
        <f aca="false">IF($D2556="","",SUBSTITUTE(SUBSTITUTE(SUBSTITUTE($D2556,"-","")," ",""),".",""))</f>
        <v/>
      </c>
      <c r="J2556" s="10" t="str">
        <f aca="false">IF($E2556="","",UPPER(SUBSTITUTE($E2556," ","")))</f>
        <v/>
      </c>
      <c r="K2556" s="10" t="str">
        <f aca="false">IF($A2556="","",$G2556&amp;"|"&amp;$J2556)</f>
        <v/>
      </c>
      <c r="L2556" s="10" t="str">
        <f aca="false">IF($A2556="","",ROW()-2)</f>
        <v/>
      </c>
      <c r="M2556" s="10" t="str">
        <f aca="false">IF($A2556="","",ROW())</f>
        <v/>
      </c>
    </row>
    <row r="2557" customFormat="false" ht="15" hidden="false" customHeight="true" outlineLevel="0" collapsed="false">
      <c r="A2557" s="8"/>
      <c r="B2557" s="8"/>
      <c r="C2557" s="8"/>
      <c r="D2557" s="8"/>
      <c r="E2557" s="8"/>
      <c r="F2557" s="8"/>
      <c r="G2557" s="10" t="str">
        <f aca="false">IF($A2557="","",UPPER(SUBSTITUTE(SUBSTITUTE(SUBSTITUTE(SUBSTITUTE($A2557," ",""),"(주)",""),"주식회사",""),"㈜","")))</f>
        <v/>
      </c>
      <c r="H2557" s="10" t="str">
        <f aca="false">IF($B2557="","",SUBSTITUTE(SUBSTITUTE(SUBSTITUTE($B2557,"-","")," ",""),".",""))</f>
        <v/>
      </c>
      <c r="I2557" s="10" t="str">
        <f aca="false">IF($D2557="","",SUBSTITUTE(SUBSTITUTE(SUBSTITUTE($D2557,"-","")," ",""),".",""))</f>
        <v/>
      </c>
      <c r="J2557" s="10" t="str">
        <f aca="false">IF($E2557="","",UPPER(SUBSTITUTE($E2557," ","")))</f>
        <v/>
      </c>
      <c r="K2557" s="10" t="str">
        <f aca="false">IF($A2557="","",$G2557&amp;"|"&amp;$J2557)</f>
        <v/>
      </c>
      <c r="L2557" s="10" t="str">
        <f aca="false">IF($A2557="","",ROW()-2)</f>
        <v/>
      </c>
      <c r="M2557" s="10" t="str">
        <f aca="false">IF($A2557="","",ROW())</f>
        <v/>
      </c>
    </row>
    <row r="2558" customFormat="false" ht="15" hidden="false" customHeight="true" outlineLevel="0" collapsed="false">
      <c r="A2558" s="8"/>
      <c r="B2558" s="8"/>
      <c r="C2558" s="8"/>
      <c r="D2558" s="8"/>
      <c r="E2558" s="8"/>
      <c r="F2558" s="8"/>
      <c r="G2558" s="10" t="str">
        <f aca="false">IF($A2558="","",UPPER(SUBSTITUTE(SUBSTITUTE(SUBSTITUTE(SUBSTITUTE($A2558," ",""),"(주)",""),"주식회사",""),"㈜","")))</f>
        <v/>
      </c>
      <c r="H2558" s="10" t="str">
        <f aca="false">IF($B2558="","",SUBSTITUTE(SUBSTITUTE(SUBSTITUTE($B2558,"-","")," ",""),".",""))</f>
        <v/>
      </c>
      <c r="I2558" s="10" t="str">
        <f aca="false">IF($D2558="","",SUBSTITUTE(SUBSTITUTE(SUBSTITUTE($D2558,"-","")," ",""),".",""))</f>
        <v/>
      </c>
      <c r="J2558" s="10" t="str">
        <f aca="false">IF($E2558="","",UPPER(SUBSTITUTE($E2558," ","")))</f>
        <v/>
      </c>
      <c r="K2558" s="10" t="str">
        <f aca="false">IF($A2558="","",$G2558&amp;"|"&amp;$J2558)</f>
        <v/>
      </c>
      <c r="L2558" s="10" t="str">
        <f aca="false">IF($A2558="","",ROW()-2)</f>
        <v/>
      </c>
      <c r="M2558" s="10" t="str">
        <f aca="false">IF($A2558="","",ROW())</f>
        <v/>
      </c>
    </row>
    <row r="2559" customFormat="false" ht="15" hidden="false" customHeight="true" outlineLevel="0" collapsed="false">
      <c r="A2559" s="8"/>
      <c r="B2559" s="8"/>
      <c r="C2559" s="8"/>
      <c r="D2559" s="8"/>
      <c r="E2559" s="8"/>
      <c r="F2559" s="8"/>
      <c r="G2559" s="10" t="str">
        <f aca="false">IF($A2559="","",UPPER(SUBSTITUTE(SUBSTITUTE(SUBSTITUTE(SUBSTITUTE($A2559," ",""),"(주)",""),"주식회사",""),"㈜","")))</f>
        <v/>
      </c>
      <c r="H2559" s="10" t="str">
        <f aca="false">IF($B2559="","",SUBSTITUTE(SUBSTITUTE(SUBSTITUTE($B2559,"-","")," ",""),".",""))</f>
        <v/>
      </c>
      <c r="I2559" s="10" t="str">
        <f aca="false">IF($D2559="","",SUBSTITUTE(SUBSTITUTE(SUBSTITUTE($D2559,"-","")," ",""),".",""))</f>
        <v/>
      </c>
      <c r="J2559" s="10" t="str">
        <f aca="false">IF($E2559="","",UPPER(SUBSTITUTE($E2559," ","")))</f>
        <v/>
      </c>
      <c r="K2559" s="10" t="str">
        <f aca="false">IF($A2559="","",$G2559&amp;"|"&amp;$J2559)</f>
        <v/>
      </c>
      <c r="L2559" s="10" t="str">
        <f aca="false">IF($A2559="","",ROW()-2)</f>
        <v/>
      </c>
      <c r="M2559" s="10" t="str">
        <f aca="false">IF($A2559="","",ROW())</f>
        <v/>
      </c>
    </row>
    <row r="2560" customFormat="false" ht="15" hidden="false" customHeight="true" outlineLevel="0" collapsed="false">
      <c r="A2560" s="8"/>
      <c r="B2560" s="8"/>
      <c r="C2560" s="8"/>
      <c r="D2560" s="8"/>
      <c r="E2560" s="8"/>
      <c r="F2560" s="8"/>
      <c r="G2560" s="10" t="str">
        <f aca="false">IF($A2560="","",UPPER(SUBSTITUTE(SUBSTITUTE(SUBSTITUTE(SUBSTITUTE($A2560," ",""),"(주)",""),"주식회사",""),"㈜","")))</f>
        <v/>
      </c>
      <c r="H2560" s="10" t="str">
        <f aca="false">IF($B2560="","",SUBSTITUTE(SUBSTITUTE(SUBSTITUTE($B2560,"-","")," ",""),".",""))</f>
        <v/>
      </c>
      <c r="I2560" s="10" t="str">
        <f aca="false">IF($D2560="","",SUBSTITUTE(SUBSTITUTE(SUBSTITUTE($D2560,"-","")," ",""),".",""))</f>
        <v/>
      </c>
      <c r="J2560" s="10" t="str">
        <f aca="false">IF($E2560="","",UPPER(SUBSTITUTE($E2560," ","")))</f>
        <v/>
      </c>
      <c r="K2560" s="10" t="str">
        <f aca="false">IF($A2560="","",$G2560&amp;"|"&amp;$J2560)</f>
        <v/>
      </c>
      <c r="L2560" s="10" t="str">
        <f aca="false">IF($A2560="","",ROW()-2)</f>
        <v/>
      </c>
      <c r="M2560" s="10" t="str">
        <f aca="false">IF($A2560="","",ROW())</f>
        <v/>
      </c>
    </row>
    <row r="2561" customFormat="false" ht="15" hidden="false" customHeight="true" outlineLevel="0" collapsed="false">
      <c r="A2561" s="8"/>
      <c r="B2561" s="8"/>
      <c r="C2561" s="8"/>
      <c r="D2561" s="8"/>
      <c r="E2561" s="8"/>
      <c r="F2561" s="8"/>
      <c r="G2561" s="10" t="str">
        <f aca="false">IF($A2561="","",UPPER(SUBSTITUTE(SUBSTITUTE(SUBSTITUTE(SUBSTITUTE($A2561," ",""),"(주)",""),"주식회사",""),"㈜","")))</f>
        <v/>
      </c>
      <c r="H2561" s="10" t="str">
        <f aca="false">IF($B2561="","",SUBSTITUTE(SUBSTITUTE(SUBSTITUTE($B2561,"-","")," ",""),".",""))</f>
        <v/>
      </c>
      <c r="I2561" s="10" t="str">
        <f aca="false">IF($D2561="","",SUBSTITUTE(SUBSTITUTE(SUBSTITUTE($D2561,"-","")," ",""),".",""))</f>
        <v/>
      </c>
      <c r="J2561" s="10" t="str">
        <f aca="false">IF($E2561="","",UPPER(SUBSTITUTE($E2561," ","")))</f>
        <v/>
      </c>
      <c r="K2561" s="10" t="str">
        <f aca="false">IF($A2561="","",$G2561&amp;"|"&amp;$J2561)</f>
        <v/>
      </c>
      <c r="L2561" s="10" t="str">
        <f aca="false">IF($A2561="","",ROW()-2)</f>
        <v/>
      </c>
      <c r="M2561" s="10" t="str">
        <f aca="false">IF($A2561="","",ROW())</f>
        <v/>
      </c>
    </row>
    <row r="2562" customFormat="false" ht="15" hidden="false" customHeight="true" outlineLevel="0" collapsed="false">
      <c r="A2562" s="8"/>
      <c r="B2562" s="8"/>
      <c r="C2562" s="8"/>
      <c r="D2562" s="8"/>
      <c r="E2562" s="8"/>
      <c r="F2562" s="8"/>
      <c r="G2562" s="10" t="str">
        <f aca="false">IF($A2562="","",UPPER(SUBSTITUTE(SUBSTITUTE(SUBSTITUTE(SUBSTITUTE($A2562," ",""),"(주)",""),"주식회사",""),"㈜","")))</f>
        <v/>
      </c>
      <c r="H2562" s="10" t="str">
        <f aca="false">IF($B2562="","",SUBSTITUTE(SUBSTITUTE(SUBSTITUTE($B2562,"-","")," ",""),".",""))</f>
        <v/>
      </c>
      <c r="I2562" s="10" t="str">
        <f aca="false">IF($D2562="","",SUBSTITUTE(SUBSTITUTE(SUBSTITUTE($D2562,"-","")," ",""),".",""))</f>
        <v/>
      </c>
      <c r="J2562" s="10" t="str">
        <f aca="false">IF($E2562="","",UPPER(SUBSTITUTE($E2562," ","")))</f>
        <v/>
      </c>
      <c r="K2562" s="10" t="str">
        <f aca="false">IF($A2562="","",$G2562&amp;"|"&amp;$J2562)</f>
        <v/>
      </c>
      <c r="L2562" s="10" t="str">
        <f aca="false">IF($A2562="","",ROW()-2)</f>
        <v/>
      </c>
      <c r="M2562" s="10" t="str">
        <f aca="false">IF($A2562="","",ROW())</f>
        <v/>
      </c>
    </row>
    <row r="2563" customFormat="false" ht="15" hidden="false" customHeight="true" outlineLevel="0" collapsed="false">
      <c r="A2563" s="8"/>
      <c r="B2563" s="8"/>
      <c r="C2563" s="8"/>
      <c r="D2563" s="8"/>
      <c r="E2563" s="8"/>
      <c r="F2563" s="8"/>
      <c r="G2563" s="10" t="str">
        <f aca="false">IF($A2563="","",UPPER(SUBSTITUTE(SUBSTITUTE(SUBSTITUTE(SUBSTITUTE($A2563," ",""),"(주)",""),"주식회사",""),"㈜","")))</f>
        <v/>
      </c>
      <c r="H2563" s="10" t="str">
        <f aca="false">IF($B2563="","",SUBSTITUTE(SUBSTITUTE(SUBSTITUTE($B2563,"-","")," ",""),".",""))</f>
        <v/>
      </c>
      <c r="I2563" s="10" t="str">
        <f aca="false">IF($D2563="","",SUBSTITUTE(SUBSTITUTE(SUBSTITUTE($D2563,"-","")," ",""),".",""))</f>
        <v/>
      </c>
      <c r="J2563" s="10" t="str">
        <f aca="false">IF($E2563="","",UPPER(SUBSTITUTE($E2563," ","")))</f>
        <v/>
      </c>
      <c r="K2563" s="10" t="str">
        <f aca="false">IF($A2563="","",$G2563&amp;"|"&amp;$J2563)</f>
        <v/>
      </c>
      <c r="L2563" s="10" t="str">
        <f aca="false">IF($A2563="","",ROW()-2)</f>
        <v/>
      </c>
      <c r="M2563" s="10" t="str">
        <f aca="false">IF($A2563="","",ROW())</f>
        <v/>
      </c>
    </row>
    <row r="2564" customFormat="false" ht="15" hidden="false" customHeight="true" outlineLevel="0" collapsed="false">
      <c r="A2564" s="8"/>
      <c r="B2564" s="8"/>
      <c r="C2564" s="8"/>
      <c r="D2564" s="8"/>
      <c r="E2564" s="8"/>
      <c r="F2564" s="8"/>
      <c r="G2564" s="10" t="str">
        <f aca="false">IF($A2564="","",UPPER(SUBSTITUTE(SUBSTITUTE(SUBSTITUTE(SUBSTITUTE($A2564," ",""),"(주)",""),"주식회사",""),"㈜","")))</f>
        <v/>
      </c>
      <c r="H2564" s="10" t="str">
        <f aca="false">IF($B2564="","",SUBSTITUTE(SUBSTITUTE(SUBSTITUTE($B2564,"-","")," ",""),".",""))</f>
        <v/>
      </c>
      <c r="I2564" s="10" t="str">
        <f aca="false">IF($D2564="","",SUBSTITUTE(SUBSTITUTE(SUBSTITUTE($D2564,"-","")," ",""),".",""))</f>
        <v/>
      </c>
      <c r="J2564" s="10" t="str">
        <f aca="false">IF($E2564="","",UPPER(SUBSTITUTE($E2564," ","")))</f>
        <v/>
      </c>
      <c r="K2564" s="10" t="str">
        <f aca="false">IF($A2564="","",$G2564&amp;"|"&amp;$J2564)</f>
        <v/>
      </c>
      <c r="L2564" s="10" t="str">
        <f aca="false">IF($A2564="","",ROW()-2)</f>
        <v/>
      </c>
      <c r="M2564" s="10" t="str">
        <f aca="false">IF($A2564="","",ROW())</f>
        <v/>
      </c>
    </row>
    <row r="2565" customFormat="false" ht="15" hidden="false" customHeight="true" outlineLevel="0" collapsed="false">
      <c r="A2565" s="8"/>
      <c r="B2565" s="8"/>
      <c r="C2565" s="8"/>
      <c r="D2565" s="8"/>
      <c r="E2565" s="8"/>
      <c r="F2565" s="8"/>
      <c r="G2565" s="10" t="str">
        <f aca="false">IF($A2565="","",UPPER(SUBSTITUTE(SUBSTITUTE(SUBSTITUTE(SUBSTITUTE($A2565," ",""),"(주)",""),"주식회사",""),"㈜","")))</f>
        <v/>
      </c>
      <c r="H2565" s="10" t="str">
        <f aca="false">IF($B2565="","",SUBSTITUTE(SUBSTITUTE(SUBSTITUTE($B2565,"-","")," ",""),".",""))</f>
        <v/>
      </c>
      <c r="I2565" s="10" t="str">
        <f aca="false">IF($D2565="","",SUBSTITUTE(SUBSTITUTE(SUBSTITUTE($D2565,"-","")," ",""),".",""))</f>
        <v/>
      </c>
      <c r="J2565" s="10" t="str">
        <f aca="false">IF($E2565="","",UPPER(SUBSTITUTE($E2565," ","")))</f>
        <v/>
      </c>
      <c r="K2565" s="10" t="str">
        <f aca="false">IF($A2565="","",$G2565&amp;"|"&amp;$J2565)</f>
        <v/>
      </c>
      <c r="L2565" s="10" t="str">
        <f aca="false">IF($A2565="","",ROW()-2)</f>
        <v/>
      </c>
      <c r="M2565" s="10" t="str">
        <f aca="false">IF($A2565="","",ROW())</f>
        <v/>
      </c>
    </row>
    <row r="2566" customFormat="false" ht="15" hidden="false" customHeight="true" outlineLevel="0" collapsed="false">
      <c r="A2566" s="8"/>
      <c r="B2566" s="8"/>
      <c r="C2566" s="8"/>
      <c r="D2566" s="8"/>
      <c r="E2566" s="8"/>
      <c r="F2566" s="8"/>
      <c r="G2566" s="10" t="str">
        <f aca="false">IF($A2566="","",UPPER(SUBSTITUTE(SUBSTITUTE(SUBSTITUTE(SUBSTITUTE($A2566," ",""),"(주)",""),"주식회사",""),"㈜","")))</f>
        <v/>
      </c>
      <c r="H2566" s="10" t="str">
        <f aca="false">IF($B2566="","",SUBSTITUTE(SUBSTITUTE(SUBSTITUTE($B2566,"-","")," ",""),".",""))</f>
        <v/>
      </c>
      <c r="I2566" s="10" t="str">
        <f aca="false">IF($D2566="","",SUBSTITUTE(SUBSTITUTE(SUBSTITUTE($D2566,"-","")," ",""),".",""))</f>
        <v/>
      </c>
      <c r="J2566" s="10" t="str">
        <f aca="false">IF($E2566="","",UPPER(SUBSTITUTE($E2566," ","")))</f>
        <v/>
      </c>
      <c r="K2566" s="10" t="str">
        <f aca="false">IF($A2566="","",$G2566&amp;"|"&amp;$J2566)</f>
        <v/>
      </c>
      <c r="L2566" s="10" t="str">
        <f aca="false">IF($A2566="","",ROW()-2)</f>
        <v/>
      </c>
      <c r="M2566" s="10" t="str">
        <f aca="false">IF($A2566="","",ROW())</f>
        <v/>
      </c>
    </row>
    <row r="2567" customFormat="false" ht="15" hidden="false" customHeight="true" outlineLevel="0" collapsed="false">
      <c r="A2567" s="8"/>
      <c r="B2567" s="8"/>
      <c r="C2567" s="8"/>
      <c r="D2567" s="8"/>
      <c r="E2567" s="8"/>
      <c r="F2567" s="8"/>
      <c r="G2567" s="10" t="str">
        <f aca="false">IF($A2567="","",UPPER(SUBSTITUTE(SUBSTITUTE(SUBSTITUTE(SUBSTITUTE($A2567," ",""),"(주)",""),"주식회사",""),"㈜","")))</f>
        <v/>
      </c>
      <c r="H2567" s="10" t="str">
        <f aca="false">IF($B2567="","",SUBSTITUTE(SUBSTITUTE(SUBSTITUTE($B2567,"-","")," ",""),".",""))</f>
        <v/>
      </c>
      <c r="I2567" s="10" t="str">
        <f aca="false">IF($D2567="","",SUBSTITUTE(SUBSTITUTE(SUBSTITUTE($D2567,"-","")," ",""),".",""))</f>
        <v/>
      </c>
      <c r="J2567" s="10" t="str">
        <f aca="false">IF($E2567="","",UPPER(SUBSTITUTE($E2567," ","")))</f>
        <v/>
      </c>
      <c r="K2567" s="10" t="str">
        <f aca="false">IF($A2567="","",$G2567&amp;"|"&amp;$J2567)</f>
        <v/>
      </c>
      <c r="L2567" s="10" t="str">
        <f aca="false">IF($A2567="","",ROW()-2)</f>
        <v/>
      </c>
      <c r="M2567" s="10" t="str">
        <f aca="false">IF($A2567="","",ROW())</f>
        <v/>
      </c>
    </row>
    <row r="2568" customFormat="false" ht="15" hidden="false" customHeight="true" outlineLevel="0" collapsed="false">
      <c r="A2568" s="8"/>
      <c r="B2568" s="8"/>
      <c r="C2568" s="8"/>
      <c r="D2568" s="8"/>
      <c r="E2568" s="8"/>
      <c r="F2568" s="8"/>
      <c r="G2568" s="10" t="str">
        <f aca="false">IF($A2568="","",UPPER(SUBSTITUTE(SUBSTITUTE(SUBSTITUTE(SUBSTITUTE($A2568," ",""),"(주)",""),"주식회사",""),"㈜","")))</f>
        <v/>
      </c>
      <c r="H2568" s="10" t="str">
        <f aca="false">IF($B2568="","",SUBSTITUTE(SUBSTITUTE(SUBSTITUTE($B2568,"-","")," ",""),".",""))</f>
        <v/>
      </c>
      <c r="I2568" s="10" t="str">
        <f aca="false">IF($D2568="","",SUBSTITUTE(SUBSTITUTE(SUBSTITUTE($D2568,"-","")," ",""),".",""))</f>
        <v/>
      </c>
      <c r="J2568" s="10" t="str">
        <f aca="false">IF($E2568="","",UPPER(SUBSTITUTE($E2568," ","")))</f>
        <v/>
      </c>
      <c r="K2568" s="10" t="str">
        <f aca="false">IF($A2568="","",$G2568&amp;"|"&amp;$J2568)</f>
        <v/>
      </c>
      <c r="L2568" s="10" t="str">
        <f aca="false">IF($A2568="","",ROW()-2)</f>
        <v/>
      </c>
      <c r="M2568" s="10" t="str">
        <f aca="false">IF($A2568="","",ROW())</f>
        <v/>
      </c>
    </row>
    <row r="2569" customFormat="false" ht="15" hidden="false" customHeight="true" outlineLevel="0" collapsed="false">
      <c r="A2569" s="8"/>
      <c r="B2569" s="8"/>
      <c r="C2569" s="8"/>
      <c r="D2569" s="8"/>
      <c r="E2569" s="8"/>
      <c r="F2569" s="8"/>
      <c r="G2569" s="10" t="str">
        <f aca="false">IF($A2569="","",UPPER(SUBSTITUTE(SUBSTITUTE(SUBSTITUTE(SUBSTITUTE($A2569," ",""),"(주)",""),"주식회사",""),"㈜","")))</f>
        <v/>
      </c>
      <c r="H2569" s="10" t="str">
        <f aca="false">IF($B2569="","",SUBSTITUTE(SUBSTITUTE(SUBSTITUTE($B2569,"-","")," ",""),".",""))</f>
        <v/>
      </c>
      <c r="I2569" s="10" t="str">
        <f aca="false">IF($D2569="","",SUBSTITUTE(SUBSTITUTE(SUBSTITUTE($D2569,"-","")," ",""),".",""))</f>
        <v/>
      </c>
      <c r="J2569" s="10" t="str">
        <f aca="false">IF($E2569="","",UPPER(SUBSTITUTE($E2569," ","")))</f>
        <v/>
      </c>
      <c r="K2569" s="10" t="str">
        <f aca="false">IF($A2569="","",$G2569&amp;"|"&amp;$J2569)</f>
        <v/>
      </c>
      <c r="L2569" s="10" t="str">
        <f aca="false">IF($A2569="","",ROW()-2)</f>
        <v/>
      </c>
      <c r="M2569" s="10" t="str">
        <f aca="false">IF($A2569="","",ROW())</f>
        <v/>
      </c>
    </row>
    <row r="2570" customFormat="false" ht="15" hidden="false" customHeight="true" outlineLevel="0" collapsed="false">
      <c r="A2570" s="8"/>
      <c r="B2570" s="8"/>
      <c r="C2570" s="8"/>
      <c r="D2570" s="8"/>
      <c r="E2570" s="8"/>
      <c r="F2570" s="8"/>
      <c r="G2570" s="10" t="str">
        <f aca="false">IF($A2570="","",UPPER(SUBSTITUTE(SUBSTITUTE(SUBSTITUTE(SUBSTITUTE($A2570," ",""),"(주)",""),"주식회사",""),"㈜","")))</f>
        <v/>
      </c>
      <c r="H2570" s="10" t="str">
        <f aca="false">IF($B2570="","",SUBSTITUTE(SUBSTITUTE(SUBSTITUTE($B2570,"-","")," ",""),".",""))</f>
        <v/>
      </c>
      <c r="I2570" s="10" t="str">
        <f aca="false">IF($D2570="","",SUBSTITUTE(SUBSTITUTE(SUBSTITUTE($D2570,"-","")," ",""),".",""))</f>
        <v/>
      </c>
      <c r="J2570" s="10" t="str">
        <f aca="false">IF($E2570="","",UPPER(SUBSTITUTE($E2570," ","")))</f>
        <v/>
      </c>
      <c r="K2570" s="10" t="str">
        <f aca="false">IF($A2570="","",$G2570&amp;"|"&amp;$J2570)</f>
        <v/>
      </c>
      <c r="L2570" s="10" t="str">
        <f aca="false">IF($A2570="","",ROW()-2)</f>
        <v/>
      </c>
      <c r="M2570" s="10" t="str">
        <f aca="false">IF($A2570="","",ROW())</f>
        <v/>
      </c>
    </row>
    <row r="2571" customFormat="false" ht="15" hidden="false" customHeight="true" outlineLevel="0" collapsed="false">
      <c r="A2571" s="8"/>
      <c r="B2571" s="8"/>
      <c r="C2571" s="8"/>
      <c r="D2571" s="8"/>
      <c r="E2571" s="8"/>
      <c r="F2571" s="8"/>
      <c r="G2571" s="10" t="str">
        <f aca="false">IF($A2571="","",UPPER(SUBSTITUTE(SUBSTITUTE(SUBSTITUTE(SUBSTITUTE($A2571," ",""),"(주)",""),"주식회사",""),"㈜","")))</f>
        <v/>
      </c>
      <c r="H2571" s="10" t="str">
        <f aca="false">IF($B2571="","",SUBSTITUTE(SUBSTITUTE(SUBSTITUTE($B2571,"-","")," ",""),".",""))</f>
        <v/>
      </c>
      <c r="I2571" s="10" t="str">
        <f aca="false">IF($D2571="","",SUBSTITUTE(SUBSTITUTE(SUBSTITUTE($D2571,"-","")," ",""),".",""))</f>
        <v/>
      </c>
      <c r="J2571" s="10" t="str">
        <f aca="false">IF($E2571="","",UPPER(SUBSTITUTE($E2571," ","")))</f>
        <v/>
      </c>
      <c r="K2571" s="10" t="str">
        <f aca="false">IF($A2571="","",$G2571&amp;"|"&amp;$J2571)</f>
        <v/>
      </c>
      <c r="L2571" s="10" t="str">
        <f aca="false">IF($A2571="","",ROW()-2)</f>
        <v/>
      </c>
      <c r="M2571" s="10" t="str">
        <f aca="false">IF($A2571="","",ROW())</f>
        <v/>
      </c>
    </row>
    <row r="2572" customFormat="false" ht="15" hidden="false" customHeight="true" outlineLevel="0" collapsed="false">
      <c r="A2572" s="8"/>
      <c r="B2572" s="8"/>
      <c r="C2572" s="8"/>
      <c r="D2572" s="8"/>
      <c r="E2572" s="8"/>
      <c r="F2572" s="8"/>
      <c r="G2572" s="10" t="str">
        <f aca="false">IF($A2572="","",UPPER(SUBSTITUTE(SUBSTITUTE(SUBSTITUTE(SUBSTITUTE($A2572," ",""),"(주)",""),"주식회사",""),"㈜","")))</f>
        <v/>
      </c>
      <c r="H2572" s="10" t="str">
        <f aca="false">IF($B2572="","",SUBSTITUTE(SUBSTITUTE(SUBSTITUTE($B2572,"-","")," ",""),".",""))</f>
        <v/>
      </c>
      <c r="I2572" s="10" t="str">
        <f aca="false">IF($D2572="","",SUBSTITUTE(SUBSTITUTE(SUBSTITUTE($D2572,"-","")," ",""),".",""))</f>
        <v/>
      </c>
      <c r="J2572" s="10" t="str">
        <f aca="false">IF($E2572="","",UPPER(SUBSTITUTE($E2572," ","")))</f>
        <v/>
      </c>
      <c r="K2572" s="10" t="str">
        <f aca="false">IF($A2572="","",$G2572&amp;"|"&amp;$J2572)</f>
        <v/>
      </c>
      <c r="L2572" s="10" t="str">
        <f aca="false">IF($A2572="","",ROW()-2)</f>
        <v/>
      </c>
      <c r="M2572" s="10" t="str">
        <f aca="false">IF($A2572="","",ROW())</f>
        <v/>
      </c>
    </row>
    <row r="2573" customFormat="false" ht="15" hidden="false" customHeight="true" outlineLevel="0" collapsed="false">
      <c r="A2573" s="8"/>
      <c r="B2573" s="8"/>
      <c r="C2573" s="8"/>
      <c r="D2573" s="8"/>
      <c r="E2573" s="8"/>
      <c r="F2573" s="8"/>
      <c r="G2573" s="10" t="str">
        <f aca="false">IF($A2573="","",UPPER(SUBSTITUTE(SUBSTITUTE(SUBSTITUTE(SUBSTITUTE($A2573," ",""),"(주)",""),"주식회사",""),"㈜","")))</f>
        <v/>
      </c>
      <c r="H2573" s="10" t="str">
        <f aca="false">IF($B2573="","",SUBSTITUTE(SUBSTITUTE(SUBSTITUTE($B2573,"-","")," ",""),".",""))</f>
        <v/>
      </c>
      <c r="I2573" s="10" t="str">
        <f aca="false">IF($D2573="","",SUBSTITUTE(SUBSTITUTE(SUBSTITUTE($D2573,"-","")," ",""),".",""))</f>
        <v/>
      </c>
      <c r="J2573" s="10" t="str">
        <f aca="false">IF($E2573="","",UPPER(SUBSTITUTE($E2573," ","")))</f>
        <v/>
      </c>
      <c r="K2573" s="10" t="str">
        <f aca="false">IF($A2573="","",$G2573&amp;"|"&amp;$J2573)</f>
        <v/>
      </c>
      <c r="L2573" s="10" t="str">
        <f aca="false">IF($A2573="","",ROW()-2)</f>
        <v/>
      </c>
      <c r="M2573" s="10" t="str">
        <f aca="false">IF($A2573="","",ROW())</f>
        <v/>
      </c>
    </row>
    <row r="2574" customFormat="false" ht="15" hidden="false" customHeight="true" outlineLevel="0" collapsed="false">
      <c r="A2574" s="8"/>
      <c r="B2574" s="8"/>
      <c r="C2574" s="8"/>
      <c r="D2574" s="8"/>
      <c r="E2574" s="8"/>
      <c r="F2574" s="8"/>
      <c r="G2574" s="10" t="str">
        <f aca="false">IF($A2574="","",UPPER(SUBSTITUTE(SUBSTITUTE(SUBSTITUTE(SUBSTITUTE($A2574," ",""),"(주)",""),"주식회사",""),"㈜","")))</f>
        <v/>
      </c>
      <c r="H2574" s="10" t="str">
        <f aca="false">IF($B2574="","",SUBSTITUTE(SUBSTITUTE(SUBSTITUTE($B2574,"-","")," ",""),".",""))</f>
        <v/>
      </c>
      <c r="I2574" s="10" t="str">
        <f aca="false">IF($D2574="","",SUBSTITUTE(SUBSTITUTE(SUBSTITUTE($D2574,"-","")," ",""),".",""))</f>
        <v/>
      </c>
      <c r="J2574" s="10" t="str">
        <f aca="false">IF($E2574="","",UPPER(SUBSTITUTE($E2574," ","")))</f>
        <v/>
      </c>
      <c r="K2574" s="10" t="str">
        <f aca="false">IF($A2574="","",$G2574&amp;"|"&amp;$J2574)</f>
        <v/>
      </c>
      <c r="L2574" s="10" t="str">
        <f aca="false">IF($A2574="","",ROW()-2)</f>
        <v/>
      </c>
      <c r="M2574" s="10" t="str">
        <f aca="false">IF($A2574="","",ROW())</f>
        <v/>
      </c>
    </row>
    <row r="2575" customFormat="false" ht="15" hidden="false" customHeight="true" outlineLevel="0" collapsed="false">
      <c r="A2575" s="8"/>
      <c r="B2575" s="8"/>
      <c r="C2575" s="8"/>
      <c r="D2575" s="8"/>
      <c r="E2575" s="8"/>
      <c r="F2575" s="8"/>
      <c r="G2575" s="10" t="str">
        <f aca="false">IF($A2575="","",UPPER(SUBSTITUTE(SUBSTITUTE(SUBSTITUTE(SUBSTITUTE($A2575," ",""),"(주)",""),"주식회사",""),"㈜","")))</f>
        <v/>
      </c>
      <c r="H2575" s="10" t="str">
        <f aca="false">IF($B2575="","",SUBSTITUTE(SUBSTITUTE(SUBSTITUTE($B2575,"-","")," ",""),".",""))</f>
        <v/>
      </c>
      <c r="I2575" s="10" t="str">
        <f aca="false">IF($D2575="","",SUBSTITUTE(SUBSTITUTE(SUBSTITUTE($D2575,"-","")," ",""),".",""))</f>
        <v/>
      </c>
      <c r="J2575" s="10" t="str">
        <f aca="false">IF($E2575="","",UPPER(SUBSTITUTE($E2575," ","")))</f>
        <v/>
      </c>
      <c r="K2575" s="10" t="str">
        <f aca="false">IF($A2575="","",$G2575&amp;"|"&amp;$J2575)</f>
        <v/>
      </c>
      <c r="L2575" s="10" t="str">
        <f aca="false">IF($A2575="","",ROW()-2)</f>
        <v/>
      </c>
      <c r="M2575" s="10" t="str">
        <f aca="false">IF($A2575="","",ROW())</f>
        <v/>
      </c>
    </row>
    <row r="2576" customFormat="false" ht="15" hidden="false" customHeight="true" outlineLevel="0" collapsed="false">
      <c r="A2576" s="8"/>
      <c r="B2576" s="8"/>
      <c r="C2576" s="8"/>
      <c r="D2576" s="8"/>
      <c r="E2576" s="8"/>
      <c r="F2576" s="8"/>
      <c r="G2576" s="10" t="str">
        <f aca="false">IF($A2576="","",UPPER(SUBSTITUTE(SUBSTITUTE(SUBSTITUTE(SUBSTITUTE($A2576," ",""),"(주)",""),"주식회사",""),"㈜","")))</f>
        <v/>
      </c>
      <c r="H2576" s="10" t="str">
        <f aca="false">IF($B2576="","",SUBSTITUTE(SUBSTITUTE(SUBSTITUTE($B2576,"-","")," ",""),".",""))</f>
        <v/>
      </c>
      <c r="I2576" s="10" t="str">
        <f aca="false">IF($D2576="","",SUBSTITUTE(SUBSTITUTE(SUBSTITUTE($D2576,"-","")," ",""),".",""))</f>
        <v/>
      </c>
      <c r="J2576" s="10" t="str">
        <f aca="false">IF($E2576="","",UPPER(SUBSTITUTE($E2576," ","")))</f>
        <v/>
      </c>
      <c r="K2576" s="10" t="str">
        <f aca="false">IF($A2576="","",$G2576&amp;"|"&amp;$J2576)</f>
        <v/>
      </c>
      <c r="L2576" s="10" t="str">
        <f aca="false">IF($A2576="","",ROW()-2)</f>
        <v/>
      </c>
      <c r="M2576" s="10" t="str">
        <f aca="false">IF($A2576="","",ROW())</f>
        <v/>
      </c>
    </row>
    <row r="2577" customFormat="false" ht="15" hidden="false" customHeight="true" outlineLevel="0" collapsed="false">
      <c r="A2577" s="8"/>
      <c r="B2577" s="8"/>
      <c r="C2577" s="8"/>
      <c r="D2577" s="8"/>
      <c r="E2577" s="8"/>
      <c r="F2577" s="8"/>
      <c r="G2577" s="10" t="str">
        <f aca="false">IF($A2577="","",UPPER(SUBSTITUTE(SUBSTITUTE(SUBSTITUTE(SUBSTITUTE($A2577," ",""),"(주)",""),"주식회사",""),"㈜","")))</f>
        <v/>
      </c>
      <c r="H2577" s="10" t="str">
        <f aca="false">IF($B2577="","",SUBSTITUTE(SUBSTITUTE(SUBSTITUTE($B2577,"-","")," ",""),".",""))</f>
        <v/>
      </c>
      <c r="I2577" s="10" t="str">
        <f aca="false">IF($D2577="","",SUBSTITUTE(SUBSTITUTE(SUBSTITUTE($D2577,"-","")," ",""),".",""))</f>
        <v/>
      </c>
      <c r="J2577" s="10" t="str">
        <f aca="false">IF($E2577="","",UPPER(SUBSTITUTE($E2577," ","")))</f>
        <v/>
      </c>
      <c r="K2577" s="10" t="str">
        <f aca="false">IF($A2577="","",$G2577&amp;"|"&amp;$J2577)</f>
        <v/>
      </c>
      <c r="L2577" s="10" t="str">
        <f aca="false">IF($A2577="","",ROW()-2)</f>
        <v/>
      </c>
      <c r="M2577" s="10" t="str">
        <f aca="false">IF($A2577="","",ROW())</f>
        <v/>
      </c>
    </row>
    <row r="2578" customFormat="false" ht="15" hidden="false" customHeight="true" outlineLevel="0" collapsed="false">
      <c r="A2578" s="8"/>
      <c r="B2578" s="8"/>
      <c r="C2578" s="8"/>
      <c r="D2578" s="8"/>
      <c r="E2578" s="8"/>
      <c r="F2578" s="8"/>
      <c r="G2578" s="10" t="str">
        <f aca="false">IF($A2578="","",UPPER(SUBSTITUTE(SUBSTITUTE(SUBSTITUTE(SUBSTITUTE($A2578," ",""),"(주)",""),"주식회사",""),"㈜","")))</f>
        <v/>
      </c>
      <c r="H2578" s="10" t="str">
        <f aca="false">IF($B2578="","",SUBSTITUTE(SUBSTITUTE(SUBSTITUTE($B2578,"-","")," ",""),".",""))</f>
        <v/>
      </c>
      <c r="I2578" s="10" t="str">
        <f aca="false">IF($D2578="","",SUBSTITUTE(SUBSTITUTE(SUBSTITUTE($D2578,"-","")," ",""),".",""))</f>
        <v/>
      </c>
      <c r="J2578" s="10" t="str">
        <f aca="false">IF($E2578="","",UPPER(SUBSTITUTE($E2578," ","")))</f>
        <v/>
      </c>
      <c r="K2578" s="10" t="str">
        <f aca="false">IF($A2578="","",$G2578&amp;"|"&amp;$J2578)</f>
        <v/>
      </c>
      <c r="L2578" s="10" t="str">
        <f aca="false">IF($A2578="","",ROW()-2)</f>
        <v/>
      </c>
      <c r="M2578" s="10" t="str">
        <f aca="false">IF($A2578="","",ROW())</f>
        <v/>
      </c>
    </row>
    <row r="2579" customFormat="false" ht="15" hidden="false" customHeight="true" outlineLevel="0" collapsed="false">
      <c r="A2579" s="8"/>
      <c r="B2579" s="8"/>
      <c r="C2579" s="8"/>
      <c r="D2579" s="8"/>
      <c r="E2579" s="8"/>
      <c r="F2579" s="8"/>
      <c r="G2579" s="10" t="str">
        <f aca="false">IF($A2579="","",UPPER(SUBSTITUTE(SUBSTITUTE(SUBSTITUTE(SUBSTITUTE($A2579," ",""),"(주)",""),"주식회사",""),"㈜","")))</f>
        <v/>
      </c>
      <c r="H2579" s="10" t="str">
        <f aca="false">IF($B2579="","",SUBSTITUTE(SUBSTITUTE(SUBSTITUTE($B2579,"-","")," ",""),".",""))</f>
        <v/>
      </c>
      <c r="I2579" s="10" t="str">
        <f aca="false">IF($D2579="","",SUBSTITUTE(SUBSTITUTE(SUBSTITUTE($D2579,"-","")," ",""),".",""))</f>
        <v/>
      </c>
      <c r="J2579" s="10" t="str">
        <f aca="false">IF($E2579="","",UPPER(SUBSTITUTE($E2579," ","")))</f>
        <v/>
      </c>
      <c r="K2579" s="10" t="str">
        <f aca="false">IF($A2579="","",$G2579&amp;"|"&amp;$J2579)</f>
        <v/>
      </c>
      <c r="L2579" s="10" t="str">
        <f aca="false">IF($A2579="","",ROW()-2)</f>
        <v/>
      </c>
      <c r="M2579" s="10" t="str">
        <f aca="false">IF($A2579="","",ROW())</f>
        <v/>
      </c>
    </row>
    <row r="2580" customFormat="false" ht="15" hidden="false" customHeight="true" outlineLevel="0" collapsed="false">
      <c r="A2580" s="8"/>
      <c r="B2580" s="8"/>
      <c r="C2580" s="8"/>
      <c r="D2580" s="8"/>
      <c r="E2580" s="8"/>
      <c r="F2580" s="8"/>
      <c r="G2580" s="10" t="str">
        <f aca="false">IF($A2580="","",UPPER(SUBSTITUTE(SUBSTITUTE(SUBSTITUTE(SUBSTITUTE($A2580," ",""),"(주)",""),"주식회사",""),"㈜","")))</f>
        <v/>
      </c>
      <c r="H2580" s="10" t="str">
        <f aca="false">IF($B2580="","",SUBSTITUTE(SUBSTITUTE(SUBSTITUTE($B2580,"-","")," ",""),".",""))</f>
        <v/>
      </c>
      <c r="I2580" s="10" t="str">
        <f aca="false">IF($D2580="","",SUBSTITUTE(SUBSTITUTE(SUBSTITUTE($D2580,"-","")," ",""),".",""))</f>
        <v/>
      </c>
      <c r="J2580" s="10" t="str">
        <f aca="false">IF($E2580="","",UPPER(SUBSTITUTE($E2580," ","")))</f>
        <v/>
      </c>
      <c r="K2580" s="10" t="str">
        <f aca="false">IF($A2580="","",$G2580&amp;"|"&amp;$J2580)</f>
        <v/>
      </c>
      <c r="L2580" s="10" t="str">
        <f aca="false">IF($A2580="","",ROW()-2)</f>
        <v/>
      </c>
      <c r="M2580" s="10" t="str">
        <f aca="false">IF($A2580="","",ROW())</f>
        <v/>
      </c>
    </row>
    <row r="2581" customFormat="false" ht="15" hidden="false" customHeight="true" outlineLevel="0" collapsed="false">
      <c r="A2581" s="8"/>
      <c r="B2581" s="8"/>
      <c r="C2581" s="8"/>
      <c r="D2581" s="8"/>
      <c r="E2581" s="8"/>
      <c r="F2581" s="8"/>
      <c r="G2581" s="10" t="str">
        <f aca="false">IF($A2581="","",UPPER(SUBSTITUTE(SUBSTITUTE(SUBSTITUTE(SUBSTITUTE($A2581," ",""),"(주)",""),"주식회사",""),"㈜","")))</f>
        <v/>
      </c>
      <c r="H2581" s="10" t="str">
        <f aca="false">IF($B2581="","",SUBSTITUTE(SUBSTITUTE(SUBSTITUTE($B2581,"-","")," ",""),".",""))</f>
        <v/>
      </c>
      <c r="I2581" s="10" t="str">
        <f aca="false">IF($D2581="","",SUBSTITUTE(SUBSTITUTE(SUBSTITUTE($D2581,"-","")," ",""),".",""))</f>
        <v/>
      </c>
      <c r="J2581" s="10" t="str">
        <f aca="false">IF($E2581="","",UPPER(SUBSTITUTE($E2581," ","")))</f>
        <v/>
      </c>
      <c r="K2581" s="10" t="str">
        <f aca="false">IF($A2581="","",$G2581&amp;"|"&amp;$J2581)</f>
        <v/>
      </c>
      <c r="L2581" s="10" t="str">
        <f aca="false">IF($A2581="","",ROW()-2)</f>
        <v/>
      </c>
      <c r="M2581" s="10" t="str">
        <f aca="false">IF($A2581="","",ROW())</f>
        <v/>
      </c>
    </row>
    <row r="2582" customFormat="false" ht="15" hidden="false" customHeight="true" outlineLevel="0" collapsed="false">
      <c r="A2582" s="8"/>
      <c r="B2582" s="8"/>
      <c r="C2582" s="8"/>
      <c r="D2582" s="8"/>
      <c r="E2582" s="8"/>
      <c r="F2582" s="8"/>
      <c r="G2582" s="10" t="str">
        <f aca="false">IF($A2582="","",UPPER(SUBSTITUTE(SUBSTITUTE(SUBSTITUTE(SUBSTITUTE($A2582," ",""),"(주)",""),"주식회사",""),"㈜","")))</f>
        <v/>
      </c>
      <c r="H2582" s="10" t="str">
        <f aca="false">IF($B2582="","",SUBSTITUTE(SUBSTITUTE(SUBSTITUTE($B2582,"-","")," ",""),".",""))</f>
        <v/>
      </c>
      <c r="I2582" s="10" t="str">
        <f aca="false">IF($D2582="","",SUBSTITUTE(SUBSTITUTE(SUBSTITUTE($D2582,"-","")," ",""),".",""))</f>
        <v/>
      </c>
      <c r="J2582" s="10" t="str">
        <f aca="false">IF($E2582="","",UPPER(SUBSTITUTE($E2582," ","")))</f>
        <v/>
      </c>
      <c r="K2582" s="10" t="str">
        <f aca="false">IF($A2582="","",$G2582&amp;"|"&amp;$J2582)</f>
        <v/>
      </c>
      <c r="L2582" s="10" t="str">
        <f aca="false">IF($A2582="","",ROW()-2)</f>
        <v/>
      </c>
      <c r="M2582" s="10" t="str">
        <f aca="false">IF($A2582="","",ROW())</f>
        <v/>
      </c>
    </row>
    <row r="2583" customFormat="false" ht="15" hidden="false" customHeight="true" outlineLevel="0" collapsed="false">
      <c r="A2583" s="8"/>
      <c r="B2583" s="8"/>
      <c r="C2583" s="8"/>
      <c r="D2583" s="8"/>
      <c r="E2583" s="8"/>
      <c r="F2583" s="8"/>
      <c r="G2583" s="10" t="str">
        <f aca="false">IF($A2583="","",UPPER(SUBSTITUTE(SUBSTITUTE(SUBSTITUTE(SUBSTITUTE($A2583," ",""),"(주)",""),"주식회사",""),"㈜","")))</f>
        <v/>
      </c>
      <c r="H2583" s="10" t="str">
        <f aca="false">IF($B2583="","",SUBSTITUTE(SUBSTITUTE(SUBSTITUTE($B2583,"-","")," ",""),".",""))</f>
        <v/>
      </c>
      <c r="I2583" s="10" t="str">
        <f aca="false">IF($D2583="","",SUBSTITUTE(SUBSTITUTE(SUBSTITUTE($D2583,"-","")," ",""),".",""))</f>
        <v/>
      </c>
      <c r="J2583" s="10" t="str">
        <f aca="false">IF($E2583="","",UPPER(SUBSTITUTE($E2583," ","")))</f>
        <v/>
      </c>
      <c r="K2583" s="10" t="str">
        <f aca="false">IF($A2583="","",$G2583&amp;"|"&amp;$J2583)</f>
        <v/>
      </c>
      <c r="L2583" s="10" t="str">
        <f aca="false">IF($A2583="","",ROW()-2)</f>
        <v/>
      </c>
      <c r="M2583" s="10" t="str">
        <f aca="false">IF($A2583="","",ROW())</f>
        <v/>
      </c>
    </row>
    <row r="2584" customFormat="false" ht="15" hidden="false" customHeight="true" outlineLevel="0" collapsed="false">
      <c r="A2584" s="8"/>
      <c r="B2584" s="8"/>
      <c r="C2584" s="8"/>
      <c r="D2584" s="8"/>
      <c r="E2584" s="8"/>
      <c r="F2584" s="8"/>
      <c r="G2584" s="10" t="str">
        <f aca="false">IF($A2584="","",UPPER(SUBSTITUTE(SUBSTITUTE(SUBSTITUTE(SUBSTITUTE($A2584," ",""),"(주)",""),"주식회사",""),"㈜","")))</f>
        <v/>
      </c>
      <c r="H2584" s="10" t="str">
        <f aca="false">IF($B2584="","",SUBSTITUTE(SUBSTITUTE(SUBSTITUTE($B2584,"-","")," ",""),".",""))</f>
        <v/>
      </c>
      <c r="I2584" s="10" t="str">
        <f aca="false">IF($D2584="","",SUBSTITUTE(SUBSTITUTE(SUBSTITUTE($D2584,"-","")," ",""),".",""))</f>
        <v/>
      </c>
      <c r="J2584" s="10" t="str">
        <f aca="false">IF($E2584="","",UPPER(SUBSTITUTE($E2584," ","")))</f>
        <v/>
      </c>
      <c r="K2584" s="10" t="str">
        <f aca="false">IF($A2584="","",$G2584&amp;"|"&amp;$J2584)</f>
        <v/>
      </c>
      <c r="L2584" s="10" t="str">
        <f aca="false">IF($A2584="","",ROW()-2)</f>
        <v/>
      </c>
      <c r="M2584" s="10" t="str">
        <f aca="false">IF($A2584="","",ROW())</f>
        <v/>
      </c>
    </row>
    <row r="2585" customFormat="false" ht="15" hidden="false" customHeight="true" outlineLevel="0" collapsed="false">
      <c r="A2585" s="8"/>
      <c r="B2585" s="8"/>
      <c r="C2585" s="8"/>
      <c r="D2585" s="8"/>
      <c r="E2585" s="8"/>
      <c r="F2585" s="8"/>
      <c r="G2585" s="10" t="str">
        <f aca="false">IF($A2585="","",UPPER(SUBSTITUTE(SUBSTITUTE(SUBSTITUTE(SUBSTITUTE($A2585," ",""),"(주)",""),"주식회사",""),"㈜","")))</f>
        <v/>
      </c>
      <c r="H2585" s="10" t="str">
        <f aca="false">IF($B2585="","",SUBSTITUTE(SUBSTITUTE(SUBSTITUTE($B2585,"-","")," ",""),".",""))</f>
        <v/>
      </c>
      <c r="I2585" s="10" t="str">
        <f aca="false">IF($D2585="","",SUBSTITUTE(SUBSTITUTE(SUBSTITUTE($D2585,"-","")," ",""),".",""))</f>
        <v/>
      </c>
      <c r="J2585" s="10" t="str">
        <f aca="false">IF($E2585="","",UPPER(SUBSTITUTE($E2585," ","")))</f>
        <v/>
      </c>
      <c r="K2585" s="10" t="str">
        <f aca="false">IF($A2585="","",$G2585&amp;"|"&amp;$J2585)</f>
        <v/>
      </c>
      <c r="L2585" s="10" t="str">
        <f aca="false">IF($A2585="","",ROW()-2)</f>
        <v/>
      </c>
      <c r="M2585" s="10" t="str">
        <f aca="false">IF($A2585="","",ROW())</f>
        <v/>
      </c>
    </row>
    <row r="2586" customFormat="false" ht="15" hidden="false" customHeight="true" outlineLevel="0" collapsed="false">
      <c r="A2586" s="8"/>
      <c r="B2586" s="8"/>
      <c r="C2586" s="8"/>
      <c r="D2586" s="8"/>
      <c r="E2586" s="8"/>
      <c r="F2586" s="8"/>
      <c r="G2586" s="10" t="str">
        <f aca="false">IF($A2586="","",UPPER(SUBSTITUTE(SUBSTITUTE(SUBSTITUTE(SUBSTITUTE($A2586," ",""),"(주)",""),"주식회사",""),"㈜","")))</f>
        <v/>
      </c>
      <c r="H2586" s="10" t="str">
        <f aca="false">IF($B2586="","",SUBSTITUTE(SUBSTITUTE(SUBSTITUTE($B2586,"-","")," ",""),".",""))</f>
        <v/>
      </c>
      <c r="I2586" s="10" t="str">
        <f aca="false">IF($D2586="","",SUBSTITUTE(SUBSTITUTE(SUBSTITUTE($D2586,"-","")," ",""),".",""))</f>
        <v/>
      </c>
      <c r="J2586" s="10" t="str">
        <f aca="false">IF($E2586="","",UPPER(SUBSTITUTE($E2586," ","")))</f>
        <v/>
      </c>
      <c r="K2586" s="10" t="str">
        <f aca="false">IF($A2586="","",$G2586&amp;"|"&amp;$J2586)</f>
        <v/>
      </c>
      <c r="L2586" s="10" t="str">
        <f aca="false">IF($A2586="","",ROW()-2)</f>
        <v/>
      </c>
      <c r="M2586" s="10" t="str">
        <f aca="false">IF($A2586="","",ROW())</f>
        <v/>
      </c>
    </row>
    <row r="2587" customFormat="false" ht="15" hidden="false" customHeight="true" outlineLevel="0" collapsed="false">
      <c r="A2587" s="8"/>
      <c r="B2587" s="8"/>
      <c r="C2587" s="8"/>
      <c r="D2587" s="8"/>
      <c r="E2587" s="8"/>
      <c r="F2587" s="8"/>
      <c r="G2587" s="10" t="str">
        <f aca="false">IF($A2587="","",UPPER(SUBSTITUTE(SUBSTITUTE(SUBSTITUTE(SUBSTITUTE($A2587," ",""),"(주)",""),"주식회사",""),"㈜","")))</f>
        <v/>
      </c>
      <c r="H2587" s="10" t="str">
        <f aca="false">IF($B2587="","",SUBSTITUTE(SUBSTITUTE(SUBSTITUTE($B2587,"-","")," ",""),".",""))</f>
        <v/>
      </c>
      <c r="I2587" s="10" t="str">
        <f aca="false">IF($D2587="","",SUBSTITUTE(SUBSTITUTE(SUBSTITUTE($D2587,"-","")," ",""),".",""))</f>
        <v/>
      </c>
      <c r="J2587" s="10" t="str">
        <f aca="false">IF($E2587="","",UPPER(SUBSTITUTE($E2587," ","")))</f>
        <v/>
      </c>
      <c r="K2587" s="10" t="str">
        <f aca="false">IF($A2587="","",$G2587&amp;"|"&amp;$J2587)</f>
        <v/>
      </c>
      <c r="L2587" s="10" t="str">
        <f aca="false">IF($A2587="","",ROW()-2)</f>
        <v/>
      </c>
      <c r="M2587" s="10" t="str">
        <f aca="false">IF($A2587="","",ROW())</f>
        <v/>
      </c>
    </row>
    <row r="2588" customFormat="false" ht="15" hidden="false" customHeight="true" outlineLevel="0" collapsed="false">
      <c r="A2588" s="8"/>
      <c r="B2588" s="8"/>
      <c r="C2588" s="8"/>
      <c r="D2588" s="8"/>
      <c r="E2588" s="8"/>
      <c r="F2588" s="8"/>
      <c r="G2588" s="10" t="str">
        <f aca="false">IF($A2588="","",UPPER(SUBSTITUTE(SUBSTITUTE(SUBSTITUTE(SUBSTITUTE($A2588," ",""),"(주)",""),"주식회사",""),"㈜","")))</f>
        <v/>
      </c>
      <c r="H2588" s="10" t="str">
        <f aca="false">IF($B2588="","",SUBSTITUTE(SUBSTITUTE(SUBSTITUTE($B2588,"-","")," ",""),".",""))</f>
        <v/>
      </c>
      <c r="I2588" s="10" t="str">
        <f aca="false">IF($D2588="","",SUBSTITUTE(SUBSTITUTE(SUBSTITUTE($D2588,"-","")," ",""),".",""))</f>
        <v/>
      </c>
      <c r="J2588" s="10" t="str">
        <f aca="false">IF($E2588="","",UPPER(SUBSTITUTE($E2588," ","")))</f>
        <v/>
      </c>
      <c r="K2588" s="10" t="str">
        <f aca="false">IF($A2588="","",$G2588&amp;"|"&amp;$J2588)</f>
        <v/>
      </c>
      <c r="L2588" s="10" t="str">
        <f aca="false">IF($A2588="","",ROW()-2)</f>
        <v/>
      </c>
      <c r="M2588" s="10" t="str">
        <f aca="false">IF($A2588="","",ROW())</f>
        <v/>
      </c>
    </row>
    <row r="2589" customFormat="false" ht="15" hidden="false" customHeight="true" outlineLevel="0" collapsed="false">
      <c r="A2589" s="8"/>
      <c r="B2589" s="8"/>
      <c r="C2589" s="8"/>
      <c r="D2589" s="8"/>
      <c r="E2589" s="8"/>
      <c r="F2589" s="8"/>
      <c r="G2589" s="10" t="str">
        <f aca="false">IF($A2589="","",UPPER(SUBSTITUTE(SUBSTITUTE(SUBSTITUTE(SUBSTITUTE($A2589," ",""),"(주)",""),"주식회사",""),"㈜","")))</f>
        <v/>
      </c>
      <c r="H2589" s="10" t="str">
        <f aca="false">IF($B2589="","",SUBSTITUTE(SUBSTITUTE(SUBSTITUTE($B2589,"-","")," ",""),".",""))</f>
        <v/>
      </c>
      <c r="I2589" s="10" t="str">
        <f aca="false">IF($D2589="","",SUBSTITUTE(SUBSTITUTE(SUBSTITUTE($D2589,"-","")," ",""),".",""))</f>
        <v/>
      </c>
      <c r="J2589" s="10" t="str">
        <f aca="false">IF($E2589="","",UPPER(SUBSTITUTE($E2589," ","")))</f>
        <v/>
      </c>
      <c r="K2589" s="10" t="str">
        <f aca="false">IF($A2589="","",$G2589&amp;"|"&amp;$J2589)</f>
        <v/>
      </c>
      <c r="L2589" s="10" t="str">
        <f aca="false">IF($A2589="","",ROW()-2)</f>
        <v/>
      </c>
      <c r="M2589" s="10" t="str">
        <f aca="false">IF($A2589="","",ROW())</f>
        <v/>
      </c>
    </row>
    <row r="2590" customFormat="false" ht="15" hidden="false" customHeight="true" outlineLevel="0" collapsed="false">
      <c r="A2590" s="8"/>
      <c r="B2590" s="8"/>
      <c r="C2590" s="8"/>
      <c r="D2590" s="8"/>
      <c r="E2590" s="8"/>
      <c r="F2590" s="8"/>
      <c r="G2590" s="10" t="str">
        <f aca="false">IF($A2590="","",UPPER(SUBSTITUTE(SUBSTITUTE(SUBSTITUTE(SUBSTITUTE($A2590," ",""),"(주)",""),"주식회사",""),"㈜","")))</f>
        <v/>
      </c>
      <c r="H2590" s="10" t="str">
        <f aca="false">IF($B2590="","",SUBSTITUTE(SUBSTITUTE(SUBSTITUTE($B2590,"-","")," ",""),".",""))</f>
        <v/>
      </c>
      <c r="I2590" s="10" t="str">
        <f aca="false">IF($D2590="","",SUBSTITUTE(SUBSTITUTE(SUBSTITUTE($D2590,"-","")," ",""),".",""))</f>
        <v/>
      </c>
      <c r="J2590" s="10" t="str">
        <f aca="false">IF($E2590="","",UPPER(SUBSTITUTE($E2590," ","")))</f>
        <v/>
      </c>
      <c r="K2590" s="10" t="str">
        <f aca="false">IF($A2590="","",$G2590&amp;"|"&amp;$J2590)</f>
        <v/>
      </c>
      <c r="L2590" s="10" t="str">
        <f aca="false">IF($A2590="","",ROW()-2)</f>
        <v/>
      </c>
      <c r="M2590" s="10" t="str">
        <f aca="false">IF($A2590="","",ROW())</f>
        <v/>
      </c>
    </row>
    <row r="2591" customFormat="false" ht="15" hidden="false" customHeight="true" outlineLevel="0" collapsed="false">
      <c r="A2591" s="8"/>
      <c r="B2591" s="8"/>
      <c r="C2591" s="8"/>
      <c r="D2591" s="8"/>
      <c r="E2591" s="8"/>
      <c r="F2591" s="8"/>
      <c r="G2591" s="10" t="str">
        <f aca="false">IF($A2591="","",UPPER(SUBSTITUTE(SUBSTITUTE(SUBSTITUTE(SUBSTITUTE($A2591," ",""),"(주)",""),"주식회사",""),"㈜","")))</f>
        <v/>
      </c>
      <c r="H2591" s="10" t="str">
        <f aca="false">IF($B2591="","",SUBSTITUTE(SUBSTITUTE(SUBSTITUTE($B2591,"-","")," ",""),".",""))</f>
        <v/>
      </c>
      <c r="I2591" s="10" t="str">
        <f aca="false">IF($D2591="","",SUBSTITUTE(SUBSTITUTE(SUBSTITUTE($D2591,"-","")," ",""),".",""))</f>
        <v/>
      </c>
      <c r="J2591" s="10" t="str">
        <f aca="false">IF($E2591="","",UPPER(SUBSTITUTE($E2591," ","")))</f>
        <v/>
      </c>
      <c r="K2591" s="10" t="str">
        <f aca="false">IF($A2591="","",$G2591&amp;"|"&amp;$J2591)</f>
        <v/>
      </c>
      <c r="L2591" s="10" t="str">
        <f aca="false">IF($A2591="","",ROW()-2)</f>
        <v/>
      </c>
      <c r="M2591" s="10" t="str">
        <f aca="false">IF($A2591="","",ROW())</f>
        <v/>
      </c>
    </row>
    <row r="2592" customFormat="false" ht="15" hidden="false" customHeight="true" outlineLevel="0" collapsed="false">
      <c r="A2592" s="8"/>
      <c r="B2592" s="8"/>
      <c r="C2592" s="8"/>
      <c r="D2592" s="8"/>
      <c r="E2592" s="8"/>
      <c r="F2592" s="8"/>
      <c r="G2592" s="10" t="str">
        <f aca="false">IF($A2592="","",UPPER(SUBSTITUTE(SUBSTITUTE(SUBSTITUTE(SUBSTITUTE($A2592," ",""),"(주)",""),"주식회사",""),"㈜","")))</f>
        <v/>
      </c>
      <c r="H2592" s="10" t="str">
        <f aca="false">IF($B2592="","",SUBSTITUTE(SUBSTITUTE(SUBSTITUTE($B2592,"-","")," ",""),".",""))</f>
        <v/>
      </c>
      <c r="I2592" s="10" t="str">
        <f aca="false">IF($D2592="","",SUBSTITUTE(SUBSTITUTE(SUBSTITUTE($D2592,"-","")," ",""),".",""))</f>
        <v/>
      </c>
      <c r="J2592" s="10" t="str">
        <f aca="false">IF($E2592="","",UPPER(SUBSTITUTE($E2592," ","")))</f>
        <v/>
      </c>
      <c r="K2592" s="10" t="str">
        <f aca="false">IF($A2592="","",$G2592&amp;"|"&amp;$J2592)</f>
        <v/>
      </c>
      <c r="L2592" s="10" t="str">
        <f aca="false">IF($A2592="","",ROW()-2)</f>
        <v/>
      </c>
      <c r="M2592" s="10" t="str">
        <f aca="false">IF($A2592="","",ROW())</f>
        <v/>
      </c>
    </row>
    <row r="2593" customFormat="false" ht="15" hidden="false" customHeight="true" outlineLevel="0" collapsed="false">
      <c r="A2593" s="8"/>
      <c r="B2593" s="8"/>
      <c r="C2593" s="8"/>
      <c r="D2593" s="8"/>
      <c r="E2593" s="8"/>
      <c r="F2593" s="8"/>
      <c r="G2593" s="10" t="str">
        <f aca="false">IF($A2593="","",UPPER(SUBSTITUTE(SUBSTITUTE(SUBSTITUTE(SUBSTITUTE($A2593," ",""),"(주)",""),"주식회사",""),"㈜","")))</f>
        <v/>
      </c>
      <c r="H2593" s="10" t="str">
        <f aca="false">IF($B2593="","",SUBSTITUTE(SUBSTITUTE(SUBSTITUTE($B2593,"-","")," ",""),".",""))</f>
        <v/>
      </c>
      <c r="I2593" s="10" t="str">
        <f aca="false">IF($D2593="","",SUBSTITUTE(SUBSTITUTE(SUBSTITUTE($D2593,"-","")," ",""),".",""))</f>
        <v/>
      </c>
      <c r="J2593" s="10" t="str">
        <f aca="false">IF($E2593="","",UPPER(SUBSTITUTE($E2593," ","")))</f>
        <v/>
      </c>
      <c r="K2593" s="10" t="str">
        <f aca="false">IF($A2593="","",$G2593&amp;"|"&amp;$J2593)</f>
        <v/>
      </c>
      <c r="L2593" s="10" t="str">
        <f aca="false">IF($A2593="","",ROW()-2)</f>
        <v/>
      </c>
      <c r="M2593" s="10" t="str">
        <f aca="false">IF($A2593="","",ROW())</f>
        <v/>
      </c>
    </row>
    <row r="2594" customFormat="false" ht="15" hidden="false" customHeight="true" outlineLevel="0" collapsed="false">
      <c r="A2594" s="8"/>
      <c r="B2594" s="8"/>
      <c r="C2594" s="8"/>
      <c r="D2594" s="8"/>
      <c r="E2594" s="8"/>
      <c r="F2594" s="8"/>
      <c r="G2594" s="10" t="str">
        <f aca="false">IF($A2594="","",UPPER(SUBSTITUTE(SUBSTITUTE(SUBSTITUTE(SUBSTITUTE($A2594," ",""),"(주)",""),"주식회사",""),"㈜","")))</f>
        <v/>
      </c>
      <c r="H2594" s="10" t="str">
        <f aca="false">IF($B2594="","",SUBSTITUTE(SUBSTITUTE(SUBSTITUTE($B2594,"-","")," ",""),".",""))</f>
        <v/>
      </c>
      <c r="I2594" s="10" t="str">
        <f aca="false">IF($D2594="","",SUBSTITUTE(SUBSTITUTE(SUBSTITUTE($D2594,"-","")," ",""),".",""))</f>
        <v/>
      </c>
      <c r="J2594" s="10" t="str">
        <f aca="false">IF($E2594="","",UPPER(SUBSTITUTE($E2594," ","")))</f>
        <v/>
      </c>
      <c r="K2594" s="10" t="str">
        <f aca="false">IF($A2594="","",$G2594&amp;"|"&amp;$J2594)</f>
        <v/>
      </c>
      <c r="L2594" s="10" t="str">
        <f aca="false">IF($A2594="","",ROW()-2)</f>
        <v/>
      </c>
      <c r="M2594" s="10" t="str">
        <f aca="false">IF($A2594="","",ROW())</f>
        <v/>
      </c>
    </row>
    <row r="2595" customFormat="false" ht="15" hidden="false" customHeight="true" outlineLevel="0" collapsed="false">
      <c r="A2595" s="8"/>
      <c r="B2595" s="8"/>
      <c r="C2595" s="8"/>
      <c r="D2595" s="8"/>
      <c r="E2595" s="8"/>
      <c r="F2595" s="8"/>
      <c r="G2595" s="10" t="str">
        <f aca="false">IF($A2595="","",UPPER(SUBSTITUTE(SUBSTITUTE(SUBSTITUTE(SUBSTITUTE($A2595," ",""),"(주)",""),"주식회사",""),"㈜","")))</f>
        <v/>
      </c>
      <c r="H2595" s="10" t="str">
        <f aca="false">IF($B2595="","",SUBSTITUTE(SUBSTITUTE(SUBSTITUTE($B2595,"-","")," ",""),".",""))</f>
        <v/>
      </c>
      <c r="I2595" s="10" t="str">
        <f aca="false">IF($D2595="","",SUBSTITUTE(SUBSTITUTE(SUBSTITUTE($D2595,"-","")," ",""),".",""))</f>
        <v/>
      </c>
      <c r="J2595" s="10" t="str">
        <f aca="false">IF($E2595="","",UPPER(SUBSTITUTE($E2595," ","")))</f>
        <v/>
      </c>
      <c r="K2595" s="10" t="str">
        <f aca="false">IF($A2595="","",$G2595&amp;"|"&amp;$J2595)</f>
        <v/>
      </c>
      <c r="L2595" s="10" t="str">
        <f aca="false">IF($A2595="","",ROW()-2)</f>
        <v/>
      </c>
      <c r="M2595" s="10" t="str">
        <f aca="false">IF($A2595="","",ROW())</f>
        <v/>
      </c>
    </row>
    <row r="2596" customFormat="false" ht="15" hidden="false" customHeight="true" outlineLevel="0" collapsed="false">
      <c r="A2596" s="8"/>
      <c r="B2596" s="8"/>
      <c r="C2596" s="8"/>
      <c r="D2596" s="8"/>
      <c r="E2596" s="8"/>
      <c r="F2596" s="8"/>
      <c r="G2596" s="10" t="str">
        <f aca="false">IF($A2596="","",UPPER(SUBSTITUTE(SUBSTITUTE(SUBSTITUTE(SUBSTITUTE($A2596," ",""),"(주)",""),"주식회사",""),"㈜","")))</f>
        <v/>
      </c>
      <c r="H2596" s="10" t="str">
        <f aca="false">IF($B2596="","",SUBSTITUTE(SUBSTITUTE(SUBSTITUTE($B2596,"-","")," ",""),".",""))</f>
        <v/>
      </c>
      <c r="I2596" s="10" t="str">
        <f aca="false">IF($D2596="","",SUBSTITUTE(SUBSTITUTE(SUBSTITUTE($D2596,"-","")," ",""),".",""))</f>
        <v/>
      </c>
      <c r="J2596" s="10" t="str">
        <f aca="false">IF($E2596="","",UPPER(SUBSTITUTE($E2596," ","")))</f>
        <v/>
      </c>
      <c r="K2596" s="10" t="str">
        <f aca="false">IF($A2596="","",$G2596&amp;"|"&amp;$J2596)</f>
        <v/>
      </c>
      <c r="L2596" s="10" t="str">
        <f aca="false">IF($A2596="","",ROW()-2)</f>
        <v/>
      </c>
      <c r="M2596" s="10" t="str">
        <f aca="false">IF($A2596="","",ROW())</f>
        <v/>
      </c>
    </row>
    <row r="2597" customFormat="false" ht="15" hidden="false" customHeight="true" outlineLevel="0" collapsed="false">
      <c r="A2597" s="8"/>
      <c r="B2597" s="8"/>
      <c r="C2597" s="8"/>
      <c r="D2597" s="8"/>
      <c r="E2597" s="8"/>
      <c r="F2597" s="8"/>
      <c r="G2597" s="10" t="str">
        <f aca="false">IF($A2597="","",UPPER(SUBSTITUTE(SUBSTITUTE(SUBSTITUTE(SUBSTITUTE($A2597," ",""),"(주)",""),"주식회사",""),"㈜","")))</f>
        <v/>
      </c>
      <c r="H2597" s="10" t="str">
        <f aca="false">IF($B2597="","",SUBSTITUTE(SUBSTITUTE(SUBSTITUTE($B2597,"-","")," ",""),".",""))</f>
        <v/>
      </c>
      <c r="I2597" s="10" t="str">
        <f aca="false">IF($D2597="","",SUBSTITUTE(SUBSTITUTE(SUBSTITUTE($D2597,"-","")," ",""),".",""))</f>
        <v/>
      </c>
      <c r="J2597" s="10" t="str">
        <f aca="false">IF($E2597="","",UPPER(SUBSTITUTE($E2597," ","")))</f>
        <v/>
      </c>
      <c r="K2597" s="10" t="str">
        <f aca="false">IF($A2597="","",$G2597&amp;"|"&amp;$J2597)</f>
        <v/>
      </c>
      <c r="L2597" s="10" t="str">
        <f aca="false">IF($A2597="","",ROW()-2)</f>
        <v/>
      </c>
      <c r="M2597" s="10" t="str">
        <f aca="false">IF($A2597="","",ROW())</f>
        <v/>
      </c>
    </row>
    <row r="2598" customFormat="false" ht="15" hidden="false" customHeight="true" outlineLevel="0" collapsed="false">
      <c r="A2598" s="8"/>
      <c r="B2598" s="8"/>
      <c r="C2598" s="8"/>
      <c r="D2598" s="8"/>
      <c r="E2598" s="8"/>
      <c r="F2598" s="8"/>
      <c r="G2598" s="10" t="str">
        <f aca="false">IF($A2598="","",UPPER(SUBSTITUTE(SUBSTITUTE(SUBSTITUTE(SUBSTITUTE($A2598," ",""),"(주)",""),"주식회사",""),"㈜","")))</f>
        <v/>
      </c>
      <c r="H2598" s="10" t="str">
        <f aca="false">IF($B2598="","",SUBSTITUTE(SUBSTITUTE(SUBSTITUTE($B2598,"-","")," ",""),".",""))</f>
        <v/>
      </c>
      <c r="I2598" s="10" t="str">
        <f aca="false">IF($D2598="","",SUBSTITUTE(SUBSTITUTE(SUBSTITUTE($D2598,"-","")," ",""),".",""))</f>
        <v/>
      </c>
      <c r="J2598" s="10" t="str">
        <f aca="false">IF($E2598="","",UPPER(SUBSTITUTE($E2598," ","")))</f>
        <v/>
      </c>
      <c r="K2598" s="10" t="str">
        <f aca="false">IF($A2598="","",$G2598&amp;"|"&amp;$J2598)</f>
        <v/>
      </c>
      <c r="L2598" s="10" t="str">
        <f aca="false">IF($A2598="","",ROW()-2)</f>
        <v/>
      </c>
      <c r="M2598" s="10" t="str">
        <f aca="false">IF($A2598="","",ROW())</f>
        <v/>
      </c>
    </row>
    <row r="2599" customFormat="false" ht="15" hidden="false" customHeight="true" outlineLevel="0" collapsed="false">
      <c r="A2599" s="8"/>
      <c r="B2599" s="8"/>
      <c r="C2599" s="8"/>
      <c r="D2599" s="8"/>
      <c r="E2599" s="8"/>
      <c r="F2599" s="8"/>
      <c r="G2599" s="10" t="str">
        <f aca="false">IF($A2599="","",UPPER(SUBSTITUTE(SUBSTITUTE(SUBSTITUTE(SUBSTITUTE($A2599," ",""),"(주)",""),"주식회사",""),"㈜","")))</f>
        <v/>
      </c>
      <c r="H2599" s="10" t="str">
        <f aca="false">IF($B2599="","",SUBSTITUTE(SUBSTITUTE(SUBSTITUTE($B2599,"-","")," ",""),".",""))</f>
        <v/>
      </c>
      <c r="I2599" s="10" t="str">
        <f aca="false">IF($D2599="","",SUBSTITUTE(SUBSTITUTE(SUBSTITUTE($D2599,"-","")," ",""),".",""))</f>
        <v/>
      </c>
      <c r="J2599" s="10" t="str">
        <f aca="false">IF($E2599="","",UPPER(SUBSTITUTE($E2599," ","")))</f>
        <v/>
      </c>
      <c r="K2599" s="10" t="str">
        <f aca="false">IF($A2599="","",$G2599&amp;"|"&amp;$J2599)</f>
        <v/>
      </c>
      <c r="L2599" s="10" t="str">
        <f aca="false">IF($A2599="","",ROW()-2)</f>
        <v/>
      </c>
      <c r="M2599" s="10" t="str">
        <f aca="false">IF($A2599="","",ROW())</f>
        <v/>
      </c>
    </row>
    <row r="2600" customFormat="false" ht="15" hidden="false" customHeight="true" outlineLevel="0" collapsed="false">
      <c r="A2600" s="8"/>
      <c r="B2600" s="8"/>
      <c r="C2600" s="8"/>
      <c r="D2600" s="8"/>
      <c r="E2600" s="8"/>
      <c r="F2600" s="8"/>
      <c r="G2600" s="10" t="str">
        <f aca="false">IF($A2600="","",UPPER(SUBSTITUTE(SUBSTITUTE(SUBSTITUTE(SUBSTITUTE($A2600," ",""),"(주)",""),"주식회사",""),"㈜","")))</f>
        <v/>
      </c>
      <c r="H2600" s="10" t="str">
        <f aca="false">IF($B2600="","",SUBSTITUTE(SUBSTITUTE(SUBSTITUTE($B2600,"-","")," ",""),".",""))</f>
        <v/>
      </c>
      <c r="I2600" s="10" t="str">
        <f aca="false">IF($D2600="","",SUBSTITUTE(SUBSTITUTE(SUBSTITUTE($D2600,"-","")," ",""),".",""))</f>
        <v/>
      </c>
      <c r="J2600" s="10" t="str">
        <f aca="false">IF($E2600="","",UPPER(SUBSTITUTE($E2600," ","")))</f>
        <v/>
      </c>
      <c r="K2600" s="10" t="str">
        <f aca="false">IF($A2600="","",$G2600&amp;"|"&amp;$J2600)</f>
        <v/>
      </c>
      <c r="L2600" s="10" t="str">
        <f aca="false">IF($A2600="","",ROW()-2)</f>
        <v/>
      </c>
      <c r="M2600" s="10" t="str">
        <f aca="false">IF($A2600="","",ROW())</f>
        <v/>
      </c>
    </row>
    <row r="2601" customFormat="false" ht="15" hidden="false" customHeight="true" outlineLevel="0" collapsed="false">
      <c r="A2601" s="8"/>
      <c r="B2601" s="8"/>
      <c r="C2601" s="8"/>
      <c r="D2601" s="8"/>
      <c r="E2601" s="8"/>
      <c r="F2601" s="8"/>
      <c r="G2601" s="10" t="str">
        <f aca="false">IF($A2601="","",UPPER(SUBSTITUTE(SUBSTITUTE(SUBSTITUTE(SUBSTITUTE($A2601," ",""),"(주)",""),"주식회사",""),"㈜","")))</f>
        <v/>
      </c>
      <c r="H2601" s="10" t="str">
        <f aca="false">IF($B2601="","",SUBSTITUTE(SUBSTITUTE(SUBSTITUTE($B2601,"-","")," ",""),".",""))</f>
        <v/>
      </c>
      <c r="I2601" s="10" t="str">
        <f aca="false">IF($D2601="","",SUBSTITUTE(SUBSTITUTE(SUBSTITUTE($D2601,"-","")," ",""),".",""))</f>
        <v/>
      </c>
      <c r="J2601" s="10" t="str">
        <f aca="false">IF($E2601="","",UPPER(SUBSTITUTE($E2601," ","")))</f>
        <v/>
      </c>
      <c r="K2601" s="10" t="str">
        <f aca="false">IF($A2601="","",$G2601&amp;"|"&amp;$J2601)</f>
        <v/>
      </c>
      <c r="L2601" s="10" t="str">
        <f aca="false">IF($A2601="","",ROW()-2)</f>
        <v/>
      </c>
      <c r="M2601" s="10" t="str">
        <f aca="false">IF($A2601="","",ROW())</f>
        <v/>
      </c>
    </row>
    <row r="2602" customFormat="false" ht="15" hidden="false" customHeight="true" outlineLevel="0" collapsed="false">
      <c r="A2602" s="8"/>
      <c r="B2602" s="8"/>
      <c r="C2602" s="8"/>
      <c r="D2602" s="8"/>
      <c r="E2602" s="8"/>
      <c r="F2602" s="8"/>
      <c r="G2602" s="10" t="str">
        <f aca="false">IF($A2602="","",UPPER(SUBSTITUTE(SUBSTITUTE(SUBSTITUTE(SUBSTITUTE($A2602," ",""),"(주)",""),"주식회사",""),"㈜","")))</f>
        <v/>
      </c>
      <c r="H2602" s="10" t="str">
        <f aca="false">IF($B2602="","",SUBSTITUTE(SUBSTITUTE(SUBSTITUTE($B2602,"-","")," ",""),".",""))</f>
        <v/>
      </c>
      <c r="I2602" s="10" t="str">
        <f aca="false">IF($D2602="","",SUBSTITUTE(SUBSTITUTE(SUBSTITUTE($D2602,"-","")," ",""),".",""))</f>
        <v/>
      </c>
      <c r="J2602" s="10" t="str">
        <f aca="false">IF($E2602="","",UPPER(SUBSTITUTE($E2602," ","")))</f>
        <v/>
      </c>
      <c r="K2602" s="10" t="str">
        <f aca="false">IF($A2602="","",$G2602&amp;"|"&amp;$J2602)</f>
        <v/>
      </c>
      <c r="L2602" s="10" t="str">
        <f aca="false">IF($A2602="","",ROW()-2)</f>
        <v/>
      </c>
      <c r="M2602" s="10" t="str">
        <f aca="false">IF($A2602="","",ROW())</f>
        <v/>
      </c>
    </row>
    <row r="2603" customFormat="false" ht="15" hidden="false" customHeight="true" outlineLevel="0" collapsed="false">
      <c r="A2603" s="8"/>
      <c r="B2603" s="8"/>
      <c r="C2603" s="8"/>
      <c r="D2603" s="8"/>
      <c r="E2603" s="8"/>
      <c r="F2603" s="8"/>
      <c r="G2603" s="10" t="str">
        <f aca="false">IF($A2603="","",UPPER(SUBSTITUTE(SUBSTITUTE(SUBSTITUTE(SUBSTITUTE($A2603," ",""),"(주)",""),"주식회사",""),"㈜","")))</f>
        <v/>
      </c>
      <c r="H2603" s="10" t="str">
        <f aca="false">IF($B2603="","",SUBSTITUTE(SUBSTITUTE(SUBSTITUTE($B2603,"-","")," ",""),".",""))</f>
        <v/>
      </c>
      <c r="I2603" s="10" t="str">
        <f aca="false">IF($D2603="","",SUBSTITUTE(SUBSTITUTE(SUBSTITUTE($D2603,"-","")," ",""),".",""))</f>
        <v/>
      </c>
      <c r="J2603" s="10" t="str">
        <f aca="false">IF($E2603="","",UPPER(SUBSTITUTE($E2603," ","")))</f>
        <v/>
      </c>
      <c r="K2603" s="10" t="str">
        <f aca="false">IF($A2603="","",$G2603&amp;"|"&amp;$J2603)</f>
        <v/>
      </c>
      <c r="L2603" s="10" t="str">
        <f aca="false">IF($A2603="","",ROW()-2)</f>
        <v/>
      </c>
      <c r="M2603" s="10" t="str">
        <f aca="false">IF($A2603="","",ROW())</f>
        <v/>
      </c>
    </row>
    <row r="2604" customFormat="false" ht="15" hidden="false" customHeight="true" outlineLevel="0" collapsed="false">
      <c r="A2604" s="8"/>
      <c r="B2604" s="8"/>
      <c r="C2604" s="8"/>
      <c r="D2604" s="8"/>
      <c r="E2604" s="8"/>
      <c r="F2604" s="8"/>
      <c r="G2604" s="10" t="str">
        <f aca="false">IF($A2604="","",UPPER(SUBSTITUTE(SUBSTITUTE(SUBSTITUTE(SUBSTITUTE($A2604," ",""),"(주)",""),"주식회사",""),"㈜","")))</f>
        <v/>
      </c>
      <c r="H2604" s="10" t="str">
        <f aca="false">IF($B2604="","",SUBSTITUTE(SUBSTITUTE(SUBSTITUTE($B2604,"-","")," ",""),".",""))</f>
        <v/>
      </c>
      <c r="I2604" s="10" t="str">
        <f aca="false">IF($D2604="","",SUBSTITUTE(SUBSTITUTE(SUBSTITUTE($D2604,"-","")," ",""),".",""))</f>
        <v/>
      </c>
      <c r="J2604" s="10" t="str">
        <f aca="false">IF($E2604="","",UPPER(SUBSTITUTE($E2604," ","")))</f>
        <v/>
      </c>
      <c r="K2604" s="10" t="str">
        <f aca="false">IF($A2604="","",$G2604&amp;"|"&amp;$J2604)</f>
        <v/>
      </c>
      <c r="L2604" s="10" t="str">
        <f aca="false">IF($A2604="","",ROW()-2)</f>
        <v/>
      </c>
      <c r="M2604" s="10" t="str">
        <f aca="false">IF($A2604="","",ROW())</f>
        <v/>
      </c>
    </row>
    <row r="2605" customFormat="false" ht="15" hidden="false" customHeight="true" outlineLevel="0" collapsed="false">
      <c r="A2605" s="8"/>
      <c r="B2605" s="8"/>
      <c r="C2605" s="8"/>
      <c r="D2605" s="8"/>
      <c r="E2605" s="8"/>
      <c r="F2605" s="8"/>
      <c r="G2605" s="10" t="str">
        <f aca="false">IF($A2605="","",UPPER(SUBSTITUTE(SUBSTITUTE(SUBSTITUTE(SUBSTITUTE($A2605," ",""),"(주)",""),"주식회사",""),"㈜","")))</f>
        <v/>
      </c>
      <c r="H2605" s="10" t="str">
        <f aca="false">IF($B2605="","",SUBSTITUTE(SUBSTITUTE(SUBSTITUTE($B2605,"-","")," ",""),".",""))</f>
        <v/>
      </c>
      <c r="I2605" s="10" t="str">
        <f aca="false">IF($D2605="","",SUBSTITUTE(SUBSTITUTE(SUBSTITUTE($D2605,"-","")," ",""),".",""))</f>
        <v/>
      </c>
      <c r="J2605" s="10" t="str">
        <f aca="false">IF($E2605="","",UPPER(SUBSTITUTE($E2605," ","")))</f>
        <v/>
      </c>
      <c r="K2605" s="10" t="str">
        <f aca="false">IF($A2605="","",$G2605&amp;"|"&amp;$J2605)</f>
        <v/>
      </c>
      <c r="L2605" s="10" t="str">
        <f aca="false">IF($A2605="","",ROW()-2)</f>
        <v/>
      </c>
      <c r="M2605" s="10" t="str">
        <f aca="false">IF($A2605="","",ROW())</f>
        <v/>
      </c>
    </row>
    <row r="2606" customFormat="false" ht="15" hidden="false" customHeight="true" outlineLevel="0" collapsed="false">
      <c r="A2606" s="8"/>
      <c r="B2606" s="8"/>
      <c r="C2606" s="8"/>
      <c r="D2606" s="8"/>
      <c r="E2606" s="8"/>
      <c r="F2606" s="8"/>
      <c r="G2606" s="10" t="str">
        <f aca="false">IF($A2606="","",UPPER(SUBSTITUTE(SUBSTITUTE(SUBSTITUTE(SUBSTITUTE($A2606," ",""),"(주)",""),"주식회사",""),"㈜","")))</f>
        <v/>
      </c>
      <c r="H2606" s="10" t="str">
        <f aca="false">IF($B2606="","",SUBSTITUTE(SUBSTITUTE(SUBSTITUTE($B2606,"-","")," ",""),".",""))</f>
        <v/>
      </c>
      <c r="I2606" s="10" t="str">
        <f aca="false">IF($D2606="","",SUBSTITUTE(SUBSTITUTE(SUBSTITUTE($D2606,"-","")," ",""),".",""))</f>
        <v/>
      </c>
      <c r="J2606" s="10" t="str">
        <f aca="false">IF($E2606="","",UPPER(SUBSTITUTE($E2606," ","")))</f>
        <v/>
      </c>
      <c r="K2606" s="10" t="str">
        <f aca="false">IF($A2606="","",$G2606&amp;"|"&amp;$J2606)</f>
        <v/>
      </c>
      <c r="L2606" s="10" t="str">
        <f aca="false">IF($A2606="","",ROW()-2)</f>
        <v/>
      </c>
      <c r="M2606" s="10" t="str">
        <f aca="false">IF($A2606="","",ROW())</f>
        <v/>
      </c>
    </row>
    <row r="2607" customFormat="false" ht="15" hidden="false" customHeight="true" outlineLevel="0" collapsed="false">
      <c r="A2607" s="8"/>
      <c r="B2607" s="8"/>
      <c r="C2607" s="8"/>
      <c r="D2607" s="8"/>
      <c r="E2607" s="8"/>
      <c r="F2607" s="8"/>
      <c r="G2607" s="10" t="str">
        <f aca="false">IF($A2607="","",UPPER(SUBSTITUTE(SUBSTITUTE(SUBSTITUTE(SUBSTITUTE($A2607," ",""),"(주)",""),"주식회사",""),"㈜","")))</f>
        <v/>
      </c>
      <c r="H2607" s="10" t="str">
        <f aca="false">IF($B2607="","",SUBSTITUTE(SUBSTITUTE(SUBSTITUTE($B2607,"-","")," ",""),".",""))</f>
        <v/>
      </c>
      <c r="I2607" s="10" t="str">
        <f aca="false">IF($D2607="","",SUBSTITUTE(SUBSTITUTE(SUBSTITUTE($D2607,"-","")," ",""),".",""))</f>
        <v/>
      </c>
      <c r="J2607" s="10" t="str">
        <f aca="false">IF($E2607="","",UPPER(SUBSTITUTE($E2607," ","")))</f>
        <v/>
      </c>
      <c r="K2607" s="10" t="str">
        <f aca="false">IF($A2607="","",$G2607&amp;"|"&amp;$J2607)</f>
        <v/>
      </c>
      <c r="L2607" s="10" t="str">
        <f aca="false">IF($A2607="","",ROW()-2)</f>
        <v/>
      </c>
      <c r="M2607" s="10" t="str">
        <f aca="false">IF($A2607="","",ROW())</f>
        <v/>
      </c>
    </row>
    <row r="2608" customFormat="false" ht="15" hidden="false" customHeight="true" outlineLevel="0" collapsed="false">
      <c r="A2608" s="8"/>
      <c r="B2608" s="8"/>
      <c r="C2608" s="8"/>
      <c r="D2608" s="8"/>
      <c r="E2608" s="8"/>
      <c r="F2608" s="8"/>
      <c r="G2608" s="10" t="str">
        <f aca="false">IF($A2608="","",UPPER(SUBSTITUTE(SUBSTITUTE(SUBSTITUTE(SUBSTITUTE($A2608," ",""),"(주)",""),"주식회사",""),"㈜","")))</f>
        <v/>
      </c>
      <c r="H2608" s="10" t="str">
        <f aca="false">IF($B2608="","",SUBSTITUTE(SUBSTITUTE(SUBSTITUTE($B2608,"-","")," ",""),".",""))</f>
        <v/>
      </c>
      <c r="I2608" s="10" t="str">
        <f aca="false">IF($D2608="","",SUBSTITUTE(SUBSTITUTE(SUBSTITUTE($D2608,"-","")," ",""),".",""))</f>
        <v/>
      </c>
      <c r="J2608" s="10" t="str">
        <f aca="false">IF($E2608="","",UPPER(SUBSTITUTE($E2608," ","")))</f>
        <v/>
      </c>
      <c r="K2608" s="10" t="str">
        <f aca="false">IF($A2608="","",$G2608&amp;"|"&amp;$J2608)</f>
        <v/>
      </c>
      <c r="L2608" s="10" t="str">
        <f aca="false">IF($A2608="","",ROW()-2)</f>
        <v/>
      </c>
      <c r="M2608" s="10" t="str">
        <f aca="false">IF($A2608="","",ROW())</f>
        <v/>
      </c>
    </row>
    <row r="2609" customFormat="false" ht="15" hidden="false" customHeight="true" outlineLevel="0" collapsed="false">
      <c r="A2609" s="8"/>
      <c r="B2609" s="8"/>
      <c r="C2609" s="8"/>
      <c r="D2609" s="8"/>
      <c r="E2609" s="8"/>
      <c r="F2609" s="8"/>
      <c r="G2609" s="10" t="str">
        <f aca="false">IF($A2609="","",UPPER(SUBSTITUTE(SUBSTITUTE(SUBSTITUTE(SUBSTITUTE($A2609," ",""),"(주)",""),"주식회사",""),"㈜","")))</f>
        <v/>
      </c>
      <c r="H2609" s="10" t="str">
        <f aca="false">IF($B2609="","",SUBSTITUTE(SUBSTITUTE(SUBSTITUTE($B2609,"-","")," ",""),".",""))</f>
        <v/>
      </c>
      <c r="I2609" s="10" t="str">
        <f aca="false">IF($D2609="","",SUBSTITUTE(SUBSTITUTE(SUBSTITUTE($D2609,"-","")," ",""),".",""))</f>
        <v/>
      </c>
      <c r="J2609" s="10" t="str">
        <f aca="false">IF($E2609="","",UPPER(SUBSTITUTE($E2609," ","")))</f>
        <v/>
      </c>
      <c r="K2609" s="10" t="str">
        <f aca="false">IF($A2609="","",$G2609&amp;"|"&amp;$J2609)</f>
        <v/>
      </c>
      <c r="L2609" s="10" t="str">
        <f aca="false">IF($A2609="","",ROW()-2)</f>
        <v/>
      </c>
      <c r="M2609" s="10" t="str">
        <f aca="false">IF($A2609="","",ROW())</f>
        <v/>
      </c>
    </row>
    <row r="2610" customFormat="false" ht="15" hidden="false" customHeight="true" outlineLevel="0" collapsed="false">
      <c r="A2610" s="8"/>
      <c r="B2610" s="8"/>
      <c r="C2610" s="8"/>
      <c r="D2610" s="8"/>
      <c r="E2610" s="8"/>
      <c r="F2610" s="8"/>
      <c r="G2610" s="10" t="str">
        <f aca="false">IF($A2610="","",UPPER(SUBSTITUTE(SUBSTITUTE(SUBSTITUTE(SUBSTITUTE($A2610," ",""),"(주)",""),"주식회사",""),"㈜","")))</f>
        <v/>
      </c>
      <c r="H2610" s="10" t="str">
        <f aca="false">IF($B2610="","",SUBSTITUTE(SUBSTITUTE(SUBSTITUTE($B2610,"-","")," ",""),".",""))</f>
        <v/>
      </c>
      <c r="I2610" s="10" t="str">
        <f aca="false">IF($D2610="","",SUBSTITUTE(SUBSTITUTE(SUBSTITUTE($D2610,"-","")," ",""),".",""))</f>
        <v/>
      </c>
      <c r="J2610" s="10" t="str">
        <f aca="false">IF($E2610="","",UPPER(SUBSTITUTE($E2610," ","")))</f>
        <v/>
      </c>
      <c r="K2610" s="10" t="str">
        <f aca="false">IF($A2610="","",$G2610&amp;"|"&amp;$J2610)</f>
        <v/>
      </c>
      <c r="L2610" s="10" t="str">
        <f aca="false">IF($A2610="","",ROW()-2)</f>
        <v/>
      </c>
      <c r="M2610" s="10" t="str">
        <f aca="false">IF($A2610="","",ROW())</f>
        <v/>
      </c>
    </row>
    <row r="2611" customFormat="false" ht="15" hidden="false" customHeight="true" outlineLevel="0" collapsed="false">
      <c r="A2611" s="8"/>
      <c r="B2611" s="8"/>
      <c r="C2611" s="8"/>
      <c r="D2611" s="8"/>
      <c r="E2611" s="8"/>
      <c r="F2611" s="8"/>
      <c r="G2611" s="10" t="str">
        <f aca="false">IF($A2611="","",UPPER(SUBSTITUTE(SUBSTITUTE(SUBSTITUTE(SUBSTITUTE($A2611," ",""),"(주)",""),"주식회사",""),"㈜","")))</f>
        <v/>
      </c>
      <c r="H2611" s="10" t="str">
        <f aca="false">IF($B2611="","",SUBSTITUTE(SUBSTITUTE(SUBSTITUTE($B2611,"-","")," ",""),".",""))</f>
        <v/>
      </c>
      <c r="I2611" s="10" t="str">
        <f aca="false">IF($D2611="","",SUBSTITUTE(SUBSTITUTE(SUBSTITUTE($D2611,"-","")," ",""),".",""))</f>
        <v/>
      </c>
      <c r="J2611" s="10" t="str">
        <f aca="false">IF($E2611="","",UPPER(SUBSTITUTE($E2611," ","")))</f>
        <v/>
      </c>
      <c r="K2611" s="10" t="str">
        <f aca="false">IF($A2611="","",$G2611&amp;"|"&amp;$J2611)</f>
        <v/>
      </c>
      <c r="L2611" s="10" t="str">
        <f aca="false">IF($A2611="","",ROW()-2)</f>
        <v/>
      </c>
      <c r="M2611" s="10" t="str">
        <f aca="false">IF($A2611="","",ROW())</f>
        <v/>
      </c>
    </row>
    <row r="2612" customFormat="false" ht="15" hidden="false" customHeight="true" outlineLevel="0" collapsed="false">
      <c r="A2612" s="8"/>
      <c r="B2612" s="8"/>
      <c r="C2612" s="8"/>
      <c r="D2612" s="8"/>
      <c r="E2612" s="8"/>
      <c r="F2612" s="8"/>
      <c r="G2612" s="10" t="str">
        <f aca="false">IF($A2612="","",UPPER(SUBSTITUTE(SUBSTITUTE(SUBSTITUTE(SUBSTITUTE($A2612," ",""),"(주)",""),"주식회사",""),"㈜","")))</f>
        <v/>
      </c>
      <c r="H2612" s="10" t="str">
        <f aca="false">IF($B2612="","",SUBSTITUTE(SUBSTITUTE(SUBSTITUTE($B2612,"-","")," ",""),".",""))</f>
        <v/>
      </c>
      <c r="I2612" s="10" t="str">
        <f aca="false">IF($D2612="","",SUBSTITUTE(SUBSTITUTE(SUBSTITUTE($D2612,"-","")," ",""),".",""))</f>
        <v/>
      </c>
      <c r="J2612" s="10" t="str">
        <f aca="false">IF($E2612="","",UPPER(SUBSTITUTE($E2612," ","")))</f>
        <v/>
      </c>
      <c r="K2612" s="10" t="str">
        <f aca="false">IF($A2612="","",$G2612&amp;"|"&amp;$J2612)</f>
        <v/>
      </c>
      <c r="L2612" s="10" t="str">
        <f aca="false">IF($A2612="","",ROW()-2)</f>
        <v/>
      </c>
      <c r="M2612" s="10" t="str">
        <f aca="false">IF($A2612="","",ROW())</f>
        <v/>
      </c>
    </row>
    <row r="2613" customFormat="false" ht="15" hidden="false" customHeight="true" outlineLevel="0" collapsed="false">
      <c r="A2613" s="8"/>
      <c r="B2613" s="8"/>
      <c r="C2613" s="8"/>
      <c r="D2613" s="8"/>
      <c r="E2613" s="8"/>
      <c r="F2613" s="8"/>
      <c r="G2613" s="10" t="str">
        <f aca="false">IF($A2613="","",UPPER(SUBSTITUTE(SUBSTITUTE(SUBSTITUTE(SUBSTITUTE($A2613," ",""),"(주)",""),"주식회사",""),"㈜","")))</f>
        <v/>
      </c>
      <c r="H2613" s="10" t="str">
        <f aca="false">IF($B2613="","",SUBSTITUTE(SUBSTITUTE(SUBSTITUTE($B2613,"-","")," ",""),".",""))</f>
        <v/>
      </c>
      <c r="I2613" s="10" t="str">
        <f aca="false">IF($D2613="","",SUBSTITUTE(SUBSTITUTE(SUBSTITUTE($D2613,"-","")," ",""),".",""))</f>
        <v/>
      </c>
      <c r="J2613" s="10" t="str">
        <f aca="false">IF($E2613="","",UPPER(SUBSTITUTE($E2613," ","")))</f>
        <v/>
      </c>
      <c r="K2613" s="10" t="str">
        <f aca="false">IF($A2613="","",$G2613&amp;"|"&amp;$J2613)</f>
        <v/>
      </c>
      <c r="L2613" s="10" t="str">
        <f aca="false">IF($A2613="","",ROW()-2)</f>
        <v/>
      </c>
      <c r="M2613" s="10" t="str">
        <f aca="false">IF($A2613="","",ROW())</f>
        <v/>
      </c>
    </row>
    <row r="2614" customFormat="false" ht="15" hidden="false" customHeight="true" outlineLevel="0" collapsed="false">
      <c r="A2614" s="8"/>
      <c r="B2614" s="8"/>
      <c r="C2614" s="8"/>
      <c r="D2614" s="8"/>
      <c r="E2614" s="8"/>
      <c r="F2614" s="8"/>
      <c r="G2614" s="10" t="str">
        <f aca="false">IF($A2614="","",UPPER(SUBSTITUTE(SUBSTITUTE(SUBSTITUTE(SUBSTITUTE($A2614," ",""),"(주)",""),"주식회사",""),"㈜","")))</f>
        <v/>
      </c>
      <c r="H2614" s="10" t="str">
        <f aca="false">IF($B2614="","",SUBSTITUTE(SUBSTITUTE(SUBSTITUTE($B2614,"-","")," ",""),".",""))</f>
        <v/>
      </c>
      <c r="I2614" s="10" t="str">
        <f aca="false">IF($D2614="","",SUBSTITUTE(SUBSTITUTE(SUBSTITUTE($D2614,"-","")," ",""),".",""))</f>
        <v/>
      </c>
      <c r="J2614" s="10" t="str">
        <f aca="false">IF($E2614="","",UPPER(SUBSTITUTE($E2614," ","")))</f>
        <v/>
      </c>
      <c r="K2614" s="10" t="str">
        <f aca="false">IF($A2614="","",$G2614&amp;"|"&amp;$J2614)</f>
        <v/>
      </c>
      <c r="L2614" s="10" t="str">
        <f aca="false">IF($A2614="","",ROW()-2)</f>
        <v/>
      </c>
      <c r="M2614" s="10" t="str">
        <f aca="false">IF($A2614="","",ROW())</f>
        <v/>
      </c>
    </row>
    <row r="2615" customFormat="false" ht="15" hidden="false" customHeight="true" outlineLevel="0" collapsed="false">
      <c r="A2615" s="8"/>
      <c r="B2615" s="8"/>
      <c r="C2615" s="8"/>
      <c r="D2615" s="8"/>
      <c r="E2615" s="8"/>
      <c r="F2615" s="8"/>
      <c r="G2615" s="10" t="str">
        <f aca="false">IF($A2615="","",UPPER(SUBSTITUTE(SUBSTITUTE(SUBSTITUTE(SUBSTITUTE($A2615," ",""),"(주)",""),"주식회사",""),"㈜","")))</f>
        <v/>
      </c>
      <c r="H2615" s="10" t="str">
        <f aca="false">IF($B2615="","",SUBSTITUTE(SUBSTITUTE(SUBSTITUTE($B2615,"-","")," ",""),".",""))</f>
        <v/>
      </c>
      <c r="I2615" s="10" t="str">
        <f aca="false">IF($D2615="","",SUBSTITUTE(SUBSTITUTE(SUBSTITUTE($D2615,"-","")," ",""),".",""))</f>
        <v/>
      </c>
      <c r="J2615" s="10" t="str">
        <f aca="false">IF($E2615="","",UPPER(SUBSTITUTE($E2615," ","")))</f>
        <v/>
      </c>
      <c r="K2615" s="10" t="str">
        <f aca="false">IF($A2615="","",$G2615&amp;"|"&amp;$J2615)</f>
        <v/>
      </c>
      <c r="L2615" s="10" t="str">
        <f aca="false">IF($A2615="","",ROW()-2)</f>
        <v/>
      </c>
      <c r="M2615" s="10" t="str">
        <f aca="false">IF($A2615="","",ROW())</f>
        <v/>
      </c>
    </row>
    <row r="2616" customFormat="false" ht="15" hidden="false" customHeight="true" outlineLevel="0" collapsed="false">
      <c r="A2616" s="8"/>
      <c r="B2616" s="8"/>
      <c r="C2616" s="8"/>
      <c r="D2616" s="8"/>
      <c r="E2616" s="8"/>
      <c r="F2616" s="8"/>
      <c r="G2616" s="10" t="str">
        <f aca="false">IF($A2616="","",UPPER(SUBSTITUTE(SUBSTITUTE(SUBSTITUTE(SUBSTITUTE($A2616," ",""),"(주)",""),"주식회사",""),"㈜","")))</f>
        <v/>
      </c>
      <c r="H2616" s="10" t="str">
        <f aca="false">IF($B2616="","",SUBSTITUTE(SUBSTITUTE(SUBSTITUTE($B2616,"-","")," ",""),".",""))</f>
        <v/>
      </c>
      <c r="I2616" s="10" t="str">
        <f aca="false">IF($D2616="","",SUBSTITUTE(SUBSTITUTE(SUBSTITUTE($D2616,"-","")," ",""),".",""))</f>
        <v/>
      </c>
      <c r="J2616" s="10" t="str">
        <f aca="false">IF($E2616="","",UPPER(SUBSTITUTE($E2616," ","")))</f>
        <v/>
      </c>
      <c r="K2616" s="10" t="str">
        <f aca="false">IF($A2616="","",$G2616&amp;"|"&amp;$J2616)</f>
        <v/>
      </c>
      <c r="L2616" s="10" t="str">
        <f aca="false">IF($A2616="","",ROW()-2)</f>
        <v/>
      </c>
      <c r="M2616" s="10" t="str">
        <f aca="false">IF($A2616="","",ROW())</f>
        <v/>
      </c>
    </row>
    <row r="2617" customFormat="false" ht="15" hidden="false" customHeight="true" outlineLevel="0" collapsed="false">
      <c r="A2617" s="8"/>
      <c r="B2617" s="8"/>
      <c r="C2617" s="8"/>
      <c r="D2617" s="8"/>
      <c r="E2617" s="8"/>
      <c r="F2617" s="8"/>
      <c r="G2617" s="10" t="str">
        <f aca="false">IF($A2617="","",UPPER(SUBSTITUTE(SUBSTITUTE(SUBSTITUTE(SUBSTITUTE($A2617," ",""),"(주)",""),"주식회사",""),"㈜","")))</f>
        <v/>
      </c>
      <c r="H2617" s="10" t="str">
        <f aca="false">IF($B2617="","",SUBSTITUTE(SUBSTITUTE(SUBSTITUTE($B2617,"-","")," ",""),".",""))</f>
        <v/>
      </c>
      <c r="I2617" s="10" t="str">
        <f aca="false">IF($D2617="","",SUBSTITUTE(SUBSTITUTE(SUBSTITUTE($D2617,"-","")," ",""),".",""))</f>
        <v/>
      </c>
      <c r="J2617" s="10" t="str">
        <f aca="false">IF($E2617="","",UPPER(SUBSTITUTE($E2617," ","")))</f>
        <v/>
      </c>
      <c r="K2617" s="10" t="str">
        <f aca="false">IF($A2617="","",$G2617&amp;"|"&amp;$J2617)</f>
        <v/>
      </c>
      <c r="L2617" s="10" t="str">
        <f aca="false">IF($A2617="","",ROW()-2)</f>
        <v/>
      </c>
      <c r="M2617" s="10" t="str">
        <f aca="false">IF($A2617="","",ROW())</f>
        <v/>
      </c>
    </row>
    <row r="2618" customFormat="false" ht="15" hidden="false" customHeight="true" outlineLevel="0" collapsed="false">
      <c r="A2618" s="8"/>
      <c r="B2618" s="8"/>
      <c r="C2618" s="8"/>
      <c r="D2618" s="8"/>
      <c r="E2618" s="8"/>
      <c r="F2618" s="8"/>
      <c r="G2618" s="10" t="str">
        <f aca="false">IF($A2618="","",UPPER(SUBSTITUTE(SUBSTITUTE(SUBSTITUTE(SUBSTITUTE($A2618," ",""),"(주)",""),"주식회사",""),"㈜","")))</f>
        <v/>
      </c>
      <c r="H2618" s="10" t="str">
        <f aca="false">IF($B2618="","",SUBSTITUTE(SUBSTITUTE(SUBSTITUTE($B2618,"-","")," ",""),".",""))</f>
        <v/>
      </c>
      <c r="I2618" s="10" t="str">
        <f aca="false">IF($D2618="","",SUBSTITUTE(SUBSTITUTE(SUBSTITUTE($D2618,"-","")," ",""),".",""))</f>
        <v/>
      </c>
      <c r="J2618" s="10" t="str">
        <f aca="false">IF($E2618="","",UPPER(SUBSTITUTE($E2618," ","")))</f>
        <v/>
      </c>
      <c r="K2618" s="10" t="str">
        <f aca="false">IF($A2618="","",$G2618&amp;"|"&amp;$J2618)</f>
        <v/>
      </c>
      <c r="L2618" s="10" t="str">
        <f aca="false">IF($A2618="","",ROW()-2)</f>
        <v/>
      </c>
      <c r="M2618" s="10" t="str">
        <f aca="false">IF($A2618="","",ROW())</f>
        <v/>
      </c>
    </row>
    <row r="2619" customFormat="false" ht="15" hidden="false" customHeight="true" outlineLevel="0" collapsed="false">
      <c r="A2619" s="8"/>
      <c r="B2619" s="8"/>
      <c r="C2619" s="8"/>
      <c r="D2619" s="8"/>
      <c r="E2619" s="8"/>
      <c r="F2619" s="8"/>
      <c r="G2619" s="10" t="str">
        <f aca="false">IF($A2619="","",UPPER(SUBSTITUTE(SUBSTITUTE(SUBSTITUTE(SUBSTITUTE($A2619," ",""),"(주)",""),"주식회사",""),"㈜","")))</f>
        <v/>
      </c>
      <c r="H2619" s="10" t="str">
        <f aca="false">IF($B2619="","",SUBSTITUTE(SUBSTITUTE(SUBSTITUTE($B2619,"-","")," ",""),".",""))</f>
        <v/>
      </c>
      <c r="I2619" s="10" t="str">
        <f aca="false">IF($D2619="","",SUBSTITUTE(SUBSTITUTE(SUBSTITUTE($D2619,"-","")," ",""),".",""))</f>
        <v/>
      </c>
      <c r="J2619" s="10" t="str">
        <f aca="false">IF($E2619="","",UPPER(SUBSTITUTE($E2619," ","")))</f>
        <v/>
      </c>
      <c r="K2619" s="10" t="str">
        <f aca="false">IF($A2619="","",$G2619&amp;"|"&amp;$J2619)</f>
        <v/>
      </c>
      <c r="L2619" s="10" t="str">
        <f aca="false">IF($A2619="","",ROW()-2)</f>
        <v/>
      </c>
      <c r="M2619" s="10" t="str">
        <f aca="false">IF($A2619="","",ROW())</f>
        <v/>
      </c>
    </row>
    <row r="2620" customFormat="false" ht="15" hidden="false" customHeight="true" outlineLevel="0" collapsed="false">
      <c r="A2620" s="8"/>
      <c r="B2620" s="8"/>
      <c r="C2620" s="8"/>
      <c r="D2620" s="8"/>
      <c r="E2620" s="8"/>
      <c r="F2620" s="8"/>
      <c r="G2620" s="10" t="str">
        <f aca="false">IF($A2620="","",UPPER(SUBSTITUTE(SUBSTITUTE(SUBSTITUTE(SUBSTITUTE($A2620," ",""),"(주)",""),"주식회사",""),"㈜","")))</f>
        <v/>
      </c>
      <c r="H2620" s="10" t="str">
        <f aca="false">IF($B2620="","",SUBSTITUTE(SUBSTITUTE(SUBSTITUTE($B2620,"-","")," ",""),".",""))</f>
        <v/>
      </c>
      <c r="I2620" s="10" t="str">
        <f aca="false">IF($D2620="","",SUBSTITUTE(SUBSTITUTE(SUBSTITUTE($D2620,"-","")," ",""),".",""))</f>
        <v/>
      </c>
      <c r="J2620" s="10" t="str">
        <f aca="false">IF($E2620="","",UPPER(SUBSTITUTE($E2620," ","")))</f>
        <v/>
      </c>
      <c r="K2620" s="10" t="str">
        <f aca="false">IF($A2620="","",$G2620&amp;"|"&amp;$J2620)</f>
        <v/>
      </c>
      <c r="L2620" s="10" t="str">
        <f aca="false">IF($A2620="","",ROW()-2)</f>
        <v/>
      </c>
      <c r="M2620" s="10" t="str">
        <f aca="false">IF($A2620="","",ROW())</f>
        <v/>
      </c>
    </row>
    <row r="2621" customFormat="false" ht="15" hidden="false" customHeight="true" outlineLevel="0" collapsed="false">
      <c r="A2621" s="8"/>
      <c r="B2621" s="8"/>
      <c r="C2621" s="8"/>
      <c r="D2621" s="8"/>
      <c r="E2621" s="8"/>
      <c r="F2621" s="8"/>
      <c r="G2621" s="10" t="str">
        <f aca="false">IF($A2621="","",UPPER(SUBSTITUTE(SUBSTITUTE(SUBSTITUTE(SUBSTITUTE($A2621," ",""),"(주)",""),"주식회사",""),"㈜","")))</f>
        <v/>
      </c>
      <c r="H2621" s="10" t="str">
        <f aca="false">IF($B2621="","",SUBSTITUTE(SUBSTITUTE(SUBSTITUTE($B2621,"-","")," ",""),".",""))</f>
        <v/>
      </c>
      <c r="I2621" s="10" t="str">
        <f aca="false">IF($D2621="","",SUBSTITUTE(SUBSTITUTE(SUBSTITUTE($D2621,"-","")," ",""),".",""))</f>
        <v/>
      </c>
      <c r="J2621" s="10" t="str">
        <f aca="false">IF($E2621="","",UPPER(SUBSTITUTE($E2621," ","")))</f>
        <v/>
      </c>
      <c r="K2621" s="10" t="str">
        <f aca="false">IF($A2621="","",$G2621&amp;"|"&amp;$J2621)</f>
        <v/>
      </c>
      <c r="L2621" s="10" t="str">
        <f aca="false">IF($A2621="","",ROW()-2)</f>
        <v/>
      </c>
      <c r="M2621" s="10" t="str">
        <f aca="false">IF($A2621="","",ROW())</f>
        <v/>
      </c>
    </row>
    <row r="2622" customFormat="false" ht="15" hidden="false" customHeight="true" outlineLevel="0" collapsed="false">
      <c r="A2622" s="8"/>
      <c r="B2622" s="8"/>
      <c r="C2622" s="8"/>
      <c r="D2622" s="8"/>
      <c r="E2622" s="8"/>
      <c r="F2622" s="8"/>
      <c r="G2622" s="10" t="str">
        <f aca="false">IF($A2622="","",UPPER(SUBSTITUTE(SUBSTITUTE(SUBSTITUTE(SUBSTITUTE($A2622," ",""),"(주)",""),"주식회사",""),"㈜","")))</f>
        <v/>
      </c>
      <c r="H2622" s="10" t="str">
        <f aca="false">IF($B2622="","",SUBSTITUTE(SUBSTITUTE(SUBSTITUTE($B2622,"-","")," ",""),".",""))</f>
        <v/>
      </c>
      <c r="I2622" s="10" t="str">
        <f aca="false">IF($D2622="","",SUBSTITUTE(SUBSTITUTE(SUBSTITUTE($D2622,"-","")," ",""),".",""))</f>
        <v/>
      </c>
      <c r="J2622" s="10" t="str">
        <f aca="false">IF($E2622="","",UPPER(SUBSTITUTE($E2622," ","")))</f>
        <v/>
      </c>
      <c r="K2622" s="10" t="str">
        <f aca="false">IF($A2622="","",$G2622&amp;"|"&amp;$J2622)</f>
        <v/>
      </c>
      <c r="L2622" s="10" t="str">
        <f aca="false">IF($A2622="","",ROW()-2)</f>
        <v/>
      </c>
      <c r="M2622" s="10" t="str">
        <f aca="false">IF($A2622="","",ROW())</f>
        <v/>
      </c>
    </row>
    <row r="2623" customFormat="false" ht="15" hidden="false" customHeight="true" outlineLevel="0" collapsed="false">
      <c r="A2623" s="8"/>
      <c r="B2623" s="8"/>
      <c r="C2623" s="8"/>
      <c r="D2623" s="8"/>
      <c r="E2623" s="8"/>
      <c r="F2623" s="8"/>
      <c r="G2623" s="10" t="str">
        <f aca="false">IF($A2623="","",UPPER(SUBSTITUTE(SUBSTITUTE(SUBSTITUTE(SUBSTITUTE($A2623," ",""),"(주)",""),"주식회사",""),"㈜","")))</f>
        <v/>
      </c>
      <c r="H2623" s="10" t="str">
        <f aca="false">IF($B2623="","",SUBSTITUTE(SUBSTITUTE(SUBSTITUTE($B2623,"-","")," ",""),".",""))</f>
        <v/>
      </c>
      <c r="I2623" s="10" t="str">
        <f aca="false">IF($D2623="","",SUBSTITUTE(SUBSTITUTE(SUBSTITUTE($D2623,"-","")," ",""),".",""))</f>
        <v/>
      </c>
      <c r="J2623" s="10" t="str">
        <f aca="false">IF($E2623="","",UPPER(SUBSTITUTE($E2623," ","")))</f>
        <v/>
      </c>
      <c r="K2623" s="10" t="str">
        <f aca="false">IF($A2623="","",$G2623&amp;"|"&amp;$J2623)</f>
        <v/>
      </c>
      <c r="L2623" s="10" t="str">
        <f aca="false">IF($A2623="","",ROW()-2)</f>
        <v/>
      </c>
      <c r="M2623" s="10" t="str">
        <f aca="false">IF($A2623="","",ROW())</f>
        <v/>
      </c>
    </row>
    <row r="2624" customFormat="false" ht="15" hidden="false" customHeight="true" outlineLevel="0" collapsed="false">
      <c r="A2624" s="8"/>
      <c r="B2624" s="8"/>
      <c r="C2624" s="8"/>
      <c r="D2624" s="8"/>
      <c r="E2624" s="8"/>
      <c r="F2624" s="8"/>
      <c r="G2624" s="10" t="str">
        <f aca="false">IF($A2624="","",UPPER(SUBSTITUTE(SUBSTITUTE(SUBSTITUTE(SUBSTITUTE($A2624," ",""),"(주)",""),"주식회사",""),"㈜","")))</f>
        <v/>
      </c>
      <c r="H2624" s="10" t="str">
        <f aca="false">IF($B2624="","",SUBSTITUTE(SUBSTITUTE(SUBSTITUTE($B2624,"-","")," ",""),".",""))</f>
        <v/>
      </c>
      <c r="I2624" s="10" t="str">
        <f aca="false">IF($D2624="","",SUBSTITUTE(SUBSTITUTE(SUBSTITUTE($D2624,"-","")," ",""),".",""))</f>
        <v/>
      </c>
      <c r="J2624" s="10" t="str">
        <f aca="false">IF($E2624="","",UPPER(SUBSTITUTE($E2624," ","")))</f>
        <v/>
      </c>
      <c r="K2624" s="10" t="str">
        <f aca="false">IF($A2624="","",$G2624&amp;"|"&amp;$J2624)</f>
        <v/>
      </c>
      <c r="L2624" s="10" t="str">
        <f aca="false">IF($A2624="","",ROW()-2)</f>
        <v/>
      </c>
      <c r="M2624" s="10" t="str">
        <f aca="false">IF($A2624="","",ROW())</f>
        <v/>
      </c>
    </row>
    <row r="2625" customFormat="false" ht="15" hidden="false" customHeight="true" outlineLevel="0" collapsed="false">
      <c r="A2625" s="8"/>
      <c r="B2625" s="8"/>
      <c r="C2625" s="8"/>
      <c r="D2625" s="8"/>
      <c r="E2625" s="8"/>
      <c r="F2625" s="8"/>
      <c r="G2625" s="10" t="str">
        <f aca="false">IF($A2625="","",UPPER(SUBSTITUTE(SUBSTITUTE(SUBSTITUTE(SUBSTITUTE($A2625," ",""),"(주)",""),"주식회사",""),"㈜","")))</f>
        <v/>
      </c>
      <c r="H2625" s="10" t="str">
        <f aca="false">IF($B2625="","",SUBSTITUTE(SUBSTITUTE(SUBSTITUTE($B2625,"-","")," ",""),".",""))</f>
        <v/>
      </c>
      <c r="I2625" s="10" t="str">
        <f aca="false">IF($D2625="","",SUBSTITUTE(SUBSTITUTE(SUBSTITUTE($D2625,"-","")," ",""),".",""))</f>
        <v/>
      </c>
      <c r="J2625" s="10" t="str">
        <f aca="false">IF($E2625="","",UPPER(SUBSTITUTE($E2625," ","")))</f>
        <v/>
      </c>
      <c r="K2625" s="10" t="str">
        <f aca="false">IF($A2625="","",$G2625&amp;"|"&amp;$J2625)</f>
        <v/>
      </c>
      <c r="L2625" s="10" t="str">
        <f aca="false">IF($A2625="","",ROW()-2)</f>
        <v/>
      </c>
      <c r="M2625" s="10" t="str">
        <f aca="false">IF($A2625="","",ROW())</f>
        <v/>
      </c>
    </row>
    <row r="2626" customFormat="false" ht="15" hidden="false" customHeight="true" outlineLevel="0" collapsed="false">
      <c r="A2626" s="8"/>
      <c r="B2626" s="8"/>
      <c r="C2626" s="8"/>
      <c r="D2626" s="8"/>
      <c r="E2626" s="8"/>
      <c r="F2626" s="8"/>
      <c r="G2626" s="10" t="str">
        <f aca="false">IF($A2626="","",UPPER(SUBSTITUTE(SUBSTITUTE(SUBSTITUTE(SUBSTITUTE($A2626," ",""),"(주)",""),"주식회사",""),"㈜","")))</f>
        <v/>
      </c>
      <c r="H2626" s="10" t="str">
        <f aca="false">IF($B2626="","",SUBSTITUTE(SUBSTITUTE(SUBSTITUTE($B2626,"-","")," ",""),".",""))</f>
        <v/>
      </c>
      <c r="I2626" s="10" t="str">
        <f aca="false">IF($D2626="","",SUBSTITUTE(SUBSTITUTE(SUBSTITUTE($D2626,"-","")," ",""),".",""))</f>
        <v/>
      </c>
      <c r="J2626" s="10" t="str">
        <f aca="false">IF($E2626="","",UPPER(SUBSTITUTE($E2626," ","")))</f>
        <v/>
      </c>
      <c r="K2626" s="10" t="str">
        <f aca="false">IF($A2626="","",$G2626&amp;"|"&amp;$J2626)</f>
        <v/>
      </c>
      <c r="L2626" s="10" t="str">
        <f aca="false">IF($A2626="","",ROW()-2)</f>
        <v/>
      </c>
      <c r="M2626" s="10" t="str">
        <f aca="false">IF($A2626="","",ROW())</f>
        <v/>
      </c>
    </row>
    <row r="2627" customFormat="false" ht="15" hidden="false" customHeight="true" outlineLevel="0" collapsed="false">
      <c r="A2627" s="8"/>
      <c r="B2627" s="8"/>
      <c r="C2627" s="8"/>
      <c r="D2627" s="8"/>
      <c r="E2627" s="8"/>
      <c r="F2627" s="8"/>
      <c r="G2627" s="10" t="str">
        <f aca="false">IF($A2627="","",UPPER(SUBSTITUTE(SUBSTITUTE(SUBSTITUTE(SUBSTITUTE($A2627," ",""),"(주)",""),"주식회사",""),"㈜","")))</f>
        <v/>
      </c>
      <c r="H2627" s="10" t="str">
        <f aca="false">IF($B2627="","",SUBSTITUTE(SUBSTITUTE(SUBSTITUTE($B2627,"-","")," ",""),".",""))</f>
        <v/>
      </c>
      <c r="I2627" s="10" t="str">
        <f aca="false">IF($D2627="","",SUBSTITUTE(SUBSTITUTE(SUBSTITUTE($D2627,"-","")," ",""),".",""))</f>
        <v/>
      </c>
      <c r="J2627" s="10" t="str">
        <f aca="false">IF($E2627="","",UPPER(SUBSTITUTE($E2627," ","")))</f>
        <v/>
      </c>
      <c r="K2627" s="10" t="str">
        <f aca="false">IF($A2627="","",$G2627&amp;"|"&amp;$J2627)</f>
        <v/>
      </c>
      <c r="L2627" s="10" t="str">
        <f aca="false">IF($A2627="","",ROW()-2)</f>
        <v/>
      </c>
      <c r="M2627" s="10" t="str">
        <f aca="false">IF($A2627="","",ROW())</f>
        <v/>
      </c>
    </row>
    <row r="2628" customFormat="false" ht="15" hidden="false" customHeight="true" outlineLevel="0" collapsed="false">
      <c r="A2628" s="8"/>
      <c r="B2628" s="8"/>
      <c r="C2628" s="8"/>
      <c r="D2628" s="8"/>
      <c r="E2628" s="8"/>
      <c r="F2628" s="8"/>
      <c r="G2628" s="10" t="str">
        <f aca="false">IF($A2628="","",UPPER(SUBSTITUTE(SUBSTITUTE(SUBSTITUTE(SUBSTITUTE($A2628," ",""),"(주)",""),"주식회사",""),"㈜","")))</f>
        <v/>
      </c>
      <c r="H2628" s="10" t="str">
        <f aca="false">IF($B2628="","",SUBSTITUTE(SUBSTITUTE(SUBSTITUTE($B2628,"-","")," ",""),".",""))</f>
        <v/>
      </c>
      <c r="I2628" s="10" t="str">
        <f aca="false">IF($D2628="","",SUBSTITUTE(SUBSTITUTE(SUBSTITUTE($D2628,"-","")," ",""),".",""))</f>
        <v/>
      </c>
      <c r="J2628" s="10" t="str">
        <f aca="false">IF($E2628="","",UPPER(SUBSTITUTE($E2628," ","")))</f>
        <v/>
      </c>
      <c r="K2628" s="10" t="str">
        <f aca="false">IF($A2628="","",$G2628&amp;"|"&amp;$J2628)</f>
        <v/>
      </c>
      <c r="L2628" s="10" t="str">
        <f aca="false">IF($A2628="","",ROW()-2)</f>
        <v/>
      </c>
      <c r="M2628" s="10" t="str">
        <f aca="false">IF($A2628="","",ROW())</f>
        <v/>
      </c>
    </row>
    <row r="2629" customFormat="false" ht="15" hidden="false" customHeight="true" outlineLevel="0" collapsed="false">
      <c r="A2629" s="8"/>
      <c r="B2629" s="8"/>
      <c r="C2629" s="8"/>
      <c r="D2629" s="8"/>
      <c r="E2629" s="8"/>
      <c r="F2629" s="8"/>
      <c r="G2629" s="10" t="str">
        <f aca="false">IF($A2629="","",UPPER(SUBSTITUTE(SUBSTITUTE(SUBSTITUTE(SUBSTITUTE($A2629," ",""),"(주)",""),"주식회사",""),"㈜","")))</f>
        <v/>
      </c>
      <c r="H2629" s="10" t="str">
        <f aca="false">IF($B2629="","",SUBSTITUTE(SUBSTITUTE(SUBSTITUTE($B2629,"-","")," ",""),".",""))</f>
        <v/>
      </c>
      <c r="I2629" s="10" t="str">
        <f aca="false">IF($D2629="","",SUBSTITUTE(SUBSTITUTE(SUBSTITUTE($D2629,"-","")," ",""),".",""))</f>
        <v/>
      </c>
      <c r="J2629" s="10" t="str">
        <f aca="false">IF($E2629="","",UPPER(SUBSTITUTE($E2629," ","")))</f>
        <v/>
      </c>
      <c r="K2629" s="10" t="str">
        <f aca="false">IF($A2629="","",$G2629&amp;"|"&amp;$J2629)</f>
        <v/>
      </c>
      <c r="L2629" s="10" t="str">
        <f aca="false">IF($A2629="","",ROW()-2)</f>
        <v/>
      </c>
      <c r="M2629" s="10" t="str">
        <f aca="false">IF($A2629="","",ROW())</f>
        <v/>
      </c>
    </row>
    <row r="2630" customFormat="false" ht="15" hidden="false" customHeight="true" outlineLevel="0" collapsed="false">
      <c r="A2630" s="8"/>
      <c r="B2630" s="8"/>
      <c r="C2630" s="8"/>
      <c r="D2630" s="8"/>
      <c r="E2630" s="8"/>
      <c r="F2630" s="8"/>
      <c r="G2630" s="10" t="str">
        <f aca="false">IF($A2630="","",UPPER(SUBSTITUTE(SUBSTITUTE(SUBSTITUTE(SUBSTITUTE($A2630," ",""),"(주)",""),"주식회사",""),"㈜","")))</f>
        <v/>
      </c>
      <c r="H2630" s="10" t="str">
        <f aca="false">IF($B2630="","",SUBSTITUTE(SUBSTITUTE(SUBSTITUTE($B2630,"-","")," ",""),".",""))</f>
        <v/>
      </c>
      <c r="I2630" s="10" t="str">
        <f aca="false">IF($D2630="","",SUBSTITUTE(SUBSTITUTE(SUBSTITUTE($D2630,"-","")," ",""),".",""))</f>
        <v/>
      </c>
      <c r="J2630" s="10" t="str">
        <f aca="false">IF($E2630="","",UPPER(SUBSTITUTE($E2630," ","")))</f>
        <v/>
      </c>
      <c r="K2630" s="10" t="str">
        <f aca="false">IF($A2630="","",$G2630&amp;"|"&amp;$J2630)</f>
        <v/>
      </c>
      <c r="L2630" s="10" t="str">
        <f aca="false">IF($A2630="","",ROW()-2)</f>
        <v/>
      </c>
      <c r="M2630" s="10" t="str">
        <f aca="false">IF($A2630="","",ROW())</f>
        <v/>
      </c>
    </row>
    <row r="2631" customFormat="false" ht="15" hidden="false" customHeight="true" outlineLevel="0" collapsed="false">
      <c r="A2631" s="8"/>
      <c r="B2631" s="8"/>
      <c r="C2631" s="8"/>
      <c r="D2631" s="8"/>
      <c r="E2631" s="8"/>
      <c r="F2631" s="8"/>
      <c r="G2631" s="10" t="str">
        <f aca="false">IF($A2631="","",UPPER(SUBSTITUTE(SUBSTITUTE(SUBSTITUTE(SUBSTITUTE($A2631," ",""),"(주)",""),"주식회사",""),"㈜","")))</f>
        <v/>
      </c>
      <c r="H2631" s="10" t="str">
        <f aca="false">IF($B2631="","",SUBSTITUTE(SUBSTITUTE(SUBSTITUTE($B2631,"-","")," ",""),".",""))</f>
        <v/>
      </c>
      <c r="I2631" s="10" t="str">
        <f aca="false">IF($D2631="","",SUBSTITUTE(SUBSTITUTE(SUBSTITUTE($D2631,"-","")," ",""),".",""))</f>
        <v/>
      </c>
      <c r="J2631" s="10" t="str">
        <f aca="false">IF($E2631="","",UPPER(SUBSTITUTE($E2631," ","")))</f>
        <v/>
      </c>
      <c r="K2631" s="10" t="str">
        <f aca="false">IF($A2631="","",$G2631&amp;"|"&amp;$J2631)</f>
        <v/>
      </c>
      <c r="L2631" s="10" t="str">
        <f aca="false">IF($A2631="","",ROW()-2)</f>
        <v/>
      </c>
      <c r="M2631" s="10" t="str">
        <f aca="false">IF($A2631="","",ROW())</f>
        <v/>
      </c>
    </row>
    <row r="2632" customFormat="false" ht="15" hidden="false" customHeight="true" outlineLevel="0" collapsed="false">
      <c r="A2632" s="8"/>
      <c r="B2632" s="8"/>
      <c r="C2632" s="8"/>
      <c r="D2632" s="8"/>
      <c r="E2632" s="8"/>
      <c r="F2632" s="8"/>
      <c r="G2632" s="10" t="str">
        <f aca="false">IF($A2632="","",UPPER(SUBSTITUTE(SUBSTITUTE(SUBSTITUTE(SUBSTITUTE($A2632," ",""),"(주)",""),"주식회사",""),"㈜","")))</f>
        <v/>
      </c>
      <c r="H2632" s="10" t="str">
        <f aca="false">IF($B2632="","",SUBSTITUTE(SUBSTITUTE(SUBSTITUTE($B2632,"-","")," ",""),".",""))</f>
        <v/>
      </c>
      <c r="I2632" s="10" t="str">
        <f aca="false">IF($D2632="","",SUBSTITUTE(SUBSTITUTE(SUBSTITUTE($D2632,"-","")," ",""),".",""))</f>
        <v/>
      </c>
      <c r="J2632" s="10" t="str">
        <f aca="false">IF($E2632="","",UPPER(SUBSTITUTE($E2632," ","")))</f>
        <v/>
      </c>
      <c r="K2632" s="10" t="str">
        <f aca="false">IF($A2632="","",$G2632&amp;"|"&amp;$J2632)</f>
        <v/>
      </c>
      <c r="L2632" s="10" t="str">
        <f aca="false">IF($A2632="","",ROW()-2)</f>
        <v/>
      </c>
      <c r="M2632" s="10" t="str">
        <f aca="false">IF($A2632="","",ROW())</f>
        <v/>
      </c>
    </row>
    <row r="2633" customFormat="false" ht="15" hidden="false" customHeight="true" outlineLevel="0" collapsed="false">
      <c r="A2633" s="8"/>
      <c r="B2633" s="8"/>
      <c r="C2633" s="8"/>
      <c r="D2633" s="8"/>
      <c r="E2633" s="8"/>
      <c r="F2633" s="8"/>
      <c r="G2633" s="10" t="str">
        <f aca="false">IF($A2633="","",UPPER(SUBSTITUTE(SUBSTITUTE(SUBSTITUTE(SUBSTITUTE($A2633," ",""),"(주)",""),"주식회사",""),"㈜","")))</f>
        <v/>
      </c>
      <c r="H2633" s="10" t="str">
        <f aca="false">IF($B2633="","",SUBSTITUTE(SUBSTITUTE(SUBSTITUTE($B2633,"-","")," ",""),".",""))</f>
        <v/>
      </c>
      <c r="I2633" s="10" t="str">
        <f aca="false">IF($D2633="","",SUBSTITUTE(SUBSTITUTE(SUBSTITUTE($D2633,"-","")," ",""),".",""))</f>
        <v/>
      </c>
      <c r="J2633" s="10" t="str">
        <f aca="false">IF($E2633="","",UPPER(SUBSTITUTE($E2633," ","")))</f>
        <v/>
      </c>
      <c r="K2633" s="10" t="str">
        <f aca="false">IF($A2633="","",$G2633&amp;"|"&amp;$J2633)</f>
        <v/>
      </c>
      <c r="L2633" s="10" t="str">
        <f aca="false">IF($A2633="","",ROW()-2)</f>
        <v/>
      </c>
      <c r="M2633" s="10" t="str">
        <f aca="false">IF($A2633="","",ROW())</f>
        <v/>
      </c>
    </row>
    <row r="2634" customFormat="false" ht="15" hidden="false" customHeight="true" outlineLevel="0" collapsed="false">
      <c r="A2634" s="8"/>
      <c r="B2634" s="8"/>
      <c r="C2634" s="8"/>
      <c r="D2634" s="8"/>
      <c r="E2634" s="8"/>
      <c r="F2634" s="8"/>
      <c r="G2634" s="10" t="str">
        <f aca="false">IF($A2634="","",UPPER(SUBSTITUTE(SUBSTITUTE(SUBSTITUTE(SUBSTITUTE($A2634," ",""),"(주)",""),"주식회사",""),"㈜","")))</f>
        <v/>
      </c>
      <c r="H2634" s="10" t="str">
        <f aca="false">IF($B2634="","",SUBSTITUTE(SUBSTITUTE(SUBSTITUTE($B2634,"-","")," ",""),".",""))</f>
        <v/>
      </c>
      <c r="I2634" s="10" t="str">
        <f aca="false">IF($D2634="","",SUBSTITUTE(SUBSTITUTE(SUBSTITUTE($D2634,"-","")," ",""),".",""))</f>
        <v/>
      </c>
      <c r="J2634" s="10" t="str">
        <f aca="false">IF($E2634="","",UPPER(SUBSTITUTE($E2634," ","")))</f>
        <v/>
      </c>
      <c r="K2634" s="10" t="str">
        <f aca="false">IF($A2634="","",$G2634&amp;"|"&amp;$J2634)</f>
        <v/>
      </c>
      <c r="L2634" s="10" t="str">
        <f aca="false">IF($A2634="","",ROW()-2)</f>
        <v/>
      </c>
      <c r="M2634" s="10" t="str">
        <f aca="false">IF($A2634="","",ROW())</f>
        <v/>
      </c>
    </row>
    <row r="2635" customFormat="false" ht="15" hidden="false" customHeight="true" outlineLevel="0" collapsed="false">
      <c r="A2635" s="8"/>
      <c r="B2635" s="8"/>
      <c r="C2635" s="8"/>
      <c r="D2635" s="8"/>
      <c r="E2635" s="8"/>
      <c r="F2635" s="8"/>
      <c r="G2635" s="10" t="str">
        <f aca="false">IF($A2635="","",UPPER(SUBSTITUTE(SUBSTITUTE(SUBSTITUTE(SUBSTITUTE($A2635," ",""),"(주)",""),"주식회사",""),"㈜","")))</f>
        <v/>
      </c>
      <c r="H2635" s="10" t="str">
        <f aca="false">IF($B2635="","",SUBSTITUTE(SUBSTITUTE(SUBSTITUTE($B2635,"-","")," ",""),".",""))</f>
        <v/>
      </c>
      <c r="I2635" s="10" t="str">
        <f aca="false">IF($D2635="","",SUBSTITUTE(SUBSTITUTE(SUBSTITUTE($D2635,"-","")," ",""),".",""))</f>
        <v/>
      </c>
      <c r="J2635" s="10" t="str">
        <f aca="false">IF($E2635="","",UPPER(SUBSTITUTE($E2635," ","")))</f>
        <v/>
      </c>
      <c r="K2635" s="10" t="str">
        <f aca="false">IF($A2635="","",$G2635&amp;"|"&amp;$J2635)</f>
        <v/>
      </c>
      <c r="L2635" s="10" t="str">
        <f aca="false">IF($A2635="","",ROW()-2)</f>
        <v/>
      </c>
      <c r="M2635" s="10" t="str">
        <f aca="false">IF($A2635="","",ROW())</f>
        <v/>
      </c>
    </row>
    <row r="2636" customFormat="false" ht="15" hidden="false" customHeight="true" outlineLevel="0" collapsed="false">
      <c r="A2636" s="8"/>
      <c r="B2636" s="8"/>
      <c r="C2636" s="8"/>
      <c r="D2636" s="8"/>
      <c r="E2636" s="8"/>
      <c r="F2636" s="8"/>
      <c r="G2636" s="10" t="str">
        <f aca="false">IF($A2636="","",UPPER(SUBSTITUTE(SUBSTITUTE(SUBSTITUTE(SUBSTITUTE($A2636," ",""),"(주)",""),"주식회사",""),"㈜","")))</f>
        <v/>
      </c>
      <c r="H2636" s="10" t="str">
        <f aca="false">IF($B2636="","",SUBSTITUTE(SUBSTITUTE(SUBSTITUTE($B2636,"-","")," ",""),".",""))</f>
        <v/>
      </c>
      <c r="I2636" s="10" t="str">
        <f aca="false">IF($D2636="","",SUBSTITUTE(SUBSTITUTE(SUBSTITUTE($D2636,"-","")," ",""),".",""))</f>
        <v/>
      </c>
      <c r="J2636" s="10" t="str">
        <f aca="false">IF($E2636="","",UPPER(SUBSTITUTE($E2636," ","")))</f>
        <v/>
      </c>
      <c r="K2636" s="10" t="str">
        <f aca="false">IF($A2636="","",$G2636&amp;"|"&amp;$J2636)</f>
        <v/>
      </c>
      <c r="L2636" s="10" t="str">
        <f aca="false">IF($A2636="","",ROW()-2)</f>
        <v/>
      </c>
      <c r="M2636" s="10" t="str">
        <f aca="false">IF($A2636="","",ROW())</f>
        <v/>
      </c>
    </row>
    <row r="2637" customFormat="false" ht="15" hidden="false" customHeight="true" outlineLevel="0" collapsed="false">
      <c r="A2637" s="8"/>
      <c r="B2637" s="8"/>
      <c r="C2637" s="8"/>
      <c r="D2637" s="8"/>
      <c r="E2637" s="8"/>
      <c r="F2637" s="8"/>
      <c r="G2637" s="10" t="str">
        <f aca="false">IF($A2637="","",UPPER(SUBSTITUTE(SUBSTITUTE(SUBSTITUTE(SUBSTITUTE($A2637," ",""),"(주)",""),"주식회사",""),"㈜","")))</f>
        <v/>
      </c>
      <c r="H2637" s="10" t="str">
        <f aca="false">IF($B2637="","",SUBSTITUTE(SUBSTITUTE(SUBSTITUTE($B2637,"-","")," ",""),".",""))</f>
        <v/>
      </c>
      <c r="I2637" s="10" t="str">
        <f aca="false">IF($D2637="","",SUBSTITUTE(SUBSTITUTE(SUBSTITUTE($D2637,"-","")," ",""),".",""))</f>
        <v/>
      </c>
      <c r="J2637" s="10" t="str">
        <f aca="false">IF($E2637="","",UPPER(SUBSTITUTE($E2637," ","")))</f>
        <v/>
      </c>
      <c r="K2637" s="10" t="str">
        <f aca="false">IF($A2637="","",$G2637&amp;"|"&amp;$J2637)</f>
        <v/>
      </c>
      <c r="L2637" s="10" t="str">
        <f aca="false">IF($A2637="","",ROW()-2)</f>
        <v/>
      </c>
      <c r="M2637" s="10" t="str">
        <f aca="false">IF($A2637="","",ROW())</f>
        <v/>
      </c>
    </row>
    <row r="2638" customFormat="false" ht="15" hidden="false" customHeight="true" outlineLevel="0" collapsed="false">
      <c r="A2638" s="8"/>
      <c r="B2638" s="8"/>
      <c r="C2638" s="8"/>
      <c r="D2638" s="8"/>
      <c r="E2638" s="8"/>
      <c r="F2638" s="8"/>
      <c r="G2638" s="10" t="str">
        <f aca="false">IF($A2638="","",UPPER(SUBSTITUTE(SUBSTITUTE(SUBSTITUTE(SUBSTITUTE($A2638," ",""),"(주)",""),"주식회사",""),"㈜","")))</f>
        <v/>
      </c>
      <c r="H2638" s="10" t="str">
        <f aca="false">IF($B2638="","",SUBSTITUTE(SUBSTITUTE(SUBSTITUTE($B2638,"-","")," ",""),".",""))</f>
        <v/>
      </c>
      <c r="I2638" s="10" t="str">
        <f aca="false">IF($D2638="","",SUBSTITUTE(SUBSTITUTE(SUBSTITUTE($D2638,"-","")," ",""),".",""))</f>
        <v/>
      </c>
      <c r="J2638" s="10" t="str">
        <f aca="false">IF($E2638="","",UPPER(SUBSTITUTE($E2638," ","")))</f>
        <v/>
      </c>
      <c r="K2638" s="10" t="str">
        <f aca="false">IF($A2638="","",$G2638&amp;"|"&amp;$J2638)</f>
        <v/>
      </c>
      <c r="L2638" s="10" t="str">
        <f aca="false">IF($A2638="","",ROW()-2)</f>
        <v/>
      </c>
      <c r="M2638" s="10" t="str">
        <f aca="false">IF($A2638="","",ROW())</f>
        <v/>
      </c>
    </row>
    <row r="2639" customFormat="false" ht="15" hidden="false" customHeight="true" outlineLevel="0" collapsed="false">
      <c r="A2639" s="8"/>
      <c r="B2639" s="8"/>
      <c r="C2639" s="8"/>
      <c r="D2639" s="8"/>
      <c r="E2639" s="8"/>
      <c r="F2639" s="8"/>
      <c r="G2639" s="10" t="str">
        <f aca="false">IF($A2639="","",UPPER(SUBSTITUTE(SUBSTITUTE(SUBSTITUTE(SUBSTITUTE($A2639," ",""),"(주)",""),"주식회사",""),"㈜","")))</f>
        <v/>
      </c>
      <c r="H2639" s="10" t="str">
        <f aca="false">IF($B2639="","",SUBSTITUTE(SUBSTITUTE(SUBSTITUTE($B2639,"-","")," ",""),".",""))</f>
        <v/>
      </c>
      <c r="I2639" s="10" t="str">
        <f aca="false">IF($D2639="","",SUBSTITUTE(SUBSTITUTE(SUBSTITUTE($D2639,"-","")," ",""),".",""))</f>
        <v/>
      </c>
      <c r="J2639" s="10" t="str">
        <f aca="false">IF($E2639="","",UPPER(SUBSTITUTE($E2639," ","")))</f>
        <v/>
      </c>
      <c r="K2639" s="10" t="str">
        <f aca="false">IF($A2639="","",$G2639&amp;"|"&amp;$J2639)</f>
        <v/>
      </c>
      <c r="L2639" s="10" t="str">
        <f aca="false">IF($A2639="","",ROW()-2)</f>
        <v/>
      </c>
      <c r="M2639" s="10" t="str">
        <f aca="false">IF($A2639="","",ROW())</f>
        <v/>
      </c>
    </row>
    <row r="2640" customFormat="false" ht="15" hidden="false" customHeight="true" outlineLevel="0" collapsed="false">
      <c r="A2640" s="8"/>
      <c r="B2640" s="8"/>
      <c r="C2640" s="8"/>
      <c r="D2640" s="8"/>
      <c r="E2640" s="8"/>
      <c r="F2640" s="8"/>
      <c r="G2640" s="10" t="str">
        <f aca="false">IF($A2640="","",UPPER(SUBSTITUTE(SUBSTITUTE(SUBSTITUTE(SUBSTITUTE($A2640," ",""),"(주)",""),"주식회사",""),"㈜","")))</f>
        <v/>
      </c>
      <c r="H2640" s="10" t="str">
        <f aca="false">IF($B2640="","",SUBSTITUTE(SUBSTITUTE(SUBSTITUTE($B2640,"-","")," ",""),".",""))</f>
        <v/>
      </c>
      <c r="I2640" s="10" t="str">
        <f aca="false">IF($D2640="","",SUBSTITUTE(SUBSTITUTE(SUBSTITUTE($D2640,"-","")," ",""),".",""))</f>
        <v/>
      </c>
      <c r="J2640" s="10" t="str">
        <f aca="false">IF($E2640="","",UPPER(SUBSTITUTE($E2640," ","")))</f>
        <v/>
      </c>
      <c r="K2640" s="10" t="str">
        <f aca="false">IF($A2640="","",$G2640&amp;"|"&amp;$J2640)</f>
        <v/>
      </c>
      <c r="L2640" s="10" t="str">
        <f aca="false">IF($A2640="","",ROW()-2)</f>
        <v/>
      </c>
      <c r="M2640" s="10" t="str">
        <f aca="false">IF($A2640="","",ROW())</f>
        <v/>
      </c>
    </row>
    <row r="2641" customFormat="false" ht="15" hidden="false" customHeight="true" outlineLevel="0" collapsed="false">
      <c r="A2641" s="8"/>
      <c r="B2641" s="8"/>
      <c r="C2641" s="8"/>
      <c r="D2641" s="8"/>
      <c r="E2641" s="8"/>
      <c r="F2641" s="8"/>
      <c r="G2641" s="10" t="str">
        <f aca="false">IF($A2641="","",UPPER(SUBSTITUTE(SUBSTITUTE(SUBSTITUTE(SUBSTITUTE($A2641," ",""),"(주)",""),"주식회사",""),"㈜","")))</f>
        <v/>
      </c>
      <c r="H2641" s="10" t="str">
        <f aca="false">IF($B2641="","",SUBSTITUTE(SUBSTITUTE(SUBSTITUTE($B2641,"-","")," ",""),".",""))</f>
        <v/>
      </c>
      <c r="I2641" s="10" t="str">
        <f aca="false">IF($D2641="","",SUBSTITUTE(SUBSTITUTE(SUBSTITUTE($D2641,"-","")," ",""),".",""))</f>
        <v/>
      </c>
      <c r="J2641" s="10" t="str">
        <f aca="false">IF($E2641="","",UPPER(SUBSTITUTE($E2641," ","")))</f>
        <v/>
      </c>
      <c r="K2641" s="10" t="str">
        <f aca="false">IF($A2641="","",$G2641&amp;"|"&amp;$J2641)</f>
        <v/>
      </c>
      <c r="L2641" s="10" t="str">
        <f aca="false">IF($A2641="","",ROW()-2)</f>
        <v/>
      </c>
      <c r="M2641" s="10" t="str">
        <f aca="false">IF($A2641="","",ROW())</f>
        <v/>
      </c>
    </row>
    <row r="2642" customFormat="false" ht="15" hidden="false" customHeight="true" outlineLevel="0" collapsed="false">
      <c r="A2642" s="8"/>
      <c r="B2642" s="8"/>
      <c r="C2642" s="8"/>
      <c r="D2642" s="8"/>
      <c r="E2642" s="8"/>
      <c r="F2642" s="8"/>
      <c r="G2642" s="10" t="str">
        <f aca="false">IF($A2642="","",UPPER(SUBSTITUTE(SUBSTITUTE(SUBSTITUTE(SUBSTITUTE($A2642," ",""),"(주)",""),"주식회사",""),"㈜","")))</f>
        <v/>
      </c>
      <c r="H2642" s="10" t="str">
        <f aca="false">IF($B2642="","",SUBSTITUTE(SUBSTITUTE(SUBSTITUTE($B2642,"-","")," ",""),".",""))</f>
        <v/>
      </c>
      <c r="I2642" s="10" t="str">
        <f aca="false">IF($D2642="","",SUBSTITUTE(SUBSTITUTE(SUBSTITUTE($D2642,"-","")," ",""),".",""))</f>
        <v/>
      </c>
      <c r="J2642" s="10" t="str">
        <f aca="false">IF($E2642="","",UPPER(SUBSTITUTE($E2642," ","")))</f>
        <v/>
      </c>
      <c r="K2642" s="10" t="str">
        <f aca="false">IF($A2642="","",$G2642&amp;"|"&amp;$J2642)</f>
        <v/>
      </c>
      <c r="L2642" s="10" t="str">
        <f aca="false">IF($A2642="","",ROW()-2)</f>
        <v/>
      </c>
      <c r="M2642" s="10" t="str">
        <f aca="false">IF($A2642="","",ROW())</f>
        <v/>
      </c>
    </row>
    <row r="2643" customFormat="false" ht="15" hidden="false" customHeight="true" outlineLevel="0" collapsed="false">
      <c r="A2643" s="8"/>
      <c r="B2643" s="8"/>
      <c r="C2643" s="8"/>
      <c r="D2643" s="8"/>
      <c r="E2643" s="8"/>
      <c r="F2643" s="8"/>
      <c r="G2643" s="10" t="str">
        <f aca="false">IF($A2643="","",UPPER(SUBSTITUTE(SUBSTITUTE(SUBSTITUTE(SUBSTITUTE($A2643," ",""),"(주)",""),"주식회사",""),"㈜","")))</f>
        <v/>
      </c>
      <c r="H2643" s="10" t="str">
        <f aca="false">IF($B2643="","",SUBSTITUTE(SUBSTITUTE(SUBSTITUTE($B2643,"-","")," ",""),".",""))</f>
        <v/>
      </c>
      <c r="I2643" s="10" t="str">
        <f aca="false">IF($D2643="","",SUBSTITUTE(SUBSTITUTE(SUBSTITUTE($D2643,"-","")," ",""),".",""))</f>
        <v/>
      </c>
      <c r="J2643" s="10" t="str">
        <f aca="false">IF($E2643="","",UPPER(SUBSTITUTE($E2643," ","")))</f>
        <v/>
      </c>
      <c r="K2643" s="10" t="str">
        <f aca="false">IF($A2643="","",$G2643&amp;"|"&amp;$J2643)</f>
        <v/>
      </c>
      <c r="L2643" s="10" t="str">
        <f aca="false">IF($A2643="","",ROW()-2)</f>
        <v/>
      </c>
      <c r="M2643" s="10" t="str">
        <f aca="false">IF($A2643="","",ROW())</f>
        <v/>
      </c>
    </row>
    <row r="2644" customFormat="false" ht="15" hidden="false" customHeight="true" outlineLevel="0" collapsed="false">
      <c r="A2644" s="8"/>
      <c r="B2644" s="8"/>
      <c r="C2644" s="8"/>
      <c r="D2644" s="8"/>
      <c r="E2644" s="8"/>
      <c r="F2644" s="8"/>
      <c r="G2644" s="10" t="str">
        <f aca="false">IF($A2644="","",UPPER(SUBSTITUTE(SUBSTITUTE(SUBSTITUTE(SUBSTITUTE($A2644," ",""),"(주)",""),"주식회사",""),"㈜","")))</f>
        <v/>
      </c>
      <c r="H2644" s="10" t="str">
        <f aca="false">IF($B2644="","",SUBSTITUTE(SUBSTITUTE(SUBSTITUTE($B2644,"-","")," ",""),".",""))</f>
        <v/>
      </c>
      <c r="I2644" s="10" t="str">
        <f aca="false">IF($D2644="","",SUBSTITUTE(SUBSTITUTE(SUBSTITUTE($D2644,"-","")," ",""),".",""))</f>
        <v/>
      </c>
      <c r="J2644" s="10" t="str">
        <f aca="false">IF($E2644="","",UPPER(SUBSTITUTE($E2644," ","")))</f>
        <v/>
      </c>
      <c r="K2644" s="10" t="str">
        <f aca="false">IF($A2644="","",$G2644&amp;"|"&amp;$J2644)</f>
        <v/>
      </c>
      <c r="L2644" s="10" t="str">
        <f aca="false">IF($A2644="","",ROW()-2)</f>
        <v/>
      </c>
      <c r="M2644" s="10" t="str">
        <f aca="false">IF($A2644="","",ROW())</f>
        <v/>
      </c>
    </row>
    <row r="2645" customFormat="false" ht="15" hidden="false" customHeight="true" outlineLevel="0" collapsed="false">
      <c r="A2645" s="8"/>
      <c r="B2645" s="8"/>
      <c r="C2645" s="8"/>
      <c r="D2645" s="8"/>
      <c r="E2645" s="8"/>
      <c r="F2645" s="8"/>
      <c r="G2645" s="10" t="str">
        <f aca="false">IF($A2645="","",UPPER(SUBSTITUTE(SUBSTITUTE(SUBSTITUTE(SUBSTITUTE($A2645," ",""),"(주)",""),"주식회사",""),"㈜","")))</f>
        <v/>
      </c>
      <c r="H2645" s="10" t="str">
        <f aca="false">IF($B2645="","",SUBSTITUTE(SUBSTITUTE(SUBSTITUTE($B2645,"-","")," ",""),".",""))</f>
        <v/>
      </c>
      <c r="I2645" s="10" t="str">
        <f aca="false">IF($D2645="","",SUBSTITUTE(SUBSTITUTE(SUBSTITUTE($D2645,"-","")," ",""),".",""))</f>
        <v/>
      </c>
      <c r="J2645" s="10" t="str">
        <f aca="false">IF($E2645="","",UPPER(SUBSTITUTE($E2645," ","")))</f>
        <v/>
      </c>
      <c r="K2645" s="10" t="str">
        <f aca="false">IF($A2645="","",$G2645&amp;"|"&amp;$J2645)</f>
        <v/>
      </c>
      <c r="L2645" s="10" t="str">
        <f aca="false">IF($A2645="","",ROW()-2)</f>
        <v/>
      </c>
      <c r="M2645" s="10" t="str">
        <f aca="false">IF($A2645="","",ROW())</f>
        <v/>
      </c>
    </row>
    <row r="2646" customFormat="false" ht="15" hidden="false" customHeight="true" outlineLevel="0" collapsed="false">
      <c r="A2646" s="8"/>
      <c r="B2646" s="8"/>
      <c r="C2646" s="8"/>
      <c r="D2646" s="8"/>
      <c r="E2646" s="8"/>
      <c r="F2646" s="8"/>
      <c r="G2646" s="10" t="str">
        <f aca="false">IF($A2646="","",UPPER(SUBSTITUTE(SUBSTITUTE(SUBSTITUTE(SUBSTITUTE($A2646," ",""),"(주)",""),"주식회사",""),"㈜","")))</f>
        <v/>
      </c>
      <c r="H2646" s="10" t="str">
        <f aca="false">IF($B2646="","",SUBSTITUTE(SUBSTITUTE(SUBSTITUTE($B2646,"-","")," ",""),".",""))</f>
        <v/>
      </c>
      <c r="I2646" s="10" t="str">
        <f aca="false">IF($D2646="","",SUBSTITUTE(SUBSTITUTE(SUBSTITUTE($D2646,"-","")," ",""),".",""))</f>
        <v/>
      </c>
      <c r="J2646" s="10" t="str">
        <f aca="false">IF($E2646="","",UPPER(SUBSTITUTE($E2646," ","")))</f>
        <v/>
      </c>
      <c r="K2646" s="10" t="str">
        <f aca="false">IF($A2646="","",$G2646&amp;"|"&amp;$J2646)</f>
        <v/>
      </c>
      <c r="L2646" s="10" t="str">
        <f aca="false">IF($A2646="","",ROW()-2)</f>
        <v/>
      </c>
      <c r="M2646" s="10" t="str">
        <f aca="false">IF($A2646="","",ROW())</f>
        <v/>
      </c>
    </row>
    <row r="2647" customFormat="false" ht="15" hidden="false" customHeight="true" outlineLevel="0" collapsed="false">
      <c r="A2647" s="8"/>
      <c r="B2647" s="8"/>
      <c r="C2647" s="8"/>
      <c r="D2647" s="8"/>
      <c r="E2647" s="8"/>
      <c r="F2647" s="8"/>
      <c r="G2647" s="10" t="str">
        <f aca="false">IF($A2647="","",UPPER(SUBSTITUTE(SUBSTITUTE(SUBSTITUTE(SUBSTITUTE($A2647," ",""),"(주)",""),"주식회사",""),"㈜","")))</f>
        <v/>
      </c>
      <c r="H2647" s="10" t="str">
        <f aca="false">IF($B2647="","",SUBSTITUTE(SUBSTITUTE(SUBSTITUTE($B2647,"-","")," ",""),".",""))</f>
        <v/>
      </c>
      <c r="I2647" s="10" t="str">
        <f aca="false">IF($D2647="","",SUBSTITUTE(SUBSTITUTE(SUBSTITUTE($D2647,"-","")," ",""),".",""))</f>
        <v/>
      </c>
      <c r="J2647" s="10" t="str">
        <f aca="false">IF($E2647="","",UPPER(SUBSTITUTE($E2647," ","")))</f>
        <v/>
      </c>
      <c r="K2647" s="10" t="str">
        <f aca="false">IF($A2647="","",$G2647&amp;"|"&amp;$J2647)</f>
        <v/>
      </c>
      <c r="L2647" s="10" t="str">
        <f aca="false">IF($A2647="","",ROW()-2)</f>
        <v/>
      </c>
      <c r="M2647" s="10" t="str">
        <f aca="false">IF($A2647="","",ROW())</f>
        <v/>
      </c>
    </row>
    <row r="2648" customFormat="false" ht="15" hidden="false" customHeight="true" outlineLevel="0" collapsed="false">
      <c r="A2648" s="8"/>
      <c r="B2648" s="8"/>
      <c r="C2648" s="8"/>
      <c r="D2648" s="8"/>
      <c r="E2648" s="8"/>
      <c r="F2648" s="8"/>
      <c r="G2648" s="10" t="str">
        <f aca="false">IF($A2648="","",UPPER(SUBSTITUTE(SUBSTITUTE(SUBSTITUTE(SUBSTITUTE($A2648," ",""),"(주)",""),"주식회사",""),"㈜","")))</f>
        <v/>
      </c>
      <c r="H2648" s="10" t="str">
        <f aca="false">IF($B2648="","",SUBSTITUTE(SUBSTITUTE(SUBSTITUTE($B2648,"-","")," ",""),".",""))</f>
        <v/>
      </c>
      <c r="I2648" s="10" t="str">
        <f aca="false">IF($D2648="","",SUBSTITUTE(SUBSTITUTE(SUBSTITUTE($D2648,"-","")," ",""),".",""))</f>
        <v/>
      </c>
      <c r="J2648" s="10" t="str">
        <f aca="false">IF($E2648="","",UPPER(SUBSTITUTE($E2648," ","")))</f>
        <v/>
      </c>
      <c r="K2648" s="10" t="str">
        <f aca="false">IF($A2648="","",$G2648&amp;"|"&amp;$J2648)</f>
        <v/>
      </c>
      <c r="L2648" s="10" t="str">
        <f aca="false">IF($A2648="","",ROW()-2)</f>
        <v/>
      </c>
      <c r="M2648" s="10" t="str">
        <f aca="false">IF($A2648="","",ROW())</f>
        <v/>
      </c>
    </row>
    <row r="2649" customFormat="false" ht="15" hidden="false" customHeight="true" outlineLevel="0" collapsed="false">
      <c r="A2649" s="8"/>
      <c r="B2649" s="8"/>
      <c r="C2649" s="8"/>
      <c r="D2649" s="8"/>
      <c r="E2649" s="8"/>
      <c r="F2649" s="8"/>
      <c r="G2649" s="10" t="str">
        <f aca="false">IF($A2649="","",UPPER(SUBSTITUTE(SUBSTITUTE(SUBSTITUTE(SUBSTITUTE($A2649," ",""),"(주)",""),"주식회사",""),"㈜","")))</f>
        <v/>
      </c>
      <c r="H2649" s="10" t="str">
        <f aca="false">IF($B2649="","",SUBSTITUTE(SUBSTITUTE(SUBSTITUTE($B2649,"-","")," ",""),".",""))</f>
        <v/>
      </c>
      <c r="I2649" s="10" t="str">
        <f aca="false">IF($D2649="","",SUBSTITUTE(SUBSTITUTE(SUBSTITUTE($D2649,"-","")," ",""),".",""))</f>
        <v/>
      </c>
      <c r="J2649" s="10" t="str">
        <f aca="false">IF($E2649="","",UPPER(SUBSTITUTE($E2649," ","")))</f>
        <v/>
      </c>
      <c r="K2649" s="10" t="str">
        <f aca="false">IF($A2649="","",$G2649&amp;"|"&amp;$J2649)</f>
        <v/>
      </c>
      <c r="L2649" s="10" t="str">
        <f aca="false">IF($A2649="","",ROW()-2)</f>
        <v/>
      </c>
      <c r="M2649" s="10" t="str">
        <f aca="false">IF($A2649="","",ROW())</f>
        <v/>
      </c>
    </row>
    <row r="2650" customFormat="false" ht="15" hidden="false" customHeight="true" outlineLevel="0" collapsed="false">
      <c r="A2650" s="8"/>
      <c r="B2650" s="8"/>
      <c r="C2650" s="8"/>
      <c r="D2650" s="8"/>
      <c r="E2650" s="8"/>
      <c r="F2650" s="8"/>
      <c r="G2650" s="10" t="str">
        <f aca="false">IF($A2650="","",UPPER(SUBSTITUTE(SUBSTITUTE(SUBSTITUTE(SUBSTITUTE($A2650," ",""),"(주)",""),"주식회사",""),"㈜","")))</f>
        <v/>
      </c>
      <c r="H2650" s="10" t="str">
        <f aca="false">IF($B2650="","",SUBSTITUTE(SUBSTITUTE(SUBSTITUTE($B2650,"-","")," ",""),".",""))</f>
        <v/>
      </c>
      <c r="I2650" s="10" t="str">
        <f aca="false">IF($D2650="","",SUBSTITUTE(SUBSTITUTE(SUBSTITUTE($D2650,"-","")," ",""),".",""))</f>
        <v/>
      </c>
      <c r="J2650" s="10" t="str">
        <f aca="false">IF($E2650="","",UPPER(SUBSTITUTE($E2650," ","")))</f>
        <v/>
      </c>
      <c r="K2650" s="10" t="str">
        <f aca="false">IF($A2650="","",$G2650&amp;"|"&amp;$J2650)</f>
        <v/>
      </c>
      <c r="L2650" s="10" t="str">
        <f aca="false">IF($A2650="","",ROW()-2)</f>
        <v/>
      </c>
      <c r="M2650" s="10" t="str">
        <f aca="false">IF($A2650="","",ROW())</f>
        <v/>
      </c>
    </row>
    <row r="2651" customFormat="false" ht="15" hidden="false" customHeight="true" outlineLevel="0" collapsed="false">
      <c r="A2651" s="8"/>
      <c r="B2651" s="8"/>
      <c r="C2651" s="8"/>
      <c r="D2651" s="8"/>
      <c r="E2651" s="8"/>
      <c r="F2651" s="8"/>
      <c r="G2651" s="10" t="str">
        <f aca="false">IF($A2651="","",UPPER(SUBSTITUTE(SUBSTITUTE(SUBSTITUTE(SUBSTITUTE($A2651," ",""),"(주)",""),"주식회사",""),"㈜","")))</f>
        <v/>
      </c>
      <c r="H2651" s="10" t="str">
        <f aca="false">IF($B2651="","",SUBSTITUTE(SUBSTITUTE(SUBSTITUTE($B2651,"-","")," ",""),".",""))</f>
        <v/>
      </c>
      <c r="I2651" s="10" t="str">
        <f aca="false">IF($D2651="","",SUBSTITUTE(SUBSTITUTE(SUBSTITUTE($D2651,"-","")," ",""),".",""))</f>
        <v/>
      </c>
      <c r="J2651" s="10" t="str">
        <f aca="false">IF($E2651="","",UPPER(SUBSTITUTE($E2651," ","")))</f>
        <v/>
      </c>
      <c r="K2651" s="10" t="str">
        <f aca="false">IF($A2651="","",$G2651&amp;"|"&amp;$J2651)</f>
        <v/>
      </c>
      <c r="L2651" s="10" t="str">
        <f aca="false">IF($A2651="","",ROW()-2)</f>
        <v/>
      </c>
      <c r="M2651" s="10" t="str">
        <f aca="false">IF($A2651="","",ROW())</f>
        <v/>
      </c>
    </row>
    <row r="2652" customFormat="false" ht="15" hidden="false" customHeight="true" outlineLevel="0" collapsed="false">
      <c r="A2652" s="8"/>
      <c r="B2652" s="8"/>
      <c r="C2652" s="8"/>
      <c r="D2652" s="8"/>
      <c r="E2652" s="8"/>
      <c r="F2652" s="8"/>
      <c r="G2652" s="10" t="str">
        <f aca="false">IF($A2652="","",UPPER(SUBSTITUTE(SUBSTITUTE(SUBSTITUTE(SUBSTITUTE($A2652," ",""),"(주)",""),"주식회사",""),"㈜","")))</f>
        <v/>
      </c>
      <c r="H2652" s="10" t="str">
        <f aca="false">IF($B2652="","",SUBSTITUTE(SUBSTITUTE(SUBSTITUTE($B2652,"-","")," ",""),".",""))</f>
        <v/>
      </c>
      <c r="I2652" s="10" t="str">
        <f aca="false">IF($D2652="","",SUBSTITUTE(SUBSTITUTE(SUBSTITUTE($D2652,"-","")," ",""),".",""))</f>
        <v/>
      </c>
      <c r="J2652" s="10" t="str">
        <f aca="false">IF($E2652="","",UPPER(SUBSTITUTE($E2652," ","")))</f>
        <v/>
      </c>
      <c r="K2652" s="10" t="str">
        <f aca="false">IF($A2652="","",$G2652&amp;"|"&amp;$J2652)</f>
        <v/>
      </c>
      <c r="L2652" s="10" t="str">
        <f aca="false">IF($A2652="","",ROW()-2)</f>
        <v/>
      </c>
      <c r="M2652" s="10" t="str">
        <f aca="false">IF($A2652="","",ROW())</f>
        <v/>
      </c>
    </row>
    <row r="2653" customFormat="false" ht="15" hidden="false" customHeight="true" outlineLevel="0" collapsed="false">
      <c r="A2653" s="8"/>
      <c r="B2653" s="8"/>
      <c r="C2653" s="8"/>
      <c r="D2653" s="8"/>
      <c r="E2653" s="8"/>
      <c r="F2653" s="8"/>
      <c r="G2653" s="10" t="str">
        <f aca="false">IF($A2653="","",UPPER(SUBSTITUTE(SUBSTITUTE(SUBSTITUTE(SUBSTITUTE($A2653," ",""),"(주)",""),"주식회사",""),"㈜","")))</f>
        <v/>
      </c>
      <c r="H2653" s="10" t="str">
        <f aca="false">IF($B2653="","",SUBSTITUTE(SUBSTITUTE(SUBSTITUTE($B2653,"-","")," ",""),".",""))</f>
        <v/>
      </c>
      <c r="I2653" s="10" t="str">
        <f aca="false">IF($D2653="","",SUBSTITUTE(SUBSTITUTE(SUBSTITUTE($D2653,"-","")," ",""),".",""))</f>
        <v/>
      </c>
      <c r="J2653" s="10" t="str">
        <f aca="false">IF($E2653="","",UPPER(SUBSTITUTE($E2653," ","")))</f>
        <v/>
      </c>
      <c r="K2653" s="10" t="str">
        <f aca="false">IF($A2653="","",$G2653&amp;"|"&amp;$J2653)</f>
        <v/>
      </c>
      <c r="L2653" s="10" t="str">
        <f aca="false">IF($A2653="","",ROW()-2)</f>
        <v/>
      </c>
      <c r="M2653" s="10" t="str">
        <f aca="false">IF($A2653="","",ROW())</f>
        <v/>
      </c>
    </row>
    <row r="2654" customFormat="false" ht="15" hidden="false" customHeight="true" outlineLevel="0" collapsed="false">
      <c r="A2654" s="8"/>
      <c r="B2654" s="8"/>
      <c r="C2654" s="8"/>
      <c r="D2654" s="8"/>
      <c r="E2654" s="8"/>
      <c r="F2654" s="8"/>
      <c r="G2654" s="10" t="str">
        <f aca="false">IF($A2654="","",UPPER(SUBSTITUTE(SUBSTITUTE(SUBSTITUTE(SUBSTITUTE($A2654," ",""),"(주)",""),"주식회사",""),"㈜","")))</f>
        <v/>
      </c>
      <c r="H2654" s="10" t="str">
        <f aca="false">IF($B2654="","",SUBSTITUTE(SUBSTITUTE(SUBSTITUTE($B2654,"-","")," ",""),".",""))</f>
        <v/>
      </c>
      <c r="I2654" s="10" t="str">
        <f aca="false">IF($D2654="","",SUBSTITUTE(SUBSTITUTE(SUBSTITUTE($D2654,"-","")," ",""),".",""))</f>
        <v/>
      </c>
      <c r="J2654" s="10" t="str">
        <f aca="false">IF($E2654="","",UPPER(SUBSTITUTE($E2654," ","")))</f>
        <v/>
      </c>
      <c r="K2654" s="10" t="str">
        <f aca="false">IF($A2654="","",$G2654&amp;"|"&amp;$J2654)</f>
        <v/>
      </c>
      <c r="L2654" s="10" t="str">
        <f aca="false">IF($A2654="","",ROW()-2)</f>
        <v/>
      </c>
      <c r="M2654" s="10" t="str">
        <f aca="false">IF($A2654="","",ROW())</f>
        <v/>
      </c>
    </row>
    <row r="2655" customFormat="false" ht="15" hidden="false" customHeight="true" outlineLevel="0" collapsed="false">
      <c r="A2655" s="8"/>
      <c r="B2655" s="8"/>
      <c r="C2655" s="8"/>
      <c r="D2655" s="8"/>
      <c r="E2655" s="8"/>
      <c r="F2655" s="8"/>
      <c r="G2655" s="10" t="str">
        <f aca="false">IF($A2655="","",UPPER(SUBSTITUTE(SUBSTITUTE(SUBSTITUTE(SUBSTITUTE($A2655," ",""),"(주)",""),"주식회사",""),"㈜","")))</f>
        <v/>
      </c>
      <c r="H2655" s="10" t="str">
        <f aca="false">IF($B2655="","",SUBSTITUTE(SUBSTITUTE(SUBSTITUTE($B2655,"-","")," ",""),".",""))</f>
        <v/>
      </c>
      <c r="I2655" s="10" t="str">
        <f aca="false">IF($D2655="","",SUBSTITUTE(SUBSTITUTE(SUBSTITUTE($D2655,"-","")," ",""),".",""))</f>
        <v/>
      </c>
      <c r="J2655" s="10" t="str">
        <f aca="false">IF($E2655="","",UPPER(SUBSTITUTE($E2655," ","")))</f>
        <v/>
      </c>
      <c r="K2655" s="10" t="str">
        <f aca="false">IF($A2655="","",$G2655&amp;"|"&amp;$J2655)</f>
        <v/>
      </c>
      <c r="L2655" s="10" t="str">
        <f aca="false">IF($A2655="","",ROW()-2)</f>
        <v/>
      </c>
      <c r="M2655" s="10" t="str">
        <f aca="false">IF($A2655="","",ROW())</f>
        <v/>
      </c>
    </row>
    <row r="2656" customFormat="false" ht="15" hidden="false" customHeight="true" outlineLevel="0" collapsed="false">
      <c r="A2656" s="8"/>
      <c r="B2656" s="8"/>
      <c r="C2656" s="8"/>
      <c r="D2656" s="8"/>
      <c r="E2656" s="8"/>
      <c r="F2656" s="8"/>
      <c r="G2656" s="10" t="str">
        <f aca="false">IF($A2656="","",UPPER(SUBSTITUTE(SUBSTITUTE(SUBSTITUTE(SUBSTITUTE($A2656," ",""),"(주)",""),"주식회사",""),"㈜","")))</f>
        <v/>
      </c>
      <c r="H2656" s="10" t="str">
        <f aca="false">IF($B2656="","",SUBSTITUTE(SUBSTITUTE(SUBSTITUTE($B2656,"-","")," ",""),".",""))</f>
        <v/>
      </c>
      <c r="I2656" s="10" t="str">
        <f aca="false">IF($D2656="","",SUBSTITUTE(SUBSTITUTE(SUBSTITUTE($D2656,"-","")," ",""),".",""))</f>
        <v/>
      </c>
      <c r="J2656" s="10" t="str">
        <f aca="false">IF($E2656="","",UPPER(SUBSTITUTE($E2656," ","")))</f>
        <v/>
      </c>
      <c r="K2656" s="10" t="str">
        <f aca="false">IF($A2656="","",$G2656&amp;"|"&amp;$J2656)</f>
        <v/>
      </c>
      <c r="L2656" s="10" t="str">
        <f aca="false">IF($A2656="","",ROW()-2)</f>
        <v/>
      </c>
      <c r="M2656" s="10" t="str">
        <f aca="false">IF($A2656="","",ROW())</f>
        <v/>
      </c>
    </row>
    <row r="2657" customFormat="false" ht="15" hidden="false" customHeight="true" outlineLevel="0" collapsed="false">
      <c r="A2657" s="8"/>
      <c r="B2657" s="8"/>
      <c r="C2657" s="8"/>
      <c r="D2657" s="8"/>
      <c r="E2657" s="8"/>
      <c r="F2657" s="8"/>
      <c r="G2657" s="10" t="str">
        <f aca="false">IF($A2657="","",UPPER(SUBSTITUTE(SUBSTITUTE(SUBSTITUTE(SUBSTITUTE($A2657," ",""),"(주)",""),"주식회사",""),"㈜","")))</f>
        <v/>
      </c>
      <c r="H2657" s="10" t="str">
        <f aca="false">IF($B2657="","",SUBSTITUTE(SUBSTITUTE(SUBSTITUTE($B2657,"-","")," ",""),".",""))</f>
        <v/>
      </c>
      <c r="I2657" s="10" t="str">
        <f aca="false">IF($D2657="","",SUBSTITUTE(SUBSTITUTE(SUBSTITUTE($D2657,"-","")," ",""),".",""))</f>
        <v/>
      </c>
      <c r="J2657" s="10" t="str">
        <f aca="false">IF($E2657="","",UPPER(SUBSTITUTE($E2657," ","")))</f>
        <v/>
      </c>
      <c r="K2657" s="10" t="str">
        <f aca="false">IF($A2657="","",$G2657&amp;"|"&amp;$J2657)</f>
        <v/>
      </c>
      <c r="L2657" s="10" t="str">
        <f aca="false">IF($A2657="","",ROW()-2)</f>
        <v/>
      </c>
      <c r="M2657" s="10" t="str">
        <f aca="false">IF($A2657="","",ROW())</f>
        <v/>
      </c>
    </row>
    <row r="2658" customFormat="false" ht="15" hidden="false" customHeight="true" outlineLevel="0" collapsed="false">
      <c r="A2658" s="8"/>
      <c r="B2658" s="8"/>
      <c r="C2658" s="8"/>
      <c r="D2658" s="8"/>
      <c r="E2658" s="8"/>
      <c r="F2658" s="8"/>
      <c r="G2658" s="10" t="str">
        <f aca="false">IF($A2658="","",UPPER(SUBSTITUTE(SUBSTITUTE(SUBSTITUTE(SUBSTITUTE($A2658," ",""),"(주)",""),"주식회사",""),"㈜","")))</f>
        <v/>
      </c>
      <c r="H2658" s="10" t="str">
        <f aca="false">IF($B2658="","",SUBSTITUTE(SUBSTITUTE(SUBSTITUTE($B2658,"-","")," ",""),".",""))</f>
        <v/>
      </c>
      <c r="I2658" s="10" t="str">
        <f aca="false">IF($D2658="","",SUBSTITUTE(SUBSTITUTE(SUBSTITUTE($D2658,"-","")," ",""),".",""))</f>
        <v/>
      </c>
      <c r="J2658" s="10" t="str">
        <f aca="false">IF($E2658="","",UPPER(SUBSTITUTE($E2658," ","")))</f>
        <v/>
      </c>
      <c r="K2658" s="10" t="str">
        <f aca="false">IF($A2658="","",$G2658&amp;"|"&amp;$J2658)</f>
        <v/>
      </c>
      <c r="L2658" s="10" t="str">
        <f aca="false">IF($A2658="","",ROW()-2)</f>
        <v/>
      </c>
      <c r="M2658" s="10" t="str">
        <f aca="false">IF($A2658="","",ROW())</f>
        <v/>
      </c>
    </row>
    <row r="2659" customFormat="false" ht="15" hidden="false" customHeight="true" outlineLevel="0" collapsed="false">
      <c r="A2659" s="8"/>
      <c r="B2659" s="8"/>
      <c r="C2659" s="8"/>
      <c r="D2659" s="8"/>
      <c r="E2659" s="8"/>
      <c r="F2659" s="8"/>
      <c r="G2659" s="10" t="str">
        <f aca="false">IF($A2659="","",UPPER(SUBSTITUTE(SUBSTITUTE(SUBSTITUTE(SUBSTITUTE($A2659," ",""),"(주)",""),"주식회사",""),"㈜","")))</f>
        <v/>
      </c>
      <c r="H2659" s="10" t="str">
        <f aca="false">IF($B2659="","",SUBSTITUTE(SUBSTITUTE(SUBSTITUTE($B2659,"-","")," ",""),".",""))</f>
        <v/>
      </c>
      <c r="I2659" s="10" t="str">
        <f aca="false">IF($D2659="","",SUBSTITUTE(SUBSTITUTE(SUBSTITUTE($D2659,"-","")," ",""),".",""))</f>
        <v/>
      </c>
      <c r="J2659" s="10" t="str">
        <f aca="false">IF($E2659="","",UPPER(SUBSTITUTE($E2659," ","")))</f>
        <v/>
      </c>
      <c r="K2659" s="10" t="str">
        <f aca="false">IF($A2659="","",$G2659&amp;"|"&amp;$J2659)</f>
        <v/>
      </c>
      <c r="L2659" s="10" t="str">
        <f aca="false">IF($A2659="","",ROW()-2)</f>
        <v/>
      </c>
      <c r="M2659" s="10" t="str">
        <f aca="false">IF($A2659="","",ROW())</f>
        <v/>
      </c>
    </row>
    <row r="2660" customFormat="false" ht="15" hidden="false" customHeight="true" outlineLevel="0" collapsed="false">
      <c r="A2660" s="8"/>
      <c r="B2660" s="8"/>
      <c r="C2660" s="8"/>
      <c r="D2660" s="8"/>
      <c r="E2660" s="8"/>
      <c r="F2660" s="8"/>
      <c r="G2660" s="10" t="str">
        <f aca="false">IF($A2660="","",UPPER(SUBSTITUTE(SUBSTITUTE(SUBSTITUTE(SUBSTITUTE($A2660," ",""),"(주)",""),"주식회사",""),"㈜","")))</f>
        <v/>
      </c>
      <c r="H2660" s="10" t="str">
        <f aca="false">IF($B2660="","",SUBSTITUTE(SUBSTITUTE(SUBSTITUTE($B2660,"-","")," ",""),".",""))</f>
        <v/>
      </c>
      <c r="I2660" s="10" t="str">
        <f aca="false">IF($D2660="","",SUBSTITUTE(SUBSTITUTE(SUBSTITUTE($D2660,"-","")," ",""),".",""))</f>
        <v/>
      </c>
      <c r="J2660" s="10" t="str">
        <f aca="false">IF($E2660="","",UPPER(SUBSTITUTE($E2660," ","")))</f>
        <v/>
      </c>
      <c r="K2660" s="10" t="str">
        <f aca="false">IF($A2660="","",$G2660&amp;"|"&amp;$J2660)</f>
        <v/>
      </c>
      <c r="L2660" s="10" t="str">
        <f aca="false">IF($A2660="","",ROW()-2)</f>
        <v/>
      </c>
      <c r="M2660" s="10" t="str">
        <f aca="false">IF($A2660="","",ROW())</f>
        <v/>
      </c>
    </row>
    <row r="2661" customFormat="false" ht="15" hidden="false" customHeight="true" outlineLevel="0" collapsed="false">
      <c r="A2661" s="8"/>
      <c r="B2661" s="8"/>
      <c r="C2661" s="8"/>
      <c r="D2661" s="8"/>
      <c r="E2661" s="8"/>
      <c r="F2661" s="8"/>
      <c r="G2661" s="10" t="str">
        <f aca="false">IF($A2661="","",UPPER(SUBSTITUTE(SUBSTITUTE(SUBSTITUTE(SUBSTITUTE($A2661," ",""),"(주)",""),"주식회사",""),"㈜","")))</f>
        <v/>
      </c>
      <c r="H2661" s="10" t="str">
        <f aca="false">IF($B2661="","",SUBSTITUTE(SUBSTITUTE(SUBSTITUTE($B2661,"-","")," ",""),".",""))</f>
        <v/>
      </c>
      <c r="I2661" s="10" t="str">
        <f aca="false">IF($D2661="","",SUBSTITUTE(SUBSTITUTE(SUBSTITUTE($D2661,"-","")," ",""),".",""))</f>
        <v/>
      </c>
      <c r="J2661" s="10" t="str">
        <f aca="false">IF($E2661="","",UPPER(SUBSTITUTE($E2661," ","")))</f>
        <v/>
      </c>
      <c r="K2661" s="10" t="str">
        <f aca="false">IF($A2661="","",$G2661&amp;"|"&amp;$J2661)</f>
        <v/>
      </c>
      <c r="L2661" s="10" t="str">
        <f aca="false">IF($A2661="","",ROW()-2)</f>
        <v/>
      </c>
      <c r="M2661" s="10" t="str">
        <f aca="false">IF($A2661="","",ROW())</f>
        <v/>
      </c>
    </row>
    <row r="2662" customFormat="false" ht="15" hidden="false" customHeight="true" outlineLevel="0" collapsed="false">
      <c r="A2662" s="8"/>
      <c r="B2662" s="8"/>
      <c r="C2662" s="8"/>
      <c r="D2662" s="8"/>
      <c r="E2662" s="8"/>
      <c r="F2662" s="8"/>
      <c r="G2662" s="10" t="str">
        <f aca="false">IF($A2662="","",UPPER(SUBSTITUTE(SUBSTITUTE(SUBSTITUTE(SUBSTITUTE($A2662," ",""),"(주)",""),"주식회사",""),"㈜","")))</f>
        <v/>
      </c>
      <c r="H2662" s="10" t="str">
        <f aca="false">IF($B2662="","",SUBSTITUTE(SUBSTITUTE(SUBSTITUTE($B2662,"-","")," ",""),".",""))</f>
        <v/>
      </c>
      <c r="I2662" s="10" t="str">
        <f aca="false">IF($D2662="","",SUBSTITUTE(SUBSTITUTE(SUBSTITUTE($D2662,"-","")," ",""),".",""))</f>
        <v/>
      </c>
      <c r="J2662" s="10" t="str">
        <f aca="false">IF($E2662="","",UPPER(SUBSTITUTE($E2662," ","")))</f>
        <v/>
      </c>
      <c r="K2662" s="10" t="str">
        <f aca="false">IF($A2662="","",$G2662&amp;"|"&amp;$J2662)</f>
        <v/>
      </c>
      <c r="L2662" s="10" t="str">
        <f aca="false">IF($A2662="","",ROW()-2)</f>
        <v/>
      </c>
      <c r="M2662" s="10" t="str">
        <f aca="false">IF($A2662="","",ROW())</f>
        <v/>
      </c>
    </row>
    <row r="2663" customFormat="false" ht="15" hidden="false" customHeight="true" outlineLevel="0" collapsed="false">
      <c r="A2663" s="8"/>
      <c r="B2663" s="8"/>
      <c r="C2663" s="8"/>
      <c r="D2663" s="8"/>
      <c r="E2663" s="8"/>
      <c r="F2663" s="8"/>
      <c r="G2663" s="10" t="str">
        <f aca="false">IF($A2663="","",UPPER(SUBSTITUTE(SUBSTITUTE(SUBSTITUTE(SUBSTITUTE($A2663," ",""),"(주)",""),"주식회사",""),"㈜","")))</f>
        <v/>
      </c>
      <c r="H2663" s="10" t="str">
        <f aca="false">IF($B2663="","",SUBSTITUTE(SUBSTITUTE(SUBSTITUTE($B2663,"-","")," ",""),".",""))</f>
        <v/>
      </c>
      <c r="I2663" s="10" t="str">
        <f aca="false">IF($D2663="","",SUBSTITUTE(SUBSTITUTE(SUBSTITUTE($D2663,"-","")," ",""),".",""))</f>
        <v/>
      </c>
      <c r="J2663" s="10" t="str">
        <f aca="false">IF($E2663="","",UPPER(SUBSTITUTE($E2663," ","")))</f>
        <v/>
      </c>
      <c r="K2663" s="10" t="str">
        <f aca="false">IF($A2663="","",$G2663&amp;"|"&amp;$J2663)</f>
        <v/>
      </c>
      <c r="L2663" s="10" t="str">
        <f aca="false">IF($A2663="","",ROW()-2)</f>
        <v/>
      </c>
      <c r="M2663" s="10" t="str">
        <f aca="false">IF($A2663="","",ROW())</f>
        <v/>
      </c>
    </row>
    <row r="2664" customFormat="false" ht="15" hidden="false" customHeight="true" outlineLevel="0" collapsed="false">
      <c r="A2664" s="8"/>
      <c r="B2664" s="8"/>
      <c r="C2664" s="8"/>
      <c r="D2664" s="8"/>
      <c r="E2664" s="8"/>
      <c r="F2664" s="8"/>
      <c r="G2664" s="10" t="str">
        <f aca="false">IF($A2664="","",UPPER(SUBSTITUTE(SUBSTITUTE(SUBSTITUTE(SUBSTITUTE($A2664," ",""),"(주)",""),"주식회사",""),"㈜","")))</f>
        <v/>
      </c>
      <c r="H2664" s="10" t="str">
        <f aca="false">IF($B2664="","",SUBSTITUTE(SUBSTITUTE(SUBSTITUTE($B2664,"-","")," ",""),".",""))</f>
        <v/>
      </c>
      <c r="I2664" s="10" t="str">
        <f aca="false">IF($D2664="","",SUBSTITUTE(SUBSTITUTE(SUBSTITUTE($D2664,"-","")," ",""),".",""))</f>
        <v/>
      </c>
      <c r="J2664" s="10" t="str">
        <f aca="false">IF($E2664="","",UPPER(SUBSTITUTE($E2664," ","")))</f>
        <v/>
      </c>
      <c r="K2664" s="10" t="str">
        <f aca="false">IF($A2664="","",$G2664&amp;"|"&amp;$J2664)</f>
        <v/>
      </c>
      <c r="L2664" s="10" t="str">
        <f aca="false">IF($A2664="","",ROW()-2)</f>
        <v/>
      </c>
      <c r="M2664" s="10" t="str">
        <f aca="false">IF($A2664="","",ROW())</f>
        <v/>
      </c>
    </row>
    <row r="2665" customFormat="false" ht="15" hidden="false" customHeight="true" outlineLevel="0" collapsed="false">
      <c r="A2665" s="8"/>
      <c r="B2665" s="8"/>
      <c r="C2665" s="8"/>
      <c r="D2665" s="8"/>
      <c r="E2665" s="8"/>
      <c r="F2665" s="8"/>
      <c r="G2665" s="10" t="str">
        <f aca="false">IF($A2665="","",UPPER(SUBSTITUTE(SUBSTITUTE(SUBSTITUTE(SUBSTITUTE($A2665," ",""),"(주)",""),"주식회사",""),"㈜","")))</f>
        <v/>
      </c>
      <c r="H2665" s="10" t="str">
        <f aca="false">IF($B2665="","",SUBSTITUTE(SUBSTITUTE(SUBSTITUTE($B2665,"-","")," ",""),".",""))</f>
        <v/>
      </c>
      <c r="I2665" s="10" t="str">
        <f aca="false">IF($D2665="","",SUBSTITUTE(SUBSTITUTE(SUBSTITUTE($D2665,"-","")," ",""),".",""))</f>
        <v/>
      </c>
      <c r="J2665" s="10" t="str">
        <f aca="false">IF($E2665="","",UPPER(SUBSTITUTE($E2665," ","")))</f>
        <v/>
      </c>
      <c r="K2665" s="10" t="str">
        <f aca="false">IF($A2665="","",$G2665&amp;"|"&amp;$J2665)</f>
        <v/>
      </c>
      <c r="L2665" s="10" t="str">
        <f aca="false">IF($A2665="","",ROW()-2)</f>
        <v/>
      </c>
      <c r="M2665" s="10" t="str">
        <f aca="false">IF($A2665="","",ROW())</f>
        <v/>
      </c>
    </row>
    <row r="2666" customFormat="false" ht="15" hidden="false" customHeight="true" outlineLevel="0" collapsed="false">
      <c r="A2666" s="8"/>
      <c r="B2666" s="8"/>
      <c r="C2666" s="8"/>
      <c r="D2666" s="8"/>
      <c r="E2666" s="8"/>
      <c r="F2666" s="8"/>
      <c r="G2666" s="10" t="str">
        <f aca="false">IF($A2666="","",UPPER(SUBSTITUTE(SUBSTITUTE(SUBSTITUTE(SUBSTITUTE($A2666," ",""),"(주)",""),"주식회사",""),"㈜","")))</f>
        <v/>
      </c>
      <c r="H2666" s="10" t="str">
        <f aca="false">IF($B2666="","",SUBSTITUTE(SUBSTITUTE(SUBSTITUTE($B2666,"-","")," ",""),".",""))</f>
        <v/>
      </c>
      <c r="I2666" s="10" t="str">
        <f aca="false">IF($D2666="","",SUBSTITUTE(SUBSTITUTE(SUBSTITUTE($D2666,"-","")," ",""),".",""))</f>
        <v/>
      </c>
      <c r="J2666" s="10" t="str">
        <f aca="false">IF($E2666="","",UPPER(SUBSTITUTE($E2666," ","")))</f>
        <v/>
      </c>
      <c r="K2666" s="10" t="str">
        <f aca="false">IF($A2666="","",$G2666&amp;"|"&amp;$J2666)</f>
        <v/>
      </c>
      <c r="L2666" s="10" t="str">
        <f aca="false">IF($A2666="","",ROW()-2)</f>
        <v/>
      </c>
      <c r="M2666" s="10" t="str">
        <f aca="false">IF($A2666="","",ROW())</f>
        <v/>
      </c>
    </row>
    <row r="2667" customFormat="false" ht="15" hidden="false" customHeight="true" outlineLevel="0" collapsed="false">
      <c r="A2667" s="8"/>
      <c r="B2667" s="8"/>
      <c r="C2667" s="8"/>
      <c r="D2667" s="8"/>
      <c r="E2667" s="8"/>
      <c r="F2667" s="8"/>
      <c r="G2667" s="10" t="str">
        <f aca="false">IF($A2667="","",UPPER(SUBSTITUTE(SUBSTITUTE(SUBSTITUTE(SUBSTITUTE($A2667," ",""),"(주)",""),"주식회사",""),"㈜","")))</f>
        <v/>
      </c>
      <c r="H2667" s="10" t="str">
        <f aca="false">IF($B2667="","",SUBSTITUTE(SUBSTITUTE(SUBSTITUTE($B2667,"-","")," ",""),".",""))</f>
        <v/>
      </c>
      <c r="I2667" s="10" t="str">
        <f aca="false">IF($D2667="","",SUBSTITUTE(SUBSTITUTE(SUBSTITUTE($D2667,"-","")," ",""),".",""))</f>
        <v/>
      </c>
      <c r="J2667" s="10" t="str">
        <f aca="false">IF($E2667="","",UPPER(SUBSTITUTE($E2667," ","")))</f>
        <v/>
      </c>
      <c r="K2667" s="10" t="str">
        <f aca="false">IF($A2667="","",$G2667&amp;"|"&amp;$J2667)</f>
        <v/>
      </c>
      <c r="L2667" s="10" t="str">
        <f aca="false">IF($A2667="","",ROW()-2)</f>
        <v/>
      </c>
      <c r="M2667" s="10" t="str">
        <f aca="false">IF($A2667="","",ROW())</f>
        <v/>
      </c>
    </row>
    <row r="2668" customFormat="false" ht="15" hidden="false" customHeight="true" outlineLevel="0" collapsed="false">
      <c r="A2668" s="8"/>
      <c r="B2668" s="8"/>
      <c r="C2668" s="8"/>
      <c r="D2668" s="8"/>
      <c r="E2668" s="8"/>
      <c r="F2668" s="8"/>
      <c r="G2668" s="10" t="str">
        <f aca="false">IF($A2668="","",UPPER(SUBSTITUTE(SUBSTITUTE(SUBSTITUTE(SUBSTITUTE($A2668," ",""),"(주)",""),"주식회사",""),"㈜","")))</f>
        <v/>
      </c>
      <c r="H2668" s="10" t="str">
        <f aca="false">IF($B2668="","",SUBSTITUTE(SUBSTITUTE(SUBSTITUTE($B2668,"-","")," ",""),".",""))</f>
        <v/>
      </c>
      <c r="I2668" s="10" t="str">
        <f aca="false">IF($D2668="","",SUBSTITUTE(SUBSTITUTE(SUBSTITUTE($D2668,"-","")," ",""),".",""))</f>
        <v/>
      </c>
      <c r="J2668" s="10" t="str">
        <f aca="false">IF($E2668="","",UPPER(SUBSTITUTE($E2668," ","")))</f>
        <v/>
      </c>
      <c r="K2668" s="10" t="str">
        <f aca="false">IF($A2668="","",$G2668&amp;"|"&amp;$J2668)</f>
        <v/>
      </c>
      <c r="L2668" s="10" t="str">
        <f aca="false">IF($A2668="","",ROW()-2)</f>
        <v/>
      </c>
      <c r="M2668" s="10" t="str">
        <f aca="false">IF($A2668="","",ROW())</f>
        <v/>
      </c>
    </row>
    <row r="2669" customFormat="false" ht="15" hidden="false" customHeight="true" outlineLevel="0" collapsed="false">
      <c r="A2669" s="8"/>
      <c r="B2669" s="8"/>
      <c r="C2669" s="8"/>
      <c r="D2669" s="8"/>
      <c r="E2669" s="8"/>
      <c r="F2669" s="8"/>
      <c r="G2669" s="10" t="str">
        <f aca="false">IF($A2669="","",UPPER(SUBSTITUTE(SUBSTITUTE(SUBSTITUTE(SUBSTITUTE($A2669," ",""),"(주)",""),"주식회사",""),"㈜","")))</f>
        <v/>
      </c>
      <c r="H2669" s="10" t="str">
        <f aca="false">IF($B2669="","",SUBSTITUTE(SUBSTITUTE(SUBSTITUTE($B2669,"-","")," ",""),".",""))</f>
        <v/>
      </c>
      <c r="I2669" s="10" t="str">
        <f aca="false">IF($D2669="","",SUBSTITUTE(SUBSTITUTE(SUBSTITUTE($D2669,"-","")," ",""),".",""))</f>
        <v/>
      </c>
      <c r="J2669" s="10" t="str">
        <f aca="false">IF($E2669="","",UPPER(SUBSTITUTE($E2669," ","")))</f>
        <v/>
      </c>
      <c r="K2669" s="10" t="str">
        <f aca="false">IF($A2669="","",$G2669&amp;"|"&amp;$J2669)</f>
        <v/>
      </c>
      <c r="L2669" s="10" t="str">
        <f aca="false">IF($A2669="","",ROW()-2)</f>
        <v/>
      </c>
      <c r="M2669" s="10" t="str">
        <f aca="false">IF($A2669="","",ROW())</f>
        <v/>
      </c>
    </row>
    <row r="2670" customFormat="false" ht="15" hidden="false" customHeight="true" outlineLevel="0" collapsed="false">
      <c r="A2670" s="8"/>
      <c r="B2670" s="8"/>
      <c r="C2670" s="8"/>
      <c r="D2670" s="8"/>
      <c r="E2670" s="8"/>
      <c r="F2670" s="8"/>
      <c r="G2670" s="10" t="str">
        <f aca="false">IF($A2670="","",UPPER(SUBSTITUTE(SUBSTITUTE(SUBSTITUTE(SUBSTITUTE($A2670," ",""),"(주)",""),"주식회사",""),"㈜","")))</f>
        <v/>
      </c>
      <c r="H2670" s="10" t="str">
        <f aca="false">IF($B2670="","",SUBSTITUTE(SUBSTITUTE(SUBSTITUTE($B2670,"-","")," ",""),".",""))</f>
        <v/>
      </c>
      <c r="I2670" s="10" t="str">
        <f aca="false">IF($D2670="","",SUBSTITUTE(SUBSTITUTE(SUBSTITUTE($D2670,"-","")," ",""),".",""))</f>
        <v/>
      </c>
      <c r="J2670" s="10" t="str">
        <f aca="false">IF($E2670="","",UPPER(SUBSTITUTE($E2670," ","")))</f>
        <v/>
      </c>
      <c r="K2670" s="10" t="str">
        <f aca="false">IF($A2670="","",$G2670&amp;"|"&amp;$J2670)</f>
        <v/>
      </c>
      <c r="L2670" s="10" t="str">
        <f aca="false">IF($A2670="","",ROW()-2)</f>
        <v/>
      </c>
      <c r="M2670" s="10" t="str">
        <f aca="false">IF($A2670="","",ROW())</f>
        <v/>
      </c>
    </row>
    <row r="2671" customFormat="false" ht="15" hidden="false" customHeight="true" outlineLevel="0" collapsed="false">
      <c r="A2671" s="8"/>
      <c r="B2671" s="8"/>
      <c r="C2671" s="8"/>
      <c r="D2671" s="8"/>
      <c r="E2671" s="8"/>
      <c r="F2671" s="8"/>
      <c r="G2671" s="10" t="str">
        <f aca="false">IF($A2671="","",UPPER(SUBSTITUTE(SUBSTITUTE(SUBSTITUTE(SUBSTITUTE($A2671," ",""),"(주)",""),"주식회사",""),"㈜","")))</f>
        <v/>
      </c>
      <c r="H2671" s="10" t="str">
        <f aca="false">IF($B2671="","",SUBSTITUTE(SUBSTITUTE(SUBSTITUTE($B2671,"-","")," ",""),".",""))</f>
        <v/>
      </c>
      <c r="I2671" s="10" t="str">
        <f aca="false">IF($D2671="","",SUBSTITUTE(SUBSTITUTE(SUBSTITUTE($D2671,"-","")," ",""),".",""))</f>
        <v/>
      </c>
      <c r="J2671" s="10" t="str">
        <f aca="false">IF($E2671="","",UPPER(SUBSTITUTE($E2671," ","")))</f>
        <v/>
      </c>
      <c r="K2671" s="10" t="str">
        <f aca="false">IF($A2671="","",$G2671&amp;"|"&amp;$J2671)</f>
        <v/>
      </c>
      <c r="L2671" s="10" t="str">
        <f aca="false">IF($A2671="","",ROW()-2)</f>
        <v/>
      </c>
      <c r="M2671" s="10" t="str">
        <f aca="false">IF($A2671="","",ROW())</f>
        <v/>
      </c>
    </row>
    <row r="2672" customFormat="false" ht="15" hidden="false" customHeight="true" outlineLevel="0" collapsed="false">
      <c r="A2672" s="8"/>
      <c r="B2672" s="8"/>
      <c r="C2672" s="8"/>
      <c r="D2672" s="8"/>
      <c r="E2672" s="8"/>
      <c r="F2672" s="8"/>
      <c r="G2672" s="10" t="str">
        <f aca="false">IF($A2672="","",UPPER(SUBSTITUTE(SUBSTITUTE(SUBSTITUTE(SUBSTITUTE($A2672," ",""),"(주)",""),"주식회사",""),"㈜","")))</f>
        <v/>
      </c>
      <c r="H2672" s="10" t="str">
        <f aca="false">IF($B2672="","",SUBSTITUTE(SUBSTITUTE(SUBSTITUTE($B2672,"-","")," ",""),".",""))</f>
        <v/>
      </c>
      <c r="I2672" s="10" t="str">
        <f aca="false">IF($D2672="","",SUBSTITUTE(SUBSTITUTE(SUBSTITUTE($D2672,"-","")," ",""),".",""))</f>
        <v/>
      </c>
      <c r="J2672" s="10" t="str">
        <f aca="false">IF($E2672="","",UPPER(SUBSTITUTE($E2672," ","")))</f>
        <v/>
      </c>
      <c r="K2672" s="10" t="str">
        <f aca="false">IF($A2672="","",$G2672&amp;"|"&amp;$J2672)</f>
        <v/>
      </c>
      <c r="L2672" s="10" t="str">
        <f aca="false">IF($A2672="","",ROW()-2)</f>
        <v/>
      </c>
      <c r="M2672" s="10" t="str">
        <f aca="false">IF($A2672="","",ROW())</f>
        <v/>
      </c>
    </row>
    <row r="2673" customFormat="false" ht="15" hidden="false" customHeight="true" outlineLevel="0" collapsed="false">
      <c r="A2673" s="8"/>
      <c r="B2673" s="8"/>
      <c r="C2673" s="8"/>
      <c r="D2673" s="8"/>
      <c r="E2673" s="8"/>
      <c r="F2673" s="8"/>
      <c r="G2673" s="10" t="str">
        <f aca="false">IF($A2673="","",UPPER(SUBSTITUTE(SUBSTITUTE(SUBSTITUTE(SUBSTITUTE($A2673," ",""),"(주)",""),"주식회사",""),"㈜","")))</f>
        <v/>
      </c>
      <c r="H2673" s="10" t="str">
        <f aca="false">IF($B2673="","",SUBSTITUTE(SUBSTITUTE(SUBSTITUTE($B2673,"-","")," ",""),".",""))</f>
        <v/>
      </c>
      <c r="I2673" s="10" t="str">
        <f aca="false">IF($D2673="","",SUBSTITUTE(SUBSTITUTE(SUBSTITUTE($D2673,"-","")," ",""),".",""))</f>
        <v/>
      </c>
      <c r="J2673" s="10" t="str">
        <f aca="false">IF($E2673="","",UPPER(SUBSTITUTE($E2673," ","")))</f>
        <v/>
      </c>
      <c r="K2673" s="10" t="str">
        <f aca="false">IF($A2673="","",$G2673&amp;"|"&amp;$J2673)</f>
        <v/>
      </c>
      <c r="L2673" s="10" t="str">
        <f aca="false">IF($A2673="","",ROW()-2)</f>
        <v/>
      </c>
      <c r="M2673" s="10" t="str">
        <f aca="false">IF($A2673="","",ROW())</f>
        <v/>
      </c>
    </row>
    <row r="2674" customFormat="false" ht="15" hidden="false" customHeight="true" outlineLevel="0" collapsed="false">
      <c r="A2674" s="8"/>
      <c r="B2674" s="8"/>
      <c r="C2674" s="8"/>
      <c r="D2674" s="8"/>
      <c r="E2674" s="8"/>
      <c r="F2674" s="8"/>
      <c r="G2674" s="10" t="str">
        <f aca="false">IF($A2674="","",UPPER(SUBSTITUTE(SUBSTITUTE(SUBSTITUTE(SUBSTITUTE($A2674," ",""),"(주)",""),"주식회사",""),"㈜","")))</f>
        <v/>
      </c>
      <c r="H2674" s="10" t="str">
        <f aca="false">IF($B2674="","",SUBSTITUTE(SUBSTITUTE(SUBSTITUTE($B2674,"-","")," ",""),".",""))</f>
        <v/>
      </c>
      <c r="I2674" s="10" t="str">
        <f aca="false">IF($D2674="","",SUBSTITUTE(SUBSTITUTE(SUBSTITUTE($D2674,"-","")," ",""),".",""))</f>
        <v/>
      </c>
      <c r="J2674" s="10" t="str">
        <f aca="false">IF($E2674="","",UPPER(SUBSTITUTE($E2674," ","")))</f>
        <v/>
      </c>
      <c r="K2674" s="10" t="str">
        <f aca="false">IF($A2674="","",$G2674&amp;"|"&amp;$J2674)</f>
        <v/>
      </c>
      <c r="L2674" s="10" t="str">
        <f aca="false">IF($A2674="","",ROW()-2)</f>
        <v/>
      </c>
      <c r="M2674" s="10" t="str">
        <f aca="false">IF($A2674="","",ROW())</f>
        <v/>
      </c>
    </row>
    <row r="2675" customFormat="false" ht="15" hidden="false" customHeight="true" outlineLevel="0" collapsed="false">
      <c r="A2675" s="8"/>
      <c r="B2675" s="8"/>
      <c r="C2675" s="8"/>
      <c r="D2675" s="8"/>
      <c r="E2675" s="8"/>
      <c r="F2675" s="8"/>
      <c r="G2675" s="10" t="str">
        <f aca="false">IF($A2675="","",UPPER(SUBSTITUTE(SUBSTITUTE(SUBSTITUTE(SUBSTITUTE($A2675," ",""),"(주)",""),"주식회사",""),"㈜","")))</f>
        <v/>
      </c>
      <c r="H2675" s="10" t="str">
        <f aca="false">IF($B2675="","",SUBSTITUTE(SUBSTITUTE(SUBSTITUTE($B2675,"-","")," ",""),".",""))</f>
        <v/>
      </c>
      <c r="I2675" s="10" t="str">
        <f aca="false">IF($D2675="","",SUBSTITUTE(SUBSTITUTE(SUBSTITUTE($D2675,"-","")," ",""),".",""))</f>
        <v/>
      </c>
      <c r="J2675" s="10" t="str">
        <f aca="false">IF($E2675="","",UPPER(SUBSTITUTE($E2675," ","")))</f>
        <v/>
      </c>
      <c r="K2675" s="10" t="str">
        <f aca="false">IF($A2675="","",$G2675&amp;"|"&amp;$J2675)</f>
        <v/>
      </c>
      <c r="L2675" s="10" t="str">
        <f aca="false">IF($A2675="","",ROW()-2)</f>
        <v/>
      </c>
      <c r="M2675" s="10" t="str">
        <f aca="false">IF($A2675="","",ROW())</f>
        <v/>
      </c>
    </row>
    <row r="2676" customFormat="false" ht="15" hidden="false" customHeight="true" outlineLevel="0" collapsed="false">
      <c r="A2676" s="8"/>
      <c r="B2676" s="8"/>
      <c r="C2676" s="8"/>
      <c r="D2676" s="8"/>
      <c r="E2676" s="8"/>
      <c r="F2676" s="8"/>
      <c r="G2676" s="10" t="str">
        <f aca="false">IF($A2676="","",UPPER(SUBSTITUTE(SUBSTITUTE(SUBSTITUTE(SUBSTITUTE($A2676," ",""),"(주)",""),"주식회사",""),"㈜","")))</f>
        <v/>
      </c>
      <c r="H2676" s="10" t="str">
        <f aca="false">IF($B2676="","",SUBSTITUTE(SUBSTITUTE(SUBSTITUTE($B2676,"-","")," ",""),".",""))</f>
        <v/>
      </c>
      <c r="I2676" s="10" t="str">
        <f aca="false">IF($D2676="","",SUBSTITUTE(SUBSTITUTE(SUBSTITUTE($D2676,"-","")," ",""),".",""))</f>
        <v/>
      </c>
      <c r="J2676" s="10" t="str">
        <f aca="false">IF($E2676="","",UPPER(SUBSTITUTE($E2676," ","")))</f>
        <v/>
      </c>
      <c r="K2676" s="10" t="str">
        <f aca="false">IF($A2676="","",$G2676&amp;"|"&amp;$J2676)</f>
        <v/>
      </c>
      <c r="L2676" s="10" t="str">
        <f aca="false">IF($A2676="","",ROW()-2)</f>
        <v/>
      </c>
      <c r="M2676" s="10" t="str">
        <f aca="false">IF($A2676="","",ROW())</f>
        <v/>
      </c>
    </row>
    <row r="2677" customFormat="false" ht="15" hidden="false" customHeight="true" outlineLevel="0" collapsed="false">
      <c r="A2677" s="8"/>
      <c r="B2677" s="8"/>
      <c r="C2677" s="8"/>
      <c r="D2677" s="8"/>
      <c r="E2677" s="8"/>
      <c r="F2677" s="8"/>
      <c r="G2677" s="10" t="str">
        <f aca="false">IF($A2677="","",UPPER(SUBSTITUTE(SUBSTITUTE(SUBSTITUTE(SUBSTITUTE($A2677," ",""),"(주)",""),"주식회사",""),"㈜","")))</f>
        <v/>
      </c>
      <c r="H2677" s="10" t="str">
        <f aca="false">IF($B2677="","",SUBSTITUTE(SUBSTITUTE(SUBSTITUTE($B2677,"-","")," ",""),".",""))</f>
        <v/>
      </c>
      <c r="I2677" s="10" t="str">
        <f aca="false">IF($D2677="","",SUBSTITUTE(SUBSTITUTE(SUBSTITUTE($D2677,"-","")," ",""),".",""))</f>
        <v/>
      </c>
      <c r="J2677" s="10" t="str">
        <f aca="false">IF($E2677="","",UPPER(SUBSTITUTE($E2677," ","")))</f>
        <v/>
      </c>
      <c r="K2677" s="10" t="str">
        <f aca="false">IF($A2677="","",$G2677&amp;"|"&amp;$J2677)</f>
        <v/>
      </c>
      <c r="L2677" s="10" t="str">
        <f aca="false">IF($A2677="","",ROW()-2)</f>
        <v/>
      </c>
      <c r="M2677" s="10" t="str">
        <f aca="false">IF($A2677="","",ROW())</f>
        <v/>
      </c>
    </row>
    <row r="2678" customFormat="false" ht="15" hidden="false" customHeight="true" outlineLevel="0" collapsed="false">
      <c r="A2678" s="8"/>
      <c r="B2678" s="8"/>
      <c r="C2678" s="8"/>
      <c r="D2678" s="8"/>
      <c r="E2678" s="8"/>
      <c r="F2678" s="8"/>
      <c r="G2678" s="10" t="str">
        <f aca="false">IF($A2678="","",UPPER(SUBSTITUTE(SUBSTITUTE(SUBSTITUTE(SUBSTITUTE($A2678," ",""),"(주)",""),"주식회사",""),"㈜","")))</f>
        <v/>
      </c>
      <c r="H2678" s="10" t="str">
        <f aca="false">IF($B2678="","",SUBSTITUTE(SUBSTITUTE(SUBSTITUTE($B2678,"-","")," ",""),".",""))</f>
        <v/>
      </c>
      <c r="I2678" s="10" t="str">
        <f aca="false">IF($D2678="","",SUBSTITUTE(SUBSTITUTE(SUBSTITUTE($D2678,"-","")," ",""),".",""))</f>
        <v/>
      </c>
      <c r="J2678" s="10" t="str">
        <f aca="false">IF($E2678="","",UPPER(SUBSTITUTE($E2678," ","")))</f>
        <v/>
      </c>
      <c r="K2678" s="10" t="str">
        <f aca="false">IF($A2678="","",$G2678&amp;"|"&amp;$J2678)</f>
        <v/>
      </c>
      <c r="L2678" s="10" t="str">
        <f aca="false">IF($A2678="","",ROW()-2)</f>
        <v/>
      </c>
      <c r="M2678" s="10" t="str">
        <f aca="false">IF($A2678="","",ROW())</f>
        <v/>
      </c>
    </row>
    <row r="2679" customFormat="false" ht="15" hidden="false" customHeight="true" outlineLevel="0" collapsed="false">
      <c r="A2679" s="8"/>
      <c r="B2679" s="8"/>
      <c r="C2679" s="8"/>
      <c r="D2679" s="8"/>
      <c r="E2679" s="8"/>
      <c r="F2679" s="8"/>
      <c r="G2679" s="10" t="str">
        <f aca="false">IF($A2679="","",UPPER(SUBSTITUTE(SUBSTITUTE(SUBSTITUTE(SUBSTITUTE($A2679," ",""),"(주)",""),"주식회사",""),"㈜","")))</f>
        <v/>
      </c>
      <c r="H2679" s="10" t="str">
        <f aca="false">IF($B2679="","",SUBSTITUTE(SUBSTITUTE(SUBSTITUTE($B2679,"-","")," ",""),".",""))</f>
        <v/>
      </c>
      <c r="I2679" s="10" t="str">
        <f aca="false">IF($D2679="","",SUBSTITUTE(SUBSTITUTE(SUBSTITUTE($D2679,"-","")," ",""),".",""))</f>
        <v/>
      </c>
      <c r="J2679" s="10" t="str">
        <f aca="false">IF($E2679="","",UPPER(SUBSTITUTE($E2679," ","")))</f>
        <v/>
      </c>
      <c r="K2679" s="10" t="str">
        <f aca="false">IF($A2679="","",$G2679&amp;"|"&amp;$J2679)</f>
        <v/>
      </c>
      <c r="L2679" s="10" t="str">
        <f aca="false">IF($A2679="","",ROW()-2)</f>
        <v/>
      </c>
      <c r="M2679" s="10" t="str">
        <f aca="false">IF($A2679="","",ROW())</f>
        <v/>
      </c>
    </row>
    <row r="2680" customFormat="false" ht="15" hidden="false" customHeight="true" outlineLevel="0" collapsed="false">
      <c r="A2680" s="8"/>
      <c r="B2680" s="8"/>
      <c r="C2680" s="8"/>
      <c r="D2680" s="8"/>
      <c r="E2680" s="8"/>
      <c r="F2680" s="8"/>
      <c r="G2680" s="10" t="str">
        <f aca="false">IF($A2680="","",UPPER(SUBSTITUTE(SUBSTITUTE(SUBSTITUTE(SUBSTITUTE($A2680," ",""),"(주)",""),"주식회사",""),"㈜","")))</f>
        <v/>
      </c>
      <c r="H2680" s="10" t="str">
        <f aca="false">IF($B2680="","",SUBSTITUTE(SUBSTITUTE(SUBSTITUTE($B2680,"-","")," ",""),".",""))</f>
        <v/>
      </c>
      <c r="I2680" s="10" t="str">
        <f aca="false">IF($D2680="","",SUBSTITUTE(SUBSTITUTE(SUBSTITUTE($D2680,"-","")," ",""),".",""))</f>
        <v/>
      </c>
      <c r="J2680" s="10" t="str">
        <f aca="false">IF($E2680="","",UPPER(SUBSTITUTE($E2680," ","")))</f>
        <v/>
      </c>
      <c r="K2680" s="10" t="str">
        <f aca="false">IF($A2680="","",$G2680&amp;"|"&amp;$J2680)</f>
        <v/>
      </c>
      <c r="L2680" s="10" t="str">
        <f aca="false">IF($A2680="","",ROW()-2)</f>
        <v/>
      </c>
      <c r="M2680" s="10" t="str">
        <f aca="false">IF($A2680="","",ROW())</f>
        <v/>
      </c>
    </row>
    <row r="2681" customFormat="false" ht="15" hidden="false" customHeight="true" outlineLevel="0" collapsed="false">
      <c r="A2681" s="8"/>
      <c r="B2681" s="8"/>
      <c r="C2681" s="8"/>
      <c r="D2681" s="8"/>
      <c r="E2681" s="8"/>
      <c r="F2681" s="8"/>
      <c r="G2681" s="10" t="str">
        <f aca="false">IF($A2681="","",UPPER(SUBSTITUTE(SUBSTITUTE(SUBSTITUTE(SUBSTITUTE($A2681," ",""),"(주)",""),"주식회사",""),"㈜","")))</f>
        <v/>
      </c>
      <c r="H2681" s="10" t="str">
        <f aca="false">IF($B2681="","",SUBSTITUTE(SUBSTITUTE(SUBSTITUTE($B2681,"-","")," ",""),".",""))</f>
        <v/>
      </c>
      <c r="I2681" s="10" t="str">
        <f aca="false">IF($D2681="","",SUBSTITUTE(SUBSTITUTE(SUBSTITUTE($D2681,"-","")," ",""),".",""))</f>
        <v/>
      </c>
      <c r="J2681" s="10" t="str">
        <f aca="false">IF($E2681="","",UPPER(SUBSTITUTE($E2681," ","")))</f>
        <v/>
      </c>
      <c r="K2681" s="10" t="str">
        <f aca="false">IF($A2681="","",$G2681&amp;"|"&amp;$J2681)</f>
        <v/>
      </c>
      <c r="L2681" s="10" t="str">
        <f aca="false">IF($A2681="","",ROW()-2)</f>
        <v/>
      </c>
      <c r="M2681" s="10" t="str">
        <f aca="false">IF($A2681="","",ROW())</f>
        <v/>
      </c>
    </row>
    <row r="2682" customFormat="false" ht="15" hidden="false" customHeight="true" outlineLevel="0" collapsed="false">
      <c r="A2682" s="8"/>
      <c r="B2682" s="8"/>
      <c r="C2682" s="8"/>
      <c r="D2682" s="8"/>
      <c r="E2682" s="8"/>
      <c r="F2682" s="8"/>
      <c r="G2682" s="10" t="str">
        <f aca="false">IF($A2682="","",UPPER(SUBSTITUTE(SUBSTITUTE(SUBSTITUTE(SUBSTITUTE($A2682," ",""),"(주)",""),"주식회사",""),"㈜","")))</f>
        <v/>
      </c>
      <c r="H2682" s="10" t="str">
        <f aca="false">IF($B2682="","",SUBSTITUTE(SUBSTITUTE(SUBSTITUTE($B2682,"-","")," ",""),".",""))</f>
        <v/>
      </c>
      <c r="I2682" s="10" t="str">
        <f aca="false">IF($D2682="","",SUBSTITUTE(SUBSTITUTE(SUBSTITUTE($D2682,"-","")," ",""),".",""))</f>
        <v/>
      </c>
      <c r="J2682" s="10" t="str">
        <f aca="false">IF($E2682="","",UPPER(SUBSTITUTE($E2682," ","")))</f>
        <v/>
      </c>
      <c r="K2682" s="10" t="str">
        <f aca="false">IF($A2682="","",$G2682&amp;"|"&amp;$J2682)</f>
        <v/>
      </c>
      <c r="L2682" s="10" t="str">
        <f aca="false">IF($A2682="","",ROW()-2)</f>
        <v/>
      </c>
      <c r="M2682" s="10" t="str">
        <f aca="false">IF($A2682="","",ROW())</f>
        <v/>
      </c>
    </row>
    <row r="2683" customFormat="false" ht="15" hidden="false" customHeight="true" outlineLevel="0" collapsed="false">
      <c r="A2683" s="8"/>
      <c r="B2683" s="8"/>
      <c r="C2683" s="8"/>
      <c r="D2683" s="8"/>
      <c r="E2683" s="8"/>
      <c r="F2683" s="8"/>
      <c r="G2683" s="10" t="str">
        <f aca="false">IF($A2683="","",UPPER(SUBSTITUTE(SUBSTITUTE(SUBSTITUTE(SUBSTITUTE($A2683," ",""),"(주)",""),"주식회사",""),"㈜","")))</f>
        <v/>
      </c>
      <c r="H2683" s="10" t="str">
        <f aca="false">IF($B2683="","",SUBSTITUTE(SUBSTITUTE(SUBSTITUTE($B2683,"-","")," ",""),".",""))</f>
        <v/>
      </c>
      <c r="I2683" s="10" t="str">
        <f aca="false">IF($D2683="","",SUBSTITUTE(SUBSTITUTE(SUBSTITUTE($D2683,"-","")," ",""),".",""))</f>
        <v/>
      </c>
      <c r="J2683" s="10" t="str">
        <f aca="false">IF($E2683="","",UPPER(SUBSTITUTE($E2683," ","")))</f>
        <v/>
      </c>
      <c r="K2683" s="10" t="str">
        <f aca="false">IF($A2683="","",$G2683&amp;"|"&amp;$J2683)</f>
        <v/>
      </c>
      <c r="L2683" s="10" t="str">
        <f aca="false">IF($A2683="","",ROW()-2)</f>
        <v/>
      </c>
      <c r="M2683" s="10" t="str">
        <f aca="false">IF($A2683="","",ROW())</f>
        <v/>
      </c>
    </row>
    <row r="2684" customFormat="false" ht="15" hidden="false" customHeight="true" outlineLevel="0" collapsed="false">
      <c r="A2684" s="8"/>
      <c r="B2684" s="8"/>
      <c r="C2684" s="8"/>
      <c r="D2684" s="8"/>
      <c r="E2684" s="8"/>
      <c r="F2684" s="8"/>
      <c r="G2684" s="10" t="str">
        <f aca="false">IF($A2684="","",UPPER(SUBSTITUTE(SUBSTITUTE(SUBSTITUTE(SUBSTITUTE($A2684," ",""),"(주)",""),"주식회사",""),"㈜","")))</f>
        <v/>
      </c>
      <c r="H2684" s="10" t="str">
        <f aca="false">IF($B2684="","",SUBSTITUTE(SUBSTITUTE(SUBSTITUTE($B2684,"-","")," ",""),".",""))</f>
        <v/>
      </c>
      <c r="I2684" s="10" t="str">
        <f aca="false">IF($D2684="","",SUBSTITUTE(SUBSTITUTE(SUBSTITUTE($D2684,"-","")," ",""),".",""))</f>
        <v/>
      </c>
      <c r="J2684" s="10" t="str">
        <f aca="false">IF($E2684="","",UPPER(SUBSTITUTE($E2684," ","")))</f>
        <v/>
      </c>
      <c r="K2684" s="10" t="str">
        <f aca="false">IF($A2684="","",$G2684&amp;"|"&amp;$J2684)</f>
        <v/>
      </c>
      <c r="L2684" s="10" t="str">
        <f aca="false">IF($A2684="","",ROW()-2)</f>
        <v/>
      </c>
      <c r="M2684" s="10" t="str">
        <f aca="false">IF($A2684="","",ROW())</f>
        <v/>
      </c>
    </row>
    <row r="2685" customFormat="false" ht="15" hidden="false" customHeight="true" outlineLevel="0" collapsed="false">
      <c r="A2685" s="8"/>
      <c r="B2685" s="8"/>
      <c r="C2685" s="8"/>
      <c r="D2685" s="8"/>
      <c r="E2685" s="8"/>
      <c r="F2685" s="8"/>
      <c r="G2685" s="10" t="str">
        <f aca="false">IF($A2685="","",UPPER(SUBSTITUTE(SUBSTITUTE(SUBSTITUTE(SUBSTITUTE($A2685," ",""),"(주)",""),"주식회사",""),"㈜","")))</f>
        <v/>
      </c>
      <c r="H2685" s="10" t="str">
        <f aca="false">IF($B2685="","",SUBSTITUTE(SUBSTITUTE(SUBSTITUTE($B2685,"-","")," ",""),".",""))</f>
        <v/>
      </c>
      <c r="I2685" s="10" t="str">
        <f aca="false">IF($D2685="","",SUBSTITUTE(SUBSTITUTE(SUBSTITUTE($D2685,"-","")," ",""),".",""))</f>
        <v/>
      </c>
      <c r="J2685" s="10" t="str">
        <f aca="false">IF($E2685="","",UPPER(SUBSTITUTE($E2685," ","")))</f>
        <v/>
      </c>
      <c r="K2685" s="10" t="str">
        <f aca="false">IF($A2685="","",$G2685&amp;"|"&amp;$J2685)</f>
        <v/>
      </c>
      <c r="L2685" s="10" t="str">
        <f aca="false">IF($A2685="","",ROW()-2)</f>
        <v/>
      </c>
      <c r="M2685" s="10" t="str">
        <f aca="false">IF($A2685="","",ROW())</f>
        <v/>
      </c>
    </row>
    <row r="2686" customFormat="false" ht="15" hidden="false" customHeight="true" outlineLevel="0" collapsed="false">
      <c r="A2686" s="8"/>
      <c r="B2686" s="8"/>
      <c r="C2686" s="8"/>
      <c r="D2686" s="8"/>
      <c r="E2686" s="8"/>
      <c r="F2686" s="8"/>
      <c r="G2686" s="10" t="str">
        <f aca="false">IF($A2686="","",UPPER(SUBSTITUTE(SUBSTITUTE(SUBSTITUTE(SUBSTITUTE($A2686," ",""),"(주)",""),"주식회사",""),"㈜","")))</f>
        <v/>
      </c>
      <c r="H2686" s="10" t="str">
        <f aca="false">IF($B2686="","",SUBSTITUTE(SUBSTITUTE(SUBSTITUTE($B2686,"-","")," ",""),".",""))</f>
        <v/>
      </c>
      <c r="I2686" s="10" t="str">
        <f aca="false">IF($D2686="","",SUBSTITUTE(SUBSTITUTE(SUBSTITUTE($D2686,"-","")," ",""),".",""))</f>
        <v/>
      </c>
      <c r="J2686" s="10" t="str">
        <f aca="false">IF($E2686="","",UPPER(SUBSTITUTE($E2686," ","")))</f>
        <v/>
      </c>
      <c r="K2686" s="10" t="str">
        <f aca="false">IF($A2686="","",$G2686&amp;"|"&amp;$J2686)</f>
        <v/>
      </c>
      <c r="L2686" s="10" t="str">
        <f aca="false">IF($A2686="","",ROW()-2)</f>
        <v/>
      </c>
      <c r="M2686" s="10" t="str">
        <f aca="false">IF($A2686="","",ROW())</f>
        <v/>
      </c>
    </row>
    <row r="2687" customFormat="false" ht="15" hidden="false" customHeight="true" outlineLevel="0" collapsed="false">
      <c r="A2687" s="8"/>
      <c r="B2687" s="8"/>
      <c r="C2687" s="8"/>
      <c r="D2687" s="8"/>
      <c r="E2687" s="8"/>
      <c r="F2687" s="8"/>
      <c r="G2687" s="10" t="str">
        <f aca="false">IF($A2687="","",UPPER(SUBSTITUTE(SUBSTITUTE(SUBSTITUTE(SUBSTITUTE($A2687," ",""),"(주)",""),"주식회사",""),"㈜","")))</f>
        <v/>
      </c>
      <c r="H2687" s="10" t="str">
        <f aca="false">IF($B2687="","",SUBSTITUTE(SUBSTITUTE(SUBSTITUTE($B2687,"-","")," ",""),".",""))</f>
        <v/>
      </c>
      <c r="I2687" s="10" t="str">
        <f aca="false">IF($D2687="","",SUBSTITUTE(SUBSTITUTE(SUBSTITUTE($D2687,"-","")," ",""),".",""))</f>
        <v/>
      </c>
      <c r="J2687" s="10" t="str">
        <f aca="false">IF($E2687="","",UPPER(SUBSTITUTE($E2687," ","")))</f>
        <v/>
      </c>
      <c r="K2687" s="10" t="str">
        <f aca="false">IF($A2687="","",$G2687&amp;"|"&amp;$J2687)</f>
        <v/>
      </c>
      <c r="L2687" s="10" t="str">
        <f aca="false">IF($A2687="","",ROW()-2)</f>
        <v/>
      </c>
      <c r="M2687" s="10" t="str">
        <f aca="false">IF($A2687="","",ROW())</f>
        <v/>
      </c>
    </row>
    <row r="2688" customFormat="false" ht="15" hidden="false" customHeight="true" outlineLevel="0" collapsed="false">
      <c r="A2688" s="8"/>
      <c r="B2688" s="8"/>
      <c r="C2688" s="8"/>
      <c r="D2688" s="8"/>
      <c r="E2688" s="8"/>
      <c r="F2688" s="8"/>
      <c r="G2688" s="10" t="str">
        <f aca="false">IF($A2688="","",UPPER(SUBSTITUTE(SUBSTITUTE(SUBSTITUTE(SUBSTITUTE($A2688," ",""),"(주)",""),"주식회사",""),"㈜","")))</f>
        <v/>
      </c>
      <c r="H2688" s="10" t="str">
        <f aca="false">IF($B2688="","",SUBSTITUTE(SUBSTITUTE(SUBSTITUTE($B2688,"-","")," ",""),".",""))</f>
        <v/>
      </c>
      <c r="I2688" s="10" t="str">
        <f aca="false">IF($D2688="","",SUBSTITUTE(SUBSTITUTE(SUBSTITUTE($D2688,"-","")," ",""),".",""))</f>
        <v/>
      </c>
      <c r="J2688" s="10" t="str">
        <f aca="false">IF($E2688="","",UPPER(SUBSTITUTE($E2688," ","")))</f>
        <v/>
      </c>
      <c r="K2688" s="10" t="str">
        <f aca="false">IF($A2688="","",$G2688&amp;"|"&amp;$J2688)</f>
        <v/>
      </c>
      <c r="L2688" s="10" t="str">
        <f aca="false">IF($A2688="","",ROW()-2)</f>
        <v/>
      </c>
      <c r="M2688" s="10" t="str">
        <f aca="false">IF($A2688="","",ROW())</f>
        <v/>
      </c>
    </row>
    <row r="2689" customFormat="false" ht="15" hidden="false" customHeight="true" outlineLevel="0" collapsed="false">
      <c r="A2689" s="8"/>
      <c r="B2689" s="8"/>
      <c r="C2689" s="8"/>
      <c r="D2689" s="8"/>
      <c r="E2689" s="8"/>
      <c r="F2689" s="8"/>
      <c r="G2689" s="10" t="str">
        <f aca="false">IF($A2689="","",UPPER(SUBSTITUTE(SUBSTITUTE(SUBSTITUTE(SUBSTITUTE($A2689," ",""),"(주)",""),"주식회사",""),"㈜","")))</f>
        <v/>
      </c>
      <c r="H2689" s="10" t="str">
        <f aca="false">IF($B2689="","",SUBSTITUTE(SUBSTITUTE(SUBSTITUTE($B2689,"-","")," ",""),".",""))</f>
        <v/>
      </c>
      <c r="I2689" s="10" t="str">
        <f aca="false">IF($D2689="","",SUBSTITUTE(SUBSTITUTE(SUBSTITUTE($D2689,"-","")," ",""),".",""))</f>
        <v/>
      </c>
      <c r="J2689" s="10" t="str">
        <f aca="false">IF($E2689="","",UPPER(SUBSTITUTE($E2689," ","")))</f>
        <v/>
      </c>
      <c r="K2689" s="10" t="str">
        <f aca="false">IF($A2689="","",$G2689&amp;"|"&amp;$J2689)</f>
        <v/>
      </c>
      <c r="L2689" s="10" t="str">
        <f aca="false">IF($A2689="","",ROW()-2)</f>
        <v/>
      </c>
      <c r="M2689" s="10" t="str">
        <f aca="false">IF($A2689="","",ROW())</f>
        <v/>
      </c>
    </row>
    <row r="2690" customFormat="false" ht="15" hidden="false" customHeight="true" outlineLevel="0" collapsed="false">
      <c r="A2690" s="8"/>
      <c r="B2690" s="8"/>
      <c r="C2690" s="8"/>
      <c r="D2690" s="8"/>
      <c r="E2690" s="8"/>
      <c r="F2690" s="8"/>
      <c r="G2690" s="10" t="str">
        <f aca="false">IF($A2690="","",UPPER(SUBSTITUTE(SUBSTITUTE(SUBSTITUTE(SUBSTITUTE($A2690," ",""),"(주)",""),"주식회사",""),"㈜","")))</f>
        <v/>
      </c>
      <c r="H2690" s="10" t="str">
        <f aca="false">IF($B2690="","",SUBSTITUTE(SUBSTITUTE(SUBSTITUTE($B2690,"-","")," ",""),".",""))</f>
        <v/>
      </c>
      <c r="I2690" s="10" t="str">
        <f aca="false">IF($D2690="","",SUBSTITUTE(SUBSTITUTE(SUBSTITUTE($D2690,"-","")," ",""),".",""))</f>
        <v/>
      </c>
      <c r="J2690" s="10" t="str">
        <f aca="false">IF($E2690="","",UPPER(SUBSTITUTE($E2690," ","")))</f>
        <v/>
      </c>
      <c r="K2690" s="10" t="str">
        <f aca="false">IF($A2690="","",$G2690&amp;"|"&amp;$J2690)</f>
        <v/>
      </c>
      <c r="L2690" s="10" t="str">
        <f aca="false">IF($A2690="","",ROW()-2)</f>
        <v/>
      </c>
      <c r="M2690" s="10" t="str">
        <f aca="false">IF($A2690="","",ROW())</f>
        <v/>
      </c>
    </row>
    <row r="2691" customFormat="false" ht="15" hidden="false" customHeight="true" outlineLevel="0" collapsed="false">
      <c r="A2691" s="8"/>
      <c r="B2691" s="8"/>
      <c r="C2691" s="8"/>
      <c r="D2691" s="8"/>
      <c r="E2691" s="8"/>
      <c r="F2691" s="8"/>
      <c r="G2691" s="10" t="str">
        <f aca="false">IF($A2691="","",UPPER(SUBSTITUTE(SUBSTITUTE(SUBSTITUTE(SUBSTITUTE($A2691," ",""),"(주)",""),"주식회사",""),"㈜","")))</f>
        <v/>
      </c>
      <c r="H2691" s="10" t="str">
        <f aca="false">IF($B2691="","",SUBSTITUTE(SUBSTITUTE(SUBSTITUTE($B2691,"-","")," ",""),".",""))</f>
        <v/>
      </c>
      <c r="I2691" s="10" t="str">
        <f aca="false">IF($D2691="","",SUBSTITUTE(SUBSTITUTE(SUBSTITUTE($D2691,"-","")," ",""),".",""))</f>
        <v/>
      </c>
      <c r="J2691" s="10" t="str">
        <f aca="false">IF($E2691="","",UPPER(SUBSTITUTE($E2691," ","")))</f>
        <v/>
      </c>
      <c r="K2691" s="10" t="str">
        <f aca="false">IF($A2691="","",$G2691&amp;"|"&amp;$J2691)</f>
        <v/>
      </c>
      <c r="L2691" s="10" t="str">
        <f aca="false">IF($A2691="","",ROW()-2)</f>
        <v/>
      </c>
      <c r="M2691" s="10" t="str">
        <f aca="false">IF($A2691="","",ROW())</f>
        <v/>
      </c>
    </row>
    <row r="2692" customFormat="false" ht="15" hidden="false" customHeight="true" outlineLevel="0" collapsed="false">
      <c r="A2692" s="8"/>
      <c r="B2692" s="8"/>
      <c r="C2692" s="8"/>
      <c r="D2692" s="8"/>
      <c r="E2692" s="8"/>
      <c r="F2692" s="8"/>
      <c r="G2692" s="10" t="str">
        <f aca="false">IF($A2692="","",UPPER(SUBSTITUTE(SUBSTITUTE(SUBSTITUTE(SUBSTITUTE($A2692," ",""),"(주)",""),"주식회사",""),"㈜","")))</f>
        <v/>
      </c>
      <c r="H2692" s="10" t="str">
        <f aca="false">IF($B2692="","",SUBSTITUTE(SUBSTITUTE(SUBSTITUTE($B2692,"-","")," ",""),".",""))</f>
        <v/>
      </c>
      <c r="I2692" s="10" t="str">
        <f aca="false">IF($D2692="","",SUBSTITUTE(SUBSTITUTE(SUBSTITUTE($D2692,"-","")," ",""),".",""))</f>
        <v/>
      </c>
      <c r="J2692" s="10" t="str">
        <f aca="false">IF($E2692="","",UPPER(SUBSTITUTE($E2692," ","")))</f>
        <v/>
      </c>
      <c r="K2692" s="10" t="str">
        <f aca="false">IF($A2692="","",$G2692&amp;"|"&amp;$J2692)</f>
        <v/>
      </c>
      <c r="L2692" s="10" t="str">
        <f aca="false">IF($A2692="","",ROW()-2)</f>
        <v/>
      </c>
      <c r="M2692" s="10" t="str">
        <f aca="false">IF($A2692="","",ROW())</f>
        <v/>
      </c>
    </row>
    <row r="2693" customFormat="false" ht="15" hidden="false" customHeight="true" outlineLevel="0" collapsed="false">
      <c r="A2693" s="8"/>
      <c r="B2693" s="8"/>
      <c r="C2693" s="8"/>
      <c r="D2693" s="8"/>
      <c r="E2693" s="8"/>
      <c r="F2693" s="8"/>
      <c r="G2693" s="10" t="str">
        <f aca="false">IF($A2693="","",UPPER(SUBSTITUTE(SUBSTITUTE(SUBSTITUTE(SUBSTITUTE($A2693," ",""),"(주)",""),"주식회사",""),"㈜","")))</f>
        <v/>
      </c>
      <c r="H2693" s="10" t="str">
        <f aca="false">IF($B2693="","",SUBSTITUTE(SUBSTITUTE(SUBSTITUTE($B2693,"-","")," ",""),".",""))</f>
        <v/>
      </c>
      <c r="I2693" s="10" t="str">
        <f aca="false">IF($D2693="","",SUBSTITUTE(SUBSTITUTE(SUBSTITUTE($D2693,"-","")," ",""),".",""))</f>
        <v/>
      </c>
      <c r="J2693" s="10" t="str">
        <f aca="false">IF($E2693="","",UPPER(SUBSTITUTE($E2693," ","")))</f>
        <v/>
      </c>
      <c r="K2693" s="10" t="str">
        <f aca="false">IF($A2693="","",$G2693&amp;"|"&amp;$J2693)</f>
        <v/>
      </c>
      <c r="L2693" s="10" t="str">
        <f aca="false">IF($A2693="","",ROW()-2)</f>
        <v/>
      </c>
      <c r="M2693" s="10" t="str">
        <f aca="false">IF($A2693="","",ROW())</f>
        <v/>
      </c>
    </row>
    <row r="2694" customFormat="false" ht="15" hidden="false" customHeight="true" outlineLevel="0" collapsed="false">
      <c r="A2694" s="8"/>
      <c r="B2694" s="8"/>
      <c r="C2694" s="8"/>
      <c r="D2694" s="8"/>
      <c r="E2694" s="8"/>
      <c r="F2694" s="8"/>
      <c r="G2694" s="10" t="str">
        <f aca="false">IF($A2694="","",UPPER(SUBSTITUTE(SUBSTITUTE(SUBSTITUTE(SUBSTITUTE($A2694," ",""),"(주)",""),"주식회사",""),"㈜","")))</f>
        <v/>
      </c>
      <c r="H2694" s="10" t="str">
        <f aca="false">IF($B2694="","",SUBSTITUTE(SUBSTITUTE(SUBSTITUTE($B2694,"-","")," ",""),".",""))</f>
        <v/>
      </c>
      <c r="I2694" s="10" t="str">
        <f aca="false">IF($D2694="","",SUBSTITUTE(SUBSTITUTE(SUBSTITUTE($D2694,"-","")," ",""),".",""))</f>
        <v/>
      </c>
      <c r="J2694" s="10" t="str">
        <f aca="false">IF($E2694="","",UPPER(SUBSTITUTE($E2694," ","")))</f>
        <v/>
      </c>
      <c r="K2694" s="10" t="str">
        <f aca="false">IF($A2694="","",$G2694&amp;"|"&amp;$J2694)</f>
        <v/>
      </c>
      <c r="L2694" s="10" t="str">
        <f aca="false">IF($A2694="","",ROW()-2)</f>
        <v/>
      </c>
      <c r="M2694" s="10" t="str">
        <f aca="false">IF($A2694="","",ROW())</f>
        <v/>
      </c>
    </row>
    <row r="2695" customFormat="false" ht="15" hidden="false" customHeight="true" outlineLevel="0" collapsed="false">
      <c r="A2695" s="8"/>
      <c r="B2695" s="8"/>
      <c r="C2695" s="8"/>
      <c r="D2695" s="8"/>
      <c r="E2695" s="8"/>
      <c r="F2695" s="8"/>
      <c r="G2695" s="10" t="str">
        <f aca="false">IF($A2695="","",UPPER(SUBSTITUTE(SUBSTITUTE(SUBSTITUTE(SUBSTITUTE($A2695," ",""),"(주)",""),"주식회사",""),"㈜","")))</f>
        <v/>
      </c>
      <c r="H2695" s="10" t="str">
        <f aca="false">IF($B2695="","",SUBSTITUTE(SUBSTITUTE(SUBSTITUTE($B2695,"-","")," ",""),".",""))</f>
        <v/>
      </c>
      <c r="I2695" s="10" t="str">
        <f aca="false">IF($D2695="","",SUBSTITUTE(SUBSTITUTE(SUBSTITUTE($D2695,"-","")," ",""),".",""))</f>
        <v/>
      </c>
      <c r="J2695" s="10" t="str">
        <f aca="false">IF($E2695="","",UPPER(SUBSTITUTE($E2695," ","")))</f>
        <v/>
      </c>
      <c r="K2695" s="10" t="str">
        <f aca="false">IF($A2695="","",$G2695&amp;"|"&amp;$J2695)</f>
        <v/>
      </c>
      <c r="L2695" s="10" t="str">
        <f aca="false">IF($A2695="","",ROW()-2)</f>
        <v/>
      </c>
      <c r="M2695" s="10" t="str">
        <f aca="false">IF($A2695="","",ROW())</f>
        <v/>
      </c>
    </row>
    <row r="2696" customFormat="false" ht="15" hidden="false" customHeight="true" outlineLevel="0" collapsed="false">
      <c r="A2696" s="8"/>
      <c r="B2696" s="8"/>
      <c r="C2696" s="8"/>
      <c r="D2696" s="8"/>
      <c r="E2696" s="8"/>
      <c r="F2696" s="8"/>
      <c r="G2696" s="10" t="str">
        <f aca="false">IF($A2696="","",UPPER(SUBSTITUTE(SUBSTITUTE(SUBSTITUTE(SUBSTITUTE($A2696," ",""),"(주)",""),"주식회사",""),"㈜","")))</f>
        <v/>
      </c>
      <c r="H2696" s="10" t="str">
        <f aca="false">IF($B2696="","",SUBSTITUTE(SUBSTITUTE(SUBSTITUTE($B2696,"-","")," ",""),".",""))</f>
        <v/>
      </c>
      <c r="I2696" s="10" t="str">
        <f aca="false">IF($D2696="","",SUBSTITUTE(SUBSTITUTE(SUBSTITUTE($D2696,"-","")," ",""),".",""))</f>
        <v/>
      </c>
      <c r="J2696" s="10" t="str">
        <f aca="false">IF($E2696="","",UPPER(SUBSTITUTE($E2696," ","")))</f>
        <v/>
      </c>
      <c r="K2696" s="10" t="str">
        <f aca="false">IF($A2696="","",$G2696&amp;"|"&amp;$J2696)</f>
        <v/>
      </c>
      <c r="L2696" s="10" t="str">
        <f aca="false">IF($A2696="","",ROW()-2)</f>
        <v/>
      </c>
      <c r="M2696" s="10" t="str">
        <f aca="false">IF($A2696="","",ROW())</f>
        <v/>
      </c>
    </row>
    <row r="2697" customFormat="false" ht="15" hidden="false" customHeight="true" outlineLevel="0" collapsed="false">
      <c r="A2697" s="8"/>
      <c r="B2697" s="8"/>
      <c r="C2697" s="8"/>
      <c r="D2697" s="8"/>
      <c r="E2697" s="8"/>
      <c r="F2697" s="8"/>
      <c r="G2697" s="10" t="str">
        <f aca="false">IF($A2697="","",UPPER(SUBSTITUTE(SUBSTITUTE(SUBSTITUTE(SUBSTITUTE($A2697," ",""),"(주)",""),"주식회사",""),"㈜","")))</f>
        <v/>
      </c>
      <c r="H2697" s="10" t="str">
        <f aca="false">IF($B2697="","",SUBSTITUTE(SUBSTITUTE(SUBSTITUTE($B2697,"-","")," ",""),".",""))</f>
        <v/>
      </c>
      <c r="I2697" s="10" t="str">
        <f aca="false">IF($D2697="","",SUBSTITUTE(SUBSTITUTE(SUBSTITUTE($D2697,"-","")," ",""),".",""))</f>
        <v/>
      </c>
      <c r="J2697" s="10" t="str">
        <f aca="false">IF($E2697="","",UPPER(SUBSTITUTE($E2697," ","")))</f>
        <v/>
      </c>
      <c r="K2697" s="10" t="str">
        <f aca="false">IF($A2697="","",$G2697&amp;"|"&amp;$J2697)</f>
        <v/>
      </c>
      <c r="L2697" s="10" t="str">
        <f aca="false">IF($A2697="","",ROW()-2)</f>
        <v/>
      </c>
      <c r="M2697" s="10" t="str">
        <f aca="false">IF($A2697="","",ROW())</f>
        <v/>
      </c>
    </row>
    <row r="2698" customFormat="false" ht="15" hidden="false" customHeight="true" outlineLevel="0" collapsed="false">
      <c r="A2698" s="8"/>
      <c r="B2698" s="8"/>
      <c r="C2698" s="8"/>
      <c r="D2698" s="8"/>
      <c r="E2698" s="8"/>
      <c r="F2698" s="8"/>
      <c r="G2698" s="10" t="str">
        <f aca="false">IF($A2698="","",UPPER(SUBSTITUTE(SUBSTITUTE(SUBSTITUTE(SUBSTITUTE($A2698," ",""),"(주)",""),"주식회사",""),"㈜","")))</f>
        <v/>
      </c>
      <c r="H2698" s="10" t="str">
        <f aca="false">IF($B2698="","",SUBSTITUTE(SUBSTITUTE(SUBSTITUTE($B2698,"-","")," ",""),".",""))</f>
        <v/>
      </c>
      <c r="I2698" s="10" t="str">
        <f aca="false">IF($D2698="","",SUBSTITUTE(SUBSTITUTE(SUBSTITUTE($D2698,"-","")," ",""),".",""))</f>
        <v/>
      </c>
      <c r="J2698" s="10" t="str">
        <f aca="false">IF($E2698="","",UPPER(SUBSTITUTE($E2698," ","")))</f>
        <v/>
      </c>
      <c r="K2698" s="10" t="str">
        <f aca="false">IF($A2698="","",$G2698&amp;"|"&amp;$J2698)</f>
        <v/>
      </c>
      <c r="L2698" s="10" t="str">
        <f aca="false">IF($A2698="","",ROW()-2)</f>
        <v/>
      </c>
      <c r="M2698" s="10" t="str">
        <f aca="false">IF($A2698="","",ROW())</f>
        <v/>
      </c>
    </row>
    <row r="2699" customFormat="false" ht="15" hidden="false" customHeight="true" outlineLevel="0" collapsed="false">
      <c r="A2699" s="8"/>
      <c r="B2699" s="8"/>
      <c r="C2699" s="8"/>
      <c r="D2699" s="8"/>
      <c r="E2699" s="8"/>
      <c r="F2699" s="8"/>
      <c r="G2699" s="10" t="str">
        <f aca="false">IF($A2699="","",UPPER(SUBSTITUTE(SUBSTITUTE(SUBSTITUTE(SUBSTITUTE($A2699," ",""),"(주)",""),"주식회사",""),"㈜","")))</f>
        <v/>
      </c>
      <c r="H2699" s="10" t="str">
        <f aca="false">IF($B2699="","",SUBSTITUTE(SUBSTITUTE(SUBSTITUTE($B2699,"-","")," ",""),".",""))</f>
        <v/>
      </c>
      <c r="I2699" s="10" t="str">
        <f aca="false">IF($D2699="","",SUBSTITUTE(SUBSTITUTE(SUBSTITUTE($D2699,"-","")," ",""),".",""))</f>
        <v/>
      </c>
      <c r="J2699" s="10" t="str">
        <f aca="false">IF($E2699="","",UPPER(SUBSTITUTE($E2699," ","")))</f>
        <v/>
      </c>
      <c r="K2699" s="10" t="str">
        <f aca="false">IF($A2699="","",$G2699&amp;"|"&amp;$J2699)</f>
        <v/>
      </c>
      <c r="L2699" s="10" t="str">
        <f aca="false">IF($A2699="","",ROW()-2)</f>
        <v/>
      </c>
      <c r="M2699" s="10" t="str">
        <f aca="false">IF($A2699="","",ROW())</f>
        <v/>
      </c>
    </row>
    <row r="2700" customFormat="false" ht="15" hidden="false" customHeight="true" outlineLevel="0" collapsed="false">
      <c r="A2700" s="8"/>
      <c r="B2700" s="8"/>
      <c r="C2700" s="8"/>
      <c r="D2700" s="8"/>
      <c r="E2700" s="8"/>
      <c r="F2700" s="8"/>
      <c r="G2700" s="10" t="str">
        <f aca="false">IF($A2700="","",UPPER(SUBSTITUTE(SUBSTITUTE(SUBSTITUTE(SUBSTITUTE($A2700," ",""),"(주)",""),"주식회사",""),"㈜","")))</f>
        <v/>
      </c>
      <c r="H2700" s="10" t="str">
        <f aca="false">IF($B2700="","",SUBSTITUTE(SUBSTITUTE(SUBSTITUTE($B2700,"-","")," ",""),".",""))</f>
        <v/>
      </c>
      <c r="I2700" s="10" t="str">
        <f aca="false">IF($D2700="","",SUBSTITUTE(SUBSTITUTE(SUBSTITUTE($D2700,"-","")," ",""),".",""))</f>
        <v/>
      </c>
      <c r="J2700" s="10" t="str">
        <f aca="false">IF($E2700="","",UPPER(SUBSTITUTE($E2700," ","")))</f>
        <v/>
      </c>
      <c r="K2700" s="10" t="str">
        <f aca="false">IF($A2700="","",$G2700&amp;"|"&amp;$J2700)</f>
        <v/>
      </c>
      <c r="L2700" s="10" t="str">
        <f aca="false">IF($A2700="","",ROW()-2)</f>
        <v/>
      </c>
      <c r="M2700" s="10" t="str">
        <f aca="false">IF($A2700="","",ROW())</f>
        <v/>
      </c>
    </row>
    <row r="2701" customFormat="false" ht="15" hidden="false" customHeight="true" outlineLevel="0" collapsed="false">
      <c r="A2701" s="8"/>
      <c r="B2701" s="8"/>
      <c r="C2701" s="8"/>
      <c r="D2701" s="8"/>
      <c r="E2701" s="8"/>
      <c r="F2701" s="8"/>
      <c r="G2701" s="10" t="str">
        <f aca="false">IF($A2701="","",UPPER(SUBSTITUTE(SUBSTITUTE(SUBSTITUTE(SUBSTITUTE($A2701," ",""),"(주)",""),"주식회사",""),"㈜","")))</f>
        <v/>
      </c>
      <c r="H2701" s="10" t="str">
        <f aca="false">IF($B2701="","",SUBSTITUTE(SUBSTITUTE(SUBSTITUTE($B2701,"-","")," ",""),".",""))</f>
        <v/>
      </c>
      <c r="I2701" s="10" t="str">
        <f aca="false">IF($D2701="","",SUBSTITUTE(SUBSTITUTE(SUBSTITUTE($D2701,"-","")," ",""),".",""))</f>
        <v/>
      </c>
      <c r="J2701" s="10" t="str">
        <f aca="false">IF($E2701="","",UPPER(SUBSTITUTE($E2701," ","")))</f>
        <v/>
      </c>
      <c r="K2701" s="10" t="str">
        <f aca="false">IF($A2701="","",$G2701&amp;"|"&amp;$J2701)</f>
        <v/>
      </c>
      <c r="L2701" s="10" t="str">
        <f aca="false">IF($A2701="","",ROW()-2)</f>
        <v/>
      </c>
      <c r="M2701" s="10" t="str">
        <f aca="false">IF($A2701="","",ROW())</f>
        <v/>
      </c>
    </row>
    <row r="2702" customFormat="false" ht="15" hidden="false" customHeight="true" outlineLevel="0" collapsed="false">
      <c r="A2702" s="8"/>
      <c r="B2702" s="8"/>
      <c r="C2702" s="8"/>
      <c r="D2702" s="8"/>
      <c r="E2702" s="8"/>
      <c r="F2702" s="8"/>
      <c r="G2702" s="10" t="str">
        <f aca="false">IF($A2702="","",UPPER(SUBSTITUTE(SUBSTITUTE(SUBSTITUTE(SUBSTITUTE($A2702," ",""),"(주)",""),"주식회사",""),"㈜","")))</f>
        <v/>
      </c>
      <c r="H2702" s="10" t="str">
        <f aca="false">IF($B2702="","",SUBSTITUTE(SUBSTITUTE(SUBSTITUTE($B2702,"-","")," ",""),".",""))</f>
        <v/>
      </c>
      <c r="I2702" s="10" t="str">
        <f aca="false">IF($D2702="","",SUBSTITUTE(SUBSTITUTE(SUBSTITUTE($D2702,"-","")," ",""),".",""))</f>
        <v/>
      </c>
      <c r="J2702" s="10" t="str">
        <f aca="false">IF($E2702="","",UPPER(SUBSTITUTE($E2702," ","")))</f>
        <v/>
      </c>
      <c r="K2702" s="10" t="str">
        <f aca="false">IF($A2702="","",$G2702&amp;"|"&amp;$J2702)</f>
        <v/>
      </c>
      <c r="L2702" s="10" t="str">
        <f aca="false">IF($A2702="","",ROW()-2)</f>
        <v/>
      </c>
      <c r="M2702" s="10" t="str">
        <f aca="false">IF($A2702="","",ROW())</f>
        <v/>
      </c>
    </row>
    <row r="2703" customFormat="false" ht="15" hidden="false" customHeight="true" outlineLevel="0" collapsed="false">
      <c r="A2703" s="8"/>
      <c r="B2703" s="8"/>
      <c r="C2703" s="8"/>
      <c r="D2703" s="8"/>
      <c r="E2703" s="8"/>
      <c r="F2703" s="8"/>
      <c r="G2703" s="10" t="str">
        <f aca="false">IF($A2703="","",UPPER(SUBSTITUTE(SUBSTITUTE(SUBSTITUTE(SUBSTITUTE($A2703," ",""),"(주)",""),"주식회사",""),"㈜","")))</f>
        <v/>
      </c>
      <c r="H2703" s="10" t="str">
        <f aca="false">IF($B2703="","",SUBSTITUTE(SUBSTITUTE(SUBSTITUTE($B2703,"-","")," ",""),".",""))</f>
        <v/>
      </c>
      <c r="I2703" s="10" t="str">
        <f aca="false">IF($D2703="","",SUBSTITUTE(SUBSTITUTE(SUBSTITUTE($D2703,"-","")," ",""),".",""))</f>
        <v/>
      </c>
      <c r="J2703" s="10" t="str">
        <f aca="false">IF($E2703="","",UPPER(SUBSTITUTE($E2703," ","")))</f>
        <v/>
      </c>
      <c r="K2703" s="10" t="str">
        <f aca="false">IF($A2703="","",$G2703&amp;"|"&amp;$J2703)</f>
        <v/>
      </c>
      <c r="L2703" s="10" t="str">
        <f aca="false">IF($A2703="","",ROW()-2)</f>
        <v/>
      </c>
      <c r="M2703" s="10" t="str">
        <f aca="false">IF($A2703="","",ROW())</f>
        <v/>
      </c>
    </row>
    <row r="2704" customFormat="false" ht="15" hidden="false" customHeight="true" outlineLevel="0" collapsed="false">
      <c r="A2704" s="8"/>
      <c r="B2704" s="8"/>
      <c r="C2704" s="8"/>
      <c r="D2704" s="8"/>
      <c r="E2704" s="8"/>
      <c r="F2704" s="8"/>
      <c r="G2704" s="10" t="str">
        <f aca="false">IF($A2704="","",UPPER(SUBSTITUTE(SUBSTITUTE(SUBSTITUTE(SUBSTITUTE($A2704," ",""),"(주)",""),"주식회사",""),"㈜","")))</f>
        <v/>
      </c>
      <c r="H2704" s="10" t="str">
        <f aca="false">IF($B2704="","",SUBSTITUTE(SUBSTITUTE(SUBSTITUTE($B2704,"-","")," ",""),".",""))</f>
        <v/>
      </c>
      <c r="I2704" s="10" t="str">
        <f aca="false">IF($D2704="","",SUBSTITUTE(SUBSTITUTE(SUBSTITUTE($D2704,"-","")," ",""),".",""))</f>
        <v/>
      </c>
      <c r="J2704" s="10" t="str">
        <f aca="false">IF($E2704="","",UPPER(SUBSTITUTE($E2704," ","")))</f>
        <v/>
      </c>
      <c r="K2704" s="10" t="str">
        <f aca="false">IF($A2704="","",$G2704&amp;"|"&amp;$J2704)</f>
        <v/>
      </c>
      <c r="L2704" s="10" t="str">
        <f aca="false">IF($A2704="","",ROW()-2)</f>
        <v/>
      </c>
      <c r="M2704" s="10" t="str">
        <f aca="false">IF($A2704="","",ROW())</f>
        <v/>
      </c>
    </row>
    <row r="2705" customFormat="false" ht="15" hidden="false" customHeight="true" outlineLevel="0" collapsed="false">
      <c r="A2705" s="8"/>
      <c r="B2705" s="8"/>
      <c r="C2705" s="8"/>
      <c r="D2705" s="8"/>
      <c r="E2705" s="8"/>
      <c r="F2705" s="8"/>
      <c r="G2705" s="10" t="str">
        <f aca="false">IF($A2705="","",UPPER(SUBSTITUTE(SUBSTITUTE(SUBSTITUTE(SUBSTITUTE($A2705," ",""),"(주)",""),"주식회사",""),"㈜","")))</f>
        <v/>
      </c>
      <c r="H2705" s="10" t="str">
        <f aca="false">IF($B2705="","",SUBSTITUTE(SUBSTITUTE(SUBSTITUTE($B2705,"-","")," ",""),".",""))</f>
        <v/>
      </c>
      <c r="I2705" s="10" t="str">
        <f aca="false">IF($D2705="","",SUBSTITUTE(SUBSTITUTE(SUBSTITUTE($D2705,"-","")," ",""),".",""))</f>
        <v/>
      </c>
      <c r="J2705" s="10" t="str">
        <f aca="false">IF($E2705="","",UPPER(SUBSTITUTE($E2705," ","")))</f>
        <v/>
      </c>
      <c r="K2705" s="10" t="str">
        <f aca="false">IF($A2705="","",$G2705&amp;"|"&amp;$J2705)</f>
        <v/>
      </c>
      <c r="L2705" s="10" t="str">
        <f aca="false">IF($A2705="","",ROW()-2)</f>
        <v/>
      </c>
      <c r="M2705" s="10" t="str">
        <f aca="false">IF($A2705="","",ROW())</f>
        <v/>
      </c>
    </row>
    <row r="2706" customFormat="false" ht="15" hidden="false" customHeight="true" outlineLevel="0" collapsed="false">
      <c r="A2706" s="8"/>
      <c r="B2706" s="8"/>
      <c r="C2706" s="8"/>
      <c r="D2706" s="8"/>
      <c r="E2706" s="8"/>
      <c r="F2706" s="8"/>
      <c r="G2706" s="10" t="str">
        <f aca="false">IF($A2706="","",UPPER(SUBSTITUTE(SUBSTITUTE(SUBSTITUTE(SUBSTITUTE($A2706," ",""),"(주)",""),"주식회사",""),"㈜","")))</f>
        <v/>
      </c>
      <c r="H2706" s="10" t="str">
        <f aca="false">IF($B2706="","",SUBSTITUTE(SUBSTITUTE(SUBSTITUTE($B2706,"-","")," ",""),".",""))</f>
        <v/>
      </c>
      <c r="I2706" s="10" t="str">
        <f aca="false">IF($D2706="","",SUBSTITUTE(SUBSTITUTE(SUBSTITUTE($D2706,"-","")," ",""),".",""))</f>
        <v/>
      </c>
      <c r="J2706" s="10" t="str">
        <f aca="false">IF($E2706="","",UPPER(SUBSTITUTE($E2706," ","")))</f>
        <v/>
      </c>
      <c r="K2706" s="10" t="str">
        <f aca="false">IF($A2706="","",$G2706&amp;"|"&amp;$J2706)</f>
        <v/>
      </c>
      <c r="L2706" s="10" t="str">
        <f aca="false">IF($A2706="","",ROW()-2)</f>
        <v/>
      </c>
      <c r="M2706" s="10" t="str">
        <f aca="false">IF($A2706="","",ROW())</f>
        <v/>
      </c>
    </row>
    <row r="2707" customFormat="false" ht="15" hidden="false" customHeight="true" outlineLevel="0" collapsed="false">
      <c r="A2707" s="8"/>
      <c r="B2707" s="8"/>
      <c r="C2707" s="8"/>
      <c r="D2707" s="8"/>
      <c r="E2707" s="8"/>
      <c r="F2707" s="8"/>
      <c r="G2707" s="10" t="str">
        <f aca="false">IF($A2707="","",UPPER(SUBSTITUTE(SUBSTITUTE(SUBSTITUTE(SUBSTITUTE($A2707," ",""),"(주)",""),"주식회사",""),"㈜","")))</f>
        <v/>
      </c>
      <c r="H2707" s="10" t="str">
        <f aca="false">IF($B2707="","",SUBSTITUTE(SUBSTITUTE(SUBSTITUTE($B2707,"-","")," ",""),".",""))</f>
        <v/>
      </c>
      <c r="I2707" s="10" t="str">
        <f aca="false">IF($D2707="","",SUBSTITUTE(SUBSTITUTE(SUBSTITUTE($D2707,"-","")," ",""),".",""))</f>
        <v/>
      </c>
      <c r="J2707" s="10" t="str">
        <f aca="false">IF($E2707="","",UPPER(SUBSTITUTE($E2707," ","")))</f>
        <v/>
      </c>
      <c r="K2707" s="10" t="str">
        <f aca="false">IF($A2707="","",$G2707&amp;"|"&amp;$J2707)</f>
        <v/>
      </c>
      <c r="L2707" s="10" t="str">
        <f aca="false">IF($A2707="","",ROW()-2)</f>
        <v/>
      </c>
      <c r="M2707" s="10" t="str">
        <f aca="false">IF($A2707="","",ROW())</f>
        <v/>
      </c>
    </row>
    <row r="2708" customFormat="false" ht="15" hidden="false" customHeight="true" outlineLevel="0" collapsed="false">
      <c r="A2708" s="8"/>
      <c r="B2708" s="8"/>
      <c r="C2708" s="8"/>
      <c r="D2708" s="8"/>
      <c r="E2708" s="8"/>
      <c r="F2708" s="8"/>
      <c r="G2708" s="10" t="str">
        <f aca="false">IF($A2708="","",UPPER(SUBSTITUTE(SUBSTITUTE(SUBSTITUTE(SUBSTITUTE($A2708," ",""),"(주)",""),"주식회사",""),"㈜","")))</f>
        <v/>
      </c>
      <c r="H2708" s="10" t="str">
        <f aca="false">IF($B2708="","",SUBSTITUTE(SUBSTITUTE(SUBSTITUTE($B2708,"-","")," ",""),".",""))</f>
        <v/>
      </c>
      <c r="I2708" s="10" t="str">
        <f aca="false">IF($D2708="","",SUBSTITUTE(SUBSTITUTE(SUBSTITUTE($D2708,"-","")," ",""),".",""))</f>
        <v/>
      </c>
      <c r="J2708" s="10" t="str">
        <f aca="false">IF($E2708="","",UPPER(SUBSTITUTE($E2708," ","")))</f>
        <v/>
      </c>
      <c r="K2708" s="10" t="str">
        <f aca="false">IF($A2708="","",$G2708&amp;"|"&amp;$J2708)</f>
        <v/>
      </c>
      <c r="L2708" s="10" t="str">
        <f aca="false">IF($A2708="","",ROW()-2)</f>
        <v/>
      </c>
      <c r="M2708" s="10" t="str">
        <f aca="false">IF($A2708="","",ROW())</f>
        <v/>
      </c>
    </row>
    <row r="2709" customFormat="false" ht="15" hidden="false" customHeight="true" outlineLevel="0" collapsed="false">
      <c r="A2709" s="8"/>
      <c r="B2709" s="8"/>
      <c r="C2709" s="8"/>
      <c r="D2709" s="8"/>
      <c r="E2709" s="8"/>
      <c r="F2709" s="8"/>
      <c r="G2709" s="10" t="str">
        <f aca="false">IF($A2709="","",UPPER(SUBSTITUTE(SUBSTITUTE(SUBSTITUTE(SUBSTITUTE($A2709," ",""),"(주)",""),"주식회사",""),"㈜","")))</f>
        <v/>
      </c>
      <c r="H2709" s="10" t="str">
        <f aca="false">IF($B2709="","",SUBSTITUTE(SUBSTITUTE(SUBSTITUTE($B2709,"-","")," ",""),".",""))</f>
        <v/>
      </c>
      <c r="I2709" s="10" t="str">
        <f aca="false">IF($D2709="","",SUBSTITUTE(SUBSTITUTE(SUBSTITUTE($D2709,"-","")," ",""),".",""))</f>
        <v/>
      </c>
      <c r="J2709" s="10" t="str">
        <f aca="false">IF($E2709="","",UPPER(SUBSTITUTE($E2709," ","")))</f>
        <v/>
      </c>
      <c r="K2709" s="10" t="str">
        <f aca="false">IF($A2709="","",$G2709&amp;"|"&amp;$J2709)</f>
        <v/>
      </c>
      <c r="L2709" s="10" t="str">
        <f aca="false">IF($A2709="","",ROW()-2)</f>
        <v/>
      </c>
      <c r="M2709" s="10" t="str">
        <f aca="false">IF($A2709="","",ROW())</f>
        <v/>
      </c>
    </row>
    <row r="2710" customFormat="false" ht="15" hidden="false" customHeight="true" outlineLevel="0" collapsed="false">
      <c r="A2710" s="8"/>
      <c r="B2710" s="8"/>
      <c r="C2710" s="8"/>
      <c r="D2710" s="8"/>
      <c r="E2710" s="8"/>
      <c r="F2710" s="8"/>
      <c r="G2710" s="10" t="str">
        <f aca="false">IF($A2710="","",UPPER(SUBSTITUTE(SUBSTITUTE(SUBSTITUTE(SUBSTITUTE($A2710," ",""),"(주)",""),"주식회사",""),"㈜","")))</f>
        <v/>
      </c>
      <c r="H2710" s="10" t="str">
        <f aca="false">IF($B2710="","",SUBSTITUTE(SUBSTITUTE(SUBSTITUTE($B2710,"-","")," ",""),".",""))</f>
        <v/>
      </c>
      <c r="I2710" s="10" t="str">
        <f aca="false">IF($D2710="","",SUBSTITUTE(SUBSTITUTE(SUBSTITUTE($D2710,"-","")," ",""),".",""))</f>
        <v/>
      </c>
      <c r="J2710" s="10" t="str">
        <f aca="false">IF($E2710="","",UPPER(SUBSTITUTE($E2710," ","")))</f>
        <v/>
      </c>
      <c r="K2710" s="10" t="str">
        <f aca="false">IF($A2710="","",$G2710&amp;"|"&amp;$J2710)</f>
        <v/>
      </c>
      <c r="L2710" s="10" t="str">
        <f aca="false">IF($A2710="","",ROW()-2)</f>
        <v/>
      </c>
      <c r="M2710" s="10" t="str">
        <f aca="false">IF($A2710="","",ROW())</f>
        <v/>
      </c>
    </row>
    <row r="2711" customFormat="false" ht="15" hidden="false" customHeight="true" outlineLevel="0" collapsed="false">
      <c r="A2711" s="8"/>
      <c r="B2711" s="8"/>
      <c r="C2711" s="8"/>
      <c r="D2711" s="8"/>
      <c r="E2711" s="8"/>
      <c r="F2711" s="8"/>
      <c r="G2711" s="10" t="str">
        <f aca="false">IF($A2711="","",UPPER(SUBSTITUTE(SUBSTITUTE(SUBSTITUTE(SUBSTITUTE($A2711," ",""),"(주)",""),"주식회사",""),"㈜","")))</f>
        <v/>
      </c>
      <c r="H2711" s="10" t="str">
        <f aca="false">IF($B2711="","",SUBSTITUTE(SUBSTITUTE(SUBSTITUTE($B2711,"-","")," ",""),".",""))</f>
        <v/>
      </c>
      <c r="I2711" s="10" t="str">
        <f aca="false">IF($D2711="","",SUBSTITUTE(SUBSTITUTE(SUBSTITUTE($D2711,"-","")," ",""),".",""))</f>
        <v/>
      </c>
      <c r="J2711" s="10" t="str">
        <f aca="false">IF($E2711="","",UPPER(SUBSTITUTE($E2711," ","")))</f>
        <v/>
      </c>
      <c r="K2711" s="10" t="str">
        <f aca="false">IF($A2711="","",$G2711&amp;"|"&amp;$J2711)</f>
        <v/>
      </c>
      <c r="L2711" s="10" t="str">
        <f aca="false">IF($A2711="","",ROW()-2)</f>
        <v/>
      </c>
      <c r="M2711" s="10" t="str">
        <f aca="false">IF($A2711="","",ROW())</f>
        <v/>
      </c>
    </row>
    <row r="2712" customFormat="false" ht="15" hidden="false" customHeight="true" outlineLevel="0" collapsed="false">
      <c r="A2712" s="8"/>
      <c r="B2712" s="8"/>
      <c r="C2712" s="8"/>
      <c r="D2712" s="8"/>
      <c r="E2712" s="8"/>
      <c r="F2712" s="8"/>
      <c r="G2712" s="10" t="str">
        <f aca="false">IF($A2712="","",UPPER(SUBSTITUTE(SUBSTITUTE(SUBSTITUTE(SUBSTITUTE($A2712," ",""),"(주)",""),"주식회사",""),"㈜","")))</f>
        <v/>
      </c>
      <c r="H2712" s="10" t="str">
        <f aca="false">IF($B2712="","",SUBSTITUTE(SUBSTITUTE(SUBSTITUTE($B2712,"-","")," ",""),".",""))</f>
        <v/>
      </c>
      <c r="I2712" s="10" t="str">
        <f aca="false">IF($D2712="","",SUBSTITUTE(SUBSTITUTE(SUBSTITUTE($D2712,"-","")," ",""),".",""))</f>
        <v/>
      </c>
      <c r="J2712" s="10" t="str">
        <f aca="false">IF($E2712="","",UPPER(SUBSTITUTE($E2712," ","")))</f>
        <v/>
      </c>
      <c r="K2712" s="10" t="str">
        <f aca="false">IF($A2712="","",$G2712&amp;"|"&amp;$J2712)</f>
        <v/>
      </c>
      <c r="L2712" s="10" t="str">
        <f aca="false">IF($A2712="","",ROW()-2)</f>
        <v/>
      </c>
      <c r="M2712" s="10" t="str">
        <f aca="false">IF($A2712="","",ROW())</f>
        <v/>
      </c>
    </row>
    <row r="2713" customFormat="false" ht="15" hidden="false" customHeight="true" outlineLevel="0" collapsed="false">
      <c r="A2713" s="8"/>
      <c r="B2713" s="8"/>
      <c r="C2713" s="8"/>
      <c r="D2713" s="8"/>
      <c r="E2713" s="8"/>
      <c r="F2713" s="8"/>
      <c r="G2713" s="10" t="str">
        <f aca="false">IF($A2713="","",UPPER(SUBSTITUTE(SUBSTITUTE(SUBSTITUTE(SUBSTITUTE($A2713," ",""),"(주)",""),"주식회사",""),"㈜","")))</f>
        <v/>
      </c>
      <c r="H2713" s="10" t="str">
        <f aca="false">IF($B2713="","",SUBSTITUTE(SUBSTITUTE(SUBSTITUTE($B2713,"-","")," ",""),".",""))</f>
        <v/>
      </c>
      <c r="I2713" s="10" t="str">
        <f aca="false">IF($D2713="","",SUBSTITUTE(SUBSTITUTE(SUBSTITUTE($D2713,"-","")," ",""),".",""))</f>
        <v/>
      </c>
      <c r="J2713" s="10" t="str">
        <f aca="false">IF($E2713="","",UPPER(SUBSTITUTE($E2713," ","")))</f>
        <v/>
      </c>
      <c r="K2713" s="10" t="str">
        <f aca="false">IF($A2713="","",$G2713&amp;"|"&amp;$J2713)</f>
        <v/>
      </c>
      <c r="L2713" s="10" t="str">
        <f aca="false">IF($A2713="","",ROW()-2)</f>
        <v/>
      </c>
      <c r="M2713" s="10" t="str">
        <f aca="false">IF($A2713="","",ROW())</f>
        <v/>
      </c>
    </row>
    <row r="2714" customFormat="false" ht="15" hidden="false" customHeight="true" outlineLevel="0" collapsed="false">
      <c r="A2714" s="8"/>
      <c r="B2714" s="8"/>
      <c r="C2714" s="8"/>
      <c r="D2714" s="8"/>
      <c r="E2714" s="8"/>
      <c r="F2714" s="8"/>
      <c r="G2714" s="10" t="str">
        <f aca="false">IF($A2714="","",UPPER(SUBSTITUTE(SUBSTITUTE(SUBSTITUTE(SUBSTITUTE($A2714," ",""),"(주)",""),"주식회사",""),"㈜","")))</f>
        <v/>
      </c>
      <c r="H2714" s="10" t="str">
        <f aca="false">IF($B2714="","",SUBSTITUTE(SUBSTITUTE(SUBSTITUTE($B2714,"-","")," ",""),".",""))</f>
        <v/>
      </c>
      <c r="I2714" s="10" t="str">
        <f aca="false">IF($D2714="","",SUBSTITUTE(SUBSTITUTE(SUBSTITUTE($D2714,"-","")," ",""),".",""))</f>
        <v/>
      </c>
      <c r="J2714" s="10" t="str">
        <f aca="false">IF($E2714="","",UPPER(SUBSTITUTE($E2714," ","")))</f>
        <v/>
      </c>
      <c r="K2714" s="10" t="str">
        <f aca="false">IF($A2714="","",$G2714&amp;"|"&amp;$J2714)</f>
        <v/>
      </c>
      <c r="L2714" s="10" t="str">
        <f aca="false">IF($A2714="","",ROW()-2)</f>
        <v/>
      </c>
      <c r="M2714" s="10" t="str">
        <f aca="false">IF($A2714="","",ROW())</f>
        <v/>
      </c>
    </row>
    <row r="2715" customFormat="false" ht="15" hidden="false" customHeight="true" outlineLevel="0" collapsed="false">
      <c r="A2715" s="8"/>
      <c r="B2715" s="8"/>
      <c r="C2715" s="8"/>
      <c r="D2715" s="8"/>
      <c r="E2715" s="8"/>
      <c r="F2715" s="8"/>
      <c r="G2715" s="10" t="str">
        <f aca="false">IF($A2715="","",UPPER(SUBSTITUTE(SUBSTITUTE(SUBSTITUTE(SUBSTITUTE($A2715," ",""),"(주)",""),"주식회사",""),"㈜","")))</f>
        <v/>
      </c>
      <c r="H2715" s="10" t="str">
        <f aca="false">IF($B2715="","",SUBSTITUTE(SUBSTITUTE(SUBSTITUTE($B2715,"-","")," ",""),".",""))</f>
        <v/>
      </c>
      <c r="I2715" s="10" t="str">
        <f aca="false">IF($D2715="","",SUBSTITUTE(SUBSTITUTE(SUBSTITUTE($D2715,"-","")," ",""),".",""))</f>
        <v/>
      </c>
      <c r="J2715" s="10" t="str">
        <f aca="false">IF($E2715="","",UPPER(SUBSTITUTE($E2715," ","")))</f>
        <v/>
      </c>
      <c r="K2715" s="10" t="str">
        <f aca="false">IF($A2715="","",$G2715&amp;"|"&amp;$J2715)</f>
        <v/>
      </c>
      <c r="L2715" s="10" t="str">
        <f aca="false">IF($A2715="","",ROW()-2)</f>
        <v/>
      </c>
      <c r="M2715" s="10" t="str">
        <f aca="false">IF($A2715="","",ROW())</f>
        <v/>
      </c>
    </row>
    <row r="2716" customFormat="false" ht="15" hidden="false" customHeight="true" outlineLevel="0" collapsed="false">
      <c r="A2716" s="8"/>
      <c r="B2716" s="8"/>
      <c r="C2716" s="8"/>
      <c r="D2716" s="8"/>
      <c r="E2716" s="8"/>
      <c r="F2716" s="8"/>
      <c r="G2716" s="10" t="str">
        <f aca="false">IF($A2716="","",UPPER(SUBSTITUTE(SUBSTITUTE(SUBSTITUTE(SUBSTITUTE($A2716," ",""),"(주)",""),"주식회사",""),"㈜","")))</f>
        <v/>
      </c>
      <c r="H2716" s="10" t="str">
        <f aca="false">IF($B2716="","",SUBSTITUTE(SUBSTITUTE(SUBSTITUTE($B2716,"-","")," ",""),".",""))</f>
        <v/>
      </c>
      <c r="I2716" s="10" t="str">
        <f aca="false">IF($D2716="","",SUBSTITUTE(SUBSTITUTE(SUBSTITUTE($D2716,"-","")," ",""),".",""))</f>
        <v/>
      </c>
      <c r="J2716" s="10" t="str">
        <f aca="false">IF($E2716="","",UPPER(SUBSTITUTE($E2716," ","")))</f>
        <v/>
      </c>
      <c r="K2716" s="10" t="str">
        <f aca="false">IF($A2716="","",$G2716&amp;"|"&amp;$J2716)</f>
        <v/>
      </c>
      <c r="L2716" s="10" t="str">
        <f aca="false">IF($A2716="","",ROW()-2)</f>
        <v/>
      </c>
      <c r="M2716" s="10" t="str">
        <f aca="false">IF($A2716="","",ROW())</f>
        <v/>
      </c>
    </row>
    <row r="2717" customFormat="false" ht="15" hidden="false" customHeight="true" outlineLevel="0" collapsed="false">
      <c r="A2717" s="8"/>
      <c r="B2717" s="8"/>
      <c r="C2717" s="8"/>
      <c r="D2717" s="8"/>
      <c r="E2717" s="8"/>
      <c r="F2717" s="8"/>
      <c r="G2717" s="10" t="str">
        <f aca="false">IF($A2717="","",UPPER(SUBSTITUTE(SUBSTITUTE(SUBSTITUTE(SUBSTITUTE($A2717," ",""),"(주)",""),"주식회사",""),"㈜","")))</f>
        <v/>
      </c>
      <c r="H2717" s="10" t="str">
        <f aca="false">IF($B2717="","",SUBSTITUTE(SUBSTITUTE(SUBSTITUTE($B2717,"-","")," ",""),".",""))</f>
        <v/>
      </c>
      <c r="I2717" s="10" t="str">
        <f aca="false">IF($D2717="","",SUBSTITUTE(SUBSTITUTE(SUBSTITUTE($D2717,"-","")," ",""),".",""))</f>
        <v/>
      </c>
      <c r="J2717" s="10" t="str">
        <f aca="false">IF($E2717="","",UPPER(SUBSTITUTE($E2717," ","")))</f>
        <v/>
      </c>
      <c r="K2717" s="10" t="str">
        <f aca="false">IF($A2717="","",$G2717&amp;"|"&amp;$J2717)</f>
        <v/>
      </c>
      <c r="L2717" s="10" t="str">
        <f aca="false">IF($A2717="","",ROW()-2)</f>
        <v/>
      </c>
      <c r="M2717" s="10" t="str">
        <f aca="false">IF($A2717="","",ROW())</f>
        <v/>
      </c>
    </row>
    <row r="2718" customFormat="false" ht="15" hidden="false" customHeight="true" outlineLevel="0" collapsed="false">
      <c r="A2718" s="8"/>
      <c r="B2718" s="8"/>
      <c r="C2718" s="8"/>
      <c r="D2718" s="8"/>
      <c r="E2718" s="8"/>
      <c r="F2718" s="8"/>
      <c r="G2718" s="10" t="str">
        <f aca="false">IF($A2718="","",UPPER(SUBSTITUTE(SUBSTITUTE(SUBSTITUTE(SUBSTITUTE($A2718," ",""),"(주)",""),"주식회사",""),"㈜","")))</f>
        <v/>
      </c>
      <c r="H2718" s="10" t="str">
        <f aca="false">IF($B2718="","",SUBSTITUTE(SUBSTITUTE(SUBSTITUTE($B2718,"-","")," ",""),".",""))</f>
        <v/>
      </c>
      <c r="I2718" s="10" t="str">
        <f aca="false">IF($D2718="","",SUBSTITUTE(SUBSTITUTE(SUBSTITUTE($D2718,"-","")," ",""),".",""))</f>
        <v/>
      </c>
      <c r="J2718" s="10" t="str">
        <f aca="false">IF($E2718="","",UPPER(SUBSTITUTE($E2718," ","")))</f>
        <v/>
      </c>
      <c r="K2718" s="10" t="str">
        <f aca="false">IF($A2718="","",$G2718&amp;"|"&amp;$J2718)</f>
        <v/>
      </c>
      <c r="L2718" s="10" t="str">
        <f aca="false">IF($A2718="","",ROW()-2)</f>
        <v/>
      </c>
      <c r="M2718" s="10" t="str">
        <f aca="false">IF($A2718="","",ROW())</f>
        <v/>
      </c>
    </row>
    <row r="2719" customFormat="false" ht="15" hidden="false" customHeight="true" outlineLevel="0" collapsed="false">
      <c r="A2719" s="8"/>
      <c r="B2719" s="8"/>
      <c r="C2719" s="8"/>
      <c r="D2719" s="8"/>
      <c r="E2719" s="8"/>
      <c r="F2719" s="8"/>
      <c r="G2719" s="10" t="str">
        <f aca="false">IF($A2719="","",UPPER(SUBSTITUTE(SUBSTITUTE(SUBSTITUTE(SUBSTITUTE($A2719," ",""),"(주)",""),"주식회사",""),"㈜","")))</f>
        <v/>
      </c>
      <c r="H2719" s="10" t="str">
        <f aca="false">IF($B2719="","",SUBSTITUTE(SUBSTITUTE(SUBSTITUTE($B2719,"-","")," ",""),".",""))</f>
        <v/>
      </c>
      <c r="I2719" s="10" t="str">
        <f aca="false">IF($D2719="","",SUBSTITUTE(SUBSTITUTE(SUBSTITUTE($D2719,"-","")," ",""),".",""))</f>
        <v/>
      </c>
      <c r="J2719" s="10" t="str">
        <f aca="false">IF($E2719="","",UPPER(SUBSTITUTE($E2719," ","")))</f>
        <v/>
      </c>
      <c r="K2719" s="10" t="str">
        <f aca="false">IF($A2719="","",$G2719&amp;"|"&amp;$J2719)</f>
        <v/>
      </c>
      <c r="L2719" s="10" t="str">
        <f aca="false">IF($A2719="","",ROW()-2)</f>
        <v/>
      </c>
      <c r="M2719" s="10" t="str">
        <f aca="false">IF($A2719="","",ROW())</f>
        <v/>
      </c>
    </row>
    <row r="2720" customFormat="false" ht="15" hidden="false" customHeight="true" outlineLevel="0" collapsed="false">
      <c r="A2720" s="8"/>
      <c r="B2720" s="8"/>
      <c r="C2720" s="8"/>
      <c r="D2720" s="8"/>
      <c r="E2720" s="8"/>
      <c r="F2720" s="8"/>
      <c r="G2720" s="10" t="str">
        <f aca="false">IF($A2720="","",UPPER(SUBSTITUTE(SUBSTITUTE(SUBSTITUTE(SUBSTITUTE($A2720," ",""),"(주)",""),"주식회사",""),"㈜","")))</f>
        <v/>
      </c>
      <c r="H2720" s="10" t="str">
        <f aca="false">IF($B2720="","",SUBSTITUTE(SUBSTITUTE(SUBSTITUTE($B2720,"-","")," ",""),".",""))</f>
        <v/>
      </c>
      <c r="I2720" s="10" t="str">
        <f aca="false">IF($D2720="","",SUBSTITUTE(SUBSTITUTE(SUBSTITUTE($D2720,"-","")," ",""),".",""))</f>
        <v/>
      </c>
      <c r="J2720" s="10" t="str">
        <f aca="false">IF($E2720="","",UPPER(SUBSTITUTE($E2720," ","")))</f>
        <v/>
      </c>
      <c r="K2720" s="10" t="str">
        <f aca="false">IF($A2720="","",$G2720&amp;"|"&amp;$J2720)</f>
        <v/>
      </c>
      <c r="L2720" s="10" t="str">
        <f aca="false">IF($A2720="","",ROW()-2)</f>
        <v/>
      </c>
      <c r="M2720" s="10" t="str">
        <f aca="false">IF($A2720="","",ROW())</f>
        <v/>
      </c>
    </row>
    <row r="2721" customFormat="false" ht="15" hidden="false" customHeight="true" outlineLevel="0" collapsed="false">
      <c r="A2721" s="8"/>
      <c r="B2721" s="8"/>
      <c r="C2721" s="8"/>
      <c r="D2721" s="8"/>
      <c r="E2721" s="8"/>
      <c r="F2721" s="8"/>
      <c r="G2721" s="10" t="str">
        <f aca="false">IF($A2721="","",UPPER(SUBSTITUTE(SUBSTITUTE(SUBSTITUTE(SUBSTITUTE($A2721," ",""),"(주)",""),"주식회사",""),"㈜","")))</f>
        <v/>
      </c>
      <c r="H2721" s="10" t="str">
        <f aca="false">IF($B2721="","",SUBSTITUTE(SUBSTITUTE(SUBSTITUTE($B2721,"-","")," ",""),".",""))</f>
        <v/>
      </c>
      <c r="I2721" s="10" t="str">
        <f aca="false">IF($D2721="","",SUBSTITUTE(SUBSTITUTE(SUBSTITUTE($D2721,"-","")," ",""),".",""))</f>
        <v/>
      </c>
      <c r="J2721" s="10" t="str">
        <f aca="false">IF($E2721="","",UPPER(SUBSTITUTE($E2721," ","")))</f>
        <v/>
      </c>
      <c r="K2721" s="10" t="str">
        <f aca="false">IF($A2721="","",$G2721&amp;"|"&amp;$J2721)</f>
        <v/>
      </c>
      <c r="L2721" s="10" t="str">
        <f aca="false">IF($A2721="","",ROW()-2)</f>
        <v/>
      </c>
      <c r="M2721" s="10" t="str">
        <f aca="false">IF($A2721="","",ROW())</f>
        <v/>
      </c>
    </row>
    <row r="2722" customFormat="false" ht="15" hidden="false" customHeight="true" outlineLevel="0" collapsed="false">
      <c r="A2722" s="8"/>
      <c r="B2722" s="8"/>
      <c r="C2722" s="8"/>
      <c r="D2722" s="8"/>
      <c r="E2722" s="8"/>
      <c r="F2722" s="8"/>
      <c r="G2722" s="10" t="str">
        <f aca="false">IF($A2722="","",UPPER(SUBSTITUTE(SUBSTITUTE(SUBSTITUTE(SUBSTITUTE($A2722," ",""),"(주)",""),"주식회사",""),"㈜","")))</f>
        <v/>
      </c>
      <c r="H2722" s="10" t="str">
        <f aca="false">IF($B2722="","",SUBSTITUTE(SUBSTITUTE(SUBSTITUTE($B2722,"-","")," ",""),".",""))</f>
        <v/>
      </c>
      <c r="I2722" s="10" t="str">
        <f aca="false">IF($D2722="","",SUBSTITUTE(SUBSTITUTE(SUBSTITUTE($D2722,"-","")," ",""),".",""))</f>
        <v/>
      </c>
      <c r="J2722" s="10" t="str">
        <f aca="false">IF($E2722="","",UPPER(SUBSTITUTE($E2722," ","")))</f>
        <v/>
      </c>
      <c r="K2722" s="10" t="str">
        <f aca="false">IF($A2722="","",$G2722&amp;"|"&amp;$J2722)</f>
        <v/>
      </c>
      <c r="L2722" s="10" t="str">
        <f aca="false">IF($A2722="","",ROW()-2)</f>
        <v/>
      </c>
      <c r="M2722" s="10" t="str">
        <f aca="false">IF($A2722="","",ROW())</f>
        <v/>
      </c>
    </row>
    <row r="2723" customFormat="false" ht="15" hidden="false" customHeight="true" outlineLevel="0" collapsed="false">
      <c r="A2723" s="8"/>
      <c r="B2723" s="8"/>
      <c r="C2723" s="8"/>
      <c r="D2723" s="8"/>
      <c r="E2723" s="8"/>
      <c r="F2723" s="8"/>
      <c r="G2723" s="10" t="str">
        <f aca="false">IF($A2723="","",UPPER(SUBSTITUTE(SUBSTITUTE(SUBSTITUTE(SUBSTITUTE($A2723," ",""),"(주)",""),"주식회사",""),"㈜","")))</f>
        <v/>
      </c>
      <c r="H2723" s="10" t="str">
        <f aca="false">IF($B2723="","",SUBSTITUTE(SUBSTITUTE(SUBSTITUTE($B2723,"-","")," ",""),".",""))</f>
        <v/>
      </c>
      <c r="I2723" s="10" t="str">
        <f aca="false">IF($D2723="","",SUBSTITUTE(SUBSTITUTE(SUBSTITUTE($D2723,"-","")," ",""),".",""))</f>
        <v/>
      </c>
      <c r="J2723" s="10" t="str">
        <f aca="false">IF($E2723="","",UPPER(SUBSTITUTE($E2723," ","")))</f>
        <v/>
      </c>
      <c r="K2723" s="10" t="str">
        <f aca="false">IF($A2723="","",$G2723&amp;"|"&amp;$J2723)</f>
        <v/>
      </c>
      <c r="L2723" s="10" t="str">
        <f aca="false">IF($A2723="","",ROW()-2)</f>
        <v/>
      </c>
      <c r="M2723" s="10" t="str">
        <f aca="false">IF($A2723="","",ROW())</f>
        <v/>
      </c>
    </row>
    <row r="2724" customFormat="false" ht="15" hidden="false" customHeight="true" outlineLevel="0" collapsed="false">
      <c r="A2724" s="8"/>
      <c r="B2724" s="8"/>
      <c r="C2724" s="8"/>
      <c r="D2724" s="8"/>
      <c r="E2724" s="8"/>
      <c r="F2724" s="8"/>
      <c r="G2724" s="10" t="str">
        <f aca="false">IF($A2724="","",UPPER(SUBSTITUTE(SUBSTITUTE(SUBSTITUTE(SUBSTITUTE($A2724," ",""),"(주)",""),"주식회사",""),"㈜","")))</f>
        <v/>
      </c>
      <c r="H2724" s="10" t="str">
        <f aca="false">IF($B2724="","",SUBSTITUTE(SUBSTITUTE(SUBSTITUTE($B2724,"-","")," ",""),".",""))</f>
        <v/>
      </c>
      <c r="I2724" s="10" t="str">
        <f aca="false">IF($D2724="","",SUBSTITUTE(SUBSTITUTE(SUBSTITUTE($D2724,"-","")," ",""),".",""))</f>
        <v/>
      </c>
      <c r="J2724" s="10" t="str">
        <f aca="false">IF($E2724="","",UPPER(SUBSTITUTE($E2724," ","")))</f>
        <v/>
      </c>
      <c r="K2724" s="10" t="str">
        <f aca="false">IF($A2724="","",$G2724&amp;"|"&amp;$J2724)</f>
        <v/>
      </c>
      <c r="L2724" s="10" t="str">
        <f aca="false">IF($A2724="","",ROW()-2)</f>
        <v/>
      </c>
      <c r="M2724" s="10" t="str">
        <f aca="false">IF($A2724="","",ROW())</f>
        <v/>
      </c>
    </row>
    <row r="2725" customFormat="false" ht="15" hidden="false" customHeight="true" outlineLevel="0" collapsed="false">
      <c r="A2725" s="8"/>
      <c r="B2725" s="8"/>
      <c r="C2725" s="8"/>
      <c r="D2725" s="8"/>
      <c r="E2725" s="8"/>
      <c r="F2725" s="8"/>
      <c r="G2725" s="10" t="str">
        <f aca="false">IF($A2725="","",UPPER(SUBSTITUTE(SUBSTITUTE(SUBSTITUTE(SUBSTITUTE($A2725," ",""),"(주)",""),"주식회사",""),"㈜","")))</f>
        <v/>
      </c>
      <c r="H2725" s="10" t="str">
        <f aca="false">IF($B2725="","",SUBSTITUTE(SUBSTITUTE(SUBSTITUTE($B2725,"-","")," ",""),".",""))</f>
        <v/>
      </c>
      <c r="I2725" s="10" t="str">
        <f aca="false">IF($D2725="","",SUBSTITUTE(SUBSTITUTE(SUBSTITUTE($D2725,"-","")," ",""),".",""))</f>
        <v/>
      </c>
      <c r="J2725" s="10" t="str">
        <f aca="false">IF($E2725="","",UPPER(SUBSTITUTE($E2725," ","")))</f>
        <v/>
      </c>
      <c r="K2725" s="10" t="str">
        <f aca="false">IF($A2725="","",$G2725&amp;"|"&amp;$J2725)</f>
        <v/>
      </c>
      <c r="L2725" s="10" t="str">
        <f aca="false">IF($A2725="","",ROW()-2)</f>
        <v/>
      </c>
      <c r="M2725" s="10" t="str">
        <f aca="false">IF($A2725="","",ROW())</f>
        <v/>
      </c>
    </row>
    <row r="2726" customFormat="false" ht="15" hidden="false" customHeight="true" outlineLevel="0" collapsed="false">
      <c r="A2726" s="8"/>
      <c r="B2726" s="8"/>
      <c r="C2726" s="8"/>
      <c r="D2726" s="8"/>
      <c r="E2726" s="8"/>
      <c r="F2726" s="8"/>
      <c r="G2726" s="10" t="str">
        <f aca="false">IF($A2726="","",UPPER(SUBSTITUTE(SUBSTITUTE(SUBSTITUTE(SUBSTITUTE($A2726," ",""),"(주)",""),"주식회사",""),"㈜","")))</f>
        <v/>
      </c>
      <c r="H2726" s="10" t="str">
        <f aca="false">IF($B2726="","",SUBSTITUTE(SUBSTITUTE(SUBSTITUTE($B2726,"-","")," ",""),".",""))</f>
        <v/>
      </c>
      <c r="I2726" s="10" t="str">
        <f aca="false">IF($D2726="","",SUBSTITUTE(SUBSTITUTE(SUBSTITUTE($D2726,"-","")," ",""),".",""))</f>
        <v/>
      </c>
      <c r="J2726" s="10" t="str">
        <f aca="false">IF($E2726="","",UPPER(SUBSTITUTE($E2726," ","")))</f>
        <v/>
      </c>
      <c r="K2726" s="10" t="str">
        <f aca="false">IF($A2726="","",$G2726&amp;"|"&amp;$J2726)</f>
        <v/>
      </c>
      <c r="L2726" s="10" t="str">
        <f aca="false">IF($A2726="","",ROW()-2)</f>
        <v/>
      </c>
      <c r="M2726" s="10" t="str">
        <f aca="false">IF($A2726="","",ROW())</f>
        <v/>
      </c>
    </row>
    <row r="2727" customFormat="false" ht="15" hidden="false" customHeight="true" outlineLevel="0" collapsed="false">
      <c r="A2727" s="8"/>
      <c r="B2727" s="8"/>
      <c r="C2727" s="8"/>
      <c r="D2727" s="8"/>
      <c r="E2727" s="8"/>
      <c r="F2727" s="8"/>
      <c r="G2727" s="10" t="str">
        <f aca="false">IF($A2727="","",UPPER(SUBSTITUTE(SUBSTITUTE(SUBSTITUTE(SUBSTITUTE($A2727," ",""),"(주)",""),"주식회사",""),"㈜","")))</f>
        <v/>
      </c>
      <c r="H2727" s="10" t="str">
        <f aca="false">IF($B2727="","",SUBSTITUTE(SUBSTITUTE(SUBSTITUTE($B2727,"-","")," ",""),".",""))</f>
        <v/>
      </c>
      <c r="I2727" s="10" t="str">
        <f aca="false">IF($D2727="","",SUBSTITUTE(SUBSTITUTE(SUBSTITUTE($D2727,"-","")," ",""),".",""))</f>
        <v/>
      </c>
      <c r="J2727" s="10" t="str">
        <f aca="false">IF($E2727="","",UPPER(SUBSTITUTE($E2727," ","")))</f>
        <v/>
      </c>
      <c r="K2727" s="10" t="str">
        <f aca="false">IF($A2727="","",$G2727&amp;"|"&amp;$J2727)</f>
        <v/>
      </c>
      <c r="L2727" s="10" t="str">
        <f aca="false">IF($A2727="","",ROW()-2)</f>
        <v/>
      </c>
      <c r="M2727" s="10" t="str">
        <f aca="false">IF($A2727="","",ROW())</f>
        <v/>
      </c>
    </row>
    <row r="2728" customFormat="false" ht="15" hidden="false" customHeight="true" outlineLevel="0" collapsed="false">
      <c r="A2728" s="8"/>
      <c r="B2728" s="8"/>
      <c r="C2728" s="8"/>
      <c r="D2728" s="8"/>
      <c r="E2728" s="8"/>
      <c r="F2728" s="8"/>
      <c r="G2728" s="10" t="str">
        <f aca="false">IF($A2728="","",UPPER(SUBSTITUTE(SUBSTITUTE(SUBSTITUTE(SUBSTITUTE($A2728," ",""),"(주)",""),"주식회사",""),"㈜","")))</f>
        <v/>
      </c>
      <c r="H2728" s="10" t="str">
        <f aca="false">IF($B2728="","",SUBSTITUTE(SUBSTITUTE(SUBSTITUTE($B2728,"-","")," ",""),".",""))</f>
        <v/>
      </c>
      <c r="I2728" s="10" t="str">
        <f aca="false">IF($D2728="","",SUBSTITUTE(SUBSTITUTE(SUBSTITUTE($D2728,"-","")," ",""),".",""))</f>
        <v/>
      </c>
      <c r="J2728" s="10" t="str">
        <f aca="false">IF($E2728="","",UPPER(SUBSTITUTE($E2728," ","")))</f>
        <v/>
      </c>
      <c r="K2728" s="10" t="str">
        <f aca="false">IF($A2728="","",$G2728&amp;"|"&amp;$J2728)</f>
        <v/>
      </c>
      <c r="L2728" s="10" t="str">
        <f aca="false">IF($A2728="","",ROW()-2)</f>
        <v/>
      </c>
      <c r="M2728" s="10" t="str">
        <f aca="false">IF($A2728="","",ROW())</f>
        <v/>
      </c>
    </row>
    <row r="2729" customFormat="false" ht="15" hidden="false" customHeight="true" outlineLevel="0" collapsed="false">
      <c r="A2729" s="8"/>
      <c r="B2729" s="8"/>
      <c r="C2729" s="8"/>
      <c r="D2729" s="8"/>
      <c r="E2729" s="8"/>
      <c r="F2729" s="8"/>
      <c r="G2729" s="10" t="str">
        <f aca="false">IF($A2729="","",UPPER(SUBSTITUTE(SUBSTITUTE(SUBSTITUTE(SUBSTITUTE($A2729," ",""),"(주)",""),"주식회사",""),"㈜","")))</f>
        <v/>
      </c>
      <c r="H2729" s="10" t="str">
        <f aca="false">IF($B2729="","",SUBSTITUTE(SUBSTITUTE(SUBSTITUTE($B2729,"-","")," ",""),".",""))</f>
        <v/>
      </c>
      <c r="I2729" s="10" t="str">
        <f aca="false">IF($D2729="","",SUBSTITUTE(SUBSTITUTE(SUBSTITUTE($D2729,"-","")," ",""),".",""))</f>
        <v/>
      </c>
      <c r="J2729" s="10" t="str">
        <f aca="false">IF($E2729="","",UPPER(SUBSTITUTE($E2729," ","")))</f>
        <v/>
      </c>
      <c r="K2729" s="10" t="str">
        <f aca="false">IF($A2729="","",$G2729&amp;"|"&amp;$J2729)</f>
        <v/>
      </c>
      <c r="L2729" s="10" t="str">
        <f aca="false">IF($A2729="","",ROW()-2)</f>
        <v/>
      </c>
      <c r="M2729" s="10" t="str">
        <f aca="false">IF($A2729="","",ROW())</f>
        <v/>
      </c>
    </row>
    <row r="2730" customFormat="false" ht="15" hidden="false" customHeight="true" outlineLevel="0" collapsed="false">
      <c r="A2730" s="8"/>
      <c r="B2730" s="8"/>
      <c r="C2730" s="8"/>
      <c r="D2730" s="8"/>
      <c r="E2730" s="8"/>
      <c r="F2730" s="8"/>
      <c r="G2730" s="10" t="str">
        <f aca="false">IF($A2730="","",UPPER(SUBSTITUTE(SUBSTITUTE(SUBSTITUTE(SUBSTITUTE($A2730," ",""),"(주)",""),"주식회사",""),"㈜","")))</f>
        <v/>
      </c>
      <c r="H2730" s="10" t="str">
        <f aca="false">IF($B2730="","",SUBSTITUTE(SUBSTITUTE(SUBSTITUTE($B2730,"-","")," ",""),".",""))</f>
        <v/>
      </c>
      <c r="I2730" s="10" t="str">
        <f aca="false">IF($D2730="","",SUBSTITUTE(SUBSTITUTE(SUBSTITUTE($D2730,"-","")," ",""),".",""))</f>
        <v/>
      </c>
      <c r="J2730" s="10" t="str">
        <f aca="false">IF($E2730="","",UPPER(SUBSTITUTE($E2730," ","")))</f>
        <v/>
      </c>
      <c r="K2730" s="10" t="str">
        <f aca="false">IF($A2730="","",$G2730&amp;"|"&amp;$J2730)</f>
        <v/>
      </c>
      <c r="L2730" s="10" t="str">
        <f aca="false">IF($A2730="","",ROW()-2)</f>
        <v/>
      </c>
      <c r="M2730" s="10" t="str">
        <f aca="false">IF($A2730="","",ROW())</f>
        <v/>
      </c>
    </row>
    <row r="2731" customFormat="false" ht="15" hidden="false" customHeight="true" outlineLevel="0" collapsed="false">
      <c r="A2731" s="8"/>
      <c r="B2731" s="8"/>
      <c r="C2731" s="8"/>
      <c r="D2731" s="8"/>
      <c r="E2731" s="8"/>
      <c r="F2731" s="8"/>
      <c r="G2731" s="10" t="str">
        <f aca="false">IF($A2731="","",UPPER(SUBSTITUTE(SUBSTITUTE(SUBSTITUTE(SUBSTITUTE($A2731," ",""),"(주)",""),"주식회사",""),"㈜","")))</f>
        <v/>
      </c>
      <c r="H2731" s="10" t="str">
        <f aca="false">IF($B2731="","",SUBSTITUTE(SUBSTITUTE(SUBSTITUTE($B2731,"-","")," ",""),".",""))</f>
        <v/>
      </c>
      <c r="I2731" s="10" t="str">
        <f aca="false">IF($D2731="","",SUBSTITUTE(SUBSTITUTE(SUBSTITUTE($D2731,"-","")," ",""),".",""))</f>
        <v/>
      </c>
      <c r="J2731" s="10" t="str">
        <f aca="false">IF($E2731="","",UPPER(SUBSTITUTE($E2731," ","")))</f>
        <v/>
      </c>
      <c r="K2731" s="10" t="str">
        <f aca="false">IF($A2731="","",$G2731&amp;"|"&amp;$J2731)</f>
        <v/>
      </c>
      <c r="L2731" s="10" t="str">
        <f aca="false">IF($A2731="","",ROW()-2)</f>
        <v/>
      </c>
      <c r="M2731" s="10" t="str">
        <f aca="false">IF($A2731="","",ROW())</f>
        <v/>
      </c>
    </row>
    <row r="2732" customFormat="false" ht="15" hidden="false" customHeight="true" outlineLevel="0" collapsed="false">
      <c r="A2732" s="8"/>
      <c r="B2732" s="8"/>
      <c r="C2732" s="8"/>
      <c r="D2732" s="8"/>
      <c r="E2732" s="8"/>
      <c r="F2732" s="8"/>
      <c r="G2732" s="10" t="str">
        <f aca="false">IF($A2732="","",UPPER(SUBSTITUTE(SUBSTITUTE(SUBSTITUTE(SUBSTITUTE($A2732," ",""),"(주)",""),"주식회사",""),"㈜","")))</f>
        <v/>
      </c>
      <c r="H2732" s="10" t="str">
        <f aca="false">IF($B2732="","",SUBSTITUTE(SUBSTITUTE(SUBSTITUTE($B2732,"-","")," ",""),".",""))</f>
        <v/>
      </c>
      <c r="I2732" s="10" t="str">
        <f aca="false">IF($D2732="","",SUBSTITUTE(SUBSTITUTE(SUBSTITUTE($D2732,"-","")," ",""),".",""))</f>
        <v/>
      </c>
      <c r="J2732" s="10" t="str">
        <f aca="false">IF($E2732="","",UPPER(SUBSTITUTE($E2732," ","")))</f>
        <v/>
      </c>
      <c r="K2732" s="10" t="str">
        <f aca="false">IF($A2732="","",$G2732&amp;"|"&amp;$J2732)</f>
        <v/>
      </c>
      <c r="L2732" s="10" t="str">
        <f aca="false">IF($A2732="","",ROW()-2)</f>
        <v/>
      </c>
      <c r="M2732" s="10" t="str">
        <f aca="false">IF($A2732="","",ROW())</f>
        <v/>
      </c>
    </row>
    <row r="2733" customFormat="false" ht="15" hidden="false" customHeight="true" outlineLevel="0" collapsed="false">
      <c r="A2733" s="8"/>
      <c r="B2733" s="8"/>
      <c r="C2733" s="8"/>
      <c r="D2733" s="8"/>
      <c r="E2733" s="8"/>
      <c r="F2733" s="8"/>
      <c r="G2733" s="10" t="str">
        <f aca="false">IF($A2733="","",UPPER(SUBSTITUTE(SUBSTITUTE(SUBSTITUTE(SUBSTITUTE($A2733," ",""),"(주)",""),"주식회사",""),"㈜","")))</f>
        <v/>
      </c>
      <c r="H2733" s="10" t="str">
        <f aca="false">IF($B2733="","",SUBSTITUTE(SUBSTITUTE(SUBSTITUTE($B2733,"-","")," ",""),".",""))</f>
        <v/>
      </c>
      <c r="I2733" s="10" t="str">
        <f aca="false">IF($D2733="","",SUBSTITUTE(SUBSTITUTE(SUBSTITUTE($D2733,"-","")," ",""),".",""))</f>
        <v/>
      </c>
      <c r="J2733" s="10" t="str">
        <f aca="false">IF($E2733="","",UPPER(SUBSTITUTE($E2733," ","")))</f>
        <v/>
      </c>
      <c r="K2733" s="10" t="str">
        <f aca="false">IF($A2733="","",$G2733&amp;"|"&amp;$J2733)</f>
        <v/>
      </c>
      <c r="L2733" s="10" t="str">
        <f aca="false">IF($A2733="","",ROW()-2)</f>
        <v/>
      </c>
      <c r="M2733" s="10" t="str">
        <f aca="false">IF($A2733="","",ROW())</f>
        <v/>
      </c>
    </row>
    <row r="2734" customFormat="false" ht="15" hidden="false" customHeight="true" outlineLevel="0" collapsed="false">
      <c r="A2734" s="8"/>
      <c r="B2734" s="8"/>
      <c r="C2734" s="8"/>
      <c r="D2734" s="8"/>
      <c r="E2734" s="8"/>
      <c r="F2734" s="8"/>
      <c r="G2734" s="10" t="str">
        <f aca="false">IF($A2734="","",UPPER(SUBSTITUTE(SUBSTITUTE(SUBSTITUTE(SUBSTITUTE($A2734," ",""),"(주)",""),"주식회사",""),"㈜","")))</f>
        <v/>
      </c>
      <c r="H2734" s="10" t="str">
        <f aca="false">IF($B2734="","",SUBSTITUTE(SUBSTITUTE(SUBSTITUTE($B2734,"-","")," ",""),".",""))</f>
        <v/>
      </c>
      <c r="I2734" s="10" t="str">
        <f aca="false">IF($D2734="","",SUBSTITUTE(SUBSTITUTE(SUBSTITUTE($D2734,"-","")," ",""),".",""))</f>
        <v/>
      </c>
      <c r="J2734" s="10" t="str">
        <f aca="false">IF($E2734="","",UPPER(SUBSTITUTE($E2734," ","")))</f>
        <v/>
      </c>
      <c r="K2734" s="10" t="str">
        <f aca="false">IF($A2734="","",$G2734&amp;"|"&amp;$J2734)</f>
        <v/>
      </c>
      <c r="L2734" s="10" t="str">
        <f aca="false">IF($A2734="","",ROW()-2)</f>
        <v/>
      </c>
      <c r="M2734" s="10" t="str">
        <f aca="false">IF($A2734="","",ROW())</f>
        <v/>
      </c>
    </row>
    <row r="2735" customFormat="false" ht="15" hidden="false" customHeight="true" outlineLevel="0" collapsed="false">
      <c r="A2735" s="8"/>
      <c r="B2735" s="8"/>
      <c r="C2735" s="8"/>
      <c r="D2735" s="8"/>
      <c r="E2735" s="8"/>
      <c r="F2735" s="8"/>
      <c r="G2735" s="10" t="str">
        <f aca="false">IF($A2735="","",UPPER(SUBSTITUTE(SUBSTITUTE(SUBSTITUTE(SUBSTITUTE($A2735," ",""),"(주)",""),"주식회사",""),"㈜","")))</f>
        <v/>
      </c>
      <c r="H2735" s="10" t="str">
        <f aca="false">IF($B2735="","",SUBSTITUTE(SUBSTITUTE(SUBSTITUTE($B2735,"-","")," ",""),".",""))</f>
        <v/>
      </c>
      <c r="I2735" s="10" t="str">
        <f aca="false">IF($D2735="","",SUBSTITUTE(SUBSTITUTE(SUBSTITUTE($D2735,"-","")," ",""),".",""))</f>
        <v/>
      </c>
      <c r="J2735" s="10" t="str">
        <f aca="false">IF($E2735="","",UPPER(SUBSTITUTE($E2735," ","")))</f>
        <v/>
      </c>
      <c r="K2735" s="10" t="str">
        <f aca="false">IF($A2735="","",$G2735&amp;"|"&amp;$J2735)</f>
        <v/>
      </c>
      <c r="L2735" s="10" t="str">
        <f aca="false">IF($A2735="","",ROW()-2)</f>
        <v/>
      </c>
      <c r="M2735" s="10" t="str">
        <f aca="false">IF($A2735="","",ROW())</f>
        <v/>
      </c>
    </row>
    <row r="2736" customFormat="false" ht="15" hidden="false" customHeight="true" outlineLevel="0" collapsed="false">
      <c r="A2736" s="8"/>
      <c r="B2736" s="8"/>
      <c r="C2736" s="8"/>
      <c r="D2736" s="8"/>
      <c r="E2736" s="8"/>
      <c r="F2736" s="8"/>
      <c r="G2736" s="10" t="str">
        <f aca="false">IF($A2736="","",UPPER(SUBSTITUTE(SUBSTITUTE(SUBSTITUTE(SUBSTITUTE($A2736," ",""),"(주)",""),"주식회사",""),"㈜","")))</f>
        <v/>
      </c>
      <c r="H2736" s="10" t="str">
        <f aca="false">IF($B2736="","",SUBSTITUTE(SUBSTITUTE(SUBSTITUTE($B2736,"-","")," ",""),".",""))</f>
        <v/>
      </c>
      <c r="I2736" s="10" t="str">
        <f aca="false">IF($D2736="","",SUBSTITUTE(SUBSTITUTE(SUBSTITUTE($D2736,"-","")," ",""),".",""))</f>
        <v/>
      </c>
      <c r="J2736" s="10" t="str">
        <f aca="false">IF($E2736="","",UPPER(SUBSTITUTE($E2736," ","")))</f>
        <v/>
      </c>
      <c r="K2736" s="10" t="str">
        <f aca="false">IF($A2736="","",$G2736&amp;"|"&amp;$J2736)</f>
        <v/>
      </c>
      <c r="L2736" s="10" t="str">
        <f aca="false">IF($A2736="","",ROW()-2)</f>
        <v/>
      </c>
      <c r="M2736" s="10" t="str">
        <f aca="false">IF($A2736="","",ROW())</f>
        <v/>
      </c>
    </row>
    <row r="2737" customFormat="false" ht="15" hidden="false" customHeight="true" outlineLevel="0" collapsed="false">
      <c r="A2737" s="8"/>
      <c r="B2737" s="8"/>
      <c r="C2737" s="8"/>
      <c r="D2737" s="8"/>
      <c r="E2737" s="8"/>
      <c r="F2737" s="8"/>
      <c r="G2737" s="10" t="str">
        <f aca="false">IF($A2737="","",UPPER(SUBSTITUTE(SUBSTITUTE(SUBSTITUTE(SUBSTITUTE($A2737," ",""),"(주)",""),"주식회사",""),"㈜","")))</f>
        <v/>
      </c>
      <c r="H2737" s="10" t="str">
        <f aca="false">IF($B2737="","",SUBSTITUTE(SUBSTITUTE(SUBSTITUTE($B2737,"-","")," ",""),".",""))</f>
        <v/>
      </c>
      <c r="I2737" s="10" t="str">
        <f aca="false">IF($D2737="","",SUBSTITUTE(SUBSTITUTE(SUBSTITUTE($D2737,"-","")," ",""),".",""))</f>
        <v/>
      </c>
      <c r="J2737" s="10" t="str">
        <f aca="false">IF($E2737="","",UPPER(SUBSTITUTE($E2737," ","")))</f>
        <v/>
      </c>
      <c r="K2737" s="10" t="str">
        <f aca="false">IF($A2737="","",$G2737&amp;"|"&amp;$J2737)</f>
        <v/>
      </c>
      <c r="L2737" s="10" t="str">
        <f aca="false">IF($A2737="","",ROW()-2)</f>
        <v/>
      </c>
      <c r="M2737" s="10" t="str">
        <f aca="false">IF($A2737="","",ROW())</f>
        <v/>
      </c>
    </row>
    <row r="2738" customFormat="false" ht="15" hidden="false" customHeight="true" outlineLevel="0" collapsed="false">
      <c r="A2738" s="8"/>
      <c r="B2738" s="8"/>
      <c r="C2738" s="8"/>
      <c r="D2738" s="8"/>
      <c r="E2738" s="8"/>
      <c r="F2738" s="8"/>
      <c r="G2738" s="10" t="str">
        <f aca="false">IF($A2738="","",UPPER(SUBSTITUTE(SUBSTITUTE(SUBSTITUTE(SUBSTITUTE($A2738," ",""),"(주)",""),"주식회사",""),"㈜","")))</f>
        <v/>
      </c>
      <c r="H2738" s="10" t="str">
        <f aca="false">IF($B2738="","",SUBSTITUTE(SUBSTITUTE(SUBSTITUTE($B2738,"-","")," ",""),".",""))</f>
        <v/>
      </c>
      <c r="I2738" s="10" t="str">
        <f aca="false">IF($D2738="","",SUBSTITUTE(SUBSTITUTE(SUBSTITUTE($D2738,"-","")," ",""),".",""))</f>
        <v/>
      </c>
      <c r="J2738" s="10" t="str">
        <f aca="false">IF($E2738="","",UPPER(SUBSTITUTE($E2738," ","")))</f>
        <v/>
      </c>
      <c r="K2738" s="10" t="str">
        <f aca="false">IF($A2738="","",$G2738&amp;"|"&amp;$J2738)</f>
        <v/>
      </c>
      <c r="L2738" s="10" t="str">
        <f aca="false">IF($A2738="","",ROW()-2)</f>
        <v/>
      </c>
      <c r="M2738" s="10" t="str">
        <f aca="false">IF($A2738="","",ROW())</f>
        <v/>
      </c>
    </row>
    <row r="2739" customFormat="false" ht="15" hidden="false" customHeight="true" outlineLevel="0" collapsed="false">
      <c r="A2739" s="8"/>
      <c r="B2739" s="8"/>
      <c r="C2739" s="8"/>
      <c r="D2739" s="8"/>
      <c r="E2739" s="8"/>
      <c r="F2739" s="8"/>
      <c r="G2739" s="10" t="str">
        <f aca="false">IF($A2739="","",UPPER(SUBSTITUTE(SUBSTITUTE(SUBSTITUTE(SUBSTITUTE($A2739," ",""),"(주)",""),"주식회사",""),"㈜","")))</f>
        <v/>
      </c>
      <c r="H2739" s="10" t="str">
        <f aca="false">IF($B2739="","",SUBSTITUTE(SUBSTITUTE(SUBSTITUTE($B2739,"-","")," ",""),".",""))</f>
        <v/>
      </c>
      <c r="I2739" s="10" t="str">
        <f aca="false">IF($D2739="","",SUBSTITUTE(SUBSTITUTE(SUBSTITUTE($D2739,"-","")," ",""),".",""))</f>
        <v/>
      </c>
      <c r="J2739" s="10" t="str">
        <f aca="false">IF($E2739="","",UPPER(SUBSTITUTE($E2739," ","")))</f>
        <v/>
      </c>
      <c r="K2739" s="10" t="str">
        <f aca="false">IF($A2739="","",$G2739&amp;"|"&amp;$J2739)</f>
        <v/>
      </c>
      <c r="L2739" s="10" t="str">
        <f aca="false">IF($A2739="","",ROW()-2)</f>
        <v/>
      </c>
      <c r="M2739" s="10" t="str">
        <f aca="false">IF($A2739="","",ROW())</f>
        <v/>
      </c>
    </row>
    <row r="2740" customFormat="false" ht="15" hidden="false" customHeight="true" outlineLevel="0" collapsed="false">
      <c r="A2740" s="8"/>
      <c r="B2740" s="8"/>
      <c r="C2740" s="8"/>
      <c r="D2740" s="8"/>
      <c r="E2740" s="8"/>
      <c r="F2740" s="8"/>
      <c r="G2740" s="10" t="str">
        <f aca="false">IF($A2740="","",UPPER(SUBSTITUTE(SUBSTITUTE(SUBSTITUTE(SUBSTITUTE($A2740," ",""),"(주)",""),"주식회사",""),"㈜","")))</f>
        <v/>
      </c>
      <c r="H2740" s="10" t="str">
        <f aca="false">IF($B2740="","",SUBSTITUTE(SUBSTITUTE(SUBSTITUTE($B2740,"-","")," ",""),".",""))</f>
        <v/>
      </c>
      <c r="I2740" s="10" t="str">
        <f aca="false">IF($D2740="","",SUBSTITUTE(SUBSTITUTE(SUBSTITUTE($D2740,"-","")," ",""),".",""))</f>
        <v/>
      </c>
      <c r="J2740" s="10" t="str">
        <f aca="false">IF($E2740="","",UPPER(SUBSTITUTE($E2740," ","")))</f>
        <v/>
      </c>
      <c r="K2740" s="10" t="str">
        <f aca="false">IF($A2740="","",$G2740&amp;"|"&amp;$J2740)</f>
        <v/>
      </c>
      <c r="L2740" s="10" t="str">
        <f aca="false">IF($A2740="","",ROW()-2)</f>
        <v/>
      </c>
      <c r="M2740" s="10" t="str">
        <f aca="false">IF($A2740="","",ROW())</f>
        <v/>
      </c>
    </row>
    <row r="2741" customFormat="false" ht="15" hidden="false" customHeight="true" outlineLevel="0" collapsed="false">
      <c r="A2741" s="8"/>
      <c r="B2741" s="8"/>
      <c r="C2741" s="8"/>
      <c r="D2741" s="8"/>
      <c r="E2741" s="8"/>
      <c r="F2741" s="8"/>
      <c r="G2741" s="10" t="str">
        <f aca="false">IF($A2741="","",UPPER(SUBSTITUTE(SUBSTITUTE(SUBSTITUTE(SUBSTITUTE($A2741," ",""),"(주)",""),"주식회사",""),"㈜","")))</f>
        <v/>
      </c>
      <c r="H2741" s="10" t="str">
        <f aca="false">IF($B2741="","",SUBSTITUTE(SUBSTITUTE(SUBSTITUTE($B2741,"-","")," ",""),".",""))</f>
        <v/>
      </c>
      <c r="I2741" s="10" t="str">
        <f aca="false">IF($D2741="","",SUBSTITUTE(SUBSTITUTE(SUBSTITUTE($D2741,"-","")," ",""),".",""))</f>
        <v/>
      </c>
      <c r="J2741" s="10" t="str">
        <f aca="false">IF($E2741="","",UPPER(SUBSTITUTE($E2741," ","")))</f>
        <v/>
      </c>
      <c r="K2741" s="10" t="str">
        <f aca="false">IF($A2741="","",$G2741&amp;"|"&amp;$J2741)</f>
        <v/>
      </c>
      <c r="L2741" s="10" t="str">
        <f aca="false">IF($A2741="","",ROW()-2)</f>
        <v/>
      </c>
      <c r="M2741" s="10" t="str">
        <f aca="false">IF($A2741="","",ROW())</f>
        <v/>
      </c>
    </row>
    <row r="2742" customFormat="false" ht="15" hidden="false" customHeight="true" outlineLevel="0" collapsed="false">
      <c r="A2742" s="8"/>
      <c r="B2742" s="8"/>
      <c r="C2742" s="8"/>
      <c r="D2742" s="8"/>
      <c r="E2742" s="8"/>
      <c r="F2742" s="8"/>
      <c r="G2742" s="10" t="str">
        <f aca="false">IF($A2742="","",UPPER(SUBSTITUTE(SUBSTITUTE(SUBSTITUTE(SUBSTITUTE($A2742," ",""),"(주)",""),"주식회사",""),"㈜","")))</f>
        <v/>
      </c>
      <c r="H2742" s="10" t="str">
        <f aca="false">IF($B2742="","",SUBSTITUTE(SUBSTITUTE(SUBSTITUTE($B2742,"-","")," ",""),".",""))</f>
        <v/>
      </c>
      <c r="I2742" s="10" t="str">
        <f aca="false">IF($D2742="","",SUBSTITUTE(SUBSTITUTE(SUBSTITUTE($D2742,"-","")," ",""),".",""))</f>
        <v/>
      </c>
      <c r="J2742" s="10" t="str">
        <f aca="false">IF($E2742="","",UPPER(SUBSTITUTE($E2742," ","")))</f>
        <v/>
      </c>
      <c r="K2742" s="10" t="str">
        <f aca="false">IF($A2742="","",$G2742&amp;"|"&amp;$J2742)</f>
        <v/>
      </c>
      <c r="L2742" s="10" t="str">
        <f aca="false">IF($A2742="","",ROW()-2)</f>
        <v/>
      </c>
      <c r="M2742" s="10" t="str">
        <f aca="false">IF($A2742="","",ROW())</f>
        <v/>
      </c>
    </row>
    <row r="2743" customFormat="false" ht="15" hidden="false" customHeight="true" outlineLevel="0" collapsed="false">
      <c r="A2743" s="8"/>
      <c r="B2743" s="8"/>
      <c r="C2743" s="8"/>
      <c r="D2743" s="8"/>
      <c r="E2743" s="8"/>
      <c r="F2743" s="8"/>
      <c r="G2743" s="10" t="str">
        <f aca="false">IF($A2743="","",UPPER(SUBSTITUTE(SUBSTITUTE(SUBSTITUTE(SUBSTITUTE($A2743," ",""),"(주)",""),"주식회사",""),"㈜","")))</f>
        <v/>
      </c>
      <c r="H2743" s="10" t="str">
        <f aca="false">IF($B2743="","",SUBSTITUTE(SUBSTITUTE(SUBSTITUTE($B2743,"-","")," ",""),".",""))</f>
        <v/>
      </c>
      <c r="I2743" s="10" t="str">
        <f aca="false">IF($D2743="","",SUBSTITUTE(SUBSTITUTE(SUBSTITUTE($D2743,"-","")," ",""),".",""))</f>
        <v/>
      </c>
      <c r="J2743" s="10" t="str">
        <f aca="false">IF($E2743="","",UPPER(SUBSTITUTE($E2743," ","")))</f>
        <v/>
      </c>
      <c r="K2743" s="10" t="str">
        <f aca="false">IF($A2743="","",$G2743&amp;"|"&amp;$J2743)</f>
        <v/>
      </c>
      <c r="L2743" s="10" t="str">
        <f aca="false">IF($A2743="","",ROW()-2)</f>
        <v/>
      </c>
      <c r="M2743" s="10" t="str">
        <f aca="false">IF($A2743="","",ROW())</f>
        <v/>
      </c>
    </row>
    <row r="2744" customFormat="false" ht="15" hidden="false" customHeight="true" outlineLevel="0" collapsed="false">
      <c r="A2744" s="8"/>
      <c r="B2744" s="8"/>
      <c r="C2744" s="8"/>
      <c r="D2744" s="8"/>
      <c r="E2744" s="8"/>
      <c r="F2744" s="8"/>
      <c r="G2744" s="10" t="str">
        <f aca="false">IF($A2744="","",UPPER(SUBSTITUTE(SUBSTITUTE(SUBSTITUTE(SUBSTITUTE($A2744," ",""),"(주)",""),"주식회사",""),"㈜","")))</f>
        <v/>
      </c>
      <c r="H2744" s="10" t="str">
        <f aca="false">IF($B2744="","",SUBSTITUTE(SUBSTITUTE(SUBSTITUTE($B2744,"-","")," ",""),".",""))</f>
        <v/>
      </c>
      <c r="I2744" s="10" t="str">
        <f aca="false">IF($D2744="","",SUBSTITUTE(SUBSTITUTE(SUBSTITUTE($D2744,"-","")," ",""),".",""))</f>
        <v/>
      </c>
      <c r="J2744" s="10" t="str">
        <f aca="false">IF($E2744="","",UPPER(SUBSTITUTE($E2744," ","")))</f>
        <v/>
      </c>
      <c r="K2744" s="10" t="str">
        <f aca="false">IF($A2744="","",$G2744&amp;"|"&amp;$J2744)</f>
        <v/>
      </c>
      <c r="L2744" s="10" t="str">
        <f aca="false">IF($A2744="","",ROW()-2)</f>
        <v/>
      </c>
      <c r="M2744" s="10" t="str">
        <f aca="false">IF($A2744="","",ROW())</f>
        <v/>
      </c>
    </row>
    <row r="2745" customFormat="false" ht="15" hidden="false" customHeight="true" outlineLevel="0" collapsed="false">
      <c r="A2745" s="8"/>
      <c r="B2745" s="8"/>
      <c r="C2745" s="8"/>
      <c r="D2745" s="8"/>
      <c r="E2745" s="8"/>
      <c r="F2745" s="8"/>
      <c r="G2745" s="10" t="str">
        <f aca="false">IF($A2745="","",UPPER(SUBSTITUTE(SUBSTITUTE(SUBSTITUTE(SUBSTITUTE($A2745," ",""),"(주)",""),"주식회사",""),"㈜","")))</f>
        <v/>
      </c>
      <c r="H2745" s="10" t="str">
        <f aca="false">IF($B2745="","",SUBSTITUTE(SUBSTITUTE(SUBSTITUTE($B2745,"-","")," ",""),".",""))</f>
        <v/>
      </c>
      <c r="I2745" s="10" t="str">
        <f aca="false">IF($D2745="","",SUBSTITUTE(SUBSTITUTE(SUBSTITUTE($D2745,"-","")," ",""),".",""))</f>
        <v/>
      </c>
      <c r="J2745" s="10" t="str">
        <f aca="false">IF($E2745="","",UPPER(SUBSTITUTE($E2745," ","")))</f>
        <v/>
      </c>
      <c r="K2745" s="10" t="str">
        <f aca="false">IF($A2745="","",$G2745&amp;"|"&amp;$J2745)</f>
        <v/>
      </c>
      <c r="L2745" s="10" t="str">
        <f aca="false">IF($A2745="","",ROW()-2)</f>
        <v/>
      </c>
      <c r="M2745" s="10" t="str">
        <f aca="false">IF($A2745="","",ROW())</f>
        <v/>
      </c>
    </row>
    <row r="2746" customFormat="false" ht="15" hidden="false" customHeight="true" outlineLevel="0" collapsed="false">
      <c r="A2746" s="8"/>
      <c r="B2746" s="8"/>
      <c r="C2746" s="8"/>
      <c r="D2746" s="8"/>
      <c r="E2746" s="8"/>
      <c r="F2746" s="8"/>
      <c r="G2746" s="10" t="str">
        <f aca="false">IF($A2746="","",UPPER(SUBSTITUTE(SUBSTITUTE(SUBSTITUTE(SUBSTITUTE($A2746," ",""),"(주)",""),"주식회사",""),"㈜","")))</f>
        <v/>
      </c>
      <c r="H2746" s="10" t="str">
        <f aca="false">IF($B2746="","",SUBSTITUTE(SUBSTITUTE(SUBSTITUTE($B2746,"-","")," ",""),".",""))</f>
        <v/>
      </c>
      <c r="I2746" s="10" t="str">
        <f aca="false">IF($D2746="","",SUBSTITUTE(SUBSTITUTE(SUBSTITUTE($D2746,"-","")," ",""),".",""))</f>
        <v/>
      </c>
      <c r="J2746" s="10" t="str">
        <f aca="false">IF($E2746="","",UPPER(SUBSTITUTE($E2746," ","")))</f>
        <v/>
      </c>
      <c r="K2746" s="10" t="str">
        <f aca="false">IF($A2746="","",$G2746&amp;"|"&amp;$J2746)</f>
        <v/>
      </c>
      <c r="L2746" s="10" t="str">
        <f aca="false">IF($A2746="","",ROW()-2)</f>
        <v/>
      </c>
      <c r="M2746" s="10" t="str">
        <f aca="false">IF($A2746="","",ROW())</f>
        <v/>
      </c>
    </row>
    <row r="2747" customFormat="false" ht="15" hidden="false" customHeight="true" outlineLevel="0" collapsed="false">
      <c r="A2747" s="8"/>
      <c r="B2747" s="8"/>
      <c r="C2747" s="8"/>
      <c r="D2747" s="8"/>
      <c r="E2747" s="8"/>
      <c r="F2747" s="8"/>
      <c r="G2747" s="10" t="str">
        <f aca="false">IF($A2747="","",UPPER(SUBSTITUTE(SUBSTITUTE(SUBSTITUTE(SUBSTITUTE($A2747," ",""),"(주)",""),"주식회사",""),"㈜","")))</f>
        <v/>
      </c>
      <c r="H2747" s="10" t="str">
        <f aca="false">IF($B2747="","",SUBSTITUTE(SUBSTITUTE(SUBSTITUTE($B2747,"-","")," ",""),".",""))</f>
        <v/>
      </c>
      <c r="I2747" s="10" t="str">
        <f aca="false">IF($D2747="","",SUBSTITUTE(SUBSTITUTE(SUBSTITUTE($D2747,"-","")," ",""),".",""))</f>
        <v/>
      </c>
      <c r="J2747" s="10" t="str">
        <f aca="false">IF($E2747="","",UPPER(SUBSTITUTE($E2747," ","")))</f>
        <v/>
      </c>
      <c r="K2747" s="10" t="str">
        <f aca="false">IF($A2747="","",$G2747&amp;"|"&amp;$J2747)</f>
        <v/>
      </c>
      <c r="L2747" s="10" t="str">
        <f aca="false">IF($A2747="","",ROW()-2)</f>
        <v/>
      </c>
      <c r="M2747" s="10" t="str">
        <f aca="false">IF($A2747="","",ROW())</f>
        <v/>
      </c>
    </row>
    <row r="2748" customFormat="false" ht="15" hidden="false" customHeight="true" outlineLevel="0" collapsed="false">
      <c r="A2748" s="8"/>
      <c r="B2748" s="8"/>
      <c r="C2748" s="8"/>
      <c r="D2748" s="8"/>
      <c r="E2748" s="8"/>
      <c r="F2748" s="8"/>
      <c r="G2748" s="10" t="str">
        <f aca="false">IF($A2748="","",UPPER(SUBSTITUTE(SUBSTITUTE(SUBSTITUTE(SUBSTITUTE($A2748," ",""),"(주)",""),"주식회사",""),"㈜","")))</f>
        <v/>
      </c>
      <c r="H2748" s="10" t="str">
        <f aca="false">IF($B2748="","",SUBSTITUTE(SUBSTITUTE(SUBSTITUTE($B2748,"-","")," ",""),".",""))</f>
        <v/>
      </c>
      <c r="I2748" s="10" t="str">
        <f aca="false">IF($D2748="","",SUBSTITUTE(SUBSTITUTE(SUBSTITUTE($D2748,"-","")," ",""),".",""))</f>
        <v/>
      </c>
      <c r="J2748" s="10" t="str">
        <f aca="false">IF($E2748="","",UPPER(SUBSTITUTE($E2748," ","")))</f>
        <v/>
      </c>
      <c r="K2748" s="10" t="str">
        <f aca="false">IF($A2748="","",$G2748&amp;"|"&amp;$J2748)</f>
        <v/>
      </c>
      <c r="L2748" s="10" t="str">
        <f aca="false">IF($A2748="","",ROW()-2)</f>
        <v/>
      </c>
      <c r="M2748" s="10" t="str">
        <f aca="false">IF($A2748="","",ROW())</f>
        <v/>
      </c>
    </row>
    <row r="2749" customFormat="false" ht="15" hidden="false" customHeight="true" outlineLevel="0" collapsed="false">
      <c r="A2749" s="8"/>
      <c r="B2749" s="8"/>
      <c r="C2749" s="8"/>
      <c r="D2749" s="8"/>
      <c r="E2749" s="8"/>
      <c r="F2749" s="8"/>
      <c r="G2749" s="10" t="str">
        <f aca="false">IF($A2749="","",UPPER(SUBSTITUTE(SUBSTITUTE(SUBSTITUTE(SUBSTITUTE($A2749," ",""),"(주)",""),"주식회사",""),"㈜","")))</f>
        <v/>
      </c>
      <c r="H2749" s="10" t="str">
        <f aca="false">IF($B2749="","",SUBSTITUTE(SUBSTITUTE(SUBSTITUTE($B2749,"-","")," ",""),".",""))</f>
        <v/>
      </c>
      <c r="I2749" s="10" t="str">
        <f aca="false">IF($D2749="","",SUBSTITUTE(SUBSTITUTE(SUBSTITUTE($D2749,"-","")," ",""),".",""))</f>
        <v/>
      </c>
      <c r="J2749" s="10" t="str">
        <f aca="false">IF($E2749="","",UPPER(SUBSTITUTE($E2749," ","")))</f>
        <v/>
      </c>
      <c r="K2749" s="10" t="str">
        <f aca="false">IF($A2749="","",$G2749&amp;"|"&amp;$J2749)</f>
        <v/>
      </c>
      <c r="L2749" s="10" t="str">
        <f aca="false">IF($A2749="","",ROW()-2)</f>
        <v/>
      </c>
      <c r="M2749" s="10" t="str">
        <f aca="false">IF($A2749="","",ROW())</f>
        <v/>
      </c>
    </row>
    <row r="2750" customFormat="false" ht="15" hidden="false" customHeight="true" outlineLevel="0" collapsed="false">
      <c r="A2750" s="8"/>
      <c r="B2750" s="8"/>
      <c r="C2750" s="8"/>
      <c r="D2750" s="8"/>
      <c r="E2750" s="8"/>
      <c r="F2750" s="8"/>
      <c r="G2750" s="10" t="str">
        <f aca="false">IF($A2750="","",UPPER(SUBSTITUTE(SUBSTITUTE(SUBSTITUTE(SUBSTITUTE($A2750," ",""),"(주)",""),"주식회사",""),"㈜","")))</f>
        <v/>
      </c>
      <c r="H2750" s="10" t="str">
        <f aca="false">IF($B2750="","",SUBSTITUTE(SUBSTITUTE(SUBSTITUTE($B2750,"-","")," ",""),".",""))</f>
        <v/>
      </c>
      <c r="I2750" s="10" t="str">
        <f aca="false">IF($D2750="","",SUBSTITUTE(SUBSTITUTE(SUBSTITUTE($D2750,"-","")," ",""),".",""))</f>
        <v/>
      </c>
      <c r="J2750" s="10" t="str">
        <f aca="false">IF($E2750="","",UPPER(SUBSTITUTE($E2750," ","")))</f>
        <v/>
      </c>
      <c r="K2750" s="10" t="str">
        <f aca="false">IF($A2750="","",$G2750&amp;"|"&amp;$J2750)</f>
        <v/>
      </c>
      <c r="L2750" s="10" t="str">
        <f aca="false">IF($A2750="","",ROW()-2)</f>
        <v/>
      </c>
      <c r="M2750" s="10" t="str">
        <f aca="false">IF($A2750="","",ROW())</f>
        <v/>
      </c>
    </row>
    <row r="2751" customFormat="false" ht="15" hidden="false" customHeight="true" outlineLevel="0" collapsed="false">
      <c r="A2751" s="8"/>
      <c r="B2751" s="8"/>
      <c r="C2751" s="8"/>
      <c r="D2751" s="8"/>
      <c r="E2751" s="8"/>
      <c r="F2751" s="8"/>
      <c r="G2751" s="10" t="str">
        <f aca="false">IF($A2751="","",UPPER(SUBSTITUTE(SUBSTITUTE(SUBSTITUTE(SUBSTITUTE($A2751," ",""),"(주)",""),"주식회사",""),"㈜","")))</f>
        <v/>
      </c>
      <c r="H2751" s="10" t="str">
        <f aca="false">IF($B2751="","",SUBSTITUTE(SUBSTITUTE(SUBSTITUTE($B2751,"-","")," ",""),".",""))</f>
        <v/>
      </c>
      <c r="I2751" s="10" t="str">
        <f aca="false">IF($D2751="","",SUBSTITUTE(SUBSTITUTE(SUBSTITUTE($D2751,"-","")," ",""),".",""))</f>
        <v/>
      </c>
      <c r="J2751" s="10" t="str">
        <f aca="false">IF($E2751="","",UPPER(SUBSTITUTE($E2751," ","")))</f>
        <v/>
      </c>
      <c r="K2751" s="10" t="str">
        <f aca="false">IF($A2751="","",$G2751&amp;"|"&amp;$J2751)</f>
        <v/>
      </c>
      <c r="L2751" s="10" t="str">
        <f aca="false">IF($A2751="","",ROW()-2)</f>
        <v/>
      </c>
      <c r="M2751" s="10" t="str">
        <f aca="false">IF($A2751="","",ROW())</f>
        <v/>
      </c>
    </row>
    <row r="2752" customFormat="false" ht="15" hidden="false" customHeight="true" outlineLevel="0" collapsed="false">
      <c r="A2752" s="8"/>
      <c r="B2752" s="8"/>
      <c r="C2752" s="8"/>
      <c r="D2752" s="8"/>
      <c r="E2752" s="8"/>
      <c r="F2752" s="8"/>
      <c r="G2752" s="10" t="str">
        <f aca="false">IF($A2752="","",UPPER(SUBSTITUTE(SUBSTITUTE(SUBSTITUTE(SUBSTITUTE($A2752," ",""),"(주)",""),"주식회사",""),"㈜","")))</f>
        <v/>
      </c>
      <c r="H2752" s="10" t="str">
        <f aca="false">IF($B2752="","",SUBSTITUTE(SUBSTITUTE(SUBSTITUTE($B2752,"-","")," ",""),".",""))</f>
        <v/>
      </c>
      <c r="I2752" s="10" t="str">
        <f aca="false">IF($D2752="","",SUBSTITUTE(SUBSTITUTE(SUBSTITUTE($D2752,"-","")," ",""),".",""))</f>
        <v/>
      </c>
      <c r="J2752" s="10" t="str">
        <f aca="false">IF($E2752="","",UPPER(SUBSTITUTE($E2752," ","")))</f>
        <v/>
      </c>
      <c r="K2752" s="10" t="str">
        <f aca="false">IF($A2752="","",$G2752&amp;"|"&amp;$J2752)</f>
        <v/>
      </c>
      <c r="L2752" s="10" t="str">
        <f aca="false">IF($A2752="","",ROW()-2)</f>
        <v/>
      </c>
      <c r="M2752" s="10" t="str">
        <f aca="false">IF($A2752="","",ROW())</f>
        <v/>
      </c>
    </row>
    <row r="2753" customFormat="false" ht="15" hidden="false" customHeight="true" outlineLevel="0" collapsed="false">
      <c r="A2753" s="8"/>
      <c r="B2753" s="8"/>
      <c r="C2753" s="8"/>
      <c r="D2753" s="8"/>
      <c r="E2753" s="8"/>
      <c r="F2753" s="8"/>
      <c r="G2753" s="10" t="str">
        <f aca="false">IF($A2753="","",UPPER(SUBSTITUTE(SUBSTITUTE(SUBSTITUTE(SUBSTITUTE($A2753," ",""),"(주)",""),"주식회사",""),"㈜","")))</f>
        <v/>
      </c>
      <c r="H2753" s="10" t="str">
        <f aca="false">IF($B2753="","",SUBSTITUTE(SUBSTITUTE(SUBSTITUTE($B2753,"-","")," ",""),".",""))</f>
        <v/>
      </c>
      <c r="I2753" s="10" t="str">
        <f aca="false">IF($D2753="","",SUBSTITUTE(SUBSTITUTE(SUBSTITUTE($D2753,"-","")," ",""),".",""))</f>
        <v/>
      </c>
      <c r="J2753" s="10" t="str">
        <f aca="false">IF($E2753="","",UPPER(SUBSTITUTE($E2753," ","")))</f>
        <v/>
      </c>
      <c r="K2753" s="10" t="str">
        <f aca="false">IF($A2753="","",$G2753&amp;"|"&amp;$J2753)</f>
        <v/>
      </c>
      <c r="L2753" s="10" t="str">
        <f aca="false">IF($A2753="","",ROW()-2)</f>
        <v/>
      </c>
      <c r="M2753" s="10" t="str">
        <f aca="false">IF($A2753="","",ROW())</f>
        <v/>
      </c>
    </row>
    <row r="2754" customFormat="false" ht="15" hidden="false" customHeight="true" outlineLevel="0" collapsed="false">
      <c r="A2754" s="8"/>
      <c r="B2754" s="8"/>
      <c r="C2754" s="8"/>
      <c r="D2754" s="8"/>
      <c r="E2754" s="8"/>
      <c r="F2754" s="8"/>
      <c r="G2754" s="10" t="str">
        <f aca="false">IF($A2754="","",UPPER(SUBSTITUTE(SUBSTITUTE(SUBSTITUTE(SUBSTITUTE($A2754," ",""),"(주)",""),"주식회사",""),"㈜","")))</f>
        <v/>
      </c>
      <c r="H2754" s="10" t="str">
        <f aca="false">IF($B2754="","",SUBSTITUTE(SUBSTITUTE(SUBSTITUTE($B2754,"-","")," ",""),".",""))</f>
        <v/>
      </c>
      <c r="I2754" s="10" t="str">
        <f aca="false">IF($D2754="","",SUBSTITUTE(SUBSTITUTE(SUBSTITUTE($D2754,"-","")," ",""),".",""))</f>
        <v/>
      </c>
      <c r="J2754" s="10" t="str">
        <f aca="false">IF($E2754="","",UPPER(SUBSTITUTE($E2754," ","")))</f>
        <v/>
      </c>
      <c r="K2754" s="10" t="str">
        <f aca="false">IF($A2754="","",$G2754&amp;"|"&amp;$J2754)</f>
        <v/>
      </c>
      <c r="L2754" s="10" t="str">
        <f aca="false">IF($A2754="","",ROW()-2)</f>
        <v/>
      </c>
      <c r="M2754" s="10" t="str">
        <f aca="false">IF($A2754="","",ROW())</f>
        <v/>
      </c>
    </row>
    <row r="2755" customFormat="false" ht="15" hidden="false" customHeight="true" outlineLevel="0" collapsed="false">
      <c r="A2755" s="8"/>
      <c r="B2755" s="8"/>
      <c r="C2755" s="8"/>
      <c r="D2755" s="8"/>
      <c r="E2755" s="8"/>
      <c r="F2755" s="8"/>
      <c r="G2755" s="10" t="str">
        <f aca="false">IF($A2755="","",UPPER(SUBSTITUTE(SUBSTITUTE(SUBSTITUTE(SUBSTITUTE($A2755," ",""),"(주)",""),"주식회사",""),"㈜","")))</f>
        <v/>
      </c>
      <c r="H2755" s="10" t="str">
        <f aca="false">IF($B2755="","",SUBSTITUTE(SUBSTITUTE(SUBSTITUTE($B2755,"-","")," ",""),".",""))</f>
        <v/>
      </c>
      <c r="I2755" s="10" t="str">
        <f aca="false">IF($D2755="","",SUBSTITUTE(SUBSTITUTE(SUBSTITUTE($D2755,"-","")," ",""),".",""))</f>
        <v/>
      </c>
      <c r="J2755" s="10" t="str">
        <f aca="false">IF($E2755="","",UPPER(SUBSTITUTE($E2755," ","")))</f>
        <v/>
      </c>
      <c r="K2755" s="10" t="str">
        <f aca="false">IF($A2755="","",$G2755&amp;"|"&amp;$J2755)</f>
        <v/>
      </c>
      <c r="L2755" s="10" t="str">
        <f aca="false">IF($A2755="","",ROW()-2)</f>
        <v/>
      </c>
      <c r="M2755" s="10" t="str">
        <f aca="false">IF($A2755="","",ROW())</f>
        <v/>
      </c>
    </row>
    <row r="2756" customFormat="false" ht="15" hidden="false" customHeight="true" outlineLevel="0" collapsed="false">
      <c r="A2756" s="8"/>
      <c r="B2756" s="8"/>
      <c r="C2756" s="8"/>
      <c r="D2756" s="8"/>
      <c r="E2756" s="8"/>
      <c r="F2756" s="8"/>
      <c r="G2756" s="10" t="str">
        <f aca="false">IF($A2756="","",UPPER(SUBSTITUTE(SUBSTITUTE(SUBSTITUTE(SUBSTITUTE($A2756," ",""),"(주)",""),"주식회사",""),"㈜","")))</f>
        <v/>
      </c>
      <c r="H2756" s="10" t="str">
        <f aca="false">IF($B2756="","",SUBSTITUTE(SUBSTITUTE(SUBSTITUTE($B2756,"-","")," ",""),".",""))</f>
        <v/>
      </c>
      <c r="I2756" s="10" t="str">
        <f aca="false">IF($D2756="","",SUBSTITUTE(SUBSTITUTE(SUBSTITUTE($D2756,"-","")," ",""),".",""))</f>
        <v/>
      </c>
      <c r="J2756" s="10" t="str">
        <f aca="false">IF($E2756="","",UPPER(SUBSTITUTE($E2756," ","")))</f>
        <v/>
      </c>
      <c r="K2756" s="10" t="str">
        <f aca="false">IF($A2756="","",$G2756&amp;"|"&amp;$J2756)</f>
        <v/>
      </c>
      <c r="L2756" s="10" t="str">
        <f aca="false">IF($A2756="","",ROW()-2)</f>
        <v/>
      </c>
      <c r="M2756" s="10" t="str">
        <f aca="false">IF($A2756="","",ROW())</f>
        <v/>
      </c>
    </row>
    <row r="2757" customFormat="false" ht="15" hidden="false" customHeight="true" outlineLevel="0" collapsed="false">
      <c r="A2757" s="8"/>
      <c r="B2757" s="8"/>
      <c r="C2757" s="8"/>
      <c r="D2757" s="8"/>
      <c r="E2757" s="8"/>
      <c r="F2757" s="8"/>
      <c r="G2757" s="10" t="str">
        <f aca="false">IF($A2757="","",UPPER(SUBSTITUTE(SUBSTITUTE(SUBSTITUTE(SUBSTITUTE($A2757," ",""),"(주)",""),"주식회사",""),"㈜","")))</f>
        <v/>
      </c>
      <c r="H2757" s="10" t="str">
        <f aca="false">IF($B2757="","",SUBSTITUTE(SUBSTITUTE(SUBSTITUTE($B2757,"-","")," ",""),".",""))</f>
        <v/>
      </c>
      <c r="I2757" s="10" t="str">
        <f aca="false">IF($D2757="","",SUBSTITUTE(SUBSTITUTE(SUBSTITUTE($D2757,"-","")," ",""),".",""))</f>
        <v/>
      </c>
      <c r="J2757" s="10" t="str">
        <f aca="false">IF($E2757="","",UPPER(SUBSTITUTE($E2757," ","")))</f>
        <v/>
      </c>
      <c r="K2757" s="10" t="str">
        <f aca="false">IF($A2757="","",$G2757&amp;"|"&amp;$J2757)</f>
        <v/>
      </c>
      <c r="L2757" s="10" t="str">
        <f aca="false">IF($A2757="","",ROW()-2)</f>
        <v/>
      </c>
      <c r="M2757" s="10" t="str">
        <f aca="false">IF($A2757="","",ROW())</f>
        <v/>
      </c>
    </row>
    <row r="2758" customFormat="false" ht="15" hidden="false" customHeight="true" outlineLevel="0" collapsed="false">
      <c r="A2758" s="8"/>
      <c r="B2758" s="8"/>
      <c r="C2758" s="8"/>
      <c r="D2758" s="8"/>
      <c r="E2758" s="8"/>
      <c r="F2758" s="8"/>
      <c r="G2758" s="10" t="str">
        <f aca="false">IF($A2758="","",UPPER(SUBSTITUTE(SUBSTITUTE(SUBSTITUTE(SUBSTITUTE($A2758," ",""),"(주)",""),"주식회사",""),"㈜","")))</f>
        <v/>
      </c>
      <c r="H2758" s="10" t="str">
        <f aca="false">IF($B2758="","",SUBSTITUTE(SUBSTITUTE(SUBSTITUTE($B2758,"-","")," ",""),".",""))</f>
        <v/>
      </c>
      <c r="I2758" s="10" t="str">
        <f aca="false">IF($D2758="","",SUBSTITUTE(SUBSTITUTE(SUBSTITUTE($D2758,"-","")," ",""),".",""))</f>
        <v/>
      </c>
      <c r="J2758" s="10" t="str">
        <f aca="false">IF($E2758="","",UPPER(SUBSTITUTE($E2758," ","")))</f>
        <v/>
      </c>
      <c r="K2758" s="10" t="str">
        <f aca="false">IF($A2758="","",$G2758&amp;"|"&amp;$J2758)</f>
        <v/>
      </c>
      <c r="L2758" s="10" t="str">
        <f aca="false">IF($A2758="","",ROW()-2)</f>
        <v/>
      </c>
      <c r="M2758" s="10" t="str">
        <f aca="false">IF($A2758="","",ROW())</f>
        <v/>
      </c>
    </row>
    <row r="2759" customFormat="false" ht="15" hidden="false" customHeight="true" outlineLevel="0" collapsed="false">
      <c r="A2759" s="8"/>
      <c r="B2759" s="8"/>
      <c r="C2759" s="8"/>
      <c r="D2759" s="8"/>
      <c r="E2759" s="8"/>
      <c r="F2759" s="8"/>
      <c r="G2759" s="10" t="str">
        <f aca="false">IF($A2759="","",UPPER(SUBSTITUTE(SUBSTITUTE(SUBSTITUTE(SUBSTITUTE($A2759," ",""),"(주)",""),"주식회사",""),"㈜","")))</f>
        <v/>
      </c>
      <c r="H2759" s="10" t="str">
        <f aca="false">IF($B2759="","",SUBSTITUTE(SUBSTITUTE(SUBSTITUTE($B2759,"-","")," ",""),".",""))</f>
        <v/>
      </c>
      <c r="I2759" s="10" t="str">
        <f aca="false">IF($D2759="","",SUBSTITUTE(SUBSTITUTE(SUBSTITUTE($D2759,"-","")," ",""),".",""))</f>
        <v/>
      </c>
      <c r="J2759" s="10" t="str">
        <f aca="false">IF($E2759="","",UPPER(SUBSTITUTE($E2759," ","")))</f>
        <v/>
      </c>
      <c r="K2759" s="10" t="str">
        <f aca="false">IF($A2759="","",$G2759&amp;"|"&amp;$J2759)</f>
        <v/>
      </c>
      <c r="L2759" s="10" t="str">
        <f aca="false">IF($A2759="","",ROW()-2)</f>
        <v/>
      </c>
      <c r="M2759" s="10" t="str">
        <f aca="false">IF($A2759="","",ROW())</f>
        <v/>
      </c>
    </row>
    <row r="2760" customFormat="false" ht="15" hidden="false" customHeight="true" outlineLevel="0" collapsed="false">
      <c r="A2760" s="8"/>
      <c r="B2760" s="8"/>
      <c r="C2760" s="8"/>
      <c r="D2760" s="8"/>
      <c r="E2760" s="8"/>
      <c r="F2760" s="8"/>
      <c r="G2760" s="10" t="str">
        <f aca="false">IF($A2760="","",UPPER(SUBSTITUTE(SUBSTITUTE(SUBSTITUTE(SUBSTITUTE($A2760," ",""),"(주)",""),"주식회사",""),"㈜","")))</f>
        <v/>
      </c>
      <c r="H2760" s="10" t="str">
        <f aca="false">IF($B2760="","",SUBSTITUTE(SUBSTITUTE(SUBSTITUTE($B2760,"-","")," ",""),".",""))</f>
        <v/>
      </c>
      <c r="I2760" s="10" t="str">
        <f aca="false">IF($D2760="","",SUBSTITUTE(SUBSTITUTE(SUBSTITUTE($D2760,"-","")," ",""),".",""))</f>
        <v/>
      </c>
      <c r="J2760" s="10" t="str">
        <f aca="false">IF($E2760="","",UPPER(SUBSTITUTE($E2760," ","")))</f>
        <v/>
      </c>
      <c r="K2760" s="10" t="str">
        <f aca="false">IF($A2760="","",$G2760&amp;"|"&amp;$J2760)</f>
        <v/>
      </c>
      <c r="L2760" s="10" t="str">
        <f aca="false">IF($A2760="","",ROW()-2)</f>
        <v/>
      </c>
      <c r="M2760" s="10" t="str">
        <f aca="false">IF($A2760="","",ROW())</f>
        <v/>
      </c>
    </row>
    <row r="2761" customFormat="false" ht="15" hidden="false" customHeight="true" outlineLevel="0" collapsed="false">
      <c r="A2761" s="8"/>
      <c r="B2761" s="8"/>
      <c r="C2761" s="8"/>
      <c r="D2761" s="8"/>
      <c r="E2761" s="8"/>
      <c r="F2761" s="8"/>
      <c r="G2761" s="10" t="str">
        <f aca="false">IF($A2761="","",UPPER(SUBSTITUTE(SUBSTITUTE(SUBSTITUTE(SUBSTITUTE($A2761," ",""),"(주)",""),"주식회사",""),"㈜","")))</f>
        <v/>
      </c>
      <c r="H2761" s="10" t="str">
        <f aca="false">IF($B2761="","",SUBSTITUTE(SUBSTITUTE(SUBSTITUTE($B2761,"-","")," ",""),".",""))</f>
        <v/>
      </c>
      <c r="I2761" s="10" t="str">
        <f aca="false">IF($D2761="","",SUBSTITUTE(SUBSTITUTE(SUBSTITUTE($D2761,"-","")," ",""),".",""))</f>
        <v/>
      </c>
      <c r="J2761" s="10" t="str">
        <f aca="false">IF($E2761="","",UPPER(SUBSTITUTE($E2761," ","")))</f>
        <v/>
      </c>
      <c r="K2761" s="10" t="str">
        <f aca="false">IF($A2761="","",$G2761&amp;"|"&amp;$J2761)</f>
        <v/>
      </c>
      <c r="L2761" s="10" t="str">
        <f aca="false">IF($A2761="","",ROW()-2)</f>
        <v/>
      </c>
      <c r="M2761" s="10" t="str">
        <f aca="false">IF($A2761="","",ROW())</f>
        <v/>
      </c>
    </row>
    <row r="2762" customFormat="false" ht="15" hidden="false" customHeight="true" outlineLevel="0" collapsed="false">
      <c r="A2762" s="8"/>
      <c r="B2762" s="8"/>
      <c r="C2762" s="8"/>
      <c r="D2762" s="8"/>
      <c r="E2762" s="8"/>
      <c r="F2762" s="8"/>
      <c r="G2762" s="10" t="str">
        <f aca="false">IF($A2762="","",UPPER(SUBSTITUTE(SUBSTITUTE(SUBSTITUTE(SUBSTITUTE($A2762," ",""),"(주)",""),"주식회사",""),"㈜","")))</f>
        <v/>
      </c>
      <c r="H2762" s="10" t="str">
        <f aca="false">IF($B2762="","",SUBSTITUTE(SUBSTITUTE(SUBSTITUTE($B2762,"-","")," ",""),".",""))</f>
        <v/>
      </c>
      <c r="I2762" s="10" t="str">
        <f aca="false">IF($D2762="","",SUBSTITUTE(SUBSTITUTE(SUBSTITUTE($D2762,"-","")," ",""),".",""))</f>
        <v/>
      </c>
      <c r="J2762" s="10" t="str">
        <f aca="false">IF($E2762="","",UPPER(SUBSTITUTE($E2762," ","")))</f>
        <v/>
      </c>
      <c r="K2762" s="10" t="str">
        <f aca="false">IF($A2762="","",$G2762&amp;"|"&amp;$J2762)</f>
        <v/>
      </c>
      <c r="L2762" s="10" t="str">
        <f aca="false">IF($A2762="","",ROW()-2)</f>
        <v/>
      </c>
      <c r="M2762" s="10" t="str">
        <f aca="false">IF($A2762="","",ROW())</f>
        <v/>
      </c>
    </row>
    <row r="2763" customFormat="false" ht="15" hidden="false" customHeight="true" outlineLevel="0" collapsed="false">
      <c r="A2763" s="8"/>
      <c r="B2763" s="8"/>
      <c r="C2763" s="8"/>
      <c r="D2763" s="8"/>
      <c r="E2763" s="8"/>
      <c r="F2763" s="8"/>
      <c r="G2763" s="10" t="str">
        <f aca="false">IF($A2763="","",UPPER(SUBSTITUTE(SUBSTITUTE(SUBSTITUTE(SUBSTITUTE($A2763," ",""),"(주)",""),"주식회사",""),"㈜","")))</f>
        <v/>
      </c>
      <c r="H2763" s="10" t="str">
        <f aca="false">IF($B2763="","",SUBSTITUTE(SUBSTITUTE(SUBSTITUTE($B2763,"-","")," ",""),".",""))</f>
        <v/>
      </c>
      <c r="I2763" s="10" t="str">
        <f aca="false">IF($D2763="","",SUBSTITUTE(SUBSTITUTE(SUBSTITUTE($D2763,"-","")," ",""),".",""))</f>
        <v/>
      </c>
      <c r="J2763" s="10" t="str">
        <f aca="false">IF($E2763="","",UPPER(SUBSTITUTE($E2763," ","")))</f>
        <v/>
      </c>
      <c r="K2763" s="10" t="str">
        <f aca="false">IF($A2763="","",$G2763&amp;"|"&amp;$J2763)</f>
        <v/>
      </c>
      <c r="L2763" s="10" t="str">
        <f aca="false">IF($A2763="","",ROW()-2)</f>
        <v/>
      </c>
      <c r="M2763" s="10" t="str">
        <f aca="false">IF($A2763="","",ROW())</f>
        <v/>
      </c>
    </row>
    <row r="2764" customFormat="false" ht="15" hidden="false" customHeight="true" outlineLevel="0" collapsed="false">
      <c r="A2764" s="8"/>
      <c r="B2764" s="8"/>
      <c r="C2764" s="8"/>
      <c r="D2764" s="8"/>
      <c r="E2764" s="8"/>
      <c r="F2764" s="8"/>
      <c r="G2764" s="10" t="str">
        <f aca="false">IF($A2764="","",UPPER(SUBSTITUTE(SUBSTITUTE(SUBSTITUTE(SUBSTITUTE($A2764," ",""),"(주)",""),"주식회사",""),"㈜","")))</f>
        <v/>
      </c>
      <c r="H2764" s="10" t="str">
        <f aca="false">IF($B2764="","",SUBSTITUTE(SUBSTITUTE(SUBSTITUTE($B2764,"-","")," ",""),".",""))</f>
        <v/>
      </c>
      <c r="I2764" s="10" t="str">
        <f aca="false">IF($D2764="","",SUBSTITUTE(SUBSTITUTE(SUBSTITUTE($D2764,"-","")," ",""),".",""))</f>
        <v/>
      </c>
      <c r="J2764" s="10" t="str">
        <f aca="false">IF($E2764="","",UPPER(SUBSTITUTE($E2764," ","")))</f>
        <v/>
      </c>
      <c r="K2764" s="10" t="str">
        <f aca="false">IF($A2764="","",$G2764&amp;"|"&amp;$J2764)</f>
        <v/>
      </c>
      <c r="L2764" s="10" t="str">
        <f aca="false">IF($A2764="","",ROW()-2)</f>
        <v/>
      </c>
      <c r="M2764" s="10" t="str">
        <f aca="false">IF($A2764="","",ROW())</f>
        <v/>
      </c>
    </row>
    <row r="2765" customFormat="false" ht="15" hidden="false" customHeight="true" outlineLevel="0" collapsed="false">
      <c r="A2765" s="8"/>
      <c r="B2765" s="8"/>
      <c r="C2765" s="8"/>
      <c r="D2765" s="8"/>
      <c r="E2765" s="8"/>
      <c r="F2765" s="8"/>
      <c r="G2765" s="10" t="str">
        <f aca="false">IF($A2765="","",UPPER(SUBSTITUTE(SUBSTITUTE(SUBSTITUTE(SUBSTITUTE($A2765," ",""),"(주)",""),"주식회사",""),"㈜","")))</f>
        <v/>
      </c>
      <c r="H2765" s="10" t="str">
        <f aca="false">IF($B2765="","",SUBSTITUTE(SUBSTITUTE(SUBSTITUTE($B2765,"-","")," ",""),".",""))</f>
        <v/>
      </c>
      <c r="I2765" s="10" t="str">
        <f aca="false">IF($D2765="","",SUBSTITUTE(SUBSTITUTE(SUBSTITUTE($D2765,"-","")," ",""),".",""))</f>
        <v/>
      </c>
      <c r="J2765" s="10" t="str">
        <f aca="false">IF($E2765="","",UPPER(SUBSTITUTE($E2765," ","")))</f>
        <v/>
      </c>
      <c r="K2765" s="10" t="str">
        <f aca="false">IF($A2765="","",$G2765&amp;"|"&amp;$J2765)</f>
        <v/>
      </c>
      <c r="L2765" s="10" t="str">
        <f aca="false">IF($A2765="","",ROW()-2)</f>
        <v/>
      </c>
      <c r="M2765" s="10" t="str">
        <f aca="false">IF($A2765="","",ROW())</f>
        <v/>
      </c>
    </row>
    <row r="2766" customFormat="false" ht="15" hidden="false" customHeight="true" outlineLevel="0" collapsed="false">
      <c r="A2766" s="8"/>
      <c r="B2766" s="8"/>
      <c r="C2766" s="8"/>
      <c r="D2766" s="8"/>
      <c r="E2766" s="8"/>
      <c r="F2766" s="8"/>
      <c r="G2766" s="10" t="str">
        <f aca="false">IF($A2766="","",UPPER(SUBSTITUTE(SUBSTITUTE(SUBSTITUTE(SUBSTITUTE($A2766," ",""),"(주)",""),"주식회사",""),"㈜","")))</f>
        <v/>
      </c>
      <c r="H2766" s="10" t="str">
        <f aca="false">IF($B2766="","",SUBSTITUTE(SUBSTITUTE(SUBSTITUTE($B2766,"-","")," ",""),".",""))</f>
        <v/>
      </c>
      <c r="I2766" s="10" t="str">
        <f aca="false">IF($D2766="","",SUBSTITUTE(SUBSTITUTE(SUBSTITUTE($D2766,"-","")," ",""),".",""))</f>
        <v/>
      </c>
      <c r="J2766" s="10" t="str">
        <f aca="false">IF($E2766="","",UPPER(SUBSTITUTE($E2766," ","")))</f>
        <v/>
      </c>
      <c r="K2766" s="10" t="str">
        <f aca="false">IF($A2766="","",$G2766&amp;"|"&amp;$J2766)</f>
        <v/>
      </c>
      <c r="L2766" s="10" t="str">
        <f aca="false">IF($A2766="","",ROW()-2)</f>
        <v/>
      </c>
      <c r="M2766" s="10" t="str">
        <f aca="false">IF($A2766="","",ROW())</f>
        <v/>
      </c>
    </row>
    <row r="2767" customFormat="false" ht="15" hidden="false" customHeight="true" outlineLevel="0" collapsed="false">
      <c r="A2767" s="8"/>
      <c r="B2767" s="8"/>
      <c r="C2767" s="8"/>
      <c r="D2767" s="8"/>
      <c r="E2767" s="8"/>
      <c r="F2767" s="8"/>
      <c r="G2767" s="10" t="str">
        <f aca="false">IF($A2767="","",UPPER(SUBSTITUTE(SUBSTITUTE(SUBSTITUTE(SUBSTITUTE($A2767," ",""),"(주)",""),"주식회사",""),"㈜","")))</f>
        <v/>
      </c>
      <c r="H2767" s="10" t="str">
        <f aca="false">IF($B2767="","",SUBSTITUTE(SUBSTITUTE(SUBSTITUTE($B2767,"-","")," ",""),".",""))</f>
        <v/>
      </c>
      <c r="I2767" s="10" t="str">
        <f aca="false">IF($D2767="","",SUBSTITUTE(SUBSTITUTE(SUBSTITUTE($D2767,"-","")," ",""),".",""))</f>
        <v/>
      </c>
      <c r="J2767" s="10" t="str">
        <f aca="false">IF($E2767="","",UPPER(SUBSTITUTE($E2767," ","")))</f>
        <v/>
      </c>
      <c r="K2767" s="10" t="str">
        <f aca="false">IF($A2767="","",$G2767&amp;"|"&amp;$J2767)</f>
        <v/>
      </c>
      <c r="L2767" s="10" t="str">
        <f aca="false">IF($A2767="","",ROW()-2)</f>
        <v/>
      </c>
      <c r="M2767" s="10" t="str">
        <f aca="false">IF($A2767="","",ROW())</f>
        <v/>
      </c>
    </row>
    <row r="2768" customFormat="false" ht="15" hidden="false" customHeight="true" outlineLevel="0" collapsed="false">
      <c r="A2768" s="8"/>
      <c r="B2768" s="8"/>
      <c r="C2768" s="8"/>
      <c r="D2768" s="8"/>
      <c r="E2768" s="8"/>
      <c r="F2768" s="8"/>
      <c r="G2768" s="10" t="str">
        <f aca="false">IF($A2768="","",UPPER(SUBSTITUTE(SUBSTITUTE(SUBSTITUTE(SUBSTITUTE($A2768," ",""),"(주)",""),"주식회사",""),"㈜","")))</f>
        <v/>
      </c>
      <c r="H2768" s="10" t="str">
        <f aca="false">IF($B2768="","",SUBSTITUTE(SUBSTITUTE(SUBSTITUTE($B2768,"-","")," ",""),".",""))</f>
        <v/>
      </c>
      <c r="I2768" s="10" t="str">
        <f aca="false">IF($D2768="","",SUBSTITUTE(SUBSTITUTE(SUBSTITUTE($D2768,"-","")," ",""),".",""))</f>
        <v/>
      </c>
      <c r="J2768" s="10" t="str">
        <f aca="false">IF($E2768="","",UPPER(SUBSTITUTE($E2768," ","")))</f>
        <v/>
      </c>
      <c r="K2768" s="10" t="str">
        <f aca="false">IF($A2768="","",$G2768&amp;"|"&amp;$J2768)</f>
        <v/>
      </c>
      <c r="L2768" s="10" t="str">
        <f aca="false">IF($A2768="","",ROW()-2)</f>
        <v/>
      </c>
      <c r="M2768" s="10" t="str">
        <f aca="false">IF($A2768="","",ROW())</f>
        <v/>
      </c>
    </row>
    <row r="2769" customFormat="false" ht="15" hidden="false" customHeight="true" outlineLevel="0" collapsed="false">
      <c r="A2769" s="8"/>
      <c r="B2769" s="8"/>
      <c r="C2769" s="8"/>
      <c r="D2769" s="8"/>
      <c r="E2769" s="8"/>
      <c r="F2769" s="8"/>
      <c r="G2769" s="10" t="str">
        <f aca="false">IF($A2769="","",UPPER(SUBSTITUTE(SUBSTITUTE(SUBSTITUTE(SUBSTITUTE($A2769," ",""),"(주)",""),"주식회사",""),"㈜","")))</f>
        <v/>
      </c>
      <c r="H2769" s="10" t="str">
        <f aca="false">IF($B2769="","",SUBSTITUTE(SUBSTITUTE(SUBSTITUTE($B2769,"-","")," ",""),".",""))</f>
        <v/>
      </c>
      <c r="I2769" s="10" t="str">
        <f aca="false">IF($D2769="","",SUBSTITUTE(SUBSTITUTE(SUBSTITUTE($D2769,"-","")," ",""),".",""))</f>
        <v/>
      </c>
      <c r="J2769" s="10" t="str">
        <f aca="false">IF($E2769="","",UPPER(SUBSTITUTE($E2769," ","")))</f>
        <v/>
      </c>
      <c r="K2769" s="10" t="str">
        <f aca="false">IF($A2769="","",$G2769&amp;"|"&amp;$J2769)</f>
        <v/>
      </c>
      <c r="L2769" s="10" t="str">
        <f aca="false">IF($A2769="","",ROW()-2)</f>
        <v/>
      </c>
      <c r="M2769" s="10" t="str">
        <f aca="false">IF($A2769="","",ROW())</f>
        <v/>
      </c>
    </row>
    <row r="2770" customFormat="false" ht="15" hidden="false" customHeight="true" outlineLevel="0" collapsed="false">
      <c r="A2770" s="8"/>
      <c r="B2770" s="8"/>
      <c r="C2770" s="8"/>
      <c r="D2770" s="8"/>
      <c r="E2770" s="8"/>
      <c r="F2770" s="8"/>
      <c r="G2770" s="10" t="str">
        <f aca="false">IF($A2770="","",UPPER(SUBSTITUTE(SUBSTITUTE(SUBSTITUTE(SUBSTITUTE($A2770," ",""),"(주)",""),"주식회사",""),"㈜","")))</f>
        <v/>
      </c>
      <c r="H2770" s="10" t="str">
        <f aca="false">IF($B2770="","",SUBSTITUTE(SUBSTITUTE(SUBSTITUTE($B2770,"-","")," ",""),".",""))</f>
        <v/>
      </c>
      <c r="I2770" s="10" t="str">
        <f aca="false">IF($D2770="","",SUBSTITUTE(SUBSTITUTE(SUBSTITUTE($D2770,"-","")," ",""),".",""))</f>
        <v/>
      </c>
      <c r="J2770" s="10" t="str">
        <f aca="false">IF($E2770="","",UPPER(SUBSTITUTE($E2770," ","")))</f>
        <v/>
      </c>
      <c r="K2770" s="10" t="str">
        <f aca="false">IF($A2770="","",$G2770&amp;"|"&amp;$J2770)</f>
        <v/>
      </c>
      <c r="L2770" s="10" t="str">
        <f aca="false">IF($A2770="","",ROW()-2)</f>
        <v/>
      </c>
      <c r="M2770" s="10" t="str">
        <f aca="false">IF($A2770="","",ROW())</f>
        <v/>
      </c>
    </row>
    <row r="2771" customFormat="false" ht="15" hidden="false" customHeight="true" outlineLevel="0" collapsed="false">
      <c r="A2771" s="8"/>
      <c r="B2771" s="8"/>
      <c r="C2771" s="8"/>
      <c r="D2771" s="8"/>
      <c r="E2771" s="8"/>
      <c r="F2771" s="8"/>
      <c r="G2771" s="10" t="str">
        <f aca="false">IF($A2771="","",UPPER(SUBSTITUTE(SUBSTITUTE(SUBSTITUTE(SUBSTITUTE($A2771," ",""),"(주)",""),"주식회사",""),"㈜","")))</f>
        <v/>
      </c>
      <c r="H2771" s="10" t="str">
        <f aca="false">IF($B2771="","",SUBSTITUTE(SUBSTITUTE(SUBSTITUTE($B2771,"-","")," ",""),".",""))</f>
        <v/>
      </c>
      <c r="I2771" s="10" t="str">
        <f aca="false">IF($D2771="","",SUBSTITUTE(SUBSTITUTE(SUBSTITUTE($D2771,"-","")," ",""),".",""))</f>
        <v/>
      </c>
      <c r="J2771" s="10" t="str">
        <f aca="false">IF($E2771="","",UPPER(SUBSTITUTE($E2771," ","")))</f>
        <v/>
      </c>
      <c r="K2771" s="10" t="str">
        <f aca="false">IF($A2771="","",$G2771&amp;"|"&amp;$J2771)</f>
        <v/>
      </c>
      <c r="L2771" s="10" t="str">
        <f aca="false">IF($A2771="","",ROW()-2)</f>
        <v/>
      </c>
      <c r="M2771" s="10" t="str">
        <f aca="false">IF($A2771="","",ROW())</f>
        <v/>
      </c>
    </row>
    <row r="2772" customFormat="false" ht="15" hidden="false" customHeight="true" outlineLevel="0" collapsed="false">
      <c r="A2772" s="8"/>
      <c r="B2772" s="8"/>
      <c r="C2772" s="8"/>
      <c r="D2772" s="8"/>
      <c r="E2772" s="8"/>
      <c r="F2772" s="8"/>
      <c r="G2772" s="10" t="str">
        <f aca="false">IF($A2772="","",UPPER(SUBSTITUTE(SUBSTITUTE(SUBSTITUTE(SUBSTITUTE($A2772," ",""),"(주)",""),"주식회사",""),"㈜","")))</f>
        <v/>
      </c>
      <c r="H2772" s="10" t="str">
        <f aca="false">IF($B2772="","",SUBSTITUTE(SUBSTITUTE(SUBSTITUTE($B2772,"-","")," ",""),".",""))</f>
        <v/>
      </c>
      <c r="I2772" s="10" t="str">
        <f aca="false">IF($D2772="","",SUBSTITUTE(SUBSTITUTE(SUBSTITUTE($D2772,"-","")," ",""),".",""))</f>
        <v/>
      </c>
      <c r="J2772" s="10" t="str">
        <f aca="false">IF($E2772="","",UPPER(SUBSTITUTE($E2772," ","")))</f>
        <v/>
      </c>
      <c r="K2772" s="10" t="str">
        <f aca="false">IF($A2772="","",$G2772&amp;"|"&amp;$J2772)</f>
        <v/>
      </c>
      <c r="L2772" s="10" t="str">
        <f aca="false">IF($A2772="","",ROW()-2)</f>
        <v/>
      </c>
      <c r="M2772" s="10" t="str">
        <f aca="false">IF($A2772="","",ROW())</f>
        <v/>
      </c>
    </row>
    <row r="2773" customFormat="false" ht="15" hidden="false" customHeight="true" outlineLevel="0" collapsed="false">
      <c r="A2773" s="8"/>
      <c r="B2773" s="8"/>
      <c r="C2773" s="8"/>
      <c r="D2773" s="8"/>
      <c r="E2773" s="8"/>
      <c r="F2773" s="8"/>
      <c r="G2773" s="10" t="str">
        <f aca="false">IF($A2773="","",UPPER(SUBSTITUTE(SUBSTITUTE(SUBSTITUTE(SUBSTITUTE($A2773," ",""),"(주)",""),"주식회사",""),"㈜","")))</f>
        <v/>
      </c>
      <c r="H2773" s="10" t="str">
        <f aca="false">IF($B2773="","",SUBSTITUTE(SUBSTITUTE(SUBSTITUTE($B2773,"-","")," ",""),".",""))</f>
        <v/>
      </c>
      <c r="I2773" s="10" t="str">
        <f aca="false">IF($D2773="","",SUBSTITUTE(SUBSTITUTE(SUBSTITUTE($D2773,"-","")," ",""),".",""))</f>
        <v/>
      </c>
      <c r="J2773" s="10" t="str">
        <f aca="false">IF($E2773="","",UPPER(SUBSTITUTE($E2773," ","")))</f>
        <v/>
      </c>
      <c r="K2773" s="10" t="str">
        <f aca="false">IF($A2773="","",$G2773&amp;"|"&amp;$J2773)</f>
        <v/>
      </c>
      <c r="L2773" s="10" t="str">
        <f aca="false">IF($A2773="","",ROW()-2)</f>
        <v/>
      </c>
      <c r="M2773" s="10" t="str">
        <f aca="false">IF($A2773="","",ROW())</f>
        <v/>
      </c>
    </row>
    <row r="2774" customFormat="false" ht="15" hidden="false" customHeight="true" outlineLevel="0" collapsed="false">
      <c r="A2774" s="8"/>
      <c r="B2774" s="8"/>
      <c r="C2774" s="8"/>
      <c r="D2774" s="8"/>
      <c r="E2774" s="8"/>
      <c r="F2774" s="8"/>
      <c r="G2774" s="10" t="str">
        <f aca="false">IF($A2774="","",UPPER(SUBSTITUTE(SUBSTITUTE(SUBSTITUTE(SUBSTITUTE($A2774," ",""),"(주)",""),"주식회사",""),"㈜","")))</f>
        <v/>
      </c>
      <c r="H2774" s="10" t="str">
        <f aca="false">IF($B2774="","",SUBSTITUTE(SUBSTITUTE(SUBSTITUTE($B2774,"-","")," ",""),".",""))</f>
        <v/>
      </c>
      <c r="I2774" s="10" t="str">
        <f aca="false">IF($D2774="","",SUBSTITUTE(SUBSTITUTE(SUBSTITUTE($D2774,"-","")," ",""),".",""))</f>
        <v/>
      </c>
      <c r="J2774" s="10" t="str">
        <f aca="false">IF($E2774="","",UPPER(SUBSTITUTE($E2774," ","")))</f>
        <v/>
      </c>
      <c r="K2774" s="10" t="str">
        <f aca="false">IF($A2774="","",$G2774&amp;"|"&amp;$J2774)</f>
        <v/>
      </c>
      <c r="L2774" s="10" t="str">
        <f aca="false">IF($A2774="","",ROW()-2)</f>
        <v/>
      </c>
      <c r="M2774" s="10" t="str">
        <f aca="false">IF($A2774="","",ROW())</f>
        <v/>
      </c>
    </row>
    <row r="2775" customFormat="false" ht="15" hidden="false" customHeight="true" outlineLevel="0" collapsed="false">
      <c r="A2775" s="8"/>
      <c r="B2775" s="8"/>
      <c r="C2775" s="8"/>
      <c r="D2775" s="8"/>
      <c r="E2775" s="8"/>
      <c r="F2775" s="8"/>
      <c r="G2775" s="10" t="str">
        <f aca="false">IF($A2775="","",UPPER(SUBSTITUTE(SUBSTITUTE(SUBSTITUTE(SUBSTITUTE($A2775," ",""),"(주)",""),"주식회사",""),"㈜","")))</f>
        <v/>
      </c>
      <c r="H2775" s="10" t="str">
        <f aca="false">IF($B2775="","",SUBSTITUTE(SUBSTITUTE(SUBSTITUTE($B2775,"-","")," ",""),".",""))</f>
        <v/>
      </c>
      <c r="I2775" s="10" t="str">
        <f aca="false">IF($D2775="","",SUBSTITUTE(SUBSTITUTE(SUBSTITUTE($D2775,"-","")," ",""),".",""))</f>
        <v/>
      </c>
      <c r="J2775" s="10" t="str">
        <f aca="false">IF($E2775="","",UPPER(SUBSTITUTE($E2775," ","")))</f>
        <v/>
      </c>
      <c r="K2775" s="10" t="str">
        <f aca="false">IF($A2775="","",$G2775&amp;"|"&amp;$J2775)</f>
        <v/>
      </c>
      <c r="L2775" s="10" t="str">
        <f aca="false">IF($A2775="","",ROW()-2)</f>
        <v/>
      </c>
      <c r="M2775" s="10" t="str">
        <f aca="false">IF($A2775="","",ROW())</f>
        <v/>
      </c>
    </row>
    <row r="2776" customFormat="false" ht="15" hidden="false" customHeight="true" outlineLevel="0" collapsed="false">
      <c r="A2776" s="8"/>
      <c r="B2776" s="8"/>
      <c r="C2776" s="8"/>
      <c r="D2776" s="8"/>
      <c r="E2776" s="8"/>
      <c r="F2776" s="8"/>
      <c r="G2776" s="10" t="str">
        <f aca="false">IF($A2776="","",UPPER(SUBSTITUTE(SUBSTITUTE(SUBSTITUTE(SUBSTITUTE($A2776," ",""),"(주)",""),"주식회사",""),"㈜","")))</f>
        <v/>
      </c>
      <c r="H2776" s="10" t="str">
        <f aca="false">IF($B2776="","",SUBSTITUTE(SUBSTITUTE(SUBSTITUTE($B2776,"-","")," ",""),".",""))</f>
        <v/>
      </c>
      <c r="I2776" s="10" t="str">
        <f aca="false">IF($D2776="","",SUBSTITUTE(SUBSTITUTE(SUBSTITUTE($D2776,"-","")," ",""),".",""))</f>
        <v/>
      </c>
      <c r="J2776" s="10" t="str">
        <f aca="false">IF($E2776="","",UPPER(SUBSTITUTE($E2776," ","")))</f>
        <v/>
      </c>
      <c r="K2776" s="10" t="str">
        <f aca="false">IF($A2776="","",$G2776&amp;"|"&amp;$J2776)</f>
        <v/>
      </c>
      <c r="L2776" s="10" t="str">
        <f aca="false">IF($A2776="","",ROW()-2)</f>
        <v/>
      </c>
      <c r="M2776" s="10" t="str">
        <f aca="false">IF($A2776="","",ROW())</f>
        <v/>
      </c>
    </row>
    <row r="2777" customFormat="false" ht="15" hidden="false" customHeight="true" outlineLevel="0" collapsed="false">
      <c r="A2777" s="8"/>
      <c r="B2777" s="8"/>
      <c r="C2777" s="8"/>
      <c r="D2777" s="8"/>
      <c r="E2777" s="8"/>
      <c r="F2777" s="8"/>
      <c r="G2777" s="10" t="str">
        <f aca="false">IF($A2777="","",UPPER(SUBSTITUTE(SUBSTITUTE(SUBSTITUTE(SUBSTITUTE($A2777," ",""),"(주)",""),"주식회사",""),"㈜","")))</f>
        <v/>
      </c>
      <c r="H2777" s="10" t="str">
        <f aca="false">IF($B2777="","",SUBSTITUTE(SUBSTITUTE(SUBSTITUTE($B2777,"-","")," ",""),".",""))</f>
        <v/>
      </c>
      <c r="I2777" s="10" t="str">
        <f aca="false">IF($D2777="","",SUBSTITUTE(SUBSTITUTE(SUBSTITUTE($D2777,"-","")," ",""),".",""))</f>
        <v/>
      </c>
      <c r="J2777" s="10" t="str">
        <f aca="false">IF($E2777="","",UPPER(SUBSTITUTE($E2777," ","")))</f>
        <v/>
      </c>
      <c r="K2777" s="10" t="str">
        <f aca="false">IF($A2777="","",$G2777&amp;"|"&amp;$J2777)</f>
        <v/>
      </c>
      <c r="L2777" s="10" t="str">
        <f aca="false">IF($A2777="","",ROW()-2)</f>
        <v/>
      </c>
      <c r="M2777" s="10" t="str">
        <f aca="false">IF($A2777="","",ROW())</f>
        <v/>
      </c>
    </row>
    <row r="2778" customFormat="false" ht="15" hidden="false" customHeight="true" outlineLevel="0" collapsed="false">
      <c r="A2778" s="8"/>
      <c r="B2778" s="8"/>
      <c r="C2778" s="8"/>
      <c r="D2778" s="8"/>
      <c r="E2778" s="8"/>
      <c r="F2778" s="8"/>
      <c r="G2778" s="10" t="str">
        <f aca="false">IF($A2778="","",UPPER(SUBSTITUTE(SUBSTITUTE(SUBSTITUTE(SUBSTITUTE($A2778," ",""),"(주)",""),"주식회사",""),"㈜","")))</f>
        <v/>
      </c>
      <c r="H2778" s="10" t="str">
        <f aca="false">IF($B2778="","",SUBSTITUTE(SUBSTITUTE(SUBSTITUTE($B2778,"-","")," ",""),".",""))</f>
        <v/>
      </c>
      <c r="I2778" s="10" t="str">
        <f aca="false">IF($D2778="","",SUBSTITUTE(SUBSTITUTE(SUBSTITUTE($D2778,"-","")," ",""),".",""))</f>
        <v/>
      </c>
      <c r="J2778" s="10" t="str">
        <f aca="false">IF($E2778="","",UPPER(SUBSTITUTE($E2778," ","")))</f>
        <v/>
      </c>
      <c r="K2778" s="10" t="str">
        <f aca="false">IF($A2778="","",$G2778&amp;"|"&amp;$J2778)</f>
        <v/>
      </c>
      <c r="L2778" s="10" t="str">
        <f aca="false">IF($A2778="","",ROW()-2)</f>
        <v/>
      </c>
      <c r="M2778" s="10" t="str">
        <f aca="false">IF($A2778="","",ROW())</f>
        <v/>
      </c>
    </row>
    <row r="2779" customFormat="false" ht="15" hidden="false" customHeight="true" outlineLevel="0" collapsed="false">
      <c r="A2779" s="8"/>
      <c r="B2779" s="8"/>
      <c r="C2779" s="8"/>
      <c r="D2779" s="8"/>
      <c r="E2779" s="8"/>
      <c r="F2779" s="8"/>
      <c r="G2779" s="10" t="str">
        <f aca="false">IF($A2779="","",UPPER(SUBSTITUTE(SUBSTITUTE(SUBSTITUTE(SUBSTITUTE($A2779," ",""),"(주)",""),"주식회사",""),"㈜","")))</f>
        <v/>
      </c>
      <c r="H2779" s="10" t="str">
        <f aca="false">IF($B2779="","",SUBSTITUTE(SUBSTITUTE(SUBSTITUTE($B2779,"-","")," ",""),".",""))</f>
        <v/>
      </c>
      <c r="I2779" s="10" t="str">
        <f aca="false">IF($D2779="","",SUBSTITUTE(SUBSTITUTE(SUBSTITUTE($D2779,"-","")," ",""),".",""))</f>
        <v/>
      </c>
      <c r="J2779" s="10" t="str">
        <f aca="false">IF($E2779="","",UPPER(SUBSTITUTE($E2779," ","")))</f>
        <v/>
      </c>
      <c r="K2779" s="10" t="str">
        <f aca="false">IF($A2779="","",$G2779&amp;"|"&amp;$J2779)</f>
        <v/>
      </c>
      <c r="L2779" s="10" t="str">
        <f aca="false">IF($A2779="","",ROW()-2)</f>
        <v/>
      </c>
      <c r="M2779" s="10" t="str">
        <f aca="false">IF($A2779="","",ROW())</f>
        <v/>
      </c>
    </row>
    <row r="2780" customFormat="false" ht="15" hidden="false" customHeight="true" outlineLevel="0" collapsed="false">
      <c r="A2780" s="8"/>
      <c r="B2780" s="8"/>
      <c r="C2780" s="8"/>
      <c r="D2780" s="8"/>
      <c r="E2780" s="8"/>
      <c r="F2780" s="8"/>
      <c r="G2780" s="10" t="str">
        <f aca="false">IF($A2780="","",UPPER(SUBSTITUTE(SUBSTITUTE(SUBSTITUTE(SUBSTITUTE($A2780," ",""),"(주)",""),"주식회사",""),"㈜","")))</f>
        <v/>
      </c>
      <c r="H2780" s="10" t="str">
        <f aca="false">IF($B2780="","",SUBSTITUTE(SUBSTITUTE(SUBSTITUTE($B2780,"-","")," ",""),".",""))</f>
        <v/>
      </c>
      <c r="I2780" s="10" t="str">
        <f aca="false">IF($D2780="","",SUBSTITUTE(SUBSTITUTE(SUBSTITUTE($D2780,"-","")," ",""),".",""))</f>
        <v/>
      </c>
      <c r="J2780" s="10" t="str">
        <f aca="false">IF($E2780="","",UPPER(SUBSTITUTE($E2780," ","")))</f>
        <v/>
      </c>
      <c r="K2780" s="10" t="str">
        <f aca="false">IF($A2780="","",$G2780&amp;"|"&amp;$J2780)</f>
        <v/>
      </c>
      <c r="L2780" s="10" t="str">
        <f aca="false">IF($A2780="","",ROW()-2)</f>
        <v/>
      </c>
      <c r="M2780" s="10" t="str">
        <f aca="false">IF($A2780="","",ROW())</f>
        <v/>
      </c>
    </row>
    <row r="2781" customFormat="false" ht="15" hidden="false" customHeight="true" outlineLevel="0" collapsed="false">
      <c r="A2781" s="8"/>
      <c r="B2781" s="8"/>
      <c r="C2781" s="8"/>
      <c r="D2781" s="8"/>
      <c r="E2781" s="8"/>
      <c r="F2781" s="8"/>
      <c r="G2781" s="10" t="str">
        <f aca="false">IF($A2781="","",UPPER(SUBSTITUTE(SUBSTITUTE(SUBSTITUTE(SUBSTITUTE($A2781," ",""),"(주)",""),"주식회사",""),"㈜","")))</f>
        <v/>
      </c>
      <c r="H2781" s="10" t="str">
        <f aca="false">IF($B2781="","",SUBSTITUTE(SUBSTITUTE(SUBSTITUTE($B2781,"-","")," ",""),".",""))</f>
        <v/>
      </c>
      <c r="I2781" s="10" t="str">
        <f aca="false">IF($D2781="","",SUBSTITUTE(SUBSTITUTE(SUBSTITUTE($D2781,"-","")," ",""),".",""))</f>
        <v/>
      </c>
      <c r="J2781" s="10" t="str">
        <f aca="false">IF($E2781="","",UPPER(SUBSTITUTE($E2781," ","")))</f>
        <v/>
      </c>
      <c r="K2781" s="10" t="str">
        <f aca="false">IF($A2781="","",$G2781&amp;"|"&amp;$J2781)</f>
        <v/>
      </c>
      <c r="L2781" s="10" t="str">
        <f aca="false">IF($A2781="","",ROW()-2)</f>
        <v/>
      </c>
      <c r="M2781" s="10" t="str">
        <f aca="false">IF($A2781="","",ROW())</f>
        <v/>
      </c>
    </row>
    <row r="2782" customFormat="false" ht="15" hidden="false" customHeight="true" outlineLevel="0" collapsed="false">
      <c r="A2782" s="8"/>
      <c r="B2782" s="8"/>
      <c r="C2782" s="8"/>
      <c r="D2782" s="8"/>
      <c r="E2782" s="8"/>
      <c r="F2782" s="8"/>
      <c r="G2782" s="10" t="str">
        <f aca="false">IF($A2782="","",UPPER(SUBSTITUTE(SUBSTITUTE(SUBSTITUTE(SUBSTITUTE($A2782," ",""),"(주)",""),"주식회사",""),"㈜","")))</f>
        <v/>
      </c>
      <c r="H2782" s="10" t="str">
        <f aca="false">IF($B2782="","",SUBSTITUTE(SUBSTITUTE(SUBSTITUTE($B2782,"-","")," ",""),".",""))</f>
        <v/>
      </c>
      <c r="I2782" s="10" t="str">
        <f aca="false">IF($D2782="","",SUBSTITUTE(SUBSTITUTE(SUBSTITUTE($D2782,"-","")," ",""),".",""))</f>
        <v/>
      </c>
      <c r="J2782" s="10" t="str">
        <f aca="false">IF($E2782="","",UPPER(SUBSTITUTE($E2782," ","")))</f>
        <v/>
      </c>
      <c r="K2782" s="10" t="str">
        <f aca="false">IF($A2782="","",$G2782&amp;"|"&amp;$J2782)</f>
        <v/>
      </c>
      <c r="L2782" s="10" t="str">
        <f aca="false">IF($A2782="","",ROW()-2)</f>
        <v/>
      </c>
      <c r="M2782" s="10" t="str">
        <f aca="false">IF($A2782="","",ROW())</f>
        <v/>
      </c>
    </row>
    <row r="2783" customFormat="false" ht="15" hidden="false" customHeight="true" outlineLevel="0" collapsed="false">
      <c r="A2783" s="8"/>
      <c r="B2783" s="8"/>
      <c r="C2783" s="8"/>
      <c r="D2783" s="8"/>
      <c r="E2783" s="8"/>
      <c r="F2783" s="8"/>
      <c r="G2783" s="10" t="str">
        <f aca="false">IF($A2783="","",UPPER(SUBSTITUTE(SUBSTITUTE(SUBSTITUTE(SUBSTITUTE($A2783," ",""),"(주)",""),"주식회사",""),"㈜","")))</f>
        <v/>
      </c>
      <c r="H2783" s="10" t="str">
        <f aca="false">IF($B2783="","",SUBSTITUTE(SUBSTITUTE(SUBSTITUTE($B2783,"-","")," ",""),".",""))</f>
        <v/>
      </c>
      <c r="I2783" s="10" t="str">
        <f aca="false">IF($D2783="","",SUBSTITUTE(SUBSTITUTE(SUBSTITUTE($D2783,"-","")," ",""),".",""))</f>
        <v/>
      </c>
      <c r="J2783" s="10" t="str">
        <f aca="false">IF($E2783="","",UPPER(SUBSTITUTE($E2783," ","")))</f>
        <v/>
      </c>
      <c r="K2783" s="10" t="str">
        <f aca="false">IF($A2783="","",$G2783&amp;"|"&amp;$J2783)</f>
        <v/>
      </c>
      <c r="L2783" s="10" t="str">
        <f aca="false">IF($A2783="","",ROW()-2)</f>
        <v/>
      </c>
      <c r="M2783" s="10" t="str">
        <f aca="false">IF($A2783="","",ROW())</f>
        <v/>
      </c>
    </row>
    <row r="2784" customFormat="false" ht="15" hidden="false" customHeight="true" outlineLevel="0" collapsed="false">
      <c r="A2784" s="8"/>
      <c r="B2784" s="8"/>
      <c r="C2784" s="8"/>
      <c r="D2784" s="8"/>
      <c r="E2784" s="8"/>
      <c r="F2784" s="8"/>
      <c r="G2784" s="10" t="str">
        <f aca="false">IF($A2784="","",UPPER(SUBSTITUTE(SUBSTITUTE(SUBSTITUTE(SUBSTITUTE($A2784," ",""),"(주)",""),"주식회사",""),"㈜","")))</f>
        <v/>
      </c>
      <c r="H2784" s="10" t="str">
        <f aca="false">IF($B2784="","",SUBSTITUTE(SUBSTITUTE(SUBSTITUTE($B2784,"-","")," ",""),".",""))</f>
        <v/>
      </c>
      <c r="I2784" s="10" t="str">
        <f aca="false">IF($D2784="","",SUBSTITUTE(SUBSTITUTE(SUBSTITUTE($D2784,"-","")," ",""),".",""))</f>
        <v/>
      </c>
      <c r="J2784" s="10" t="str">
        <f aca="false">IF($E2784="","",UPPER(SUBSTITUTE($E2784," ","")))</f>
        <v/>
      </c>
      <c r="K2784" s="10" t="str">
        <f aca="false">IF($A2784="","",$G2784&amp;"|"&amp;$J2784)</f>
        <v/>
      </c>
      <c r="L2784" s="10" t="str">
        <f aca="false">IF($A2784="","",ROW()-2)</f>
        <v/>
      </c>
      <c r="M2784" s="10" t="str">
        <f aca="false">IF($A2784="","",ROW())</f>
        <v/>
      </c>
    </row>
    <row r="2785" customFormat="false" ht="15" hidden="false" customHeight="true" outlineLevel="0" collapsed="false">
      <c r="A2785" s="8"/>
      <c r="B2785" s="8"/>
      <c r="C2785" s="8"/>
      <c r="D2785" s="8"/>
      <c r="E2785" s="8"/>
      <c r="F2785" s="8"/>
      <c r="G2785" s="10" t="str">
        <f aca="false">IF($A2785="","",UPPER(SUBSTITUTE(SUBSTITUTE(SUBSTITUTE(SUBSTITUTE($A2785," ",""),"(주)",""),"주식회사",""),"㈜","")))</f>
        <v/>
      </c>
      <c r="H2785" s="10" t="str">
        <f aca="false">IF($B2785="","",SUBSTITUTE(SUBSTITUTE(SUBSTITUTE($B2785,"-","")," ",""),".",""))</f>
        <v/>
      </c>
      <c r="I2785" s="10" t="str">
        <f aca="false">IF($D2785="","",SUBSTITUTE(SUBSTITUTE(SUBSTITUTE($D2785,"-","")," ",""),".",""))</f>
        <v/>
      </c>
      <c r="J2785" s="10" t="str">
        <f aca="false">IF($E2785="","",UPPER(SUBSTITUTE($E2785," ","")))</f>
        <v/>
      </c>
      <c r="K2785" s="10" t="str">
        <f aca="false">IF($A2785="","",$G2785&amp;"|"&amp;$J2785)</f>
        <v/>
      </c>
      <c r="L2785" s="10" t="str">
        <f aca="false">IF($A2785="","",ROW()-2)</f>
        <v/>
      </c>
      <c r="M2785" s="10" t="str">
        <f aca="false">IF($A2785="","",ROW())</f>
        <v/>
      </c>
    </row>
    <row r="2786" customFormat="false" ht="15" hidden="false" customHeight="true" outlineLevel="0" collapsed="false">
      <c r="A2786" s="8"/>
      <c r="B2786" s="8"/>
      <c r="C2786" s="8"/>
      <c r="D2786" s="8"/>
      <c r="E2786" s="8"/>
      <c r="F2786" s="8"/>
      <c r="G2786" s="10" t="str">
        <f aca="false">IF($A2786="","",UPPER(SUBSTITUTE(SUBSTITUTE(SUBSTITUTE(SUBSTITUTE($A2786," ",""),"(주)",""),"주식회사",""),"㈜","")))</f>
        <v/>
      </c>
      <c r="H2786" s="10" t="str">
        <f aca="false">IF($B2786="","",SUBSTITUTE(SUBSTITUTE(SUBSTITUTE($B2786,"-","")," ",""),".",""))</f>
        <v/>
      </c>
      <c r="I2786" s="10" t="str">
        <f aca="false">IF($D2786="","",SUBSTITUTE(SUBSTITUTE(SUBSTITUTE($D2786,"-","")," ",""),".",""))</f>
        <v/>
      </c>
      <c r="J2786" s="10" t="str">
        <f aca="false">IF($E2786="","",UPPER(SUBSTITUTE($E2786," ","")))</f>
        <v/>
      </c>
      <c r="K2786" s="10" t="str">
        <f aca="false">IF($A2786="","",$G2786&amp;"|"&amp;$J2786)</f>
        <v/>
      </c>
      <c r="L2786" s="10" t="str">
        <f aca="false">IF($A2786="","",ROW()-2)</f>
        <v/>
      </c>
      <c r="M2786" s="10" t="str">
        <f aca="false">IF($A2786="","",ROW())</f>
        <v/>
      </c>
    </row>
    <row r="2787" customFormat="false" ht="15" hidden="false" customHeight="true" outlineLevel="0" collapsed="false">
      <c r="A2787" s="8"/>
      <c r="B2787" s="8"/>
      <c r="C2787" s="8"/>
      <c r="D2787" s="8"/>
      <c r="E2787" s="8"/>
      <c r="F2787" s="8"/>
      <c r="G2787" s="10" t="str">
        <f aca="false">IF($A2787="","",UPPER(SUBSTITUTE(SUBSTITUTE(SUBSTITUTE(SUBSTITUTE($A2787," ",""),"(주)",""),"주식회사",""),"㈜","")))</f>
        <v/>
      </c>
      <c r="H2787" s="10" t="str">
        <f aca="false">IF($B2787="","",SUBSTITUTE(SUBSTITUTE(SUBSTITUTE($B2787,"-","")," ",""),".",""))</f>
        <v/>
      </c>
      <c r="I2787" s="10" t="str">
        <f aca="false">IF($D2787="","",SUBSTITUTE(SUBSTITUTE(SUBSTITUTE($D2787,"-","")," ",""),".",""))</f>
        <v/>
      </c>
      <c r="J2787" s="10" t="str">
        <f aca="false">IF($E2787="","",UPPER(SUBSTITUTE($E2787," ","")))</f>
        <v/>
      </c>
      <c r="K2787" s="10" t="str">
        <f aca="false">IF($A2787="","",$G2787&amp;"|"&amp;$J2787)</f>
        <v/>
      </c>
      <c r="L2787" s="10" t="str">
        <f aca="false">IF($A2787="","",ROW()-2)</f>
        <v/>
      </c>
      <c r="M2787" s="10" t="str">
        <f aca="false">IF($A2787="","",ROW())</f>
        <v/>
      </c>
    </row>
    <row r="2788" customFormat="false" ht="15" hidden="false" customHeight="true" outlineLevel="0" collapsed="false">
      <c r="A2788" s="8"/>
      <c r="B2788" s="8"/>
      <c r="C2788" s="8"/>
      <c r="D2788" s="8"/>
      <c r="E2788" s="8"/>
      <c r="F2788" s="8"/>
      <c r="G2788" s="10" t="str">
        <f aca="false">IF($A2788="","",UPPER(SUBSTITUTE(SUBSTITUTE(SUBSTITUTE(SUBSTITUTE($A2788," ",""),"(주)",""),"주식회사",""),"㈜","")))</f>
        <v/>
      </c>
      <c r="H2788" s="10" t="str">
        <f aca="false">IF($B2788="","",SUBSTITUTE(SUBSTITUTE(SUBSTITUTE($B2788,"-","")," ",""),".",""))</f>
        <v/>
      </c>
      <c r="I2788" s="10" t="str">
        <f aca="false">IF($D2788="","",SUBSTITUTE(SUBSTITUTE(SUBSTITUTE($D2788,"-","")," ",""),".",""))</f>
        <v/>
      </c>
      <c r="J2788" s="10" t="str">
        <f aca="false">IF($E2788="","",UPPER(SUBSTITUTE($E2788," ","")))</f>
        <v/>
      </c>
      <c r="K2788" s="10" t="str">
        <f aca="false">IF($A2788="","",$G2788&amp;"|"&amp;$J2788)</f>
        <v/>
      </c>
      <c r="L2788" s="10" t="str">
        <f aca="false">IF($A2788="","",ROW()-2)</f>
        <v/>
      </c>
      <c r="M2788" s="10" t="str">
        <f aca="false">IF($A2788="","",ROW())</f>
        <v/>
      </c>
    </row>
    <row r="2789" customFormat="false" ht="15" hidden="false" customHeight="true" outlineLevel="0" collapsed="false">
      <c r="A2789" s="8"/>
      <c r="B2789" s="8"/>
      <c r="C2789" s="8"/>
      <c r="D2789" s="8"/>
      <c r="E2789" s="8"/>
      <c r="F2789" s="8"/>
      <c r="G2789" s="10" t="str">
        <f aca="false">IF($A2789="","",UPPER(SUBSTITUTE(SUBSTITUTE(SUBSTITUTE(SUBSTITUTE($A2789," ",""),"(주)",""),"주식회사",""),"㈜","")))</f>
        <v/>
      </c>
      <c r="H2789" s="10" t="str">
        <f aca="false">IF($B2789="","",SUBSTITUTE(SUBSTITUTE(SUBSTITUTE($B2789,"-","")," ",""),".",""))</f>
        <v/>
      </c>
      <c r="I2789" s="10" t="str">
        <f aca="false">IF($D2789="","",SUBSTITUTE(SUBSTITUTE(SUBSTITUTE($D2789,"-","")," ",""),".",""))</f>
        <v/>
      </c>
      <c r="J2789" s="10" t="str">
        <f aca="false">IF($E2789="","",UPPER(SUBSTITUTE($E2789," ","")))</f>
        <v/>
      </c>
      <c r="K2789" s="10" t="str">
        <f aca="false">IF($A2789="","",$G2789&amp;"|"&amp;$J2789)</f>
        <v/>
      </c>
      <c r="L2789" s="10" t="str">
        <f aca="false">IF($A2789="","",ROW()-2)</f>
        <v/>
      </c>
      <c r="M2789" s="10" t="str">
        <f aca="false">IF($A2789="","",ROW())</f>
        <v/>
      </c>
    </row>
    <row r="2790" customFormat="false" ht="15" hidden="false" customHeight="true" outlineLevel="0" collapsed="false">
      <c r="A2790" s="8"/>
      <c r="B2790" s="8"/>
      <c r="C2790" s="8"/>
      <c r="D2790" s="8"/>
      <c r="E2790" s="8"/>
      <c r="F2790" s="8"/>
      <c r="G2790" s="10" t="str">
        <f aca="false">IF($A2790="","",UPPER(SUBSTITUTE(SUBSTITUTE(SUBSTITUTE(SUBSTITUTE($A2790," ",""),"(주)",""),"주식회사",""),"㈜","")))</f>
        <v/>
      </c>
      <c r="H2790" s="10" t="str">
        <f aca="false">IF($B2790="","",SUBSTITUTE(SUBSTITUTE(SUBSTITUTE($B2790,"-","")," ",""),".",""))</f>
        <v/>
      </c>
      <c r="I2790" s="10" t="str">
        <f aca="false">IF($D2790="","",SUBSTITUTE(SUBSTITUTE(SUBSTITUTE($D2790,"-","")," ",""),".",""))</f>
        <v/>
      </c>
      <c r="J2790" s="10" t="str">
        <f aca="false">IF($E2790="","",UPPER(SUBSTITUTE($E2790," ","")))</f>
        <v/>
      </c>
      <c r="K2790" s="10" t="str">
        <f aca="false">IF($A2790="","",$G2790&amp;"|"&amp;$J2790)</f>
        <v/>
      </c>
      <c r="L2790" s="10" t="str">
        <f aca="false">IF($A2790="","",ROW()-2)</f>
        <v/>
      </c>
      <c r="M2790" s="10" t="str">
        <f aca="false">IF($A2790="","",ROW())</f>
        <v/>
      </c>
    </row>
    <row r="2791" customFormat="false" ht="15" hidden="false" customHeight="true" outlineLevel="0" collapsed="false">
      <c r="A2791" s="8"/>
      <c r="B2791" s="8"/>
      <c r="C2791" s="8"/>
      <c r="D2791" s="8"/>
      <c r="E2791" s="8"/>
      <c r="F2791" s="8"/>
      <c r="G2791" s="10" t="str">
        <f aca="false">IF($A2791="","",UPPER(SUBSTITUTE(SUBSTITUTE(SUBSTITUTE(SUBSTITUTE($A2791," ",""),"(주)",""),"주식회사",""),"㈜","")))</f>
        <v/>
      </c>
      <c r="H2791" s="10" t="str">
        <f aca="false">IF($B2791="","",SUBSTITUTE(SUBSTITUTE(SUBSTITUTE($B2791,"-","")," ",""),".",""))</f>
        <v/>
      </c>
      <c r="I2791" s="10" t="str">
        <f aca="false">IF($D2791="","",SUBSTITUTE(SUBSTITUTE(SUBSTITUTE($D2791,"-","")," ",""),".",""))</f>
        <v/>
      </c>
      <c r="J2791" s="10" t="str">
        <f aca="false">IF($E2791="","",UPPER(SUBSTITUTE($E2791," ","")))</f>
        <v/>
      </c>
      <c r="K2791" s="10" t="str">
        <f aca="false">IF($A2791="","",$G2791&amp;"|"&amp;$J2791)</f>
        <v/>
      </c>
      <c r="L2791" s="10" t="str">
        <f aca="false">IF($A2791="","",ROW()-2)</f>
        <v/>
      </c>
      <c r="M2791" s="10" t="str">
        <f aca="false">IF($A2791="","",ROW())</f>
        <v/>
      </c>
    </row>
    <row r="2792" customFormat="false" ht="15" hidden="false" customHeight="true" outlineLevel="0" collapsed="false">
      <c r="A2792" s="8"/>
      <c r="B2792" s="8"/>
      <c r="C2792" s="8"/>
      <c r="D2792" s="8"/>
      <c r="E2792" s="8"/>
      <c r="F2792" s="8"/>
      <c r="G2792" s="10" t="str">
        <f aca="false">IF($A2792="","",UPPER(SUBSTITUTE(SUBSTITUTE(SUBSTITUTE(SUBSTITUTE($A2792," ",""),"(주)",""),"주식회사",""),"㈜","")))</f>
        <v/>
      </c>
      <c r="H2792" s="10" t="str">
        <f aca="false">IF($B2792="","",SUBSTITUTE(SUBSTITUTE(SUBSTITUTE($B2792,"-","")," ",""),".",""))</f>
        <v/>
      </c>
      <c r="I2792" s="10" t="str">
        <f aca="false">IF($D2792="","",SUBSTITUTE(SUBSTITUTE(SUBSTITUTE($D2792,"-","")," ",""),".",""))</f>
        <v/>
      </c>
      <c r="J2792" s="10" t="str">
        <f aca="false">IF($E2792="","",UPPER(SUBSTITUTE($E2792," ","")))</f>
        <v/>
      </c>
      <c r="K2792" s="10" t="str">
        <f aca="false">IF($A2792="","",$G2792&amp;"|"&amp;$J2792)</f>
        <v/>
      </c>
      <c r="L2792" s="10" t="str">
        <f aca="false">IF($A2792="","",ROW()-2)</f>
        <v/>
      </c>
      <c r="M2792" s="10" t="str">
        <f aca="false">IF($A2792="","",ROW())</f>
        <v/>
      </c>
    </row>
    <row r="2793" customFormat="false" ht="15" hidden="false" customHeight="true" outlineLevel="0" collapsed="false">
      <c r="A2793" s="8"/>
      <c r="B2793" s="8"/>
      <c r="C2793" s="8"/>
      <c r="D2793" s="8"/>
      <c r="E2793" s="8"/>
      <c r="F2793" s="8"/>
      <c r="G2793" s="10" t="str">
        <f aca="false">IF($A2793="","",UPPER(SUBSTITUTE(SUBSTITUTE(SUBSTITUTE(SUBSTITUTE($A2793," ",""),"(주)",""),"주식회사",""),"㈜","")))</f>
        <v/>
      </c>
      <c r="H2793" s="10" t="str">
        <f aca="false">IF($B2793="","",SUBSTITUTE(SUBSTITUTE(SUBSTITUTE($B2793,"-","")," ",""),".",""))</f>
        <v/>
      </c>
      <c r="I2793" s="10" t="str">
        <f aca="false">IF($D2793="","",SUBSTITUTE(SUBSTITUTE(SUBSTITUTE($D2793,"-","")," ",""),".",""))</f>
        <v/>
      </c>
      <c r="J2793" s="10" t="str">
        <f aca="false">IF($E2793="","",UPPER(SUBSTITUTE($E2793," ","")))</f>
        <v/>
      </c>
      <c r="K2793" s="10" t="str">
        <f aca="false">IF($A2793="","",$G2793&amp;"|"&amp;$J2793)</f>
        <v/>
      </c>
      <c r="L2793" s="10" t="str">
        <f aca="false">IF($A2793="","",ROW()-2)</f>
        <v/>
      </c>
      <c r="M2793" s="10" t="str">
        <f aca="false">IF($A2793="","",ROW())</f>
        <v/>
      </c>
    </row>
    <row r="2794" customFormat="false" ht="15" hidden="false" customHeight="true" outlineLevel="0" collapsed="false">
      <c r="A2794" s="8"/>
      <c r="B2794" s="8"/>
      <c r="C2794" s="8"/>
      <c r="D2794" s="8"/>
      <c r="E2794" s="8"/>
      <c r="F2794" s="8"/>
      <c r="G2794" s="10" t="str">
        <f aca="false">IF($A2794="","",UPPER(SUBSTITUTE(SUBSTITUTE(SUBSTITUTE(SUBSTITUTE($A2794," ",""),"(주)",""),"주식회사",""),"㈜","")))</f>
        <v/>
      </c>
      <c r="H2794" s="10" t="str">
        <f aca="false">IF($B2794="","",SUBSTITUTE(SUBSTITUTE(SUBSTITUTE($B2794,"-","")," ",""),".",""))</f>
        <v/>
      </c>
      <c r="I2794" s="10" t="str">
        <f aca="false">IF($D2794="","",SUBSTITUTE(SUBSTITUTE(SUBSTITUTE($D2794,"-","")," ",""),".",""))</f>
        <v/>
      </c>
      <c r="J2794" s="10" t="str">
        <f aca="false">IF($E2794="","",UPPER(SUBSTITUTE($E2794," ","")))</f>
        <v/>
      </c>
      <c r="K2794" s="10" t="str">
        <f aca="false">IF($A2794="","",$G2794&amp;"|"&amp;$J2794)</f>
        <v/>
      </c>
      <c r="L2794" s="10" t="str">
        <f aca="false">IF($A2794="","",ROW()-2)</f>
        <v/>
      </c>
      <c r="M2794" s="10" t="str">
        <f aca="false">IF($A2794="","",ROW())</f>
        <v/>
      </c>
    </row>
    <row r="2795" customFormat="false" ht="15" hidden="false" customHeight="true" outlineLevel="0" collapsed="false">
      <c r="A2795" s="8"/>
      <c r="B2795" s="8"/>
      <c r="C2795" s="8"/>
      <c r="D2795" s="8"/>
      <c r="E2795" s="8"/>
      <c r="F2795" s="8"/>
      <c r="G2795" s="10" t="str">
        <f aca="false">IF($A2795="","",UPPER(SUBSTITUTE(SUBSTITUTE(SUBSTITUTE(SUBSTITUTE($A2795," ",""),"(주)",""),"주식회사",""),"㈜","")))</f>
        <v/>
      </c>
      <c r="H2795" s="10" t="str">
        <f aca="false">IF($B2795="","",SUBSTITUTE(SUBSTITUTE(SUBSTITUTE($B2795,"-","")," ",""),".",""))</f>
        <v/>
      </c>
      <c r="I2795" s="10" t="str">
        <f aca="false">IF($D2795="","",SUBSTITUTE(SUBSTITUTE(SUBSTITUTE($D2795,"-","")," ",""),".",""))</f>
        <v/>
      </c>
      <c r="J2795" s="10" t="str">
        <f aca="false">IF($E2795="","",UPPER(SUBSTITUTE($E2795," ","")))</f>
        <v/>
      </c>
      <c r="K2795" s="10" t="str">
        <f aca="false">IF($A2795="","",$G2795&amp;"|"&amp;$J2795)</f>
        <v/>
      </c>
      <c r="L2795" s="10" t="str">
        <f aca="false">IF($A2795="","",ROW()-2)</f>
        <v/>
      </c>
      <c r="M2795" s="10" t="str">
        <f aca="false">IF($A2795="","",ROW())</f>
        <v/>
      </c>
    </row>
    <row r="2796" customFormat="false" ht="15" hidden="false" customHeight="true" outlineLevel="0" collapsed="false">
      <c r="A2796" s="8"/>
      <c r="B2796" s="8"/>
      <c r="C2796" s="8"/>
      <c r="D2796" s="8"/>
      <c r="E2796" s="8"/>
      <c r="F2796" s="8"/>
      <c r="G2796" s="10" t="str">
        <f aca="false">IF($A2796="","",UPPER(SUBSTITUTE(SUBSTITUTE(SUBSTITUTE(SUBSTITUTE($A2796," ",""),"(주)",""),"주식회사",""),"㈜","")))</f>
        <v/>
      </c>
      <c r="H2796" s="10" t="str">
        <f aca="false">IF($B2796="","",SUBSTITUTE(SUBSTITUTE(SUBSTITUTE($B2796,"-","")," ",""),".",""))</f>
        <v/>
      </c>
      <c r="I2796" s="10" t="str">
        <f aca="false">IF($D2796="","",SUBSTITUTE(SUBSTITUTE(SUBSTITUTE($D2796,"-","")," ",""),".",""))</f>
        <v/>
      </c>
      <c r="J2796" s="10" t="str">
        <f aca="false">IF($E2796="","",UPPER(SUBSTITUTE($E2796," ","")))</f>
        <v/>
      </c>
      <c r="K2796" s="10" t="str">
        <f aca="false">IF($A2796="","",$G2796&amp;"|"&amp;$J2796)</f>
        <v/>
      </c>
      <c r="L2796" s="10" t="str">
        <f aca="false">IF($A2796="","",ROW()-2)</f>
        <v/>
      </c>
      <c r="M2796" s="10" t="str">
        <f aca="false">IF($A2796="","",ROW())</f>
        <v/>
      </c>
    </row>
    <row r="2797" customFormat="false" ht="15" hidden="false" customHeight="true" outlineLevel="0" collapsed="false">
      <c r="A2797" s="8"/>
      <c r="B2797" s="8"/>
      <c r="C2797" s="8"/>
      <c r="D2797" s="8"/>
      <c r="E2797" s="8"/>
      <c r="F2797" s="8"/>
      <c r="G2797" s="10" t="str">
        <f aca="false">IF($A2797="","",UPPER(SUBSTITUTE(SUBSTITUTE(SUBSTITUTE(SUBSTITUTE($A2797," ",""),"(주)",""),"주식회사",""),"㈜","")))</f>
        <v/>
      </c>
      <c r="H2797" s="10" t="str">
        <f aca="false">IF($B2797="","",SUBSTITUTE(SUBSTITUTE(SUBSTITUTE($B2797,"-","")," ",""),".",""))</f>
        <v/>
      </c>
      <c r="I2797" s="10" t="str">
        <f aca="false">IF($D2797="","",SUBSTITUTE(SUBSTITUTE(SUBSTITUTE($D2797,"-","")," ",""),".",""))</f>
        <v/>
      </c>
      <c r="J2797" s="10" t="str">
        <f aca="false">IF($E2797="","",UPPER(SUBSTITUTE($E2797," ","")))</f>
        <v/>
      </c>
      <c r="K2797" s="10" t="str">
        <f aca="false">IF($A2797="","",$G2797&amp;"|"&amp;$J2797)</f>
        <v/>
      </c>
      <c r="L2797" s="10" t="str">
        <f aca="false">IF($A2797="","",ROW()-2)</f>
        <v/>
      </c>
      <c r="M2797" s="10" t="str">
        <f aca="false">IF($A2797="","",ROW())</f>
        <v/>
      </c>
    </row>
    <row r="2798" customFormat="false" ht="15" hidden="false" customHeight="true" outlineLevel="0" collapsed="false">
      <c r="A2798" s="8"/>
      <c r="B2798" s="8"/>
      <c r="C2798" s="8"/>
      <c r="D2798" s="8"/>
      <c r="E2798" s="8"/>
      <c r="F2798" s="8"/>
      <c r="G2798" s="10" t="str">
        <f aca="false">IF($A2798="","",UPPER(SUBSTITUTE(SUBSTITUTE(SUBSTITUTE(SUBSTITUTE($A2798," ",""),"(주)",""),"주식회사",""),"㈜","")))</f>
        <v/>
      </c>
      <c r="H2798" s="10" t="str">
        <f aca="false">IF($B2798="","",SUBSTITUTE(SUBSTITUTE(SUBSTITUTE($B2798,"-","")," ",""),".",""))</f>
        <v/>
      </c>
      <c r="I2798" s="10" t="str">
        <f aca="false">IF($D2798="","",SUBSTITUTE(SUBSTITUTE(SUBSTITUTE($D2798,"-","")," ",""),".",""))</f>
        <v/>
      </c>
      <c r="J2798" s="10" t="str">
        <f aca="false">IF($E2798="","",UPPER(SUBSTITUTE($E2798," ","")))</f>
        <v/>
      </c>
      <c r="K2798" s="10" t="str">
        <f aca="false">IF($A2798="","",$G2798&amp;"|"&amp;$J2798)</f>
        <v/>
      </c>
      <c r="L2798" s="10" t="str">
        <f aca="false">IF($A2798="","",ROW()-2)</f>
        <v/>
      </c>
      <c r="M2798" s="10" t="str">
        <f aca="false">IF($A2798="","",ROW())</f>
        <v/>
      </c>
    </row>
    <row r="2799" customFormat="false" ht="15" hidden="false" customHeight="true" outlineLevel="0" collapsed="false">
      <c r="A2799" s="8"/>
      <c r="B2799" s="8"/>
      <c r="C2799" s="8"/>
      <c r="D2799" s="8"/>
      <c r="E2799" s="8"/>
      <c r="F2799" s="8"/>
      <c r="G2799" s="10" t="str">
        <f aca="false">IF($A2799="","",UPPER(SUBSTITUTE(SUBSTITUTE(SUBSTITUTE(SUBSTITUTE($A2799," ",""),"(주)",""),"주식회사",""),"㈜","")))</f>
        <v/>
      </c>
      <c r="H2799" s="10" t="str">
        <f aca="false">IF($B2799="","",SUBSTITUTE(SUBSTITUTE(SUBSTITUTE($B2799,"-","")," ",""),".",""))</f>
        <v/>
      </c>
      <c r="I2799" s="10" t="str">
        <f aca="false">IF($D2799="","",SUBSTITUTE(SUBSTITUTE(SUBSTITUTE($D2799,"-","")," ",""),".",""))</f>
        <v/>
      </c>
      <c r="J2799" s="10" t="str">
        <f aca="false">IF($E2799="","",UPPER(SUBSTITUTE($E2799," ","")))</f>
        <v/>
      </c>
      <c r="K2799" s="10" t="str">
        <f aca="false">IF($A2799="","",$G2799&amp;"|"&amp;$J2799)</f>
        <v/>
      </c>
      <c r="L2799" s="10" t="str">
        <f aca="false">IF($A2799="","",ROW()-2)</f>
        <v/>
      </c>
      <c r="M2799" s="10" t="str">
        <f aca="false">IF($A2799="","",ROW())</f>
        <v/>
      </c>
    </row>
    <row r="2800" customFormat="false" ht="15" hidden="false" customHeight="true" outlineLevel="0" collapsed="false">
      <c r="A2800" s="8"/>
      <c r="B2800" s="8"/>
      <c r="C2800" s="8"/>
      <c r="D2800" s="8"/>
      <c r="E2800" s="8"/>
      <c r="F2800" s="8"/>
      <c r="G2800" s="10" t="str">
        <f aca="false">IF($A2800="","",UPPER(SUBSTITUTE(SUBSTITUTE(SUBSTITUTE(SUBSTITUTE($A2800," ",""),"(주)",""),"주식회사",""),"㈜","")))</f>
        <v/>
      </c>
      <c r="H2800" s="10" t="str">
        <f aca="false">IF($B2800="","",SUBSTITUTE(SUBSTITUTE(SUBSTITUTE($B2800,"-","")," ",""),".",""))</f>
        <v/>
      </c>
      <c r="I2800" s="10" t="str">
        <f aca="false">IF($D2800="","",SUBSTITUTE(SUBSTITUTE(SUBSTITUTE($D2800,"-","")," ",""),".",""))</f>
        <v/>
      </c>
      <c r="J2800" s="10" t="str">
        <f aca="false">IF($E2800="","",UPPER(SUBSTITUTE($E2800," ","")))</f>
        <v/>
      </c>
      <c r="K2800" s="10" t="str">
        <f aca="false">IF($A2800="","",$G2800&amp;"|"&amp;$J2800)</f>
        <v/>
      </c>
      <c r="L2800" s="10" t="str">
        <f aca="false">IF($A2800="","",ROW()-2)</f>
        <v/>
      </c>
      <c r="M2800" s="10" t="str">
        <f aca="false">IF($A2800="","",ROW())</f>
        <v/>
      </c>
    </row>
    <row r="2801" customFormat="false" ht="15" hidden="false" customHeight="true" outlineLevel="0" collapsed="false">
      <c r="A2801" s="8"/>
      <c r="B2801" s="8"/>
      <c r="C2801" s="8"/>
      <c r="D2801" s="8"/>
      <c r="E2801" s="8"/>
      <c r="F2801" s="8"/>
      <c r="G2801" s="10" t="str">
        <f aca="false">IF($A2801="","",UPPER(SUBSTITUTE(SUBSTITUTE(SUBSTITUTE(SUBSTITUTE($A2801," ",""),"(주)",""),"주식회사",""),"㈜","")))</f>
        <v/>
      </c>
      <c r="H2801" s="10" t="str">
        <f aca="false">IF($B2801="","",SUBSTITUTE(SUBSTITUTE(SUBSTITUTE($B2801,"-","")," ",""),".",""))</f>
        <v/>
      </c>
      <c r="I2801" s="10" t="str">
        <f aca="false">IF($D2801="","",SUBSTITUTE(SUBSTITUTE(SUBSTITUTE($D2801,"-","")," ",""),".",""))</f>
        <v/>
      </c>
      <c r="J2801" s="10" t="str">
        <f aca="false">IF($E2801="","",UPPER(SUBSTITUTE($E2801," ","")))</f>
        <v/>
      </c>
      <c r="K2801" s="10" t="str">
        <f aca="false">IF($A2801="","",$G2801&amp;"|"&amp;$J2801)</f>
        <v/>
      </c>
      <c r="L2801" s="10" t="str">
        <f aca="false">IF($A2801="","",ROW()-2)</f>
        <v/>
      </c>
      <c r="M2801" s="10" t="str">
        <f aca="false">IF($A2801="","",ROW())</f>
        <v/>
      </c>
    </row>
    <row r="2802" customFormat="false" ht="15" hidden="false" customHeight="true" outlineLevel="0" collapsed="false">
      <c r="A2802" s="8"/>
      <c r="B2802" s="8"/>
      <c r="C2802" s="8"/>
      <c r="D2802" s="8"/>
      <c r="E2802" s="8"/>
      <c r="F2802" s="8"/>
      <c r="G2802" s="10" t="str">
        <f aca="false">IF($A2802="","",UPPER(SUBSTITUTE(SUBSTITUTE(SUBSTITUTE(SUBSTITUTE($A2802," ",""),"(주)",""),"주식회사",""),"㈜","")))</f>
        <v/>
      </c>
      <c r="H2802" s="10" t="str">
        <f aca="false">IF($B2802="","",SUBSTITUTE(SUBSTITUTE(SUBSTITUTE($B2802,"-","")," ",""),".",""))</f>
        <v/>
      </c>
      <c r="I2802" s="10" t="str">
        <f aca="false">IF($D2802="","",SUBSTITUTE(SUBSTITUTE(SUBSTITUTE($D2802,"-","")," ",""),".",""))</f>
        <v/>
      </c>
      <c r="J2802" s="10" t="str">
        <f aca="false">IF($E2802="","",UPPER(SUBSTITUTE($E2802," ","")))</f>
        <v/>
      </c>
      <c r="K2802" s="10" t="str">
        <f aca="false">IF($A2802="","",$G2802&amp;"|"&amp;$J2802)</f>
        <v/>
      </c>
      <c r="L2802" s="10" t="str">
        <f aca="false">IF($A2802="","",ROW()-2)</f>
        <v/>
      </c>
      <c r="M2802" s="10" t="str">
        <f aca="false">IF($A2802="","",ROW())</f>
        <v/>
      </c>
    </row>
    <row r="2803" customFormat="false" ht="15" hidden="false" customHeight="true" outlineLevel="0" collapsed="false">
      <c r="A2803" s="8"/>
      <c r="B2803" s="8"/>
      <c r="C2803" s="8"/>
      <c r="D2803" s="8"/>
      <c r="E2803" s="8"/>
      <c r="F2803" s="8"/>
      <c r="G2803" s="10" t="str">
        <f aca="false">IF($A2803="","",UPPER(SUBSTITUTE(SUBSTITUTE(SUBSTITUTE(SUBSTITUTE($A2803," ",""),"(주)",""),"주식회사",""),"㈜","")))</f>
        <v/>
      </c>
      <c r="H2803" s="10" t="str">
        <f aca="false">IF($B2803="","",SUBSTITUTE(SUBSTITUTE(SUBSTITUTE($B2803,"-","")," ",""),".",""))</f>
        <v/>
      </c>
      <c r="I2803" s="10" t="str">
        <f aca="false">IF($D2803="","",SUBSTITUTE(SUBSTITUTE(SUBSTITUTE($D2803,"-","")," ",""),".",""))</f>
        <v/>
      </c>
      <c r="J2803" s="10" t="str">
        <f aca="false">IF($E2803="","",UPPER(SUBSTITUTE($E2803," ","")))</f>
        <v/>
      </c>
      <c r="K2803" s="10" t="str">
        <f aca="false">IF($A2803="","",$G2803&amp;"|"&amp;$J2803)</f>
        <v/>
      </c>
      <c r="L2803" s="10" t="str">
        <f aca="false">IF($A2803="","",ROW()-2)</f>
        <v/>
      </c>
      <c r="M2803" s="10" t="str">
        <f aca="false">IF($A2803="","",ROW())</f>
        <v/>
      </c>
    </row>
    <row r="2804" customFormat="false" ht="15" hidden="false" customHeight="true" outlineLevel="0" collapsed="false">
      <c r="A2804" s="8"/>
      <c r="B2804" s="8"/>
      <c r="C2804" s="8"/>
      <c r="D2804" s="8"/>
      <c r="E2804" s="8"/>
      <c r="F2804" s="8"/>
      <c r="G2804" s="10" t="str">
        <f aca="false">IF($A2804="","",UPPER(SUBSTITUTE(SUBSTITUTE(SUBSTITUTE(SUBSTITUTE($A2804," ",""),"(주)",""),"주식회사",""),"㈜","")))</f>
        <v/>
      </c>
      <c r="H2804" s="10" t="str">
        <f aca="false">IF($B2804="","",SUBSTITUTE(SUBSTITUTE(SUBSTITUTE($B2804,"-","")," ",""),".",""))</f>
        <v/>
      </c>
      <c r="I2804" s="10" t="str">
        <f aca="false">IF($D2804="","",SUBSTITUTE(SUBSTITUTE(SUBSTITUTE($D2804,"-","")," ",""),".",""))</f>
        <v/>
      </c>
      <c r="J2804" s="10" t="str">
        <f aca="false">IF($E2804="","",UPPER(SUBSTITUTE($E2804," ","")))</f>
        <v/>
      </c>
      <c r="K2804" s="10" t="str">
        <f aca="false">IF($A2804="","",$G2804&amp;"|"&amp;$J2804)</f>
        <v/>
      </c>
      <c r="L2804" s="10" t="str">
        <f aca="false">IF($A2804="","",ROW()-2)</f>
        <v/>
      </c>
      <c r="M2804" s="10" t="str">
        <f aca="false">IF($A2804="","",ROW())</f>
        <v/>
      </c>
    </row>
    <row r="2805" customFormat="false" ht="15" hidden="false" customHeight="true" outlineLevel="0" collapsed="false">
      <c r="A2805" s="8"/>
      <c r="B2805" s="8"/>
      <c r="C2805" s="8"/>
      <c r="D2805" s="8"/>
      <c r="E2805" s="8"/>
      <c r="F2805" s="8"/>
      <c r="G2805" s="10" t="str">
        <f aca="false">IF($A2805="","",UPPER(SUBSTITUTE(SUBSTITUTE(SUBSTITUTE(SUBSTITUTE($A2805," ",""),"(주)",""),"주식회사",""),"㈜","")))</f>
        <v/>
      </c>
      <c r="H2805" s="10" t="str">
        <f aca="false">IF($B2805="","",SUBSTITUTE(SUBSTITUTE(SUBSTITUTE($B2805,"-","")," ",""),".",""))</f>
        <v/>
      </c>
      <c r="I2805" s="10" t="str">
        <f aca="false">IF($D2805="","",SUBSTITUTE(SUBSTITUTE(SUBSTITUTE($D2805,"-","")," ",""),".",""))</f>
        <v/>
      </c>
      <c r="J2805" s="10" t="str">
        <f aca="false">IF($E2805="","",UPPER(SUBSTITUTE($E2805," ","")))</f>
        <v/>
      </c>
      <c r="K2805" s="10" t="str">
        <f aca="false">IF($A2805="","",$G2805&amp;"|"&amp;$J2805)</f>
        <v/>
      </c>
      <c r="L2805" s="10" t="str">
        <f aca="false">IF($A2805="","",ROW()-2)</f>
        <v/>
      </c>
      <c r="M2805" s="10" t="str">
        <f aca="false">IF($A2805="","",ROW())</f>
        <v/>
      </c>
    </row>
    <row r="2806" customFormat="false" ht="15" hidden="false" customHeight="true" outlineLevel="0" collapsed="false">
      <c r="A2806" s="8"/>
      <c r="B2806" s="8"/>
      <c r="C2806" s="8"/>
      <c r="D2806" s="8"/>
      <c r="E2806" s="8"/>
      <c r="F2806" s="8"/>
      <c r="G2806" s="10" t="str">
        <f aca="false">IF($A2806="","",UPPER(SUBSTITUTE(SUBSTITUTE(SUBSTITUTE(SUBSTITUTE($A2806," ",""),"(주)",""),"주식회사",""),"㈜","")))</f>
        <v/>
      </c>
      <c r="H2806" s="10" t="str">
        <f aca="false">IF($B2806="","",SUBSTITUTE(SUBSTITUTE(SUBSTITUTE($B2806,"-","")," ",""),".",""))</f>
        <v/>
      </c>
      <c r="I2806" s="10" t="str">
        <f aca="false">IF($D2806="","",SUBSTITUTE(SUBSTITUTE(SUBSTITUTE($D2806,"-","")," ",""),".",""))</f>
        <v/>
      </c>
      <c r="J2806" s="10" t="str">
        <f aca="false">IF($E2806="","",UPPER(SUBSTITUTE($E2806," ","")))</f>
        <v/>
      </c>
      <c r="K2806" s="10" t="str">
        <f aca="false">IF($A2806="","",$G2806&amp;"|"&amp;$J2806)</f>
        <v/>
      </c>
      <c r="L2806" s="10" t="str">
        <f aca="false">IF($A2806="","",ROW()-2)</f>
        <v/>
      </c>
      <c r="M2806" s="10" t="str">
        <f aca="false">IF($A2806="","",ROW())</f>
        <v/>
      </c>
    </row>
    <row r="2807" customFormat="false" ht="15" hidden="false" customHeight="true" outlineLevel="0" collapsed="false">
      <c r="A2807" s="8"/>
      <c r="B2807" s="8"/>
      <c r="C2807" s="8"/>
      <c r="D2807" s="8"/>
      <c r="E2807" s="8"/>
      <c r="F2807" s="8"/>
      <c r="G2807" s="10" t="str">
        <f aca="false">IF($A2807="","",UPPER(SUBSTITUTE(SUBSTITUTE(SUBSTITUTE(SUBSTITUTE($A2807," ",""),"(주)",""),"주식회사",""),"㈜","")))</f>
        <v/>
      </c>
      <c r="H2807" s="10" t="str">
        <f aca="false">IF($B2807="","",SUBSTITUTE(SUBSTITUTE(SUBSTITUTE($B2807,"-","")," ",""),".",""))</f>
        <v/>
      </c>
      <c r="I2807" s="10" t="str">
        <f aca="false">IF($D2807="","",SUBSTITUTE(SUBSTITUTE(SUBSTITUTE($D2807,"-","")," ",""),".",""))</f>
        <v/>
      </c>
      <c r="J2807" s="10" t="str">
        <f aca="false">IF($E2807="","",UPPER(SUBSTITUTE($E2807," ","")))</f>
        <v/>
      </c>
      <c r="K2807" s="10" t="str">
        <f aca="false">IF($A2807="","",$G2807&amp;"|"&amp;$J2807)</f>
        <v/>
      </c>
      <c r="L2807" s="10" t="str">
        <f aca="false">IF($A2807="","",ROW()-2)</f>
        <v/>
      </c>
      <c r="M2807" s="10" t="str">
        <f aca="false">IF($A2807="","",ROW())</f>
        <v/>
      </c>
    </row>
    <row r="2808" customFormat="false" ht="15" hidden="false" customHeight="true" outlineLevel="0" collapsed="false">
      <c r="A2808" s="8"/>
      <c r="B2808" s="8"/>
      <c r="C2808" s="8"/>
      <c r="D2808" s="8"/>
      <c r="E2808" s="8"/>
      <c r="F2808" s="8"/>
      <c r="G2808" s="10" t="str">
        <f aca="false">IF($A2808="","",UPPER(SUBSTITUTE(SUBSTITUTE(SUBSTITUTE(SUBSTITUTE($A2808," ",""),"(주)",""),"주식회사",""),"㈜","")))</f>
        <v/>
      </c>
      <c r="H2808" s="10" t="str">
        <f aca="false">IF($B2808="","",SUBSTITUTE(SUBSTITUTE(SUBSTITUTE($B2808,"-","")," ",""),".",""))</f>
        <v/>
      </c>
      <c r="I2808" s="10" t="str">
        <f aca="false">IF($D2808="","",SUBSTITUTE(SUBSTITUTE(SUBSTITUTE($D2808,"-","")," ",""),".",""))</f>
        <v/>
      </c>
      <c r="J2808" s="10" t="str">
        <f aca="false">IF($E2808="","",UPPER(SUBSTITUTE($E2808," ","")))</f>
        <v/>
      </c>
      <c r="K2808" s="10" t="str">
        <f aca="false">IF($A2808="","",$G2808&amp;"|"&amp;$J2808)</f>
        <v/>
      </c>
      <c r="L2808" s="10" t="str">
        <f aca="false">IF($A2808="","",ROW()-2)</f>
        <v/>
      </c>
      <c r="M2808" s="10" t="str">
        <f aca="false">IF($A2808="","",ROW())</f>
        <v/>
      </c>
    </row>
    <row r="2809" customFormat="false" ht="15" hidden="false" customHeight="true" outlineLevel="0" collapsed="false">
      <c r="A2809" s="8"/>
      <c r="B2809" s="8"/>
      <c r="C2809" s="8"/>
      <c r="D2809" s="8"/>
      <c r="E2809" s="8"/>
      <c r="F2809" s="8"/>
      <c r="G2809" s="10" t="str">
        <f aca="false">IF($A2809="","",UPPER(SUBSTITUTE(SUBSTITUTE(SUBSTITUTE(SUBSTITUTE($A2809," ",""),"(주)",""),"주식회사",""),"㈜","")))</f>
        <v/>
      </c>
      <c r="H2809" s="10" t="str">
        <f aca="false">IF($B2809="","",SUBSTITUTE(SUBSTITUTE(SUBSTITUTE($B2809,"-","")," ",""),".",""))</f>
        <v/>
      </c>
      <c r="I2809" s="10" t="str">
        <f aca="false">IF($D2809="","",SUBSTITUTE(SUBSTITUTE(SUBSTITUTE($D2809,"-","")," ",""),".",""))</f>
        <v/>
      </c>
      <c r="J2809" s="10" t="str">
        <f aca="false">IF($E2809="","",UPPER(SUBSTITUTE($E2809," ","")))</f>
        <v/>
      </c>
      <c r="K2809" s="10" t="str">
        <f aca="false">IF($A2809="","",$G2809&amp;"|"&amp;$J2809)</f>
        <v/>
      </c>
      <c r="L2809" s="10" t="str">
        <f aca="false">IF($A2809="","",ROW()-2)</f>
        <v/>
      </c>
      <c r="M2809" s="10" t="str">
        <f aca="false">IF($A2809="","",ROW())</f>
        <v/>
      </c>
    </row>
    <row r="2810" customFormat="false" ht="15" hidden="false" customHeight="true" outlineLevel="0" collapsed="false">
      <c r="A2810" s="8"/>
      <c r="B2810" s="8"/>
      <c r="C2810" s="8"/>
      <c r="D2810" s="8"/>
      <c r="E2810" s="8"/>
      <c r="F2810" s="8"/>
      <c r="G2810" s="10" t="str">
        <f aca="false">IF($A2810="","",UPPER(SUBSTITUTE(SUBSTITUTE(SUBSTITUTE(SUBSTITUTE($A2810," ",""),"(주)",""),"주식회사",""),"㈜","")))</f>
        <v/>
      </c>
      <c r="H2810" s="10" t="str">
        <f aca="false">IF($B2810="","",SUBSTITUTE(SUBSTITUTE(SUBSTITUTE($B2810,"-","")," ",""),".",""))</f>
        <v/>
      </c>
      <c r="I2810" s="10" t="str">
        <f aca="false">IF($D2810="","",SUBSTITUTE(SUBSTITUTE(SUBSTITUTE($D2810,"-","")," ",""),".",""))</f>
        <v/>
      </c>
      <c r="J2810" s="10" t="str">
        <f aca="false">IF($E2810="","",UPPER(SUBSTITUTE($E2810," ","")))</f>
        <v/>
      </c>
      <c r="K2810" s="10" t="str">
        <f aca="false">IF($A2810="","",$G2810&amp;"|"&amp;$J2810)</f>
        <v/>
      </c>
      <c r="L2810" s="10" t="str">
        <f aca="false">IF($A2810="","",ROW()-2)</f>
        <v/>
      </c>
      <c r="M2810" s="10" t="str">
        <f aca="false">IF($A2810="","",ROW())</f>
        <v/>
      </c>
    </row>
    <row r="2811" customFormat="false" ht="15" hidden="false" customHeight="true" outlineLevel="0" collapsed="false">
      <c r="A2811" s="8"/>
      <c r="B2811" s="8"/>
      <c r="C2811" s="8"/>
      <c r="D2811" s="8"/>
      <c r="E2811" s="8"/>
      <c r="F2811" s="8"/>
      <c r="G2811" s="10" t="str">
        <f aca="false">IF($A2811="","",UPPER(SUBSTITUTE(SUBSTITUTE(SUBSTITUTE(SUBSTITUTE($A2811," ",""),"(주)",""),"주식회사",""),"㈜","")))</f>
        <v/>
      </c>
      <c r="H2811" s="10" t="str">
        <f aca="false">IF($B2811="","",SUBSTITUTE(SUBSTITUTE(SUBSTITUTE($B2811,"-","")," ",""),".",""))</f>
        <v/>
      </c>
      <c r="I2811" s="10" t="str">
        <f aca="false">IF($D2811="","",SUBSTITUTE(SUBSTITUTE(SUBSTITUTE($D2811,"-","")," ",""),".",""))</f>
        <v/>
      </c>
      <c r="J2811" s="10" t="str">
        <f aca="false">IF($E2811="","",UPPER(SUBSTITUTE($E2811," ","")))</f>
        <v/>
      </c>
      <c r="K2811" s="10" t="str">
        <f aca="false">IF($A2811="","",$G2811&amp;"|"&amp;$J2811)</f>
        <v/>
      </c>
      <c r="L2811" s="10" t="str">
        <f aca="false">IF($A2811="","",ROW()-2)</f>
        <v/>
      </c>
      <c r="M2811" s="10" t="str">
        <f aca="false">IF($A2811="","",ROW())</f>
        <v/>
      </c>
    </row>
    <row r="2812" customFormat="false" ht="15" hidden="false" customHeight="true" outlineLevel="0" collapsed="false">
      <c r="A2812" s="8"/>
      <c r="B2812" s="8"/>
      <c r="C2812" s="8"/>
      <c r="D2812" s="8"/>
      <c r="E2812" s="8"/>
      <c r="F2812" s="8"/>
      <c r="G2812" s="10" t="str">
        <f aca="false">IF($A2812="","",UPPER(SUBSTITUTE(SUBSTITUTE(SUBSTITUTE(SUBSTITUTE($A2812," ",""),"(주)",""),"주식회사",""),"㈜","")))</f>
        <v/>
      </c>
      <c r="H2812" s="10" t="str">
        <f aca="false">IF($B2812="","",SUBSTITUTE(SUBSTITUTE(SUBSTITUTE($B2812,"-","")," ",""),".",""))</f>
        <v/>
      </c>
      <c r="I2812" s="10" t="str">
        <f aca="false">IF($D2812="","",SUBSTITUTE(SUBSTITUTE(SUBSTITUTE($D2812,"-","")," ",""),".",""))</f>
        <v/>
      </c>
      <c r="J2812" s="10" t="str">
        <f aca="false">IF($E2812="","",UPPER(SUBSTITUTE($E2812," ","")))</f>
        <v/>
      </c>
      <c r="K2812" s="10" t="str">
        <f aca="false">IF($A2812="","",$G2812&amp;"|"&amp;$J2812)</f>
        <v/>
      </c>
      <c r="L2812" s="10" t="str">
        <f aca="false">IF($A2812="","",ROW()-2)</f>
        <v/>
      </c>
      <c r="M2812" s="10" t="str">
        <f aca="false">IF($A2812="","",ROW())</f>
        <v/>
      </c>
    </row>
    <row r="2813" customFormat="false" ht="15" hidden="false" customHeight="true" outlineLevel="0" collapsed="false">
      <c r="A2813" s="8"/>
      <c r="B2813" s="8"/>
      <c r="C2813" s="8"/>
      <c r="D2813" s="8"/>
      <c r="E2813" s="8"/>
      <c r="F2813" s="8"/>
      <c r="G2813" s="10" t="str">
        <f aca="false">IF($A2813="","",UPPER(SUBSTITUTE(SUBSTITUTE(SUBSTITUTE(SUBSTITUTE($A2813," ",""),"(주)",""),"주식회사",""),"㈜","")))</f>
        <v/>
      </c>
      <c r="H2813" s="10" t="str">
        <f aca="false">IF($B2813="","",SUBSTITUTE(SUBSTITUTE(SUBSTITUTE($B2813,"-","")," ",""),".",""))</f>
        <v/>
      </c>
      <c r="I2813" s="10" t="str">
        <f aca="false">IF($D2813="","",SUBSTITUTE(SUBSTITUTE(SUBSTITUTE($D2813,"-","")," ",""),".",""))</f>
        <v/>
      </c>
      <c r="J2813" s="10" t="str">
        <f aca="false">IF($E2813="","",UPPER(SUBSTITUTE($E2813," ","")))</f>
        <v/>
      </c>
      <c r="K2813" s="10" t="str">
        <f aca="false">IF($A2813="","",$G2813&amp;"|"&amp;$J2813)</f>
        <v/>
      </c>
      <c r="L2813" s="10" t="str">
        <f aca="false">IF($A2813="","",ROW()-2)</f>
        <v/>
      </c>
      <c r="M2813" s="10" t="str">
        <f aca="false">IF($A2813="","",ROW())</f>
        <v/>
      </c>
    </row>
    <row r="2814" customFormat="false" ht="15" hidden="false" customHeight="true" outlineLevel="0" collapsed="false">
      <c r="A2814" s="8"/>
      <c r="B2814" s="8"/>
      <c r="C2814" s="8"/>
      <c r="D2814" s="8"/>
      <c r="E2814" s="8"/>
      <c r="F2814" s="8"/>
      <c r="G2814" s="10" t="str">
        <f aca="false">IF($A2814="","",UPPER(SUBSTITUTE(SUBSTITUTE(SUBSTITUTE(SUBSTITUTE($A2814," ",""),"(주)",""),"주식회사",""),"㈜","")))</f>
        <v/>
      </c>
      <c r="H2814" s="10" t="str">
        <f aca="false">IF($B2814="","",SUBSTITUTE(SUBSTITUTE(SUBSTITUTE($B2814,"-","")," ",""),".",""))</f>
        <v/>
      </c>
      <c r="I2814" s="10" t="str">
        <f aca="false">IF($D2814="","",SUBSTITUTE(SUBSTITUTE(SUBSTITUTE($D2814,"-","")," ",""),".",""))</f>
        <v/>
      </c>
      <c r="J2814" s="10" t="str">
        <f aca="false">IF($E2814="","",UPPER(SUBSTITUTE($E2814," ","")))</f>
        <v/>
      </c>
      <c r="K2814" s="10" t="str">
        <f aca="false">IF($A2814="","",$G2814&amp;"|"&amp;$J2814)</f>
        <v/>
      </c>
      <c r="L2814" s="10" t="str">
        <f aca="false">IF($A2814="","",ROW()-2)</f>
        <v/>
      </c>
      <c r="M2814" s="10" t="str">
        <f aca="false">IF($A2814="","",ROW())</f>
        <v/>
      </c>
    </row>
    <row r="2815" customFormat="false" ht="15" hidden="false" customHeight="true" outlineLevel="0" collapsed="false">
      <c r="A2815" s="8"/>
      <c r="B2815" s="8"/>
      <c r="C2815" s="8"/>
      <c r="D2815" s="8"/>
      <c r="E2815" s="8"/>
      <c r="F2815" s="8"/>
      <c r="G2815" s="10" t="str">
        <f aca="false">IF($A2815="","",UPPER(SUBSTITUTE(SUBSTITUTE(SUBSTITUTE(SUBSTITUTE($A2815," ",""),"(주)",""),"주식회사",""),"㈜","")))</f>
        <v/>
      </c>
      <c r="H2815" s="10" t="str">
        <f aca="false">IF($B2815="","",SUBSTITUTE(SUBSTITUTE(SUBSTITUTE($B2815,"-","")," ",""),".",""))</f>
        <v/>
      </c>
      <c r="I2815" s="10" t="str">
        <f aca="false">IF($D2815="","",SUBSTITUTE(SUBSTITUTE(SUBSTITUTE($D2815,"-","")," ",""),".",""))</f>
        <v/>
      </c>
      <c r="J2815" s="10" t="str">
        <f aca="false">IF($E2815="","",UPPER(SUBSTITUTE($E2815," ","")))</f>
        <v/>
      </c>
      <c r="K2815" s="10" t="str">
        <f aca="false">IF($A2815="","",$G2815&amp;"|"&amp;$J2815)</f>
        <v/>
      </c>
      <c r="L2815" s="10" t="str">
        <f aca="false">IF($A2815="","",ROW()-2)</f>
        <v/>
      </c>
      <c r="M2815" s="10" t="str">
        <f aca="false">IF($A2815="","",ROW())</f>
        <v/>
      </c>
    </row>
    <row r="2816" customFormat="false" ht="15" hidden="false" customHeight="true" outlineLevel="0" collapsed="false">
      <c r="A2816" s="8"/>
      <c r="B2816" s="8"/>
      <c r="C2816" s="8"/>
      <c r="D2816" s="8"/>
      <c r="E2816" s="8"/>
      <c r="F2816" s="8"/>
      <c r="G2816" s="10" t="str">
        <f aca="false">IF($A2816="","",UPPER(SUBSTITUTE(SUBSTITUTE(SUBSTITUTE(SUBSTITUTE($A2816," ",""),"(주)",""),"주식회사",""),"㈜","")))</f>
        <v/>
      </c>
      <c r="H2816" s="10" t="str">
        <f aca="false">IF($B2816="","",SUBSTITUTE(SUBSTITUTE(SUBSTITUTE($B2816,"-","")," ",""),".",""))</f>
        <v/>
      </c>
      <c r="I2816" s="10" t="str">
        <f aca="false">IF($D2816="","",SUBSTITUTE(SUBSTITUTE(SUBSTITUTE($D2816,"-","")," ",""),".",""))</f>
        <v/>
      </c>
      <c r="J2816" s="10" t="str">
        <f aca="false">IF($E2816="","",UPPER(SUBSTITUTE($E2816," ","")))</f>
        <v/>
      </c>
      <c r="K2816" s="10" t="str">
        <f aca="false">IF($A2816="","",$G2816&amp;"|"&amp;$J2816)</f>
        <v/>
      </c>
      <c r="L2816" s="10" t="str">
        <f aca="false">IF($A2816="","",ROW()-2)</f>
        <v/>
      </c>
      <c r="M2816" s="10" t="str">
        <f aca="false">IF($A2816="","",ROW())</f>
        <v/>
      </c>
    </row>
    <row r="2817" customFormat="false" ht="15" hidden="false" customHeight="true" outlineLevel="0" collapsed="false">
      <c r="A2817" s="8"/>
      <c r="B2817" s="8"/>
      <c r="C2817" s="8"/>
      <c r="D2817" s="8"/>
      <c r="E2817" s="8"/>
      <c r="F2817" s="8"/>
      <c r="G2817" s="10" t="str">
        <f aca="false">IF($A2817="","",UPPER(SUBSTITUTE(SUBSTITUTE(SUBSTITUTE(SUBSTITUTE($A2817," ",""),"(주)",""),"주식회사",""),"㈜","")))</f>
        <v/>
      </c>
      <c r="H2817" s="10" t="str">
        <f aca="false">IF($B2817="","",SUBSTITUTE(SUBSTITUTE(SUBSTITUTE($B2817,"-","")," ",""),".",""))</f>
        <v/>
      </c>
      <c r="I2817" s="10" t="str">
        <f aca="false">IF($D2817="","",SUBSTITUTE(SUBSTITUTE(SUBSTITUTE($D2817,"-","")," ",""),".",""))</f>
        <v/>
      </c>
      <c r="J2817" s="10" t="str">
        <f aca="false">IF($E2817="","",UPPER(SUBSTITUTE($E2817," ","")))</f>
        <v/>
      </c>
      <c r="K2817" s="10" t="str">
        <f aca="false">IF($A2817="","",$G2817&amp;"|"&amp;$J2817)</f>
        <v/>
      </c>
      <c r="L2817" s="10" t="str">
        <f aca="false">IF($A2817="","",ROW()-2)</f>
        <v/>
      </c>
      <c r="M2817" s="10" t="str">
        <f aca="false">IF($A2817="","",ROW())</f>
        <v/>
      </c>
    </row>
    <row r="2818" customFormat="false" ht="15" hidden="false" customHeight="true" outlineLevel="0" collapsed="false">
      <c r="A2818" s="8"/>
      <c r="B2818" s="8"/>
      <c r="C2818" s="8"/>
      <c r="D2818" s="8"/>
      <c r="E2818" s="8"/>
      <c r="F2818" s="8"/>
      <c r="G2818" s="10" t="str">
        <f aca="false">IF($A2818="","",UPPER(SUBSTITUTE(SUBSTITUTE(SUBSTITUTE(SUBSTITUTE($A2818," ",""),"(주)",""),"주식회사",""),"㈜","")))</f>
        <v/>
      </c>
      <c r="H2818" s="10" t="str">
        <f aca="false">IF($B2818="","",SUBSTITUTE(SUBSTITUTE(SUBSTITUTE($B2818,"-","")," ",""),".",""))</f>
        <v/>
      </c>
      <c r="I2818" s="10" t="str">
        <f aca="false">IF($D2818="","",SUBSTITUTE(SUBSTITUTE(SUBSTITUTE($D2818,"-","")," ",""),".",""))</f>
        <v/>
      </c>
      <c r="J2818" s="10" t="str">
        <f aca="false">IF($E2818="","",UPPER(SUBSTITUTE($E2818," ","")))</f>
        <v/>
      </c>
      <c r="K2818" s="10" t="str">
        <f aca="false">IF($A2818="","",$G2818&amp;"|"&amp;$J2818)</f>
        <v/>
      </c>
      <c r="L2818" s="10" t="str">
        <f aca="false">IF($A2818="","",ROW()-2)</f>
        <v/>
      </c>
      <c r="M2818" s="10" t="str">
        <f aca="false">IF($A2818="","",ROW())</f>
        <v/>
      </c>
    </row>
    <row r="2819" customFormat="false" ht="15" hidden="false" customHeight="true" outlineLevel="0" collapsed="false">
      <c r="A2819" s="8"/>
      <c r="B2819" s="8"/>
      <c r="C2819" s="8"/>
      <c r="D2819" s="8"/>
      <c r="E2819" s="8"/>
      <c r="F2819" s="8"/>
      <c r="G2819" s="10" t="str">
        <f aca="false">IF($A2819="","",UPPER(SUBSTITUTE(SUBSTITUTE(SUBSTITUTE(SUBSTITUTE($A2819," ",""),"(주)",""),"주식회사",""),"㈜","")))</f>
        <v/>
      </c>
      <c r="H2819" s="10" t="str">
        <f aca="false">IF($B2819="","",SUBSTITUTE(SUBSTITUTE(SUBSTITUTE($B2819,"-","")," ",""),".",""))</f>
        <v/>
      </c>
      <c r="I2819" s="10" t="str">
        <f aca="false">IF($D2819="","",SUBSTITUTE(SUBSTITUTE(SUBSTITUTE($D2819,"-","")," ",""),".",""))</f>
        <v/>
      </c>
      <c r="J2819" s="10" t="str">
        <f aca="false">IF($E2819="","",UPPER(SUBSTITUTE($E2819," ","")))</f>
        <v/>
      </c>
      <c r="K2819" s="10" t="str">
        <f aca="false">IF($A2819="","",$G2819&amp;"|"&amp;$J2819)</f>
        <v/>
      </c>
      <c r="L2819" s="10" t="str">
        <f aca="false">IF($A2819="","",ROW()-2)</f>
        <v/>
      </c>
      <c r="M2819" s="10" t="str">
        <f aca="false">IF($A2819="","",ROW())</f>
        <v/>
      </c>
    </row>
    <row r="2820" customFormat="false" ht="15" hidden="false" customHeight="true" outlineLevel="0" collapsed="false">
      <c r="A2820" s="8"/>
      <c r="B2820" s="8"/>
      <c r="C2820" s="8"/>
      <c r="D2820" s="8"/>
      <c r="E2820" s="8"/>
      <c r="F2820" s="8"/>
      <c r="G2820" s="10" t="str">
        <f aca="false">IF($A2820="","",UPPER(SUBSTITUTE(SUBSTITUTE(SUBSTITUTE(SUBSTITUTE($A2820," ",""),"(주)",""),"주식회사",""),"㈜","")))</f>
        <v/>
      </c>
      <c r="H2820" s="10" t="str">
        <f aca="false">IF($B2820="","",SUBSTITUTE(SUBSTITUTE(SUBSTITUTE($B2820,"-","")," ",""),".",""))</f>
        <v/>
      </c>
      <c r="I2820" s="10" t="str">
        <f aca="false">IF($D2820="","",SUBSTITUTE(SUBSTITUTE(SUBSTITUTE($D2820,"-","")," ",""),".",""))</f>
        <v/>
      </c>
      <c r="J2820" s="10" t="str">
        <f aca="false">IF($E2820="","",UPPER(SUBSTITUTE($E2820," ","")))</f>
        <v/>
      </c>
      <c r="K2820" s="10" t="str">
        <f aca="false">IF($A2820="","",$G2820&amp;"|"&amp;$J2820)</f>
        <v/>
      </c>
      <c r="L2820" s="10" t="str">
        <f aca="false">IF($A2820="","",ROW()-2)</f>
        <v/>
      </c>
      <c r="M2820" s="10" t="str">
        <f aca="false">IF($A2820="","",ROW())</f>
        <v/>
      </c>
    </row>
    <row r="2821" customFormat="false" ht="15" hidden="false" customHeight="true" outlineLevel="0" collapsed="false">
      <c r="A2821" s="8"/>
      <c r="B2821" s="8"/>
      <c r="C2821" s="8"/>
      <c r="D2821" s="8"/>
      <c r="E2821" s="8"/>
      <c r="F2821" s="8"/>
      <c r="G2821" s="10" t="str">
        <f aca="false">IF($A2821="","",UPPER(SUBSTITUTE(SUBSTITUTE(SUBSTITUTE(SUBSTITUTE($A2821," ",""),"(주)",""),"주식회사",""),"㈜","")))</f>
        <v/>
      </c>
      <c r="H2821" s="10" t="str">
        <f aca="false">IF($B2821="","",SUBSTITUTE(SUBSTITUTE(SUBSTITUTE($B2821,"-","")," ",""),".",""))</f>
        <v/>
      </c>
      <c r="I2821" s="10" t="str">
        <f aca="false">IF($D2821="","",SUBSTITUTE(SUBSTITUTE(SUBSTITUTE($D2821,"-","")," ",""),".",""))</f>
        <v/>
      </c>
      <c r="J2821" s="10" t="str">
        <f aca="false">IF($E2821="","",UPPER(SUBSTITUTE($E2821," ","")))</f>
        <v/>
      </c>
      <c r="K2821" s="10" t="str">
        <f aca="false">IF($A2821="","",$G2821&amp;"|"&amp;$J2821)</f>
        <v/>
      </c>
      <c r="L2821" s="10" t="str">
        <f aca="false">IF($A2821="","",ROW()-2)</f>
        <v/>
      </c>
      <c r="M2821" s="10" t="str">
        <f aca="false">IF($A2821="","",ROW())</f>
        <v/>
      </c>
    </row>
    <row r="2822" customFormat="false" ht="15" hidden="false" customHeight="true" outlineLevel="0" collapsed="false">
      <c r="A2822" s="8"/>
      <c r="B2822" s="8"/>
      <c r="C2822" s="8"/>
      <c r="D2822" s="8"/>
      <c r="E2822" s="8"/>
      <c r="F2822" s="8"/>
      <c r="G2822" s="10" t="str">
        <f aca="false">IF($A2822="","",UPPER(SUBSTITUTE(SUBSTITUTE(SUBSTITUTE(SUBSTITUTE($A2822," ",""),"(주)",""),"주식회사",""),"㈜","")))</f>
        <v/>
      </c>
      <c r="H2822" s="10" t="str">
        <f aca="false">IF($B2822="","",SUBSTITUTE(SUBSTITUTE(SUBSTITUTE($B2822,"-","")," ",""),".",""))</f>
        <v/>
      </c>
      <c r="I2822" s="10" t="str">
        <f aca="false">IF($D2822="","",SUBSTITUTE(SUBSTITUTE(SUBSTITUTE($D2822,"-","")," ",""),".",""))</f>
        <v/>
      </c>
      <c r="J2822" s="10" t="str">
        <f aca="false">IF($E2822="","",UPPER(SUBSTITUTE($E2822," ","")))</f>
        <v/>
      </c>
      <c r="K2822" s="10" t="str">
        <f aca="false">IF($A2822="","",$G2822&amp;"|"&amp;$J2822)</f>
        <v/>
      </c>
      <c r="L2822" s="10" t="str">
        <f aca="false">IF($A2822="","",ROW()-2)</f>
        <v/>
      </c>
      <c r="M2822" s="10" t="str">
        <f aca="false">IF($A2822="","",ROW())</f>
        <v/>
      </c>
    </row>
    <row r="2823" customFormat="false" ht="15" hidden="false" customHeight="true" outlineLevel="0" collapsed="false">
      <c r="A2823" s="8"/>
      <c r="B2823" s="8"/>
      <c r="C2823" s="8"/>
      <c r="D2823" s="8"/>
      <c r="E2823" s="8"/>
      <c r="F2823" s="8"/>
      <c r="G2823" s="10" t="str">
        <f aca="false">IF($A2823="","",UPPER(SUBSTITUTE(SUBSTITUTE(SUBSTITUTE(SUBSTITUTE($A2823," ",""),"(주)",""),"주식회사",""),"㈜","")))</f>
        <v/>
      </c>
      <c r="H2823" s="10" t="str">
        <f aca="false">IF($B2823="","",SUBSTITUTE(SUBSTITUTE(SUBSTITUTE($B2823,"-","")," ",""),".",""))</f>
        <v/>
      </c>
      <c r="I2823" s="10" t="str">
        <f aca="false">IF($D2823="","",SUBSTITUTE(SUBSTITUTE(SUBSTITUTE($D2823,"-","")," ",""),".",""))</f>
        <v/>
      </c>
      <c r="J2823" s="10" t="str">
        <f aca="false">IF($E2823="","",UPPER(SUBSTITUTE($E2823," ","")))</f>
        <v/>
      </c>
      <c r="K2823" s="10" t="str">
        <f aca="false">IF($A2823="","",$G2823&amp;"|"&amp;$J2823)</f>
        <v/>
      </c>
      <c r="L2823" s="10" t="str">
        <f aca="false">IF($A2823="","",ROW()-2)</f>
        <v/>
      </c>
      <c r="M2823" s="10" t="str">
        <f aca="false">IF($A2823="","",ROW())</f>
        <v/>
      </c>
    </row>
    <row r="2824" customFormat="false" ht="15" hidden="false" customHeight="true" outlineLevel="0" collapsed="false">
      <c r="A2824" s="8"/>
      <c r="B2824" s="8"/>
      <c r="C2824" s="8"/>
      <c r="D2824" s="8"/>
      <c r="E2824" s="8"/>
      <c r="F2824" s="8"/>
      <c r="G2824" s="10" t="str">
        <f aca="false">IF($A2824="","",UPPER(SUBSTITUTE(SUBSTITUTE(SUBSTITUTE(SUBSTITUTE($A2824," ",""),"(주)",""),"주식회사",""),"㈜","")))</f>
        <v/>
      </c>
      <c r="H2824" s="10" t="str">
        <f aca="false">IF($B2824="","",SUBSTITUTE(SUBSTITUTE(SUBSTITUTE($B2824,"-","")," ",""),".",""))</f>
        <v/>
      </c>
      <c r="I2824" s="10" t="str">
        <f aca="false">IF($D2824="","",SUBSTITUTE(SUBSTITUTE(SUBSTITUTE($D2824,"-","")," ",""),".",""))</f>
        <v/>
      </c>
      <c r="J2824" s="10" t="str">
        <f aca="false">IF($E2824="","",UPPER(SUBSTITUTE($E2824," ","")))</f>
        <v/>
      </c>
      <c r="K2824" s="10" t="str">
        <f aca="false">IF($A2824="","",$G2824&amp;"|"&amp;$J2824)</f>
        <v/>
      </c>
      <c r="L2824" s="10" t="str">
        <f aca="false">IF($A2824="","",ROW()-2)</f>
        <v/>
      </c>
      <c r="M2824" s="10" t="str">
        <f aca="false">IF($A2824="","",ROW())</f>
        <v/>
      </c>
    </row>
    <row r="2825" customFormat="false" ht="15" hidden="false" customHeight="true" outlineLevel="0" collapsed="false">
      <c r="A2825" s="8"/>
      <c r="B2825" s="8"/>
      <c r="C2825" s="8"/>
      <c r="D2825" s="8"/>
      <c r="E2825" s="8"/>
      <c r="F2825" s="8"/>
      <c r="G2825" s="10" t="str">
        <f aca="false">IF($A2825="","",UPPER(SUBSTITUTE(SUBSTITUTE(SUBSTITUTE(SUBSTITUTE($A2825," ",""),"(주)",""),"주식회사",""),"㈜","")))</f>
        <v/>
      </c>
      <c r="H2825" s="10" t="str">
        <f aca="false">IF($B2825="","",SUBSTITUTE(SUBSTITUTE(SUBSTITUTE($B2825,"-","")," ",""),".",""))</f>
        <v/>
      </c>
      <c r="I2825" s="10" t="str">
        <f aca="false">IF($D2825="","",SUBSTITUTE(SUBSTITUTE(SUBSTITUTE($D2825,"-","")," ",""),".",""))</f>
        <v/>
      </c>
      <c r="J2825" s="10" t="str">
        <f aca="false">IF($E2825="","",UPPER(SUBSTITUTE($E2825," ","")))</f>
        <v/>
      </c>
      <c r="K2825" s="10" t="str">
        <f aca="false">IF($A2825="","",$G2825&amp;"|"&amp;$J2825)</f>
        <v/>
      </c>
      <c r="L2825" s="10" t="str">
        <f aca="false">IF($A2825="","",ROW()-2)</f>
        <v/>
      </c>
      <c r="M2825" s="10" t="str">
        <f aca="false">IF($A2825="","",ROW())</f>
        <v/>
      </c>
    </row>
    <row r="2826" customFormat="false" ht="15" hidden="false" customHeight="true" outlineLevel="0" collapsed="false">
      <c r="A2826" s="8"/>
      <c r="B2826" s="8"/>
      <c r="C2826" s="8"/>
      <c r="D2826" s="8"/>
      <c r="E2826" s="8"/>
      <c r="F2826" s="8"/>
      <c r="G2826" s="10" t="str">
        <f aca="false">IF($A2826="","",UPPER(SUBSTITUTE(SUBSTITUTE(SUBSTITUTE(SUBSTITUTE($A2826," ",""),"(주)",""),"주식회사",""),"㈜","")))</f>
        <v/>
      </c>
      <c r="H2826" s="10" t="str">
        <f aca="false">IF($B2826="","",SUBSTITUTE(SUBSTITUTE(SUBSTITUTE($B2826,"-","")," ",""),".",""))</f>
        <v/>
      </c>
      <c r="I2826" s="10" t="str">
        <f aca="false">IF($D2826="","",SUBSTITUTE(SUBSTITUTE(SUBSTITUTE($D2826,"-","")," ",""),".",""))</f>
        <v/>
      </c>
      <c r="J2826" s="10" t="str">
        <f aca="false">IF($E2826="","",UPPER(SUBSTITUTE($E2826," ","")))</f>
        <v/>
      </c>
      <c r="K2826" s="10" t="str">
        <f aca="false">IF($A2826="","",$G2826&amp;"|"&amp;$J2826)</f>
        <v/>
      </c>
      <c r="L2826" s="10" t="str">
        <f aca="false">IF($A2826="","",ROW()-2)</f>
        <v/>
      </c>
      <c r="M2826" s="10" t="str">
        <f aca="false">IF($A2826="","",ROW())</f>
        <v/>
      </c>
    </row>
    <row r="2827" customFormat="false" ht="15" hidden="false" customHeight="true" outlineLevel="0" collapsed="false">
      <c r="A2827" s="8"/>
      <c r="B2827" s="8"/>
      <c r="C2827" s="8"/>
      <c r="D2827" s="8"/>
      <c r="E2827" s="8"/>
      <c r="F2827" s="8"/>
      <c r="G2827" s="10" t="str">
        <f aca="false">IF($A2827="","",UPPER(SUBSTITUTE(SUBSTITUTE(SUBSTITUTE(SUBSTITUTE($A2827," ",""),"(주)",""),"주식회사",""),"㈜","")))</f>
        <v/>
      </c>
      <c r="H2827" s="10" t="str">
        <f aca="false">IF($B2827="","",SUBSTITUTE(SUBSTITUTE(SUBSTITUTE($B2827,"-","")," ",""),".",""))</f>
        <v/>
      </c>
      <c r="I2827" s="10" t="str">
        <f aca="false">IF($D2827="","",SUBSTITUTE(SUBSTITUTE(SUBSTITUTE($D2827,"-","")," ",""),".",""))</f>
        <v/>
      </c>
      <c r="J2827" s="10" t="str">
        <f aca="false">IF($E2827="","",UPPER(SUBSTITUTE($E2827," ","")))</f>
        <v/>
      </c>
      <c r="K2827" s="10" t="str">
        <f aca="false">IF($A2827="","",$G2827&amp;"|"&amp;$J2827)</f>
        <v/>
      </c>
      <c r="L2827" s="10" t="str">
        <f aca="false">IF($A2827="","",ROW()-2)</f>
        <v/>
      </c>
      <c r="M2827" s="10" t="str">
        <f aca="false">IF($A2827="","",ROW())</f>
        <v/>
      </c>
    </row>
    <row r="2828" customFormat="false" ht="15" hidden="false" customHeight="true" outlineLevel="0" collapsed="false">
      <c r="A2828" s="8"/>
      <c r="B2828" s="8"/>
      <c r="C2828" s="8"/>
      <c r="D2828" s="8"/>
      <c r="E2828" s="8"/>
      <c r="F2828" s="8"/>
      <c r="G2828" s="10" t="str">
        <f aca="false">IF($A2828="","",UPPER(SUBSTITUTE(SUBSTITUTE(SUBSTITUTE(SUBSTITUTE($A2828," ",""),"(주)",""),"주식회사",""),"㈜","")))</f>
        <v/>
      </c>
      <c r="H2828" s="10" t="str">
        <f aca="false">IF($B2828="","",SUBSTITUTE(SUBSTITUTE(SUBSTITUTE($B2828,"-","")," ",""),".",""))</f>
        <v/>
      </c>
      <c r="I2828" s="10" t="str">
        <f aca="false">IF($D2828="","",SUBSTITUTE(SUBSTITUTE(SUBSTITUTE($D2828,"-","")," ",""),".",""))</f>
        <v/>
      </c>
      <c r="J2828" s="10" t="str">
        <f aca="false">IF($E2828="","",UPPER(SUBSTITUTE($E2828," ","")))</f>
        <v/>
      </c>
      <c r="K2828" s="10" t="str">
        <f aca="false">IF($A2828="","",$G2828&amp;"|"&amp;$J2828)</f>
        <v/>
      </c>
      <c r="L2828" s="10" t="str">
        <f aca="false">IF($A2828="","",ROW()-2)</f>
        <v/>
      </c>
      <c r="M2828" s="10" t="str">
        <f aca="false">IF($A2828="","",ROW())</f>
        <v/>
      </c>
    </row>
    <row r="2829" customFormat="false" ht="15" hidden="false" customHeight="true" outlineLevel="0" collapsed="false">
      <c r="A2829" s="8"/>
      <c r="B2829" s="8"/>
      <c r="C2829" s="8"/>
      <c r="D2829" s="8"/>
      <c r="E2829" s="8"/>
      <c r="F2829" s="8"/>
      <c r="G2829" s="10" t="str">
        <f aca="false">IF($A2829="","",UPPER(SUBSTITUTE(SUBSTITUTE(SUBSTITUTE(SUBSTITUTE($A2829," ",""),"(주)",""),"주식회사",""),"㈜","")))</f>
        <v/>
      </c>
      <c r="H2829" s="10" t="str">
        <f aca="false">IF($B2829="","",SUBSTITUTE(SUBSTITUTE(SUBSTITUTE($B2829,"-","")," ",""),".",""))</f>
        <v/>
      </c>
      <c r="I2829" s="10" t="str">
        <f aca="false">IF($D2829="","",SUBSTITUTE(SUBSTITUTE(SUBSTITUTE($D2829,"-","")," ",""),".",""))</f>
        <v/>
      </c>
      <c r="J2829" s="10" t="str">
        <f aca="false">IF($E2829="","",UPPER(SUBSTITUTE($E2829," ","")))</f>
        <v/>
      </c>
      <c r="K2829" s="10" t="str">
        <f aca="false">IF($A2829="","",$G2829&amp;"|"&amp;$J2829)</f>
        <v/>
      </c>
      <c r="L2829" s="10" t="str">
        <f aca="false">IF($A2829="","",ROW()-2)</f>
        <v/>
      </c>
      <c r="M2829" s="10" t="str">
        <f aca="false">IF($A2829="","",ROW())</f>
        <v/>
      </c>
    </row>
    <row r="2830" customFormat="false" ht="15" hidden="false" customHeight="true" outlineLevel="0" collapsed="false">
      <c r="A2830" s="8"/>
      <c r="B2830" s="8"/>
      <c r="C2830" s="8"/>
      <c r="D2830" s="8"/>
      <c r="E2830" s="8"/>
      <c r="F2830" s="8"/>
      <c r="G2830" s="10" t="str">
        <f aca="false">IF($A2830="","",UPPER(SUBSTITUTE(SUBSTITUTE(SUBSTITUTE(SUBSTITUTE($A2830," ",""),"(주)",""),"주식회사",""),"㈜","")))</f>
        <v/>
      </c>
      <c r="H2830" s="10" t="str">
        <f aca="false">IF($B2830="","",SUBSTITUTE(SUBSTITUTE(SUBSTITUTE($B2830,"-","")," ",""),".",""))</f>
        <v/>
      </c>
      <c r="I2830" s="10" t="str">
        <f aca="false">IF($D2830="","",SUBSTITUTE(SUBSTITUTE(SUBSTITUTE($D2830,"-","")," ",""),".",""))</f>
        <v/>
      </c>
      <c r="J2830" s="10" t="str">
        <f aca="false">IF($E2830="","",UPPER(SUBSTITUTE($E2830," ","")))</f>
        <v/>
      </c>
      <c r="K2830" s="10" t="str">
        <f aca="false">IF($A2830="","",$G2830&amp;"|"&amp;$J2830)</f>
        <v/>
      </c>
      <c r="L2830" s="10" t="str">
        <f aca="false">IF($A2830="","",ROW()-2)</f>
        <v/>
      </c>
      <c r="M2830" s="10" t="str">
        <f aca="false">IF($A2830="","",ROW())</f>
        <v/>
      </c>
    </row>
    <row r="2831" customFormat="false" ht="15" hidden="false" customHeight="true" outlineLevel="0" collapsed="false">
      <c r="A2831" s="8"/>
      <c r="B2831" s="8"/>
      <c r="C2831" s="8"/>
      <c r="D2831" s="8"/>
      <c r="E2831" s="8"/>
      <c r="F2831" s="8"/>
      <c r="G2831" s="10" t="str">
        <f aca="false">IF($A2831="","",UPPER(SUBSTITUTE(SUBSTITUTE(SUBSTITUTE(SUBSTITUTE($A2831," ",""),"(주)",""),"주식회사",""),"㈜","")))</f>
        <v/>
      </c>
      <c r="H2831" s="10" t="str">
        <f aca="false">IF($B2831="","",SUBSTITUTE(SUBSTITUTE(SUBSTITUTE($B2831,"-","")," ",""),".",""))</f>
        <v/>
      </c>
      <c r="I2831" s="10" t="str">
        <f aca="false">IF($D2831="","",SUBSTITUTE(SUBSTITUTE(SUBSTITUTE($D2831,"-","")," ",""),".",""))</f>
        <v/>
      </c>
      <c r="J2831" s="10" t="str">
        <f aca="false">IF($E2831="","",UPPER(SUBSTITUTE($E2831," ","")))</f>
        <v/>
      </c>
      <c r="K2831" s="10" t="str">
        <f aca="false">IF($A2831="","",$G2831&amp;"|"&amp;$J2831)</f>
        <v/>
      </c>
      <c r="L2831" s="10" t="str">
        <f aca="false">IF($A2831="","",ROW()-2)</f>
        <v/>
      </c>
      <c r="M2831" s="10" t="str">
        <f aca="false">IF($A2831="","",ROW())</f>
        <v/>
      </c>
    </row>
    <row r="2832" customFormat="false" ht="15" hidden="false" customHeight="true" outlineLevel="0" collapsed="false">
      <c r="A2832" s="8"/>
      <c r="B2832" s="8"/>
      <c r="C2832" s="8"/>
      <c r="D2832" s="8"/>
      <c r="E2832" s="8"/>
      <c r="F2832" s="8"/>
      <c r="G2832" s="10" t="str">
        <f aca="false">IF($A2832="","",UPPER(SUBSTITUTE(SUBSTITUTE(SUBSTITUTE(SUBSTITUTE($A2832," ",""),"(주)",""),"주식회사",""),"㈜","")))</f>
        <v/>
      </c>
      <c r="H2832" s="10" t="str">
        <f aca="false">IF($B2832="","",SUBSTITUTE(SUBSTITUTE(SUBSTITUTE($B2832,"-","")," ",""),".",""))</f>
        <v/>
      </c>
      <c r="I2832" s="10" t="str">
        <f aca="false">IF($D2832="","",SUBSTITUTE(SUBSTITUTE(SUBSTITUTE($D2832,"-","")," ",""),".",""))</f>
        <v/>
      </c>
      <c r="J2832" s="10" t="str">
        <f aca="false">IF($E2832="","",UPPER(SUBSTITUTE($E2832," ","")))</f>
        <v/>
      </c>
      <c r="K2832" s="10" t="str">
        <f aca="false">IF($A2832="","",$G2832&amp;"|"&amp;$J2832)</f>
        <v/>
      </c>
      <c r="L2832" s="10" t="str">
        <f aca="false">IF($A2832="","",ROW()-2)</f>
        <v/>
      </c>
      <c r="M2832" s="10" t="str">
        <f aca="false">IF($A2832="","",ROW())</f>
        <v/>
      </c>
    </row>
    <row r="2833" customFormat="false" ht="15" hidden="false" customHeight="true" outlineLevel="0" collapsed="false">
      <c r="A2833" s="8"/>
      <c r="B2833" s="8"/>
      <c r="C2833" s="8"/>
      <c r="D2833" s="8"/>
      <c r="E2833" s="8"/>
      <c r="F2833" s="8"/>
      <c r="G2833" s="10" t="str">
        <f aca="false">IF($A2833="","",UPPER(SUBSTITUTE(SUBSTITUTE(SUBSTITUTE(SUBSTITUTE($A2833," ",""),"(주)",""),"주식회사",""),"㈜","")))</f>
        <v/>
      </c>
      <c r="H2833" s="10" t="str">
        <f aca="false">IF($B2833="","",SUBSTITUTE(SUBSTITUTE(SUBSTITUTE($B2833,"-","")," ",""),".",""))</f>
        <v/>
      </c>
      <c r="I2833" s="10" t="str">
        <f aca="false">IF($D2833="","",SUBSTITUTE(SUBSTITUTE(SUBSTITUTE($D2833,"-","")," ",""),".",""))</f>
        <v/>
      </c>
      <c r="J2833" s="10" t="str">
        <f aca="false">IF($E2833="","",UPPER(SUBSTITUTE($E2833," ","")))</f>
        <v/>
      </c>
      <c r="K2833" s="10" t="str">
        <f aca="false">IF($A2833="","",$G2833&amp;"|"&amp;$J2833)</f>
        <v/>
      </c>
      <c r="L2833" s="10" t="str">
        <f aca="false">IF($A2833="","",ROW()-2)</f>
        <v/>
      </c>
      <c r="M2833" s="10" t="str">
        <f aca="false">IF($A2833="","",ROW())</f>
        <v/>
      </c>
    </row>
    <row r="2834" customFormat="false" ht="15" hidden="false" customHeight="true" outlineLevel="0" collapsed="false">
      <c r="A2834" s="8"/>
      <c r="B2834" s="8"/>
      <c r="C2834" s="8"/>
      <c r="D2834" s="8"/>
      <c r="E2834" s="8"/>
      <c r="F2834" s="8"/>
      <c r="G2834" s="10" t="str">
        <f aca="false">IF($A2834="","",UPPER(SUBSTITUTE(SUBSTITUTE(SUBSTITUTE(SUBSTITUTE($A2834," ",""),"(주)",""),"주식회사",""),"㈜","")))</f>
        <v/>
      </c>
      <c r="H2834" s="10" t="str">
        <f aca="false">IF($B2834="","",SUBSTITUTE(SUBSTITUTE(SUBSTITUTE($B2834,"-","")," ",""),".",""))</f>
        <v/>
      </c>
      <c r="I2834" s="10" t="str">
        <f aca="false">IF($D2834="","",SUBSTITUTE(SUBSTITUTE(SUBSTITUTE($D2834,"-","")," ",""),".",""))</f>
        <v/>
      </c>
      <c r="J2834" s="10" t="str">
        <f aca="false">IF($E2834="","",UPPER(SUBSTITUTE($E2834," ","")))</f>
        <v/>
      </c>
      <c r="K2834" s="10" t="str">
        <f aca="false">IF($A2834="","",$G2834&amp;"|"&amp;$J2834)</f>
        <v/>
      </c>
      <c r="L2834" s="10" t="str">
        <f aca="false">IF($A2834="","",ROW()-2)</f>
        <v/>
      </c>
      <c r="M2834" s="10" t="str">
        <f aca="false">IF($A2834="","",ROW())</f>
        <v/>
      </c>
    </row>
    <row r="2835" customFormat="false" ht="15" hidden="false" customHeight="true" outlineLevel="0" collapsed="false">
      <c r="A2835" s="8"/>
      <c r="B2835" s="8"/>
      <c r="C2835" s="8"/>
      <c r="D2835" s="8"/>
      <c r="E2835" s="8"/>
      <c r="F2835" s="8"/>
      <c r="G2835" s="10" t="str">
        <f aca="false">IF($A2835="","",UPPER(SUBSTITUTE(SUBSTITUTE(SUBSTITUTE(SUBSTITUTE($A2835," ",""),"(주)",""),"주식회사",""),"㈜","")))</f>
        <v/>
      </c>
      <c r="H2835" s="10" t="str">
        <f aca="false">IF($B2835="","",SUBSTITUTE(SUBSTITUTE(SUBSTITUTE($B2835,"-","")," ",""),".",""))</f>
        <v/>
      </c>
      <c r="I2835" s="10" t="str">
        <f aca="false">IF($D2835="","",SUBSTITUTE(SUBSTITUTE(SUBSTITUTE($D2835,"-","")," ",""),".",""))</f>
        <v/>
      </c>
      <c r="J2835" s="10" t="str">
        <f aca="false">IF($E2835="","",UPPER(SUBSTITUTE($E2835," ","")))</f>
        <v/>
      </c>
      <c r="K2835" s="10" t="str">
        <f aca="false">IF($A2835="","",$G2835&amp;"|"&amp;$J2835)</f>
        <v/>
      </c>
      <c r="L2835" s="10" t="str">
        <f aca="false">IF($A2835="","",ROW()-2)</f>
        <v/>
      </c>
      <c r="M2835" s="10" t="str">
        <f aca="false">IF($A2835="","",ROW())</f>
        <v/>
      </c>
    </row>
    <row r="2836" customFormat="false" ht="15" hidden="false" customHeight="true" outlineLevel="0" collapsed="false">
      <c r="A2836" s="8"/>
      <c r="B2836" s="8"/>
      <c r="C2836" s="8"/>
      <c r="D2836" s="8"/>
      <c r="E2836" s="8"/>
      <c r="F2836" s="8"/>
      <c r="G2836" s="10" t="str">
        <f aca="false">IF($A2836="","",UPPER(SUBSTITUTE(SUBSTITUTE(SUBSTITUTE(SUBSTITUTE($A2836," ",""),"(주)",""),"주식회사",""),"㈜","")))</f>
        <v/>
      </c>
      <c r="H2836" s="10" t="str">
        <f aca="false">IF($B2836="","",SUBSTITUTE(SUBSTITUTE(SUBSTITUTE($B2836,"-","")," ",""),".",""))</f>
        <v/>
      </c>
      <c r="I2836" s="10" t="str">
        <f aca="false">IF($D2836="","",SUBSTITUTE(SUBSTITUTE(SUBSTITUTE($D2836,"-","")," ",""),".",""))</f>
        <v/>
      </c>
      <c r="J2836" s="10" t="str">
        <f aca="false">IF($E2836="","",UPPER(SUBSTITUTE($E2836," ","")))</f>
        <v/>
      </c>
      <c r="K2836" s="10" t="str">
        <f aca="false">IF($A2836="","",$G2836&amp;"|"&amp;$J2836)</f>
        <v/>
      </c>
      <c r="L2836" s="10" t="str">
        <f aca="false">IF($A2836="","",ROW()-2)</f>
        <v/>
      </c>
      <c r="M2836" s="10" t="str">
        <f aca="false">IF($A2836="","",ROW())</f>
        <v/>
      </c>
    </row>
    <row r="2837" customFormat="false" ht="15" hidden="false" customHeight="true" outlineLevel="0" collapsed="false">
      <c r="A2837" s="8"/>
      <c r="B2837" s="8"/>
      <c r="C2837" s="8"/>
      <c r="D2837" s="8"/>
      <c r="E2837" s="8"/>
      <c r="F2837" s="8"/>
      <c r="G2837" s="10" t="str">
        <f aca="false">IF($A2837="","",UPPER(SUBSTITUTE(SUBSTITUTE(SUBSTITUTE(SUBSTITUTE($A2837," ",""),"(주)",""),"주식회사",""),"㈜","")))</f>
        <v/>
      </c>
      <c r="H2837" s="10" t="str">
        <f aca="false">IF($B2837="","",SUBSTITUTE(SUBSTITUTE(SUBSTITUTE($B2837,"-","")," ",""),".",""))</f>
        <v/>
      </c>
      <c r="I2837" s="10" t="str">
        <f aca="false">IF($D2837="","",SUBSTITUTE(SUBSTITUTE(SUBSTITUTE($D2837,"-","")," ",""),".",""))</f>
        <v/>
      </c>
      <c r="J2837" s="10" t="str">
        <f aca="false">IF($E2837="","",UPPER(SUBSTITUTE($E2837," ","")))</f>
        <v/>
      </c>
      <c r="K2837" s="10" t="str">
        <f aca="false">IF($A2837="","",$G2837&amp;"|"&amp;$J2837)</f>
        <v/>
      </c>
      <c r="L2837" s="10" t="str">
        <f aca="false">IF($A2837="","",ROW()-2)</f>
        <v/>
      </c>
      <c r="M2837" s="10" t="str">
        <f aca="false">IF($A2837="","",ROW())</f>
        <v/>
      </c>
    </row>
    <row r="2838" customFormat="false" ht="15" hidden="false" customHeight="true" outlineLevel="0" collapsed="false">
      <c r="A2838" s="8"/>
      <c r="B2838" s="8"/>
      <c r="C2838" s="8"/>
      <c r="D2838" s="8"/>
      <c r="E2838" s="8"/>
      <c r="F2838" s="8"/>
      <c r="G2838" s="10" t="str">
        <f aca="false">IF($A2838="","",UPPER(SUBSTITUTE(SUBSTITUTE(SUBSTITUTE(SUBSTITUTE($A2838," ",""),"(주)",""),"주식회사",""),"㈜","")))</f>
        <v/>
      </c>
      <c r="H2838" s="10" t="str">
        <f aca="false">IF($B2838="","",SUBSTITUTE(SUBSTITUTE(SUBSTITUTE($B2838,"-","")," ",""),".",""))</f>
        <v/>
      </c>
      <c r="I2838" s="10" t="str">
        <f aca="false">IF($D2838="","",SUBSTITUTE(SUBSTITUTE(SUBSTITUTE($D2838,"-","")," ",""),".",""))</f>
        <v/>
      </c>
      <c r="J2838" s="10" t="str">
        <f aca="false">IF($E2838="","",UPPER(SUBSTITUTE($E2838," ","")))</f>
        <v/>
      </c>
      <c r="K2838" s="10" t="str">
        <f aca="false">IF($A2838="","",$G2838&amp;"|"&amp;$J2838)</f>
        <v/>
      </c>
      <c r="L2838" s="10" t="str">
        <f aca="false">IF($A2838="","",ROW()-2)</f>
        <v/>
      </c>
      <c r="M2838" s="10" t="str">
        <f aca="false">IF($A2838="","",ROW())</f>
        <v/>
      </c>
    </row>
    <row r="2839" customFormat="false" ht="15" hidden="false" customHeight="true" outlineLevel="0" collapsed="false">
      <c r="A2839" s="8"/>
      <c r="B2839" s="8"/>
      <c r="C2839" s="8"/>
      <c r="D2839" s="8"/>
      <c r="E2839" s="8"/>
      <c r="F2839" s="8"/>
      <c r="G2839" s="10" t="str">
        <f aca="false">IF($A2839="","",UPPER(SUBSTITUTE(SUBSTITUTE(SUBSTITUTE(SUBSTITUTE($A2839," ",""),"(주)",""),"주식회사",""),"㈜","")))</f>
        <v/>
      </c>
      <c r="H2839" s="10" t="str">
        <f aca="false">IF($B2839="","",SUBSTITUTE(SUBSTITUTE(SUBSTITUTE($B2839,"-","")," ",""),".",""))</f>
        <v/>
      </c>
      <c r="I2839" s="10" t="str">
        <f aca="false">IF($D2839="","",SUBSTITUTE(SUBSTITUTE(SUBSTITUTE($D2839,"-","")," ",""),".",""))</f>
        <v/>
      </c>
      <c r="J2839" s="10" t="str">
        <f aca="false">IF($E2839="","",UPPER(SUBSTITUTE($E2839," ","")))</f>
        <v/>
      </c>
      <c r="K2839" s="10" t="str">
        <f aca="false">IF($A2839="","",$G2839&amp;"|"&amp;$J2839)</f>
        <v/>
      </c>
      <c r="L2839" s="10" t="str">
        <f aca="false">IF($A2839="","",ROW()-2)</f>
        <v/>
      </c>
      <c r="M2839" s="10" t="str">
        <f aca="false">IF($A2839="","",ROW())</f>
        <v/>
      </c>
    </row>
    <row r="2840" customFormat="false" ht="15" hidden="false" customHeight="true" outlineLevel="0" collapsed="false">
      <c r="A2840" s="8"/>
      <c r="B2840" s="8"/>
      <c r="C2840" s="8"/>
      <c r="D2840" s="8"/>
      <c r="E2840" s="8"/>
      <c r="F2840" s="8"/>
      <c r="G2840" s="10" t="str">
        <f aca="false">IF($A2840="","",UPPER(SUBSTITUTE(SUBSTITUTE(SUBSTITUTE(SUBSTITUTE($A2840," ",""),"(주)",""),"주식회사",""),"㈜","")))</f>
        <v/>
      </c>
      <c r="H2840" s="10" t="str">
        <f aca="false">IF($B2840="","",SUBSTITUTE(SUBSTITUTE(SUBSTITUTE($B2840,"-","")," ",""),".",""))</f>
        <v/>
      </c>
      <c r="I2840" s="10" t="str">
        <f aca="false">IF($D2840="","",SUBSTITUTE(SUBSTITUTE(SUBSTITUTE($D2840,"-","")," ",""),".",""))</f>
        <v/>
      </c>
      <c r="J2840" s="10" t="str">
        <f aca="false">IF($E2840="","",UPPER(SUBSTITUTE($E2840," ","")))</f>
        <v/>
      </c>
      <c r="K2840" s="10" t="str">
        <f aca="false">IF($A2840="","",$G2840&amp;"|"&amp;$J2840)</f>
        <v/>
      </c>
      <c r="L2840" s="10" t="str">
        <f aca="false">IF($A2840="","",ROW()-2)</f>
        <v/>
      </c>
      <c r="M2840" s="10" t="str">
        <f aca="false">IF($A2840="","",ROW())</f>
        <v/>
      </c>
    </row>
    <row r="2841" customFormat="false" ht="15" hidden="false" customHeight="true" outlineLevel="0" collapsed="false">
      <c r="A2841" s="8"/>
      <c r="B2841" s="8"/>
      <c r="C2841" s="8"/>
      <c r="D2841" s="8"/>
      <c r="E2841" s="8"/>
      <c r="F2841" s="8"/>
      <c r="G2841" s="10" t="str">
        <f aca="false">IF($A2841="","",UPPER(SUBSTITUTE(SUBSTITUTE(SUBSTITUTE(SUBSTITUTE($A2841," ",""),"(주)",""),"주식회사",""),"㈜","")))</f>
        <v/>
      </c>
      <c r="H2841" s="10" t="str">
        <f aca="false">IF($B2841="","",SUBSTITUTE(SUBSTITUTE(SUBSTITUTE($B2841,"-","")," ",""),".",""))</f>
        <v/>
      </c>
      <c r="I2841" s="10" t="str">
        <f aca="false">IF($D2841="","",SUBSTITUTE(SUBSTITUTE(SUBSTITUTE($D2841,"-","")," ",""),".",""))</f>
        <v/>
      </c>
      <c r="J2841" s="10" t="str">
        <f aca="false">IF($E2841="","",UPPER(SUBSTITUTE($E2841," ","")))</f>
        <v/>
      </c>
      <c r="K2841" s="10" t="str">
        <f aca="false">IF($A2841="","",$G2841&amp;"|"&amp;$J2841)</f>
        <v/>
      </c>
      <c r="L2841" s="10" t="str">
        <f aca="false">IF($A2841="","",ROW()-2)</f>
        <v/>
      </c>
      <c r="M2841" s="10" t="str">
        <f aca="false">IF($A2841="","",ROW())</f>
        <v/>
      </c>
    </row>
    <row r="2842" customFormat="false" ht="15" hidden="false" customHeight="true" outlineLevel="0" collapsed="false">
      <c r="A2842" s="8"/>
      <c r="B2842" s="8"/>
      <c r="C2842" s="8"/>
      <c r="D2842" s="8"/>
      <c r="E2842" s="8"/>
      <c r="F2842" s="8"/>
      <c r="G2842" s="10" t="str">
        <f aca="false">IF($A2842="","",UPPER(SUBSTITUTE(SUBSTITUTE(SUBSTITUTE(SUBSTITUTE($A2842," ",""),"(주)",""),"주식회사",""),"㈜","")))</f>
        <v/>
      </c>
      <c r="H2842" s="10" t="str">
        <f aca="false">IF($B2842="","",SUBSTITUTE(SUBSTITUTE(SUBSTITUTE($B2842,"-","")," ",""),".",""))</f>
        <v/>
      </c>
      <c r="I2842" s="10" t="str">
        <f aca="false">IF($D2842="","",SUBSTITUTE(SUBSTITUTE(SUBSTITUTE($D2842,"-","")," ",""),".",""))</f>
        <v/>
      </c>
      <c r="J2842" s="10" t="str">
        <f aca="false">IF($E2842="","",UPPER(SUBSTITUTE($E2842," ","")))</f>
        <v/>
      </c>
      <c r="K2842" s="10" t="str">
        <f aca="false">IF($A2842="","",$G2842&amp;"|"&amp;$J2842)</f>
        <v/>
      </c>
      <c r="L2842" s="10" t="str">
        <f aca="false">IF($A2842="","",ROW()-2)</f>
        <v/>
      </c>
      <c r="M2842" s="10" t="str">
        <f aca="false">IF($A2842="","",ROW())</f>
        <v/>
      </c>
    </row>
    <row r="2843" customFormat="false" ht="15" hidden="false" customHeight="true" outlineLevel="0" collapsed="false">
      <c r="A2843" s="8"/>
      <c r="B2843" s="8"/>
      <c r="C2843" s="8"/>
      <c r="D2843" s="8"/>
      <c r="E2843" s="8"/>
      <c r="F2843" s="8"/>
      <c r="G2843" s="10" t="str">
        <f aca="false">IF($A2843="","",UPPER(SUBSTITUTE(SUBSTITUTE(SUBSTITUTE(SUBSTITUTE($A2843," ",""),"(주)",""),"주식회사",""),"㈜","")))</f>
        <v/>
      </c>
      <c r="H2843" s="10" t="str">
        <f aca="false">IF($B2843="","",SUBSTITUTE(SUBSTITUTE(SUBSTITUTE($B2843,"-","")," ",""),".",""))</f>
        <v/>
      </c>
      <c r="I2843" s="10" t="str">
        <f aca="false">IF($D2843="","",SUBSTITUTE(SUBSTITUTE(SUBSTITUTE($D2843,"-","")," ",""),".",""))</f>
        <v/>
      </c>
      <c r="J2843" s="10" t="str">
        <f aca="false">IF($E2843="","",UPPER(SUBSTITUTE($E2843," ","")))</f>
        <v/>
      </c>
      <c r="K2843" s="10" t="str">
        <f aca="false">IF($A2843="","",$G2843&amp;"|"&amp;$J2843)</f>
        <v/>
      </c>
      <c r="L2843" s="10" t="str">
        <f aca="false">IF($A2843="","",ROW()-2)</f>
        <v/>
      </c>
      <c r="M2843" s="10" t="str">
        <f aca="false">IF($A2843="","",ROW())</f>
        <v/>
      </c>
    </row>
    <row r="2844" customFormat="false" ht="15" hidden="false" customHeight="true" outlineLevel="0" collapsed="false">
      <c r="A2844" s="8"/>
      <c r="B2844" s="8"/>
      <c r="C2844" s="8"/>
      <c r="D2844" s="8"/>
      <c r="E2844" s="8"/>
      <c r="F2844" s="8"/>
      <c r="G2844" s="10" t="str">
        <f aca="false">IF($A2844="","",UPPER(SUBSTITUTE(SUBSTITUTE(SUBSTITUTE(SUBSTITUTE($A2844," ",""),"(주)",""),"주식회사",""),"㈜","")))</f>
        <v/>
      </c>
      <c r="H2844" s="10" t="str">
        <f aca="false">IF($B2844="","",SUBSTITUTE(SUBSTITUTE(SUBSTITUTE($B2844,"-","")," ",""),".",""))</f>
        <v/>
      </c>
      <c r="I2844" s="10" t="str">
        <f aca="false">IF($D2844="","",SUBSTITUTE(SUBSTITUTE(SUBSTITUTE($D2844,"-","")," ",""),".",""))</f>
        <v/>
      </c>
      <c r="J2844" s="10" t="str">
        <f aca="false">IF($E2844="","",UPPER(SUBSTITUTE($E2844," ","")))</f>
        <v/>
      </c>
      <c r="K2844" s="10" t="str">
        <f aca="false">IF($A2844="","",$G2844&amp;"|"&amp;$J2844)</f>
        <v/>
      </c>
      <c r="L2844" s="10" t="str">
        <f aca="false">IF($A2844="","",ROW()-2)</f>
        <v/>
      </c>
      <c r="M2844" s="10" t="str">
        <f aca="false">IF($A2844="","",ROW())</f>
        <v/>
      </c>
    </row>
    <row r="2845" customFormat="false" ht="15" hidden="false" customHeight="true" outlineLevel="0" collapsed="false">
      <c r="A2845" s="8"/>
      <c r="B2845" s="8"/>
      <c r="C2845" s="8"/>
      <c r="D2845" s="8"/>
      <c r="E2845" s="8"/>
      <c r="F2845" s="8"/>
      <c r="G2845" s="10" t="str">
        <f aca="false">IF($A2845="","",UPPER(SUBSTITUTE(SUBSTITUTE(SUBSTITUTE(SUBSTITUTE($A2845," ",""),"(주)",""),"주식회사",""),"㈜","")))</f>
        <v/>
      </c>
      <c r="H2845" s="10" t="str">
        <f aca="false">IF($B2845="","",SUBSTITUTE(SUBSTITUTE(SUBSTITUTE($B2845,"-","")," ",""),".",""))</f>
        <v/>
      </c>
      <c r="I2845" s="10" t="str">
        <f aca="false">IF($D2845="","",SUBSTITUTE(SUBSTITUTE(SUBSTITUTE($D2845,"-","")," ",""),".",""))</f>
        <v/>
      </c>
      <c r="J2845" s="10" t="str">
        <f aca="false">IF($E2845="","",UPPER(SUBSTITUTE($E2845," ","")))</f>
        <v/>
      </c>
      <c r="K2845" s="10" t="str">
        <f aca="false">IF($A2845="","",$G2845&amp;"|"&amp;$J2845)</f>
        <v/>
      </c>
      <c r="L2845" s="10" t="str">
        <f aca="false">IF($A2845="","",ROW()-2)</f>
        <v/>
      </c>
      <c r="M2845" s="10" t="str">
        <f aca="false">IF($A2845="","",ROW())</f>
        <v/>
      </c>
    </row>
    <row r="2846" customFormat="false" ht="15" hidden="false" customHeight="true" outlineLevel="0" collapsed="false">
      <c r="A2846" s="8"/>
      <c r="B2846" s="8"/>
      <c r="C2846" s="8"/>
      <c r="D2846" s="8"/>
      <c r="E2846" s="8"/>
      <c r="F2846" s="8"/>
      <c r="G2846" s="10" t="str">
        <f aca="false">IF($A2846="","",UPPER(SUBSTITUTE(SUBSTITUTE(SUBSTITUTE(SUBSTITUTE($A2846," ",""),"(주)",""),"주식회사",""),"㈜","")))</f>
        <v/>
      </c>
      <c r="H2846" s="10" t="str">
        <f aca="false">IF($B2846="","",SUBSTITUTE(SUBSTITUTE(SUBSTITUTE($B2846,"-","")," ",""),".",""))</f>
        <v/>
      </c>
      <c r="I2846" s="10" t="str">
        <f aca="false">IF($D2846="","",SUBSTITUTE(SUBSTITUTE(SUBSTITUTE($D2846,"-","")," ",""),".",""))</f>
        <v/>
      </c>
      <c r="J2846" s="10" t="str">
        <f aca="false">IF($E2846="","",UPPER(SUBSTITUTE($E2846," ","")))</f>
        <v/>
      </c>
      <c r="K2846" s="10" t="str">
        <f aca="false">IF($A2846="","",$G2846&amp;"|"&amp;$J2846)</f>
        <v/>
      </c>
      <c r="L2846" s="10" t="str">
        <f aca="false">IF($A2846="","",ROW()-2)</f>
        <v/>
      </c>
      <c r="M2846" s="10" t="str">
        <f aca="false">IF($A2846="","",ROW())</f>
        <v/>
      </c>
    </row>
    <row r="2847" customFormat="false" ht="15" hidden="false" customHeight="true" outlineLevel="0" collapsed="false">
      <c r="A2847" s="8"/>
      <c r="B2847" s="8"/>
      <c r="C2847" s="8"/>
      <c r="D2847" s="8"/>
      <c r="E2847" s="8"/>
      <c r="F2847" s="8"/>
      <c r="G2847" s="10" t="str">
        <f aca="false">IF($A2847="","",UPPER(SUBSTITUTE(SUBSTITUTE(SUBSTITUTE(SUBSTITUTE($A2847," ",""),"(주)",""),"주식회사",""),"㈜","")))</f>
        <v/>
      </c>
      <c r="H2847" s="10" t="str">
        <f aca="false">IF($B2847="","",SUBSTITUTE(SUBSTITUTE(SUBSTITUTE($B2847,"-","")," ",""),".",""))</f>
        <v/>
      </c>
      <c r="I2847" s="10" t="str">
        <f aca="false">IF($D2847="","",SUBSTITUTE(SUBSTITUTE(SUBSTITUTE($D2847,"-","")," ",""),".",""))</f>
        <v/>
      </c>
      <c r="J2847" s="10" t="str">
        <f aca="false">IF($E2847="","",UPPER(SUBSTITUTE($E2847," ","")))</f>
        <v/>
      </c>
      <c r="K2847" s="10" t="str">
        <f aca="false">IF($A2847="","",$G2847&amp;"|"&amp;$J2847)</f>
        <v/>
      </c>
      <c r="L2847" s="10" t="str">
        <f aca="false">IF($A2847="","",ROW()-2)</f>
        <v/>
      </c>
      <c r="M2847" s="10" t="str">
        <f aca="false">IF($A2847="","",ROW())</f>
        <v/>
      </c>
    </row>
    <row r="2848" customFormat="false" ht="15" hidden="false" customHeight="true" outlineLevel="0" collapsed="false">
      <c r="A2848" s="8"/>
      <c r="B2848" s="8"/>
      <c r="C2848" s="8"/>
      <c r="D2848" s="8"/>
      <c r="E2848" s="8"/>
      <c r="F2848" s="8"/>
      <c r="G2848" s="10" t="str">
        <f aca="false">IF($A2848="","",UPPER(SUBSTITUTE(SUBSTITUTE(SUBSTITUTE(SUBSTITUTE($A2848," ",""),"(주)",""),"주식회사",""),"㈜","")))</f>
        <v/>
      </c>
      <c r="H2848" s="10" t="str">
        <f aca="false">IF($B2848="","",SUBSTITUTE(SUBSTITUTE(SUBSTITUTE($B2848,"-","")," ",""),".",""))</f>
        <v/>
      </c>
      <c r="I2848" s="10" t="str">
        <f aca="false">IF($D2848="","",SUBSTITUTE(SUBSTITUTE(SUBSTITUTE($D2848,"-","")," ",""),".",""))</f>
        <v/>
      </c>
      <c r="J2848" s="10" t="str">
        <f aca="false">IF($E2848="","",UPPER(SUBSTITUTE($E2848," ","")))</f>
        <v/>
      </c>
      <c r="K2848" s="10" t="str">
        <f aca="false">IF($A2848="","",$G2848&amp;"|"&amp;$J2848)</f>
        <v/>
      </c>
      <c r="L2848" s="10" t="str">
        <f aca="false">IF($A2848="","",ROW()-2)</f>
        <v/>
      </c>
      <c r="M2848" s="10" t="str">
        <f aca="false">IF($A2848="","",ROW())</f>
        <v/>
      </c>
    </row>
    <row r="2849" customFormat="false" ht="15" hidden="false" customHeight="true" outlineLevel="0" collapsed="false">
      <c r="A2849" s="8"/>
      <c r="B2849" s="8"/>
      <c r="C2849" s="8"/>
      <c r="D2849" s="8"/>
      <c r="E2849" s="8"/>
      <c r="F2849" s="8"/>
      <c r="G2849" s="10" t="str">
        <f aca="false">IF($A2849="","",UPPER(SUBSTITUTE(SUBSTITUTE(SUBSTITUTE(SUBSTITUTE($A2849," ",""),"(주)",""),"주식회사",""),"㈜","")))</f>
        <v/>
      </c>
      <c r="H2849" s="10" t="str">
        <f aca="false">IF($B2849="","",SUBSTITUTE(SUBSTITUTE(SUBSTITUTE($B2849,"-","")," ",""),".",""))</f>
        <v/>
      </c>
      <c r="I2849" s="10" t="str">
        <f aca="false">IF($D2849="","",SUBSTITUTE(SUBSTITUTE(SUBSTITUTE($D2849,"-","")," ",""),".",""))</f>
        <v/>
      </c>
      <c r="J2849" s="10" t="str">
        <f aca="false">IF($E2849="","",UPPER(SUBSTITUTE($E2849," ","")))</f>
        <v/>
      </c>
      <c r="K2849" s="10" t="str">
        <f aca="false">IF($A2849="","",$G2849&amp;"|"&amp;$J2849)</f>
        <v/>
      </c>
      <c r="L2849" s="10" t="str">
        <f aca="false">IF($A2849="","",ROW()-2)</f>
        <v/>
      </c>
      <c r="M2849" s="10" t="str">
        <f aca="false">IF($A2849="","",ROW())</f>
        <v/>
      </c>
    </row>
    <row r="2850" customFormat="false" ht="15" hidden="false" customHeight="true" outlineLevel="0" collapsed="false">
      <c r="A2850" s="8"/>
      <c r="B2850" s="8"/>
      <c r="C2850" s="8"/>
      <c r="D2850" s="8"/>
      <c r="E2850" s="8"/>
      <c r="F2850" s="8"/>
      <c r="G2850" s="10" t="str">
        <f aca="false">IF($A2850="","",UPPER(SUBSTITUTE(SUBSTITUTE(SUBSTITUTE(SUBSTITUTE($A2850," ",""),"(주)",""),"주식회사",""),"㈜","")))</f>
        <v/>
      </c>
      <c r="H2850" s="10" t="str">
        <f aca="false">IF($B2850="","",SUBSTITUTE(SUBSTITUTE(SUBSTITUTE($B2850,"-","")," ",""),".",""))</f>
        <v/>
      </c>
      <c r="I2850" s="10" t="str">
        <f aca="false">IF($D2850="","",SUBSTITUTE(SUBSTITUTE(SUBSTITUTE($D2850,"-","")," ",""),".",""))</f>
        <v/>
      </c>
      <c r="J2850" s="10" t="str">
        <f aca="false">IF($E2850="","",UPPER(SUBSTITUTE($E2850," ","")))</f>
        <v/>
      </c>
      <c r="K2850" s="10" t="str">
        <f aca="false">IF($A2850="","",$G2850&amp;"|"&amp;$J2850)</f>
        <v/>
      </c>
      <c r="L2850" s="10" t="str">
        <f aca="false">IF($A2850="","",ROW()-2)</f>
        <v/>
      </c>
      <c r="M2850" s="10" t="str">
        <f aca="false">IF($A2850="","",ROW())</f>
        <v/>
      </c>
    </row>
    <row r="2851" customFormat="false" ht="15" hidden="false" customHeight="true" outlineLevel="0" collapsed="false">
      <c r="A2851" s="8"/>
      <c r="B2851" s="8"/>
      <c r="C2851" s="8"/>
      <c r="D2851" s="8"/>
      <c r="E2851" s="8"/>
      <c r="F2851" s="8"/>
      <c r="G2851" s="10" t="str">
        <f aca="false">IF($A2851="","",UPPER(SUBSTITUTE(SUBSTITUTE(SUBSTITUTE(SUBSTITUTE($A2851," ",""),"(주)",""),"주식회사",""),"㈜","")))</f>
        <v/>
      </c>
      <c r="H2851" s="10" t="str">
        <f aca="false">IF($B2851="","",SUBSTITUTE(SUBSTITUTE(SUBSTITUTE($B2851,"-","")," ",""),".",""))</f>
        <v/>
      </c>
      <c r="I2851" s="10" t="str">
        <f aca="false">IF($D2851="","",SUBSTITUTE(SUBSTITUTE(SUBSTITUTE($D2851,"-","")," ",""),".",""))</f>
        <v/>
      </c>
      <c r="J2851" s="10" t="str">
        <f aca="false">IF($E2851="","",UPPER(SUBSTITUTE($E2851," ","")))</f>
        <v/>
      </c>
      <c r="K2851" s="10" t="str">
        <f aca="false">IF($A2851="","",$G2851&amp;"|"&amp;$J2851)</f>
        <v/>
      </c>
      <c r="L2851" s="10" t="str">
        <f aca="false">IF($A2851="","",ROW()-2)</f>
        <v/>
      </c>
      <c r="M2851" s="10" t="str">
        <f aca="false">IF($A2851="","",ROW())</f>
        <v/>
      </c>
    </row>
    <row r="2852" customFormat="false" ht="15" hidden="false" customHeight="true" outlineLevel="0" collapsed="false">
      <c r="A2852" s="8"/>
      <c r="B2852" s="8"/>
      <c r="C2852" s="8"/>
      <c r="D2852" s="8"/>
      <c r="E2852" s="8"/>
      <c r="F2852" s="8"/>
      <c r="G2852" s="10" t="str">
        <f aca="false">IF($A2852="","",UPPER(SUBSTITUTE(SUBSTITUTE(SUBSTITUTE(SUBSTITUTE($A2852," ",""),"(주)",""),"주식회사",""),"㈜","")))</f>
        <v/>
      </c>
      <c r="H2852" s="10" t="str">
        <f aca="false">IF($B2852="","",SUBSTITUTE(SUBSTITUTE(SUBSTITUTE($B2852,"-","")," ",""),".",""))</f>
        <v/>
      </c>
      <c r="I2852" s="10" t="str">
        <f aca="false">IF($D2852="","",SUBSTITUTE(SUBSTITUTE(SUBSTITUTE($D2852,"-","")," ",""),".",""))</f>
        <v/>
      </c>
      <c r="J2852" s="10" t="str">
        <f aca="false">IF($E2852="","",UPPER(SUBSTITUTE($E2852," ","")))</f>
        <v/>
      </c>
      <c r="K2852" s="10" t="str">
        <f aca="false">IF($A2852="","",$G2852&amp;"|"&amp;$J2852)</f>
        <v/>
      </c>
      <c r="L2852" s="10" t="str">
        <f aca="false">IF($A2852="","",ROW()-2)</f>
        <v/>
      </c>
      <c r="M2852" s="10" t="str">
        <f aca="false">IF($A2852="","",ROW())</f>
        <v/>
      </c>
    </row>
    <row r="2853" customFormat="false" ht="15" hidden="false" customHeight="true" outlineLevel="0" collapsed="false">
      <c r="A2853" s="8"/>
      <c r="B2853" s="8"/>
      <c r="C2853" s="8"/>
      <c r="D2853" s="8"/>
      <c r="E2853" s="8"/>
      <c r="F2853" s="8"/>
      <c r="G2853" s="10" t="str">
        <f aca="false">IF($A2853="","",UPPER(SUBSTITUTE(SUBSTITUTE(SUBSTITUTE(SUBSTITUTE($A2853," ",""),"(주)",""),"주식회사",""),"㈜","")))</f>
        <v/>
      </c>
      <c r="H2853" s="10" t="str">
        <f aca="false">IF($B2853="","",SUBSTITUTE(SUBSTITUTE(SUBSTITUTE($B2853,"-","")," ",""),".",""))</f>
        <v/>
      </c>
      <c r="I2853" s="10" t="str">
        <f aca="false">IF($D2853="","",SUBSTITUTE(SUBSTITUTE(SUBSTITUTE($D2853,"-","")," ",""),".",""))</f>
        <v/>
      </c>
      <c r="J2853" s="10" t="str">
        <f aca="false">IF($E2853="","",UPPER(SUBSTITUTE($E2853," ","")))</f>
        <v/>
      </c>
      <c r="K2853" s="10" t="str">
        <f aca="false">IF($A2853="","",$G2853&amp;"|"&amp;$J2853)</f>
        <v/>
      </c>
      <c r="L2853" s="10" t="str">
        <f aca="false">IF($A2853="","",ROW()-2)</f>
        <v/>
      </c>
      <c r="M2853" s="10" t="str">
        <f aca="false">IF($A2853="","",ROW())</f>
        <v/>
      </c>
    </row>
    <row r="2854" customFormat="false" ht="15" hidden="false" customHeight="true" outlineLevel="0" collapsed="false">
      <c r="A2854" s="8"/>
      <c r="B2854" s="8"/>
      <c r="C2854" s="8"/>
      <c r="D2854" s="8"/>
      <c r="E2854" s="8"/>
      <c r="F2854" s="8"/>
      <c r="G2854" s="10" t="str">
        <f aca="false">IF($A2854="","",UPPER(SUBSTITUTE(SUBSTITUTE(SUBSTITUTE(SUBSTITUTE($A2854," ",""),"(주)",""),"주식회사",""),"㈜","")))</f>
        <v/>
      </c>
      <c r="H2854" s="10" t="str">
        <f aca="false">IF($B2854="","",SUBSTITUTE(SUBSTITUTE(SUBSTITUTE($B2854,"-","")," ",""),".",""))</f>
        <v/>
      </c>
      <c r="I2854" s="10" t="str">
        <f aca="false">IF($D2854="","",SUBSTITUTE(SUBSTITUTE(SUBSTITUTE($D2854,"-","")," ",""),".",""))</f>
        <v/>
      </c>
      <c r="J2854" s="10" t="str">
        <f aca="false">IF($E2854="","",UPPER(SUBSTITUTE($E2854," ","")))</f>
        <v/>
      </c>
      <c r="K2854" s="10" t="str">
        <f aca="false">IF($A2854="","",$G2854&amp;"|"&amp;$J2854)</f>
        <v/>
      </c>
      <c r="L2854" s="10" t="str">
        <f aca="false">IF($A2854="","",ROW()-2)</f>
        <v/>
      </c>
      <c r="M2854" s="10" t="str">
        <f aca="false">IF($A2854="","",ROW())</f>
        <v/>
      </c>
    </row>
    <row r="2855" customFormat="false" ht="15" hidden="false" customHeight="true" outlineLevel="0" collapsed="false">
      <c r="A2855" s="8"/>
      <c r="B2855" s="8"/>
      <c r="C2855" s="8"/>
      <c r="D2855" s="8"/>
      <c r="E2855" s="8"/>
      <c r="F2855" s="8"/>
      <c r="G2855" s="10" t="str">
        <f aca="false">IF($A2855="","",UPPER(SUBSTITUTE(SUBSTITUTE(SUBSTITUTE(SUBSTITUTE($A2855," ",""),"(주)",""),"주식회사",""),"㈜","")))</f>
        <v/>
      </c>
      <c r="H2855" s="10" t="str">
        <f aca="false">IF($B2855="","",SUBSTITUTE(SUBSTITUTE(SUBSTITUTE($B2855,"-","")," ",""),".",""))</f>
        <v/>
      </c>
      <c r="I2855" s="10" t="str">
        <f aca="false">IF($D2855="","",SUBSTITUTE(SUBSTITUTE(SUBSTITUTE($D2855,"-","")," ",""),".",""))</f>
        <v/>
      </c>
      <c r="J2855" s="10" t="str">
        <f aca="false">IF($E2855="","",UPPER(SUBSTITUTE($E2855," ","")))</f>
        <v/>
      </c>
      <c r="K2855" s="10" t="str">
        <f aca="false">IF($A2855="","",$G2855&amp;"|"&amp;$J2855)</f>
        <v/>
      </c>
      <c r="L2855" s="10" t="str">
        <f aca="false">IF($A2855="","",ROW()-2)</f>
        <v/>
      </c>
      <c r="M2855" s="10" t="str">
        <f aca="false">IF($A2855="","",ROW())</f>
        <v/>
      </c>
    </row>
    <row r="2856" customFormat="false" ht="15" hidden="false" customHeight="true" outlineLevel="0" collapsed="false">
      <c r="A2856" s="8"/>
      <c r="B2856" s="8"/>
      <c r="C2856" s="8"/>
      <c r="D2856" s="8"/>
      <c r="E2856" s="8"/>
      <c r="F2856" s="8"/>
      <c r="G2856" s="10" t="str">
        <f aca="false">IF($A2856="","",UPPER(SUBSTITUTE(SUBSTITUTE(SUBSTITUTE(SUBSTITUTE($A2856," ",""),"(주)",""),"주식회사",""),"㈜","")))</f>
        <v/>
      </c>
      <c r="H2856" s="10" t="str">
        <f aca="false">IF($B2856="","",SUBSTITUTE(SUBSTITUTE(SUBSTITUTE($B2856,"-","")," ",""),".",""))</f>
        <v/>
      </c>
      <c r="I2856" s="10" t="str">
        <f aca="false">IF($D2856="","",SUBSTITUTE(SUBSTITUTE(SUBSTITUTE($D2856,"-","")," ",""),".",""))</f>
        <v/>
      </c>
      <c r="J2856" s="10" t="str">
        <f aca="false">IF($E2856="","",UPPER(SUBSTITUTE($E2856," ","")))</f>
        <v/>
      </c>
      <c r="K2856" s="10" t="str">
        <f aca="false">IF($A2856="","",$G2856&amp;"|"&amp;$J2856)</f>
        <v/>
      </c>
      <c r="L2856" s="10" t="str">
        <f aca="false">IF($A2856="","",ROW()-2)</f>
        <v/>
      </c>
      <c r="M2856" s="10" t="str">
        <f aca="false">IF($A2856="","",ROW())</f>
        <v/>
      </c>
    </row>
    <row r="2857" customFormat="false" ht="15" hidden="false" customHeight="true" outlineLevel="0" collapsed="false">
      <c r="A2857" s="8"/>
      <c r="B2857" s="8"/>
      <c r="C2857" s="8"/>
      <c r="D2857" s="8"/>
      <c r="E2857" s="8"/>
      <c r="F2857" s="8"/>
      <c r="G2857" s="10" t="str">
        <f aca="false">IF($A2857="","",UPPER(SUBSTITUTE(SUBSTITUTE(SUBSTITUTE(SUBSTITUTE($A2857," ",""),"(주)",""),"주식회사",""),"㈜","")))</f>
        <v/>
      </c>
      <c r="H2857" s="10" t="str">
        <f aca="false">IF($B2857="","",SUBSTITUTE(SUBSTITUTE(SUBSTITUTE($B2857,"-","")," ",""),".",""))</f>
        <v/>
      </c>
      <c r="I2857" s="10" t="str">
        <f aca="false">IF($D2857="","",SUBSTITUTE(SUBSTITUTE(SUBSTITUTE($D2857,"-","")," ",""),".",""))</f>
        <v/>
      </c>
      <c r="J2857" s="10" t="str">
        <f aca="false">IF($E2857="","",UPPER(SUBSTITUTE($E2857," ","")))</f>
        <v/>
      </c>
      <c r="K2857" s="10" t="str">
        <f aca="false">IF($A2857="","",$G2857&amp;"|"&amp;$J2857)</f>
        <v/>
      </c>
      <c r="L2857" s="10" t="str">
        <f aca="false">IF($A2857="","",ROW()-2)</f>
        <v/>
      </c>
      <c r="M2857" s="10" t="str">
        <f aca="false">IF($A2857="","",ROW())</f>
        <v/>
      </c>
    </row>
    <row r="2858" customFormat="false" ht="15" hidden="false" customHeight="true" outlineLevel="0" collapsed="false">
      <c r="A2858" s="8"/>
      <c r="B2858" s="8"/>
      <c r="C2858" s="8"/>
      <c r="D2858" s="8"/>
      <c r="E2858" s="8"/>
      <c r="F2858" s="8"/>
      <c r="G2858" s="10" t="str">
        <f aca="false">IF($A2858="","",UPPER(SUBSTITUTE(SUBSTITUTE(SUBSTITUTE(SUBSTITUTE($A2858," ",""),"(주)",""),"주식회사",""),"㈜","")))</f>
        <v/>
      </c>
      <c r="H2858" s="10" t="str">
        <f aca="false">IF($B2858="","",SUBSTITUTE(SUBSTITUTE(SUBSTITUTE($B2858,"-","")," ",""),".",""))</f>
        <v/>
      </c>
      <c r="I2858" s="10" t="str">
        <f aca="false">IF($D2858="","",SUBSTITUTE(SUBSTITUTE(SUBSTITUTE($D2858,"-","")," ",""),".",""))</f>
        <v/>
      </c>
      <c r="J2858" s="10" t="str">
        <f aca="false">IF($E2858="","",UPPER(SUBSTITUTE($E2858," ","")))</f>
        <v/>
      </c>
      <c r="K2858" s="10" t="str">
        <f aca="false">IF($A2858="","",$G2858&amp;"|"&amp;$J2858)</f>
        <v/>
      </c>
      <c r="L2858" s="10" t="str">
        <f aca="false">IF($A2858="","",ROW()-2)</f>
        <v/>
      </c>
      <c r="M2858" s="10" t="str">
        <f aca="false">IF($A2858="","",ROW())</f>
        <v/>
      </c>
    </row>
    <row r="2859" customFormat="false" ht="15" hidden="false" customHeight="true" outlineLevel="0" collapsed="false">
      <c r="A2859" s="8"/>
      <c r="B2859" s="8"/>
      <c r="C2859" s="8"/>
      <c r="D2859" s="8"/>
      <c r="E2859" s="8"/>
      <c r="F2859" s="8"/>
      <c r="G2859" s="10" t="str">
        <f aca="false">IF($A2859="","",UPPER(SUBSTITUTE(SUBSTITUTE(SUBSTITUTE(SUBSTITUTE($A2859," ",""),"(주)",""),"주식회사",""),"㈜","")))</f>
        <v/>
      </c>
      <c r="H2859" s="10" t="str">
        <f aca="false">IF($B2859="","",SUBSTITUTE(SUBSTITUTE(SUBSTITUTE($B2859,"-","")," ",""),".",""))</f>
        <v/>
      </c>
      <c r="I2859" s="10" t="str">
        <f aca="false">IF($D2859="","",SUBSTITUTE(SUBSTITUTE(SUBSTITUTE($D2859,"-","")," ",""),".",""))</f>
        <v/>
      </c>
      <c r="J2859" s="10" t="str">
        <f aca="false">IF($E2859="","",UPPER(SUBSTITUTE($E2859," ","")))</f>
        <v/>
      </c>
      <c r="K2859" s="10" t="str">
        <f aca="false">IF($A2859="","",$G2859&amp;"|"&amp;$J2859)</f>
        <v/>
      </c>
      <c r="L2859" s="10" t="str">
        <f aca="false">IF($A2859="","",ROW()-2)</f>
        <v/>
      </c>
      <c r="M2859" s="10" t="str">
        <f aca="false">IF($A2859="","",ROW())</f>
        <v/>
      </c>
    </row>
    <row r="2860" customFormat="false" ht="15" hidden="false" customHeight="true" outlineLevel="0" collapsed="false">
      <c r="A2860" s="8"/>
      <c r="B2860" s="8"/>
      <c r="C2860" s="8"/>
      <c r="D2860" s="8"/>
      <c r="E2860" s="8"/>
      <c r="F2860" s="8"/>
      <c r="G2860" s="10" t="str">
        <f aca="false">IF($A2860="","",UPPER(SUBSTITUTE(SUBSTITUTE(SUBSTITUTE(SUBSTITUTE($A2860," ",""),"(주)",""),"주식회사",""),"㈜","")))</f>
        <v/>
      </c>
      <c r="H2860" s="10" t="str">
        <f aca="false">IF($B2860="","",SUBSTITUTE(SUBSTITUTE(SUBSTITUTE($B2860,"-","")," ",""),".",""))</f>
        <v/>
      </c>
      <c r="I2860" s="10" t="str">
        <f aca="false">IF($D2860="","",SUBSTITUTE(SUBSTITUTE(SUBSTITUTE($D2860,"-","")," ",""),".",""))</f>
        <v/>
      </c>
      <c r="J2860" s="10" t="str">
        <f aca="false">IF($E2860="","",UPPER(SUBSTITUTE($E2860," ","")))</f>
        <v/>
      </c>
      <c r="K2860" s="10" t="str">
        <f aca="false">IF($A2860="","",$G2860&amp;"|"&amp;$J2860)</f>
        <v/>
      </c>
      <c r="L2860" s="10" t="str">
        <f aca="false">IF($A2860="","",ROW()-2)</f>
        <v/>
      </c>
      <c r="M2860" s="10" t="str">
        <f aca="false">IF($A2860="","",ROW())</f>
        <v/>
      </c>
    </row>
    <row r="2861" customFormat="false" ht="15" hidden="false" customHeight="true" outlineLevel="0" collapsed="false">
      <c r="A2861" s="8"/>
      <c r="B2861" s="8"/>
      <c r="C2861" s="8"/>
      <c r="D2861" s="8"/>
      <c r="E2861" s="8"/>
      <c r="F2861" s="8"/>
      <c r="G2861" s="10" t="str">
        <f aca="false">IF($A2861="","",UPPER(SUBSTITUTE(SUBSTITUTE(SUBSTITUTE(SUBSTITUTE($A2861," ",""),"(주)",""),"주식회사",""),"㈜","")))</f>
        <v/>
      </c>
      <c r="H2861" s="10" t="str">
        <f aca="false">IF($B2861="","",SUBSTITUTE(SUBSTITUTE(SUBSTITUTE($B2861,"-","")," ",""),".",""))</f>
        <v/>
      </c>
      <c r="I2861" s="10" t="str">
        <f aca="false">IF($D2861="","",SUBSTITUTE(SUBSTITUTE(SUBSTITUTE($D2861,"-","")," ",""),".",""))</f>
        <v/>
      </c>
      <c r="J2861" s="10" t="str">
        <f aca="false">IF($E2861="","",UPPER(SUBSTITUTE($E2861," ","")))</f>
        <v/>
      </c>
      <c r="K2861" s="10" t="str">
        <f aca="false">IF($A2861="","",$G2861&amp;"|"&amp;$J2861)</f>
        <v/>
      </c>
      <c r="L2861" s="10" t="str">
        <f aca="false">IF($A2861="","",ROW()-2)</f>
        <v/>
      </c>
      <c r="M2861" s="10" t="str">
        <f aca="false">IF($A2861="","",ROW())</f>
        <v/>
      </c>
    </row>
    <row r="2862" customFormat="false" ht="15" hidden="false" customHeight="true" outlineLevel="0" collapsed="false">
      <c r="A2862" s="8"/>
      <c r="B2862" s="8"/>
      <c r="C2862" s="8"/>
      <c r="D2862" s="8"/>
      <c r="E2862" s="8"/>
      <c r="F2862" s="8"/>
      <c r="G2862" s="10" t="str">
        <f aca="false">IF($A2862="","",UPPER(SUBSTITUTE(SUBSTITUTE(SUBSTITUTE(SUBSTITUTE($A2862," ",""),"(주)",""),"주식회사",""),"㈜","")))</f>
        <v/>
      </c>
      <c r="H2862" s="10" t="str">
        <f aca="false">IF($B2862="","",SUBSTITUTE(SUBSTITUTE(SUBSTITUTE($B2862,"-","")," ",""),".",""))</f>
        <v/>
      </c>
      <c r="I2862" s="10" t="str">
        <f aca="false">IF($D2862="","",SUBSTITUTE(SUBSTITUTE(SUBSTITUTE($D2862,"-","")," ",""),".",""))</f>
        <v/>
      </c>
      <c r="J2862" s="10" t="str">
        <f aca="false">IF($E2862="","",UPPER(SUBSTITUTE($E2862," ","")))</f>
        <v/>
      </c>
      <c r="K2862" s="10" t="str">
        <f aca="false">IF($A2862="","",$G2862&amp;"|"&amp;$J2862)</f>
        <v/>
      </c>
      <c r="L2862" s="10" t="str">
        <f aca="false">IF($A2862="","",ROW()-2)</f>
        <v/>
      </c>
      <c r="M2862" s="10" t="str">
        <f aca="false">IF($A2862="","",ROW())</f>
        <v/>
      </c>
    </row>
    <row r="2863" customFormat="false" ht="15" hidden="false" customHeight="true" outlineLevel="0" collapsed="false">
      <c r="A2863" s="8"/>
      <c r="B2863" s="8"/>
      <c r="C2863" s="8"/>
      <c r="D2863" s="8"/>
      <c r="E2863" s="8"/>
      <c r="F2863" s="8"/>
      <c r="G2863" s="10" t="str">
        <f aca="false">IF($A2863="","",UPPER(SUBSTITUTE(SUBSTITUTE(SUBSTITUTE(SUBSTITUTE($A2863," ",""),"(주)",""),"주식회사",""),"㈜","")))</f>
        <v/>
      </c>
      <c r="H2863" s="10" t="str">
        <f aca="false">IF($B2863="","",SUBSTITUTE(SUBSTITUTE(SUBSTITUTE($B2863,"-","")," ",""),".",""))</f>
        <v/>
      </c>
      <c r="I2863" s="10" t="str">
        <f aca="false">IF($D2863="","",SUBSTITUTE(SUBSTITUTE(SUBSTITUTE($D2863,"-","")," ",""),".",""))</f>
        <v/>
      </c>
      <c r="J2863" s="10" t="str">
        <f aca="false">IF($E2863="","",UPPER(SUBSTITUTE($E2863," ","")))</f>
        <v/>
      </c>
      <c r="K2863" s="10" t="str">
        <f aca="false">IF($A2863="","",$G2863&amp;"|"&amp;$J2863)</f>
        <v/>
      </c>
      <c r="L2863" s="10" t="str">
        <f aca="false">IF($A2863="","",ROW()-2)</f>
        <v/>
      </c>
      <c r="M2863" s="10" t="str">
        <f aca="false">IF($A2863="","",ROW())</f>
        <v/>
      </c>
    </row>
    <row r="2864" customFormat="false" ht="15" hidden="false" customHeight="true" outlineLevel="0" collapsed="false">
      <c r="A2864" s="8"/>
      <c r="B2864" s="8"/>
      <c r="C2864" s="8"/>
      <c r="D2864" s="8"/>
      <c r="E2864" s="8"/>
      <c r="F2864" s="8"/>
      <c r="G2864" s="10" t="str">
        <f aca="false">IF($A2864="","",UPPER(SUBSTITUTE(SUBSTITUTE(SUBSTITUTE(SUBSTITUTE($A2864," ",""),"(주)",""),"주식회사",""),"㈜","")))</f>
        <v/>
      </c>
      <c r="H2864" s="10" t="str">
        <f aca="false">IF($B2864="","",SUBSTITUTE(SUBSTITUTE(SUBSTITUTE($B2864,"-","")," ",""),".",""))</f>
        <v/>
      </c>
      <c r="I2864" s="10" t="str">
        <f aca="false">IF($D2864="","",SUBSTITUTE(SUBSTITUTE(SUBSTITUTE($D2864,"-","")," ",""),".",""))</f>
        <v/>
      </c>
      <c r="J2864" s="10" t="str">
        <f aca="false">IF($E2864="","",UPPER(SUBSTITUTE($E2864," ","")))</f>
        <v/>
      </c>
      <c r="K2864" s="10" t="str">
        <f aca="false">IF($A2864="","",$G2864&amp;"|"&amp;$J2864)</f>
        <v/>
      </c>
      <c r="L2864" s="10" t="str">
        <f aca="false">IF($A2864="","",ROW()-2)</f>
        <v/>
      </c>
      <c r="M2864" s="10" t="str">
        <f aca="false">IF($A2864="","",ROW())</f>
        <v/>
      </c>
    </row>
    <row r="2865" customFormat="false" ht="15" hidden="false" customHeight="true" outlineLevel="0" collapsed="false">
      <c r="A2865" s="8"/>
      <c r="B2865" s="8"/>
      <c r="C2865" s="8"/>
      <c r="D2865" s="8"/>
      <c r="E2865" s="8"/>
      <c r="F2865" s="8"/>
      <c r="G2865" s="10" t="str">
        <f aca="false">IF($A2865="","",UPPER(SUBSTITUTE(SUBSTITUTE(SUBSTITUTE(SUBSTITUTE($A2865," ",""),"(주)",""),"주식회사",""),"㈜","")))</f>
        <v/>
      </c>
      <c r="H2865" s="10" t="str">
        <f aca="false">IF($B2865="","",SUBSTITUTE(SUBSTITUTE(SUBSTITUTE($B2865,"-","")," ",""),".",""))</f>
        <v/>
      </c>
      <c r="I2865" s="10" t="str">
        <f aca="false">IF($D2865="","",SUBSTITUTE(SUBSTITUTE(SUBSTITUTE($D2865,"-","")," ",""),".",""))</f>
        <v/>
      </c>
      <c r="J2865" s="10" t="str">
        <f aca="false">IF($E2865="","",UPPER(SUBSTITUTE($E2865," ","")))</f>
        <v/>
      </c>
      <c r="K2865" s="10" t="str">
        <f aca="false">IF($A2865="","",$G2865&amp;"|"&amp;$J2865)</f>
        <v/>
      </c>
      <c r="L2865" s="10" t="str">
        <f aca="false">IF($A2865="","",ROW()-2)</f>
        <v/>
      </c>
      <c r="M2865" s="10" t="str">
        <f aca="false">IF($A2865="","",ROW())</f>
        <v/>
      </c>
    </row>
    <row r="2866" customFormat="false" ht="15" hidden="false" customHeight="true" outlineLevel="0" collapsed="false">
      <c r="A2866" s="8"/>
      <c r="B2866" s="8"/>
      <c r="C2866" s="8"/>
      <c r="D2866" s="8"/>
      <c r="E2866" s="8"/>
      <c r="F2866" s="8"/>
      <c r="G2866" s="10" t="str">
        <f aca="false">IF($A2866="","",UPPER(SUBSTITUTE(SUBSTITUTE(SUBSTITUTE(SUBSTITUTE($A2866," ",""),"(주)",""),"주식회사",""),"㈜","")))</f>
        <v/>
      </c>
      <c r="H2866" s="10" t="str">
        <f aca="false">IF($B2866="","",SUBSTITUTE(SUBSTITUTE(SUBSTITUTE($B2866,"-","")," ",""),".",""))</f>
        <v/>
      </c>
      <c r="I2866" s="10" t="str">
        <f aca="false">IF($D2866="","",SUBSTITUTE(SUBSTITUTE(SUBSTITUTE($D2866,"-","")," ",""),".",""))</f>
        <v/>
      </c>
      <c r="J2866" s="10" t="str">
        <f aca="false">IF($E2866="","",UPPER(SUBSTITUTE($E2866," ","")))</f>
        <v/>
      </c>
      <c r="K2866" s="10" t="str">
        <f aca="false">IF($A2866="","",$G2866&amp;"|"&amp;$J2866)</f>
        <v/>
      </c>
      <c r="L2866" s="10" t="str">
        <f aca="false">IF($A2866="","",ROW()-2)</f>
        <v/>
      </c>
      <c r="M2866" s="10" t="str">
        <f aca="false">IF($A2866="","",ROW())</f>
        <v/>
      </c>
    </row>
    <row r="2867" customFormat="false" ht="15" hidden="false" customHeight="true" outlineLevel="0" collapsed="false">
      <c r="A2867" s="8"/>
      <c r="B2867" s="8"/>
      <c r="C2867" s="8"/>
      <c r="D2867" s="8"/>
      <c r="E2867" s="8"/>
      <c r="F2867" s="8"/>
      <c r="G2867" s="10" t="str">
        <f aca="false">IF($A2867="","",UPPER(SUBSTITUTE(SUBSTITUTE(SUBSTITUTE(SUBSTITUTE($A2867," ",""),"(주)",""),"주식회사",""),"㈜","")))</f>
        <v/>
      </c>
      <c r="H2867" s="10" t="str">
        <f aca="false">IF($B2867="","",SUBSTITUTE(SUBSTITUTE(SUBSTITUTE($B2867,"-","")," ",""),".",""))</f>
        <v/>
      </c>
      <c r="I2867" s="10" t="str">
        <f aca="false">IF($D2867="","",SUBSTITUTE(SUBSTITUTE(SUBSTITUTE($D2867,"-","")," ",""),".",""))</f>
        <v/>
      </c>
      <c r="J2867" s="10" t="str">
        <f aca="false">IF($E2867="","",UPPER(SUBSTITUTE($E2867," ","")))</f>
        <v/>
      </c>
      <c r="K2867" s="10" t="str">
        <f aca="false">IF($A2867="","",$G2867&amp;"|"&amp;$J2867)</f>
        <v/>
      </c>
      <c r="L2867" s="10" t="str">
        <f aca="false">IF($A2867="","",ROW()-2)</f>
        <v/>
      </c>
      <c r="M2867" s="10" t="str">
        <f aca="false">IF($A2867="","",ROW())</f>
        <v/>
      </c>
    </row>
    <row r="2868" customFormat="false" ht="15" hidden="false" customHeight="true" outlineLevel="0" collapsed="false">
      <c r="A2868" s="8"/>
      <c r="B2868" s="8"/>
      <c r="C2868" s="8"/>
      <c r="D2868" s="8"/>
      <c r="E2868" s="8"/>
      <c r="F2868" s="8"/>
      <c r="G2868" s="10" t="str">
        <f aca="false">IF($A2868="","",UPPER(SUBSTITUTE(SUBSTITUTE(SUBSTITUTE(SUBSTITUTE($A2868," ",""),"(주)",""),"주식회사",""),"㈜","")))</f>
        <v/>
      </c>
      <c r="H2868" s="10" t="str">
        <f aca="false">IF($B2868="","",SUBSTITUTE(SUBSTITUTE(SUBSTITUTE($B2868,"-","")," ",""),".",""))</f>
        <v/>
      </c>
      <c r="I2868" s="10" t="str">
        <f aca="false">IF($D2868="","",SUBSTITUTE(SUBSTITUTE(SUBSTITUTE($D2868,"-","")," ",""),".",""))</f>
        <v/>
      </c>
      <c r="J2868" s="10" t="str">
        <f aca="false">IF($E2868="","",UPPER(SUBSTITUTE($E2868," ","")))</f>
        <v/>
      </c>
      <c r="K2868" s="10" t="str">
        <f aca="false">IF($A2868="","",$G2868&amp;"|"&amp;$J2868)</f>
        <v/>
      </c>
      <c r="L2868" s="10" t="str">
        <f aca="false">IF($A2868="","",ROW()-2)</f>
        <v/>
      </c>
      <c r="M2868" s="10" t="str">
        <f aca="false">IF($A2868="","",ROW())</f>
        <v/>
      </c>
    </row>
    <row r="2869" customFormat="false" ht="15" hidden="false" customHeight="true" outlineLevel="0" collapsed="false">
      <c r="A2869" s="8"/>
      <c r="B2869" s="8"/>
      <c r="C2869" s="8"/>
      <c r="D2869" s="8"/>
      <c r="E2869" s="8"/>
      <c r="F2869" s="8"/>
      <c r="G2869" s="10" t="str">
        <f aca="false">IF($A2869="","",UPPER(SUBSTITUTE(SUBSTITUTE(SUBSTITUTE(SUBSTITUTE($A2869," ",""),"(주)",""),"주식회사",""),"㈜","")))</f>
        <v/>
      </c>
      <c r="H2869" s="10" t="str">
        <f aca="false">IF($B2869="","",SUBSTITUTE(SUBSTITUTE(SUBSTITUTE($B2869,"-","")," ",""),".",""))</f>
        <v/>
      </c>
      <c r="I2869" s="10" t="str">
        <f aca="false">IF($D2869="","",SUBSTITUTE(SUBSTITUTE(SUBSTITUTE($D2869,"-","")," ",""),".",""))</f>
        <v/>
      </c>
      <c r="J2869" s="10" t="str">
        <f aca="false">IF($E2869="","",UPPER(SUBSTITUTE($E2869," ","")))</f>
        <v/>
      </c>
      <c r="K2869" s="10" t="str">
        <f aca="false">IF($A2869="","",$G2869&amp;"|"&amp;$J2869)</f>
        <v/>
      </c>
      <c r="L2869" s="10" t="str">
        <f aca="false">IF($A2869="","",ROW()-2)</f>
        <v/>
      </c>
      <c r="M2869" s="10" t="str">
        <f aca="false">IF($A2869="","",ROW())</f>
        <v/>
      </c>
    </row>
    <row r="2870" customFormat="false" ht="15" hidden="false" customHeight="true" outlineLevel="0" collapsed="false">
      <c r="A2870" s="8"/>
      <c r="B2870" s="8"/>
      <c r="C2870" s="8"/>
      <c r="D2870" s="8"/>
      <c r="E2870" s="8"/>
      <c r="F2870" s="8"/>
      <c r="G2870" s="10" t="str">
        <f aca="false">IF($A2870="","",UPPER(SUBSTITUTE(SUBSTITUTE(SUBSTITUTE(SUBSTITUTE($A2870," ",""),"(주)",""),"주식회사",""),"㈜","")))</f>
        <v/>
      </c>
      <c r="H2870" s="10" t="str">
        <f aca="false">IF($B2870="","",SUBSTITUTE(SUBSTITUTE(SUBSTITUTE($B2870,"-","")," ",""),".",""))</f>
        <v/>
      </c>
      <c r="I2870" s="10" t="str">
        <f aca="false">IF($D2870="","",SUBSTITUTE(SUBSTITUTE(SUBSTITUTE($D2870,"-","")," ",""),".",""))</f>
        <v/>
      </c>
      <c r="J2870" s="10" t="str">
        <f aca="false">IF($E2870="","",UPPER(SUBSTITUTE($E2870," ","")))</f>
        <v/>
      </c>
      <c r="K2870" s="10" t="str">
        <f aca="false">IF($A2870="","",$G2870&amp;"|"&amp;$J2870)</f>
        <v/>
      </c>
      <c r="L2870" s="10" t="str">
        <f aca="false">IF($A2870="","",ROW()-2)</f>
        <v/>
      </c>
      <c r="M2870" s="10" t="str">
        <f aca="false">IF($A2870="","",ROW())</f>
        <v/>
      </c>
    </row>
    <row r="2871" customFormat="false" ht="15" hidden="false" customHeight="true" outlineLevel="0" collapsed="false">
      <c r="A2871" s="8"/>
      <c r="B2871" s="8"/>
      <c r="C2871" s="8"/>
      <c r="D2871" s="8"/>
      <c r="E2871" s="8"/>
      <c r="F2871" s="8"/>
      <c r="G2871" s="10" t="str">
        <f aca="false">IF($A2871="","",UPPER(SUBSTITUTE(SUBSTITUTE(SUBSTITUTE(SUBSTITUTE($A2871," ",""),"(주)",""),"주식회사",""),"㈜","")))</f>
        <v/>
      </c>
      <c r="H2871" s="10" t="str">
        <f aca="false">IF($B2871="","",SUBSTITUTE(SUBSTITUTE(SUBSTITUTE($B2871,"-","")," ",""),".",""))</f>
        <v/>
      </c>
      <c r="I2871" s="10" t="str">
        <f aca="false">IF($D2871="","",SUBSTITUTE(SUBSTITUTE(SUBSTITUTE($D2871,"-","")," ",""),".",""))</f>
        <v/>
      </c>
      <c r="J2871" s="10" t="str">
        <f aca="false">IF($E2871="","",UPPER(SUBSTITUTE($E2871," ","")))</f>
        <v/>
      </c>
      <c r="K2871" s="10" t="str">
        <f aca="false">IF($A2871="","",$G2871&amp;"|"&amp;$J2871)</f>
        <v/>
      </c>
      <c r="L2871" s="10" t="str">
        <f aca="false">IF($A2871="","",ROW()-2)</f>
        <v/>
      </c>
      <c r="M2871" s="10" t="str">
        <f aca="false">IF($A2871="","",ROW())</f>
        <v/>
      </c>
    </row>
    <row r="2872" customFormat="false" ht="15" hidden="false" customHeight="true" outlineLevel="0" collapsed="false">
      <c r="A2872" s="8"/>
      <c r="B2872" s="8"/>
      <c r="C2872" s="8"/>
      <c r="D2872" s="8"/>
      <c r="E2872" s="8"/>
      <c r="F2872" s="8"/>
      <c r="G2872" s="10" t="str">
        <f aca="false">IF($A2872="","",UPPER(SUBSTITUTE(SUBSTITUTE(SUBSTITUTE(SUBSTITUTE($A2872," ",""),"(주)",""),"주식회사",""),"㈜","")))</f>
        <v/>
      </c>
      <c r="H2872" s="10" t="str">
        <f aca="false">IF($B2872="","",SUBSTITUTE(SUBSTITUTE(SUBSTITUTE($B2872,"-","")," ",""),".",""))</f>
        <v/>
      </c>
      <c r="I2872" s="10" t="str">
        <f aca="false">IF($D2872="","",SUBSTITUTE(SUBSTITUTE(SUBSTITUTE($D2872,"-","")," ",""),".",""))</f>
        <v/>
      </c>
      <c r="J2872" s="10" t="str">
        <f aca="false">IF($E2872="","",UPPER(SUBSTITUTE($E2872," ","")))</f>
        <v/>
      </c>
      <c r="K2872" s="10" t="str">
        <f aca="false">IF($A2872="","",$G2872&amp;"|"&amp;$J2872)</f>
        <v/>
      </c>
      <c r="L2872" s="10" t="str">
        <f aca="false">IF($A2872="","",ROW()-2)</f>
        <v/>
      </c>
      <c r="M2872" s="10" t="str">
        <f aca="false">IF($A2872="","",ROW())</f>
        <v/>
      </c>
    </row>
    <row r="2873" customFormat="false" ht="15" hidden="false" customHeight="true" outlineLevel="0" collapsed="false">
      <c r="A2873" s="8"/>
      <c r="B2873" s="8"/>
      <c r="C2873" s="8"/>
      <c r="D2873" s="8"/>
      <c r="E2873" s="8"/>
      <c r="F2873" s="8"/>
      <c r="G2873" s="10" t="str">
        <f aca="false">IF($A2873="","",UPPER(SUBSTITUTE(SUBSTITUTE(SUBSTITUTE(SUBSTITUTE($A2873," ",""),"(주)",""),"주식회사",""),"㈜","")))</f>
        <v/>
      </c>
      <c r="H2873" s="10" t="str">
        <f aca="false">IF($B2873="","",SUBSTITUTE(SUBSTITUTE(SUBSTITUTE($B2873,"-","")," ",""),".",""))</f>
        <v/>
      </c>
      <c r="I2873" s="10" t="str">
        <f aca="false">IF($D2873="","",SUBSTITUTE(SUBSTITUTE(SUBSTITUTE($D2873,"-","")," ",""),".",""))</f>
        <v/>
      </c>
      <c r="J2873" s="10" t="str">
        <f aca="false">IF($E2873="","",UPPER(SUBSTITUTE($E2873," ","")))</f>
        <v/>
      </c>
      <c r="K2873" s="10" t="str">
        <f aca="false">IF($A2873="","",$G2873&amp;"|"&amp;$J2873)</f>
        <v/>
      </c>
      <c r="L2873" s="10" t="str">
        <f aca="false">IF($A2873="","",ROW()-2)</f>
        <v/>
      </c>
      <c r="M2873" s="10" t="str">
        <f aca="false">IF($A2873="","",ROW())</f>
        <v/>
      </c>
    </row>
    <row r="2874" customFormat="false" ht="15" hidden="false" customHeight="true" outlineLevel="0" collapsed="false">
      <c r="A2874" s="8"/>
      <c r="B2874" s="8"/>
      <c r="C2874" s="8"/>
      <c r="D2874" s="8"/>
      <c r="E2874" s="8"/>
      <c r="F2874" s="8"/>
      <c r="G2874" s="10" t="str">
        <f aca="false">IF($A2874="","",UPPER(SUBSTITUTE(SUBSTITUTE(SUBSTITUTE(SUBSTITUTE($A2874," ",""),"(주)",""),"주식회사",""),"㈜","")))</f>
        <v/>
      </c>
      <c r="H2874" s="10" t="str">
        <f aca="false">IF($B2874="","",SUBSTITUTE(SUBSTITUTE(SUBSTITUTE($B2874,"-","")," ",""),".",""))</f>
        <v/>
      </c>
      <c r="I2874" s="10" t="str">
        <f aca="false">IF($D2874="","",SUBSTITUTE(SUBSTITUTE(SUBSTITUTE($D2874,"-","")," ",""),".",""))</f>
        <v/>
      </c>
      <c r="J2874" s="10" t="str">
        <f aca="false">IF($E2874="","",UPPER(SUBSTITUTE($E2874," ","")))</f>
        <v/>
      </c>
      <c r="K2874" s="10" t="str">
        <f aca="false">IF($A2874="","",$G2874&amp;"|"&amp;$J2874)</f>
        <v/>
      </c>
      <c r="L2874" s="10" t="str">
        <f aca="false">IF($A2874="","",ROW()-2)</f>
        <v/>
      </c>
      <c r="M2874" s="10" t="str">
        <f aca="false">IF($A2874="","",ROW())</f>
        <v/>
      </c>
    </row>
    <row r="2875" customFormat="false" ht="15" hidden="false" customHeight="true" outlineLevel="0" collapsed="false">
      <c r="A2875" s="8"/>
      <c r="B2875" s="8"/>
      <c r="C2875" s="8"/>
      <c r="D2875" s="8"/>
      <c r="E2875" s="8"/>
      <c r="F2875" s="8"/>
      <c r="G2875" s="10" t="str">
        <f aca="false">IF($A2875="","",UPPER(SUBSTITUTE(SUBSTITUTE(SUBSTITUTE(SUBSTITUTE($A2875," ",""),"(주)",""),"주식회사",""),"㈜","")))</f>
        <v/>
      </c>
      <c r="H2875" s="10" t="str">
        <f aca="false">IF($B2875="","",SUBSTITUTE(SUBSTITUTE(SUBSTITUTE($B2875,"-","")," ",""),".",""))</f>
        <v/>
      </c>
      <c r="I2875" s="10" t="str">
        <f aca="false">IF($D2875="","",SUBSTITUTE(SUBSTITUTE(SUBSTITUTE($D2875,"-","")," ",""),".",""))</f>
        <v/>
      </c>
      <c r="J2875" s="10" t="str">
        <f aca="false">IF($E2875="","",UPPER(SUBSTITUTE($E2875," ","")))</f>
        <v/>
      </c>
      <c r="K2875" s="10" t="str">
        <f aca="false">IF($A2875="","",$G2875&amp;"|"&amp;$J2875)</f>
        <v/>
      </c>
      <c r="L2875" s="10" t="str">
        <f aca="false">IF($A2875="","",ROW()-2)</f>
        <v/>
      </c>
      <c r="M2875" s="10" t="str">
        <f aca="false">IF($A2875="","",ROW())</f>
        <v/>
      </c>
    </row>
    <row r="2876" customFormat="false" ht="15" hidden="false" customHeight="true" outlineLevel="0" collapsed="false">
      <c r="A2876" s="8"/>
      <c r="B2876" s="8"/>
      <c r="C2876" s="8"/>
      <c r="D2876" s="8"/>
      <c r="E2876" s="8"/>
      <c r="F2876" s="8"/>
      <c r="G2876" s="10" t="str">
        <f aca="false">IF($A2876="","",UPPER(SUBSTITUTE(SUBSTITUTE(SUBSTITUTE(SUBSTITUTE($A2876," ",""),"(주)",""),"주식회사",""),"㈜","")))</f>
        <v/>
      </c>
      <c r="H2876" s="10" t="str">
        <f aca="false">IF($B2876="","",SUBSTITUTE(SUBSTITUTE(SUBSTITUTE($B2876,"-","")," ",""),".",""))</f>
        <v/>
      </c>
      <c r="I2876" s="10" t="str">
        <f aca="false">IF($D2876="","",SUBSTITUTE(SUBSTITUTE(SUBSTITUTE($D2876,"-","")," ",""),".",""))</f>
        <v/>
      </c>
      <c r="J2876" s="10" t="str">
        <f aca="false">IF($E2876="","",UPPER(SUBSTITUTE($E2876," ","")))</f>
        <v/>
      </c>
      <c r="K2876" s="10" t="str">
        <f aca="false">IF($A2876="","",$G2876&amp;"|"&amp;$J2876)</f>
        <v/>
      </c>
      <c r="L2876" s="10" t="str">
        <f aca="false">IF($A2876="","",ROW()-2)</f>
        <v/>
      </c>
      <c r="M2876" s="10" t="str">
        <f aca="false">IF($A2876="","",ROW())</f>
        <v/>
      </c>
    </row>
    <row r="2877" customFormat="false" ht="15" hidden="false" customHeight="true" outlineLevel="0" collapsed="false">
      <c r="A2877" s="8"/>
      <c r="B2877" s="8"/>
      <c r="C2877" s="8"/>
      <c r="D2877" s="8"/>
      <c r="E2877" s="8"/>
      <c r="F2877" s="8"/>
      <c r="G2877" s="10" t="str">
        <f aca="false">IF($A2877="","",UPPER(SUBSTITUTE(SUBSTITUTE(SUBSTITUTE(SUBSTITUTE($A2877," ",""),"(주)",""),"주식회사",""),"㈜","")))</f>
        <v/>
      </c>
      <c r="H2877" s="10" t="str">
        <f aca="false">IF($B2877="","",SUBSTITUTE(SUBSTITUTE(SUBSTITUTE($B2877,"-","")," ",""),".",""))</f>
        <v/>
      </c>
      <c r="I2877" s="10" t="str">
        <f aca="false">IF($D2877="","",SUBSTITUTE(SUBSTITUTE(SUBSTITUTE($D2877,"-","")," ",""),".",""))</f>
        <v/>
      </c>
      <c r="J2877" s="10" t="str">
        <f aca="false">IF($E2877="","",UPPER(SUBSTITUTE($E2877," ","")))</f>
        <v/>
      </c>
      <c r="K2877" s="10" t="str">
        <f aca="false">IF($A2877="","",$G2877&amp;"|"&amp;$J2877)</f>
        <v/>
      </c>
      <c r="L2877" s="10" t="str">
        <f aca="false">IF($A2877="","",ROW()-2)</f>
        <v/>
      </c>
      <c r="M2877" s="10" t="str">
        <f aca="false">IF($A2877="","",ROW())</f>
        <v/>
      </c>
    </row>
    <row r="2878" customFormat="false" ht="15" hidden="false" customHeight="true" outlineLevel="0" collapsed="false">
      <c r="A2878" s="8"/>
      <c r="B2878" s="8"/>
      <c r="C2878" s="8"/>
      <c r="D2878" s="8"/>
      <c r="E2878" s="8"/>
      <c r="F2878" s="8"/>
      <c r="G2878" s="10" t="str">
        <f aca="false">IF($A2878="","",UPPER(SUBSTITUTE(SUBSTITUTE(SUBSTITUTE(SUBSTITUTE($A2878," ",""),"(주)",""),"주식회사",""),"㈜","")))</f>
        <v/>
      </c>
      <c r="H2878" s="10" t="str">
        <f aca="false">IF($B2878="","",SUBSTITUTE(SUBSTITUTE(SUBSTITUTE($B2878,"-","")," ",""),".",""))</f>
        <v/>
      </c>
      <c r="I2878" s="10" t="str">
        <f aca="false">IF($D2878="","",SUBSTITUTE(SUBSTITUTE(SUBSTITUTE($D2878,"-","")," ",""),".",""))</f>
        <v/>
      </c>
      <c r="J2878" s="10" t="str">
        <f aca="false">IF($E2878="","",UPPER(SUBSTITUTE($E2878," ","")))</f>
        <v/>
      </c>
      <c r="K2878" s="10" t="str">
        <f aca="false">IF($A2878="","",$G2878&amp;"|"&amp;$J2878)</f>
        <v/>
      </c>
      <c r="L2878" s="10" t="str">
        <f aca="false">IF($A2878="","",ROW()-2)</f>
        <v/>
      </c>
      <c r="M2878" s="10" t="str">
        <f aca="false">IF($A2878="","",ROW())</f>
        <v/>
      </c>
    </row>
    <row r="2879" customFormat="false" ht="15" hidden="false" customHeight="true" outlineLevel="0" collapsed="false">
      <c r="A2879" s="8"/>
      <c r="B2879" s="8"/>
      <c r="C2879" s="8"/>
      <c r="D2879" s="8"/>
      <c r="E2879" s="8"/>
      <c r="F2879" s="8"/>
      <c r="G2879" s="10" t="str">
        <f aca="false">IF($A2879="","",UPPER(SUBSTITUTE(SUBSTITUTE(SUBSTITUTE(SUBSTITUTE($A2879," ",""),"(주)",""),"주식회사",""),"㈜","")))</f>
        <v/>
      </c>
      <c r="H2879" s="10" t="str">
        <f aca="false">IF($B2879="","",SUBSTITUTE(SUBSTITUTE(SUBSTITUTE($B2879,"-","")," ",""),".",""))</f>
        <v/>
      </c>
      <c r="I2879" s="10" t="str">
        <f aca="false">IF($D2879="","",SUBSTITUTE(SUBSTITUTE(SUBSTITUTE($D2879,"-","")," ",""),".",""))</f>
        <v/>
      </c>
      <c r="J2879" s="10" t="str">
        <f aca="false">IF($E2879="","",UPPER(SUBSTITUTE($E2879," ","")))</f>
        <v/>
      </c>
      <c r="K2879" s="10" t="str">
        <f aca="false">IF($A2879="","",$G2879&amp;"|"&amp;$J2879)</f>
        <v/>
      </c>
      <c r="L2879" s="10" t="str">
        <f aca="false">IF($A2879="","",ROW()-2)</f>
        <v/>
      </c>
      <c r="M2879" s="10" t="str">
        <f aca="false">IF($A2879="","",ROW())</f>
        <v/>
      </c>
    </row>
    <row r="2880" customFormat="false" ht="15" hidden="false" customHeight="true" outlineLevel="0" collapsed="false">
      <c r="A2880" s="8"/>
      <c r="B2880" s="8"/>
      <c r="C2880" s="8"/>
      <c r="D2880" s="8"/>
      <c r="E2880" s="8"/>
      <c r="F2880" s="8"/>
      <c r="G2880" s="10" t="str">
        <f aca="false">IF($A2880="","",UPPER(SUBSTITUTE(SUBSTITUTE(SUBSTITUTE(SUBSTITUTE($A2880," ",""),"(주)",""),"주식회사",""),"㈜","")))</f>
        <v/>
      </c>
      <c r="H2880" s="10" t="str">
        <f aca="false">IF($B2880="","",SUBSTITUTE(SUBSTITUTE(SUBSTITUTE($B2880,"-","")," ",""),".",""))</f>
        <v/>
      </c>
      <c r="I2880" s="10" t="str">
        <f aca="false">IF($D2880="","",SUBSTITUTE(SUBSTITUTE(SUBSTITUTE($D2880,"-","")," ",""),".",""))</f>
        <v/>
      </c>
      <c r="J2880" s="10" t="str">
        <f aca="false">IF($E2880="","",UPPER(SUBSTITUTE($E2880," ","")))</f>
        <v/>
      </c>
      <c r="K2880" s="10" t="str">
        <f aca="false">IF($A2880="","",$G2880&amp;"|"&amp;$J2880)</f>
        <v/>
      </c>
      <c r="L2880" s="10" t="str">
        <f aca="false">IF($A2880="","",ROW()-2)</f>
        <v/>
      </c>
      <c r="M2880" s="10" t="str">
        <f aca="false">IF($A2880="","",ROW())</f>
        <v/>
      </c>
    </row>
    <row r="2881" customFormat="false" ht="15" hidden="false" customHeight="true" outlineLevel="0" collapsed="false">
      <c r="A2881" s="8"/>
      <c r="B2881" s="8"/>
      <c r="C2881" s="8"/>
      <c r="D2881" s="8"/>
      <c r="E2881" s="8"/>
      <c r="F2881" s="8"/>
      <c r="G2881" s="10" t="str">
        <f aca="false">IF($A2881="","",UPPER(SUBSTITUTE(SUBSTITUTE(SUBSTITUTE(SUBSTITUTE($A2881," ",""),"(주)",""),"주식회사",""),"㈜","")))</f>
        <v/>
      </c>
      <c r="H2881" s="10" t="str">
        <f aca="false">IF($B2881="","",SUBSTITUTE(SUBSTITUTE(SUBSTITUTE($B2881,"-","")," ",""),".",""))</f>
        <v/>
      </c>
      <c r="I2881" s="10" t="str">
        <f aca="false">IF($D2881="","",SUBSTITUTE(SUBSTITUTE(SUBSTITUTE($D2881,"-","")," ",""),".",""))</f>
        <v/>
      </c>
      <c r="J2881" s="10" t="str">
        <f aca="false">IF($E2881="","",UPPER(SUBSTITUTE($E2881," ","")))</f>
        <v/>
      </c>
      <c r="K2881" s="10" t="str">
        <f aca="false">IF($A2881="","",$G2881&amp;"|"&amp;$J2881)</f>
        <v/>
      </c>
      <c r="L2881" s="10" t="str">
        <f aca="false">IF($A2881="","",ROW()-2)</f>
        <v/>
      </c>
      <c r="M2881" s="10" t="str">
        <f aca="false">IF($A2881="","",ROW())</f>
        <v/>
      </c>
    </row>
    <row r="2882" customFormat="false" ht="15" hidden="false" customHeight="true" outlineLevel="0" collapsed="false">
      <c r="A2882" s="8"/>
      <c r="B2882" s="8"/>
      <c r="C2882" s="8"/>
      <c r="D2882" s="8"/>
      <c r="E2882" s="8"/>
      <c r="F2882" s="8"/>
      <c r="G2882" s="10" t="str">
        <f aca="false">IF($A2882="","",UPPER(SUBSTITUTE(SUBSTITUTE(SUBSTITUTE(SUBSTITUTE($A2882," ",""),"(주)",""),"주식회사",""),"㈜","")))</f>
        <v/>
      </c>
      <c r="H2882" s="10" t="str">
        <f aca="false">IF($B2882="","",SUBSTITUTE(SUBSTITUTE(SUBSTITUTE($B2882,"-","")," ",""),".",""))</f>
        <v/>
      </c>
      <c r="I2882" s="10" t="str">
        <f aca="false">IF($D2882="","",SUBSTITUTE(SUBSTITUTE(SUBSTITUTE($D2882,"-","")," ",""),".",""))</f>
        <v/>
      </c>
      <c r="J2882" s="10" t="str">
        <f aca="false">IF($E2882="","",UPPER(SUBSTITUTE($E2882," ","")))</f>
        <v/>
      </c>
      <c r="K2882" s="10" t="str">
        <f aca="false">IF($A2882="","",$G2882&amp;"|"&amp;$J2882)</f>
        <v/>
      </c>
      <c r="L2882" s="10" t="str">
        <f aca="false">IF($A2882="","",ROW()-2)</f>
        <v/>
      </c>
      <c r="M2882" s="10" t="str">
        <f aca="false">IF($A2882="","",ROW())</f>
        <v/>
      </c>
    </row>
    <row r="2883" customFormat="false" ht="15" hidden="false" customHeight="true" outlineLevel="0" collapsed="false">
      <c r="A2883" s="8"/>
      <c r="B2883" s="8"/>
      <c r="C2883" s="8"/>
      <c r="D2883" s="8"/>
      <c r="E2883" s="8"/>
      <c r="F2883" s="8"/>
      <c r="G2883" s="10" t="str">
        <f aca="false">IF($A2883="","",UPPER(SUBSTITUTE(SUBSTITUTE(SUBSTITUTE(SUBSTITUTE($A2883," ",""),"(주)",""),"주식회사",""),"㈜","")))</f>
        <v/>
      </c>
      <c r="H2883" s="10" t="str">
        <f aca="false">IF($B2883="","",SUBSTITUTE(SUBSTITUTE(SUBSTITUTE($B2883,"-","")," ",""),".",""))</f>
        <v/>
      </c>
      <c r="I2883" s="10" t="str">
        <f aca="false">IF($D2883="","",SUBSTITUTE(SUBSTITUTE(SUBSTITUTE($D2883,"-","")," ",""),".",""))</f>
        <v/>
      </c>
      <c r="J2883" s="10" t="str">
        <f aca="false">IF($E2883="","",UPPER(SUBSTITUTE($E2883," ","")))</f>
        <v/>
      </c>
      <c r="K2883" s="10" t="str">
        <f aca="false">IF($A2883="","",$G2883&amp;"|"&amp;$J2883)</f>
        <v/>
      </c>
      <c r="L2883" s="10" t="str">
        <f aca="false">IF($A2883="","",ROW()-2)</f>
        <v/>
      </c>
      <c r="M2883" s="10" t="str">
        <f aca="false">IF($A2883="","",ROW())</f>
        <v/>
      </c>
    </row>
    <row r="2884" customFormat="false" ht="15" hidden="false" customHeight="true" outlineLevel="0" collapsed="false">
      <c r="A2884" s="8"/>
      <c r="B2884" s="8"/>
      <c r="C2884" s="8"/>
      <c r="D2884" s="8"/>
      <c r="E2884" s="8"/>
      <c r="F2884" s="8"/>
      <c r="G2884" s="10" t="str">
        <f aca="false">IF($A2884="","",UPPER(SUBSTITUTE(SUBSTITUTE(SUBSTITUTE(SUBSTITUTE($A2884," ",""),"(주)",""),"주식회사",""),"㈜","")))</f>
        <v/>
      </c>
      <c r="H2884" s="10" t="str">
        <f aca="false">IF($B2884="","",SUBSTITUTE(SUBSTITUTE(SUBSTITUTE($B2884,"-","")," ",""),".",""))</f>
        <v/>
      </c>
      <c r="I2884" s="10" t="str">
        <f aca="false">IF($D2884="","",SUBSTITUTE(SUBSTITUTE(SUBSTITUTE($D2884,"-","")," ",""),".",""))</f>
        <v/>
      </c>
      <c r="J2884" s="10" t="str">
        <f aca="false">IF($E2884="","",UPPER(SUBSTITUTE($E2884," ","")))</f>
        <v/>
      </c>
      <c r="K2884" s="10" t="str">
        <f aca="false">IF($A2884="","",$G2884&amp;"|"&amp;$J2884)</f>
        <v/>
      </c>
      <c r="L2884" s="10" t="str">
        <f aca="false">IF($A2884="","",ROW()-2)</f>
        <v/>
      </c>
      <c r="M2884" s="10" t="str">
        <f aca="false">IF($A2884="","",ROW())</f>
        <v/>
      </c>
    </row>
    <row r="2885" customFormat="false" ht="15" hidden="false" customHeight="true" outlineLevel="0" collapsed="false">
      <c r="A2885" s="8"/>
      <c r="B2885" s="8"/>
      <c r="C2885" s="8"/>
      <c r="D2885" s="8"/>
      <c r="E2885" s="8"/>
      <c r="F2885" s="8"/>
      <c r="G2885" s="10" t="str">
        <f aca="false">IF($A2885="","",UPPER(SUBSTITUTE(SUBSTITUTE(SUBSTITUTE(SUBSTITUTE($A2885," ",""),"(주)",""),"주식회사",""),"㈜","")))</f>
        <v/>
      </c>
      <c r="H2885" s="10" t="str">
        <f aca="false">IF($B2885="","",SUBSTITUTE(SUBSTITUTE(SUBSTITUTE($B2885,"-","")," ",""),".",""))</f>
        <v/>
      </c>
      <c r="I2885" s="10" t="str">
        <f aca="false">IF($D2885="","",SUBSTITUTE(SUBSTITUTE(SUBSTITUTE($D2885,"-","")," ",""),".",""))</f>
        <v/>
      </c>
      <c r="J2885" s="10" t="str">
        <f aca="false">IF($E2885="","",UPPER(SUBSTITUTE($E2885," ","")))</f>
        <v/>
      </c>
      <c r="K2885" s="10" t="str">
        <f aca="false">IF($A2885="","",$G2885&amp;"|"&amp;$J2885)</f>
        <v/>
      </c>
      <c r="L2885" s="10" t="str">
        <f aca="false">IF($A2885="","",ROW()-2)</f>
        <v/>
      </c>
      <c r="M2885" s="10" t="str">
        <f aca="false">IF($A2885="","",ROW())</f>
        <v/>
      </c>
    </row>
    <row r="2886" customFormat="false" ht="15" hidden="false" customHeight="true" outlineLevel="0" collapsed="false">
      <c r="A2886" s="8"/>
      <c r="B2886" s="8"/>
      <c r="C2886" s="8"/>
      <c r="D2886" s="8"/>
      <c r="E2886" s="8"/>
      <c r="F2886" s="8"/>
      <c r="G2886" s="10" t="str">
        <f aca="false">IF($A2886="","",UPPER(SUBSTITUTE(SUBSTITUTE(SUBSTITUTE(SUBSTITUTE($A2886," ",""),"(주)",""),"주식회사",""),"㈜","")))</f>
        <v/>
      </c>
      <c r="H2886" s="10" t="str">
        <f aca="false">IF($B2886="","",SUBSTITUTE(SUBSTITUTE(SUBSTITUTE($B2886,"-","")," ",""),".",""))</f>
        <v/>
      </c>
      <c r="I2886" s="10" t="str">
        <f aca="false">IF($D2886="","",SUBSTITUTE(SUBSTITUTE(SUBSTITUTE($D2886,"-","")," ",""),".",""))</f>
        <v/>
      </c>
      <c r="J2886" s="10" t="str">
        <f aca="false">IF($E2886="","",UPPER(SUBSTITUTE($E2886," ","")))</f>
        <v/>
      </c>
      <c r="K2886" s="10" t="str">
        <f aca="false">IF($A2886="","",$G2886&amp;"|"&amp;$J2886)</f>
        <v/>
      </c>
      <c r="L2886" s="10" t="str">
        <f aca="false">IF($A2886="","",ROW()-2)</f>
        <v/>
      </c>
      <c r="M2886" s="10" t="str">
        <f aca="false">IF($A2886="","",ROW())</f>
        <v/>
      </c>
    </row>
    <row r="2887" customFormat="false" ht="15" hidden="false" customHeight="true" outlineLevel="0" collapsed="false">
      <c r="A2887" s="8"/>
      <c r="B2887" s="8"/>
      <c r="C2887" s="8"/>
      <c r="D2887" s="8"/>
      <c r="E2887" s="8"/>
      <c r="F2887" s="8"/>
      <c r="G2887" s="10" t="str">
        <f aca="false">IF($A2887="","",UPPER(SUBSTITUTE(SUBSTITUTE(SUBSTITUTE(SUBSTITUTE($A2887," ",""),"(주)",""),"주식회사",""),"㈜","")))</f>
        <v/>
      </c>
      <c r="H2887" s="10" t="str">
        <f aca="false">IF($B2887="","",SUBSTITUTE(SUBSTITUTE(SUBSTITUTE($B2887,"-","")," ",""),".",""))</f>
        <v/>
      </c>
      <c r="I2887" s="10" t="str">
        <f aca="false">IF($D2887="","",SUBSTITUTE(SUBSTITUTE(SUBSTITUTE($D2887,"-","")," ",""),".",""))</f>
        <v/>
      </c>
      <c r="J2887" s="10" t="str">
        <f aca="false">IF($E2887="","",UPPER(SUBSTITUTE($E2887," ","")))</f>
        <v/>
      </c>
      <c r="K2887" s="10" t="str">
        <f aca="false">IF($A2887="","",$G2887&amp;"|"&amp;$J2887)</f>
        <v/>
      </c>
      <c r="L2887" s="10" t="str">
        <f aca="false">IF($A2887="","",ROW()-2)</f>
        <v/>
      </c>
      <c r="M2887" s="10" t="str">
        <f aca="false">IF($A2887="","",ROW())</f>
        <v/>
      </c>
    </row>
    <row r="2888" customFormat="false" ht="15" hidden="false" customHeight="true" outlineLevel="0" collapsed="false">
      <c r="A2888" s="8"/>
      <c r="B2888" s="8"/>
      <c r="C2888" s="8"/>
      <c r="D2888" s="8"/>
      <c r="E2888" s="8"/>
      <c r="F2888" s="8"/>
      <c r="G2888" s="10" t="str">
        <f aca="false">IF($A2888="","",UPPER(SUBSTITUTE(SUBSTITUTE(SUBSTITUTE(SUBSTITUTE($A2888," ",""),"(주)",""),"주식회사",""),"㈜","")))</f>
        <v/>
      </c>
      <c r="H2888" s="10" t="str">
        <f aca="false">IF($B2888="","",SUBSTITUTE(SUBSTITUTE(SUBSTITUTE($B2888,"-","")," ",""),".",""))</f>
        <v/>
      </c>
      <c r="I2888" s="10" t="str">
        <f aca="false">IF($D2888="","",SUBSTITUTE(SUBSTITUTE(SUBSTITUTE($D2888,"-","")," ",""),".",""))</f>
        <v/>
      </c>
      <c r="J2888" s="10" t="str">
        <f aca="false">IF($E2888="","",UPPER(SUBSTITUTE($E2888," ","")))</f>
        <v/>
      </c>
      <c r="K2888" s="10" t="str">
        <f aca="false">IF($A2888="","",$G2888&amp;"|"&amp;$J2888)</f>
        <v/>
      </c>
      <c r="L2888" s="10" t="str">
        <f aca="false">IF($A2888="","",ROW()-2)</f>
        <v/>
      </c>
      <c r="M2888" s="10" t="str">
        <f aca="false">IF($A2888="","",ROW())</f>
        <v/>
      </c>
    </row>
    <row r="2889" customFormat="false" ht="15" hidden="false" customHeight="true" outlineLevel="0" collapsed="false">
      <c r="A2889" s="8"/>
      <c r="B2889" s="8"/>
      <c r="C2889" s="8"/>
      <c r="D2889" s="8"/>
      <c r="E2889" s="8"/>
      <c r="F2889" s="8"/>
      <c r="G2889" s="10" t="str">
        <f aca="false">IF($A2889="","",UPPER(SUBSTITUTE(SUBSTITUTE(SUBSTITUTE(SUBSTITUTE($A2889," ",""),"(주)",""),"주식회사",""),"㈜","")))</f>
        <v/>
      </c>
      <c r="H2889" s="10" t="str">
        <f aca="false">IF($B2889="","",SUBSTITUTE(SUBSTITUTE(SUBSTITUTE($B2889,"-","")," ",""),".",""))</f>
        <v/>
      </c>
      <c r="I2889" s="10" t="str">
        <f aca="false">IF($D2889="","",SUBSTITUTE(SUBSTITUTE(SUBSTITUTE($D2889,"-","")," ",""),".",""))</f>
        <v/>
      </c>
      <c r="J2889" s="10" t="str">
        <f aca="false">IF($E2889="","",UPPER(SUBSTITUTE($E2889," ","")))</f>
        <v/>
      </c>
      <c r="K2889" s="10" t="str">
        <f aca="false">IF($A2889="","",$G2889&amp;"|"&amp;$J2889)</f>
        <v/>
      </c>
      <c r="L2889" s="10" t="str">
        <f aca="false">IF($A2889="","",ROW()-2)</f>
        <v/>
      </c>
      <c r="M2889" s="10" t="str">
        <f aca="false">IF($A2889="","",ROW())</f>
        <v/>
      </c>
    </row>
    <row r="2890" customFormat="false" ht="15" hidden="false" customHeight="true" outlineLevel="0" collapsed="false">
      <c r="A2890" s="8"/>
      <c r="B2890" s="8"/>
      <c r="C2890" s="8"/>
      <c r="D2890" s="8"/>
      <c r="E2890" s="8"/>
      <c r="F2890" s="8"/>
      <c r="G2890" s="10" t="str">
        <f aca="false">IF($A2890="","",UPPER(SUBSTITUTE(SUBSTITUTE(SUBSTITUTE(SUBSTITUTE($A2890," ",""),"(주)",""),"주식회사",""),"㈜","")))</f>
        <v/>
      </c>
      <c r="H2890" s="10" t="str">
        <f aca="false">IF($B2890="","",SUBSTITUTE(SUBSTITUTE(SUBSTITUTE($B2890,"-","")," ",""),".",""))</f>
        <v/>
      </c>
      <c r="I2890" s="10" t="str">
        <f aca="false">IF($D2890="","",SUBSTITUTE(SUBSTITUTE(SUBSTITUTE($D2890,"-","")," ",""),".",""))</f>
        <v/>
      </c>
      <c r="J2890" s="10" t="str">
        <f aca="false">IF($E2890="","",UPPER(SUBSTITUTE($E2890," ","")))</f>
        <v/>
      </c>
      <c r="K2890" s="10" t="str">
        <f aca="false">IF($A2890="","",$G2890&amp;"|"&amp;$J2890)</f>
        <v/>
      </c>
      <c r="L2890" s="10" t="str">
        <f aca="false">IF($A2890="","",ROW()-2)</f>
        <v/>
      </c>
      <c r="M2890" s="10" t="str">
        <f aca="false">IF($A2890="","",ROW())</f>
        <v/>
      </c>
    </row>
    <row r="2891" customFormat="false" ht="15" hidden="false" customHeight="true" outlineLevel="0" collapsed="false">
      <c r="A2891" s="8"/>
      <c r="B2891" s="8"/>
      <c r="C2891" s="8"/>
      <c r="D2891" s="8"/>
      <c r="E2891" s="8"/>
      <c r="F2891" s="8"/>
      <c r="G2891" s="10" t="str">
        <f aca="false">IF($A2891="","",UPPER(SUBSTITUTE(SUBSTITUTE(SUBSTITUTE(SUBSTITUTE($A2891," ",""),"(주)",""),"주식회사",""),"㈜","")))</f>
        <v/>
      </c>
      <c r="H2891" s="10" t="str">
        <f aca="false">IF($B2891="","",SUBSTITUTE(SUBSTITUTE(SUBSTITUTE($B2891,"-","")," ",""),".",""))</f>
        <v/>
      </c>
      <c r="I2891" s="10" t="str">
        <f aca="false">IF($D2891="","",SUBSTITUTE(SUBSTITUTE(SUBSTITUTE($D2891,"-","")," ",""),".",""))</f>
        <v/>
      </c>
      <c r="J2891" s="10" t="str">
        <f aca="false">IF($E2891="","",UPPER(SUBSTITUTE($E2891," ","")))</f>
        <v/>
      </c>
      <c r="K2891" s="10" t="str">
        <f aca="false">IF($A2891="","",$G2891&amp;"|"&amp;$J2891)</f>
        <v/>
      </c>
      <c r="L2891" s="10" t="str">
        <f aca="false">IF($A2891="","",ROW()-2)</f>
        <v/>
      </c>
      <c r="M2891" s="10" t="str">
        <f aca="false">IF($A2891="","",ROW())</f>
        <v/>
      </c>
    </row>
    <row r="2892" customFormat="false" ht="15" hidden="false" customHeight="true" outlineLevel="0" collapsed="false">
      <c r="A2892" s="8"/>
      <c r="B2892" s="8"/>
      <c r="C2892" s="8"/>
      <c r="D2892" s="8"/>
      <c r="E2892" s="8"/>
      <c r="F2892" s="8"/>
      <c r="G2892" s="10" t="str">
        <f aca="false">IF($A2892="","",UPPER(SUBSTITUTE(SUBSTITUTE(SUBSTITUTE(SUBSTITUTE($A2892," ",""),"(주)",""),"주식회사",""),"㈜","")))</f>
        <v/>
      </c>
      <c r="H2892" s="10" t="str">
        <f aca="false">IF($B2892="","",SUBSTITUTE(SUBSTITUTE(SUBSTITUTE($B2892,"-","")," ",""),".",""))</f>
        <v/>
      </c>
      <c r="I2892" s="10" t="str">
        <f aca="false">IF($D2892="","",SUBSTITUTE(SUBSTITUTE(SUBSTITUTE($D2892,"-","")," ",""),".",""))</f>
        <v/>
      </c>
      <c r="J2892" s="10" t="str">
        <f aca="false">IF($E2892="","",UPPER(SUBSTITUTE($E2892," ","")))</f>
        <v/>
      </c>
      <c r="K2892" s="10" t="str">
        <f aca="false">IF($A2892="","",$G2892&amp;"|"&amp;$J2892)</f>
        <v/>
      </c>
      <c r="L2892" s="10" t="str">
        <f aca="false">IF($A2892="","",ROW()-2)</f>
        <v/>
      </c>
      <c r="M2892" s="10" t="str">
        <f aca="false">IF($A2892="","",ROW())</f>
        <v/>
      </c>
    </row>
    <row r="2893" customFormat="false" ht="15" hidden="false" customHeight="true" outlineLevel="0" collapsed="false">
      <c r="A2893" s="8"/>
      <c r="B2893" s="8"/>
      <c r="C2893" s="8"/>
      <c r="D2893" s="8"/>
      <c r="E2893" s="8"/>
      <c r="F2893" s="8"/>
      <c r="G2893" s="10" t="str">
        <f aca="false">IF($A2893="","",UPPER(SUBSTITUTE(SUBSTITUTE(SUBSTITUTE(SUBSTITUTE($A2893," ",""),"(주)",""),"주식회사",""),"㈜","")))</f>
        <v/>
      </c>
      <c r="H2893" s="10" t="str">
        <f aca="false">IF($B2893="","",SUBSTITUTE(SUBSTITUTE(SUBSTITUTE($B2893,"-","")," ",""),".",""))</f>
        <v/>
      </c>
      <c r="I2893" s="10" t="str">
        <f aca="false">IF($D2893="","",SUBSTITUTE(SUBSTITUTE(SUBSTITUTE($D2893,"-","")," ",""),".",""))</f>
        <v/>
      </c>
      <c r="J2893" s="10" t="str">
        <f aca="false">IF($E2893="","",UPPER(SUBSTITUTE($E2893," ","")))</f>
        <v/>
      </c>
      <c r="K2893" s="10" t="str">
        <f aca="false">IF($A2893="","",$G2893&amp;"|"&amp;$J2893)</f>
        <v/>
      </c>
      <c r="L2893" s="10" t="str">
        <f aca="false">IF($A2893="","",ROW()-2)</f>
        <v/>
      </c>
      <c r="M2893" s="10" t="str">
        <f aca="false">IF($A2893="","",ROW())</f>
        <v/>
      </c>
    </row>
    <row r="2894" customFormat="false" ht="15" hidden="false" customHeight="true" outlineLevel="0" collapsed="false">
      <c r="A2894" s="8"/>
      <c r="B2894" s="8"/>
      <c r="C2894" s="8"/>
      <c r="D2894" s="8"/>
      <c r="E2894" s="8"/>
      <c r="F2894" s="8"/>
      <c r="G2894" s="10" t="str">
        <f aca="false">IF($A2894="","",UPPER(SUBSTITUTE(SUBSTITUTE(SUBSTITUTE(SUBSTITUTE($A2894," ",""),"(주)",""),"주식회사",""),"㈜","")))</f>
        <v/>
      </c>
      <c r="H2894" s="10" t="str">
        <f aca="false">IF($B2894="","",SUBSTITUTE(SUBSTITUTE(SUBSTITUTE($B2894,"-","")," ",""),".",""))</f>
        <v/>
      </c>
      <c r="I2894" s="10" t="str">
        <f aca="false">IF($D2894="","",SUBSTITUTE(SUBSTITUTE(SUBSTITUTE($D2894,"-","")," ",""),".",""))</f>
        <v/>
      </c>
      <c r="J2894" s="10" t="str">
        <f aca="false">IF($E2894="","",UPPER(SUBSTITUTE($E2894," ","")))</f>
        <v/>
      </c>
      <c r="K2894" s="10" t="str">
        <f aca="false">IF($A2894="","",$G2894&amp;"|"&amp;$J2894)</f>
        <v/>
      </c>
      <c r="L2894" s="10" t="str">
        <f aca="false">IF($A2894="","",ROW()-2)</f>
        <v/>
      </c>
      <c r="M2894" s="10" t="str">
        <f aca="false">IF($A2894="","",ROW())</f>
        <v/>
      </c>
    </row>
    <row r="2895" customFormat="false" ht="15" hidden="false" customHeight="true" outlineLevel="0" collapsed="false">
      <c r="A2895" s="8"/>
      <c r="B2895" s="8"/>
      <c r="C2895" s="8"/>
      <c r="D2895" s="8"/>
      <c r="E2895" s="8"/>
      <c r="F2895" s="8"/>
      <c r="G2895" s="10" t="str">
        <f aca="false">IF($A2895="","",UPPER(SUBSTITUTE(SUBSTITUTE(SUBSTITUTE(SUBSTITUTE($A2895," ",""),"(주)",""),"주식회사",""),"㈜","")))</f>
        <v/>
      </c>
      <c r="H2895" s="10" t="str">
        <f aca="false">IF($B2895="","",SUBSTITUTE(SUBSTITUTE(SUBSTITUTE($B2895,"-","")," ",""),".",""))</f>
        <v/>
      </c>
      <c r="I2895" s="10" t="str">
        <f aca="false">IF($D2895="","",SUBSTITUTE(SUBSTITUTE(SUBSTITUTE($D2895,"-","")," ",""),".",""))</f>
        <v/>
      </c>
      <c r="J2895" s="10" t="str">
        <f aca="false">IF($E2895="","",UPPER(SUBSTITUTE($E2895," ","")))</f>
        <v/>
      </c>
      <c r="K2895" s="10" t="str">
        <f aca="false">IF($A2895="","",$G2895&amp;"|"&amp;$J2895)</f>
        <v/>
      </c>
      <c r="L2895" s="10" t="str">
        <f aca="false">IF($A2895="","",ROW()-2)</f>
        <v/>
      </c>
      <c r="M2895" s="10" t="str">
        <f aca="false">IF($A2895="","",ROW())</f>
        <v/>
      </c>
    </row>
    <row r="2896" customFormat="false" ht="15" hidden="false" customHeight="true" outlineLevel="0" collapsed="false">
      <c r="A2896" s="8"/>
      <c r="B2896" s="8"/>
      <c r="C2896" s="8"/>
      <c r="D2896" s="8"/>
      <c r="E2896" s="8"/>
      <c r="F2896" s="8"/>
      <c r="G2896" s="10" t="str">
        <f aca="false">IF($A2896="","",UPPER(SUBSTITUTE(SUBSTITUTE(SUBSTITUTE(SUBSTITUTE($A2896," ",""),"(주)",""),"주식회사",""),"㈜","")))</f>
        <v/>
      </c>
      <c r="H2896" s="10" t="str">
        <f aca="false">IF($B2896="","",SUBSTITUTE(SUBSTITUTE(SUBSTITUTE($B2896,"-","")," ",""),".",""))</f>
        <v/>
      </c>
      <c r="I2896" s="10" t="str">
        <f aca="false">IF($D2896="","",SUBSTITUTE(SUBSTITUTE(SUBSTITUTE($D2896,"-","")," ",""),".",""))</f>
        <v/>
      </c>
      <c r="J2896" s="10" t="str">
        <f aca="false">IF($E2896="","",UPPER(SUBSTITUTE($E2896," ","")))</f>
        <v/>
      </c>
      <c r="K2896" s="10" t="str">
        <f aca="false">IF($A2896="","",$G2896&amp;"|"&amp;$J2896)</f>
        <v/>
      </c>
      <c r="L2896" s="10" t="str">
        <f aca="false">IF($A2896="","",ROW()-2)</f>
        <v/>
      </c>
      <c r="M2896" s="10" t="str">
        <f aca="false">IF($A2896="","",ROW())</f>
        <v/>
      </c>
    </row>
    <row r="2897" customFormat="false" ht="15" hidden="false" customHeight="true" outlineLevel="0" collapsed="false">
      <c r="A2897" s="8"/>
      <c r="B2897" s="8"/>
      <c r="C2897" s="8"/>
      <c r="D2897" s="8"/>
      <c r="E2897" s="8"/>
      <c r="F2897" s="8"/>
      <c r="G2897" s="10" t="str">
        <f aca="false">IF($A2897="","",UPPER(SUBSTITUTE(SUBSTITUTE(SUBSTITUTE(SUBSTITUTE($A2897," ",""),"(주)",""),"주식회사",""),"㈜","")))</f>
        <v/>
      </c>
      <c r="H2897" s="10" t="str">
        <f aca="false">IF($B2897="","",SUBSTITUTE(SUBSTITUTE(SUBSTITUTE($B2897,"-","")," ",""),".",""))</f>
        <v/>
      </c>
      <c r="I2897" s="10" t="str">
        <f aca="false">IF($D2897="","",SUBSTITUTE(SUBSTITUTE(SUBSTITUTE($D2897,"-","")," ",""),".",""))</f>
        <v/>
      </c>
      <c r="J2897" s="10" t="str">
        <f aca="false">IF($E2897="","",UPPER(SUBSTITUTE($E2897," ","")))</f>
        <v/>
      </c>
      <c r="K2897" s="10" t="str">
        <f aca="false">IF($A2897="","",$G2897&amp;"|"&amp;$J2897)</f>
        <v/>
      </c>
      <c r="L2897" s="10" t="str">
        <f aca="false">IF($A2897="","",ROW()-2)</f>
        <v/>
      </c>
      <c r="M2897" s="10" t="str">
        <f aca="false">IF($A2897="","",ROW())</f>
        <v/>
      </c>
    </row>
    <row r="2898" customFormat="false" ht="15" hidden="false" customHeight="true" outlineLevel="0" collapsed="false">
      <c r="A2898" s="8"/>
      <c r="B2898" s="8"/>
      <c r="C2898" s="8"/>
      <c r="D2898" s="8"/>
      <c r="E2898" s="8"/>
      <c r="F2898" s="8"/>
      <c r="G2898" s="10" t="str">
        <f aca="false">IF($A2898="","",UPPER(SUBSTITUTE(SUBSTITUTE(SUBSTITUTE(SUBSTITUTE($A2898," ",""),"(주)",""),"주식회사",""),"㈜","")))</f>
        <v/>
      </c>
      <c r="H2898" s="10" t="str">
        <f aca="false">IF($B2898="","",SUBSTITUTE(SUBSTITUTE(SUBSTITUTE($B2898,"-","")," ",""),".",""))</f>
        <v/>
      </c>
      <c r="I2898" s="10" t="str">
        <f aca="false">IF($D2898="","",SUBSTITUTE(SUBSTITUTE(SUBSTITUTE($D2898,"-","")," ",""),".",""))</f>
        <v/>
      </c>
      <c r="J2898" s="10" t="str">
        <f aca="false">IF($E2898="","",UPPER(SUBSTITUTE($E2898," ","")))</f>
        <v/>
      </c>
      <c r="K2898" s="10" t="str">
        <f aca="false">IF($A2898="","",$G2898&amp;"|"&amp;$J2898)</f>
        <v/>
      </c>
      <c r="L2898" s="10" t="str">
        <f aca="false">IF($A2898="","",ROW()-2)</f>
        <v/>
      </c>
      <c r="M2898" s="10" t="str">
        <f aca="false">IF($A2898="","",ROW())</f>
        <v/>
      </c>
    </row>
    <row r="2899" customFormat="false" ht="15" hidden="false" customHeight="true" outlineLevel="0" collapsed="false">
      <c r="A2899" s="8"/>
      <c r="B2899" s="8"/>
      <c r="C2899" s="8"/>
      <c r="D2899" s="8"/>
      <c r="E2899" s="8"/>
      <c r="F2899" s="8"/>
      <c r="G2899" s="10" t="str">
        <f aca="false">IF($A2899="","",UPPER(SUBSTITUTE(SUBSTITUTE(SUBSTITUTE(SUBSTITUTE($A2899," ",""),"(주)",""),"주식회사",""),"㈜","")))</f>
        <v/>
      </c>
      <c r="H2899" s="10" t="str">
        <f aca="false">IF($B2899="","",SUBSTITUTE(SUBSTITUTE(SUBSTITUTE($B2899,"-","")," ",""),".",""))</f>
        <v/>
      </c>
      <c r="I2899" s="10" t="str">
        <f aca="false">IF($D2899="","",SUBSTITUTE(SUBSTITUTE(SUBSTITUTE($D2899,"-","")," ",""),".",""))</f>
        <v/>
      </c>
      <c r="J2899" s="10" t="str">
        <f aca="false">IF($E2899="","",UPPER(SUBSTITUTE($E2899," ","")))</f>
        <v/>
      </c>
      <c r="K2899" s="10" t="str">
        <f aca="false">IF($A2899="","",$G2899&amp;"|"&amp;$J2899)</f>
        <v/>
      </c>
      <c r="L2899" s="10" t="str">
        <f aca="false">IF($A2899="","",ROW()-2)</f>
        <v/>
      </c>
      <c r="M2899" s="10" t="str">
        <f aca="false">IF($A2899="","",ROW())</f>
        <v/>
      </c>
    </row>
    <row r="2900" customFormat="false" ht="15" hidden="false" customHeight="true" outlineLevel="0" collapsed="false">
      <c r="A2900" s="8"/>
      <c r="B2900" s="8"/>
      <c r="C2900" s="8"/>
      <c r="D2900" s="8"/>
      <c r="E2900" s="8"/>
      <c r="F2900" s="8"/>
      <c r="G2900" s="10" t="str">
        <f aca="false">IF($A2900="","",UPPER(SUBSTITUTE(SUBSTITUTE(SUBSTITUTE(SUBSTITUTE($A2900," ",""),"(주)",""),"주식회사",""),"㈜","")))</f>
        <v/>
      </c>
      <c r="H2900" s="10" t="str">
        <f aca="false">IF($B2900="","",SUBSTITUTE(SUBSTITUTE(SUBSTITUTE($B2900,"-","")," ",""),".",""))</f>
        <v/>
      </c>
      <c r="I2900" s="10" t="str">
        <f aca="false">IF($D2900="","",SUBSTITUTE(SUBSTITUTE(SUBSTITUTE($D2900,"-","")," ",""),".",""))</f>
        <v/>
      </c>
      <c r="J2900" s="10" t="str">
        <f aca="false">IF($E2900="","",UPPER(SUBSTITUTE($E2900," ","")))</f>
        <v/>
      </c>
      <c r="K2900" s="10" t="str">
        <f aca="false">IF($A2900="","",$G2900&amp;"|"&amp;$J2900)</f>
        <v/>
      </c>
      <c r="L2900" s="10" t="str">
        <f aca="false">IF($A2900="","",ROW()-2)</f>
        <v/>
      </c>
      <c r="M2900" s="10" t="str">
        <f aca="false">IF($A2900="","",ROW())</f>
        <v/>
      </c>
    </row>
    <row r="2901" customFormat="false" ht="15" hidden="false" customHeight="true" outlineLevel="0" collapsed="false">
      <c r="A2901" s="8"/>
      <c r="B2901" s="8"/>
      <c r="C2901" s="8"/>
      <c r="D2901" s="8"/>
      <c r="E2901" s="8"/>
      <c r="F2901" s="8"/>
      <c r="G2901" s="10" t="str">
        <f aca="false">IF($A2901="","",UPPER(SUBSTITUTE(SUBSTITUTE(SUBSTITUTE(SUBSTITUTE($A2901," ",""),"(주)",""),"주식회사",""),"㈜","")))</f>
        <v/>
      </c>
      <c r="H2901" s="10" t="str">
        <f aca="false">IF($B2901="","",SUBSTITUTE(SUBSTITUTE(SUBSTITUTE($B2901,"-","")," ",""),".",""))</f>
        <v/>
      </c>
      <c r="I2901" s="10" t="str">
        <f aca="false">IF($D2901="","",SUBSTITUTE(SUBSTITUTE(SUBSTITUTE($D2901,"-","")," ",""),".",""))</f>
        <v/>
      </c>
      <c r="J2901" s="10" t="str">
        <f aca="false">IF($E2901="","",UPPER(SUBSTITUTE($E2901," ","")))</f>
        <v/>
      </c>
      <c r="K2901" s="10" t="str">
        <f aca="false">IF($A2901="","",$G2901&amp;"|"&amp;$J2901)</f>
        <v/>
      </c>
      <c r="L2901" s="10" t="str">
        <f aca="false">IF($A2901="","",ROW()-2)</f>
        <v/>
      </c>
      <c r="M2901" s="10" t="str">
        <f aca="false">IF($A2901="","",ROW())</f>
        <v/>
      </c>
    </row>
    <row r="2902" customFormat="false" ht="15" hidden="false" customHeight="true" outlineLevel="0" collapsed="false">
      <c r="A2902" s="8"/>
      <c r="B2902" s="8"/>
      <c r="C2902" s="8"/>
      <c r="D2902" s="8"/>
      <c r="E2902" s="8"/>
      <c r="F2902" s="8"/>
      <c r="G2902" s="10" t="str">
        <f aca="false">IF($A2902="","",UPPER(SUBSTITUTE(SUBSTITUTE(SUBSTITUTE(SUBSTITUTE($A2902," ",""),"(주)",""),"주식회사",""),"㈜","")))</f>
        <v/>
      </c>
      <c r="H2902" s="10" t="str">
        <f aca="false">IF($B2902="","",SUBSTITUTE(SUBSTITUTE(SUBSTITUTE($B2902,"-","")," ",""),".",""))</f>
        <v/>
      </c>
      <c r="I2902" s="10" t="str">
        <f aca="false">IF($D2902="","",SUBSTITUTE(SUBSTITUTE(SUBSTITUTE($D2902,"-","")," ",""),".",""))</f>
        <v/>
      </c>
      <c r="J2902" s="10" t="str">
        <f aca="false">IF($E2902="","",UPPER(SUBSTITUTE($E2902," ","")))</f>
        <v/>
      </c>
      <c r="K2902" s="10" t="str">
        <f aca="false">IF($A2902="","",$G2902&amp;"|"&amp;$J2902)</f>
        <v/>
      </c>
      <c r="L2902" s="10" t="str">
        <f aca="false">IF($A2902="","",ROW()-2)</f>
        <v/>
      </c>
      <c r="M2902" s="10" t="str">
        <f aca="false">IF($A2902="","",ROW())</f>
        <v/>
      </c>
    </row>
    <row r="2903" customFormat="false" ht="15" hidden="false" customHeight="true" outlineLevel="0" collapsed="false">
      <c r="A2903" s="8"/>
      <c r="B2903" s="8"/>
      <c r="C2903" s="8"/>
      <c r="D2903" s="8"/>
      <c r="E2903" s="8"/>
      <c r="F2903" s="8"/>
      <c r="G2903" s="10" t="str">
        <f aca="false">IF($A2903="","",UPPER(SUBSTITUTE(SUBSTITUTE(SUBSTITUTE(SUBSTITUTE($A2903," ",""),"(주)",""),"주식회사",""),"㈜","")))</f>
        <v/>
      </c>
      <c r="H2903" s="10" t="str">
        <f aca="false">IF($B2903="","",SUBSTITUTE(SUBSTITUTE(SUBSTITUTE($B2903,"-","")," ",""),".",""))</f>
        <v/>
      </c>
      <c r="I2903" s="10" t="str">
        <f aca="false">IF($D2903="","",SUBSTITUTE(SUBSTITUTE(SUBSTITUTE($D2903,"-","")," ",""),".",""))</f>
        <v/>
      </c>
      <c r="J2903" s="10" t="str">
        <f aca="false">IF($E2903="","",UPPER(SUBSTITUTE($E2903," ","")))</f>
        <v/>
      </c>
      <c r="K2903" s="10" t="str">
        <f aca="false">IF($A2903="","",$G2903&amp;"|"&amp;$J2903)</f>
        <v/>
      </c>
      <c r="L2903" s="10" t="str">
        <f aca="false">IF($A2903="","",ROW()-2)</f>
        <v/>
      </c>
      <c r="M2903" s="10" t="str">
        <f aca="false">IF($A2903="","",ROW())</f>
        <v/>
      </c>
    </row>
    <row r="2904" customFormat="false" ht="15" hidden="false" customHeight="true" outlineLevel="0" collapsed="false">
      <c r="A2904" s="8"/>
      <c r="B2904" s="8"/>
      <c r="C2904" s="8"/>
      <c r="D2904" s="8"/>
      <c r="E2904" s="8"/>
      <c r="F2904" s="8"/>
      <c r="G2904" s="10" t="str">
        <f aca="false">IF($A2904="","",UPPER(SUBSTITUTE(SUBSTITUTE(SUBSTITUTE(SUBSTITUTE($A2904," ",""),"(주)",""),"주식회사",""),"㈜","")))</f>
        <v/>
      </c>
      <c r="H2904" s="10" t="str">
        <f aca="false">IF($B2904="","",SUBSTITUTE(SUBSTITUTE(SUBSTITUTE($B2904,"-","")," ",""),".",""))</f>
        <v/>
      </c>
      <c r="I2904" s="10" t="str">
        <f aca="false">IF($D2904="","",SUBSTITUTE(SUBSTITUTE(SUBSTITUTE($D2904,"-","")," ",""),".",""))</f>
        <v/>
      </c>
      <c r="J2904" s="10" t="str">
        <f aca="false">IF($E2904="","",UPPER(SUBSTITUTE($E2904," ","")))</f>
        <v/>
      </c>
      <c r="K2904" s="10" t="str">
        <f aca="false">IF($A2904="","",$G2904&amp;"|"&amp;$J2904)</f>
        <v/>
      </c>
      <c r="L2904" s="10" t="str">
        <f aca="false">IF($A2904="","",ROW()-2)</f>
        <v/>
      </c>
      <c r="M2904" s="10" t="str">
        <f aca="false">IF($A2904="","",ROW())</f>
        <v/>
      </c>
    </row>
    <row r="2905" customFormat="false" ht="15" hidden="false" customHeight="true" outlineLevel="0" collapsed="false">
      <c r="A2905" s="8"/>
      <c r="B2905" s="8"/>
      <c r="C2905" s="8"/>
      <c r="D2905" s="8"/>
      <c r="E2905" s="8"/>
      <c r="F2905" s="8"/>
      <c r="G2905" s="10" t="str">
        <f aca="false">IF($A2905="","",UPPER(SUBSTITUTE(SUBSTITUTE(SUBSTITUTE(SUBSTITUTE($A2905," ",""),"(주)",""),"주식회사",""),"㈜","")))</f>
        <v/>
      </c>
      <c r="H2905" s="10" t="str">
        <f aca="false">IF($B2905="","",SUBSTITUTE(SUBSTITUTE(SUBSTITUTE($B2905,"-","")," ",""),".",""))</f>
        <v/>
      </c>
      <c r="I2905" s="10" t="str">
        <f aca="false">IF($D2905="","",SUBSTITUTE(SUBSTITUTE(SUBSTITUTE($D2905,"-","")," ",""),".",""))</f>
        <v/>
      </c>
      <c r="J2905" s="10" t="str">
        <f aca="false">IF($E2905="","",UPPER(SUBSTITUTE($E2905," ","")))</f>
        <v/>
      </c>
      <c r="K2905" s="10" t="str">
        <f aca="false">IF($A2905="","",$G2905&amp;"|"&amp;$J2905)</f>
        <v/>
      </c>
      <c r="L2905" s="10" t="str">
        <f aca="false">IF($A2905="","",ROW()-2)</f>
        <v/>
      </c>
      <c r="M2905" s="10" t="str">
        <f aca="false">IF($A2905="","",ROW())</f>
        <v/>
      </c>
    </row>
    <row r="2906" customFormat="false" ht="15" hidden="false" customHeight="true" outlineLevel="0" collapsed="false">
      <c r="A2906" s="8"/>
      <c r="B2906" s="8"/>
      <c r="C2906" s="8"/>
      <c r="D2906" s="8"/>
      <c r="E2906" s="8"/>
      <c r="F2906" s="8"/>
      <c r="G2906" s="10" t="str">
        <f aca="false">IF($A2906="","",UPPER(SUBSTITUTE(SUBSTITUTE(SUBSTITUTE(SUBSTITUTE($A2906," ",""),"(주)",""),"주식회사",""),"㈜","")))</f>
        <v/>
      </c>
      <c r="H2906" s="10" t="str">
        <f aca="false">IF($B2906="","",SUBSTITUTE(SUBSTITUTE(SUBSTITUTE($B2906,"-","")," ",""),".",""))</f>
        <v/>
      </c>
      <c r="I2906" s="10" t="str">
        <f aca="false">IF($D2906="","",SUBSTITUTE(SUBSTITUTE(SUBSTITUTE($D2906,"-","")," ",""),".",""))</f>
        <v/>
      </c>
      <c r="J2906" s="10" t="str">
        <f aca="false">IF($E2906="","",UPPER(SUBSTITUTE($E2906," ","")))</f>
        <v/>
      </c>
      <c r="K2906" s="10" t="str">
        <f aca="false">IF($A2906="","",$G2906&amp;"|"&amp;$J2906)</f>
        <v/>
      </c>
      <c r="L2906" s="10" t="str">
        <f aca="false">IF($A2906="","",ROW()-2)</f>
        <v/>
      </c>
      <c r="M2906" s="10" t="str">
        <f aca="false">IF($A2906="","",ROW())</f>
        <v/>
      </c>
    </row>
    <row r="2907" customFormat="false" ht="15" hidden="false" customHeight="true" outlineLevel="0" collapsed="false">
      <c r="A2907" s="8"/>
      <c r="B2907" s="8"/>
      <c r="C2907" s="8"/>
      <c r="D2907" s="8"/>
      <c r="E2907" s="8"/>
      <c r="F2907" s="8"/>
      <c r="G2907" s="10" t="str">
        <f aca="false">IF($A2907="","",UPPER(SUBSTITUTE(SUBSTITUTE(SUBSTITUTE(SUBSTITUTE($A2907," ",""),"(주)",""),"주식회사",""),"㈜","")))</f>
        <v/>
      </c>
      <c r="H2907" s="10" t="str">
        <f aca="false">IF($B2907="","",SUBSTITUTE(SUBSTITUTE(SUBSTITUTE($B2907,"-","")," ",""),".",""))</f>
        <v/>
      </c>
      <c r="I2907" s="10" t="str">
        <f aca="false">IF($D2907="","",SUBSTITUTE(SUBSTITUTE(SUBSTITUTE($D2907,"-","")," ",""),".",""))</f>
        <v/>
      </c>
      <c r="J2907" s="10" t="str">
        <f aca="false">IF($E2907="","",UPPER(SUBSTITUTE($E2907," ","")))</f>
        <v/>
      </c>
      <c r="K2907" s="10" t="str">
        <f aca="false">IF($A2907="","",$G2907&amp;"|"&amp;$J2907)</f>
        <v/>
      </c>
      <c r="L2907" s="10" t="str">
        <f aca="false">IF($A2907="","",ROW()-2)</f>
        <v/>
      </c>
      <c r="M2907" s="10" t="str">
        <f aca="false">IF($A2907="","",ROW())</f>
        <v/>
      </c>
    </row>
    <row r="2908" customFormat="false" ht="15" hidden="false" customHeight="true" outlineLevel="0" collapsed="false">
      <c r="A2908" s="8"/>
      <c r="B2908" s="8"/>
      <c r="C2908" s="8"/>
      <c r="D2908" s="8"/>
      <c r="E2908" s="8"/>
      <c r="F2908" s="8"/>
      <c r="G2908" s="10" t="str">
        <f aca="false">IF($A2908="","",UPPER(SUBSTITUTE(SUBSTITUTE(SUBSTITUTE(SUBSTITUTE($A2908," ",""),"(주)",""),"주식회사",""),"㈜","")))</f>
        <v/>
      </c>
      <c r="H2908" s="10" t="str">
        <f aca="false">IF($B2908="","",SUBSTITUTE(SUBSTITUTE(SUBSTITUTE($B2908,"-","")," ",""),".",""))</f>
        <v/>
      </c>
      <c r="I2908" s="10" t="str">
        <f aca="false">IF($D2908="","",SUBSTITUTE(SUBSTITUTE(SUBSTITUTE($D2908,"-","")," ",""),".",""))</f>
        <v/>
      </c>
      <c r="J2908" s="10" t="str">
        <f aca="false">IF($E2908="","",UPPER(SUBSTITUTE($E2908," ","")))</f>
        <v/>
      </c>
      <c r="K2908" s="10" t="str">
        <f aca="false">IF($A2908="","",$G2908&amp;"|"&amp;$J2908)</f>
        <v/>
      </c>
      <c r="L2908" s="10" t="str">
        <f aca="false">IF($A2908="","",ROW()-2)</f>
        <v/>
      </c>
      <c r="M2908" s="10" t="str">
        <f aca="false">IF($A2908="","",ROW())</f>
        <v/>
      </c>
    </row>
    <row r="2909" customFormat="false" ht="15" hidden="false" customHeight="true" outlineLevel="0" collapsed="false">
      <c r="A2909" s="8"/>
      <c r="B2909" s="8"/>
      <c r="C2909" s="8"/>
      <c r="D2909" s="8"/>
      <c r="E2909" s="8"/>
      <c r="F2909" s="8"/>
      <c r="G2909" s="10" t="str">
        <f aca="false">IF($A2909="","",UPPER(SUBSTITUTE(SUBSTITUTE(SUBSTITUTE(SUBSTITUTE($A2909," ",""),"(주)",""),"주식회사",""),"㈜","")))</f>
        <v/>
      </c>
      <c r="H2909" s="10" t="str">
        <f aca="false">IF($B2909="","",SUBSTITUTE(SUBSTITUTE(SUBSTITUTE($B2909,"-","")," ",""),".",""))</f>
        <v/>
      </c>
      <c r="I2909" s="10" t="str">
        <f aca="false">IF($D2909="","",SUBSTITUTE(SUBSTITUTE(SUBSTITUTE($D2909,"-","")," ",""),".",""))</f>
        <v/>
      </c>
      <c r="J2909" s="10" t="str">
        <f aca="false">IF($E2909="","",UPPER(SUBSTITUTE($E2909," ","")))</f>
        <v/>
      </c>
      <c r="K2909" s="10" t="str">
        <f aca="false">IF($A2909="","",$G2909&amp;"|"&amp;$J2909)</f>
        <v/>
      </c>
      <c r="L2909" s="10" t="str">
        <f aca="false">IF($A2909="","",ROW()-2)</f>
        <v/>
      </c>
      <c r="M2909" s="10" t="str">
        <f aca="false">IF($A2909="","",ROW())</f>
        <v/>
      </c>
    </row>
    <row r="2910" customFormat="false" ht="15" hidden="false" customHeight="true" outlineLevel="0" collapsed="false">
      <c r="A2910" s="8"/>
      <c r="B2910" s="8"/>
      <c r="C2910" s="8"/>
      <c r="D2910" s="8"/>
      <c r="E2910" s="8"/>
      <c r="F2910" s="8"/>
      <c r="G2910" s="10" t="str">
        <f aca="false">IF($A2910="","",UPPER(SUBSTITUTE(SUBSTITUTE(SUBSTITUTE(SUBSTITUTE($A2910," ",""),"(주)",""),"주식회사",""),"㈜","")))</f>
        <v/>
      </c>
      <c r="H2910" s="10" t="str">
        <f aca="false">IF($B2910="","",SUBSTITUTE(SUBSTITUTE(SUBSTITUTE($B2910,"-","")," ",""),".",""))</f>
        <v/>
      </c>
      <c r="I2910" s="10" t="str">
        <f aca="false">IF($D2910="","",SUBSTITUTE(SUBSTITUTE(SUBSTITUTE($D2910,"-","")," ",""),".",""))</f>
        <v/>
      </c>
      <c r="J2910" s="10" t="str">
        <f aca="false">IF($E2910="","",UPPER(SUBSTITUTE($E2910," ","")))</f>
        <v/>
      </c>
      <c r="K2910" s="10" t="str">
        <f aca="false">IF($A2910="","",$G2910&amp;"|"&amp;$J2910)</f>
        <v/>
      </c>
      <c r="L2910" s="10" t="str">
        <f aca="false">IF($A2910="","",ROW()-2)</f>
        <v/>
      </c>
      <c r="M2910" s="10" t="str">
        <f aca="false">IF($A2910="","",ROW())</f>
        <v/>
      </c>
    </row>
    <row r="2911" customFormat="false" ht="15" hidden="false" customHeight="true" outlineLevel="0" collapsed="false">
      <c r="A2911" s="8"/>
      <c r="B2911" s="8"/>
      <c r="C2911" s="8"/>
      <c r="D2911" s="8"/>
      <c r="E2911" s="8"/>
      <c r="F2911" s="8"/>
      <c r="G2911" s="10" t="str">
        <f aca="false">IF($A2911="","",UPPER(SUBSTITUTE(SUBSTITUTE(SUBSTITUTE(SUBSTITUTE($A2911," ",""),"(주)",""),"주식회사",""),"㈜","")))</f>
        <v/>
      </c>
      <c r="H2911" s="10" t="str">
        <f aca="false">IF($B2911="","",SUBSTITUTE(SUBSTITUTE(SUBSTITUTE($B2911,"-","")," ",""),".",""))</f>
        <v/>
      </c>
      <c r="I2911" s="10" t="str">
        <f aca="false">IF($D2911="","",SUBSTITUTE(SUBSTITUTE(SUBSTITUTE($D2911,"-","")," ",""),".",""))</f>
        <v/>
      </c>
      <c r="J2911" s="10" t="str">
        <f aca="false">IF($E2911="","",UPPER(SUBSTITUTE($E2911," ","")))</f>
        <v/>
      </c>
      <c r="K2911" s="10" t="str">
        <f aca="false">IF($A2911="","",$G2911&amp;"|"&amp;$J2911)</f>
        <v/>
      </c>
      <c r="L2911" s="10" t="str">
        <f aca="false">IF($A2911="","",ROW()-2)</f>
        <v/>
      </c>
      <c r="M2911" s="10" t="str">
        <f aca="false">IF($A2911="","",ROW())</f>
        <v/>
      </c>
    </row>
    <row r="2912" customFormat="false" ht="15" hidden="false" customHeight="true" outlineLevel="0" collapsed="false">
      <c r="A2912" s="8"/>
      <c r="B2912" s="8"/>
      <c r="C2912" s="8"/>
      <c r="D2912" s="8"/>
      <c r="E2912" s="8"/>
      <c r="F2912" s="8"/>
      <c r="G2912" s="10" t="str">
        <f aca="false">IF($A2912="","",UPPER(SUBSTITUTE(SUBSTITUTE(SUBSTITUTE(SUBSTITUTE($A2912," ",""),"(주)",""),"주식회사",""),"㈜","")))</f>
        <v/>
      </c>
      <c r="H2912" s="10" t="str">
        <f aca="false">IF($B2912="","",SUBSTITUTE(SUBSTITUTE(SUBSTITUTE($B2912,"-","")," ",""),".",""))</f>
        <v/>
      </c>
      <c r="I2912" s="10" t="str">
        <f aca="false">IF($D2912="","",SUBSTITUTE(SUBSTITUTE(SUBSTITUTE($D2912,"-","")," ",""),".",""))</f>
        <v/>
      </c>
      <c r="J2912" s="10" t="str">
        <f aca="false">IF($E2912="","",UPPER(SUBSTITUTE($E2912," ","")))</f>
        <v/>
      </c>
      <c r="K2912" s="10" t="str">
        <f aca="false">IF($A2912="","",$G2912&amp;"|"&amp;$J2912)</f>
        <v/>
      </c>
      <c r="L2912" s="10" t="str">
        <f aca="false">IF($A2912="","",ROW()-2)</f>
        <v/>
      </c>
      <c r="M2912" s="10" t="str">
        <f aca="false">IF($A2912="","",ROW())</f>
        <v/>
      </c>
    </row>
    <row r="2913" customFormat="false" ht="15" hidden="false" customHeight="true" outlineLevel="0" collapsed="false">
      <c r="A2913" s="8"/>
      <c r="B2913" s="8"/>
      <c r="C2913" s="8"/>
      <c r="D2913" s="8"/>
      <c r="E2913" s="8"/>
      <c r="F2913" s="8"/>
      <c r="G2913" s="10" t="str">
        <f aca="false">IF($A2913="","",UPPER(SUBSTITUTE(SUBSTITUTE(SUBSTITUTE(SUBSTITUTE($A2913," ",""),"(주)",""),"주식회사",""),"㈜","")))</f>
        <v/>
      </c>
      <c r="H2913" s="10" t="str">
        <f aca="false">IF($B2913="","",SUBSTITUTE(SUBSTITUTE(SUBSTITUTE($B2913,"-","")," ",""),".",""))</f>
        <v/>
      </c>
      <c r="I2913" s="10" t="str">
        <f aca="false">IF($D2913="","",SUBSTITUTE(SUBSTITUTE(SUBSTITUTE($D2913,"-","")," ",""),".",""))</f>
        <v/>
      </c>
      <c r="J2913" s="10" t="str">
        <f aca="false">IF($E2913="","",UPPER(SUBSTITUTE($E2913," ","")))</f>
        <v/>
      </c>
      <c r="K2913" s="10" t="str">
        <f aca="false">IF($A2913="","",$G2913&amp;"|"&amp;$J2913)</f>
        <v/>
      </c>
      <c r="L2913" s="10" t="str">
        <f aca="false">IF($A2913="","",ROW()-2)</f>
        <v/>
      </c>
      <c r="M2913" s="10" t="str">
        <f aca="false">IF($A2913="","",ROW())</f>
        <v/>
      </c>
    </row>
    <row r="2914" customFormat="false" ht="15" hidden="false" customHeight="true" outlineLevel="0" collapsed="false">
      <c r="A2914" s="8"/>
      <c r="B2914" s="8"/>
      <c r="C2914" s="8"/>
      <c r="D2914" s="8"/>
      <c r="E2914" s="8"/>
      <c r="F2914" s="8"/>
      <c r="G2914" s="10" t="str">
        <f aca="false">IF($A2914="","",UPPER(SUBSTITUTE(SUBSTITUTE(SUBSTITUTE(SUBSTITUTE($A2914," ",""),"(주)",""),"주식회사",""),"㈜","")))</f>
        <v/>
      </c>
      <c r="H2914" s="10" t="str">
        <f aca="false">IF($B2914="","",SUBSTITUTE(SUBSTITUTE(SUBSTITUTE($B2914,"-","")," ",""),".",""))</f>
        <v/>
      </c>
      <c r="I2914" s="10" t="str">
        <f aca="false">IF($D2914="","",SUBSTITUTE(SUBSTITUTE(SUBSTITUTE($D2914,"-","")," ",""),".",""))</f>
        <v/>
      </c>
      <c r="J2914" s="10" t="str">
        <f aca="false">IF($E2914="","",UPPER(SUBSTITUTE($E2914," ","")))</f>
        <v/>
      </c>
      <c r="K2914" s="10" t="str">
        <f aca="false">IF($A2914="","",$G2914&amp;"|"&amp;$J2914)</f>
        <v/>
      </c>
      <c r="L2914" s="10" t="str">
        <f aca="false">IF($A2914="","",ROW()-2)</f>
        <v/>
      </c>
      <c r="M2914" s="10" t="str">
        <f aca="false">IF($A2914="","",ROW())</f>
        <v/>
      </c>
    </row>
    <row r="2915" customFormat="false" ht="15" hidden="false" customHeight="true" outlineLevel="0" collapsed="false">
      <c r="A2915" s="8"/>
      <c r="B2915" s="8"/>
      <c r="C2915" s="8"/>
      <c r="D2915" s="8"/>
      <c r="E2915" s="8"/>
      <c r="F2915" s="8"/>
      <c r="G2915" s="10" t="str">
        <f aca="false">IF($A2915="","",UPPER(SUBSTITUTE(SUBSTITUTE(SUBSTITUTE(SUBSTITUTE($A2915," ",""),"(주)",""),"주식회사",""),"㈜","")))</f>
        <v/>
      </c>
      <c r="H2915" s="10" t="str">
        <f aca="false">IF($B2915="","",SUBSTITUTE(SUBSTITUTE(SUBSTITUTE($B2915,"-","")," ",""),".",""))</f>
        <v/>
      </c>
      <c r="I2915" s="10" t="str">
        <f aca="false">IF($D2915="","",SUBSTITUTE(SUBSTITUTE(SUBSTITUTE($D2915,"-","")," ",""),".",""))</f>
        <v/>
      </c>
      <c r="J2915" s="10" t="str">
        <f aca="false">IF($E2915="","",UPPER(SUBSTITUTE($E2915," ","")))</f>
        <v/>
      </c>
      <c r="K2915" s="10" t="str">
        <f aca="false">IF($A2915="","",$G2915&amp;"|"&amp;$J2915)</f>
        <v/>
      </c>
      <c r="L2915" s="10" t="str">
        <f aca="false">IF($A2915="","",ROW()-2)</f>
        <v/>
      </c>
      <c r="M2915" s="10" t="str">
        <f aca="false">IF($A2915="","",ROW())</f>
        <v/>
      </c>
    </row>
    <row r="2916" customFormat="false" ht="15" hidden="false" customHeight="true" outlineLevel="0" collapsed="false">
      <c r="A2916" s="8"/>
      <c r="B2916" s="8"/>
      <c r="C2916" s="8"/>
      <c r="D2916" s="8"/>
      <c r="E2916" s="8"/>
      <c r="F2916" s="8"/>
      <c r="G2916" s="10" t="str">
        <f aca="false">IF($A2916="","",UPPER(SUBSTITUTE(SUBSTITUTE(SUBSTITUTE(SUBSTITUTE($A2916," ",""),"(주)",""),"주식회사",""),"㈜","")))</f>
        <v/>
      </c>
      <c r="H2916" s="10" t="str">
        <f aca="false">IF($B2916="","",SUBSTITUTE(SUBSTITUTE(SUBSTITUTE($B2916,"-","")," ",""),".",""))</f>
        <v/>
      </c>
      <c r="I2916" s="10" t="str">
        <f aca="false">IF($D2916="","",SUBSTITUTE(SUBSTITUTE(SUBSTITUTE($D2916,"-","")," ",""),".",""))</f>
        <v/>
      </c>
      <c r="J2916" s="10" t="str">
        <f aca="false">IF($E2916="","",UPPER(SUBSTITUTE($E2916," ","")))</f>
        <v/>
      </c>
      <c r="K2916" s="10" t="str">
        <f aca="false">IF($A2916="","",$G2916&amp;"|"&amp;$J2916)</f>
        <v/>
      </c>
      <c r="L2916" s="10" t="str">
        <f aca="false">IF($A2916="","",ROW()-2)</f>
        <v/>
      </c>
      <c r="M2916" s="10" t="str">
        <f aca="false">IF($A2916="","",ROW())</f>
        <v/>
      </c>
    </row>
    <row r="2917" customFormat="false" ht="15" hidden="false" customHeight="true" outlineLevel="0" collapsed="false">
      <c r="A2917" s="8"/>
      <c r="B2917" s="8"/>
      <c r="C2917" s="8"/>
      <c r="D2917" s="8"/>
      <c r="E2917" s="8"/>
      <c r="F2917" s="8"/>
      <c r="G2917" s="10" t="str">
        <f aca="false">IF($A2917="","",UPPER(SUBSTITUTE(SUBSTITUTE(SUBSTITUTE(SUBSTITUTE($A2917," ",""),"(주)",""),"주식회사",""),"㈜","")))</f>
        <v/>
      </c>
      <c r="H2917" s="10" t="str">
        <f aca="false">IF($B2917="","",SUBSTITUTE(SUBSTITUTE(SUBSTITUTE($B2917,"-","")," ",""),".",""))</f>
        <v/>
      </c>
      <c r="I2917" s="10" t="str">
        <f aca="false">IF($D2917="","",SUBSTITUTE(SUBSTITUTE(SUBSTITUTE($D2917,"-","")," ",""),".",""))</f>
        <v/>
      </c>
      <c r="J2917" s="10" t="str">
        <f aca="false">IF($E2917="","",UPPER(SUBSTITUTE($E2917," ","")))</f>
        <v/>
      </c>
      <c r="K2917" s="10" t="str">
        <f aca="false">IF($A2917="","",$G2917&amp;"|"&amp;$J2917)</f>
        <v/>
      </c>
      <c r="L2917" s="10" t="str">
        <f aca="false">IF($A2917="","",ROW()-2)</f>
        <v/>
      </c>
      <c r="M2917" s="10" t="str">
        <f aca="false">IF($A2917="","",ROW())</f>
        <v/>
      </c>
    </row>
    <row r="2918" customFormat="false" ht="15" hidden="false" customHeight="true" outlineLevel="0" collapsed="false">
      <c r="A2918" s="8"/>
      <c r="B2918" s="8"/>
      <c r="C2918" s="8"/>
      <c r="D2918" s="8"/>
      <c r="E2918" s="8"/>
      <c r="F2918" s="8"/>
      <c r="G2918" s="10" t="str">
        <f aca="false">IF($A2918="","",UPPER(SUBSTITUTE(SUBSTITUTE(SUBSTITUTE(SUBSTITUTE($A2918," ",""),"(주)",""),"주식회사",""),"㈜","")))</f>
        <v/>
      </c>
      <c r="H2918" s="10" t="str">
        <f aca="false">IF($B2918="","",SUBSTITUTE(SUBSTITUTE(SUBSTITUTE($B2918,"-","")," ",""),".",""))</f>
        <v/>
      </c>
      <c r="I2918" s="10" t="str">
        <f aca="false">IF($D2918="","",SUBSTITUTE(SUBSTITUTE(SUBSTITUTE($D2918,"-","")," ",""),".",""))</f>
        <v/>
      </c>
      <c r="J2918" s="10" t="str">
        <f aca="false">IF($E2918="","",UPPER(SUBSTITUTE($E2918," ","")))</f>
        <v/>
      </c>
      <c r="K2918" s="10" t="str">
        <f aca="false">IF($A2918="","",$G2918&amp;"|"&amp;$J2918)</f>
        <v/>
      </c>
      <c r="L2918" s="10" t="str">
        <f aca="false">IF($A2918="","",ROW()-2)</f>
        <v/>
      </c>
      <c r="M2918" s="10" t="str">
        <f aca="false">IF($A2918="","",ROW())</f>
        <v/>
      </c>
    </row>
    <row r="2919" customFormat="false" ht="15" hidden="false" customHeight="true" outlineLevel="0" collapsed="false">
      <c r="A2919" s="8"/>
      <c r="B2919" s="8"/>
      <c r="C2919" s="8"/>
      <c r="D2919" s="8"/>
      <c r="E2919" s="8"/>
      <c r="F2919" s="8"/>
      <c r="G2919" s="10" t="str">
        <f aca="false">IF($A2919="","",UPPER(SUBSTITUTE(SUBSTITUTE(SUBSTITUTE(SUBSTITUTE($A2919," ",""),"(주)",""),"주식회사",""),"㈜","")))</f>
        <v/>
      </c>
      <c r="H2919" s="10" t="str">
        <f aca="false">IF($B2919="","",SUBSTITUTE(SUBSTITUTE(SUBSTITUTE($B2919,"-","")," ",""),".",""))</f>
        <v/>
      </c>
      <c r="I2919" s="10" t="str">
        <f aca="false">IF($D2919="","",SUBSTITUTE(SUBSTITUTE(SUBSTITUTE($D2919,"-","")," ",""),".",""))</f>
        <v/>
      </c>
      <c r="J2919" s="10" t="str">
        <f aca="false">IF($E2919="","",UPPER(SUBSTITUTE($E2919," ","")))</f>
        <v/>
      </c>
      <c r="K2919" s="10" t="str">
        <f aca="false">IF($A2919="","",$G2919&amp;"|"&amp;$J2919)</f>
        <v/>
      </c>
      <c r="L2919" s="10" t="str">
        <f aca="false">IF($A2919="","",ROW()-2)</f>
        <v/>
      </c>
      <c r="M2919" s="10" t="str">
        <f aca="false">IF($A2919="","",ROW())</f>
        <v/>
      </c>
    </row>
    <row r="2920" customFormat="false" ht="15" hidden="false" customHeight="true" outlineLevel="0" collapsed="false">
      <c r="A2920" s="8"/>
      <c r="B2920" s="8"/>
      <c r="C2920" s="8"/>
      <c r="D2920" s="8"/>
      <c r="E2920" s="8"/>
      <c r="F2920" s="8"/>
      <c r="G2920" s="10" t="str">
        <f aca="false">IF($A2920="","",UPPER(SUBSTITUTE(SUBSTITUTE(SUBSTITUTE(SUBSTITUTE($A2920," ",""),"(주)",""),"주식회사",""),"㈜","")))</f>
        <v/>
      </c>
      <c r="H2920" s="10" t="str">
        <f aca="false">IF($B2920="","",SUBSTITUTE(SUBSTITUTE(SUBSTITUTE($B2920,"-","")," ",""),".",""))</f>
        <v/>
      </c>
      <c r="I2920" s="10" t="str">
        <f aca="false">IF($D2920="","",SUBSTITUTE(SUBSTITUTE(SUBSTITUTE($D2920,"-","")," ",""),".",""))</f>
        <v/>
      </c>
      <c r="J2920" s="10" t="str">
        <f aca="false">IF($E2920="","",UPPER(SUBSTITUTE($E2920," ","")))</f>
        <v/>
      </c>
      <c r="K2920" s="10" t="str">
        <f aca="false">IF($A2920="","",$G2920&amp;"|"&amp;$J2920)</f>
        <v/>
      </c>
      <c r="L2920" s="10" t="str">
        <f aca="false">IF($A2920="","",ROW()-2)</f>
        <v/>
      </c>
      <c r="M2920" s="10" t="str">
        <f aca="false">IF($A2920="","",ROW())</f>
        <v/>
      </c>
    </row>
    <row r="2921" customFormat="false" ht="15" hidden="false" customHeight="true" outlineLevel="0" collapsed="false">
      <c r="A2921" s="8"/>
      <c r="B2921" s="8"/>
      <c r="C2921" s="8"/>
      <c r="D2921" s="8"/>
      <c r="E2921" s="8"/>
      <c r="F2921" s="8"/>
      <c r="G2921" s="10" t="str">
        <f aca="false">IF($A2921="","",UPPER(SUBSTITUTE(SUBSTITUTE(SUBSTITUTE(SUBSTITUTE($A2921," ",""),"(주)",""),"주식회사",""),"㈜","")))</f>
        <v/>
      </c>
      <c r="H2921" s="10" t="str">
        <f aca="false">IF($B2921="","",SUBSTITUTE(SUBSTITUTE(SUBSTITUTE($B2921,"-","")," ",""),".",""))</f>
        <v/>
      </c>
      <c r="I2921" s="10" t="str">
        <f aca="false">IF($D2921="","",SUBSTITUTE(SUBSTITUTE(SUBSTITUTE($D2921,"-","")," ",""),".",""))</f>
        <v/>
      </c>
      <c r="J2921" s="10" t="str">
        <f aca="false">IF($E2921="","",UPPER(SUBSTITUTE($E2921," ","")))</f>
        <v/>
      </c>
      <c r="K2921" s="10" t="str">
        <f aca="false">IF($A2921="","",$G2921&amp;"|"&amp;$J2921)</f>
        <v/>
      </c>
      <c r="L2921" s="10" t="str">
        <f aca="false">IF($A2921="","",ROW()-2)</f>
        <v/>
      </c>
      <c r="M2921" s="10" t="str">
        <f aca="false">IF($A2921="","",ROW())</f>
        <v/>
      </c>
    </row>
    <row r="2922" customFormat="false" ht="15" hidden="false" customHeight="true" outlineLevel="0" collapsed="false">
      <c r="A2922" s="8"/>
      <c r="B2922" s="8"/>
      <c r="C2922" s="8"/>
      <c r="D2922" s="8"/>
      <c r="E2922" s="8"/>
      <c r="F2922" s="8"/>
      <c r="G2922" s="10" t="str">
        <f aca="false">IF($A2922="","",UPPER(SUBSTITUTE(SUBSTITUTE(SUBSTITUTE(SUBSTITUTE($A2922," ",""),"(주)",""),"주식회사",""),"㈜","")))</f>
        <v/>
      </c>
      <c r="H2922" s="10" t="str">
        <f aca="false">IF($B2922="","",SUBSTITUTE(SUBSTITUTE(SUBSTITUTE($B2922,"-","")," ",""),".",""))</f>
        <v/>
      </c>
      <c r="I2922" s="10" t="str">
        <f aca="false">IF($D2922="","",SUBSTITUTE(SUBSTITUTE(SUBSTITUTE($D2922,"-","")," ",""),".",""))</f>
        <v/>
      </c>
      <c r="J2922" s="10" t="str">
        <f aca="false">IF($E2922="","",UPPER(SUBSTITUTE($E2922," ","")))</f>
        <v/>
      </c>
      <c r="K2922" s="10" t="str">
        <f aca="false">IF($A2922="","",$G2922&amp;"|"&amp;$J2922)</f>
        <v/>
      </c>
      <c r="L2922" s="10" t="str">
        <f aca="false">IF($A2922="","",ROW()-2)</f>
        <v/>
      </c>
      <c r="M2922" s="10" t="str">
        <f aca="false">IF($A2922="","",ROW())</f>
        <v/>
      </c>
    </row>
    <row r="2923" customFormat="false" ht="15" hidden="false" customHeight="true" outlineLevel="0" collapsed="false">
      <c r="A2923" s="8"/>
      <c r="B2923" s="8"/>
      <c r="C2923" s="8"/>
      <c r="D2923" s="8"/>
      <c r="E2923" s="8"/>
      <c r="F2923" s="8"/>
      <c r="G2923" s="10" t="str">
        <f aca="false">IF($A2923="","",UPPER(SUBSTITUTE(SUBSTITUTE(SUBSTITUTE(SUBSTITUTE($A2923," ",""),"(주)",""),"주식회사",""),"㈜","")))</f>
        <v/>
      </c>
      <c r="H2923" s="10" t="str">
        <f aca="false">IF($B2923="","",SUBSTITUTE(SUBSTITUTE(SUBSTITUTE($B2923,"-","")," ",""),".",""))</f>
        <v/>
      </c>
      <c r="I2923" s="10" t="str">
        <f aca="false">IF($D2923="","",SUBSTITUTE(SUBSTITUTE(SUBSTITUTE($D2923,"-","")," ",""),".",""))</f>
        <v/>
      </c>
      <c r="J2923" s="10" t="str">
        <f aca="false">IF($E2923="","",UPPER(SUBSTITUTE($E2923," ","")))</f>
        <v/>
      </c>
      <c r="K2923" s="10" t="str">
        <f aca="false">IF($A2923="","",$G2923&amp;"|"&amp;$J2923)</f>
        <v/>
      </c>
      <c r="L2923" s="10" t="str">
        <f aca="false">IF($A2923="","",ROW()-2)</f>
        <v/>
      </c>
      <c r="M2923" s="10" t="str">
        <f aca="false">IF($A2923="","",ROW())</f>
        <v/>
      </c>
    </row>
    <row r="2924" customFormat="false" ht="15" hidden="false" customHeight="true" outlineLevel="0" collapsed="false">
      <c r="A2924" s="8"/>
      <c r="B2924" s="8"/>
      <c r="C2924" s="8"/>
      <c r="D2924" s="8"/>
      <c r="E2924" s="8"/>
      <c r="F2924" s="8"/>
      <c r="G2924" s="10" t="str">
        <f aca="false">IF($A2924="","",UPPER(SUBSTITUTE(SUBSTITUTE(SUBSTITUTE(SUBSTITUTE($A2924," ",""),"(주)",""),"주식회사",""),"㈜","")))</f>
        <v/>
      </c>
      <c r="H2924" s="10" t="str">
        <f aca="false">IF($B2924="","",SUBSTITUTE(SUBSTITUTE(SUBSTITUTE($B2924,"-","")," ",""),".",""))</f>
        <v/>
      </c>
      <c r="I2924" s="10" t="str">
        <f aca="false">IF($D2924="","",SUBSTITUTE(SUBSTITUTE(SUBSTITUTE($D2924,"-","")," ",""),".",""))</f>
        <v/>
      </c>
      <c r="J2924" s="10" t="str">
        <f aca="false">IF($E2924="","",UPPER(SUBSTITUTE($E2924," ","")))</f>
        <v/>
      </c>
      <c r="K2924" s="10" t="str">
        <f aca="false">IF($A2924="","",$G2924&amp;"|"&amp;$J2924)</f>
        <v/>
      </c>
      <c r="L2924" s="10" t="str">
        <f aca="false">IF($A2924="","",ROW()-2)</f>
        <v/>
      </c>
      <c r="M2924" s="10" t="str">
        <f aca="false">IF($A2924="","",ROW())</f>
        <v/>
      </c>
    </row>
    <row r="2925" customFormat="false" ht="15" hidden="false" customHeight="true" outlineLevel="0" collapsed="false">
      <c r="A2925" s="8"/>
      <c r="B2925" s="8"/>
      <c r="C2925" s="8"/>
      <c r="D2925" s="8"/>
      <c r="E2925" s="8"/>
      <c r="F2925" s="8"/>
      <c r="G2925" s="10" t="str">
        <f aca="false">IF($A2925="","",UPPER(SUBSTITUTE(SUBSTITUTE(SUBSTITUTE(SUBSTITUTE($A2925," ",""),"(주)",""),"주식회사",""),"㈜","")))</f>
        <v/>
      </c>
      <c r="H2925" s="10" t="str">
        <f aca="false">IF($B2925="","",SUBSTITUTE(SUBSTITUTE(SUBSTITUTE($B2925,"-","")," ",""),".",""))</f>
        <v/>
      </c>
      <c r="I2925" s="10" t="str">
        <f aca="false">IF($D2925="","",SUBSTITUTE(SUBSTITUTE(SUBSTITUTE($D2925,"-","")," ",""),".",""))</f>
        <v/>
      </c>
      <c r="J2925" s="10" t="str">
        <f aca="false">IF($E2925="","",UPPER(SUBSTITUTE($E2925," ","")))</f>
        <v/>
      </c>
      <c r="K2925" s="10" t="str">
        <f aca="false">IF($A2925="","",$G2925&amp;"|"&amp;$J2925)</f>
        <v/>
      </c>
      <c r="L2925" s="10" t="str">
        <f aca="false">IF($A2925="","",ROW()-2)</f>
        <v/>
      </c>
      <c r="M2925" s="10" t="str">
        <f aca="false">IF($A2925="","",ROW())</f>
        <v/>
      </c>
    </row>
    <row r="2926" customFormat="false" ht="15" hidden="false" customHeight="true" outlineLevel="0" collapsed="false">
      <c r="A2926" s="8"/>
      <c r="B2926" s="8"/>
      <c r="C2926" s="8"/>
      <c r="D2926" s="8"/>
      <c r="E2926" s="8"/>
      <c r="F2926" s="8"/>
      <c r="G2926" s="10" t="str">
        <f aca="false">IF($A2926="","",UPPER(SUBSTITUTE(SUBSTITUTE(SUBSTITUTE(SUBSTITUTE($A2926," ",""),"(주)",""),"주식회사",""),"㈜","")))</f>
        <v/>
      </c>
      <c r="H2926" s="10" t="str">
        <f aca="false">IF($B2926="","",SUBSTITUTE(SUBSTITUTE(SUBSTITUTE($B2926,"-","")," ",""),".",""))</f>
        <v/>
      </c>
      <c r="I2926" s="10" t="str">
        <f aca="false">IF($D2926="","",SUBSTITUTE(SUBSTITUTE(SUBSTITUTE($D2926,"-","")," ",""),".",""))</f>
        <v/>
      </c>
      <c r="J2926" s="10" t="str">
        <f aca="false">IF($E2926="","",UPPER(SUBSTITUTE($E2926," ","")))</f>
        <v/>
      </c>
      <c r="K2926" s="10" t="str">
        <f aca="false">IF($A2926="","",$G2926&amp;"|"&amp;$J2926)</f>
        <v/>
      </c>
      <c r="L2926" s="10" t="str">
        <f aca="false">IF($A2926="","",ROW()-2)</f>
        <v/>
      </c>
      <c r="M2926" s="10" t="str">
        <f aca="false">IF($A2926="","",ROW())</f>
        <v/>
      </c>
    </row>
    <row r="2927" customFormat="false" ht="15" hidden="false" customHeight="true" outlineLevel="0" collapsed="false">
      <c r="A2927" s="8"/>
      <c r="B2927" s="8"/>
      <c r="C2927" s="8"/>
      <c r="D2927" s="8"/>
      <c r="E2927" s="8"/>
      <c r="F2927" s="8"/>
      <c r="G2927" s="10" t="str">
        <f aca="false">IF($A2927="","",UPPER(SUBSTITUTE(SUBSTITUTE(SUBSTITUTE(SUBSTITUTE($A2927," ",""),"(주)",""),"주식회사",""),"㈜","")))</f>
        <v/>
      </c>
      <c r="H2927" s="10" t="str">
        <f aca="false">IF($B2927="","",SUBSTITUTE(SUBSTITUTE(SUBSTITUTE($B2927,"-","")," ",""),".",""))</f>
        <v/>
      </c>
      <c r="I2927" s="10" t="str">
        <f aca="false">IF($D2927="","",SUBSTITUTE(SUBSTITUTE(SUBSTITUTE($D2927,"-","")," ",""),".",""))</f>
        <v/>
      </c>
      <c r="J2927" s="10" t="str">
        <f aca="false">IF($E2927="","",UPPER(SUBSTITUTE($E2927," ","")))</f>
        <v/>
      </c>
      <c r="K2927" s="10" t="str">
        <f aca="false">IF($A2927="","",$G2927&amp;"|"&amp;$J2927)</f>
        <v/>
      </c>
      <c r="L2927" s="10" t="str">
        <f aca="false">IF($A2927="","",ROW()-2)</f>
        <v/>
      </c>
      <c r="M2927" s="10" t="str">
        <f aca="false">IF($A2927="","",ROW())</f>
        <v/>
      </c>
    </row>
    <row r="2928" customFormat="false" ht="15" hidden="false" customHeight="true" outlineLevel="0" collapsed="false">
      <c r="A2928" s="8"/>
      <c r="B2928" s="8"/>
      <c r="C2928" s="8"/>
      <c r="D2928" s="8"/>
      <c r="E2928" s="8"/>
      <c r="F2928" s="8"/>
      <c r="G2928" s="10" t="str">
        <f aca="false">IF($A2928="","",UPPER(SUBSTITUTE(SUBSTITUTE(SUBSTITUTE(SUBSTITUTE($A2928," ",""),"(주)",""),"주식회사",""),"㈜","")))</f>
        <v/>
      </c>
      <c r="H2928" s="10" t="str">
        <f aca="false">IF($B2928="","",SUBSTITUTE(SUBSTITUTE(SUBSTITUTE($B2928,"-","")," ",""),".",""))</f>
        <v/>
      </c>
      <c r="I2928" s="10" t="str">
        <f aca="false">IF($D2928="","",SUBSTITUTE(SUBSTITUTE(SUBSTITUTE($D2928,"-","")," ",""),".",""))</f>
        <v/>
      </c>
      <c r="J2928" s="10" t="str">
        <f aca="false">IF($E2928="","",UPPER(SUBSTITUTE($E2928," ","")))</f>
        <v/>
      </c>
      <c r="K2928" s="10" t="str">
        <f aca="false">IF($A2928="","",$G2928&amp;"|"&amp;$J2928)</f>
        <v/>
      </c>
      <c r="L2928" s="10" t="str">
        <f aca="false">IF($A2928="","",ROW()-2)</f>
        <v/>
      </c>
      <c r="M2928" s="10" t="str">
        <f aca="false">IF($A2928="","",ROW())</f>
        <v/>
      </c>
    </row>
    <row r="2929" customFormat="false" ht="15" hidden="false" customHeight="true" outlineLevel="0" collapsed="false">
      <c r="A2929" s="8"/>
      <c r="B2929" s="8"/>
      <c r="C2929" s="8"/>
      <c r="D2929" s="8"/>
      <c r="E2929" s="8"/>
      <c r="F2929" s="8"/>
      <c r="G2929" s="10" t="str">
        <f aca="false">IF($A2929="","",UPPER(SUBSTITUTE(SUBSTITUTE(SUBSTITUTE(SUBSTITUTE($A2929," ",""),"(주)",""),"주식회사",""),"㈜","")))</f>
        <v/>
      </c>
      <c r="H2929" s="10" t="str">
        <f aca="false">IF($B2929="","",SUBSTITUTE(SUBSTITUTE(SUBSTITUTE($B2929,"-","")," ",""),".",""))</f>
        <v/>
      </c>
      <c r="I2929" s="10" t="str">
        <f aca="false">IF($D2929="","",SUBSTITUTE(SUBSTITUTE(SUBSTITUTE($D2929,"-","")," ",""),".",""))</f>
        <v/>
      </c>
      <c r="J2929" s="10" t="str">
        <f aca="false">IF($E2929="","",UPPER(SUBSTITUTE($E2929," ","")))</f>
        <v/>
      </c>
      <c r="K2929" s="10" t="str">
        <f aca="false">IF($A2929="","",$G2929&amp;"|"&amp;$J2929)</f>
        <v/>
      </c>
      <c r="L2929" s="10" t="str">
        <f aca="false">IF($A2929="","",ROW()-2)</f>
        <v/>
      </c>
      <c r="M2929" s="10" t="str">
        <f aca="false">IF($A2929="","",ROW())</f>
        <v/>
      </c>
    </row>
    <row r="2930" customFormat="false" ht="15" hidden="false" customHeight="true" outlineLevel="0" collapsed="false">
      <c r="A2930" s="8"/>
      <c r="B2930" s="8"/>
      <c r="C2930" s="8"/>
      <c r="D2930" s="8"/>
      <c r="E2930" s="8"/>
      <c r="F2930" s="8"/>
      <c r="G2930" s="10" t="str">
        <f aca="false">IF($A2930="","",UPPER(SUBSTITUTE(SUBSTITUTE(SUBSTITUTE(SUBSTITUTE($A2930," ",""),"(주)",""),"주식회사",""),"㈜","")))</f>
        <v/>
      </c>
      <c r="H2930" s="10" t="str">
        <f aca="false">IF($B2930="","",SUBSTITUTE(SUBSTITUTE(SUBSTITUTE($B2930,"-","")," ",""),".",""))</f>
        <v/>
      </c>
      <c r="I2930" s="10" t="str">
        <f aca="false">IF($D2930="","",SUBSTITUTE(SUBSTITUTE(SUBSTITUTE($D2930,"-","")," ",""),".",""))</f>
        <v/>
      </c>
      <c r="J2930" s="10" t="str">
        <f aca="false">IF($E2930="","",UPPER(SUBSTITUTE($E2930," ","")))</f>
        <v/>
      </c>
      <c r="K2930" s="10" t="str">
        <f aca="false">IF($A2930="","",$G2930&amp;"|"&amp;$J2930)</f>
        <v/>
      </c>
      <c r="L2930" s="10" t="str">
        <f aca="false">IF($A2930="","",ROW()-2)</f>
        <v/>
      </c>
      <c r="M2930" s="10" t="str">
        <f aca="false">IF($A2930="","",ROW())</f>
        <v/>
      </c>
    </row>
    <row r="2931" customFormat="false" ht="15" hidden="false" customHeight="true" outlineLevel="0" collapsed="false">
      <c r="A2931" s="8"/>
      <c r="B2931" s="8"/>
      <c r="C2931" s="8"/>
      <c r="D2931" s="8"/>
      <c r="E2931" s="8"/>
      <c r="F2931" s="8"/>
      <c r="G2931" s="10" t="str">
        <f aca="false">IF($A2931="","",UPPER(SUBSTITUTE(SUBSTITUTE(SUBSTITUTE(SUBSTITUTE($A2931," ",""),"(주)",""),"주식회사",""),"㈜","")))</f>
        <v/>
      </c>
      <c r="H2931" s="10" t="str">
        <f aca="false">IF($B2931="","",SUBSTITUTE(SUBSTITUTE(SUBSTITUTE($B2931,"-","")," ",""),".",""))</f>
        <v/>
      </c>
      <c r="I2931" s="10" t="str">
        <f aca="false">IF($D2931="","",SUBSTITUTE(SUBSTITUTE(SUBSTITUTE($D2931,"-","")," ",""),".",""))</f>
        <v/>
      </c>
      <c r="J2931" s="10" t="str">
        <f aca="false">IF($E2931="","",UPPER(SUBSTITUTE($E2931," ","")))</f>
        <v/>
      </c>
      <c r="K2931" s="10" t="str">
        <f aca="false">IF($A2931="","",$G2931&amp;"|"&amp;$J2931)</f>
        <v/>
      </c>
      <c r="L2931" s="10" t="str">
        <f aca="false">IF($A2931="","",ROW()-2)</f>
        <v/>
      </c>
      <c r="M2931" s="10" t="str">
        <f aca="false">IF($A2931="","",ROW())</f>
        <v/>
      </c>
    </row>
    <row r="2932" customFormat="false" ht="15" hidden="false" customHeight="true" outlineLevel="0" collapsed="false">
      <c r="A2932" s="8"/>
      <c r="B2932" s="8"/>
      <c r="C2932" s="8"/>
      <c r="D2932" s="8"/>
      <c r="E2932" s="8"/>
      <c r="F2932" s="8"/>
      <c r="G2932" s="10" t="str">
        <f aca="false">IF($A2932="","",UPPER(SUBSTITUTE(SUBSTITUTE(SUBSTITUTE(SUBSTITUTE($A2932," ",""),"(주)",""),"주식회사",""),"㈜","")))</f>
        <v/>
      </c>
      <c r="H2932" s="10" t="str">
        <f aca="false">IF($B2932="","",SUBSTITUTE(SUBSTITUTE(SUBSTITUTE($B2932,"-","")," ",""),".",""))</f>
        <v/>
      </c>
      <c r="I2932" s="10" t="str">
        <f aca="false">IF($D2932="","",SUBSTITUTE(SUBSTITUTE(SUBSTITUTE($D2932,"-","")," ",""),".",""))</f>
        <v/>
      </c>
      <c r="J2932" s="10" t="str">
        <f aca="false">IF($E2932="","",UPPER(SUBSTITUTE($E2932," ","")))</f>
        <v/>
      </c>
      <c r="K2932" s="10" t="str">
        <f aca="false">IF($A2932="","",$G2932&amp;"|"&amp;$J2932)</f>
        <v/>
      </c>
      <c r="L2932" s="10" t="str">
        <f aca="false">IF($A2932="","",ROW()-2)</f>
        <v/>
      </c>
      <c r="M2932" s="10" t="str">
        <f aca="false">IF($A2932="","",ROW())</f>
        <v/>
      </c>
    </row>
    <row r="2933" customFormat="false" ht="15" hidden="false" customHeight="true" outlineLevel="0" collapsed="false">
      <c r="A2933" s="8"/>
      <c r="B2933" s="8"/>
      <c r="C2933" s="8"/>
      <c r="D2933" s="8"/>
      <c r="E2933" s="8"/>
      <c r="F2933" s="8"/>
      <c r="G2933" s="10" t="str">
        <f aca="false">IF($A2933="","",UPPER(SUBSTITUTE(SUBSTITUTE(SUBSTITUTE(SUBSTITUTE($A2933," ",""),"(주)",""),"주식회사",""),"㈜","")))</f>
        <v/>
      </c>
      <c r="H2933" s="10" t="str">
        <f aca="false">IF($B2933="","",SUBSTITUTE(SUBSTITUTE(SUBSTITUTE($B2933,"-","")," ",""),".",""))</f>
        <v/>
      </c>
      <c r="I2933" s="10" t="str">
        <f aca="false">IF($D2933="","",SUBSTITUTE(SUBSTITUTE(SUBSTITUTE($D2933,"-","")," ",""),".",""))</f>
        <v/>
      </c>
      <c r="J2933" s="10" t="str">
        <f aca="false">IF($E2933="","",UPPER(SUBSTITUTE($E2933," ","")))</f>
        <v/>
      </c>
      <c r="K2933" s="10" t="str">
        <f aca="false">IF($A2933="","",$G2933&amp;"|"&amp;$J2933)</f>
        <v/>
      </c>
      <c r="L2933" s="10" t="str">
        <f aca="false">IF($A2933="","",ROW()-2)</f>
        <v/>
      </c>
      <c r="M2933" s="10" t="str">
        <f aca="false">IF($A2933="","",ROW())</f>
        <v/>
      </c>
    </row>
    <row r="2934" customFormat="false" ht="15" hidden="false" customHeight="true" outlineLevel="0" collapsed="false">
      <c r="A2934" s="8"/>
      <c r="B2934" s="8"/>
      <c r="C2934" s="8"/>
      <c r="D2934" s="8"/>
      <c r="E2934" s="8"/>
      <c r="F2934" s="8"/>
      <c r="G2934" s="10" t="str">
        <f aca="false">IF($A2934="","",UPPER(SUBSTITUTE(SUBSTITUTE(SUBSTITUTE(SUBSTITUTE($A2934," ",""),"(주)",""),"주식회사",""),"㈜","")))</f>
        <v/>
      </c>
      <c r="H2934" s="10" t="str">
        <f aca="false">IF($B2934="","",SUBSTITUTE(SUBSTITUTE(SUBSTITUTE($B2934,"-","")," ",""),".",""))</f>
        <v/>
      </c>
      <c r="I2934" s="10" t="str">
        <f aca="false">IF($D2934="","",SUBSTITUTE(SUBSTITUTE(SUBSTITUTE($D2934,"-","")," ",""),".",""))</f>
        <v/>
      </c>
      <c r="J2934" s="10" t="str">
        <f aca="false">IF($E2934="","",UPPER(SUBSTITUTE($E2934," ","")))</f>
        <v/>
      </c>
      <c r="K2934" s="10" t="str">
        <f aca="false">IF($A2934="","",$G2934&amp;"|"&amp;$J2934)</f>
        <v/>
      </c>
      <c r="L2934" s="10" t="str">
        <f aca="false">IF($A2934="","",ROW()-2)</f>
        <v/>
      </c>
      <c r="M2934" s="10" t="str">
        <f aca="false">IF($A2934="","",ROW())</f>
        <v/>
      </c>
    </row>
    <row r="2935" customFormat="false" ht="15" hidden="false" customHeight="true" outlineLevel="0" collapsed="false">
      <c r="A2935" s="8"/>
      <c r="B2935" s="8"/>
      <c r="C2935" s="8"/>
      <c r="D2935" s="8"/>
      <c r="E2935" s="8"/>
      <c r="F2935" s="8"/>
      <c r="G2935" s="10" t="str">
        <f aca="false">IF($A2935="","",UPPER(SUBSTITUTE(SUBSTITUTE(SUBSTITUTE(SUBSTITUTE($A2935," ",""),"(주)",""),"주식회사",""),"㈜","")))</f>
        <v/>
      </c>
      <c r="H2935" s="10" t="str">
        <f aca="false">IF($B2935="","",SUBSTITUTE(SUBSTITUTE(SUBSTITUTE($B2935,"-","")," ",""),".",""))</f>
        <v/>
      </c>
      <c r="I2935" s="10" t="str">
        <f aca="false">IF($D2935="","",SUBSTITUTE(SUBSTITUTE(SUBSTITUTE($D2935,"-","")," ",""),".",""))</f>
        <v/>
      </c>
      <c r="J2935" s="10" t="str">
        <f aca="false">IF($E2935="","",UPPER(SUBSTITUTE($E2935," ","")))</f>
        <v/>
      </c>
      <c r="K2935" s="10" t="str">
        <f aca="false">IF($A2935="","",$G2935&amp;"|"&amp;$J2935)</f>
        <v/>
      </c>
      <c r="L2935" s="10" t="str">
        <f aca="false">IF($A2935="","",ROW()-2)</f>
        <v/>
      </c>
      <c r="M2935" s="10" t="str">
        <f aca="false">IF($A2935="","",ROW())</f>
        <v/>
      </c>
    </row>
    <row r="2936" customFormat="false" ht="15" hidden="false" customHeight="true" outlineLevel="0" collapsed="false">
      <c r="A2936" s="8"/>
      <c r="B2936" s="8"/>
      <c r="C2936" s="8"/>
      <c r="D2936" s="8"/>
      <c r="E2936" s="8"/>
      <c r="F2936" s="8"/>
      <c r="G2936" s="10" t="str">
        <f aca="false">IF($A2936="","",UPPER(SUBSTITUTE(SUBSTITUTE(SUBSTITUTE(SUBSTITUTE($A2936," ",""),"(주)",""),"주식회사",""),"㈜","")))</f>
        <v/>
      </c>
      <c r="H2936" s="10" t="str">
        <f aca="false">IF($B2936="","",SUBSTITUTE(SUBSTITUTE(SUBSTITUTE($B2936,"-","")," ",""),".",""))</f>
        <v/>
      </c>
      <c r="I2936" s="10" t="str">
        <f aca="false">IF($D2936="","",SUBSTITUTE(SUBSTITUTE(SUBSTITUTE($D2936,"-","")," ",""),".",""))</f>
        <v/>
      </c>
      <c r="J2936" s="10" t="str">
        <f aca="false">IF($E2936="","",UPPER(SUBSTITUTE($E2936," ","")))</f>
        <v/>
      </c>
      <c r="K2936" s="10" t="str">
        <f aca="false">IF($A2936="","",$G2936&amp;"|"&amp;$J2936)</f>
        <v/>
      </c>
      <c r="L2936" s="10" t="str">
        <f aca="false">IF($A2936="","",ROW()-2)</f>
        <v/>
      </c>
      <c r="M2936" s="10" t="str">
        <f aca="false">IF($A2936="","",ROW())</f>
        <v/>
      </c>
    </row>
    <row r="2937" customFormat="false" ht="15" hidden="false" customHeight="true" outlineLevel="0" collapsed="false">
      <c r="A2937" s="8"/>
      <c r="B2937" s="8"/>
      <c r="C2937" s="8"/>
      <c r="D2937" s="8"/>
      <c r="E2937" s="8"/>
      <c r="F2937" s="8"/>
      <c r="G2937" s="10" t="str">
        <f aca="false">IF($A2937="","",UPPER(SUBSTITUTE(SUBSTITUTE(SUBSTITUTE(SUBSTITUTE($A2937," ",""),"(주)",""),"주식회사",""),"㈜","")))</f>
        <v/>
      </c>
      <c r="H2937" s="10" t="str">
        <f aca="false">IF($B2937="","",SUBSTITUTE(SUBSTITUTE(SUBSTITUTE($B2937,"-","")," ",""),".",""))</f>
        <v/>
      </c>
      <c r="I2937" s="10" t="str">
        <f aca="false">IF($D2937="","",SUBSTITUTE(SUBSTITUTE(SUBSTITUTE($D2937,"-","")," ",""),".",""))</f>
        <v/>
      </c>
      <c r="J2937" s="10" t="str">
        <f aca="false">IF($E2937="","",UPPER(SUBSTITUTE($E2937," ","")))</f>
        <v/>
      </c>
      <c r="K2937" s="10" t="str">
        <f aca="false">IF($A2937="","",$G2937&amp;"|"&amp;$J2937)</f>
        <v/>
      </c>
      <c r="L2937" s="10" t="str">
        <f aca="false">IF($A2937="","",ROW()-2)</f>
        <v/>
      </c>
      <c r="M2937" s="10" t="str">
        <f aca="false">IF($A2937="","",ROW())</f>
        <v/>
      </c>
    </row>
    <row r="2938" customFormat="false" ht="15" hidden="false" customHeight="true" outlineLevel="0" collapsed="false">
      <c r="A2938" s="8"/>
      <c r="B2938" s="8"/>
      <c r="C2938" s="8"/>
      <c r="D2938" s="8"/>
      <c r="E2938" s="8"/>
      <c r="F2938" s="8"/>
      <c r="G2938" s="10" t="str">
        <f aca="false">IF($A2938="","",UPPER(SUBSTITUTE(SUBSTITUTE(SUBSTITUTE(SUBSTITUTE($A2938," ",""),"(주)",""),"주식회사",""),"㈜","")))</f>
        <v/>
      </c>
      <c r="H2938" s="10" t="str">
        <f aca="false">IF($B2938="","",SUBSTITUTE(SUBSTITUTE(SUBSTITUTE($B2938,"-","")," ",""),".",""))</f>
        <v/>
      </c>
      <c r="I2938" s="10" t="str">
        <f aca="false">IF($D2938="","",SUBSTITUTE(SUBSTITUTE(SUBSTITUTE($D2938,"-","")," ",""),".",""))</f>
        <v/>
      </c>
      <c r="J2938" s="10" t="str">
        <f aca="false">IF($E2938="","",UPPER(SUBSTITUTE($E2938," ","")))</f>
        <v/>
      </c>
      <c r="K2938" s="10" t="str">
        <f aca="false">IF($A2938="","",$G2938&amp;"|"&amp;$J2938)</f>
        <v/>
      </c>
      <c r="L2938" s="10" t="str">
        <f aca="false">IF($A2938="","",ROW()-2)</f>
        <v/>
      </c>
      <c r="M2938" s="10" t="str">
        <f aca="false">IF($A2938="","",ROW())</f>
        <v/>
      </c>
    </row>
    <row r="2939" customFormat="false" ht="15" hidden="false" customHeight="true" outlineLevel="0" collapsed="false">
      <c r="A2939" s="8"/>
      <c r="B2939" s="8"/>
      <c r="C2939" s="8"/>
      <c r="D2939" s="8"/>
      <c r="E2939" s="8"/>
      <c r="F2939" s="8"/>
      <c r="G2939" s="10" t="str">
        <f aca="false">IF($A2939="","",UPPER(SUBSTITUTE(SUBSTITUTE(SUBSTITUTE(SUBSTITUTE($A2939," ",""),"(주)",""),"주식회사",""),"㈜","")))</f>
        <v/>
      </c>
      <c r="H2939" s="10" t="str">
        <f aca="false">IF($B2939="","",SUBSTITUTE(SUBSTITUTE(SUBSTITUTE($B2939,"-","")," ",""),".",""))</f>
        <v/>
      </c>
      <c r="I2939" s="10" t="str">
        <f aca="false">IF($D2939="","",SUBSTITUTE(SUBSTITUTE(SUBSTITUTE($D2939,"-","")," ",""),".",""))</f>
        <v/>
      </c>
      <c r="J2939" s="10" t="str">
        <f aca="false">IF($E2939="","",UPPER(SUBSTITUTE($E2939," ","")))</f>
        <v/>
      </c>
      <c r="K2939" s="10" t="str">
        <f aca="false">IF($A2939="","",$G2939&amp;"|"&amp;$J2939)</f>
        <v/>
      </c>
      <c r="L2939" s="10" t="str">
        <f aca="false">IF($A2939="","",ROW()-2)</f>
        <v/>
      </c>
      <c r="M2939" s="10" t="str">
        <f aca="false">IF($A2939="","",ROW())</f>
        <v/>
      </c>
    </row>
    <row r="2940" customFormat="false" ht="15" hidden="false" customHeight="true" outlineLevel="0" collapsed="false">
      <c r="A2940" s="8"/>
      <c r="B2940" s="8"/>
      <c r="C2940" s="8"/>
      <c r="D2940" s="8"/>
      <c r="E2940" s="8"/>
      <c r="F2940" s="8"/>
      <c r="G2940" s="10" t="str">
        <f aca="false">IF($A2940="","",UPPER(SUBSTITUTE(SUBSTITUTE(SUBSTITUTE(SUBSTITUTE($A2940," ",""),"(주)",""),"주식회사",""),"㈜","")))</f>
        <v/>
      </c>
      <c r="H2940" s="10" t="str">
        <f aca="false">IF($B2940="","",SUBSTITUTE(SUBSTITUTE(SUBSTITUTE($B2940,"-","")," ",""),".",""))</f>
        <v/>
      </c>
      <c r="I2940" s="10" t="str">
        <f aca="false">IF($D2940="","",SUBSTITUTE(SUBSTITUTE(SUBSTITUTE($D2940,"-","")," ",""),".",""))</f>
        <v/>
      </c>
      <c r="J2940" s="10" t="str">
        <f aca="false">IF($E2940="","",UPPER(SUBSTITUTE($E2940," ","")))</f>
        <v/>
      </c>
      <c r="K2940" s="10" t="str">
        <f aca="false">IF($A2940="","",$G2940&amp;"|"&amp;$J2940)</f>
        <v/>
      </c>
      <c r="L2940" s="10" t="str">
        <f aca="false">IF($A2940="","",ROW()-2)</f>
        <v/>
      </c>
      <c r="M2940" s="10" t="str">
        <f aca="false">IF($A2940="","",ROW())</f>
        <v/>
      </c>
    </row>
    <row r="2941" customFormat="false" ht="15" hidden="false" customHeight="true" outlineLevel="0" collapsed="false">
      <c r="A2941" s="8"/>
      <c r="B2941" s="8"/>
      <c r="C2941" s="8"/>
      <c r="D2941" s="8"/>
      <c r="E2941" s="8"/>
      <c r="F2941" s="8"/>
      <c r="G2941" s="10" t="str">
        <f aca="false">IF($A2941="","",UPPER(SUBSTITUTE(SUBSTITUTE(SUBSTITUTE(SUBSTITUTE($A2941," ",""),"(주)",""),"주식회사",""),"㈜","")))</f>
        <v/>
      </c>
      <c r="H2941" s="10" t="str">
        <f aca="false">IF($B2941="","",SUBSTITUTE(SUBSTITUTE(SUBSTITUTE($B2941,"-","")," ",""),".",""))</f>
        <v/>
      </c>
      <c r="I2941" s="10" t="str">
        <f aca="false">IF($D2941="","",SUBSTITUTE(SUBSTITUTE(SUBSTITUTE($D2941,"-","")," ",""),".",""))</f>
        <v/>
      </c>
      <c r="J2941" s="10" t="str">
        <f aca="false">IF($E2941="","",UPPER(SUBSTITUTE($E2941," ","")))</f>
        <v/>
      </c>
      <c r="K2941" s="10" t="str">
        <f aca="false">IF($A2941="","",$G2941&amp;"|"&amp;$J2941)</f>
        <v/>
      </c>
      <c r="L2941" s="10" t="str">
        <f aca="false">IF($A2941="","",ROW()-2)</f>
        <v/>
      </c>
      <c r="M2941" s="10" t="str">
        <f aca="false">IF($A2941="","",ROW())</f>
        <v/>
      </c>
    </row>
    <row r="2942" customFormat="false" ht="15" hidden="false" customHeight="true" outlineLevel="0" collapsed="false">
      <c r="A2942" s="8"/>
      <c r="B2942" s="8"/>
      <c r="C2942" s="8"/>
      <c r="D2942" s="8"/>
      <c r="E2942" s="8"/>
      <c r="F2942" s="8"/>
      <c r="G2942" s="10" t="str">
        <f aca="false">IF($A2942="","",UPPER(SUBSTITUTE(SUBSTITUTE(SUBSTITUTE(SUBSTITUTE($A2942," ",""),"(주)",""),"주식회사",""),"㈜","")))</f>
        <v/>
      </c>
      <c r="H2942" s="10" t="str">
        <f aca="false">IF($B2942="","",SUBSTITUTE(SUBSTITUTE(SUBSTITUTE($B2942,"-","")," ",""),".",""))</f>
        <v/>
      </c>
      <c r="I2942" s="10" t="str">
        <f aca="false">IF($D2942="","",SUBSTITUTE(SUBSTITUTE(SUBSTITUTE($D2942,"-","")," ",""),".",""))</f>
        <v/>
      </c>
      <c r="J2942" s="10" t="str">
        <f aca="false">IF($E2942="","",UPPER(SUBSTITUTE($E2942," ","")))</f>
        <v/>
      </c>
      <c r="K2942" s="10" t="str">
        <f aca="false">IF($A2942="","",$G2942&amp;"|"&amp;$J2942)</f>
        <v/>
      </c>
      <c r="L2942" s="10" t="str">
        <f aca="false">IF($A2942="","",ROW()-2)</f>
        <v/>
      </c>
      <c r="M2942" s="10" t="str">
        <f aca="false">IF($A2942="","",ROW())</f>
        <v/>
      </c>
    </row>
    <row r="2943" customFormat="false" ht="15" hidden="false" customHeight="true" outlineLevel="0" collapsed="false">
      <c r="A2943" s="8"/>
      <c r="B2943" s="8"/>
      <c r="C2943" s="8"/>
      <c r="D2943" s="8"/>
      <c r="E2943" s="8"/>
      <c r="F2943" s="8"/>
      <c r="G2943" s="10" t="str">
        <f aca="false">IF($A2943="","",UPPER(SUBSTITUTE(SUBSTITUTE(SUBSTITUTE(SUBSTITUTE($A2943," ",""),"(주)",""),"주식회사",""),"㈜","")))</f>
        <v/>
      </c>
      <c r="H2943" s="10" t="str">
        <f aca="false">IF($B2943="","",SUBSTITUTE(SUBSTITUTE(SUBSTITUTE($B2943,"-","")," ",""),".",""))</f>
        <v/>
      </c>
      <c r="I2943" s="10" t="str">
        <f aca="false">IF($D2943="","",SUBSTITUTE(SUBSTITUTE(SUBSTITUTE($D2943,"-","")," ",""),".",""))</f>
        <v/>
      </c>
      <c r="J2943" s="10" t="str">
        <f aca="false">IF($E2943="","",UPPER(SUBSTITUTE($E2943," ","")))</f>
        <v/>
      </c>
      <c r="K2943" s="10" t="str">
        <f aca="false">IF($A2943="","",$G2943&amp;"|"&amp;$J2943)</f>
        <v/>
      </c>
      <c r="L2943" s="10" t="str">
        <f aca="false">IF($A2943="","",ROW()-2)</f>
        <v/>
      </c>
      <c r="M2943" s="10" t="str">
        <f aca="false">IF($A2943="","",ROW())</f>
        <v/>
      </c>
    </row>
    <row r="2944" customFormat="false" ht="15" hidden="false" customHeight="true" outlineLevel="0" collapsed="false">
      <c r="A2944" s="8"/>
      <c r="B2944" s="8"/>
      <c r="C2944" s="8"/>
      <c r="D2944" s="8"/>
      <c r="E2944" s="8"/>
      <c r="F2944" s="8"/>
      <c r="G2944" s="10" t="str">
        <f aca="false">IF($A2944="","",UPPER(SUBSTITUTE(SUBSTITUTE(SUBSTITUTE(SUBSTITUTE($A2944," ",""),"(주)",""),"주식회사",""),"㈜","")))</f>
        <v/>
      </c>
      <c r="H2944" s="10" t="str">
        <f aca="false">IF($B2944="","",SUBSTITUTE(SUBSTITUTE(SUBSTITUTE($B2944,"-","")," ",""),".",""))</f>
        <v/>
      </c>
      <c r="I2944" s="10" t="str">
        <f aca="false">IF($D2944="","",SUBSTITUTE(SUBSTITUTE(SUBSTITUTE($D2944,"-","")," ",""),".",""))</f>
        <v/>
      </c>
      <c r="J2944" s="10" t="str">
        <f aca="false">IF($E2944="","",UPPER(SUBSTITUTE($E2944," ","")))</f>
        <v/>
      </c>
      <c r="K2944" s="10" t="str">
        <f aca="false">IF($A2944="","",$G2944&amp;"|"&amp;$J2944)</f>
        <v/>
      </c>
      <c r="L2944" s="10" t="str">
        <f aca="false">IF($A2944="","",ROW()-2)</f>
        <v/>
      </c>
      <c r="M2944" s="10" t="str">
        <f aca="false">IF($A2944="","",ROW())</f>
        <v/>
      </c>
    </row>
    <row r="2945" customFormat="false" ht="15" hidden="false" customHeight="true" outlineLevel="0" collapsed="false">
      <c r="A2945" s="8"/>
      <c r="B2945" s="8"/>
      <c r="C2945" s="8"/>
      <c r="D2945" s="8"/>
      <c r="E2945" s="8"/>
      <c r="F2945" s="8"/>
      <c r="G2945" s="10" t="str">
        <f aca="false">IF($A2945="","",UPPER(SUBSTITUTE(SUBSTITUTE(SUBSTITUTE(SUBSTITUTE($A2945," ",""),"(주)",""),"주식회사",""),"㈜","")))</f>
        <v/>
      </c>
      <c r="H2945" s="10" t="str">
        <f aca="false">IF($B2945="","",SUBSTITUTE(SUBSTITUTE(SUBSTITUTE($B2945,"-","")," ",""),".",""))</f>
        <v/>
      </c>
      <c r="I2945" s="10" t="str">
        <f aca="false">IF($D2945="","",SUBSTITUTE(SUBSTITUTE(SUBSTITUTE($D2945,"-","")," ",""),".",""))</f>
        <v/>
      </c>
      <c r="J2945" s="10" t="str">
        <f aca="false">IF($E2945="","",UPPER(SUBSTITUTE($E2945," ","")))</f>
        <v/>
      </c>
      <c r="K2945" s="10" t="str">
        <f aca="false">IF($A2945="","",$G2945&amp;"|"&amp;$J2945)</f>
        <v/>
      </c>
      <c r="L2945" s="10" t="str">
        <f aca="false">IF($A2945="","",ROW()-2)</f>
        <v/>
      </c>
      <c r="M2945" s="10" t="str">
        <f aca="false">IF($A2945="","",ROW())</f>
        <v/>
      </c>
    </row>
    <row r="2946" customFormat="false" ht="15" hidden="false" customHeight="true" outlineLevel="0" collapsed="false">
      <c r="A2946" s="8"/>
      <c r="B2946" s="8"/>
      <c r="C2946" s="8"/>
      <c r="D2946" s="8"/>
      <c r="E2946" s="8"/>
      <c r="F2946" s="8"/>
      <c r="G2946" s="10" t="str">
        <f aca="false">IF($A2946="","",UPPER(SUBSTITUTE(SUBSTITUTE(SUBSTITUTE(SUBSTITUTE($A2946," ",""),"(주)",""),"주식회사",""),"㈜","")))</f>
        <v/>
      </c>
      <c r="H2946" s="10" t="str">
        <f aca="false">IF($B2946="","",SUBSTITUTE(SUBSTITUTE(SUBSTITUTE($B2946,"-","")," ",""),".",""))</f>
        <v/>
      </c>
      <c r="I2946" s="10" t="str">
        <f aca="false">IF($D2946="","",SUBSTITUTE(SUBSTITUTE(SUBSTITUTE($D2946,"-","")," ",""),".",""))</f>
        <v/>
      </c>
      <c r="J2946" s="10" t="str">
        <f aca="false">IF($E2946="","",UPPER(SUBSTITUTE($E2946," ","")))</f>
        <v/>
      </c>
      <c r="K2946" s="10" t="str">
        <f aca="false">IF($A2946="","",$G2946&amp;"|"&amp;$J2946)</f>
        <v/>
      </c>
      <c r="L2946" s="10" t="str">
        <f aca="false">IF($A2946="","",ROW()-2)</f>
        <v/>
      </c>
      <c r="M2946" s="10" t="str">
        <f aca="false">IF($A2946="","",ROW())</f>
        <v/>
      </c>
    </row>
    <row r="2947" customFormat="false" ht="15" hidden="false" customHeight="true" outlineLevel="0" collapsed="false">
      <c r="A2947" s="8"/>
      <c r="B2947" s="8"/>
      <c r="C2947" s="8"/>
      <c r="D2947" s="8"/>
      <c r="E2947" s="8"/>
      <c r="F2947" s="8"/>
      <c r="G2947" s="10" t="str">
        <f aca="false">IF($A2947="","",UPPER(SUBSTITUTE(SUBSTITUTE(SUBSTITUTE(SUBSTITUTE($A2947," ",""),"(주)",""),"주식회사",""),"㈜","")))</f>
        <v/>
      </c>
      <c r="H2947" s="10" t="str">
        <f aca="false">IF($B2947="","",SUBSTITUTE(SUBSTITUTE(SUBSTITUTE($B2947,"-","")," ",""),".",""))</f>
        <v/>
      </c>
      <c r="I2947" s="10" t="str">
        <f aca="false">IF($D2947="","",SUBSTITUTE(SUBSTITUTE(SUBSTITUTE($D2947,"-","")," ",""),".",""))</f>
        <v/>
      </c>
      <c r="J2947" s="10" t="str">
        <f aca="false">IF($E2947="","",UPPER(SUBSTITUTE($E2947," ","")))</f>
        <v/>
      </c>
      <c r="K2947" s="10" t="str">
        <f aca="false">IF($A2947="","",$G2947&amp;"|"&amp;$J2947)</f>
        <v/>
      </c>
      <c r="L2947" s="10" t="str">
        <f aca="false">IF($A2947="","",ROW()-2)</f>
        <v/>
      </c>
      <c r="M2947" s="10" t="str">
        <f aca="false">IF($A2947="","",ROW())</f>
        <v/>
      </c>
    </row>
    <row r="2948" customFormat="false" ht="15" hidden="false" customHeight="true" outlineLevel="0" collapsed="false">
      <c r="A2948" s="8"/>
      <c r="B2948" s="8"/>
      <c r="C2948" s="8"/>
      <c r="D2948" s="8"/>
      <c r="E2948" s="8"/>
      <c r="F2948" s="8"/>
      <c r="G2948" s="10" t="str">
        <f aca="false">IF($A2948="","",UPPER(SUBSTITUTE(SUBSTITUTE(SUBSTITUTE(SUBSTITUTE($A2948," ",""),"(주)",""),"주식회사",""),"㈜","")))</f>
        <v/>
      </c>
      <c r="H2948" s="10" t="str">
        <f aca="false">IF($B2948="","",SUBSTITUTE(SUBSTITUTE(SUBSTITUTE($B2948,"-","")," ",""),".",""))</f>
        <v/>
      </c>
      <c r="I2948" s="10" t="str">
        <f aca="false">IF($D2948="","",SUBSTITUTE(SUBSTITUTE(SUBSTITUTE($D2948,"-","")," ",""),".",""))</f>
        <v/>
      </c>
      <c r="J2948" s="10" t="str">
        <f aca="false">IF($E2948="","",UPPER(SUBSTITUTE($E2948," ","")))</f>
        <v/>
      </c>
      <c r="K2948" s="10" t="str">
        <f aca="false">IF($A2948="","",$G2948&amp;"|"&amp;$J2948)</f>
        <v/>
      </c>
      <c r="L2948" s="10" t="str">
        <f aca="false">IF($A2948="","",ROW()-2)</f>
        <v/>
      </c>
      <c r="M2948" s="10" t="str">
        <f aca="false">IF($A2948="","",ROW())</f>
        <v/>
      </c>
    </row>
    <row r="2949" customFormat="false" ht="15" hidden="false" customHeight="true" outlineLevel="0" collapsed="false">
      <c r="A2949" s="8"/>
      <c r="B2949" s="8"/>
      <c r="C2949" s="8"/>
      <c r="D2949" s="8"/>
      <c r="E2949" s="8"/>
      <c r="F2949" s="8"/>
      <c r="G2949" s="10" t="str">
        <f aca="false">IF($A2949="","",UPPER(SUBSTITUTE(SUBSTITUTE(SUBSTITUTE(SUBSTITUTE($A2949," ",""),"(주)",""),"주식회사",""),"㈜","")))</f>
        <v/>
      </c>
      <c r="H2949" s="10" t="str">
        <f aca="false">IF($B2949="","",SUBSTITUTE(SUBSTITUTE(SUBSTITUTE($B2949,"-","")," ",""),".",""))</f>
        <v/>
      </c>
      <c r="I2949" s="10" t="str">
        <f aca="false">IF($D2949="","",SUBSTITUTE(SUBSTITUTE(SUBSTITUTE($D2949,"-","")," ",""),".",""))</f>
        <v/>
      </c>
      <c r="J2949" s="10" t="str">
        <f aca="false">IF($E2949="","",UPPER(SUBSTITUTE($E2949," ","")))</f>
        <v/>
      </c>
      <c r="K2949" s="10" t="str">
        <f aca="false">IF($A2949="","",$G2949&amp;"|"&amp;$J2949)</f>
        <v/>
      </c>
      <c r="L2949" s="10" t="str">
        <f aca="false">IF($A2949="","",ROW()-2)</f>
        <v/>
      </c>
      <c r="M2949" s="10" t="str">
        <f aca="false">IF($A2949="","",ROW())</f>
        <v/>
      </c>
    </row>
    <row r="2950" customFormat="false" ht="15" hidden="false" customHeight="true" outlineLevel="0" collapsed="false">
      <c r="A2950" s="8"/>
      <c r="B2950" s="8"/>
      <c r="C2950" s="8"/>
      <c r="D2950" s="8"/>
      <c r="E2950" s="8"/>
      <c r="F2950" s="8"/>
      <c r="G2950" s="10" t="str">
        <f aca="false">IF($A2950="","",UPPER(SUBSTITUTE(SUBSTITUTE(SUBSTITUTE(SUBSTITUTE($A2950," ",""),"(주)",""),"주식회사",""),"㈜","")))</f>
        <v/>
      </c>
      <c r="H2950" s="10" t="str">
        <f aca="false">IF($B2950="","",SUBSTITUTE(SUBSTITUTE(SUBSTITUTE($B2950,"-","")," ",""),".",""))</f>
        <v/>
      </c>
      <c r="I2950" s="10" t="str">
        <f aca="false">IF($D2950="","",SUBSTITUTE(SUBSTITUTE(SUBSTITUTE($D2950,"-","")," ",""),".",""))</f>
        <v/>
      </c>
      <c r="J2950" s="10" t="str">
        <f aca="false">IF($E2950="","",UPPER(SUBSTITUTE($E2950," ","")))</f>
        <v/>
      </c>
      <c r="K2950" s="10" t="str">
        <f aca="false">IF($A2950="","",$G2950&amp;"|"&amp;$J2950)</f>
        <v/>
      </c>
      <c r="L2950" s="10" t="str">
        <f aca="false">IF($A2950="","",ROW()-2)</f>
        <v/>
      </c>
      <c r="M2950" s="10" t="str">
        <f aca="false">IF($A2950="","",ROW())</f>
        <v/>
      </c>
    </row>
    <row r="2951" customFormat="false" ht="15" hidden="false" customHeight="true" outlineLevel="0" collapsed="false">
      <c r="A2951" s="8"/>
      <c r="B2951" s="8"/>
      <c r="C2951" s="8"/>
      <c r="D2951" s="8"/>
      <c r="E2951" s="8"/>
      <c r="F2951" s="8"/>
      <c r="G2951" s="10" t="str">
        <f aca="false">IF($A2951="","",UPPER(SUBSTITUTE(SUBSTITUTE(SUBSTITUTE(SUBSTITUTE($A2951," ",""),"(주)",""),"주식회사",""),"㈜","")))</f>
        <v/>
      </c>
      <c r="H2951" s="10" t="str">
        <f aca="false">IF($B2951="","",SUBSTITUTE(SUBSTITUTE(SUBSTITUTE($B2951,"-","")," ",""),".",""))</f>
        <v/>
      </c>
      <c r="I2951" s="10" t="str">
        <f aca="false">IF($D2951="","",SUBSTITUTE(SUBSTITUTE(SUBSTITUTE($D2951,"-","")," ",""),".",""))</f>
        <v/>
      </c>
      <c r="J2951" s="10" t="str">
        <f aca="false">IF($E2951="","",UPPER(SUBSTITUTE($E2951," ","")))</f>
        <v/>
      </c>
      <c r="K2951" s="10" t="str">
        <f aca="false">IF($A2951="","",$G2951&amp;"|"&amp;$J2951)</f>
        <v/>
      </c>
      <c r="L2951" s="10" t="str">
        <f aca="false">IF($A2951="","",ROW()-2)</f>
        <v/>
      </c>
      <c r="M2951" s="10" t="str">
        <f aca="false">IF($A2951="","",ROW())</f>
        <v/>
      </c>
    </row>
    <row r="2952" customFormat="false" ht="15" hidden="false" customHeight="true" outlineLevel="0" collapsed="false">
      <c r="A2952" s="8"/>
      <c r="B2952" s="8"/>
      <c r="C2952" s="8"/>
      <c r="D2952" s="8"/>
      <c r="E2952" s="8"/>
      <c r="F2952" s="8"/>
      <c r="G2952" s="10" t="str">
        <f aca="false">IF($A2952="","",UPPER(SUBSTITUTE(SUBSTITUTE(SUBSTITUTE(SUBSTITUTE($A2952," ",""),"(주)",""),"주식회사",""),"㈜","")))</f>
        <v/>
      </c>
      <c r="H2952" s="10" t="str">
        <f aca="false">IF($B2952="","",SUBSTITUTE(SUBSTITUTE(SUBSTITUTE($B2952,"-","")," ",""),".",""))</f>
        <v/>
      </c>
      <c r="I2952" s="10" t="str">
        <f aca="false">IF($D2952="","",SUBSTITUTE(SUBSTITUTE(SUBSTITUTE($D2952,"-","")," ",""),".",""))</f>
        <v/>
      </c>
      <c r="J2952" s="10" t="str">
        <f aca="false">IF($E2952="","",UPPER(SUBSTITUTE($E2952," ","")))</f>
        <v/>
      </c>
      <c r="K2952" s="10" t="str">
        <f aca="false">IF($A2952="","",$G2952&amp;"|"&amp;$J2952)</f>
        <v/>
      </c>
      <c r="L2952" s="10" t="str">
        <f aca="false">IF($A2952="","",ROW()-2)</f>
        <v/>
      </c>
      <c r="M2952" s="10" t="str">
        <f aca="false">IF($A2952="","",ROW())</f>
        <v/>
      </c>
    </row>
    <row r="2953" customFormat="false" ht="15" hidden="false" customHeight="true" outlineLevel="0" collapsed="false">
      <c r="A2953" s="8"/>
      <c r="B2953" s="8"/>
      <c r="C2953" s="8"/>
      <c r="D2953" s="8"/>
      <c r="E2953" s="8"/>
      <c r="F2953" s="8"/>
      <c r="G2953" s="10" t="str">
        <f aca="false">IF($A2953="","",UPPER(SUBSTITUTE(SUBSTITUTE(SUBSTITUTE(SUBSTITUTE($A2953," ",""),"(주)",""),"주식회사",""),"㈜","")))</f>
        <v/>
      </c>
      <c r="H2953" s="10" t="str">
        <f aca="false">IF($B2953="","",SUBSTITUTE(SUBSTITUTE(SUBSTITUTE($B2953,"-","")," ",""),".",""))</f>
        <v/>
      </c>
      <c r="I2953" s="10" t="str">
        <f aca="false">IF($D2953="","",SUBSTITUTE(SUBSTITUTE(SUBSTITUTE($D2953,"-","")," ",""),".",""))</f>
        <v/>
      </c>
      <c r="J2953" s="10" t="str">
        <f aca="false">IF($E2953="","",UPPER(SUBSTITUTE($E2953," ","")))</f>
        <v/>
      </c>
      <c r="K2953" s="10" t="str">
        <f aca="false">IF($A2953="","",$G2953&amp;"|"&amp;$J2953)</f>
        <v/>
      </c>
      <c r="L2953" s="10" t="str">
        <f aca="false">IF($A2953="","",ROW()-2)</f>
        <v/>
      </c>
      <c r="M2953" s="10" t="str">
        <f aca="false">IF($A2953="","",ROW())</f>
        <v/>
      </c>
    </row>
    <row r="2954" customFormat="false" ht="15" hidden="false" customHeight="true" outlineLevel="0" collapsed="false">
      <c r="A2954" s="8"/>
      <c r="B2954" s="8"/>
      <c r="C2954" s="8"/>
      <c r="D2954" s="8"/>
      <c r="E2954" s="8"/>
      <c r="F2954" s="8"/>
      <c r="G2954" s="10" t="str">
        <f aca="false">IF($A2954="","",UPPER(SUBSTITUTE(SUBSTITUTE(SUBSTITUTE(SUBSTITUTE($A2954," ",""),"(주)",""),"주식회사",""),"㈜","")))</f>
        <v/>
      </c>
      <c r="H2954" s="10" t="str">
        <f aca="false">IF($B2954="","",SUBSTITUTE(SUBSTITUTE(SUBSTITUTE($B2954,"-","")," ",""),".",""))</f>
        <v/>
      </c>
      <c r="I2954" s="10" t="str">
        <f aca="false">IF($D2954="","",SUBSTITUTE(SUBSTITUTE(SUBSTITUTE($D2954,"-","")," ",""),".",""))</f>
        <v/>
      </c>
      <c r="J2954" s="10" t="str">
        <f aca="false">IF($E2954="","",UPPER(SUBSTITUTE($E2954," ","")))</f>
        <v/>
      </c>
      <c r="K2954" s="10" t="str">
        <f aca="false">IF($A2954="","",$G2954&amp;"|"&amp;$J2954)</f>
        <v/>
      </c>
      <c r="L2954" s="10" t="str">
        <f aca="false">IF($A2954="","",ROW()-2)</f>
        <v/>
      </c>
      <c r="M2954" s="10" t="str">
        <f aca="false">IF($A2954="","",ROW())</f>
        <v/>
      </c>
    </row>
    <row r="2955" customFormat="false" ht="15" hidden="false" customHeight="true" outlineLevel="0" collapsed="false">
      <c r="A2955" s="8"/>
      <c r="B2955" s="8"/>
      <c r="C2955" s="8"/>
      <c r="D2955" s="8"/>
      <c r="E2955" s="8"/>
      <c r="F2955" s="8"/>
      <c r="G2955" s="10" t="str">
        <f aca="false">IF($A2955="","",UPPER(SUBSTITUTE(SUBSTITUTE(SUBSTITUTE(SUBSTITUTE($A2955," ",""),"(주)",""),"주식회사",""),"㈜","")))</f>
        <v/>
      </c>
      <c r="H2955" s="10" t="str">
        <f aca="false">IF($B2955="","",SUBSTITUTE(SUBSTITUTE(SUBSTITUTE($B2955,"-","")," ",""),".",""))</f>
        <v/>
      </c>
      <c r="I2955" s="10" t="str">
        <f aca="false">IF($D2955="","",SUBSTITUTE(SUBSTITUTE(SUBSTITUTE($D2955,"-","")," ",""),".",""))</f>
        <v/>
      </c>
      <c r="J2955" s="10" t="str">
        <f aca="false">IF($E2955="","",UPPER(SUBSTITUTE($E2955," ","")))</f>
        <v/>
      </c>
      <c r="K2955" s="10" t="str">
        <f aca="false">IF($A2955="","",$G2955&amp;"|"&amp;$J2955)</f>
        <v/>
      </c>
      <c r="L2955" s="10" t="str">
        <f aca="false">IF($A2955="","",ROW()-2)</f>
        <v/>
      </c>
      <c r="M2955" s="10" t="str">
        <f aca="false">IF($A2955="","",ROW())</f>
        <v/>
      </c>
    </row>
    <row r="2956" customFormat="false" ht="15" hidden="false" customHeight="true" outlineLevel="0" collapsed="false">
      <c r="A2956" s="8"/>
      <c r="B2956" s="8"/>
      <c r="C2956" s="8"/>
      <c r="D2956" s="8"/>
      <c r="E2956" s="8"/>
      <c r="F2956" s="8"/>
      <c r="G2956" s="10" t="str">
        <f aca="false">IF($A2956="","",UPPER(SUBSTITUTE(SUBSTITUTE(SUBSTITUTE(SUBSTITUTE($A2956," ",""),"(주)",""),"주식회사",""),"㈜","")))</f>
        <v/>
      </c>
      <c r="H2956" s="10" t="str">
        <f aca="false">IF($B2956="","",SUBSTITUTE(SUBSTITUTE(SUBSTITUTE($B2956,"-","")," ",""),".",""))</f>
        <v/>
      </c>
      <c r="I2956" s="10" t="str">
        <f aca="false">IF($D2956="","",SUBSTITUTE(SUBSTITUTE(SUBSTITUTE($D2956,"-","")," ",""),".",""))</f>
        <v/>
      </c>
      <c r="J2956" s="10" t="str">
        <f aca="false">IF($E2956="","",UPPER(SUBSTITUTE($E2956," ","")))</f>
        <v/>
      </c>
      <c r="K2956" s="10" t="str">
        <f aca="false">IF($A2956="","",$G2956&amp;"|"&amp;$J2956)</f>
        <v/>
      </c>
      <c r="L2956" s="10" t="str">
        <f aca="false">IF($A2956="","",ROW()-2)</f>
        <v/>
      </c>
      <c r="M2956" s="10" t="str">
        <f aca="false">IF($A2956="","",ROW())</f>
        <v/>
      </c>
    </row>
    <row r="2957" customFormat="false" ht="15" hidden="false" customHeight="true" outlineLevel="0" collapsed="false">
      <c r="A2957" s="8"/>
      <c r="B2957" s="8"/>
      <c r="C2957" s="8"/>
      <c r="D2957" s="8"/>
      <c r="E2957" s="8"/>
      <c r="F2957" s="8"/>
      <c r="G2957" s="10" t="str">
        <f aca="false">IF($A2957="","",UPPER(SUBSTITUTE(SUBSTITUTE(SUBSTITUTE(SUBSTITUTE($A2957," ",""),"(주)",""),"주식회사",""),"㈜","")))</f>
        <v/>
      </c>
      <c r="H2957" s="10" t="str">
        <f aca="false">IF($B2957="","",SUBSTITUTE(SUBSTITUTE(SUBSTITUTE($B2957,"-","")," ",""),".",""))</f>
        <v/>
      </c>
      <c r="I2957" s="10" t="str">
        <f aca="false">IF($D2957="","",SUBSTITUTE(SUBSTITUTE(SUBSTITUTE($D2957,"-","")," ",""),".",""))</f>
        <v/>
      </c>
      <c r="J2957" s="10" t="str">
        <f aca="false">IF($E2957="","",UPPER(SUBSTITUTE($E2957," ","")))</f>
        <v/>
      </c>
      <c r="K2957" s="10" t="str">
        <f aca="false">IF($A2957="","",$G2957&amp;"|"&amp;$J2957)</f>
        <v/>
      </c>
      <c r="L2957" s="10" t="str">
        <f aca="false">IF($A2957="","",ROW()-2)</f>
        <v/>
      </c>
      <c r="M2957" s="10" t="str">
        <f aca="false">IF($A2957="","",ROW())</f>
        <v/>
      </c>
    </row>
    <row r="2958" customFormat="false" ht="15" hidden="false" customHeight="true" outlineLevel="0" collapsed="false">
      <c r="A2958" s="8"/>
      <c r="B2958" s="8"/>
      <c r="C2958" s="8"/>
      <c r="D2958" s="8"/>
      <c r="E2958" s="8"/>
      <c r="F2958" s="8"/>
      <c r="G2958" s="10" t="str">
        <f aca="false">IF($A2958="","",UPPER(SUBSTITUTE(SUBSTITUTE(SUBSTITUTE(SUBSTITUTE($A2958," ",""),"(주)",""),"주식회사",""),"㈜","")))</f>
        <v/>
      </c>
      <c r="H2958" s="10" t="str">
        <f aca="false">IF($B2958="","",SUBSTITUTE(SUBSTITUTE(SUBSTITUTE($B2958,"-","")," ",""),".",""))</f>
        <v/>
      </c>
      <c r="I2958" s="10" t="str">
        <f aca="false">IF($D2958="","",SUBSTITUTE(SUBSTITUTE(SUBSTITUTE($D2958,"-","")," ",""),".",""))</f>
        <v/>
      </c>
      <c r="J2958" s="10" t="str">
        <f aca="false">IF($E2958="","",UPPER(SUBSTITUTE($E2958," ","")))</f>
        <v/>
      </c>
      <c r="K2958" s="10" t="str">
        <f aca="false">IF($A2958="","",$G2958&amp;"|"&amp;$J2958)</f>
        <v/>
      </c>
      <c r="L2958" s="10" t="str">
        <f aca="false">IF($A2958="","",ROW()-2)</f>
        <v/>
      </c>
      <c r="M2958" s="10" t="str">
        <f aca="false">IF($A2958="","",ROW())</f>
        <v/>
      </c>
    </row>
    <row r="2959" customFormat="false" ht="15" hidden="false" customHeight="true" outlineLevel="0" collapsed="false">
      <c r="A2959" s="8"/>
      <c r="B2959" s="8"/>
      <c r="C2959" s="8"/>
      <c r="D2959" s="8"/>
      <c r="E2959" s="8"/>
      <c r="F2959" s="8"/>
      <c r="G2959" s="10" t="str">
        <f aca="false">IF($A2959="","",UPPER(SUBSTITUTE(SUBSTITUTE(SUBSTITUTE(SUBSTITUTE($A2959," ",""),"(주)",""),"주식회사",""),"㈜","")))</f>
        <v/>
      </c>
      <c r="H2959" s="10" t="str">
        <f aca="false">IF($B2959="","",SUBSTITUTE(SUBSTITUTE(SUBSTITUTE($B2959,"-","")," ",""),".",""))</f>
        <v/>
      </c>
      <c r="I2959" s="10" t="str">
        <f aca="false">IF($D2959="","",SUBSTITUTE(SUBSTITUTE(SUBSTITUTE($D2959,"-","")," ",""),".",""))</f>
        <v/>
      </c>
      <c r="J2959" s="10" t="str">
        <f aca="false">IF($E2959="","",UPPER(SUBSTITUTE($E2959," ","")))</f>
        <v/>
      </c>
      <c r="K2959" s="10" t="str">
        <f aca="false">IF($A2959="","",$G2959&amp;"|"&amp;$J2959)</f>
        <v/>
      </c>
      <c r="L2959" s="10" t="str">
        <f aca="false">IF($A2959="","",ROW()-2)</f>
        <v/>
      </c>
      <c r="M2959" s="10" t="str">
        <f aca="false">IF($A2959="","",ROW())</f>
        <v/>
      </c>
    </row>
    <row r="2960" customFormat="false" ht="15" hidden="false" customHeight="true" outlineLevel="0" collapsed="false">
      <c r="A2960" s="8"/>
      <c r="B2960" s="8"/>
      <c r="C2960" s="8"/>
      <c r="D2960" s="8"/>
      <c r="E2960" s="8"/>
      <c r="F2960" s="8"/>
      <c r="G2960" s="10" t="str">
        <f aca="false">IF($A2960="","",UPPER(SUBSTITUTE(SUBSTITUTE(SUBSTITUTE(SUBSTITUTE($A2960," ",""),"(주)",""),"주식회사",""),"㈜","")))</f>
        <v/>
      </c>
      <c r="H2960" s="10" t="str">
        <f aca="false">IF($B2960="","",SUBSTITUTE(SUBSTITUTE(SUBSTITUTE($B2960,"-","")," ",""),".",""))</f>
        <v/>
      </c>
      <c r="I2960" s="10" t="str">
        <f aca="false">IF($D2960="","",SUBSTITUTE(SUBSTITUTE(SUBSTITUTE($D2960,"-","")," ",""),".",""))</f>
        <v/>
      </c>
      <c r="J2960" s="10" t="str">
        <f aca="false">IF($E2960="","",UPPER(SUBSTITUTE($E2960," ","")))</f>
        <v/>
      </c>
      <c r="K2960" s="10" t="str">
        <f aca="false">IF($A2960="","",$G2960&amp;"|"&amp;$J2960)</f>
        <v/>
      </c>
      <c r="L2960" s="10" t="str">
        <f aca="false">IF($A2960="","",ROW()-2)</f>
        <v/>
      </c>
      <c r="M2960" s="10" t="str">
        <f aca="false">IF($A2960="","",ROW())</f>
        <v/>
      </c>
    </row>
    <row r="2961" customFormat="false" ht="15" hidden="false" customHeight="true" outlineLevel="0" collapsed="false">
      <c r="A2961" s="8"/>
      <c r="B2961" s="8"/>
      <c r="C2961" s="8"/>
      <c r="D2961" s="8"/>
      <c r="E2961" s="8"/>
      <c r="F2961" s="8"/>
      <c r="G2961" s="10" t="str">
        <f aca="false">IF($A2961="","",UPPER(SUBSTITUTE(SUBSTITUTE(SUBSTITUTE(SUBSTITUTE($A2961," ",""),"(주)",""),"주식회사",""),"㈜","")))</f>
        <v/>
      </c>
      <c r="H2961" s="10" t="str">
        <f aca="false">IF($B2961="","",SUBSTITUTE(SUBSTITUTE(SUBSTITUTE($B2961,"-","")," ",""),".",""))</f>
        <v/>
      </c>
      <c r="I2961" s="10" t="str">
        <f aca="false">IF($D2961="","",SUBSTITUTE(SUBSTITUTE(SUBSTITUTE($D2961,"-","")," ",""),".",""))</f>
        <v/>
      </c>
      <c r="J2961" s="10" t="str">
        <f aca="false">IF($E2961="","",UPPER(SUBSTITUTE($E2961," ","")))</f>
        <v/>
      </c>
      <c r="K2961" s="10" t="str">
        <f aca="false">IF($A2961="","",$G2961&amp;"|"&amp;$J2961)</f>
        <v/>
      </c>
      <c r="L2961" s="10" t="str">
        <f aca="false">IF($A2961="","",ROW()-2)</f>
        <v/>
      </c>
      <c r="M2961" s="10" t="str">
        <f aca="false">IF($A2961="","",ROW())</f>
        <v/>
      </c>
    </row>
    <row r="2962" customFormat="false" ht="15" hidden="false" customHeight="true" outlineLevel="0" collapsed="false">
      <c r="A2962" s="8"/>
      <c r="B2962" s="8"/>
      <c r="C2962" s="8"/>
      <c r="D2962" s="8"/>
      <c r="E2962" s="8"/>
      <c r="F2962" s="8"/>
      <c r="G2962" s="10" t="str">
        <f aca="false">IF($A2962="","",UPPER(SUBSTITUTE(SUBSTITUTE(SUBSTITUTE(SUBSTITUTE($A2962," ",""),"(주)",""),"주식회사",""),"㈜","")))</f>
        <v/>
      </c>
      <c r="H2962" s="10" t="str">
        <f aca="false">IF($B2962="","",SUBSTITUTE(SUBSTITUTE(SUBSTITUTE($B2962,"-","")," ",""),".",""))</f>
        <v/>
      </c>
      <c r="I2962" s="10" t="str">
        <f aca="false">IF($D2962="","",SUBSTITUTE(SUBSTITUTE(SUBSTITUTE($D2962,"-","")," ",""),".",""))</f>
        <v/>
      </c>
      <c r="J2962" s="10" t="str">
        <f aca="false">IF($E2962="","",UPPER(SUBSTITUTE($E2962," ","")))</f>
        <v/>
      </c>
      <c r="K2962" s="10" t="str">
        <f aca="false">IF($A2962="","",$G2962&amp;"|"&amp;$J2962)</f>
        <v/>
      </c>
      <c r="L2962" s="10" t="str">
        <f aca="false">IF($A2962="","",ROW()-2)</f>
        <v/>
      </c>
      <c r="M2962" s="10" t="str">
        <f aca="false">IF($A2962="","",ROW())</f>
        <v/>
      </c>
    </row>
    <row r="2963" customFormat="false" ht="15" hidden="false" customHeight="true" outlineLevel="0" collapsed="false">
      <c r="A2963" s="8"/>
      <c r="B2963" s="8"/>
      <c r="C2963" s="8"/>
      <c r="D2963" s="8"/>
      <c r="E2963" s="8"/>
      <c r="F2963" s="8"/>
      <c r="G2963" s="10" t="str">
        <f aca="false">IF($A2963="","",UPPER(SUBSTITUTE(SUBSTITUTE(SUBSTITUTE(SUBSTITUTE($A2963," ",""),"(주)",""),"주식회사",""),"㈜","")))</f>
        <v/>
      </c>
      <c r="H2963" s="10" t="str">
        <f aca="false">IF($B2963="","",SUBSTITUTE(SUBSTITUTE(SUBSTITUTE($B2963,"-","")," ",""),".",""))</f>
        <v/>
      </c>
      <c r="I2963" s="10" t="str">
        <f aca="false">IF($D2963="","",SUBSTITUTE(SUBSTITUTE(SUBSTITUTE($D2963,"-","")," ",""),".",""))</f>
        <v/>
      </c>
      <c r="J2963" s="10" t="str">
        <f aca="false">IF($E2963="","",UPPER(SUBSTITUTE($E2963," ","")))</f>
        <v/>
      </c>
      <c r="K2963" s="10" t="str">
        <f aca="false">IF($A2963="","",$G2963&amp;"|"&amp;$J2963)</f>
        <v/>
      </c>
      <c r="L2963" s="10" t="str">
        <f aca="false">IF($A2963="","",ROW()-2)</f>
        <v/>
      </c>
      <c r="M2963" s="10" t="str">
        <f aca="false">IF($A2963="","",ROW())</f>
        <v/>
      </c>
    </row>
    <row r="2964" customFormat="false" ht="15" hidden="false" customHeight="true" outlineLevel="0" collapsed="false">
      <c r="A2964" s="8"/>
      <c r="B2964" s="8"/>
      <c r="C2964" s="8"/>
      <c r="D2964" s="8"/>
      <c r="E2964" s="8"/>
      <c r="F2964" s="8"/>
      <c r="G2964" s="10" t="str">
        <f aca="false">IF($A2964="","",UPPER(SUBSTITUTE(SUBSTITUTE(SUBSTITUTE(SUBSTITUTE($A2964," ",""),"(주)",""),"주식회사",""),"㈜","")))</f>
        <v/>
      </c>
      <c r="H2964" s="10" t="str">
        <f aca="false">IF($B2964="","",SUBSTITUTE(SUBSTITUTE(SUBSTITUTE($B2964,"-","")," ",""),".",""))</f>
        <v/>
      </c>
      <c r="I2964" s="10" t="str">
        <f aca="false">IF($D2964="","",SUBSTITUTE(SUBSTITUTE(SUBSTITUTE($D2964,"-","")," ",""),".",""))</f>
        <v/>
      </c>
      <c r="J2964" s="10" t="str">
        <f aca="false">IF($E2964="","",UPPER(SUBSTITUTE($E2964," ","")))</f>
        <v/>
      </c>
      <c r="K2964" s="10" t="str">
        <f aca="false">IF($A2964="","",$G2964&amp;"|"&amp;$J2964)</f>
        <v/>
      </c>
      <c r="L2964" s="10" t="str">
        <f aca="false">IF($A2964="","",ROW()-2)</f>
        <v/>
      </c>
      <c r="M2964" s="10" t="str">
        <f aca="false">IF($A2964="","",ROW())</f>
        <v/>
      </c>
    </row>
    <row r="2965" customFormat="false" ht="15" hidden="false" customHeight="true" outlineLevel="0" collapsed="false">
      <c r="A2965" s="8"/>
      <c r="B2965" s="8"/>
      <c r="C2965" s="8"/>
      <c r="D2965" s="8"/>
      <c r="E2965" s="8"/>
      <c r="F2965" s="8"/>
      <c r="G2965" s="10" t="str">
        <f aca="false">IF($A2965="","",UPPER(SUBSTITUTE(SUBSTITUTE(SUBSTITUTE(SUBSTITUTE($A2965," ",""),"(주)",""),"주식회사",""),"㈜","")))</f>
        <v/>
      </c>
      <c r="H2965" s="10" t="str">
        <f aca="false">IF($B2965="","",SUBSTITUTE(SUBSTITUTE(SUBSTITUTE($B2965,"-","")," ",""),".",""))</f>
        <v/>
      </c>
      <c r="I2965" s="10" t="str">
        <f aca="false">IF($D2965="","",SUBSTITUTE(SUBSTITUTE(SUBSTITUTE($D2965,"-","")," ",""),".",""))</f>
        <v/>
      </c>
      <c r="J2965" s="10" t="str">
        <f aca="false">IF($E2965="","",UPPER(SUBSTITUTE($E2965," ","")))</f>
        <v/>
      </c>
      <c r="K2965" s="10" t="str">
        <f aca="false">IF($A2965="","",$G2965&amp;"|"&amp;$J2965)</f>
        <v/>
      </c>
      <c r="L2965" s="10" t="str">
        <f aca="false">IF($A2965="","",ROW()-2)</f>
        <v/>
      </c>
      <c r="M2965" s="10" t="str">
        <f aca="false">IF($A2965="","",ROW())</f>
        <v/>
      </c>
    </row>
    <row r="2966" customFormat="false" ht="15" hidden="false" customHeight="true" outlineLevel="0" collapsed="false">
      <c r="A2966" s="8"/>
      <c r="B2966" s="8"/>
      <c r="C2966" s="8"/>
      <c r="D2966" s="8"/>
      <c r="E2966" s="8"/>
      <c r="F2966" s="8"/>
      <c r="G2966" s="10" t="str">
        <f aca="false">IF($A2966="","",UPPER(SUBSTITUTE(SUBSTITUTE(SUBSTITUTE(SUBSTITUTE($A2966," ",""),"(주)",""),"주식회사",""),"㈜","")))</f>
        <v/>
      </c>
      <c r="H2966" s="10" t="str">
        <f aca="false">IF($B2966="","",SUBSTITUTE(SUBSTITUTE(SUBSTITUTE($B2966,"-","")," ",""),".",""))</f>
        <v/>
      </c>
      <c r="I2966" s="10" t="str">
        <f aca="false">IF($D2966="","",SUBSTITUTE(SUBSTITUTE(SUBSTITUTE($D2966,"-","")," ",""),".",""))</f>
        <v/>
      </c>
      <c r="J2966" s="10" t="str">
        <f aca="false">IF($E2966="","",UPPER(SUBSTITUTE($E2966," ","")))</f>
        <v/>
      </c>
      <c r="K2966" s="10" t="str">
        <f aca="false">IF($A2966="","",$G2966&amp;"|"&amp;$J2966)</f>
        <v/>
      </c>
      <c r="L2966" s="10" t="str">
        <f aca="false">IF($A2966="","",ROW()-2)</f>
        <v/>
      </c>
      <c r="M2966" s="10" t="str">
        <f aca="false">IF($A2966="","",ROW())</f>
        <v/>
      </c>
    </row>
    <row r="2967" customFormat="false" ht="15" hidden="false" customHeight="true" outlineLevel="0" collapsed="false">
      <c r="A2967" s="8"/>
      <c r="B2967" s="8"/>
      <c r="C2967" s="8"/>
      <c r="D2967" s="8"/>
      <c r="E2967" s="8"/>
      <c r="F2967" s="8"/>
      <c r="G2967" s="10" t="str">
        <f aca="false">IF($A2967="","",UPPER(SUBSTITUTE(SUBSTITUTE(SUBSTITUTE(SUBSTITUTE($A2967," ",""),"(주)",""),"주식회사",""),"㈜","")))</f>
        <v/>
      </c>
      <c r="H2967" s="10" t="str">
        <f aca="false">IF($B2967="","",SUBSTITUTE(SUBSTITUTE(SUBSTITUTE($B2967,"-","")," ",""),".",""))</f>
        <v/>
      </c>
      <c r="I2967" s="10" t="str">
        <f aca="false">IF($D2967="","",SUBSTITUTE(SUBSTITUTE(SUBSTITUTE($D2967,"-","")," ",""),".",""))</f>
        <v/>
      </c>
      <c r="J2967" s="10" t="str">
        <f aca="false">IF($E2967="","",UPPER(SUBSTITUTE($E2967," ","")))</f>
        <v/>
      </c>
      <c r="K2967" s="10" t="str">
        <f aca="false">IF($A2967="","",$G2967&amp;"|"&amp;$J2967)</f>
        <v/>
      </c>
      <c r="L2967" s="10" t="str">
        <f aca="false">IF($A2967="","",ROW()-2)</f>
        <v/>
      </c>
      <c r="M2967" s="10" t="str">
        <f aca="false">IF($A2967="","",ROW())</f>
        <v/>
      </c>
    </row>
    <row r="2968" customFormat="false" ht="15" hidden="false" customHeight="true" outlineLevel="0" collapsed="false">
      <c r="A2968" s="8"/>
      <c r="B2968" s="8"/>
      <c r="C2968" s="8"/>
      <c r="D2968" s="8"/>
      <c r="E2968" s="8"/>
      <c r="F2968" s="8"/>
      <c r="G2968" s="10" t="str">
        <f aca="false">IF($A2968="","",UPPER(SUBSTITUTE(SUBSTITUTE(SUBSTITUTE(SUBSTITUTE($A2968," ",""),"(주)",""),"주식회사",""),"㈜","")))</f>
        <v/>
      </c>
      <c r="H2968" s="10" t="str">
        <f aca="false">IF($B2968="","",SUBSTITUTE(SUBSTITUTE(SUBSTITUTE($B2968,"-","")," ",""),".",""))</f>
        <v/>
      </c>
      <c r="I2968" s="10" t="str">
        <f aca="false">IF($D2968="","",SUBSTITUTE(SUBSTITUTE(SUBSTITUTE($D2968,"-","")," ",""),".",""))</f>
        <v/>
      </c>
      <c r="J2968" s="10" t="str">
        <f aca="false">IF($E2968="","",UPPER(SUBSTITUTE($E2968," ","")))</f>
        <v/>
      </c>
      <c r="K2968" s="10" t="str">
        <f aca="false">IF($A2968="","",$G2968&amp;"|"&amp;$J2968)</f>
        <v/>
      </c>
      <c r="L2968" s="10" t="str">
        <f aca="false">IF($A2968="","",ROW()-2)</f>
        <v/>
      </c>
      <c r="M2968" s="10" t="str">
        <f aca="false">IF($A2968="","",ROW())</f>
        <v/>
      </c>
    </row>
    <row r="2969" customFormat="false" ht="15" hidden="false" customHeight="true" outlineLevel="0" collapsed="false">
      <c r="A2969" s="8"/>
      <c r="B2969" s="8"/>
      <c r="C2969" s="8"/>
      <c r="D2969" s="8"/>
      <c r="E2969" s="8"/>
      <c r="F2969" s="8"/>
      <c r="G2969" s="10" t="str">
        <f aca="false">IF($A2969="","",UPPER(SUBSTITUTE(SUBSTITUTE(SUBSTITUTE(SUBSTITUTE($A2969," ",""),"(주)",""),"주식회사",""),"㈜","")))</f>
        <v/>
      </c>
      <c r="H2969" s="10" t="str">
        <f aca="false">IF($B2969="","",SUBSTITUTE(SUBSTITUTE(SUBSTITUTE($B2969,"-","")," ",""),".",""))</f>
        <v/>
      </c>
      <c r="I2969" s="10" t="str">
        <f aca="false">IF($D2969="","",SUBSTITUTE(SUBSTITUTE(SUBSTITUTE($D2969,"-","")," ",""),".",""))</f>
        <v/>
      </c>
      <c r="J2969" s="10" t="str">
        <f aca="false">IF($E2969="","",UPPER(SUBSTITUTE($E2969," ","")))</f>
        <v/>
      </c>
      <c r="K2969" s="10" t="str">
        <f aca="false">IF($A2969="","",$G2969&amp;"|"&amp;$J2969)</f>
        <v/>
      </c>
      <c r="L2969" s="10" t="str">
        <f aca="false">IF($A2969="","",ROW()-2)</f>
        <v/>
      </c>
      <c r="M2969" s="10" t="str">
        <f aca="false">IF($A2969="","",ROW())</f>
        <v/>
      </c>
    </row>
    <row r="2970" customFormat="false" ht="15" hidden="false" customHeight="true" outlineLevel="0" collapsed="false">
      <c r="A2970" s="8"/>
      <c r="B2970" s="8"/>
      <c r="C2970" s="8"/>
      <c r="D2970" s="8"/>
      <c r="E2970" s="8"/>
      <c r="F2970" s="8"/>
      <c r="G2970" s="10" t="str">
        <f aca="false">IF($A2970="","",UPPER(SUBSTITUTE(SUBSTITUTE(SUBSTITUTE(SUBSTITUTE($A2970," ",""),"(주)",""),"주식회사",""),"㈜","")))</f>
        <v/>
      </c>
      <c r="H2970" s="10" t="str">
        <f aca="false">IF($B2970="","",SUBSTITUTE(SUBSTITUTE(SUBSTITUTE($B2970,"-","")," ",""),".",""))</f>
        <v/>
      </c>
      <c r="I2970" s="10" t="str">
        <f aca="false">IF($D2970="","",SUBSTITUTE(SUBSTITUTE(SUBSTITUTE($D2970,"-","")," ",""),".",""))</f>
        <v/>
      </c>
      <c r="J2970" s="10" t="str">
        <f aca="false">IF($E2970="","",UPPER(SUBSTITUTE($E2970," ","")))</f>
        <v/>
      </c>
      <c r="K2970" s="10" t="str">
        <f aca="false">IF($A2970="","",$G2970&amp;"|"&amp;$J2970)</f>
        <v/>
      </c>
      <c r="L2970" s="10" t="str">
        <f aca="false">IF($A2970="","",ROW()-2)</f>
        <v/>
      </c>
      <c r="M2970" s="10" t="str">
        <f aca="false">IF($A2970="","",ROW())</f>
        <v/>
      </c>
    </row>
    <row r="2971" customFormat="false" ht="15" hidden="false" customHeight="true" outlineLevel="0" collapsed="false">
      <c r="A2971" s="8"/>
      <c r="B2971" s="8"/>
      <c r="C2971" s="8"/>
      <c r="D2971" s="8"/>
      <c r="E2971" s="8"/>
      <c r="F2971" s="8"/>
      <c r="G2971" s="10" t="str">
        <f aca="false">IF($A2971="","",UPPER(SUBSTITUTE(SUBSTITUTE(SUBSTITUTE(SUBSTITUTE($A2971," ",""),"(주)",""),"주식회사",""),"㈜","")))</f>
        <v/>
      </c>
      <c r="H2971" s="10" t="str">
        <f aca="false">IF($B2971="","",SUBSTITUTE(SUBSTITUTE(SUBSTITUTE($B2971,"-","")," ",""),".",""))</f>
        <v/>
      </c>
      <c r="I2971" s="10" t="str">
        <f aca="false">IF($D2971="","",SUBSTITUTE(SUBSTITUTE(SUBSTITUTE($D2971,"-","")," ",""),".",""))</f>
        <v/>
      </c>
      <c r="J2971" s="10" t="str">
        <f aca="false">IF($E2971="","",UPPER(SUBSTITUTE($E2971," ","")))</f>
        <v/>
      </c>
      <c r="K2971" s="10" t="str">
        <f aca="false">IF($A2971="","",$G2971&amp;"|"&amp;$J2971)</f>
        <v/>
      </c>
      <c r="L2971" s="10" t="str">
        <f aca="false">IF($A2971="","",ROW()-2)</f>
        <v/>
      </c>
      <c r="M2971" s="10" t="str">
        <f aca="false">IF($A2971="","",ROW())</f>
        <v/>
      </c>
    </row>
    <row r="2972" customFormat="false" ht="15" hidden="false" customHeight="true" outlineLevel="0" collapsed="false">
      <c r="A2972" s="8"/>
      <c r="B2972" s="8"/>
      <c r="C2972" s="8"/>
      <c r="D2972" s="8"/>
      <c r="E2972" s="8"/>
      <c r="F2972" s="8"/>
      <c r="G2972" s="10" t="str">
        <f aca="false">IF($A2972="","",UPPER(SUBSTITUTE(SUBSTITUTE(SUBSTITUTE(SUBSTITUTE($A2972," ",""),"(주)",""),"주식회사",""),"㈜","")))</f>
        <v/>
      </c>
      <c r="H2972" s="10" t="str">
        <f aca="false">IF($B2972="","",SUBSTITUTE(SUBSTITUTE(SUBSTITUTE($B2972,"-","")," ",""),".",""))</f>
        <v/>
      </c>
      <c r="I2972" s="10" t="str">
        <f aca="false">IF($D2972="","",SUBSTITUTE(SUBSTITUTE(SUBSTITUTE($D2972,"-","")," ",""),".",""))</f>
        <v/>
      </c>
      <c r="J2972" s="10" t="str">
        <f aca="false">IF($E2972="","",UPPER(SUBSTITUTE($E2972," ","")))</f>
        <v/>
      </c>
      <c r="K2972" s="10" t="str">
        <f aca="false">IF($A2972="","",$G2972&amp;"|"&amp;$J2972)</f>
        <v/>
      </c>
      <c r="L2972" s="10" t="str">
        <f aca="false">IF($A2972="","",ROW()-2)</f>
        <v/>
      </c>
      <c r="M2972" s="10" t="str">
        <f aca="false">IF($A2972="","",ROW())</f>
        <v/>
      </c>
    </row>
    <row r="2973" customFormat="false" ht="15" hidden="false" customHeight="true" outlineLevel="0" collapsed="false">
      <c r="A2973" s="8"/>
      <c r="B2973" s="8"/>
      <c r="C2973" s="8"/>
      <c r="D2973" s="8"/>
      <c r="E2973" s="8"/>
      <c r="F2973" s="8"/>
      <c r="G2973" s="10" t="str">
        <f aca="false">IF($A2973="","",UPPER(SUBSTITUTE(SUBSTITUTE(SUBSTITUTE(SUBSTITUTE($A2973," ",""),"(주)",""),"주식회사",""),"㈜","")))</f>
        <v/>
      </c>
      <c r="H2973" s="10" t="str">
        <f aca="false">IF($B2973="","",SUBSTITUTE(SUBSTITUTE(SUBSTITUTE($B2973,"-","")," ",""),".",""))</f>
        <v/>
      </c>
      <c r="I2973" s="10" t="str">
        <f aca="false">IF($D2973="","",SUBSTITUTE(SUBSTITUTE(SUBSTITUTE($D2973,"-","")," ",""),".",""))</f>
        <v/>
      </c>
      <c r="J2973" s="10" t="str">
        <f aca="false">IF($E2973="","",UPPER(SUBSTITUTE($E2973," ","")))</f>
        <v/>
      </c>
      <c r="K2973" s="10" t="str">
        <f aca="false">IF($A2973="","",$G2973&amp;"|"&amp;$J2973)</f>
        <v/>
      </c>
      <c r="L2973" s="10" t="str">
        <f aca="false">IF($A2973="","",ROW()-2)</f>
        <v/>
      </c>
      <c r="M2973" s="10" t="str">
        <f aca="false">IF($A2973="","",ROW())</f>
        <v/>
      </c>
    </row>
    <row r="2974" customFormat="false" ht="15" hidden="false" customHeight="true" outlineLevel="0" collapsed="false">
      <c r="A2974" s="8"/>
      <c r="B2974" s="8"/>
      <c r="C2974" s="8"/>
      <c r="D2974" s="8"/>
      <c r="E2974" s="8"/>
      <c r="F2974" s="8"/>
      <c r="G2974" s="10" t="str">
        <f aca="false">IF($A2974="","",UPPER(SUBSTITUTE(SUBSTITUTE(SUBSTITUTE(SUBSTITUTE($A2974," ",""),"(주)",""),"주식회사",""),"㈜","")))</f>
        <v/>
      </c>
      <c r="H2974" s="10" t="str">
        <f aca="false">IF($B2974="","",SUBSTITUTE(SUBSTITUTE(SUBSTITUTE($B2974,"-","")," ",""),".",""))</f>
        <v/>
      </c>
      <c r="I2974" s="10" t="str">
        <f aca="false">IF($D2974="","",SUBSTITUTE(SUBSTITUTE(SUBSTITUTE($D2974,"-","")," ",""),".",""))</f>
        <v/>
      </c>
      <c r="J2974" s="10" t="str">
        <f aca="false">IF($E2974="","",UPPER(SUBSTITUTE($E2974," ","")))</f>
        <v/>
      </c>
      <c r="K2974" s="10" t="str">
        <f aca="false">IF($A2974="","",$G2974&amp;"|"&amp;$J2974)</f>
        <v/>
      </c>
      <c r="L2974" s="10" t="str">
        <f aca="false">IF($A2974="","",ROW()-2)</f>
        <v/>
      </c>
      <c r="M2974" s="10" t="str">
        <f aca="false">IF($A2974="","",ROW())</f>
        <v/>
      </c>
    </row>
    <row r="2975" customFormat="false" ht="15" hidden="false" customHeight="true" outlineLevel="0" collapsed="false">
      <c r="A2975" s="8"/>
      <c r="B2975" s="8"/>
      <c r="C2975" s="8"/>
      <c r="D2975" s="8"/>
      <c r="E2975" s="8"/>
      <c r="F2975" s="8"/>
      <c r="G2975" s="10" t="str">
        <f aca="false">IF($A2975="","",UPPER(SUBSTITUTE(SUBSTITUTE(SUBSTITUTE(SUBSTITUTE($A2975," ",""),"(주)",""),"주식회사",""),"㈜","")))</f>
        <v/>
      </c>
      <c r="H2975" s="10" t="str">
        <f aca="false">IF($B2975="","",SUBSTITUTE(SUBSTITUTE(SUBSTITUTE($B2975,"-","")," ",""),".",""))</f>
        <v/>
      </c>
      <c r="I2975" s="10" t="str">
        <f aca="false">IF($D2975="","",SUBSTITUTE(SUBSTITUTE(SUBSTITUTE($D2975,"-","")," ",""),".",""))</f>
        <v/>
      </c>
      <c r="J2975" s="10" t="str">
        <f aca="false">IF($E2975="","",UPPER(SUBSTITUTE($E2975," ","")))</f>
        <v/>
      </c>
      <c r="K2975" s="10" t="str">
        <f aca="false">IF($A2975="","",$G2975&amp;"|"&amp;$J2975)</f>
        <v/>
      </c>
      <c r="L2975" s="10" t="str">
        <f aca="false">IF($A2975="","",ROW()-2)</f>
        <v/>
      </c>
      <c r="M2975" s="10" t="str">
        <f aca="false">IF($A2975="","",ROW())</f>
        <v/>
      </c>
    </row>
    <row r="2976" customFormat="false" ht="15" hidden="false" customHeight="true" outlineLevel="0" collapsed="false">
      <c r="A2976" s="8"/>
      <c r="B2976" s="8"/>
      <c r="C2976" s="8"/>
      <c r="D2976" s="8"/>
      <c r="E2976" s="8"/>
      <c r="F2976" s="8"/>
      <c r="G2976" s="10" t="str">
        <f aca="false">IF($A2976="","",UPPER(SUBSTITUTE(SUBSTITUTE(SUBSTITUTE(SUBSTITUTE($A2976," ",""),"(주)",""),"주식회사",""),"㈜","")))</f>
        <v/>
      </c>
      <c r="H2976" s="10" t="str">
        <f aca="false">IF($B2976="","",SUBSTITUTE(SUBSTITUTE(SUBSTITUTE($B2976,"-","")," ",""),".",""))</f>
        <v/>
      </c>
      <c r="I2976" s="10" t="str">
        <f aca="false">IF($D2976="","",SUBSTITUTE(SUBSTITUTE(SUBSTITUTE($D2976,"-","")," ",""),".",""))</f>
        <v/>
      </c>
      <c r="J2976" s="10" t="str">
        <f aca="false">IF($E2976="","",UPPER(SUBSTITUTE($E2976," ","")))</f>
        <v/>
      </c>
      <c r="K2976" s="10" t="str">
        <f aca="false">IF($A2976="","",$G2976&amp;"|"&amp;$J2976)</f>
        <v/>
      </c>
      <c r="L2976" s="10" t="str">
        <f aca="false">IF($A2976="","",ROW()-2)</f>
        <v/>
      </c>
      <c r="M2976" s="10" t="str">
        <f aca="false">IF($A2976="","",ROW())</f>
        <v/>
      </c>
    </row>
    <row r="2977" customFormat="false" ht="15" hidden="false" customHeight="true" outlineLevel="0" collapsed="false">
      <c r="A2977" s="8"/>
      <c r="B2977" s="8"/>
      <c r="C2977" s="8"/>
      <c r="D2977" s="8"/>
      <c r="E2977" s="8"/>
      <c r="F2977" s="8"/>
      <c r="G2977" s="10" t="str">
        <f aca="false">IF($A2977="","",UPPER(SUBSTITUTE(SUBSTITUTE(SUBSTITUTE(SUBSTITUTE($A2977," ",""),"(주)",""),"주식회사",""),"㈜","")))</f>
        <v/>
      </c>
      <c r="H2977" s="10" t="str">
        <f aca="false">IF($B2977="","",SUBSTITUTE(SUBSTITUTE(SUBSTITUTE($B2977,"-","")," ",""),".",""))</f>
        <v/>
      </c>
      <c r="I2977" s="10" t="str">
        <f aca="false">IF($D2977="","",SUBSTITUTE(SUBSTITUTE(SUBSTITUTE($D2977,"-","")," ",""),".",""))</f>
        <v/>
      </c>
      <c r="J2977" s="10" t="str">
        <f aca="false">IF($E2977="","",UPPER(SUBSTITUTE($E2977," ","")))</f>
        <v/>
      </c>
      <c r="K2977" s="10" t="str">
        <f aca="false">IF($A2977="","",$G2977&amp;"|"&amp;$J2977)</f>
        <v/>
      </c>
      <c r="L2977" s="10" t="str">
        <f aca="false">IF($A2977="","",ROW()-2)</f>
        <v/>
      </c>
      <c r="M2977" s="10" t="str">
        <f aca="false">IF($A2977="","",ROW())</f>
        <v/>
      </c>
    </row>
    <row r="2978" customFormat="false" ht="15" hidden="false" customHeight="true" outlineLevel="0" collapsed="false">
      <c r="A2978" s="8"/>
      <c r="B2978" s="8"/>
      <c r="C2978" s="8"/>
      <c r="D2978" s="8"/>
      <c r="E2978" s="8"/>
      <c r="F2978" s="8"/>
      <c r="G2978" s="10" t="str">
        <f aca="false">IF($A2978="","",UPPER(SUBSTITUTE(SUBSTITUTE(SUBSTITUTE(SUBSTITUTE($A2978," ",""),"(주)",""),"주식회사",""),"㈜","")))</f>
        <v/>
      </c>
      <c r="H2978" s="10" t="str">
        <f aca="false">IF($B2978="","",SUBSTITUTE(SUBSTITUTE(SUBSTITUTE($B2978,"-","")," ",""),".",""))</f>
        <v/>
      </c>
      <c r="I2978" s="10" t="str">
        <f aca="false">IF($D2978="","",SUBSTITUTE(SUBSTITUTE(SUBSTITUTE($D2978,"-","")," ",""),".",""))</f>
        <v/>
      </c>
      <c r="J2978" s="10" t="str">
        <f aca="false">IF($E2978="","",UPPER(SUBSTITUTE($E2978," ","")))</f>
        <v/>
      </c>
      <c r="K2978" s="10" t="str">
        <f aca="false">IF($A2978="","",$G2978&amp;"|"&amp;$J2978)</f>
        <v/>
      </c>
      <c r="L2978" s="10" t="str">
        <f aca="false">IF($A2978="","",ROW()-2)</f>
        <v/>
      </c>
      <c r="M2978" s="10" t="str">
        <f aca="false">IF($A2978="","",ROW())</f>
        <v/>
      </c>
    </row>
    <row r="2979" customFormat="false" ht="15" hidden="false" customHeight="true" outlineLevel="0" collapsed="false">
      <c r="A2979" s="8"/>
      <c r="B2979" s="8"/>
      <c r="C2979" s="8"/>
      <c r="D2979" s="8"/>
      <c r="E2979" s="8"/>
      <c r="F2979" s="8"/>
      <c r="G2979" s="10" t="str">
        <f aca="false">IF($A2979="","",UPPER(SUBSTITUTE(SUBSTITUTE(SUBSTITUTE(SUBSTITUTE($A2979," ",""),"(주)",""),"주식회사",""),"㈜","")))</f>
        <v/>
      </c>
      <c r="H2979" s="10" t="str">
        <f aca="false">IF($B2979="","",SUBSTITUTE(SUBSTITUTE(SUBSTITUTE($B2979,"-","")," ",""),".",""))</f>
        <v/>
      </c>
      <c r="I2979" s="10" t="str">
        <f aca="false">IF($D2979="","",SUBSTITUTE(SUBSTITUTE(SUBSTITUTE($D2979,"-","")," ",""),".",""))</f>
        <v/>
      </c>
      <c r="J2979" s="10" t="str">
        <f aca="false">IF($E2979="","",UPPER(SUBSTITUTE($E2979," ","")))</f>
        <v/>
      </c>
      <c r="K2979" s="10" t="str">
        <f aca="false">IF($A2979="","",$G2979&amp;"|"&amp;$J2979)</f>
        <v/>
      </c>
      <c r="L2979" s="10" t="str">
        <f aca="false">IF($A2979="","",ROW()-2)</f>
        <v/>
      </c>
      <c r="M2979" s="10" t="str">
        <f aca="false">IF($A2979="","",ROW())</f>
        <v/>
      </c>
    </row>
    <row r="2980" customFormat="false" ht="15" hidden="false" customHeight="true" outlineLevel="0" collapsed="false">
      <c r="A2980" s="8"/>
      <c r="B2980" s="8"/>
      <c r="C2980" s="8"/>
      <c r="D2980" s="8"/>
      <c r="E2980" s="8"/>
      <c r="F2980" s="8"/>
      <c r="G2980" s="10" t="str">
        <f aca="false">IF($A2980="","",UPPER(SUBSTITUTE(SUBSTITUTE(SUBSTITUTE(SUBSTITUTE($A2980," ",""),"(주)",""),"주식회사",""),"㈜","")))</f>
        <v/>
      </c>
      <c r="H2980" s="10" t="str">
        <f aca="false">IF($B2980="","",SUBSTITUTE(SUBSTITUTE(SUBSTITUTE($B2980,"-","")," ",""),".",""))</f>
        <v/>
      </c>
      <c r="I2980" s="10" t="str">
        <f aca="false">IF($D2980="","",SUBSTITUTE(SUBSTITUTE(SUBSTITUTE($D2980,"-","")," ",""),".",""))</f>
        <v/>
      </c>
      <c r="J2980" s="10" t="str">
        <f aca="false">IF($E2980="","",UPPER(SUBSTITUTE($E2980," ","")))</f>
        <v/>
      </c>
      <c r="K2980" s="10" t="str">
        <f aca="false">IF($A2980="","",$G2980&amp;"|"&amp;$J2980)</f>
        <v/>
      </c>
      <c r="L2980" s="10" t="str">
        <f aca="false">IF($A2980="","",ROW()-2)</f>
        <v/>
      </c>
      <c r="M2980" s="10" t="str">
        <f aca="false">IF($A2980="","",ROW())</f>
        <v/>
      </c>
    </row>
    <row r="2981" customFormat="false" ht="15" hidden="false" customHeight="true" outlineLevel="0" collapsed="false">
      <c r="A2981" s="8"/>
      <c r="B2981" s="8"/>
      <c r="C2981" s="8"/>
      <c r="D2981" s="8"/>
      <c r="E2981" s="8"/>
      <c r="F2981" s="8"/>
      <c r="G2981" s="10" t="str">
        <f aca="false">IF($A2981="","",UPPER(SUBSTITUTE(SUBSTITUTE(SUBSTITUTE(SUBSTITUTE($A2981," ",""),"(주)",""),"주식회사",""),"㈜","")))</f>
        <v/>
      </c>
      <c r="H2981" s="10" t="str">
        <f aca="false">IF($B2981="","",SUBSTITUTE(SUBSTITUTE(SUBSTITUTE($B2981,"-","")," ",""),".",""))</f>
        <v/>
      </c>
      <c r="I2981" s="10" t="str">
        <f aca="false">IF($D2981="","",SUBSTITUTE(SUBSTITUTE(SUBSTITUTE($D2981,"-","")," ",""),".",""))</f>
        <v/>
      </c>
      <c r="J2981" s="10" t="str">
        <f aca="false">IF($E2981="","",UPPER(SUBSTITUTE($E2981," ","")))</f>
        <v/>
      </c>
      <c r="K2981" s="10" t="str">
        <f aca="false">IF($A2981="","",$G2981&amp;"|"&amp;$J2981)</f>
        <v/>
      </c>
      <c r="L2981" s="10" t="str">
        <f aca="false">IF($A2981="","",ROW()-2)</f>
        <v/>
      </c>
      <c r="M2981" s="10" t="str">
        <f aca="false">IF($A2981="","",ROW())</f>
        <v/>
      </c>
    </row>
    <row r="2982" customFormat="false" ht="15" hidden="false" customHeight="true" outlineLevel="0" collapsed="false">
      <c r="A2982" s="8"/>
      <c r="B2982" s="8"/>
      <c r="C2982" s="8"/>
      <c r="D2982" s="8"/>
      <c r="E2982" s="8"/>
      <c r="F2982" s="8"/>
      <c r="G2982" s="10" t="str">
        <f aca="false">IF($A2982="","",UPPER(SUBSTITUTE(SUBSTITUTE(SUBSTITUTE(SUBSTITUTE($A2982," ",""),"(주)",""),"주식회사",""),"㈜","")))</f>
        <v/>
      </c>
      <c r="H2982" s="10" t="str">
        <f aca="false">IF($B2982="","",SUBSTITUTE(SUBSTITUTE(SUBSTITUTE($B2982,"-","")," ",""),".",""))</f>
        <v/>
      </c>
      <c r="I2982" s="10" t="str">
        <f aca="false">IF($D2982="","",SUBSTITUTE(SUBSTITUTE(SUBSTITUTE($D2982,"-","")," ",""),".",""))</f>
        <v/>
      </c>
      <c r="J2982" s="10" t="str">
        <f aca="false">IF($E2982="","",UPPER(SUBSTITUTE($E2982," ","")))</f>
        <v/>
      </c>
      <c r="K2982" s="10" t="str">
        <f aca="false">IF($A2982="","",$G2982&amp;"|"&amp;$J2982)</f>
        <v/>
      </c>
      <c r="L2982" s="10" t="str">
        <f aca="false">IF($A2982="","",ROW()-2)</f>
        <v/>
      </c>
      <c r="M2982" s="10" t="str">
        <f aca="false">IF($A2982="","",ROW())</f>
        <v/>
      </c>
    </row>
    <row r="2983" customFormat="false" ht="15" hidden="false" customHeight="true" outlineLevel="0" collapsed="false">
      <c r="A2983" s="8"/>
      <c r="B2983" s="8"/>
      <c r="C2983" s="8"/>
      <c r="D2983" s="8"/>
      <c r="E2983" s="8"/>
      <c r="F2983" s="8"/>
      <c r="G2983" s="10" t="str">
        <f aca="false">IF($A2983="","",UPPER(SUBSTITUTE(SUBSTITUTE(SUBSTITUTE(SUBSTITUTE($A2983," ",""),"(주)",""),"주식회사",""),"㈜","")))</f>
        <v/>
      </c>
      <c r="H2983" s="10" t="str">
        <f aca="false">IF($B2983="","",SUBSTITUTE(SUBSTITUTE(SUBSTITUTE($B2983,"-","")," ",""),".",""))</f>
        <v/>
      </c>
      <c r="I2983" s="10" t="str">
        <f aca="false">IF($D2983="","",SUBSTITUTE(SUBSTITUTE(SUBSTITUTE($D2983,"-","")," ",""),".",""))</f>
        <v/>
      </c>
      <c r="J2983" s="10" t="str">
        <f aca="false">IF($E2983="","",UPPER(SUBSTITUTE($E2983," ","")))</f>
        <v/>
      </c>
      <c r="K2983" s="10" t="str">
        <f aca="false">IF($A2983="","",$G2983&amp;"|"&amp;$J2983)</f>
        <v/>
      </c>
      <c r="L2983" s="10" t="str">
        <f aca="false">IF($A2983="","",ROW()-2)</f>
        <v/>
      </c>
      <c r="M2983" s="10" t="str">
        <f aca="false">IF($A2983="","",ROW())</f>
        <v/>
      </c>
    </row>
    <row r="2984" customFormat="false" ht="15" hidden="false" customHeight="true" outlineLevel="0" collapsed="false">
      <c r="A2984" s="8"/>
      <c r="B2984" s="8"/>
      <c r="C2984" s="8"/>
      <c r="D2984" s="8"/>
      <c r="E2984" s="8"/>
      <c r="F2984" s="8"/>
      <c r="G2984" s="10" t="str">
        <f aca="false">IF($A2984="","",UPPER(SUBSTITUTE(SUBSTITUTE(SUBSTITUTE(SUBSTITUTE($A2984," ",""),"(주)",""),"주식회사",""),"㈜","")))</f>
        <v/>
      </c>
      <c r="H2984" s="10" t="str">
        <f aca="false">IF($B2984="","",SUBSTITUTE(SUBSTITUTE(SUBSTITUTE($B2984,"-","")," ",""),".",""))</f>
        <v/>
      </c>
      <c r="I2984" s="10" t="str">
        <f aca="false">IF($D2984="","",SUBSTITUTE(SUBSTITUTE(SUBSTITUTE($D2984,"-","")," ",""),".",""))</f>
        <v/>
      </c>
      <c r="J2984" s="10" t="str">
        <f aca="false">IF($E2984="","",UPPER(SUBSTITUTE($E2984," ","")))</f>
        <v/>
      </c>
      <c r="K2984" s="10" t="str">
        <f aca="false">IF($A2984="","",$G2984&amp;"|"&amp;$J2984)</f>
        <v/>
      </c>
      <c r="L2984" s="10" t="str">
        <f aca="false">IF($A2984="","",ROW()-2)</f>
        <v/>
      </c>
      <c r="M2984" s="10" t="str">
        <f aca="false">IF($A2984="","",ROW())</f>
        <v/>
      </c>
    </row>
    <row r="2985" customFormat="false" ht="15" hidden="false" customHeight="true" outlineLevel="0" collapsed="false">
      <c r="A2985" s="8"/>
      <c r="B2985" s="8"/>
      <c r="C2985" s="8"/>
      <c r="D2985" s="8"/>
      <c r="E2985" s="8"/>
      <c r="F2985" s="8"/>
      <c r="G2985" s="10" t="str">
        <f aca="false">IF($A2985="","",UPPER(SUBSTITUTE(SUBSTITUTE(SUBSTITUTE(SUBSTITUTE($A2985," ",""),"(주)",""),"주식회사",""),"㈜","")))</f>
        <v/>
      </c>
      <c r="H2985" s="10" t="str">
        <f aca="false">IF($B2985="","",SUBSTITUTE(SUBSTITUTE(SUBSTITUTE($B2985,"-","")," ",""),".",""))</f>
        <v/>
      </c>
      <c r="I2985" s="10" t="str">
        <f aca="false">IF($D2985="","",SUBSTITUTE(SUBSTITUTE(SUBSTITUTE($D2985,"-","")," ",""),".",""))</f>
        <v/>
      </c>
      <c r="J2985" s="10" t="str">
        <f aca="false">IF($E2985="","",UPPER(SUBSTITUTE($E2985," ","")))</f>
        <v/>
      </c>
      <c r="K2985" s="10" t="str">
        <f aca="false">IF($A2985="","",$G2985&amp;"|"&amp;$J2985)</f>
        <v/>
      </c>
      <c r="L2985" s="10" t="str">
        <f aca="false">IF($A2985="","",ROW()-2)</f>
        <v/>
      </c>
      <c r="M2985" s="10" t="str">
        <f aca="false">IF($A2985="","",ROW())</f>
        <v/>
      </c>
    </row>
    <row r="2986" customFormat="false" ht="15" hidden="false" customHeight="true" outlineLevel="0" collapsed="false">
      <c r="A2986" s="8"/>
      <c r="B2986" s="8"/>
      <c r="C2986" s="8"/>
      <c r="D2986" s="8"/>
      <c r="E2986" s="8"/>
      <c r="F2986" s="8"/>
      <c r="G2986" s="10" t="str">
        <f aca="false">IF($A2986="","",UPPER(SUBSTITUTE(SUBSTITUTE(SUBSTITUTE(SUBSTITUTE($A2986," ",""),"(주)",""),"주식회사",""),"㈜","")))</f>
        <v/>
      </c>
      <c r="H2986" s="10" t="str">
        <f aca="false">IF($B2986="","",SUBSTITUTE(SUBSTITUTE(SUBSTITUTE($B2986,"-","")," ",""),".",""))</f>
        <v/>
      </c>
      <c r="I2986" s="10" t="str">
        <f aca="false">IF($D2986="","",SUBSTITUTE(SUBSTITUTE(SUBSTITUTE($D2986,"-","")," ",""),".",""))</f>
        <v/>
      </c>
      <c r="J2986" s="10" t="str">
        <f aca="false">IF($E2986="","",UPPER(SUBSTITUTE($E2986," ","")))</f>
        <v/>
      </c>
      <c r="K2986" s="10" t="str">
        <f aca="false">IF($A2986="","",$G2986&amp;"|"&amp;$J2986)</f>
        <v/>
      </c>
      <c r="L2986" s="10" t="str">
        <f aca="false">IF($A2986="","",ROW()-2)</f>
        <v/>
      </c>
      <c r="M2986" s="10" t="str">
        <f aca="false">IF($A2986="","",ROW())</f>
        <v/>
      </c>
    </row>
    <row r="2987" customFormat="false" ht="15" hidden="false" customHeight="true" outlineLevel="0" collapsed="false">
      <c r="A2987" s="8"/>
      <c r="B2987" s="8"/>
      <c r="C2987" s="8"/>
      <c r="D2987" s="8"/>
      <c r="E2987" s="8"/>
      <c r="F2987" s="8"/>
      <c r="G2987" s="10" t="str">
        <f aca="false">IF($A2987="","",UPPER(SUBSTITUTE(SUBSTITUTE(SUBSTITUTE(SUBSTITUTE($A2987," ",""),"(주)",""),"주식회사",""),"㈜","")))</f>
        <v/>
      </c>
      <c r="H2987" s="10" t="str">
        <f aca="false">IF($B2987="","",SUBSTITUTE(SUBSTITUTE(SUBSTITUTE($B2987,"-","")," ",""),".",""))</f>
        <v/>
      </c>
      <c r="I2987" s="10" t="str">
        <f aca="false">IF($D2987="","",SUBSTITUTE(SUBSTITUTE(SUBSTITUTE($D2987,"-","")," ",""),".",""))</f>
        <v/>
      </c>
      <c r="J2987" s="10" t="str">
        <f aca="false">IF($E2987="","",UPPER(SUBSTITUTE($E2987," ","")))</f>
        <v/>
      </c>
      <c r="K2987" s="10" t="str">
        <f aca="false">IF($A2987="","",$G2987&amp;"|"&amp;$J2987)</f>
        <v/>
      </c>
      <c r="L2987" s="10" t="str">
        <f aca="false">IF($A2987="","",ROW()-2)</f>
        <v/>
      </c>
      <c r="M2987" s="10" t="str">
        <f aca="false">IF($A2987="","",ROW())</f>
        <v/>
      </c>
    </row>
    <row r="2988" customFormat="false" ht="15" hidden="false" customHeight="true" outlineLevel="0" collapsed="false">
      <c r="A2988" s="8"/>
      <c r="B2988" s="8"/>
      <c r="C2988" s="8"/>
      <c r="D2988" s="8"/>
      <c r="E2988" s="8"/>
      <c r="F2988" s="8"/>
      <c r="G2988" s="10" t="str">
        <f aca="false">IF($A2988="","",UPPER(SUBSTITUTE(SUBSTITUTE(SUBSTITUTE(SUBSTITUTE($A2988," ",""),"(주)",""),"주식회사",""),"㈜","")))</f>
        <v/>
      </c>
      <c r="H2988" s="10" t="str">
        <f aca="false">IF($B2988="","",SUBSTITUTE(SUBSTITUTE(SUBSTITUTE($B2988,"-","")," ",""),".",""))</f>
        <v/>
      </c>
      <c r="I2988" s="10" t="str">
        <f aca="false">IF($D2988="","",SUBSTITUTE(SUBSTITUTE(SUBSTITUTE($D2988,"-","")," ",""),".",""))</f>
        <v/>
      </c>
      <c r="J2988" s="10" t="str">
        <f aca="false">IF($E2988="","",UPPER(SUBSTITUTE($E2988," ","")))</f>
        <v/>
      </c>
      <c r="K2988" s="10" t="str">
        <f aca="false">IF($A2988="","",$G2988&amp;"|"&amp;$J2988)</f>
        <v/>
      </c>
      <c r="L2988" s="10" t="str">
        <f aca="false">IF($A2988="","",ROW()-2)</f>
        <v/>
      </c>
      <c r="M2988" s="10" t="str">
        <f aca="false">IF($A2988="","",ROW())</f>
        <v/>
      </c>
    </row>
    <row r="2989" customFormat="false" ht="15" hidden="false" customHeight="true" outlineLevel="0" collapsed="false">
      <c r="A2989" s="8"/>
      <c r="B2989" s="8"/>
      <c r="C2989" s="8"/>
      <c r="D2989" s="8"/>
      <c r="E2989" s="8"/>
      <c r="F2989" s="8"/>
      <c r="G2989" s="10" t="str">
        <f aca="false">IF($A2989="","",UPPER(SUBSTITUTE(SUBSTITUTE(SUBSTITUTE(SUBSTITUTE($A2989," ",""),"(주)",""),"주식회사",""),"㈜","")))</f>
        <v/>
      </c>
      <c r="H2989" s="10" t="str">
        <f aca="false">IF($B2989="","",SUBSTITUTE(SUBSTITUTE(SUBSTITUTE($B2989,"-","")," ",""),".",""))</f>
        <v/>
      </c>
      <c r="I2989" s="10" t="str">
        <f aca="false">IF($D2989="","",SUBSTITUTE(SUBSTITUTE(SUBSTITUTE($D2989,"-","")," ",""),".",""))</f>
        <v/>
      </c>
      <c r="J2989" s="10" t="str">
        <f aca="false">IF($E2989="","",UPPER(SUBSTITUTE($E2989," ","")))</f>
        <v/>
      </c>
      <c r="K2989" s="10" t="str">
        <f aca="false">IF($A2989="","",$G2989&amp;"|"&amp;$J2989)</f>
        <v/>
      </c>
      <c r="L2989" s="10" t="str">
        <f aca="false">IF($A2989="","",ROW()-2)</f>
        <v/>
      </c>
      <c r="M2989" s="10" t="str">
        <f aca="false">IF($A2989="","",ROW())</f>
        <v/>
      </c>
    </row>
    <row r="2990" customFormat="false" ht="15" hidden="false" customHeight="true" outlineLevel="0" collapsed="false">
      <c r="A2990" s="8"/>
      <c r="B2990" s="8"/>
      <c r="C2990" s="8"/>
      <c r="D2990" s="8"/>
      <c r="E2990" s="8"/>
      <c r="F2990" s="8"/>
      <c r="G2990" s="10" t="str">
        <f aca="false">IF($A2990="","",UPPER(SUBSTITUTE(SUBSTITUTE(SUBSTITUTE(SUBSTITUTE($A2990," ",""),"(주)",""),"주식회사",""),"㈜","")))</f>
        <v/>
      </c>
      <c r="H2990" s="10" t="str">
        <f aca="false">IF($B2990="","",SUBSTITUTE(SUBSTITUTE(SUBSTITUTE($B2990,"-","")," ",""),".",""))</f>
        <v/>
      </c>
      <c r="I2990" s="10" t="str">
        <f aca="false">IF($D2990="","",SUBSTITUTE(SUBSTITUTE(SUBSTITUTE($D2990,"-","")," ",""),".",""))</f>
        <v/>
      </c>
      <c r="J2990" s="10" t="str">
        <f aca="false">IF($E2990="","",UPPER(SUBSTITUTE($E2990," ","")))</f>
        <v/>
      </c>
      <c r="K2990" s="10" t="str">
        <f aca="false">IF($A2990="","",$G2990&amp;"|"&amp;$J2990)</f>
        <v/>
      </c>
      <c r="L2990" s="10" t="str">
        <f aca="false">IF($A2990="","",ROW()-2)</f>
        <v/>
      </c>
      <c r="M2990" s="10" t="str">
        <f aca="false">IF($A2990="","",ROW())</f>
        <v/>
      </c>
    </row>
    <row r="2991" customFormat="false" ht="15" hidden="false" customHeight="true" outlineLevel="0" collapsed="false">
      <c r="A2991" s="8"/>
      <c r="B2991" s="8"/>
      <c r="C2991" s="8"/>
      <c r="D2991" s="8"/>
      <c r="E2991" s="8"/>
      <c r="F2991" s="8"/>
      <c r="G2991" s="10" t="str">
        <f aca="false">IF($A2991="","",UPPER(SUBSTITUTE(SUBSTITUTE(SUBSTITUTE(SUBSTITUTE($A2991," ",""),"(주)",""),"주식회사",""),"㈜","")))</f>
        <v/>
      </c>
      <c r="H2991" s="10" t="str">
        <f aca="false">IF($B2991="","",SUBSTITUTE(SUBSTITUTE(SUBSTITUTE($B2991,"-","")," ",""),".",""))</f>
        <v/>
      </c>
      <c r="I2991" s="10" t="str">
        <f aca="false">IF($D2991="","",SUBSTITUTE(SUBSTITUTE(SUBSTITUTE($D2991,"-","")," ",""),".",""))</f>
        <v/>
      </c>
      <c r="J2991" s="10" t="str">
        <f aca="false">IF($E2991="","",UPPER(SUBSTITUTE($E2991," ","")))</f>
        <v/>
      </c>
      <c r="K2991" s="10" t="str">
        <f aca="false">IF($A2991="","",$G2991&amp;"|"&amp;$J2991)</f>
        <v/>
      </c>
      <c r="L2991" s="10" t="str">
        <f aca="false">IF($A2991="","",ROW()-2)</f>
        <v/>
      </c>
      <c r="M2991" s="10" t="str">
        <f aca="false">IF($A2991="","",ROW())</f>
        <v/>
      </c>
    </row>
    <row r="2992" customFormat="false" ht="15" hidden="false" customHeight="true" outlineLevel="0" collapsed="false">
      <c r="A2992" s="8"/>
      <c r="B2992" s="8"/>
      <c r="C2992" s="8"/>
      <c r="D2992" s="8"/>
      <c r="E2992" s="8"/>
      <c r="F2992" s="8"/>
      <c r="G2992" s="10" t="str">
        <f aca="false">IF($A2992="","",UPPER(SUBSTITUTE(SUBSTITUTE(SUBSTITUTE(SUBSTITUTE($A2992," ",""),"(주)",""),"주식회사",""),"㈜","")))</f>
        <v/>
      </c>
      <c r="H2992" s="10" t="str">
        <f aca="false">IF($B2992="","",SUBSTITUTE(SUBSTITUTE(SUBSTITUTE($B2992,"-","")," ",""),".",""))</f>
        <v/>
      </c>
      <c r="I2992" s="10" t="str">
        <f aca="false">IF($D2992="","",SUBSTITUTE(SUBSTITUTE(SUBSTITUTE($D2992,"-","")," ",""),".",""))</f>
        <v/>
      </c>
      <c r="J2992" s="10" t="str">
        <f aca="false">IF($E2992="","",UPPER(SUBSTITUTE($E2992," ","")))</f>
        <v/>
      </c>
      <c r="K2992" s="10" t="str">
        <f aca="false">IF($A2992="","",$G2992&amp;"|"&amp;$J2992)</f>
        <v/>
      </c>
      <c r="L2992" s="10" t="str">
        <f aca="false">IF($A2992="","",ROW()-2)</f>
        <v/>
      </c>
      <c r="M2992" s="10" t="str">
        <f aca="false">IF($A2992="","",ROW())</f>
        <v/>
      </c>
    </row>
    <row r="2993" customFormat="false" ht="15" hidden="false" customHeight="true" outlineLevel="0" collapsed="false">
      <c r="A2993" s="8"/>
      <c r="B2993" s="8"/>
      <c r="C2993" s="8"/>
      <c r="D2993" s="8"/>
      <c r="E2993" s="8"/>
      <c r="F2993" s="8"/>
      <c r="G2993" s="10" t="str">
        <f aca="false">IF($A2993="","",UPPER(SUBSTITUTE(SUBSTITUTE(SUBSTITUTE(SUBSTITUTE($A2993," ",""),"(주)",""),"주식회사",""),"㈜","")))</f>
        <v/>
      </c>
      <c r="H2993" s="10" t="str">
        <f aca="false">IF($B2993="","",SUBSTITUTE(SUBSTITUTE(SUBSTITUTE($B2993,"-","")," ",""),".",""))</f>
        <v/>
      </c>
      <c r="I2993" s="10" t="str">
        <f aca="false">IF($D2993="","",SUBSTITUTE(SUBSTITUTE(SUBSTITUTE($D2993,"-","")," ",""),".",""))</f>
        <v/>
      </c>
      <c r="J2993" s="10" t="str">
        <f aca="false">IF($E2993="","",UPPER(SUBSTITUTE($E2993," ","")))</f>
        <v/>
      </c>
      <c r="K2993" s="10" t="str">
        <f aca="false">IF($A2993="","",$G2993&amp;"|"&amp;$J2993)</f>
        <v/>
      </c>
      <c r="L2993" s="10" t="str">
        <f aca="false">IF($A2993="","",ROW()-2)</f>
        <v/>
      </c>
      <c r="M2993" s="10" t="str">
        <f aca="false">IF($A2993="","",ROW())</f>
        <v/>
      </c>
    </row>
    <row r="2994" customFormat="false" ht="15" hidden="false" customHeight="true" outlineLevel="0" collapsed="false">
      <c r="A2994" s="8"/>
      <c r="B2994" s="8"/>
      <c r="C2994" s="8"/>
      <c r="D2994" s="8"/>
      <c r="E2994" s="8"/>
      <c r="F2994" s="8"/>
      <c r="G2994" s="10" t="str">
        <f aca="false">IF($A2994="","",UPPER(SUBSTITUTE(SUBSTITUTE(SUBSTITUTE(SUBSTITUTE($A2994," ",""),"(주)",""),"주식회사",""),"㈜","")))</f>
        <v/>
      </c>
      <c r="H2994" s="10" t="str">
        <f aca="false">IF($B2994="","",SUBSTITUTE(SUBSTITUTE(SUBSTITUTE($B2994,"-","")," ",""),".",""))</f>
        <v/>
      </c>
      <c r="I2994" s="10" t="str">
        <f aca="false">IF($D2994="","",SUBSTITUTE(SUBSTITUTE(SUBSTITUTE($D2994,"-","")," ",""),".",""))</f>
        <v/>
      </c>
      <c r="J2994" s="10" t="str">
        <f aca="false">IF($E2994="","",UPPER(SUBSTITUTE($E2994," ","")))</f>
        <v/>
      </c>
      <c r="K2994" s="10" t="str">
        <f aca="false">IF($A2994="","",$G2994&amp;"|"&amp;$J2994)</f>
        <v/>
      </c>
      <c r="L2994" s="10" t="str">
        <f aca="false">IF($A2994="","",ROW()-2)</f>
        <v/>
      </c>
      <c r="M2994" s="10" t="str">
        <f aca="false">IF($A2994="","",ROW())</f>
        <v/>
      </c>
    </row>
    <row r="2995" customFormat="false" ht="15" hidden="false" customHeight="true" outlineLevel="0" collapsed="false">
      <c r="A2995" s="8"/>
      <c r="B2995" s="8"/>
      <c r="C2995" s="8"/>
      <c r="D2995" s="8"/>
      <c r="E2995" s="8"/>
      <c r="F2995" s="8"/>
      <c r="G2995" s="10" t="str">
        <f aca="false">IF($A2995="","",UPPER(SUBSTITUTE(SUBSTITUTE(SUBSTITUTE(SUBSTITUTE($A2995," ",""),"(주)",""),"주식회사",""),"㈜","")))</f>
        <v/>
      </c>
      <c r="H2995" s="10" t="str">
        <f aca="false">IF($B2995="","",SUBSTITUTE(SUBSTITUTE(SUBSTITUTE($B2995,"-","")," ",""),".",""))</f>
        <v/>
      </c>
      <c r="I2995" s="10" t="str">
        <f aca="false">IF($D2995="","",SUBSTITUTE(SUBSTITUTE(SUBSTITUTE($D2995,"-","")," ",""),".",""))</f>
        <v/>
      </c>
      <c r="J2995" s="10" t="str">
        <f aca="false">IF($E2995="","",UPPER(SUBSTITUTE($E2995," ","")))</f>
        <v/>
      </c>
      <c r="K2995" s="10" t="str">
        <f aca="false">IF($A2995="","",$G2995&amp;"|"&amp;$J2995)</f>
        <v/>
      </c>
      <c r="L2995" s="10" t="str">
        <f aca="false">IF($A2995="","",ROW()-2)</f>
        <v/>
      </c>
      <c r="M2995" s="10" t="str">
        <f aca="false">IF($A2995="","",ROW())</f>
        <v/>
      </c>
    </row>
    <row r="2996" customFormat="false" ht="15" hidden="false" customHeight="true" outlineLevel="0" collapsed="false">
      <c r="A2996" s="8"/>
      <c r="B2996" s="8"/>
      <c r="C2996" s="8"/>
      <c r="D2996" s="8"/>
      <c r="E2996" s="8"/>
      <c r="F2996" s="8"/>
      <c r="G2996" s="10" t="str">
        <f aca="false">IF($A2996="","",UPPER(SUBSTITUTE(SUBSTITUTE(SUBSTITUTE(SUBSTITUTE($A2996," ",""),"(주)",""),"주식회사",""),"㈜","")))</f>
        <v/>
      </c>
      <c r="H2996" s="10" t="str">
        <f aca="false">IF($B2996="","",SUBSTITUTE(SUBSTITUTE(SUBSTITUTE($B2996,"-","")," ",""),".",""))</f>
        <v/>
      </c>
      <c r="I2996" s="10" t="str">
        <f aca="false">IF($D2996="","",SUBSTITUTE(SUBSTITUTE(SUBSTITUTE($D2996,"-","")," ",""),".",""))</f>
        <v/>
      </c>
      <c r="J2996" s="10" t="str">
        <f aca="false">IF($E2996="","",UPPER(SUBSTITUTE($E2996," ","")))</f>
        <v/>
      </c>
      <c r="K2996" s="10" t="str">
        <f aca="false">IF($A2996="","",$G2996&amp;"|"&amp;$J2996)</f>
        <v/>
      </c>
      <c r="L2996" s="10" t="str">
        <f aca="false">IF($A2996="","",ROW()-2)</f>
        <v/>
      </c>
      <c r="M2996" s="10" t="str">
        <f aca="false">IF($A2996="","",ROW())</f>
        <v/>
      </c>
    </row>
    <row r="2997" customFormat="false" ht="15" hidden="false" customHeight="true" outlineLevel="0" collapsed="false">
      <c r="A2997" s="8"/>
      <c r="B2997" s="8"/>
      <c r="C2997" s="8"/>
      <c r="D2997" s="8"/>
      <c r="E2997" s="8"/>
      <c r="F2997" s="8"/>
      <c r="G2997" s="10" t="str">
        <f aca="false">IF($A2997="","",UPPER(SUBSTITUTE(SUBSTITUTE(SUBSTITUTE(SUBSTITUTE($A2997," ",""),"(주)",""),"주식회사",""),"㈜","")))</f>
        <v/>
      </c>
      <c r="H2997" s="10" t="str">
        <f aca="false">IF($B2997="","",SUBSTITUTE(SUBSTITUTE(SUBSTITUTE($B2997,"-","")," ",""),".",""))</f>
        <v/>
      </c>
      <c r="I2997" s="10" t="str">
        <f aca="false">IF($D2997="","",SUBSTITUTE(SUBSTITUTE(SUBSTITUTE($D2997,"-","")," ",""),".",""))</f>
        <v/>
      </c>
      <c r="J2997" s="10" t="str">
        <f aca="false">IF($E2997="","",UPPER(SUBSTITUTE($E2997," ","")))</f>
        <v/>
      </c>
      <c r="K2997" s="10" t="str">
        <f aca="false">IF($A2997="","",$G2997&amp;"|"&amp;$J2997)</f>
        <v/>
      </c>
      <c r="L2997" s="10" t="str">
        <f aca="false">IF($A2997="","",ROW()-2)</f>
        <v/>
      </c>
      <c r="M2997" s="10" t="str">
        <f aca="false">IF($A2997="","",ROW())</f>
        <v/>
      </c>
    </row>
    <row r="2998" customFormat="false" ht="15" hidden="false" customHeight="true" outlineLevel="0" collapsed="false">
      <c r="A2998" s="8"/>
      <c r="B2998" s="8"/>
      <c r="C2998" s="8"/>
      <c r="D2998" s="8"/>
      <c r="E2998" s="8"/>
      <c r="F2998" s="8"/>
      <c r="G2998" s="10" t="str">
        <f aca="false">IF($A2998="","",UPPER(SUBSTITUTE(SUBSTITUTE(SUBSTITUTE(SUBSTITUTE($A2998," ",""),"(주)",""),"주식회사",""),"㈜","")))</f>
        <v/>
      </c>
      <c r="H2998" s="10" t="str">
        <f aca="false">IF($B2998="","",SUBSTITUTE(SUBSTITUTE(SUBSTITUTE($B2998,"-","")," ",""),".",""))</f>
        <v/>
      </c>
      <c r="I2998" s="10" t="str">
        <f aca="false">IF($D2998="","",SUBSTITUTE(SUBSTITUTE(SUBSTITUTE($D2998,"-","")," ",""),".",""))</f>
        <v/>
      </c>
      <c r="J2998" s="10" t="str">
        <f aca="false">IF($E2998="","",UPPER(SUBSTITUTE($E2998," ","")))</f>
        <v/>
      </c>
      <c r="K2998" s="10" t="str">
        <f aca="false">IF($A2998="","",$G2998&amp;"|"&amp;$J2998)</f>
        <v/>
      </c>
      <c r="L2998" s="10" t="str">
        <f aca="false">IF($A2998="","",ROW()-2)</f>
        <v/>
      </c>
      <c r="M2998" s="10" t="str">
        <f aca="false">IF($A2998="","",ROW())</f>
        <v/>
      </c>
    </row>
    <row r="2999" customFormat="false" ht="15" hidden="false" customHeight="true" outlineLevel="0" collapsed="false">
      <c r="A2999" s="8"/>
      <c r="B2999" s="8"/>
      <c r="C2999" s="8"/>
      <c r="D2999" s="8"/>
      <c r="E2999" s="8"/>
      <c r="F2999" s="8"/>
      <c r="G2999" s="10" t="str">
        <f aca="false">IF($A2999="","",UPPER(SUBSTITUTE(SUBSTITUTE(SUBSTITUTE(SUBSTITUTE($A2999," ",""),"(주)",""),"주식회사",""),"㈜","")))</f>
        <v/>
      </c>
      <c r="H2999" s="10" t="str">
        <f aca="false">IF($B2999="","",SUBSTITUTE(SUBSTITUTE(SUBSTITUTE($B2999,"-","")," ",""),".",""))</f>
        <v/>
      </c>
      <c r="I2999" s="10" t="str">
        <f aca="false">IF($D2999="","",SUBSTITUTE(SUBSTITUTE(SUBSTITUTE($D2999,"-","")," ",""),".",""))</f>
        <v/>
      </c>
      <c r="J2999" s="10" t="str">
        <f aca="false">IF($E2999="","",UPPER(SUBSTITUTE($E2999," ","")))</f>
        <v/>
      </c>
      <c r="K2999" s="10" t="str">
        <f aca="false">IF($A2999="","",$G2999&amp;"|"&amp;$J2999)</f>
        <v/>
      </c>
      <c r="L2999" s="10" t="str">
        <f aca="false">IF($A2999="","",ROW()-2)</f>
        <v/>
      </c>
      <c r="M2999" s="10" t="str">
        <f aca="false">IF($A2999="","",ROW())</f>
        <v/>
      </c>
    </row>
    <row r="3000" customFormat="false" ht="15" hidden="false" customHeight="true" outlineLevel="0" collapsed="false">
      <c r="A3000" s="8"/>
      <c r="B3000" s="8"/>
      <c r="C3000" s="8"/>
      <c r="D3000" s="8"/>
      <c r="E3000" s="8"/>
      <c r="F3000" s="8"/>
      <c r="G3000" s="10" t="str">
        <f aca="false">IF($A3000="","",UPPER(SUBSTITUTE(SUBSTITUTE(SUBSTITUTE(SUBSTITUTE($A3000," ",""),"(주)",""),"주식회사",""),"㈜","")))</f>
        <v/>
      </c>
      <c r="H3000" s="10" t="str">
        <f aca="false">IF($B3000="","",SUBSTITUTE(SUBSTITUTE(SUBSTITUTE($B3000,"-","")," ",""),".",""))</f>
        <v/>
      </c>
      <c r="I3000" s="10" t="str">
        <f aca="false">IF($D3000="","",SUBSTITUTE(SUBSTITUTE(SUBSTITUTE($D3000,"-","")," ",""),".",""))</f>
        <v/>
      </c>
      <c r="J3000" s="10" t="str">
        <f aca="false">IF($E3000="","",UPPER(SUBSTITUTE($E3000," ","")))</f>
        <v/>
      </c>
      <c r="K3000" s="10" t="str">
        <f aca="false">IF($A3000="","",$G3000&amp;"|"&amp;$J3000)</f>
        <v/>
      </c>
      <c r="L3000" s="10" t="str">
        <f aca="false">IF($A3000="","",ROW()-2)</f>
        <v/>
      </c>
      <c r="M3000" s="10" t="str">
        <f aca="false">IF($A3000="","",ROW())</f>
        <v/>
      </c>
    </row>
    <row r="3001" customFormat="false" ht="15" hidden="false" customHeight="true" outlineLevel="0" collapsed="false">
      <c r="A3001" s="8"/>
      <c r="B3001" s="8"/>
      <c r="C3001" s="8"/>
      <c r="D3001" s="8"/>
      <c r="E3001" s="8"/>
      <c r="F3001" s="8"/>
      <c r="G3001" s="10" t="str">
        <f aca="false">IF($A3001="","",UPPER(SUBSTITUTE(SUBSTITUTE(SUBSTITUTE(SUBSTITUTE($A3001," ",""),"(주)",""),"주식회사",""),"㈜","")))</f>
        <v/>
      </c>
      <c r="H3001" s="10" t="str">
        <f aca="false">IF($B3001="","",SUBSTITUTE(SUBSTITUTE(SUBSTITUTE($B3001,"-","")," ",""),".",""))</f>
        <v/>
      </c>
      <c r="I3001" s="10" t="str">
        <f aca="false">IF($D3001="","",SUBSTITUTE(SUBSTITUTE(SUBSTITUTE($D3001,"-","")," ",""),".",""))</f>
        <v/>
      </c>
      <c r="J3001" s="10" t="str">
        <f aca="false">IF($E3001="","",UPPER(SUBSTITUTE($E3001," ","")))</f>
        <v/>
      </c>
      <c r="K3001" s="10" t="str">
        <f aca="false">IF($A3001="","",$G3001&amp;"|"&amp;$J3001)</f>
        <v/>
      </c>
      <c r="L3001" s="10" t="str">
        <f aca="false">IF($A3001="","",ROW()-2)</f>
        <v/>
      </c>
      <c r="M3001" s="10" t="str">
        <f aca="false">IF($A3001="","",ROW())</f>
        <v/>
      </c>
    </row>
    <row r="3002" customFormat="false" ht="15" hidden="false" customHeight="true" outlineLevel="0" collapsed="false">
      <c r="A3002" s="8"/>
      <c r="B3002" s="8"/>
      <c r="C3002" s="8"/>
      <c r="D3002" s="8"/>
      <c r="E3002" s="8"/>
      <c r="F3002" s="8"/>
      <c r="G3002" s="10" t="str">
        <f aca="false">IF($A3002="","",UPPER(SUBSTITUTE(SUBSTITUTE(SUBSTITUTE(SUBSTITUTE($A3002," ",""),"(주)",""),"주식회사",""),"㈜","")))</f>
        <v/>
      </c>
      <c r="H3002" s="10" t="str">
        <f aca="false">IF($B3002="","",SUBSTITUTE(SUBSTITUTE(SUBSTITUTE($B3002,"-","")," ",""),".",""))</f>
        <v/>
      </c>
      <c r="I3002" s="10" t="str">
        <f aca="false">IF($D3002="","",SUBSTITUTE(SUBSTITUTE(SUBSTITUTE($D3002,"-","")," ",""),".",""))</f>
        <v/>
      </c>
      <c r="J3002" s="10" t="str">
        <f aca="false">IF($E3002="","",UPPER(SUBSTITUTE($E3002," ","")))</f>
        <v/>
      </c>
      <c r="K3002" s="10" t="str">
        <f aca="false">IF($A3002="","",$G3002&amp;"|"&amp;$J3002)</f>
        <v/>
      </c>
      <c r="L3002" s="10" t="str">
        <f aca="false">IF($A3002="","",ROW()-2)</f>
        <v/>
      </c>
      <c r="M3002" s="10" t="str">
        <f aca="false">IF($A3002="","",ROW())</f>
        <v/>
      </c>
    </row>
    <row r="3003" customFormat="false" ht="15" hidden="false" customHeight="true" outlineLevel="0" collapsed="false">
      <c r="A3003" s="8"/>
      <c r="B3003" s="8"/>
      <c r="C3003" s="8"/>
      <c r="D3003" s="8"/>
      <c r="E3003" s="8"/>
      <c r="F3003" s="8"/>
      <c r="G3003" s="10" t="str">
        <f aca="false">IF($A3003="","",UPPER(SUBSTITUTE(SUBSTITUTE(SUBSTITUTE(SUBSTITUTE($A3003," ",""),"(주)",""),"주식회사",""),"㈜","")))</f>
        <v/>
      </c>
      <c r="H3003" s="10" t="str">
        <f aca="false">IF($B3003="","",SUBSTITUTE(SUBSTITUTE(SUBSTITUTE($B3003,"-","")," ",""),".",""))</f>
        <v/>
      </c>
      <c r="I3003" s="10" t="str">
        <f aca="false">IF($D3003="","",SUBSTITUTE(SUBSTITUTE(SUBSTITUTE($D3003,"-","")," ",""),".",""))</f>
        <v/>
      </c>
      <c r="J3003" s="10" t="str">
        <f aca="false">IF($E3003="","",UPPER(SUBSTITUTE($E3003," ","")))</f>
        <v/>
      </c>
      <c r="K3003" s="10" t="str">
        <f aca="false">IF($A3003="","",$G3003&amp;"|"&amp;$J3003)</f>
        <v/>
      </c>
      <c r="L3003" s="10" t="str">
        <f aca="false">IF($A3003="","",ROW()-2)</f>
        <v/>
      </c>
      <c r="M3003" s="10" t="str">
        <f aca="false">IF($A3003="","",ROW())</f>
        <v/>
      </c>
    </row>
    <row r="3004" customFormat="false" ht="15" hidden="false" customHeight="true" outlineLevel="0" collapsed="false">
      <c r="A3004" s="8"/>
      <c r="B3004" s="8"/>
      <c r="C3004" s="8"/>
      <c r="D3004" s="8"/>
      <c r="E3004" s="8"/>
      <c r="F3004" s="8"/>
      <c r="G3004" s="10" t="str">
        <f aca="false">IF($A3004="","",UPPER(SUBSTITUTE(SUBSTITUTE(SUBSTITUTE(SUBSTITUTE($A3004," ",""),"(주)",""),"주식회사",""),"㈜","")))</f>
        <v/>
      </c>
      <c r="H3004" s="10" t="str">
        <f aca="false">IF($B3004="","",SUBSTITUTE(SUBSTITUTE(SUBSTITUTE($B3004,"-","")," ",""),".",""))</f>
        <v/>
      </c>
      <c r="I3004" s="10" t="str">
        <f aca="false">IF($D3004="","",SUBSTITUTE(SUBSTITUTE(SUBSTITUTE($D3004,"-","")," ",""),".",""))</f>
        <v/>
      </c>
      <c r="J3004" s="10" t="str">
        <f aca="false">IF($E3004="","",UPPER(SUBSTITUTE($E3004," ","")))</f>
        <v/>
      </c>
      <c r="K3004" s="10" t="str">
        <f aca="false">IF($A3004="","",$G3004&amp;"|"&amp;$J3004)</f>
        <v/>
      </c>
      <c r="L3004" s="10" t="str">
        <f aca="false">IF($A3004="","",ROW()-2)</f>
        <v/>
      </c>
      <c r="M3004" s="10" t="str">
        <f aca="false">IF($A3004="","",ROW())</f>
        <v/>
      </c>
    </row>
    <row r="3005" customFormat="false" ht="15" hidden="false" customHeight="true" outlineLevel="0" collapsed="false">
      <c r="A3005" s="8"/>
      <c r="B3005" s="8"/>
      <c r="C3005" s="8"/>
      <c r="D3005" s="8"/>
      <c r="E3005" s="8"/>
      <c r="F3005" s="8"/>
      <c r="G3005" s="10" t="str">
        <f aca="false">IF($A3005="","",UPPER(SUBSTITUTE(SUBSTITUTE(SUBSTITUTE(SUBSTITUTE($A3005," ",""),"(주)",""),"주식회사",""),"㈜","")))</f>
        <v/>
      </c>
      <c r="H3005" s="10" t="str">
        <f aca="false">IF($B3005="","",SUBSTITUTE(SUBSTITUTE(SUBSTITUTE($B3005,"-","")," ",""),".",""))</f>
        <v/>
      </c>
      <c r="I3005" s="10" t="str">
        <f aca="false">IF($D3005="","",SUBSTITUTE(SUBSTITUTE(SUBSTITUTE($D3005,"-","")," ",""),".",""))</f>
        <v/>
      </c>
      <c r="J3005" s="10" t="str">
        <f aca="false">IF($E3005="","",UPPER(SUBSTITUTE($E3005," ","")))</f>
        <v/>
      </c>
      <c r="K3005" s="10" t="str">
        <f aca="false">IF($A3005="","",$G3005&amp;"|"&amp;$J3005)</f>
        <v/>
      </c>
      <c r="L3005" s="10" t="str">
        <f aca="false">IF($A3005="","",ROW()-2)</f>
        <v/>
      </c>
      <c r="M3005" s="10" t="str">
        <f aca="false">IF($A3005="","",ROW())</f>
        <v/>
      </c>
    </row>
    <row r="3006" customFormat="false" ht="15" hidden="false" customHeight="true" outlineLevel="0" collapsed="false">
      <c r="A3006" s="8"/>
      <c r="B3006" s="8"/>
      <c r="C3006" s="8"/>
      <c r="D3006" s="8"/>
      <c r="E3006" s="8"/>
      <c r="F3006" s="8"/>
      <c r="G3006" s="10" t="str">
        <f aca="false">IF($A3006="","",UPPER(SUBSTITUTE(SUBSTITUTE(SUBSTITUTE(SUBSTITUTE($A3006," ",""),"(주)",""),"주식회사",""),"㈜","")))</f>
        <v/>
      </c>
      <c r="H3006" s="10" t="str">
        <f aca="false">IF($B3006="","",SUBSTITUTE(SUBSTITUTE(SUBSTITUTE($B3006,"-","")," ",""),".",""))</f>
        <v/>
      </c>
      <c r="I3006" s="10" t="str">
        <f aca="false">IF($D3006="","",SUBSTITUTE(SUBSTITUTE(SUBSTITUTE($D3006,"-","")," ",""),".",""))</f>
        <v/>
      </c>
      <c r="J3006" s="10" t="str">
        <f aca="false">IF($E3006="","",UPPER(SUBSTITUTE($E3006," ","")))</f>
        <v/>
      </c>
      <c r="K3006" s="10" t="str">
        <f aca="false">IF($A3006="","",$G3006&amp;"|"&amp;$J3006)</f>
        <v/>
      </c>
      <c r="L3006" s="10" t="str">
        <f aca="false">IF($A3006="","",ROW()-2)</f>
        <v/>
      </c>
      <c r="M3006" s="10" t="str">
        <f aca="false">IF($A3006="","",ROW())</f>
        <v/>
      </c>
    </row>
    <row r="3007" customFormat="false" ht="15" hidden="false" customHeight="true" outlineLevel="0" collapsed="false">
      <c r="A3007" s="8"/>
      <c r="B3007" s="8"/>
      <c r="C3007" s="8"/>
      <c r="D3007" s="8"/>
      <c r="E3007" s="8"/>
      <c r="F3007" s="8"/>
      <c r="G3007" s="10" t="str">
        <f aca="false">IF($A3007="","",UPPER(SUBSTITUTE(SUBSTITUTE(SUBSTITUTE(SUBSTITUTE($A3007," ",""),"(주)",""),"주식회사",""),"㈜","")))</f>
        <v/>
      </c>
      <c r="H3007" s="10" t="str">
        <f aca="false">IF($B3007="","",SUBSTITUTE(SUBSTITUTE(SUBSTITUTE($B3007,"-","")," ",""),".",""))</f>
        <v/>
      </c>
      <c r="I3007" s="10" t="str">
        <f aca="false">IF($D3007="","",SUBSTITUTE(SUBSTITUTE(SUBSTITUTE($D3007,"-","")," ",""),".",""))</f>
        <v/>
      </c>
      <c r="J3007" s="10" t="str">
        <f aca="false">IF($E3007="","",UPPER(SUBSTITUTE($E3007," ","")))</f>
        <v/>
      </c>
      <c r="K3007" s="10" t="str">
        <f aca="false">IF($A3007="","",$G3007&amp;"|"&amp;$J3007)</f>
        <v/>
      </c>
      <c r="L3007" s="10" t="str">
        <f aca="false">IF($A3007="","",ROW()-2)</f>
        <v/>
      </c>
      <c r="M3007" s="10" t="str">
        <f aca="false">IF($A3007="","",ROW())</f>
        <v/>
      </c>
    </row>
    <row r="3008" customFormat="false" ht="15" hidden="false" customHeight="true" outlineLevel="0" collapsed="false">
      <c r="A3008" s="8"/>
      <c r="B3008" s="8"/>
      <c r="C3008" s="8"/>
      <c r="D3008" s="8"/>
      <c r="E3008" s="8"/>
      <c r="F3008" s="8"/>
      <c r="G3008" s="10" t="str">
        <f aca="false">IF($A3008="","",UPPER(SUBSTITUTE(SUBSTITUTE(SUBSTITUTE(SUBSTITUTE($A3008," ",""),"(주)",""),"주식회사",""),"㈜","")))</f>
        <v/>
      </c>
      <c r="H3008" s="10" t="str">
        <f aca="false">IF($B3008="","",SUBSTITUTE(SUBSTITUTE(SUBSTITUTE($B3008,"-","")," ",""),".",""))</f>
        <v/>
      </c>
      <c r="I3008" s="10" t="str">
        <f aca="false">IF($D3008="","",SUBSTITUTE(SUBSTITUTE(SUBSTITUTE($D3008,"-","")," ",""),".",""))</f>
        <v/>
      </c>
      <c r="J3008" s="10" t="str">
        <f aca="false">IF($E3008="","",UPPER(SUBSTITUTE($E3008," ","")))</f>
        <v/>
      </c>
      <c r="K3008" s="10" t="str">
        <f aca="false">IF($A3008="","",$G3008&amp;"|"&amp;$J3008)</f>
        <v/>
      </c>
      <c r="L3008" s="10" t="str">
        <f aca="false">IF($A3008="","",ROW()-2)</f>
        <v/>
      </c>
      <c r="M3008" s="10" t="str">
        <f aca="false">IF($A3008="","",ROW())</f>
        <v/>
      </c>
    </row>
    <row r="3009" customFormat="false" ht="15" hidden="false" customHeight="true" outlineLevel="0" collapsed="false">
      <c r="A3009" s="8"/>
      <c r="B3009" s="8"/>
      <c r="C3009" s="8"/>
      <c r="D3009" s="8"/>
      <c r="E3009" s="8"/>
      <c r="F3009" s="8"/>
      <c r="G3009" s="10" t="str">
        <f aca="false">IF($A3009="","",UPPER(SUBSTITUTE(SUBSTITUTE(SUBSTITUTE(SUBSTITUTE($A3009," ",""),"(주)",""),"주식회사",""),"㈜","")))</f>
        <v/>
      </c>
      <c r="H3009" s="10" t="str">
        <f aca="false">IF($B3009="","",SUBSTITUTE(SUBSTITUTE(SUBSTITUTE($B3009,"-","")," ",""),".",""))</f>
        <v/>
      </c>
      <c r="I3009" s="10" t="str">
        <f aca="false">IF($D3009="","",SUBSTITUTE(SUBSTITUTE(SUBSTITUTE($D3009,"-","")," ",""),".",""))</f>
        <v/>
      </c>
      <c r="J3009" s="10" t="str">
        <f aca="false">IF($E3009="","",UPPER(SUBSTITUTE($E3009," ","")))</f>
        <v/>
      </c>
      <c r="K3009" s="10" t="str">
        <f aca="false">IF($A3009="","",$G3009&amp;"|"&amp;$J3009)</f>
        <v/>
      </c>
      <c r="L3009" s="10" t="str">
        <f aca="false">IF($A3009="","",ROW()-2)</f>
        <v/>
      </c>
      <c r="M3009" s="10" t="str">
        <f aca="false">IF($A3009="","",ROW())</f>
        <v/>
      </c>
    </row>
    <row r="3010" customFormat="false" ht="15" hidden="false" customHeight="true" outlineLevel="0" collapsed="false">
      <c r="A3010" s="8"/>
      <c r="B3010" s="8"/>
      <c r="C3010" s="8"/>
      <c r="D3010" s="8"/>
      <c r="E3010" s="8"/>
      <c r="F3010" s="8"/>
      <c r="G3010" s="10" t="str">
        <f aca="false">IF($A3010="","",UPPER(SUBSTITUTE(SUBSTITUTE(SUBSTITUTE(SUBSTITUTE($A3010," ",""),"(주)",""),"주식회사",""),"㈜","")))</f>
        <v/>
      </c>
      <c r="H3010" s="10" t="str">
        <f aca="false">IF($B3010="","",SUBSTITUTE(SUBSTITUTE(SUBSTITUTE($B3010,"-","")," ",""),".",""))</f>
        <v/>
      </c>
      <c r="I3010" s="10" t="str">
        <f aca="false">IF($D3010="","",SUBSTITUTE(SUBSTITUTE(SUBSTITUTE($D3010,"-","")," ",""),".",""))</f>
        <v/>
      </c>
      <c r="J3010" s="10" t="str">
        <f aca="false">IF($E3010="","",UPPER(SUBSTITUTE($E3010," ","")))</f>
        <v/>
      </c>
      <c r="K3010" s="10" t="str">
        <f aca="false">IF($A3010="","",$G3010&amp;"|"&amp;$J3010)</f>
        <v/>
      </c>
      <c r="L3010" s="10" t="str">
        <f aca="false">IF($A3010="","",ROW()-2)</f>
        <v/>
      </c>
      <c r="M3010" s="10" t="str">
        <f aca="false">IF($A3010="","",ROW())</f>
        <v/>
      </c>
    </row>
    <row r="3011" customFormat="false" ht="15" hidden="false" customHeight="true" outlineLevel="0" collapsed="false">
      <c r="A3011" s="8"/>
      <c r="B3011" s="8"/>
      <c r="C3011" s="8"/>
      <c r="D3011" s="8"/>
      <c r="E3011" s="8"/>
      <c r="F3011" s="8"/>
      <c r="G3011" s="10" t="str">
        <f aca="false">IF($A3011="","",UPPER(SUBSTITUTE(SUBSTITUTE(SUBSTITUTE(SUBSTITUTE($A3011," ",""),"(주)",""),"주식회사",""),"㈜","")))</f>
        <v/>
      </c>
      <c r="H3011" s="10" t="str">
        <f aca="false">IF($B3011="","",SUBSTITUTE(SUBSTITUTE(SUBSTITUTE($B3011,"-","")," ",""),".",""))</f>
        <v/>
      </c>
      <c r="I3011" s="10" t="str">
        <f aca="false">IF($D3011="","",SUBSTITUTE(SUBSTITUTE(SUBSTITUTE($D3011,"-","")," ",""),".",""))</f>
        <v/>
      </c>
      <c r="J3011" s="10" t="str">
        <f aca="false">IF($E3011="","",UPPER(SUBSTITUTE($E3011," ","")))</f>
        <v/>
      </c>
      <c r="K3011" s="10" t="str">
        <f aca="false">IF($A3011="","",$G3011&amp;"|"&amp;$J3011)</f>
        <v/>
      </c>
      <c r="L3011" s="10" t="str">
        <f aca="false">IF($A3011="","",ROW()-2)</f>
        <v/>
      </c>
      <c r="M3011" s="10" t="str">
        <f aca="false">IF($A3011="","",ROW())</f>
        <v/>
      </c>
    </row>
    <row r="3012" customFormat="false" ht="15" hidden="false" customHeight="true" outlineLevel="0" collapsed="false">
      <c r="A3012" s="8"/>
      <c r="B3012" s="8"/>
      <c r="C3012" s="8"/>
      <c r="D3012" s="8"/>
      <c r="E3012" s="8"/>
      <c r="F3012" s="8"/>
      <c r="G3012" s="10" t="str">
        <f aca="false">IF($A3012="","",UPPER(SUBSTITUTE(SUBSTITUTE(SUBSTITUTE(SUBSTITUTE($A3012," ",""),"(주)",""),"주식회사",""),"㈜","")))</f>
        <v/>
      </c>
      <c r="H3012" s="10" t="str">
        <f aca="false">IF($B3012="","",SUBSTITUTE(SUBSTITUTE(SUBSTITUTE($B3012,"-","")," ",""),".",""))</f>
        <v/>
      </c>
      <c r="I3012" s="10" t="str">
        <f aca="false">IF($D3012="","",SUBSTITUTE(SUBSTITUTE(SUBSTITUTE($D3012,"-","")," ",""),".",""))</f>
        <v/>
      </c>
      <c r="J3012" s="10" t="str">
        <f aca="false">IF($E3012="","",UPPER(SUBSTITUTE($E3012," ","")))</f>
        <v/>
      </c>
      <c r="K3012" s="10" t="str">
        <f aca="false">IF($A3012="","",$G3012&amp;"|"&amp;$J3012)</f>
        <v/>
      </c>
      <c r="L3012" s="10" t="str">
        <f aca="false">IF($A3012="","",ROW()-2)</f>
        <v/>
      </c>
      <c r="M3012" s="10" t="str">
        <f aca="false">IF($A3012="","",ROW())</f>
        <v/>
      </c>
    </row>
    <row r="3013" customFormat="false" ht="15" hidden="false" customHeight="true" outlineLevel="0" collapsed="false">
      <c r="A3013" s="8"/>
      <c r="B3013" s="8"/>
      <c r="C3013" s="8"/>
      <c r="D3013" s="8"/>
      <c r="E3013" s="8"/>
      <c r="F3013" s="8"/>
      <c r="G3013" s="10" t="str">
        <f aca="false">IF($A3013="","",UPPER(SUBSTITUTE(SUBSTITUTE(SUBSTITUTE(SUBSTITUTE($A3013," ",""),"(주)",""),"주식회사",""),"㈜","")))</f>
        <v/>
      </c>
      <c r="H3013" s="10" t="str">
        <f aca="false">IF($B3013="","",SUBSTITUTE(SUBSTITUTE(SUBSTITUTE($B3013,"-","")," ",""),".",""))</f>
        <v/>
      </c>
      <c r="I3013" s="10" t="str">
        <f aca="false">IF($D3013="","",SUBSTITUTE(SUBSTITUTE(SUBSTITUTE($D3013,"-","")," ",""),".",""))</f>
        <v/>
      </c>
      <c r="J3013" s="10" t="str">
        <f aca="false">IF($E3013="","",UPPER(SUBSTITUTE($E3013," ","")))</f>
        <v/>
      </c>
      <c r="K3013" s="10" t="str">
        <f aca="false">IF($A3013="","",$G3013&amp;"|"&amp;$J3013)</f>
        <v/>
      </c>
      <c r="L3013" s="10" t="str">
        <f aca="false">IF($A3013="","",ROW()-2)</f>
        <v/>
      </c>
      <c r="M3013" s="10" t="str">
        <f aca="false">IF($A3013="","",ROW())</f>
        <v/>
      </c>
    </row>
    <row r="3014" customFormat="false" ht="15" hidden="false" customHeight="true" outlineLevel="0" collapsed="false">
      <c r="A3014" s="8"/>
      <c r="B3014" s="8"/>
      <c r="C3014" s="8"/>
      <c r="D3014" s="8"/>
      <c r="E3014" s="8"/>
      <c r="F3014" s="8"/>
      <c r="G3014" s="10" t="str">
        <f aca="false">IF($A3014="","",UPPER(SUBSTITUTE(SUBSTITUTE(SUBSTITUTE(SUBSTITUTE($A3014," ",""),"(주)",""),"주식회사",""),"㈜","")))</f>
        <v/>
      </c>
      <c r="H3014" s="10" t="str">
        <f aca="false">IF($B3014="","",SUBSTITUTE(SUBSTITUTE(SUBSTITUTE($B3014,"-","")," ",""),".",""))</f>
        <v/>
      </c>
      <c r="I3014" s="10" t="str">
        <f aca="false">IF($D3014="","",SUBSTITUTE(SUBSTITUTE(SUBSTITUTE($D3014,"-","")," ",""),".",""))</f>
        <v/>
      </c>
      <c r="J3014" s="10" t="str">
        <f aca="false">IF($E3014="","",UPPER(SUBSTITUTE($E3014," ","")))</f>
        <v/>
      </c>
      <c r="K3014" s="10" t="str">
        <f aca="false">IF($A3014="","",$G3014&amp;"|"&amp;$J3014)</f>
        <v/>
      </c>
      <c r="L3014" s="10" t="str">
        <f aca="false">IF($A3014="","",ROW()-2)</f>
        <v/>
      </c>
      <c r="M3014" s="10" t="str">
        <f aca="false">IF($A3014="","",ROW())</f>
        <v/>
      </c>
    </row>
    <row r="3015" customFormat="false" ht="15" hidden="false" customHeight="true" outlineLevel="0" collapsed="false">
      <c r="A3015" s="8"/>
      <c r="B3015" s="8"/>
      <c r="C3015" s="8"/>
      <c r="D3015" s="8"/>
      <c r="E3015" s="8"/>
      <c r="F3015" s="8"/>
      <c r="G3015" s="10" t="str">
        <f aca="false">IF($A3015="","",UPPER(SUBSTITUTE(SUBSTITUTE(SUBSTITUTE(SUBSTITUTE($A3015," ",""),"(주)",""),"주식회사",""),"㈜","")))</f>
        <v/>
      </c>
      <c r="H3015" s="10" t="str">
        <f aca="false">IF($B3015="","",SUBSTITUTE(SUBSTITUTE(SUBSTITUTE($B3015,"-","")," ",""),".",""))</f>
        <v/>
      </c>
      <c r="I3015" s="10" t="str">
        <f aca="false">IF($D3015="","",SUBSTITUTE(SUBSTITUTE(SUBSTITUTE($D3015,"-","")," ",""),".",""))</f>
        <v/>
      </c>
      <c r="J3015" s="10" t="str">
        <f aca="false">IF($E3015="","",UPPER(SUBSTITUTE($E3015," ","")))</f>
        <v/>
      </c>
      <c r="K3015" s="10" t="str">
        <f aca="false">IF($A3015="","",$G3015&amp;"|"&amp;$J3015)</f>
        <v/>
      </c>
      <c r="L3015" s="10" t="str">
        <f aca="false">IF($A3015="","",ROW()-2)</f>
        <v/>
      </c>
      <c r="M3015" s="10" t="str">
        <f aca="false">IF($A3015="","",ROW())</f>
        <v/>
      </c>
    </row>
    <row r="3016" customFormat="false" ht="15" hidden="false" customHeight="true" outlineLevel="0" collapsed="false">
      <c r="A3016" s="8"/>
      <c r="B3016" s="8"/>
      <c r="C3016" s="8"/>
      <c r="D3016" s="8"/>
      <c r="E3016" s="8"/>
      <c r="F3016" s="8"/>
      <c r="G3016" s="10" t="str">
        <f aca="false">IF($A3016="","",UPPER(SUBSTITUTE(SUBSTITUTE(SUBSTITUTE(SUBSTITUTE($A3016," ",""),"(주)",""),"주식회사",""),"㈜","")))</f>
        <v/>
      </c>
      <c r="H3016" s="10" t="str">
        <f aca="false">IF($B3016="","",SUBSTITUTE(SUBSTITUTE(SUBSTITUTE($B3016,"-","")," ",""),".",""))</f>
        <v/>
      </c>
      <c r="I3016" s="10" t="str">
        <f aca="false">IF($D3016="","",SUBSTITUTE(SUBSTITUTE(SUBSTITUTE($D3016,"-","")," ",""),".",""))</f>
        <v/>
      </c>
      <c r="J3016" s="10" t="str">
        <f aca="false">IF($E3016="","",UPPER(SUBSTITUTE($E3016," ","")))</f>
        <v/>
      </c>
      <c r="K3016" s="10" t="str">
        <f aca="false">IF($A3016="","",$G3016&amp;"|"&amp;$J3016)</f>
        <v/>
      </c>
      <c r="L3016" s="10" t="str">
        <f aca="false">IF($A3016="","",ROW()-2)</f>
        <v/>
      </c>
      <c r="M3016" s="10" t="str">
        <f aca="false">IF($A3016="","",ROW())</f>
        <v/>
      </c>
    </row>
    <row r="3017" customFormat="false" ht="15" hidden="false" customHeight="true" outlineLevel="0" collapsed="false">
      <c r="A3017" s="8"/>
      <c r="B3017" s="8"/>
      <c r="C3017" s="8"/>
      <c r="D3017" s="8"/>
      <c r="E3017" s="8"/>
      <c r="F3017" s="8"/>
      <c r="G3017" s="10" t="str">
        <f aca="false">IF($A3017="","",UPPER(SUBSTITUTE(SUBSTITUTE(SUBSTITUTE(SUBSTITUTE($A3017," ",""),"(주)",""),"주식회사",""),"㈜","")))</f>
        <v/>
      </c>
      <c r="H3017" s="10" t="str">
        <f aca="false">IF($B3017="","",SUBSTITUTE(SUBSTITUTE(SUBSTITUTE($B3017,"-","")," ",""),".",""))</f>
        <v/>
      </c>
      <c r="I3017" s="10" t="str">
        <f aca="false">IF($D3017="","",SUBSTITUTE(SUBSTITUTE(SUBSTITUTE($D3017,"-","")," ",""),".",""))</f>
        <v/>
      </c>
      <c r="J3017" s="10" t="str">
        <f aca="false">IF($E3017="","",UPPER(SUBSTITUTE($E3017," ","")))</f>
        <v/>
      </c>
      <c r="K3017" s="10" t="str">
        <f aca="false">IF($A3017="","",$G3017&amp;"|"&amp;$J3017)</f>
        <v/>
      </c>
      <c r="L3017" s="10" t="str">
        <f aca="false">IF($A3017="","",ROW()-2)</f>
        <v/>
      </c>
      <c r="M3017" s="10" t="str">
        <f aca="false">IF($A3017="","",ROW())</f>
        <v/>
      </c>
    </row>
    <row r="3018" customFormat="false" ht="15" hidden="false" customHeight="true" outlineLevel="0" collapsed="false">
      <c r="A3018" s="8"/>
      <c r="B3018" s="8"/>
      <c r="C3018" s="8"/>
      <c r="D3018" s="8"/>
      <c r="E3018" s="8"/>
      <c r="F3018" s="8"/>
      <c r="G3018" s="10" t="str">
        <f aca="false">IF($A3018="","",UPPER(SUBSTITUTE(SUBSTITUTE(SUBSTITUTE(SUBSTITUTE($A3018," ",""),"(주)",""),"주식회사",""),"㈜","")))</f>
        <v/>
      </c>
      <c r="H3018" s="10" t="str">
        <f aca="false">IF($B3018="","",SUBSTITUTE(SUBSTITUTE(SUBSTITUTE($B3018,"-","")," ",""),".",""))</f>
        <v/>
      </c>
      <c r="I3018" s="10" t="str">
        <f aca="false">IF($D3018="","",SUBSTITUTE(SUBSTITUTE(SUBSTITUTE($D3018,"-","")," ",""),".",""))</f>
        <v/>
      </c>
      <c r="J3018" s="10" t="str">
        <f aca="false">IF($E3018="","",UPPER(SUBSTITUTE($E3018," ","")))</f>
        <v/>
      </c>
      <c r="K3018" s="10" t="str">
        <f aca="false">IF($A3018="","",$G3018&amp;"|"&amp;$J3018)</f>
        <v/>
      </c>
      <c r="L3018" s="10" t="str">
        <f aca="false">IF($A3018="","",ROW()-2)</f>
        <v/>
      </c>
      <c r="M3018" s="10" t="str">
        <f aca="false">IF($A3018="","",ROW())</f>
        <v/>
      </c>
    </row>
    <row r="3019" customFormat="false" ht="15" hidden="false" customHeight="true" outlineLevel="0" collapsed="false">
      <c r="A3019" s="8"/>
      <c r="B3019" s="8"/>
      <c r="C3019" s="8"/>
      <c r="D3019" s="8"/>
      <c r="E3019" s="8"/>
      <c r="F3019" s="8"/>
      <c r="G3019" s="10" t="str">
        <f aca="false">IF($A3019="","",UPPER(SUBSTITUTE(SUBSTITUTE(SUBSTITUTE(SUBSTITUTE($A3019," ",""),"(주)",""),"주식회사",""),"㈜","")))</f>
        <v/>
      </c>
      <c r="H3019" s="10" t="str">
        <f aca="false">IF($B3019="","",SUBSTITUTE(SUBSTITUTE(SUBSTITUTE($B3019,"-","")," ",""),".",""))</f>
        <v/>
      </c>
      <c r="I3019" s="10" t="str">
        <f aca="false">IF($D3019="","",SUBSTITUTE(SUBSTITUTE(SUBSTITUTE($D3019,"-","")," ",""),".",""))</f>
        <v/>
      </c>
      <c r="J3019" s="10" t="str">
        <f aca="false">IF($E3019="","",UPPER(SUBSTITUTE($E3019," ","")))</f>
        <v/>
      </c>
      <c r="K3019" s="10" t="str">
        <f aca="false">IF($A3019="","",$G3019&amp;"|"&amp;$J3019)</f>
        <v/>
      </c>
      <c r="L3019" s="10" t="str">
        <f aca="false">IF($A3019="","",ROW()-2)</f>
        <v/>
      </c>
      <c r="M3019" s="10" t="str">
        <f aca="false">IF($A3019="","",ROW())</f>
        <v/>
      </c>
    </row>
    <row r="3020" customFormat="false" ht="15" hidden="false" customHeight="true" outlineLevel="0" collapsed="false">
      <c r="A3020" s="8"/>
      <c r="B3020" s="8"/>
      <c r="C3020" s="8"/>
      <c r="D3020" s="8"/>
      <c r="E3020" s="8"/>
      <c r="F3020" s="8"/>
      <c r="G3020" s="10" t="str">
        <f aca="false">IF($A3020="","",UPPER(SUBSTITUTE(SUBSTITUTE(SUBSTITUTE(SUBSTITUTE($A3020," ",""),"(주)",""),"주식회사",""),"㈜","")))</f>
        <v/>
      </c>
      <c r="H3020" s="10" t="str">
        <f aca="false">IF($B3020="","",SUBSTITUTE(SUBSTITUTE(SUBSTITUTE($B3020,"-","")," ",""),".",""))</f>
        <v/>
      </c>
      <c r="I3020" s="10" t="str">
        <f aca="false">IF($D3020="","",SUBSTITUTE(SUBSTITUTE(SUBSTITUTE($D3020,"-","")," ",""),".",""))</f>
        <v/>
      </c>
      <c r="J3020" s="10" t="str">
        <f aca="false">IF($E3020="","",UPPER(SUBSTITUTE($E3020," ","")))</f>
        <v/>
      </c>
      <c r="K3020" s="10" t="str">
        <f aca="false">IF($A3020="","",$G3020&amp;"|"&amp;$J3020)</f>
        <v/>
      </c>
      <c r="L3020" s="10" t="str">
        <f aca="false">IF($A3020="","",ROW()-2)</f>
        <v/>
      </c>
      <c r="M3020" s="10" t="str">
        <f aca="false">IF($A3020="","",ROW())</f>
        <v/>
      </c>
    </row>
    <row r="3021" customFormat="false" ht="15" hidden="false" customHeight="true" outlineLevel="0" collapsed="false">
      <c r="A3021" s="8"/>
      <c r="B3021" s="8"/>
      <c r="C3021" s="8"/>
      <c r="D3021" s="8"/>
      <c r="E3021" s="8"/>
      <c r="F3021" s="8"/>
      <c r="G3021" s="10" t="str">
        <f aca="false">IF($A3021="","",UPPER(SUBSTITUTE(SUBSTITUTE(SUBSTITUTE(SUBSTITUTE($A3021," ",""),"(주)",""),"주식회사",""),"㈜","")))</f>
        <v/>
      </c>
      <c r="H3021" s="10" t="str">
        <f aca="false">IF($B3021="","",SUBSTITUTE(SUBSTITUTE(SUBSTITUTE($B3021,"-","")," ",""),".",""))</f>
        <v/>
      </c>
      <c r="I3021" s="10" t="str">
        <f aca="false">IF($D3021="","",SUBSTITUTE(SUBSTITUTE(SUBSTITUTE($D3021,"-","")," ",""),".",""))</f>
        <v/>
      </c>
      <c r="J3021" s="10" t="str">
        <f aca="false">IF($E3021="","",UPPER(SUBSTITUTE($E3021," ","")))</f>
        <v/>
      </c>
      <c r="K3021" s="10" t="str">
        <f aca="false">IF($A3021="","",$G3021&amp;"|"&amp;$J3021)</f>
        <v/>
      </c>
      <c r="L3021" s="10" t="str">
        <f aca="false">IF($A3021="","",ROW()-2)</f>
        <v/>
      </c>
      <c r="M3021" s="10" t="str">
        <f aca="false">IF($A3021="","",ROW())</f>
        <v/>
      </c>
    </row>
    <row r="3022" customFormat="false" ht="15" hidden="false" customHeight="true" outlineLevel="0" collapsed="false">
      <c r="A3022" s="8"/>
      <c r="B3022" s="8"/>
      <c r="C3022" s="8"/>
      <c r="D3022" s="8"/>
      <c r="E3022" s="8"/>
      <c r="F3022" s="8"/>
      <c r="G3022" s="10" t="str">
        <f aca="false">IF($A3022="","",UPPER(SUBSTITUTE(SUBSTITUTE(SUBSTITUTE(SUBSTITUTE($A3022," ",""),"(주)",""),"주식회사",""),"㈜","")))</f>
        <v/>
      </c>
      <c r="H3022" s="10" t="str">
        <f aca="false">IF($B3022="","",SUBSTITUTE(SUBSTITUTE(SUBSTITUTE($B3022,"-","")," ",""),".",""))</f>
        <v/>
      </c>
      <c r="I3022" s="10" t="str">
        <f aca="false">IF($D3022="","",SUBSTITUTE(SUBSTITUTE(SUBSTITUTE($D3022,"-","")," ",""),".",""))</f>
        <v/>
      </c>
      <c r="J3022" s="10" t="str">
        <f aca="false">IF($E3022="","",UPPER(SUBSTITUTE($E3022," ","")))</f>
        <v/>
      </c>
      <c r="K3022" s="10" t="str">
        <f aca="false">IF($A3022="","",$G3022&amp;"|"&amp;$J3022)</f>
        <v/>
      </c>
      <c r="L3022" s="10" t="str">
        <f aca="false">IF($A3022="","",ROW()-2)</f>
        <v/>
      </c>
      <c r="M3022" s="10" t="str">
        <f aca="false">IF($A3022="","",ROW())</f>
        <v/>
      </c>
    </row>
    <row r="3023" customFormat="false" ht="15" hidden="false" customHeight="true" outlineLevel="0" collapsed="false">
      <c r="A3023" s="8"/>
      <c r="B3023" s="8"/>
      <c r="C3023" s="8"/>
      <c r="D3023" s="8"/>
      <c r="E3023" s="8"/>
      <c r="F3023" s="8"/>
      <c r="G3023" s="10" t="str">
        <f aca="false">IF($A3023="","",UPPER(SUBSTITUTE(SUBSTITUTE(SUBSTITUTE(SUBSTITUTE($A3023," ",""),"(주)",""),"주식회사",""),"㈜","")))</f>
        <v/>
      </c>
      <c r="H3023" s="10" t="str">
        <f aca="false">IF($B3023="","",SUBSTITUTE(SUBSTITUTE(SUBSTITUTE($B3023,"-","")," ",""),".",""))</f>
        <v/>
      </c>
      <c r="I3023" s="10" t="str">
        <f aca="false">IF($D3023="","",SUBSTITUTE(SUBSTITUTE(SUBSTITUTE($D3023,"-","")," ",""),".",""))</f>
        <v/>
      </c>
      <c r="J3023" s="10" t="str">
        <f aca="false">IF($E3023="","",UPPER(SUBSTITUTE($E3023," ","")))</f>
        <v/>
      </c>
      <c r="K3023" s="10" t="str">
        <f aca="false">IF($A3023="","",$G3023&amp;"|"&amp;$J3023)</f>
        <v/>
      </c>
      <c r="L3023" s="10" t="str">
        <f aca="false">IF($A3023="","",ROW()-2)</f>
        <v/>
      </c>
      <c r="M3023" s="10" t="str">
        <f aca="false">IF($A3023="","",ROW())</f>
        <v/>
      </c>
    </row>
    <row r="3024" customFormat="false" ht="15" hidden="false" customHeight="true" outlineLevel="0" collapsed="false">
      <c r="A3024" s="8"/>
      <c r="B3024" s="8"/>
      <c r="C3024" s="8"/>
      <c r="D3024" s="8"/>
      <c r="E3024" s="8"/>
      <c r="F3024" s="8"/>
      <c r="G3024" s="10" t="str">
        <f aca="false">IF($A3024="","",UPPER(SUBSTITUTE(SUBSTITUTE(SUBSTITUTE(SUBSTITUTE($A3024," ",""),"(주)",""),"주식회사",""),"㈜","")))</f>
        <v/>
      </c>
      <c r="H3024" s="10" t="str">
        <f aca="false">IF($B3024="","",SUBSTITUTE(SUBSTITUTE(SUBSTITUTE($B3024,"-","")," ",""),".",""))</f>
        <v/>
      </c>
      <c r="I3024" s="10" t="str">
        <f aca="false">IF($D3024="","",SUBSTITUTE(SUBSTITUTE(SUBSTITUTE($D3024,"-","")," ",""),".",""))</f>
        <v/>
      </c>
      <c r="J3024" s="10" t="str">
        <f aca="false">IF($E3024="","",UPPER(SUBSTITUTE($E3024," ","")))</f>
        <v/>
      </c>
      <c r="K3024" s="10" t="str">
        <f aca="false">IF($A3024="","",$G3024&amp;"|"&amp;$J3024)</f>
        <v/>
      </c>
      <c r="L3024" s="10" t="str">
        <f aca="false">IF($A3024="","",ROW()-2)</f>
        <v/>
      </c>
      <c r="M3024" s="10" t="str">
        <f aca="false">IF($A3024="","",ROW())</f>
        <v/>
      </c>
    </row>
    <row r="3025" customFormat="false" ht="15" hidden="false" customHeight="true" outlineLevel="0" collapsed="false">
      <c r="A3025" s="8"/>
      <c r="B3025" s="8"/>
      <c r="C3025" s="8"/>
      <c r="D3025" s="8"/>
      <c r="E3025" s="8"/>
      <c r="F3025" s="8"/>
      <c r="G3025" s="10" t="str">
        <f aca="false">IF($A3025="","",UPPER(SUBSTITUTE(SUBSTITUTE(SUBSTITUTE(SUBSTITUTE($A3025," ",""),"(주)",""),"주식회사",""),"㈜","")))</f>
        <v/>
      </c>
      <c r="H3025" s="10" t="str">
        <f aca="false">IF($B3025="","",SUBSTITUTE(SUBSTITUTE(SUBSTITUTE($B3025,"-","")," ",""),".",""))</f>
        <v/>
      </c>
      <c r="I3025" s="10" t="str">
        <f aca="false">IF($D3025="","",SUBSTITUTE(SUBSTITUTE(SUBSTITUTE($D3025,"-","")," ",""),".",""))</f>
        <v/>
      </c>
      <c r="J3025" s="10" t="str">
        <f aca="false">IF($E3025="","",UPPER(SUBSTITUTE($E3025," ","")))</f>
        <v/>
      </c>
      <c r="K3025" s="10" t="str">
        <f aca="false">IF($A3025="","",$G3025&amp;"|"&amp;$J3025)</f>
        <v/>
      </c>
      <c r="L3025" s="10" t="str">
        <f aca="false">IF($A3025="","",ROW()-2)</f>
        <v/>
      </c>
      <c r="M3025" s="10" t="str">
        <f aca="false">IF($A3025="","",ROW())</f>
        <v/>
      </c>
    </row>
    <row r="3026" customFormat="false" ht="15" hidden="false" customHeight="true" outlineLevel="0" collapsed="false">
      <c r="A3026" s="8"/>
      <c r="B3026" s="8"/>
      <c r="C3026" s="8"/>
      <c r="D3026" s="8"/>
      <c r="E3026" s="8"/>
      <c r="F3026" s="8"/>
      <c r="G3026" s="10" t="str">
        <f aca="false">IF($A3026="","",UPPER(SUBSTITUTE(SUBSTITUTE(SUBSTITUTE(SUBSTITUTE($A3026," ",""),"(주)",""),"주식회사",""),"㈜","")))</f>
        <v/>
      </c>
      <c r="H3026" s="10" t="str">
        <f aca="false">IF($B3026="","",SUBSTITUTE(SUBSTITUTE(SUBSTITUTE($B3026,"-","")," ",""),".",""))</f>
        <v/>
      </c>
      <c r="I3026" s="10" t="str">
        <f aca="false">IF($D3026="","",SUBSTITUTE(SUBSTITUTE(SUBSTITUTE($D3026,"-","")," ",""),".",""))</f>
        <v/>
      </c>
      <c r="J3026" s="10" t="str">
        <f aca="false">IF($E3026="","",UPPER(SUBSTITUTE($E3026," ","")))</f>
        <v/>
      </c>
      <c r="K3026" s="10" t="str">
        <f aca="false">IF($A3026="","",$G3026&amp;"|"&amp;$J3026)</f>
        <v/>
      </c>
      <c r="L3026" s="10" t="str">
        <f aca="false">IF($A3026="","",ROW()-2)</f>
        <v/>
      </c>
      <c r="M3026" s="10" t="str">
        <f aca="false">IF($A3026="","",ROW())</f>
        <v/>
      </c>
    </row>
    <row r="3027" customFormat="false" ht="15" hidden="false" customHeight="true" outlineLevel="0" collapsed="false">
      <c r="A3027" s="8"/>
      <c r="B3027" s="8"/>
      <c r="C3027" s="8"/>
      <c r="D3027" s="8"/>
      <c r="E3027" s="8"/>
      <c r="F3027" s="8"/>
      <c r="G3027" s="10" t="str">
        <f aca="false">IF($A3027="","",UPPER(SUBSTITUTE(SUBSTITUTE(SUBSTITUTE(SUBSTITUTE($A3027," ",""),"(주)",""),"주식회사",""),"㈜","")))</f>
        <v/>
      </c>
      <c r="H3027" s="10" t="str">
        <f aca="false">IF($B3027="","",SUBSTITUTE(SUBSTITUTE(SUBSTITUTE($B3027,"-","")," ",""),".",""))</f>
        <v/>
      </c>
      <c r="I3027" s="10" t="str">
        <f aca="false">IF($D3027="","",SUBSTITUTE(SUBSTITUTE(SUBSTITUTE($D3027,"-","")," ",""),".",""))</f>
        <v/>
      </c>
      <c r="J3027" s="10" t="str">
        <f aca="false">IF($E3027="","",UPPER(SUBSTITUTE($E3027," ","")))</f>
        <v/>
      </c>
      <c r="K3027" s="10" t="str">
        <f aca="false">IF($A3027="","",$G3027&amp;"|"&amp;$J3027)</f>
        <v/>
      </c>
      <c r="L3027" s="10" t="str">
        <f aca="false">IF($A3027="","",ROW()-2)</f>
        <v/>
      </c>
      <c r="M3027" s="10" t="str">
        <f aca="false">IF($A3027="","",ROW())</f>
        <v/>
      </c>
    </row>
    <row r="3028" customFormat="false" ht="15" hidden="false" customHeight="true" outlineLevel="0" collapsed="false">
      <c r="A3028" s="8"/>
      <c r="B3028" s="8"/>
      <c r="C3028" s="8"/>
      <c r="D3028" s="8"/>
      <c r="E3028" s="8"/>
      <c r="F3028" s="8"/>
      <c r="G3028" s="10" t="str">
        <f aca="false">IF($A3028="","",UPPER(SUBSTITUTE(SUBSTITUTE(SUBSTITUTE(SUBSTITUTE($A3028," ",""),"(주)",""),"주식회사",""),"㈜","")))</f>
        <v/>
      </c>
      <c r="H3028" s="10" t="str">
        <f aca="false">IF($B3028="","",SUBSTITUTE(SUBSTITUTE(SUBSTITUTE($B3028,"-","")," ",""),".",""))</f>
        <v/>
      </c>
      <c r="I3028" s="10" t="str">
        <f aca="false">IF($D3028="","",SUBSTITUTE(SUBSTITUTE(SUBSTITUTE($D3028,"-","")," ",""),".",""))</f>
        <v/>
      </c>
      <c r="J3028" s="10" t="str">
        <f aca="false">IF($E3028="","",UPPER(SUBSTITUTE($E3028," ","")))</f>
        <v/>
      </c>
      <c r="K3028" s="10" t="str">
        <f aca="false">IF($A3028="","",$G3028&amp;"|"&amp;$J3028)</f>
        <v/>
      </c>
      <c r="L3028" s="10" t="str">
        <f aca="false">IF($A3028="","",ROW()-2)</f>
        <v/>
      </c>
      <c r="M3028" s="10" t="str">
        <f aca="false">IF($A3028="","",ROW())</f>
        <v/>
      </c>
    </row>
    <row r="3029" customFormat="false" ht="15" hidden="false" customHeight="true" outlineLevel="0" collapsed="false">
      <c r="A3029" s="8"/>
      <c r="B3029" s="8"/>
      <c r="C3029" s="8"/>
      <c r="D3029" s="8"/>
      <c r="E3029" s="8"/>
      <c r="F3029" s="8"/>
      <c r="G3029" s="10" t="str">
        <f aca="false">IF($A3029="","",UPPER(SUBSTITUTE(SUBSTITUTE(SUBSTITUTE(SUBSTITUTE($A3029," ",""),"(주)",""),"주식회사",""),"㈜","")))</f>
        <v/>
      </c>
      <c r="H3029" s="10" t="str">
        <f aca="false">IF($B3029="","",SUBSTITUTE(SUBSTITUTE(SUBSTITUTE($B3029,"-","")," ",""),".",""))</f>
        <v/>
      </c>
      <c r="I3029" s="10" t="str">
        <f aca="false">IF($D3029="","",SUBSTITUTE(SUBSTITUTE(SUBSTITUTE($D3029,"-","")," ",""),".",""))</f>
        <v/>
      </c>
      <c r="J3029" s="10" t="str">
        <f aca="false">IF($E3029="","",UPPER(SUBSTITUTE($E3029," ","")))</f>
        <v/>
      </c>
      <c r="K3029" s="10" t="str">
        <f aca="false">IF($A3029="","",$G3029&amp;"|"&amp;$J3029)</f>
        <v/>
      </c>
      <c r="L3029" s="10" t="str">
        <f aca="false">IF($A3029="","",ROW()-2)</f>
        <v/>
      </c>
      <c r="M3029" s="10" t="str">
        <f aca="false">IF($A3029="","",ROW())</f>
        <v/>
      </c>
    </row>
    <row r="3030" customFormat="false" ht="15" hidden="false" customHeight="true" outlineLevel="0" collapsed="false">
      <c r="A3030" s="8"/>
      <c r="B3030" s="8"/>
      <c r="C3030" s="8"/>
      <c r="D3030" s="8"/>
      <c r="E3030" s="8"/>
      <c r="F3030" s="8"/>
      <c r="G3030" s="10" t="str">
        <f aca="false">IF($A3030="","",UPPER(SUBSTITUTE(SUBSTITUTE(SUBSTITUTE(SUBSTITUTE($A3030," ",""),"(주)",""),"주식회사",""),"㈜","")))</f>
        <v/>
      </c>
      <c r="H3030" s="10" t="str">
        <f aca="false">IF($B3030="","",SUBSTITUTE(SUBSTITUTE(SUBSTITUTE($B3030,"-","")," ",""),".",""))</f>
        <v/>
      </c>
      <c r="I3030" s="10" t="str">
        <f aca="false">IF($D3030="","",SUBSTITUTE(SUBSTITUTE(SUBSTITUTE($D3030,"-","")," ",""),".",""))</f>
        <v/>
      </c>
      <c r="J3030" s="10" t="str">
        <f aca="false">IF($E3030="","",UPPER(SUBSTITUTE($E3030," ","")))</f>
        <v/>
      </c>
      <c r="K3030" s="10" t="str">
        <f aca="false">IF($A3030="","",$G3030&amp;"|"&amp;$J3030)</f>
        <v/>
      </c>
      <c r="L3030" s="10" t="str">
        <f aca="false">IF($A3030="","",ROW()-2)</f>
        <v/>
      </c>
      <c r="M3030" s="10" t="str">
        <f aca="false">IF($A3030="","",ROW())</f>
        <v/>
      </c>
    </row>
    <row r="3031" customFormat="false" ht="15" hidden="false" customHeight="true" outlineLevel="0" collapsed="false">
      <c r="A3031" s="8"/>
      <c r="B3031" s="8"/>
      <c r="C3031" s="8"/>
      <c r="D3031" s="8"/>
      <c r="E3031" s="8"/>
      <c r="F3031" s="8"/>
      <c r="G3031" s="10" t="str">
        <f aca="false">IF($A3031="","",UPPER(SUBSTITUTE(SUBSTITUTE(SUBSTITUTE(SUBSTITUTE($A3031," ",""),"(주)",""),"주식회사",""),"㈜","")))</f>
        <v/>
      </c>
      <c r="H3031" s="10" t="str">
        <f aca="false">IF($B3031="","",SUBSTITUTE(SUBSTITUTE(SUBSTITUTE($B3031,"-","")," ",""),".",""))</f>
        <v/>
      </c>
      <c r="I3031" s="10" t="str">
        <f aca="false">IF($D3031="","",SUBSTITUTE(SUBSTITUTE(SUBSTITUTE($D3031,"-","")," ",""),".",""))</f>
        <v/>
      </c>
      <c r="J3031" s="10" t="str">
        <f aca="false">IF($E3031="","",UPPER(SUBSTITUTE($E3031," ","")))</f>
        <v/>
      </c>
      <c r="K3031" s="10" t="str">
        <f aca="false">IF($A3031="","",$G3031&amp;"|"&amp;$J3031)</f>
        <v/>
      </c>
      <c r="L3031" s="10" t="str">
        <f aca="false">IF($A3031="","",ROW()-2)</f>
        <v/>
      </c>
      <c r="M3031" s="10" t="str">
        <f aca="false">IF($A3031="","",ROW())</f>
        <v/>
      </c>
    </row>
    <row r="3032" customFormat="false" ht="15" hidden="false" customHeight="true" outlineLevel="0" collapsed="false">
      <c r="A3032" s="8"/>
      <c r="B3032" s="8"/>
      <c r="C3032" s="8"/>
      <c r="D3032" s="8"/>
      <c r="E3032" s="8"/>
      <c r="F3032" s="8"/>
      <c r="G3032" s="10" t="str">
        <f aca="false">IF($A3032="","",UPPER(SUBSTITUTE(SUBSTITUTE(SUBSTITUTE(SUBSTITUTE($A3032," ",""),"(주)",""),"주식회사",""),"㈜","")))</f>
        <v/>
      </c>
      <c r="H3032" s="10" t="str">
        <f aca="false">IF($B3032="","",SUBSTITUTE(SUBSTITUTE(SUBSTITUTE($B3032,"-","")," ",""),".",""))</f>
        <v/>
      </c>
      <c r="I3032" s="10" t="str">
        <f aca="false">IF($D3032="","",SUBSTITUTE(SUBSTITUTE(SUBSTITUTE($D3032,"-","")," ",""),".",""))</f>
        <v/>
      </c>
      <c r="J3032" s="10" t="str">
        <f aca="false">IF($E3032="","",UPPER(SUBSTITUTE($E3032," ","")))</f>
        <v/>
      </c>
      <c r="K3032" s="10" t="str">
        <f aca="false">IF($A3032="","",$G3032&amp;"|"&amp;$J3032)</f>
        <v/>
      </c>
      <c r="L3032" s="10" t="str">
        <f aca="false">IF($A3032="","",ROW()-2)</f>
        <v/>
      </c>
      <c r="M3032" s="10" t="str">
        <f aca="false">IF($A3032="","",ROW())</f>
        <v/>
      </c>
    </row>
    <row r="3033" customFormat="false" ht="15" hidden="false" customHeight="true" outlineLevel="0" collapsed="false">
      <c r="A3033" s="8"/>
      <c r="B3033" s="8"/>
      <c r="C3033" s="8"/>
      <c r="D3033" s="8"/>
      <c r="E3033" s="8"/>
      <c r="F3033" s="8"/>
      <c r="G3033" s="10" t="str">
        <f aca="false">IF($A3033="","",UPPER(SUBSTITUTE(SUBSTITUTE(SUBSTITUTE(SUBSTITUTE($A3033," ",""),"(주)",""),"주식회사",""),"㈜","")))</f>
        <v/>
      </c>
      <c r="H3033" s="10" t="str">
        <f aca="false">IF($B3033="","",SUBSTITUTE(SUBSTITUTE(SUBSTITUTE($B3033,"-","")," ",""),".",""))</f>
        <v/>
      </c>
      <c r="I3033" s="10" t="str">
        <f aca="false">IF($D3033="","",SUBSTITUTE(SUBSTITUTE(SUBSTITUTE($D3033,"-","")," ",""),".",""))</f>
        <v/>
      </c>
      <c r="J3033" s="10" t="str">
        <f aca="false">IF($E3033="","",UPPER(SUBSTITUTE($E3033," ","")))</f>
        <v/>
      </c>
      <c r="K3033" s="10" t="str">
        <f aca="false">IF($A3033="","",$G3033&amp;"|"&amp;$J3033)</f>
        <v/>
      </c>
      <c r="L3033" s="10" t="str">
        <f aca="false">IF($A3033="","",ROW()-2)</f>
        <v/>
      </c>
      <c r="M3033" s="10" t="str">
        <f aca="false">IF($A3033="","",ROW())</f>
        <v/>
      </c>
    </row>
    <row r="3034" customFormat="false" ht="15" hidden="false" customHeight="true" outlineLevel="0" collapsed="false">
      <c r="A3034" s="8"/>
      <c r="B3034" s="8"/>
      <c r="C3034" s="8"/>
      <c r="D3034" s="8"/>
      <c r="E3034" s="8"/>
      <c r="F3034" s="8"/>
      <c r="G3034" s="10" t="str">
        <f aca="false">IF($A3034="","",UPPER(SUBSTITUTE(SUBSTITUTE(SUBSTITUTE(SUBSTITUTE($A3034," ",""),"(주)",""),"주식회사",""),"㈜","")))</f>
        <v/>
      </c>
      <c r="H3034" s="10" t="str">
        <f aca="false">IF($B3034="","",SUBSTITUTE(SUBSTITUTE(SUBSTITUTE($B3034,"-","")," ",""),".",""))</f>
        <v/>
      </c>
      <c r="I3034" s="10" t="str">
        <f aca="false">IF($D3034="","",SUBSTITUTE(SUBSTITUTE(SUBSTITUTE($D3034,"-","")," ",""),".",""))</f>
        <v/>
      </c>
      <c r="J3034" s="10" t="str">
        <f aca="false">IF($E3034="","",UPPER(SUBSTITUTE($E3034," ","")))</f>
        <v/>
      </c>
      <c r="K3034" s="10" t="str">
        <f aca="false">IF($A3034="","",$G3034&amp;"|"&amp;$J3034)</f>
        <v/>
      </c>
      <c r="L3034" s="10" t="str">
        <f aca="false">IF($A3034="","",ROW()-2)</f>
        <v/>
      </c>
      <c r="M3034" s="10" t="str">
        <f aca="false">IF($A3034="","",ROW())</f>
        <v/>
      </c>
    </row>
    <row r="3035" customFormat="false" ht="15" hidden="false" customHeight="true" outlineLevel="0" collapsed="false">
      <c r="A3035" s="8"/>
      <c r="B3035" s="8"/>
      <c r="C3035" s="8"/>
      <c r="D3035" s="8"/>
      <c r="E3035" s="8"/>
      <c r="F3035" s="8"/>
      <c r="G3035" s="10" t="str">
        <f aca="false">IF($A3035="","",UPPER(SUBSTITUTE(SUBSTITUTE(SUBSTITUTE(SUBSTITUTE($A3035," ",""),"(주)",""),"주식회사",""),"㈜","")))</f>
        <v/>
      </c>
      <c r="H3035" s="10" t="str">
        <f aca="false">IF($B3035="","",SUBSTITUTE(SUBSTITUTE(SUBSTITUTE($B3035,"-","")," ",""),".",""))</f>
        <v/>
      </c>
      <c r="I3035" s="10" t="str">
        <f aca="false">IF($D3035="","",SUBSTITUTE(SUBSTITUTE(SUBSTITUTE($D3035,"-","")," ",""),".",""))</f>
        <v/>
      </c>
      <c r="J3035" s="10" t="str">
        <f aca="false">IF($E3035="","",UPPER(SUBSTITUTE($E3035," ","")))</f>
        <v/>
      </c>
      <c r="K3035" s="10" t="str">
        <f aca="false">IF($A3035="","",$G3035&amp;"|"&amp;$J3035)</f>
        <v/>
      </c>
      <c r="L3035" s="10" t="str">
        <f aca="false">IF($A3035="","",ROW()-2)</f>
        <v/>
      </c>
      <c r="M3035" s="10" t="str">
        <f aca="false">IF($A3035="","",ROW())</f>
        <v/>
      </c>
    </row>
    <row r="3036" customFormat="false" ht="15" hidden="false" customHeight="true" outlineLevel="0" collapsed="false">
      <c r="A3036" s="8"/>
      <c r="B3036" s="8"/>
      <c r="C3036" s="8"/>
      <c r="D3036" s="8"/>
      <c r="E3036" s="8"/>
      <c r="F3036" s="8"/>
      <c r="G3036" s="10" t="str">
        <f aca="false">IF($A3036="","",UPPER(SUBSTITUTE(SUBSTITUTE(SUBSTITUTE(SUBSTITUTE($A3036," ",""),"(주)",""),"주식회사",""),"㈜","")))</f>
        <v/>
      </c>
      <c r="H3036" s="10" t="str">
        <f aca="false">IF($B3036="","",SUBSTITUTE(SUBSTITUTE(SUBSTITUTE($B3036,"-","")," ",""),".",""))</f>
        <v/>
      </c>
      <c r="I3036" s="10" t="str">
        <f aca="false">IF($D3036="","",SUBSTITUTE(SUBSTITUTE(SUBSTITUTE($D3036,"-","")," ",""),".",""))</f>
        <v/>
      </c>
      <c r="J3036" s="10" t="str">
        <f aca="false">IF($E3036="","",UPPER(SUBSTITUTE($E3036," ","")))</f>
        <v/>
      </c>
      <c r="K3036" s="10" t="str">
        <f aca="false">IF($A3036="","",$G3036&amp;"|"&amp;$J3036)</f>
        <v/>
      </c>
      <c r="L3036" s="10" t="str">
        <f aca="false">IF($A3036="","",ROW()-2)</f>
        <v/>
      </c>
      <c r="M3036" s="10" t="str">
        <f aca="false">IF($A3036="","",ROW())</f>
        <v/>
      </c>
    </row>
    <row r="3037" customFormat="false" ht="15" hidden="false" customHeight="true" outlineLevel="0" collapsed="false">
      <c r="A3037" s="8"/>
      <c r="B3037" s="8"/>
      <c r="C3037" s="8"/>
      <c r="D3037" s="8"/>
      <c r="E3037" s="8"/>
      <c r="F3037" s="8"/>
      <c r="G3037" s="10" t="str">
        <f aca="false">IF($A3037="","",UPPER(SUBSTITUTE(SUBSTITUTE(SUBSTITUTE(SUBSTITUTE($A3037," ",""),"(주)",""),"주식회사",""),"㈜","")))</f>
        <v/>
      </c>
      <c r="H3037" s="10" t="str">
        <f aca="false">IF($B3037="","",SUBSTITUTE(SUBSTITUTE(SUBSTITUTE($B3037,"-","")," ",""),".",""))</f>
        <v/>
      </c>
      <c r="I3037" s="10" t="str">
        <f aca="false">IF($D3037="","",SUBSTITUTE(SUBSTITUTE(SUBSTITUTE($D3037,"-","")," ",""),".",""))</f>
        <v/>
      </c>
      <c r="J3037" s="10" t="str">
        <f aca="false">IF($E3037="","",UPPER(SUBSTITUTE($E3037," ","")))</f>
        <v/>
      </c>
      <c r="K3037" s="10" t="str">
        <f aca="false">IF($A3037="","",$G3037&amp;"|"&amp;$J3037)</f>
        <v/>
      </c>
      <c r="L3037" s="10" t="str">
        <f aca="false">IF($A3037="","",ROW()-2)</f>
        <v/>
      </c>
      <c r="M3037" s="10" t="str">
        <f aca="false">IF($A3037="","",ROW())</f>
        <v/>
      </c>
    </row>
    <row r="3038" customFormat="false" ht="15" hidden="false" customHeight="true" outlineLevel="0" collapsed="false">
      <c r="A3038" s="8"/>
      <c r="B3038" s="8"/>
      <c r="C3038" s="8"/>
      <c r="D3038" s="8"/>
      <c r="E3038" s="8"/>
      <c r="F3038" s="8"/>
      <c r="G3038" s="10" t="str">
        <f aca="false">IF($A3038="","",UPPER(SUBSTITUTE(SUBSTITUTE(SUBSTITUTE(SUBSTITUTE($A3038," ",""),"(주)",""),"주식회사",""),"㈜","")))</f>
        <v/>
      </c>
      <c r="H3038" s="10" t="str">
        <f aca="false">IF($B3038="","",SUBSTITUTE(SUBSTITUTE(SUBSTITUTE($B3038,"-","")," ",""),".",""))</f>
        <v/>
      </c>
      <c r="I3038" s="10" t="str">
        <f aca="false">IF($D3038="","",SUBSTITUTE(SUBSTITUTE(SUBSTITUTE($D3038,"-","")," ",""),".",""))</f>
        <v/>
      </c>
      <c r="J3038" s="10" t="str">
        <f aca="false">IF($E3038="","",UPPER(SUBSTITUTE($E3038," ","")))</f>
        <v/>
      </c>
      <c r="K3038" s="10" t="str">
        <f aca="false">IF($A3038="","",$G3038&amp;"|"&amp;$J3038)</f>
        <v/>
      </c>
      <c r="L3038" s="10" t="str">
        <f aca="false">IF($A3038="","",ROW()-2)</f>
        <v/>
      </c>
      <c r="M3038" s="10" t="str">
        <f aca="false">IF($A3038="","",ROW())</f>
        <v/>
      </c>
    </row>
    <row r="3039" customFormat="false" ht="15" hidden="false" customHeight="true" outlineLevel="0" collapsed="false">
      <c r="A3039" s="8"/>
      <c r="B3039" s="8"/>
      <c r="C3039" s="8"/>
      <c r="D3039" s="8"/>
      <c r="E3039" s="8"/>
      <c r="F3039" s="8"/>
      <c r="G3039" s="10" t="str">
        <f aca="false">IF($A3039="","",UPPER(SUBSTITUTE(SUBSTITUTE(SUBSTITUTE(SUBSTITUTE($A3039," ",""),"(주)",""),"주식회사",""),"㈜","")))</f>
        <v/>
      </c>
      <c r="H3039" s="10" t="str">
        <f aca="false">IF($B3039="","",SUBSTITUTE(SUBSTITUTE(SUBSTITUTE($B3039,"-","")," ",""),".",""))</f>
        <v/>
      </c>
      <c r="I3039" s="10" t="str">
        <f aca="false">IF($D3039="","",SUBSTITUTE(SUBSTITUTE(SUBSTITUTE($D3039,"-","")," ",""),".",""))</f>
        <v/>
      </c>
      <c r="J3039" s="10" t="str">
        <f aca="false">IF($E3039="","",UPPER(SUBSTITUTE($E3039," ","")))</f>
        <v/>
      </c>
      <c r="K3039" s="10" t="str">
        <f aca="false">IF($A3039="","",$G3039&amp;"|"&amp;$J3039)</f>
        <v/>
      </c>
      <c r="L3039" s="10" t="str">
        <f aca="false">IF($A3039="","",ROW()-2)</f>
        <v/>
      </c>
      <c r="M3039" s="10" t="str">
        <f aca="false">IF($A3039="","",ROW())</f>
        <v/>
      </c>
    </row>
    <row r="3040" customFormat="false" ht="15" hidden="false" customHeight="true" outlineLevel="0" collapsed="false">
      <c r="A3040" s="8"/>
      <c r="B3040" s="8"/>
      <c r="C3040" s="8"/>
      <c r="D3040" s="8"/>
      <c r="E3040" s="8"/>
      <c r="F3040" s="8"/>
      <c r="G3040" s="10" t="str">
        <f aca="false">IF($A3040="","",UPPER(SUBSTITUTE(SUBSTITUTE(SUBSTITUTE(SUBSTITUTE($A3040," ",""),"(주)",""),"주식회사",""),"㈜","")))</f>
        <v/>
      </c>
      <c r="H3040" s="10" t="str">
        <f aca="false">IF($B3040="","",SUBSTITUTE(SUBSTITUTE(SUBSTITUTE($B3040,"-","")," ",""),".",""))</f>
        <v/>
      </c>
      <c r="I3040" s="10" t="str">
        <f aca="false">IF($D3040="","",SUBSTITUTE(SUBSTITUTE(SUBSTITUTE($D3040,"-","")," ",""),".",""))</f>
        <v/>
      </c>
      <c r="J3040" s="10" t="str">
        <f aca="false">IF($E3040="","",UPPER(SUBSTITUTE($E3040," ","")))</f>
        <v/>
      </c>
      <c r="K3040" s="10" t="str">
        <f aca="false">IF($A3040="","",$G3040&amp;"|"&amp;$J3040)</f>
        <v/>
      </c>
      <c r="L3040" s="10" t="str">
        <f aca="false">IF($A3040="","",ROW()-2)</f>
        <v/>
      </c>
      <c r="M3040" s="10" t="str">
        <f aca="false">IF($A3040="","",ROW())</f>
        <v/>
      </c>
    </row>
    <row r="3041" customFormat="false" ht="15" hidden="false" customHeight="true" outlineLevel="0" collapsed="false">
      <c r="A3041" s="8"/>
      <c r="B3041" s="8"/>
      <c r="C3041" s="8"/>
      <c r="D3041" s="8"/>
      <c r="E3041" s="8"/>
      <c r="F3041" s="8"/>
      <c r="G3041" s="10" t="str">
        <f aca="false">IF($A3041="","",UPPER(SUBSTITUTE(SUBSTITUTE(SUBSTITUTE(SUBSTITUTE($A3041," ",""),"(주)",""),"주식회사",""),"㈜","")))</f>
        <v/>
      </c>
      <c r="H3041" s="10" t="str">
        <f aca="false">IF($B3041="","",SUBSTITUTE(SUBSTITUTE(SUBSTITUTE($B3041,"-","")," ",""),".",""))</f>
        <v/>
      </c>
      <c r="I3041" s="10" t="str">
        <f aca="false">IF($D3041="","",SUBSTITUTE(SUBSTITUTE(SUBSTITUTE($D3041,"-","")," ",""),".",""))</f>
        <v/>
      </c>
      <c r="J3041" s="10" t="str">
        <f aca="false">IF($E3041="","",UPPER(SUBSTITUTE($E3041," ","")))</f>
        <v/>
      </c>
      <c r="K3041" s="10" t="str">
        <f aca="false">IF($A3041="","",$G3041&amp;"|"&amp;$J3041)</f>
        <v/>
      </c>
      <c r="L3041" s="10" t="str">
        <f aca="false">IF($A3041="","",ROW()-2)</f>
        <v/>
      </c>
      <c r="M3041" s="10" t="str">
        <f aca="false">IF($A3041="","",ROW())</f>
        <v/>
      </c>
    </row>
    <row r="3042" customFormat="false" ht="15" hidden="false" customHeight="true" outlineLevel="0" collapsed="false">
      <c r="A3042" s="8"/>
      <c r="B3042" s="8"/>
      <c r="C3042" s="8"/>
      <c r="D3042" s="8"/>
      <c r="E3042" s="8"/>
      <c r="F3042" s="8"/>
      <c r="G3042" s="10" t="str">
        <f aca="false">IF($A3042="","",UPPER(SUBSTITUTE(SUBSTITUTE(SUBSTITUTE(SUBSTITUTE($A3042," ",""),"(주)",""),"주식회사",""),"㈜","")))</f>
        <v/>
      </c>
      <c r="H3042" s="10" t="str">
        <f aca="false">IF($B3042="","",SUBSTITUTE(SUBSTITUTE(SUBSTITUTE($B3042,"-","")," ",""),".",""))</f>
        <v/>
      </c>
      <c r="I3042" s="10" t="str">
        <f aca="false">IF($D3042="","",SUBSTITUTE(SUBSTITUTE(SUBSTITUTE($D3042,"-","")," ",""),".",""))</f>
        <v/>
      </c>
      <c r="J3042" s="10" t="str">
        <f aca="false">IF($E3042="","",UPPER(SUBSTITUTE($E3042," ","")))</f>
        <v/>
      </c>
      <c r="K3042" s="10" t="str">
        <f aca="false">IF($A3042="","",$G3042&amp;"|"&amp;$J3042)</f>
        <v/>
      </c>
      <c r="L3042" s="10" t="str">
        <f aca="false">IF($A3042="","",ROW()-2)</f>
        <v/>
      </c>
      <c r="M3042" s="10" t="str">
        <f aca="false">IF($A3042="","",ROW())</f>
        <v/>
      </c>
    </row>
    <row r="3043" customFormat="false" ht="15" hidden="false" customHeight="true" outlineLevel="0" collapsed="false">
      <c r="A3043" s="8"/>
      <c r="B3043" s="8"/>
      <c r="C3043" s="8"/>
      <c r="D3043" s="8"/>
      <c r="E3043" s="8"/>
      <c r="F3043" s="8"/>
      <c r="G3043" s="10" t="str">
        <f aca="false">IF($A3043="","",UPPER(SUBSTITUTE(SUBSTITUTE(SUBSTITUTE(SUBSTITUTE($A3043," ",""),"(주)",""),"주식회사",""),"㈜","")))</f>
        <v/>
      </c>
      <c r="H3043" s="10" t="str">
        <f aca="false">IF($B3043="","",SUBSTITUTE(SUBSTITUTE(SUBSTITUTE($B3043,"-","")," ",""),".",""))</f>
        <v/>
      </c>
      <c r="I3043" s="10" t="str">
        <f aca="false">IF($D3043="","",SUBSTITUTE(SUBSTITUTE(SUBSTITUTE($D3043,"-","")," ",""),".",""))</f>
        <v/>
      </c>
      <c r="J3043" s="10" t="str">
        <f aca="false">IF($E3043="","",UPPER(SUBSTITUTE($E3043," ","")))</f>
        <v/>
      </c>
      <c r="K3043" s="10" t="str">
        <f aca="false">IF($A3043="","",$G3043&amp;"|"&amp;$J3043)</f>
        <v/>
      </c>
      <c r="L3043" s="10" t="str">
        <f aca="false">IF($A3043="","",ROW()-2)</f>
        <v/>
      </c>
      <c r="M3043" s="10" t="str">
        <f aca="false">IF($A3043="","",ROW())</f>
        <v/>
      </c>
    </row>
    <row r="3044" customFormat="false" ht="15" hidden="false" customHeight="true" outlineLevel="0" collapsed="false">
      <c r="A3044" s="8"/>
      <c r="B3044" s="8"/>
      <c r="C3044" s="8"/>
      <c r="D3044" s="8"/>
      <c r="E3044" s="8"/>
      <c r="F3044" s="8"/>
      <c r="G3044" s="10" t="str">
        <f aca="false">IF($A3044="","",UPPER(SUBSTITUTE(SUBSTITUTE(SUBSTITUTE(SUBSTITUTE($A3044," ",""),"(주)",""),"주식회사",""),"㈜","")))</f>
        <v/>
      </c>
      <c r="H3044" s="10" t="str">
        <f aca="false">IF($B3044="","",SUBSTITUTE(SUBSTITUTE(SUBSTITUTE($B3044,"-","")," ",""),".",""))</f>
        <v/>
      </c>
      <c r="I3044" s="10" t="str">
        <f aca="false">IF($D3044="","",SUBSTITUTE(SUBSTITUTE(SUBSTITUTE($D3044,"-","")," ",""),".",""))</f>
        <v/>
      </c>
      <c r="J3044" s="10" t="str">
        <f aca="false">IF($E3044="","",UPPER(SUBSTITUTE($E3044," ","")))</f>
        <v/>
      </c>
      <c r="K3044" s="10" t="str">
        <f aca="false">IF($A3044="","",$G3044&amp;"|"&amp;$J3044)</f>
        <v/>
      </c>
      <c r="L3044" s="10" t="str">
        <f aca="false">IF($A3044="","",ROW()-2)</f>
        <v/>
      </c>
      <c r="M3044" s="10" t="str">
        <f aca="false">IF($A3044="","",ROW())</f>
        <v/>
      </c>
    </row>
    <row r="3045" customFormat="false" ht="15" hidden="false" customHeight="true" outlineLevel="0" collapsed="false">
      <c r="A3045" s="8"/>
      <c r="B3045" s="8"/>
      <c r="C3045" s="8"/>
      <c r="D3045" s="8"/>
      <c r="E3045" s="8"/>
      <c r="F3045" s="8"/>
      <c r="G3045" s="10" t="str">
        <f aca="false">IF($A3045="","",UPPER(SUBSTITUTE(SUBSTITUTE(SUBSTITUTE(SUBSTITUTE($A3045," ",""),"(주)",""),"주식회사",""),"㈜","")))</f>
        <v/>
      </c>
      <c r="H3045" s="10" t="str">
        <f aca="false">IF($B3045="","",SUBSTITUTE(SUBSTITUTE(SUBSTITUTE($B3045,"-","")," ",""),".",""))</f>
        <v/>
      </c>
      <c r="I3045" s="10" t="str">
        <f aca="false">IF($D3045="","",SUBSTITUTE(SUBSTITUTE(SUBSTITUTE($D3045,"-","")," ",""),".",""))</f>
        <v/>
      </c>
      <c r="J3045" s="10" t="str">
        <f aca="false">IF($E3045="","",UPPER(SUBSTITUTE($E3045," ","")))</f>
        <v/>
      </c>
      <c r="K3045" s="10" t="str">
        <f aca="false">IF($A3045="","",$G3045&amp;"|"&amp;$J3045)</f>
        <v/>
      </c>
      <c r="L3045" s="10" t="str">
        <f aca="false">IF($A3045="","",ROW()-2)</f>
        <v/>
      </c>
      <c r="M3045" s="10" t="str">
        <f aca="false">IF($A3045="","",ROW())</f>
        <v/>
      </c>
    </row>
    <row r="3046" customFormat="false" ht="15" hidden="false" customHeight="true" outlineLevel="0" collapsed="false">
      <c r="A3046" s="8"/>
      <c r="B3046" s="8"/>
      <c r="C3046" s="8"/>
      <c r="D3046" s="8"/>
      <c r="E3046" s="8"/>
      <c r="F3046" s="8"/>
      <c r="G3046" s="10" t="str">
        <f aca="false">IF($A3046="","",UPPER(SUBSTITUTE(SUBSTITUTE(SUBSTITUTE(SUBSTITUTE($A3046," ",""),"(주)",""),"주식회사",""),"㈜","")))</f>
        <v/>
      </c>
      <c r="H3046" s="10" t="str">
        <f aca="false">IF($B3046="","",SUBSTITUTE(SUBSTITUTE(SUBSTITUTE($B3046,"-","")," ",""),".",""))</f>
        <v/>
      </c>
      <c r="I3046" s="10" t="str">
        <f aca="false">IF($D3046="","",SUBSTITUTE(SUBSTITUTE(SUBSTITUTE($D3046,"-","")," ",""),".",""))</f>
        <v/>
      </c>
      <c r="J3046" s="10" t="str">
        <f aca="false">IF($E3046="","",UPPER(SUBSTITUTE($E3046," ","")))</f>
        <v/>
      </c>
      <c r="K3046" s="10" t="str">
        <f aca="false">IF($A3046="","",$G3046&amp;"|"&amp;$J3046)</f>
        <v/>
      </c>
      <c r="L3046" s="10" t="str">
        <f aca="false">IF($A3046="","",ROW()-2)</f>
        <v/>
      </c>
      <c r="M3046" s="10" t="str">
        <f aca="false">IF($A3046="","",ROW())</f>
        <v/>
      </c>
    </row>
    <row r="3047" customFormat="false" ht="15" hidden="false" customHeight="true" outlineLevel="0" collapsed="false">
      <c r="A3047" s="8"/>
      <c r="B3047" s="8"/>
      <c r="C3047" s="8"/>
      <c r="D3047" s="8"/>
      <c r="E3047" s="8"/>
      <c r="F3047" s="8"/>
      <c r="G3047" s="10" t="str">
        <f aca="false">IF($A3047="","",UPPER(SUBSTITUTE(SUBSTITUTE(SUBSTITUTE(SUBSTITUTE($A3047," ",""),"(주)",""),"주식회사",""),"㈜","")))</f>
        <v/>
      </c>
      <c r="H3047" s="10" t="str">
        <f aca="false">IF($B3047="","",SUBSTITUTE(SUBSTITUTE(SUBSTITUTE($B3047,"-","")," ",""),".",""))</f>
        <v/>
      </c>
      <c r="I3047" s="10" t="str">
        <f aca="false">IF($D3047="","",SUBSTITUTE(SUBSTITUTE(SUBSTITUTE($D3047,"-","")," ",""),".",""))</f>
        <v/>
      </c>
      <c r="J3047" s="10" t="str">
        <f aca="false">IF($E3047="","",UPPER(SUBSTITUTE($E3047," ","")))</f>
        <v/>
      </c>
      <c r="K3047" s="10" t="str">
        <f aca="false">IF($A3047="","",$G3047&amp;"|"&amp;$J3047)</f>
        <v/>
      </c>
      <c r="L3047" s="10" t="str">
        <f aca="false">IF($A3047="","",ROW()-2)</f>
        <v/>
      </c>
      <c r="M3047" s="10" t="str">
        <f aca="false">IF($A3047="","",ROW())</f>
        <v/>
      </c>
    </row>
    <row r="3048" customFormat="false" ht="15" hidden="false" customHeight="true" outlineLevel="0" collapsed="false">
      <c r="A3048" s="8"/>
      <c r="B3048" s="8"/>
      <c r="C3048" s="8"/>
      <c r="D3048" s="8"/>
      <c r="E3048" s="8"/>
      <c r="F3048" s="8"/>
      <c r="G3048" s="10" t="str">
        <f aca="false">IF($A3048="","",UPPER(SUBSTITUTE(SUBSTITUTE(SUBSTITUTE(SUBSTITUTE($A3048," ",""),"(주)",""),"주식회사",""),"㈜","")))</f>
        <v/>
      </c>
      <c r="H3048" s="10" t="str">
        <f aca="false">IF($B3048="","",SUBSTITUTE(SUBSTITUTE(SUBSTITUTE($B3048,"-","")," ",""),".",""))</f>
        <v/>
      </c>
      <c r="I3048" s="10" t="str">
        <f aca="false">IF($D3048="","",SUBSTITUTE(SUBSTITUTE(SUBSTITUTE($D3048,"-","")," ",""),".",""))</f>
        <v/>
      </c>
      <c r="J3048" s="10" t="str">
        <f aca="false">IF($E3048="","",UPPER(SUBSTITUTE($E3048," ","")))</f>
        <v/>
      </c>
      <c r="K3048" s="10" t="str">
        <f aca="false">IF($A3048="","",$G3048&amp;"|"&amp;$J3048)</f>
        <v/>
      </c>
      <c r="L3048" s="10" t="str">
        <f aca="false">IF($A3048="","",ROW()-2)</f>
        <v/>
      </c>
      <c r="M3048" s="10" t="str">
        <f aca="false">IF($A3048="","",ROW())</f>
        <v/>
      </c>
    </row>
    <row r="3049" customFormat="false" ht="15" hidden="false" customHeight="true" outlineLevel="0" collapsed="false">
      <c r="A3049" s="8"/>
      <c r="B3049" s="8"/>
      <c r="C3049" s="8"/>
      <c r="D3049" s="8"/>
      <c r="E3049" s="8"/>
      <c r="F3049" s="8"/>
      <c r="G3049" s="10" t="str">
        <f aca="false">IF($A3049="","",UPPER(SUBSTITUTE(SUBSTITUTE(SUBSTITUTE(SUBSTITUTE($A3049," ",""),"(주)",""),"주식회사",""),"㈜","")))</f>
        <v/>
      </c>
      <c r="H3049" s="10" t="str">
        <f aca="false">IF($B3049="","",SUBSTITUTE(SUBSTITUTE(SUBSTITUTE($B3049,"-","")," ",""),".",""))</f>
        <v/>
      </c>
      <c r="I3049" s="10" t="str">
        <f aca="false">IF($D3049="","",SUBSTITUTE(SUBSTITUTE(SUBSTITUTE($D3049,"-","")," ",""),".",""))</f>
        <v/>
      </c>
      <c r="J3049" s="10" t="str">
        <f aca="false">IF($E3049="","",UPPER(SUBSTITUTE($E3049," ","")))</f>
        <v/>
      </c>
      <c r="K3049" s="10" t="str">
        <f aca="false">IF($A3049="","",$G3049&amp;"|"&amp;$J3049)</f>
        <v/>
      </c>
      <c r="L3049" s="10" t="str">
        <f aca="false">IF($A3049="","",ROW()-2)</f>
        <v/>
      </c>
      <c r="M3049" s="10" t="str">
        <f aca="false">IF($A3049="","",ROW())</f>
        <v/>
      </c>
    </row>
    <row r="3050" customFormat="false" ht="15" hidden="false" customHeight="true" outlineLevel="0" collapsed="false">
      <c r="A3050" s="8"/>
      <c r="B3050" s="8"/>
      <c r="C3050" s="8"/>
      <c r="D3050" s="8"/>
      <c r="E3050" s="8"/>
      <c r="F3050" s="8"/>
      <c r="G3050" s="10" t="str">
        <f aca="false">IF($A3050="","",UPPER(SUBSTITUTE(SUBSTITUTE(SUBSTITUTE(SUBSTITUTE($A3050," ",""),"(주)",""),"주식회사",""),"㈜","")))</f>
        <v/>
      </c>
      <c r="H3050" s="10" t="str">
        <f aca="false">IF($B3050="","",SUBSTITUTE(SUBSTITUTE(SUBSTITUTE($B3050,"-","")," ",""),".",""))</f>
        <v/>
      </c>
      <c r="I3050" s="10" t="str">
        <f aca="false">IF($D3050="","",SUBSTITUTE(SUBSTITUTE(SUBSTITUTE($D3050,"-","")," ",""),".",""))</f>
        <v/>
      </c>
      <c r="J3050" s="10" t="str">
        <f aca="false">IF($E3050="","",UPPER(SUBSTITUTE($E3050," ","")))</f>
        <v/>
      </c>
      <c r="K3050" s="10" t="str">
        <f aca="false">IF($A3050="","",$G3050&amp;"|"&amp;$J3050)</f>
        <v/>
      </c>
      <c r="L3050" s="10" t="str">
        <f aca="false">IF($A3050="","",ROW()-2)</f>
        <v/>
      </c>
      <c r="M3050" s="10" t="str">
        <f aca="false">IF($A3050="","",ROW())</f>
        <v/>
      </c>
    </row>
    <row r="3051" customFormat="false" ht="15" hidden="false" customHeight="true" outlineLevel="0" collapsed="false">
      <c r="A3051" s="8"/>
      <c r="B3051" s="8"/>
      <c r="C3051" s="8"/>
      <c r="D3051" s="8"/>
      <c r="E3051" s="8"/>
      <c r="F3051" s="8"/>
      <c r="G3051" s="10" t="str">
        <f aca="false">IF($A3051="","",UPPER(SUBSTITUTE(SUBSTITUTE(SUBSTITUTE(SUBSTITUTE($A3051," ",""),"(주)",""),"주식회사",""),"㈜","")))</f>
        <v/>
      </c>
      <c r="H3051" s="10" t="str">
        <f aca="false">IF($B3051="","",SUBSTITUTE(SUBSTITUTE(SUBSTITUTE($B3051,"-","")," ",""),".",""))</f>
        <v/>
      </c>
      <c r="I3051" s="10" t="str">
        <f aca="false">IF($D3051="","",SUBSTITUTE(SUBSTITUTE(SUBSTITUTE($D3051,"-","")," ",""),".",""))</f>
        <v/>
      </c>
      <c r="J3051" s="10" t="str">
        <f aca="false">IF($E3051="","",UPPER(SUBSTITUTE($E3051," ","")))</f>
        <v/>
      </c>
      <c r="K3051" s="10" t="str">
        <f aca="false">IF($A3051="","",$G3051&amp;"|"&amp;$J3051)</f>
        <v/>
      </c>
      <c r="L3051" s="10" t="str">
        <f aca="false">IF($A3051="","",ROW()-2)</f>
        <v/>
      </c>
      <c r="M3051" s="10" t="str">
        <f aca="false">IF($A3051="","",ROW())</f>
        <v/>
      </c>
    </row>
    <row r="3052" customFormat="false" ht="15" hidden="false" customHeight="true" outlineLevel="0" collapsed="false">
      <c r="A3052" s="8"/>
      <c r="B3052" s="8"/>
      <c r="C3052" s="8"/>
      <c r="D3052" s="8"/>
      <c r="E3052" s="8"/>
      <c r="F3052" s="8"/>
      <c r="G3052" s="10" t="str">
        <f aca="false">IF($A3052="","",UPPER(SUBSTITUTE(SUBSTITUTE(SUBSTITUTE(SUBSTITUTE($A3052," ",""),"(주)",""),"주식회사",""),"㈜","")))</f>
        <v/>
      </c>
      <c r="H3052" s="10" t="str">
        <f aca="false">IF($B3052="","",SUBSTITUTE(SUBSTITUTE(SUBSTITUTE($B3052,"-","")," ",""),".",""))</f>
        <v/>
      </c>
      <c r="I3052" s="10" t="str">
        <f aca="false">IF($D3052="","",SUBSTITUTE(SUBSTITUTE(SUBSTITUTE($D3052,"-","")," ",""),".",""))</f>
        <v/>
      </c>
      <c r="J3052" s="10" t="str">
        <f aca="false">IF($E3052="","",UPPER(SUBSTITUTE($E3052," ","")))</f>
        <v/>
      </c>
      <c r="K3052" s="10" t="str">
        <f aca="false">IF($A3052="","",$G3052&amp;"|"&amp;$J3052)</f>
        <v/>
      </c>
      <c r="L3052" s="10" t="str">
        <f aca="false">IF($A3052="","",ROW()-2)</f>
        <v/>
      </c>
      <c r="M3052" s="10" t="str">
        <f aca="false">IF($A3052="","",ROW())</f>
        <v/>
      </c>
    </row>
    <row r="3053" customFormat="false" ht="15" hidden="false" customHeight="true" outlineLevel="0" collapsed="false">
      <c r="A3053" s="8"/>
      <c r="B3053" s="8"/>
      <c r="C3053" s="8"/>
      <c r="D3053" s="8"/>
      <c r="E3053" s="8"/>
      <c r="F3053" s="8"/>
      <c r="G3053" s="10" t="str">
        <f aca="false">IF($A3053="","",UPPER(SUBSTITUTE(SUBSTITUTE(SUBSTITUTE(SUBSTITUTE($A3053," ",""),"(주)",""),"주식회사",""),"㈜","")))</f>
        <v/>
      </c>
      <c r="H3053" s="10" t="str">
        <f aca="false">IF($B3053="","",SUBSTITUTE(SUBSTITUTE(SUBSTITUTE($B3053,"-","")," ",""),".",""))</f>
        <v/>
      </c>
      <c r="I3053" s="10" t="str">
        <f aca="false">IF($D3053="","",SUBSTITUTE(SUBSTITUTE(SUBSTITUTE($D3053,"-","")," ",""),".",""))</f>
        <v/>
      </c>
      <c r="J3053" s="10" t="str">
        <f aca="false">IF($E3053="","",UPPER(SUBSTITUTE($E3053," ","")))</f>
        <v/>
      </c>
      <c r="K3053" s="10" t="str">
        <f aca="false">IF($A3053="","",$G3053&amp;"|"&amp;$J3053)</f>
        <v/>
      </c>
      <c r="L3053" s="10" t="str">
        <f aca="false">IF($A3053="","",ROW()-2)</f>
        <v/>
      </c>
      <c r="M3053" s="10" t="str">
        <f aca="false">IF($A3053="","",ROW())</f>
        <v/>
      </c>
    </row>
    <row r="3054" customFormat="false" ht="15" hidden="false" customHeight="true" outlineLevel="0" collapsed="false">
      <c r="A3054" s="8"/>
      <c r="B3054" s="8"/>
      <c r="C3054" s="8"/>
      <c r="D3054" s="8"/>
      <c r="E3054" s="8"/>
      <c r="F3054" s="8"/>
      <c r="G3054" s="10" t="str">
        <f aca="false">IF($A3054="","",UPPER(SUBSTITUTE(SUBSTITUTE(SUBSTITUTE(SUBSTITUTE($A3054," ",""),"(주)",""),"주식회사",""),"㈜","")))</f>
        <v/>
      </c>
      <c r="H3054" s="10" t="str">
        <f aca="false">IF($B3054="","",SUBSTITUTE(SUBSTITUTE(SUBSTITUTE($B3054,"-","")," ",""),".",""))</f>
        <v/>
      </c>
      <c r="I3054" s="10" t="str">
        <f aca="false">IF($D3054="","",SUBSTITUTE(SUBSTITUTE(SUBSTITUTE($D3054,"-","")," ",""),".",""))</f>
        <v/>
      </c>
      <c r="J3054" s="10" t="str">
        <f aca="false">IF($E3054="","",UPPER(SUBSTITUTE($E3054," ","")))</f>
        <v/>
      </c>
      <c r="K3054" s="10" t="str">
        <f aca="false">IF($A3054="","",$G3054&amp;"|"&amp;$J3054)</f>
        <v/>
      </c>
      <c r="L3054" s="10" t="str">
        <f aca="false">IF($A3054="","",ROW()-2)</f>
        <v/>
      </c>
      <c r="M3054" s="10" t="str">
        <f aca="false">IF($A3054="","",ROW())</f>
        <v/>
      </c>
    </row>
    <row r="3055" customFormat="false" ht="15" hidden="false" customHeight="true" outlineLevel="0" collapsed="false">
      <c r="A3055" s="8"/>
      <c r="B3055" s="8"/>
      <c r="C3055" s="8"/>
      <c r="D3055" s="8"/>
      <c r="E3055" s="8"/>
      <c r="F3055" s="8"/>
      <c r="G3055" s="10" t="str">
        <f aca="false">IF($A3055="","",UPPER(SUBSTITUTE(SUBSTITUTE(SUBSTITUTE(SUBSTITUTE($A3055," ",""),"(주)",""),"주식회사",""),"㈜","")))</f>
        <v/>
      </c>
      <c r="H3055" s="10" t="str">
        <f aca="false">IF($B3055="","",SUBSTITUTE(SUBSTITUTE(SUBSTITUTE($B3055,"-","")," ",""),".",""))</f>
        <v/>
      </c>
      <c r="I3055" s="10" t="str">
        <f aca="false">IF($D3055="","",SUBSTITUTE(SUBSTITUTE(SUBSTITUTE($D3055,"-","")," ",""),".",""))</f>
        <v/>
      </c>
      <c r="J3055" s="10" t="str">
        <f aca="false">IF($E3055="","",UPPER(SUBSTITUTE($E3055," ","")))</f>
        <v/>
      </c>
      <c r="K3055" s="10" t="str">
        <f aca="false">IF($A3055="","",$G3055&amp;"|"&amp;$J3055)</f>
        <v/>
      </c>
      <c r="L3055" s="10" t="str">
        <f aca="false">IF($A3055="","",ROW()-2)</f>
        <v/>
      </c>
      <c r="M3055" s="10" t="str">
        <f aca="false">IF($A3055="","",ROW())</f>
        <v/>
      </c>
    </row>
    <row r="3056" customFormat="false" ht="15" hidden="false" customHeight="true" outlineLevel="0" collapsed="false">
      <c r="A3056" s="8"/>
      <c r="B3056" s="8"/>
      <c r="C3056" s="8"/>
      <c r="D3056" s="8"/>
      <c r="E3056" s="8"/>
      <c r="F3056" s="8"/>
      <c r="G3056" s="10" t="str">
        <f aca="false">IF($A3056="","",UPPER(SUBSTITUTE(SUBSTITUTE(SUBSTITUTE(SUBSTITUTE($A3056," ",""),"(주)",""),"주식회사",""),"㈜","")))</f>
        <v/>
      </c>
      <c r="H3056" s="10" t="str">
        <f aca="false">IF($B3056="","",SUBSTITUTE(SUBSTITUTE(SUBSTITUTE($B3056,"-","")," ",""),".",""))</f>
        <v/>
      </c>
      <c r="I3056" s="10" t="str">
        <f aca="false">IF($D3056="","",SUBSTITUTE(SUBSTITUTE(SUBSTITUTE($D3056,"-","")," ",""),".",""))</f>
        <v/>
      </c>
      <c r="J3056" s="10" t="str">
        <f aca="false">IF($E3056="","",UPPER(SUBSTITUTE($E3056," ","")))</f>
        <v/>
      </c>
      <c r="K3056" s="10" t="str">
        <f aca="false">IF($A3056="","",$G3056&amp;"|"&amp;$J3056)</f>
        <v/>
      </c>
      <c r="L3056" s="10" t="str">
        <f aca="false">IF($A3056="","",ROW()-2)</f>
        <v/>
      </c>
      <c r="M3056" s="10" t="str">
        <f aca="false">IF($A3056="","",ROW())</f>
        <v/>
      </c>
    </row>
    <row r="3057" customFormat="false" ht="15" hidden="false" customHeight="true" outlineLevel="0" collapsed="false">
      <c r="A3057" s="8"/>
      <c r="B3057" s="8"/>
      <c r="C3057" s="8"/>
      <c r="D3057" s="8"/>
      <c r="E3057" s="8"/>
      <c r="F3057" s="8"/>
      <c r="G3057" s="10" t="str">
        <f aca="false">IF($A3057="","",UPPER(SUBSTITUTE(SUBSTITUTE(SUBSTITUTE(SUBSTITUTE($A3057," ",""),"(주)",""),"주식회사",""),"㈜","")))</f>
        <v/>
      </c>
      <c r="H3057" s="10" t="str">
        <f aca="false">IF($B3057="","",SUBSTITUTE(SUBSTITUTE(SUBSTITUTE($B3057,"-","")," ",""),".",""))</f>
        <v/>
      </c>
      <c r="I3057" s="10" t="str">
        <f aca="false">IF($D3057="","",SUBSTITUTE(SUBSTITUTE(SUBSTITUTE($D3057,"-","")," ",""),".",""))</f>
        <v/>
      </c>
      <c r="J3057" s="10" t="str">
        <f aca="false">IF($E3057="","",UPPER(SUBSTITUTE($E3057," ","")))</f>
        <v/>
      </c>
      <c r="K3057" s="10" t="str">
        <f aca="false">IF($A3057="","",$G3057&amp;"|"&amp;$J3057)</f>
        <v/>
      </c>
      <c r="L3057" s="10" t="str">
        <f aca="false">IF($A3057="","",ROW()-2)</f>
        <v/>
      </c>
      <c r="M3057" s="10" t="str">
        <f aca="false">IF($A3057="","",ROW())</f>
        <v/>
      </c>
    </row>
    <row r="3058" customFormat="false" ht="15" hidden="false" customHeight="true" outlineLevel="0" collapsed="false">
      <c r="A3058" s="8"/>
      <c r="B3058" s="8"/>
      <c r="C3058" s="8"/>
      <c r="D3058" s="8"/>
      <c r="E3058" s="8"/>
      <c r="F3058" s="8"/>
      <c r="G3058" s="10" t="str">
        <f aca="false">IF($A3058="","",UPPER(SUBSTITUTE(SUBSTITUTE(SUBSTITUTE(SUBSTITUTE($A3058," ",""),"(주)",""),"주식회사",""),"㈜","")))</f>
        <v/>
      </c>
      <c r="H3058" s="10" t="str">
        <f aca="false">IF($B3058="","",SUBSTITUTE(SUBSTITUTE(SUBSTITUTE($B3058,"-","")," ",""),".",""))</f>
        <v/>
      </c>
      <c r="I3058" s="10" t="str">
        <f aca="false">IF($D3058="","",SUBSTITUTE(SUBSTITUTE(SUBSTITUTE($D3058,"-","")," ",""),".",""))</f>
        <v/>
      </c>
      <c r="J3058" s="10" t="str">
        <f aca="false">IF($E3058="","",UPPER(SUBSTITUTE($E3058," ","")))</f>
        <v/>
      </c>
      <c r="K3058" s="10" t="str">
        <f aca="false">IF($A3058="","",$G3058&amp;"|"&amp;$J3058)</f>
        <v/>
      </c>
      <c r="L3058" s="10" t="str">
        <f aca="false">IF($A3058="","",ROW()-2)</f>
        <v/>
      </c>
      <c r="M3058" s="10" t="str">
        <f aca="false">IF($A3058="","",ROW())</f>
        <v/>
      </c>
    </row>
    <row r="3059" customFormat="false" ht="15" hidden="false" customHeight="true" outlineLevel="0" collapsed="false">
      <c r="A3059" s="8"/>
      <c r="B3059" s="8"/>
      <c r="C3059" s="8"/>
      <c r="D3059" s="8"/>
      <c r="E3059" s="8"/>
      <c r="F3059" s="8"/>
      <c r="G3059" s="10" t="str">
        <f aca="false">IF($A3059="","",UPPER(SUBSTITUTE(SUBSTITUTE(SUBSTITUTE(SUBSTITUTE($A3059," ",""),"(주)",""),"주식회사",""),"㈜","")))</f>
        <v/>
      </c>
      <c r="H3059" s="10" t="str">
        <f aca="false">IF($B3059="","",SUBSTITUTE(SUBSTITUTE(SUBSTITUTE($B3059,"-","")," ",""),".",""))</f>
        <v/>
      </c>
      <c r="I3059" s="10" t="str">
        <f aca="false">IF($D3059="","",SUBSTITUTE(SUBSTITUTE(SUBSTITUTE($D3059,"-","")," ",""),".",""))</f>
        <v/>
      </c>
      <c r="J3059" s="10" t="str">
        <f aca="false">IF($E3059="","",UPPER(SUBSTITUTE($E3059," ","")))</f>
        <v/>
      </c>
      <c r="K3059" s="10" t="str">
        <f aca="false">IF($A3059="","",$G3059&amp;"|"&amp;$J3059)</f>
        <v/>
      </c>
      <c r="L3059" s="10" t="str">
        <f aca="false">IF($A3059="","",ROW()-2)</f>
        <v/>
      </c>
      <c r="M3059" s="10" t="str">
        <f aca="false">IF($A3059="","",ROW())</f>
        <v/>
      </c>
    </row>
    <row r="3060" customFormat="false" ht="15" hidden="false" customHeight="true" outlineLevel="0" collapsed="false">
      <c r="A3060" s="8"/>
      <c r="B3060" s="8"/>
      <c r="C3060" s="8"/>
      <c r="D3060" s="8"/>
      <c r="E3060" s="8"/>
      <c r="F3060" s="8"/>
      <c r="G3060" s="10" t="str">
        <f aca="false">IF($A3060="","",UPPER(SUBSTITUTE(SUBSTITUTE(SUBSTITUTE(SUBSTITUTE($A3060," ",""),"(주)",""),"주식회사",""),"㈜","")))</f>
        <v/>
      </c>
      <c r="H3060" s="10" t="str">
        <f aca="false">IF($B3060="","",SUBSTITUTE(SUBSTITUTE(SUBSTITUTE($B3060,"-","")," ",""),".",""))</f>
        <v/>
      </c>
      <c r="I3060" s="10" t="str">
        <f aca="false">IF($D3060="","",SUBSTITUTE(SUBSTITUTE(SUBSTITUTE($D3060,"-","")," ",""),".",""))</f>
        <v/>
      </c>
      <c r="J3060" s="10" t="str">
        <f aca="false">IF($E3060="","",UPPER(SUBSTITUTE($E3060," ","")))</f>
        <v/>
      </c>
      <c r="K3060" s="10" t="str">
        <f aca="false">IF($A3060="","",$G3060&amp;"|"&amp;$J3060)</f>
        <v/>
      </c>
      <c r="L3060" s="10" t="str">
        <f aca="false">IF($A3060="","",ROW()-2)</f>
        <v/>
      </c>
      <c r="M3060" s="10" t="str">
        <f aca="false">IF($A3060="","",ROW())</f>
        <v/>
      </c>
    </row>
    <row r="3061" customFormat="false" ht="15" hidden="false" customHeight="true" outlineLevel="0" collapsed="false">
      <c r="A3061" s="8"/>
      <c r="B3061" s="8"/>
      <c r="C3061" s="8"/>
      <c r="D3061" s="8"/>
      <c r="E3061" s="8"/>
      <c r="F3061" s="8"/>
      <c r="G3061" s="10" t="str">
        <f aca="false">IF($A3061="","",UPPER(SUBSTITUTE(SUBSTITUTE(SUBSTITUTE(SUBSTITUTE($A3061," ",""),"(주)",""),"주식회사",""),"㈜","")))</f>
        <v/>
      </c>
      <c r="H3061" s="10" t="str">
        <f aca="false">IF($B3061="","",SUBSTITUTE(SUBSTITUTE(SUBSTITUTE($B3061,"-","")," ",""),".",""))</f>
        <v/>
      </c>
      <c r="I3061" s="10" t="str">
        <f aca="false">IF($D3061="","",SUBSTITUTE(SUBSTITUTE(SUBSTITUTE($D3061,"-","")," ",""),".",""))</f>
        <v/>
      </c>
      <c r="J3061" s="10" t="str">
        <f aca="false">IF($E3061="","",UPPER(SUBSTITUTE($E3061," ","")))</f>
        <v/>
      </c>
      <c r="K3061" s="10" t="str">
        <f aca="false">IF($A3061="","",$G3061&amp;"|"&amp;$J3061)</f>
        <v/>
      </c>
      <c r="L3061" s="10" t="str">
        <f aca="false">IF($A3061="","",ROW()-2)</f>
        <v/>
      </c>
      <c r="M3061" s="10" t="str">
        <f aca="false">IF($A3061="","",ROW())</f>
        <v/>
      </c>
    </row>
    <row r="3062" customFormat="false" ht="15" hidden="false" customHeight="true" outlineLevel="0" collapsed="false">
      <c r="A3062" s="8"/>
      <c r="B3062" s="8"/>
      <c r="C3062" s="8"/>
      <c r="D3062" s="8"/>
      <c r="E3062" s="8"/>
      <c r="F3062" s="8"/>
      <c r="G3062" s="10" t="str">
        <f aca="false">IF($A3062="","",UPPER(SUBSTITUTE(SUBSTITUTE(SUBSTITUTE(SUBSTITUTE($A3062," ",""),"(주)",""),"주식회사",""),"㈜","")))</f>
        <v/>
      </c>
      <c r="H3062" s="10" t="str">
        <f aca="false">IF($B3062="","",SUBSTITUTE(SUBSTITUTE(SUBSTITUTE($B3062,"-","")," ",""),".",""))</f>
        <v/>
      </c>
      <c r="I3062" s="10" t="str">
        <f aca="false">IF($D3062="","",SUBSTITUTE(SUBSTITUTE(SUBSTITUTE($D3062,"-","")," ",""),".",""))</f>
        <v/>
      </c>
      <c r="J3062" s="10" t="str">
        <f aca="false">IF($E3062="","",UPPER(SUBSTITUTE($E3062," ","")))</f>
        <v/>
      </c>
      <c r="K3062" s="10" t="str">
        <f aca="false">IF($A3062="","",$G3062&amp;"|"&amp;$J3062)</f>
        <v/>
      </c>
      <c r="L3062" s="10" t="str">
        <f aca="false">IF($A3062="","",ROW()-2)</f>
        <v/>
      </c>
      <c r="M3062" s="10" t="str">
        <f aca="false">IF($A3062="","",ROW())</f>
        <v/>
      </c>
    </row>
    <row r="3063" customFormat="false" ht="15" hidden="false" customHeight="true" outlineLevel="0" collapsed="false">
      <c r="A3063" s="8"/>
      <c r="B3063" s="8"/>
      <c r="C3063" s="8"/>
      <c r="D3063" s="8"/>
      <c r="E3063" s="8"/>
      <c r="F3063" s="8"/>
      <c r="G3063" s="10" t="str">
        <f aca="false">IF($A3063="","",UPPER(SUBSTITUTE(SUBSTITUTE(SUBSTITUTE(SUBSTITUTE($A3063," ",""),"(주)",""),"주식회사",""),"㈜","")))</f>
        <v/>
      </c>
      <c r="H3063" s="10" t="str">
        <f aca="false">IF($B3063="","",SUBSTITUTE(SUBSTITUTE(SUBSTITUTE($B3063,"-","")," ",""),".",""))</f>
        <v/>
      </c>
      <c r="I3063" s="10" t="str">
        <f aca="false">IF($D3063="","",SUBSTITUTE(SUBSTITUTE(SUBSTITUTE($D3063,"-","")," ",""),".",""))</f>
        <v/>
      </c>
      <c r="J3063" s="10" t="str">
        <f aca="false">IF($E3063="","",UPPER(SUBSTITUTE($E3063," ","")))</f>
        <v/>
      </c>
      <c r="K3063" s="10" t="str">
        <f aca="false">IF($A3063="","",$G3063&amp;"|"&amp;$J3063)</f>
        <v/>
      </c>
      <c r="L3063" s="10" t="str">
        <f aca="false">IF($A3063="","",ROW()-2)</f>
        <v/>
      </c>
      <c r="M3063" s="10" t="str">
        <f aca="false">IF($A3063="","",ROW())</f>
        <v/>
      </c>
    </row>
    <row r="3064" customFormat="false" ht="15" hidden="false" customHeight="true" outlineLevel="0" collapsed="false">
      <c r="A3064" s="8"/>
      <c r="B3064" s="8"/>
      <c r="C3064" s="8"/>
      <c r="D3064" s="8"/>
      <c r="E3064" s="8"/>
      <c r="F3064" s="8"/>
      <c r="G3064" s="10" t="str">
        <f aca="false">IF($A3064="","",UPPER(SUBSTITUTE(SUBSTITUTE(SUBSTITUTE(SUBSTITUTE($A3064," ",""),"(주)",""),"주식회사",""),"㈜","")))</f>
        <v/>
      </c>
      <c r="H3064" s="10" t="str">
        <f aca="false">IF($B3064="","",SUBSTITUTE(SUBSTITUTE(SUBSTITUTE($B3064,"-","")," ",""),".",""))</f>
        <v/>
      </c>
      <c r="I3064" s="10" t="str">
        <f aca="false">IF($D3064="","",SUBSTITUTE(SUBSTITUTE(SUBSTITUTE($D3064,"-","")," ",""),".",""))</f>
        <v/>
      </c>
      <c r="J3064" s="10" t="str">
        <f aca="false">IF($E3064="","",UPPER(SUBSTITUTE($E3064," ","")))</f>
        <v/>
      </c>
      <c r="K3064" s="10" t="str">
        <f aca="false">IF($A3064="","",$G3064&amp;"|"&amp;$J3064)</f>
        <v/>
      </c>
      <c r="L3064" s="10" t="str">
        <f aca="false">IF($A3064="","",ROW()-2)</f>
        <v/>
      </c>
      <c r="M3064" s="10" t="str">
        <f aca="false">IF($A3064="","",ROW())</f>
        <v/>
      </c>
    </row>
    <row r="3065" customFormat="false" ht="15" hidden="false" customHeight="true" outlineLevel="0" collapsed="false">
      <c r="A3065" s="8"/>
      <c r="B3065" s="8"/>
      <c r="C3065" s="8"/>
      <c r="D3065" s="8"/>
      <c r="E3065" s="8"/>
      <c r="F3065" s="8"/>
      <c r="G3065" s="10" t="str">
        <f aca="false">IF($A3065="","",UPPER(SUBSTITUTE(SUBSTITUTE(SUBSTITUTE(SUBSTITUTE($A3065," ",""),"(주)",""),"주식회사",""),"㈜","")))</f>
        <v/>
      </c>
      <c r="H3065" s="10" t="str">
        <f aca="false">IF($B3065="","",SUBSTITUTE(SUBSTITUTE(SUBSTITUTE($B3065,"-","")," ",""),".",""))</f>
        <v/>
      </c>
      <c r="I3065" s="10" t="str">
        <f aca="false">IF($D3065="","",SUBSTITUTE(SUBSTITUTE(SUBSTITUTE($D3065,"-","")," ",""),".",""))</f>
        <v/>
      </c>
      <c r="J3065" s="10" t="str">
        <f aca="false">IF($E3065="","",UPPER(SUBSTITUTE($E3065," ","")))</f>
        <v/>
      </c>
      <c r="K3065" s="10" t="str">
        <f aca="false">IF($A3065="","",$G3065&amp;"|"&amp;$J3065)</f>
        <v/>
      </c>
      <c r="L3065" s="10" t="str">
        <f aca="false">IF($A3065="","",ROW()-2)</f>
        <v/>
      </c>
      <c r="M3065" s="10" t="str">
        <f aca="false">IF($A3065="","",ROW())</f>
        <v/>
      </c>
    </row>
    <row r="3066" customFormat="false" ht="15" hidden="false" customHeight="true" outlineLevel="0" collapsed="false">
      <c r="A3066" s="8"/>
      <c r="B3066" s="8"/>
      <c r="C3066" s="8"/>
      <c r="D3066" s="8"/>
      <c r="E3066" s="8"/>
      <c r="F3066" s="8"/>
      <c r="G3066" s="10" t="str">
        <f aca="false">IF($A3066="","",UPPER(SUBSTITUTE(SUBSTITUTE(SUBSTITUTE(SUBSTITUTE($A3066," ",""),"(주)",""),"주식회사",""),"㈜","")))</f>
        <v/>
      </c>
      <c r="H3066" s="10" t="str">
        <f aca="false">IF($B3066="","",SUBSTITUTE(SUBSTITUTE(SUBSTITUTE($B3066,"-","")," ",""),".",""))</f>
        <v/>
      </c>
      <c r="I3066" s="10" t="str">
        <f aca="false">IF($D3066="","",SUBSTITUTE(SUBSTITUTE(SUBSTITUTE($D3066,"-","")," ",""),".",""))</f>
        <v/>
      </c>
      <c r="J3066" s="10" t="str">
        <f aca="false">IF($E3066="","",UPPER(SUBSTITUTE($E3066," ","")))</f>
        <v/>
      </c>
      <c r="K3066" s="10" t="str">
        <f aca="false">IF($A3066="","",$G3066&amp;"|"&amp;$J3066)</f>
        <v/>
      </c>
      <c r="L3066" s="10" t="str">
        <f aca="false">IF($A3066="","",ROW()-2)</f>
        <v/>
      </c>
      <c r="M3066" s="10" t="str">
        <f aca="false">IF($A3066="","",ROW())</f>
        <v/>
      </c>
    </row>
    <row r="3067" customFormat="false" ht="15" hidden="false" customHeight="true" outlineLevel="0" collapsed="false">
      <c r="A3067" s="8"/>
      <c r="B3067" s="8"/>
      <c r="C3067" s="8"/>
      <c r="D3067" s="8"/>
      <c r="E3067" s="8"/>
      <c r="F3067" s="8"/>
      <c r="G3067" s="10" t="str">
        <f aca="false">IF($A3067="","",UPPER(SUBSTITUTE(SUBSTITUTE(SUBSTITUTE(SUBSTITUTE($A3067," ",""),"(주)",""),"주식회사",""),"㈜","")))</f>
        <v/>
      </c>
      <c r="H3067" s="10" t="str">
        <f aca="false">IF($B3067="","",SUBSTITUTE(SUBSTITUTE(SUBSTITUTE($B3067,"-","")," ",""),".",""))</f>
        <v/>
      </c>
      <c r="I3067" s="10" t="str">
        <f aca="false">IF($D3067="","",SUBSTITUTE(SUBSTITUTE(SUBSTITUTE($D3067,"-","")," ",""),".",""))</f>
        <v/>
      </c>
      <c r="J3067" s="10" t="str">
        <f aca="false">IF($E3067="","",UPPER(SUBSTITUTE($E3067," ","")))</f>
        <v/>
      </c>
      <c r="K3067" s="10" t="str">
        <f aca="false">IF($A3067="","",$G3067&amp;"|"&amp;$J3067)</f>
        <v/>
      </c>
      <c r="L3067" s="10" t="str">
        <f aca="false">IF($A3067="","",ROW()-2)</f>
        <v/>
      </c>
      <c r="M3067" s="10" t="str">
        <f aca="false">IF($A3067="","",ROW())</f>
        <v/>
      </c>
    </row>
    <row r="3068" customFormat="false" ht="15" hidden="false" customHeight="true" outlineLevel="0" collapsed="false">
      <c r="A3068" s="8"/>
      <c r="B3068" s="8"/>
      <c r="C3068" s="8"/>
      <c r="D3068" s="8"/>
      <c r="E3068" s="8"/>
      <c r="F3068" s="8"/>
      <c r="G3068" s="10" t="str">
        <f aca="false">IF($A3068="","",UPPER(SUBSTITUTE(SUBSTITUTE(SUBSTITUTE(SUBSTITUTE($A3068," ",""),"(주)",""),"주식회사",""),"㈜","")))</f>
        <v/>
      </c>
      <c r="H3068" s="10" t="str">
        <f aca="false">IF($B3068="","",SUBSTITUTE(SUBSTITUTE(SUBSTITUTE($B3068,"-","")," ",""),".",""))</f>
        <v/>
      </c>
      <c r="I3068" s="10" t="str">
        <f aca="false">IF($D3068="","",SUBSTITUTE(SUBSTITUTE(SUBSTITUTE($D3068,"-","")," ",""),".",""))</f>
        <v/>
      </c>
      <c r="J3068" s="10" t="str">
        <f aca="false">IF($E3068="","",UPPER(SUBSTITUTE($E3068," ","")))</f>
        <v/>
      </c>
      <c r="K3068" s="10" t="str">
        <f aca="false">IF($A3068="","",$G3068&amp;"|"&amp;$J3068)</f>
        <v/>
      </c>
      <c r="L3068" s="10" t="str">
        <f aca="false">IF($A3068="","",ROW()-2)</f>
        <v/>
      </c>
      <c r="M3068" s="10" t="str">
        <f aca="false">IF($A3068="","",ROW())</f>
        <v/>
      </c>
    </row>
    <row r="3069" customFormat="false" ht="15" hidden="false" customHeight="true" outlineLevel="0" collapsed="false">
      <c r="A3069" s="8"/>
      <c r="B3069" s="8"/>
      <c r="C3069" s="8"/>
      <c r="D3069" s="8"/>
      <c r="E3069" s="8"/>
      <c r="F3069" s="8"/>
      <c r="G3069" s="10" t="str">
        <f aca="false">IF($A3069="","",UPPER(SUBSTITUTE(SUBSTITUTE(SUBSTITUTE(SUBSTITUTE($A3069," ",""),"(주)",""),"주식회사",""),"㈜","")))</f>
        <v/>
      </c>
      <c r="H3069" s="10" t="str">
        <f aca="false">IF($B3069="","",SUBSTITUTE(SUBSTITUTE(SUBSTITUTE($B3069,"-","")," ",""),".",""))</f>
        <v/>
      </c>
      <c r="I3069" s="10" t="str">
        <f aca="false">IF($D3069="","",SUBSTITUTE(SUBSTITUTE(SUBSTITUTE($D3069,"-","")," ",""),".",""))</f>
        <v/>
      </c>
      <c r="J3069" s="10" t="str">
        <f aca="false">IF($E3069="","",UPPER(SUBSTITUTE($E3069," ","")))</f>
        <v/>
      </c>
      <c r="K3069" s="10" t="str">
        <f aca="false">IF($A3069="","",$G3069&amp;"|"&amp;$J3069)</f>
        <v/>
      </c>
      <c r="L3069" s="10" t="str">
        <f aca="false">IF($A3069="","",ROW()-2)</f>
        <v/>
      </c>
      <c r="M3069" s="10" t="str">
        <f aca="false">IF($A3069="","",ROW())</f>
        <v/>
      </c>
    </row>
    <row r="3070" customFormat="false" ht="15" hidden="false" customHeight="true" outlineLevel="0" collapsed="false">
      <c r="A3070" s="8"/>
      <c r="B3070" s="8"/>
      <c r="C3070" s="8"/>
      <c r="D3070" s="8"/>
      <c r="E3070" s="8"/>
      <c r="F3070" s="8"/>
      <c r="G3070" s="10" t="str">
        <f aca="false">IF($A3070="","",UPPER(SUBSTITUTE(SUBSTITUTE(SUBSTITUTE(SUBSTITUTE($A3070," ",""),"(주)",""),"주식회사",""),"㈜","")))</f>
        <v/>
      </c>
      <c r="H3070" s="10" t="str">
        <f aca="false">IF($B3070="","",SUBSTITUTE(SUBSTITUTE(SUBSTITUTE($B3070,"-","")," ",""),".",""))</f>
        <v/>
      </c>
      <c r="I3070" s="10" t="str">
        <f aca="false">IF($D3070="","",SUBSTITUTE(SUBSTITUTE(SUBSTITUTE($D3070,"-","")," ",""),".",""))</f>
        <v/>
      </c>
      <c r="J3070" s="10" t="str">
        <f aca="false">IF($E3070="","",UPPER(SUBSTITUTE($E3070," ","")))</f>
        <v/>
      </c>
      <c r="K3070" s="10" t="str">
        <f aca="false">IF($A3070="","",$G3070&amp;"|"&amp;$J3070)</f>
        <v/>
      </c>
      <c r="L3070" s="10" t="str">
        <f aca="false">IF($A3070="","",ROW()-2)</f>
        <v/>
      </c>
      <c r="M3070" s="10" t="str">
        <f aca="false">IF($A3070="","",ROW())</f>
        <v/>
      </c>
    </row>
    <row r="3071" customFormat="false" ht="15" hidden="false" customHeight="true" outlineLevel="0" collapsed="false">
      <c r="A3071" s="8"/>
      <c r="B3071" s="8"/>
      <c r="C3071" s="8"/>
      <c r="D3071" s="8"/>
      <c r="E3071" s="8"/>
      <c r="F3071" s="8"/>
      <c r="G3071" s="10" t="str">
        <f aca="false">IF($A3071="","",UPPER(SUBSTITUTE(SUBSTITUTE(SUBSTITUTE(SUBSTITUTE($A3071," ",""),"(주)",""),"주식회사",""),"㈜","")))</f>
        <v/>
      </c>
      <c r="H3071" s="10" t="str">
        <f aca="false">IF($B3071="","",SUBSTITUTE(SUBSTITUTE(SUBSTITUTE($B3071,"-","")," ",""),".",""))</f>
        <v/>
      </c>
      <c r="I3071" s="10" t="str">
        <f aca="false">IF($D3071="","",SUBSTITUTE(SUBSTITUTE(SUBSTITUTE($D3071,"-","")," ",""),".",""))</f>
        <v/>
      </c>
      <c r="J3071" s="10" t="str">
        <f aca="false">IF($E3071="","",UPPER(SUBSTITUTE($E3071," ","")))</f>
        <v/>
      </c>
      <c r="K3071" s="10" t="str">
        <f aca="false">IF($A3071="","",$G3071&amp;"|"&amp;$J3071)</f>
        <v/>
      </c>
      <c r="L3071" s="10" t="str">
        <f aca="false">IF($A3071="","",ROW()-2)</f>
        <v/>
      </c>
      <c r="M3071" s="10" t="str">
        <f aca="false">IF($A3071="","",ROW())</f>
        <v/>
      </c>
    </row>
    <row r="3072" customFormat="false" ht="15" hidden="false" customHeight="true" outlineLevel="0" collapsed="false">
      <c r="A3072" s="8"/>
      <c r="B3072" s="8"/>
      <c r="C3072" s="8"/>
      <c r="D3072" s="8"/>
      <c r="E3072" s="8"/>
      <c r="F3072" s="8"/>
      <c r="G3072" s="10" t="str">
        <f aca="false">IF($A3072="","",UPPER(SUBSTITUTE(SUBSTITUTE(SUBSTITUTE(SUBSTITUTE($A3072," ",""),"(주)",""),"주식회사",""),"㈜","")))</f>
        <v/>
      </c>
      <c r="H3072" s="10" t="str">
        <f aca="false">IF($B3072="","",SUBSTITUTE(SUBSTITUTE(SUBSTITUTE($B3072,"-","")," ",""),".",""))</f>
        <v/>
      </c>
      <c r="I3072" s="10" t="str">
        <f aca="false">IF($D3072="","",SUBSTITUTE(SUBSTITUTE(SUBSTITUTE($D3072,"-","")," ",""),".",""))</f>
        <v/>
      </c>
      <c r="J3072" s="10" t="str">
        <f aca="false">IF($E3072="","",UPPER(SUBSTITUTE($E3072," ","")))</f>
        <v/>
      </c>
      <c r="K3072" s="10" t="str">
        <f aca="false">IF($A3072="","",$G3072&amp;"|"&amp;$J3072)</f>
        <v/>
      </c>
      <c r="L3072" s="10" t="str">
        <f aca="false">IF($A3072="","",ROW()-2)</f>
        <v/>
      </c>
      <c r="M3072" s="10" t="str">
        <f aca="false">IF($A3072="","",ROW())</f>
        <v/>
      </c>
    </row>
    <row r="3073" customFormat="false" ht="15" hidden="false" customHeight="true" outlineLevel="0" collapsed="false">
      <c r="A3073" s="8"/>
      <c r="B3073" s="8"/>
      <c r="C3073" s="8"/>
      <c r="D3073" s="8"/>
      <c r="E3073" s="8"/>
      <c r="F3073" s="8"/>
      <c r="G3073" s="10" t="str">
        <f aca="false">IF($A3073="","",UPPER(SUBSTITUTE(SUBSTITUTE(SUBSTITUTE(SUBSTITUTE($A3073," ",""),"(주)",""),"주식회사",""),"㈜","")))</f>
        <v/>
      </c>
      <c r="H3073" s="10" t="str">
        <f aca="false">IF($B3073="","",SUBSTITUTE(SUBSTITUTE(SUBSTITUTE($B3073,"-","")," ",""),".",""))</f>
        <v/>
      </c>
      <c r="I3073" s="10" t="str">
        <f aca="false">IF($D3073="","",SUBSTITUTE(SUBSTITUTE(SUBSTITUTE($D3073,"-","")," ",""),".",""))</f>
        <v/>
      </c>
      <c r="J3073" s="10" t="str">
        <f aca="false">IF($E3073="","",UPPER(SUBSTITUTE($E3073," ","")))</f>
        <v/>
      </c>
      <c r="K3073" s="10" t="str">
        <f aca="false">IF($A3073="","",$G3073&amp;"|"&amp;$J3073)</f>
        <v/>
      </c>
      <c r="L3073" s="10" t="str">
        <f aca="false">IF($A3073="","",ROW()-2)</f>
        <v/>
      </c>
      <c r="M3073" s="10" t="str">
        <f aca="false">IF($A3073="","",ROW())</f>
        <v/>
      </c>
    </row>
    <row r="3074" customFormat="false" ht="15" hidden="false" customHeight="true" outlineLevel="0" collapsed="false">
      <c r="A3074" s="8"/>
      <c r="B3074" s="8"/>
      <c r="C3074" s="8"/>
      <c r="D3074" s="8"/>
      <c r="E3074" s="8"/>
      <c r="F3074" s="8"/>
      <c r="G3074" s="10" t="str">
        <f aca="false">IF($A3074="","",UPPER(SUBSTITUTE(SUBSTITUTE(SUBSTITUTE(SUBSTITUTE($A3074," ",""),"(주)",""),"주식회사",""),"㈜","")))</f>
        <v/>
      </c>
      <c r="H3074" s="10" t="str">
        <f aca="false">IF($B3074="","",SUBSTITUTE(SUBSTITUTE(SUBSTITUTE($B3074,"-","")," ",""),".",""))</f>
        <v/>
      </c>
      <c r="I3074" s="10" t="str">
        <f aca="false">IF($D3074="","",SUBSTITUTE(SUBSTITUTE(SUBSTITUTE($D3074,"-","")," ",""),".",""))</f>
        <v/>
      </c>
      <c r="J3074" s="10" t="str">
        <f aca="false">IF($E3074="","",UPPER(SUBSTITUTE($E3074," ","")))</f>
        <v/>
      </c>
      <c r="K3074" s="10" t="str">
        <f aca="false">IF($A3074="","",$G3074&amp;"|"&amp;$J3074)</f>
        <v/>
      </c>
      <c r="L3074" s="10" t="str">
        <f aca="false">IF($A3074="","",ROW()-2)</f>
        <v/>
      </c>
      <c r="M3074" s="10" t="str">
        <f aca="false">IF($A3074="","",ROW())</f>
        <v/>
      </c>
    </row>
    <row r="3075" customFormat="false" ht="15" hidden="false" customHeight="true" outlineLevel="0" collapsed="false">
      <c r="A3075" s="8"/>
      <c r="B3075" s="8"/>
      <c r="C3075" s="8"/>
      <c r="D3075" s="8"/>
      <c r="E3075" s="8"/>
      <c r="F3075" s="8"/>
      <c r="G3075" s="10" t="str">
        <f aca="false">IF($A3075="","",UPPER(SUBSTITUTE(SUBSTITUTE(SUBSTITUTE(SUBSTITUTE($A3075," ",""),"(주)",""),"주식회사",""),"㈜","")))</f>
        <v/>
      </c>
      <c r="H3075" s="10" t="str">
        <f aca="false">IF($B3075="","",SUBSTITUTE(SUBSTITUTE(SUBSTITUTE($B3075,"-","")," ",""),".",""))</f>
        <v/>
      </c>
      <c r="I3075" s="10" t="str">
        <f aca="false">IF($D3075="","",SUBSTITUTE(SUBSTITUTE(SUBSTITUTE($D3075,"-","")," ",""),".",""))</f>
        <v/>
      </c>
      <c r="J3075" s="10" t="str">
        <f aca="false">IF($E3075="","",UPPER(SUBSTITUTE($E3075," ","")))</f>
        <v/>
      </c>
      <c r="K3075" s="10" t="str">
        <f aca="false">IF($A3075="","",$G3075&amp;"|"&amp;$J3075)</f>
        <v/>
      </c>
      <c r="L3075" s="10" t="str">
        <f aca="false">IF($A3075="","",ROW()-2)</f>
        <v/>
      </c>
      <c r="M3075" s="10" t="str">
        <f aca="false">IF($A3075="","",ROW())</f>
        <v/>
      </c>
    </row>
    <row r="3076" customFormat="false" ht="15" hidden="false" customHeight="true" outlineLevel="0" collapsed="false">
      <c r="A3076" s="8"/>
      <c r="B3076" s="8"/>
      <c r="C3076" s="8"/>
      <c r="D3076" s="8"/>
      <c r="E3076" s="8"/>
      <c r="F3076" s="8"/>
      <c r="G3076" s="10" t="str">
        <f aca="false">IF($A3076="","",UPPER(SUBSTITUTE(SUBSTITUTE(SUBSTITUTE(SUBSTITUTE($A3076," ",""),"(주)",""),"주식회사",""),"㈜","")))</f>
        <v/>
      </c>
      <c r="H3076" s="10" t="str">
        <f aca="false">IF($B3076="","",SUBSTITUTE(SUBSTITUTE(SUBSTITUTE($B3076,"-","")," ",""),".",""))</f>
        <v/>
      </c>
      <c r="I3076" s="10" t="str">
        <f aca="false">IF($D3076="","",SUBSTITUTE(SUBSTITUTE(SUBSTITUTE($D3076,"-","")," ",""),".",""))</f>
        <v/>
      </c>
      <c r="J3076" s="10" t="str">
        <f aca="false">IF($E3076="","",UPPER(SUBSTITUTE($E3076," ","")))</f>
        <v/>
      </c>
      <c r="K3076" s="10" t="str">
        <f aca="false">IF($A3076="","",$G3076&amp;"|"&amp;$J3076)</f>
        <v/>
      </c>
      <c r="L3076" s="10" t="str">
        <f aca="false">IF($A3076="","",ROW()-2)</f>
        <v/>
      </c>
      <c r="M3076" s="10" t="str">
        <f aca="false">IF($A3076="","",ROW())</f>
        <v/>
      </c>
    </row>
    <row r="3077" customFormat="false" ht="15" hidden="false" customHeight="true" outlineLevel="0" collapsed="false">
      <c r="A3077" s="8"/>
      <c r="B3077" s="8"/>
      <c r="C3077" s="8"/>
      <c r="D3077" s="8"/>
      <c r="E3077" s="8"/>
      <c r="F3077" s="8"/>
      <c r="G3077" s="10" t="str">
        <f aca="false">IF($A3077="","",UPPER(SUBSTITUTE(SUBSTITUTE(SUBSTITUTE(SUBSTITUTE($A3077," ",""),"(주)",""),"주식회사",""),"㈜","")))</f>
        <v/>
      </c>
      <c r="H3077" s="10" t="str">
        <f aca="false">IF($B3077="","",SUBSTITUTE(SUBSTITUTE(SUBSTITUTE($B3077,"-","")," ",""),".",""))</f>
        <v/>
      </c>
      <c r="I3077" s="10" t="str">
        <f aca="false">IF($D3077="","",SUBSTITUTE(SUBSTITUTE(SUBSTITUTE($D3077,"-","")," ",""),".",""))</f>
        <v/>
      </c>
      <c r="J3077" s="10" t="str">
        <f aca="false">IF($E3077="","",UPPER(SUBSTITUTE($E3077," ","")))</f>
        <v/>
      </c>
      <c r="K3077" s="10" t="str">
        <f aca="false">IF($A3077="","",$G3077&amp;"|"&amp;$J3077)</f>
        <v/>
      </c>
      <c r="L3077" s="10" t="str">
        <f aca="false">IF($A3077="","",ROW()-2)</f>
        <v/>
      </c>
      <c r="M3077" s="10" t="str">
        <f aca="false">IF($A3077="","",ROW())</f>
        <v/>
      </c>
    </row>
    <row r="3078" customFormat="false" ht="15" hidden="false" customHeight="true" outlineLevel="0" collapsed="false">
      <c r="A3078" s="8"/>
      <c r="B3078" s="8"/>
      <c r="C3078" s="8"/>
      <c r="D3078" s="8"/>
      <c r="E3078" s="8"/>
      <c r="F3078" s="8"/>
      <c r="G3078" s="10" t="str">
        <f aca="false">IF($A3078="","",UPPER(SUBSTITUTE(SUBSTITUTE(SUBSTITUTE(SUBSTITUTE($A3078," ",""),"(주)",""),"주식회사",""),"㈜","")))</f>
        <v/>
      </c>
      <c r="H3078" s="10" t="str">
        <f aca="false">IF($B3078="","",SUBSTITUTE(SUBSTITUTE(SUBSTITUTE($B3078,"-","")," ",""),".",""))</f>
        <v/>
      </c>
      <c r="I3078" s="10" t="str">
        <f aca="false">IF($D3078="","",SUBSTITUTE(SUBSTITUTE(SUBSTITUTE($D3078,"-","")," ",""),".",""))</f>
        <v/>
      </c>
      <c r="J3078" s="10" t="str">
        <f aca="false">IF($E3078="","",UPPER(SUBSTITUTE($E3078," ","")))</f>
        <v/>
      </c>
      <c r="K3078" s="10" t="str">
        <f aca="false">IF($A3078="","",$G3078&amp;"|"&amp;$J3078)</f>
        <v/>
      </c>
      <c r="L3078" s="10" t="str">
        <f aca="false">IF($A3078="","",ROW()-2)</f>
        <v/>
      </c>
      <c r="M3078" s="10" t="str">
        <f aca="false">IF($A3078="","",ROW())</f>
        <v/>
      </c>
    </row>
    <row r="3079" customFormat="false" ht="15" hidden="false" customHeight="true" outlineLevel="0" collapsed="false">
      <c r="A3079" s="8"/>
      <c r="B3079" s="8"/>
      <c r="C3079" s="8"/>
      <c r="D3079" s="8"/>
      <c r="E3079" s="8"/>
      <c r="F3079" s="8"/>
      <c r="G3079" s="10" t="str">
        <f aca="false">IF($A3079="","",UPPER(SUBSTITUTE(SUBSTITUTE(SUBSTITUTE(SUBSTITUTE($A3079," ",""),"(주)",""),"주식회사",""),"㈜","")))</f>
        <v/>
      </c>
      <c r="H3079" s="10" t="str">
        <f aca="false">IF($B3079="","",SUBSTITUTE(SUBSTITUTE(SUBSTITUTE($B3079,"-","")," ",""),".",""))</f>
        <v/>
      </c>
      <c r="I3079" s="10" t="str">
        <f aca="false">IF($D3079="","",SUBSTITUTE(SUBSTITUTE(SUBSTITUTE($D3079,"-","")," ",""),".",""))</f>
        <v/>
      </c>
      <c r="J3079" s="10" t="str">
        <f aca="false">IF($E3079="","",UPPER(SUBSTITUTE($E3079," ","")))</f>
        <v/>
      </c>
      <c r="K3079" s="10" t="str">
        <f aca="false">IF($A3079="","",$G3079&amp;"|"&amp;$J3079)</f>
        <v/>
      </c>
      <c r="L3079" s="10" t="str">
        <f aca="false">IF($A3079="","",ROW()-2)</f>
        <v/>
      </c>
      <c r="M3079" s="10" t="str">
        <f aca="false">IF($A3079="","",ROW())</f>
        <v/>
      </c>
    </row>
    <row r="3080" customFormat="false" ht="15" hidden="false" customHeight="true" outlineLevel="0" collapsed="false">
      <c r="A3080" s="8"/>
      <c r="B3080" s="8"/>
      <c r="C3080" s="8"/>
      <c r="D3080" s="8"/>
      <c r="E3080" s="8"/>
      <c r="F3080" s="8"/>
      <c r="G3080" s="10" t="str">
        <f aca="false">IF($A3080="","",UPPER(SUBSTITUTE(SUBSTITUTE(SUBSTITUTE(SUBSTITUTE($A3080," ",""),"(주)",""),"주식회사",""),"㈜","")))</f>
        <v/>
      </c>
      <c r="H3080" s="10" t="str">
        <f aca="false">IF($B3080="","",SUBSTITUTE(SUBSTITUTE(SUBSTITUTE($B3080,"-","")," ",""),".",""))</f>
        <v/>
      </c>
      <c r="I3080" s="10" t="str">
        <f aca="false">IF($D3080="","",SUBSTITUTE(SUBSTITUTE(SUBSTITUTE($D3080,"-","")," ",""),".",""))</f>
        <v/>
      </c>
      <c r="J3080" s="10" t="str">
        <f aca="false">IF($E3080="","",UPPER(SUBSTITUTE($E3080," ","")))</f>
        <v/>
      </c>
      <c r="K3080" s="10" t="str">
        <f aca="false">IF($A3080="","",$G3080&amp;"|"&amp;$J3080)</f>
        <v/>
      </c>
      <c r="L3080" s="10" t="str">
        <f aca="false">IF($A3080="","",ROW()-2)</f>
        <v/>
      </c>
      <c r="M3080" s="10" t="str">
        <f aca="false">IF($A3080="","",ROW())</f>
        <v/>
      </c>
    </row>
    <row r="3081" customFormat="false" ht="15" hidden="false" customHeight="true" outlineLevel="0" collapsed="false">
      <c r="A3081" s="8"/>
      <c r="B3081" s="8"/>
      <c r="C3081" s="8"/>
      <c r="D3081" s="8"/>
      <c r="E3081" s="8"/>
      <c r="F3081" s="8"/>
      <c r="G3081" s="10" t="str">
        <f aca="false">IF($A3081="","",UPPER(SUBSTITUTE(SUBSTITUTE(SUBSTITUTE(SUBSTITUTE($A3081," ",""),"(주)",""),"주식회사",""),"㈜","")))</f>
        <v/>
      </c>
      <c r="H3081" s="10" t="str">
        <f aca="false">IF($B3081="","",SUBSTITUTE(SUBSTITUTE(SUBSTITUTE($B3081,"-","")," ",""),".",""))</f>
        <v/>
      </c>
      <c r="I3081" s="10" t="str">
        <f aca="false">IF($D3081="","",SUBSTITUTE(SUBSTITUTE(SUBSTITUTE($D3081,"-","")," ",""),".",""))</f>
        <v/>
      </c>
      <c r="J3081" s="10" t="str">
        <f aca="false">IF($E3081="","",UPPER(SUBSTITUTE($E3081," ","")))</f>
        <v/>
      </c>
      <c r="K3081" s="10" t="str">
        <f aca="false">IF($A3081="","",$G3081&amp;"|"&amp;$J3081)</f>
        <v/>
      </c>
      <c r="L3081" s="10" t="str">
        <f aca="false">IF($A3081="","",ROW()-2)</f>
        <v/>
      </c>
      <c r="M3081" s="10" t="str">
        <f aca="false">IF($A3081="","",ROW())</f>
        <v/>
      </c>
    </row>
    <row r="3082" customFormat="false" ht="15" hidden="false" customHeight="true" outlineLevel="0" collapsed="false">
      <c r="A3082" s="8"/>
      <c r="B3082" s="8"/>
      <c r="C3082" s="8"/>
      <c r="D3082" s="8"/>
      <c r="E3082" s="8"/>
      <c r="F3082" s="8"/>
      <c r="G3082" s="10" t="str">
        <f aca="false">IF($A3082="","",UPPER(SUBSTITUTE(SUBSTITUTE(SUBSTITUTE(SUBSTITUTE($A3082," ",""),"(주)",""),"주식회사",""),"㈜","")))</f>
        <v/>
      </c>
      <c r="H3082" s="10" t="str">
        <f aca="false">IF($B3082="","",SUBSTITUTE(SUBSTITUTE(SUBSTITUTE($B3082,"-","")," ",""),".",""))</f>
        <v/>
      </c>
      <c r="I3082" s="10" t="str">
        <f aca="false">IF($D3082="","",SUBSTITUTE(SUBSTITUTE(SUBSTITUTE($D3082,"-","")," ",""),".",""))</f>
        <v/>
      </c>
      <c r="J3082" s="10" t="str">
        <f aca="false">IF($E3082="","",UPPER(SUBSTITUTE($E3082," ","")))</f>
        <v/>
      </c>
      <c r="K3082" s="10" t="str">
        <f aca="false">IF($A3082="","",$G3082&amp;"|"&amp;$J3082)</f>
        <v/>
      </c>
      <c r="L3082" s="10" t="str">
        <f aca="false">IF($A3082="","",ROW()-2)</f>
        <v/>
      </c>
      <c r="M3082" s="10" t="str">
        <f aca="false">IF($A3082="","",ROW())</f>
        <v/>
      </c>
    </row>
    <row r="3083" customFormat="false" ht="15" hidden="false" customHeight="true" outlineLevel="0" collapsed="false">
      <c r="A3083" s="8"/>
      <c r="B3083" s="8"/>
      <c r="C3083" s="8"/>
      <c r="D3083" s="8"/>
      <c r="E3083" s="8"/>
      <c r="F3083" s="8"/>
      <c r="G3083" s="10" t="str">
        <f aca="false">IF($A3083="","",UPPER(SUBSTITUTE(SUBSTITUTE(SUBSTITUTE(SUBSTITUTE($A3083," ",""),"(주)",""),"주식회사",""),"㈜","")))</f>
        <v/>
      </c>
      <c r="H3083" s="10" t="str">
        <f aca="false">IF($B3083="","",SUBSTITUTE(SUBSTITUTE(SUBSTITUTE($B3083,"-","")," ",""),".",""))</f>
        <v/>
      </c>
      <c r="I3083" s="10" t="str">
        <f aca="false">IF($D3083="","",SUBSTITUTE(SUBSTITUTE(SUBSTITUTE($D3083,"-","")," ",""),".",""))</f>
        <v/>
      </c>
      <c r="J3083" s="10" t="str">
        <f aca="false">IF($E3083="","",UPPER(SUBSTITUTE($E3083," ","")))</f>
        <v/>
      </c>
      <c r="K3083" s="10" t="str">
        <f aca="false">IF($A3083="","",$G3083&amp;"|"&amp;$J3083)</f>
        <v/>
      </c>
      <c r="L3083" s="10" t="str">
        <f aca="false">IF($A3083="","",ROW()-2)</f>
        <v/>
      </c>
      <c r="M3083" s="10" t="str">
        <f aca="false">IF($A3083="","",ROW())</f>
        <v/>
      </c>
    </row>
    <row r="3084" customFormat="false" ht="15" hidden="false" customHeight="true" outlineLevel="0" collapsed="false">
      <c r="A3084" s="8"/>
      <c r="B3084" s="8"/>
      <c r="C3084" s="8"/>
      <c r="D3084" s="8"/>
      <c r="E3084" s="8"/>
      <c r="F3084" s="8"/>
      <c r="G3084" s="10" t="str">
        <f aca="false">IF($A3084="","",UPPER(SUBSTITUTE(SUBSTITUTE(SUBSTITUTE(SUBSTITUTE($A3084," ",""),"(주)",""),"주식회사",""),"㈜","")))</f>
        <v/>
      </c>
      <c r="H3084" s="10" t="str">
        <f aca="false">IF($B3084="","",SUBSTITUTE(SUBSTITUTE(SUBSTITUTE($B3084,"-","")," ",""),".",""))</f>
        <v/>
      </c>
      <c r="I3084" s="10" t="str">
        <f aca="false">IF($D3084="","",SUBSTITUTE(SUBSTITUTE(SUBSTITUTE($D3084,"-","")," ",""),".",""))</f>
        <v/>
      </c>
      <c r="J3084" s="10" t="str">
        <f aca="false">IF($E3084="","",UPPER(SUBSTITUTE($E3084," ","")))</f>
        <v/>
      </c>
      <c r="K3084" s="10" t="str">
        <f aca="false">IF($A3084="","",$G3084&amp;"|"&amp;$J3084)</f>
        <v/>
      </c>
      <c r="L3084" s="10" t="str">
        <f aca="false">IF($A3084="","",ROW()-2)</f>
        <v/>
      </c>
      <c r="M3084" s="10" t="str">
        <f aca="false">IF($A3084="","",ROW())</f>
        <v/>
      </c>
    </row>
    <row r="3085" customFormat="false" ht="15" hidden="false" customHeight="true" outlineLevel="0" collapsed="false">
      <c r="A3085" s="8"/>
      <c r="B3085" s="8"/>
      <c r="C3085" s="8"/>
      <c r="D3085" s="8"/>
      <c r="E3085" s="8"/>
      <c r="F3085" s="8"/>
      <c r="G3085" s="10" t="str">
        <f aca="false">IF($A3085="","",UPPER(SUBSTITUTE(SUBSTITUTE(SUBSTITUTE(SUBSTITUTE($A3085," ",""),"(주)",""),"주식회사",""),"㈜","")))</f>
        <v/>
      </c>
      <c r="H3085" s="10" t="str">
        <f aca="false">IF($B3085="","",SUBSTITUTE(SUBSTITUTE(SUBSTITUTE($B3085,"-","")," ",""),".",""))</f>
        <v/>
      </c>
      <c r="I3085" s="10" t="str">
        <f aca="false">IF($D3085="","",SUBSTITUTE(SUBSTITUTE(SUBSTITUTE($D3085,"-","")," ",""),".",""))</f>
        <v/>
      </c>
      <c r="J3085" s="10" t="str">
        <f aca="false">IF($E3085="","",UPPER(SUBSTITUTE($E3085," ","")))</f>
        <v/>
      </c>
      <c r="K3085" s="10" t="str">
        <f aca="false">IF($A3085="","",$G3085&amp;"|"&amp;$J3085)</f>
        <v/>
      </c>
      <c r="L3085" s="10" t="str">
        <f aca="false">IF($A3085="","",ROW()-2)</f>
        <v/>
      </c>
      <c r="M3085" s="10" t="str">
        <f aca="false">IF($A3085="","",ROW())</f>
        <v/>
      </c>
    </row>
    <row r="3086" customFormat="false" ht="15" hidden="false" customHeight="true" outlineLevel="0" collapsed="false">
      <c r="A3086" s="8"/>
      <c r="B3086" s="8"/>
      <c r="C3086" s="8"/>
      <c r="D3086" s="8"/>
      <c r="E3086" s="8"/>
      <c r="F3086" s="8"/>
      <c r="G3086" s="10" t="str">
        <f aca="false">IF($A3086="","",UPPER(SUBSTITUTE(SUBSTITUTE(SUBSTITUTE(SUBSTITUTE($A3086," ",""),"(주)",""),"주식회사",""),"㈜","")))</f>
        <v/>
      </c>
      <c r="H3086" s="10" t="str">
        <f aca="false">IF($B3086="","",SUBSTITUTE(SUBSTITUTE(SUBSTITUTE($B3086,"-","")," ",""),".",""))</f>
        <v/>
      </c>
      <c r="I3086" s="10" t="str">
        <f aca="false">IF($D3086="","",SUBSTITUTE(SUBSTITUTE(SUBSTITUTE($D3086,"-","")," ",""),".",""))</f>
        <v/>
      </c>
      <c r="J3086" s="10" t="str">
        <f aca="false">IF($E3086="","",UPPER(SUBSTITUTE($E3086," ","")))</f>
        <v/>
      </c>
      <c r="K3086" s="10" t="str">
        <f aca="false">IF($A3086="","",$G3086&amp;"|"&amp;$J3086)</f>
        <v/>
      </c>
      <c r="L3086" s="10" t="str">
        <f aca="false">IF($A3086="","",ROW()-2)</f>
        <v/>
      </c>
      <c r="M3086" s="10" t="str">
        <f aca="false">IF($A3086="","",ROW())</f>
        <v/>
      </c>
    </row>
    <row r="3087" customFormat="false" ht="15" hidden="false" customHeight="true" outlineLevel="0" collapsed="false">
      <c r="A3087" s="8"/>
      <c r="B3087" s="8"/>
      <c r="C3087" s="8"/>
      <c r="D3087" s="8"/>
      <c r="E3087" s="8"/>
      <c r="F3087" s="8"/>
      <c r="G3087" s="10" t="str">
        <f aca="false">IF($A3087="","",UPPER(SUBSTITUTE(SUBSTITUTE(SUBSTITUTE(SUBSTITUTE($A3087," ",""),"(주)",""),"주식회사",""),"㈜","")))</f>
        <v/>
      </c>
      <c r="H3087" s="10" t="str">
        <f aca="false">IF($B3087="","",SUBSTITUTE(SUBSTITUTE(SUBSTITUTE($B3087,"-","")," ",""),".",""))</f>
        <v/>
      </c>
      <c r="I3087" s="10" t="str">
        <f aca="false">IF($D3087="","",SUBSTITUTE(SUBSTITUTE(SUBSTITUTE($D3087,"-","")," ",""),".",""))</f>
        <v/>
      </c>
      <c r="J3087" s="10" t="str">
        <f aca="false">IF($E3087="","",UPPER(SUBSTITUTE($E3087," ","")))</f>
        <v/>
      </c>
      <c r="K3087" s="10" t="str">
        <f aca="false">IF($A3087="","",$G3087&amp;"|"&amp;$J3087)</f>
        <v/>
      </c>
      <c r="L3087" s="10" t="str">
        <f aca="false">IF($A3087="","",ROW()-2)</f>
        <v/>
      </c>
      <c r="M3087" s="10" t="str">
        <f aca="false">IF($A3087="","",ROW())</f>
        <v/>
      </c>
    </row>
    <row r="3088" customFormat="false" ht="15" hidden="false" customHeight="true" outlineLevel="0" collapsed="false">
      <c r="A3088" s="8"/>
      <c r="B3088" s="8"/>
      <c r="C3088" s="8"/>
      <c r="D3088" s="8"/>
      <c r="E3088" s="8"/>
      <c r="F3088" s="8"/>
      <c r="G3088" s="10" t="str">
        <f aca="false">IF($A3088="","",UPPER(SUBSTITUTE(SUBSTITUTE(SUBSTITUTE(SUBSTITUTE($A3088," ",""),"(주)",""),"주식회사",""),"㈜","")))</f>
        <v/>
      </c>
      <c r="H3088" s="10" t="str">
        <f aca="false">IF($B3088="","",SUBSTITUTE(SUBSTITUTE(SUBSTITUTE($B3088,"-","")," ",""),".",""))</f>
        <v/>
      </c>
      <c r="I3088" s="10" t="str">
        <f aca="false">IF($D3088="","",SUBSTITUTE(SUBSTITUTE(SUBSTITUTE($D3088,"-","")," ",""),".",""))</f>
        <v/>
      </c>
      <c r="J3088" s="10" t="str">
        <f aca="false">IF($E3088="","",UPPER(SUBSTITUTE($E3088," ","")))</f>
        <v/>
      </c>
      <c r="K3088" s="10" t="str">
        <f aca="false">IF($A3088="","",$G3088&amp;"|"&amp;$J3088)</f>
        <v/>
      </c>
      <c r="L3088" s="10" t="str">
        <f aca="false">IF($A3088="","",ROW()-2)</f>
        <v/>
      </c>
      <c r="M3088" s="10" t="str">
        <f aca="false">IF($A3088="","",ROW())</f>
        <v/>
      </c>
    </row>
    <row r="3089" customFormat="false" ht="15" hidden="false" customHeight="true" outlineLevel="0" collapsed="false">
      <c r="A3089" s="8"/>
      <c r="B3089" s="8"/>
      <c r="C3089" s="8"/>
      <c r="D3089" s="8"/>
      <c r="E3089" s="8"/>
      <c r="F3089" s="8"/>
      <c r="G3089" s="10" t="str">
        <f aca="false">IF($A3089="","",UPPER(SUBSTITUTE(SUBSTITUTE(SUBSTITUTE(SUBSTITUTE($A3089," ",""),"(주)",""),"주식회사",""),"㈜","")))</f>
        <v/>
      </c>
      <c r="H3089" s="10" t="str">
        <f aca="false">IF($B3089="","",SUBSTITUTE(SUBSTITUTE(SUBSTITUTE($B3089,"-","")," ",""),".",""))</f>
        <v/>
      </c>
      <c r="I3089" s="10" t="str">
        <f aca="false">IF($D3089="","",SUBSTITUTE(SUBSTITUTE(SUBSTITUTE($D3089,"-","")," ",""),".",""))</f>
        <v/>
      </c>
      <c r="J3089" s="10" t="str">
        <f aca="false">IF($E3089="","",UPPER(SUBSTITUTE($E3089," ","")))</f>
        <v/>
      </c>
      <c r="K3089" s="10" t="str">
        <f aca="false">IF($A3089="","",$G3089&amp;"|"&amp;$J3089)</f>
        <v/>
      </c>
      <c r="L3089" s="10" t="str">
        <f aca="false">IF($A3089="","",ROW()-2)</f>
        <v/>
      </c>
      <c r="M3089" s="10" t="str">
        <f aca="false">IF($A3089="","",ROW())</f>
        <v/>
      </c>
    </row>
    <row r="3090" customFormat="false" ht="15" hidden="false" customHeight="true" outlineLevel="0" collapsed="false">
      <c r="A3090" s="8"/>
      <c r="B3090" s="8"/>
      <c r="C3090" s="8"/>
      <c r="D3090" s="8"/>
      <c r="E3090" s="8"/>
      <c r="F3090" s="8"/>
      <c r="G3090" s="10" t="str">
        <f aca="false">IF($A3090="","",UPPER(SUBSTITUTE(SUBSTITUTE(SUBSTITUTE(SUBSTITUTE($A3090," ",""),"(주)",""),"주식회사",""),"㈜","")))</f>
        <v/>
      </c>
      <c r="H3090" s="10" t="str">
        <f aca="false">IF($B3090="","",SUBSTITUTE(SUBSTITUTE(SUBSTITUTE($B3090,"-","")," ",""),".",""))</f>
        <v/>
      </c>
      <c r="I3090" s="10" t="str">
        <f aca="false">IF($D3090="","",SUBSTITUTE(SUBSTITUTE(SUBSTITUTE($D3090,"-","")," ",""),".",""))</f>
        <v/>
      </c>
      <c r="J3090" s="10" t="str">
        <f aca="false">IF($E3090="","",UPPER(SUBSTITUTE($E3090," ","")))</f>
        <v/>
      </c>
      <c r="K3090" s="10" t="str">
        <f aca="false">IF($A3090="","",$G3090&amp;"|"&amp;$J3090)</f>
        <v/>
      </c>
      <c r="L3090" s="10" t="str">
        <f aca="false">IF($A3090="","",ROW()-2)</f>
        <v/>
      </c>
      <c r="M3090" s="10" t="str">
        <f aca="false">IF($A3090="","",ROW())</f>
        <v/>
      </c>
    </row>
    <row r="3091" customFormat="false" ht="15" hidden="false" customHeight="true" outlineLevel="0" collapsed="false">
      <c r="A3091" s="8"/>
      <c r="B3091" s="8"/>
      <c r="C3091" s="8"/>
      <c r="D3091" s="8"/>
      <c r="E3091" s="8"/>
      <c r="F3091" s="8"/>
      <c r="G3091" s="10" t="str">
        <f aca="false">IF($A3091="","",UPPER(SUBSTITUTE(SUBSTITUTE(SUBSTITUTE(SUBSTITUTE($A3091," ",""),"(주)",""),"주식회사",""),"㈜","")))</f>
        <v/>
      </c>
      <c r="H3091" s="10" t="str">
        <f aca="false">IF($B3091="","",SUBSTITUTE(SUBSTITUTE(SUBSTITUTE($B3091,"-","")," ",""),".",""))</f>
        <v/>
      </c>
      <c r="I3091" s="10" t="str">
        <f aca="false">IF($D3091="","",SUBSTITUTE(SUBSTITUTE(SUBSTITUTE($D3091,"-","")," ",""),".",""))</f>
        <v/>
      </c>
      <c r="J3091" s="10" t="str">
        <f aca="false">IF($E3091="","",UPPER(SUBSTITUTE($E3091," ","")))</f>
        <v/>
      </c>
      <c r="K3091" s="10" t="str">
        <f aca="false">IF($A3091="","",$G3091&amp;"|"&amp;$J3091)</f>
        <v/>
      </c>
      <c r="L3091" s="10" t="str">
        <f aca="false">IF($A3091="","",ROW()-2)</f>
        <v/>
      </c>
      <c r="M3091" s="10" t="str">
        <f aca="false">IF($A3091="","",ROW())</f>
        <v/>
      </c>
    </row>
    <row r="3092" customFormat="false" ht="15" hidden="false" customHeight="true" outlineLevel="0" collapsed="false">
      <c r="A3092" s="8"/>
      <c r="B3092" s="8"/>
      <c r="C3092" s="8"/>
      <c r="D3092" s="8"/>
      <c r="E3092" s="8"/>
      <c r="F3092" s="8"/>
      <c r="G3092" s="10" t="str">
        <f aca="false">IF($A3092="","",UPPER(SUBSTITUTE(SUBSTITUTE(SUBSTITUTE(SUBSTITUTE($A3092," ",""),"(주)",""),"주식회사",""),"㈜","")))</f>
        <v/>
      </c>
      <c r="H3092" s="10" t="str">
        <f aca="false">IF($B3092="","",SUBSTITUTE(SUBSTITUTE(SUBSTITUTE($B3092,"-","")," ",""),".",""))</f>
        <v/>
      </c>
      <c r="I3092" s="10" t="str">
        <f aca="false">IF($D3092="","",SUBSTITUTE(SUBSTITUTE(SUBSTITUTE($D3092,"-","")," ",""),".",""))</f>
        <v/>
      </c>
      <c r="J3092" s="10" t="str">
        <f aca="false">IF($E3092="","",UPPER(SUBSTITUTE($E3092," ","")))</f>
        <v/>
      </c>
      <c r="K3092" s="10" t="str">
        <f aca="false">IF($A3092="","",$G3092&amp;"|"&amp;$J3092)</f>
        <v/>
      </c>
      <c r="L3092" s="10" t="str">
        <f aca="false">IF($A3092="","",ROW()-2)</f>
        <v/>
      </c>
      <c r="M3092" s="10" t="str">
        <f aca="false">IF($A3092="","",ROW())</f>
        <v/>
      </c>
    </row>
    <row r="3093" customFormat="false" ht="15" hidden="false" customHeight="true" outlineLevel="0" collapsed="false">
      <c r="A3093" s="8"/>
      <c r="B3093" s="8"/>
      <c r="C3093" s="8"/>
      <c r="D3093" s="8"/>
      <c r="E3093" s="8"/>
      <c r="F3093" s="8"/>
      <c r="G3093" s="10" t="str">
        <f aca="false">IF($A3093="","",UPPER(SUBSTITUTE(SUBSTITUTE(SUBSTITUTE(SUBSTITUTE($A3093," ",""),"(주)",""),"주식회사",""),"㈜","")))</f>
        <v/>
      </c>
      <c r="H3093" s="10" t="str">
        <f aca="false">IF($B3093="","",SUBSTITUTE(SUBSTITUTE(SUBSTITUTE($B3093,"-","")," ",""),".",""))</f>
        <v/>
      </c>
      <c r="I3093" s="10" t="str">
        <f aca="false">IF($D3093="","",SUBSTITUTE(SUBSTITUTE(SUBSTITUTE($D3093,"-","")," ",""),".",""))</f>
        <v/>
      </c>
      <c r="J3093" s="10" t="str">
        <f aca="false">IF($E3093="","",UPPER(SUBSTITUTE($E3093," ","")))</f>
        <v/>
      </c>
      <c r="K3093" s="10" t="str">
        <f aca="false">IF($A3093="","",$G3093&amp;"|"&amp;$J3093)</f>
        <v/>
      </c>
      <c r="L3093" s="10" t="str">
        <f aca="false">IF($A3093="","",ROW()-2)</f>
        <v/>
      </c>
      <c r="M3093" s="10" t="str">
        <f aca="false">IF($A3093="","",ROW())</f>
        <v/>
      </c>
    </row>
    <row r="3094" customFormat="false" ht="15" hidden="false" customHeight="true" outlineLevel="0" collapsed="false">
      <c r="A3094" s="8"/>
      <c r="B3094" s="8"/>
      <c r="C3094" s="8"/>
      <c r="D3094" s="8"/>
      <c r="E3094" s="8"/>
      <c r="F3094" s="8"/>
      <c r="G3094" s="10" t="str">
        <f aca="false">IF($A3094="","",UPPER(SUBSTITUTE(SUBSTITUTE(SUBSTITUTE(SUBSTITUTE($A3094," ",""),"(주)",""),"주식회사",""),"㈜","")))</f>
        <v/>
      </c>
      <c r="H3094" s="10" t="str">
        <f aca="false">IF($B3094="","",SUBSTITUTE(SUBSTITUTE(SUBSTITUTE($B3094,"-","")," ",""),".",""))</f>
        <v/>
      </c>
      <c r="I3094" s="10" t="str">
        <f aca="false">IF($D3094="","",SUBSTITUTE(SUBSTITUTE(SUBSTITUTE($D3094,"-","")," ",""),".",""))</f>
        <v/>
      </c>
      <c r="J3094" s="10" t="str">
        <f aca="false">IF($E3094="","",UPPER(SUBSTITUTE($E3094," ","")))</f>
        <v/>
      </c>
      <c r="K3094" s="10" t="str">
        <f aca="false">IF($A3094="","",$G3094&amp;"|"&amp;$J3094)</f>
        <v/>
      </c>
      <c r="L3094" s="10" t="str">
        <f aca="false">IF($A3094="","",ROW()-2)</f>
        <v/>
      </c>
      <c r="M3094" s="10" t="str">
        <f aca="false">IF($A3094="","",ROW())</f>
        <v/>
      </c>
    </row>
    <row r="3095" customFormat="false" ht="15" hidden="false" customHeight="true" outlineLevel="0" collapsed="false">
      <c r="A3095" s="8"/>
      <c r="B3095" s="8"/>
      <c r="C3095" s="8"/>
      <c r="D3095" s="8"/>
      <c r="E3095" s="8"/>
      <c r="F3095" s="8"/>
      <c r="G3095" s="10" t="str">
        <f aca="false">IF($A3095="","",UPPER(SUBSTITUTE(SUBSTITUTE(SUBSTITUTE(SUBSTITUTE($A3095," ",""),"(주)",""),"주식회사",""),"㈜","")))</f>
        <v/>
      </c>
      <c r="H3095" s="10" t="str">
        <f aca="false">IF($B3095="","",SUBSTITUTE(SUBSTITUTE(SUBSTITUTE($B3095,"-","")," ",""),".",""))</f>
        <v/>
      </c>
      <c r="I3095" s="10" t="str">
        <f aca="false">IF($D3095="","",SUBSTITUTE(SUBSTITUTE(SUBSTITUTE($D3095,"-","")," ",""),".",""))</f>
        <v/>
      </c>
      <c r="J3095" s="10" t="str">
        <f aca="false">IF($E3095="","",UPPER(SUBSTITUTE($E3095," ","")))</f>
        <v/>
      </c>
      <c r="K3095" s="10" t="str">
        <f aca="false">IF($A3095="","",$G3095&amp;"|"&amp;$J3095)</f>
        <v/>
      </c>
      <c r="L3095" s="10" t="str">
        <f aca="false">IF($A3095="","",ROW()-2)</f>
        <v/>
      </c>
      <c r="M3095" s="10" t="str">
        <f aca="false">IF($A3095="","",ROW())</f>
        <v/>
      </c>
    </row>
    <row r="3096" customFormat="false" ht="15" hidden="false" customHeight="true" outlineLevel="0" collapsed="false">
      <c r="A3096" s="8"/>
      <c r="B3096" s="8"/>
      <c r="C3096" s="8"/>
      <c r="D3096" s="8"/>
      <c r="E3096" s="8"/>
      <c r="F3096" s="8"/>
      <c r="G3096" s="10" t="str">
        <f aca="false">IF($A3096="","",UPPER(SUBSTITUTE(SUBSTITUTE(SUBSTITUTE(SUBSTITUTE($A3096," ",""),"(주)",""),"주식회사",""),"㈜","")))</f>
        <v/>
      </c>
      <c r="H3096" s="10" t="str">
        <f aca="false">IF($B3096="","",SUBSTITUTE(SUBSTITUTE(SUBSTITUTE($B3096,"-","")," ",""),".",""))</f>
        <v/>
      </c>
      <c r="I3096" s="10" t="str">
        <f aca="false">IF($D3096="","",SUBSTITUTE(SUBSTITUTE(SUBSTITUTE($D3096,"-","")," ",""),".",""))</f>
        <v/>
      </c>
      <c r="J3096" s="10" t="str">
        <f aca="false">IF($E3096="","",UPPER(SUBSTITUTE($E3096," ","")))</f>
        <v/>
      </c>
      <c r="K3096" s="10" t="str">
        <f aca="false">IF($A3096="","",$G3096&amp;"|"&amp;$J3096)</f>
        <v/>
      </c>
      <c r="L3096" s="10" t="str">
        <f aca="false">IF($A3096="","",ROW()-2)</f>
        <v/>
      </c>
      <c r="M3096" s="10" t="str">
        <f aca="false">IF($A3096="","",ROW())</f>
        <v/>
      </c>
    </row>
    <row r="3097" customFormat="false" ht="15" hidden="false" customHeight="true" outlineLevel="0" collapsed="false">
      <c r="A3097" s="8"/>
      <c r="B3097" s="8"/>
      <c r="C3097" s="8"/>
      <c r="D3097" s="8"/>
      <c r="E3097" s="8"/>
      <c r="F3097" s="8"/>
      <c r="G3097" s="10" t="str">
        <f aca="false">IF($A3097="","",UPPER(SUBSTITUTE(SUBSTITUTE(SUBSTITUTE(SUBSTITUTE($A3097," ",""),"(주)",""),"주식회사",""),"㈜","")))</f>
        <v/>
      </c>
      <c r="H3097" s="10" t="str">
        <f aca="false">IF($B3097="","",SUBSTITUTE(SUBSTITUTE(SUBSTITUTE($B3097,"-","")," ",""),".",""))</f>
        <v/>
      </c>
      <c r="I3097" s="10" t="str">
        <f aca="false">IF($D3097="","",SUBSTITUTE(SUBSTITUTE(SUBSTITUTE($D3097,"-","")," ",""),".",""))</f>
        <v/>
      </c>
      <c r="J3097" s="10" t="str">
        <f aca="false">IF($E3097="","",UPPER(SUBSTITUTE($E3097," ","")))</f>
        <v/>
      </c>
      <c r="K3097" s="10" t="str">
        <f aca="false">IF($A3097="","",$G3097&amp;"|"&amp;$J3097)</f>
        <v/>
      </c>
      <c r="L3097" s="10" t="str">
        <f aca="false">IF($A3097="","",ROW()-2)</f>
        <v/>
      </c>
      <c r="M3097" s="10" t="str">
        <f aca="false">IF($A3097="","",ROW())</f>
        <v/>
      </c>
    </row>
    <row r="3098" customFormat="false" ht="15" hidden="false" customHeight="true" outlineLevel="0" collapsed="false">
      <c r="A3098" s="8"/>
      <c r="B3098" s="8"/>
      <c r="C3098" s="8"/>
      <c r="D3098" s="8"/>
      <c r="E3098" s="8"/>
      <c r="F3098" s="8"/>
      <c r="G3098" s="10" t="str">
        <f aca="false">IF($A3098="","",UPPER(SUBSTITUTE(SUBSTITUTE(SUBSTITUTE(SUBSTITUTE($A3098," ",""),"(주)",""),"주식회사",""),"㈜","")))</f>
        <v/>
      </c>
      <c r="H3098" s="10" t="str">
        <f aca="false">IF($B3098="","",SUBSTITUTE(SUBSTITUTE(SUBSTITUTE($B3098,"-","")," ",""),".",""))</f>
        <v/>
      </c>
      <c r="I3098" s="10" t="str">
        <f aca="false">IF($D3098="","",SUBSTITUTE(SUBSTITUTE(SUBSTITUTE($D3098,"-","")," ",""),".",""))</f>
        <v/>
      </c>
      <c r="J3098" s="10" t="str">
        <f aca="false">IF($E3098="","",UPPER(SUBSTITUTE($E3098," ","")))</f>
        <v/>
      </c>
      <c r="K3098" s="10" t="str">
        <f aca="false">IF($A3098="","",$G3098&amp;"|"&amp;$J3098)</f>
        <v/>
      </c>
      <c r="L3098" s="10" t="str">
        <f aca="false">IF($A3098="","",ROW()-2)</f>
        <v/>
      </c>
      <c r="M3098" s="10" t="str">
        <f aca="false">IF($A3098="","",ROW())</f>
        <v/>
      </c>
    </row>
    <row r="3099" customFormat="false" ht="15" hidden="false" customHeight="true" outlineLevel="0" collapsed="false">
      <c r="A3099" s="8"/>
      <c r="B3099" s="8"/>
      <c r="C3099" s="8"/>
      <c r="D3099" s="8"/>
      <c r="E3099" s="8"/>
      <c r="F3099" s="8"/>
      <c r="G3099" s="10" t="str">
        <f aca="false">IF($A3099="","",UPPER(SUBSTITUTE(SUBSTITUTE(SUBSTITUTE(SUBSTITUTE($A3099," ",""),"(주)",""),"주식회사",""),"㈜","")))</f>
        <v/>
      </c>
      <c r="H3099" s="10" t="str">
        <f aca="false">IF($B3099="","",SUBSTITUTE(SUBSTITUTE(SUBSTITUTE($B3099,"-","")," ",""),".",""))</f>
        <v/>
      </c>
      <c r="I3099" s="10" t="str">
        <f aca="false">IF($D3099="","",SUBSTITUTE(SUBSTITUTE(SUBSTITUTE($D3099,"-","")," ",""),".",""))</f>
        <v/>
      </c>
      <c r="J3099" s="10" t="str">
        <f aca="false">IF($E3099="","",UPPER(SUBSTITUTE($E3099," ","")))</f>
        <v/>
      </c>
      <c r="K3099" s="10" t="str">
        <f aca="false">IF($A3099="","",$G3099&amp;"|"&amp;$J3099)</f>
        <v/>
      </c>
      <c r="L3099" s="10" t="str">
        <f aca="false">IF($A3099="","",ROW()-2)</f>
        <v/>
      </c>
      <c r="M3099" s="10" t="str">
        <f aca="false">IF($A3099="","",ROW())</f>
        <v/>
      </c>
    </row>
    <row r="3100" customFormat="false" ht="15" hidden="false" customHeight="true" outlineLevel="0" collapsed="false">
      <c r="A3100" s="8"/>
      <c r="B3100" s="8"/>
      <c r="C3100" s="8"/>
      <c r="D3100" s="8"/>
      <c r="E3100" s="8"/>
      <c r="F3100" s="8"/>
      <c r="G3100" s="10" t="str">
        <f aca="false">IF($A3100="","",UPPER(SUBSTITUTE(SUBSTITUTE(SUBSTITUTE(SUBSTITUTE($A3100," ",""),"(주)",""),"주식회사",""),"㈜","")))</f>
        <v/>
      </c>
      <c r="H3100" s="10" t="str">
        <f aca="false">IF($B3100="","",SUBSTITUTE(SUBSTITUTE(SUBSTITUTE($B3100,"-","")," ",""),".",""))</f>
        <v/>
      </c>
      <c r="I3100" s="10" t="str">
        <f aca="false">IF($D3100="","",SUBSTITUTE(SUBSTITUTE(SUBSTITUTE($D3100,"-","")," ",""),".",""))</f>
        <v/>
      </c>
      <c r="J3100" s="10" t="str">
        <f aca="false">IF($E3100="","",UPPER(SUBSTITUTE($E3100," ","")))</f>
        <v/>
      </c>
      <c r="K3100" s="10" t="str">
        <f aca="false">IF($A3100="","",$G3100&amp;"|"&amp;$J3100)</f>
        <v/>
      </c>
      <c r="L3100" s="10" t="str">
        <f aca="false">IF($A3100="","",ROW()-2)</f>
        <v/>
      </c>
      <c r="M3100" s="10" t="str">
        <f aca="false">IF($A3100="","",ROW())</f>
        <v/>
      </c>
    </row>
    <row r="3101" customFormat="false" ht="15" hidden="false" customHeight="true" outlineLevel="0" collapsed="false">
      <c r="A3101" s="8"/>
      <c r="B3101" s="8"/>
      <c r="C3101" s="8"/>
      <c r="D3101" s="8"/>
      <c r="E3101" s="8"/>
      <c r="F3101" s="8"/>
      <c r="G3101" s="10" t="str">
        <f aca="false">IF($A3101="","",UPPER(SUBSTITUTE(SUBSTITUTE(SUBSTITUTE(SUBSTITUTE($A3101," ",""),"(주)",""),"주식회사",""),"㈜","")))</f>
        <v/>
      </c>
      <c r="H3101" s="10" t="str">
        <f aca="false">IF($B3101="","",SUBSTITUTE(SUBSTITUTE(SUBSTITUTE($B3101,"-","")," ",""),".",""))</f>
        <v/>
      </c>
      <c r="I3101" s="10" t="str">
        <f aca="false">IF($D3101="","",SUBSTITUTE(SUBSTITUTE(SUBSTITUTE($D3101,"-","")," ",""),".",""))</f>
        <v/>
      </c>
      <c r="J3101" s="10" t="str">
        <f aca="false">IF($E3101="","",UPPER(SUBSTITUTE($E3101," ","")))</f>
        <v/>
      </c>
      <c r="K3101" s="10" t="str">
        <f aca="false">IF($A3101="","",$G3101&amp;"|"&amp;$J3101)</f>
        <v/>
      </c>
      <c r="L3101" s="10" t="str">
        <f aca="false">IF($A3101="","",ROW()-2)</f>
        <v/>
      </c>
      <c r="M3101" s="10" t="str">
        <f aca="false">IF($A3101="","",ROW())</f>
        <v/>
      </c>
    </row>
    <row r="3102" customFormat="false" ht="15" hidden="false" customHeight="true" outlineLevel="0" collapsed="false">
      <c r="A3102" s="8"/>
      <c r="B3102" s="8"/>
      <c r="C3102" s="8"/>
      <c r="D3102" s="8"/>
      <c r="E3102" s="8"/>
      <c r="F3102" s="8"/>
      <c r="G3102" s="10" t="str">
        <f aca="false">IF($A3102="","",UPPER(SUBSTITUTE(SUBSTITUTE(SUBSTITUTE(SUBSTITUTE($A3102," ",""),"(주)",""),"주식회사",""),"㈜","")))</f>
        <v/>
      </c>
      <c r="H3102" s="10" t="str">
        <f aca="false">IF($B3102="","",SUBSTITUTE(SUBSTITUTE(SUBSTITUTE($B3102,"-","")," ",""),".",""))</f>
        <v/>
      </c>
      <c r="I3102" s="10" t="str">
        <f aca="false">IF($D3102="","",SUBSTITUTE(SUBSTITUTE(SUBSTITUTE($D3102,"-","")," ",""),".",""))</f>
        <v/>
      </c>
      <c r="J3102" s="10" t="str">
        <f aca="false">IF($E3102="","",UPPER(SUBSTITUTE($E3102," ","")))</f>
        <v/>
      </c>
      <c r="K3102" s="10" t="str">
        <f aca="false">IF($A3102="","",$G3102&amp;"|"&amp;$J3102)</f>
        <v/>
      </c>
      <c r="L3102" s="10" t="str">
        <f aca="false">IF($A3102="","",ROW()-2)</f>
        <v/>
      </c>
      <c r="M3102" s="10" t="str">
        <f aca="false">IF($A3102="","",ROW())</f>
        <v/>
      </c>
    </row>
    <row r="3103" customFormat="false" ht="15" hidden="false" customHeight="true" outlineLevel="0" collapsed="false">
      <c r="A3103" s="8"/>
      <c r="B3103" s="8"/>
      <c r="C3103" s="8"/>
      <c r="D3103" s="8"/>
      <c r="E3103" s="8"/>
      <c r="F3103" s="8"/>
      <c r="G3103" s="10" t="str">
        <f aca="false">IF($A3103="","",UPPER(SUBSTITUTE(SUBSTITUTE(SUBSTITUTE(SUBSTITUTE($A3103," ",""),"(주)",""),"주식회사",""),"㈜","")))</f>
        <v/>
      </c>
      <c r="H3103" s="10" t="str">
        <f aca="false">IF($B3103="","",SUBSTITUTE(SUBSTITUTE(SUBSTITUTE($B3103,"-","")," ",""),".",""))</f>
        <v/>
      </c>
      <c r="I3103" s="10" t="str">
        <f aca="false">IF($D3103="","",SUBSTITUTE(SUBSTITUTE(SUBSTITUTE($D3103,"-","")," ",""),".",""))</f>
        <v/>
      </c>
      <c r="J3103" s="10" t="str">
        <f aca="false">IF($E3103="","",UPPER(SUBSTITUTE($E3103," ","")))</f>
        <v/>
      </c>
      <c r="K3103" s="10" t="str">
        <f aca="false">IF($A3103="","",$G3103&amp;"|"&amp;$J3103)</f>
        <v/>
      </c>
      <c r="L3103" s="10" t="str">
        <f aca="false">IF($A3103="","",ROW()-2)</f>
        <v/>
      </c>
      <c r="M3103" s="10" t="str">
        <f aca="false">IF($A3103="","",ROW())</f>
        <v/>
      </c>
    </row>
    <row r="3104" customFormat="false" ht="15" hidden="false" customHeight="true" outlineLevel="0" collapsed="false">
      <c r="A3104" s="8"/>
      <c r="B3104" s="8"/>
      <c r="C3104" s="8"/>
      <c r="D3104" s="8"/>
      <c r="E3104" s="8"/>
      <c r="F3104" s="8"/>
      <c r="G3104" s="10" t="str">
        <f aca="false">IF($A3104="","",UPPER(SUBSTITUTE(SUBSTITUTE(SUBSTITUTE(SUBSTITUTE($A3104," ",""),"(주)",""),"주식회사",""),"㈜","")))</f>
        <v/>
      </c>
      <c r="H3104" s="10" t="str">
        <f aca="false">IF($B3104="","",SUBSTITUTE(SUBSTITUTE(SUBSTITUTE($B3104,"-","")," ",""),".",""))</f>
        <v/>
      </c>
      <c r="I3104" s="10" t="str">
        <f aca="false">IF($D3104="","",SUBSTITUTE(SUBSTITUTE(SUBSTITUTE($D3104,"-","")," ",""),".",""))</f>
        <v/>
      </c>
      <c r="J3104" s="10" t="str">
        <f aca="false">IF($E3104="","",UPPER(SUBSTITUTE($E3104," ","")))</f>
        <v/>
      </c>
      <c r="K3104" s="10" t="str">
        <f aca="false">IF($A3104="","",$G3104&amp;"|"&amp;$J3104)</f>
        <v/>
      </c>
      <c r="L3104" s="10" t="str">
        <f aca="false">IF($A3104="","",ROW()-2)</f>
        <v/>
      </c>
      <c r="M3104" s="10" t="str">
        <f aca="false">IF($A3104="","",ROW())</f>
        <v/>
      </c>
    </row>
    <row r="3105" customFormat="false" ht="15" hidden="false" customHeight="true" outlineLevel="0" collapsed="false">
      <c r="A3105" s="8"/>
      <c r="B3105" s="8"/>
      <c r="C3105" s="8"/>
      <c r="D3105" s="8"/>
      <c r="E3105" s="8"/>
      <c r="F3105" s="8"/>
      <c r="G3105" s="10" t="str">
        <f aca="false">IF($A3105="","",UPPER(SUBSTITUTE(SUBSTITUTE(SUBSTITUTE(SUBSTITUTE($A3105," ",""),"(주)",""),"주식회사",""),"㈜","")))</f>
        <v/>
      </c>
      <c r="H3105" s="10" t="str">
        <f aca="false">IF($B3105="","",SUBSTITUTE(SUBSTITUTE(SUBSTITUTE($B3105,"-","")," ",""),".",""))</f>
        <v/>
      </c>
      <c r="I3105" s="10" t="str">
        <f aca="false">IF($D3105="","",SUBSTITUTE(SUBSTITUTE(SUBSTITUTE($D3105,"-","")," ",""),".",""))</f>
        <v/>
      </c>
      <c r="J3105" s="10" t="str">
        <f aca="false">IF($E3105="","",UPPER(SUBSTITUTE($E3105," ","")))</f>
        <v/>
      </c>
      <c r="K3105" s="10" t="str">
        <f aca="false">IF($A3105="","",$G3105&amp;"|"&amp;$J3105)</f>
        <v/>
      </c>
      <c r="L3105" s="10" t="str">
        <f aca="false">IF($A3105="","",ROW()-2)</f>
        <v/>
      </c>
      <c r="M3105" s="10" t="str">
        <f aca="false">IF($A3105="","",ROW())</f>
        <v/>
      </c>
    </row>
    <row r="3106" customFormat="false" ht="15" hidden="false" customHeight="true" outlineLevel="0" collapsed="false">
      <c r="A3106" s="8"/>
      <c r="B3106" s="8"/>
      <c r="C3106" s="8"/>
      <c r="D3106" s="8"/>
      <c r="E3106" s="8"/>
      <c r="F3106" s="8"/>
      <c r="G3106" s="10" t="str">
        <f aca="false">IF($A3106="","",UPPER(SUBSTITUTE(SUBSTITUTE(SUBSTITUTE(SUBSTITUTE($A3106," ",""),"(주)",""),"주식회사",""),"㈜","")))</f>
        <v/>
      </c>
      <c r="H3106" s="10" t="str">
        <f aca="false">IF($B3106="","",SUBSTITUTE(SUBSTITUTE(SUBSTITUTE($B3106,"-","")," ",""),".",""))</f>
        <v/>
      </c>
      <c r="I3106" s="10" t="str">
        <f aca="false">IF($D3106="","",SUBSTITUTE(SUBSTITUTE(SUBSTITUTE($D3106,"-","")," ",""),".",""))</f>
        <v/>
      </c>
      <c r="J3106" s="10" t="str">
        <f aca="false">IF($E3106="","",UPPER(SUBSTITUTE($E3106," ","")))</f>
        <v/>
      </c>
      <c r="K3106" s="10" t="str">
        <f aca="false">IF($A3106="","",$G3106&amp;"|"&amp;$J3106)</f>
        <v/>
      </c>
      <c r="L3106" s="10" t="str">
        <f aca="false">IF($A3106="","",ROW()-2)</f>
        <v/>
      </c>
      <c r="M3106" s="10" t="str">
        <f aca="false">IF($A3106="","",ROW())</f>
        <v/>
      </c>
    </row>
    <row r="3107" customFormat="false" ht="15" hidden="false" customHeight="true" outlineLevel="0" collapsed="false">
      <c r="A3107" s="8"/>
      <c r="B3107" s="8"/>
      <c r="C3107" s="8"/>
      <c r="D3107" s="8"/>
      <c r="E3107" s="8"/>
      <c r="F3107" s="8"/>
      <c r="G3107" s="10" t="str">
        <f aca="false">IF($A3107="","",UPPER(SUBSTITUTE(SUBSTITUTE(SUBSTITUTE(SUBSTITUTE($A3107," ",""),"(주)",""),"주식회사",""),"㈜","")))</f>
        <v/>
      </c>
      <c r="H3107" s="10" t="str">
        <f aca="false">IF($B3107="","",SUBSTITUTE(SUBSTITUTE(SUBSTITUTE($B3107,"-","")," ",""),".",""))</f>
        <v/>
      </c>
      <c r="I3107" s="10" t="str">
        <f aca="false">IF($D3107="","",SUBSTITUTE(SUBSTITUTE(SUBSTITUTE($D3107,"-","")," ",""),".",""))</f>
        <v/>
      </c>
      <c r="J3107" s="10" t="str">
        <f aca="false">IF($E3107="","",UPPER(SUBSTITUTE($E3107," ","")))</f>
        <v/>
      </c>
      <c r="K3107" s="10" t="str">
        <f aca="false">IF($A3107="","",$G3107&amp;"|"&amp;$J3107)</f>
        <v/>
      </c>
      <c r="L3107" s="10" t="str">
        <f aca="false">IF($A3107="","",ROW()-2)</f>
        <v/>
      </c>
      <c r="M3107" s="10" t="str">
        <f aca="false">IF($A3107="","",ROW())</f>
        <v/>
      </c>
    </row>
    <row r="3108" customFormat="false" ht="15" hidden="false" customHeight="true" outlineLevel="0" collapsed="false">
      <c r="A3108" s="8"/>
      <c r="B3108" s="8"/>
      <c r="C3108" s="8"/>
      <c r="D3108" s="8"/>
      <c r="E3108" s="8"/>
      <c r="F3108" s="8"/>
      <c r="G3108" s="10" t="str">
        <f aca="false">IF($A3108="","",UPPER(SUBSTITUTE(SUBSTITUTE(SUBSTITUTE(SUBSTITUTE($A3108," ",""),"(주)",""),"주식회사",""),"㈜","")))</f>
        <v/>
      </c>
      <c r="H3108" s="10" t="str">
        <f aca="false">IF($B3108="","",SUBSTITUTE(SUBSTITUTE(SUBSTITUTE($B3108,"-","")," ",""),".",""))</f>
        <v/>
      </c>
      <c r="I3108" s="10" t="str">
        <f aca="false">IF($D3108="","",SUBSTITUTE(SUBSTITUTE(SUBSTITUTE($D3108,"-","")," ",""),".",""))</f>
        <v/>
      </c>
      <c r="J3108" s="10" t="str">
        <f aca="false">IF($E3108="","",UPPER(SUBSTITUTE($E3108," ","")))</f>
        <v/>
      </c>
      <c r="K3108" s="10" t="str">
        <f aca="false">IF($A3108="","",$G3108&amp;"|"&amp;$J3108)</f>
        <v/>
      </c>
      <c r="L3108" s="10" t="str">
        <f aca="false">IF($A3108="","",ROW()-2)</f>
        <v/>
      </c>
      <c r="M3108" s="10" t="str">
        <f aca="false">IF($A3108="","",ROW())</f>
        <v/>
      </c>
    </row>
    <row r="3109" customFormat="false" ht="15" hidden="false" customHeight="true" outlineLevel="0" collapsed="false">
      <c r="A3109" s="8"/>
      <c r="B3109" s="8"/>
      <c r="C3109" s="8"/>
      <c r="D3109" s="8"/>
      <c r="E3109" s="8"/>
      <c r="F3109" s="8"/>
      <c r="G3109" s="10" t="str">
        <f aca="false">IF($A3109="","",UPPER(SUBSTITUTE(SUBSTITUTE(SUBSTITUTE(SUBSTITUTE($A3109," ",""),"(주)",""),"주식회사",""),"㈜","")))</f>
        <v/>
      </c>
      <c r="H3109" s="10" t="str">
        <f aca="false">IF($B3109="","",SUBSTITUTE(SUBSTITUTE(SUBSTITUTE($B3109,"-","")," ",""),".",""))</f>
        <v/>
      </c>
      <c r="I3109" s="10" t="str">
        <f aca="false">IF($D3109="","",SUBSTITUTE(SUBSTITUTE(SUBSTITUTE($D3109,"-","")," ",""),".",""))</f>
        <v/>
      </c>
      <c r="J3109" s="10" t="str">
        <f aca="false">IF($E3109="","",UPPER(SUBSTITUTE($E3109," ","")))</f>
        <v/>
      </c>
      <c r="K3109" s="10" t="str">
        <f aca="false">IF($A3109="","",$G3109&amp;"|"&amp;$J3109)</f>
        <v/>
      </c>
      <c r="L3109" s="10" t="str">
        <f aca="false">IF($A3109="","",ROW()-2)</f>
        <v/>
      </c>
      <c r="M3109" s="10" t="str">
        <f aca="false">IF($A3109="","",ROW())</f>
        <v/>
      </c>
    </row>
    <row r="3110" customFormat="false" ht="15" hidden="false" customHeight="true" outlineLevel="0" collapsed="false">
      <c r="A3110" s="8"/>
      <c r="B3110" s="8"/>
      <c r="C3110" s="8"/>
      <c r="D3110" s="8"/>
      <c r="E3110" s="8"/>
      <c r="F3110" s="8"/>
      <c r="G3110" s="10" t="str">
        <f aca="false">IF($A3110="","",UPPER(SUBSTITUTE(SUBSTITUTE(SUBSTITUTE(SUBSTITUTE($A3110," ",""),"(주)",""),"주식회사",""),"㈜","")))</f>
        <v/>
      </c>
      <c r="H3110" s="10" t="str">
        <f aca="false">IF($B3110="","",SUBSTITUTE(SUBSTITUTE(SUBSTITUTE($B3110,"-","")," ",""),".",""))</f>
        <v/>
      </c>
      <c r="I3110" s="10" t="str">
        <f aca="false">IF($D3110="","",SUBSTITUTE(SUBSTITUTE(SUBSTITUTE($D3110,"-","")," ",""),".",""))</f>
        <v/>
      </c>
      <c r="J3110" s="10" t="str">
        <f aca="false">IF($E3110="","",UPPER(SUBSTITUTE($E3110," ","")))</f>
        <v/>
      </c>
      <c r="K3110" s="10" t="str">
        <f aca="false">IF($A3110="","",$G3110&amp;"|"&amp;$J3110)</f>
        <v/>
      </c>
      <c r="L3110" s="10" t="str">
        <f aca="false">IF($A3110="","",ROW()-2)</f>
        <v/>
      </c>
      <c r="M3110" s="10" t="str">
        <f aca="false">IF($A3110="","",ROW())</f>
        <v/>
      </c>
    </row>
    <row r="3111" customFormat="false" ht="15" hidden="false" customHeight="true" outlineLevel="0" collapsed="false">
      <c r="A3111" s="8"/>
      <c r="B3111" s="8"/>
      <c r="C3111" s="8"/>
      <c r="D3111" s="8"/>
      <c r="E3111" s="8"/>
      <c r="F3111" s="8"/>
      <c r="G3111" s="10" t="str">
        <f aca="false">IF($A3111="","",UPPER(SUBSTITUTE(SUBSTITUTE(SUBSTITUTE(SUBSTITUTE($A3111," ",""),"(주)",""),"주식회사",""),"㈜","")))</f>
        <v/>
      </c>
      <c r="H3111" s="10" t="str">
        <f aca="false">IF($B3111="","",SUBSTITUTE(SUBSTITUTE(SUBSTITUTE($B3111,"-","")," ",""),".",""))</f>
        <v/>
      </c>
      <c r="I3111" s="10" t="str">
        <f aca="false">IF($D3111="","",SUBSTITUTE(SUBSTITUTE(SUBSTITUTE($D3111,"-","")," ",""),".",""))</f>
        <v/>
      </c>
      <c r="J3111" s="10" t="str">
        <f aca="false">IF($E3111="","",UPPER(SUBSTITUTE($E3111," ","")))</f>
        <v/>
      </c>
      <c r="K3111" s="10" t="str">
        <f aca="false">IF($A3111="","",$G3111&amp;"|"&amp;$J3111)</f>
        <v/>
      </c>
      <c r="L3111" s="10" t="str">
        <f aca="false">IF($A3111="","",ROW()-2)</f>
        <v/>
      </c>
      <c r="M3111" s="10" t="str">
        <f aca="false">IF($A3111="","",ROW())</f>
        <v/>
      </c>
    </row>
    <row r="3112" customFormat="false" ht="15" hidden="false" customHeight="true" outlineLevel="0" collapsed="false">
      <c r="A3112" s="8"/>
      <c r="B3112" s="8"/>
      <c r="C3112" s="8"/>
      <c r="D3112" s="8"/>
      <c r="E3112" s="8"/>
      <c r="F3112" s="8"/>
      <c r="G3112" s="10" t="str">
        <f aca="false">IF($A3112="","",UPPER(SUBSTITUTE(SUBSTITUTE(SUBSTITUTE(SUBSTITUTE($A3112," ",""),"(주)",""),"주식회사",""),"㈜","")))</f>
        <v/>
      </c>
      <c r="H3112" s="10" t="str">
        <f aca="false">IF($B3112="","",SUBSTITUTE(SUBSTITUTE(SUBSTITUTE($B3112,"-","")," ",""),".",""))</f>
        <v/>
      </c>
      <c r="I3112" s="10" t="str">
        <f aca="false">IF($D3112="","",SUBSTITUTE(SUBSTITUTE(SUBSTITUTE($D3112,"-","")," ",""),".",""))</f>
        <v/>
      </c>
      <c r="J3112" s="10" t="str">
        <f aca="false">IF($E3112="","",UPPER(SUBSTITUTE($E3112," ","")))</f>
        <v/>
      </c>
      <c r="K3112" s="10" t="str">
        <f aca="false">IF($A3112="","",$G3112&amp;"|"&amp;$J3112)</f>
        <v/>
      </c>
      <c r="L3112" s="10" t="str">
        <f aca="false">IF($A3112="","",ROW()-2)</f>
        <v/>
      </c>
      <c r="M3112" s="10" t="str">
        <f aca="false">IF($A3112="","",ROW())</f>
        <v/>
      </c>
    </row>
    <row r="3113" customFormat="false" ht="15" hidden="false" customHeight="true" outlineLevel="0" collapsed="false">
      <c r="A3113" s="8"/>
      <c r="B3113" s="8"/>
      <c r="C3113" s="8"/>
      <c r="D3113" s="8"/>
      <c r="E3113" s="8"/>
      <c r="F3113" s="8"/>
      <c r="G3113" s="10" t="str">
        <f aca="false">IF($A3113="","",UPPER(SUBSTITUTE(SUBSTITUTE(SUBSTITUTE(SUBSTITUTE($A3113," ",""),"(주)",""),"주식회사",""),"㈜","")))</f>
        <v/>
      </c>
      <c r="H3113" s="10" t="str">
        <f aca="false">IF($B3113="","",SUBSTITUTE(SUBSTITUTE(SUBSTITUTE($B3113,"-","")," ",""),".",""))</f>
        <v/>
      </c>
      <c r="I3113" s="10" t="str">
        <f aca="false">IF($D3113="","",SUBSTITUTE(SUBSTITUTE(SUBSTITUTE($D3113,"-","")," ",""),".",""))</f>
        <v/>
      </c>
      <c r="J3113" s="10" t="str">
        <f aca="false">IF($E3113="","",UPPER(SUBSTITUTE($E3113," ","")))</f>
        <v/>
      </c>
      <c r="K3113" s="10" t="str">
        <f aca="false">IF($A3113="","",$G3113&amp;"|"&amp;$J3113)</f>
        <v/>
      </c>
      <c r="L3113" s="10" t="str">
        <f aca="false">IF($A3113="","",ROW()-2)</f>
        <v/>
      </c>
      <c r="M3113" s="10" t="str">
        <f aca="false">IF($A3113="","",ROW())</f>
        <v/>
      </c>
    </row>
    <row r="3114" customFormat="false" ht="15" hidden="false" customHeight="true" outlineLevel="0" collapsed="false">
      <c r="A3114" s="8"/>
      <c r="B3114" s="8"/>
      <c r="C3114" s="8"/>
      <c r="D3114" s="8"/>
      <c r="E3114" s="8"/>
      <c r="F3114" s="8"/>
      <c r="G3114" s="10" t="str">
        <f aca="false">IF($A3114="","",UPPER(SUBSTITUTE(SUBSTITUTE(SUBSTITUTE(SUBSTITUTE($A3114," ",""),"(주)",""),"주식회사",""),"㈜","")))</f>
        <v/>
      </c>
      <c r="H3114" s="10" t="str">
        <f aca="false">IF($B3114="","",SUBSTITUTE(SUBSTITUTE(SUBSTITUTE($B3114,"-","")," ",""),".",""))</f>
        <v/>
      </c>
      <c r="I3114" s="10" t="str">
        <f aca="false">IF($D3114="","",SUBSTITUTE(SUBSTITUTE(SUBSTITUTE($D3114,"-","")," ",""),".",""))</f>
        <v/>
      </c>
      <c r="J3114" s="10" t="str">
        <f aca="false">IF($E3114="","",UPPER(SUBSTITUTE($E3114," ","")))</f>
        <v/>
      </c>
      <c r="K3114" s="10" t="str">
        <f aca="false">IF($A3114="","",$G3114&amp;"|"&amp;$J3114)</f>
        <v/>
      </c>
      <c r="L3114" s="10" t="str">
        <f aca="false">IF($A3114="","",ROW()-2)</f>
        <v/>
      </c>
      <c r="M3114" s="10" t="str">
        <f aca="false">IF($A3114="","",ROW())</f>
        <v/>
      </c>
    </row>
    <row r="3115" customFormat="false" ht="15" hidden="false" customHeight="true" outlineLevel="0" collapsed="false">
      <c r="A3115" s="8"/>
      <c r="B3115" s="8"/>
      <c r="C3115" s="8"/>
      <c r="D3115" s="8"/>
      <c r="E3115" s="8"/>
      <c r="F3115" s="8"/>
      <c r="G3115" s="10" t="str">
        <f aca="false">IF($A3115="","",UPPER(SUBSTITUTE(SUBSTITUTE(SUBSTITUTE(SUBSTITUTE($A3115," ",""),"(주)",""),"주식회사",""),"㈜","")))</f>
        <v/>
      </c>
      <c r="H3115" s="10" t="str">
        <f aca="false">IF($B3115="","",SUBSTITUTE(SUBSTITUTE(SUBSTITUTE($B3115,"-","")," ",""),".",""))</f>
        <v/>
      </c>
      <c r="I3115" s="10" t="str">
        <f aca="false">IF($D3115="","",SUBSTITUTE(SUBSTITUTE(SUBSTITUTE($D3115,"-","")," ",""),".",""))</f>
        <v/>
      </c>
      <c r="J3115" s="10" t="str">
        <f aca="false">IF($E3115="","",UPPER(SUBSTITUTE($E3115," ","")))</f>
        <v/>
      </c>
      <c r="K3115" s="10" t="str">
        <f aca="false">IF($A3115="","",$G3115&amp;"|"&amp;$J3115)</f>
        <v/>
      </c>
      <c r="L3115" s="10" t="str">
        <f aca="false">IF($A3115="","",ROW()-2)</f>
        <v/>
      </c>
      <c r="M3115" s="10" t="str">
        <f aca="false">IF($A3115="","",ROW())</f>
        <v/>
      </c>
    </row>
    <row r="3116" customFormat="false" ht="15" hidden="false" customHeight="true" outlineLevel="0" collapsed="false">
      <c r="A3116" s="8"/>
      <c r="B3116" s="8"/>
      <c r="C3116" s="8"/>
      <c r="D3116" s="8"/>
      <c r="E3116" s="8"/>
      <c r="F3116" s="8"/>
      <c r="G3116" s="10" t="str">
        <f aca="false">IF($A3116="","",UPPER(SUBSTITUTE(SUBSTITUTE(SUBSTITUTE(SUBSTITUTE($A3116," ",""),"(주)",""),"주식회사",""),"㈜","")))</f>
        <v/>
      </c>
      <c r="H3116" s="10" t="str">
        <f aca="false">IF($B3116="","",SUBSTITUTE(SUBSTITUTE(SUBSTITUTE($B3116,"-","")," ",""),".",""))</f>
        <v/>
      </c>
      <c r="I3116" s="10" t="str">
        <f aca="false">IF($D3116="","",SUBSTITUTE(SUBSTITUTE(SUBSTITUTE($D3116,"-","")," ",""),".",""))</f>
        <v/>
      </c>
      <c r="J3116" s="10" t="str">
        <f aca="false">IF($E3116="","",UPPER(SUBSTITUTE($E3116," ","")))</f>
        <v/>
      </c>
      <c r="K3116" s="10" t="str">
        <f aca="false">IF($A3116="","",$G3116&amp;"|"&amp;$J3116)</f>
        <v/>
      </c>
      <c r="L3116" s="10" t="str">
        <f aca="false">IF($A3116="","",ROW()-2)</f>
        <v/>
      </c>
      <c r="M3116" s="10" t="str">
        <f aca="false">IF($A3116="","",ROW())</f>
        <v/>
      </c>
    </row>
    <row r="3117" customFormat="false" ht="15" hidden="false" customHeight="true" outlineLevel="0" collapsed="false">
      <c r="A3117" s="8"/>
      <c r="B3117" s="8"/>
      <c r="C3117" s="8"/>
      <c r="D3117" s="8"/>
      <c r="E3117" s="8"/>
      <c r="F3117" s="8"/>
      <c r="G3117" s="10" t="str">
        <f aca="false">IF($A3117="","",UPPER(SUBSTITUTE(SUBSTITUTE(SUBSTITUTE(SUBSTITUTE($A3117," ",""),"(주)",""),"주식회사",""),"㈜","")))</f>
        <v/>
      </c>
      <c r="H3117" s="10" t="str">
        <f aca="false">IF($B3117="","",SUBSTITUTE(SUBSTITUTE(SUBSTITUTE($B3117,"-","")," ",""),".",""))</f>
        <v/>
      </c>
      <c r="I3117" s="10" t="str">
        <f aca="false">IF($D3117="","",SUBSTITUTE(SUBSTITUTE(SUBSTITUTE($D3117,"-","")," ",""),".",""))</f>
        <v/>
      </c>
      <c r="J3117" s="10" t="str">
        <f aca="false">IF($E3117="","",UPPER(SUBSTITUTE($E3117," ","")))</f>
        <v/>
      </c>
      <c r="K3117" s="10" t="str">
        <f aca="false">IF($A3117="","",$G3117&amp;"|"&amp;$J3117)</f>
        <v/>
      </c>
      <c r="L3117" s="10" t="str">
        <f aca="false">IF($A3117="","",ROW()-2)</f>
        <v/>
      </c>
      <c r="M3117" s="10" t="str">
        <f aca="false">IF($A3117="","",ROW())</f>
        <v/>
      </c>
    </row>
    <row r="3118" customFormat="false" ht="15" hidden="false" customHeight="true" outlineLevel="0" collapsed="false">
      <c r="A3118" s="8"/>
      <c r="B3118" s="8"/>
      <c r="C3118" s="8"/>
      <c r="D3118" s="8"/>
      <c r="E3118" s="8"/>
      <c r="F3118" s="8"/>
      <c r="G3118" s="10" t="str">
        <f aca="false">IF($A3118="","",UPPER(SUBSTITUTE(SUBSTITUTE(SUBSTITUTE(SUBSTITUTE($A3118," ",""),"(주)",""),"주식회사",""),"㈜","")))</f>
        <v/>
      </c>
      <c r="H3118" s="10" t="str">
        <f aca="false">IF($B3118="","",SUBSTITUTE(SUBSTITUTE(SUBSTITUTE($B3118,"-","")," ",""),".",""))</f>
        <v/>
      </c>
      <c r="I3118" s="10" t="str">
        <f aca="false">IF($D3118="","",SUBSTITUTE(SUBSTITUTE(SUBSTITUTE($D3118,"-","")," ",""),".",""))</f>
        <v/>
      </c>
      <c r="J3118" s="10" t="str">
        <f aca="false">IF($E3118="","",UPPER(SUBSTITUTE($E3118," ","")))</f>
        <v/>
      </c>
      <c r="K3118" s="10" t="str">
        <f aca="false">IF($A3118="","",$G3118&amp;"|"&amp;$J3118)</f>
        <v/>
      </c>
      <c r="L3118" s="10" t="str">
        <f aca="false">IF($A3118="","",ROW()-2)</f>
        <v/>
      </c>
      <c r="M3118" s="10" t="str">
        <f aca="false">IF($A3118="","",ROW())</f>
        <v/>
      </c>
    </row>
    <row r="3119" customFormat="false" ht="15" hidden="false" customHeight="true" outlineLevel="0" collapsed="false">
      <c r="A3119" s="8"/>
      <c r="B3119" s="8"/>
      <c r="C3119" s="8"/>
      <c r="D3119" s="8"/>
      <c r="E3119" s="8"/>
      <c r="F3119" s="8"/>
      <c r="G3119" s="10" t="str">
        <f aca="false">IF($A3119="","",UPPER(SUBSTITUTE(SUBSTITUTE(SUBSTITUTE(SUBSTITUTE($A3119," ",""),"(주)",""),"주식회사",""),"㈜","")))</f>
        <v/>
      </c>
      <c r="H3119" s="10" t="str">
        <f aca="false">IF($B3119="","",SUBSTITUTE(SUBSTITUTE(SUBSTITUTE($B3119,"-","")," ",""),".",""))</f>
        <v/>
      </c>
      <c r="I3119" s="10" t="str">
        <f aca="false">IF($D3119="","",SUBSTITUTE(SUBSTITUTE(SUBSTITUTE($D3119,"-","")," ",""),".",""))</f>
        <v/>
      </c>
      <c r="J3119" s="10" t="str">
        <f aca="false">IF($E3119="","",UPPER(SUBSTITUTE($E3119," ","")))</f>
        <v/>
      </c>
      <c r="K3119" s="10" t="str">
        <f aca="false">IF($A3119="","",$G3119&amp;"|"&amp;$J3119)</f>
        <v/>
      </c>
      <c r="L3119" s="10" t="str">
        <f aca="false">IF($A3119="","",ROW()-2)</f>
        <v/>
      </c>
      <c r="M3119" s="10" t="str">
        <f aca="false">IF($A3119="","",ROW())</f>
        <v/>
      </c>
    </row>
    <row r="3120" customFormat="false" ht="15" hidden="false" customHeight="true" outlineLevel="0" collapsed="false">
      <c r="A3120" s="8"/>
      <c r="B3120" s="8"/>
      <c r="C3120" s="8"/>
      <c r="D3120" s="8"/>
      <c r="E3120" s="8"/>
      <c r="F3120" s="8"/>
      <c r="G3120" s="10" t="str">
        <f aca="false">IF($A3120="","",UPPER(SUBSTITUTE(SUBSTITUTE(SUBSTITUTE(SUBSTITUTE($A3120," ",""),"(주)",""),"주식회사",""),"㈜","")))</f>
        <v/>
      </c>
      <c r="H3120" s="10" t="str">
        <f aca="false">IF($B3120="","",SUBSTITUTE(SUBSTITUTE(SUBSTITUTE($B3120,"-","")," ",""),".",""))</f>
        <v/>
      </c>
      <c r="I3120" s="10" t="str">
        <f aca="false">IF($D3120="","",SUBSTITUTE(SUBSTITUTE(SUBSTITUTE($D3120,"-","")," ",""),".",""))</f>
        <v/>
      </c>
      <c r="J3120" s="10" t="str">
        <f aca="false">IF($E3120="","",UPPER(SUBSTITUTE($E3120," ","")))</f>
        <v/>
      </c>
      <c r="K3120" s="10" t="str">
        <f aca="false">IF($A3120="","",$G3120&amp;"|"&amp;$J3120)</f>
        <v/>
      </c>
      <c r="L3120" s="10" t="str">
        <f aca="false">IF($A3120="","",ROW()-2)</f>
        <v/>
      </c>
      <c r="M3120" s="10" t="str">
        <f aca="false">IF($A3120="","",ROW())</f>
        <v/>
      </c>
    </row>
    <row r="3121" customFormat="false" ht="15" hidden="false" customHeight="true" outlineLevel="0" collapsed="false">
      <c r="A3121" s="8"/>
      <c r="B3121" s="8"/>
      <c r="C3121" s="8"/>
      <c r="D3121" s="8"/>
      <c r="E3121" s="8"/>
      <c r="F3121" s="8"/>
      <c r="G3121" s="10" t="str">
        <f aca="false">IF($A3121="","",UPPER(SUBSTITUTE(SUBSTITUTE(SUBSTITUTE(SUBSTITUTE($A3121," ",""),"(주)",""),"주식회사",""),"㈜","")))</f>
        <v/>
      </c>
      <c r="H3121" s="10" t="str">
        <f aca="false">IF($B3121="","",SUBSTITUTE(SUBSTITUTE(SUBSTITUTE($B3121,"-","")," ",""),".",""))</f>
        <v/>
      </c>
      <c r="I3121" s="10" t="str">
        <f aca="false">IF($D3121="","",SUBSTITUTE(SUBSTITUTE(SUBSTITUTE($D3121,"-","")," ",""),".",""))</f>
        <v/>
      </c>
      <c r="J3121" s="10" t="str">
        <f aca="false">IF($E3121="","",UPPER(SUBSTITUTE($E3121," ","")))</f>
        <v/>
      </c>
      <c r="K3121" s="10" t="str">
        <f aca="false">IF($A3121="","",$G3121&amp;"|"&amp;$J3121)</f>
        <v/>
      </c>
      <c r="L3121" s="10" t="str">
        <f aca="false">IF($A3121="","",ROW()-2)</f>
        <v/>
      </c>
      <c r="M3121" s="10" t="str">
        <f aca="false">IF($A3121="","",ROW())</f>
        <v/>
      </c>
    </row>
    <row r="3122" customFormat="false" ht="15" hidden="false" customHeight="true" outlineLevel="0" collapsed="false">
      <c r="A3122" s="8"/>
      <c r="B3122" s="8"/>
      <c r="C3122" s="8"/>
      <c r="D3122" s="8"/>
      <c r="E3122" s="8"/>
      <c r="F3122" s="8"/>
      <c r="G3122" s="10" t="str">
        <f aca="false">IF($A3122="","",UPPER(SUBSTITUTE(SUBSTITUTE(SUBSTITUTE(SUBSTITUTE($A3122," ",""),"(주)",""),"주식회사",""),"㈜","")))</f>
        <v/>
      </c>
      <c r="H3122" s="10" t="str">
        <f aca="false">IF($B3122="","",SUBSTITUTE(SUBSTITUTE(SUBSTITUTE($B3122,"-","")," ",""),".",""))</f>
        <v/>
      </c>
      <c r="I3122" s="10" t="str">
        <f aca="false">IF($D3122="","",SUBSTITUTE(SUBSTITUTE(SUBSTITUTE($D3122,"-","")," ",""),".",""))</f>
        <v/>
      </c>
      <c r="J3122" s="10" t="str">
        <f aca="false">IF($E3122="","",UPPER(SUBSTITUTE($E3122," ","")))</f>
        <v/>
      </c>
      <c r="K3122" s="10" t="str">
        <f aca="false">IF($A3122="","",$G3122&amp;"|"&amp;$J3122)</f>
        <v/>
      </c>
      <c r="L3122" s="10" t="str">
        <f aca="false">IF($A3122="","",ROW()-2)</f>
        <v/>
      </c>
      <c r="M3122" s="10" t="str">
        <f aca="false">IF($A3122="","",ROW())</f>
        <v/>
      </c>
    </row>
    <row r="3123" customFormat="false" ht="15" hidden="false" customHeight="true" outlineLevel="0" collapsed="false">
      <c r="A3123" s="8"/>
      <c r="B3123" s="8"/>
      <c r="C3123" s="8"/>
      <c r="D3123" s="8"/>
      <c r="E3123" s="8"/>
      <c r="F3123" s="8"/>
      <c r="G3123" s="10" t="str">
        <f aca="false">IF($A3123="","",UPPER(SUBSTITUTE(SUBSTITUTE(SUBSTITUTE(SUBSTITUTE($A3123," ",""),"(주)",""),"주식회사",""),"㈜","")))</f>
        <v/>
      </c>
      <c r="H3123" s="10" t="str">
        <f aca="false">IF($B3123="","",SUBSTITUTE(SUBSTITUTE(SUBSTITUTE($B3123,"-","")," ",""),".",""))</f>
        <v/>
      </c>
      <c r="I3123" s="10" t="str">
        <f aca="false">IF($D3123="","",SUBSTITUTE(SUBSTITUTE(SUBSTITUTE($D3123,"-","")," ",""),".",""))</f>
        <v/>
      </c>
      <c r="J3123" s="10" t="str">
        <f aca="false">IF($E3123="","",UPPER(SUBSTITUTE($E3123," ","")))</f>
        <v/>
      </c>
      <c r="K3123" s="10" t="str">
        <f aca="false">IF($A3123="","",$G3123&amp;"|"&amp;$J3123)</f>
        <v/>
      </c>
      <c r="L3123" s="10" t="str">
        <f aca="false">IF($A3123="","",ROW()-2)</f>
        <v/>
      </c>
      <c r="M3123" s="10" t="str">
        <f aca="false">IF($A3123="","",ROW())</f>
        <v/>
      </c>
    </row>
    <row r="3124" customFormat="false" ht="15" hidden="false" customHeight="true" outlineLevel="0" collapsed="false">
      <c r="A3124" s="8"/>
      <c r="B3124" s="8"/>
      <c r="C3124" s="8"/>
      <c r="D3124" s="8"/>
      <c r="E3124" s="8"/>
      <c r="F3124" s="8"/>
      <c r="G3124" s="10" t="str">
        <f aca="false">IF($A3124="","",UPPER(SUBSTITUTE(SUBSTITUTE(SUBSTITUTE(SUBSTITUTE($A3124," ",""),"(주)",""),"주식회사",""),"㈜","")))</f>
        <v/>
      </c>
      <c r="H3124" s="10" t="str">
        <f aca="false">IF($B3124="","",SUBSTITUTE(SUBSTITUTE(SUBSTITUTE($B3124,"-","")," ",""),".",""))</f>
        <v/>
      </c>
      <c r="I3124" s="10" t="str">
        <f aca="false">IF($D3124="","",SUBSTITUTE(SUBSTITUTE(SUBSTITUTE($D3124,"-","")," ",""),".",""))</f>
        <v/>
      </c>
      <c r="J3124" s="10" t="str">
        <f aca="false">IF($E3124="","",UPPER(SUBSTITUTE($E3124," ","")))</f>
        <v/>
      </c>
      <c r="K3124" s="10" t="str">
        <f aca="false">IF($A3124="","",$G3124&amp;"|"&amp;$J3124)</f>
        <v/>
      </c>
      <c r="L3124" s="10" t="str">
        <f aca="false">IF($A3124="","",ROW()-2)</f>
        <v/>
      </c>
      <c r="M3124" s="10" t="str">
        <f aca="false">IF($A3124="","",ROW())</f>
        <v/>
      </c>
    </row>
    <row r="3125" customFormat="false" ht="15" hidden="false" customHeight="true" outlineLevel="0" collapsed="false">
      <c r="A3125" s="8"/>
      <c r="B3125" s="8"/>
      <c r="C3125" s="8"/>
      <c r="D3125" s="8"/>
      <c r="E3125" s="8"/>
      <c r="F3125" s="8"/>
      <c r="G3125" s="10" t="str">
        <f aca="false">IF($A3125="","",UPPER(SUBSTITUTE(SUBSTITUTE(SUBSTITUTE(SUBSTITUTE($A3125," ",""),"(주)",""),"주식회사",""),"㈜","")))</f>
        <v/>
      </c>
      <c r="H3125" s="10" t="str">
        <f aca="false">IF($B3125="","",SUBSTITUTE(SUBSTITUTE(SUBSTITUTE($B3125,"-","")," ",""),".",""))</f>
        <v/>
      </c>
      <c r="I3125" s="10" t="str">
        <f aca="false">IF($D3125="","",SUBSTITUTE(SUBSTITUTE(SUBSTITUTE($D3125,"-","")," ",""),".",""))</f>
        <v/>
      </c>
      <c r="J3125" s="10" t="str">
        <f aca="false">IF($E3125="","",UPPER(SUBSTITUTE($E3125," ","")))</f>
        <v/>
      </c>
      <c r="K3125" s="10" t="str">
        <f aca="false">IF($A3125="","",$G3125&amp;"|"&amp;$J3125)</f>
        <v/>
      </c>
      <c r="L3125" s="10" t="str">
        <f aca="false">IF($A3125="","",ROW()-2)</f>
        <v/>
      </c>
      <c r="M3125" s="10" t="str">
        <f aca="false">IF($A3125="","",ROW())</f>
        <v/>
      </c>
    </row>
    <row r="3126" customFormat="false" ht="15" hidden="false" customHeight="true" outlineLevel="0" collapsed="false">
      <c r="A3126" s="8"/>
      <c r="B3126" s="8"/>
      <c r="C3126" s="8"/>
      <c r="D3126" s="8"/>
      <c r="E3126" s="8"/>
      <c r="F3126" s="8"/>
      <c r="G3126" s="10" t="str">
        <f aca="false">IF($A3126="","",UPPER(SUBSTITUTE(SUBSTITUTE(SUBSTITUTE(SUBSTITUTE($A3126," ",""),"(주)",""),"주식회사",""),"㈜","")))</f>
        <v/>
      </c>
      <c r="H3126" s="10" t="str">
        <f aca="false">IF($B3126="","",SUBSTITUTE(SUBSTITUTE(SUBSTITUTE($B3126,"-","")," ",""),".",""))</f>
        <v/>
      </c>
      <c r="I3126" s="10" t="str">
        <f aca="false">IF($D3126="","",SUBSTITUTE(SUBSTITUTE(SUBSTITUTE($D3126,"-","")," ",""),".",""))</f>
        <v/>
      </c>
      <c r="J3126" s="10" t="str">
        <f aca="false">IF($E3126="","",UPPER(SUBSTITUTE($E3126," ","")))</f>
        <v/>
      </c>
      <c r="K3126" s="10" t="str">
        <f aca="false">IF($A3126="","",$G3126&amp;"|"&amp;$J3126)</f>
        <v/>
      </c>
      <c r="L3126" s="10" t="str">
        <f aca="false">IF($A3126="","",ROW()-2)</f>
        <v/>
      </c>
      <c r="M3126" s="10" t="str">
        <f aca="false">IF($A3126="","",ROW())</f>
        <v/>
      </c>
    </row>
    <row r="3127" customFormat="false" ht="15" hidden="false" customHeight="true" outlineLevel="0" collapsed="false">
      <c r="A3127" s="8"/>
      <c r="B3127" s="8"/>
      <c r="C3127" s="8"/>
      <c r="D3127" s="8"/>
      <c r="E3127" s="8"/>
      <c r="F3127" s="8"/>
      <c r="G3127" s="10" t="str">
        <f aca="false">IF($A3127="","",UPPER(SUBSTITUTE(SUBSTITUTE(SUBSTITUTE(SUBSTITUTE($A3127," ",""),"(주)",""),"주식회사",""),"㈜","")))</f>
        <v/>
      </c>
      <c r="H3127" s="10" t="str">
        <f aca="false">IF($B3127="","",SUBSTITUTE(SUBSTITUTE(SUBSTITUTE($B3127,"-","")," ",""),".",""))</f>
        <v/>
      </c>
      <c r="I3127" s="10" t="str">
        <f aca="false">IF($D3127="","",SUBSTITUTE(SUBSTITUTE(SUBSTITUTE($D3127,"-","")," ",""),".",""))</f>
        <v/>
      </c>
      <c r="J3127" s="10" t="str">
        <f aca="false">IF($E3127="","",UPPER(SUBSTITUTE($E3127," ","")))</f>
        <v/>
      </c>
      <c r="K3127" s="10" t="str">
        <f aca="false">IF($A3127="","",$G3127&amp;"|"&amp;$J3127)</f>
        <v/>
      </c>
      <c r="L3127" s="10" t="str">
        <f aca="false">IF($A3127="","",ROW()-2)</f>
        <v/>
      </c>
      <c r="M3127" s="10" t="str">
        <f aca="false">IF($A3127="","",ROW())</f>
        <v/>
      </c>
    </row>
    <row r="3128" customFormat="false" ht="15" hidden="false" customHeight="true" outlineLevel="0" collapsed="false">
      <c r="A3128" s="8"/>
      <c r="B3128" s="8"/>
      <c r="C3128" s="8"/>
      <c r="D3128" s="8"/>
      <c r="E3128" s="8"/>
      <c r="F3128" s="8"/>
      <c r="G3128" s="10" t="str">
        <f aca="false">IF($A3128="","",UPPER(SUBSTITUTE(SUBSTITUTE(SUBSTITUTE(SUBSTITUTE($A3128," ",""),"(주)",""),"주식회사",""),"㈜","")))</f>
        <v/>
      </c>
      <c r="H3128" s="10" t="str">
        <f aca="false">IF($B3128="","",SUBSTITUTE(SUBSTITUTE(SUBSTITUTE($B3128,"-","")," ",""),".",""))</f>
        <v/>
      </c>
      <c r="I3128" s="10" t="str">
        <f aca="false">IF($D3128="","",SUBSTITUTE(SUBSTITUTE(SUBSTITUTE($D3128,"-","")," ",""),".",""))</f>
        <v/>
      </c>
      <c r="J3128" s="10" t="str">
        <f aca="false">IF($E3128="","",UPPER(SUBSTITUTE($E3128," ","")))</f>
        <v/>
      </c>
      <c r="K3128" s="10" t="str">
        <f aca="false">IF($A3128="","",$G3128&amp;"|"&amp;$J3128)</f>
        <v/>
      </c>
      <c r="L3128" s="10" t="str">
        <f aca="false">IF($A3128="","",ROW()-2)</f>
        <v/>
      </c>
      <c r="M3128" s="10" t="str">
        <f aca="false">IF($A3128="","",ROW())</f>
        <v/>
      </c>
    </row>
    <row r="3129" customFormat="false" ht="15" hidden="false" customHeight="true" outlineLevel="0" collapsed="false">
      <c r="A3129" s="8"/>
      <c r="B3129" s="8"/>
      <c r="C3129" s="8"/>
      <c r="D3129" s="8"/>
      <c r="E3129" s="8"/>
      <c r="F3129" s="8"/>
      <c r="G3129" s="10" t="str">
        <f aca="false">IF($A3129="","",UPPER(SUBSTITUTE(SUBSTITUTE(SUBSTITUTE(SUBSTITUTE($A3129," ",""),"(주)",""),"주식회사",""),"㈜","")))</f>
        <v/>
      </c>
      <c r="H3129" s="10" t="str">
        <f aca="false">IF($B3129="","",SUBSTITUTE(SUBSTITUTE(SUBSTITUTE($B3129,"-","")," ",""),".",""))</f>
        <v/>
      </c>
      <c r="I3129" s="10" t="str">
        <f aca="false">IF($D3129="","",SUBSTITUTE(SUBSTITUTE(SUBSTITUTE($D3129,"-","")," ",""),".",""))</f>
        <v/>
      </c>
      <c r="J3129" s="10" t="str">
        <f aca="false">IF($E3129="","",UPPER(SUBSTITUTE($E3129," ","")))</f>
        <v/>
      </c>
      <c r="K3129" s="10" t="str">
        <f aca="false">IF($A3129="","",$G3129&amp;"|"&amp;$J3129)</f>
        <v/>
      </c>
      <c r="L3129" s="10" t="str">
        <f aca="false">IF($A3129="","",ROW()-2)</f>
        <v/>
      </c>
      <c r="M3129" s="10" t="str">
        <f aca="false">IF($A3129="","",ROW())</f>
        <v/>
      </c>
    </row>
    <row r="3130" customFormat="false" ht="15" hidden="false" customHeight="true" outlineLevel="0" collapsed="false">
      <c r="A3130" s="8"/>
      <c r="B3130" s="8"/>
      <c r="C3130" s="8"/>
      <c r="D3130" s="8"/>
      <c r="E3130" s="8"/>
      <c r="F3130" s="8"/>
      <c r="G3130" s="10" t="str">
        <f aca="false">IF($A3130="","",UPPER(SUBSTITUTE(SUBSTITUTE(SUBSTITUTE(SUBSTITUTE($A3130," ",""),"(주)",""),"주식회사",""),"㈜","")))</f>
        <v/>
      </c>
      <c r="H3130" s="10" t="str">
        <f aca="false">IF($B3130="","",SUBSTITUTE(SUBSTITUTE(SUBSTITUTE($B3130,"-","")," ",""),".",""))</f>
        <v/>
      </c>
      <c r="I3130" s="10" t="str">
        <f aca="false">IF($D3130="","",SUBSTITUTE(SUBSTITUTE(SUBSTITUTE($D3130,"-","")," ",""),".",""))</f>
        <v/>
      </c>
      <c r="J3130" s="10" t="str">
        <f aca="false">IF($E3130="","",UPPER(SUBSTITUTE($E3130," ","")))</f>
        <v/>
      </c>
      <c r="K3130" s="10" t="str">
        <f aca="false">IF($A3130="","",$G3130&amp;"|"&amp;$J3130)</f>
        <v/>
      </c>
      <c r="L3130" s="10" t="str">
        <f aca="false">IF($A3130="","",ROW()-2)</f>
        <v/>
      </c>
      <c r="M3130" s="10" t="str">
        <f aca="false">IF($A3130="","",ROW())</f>
        <v/>
      </c>
    </row>
    <row r="3131" customFormat="false" ht="15" hidden="false" customHeight="true" outlineLevel="0" collapsed="false">
      <c r="A3131" s="8"/>
      <c r="B3131" s="8"/>
      <c r="C3131" s="8"/>
      <c r="D3131" s="8"/>
      <c r="E3131" s="8"/>
      <c r="F3131" s="8"/>
      <c r="G3131" s="10" t="str">
        <f aca="false">IF($A3131="","",UPPER(SUBSTITUTE(SUBSTITUTE(SUBSTITUTE(SUBSTITUTE($A3131," ",""),"(주)",""),"주식회사",""),"㈜","")))</f>
        <v/>
      </c>
      <c r="H3131" s="10" t="str">
        <f aca="false">IF($B3131="","",SUBSTITUTE(SUBSTITUTE(SUBSTITUTE($B3131,"-","")," ",""),".",""))</f>
        <v/>
      </c>
      <c r="I3131" s="10" t="str">
        <f aca="false">IF($D3131="","",SUBSTITUTE(SUBSTITUTE(SUBSTITUTE($D3131,"-","")," ",""),".",""))</f>
        <v/>
      </c>
      <c r="J3131" s="10" t="str">
        <f aca="false">IF($E3131="","",UPPER(SUBSTITUTE($E3131," ","")))</f>
        <v/>
      </c>
      <c r="K3131" s="10" t="str">
        <f aca="false">IF($A3131="","",$G3131&amp;"|"&amp;$J3131)</f>
        <v/>
      </c>
      <c r="L3131" s="10" t="str">
        <f aca="false">IF($A3131="","",ROW()-2)</f>
        <v/>
      </c>
      <c r="M3131" s="10" t="str">
        <f aca="false">IF($A3131="","",ROW())</f>
        <v/>
      </c>
    </row>
    <row r="3132" customFormat="false" ht="15" hidden="false" customHeight="true" outlineLevel="0" collapsed="false">
      <c r="A3132" s="8"/>
      <c r="B3132" s="8"/>
      <c r="C3132" s="8"/>
      <c r="D3132" s="8"/>
      <c r="E3132" s="8"/>
      <c r="F3132" s="8"/>
      <c r="G3132" s="10" t="str">
        <f aca="false">IF($A3132="","",UPPER(SUBSTITUTE(SUBSTITUTE(SUBSTITUTE(SUBSTITUTE($A3132," ",""),"(주)",""),"주식회사",""),"㈜","")))</f>
        <v/>
      </c>
      <c r="H3132" s="10" t="str">
        <f aca="false">IF($B3132="","",SUBSTITUTE(SUBSTITUTE(SUBSTITUTE($B3132,"-","")," ",""),".",""))</f>
        <v/>
      </c>
      <c r="I3132" s="10" t="str">
        <f aca="false">IF($D3132="","",SUBSTITUTE(SUBSTITUTE(SUBSTITUTE($D3132,"-","")," ",""),".",""))</f>
        <v/>
      </c>
      <c r="J3132" s="10" t="str">
        <f aca="false">IF($E3132="","",UPPER(SUBSTITUTE($E3132," ","")))</f>
        <v/>
      </c>
      <c r="K3132" s="10" t="str">
        <f aca="false">IF($A3132="","",$G3132&amp;"|"&amp;$J3132)</f>
        <v/>
      </c>
      <c r="L3132" s="10" t="str">
        <f aca="false">IF($A3132="","",ROW()-2)</f>
        <v/>
      </c>
      <c r="M3132" s="10" t="str">
        <f aca="false">IF($A3132="","",ROW())</f>
        <v/>
      </c>
    </row>
    <row r="3133" customFormat="false" ht="15" hidden="false" customHeight="true" outlineLevel="0" collapsed="false">
      <c r="A3133" s="8"/>
      <c r="B3133" s="8"/>
      <c r="C3133" s="8"/>
      <c r="D3133" s="8"/>
      <c r="E3133" s="8"/>
      <c r="F3133" s="8"/>
      <c r="G3133" s="10" t="str">
        <f aca="false">IF($A3133="","",UPPER(SUBSTITUTE(SUBSTITUTE(SUBSTITUTE(SUBSTITUTE($A3133," ",""),"(주)",""),"주식회사",""),"㈜","")))</f>
        <v/>
      </c>
      <c r="H3133" s="10" t="str">
        <f aca="false">IF($B3133="","",SUBSTITUTE(SUBSTITUTE(SUBSTITUTE($B3133,"-","")," ",""),".",""))</f>
        <v/>
      </c>
      <c r="I3133" s="10" t="str">
        <f aca="false">IF($D3133="","",SUBSTITUTE(SUBSTITUTE(SUBSTITUTE($D3133,"-","")," ",""),".",""))</f>
        <v/>
      </c>
      <c r="J3133" s="10" t="str">
        <f aca="false">IF($E3133="","",UPPER(SUBSTITUTE($E3133," ","")))</f>
        <v/>
      </c>
      <c r="K3133" s="10" t="str">
        <f aca="false">IF($A3133="","",$G3133&amp;"|"&amp;$J3133)</f>
        <v/>
      </c>
      <c r="L3133" s="10" t="str">
        <f aca="false">IF($A3133="","",ROW()-2)</f>
        <v/>
      </c>
      <c r="M3133" s="10" t="str">
        <f aca="false">IF($A3133="","",ROW())</f>
        <v/>
      </c>
    </row>
    <row r="3134" customFormat="false" ht="15" hidden="false" customHeight="true" outlineLevel="0" collapsed="false">
      <c r="A3134" s="8"/>
      <c r="B3134" s="8"/>
      <c r="C3134" s="8"/>
      <c r="D3134" s="8"/>
      <c r="E3134" s="8"/>
      <c r="F3134" s="8"/>
      <c r="G3134" s="10" t="str">
        <f aca="false">IF($A3134="","",UPPER(SUBSTITUTE(SUBSTITUTE(SUBSTITUTE(SUBSTITUTE($A3134," ",""),"(주)",""),"주식회사",""),"㈜","")))</f>
        <v/>
      </c>
      <c r="H3134" s="10" t="str">
        <f aca="false">IF($B3134="","",SUBSTITUTE(SUBSTITUTE(SUBSTITUTE($B3134,"-","")," ",""),".",""))</f>
        <v/>
      </c>
      <c r="I3134" s="10" t="str">
        <f aca="false">IF($D3134="","",SUBSTITUTE(SUBSTITUTE(SUBSTITUTE($D3134,"-","")," ",""),".",""))</f>
        <v/>
      </c>
      <c r="J3134" s="10" t="str">
        <f aca="false">IF($E3134="","",UPPER(SUBSTITUTE($E3134," ","")))</f>
        <v/>
      </c>
      <c r="K3134" s="10" t="str">
        <f aca="false">IF($A3134="","",$G3134&amp;"|"&amp;$J3134)</f>
        <v/>
      </c>
      <c r="L3134" s="10" t="str">
        <f aca="false">IF($A3134="","",ROW()-2)</f>
        <v/>
      </c>
      <c r="M3134" s="10" t="str">
        <f aca="false">IF($A3134="","",ROW())</f>
        <v/>
      </c>
    </row>
    <row r="3135" customFormat="false" ht="15" hidden="false" customHeight="true" outlineLevel="0" collapsed="false">
      <c r="A3135" s="8"/>
      <c r="B3135" s="8"/>
      <c r="C3135" s="8"/>
      <c r="D3135" s="8"/>
      <c r="E3135" s="8"/>
      <c r="F3135" s="8"/>
      <c r="G3135" s="10" t="str">
        <f aca="false">IF($A3135="","",UPPER(SUBSTITUTE(SUBSTITUTE(SUBSTITUTE(SUBSTITUTE($A3135," ",""),"(주)",""),"주식회사",""),"㈜","")))</f>
        <v/>
      </c>
      <c r="H3135" s="10" t="str">
        <f aca="false">IF($B3135="","",SUBSTITUTE(SUBSTITUTE(SUBSTITUTE($B3135,"-","")," ",""),".",""))</f>
        <v/>
      </c>
      <c r="I3135" s="10" t="str">
        <f aca="false">IF($D3135="","",SUBSTITUTE(SUBSTITUTE(SUBSTITUTE($D3135,"-","")," ",""),".",""))</f>
        <v/>
      </c>
      <c r="J3135" s="10" t="str">
        <f aca="false">IF($E3135="","",UPPER(SUBSTITUTE($E3135," ","")))</f>
        <v/>
      </c>
      <c r="K3135" s="10" t="str">
        <f aca="false">IF($A3135="","",$G3135&amp;"|"&amp;$J3135)</f>
        <v/>
      </c>
      <c r="L3135" s="10" t="str">
        <f aca="false">IF($A3135="","",ROW()-2)</f>
        <v/>
      </c>
      <c r="M3135" s="10" t="str">
        <f aca="false">IF($A3135="","",ROW())</f>
        <v/>
      </c>
    </row>
    <row r="3136" customFormat="false" ht="15" hidden="false" customHeight="true" outlineLevel="0" collapsed="false">
      <c r="A3136" s="8"/>
      <c r="B3136" s="8"/>
      <c r="C3136" s="8"/>
      <c r="D3136" s="8"/>
      <c r="E3136" s="8"/>
      <c r="F3136" s="8"/>
      <c r="G3136" s="10" t="str">
        <f aca="false">IF($A3136="","",UPPER(SUBSTITUTE(SUBSTITUTE(SUBSTITUTE(SUBSTITUTE($A3136," ",""),"(주)",""),"주식회사",""),"㈜","")))</f>
        <v/>
      </c>
      <c r="H3136" s="10" t="str">
        <f aca="false">IF($B3136="","",SUBSTITUTE(SUBSTITUTE(SUBSTITUTE($B3136,"-","")," ",""),".",""))</f>
        <v/>
      </c>
      <c r="I3136" s="10" t="str">
        <f aca="false">IF($D3136="","",SUBSTITUTE(SUBSTITUTE(SUBSTITUTE($D3136,"-","")," ",""),".",""))</f>
        <v/>
      </c>
      <c r="J3136" s="10" t="str">
        <f aca="false">IF($E3136="","",UPPER(SUBSTITUTE($E3136," ","")))</f>
        <v/>
      </c>
      <c r="K3136" s="10" t="str">
        <f aca="false">IF($A3136="","",$G3136&amp;"|"&amp;$J3136)</f>
        <v/>
      </c>
      <c r="L3136" s="10" t="str">
        <f aca="false">IF($A3136="","",ROW()-2)</f>
        <v/>
      </c>
      <c r="M3136" s="10" t="str">
        <f aca="false">IF($A3136="","",ROW())</f>
        <v/>
      </c>
    </row>
    <row r="3137" customFormat="false" ht="15" hidden="false" customHeight="true" outlineLevel="0" collapsed="false">
      <c r="A3137" s="8"/>
      <c r="B3137" s="8"/>
      <c r="C3137" s="8"/>
      <c r="D3137" s="8"/>
      <c r="E3137" s="8"/>
      <c r="F3137" s="8"/>
      <c r="G3137" s="10" t="str">
        <f aca="false">IF($A3137="","",UPPER(SUBSTITUTE(SUBSTITUTE(SUBSTITUTE(SUBSTITUTE($A3137," ",""),"(주)",""),"주식회사",""),"㈜","")))</f>
        <v/>
      </c>
      <c r="H3137" s="10" t="str">
        <f aca="false">IF($B3137="","",SUBSTITUTE(SUBSTITUTE(SUBSTITUTE($B3137,"-","")," ",""),".",""))</f>
        <v/>
      </c>
      <c r="I3137" s="10" t="str">
        <f aca="false">IF($D3137="","",SUBSTITUTE(SUBSTITUTE(SUBSTITUTE($D3137,"-","")," ",""),".",""))</f>
        <v/>
      </c>
      <c r="J3137" s="10" t="str">
        <f aca="false">IF($E3137="","",UPPER(SUBSTITUTE($E3137," ","")))</f>
        <v/>
      </c>
      <c r="K3137" s="10" t="str">
        <f aca="false">IF($A3137="","",$G3137&amp;"|"&amp;$J3137)</f>
        <v/>
      </c>
      <c r="L3137" s="10" t="str">
        <f aca="false">IF($A3137="","",ROW()-2)</f>
        <v/>
      </c>
      <c r="M3137" s="10" t="str">
        <f aca="false">IF($A3137="","",ROW())</f>
        <v/>
      </c>
    </row>
    <row r="3138" customFormat="false" ht="15" hidden="false" customHeight="true" outlineLevel="0" collapsed="false">
      <c r="A3138" s="8"/>
      <c r="B3138" s="8"/>
      <c r="C3138" s="8"/>
      <c r="D3138" s="8"/>
      <c r="E3138" s="8"/>
      <c r="F3138" s="8"/>
      <c r="G3138" s="10" t="str">
        <f aca="false">IF($A3138="","",UPPER(SUBSTITUTE(SUBSTITUTE(SUBSTITUTE(SUBSTITUTE($A3138," ",""),"(주)",""),"주식회사",""),"㈜","")))</f>
        <v/>
      </c>
      <c r="H3138" s="10" t="str">
        <f aca="false">IF($B3138="","",SUBSTITUTE(SUBSTITUTE(SUBSTITUTE($B3138,"-","")," ",""),".",""))</f>
        <v/>
      </c>
      <c r="I3138" s="10" t="str">
        <f aca="false">IF($D3138="","",SUBSTITUTE(SUBSTITUTE(SUBSTITUTE($D3138,"-","")," ",""),".",""))</f>
        <v/>
      </c>
      <c r="J3138" s="10" t="str">
        <f aca="false">IF($E3138="","",UPPER(SUBSTITUTE($E3138," ","")))</f>
        <v/>
      </c>
      <c r="K3138" s="10" t="str">
        <f aca="false">IF($A3138="","",$G3138&amp;"|"&amp;$J3138)</f>
        <v/>
      </c>
      <c r="L3138" s="10" t="str">
        <f aca="false">IF($A3138="","",ROW()-2)</f>
        <v/>
      </c>
      <c r="M3138" s="10" t="str">
        <f aca="false">IF($A3138="","",ROW())</f>
        <v/>
      </c>
    </row>
    <row r="3139" customFormat="false" ht="15" hidden="false" customHeight="true" outlineLevel="0" collapsed="false">
      <c r="A3139" s="8"/>
      <c r="B3139" s="8"/>
      <c r="C3139" s="8"/>
      <c r="D3139" s="8"/>
      <c r="E3139" s="8"/>
      <c r="F3139" s="8"/>
      <c r="G3139" s="10" t="str">
        <f aca="false">IF($A3139="","",UPPER(SUBSTITUTE(SUBSTITUTE(SUBSTITUTE(SUBSTITUTE($A3139," ",""),"(주)",""),"주식회사",""),"㈜","")))</f>
        <v/>
      </c>
      <c r="H3139" s="10" t="str">
        <f aca="false">IF($B3139="","",SUBSTITUTE(SUBSTITUTE(SUBSTITUTE($B3139,"-","")," ",""),".",""))</f>
        <v/>
      </c>
      <c r="I3139" s="10" t="str">
        <f aca="false">IF($D3139="","",SUBSTITUTE(SUBSTITUTE(SUBSTITUTE($D3139,"-","")," ",""),".",""))</f>
        <v/>
      </c>
      <c r="J3139" s="10" t="str">
        <f aca="false">IF($E3139="","",UPPER(SUBSTITUTE($E3139," ","")))</f>
        <v/>
      </c>
      <c r="K3139" s="10" t="str">
        <f aca="false">IF($A3139="","",$G3139&amp;"|"&amp;$J3139)</f>
        <v/>
      </c>
      <c r="L3139" s="10" t="str">
        <f aca="false">IF($A3139="","",ROW()-2)</f>
        <v/>
      </c>
      <c r="M3139" s="10" t="str">
        <f aca="false">IF($A3139="","",ROW())</f>
        <v/>
      </c>
    </row>
    <row r="3140" customFormat="false" ht="15" hidden="false" customHeight="true" outlineLevel="0" collapsed="false">
      <c r="A3140" s="8"/>
      <c r="B3140" s="8"/>
      <c r="C3140" s="8"/>
      <c r="D3140" s="8"/>
      <c r="E3140" s="8"/>
      <c r="F3140" s="8"/>
      <c r="G3140" s="10" t="str">
        <f aca="false">IF($A3140="","",UPPER(SUBSTITUTE(SUBSTITUTE(SUBSTITUTE(SUBSTITUTE($A3140," ",""),"(주)",""),"주식회사",""),"㈜","")))</f>
        <v/>
      </c>
      <c r="H3140" s="10" t="str">
        <f aca="false">IF($B3140="","",SUBSTITUTE(SUBSTITUTE(SUBSTITUTE($B3140,"-","")," ",""),".",""))</f>
        <v/>
      </c>
      <c r="I3140" s="10" t="str">
        <f aca="false">IF($D3140="","",SUBSTITUTE(SUBSTITUTE(SUBSTITUTE($D3140,"-","")," ",""),".",""))</f>
        <v/>
      </c>
      <c r="J3140" s="10" t="str">
        <f aca="false">IF($E3140="","",UPPER(SUBSTITUTE($E3140," ","")))</f>
        <v/>
      </c>
      <c r="K3140" s="10" t="str">
        <f aca="false">IF($A3140="","",$G3140&amp;"|"&amp;$J3140)</f>
        <v/>
      </c>
      <c r="L3140" s="10" t="str">
        <f aca="false">IF($A3140="","",ROW()-2)</f>
        <v/>
      </c>
      <c r="M3140" s="10" t="str">
        <f aca="false">IF($A3140="","",ROW())</f>
        <v/>
      </c>
    </row>
    <row r="3141" customFormat="false" ht="15" hidden="false" customHeight="true" outlineLevel="0" collapsed="false">
      <c r="A3141" s="8"/>
      <c r="B3141" s="8"/>
      <c r="C3141" s="8"/>
      <c r="D3141" s="8"/>
      <c r="E3141" s="8"/>
      <c r="F3141" s="8"/>
      <c r="G3141" s="10" t="str">
        <f aca="false">IF($A3141="","",UPPER(SUBSTITUTE(SUBSTITUTE(SUBSTITUTE(SUBSTITUTE($A3141," ",""),"(주)",""),"주식회사",""),"㈜","")))</f>
        <v/>
      </c>
      <c r="H3141" s="10" t="str">
        <f aca="false">IF($B3141="","",SUBSTITUTE(SUBSTITUTE(SUBSTITUTE($B3141,"-","")," ",""),".",""))</f>
        <v/>
      </c>
      <c r="I3141" s="10" t="str">
        <f aca="false">IF($D3141="","",SUBSTITUTE(SUBSTITUTE(SUBSTITUTE($D3141,"-","")," ",""),".",""))</f>
        <v/>
      </c>
      <c r="J3141" s="10" t="str">
        <f aca="false">IF($E3141="","",UPPER(SUBSTITUTE($E3141," ","")))</f>
        <v/>
      </c>
      <c r="K3141" s="10" t="str">
        <f aca="false">IF($A3141="","",$G3141&amp;"|"&amp;$J3141)</f>
        <v/>
      </c>
      <c r="L3141" s="10" t="str">
        <f aca="false">IF($A3141="","",ROW()-2)</f>
        <v/>
      </c>
      <c r="M3141" s="10" t="str">
        <f aca="false">IF($A3141="","",ROW())</f>
        <v/>
      </c>
    </row>
    <row r="3142" customFormat="false" ht="15" hidden="false" customHeight="true" outlineLevel="0" collapsed="false">
      <c r="A3142" s="8"/>
      <c r="B3142" s="8"/>
      <c r="C3142" s="8"/>
      <c r="D3142" s="8"/>
      <c r="E3142" s="8"/>
      <c r="F3142" s="8"/>
      <c r="G3142" s="10" t="str">
        <f aca="false">IF($A3142="","",UPPER(SUBSTITUTE(SUBSTITUTE(SUBSTITUTE(SUBSTITUTE($A3142," ",""),"(주)",""),"주식회사",""),"㈜","")))</f>
        <v/>
      </c>
      <c r="H3142" s="10" t="str">
        <f aca="false">IF($B3142="","",SUBSTITUTE(SUBSTITUTE(SUBSTITUTE($B3142,"-","")," ",""),".",""))</f>
        <v/>
      </c>
      <c r="I3142" s="10" t="str">
        <f aca="false">IF($D3142="","",SUBSTITUTE(SUBSTITUTE(SUBSTITUTE($D3142,"-","")," ",""),".",""))</f>
        <v/>
      </c>
      <c r="J3142" s="10" t="str">
        <f aca="false">IF($E3142="","",UPPER(SUBSTITUTE($E3142," ","")))</f>
        <v/>
      </c>
      <c r="K3142" s="10" t="str">
        <f aca="false">IF($A3142="","",$G3142&amp;"|"&amp;$J3142)</f>
        <v/>
      </c>
      <c r="L3142" s="10" t="str">
        <f aca="false">IF($A3142="","",ROW()-2)</f>
        <v/>
      </c>
      <c r="M3142" s="10" t="str">
        <f aca="false">IF($A3142="","",ROW())</f>
        <v/>
      </c>
    </row>
    <row r="3143" customFormat="false" ht="15" hidden="false" customHeight="true" outlineLevel="0" collapsed="false">
      <c r="A3143" s="8"/>
      <c r="B3143" s="8"/>
      <c r="C3143" s="8"/>
      <c r="D3143" s="8"/>
      <c r="E3143" s="8"/>
      <c r="F3143" s="8"/>
      <c r="G3143" s="10" t="str">
        <f aca="false">IF($A3143="","",UPPER(SUBSTITUTE(SUBSTITUTE(SUBSTITUTE(SUBSTITUTE($A3143," ",""),"(주)",""),"주식회사",""),"㈜","")))</f>
        <v/>
      </c>
      <c r="H3143" s="10" t="str">
        <f aca="false">IF($B3143="","",SUBSTITUTE(SUBSTITUTE(SUBSTITUTE($B3143,"-","")," ",""),".",""))</f>
        <v/>
      </c>
      <c r="I3143" s="10" t="str">
        <f aca="false">IF($D3143="","",SUBSTITUTE(SUBSTITUTE(SUBSTITUTE($D3143,"-","")," ",""),".",""))</f>
        <v/>
      </c>
      <c r="J3143" s="10" t="str">
        <f aca="false">IF($E3143="","",UPPER(SUBSTITUTE($E3143," ","")))</f>
        <v/>
      </c>
      <c r="K3143" s="10" t="str">
        <f aca="false">IF($A3143="","",$G3143&amp;"|"&amp;$J3143)</f>
        <v/>
      </c>
      <c r="L3143" s="10" t="str">
        <f aca="false">IF($A3143="","",ROW()-2)</f>
        <v/>
      </c>
      <c r="M3143" s="10" t="str">
        <f aca="false">IF($A3143="","",ROW())</f>
        <v/>
      </c>
    </row>
    <row r="3144" customFormat="false" ht="15" hidden="false" customHeight="true" outlineLevel="0" collapsed="false">
      <c r="A3144" s="8"/>
      <c r="B3144" s="8"/>
      <c r="C3144" s="8"/>
      <c r="D3144" s="8"/>
      <c r="E3144" s="8"/>
      <c r="F3144" s="8"/>
      <c r="G3144" s="10" t="str">
        <f aca="false">IF($A3144="","",UPPER(SUBSTITUTE(SUBSTITUTE(SUBSTITUTE(SUBSTITUTE($A3144," ",""),"(주)",""),"주식회사",""),"㈜","")))</f>
        <v/>
      </c>
      <c r="H3144" s="10" t="str">
        <f aca="false">IF($B3144="","",SUBSTITUTE(SUBSTITUTE(SUBSTITUTE($B3144,"-","")," ",""),".",""))</f>
        <v/>
      </c>
      <c r="I3144" s="10" t="str">
        <f aca="false">IF($D3144="","",SUBSTITUTE(SUBSTITUTE(SUBSTITUTE($D3144,"-","")," ",""),".",""))</f>
        <v/>
      </c>
      <c r="J3144" s="10" t="str">
        <f aca="false">IF($E3144="","",UPPER(SUBSTITUTE($E3144," ","")))</f>
        <v/>
      </c>
      <c r="K3144" s="10" t="str">
        <f aca="false">IF($A3144="","",$G3144&amp;"|"&amp;$J3144)</f>
        <v/>
      </c>
      <c r="L3144" s="10" t="str">
        <f aca="false">IF($A3144="","",ROW()-2)</f>
        <v/>
      </c>
      <c r="M3144" s="10" t="str">
        <f aca="false">IF($A3144="","",ROW())</f>
        <v/>
      </c>
    </row>
    <row r="3145" customFormat="false" ht="15" hidden="false" customHeight="true" outlineLevel="0" collapsed="false">
      <c r="A3145" s="8"/>
      <c r="B3145" s="8"/>
      <c r="C3145" s="8"/>
      <c r="D3145" s="8"/>
      <c r="E3145" s="8"/>
      <c r="F3145" s="8"/>
      <c r="G3145" s="10" t="str">
        <f aca="false">IF($A3145="","",UPPER(SUBSTITUTE(SUBSTITUTE(SUBSTITUTE(SUBSTITUTE($A3145," ",""),"(주)",""),"주식회사",""),"㈜","")))</f>
        <v/>
      </c>
      <c r="H3145" s="10" t="str">
        <f aca="false">IF($B3145="","",SUBSTITUTE(SUBSTITUTE(SUBSTITUTE($B3145,"-","")," ",""),".",""))</f>
        <v/>
      </c>
      <c r="I3145" s="10" t="str">
        <f aca="false">IF($D3145="","",SUBSTITUTE(SUBSTITUTE(SUBSTITUTE($D3145,"-","")," ",""),".",""))</f>
        <v/>
      </c>
      <c r="J3145" s="10" t="str">
        <f aca="false">IF($E3145="","",UPPER(SUBSTITUTE($E3145," ","")))</f>
        <v/>
      </c>
      <c r="K3145" s="10" t="str">
        <f aca="false">IF($A3145="","",$G3145&amp;"|"&amp;$J3145)</f>
        <v/>
      </c>
      <c r="L3145" s="10" t="str">
        <f aca="false">IF($A3145="","",ROW()-2)</f>
        <v/>
      </c>
      <c r="M3145" s="10" t="str">
        <f aca="false">IF($A3145="","",ROW())</f>
        <v/>
      </c>
    </row>
    <row r="3146" customFormat="false" ht="15" hidden="false" customHeight="true" outlineLevel="0" collapsed="false">
      <c r="A3146" s="8"/>
      <c r="B3146" s="8"/>
      <c r="C3146" s="8"/>
      <c r="D3146" s="8"/>
      <c r="E3146" s="8"/>
      <c r="F3146" s="8"/>
      <c r="G3146" s="10" t="str">
        <f aca="false">IF($A3146="","",UPPER(SUBSTITUTE(SUBSTITUTE(SUBSTITUTE(SUBSTITUTE($A3146," ",""),"(주)",""),"주식회사",""),"㈜","")))</f>
        <v/>
      </c>
      <c r="H3146" s="10" t="str">
        <f aca="false">IF($B3146="","",SUBSTITUTE(SUBSTITUTE(SUBSTITUTE($B3146,"-","")," ",""),".",""))</f>
        <v/>
      </c>
      <c r="I3146" s="10" t="str">
        <f aca="false">IF($D3146="","",SUBSTITUTE(SUBSTITUTE(SUBSTITUTE($D3146,"-","")," ",""),".",""))</f>
        <v/>
      </c>
      <c r="J3146" s="10" t="str">
        <f aca="false">IF($E3146="","",UPPER(SUBSTITUTE($E3146," ","")))</f>
        <v/>
      </c>
      <c r="K3146" s="10" t="str">
        <f aca="false">IF($A3146="","",$G3146&amp;"|"&amp;$J3146)</f>
        <v/>
      </c>
      <c r="L3146" s="10" t="str">
        <f aca="false">IF($A3146="","",ROW()-2)</f>
        <v/>
      </c>
      <c r="M3146" s="10" t="str">
        <f aca="false">IF($A3146="","",ROW())</f>
        <v/>
      </c>
    </row>
    <row r="3147" customFormat="false" ht="15" hidden="false" customHeight="true" outlineLevel="0" collapsed="false">
      <c r="A3147" s="8"/>
      <c r="B3147" s="8"/>
      <c r="C3147" s="8"/>
      <c r="D3147" s="8"/>
      <c r="E3147" s="8"/>
      <c r="F3147" s="8"/>
      <c r="G3147" s="10" t="str">
        <f aca="false">IF($A3147="","",UPPER(SUBSTITUTE(SUBSTITUTE(SUBSTITUTE(SUBSTITUTE($A3147," ",""),"(주)",""),"주식회사",""),"㈜","")))</f>
        <v/>
      </c>
      <c r="H3147" s="10" t="str">
        <f aca="false">IF($B3147="","",SUBSTITUTE(SUBSTITUTE(SUBSTITUTE($B3147,"-","")," ",""),".",""))</f>
        <v/>
      </c>
      <c r="I3147" s="10" t="str">
        <f aca="false">IF($D3147="","",SUBSTITUTE(SUBSTITUTE(SUBSTITUTE($D3147,"-","")," ",""),".",""))</f>
        <v/>
      </c>
      <c r="J3147" s="10" t="str">
        <f aca="false">IF($E3147="","",UPPER(SUBSTITUTE($E3147," ","")))</f>
        <v/>
      </c>
      <c r="K3147" s="10" t="str">
        <f aca="false">IF($A3147="","",$G3147&amp;"|"&amp;$J3147)</f>
        <v/>
      </c>
      <c r="L3147" s="10" t="str">
        <f aca="false">IF($A3147="","",ROW()-2)</f>
        <v/>
      </c>
      <c r="M3147" s="10" t="str">
        <f aca="false">IF($A3147="","",ROW())</f>
        <v/>
      </c>
    </row>
    <row r="3148" customFormat="false" ht="15" hidden="false" customHeight="true" outlineLevel="0" collapsed="false">
      <c r="A3148" s="8"/>
      <c r="B3148" s="8"/>
      <c r="C3148" s="8"/>
      <c r="D3148" s="8"/>
      <c r="E3148" s="8"/>
      <c r="F3148" s="8"/>
      <c r="G3148" s="10" t="str">
        <f aca="false">IF($A3148="","",UPPER(SUBSTITUTE(SUBSTITUTE(SUBSTITUTE(SUBSTITUTE($A3148," ",""),"(주)",""),"주식회사",""),"㈜","")))</f>
        <v/>
      </c>
      <c r="H3148" s="10" t="str">
        <f aca="false">IF($B3148="","",SUBSTITUTE(SUBSTITUTE(SUBSTITUTE($B3148,"-","")," ",""),".",""))</f>
        <v/>
      </c>
      <c r="I3148" s="10" t="str">
        <f aca="false">IF($D3148="","",SUBSTITUTE(SUBSTITUTE(SUBSTITUTE($D3148,"-","")," ",""),".",""))</f>
        <v/>
      </c>
      <c r="J3148" s="10" t="str">
        <f aca="false">IF($E3148="","",UPPER(SUBSTITUTE($E3148," ","")))</f>
        <v/>
      </c>
      <c r="K3148" s="10" t="str">
        <f aca="false">IF($A3148="","",$G3148&amp;"|"&amp;$J3148)</f>
        <v/>
      </c>
      <c r="L3148" s="10" t="str">
        <f aca="false">IF($A3148="","",ROW()-2)</f>
        <v/>
      </c>
      <c r="M3148" s="10" t="str">
        <f aca="false">IF($A3148="","",ROW())</f>
        <v/>
      </c>
    </row>
    <row r="3149" customFormat="false" ht="15" hidden="false" customHeight="true" outlineLevel="0" collapsed="false">
      <c r="A3149" s="8"/>
      <c r="B3149" s="8"/>
      <c r="C3149" s="8"/>
      <c r="D3149" s="8"/>
      <c r="E3149" s="8"/>
      <c r="F3149" s="8"/>
      <c r="G3149" s="10" t="str">
        <f aca="false">IF($A3149="","",UPPER(SUBSTITUTE(SUBSTITUTE(SUBSTITUTE(SUBSTITUTE($A3149," ",""),"(주)",""),"주식회사",""),"㈜","")))</f>
        <v/>
      </c>
      <c r="H3149" s="10" t="str">
        <f aca="false">IF($B3149="","",SUBSTITUTE(SUBSTITUTE(SUBSTITUTE($B3149,"-","")," ",""),".",""))</f>
        <v/>
      </c>
      <c r="I3149" s="10" t="str">
        <f aca="false">IF($D3149="","",SUBSTITUTE(SUBSTITUTE(SUBSTITUTE($D3149,"-","")," ",""),".",""))</f>
        <v/>
      </c>
      <c r="J3149" s="10" t="str">
        <f aca="false">IF($E3149="","",UPPER(SUBSTITUTE($E3149," ","")))</f>
        <v/>
      </c>
      <c r="K3149" s="10" t="str">
        <f aca="false">IF($A3149="","",$G3149&amp;"|"&amp;$J3149)</f>
        <v/>
      </c>
      <c r="L3149" s="10" t="str">
        <f aca="false">IF($A3149="","",ROW()-2)</f>
        <v/>
      </c>
      <c r="M3149" s="10" t="str">
        <f aca="false">IF($A3149="","",ROW())</f>
        <v/>
      </c>
    </row>
    <row r="3150" customFormat="false" ht="15" hidden="false" customHeight="true" outlineLevel="0" collapsed="false">
      <c r="A3150" s="8"/>
      <c r="B3150" s="8"/>
      <c r="C3150" s="8"/>
      <c r="D3150" s="8"/>
      <c r="E3150" s="8"/>
      <c r="F3150" s="8"/>
      <c r="G3150" s="10" t="str">
        <f aca="false">IF($A3150="","",UPPER(SUBSTITUTE(SUBSTITUTE(SUBSTITUTE(SUBSTITUTE($A3150," ",""),"(주)",""),"주식회사",""),"㈜","")))</f>
        <v/>
      </c>
      <c r="H3150" s="10" t="str">
        <f aca="false">IF($B3150="","",SUBSTITUTE(SUBSTITUTE(SUBSTITUTE($B3150,"-","")," ",""),".",""))</f>
        <v/>
      </c>
      <c r="I3150" s="10" t="str">
        <f aca="false">IF($D3150="","",SUBSTITUTE(SUBSTITUTE(SUBSTITUTE($D3150,"-","")," ",""),".",""))</f>
        <v/>
      </c>
      <c r="J3150" s="10" t="str">
        <f aca="false">IF($E3150="","",UPPER(SUBSTITUTE($E3150," ","")))</f>
        <v/>
      </c>
      <c r="K3150" s="10" t="str">
        <f aca="false">IF($A3150="","",$G3150&amp;"|"&amp;$J3150)</f>
        <v/>
      </c>
      <c r="L3150" s="10" t="str">
        <f aca="false">IF($A3150="","",ROW()-2)</f>
        <v/>
      </c>
      <c r="M3150" s="10" t="str">
        <f aca="false">IF($A3150="","",ROW())</f>
        <v/>
      </c>
    </row>
    <row r="3151" customFormat="false" ht="15" hidden="false" customHeight="true" outlineLevel="0" collapsed="false">
      <c r="A3151" s="8"/>
      <c r="B3151" s="8"/>
      <c r="C3151" s="8"/>
      <c r="D3151" s="8"/>
      <c r="E3151" s="8"/>
      <c r="F3151" s="8"/>
      <c r="G3151" s="10" t="str">
        <f aca="false">IF($A3151="","",UPPER(SUBSTITUTE(SUBSTITUTE(SUBSTITUTE(SUBSTITUTE($A3151," ",""),"(주)",""),"주식회사",""),"㈜","")))</f>
        <v/>
      </c>
      <c r="H3151" s="10" t="str">
        <f aca="false">IF($B3151="","",SUBSTITUTE(SUBSTITUTE(SUBSTITUTE($B3151,"-","")," ",""),".",""))</f>
        <v/>
      </c>
      <c r="I3151" s="10" t="str">
        <f aca="false">IF($D3151="","",SUBSTITUTE(SUBSTITUTE(SUBSTITUTE($D3151,"-","")," ",""),".",""))</f>
        <v/>
      </c>
      <c r="J3151" s="10" t="str">
        <f aca="false">IF($E3151="","",UPPER(SUBSTITUTE($E3151," ","")))</f>
        <v/>
      </c>
      <c r="K3151" s="10" t="str">
        <f aca="false">IF($A3151="","",$G3151&amp;"|"&amp;$J3151)</f>
        <v/>
      </c>
      <c r="L3151" s="10" t="str">
        <f aca="false">IF($A3151="","",ROW()-2)</f>
        <v/>
      </c>
      <c r="M3151" s="10" t="str">
        <f aca="false">IF($A3151="","",ROW())</f>
        <v/>
      </c>
    </row>
    <row r="3152" customFormat="false" ht="15" hidden="false" customHeight="true" outlineLevel="0" collapsed="false">
      <c r="A3152" s="8"/>
      <c r="B3152" s="8"/>
      <c r="C3152" s="8"/>
      <c r="D3152" s="8"/>
      <c r="E3152" s="8"/>
      <c r="F3152" s="8"/>
      <c r="G3152" s="10" t="str">
        <f aca="false">IF($A3152="","",UPPER(SUBSTITUTE(SUBSTITUTE(SUBSTITUTE(SUBSTITUTE($A3152," ",""),"(주)",""),"주식회사",""),"㈜","")))</f>
        <v/>
      </c>
      <c r="H3152" s="10" t="str">
        <f aca="false">IF($B3152="","",SUBSTITUTE(SUBSTITUTE(SUBSTITUTE($B3152,"-","")," ",""),".",""))</f>
        <v/>
      </c>
      <c r="I3152" s="10" t="str">
        <f aca="false">IF($D3152="","",SUBSTITUTE(SUBSTITUTE(SUBSTITUTE($D3152,"-","")," ",""),".",""))</f>
        <v/>
      </c>
      <c r="J3152" s="10" t="str">
        <f aca="false">IF($E3152="","",UPPER(SUBSTITUTE($E3152," ","")))</f>
        <v/>
      </c>
      <c r="K3152" s="10" t="str">
        <f aca="false">IF($A3152="","",$G3152&amp;"|"&amp;$J3152)</f>
        <v/>
      </c>
      <c r="L3152" s="10" t="str">
        <f aca="false">IF($A3152="","",ROW()-2)</f>
        <v/>
      </c>
      <c r="M3152" s="10" t="str">
        <f aca="false">IF($A3152="","",ROW())</f>
        <v/>
      </c>
    </row>
    <row r="3153" customFormat="false" ht="15" hidden="false" customHeight="true" outlineLevel="0" collapsed="false">
      <c r="A3153" s="8"/>
      <c r="B3153" s="8"/>
      <c r="C3153" s="8"/>
      <c r="D3153" s="8"/>
      <c r="E3153" s="8"/>
      <c r="F3153" s="8"/>
      <c r="G3153" s="10" t="str">
        <f aca="false">IF($A3153="","",UPPER(SUBSTITUTE(SUBSTITUTE(SUBSTITUTE(SUBSTITUTE($A3153," ",""),"(주)",""),"주식회사",""),"㈜","")))</f>
        <v/>
      </c>
      <c r="H3153" s="10" t="str">
        <f aca="false">IF($B3153="","",SUBSTITUTE(SUBSTITUTE(SUBSTITUTE($B3153,"-","")," ",""),".",""))</f>
        <v/>
      </c>
      <c r="I3153" s="10" t="str">
        <f aca="false">IF($D3153="","",SUBSTITUTE(SUBSTITUTE(SUBSTITUTE($D3153,"-","")," ",""),".",""))</f>
        <v/>
      </c>
      <c r="J3153" s="10" t="str">
        <f aca="false">IF($E3153="","",UPPER(SUBSTITUTE($E3153," ","")))</f>
        <v/>
      </c>
      <c r="K3153" s="10" t="str">
        <f aca="false">IF($A3153="","",$G3153&amp;"|"&amp;$J3153)</f>
        <v/>
      </c>
      <c r="L3153" s="10" t="str">
        <f aca="false">IF($A3153="","",ROW()-2)</f>
        <v/>
      </c>
      <c r="M3153" s="10" t="str">
        <f aca="false">IF($A3153="","",ROW())</f>
        <v/>
      </c>
    </row>
    <row r="3154" customFormat="false" ht="15" hidden="false" customHeight="true" outlineLevel="0" collapsed="false">
      <c r="A3154" s="8"/>
      <c r="B3154" s="8"/>
      <c r="C3154" s="8"/>
      <c r="D3154" s="8"/>
      <c r="E3154" s="8"/>
      <c r="F3154" s="8"/>
      <c r="G3154" s="10" t="str">
        <f aca="false">IF($A3154="","",UPPER(SUBSTITUTE(SUBSTITUTE(SUBSTITUTE(SUBSTITUTE($A3154," ",""),"(주)",""),"주식회사",""),"㈜","")))</f>
        <v/>
      </c>
      <c r="H3154" s="10" t="str">
        <f aca="false">IF($B3154="","",SUBSTITUTE(SUBSTITUTE(SUBSTITUTE($B3154,"-","")," ",""),".",""))</f>
        <v/>
      </c>
      <c r="I3154" s="10" t="str">
        <f aca="false">IF($D3154="","",SUBSTITUTE(SUBSTITUTE(SUBSTITUTE($D3154,"-","")," ",""),".",""))</f>
        <v/>
      </c>
      <c r="J3154" s="10" t="str">
        <f aca="false">IF($E3154="","",UPPER(SUBSTITUTE($E3154," ","")))</f>
        <v/>
      </c>
      <c r="K3154" s="10" t="str">
        <f aca="false">IF($A3154="","",$G3154&amp;"|"&amp;$J3154)</f>
        <v/>
      </c>
      <c r="L3154" s="10" t="str">
        <f aca="false">IF($A3154="","",ROW()-2)</f>
        <v/>
      </c>
      <c r="M3154" s="10" t="str">
        <f aca="false">IF($A3154="","",ROW())</f>
        <v/>
      </c>
    </row>
    <row r="3155" customFormat="false" ht="15" hidden="false" customHeight="true" outlineLevel="0" collapsed="false">
      <c r="A3155" s="8"/>
      <c r="B3155" s="8"/>
      <c r="C3155" s="8"/>
      <c r="D3155" s="8"/>
      <c r="E3155" s="8"/>
      <c r="F3155" s="8"/>
      <c r="G3155" s="10" t="str">
        <f aca="false">IF($A3155="","",UPPER(SUBSTITUTE(SUBSTITUTE(SUBSTITUTE(SUBSTITUTE($A3155," ",""),"(주)",""),"주식회사",""),"㈜","")))</f>
        <v/>
      </c>
      <c r="H3155" s="10" t="str">
        <f aca="false">IF($B3155="","",SUBSTITUTE(SUBSTITUTE(SUBSTITUTE($B3155,"-","")," ",""),".",""))</f>
        <v/>
      </c>
      <c r="I3155" s="10" t="str">
        <f aca="false">IF($D3155="","",SUBSTITUTE(SUBSTITUTE(SUBSTITUTE($D3155,"-","")," ",""),".",""))</f>
        <v/>
      </c>
      <c r="J3155" s="10" t="str">
        <f aca="false">IF($E3155="","",UPPER(SUBSTITUTE($E3155," ","")))</f>
        <v/>
      </c>
      <c r="K3155" s="10" t="str">
        <f aca="false">IF($A3155="","",$G3155&amp;"|"&amp;$J3155)</f>
        <v/>
      </c>
      <c r="L3155" s="10" t="str">
        <f aca="false">IF($A3155="","",ROW()-2)</f>
        <v/>
      </c>
      <c r="M3155" s="10" t="str">
        <f aca="false">IF($A3155="","",ROW())</f>
        <v/>
      </c>
    </row>
    <row r="3156" customFormat="false" ht="15" hidden="false" customHeight="true" outlineLevel="0" collapsed="false">
      <c r="A3156" s="8"/>
      <c r="B3156" s="8"/>
      <c r="C3156" s="8"/>
      <c r="D3156" s="8"/>
      <c r="E3156" s="8"/>
      <c r="F3156" s="8"/>
      <c r="G3156" s="10" t="str">
        <f aca="false">IF($A3156="","",UPPER(SUBSTITUTE(SUBSTITUTE(SUBSTITUTE(SUBSTITUTE($A3156," ",""),"(주)",""),"주식회사",""),"㈜","")))</f>
        <v/>
      </c>
      <c r="H3156" s="10" t="str">
        <f aca="false">IF($B3156="","",SUBSTITUTE(SUBSTITUTE(SUBSTITUTE($B3156,"-","")," ",""),".",""))</f>
        <v/>
      </c>
      <c r="I3156" s="10" t="str">
        <f aca="false">IF($D3156="","",SUBSTITUTE(SUBSTITUTE(SUBSTITUTE($D3156,"-","")," ",""),".",""))</f>
        <v/>
      </c>
      <c r="J3156" s="10" t="str">
        <f aca="false">IF($E3156="","",UPPER(SUBSTITUTE($E3156," ","")))</f>
        <v/>
      </c>
      <c r="K3156" s="10" t="str">
        <f aca="false">IF($A3156="","",$G3156&amp;"|"&amp;$J3156)</f>
        <v/>
      </c>
      <c r="L3156" s="10" t="str">
        <f aca="false">IF($A3156="","",ROW()-2)</f>
        <v/>
      </c>
      <c r="M3156" s="10" t="str">
        <f aca="false">IF($A3156="","",ROW())</f>
        <v/>
      </c>
    </row>
    <row r="3157" customFormat="false" ht="15" hidden="false" customHeight="true" outlineLevel="0" collapsed="false">
      <c r="A3157" s="8"/>
      <c r="B3157" s="8"/>
      <c r="C3157" s="8"/>
      <c r="D3157" s="8"/>
      <c r="E3157" s="8"/>
      <c r="F3157" s="8"/>
      <c r="G3157" s="10" t="str">
        <f aca="false">IF($A3157="","",UPPER(SUBSTITUTE(SUBSTITUTE(SUBSTITUTE(SUBSTITUTE($A3157," ",""),"(주)",""),"주식회사",""),"㈜","")))</f>
        <v/>
      </c>
      <c r="H3157" s="10" t="str">
        <f aca="false">IF($B3157="","",SUBSTITUTE(SUBSTITUTE(SUBSTITUTE($B3157,"-","")," ",""),".",""))</f>
        <v/>
      </c>
      <c r="I3157" s="10" t="str">
        <f aca="false">IF($D3157="","",SUBSTITUTE(SUBSTITUTE(SUBSTITUTE($D3157,"-","")," ",""),".",""))</f>
        <v/>
      </c>
      <c r="J3157" s="10" t="str">
        <f aca="false">IF($E3157="","",UPPER(SUBSTITUTE($E3157," ","")))</f>
        <v/>
      </c>
      <c r="K3157" s="10" t="str">
        <f aca="false">IF($A3157="","",$G3157&amp;"|"&amp;$J3157)</f>
        <v/>
      </c>
      <c r="L3157" s="10" t="str">
        <f aca="false">IF($A3157="","",ROW()-2)</f>
        <v/>
      </c>
      <c r="M3157" s="10" t="str">
        <f aca="false">IF($A3157="","",ROW())</f>
        <v/>
      </c>
    </row>
    <row r="3158" customFormat="false" ht="15" hidden="false" customHeight="true" outlineLevel="0" collapsed="false">
      <c r="A3158" s="8"/>
      <c r="B3158" s="8"/>
      <c r="C3158" s="8"/>
      <c r="D3158" s="8"/>
      <c r="E3158" s="8"/>
      <c r="F3158" s="8"/>
      <c r="G3158" s="10" t="str">
        <f aca="false">IF($A3158="","",UPPER(SUBSTITUTE(SUBSTITUTE(SUBSTITUTE(SUBSTITUTE($A3158," ",""),"(주)",""),"주식회사",""),"㈜","")))</f>
        <v/>
      </c>
      <c r="H3158" s="10" t="str">
        <f aca="false">IF($B3158="","",SUBSTITUTE(SUBSTITUTE(SUBSTITUTE($B3158,"-","")," ",""),".",""))</f>
        <v/>
      </c>
      <c r="I3158" s="10" t="str">
        <f aca="false">IF($D3158="","",SUBSTITUTE(SUBSTITUTE(SUBSTITUTE($D3158,"-","")," ",""),".",""))</f>
        <v/>
      </c>
      <c r="J3158" s="10" t="str">
        <f aca="false">IF($E3158="","",UPPER(SUBSTITUTE($E3158," ","")))</f>
        <v/>
      </c>
      <c r="K3158" s="10" t="str">
        <f aca="false">IF($A3158="","",$G3158&amp;"|"&amp;$J3158)</f>
        <v/>
      </c>
      <c r="L3158" s="10" t="str">
        <f aca="false">IF($A3158="","",ROW()-2)</f>
        <v/>
      </c>
      <c r="M3158" s="10" t="str">
        <f aca="false">IF($A3158="","",ROW())</f>
        <v/>
      </c>
    </row>
    <row r="3159" customFormat="false" ht="15" hidden="false" customHeight="true" outlineLevel="0" collapsed="false">
      <c r="A3159" s="8"/>
      <c r="B3159" s="8"/>
      <c r="C3159" s="8"/>
      <c r="D3159" s="8"/>
      <c r="E3159" s="8"/>
      <c r="F3159" s="8"/>
      <c r="G3159" s="10" t="str">
        <f aca="false">IF($A3159="","",UPPER(SUBSTITUTE(SUBSTITUTE(SUBSTITUTE(SUBSTITUTE($A3159," ",""),"(주)",""),"주식회사",""),"㈜","")))</f>
        <v/>
      </c>
      <c r="H3159" s="10" t="str">
        <f aca="false">IF($B3159="","",SUBSTITUTE(SUBSTITUTE(SUBSTITUTE($B3159,"-","")," ",""),".",""))</f>
        <v/>
      </c>
      <c r="I3159" s="10" t="str">
        <f aca="false">IF($D3159="","",SUBSTITUTE(SUBSTITUTE(SUBSTITUTE($D3159,"-","")," ",""),".",""))</f>
        <v/>
      </c>
      <c r="J3159" s="10" t="str">
        <f aca="false">IF($E3159="","",UPPER(SUBSTITUTE($E3159," ","")))</f>
        <v/>
      </c>
      <c r="K3159" s="10" t="str">
        <f aca="false">IF($A3159="","",$G3159&amp;"|"&amp;$J3159)</f>
        <v/>
      </c>
      <c r="L3159" s="10" t="str">
        <f aca="false">IF($A3159="","",ROW()-2)</f>
        <v/>
      </c>
      <c r="M3159" s="10" t="str">
        <f aca="false">IF($A3159="","",ROW())</f>
        <v/>
      </c>
    </row>
    <row r="3160" customFormat="false" ht="15" hidden="false" customHeight="true" outlineLevel="0" collapsed="false">
      <c r="A3160" s="8"/>
      <c r="B3160" s="8"/>
      <c r="C3160" s="8"/>
      <c r="D3160" s="8"/>
      <c r="E3160" s="8"/>
      <c r="F3160" s="8"/>
      <c r="G3160" s="10" t="str">
        <f aca="false">IF($A3160="","",UPPER(SUBSTITUTE(SUBSTITUTE(SUBSTITUTE(SUBSTITUTE($A3160," ",""),"(주)",""),"주식회사",""),"㈜","")))</f>
        <v/>
      </c>
      <c r="H3160" s="10" t="str">
        <f aca="false">IF($B3160="","",SUBSTITUTE(SUBSTITUTE(SUBSTITUTE($B3160,"-","")," ",""),".",""))</f>
        <v/>
      </c>
      <c r="I3160" s="10" t="str">
        <f aca="false">IF($D3160="","",SUBSTITUTE(SUBSTITUTE(SUBSTITUTE($D3160,"-","")," ",""),".",""))</f>
        <v/>
      </c>
      <c r="J3160" s="10" t="str">
        <f aca="false">IF($E3160="","",UPPER(SUBSTITUTE($E3160," ","")))</f>
        <v/>
      </c>
      <c r="K3160" s="10" t="str">
        <f aca="false">IF($A3160="","",$G3160&amp;"|"&amp;$J3160)</f>
        <v/>
      </c>
      <c r="L3160" s="10" t="str">
        <f aca="false">IF($A3160="","",ROW()-2)</f>
        <v/>
      </c>
      <c r="M3160" s="10" t="str">
        <f aca="false">IF($A3160="","",ROW())</f>
        <v/>
      </c>
    </row>
    <row r="3161" customFormat="false" ht="15" hidden="false" customHeight="true" outlineLevel="0" collapsed="false">
      <c r="A3161" s="8"/>
      <c r="B3161" s="8"/>
      <c r="C3161" s="8"/>
      <c r="D3161" s="8"/>
      <c r="E3161" s="8"/>
      <c r="F3161" s="8"/>
      <c r="G3161" s="10" t="str">
        <f aca="false">IF($A3161="","",UPPER(SUBSTITUTE(SUBSTITUTE(SUBSTITUTE(SUBSTITUTE($A3161," ",""),"(주)",""),"주식회사",""),"㈜","")))</f>
        <v/>
      </c>
      <c r="H3161" s="10" t="str">
        <f aca="false">IF($B3161="","",SUBSTITUTE(SUBSTITUTE(SUBSTITUTE($B3161,"-","")," ",""),".",""))</f>
        <v/>
      </c>
      <c r="I3161" s="10" t="str">
        <f aca="false">IF($D3161="","",SUBSTITUTE(SUBSTITUTE(SUBSTITUTE($D3161,"-","")," ",""),".",""))</f>
        <v/>
      </c>
      <c r="J3161" s="10" t="str">
        <f aca="false">IF($E3161="","",UPPER(SUBSTITUTE($E3161," ","")))</f>
        <v/>
      </c>
      <c r="K3161" s="10" t="str">
        <f aca="false">IF($A3161="","",$G3161&amp;"|"&amp;$J3161)</f>
        <v/>
      </c>
      <c r="L3161" s="10" t="str">
        <f aca="false">IF($A3161="","",ROW()-2)</f>
        <v/>
      </c>
      <c r="M3161" s="10" t="str">
        <f aca="false">IF($A3161="","",ROW())</f>
        <v/>
      </c>
    </row>
    <row r="3162" customFormat="false" ht="15" hidden="false" customHeight="true" outlineLevel="0" collapsed="false">
      <c r="A3162" s="8"/>
      <c r="B3162" s="8"/>
      <c r="C3162" s="8"/>
      <c r="D3162" s="8"/>
      <c r="E3162" s="8"/>
      <c r="F3162" s="8"/>
      <c r="G3162" s="10" t="str">
        <f aca="false">IF($A3162="","",UPPER(SUBSTITUTE(SUBSTITUTE(SUBSTITUTE(SUBSTITUTE($A3162," ",""),"(주)",""),"주식회사",""),"㈜","")))</f>
        <v/>
      </c>
      <c r="H3162" s="10" t="str">
        <f aca="false">IF($B3162="","",SUBSTITUTE(SUBSTITUTE(SUBSTITUTE($B3162,"-","")," ",""),".",""))</f>
        <v/>
      </c>
      <c r="I3162" s="10" t="str">
        <f aca="false">IF($D3162="","",SUBSTITUTE(SUBSTITUTE(SUBSTITUTE($D3162,"-","")," ",""),".",""))</f>
        <v/>
      </c>
      <c r="J3162" s="10" t="str">
        <f aca="false">IF($E3162="","",UPPER(SUBSTITUTE($E3162," ","")))</f>
        <v/>
      </c>
      <c r="K3162" s="10" t="str">
        <f aca="false">IF($A3162="","",$G3162&amp;"|"&amp;$J3162)</f>
        <v/>
      </c>
      <c r="L3162" s="10" t="str">
        <f aca="false">IF($A3162="","",ROW()-2)</f>
        <v/>
      </c>
      <c r="M3162" s="10" t="str">
        <f aca="false">IF($A3162="","",ROW())</f>
        <v/>
      </c>
    </row>
    <row r="3163" customFormat="false" ht="15" hidden="false" customHeight="true" outlineLevel="0" collapsed="false">
      <c r="A3163" s="8"/>
      <c r="B3163" s="8"/>
      <c r="C3163" s="8"/>
      <c r="D3163" s="8"/>
      <c r="E3163" s="8"/>
      <c r="F3163" s="8"/>
      <c r="G3163" s="10" t="str">
        <f aca="false">IF($A3163="","",UPPER(SUBSTITUTE(SUBSTITUTE(SUBSTITUTE(SUBSTITUTE($A3163," ",""),"(주)",""),"주식회사",""),"㈜","")))</f>
        <v/>
      </c>
      <c r="H3163" s="10" t="str">
        <f aca="false">IF($B3163="","",SUBSTITUTE(SUBSTITUTE(SUBSTITUTE($B3163,"-","")," ",""),".",""))</f>
        <v/>
      </c>
      <c r="I3163" s="10" t="str">
        <f aca="false">IF($D3163="","",SUBSTITUTE(SUBSTITUTE(SUBSTITUTE($D3163,"-","")," ",""),".",""))</f>
        <v/>
      </c>
      <c r="J3163" s="10" t="str">
        <f aca="false">IF($E3163="","",UPPER(SUBSTITUTE($E3163," ","")))</f>
        <v/>
      </c>
      <c r="K3163" s="10" t="str">
        <f aca="false">IF($A3163="","",$G3163&amp;"|"&amp;$J3163)</f>
        <v/>
      </c>
      <c r="L3163" s="10" t="str">
        <f aca="false">IF($A3163="","",ROW()-2)</f>
        <v/>
      </c>
      <c r="M3163" s="10" t="str">
        <f aca="false">IF($A3163="","",ROW())</f>
        <v/>
      </c>
    </row>
    <row r="3164" customFormat="false" ht="15" hidden="false" customHeight="true" outlineLevel="0" collapsed="false">
      <c r="A3164" s="8"/>
      <c r="B3164" s="8"/>
      <c r="C3164" s="8"/>
      <c r="D3164" s="8"/>
      <c r="E3164" s="8"/>
      <c r="F3164" s="8"/>
      <c r="G3164" s="10" t="str">
        <f aca="false">IF($A3164="","",UPPER(SUBSTITUTE(SUBSTITUTE(SUBSTITUTE(SUBSTITUTE($A3164," ",""),"(주)",""),"주식회사",""),"㈜","")))</f>
        <v/>
      </c>
      <c r="H3164" s="10" t="str">
        <f aca="false">IF($B3164="","",SUBSTITUTE(SUBSTITUTE(SUBSTITUTE($B3164,"-","")," ",""),".",""))</f>
        <v/>
      </c>
      <c r="I3164" s="10" t="str">
        <f aca="false">IF($D3164="","",SUBSTITUTE(SUBSTITUTE(SUBSTITUTE($D3164,"-","")," ",""),".",""))</f>
        <v/>
      </c>
      <c r="J3164" s="10" t="str">
        <f aca="false">IF($E3164="","",UPPER(SUBSTITUTE($E3164," ","")))</f>
        <v/>
      </c>
      <c r="K3164" s="10" t="str">
        <f aca="false">IF($A3164="","",$G3164&amp;"|"&amp;$J3164)</f>
        <v/>
      </c>
      <c r="L3164" s="10" t="str">
        <f aca="false">IF($A3164="","",ROW()-2)</f>
        <v/>
      </c>
      <c r="M3164" s="10" t="str">
        <f aca="false">IF($A3164="","",ROW())</f>
        <v/>
      </c>
    </row>
    <row r="3165" customFormat="false" ht="15" hidden="false" customHeight="true" outlineLevel="0" collapsed="false">
      <c r="A3165" s="8"/>
      <c r="B3165" s="8"/>
      <c r="C3165" s="8"/>
      <c r="D3165" s="8"/>
      <c r="E3165" s="8"/>
      <c r="F3165" s="8"/>
      <c r="G3165" s="10" t="str">
        <f aca="false">IF($A3165="","",UPPER(SUBSTITUTE(SUBSTITUTE(SUBSTITUTE(SUBSTITUTE($A3165," ",""),"(주)",""),"주식회사",""),"㈜","")))</f>
        <v/>
      </c>
      <c r="H3165" s="10" t="str">
        <f aca="false">IF($B3165="","",SUBSTITUTE(SUBSTITUTE(SUBSTITUTE($B3165,"-","")," ",""),".",""))</f>
        <v/>
      </c>
      <c r="I3165" s="10" t="str">
        <f aca="false">IF($D3165="","",SUBSTITUTE(SUBSTITUTE(SUBSTITUTE($D3165,"-","")," ",""),".",""))</f>
        <v/>
      </c>
      <c r="J3165" s="10" t="str">
        <f aca="false">IF($E3165="","",UPPER(SUBSTITUTE($E3165," ","")))</f>
        <v/>
      </c>
      <c r="K3165" s="10" t="str">
        <f aca="false">IF($A3165="","",$G3165&amp;"|"&amp;$J3165)</f>
        <v/>
      </c>
      <c r="L3165" s="10" t="str">
        <f aca="false">IF($A3165="","",ROW()-2)</f>
        <v/>
      </c>
      <c r="M3165" s="10" t="str">
        <f aca="false">IF($A3165="","",ROW())</f>
        <v/>
      </c>
    </row>
    <row r="3166" customFormat="false" ht="15" hidden="false" customHeight="true" outlineLevel="0" collapsed="false">
      <c r="A3166" s="8"/>
      <c r="B3166" s="8"/>
      <c r="C3166" s="8"/>
      <c r="D3166" s="8"/>
      <c r="E3166" s="8"/>
      <c r="F3166" s="8"/>
      <c r="G3166" s="10" t="str">
        <f aca="false">IF($A3166="","",UPPER(SUBSTITUTE(SUBSTITUTE(SUBSTITUTE(SUBSTITUTE($A3166," ",""),"(주)",""),"주식회사",""),"㈜","")))</f>
        <v/>
      </c>
      <c r="H3166" s="10" t="str">
        <f aca="false">IF($B3166="","",SUBSTITUTE(SUBSTITUTE(SUBSTITUTE($B3166,"-","")," ",""),".",""))</f>
        <v/>
      </c>
      <c r="I3166" s="10" t="str">
        <f aca="false">IF($D3166="","",SUBSTITUTE(SUBSTITUTE(SUBSTITUTE($D3166,"-","")," ",""),".",""))</f>
        <v/>
      </c>
      <c r="J3166" s="10" t="str">
        <f aca="false">IF($E3166="","",UPPER(SUBSTITUTE($E3166," ","")))</f>
        <v/>
      </c>
      <c r="K3166" s="10" t="str">
        <f aca="false">IF($A3166="","",$G3166&amp;"|"&amp;$J3166)</f>
        <v/>
      </c>
      <c r="L3166" s="10" t="str">
        <f aca="false">IF($A3166="","",ROW()-2)</f>
        <v/>
      </c>
      <c r="M3166" s="10" t="str">
        <f aca="false">IF($A3166="","",ROW())</f>
        <v/>
      </c>
    </row>
    <row r="3167" customFormat="false" ht="15" hidden="false" customHeight="true" outlineLevel="0" collapsed="false">
      <c r="A3167" s="8"/>
      <c r="B3167" s="8"/>
      <c r="C3167" s="8"/>
      <c r="D3167" s="8"/>
      <c r="E3167" s="8"/>
      <c r="F3167" s="8"/>
      <c r="G3167" s="10" t="str">
        <f aca="false">IF($A3167="","",UPPER(SUBSTITUTE(SUBSTITUTE(SUBSTITUTE(SUBSTITUTE($A3167," ",""),"(주)",""),"주식회사",""),"㈜","")))</f>
        <v/>
      </c>
      <c r="H3167" s="10" t="str">
        <f aca="false">IF($B3167="","",SUBSTITUTE(SUBSTITUTE(SUBSTITUTE($B3167,"-","")," ",""),".",""))</f>
        <v/>
      </c>
      <c r="I3167" s="10" t="str">
        <f aca="false">IF($D3167="","",SUBSTITUTE(SUBSTITUTE(SUBSTITUTE($D3167,"-","")," ",""),".",""))</f>
        <v/>
      </c>
      <c r="J3167" s="10" t="str">
        <f aca="false">IF($E3167="","",UPPER(SUBSTITUTE($E3167," ","")))</f>
        <v/>
      </c>
      <c r="K3167" s="10" t="str">
        <f aca="false">IF($A3167="","",$G3167&amp;"|"&amp;$J3167)</f>
        <v/>
      </c>
      <c r="L3167" s="10" t="str">
        <f aca="false">IF($A3167="","",ROW()-2)</f>
        <v/>
      </c>
      <c r="M3167" s="10" t="str">
        <f aca="false">IF($A3167="","",ROW())</f>
        <v/>
      </c>
    </row>
    <row r="3168" customFormat="false" ht="15" hidden="false" customHeight="true" outlineLevel="0" collapsed="false">
      <c r="A3168" s="8"/>
      <c r="B3168" s="8"/>
      <c r="C3168" s="8"/>
      <c r="D3168" s="8"/>
      <c r="E3168" s="8"/>
      <c r="F3168" s="8"/>
      <c r="G3168" s="10" t="str">
        <f aca="false">IF($A3168="","",UPPER(SUBSTITUTE(SUBSTITUTE(SUBSTITUTE(SUBSTITUTE($A3168," ",""),"(주)",""),"주식회사",""),"㈜","")))</f>
        <v/>
      </c>
      <c r="H3168" s="10" t="str">
        <f aca="false">IF($B3168="","",SUBSTITUTE(SUBSTITUTE(SUBSTITUTE($B3168,"-","")," ",""),".",""))</f>
        <v/>
      </c>
      <c r="I3168" s="10" t="str">
        <f aca="false">IF($D3168="","",SUBSTITUTE(SUBSTITUTE(SUBSTITUTE($D3168,"-","")," ",""),".",""))</f>
        <v/>
      </c>
      <c r="J3168" s="10" t="str">
        <f aca="false">IF($E3168="","",UPPER(SUBSTITUTE($E3168," ","")))</f>
        <v/>
      </c>
      <c r="K3168" s="10" t="str">
        <f aca="false">IF($A3168="","",$G3168&amp;"|"&amp;$J3168)</f>
        <v/>
      </c>
      <c r="L3168" s="10" t="str">
        <f aca="false">IF($A3168="","",ROW()-2)</f>
        <v/>
      </c>
      <c r="M3168" s="10" t="str">
        <f aca="false">IF($A3168="","",ROW())</f>
        <v/>
      </c>
    </row>
    <row r="3169" customFormat="false" ht="15" hidden="false" customHeight="true" outlineLevel="0" collapsed="false">
      <c r="A3169" s="8"/>
      <c r="B3169" s="8"/>
      <c r="C3169" s="8"/>
      <c r="D3169" s="8"/>
      <c r="E3169" s="8"/>
      <c r="F3169" s="8"/>
      <c r="G3169" s="10" t="str">
        <f aca="false">IF($A3169="","",UPPER(SUBSTITUTE(SUBSTITUTE(SUBSTITUTE(SUBSTITUTE($A3169," ",""),"(주)",""),"주식회사",""),"㈜","")))</f>
        <v/>
      </c>
      <c r="H3169" s="10" t="str">
        <f aca="false">IF($B3169="","",SUBSTITUTE(SUBSTITUTE(SUBSTITUTE($B3169,"-","")," ",""),".",""))</f>
        <v/>
      </c>
      <c r="I3169" s="10" t="str">
        <f aca="false">IF($D3169="","",SUBSTITUTE(SUBSTITUTE(SUBSTITUTE($D3169,"-","")," ",""),".",""))</f>
        <v/>
      </c>
      <c r="J3169" s="10" t="str">
        <f aca="false">IF($E3169="","",UPPER(SUBSTITUTE($E3169," ","")))</f>
        <v/>
      </c>
      <c r="K3169" s="10" t="str">
        <f aca="false">IF($A3169="","",$G3169&amp;"|"&amp;$J3169)</f>
        <v/>
      </c>
      <c r="L3169" s="10" t="str">
        <f aca="false">IF($A3169="","",ROW()-2)</f>
        <v/>
      </c>
      <c r="M3169" s="10" t="str">
        <f aca="false">IF($A3169="","",ROW())</f>
        <v/>
      </c>
    </row>
    <row r="3170" customFormat="false" ht="15" hidden="false" customHeight="true" outlineLevel="0" collapsed="false">
      <c r="A3170" s="8"/>
      <c r="B3170" s="8"/>
      <c r="C3170" s="8"/>
      <c r="D3170" s="8"/>
      <c r="E3170" s="8"/>
      <c r="F3170" s="8"/>
      <c r="G3170" s="10" t="str">
        <f aca="false">IF($A3170="","",UPPER(SUBSTITUTE(SUBSTITUTE(SUBSTITUTE(SUBSTITUTE($A3170," ",""),"(주)",""),"주식회사",""),"㈜","")))</f>
        <v/>
      </c>
      <c r="H3170" s="10" t="str">
        <f aca="false">IF($B3170="","",SUBSTITUTE(SUBSTITUTE(SUBSTITUTE($B3170,"-","")," ",""),".",""))</f>
        <v/>
      </c>
      <c r="I3170" s="10" t="str">
        <f aca="false">IF($D3170="","",SUBSTITUTE(SUBSTITUTE(SUBSTITUTE($D3170,"-","")," ",""),".",""))</f>
        <v/>
      </c>
      <c r="J3170" s="10" t="str">
        <f aca="false">IF($E3170="","",UPPER(SUBSTITUTE($E3170," ","")))</f>
        <v/>
      </c>
      <c r="K3170" s="10" t="str">
        <f aca="false">IF($A3170="","",$G3170&amp;"|"&amp;$J3170)</f>
        <v/>
      </c>
      <c r="L3170" s="10" t="str">
        <f aca="false">IF($A3170="","",ROW()-2)</f>
        <v/>
      </c>
      <c r="M3170" s="10" t="str">
        <f aca="false">IF($A3170="","",ROW())</f>
        <v/>
      </c>
    </row>
    <row r="3171" customFormat="false" ht="15" hidden="false" customHeight="true" outlineLevel="0" collapsed="false">
      <c r="A3171" s="8"/>
      <c r="B3171" s="8"/>
      <c r="C3171" s="8"/>
      <c r="D3171" s="8"/>
      <c r="E3171" s="8"/>
      <c r="F3171" s="8"/>
      <c r="G3171" s="10" t="str">
        <f aca="false">IF($A3171="","",UPPER(SUBSTITUTE(SUBSTITUTE(SUBSTITUTE(SUBSTITUTE($A3171," ",""),"(주)",""),"주식회사",""),"㈜","")))</f>
        <v/>
      </c>
      <c r="H3171" s="10" t="str">
        <f aca="false">IF($B3171="","",SUBSTITUTE(SUBSTITUTE(SUBSTITUTE($B3171,"-","")," ",""),".",""))</f>
        <v/>
      </c>
      <c r="I3171" s="10" t="str">
        <f aca="false">IF($D3171="","",SUBSTITUTE(SUBSTITUTE(SUBSTITUTE($D3171,"-","")," ",""),".",""))</f>
        <v/>
      </c>
      <c r="J3171" s="10" t="str">
        <f aca="false">IF($E3171="","",UPPER(SUBSTITUTE($E3171," ","")))</f>
        <v/>
      </c>
      <c r="K3171" s="10" t="str">
        <f aca="false">IF($A3171="","",$G3171&amp;"|"&amp;$J3171)</f>
        <v/>
      </c>
      <c r="L3171" s="10" t="str">
        <f aca="false">IF($A3171="","",ROW()-2)</f>
        <v/>
      </c>
      <c r="M3171" s="10" t="str">
        <f aca="false">IF($A3171="","",ROW())</f>
        <v/>
      </c>
    </row>
    <row r="3172" customFormat="false" ht="15" hidden="false" customHeight="true" outlineLevel="0" collapsed="false">
      <c r="A3172" s="8"/>
      <c r="B3172" s="8"/>
      <c r="C3172" s="8"/>
      <c r="D3172" s="8"/>
      <c r="E3172" s="8"/>
      <c r="F3172" s="8"/>
      <c r="G3172" s="10" t="str">
        <f aca="false">IF($A3172="","",UPPER(SUBSTITUTE(SUBSTITUTE(SUBSTITUTE(SUBSTITUTE($A3172," ",""),"(주)",""),"주식회사",""),"㈜","")))</f>
        <v/>
      </c>
      <c r="H3172" s="10" t="str">
        <f aca="false">IF($B3172="","",SUBSTITUTE(SUBSTITUTE(SUBSTITUTE($B3172,"-","")," ",""),".",""))</f>
        <v/>
      </c>
      <c r="I3172" s="10" t="str">
        <f aca="false">IF($D3172="","",SUBSTITUTE(SUBSTITUTE(SUBSTITUTE($D3172,"-","")," ",""),".",""))</f>
        <v/>
      </c>
      <c r="J3172" s="10" t="str">
        <f aca="false">IF($E3172="","",UPPER(SUBSTITUTE($E3172," ","")))</f>
        <v/>
      </c>
      <c r="K3172" s="10" t="str">
        <f aca="false">IF($A3172="","",$G3172&amp;"|"&amp;$J3172)</f>
        <v/>
      </c>
      <c r="L3172" s="10" t="str">
        <f aca="false">IF($A3172="","",ROW()-2)</f>
        <v/>
      </c>
      <c r="M3172" s="10" t="str">
        <f aca="false">IF($A3172="","",ROW())</f>
        <v/>
      </c>
    </row>
    <row r="3173" customFormat="false" ht="15" hidden="false" customHeight="true" outlineLevel="0" collapsed="false">
      <c r="A3173" s="8"/>
      <c r="B3173" s="8"/>
      <c r="C3173" s="8"/>
      <c r="D3173" s="8"/>
      <c r="E3173" s="8"/>
      <c r="F3173" s="8"/>
      <c r="G3173" s="10" t="str">
        <f aca="false">IF($A3173="","",UPPER(SUBSTITUTE(SUBSTITUTE(SUBSTITUTE(SUBSTITUTE($A3173," ",""),"(주)",""),"주식회사",""),"㈜","")))</f>
        <v/>
      </c>
      <c r="H3173" s="10" t="str">
        <f aca="false">IF($B3173="","",SUBSTITUTE(SUBSTITUTE(SUBSTITUTE($B3173,"-","")," ",""),".",""))</f>
        <v/>
      </c>
      <c r="I3173" s="10" t="str">
        <f aca="false">IF($D3173="","",SUBSTITUTE(SUBSTITUTE(SUBSTITUTE($D3173,"-","")," ",""),".",""))</f>
        <v/>
      </c>
      <c r="J3173" s="10" t="str">
        <f aca="false">IF($E3173="","",UPPER(SUBSTITUTE($E3173," ","")))</f>
        <v/>
      </c>
      <c r="K3173" s="10" t="str">
        <f aca="false">IF($A3173="","",$G3173&amp;"|"&amp;$J3173)</f>
        <v/>
      </c>
      <c r="L3173" s="10" t="str">
        <f aca="false">IF($A3173="","",ROW()-2)</f>
        <v/>
      </c>
      <c r="M3173" s="10" t="str">
        <f aca="false">IF($A3173="","",ROW())</f>
        <v/>
      </c>
    </row>
    <row r="3174" customFormat="false" ht="15" hidden="false" customHeight="true" outlineLevel="0" collapsed="false">
      <c r="A3174" s="8"/>
      <c r="B3174" s="8"/>
      <c r="C3174" s="8"/>
      <c r="D3174" s="8"/>
      <c r="E3174" s="8"/>
      <c r="F3174" s="8"/>
      <c r="G3174" s="10" t="str">
        <f aca="false">IF($A3174="","",UPPER(SUBSTITUTE(SUBSTITUTE(SUBSTITUTE(SUBSTITUTE($A3174," ",""),"(주)",""),"주식회사",""),"㈜","")))</f>
        <v/>
      </c>
      <c r="H3174" s="10" t="str">
        <f aca="false">IF($B3174="","",SUBSTITUTE(SUBSTITUTE(SUBSTITUTE($B3174,"-","")," ",""),".",""))</f>
        <v/>
      </c>
      <c r="I3174" s="10" t="str">
        <f aca="false">IF($D3174="","",SUBSTITUTE(SUBSTITUTE(SUBSTITUTE($D3174,"-","")," ",""),".",""))</f>
        <v/>
      </c>
      <c r="J3174" s="10" t="str">
        <f aca="false">IF($E3174="","",UPPER(SUBSTITUTE($E3174," ","")))</f>
        <v/>
      </c>
      <c r="K3174" s="10" t="str">
        <f aca="false">IF($A3174="","",$G3174&amp;"|"&amp;$J3174)</f>
        <v/>
      </c>
      <c r="L3174" s="10" t="str">
        <f aca="false">IF($A3174="","",ROW()-2)</f>
        <v/>
      </c>
      <c r="M3174" s="10" t="str">
        <f aca="false">IF($A3174="","",ROW())</f>
        <v/>
      </c>
    </row>
    <row r="3175" customFormat="false" ht="15" hidden="false" customHeight="true" outlineLevel="0" collapsed="false">
      <c r="A3175" s="8"/>
      <c r="B3175" s="8"/>
      <c r="C3175" s="8"/>
      <c r="D3175" s="8"/>
      <c r="E3175" s="8"/>
      <c r="F3175" s="8"/>
      <c r="G3175" s="10" t="str">
        <f aca="false">IF($A3175="","",UPPER(SUBSTITUTE(SUBSTITUTE(SUBSTITUTE(SUBSTITUTE($A3175," ",""),"(주)",""),"주식회사",""),"㈜","")))</f>
        <v/>
      </c>
      <c r="H3175" s="10" t="str">
        <f aca="false">IF($B3175="","",SUBSTITUTE(SUBSTITUTE(SUBSTITUTE($B3175,"-","")," ",""),".",""))</f>
        <v/>
      </c>
      <c r="I3175" s="10" t="str">
        <f aca="false">IF($D3175="","",SUBSTITUTE(SUBSTITUTE(SUBSTITUTE($D3175,"-","")," ",""),".",""))</f>
        <v/>
      </c>
      <c r="J3175" s="10" t="str">
        <f aca="false">IF($E3175="","",UPPER(SUBSTITUTE($E3175," ","")))</f>
        <v/>
      </c>
      <c r="K3175" s="10" t="str">
        <f aca="false">IF($A3175="","",$G3175&amp;"|"&amp;$J3175)</f>
        <v/>
      </c>
      <c r="L3175" s="10" t="str">
        <f aca="false">IF($A3175="","",ROW()-2)</f>
        <v/>
      </c>
      <c r="M3175" s="10" t="str">
        <f aca="false">IF($A3175="","",ROW())</f>
        <v/>
      </c>
    </row>
    <row r="3176" customFormat="false" ht="15" hidden="false" customHeight="true" outlineLevel="0" collapsed="false">
      <c r="A3176" s="8"/>
      <c r="B3176" s="8"/>
      <c r="C3176" s="8"/>
      <c r="D3176" s="8"/>
      <c r="E3176" s="8"/>
      <c r="F3176" s="8"/>
      <c r="G3176" s="10" t="str">
        <f aca="false">IF($A3176="","",UPPER(SUBSTITUTE(SUBSTITUTE(SUBSTITUTE(SUBSTITUTE($A3176," ",""),"(주)",""),"주식회사",""),"㈜","")))</f>
        <v/>
      </c>
      <c r="H3176" s="10" t="str">
        <f aca="false">IF($B3176="","",SUBSTITUTE(SUBSTITUTE(SUBSTITUTE($B3176,"-","")," ",""),".",""))</f>
        <v/>
      </c>
      <c r="I3176" s="10" t="str">
        <f aca="false">IF($D3176="","",SUBSTITUTE(SUBSTITUTE(SUBSTITUTE($D3176,"-","")," ",""),".",""))</f>
        <v/>
      </c>
      <c r="J3176" s="10" t="str">
        <f aca="false">IF($E3176="","",UPPER(SUBSTITUTE($E3176," ","")))</f>
        <v/>
      </c>
      <c r="K3176" s="10" t="str">
        <f aca="false">IF($A3176="","",$G3176&amp;"|"&amp;$J3176)</f>
        <v/>
      </c>
      <c r="L3176" s="10" t="str">
        <f aca="false">IF($A3176="","",ROW()-2)</f>
        <v/>
      </c>
      <c r="M3176" s="10" t="str">
        <f aca="false">IF($A3176="","",ROW())</f>
        <v/>
      </c>
    </row>
    <row r="3177" customFormat="false" ht="15" hidden="false" customHeight="true" outlineLevel="0" collapsed="false">
      <c r="A3177" s="8"/>
      <c r="B3177" s="8"/>
      <c r="C3177" s="8"/>
      <c r="D3177" s="8"/>
      <c r="E3177" s="8"/>
      <c r="F3177" s="8"/>
      <c r="G3177" s="10" t="str">
        <f aca="false">IF($A3177="","",UPPER(SUBSTITUTE(SUBSTITUTE(SUBSTITUTE(SUBSTITUTE($A3177," ",""),"(주)",""),"주식회사",""),"㈜","")))</f>
        <v/>
      </c>
      <c r="H3177" s="10" t="str">
        <f aca="false">IF($B3177="","",SUBSTITUTE(SUBSTITUTE(SUBSTITUTE($B3177,"-","")," ",""),".",""))</f>
        <v/>
      </c>
      <c r="I3177" s="10" t="str">
        <f aca="false">IF($D3177="","",SUBSTITUTE(SUBSTITUTE(SUBSTITUTE($D3177,"-","")," ",""),".",""))</f>
        <v/>
      </c>
      <c r="J3177" s="10" t="str">
        <f aca="false">IF($E3177="","",UPPER(SUBSTITUTE($E3177," ","")))</f>
        <v/>
      </c>
      <c r="K3177" s="10" t="str">
        <f aca="false">IF($A3177="","",$G3177&amp;"|"&amp;$J3177)</f>
        <v/>
      </c>
      <c r="L3177" s="10" t="str">
        <f aca="false">IF($A3177="","",ROW()-2)</f>
        <v/>
      </c>
      <c r="M3177" s="10" t="str">
        <f aca="false">IF($A3177="","",ROW())</f>
        <v/>
      </c>
    </row>
    <row r="3178" customFormat="false" ht="15" hidden="false" customHeight="true" outlineLevel="0" collapsed="false">
      <c r="A3178" s="8"/>
      <c r="B3178" s="8"/>
      <c r="C3178" s="8"/>
      <c r="D3178" s="8"/>
      <c r="E3178" s="8"/>
      <c r="F3178" s="8"/>
      <c r="G3178" s="10" t="str">
        <f aca="false">IF($A3178="","",UPPER(SUBSTITUTE(SUBSTITUTE(SUBSTITUTE(SUBSTITUTE($A3178," ",""),"(주)",""),"주식회사",""),"㈜","")))</f>
        <v/>
      </c>
      <c r="H3178" s="10" t="str">
        <f aca="false">IF($B3178="","",SUBSTITUTE(SUBSTITUTE(SUBSTITUTE($B3178,"-","")," ",""),".",""))</f>
        <v/>
      </c>
      <c r="I3178" s="10" t="str">
        <f aca="false">IF($D3178="","",SUBSTITUTE(SUBSTITUTE(SUBSTITUTE($D3178,"-","")," ",""),".",""))</f>
        <v/>
      </c>
      <c r="J3178" s="10" t="str">
        <f aca="false">IF($E3178="","",UPPER(SUBSTITUTE($E3178," ","")))</f>
        <v/>
      </c>
      <c r="K3178" s="10" t="str">
        <f aca="false">IF($A3178="","",$G3178&amp;"|"&amp;$J3178)</f>
        <v/>
      </c>
      <c r="L3178" s="10" t="str">
        <f aca="false">IF($A3178="","",ROW()-2)</f>
        <v/>
      </c>
      <c r="M3178" s="10" t="str">
        <f aca="false">IF($A3178="","",ROW())</f>
        <v/>
      </c>
    </row>
    <row r="3179" customFormat="false" ht="15" hidden="false" customHeight="true" outlineLevel="0" collapsed="false">
      <c r="A3179" s="8"/>
      <c r="B3179" s="8"/>
      <c r="C3179" s="8"/>
      <c r="D3179" s="8"/>
      <c r="E3179" s="8"/>
      <c r="F3179" s="8"/>
      <c r="G3179" s="10" t="str">
        <f aca="false">IF($A3179="","",UPPER(SUBSTITUTE(SUBSTITUTE(SUBSTITUTE(SUBSTITUTE($A3179," ",""),"(주)",""),"주식회사",""),"㈜","")))</f>
        <v/>
      </c>
      <c r="H3179" s="10" t="str">
        <f aca="false">IF($B3179="","",SUBSTITUTE(SUBSTITUTE(SUBSTITUTE($B3179,"-","")," ",""),".",""))</f>
        <v/>
      </c>
      <c r="I3179" s="10" t="str">
        <f aca="false">IF($D3179="","",SUBSTITUTE(SUBSTITUTE(SUBSTITUTE($D3179,"-","")," ",""),".",""))</f>
        <v/>
      </c>
      <c r="J3179" s="10" t="str">
        <f aca="false">IF($E3179="","",UPPER(SUBSTITUTE($E3179," ","")))</f>
        <v/>
      </c>
      <c r="K3179" s="10" t="str">
        <f aca="false">IF($A3179="","",$G3179&amp;"|"&amp;$J3179)</f>
        <v/>
      </c>
      <c r="L3179" s="10" t="str">
        <f aca="false">IF($A3179="","",ROW()-2)</f>
        <v/>
      </c>
      <c r="M3179" s="10" t="str">
        <f aca="false">IF($A3179="","",ROW())</f>
        <v/>
      </c>
    </row>
    <row r="3180" customFormat="false" ht="15" hidden="false" customHeight="true" outlineLevel="0" collapsed="false">
      <c r="A3180" s="8"/>
      <c r="B3180" s="8"/>
      <c r="C3180" s="8"/>
      <c r="D3180" s="8"/>
      <c r="E3180" s="8"/>
      <c r="F3180" s="8"/>
      <c r="G3180" s="10" t="str">
        <f aca="false">IF($A3180="","",UPPER(SUBSTITUTE(SUBSTITUTE(SUBSTITUTE(SUBSTITUTE($A3180," ",""),"(주)",""),"주식회사",""),"㈜","")))</f>
        <v/>
      </c>
      <c r="H3180" s="10" t="str">
        <f aca="false">IF($B3180="","",SUBSTITUTE(SUBSTITUTE(SUBSTITUTE($B3180,"-","")," ",""),".",""))</f>
        <v/>
      </c>
      <c r="I3180" s="10" t="str">
        <f aca="false">IF($D3180="","",SUBSTITUTE(SUBSTITUTE(SUBSTITUTE($D3180,"-","")," ",""),".",""))</f>
        <v/>
      </c>
      <c r="J3180" s="10" t="str">
        <f aca="false">IF($E3180="","",UPPER(SUBSTITUTE($E3180," ","")))</f>
        <v/>
      </c>
      <c r="K3180" s="10" t="str">
        <f aca="false">IF($A3180="","",$G3180&amp;"|"&amp;$J3180)</f>
        <v/>
      </c>
      <c r="L3180" s="10" t="str">
        <f aca="false">IF($A3180="","",ROW()-2)</f>
        <v/>
      </c>
      <c r="M3180" s="10" t="str">
        <f aca="false">IF($A3180="","",ROW())</f>
        <v/>
      </c>
    </row>
    <row r="3181" customFormat="false" ht="15" hidden="false" customHeight="true" outlineLevel="0" collapsed="false">
      <c r="A3181" s="8"/>
      <c r="B3181" s="8"/>
      <c r="C3181" s="8"/>
      <c r="D3181" s="8"/>
      <c r="E3181" s="8"/>
      <c r="F3181" s="8"/>
      <c r="G3181" s="10" t="str">
        <f aca="false">IF($A3181="","",UPPER(SUBSTITUTE(SUBSTITUTE(SUBSTITUTE(SUBSTITUTE($A3181," ",""),"(주)",""),"주식회사",""),"㈜","")))</f>
        <v/>
      </c>
      <c r="H3181" s="10" t="str">
        <f aca="false">IF($B3181="","",SUBSTITUTE(SUBSTITUTE(SUBSTITUTE($B3181,"-","")," ",""),".",""))</f>
        <v/>
      </c>
      <c r="I3181" s="10" t="str">
        <f aca="false">IF($D3181="","",SUBSTITUTE(SUBSTITUTE(SUBSTITUTE($D3181,"-","")," ",""),".",""))</f>
        <v/>
      </c>
      <c r="J3181" s="10" t="str">
        <f aca="false">IF($E3181="","",UPPER(SUBSTITUTE($E3181," ","")))</f>
        <v/>
      </c>
      <c r="K3181" s="10" t="str">
        <f aca="false">IF($A3181="","",$G3181&amp;"|"&amp;$J3181)</f>
        <v/>
      </c>
      <c r="L3181" s="10" t="str">
        <f aca="false">IF($A3181="","",ROW()-2)</f>
        <v/>
      </c>
      <c r="M3181" s="10" t="str">
        <f aca="false">IF($A3181="","",ROW())</f>
        <v/>
      </c>
    </row>
    <row r="3182" customFormat="false" ht="15" hidden="false" customHeight="true" outlineLevel="0" collapsed="false">
      <c r="A3182" s="8"/>
      <c r="B3182" s="8"/>
      <c r="C3182" s="8"/>
      <c r="D3182" s="8"/>
      <c r="E3182" s="8"/>
      <c r="F3182" s="8"/>
      <c r="G3182" s="10" t="str">
        <f aca="false">IF($A3182="","",UPPER(SUBSTITUTE(SUBSTITUTE(SUBSTITUTE(SUBSTITUTE($A3182," ",""),"(주)",""),"주식회사",""),"㈜","")))</f>
        <v/>
      </c>
      <c r="H3182" s="10" t="str">
        <f aca="false">IF($B3182="","",SUBSTITUTE(SUBSTITUTE(SUBSTITUTE($B3182,"-","")," ",""),".",""))</f>
        <v/>
      </c>
      <c r="I3182" s="10" t="str">
        <f aca="false">IF($D3182="","",SUBSTITUTE(SUBSTITUTE(SUBSTITUTE($D3182,"-","")," ",""),".",""))</f>
        <v/>
      </c>
      <c r="J3182" s="10" t="str">
        <f aca="false">IF($E3182="","",UPPER(SUBSTITUTE($E3182," ","")))</f>
        <v/>
      </c>
      <c r="K3182" s="10" t="str">
        <f aca="false">IF($A3182="","",$G3182&amp;"|"&amp;$J3182)</f>
        <v/>
      </c>
      <c r="L3182" s="10" t="str">
        <f aca="false">IF($A3182="","",ROW()-2)</f>
        <v/>
      </c>
      <c r="M3182" s="10" t="str">
        <f aca="false">IF($A3182="","",ROW())</f>
        <v/>
      </c>
    </row>
    <row r="3183" customFormat="false" ht="15" hidden="false" customHeight="true" outlineLevel="0" collapsed="false">
      <c r="A3183" s="8"/>
      <c r="B3183" s="8"/>
      <c r="C3183" s="8"/>
      <c r="D3183" s="8"/>
      <c r="E3183" s="8"/>
      <c r="F3183" s="8"/>
      <c r="G3183" s="10" t="str">
        <f aca="false">IF($A3183="","",UPPER(SUBSTITUTE(SUBSTITUTE(SUBSTITUTE(SUBSTITUTE($A3183," ",""),"(주)",""),"주식회사",""),"㈜","")))</f>
        <v/>
      </c>
      <c r="H3183" s="10" t="str">
        <f aca="false">IF($B3183="","",SUBSTITUTE(SUBSTITUTE(SUBSTITUTE($B3183,"-","")," ",""),".",""))</f>
        <v/>
      </c>
      <c r="I3183" s="10" t="str">
        <f aca="false">IF($D3183="","",SUBSTITUTE(SUBSTITUTE(SUBSTITUTE($D3183,"-","")," ",""),".",""))</f>
        <v/>
      </c>
      <c r="J3183" s="10" t="str">
        <f aca="false">IF($E3183="","",UPPER(SUBSTITUTE($E3183," ","")))</f>
        <v/>
      </c>
      <c r="K3183" s="10" t="str">
        <f aca="false">IF($A3183="","",$G3183&amp;"|"&amp;$J3183)</f>
        <v/>
      </c>
      <c r="L3183" s="10" t="str">
        <f aca="false">IF($A3183="","",ROW()-2)</f>
        <v/>
      </c>
      <c r="M3183" s="10" t="str">
        <f aca="false">IF($A3183="","",ROW())</f>
        <v/>
      </c>
    </row>
    <row r="3184" customFormat="false" ht="15" hidden="false" customHeight="true" outlineLevel="0" collapsed="false">
      <c r="A3184" s="8"/>
      <c r="B3184" s="8"/>
      <c r="C3184" s="8"/>
      <c r="D3184" s="8"/>
      <c r="E3184" s="8"/>
      <c r="F3184" s="8"/>
      <c r="G3184" s="10" t="str">
        <f aca="false">IF($A3184="","",UPPER(SUBSTITUTE(SUBSTITUTE(SUBSTITUTE(SUBSTITUTE($A3184," ",""),"(주)",""),"주식회사",""),"㈜","")))</f>
        <v/>
      </c>
      <c r="H3184" s="10" t="str">
        <f aca="false">IF($B3184="","",SUBSTITUTE(SUBSTITUTE(SUBSTITUTE($B3184,"-","")," ",""),".",""))</f>
        <v/>
      </c>
      <c r="I3184" s="10" t="str">
        <f aca="false">IF($D3184="","",SUBSTITUTE(SUBSTITUTE(SUBSTITUTE($D3184,"-","")," ",""),".",""))</f>
        <v/>
      </c>
      <c r="J3184" s="10" t="str">
        <f aca="false">IF($E3184="","",UPPER(SUBSTITUTE($E3184," ","")))</f>
        <v/>
      </c>
      <c r="K3184" s="10" t="str">
        <f aca="false">IF($A3184="","",$G3184&amp;"|"&amp;$J3184)</f>
        <v/>
      </c>
      <c r="L3184" s="10" t="str">
        <f aca="false">IF($A3184="","",ROW()-2)</f>
        <v/>
      </c>
      <c r="M3184" s="10" t="str">
        <f aca="false">IF($A3184="","",ROW())</f>
        <v/>
      </c>
    </row>
    <row r="3185" customFormat="false" ht="15" hidden="false" customHeight="true" outlineLevel="0" collapsed="false">
      <c r="A3185" s="8"/>
      <c r="B3185" s="8"/>
      <c r="C3185" s="8"/>
      <c r="D3185" s="8"/>
      <c r="E3185" s="8"/>
      <c r="F3185" s="8"/>
      <c r="G3185" s="10" t="str">
        <f aca="false">IF($A3185="","",UPPER(SUBSTITUTE(SUBSTITUTE(SUBSTITUTE(SUBSTITUTE($A3185," ",""),"(주)",""),"주식회사",""),"㈜","")))</f>
        <v/>
      </c>
      <c r="H3185" s="10" t="str">
        <f aca="false">IF($B3185="","",SUBSTITUTE(SUBSTITUTE(SUBSTITUTE($B3185,"-","")," ",""),".",""))</f>
        <v/>
      </c>
      <c r="I3185" s="10" t="str">
        <f aca="false">IF($D3185="","",SUBSTITUTE(SUBSTITUTE(SUBSTITUTE($D3185,"-","")," ",""),".",""))</f>
        <v/>
      </c>
      <c r="J3185" s="10" t="str">
        <f aca="false">IF($E3185="","",UPPER(SUBSTITUTE($E3185," ","")))</f>
        <v/>
      </c>
      <c r="K3185" s="10" t="str">
        <f aca="false">IF($A3185="","",$G3185&amp;"|"&amp;$J3185)</f>
        <v/>
      </c>
      <c r="L3185" s="10" t="str">
        <f aca="false">IF($A3185="","",ROW()-2)</f>
        <v/>
      </c>
      <c r="M3185" s="10" t="str">
        <f aca="false">IF($A3185="","",ROW())</f>
        <v/>
      </c>
    </row>
    <row r="3186" customFormat="false" ht="15" hidden="false" customHeight="true" outlineLevel="0" collapsed="false">
      <c r="A3186" s="8"/>
      <c r="B3186" s="8"/>
      <c r="C3186" s="8"/>
      <c r="D3186" s="8"/>
      <c r="E3186" s="8"/>
      <c r="F3186" s="8"/>
      <c r="G3186" s="10" t="str">
        <f aca="false">IF($A3186="","",UPPER(SUBSTITUTE(SUBSTITUTE(SUBSTITUTE(SUBSTITUTE($A3186," ",""),"(주)",""),"주식회사",""),"㈜","")))</f>
        <v/>
      </c>
      <c r="H3186" s="10" t="str">
        <f aca="false">IF($B3186="","",SUBSTITUTE(SUBSTITUTE(SUBSTITUTE($B3186,"-","")," ",""),".",""))</f>
        <v/>
      </c>
      <c r="I3186" s="10" t="str">
        <f aca="false">IF($D3186="","",SUBSTITUTE(SUBSTITUTE(SUBSTITUTE($D3186,"-","")," ",""),".",""))</f>
        <v/>
      </c>
      <c r="J3186" s="10" t="str">
        <f aca="false">IF($E3186="","",UPPER(SUBSTITUTE($E3186," ","")))</f>
        <v/>
      </c>
      <c r="K3186" s="10" t="str">
        <f aca="false">IF($A3186="","",$G3186&amp;"|"&amp;$J3186)</f>
        <v/>
      </c>
      <c r="L3186" s="10" t="str">
        <f aca="false">IF($A3186="","",ROW()-2)</f>
        <v/>
      </c>
      <c r="M3186" s="10" t="str">
        <f aca="false">IF($A3186="","",ROW())</f>
        <v/>
      </c>
    </row>
    <row r="3187" customFormat="false" ht="15" hidden="false" customHeight="true" outlineLevel="0" collapsed="false">
      <c r="A3187" s="8"/>
      <c r="B3187" s="8"/>
      <c r="C3187" s="8"/>
      <c r="D3187" s="8"/>
      <c r="E3187" s="8"/>
      <c r="F3187" s="8"/>
      <c r="G3187" s="10" t="str">
        <f aca="false">IF($A3187="","",UPPER(SUBSTITUTE(SUBSTITUTE(SUBSTITUTE(SUBSTITUTE($A3187," ",""),"(주)",""),"주식회사",""),"㈜","")))</f>
        <v/>
      </c>
      <c r="H3187" s="10" t="str">
        <f aca="false">IF($B3187="","",SUBSTITUTE(SUBSTITUTE(SUBSTITUTE($B3187,"-","")," ",""),".",""))</f>
        <v/>
      </c>
      <c r="I3187" s="10" t="str">
        <f aca="false">IF($D3187="","",SUBSTITUTE(SUBSTITUTE(SUBSTITUTE($D3187,"-","")," ",""),".",""))</f>
        <v/>
      </c>
      <c r="J3187" s="10" t="str">
        <f aca="false">IF($E3187="","",UPPER(SUBSTITUTE($E3187," ","")))</f>
        <v/>
      </c>
      <c r="K3187" s="10" t="str">
        <f aca="false">IF($A3187="","",$G3187&amp;"|"&amp;$J3187)</f>
        <v/>
      </c>
      <c r="L3187" s="10" t="str">
        <f aca="false">IF($A3187="","",ROW()-2)</f>
        <v/>
      </c>
      <c r="M3187" s="10" t="str">
        <f aca="false">IF($A3187="","",ROW())</f>
        <v/>
      </c>
    </row>
    <row r="3188" customFormat="false" ht="15" hidden="false" customHeight="true" outlineLevel="0" collapsed="false">
      <c r="A3188" s="8"/>
      <c r="B3188" s="8"/>
      <c r="C3188" s="8"/>
      <c r="D3188" s="8"/>
      <c r="E3188" s="8"/>
      <c r="F3188" s="8"/>
      <c r="G3188" s="10" t="str">
        <f aca="false">IF($A3188="","",UPPER(SUBSTITUTE(SUBSTITUTE(SUBSTITUTE(SUBSTITUTE($A3188," ",""),"(주)",""),"주식회사",""),"㈜","")))</f>
        <v/>
      </c>
      <c r="H3188" s="10" t="str">
        <f aca="false">IF($B3188="","",SUBSTITUTE(SUBSTITUTE(SUBSTITUTE($B3188,"-","")," ",""),".",""))</f>
        <v/>
      </c>
      <c r="I3188" s="10" t="str">
        <f aca="false">IF($D3188="","",SUBSTITUTE(SUBSTITUTE(SUBSTITUTE($D3188,"-","")," ",""),".",""))</f>
        <v/>
      </c>
      <c r="J3188" s="10" t="str">
        <f aca="false">IF($E3188="","",UPPER(SUBSTITUTE($E3188," ","")))</f>
        <v/>
      </c>
      <c r="K3188" s="10" t="str">
        <f aca="false">IF($A3188="","",$G3188&amp;"|"&amp;$J3188)</f>
        <v/>
      </c>
      <c r="L3188" s="10" t="str">
        <f aca="false">IF($A3188="","",ROW()-2)</f>
        <v/>
      </c>
      <c r="M3188" s="10" t="str">
        <f aca="false">IF($A3188="","",ROW())</f>
        <v/>
      </c>
    </row>
    <row r="3189" customFormat="false" ht="15" hidden="false" customHeight="true" outlineLevel="0" collapsed="false">
      <c r="A3189" s="8"/>
      <c r="B3189" s="8"/>
      <c r="C3189" s="8"/>
      <c r="D3189" s="8"/>
      <c r="E3189" s="8"/>
      <c r="F3189" s="8"/>
      <c r="G3189" s="10" t="str">
        <f aca="false">IF($A3189="","",UPPER(SUBSTITUTE(SUBSTITUTE(SUBSTITUTE(SUBSTITUTE($A3189," ",""),"(주)",""),"주식회사",""),"㈜","")))</f>
        <v/>
      </c>
      <c r="H3189" s="10" t="str">
        <f aca="false">IF($B3189="","",SUBSTITUTE(SUBSTITUTE(SUBSTITUTE($B3189,"-","")," ",""),".",""))</f>
        <v/>
      </c>
      <c r="I3189" s="10" t="str">
        <f aca="false">IF($D3189="","",SUBSTITUTE(SUBSTITUTE(SUBSTITUTE($D3189,"-","")," ",""),".",""))</f>
        <v/>
      </c>
      <c r="J3189" s="10" t="str">
        <f aca="false">IF($E3189="","",UPPER(SUBSTITUTE($E3189," ","")))</f>
        <v/>
      </c>
      <c r="K3189" s="10" t="str">
        <f aca="false">IF($A3189="","",$G3189&amp;"|"&amp;$J3189)</f>
        <v/>
      </c>
      <c r="L3189" s="10" t="str">
        <f aca="false">IF($A3189="","",ROW()-2)</f>
        <v/>
      </c>
      <c r="M3189" s="10" t="str">
        <f aca="false">IF($A3189="","",ROW())</f>
        <v/>
      </c>
    </row>
    <row r="3190" customFormat="false" ht="15" hidden="false" customHeight="true" outlineLevel="0" collapsed="false">
      <c r="A3190" s="8"/>
      <c r="B3190" s="8"/>
      <c r="C3190" s="8"/>
      <c r="D3190" s="8"/>
      <c r="E3190" s="8"/>
      <c r="F3190" s="8"/>
      <c r="G3190" s="10" t="str">
        <f aca="false">IF($A3190="","",UPPER(SUBSTITUTE(SUBSTITUTE(SUBSTITUTE(SUBSTITUTE($A3190," ",""),"(주)",""),"주식회사",""),"㈜","")))</f>
        <v/>
      </c>
      <c r="H3190" s="10" t="str">
        <f aca="false">IF($B3190="","",SUBSTITUTE(SUBSTITUTE(SUBSTITUTE($B3190,"-","")," ",""),".",""))</f>
        <v/>
      </c>
      <c r="I3190" s="10" t="str">
        <f aca="false">IF($D3190="","",SUBSTITUTE(SUBSTITUTE(SUBSTITUTE($D3190,"-","")," ",""),".",""))</f>
        <v/>
      </c>
      <c r="J3190" s="10" t="str">
        <f aca="false">IF($E3190="","",UPPER(SUBSTITUTE($E3190," ","")))</f>
        <v/>
      </c>
      <c r="K3190" s="10" t="str">
        <f aca="false">IF($A3190="","",$G3190&amp;"|"&amp;$J3190)</f>
        <v/>
      </c>
      <c r="L3190" s="10" t="str">
        <f aca="false">IF($A3190="","",ROW()-2)</f>
        <v/>
      </c>
      <c r="M3190" s="10" t="str">
        <f aca="false">IF($A3190="","",ROW())</f>
        <v/>
      </c>
    </row>
    <row r="3191" customFormat="false" ht="15" hidden="false" customHeight="true" outlineLevel="0" collapsed="false">
      <c r="A3191" s="8"/>
      <c r="B3191" s="8"/>
      <c r="C3191" s="8"/>
      <c r="D3191" s="8"/>
      <c r="E3191" s="8"/>
      <c r="F3191" s="8"/>
      <c r="G3191" s="10" t="str">
        <f aca="false">IF($A3191="","",UPPER(SUBSTITUTE(SUBSTITUTE(SUBSTITUTE(SUBSTITUTE($A3191," ",""),"(주)",""),"주식회사",""),"㈜","")))</f>
        <v/>
      </c>
      <c r="H3191" s="10" t="str">
        <f aca="false">IF($B3191="","",SUBSTITUTE(SUBSTITUTE(SUBSTITUTE($B3191,"-","")," ",""),".",""))</f>
        <v/>
      </c>
      <c r="I3191" s="10" t="str">
        <f aca="false">IF($D3191="","",SUBSTITUTE(SUBSTITUTE(SUBSTITUTE($D3191,"-","")," ",""),".",""))</f>
        <v/>
      </c>
      <c r="J3191" s="10" t="str">
        <f aca="false">IF($E3191="","",UPPER(SUBSTITUTE($E3191," ","")))</f>
        <v/>
      </c>
      <c r="K3191" s="10" t="str">
        <f aca="false">IF($A3191="","",$G3191&amp;"|"&amp;$J3191)</f>
        <v/>
      </c>
      <c r="L3191" s="10" t="str">
        <f aca="false">IF($A3191="","",ROW()-2)</f>
        <v/>
      </c>
      <c r="M3191" s="10" t="str">
        <f aca="false">IF($A3191="","",ROW())</f>
        <v/>
      </c>
    </row>
    <row r="3192" customFormat="false" ht="15" hidden="false" customHeight="true" outlineLevel="0" collapsed="false">
      <c r="A3192" s="8"/>
      <c r="B3192" s="8"/>
      <c r="C3192" s="8"/>
      <c r="D3192" s="8"/>
      <c r="E3192" s="8"/>
      <c r="F3192" s="8"/>
      <c r="G3192" s="10" t="str">
        <f aca="false">IF($A3192="","",UPPER(SUBSTITUTE(SUBSTITUTE(SUBSTITUTE(SUBSTITUTE($A3192," ",""),"(주)",""),"주식회사",""),"㈜","")))</f>
        <v/>
      </c>
      <c r="H3192" s="10" t="str">
        <f aca="false">IF($B3192="","",SUBSTITUTE(SUBSTITUTE(SUBSTITUTE($B3192,"-","")," ",""),".",""))</f>
        <v/>
      </c>
      <c r="I3192" s="10" t="str">
        <f aca="false">IF($D3192="","",SUBSTITUTE(SUBSTITUTE(SUBSTITUTE($D3192,"-","")," ",""),".",""))</f>
        <v/>
      </c>
      <c r="J3192" s="10" t="str">
        <f aca="false">IF($E3192="","",UPPER(SUBSTITUTE($E3192," ","")))</f>
        <v/>
      </c>
      <c r="K3192" s="10" t="str">
        <f aca="false">IF($A3192="","",$G3192&amp;"|"&amp;$J3192)</f>
        <v/>
      </c>
      <c r="L3192" s="10" t="str">
        <f aca="false">IF($A3192="","",ROW()-2)</f>
        <v/>
      </c>
      <c r="M3192" s="10" t="str">
        <f aca="false">IF($A3192="","",ROW())</f>
        <v/>
      </c>
    </row>
    <row r="3193" customFormat="false" ht="15" hidden="false" customHeight="true" outlineLevel="0" collapsed="false">
      <c r="A3193" s="8"/>
      <c r="B3193" s="8"/>
      <c r="C3193" s="8"/>
      <c r="D3193" s="8"/>
      <c r="E3193" s="8"/>
      <c r="F3193" s="8"/>
      <c r="G3193" s="10" t="str">
        <f aca="false">IF($A3193="","",UPPER(SUBSTITUTE(SUBSTITUTE(SUBSTITUTE(SUBSTITUTE($A3193," ",""),"(주)",""),"주식회사",""),"㈜","")))</f>
        <v/>
      </c>
      <c r="H3193" s="10" t="str">
        <f aca="false">IF($B3193="","",SUBSTITUTE(SUBSTITUTE(SUBSTITUTE($B3193,"-","")," ",""),".",""))</f>
        <v/>
      </c>
      <c r="I3193" s="10" t="str">
        <f aca="false">IF($D3193="","",SUBSTITUTE(SUBSTITUTE(SUBSTITUTE($D3193,"-","")," ",""),".",""))</f>
        <v/>
      </c>
      <c r="J3193" s="10" t="str">
        <f aca="false">IF($E3193="","",UPPER(SUBSTITUTE($E3193," ","")))</f>
        <v/>
      </c>
      <c r="K3193" s="10" t="str">
        <f aca="false">IF($A3193="","",$G3193&amp;"|"&amp;$J3193)</f>
        <v/>
      </c>
      <c r="L3193" s="10" t="str">
        <f aca="false">IF($A3193="","",ROW()-2)</f>
        <v/>
      </c>
      <c r="M3193" s="10" t="str">
        <f aca="false">IF($A3193="","",ROW())</f>
        <v/>
      </c>
    </row>
    <row r="3194" customFormat="false" ht="15" hidden="false" customHeight="true" outlineLevel="0" collapsed="false">
      <c r="A3194" s="8"/>
      <c r="B3194" s="8"/>
      <c r="C3194" s="8"/>
      <c r="D3194" s="8"/>
      <c r="E3194" s="8"/>
      <c r="F3194" s="8"/>
      <c r="G3194" s="10" t="str">
        <f aca="false">IF($A3194="","",UPPER(SUBSTITUTE(SUBSTITUTE(SUBSTITUTE(SUBSTITUTE($A3194," ",""),"(주)",""),"주식회사",""),"㈜","")))</f>
        <v/>
      </c>
      <c r="H3194" s="10" t="str">
        <f aca="false">IF($B3194="","",SUBSTITUTE(SUBSTITUTE(SUBSTITUTE($B3194,"-","")," ",""),".",""))</f>
        <v/>
      </c>
      <c r="I3194" s="10" t="str">
        <f aca="false">IF($D3194="","",SUBSTITUTE(SUBSTITUTE(SUBSTITUTE($D3194,"-","")," ",""),".",""))</f>
        <v/>
      </c>
      <c r="J3194" s="10" t="str">
        <f aca="false">IF($E3194="","",UPPER(SUBSTITUTE($E3194," ","")))</f>
        <v/>
      </c>
      <c r="K3194" s="10" t="str">
        <f aca="false">IF($A3194="","",$G3194&amp;"|"&amp;$J3194)</f>
        <v/>
      </c>
      <c r="L3194" s="10" t="str">
        <f aca="false">IF($A3194="","",ROW()-2)</f>
        <v/>
      </c>
      <c r="M3194" s="10" t="str">
        <f aca="false">IF($A3194="","",ROW())</f>
        <v/>
      </c>
    </row>
    <row r="3195" customFormat="false" ht="15" hidden="false" customHeight="true" outlineLevel="0" collapsed="false">
      <c r="A3195" s="8"/>
      <c r="B3195" s="8"/>
      <c r="C3195" s="8"/>
      <c r="D3195" s="8"/>
      <c r="E3195" s="8"/>
      <c r="F3195" s="8"/>
      <c r="G3195" s="10" t="str">
        <f aca="false">IF($A3195="","",UPPER(SUBSTITUTE(SUBSTITUTE(SUBSTITUTE(SUBSTITUTE($A3195," ",""),"(주)",""),"주식회사",""),"㈜","")))</f>
        <v/>
      </c>
      <c r="H3195" s="10" t="str">
        <f aca="false">IF($B3195="","",SUBSTITUTE(SUBSTITUTE(SUBSTITUTE($B3195,"-","")," ",""),".",""))</f>
        <v/>
      </c>
      <c r="I3195" s="10" t="str">
        <f aca="false">IF($D3195="","",SUBSTITUTE(SUBSTITUTE(SUBSTITUTE($D3195,"-","")," ",""),".",""))</f>
        <v/>
      </c>
      <c r="J3195" s="10" t="str">
        <f aca="false">IF($E3195="","",UPPER(SUBSTITUTE($E3195," ","")))</f>
        <v/>
      </c>
      <c r="K3195" s="10" t="str">
        <f aca="false">IF($A3195="","",$G3195&amp;"|"&amp;$J3195)</f>
        <v/>
      </c>
      <c r="L3195" s="10" t="str">
        <f aca="false">IF($A3195="","",ROW()-2)</f>
        <v/>
      </c>
      <c r="M3195" s="10" t="str">
        <f aca="false">IF($A3195="","",ROW())</f>
        <v/>
      </c>
    </row>
    <row r="3196" customFormat="false" ht="15" hidden="false" customHeight="true" outlineLevel="0" collapsed="false">
      <c r="A3196" s="8"/>
      <c r="B3196" s="8"/>
      <c r="C3196" s="8"/>
      <c r="D3196" s="8"/>
      <c r="E3196" s="8"/>
      <c r="F3196" s="8"/>
      <c r="G3196" s="10" t="str">
        <f aca="false">IF($A3196="","",UPPER(SUBSTITUTE(SUBSTITUTE(SUBSTITUTE(SUBSTITUTE($A3196," ",""),"(주)",""),"주식회사",""),"㈜","")))</f>
        <v/>
      </c>
      <c r="H3196" s="10" t="str">
        <f aca="false">IF($B3196="","",SUBSTITUTE(SUBSTITUTE(SUBSTITUTE($B3196,"-","")," ",""),".",""))</f>
        <v/>
      </c>
      <c r="I3196" s="10" t="str">
        <f aca="false">IF($D3196="","",SUBSTITUTE(SUBSTITUTE(SUBSTITUTE($D3196,"-","")," ",""),".",""))</f>
        <v/>
      </c>
      <c r="J3196" s="10" t="str">
        <f aca="false">IF($E3196="","",UPPER(SUBSTITUTE($E3196," ","")))</f>
        <v/>
      </c>
      <c r="K3196" s="10" t="str">
        <f aca="false">IF($A3196="","",$G3196&amp;"|"&amp;$J3196)</f>
        <v/>
      </c>
      <c r="L3196" s="10" t="str">
        <f aca="false">IF($A3196="","",ROW()-2)</f>
        <v/>
      </c>
      <c r="M3196" s="10" t="str">
        <f aca="false">IF($A3196="","",ROW())</f>
        <v/>
      </c>
    </row>
    <row r="3197" customFormat="false" ht="15" hidden="false" customHeight="true" outlineLevel="0" collapsed="false">
      <c r="A3197" s="8"/>
      <c r="B3197" s="8"/>
      <c r="C3197" s="8"/>
      <c r="D3197" s="8"/>
      <c r="E3197" s="8"/>
      <c r="F3197" s="8"/>
      <c r="G3197" s="10" t="str">
        <f aca="false">IF($A3197="","",UPPER(SUBSTITUTE(SUBSTITUTE(SUBSTITUTE(SUBSTITUTE($A3197," ",""),"(주)",""),"주식회사",""),"㈜","")))</f>
        <v/>
      </c>
      <c r="H3197" s="10" t="str">
        <f aca="false">IF($B3197="","",SUBSTITUTE(SUBSTITUTE(SUBSTITUTE($B3197,"-","")," ",""),".",""))</f>
        <v/>
      </c>
      <c r="I3197" s="10" t="str">
        <f aca="false">IF($D3197="","",SUBSTITUTE(SUBSTITUTE(SUBSTITUTE($D3197,"-","")," ",""),".",""))</f>
        <v/>
      </c>
      <c r="J3197" s="10" t="str">
        <f aca="false">IF($E3197="","",UPPER(SUBSTITUTE($E3197," ","")))</f>
        <v/>
      </c>
      <c r="K3197" s="10" t="str">
        <f aca="false">IF($A3197="","",$G3197&amp;"|"&amp;$J3197)</f>
        <v/>
      </c>
      <c r="L3197" s="10" t="str">
        <f aca="false">IF($A3197="","",ROW()-2)</f>
        <v/>
      </c>
      <c r="M3197" s="10" t="str">
        <f aca="false">IF($A3197="","",ROW())</f>
        <v/>
      </c>
    </row>
    <row r="3198" customFormat="false" ht="15" hidden="false" customHeight="true" outlineLevel="0" collapsed="false">
      <c r="A3198" s="8"/>
      <c r="B3198" s="8"/>
      <c r="C3198" s="8"/>
      <c r="D3198" s="8"/>
      <c r="E3198" s="8"/>
      <c r="F3198" s="8"/>
      <c r="G3198" s="10" t="str">
        <f aca="false">IF($A3198="","",UPPER(SUBSTITUTE(SUBSTITUTE(SUBSTITUTE(SUBSTITUTE($A3198," ",""),"(주)",""),"주식회사",""),"㈜","")))</f>
        <v/>
      </c>
      <c r="H3198" s="10" t="str">
        <f aca="false">IF($B3198="","",SUBSTITUTE(SUBSTITUTE(SUBSTITUTE($B3198,"-","")," ",""),".",""))</f>
        <v/>
      </c>
      <c r="I3198" s="10" t="str">
        <f aca="false">IF($D3198="","",SUBSTITUTE(SUBSTITUTE(SUBSTITUTE($D3198,"-","")," ",""),".",""))</f>
        <v/>
      </c>
      <c r="J3198" s="10" t="str">
        <f aca="false">IF($E3198="","",UPPER(SUBSTITUTE($E3198," ","")))</f>
        <v/>
      </c>
      <c r="K3198" s="10" t="str">
        <f aca="false">IF($A3198="","",$G3198&amp;"|"&amp;$J3198)</f>
        <v/>
      </c>
      <c r="L3198" s="10" t="str">
        <f aca="false">IF($A3198="","",ROW()-2)</f>
        <v/>
      </c>
      <c r="M3198" s="10" t="str">
        <f aca="false">IF($A3198="","",ROW())</f>
        <v/>
      </c>
    </row>
    <row r="3199" customFormat="false" ht="15" hidden="false" customHeight="true" outlineLevel="0" collapsed="false">
      <c r="A3199" s="8"/>
      <c r="B3199" s="8"/>
      <c r="C3199" s="8"/>
      <c r="D3199" s="8"/>
      <c r="E3199" s="8"/>
      <c r="F3199" s="8"/>
      <c r="G3199" s="10" t="str">
        <f aca="false">IF($A3199="","",UPPER(SUBSTITUTE(SUBSTITUTE(SUBSTITUTE(SUBSTITUTE($A3199," ",""),"(주)",""),"주식회사",""),"㈜","")))</f>
        <v/>
      </c>
      <c r="H3199" s="10" t="str">
        <f aca="false">IF($B3199="","",SUBSTITUTE(SUBSTITUTE(SUBSTITUTE($B3199,"-","")," ",""),".",""))</f>
        <v/>
      </c>
      <c r="I3199" s="10" t="str">
        <f aca="false">IF($D3199="","",SUBSTITUTE(SUBSTITUTE(SUBSTITUTE($D3199,"-","")," ",""),".",""))</f>
        <v/>
      </c>
      <c r="J3199" s="10" t="str">
        <f aca="false">IF($E3199="","",UPPER(SUBSTITUTE($E3199," ","")))</f>
        <v/>
      </c>
      <c r="K3199" s="10" t="str">
        <f aca="false">IF($A3199="","",$G3199&amp;"|"&amp;$J3199)</f>
        <v/>
      </c>
      <c r="L3199" s="10" t="str">
        <f aca="false">IF($A3199="","",ROW()-2)</f>
        <v/>
      </c>
      <c r="M3199" s="10" t="str">
        <f aca="false">IF($A3199="","",ROW())</f>
        <v/>
      </c>
    </row>
    <row r="3200" customFormat="false" ht="15" hidden="false" customHeight="true" outlineLevel="0" collapsed="false">
      <c r="A3200" s="8"/>
      <c r="B3200" s="8"/>
      <c r="C3200" s="8"/>
      <c r="D3200" s="8"/>
      <c r="E3200" s="8"/>
      <c r="F3200" s="8"/>
      <c r="G3200" s="10" t="str">
        <f aca="false">IF($A3200="","",UPPER(SUBSTITUTE(SUBSTITUTE(SUBSTITUTE(SUBSTITUTE($A3200," ",""),"(주)",""),"주식회사",""),"㈜","")))</f>
        <v/>
      </c>
      <c r="H3200" s="10" t="str">
        <f aca="false">IF($B3200="","",SUBSTITUTE(SUBSTITUTE(SUBSTITUTE($B3200,"-","")," ",""),".",""))</f>
        <v/>
      </c>
      <c r="I3200" s="10" t="str">
        <f aca="false">IF($D3200="","",SUBSTITUTE(SUBSTITUTE(SUBSTITUTE($D3200,"-","")," ",""),".",""))</f>
        <v/>
      </c>
      <c r="J3200" s="10" t="str">
        <f aca="false">IF($E3200="","",UPPER(SUBSTITUTE($E3200," ","")))</f>
        <v/>
      </c>
      <c r="K3200" s="10" t="str">
        <f aca="false">IF($A3200="","",$G3200&amp;"|"&amp;$J3200)</f>
        <v/>
      </c>
      <c r="L3200" s="10" t="str">
        <f aca="false">IF($A3200="","",ROW()-2)</f>
        <v/>
      </c>
      <c r="M3200" s="10" t="str">
        <f aca="false">IF($A3200="","",ROW())</f>
        <v/>
      </c>
    </row>
    <row r="3201" customFormat="false" ht="15" hidden="false" customHeight="true" outlineLevel="0" collapsed="false">
      <c r="A3201" s="8"/>
      <c r="B3201" s="8"/>
      <c r="C3201" s="8"/>
      <c r="D3201" s="8"/>
      <c r="E3201" s="8"/>
      <c r="F3201" s="8"/>
      <c r="G3201" s="10" t="str">
        <f aca="false">IF($A3201="","",UPPER(SUBSTITUTE(SUBSTITUTE(SUBSTITUTE(SUBSTITUTE($A3201," ",""),"(주)",""),"주식회사",""),"㈜","")))</f>
        <v/>
      </c>
      <c r="H3201" s="10" t="str">
        <f aca="false">IF($B3201="","",SUBSTITUTE(SUBSTITUTE(SUBSTITUTE($B3201,"-","")," ",""),".",""))</f>
        <v/>
      </c>
      <c r="I3201" s="10" t="str">
        <f aca="false">IF($D3201="","",SUBSTITUTE(SUBSTITUTE(SUBSTITUTE($D3201,"-","")," ",""),".",""))</f>
        <v/>
      </c>
      <c r="J3201" s="10" t="str">
        <f aca="false">IF($E3201="","",UPPER(SUBSTITUTE($E3201," ","")))</f>
        <v/>
      </c>
      <c r="K3201" s="10" t="str">
        <f aca="false">IF($A3201="","",$G3201&amp;"|"&amp;$J3201)</f>
        <v/>
      </c>
      <c r="L3201" s="10" t="str">
        <f aca="false">IF($A3201="","",ROW()-2)</f>
        <v/>
      </c>
      <c r="M3201" s="10" t="str">
        <f aca="false">IF($A3201="","",ROW())</f>
        <v/>
      </c>
    </row>
    <row r="3202" customFormat="false" ht="15" hidden="false" customHeight="true" outlineLevel="0" collapsed="false">
      <c r="A3202" s="8"/>
      <c r="B3202" s="8"/>
      <c r="C3202" s="8"/>
      <c r="D3202" s="8"/>
      <c r="E3202" s="8"/>
      <c r="F3202" s="8"/>
      <c r="G3202" s="10" t="str">
        <f aca="false">IF($A3202="","",UPPER(SUBSTITUTE(SUBSTITUTE(SUBSTITUTE(SUBSTITUTE($A3202," ",""),"(주)",""),"주식회사",""),"㈜","")))</f>
        <v/>
      </c>
      <c r="H3202" s="10" t="str">
        <f aca="false">IF($B3202="","",SUBSTITUTE(SUBSTITUTE(SUBSTITUTE($B3202,"-","")," ",""),".",""))</f>
        <v/>
      </c>
      <c r="I3202" s="10" t="str">
        <f aca="false">IF($D3202="","",SUBSTITUTE(SUBSTITUTE(SUBSTITUTE($D3202,"-","")," ",""),".",""))</f>
        <v/>
      </c>
      <c r="J3202" s="10" t="str">
        <f aca="false">IF($E3202="","",UPPER(SUBSTITUTE($E3202," ","")))</f>
        <v/>
      </c>
      <c r="K3202" s="10" t="str">
        <f aca="false">IF($A3202="","",$G3202&amp;"|"&amp;$J3202)</f>
        <v/>
      </c>
      <c r="L3202" s="10" t="str">
        <f aca="false">IF($A3202="","",ROW()-2)</f>
        <v/>
      </c>
      <c r="M3202" s="10" t="str">
        <f aca="false">IF($A3202="","",ROW())</f>
        <v/>
      </c>
    </row>
    <row r="3203" customFormat="false" ht="15" hidden="false" customHeight="true" outlineLevel="0" collapsed="false">
      <c r="A3203" s="8"/>
      <c r="B3203" s="8"/>
      <c r="C3203" s="8"/>
      <c r="D3203" s="8"/>
      <c r="E3203" s="8"/>
      <c r="F3203" s="8"/>
      <c r="G3203" s="10" t="str">
        <f aca="false">IF($A3203="","",UPPER(SUBSTITUTE(SUBSTITUTE(SUBSTITUTE(SUBSTITUTE($A3203," ",""),"(주)",""),"주식회사",""),"㈜","")))</f>
        <v/>
      </c>
      <c r="H3203" s="10" t="str">
        <f aca="false">IF($B3203="","",SUBSTITUTE(SUBSTITUTE(SUBSTITUTE($B3203,"-","")," ",""),".",""))</f>
        <v/>
      </c>
      <c r="I3203" s="10" t="str">
        <f aca="false">IF($D3203="","",SUBSTITUTE(SUBSTITUTE(SUBSTITUTE($D3203,"-","")," ",""),".",""))</f>
        <v/>
      </c>
      <c r="J3203" s="10" t="str">
        <f aca="false">IF($E3203="","",UPPER(SUBSTITUTE($E3203," ","")))</f>
        <v/>
      </c>
      <c r="K3203" s="10" t="str">
        <f aca="false">IF($A3203="","",$G3203&amp;"|"&amp;$J3203)</f>
        <v/>
      </c>
      <c r="L3203" s="10" t="str">
        <f aca="false">IF($A3203="","",ROW()-2)</f>
        <v/>
      </c>
      <c r="M3203" s="10" t="str">
        <f aca="false">IF($A3203="","",ROW())</f>
        <v/>
      </c>
    </row>
    <row r="3204" customFormat="false" ht="15" hidden="false" customHeight="true" outlineLevel="0" collapsed="false">
      <c r="A3204" s="8"/>
      <c r="B3204" s="8"/>
      <c r="C3204" s="8"/>
      <c r="D3204" s="8"/>
      <c r="E3204" s="8"/>
      <c r="F3204" s="8"/>
      <c r="G3204" s="10" t="str">
        <f aca="false">IF($A3204="","",UPPER(SUBSTITUTE(SUBSTITUTE(SUBSTITUTE(SUBSTITUTE($A3204," ",""),"(주)",""),"주식회사",""),"㈜","")))</f>
        <v/>
      </c>
      <c r="H3204" s="10" t="str">
        <f aca="false">IF($B3204="","",SUBSTITUTE(SUBSTITUTE(SUBSTITUTE($B3204,"-","")," ",""),".",""))</f>
        <v/>
      </c>
      <c r="I3204" s="10" t="str">
        <f aca="false">IF($D3204="","",SUBSTITUTE(SUBSTITUTE(SUBSTITUTE($D3204,"-","")," ",""),".",""))</f>
        <v/>
      </c>
      <c r="J3204" s="10" t="str">
        <f aca="false">IF($E3204="","",UPPER(SUBSTITUTE($E3204," ","")))</f>
        <v/>
      </c>
      <c r="K3204" s="10" t="str">
        <f aca="false">IF($A3204="","",$G3204&amp;"|"&amp;$J3204)</f>
        <v/>
      </c>
      <c r="L3204" s="10" t="str">
        <f aca="false">IF($A3204="","",ROW()-2)</f>
        <v/>
      </c>
      <c r="M3204" s="10" t="str">
        <f aca="false">IF($A3204="","",ROW())</f>
        <v/>
      </c>
    </row>
    <row r="3205" customFormat="false" ht="15" hidden="false" customHeight="true" outlineLevel="0" collapsed="false">
      <c r="A3205" s="8"/>
      <c r="B3205" s="8"/>
      <c r="C3205" s="8"/>
      <c r="D3205" s="8"/>
      <c r="E3205" s="8"/>
      <c r="F3205" s="8"/>
      <c r="G3205" s="10" t="str">
        <f aca="false">IF($A3205="","",UPPER(SUBSTITUTE(SUBSTITUTE(SUBSTITUTE(SUBSTITUTE($A3205," ",""),"(주)",""),"주식회사",""),"㈜","")))</f>
        <v/>
      </c>
      <c r="H3205" s="10" t="str">
        <f aca="false">IF($B3205="","",SUBSTITUTE(SUBSTITUTE(SUBSTITUTE($B3205,"-","")," ",""),".",""))</f>
        <v/>
      </c>
      <c r="I3205" s="10" t="str">
        <f aca="false">IF($D3205="","",SUBSTITUTE(SUBSTITUTE(SUBSTITUTE($D3205,"-","")," ",""),".",""))</f>
        <v/>
      </c>
      <c r="J3205" s="10" t="str">
        <f aca="false">IF($E3205="","",UPPER(SUBSTITUTE($E3205," ","")))</f>
        <v/>
      </c>
      <c r="K3205" s="10" t="str">
        <f aca="false">IF($A3205="","",$G3205&amp;"|"&amp;$J3205)</f>
        <v/>
      </c>
      <c r="L3205" s="10" t="str">
        <f aca="false">IF($A3205="","",ROW()-2)</f>
        <v/>
      </c>
      <c r="M3205" s="10" t="str">
        <f aca="false">IF($A3205="","",ROW())</f>
        <v/>
      </c>
    </row>
    <row r="3206" customFormat="false" ht="15" hidden="false" customHeight="true" outlineLevel="0" collapsed="false">
      <c r="A3206" s="8"/>
      <c r="B3206" s="8"/>
      <c r="C3206" s="8"/>
      <c r="D3206" s="8"/>
      <c r="E3206" s="8"/>
      <c r="F3206" s="8"/>
      <c r="G3206" s="10" t="str">
        <f aca="false">IF($A3206="","",UPPER(SUBSTITUTE(SUBSTITUTE(SUBSTITUTE(SUBSTITUTE($A3206," ",""),"(주)",""),"주식회사",""),"㈜","")))</f>
        <v/>
      </c>
      <c r="H3206" s="10" t="str">
        <f aca="false">IF($B3206="","",SUBSTITUTE(SUBSTITUTE(SUBSTITUTE($B3206,"-","")," ",""),".",""))</f>
        <v/>
      </c>
      <c r="I3206" s="10" t="str">
        <f aca="false">IF($D3206="","",SUBSTITUTE(SUBSTITUTE(SUBSTITUTE($D3206,"-","")," ",""),".",""))</f>
        <v/>
      </c>
      <c r="J3206" s="10" t="str">
        <f aca="false">IF($E3206="","",UPPER(SUBSTITUTE($E3206," ","")))</f>
        <v/>
      </c>
      <c r="K3206" s="10" t="str">
        <f aca="false">IF($A3206="","",$G3206&amp;"|"&amp;$J3206)</f>
        <v/>
      </c>
      <c r="L3206" s="10" t="str">
        <f aca="false">IF($A3206="","",ROW()-2)</f>
        <v/>
      </c>
      <c r="M3206" s="10" t="str">
        <f aca="false">IF($A3206="","",ROW())</f>
        <v/>
      </c>
    </row>
    <row r="3207" customFormat="false" ht="15" hidden="false" customHeight="true" outlineLevel="0" collapsed="false">
      <c r="A3207" s="8"/>
      <c r="B3207" s="8"/>
      <c r="C3207" s="8"/>
      <c r="D3207" s="8"/>
      <c r="E3207" s="8"/>
      <c r="F3207" s="8"/>
      <c r="G3207" s="10" t="str">
        <f aca="false">IF($A3207="","",UPPER(SUBSTITUTE(SUBSTITUTE(SUBSTITUTE(SUBSTITUTE($A3207," ",""),"(주)",""),"주식회사",""),"㈜","")))</f>
        <v/>
      </c>
      <c r="H3207" s="10" t="str">
        <f aca="false">IF($B3207="","",SUBSTITUTE(SUBSTITUTE(SUBSTITUTE($B3207,"-","")," ",""),".",""))</f>
        <v/>
      </c>
      <c r="I3207" s="10" t="str">
        <f aca="false">IF($D3207="","",SUBSTITUTE(SUBSTITUTE(SUBSTITUTE($D3207,"-","")," ",""),".",""))</f>
        <v/>
      </c>
      <c r="J3207" s="10" t="str">
        <f aca="false">IF($E3207="","",UPPER(SUBSTITUTE($E3207," ","")))</f>
        <v/>
      </c>
      <c r="K3207" s="10" t="str">
        <f aca="false">IF($A3207="","",$G3207&amp;"|"&amp;$J3207)</f>
        <v/>
      </c>
      <c r="L3207" s="10" t="str">
        <f aca="false">IF($A3207="","",ROW()-2)</f>
        <v/>
      </c>
      <c r="M3207" s="10" t="str">
        <f aca="false">IF($A3207="","",ROW())</f>
        <v/>
      </c>
    </row>
    <row r="3208" customFormat="false" ht="15" hidden="false" customHeight="true" outlineLevel="0" collapsed="false">
      <c r="A3208" s="8"/>
      <c r="B3208" s="8"/>
      <c r="C3208" s="8"/>
      <c r="D3208" s="8"/>
      <c r="E3208" s="8"/>
      <c r="F3208" s="8"/>
      <c r="G3208" s="10" t="str">
        <f aca="false">IF($A3208="","",UPPER(SUBSTITUTE(SUBSTITUTE(SUBSTITUTE(SUBSTITUTE($A3208," ",""),"(주)",""),"주식회사",""),"㈜","")))</f>
        <v/>
      </c>
      <c r="H3208" s="10" t="str">
        <f aca="false">IF($B3208="","",SUBSTITUTE(SUBSTITUTE(SUBSTITUTE($B3208,"-","")," ",""),".",""))</f>
        <v/>
      </c>
      <c r="I3208" s="10" t="str">
        <f aca="false">IF($D3208="","",SUBSTITUTE(SUBSTITUTE(SUBSTITUTE($D3208,"-","")," ",""),".",""))</f>
        <v/>
      </c>
      <c r="J3208" s="10" t="str">
        <f aca="false">IF($E3208="","",UPPER(SUBSTITUTE($E3208," ","")))</f>
        <v/>
      </c>
      <c r="K3208" s="10" t="str">
        <f aca="false">IF($A3208="","",$G3208&amp;"|"&amp;$J3208)</f>
        <v/>
      </c>
      <c r="L3208" s="10" t="str">
        <f aca="false">IF($A3208="","",ROW()-2)</f>
        <v/>
      </c>
      <c r="M3208" s="10" t="str">
        <f aca="false">IF($A3208="","",ROW())</f>
        <v/>
      </c>
    </row>
    <row r="3209" customFormat="false" ht="15" hidden="false" customHeight="true" outlineLevel="0" collapsed="false">
      <c r="A3209" s="8"/>
      <c r="B3209" s="8"/>
      <c r="C3209" s="8"/>
      <c r="D3209" s="8"/>
      <c r="E3209" s="8"/>
      <c r="F3209" s="8"/>
      <c r="G3209" s="10" t="str">
        <f aca="false">IF($A3209="","",UPPER(SUBSTITUTE(SUBSTITUTE(SUBSTITUTE(SUBSTITUTE($A3209," ",""),"(주)",""),"주식회사",""),"㈜","")))</f>
        <v/>
      </c>
      <c r="H3209" s="10" t="str">
        <f aca="false">IF($B3209="","",SUBSTITUTE(SUBSTITUTE(SUBSTITUTE($B3209,"-","")," ",""),".",""))</f>
        <v/>
      </c>
      <c r="I3209" s="10" t="str">
        <f aca="false">IF($D3209="","",SUBSTITUTE(SUBSTITUTE(SUBSTITUTE($D3209,"-","")," ",""),".",""))</f>
        <v/>
      </c>
      <c r="J3209" s="10" t="str">
        <f aca="false">IF($E3209="","",UPPER(SUBSTITUTE($E3209," ","")))</f>
        <v/>
      </c>
      <c r="K3209" s="10" t="str">
        <f aca="false">IF($A3209="","",$G3209&amp;"|"&amp;$J3209)</f>
        <v/>
      </c>
      <c r="L3209" s="10" t="str">
        <f aca="false">IF($A3209="","",ROW()-2)</f>
        <v/>
      </c>
      <c r="M3209" s="10" t="str">
        <f aca="false">IF($A3209="","",ROW())</f>
        <v/>
      </c>
    </row>
    <row r="3210" customFormat="false" ht="15" hidden="false" customHeight="true" outlineLevel="0" collapsed="false">
      <c r="A3210" s="8"/>
      <c r="B3210" s="8"/>
      <c r="C3210" s="8"/>
      <c r="D3210" s="8"/>
      <c r="E3210" s="8"/>
      <c r="F3210" s="8"/>
      <c r="G3210" s="10" t="str">
        <f aca="false">IF($A3210="","",UPPER(SUBSTITUTE(SUBSTITUTE(SUBSTITUTE(SUBSTITUTE($A3210," ",""),"(주)",""),"주식회사",""),"㈜","")))</f>
        <v/>
      </c>
      <c r="H3210" s="10" t="str">
        <f aca="false">IF($B3210="","",SUBSTITUTE(SUBSTITUTE(SUBSTITUTE($B3210,"-","")," ",""),".",""))</f>
        <v/>
      </c>
      <c r="I3210" s="10" t="str">
        <f aca="false">IF($D3210="","",SUBSTITUTE(SUBSTITUTE(SUBSTITUTE($D3210,"-","")," ",""),".",""))</f>
        <v/>
      </c>
      <c r="J3210" s="10" t="str">
        <f aca="false">IF($E3210="","",UPPER(SUBSTITUTE($E3210," ","")))</f>
        <v/>
      </c>
      <c r="K3210" s="10" t="str">
        <f aca="false">IF($A3210="","",$G3210&amp;"|"&amp;$J3210)</f>
        <v/>
      </c>
      <c r="L3210" s="10" t="str">
        <f aca="false">IF($A3210="","",ROW()-2)</f>
        <v/>
      </c>
      <c r="M3210" s="10" t="str">
        <f aca="false">IF($A3210="","",ROW())</f>
        <v/>
      </c>
    </row>
    <row r="3211" customFormat="false" ht="15" hidden="false" customHeight="true" outlineLevel="0" collapsed="false">
      <c r="A3211" s="8"/>
      <c r="B3211" s="8"/>
      <c r="C3211" s="8"/>
      <c r="D3211" s="8"/>
      <c r="E3211" s="8"/>
      <c r="F3211" s="8"/>
      <c r="G3211" s="10" t="str">
        <f aca="false">IF($A3211="","",UPPER(SUBSTITUTE(SUBSTITUTE(SUBSTITUTE(SUBSTITUTE($A3211," ",""),"(주)",""),"주식회사",""),"㈜","")))</f>
        <v/>
      </c>
      <c r="H3211" s="10" t="str">
        <f aca="false">IF($B3211="","",SUBSTITUTE(SUBSTITUTE(SUBSTITUTE($B3211,"-","")," ",""),".",""))</f>
        <v/>
      </c>
      <c r="I3211" s="10" t="str">
        <f aca="false">IF($D3211="","",SUBSTITUTE(SUBSTITUTE(SUBSTITUTE($D3211,"-","")," ",""),".",""))</f>
        <v/>
      </c>
      <c r="J3211" s="10" t="str">
        <f aca="false">IF($E3211="","",UPPER(SUBSTITUTE($E3211," ","")))</f>
        <v/>
      </c>
      <c r="K3211" s="10" t="str">
        <f aca="false">IF($A3211="","",$G3211&amp;"|"&amp;$J3211)</f>
        <v/>
      </c>
      <c r="L3211" s="10" t="str">
        <f aca="false">IF($A3211="","",ROW()-2)</f>
        <v/>
      </c>
      <c r="M3211" s="10" t="str">
        <f aca="false">IF($A3211="","",ROW())</f>
        <v/>
      </c>
    </row>
    <row r="3212" customFormat="false" ht="15" hidden="false" customHeight="true" outlineLevel="0" collapsed="false">
      <c r="A3212" s="8"/>
      <c r="B3212" s="8"/>
      <c r="C3212" s="8"/>
      <c r="D3212" s="8"/>
      <c r="E3212" s="8"/>
      <c r="F3212" s="8"/>
      <c r="G3212" s="10" t="str">
        <f aca="false">IF($A3212="","",UPPER(SUBSTITUTE(SUBSTITUTE(SUBSTITUTE(SUBSTITUTE($A3212," ",""),"(주)",""),"주식회사",""),"㈜","")))</f>
        <v/>
      </c>
      <c r="H3212" s="10" t="str">
        <f aca="false">IF($B3212="","",SUBSTITUTE(SUBSTITUTE(SUBSTITUTE($B3212,"-","")," ",""),".",""))</f>
        <v/>
      </c>
      <c r="I3212" s="10" t="str">
        <f aca="false">IF($D3212="","",SUBSTITUTE(SUBSTITUTE(SUBSTITUTE($D3212,"-","")," ",""),".",""))</f>
        <v/>
      </c>
      <c r="J3212" s="10" t="str">
        <f aca="false">IF($E3212="","",UPPER(SUBSTITUTE($E3212," ","")))</f>
        <v/>
      </c>
      <c r="K3212" s="10" t="str">
        <f aca="false">IF($A3212="","",$G3212&amp;"|"&amp;$J3212)</f>
        <v/>
      </c>
      <c r="L3212" s="10" t="str">
        <f aca="false">IF($A3212="","",ROW()-2)</f>
        <v/>
      </c>
      <c r="M3212" s="10" t="str">
        <f aca="false">IF($A3212="","",ROW())</f>
        <v/>
      </c>
    </row>
    <row r="3213" customFormat="false" ht="15" hidden="false" customHeight="true" outlineLevel="0" collapsed="false">
      <c r="A3213" s="8"/>
      <c r="B3213" s="8"/>
      <c r="C3213" s="8"/>
      <c r="D3213" s="8"/>
      <c r="E3213" s="8"/>
      <c r="F3213" s="8"/>
      <c r="G3213" s="10" t="str">
        <f aca="false">IF($A3213="","",UPPER(SUBSTITUTE(SUBSTITUTE(SUBSTITUTE(SUBSTITUTE($A3213," ",""),"(주)",""),"주식회사",""),"㈜","")))</f>
        <v/>
      </c>
      <c r="H3213" s="10" t="str">
        <f aca="false">IF($B3213="","",SUBSTITUTE(SUBSTITUTE(SUBSTITUTE($B3213,"-","")," ",""),".",""))</f>
        <v/>
      </c>
      <c r="I3213" s="10" t="str">
        <f aca="false">IF($D3213="","",SUBSTITUTE(SUBSTITUTE(SUBSTITUTE($D3213,"-","")," ",""),".",""))</f>
        <v/>
      </c>
      <c r="J3213" s="10" t="str">
        <f aca="false">IF($E3213="","",UPPER(SUBSTITUTE($E3213," ","")))</f>
        <v/>
      </c>
      <c r="K3213" s="10" t="str">
        <f aca="false">IF($A3213="","",$G3213&amp;"|"&amp;$J3213)</f>
        <v/>
      </c>
      <c r="L3213" s="10" t="str">
        <f aca="false">IF($A3213="","",ROW()-2)</f>
        <v/>
      </c>
      <c r="M3213" s="10" t="str">
        <f aca="false">IF($A3213="","",ROW())</f>
        <v/>
      </c>
    </row>
    <row r="3214" customFormat="false" ht="15" hidden="false" customHeight="true" outlineLevel="0" collapsed="false">
      <c r="A3214" s="8"/>
      <c r="B3214" s="8"/>
      <c r="C3214" s="8"/>
      <c r="D3214" s="8"/>
      <c r="E3214" s="8"/>
      <c r="F3214" s="8"/>
      <c r="G3214" s="10" t="str">
        <f aca="false">IF($A3214="","",UPPER(SUBSTITUTE(SUBSTITUTE(SUBSTITUTE(SUBSTITUTE($A3214," ",""),"(주)",""),"주식회사",""),"㈜","")))</f>
        <v/>
      </c>
      <c r="H3214" s="10" t="str">
        <f aca="false">IF($B3214="","",SUBSTITUTE(SUBSTITUTE(SUBSTITUTE($B3214,"-","")," ",""),".",""))</f>
        <v/>
      </c>
      <c r="I3214" s="10" t="str">
        <f aca="false">IF($D3214="","",SUBSTITUTE(SUBSTITUTE(SUBSTITUTE($D3214,"-","")," ",""),".",""))</f>
        <v/>
      </c>
      <c r="J3214" s="10" t="str">
        <f aca="false">IF($E3214="","",UPPER(SUBSTITUTE($E3214," ","")))</f>
        <v/>
      </c>
      <c r="K3214" s="10" t="str">
        <f aca="false">IF($A3214="","",$G3214&amp;"|"&amp;$J3214)</f>
        <v/>
      </c>
      <c r="L3214" s="10" t="str">
        <f aca="false">IF($A3214="","",ROW()-2)</f>
        <v/>
      </c>
      <c r="M3214" s="10" t="str">
        <f aca="false">IF($A3214="","",ROW())</f>
        <v/>
      </c>
    </row>
    <row r="3215" customFormat="false" ht="15" hidden="false" customHeight="true" outlineLevel="0" collapsed="false">
      <c r="A3215" s="8"/>
      <c r="B3215" s="8"/>
      <c r="C3215" s="8"/>
      <c r="D3215" s="8"/>
      <c r="E3215" s="8"/>
      <c r="F3215" s="8"/>
      <c r="G3215" s="10" t="str">
        <f aca="false">IF($A3215="","",UPPER(SUBSTITUTE(SUBSTITUTE(SUBSTITUTE(SUBSTITUTE($A3215," ",""),"(주)",""),"주식회사",""),"㈜","")))</f>
        <v/>
      </c>
      <c r="H3215" s="10" t="str">
        <f aca="false">IF($B3215="","",SUBSTITUTE(SUBSTITUTE(SUBSTITUTE($B3215,"-","")," ",""),".",""))</f>
        <v/>
      </c>
      <c r="I3215" s="10" t="str">
        <f aca="false">IF($D3215="","",SUBSTITUTE(SUBSTITUTE(SUBSTITUTE($D3215,"-","")," ",""),".",""))</f>
        <v/>
      </c>
      <c r="J3215" s="10" t="str">
        <f aca="false">IF($E3215="","",UPPER(SUBSTITUTE($E3215," ","")))</f>
        <v/>
      </c>
      <c r="K3215" s="10" t="str">
        <f aca="false">IF($A3215="","",$G3215&amp;"|"&amp;$J3215)</f>
        <v/>
      </c>
      <c r="L3215" s="10" t="str">
        <f aca="false">IF($A3215="","",ROW()-2)</f>
        <v/>
      </c>
      <c r="M3215" s="10" t="str">
        <f aca="false">IF($A3215="","",ROW())</f>
        <v/>
      </c>
    </row>
    <row r="3216" customFormat="false" ht="15" hidden="false" customHeight="true" outlineLevel="0" collapsed="false">
      <c r="A3216" s="8"/>
      <c r="B3216" s="8"/>
      <c r="C3216" s="8"/>
      <c r="D3216" s="8"/>
      <c r="E3216" s="8"/>
      <c r="F3216" s="8"/>
      <c r="G3216" s="10" t="str">
        <f aca="false">IF($A3216="","",UPPER(SUBSTITUTE(SUBSTITUTE(SUBSTITUTE(SUBSTITUTE($A3216," ",""),"(주)",""),"주식회사",""),"㈜","")))</f>
        <v/>
      </c>
      <c r="H3216" s="10" t="str">
        <f aca="false">IF($B3216="","",SUBSTITUTE(SUBSTITUTE(SUBSTITUTE($B3216,"-","")," ",""),".",""))</f>
        <v/>
      </c>
      <c r="I3216" s="10" t="str">
        <f aca="false">IF($D3216="","",SUBSTITUTE(SUBSTITUTE(SUBSTITUTE($D3216,"-","")," ",""),".",""))</f>
        <v/>
      </c>
      <c r="J3216" s="10" t="str">
        <f aca="false">IF($E3216="","",UPPER(SUBSTITUTE($E3216," ","")))</f>
        <v/>
      </c>
      <c r="K3216" s="10" t="str">
        <f aca="false">IF($A3216="","",$G3216&amp;"|"&amp;$J3216)</f>
        <v/>
      </c>
      <c r="L3216" s="10" t="str">
        <f aca="false">IF($A3216="","",ROW()-2)</f>
        <v/>
      </c>
      <c r="M3216" s="10" t="str">
        <f aca="false">IF($A3216="","",ROW())</f>
        <v/>
      </c>
    </row>
    <row r="3217" customFormat="false" ht="15" hidden="false" customHeight="true" outlineLevel="0" collapsed="false">
      <c r="A3217" s="8"/>
      <c r="B3217" s="8"/>
      <c r="C3217" s="8"/>
      <c r="D3217" s="8"/>
      <c r="E3217" s="8"/>
      <c r="F3217" s="8"/>
      <c r="G3217" s="10" t="str">
        <f aca="false">IF($A3217="","",UPPER(SUBSTITUTE(SUBSTITUTE(SUBSTITUTE(SUBSTITUTE($A3217," ",""),"(주)",""),"주식회사",""),"㈜","")))</f>
        <v/>
      </c>
      <c r="H3217" s="10" t="str">
        <f aca="false">IF($B3217="","",SUBSTITUTE(SUBSTITUTE(SUBSTITUTE($B3217,"-","")," ",""),".",""))</f>
        <v/>
      </c>
      <c r="I3217" s="10" t="str">
        <f aca="false">IF($D3217="","",SUBSTITUTE(SUBSTITUTE(SUBSTITUTE($D3217,"-","")," ",""),".",""))</f>
        <v/>
      </c>
      <c r="J3217" s="10" t="str">
        <f aca="false">IF($E3217="","",UPPER(SUBSTITUTE($E3217," ","")))</f>
        <v/>
      </c>
      <c r="K3217" s="10" t="str">
        <f aca="false">IF($A3217="","",$G3217&amp;"|"&amp;$J3217)</f>
        <v/>
      </c>
      <c r="L3217" s="10" t="str">
        <f aca="false">IF($A3217="","",ROW()-2)</f>
        <v/>
      </c>
      <c r="M3217" s="10" t="str">
        <f aca="false">IF($A3217="","",ROW())</f>
        <v/>
      </c>
    </row>
    <row r="3218" customFormat="false" ht="15" hidden="false" customHeight="true" outlineLevel="0" collapsed="false">
      <c r="A3218" s="8"/>
      <c r="B3218" s="8"/>
      <c r="C3218" s="8"/>
      <c r="D3218" s="8"/>
      <c r="E3218" s="8"/>
      <c r="F3218" s="8"/>
      <c r="G3218" s="10" t="str">
        <f aca="false">IF($A3218="","",UPPER(SUBSTITUTE(SUBSTITUTE(SUBSTITUTE(SUBSTITUTE($A3218," ",""),"(주)",""),"주식회사",""),"㈜","")))</f>
        <v/>
      </c>
      <c r="H3218" s="10" t="str">
        <f aca="false">IF($B3218="","",SUBSTITUTE(SUBSTITUTE(SUBSTITUTE($B3218,"-","")," ",""),".",""))</f>
        <v/>
      </c>
      <c r="I3218" s="10" t="str">
        <f aca="false">IF($D3218="","",SUBSTITUTE(SUBSTITUTE(SUBSTITUTE($D3218,"-","")," ",""),".",""))</f>
        <v/>
      </c>
      <c r="J3218" s="10" t="str">
        <f aca="false">IF($E3218="","",UPPER(SUBSTITUTE($E3218," ","")))</f>
        <v/>
      </c>
      <c r="K3218" s="10" t="str">
        <f aca="false">IF($A3218="","",$G3218&amp;"|"&amp;$J3218)</f>
        <v/>
      </c>
      <c r="L3218" s="10" t="str">
        <f aca="false">IF($A3218="","",ROW()-2)</f>
        <v/>
      </c>
      <c r="M3218" s="10" t="str">
        <f aca="false">IF($A3218="","",ROW())</f>
        <v/>
      </c>
    </row>
    <row r="3219" customFormat="false" ht="15" hidden="false" customHeight="true" outlineLevel="0" collapsed="false">
      <c r="A3219" s="8"/>
      <c r="B3219" s="8"/>
      <c r="C3219" s="8"/>
      <c r="D3219" s="8"/>
      <c r="E3219" s="8"/>
      <c r="F3219" s="8"/>
      <c r="G3219" s="10" t="str">
        <f aca="false">IF($A3219="","",UPPER(SUBSTITUTE(SUBSTITUTE(SUBSTITUTE(SUBSTITUTE($A3219," ",""),"(주)",""),"주식회사",""),"㈜","")))</f>
        <v/>
      </c>
      <c r="H3219" s="10" t="str">
        <f aca="false">IF($B3219="","",SUBSTITUTE(SUBSTITUTE(SUBSTITUTE($B3219,"-","")," ",""),".",""))</f>
        <v/>
      </c>
      <c r="I3219" s="10" t="str">
        <f aca="false">IF($D3219="","",SUBSTITUTE(SUBSTITUTE(SUBSTITUTE($D3219,"-","")," ",""),".",""))</f>
        <v/>
      </c>
      <c r="J3219" s="10" t="str">
        <f aca="false">IF($E3219="","",UPPER(SUBSTITUTE($E3219," ","")))</f>
        <v/>
      </c>
      <c r="K3219" s="10" t="str">
        <f aca="false">IF($A3219="","",$G3219&amp;"|"&amp;$J3219)</f>
        <v/>
      </c>
      <c r="L3219" s="10" t="str">
        <f aca="false">IF($A3219="","",ROW()-2)</f>
        <v/>
      </c>
      <c r="M3219" s="10" t="str">
        <f aca="false">IF($A3219="","",ROW())</f>
        <v/>
      </c>
    </row>
    <row r="3220" customFormat="false" ht="15" hidden="false" customHeight="true" outlineLevel="0" collapsed="false">
      <c r="A3220" s="8"/>
      <c r="B3220" s="8"/>
      <c r="C3220" s="8"/>
      <c r="D3220" s="8"/>
      <c r="E3220" s="8"/>
      <c r="F3220" s="8"/>
      <c r="G3220" s="10" t="str">
        <f aca="false">IF($A3220="","",UPPER(SUBSTITUTE(SUBSTITUTE(SUBSTITUTE(SUBSTITUTE($A3220," ",""),"(주)",""),"주식회사",""),"㈜","")))</f>
        <v/>
      </c>
      <c r="H3220" s="10" t="str">
        <f aca="false">IF($B3220="","",SUBSTITUTE(SUBSTITUTE(SUBSTITUTE($B3220,"-","")," ",""),".",""))</f>
        <v/>
      </c>
      <c r="I3220" s="10" t="str">
        <f aca="false">IF($D3220="","",SUBSTITUTE(SUBSTITUTE(SUBSTITUTE($D3220,"-","")," ",""),".",""))</f>
        <v/>
      </c>
      <c r="J3220" s="10" t="str">
        <f aca="false">IF($E3220="","",UPPER(SUBSTITUTE($E3220," ","")))</f>
        <v/>
      </c>
      <c r="K3220" s="10" t="str">
        <f aca="false">IF($A3220="","",$G3220&amp;"|"&amp;$J3220)</f>
        <v/>
      </c>
      <c r="L3220" s="10" t="str">
        <f aca="false">IF($A3220="","",ROW()-2)</f>
        <v/>
      </c>
      <c r="M3220" s="10" t="str">
        <f aca="false">IF($A3220="","",ROW())</f>
        <v/>
      </c>
    </row>
    <row r="3221" customFormat="false" ht="15" hidden="false" customHeight="true" outlineLevel="0" collapsed="false">
      <c r="A3221" s="8"/>
      <c r="B3221" s="8"/>
      <c r="C3221" s="8"/>
      <c r="D3221" s="8"/>
      <c r="E3221" s="8"/>
      <c r="F3221" s="8"/>
      <c r="G3221" s="10" t="str">
        <f aca="false">IF($A3221="","",UPPER(SUBSTITUTE(SUBSTITUTE(SUBSTITUTE(SUBSTITUTE($A3221," ",""),"(주)",""),"주식회사",""),"㈜","")))</f>
        <v/>
      </c>
      <c r="H3221" s="10" t="str">
        <f aca="false">IF($B3221="","",SUBSTITUTE(SUBSTITUTE(SUBSTITUTE($B3221,"-","")," ",""),".",""))</f>
        <v/>
      </c>
      <c r="I3221" s="10" t="str">
        <f aca="false">IF($D3221="","",SUBSTITUTE(SUBSTITUTE(SUBSTITUTE($D3221,"-","")," ",""),".",""))</f>
        <v/>
      </c>
      <c r="J3221" s="10" t="str">
        <f aca="false">IF($E3221="","",UPPER(SUBSTITUTE($E3221," ","")))</f>
        <v/>
      </c>
      <c r="K3221" s="10" t="str">
        <f aca="false">IF($A3221="","",$G3221&amp;"|"&amp;$J3221)</f>
        <v/>
      </c>
      <c r="L3221" s="10" t="str">
        <f aca="false">IF($A3221="","",ROW()-2)</f>
        <v/>
      </c>
      <c r="M3221" s="10" t="str">
        <f aca="false">IF($A3221="","",ROW())</f>
        <v/>
      </c>
    </row>
    <row r="3222" customFormat="false" ht="15" hidden="false" customHeight="true" outlineLevel="0" collapsed="false">
      <c r="A3222" s="8"/>
      <c r="B3222" s="8"/>
      <c r="C3222" s="8"/>
      <c r="D3222" s="8"/>
      <c r="E3222" s="8"/>
      <c r="F3222" s="8"/>
      <c r="G3222" s="10" t="str">
        <f aca="false">IF($A3222="","",UPPER(SUBSTITUTE(SUBSTITUTE(SUBSTITUTE(SUBSTITUTE($A3222," ",""),"(주)",""),"주식회사",""),"㈜","")))</f>
        <v/>
      </c>
      <c r="H3222" s="10" t="str">
        <f aca="false">IF($B3222="","",SUBSTITUTE(SUBSTITUTE(SUBSTITUTE($B3222,"-","")," ",""),".",""))</f>
        <v/>
      </c>
      <c r="I3222" s="10" t="str">
        <f aca="false">IF($D3222="","",SUBSTITUTE(SUBSTITUTE(SUBSTITUTE($D3222,"-","")," ",""),".",""))</f>
        <v/>
      </c>
      <c r="J3222" s="10" t="str">
        <f aca="false">IF($E3222="","",UPPER(SUBSTITUTE($E3222," ","")))</f>
        <v/>
      </c>
      <c r="K3222" s="10" t="str">
        <f aca="false">IF($A3222="","",$G3222&amp;"|"&amp;$J3222)</f>
        <v/>
      </c>
      <c r="L3222" s="10" t="str">
        <f aca="false">IF($A3222="","",ROW()-2)</f>
        <v/>
      </c>
      <c r="M3222" s="10" t="str">
        <f aca="false">IF($A3222="","",ROW())</f>
        <v/>
      </c>
    </row>
    <row r="3223" customFormat="false" ht="15" hidden="false" customHeight="true" outlineLevel="0" collapsed="false">
      <c r="A3223" s="8"/>
      <c r="B3223" s="8"/>
      <c r="C3223" s="8"/>
      <c r="D3223" s="8"/>
      <c r="E3223" s="8"/>
      <c r="F3223" s="8"/>
      <c r="G3223" s="10" t="str">
        <f aca="false">IF($A3223="","",UPPER(SUBSTITUTE(SUBSTITUTE(SUBSTITUTE(SUBSTITUTE($A3223," ",""),"(주)",""),"주식회사",""),"㈜","")))</f>
        <v/>
      </c>
      <c r="H3223" s="10" t="str">
        <f aca="false">IF($B3223="","",SUBSTITUTE(SUBSTITUTE(SUBSTITUTE($B3223,"-","")," ",""),".",""))</f>
        <v/>
      </c>
      <c r="I3223" s="10" t="str">
        <f aca="false">IF($D3223="","",SUBSTITUTE(SUBSTITUTE(SUBSTITUTE($D3223,"-","")," ",""),".",""))</f>
        <v/>
      </c>
      <c r="J3223" s="10" t="str">
        <f aca="false">IF($E3223="","",UPPER(SUBSTITUTE($E3223," ","")))</f>
        <v/>
      </c>
      <c r="K3223" s="10" t="str">
        <f aca="false">IF($A3223="","",$G3223&amp;"|"&amp;$J3223)</f>
        <v/>
      </c>
      <c r="L3223" s="10" t="str">
        <f aca="false">IF($A3223="","",ROW()-2)</f>
        <v/>
      </c>
      <c r="M3223" s="10" t="str">
        <f aca="false">IF($A3223="","",ROW())</f>
        <v/>
      </c>
    </row>
    <row r="3224" customFormat="false" ht="15" hidden="false" customHeight="true" outlineLevel="0" collapsed="false">
      <c r="A3224" s="8"/>
      <c r="B3224" s="8"/>
      <c r="C3224" s="8"/>
      <c r="D3224" s="8"/>
      <c r="E3224" s="8"/>
      <c r="F3224" s="8"/>
      <c r="G3224" s="10" t="str">
        <f aca="false">IF($A3224="","",UPPER(SUBSTITUTE(SUBSTITUTE(SUBSTITUTE(SUBSTITUTE($A3224," ",""),"(주)",""),"주식회사",""),"㈜","")))</f>
        <v/>
      </c>
      <c r="H3224" s="10" t="str">
        <f aca="false">IF($B3224="","",SUBSTITUTE(SUBSTITUTE(SUBSTITUTE($B3224,"-","")," ",""),".",""))</f>
        <v/>
      </c>
      <c r="I3224" s="10" t="str">
        <f aca="false">IF($D3224="","",SUBSTITUTE(SUBSTITUTE(SUBSTITUTE($D3224,"-","")," ",""),".",""))</f>
        <v/>
      </c>
      <c r="J3224" s="10" t="str">
        <f aca="false">IF($E3224="","",UPPER(SUBSTITUTE($E3224," ","")))</f>
        <v/>
      </c>
      <c r="K3224" s="10" t="str">
        <f aca="false">IF($A3224="","",$G3224&amp;"|"&amp;$J3224)</f>
        <v/>
      </c>
      <c r="L3224" s="10" t="str">
        <f aca="false">IF($A3224="","",ROW()-2)</f>
        <v/>
      </c>
      <c r="M3224" s="10" t="str">
        <f aca="false">IF($A3224="","",ROW())</f>
        <v/>
      </c>
    </row>
    <row r="3225" customFormat="false" ht="15" hidden="false" customHeight="true" outlineLevel="0" collapsed="false">
      <c r="A3225" s="8"/>
      <c r="B3225" s="8"/>
      <c r="C3225" s="8"/>
      <c r="D3225" s="8"/>
      <c r="E3225" s="8"/>
      <c r="F3225" s="8"/>
      <c r="G3225" s="10" t="str">
        <f aca="false">IF($A3225="","",UPPER(SUBSTITUTE(SUBSTITUTE(SUBSTITUTE(SUBSTITUTE($A3225," ",""),"(주)",""),"주식회사",""),"㈜","")))</f>
        <v/>
      </c>
      <c r="H3225" s="10" t="str">
        <f aca="false">IF($B3225="","",SUBSTITUTE(SUBSTITUTE(SUBSTITUTE($B3225,"-","")," ",""),".",""))</f>
        <v/>
      </c>
      <c r="I3225" s="10" t="str">
        <f aca="false">IF($D3225="","",SUBSTITUTE(SUBSTITUTE(SUBSTITUTE($D3225,"-","")," ",""),".",""))</f>
        <v/>
      </c>
      <c r="J3225" s="10" t="str">
        <f aca="false">IF($E3225="","",UPPER(SUBSTITUTE($E3225," ","")))</f>
        <v/>
      </c>
      <c r="K3225" s="10" t="str">
        <f aca="false">IF($A3225="","",$G3225&amp;"|"&amp;$J3225)</f>
        <v/>
      </c>
      <c r="L3225" s="10" t="str">
        <f aca="false">IF($A3225="","",ROW()-2)</f>
        <v/>
      </c>
      <c r="M3225" s="10" t="str">
        <f aca="false">IF($A3225="","",ROW())</f>
        <v/>
      </c>
    </row>
    <row r="3226" customFormat="false" ht="15" hidden="false" customHeight="true" outlineLevel="0" collapsed="false">
      <c r="A3226" s="8"/>
      <c r="B3226" s="8"/>
      <c r="C3226" s="8"/>
      <c r="D3226" s="8"/>
      <c r="E3226" s="8"/>
      <c r="F3226" s="8"/>
      <c r="G3226" s="10" t="str">
        <f aca="false">IF($A3226="","",UPPER(SUBSTITUTE(SUBSTITUTE(SUBSTITUTE(SUBSTITUTE($A3226," ",""),"(주)",""),"주식회사",""),"㈜","")))</f>
        <v/>
      </c>
      <c r="H3226" s="10" t="str">
        <f aca="false">IF($B3226="","",SUBSTITUTE(SUBSTITUTE(SUBSTITUTE($B3226,"-","")," ",""),".",""))</f>
        <v/>
      </c>
      <c r="I3226" s="10" t="str">
        <f aca="false">IF($D3226="","",SUBSTITUTE(SUBSTITUTE(SUBSTITUTE($D3226,"-","")," ",""),".",""))</f>
        <v/>
      </c>
      <c r="J3226" s="10" t="str">
        <f aca="false">IF($E3226="","",UPPER(SUBSTITUTE($E3226," ","")))</f>
        <v/>
      </c>
      <c r="K3226" s="10" t="str">
        <f aca="false">IF($A3226="","",$G3226&amp;"|"&amp;$J3226)</f>
        <v/>
      </c>
      <c r="L3226" s="10" t="str">
        <f aca="false">IF($A3226="","",ROW()-2)</f>
        <v/>
      </c>
      <c r="M3226" s="10" t="str">
        <f aca="false">IF($A3226="","",ROW())</f>
        <v/>
      </c>
    </row>
    <row r="3227" customFormat="false" ht="15" hidden="false" customHeight="true" outlineLevel="0" collapsed="false">
      <c r="A3227" s="8"/>
      <c r="B3227" s="8"/>
      <c r="C3227" s="8"/>
      <c r="D3227" s="8"/>
      <c r="E3227" s="8"/>
      <c r="F3227" s="8"/>
      <c r="G3227" s="10" t="str">
        <f aca="false">IF($A3227="","",UPPER(SUBSTITUTE(SUBSTITUTE(SUBSTITUTE(SUBSTITUTE($A3227," ",""),"(주)",""),"주식회사",""),"㈜","")))</f>
        <v/>
      </c>
      <c r="H3227" s="10" t="str">
        <f aca="false">IF($B3227="","",SUBSTITUTE(SUBSTITUTE(SUBSTITUTE($B3227,"-","")," ",""),".",""))</f>
        <v/>
      </c>
      <c r="I3227" s="10" t="str">
        <f aca="false">IF($D3227="","",SUBSTITUTE(SUBSTITUTE(SUBSTITUTE($D3227,"-","")," ",""),".",""))</f>
        <v/>
      </c>
      <c r="J3227" s="10" t="str">
        <f aca="false">IF($E3227="","",UPPER(SUBSTITUTE($E3227," ","")))</f>
        <v/>
      </c>
      <c r="K3227" s="10" t="str">
        <f aca="false">IF($A3227="","",$G3227&amp;"|"&amp;$J3227)</f>
        <v/>
      </c>
      <c r="L3227" s="10" t="str">
        <f aca="false">IF($A3227="","",ROW()-2)</f>
        <v/>
      </c>
      <c r="M3227" s="10" t="str">
        <f aca="false">IF($A3227="","",ROW())</f>
        <v/>
      </c>
    </row>
    <row r="3228" customFormat="false" ht="15" hidden="false" customHeight="true" outlineLevel="0" collapsed="false">
      <c r="A3228" s="8"/>
      <c r="B3228" s="8"/>
      <c r="C3228" s="8"/>
      <c r="D3228" s="8"/>
      <c r="E3228" s="8"/>
      <c r="F3228" s="8"/>
      <c r="G3228" s="10" t="str">
        <f aca="false">IF($A3228="","",UPPER(SUBSTITUTE(SUBSTITUTE(SUBSTITUTE(SUBSTITUTE($A3228," ",""),"(주)",""),"주식회사",""),"㈜","")))</f>
        <v/>
      </c>
      <c r="H3228" s="10" t="str">
        <f aca="false">IF($B3228="","",SUBSTITUTE(SUBSTITUTE(SUBSTITUTE($B3228,"-","")," ",""),".",""))</f>
        <v/>
      </c>
      <c r="I3228" s="10" t="str">
        <f aca="false">IF($D3228="","",SUBSTITUTE(SUBSTITUTE(SUBSTITUTE($D3228,"-","")," ",""),".",""))</f>
        <v/>
      </c>
      <c r="J3228" s="10" t="str">
        <f aca="false">IF($E3228="","",UPPER(SUBSTITUTE($E3228," ","")))</f>
        <v/>
      </c>
      <c r="K3228" s="10" t="str">
        <f aca="false">IF($A3228="","",$G3228&amp;"|"&amp;$J3228)</f>
        <v/>
      </c>
      <c r="L3228" s="10" t="str">
        <f aca="false">IF($A3228="","",ROW()-2)</f>
        <v/>
      </c>
      <c r="M3228" s="10" t="str">
        <f aca="false">IF($A3228="","",ROW())</f>
        <v/>
      </c>
    </row>
    <row r="3229" customFormat="false" ht="15" hidden="false" customHeight="true" outlineLevel="0" collapsed="false">
      <c r="A3229" s="8"/>
      <c r="B3229" s="8"/>
      <c r="C3229" s="8"/>
      <c r="D3229" s="8"/>
      <c r="E3229" s="8"/>
      <c r="F3229" s="8"/>
      <c r="G3229" s="10" t="str">
        <f aca="false">IF($A3229="","",UPPER(SUBSTITUTE(SUBSTITUTE(SUBSTITUTE(SUBSTITUTE($A3229," ",""),"(주)",""),"주식회사",""),"㈜","")))</f>
        <v/>
      </c>
      <c r="H3229" s="10" t="str">
        <f aca="false">IF($B3229="","",SUBSTITUTE(SUBSTITUTE(SUBSTITUTE($B3229,"-","")," ",""),".",""))</f>
        <v/>
      </c>
      <c r="I3229" s="10" t="str">
        <f aca="false">IF($D3229="","",SUBSTITUTE(SUBSTITUTE(SUBSTITUTE($D3229,"-","")," ",""),".",""))</f>
        <v/>
      </c>
      <c r="J3229" s="10" t="str">
        <f aca="false">IF($E3229="","",UPPER(SUBSTITUTE($E3229," ","")))</f>
        <v/>
      </c>
      <c r="K3229" s="10" t="str">
        <f aca="false">IF($A3229="","",$G3229&amp;"|"&amp;$J3229)</f>
        <v/>
      </c>
      <c r="L3229" s="10" t="str">
        <f aca="false">IF($A3229="","",ROW()-2)</f>
        <v/>
      </c>
      <c r="M3229" s="10" t="str">
        <f aca="false">IF($A3229="","",ROW())</f>
        <v/>
      </c>
    </row>
    <row r="3230" customFormat="false" ht="15" hidden="false" customHeight="true" outlineLevel="0" collapsed="false">
      <c r="A3230" s="8"/>
      <c r="B3230" s="8"/>
      <c r="C3230" s="8"/>
      <c r="D3230" s="8"/>
      <c r="E3230" s="8"/>
      <c r="F3230" s="8"/>
      <c r="G3230" s="10" t="str">
        <f aca="false">IF($A3230="","",UPPER(SUBSTITUTE(SUBSTITUTE(SUBSTITUTE(SUBSTITUTE($A3230," ",""),"(주)",""),"주식회사",""),"㈜","")))</f>
        <v/>
      </c>
      <c r="H3230" s="10" t="str">
        <f aca="false">IF($B3230="","",SUBSTITUTE(SUBSTITUTE(SUBSTITUTE($B3230,"-","")," ",""),".",""))</f>
        <v/>
      </c>
      <c r="I3230" s="10" t="str">
        <f aca="false">IF($D3230="","",SUBSTITUTE(SUBSTITUTE(SUBSTITUTE($D3230,"-","")," ",""),".",""))</f>
        <v/>
      </c>
      <c r="J3230" s="10" t="str">
        <f aca="false">IF($E3230="","",UPPER(SUBSTITUTE($E3230," ","")))</f>
        <v/>
      </c>
      <c r="K3230" s="10" t="str">
        <f aca="false">IF($A3230="","",$G3230&amp;"|"&amp;$J3230)</f>
        <v/>
      </c>
      <c r="L3230" s="10" t="str">
        <f aca="false">IF($A3230="","",ROW()-2)</f>
        <v/>
      </c>
      <c r="M3230" s="10" t="str">
        <f aca="false">IF($A3230="","",ROW())</f>
        <v/>
      </c>
    </row>
    <row r="3231" customFormat="false" ht="15" hidden="false" customHeight="true" outlineLevel="0" collapsed="false">
      <c r="A3231" s="8"/>
      <c r="B3231" s="8"/>
      <c r="C3231" s="8"/>
      <c r="D3231" s="8"/>
      <c r="E3231" s="8"/>
      <c r="F3231" s="8"/>
      <c r="G3231" s="10" t="str">
        <f aca="false">IF($A3231="","",UPPER(SUBSTITUTE(SUBSTITUTE(SUBSTITUTE(SUBSTITUTE($A3231," ",""),"(주)",""),"주식회사",""),"㈜","")))</f>
        <v/>
      </c>
      <c r="H3231" s="10" t="str">
        <f aca="false">IF($B3231="","",SUBSTITUTE(SUBSTITUTE(SUBSTITUTE($B3231,"-","")," ",""),".",""))</f>
        <v/>
      </c>
      <c r="I3231" s="10" t="str">
        <f aca="false">IF($D3231="","",SUBSTITUTE(SUBSTITUTE(SUBSTITUTE($D3231,"-","")," ",""),".",""))</f>
        <v/>
      </c>
      <c r="J3231" s="10" t="str">
        <f aca="false">IF($E3231="","",UPPER(SUBSTITUTE($E3231," ","")))</f>
        <v/>
      </c>
      <c r="K3231" s="10" t="str">
        <f aca="false">IF($A3231="","",$G3231&amp;"|"&amp;$J3231)</f>
        <v/>
      </c>
      <c r="L3231" s="10" t="str">
        <f aca="false">IF($A3231="","",ROW()-2)</f>
        <v/>
      </c>
      <c r="M3231" s="10" t="str">
        <f aca="false">IF($A3231="","",ROW())</f>
        <v/>
      </c>
    </row>
    <row r="3232" customFormat="false" ht="15" hidden="false" customHeight="true" outlineLevel="0" collapsed="false">
      <c r="A3232" s="8"/>
      <c r="B3232" s="8"/>
      <c r="C3232" s="8"/>
      <c r="D3232" s="8"/>
      <c r="E3232" s="8"/>
      <c r="F3232" s="8"/>
      <c r="G3232" s="10" t="str">
        <f aca="false">IF($A3232="","",UPPER(SUBSTITUTE(SUBSTITUTE(SUBSTITUTE(SUBSTITUTE($A3232," ",""),"(주)",""),"주식회사",""),"㈜","")))</f>
        <v/>
      </c>
      <c r="H3232" s="10" t="str">
        <f aca="false">IF($B3232="","",SUBSTITUTE(SUBSTITUTE(SUBSTITUTE($B3232,"-","")," ",""),".",""))</f>
        <v/>
      </c>
      <c r="I3232" s="10" t="str">
        <f aca="false">IF($D3232="","",SUBSTITUTE(SUBSTITUTE(SUBSTITUTE($D3232,"-","")," ",""),".",""))</f>
        <v/>
      </c>
      <c r="J3232" s="10" t="str">
        <f aca="false">IF($E3232="","",UPPER(SUBSTITUTE($E3232," ","")))</f>
        <v/>
      </c>
      <c r="K3232" s="10" t="str">
        <f aca="false">IF($A3232="","",$G3232&amp;"|"&amp;$J3232)</f>
        <v/>
      </c>
      <c r="L3232" s="10" t="str">
        <f aca="false">IF($A3232="","",ROW()-2)</f>
        <v/>
      </c>
      <c r="M3232" s="10" t="str">
        <f aca="false">IF($A3232="","",ROW())</f>
        <v/>
      </c>
    </row>
    <row r="3233" customFormat="false" ht="15" hidden="false" customHeight="true" outlineLevel="0" collapsed="false">
      <c r="A3233" s="8"/>
      <c r="B3233" s="8"/>
      <c r="C3233" s="8"/>
      <c r="D3233" s="8"/>
      <c r="E3233" s="8"/>
      <c r="F3233" s="8"/>
      <c r="G3233" s="10" t="str">
        <f aca="false">IF($A3233="","",UPPER(SUBSTITUTE(SUBSTITUTE(SUBSTITUTE(SUBSTITUTE($A3233," ",""),"(주)",""),"주식회사",""),"㈜","")))</f>
        <v/>
      </c>
      <c r="H3233" s="10" t="str">
        <f aca="false">IF($B3233="","",SUBSTITUTE(SUBSTITUTE(SUBSTITUTE($B3233,"-","")," ",""),".",""))</f>
        <v/>
      </c>
      <c r="I3233" s="10" t="str">
        <f aca="false">IF($D3233="","",SUBSTITUTE(SUBSTITUTE(SUBSTITUTE($D3233,"-","")," ",""),".",""))</f>
        <v/>
      </c>
      <c r="J3233" s="10" t="str">
        <f aca="false">IF($E3233="","",UPPER(SUBSTITUTE($E3233," ","")))</f>
        <v/>
      </c>
      <c r="K3233" s="10" t="str">
        <f aca="false">IF($A3233="","",$G3233&amp;"|"&amp;$J3233)</f>
        <v/>
      </c>
      <c r="L3233" s="10" t="str">
        <f aca="false">IF($A3233="","",ROW()-2)</f>
        <v/>
      </c>
      <c r="M3233" s="10" t="str">
        <f aca="false">IF($A3233="","",ROW())</f>
        <v/>
      </c>
    </row>
    <row r="3234" customFormat="false" ht="15" hidden="false" customHeight="true" outlineLevel="0" collapsed="false">
      <c r="A3234" s="8"/>
      <c r="B3234" s="8"/>
      <c r="C3234" s="8"/>
      <c r="D3234" s="8"/>
      <c r="E3234" s="8"/>
      <c r="F3234" s="8"/>
      <c r="G3234" s="10" t="str">
        <f aca="false">IF($A3234="","",UPPER(SUBSTITUTE(SUBSTITUTE(SUBSTITUTE(SUBSTITUTE($A3234," ",""),"(주)",""),"주식회사",""),"㈜","")))</f>
        <v/>
      </c>
      <c r="H3234" s="10" t="str">
        <f aca="false">IF($B3234="","",SUBSTITUTE(SUBSTITUTE(SUBSTITUTE($B3234,"-","")," ",""),".",""))</f>
        <v/>
      </c>
      <c r="I3234" s="10" t="str">
        <f aca="false">IF($D3234="","",SUBSTITUTE(SUBSTITUTE(SUBSTITUTE($D3234,"-","")," ",""),".",""))</f>
        <v/>
      </c>
      <c r="J3234" s="10" t="str">
        <f aca="false">IF($E3234="","",UPPER(SUBSTITUTE($E3234," ","")))</f>
        <v/>
      </c>
      <c r="K3234" s="10" t="str">
        <f aca="false">IF($A3234="","",$G3234&amp;"|"&amp;$J3234)</f>
        <v/>
      </c>
      <c r="L3234" s="10" t="str">
        <f aca="false">IF($A3234="","",ROW()-2)</f>
        <v/>
      </c>
      <c r="M3234" s="10" t="str">
        <f aca="false">IF($A3234="","",ROW())</f>
        <v/>
      </c>
    </row>
    <row r="3235" customFormat="false" ht="15" hidden="false" customHeight="true" outlineLevel="0" collapsed="false">
      <c r="A3235" s="8"/>
      <c r="B3235" s="8"/>
      <c r="C3235" s="8"/>
      <c r="D3235" s="8"/>
      <c r="E3235" s="8"/>
      <c r="F3235" s="8"/>
      <c r="G3235" s="10" t="str">
        <f aca="false">IF($A3235="","",UPPER(SUBSTITUTE(SUBSTITUTE(SUBSTITUTE(SUBSTITUTE($A3235," ",""),"(주)",""),"주식회사",""),"㈜","")))</f>
        <v/>
      </c>
      <c r="H3235" s="10" t="str">
        <f aca="false">IF($B3235="","",SUBSTITUTE(SUBSTITUTE(SUBSTITUTE($B3235,"-","")," ",""),".",""))</f>
        <v/>
      </c>
      <c r="I3235" s="10" t="str">
        <f aca="false">IF($D3235="","",SUBSTITUTE(SUBSTITUTE(SUBSTITUTE($D3235,"-","")," ",""),".",""))</f>
        <v/>
      </c>
      <c r="J3235" s="10" t="str">
        <f aca="false">IF($E3235="","",UPPER(SUBSTITUTE($E3235," ","")))</f>
        <v/>
      </c>
      <c r="K3235" s="10" t="str">
        <f aca="false">IF($A3235="","",$G3235&amp;"|"&amp;$J3235)</f>
        <v/>
      </c>
      <c r="L3235" s="10" t="str">
        <f aca="false">IF($A3235="","",ROW()-2)</f>
        <v/>
      </c>
      <c r="M3235" s="10" t="str">
        <f aca="false">IF($A3235="","",ROW())</f>
        <v/>
      </c>
    </row>
    <row r="3236" customFormat="false" ht="15" hidden="false" customHeight="true" outlineLevel="0" collapsed="false">
      <c r="A3236" s="8"/>
      <c r="B3236" s="8"/>
      <c r="C3236" s="8"/>
      <c r="D3236" s="8"/>
      <c r="E3236" s="8"/>
      <c r="F3236" s="8"/>
      <c r="G3236" s="10" t="str">
        <f aca="false">IF($A3236="","",UPPER(SUBSTITUTE(SUBSTITUTE(SUBSTITUTE(SUBSTITUTE($A3236," ",""),"(주)",""),"주식회사",""),"㈜","")))</f>
        <v/>
      </c>
      <c r="H3236" s="10" t="str">
        <f aca="false">IF($B3236="","",SUBSTITUTE(SUBSTITUTE(SUBSTITUTE($B3236,"-","")," ",""),".",""))</f>
        <v/>
      </c>
      <c r="I3236" s="10" t="str">
        <f aca="false">IF($D3236="","",SUBSTITUTE(SUBSTITUTE(SUBSTITUTE($D3236,"-","")," ",""),".",""))</f>
        <v/>
      </c>
      <c r="J3236" s="10" t="str">
        <f aca="false">IF($E3236="","",UPPER(SUBSTITUTE($E3236," ","")))</f>
        <v/>
      </c>
      <c r="K3236" s="10" t="str">
        <f aca="false">IF($A3236="","",$G3236&amp;"|"&amp;$J3236)</f>
        <v/>
      </c>
      <c r="L3236" s="10" t="str">
        <f aca="false">IF($A3236="","",ROW()-2)</f>
        <v/>
      </c>
      <c r="M3236" s="10" t="str">
        <f aca="false">IF($A3236="","",ROW())</f>
        <v/>
      </c>
    </row>
    <row r="3237" customFormat="false" ht="15" hidden="false" customHeight="true" outlineLevel="0" collapsed="false">
      <c r="A3237" s="8"/>
      <c r="B3237" s="8"/>
      <c r="C3237" s="8"/>
      <c r="D3237" s="8"/>
      <c r="E3237" s="8"/>
      <c r="F3237" s="8"/>
      <c r="G3237" s="10" t="str">
        <f aca="false">IF($A3237="","",UPPER(SUBSTITUTE(SUBSTITUTE(SUBSTITUTE(SUBSTITUTE($A3237," ",""),"(주)",""),"주식회사",""),"㈜","")))</f>
        <v/>
      </c>
      <c r="H3237" s="10" t="str">
        <f aca="false">IF($B3237="","",SUBSTITUTE(SUBSTITUTE(SUBSTITUTE($B3237,"-","")," ",""),".",""))</f>
        <v/>
      </c>
      <c r="I3237" s="10" t="str">
        <f aca="false">IF($D3237="","",SUBSTITUTE(SUBSTITUTE(SUBSTITUTE($D3237,"-","")," ",""),".",""))</f>
        <v/>
      </c>
      <c r="J3237" s="10" t="str">
        <f aca="false">IF($E3237="","",UPPER(SUBSTITUTE($E3237," ","")))</f>
        <v/>
      </c>
      <c r="K3237" s="10" t="str">
        <f aca="false">IF($A3237="","",$G3237&amp;"|"&amp;$J3237)</f>
        <v/>
      </c>
      <c r="L3237" s="10" t="str">
        <f aca="false">IF($A3237="","",ROW()-2)</f>
        <v/>
      </c>
      <c r="M3237" s="10" t="str">
        <f aca="false">IF($A3237="","",ROW())</f>
        <v/>
      </c>
    </row>
    <row r="3238" customFormat="false" ht="15" hidden="false" customHeight="true" outlineLevel="0" collapsed="false">
      <c r="A3238" s="8"/>
      <c r="B3238" s="8"/>
      <c r="C3238" s="8"/>
      <c r="D3238" s="8"/>
      <c r="E3238" s="8"/>
      <c r="F3238" s="8"/>
      <c r="G3238" s="10" t="str">
        <f aca="false">IF($A3238="","",UPPER(SUBSTITUTE(SUBSTITUTE(SUBSTITUTE(SUBSTITUTE($A3238," ",""),"(주)",""),"주식회사",""),"㈜","")))</f>
        <v/>
      </c>
      <c r="H3238" s="10" t="str">
        <f aca="false">IF($B3238="","",SUBSTITUTE(SUBSTITUTE(SUBSTITUTE($B3238,"-","")," ",""),".",""))</f>
        <v/>
      </c>
      <c r="I3238" s="10" t="str">
        <f aca="false">IF($D3238="","",SUBSTITUTE(SUBSTITUTE(SUBSTITUTE($D3238,"-","")," ",""),".",""))</f>
        <v/>
      </c>
      <c r="J3238" s="10" t="str">
        <f aca="false">IF($E3238="","",UPPER(SUBSTITUTE($E3238," ","")))</f>
        <v/>
      </c>
      <c r="K3238" s="10" t="str">
        <f aca="false">IF($A3238="","",$G3238&amp;"|"&amp;$J3238)</f>
        <v/>
      </c>
      <c r="L3238" s="10" t="str">
        <f aca="false">IF($A3238="","",ROW()-2)</f>
        <v/>
      </c>
      <c r="M3238" s="10" t="str">
        <f aca="false">IF($A3238="","",ROW())</f>
        <v/>
      </c>
    </row>
    <row r="3239" customFormat="false" ht="15" hidden="false" customHeight="true" outlineLevel="0" collapsed="false">
      <c r="A3239" s="8"/>
      <c r="B3239" s="8"/>
      <c r="C3239" s="8"/>
      <c r="D3239" s="8"/>
      <c r="E3239" s="8"/>
      <c r="F3239" s="8"/>
      <c r="G3239" s="10" t="str">
        <f aca="false">IF($A3239="","",UPPER(SUBSTITUTE(SUBSTITUTE(SUBSTITUTE(SUBSTITUTE($A3239," ",""),"(주)",""),"주식회사",""),"㈜","")))</f>
        <v/>
      </c>
      <c r="H3239" s="10" t="str">
        <f aca="false">IF($B3239="","",SUBSTITUTE(SUBSTITUTE(SUBSTITUTE($B3239,"-","")," ",""),".",""))</f>
        <v/>
      </c>
      <c r="I3239" s="10" t="str">
        <f aca="false">IF($D3239="","",SUBSTITUTE(SUBSTITUTE(SUBSTITUTE($D3239,"-","")," ",""),".",""))</f>
        <v/>
      </c>
      <c r="J3239" s="10" t="str">
        <f aca="false">IF($E3239="","",UPPER(SUBSTITUTE($E3239," ","")))</f>
        <v/>
      </c>
      <c r="K3239" s="10" t="str">
        <f aca="false">IF($A3239="","",$G3239&amp;"|"&amp;$J3239)</f>
        <v/>
      </c>
      <c r="L3239" s="10" t="str">
        <f aca="false">IF($A3239="","",ROW()-2)</f>
        <v/>
      </c>
      <c r="M3239" s="10" t="str">
        <f aca="false">IF($A3239="","",ROW())</f>
        <v/>
      </c>
    </row>
    <row r="3240" customFormat="false" ht="15" hidden="false" customHeight="true" outlineLevel="0" collapsed="false">
      <c r="A3240" s="8"/>
      <c r="B3240" s="8"/>
      <c r="C3240" s="8"/>
      <c r="D3240" s="8"/>
      <c r="E3240" s="8"/>
      <c r="F3240" s="8"/>
      <c r="G3240" s="10" t="str">
        <f aca="false">IF($A3240="","",UPPER(SUBSTITUTE(SUBSTITUTE(SUBSTITUTE(SUBSTITUTE($A3240," ",""),"(주)",""),"주식회사",""),"㈜","")))</f>
        <v/>
      </c>
      <c r="H3240" s="10" t="str">
        <f aca="false">IF($B3240="","",SUBSTITUTE(SUBSTITUTE(SUBSTITUTE($B3240,"-","")," ",""),".",""))</f>
        <v/>
      </c>
      <c r="I3240" s="10" t="str">
        <f aca="false">IF($D3240="","",SUBSTITUTE(SUBSTITUTE(SUBSTITUTE($D3240,"-","")," ",""),".",""))</f>
        <v/>
      </c>
      <c r="J3240" s="10" t="str">
        <f aca="false">IF($E3240="","",UPPER(SUBSTITUTE($E3240," ","")))</f>
        <v/>
      </c>
      <c r="K3240" s="10" t="str">
        <f aca="false">IF($A3240="","",$G3240&amp;"|"&amp;$J3240)</f>
        <v/>
      </c>
      <c r="L3240" s="10" t="str">
        <f aca="false">IF($A3240="","",ROW()-2)</f>
        <v/>
      </c>
      <c r="M3240" s="10" t="str">
        <f aca="false">IF($A3240="","",ROW())</f>
        <v/>
      </c>
    </row>
    <row r="3241" customFormat="false" ht="15" hidden="false" customHeight="true" outlineLevel="0" collapsed="false">
      <c r="A3241" s="8"/>
      <c r="B3241" s="8"/>
      <c r="C3241" s="8"/>
      <c r="D3241" s="8"/>
      <c r="E3241" s="8"/>
      <c r="F3241" s="8"/>
      <c r="G3241" s="10" t="str">
        <f aca="false">IF($A3241="","",UPPER(SUBSTITUTE(SUBSTITUTE(SUBSTITUTE(SUBSTITUTE($A3241," ",""),"(주)",""),"주식회사",""),"㈜","")))</f>
        <v/>
      </c>
      <c r="H3241" s="10" t="str">
        <f aca="false">IF($B3241="","",SUBSTITUTE(SUBSTITUTE(SUBSTITUTE($B3241,"-","")," ",""),".",""))</f>
        <v/>
      </c>
      <c r="I3241" s="10" t="str">
        <f aca="false">IF($D3241="","",SUBSTITUTE(SUBSTITUTE(SUBSTITUTE($D3241,"-","")," ",""),".",""))</f>
        <v/>
      </c>
      <c r="J3241" s="10" t="str">
        <f aca="false">IF($E3241="","",UPPER(SUBSTITUTE($E3241," ","")))</f>
        <v/>
      </c>
      <c r="K3241" s="10" t="str">
        <f aca="false">IF($A3241="","",$G3241&amp;"|"&amp;$J3241)</f>
        <v/>
      </c>
      <c r="L3241" s="10" t="str">
        <f aca="false">IF($A3241="","",ROW()-2)</f>
        <v/>
      </c>
      <c r="M3241" s="10" t="str">
        <f aca="false">IF($A3241="","",ROW())</f>
        <v/>
      </c>
    </row>
    <row r="3242" customFormat="false" ht="15" hidden="false" customHeight="true" outlineLevel="0" collapsed="false">
      <c r="A3242" s="8"/>
      <c r="B3242" s="8"/>
      <c r="C3242" s="8"/>
      <c r="D3242" s="8"/>
      <c r="E3242" s="8"/>
      <c r="F3242" s="8"/>
      <c r="G3242" s="10" t="str">
        <f aca="false">IF($A3242="","",UPPER(SUBSTITUTE(SUBSTITUTE(SUBSTITUTE(SUBSTITUTE($A3242," ",""),"(주)",""),"주식회사",""),"㈜","")))</f>
        <v/>
      </c>
      <c r="H3242" s="10" t="str">
        <f aca="false">IF($B3242="","",SUBSTITUTE(SUBSTITUTE(SUBSTITUTE($B3242,"-","")," ",""),".",""))</f>
        <v/>
      </c>
      <c r="I3242" s="10" t="str">
        <f aca="false">IF($D3242="","",SUBSTITUTE(SUBSTITUTE(SUBSTITUTE($D3242,"-","")," ",""),".",""))</f>
        <v/>
      </c>
      <c r="J3242" s="10" t="str">
        <f aca="false">IF($E3242="","",UPPER(SUBSTITUTE($E3242," ","")))</f>
        <v/>
      </c>
      <c r="K3242" s="10" t="str">
        <f aca="false">IF($A3242="","",$G3242&amp;"|"&amp;$J3242)</f>
        <v/>
      </c>
      <c r="L3242" s="10" t="str">
        <f aca="false">IF($A3242="","",ROW()-2)</f>
        <v/>
      </c>
      <c r="M3242" s="10" t="str">
        <f aca="false">IF($A3242="","",ROW())</f>
        <v/>
      </c>
    </row>
    <row r="3243" customFormat="false" ht="15" hidden="false" customHeight="true" outlineLevel="0" collapsed="false">
      <c r="A3243" s="8"/>
      <c r="B3243" s="8"/>
      <c r="C3243" s="8"/>
      <c r="D3243" s="8"/>
      <c r="E3243" s="8"/>
      <c r="F3243" s="8"/>
      <c r="G3243" s="10" t="str">
        <f aca="false">IF($A3243="","",UPPER(SUBSTITUTE(SUBSTITUTE(SUBSTITUTE(SUBSTITUTE($A3243," ",""),"(주)",""),"주식회사",""),"㈜","")))</f>
        <v/>
      </c>
      <c r="H3243" s="10" t="str">
        <f aca="false">IF($B3243="","",SUBSTITUTE(SUBSTITUTE(SUBSTITUTE($B3243,"-","")," ",""),".",""))</f>
        <v/>
      </c>
      <c r="I3243" s="10" t="str">
        <f aca="false">IF($D3243="","",SUBSTITUTE(SUBSTITUTE(SUBSTITUTE($D3243,"-","")," ",""),".",""))</f>
        <v/>
      </c>
      <c r="J3243" s="10" t="str">
        <f aca="false">IF($E3243="","",UPPER(SUBSTITUTE($E3243," ","")))</f>
        <v/>
      </c>
      <c r="K3243" s="10" t="str">
        <f aca="false">IF($A3243="","",$G3243&amp;"|"&amp;$J3243)</f>
        <v/>
      </c>
      <c r="L3243" s="10" t="str">
        <f aca="false">IF($A3243="","",ROW()-2)</f>
        <v/>
      </c>
      <c r="M3243" s="10" t="str">
        <f aca="false">IF($A3243="","",ROW())</f>
        <v/>
      </c>
    </row>
    <row r="3244" customFormat="false" ht="15" hidden="false" customHeight="true" outlineLevel="0" collapsed="false">
      <c r="A3244" s="8"/>
      <c r="B3244" s="8"/>
      <c r="C3244" s="8"/>
      <c r="D3244" s="8"/>
      <c r="E3244" s="8"/>
      <c r="F3244" s="8"/>
      <c r="G3244" s="10" t="str">
        <f aca="false">IF($A3244="","",UPPER(SUBSTITUTE(SUBSTITUTE(SUBSTITUTE(SUBSTITUTE($A3244," ",""),"(주)",""),"주식회사",""),"㈜","")))</f>
        <v/>
      </c>
      <c r="H3244" s="10" t="str">
        <f aca="false">IF($B3244="","",SUBSTITUTE(SUBSTITUTE(SUBSTITUTE($B3244,"-","")," ",""),".",""))</f>
        <v/>
      </c>
      <c r="I3244" s="10" t="str">
        <f aca="false">IF($D3244="","",SUBSTITUTE(SUBSTITUTE(SUBSTITUTE($D3244,"-","")," ",""),".",""))</f>
        <v/>
      </c>
      <c r="J3244" s="10" t="str">
        <f aca="false">IF($E3244="","",UPPER(SUBSTITUTE($E3244," ","")))</f>
        <v/>
      </c>
      <c r="K3244" s="10" t="str">
        <f aca="false">IF($A3244="","",$G3244&amp;"|"&amp;$J3244)</f>
        <v/>
      </c>
      <c r="L3244" s="10" t="str">
        <f aca="false">IF($A3244="","",ROW()-2)</f>
        <v/>
      </c>
      <c r="M3244" s="10" t="str">
        <f aca="false">IF($A3244="","",ROW())</f>
        <v/>
      </c>
    </row>
    <row r="3245" customFormat="false" ht="15" hidden="false" customHeight="true" outlineLevel="0" collapsed="false">
      <c r="A3245" s="8"/>
      <c r="B3245" s="8"/>
      <c r="C3245" s="8"/>
      <c r="D3245" s="8"/>
      <c r="E3245" s="8"/>
      <c r="F3245" s="8"/>
      <c r="G3245" s="10" t="str">
        <f aca="false">IF($A3245="","",UPPER(SUBSTITUTE(SUBSTITUTE(SUBSTITUTE(SUBSTITUTE($A3245," ",""),"(주)",""),"주식회사",""),"㈜","")))</f>
        <v/>
      </c>
      <c r="H3245" s="10" t="str">
        <f aca="false">IF($B3245="","",SUBSTITUTE(SUBSTITUTE(SUBSTITUTE($B3245,"-","")," ",""),".",""))</f>
        <v/>
      </c>
      <c r="I3245" s="10" t="str">
        <f aca="false">IF($D3245="","",SUBSTITUTE(SUBSTITUTE(SUBSTITUTE($D3245,"-","")," ",""),".",""))</f>
        <v/>
      </c>
      <c r="J3245" s="10" t="str">
        <f aca="false">IF($E3245="","",UPPER(SUBSTITUTE($E3245," ","")))</f>
        <v/>
      </c>
      <c r="K3245" s="10" t="str">
        <f aca="false">IF($A3245="","",$G3245&amp;"|"&amp;$J3245)</f>
        <v/>
      </c>
      <c r="L3245" s="10" t="str">
        <f aca="false">IF($A3245="","",ROW()-2)</f>
        <v/>
      </c>
      <c r="M3245" s="10" t="str">
        <f aca="false">IF($A3245="","",ROW())</f>
        <v/>
      </c>
    </row>
    <row r="3246" customFormat="false" ht="15" hidden="false" customHeight="true" outlineLevel="0" collapsed="false">
      <c r="A3246" s="8"/>
      <c r="B3246" s="8"/>
      <c r="C3246" s="8"/>
      <c r="D3246" s="8"/>
      <c r="E3246" s="8"/>
      <c r="F3246" s="8"/>
      <c r="G3246" s="10" t="str">
        <f aca="false">IF($A3246="","",UPPER(SUBSTITUTE(SUBSTITUTE(SUBSTITUTE(SUBSTITUTE($A3246," ",""),"(주)",""),"주식회사",""),"㈜","")))</f>
        <v/>
      </c>
      <c r="H3246" s="10" t="str">
        <f aca="false">IF($B3246="","",SUBSTITUTE(SUBSTITUTE(SUBSTITUTE($B3246,"-","")," ",""),".",""))</f>
        <v/>
      </c>
      <c r="I3246" s="10" t="str">
        <f aca="false">IF($D3246="","",SUBSTITUTE(SUBSTITUTE(SUBSTITUTE($D3246,"-","")," ",""),".",""))</f>
        <v/>
      </c>
      <c r="J3246" s="10" t="str">
        <f aca="false">IF($E3246="","",UPPER(SUBSTITUTE($E3246," ","")))</f>
        <v/>
      </c>
      <c r="K3246" s="10" t="str">
        <f aca="false">IF($A3246="","",$G3246&amp;"|"&amp;$J3246)</f>
        <v/>
      </c>
      <c r="L3246" s="10" t="str">
        <f aca="false">IF($A3246="","",ROW()-2)</f>
        <v/>
      </c>
      <c r="M3246" s="10" t="str">
        <f aca="false">IF($A3246="","",ROW())</f>
        <v/>
      </c>
    </row>
    <row r="3247" customFormat="false" ht="15" hidden="false" customHeight="true" outlineLevel="0" collapsed="false">
      <c r="A3247" s="8"/>
      <c r="B3247" s="8"/>
      <c r="C3247" s="8"/>
      <c r="D3247" s="8"/>
      <c r="E3247" s="8"/>
      <c r="F3247" s="8"/>
      <c r="G3247" s="10" t="str">
        <f aca="false">IF($A3247="","",UPPER(SUBSTITUTE(SUBSTITUTE(SUBSTITUTE(SUBSTITUTE($A3247," ",""),"(주)",""),"주식회사",""),"㈜","")))</f>
        <v/>
      </c>
      <c r="H3247" s="10" t="str">
        <f aca="false">IF($B3247="","",SUBSTITUTE(SUBSTITUTE(SUBSTITUTE($B3247,"-","")," ",""),".",""))</f>
        <v/>
      </c>
      <c r="I3247" s="10" t="str">
        <f aca="false">IF($D3247="","",SUBSTITUTE(SUBSTITUTE(SUBSTITUTE($D3247,"-","")," ",""),".",""))</f>
        <v/>
      </c>
      <c r="J3247" s="10" t="str">
        <f aca="false">IF($E3247="","",UPPER(SUBSTITUTE($E3247," ","")))</f>
        <v/>
      </c>
      <c r="K3247" s="10" t="str">
        <f aca="false">IF($A3247="","",$G3247&amp;"|"&amp;$J3247)</f>
        <v/>
      </c>
      <c r="L3247" s="10" t="str">
        <f aca="false">IF($A3247="","",ROW()-2)</f>
        <v/>
      </c>
      <c r="M3247" s="10" t="str">
        <f aca="false">IF($A3247="","",ROW())</f>
        <v/>
      </c>
    </row>
    <row r="3248" customFormat="false" ht="15" hidden="false" customHeight="true" outlineLevel="0" collapsed="false">
      <c r="A3248" s="8"/>
      <c r="B3248" s="8"/>
      <c r="C3248" s="8"/>
      <c r="D3248" s="8"/>
      <c r="E3248" s="8"/>
      <c r="F3248" s="8"/>
      <c r="G3248" s="10" t="str">
        <f aca="false">IF($A3248="","",UPPER(SUBSTITUTE(SUBSTITUTE(SUBSTITUTE(SUBSTITUTE($A3248," ",""),"(주)",""),"주식회사",""),"㈜","")))</f>
        <v/>
      </c>
      <c r="H3248" s="10" t="str">
        <f aca="false">IF($B3248="","",SUBSTITUTE(SUBSTITUTE(SUBSTITUTE($B3248,"-","")," ",""),".",""))</f>
        <v/>
      </c>
      <c r="I3248" s="10" t="str">
        <f aca="false">IF($D3248="","",SUBSTITUTE(SUBSTITUTE(SUBSTITUTE($D3248,"-","")," ",""),".",""))</f>
        <v/>
      </c>
      <c r="J3248" s="10" t="str">
        <f aca="false">IF($E3248="","",UPPER(SUBSTITUTE($E3248," ","")))</f>
        <v/>
      </c>
      <c r="K3248" s="10" t="str">
        <f aca="false">IF($A3248="","",$G3248&amp;"|"&amp;$J3248)</f>
        <v/>
      </c>
      <c r="L3248" s="10" t="str">
        <f aca="false">IF($A3248="","",ROW()-2)</f>
        <v/>
      </c>
      <c r="M3248" s="10" t="str">
        <f aca="false">IF($A3248="","",ROW())</f>
        <v/>
      </c>
    </row>
    <row r="3249" customFormat="false" ht="15" hidden="false" customHeight="true" outlineLevel="0" collapsed="false">
      <c r="A3249" s="8"/>
      <c r="B3249" s="8"/>
      <c r="C3249" s="8"/>
      <c r="D3249" s="8"/>
      <c r="E3249" s="8"/>
      <c r="F3249" s="8"/>
      <c r="G3249" s="10" t="str">
        <f aca="false">IF($A3249="","",UPPER(SUBSTITUTE(SUBSTITUTE(SUBSTITUTE(SUBSTITUTE($A3249," ",""),"(주)",""),"주식회사",""),"㈜","")))</f>
        <v/>
      </c>
      <c r="H3249" s="10" t="str">
        <f aca="false">IF($B3249="","",SUBSTITUTE(SUBSTITUTE(SUBSTITUTE($B3249,"-","")," ",""),".",""))</f>
        <v/>
      </c>
      <c r="I3249" s="10" t="str">
        <f aca="false">IF($D3249="","",SUBSTITUTE(SUBSTITUTE(SUBSTITUTE($D3249,"-","")," ",""),".",""))</f>
        <v/>
      </c>
      <c r="J3249" s="10" t="str">
        <f aca="false">IF($E3249="","",UPPER(SUBSTITUTE($E3249," ","")))</f>
        <v/>
      </c>
      <c r="K3249" s="10" t="str">
        <f aca="false">IF($A3249="","",$G3249&amp;"|"&amp;$J3249)</f>
        <v/>
      </c>
      <c r="L3249" s="10" t="str">
        <f aca="false">IF($A3249="","",ROW()-2)</f>
        <v/>
      </c>
      <c r="M3249" s="10" t="str">
        <f aca="false">IF($A3249="","",ROW())</f>
        <v/>
      </c>
    </row>
    <row r="3250" customFormat="false" ht="15" hidden="false" customHeight="true" outlineLevel="0" collapsed="false">
      <c r="A3250" s="8"/>
      <c r="B3250" s="8"/>
      <c r="C3250" s="8"/>
      <c r="D3250" s="8"/>
      <c r="E3250" s="8"/>
      <c r="F3250" s="8"/>
      <c r="G3250" s="10" t="str">
        <f aca="false">IF($A3250="","",UPPER(SUBSTITUTE(SUBSTITUTE(SUBSTITUTE(SUBSTITUTE($A3250," ",""),"(주)",""),"주식회사",""),"㈜","")))</f>
        <v/>
      </c>
      <c r="H3250" s="10" t="str">
        <f aca="false">IF($B3250="","",SUBSTITUTE(SUBSTITUTE(SUBSTITUTE($B3250,"-","")," ",""),".",""))</f>
        <v/>
      </c>
      <c r="I3250" s="10" t="str">
        <f aca="false">IF($D3250="","",SUBSTITUTE(SUBSTITUTE(SUBSTITUTE($D3250,"-","")," ",""),".",""))</f>
        <v/>
      </c>
      <c r="J3250" s="10" t="str">
        <f aca="false">IF($E3250="","",UPPER(SUBSTITUTE($E3250," ","")))</f>
        <v/>
      </c>
      <c r="K3250" s="10" t="str">
        <f aca="false">IF($A3250="","",$G3250&amp;"|"&amp;$J3250)</f>
        <v/>
      </c>
      <c r="L3250" s="10" t="str">
        <f aca="false">IF($A3250="","",ROW()-2)</f>
        <v/>
      </c>
      <c r="M3250" s="10" t="str">
        <f aca="false">IF($A3250="","",ROW())</f>
        <v/>
      </c>
    </row>
    <row r="3251" customFormat="false" ht="15" hidden="false" customHeight="true" outlineLevel="0" collapsed="false">
      <c r="A3251" s="8"/>
      <c r="B3251" s="8"/>
      <c r="C3251" s="8"/>
      <c r="D3251" s="8"/>
      <c r="E3251" s="8"/>
      <c r="F3251" s="8"/>
      <c r="G3251" s="10" t="str">
        <f aca="false">IF($A3251="","",UPPER(SUBSTITUTE(SUBSTITUTE(SUBSTITUTE(SUBSTITUTE($A3251," ",""),"(주)",""),"주식회사",""),"㈜","")))</f>
        <v/>
      </c>
      <c r="H3251" s="10" t="str">
        <f aca="false">IF($B3251="","",SUBSTITUTE(SUBSTITUTE(SUBSTITUTE($B3251,"-","")," ",""),".",""))</f>
        <v/>
      </c>
      <c r="I3251" s="10" t="str">
        <f aca="false">IF($D3251="","",SUBSTITUTE(SUBSTITUTE(SUBSTITUTE($D3251,"-","")," ",""),".",""))</f>
        <v/>
      </c>
      <c r="J3251" s="10" t="str">
        <f aca="false">IF($E3251="","",UPPER(SUBSTITUTE($E3251," ","")))</f>
        <v/>
      </c>
      <c r="K3251" s="10" t="str">
        <f aca="false">IF($A3251="","",$G3251&amp;"|"&amp;$J3251)</f>
        <v/>
      </c>
      <c r="L3251" s="10" t="str">
        <f aca="false">IF($A3251="","",ROW()-2)</f>
        <v/>
      </c>
      <c r="M3251" s="10" t="str">
        <f aca="false">IF($A3251="","",ROW())</f>
        <v/>
      </c>
    </row>
    <row r="3252" customFormat="false" ht="15" hidden="false" customHeight="true" outlineLevel="0" collapsed="false">
      <c r="A3252" s="8"/>
      <c r="B3252" s="8"/>
      <c r="C3252" s="8"/>
      <c r="D3252" s="8"/>
      <c r="E3252" s="8"/>
      <c r="F3252" s="8"/>
      <c r="G3252" s="10" t="str">
        <f aca="false">IF($A3252="","",UPPER(SUBSTITUTE(SUBSTITUTE(SUBSTITUTE(SUBSTITUTE($A3252," ",""),"(주)",""),"주식회사",""),"㈜","")))</f>
        <v/>
      </c>
      <c r="H3252" s="10" t="str">
        <f aca="false">IF($B3252="","",SUBSTITUTE(SUBSTITUTE(SUBSTITUTE($B3252,"-","")," ",""),".",""))</f>
        <v/>
      </c>
      <c r="I3252" s="10" t="str">
        <f aca="false">IF($D3252="","",SUBSTITUTE(SUBSTITUTE(SUBSTITUTE($D3252,"-","")," ",""),".",""))</f>
        <v/>
      </c>
      <c r="J3252" s="10" t="str">
        <f aca="false">IF($E3252="","",UPPER(SUBSTITUTE($E3252," ","")))</f>
        <v/>
      </c>
      <c r="K3252" s="10" t="str">
        <f aca="false">IF($A3252="","",$G3252&amp;"|"&amp;$J3252)</f>
        <v/>
      </c>
      <c r="L3252" s="10" t="str">
        <f aca="false">IF($A3252="","",ROW()-2)</f>
        <v/>
      </c>
      <c r="M3252" s="10" t="str">
        <f aca="false">IF($A3252="","",ROW())</f>
        <v/>
      </c>
    </row>
    <row r="3253" customFormat="false" ht="15" hidden="false" customHeight="true" outlineLevel="0" collapsed="false">
      <c r="A3253" s="8"/>
      <c r="B3253" s="8"/>
      <c r="C3253" s="8"/>
      <c r="D3253" s="8"/>
      <c r="E3253" s="8"/>
      <c r="F3253" s="8"/>
      <c r="G3253" s="10" t="str">
        <f aca="false">IF($A3253="","",UPPER(SUBSTITUTE(SUBSTITUTE(SUBSTITUTE(SUBSTITUTE($A3253," ",""),"(주)",""),"주식회사",""),"㈜","")))</f>
        <v/>
      </c>
      <c r="H3253" s="10" t="str">
        <f aca="false">IF($B3253="","",SUBSTITUTE(SUBSTITUTE(SUBSTITUTE($B3253,"-","")," ",""),".",""))</f>
        <v/>
      </c>
      <c r="I3253" s="10" t="str">
        <f aca="false">IF($D3253="","",SUBSTITUTE(SUBSTITUTE(SUBSTITUTE($D3253,"-","")," ",""),".",""))</f>
        <v/>
      </c>
      <c r="J3253" s="10" t="str">
        <f aca="false">IF($E3253="","",UPPER(SUBSTITUTE($E3253," ","")))</f>
        <v/>
      </c>
      <c r="K3253" s="10" t="str">
        <f aca="false">IF($A3253="","",$G3253&amp;"|"&amp;$J3253)</f>
        <v/>
      </c>
      <c r="L3253" s="10" t="str">
        <f aca="false">IF($A3253="","",ROW()-2)</f>
        <v/>
      </c>
      <c r="M3253" s="10" t="str">
        <f aca="false">IF($A3253="","",ROW())</f>
        <v/>
      </c>
    </row>
    <row r="3254" customFormat="false" ht="15" hidden="false" customHeight="true" outlineLevel="0" collapsed="false">
      <c r="A3254" s="8"/>
      <c r="B3254" s="8"/>
      <c r="C3254" s="8"/>
      <c r="D3254" s="8"/>
      <c r="E3254" s="8"/>
      <c r="F3254" s="8"/>
      <c r="G3254" s="10" t="str">
        <f aca="false">IF($A3254="","",UPPER(SUBSTITUTE(SUBSTITUTE(SUBSTITUTE(SUBSTITUTE($A3254," ",""),"(주)",""),"주식회사",""),"㈜","")))</f>
        <v/>
      </c>
      <c r="H3254" s="10" t="str">
        <f aca="false">IF($B3254="","",SUBSTITUTE(SUBSTITUTE(SUBSTITUTE($B3254,"-","")," ",""),".",""))</f>
        <v/>
      </c>
      <c r="I3254" s="10" t="str">
        <f aca="false">IF($D3254="","",SUBSTITUTE(SUBSTITUTE(SUBSTITUTE($D3254,"-","")," ",""),".",""))</f>
        <v/>
      </c>
      <c r="J3254" s="10" t="str">
        <f aca="false">IF($E3254="","",UPPER(SUBSTITUTE($E3254," ","")))</f>
        <v/>
      </c>
      <c r="K3254" s="10" t="str">
        <f aca="false">IF($A3254="","",$G3254&amp;"|"&amp;$J3254)</f>
        <v/>
      </c>
      <c r="L3254" s="10" t="str">
        <f aca="false">IF($A3254="","",ROW()-2)</f>
        <v/>
      </c>
      <c r="M3254" s="10" t="str">
        <f aca="false">IF($A3254="","",ROW())</f>
        <v/>
      </c>
    </row>
    <row r="3255" customFormat="false" ht="15" hidden="false" customHeight="true" outlineLevel="0" collapsed="false">
      <c r="A3255" s="8"/>
      <c r="B3255" s="8"/>
      <c r="C3255" s="8"/>
      <c r="D3255" s="8"/>
      <c r="E3255" s="8"/>
      <c r="F3255" s="8"/>
      <c r="G3255" s="10" t="str">
        <f aca="false">IF($A3255="","",UPPER(SUBSTITUTE(SUBSTITUTE(SUBSTITUTE(SUBSTITUTE($A3255," ",""),"(주)",""),"주식회사",""),"㈜","")))</f>
        <v/>
      </c>
      <c r="H3255" s="10" t="str">
        <f aca="false">IF($B3255="","",SUBSTITUTE(SUBSTITUTE(SUBSTITUTE($B3255,"-","")," ",""),".",""))</f>
        <v/>
      </c>
      <c r="I3255" s="10" t="str">
        <f aca="false">IF($D3255="","",SUBSTITUTE(SUBSTITUTE(SUBSTITUTE($D3255,"-","")," ",""),".",""))</f>
        <v/>
      </c>
      <c r="J3255" s="10" t="str">
        <f aca="false">IF($E3255="","",UPPER(SUBSTITUTE($E3255," ","")))</f>
        <v/>
      </c>
      <c r="K3255" s="10" t="str">
        <f aca="false">IF($A3255="","",$G3255&amp;"|"&amp;$J3255)</f>
        <v/>
      </c>
      <c r="L3255" s="10" t="str">
        <f aca="false">IF($A3255="","",ROW()-2)</f>
        <v/>
      </c>
      <c r="M3255" s="10" t="str">
        <f aca="false">IF($A3255="","",ROW())</f>
        <v/>
      </c>
    </row>
    <row r="3256" customFormat="false" ht="15" hidden="false" customHeight="true" outlineLevel="0" collapsed="false">
      <c r="A3256" s="8"/>
      <c r="B3256" s="8"/>
      <c r="C3256" s="8"/>
      <c r="D3256" s="8"/>
      <c r="E3256" s="8"/>
      <c r="F3256" s="8"/>
      <c r="G3256" s="10" t="str">
        <f aca="false">IF($A3256="","",UPPER(SUBSTITUTE(SUBSTITUTE(SUBSTITUTE(SUBSTITUTE($A3256," ",""),"(주)",""),"주식회사",""),"㈜","")))</f>
        <v/>
      </c>
      <c r="H3256" s="10" t="str">
        <f aca="false">IF($B3256="","",SUBSTITUTE(SUBSTITUTE(SUBSTITUTE($B3256,"-","")," ",""),".",""))</f>
        <v/>
      </c>
      <c r="I3256" s="10" t="str">
        <f aca="false">IF($D3256="","",SUBSTITUTE(SUBSTITUTE(SUBSTITUTE($D3256,"-","")," ",""),".",""))</f>
        <v/>
      </c>
      <c r="J3256" s="10" t="str">
        <f aca="false">IF($E3256="","",UPPER(SUBSTITUTE($E3256," ","")))</f>
        <v/>
      </c>
      <c r="K3256" s="10" t="str">
        <f aca="false">IF($A3256="","",$G3256&amp;"|"&amp;$J3256)</f>
        <v/>
      </c>
      <c r="L3256" s="10" t="str">
        <f aca="false">IF($A3256="","",ROW()-2)</f>
        <v/>
      </c>
      <c r="M3256" s="10" t="str">
        <f aca="false">IF($A3256="","",ROW())</f>
        <v/>
      </c>
    </row>
    <row r="3257" customFormat="false" ht="15" hidden="false" customHeight="true" outlineLevel="0" collapsed="false">
      <c r="A3257" s="8"/>
      <c r="B3257" s="8"/>
      <c r="C3257" s="8"/>
      <c r="D3257" s="8"/>
      <c r="E3257" s="8"/>
      <c r="F3257" s="8"/>
      <c r="G3257" s="10" t="str">
        <f aca="false">IF($A3257="","",UPPER(SUBSTITUTE(SUBSTITUTE(SUBSTITUTE(SUBSTITUTE($A3257," ",""),"(주)",""),"주식회사",""),"㈜","")))</f>
        <v/>
      </c>
      <c r="H3257" s="10" t="str">
        <f aca="false">IF($B3257="","",SUBSTITUTE(SUBSTITUTE(SUBSTITUTE($B3257,"-","")," ",""),".",""))</f>
        <v/>
      </c>
      <c r="I3257" s="10" t="str">
        <f aca="false">IF($D3257="","",SUBSTITUTE(SUBSTITUTE(SUBSTITUTE($D3257,"-","")," ",""),".",""))</f>
        <v/>
      </c>
      <c r="J3257" s="10" t="str">
        <f aca="false">IF($E3257="","",UPPER(SUBSTITUTE($E3257," ","")))</f>
        <v/>
      </c>
      <c r="K3257" s="10" t="str">
        <f aca="false">IF($A3257="","",$G3257&amp;"|"&amp;$J3257)</f>
        <v/>
      </c>
      <c r="L3257" s="10" t="str">
        <f aca="false">IF($A3257="","",ROW()-2)</f>
        <v/>
      </c>
      <c r="M3257" s="10" t="str">
        <f aca="false">IF($A3257="","",ROW())</f>
        <v/>
      </c>
    </row>
    <row r="3258" customFormat="false" ht="15" hidden="false" customHeight="true" outlineLevel="0" collapsed="false">
      <c r="A3258" s="8"/>
      <c r="B3258" s="8"/>
      <c r="C3258" s="8"/>
      <c r="D3258" s="8"/>
      <c r="E3258" s="8"/>
      <c r="F3258" s="8"/>
      <c r="G3258" s="10" t="str">
        <f aca="false">IF($A3258="","",UPPER(SUBSTITUTE(SUBSTITUTE(SUBSTITUTE(SUBSTITUTE($A3258," ",""),"(주)",""),"주식회사",""),"㈜","")))</f>
        <v/>
      </c>
      <c r="H3258" s="10" t="str">
        <f aca="false">IF($B3258="","",SUBSTITUTE(SUBSTITUTE(SUBSTITUTE($B3258,"-","")," ",""),".",""))</f>
        <v/>
      </c>
      <c r="I3258" s="10" t="str">
        <f aca="false">IF($D3258="","",SUBSTITUTE(SUBSTITUTE(SUBSTITUTE($D3258,"-","")," ",""),".",""))</f>
        <v/>
      </c>
      <c r="J3258" s="10" t="str">
        <f aca="false">IF($E3258="","",UPPER(SUBSTITUTE($E3258," ","")))</f>
        <v/>
      </c>
      <c r="K3258" s="10" t="str">
        <f aca="false">IF($A3258="","",$G3258&amp;"|"&amp;$J3258)</f>
        <v/>
      </c>
      <c r="L3258" s="10" t="str">
        <f aca="false">IF($A3258="","",ROW()-2)</f>
        <v/>
      </c>
      <c r="M3258" s="10" t="str">
        <f aca="false">IF($A3258="","",ROW())</f>
        <v/>
      </c>
    </row>
    <row r="3259" customFormat="false" ht="15" hidden="false" customHeight="true" outlineLevel="0" collapsed="false">
      <c r="A3259" s="8"/>
      <c r="B3259" s="8"/>
      <c r="C3259" s="8"/>
      <c r="D3259" s="8"/>
      <c r="E3259" s="8"/>
      <c r="F3259" s="8"/>
      <c r="G3259" s="10" t="str">
        <f aca="false">IF($A3259="","",UPPER(SUBSTITUTE(SUBSTITUTE(SUBSTITUTE(SUBSTITUTE($A3259," ",""),"(주)",""),"주식회사",""),"㈜","")))</f>
        <v/>
      </c>
      <c r="H3259" s="10" t="str">
        <f aca="false">IF($B3259="","",SUBSTITUTE(SUBSTITUTE(SUBSTITUTE($B3259,"-","")," ",""),".",""))</f>
        <v/>
      </c>
      <c r="I3259" s="10" t="str">
        <f aca="false">IF($D3259="","",SUBSTITUTE(SUBSTITUTE(SUBSTITUTE($D3259,"-","")," ",""),".",""))</f>
        <v/>
      </c>
      <c r="J3259" s="10" t="str">
        <f aca="false">IF($E3259="","",UPPER(SUBSTITUTE($E3259," ","")))</f>
        <v/>
      </c>
      <c r="K3259" s="10" t="str">
        <f aca="false">IF($A3259="","",$G3259&amp;"|"&amp;$J3259)</f>
        <v/>
      </c>
      <c r="L3259" s="10" t="str">
        <f aca="false">IF($A3259="","",ROW()-2)</f>
        <v/>
      </c>
      <c r="M3259" s="10" t="str">
        <f aca="false">IF($A3259="","",ROW())</f>
        <v/>
      </c>
    </row>
    <row r="3260" customFormat="false" ht="15" hidden="false" customHeight="true" outlineLevel="0" collapsed="false">
      <c r="A3260" s="8"/>
      <c r="B3260" s="8"/>
      <c r="C3260" s="8"/>
      <c r="D3260" s="8"/>
      <c r="E3260" s="8"/>
      <c r="F3260" s="8"/>
      <c r="G3260" s="10" t="str">
        <f aca="false">IF($A3260="","",UPPER(SUBSTITUTE(SUBSTITUTE(SUBSTITUTE(SUBSTITUTE($A3260," ",""),"(주)",""),"주식회사",""),"㈜","")))</f>
        <v/>
      </c>
      <c r="H3260" s="10" t="str">
        <f aca="false">IF($B3260="","",SUBSTITUTE(SUBSTITUTE(SUBSTITUTE($B3260,"-","")," ",""),".",""))</f>
        <v/>
      </c>
      <c r="I3260" s="10" t="str">
        <f aca="false">IF($D3260="","",SUBSTITUTE(SUBSTITUTE(SUBSTITUTE($D3260,"-","")," ",""),".",""))</f>
        <v/>
      </c>
      <c r="J3260" s="10" t="str">
        <f aca="false">IF($E3260="","",UPPER(SUBSTITUTE($E3260," ","")))</f>
        <v/>
      </c>
      <c r="K3260" s="10" t="str">
        <f aca="false">IF($A3260="","",$G3260&amp;"|"&amp;$J3260)</f>
        <v/>
      </c>
      <c r="L3260" s="10" t="str">
        <f aca="false">IF($A3260="","",ROW()-2)</f>
        <v/>
      </c>
      <c r="M3260" s="10" t="str">
        <f aca="false">IF($A3260="","",ROW())</f>
        <v/>
      </c>
    </row>
    <row r="3261" customFormat="false" ht="15" hidden="false" customHeight="true" outlineLevel="0" collapsed="false">
      <c r="A3261" s="8"/>
      <c r="B3261" s="8"/>
      <c r="C3261" s="8"/>
      <c r="D3261" s="8"/>
      <c r="E3261" s="8"/>
      <c r="F3261" s="8"/>
      <c r="G3261" s="10" t="str">
        <f aca="false">IF($A3261="","",UPPER(SUBSTITUTE(SUBSTITUTE(SUBSTITUTE(SUBSTITUTE($A3261," ",""),"(주)",""),"주식회사",""),"㈜","")))</f>
        <v/>
      </c>
      <c r="H3261" s="10" t="str">
        <f aca="false">IF($B3261="","",SUBSTITUTE(SUBSTITUTE(SUBSTITUTE($B3261,"-","")," ",""),".",""))</f>
        <v/>
      </c>
      <c r="I3261" s="10" t="str">
        <f aca="false">IF($D3261="","",SUBSTITUTE(SUBSTITUTE(SUBSTITUTE($D3261,"-","")," ",""),".",""))</f>
        <v/>
      </c>
      <c r="J3261" s="10" t="str">
        <f aca="false">IF($E3261="","",UPPER(SUBSTITUTE($E3261," ","")))</f>
        <v/>
      </c>
      <c r="K3261" s="10" t="str">
        <f aca="false">IF($A3261="","",$G3261&amp;"|"&amp;$J3261)</f>
        <v/>
      </c>
      <c r="L3261" s="10" t="str">
        <f aca="false">IF($A3261="","",ROW()-2)</f>
        <v/>
      </c>
      <c r="M3261" s="10" t="str">
        <f aca="false">IF($A3261="","",ROW())</f>
        <v/>
      </c>
    </row>
    <row r="3262" customFormat="false" ht="15" hidden="false" customHeight="true" outlineLevel="0" collapsed="false">
      <c r="A3262" s="8"/>
      <c r="B3262" s="8"/>
      <c r="C3262" s="8"/>
      <c r="D3262" s="8"/>
      <c r="E3262" s="8"/>
      <c r="F3262" s="8"/>
      <c r="G3262" s="10" t="str">
        <f aca="false">IF($A3262="","",UPPER(SUBSTITUTE(SUBSTITUTE(SUBSTITUTE(SUBSTITUTE($A3262," ",""),"(주)",""),"주식회사",""),"㈜","")))</f>
        <v/>
      </c>
      <c r="H3262" s="10" t="str">
        <f aca="false">IF($B3262="","",SUBSTITUTE(SUBSTITUTE(SUBSTITUTE($B3262,"-","")," ",""),".",""))</f>
        <v/>
      </c>
      <c r="I3262" s="10" t="str">
        <f aca="false">IF($D3262="","",SUBSTITUTE(SUBSTITUTE(SUBSTITUTE($D3262,"-","")," ",""),".",""))</f>
        <v/>
      </c>
      <c r="J3262" s="10" t="str">
        <f aca="false">IF($E3262="","",UPPER(SUBSTITUTE($E3262," ","")))</f>
        <v/>
      </c>
      <c r="K3262" s="10" t="str">
        <f aca="false">IF($A3262="","",$G3262&amp;"|"&amp;$J3262)</f>
        <v/>
      </c>
      <c r="L3262" s="10" t="str">
        <f aca="false">IF($A3262="","",ROW()-2)</f>
        <v/>
      </c>
      <c r="M3262" s="10" t="str">
        <f aca="false">IF($A3262="","",ROW())</f>
        <v/>
      </c>
    </row>
    <row r="3263" customFormat="false" ht="15" hidden="false" customHeight="true" outlineLevel="0" collapsed="false">
      <c r="A3263" s="8"/>
      <c r="B3263" s="8"/>
      <c r="C3263" s="8"/>
      <c r="D3263" s="8"/>
      <c r="E3263" s="8"/>
      <c r="F3263" s="8"/>
      <c r="G3263" s="10" t="str">
        <f aca="false">IF($A3263="","",UPPER(SUBSTITUTE(SUBSTITUTE(SUBSTITUTE(SUBSTITUTE($A3263," ",""),"(주)",""),"주식회사",""),"㈜","")))</f>
        <v/>
      </c>
      <c r="H3263" s="10" t="str">
        <f aca="false">IF($B3263="","",SUBSTITUTE(SUBSTITUTE(SUBSTITUTE($B3263,"-","")," ",""),".",""))</f>
        <v/>
      </c>
      <c r="I3263" s="10" t="str">
        <f aca="false">IF($D3263="","",SUBSTITUTE(SUBSTITUTE(SUBSTITUTE($D3263,"-","")," ",""),".",""))</f>
        <v/>
      </c>
      <c r="J3263" s="10" t="str">
        <f aca="false">IF($E3263="","",UPPER(SUBSTITUTE($E3263," ","")))</f>
        <v/>
      </c>
      <c r="K3263" s="10" t="str">
        <f aca="false">IF($A3263="","",$G3263&amp;"|"&amp;$J3263)</f>
        <v/>
      </c>
      <c r="L3263" s="10" t="str">
        <f aca="false">IF($A3263="","",ROW()-2)</f>
        <v/>
      </c>
      <c r="M3263" s="10" t="str">
        <f aca="false">IF($A3263="","",ROW())</f>
        <v/>
      </c>
    </row>
    <row r="3264" customFormat="false" ht="15" hidden="false" customHeight="true" outlineLevel="0" collapsed="false">
      <c r="A3264" s="8"/>
      <c r="B3264" s="8"/>
      <c r="C3264" s="8"/>
      <c r="D3264" s="8"/>
      <c r="E3264" s="8"/>
      <c r="F3264" s="8"/>
      <c r="G3264" s="10" t="str">
        <f aca="false">IF($A3264="","",UPPER(SUBSTITUTE(SUBSTITUTE(SUBSTITUTE(SUBSTITUTE($A3264," ",""),"(주)",""),"주식회사",""),"㈜","")))</f>
        <v/>
      </c>
      <c r="H3264" s="10" t="str">
        <f aca="false">IF($B3264="","",SUBSTITUTE(SUBSTITUTE(SUBSTITUTE($B3264,"-","")," ",""),".",""))</f>
        <v/>
      </c>
      <c r="I3264" s="10" t="str">
        <f aca="false">IF($D3264="","",SUBSTITUTE(SUBSTITUTE(SUBSTITUTE($D3264,"-","")," ",""),".",""))</f>
        <v/>
      </c>
      <c r="J3264" s="10" t="str">
        <f aca="false">IF($E3264="","",UPPER(SUBSTITUTE($E3264," ","")))</f>
        <v/>
      </c>
      <c r="K3264" s="10" t="str">
        <f aca="false">IF($A3264="","",$G3264&amp;"|"&amp;$J3264)</f>
        <v/>
      </c>
      <c r="L3264" s="10" t="str">
        <f aca="false">IF($A3264="","",ROW()-2)</f>
        <v/>
      </c>
      <c r="M3264" s="10" t="str">
        <f aca="false">IF($A3264="","",ROW())</f>
        <v/>
      </c>
    </row>
    <row r="3265" customFormat="false" ht="15" hidden="false" customHeight="true" outlineLevel="0" collapsed="false">
      <c r="A3265" s="8"/>
      <c r="B3265" s="8"/>
      <c r="C3265" s="8"/>
      <c r="D3265" s="8"/>
      <c r="E3265" s="8"/>
      <c r="F3265" s="8"/>
      <c r="G3265" s="10" t="str">
        <f aca="false">IF($A3265="","",UPPER(SUBSTITUTE(SUBSTITUTE(SUBSTITUTE(SUBSTITUTE($A3265," ",""),"(주)",""),"주식회사",""),"㈜","")))</f>
        <v/>
      </c>
      <c r="H3265" s="10" t="str">
        <f aca="false">IF($B3265="","",SUBSTITUTE(SUBSTITUTE(SUBSTITUTE($B3265,"-","")," ",""),".",""))</f>
        <v/>
      </c>
      <c r="I3265" s="10" t="str">
        <f aca="false">IF($D3265="","",SUBSTITUTE(SUBSTITUTE(SUBSTITUTE($D3265,"-","")," ",""),".",""))</f>
        <v/>
      </c>
      <c r="J3265" s="10" t="str">
        <f aca="false">IF($E3265="","",UPPER(SUBSTITUTE($E3265," ","")))</f>
        <v/>
      </c>
      <c r="K3265" s="10" t="str">
        <f aca="false">IF($A3265="","",$G3265&amp;"|"&amp;$J3265)</f>
        <v/>
      </c>
      <c r="L3265" s="10" t="str">
        <f aca="false">IF($A3265="","",ROW()-2)</f>
        <v/>
      </c>
      <c r="M3265" s="10" t="str">
        <f aca="false">IF($A3265="","",ROW())</f>
        <v/>
      </c>
    </row>
    <row r="3266" customFormat="false" ht="15" hidden="false" customHeight="true" outlineLevel="0" collapsed="false">
      <c r="A3266" s="8"/>
      <c r="B3266" s="8"/>
      <c r="C3266" s="8"/>
      <c r="D3266" s="8"/>
      <c r="E3266" s="8"/>
      <c r="F3266" s="8"/>
      <c r="G3266" s="10" t="str">
        <f aca="false">IF($A3266="","",UPPER(SUBSTITUTE(SUBSTITUTE(SUBSTITUTE(SUBSTITUTE($A3266," ",""),"(주)",""),"주식회사",""),"㈜","")))</f>
        <v/>
      </c>
      <c r="H3266" s="10" t="str">
        <f aca="false">IF($B3266="","",SUBSTITUTE(SUBSTITUTE(SUBSTITUTE($B3266,"-","")," ",""),".",""))</f>
        <v/>
      </c>
      <c r="I3266" s="10" t="str">
        <f aca="false">IF($D3266="","",SUBSTITUTE(SUBSTITUTE(SUBSTITUTE($D3266,"-","")," ",""),".",""))</f>
        <v/>
      </c>
      <c r="J3266" s="10" t="str">
        <f aca="false">IF($E3266="","",UPPER(SUBSTITUTE($E3266," ","")))</f>
        <v/>
      </c>
      <c r="K3266" s="10" t="str">
        <f aca="false">IF($A3266="","",$G3266&amp;"|"&amp;$J3266)</f>
        <v/>
      </c>
      <c r="L3266" s="10" t="str">
        <f aca="false">IF($A3266="","",ROW()-2)</f>
        <v/>
      </c>
      <c r="M3266" s="10" t="str">
        <f aca="false">IF($A3266="","",ROW())</f>
        <v/>
      </c>
    </row>
    <row r="3267" customFormat="false" ht="15" hidden="false" customHeight="true" outlineLevel="0" collapsed="false">
      <c r="A3267" s="8"/>
      <c r="B3267" s="8"/>
      <c r="C3267" s="8"/>
      <c r="D3267" s="8"/>
      <c r="E3267" s="8"/>
      <c r="F3267" s="8"/>
      <c r="G3267" s="10" t="str">
        <f aca="false">IF($A3267="","",UPPER(SUBSTITUTE(SUBSTITUTE(SUBSTITUTE(SUBSTITUTE($A3267," ",""),"(주)",""),"주식회사",""),"㈜","")))</f>
        <v/>
      </c>
      <c r="H3267" s="10" t="str">
        <f aca="false">IF($B3267="","",SUBSTITUTE(SUBSTITUTE(SUBSTITUTE($B3267,"-","")," ",""),".",""))</f>
        <v/>
      </c>
      <c r="I3267" s="10" t="str">
        <f aca="false">IF($D3267="","",SUBSTITUTE(SUBSTITUTE(SUBSTITUTE($D3267,"-","")," ",""),".",""))</f>
        <v/>
      </c>
      <c r="J3267" s="10" t="str">
        <f aca="false">IF($E3267="","",UPPER(SUBSTITUTE($E3267," ","")))</f>
        <v/>
      </c>
      <c r="K3267" s="10" t="str">
        <f aca="false">IF($A3267="","",$G3267&amp;"|"&amp;$J3267)</f>
        <v/>
      </c>
      <c r="L3267" s="10" t="str">
        <f aca="false">IF($A3267="","",ROW()-2)</f>
        <v/>
      </c>
      <c r="M3267" s="10" t="str">
        <f aca="false">IF($A3267="","",ROW())</f>
        <v/>
      </c>
    </row>
    <row r="3268" customFormat="false" ht="15" hidden="false" customHeight="true" outlineLevel="0" collapsed="false">
      <c r="A3268" s="8"/>
      <c r="B3268" s="8"/>
      <c r="C3268" s="8"/>
      <c r="D3268" s="8"/>
      <c r="E3268" s="8"/>
      <c r="F3268" s="8"/>
      <c r="G3268" s="10" t="str">
        <f aca="false">IF($A3268="","",UPPER(SUBSTITUTE(SUBSTITUTE(SUBSTITUTE(SUBSTITUTE($A3268," ",""),"(주)",""),"주식회사",""),"㈜","")))</f>
        <v/>
      </c>
      <c r="H3268" s="10" t="str">
        <f aca="false">IF($B3268="","",SUBSTITUTE(SUBSTITUTE(SUBSTITUTE($B3268,"-","")," ",""),".",""))</f>
        <v/>
      </c>
      <c r="I3268" s="10" t="str">
        <f aca="false">IF($D3268="","",SUBSTITUTE(SUBSTITUTE(SUBSTITUTE($D3268,"-","")," ",""),".",""))</f>
        <v/>
      </c>
      <c r="J3268" s="10" t="str">
        <f aca="false">IF($E3268="","",UPPER(SUBSTITUTE($E3268," ","")))</f>
        <v/>
      </c>
      <c r="K3268" s="10" t="str">
        <f aca="false">IF($A3268="","",$G3268&amp;"|"&amp;$J3268)</f>
        <v/>
      </c>
      <c r="L3268" s="10" t="str">
        <f aca="false">IF($A3268="","",ROW()-2)</f>
        <v/>
      </c>
      <c r="M3268" s="10" t="str">
        <f aca="false">IF($A3268="","",ROW())</f>
        <v/>
      </c>
    </row>
    <row r="3269" customFormat="false" ht="15" hidden="false" customHeight="true" outlineLevel="0" collapsed="false">
      <c r="A3269" s="8"/>
      <c r="B3269" s="8"/>
      <c r="C3269" s="8"/>
      <c r="D3269" s="8"/>
      <c r="E3269" s="8"/>
      <c r="F3269" s="8"/>
      <c r="G3269" s="10" t="str">
        <f aca="false">IF($A3269="","",UPPER(SUBSTITUTE(SUBSTITUTE(SUBSTITUTE(SUBSTITUTE($A3269," ",""),"(주)",""),"주식회사",""),"㈜","")))</f>
        <v/>
      </c>
      <c r="H3269" s="10" t="str">
        <f aca="false">IF($B3269="","",SUBSTITUTE(SUBSTITUTE(SUBSTITUTE($B3269,"-","")," ",""),".",""))</f>
        <v/>
      </c>
      <c r="I3269" s="10" t="str">
        <f aca="false">IF($D3269="","",SUBSTITUTE(SUBSTITUTE(SUBSTITUTE($D3269,"-","")," ",""),".",""))</f>
        <v/>
      </c>
      <c r="J3269" s="10" t="str">
        <f aca="false">IF($E3269="","",UPPER(SUBSTITUTE($E3269," ","")))</f>
        <v/>
      </c>
      <c r="K3269" s="10" t="str">
        <f aca="false">IF($A3269="","",$G3269&amp;"|"&amp;$J3269)</f>
        <v/>
      </c>
      <c r="L3269" s="10" t="str">
        <f aca="false">IF($A3269="","",ROW()-2)</f>
        <v/>
      </c>
      <c r="M3269" s="10" t="str">
        <f aca="false">IF($A3269="","",ROW())</f>
        <v/>
      </c>
    </row>
    <row r="3270" customFormat="false" ht="15" hidden="false" customHeight="true" outlineLevel="0" collapsed="false">
      <c r="A3270" s="8"/>
      <c r="B3270" s="8"/>
      <c r="C3270" s="8"/>
      <c r="D3270" s="8"/>
      <c r="E3270" s="8"/>
      <c r="F3270" s="8"/>
      <c r="G3270" s="10" t="str">
        <f aca="false">IF($A3270="","",UPPER(SUBSTITUTE(SUBSTITUTE(SUBSTITUTE(SUBSTITUTE($A3270," ",""),"(주)",""),"주식회사",""),"㈜","")))</f>
        <v/>
      </c>
      <c r="H3270" s="10" t="str">
        <f aca="false">IF($B3270="","",SUBSTITUTE(SUBSTITUTE(SUBSTITUTE($B3270,"-","")," ",""),".",""))</f>
        <v/>
      </c>
      <c r="I3270" s="10" t="str">
        <f aca="false">IF($D3270="","",SUBSTITUTE(SUBSTITUTE(SUBSTITUTE($D3270,"-","")," ",""),".",""))</f>
        <v/>
      </c>
      <c r="J3270" s="10" t="str">
        <f aca="false">IF($E3270="","",UPPER(SUBSTITUTE($E3270," ","")))</f>
        <v/>
      </c>
      <c r="K3270" s="10" t="str">
        <f aca="false">IF($A3270="","",$G3270&amp;"|"&amp;$J3270)</f>
        <v/>
      </c>
      <c r="L3270" s="10" t="str">
        <f aca="false">IF($A3270="","",ROW()-2)</f>
        <v/>
      </c>
      <c r="M3270" s="10" t="str">
        <f aca="false">IF($A3270="","",ROW())</f>
        <v/>
      </c>
    </row>
    <row r="3271" customFormat="false" ht="15" hidden="false" customHeight="true" outlineLevel="0" collapsed="false">
      <c r="A3271" s="8"/>
      <c r="B3271" s="8"/>
      <c r="C3271" s="8"/>
      <c r="D3271" s="8"/>
      <c r="E3271" s="8"/>
      <c r="F3271" s="8"/>
      <c r="G3271" s="10" t="str">
        <f aca="false">IF($A3271="","",UPPER(SUBSTITUTE(SUBSTITUTE(SUBSTITUTE(SUBSTITUTE($A3271," ",""),"(주)",""),"주식회사",""),"㈜","")))</f>
        <v/>
      </c>
      <c r="H3271" s="10" t="str">
        <f aca="false">IF($B3271="","",SUBSTITUTE(SUBSTITUTE(SUBSTITUTE($B3271,"-","")," ",""),".",""))</f>
        <v/>
      </c>
      <c r="I3271" s="10" t="str">
        <f aca="false">IF($D3271="","",SUBSTITUTE(SUBSTITUTE(SUBSTITUTE($D3271,"-","")," ",""),".",""))</f>
        <v/>
      </c>
      <c r="J3271" s="10" t="str">
        <f aca="false">IF($E3271="","",UPPER(SUBSTITUTE($E3271," ","")))</f>
        <v/>
      </c>
      <c r="K3271" s="10" t="str">
        <f aca="false">IF($A3271="","",$G3271&amp;"|"&amp;$J3271)</f>
        <v/>
      </c>
      <c r="L3271" s="10" t="str">
        <f aca="false">IF($A3271="","",ROW()-2)</f>
        <v/>
      </c>
      <c r="M3271" s="10" t="str">
        <f aca="false">IF($A3271="","",ROW())</f>
        <v/>
      </c>
    </row>
    <row r="3272" customFormat="false" ht="15" hidden="false" customHeight="true" outlineLevel="0" collapsed="false">
      <c r="A3272" s="8"/>
      <c r="B3272" s="8"/>
      <c r="C3272" s="8"/>
      <c r="D3272" s="8"/>
      <c r="E3272" s="8"/>
      <c r="F3272" s="8"/>
      <c r="G3272" s="10" t="str">
        <f aca="false">IF($A3272="","",UPPER(SUBSTITUTE(SUBSTITUTE(SUBSTITUTE(SUBSTITUTE($A3272," ",""),"(주)",""),"주식회사",""),"㈜","")))</f>
        <v/>
      </c>
      <c r="H3272" s="10" t="str">
        <f aca="false">IF($B3272="","",SUBSTITUTE(SUBSTITUTE(SUBSTITUTE($B3272,"-","")," ",""),".",""))</f>
        <v/>
      </c>
      <c r="I3272" s="10" t="str">
        <f aca="false">IF($D3272="","",SUBSTITUTE(SUBSTITUTE(SUBSTITUTE($D3272,"-","")," ",""),".",""))</f>
        <v/>
      </c>
      <c r="J3272" s="10" t="str">
        <f aca="false">IF($E3272="","",UPPER(SUBSTITUTE($E3272," ","")))</f>
        <v/>
      </c>
      <c r="K3272" s="10" t="str">
        <f aca="false">IF($A3272="","",$G3272&amp;"|"&amp;$J3272)</f>
        <v/>
      </c>
      <c r="L3272" s="10" t="str">
        <f aca="false">IF($A3272="","",ROW()-2)</f>
        <v/>
      </c>
      <c r="M3272" s="10" t="str">
        <f aca="false">IF($A3272="","",ROW())</f>
        <v/>
      </c>
    </row>
    <row r="3273" customFormat="false" ht="15" hidden="false" customHeight="true" outlineLevel="0" collapsed="false">
      <c r="A3273" s="8"/>
      <c r="B3273" s="8"/>
      <c r="C3273" s="8"/>
      <c r="D3273" s="8"/>
      <c r="E3273" s="8"/>
      <c r="F3273" s="8"/>
      <c r="G3273" s="10" t="str">
        <f aca="false">IF($A3273="","",UPPER(SUBSTITUTE(SUBSTITUTE(SUBSTITUTE(SUBSTITUTE($A3273," ",""),"(주)",""),"주식회사",""),"㈜","")))</f>
        <v/>
      </c>
      <c r="H3273" s="10" t="str">
        <f aca="false">IF($B3273="","",SUBSTITUTE(SUBSTITUTE(SUBSTITUTE($B3273,"-","")," ",""),".",""))</f>
        <v/>
      </c>
      <c r="I3273" s="10" t="str">
        <f aca="false">IF($D3273="","",SUBSTITUTE(SUBSTITUTE(SUBSTITUTE($D3273,"-","")," ",""),".",""))</f>
        <v/>
      </c>
      <c r="J3273" s="10" t="str">
        <f aca="false">IF($E3273="","",UPPER(SUBSTITUTE($E3273," ","")))</f>
        <v/>
      </c>
      <c r="K3273" s="10" t="str">
        <f aca="false">IF($A3273="","",$G3273&amp;"|"&amp;$J3273)</f>
        <v/>
      </c>
      <c r="L3273" s="10" t="str">
        <f aca="false">IF($A3273="","",ROW()-2)</f>
        <v/>
      </c>
      <c r="M3273" s="10" t="str">
        <f aca="false">IF($A3273="","",ROW())</f>
        <v/>
      </c>
    </row>
    <row r="3274" customFormat="false" ht="15" hidden="false" customHeight="true" outlineLevel="0" collapsed="false">
      <c r="A3274" s="8"/>
      <c r="B3274" s="8"/>
      <c r="C3274" s="8"/>
      <c r="D3274" s="8"/>
      <c r="E3274" s="8"/>
      <c r="F3274" s="8"/>
      <c r="G3274" s="10" t="str">
        <f aca="false">IF($A3274="","",UPPER(SUBSTITUTE(SUBSTITUTE(SUBSTITUTE(SUBSTITUTE($A3274," ",""),"(주)",""),"주식회사",""),"㈜","")))</f>
        <v/>
      </c>
      <c r="H3274" s="10" t="str">
        <f aca="false">IF($B3274="","",SUBSTITUTE(SUBSTITUTE(SUBSTITUTE($B3274,"-","")," ",""),".",""))</f>
        <v/>
      </c>
      <c r="I3274" s="10" t="str">
        <f aca="false">IF($D3274="","",SUBSTITUTE(SUBSTITUTE(SUBSTITUTE($D3274,"-","")," ",""),".",""))</f>
        <v/>
      </c>
      <c r="J3274" s="10" t="str">
        <f aca="false">IF($E3274="","",UPPER(SUBSTITUTE($E3274," ","")))</f>
        <v/>
      </c>
      <c r="K3274" s="10" t="str">
        <f aca="false">IF($A3274="","",$G3274&amp;"|"&amp;$J3274)</f>
        <v/>
      </c>
      <c r="L3274" s="10" t="str">
        <f aca="false">IF($A3274="","",ROW()-2)</f>
        <v/>
      </c>
      <c r="M3274" s="10" t="str">
        <f aca="false">IF($A3274="","",ROW())</f>
        <v/>
      </c>
    </row>
    <row r="3275" customFormat="false" ht="15" hidden="false" customHeight="true" outlineLevel="0" collapsed="false">
      <c r="A3275" s="8"/>
      <c r="B3275" s="8"/>
      <c r="C3275" s="8"/>
      <c r="D3275" s="8"/>
      <c r="E3275" s="8"/>
      <c r="F3275" s="8"/>
      <c r="G3275" s="10" t="str">
        <f aca="false">IF($A3275="","",UPPER(SUBSTITUTE(SUBSTITUTE(SUBSTITUTE(SUBSTITUTE($A3275," ",""),"(주)",""),"주식회사",""),"㈜","")))</f>
        <v/>
      </c>
      <c r="H3275" s="10" t="str">
        <f aca="false">IF($B3275="","",SUBSTITUTE(SUBSTITUTE(SUBSTITUTE($B3275,"-","")," ",""),".",""))</f>
        <v/>
      </c>
      <c r="I3275" s="10" t="str">
        <f aca="false">IF($D3275="","",SUBSTITUTE(SUBSTITUTE(SUBSTITUTE($D3275,"-","")," ",""),".",""))</f>
        <v/>
      </c>
      <c r="J3275" s="10" t="str">
        <f aca="false">IF($E3275="","",UPPER(SUBSTITUTE($E3275," ","")))</f>
        <v/>
      </c>
      <c r="K3275" s="10" t="str">
        <f aca="false">IF($A3275="","",$G3275&amp;"|"&amp;$J3275)</f>
        <v/>
      </c>
      <c r="L3275" s="10" t="str">
        <f aca="false">IF($A3275="","",ROW()-2)</f>
        <v/>
      </c>
      <c r="M3275" s="10" t="str">
        <f aca="false">IF($A3275="","",ROW())</f>
        <v/>
      </c>
    </row>
    <row r="3276" customFormat="false" ht="15" hidden="false" customHeight="true" outlineLevel="0" collapsed="false">
      <c r="A3276" s="8"/>
      <c r="B3276" s="8"/>
      <c r="C3276" s="8"/>
      <c r="D3276" s="8"/>
      <c r="E3276" s="8"/>
      <c r="F3276" s="8"/>
      <c r="G3276" s="10" t="str">
        <f aca="false">IF($A3276="","",UPPER(SUBSTITUTE(SUBSTITUTE(SUBSTITUTE(SUBSTITUTE($A3276," ",""),"(주)",""),"주식회사",""),"㈜","")))</f>
        <v/>
      </c>
      <c r="H3276" s="10" t="str">
        <f aca="false">IF($B3276="","",SUBSTITUTE(SUBSTITUTE(SUBSTITUTE($B3276,"-","")," ",""),".",""))</f>
        <v/>
      </c>
      <c r="I3276" s="10" t="str">
        <f aca="false">IF($D3276="","",SUBSTITUTE(SUBSTITUTE(SUBSTITUTE($D3276,"-","")," ",""),".",""))</f>
        <v/>
      </c>
      <c r="J3276" s="10" t="str">
        <f aca="false">IF($E3276="","",UPPER(SUBSTITUTE($E3276," ","")))</f>
        <v/>
      </c>
      <c r="K3276" s="10" t="str">
        <f aca="false">IF($A3276="","",$G3276&amp;"|"&amp;$J3276)</f>
        <v/>
      </c>
      <c r="L3276" s="10" t="str">
        <f aca="false">IF($A3276="","",ROW()-2)</f>
        <v/>
      </c>
      <c r="M3276" s="10" t="str">
        <f aca="false">IF($A3276="","",ROW())</f>
        <v/>
      </c>
    </row>
    <row r="3277" customFormat="false" ht="15" hidden="false" customHeight="true" outlineLevel="0" collapsed="false">
      <c r="A3277" s="8"/>
      <c r="B3277" s="8"/>
      <c r="C3277" s="8"/>
      <c r="D3277" s="8"/>
      <c r="E3277" s="8"/>
      <c r="F3277" s="8"/>
      <c r="G3277" s="10" t="str">
        <f aca="false">IF($A3277="","",UPPER(SUBSTITUTE(SUBSTITUTE(SUBSTITUTE(SUBSTITUTE($A3277," ",""),"(주)",""),"주식회사",""),"㈜","")))</f>
        <v/>
      </c>
      <c r="H3277" s="10" t="str">
        <f aca="false">IF($B3277="","",SUBSTITUTE(SUBSTITUTE(SUBSTITUTE($B3277,"-","")," ",""),".",""))</f>
        <v/>
      </c>
      <c r="I3277" s="10" t="str">
        <f aca="false">IF($D3277="","",SUBSTITUTE(SUBSTITUTE(SUBSTITUTE($D3277,"-","")," ",""),".",""))</f>
        <v/>
      </c>
      <c r="J3277" s="10" t="str">
        <f aca="false">IF($E3277="","",UPPER(SUBSTITUTE($E3277," ","")))</f>
        <v/>
      </c>
      <c r="K3277" s="10" t="str">
        <f aca="false">IF($A3277="","",$G3277&amp;"|"&amp;$J3277)</f>
        <v/>
      </c>
      <c r="L3277" s="10" t="str">
        <f aca="false">IF($A3277="","",ROW()-2)</f>
        <v/>
      </c>
      <c r="M3277" s="10" t="str">
        <f aca="false">IF($A3277="","",ROW())</f>
        <v/>
      </c>
    </row>
    <row r="3278" customFormat="false" ht="15" hidden="false" customHeight="true" outlineLevel="0" collapsed="false">
      <c r="A3278" s="8"/>
      <c r="B3278" s="8"/>
      <c r="C3278" s="8"/>
      <c r="D3278" s="8"/>
      <c r="E3278" s="8"/>
      <c r="F3278" s="8"/>
      <c r="G3278" s="10" t="str">
        <f aca="false">IF($A3278="","",UPPER(SUBSTITUTE(SUBSTITUTE(SUBSTITUTE(SUBSTITUTE($A3278," ",""),"(주)",""),"주식회사",""),"㈜","")))</f>
        <v/>
      </c>
      <c r="H3278" s="10" t="str">
        <f aca="false">IF($B3278="","",SUBSTITUTE(SUBSTITUTE(SUBSTITUTE($B3278,"-","")," ",""),".",""))</f>
        <v/>
      </c>
      <c r="I3278" s="10" t="str">
        <f aca="false">IF($D3278="","",SUBSTITUTE(SUBSTITUTE(SUBSTITUTE($D3278,"-","")," ",""),".",""))</f>
        <v/>
      </c>
      <c r="J3278" s="10" t="str">
        <f aca="false">IF($E3278="","",UPPER(SUBSTITUTE($E3278," ","")))</f>
        <v/>
      </c>
      <c r="K3278" s="10" t="str">
        <f aca="false">IF($A3278="","",$G3278&amp;"|"&amp;$J3278)</f>
        <v/>
      </c>
      <c r="L3278" s="10" t="str">
        <f aca="false">IF($A3278="","",ROW()-2)</f>
        <v/>
      </c>
      <c r="M3278" s="10" t="str">
        <f aca="false">IF($A3278="","",ROW())</f>
        <v/>
      </c>
    </row>
    <row r="3279" customFormat="false" ht="15" hidden="false" customHeight="true" outlineLevel="0" collapsed="false">
      <c r="A3279" s="8"/>
      <c r="B3279" s="8"/>
      <c r="C3279" s="8"/>
      <c r="D3279" s="8"/>
      <c r="E3279" s="8"/>
      <c r="F3279" s="8"/>
      <c r="G3279" s="10" t="str">
        <f aca="false">IF($A3279="","",UPPER(SUBSTITUTE(SUBSTITUTE(SUBSTITUTE(SUBSTITUTE($A3279," ",""),"(주)",""),"주식회사",""),"㈜","")))</f>
        <v/>
      </c>
      <c r="H3279" s="10" t="str">
        <f aca="false">IF($B3279="","",SUBSTITUTE(SUBSTITUTE(SUBSTITUTE($B3279,"-","")," ",""),".",""))</f>
        <v/>
      </c>
      <c r="I3279" s="10" t="str">
        <f aca="false">IF($D3279="","",SUBSTITUTE(SUBSTITUTE(SUBSTITUTE($D3279,"-","")," ",""),".",""))</f>
        <v/>
      </c>
      <c r="J3279" s="10" t="str">
        <f aca="false">IF($E3279="","",UPPER(SUBSTITUTE($E3279," ","")))</f>
        <v/>
      </c>
      <c r="K3279" s="10" t="str">
        <f aca="false">IF($A3279="","",$G3279&amp;"|"&amp;$J3279)</f>
        <v/>
      </c>
      <c r="L3279" s="10" t="str">
        <f aca="false">IF($A3279="","",ROW()-2)</f>
        <v/>
      </c>
      <c r="M3279" s="10" t="str">
        <f aca="false">IF($A3279="","",ROW())</f>
        <v/>
      </c>
    </row>
    <row r="3280" customFormat="false" ht="15" hidden="false" customHeight="true" outlineLevel="0" collapsed="false">
      <c r="A3280" s="8"/>
      <c r="B3280" s="8"/>
      <c r="C3280" s="8"/>
      <c r="D3280" s="8"/>
      <c r="E3280" s="8"/>
      <c r="F3280" s="8"/>
      <c r="G3280" s="10" t="str">
        <f aca="false">IF($A3280="","",UPPER(SUBSTITUTE(SUBSTITUTE(SUBSTITUTE(SUBSTITUTE($A3280," ",""),"(주)",""),"주식회사",""),"㈜","")))</f>
        <v/>
      </c>
      <c r="H3280" s="10" t="str">
        <f aca="false">IF($B3280="","",SUBSTITUTE(SUBSTITUTE(SUBSTITUTE($B3280,"-","")," ",""),".",""))</f>
        <v/>
      </c>
      <c r="I3280" s="10" t="str">
        <f aca="false">IF($D3280="","",SUBSTITUTE(SUBSTITUTE(SUBSTITUTE($D3280,"-","")," ",""),".",""))</f>
        <v/>
      </c>
      <c r="J3280" s="10" t="str">
        <f aca="false">IF($E3280="","",UPPER(SUBSTITUTE($E3280," ","")))</f>
        <v/>
      </c>
      <c r="K3280" s="10" t="str">
        <f aca="false">IF($A3280="","",$G3280&amp;"|"&amp;$J3280)</f>
        <v/>
      </c>
      <c r="L3280" s="10" t="str">
        <f aca="false">IF($A3280="","",ROW()-2)</f>
        <v/>
      </c>
      <c r="M3280" s="10" t="str">
        <f aca="false">IF($A3280="","",ROW())</f>
        <v/>
      </c>
    </row>
    <row r="3281" customFormat="false" ht="15" hidden="false" customHeight="true" outlineLevel="0" collapsed="false">
      <c r="A3281" s="8"/>
      <c r="B3281" s="8"/>
      <c r="C3281" s="8"/>
      <c r="D3281" s="8"/>
      <c r="E3281" s="8"/>
      <c r="F3281" s="8"/>
      <c r="G3281" s="10" t="str">
        <f aca="false">IF($A3281="","",UPPER(SUBSTITUTE(SUBSTITUTE(SUBSTITUTE(SUBSTITUTE($A3281," ",""),"(주)",""),"주식회사",""),"㈜","")))</f>
        <v/>
      </c>
      <c r="H3281" s="10" t="str">
        <f aca="false">IF($B3281="","",SUBSTITUTE(SUBSTITUTE(SUBSTITUTE($B3281,"-","")," ",""),".",""))</f>
        <v/>
      </c>
      <c r="I3281" s="10" t="str">
        <f aca="false">IF($D3281="","",SUBSTITUTE(SUBSTITUTE(SUBSTITUTE($D3281,"-","")," ",""),".",""))</f>
        <v/>
      </c>
      <c r="J3281" s="10" t="str">
        <f aca="false">IF($E3281="","",UPPER(SUBSTITUTE($E3281," ","")))</f>
        <v/>
      </c>
      <c r="K3281" s="10" t="str">
        <f aca="false">IF($A3281="","",$G3281&amp;"|"&amp;$J3281)</f>
        <v/>
      </c>
      <c r="L3281" s="10" t="str">
        <f aca="false">IF($A3281="","",ROW()-2)</f>
        <v/>
      </c>
      <c r="M3281" s="10" t="str">
        <f aca="false">IF($A3281="","",ROW())</f>
        <v/>
      </c>
    </row>
    <row r="3282" customFormat="false" ht="15" hidden="false" customHeight="true" outlineLevel="0" collapsed="false">
      <c r="A3282" s="8"/>
      <c r="B3282" s="8"/>
      <c r="C3282" s="8"/>
      <c r="D3282" s="8"/>
      <c r="E3282" s="8"/>
      <c r="F3282" s="8"/>
      <c r="G3282" s="10" t="str">
        <f aca="false">IF($A3282="","",UPPER(SUBSTITUTE(SUBSTITUTE(SUBSTITUTE(SUBSTITUTE($A3282," ",""),"(주)",""),"주식회사",""),"㈜","")))</f>
        <v/>
      </c>
      <c r="H3282" s="10" t="str">
        <f aca="false">IF($B3282="","",SUBSTITUTE(SUBSTITUTE(SUBSTITUTE($B3282,"-","")," ",""),".",""))</f>
        <v/>
      </c>
      <c r="I3282" s="10" t="str">
        <f aca="false">IF($D3282="","",SUBSTITUTE(SUBSTITUTE(SUBSTITUTE($D3282,"-","")," ",""),".",""))</f>
        <v/>
      </c>
      <c r="J3282" s="10" t="str">
        <f aca="false">IF($E3282="","",UPPER(SUBSTITUTE($E3282," ","")))</f>
        <v/>
      </c>
      <c r="K3282" s="10" t="str">
        <f aca="false">IF($A3282="","",$G3282&amp;"|"&amp;$J3282)</f>
        <v/>
      </c>
      <c r="L3282" s="10" t="str">
        <f aca="false">IF($A3282="","",ROW()-2)</f>
        <v/>
      </c>
      <c r="M3282" s="10" t="str">
        <f aca="false">IF($A3282="","",ROW())</f>
        <v/>
      </c>
    </row>
    <row r="3283" customFormat="false" ht="15" hidden="false" customHeight="true" outlineLevel="0" collapsed="false">
      <c r="A3283" s="8"/>
      <c r="B3283" s="8"/>
      <c r="C3283" s="8"/>
      <c r="D3283" s="8"/>
      <c r="E3283" s="8"/>
      <c r="F3283" s="8"/>
      <c r="G3283" s="10" t="str">
        <f aca="false">IF($A3283="","",UPPER(SUBSTITUTE(SUBSTITUTE(SUBSTITUTE(SUBSTITUTE($A3283," ",""),"(주)",""),"주식회사",""),"㈜","")))</f>
        <v/>
      </c>
      <c r="H3283" s="10" t="str">
        <f aca="false">IF($B3283="","",SUBSTITUTE(SUBSTITUTE(SUBSTITUTE($B3283,"-","")," ",""),".",""))</f>
        <v/>
      </c>
      <c r="I3283" s="10" t="str">
        <f aca="false">IF($D3283="","",SUBSTITUTE(SUBSTITUTE(SUBSTITUTE($D3283,"-","")," ",""),".",""))</f>
        <v/>
      </c>
      <c r="J3283" s="10" t="str">
        <f aca="false">IF($E3283="","",UPPER(SUBSTITUTE($E3283," ","")))</f>
        <v/>
      </c>
      <c r="K3283" s="10" t="str">
        <f aca="false">IF($A3283="","",$G3283&amp;"|"&amp;$J3283)</f>
        <v/>
      </c>
      <c r="L3283" s="10" t="str">
        <f aca="false">IF($A3283="","",ROW()-2)</f>
        <v/>
      </c>
      <c r="M3283" s="10" t="str">
        <f aca="false">IF($A3283="","",ROW())</f>
        <v/>
      </c>
    </row>
    <row r="3284" customFormat="false" ht="15" hidden="false" customHeight="true" outlineLevel="0" collapsed="false">
      <c r="A3284" s="8"/>
      <c r="B3284" s="8"/>
      <c r="C3284" s="8"/>
      <c r="D3284" s="8"/>
      <c r="E3284" s="8"/>
      <c r="F3284" s="8"/>
      <c r="G3284" s="10" t="str">
        <f aca="false">IF($A3284="","",UPPER(SUBSTITUTE(SUBSTITUTE(SUBSTITUTE(SUBSTITUTE($A3284," ",""),"(주)",""),"주식회사",""),"㈜","")))</f>
        <v/>
      </c>
      <c r="H3284" s="10" t="str">
        <f aca="false">IF($B3284="","",SUBSTITUTE(SUBSTITUTE(SUBSTITUTE($B3284,"-","")," ",""),".",""))</f>
        <v/>
      </c>
      <c r="I3284" s="10" t="str">
        <f aca="false">IF($D3284="","",SUBSTITUTE(SUBSTITUTE(SUBSTITUTE($D3284,"-","")," ",""),".",""))</f>
        <v/>
      </c>
      <c r="J3284" s="10" t="str">
        <f aca="false">IF($E3284="","",UPPER(SUBSTITUTE($E3284," ","")))</f>
        <v/>
      </c>
      <c r="K3284" s="10" t="str">
        <f aca="false">IF($A3284="","",$G3284&amp;"|"&amp;$J3284)</f>
        <v/>
      </c>
      <c r="L3284" s="10" t="str">
        <f aca="false">IF($A3284="","",ROW()-2)</f>
        <v/>
      </c>
      <c r="M3284" s="10" t="str">
        <f aca="false">IF($A3284="","",ROW())</f>
        <v/>
      </c>
    </row>
    <row r="3285" customFormat="false" ht="15" hidden="false" customHeight="true" outlineLevel="0" collapsed="false">
      <c r="A3285" s="8"/>
      <c r="B3285" s="8"/>
      <c r="C3285" s="8"/>
      <c r="D3285" s="8"/>
      <c r="E3285" s="8"/>
      <c r="F3285" s="8"/>
      <c r="G3285" s="10" t="str">
        <f aca="false">IF($A3285="","",UPPER(SUBSTITUTE(SUBSTITUTE(SUBSTITUTE(SUBSTITUTE($A3285," ",""),"(주)",""),"주식회사",""),"㈜","")))</f>
        <v/>
      </c>
      <c r="H3285" s="10" t="str">
        <f aca="false">IF($B3285="","",SUBSTITUTE(SUBSTITUTE(SUBSTITUTE($B3285,"-","")," ",""),".",""))</f>
        <v/>
      </c>
      <c r="I3285" s="10" t="str">
        <f aca="false">IF($D3285="","",SUBSTITUTE(SUBSTITUTE(SUBSTITUTE($D3285,"-","")," ",""),".",""))</f>
        <v/>
      </c>
      <c r="J3285" s="10" t="str">
        <f aca="false">IF($E3285="","",UPPER(SUBSTITUTE($E3285," ","")))</f>
        <v/>
      </c>
      <c r="K3285" s="10" t="str">
        <f aca="false">IF($A3285="","",$G3285&amp;"|"&amp;$J3285)</f>
        <v/>
      </c>
      <c r="L3285" s="10" t="str">
        <f aca="false">IF($A3285="","",ROW()-2)</f>
        <v/>
      </c>
      <c r="M3285" s="10" t="str">
        <f aca="false">IF($A3285="","",ROW())</f>
        <v/>
      </c>
    </row>
    <row r="3286" customFormat="false" ht="15" hidden="false" customHeight="true" outlineLevel="0" collapsed="false">
      <c r="A3286" s="8"/>
      <c r="B3286" s="8"/>
      <c r="C3286" s="8"/>
      <c r="D3286" s="8"/>
      <c r="E3286" s="8"/>
      <c r="F3286" s="8"/>
      <c r="G3286" s="10" t="str">
        <f aca="false">IF($A3286="","",UPPER(SUBSTITUTE(SUBSTITUTE(SUBSTITUTE(SUBSTITUTE($A3286," ",""),"(주)",""),"주식회사",""),"㈜","")))</f>
        <v/>
      </c>
      <c r="H3286" s="10" t="str">
        <f aca="false">IF($B3286="","",SUBSTITUTE(SUBSTITUTE(SUBSTITUTE($B3286,"-","")," ",""),".",""))</f>
        <v/>
      </c>
      <c r="I3286" s="10" t="str">
        <f aca="false">IF($D3286="","",SUBSTITUTE(SUBSTITUTE(SUBSTITUTE($D3286,"-","")," ",""),".",""))</f>
        <v/>
      </c>
      <c r="J3286" s="10" t="str">
        <f aca="false">IF($E3286="","",UPPER(SUBSTITUTE($E3286," ","")))</f>
        <v/>
      </c>
      <c r="K3286" s="10" t="str">
        <f aca="false">IF($A3286="","",$G3286&amp;"|"&amp;$J3286)</f>
        <v/>
      </c>
      <c r="L3286" s="10" t="str">
        <f aca="false">IF($A3286="","",ROW()-2)</f>
        <v/>
      </c>
      <c r="M3286" s="10" t="str">
        <f aca="false">IF($A3286="","",ROW())</f>
        <v/>
      </c>
    </row>
    <row r="3287" customFormat="false" ht="15" hidden="false" customHeight="true" outlineLevel="0" collapsed="false">
      <c r="A3287" s="8"/>
      <c r="B3287" s="8"/>
      <c r="C3287" s="8"/>
      <c r="D3287" s="8"/>
      <c r="E3287" s="8"/>
      <c r="F3287" s="8"/>
      <c r="G3287" s="10" t="str">
        <f aca="false">IF($A3287="","",UPPER(SUBSTITUTE(SUBSTITUTE(SUBSTITUTE(SUBSTITUTE($A3287," ",""),"(주)",""),"주식회사",""),"㈜","")))</f>
        <v/>
      </c>
      <c r="H3287" s="10" t="str">
        <f aca="false">IF($B3287="","",SUBSTITUTE(SUBSTITUTE(SUBSTITUTE($B3287,"-","")," ",""),".",""))</f>
        <v/>
      </c>
      <c r="I3287" s="10" t="str">
        <f aca="false">IF($D3287="","",SUBSTITUTE(SUBSTITUTE(SUBSTITUTE($D3287,"-","")," ",""),".",""))</f>
        <v/>
      </c>
      <c r="J3287" s="10" t="str">
        <f aca="false">IF($E3287="","",UPPER(SUBSTITUTE($E3287," ","")))</f>
        <v/>
      </c>
      <c r="K3287" s="10" t="str">
        <f aca="false">IF($A3287="","",$G3287&amp;"|"&amp;$J3287)</f>
        <v/>
      </c>
      <c r="L3287" s="10" t="str">
        <f aca="false">IF($A3287="","",ROW()-2)</f>
        <v/>
      </c>
      <c r="M3287" s="10" t="str">
        <f aca="false">IF($A3287="","",ROW())</f>
        <v/>
      </c>
    </row>
    <row r="3288" customFormat="false" ht="15" hidden="false" customHeight="true" outlineLevel="0" collapsed="false">
      <c r="A3288" s="8"/>
      <c r="B3288" s="8"/>
      <c r="C3288" s="8"/>
      <c r="D3288" s="8"/>
      <c r="E3288" s="8"/>
      <c r="F3288" s="8"/>
      <c r="G3288" s="10" t="str">
        <f aca="false">IF($A3288="","",UPPER(SUBSTITUTE(SUBSTITUTE(SUBSTITUTE(SUBSTITUTE($A3288," ",""),"(주)",""),"주식회사",""),"㈜","")))</f>
        <v/>
      </c>
      <c r="H3288" s="10" t="str">
        <f aca="false">IF($B3288="","",SUBSTITUTE(SUBSTITUTE(SUBSTITUTE($B3288,"-","")," ",""),".",""))</f>
        <v/>
      </c>
      <c r="I3288" s="10" t="str">
        <f aca="false">IF($D3288="","",SUBSTITUTE(SUBSTITUTE(SUBSTITUTE($D3288,"-","")," ",""),".",""))</f>
        <v/>
      </c>
      <c r="J3288" s="10" t="str">
        <f aca="false">IF($E3288="","",UPPER(SUBSTITUTE($E3288," ","")))</f>
        <v/>
      </c>
      <c r="K3288" s="10" t="str">
        <f aca="false">IF($A3288="","",$G3288&amp;"|"&amp;$J3288)</f>
        <v/>
      </c>
      <c r="L3288" s="10" t="str">
        <f aca="false">IF($A3288="","",ROW()-2)</f>
        <v/>
      </c>
      <c r="M3288" s="10" t="str">
        <f aca="false">IF($A3288="","",ROW())</f>
        <v/>
      </c>
    </row>
    <row r="3289" customFormat="false" ht="15" hidden="false" customHeight="true" outlineLevel="0" collapsed="false">
      <c r="A3289" s="8"/>
      <c r="B3289" s="8"/>
      <c r="C3289" s="8"/>
      <c r="D3289" s="8"/>
      <c r="E3289" s="8"/>
      <c r="F3289" s="8"/>
      <c r="G3289" s="10" t="str">
        <f aca="false">IF($A3289="","",UPPER(SUBSTITUTE(SUBSTITUTE(SUBSTITUTE(SUBSTITUTE($A3289," ",""),"(주)",""),"주식회사",""),"㈜","")))</f>
        <v/>
      </c>
      <c r="H3289" s="10" t="str">
        <f aca="false">IF($B3289="","",SUBSTITUTE(SUBSTITUTE(SUBSTITUTE($B3289,"-","")," ",""),".",""))</f>
        <v/>
      </c>
      <c r="I3289" s="10" t="str">
        <f aca="false">IF($D3289="","",SUBSTITUTE(SUBSTITUTE(SUBSTITUTE($D3289,"-","")," ",""),".",""))</f>
        <v/>
      </c>
      <c r="J3289" s="10" t="str">
        <f aca="false">IF($E3289="","",UPPER(SUBSTITUTE($E3289," ","")))</f>
        <v/>
      </c>
      <c r="K3289" s="10" t="str">
        <f aca="false">IF($A3289="","",$G3289&amp;"|"&amp;$J3289)</f>
        <v/>
      </c>
      <c r="L3289" s="10" t="str">
        <f aca="false">IF($A3289="","",ROW()-2)</f>
        <v/>
      </c>
      <c r="M3289" s="10" t="str">
        <f aca="false">IF($A3289="","",ROW())</f>
        <v/>
      </c>
    </row>
    <row r="3290" customFormat="false" ht="15" hidden="false" customHeight="true" outlineLevel="0" collapsed="false">
      <c r="A3290" s="8"/>
      <c r="B3290" s="8"/>
      <c r="C3290" s="8"/>
      <c r="D3290" s="8"/>
      <c r="E3290" s="8"/>
      <c r="F3290" s="8"/>
      <c r="G3290" s="10" t="str">
        <f aca="false">IF($A3290="","",UPPER(SUBSTITUTE(SUBSTITUTE(SUBSTITUTE(SUBSTITUTE($A3290," ",""),"(주)",""),"주식회사",""),"㈜","")))</f>
        <v/>
      </c>
      <c r="H3290" s="10" t="str">
        <f aca="false">IF($B3290="","",SUBSTITUTE(SUBSTITUTE(SUBSTITUTE($B3290,"-","")," ",""),".",""))</f>
        <v/>
      </c>
      <c r="I3290" s="10" t="str">
        <f aca="false">IF($D3290="","",SUBSTITUTE(SUBSTITUTE(SUBSTITUTE($D3290,"-","")," ",""),".",""))</f>
        <v/>
      </c>
      <c r="J3290" s="10" t="str">
        <f aca="false">IF($E3290="","",UPPER(SUBSTITUTE($E3290," ","")))</f>
        <v/>
      </c>
      <c r="K3290" s="10" t="str">
        <f aca="false">IF($A3290="","",$G3290&amp;"|"&amp;$J3290)</f>
        <v/>
      </c>
      <c r="L3290" s="10" t="str">
        <f aca="false">IF($A3290="","",ROW()-2)</f>
        <v/>
      </c>
      <c r="M3290" s="10" t="str">
        <f aca="false">IF($A3290="","",ROW())</f>
        <v/>
      </c>
    </row>
    <row r="3291" customFormat="false" ht="15" hidden="false" customHeight="true" outlineLevel="0" collapsed="false">
      <c r="A3291" s="8"/>
      <c r="B3291" s="8"/>
      <c r="C3291" s="8"/>
      <c r="D3291" s="8"/>
      <c r="E3291" s="8"/>
      <c r="F3291" s="8"/>
      <c r="G3291" s="10" t="str">
        <f aca="false">IF($A3291="","",UPPER(SUBSTITUTE(SUBSTITUTE(SUBSTITUTE(SUBSTITUTE($A3291," ",""),"(주)",""),"주식회사",""),"㈜","")))</f>
        <v/>
      </c>
      <c r="H3291" s="10" t="str">
        <f aca="false">IF($B3291="","",SUBSTITUTE(SUBSTITUTE(SUBSTITUTE($B3291,"-","")," ",""),".",""))</f>
        <v/>
      </c>
      <c r="I3291" s="10" t="str">
        <f aca="false">IF($D3291="","",SUBSTITUTE(SUBSTITUTE(SUBSTITUTE($D3291,"-","")," ",""),".",""))</f>
        <v/>
      </c>
      <c r="J3291" s="10" t="str">
        <f aca="false">IF($E3291="","",UPPER(SUBSTITUTE($E3291," ","")))</f>
        <v/>
      </c>
      <c r="K3291" s="10" t="str">
        <f aca="false">IF($A3291="","",$G3291&amp;"|"&amp;$J3291)</f>
        <v/>
      </c>
      <c r="L3291" s="10" t="str">
        <f aca="false">IF($A3291="","",ROW()-2)</f>
        <v/>
      </c>
      <c r="M3291" s="10" t="str">
        <f aca="false">IF($A3291="","",ROW())</f>
        <v/>
      </c>
    </row>
    <row r="3292" customFormat="false" ht="15" hidden="false" customHeight="true" outlineLevel="0" collapsed="false">
      <c r="A3292" s="8"/>
      <c r="B3292" s="8"/>
      <c r="C3292" s="8"/>
      <c r="D3292" s="8"/>
      <c r="E3292" s="8"/>
      <c r="F3292" s="8"/>
      <c r="G3292" s="10" t="str">
        <f aca="false">IF($A3292="","",UPPER(SUBSTITUTE(SUBSTITUTE(SUBSTITUTE(SUBSTITUTE($A3292," ",""),"(주)",""),"주식회사",""),"㈜","")))</f>
        <v/>
      </c>
      <c r="H3292" s="10" t="str">
        <f aca="false">IF($B3292="","",SUBSTITUTE(SUBSTITUTE(SUBSTITUTE($B3292,"-","")," ",""),".",""))</f>
        <v/>
      </c>
      <c r="I3292" s="10" t="str">
        <f aca="false">IF($D3292="","",SUBSTITUTE(SUBSTITUTE(SUBSTITUTE($D3292,"-","")," ",""),".",""))</f>
        <v/>
      </c>
      <c r="J3292" s="10" t="str">
        <f aca="false">IF($E3292="","",UPPER(SUBSTITUTE($E3292," ","")))</f>
        <v/>
      </c>
      <c r="K3292" s="10" t="str">
        <f aca="false">IF($A3292="","",$G3292&amp;"|"&amp;$J3292)</f>
        <v/>
      </c>
      <c r="L3292" s="10" t="str">
        <f aca="false">IF($A3292="","",ROW()-2)</f>
        <v/>
      </c>
      <c r="M3292" s="10" t="str">
        <f aca="false">IF($A3292="","",ROW())</f>
        <v/>
      </c>
    </row>
    <row r="3293" customFormat="false" ht="15" hidden="false" customHeight="true" outlineLevel="0" collapsed="false">
      <c r="A3293" s="8"/>
      <c r="B3293" s="8"/>
      <c r="C3293" s="8"/>
      <c r="D3293" s="8"/>
      <c r="E3293" s="8"/>
      <c r="F3293" s="8"/>
      <c r="G3293" s="10" t="str">
        <f aca="false">IF($A3293="","",UPPER(SUBSTITUTE(SUBSTITUTE(SUBSTITUTE(SUBSTITUTE($A3293," ",""),"(주)",""),"주식회사",""),"㈜","")))</f>
        <v/>
      </c>
      <c r="H3293" s="10" t="str">
        <f aca="false">IF($B3293="","",SUBSTITUTE(SUBSTITUTE(SUBSTITUTE($B3293,"-","")," ",""),".",""))</f>
        <v/>
      </c>
      <c r="I3293" s="10" t="str">
        <f aca="false">IF($D3293="","",SUBSTITUTE(SUBSTITUTE(SUBSTITUTE($D3293,"-","")," ",""),".",""))</f>
        <v/>
      </c>
      <c r="J3293" s="10" t="str">
        <f aca="false">IF($E3293="","",UPPER(SUBSTITUTE($E3293," ","")))</f>
        <v/>
      </c>
      <c r="K3293" s="10" t="str">
        <f aca="false">IF($A3293="","",$G3293&amp;"|"&amp;$J3293)</f>
        <v/>
      </c>
      <c r="L3293" s="10" t="str">
        <f aca="false">IF($A3293="","",ROW()-2)</f>
        <v/>
      </c>
      <c r="M3293" s="10" t="str">
        <f aca="false">IF($A3293="","",ROW())</f>
        <v/>
      </c>
    </row>
    <row r="3294" customFormat="false" ht="15" hidden="false" customHeight="true" outlineLevel="0" collapsed="false">
      <c r="A3294" s="8"/>
      <c r="B3294" s="8"/>
      <c r="C3294" s="8"/>
      <c r="D3294" s="8"/>
      <c r="E3294" s="8"/>
      <c r="F3294" s="8"/>
      <c r="G3294" s="10" t="str">
        <f aca="false">IF($A3294="","",UPPER(SUBSTITUTE(SUBSTITUTE(SUBSTITUTE(SUBSTITUTE($A3294," ",""),"(주)",""),"주식회사",""),"㈜","")))</f>
        <v/>
      </c>
      <c r="H3294" s="10" t="str">
        <f aca="false">IF($B3294="","",SUBSTITUTE(SUBSTITUTE(SUBSTITUTE($B3294,"-","")," ",""),".",""))</f>
        <v/>
      </c>
      <c r="I3294" s="10" t="str">
        <f aca="false">IF($D3294="","",SUBSTITUTE(SUBSTITUTE(SUBSTITUTE($D3294,"-","")," ",""),".",""))</f>
        <v/>
      </c>
      <c r="J3294" s="10" t="str">
        <f aca="false">IF($E3294="","",UPPER(SUBSTITUTE($E3294," ","")))</f>
        <v/>
      </c>
      <c r="K3294" s="10" t="str">
        <f aca="false">IF($A3294="","",$G3294&amp;"|"&amp;$J3294)</f>
        <v/>
      </c>
      <c r="L3294" s="10" t="str">
        <f aca="false">IF($A3294="","",ROW()-2)</f>
        <v/>
      </c>
      <c r="M3294" s="10" t="str">
        <f aca="false">IF($A3294="","",ROW())</f>
        <v/>
      </c>
    </row>
    <row r="3295" customFormat="false" ht="15" hidden="false" customHeight="true" outlineLevel="0" collapsed="false">
      <c r="A3295" s="8"/>
      <c r="B3295" s="8"/>
      <c r="C3295" s="8"/>
      <c r="D3295" s="8"/>
      <c r="E3295" s="8"/>
      <c r="F3295" s="8"/>
      <c r="G3295" s="10" t="str">
        <f aca="false">IF($A3295="","",UPPER(SUBSTITUTE(SUBSTITUTE(SUBSTITUTE(SUBSTITUTE($A3295," ",""),"(주)",""),"주식회사",""),"㈜","")))</f>
        <v/>
      </c>
      <c r="H3295" s="10" t="str">
        <f aca="false">IF($B3295="","",SUBSTITUTE(SUBSTITUTE(SUBSTITUTE($B3295,"-","")," ",""),".",""))</f>
        <v/>
      </c>
      <c r="I3295" s="10" t="str">
        <f aca="false">IF($D3295="","",SUBSTITUTE(SUBSTITUTE(SUBSTITUTE($D3295,"-","")," ",""),".",""))</f>
        <v/>
      </c>
      <c r="J3295" s="10" t="str">
        <f aca="false">IF($E3295="","",UPPER(SUBSTITUTE($E3295," ","")))</f>
        <v/>
      </c>
      <c r="K3295" s="10" t="str">
        <f aca="false">IF($A3295="","",$G3295&amp;"|"&amp;$J3295)</f>
        <v/>
      </c>
      <c r="L3295" s="10" t="str">
        <f aca="false">IF($A3295="","",ROW()-2)</f>
        <v/>
      </c>
      <c r="M3295" s="10" t="str">
        <f aca="false">IF($A3295="","",ROW())</f>
        <v/>
      </c>
    </row>
    <row r="3296" customFormat="false" ht="15" hidden="false" customHeight="true" outlineLevel="0" collapsed="false">
      <c r="A3296" s="8"/>
      <c r="B3296" s="8"/>
      <c r="C3296" s="8"/>
      <c r="D3296" s="8"/>
      <c r="E3296" s="8"/>
      <c r="F3296" s="8"/>
      <c r="G3296" s="10" t="str">
        <f aca="false">IF($A3296="","",UPPER(SUBSTITUTE(SUBSTITUTE(SUBSTITUTE(SUBSTITUTE($A3296," ",""),"(주)",""),"주식회사",""),"㈜","")))</f>
        <v/>
      </c>
      <c r="H3296" s="10" t="str">
        <f aca="false">IF($B3296="","",SUBSTITUTE(SUBSTITUTE(SUBSTITUTE($B3296,"-","")," ",""),".",""))</f>
        <v/>
      </c>
      <c r="I3296" s="10" t="str">
        <f aca="false">IF($D3296="","",SUBSTITUTE(SUBSTITUTE(SUBSTITUTE($D3296,"-","")," ",""),".",""))</f>
        <v/>
      </c>
      <c r="J3296" s="10" t="str">
        <f aca="false">IF($E3296="","",UPPER(SUBSTITUTE($E3296," ","")))</f>
        <v/>
      </c>
      <c r="K3296" s="10" t="str">
        <f aca="false">IF($A3296="","",$G3296&amp;"|"&amp;$J3296)</f>
        <v/>
      </c>
      <c r="L3296" s="10" t="str">
        <f aca="false">IF($A3296="","",ROW()-2)</f>
        <v/>
      </c>
      <c r="M3296" s="10" t="str">
        <f aca="false">IF($A3296="","",ROW())</f>
        <v/>
      </c>
    </row>
    <row r="3297" customFormat="false" ht="15" hidden="false" customHeight="true" outlineLevel="0" collapsed="false">
      <c r="A3297" s="8"/>
      <c r="B3297" s="8"/>
      <c r="C3297" s="8"/>
      <c r="D3297" s="8"/>
      <c r="E3297" s="8"/>
      <c r="F3297" s="8"/>
      <c r="G3297" s="10" t="str">
        <f aca="false">IF($A3297="","",UPPER(SUBSTITUTE(SUBSTITUTE(SUBSTITUTE(SUBSTITUTE($A3297," ",""),"(주)",""),"주식회사",""),"㈜","")))</f>
        <v/>
      </c>
      <c r="H3297" s="10" t="str">
        <f aca="false">IF($B3297="","",SUBSTITUTE(SUBSTITUTE(SUBSTITUTE($B3297,"-","")," ",""),".",""))</f>
        <v/>
      </c>
      <c r="I3297" s="10" t="str">
        <f aca="false">IF($D3297="","",SUBSTITUTE(SUBSTITUTE(SUBSTITUTE($D3297,"-","")," ",""),".",""))</f>
        <v/>
      </c>
      <c r="J3297" s="10" t="str">
        <f aca="false">IF($E3297="","",UPPER(SUBSTITUTE($E3297," ","")))</f>
        <v/>
      </c>
      <c r="K3297" s="10" t="str">
        <f aca="false">IF($A3297="","",$G3297&amp;"|"&amp;$J3297)</f>
        <v/>
      </c>
      <c r="L3297" s="10" t="str">
        <f aca="false">IF($A3297="","",ROW()-2)</f>
        <v/>
      </c>
      <c r="M3297" s="10" t="str">
        <f aca="false">IF($A3297="","",ROW())</f>
        <v/>
      </c>
    </row>
    <row r="3298" customFormat="false" ht="15" hidden="false" customHeight="true" outlineLevel="0" collapsed="false">
      <c r="A3298" s="8"/>
      <c r="B3298" s="8"/>
      <c r="C3298" s="8"/>
      <c r="D3298" s="8"/>
      <c r="E3298" s="8"/>
      <c r="F3298" s="8"/>
      <c r="G3298" s="10" t="str">
        <f aca="false">IF($A3298="","",UPPER(SUBSTITUTE(SUBSTITUTE(SUBSTITUTE(SUBSTITUTE($A3298," ",""),"(주)",""),"주식회사",""),"㈜","")))</f>
        <v/>
      </c>
      <c r="H3298" s="10" t="str">
        <f aca="false">IF($B3298="","",SUBSTITUTE(SUBSTITUTE(SUBSTITUTE($B3298,"-","")," ",""),".",""))</f>
        <v/>
      </c>
      <c r="I3298" s="10" t="str">
        <f aca="false">IF($D3298="","",SUBSTITUTE(SUBSTITUTE(SUBSTITUTE($D3298,"-","")," ",""),".",""))</f>
        <v/>
      </c>
      <c r="J3298" s="10" t="str">
        <f aca="false">IF($E3298="","",UPPER(SUBSTITUTE($E3298," ","")))</f>
        <v/>
      </c>
      <c r="K3298" s="10" t="str">
        <f aca="false">IF($A3298="","",$G3298&amp;"|"&amp;$J3298)</f>
        <v/>
      </c>
      <c r="L3298" s="10" t="str">
        <f aca="false">IF($A3298="","",ROW()-2)</f>
        <v/>
      </c>
      <c r="M3298" s="10" t="str">
        <f aca="false">IF($A3298="","",ROW())</f>
        <v/>
      </c>
    </row>
    <row r="3299" customFormat="false" ht="15" hidden="false" customHeight="true" outlineLevel="0" collapsed="false">
      <c r="A3299" s="8"/>
      <c r="B3299" s="8"/>
      <c r="C3299" s="8"/>
      <c r="D3299" s="8"/>
      <c r="E3299" s="8"/>
      <c r="F3299" s="8"/>
      <c r="G3299" s="10" t="str">
        <f aca="false">IF($A3299="","",UPPER(SUBSTITUTE(SUBSTITUTE(SUBSTITUTE(SUBSTITUTE($A3299," ",""),"(주)",""),"주식회사",""),"㈜","")))</f>
        <v/>
      </c>
      <c r="H3299" s="10" t="str">
        <f aca="false">IF($B3299="","",SUBSTITUTE(SUBSTITUTE(SUBSTITUTE($B3299,"-","")," ",""),".",""))</f>
        <v/>
      </c>
      <c r="I3299" s="10" t="str">
        <f aca="false">IF($D3299="","",SUBSTITUTE(SUBSTITUTE(SUBSTITUTE($D3299,"-","")," ",""),".",""))</f>
        <v/>
      </c>
      <c r="J3299" s="10" t="str">
        <f aca="false">IF($E3299="","",UPPER(SUBSTITUTE($E3299," ","")))</f>
        <v/>
      </c>
      <c r="K3299" s="10" t="str">
        <f aca="false">IF($A3299="","",$G3299&amp;"|"&amp;$J3299)</f>
        <v/>
      </c>
      <c r="L3299" s="10" t="str">
        <f aca="false">IF($A3299="","",ROW()-2)</f>
        <v/>
      </c>
      <c r="M3299" s="10" t="str">
        <f aca="false">IF($A3299="","",ROW())</f>
        <v/>
      </c>
    </row>
    <row r="3300" customFormat="false" ht="15" hidden="false" customHeight="true" outlineLevel="0" collapsed="false">
      <c r="A3300" s="8"/>
      <c r="B3300" s="8"/>
      <c r="C3300" s="8"/>
      <c r="D3300" s="8"/>
      <c r="E3300" s="8"/>
      <c r="F3300" s="8"/>
      <c r="G3300" s="10" t="str">
        <f aca="false">IF($A3300="","",UPPER(SUBSTITUTE(SUBSTITUTE(SUBSTITUTE(SUBSTITUTE($A3300," ",""),"(주)",""),"주식회사",""),"㈜","")))</f>
        <v/>
      </c>
      <c r="H3300" s="10" t="str">
        <f aca="false">IF($B3300="","",SUBSTITUTE(SUBSTITUTE(SUBSTITUTE($B3300,"-","")," ",""),".",""))</f>
        <v/>
      </c>
      <c r="I3300" s="10" t="str">
        <f aca="false">IF($D3300="","",SUBSTITUTE(SUBSTITUTE(SUBSTITUTE($D3300,"-","")," ",""),".",""))</f>
        <v/>
      </c>
      <c r="J3300" s="10" t="str">
        <f aca="false">IF($E3300="","",UPPER(SUBSTITUTE($E3300," ","")))</f>
        <v/>
      </c>
      <c r="K3300" s="10" t="str">
        <f aca="false">IF($A3300="","",$G3300&amp;"|"&amp;$J3300)</f>
        <v/>
      </c>
      <c r="L3300" s="10" t="str">
        <f aca="false">IF($A3300="","",ROW()-2)</f>
        <v/>
      </c>
      <c r="M3300" s="10" t="str">
        <f aca="false">IF($A3300="","",ROW())</f>
        <v/>
      </c>
    </row>
    <row r="3301" customFormat="false" ht="15" hidden="false" customHeight="true" outlineLevel="0" collapsed="false">
      <c r="A3301" s="8"/>
      <c r="B3301" s="8"/>
      <c r="C3301" s="8"/>
      <c r="D3301" s="8"/>
      <c r="E3301" s="8"/>
      <c r="F3301" s="8"/>
      <c r="G3301" s="10" t="str">
        <f aca="false">IF($A3301="","",UPPER(SUBSTITUTE(SUBSTITUTE(SUBSTITUTE(SUBSTITUTE($A3301," ",""),"(주)",""),"주식회사",""),"㈜","")))</f>
        <v/>
      </c>
      <c r="H3301" s="10" t="str">
        <f aca="false">IF($B3301="","",SUBSTITUTE(SUBSTITUTE(SUBSTITUTE($B3301,"-","")," ",""),".",""))</f>
        <v/>
      </c>
      <c r="I3301" s="10" t="str">
        <f aca="false">IF($D3301="","",SUBSTITUTE(SUBSTITUTE(SUBSTITUTE($D3301,"-","")," ",""),".",""))</f>
        <v/>
      </c>
      <c r="J3301" s="10" t="str">
        <f aca="false">IF($E3301="","",UPPER(SUBSTITUTE($E3301," ","")))</f>
        <v/>
      </c>
      <c r="K3301" s="10" t="str">
        <f aca="false">IF($A3301="","",$G3301&amp;"|"&amp;$J3301)</f>
        <v/>
      </c>
      <c r="L3301" s="10" t="str">
        <f aca="false">IF($A3301="","",ROW()-2)</f>
        <v/>
      </c>
      <c r="M3301" s="10" t="str">
        <f aca="false">IF($A3301="","",ROW())</f>
        <v/>
      </c>
    </row>
    <row r="3302" customFormat="false" ht="15" hidden="false" customHeight="true" outlineLevel="0" collapsed="false">
      <c r="A3302" s="8"/>
      <c r="B3302" s="8"/>
      <c r="C3302" s="8"/>
      <c r="D3302" s="8"/>
      <c r="E3302" s="8"/>
      <c r="F3302" s="8"/>
      <c r="G3302" s="10" t="str">
        <f aca="false">IF($A3302="","",UPPER(SUBSTITUTE(SUBSTITUTE(SUBSTITUTE(SUBSTITUTE($A3302," ",""),"(주)",""),"주식회사",""),"㈜","")))</f>
        <v/>
      </c>
      <c r="H3302" s="10" t="str">
        <f aca="false">IF($B3302="","",SUBSTITUTE(SUBSTITUTE(SUBSTITUTE($B3302,"-","")," ",""),".",""))</f>
        <v/>
      </c>
      <c r="I3302" s="10" t="str">
        <f aca="false">IF($D3302="","",SUBSTITUTE(SUBSTITUTE(SUBSTITUTE($D3302,"-","")," ",""),".",""))</f>
        <v/>
      </c>
      <c r="J3302" s="10" t="str">
        <f aca="false">IF($E3302="","",UPPER(SUBSTITUTE($E3302," ","")))</f>
        <v/>
      </c>
      <c r="K3302" s="10" t="str">
        <f aca="false">IF($A3302="","",$G3302&amp;"|"&amp;$J3302)</f>
        <v/>
      </c>
      <c r="L3302" s="10" t="str">
        <f aca="false">IF($A3302="","",ROW()-2)</f>
        <v/>
      </c>
      <c r="M3302" s="10" t="str">
        <f aca="false">IF($A3302="","",ROW())</f>
        <v/>
      </c>
    </row>
    <row r="3303" customFormat="false" ht="15" hidden="false" customHeight="true" outlineLevel="0" collapsed="false">
      <c r="A3303" s="8"/>
      <c r="B3303" s="8"/>
      <c r="C3303" s="8"/>
      <c r="D3303" s="8"/>
      <c r="E3303" s="8"/>
      <c r="F3303" s="8"/>
      <c r="G3303" s="10" t="str">
        <f aca="false">IF($A3303="","",UPPER(SUBSTITUTE(SUBSTITUTE(SUBSTITUTE(SUBSTITUTE($A3303," ",""),"(주)",""),"주식회사",""),"㈜","")))</f>
        <v/>
      </c>
      <c r="H3303" s="10" t="str">
        <f aca="false">IF($B3303="","",SUBSTITUTE(SUBSTITUTE(SUBSTITUTE($B3303,"-","")," ",""),".",""))</f>
        <v/>
      </c>
      <c r="I3303" s="10" t="str">
        <f aca="false">IF($D3303="","",SUBSTITUTE(SUBSTITUTE(SUBSTITUTE($D3303,"-","")," ",""),".",""))</f>
        <v/>
      </c>
      <c r="J3303" s="10" t="str">
        <f aca="false">IF($E3303="","",UPPER(SUBSTITUTE($E3303," ","")))</f>
        <v/>
      </c>
      <c r="K3303" s="10" t="str">
        <f aca="false">IF($A3303="","",$G3303&amp;"|"&amp;$J3303)</f>
        <v/>
      </c>
      <c r="L3303" s="10" t="str">
        <f aca="false">IF($A3303="","",ROW()-2)</f>
        <v/>
      </c>
      <c r="M3303" s="10" t="str">
        <f aca="false">IF($A3303="","",ROW())</f>
        <v/>
      </c>
    </row>
    <row r="3304" customFormat="false" ht="15" hidden="false" customHeight="true" outlineLevel="0" collapsed="false">
      <c r="A3304" s="8"/>
      <c r="B3304" s="8"/>
      <c r="C3304" s="8"/>
      <c r="D3304" s="8"/>
      <c r="E3304" s="8"/>
      <c r="F3304" s="8"/>
      <c r="G3304" s="10" t="str">
        <f aca="false">IF($A3304="","",UPPER(SUBSTITUTE(SUBSTITUTE(SUBSTITUTE(SUBSTITUTE($A3304," ",""),"(주)",""),"주식회사",""),"㈜","")))</f>
        <v/>
      </c>
      <c r="H3304" s="10" t="str">
        <f aca="false">IF($B3304="","",SUBSTITUTE(SUBSTITUTE(SUBSTITUTE($B3304,"-","")," ",""),".",""))</f>
        <v/>
      </c>
      <c r="I3304" s="10" t="str">
        <f aca="false">IF($D3304="","",SUBSTITUTE(SUBSTITUTE(SUBSTITUTE($D3304,"-","")," ",""),".",""))</f>
        <v/>
      </c>
      <c r="J3304" s="10" t="str">
        <f aca="false">IF($E3304="","",UPPER(SUBSTITUTE($E3304," ","")))</f>
        <v/>
      </c>
      <c r="K3304" s="10" t="str">
        <f aca="false">IF($A3304="","",$G3304&amp;"|"&amp;$J3304)</f>
        <v/>
      </c>
      <c r="L3304" s="10" t="str">
        <f aca="false">IF($A3304="","",ROW()-2)</f>
        <v/>
      </c>
      <c r="M3304" s="10" t="str">
        <f aca="false">IF($A3304="","",ROW())</f>
        <v/>
      </c>
    </row>
    <row r="3305" customFormat="false" ht="15" hidden="false" customHeight="true" outlineLevel="0" collapsed="false">
      <c r="A3305" s="8"/>
      <c r="B3305" s="8"/>
      <c r="C3305" s="8"/>
      <c r="D3305" s="8"/>
      <c r="E3305" s="8"/>
      <c r="F3305" s="8"/>
      <c r="G3305" s="10" t="str">
        <f aca="false">IF($A3305="","",UPPER(SUBSTITUTE(SUBSTITUTE(SUBSTITUTE(SUBSTITUTE($A3305," ",""),"(주)",""),"주식회사",""),"㈜","")))</f>
        <v/>
      </c>
      <c r="H3305" s="10" t="str">
        <f aca="false">IF($B3305="","",SUBSTITUTE(SUBSTITUTE(SUBSTITUTE($B3305,"-","")," ",""),".",""))</f>
        <v/>
      </c>
      <c r="I3305" s="10" t="str">
        <f aca="false">IF($D3305="","",SUBSTITUTE(SUBSTITUTE(SUBSTITUTE($D3305,"-","")," ",""),".",""))</f>
        <v/>
      </c>
      <c r="J3305" s="10" t="str">
        <f aca="false">IF($E3305="","",UPPER(SUBSTITUTE($E3305," ","")))</f>
        <v/>
      </c>
      <c r="K3305" s="10" t="str">
        <f aca="false">IF($A3305="","",$G3305&amp;"|"&amp;$J3305)</f>
        <v/>
      </c>
      <c r="L3305" s="10" t="str">
        <f aca="false">IF($A3305="","",ROW()-2)</f>
        <v/>
      </c>
      <c r="M3305" s="10" t="str">
        <f aca="false">IF($A3305="","",ROW())</f>
        <v/>
      </c>
    </row>
    <row r="3306" customFormat="false" ht="15" hidden="false" customHeight="true" outlineLevel="0" collapsed="false">
      <c r="A3306" s="8"/>
      <c r="B3306" s="8"/>
      <c r="C3306" s="8"/>
      <c r="D3306" s="8"/>
      <c r="E3306" s="8"/>
      <c r="F3306" s="8"/>
      <c r="G3306" s="10" t="str">
        <f aca="false">IF($A3306="","",UPPER(SUBSTITUTE(SUBSTITUTE(SUBSTITUTE(SUBSTITUTE($A3306," ",""),"(주)",""),"주식회사",""),"㈜","")))</f>
        <v/>
      </c>
      <c r="H3306" s="10" t="str">
        <f aca="false">IF($B3306="","",SUBSTITUTE(SUBSTITUTE(SUBSTITUTE($B3306,"-","")," ",""),".",""))</f>
        <v/>
      </c>
      <c r="I3306" s="10" t="str">
        <f aca="false">IF($D3306="","",SUBSTITUTE(SUBSTITUTE(SUBSTITUTE($D3306,"-","")," ",""),".",""))</f>
        <v/>
      </c>
      <c r="J3306" s="10" t="str">
        <f aca="false">IF($E3306="","",UPPER(SUBSTITUTE($E3306," ","")))</f>
        <v/>
      </c>
      <c r="K3306" s="10" t="str">
        <f aca="false">IF($A3306="","",$G3306&amp;"|"&amp;$J3306)</f>
        <v/>
      </c>
      <c r="L3306" s="10" t="str">
        <f aca="false">IF($A3306="","",ROW()-2)</f>
        <v/>
      </c>
      <c r="M3306" s="10" t="str">
        <f aca="false">IF($A3306="","",ROW())</f>
        <v/>
      </c>
    </row>
    <row r="3307" customFormat="false" ht="15" hidden="false" customHeight="true" outlineLevel="0" collapsed="false">
      <c r="A3307" s="8"/>
      <c r="B3307" s="8"/>
      <c r="C3307" s="8"/>
      <c r="D3307" s="8"/>
      <c r="E3307" s="8"/>
      <c r="F3307" s="8"/>
      <c r="G3307" s="10" t="str">
        <f aca="false">IF($A3307="","",UPPER(SUBSTITUTE(SUBSTITUTE(SUBSTITUTE(SUBSTITUTE($A3307," ",""),"(주)",""),"주식회사",""),"㈜","")))</f>
        <v/>
      </c>
      <c r="H3307" s="10" t="str">
        <f aca="false">IF($B3307="","",SUBSTITUTE(SUBSTITUTE(SUBSTITUTE($B3307,"-","")," ",""),".",""))</f>
        <v/>
      </c>
      <c r="I3307" s="10" t="str">
        <f aca="false">IF($D3307="","",SUBSTITUTE(SUBSTITUTE(SUBSTITUTE($D3307,"-","")," ",""),".",""))</f>
        <v/>
      </c>
      <c r="J3307" s="10" t="str">
        <f aca="false">IF($E3307="","",UPPER(SUBSTITUTE($E3307," ","")))</f>
        <v/>
      </c>
      <c r="K3307" s="10" t="str">
        <f aca="false">IF($A3307="","",$G3307&amp;"|"&amp;$J3307)</f>
        <v/>
      </c>
      <c r="L3307" s="10" t="str">
        <f aca="false">IF($A3307="","",ROW()-2)</f>
        <v/>
      </c>
      <c r="M3307" s="10" t="str">
        <f aca="false">IF($A3307="","",ROW())</f>
        <v/>
      </c>
    </row>
    <row r="3308" customFormat="false" ht="15" hidden="false" customHeight="true" outlineLevel="0" collapsed="false">
      <c r="A3308" s="8"/>
      <c r="B3308" s="8"/>
      <c r="C3308" s="8"/>
      <c r="D3308" s="8"/>
      <c r="E3308" s="8"/>
      <c r="F3308" s="8"/>
      <c r="G3308" s="10" t="str">
        <f aca="false">IF($A3308="","",UPPER(SUBSTITUTE(SUBSTITUTE(SUBSTITUTE(SUBSTITUTE($A3308," ",""),"(주)",""),"주식회사",""),"㈜","")))</f>
        <v/>
      </c>
      <c r="H3308" s="10" t="str">
        <f aca="false">IF($B3308="","",SUBSTITUTE(SUBSTITUTE(SUBSTITUTE($B3308,"-","")," ",""),".",""))</f>
        <v/>
      </c>
      <c r="I3308" s="10" t="str">
        <f aca="false">IF($D3308="","",SUBSTITUTE(SUBSTITUTE(SUBSTITUTE($D3308,"-","")," ",""),".",""))</f>
        <v/>
      </c>
      <c r="J3308" s="10" t="str">
        <f aca="false">IF($E3308="","",UPPER(SUBSTITUTE($E3308," ","")))</f>
        <v/>
      </c>
      <c r="K3308" s="10" t="str">
        <f aca="false">IF($A3308="","",$G3308&amp;"|"&amp;$J3308)</f>
        <v/>
      </c>
      <c r="L3308" s="10" t="str">
        <f aca="false">IF($A3308="","",ROW()-2)</f>
        <v/>
      </c>
      <c r="M3308" s="10" t="str">
        <f aca="false">IF($A3308="","",ROW())</f>
        <v/>
      </c>
    </row>
    <row r="3309" customFormat="false" ht="15" hidden="false" customHeight="true" outlineLevel="0" collapsed="false">
      <c r="A3309" s="8"/>
      <c r="B3309" s="8"/>
      <c r="C3309" s="8"/>
      <c r="D3309" s="8"/>
      <c r="E3309" s="8"/>
      <c r="F3309" s="8"/>
      <c r="G3309" s="10" t="str">
        <f aca="false">IF($A3309="","",UPPER(SUBSTITUTE(SUBSTITUTE(SUBSTITUTE(SUBSTITUTE($A3309," ",""),"(주)",""),"주식회사",""),"㈜","")))</f>
        <v/>
      </c>
      <c r="H3309" s="10" t="str">
        <f aca="false">IF($B3309="","",SUBSTITUTE(SUBSTITUTE(SUBSTITUTE($B3309,"-","")," ",""),".",""))</f>
        <v/>
      </c>
      <c r="I3309" s="10" t="str">
        <f aca="false">IF($D3309="","",SUBSTITUTE(SUBSTITUTE(SUBSTITUTE($D3309,"-","")," ",""),".",""))</f>
        <v/>
      </c>
      <c r="J3309" s="10" t="str">
        <f aca="false">IF($E3309="","",UPPER(SUBSTITUTE($E3309," ","")))</f>
        <v/>
      </c>
      <c r="K3309" s="10" t="str">
        <f aca="false">IF($A3309="","",$G3309&amp;"|"&amp;$J3309)</f>
        <v/>
      </c>
      <c r="L3309" s="10" t="str">
        <f aca="false">IF($A3309="","",ROW()-2)</f>
        <v/>
      </c>
      <c r="M3309" s="10" t="str">
        <f aca="false">IF($A3309="","",ROW())</f>
        <v/>
      </c>
    </row>
    <row r="3310" customFormat="false" ht="15" hidden="false" customHeight="true" outlineLevel="0" collapsed="false">
      <c r="A3310" s="8"/>
      <c r="B3310" s="8"/>
      <c r="C3310" s="8"/>
      <c r="D3310" s="8"/>
      <c r="E3310" s="8"/>
      <c r="F3310" s="8"/>
      <c r="G3310" s="10" t="str">
        <f aca="false">IF($A3310="","",UPPER(SUBSTITUTE(SUBSTITUTE(SUBSTITUTE(SUBSTITUTE($A3310," ",""),"(주)",""),"주식회사",""),"㈜","")))</f>
        <v/>
      </c>
      <c r="H3310" s="10" t="str">
        <f aca="false">IF($B3310="","",SUBSTITUTE(SUBSTITUTE(SUBSTITUTE($B3310,"-","")," ",""),".",""))</f>
        <v/>
      </c>
      <c r="I3310" s="10" t="str">
        <f aca="false">IF($D3310="","",SUBSTITUTE(SUBSTITUTE(SUBSTITUTE($D3310,"-","")," ",""),".",""))</f>
        <v/>
      </c>
      <c r="J3310" s="10" t="str">
        <f aca="false">IF($E3310="","",UPPER(SUBSTITUTE($E3310," ","")))</f>
        <v/>
      </c>
      <c r="K3310" s="10" t="str">
        <f aca="false">IF($A3310="","",$G3310&amp;"|"&amp;$J3310)</f>
        <v/>
      </c>
      <c r="L3310" s="10" t="str">
        <f aca="false">IF($A3310="","",ROW()-2)</f>
        <v/>
      </c>
      <c r="M3310" s="10" t="str">
        <f aca="false">IF($A3310="","",ROW())</f>
        <v/>
      </c>
    </row>
    <row r="3311" customFormat="false" ht="15" hidden="false" customHeight="true" outlineLevel="0" collapsed="false">
      <c r="A3311" s="8"/>
      <c r="B3311" s="8"/>
      <c r="C3311" s="8"/>
      <c r="D3311" s="8"/>
      <c r="E3311" s="8"/>
      <c r="F3311" s="8"/>
      <c r="G3311" s="10" t="str">
        <f aca="false">IF($A3311="","",UPPER(SUBSTITUTE(SUBSTITUTE(SUBSTITUTE(SUBSTITUTE($A3311," ",""),"(주)",""),"주식회사",""),"㈜","")))</f>
        <v/>
      </c>
      <c r="H3311" s="10" t="str">
        <f aca="false">IF($B3311="","",SUBSTITUTE(SUBSTITUTE(SUBSTITUTE($B3311,"-","")," ",""),".",""))</f>
        <v/>
      </c>
      <c r="I3311" s="10" t="str">
        <f aca="false">IF($D3311="","",SUBSTITUTE(SUBSTITUTE(SUBSTITUTE($D3311,"-","")," ",""),".",""))</f>
        <v/>
      </c>
      <c r="J3311" s="10" t="str">
        <f aca="false">IF($E3311="","",UPPER(SUBSTITUTE($E3311," ","")))</f>
        <v/>
      </c>
      <c r="K3311" s="10" t="str">
        <f aca="false">IF($A3311="","",$G3311&amp;"|"&amp;$J3311)</f>
        <v/>
      </c>
      <c r="L3311" s="10" t="str">
        <f aca="false">IF($A3311="","",ROW()-2)</f>
        <v/>
      </c>
      <c r="M3311" s="10" t="str">
        <f aca="false">IF($A3311="","",ROW())</f>
        <v/>
      </c>
    </row>
    <row r="3312" customFormat="false" ht="15" hidden="false" customHeight="true" outlineLevel="0" collapsed="false">
      <c r="A3312" s="8"/>
      <c r="B3312" s="8"/>
      <c r="C3312" s="8"/>
      <c r="D3312" s="8"/>
      <c r="E3312" s="8"/>
      <c r="F3312" s="8"/>
      <c r="G3312" s="10" t="str">
        <f aca="false">IF($A3312="","",UPPER(SUBSTITUTE(SUBSTITUTE(SUBSTITUTE(SUBSTITUTE($A3312," ",""),"(주)",""),"주식회사",""),"㈜","")))</f>
        <v/>
      </c>
      <c r="H3312" s="10" t="str">
        <f aca="false">IF($B3312="","",SUBSTITUTE(SUBSTITUTE(SUBSTITUTE($B3312,"-","")," ",""),".",""))</f>
        <v/>
      </c>
      <c r="I3312" s="10" t="str">
        <f aca="false">IF($D3312="","",SUBSTITUTE(SUBSTITUTE(SUBSTITUTE($D3312,"-","")," ",""),".",""))</f>
        <v/>
      </c>
      <c r="J3312" s="10" t="str">
        <f aca="false">IF($E3312="","",UPPER(SUBSTITUTE($E3312," ","")))</f>
        <v/>
      </c>
      <c r="K3312" s="10" t="str">
        <f aca="false">IF($A3312="","",$G3312&amp;"|"&amp;$J3312)</f>
        <v/>
      </c>
      <c r="L3312" s="10" t="str">
        <f aca="false">IF($A3312="","",ROW()-2)</f>
        <v/>
      </c>
      <c r="M3312" s="10" t="str">
        <f aca="false">IF($A3312="","",ROW())</f>
        <v/>
      </c>
    </row>
    <row r="3313" customFormat="false" ht="15" hidden="false" customHeight="true" outlineLevel="0" collapsed="false">
      <c r="A3313" s="8"/>
      <c r="B3313" s="8"/>
      <c r="C3313" s="8"/>
      <c r="D3313" s="8"/>
      <c r="E3313" s="8"/>
      <c r="F3313" s="8"/>
      <c r="G3313" s="10" t="str">
        <f aca="false">IF($A3313="","",UPPER(SUBSTITUTE(SUBSTITUTE(SUBSTITUTE(SUBSTITUTE($A3313," ",""),"(주)",""),"주식회사",""),"㈜","")))</f>
        <v/>
      </c>
      <c r="H3313" s="10" t="str">
        <f aca="false">IF($B3313="","",SUBSTITUTE(SUBSTITUTE(SUBSTITUTE($B3313,"-","")," ",""),".",""))</f>
        <v/>
      </c>
      <c r="I3313" s="10" t="str">
        <f aca="false">IF($D3313="","",SUBSTITUTE(SUBSTITUTE(SUBSTITUTE($D3313,"-","")," ",""),".",""))</f>
        <v/>
      </c>
      <c r="J3313" s="10" t="str">
        <f aca="false">IF($E3313="","",UPPER(SUBSTITUTE($E3313," ","")))</f>
        <v/>
      </c>
      <c r="K3313" s="10" t="str">
        <f aca="false">IF($A3313="","",$G3313&amp;"|"&amp;$J3313)</f>
        <v/>
      </c>
      <c r="L3313" s="10" t="str">
        <f aca="false">IF($A3313="","",ROW()-2)</f>
        <v/>
      </c>
      <c r="M3313" s="10" t="str">
        <f aca="false">IF($A3313="","",ROW())</f>
        <v/>
      </c>
    </row>
    <row r="3314" customFormat="false" ht="15" hidden="false" customHeight="true" outlineLevel="0" collapsed="false">
      <c r="A3314" s="8"/>
      <c r="B3314" s="8"/>
      <c r="C3314" s="8"/>
      <c r="D3314" s="8"/>
      <c r="E3314" s="8"/>
      <c r="F3314" s="8"/>
      <c r="G3314" s="10" t="str">
        <f aca="false">IF($A3314="","",UPPER(SUBSTITUTE(SUBSTITUTE(SUBSTITUTE(SUBSTITUTE($A3314," ",""),"(주)",""),"주식회사",""),"㈜","")))</f>
        <v/>
      </c>
      <c r="H3314" s="10" t="str">
        <f aca="false">IF($B3314="","",SUBSTITUTE(SUBSTITUTE(SUBSTITUTE($B3314,"-","")," ",""),".",""))</f>
        <v/>
      </c>
      <c r="I3314" s="10" t="str">
        <f aca="false">IF($D3314="","",SUBSTITUTE(SUBSTITUTE(SUBSTITUTE($D3314,"-","")," ",""),".",""))</f>
        <v/>
      </c>
      <c r="J3314" s="10" t="str">
        <f aca="false">IF($E3314="","",UPPER(SUBSTITUTE($E3314," ","")))</f>
        <v/>
      </c>
      <c r="K3314" s="10" t="str">
        <f aca="false">IF($A3314="","",$G3314&amp;"|"&amp;$J3314)</f>
        <v/>
      </c>
      <c r="L3314" s="10" t="str">
        <f aca="false">IF($A3314="","",ROW()-2)</f>
        <v/>
      </c>
      <c r="M3314" s="10" t="str">
        <f aca="false">IF($A3314="","",ROW())</f>
        <v/>
      </c>
    </row>
    <row r="3315" customFormat="false" ht="15" hidden="false" customHeight="true" outlineLevel="0" collapsed="false">
      <c r="A3315" s="8"/>
      <c r="B3315" s="8"/>
      <c r="C3315" s="8"/>
      <c r="D3315" s="8"/>
      <c r="E3315" s="8"/>
      <c r="F3315" s="8"/>
      <c r="G3315" s="10" t="str">
        <f aca="false">IF($A3315="","",UPPER(SUBSTITUTE(SUBSTITUTE(SUBSTITUTE(SUBSTITUTE($A3315," ",""),"(주)",""),"주식회사",""),"㈜","")))</f>
        <v/>
      </c>
      <c r="H3315" s="10" t="str">
        <f aca="false">IF($B3315="","",SUBSTITUTE(SUBSTITUTE(SUBSTITUTE($B3315,"-","")," ",""),".",""))</f>
        <v/>
      </c>
      <c r="I3315" s="10" t="str">
        <f aca="false">IF($D3315="","",SUBSTITUTE(SUBSTITUTE(SUBSTITUTE($D3315,"-","")," ",""),".",""))</f>
        <v/>
      </c>
      <c r="J3315" s="10" t="str">
        <f aca="false">IF($E3315="","",UPPER(SUBSTITUTE($E3315," ","")))</f>
        <v/>
      </c>
      <c r="K3315" s="10" t="str">
        <f aca="false">IF($A3315="","",$G3315&amp;"|"&amp;$J3315)</f>
        <v/>
      </c>
      <c r="L3315" s="10" t="str">
        <f aca="false">IF($A3315="","",ROW()-2)</f>
        <v/>
      </c>
      <c r="M3315" s="10" t="str">
        <f aca="false">IF($A3315="","",ROW())</f>
        <v/>
      </c>
    </row>
    <row r="3316" customFormat="false" ht="15" hidden="false" customHeight="true" outlineLevel="0" collapsed="false">
      <c r="A3316" s="8"/>
      <c r="B3316" s="8"/>
      <c r="C3316" s="8"/>
      <c r="D3316" s="8"/>
      <c r="E3316" s="8"/>
      <c r="F3316" s="8"/>
      <c r="G3316" s="10" t="str">
        <f aca="false">IF($A3316="","",UPPER(SUBSTITUTE(SUBSTITUTE(SUBSTITUTE(SUBSTITUTE($A3316," ",""),"(주)",""),"주식회사",""),"㈜","")))</f>
        <v/>
      </c>
      <c r="H3316" s="10" t="str">
        <f aca="false">IF($B3316="","",SUBSTITUTE(SUBSTITUTE(SUBSTITUTE($B3316,"-","")," ",""),".",""))</f>
        <v/>
      </c>
      <c r="I3316" s="10" t="str">
        <f aca="false">IF($D3316="","",SUBSTITUTE(SUBSTITUTE(SUBSTITUTE($D3316,"-","")," ",""),".",""))</f>
        <v/>
      </c>
      <c r="J3316" s="10" t="str">
        <f aca="false">IF($E3316="","",UPPER(SUBSTITUTE($E3316," ","")))</f>
        <v/>
      </c>
      <c r="K3316" s="10" t="str">
        <f aca="false">IF($A3316="","",$G3316&amp;"|"&amp;$J3316)</f>
        <v/>
      </c>
      <c r="L3316" s="10" t="str">
        <f aca="false">IF($A3316="","",ROW()-2)</f>
        <v/>
      </c>
      <c r="M3316" s="10" t="str">
        <f aca="false">IF($A3316="","",ROW())</f>
        <v/>
      </c>
    </row>
    <row r="3317" customFormat="false" ht="15" hidden="false" customHeight="true" outlineLevel="0" collapsed="false">
      <c r="A3317" s="8"/>
      <c r="B3317" s="8"/>
      <c r="C3317" s="8"/>
      <c r="D3317" s="8"/>
      <c r="E3317" s="8"/>
      <c r="F3317" s="8"/>
      <c r="G3317" s="10" t="str">
        <f aca="false">IF($A3317="","",UPPER(SUBSTITUTE(SUBSTITUTE(SUBSTITUTE(SUBSTITUTE($A3317," ",""),"(주)",""),"주식회사",""),"㈜","")))</f>
        <v/>
      </c>
      <c r="H3317" s="10" t="str">
        <f aca="false">IF($B3317="","",SUBSTITUTE(SUBSTITUTE(SUBSTITUTE($B3317,"-","")," ",""),".",""))</f>
        <v/>
      </c>
      <c r="I3317" s="10" t="str">
        <f aca="false">IF($D3317="","",SUBSTITUTE(SUBSTITUTE(SUBSTITUTE($D3317,"-","")," ",""),".",""))</f>
        <v/>
      </c>
      <c r="J3317" s="10" t="str">
        <f aca="false">IF($E3317="","",UPPER(SUBSTITUTE($E3317," ","")))</f>
        <v/>
      </c>
      <c r="K3317" s="10" t="str">
        <f aca="false">IF($A3317="","",$G3317&amp;"|"&amp;$J3317)</f>
        <v/>
      </c>
      <c r="L3317" s="10" t="str">
        <f aca="false">IF($A3317="","",ROW()-2)</f>
        <v/>
      </c>
      <c r="M3317" s="10" t="str">
        <f aca="false">IF($A3317="","",ROW())</f>
        <v/>
      </c>
    </row>
    <row r="3318" customFormat="false" ht="15" hidden="false" customHeight="true" outlineLevel="0" collapsed="false">
      <c r="A3318" s="8"/>
      <c r="B3318" s="8"/>
      <c r="C3318" s="8"/>
      <c r="D3318" s="8"/>
      <c r="E3318" s="8"/>
      <c r="F3318" s="8"/>
      <c r="G3318" s="10" t="str">
        <f aca="false">IF($A3318="","",UPPER(SUBSTITUTE(SUBSTITUTE(SUBSTITUTE(SUBSTITUTE($A3318," ",""),"(주)",""),"주식회사",""),"㈜","")))</f>
        <v/>
      </c>
      <c r="H3318" s="10" t="str">
        <f aca="false">IF($B3318="","",SUBSTITUTE(SUBSTITUTE(SUBSTITUTE($B3318,"-","")," ",""),".",""))</f>
        <v/>
      </c>
      <c r="I3318" s="10" t="str">
        <f aca="false">IF($D3318="","",SUBSTITUTE(SUBSTITUTE(SUBSTITUTE($D3318,"-","")," ",""),".",""))</f>
        <v/>
      </c>
      <c r="J3318" s="10" t="str">
        <f aca="false">IF($E3318="","",UPPER(SUBSTITUTE($E3318," ","")))</f>
        <v/>
      </c>
      <c r="K3318" s="10" t="str">
        <f aca="false">IF($A3318="","",$G3318&amp;"|"&amp;$J3318)</f>
        <v/>
      </c>
      <c r="L3318" s="10" t="str">
        <f aca="false">IF($A3318="","",ROW()-2)</f>
        <v/>
      </c>
      <c r="M3318" s="10" t="str">
        <f aca="false">IF($A3318="","",ROW())</f>
        <v/>
      </c>
    </row>
    <row r="3319" customFormat="false" ht="15" hidden="false" customHeight="true" outlineLevel="0" collapsed="false">
      <c r="A3319" s="8"/>
      <c r="B3319" s="8"/>
      <c r="C3319" s="8"/>
      <c r="D3319" s="8"/>
      <c r="E3319" s="8"/>
      <c r="F3319" s="8"/>
      <c r="G3319" s="10" t="str">
        <f aca="false">IF($A3319="","",UPPER(SUBSTITUTE(SUBSTITUTE(SUBSTITUTE(SUBSTITUTE($A3319," ",""),"(주)",""),"주식회사",""),"㈜","")))</f>
        <v/>
      </c>
      <c r="H3319" s="10" t="str">
        <f aca="false">IF($B3319="","",SUBSTITUTE(SUBSTITUTE(SUBSTITUTE($B3319,"-","")," ",""),".",""))</f>
        <v/>
      </c>
      <c r="I3319" s="10" t="str">
        <f aca="false">IF($D3319="","",SUBSTITUTE(SUBSTITUTE(SUBSTITUTE($D3319,"-","")," ",""),".",""))</f>
        <v/>
      </c>
      <c r="J3319" s="10" t="str">
        <f aca="false">IF($E3319="","",UPPER(SUBSTITUTE($E3319," ","")))</f>
        <v/>
      </c>
      <c r="K3319" s="10" t="str">
        <f aca="false">IF($A3319="","",$G3319&amp;"|"&amp;$J3319)</f>
        <v/>
      </c>
      <c r="L3319" s="10" t="str">
        <f aca="false">IF($A3319="","",ROW()-2)</f>
        <v/>
      </c>
      <c r="M3319" s="10" t="str">
        <f aca="false">IF($A3319="","",ROW())</f>
        <v/>
      </c>
    </row>
    <row r="3320" customFormat="false" ht="15" hidden="false" customHeight="true" outlineLevel="0" collapsed="false">
      <c r="A3320" s="8"/>
      <c r="B3320" s="8"/>
      <c r="C3320" s="8"/>
      <c r="D3320" s="8"/>
      <c r="E3320" s="8"/>
      <c r="F3320" s="8"/>
      <c r="G3320" s="10" t="str">
        <f aca="false">IF($A3320="","",UPPER(SUBSTITUTE(SUBSTITUTE(SUBSTITUTE(SUBSTITUTE($A3320," ",""),"(주)",""),"주식회사",""),"㈜","")))</f>
        <v/>
      </c>
      <c r="H3320" s="10" t="str">
        <f aca="false">IF($B3320="","",SUBSTITUTE(SUBSTITUTE(SUBSTITUTE($B3320,"-","")," ",""),".",""))</f>
        <v/>
      </c>
      <c r="I3320" s="10" t="str">
        <f aca="false">IF($D3320="","",SUBSTITUTE(SUBSTITUTE(SUBSTITUTE($D3320,"-","")," ",""),".",""))</f>
        <v/>
      </c>
      <c r="J3320" s="10" t="str">
        <f aca="false">IF($E3320="","",UPPER(SUBSTITUTE($E3320," ","")))</f>
        <v/>
      </c>
      <c r="K3320" s="10" t="str">
        <f aca="false">IF($A3320="","",$G3320&amp;"|"&amp;$J3320)</f>
        <v/>
      </c>
      <c r="L3320" s="10" t="str">
        <f aca="false">IF($A3320="","",ROW()-2)</f>
        <v/>
      </c>
      <c r="M3320" s="10" t="str">
        <f aca="false">IF($A3320="","",ROW())</f>
        <v/>
      </c>
    </row>
    <row r="3321" customFormat="false" ht="15" hidden="false" customHeight="true" outlineLevel="0" collapsed="false">
      <c r="A3321" s="8"/>
      <c r="B3321" s="8"/>
      <c r="C3321" s="8"/>
      <c r="D3321" s="8"/>
      <c r="E3321" s="8"/>
      <c r="F3321" s="8"/>
      <c r="G3321" s="10" t="str">
        <f aca="false">IF($A3321="","",UPPER(SUBSTITUTE(SUBSTITUTE(SUBSTITUTE(SUBSTITUTE($A3321," ",""),"(주)",""),"주식회사",""),"㈜","")))</f>
        <v/>
      </c>
      <c r="H3321" s="10" t="str">
        <f aca="false">IF($B3321="","",SUBSTITUTE(SUBSTITUTE(SUBSTITUTE($B3321,"-","")," ",""),".",""))</f>
        <v/>
      </c>
      <c r="I3321" s="10" t="str">
        <f aca="false">IF($D3321="","",SUBSTITUTE(SUBSTITUTE(SUBSTITUTE($D3321,"-","")," ",""),".",""))</f>
        <v/>
      </c>
      <c r="J3321" s="10" t="str">
        <f aca="false">IF($E3321="","",UPPER(SUBSTITUTE($E3321," ","")))</f>
        <v/>
      </c>
      <c r="K3321" s="10" t="str">
        <f aca="false">IF($A3321="","",$G3321&amp;"|"&amp;$J3321)</f>
        <v/>
      </c>
      <c r="L3321" s="10" t="str">
        <f aca="false">IF($A3321="","",ROW()-2)</f>
        <v/>
      </c>
      <c r="M3321" s="10" t="str">
        <f aca="false">IF($A3321="","",ROW())</f>
        <v/>
      </c>
    </row>
    <row r="3322" customFormat="false" ht="15" hidden="false" customHeight="true" outlineLevel="0" collapsed="false">
      <c r="A3322" s="8"/>
      <c r="B3322" s="8"/>
      <c r="C3322" s="8"/>
      <c r="D3322" s="8"/>
      <c r="E3322" s="8"/>
      <c r="F3322" s="8"/>
      <c r="G3322" s="10" t="str">
        <f aca="false">IF($A3322="","",UPPER(SUBSTITUTE(SUBSTITUTE(SUBSTITUTE(SUBSTITUTE($A3322," ",""),"(주)",""),"주식회사",""),"㈜","")))</f>
        <v/>
      </c>
      <c r="H3322" s="10" t="str">
        <f aca="false">IF($B3322="","",SUBSTITUTE(SUBSTITUTE(SUBSTITUTE($B3322,"-","")," ",""),".",""))</f>
        <v/>
      </c>
      <c r="I3322" s="10" t="str">
        <f aca="false">IF($D3322="","",SUBSTITUTE(SUBSTITUTE(SUBSTITUTE($D3322,"-","")," ",""),".",""))</f>
        <v/>
      </c>
      <c r="J3322" s="10" t="str">
        <f aca="false">IF($E3322="","",UPPER(SUBSTITUTE($E3322," ","")))</f>
        <v/>
      </c>
      <c r="K3322" s="10" t="str">
        <f aca="false">IF($A3322="","",$G3322&amp;"|"&amp;$J3322)</f>
        <v/>
      </c>
      <c r="L3322" s="10" t="str">
        <f aca="false">IF($A3322="","",ROW()-2)</f>
        <v/>
      </c>
      <c r="M3322" s="10" t="str">
        <f aca="false">IF($A3322="","",ROW())</f>
        <v/>
      </c>
    </row>
    <row r="3323" customFormat="false" ht="15" hidden="false" customHeight="true" outlineLevel="0" collapsed="false">
      <c r="A3323" s="8"/>
      <c r="B3323" s="8"/>
      <c r="C3323" s="8"/>
      <c r="D3323" s="8"/>
      <c r="E3323" s="8"/>
      <c r="F3323" s="8"/>
      <c r="G3323" s="10" t="str">
        <f aca="false">IF($A3323="","",UPPER(SUBSTITUTE(SUBSTITUTE(SUBSTITUTE(SUBSTITUTE($A3323," ",""),"(주)",""),"주식회사",""),"㈜","")))</f>
        <v/>
      </c>
      <c r="H3323" s="10" t="str">
        <f aca="false">IF($B3323="","",SUBSTITUTE(SUBSTITUTE(SUBSTITUTE($B3323,"-","")," ",""),".",""))</f>
        <v/>
      </c>
      <c r="I3323" s="10" t="str">
        <f aca="false">IF($D3323="","",SUBSTITUTE(SUBSTITUTE(SUBSTITUTE($D3323,"-","")," ",""),".",""))</f>
        <v/>
      </c>
      <c r="J3323" s="10" t="str">
        <f aca="false">IF($E3323="","",UPPER(SUBSTITUTE($E3323," ","")))</f>
        <v/>
      </c>
      <c r="K3323" s="10" t="str">
        <f aca="false">IF($A3323="","",$G3323&amp;"|"&amp;$J3323)</f>
        <v/>
      </c>
      <c r="L3323" s="10" t="str">
        <f aca="false">IF($A3323="","",ROW()-2)</f>
        <v/>
      </c>
      <c r="M3323" s="10" t="str">
        <f aca="false">IF($A3323="","",ROW())</f>
        <v/>
      </c>
    </row>
    <row r="3324" customFormat="false" ht="15" hidden="false" customHeight="true" outlineLevel="0" collapsed="false">
      <c r="A3324" s="8"/>
      <c r="B3324" s="8"/>
      <c r="C3324" s="8"/>
      <c r="D3324" s="8"/>
      <c r="E3324" s="8"/>
      <c r="F3324" s="8"/>
      <c r="G3324" s="10" t="str">
        <f aca="false">IF($A3324="","",UPPER(SUBSTITUTE(SUBSTITUTE(SUBSTITUTE(SUBSTITUTE($A3324," ",""),"(주)",""),"주식회사",""),"㈜","")))</f>
        <v/>
      </c>
      <c r="H3324" s="10" t="str">
        <f aca="false">IF($B3324="","",SUBSTITUTE(SUBSTITUTE(SUBSTITUTE($B3324,"-","")," ",""),".",""))</f>
        <v/>
      </c>
      <c r="I3324" s="10" t="str">
        <f aca="false">IF($D3324="","",SUBSTITUTE(SUBSTITUTE(SUBSTITUTE($D3324,"-","")," ",""),".",""))</f>
        <v/>
      </c>
      <c r="J3324" s="10" t="str">
        <f aca="false">IF($E3324="","",UPPER(SUBSTITUTE($E3324," ","")))</f>
        <v/>
      </c>
      <c r="K3324" s="10" t="str">
        <f aca="false">IF($A3324="","",$G3324&amp;"|"&amp;$J3324)</f>
        <v/>
      </c>
      <c r="L3324" s="10" t="str">
        <f aca="false">IF($A3324="","",ROW()-2)</f>
        <v/>
      </c>
      <c r="M3324" s="10" t="str">
        <f aca="false">IF($A3324="","",ROW())</f>
        <v/>
      </c>
    </row>
    <row r="3325" customFormat="false" ht="15" hidden="false" customHeight="true" outlineLevel="0" collapsed="false">
      <c r="A3325" s="8"/>
      <c r="B3325" s="8"/>
      <c r="C3325" s="8"/>
      <c r="D3325" s="8"/>
      <c r="E3325" s="8"/>
      <c r="F3325" s="8"/>
      <c r="G3325" s="10" t="str">
        <f aca="false">IF($A3325="","",UPPER(SUBSTITUTE(SUBSTITUTE(SUBSTITUTE(SUBSTITUTE($A3325," ",""),"(주)",""),"주식회사",""),"㈜","")))</f>
        <v/>
      </c>
      <c r="H3325" s="10" t="str">
        <f aca="false">IF($B3325="","",SUBSTITUTE(SUBSTITUTE(SUBSTITUTE($B3325,"-","")," ",""),".",""))</f>
        <v/>
      </c>
      <c r="I3325" s="10" t="str">
        <f aca="false">IF($D3325="","",SUBSTITUTE(SUBSTITUTE(SUBSTITUTE($D3325,"-","")," ",""),".",""))</f>
        <v/>
      </c>
      <c r="J3325" s="10" t="str">
        <f aca="false">IF($E3325="","",UPPER(SUBSTITUTE($E3325," ","")))</f>
        <v/>
      </c>
      <c r="K3325" s="10" t="str">
        <f aca="false">IF($A3325="","",$G3325&amp;"|"&amp;$J3325)</f>
        <v/>
      </c>
      <c r="L3325" s="10" t="str">
        <f aca="false">IF($A3325="","",ROW()-2)</f>
        <v/>
      </c>
      <c r="M3325" s="10" t="str">
        <f aca="false">IF($A3325="","",ROW())</f>
        <v/>
      </c>
    </row>
    <row r="3326" customFormat="false" ht="15" hidden="false" customHeight="true" outlineLevel="0" collapsed="false">
      <c r="A3326" s="8"/>
      <c r="B3326" s="8"/>
      <c r="C3326" s="8"/>
      <c r="D3326" s="8"/>
      <c r="E3326" s="8"/>
      <c r="F3326" s="8"/>
      <c r="G3326" s="10" t="str">
        <f aca="false">IF($A3326="","",UPPER(SUBSTITUTE(SUBSTITUTE(SUBSTITUTE(SUBSTITUTE($A3326," ",""),"(주)",""),"주식회사",""),"㈜","")))</f>
        <v/>
      </c>
      <c r="H3326" s="10" t="str">
        <f aca="false">IF($B3326="","",SUBSTITUTE(SUBSTITUTE(SUBSTITUTE($B3326,"-","")," ",""),".",""))</f>
        <v/>
      </c>
      <c r="I3326" s="10" t="str">
        <f aca="false">IF($D3326="","",SUBSTITUTE(SUBSTITUTE(SUBSTITUTE($D3326,"-","")," ",""),".",""))</f>
        <v/>
      </c>
      <c r="J3326" s="10" t="str">
        <f aca="false">IF($E3326="","",UPPER(SUBSTITUTE($E3326," ","")))</f>
        <v/>
      </c>
      <c r="K3326" s="10" t="str">
        <f aca="false">IF($A3326="","",$G3326&amp;"|"&amp;$J3326)</f>
        <v/>
      </c>
      <c r="L3326" s="10" t="str">
        <f aca="false">IF($A3326="","",ROW()-2)</f>
        <v/>
      </c>
      <c r="M3326" s="10" t="str">
        <f aca="false">IF($A3326="","",ROW())</f>
        <v/>
      </c>
    </row>
    <row r="3327" customFormat="false" ht="15" hidden="false" customHeight="true" outlineLevel="0" collapsed="false">
      <c r="A3327" s="8"/>
      <c r="B3327" s="8"/>
      <c r="C3327" s="8"/>
      <c r="D3327" s="8"/>
      <c r="E3327" s="8"/>
      <c r="F3327" s="8"/>
      <c r="G3327" s="10" t="str">
        <f aca="false">IF($A3327="","",UPPER(SUBSTITUTE(SUBSTITUTE(SUBSTITUTE(SUBSTITUTE($A3327," ",""),"(주)",""),"주식회사",""),"㈜","")))</f>
        <v/>
      </c>
      <c r="H3327" s="10" t="str">
        <f aca="false">IF($B3327="","",SUBSTITUTE(SUBSTITUTE(SUBSTITUTE($B3327,"-","")," ",""),".",""))</f>
        <v/>
      </c>
      <c r="I3327" s="10" t="str">
        <f aca="false">IF($D3327="","",SUBSTITUTE(SUBSTITUTE(SUBSTITUTE($D3327,"-","")," ",""),".",""))</f>
        <v/>
      </c>
      <c r="J3327" s="10" t="str">
        <f aca="false">IF($E3327="","",UPPER(SUBSTITUTE($E3327," ","")))</f>
        <v/>
      </c>
      <c r="K3327" s="10" t="str">
        <f aca="false">IF($A3327="","",$G3327&amp;"|"&amp;$J3327)</f>
        <v/>
      </c>
      <c r="L3327" s="10" t="str">
        <f aca="false">IF($A3327="","",ROW()-2)</f>
        <v/>
      </c>
      <c r="M3327" s="10" t="str">
        <f aca="false">IF($A3327="","",ROW())</f>
        <v/>
      </c>
    </row>
    <row r="3328" customFormat="false" ht="15" hidden="false" customHeight="true" outlineLevel="0" collapsed="false">
      <c r="A3328" s="8"/>
      <c r="B3328" s="8"/>
      <c r="C3328" s="8"/>
      <c r="D3328" s="8"/>
      <c r="E3328" s="8"/>
      <c r="F3328" s="8"/>
      <c r="G3328" s="10" t="str">
        <f aca="false">IF($A3328="","",UPPER(SUBSTITUTE(SUBSTITUTE(SUBSTITUTE(SUBSTITUTE($A3328," ",""),"(주)",""),"주식회사",""),"㈜","")))</f>
        <v/>
      </c>
      <c r="H3328" s="10" t="str">
        <f aca="false">IF($B3328="","",SUBSTITUTE(SUBSTITUTE(SUBSTITUTE($B3328,"-","")," ",""),".",""))</f>
        <v/>
      </c>
      <c r="I3328" s="10" t="str">
        <f aca="false">IF($D3328="","",SUBSTITUTE(SUBSTITUTE(SUBSTITUTE($D3328,"-","")," ",""),".",""))</f>
        <v/>
      </c>
      <c r="J3328" s="10" t="str">
        <f aca="false">IF($E3328="","",UPPER(SUBSTITUTE($E3328," ","")))</f>
        <v/>
      </c>
      <c r="K3328" s="10" t="str">
        <f aca="false">IF($A3328="","",$G3328&amp;"|"&amp;$J3328)</f>
        <v/>
      </c>
      <c r="L3328" s="10" t="str">
        <f aca="false">IF($A3328="","",ROW()-2)</f>
        <v/>
      </c>
      <c r="M3328" s="10" t="str">
        <f aca="false">IF($A3328="","",ROW())</f>
        <v/>
      </c>
    </row>
    <row r="3329" customFormat="false" ht="15" hidden="false" customHeight="true" outlineLevel="0" collapsed="false">
      <c r="A3329" s="8"/>
      <c r="B3329" s="8"/>
      <c r="C3329" s="8"/>
      <c r="D3329" s="8"/>
      <c r="E3329" s="8"/>
      <c r="F3329" s="8"/>
      <c r="G3329" s="10" t="str">
        <f aca="false">IF($A3329="","",UPPER(SUBSTITUTE(SUBSTITUTE(SUBSTITUTE(SUBSTITUTE($A3329," ",""),"(주)",""),"주식회사",""),"㈜","")))</f>
        <v/>
      </c>
      <c r="H3329" s="10" t="str">
        <f aca="false">IF($B3329="","",SUBSTITUTE(SUBSTITUTE(SUBSTITUTE($B3329,"-","")," ",""),".",""))</f>
        <v/>
      </c>
      <c r="I3329" s="10" t="str">
        <f aca="false">IF($D3329="","",SUBSTITUTE(SUBSTITUTE(SUBSTITUTE($D3329,"-","")," ",""),".",""))</f>
        <v/>
      </c>
      <c r="J3329" s="10" t="str">
        <f aca="false">IF($E3329="","",UPPER(SUBSTITUTE($E3329," ","")))</f>
        <v/>
      </c>
      <c r="K3329" s="10" t="str">
        <f aca="false">IF($A3329="","",$G3329&amp;"|"&amp;$J3329)</f>
        <v/>
      </c>
      <c r="L3329" s="10" t="str">
        <f aca="false">IF($A3329="","",ROW()-2)</f>
        <v/>
      </c>
      <c r="M3329" s="10" t="str">
        <f aca="false">IF($A3329="","",ROW())</f>
        <v/>
      </c>
    </row>
    <row r="3330" customFormat="false" ht="15" hidden="false" customHeight="true" outlineLevel="0" collapsed="false">
      <c r="A3330" s="8"/>
      <c r="B3330" s="8"/>
      <c r="C3330" s="8"/>
      <c r="D3330" s="8"/>
      <c r="E3330" s="8"/>
      <c r="F3330" s="8"/>
      <c r="G3330" s="10" t="str">
        <f aca="false">IF($A3330="","",UPPER(SUBSTITUTE(SUBSTITUTE(SUBSTITUTE(SUBSTITUTE($A3330," ",""),"(주)",""),"주식회사",""),"㈜","")))</f>
        <v/>
      </c>
      <c r="H3330" s="10" t="str">
        <f aca="false">IF($B3330="","",SUBSTITUTE(SUBSTITUTE(SUBSTITUTE($B3330,"-","")," ",""),".",""))</f>
        <v/>
      </c>
      <c r="I3330" s="10" t="str">
        <f aca="false">IF($D3330="","",SUBSTITUTE(SUBSTITUTE(SUBSTITUTE($D3330,"-","")," ",""),".",""))</f>
        <v/>
      </c>
      <c r="J3330" s="10" t="str">
        <f aca="false">IF($E3330="","",UPPER(SUBSTITUTE($E3330," ","")))</f>
        <v/>
      </c>
      <c r="K3330" s="10" t="str">
        <f aca="false">IF($A3330="","",$G3330&amp;"|"&amp;$J3330)</f>
        <v/>
      </c>
      <c r="L3330" s="10" t="str">
        <f aca="false">IF($A3330="","",ROW()-2)</f>
        <v/>
      </c>
      <c r="M3330" s="10" t="str">
        <f aca="false">IF($A3330="","",ROW())</f>
        <v/>
      </c>
    </row>
    <row r="3331" customFormat="false" ht="15" hidden="false" customHeight="true" outlineLevel="0" collapsed="false">
      <c r="A3331" s="8"/>
      <c r="B3331" s="8"/>
      <c r="C3331" s="8"/>
      <c r="D3331" s="8"/>
      <c r="E3331" s="8"/>
      <c r="F3331" s="8"/>
      <c r="G3331" s="10" t="str">
        <f aca="false">IF($A3331="","",UPPER(SUBSTITUTE(SUBSTITUTE(SUBSTITUTE(SUBSTITUTE($A3331," ",""),"(주)",""),"주식회사",""),"㈜","")))</f>
        <v/>
      </c>
      <c r="H3331" s="10" t="str">
        <f aca="false">IF($B3331="","",SUBSTITUTE(SUBSTITUTE(SUBSTITUTE($B3331,"-","")," ",""),".",""))</f>
        <v/>
      </c>
      <c r="I3331" s="10" t="str">
        <f aca="false">IF($D3331="","",SUBSTITUTE(SUBSTITUTE(SUBSTITUTE($D3331,"-","")," ",""),".",""))</f>
        <v/>
      </c>
      <c r="J3331" s="10" t="str">
        <f aca="false">IF($E3331="","",UPPER(SUBSTITUTE($E3331," ","")))</f>
        <v/>
      </c>
      <c r="K3331" s="10" t="str">
        <f aca="false">IF($A3331="","",$G3331&amp;"|"&amp;$J3331)</f>
        <v/>
      </c>
      <c r="L3331" s="10" t="str">
        <f aca="false">IF($A3331="","",ROW()-2)</f>
        <v/>
      </c>
      <c r="M3331" s="10" t="str">
        <f aca="false">IF($A3331="","",ROW())</f>
        <v/>
      </c>
    </row>
    <row r="3332" customFormat="false" ht="15" hidden="false" customHeight="true" outlineLevel="0" collapsed="false">
      <c r="A3332" s="8"/>
      <c r="B3332" s="8"/>
      <c r="C3332" s="8"/>
      <c r="D3332" s="8"/>
      <c r="E3332" s="8"/>
      <c r="F3332" s="8"/>
      <c r="G3332" s="10" t="str">
        <f aca="false">IF($A3332="","",UPPER(SUBSTITUTE(SUBSTITUTE(SUBSTITUTE(SUBSTITUTE($A3332," ",""),"(주)",""),"주식회사",""),"㈜","")))</f>
        <v/>
      </c>
      <c r="H3332" s="10" t="str">
        <f aca="false">IF($B3332="","",SUBSTITUTE(SUBSTITUTE(SUBSTITUTE($B3332,"-","")," ",""),".",""))</f>
        <v/>
      </c>
      <c r="I3332" s="10" t="str">
        <f aca="false">IF($D3332="","",SUBSTITUTE(SUBSTITUTE(SUBSTITUTE($D3332,"-","")," ",""),".",""))</f>
        <v/>
      </c>
      <c r="J3332" s="10" t="str">
        <f aca="false">IF($E3332="","",UPPER(SUBSTITUTE($E3332," ","")))</f>
        <v/>
      </c>
      <c r="K3332" s="10" t="str">
        <f aca="false">IF($A3332="","",$G3332&amp;"|"&amp;$J3332)</f>
        <v/>
      </c>
      <c r="L3332" s="10" t="str">
        <f aca="false">IF($A3332="","",ROW()-2)</f>
        <v/>
      </c>
      <c r="M3332" s="10" t="str">
        <f aca="false">IF($A3332="","",ROW())</f>
        <v/>
      </c>
    </row>
    <row r="3333" customFormat="false" ht="15" hidden="false" customHeight="true" outlineLevel="0" collapsed="false">
      <c r="A3333" s="8"/>
      <c r="B3333" s="8"/>
      <c r="C3333" s="8"/>
      <c r="D3333" s="8"/>
      <c r="E3333" s="8"/>
      <c r="F3333" s="8"/>
      <c r="G3333" s="10" t="str">
        <f aca="false">IF($A3333="","",UPPER(SUBSTITUTE(SUBSTITUTE(SUBSTITUTE(SUBSTITUTE($A3333," ",""),"(주)",""),"주식회사",""),"㈜","")))</f>
        <v/>
      </c>
      <c r="H3333" s="10" t="str">
        <f aca="false">IF($B3333="","",SUBSTITUTE(SUBSTITUTE(SUBSTITUTE($B3333,"-","")," ",""),".",""))</f>
        <v/>
      </c>
      <c r="I3333" s="10" t="str">
        <f aca="false">IF($D3333="","",SUBSTITUTE(SUBSTITUTE(SUBSTITUTE($D3333,"-","")," ",""),".",""))</f>
        <v/>
      </c>
      <c r="J3333" s="10" t="str">
        <f aca="false">IF($E3333="","",UPPER(SUBSTITUTE($E3333," ","")))</f>
        <v/>
      </c>
      <c r="K3333" s="10" t="str">
        <f aca="false">IF($A3333="","",$G3333&amp;"|"&amp;$J3333)</f>
        <v/>
      </c>
      <c r="L3333" s="10" t="str">
        <f aca="false">IF($A3333="","",ROW()-2)</f>
        <v/>
      </c>
      <c r="M3333" s="10" t="str">
        <f aca="false">IF($A3333="","",ROW())</f>
        <v/>
      </c>
    </row>
    <row r="3334" customFormat="false" ht="15" hidden="false" customHeight="true" outlineLevel="0" collapsed="false">
      <c r="A3334" s="8"/>
      <c r="B3334" s="8"/>
      <c r="C3334" s="8"/>
      <c r="D3334" s="8"/>
      <c r="E3334" s="8"/>
      <c r="F3334" s="8"/>
      <c r="G3334" s="10" t="str">
        <f aca="false">IF($A3334="","",UPPER(SUBSTITUTE(SUBSTITUTE(SUBSTITUTE(SUBSTITUTE($A3334," ",""),"(주)",""),"주식회사",""),"㈜","")))</f>
        <v/>
      </c>
      <c r="H3334" s="10" t="str">
        <f aca="false">IF($B3334="","",SUBSTITUTE(SUBSTITUTE(SUBSTITUTE($B3334,"-","")," ",""),".",""))</f>
        <v/>
      </c>
      <c r="I3334" s="10" t="str">
        <f aca="false">IF($D3334="","",SUBSTITUTE(SUBSTITUTE(SUBSTITUTE($D3334,"-","")," ",""),".",""))</f>
        <v/>
      </c>
      <c r="J3334" s="10" t="str">
        <f aca="false">IF($E3334="","",UPPER(SUBSTITUTE($E3334," ","")))</f>
        <v/>
      </c>
      <c r="K3334" s="10" t="str">
        <f aca="false">IF($A3334="","",$G3334&amp;"|"&amp;$J3334)</f>
        <v/>
      </c>
      <c r="L3334" s="10" t="str">
        <f aca="false">IF($A3334="","",ROW()-2)</f>
        <v/>
      </c>
      <c r="M3334" s="10" t="str">
        <f aca="false">IF($A3334="","",ROW())</f>
        <v/>
      </c>
    </row>
    <row r="3335" customFormat="false" ht="15" hidden="false" customHeight="true" outlineLevel="0" collapsed="false">
      <c r="A3335" s="8"/>
      <c r="B3335" s="8"/>
      <c r="C3335" s="8"/>
      <c r="D3335" s="8"/>
      <c r="E3335" s="8"/>
      <c r="F3335" s="8"/>
      <c r="G3335" s="10" t="str">
        <f aca="false">IF($A3335="","",UPPER(SUBSTITUTE(SUBSTITUTE(SUBSTITUTE(SUBSTITUTE($A3335," ",""),"(주)",""),"주식회사",""),"㈜","")))</f>
        <v/>
      </c>
      <c r="H3335" s="10" t="str">
        <f aca="false">IF($B3335="","",SUBSTITUTE(SUBSTITUTE(SUBSTITUTE($B3335,"-","")," ",""),".",""))</f>
        <v/>
      </c>
      <c r="I3335" s="10" t="str">
        <f aca="false">IF($D3335="","",SUBSTITUTE(SUBSTITUTE(SUBSTITUTE($D3335,"-","")," ",""),".",""))</f>
        <v/>
      </c>
      <c r="J3335" s="10" t="str">
        <f aca="false">IF($E3335="","",UPPER(SUBSTITUTE($E3335," ","")))</f>
        <v/>
      </c>
      <c r="K3335" s="10" t="str">
        <f aca="false">IF($A3335="","",$G3335&amp;"|"&amp;$J3335)</f>
        <v/>
      </c>
      <c r="L3335" s="10" t="str">
        <f aca="false">IF($A3335="","",ROW()-2)</f>
        <v/>
      </c>
      <c r="M3335" s="10" t="str">
        <f aca="false">IF($A3335="","",ROW())</f>
        <v/>
      </c>
    </row>
    <row r="3336" customFormat="false" ht="15" hidden="false" customHeight="true" outlineLevel="0" collapsed="false">
      <c r="A3336" s="8"/>
      <c r="B3336" s="8"/>
      <c r="C3336" s="8"/>
      <c r="D3336" s="8"/>
      <c r="E3336" s="8"/>
      <c r="F3336" s="8"/>
      <c r="G3336" s="10" t="str">
        <f aca="false">IF($A3336="","",UPPER(SUBSTITUTE(SUBSTITUTE(SUBSTITUTE(SUBSTITUTE($A3336," ",""),"(주)",""),"주식회사",""),"㈜","")))</f>
        <v/>
      </c>
      <c r="H3336" s="10" t="str">
        <f aca="false">IF($B3336="","",SUBSTITUTE(SUBSTITUTE(SUBSTITUTE($B3336,"-","")," ",""),".",""))</f>
        <v/>
      </c>
      <c r="I3336" s="10" t="str">
        <f aca="false">IF($D3336="","",SUBSTITUTE(SUBSTITUTE(SUBSTITUTE($D3336,"-","")," ",""),".",""))</f>
        <v/>
      </c>
      <c r="J3336" s="10" t="str">
        <f aca="false">IF($E3336="","",UPPER(SUBSTITUTE($E3336," ","")))</f>
        <v/>
      </c>
      <c r="K3336" s="10" t="str">
        <f aca="false">IF($A3336="","",$G3336&amp;"|"&amp;$J3336)</f>
        <v/>
      </c>
      <c r="L3336" s="10" t="str">
        <f aca="false">IF($A3336="","",ROW()-2)</f>
        <v/>
      </c>
      <c r="M3336" s="10" t="str">
        <f aca="false">IF($A3336="","",ROW())</f>
        <v/>
      </c>
    </row>
    <row r="3337" customFormat="false" ht="15" hidden="false" customHeight="true" outlineLevel="0" collapsed="false">
      <c r="A3337" s="8"/>
      <c r="B3337" s="8"/>
      <c r="C3337" s="8"/>
      <c r="D3337" s="8"/>
      <c r="E3337" s="8"/>
      <c r="F3337" s="8"/>
      <c r="G3337" s="10" t="str">
        <f aca="false">IF($A3337="","",UPPER(SUBSTITUTE(SUBSTITUTE(SUBSTITUTE(SUBSTITUTE($A3337," ",""),"(주)",""),"주식회사",""),"㈜","")))</f>
        <v/>
      </c>
      <c r="H3337" s="10" t="str">
        <f aca="false">IF($B3337="","",SUBSTITUTE(SUBSTITUTE(SUBSTITUTE($B3337,"-","")," ",""),".",""))</f>
        <v/>
      </c>
      <c r="I3337" s="10" t="str">
        <f aca="false">IF($D3337="","",SUBSTITUTE(SUBSTITUTE(SUBSTITUTE($D3337,"-","")," ",""),".",""))</f>
        <v/>
      </c>
      <c r="J3337" s="10" t="str">
        <f aca="false">IF($E3337="","",UPPER(SUBSTITUTE($E3337," ","")))</f>
        <v/>
      </c>
      <c r="K3337" s="10" t="str">
        <f aca="false">IF($A3337="","",$G3337&amp;"|"&amp;$J3337)</f>
        <v/>
      </c>
      <c r="L3337" s="10" t="str">
        <f aca="false">IF($A3337="","",ROW()-2)</f>
        <v/>
      </c>
      <c r="M3337" s="10" t="str">
        <f aca="false">IF($A3337="","",ROW())</f>
        <v/>
      </c>
    </row>
    <row r="3338" customFormat="false" ht="15" hidden="false" customHeight="true" outlineLevel="0" collapsed="false">
      <c r="A3338" s="8"/>
      <c r="B3338" s="8"/>
      <c r="C3338" s="8"/>
      <c r="D3338" s="8"/>
      <c r="E3338" s="8"/>
      <c r="F3338" s="8"/>
      <c r="G3338" s="10" t="str">
        <f aca="false">IF($A3338="","",UPPER(SUBSTITUTE(SUBSTITUTE(SUBSTITUTE(SUBSTITUTE($A3338," ",""),"(주)",""),"주식회사",""),"㈜","")))</f>
        <v/>
      </c>
      <c r="H3338" s="10" t="str">
        <f aca="false">IF($B3338="","",SUBSTITUTE(SUBSTITUTE(SUBSTITUTE($B3338,"-","")," ",""),".",""))</f>
        <v/>
      </c>
      <c r="I3338" s="10" t="str">
        <f aca="false">IF($D3338="","",SUBSTITUTE(SUBSTITUTE(SUBSTITUTE($D3338,"-","")," ",""),".",""))</f>
        <v/>
      </c>
      <c r="J3338" s="10" t="str">
        <f aca="false">IF($E3338="","",UPPER(SUBSTITUTE($E3338," ","")))</f>
        <v/>
      </c>
      <c r="K3338" s="10" t="str">
        <f aca="false">IF($A3338="","",$G3338&amp;"|"&amp;$J3338)</f>
        <v/>
      </c>
      <c r="L3338" s="10" t="str">
        <f aca="false">IF($A3338="","",ROW()-2)</f>
        <v/>
      </c>
      <c r="M3338" s="10" t="str">
        <f aca="false">IF($A3338="","",ROW())</f>
        <v/>
      </c>
    </row>
    <row r="3339" customFormat="false" ht="15" hidden="false" customHeight="true" outlineLevel="0" collapsed="false">
      <c r="A3339" s="8"/>
      <c r="B3339" s="8"/>
      <c r="C3339" s="8"/>
      <c r="D3339" s="8"/>
      <c r="E3339" s="8"/>
      <c r="F3339" s="8"/>
      <c r="G3339" s="10" t="str">
        <f aca="false">IF($A3339="","",UPPER(SUBSTITUTE(SUBSTITUTE(SUBSTITUTE(SUBSTITUTE($A3339," ",""),"(주)",""),"주식회사",""),"㈜","")))</f>
        <v/>
      </c>
      <c r="H3339" s="10" t="str">
        <f aca="false">IF($B3339="","",SUBSTITUTE(SUBSTITUTE(SUBSTITUTE($B3339,"-","")," ",""),".",""))</f>
        <v/>
      </c>
      <c r="I3339" s="10" t="str">
        <f aca="false">IF($D3339="","",SUBSTITUTE(SUBSTITUTE(SUBSTITUTE($D3339,"-","")," ",""),".",""))</f>
        <v/>
      </c>
      <c r="J3339" s="10" t="str">
        <f aca="false">IF($E3339="","",UPPER(SUBSTITUTE($E3339," ","")))</f>
        <v/>
      </c>
      <c r="K3339" s="10" t="str">
        <f aca="false">IF($A3339="","",$G3339&amp;"|"&amp;$J3339)</f>
        <v/>
      </c>
      <c r="L3339" s="10" t="str">
        <f aca="false">IF($A3339="","",ROW()-2)</f>
        <v/>
      </c>
      <c r="M3339" s="10" t="str">
        <f aca="false">IF($A3339="","",ROW())</f>
        <v/>
      </c>
    </row>
    <row r="3340" customFormat="false" ht="15" hidden="false" customHeight="true" outlineLevel="0" collapsed="false">
      <c r="A3340" s="8"/>
      <c r="B3340" s="8"/>
      <c r="C3340" s="8"/>
      <c r="D3340" s="8"/>
      <c r="E3340" s="8"/>
      <c r="F3340" s="8"/>
      <c r="G3340" s="10" t="str">
        <f aca="false">IF($A3340="","",UPPER(SUBSTITUTE(SUBSTITUTE(SUBSTITUTE(SUBSTITUTE($A3340," ",""),"(주)",""),"주식회사",""),"㈜","")))</f>
        <v/>
      </c>
      <c r="H3340" s="10" t="str">
        <f aca="false">IF($B3340="","",SUBSTITUTE(SUBSTITUTE(SUBSTITUTE($B3340,"-","")," ",""),".",""))</f>
        <v/>
      </c>
      <c r="I3340" s="10" t="str">
        <f aca="false">IF($D3340="","",SUBSTITUTE(SUBSTITUTE(SUBSTITUTE($D3340,"-","")," ",""),".",""))</f>
        <v/>
      </c>
      <c r="J3340" s="10" t="str">
        <f aca="false">IF($E3340="","",UPPER(SUBSTITUTE($E3340," ","")))</f>
        <v/>
      </c>
      <c r="K3340" s="10" t="str">
        <f aca="false">IF($A3340="","",$G3340&amp;"|"&amp;$J3340)</f>
        <v/>
      </c>
      <c r="L3340" s="10" t="str">
        <f aca="false">IF($A3340="","",ROW()-2)</f>
        <v/>
      </c>
      <c r="M3340" s="10" t="str">
        <f aca="false">IF($A3340="","",ROW())</f>
        <v/>
      </c>
    </row>
    <row r="3341" customFormat="false" ht="15" hidden="false" customHeight="true" outlineLevel="0" collapsed="false">
      <c r="A3341" s="8"/>
      <c r="B3341" s="8"/>
      <c r="C3341" s="8"/>
      <c r="D3341" s="8"/>
      <c r="E3341" s="8"/>
      <c r="F3341" s="8"/>
      <c r="G3341" s="10" t="str">
        <f aca="false">IF($A3341="","",UPPER(SUBSTITUTE(SUBSTITUTE(SUBSTITUTE(SUBSTITUTE($A3341," ",""),"(주)",""),"주식회사",""),"㈜","")))</f>
        <v/>
      </c>
      <c r="H3341" s="10" t="str">
        <f aca="false">IF($B3341="","",SUBSTITUTE(SUBSTITUTE(SUBSTITUTE($B3341,"-","")," ",""),".",""))</f>
        <v/>
      </c>
      <c r="I3341" s="10" t="str">
        <f aca="false">IF($D3341="","",SUBSTITUTE(SUBSTITUTE(SUBSTITUTE($D3341,"-","")," ",""),".",""))</f>
        <v/>
      </c>
      <c r="J3341" s="10" t="str">
        <f aca="false">IF($E3341="","",UPPER(SUBSTITUTE($E3341," ","")))</f>
        <v/>
      </c>
      <c r="K3341" s="10" t="str">
        <f aca="false">IF($A3341="","",$G3341&amp;"|"&amp;$J3341)</f>
        <v/>
      </c>
      <c r="L3341" s="10" t="str">
        <f aca="false">IF($A3341="","",ROW()-2)</f>
        <v/>
      </c>
      <c r="M3341" s="10" t="str">
        <f aca="false">IF($A3341="","",ROW())</f>
        <v/>
      </c>
    </row>
    <row r="3342" customFormat="false" ht="15" hidden="false" customHeight="true" outlineLevel="0" collapsed="false">
      <c r="A3342" s="8"/>
      <c r="B3342" s="8"/>
      <c r="C3342" s="8"/>
      <c r="D3342" s="8"/>
      <c r="E3342" s="8"/>
      <c r="F3342" s="8"/>
      <c r="G3342" s="10" t="str">
        <f aca="false">IF($A3342="","",UPPER(SUBSTITUTE(SUBSTITUTE(SUBSTITUTE(SUBSTITUTE($A3342," ",""),"(주)",""),"주식회사",""),"㈜","")))</f>
        <v/>
      </c>
      <c r="H3342" s="10" t="str">
        <f aca="false">IF($B3342="","",SUBSTITUTE(SUBSTITUTE(SUBSTITUTE($B3342,"-","")," ",""),".",""))</f>
        <v/>
      </c>
      <c r="I3342" s="10" t="str">
        <f aca="false">IF($D3342="","",SUBSTITUTE(SUBSTITUTE(SUBSTITUTE($D3342,"-","")," ",""),".",""))</f>
        <v/>
      </c>
      <c r="J3342" s="10" t="str">
        <f aca="false">IF($E3342="","",UPPER(SUBSTITUTE($E3342," ","")))</f>
        <v/>
      </c>
      <c r="K3342" s="10" t="str">
        <f aca="false">IF($A3342="","",$G3342&amp;"|"&amp;$J3342)</f>
        <v/>
      </c>
      <c r="L3342" s="10" t="str">
        <f aca="false">IF($A3342="","",ROW()-2)</f>
        <v/>
      </c>
      <c r="M3342" s="10" t="str">
        <f aca="false">IF($A3342="","",ROW())</f>
        <v/>
      </c>
    </row>
    <row r="3343" customFormat="false" ht="15" hidden="false" customHeight="true" outlineLevel="0" collapsed="false">
      <c r="A3343" s="8"/>
      <c r="B3343" s="8"/>
      <c r="C3343" s="8"/>
      <c r="D3343" s="8"/>
      <c r="E3343" s="8"/>
      <c r="F3343" s="8"/>
      <c r="G3343" s="10" t="str">
        <f aca="false">IF($A3343="","",UPPER(SUBSTITUTE(SUBSTITUTE(SUBSTITUTE(SUBSTITUTE($A3343," ",""),"(주)",""),"주식회사",""),"㈜","")))</f>
        <v/>
      </c>
      <c r="H3343" s="10" t="str">
        <f aca="false">IF($B3343="","",SUBSTITUTE(SUBSTITUTE(SUBSTITUTE($B3343,"-","")," ",""),".",""))</f>
        <v/>
      </c>
      <c r="I3343" s="10" t="str">
        <f aca="false">IF($D3343="","",SUBSTITUTE(SUBSTITUTE(SUBSTITUTE($D3343,"-","")," ",""),".",""))</f>
        <v/>
      </c>
      <c r="J3343" s="10" t="str">
        <f aca="false">IF($E3343="","",UPPER(SUBSTITUTE($E3343," ","")))</f>
        <v/>
      </c>
      <c r="K3343" s="10" t="str">
        <f aca="false">IF($A3343="","",$G3343&amp;"|"&amp;$J3343)</f>
        <v/>
      </c>
      <c r="L3343" s="10" t="str">
        <f aca="false">IF($A3343="","",ROW()-2)</f>
        <v/>
      </c>
      <c r="M3343" s="10" t="str">
        <f aca="false">IF($A3343="","",ROW())</f>
        <v/>
      </c>
    </row>
    <row r="3344" customFormat="false" ht="15" hidden="false" customHeight="true" outlineLevel="0" collapsed="false">
      <c r="A3344" s="8"/>
      <c r="B3344" s="8"/>
      <c r="C3344" s="8"/>
      <c r="D3344" s="8"/>
      <c r="E3344" s="8"/>
      <c r="F3344" s="8"/>
      <c r="G3344" s="10" t="str">
        <f aca="false">IF($A3344="","",UPPER(SUBSTITUTE(SUBSTITUTE(SUBSTITUTE(SUBSTITUTE($A3344," ",""),"(주)",""),"주식회사",""),"㈜","")))</f>
        <v/>
      </c>
      <c r="H3344" s="10" t="str">
        <f aca="false">IF($B3344="","",SUBSTITUTE(SUBSTITUTE(SUBSTITUTE($B3344,"-","")," ",""),".",""))</f>
        <v/>
      </c>
      <c r="I3344" s="10" t="str">
        <f aca="false">IF($D3344="","",SUBSTITUTE(SUBSTITUTE(SUBSTITUTE($D3344,"-","")," ",""),".",""))</f>
        <v/>
      </c>
      <c r="J3344" s="10" t="str">
        <f aca="false">IF($E3344="","",UPPER(SUBSTITUTE($E3344," ","")))</f>
        <v/>
      </c>
      <c r="K3344" s="10" t="str">
        <f aca="false">IF($A3344="","",$G3344&amp;"|"&amp;$J3344)</f>
        <v/>
      </c>
      <c r="L3344" s="10" t="str">
        <f aca="false">IF($A3344="","",ROW()-2)</f>
        <v/>
      </c>
      <c r="M3344" s="10" t="str">
        <f aca="false">IF($A3344="","",ROW())</f>
        <v/>
      </c>
    </row>
    <row r="3345" customFormat="false" ht="15" hidden="false" customHeight="true" outlineLevel="0" collapsed="false">
      <c r="A3345" s="8"/>
      <c r="B3345" s="8"/>
      <c r="C3345" s="8"/>
      <c r="D3345" s="8"/>
      <c r="E3345" s="8"/>
      <c r="F3345" s="8"/>
      <c r="G3345" s="10" t="str">
        <f aca="false">IF($A3345="","",UPPER(SUBSTITUTE(SUBSTITUTE(SUBSTITUTE(SUBSTITUTE($A3345," ",""),"(주)",""),"주식회사",""),"㈜","")))</f>
        <v/>
      </c>
      <c r="H3345" s="10" t="str">
        <f aca="false">IF($B3345="","",SUBSTITUTE(SUBSTITUTE(SUBSTITUTE($B3345,"-","")," ",""),".",""))</f>
        <v/>
      </c>
      <c r="I3345" s="10" t="str">
        <f aca="false">IF($D3345="","",SUBSTITUTE(SUBSTITUTE(SUBSTITUTE($D3345,"-","")," ",""),".",""))</f>
        <v/>
      </c>
      <c r="J3345" s="10" t="str">
        <f aca="false">IF($E3345="","",UPPER(SUBSTITUTE($E3345," ","")))</f>
        <v/>
      </c>
      <c r="K3345" s="10" t="str">
        <f aca="false">IF($A3345="","",$G3345&amp;"|"&amp;$J3345)</f>
        <v/>
      </c>
      <c r="L3345" s="10" t="str">
        <f aca="false">IF($A3345="","",ROW()-2)</f>
        <v/>
      </c>
      <c r="M3345" s="10" t="str">
        <f aca="false">IF($A3345="","",ROW())</f>
        <v/>
      </c>
    </row>
    <row r="3346" customFormat="false" ht="15" hidden="false" customHeight="true" outlineLevel="0" collapsed="false">
      <c r="A3346" s="8"/>
      <c r="B3346" s="8"/>
      <c r="C3346" s="8"/>
      <c r="D3346" s="8"/>
      <c r="E3346" s="8"/>
      <c r="F3346" s="8"/>
      <c r="G3346" s="10" t="str">
        <f aca="false">IF($A3346="","",UPPER(SUBSTITUTE(SUBSTITUTE(SUBSTITUTE(SUBSTITUTE($A3346," ",""),"(주)",""),"주식회사",""),"㈜","")))</f>
        <v/>
      </c>
      <c r="H3346" s="10" t="str">
        <f aca="false">IF($B3346="","",SUBSTITUTE(SUBSTITUTE(SUBSTITUTE($B3346,"-","")," ",""),".",""))</f>
        <v/>
      </c>
      <c r="I3346" s="10" t="str">
        <f aca="false">IF($D3346="","",SUBSTITUTE(SUBSTITUTE(SUBSTITUTE($D3346,"-","")," ",""),".",""))</f>
        <v/>
      </c>
      <c r="J3346" s="10" t="str">
        <f aca="false">IF($E3346="","",UPPER(SUBSTITUTE($E3346," ","")))</f>
        <v/>
      </c>
      <c r="K3346" s="10" t="str">
        <f aca="false">IF($A3346="","",$G3346&amp;"|"&amp;$J3346)</f>
        <v/>
      </c>
      <c r="L3346" s="10" t="str">
        <f aca="false">IF($A3346="","",ROW()-2)</f>
        <v/>
      </c>
      <c r="M3346" s="10" t="str">
        <f aca="false">IF($A3346="","",ROW())</f>
        <v/>
      </c>
    </row>
    <row r="3347" customFormat="false" ht="15" hidden="false" customHeight="true" outlineLevel="0" collapsed="false">
      <c r="A3347" s="8"/>
      <c r="B3347" s="8"/>
      <c r="C3347" s="8"/>
      <c r="D3347" s="8"/>
      <c r="E3347" s="8"/>
      <c r="F3347" s="8"/>
      <c r="G3347" s="10" t="str">
        <f aca="false">IF($A3347="","",UPPER(SUBSTITUTE(SUBSTITUTE(SUBSTITUTE(SUBSTITUTE($A3347," ",""),"(주)",""),"주식회사",""),"㈜","")))</f>
        <v/>
      </c>
      <c r="H3347" s="10" t="str">
        <f aca="false">IF($B3347="","",SUBSTITUTE(SUBSTITUTE(SUBSTITUTE($B3347,"-","")," ",""),".",""))</f>
        <v/>
      </c>
      <c r="I3347" s="10" t="str">
        <f aca="false">IF($D3347="","",SUBSTITUTE(SUBSTITUTE(SUBSTITUTE($D3347,"-","")," ",""),".",""))</f>
        <v/>
      </c>
      <c r="J3347" s="10" t="str">
        <f aca="false">IF($E3347="","",UPPER(SUBSTITUTE($E3347," ","")))</f>
        <v/>
      </c>
      <c r="K3347" s="10" t="str">
        <f aca="false">IF($A3347="","",$G3347&amp;"|"&amp;$J3347)</f>
        <v/>
      </c>
      <c r="L3347" s="10" t="str">
        <f aca="false">IF($A3347="","",ROW()-2)</f>
        <v/>
      </c>
      <c r="M3347" s="10" t="str">
        <f aca="false">IF($A3347="","",ROW())</f>
        <v/>
      </c>
    </row>
    <row r="3348" customFormat="false" ht="15" hidden="false" customHeight="true" outlineLevel="0" collapsed="false">
      <c r="A3348" s="8"/>
      <c r="B3348" s="8"/>
      <c r="C3348" s="8"/>
      <c r="D3348" s="8"/>
      <c r="E3348" s="8"/>
      <c r="F3348" s="8"/>
      <c r="G3348" s="10" t="str">
        <f aca="false">IF($A3348="","",UPPER(SUBSTITUTE(SUBSTITUTE(SUBSTITUTE(SUBSTITUTE($A3348," ",""),"(주)",""),"주식회사",""),"㈜","")))</f>
        <v/>
      </c>
      <c r="H3348" s="10" t="str">
        <f aca="false">IF($B3348="","",SUBSTITUTE(SUBSTITUTE(SUBSTITUTE($B3348,"-","")," ",""),".",""))</f>
        <v/>
      </c>
      <c r="I3348" s="10" t="str">
        <f aca="false">IF($D3348="","",SUBSTITUTE(SUBSTITUTE(SUBSTITUTE($D3348,"-","")," ",""),".",""))</f>
        <v/>
      </c>
      <c r="J3348" s="10" t="str">
        <f aca="false">IF($E3348="","",UPPER(SUBSTITUTE($E3348," ","")))</f>
        <v/>
      </c>
      <c r="K3348" s="10" t="str">
        <f aca="false">IF($A3348="","",$G3348&amp;"|"&amp;$J3348)</f>
        <v/>
      </c>
      <c r="L3348" s="10" t="str">
        <f aca="false">IF($A3348="","",ROW()-2)</f>
        <v/>
      </c>
      <c r="M3348" s="10" t="str">
        <f aca="false">IF($A3348="","",ROW())</f>
        <v/>
      </c>
    </row>
    <row r="3349" customFormat="false" ht="15" hidden="false" customHeight="true" outlineLevel="0" collapsed="false">
      <c r="A3349" s="8"/>
      <c r="B3349" s="8"/>
      <c r="C3349" s="8"/>
      <c r="D3349" s="8"/>
      <c r="E3349" s="8"/>
      <c r="F3349" s="8"/>
      <c r="G3349" s="10" t="str">
        <f aca="false">IF($A3349="","",UPPER(SUBSTITUTE(SUBSTITUTE(SUBSTITUTE(SUBSTITUTE($A3349," ",""),"(주)",""),"주식회사",""),"㈜","")))</f>
        <v/>
      </c>
      <c r="H3349" s="10" t="str">
        <f aca="false">IF($B3349="","",SUBSTITUTE(SUBSTITUTE(SUBSTITUTE($B3349,"-","")," ",""),".",""))</f>
        <v/>
      </c>
      <c r="I3349" s="10" t="str">
        <f aca="false">IF($D3349="","",SUBSTITUTE(SUBSTITUTE(SUBSTITUTE($D3349,"-","")," ",""),".",""))</f>
        <v/>
      </c>
      <c r="J3349" s="10" t="str">
        <f aca="false">IF($E3349="","",UPPER(SUBSTITUTE($E3349," ","")))</f>
        <v/>
      </c>
      <c r="K3349" s="10" t="str">
        <f aca="false">IF($A3349="","",$G3349&amp;"|"&amp;$J3349)</f>
        <v/>
      </c>
      <c r="L3349" s="10" t="str">
        <f aca="false">IF($A3349="","",ROW()-2)</f>
        <v/>
      </c>
      <c r="M3349" s="10" t="str">
        <f aca="false">IF($A3349="","",ROW())</f>
        <v/>
      </c>
    </row>
    <row r="3350" customFormat="false" ht="15" hidden="false" customHeight="true" outlineLevel="0" collapsed="false">
      <c r="A3350" s="8"/>
      <c r="B3350" s="8"/>
      <c r="C3350" s="8"/>
      <c r="D3350" s="8"/>
      <c r="E3350" s="8"/>
      <c r="F3350" s="8"/>
      <c r="G3350" s="10" t="str">
        <f aca="false">IF($A3350="","",UPPER(SUBSTITUTE(SUBSTITUTE(SUBSTITUTE(SUBSTITUTE($A3350," ",""),"(주)",""),"주식회사",""),"㈜","")))</f>
        <v/>
      </c>
      <c r="H3350" s="10" t="str">
        <f aca="false">IF($B3350="","",SUBSTITUTE(SUBSTITUTE(SUBSTITUTE($B3350,"-","")," ",""),".",""))</f>
        <v/>
      </c>
      <c r="I3350" s="10" t="str">
        <f aca="false">IF($D3350="","",SUBSTITUTE(SUBSTITUTE(SUBSTITUTE($D3350,"-","")," ",""),".",""))</f>
        <v/>
      </c>
      <c r="J3350" s="10" t="str">
        <f aca="false">IF($E3350="","",UPPER(SUBSTITUTE($E3350," ","")))</f>
        <v/>
      </c>
      <c r="K3350" s="10" t="str">
        <f aca="false">IF($A3350="","",$G3350&amp;"|"&amp;$J3350)</f>
        <v/>
      </c>
      <c r="L3350" s="10" t="str">
        <f aca="false">IF($A3350="","",ROW()-2)</f>
        <v/>
      </c>
      <c r="M3350" s="10" t="str">
        <f aca="false">IF($A3350="","",ROW())</f>
        <v/>
      </c>
    </row>
    <row r="3351" customFormat="false" ht="15" hidden="false" customHeight="true" outlineLevel="0" collapsed="false">
      <c r="A3351" s="8"/>
      <c r="B3351" s="8"/>
      <c r="C3351" s="8"/>
      <c r="D3351" s="8"/>
      <c r="E3351" s="8"/>
      <c r="F3351" s="8"/>
      <c r="G3351" s="10" t="str">
        <f aca="false">IF($A3351="","",UPPER(SUBSTITUTE(SUBSTITUTE(SUBSTITUTE(SUBSTITUTE($A3351," ",""),"(주)",""),"주식회사",""),"㈜","")))</f>
        <v/>
      </c>
      <c r="H3351" s="10" t="str">
        <f aca="false">IF($B3351="","",SUBSTITUTE(SUBSTITUTE(SUBSTITUTE($B3351,"-","")," ",""),".",""))</f>
        <v/>
      </c>
      <c r="I3351" s="10" t="str">
        <f aca="false">IF($D3351="","",SUBSTITUTE(SUBSTITUTE(SUBSTITUTE($D3351,"-","")," ",""),".",""))</f>
        <v/>
      </c>
      <c r="J3351" s="10" t="str">
        <f aca="false">IF($E3351="","",UPPER(SUBSTITUTE($E3351," ","")))</f>
        <v/>
      </c>
      <c r="K3351" s="10" t="str">
        <f aca="false">IF($A3351="","",$G3351&amp;"|"&amp;$J3351)</f>
        <v/>
      </c>
      <c r="L3351" s="10" t="str">
        <f aca="false">IF($A3351="","",ROW()-2)</f>
        <v/>
      </c>
      <c r="M3351" s="10" t="str">
        <f aca="false">IF($A3351="","",ROW())</f>
        <v/>
      </c>
    </row>
    <row r="3352" customFormat="false" ht="15" hidden="false" customHeight="true" outlineLevel="0" collapsed="false">
      <c r="A3352" s="8"/>
      <c r="B3352" s="8"/>
      <c r="C3352" s="8"/>
      <c r="D3352" s="8"/>
      <c r="E3352" s="8"/>
      <c r="F3352" s="8"/>
      <c r="G3352" s="10" t="str">
        <f aca="false">IF($A3352="","",UPPER(SUBSTITUTE(SUBSTITUTE(SUBSTITUTE(SUBSTITUTE($A3352," ",""),"(주)",""),"주식회사",""),"㈜","")))</f>
        <v/>
      </c>
      <c r="H3352" s="10" t="str">
        <f aca="false">IF($B3352="","",SUBSTITUTE(SUBSTITUTE(SUBSTITUTE($B3352,"-","")," ",""),".",""))</f>
        <v/>
      </c>
      <c r="I3352" s="10" t="str">
        <f aca="false">IF($D3352="","",SUBSTITUTE(SUBSTITUTE(SUBSTITUTE($D3352,"-","")," ",""),".",""))</f>
        <v/>
      </c>
      <c r="J3352" s="10" t="str">
        <f aca="false">IF($E3352="","",UPPER(SUBSTITUTE($E3352," ","")))</f>
        <v/>
      </c>
      <c r="K3352" s="10" t="str">
        <f aca="false">IF($A3352="","",$G3352&amp;"|"&amp;$J3352)</f>
        <v/>
      </c>
      <c r="L3352" s="10" t="str">
        <f aca="false">IF($A3352="","",ROW()-2)</f>
        <v/>
      </c>
      <c r="M3352" s="10" t="str">
        <f aca="false">IF($A3352="","",ROW())</f>
        <v/>
      </c>
    </row>
    <row r="3353" customFormat="false" ht="15" hidden="false" customHeight="true" outlineLevel="0" collapsed="false">
      <c r="A3353" s="8"/>
      <c r="B3353" s="8"/>
      <c r="C3353" s="8"/>
      <c r="D3353" s="8"/>
      <c r="E3353" s="8"/>
      <c r="F3353" s="8"/>
      <c r="G3353" s="10" t="str">
        <f aca="false">IF($A3353="","",UPPER(SUBSTITUTE(SUBSTITUTE(SUBSTITUTE(SUBSTITUTE($A3353," ",""),"(주)",""),"주식회사",""),"㈜","")))</f>
        <v/>
      </c>
      <c r="H3353" s="10" t="str">
        <f aca="false">IF($B3353="","",SUBSTITUTE(SUBSTITUTE(SUBSTITUTE($B3353,"-","")," ",""),".",""))</f>
        <v/>
      </c>
      <c r="I3353" s="10" t="str">
        <f aca="false">IF($D3353="","",SUBSTITUTE(SUBSTITUTE(SUBSTITUTE($D3353,"-","")," ",""),".",""))</f>
        <v/>
      </c>
      <c r="J3353" s="10" t="str">
        <f aca="false">IF($E3353="","",UPPER(SUBSTITUTE($E3353," ","")))</f>
        <v/>
      </c>
      <c r="K3353" s="10" t="str">
        <f aca="false">IF($A3353="","",$G3353&amp;"|"&amp;$J3353)</f>
        <v/>
      </c>
      <c r="L3353" s="10" t="str">
        <f aca="false">IF($A3353="","",ROW()-2)</f>
        <v/>
      </c>
      <c r="M3353" s="10" t="str">
        <f aca="false">IF($A3353="","",ROW())</f>
        <v/>
      </c>
    </row>
    <row r="3354" customFormat="false" ht="15" hidden="false" customHeight="true" outlineLevel="0" collapsed="false">
      <c r="A3354" s="8"/>
      <c r="B3354" s="8"/>
      <c r="C3354" s="8"/>
      <c r="D3354" s="8"/>
      <c r="E3354" s="8"/>
      <c r="F3354" s="8"/>
      <c r="G3354" s="10" t="str">
        <f aca="false">IF($A3354="","",UPPER(SUBSTITUTE(SUBSTITUTE(SUBSTITUTE(SUBSTITUTE($A3354," ",""),"(주)",""),"주식회사",""),"㈜","")))</f>
        <v/>
      </c>
      <c r="H3354" s="10" t="str">
        <f aca="false">IF($B3354="","",SUBSTITUTE(SUBSTITUTE(SUBSTITUTE($B3354,"-","")," ",""),".",""))</f>
        <v/>
      </c>
      <c r="I3354" s="10" t="str">
        <f aca="false">IF($D3354="","",SUBSTITUTE(SUBSTITUTE(SUBSTITUTE($D3354,"-","")," ",""),".",""))</f>
        <v/>
      </c>
      <c r="J3354" s="10" t="str">
        <f aca="false">IF($E3354="","",UPPER(SUBSTITUTE($E3354," ","")))</f>
        <v/>
      </c>
      <c r="K3354" s="10" t="str">
        <f aca="false">IF($A3354="","",$G3354&amp;"|"&amp;$J3354)</f>
        <v/>
      </c>
      <c r="L3354" s="10" t="str">
        <f aca="false">IF($A3354="","",ROW()-2)</f>
        <v/>
      </c>
      <c r="M3354" s="10" t="str">
        <f aca="false">IF($A3354="","",ROW())</f>
        <v/>
      </c>
    </row>
    <row r="3355" customFormat="false" ht="15" hidden="false" customHeight="true" outlineLevel="0" collapsed="false">
      <c r="A3355" s="8"/>
      <c r="B3355" s="8"/>
      <c r="C3355" s="8"/>
      <c r="D3355" s="8"/>
      <c r="E3355" s="8"/>
      <c r="F3355" s="8"/>
      <c r="G3355" s="10" t="str">
        <f aca="false">IF($A3355="","",UPPER(SUBSTITUTE(SUBSTITUTE(SUBSTITUTE(SUBSTITUTE($A3355," ",""),"(주)",""),"주식회사",""),"㈜","")))</f>
        <v/>
      </c>
      <c r="H3355" s="10" t="str">
        <f aca="false">IF($B3355="","",SUBSTITUTE(SUBSTITUTE(SUBSTITUTE($B3355,"-","")," ",""),".",""))</f>
        <v/>
      </c>
      <c r="I3355" s="10" t="str">
        <f aca="false">IF($D3355="","",SUBSTITUTE(SUBSTITUTE(SUBSTITUTE($D3355,"-","")," ",""),".",""))</f>
        <v/>
      </c>
      <c r="J3355" s="10" t="str">
        <f aca="false">IF($E3355="","",UPPER(SUBSTITUTE($E3355," ","")))</f>
        <v/>
      </c>
      <c r="K3355" s="10" t="str">
        <f aca="false">IF($A3355="","",$G3355&amp;"|"&amp;$J3355)</f>
        <v/>
      </c>
      <c r="L3355" s="10" t="str">
        <f aca="false">IF($A3355="","",ROW()-2)</f>
        <v/>
      </c>
      <c r="M3355" s="10" t="str">
        <f aca="false">IF($A3355="","",ROW())</f>
        <v/>
      </c>
    </row>
    <row r="3356" customFormat="false" ht="15" hidden="false" customHeight="true" outlineLevel="0" collapsed="false">
      <c r="A3356" s="8"/>
      <c r="B3356" s="8"/>
      <c r="C3356" s="8"/>
      <c r="D3356" s="8"/>
      <c r="E3356" s="8"/>
      <c r="F3356" s="8"/>
      <c r="G3356" s="10" t="str">
        <f aca="false">IF($A3356="","",UPPER(SUBSTITUTE(SUBSTITUTE(SUBSTITUTE(SUBSTITUTE($A3356," ",""),"(주)",""),"주식회사",""),"㈜","")))</f>
        <v/>
      </c>
      <c r="H3356" s="10" t="str">
        <f aca="false">IF($B3356="","",SUBSTITUTE(SUBSTITUTE(SUBSTITUTE($B3356,"-","")," ",""),".",""))</f>
        <v/>
      </c>
      <c r="I3356" s="10" t="str">
        <f aca="false">IF($D3356="","",SUBSTITUTE(SUBSTITUTE(SUBSTITUTE($D3356,"-","")," ",""),".",""))</f>
        <v/>
      </c>
      <c r="J3356" s="10" t="str">
        <f aca="false">IF($E3356="","",UPPER(SUBSTITUTE($E3356," ","")))</f>
        <v/>
      </c>
      <c r="K3356" s="10" t="str">
        <f aca="false">IF($A3356="","",$G3356&amp;"|"&amp;$J3356)</f>
        <v/>
      </c>
      <c r="L3356" s="10" t="str">
        <f aca="false">IF($A3356="","",ROW()-2)</f>
        <v/>
      </c>
      <c r="M3356" s="10" t="str">
        <f aca="false">IF($A3356="","",ROW())</f>
        <v/>
      </c>
    </row>
    <row r="3357" customFormat="false" ht="15" hidden="false" customHeight="true" outlineLevel="0" collapsed="false">
      <c r="A3357" s="8"/>
      <c r="B3357" s="8"/>
      <c r="C3357" s="8"/>
      <c r="D3357" s="8"/>
      <c r="E3357" s="8"/>
      <c r="F3357" s="8"/>
      <c r="G3357" s="10" t="str">
        <f aca="false">IF($A3357="","",UPPER(SUBSTITUTE(SUBSTITUTE(SUBSTITUTE(SUBSTITUTE($A3357," ",""),"(주)",""),"주식회사",""),"㈜","")))</f>
        <v/>
      </c>
      <c r="H3357" s="10" t="str">
        <f aca="false">IF($B3357="","",SUBSTITUTE(SUBSTITUTE(SUBSTITUTE($B3357,"-","")," ",""),".",""))</f>
        <v/>
      </c>
      <c r="I3357" s="10" t="str">
        <f aca="false">IF($D3357="","",SUBSTITUTE(SUBSTITUTE(SUBSTITUTE($D3357,"-","")," ",""),".",""))</f>
        <v/>
      </c>
      <c r="J3357" s="10" t="str">
        <f aca="false">IF($E3357="","",UPPER(SUBSTITUTE($E3357," ","")))</f>
        <v/>
      </c>
      <c r="K3357" s="10" t="str">
        <f aca="false">IF($A3357="","",$G3357&amp;"|"&amp;$J3357)</f>
        <v/>
      </c>
      <c r="L3357" s="10" t="str">
        <f aca="false">IF($A3357="","",ROW()-2)</f>
        <v/>
      </c>
      <c r="M3357" s="10" t="str">
        <f aca="false">IF($A3357="","",ROW())</f>
        <v/>
      </c>
    </row>
    <row r="3358" customFormat="false" ht="15" hidden="false" customHeight="true" outlineLevel="0" collapsed="false">
      <c r="A3358" s="8"/>
      <c r="B3358" s="8"/>
      <c r="C3358" s="8"/>
      <c r="D3358" s="8"/>
      <c r="E3358" s="8"/>
      <c r="F3358" s="8"/>
      <c r="G3358" s="10" t="str">
        <f aca="false">IF($A3358="","",UPPER(SUBSTITUTE(SUBSTITUTE(SUBSTITUTE(SUBSTITUTE($A3358," ",""),"(주)",""),"주식회사",""),"㈜","")))</f>
        <v/>
      </c>
      <c r="H3358" s="10" t="str">
        <f aca="false">IF($B3358="","",SUBSTITUTE(SUBSTITUTE(SUBSTITUTE($B3358,"-","")," ",""),".",""))</f>
        <v/>
      </c>
      <c r="I3358" s="10" t="str">
        <f aca="false">IF($D3358="","",SUBSTITUTE(SUBSTITUTE(SUBSTITUTE($D3358,"-","")," ",""),".",""))</f>
        <v/>
      </c>
      <c r="J3358" s="10" t="str">
        <f aca="false">IF($E3358="","",UPPER(SUBSTITUTE($E3358," ","")))</f>
        <v/>
      </c>
      <c r="K3358" s="10" t="str">
        <f aca="false">IF($A3358="","",$G3358&amp;"|"&amp;$J3358)</f>
        <v/>
      </c>
      <c r="L3358" s="10" t="str">
        <f aca="false">IF($A3358="","",ROW()-2)</f>
        <v/>
      </c>
      <c r="M3358" s="10" t="str">
        <f aca="false">IF($A3358="","",ROW())</f>
        <v/>
      </c>
    </row>
    <row r="3359" customFormat="false" ht="15" hidden="false" customHeight="true" outlineLevel="0" collapsed="false">
      <c r="A3359" s="8"/>
      <c r="B3359" s="8"/>
      <c r="C3359" s="8"/>
      <c r="D3359" s="8"/>
      <c r="E3359" s="8"/>
      <c r="F3359" s="8"/>
      <c r="G3359" s="10" t="str">
        <f aca="false">IF($A3359="","",UPPER(SUBSTITUTE(SUBSTITUTE(SUBSTITUTE(SUBSTITUTE($A3359," ",""),"(주)",""),"주식회사",""),"㈜","")))</f>
        <v/>
      </c>
      <c r="H3359" s="10" t="str">
        <f aca="false">IF($B3359="","",SUBSTITUTE(SUBSTITUTE(SUBSTITUTE($B3359,"-","")," ",""),".",""))</f>
        <v/>
      </c>
      <c r="I3359" s="10" t="str">
        <f aca="false">IF($D3359="","",SUBSTITUTE(SUBSTITUTE(SUBSTITUTE($D3359,"-","")," ",""),".",""))</f>
        <v/>
      </c>
      <c r="J3359" s="10" t="str">
        <f aca="false">IF($E3359="","",UPPER(SUBSTITUTE($E3359," ","")))</f>
        <v/>
      </c>
      <c r="K3359" s="10" t="str">
        <f aca="false">IF($A3359="","",$G3359&amp;"|"&amp;$J3359)</f>
        <v/>
      </c>
      <c r="L3359" s="10" t="str">
        <f aca="false">IF($A3359="","",ROW()-2)</f>
        <v/>
      </c>
      <c r="M3359" s="10" t="str">
        <f aca="false">IF($A3359="","",ROW())</f>
        <v/>
      </c>
    </row>
    <row r="3360" customFormat="false" ht="15" hidden="false" customHeight="true" outlineLevel="0" collapsed="false">
      <c r="A3360" s="8"/>
      <c r="B3360" s="8"/>
      <c r="C3360" s="8"/>
      <c r="D3360" s="8"/>
      <c r="E3360" s="8"/>
      <c r="F3360" s="8"/>
      <c r="G3360" s="10" t="str">
        <f aca="false">IF($A3360="","",UPPER(SUBSTITUTE(SUBSTITUTE(SUBSTITUTE(SUBSTITUTE($A3360," ",""),"(주)",""),"주식회사",""),"㈜","")))</f>
        <v/>
      </c>
      <c r="H3360" s="10" t="str">
        <f aca="false">IF($B3360="","",SUBSTITUTE(SUBSTITUTE(SUBSTITUTE($B3360,"-","")," ",""),".",""))</f>
        <v/>
      </c>
      <c r="I3360" s="10" t="str">
        <f aca="false">IF($D3360="","",SUBSTITUTE(SUBSTITUTE(SUBSTITUTE($D3360,"-","")," ",""),".",""))</f>
        <v/>
      </c>
      <c r="J3360" s="10" t="str">
        <f aca="false">IF($E3360="","",UPPER(SUBSTITUTE($E3360," ","")))</f>
        <v/>
      </c>
      <c r="K3360" s="10" t="str">
        <f aca="false">IF($A3360="","",$G3360&amp;"|"&amp;$J3360)</f>
        <v/>
      </c>
      <c r="L3360" s="10" t="str">
        <f aca="false">IF($A3360="","",ROW()-2)</f>
        <v/>
      </c>
      <c r="M3360" s="10" t="str">
        <f aca="false">IF($A3360="","",ROW())</f>
        <v/>
      </c>
    </row>
    <row r="3361" customFormat="false" ht="15" hidden="false" customHeight="true" outlineLevel="0" collapsed="false">
      <c r="A3361" s="8"/>
      <c r="B3361" s="8"/>
      <c r="C3361" s="8"/>
      <c r="D3361" s="8"/>
      <c r="E3361" s="8"/>
      <c r="F3361" s="8"/>
      <c r="G3361" s="10" t="str">
        <f aca="false">IF($A3361="","",UPPER(SUBSTITUTE(SUBSTITUTE(SUBSTITUTE(SUBSTITUTE($A3361," ",""),"(주)",""),"주식회사",""),"㈜","")))</f>
        <v/>
      </c>
      <c r="H3361" s="10" t="str">
        <f aca="false">IF($B3361="","",SUBSTITUTE(SUBSTITUTE(SUBSTITUTE($B3361,"-","")," ",""),".",""))</f>
        <v/>
      </c>
      <c r="I3361" s="10" t="str">
        <f aca="false">IF($D3361="","",SUBSTITUTE(SUBSTITUTE(SUBSTITUTE($D3361,"-","")," ",""),".",""))</f>
        <v/>
      </c>
      <c r="J3361" s="10" t="str">
        <f aca="false">IF($E3361="","",UPPER(SUBSTITUTE($E3361," ","")))</f>
        <v/>
      </c>
      <c r="K3361" s="10" t="str">
        <f aca="false">IF($A3361="","",$G3361&amp;"|"&amp;$J3361)</f>
        <v/>
      </c>
      <c r="L3361" s="10" t="str">
        <f aca="false">IF($A3361="","",ROW()-2)</f>
        <v/>
      </c>
      <c r="M3361" s="10" t="str">
        <f aca="false">IF($A3361="","",ROW())</f>
        <v/>
      </c>
    </row>
    <row r="3362" customFormat="false" ht="15" hidden="false" customHeight="true" outlineLevel="0" collapsed="false">
      <c r="A3362" s="8"/>
      <c r="B3362" s="8"/>
      <c r="C3362" s="8"/>
      <c r="D3362" s="8"/>
      <c r="E3362" s="8"/>
      <c r="F3362" s="8"/>
      <c r="G3362" s="10" t="str">
        <f aca="false">IF($A3362="","",UPPER(SUBSTITUTE(SUBSTITUTE(SUBSTITUTE(SUBSTITUTE($A3362," ",""),"(주)",""),"주식회사",""),"㈜","")))</f>
        <v/>
      </c>
      <c r="H3362" s="10" t="str">
        <f aca="false">IF($B3362="","",SUBSTITUTE(SUBSTITUTE(SUBSTITUTE($B3362,"-","")," ",""),".",""))</f>
        <v/>
      </c>
      <c r="I3362" s="10" t="str">
        <f aca="false">IF($D3362="","",SUBSTITUTE(SUBSTITUTE(SUBSTITUTE($D3362,"-","")," ",""),".",""))</f>
        <v/>
      </c>
      <c r="J3362" s="10" t="str">
        <f aca="false">IF($E3362="","",UPPER(SUBSTITUTE($E3362," ","")))</f>
        <v/>
      </c>
      <c r="K3362" s="10" t="str">
        <f aca="false">IF($A3362="","",$G3362&amp;"|"&amp;$J3362)</f>
        <v/>
      </c>
      <c r="L3362" s="10" t="str">
        <f aca="false">IF($A3362="","",ROW()-2)</f>
        <v/>
      </c>
      <c r="M3362" s="10" t="str">
        <f aca="false">IF($A3362="","",ROW())</f>
        <v/>
      </c>
    </row>
    <row r="3363" customFormat="false" ht="15" hidden="false" customHeight="true" outlineLevel="0" collapsed="false">
      <c r="A3363" s="8"/>
      <c r="B3363" s="8"/>
      <c r="C3363" s="8"/>
      <c r="D3363" s="8"/>
      <c r="E3363" s="8"/>
      <c r="F3363" s="8"/>
      <c r="G3363" s="10" t="str">
        <f aca="false">IF($A3363="","",UPPER(SUBSTITUTE(SUBSTITUTE(SUBSTITUTE(SUBSTITUTE($A3363," ",""),"(주)",""),"주식회사",""),"㈜","")))</f>
        <v/>
      </c>
      <c r="H3363" s="10" t="str">
        <f aca="false">IF($B3363="","",SUBSTITUTE(SUBSTITUTE(SUBSTITUTE($B3363,"-","")," ",""),".",""))</f>
        <v/>
      </c>
      <c r="I3363" s="10" t="str">
        <f aca="false">IF($D3363="","",SUBSTITUTE(SUBSTITUTE(SUBSTITUTE($D3363,"-","")," ",""),".",""))</f>
        <v/>
      </c>
      <c r="J3363" s="10" t="str">
        <f aca="false">IF($E3363="","",UPPER(SUBSTITUTE($E3363," ","")))</f>
        <v/>
      </c>
      <c r="K3363" s="10" t="str">
        <f aca="false">IF($A3363="","",$G3363&amp;"|"&amp;$J3363)</f>
        <v/>
      </c>
      <c r="L3363" s="10" t="str">
        <f aca="false">IF($A3363="","",ROW()-2)</f>
        <v/>
      </c>
      <c r="M3363" s="10" t="str">
        <f aca="false">IF($A3363="","",ROW())</f>
        <v/>
      </c>
    </row>
    <row r="3364" customFormat="false" ht="15" hidden="false" customHeight="true" outlineLevel="0" collapsed="false">
      <c r="A3364" s="8"/>
      <c r="B3364" s="8"/>
      <c r="C3364" s="8"/>
      <c r="D3364" s="8"/>
      <c r="E3364" s="8"/>
      <c r="F3364" s="8"/>
      <c r="G3364" s="10" t="str">
        <f aca="false">IF($A3364="","",UPPER(SUBSTITUTE(SUBSTITUTE(SUBSTITUTE(SUBSTITUTE($A3364," ",""),"(주)",""),"주식회사",""),"㈜","")))</f>
        <v/>
      </c>
      <c r="H3364" s="10" t="str">
        <f aca="false">IF($B3364="","",SUBSTITUTE(SUBSTITUTE(SUBSTITUTE($B3364,"-","")," ",""),".",""))</f>
        <v/>
      </c>
      <c r="I3364" s="10" t="str">
        <f aca="false">IF($D3364="","",SUBSTITUTE(SUBSTITUTE(SUBSTITUTE($D3364,"-","")," ",""),".",""))</f>
        <v/>
      </c>
      <c r="J3364" s="10" t="str">
        <f aca="false">IF($E3364="","",UPPER(SUBSTITUTE($E3364," ","")))</f>
        <v/>
      </c>
      <c r="K3364" s="10" t="str">
        <f aca="false">IF($A3364="","",$G3364&amp;"|"&amp;$J3364)</f>
        <v/>
      </c>
      <c r="L3364" s="10" t="str">
        <f aca="false">IF($A3364="","",ROW()-2)</f>
        <v/>
      </c>
      <c r="M3364" s="10" t="str">
        <f aca="false">IF($A3364="","",ROW())</f>
        <v/>
      </c>
    </row>
    <row r="3365" customFormat="false" ht="15" hidden="false" customHeight="true" outlineLevel="0" collapsed="false">
      <c r="A3365" s="8"/>
      <c r="B3365" s="8"/>
      <c r="C3365" s="8"/>
      <c r="D3365" s="8"/>
      <c r="E3365" s="8"/>
      <c r="F3365" s="8"/>
      <c r="G3365" s="10" t="str">
        <f aca="false">IF($A3365="","",UPPER(SUBSTITUTE(SUBSTITUTE(SUBSTITUTE(SUBSTITUTE($A3365," ",""),"(주)",""),"주식회사",""),"㈜","")))</f>
        <v/>
      </c>
      <c r="H3365" s="10" t="str">
        <f aca="false">IF($B3365="","",SUBSTITUTE(SUBSTITUTE(SUBSTITUTE($B3365,"-","")," ",""),".",""))</f>
        <v/>
      </c>
      <c r="I3365" s="10" t="str">
        <f aca="false">IF($D3365="","",SUBSTITUTE(SUBSTITUTE(SUBSTITUTE($D3365,"-","")," ",""),".",""))</f>
        <v/>
      </c>
      <c r="J3365" s="10" t="str">
        <f aca="false">IF($E3365="","",UPPER(SUBSTITUTE($E3365," ","")))</f>
        <v/>
      </c>
      <c r="K3365" s="10" t="str">
        <f aca="false">IF($A3365="","",$G3365&amp;"|"&amp;$J3365)</f>
        <v/>
      </c>
      <c r="L3365" s="10" t="str">
        <f aca="false">IF($A3365="","",ROW()-2)</f>
        <v/>
      </c>
      <c r="M3365" s="10" t="str">
        <f aca="false">IF($A3365="","",ROW())</f>
        <v/>
      </c>
    </row>
    <row r="3366" customFormat="false" ht="15" hidden="false" customHeight="true" outlineLevel="0" collapsed="false">
      <c r="A3366" s="8"/>
      <c r="B3366" s="8"/>
      <c r="C3366" s="8"/>
      <c r="D3366" s="8"/>
      <c r="E3366" s="8"/>
      <c r="F3366" s="8"/>
      <c r="G3366" s="10" t="str">
        <f aca="false">IF($A3366="","",UPPER(SUBSTITUTE(SUBSTITUTE(SUBSTITUTE(SUBSTITUTE($A3366," ",""),"(주)",""),"주식회사",""),"㈜","")))</f>
        <v/>
      </c>
      <c r="H3366" s="10" t="str">
        <f aca="false">IF($B3366="","",SUBSTITUTE(SUBSTITUTE(SUBSTITUTE($B3366,"-","")," ",""),".",""))</f>
        <v/>
      </c>
      <c r="I3366" s="10" t="str">
        <f aca="false">IF($D3366="","",SUBSTITUTE(SUBSTITUTE(SUBSTITUTE($D3366,"-","")," ",""),".",""))</f>
        <v/>
      </c>
      <c r="J3366" s="10" t="str">
        <f aca="false">IF($E3366="","",UPPER(SUBSTITUTE($E3366," ","")))</f>
        <v/>
      </c>
      <c r="K3366" s="10" t="str">
        <f aca="false">IF($A3366="","",$G3366&amp;"|"&amp;$J3366)</f>
        <v/>
      </c>
      <c r="L3366" s="10" t="str">
        <f aca="false">IF($A3366="","",ROW()-2)</f>
        <v/>
      </c>
      <c r="M3366" s="10" t="str">
        <f aca="false">IF($A3366="","",ROW())</f>
        <v/>
      </c>
    </row>
    <row r="3367" customFormat="false" ht="15" hidden="false" customHeight="true" outlineLevel="0" collapsed="false">
      <c r="A3367" s="8"/>
      <c r="B3367" s="8"/>
      <c r="C3367" s="8"/>
      <c r="D3367" s="8"/>
      <c r="E3367" s="8"/>
      <c r="F3367" s="8"/>
      <c r="G3367" s="10" t="str">
        <f aca="false">IF($A3367="","",UPPER(SUBSTITUTE(SUBSTITUTE(SUBSTITUTE(SUBSTITUTE($A3367," ",""),"(주)",""),"주식회사",""),"㈜","")))</f>
        <v/>
      </c>
      <c r="H3367" s="10" t="str">
        <f aca="false">IF($B3367="","",SUBSTITUTE(SUBSTITUTE(SUBSTITUTE($B3367,"-","")," ",""),".",""))</f>
        <v/>
      </c>
      <c r="I3367" s="10" t="str">
        <f aca="false">IF($D3367="","",SUBSTITUTE(SUBSTITUTE(SUBSTITUTE($D3367,"-","")," ",""),".",""))</f>
        <v/>
      </c>
      <c r="J3367" s="10" t="str">
        <f aca="false">IF($E3367="","",UPPER(SUBSTITUTE($E3367," ","")))</f>
        <v/>
      </c>
      <c r="K3367" s="10" t="str">
        <f aca="false">IF($A3367="","",$G3367&amp;"|"&amp;$J3367)</f>
        <v/>
      </c>
      <c r="L3367" s="10" t="str">
        <f aca="false">IF($A3367="","",ROW()-2)</f>
        <v/>
      </c>
      <c r="M3367" s="10" t="str">
        <f aca="false">IF($A3367="","",ROW())</f>
        <v/>
      </c>
    </row>
    <row r="3368" customFormat="false" ht="15" hidden="false" customHeight="true" outlineLevel="0" collapsed="false">
      <c r="A3368" s="8"/>
      <c r="B3368" s="8"/>
      <c r="C3368" s="8"/>
      <c r="D3368" s="8"/>
      <c r="E3368" s="8"/>
      <c r="F3368" s="8"/>
      <c r="G3368" s="10" t="str">
        <f aca="false">IF($A3368="","",UPPER(SUBSTITUTE(SUBSTITUTE(SUBSTITUTE(SUBSTITUTE($A3368," ",""),"(주)",""),"주식회사",""),"㈜","")))</f>
        <v/>
      </c>
      <c r="H3368" s="10" t="str">
        <f aca="false">IF($B3368="","",SUBSTITUTE(SUBSTITUTE(SUBSTITUTE($B3368,"-","")," ",""),".",""))</f>
        <v/>
      </c>
      <c r="I3368" s="10" t="str">
        <f aca="false">IF($D3368="","",SUBSTITUTE(SUBSTITUTE(SUBSTITUTE($D3368,"-","")," ",""),".",""))</f>
        <v/>
      </c>
      <c r="J3368" s="10" t="str">
        <f aca="false">IF($E3368="","",UPPER(SUBSTITUTE($E3368," ","")))</f>
        <v/>
      </c>
      <c r="K3368" s="10" t="str">
        <f aca="false">IF($A3368="","",$G3368&amp;"|"&amp;$J3368)</f>
        <v/>
      </c>
      <c r="L3368" s="10" t="str">
        <f aca="false">IF($A3368="","",ROW()-2)</f>
        <v/>
      </c>
      <c r="M3368" s="10" t="str">
        <f aca="false">IF($A3368="","",ROW())</f>
        <v/>
      </c>
    </row>
    <row r="3369" customFormat="false" ht="15" hidden="false" customHeight="true" outlineLevel="0" collapsed="false">
      <c r="A3369" s="8"/>
      <c r="B3369" s="8"/>
      <c r="C3369" s="8"/>
      <c r="D3369" s="8"/>
      <c r="E3369" s="8"/>
      <c r="F3369" s="8"/>
      <c r="G3369" s="10" t="str">
        <f aca="false">IF($A3369="","",UPPER(SUBSTITUTE(SUBSTITUTE(SUBSTITUTE(SUBSTITUTE($A3369," ",""),"(주)",""),"주식회사",""),"㈜","")))</f>
        <v/>
      </c>
      <c r="H3369" s="10" t="str">
        <f aca="false">IF($B3369="","",SUBSTITUTE(SUBSTITUTE(SUBSTITUTE($B3369,"-","")," ",""),".",""))</f>
        <v/>
      </c>
      <c r="I3369" s="10" t="str">
        <f aca="false">IF($D3369="","",SUBSTITUTE(SUBSTITUTE(SUBSTITUTE($D3369,"-","")," ",""),".",""))</f>
        <v/>
      </c>
      <c r="J3369" s="10" t="str">
        <f aca="false">IF($E3369="","",UPPER(SUBSTITUTE($E3369," ","")))</f>
        <v/>
      </c>
      <c r="K3369" s="10" t="str">
        <f aca="false">IF($A3369="","",$G3369&amp;"|"&amp;$J3369)</f>
        <v/>
      </c>
      <c r="L3369" s="10" t="str">
        <f aca="false">IF($A3369="","",ROW()-2)</f>
        <v/>
      </c>
      <c r="M3369" s="10" t="str">
        <f aca="false">IF($A3369="","",ROW())</f>
        <v/>
      </c>
    </row>
    <row r="3370" customFormat="false" ht="15" hidden="false" customHeight="true" outlineLevel="0" collapsed="false">
      <c r="A3370" s="8"/>
      <c r="B3370" s="8"/>
      <c r="C3370" s="8"/>
      <c r="D3370" s="8"/>
      <c r="E3370" s="8"/>
      <c r="F3370" s="8"/>
      <c r="G3370" s="10" t="str">
        <f aca="false">IF($A3370="","",UPPER(SUBSTITUTE(SUBSTITUTE(SUBSTITUTE(SUBSTITUTE($A3370," ",""),"(주)",""),"주식회사",""),"㈜","")))</f>
        <v/>
      </c>
      <c r="H3370" s="10" t="str">
        <f aca="false">IF($B3370="","",SUBSTITUTE(SUBSTITUTE(SUBSTITUTE($B3370,"-","")," ",""),".",""))</f>
        <v/>
      </c>
      <c r="I3370" s="10" t="str">
        <f aca="false">IF($D3370="","",SUBSTITUTE(SUBSTITUTE(SUBSTITUTE($D3370,"-","")," ",""),".",""))</f>
        <v/>
      </c>
      <c r="J3370" s="10" t="str">
        <f aca="false">IF($E3370="","",UPPER(SUBSTITUTE($E3370," ","")))</f>
        <v/>
      </c>
      <c r="K3370" s="10" t="str">
        <f aca="false">IF($A3370="","",$G3370&amp;"|"&amp;$J3370)</f>
        <v/>
      </c>
      <c r="L3370" s="10" t="str">
        <f aca="false">IF($A3370="","",ROW()-2)</f>
        <v/>
      </c>
      <c r="M3370" s="10" t="str">
        <f aca="false">IF($A3370="","",ROW())</f>
        <v/>
      </c>
    </row>
    <row r="3371" customFormat="false" ht="15" hidden="false" customHeight="true" outlineLevel="0" collapsed="false">
      <c r="A3371" s="8"/>
      <c r="B3371" s="8"/>
      <c r="C3371" s="8"/>
      <c r="D3371" s="8"/>
      <c r="E3371" s="8"/>
      <c r="F3371" s="8"/>
      <c r="G3371" s="10" t="str">
        <f aca="false">IF($A3371="","",UPPER(SUBSTITUTE(SUBSTITUTE(SUBSTITUTE(SUBSTITUTE($A3371," ",""),"(주)",""),"주식회사",""),"㈜","")))</f>
        <v/>
      </c>
      <c r="H3371" s="10" t="str">
        <f aca="false">IF($B3371="","",SUBSTITUTE(SUBSTITUTE(SUBSTITUTE($B3371,"-","")," ",""),".",""))</f>
        <v/>
      </c>
      <c r="I3371" s="10" t="str">
        <f aca="false">IF($D3371="","",SUBSTITUTE(SUBSTITUTE(SUBSTITUTE($D3371,"-","")," ",""),".",""))</f>
        <v/>
      </c>
      <c r="J3371" s="10" t="str">
        <f aca="false">IF($E3371="","",UPPER(SUBSTITUTE($E3371," ","")))</f>
        <v/>
      </c>
      <c r="K3371" s="10" t="str">
        <f aca="false">IF($A3371="","",$G3371&amp;"|"&amp;$J3371)</f>
        <v/>
      </c>
      <c r="L3371" s="10" t="str">
        <f aca="false">IF($A3371="","",ROW()-2)</f>
        <v/>
      </c>
      <c r="M3371" s="10" t="str">
        <f aca="false">IF($A3371="","",ROW())</f>
        <v/>
      </c>
    </row>
    <row r="3372" customFormat="false" ht="15" hidden="false" customHeight="true" outlineLevel="0" collapsed="false">
      <c r="A3372" s="8"/>
      <c r="B3372" s="8"/>
      <c r="C3372" s="8"/>
      <c r="D3372" s="8"/>
      <c r="E3372" s="8"/>
      <c r="F3372" s="8"/>
      <c r="G3372" s="10" t="str">
        <f aca="false">IF($A3372="","",UPPER(SUBSTITUTE(SUBSTITUTE(SUBSTITUTE(SUBSTITUTE($A3372," ",""),"(주)",""),"주식회사",""),"㈜","")))</f>
        <v/>
      </c>
      <c r="H3372" s="10" t="str">
        <f aca="false">IF($B3372="","",SUBSTITUTE(SUBSTITUTE(SUBSTITUTE($B3372,"-","")," ",""),".",""))</f>
        <v/>
      </c>
      <c r="I3372" s="10" t="str">
        <f aca="false">IF($D3372="","",SUBSTITUTE(SUBSTITUTE(SUBSTITUTE($D3372,"-","")," ",""),".",""))</f>
        <v/>
      </c>
      <c r="J3372" s="10" t="str">
        <f aca="false">IF($E3372="","",UPPER(SUBSTITUTE($E3372," ","")))</f>
        <v/>
      </c>
      <c r="K3372" s="10" t="str">
        <f aca="false">IF($A3372="","",$G3372&amp;"|"&amp;$J3372)</f>
        <v/>
      </c>
      <c r="L3372" s="10" t="str">
        <f aca="false">IF($A3372="","",ROW()-2)</f>
        <v/>
      </c>
      <c r="M3372" s="10" t="str">
        <f aca="false">IF($A3372="","",ROW())</f>
        <v/>
      </c>
    </row>
    <row r="3373" customFormat="false" ht="15" hidden="false" customHeight="true" outlineLevel="0" collapsed="false">
      <c r="A3373" s="8"/>
      <c r="B3373" s="8"/>
      <c r="C3373" s="8"/>
      <c r="D3373" s="8"/>
      <c r="E3373" s="8"/>
      <c r="F3373" s="8"/>
      <c r="G3373" s="10" t="str">
        <f aca="false">IF($A3373="","",UPPER(SUBSTITUTE(SUBSTITUTE(SUBSTITUTE(SUBSTITUTE($A3373," ",""),"(주)",""),"주식회사",""),"㈜","")))</f>
        <v/>
      </c>
      <c r="H3373" s="10" t="str">
        <f aca="false">IF($B3373="","",SUBSTITUTE(SUBSTITUTE(SUBSTITUTE($B3373,"-","")," ",""),".",""))</f>
        <v/>
      </c>
      <c r="I3373" s="10" t="str">
        <f aca="false">IF($D3373="","",SUBSTITUTE(SUBSTITUTE(SUBSTITUTE($D3373,"-","")," ",""),".",""))</f>
        <v/>
      </c>
      <c r="J3373" s="10" t="str">
        <f aca="false">IF($E3373="","",UPPER(SUBSTITUTE($E3373," ","")))</f>
        <v/>
      </c>
      <c r="K3373" s="10" t="str">
        <f aca="false">IF($A3373="","",$G3373&amp;"|"&amp;$J3373)</f>
        <v/>
      </c>
      <c r="L3373" s="10" t="str">
        <f aca="false">IF($A3373="","",ROW()-2)</f>
        <v/>
      </c>
      <c r="M3373" s="10" t="str">
        <f aca="false">IF($A3373="","",ROW())</f>
        <v/>
      </c>
    </row>
    <row r="3374" customFormat="false" ht="15" hidden="false" customHeight="true" outlineLevel="0" collapsed="false">
      <c r="A3374" s="8"/>
      <c r="B3374" s="8"/>
      <c r="C3374" s="8"/>
      <c r="D3374" s="8"/>
      <c r="E3374" s="8"/>
      <c r="F3374" s="8"/>
      <c r="G3374" s="10" t="str">
        <f aca="false">IF($A3374="","",UPPER(SUBSTITUTE(SUBSTITUTE(SUBSTITUTE(SUBSTITUTE($A3374," ",""),"(주)",""),"주식회사",""),"㈜","")))</f>
        <v/>
      </c>
      <c r="H3374" s="10" t="str">
        <f aca="false">IF($B3374="","",SUBSTITUTE(SUBSTITUTE(SUBSTITUTE($B3374,"-","")," ",""),".",""))</f>
        <v/>
      </c>
      <c r="I3374" s="10" t="str">
        <f aca="false">IF($D3374="","",SUBSTITUTE(SUBSTITUTE(SUBSTITUTE($D3374,"-","")," ",""),".",""))</f>
        <v/>
      </c>
      <c r="J3374" s="10" t="str">
        <f aca="false">IF($E3374="","",UPPER(SUBSTITUTE($E3374," ","")))</f>
        <v/>
      </c>
      <c r="K3374" s="10" t="str">
        <f aca="false">IF($A3374="","",$G3374&amp;"|"&amp;$J3374)</f>
        <v/>
      </c>
      <c r="L3374" s="10" t="str">
        <f aca="false">IF($A3374="","",ROW()-2)</f>
        <v/>
      </c>
      <c r="M3374" s="10" t="str">
        <f aca="false">IF($A3374="","",ROW())</f>
        <v/>
      </c>
    </row>
    <row r="3375" customFormat="false" ht="15" hidden="false" customHeight="true" outlineLevel="0" collapsed="false">
      <c r="A3375" s="8"/>
      <c r="B3375" s="8"/>
      <c r="C3375" s="8"/>
      <c r="D3375" s="8"/>
      <c r="E3375" s="8"/>
      <c r="F3375" s="8"/>
      <c r="G3375" s="10" t="str">
        <f aca="false">IF($A3375="","",UPPER(SUBSTITUTE(SUBSTITUTE(SUBSTITUTE(SUBSTITUTE($A3375," ",""),"(주)",""),"주식회사",""),"㈜","")))</f>
        <v/>
      </c>
      <c r="H3375" s="10" t="str">
        <f aca="false">IF($B3375="","",SUBSTITUTE(SUBSTITUTE(SUBSTITUTE($B3375,"-","")," ",""),".",""))</f>
        <v/>
      </c>
      <c r="I3375" s="10" t="str">
        <f aca="false">IF($D3375="","",SUBSTITUTE(SUBSTITUTE(SUBSTITUTE($D3375,"-","")," ",""),".",""))</f>
        <v/>
      </c>
      <c r="J3375" s="10" t="str">
        <f aca="false">IF($E3375="","",UPPER(SUBSTITUTE($E3375," ","")))</f>
        <v/>
      </c>
      <c r="K3375" s="10" t="str">
        <f aca="false">IF($A3375="","",$G3375&amp;"|"&amp;$J3375)</f>
        <v/>
      </c>
      <c r="L3375" s="10" t="str">
        <f aca="false">IF($A3375="","",ROW()-2)</f>
        <v/>
      </c>
      <c r="M3375" s="10" t="str">
        <f aca="false">IF($A3375="","",ROW())</f>
        <v/>
      </c>
    </row>
    <row r="3376" customFormat="false" ht="15" hidden="false" customHeight="true" outlineLevel="0" collapsed="false">
      <c r="A3376" s="8"/>
      <c r="B3376" s="8"/>
      <c r="C3376" s="8"/>
      <c r="D3376" s="8"/>
      <c r="E3376" s="8"/>
      <c r="F3376" s="8"/>
      <c r="G3376" s="10" t="str">
        <f aca="false">IF($A3376="","",UPPER(SUBSTITUTE(SUBSTITUTE(SUBSTITUTE(SUBSTITUTE($A3376," ",""),"(주)",""),"주식회사",""),"㈜","")))</f>
        <v/>
      </c>
      <c r="H3376" s="10" t="str">
        <f aca="false">IF($B3376="","",SUBSTITUTE(SUBSTITUTE(SUBSTITUTE($B3376,"-","")," ",""),".",""))</f>
        <v/>
      </c>
      <c r="I3376" s="10" t="str">
        <f aca="false">IF($D3376="","",SUBSTITUTE(SUBSTITUTE(SUBSTITUTE($D3376,"-","")," ",""),".",""))</f>
        <v/>
      </c>
      <c r="J3376" s="10" t="str">
        <f aca="false">IF($E3376="","",UPPER(SUBSTITUTE($E3376," ","")))</f>
        <v/>
      </c>
      <c r="K3376" s="10" t="str">
        <f aca="false">IF($A3376="","",$G3376&amp;"|"&amp;$J3376)</f>
        <v/>
      </c>
      <c r="L3376" s="10" t="str">
        <f aca="false">IF($A3376="","",ROW()-2)</f>
        <v/>
      </c>
      <c r="M3376" s="10" t="str">
        <f aca="false">IF($A3376="","",ROW())</f>
        <v/>
      </c>
    </row>
    <row r="3377" customFormat="false" ht="15" hidden="false" customHeight="true" outlineLevel="0" collapsed="false">
      <c r="A3377" s="8"/>
      <c r="B3377" s="8"/>
      <c r="C3377" s="8"/>
      <c r="D3377" s="8"/>
      <c r="E3377" s="8"/>
      <c r="F3377" s="8"/>
      <c r="G3377" s="10" t="str">
        <f aca="false">IF($A3377="","",UPPER(SUBSTITUTE(SUBSTITUTE(SUBSTITUTE(SUBSTITUTE($A3377," ",""),"(주)",""),"주식회사",""),"㈜","")))</f>
        <v/>
      </c>
      <c r="H3377" s="10" t="str">
        <f aca="false">IF($B3377="","",SUBSTITUTE(SUBSTITUTE(SUBSTITUTE($B3377,"-","")," ",""),".",""))</f>
        <v/>
      </c>
      <c r="I3377" s="10" t="str">
        <f aca="false">IF($D3377="","",SUBSTITUTE(SUBSTITUTE(SUBSTITUTE($D3377,"-","")," ",""),".",""))</f>
        <v/>
      </c>
      <c r="J3377" s="10" t="str">
        <f aca="false">IF($E3377="","",UPPER(SUBSTITUTE($E3377," ","")))</f>
        <v/>
      </c>
      <c r="K3377" s="10" t="str">
        <f aca="false">IF($A3377="","",$G3377&amp;"|"&amp;$J3377)</f>
        <v/>
      </c>
      <c r="L3377" s="10" t="str">
        <f aca="false">IF($A3377="","",ROW()-2)</f>
        <v/>
      </c>
      <c r="M3377" s="10" t="str">
        <f aca="false">IF($A3377="","",ROW())</f>
        <v/>
      </c>
    </row>
    <row r="3378" customFormat="false" ht="15" hidden="false" customHeight="true" outlineLevel="0" collapsed="false">
      <c r="A3378" s="8"/>
      <c r="B3378" s="8"/>
      <c r="C3378" s="8"/>
      <c r="D3378" s="8"/>
      <c r="E3378" s="8"/>
      <c r="F3378" s="8"/>
      <c r="G3378" s="10" t="str">
        <f aca="false">IF($A3378="","",UPPER(SUBSTITUTE(SUBSTITUTE(SUBSTITUTE(SUBSTITUTE($A3378," ",""),"(주)",""),"주식회사",""),"㈜","")))</f>
        <v/>
      </c>
      <c r="H3378" s="10" t="str">
        <f aca="false">IF($B3378="","",SUBSTITUTE(SUBSTITUTE(SUBSTITUTE($B3378,"-","")," ",""),".",""))</f>
        <v/>
      </c>
      <c r="I3378" s="10" t="str">
        <f aca="false">IF($D3378="","",SUBSTITUTE(SUBSTITUTE(SUBSTITUTE($D3378,"-","")," ",""),".",""))</f>
        <v/>
      </c>
      <c r="J3378" s="10" t="str">
        <f aca="false">IF($E3378="","",UPPER(SUBSTITUTE($E3378," ","")))</f>
        <v/>
      </c>
      <c r="K3378" s="10" t="str">
        <f aca="false">IF($A3378="","",$G3378&amp;"|"&amp;$J3378)</f>
        <v/>
      </c>
      <c r="L3378" s="10" t="str">
        <f aca="false">IF($A3378="","",ROW()-2)</f>
        <v/>
      </c>
      <c r="M3378" s="10" t="str">
        <f aca="false">IF($A3378="","",ROW())</f>
        <v/>
      </c>
    </row>
    <row r="3379" customFormat="false" ht="15" hidden="false" customHeight="true" outlineLevel="0" collapsed="false">
      <c r="A3379" s="8"/>
      <c r="B3379" s="8"/>
      <c r="C3379" s="8"/>
      <c r="D3379" s="8"/>
      <c r="E3379" s="8"/>
      <c r="F3379" s="8"/>
      <c r="G3379" s="10" t="str">
        <f aca="false">IF($A3379="","",UPPER(SUBSTITUTE(SUBSTITUTE(SUBSTITUTE(SUBSTITUTE($A3379," ",""),"(주)",""),"주식회사",""),"㈜","")))</f>
        <v/>
      </c>
      <c r="H3379" s="10" t="str">
        <f aca="false">IF($B3379="","",SUBSTITUTE(SUBSTITUTE(SUBSTITUTE($B3379,"-","")," ",""),".",""))</f>
        <v/>
      </c>
      <c r="I3379" s="10" t="str">
        <f aca="false">IF($D3379="","",SUBSTITUTE(SUBSTITUTE(SUBSTITUTE($D3379,"-","")," ",""),".",""))</f>
        <v/>
      </c>
      <c r="J3379" s="10" t="str">
        <f aca="false">IF($E3379="","",UPPER(SUBSTITUTE($E3379," ","")))</f>
        <v/>
      </c>
      <c r="K3379" s="10" t="str">
        <f aca="false">IF($A3379="","",$G3379&amp;"|"&amp;$J3379)</f>
        <v/>
      </c>
      <c r="L3379" s="10" t="str">
        <f aca="false">IF($A3379="","",ROW()-2)</f>
        <v/>
      </c>
      <c r="M3379" s="10" t="str">
        <f aca="false">IF($A3379="","",ROW())</f>
        <v/>
      </c>
    </row>
    <row r="3380" customFormat="false" ht="15" hidden="false" customHeight="true" outlineLevel="0" collapsed="false">
      <c r="A3380" s="8"/>
      <c r="B3380" s="8"/>
      <c r="C3380" s="8"/>
      <c r="D3380" s="8"/>
      <c r="E3380" s="8"/>
      <c r="F3380" s="8"/>
      <c r="G3380" s="10" t="str">
        <f aca="false">IF($A3380="","",UPPER(SUBSTITUTE(SUBSTITUTE(SUBSTITUTE(SUBSTITUTE($A3380," ",""),"(주)",""),"주식회사",""),"㈜","")))</f>
        <v/>
      </c>
      <c r="H3380" s="10" t="str">
        <f aca="false">IF($B3380="","",SUBSTITUTE(SUBSTITUTE(SUBSTITUTE($B3380,"-","")," ",""),".",""))</f>
        <v/>
      </c>
      <c r="I3380" s="10" t="str">
        <f aca="false">IF($D3380="","",SUBSTITUTE(SUBSTITUTE(SUBSTITUTE($D3380,"-","")," ",""),".",""))</f>
        <v/>
      </c>
      <c r="J3380" s="10" t="str">
        <f aca="false">IF($E3380="","",UPPER(SUBSTITUTE($E3380," ","")))</f>
        <v/>
      </c>
      <c r="K3380" s="10" t="str">
        <f aca="false">IF($A3380="","",$G3380&amp;"|"&amp;$J3380)</f>
        <v/>
      </c>
      <c r="L3380" s="10" t="str">
        <f aca="false">IF($A3380="","",ROW()-2)</f>
        <v/>
      </c>
      <c r="M3380" s="10" t="str">
        <f aca="false">IF($A3380="","",ROW())</f>
        <v/>
      </c>
    </row>
    <row r="3381" customFormat="false" ht="15" hidden="false" customHeight="true" outlineLevel="0" collapsed="false">
      <c r="A3381" s="8"/>
      <c r="B3381" s="8"/>
      <c r="C3381" s="8"/>
      <c r="D3381" s="8"/>
      <c r="E3381" s="8"/>
      <c r="F3381" s="8"/>
      <c r="G3381" s="10" t="str">
        <f aca="false">IF($A3381="","",UPPER(SUBSTITUTE(SUBSTITUTE(SUBSTITUTE(SUBSTITUTE($A3381," ",""),"(주)",""),"주식회사",""),"㈜","")))</f>
        <v/>
      </c>
      <c r="H3381" s="10" t="str">
        <f aca="false">IF($B3381="","",SUBSTITUTE(SUBSTITUTE(SUBSTITUTE($B3381,"-","")," ",""),".",""))</f>
        <v/>
      </c>
      <c r="I3381" s="10" t="str">
        <f aca="false">IF($D3381="","",SUBSTITUTE(SUBSTITUTE(SUBSTITUTE($D3381,"-","")," ",""),".",""))</f>
        <v/>
      </c>
      <c r="J3381" s="10" t="str">
        <f aca="false">IF($E3381="","",UPPER(SUBSTITUTE($E3381," ","")))</f>
        <v/>
      </c>
      <c r="K3381" s="10" t="str">
        <f aca="false">IF($A3381="","",$G3381&amp;"|"&amp;$J3381)</f>
        <v/>
      </c>
      <c r="L3381" s="10" t="str">
        <f aca="false">IF($A3381="","",ROW()-2)</f>
        <v/>
      </c>
      <c r="M3381" s="10" t="str">
        <f aca="false">IF($A3381="","",ROW())</f>
        <v/>
      </c>
    </row>
    <row r="3382" customFormat="false" ht="15" hidden="false" customHeight="true" outlineLevel="0" collapsed="false">
      <c r="A3382" s="8"/>
      <c r="B3382" s="8"/>
      <c r="C3382" s="8"/>
      <c r="D3382" s="8"/>
      <c r="E3382" s="8"/>
      <c r="F3382" s="8"/>
      <c r="G3382" s="10" t="str">
        <f aca="false">IF($A3382="","",UPPER(SUBSTITUTE(SUBSTITUTE(SUBSTITUTE(SUBSTITUTE($A3382," ",""),"(주)",""),"주식회사",""),"㈜","")))</f>
        <v/>
      </c>
      <c r="H3382" s="10" t="str">
        <f aca="false">IF($B3382="","",SUBSTITUTE(SUBSTITUTE(SUBSTITUTE($B3382,"-","")," ",""),".",""))</f>
        <v/>
      </c>
      <c r="I3382" s="10" t="str">
        <f aca="false">IF($D3382="","",SUBSTITUTE(SUBSTITUTE(SUBSTITUTE($D3382,"-","")," ",""),".",""))</f>
        <v/>
      </c>
      <c r="J3382" s="10" t="str">
        <f aca="false">IF($E3382="","",UPPER(SUBSTITUTE($E3382," ","")))</f>
        <v/>
      </c>
      <c r="K3382" s="10" t="str">
        <f aca="false">IF($A3382="","",$G3382&amp;"|"&amp;$J3382)</f>
        <v/>
      </c>
      <c r="L3382" s="10" t="str">
        <f aca="false">IF($A3382="","",ROW()-2)</f>
        <v/>
      </c>
      <c r="M3382" s="10" t="str">
        <f aca="false">IF($A3382="","",ROW())</f>
        <v/>
      </c>
    </row>
    <row r="3383" customFormat="false" ht="15" hidden="false" customHeight="true" outlineLevel="0" collapsed="false">
      <c r="A3383" s="8"/>
      <c r="B3383" s="8"/>
      <c r="C3383" s="8"/>
      <c r="D3383" s="8"/>
      <c r="E3383" s="8"/>
      <c r="F3383" s="8"/>
      <c r="G3383" s="10" t="str">
        <f aca="false">IF($A3383="","",UPPER(SUBSTITUTE(SUBSTITUTE(SUBSTITUTE(SUBSTITUTE($A3383," ",""),"(주)",""),"주식회사",""),"㈜","")))</f>
        <v/>
      </c>
      <c r="H3383" s="10" t="str">
        <f aca="false">IF($B3383="","",SUBSTITUTE(SUBSTITUTE(SUBSTITUTE($B3383,"-","")," ",""),".",""))</f>
        <v/>
      </c>
      <c r="I3383" s="10" t="str">
        <f aca="false">IF($D3383="","",SUBSTITUTE(SUBSTITUTE(SUBSTITUTE($D3383,"-","")," ",""),".",""))</f>
        <v/>
      </c>
      <c r="J3383" s="10" t="str">
        <f aca="false">IF($E3383="","",UPPER(SUBSTITUTE($E3383," ","")))</f>
        <v/>
      </c>
      <c r="K3383" s="10" t="str">
        <f aca="false">IF($A3383="","",$G3383&amp;"|"&amp;$J3383)</f>
        <v/>
      </c>
      <c r="L3383" s="10" t="str">
        <f aca="false">IF($A3383="","",ROW()-2)</f>
        <v/>
      </c>
      <c r="M3383" s="10" t="str">
        <f aca="false">IF($A3383="","",ROW())</f>
        <v/>
      </c>
    </row>
    <row r="3384" customFormat="false" ht="15" hidden="false" customHeight="true" outlineLevel="0" collapsed="false">
      <c r="A3384" s="8"/>
      <c r="B3384" s="8"/>
      <c r="C3384" s="8"/>
      <c r="D3384" s="8"/>
      <c r="E3384" s="8"/>
      <c r="F3384" s="8"/>
      <c r="G3384" s="10" t="str">
        <f aca="false">IF($A3384="","",UPPER(SUBSTITUTE(SUBSTITUTE(SUBSTITUTE(SUBSTITUTE($A3384," ",""),"(주)",""),"주식회사",""),"㈜","")))</f>
        <v/>
      </c>
      <c r="H3384" s="10" t="str">
        <f aca="false">IF($B3384="","",SUBSTITUTE(SUBSTITUTE(SUBSTITUTE($B3384,"-","")," ",""),".",""))</f>
        <v/>
      </c>
      <c r="I3384" s="10" t="str">
        <f aca="false">IF($D3384="","",SUBSTITUTE(SUBSTITUTE(SUBSTITUTE($D3384,"-","")," ",""),".",""))</f>
        <v/>
      </c>
      <c r="J3384" s="10" t="str">
        <f aca="false">IF($E3384="","",UPPER(SUBSTITUTE($E3384," ","")))</f>
        <v/>
      </c>
      <c r="K3384" s="10" t="str">
        <f aca="false">IF($A3384="","",$G3384&amp;"|"&amp;$J3384)</f>
        <v/>
      </c>
      <c r="L3384" s="10" t="str">
        <f aca="false">IF($A3384="","",ROW()-2)</f>
        <v/>
      </c>
      <c r="M3384" s="10" t="str">
        <f aca="false">IF($A3384="","",ROW())</f>
        <v/>
      </c>
    </row>
    <row r="3385" customFormat="false" ht="15" hidden="false" customHeight="true" outlineLevel="0" collapsed="false">
      <c r="A3385" s="8"/>
      <c r="B3385" s="8"/>
      <c r="C3385" s="8"/>
      <c r="D3385" s="8"/>
      <c r="E3385" s="8"/>
      <c r="F3385" s="8"/>
      <c r="G3385" s="10" t="str">
        <f aca="false">IF($A3385="","",UPPER(SUBSTITUTE(SUBSTITUTE(SUBSTITUTE(SUBSTITUTE($A3385," ",""),"(주)",""),"주식회사",""),"㈜","")))</f>
        <v/>
      </c>
      <c r="H3385" s="10" t="str">
        <f aca="false">IF($B3385="","",SUBSTITUTE(SUBSTITUTE(SUBSTITUTE($B3385,"-","")," ",""),".",""))</f>
        <v/>
      </c>
      <c r="I3385" s="10" t="str">
        <f aca="false">IF($D3385="","",SUBSTITUTE(SUBSTITUTE(SUBSTITUTE($D3385,"-","")," ",""),".",""))</f>
        <v/>
      </c>
      <c r="J3385" s="10" t="str">
        <f aca="false">IF($E3385="","",UPPER(SUBSTITUTE($E3385," ","")))</f>
        <v/>
      </c>
      <c r="K3385" s="10" t="str">
        <f aca="false">IF($A3385="","",$G3385&amp;"|"&amp;$J3385)</f>
        <v/>
      </c>
      <c r="L3385" s="10" t="str">
        <f aca="false">IF($A3385="","",ROW()-2)</f>
        <v/>
      </c>
      <c r="M3385" s="10" t="str">
        <f aca="false">IF($A3385="","",ROW())</f>
        <v/>
      </c>
    </row>
    <row r="3386" customFormat="false" ht="15" hidden="false" customHeight="true" outlineLevel="0" collapsed="false">
      <c r="A3386" s="8"/>
      <c r="B3386" s="8"/>
      <c r="C3386" s="8"/>
      <c r="D3386" s="8"/>
      <c r="E3386" s="8"/>
      <c r="F3386" s="8"/>
      <c r="G3386" s="10" t="str">
        <f aca="false">IF($A3386="","",UPPER(SUBSTITUTE(SUBSTITUTE(SUBSTITUTE(SUBSTITUTE($A3386," ",""),"(주)",""),"주식회사",""),"㈜","")))</f>
        <v/>
      </c>
      <c r="H3386" s="10" t="str">
        <f aca="false">IF($B3386="","",SUBSTITUTE(SUBSTITUTE(SUBSTITUTE($B3386,"-","")," ",""),".",""))</f>
        <v/>
      </c>
      <c r="I3386" s="10" t="str">
        <f aca="false">IF($D3386="","",SUBSTITUTE(SUBSTITUTE(SUBSTITUTE($D3386,"-","")," ",""),".",""))</f>
        <v/>
      </c>
      <c r="J3386" s="10" t="str">
        <f aca="false">IF($E3386="","",UPPER(SUBSTITUTE($E3386," ","")))</f>
        <v/>
      </c>
      <c r="K3386" s="10" t="str">
        <f aca="false">IF($A3386="","",$G3386&amp;"|"&amp;$J3386)</f>
        <v/>
      </c>
      <c r="L3386" s="10" t="str">
        <f aca="false">IF($A3386="","",ROW()-2)</f>
        <v/>
      </c>
      <c r="M3386" s="10" t="str">
        <f aca="false">IF($A3386="","",ROW())</f>
        <v/>
      </c>
    </row>
    <row r="3387" customFormat="false" ht="15" hidden="false" customHeight="true" outlineLevel="0" collapsed="false">
      <c r="A3387" s="8"/>
      <c r="B3387" s="8"/>
      <c r="C3387" s="8"/>
      <c r="D3387" s="8"/>
      <c r="E3387" s="8"/>
      <c r="F3387" s="8"/>
      <c r="G3387" s="10" t="str">
        <f aca="false">IF($A3387="","",UPPER(SUBSTITUTE(SUBSTITUTE(SUBSTITUTE(SUBSTITUTE($A3387," ",""),"(주)",""),"주식회사",""),"㈜","")))</f>
        <v/>
      </c>
      <c r="H3387" s="10" t="str">
        <f aca="false">IF($B3387="","",SUBSTITUTE(SUBSTITUTE(SUBSTITUTE($B3387,"-","")," ",""),".",""))</f>
        <v/>
      </c>
      <c r="I3387" s="10" t="str">
        <f aca="false">IF($D3387="","",SUBSTITUTE(SUBSTITUTE(SUBSTITUTE($D3387,"-","")," ",""),".",""))</f>
        <v/>
      </c>
      <c r="J3387" s="10" t="str">
        <f aca="false">IF($E3387="","",UPPER(SUBSTITUTE($E3387," ","")))</f>
        <v/>
      </c>
      <c r="K3387" s="10" t="str">
        <f aca="false">IF($A3387="","",$G3387&amp;"|"&amp;$J3387)</f>
        <v/>
      </c>
      <c r="L3387" s="10" t="str">
        <f aca="false">IF($A3387="","",ROW()-2)</f>
        <v/>
      </c>
      <c r="M3387" s="10" t="str">
        <f aca="false">IF($A3387="","",ROW())</f>
        <v/>
      </c>
    </row>
    <row r="3388" customFormat="false" ht="15" hidden="false" customHeight="true" outlineLevel="0" collapsed="false">
      <c r="A3388" s="8"/>
      <c r="B3388" s="8"/>
      <c r="C3388" s="8"/>
      <c r="D3388" s="8"/>
      <c r="E3388" s="8"/>
      <c r="F3388" s="8"/>
      <c r="G3388" s="10" t="str">
        <f aca="false">IF($A3388="","",UPPER(SUBSTITUTE(SUBSTITUTE(SUBSTITUTE(SUBSTITUTE($A3388," ",""),"(주)",""),"주식회사",""),"㈜","")))</f>
        <v/>
      </c>
      <c r="H3388" s="10" t="str">
        <f aca="false">IF($B3388="","",SUBSTITUTE(SUBSTITUTE(SUBSTITUTE($B3388,"-","")," ",""),".",""))</f>
        <v/>
      </c>
      <c r="I3388" s="10" t="str">
        <f aca="false">IF($D3388="","",SUBSTITUTE(SUBSTITUTE(SUBSTITUTE($D3388,"-","")," ",""),".",""))</f>
        <v/>
      </c>
      <c r="J3388" s="10" t="str">
        <f aca="false">IF($E3388="","",UPPER(SUBSTITUTE($E3388," ","")))</f>
        <v/>
      </c>
      <c r="K3388" s="10" t="str">
        <f aca="false">IF($A3388="","",$G3388&amp;"|"&amp;$J3388)</f>
        <v/>
      </c>
      <c r="L3388" s="10" t="str">
        <f aca="false">IF($A3388="","",ROW()-2)</f>
        <v/>
      </c>
      <c r="M3388" s="10" t="str">
        <f aca="false">IF($A3388="","",ROW())</f>
        <v/>
      </c>
    </row>
    <row r="3389" customFormat="false" ht="15" hidden="false" customHeight="true" outlineLevel="0" collapsed="false">
      <c r="A3389" s="8"/>
      <c r="B3389" s="8"/>
      <c r="C3389" s="8"/>
      <c r="D3389" s="8"/>
      <c r="E3389" s="8"/>
      <c r="F3389" s="8"/>
      <c r="G3389" s="10" t="str">
        <f aca="false">IF($A3389="","",UPPER(SUBSTITUTE(SUBSTITUTE(SUBSTITUTE(SUBSTITUTE($A3389," ",""),"(주)",""),"주식회사",""),"㈜","")))</f>
        <v/>
      </c>
      <c r="H3389" s="10" t="str">
        <f aca="false">IF($B3389="","",SUBSTITUTE(SUBSTITUTE(SUBSTITUTE($B3389,"-","")," ",""),".",""))</f>
        <v/>
      </c>
      <c r="I3389" s="10" t="str">
        <f aca="false">IF($D3389="","",SUBSTITUTE(SUBSTITUTE(SUBSTITUTE($D3389,"-","")," ",""),".",""))</f>
        <v/>
      </c>
      <c r="J3389" s="10" t="str">
        <f aca="false">IF($E3389="","",UPPER(SUBSTITUTE($E3389," ","")))</f>
        <v/>
      </c>
      <c r="K3389" s="10" t="str">
        <f aca="false">IF($A3389="","",$G3389&amp;"|"&amp;$J3389)</f>
        <v/>
      </c>
      <c r="L3389" s="10" t="str">
        <f aca="false">IF($A3389="","",ROW()-2)</f>
        <v/>
      </c>
      <c r="M3389" s="10" t="str">
        <f aca="false">IF($A3389="","",ROW())</f>
        <v/>
      </c>
    </row>
    <row r="3390" customFormat="false" ht="15" hidden="false" customHeight="true" outlineLevel="0" collapsed="false">
      <c r="A3390" s="8"/>
      <c r="B3390" s="8"/>
      <c r="C3390" s="8"/>
      <c r="D3390" s="8"/>
      <c r="E3390" s="8"/>
      <c r="F3390" s="8"/>
      <c r="G3390" s="10" t="str">
        <f aca="false">IF($A3390="","",UPPER(SUBSTITUTE(SUBSTITUTE(SUBSTITUTE(SUBSTITUTE($A3390," ",""),"(주)",""),"주식회사",""),"㈜","")))</f>
        <v/>
      </c>
      <c r="H3390" s="10" t="str">
        <f aca="false">IF($B3390="","",SUBSTITUTE(SUBSTITUTE(SUBSTITUTE($B3390,"-","")," ",""),".",""))</f>
        <v/>
      </c>
      <c r="I3390" s="10" t="str">
        <f aca="false">IF($D3390="","",SUBSTITUTE(SUBSTITUTE(SUBSTITUTE($D3390,"-","")," ",""),".",""))</f>
        <v/>
      </c>
      <c r="J3390" s="10" t="str">
        <f aca="false">IF($E3390="","",UPPER(SUBSTITUTE($E3390," ","")))</f>
        <v/>
      </c>
      <c r="K3390" s="10" t="str">
        <f aca="false">IF($A3390="","",$G3390&amp;"|"&amp;$J3390)</f>
        <v/>
      </c>
      <c r="L3390" s="10" t="str">
        <f aca="false">IF($A3390="","",ROW()-2)</f>
        <v/>
      </c>
      <c r="M3390" s="10" t="str">
        <f aca="false">IF($A3390="","",ROW())</f>
        <v/>
      </c>
    </row>
    <row r="3391" customFormat="false" ht="15" hidden="false" customHeight="true" outlineLevel="0" collapsed="false">
      <c r="A3391" s="8"/>
      <c r="B3391" s="8"/>
      <c r="C3391" s="8"/>
      <c r="D3391" s="8"/>
      <c r="E3391" s="8"/>
      <c r="F3391" s="8"/>
      <c r="G3391" s="10" t="str">
        <f aca="false">IF($A3391="","",UPPER(SUBSTITUTE(SUBSTITUTE(SUBSTITUTE(SUBSTITUTE($A3391," ",""),"(주)",""),"주식회사",""),"㈜","")))</f>
        <v/>
      </c>
      <c r="H3391" s="10" t="str">
        <f aca="false">IF($B3391="","",SUBSTITUTE(SUBSTITUTE(SUBSTITUTE($B3391,"-","")," ",""),".",""))</f>
        <v/>
      </c>
      <c r="I3391" s="10" t="str">
        <f aca="false">IF($D3391="","",SUBSTITUTE(SUBSTITUTE(SUBSTITUTE($D3391,"-","")," ",""),".",""))</f>
        <v/>
      </c>
      <c r="J3391" s="10" t="str">
        <f aca="false">IF($E3391="","",UPPER(SUBSTITUTE($E3391," ","")))</f>
        <v/>
      </c>
      <c r="K3391" s="10" t="str">
        <f aca="false">IF($A3391="","",$G3391&amp;"|"&amp;$J3391)</f>
        <v/>
      </c>
      <c r="L3391" s="10" t="str">
        <f aca="false">IF($A3391="","",ROW()-2)</f>
        <v/>
      </c>
      <c r="M3391" s="10" t="str">
        <f aca="false">IF($A3391="","",ROW())</f>
        <v/>
      </c>
    </row>
    <row r="3392" customFormat="false" ht="15" hidden="false" customHeight="true" outlineLevel="0" collapsed="false">
      <c r="A3392" s="8"/>
      <c r="B3392" s="8"/>
      <c r="C3392" s="8"/>
      <c r="D3392" s="8"/>
      <c r="E3392" s="8"/>
      <c r="F3392" s="8"/>
      <c r="G3392" s="10" t="str">
        <f aca="false">IF($A3392="","",UPPER(SUBSTITUTE(SUBSTITUTE(SUBSTITUTE(SUBSTITUTE($A3392," ",""),"(주)",""),"주식회사",""),"㈜","")))</f>
        <v/>
      </c>
      <c r="H3392" s="10" t="str">
        <f aca="false">IF($B3392="","",SUBSTITUTE(SUBSTITUTE(SUBSTITUTE($B3392,"-","")," ",""),".",""))</f>
        <v/>
      </c>
      <c r="I3392" s="10" t="str">
        <f aca="false">IF($D3392="","",SUBSTITUTE(SUBSTITUTE(SUBSTITUTE($D3392,"-","")," ",""),".",""))</f>
        <v/>
      </c>
      <c r="J3392" s="10" t="str">
        <f aca="false">IF($E3392="","",UPPER(SUBSTITUTE($E3392," ","")))</f>
        <v/>
      </c>
      <c r="K3392" s="10" t="str">
        <f aca="false">IF($A3392="","",$G3392&amp;"|"&amp;$J3392)</f>
        <v/>
      </c>
      <c r="L3392" s="10" t="str">
        <f aca="false">IF($A3392="","",ROW()-2)</f>
        <v/>
      </c>
      <c r="M3392" s="10" t="str">
        <f aca="false">IF($A3392="","",ROW())</f>
        <v/>
      </c>
    </row>
    <row r="3393" customFormat="false" ht="15" hidden="false" customHeight="true" outlineLevel="0" collapsed="false">
      <c r="A3393" s="8"/>
      <c r="B3393" s="8"/>
      <c r="C3393" s="8"/>
      <c r="D3393" s="8"/>
      <c r="E3393" s="8"/>
      <c r="F3393" s="8"/>
      <c r="G3393" s="10" t="str">
        <f aca="false">IF($A3393="","",UPPER(SUBSTITUTE(SUBSTITUTE(SUBSTITUTE(SUBSTITUTE($A3393," ",""),"(주)",""),"주식회사",""),"㈜","")))</f>
        <v/>
      </c>
      <c r="H3393" s="10" t="str">
        <f aca="false">IF($B3393="","",SUBSTITUTE(SUBSTITUTE(SUBSTITUTE($B3393,"-","")," ",""),".",""))</f>
        <v/>
      </c>
      <c r="I3393" s="10" t="str">
        <f aca="false">IF($D3393="","",SUBSTITUTE(SUBSTITUTE(SUBSTITUTE($D3393,"-","")," ",""),".",""))</f>
        <v/>
      </c>
      <c r="J3393" s="10" t="str">
        <f aca="false">IF($E3393="","",UPPER(SUBSTITUTE($E3393," ","")))</f>
        <v/>
      </c>
      <c r="K3393" s="10" t="str">
        <f aca="false">IF($A3393="","",$G3393&amp;"|"&amp;$J3393)</f>
        <v/>
      </c>
      <c r="L3393" s="10" t="str">
        <f aca="false">IF($A3393="","",ROW()-2)</f>
        <v/>
      </c>
      <c r="M3393" s="10" t="str">
        <f aca="false">IF($A3393="","",ROW())</f>
        <v/>
      </c>
    </row>
    <row r="3394" customFormat="false" ht="15" hidden="false" customHeight="true" outlineLevel="0" collapsed="false">
      <c r="A3394" s="8"/>
      <c r="B3394" s="8"/>
      <c r="C3394" s="8"/>
      <c r="D3394" s="8"/>
      <c r="E3394" s="8"/>
      <c r="F3394" s="8"/>
      <c r="G3394" s="10" t="str">
        <f aca="false">IF($A3394="","",UPPER(SUBSTITUTE(SUBSTITUTE(SUBSTITUTE(SUBSTITUTE($A3394," ",""),"(주)",""),"주식회사",""),"㈜","")))</f>
        <v/>
      </c>
      <c r="H3394" s="10" t="str">
        <f aca="false">IF($B3394="","",SUBSTITUTE(SUBSTITUTE(SUBSTITUTE($B3394,"-","")," ",""),".",""))</f>
        <v/>
      </c>
      <c r="I3394" s="10" t="str">
        <f aca="false">IF($D3394="","",SUBSTITUTE(SUBSTITUTE(SUBSTITUTE($D3394,"-","")," ",""),".",""))</f>
        <v/>
      </c>
      <c r="J3394" s="10" t="str">
        <f aca="false">IF($E3394="","",UPPER(SUBSTITUTE($E3394," ","")))</f>
        <v/>
      </c>
      <c r="K3394" s="10" t="str">
        <f aca="false">IF($A3394="","",$G3394&amp;"|"&amp;$J3394)</f>
        <v/>
      </c>
      <c r="L3394" s="10" t="str">
        <f aca="false">IF($A3394="","",ROW()-2)</f>
        <v/>
      </c>
      <c r="M3394" s="10" t="str">
        <f aca="false">IF($A3394="","",ROW())</f>
        <v/>
      </c>
    </row>
    <row r="3395" customFormat="false" ht="15" hidden="false" customHeight="true" outlineLevel="0" collapsed="false">
      <c r="A3395" s="8"/>
      <c r="B3395" s="8"/>
      <c r="C3395" s="8"/>
      <c r="D3395" s="8"/>
      <c r="E3395" s="8"/>
      <c r="F3395" s="8"/>
      <c r="G3395" s="10" t="str">
        <f aca="false">IF($A3395="","",UPPER(SUBSTITUTE(SUBSTITUTE(SUBSTITUTE(SUBSTITUTE($A3395," ",""),"(주)",""),"주식회사",""),"㈜","")))</f>
        <v/>
      </c>
      <c r="H3395" s="10" t="str">
        <f aca="false">IF($B3395="","",SUBSTITUTE(SUBSTITUTE(SUBSTITUTE($B3395,"-","")," ",""),".",""))</f>
        <v/>
      </c>
      <c r="I3395" s="10" t="str">
        <f aca="false">IF($D3395="","",SUBSTITUTE(SUBSTITUTE(SUBSTITUTE($D3395,"-","")," ",""),".",""))</f>
        <v/>
      </c>
      <c r="J3395" s="10" t="str">
        <f aca="false">IF($E3395="","",UPPER(SUBSTITUTE($E3395," ","")))</f>
        <v/>
      </c>
      <c r="K3395" s="10" t="str">
        <f aca="false">IF($A3395="","",$G3395&amp;"|"&amp;$J3395)</f>
        <v/>
      </c>
      <c r="L3395" s="10" t="str">
        <f aca="false">IF($A3395="","",ROW()-2)</f>
        <v/>
      </c>
      <c r="M3395" s="10" t="str">
        <f aca="false">IF($A3395="","",ROW())</f>
        <v/>
      </c>
    </row>
    <row r="3396" customFormat="false" ht="15" hidden="false" customHeight="true" outlineLevel="0" collapsed="false">
      <c r="A3396" s="8"/>
      <c r="B3396" s="8"/>
      <c r="C3396" s="8"/>
      <c r="D3396" s="8"/>
      <c r="E3396" s="8"/>
      <c r="F3396" s="8"/>
      <c r="G3396" s="10" t="str">
        <f aca="false">IF($A3396="","",UPPER(SUBSTITUTE(SUBSTITUTE(SUBSTITUTE(SUBSTITUTE($A3396," ",""),"(주)",""),"주식회사",""),"㈜","")))</f>
        <v/>
      </c>
      <c r="H3396" s="10" t="str">
        <f aca="false">IF($B3396="","",SUBSTITUTE(SUBSTITUTE(SUBSTITUTE($B3396,"-","")," ",""),".",""))</f>
        <v/>
      </c>
      <c r="I3396" s="10" t="str">
        <f aca="false">IF($D3396="","",SUBSTITUTE(SUBSTITUTE(SUBSTITUTE($D3396,"-","")," ",""),".",""))</f>
        <v/>
      </c>
      <c r="J3396" s="10" t="str">
        <f aca="false">IF($E3396="","",UPPER(SUBSTITUTE($E3396," ","")))</f>
        <v/>
      </c>
      <c r="K3396" s="10" t="str">
        <f aca="false">IF($A3396="","",$G3396&amp;"|"&amp;$J3396)</f>
        <v/>
      </c>
      <c r="L3396" s="10" t="str">
        <f aca="false">IF($A3396="","",ROW()-2)</f>
        <v/>
      </c>
      <c r="M3396" s="10" t="str">
        <f aca="false">IF($A3396="","",ROW())</f>
        <v/>
      </c>
    </row>
    <row r="3397" customFormat="false" ht="15" hidden="false" customHeight="true" outlineLevel="0" collapsed="false">
      <c r="A3397" s="8"/>
      <c r="B3397" s="8"/>
      <c r="C3397" s="8"/>
      <c r="D3397" s="8"/>
      <c r="E3397" s="8"/>
      <c r="F3397" s="8"/>
      <c r="G3397" s="10" t="str">
        <f aca="false">IF($A3397="","",UPPER(SUBSTITUTE(SUBSTITUTE(SUBSTITUTE(SUBSTITUTE($A3397," ",""),"(주)",""),"주식회사",""),"㈜","")))</f>
        <v/>
      </c>
      <c r="H3397" s="10" t="str">
        <f aca="false">IF($B3397="","",SUBSTITUTE(SUBSTITUTE(SUBSTITUTE($B3397,"-","")," ",""),".",""))</f>
        <v/>
      </c>
      <c r="I3397" s="10" t="str">
        <f aca="false">IF($D3397="","",SUBSTITUTE(SUBSTITUTE(SUBSTITUTE($D3397,"-","")," ",""),".",""))</f>
        <v/>
      </c>
      <c r="J3397" s="10" t="str">
        <f aca="false">IF($E3397="","",UPPER(SUBSTITUTE($E3397," ","")))</f>
        <v/>
      </c>
      <c r="K3397" s="10" t="str">
        <f aca="false">IF($A3397="","",$G3397&amp;"|"&amp;$J3397)</f>
        <v/>
      </c>
      <c r="L3397" s="10" t="str">
        <f aca="false">IF($A3397="","",ROW()-2)</f>
        <v/>
      </c>
      <c r="M3397" s="10" t="str">
        <f aca="false">IF($A3397="","",ROW())</f>
        <v/>
      </c>
    </row>
    <row r="3398" customFormat="false" ht="15" hidden="false" customHeight="true" outlineLevel="0" collapsed="false">
      <c r="A3398" s="8"/>
      <c r="B3398" s="8"/>
      <c r="C3398" s="8"/>
      <c r="D3398" s="8"/>
      <c r="E3398" s="8"/>
      <c r="F3398" s="8"/>
      <c r="G3398" s="10" t="str">
        <f aca="false">IF($A3398="","",UPPER(SUBSTITUTE(SUBSTITUTE(SUBSTITUTE(SUBSTITUTE($A3398," ",""),"(주)",""),"주식회사",""),"㈜","")))</f>
        <v/>
      </c>
      <c r="H3398" s="10" t="str">
        <f aca="false">IF($B3398="","",SUBSTITUTE(SUBSTITUTE(SUBSTITUTE($B3398,"-","")," ",""),".",""))</f>
        <v/>
      </c>
      <c r="I3398" s="10" t="str">
        <f aca="false">IF($D3398="","",SUBSTITUTE(SUBSTITUTE(SUBSTITUTE($D3398,"-","")," ",""),".",""))</f>
        <v/>
      </c>
      <c r="J3398" s="10" t="str">
        <f aca="false">IF($E3398="","",UPPER(SUBSTITUTE($E3398," ","")))</f>
        <v/>
      </c>
      <c r="K3398" s="10" t="str">
        <f aca="false">IF($A3398="","",$G3398&amp;"|"&amp;$J3398)</f>
        <v/>
      </c>
      <c r="L3398" s="10" t="str">
        <f aca="false">IF($A3398="","",ROW()-2)</f>
        <v/>
      </c>
      <c r="M3398" s="10" t="str">
        <f aca="false">IF($A3398="","",ROW())</f>
        <v/>
      </c>
    </row>
    <row r="3399" customFormat="false" ht="15" hidden="false" customHeight="true" outlineLevel="0" collapsed="false">
      <c r="A3399" s="8"/>
      <c r="B3399" s="8"/>
      <c r="C3399" s="8"/>
      <c r="D3399" s="8"/>
      <c r="E3399" s="8"/>
      <c r="F3399" s="8"/>
      <c r="G3399" s="10" t="str">
        <f aca="false">IF($A3399="","",UPPER(SUBSTITUTE(SUBSTITUTE(SUBSTITUTE(SUBSTITUTE($A3399," ",""),"(주)",""),"주식회사",""),"㈜","")))</f>
        <v/>
      </c>
      <c r="H3399" s="10" t="str">
        <f aca="false">IF($B3399="","",SUBSTITUTE(SUBSTITUTE(SUBSTITUTE($B3399,"-","")," ",""),".",""))</f>
        <v/>
      </c>
      <c r="I3399" s="10" t="str">
        <f aca="false">IF($D3399="","",SUBSTITUTE(SUBSTITUTE(SUBSTITUTE($D3399,"-","")," ",""),".",""))</f>
        <v/>
      </c>
      <c r="J3399" s="10" t="str">
        <f aca="false">IF($E3399="","",UPPER(SUBSTITUTE($E3399," ","")))</f>
        <v/>
      </c>
      <c r="K3399" s="10" t="str">
        <f aca="false">IF($A3399="","",$G3399&amp;"|"&amp;$J3399)</f>
        <v/>
      </c>
      <c r="L3399" s="10" t="str">
        <f aca="false">IF($A3399="","",ROW()-2)</f>
        <v/>
      </c>
      <c r="M3399" s="10" t="str">
        <f aca="false">IF($A3399="","",ROW())</f>
        <v/>
      </c>
    </row>
    <row r="3400" customFormat="false" ht="15" hidden="false" customHeight="true" outlineLevel="0" collapsed="false">
      <c r="A3400" s="8"/>
      <c r="B3400" s="8"/>
      <c r="C3400" s="8"/>
      <c r="D3400" s="8"/>
      <c r="E3400" s="8"/>
      <c r="F3400" s="8"/>
      <c r="G3400" s="10" t="str">
        <f aca="false">IF($A3400="","",UPPER(SUBSTITUTE(SUBSTITUTE(SUBSTITUTE(SUBSTITUTE($A3400," ",""),"(주)",""),"주식회사",""),"㈜","")))</f>
        <v/>
      </c>
      <c r="H3400" s="10" t="str">
        <f aca="false">IF($B3400="","",SUBSTITUTE(SUBSTITUTE(SUBSTITUTE($B3400,"-","")," ",""),".",""))</f>
        <v/>
      </c>
      <c r="I3400" s="10" t="str">
        <f aca="false">IF($D3400="","",SUBSTITUTE(SUBSTITUTE(SUBSTITUTE($D3400,"-","")," ",""),".",""))</f>
        <v/>
      </c>
      <c r="J3400" s="10" t="str">
        <f aca="false">IF($E3400="","",UPPER(SUBSTITUTE($E3400," ","")))</f>
        <v/>
      </c>
      <c r="K3400" s="10" t="str">
        <f aca="false">IF($A3400="","",$G3400&amp;"|"&amp;$J3400)</f>
        <v/>
      </c>
      <c r="L3400" s="10" t="str">
        <f aca="false">IF($A3400="","",ROW()-2)</f>
        <v/>
      </c>
      <c r="M3400" s="10" t="str">
        <f aca="false">IF($A3400="","",ROW())</f>
        <v/>
      </c>
    </row>
    <row r="3401" customFormat="false" ht="15" hidden="false" customHeight="true" outlineLevel="0" collapsed="false">
      <c r="A3401" s="8"/>
      <c r="B3401" s="8"/>
      <c r="C3401" s="8"/>
      <c r="D3401" s="8"/>
      <c r="E3401" s="8"/>
      <c r="F3401" s="8"/>
      <c r="G3401" s="10" t="str">
        <f aca="false">IF($A3401="","",UPPER(SUBSTITUTE(SUBSTITUTE(SUBSTITUTE(SUBSTITUTE($A3401," ",""),"(주)",""),"주식회사",""),"㈜","")))</f>
        <v/>
      </c>
      <c r="H3401" s="10" t="str">
        <f aca="false">IF($B3401="","",SUBSTITUTE(SUBSTITUTE(SUBSTITUTE($B3401,"-","")," ",""),".",""))</f>
        <v/>
      </c>
      <c r="I3401" s="10" t="str">
        <f aca="false">IF($D3401="","",SUBSTITUTE(SUBSTITUTE(SUBSTITUTE($D3401,"-","")," ",""),".",""))</f>
        <v/>
      </c>
      <c r="J3401" s="10" t="str">
        <f aca="false">IF($E3401="","",UPPER(SUBSTITUTE($E3401," ","")))</f>
        <v/>
      </c>
      <c r="K3401" s="10" t="str">
        <f aca="false">IF($A3401="","",$G3401&amp;"|"&amp;$J3401)</f>
        <v/>
      </c>
      <c r="L3401" s="10" t="str">
        <f aca="false">IF($A3401="","",ROW()-2)</f>
        <v/>
      </c>
      <c r="M3401" s="10" t="str">
        <f aca="false">IF($A3401="","",ROW())</f>
        <v/>
      </c>
    </row>
    <row r="3402" customFormat="false" ht="15" hidden="false" customHeight="true" outlineLevel="0" collapsed="false">
      <c r="A3402" s="8"/>
      <c r="B3402" s="8"/>
      <c r="C3402" s="8"/>
      <c r="D3402" s="8"/>
      <c r="E3402" s="8"/>
      <c r="F3402" s="8"/>
      <c r="G3402" s="10" t="str">
        <f aca="false">IF($A3402="","",UPPER(SUBSTITUTE(SUBSTITUTE(SUBSTITUTE(SUBSTITUTE($A3402," ",""),"(주)",""),"주식회사",""),"㈜","")))</f>
        <v/>
      </c>
      <c r="H3402" s="10" t="str">
        <f aca="false">IF($B3402="","",SUBSTITUTE(SUBSTITUTE(SUBSTITUTE($B3402,"-","")," ",""),".",""))</f>
        <v/>
      </c>
      <c r="I3402" s="10" t="str">
        <f aca="false">IF($D3402="","",SUBSTITUTE(SUBSTITUTE(SUBSTITUTE($D3402,"-","")," ",""),".",""))</f>
        <v/>
      </c>
      <c r="J3402" s="10" t="str">
        <f aca="false">IF($E3402="","",UPPER(SUBSTITUTE($E3402," ","")))</f>
        <v/>
      </c>
      <c r="K3402" s="10" t="str">
        <f aca="false">IF($A3402="","",$G3402&amp;"|"&amp;$J3402)</f>
        <v/>
      </c>
      <c r="L3402" s="10" t="str">
        <f aca="false">IF($A3402="","",ROW()-2)</f>
        <v/>
      </c>
      <c r="M3402" s="10" t="str">
        <f aca="false">IF($A3402="","",ROW())</f>
        <v/>
      </c>
    </row>
    <row r="3403" customFormat="false" ht="15" hidden="false" customHeight="true" outlineLevel="0" collapsed="false">
      <c r="A3403" s="8"/>
      <c r="B3403" s="8"/>
      <c r="C3403" s="8"/>
      <c r="D3403" s="8"/>
      <c r="E3403" s="8"/>
      <c r="F3403" s="8"/>
      <c r="G3403" s="10" t="str">
        <f aca="false">IF($A3403="","",UPPER(SUBSTITUTE(SUBSTITUTE(SUBSTITUTE(SUBSTITUTE($A3403," ",""),"(주)",""),"주식회사",""),"㈜","")))</f>
        <v/>
      </c>
      <c r="H3403" s="10" t="str">
        <f aca="false">IF($B3403="","",SUBSTITUTE(SUBSTITUTE(SUBSTITUTE($B3403,"-","")," ",""),".",""))</f>
        <v/>
      </c>
      <c r="I3403" s="10" t="str">
        <f aca="false">IF($D3403="","",SUBSTITUTE(SUBSTITUTE(SUBSTITUTE($D3403,"-","")," ",""),".",""))</f>
        <v/>
      </c>
      <c r="J3403" s="10" t="str">
        <f aca="false">IF($E3403="","",UPPER(SUBSTITUTE($E3403," ","")))</f>
        <v/>
      </c>
      <c r="K3403" s="10" t="str">
        <f aca="false">IF($A3403="","",$G3403&amp;"|"&amp;$J3403)</f>
        <v/>
      </c>
      <c r="L3403" s="10" t="str">
        <f aca="false">IF($A3403="","",ROW()-2)</f>
        <v/>
      </c>
      <c r="M3403" s="10" t="str">
        <f aca="false">IF($A3403="","",ROW())</f>
        <v/>
      </c>
    </row>
    <row r="3404" customFormat="false" ht="15" hidden="false" customHeight="true" outlineLevel="0" collapsed="false">
      <c r="A3404" s="8"/>
      <c r="B3404" s="8"/>
      <c r="C3404" s="8"/>
      <c r="D3404" s="8"/>
      <c r="E3404" s="8"/>
      <c r="F3404" s="8"/>
      <c r="G3404" s="10" t="str">
        <f aca="false">IF($A3404="","",UPPER(SUBSTITUTE(SUBSTITUTE(SUBSTITUTE(SUBSTITUTE($A3404," ",""),"(주)",""),"주식회사",""),"㈜","")))</f>
        <v/>
      </c>
      <c r="H3404" s="10" t="str">
        <f aca="false">IF($B3404="","",SUBSTITUTE(SUBSTITUTE(SUBSTITUTE($B3404,"-","")," ",""),".",""))</f>
        <v/>
      </c>
      <c r="I3404" s="10" t="str">
        <f aca="false">IF($D3404="","",SUBSTITUTE(SUBSTITUTE(SUBSTITUTE($D3404,"-","")," ",""),".",""))</f>
        <v/>
      </c>
      <c r="J3404" s="10" t="str">
        <f aca="false">IF($E3404="","",UPPER(SUBSTITUTE($E3404," ","")))</f>
        <v/>
      </c>
      <c r="K3404" s="10" t="str">
        <f aca="false">IF($A3404="","",$G3404&amp;"|"&amp;$J3404)</f>
        <v/>
      </c>
      <c r="L3404" s="10" t="str">
        <f aca="false">IF($A3404="","",ROW()-2)</f>
        <v/>
      </c>
      <c r="M3404" s="10" t="str">
        <f aca="false">IF($A3404="","",ROW())</f>
        <v/>
      </c>
    </row>
    <row r="3405" customFormat="false" ht="15" hidden="false" customHeight="true" outlineLevel="0" collapsed="false">
      <c r="A3405" s="8"/>
      <c r="B3405" s="8"/>
      <c r="C3405" s="8"/>
      <c r="D3405" s="8"/>
      <c r="E3405" s="8"/>
      <c r="F3405" s="8"/>
      <c r="G3405" s="10" t="str">
        <f aca="false">IF($A3405="","",UPPER(SUBSTITUTE(SUBSTITUTE(SUBSTITUTE(SUBSTITUTE($A3405," ",""),"(주)",""),"주식회사",""),"㈜","")))</f>
        <v/>
      </c>
      <c r="H3405" s="10" t="str">
        <f aca="false">IF($B3405="","",SUBSTITUTE(SUBSTITUTE(SUBSTITUTE($B3405,"-","")," ",""),".",""))</f>
        <v/>
      </c>
      <c r="I3405" s="10" t="str">
        <f aca="false">IF($D3405="","",SUBSTITUTE(SUBSTITUTE(SUBSTITUTE($D3405,"-","")," ",""),".",""))</f>
        <v/>
      </c>
      <c r="J3405" s="10" t="str">
        <f aca="false">IF($E3405="","",UPPER(SUBSTITUTE($E3405," ","")))</f>
        <v/>
      </c>
      <c r="K3405" s="10" t="str">
        <f aca="false">IF($A3405="","",$G3405&amp;"|"&amp;$J3405)</f>
        <v/>
      </c>
      <c r="L3405" s="10" t="str">
        <f aca="false">IF($A3405="","",ROW()-2)</f>
        <v/>
      </c>
      <c r="M3405" s="10" t="str">
        <f aca="false">IF($A3405="","",ROW())</f>
        <v/>
      </c>
    </row>
    <row r="3406" customFormat="false" ht="15" hidden="false" customHeight="true" outlineLevel="0" collapsed="false">
      <c r="A3406" s="8"/>
      <c r="B3406" s="8"/>
      <c r="C3406" s="8"/>
      <c r="D3406" s="8"/>
      <c r="E3406" s="8"/>
      <c r="F3406" s="8"/>
      <c r="G3406" s="10" t="str">
        <f aca="false">IF($A3406="","",UPPER(SUBSTITUTE(SUBSTITUTE(SUBSTITUTE(SUBSTITUTE($A3406," ",""),"(주)",""),"주식회사",""),"㈜","")))</f>
        <v/>
      </c>
      <c r="H3406" s="10" t="str">
        <f aca="false">IF($B3406="","",SUBSTITUTE(SUBSTITUTE(SUBSTITUTE($B3406,"-","")," ",""),".",""))</f>
        <v/>
      </c>
      <c r="I3406" s="10" t="str">
        <f aca="false">IF($D3406="","",SUBSTITUTE(SUBSTITUTE(SUBSTITUTE($D3406,"-","")," ",""),".",""))</f>
        <v/>
      </c>
      <c r="J3406" s="10" t="str">
        <f aca="false">IF($E3406="","",UPPER(SUBSTITUTE($E3406," ","")))</f>
        <v/>
      </c>
      <c r="K3406" s="10" t="str">
        <f aca="false">IF($A3406="","",$G3406&amp;"|"&amp;$J3406)</f>
        <v/>
      </c>
      <c r="L3406" s="10" t="str">
        <f aca="false">IF($A3406="","",ROW()-2)</f>
        <v/>
      </c>
      <c r="M3406" s="10" t="str">
        <f aca="false">IF($A3406="","",ROW())</f>
        <v/>
      </c>
    </row>
    <row r="3407" customFormat="false" ht="15" hidden="false" customHeight="true" outlineLevel="0" collapsed="false">
      <c r="A3407" s="8"/>
      <c r="B3407" s="8"/>
      <c r="C3407" s="8"/>
      <c r="D3407" s="8"/>
      <c r="E3407" s="8"/>
      <c r="F3407" s="8"/>
      <c r="G3407" s="10" t="str">
        <f aca="false">IF($A3407="","",UPPER(SUBSTITUTE(SUBSTITUTE(SUBSTITUTE(SUBSTITUTE($A3407," ",""),"(주)",""),"주식회사",""),"㈜","")))</f>
        <v/>
      </c>
      <c r="H3407" s="10" t="str">
        <f aca="false">IF($B3407="","",SUBSTITUTE(SUBSTITUTE(SUBSTITUTE($B3407,"-","")," ",""),".",""))</f>
        <v/>
      </c>
      <c r="I3407" s="10" t="str">
        <f aca="false">IF($D3407="","",SUBSTITUTE(SUBSTITUTE(SUBSTITUTE($D3407,"-","")," ",""),".",""))</f>
        <v/>
      </c>
      <c r="J3407" s="10" t="str">
        <f aca="false">IF($E3407="","",UPPER(SUBSTITUTE($E3407," ","")))</f>
        <v/>
      </c>
      <c r="K3407" s="10" t="str">
        <f aca="false">IF($A3407="","",$G3407&amp;"|"&amp;$J3407)</f>
        <v/>
      </c>
      <c r="L3407" s="10" t="str">
        <f aca="false">IF($A3407="","",ROW()-2)</f>
        <v/>
      </c>
      <c r="M3407" s="10" t="str">
        <f aca="false">IF($A3407="","",ROW())</f>
        <v/>
      </c>
    </row>
    <row r="3408" customFormat="false" ht="15" hidden="false" customHeight="true" outlineLevel="0" collapsed="false">
      <c r="A3408" s="8"/>
      <c r="B3408" s="8"/>
      <c r="C3408" s="8"/>
      <c r="D3408" s="8"/>
      <c r="E3408" s="8"/>
      <c r="F3408" s="8"/>
      <c r="G3408" s="10" t="str">
        <f aca="false">IF($A3408="","",UPPER(SUBSTITUTE(SUBSTITUTE(SUBSTITUTE(SUBSTITUTE($A3408," ",""),"(주)",""),"주식회사",""),"㈜","")))</f>
        <v/>
      </c>
      <c r="H3408" s="10" t="str">
        <f aca="false">IF($B3408="","",SUBSTITUTE(SUBSTITUTE(SUBSTITUTE($B3408,"-","")," ",""),".",""))</f>
        <v/>
      </c>
      <c r="I3408" s="10" t="str">
        <f aca="false">IF($D3408="","",SUBSTITUTE(SUBSTITUTE(SUBSTITUTE($D3408,"-","")," ",""),".",""))</f>
        <v/>
      </c>
      <c r="J3408" s="10" t="str">
        <f aca="false">IF($E3408="","",UPPER(SUBSTITUTE($E3408," ","")))</f>
        <v/>
      </c>
      <c r="K3408" s="10" t="str">
        <f aca="false">IF($A3408="","",$G3408&amp;"|"&amp;$J3408)</f>
        <v/>
      </c>
      <c r="L3408" s="10" t="str">
        <f aca="false">IF($A3408="","",ROW()-2)</f>
        <v/>
      </c>
      <c r="M3408" s="10" t="str">
        <f aca="false">IF($A3408="","",ROW())</f>
        <v/>
      </c>
    </row>
    <row r="3409" customFormat="false" ht="15" hidden="false" customHeight="true" outlineLevel="0" collapsed="false">
      <c r="A3409" s="8"/>
      <c r="B3409" s="8"/>
      <c r="C3409" s="8"/>
      <c r="D3409" s="8"/>
      <c r="E3409" s="8"/>
      <c r="F3409" s="8"/>
      <c r="G3409" s="10" t="str">
        <f aca="false">IF($A3409="","",UPPER(SUBSTITUTE(SUBSTITUTE(SUBSTITUTE(SUBSTITUTE($A3409," ",""),"(주)",""),"주식회사",""),"㈜","")))</f>
        <v/>
      </c>
      <c r="H3409" s="10" t="str">
        <f aca="false">IF($B3409="","",SUBSTITUTE(SUBSTITUTE(SUBSTITUTE($B3409,"-","")," ",""),".",""))</f>
        <v/>
      </c>
      <c r="I3409" s="10" t="str">
        <f aca="false">IF($D3409="","",SUBSTITUTE(SUBSTITUTE(SUBSTITUTE($D3409,"-","")," ",""),".",""))</f>
        <v/>
      </c>
      <c r="J3409" s="10" t="str">
        <f aca="false">IF($E3409="","",UPPER(SUBSTITUTE($E3409," ","")))</f>
        <v/>
      </c>
      <c r="K3409" s="10" t="str">
        <f aca="false">IF($A3409="","",$G3409&amp;"|"&amp;$J3409)</f>
        <v/>
      </c>
      <c r="L3409" s="10" t="str">
        <f aca="false">IF($A3409="","",ROW()-2)</f>
        <v/>
      </c>
      <c r="M3409" s="10" t="str">
        <f aca="false">IF($A3409="","",ROW())</f>
        <v/>
      </c>
    </row>
    <row r="3410" customFormat="false" ht="15" hidden="false" customHeight="true" outlineLevel="0" collapsed="false">
      <c r="A3410" s="8"/>
      <c r="B3410" s="8"/>
      <c r="C3410" s="8"/>
      <c r="D3410" s="8"/>
      <c r="E3410" s="8"/>
      <c r="F3410" s="8"/>
      <c r="G3410" s="10" t="str">
        <f aca="false">IF($A3410="","",UPPER(SUBSTITUTE(SUBSTITUTE(SUBSTITUTE(SUBSTITUTE($A3410," ",""),"(주)",""),"주식회사",""),"㈜","")))</f>
        <v/>
      </c>
      <c r="H3410" s="10" t="str">
        <f aca="false">IF($B3410="","",SUBSTITUTE(SUBSTITUTE(SUBSTITUTE($B3410,"-","")," ",""),".",""))</f>
        <v/>
      </c>
      <c r="I3410" s="10" t="str">
        <f aca="false">IF($D3410="","",SUBSTITUTE(SUBSTITUTE(SUBSTITUTE($D3410,"-","")," ",""),".",""))</f>
        <v/>
      </c>
      <c r="J3410" s="10" t="str">
        <f aca="false">IF($E3410="","",UPPER(SUBSTITUTE($E3410," ","")))</f>
        <v/>
      </c>
      <c r="K3410" s="10" t="str">
        <f aca="false">IF($A3410="","",$G3410&amp;"|"&amp;$J3410)</f>
        <v/>
      </c>
      <c r="L3410" s="10" t="str">
        <f aca="false">IF($A3410="","",ROW()-2)</f>
        <v/>
      </c>
      <c r="M3410" s="10" t="str">
        <f aca="false">IF($A3410="","",ROW())</f>
        <v/>
      </c>
    </row>
    <row r="3411" customFormat="false" ht="15" hidden="false" customHeight="true" outlineLevel="0" collapsed="false">
      <c r="A3411" s="8"/>
      <c r="B3411" s="8"/>
      <c r="C3411" s="8"/>
      <c r="D3411" s="8"/>
      <c r="E3411" s="8"/>
      <c r="F3411" s="8"/>
      <c r="G3411" s="10" t="str">
        <f aca="false">IF($A3411="","",UPPER(SUBSTITUTE(SUBSTITUTE(SUBSTITUTE(SUBSTITUTE($A3411," ",""),"(주)",""),"주식회사",""),"㈜","")))</f>
        <v/>
      </c>
      <c r="H3411" s="10" t="str">
        <f aca="false">IF($B3411="","",SUBSTITUTE(SUBSTITUTE(SUBSTITUTE($B3411,"-","")," ",""),".",""))</f>
        <v/>
      </c>
      <c r="I3411" s="10" t="str">
        <f aca="false">IF($D3411="","",SUBSTITUTE(SUBSTITUTE(SUBSTITUTE($D3411,"-","")," ",""),".",""))</f>
        <v/>
      </c>
      <c r="J3411" s="10" t="str">
        <f aca="false">IF($E3411="","",UPPER(SUBSTITUTE($E3411," ","")))</f>
        <v/>
      </c>
      <c r="K3411" s="10" t="str">
        <f aca="false">IF($A3411="","",$G3411&amp;"|"&amp;$J3411)</f>
        <v/>
      </c>
      <c r="L3411" s="10" t="str">
        <f aca="false">IF($A3411="","",ROW()-2)</f>
        <v/>
      </c>
      <c r="M3411" s="10" t="str">
        <f aca="false">IF($A3411="","",ROW())</f>
        <v/>
      </c>
    </row>
    <row r="3412" customFormat="false" ht="15" hidden="false" customHeight="true" outlineLevel="0" collapsed="false">
      <c r="A3412" s="8"/>
      <c r="B3412" s="8"/>
      <c r="C3412" s="8"/>
      <c r="D3412" s="8"/>
      <c r="E3412" s="8"/>
      <c r="F3412" s="8"/>
      <c r="G3412" s="10" t="str">
        <f aca="false">IF($A3412="","",UPPER(SUBSTITUTE(SUBSTITUTE(SUBSTITUTE(SUBSTITUTE($A3412," ",""),"(주)",""),"주식회사",""),"㈜","")))</f>
        <v/>
      </c>
      <c r="H3412" s="10" t="str">
        <f aca="false">IF($B3412="","",SUBSTITUTE(SUBSTITUTE(SUBSTITUTE($B3412,"-","")," ",""),".",""))</f>
        <v/>
      </c>
      <c r="I3412" s="10" t="str">
        <f aca="false">IF($D3412="","",SUBSTITUTE(SUBSTITUTE(SUBSTITUTE($D3412,"-","")," ",""),".",""))</f>
        <v/>
      </c>
      <c r="J3412" s="10" t="str">
        <f aca="false">IF($E3412="","",UPPER(SUBSTITUTE($E3412," ","")))</f>
        <v/>
      </c>
      <c r="K3412" s="10" t="str">
        <f aca="false">IF($A3412="","",$G3412&amp;"|"&amp;$J3412)</f>
        <v/>
      </c>
      <c r="L3412" s="10" t="str">
        <f aca="false">IF($A3412="","",ROW()-2)</f>
        <v/>
      </c>
      <c r="M3412" s="10" t="str">
        <f aca="false">IF($A3412="","",ROW())</f>
        <v/>
      </c>
    </row>
    <row r="3413" customFormat="false" ht="15" hidden="false" customHeight="true" outlineLevel="0" collapsed="false">
      <c r="A3413" s="8"/>
      <c r="B3413" s="8"/>
      <c r="C3413" s="8"/>
      <c r="D3413" s="8"/>
      <c r="E3413" s="8"/>
      <c r="F3413" s="8"/>
      <c r="G3413" s="10" t="str">
        <f aca="false">IF($A3413="","",UPPER(SUBSTITUTE(SUBSTITUTE(SUBSTITUTE(SUBSTITUTE($A3413," ",""),"(주)",""),"주식회사",""),"㈜","")))</f>
        <v/>
      </c>
      <c r="H3413" s="10" t="str">
        <f aca="false">IF($B3413="","",SUBSTITUTE(SUBSTITUTE(SUBSTITUTE($B3413,"-","")," ",""),".",""))</f>
        <v/>
      </c>
      <c r="I3413" s="10" t="str">
        <f aca="false">IF($D3413="","",SUBSTITUTE(SUBSTITUTE(SUBSTITUTE($D3413,"-","")," ",""),".",""))</f>
        <v/>
      </c>
      <c r="J3413" s="10" t="str">
        <f aca="false">IF($E3413="","",UPPER(SUBSTITUTE($E3413," ","")))</f>
        <v/>
      </c>
      <c r="K3413" s="10" t="str">
        <f aca="false">IF($A3413="","",$G3413&amp;"|"&amp;$J3413)</f>
        <v/>
      </c>
      <c r="L3413" s="10" t="str">
        <f aca="false">IF($A3413="","",ROW()-2)</f>
        <v/>
      </c>
      <c r="M3413" s="10" t="str">
        <f aca="false">IF($A3413="","",ROW())</f>
        <v/>
      </c>
    </row>
    <row r="3414" customFormat="false" ht="15" hidden="false" customHeight="true" outlineLevel="0" collapsed="false">
      <c r="A3414" s="8"/>
      <c r="B3414" s="8"/>
      <c r="C3414" s="8"/>
      <c r="D3414" s="8"/>
      <c r="E3414" s="8"/>
      <c r="F3414" s="8"/>
      <c r="G3414" s="10" t="str">
        <f aca="false">IF($A3414="","",UPPER(SUBSTITUTE(SUBSTITUTE(SUBSTITUTE(SUBSTITUTE($A3414," ",""),"(주)",""),"주식회사",""),"㈜","")))</f>
        <v/>
      </c>
      <c r="H3414" s="10" t="str">
        <f aca="false">IF($B3414="","",SUBSTITUTE(SUBSTITUTE(SUBSTITUTE($B3414,"-","")," ",""),".",""))</f>
        <v/>
      </c>
      <c r="I3414" s="10" t="str">
        <f aca="false">IF($D3414="","",SUBSTITUTE(SUBSTITUTE(SUBSTITUTE($D3414,"-","")," ",""),".",""))</f>
        <v/>
      </c>
      <c r="J3414" s="10" t="str">
        <f aca="false">IF($E3414="","",UPPER(SUBSTITUTE($E3414," ","")))</f>
        <v/>
      </c>
      <c r="K3414" s="10" t="str">
        <f aca="false">IF($A3414="","",$G3414&amp;"|"&amp;$J3414)</f>
        <v/>
      </c>
      <c r="L3414" s="10" t="str">
        <f aca="false">IF($A3414="","",ROW()-2)</f>
        <v/>
      </c>
      <c r="M3414" s="10" t="str">
        <f aca="false">IF($A3414="","",ROW())</f>
        <v/>
      </c>
    </row>
    <row r="3415" customFormat="false" ht="15" hidden="false" customHeight="true" outlineLevel="0" collapsed="false">
      <c r="A3415" s="8"/>
      <c r="B3415" s="8"/>
      <c r="C3415" s="8"/>
      <c r="D3415" s="8"/>
      <c r="E3415" s="8"/>
      <c r="F3415" s="8"/>
      <c r="G3415" s="10" t="str">
        <f aca="false">IF($A3415="","",UPPER(SUBSTITUTE(SUBSTITUTE(SUBSTITUTE(SUBSTITUTE($A3415," ",""),"(주)",""),"주식회사",""),"㈜","")))</f>
        <v/>
      </c>
      <c r="H3415" s="10" t="str">
        <f aca="false">IF($B3415="","",SUBSTITUTE(SUBSTITUTE(SUBSTITUTE($B3415,"-","")," ",""),".",""))</f>
        <v/>
      </c>
      <c r="I3415" s="10" t="str">
        <f aca="false">IF($D3415="","",SUBSTITUTE(SUBSTITUTE(SUBSTITUTE($D3415,"-","")," ",""),".",""))</f>
        <v/>
      </c>
      <c r="J3415" s="10" t="str">
        <f aca="false">IF($E3415="","",UPPER(SUBSTITUTE($E3415," ","")))</f>
        <v/>
      </c>
      <c r="K3415" s="10" t="str">
        <f aca="false">IF($A3415="","",$G3415&amp;"|"&amp;$J3415)</f>
        <v/>
      </c>
      <c r="L3415" s="10" t="str">
        <f aca="false">IF($A3415="","",ROW()-2)</f>
        <v/>
      </c>
      <c r="M3415" s="10" t="str">
        <f aca="false">IF($A3415="","",ROW())</f>
        <v/>
      </c>
    </row>
    <row r="3416" customFormat="false" ht="15" hidden="false" customHeight="true" outlineLevel="0" collapsed="false">
      <c r="A3416" s="8"/>
      <c r="B3416" s="8"/>
      <c r="C3416" s="8"/>
      <c r="D3416" s="8"/>
      <c r="E3416" s="8"/>
      <c r="F3416" s="8"/>
      <c r="G3416" s="10" t="str">
        <f aca="false">IF($A3416="","",UPPER(SUBSTITUTE(SUBSTITUTE(SUBSTITUTE(SUBSTITUTE($A3416," ",""),"(주)",""),"주식회사",""),"㈜","")))</f>
        <v/>
      </c>
      <c r="H3416" s="10" t="str">
        <f aca="false">IF($B3416="","",SUBSTITUTE(SUBSTITUTE(SUBSTITUTE($B3416,"-","")," ",""),".",""))</f>
        <v/>
      </c>
      <c r="I3416" s="10" t="str">
        <f aca="false">IF($D3416="","",SUBSTITUTE(SUBSTITUTE(SUBSTITUTE($D3416,"-","")," ",""),".",""))</f>
        <v/>
      </c>
      <c r="J3416" s="10" t="str">
        <f aca="false">IF($E3416="","",UPPER(SUBSTITUTE($E3416," ","")))</f>
        <v/>
      </c>
      <c r="K3416" s="10" t="str">
        <f aca="false">IF($A3416="","",$G3416&amp;"|"&amp;$J3416)</f>
        <v/>
      </c>
      <c r="L3416" s="10" t="str">
        <f aca="false">IF($A3416="","",ROW()-2)</f>
        <v/>
      </c>
      <c r="M3416" s="10" t="str">
        <f aca="false">IF($A3416="","",ROW())</f>
        <v/>
      </c>
    </row>
    <row r="3417" customFormat="false" ht="15" hidden="false" customHeight="true" outlineLevel="0" collapsed="false">
      <c r="A3417" s="8"/>
      <c r="B3417" s="8"/>
      <c r="C3417" s="8"/>
      <c r="D3417" s="8"/>
      <c r="E3417" s="8"/>
      <c r="F3417" s="8"/>
      <c r="G3417" s="10" t="str">
        <f aca="false">IF($A3417="","",UPPER(SUBSTITUTE(SUBSTITUTE(SUBSTITUTE(SUBSTITUTE($A3417," ",""),"(주)",""),"주식회사",""),"㈜","")))</f>
        <v/>
      </c>
      <c r="H3417" s="10" t="str">
        <f aca="false">IF($B3417="","",SUBSTITUTE(SUBSTITUTE(SUBSTITUTE($B3417,"-","")," ",""),".",""))</f>
        <v/>
      </c>
      <c r="I3417" s="10" t="str">
        <f aca="false">IF($D3417="","",SUBSTITUTE(SUBSTITUTE(SUBSTITUTE($D3417,"-","")," ",""),".",""))</f>
        <v/>
      </c>
      <c r="J3417" s="10" t="str">
        <f aca="false">IF($E3417="","",UPPER(SUBSTITUTE($E3417," ","")))</f>
        <v/>
      </c>
      <c r="K3417" s="10" t="str">
        <f aca="false">IF($A3417="","",$G3417&amp;"|"&amp;$J3417)</f>
        <v/>
      </c>
      <c r="L3417" s="10" t="str">
        <f aca="false">IF($A3417="","",ROW()-2)</f>
        <v/>
      </c>
      <c r="M3417" s="10" t="str">
        <f aca="false">IF($A3417="","",ROW())</f>
        <v/>
      </c>
    </row>
    <row r="3418" customFormat="false" ht="15" hidden="false" customHeight="true" outlineLevel="0" collapsed="false">
      <c r="A3418" s="8"/>
      <c r="B3418" s="8"/>
      <c r="C3418" s="8"/>
      <c r="D3418" s="8"/>
      <c r="E3418" s="8"/>
      <c r="F3418" s="8"/>
      <c r="G3418" s="10" t="str">
        <f aca="false">IF($A3418="","",UPPER(SUBSTITUTE(SUBSTITUTE(SUBSTITUTE(SUBSTITUTE($A3418," ",""),"(주)",""),"주식회사",""),"㈜","")))</f>
        <v/>
      </c>
      <c r="H3418" s="10" t="str">
        <f aca="false">IF($B3418="","",SUBSTITUTE(SUBSTITUTE(SUBSTITUTE($B3418,"-","")," ",""),".",""))</f>
        <v/>
      </c>
      <c r="I3418" s="10" t="str">
        <f aca="false">IF($D3418="","",SUBSTITUTE(SUBSTITUTE(SUBSTITUTE($D3418,"-","")," ",""),".",""))</f>
        <v/>
      </c>
      <c r="J3418" s="10" t="str">
        <f aca="false">IF($E3418="","",UPPER(SUBSTITUTE($E3418," ","")))</f>
        <v/>
      </c>
      <c r="K3418" s="10" t="str">
        <f aca="false">IF($A3418="","",$G3418&amp;"|"&amp;$J3418)</f>
        <v/>
      </c>
      <c r="L3418" s="10" t="str">
        <f aca="false">IF($A3418="","",ROW()-2)</f>
        <v/>
      </c>
      <c r="M3418" s="10" t="str">
        <f aca="false">IF($A3418="","",ROW())</f>
        <v/>
      </c>
    </row>
    <row r="3419" customFormat="false" ht="15" hidden="false" customHeight="true" outlineLevel="0" collapsed="false">
      <c r="A3419" s="8"/>
      <c r="B3419" s="8"/>
      <c r="C3419" s="8"/>
      <c r="D3419" s="8"/>
      <c r="E3419" s="8"/>
      <c r="F3419" s="8"/>
      <c r="G3419" s="10" t="str">
        <f aca="false">IF($A3419="","",UPPER(SUBSTITUTE(SUBSTITUTE(SUBSTITUTE(SUBSTITUTE($A3419," ",""),"(주)",""),"주식회사",""),"㈜","")))</f>
        <v/>
      </c>
      <c r="H3419" s="10" t="str">
        <f aca="false">IF($B3419="","",SUBSTITUTE(SUBSTITUTE(SUBSTITUTE($B3419,"-","")," ",""),".",""))</f>
        <v/>
      </c>
      <c r="I3419" s="10" t="str">
        <f aca="false">IF($D3419="","",SUBSTITUTE(SUBSTITUTE(SUBSTITUTE($D3419,"-","")," ",""),".",""))</f>
        <v/>
      </c>
      <c r="J3419" s="10" t="str">
        <f aca="false">IF($E3419="","",UPPER(SUBSTITUTE($E3419," ","")))</f>
        <v/>
      </c>
      <c r="K3419" s="10" t="str">
        <f aca="false">IF($A3419="","",$G3419&amp;"|"&amp;$J3419)</f>
        <v/>
      </c>
      <c r="L3419" s="10" t="str">
        <f aca="false">IF($A3419="","",ROW()-2)</f>
        <v/>
      </c>
      <c r="M3419" s="10" t="str">
        <f aca="false">IF($A3419="","",ROW())</f>
        <v/>
      </c>
    </row>
    <row r="3420" customFormat="false" ht="15" hidden="false" customHeight="true" outlineLevel="0" collapsed="false">
      <c r="A3420" s="8"/>
      <c r="B3420" s="8"/>
      <c r="C3420" s="8"/>
      <c r="D3420" s="8"/>
      <c r="E3420" s="8"/>
      <c r="F3420" s="8"/>
      <c r="G3420" s="10" t="str">
        <f aca="false">IF($A3420="","",UPPER(SUBSTITUTE(SUBSTITUTE(SUBSTITUTE(SUBSTITUTE($A3420," ",""),"(주)",""),"주식회사",""),"㈜","")))</f>
        <v/>
      </c>
      <c r="H3420" s="10" t="str">
        <f aca="false">IF($B3420="","",SUBSTITUTE(SUBSTITUTE(SUBSTITUTE($B3420,"-","")," ",""),".",""))</f>
        <v/>
      </c>
      <c r="I3420" s="10" t="str">
        <f aca="false">IF($D3420="","",SUBSTITUTE(SUBSTITUTE(SUBSTITUTE($D3420,"-","")," ",""),".",""))</f>
        <v/>
      </c>
      <c r="J3420" s="10" t="str">
        <f aca="false">IF($E3420="","",UPPER(SUBSTITUTE($E3420," ","")))</f>
        <v/>
      </c>
      <c r="K3420" s="10" t="str">
        <f aca="false">IF($A3420="","",$G3420&amp;"|"&amp;$J3420)</f>
        <v/>
      </c>
      <c r="L3420" s="10" t="str">
        <f aca="false">IF($A3420="","",ROW()-2)</f>
        <v/>
      </c>
      <c r="M3420" s="10" t="str">
        <f aca="false">IF($A3420="","",ROW())</f>
        <v/>
      </c>
    </row>
    <row r="3421" customFormat="false" ht="15" hidden="false" customHeight="true" outlineLevel="0" collapsed="false">
      <c r="A3421" s="8"/>
      <c r="B3421" s="8"/>
      <c r="C3421" s="8"/>
      <c r="D3421" s="8"/>
      <c r="E3421" s="8"/>
      <c r="F3421" s="8"/>
      <c r="G3421" s="10" t="str">
        <f aca="false">IF($A3421="","",UPPER(SUBSTITUTE(SUBSTITUTE(SUBSTITUTE(SUBSTITUTE($A3421," ",""),"(주)",""),"주식회사",""),"㈜","")))</f>
        <v/>
      </c>
      <c r="H3421" s="10" t="str">
        <f aca="false">IF($B3421="","",SUBSTITUTE(SUBSTITUTE(SUBSTITUTE($B3421,"-","")," ",""),".",""))</f>
        <v/>
      </c>
      <c r="I3421" s="10" t="str">
        <f aca="false">IF($D3421="","",SUBSTITUTE(SUBSTITUTE(SUBSTITUTE($D3421,"-","")," ",""),".",""))</f>
        <v/>
      </c>
      <c r="J3421" s="10" t="str">
        <f aca="false">IF($E3421="","",UPPER(SUBSTITUTE($E3421," ","")))</f>
        <v/>
      </c>
      <c r="K3421" s="10" t="str">
        <f aca="false">IF($A3421="","",$G3421&amp;"|"&amp;$J3421)</f>
        <v/>
      </c>
      <c r="L3421" s="10" t="str">
        <f aca="false">IF($A3421="","",ROW()-2)</f>
        <v/>
      </c>
      <c r="M3421" s="10" t="str">
        <f aca="false">IF($A3421="","",ROW())</f>
        <v/>
      </c>
    </row>
    <row r="3422" customFormat="false" ht="15" hidden="false" customHeight="true" outlineLevel="0" collapsed="false">
      <c r="A3422" s="8"/>
      <c r="B3422" s="8"/>
      <c r="C3422" s="8"/>
      <c r="D3422" s="8"/>
      <c r="E3422" s="8"/>
      <c r="F3422" s="8"/>
      <c r="G3422" s="10" t="str">
        <f aca="false">IF($A3422="","",UPPER(SUBSTITUTE(SUBSTITUTE(SUBSTITUTE(SUBSTITUTE($A3422," ",""),"(주)",""),"주식회사",""),"㈜","")))</f>
        <v/>
      </c>
      <c r="H3422" s="10" t="str">
        <f aca="false">IF($B3422="","",SUBSTITUTE(SUBSTITUTE(SUBSTITUTE($B3422,"-","")," ",""),".",""))</f>
        <v/>
      </c>
      <c r="I3422" s="10" t="str">
        <f aca="false">IF($D3422="","",SUBSTITUTE(SUBSTITUTE(SUBSTITUTE($D3422,"-","")," ",""),".",""))</f>
        <v/>
      </c>
      <c r="J3422" s="10" t="str">
        <f aca="false">IF($E3422="","",UPPER(SUBSTITUTE($E3422," ","")))</f>
        <v/>
      </c>
      <c r="K3422" s="10" t="str">
        <f aca="false">IF($A3422="","",$G3422&amp;"|"&amp;$J3422)</f>
        <v/>
      </c>
      <c r="L3422" s="10" t="str">
        <f aca="false">IF($A3422="","",ROW()-2)</f>
        <v/>
      </c>
      <c r="M3422" s="10" t="str">
        <f aca="false">IF($A3422="","",ROW())</f>
        <v/>
      </c>
    </row>
    <row r="3423" customFormat="false" ht="15" hidden="false" customHeight="true" outlineLevel="0" collapsed="false">
      <c r="A3423" s="8"/>
      <c r="B3423" s="8"/>
      <c r="C3423" s="8"/>
      <c r="D3423" s="8"/>
      <c r="E3423" s="8"/>
      <c r="F3423" s="8"/>
      <c r="G3423" s="10" t="str">
        <f aca="false">IF($A3423="","",UPPER(SUBSTITUTE(SUBSTITUTE(SUBSTITUTE(SUBSTITUTE($A3423," ",""),"(주)",""),"주식회사",""),"㈜","")))</f>
        <v/>
      </c>
      <c r="H3423" s="10" t="str">
        <f aca="false">IF($B3423="","",SUBSTITUTE(SUBSTITUTE(SUBSTITUTE($B3423,"-","")," ",""),".",""))</f>
        <v/>
      </c>
      <c r="I3423" s="10" t="str">
        <f aca="false">IF($D3423="","",SUBSTITUTE(SUBSTITUTE(SUBSTITUTE($D3423,"-","")," ",""),".",""))</f>
        <v/>
      </c>
      <c r="J3423" s="10" t="str">
        <f aca="false">IF($E3423="","",UPPER(SUBSTITUTE($E3423," ","")))</f>
        <v/>
      </c>
      <c r="K3423" s="10" t="str">
        <f aca="false">IF($A3423="","",$G3423&amp;"|"&amp;$J3423)</f>
        <v/>
      </c>
      <c r="L3423" s="10" t="str">
        <f aca="false">IF($A3423="","",ROW()-2)</f>
        <v/>
      </c>
      <c r="M3423" s="10" t="str">
        <f aca="false">IF($A3423="","",ROW())</f>
        <v/>
      </c>
    </row>
    <row r="3424" customFormat="false" ht="15" hidden="false" customHeight="true" outlineLevel="0" collapsed="false">
      <c r="A3424" s="8"/>
      <c r="B3424" s="8"/>
      <c r="C3424" s="8"/>
      <c r="D3424" s="8"/>
      <c r="E3424" s="8"/>
      <c r="F3424" s="8"/>
      <c r="G3424" s="10" t="str">
        <f aca="false">IF($A3424="","",UPPER(SUBSTITUTE(SUBSTITUTE(SUBSTITUTE(SUBSTITUTE($A3424," ",""),"(주)",""),"주식회사",""),"㈜","")))</f>
        <v/>
      </c>
      <c r="H3424" s="10" t="str">
        <f aca="false">IF($B3424="","",SUBSTITUTE(SUBSTITUTE(SUBSTITUTE($B3424,"-","")," ",""),".",""))</f>
        <v/>
      </c>
      <c r="I3424" s="10" t="str">
        <f aca="false">IF($D3424="","",SUBSTITUTE(SUBSTITUTE(SUBSTITUTE($D3424,"-","")," ",""),".",""))</f>
        <v/>
      </c>
      <c r="J3424" s="10" t="str">
        <f aca="false">IF($E3424="","",UPPER(SUBSTITUTE($E3424," ","")))</f>
        <v/>
      </c>
      <c r="K3424" s="10" t="str">
        <f aca="false">IF($A3424="","",$G3424&amp;"|"&amp;$J3424)</f>
        <v/>
      </c>
      <c r="L3424" s="10" t="str">
        <f aca="false">IF($A3424="","",ROW()-2)</f>
        <v/>
      </c>
      <c r="M3424" s="10" t="str">
        <f aca="false">IF($A3424="","",ROW())</f>
        <v/>
      </c>
    </row>
    <row r="3425" customFormat="false" ht="15" hidden="false" customHeight="true" outlineLevel="0" collapsed="false">
      <c r="A3425" s="8"/>
      <c r="B3425" s="8"/>
      <c r="C3425" s="8"/>
      <c r="D3425" s="8"/>
      <c r="E3425" s="8"/>
      <c r="F3425" s="8"/>
      <c r="G3425" s="10" t="str">
        <f aca="false">IF($A3425="","",UPPER(SUBSTITUTE(SUBSTITUTE(SUBSTITUTE(SUBSTITUTE($A3425," ",""),"(주)",""),"주식회사",""),"㈜","")))</f>
        <v/>
      </c>
      <c r="H3425" s="10" t="str">
        <f aca="false">IF($B3425="","",SUBSTITUTE(SUBSTITUTE(SUBSTITUTE($B3425,"-","")," ",""),".",""))</f>
        <v/>
      </c>
      <c r="I3425" s="10" t="str">
        <f aca="false">IF($D3425="","",SUBSTITUTE(SUBSTITUTE(SUBSTITUTE($D3425,"-","")," ",""),".",""))</f>
        <v/>
      </c>
      <c r="J3425" s="10" t="str">
        <f aca="false">IF($E3425="","",UPPER(SUBSTITUTE($E3425," ","")))</f>
        <v/>
      </c>
      <c r="K3425" s="10" t="str">
        <f aca="false">IF($A3425="","",$G3425&amp;"|"&amp;$J3425)</f>
        <v/>
      </c>
      <c r="L3425" s="10" t="str">
        <f aca="false">IF($A3425="","",ROW()-2)</f>
        <v/>
      </c>
      <c r="M3425" s="10" t="str">
        <f aca="false">IF($A3425="","",ROW())</f>
        <v/>
      </c>
    </row>
    <row r="3426" customFormat="false" ht="15" hidden="false" customHeight="true" outlineLevel="0" collapsed="false">
      <c r="A3426" s="8"/>
      <c r="B3426" s="8"/>
      <c r="C3426" s="8"/>
      <c r="D3426" s="8"/>
      <c r="E3426" s="8"/>
      <c r="F3426" s="8"/>
      <c r="G3426" s="10" t="str">
        <f aca="false">IF($A3426="","",UPPER(SUBSTITUTE(SUBSTITUTE(SUBSTITUTE(SUBSTITUTE($A3426," ",""),"(주)",""),"주식회사",""),"㈜","")))</f>
        <v/>
      </c>
      <c r="H3426" s="10" t="str">
        <f aca="false">IF($B3426="","",SUBSTITUTE(SUBSTITUTE(SUBSTITUTE($B3426,"-","")," ",""),".",""))</f>
        <v/>
      </c>
      <c r="I3426" s="10" t="str">
        <f aca="false">IF($D3426="","",SUBSTITUTE(SUBSTITUTE(SUBSTITUTE($D3426,"-","")," ",""),".",""))</f>
        <v/>
      </c>
      <c r="J3426" s="10" t="str">
        <f aca="false">IF($E3426="","",UPPER(SUBSTITUTE($E3426," ","")))</f>
        <v/>
      </c>
      <c r="K3426" s="10" t="str">
        <f aca="false">IF($A3426="","",$G3426&amp;"|"&amp;$J3426)</f>
        <v/>
      </c>
      <c r="L3426" s="10" t="str">
        <f aca="false">IF($A3426="","",ROW()-2)</f>
        <v/>
      </c>
      <c r="M3426" s="10" t="str">
        <f aca="false">IF($A3426="","",ROW())</f>
        <v/>
      </c>
    </row>
    <row r="3427" customFormat="false" ht="15" hidden="false" customHeight="true" outlineLevel="0" collapsed="false">
      <c r="A3427" s="8"/>
      <c r="B3427" s="8"/>
      <c r="C3427" s="8"/>
      <c r="D3427" s="8"/>
      <c r="E3427" s="8"/>
      <c r="F3427" s="8"/>
      <c r="G3427" s="10" t="str">
        <f aca="false">IF($A3427="","",UPPER(SUBSTITUTE(SUBSTITUTE(SUBSTITUTE(SUBSTITUTE($A3427," ",""),"(주)",""),"주식회사",""),"㈜","")))</f>
        <v/>
      </c>
      <c r="H3427" s="10" t="str">
        <f aca="false">IF($B3427="","",SUBSTITUTE(SUBSTITUTE(SUBSTITUTE($B3427,"-","")," ",""),".",""))</f>
        <v/>
      </c>
      <c r="I3427" s="10" t="str">
        <f aca="false">IF($D3427="","",SUBSTITUTE(SUBSTITUTE(SUBSTITUTE($D3427,"-","")," ",""),".",""))</f>
        <v/>
      </c>
      <c r="J3427" s="10" t="str">
        <f aca="false">IF($E3427="","",UPPER(SUBSTITUTE($E3427," ","")))</f>
        <v/>
      </c>
      <c r="K3427" s="10" t="str">
        <f aca="false">IF($A3427="","",$G3427&amp;"|"&amp;$J3427)</f>
        <v/>
      </c>
      <c r="L3427" s="10" t="str">
        <f aca="false">IF($A3427="","",ROW()-2)</f>
        <v/>
      </c>
      <c r="M3427" s="10" t="str">
        <f aca="false">IF($A3427="","",ROW())</f>
        <v/>
      </c>
    </row>
    <row r="3428" customFormat="false" ht="15" hidden="false" customHeight="true" outlineLevel="0" collapsed="false">
      <c r="A3428" s="8"/>
      <c r="B3428" s="8"/>
      <c r="C3428" s="8"/>
      <c r="D3428" s="8"/>
      <c r="E3428" s="8"/>
      <c r="F3428" s="8"/>
      <c r="G3428" s="10" t="str">
        <f aca="false">IF($A3428="","",UPPER(SUBSTITUTE(SUBSTITUTE(SUBSTITUTE(SUBSTITUTE($A3428," ",""),"(주)",""),"주식회사",""),"㈜","")))</f>
        <v/>
      </c>
      <c r="H3428" s="10" t="str">
        <f aca="false">IF($B3428="","",SUBSTITUTE(SUBSTITUTE(SUBSTITUTE($B3428,"-","")," ",""),".",""))</f>
        <v/>
      </c>
      <c r="I3428" s="10" t="str">
        <f aca="false">IF($D3428="","",SUBSTITUTE(SUBSTITUTE(SUBSTITUTE($D3428,"-","")," ",""),".",""))</f>
        <v/>
      </c>
      <c r="J3428" s="10" t="str">
        <f aca="false">IF($E3428="","",UPPER(SUBSTITUTE($E3428," ","")))</f>
        <v/>
      </c>
      <c r="K3428" s="10" t="str">
        <f aca="false">IF($A3428="","",$G3428&amp;"|"&amp;$J3428)</f>
        <v/>
      </c>
      <c r="L3428" s="10" t="str">
        <f aca="false">IF($A3428="","",ROW()-2)</f>
        <v/>
      </c>
      <c r="M3428" s="10" t="str">
        <f aca="false">IF($A3428="","",ROW())</f>
        <v/>
      </c>
    </row>
    <row r="3429" customFormat="false" ht="15" hidden="false" customHeight="true" outlineLevel="0" collapsed="false">
      <c r="A3429" s="8"/>
      <c r="B3429" s="8"/>
      <c r="C3429" s="8"/>
      <c r="D3429" s="8"/>
      <c r="E3429" s="8"/>
      <c r="F3429" s="8"/>
      <c r="G3429" s="10" t="str">
        <f aca="false">IF($A3429="","",UPPER(SUBSTITUTE(SUBSTITUTE(SUBSTITUTE(SUBSTITUTE($A3429," ",""),"(주)",""),"주식회사",""),"㈜","")))</f>
        <v/>
      </c>
      <c r="H3429" s="10" t="str">
        <f aca="false">IF($B3429="","",SUBSTITUTE(SUBSTITUTE(SUBSTITUTE($B3429,"-","")," ",""),".",""))</f>
        <v/>
      </c>
      <c r="I3429" s="10" t="str">
        <f aca="false">IF($D3429="","",SUBSTITUTE(SUBSTITUTE(SUBSTITUTE($D3429,"-","")," ",""),".",""))</f>
        <v/>
      </c>
      <c r="J3429" s="10" t="str">
        <f aca="false">IF($E3429="","",UPPER(SUBSTITUTE($E3429," ","")))</f>
        <v/>
      </c>
      <c r="K3429" s="10" t="str">
        <f aca="false">IF($A3429="","",$G3429&amp;"|"&amp;$J3429)</f>
        <v/>
      </c>
      <c r="L3429" s="10" t="str">
        <f aca="false">IF($A3429="","",ROW()-2)</f>
        <v/>
      </c>
      <c r="M3429" s="10" t="str">
        <f aca="false">IF($A3429="","",ROW())</f>
        <v/>
      </c>
    </row>
    <row r="3430" customFormat="false" ht="15" hidden="false" customHeight="true" outlineLevel="0" collapsed="false">
      <c r="A3430" s="8"/>
      <c r="B3430" s="8"/>
      <c r="C3430" s="8"/>
      <c r="D3430" s="8"/>
      <c r="E3430" s="8"/>
      <c r="F3430" s="8"/>
      <c r="G3430" s="10" t="str">
        <f aca="false">IF($A3430="","",UPPER(SUBSTITUTE(SUBSTITUTE(SUBSTITUTE(SUBSTITUTE($A3430," ",""),"(주)",""),"주식회사",""),"㈜","")))</f>
        <v/>
      </c>
      <c r="H3430" s="10" t="str">
        <f aca="false">IF($B3430="","",SUBSTITUTE(SUBSTITUTE(SUBSTITUTE($B3430,"-","")," ",""),".",""))</f>
        <v/>
      </c>
      <c r="I3430" s="10" t="str">
        <f aca="false">IF($D3430="","",SUBSTITUTE(SUBSTITUTE(SUBSTITUTE($D3430,"-","")," ",""),".",""))</f>
        <v/>
      </c>
      <c r="J3430" s="10" t="str">
        <f aca="false">IF($E3430="","",UPPER(SUBSTITUTE($E3430," ","")))</f>
        <v/>
      </c>
      <c r="K3430" s="10" t="str">
        <f aca="false">IF($A3430="","",$G3430&amp;"|"&amp;$J3430)</f>
        <v/>
      </c>
      <c r="L3430" s="10" t="str">
        <f aca="false">IF($A3430="","",ROW()-2)</f>
        <v/>
      </c>
      <c r="M3430" s="10" t="str">
        <f aca="false">IF($A3430="","",ROW())</f>
        <v/>
      </c>
    </row>
    <row r="3431" customFormat="false" ht="15" hidden="false" customHeight="true" outlineLevel="0" collapsed="false">
      <c r="A3431" s="8"/>
      <c r="B3431" s="8"/>
      <c r="C3431" s="8"/>
      <c r="D3431" s="8"/>
      <c r="E3431" s="8"/>
      <c r="F3431" s="8"/>
      <c r="G3431" s="10" t="str">
        <f aca="false">IF($A3431="","",UPPER(SUBSTITUTE(SUBSTITUTE(SUBSTITUTE(SUBSTITUTE($A3431," ",""),"(주)",""),"주식회사",""),"㈜","")))</f>
        <v/>
      </c>
      <c r="H3431" s="10" t="str">
        <f aca="false">IF($B3431="","",SUBSTITUTE(SUBSTITUTE(SUBSTITUTE($B3431,"-","")," ",""),".",""))</f>
        <v/>
      </c>
      <c r="I3431" s="10" t="str">
        <f aca="false">IF($D3431="","",SUBSTITUTE(SUBSTITUTE(SUBSTITUTE($D3431,"-","")," ",""),".",""))</f>
        <v/>
      </c>
      <c r="J3431" s="10" t="str">
        <f aca="false">IF($E3431="","",UPPER(SUBSTITUTE($E3431," ","")))</f>
        <v/>
      </c>
      <c r="K3431" s="10" t="str">
        <f aca="false">IF($A3431="","",$G3431&amp;"|"&amp;$J3431)</f>
        <v/>
      </c>
      <c r="L3431" s="10" t="str">
        <f aca="false">IF($A3431="","",ROW()-2)</f>
        <v/>
      </c>
      <c r="M3431" s="10" t="str">
        <f aca="false">IF($A3431="","",ROW())</f>
        <v/>
      </c>
    </row>
    <row r="3432" customFormat="false" ht="15" hidden="false" customHeight="true" outlineLevel="0" collapsed="false">
      <c r="A3432" s="8"/>
      <c r="B3432" s="8"/>
      <c r="C3432" s="8"/>
      <c r="D3432" s="8"/>
      <c r="E3432" s="8"/>
      <c r="F3432" s="8"/>
      <c r="G3432" s="10" t="str">
        <f aca="false">IF($A3432="","",UPPER(SUBSTITUTE(SUBSTITUTE(SUBSTITUTE(SUBSTITUTE($A3432," ",""),"(주)",""),"주식회사",""),"㈜","")))</f>
        <v/>
      </c>
      <c r="H3432" s="10" t="str">
        <f aca="false">IF($B3432="","",SUBSTITUTE(SUBSTITUTE(SUBSTITUTE($B3432,"-","")," ",""),".",""))</f>
        <v/>
      </c>
      <c r="I3432" s="10" t="str">
        <f aca="false">IF($D3432="","",SUBSTITUTE(SUBSTITUTE(SUBSTITUTE($D3432,"-","")," ",""),".",""))</f>
        <v/>
      </c>
      <c r="J3432" s="10" t="str">
        <f aca="false">IF($E3432="","",UPPER(SUBSTITUTE($E3432," ","")))</f>
        <v/>
      </c>
      <c r="K3432" s="10" t="str">
        <f aca="false">IF($A3432="","",$G3432&amp;"|"&amp;$J3432)</f>
        <v/>
      </c>
      <c r="L3432" s="10" t="str">
        <f aca="false">IF($A3432="","",ROW()-2)</f>
        <v/>
      </c>
      <c r="M3432" s="10" t="str">
        <f aca="false">IF($A3432="","",ROW())</f>
        <v/>
      </c>
    </row>
    <row r="3433" customFormat="false" ht="15" hidden="false" customHeight="true" outlineLevel="0" collapsed="false">
      <c r="A3433" s="8"/>
      <c r="B3433" s="8"/>
      <c r="C3433" s="8"/>
      <c r="D3433" s="8"/>
      <c r="E3433" s="8"/>
      <c r="F3433" s="8"/>
      <c r="G3433" s="10" t="str">
        <f aca="false">IF($A3433="","",UPPER(SUBSTITUTE(SUBSTITUTE(SUBSTITUTE(SUBSTITUTE($A3433," ",""),"(주)",""),"주식회사",""),"㈜","")))</f>
        <v/>
      </c>
      <c r="H3433" s="10" t="str">
        <f aca="false">IF($B3433="","",SUBSTITUTE(SUBSTITUTE(SUBSTITUTE($B3433,"-","")," ",""),".",""))</f>
        <v/>
      </c>
      <c r="I3433" s="10" t="str">
        <f aca="false">IF($D3433="","",SUBSTITUTE(SUBSTITUTE(SUBSTITUTE($D3433,"-","")," ",""),".",""))</f>
        <v/>
      </c>
      <c r="J3433" s="10" t="str">
        <f aca="false">IF($E3433="","",UPPER(SUBSTITUTE($E3433," ","")))</f>
        <v/>
      </c>
      <c r="K3433" s="10" t="str">
        <f aca="false">IF($A3433="","",$G3433&amp;"|"&amp;$J3433)</f>
        <v/>
      </c>
      <c r="L3433" s="10" t="str">
        <f aca="false">IF($A3433="","",ROW()-2)</f>
        <v/>
      </c>
      <c r="M3433" s="10" t="str">
        <f aca="false">IF($A3433="","",ROW())</f>
        <v/>
      </c>
    </row>
    <row r="3434" customFormat="false" ht="15" hidden="false" customHeight="true" outlineLevel="0" collapsed="false">
      <c r="A3434" s="8"/>
      <c r="B3434" s="8"/>
      <c r="C3434" s="8"/>
      <c r="D3434" s="8"/>
      <c r="E3434" s="8"/>
      <c r="F3434" s="8"/>
      <c r="G3434" s="10" t="str">
        <f aca="false">IF($A3434="","",UPPER(SUBSTITUTE(SUBSTITUTE(SUBSTITUTE(SUBSTITUTE($A3434," ",""),"(주)",""),"주식회사",""),"㈜","")))</f>
        <v/>
      </c>
      <c r="H3434" s="10" t="str">
        <f aca="false">IF($B3434="","",SUBSTITUTE(SUBSTITUTE(SUBSTITUTE($B3434,"-","")," ",""),".",""))</f>
        <v/>
      </c>
      <c r="I3434" s="10" t="str">
        <f aca="false">IF($D3434="","",SUBSTITUTE(SUBSTITUTE(SUBSTITUTE($D3434,"-","")," ",""),".",""))</f>
        <v/>
      </c>
      <c r="J3434" s="10" t="str">
        <f aca="false">IF($E3434="","",UPPER(SUBSTITUTE($E3434," ","")))</f>
        <v/>
      </c>
      <c r="K3434" s="10" t="str">
        <f aca="false">IF($A3434="","",$G3434&amp;"|"&amp;$J3434)</f>
        <v/>
      </c>
      <c r="L3434" s="10" t="str">
        <f aca="false">IF($A3434="","",ROW()-2)</f>
        <v/>
      </c>
      <c r="M3434" s="10" t="str">
        <f aca="false">IF($A3434="","",ROW())</f>
        <v/>
      </c>
    </row>
    <row r="3435" customFormat="false" ht="15" hidden="false" customHeight="true" outlineLevel="0" collapsed="false">
      <c r="A3435" s="8"/>
      <c r="B3435" s="8"/>
      <c r="C3435" s="8"/>
      <c r="D3435" s="8"/>
      <c r="E3435" s="8"/>
      <c r="F3435" s="8"/>
      <c r="G3435" s="10" t="str">
        <f aca="false">IF($A3435="","",UPPER(SUBSTITUTE(SUBSTITUTE(SUBSTITUTE(SUBSTITUTE($A3435," ",""),"(주)",""),"주식회사",""),"㈜","")))</f>
        <v/>
      </c>
      <c r="H3435" s="10" t="str">
        <f aca="false">IF($B3435="","",SUBSTITUTE(SUBSTITUTE(SUBSTITUTE($B3435,"-","")," ",""),".",""))</f>
        <v/>
      </c>
      <c r="I3435" s="10" t="str">
        <f aca="false">IF($D3435="","",SUBSTITUTE(SUBSTITUTE(SUBSTITUTE($D3435,"-","")," ",""),".",""))</f>
        <v/>
      </c>
      <c r="J3435" s="10" t="str">
        <f aca="false">IF($E3435="","",UPPER(SUBSTITUTE($E3435," ","")))</f>
        <v/>
      </c>
      <c r="K3435" s="10" t="str">
        <f aca="false">IF($A3435="","",$G3435&amp;"|"&amp;$J3435)</f>
        <v/>
      </c>
      <c r="L3435" s="10" t="str">
        <f aca="false">IF($A3435="","",ROW()-2)</f>
        <v/>
      </c>
      <c r="M3435" s="10" t="str">
        <f aca="false">IF($A3435="","",ROW())</f>
        <v/>
      </c>
    </row>
    <row r="3436" customFormat="false" ht="15" hidden="false" customHeight="true" outlineLevel="0" collapsed="false">
      <c r="A3436" s="8"/>
      <c r="B3436" s="8"/>
      <c r="C3436" s="8"/>
      <c r="D3436" s="8"/>
      <c r="E3436" s="8"/>
      <c r="F3436" s="8"/>
      <c r="G3436" s="10" t="str">
        <f aca="false">IF($A3436="","",UPPER(SUBSTITUTE(SUBSTITUTE(SUBSTITUTE(SUBSTITUTE($A3436," ",""),"(주)",""),"주식회사",""),"㈜","")))</f>
        <v/>
      </c>
      <c r="H3436" s="10" t="str">
        <f aca="false">IF($B3436="","",SUBSTITUTE(SUBSTITUTE(SUBSTITUTE($B3436,"-","")," ",""),".",""))</f>
        <v/>
      </c>
      <c r="I3436" s="10" t="str">
        <f aca="false">IF($D3436="","",SUBSTITUTE(SUBSTITUTE(SUBSTITUTE($D3436,"-","")," ",""),".",""))</f>
        <v/>
      </c>
      <c r="J3436" s="10" t="str">
        <f aca="false">IF($E3436="","",UPPER(SUBSTITUTE($E3436," ","")))</f>
        <v/>
      </c>
      <c r="K3436" s="10" t="str">
        <f aca="false">IF($A3436="","",$G3436&amp;"|"&amp;$J3436)</f>
        <v/>
      </c>
      <c r="L3436" s="10" t="str">
        <f aca="false">IF($A3436="","",ROW()-2)</f>
        <v/>
      </c>
      <c r="M3436" s="10" t="str">
        <f aca="false">IF($A3436="","",ROW())</f>
        <v/>
      </c>
    </row>
    <row r="3437" customFormat="false" ht="15" hidden="false" customHeight="true" outlineLevel="0" collapsed="false">
      <c r="A3437" s="8"/>
      <c r="B3437" s="8"/>
      <c r="C3437" s="8"/>
      <c r="D3437" s="8"/>
      <c r="E3437" s="8"/>
      <c r="F3437" s="8"/>
      <c r="G3437" s="10" t="str">
        <f aca="false">IF($A3437="","",UPPER(SUBSTITUTE(SUBSTITUTE(SUBSTITUTE(SUBSTITUTE($A3437," ",""),"(주)",""),"주식회사",""),"㈜","")))</f>
        <v/>
      </c>
      <c r="H3437" s="10" t="str">
        <f aca="false">IF($B3437="","",SUBSTITUTE(SUBSTITUTE(SUBSTITUTE($B3437,"-","")," ",""),".",""))</f>
        <v/>
      </c>
      <c r="I3437" s="10" t="str">
        <f aca="false">IF($D3437="","",SUBSTITUTE(SUBSTITUTE(SUBSTITUTE($D3437,"-","")," ",""),".",""))</f>
        <v/>
      </c>
      <c r="J3437" s="10" t="str">
        <f aca="false">IF($E3437="","",UPPER(SUBSTITUTE($E3437," ","")))</f>
        <v/>
      </c>
      <c r="K3437" s="10" t="str">
        <f aca="false">IF($A3437="","",$G3437&amp;"|"&amp;$J3437)</f>
        <v/>
      </c>
      <c r="L3437" s="10" t="str">
        <f aca="false">IF($A3437="","",ROW()-2)</f>
        <v/>
      </c>
      <c r="M3437" s="10" t="str">
        <f aca="false">IF($A3437="","",ROW())</f>
        <v/>
      </c>
    </row>
    <row r="3438" customFormat="false" ht="15" hidden="false" customHeight="true" outlineLevel="0" collapsed="false">
      <c r="A3438" s="8"/>
      <c r="B3438" s="8"/>
      <c r="C3438" s="8"/>
      <c r="D3438" s="8"/>
      <c r="E3438" s="8"/>
      <c r="F3438" s="8"/>
      <c r="G3438" s="10" t="str">
        <f aca="false">IF($A3438="","",UPPER(SUBSTITUTE(SUBSTITUTE(SUBSTITUTE(SUBSTITUTE($A3438," ",""),"(주)",""),"주식회사",""),"㈜","")))</f>
        <v/>
      </c>
      <c r="H3438" s="10" t="str">
        <f aca="false">IF($B3438="","",SUBSTITUTE(SUBSTITUTE(SUBSTITUTE($B3438,"-","")," ",""),".",""))</f>
        <v/>
      </c>
      <c r="I3438" s="10" t="str">
        <f aca="false">IF($D3438="","",SUBSTITUTE(SUBSTITUTE(SUBSTITUTE($D3438,"-","")," ",""),".",""))</f>
        <v/>
      </c>
      <c r="J3438" s="10" t="str">
        <f aca="false">IF($E3438="","",UPPER(SUBSTITUTE($E3438," ","")))</f>
        <v/>
      </c>
      <c r="K3438" s="10" t="str">
        <f aca="false">IF($A3438="","",$G3438&amp;"|"&amp;$J3438)</f>
        <v/>
      </c>
      <c r="L3438" s="10" t="str">
        <f aca="false">IF($A3438="","",ROW()-2)</f>
        <v/>
      </c>
      <c r="M3438" s="10" t="str">
        <f aca="false">IF($A3438="","",ROW())</f>
        <v/>
      </c>
    </row>
    <row r="3439" customFormat="false" ht="15" hidden="false" customHeight="true" outlineLevel="0" collapsed="false">
      <c r="A3439" s="8"/>
      <c r="B3439" s="8"/>
      <c r="C3439" s="8"/>
      <c r="D3439" s="8"/>
      <c r="E3439" s="8"/>
      <c r="F3439" s="8"/>
      <c r="G3439" s="10" t="str">
        <f aca="false">IF($A3439="","",UPPER(SUBSTITUTE(SUBSTITUTE(SUBSTITUTE(SUBSTITUTE($A3439," ",""),"(주)",""),"주식회사",""),"㈜","")))</f>
        <v/>
      </c>
      <c r="H3439" s="10" t="str">
        <f aca="false">IF($B3439="","",SUBSTITUTE(SUBSTITUTE(SUBSTITUTE($B3439,"-","")," ",""),".",""))</f>
        <v/>
      </c>
      <c r="I3439" s="10" t="str">
        <f aca="false">IF($D3439="","",SUBSTITUTE(SUBSTITUTE(SUBSTITUTE($D3439,"-","")," ",""),".",""))</f>
        <v/>
      </c>
      <c r="J3439" s="10" t="str">
        <f aca="false">IF($E3439="","",UPPER(SUBSTITUTE($E3439," ","")))</f>
        <v/>
      </c>
      <c r="K3439" s="10" t="str">
        <f aca="false">IF($A3439="","",$G3439&amp;"|"&amp;$J3439)</f>
        <v/>
      </c>
      <c r="L3439" s="10" t="str">
        <f aca="false">IF($A3439="","",ROW()-2)</f>
        <v/>
      </c>
      <c r="M3439" s="10" t="str">
        <f aca="false">IF($A3439="","",ROW())</f>
        <v/>
      </c>
    </row>
    <row r="3440" customFormat="false" ht="15" hidden="false" customHeight="true" outlineLevel="0" collapsed="false">
      <c r="A3440" s="8"/>
      <c r="B3440" s="8"/>
      <c r="C3440" s="8"/>
      <c r="D3440" s="8"/>
      <c r="E3440" s="8"/>
      <c r="F3440" s="8"/>
      <c r="G3440" s="10" t="str">
        <f aca="false">IF($A3440="","",UPPER(SUBSTITUTE(SUBSTITUTE(SUBSTITUTE(SUBSTITUTE($A3440," ",""),"(주)",""),"주식회사",""),"㈜","")))</f>
        <v/>
      </c>
      <c r="H3440" s="10" t="str">
        <f aca="false">IF($B3440="","",SUBSTITUTE(SUBSTITUTE(SUBSTITUTE($B3440,"-","")," ",""),".",""))</f>
        <v/>
      </c>
      <c r="I3440" s="10" t="str">
        <f aca="false">IF($D3440="","",SUBSTITUTE(SUBSTITUTE(SUBSTITUTE($D3440,"-","")," ",""),".",""))</f>
        <v/>
      </c>
      <c r="J3440" s="10" t="str">
        <f aca="false">IF($E3440="","",UPPER(SUBSTITUTE($E3440," ","")))</f>
        <v/>
      </c>
      <c r="K3440" s="10" t="str">
        <f aca="false">IF($A3440="","",$G3440&amp;"|"&amp;$J3440)</f>
        <v/>
      </c>
      <c r="L3440" s="10" t="str">
        <f aca="false">IF($A3440="","",ROW()-2)</f>
        <v/>
      </c>
      <c r="M3440" s="10" t="str">
        <f aca="false">IF($A3440="","",ROW())</f>
        <v/>
      </c>
    </row>
    <row r="3441" customFormat="false" ht="15" hidden="false" customHeight="true" outlineLevel="0" collapsed="false">
      <c r="A3441" s="8"/>
      <c r="B3441" s="8"/>
      <c r="C3441" s="8"/>
      <c r="D3441" s="8"/>
      <c r="E3441" s="8"/>
      <c r="F3441" s="8"/>
      <c r="G3441" s="10" t="str">
        <f aca="false">IF($A3441="","",UPPER(SUBSTITUTE(SUBSTITUTE(SUBSTITUTE(SUBSTITUTE($A3441," ",""),"(주)",""),"주식회사",""),"㈜","")))</f>
        <v/>
      </c>
      <c r="H3441" s="10" t="str">
        <f aca="false">IF($B3441="","",SUBSTITUTE(SUBSTITUTE(SUBSTITUTE($B3441,"-","")," ",""),".",""))</f>
        <v/>
      </c>
      <c r="I3441" s="10" t="str">
        <f aca="false">IF($D3441="","",SUBSTITUTE(SUBSTITUTE(SUBSTITUTE($D3441,"-","")," ",""),".",""))</f>
        <v/>
      </c>
      <c r="J3441" s="10" t="str">
        <f aca="false">IF($E3441="","",UPPER(SUBSTITUTE($E3441," ","")))</f>
        <v/>
      </c>
      <c r="K3441" s="10" t="str">
        <f aca="false">IF($A3441="","",$G3441&amp;"|"&amp;$J3441)</f>
        <v/>
      </c>
      <c r="L3441" s="10" t="str">
        <f aca="false">IF($A3441="","",ROW()-2)</f>
        <v/>
      </c>
      <c r="M3441" s="10" t="str">
        <f aca="false">IF($A3441="","",ROW())</f>
        <v/>
      </c>
    </row>
    <row r="3442" customFormat="false" ht="15" hidden="false" customHeight="true" outlineLevel="0" collapsed="false">
      <c r="A3442" s="8"/>
      <c r="B3442" s="8"/>
      <c r="C3442" s="8"/>
      <c r="D3442" s="8"/>
      <c r="E3442" s="8"/>
      <c r="F3442" s="8"/>
      <c r="G3442" s="10" t="str">
        <f aca="false">IF($A3442="","",UPPER(SUBSTITUTE(SUBSTITUTE(SUBSTITUTE(SUBSTITUTE($A3442," ",""),"(주)",""),"주식회사",""),"㈜","")))</f>
        <v/>
      </c>
      <c r="H3442" s="10" t="str">
        <f aca="false">IF($B3442="","",SUBSTITUTE(SUBSTITUTE(SUBSTITUTE($B3442,"-","")," ",""),".",""))</f>
        <v/>
      </c>
      <c r="I3442" s="10" t="str">
        <f aca="false">IF($D3442="","",SUBSTITUTE(SUBSTITUTE(SUBSTITUTE($D3442,"-","")," ",""),".",""))</f>
        <v/>
      </c>
      <c r="J3442" s="10" t="str">
        <f aca="false">IF($E3442="","",UPPER(SUBSTITUTE($E3442," ","")))</f>
        <v/>
      </c>
      <c r="K3442" s="10" t="str">
        <f aca="false">IF($A3442="","",$G3442&amp;"|"&amp;$J3442)</f>
        <v/>
      </c>
      <c r="L3442" s="10" t="str">
        <f aca="false">IF($A3442="","",ROW()-2)</f>
        <v/>
      </c>
      <c r="M3442" s="10" t="str">
        <f aca="false">IF($A3442="","",ROW())</f>
        <v/>
      </c>
    </row>
    <row r="3443" customFormat="false" ht="15" hidden="false" customHeight="true" outlineLevel="0" collapsed="false">
      <c r="A3443" s="8"/>
      <c r="B3443" s="8"/>
      <c r="C3443" s="8"/>
      <c r="D3443" s="8"/>
      <c r="E3443" s="8"/>
      <c r="F3443" s="8"/>
      <c r="G3443" s="10" t="str">
        <f aca="false">IF($A3443="","",UPPER(SUBSTITUTE(SUBSTITUTE(SUBSTITUTE(SUBSTITUTE($A3443," ",""),"(주)",""),"주식회사",""),"㈜","")))</f>
        <v/>
      </c>
      <c r="H3443" s="10" t="str">
        <f aca="false">IF($B3443="","",SUBSTITUTE(SUBSTITUTE(SUBSTITUTE($B3443,"-","")," ",""),".",""))</f>
        <v/>
      </c>
      <c r="I3443" s="10" t="str">
        <f aca="false">IF($D3443="","",SUBSTITUTE(SUBSTITUTE(SUBSTITUTE($D3443,"-","")," ",""),".",""))</f>
        <v/>
      </c>
      <c r="J3443" s="10" t="str">
        <f aca="false">IF($E3443="","",UPPER(SUBSTITUTE($E3443," ","")))</f>
        <v/>
      </c>
      <c r="K3443" s="10" t="str">
        <f aca="false">IF($A3443="","",$G3443&amp;"|"&amp;$J3443)</f>
        <v/>
      </c>
      <c r="L3443" s="10" t="str">
        <f aca="false">IF($A3443="","",ROW()-2)</f>
        <v/>
      </c>
      <c r="M3443" s="10" t="str">
        <f aca="false">IF($A3443="","",ROW())</f>
        <v/>
      </c>
    </row>
    <row r="3444" customFormat="false" ht="15" hidden="false" customHeight="true" outlineLevel="0" collapsed="false">
      <c r="A3444" s="8"/>
      <c r="B3444" s="8"/>
      <c r="C3444" s="8"/>
      <c r="D3444" s="8"/>
      <c r="E3444" s="8"/>
      <c r="F3444" s="8"/>
      <c r="G3444" s="10" t="str">
        <f aca="false">IF($A3444="","",UPPER(SUBSTITUTE(SUBSTITUTE(SUBSTITUTE(SUBSTITUTE($A3444," ",""),"(주)",""),"주식회사",""),"㈜","")))</f>
        <v/>
      </c>
      <c r="H3444" s="10" t="str">
        <f aca="false">IF($B3444="","",SUBSTITUTE(SUBSTITUTE(SUBSTITUTE($B3444,"-","")," ",""),".",""))</f>
        <v/>
      </c>
      <c r="I3444" s="10" t="str">
        <f aca="false">IF($D3444="","",SUBSTITUTE(SUBSTITUTE(SUBSTITUTE($D3444,"-","")," ",""),".",""))</f>
        <v/>
      </c>
      <c r="J3444" s="10" t="str">
        <f aca="false">IF($E3444="","",UPPER(SUBSTITUTE($E3444," ","")))</f>
        <v/>
      </c>
      <c r="K3444" s="10" t="str">
        <f aca="false">IF($A3444="","",$G3444&amp;"|"&amp;$J3444)</f>
        <v/>
      </c>
      <c r="L3444" s="10" t="str">
        <f aca="false">IF($A3444="","",ROW()-2)</f>
        <v/>
      </c>
      <c r="M3444" s="10" t="str">
        <f aca="false">IF($A3444="","",ROW())</f>
        <v/>
      </c>
    </row>
    <row r="3445" customFormat="false" ht="15" hidden="false" customHeight="true" outlineLevel="0" collapsed="false">
      <c r="A3445" s="8"/>
      <c r="B3445" s="8"/>
      <c r="C3445" s="8"/>
      <c r="D3445" s="8"/>
      <c r="E3445" s="8"/>
      <c r="F3445" s="8"/>
      <c r="G3445" s="10" t="str">
        <f aca="false">IF($A3445="","",UPPER(SUBSTITUTE(SUBSTITUTE(SUBSTITUTE(SUBSTITUTE($A3445," ",""),"(주)",""),"주식회사",""),"㈜","")))</f>
        <v/>
      </c>
      <c r="H3445" s="10" t="str">
        <f aca="false">IF($B3445="","",SUBSTITUTE(SUBSTITUTE(SUBSTITUTE($B3445,"-","")," ",""),".",""))</f>
        <v/>
      </c>
      <c r="I3445" s="10" t="str">
        <f aca="false">IF($D3445="","",SUBSTITUTE(SUBSTITUTE(SUBSTITUTE($D3445,"-","")," ",""),".",""))</f>
        <v/>
      </c>
      <c r="J3445" s="10" t="str">
        <f aca="false">IF($E3445="","",UPPER(SUBSTITUTE($E3445," ","")))</f>
        <v/>
      </c>
      <c r="K3445" s="10" t="str">
        <f aca="false">IF($A3445="","",$G3445&amp;"|"&amp;$J3445)</f>
        <v/>
      </c>
      <c r="L3445" s="10" t="str">
        <f aca="false">IF($A3445="","",ROW()-2)</f>
        <v/>
      </c>
      <c r="M3445" s="10" t="str">
        <f aca="false">IF($A3445="","",ROW())</f>
        <v/>
      </c>
    </row>
    <row r="3446" customFormat="false" ht="15" hidden="false" customHeight="true" outlineLevel="0" collapsed="false">
      <c r="A3446" s="8"/>
      <c r="B3446" s="8"/>
      <c r="C3446" s="8"/>
      <c r="D3446" s="8"/>
      <c r="E3446" s="8"/>
      <c r="F3446" s="8"/>
      <c r="G3446" s="10" t="str">
        <f aca="false">IF($A3446="","",UPPER(SUBSTITUTE(SUBSTITUTE(SUBSTITUTE(SUBSTITUTE($A3446," ",""),"(주)",""),"주식회사",""),"㈜","")))</f>
        <v/>
      </c>
      <c r="H3446" s="10" t="str">
        <f aca="false">IF($B3446="","",SUBSTITUTE(SUBSTITUTE(SUBSTITUTE($B3446,"-","")," ",""),".",""))</f>
        <v/>
      </c>
      <c r="I3446" s="10" t="str">
        <f aca="false">IF($D3446="","",SUBSTITUTE(SUBSTITUTE(SUBSTITUTE($D3446,"-","")," ",""),".",""))</f>
        <v/>
      </c>
      <c r="J3446" s="10" t="str">
        <f aca="false">IF($E3446="","",UPPER(SUBSTITUTE($E3446," ","")))</f>
        <v/>
      </c>
      <c r="K3446" s="10" t="str">
        <f aca="false">IF($A3446="","",$G3446&amp;"|"&amp;$J3446)</f>
        <v/>
      </c>
      <c r="L3446" s="10" t="str">
        <f aca="false">IF($A3446="","",ROW()-2)</f>
        <v/>
      </c>
      <c r="M3446" s="10" t="str">
        <f aca="false">IF($A3446="","",ROW())</f>
        <v/>
      </c>
    </row>
    <row r="3447" customFormat="false" ht="15" hidden="false" customHeight="true" outlineLevel="0" collapsed="false">
      <c r="A3447" s="8"/>
      <c r="B3447" s="8"/>
      <c r="C3447" s="8"/>
      <c r="D3447" s="8"/>
      <c r="E3447" s="8"/>
      <c r="F3447" s="8"/>
      <c r="G3447" s="10" t="str">
        <f aca="false">IF($A3447="","",UPPER(SUBSTITUTE(SUBSTITUTE(SUBSTITUTE(SUBSTITUTE($A3447," ",""),"(주)",""),"주식회사",""),"㈜","")))</f>
        <v/>
      </c>
      <c r="H3447" s="10" t="str">
        <f aca="false">IF($B3447="","",SUBSTITUTE(SUBSTITUTE(SUBSTITUTE($B3447,"-","")," ",""),".",""))</f>
        <v/>
      </c>
      <c r="I3447" s="10" t="str">
        <f aca="false">IF($D3447="","",SUBSTITUTE(SUBSTITUTE(SUBSTITUTE($D3447,"-","")," ",""),".",""))</f>
        <v/>
      </c>
      <c r="J3447" s="10" t="str">
        <f aca="false">IF($E3447="","",UPPER(SUBSTITUTE($E3447," ","")))</f>
        <v/>
      </c>
      <c r="K3447" s="10" t="str">
        <f aca="false">IF($A3447="","",$G3447&amp;"|"&amp;$J3447)</f>
        <v/>
      </c>
      <c r="L3447" s="10" t="str">
        <f aca="false">IF($A3447="","",ROW()-2)</f>
        <v/>
      </c>
      <c r="M3447" s="10" t="str">
        <f aca="false">IF($A3447="","",ROW())</f>
        <v/>
      </c>
    </row>
    <row r="3448" customFormat="false" ht="15" hidden="false" customHeight="true" outlineLevel="0" collapsed="false">
      <c r="A3448" s="8"/>
      <c r="B3448" s="8"/>
      <c r="C3448" s="8"/>
      <c r="D3448" s="8"/>
      <c r="E3448" s="8"/>
      <c r="F3448" s="8"/>
      <c r="G3448" s="10" t="str">
        <f aca="false">IF($A3448="","",UPPER(SUBSTITUTE(SUBSTITUTE(SUBSTITUTE(SUBSTITUTE($A3448," ",""),"(주)",""),"주식회사",""),"㈜","")))</f>
        <v/>
      </c>
      <c r="H3448" s="10" t="str">
        <f aca="false">IF($B3448="","",SUBSTITUTE(SUBSTITUTE(SUBSTITUTE($B3448,"-","")," ",""),".",""))</f>
        <v/>
      </c>
      <c r="I3448" s="10" t="str">
        <f aca="false">IF($D3448="","",SUBSTITUTE(SUBSTITUTE(SUBSTITUTE($D3448,"-","")," ",""),".",""))</f>
        <v/>
      </c>
      <c r="J3448" s="10" t="str">
        <f aca="false">IF($E3448="","",UPPER(SUBSTITUTE($E3448," ","")))</f>
        <v/>
      </c>
      <c r="K3448" s="10" t="str">
        <f aca="false">IF($A3448="","",$G3448&amp;"|"&amp;$J3448)</f>
        <v/>
      </c>
      <c r="L3448" s="10" t="str">
        <f aca="false">IF($A3448="","",ROW()-2)</f>
        <v/>
      </c>
      <c r="M3448" s="10" t="str">
        <f aca="false">IF($A3448="","",ROW())</f>
        <v/>
      </c>
    </row>
    <row r="3449" customFormat="false" ht="15" hidden="false" customHeight="true" outlineLevel="0" collapsed="false">
      <c r="A3449" s="8"/>
      <c r="B3449" s="8"/>
      <c r="C3449" s="8"/>
      <c r="D3449" s="8"/>
      <c r="E3449" s="8"/>
      <c r="F3449" s="8"/>
      <c r="G3449" s="10" t="str">
        <f aca="false">IF($A3449="","",UPPER(SUBSTITUTE(SUBSTITUTE(SUBSTITUTE(SUBSTITUTE($A3449," ",""),"(주)",""),"주식회사",""),"㈜","")))</f>
        <v/>
      </c>
      <c r="H3449" s="10" t="str">
        <f aca="false">IF($B3449="","",SUBSTITUTE(SUBSTITUTE(SUBSTITUTE($B3449,"-","")," ",""),".",""))</f>
        <v/>
      </c>
      <c r="I3449" s="10" t="str">
        <f aca="false">IF($D3449="","",SUBSTITUTE(SUBSTITUTE(SUBSTITUTE($D3449,"-","")," ",""),".",""))</f>
        <v/>
      </c>
      <c r="J3449" s="10" t="str">
        <f aca="false">IF($E3449="","",UPPER(SUBSTITUTE($E3449," ","")))</f>
        <v/>
      </c>
      <c r="K3449" s="10" t="str">
        <f aca="false">IF($A3449="","",$G3449&amp;"|"&amp;$J3449)</f>
        <v/>
      </c>
      <c r="L3449" s="10" t="str">
        <f aca="false">IF($A3449="","",ROW()-2)</f>
        <v/>
      </c>
      <c r="M3449" s="10" t="str">
        <f aca="false">IF($A3449="","",ROW())</f>
        <v/>
      </c>
    </row>
    <row r="3450" customFormat="false" ht="15" hidden="false" customHeight="true" outlineLevel="0" collapsed="false">
      <c r="A3450" s="8"/>
      <c r="B3450" s="8"/>
      <c r="C3450" s="8"/>
      <c r="D3450" s="8"/>
      <c r="E3450" s="8"/>
      <c r="F3450" s="8"/>
      <c r="G3450" s="10" t="str">
        <f aca="false">IF($A3450="","",UPPER(SUBSTITUTE(SUBSTITUTE(SUBSTITUTE(SUBSTITUTE($A3450," ",""),"(주)",""),"주식회사",""),"㈜","")))</f>
        <v/>
      </c>
      <c r="H3450" s="10" t="str">
        <f aca="false">IF($B3450="","",SUBSTITUTE(SUBSTITUTE(SUBSTITUTE($B3450,"-","")," ",""),".",""))</f>
        <v/>
      </c>
      <c r="I3450" s="10" t="str">
        <f aca="false">IF($D3450="","",SUBSTITUTE(SUBSTITUTE(SUBSTITUTE($D3450,"-","")," ",""),".",""))</f>
        <v/>
      </c>
      <c r="J3450" s="10" t="str">
        <f aca="false">IF($E3450="","",UPPER(SUBSTITUTE($E3450," ","")))</f>
        <v/>
      </c>
      <c r="K3450" s="10" t="str">
        <f aca="false">IF($A3450="","",$G3450&amp;"|"&amp;$J3450)</f>
        <v/>
      </c>
      <c r="L3450" s="10" t="str">
        <f aca="false">IF($A3450="","",ROW()-2)</f>
        <v/>
      </c>
      <c r="M3450" s="10" t="str">
        <f aca="false">IF($A3450="","",ROW())</f>
        <v/>
      </c>
    </row>
    <row r="3451" customFormat="false" ht="15" hidden="false" customHeight="true" outlineLevel="0" collapsed="false">
      <c r="A3451" s="8"/>
      <c r="B3451" s="8"/>
      <c r="C3451" s="8"/>
      <c r="D3451" s="8"/>
      <c r="E3451" s="8"/>
      <c r="F3451" s="8"/>
      <c r="G3451" s="10" t="str">
        <f aca="false">IF($A3451="","",UPPER(SUBSTITUTE(SUBSTITUTE(SUBSTITUTE(SUBSTITUTE($A3451," ",""),"(주)",""),"주식회사",""),"㈜","")))</f>
        <v/>
      </c>
      <c r="H3451" s="10" t="str">
        <f aca="false">IF($B3451="","",SUBSTITUTE(SUBSTITUTE(SUBSTITUTE($B3451,"-","")," ",""),".",""))</f>
        <v/>
      </c>
      <c r="I3451" s="10" t="str">
        <f aca="false">IF($D3451="","",SUBSTITUTE(SUBSTITUTE(SUBSTITUTE($D3451,"-","")," ",""),".",""))</f>
        <v/>
      </c>
      <c r="J3451" s="10" t="str">
        <f aca="false">IF($E3451="","",UPPER(SUBSTITUTE($E3451," ","")))</f>
        <v/>
      </c>
      <c r="K3451" s="10" t="str">
        <f aca="false">IF($A3451="","",$G3451&amp;"|"&amp;$J3451)</f>
        <v/>
      </c>
      <c r="L3451" s="10" t="str">
        <f aca="false">IF($A3451="","",ROW()-2)</f>
        <v/>
      </c>
      <c r="M3451" s="10" t="str">
        <f aca="false">IF($A3451="","",ROW())</f>
        <v/>
      </c>
    </row>
    <row r="3452" customFormat="false" ht="15" hidden="false" customHeight="true" outlineLevel="0" collapsed="false">
      <c r="A3452" s="8"/>
      <c r="B3452" s="8"/>
      <c r="C3452" s="8"/>
      <c r="D3452" s="8"/>
      <c r="E3452" s="8"/>
      <c r="F3452" s="8"/>
      <c r="G3452" s="10" t="str">
        <f aca="false">IF($A3452="","",UPPER(SUBSTITUTE(SUBSTITUTE(SUBSTITUTE(SUBSTITUTE($A3452," ",""),"(주)",""),"주식회사",""),"㈜","")))</f>
        <v/>
      </c>
      <c r="H3452" s="10" t="str">
        <f aca="false">IF($B3452="","",SUBSTITUTE(SUBSTITUTE(SUBSTITUTE($B3452,"-","")," ",""),".",""))</f>
        <v/>
      </c>
      <c r="I3452" s="10" t="str">
        <f aca="false">IF($D3452="","",SUBSTITUTE(SUBSTITUTE(SUBSTITUTE($D3452,"-","")," ",""),".",""))</f>
        <v/>
      </c>
      <c r="J3452" s="10" t="str">
        <f aca="false">IF($E3452="","",UPPER(SUBSTITUTE($E3452," ","")))</f>
        <v/>
      </c>
      <c r="K3452" s="10" t="str">
        <f aca="false">IF($A3452="","",$G3452&amp;"|"&amp;$J3452)</f>
        <v/>
      </c>
      <c r="L3452" s="10" t="str">
        <f aca="false">IF($A3452="","",ROW()-2)</f>
        <v/>
      </c>
      <c r="M3452" s="10" t="str">
        <f aca="false">IF($A3452="","",ROW())</f>
        <v/>
      </c>
    </row>
    <row r="3453" customFormat="false" ht="15" hidden="false" customHeight="true" outlineLevel="0" collapsed="false">
      <c r="A3453" s="8"/>
      <c r="B3453" s="8"/>
      <c r="C3453" s="8"/>
      <c r="D3453" s="8"/>
      <c r="E3453" s="8"/>
      <c r="F3453" s="8"/>
      <c r="G3453" s="10" t="str">
        <f aca="false">IF($A3453="","",UPPER(SUBSTITUTE(SUBSTITUTE(SUBSTITUTE(SUBSTITUTE($A3453," ",""),"(주)",""),"주식회사",""),"㈜","")))</f>
        <v/>
      </c>
      <c r="H3453" s="10" t="str">
        <f aca="false">IF($B3453="","",SUBSTITUTE(SUBSTITUTE(SUBSTITUTE($B3453,"-","")," ",""),".",""))</f>
        <v/>
      </c>
      <c r="I3453" s="10" t="str">
        <f aca="false">IF($D3453="","",SUBSTITUTE(SUBSTITUTE(SUBSTITUTE($D3453,"-","")," ",""),".",""))</f>
        <v/>
      </c>
      <c r="J3453" s="10" t="str">
        <f aca="false">IF($E3453="","",UPPER(SUBSTITUTE($E3453," ","")))</f>
        <v/>
      </c>
      <c r="K3453" s="10" t="str">
        <f aca="false">IF($A3453="","",$G3453&amp;"|"&amp;$J3453)</f>
        <v/>
      </c>
      <c r="L3453" s="10" t="str">
        <f aca="false">IF($A3453="","",ROW()-2)</f>
        <v/>
      </c>
      <c r="M3453" s="10" t="str">
        <f aca="false">IF($A3453="","",ROW())</f>
        <v/>
      </c>
    </row>
    <row r="3454" customFormat="false" ht="15" hidden="false" customHeight="true" outlineLevel="0" collapsed="false">
      <c r="A3454" s="8"/>
      <c r="B3454" s="8"/>
      <c r="C3454" s="8"/>
      <c r="D3454" s="8"/>
      <c r="E3454" s="8"/>
      <c r="F3454" s="8"/>
      <c r="G3454" s="10" t="str">
        <f aca="false">IF($A3454="","",UPPER(SUBSTITUTE(SUBSTITUTE(SUBSTITUTE(SUBSTITUTE($A3454," ",""),"(주)",""),"주식회사",""),"㈜","")))</f>
        <v/>
      </c>
      <c r="H3454" s="10" t="str">
        <f aca="false">IF($B3454="","",SUBSTITUTE(SUBSTITUTE(SUBSTITUTE($B3454,"-","")," ",""),".",""))</f>
        <v/>
      </c>
      <c r="I3454" s="10" t="str">
        <f aca="false">IF($D3454="","",SUBSTITUTE(SUBSTITUTE(SUBSTITUTE($D3454,"-","")," ",""),".",""))</f>
        <v/>
      </c>
      <c r="J3454" s="10" t="str">
        <f aca="false">IF($E3454="","",UPPER(SUBSTITUTE($E3454," ","")))</f>
        <v/>
      </c>
      <c r="K3454" s="10" t="str">
        <f aca="false">IF($A3454="","",$G3454&amp;"|"&amp;$J3454)</f>
        <v/>
      </c>
      <c r="L3454" s="10" t="str">
        <f aca="false">IF($A3454="","",ROW()-2)</f>
        <v/>
      </c>
      <c r="M3454" s="10" t="str">
        <f aca="false">IF($A3454="","",ROW())</f>
        <v/>
      </c>
    </row>
    <row r="3455" customFormat="false" ht="15" hidden="false" customHeight="true" outlineLevel="0" collapsed="false">
      <c r="A3455" s="8"/>
      <c r="B3455" s="8"/>
      <c r="C3455" s="8"/>
      <c r="D3455" s="8"/>
      <c r="E3455" s="8"/>
      <c r="F3455" s="8"/>
      <c r="G3455" s="10" t="str">
        <f aca="false">IF($A3455="","",UPPER(SUBSTITUTE(SUBSTITUTE(SUBSTITUTE(SUBSTITUTE($A3455," ",""),"(주)",""),"주식회사",""),"㈜","")))</f>
        <v/>
      </c>
      <c r="H3455" s="10" t="str">
        <f aca="false">IF($B3455="","",SUBSTITUTE(SUBSTITUTE(SUBSTITUTE($B3455,"-","")," ",""),".",""))</f>
        <v/>
      </c>
      <c r="I3455" s="10" t="str">
        <f aca="false">IF($D3455="","",SUBSTITUTE(SUBSTITUTE(SUBSTITUTE($D3455,"-","")," ",""),".",""))</f>
        <v/>
      </c>
      <c r="J3455" s="10" t="str">
        <f aca="false">IF($E3455="","",UPPER(SUBSTITUTE($E3455," ","")))</f>
        <v/>
      </c>
      <c r="K3455" s="10" t="str">
        <f aca="false">IF($A3455="","",$G3455&amp;"|"&amp;$J3455)</f>
        <v/>
      </c>
      <c r="L3455" s="10" t="str">
        <f aca="false">IF($A3455="","",ROW()-2)</f>
        <v/>
      </c>
      <c r="M3455" s="10" t="str">
        <f aca="false">IF($A3455="","",ROW())</f>
        <v/>
      </c>
    </row>
    <row r="3456" customFormat="false" ht="15" hidden="false" customHeight="true" outlineLevel="0" collapsed="false">
      <c r="A3456" s="8"/>
      <c r="B3456" s="8"/>
      <c r="C3456" s="8"/>
      <c r="D3456" s="8"/>
      <c r="E3456" s="8"/>
      <c r="F3456" s="8"/>
      <c r="G3456" s="10" t="str">
        <f aca="false">IF($A3456="","",UPPER(SUBSTITUTE(SUBSTITUTE(SUBSTITUTE(SUBSTITUTE($A3456," ",""),"(주)",""),"주식회사",""),"㈜","")))</f>
        <v/>
      </c>
      <c r="H3456" s="10" t="str">
        <f aca="false">IF($B3456="","",SUBSTITUTE(SUBSTITUTE(SUBSTITUTE($B3456,"-","")," ",""),".",""))</f>
        <v/>
      </c>
      <c r="I3456" s="10" t="str">
        <f aca="false">IF($D3456="","",SUBSTITUTE(SUBSTITUTE(SUBSTITUTE($D3456,"-","")," ",""),".",""))</f>
        <v/>
      </c>
      <c r="J3456" s="10" t="str">
        <f aca="false">IF($E3456="","",UPPER(SUBSTITUTE($E3456," ","")))</f>
        <v/>
      </c>
      <c r="K3456" s="10" t="str">
        <f aca="false">IF($A3456="","",$G3456&amp;"|"&amp;$J3456)</f>
        <v/>
      </c>
      <c r="L3456" s="10" t="str">
        <f aca="false">IF($A3456="","",ROW()-2)</f>
        <v/>
      </c>
      <c r="M3456" s="10" t="str">
        <f aca="false">IF($A3456="","",ROW())</f>
        <v/>
      </c>
    </row>
    <row r="3457" customFormat="false" ht="15" hidden="false" customHeight="true" outlineLevel="0" collapsed="false">
      <c r="A3457" s="8"/>
      <c r="B3457" s="8"/>
      <c r="C3457" s="8"/>
      <c r="D3457" s="8"/>
      <c r="E3457" s="8"/>
      <c r="F3457" s="8"/>
      <c r="G3457" s="10" t="str">
        <f aca="false">IF($A3457="","",UPPER(SUBSTITUTE(SUBSTITUTE(SUBSTITUTE(SUBSTITUTE($A3457," ",""),"(주)",""),"주식회사",""),"㈜","")))</f>
        <v/>
      </c>
      <c r="H3457" s="10" t="str">
        <f aca="false">IF($B3457="","",SUBSTITUTE(SUBSTITUTE(SUBSTITUTE($B3457,"-","")," ",""),".",""))</f>
        <v/>
      </c>
      <c r="I3457" s="10" t="str">
        <f aca="false">IF($D3457="","",SUBSTITUTE(SUBSTITUTE(SUBSTITUTE($D3457,"-","")," ",""),".",""))</f>
        <v/>
      </c>
      <c r="J3457" s="10" t="str">
        <f aca="false">IF($E3457="","",UPPER(SUBSTITUTE($E3457," ","")))</f>
        <v/>
      </c>
      <c r="K3457" s="10" t="str">
        <f aca="false">IF($A3457="","",$G3457&amp;"|"&amp;$J3457)</f>
        <v/>
      </c>
      <c r="L3457" s="10" t="str">
        <f aca="false">IF($A3457="","",ROW()-2)</f>
        <v/>
      </c>
      <c r="M3457" s="10" t="str">
        <f aca="false">IF($A3457="","",ROW())</f>
        <v/>
      </c>
    </row>
    <row r="3458" customFormat="false" ht="15" hidden="false" customHeight="true" outlineLevel="0" collapsed="false">
      <c r="A3458" s="8"/>
      <c r="B3458" s="8"/>
      <c r="C3458" s="8"/>
      <c r="D3458" s="8"/>
      <c r="E3458" s="8"/>
      <c r="F3458" s="8"/>
      <c r="G3458" s="10" t="str">
        <f aca="false">IF($A3458="","",UPPER(SUBSTITUTE(SUBSTITUTE(SUBSTITUTE(SUBSTITUTE($A3458," ",""),"(주)",""),"주식회사",""),"㈜","")))</f>
        <v/>
      </c>
      <c r="H3458" s="10" t="str">
        <f aca="false">IF($B3458="","",SUBSTITUTE(SUBSTITUTE(SUBSTITUTE($B3458,"-","")," ",""),".",""))</f>
        <v/>
      </c>
      <c r="I3458" s="10" t="str">
        <f aca="false">IF($D3458="","",SUBSTITUTE(SUBSTITUTE(SUBSTITUTE($D3458,"-","")," ",""),".",""))</f>
        <v/>
      </c>
      <c r="J3458" s="10" t="str">
        <f aca="false">IF($E3458="","",UPPER(SUBSTITUTE($E3458," ","")))</f>
        <v/>
      </c>
      <c r="K3458" s="10" t="str">
        <f aca="false">IF($A3458="","",$G3458&amp;"|"&amp;$J3458)</f>
        <v/>
      </c>
      <c r="L3458" s="10" t="str">
        <f aca="false">IF($A3458="","",ROW()-2)</f>
        <v/>
      </c>
      <c r="M3458" s="10" t="str">
        <f aca="false">IF($A3458="","",ROW())</f>
        <v/>
      </c>
    </row>
    <row r="3459" customFormat="false" ht="15" hidden="false" customHeight="true" outlineLevel="0" collapsed="false">
      <c r="A3459" s="8"/>
      <c r="B3459" s="8"/>
      <c r="C3459" s="8"/>
      <c r="D3459" s="8"/>
      <c r="E3459" s="8"/>
      <c r="F3459" s="8"/>
      <c r="G3459" s="10" t="str">
        <f aca="false">IF($A3459="","",UPPER(SUBSTITUTE(SUBSTITUTE(SUBSTITUTE(SUBSTITUTE($A3459," ",""),"(주)",""),"주식회사",""),"㈜","")))</f>
        <v/>
      </c>
      <c r="H3459" s="10" t="str">
        <f aca="false">IF($B3459="","",SUBSTITUTE(SUBSTITUTE(SUBSTITUTE($B3459,"-","")," ",""),".",""))</f>
        <v/>
      </c>
      <c r="I3459" s="10" t="str">
        <f aca="false">IF($D3459="","",SUBSTITUTE(SUBSTITUTE(SUBSTITUTE($D3459,"-","")," ",""),".",""))</f>
        <v/>
      </c>
      <c r="J3459" s="10" t="str">
        <f aca="false">IF($E3459="","",UPPER(SUBSTITUTE($E3459," ","")))</f>
        <v/>
      </c>
      <c r="K3459" s="10" t="str">
        <f aca="false">IF($A3459="","",$G3459&amp;"|"&amp;$J3459)</f>
        <v/>
      </c>
      <c r="L3459" s="10" t="str">
        <f aca="false">IF($A3459="","",ROW()-2)</f>
        <v/>
      </c>
      <c r="M3459" s="10" t="str">
        <f aca="false">IF($A3459="","",ROW())</f>
        <v/>
      </c>
    </row>
    <row r="3460" customFormat="false" ht="15" hidden="false" customHeight="true" outlineLevel="0" collapsed="false">
      <c r="A3460" s="8"/>
      <c r="B3460" s="8"/>
      <c r="C3460" s="8"/>
      <c r="D3460" s="8"/>
      <c r="E3460" s="8"/>
      <c r="F3460" s="8"/>
      <c r="G3460" s="10" t="str">
        <f aca="false">IF($A3460="","",UPPER(SUBSTITUTE(SUBSTITUTE(SUBSTITUTE(SUBSTITUTE($A3460," ",""),"(주)",""),"주식회사",""),"㈜","")))</f>
        <v/>
      </c>
      <c r="H3460" s="10" t="str">
        <f aca="false">IF($B3460="","",SUBSTITUTE(SUBSTITUTE(SUBSTITUTE($B3460,"-","")," ",""),".",""))</f>
        <v/>
      </c>
      <c r="I3460" s="10" t="str">
        <f aca="false">IF($D3460="","",SUBSTITUTE(SUBSTITUTE(SUBSTITUTE($D3460,"-","")," ",""),".",""))</f>
        <v/>
      </c>
      <c r="J3460" s="10" t="str">
        <f aca="false">IF($E3460="","",UPPER(SUBSTITUTE($E3460," ","")))</f>
        <v/>
      </c>
      <c r="K3460" s="10" t="str">
        <f aca="false">IF($A3460="","",$G3460&amp;"|"&amp;$J3460)</f>
        <v/>
      </c>
      <c r="L3460" s="10" t="str">
        <f aca="false">IF($A3460="","",ROW()-2)</f>
        <v/>
      </c>
      <c r="M3460" s="10" t="str">
        <f aca="false">IF($A3460="","",ROW())</f>
        <v/>
      </c>
    </row>
    <row r="3461" customFormat="false" ht="15" hidden="false" customHeight="true" outlineLevel="0" collapsed="false">
      <c r="A3461" s="8"/>
      <c r="B3461" s="8"/>
      <c r="C3461" s="8"/>
      <c r="D3461" s="8"/>
      <c r="E3461" s="8"/>
      <c r="F3461" s="8"/>
      <c r="G3461" s="10" t="str">
        <f aca="false">IF($A3461="","",UPPER(SUBSTITUTE(SUBSTITUTE(SUBSTITUTE(SUBSTITUTE($A3461," ",""),"(주)",""),"주식회사",""),"㈜","")))</f>
        <v/>
      </c>
      <c r="H3461" s="10" t="str">
        <f aca="false">IF($B3461="","",SUBSTITUTE(SUBSTITUTE(SUBSTITUTE($B3461,"-","")," ",""),".",""))</f>
        <v/>
      </c>
      <c r="I3461" s="10" t="str">
        <f aca="false">IF($D3461="","",SUBSTITUTE(SUBSTITUTE(SUBSTITUTE($D3461,"-","")," ",""),".",""))</f>
        <v/>
      </c>
      <c r="J3461" s="10" t="str">
        <f aca="false">IF($E3461="","",UPPER(SUBSTITUTE($E3461," ","")))</f>
        <v/>
      </c>
      <c r="K3461" s="10" t="str">
        <f aca="false">IF($A3461="","",$G3461&amp;"|"&amp;$J3461)</f>
        <v/>
      </c>
      <c r="L3461" s="10" t="str">
        <f aca="false">IF($A3461="","",ROW()-2)</f>
        <v/>
      </c>
      <c r="M3461" s="10" t="str">
        <f aca="false">IF($A3461="","",ROW())</f>
        <v/>
      </c>
    </row>
    <row r="3462" customFormat="false" ht="15" hidden="false" customHeight="true" outlineLevel="0" collapsed="false">
      <c r="A3462" s="8"/>
      <c r="B3462" s="8"/>
      <c r="C3462" s="8"/>
      <c r="D3462" s="8"/>
      <c r="E3462" s="8"/>
      <c r="F3462" s="8"/>
      <c r="G3462" s="10" t="str">
        <f aca="false">IF($A3462="","",UPPER(SUBSTITUTE(SUBSTITUTE(SUBSTITUTE(SUBSTITUTE($A3462," ",""),"(주)",""),"주식회사",""),"㈜","")))</f>
        <v/>
      </c>
      <c r="H3462" s="10" t="str">
        <f aca="false">IF($B3462="","",SUBSTITUTE(SUBSTITUTE(SUBSTITUTE($B3462,"-","")," ",""),".",""))</f>
        <v/>
      </c>
      <c r="I3462" s="10" t="str">
        <f aca="false">IF($D3462="","",SUBSTITUTE(SUBSTITUTE(SUBSTITUTE($D3462,"-","")," ",""),".",""))</f>
        <v/>
      </c>
      <c r="J3462" s="10" t="str">
        <f aca="false">IF($E3462="","",UPPER(SUBSTITUTE($E3462," ","")))</f>
        <v/>
      </c>
      <c r="K3462" s="10" t="str">
        <f aca="false">IF($A3462="","",$G3462&amp;"|"&amp;$J3462)</f>
        <v/>
      </c>
      <c r="L3462" s="10" t="str">
        <f aca="false">IF($A3462="","",ROW()-2)</f>
        <v/>
      </c>
      <c r="M3462" s="10" t="str">
        <f aca="false">IF($A3462="","",ROW())</f>
        <v/>
      </c>
    </row>
    <row r="3463" customFormat="false" ht="15" hidden="false" customHeight="true" outlineLevel="0" collapsed="false">
      <c r="A3463" s="8"/>
      <c r="B3463" s="8"/>
      <c r="C3463" s="8"/>
      <c r="D3463" s="8"/>
      <c r="E3463" s="8"/>
      <c r="F3463" s="8"/>
      <c r="G3463" s="10" t="str">
        <f aca="false">IF($A3463="","",UPPER(SUBSTITUTE(SUBSTITUTE(SUBSTITUTE(SUBSTITUTE($A3463," ",""),"(주)",""),"주식회사",""),"㈜","")))</f>
        <v/>
      </c>
      <c r="H3463" s="10" t="str">
        <f aca="false">IF($B3463="","",SUBSTITUTE(SUBSTITUTE(SUBSTITUTE($B3463,"-","")," ",""),".",""))</f>
        <v/>
      </c>
      <c r="I3463" s="10" t="str">
        <f aca="false">IF($D3463="","",SUBSTITUTE(SUBSTITUTE(SUBSTITUTE($D3463,"-","")," ",""),".",""))</f>
        <v/>
      </c>
      <c r="J3463" s="10" t="str">
        <f aca="false">IF($E3463="","",UPPER(SUBSTITUTE($E3463," ","")))</f>
        <v/>
      </c>
      <c r="K3463" s="10" t="str">
        <f aca="false">IF($A3463="","",$G3463&amp;"|"&amp;$J3463)</f>
        <v/>
      </c>
      <c r="L3463" s="10" t="str">
        <f aca="false">IF($A3463="","",ROW()-2)</f>
        <v/>
      </c>
      <c r="M3463" s="10" t="str">
        <f aca="false">IF($A3463="","",ROW())</f>
        <v/>
      </c>
    </row>
    <row r="3464" customFormat="false" ht="15" hidden="false" customHeight="true" outlineLevel="0" collapsed="false">
      <c r="A3464" s="8"/>
      <c r="B3464" s="8"/>
      <c r="C3464" s="8"/>
      <c r="D3464" s="8"/>
      <c r="E3464" s="8"/>
      <c r="F3464" s="8"/>
      <c r="G3464" s="10" t="str">
        <f aca="false">IF($A3464="","",UPPER(SUBSTITUTE(SUBSTITUTE(SUBSTITUTE(SUBSTITUTE($A3464," ",""),"(주)",""),"주식회사",""),"㈜","")))</f>
        <v/>
      </c>
      <c r="H3464" s="10" t="str">
        <f aca="false">IF($B3464="","",SUBSTITUTE(SUBSTITUTE(SUBSTITUTE($B3464,"-","")," ",""),".",""))</f>
        <v/>
      </c>
      <c r="I3464" s="10" t="str">
        <f aca="false">IF($D3464="","",SUBSTITUTE(SUBSTITUTE(SUBSTITUTE($D3464,"-","")," ",""),".",""))</f>
        <v/>
      </c>
      <c r="J3464" s="10" t="str">
        <f aca="false">IF($E3464="","",UPPER(SUBSTITUTE($E3464," ","")))</f>
        <v/>
      </c>
      <c r="K3464" s="10" t="str">
        <f aca="false">IF($A3464="","",$G3464&amp;"|"&amp;$J3464)</f>
        <v/>
      </c>
      <c r="L3464" s="10" t="str">
        <f aca="false">IF($A3464="","",ROW()-2)</f>
        <v/>
      </c>
      <c r="M3464" s="10" t="str">
        <f aca="false">IF($A3464="","",ROW())</f>
        <v/>
      </c>
    </row>
    <row r="3465" customFormat="false" ht="15" hidden="false" customHeight="true" outlineLevel="0" collapsed="false">
      <c r="A3465" s="8"/>
      <c r="B3465" s="8"/>
      <c r="C3465" s="8"/>
      <c r="D3465" s="8"/>
      <c r="E3465" s="8"/>
      <c r="F3465" s="8"/>
      <c r="G3465" s="10" t="str">
        <f aca="false">IF($A3465="","",UPPER(SUBSTITUTE(SUBSTITUTE(SUBSTITUTE(SUBSTITUTE($A3465," ",""),"(주)",""),"주식회사",""),"㈜","")))</f>
        <v/>
      </c>
      <c r="H3465" s="10" t="str">
        <f aca="false">IF($B3465="","",SUBSTITUTE(SUBSTITUTE(SUBSTITUTE($B3465,"-","")," ",""),".",""))</f>
        <v/>
      </c>
      <c r="I3465" s="10" t="str">
        <f aca="false">IF($D3465="","",SUBSTITUTE(SUBSTITUTE(SUBSTITUTE($D3465,"-","")," ",""),".",""))</f>
        <v/>
      </c>
      <c r="J3465" s="10" t="str">
        <f aca="false">IF($E3465="","",UPPER(SUBSTITUTE($E3465," ","")))</f>
        <v/>
      </c>
      <c r="K3465" s="10" t="str">
        <f aca="false">IF($A3465="","",$G3465&amp;"|"&amp;$J3465)</f>
        <v/>
      </c>
      <c r="L3465" s="10" t="str">
        <f aca="false">IF($A3465="","",ROW()-2)</f>
        <v/>
      </c>
      <c r="M3465" s="10" t="str">
        <f aca="false">IF($A3465="","",ROW())</f>
        <v/>
      </c>
    </row>
    <row r="3466" customFormat="false" ht="15" hidden="false" customHeight="true" outlineLevel="0" collapsed="false">
      <c r="A3466" s="8"/>
      <c r="B3466" s="8"/>
      <c r="C3466" s="8"/>
      <c r="D3466" s="8"/>
      <c r="E3466" s="8"/>
      <c r="F3466" s="8"/>
      <c r="G3466" s="10" t="str">
        <f aca="false">IF($A3466="","",UPPER(SUBSTITUTE(SUBSTITUTE(SUBSTITUTE(SUBSTITUTE($A3466," ",""),"(주)",""),"주식회사",""),"㈜","")))</f>
        <v/>
      </c>
      <c r="H3466" s="10" t="str">
        <f aca="false">IF($B3466="","",SUBSTITUTE(SUBSTITUTE(SUBSTITUTE($B3466,"-","")," ",""),".",""))</f>
        <v/>
      </c>
      <c r="I3466" s="10" t="str">
        <f aca="false">IF($D3466="","",SUBSTITUTE(SUBSTITUTE(SUBSTITUTE($D3466,"-","")," ",""),".",""))</f>
        <v/>
      </c>
      <c r="J3466" s="10" t="str">
        <f aca="false">IF($E3466="","",UPPER(SUBSTITUTE($E3466," ","")))</f>
        <v/>
      </c>
      <c r="K3466" s="10" t="str">
        <f aca="false">IF($A3466="","",$G3466&amp;"|"&amp;$J3466)</f>
        <v/>
      </c>
      <c r="L3466" s="10" t="str">
        <f aca="false">IF($A3466="","",ROW()-2)</f>
        <v/>
      </c>
      <c r="M3466" s="10" t="str">
        <f aca="false">IF($A3466="","",ROW())</f>
        <v/>
      </c>
    </row>
    <row r="3467" customFormat="false" ht="15" hidden="false" customHeight="true" outlineLevel="0" collapsed="false">
      <c r="A3467" s="8"/>
      <c r="B3467" s="8"/>
      <c r="C3467" s="8"/>
      <c r="D3467" s="8"/>
      <c r="E3467" s="8"/>
      <c r="F3467" s="8"/>
      <c r="G3467" s="10" t="str">
        <f aca="false">IF($A3467="","",UPPER(SUBSTITUTE(SUBSTITUTE(SUBSTITUTE(SUBSTITUTE($A3467," ",""),"(주)",""),"주식회사",""),"㈜","")))</f>
        <v/>
      </c>
      <c r="H3467" s="10" t="str">
        <f aca="false">IF($B3467="","",SUBSTITUTE(SUBSTITUTE(SUBSTITUTE($B3467,"-","")," ",""),".",""))</f>
        <v/>
      </c>
      <c r="I3467" s="10" t="str">
        <f aca="false">IF($D3467="","",SUBSTITUTE(SUBSTITUTE(SUBSTITUTE($D3467,"-","")," ",""),".",""))</f>
        <v/>
      </c>
      <c r="J3467" s="10" t="str">
        <f aca="false">IF($E3467="","",UPPER(SUBSTITUTE($E3467," ","")))</f>
        <v/>
      </c>
      <c r="K3467" s="10" t="str">
        <f aca="false">IF($A3467="","",$G3467&amp;"|"&amp;$J3467)</f>
        <v/>
      </c>
      <c r="L3467" s="10" t="str">
        <f aca="false">IF($A3467="","",ROW()-2)</f>
        <v/>
      </c>
      <c r="M3467" s="10" t="str">
        <f aca="false">IF($A3467="","",ROW())</f>
        <v/>
      </c>
    </row>
    <row r="3468" customFormat="false" ht="15" hidden="false" customHeight="true" outlineLevel="0" collapsed="false">
      <c r="A3468" s="8"/>
      <c r="B3468" s="8"/>
      <c r="C3468" s="8"/>
      <c r="D3468" s="8"/>
      <c r="E3468" s="8"/>
      <c r="F3468" s="8"/>
      <c r="G3468" s="10" t="str">
        <f aca="false">IF($A3468="","",UPPER(SUBSTITUTE(SUBSTITUTE(SUBSTITUTE(SUBSTITUTE($A3468," ",""),"(주)",""),"주식회사",""),"㈜","")))</f>
        <v/>
      </c>
      <c r="H3468" s="10" t="str">
        <f aca="false">IF($B3468="","",SUBSTITUTE(SUBSTITUTE(SUBSTITUTE($B3468,"-","")," ",""),".",""))</f>
        <v/>
      </c>
      <c r="I3468" s="10" t="str">
        <f aca="false">IF($D3468="","",SUBSTITUTE(SUBSTITUTE(SUBSTITUTE($D3468,"-","")," ",""),".",""))</f>
        <v/>
      </c>
      <c r="J3468" s="10" t="str">
        <f aca="false">IF($E3468="","",UPPER(SUBSTITUTE($E3468," ","")))</f>
        <v/>
      </c>
      <c r="K3468" s="10" t="str">
        <f aca="false">IF($A3468="","",$G3468&amp;"|"&amp;$J3468)</f>
        <v/>
      </c>
      <c r="L3468" s="10" t="str">
        <f aca="false">IF($A3468="","",ROW()-2)</f>
        <v/>
      </c>
      <c r="M3468" s="10" t="str">
        <f aca="false">IF($A3468="","",ROW())</f>
        <v/>
      </c>
    </row>
    <row r="3469" customFormat="false" ht="15" hidden="false" customHeight="true" outlineLevel="0" collapsed="false">
      <c r="A3469" s="8"/>
      <c r="B3469" s="8"/>
      <c r="C3469" s="8"/>
      <c r="D3469" s="8"/>
      <c r="E3469" s="8"/>
      <c r="F3469" s="8"/>
      <c r="G3469" s="10" t="str">
        <f aca="false">IF($A3469="","",UPPER(SUBSTITUTE(SUBSTITUTE(SUBSTITUTE(SUBSTITUTE($A3469," ",""),"(주)",""),"주식회사",""),"㈜","")))</f>
        <v/>
      </c>
      <c r="H3469" s="10" t="str">
        <f aca="false">IF($B3469="","",SUBSTITUTE(SUBSTITUTE(SUBSTITUTE($B3469,"-","")," ",""),".",""))</f>
        <v/>
      </c>
      <c r="I3469" s="10" t="str">
        <f aca="false">IF($D3469="","",SUBSTITUTE(SUBSTITUTE(SUBSTITUTE($D3469,"-","")," ",""),".",""))</f>
        <v/>
      </c>
      <c r="J3469" s="10" t="str">
        <f aca="false">IF($E3469="","",UPPER(SUBSTITUTE($E3469," ","")))</f>
        <v/>
      </c>
      <c r="K3469" s="10" t="str">
        <f aca="false">IF($A3469="","",$G3469&amp;"|"&amp;$J3469)</f>
        <v/>
      </c>
      <c r="L3469" s="10" t="str">
        <f aca="false">IF($A3469="","",ROW()-2)</f>
        <v/>
      </c>
      <c r="M3469" s="10" t="str">
        <f aca="false">IF($A3469="","",ROW())</f>
        <v/>
      </c>
    </row>
    <row r="3470" customFormat="false" ht="15" hidden="false" customHeight="true" outlineLevel="0" collapsed="false">
      <c r="A3470" s="8"/>
      <c r="B3470" s="8"/>
      <c r="C3470" s="8"/>
      <c r="D3470" s="8"/>
      <c r="E3470" s="8"/>
      <c r="F3470" s="8"/>
      <c r="G3470" s="10" t="str">
        <f aca="false">IF($A3470="","",UPPER(SUBSTITUTE(SUBSTITUTE(SUBSTITUTE(SUBSTITUTE($A3470," ",""),"(주)",""),"주식회사",""),"㈜","")))</f>
        <v/>
      </c>
      <c r="H3470" s="10" t="str">
        <f aca="false">IF($B3470="","",SUBSTITUTE(SUBSTITUTE(SUBSTITUTE($B3470,"-","")," ",""),".",""))</f>
        <v/>
      </c>
      <c r="I3470" s="10" t="str">
        <f aca="false">IF($D3470="","",SUBSTITUTE(SUBSTITUTE(SUBSTITUTE($D3470,"-","")," ",""),".",""))</f>
        <v/>
      </c>
      <c r="J3470" s="10" t="str">
        <f aca="false">IF($E3470="","",UPPER(SUBSTITUTE($E3470," ","")))</f>
        <v/>
      </c>
      <c r="K3470" s="10" t="str">
        <f aca="false">IF($A3470="","",$G3470&amp;"|"&amp;$J3470)</f>
        <v/>
      </c>
      <c r="L3470" s="10" t="str">
        <f aca="false">IF($A3470="","",ROW()-2)</f>
        <v/>
      </c>
      <c r="M3470" s="10" t="str">
        <f aca="false">IF($A3470="","",ROW())</f>
        <v/>
      </c>
    </row>
    <row r="3471" customFormat="false" ht="15" hidden="false" customHeight="true" outlineLevel="0" collapsed="false">
      <c r="A3471" s="8"/>
      <c r="B3471" s="8"/>
      <c r="C3471" s="8"/>
      <c r="D3471" s="8"/>
      <c r="E3471" s="8"/>
      <c r="F3471" s="8"/>
      <c r="G3471" s="10" t="str">
        <f aca="false">IF($A3471="","",UPPER(SUBSTITUTE(SUBSTITUTE(SUBSTITUTE(SUBSTITUTE($A3471," ",""),"(주)",""),"주식회사",""),"㈜","")))</f>
        <v/>
      </c>
      <c r="H3471" s="10" t="str">
        <f aca="false">IF($B3471="","",SUBSTITUTE(SUBSTITUTE(SUBSTITUTE($B3471,"-","")," ",""),".",""))</f>
        <v/>
      </c>
      <c r="I3471" s="10" t="str">
        <f aca="false">IF($D3471="","",SUBSTITUTE(SUBSTITUTE(SUBSTITUTE($D3471,"-","")," ",""),".",""))</f>
        <v/>
      </c>
      <c r="J3471" s="10" t="str">
        <f aca="false">IF($E3471="","",UPPER(SUBSTITUTE($E3471," ","")))</f>
        <v/>
      </c>
      <c r="K3471" s="10" t="str">
        <f aca="false">IF($A3471="","",$G3471&amp;"|"&amp;$J3471)</f>
        <v/>
      </c>
      <c r="L3471" s="10" t="str">
        <f aca="false">IF($A3471="","",ROW()-2)</f>
        <v/>
      </c>
      <c r="M3471" s="10" t="str">
        <f aca="false">IF($A3471="","",ROW())</f>
        <v/>
      </c>
    </row>
    <row r="3472" customFormat="false" ht="15" hidden="false" customHeight="true" outlineLevel="0" collapsed="false">
      <c r="A3472" s="8"/>
      <c r="B3472" s="8"/>
      <c r="C3472" s="8"/>
      <c r="D3472" s="8"/>
      <c r="E3472" s="8"/>
      <c r="F3472" s="8"/>
      <c r="G3472" s="10" t="str">
        <f aca="false">IF($A3472="","",UPPER(SUBSTITUTE(SUBSTITUTE(SUBSTITUTE(SUBSTITUTE($A3472," ",""),"(주)",""),"주식회사",""),"㈜","")))</f>
        <v/>
      </c>
      <c r="H3472" s="10" t="str">
        <f aca="false">IF($B3472="","",SUBSTITUTE(SUBSTITUTE(SUBSTITUTE($B3472,"-","")," ",""),".",""))</f>
        <v/>
      </c>
      <c r="I3472" s="10" t="str">
        <f aca="false">IF($D3472="","",SUBSTITUTE(SUBSTITUTE(SUBSTITUTE($D3472,"-","")," ",""),".",""))</f>
        <v/>
      </c>
      <c r="J3472" s="10" t="str">
        <f aca="false">IF($E3472="","",UPPER(SUBSTITUTE($E3472," ","")))</f>
        <v/>
      </c>
      <c r="K3472" s="10" t="str">
        <f aca="false">IF($A3472="","",$G3472&amp;"|"&amp;$J3472)</f>
        <v/>
      </c>
      <c r="L3472" s="10" t="str">
        <f aca="false">IF($A3472="","",ROW()-2)</f>
        <v/>
      </c>
      <c r="M3472" s="10" t="str">
        <f aca="false">IF($A3472="","",ROW())</f>
        <v/>
      </c>
    </row>
    <row r="3473" customFormat="false" ht="15" hidden="false" customHeight="true" outlineLevel="0" collapsed="false">
      <c r="A3473" s="8"/>
      <c r="B3473" s="8"/>
      <c r="C3473" s="8"/>
      <c r="D3473" s="8"/>
      <c r="E3473" s="8"/>
      <c r="F3473" s="8"/>
      <c r="G3473" s="10" t="str">
        <f aca="false">IF($A3473="","",UPPER(SUBSTITUTE(SUBSTITUTE(SUBSTITUTE(SUBSTITUTE($A3473," ",""),"(주)",""),"주식회사",""),"㈜","")))</f>
        <v/>
      </c>
      <c r="H3473" s="10" t="str">
        <f aca="false">IF($B3473="","",SUBSTITUTE(SUBSTITUTE(SUBSTITUTE($B3473,"-","")," ",""),".",""))</f>
        <v/>
      </c>
      <c r="I3473" s="10" t="str">
        <f aca="false">IF($D3473="","",SUBSTITUTE(SUBSTITUTE(SUBSTITUTE($D3473,"-","")," ",""),".",""))</f>
        <v/>
      </c>
      <c r="J3473" s="10" t="str">
        <f aca="false">IF($E3473="","",UPPER(SUBSTITUTE($E3473," ","")))</f>
        <v/>
      </c>
      <c r="K3473" s="10" t="str">
        <f aca="false">IF($A3473="","",$G3473&amp;"|"&amp;$J3473)</f>
        <v/>
      </c>
      <c r="L3473" s="10" t="str">
        <f aca="false">IF($A3473="","",ROW()-2)</f>
        <v/>
      </c>
      <c r="M3473" s="10" t="str">
        <f aca="false">IF($A3473="","",ROW())</f>
        <v/>
      </c>
    </row>
    <row r="3474" customFormat="false" ht="15" hidden="false" customHeight="true" outlineLevel="0" collapsed="false">
      <c r="A3474" s="8"/>
      <c r="B3474" s="8"/>
      <c r="C3474" s="8"/>
      <c r="D3474" s="8"/>
      <c r="E3474" s="8"/>
      <c r="F3474" s="8"/>
      <c r="G3474" s="10" t="str">
        <f aca="false">IF($A3474="","",UPPER(SUBSTITUTE(SUBSTITUTE(SUBSTITUTE(SUBSTITUTE($A3474," ",""),"(주)",""),"주식회사",""),"㈜","")))</f>
        <v/>
      </c>
      <c r="H3474" s="10" t="str">
        <f aca="false">IF($B3474="","",SUBSTITUTE(SUBSTITUTE(SUBSTITUTE($B3474,"-","")," ",""),".",""))</f>
        <v/>
      </c>
      <c r="I3474" s="10" t="str">
        <f aca="false">IF($D3474="","",SUBSTITUTE(SUBSTITUTE(SUBSTITUTE($D3474,"-","")," ",""),".",""))</f>
        <v/>
      </c>
      <c r="J3474" s="10" t="str">
        <f aca="false">IF($E3474="","",UPPER(SUBSTITUTE($E3474," ","")))</f>
        <v/>
      </c>
      <c r="K3474" s="10" t="str">
        <f aca="false">IF($A3474="","",$G3474&amp;"|"&amp;$J3474)</f>
        <v/>
      </c>
      <c r="L3474" s="10" t="str">
        <f aca="false">IF($A3474="","",ROW()-2)</f>
        <v/>
      </c>
      <c r="M3474" s="10" t="str">
        <f aca="false">IF($A3474="","",ROW())</f>
        <v/>
      </c>
    </row>
    <row r="3475" customFormat="false" ht="15" hidden="false" customHeight="true" outlineLevel="0" collapsed="false">
      <c r="A3475" s="8"/>
      <c r="B3475" s="8"/>
      <c r="C3475" s="8"/>
      <c r="D3475" s="8"/>
      <c r="E3475" s="8"/>
      <c r="F3475" s="8"/>
      <c r="G3475" s="10" t="str">
        <f aca="false">IF($A3475="","",UPPER(SUBSTITUTE(SUBSTITUTE(SUBSTITUTE(SUBSTITUTE($A3475," ",""),"(주)",""),"주식회사",""),"㈜","")))</f>
        <v/>
      </c>
      <c r="H3475" s="10" t="str">
        <f aca="false">IF($B3475="","",SUBSTITUTE(SUBSTITUTE(SUBSTITUTE($B3475,"-","")," ",""),".",""))</f>
        <v/>
      </c>
      <c r="I3475" s="10" t="str">
        <f aca="false">IF($D3475="","",SUBSTITUTE(SUBSTITUTE(SUBSTITUTE($D3475,"-","")," ",""),".",""))</f>
        <v/>
      </c>
      <c r="J3475" s="10" t="str">
        <f aca="false">IF($E3475="","",UPPER(SUBSTITUTE($E3475," ","")))</f>
        <v/>
      </c>
      <c r="K3475" s="10" t="str">
        <f aca="false">IF($A3475="","",$G3475&amp;"|"&amp;$J3475)</f>
        <v/>
      </c>
      <c r="L3475" s="10" t="str">
        <f aca="false">IF($A3475="","",ROW()-2)</f>
        <v/>
      </c>
      <c r="M3475" s="10" t="str">
        <f aca="false">IF($A3475="","",ROW())</f>
        <v/>
      </c>
    </row>
    <row r="3476" customFormat="false" ht="15" hidden="false" customHeight="true" outlineLevel="0" collapsed="false">
      <c r="A3476" s="8"/>
      <c r="B3476" s="8"/>
      <c r="C3476" s="8"/>
      <c r="D3476" s="8"/>
      <c r="E3476" s="8"/>
      <c r="F3476" s="8"/>
      <c r="G3476" s="10" t="str">
        <f aca="false">IF($A3476="","",UPPER(SUBSTITUTE(SUBSTITUTE(SUBSTITUTE(SUBSTITUTE($A3476," ",""),"(주)",""),"주식회사",""),"㈜","")))</f>
        <v/>
      </c>
      <c r="H3476" s="10" t="str">
        <f aca="false">IF($B3476="","",SUBSTITUTE(SUBSTITUTE(SUBSTITUTE($B3476,"-","")," ",""),".",""))</f>
        <v/>
      </c>
      <c r="I3476" s="10" t="str">
        <f aca="false">IF($D3476="","",SUBSTITUTE(SUBSTITUTE(SUBSTITUTE($D3476,"-","")," ",""),".",""))</f>
        <v/>
      </c>
      <c r="J3476" s="10" t="str">
        <f aca="false">IF($E3476="","",UPPER(SUBSTITUTE($E3476," ","")))</f>
        <v/>
      </c>
      <c r="K3476" s="10" t="str">
        <f aca="false">IF($A3476="","",$G3476&amp;"|"&amp;$J3476)</f>
        <v/>
      </c>
      <c r="L3476" s="10" t="str">
        <f aca="false">IF($A3476="","",ROW()-2)</f>
        <v/>
      </c>
      <c r="M3476" s="10" t="str">
        <f aca="false">IF($A3476="","",ROW())</f>
        <v/>
      </c>
    </row>
    <row r="3477" customFormat="false" ht="15" hidden="false" customHeight="true" outlineLevel="0" collapsed="false">
      <c r="A3477" s="8"/>
      <c r="B3477" s="8"/>
      <c r="C3477" s="8"/>
      <c r="D3477" s="8"/>
      <c r="E3477" s="8"/>
      <c r="F3477" s="8"/>
      <c r="G3477" s="10" t="str">
        <f aca="false">IF($A3477="","",UPPER(SUBSTITUTE(SUBSTITUTE(SUBSTITUTE(SUBSTITUTE($A3477," ",""),"(주)",""),"주식회사",""),"㈜","")))</f>
        <v/>
      </c>
      <c r="H3477" s="10" t="str">
        <f aca="false">IF($B3477="","",SUBSTITUTE(SUBSTITUTE(SUBSTITUTE($B3477,"-","")," ",""),".",""))</f>
        <v/>
      </c>
      <c r="I3477" s="10" t="str">
        <f aca="false">IF($D3477="","",SUBSTITUTE(SUBSTITUTE(SUBSTITUTE($D3477,"-","")," ",""),".",""))</f>
        <v/>
      </c>
      <c r="J3477" s="10" t="str">
        <f aca="false">IF($E3477="","",UPPER(SUBSTITUTE($E3477," ","")))</f>
        <v/>
      </c>
      <c r="K3477" s="10" t="str">
        <f aca="false">IF($A3477="","",$G3477&amp;"|"&amp;$J3477)</f>
        <v/>
      </c>
      <c r="L3477" s="10" t="str">
        <f aca="false">IF($A3477="","",ROW()-2)</f>
        <v/>
      </c>
      <c r="M3477" s="10" t="str">
        <f aca="false">IF($A3477="","",ROW())</f>
        <v/>
      </c>
    </row>
    <row r="3478" customFormat="false" ht="15" hidden="false" customHeight="true" outlineLevel="0" collapsed="false">
      <c r="A3478" s="8"/>
      <c r="B3478" s="8"/>
      <c r="C3478" s="8"/>
      <c r="D3478" s="8"/>
      <c r="E3478" s="8"/>
      <c r="F3478" s="8"/>
      <c r="G3478" s="10" t="str">
        <f aca="false">IF($A3478="","",UPPER(SUBSTITUTE(SUBSTITUTE(SUBSTITUTE(SUBSTITUTE($A3478," ",""),"(주)",""),"주식회사",""),"㈜","")))</f>
        <v/>
      </c>
      <c r="H3478" s="10" t="str">
        <f aca="false">IF($B3478="","",SUBSTITUTE(SUBSTITUTE(SUBSTITUTE($B3478,"-","")," ",""),".",""))</f>
        <v/>
      </c>
      <c r="I3478" s="10" t="str">
        <f aca="false">IF($D3478="","",SUBSTITUTE(SUBSTITUTE(SUBSTITUTE($D3478,"-","")," ",""),".",""))</f>
        <v/>
      </c>
      <c r="J3478" s="10" t="str">
        <f aca="false">IF($E3478="","",UPPER(SUBSTITUTE($E3478," ","")))</f>
        <v/>
      </c>
      <c r="K3478" s="10" t="str">
        <f aca="false">IF($A3478="","",$G3478&amp;"|"&amp;$J3478)</f>
        <v/>
      </c>
      <c r="L3478" s="10" t="str">
        <f aca="false">IF($A3478="","",ROW()-2)</f>
        <v/>
      </c>
      <c r="M3478" s="10" t="str">
        <f aca="false">IF($A3478="","",ROW())</f>
        <v/>
      </c>
    </row>
    <row r="3479" customFormat="false" ht="15" hidden="false" customHeight="true" outlineLevel="0" collapsed="false">
      <c r="A3479" s="8"/>
      <c r="B3479" s="8"/>
      <c r="C3479" s="8"/>
      <c r="D3479" s="8"/>
      <c r="E3479" s="8"/>
      <c r="F3479" s="8"/>
      <c r="G3479" s="10" t="str">
        <f aca="false">IF($A3479="","",UPPER(SUBSTITUTE(SUBSTITUTE(SUBSTITUTE(SUBSTITUTE($A3479," ",""),"(주)",""),"주식회사",""),"㈜","")))</f>
        <v/>
      </c>
      <c r="H3479" s="10" t="str">
        <f aca="false">IF($B3479="","",SUBSTITUTE(SUBSTITUTE(SUBSTITUTE($B3479,"-","")," ",""),".",""))</f>
        <v/>
      </c>
      <c r="I3479" s="10" t="str">
        <f aca="false">IF($D3479="","",SUBSTITUTE(SUBSTITUTE(SUBSTITUTE($D3479,"-","")," ",""),".",""))</f>
        <v/>
      </c>
      <c r="J3479" s="10" t="str">
        <f aca="false">IF($E3479="","",UPPER(SUBSTITUTE($E3479," ","")))</f>
        <v/>
      </c>
      <c r="K3479" s="10" t="str">
        <f aca="false">IF($A3479="","",$G3479&amp;"|"&amp;$J3479)</f>
        <v/>
      </c>
      <c r="L3479" s="10" t="str">
        <f aca="false">IF($A3479="","",ROW()-2)</f>
        <v/>
      </c>
      <c r="M3479" s="10" t="str">
        <f aca="false">IF($A3479="","",ROW())</f>
        <v/>
      </c>
    </row>
    <row r="3480" customFormat="false" ht="15" hidden="false" customHeight="true" outlineLevel="0" collapsed="false">
      <c r="A3480" s="8"/>
      <c r="B3480" s="8"/>
      <c r="C3480" s="8"/>
      <c r="D3480" s="8"/>
      <c r="E3480" s="8"/>
      <c r="F3480" s="8"/>
      <c r="G3480" s="10" t="str">
        <f aca="false">IF($A3480="","",UPPER(SUBSTITUTE(SUBSTITUTE(SUBSTITUTE(SUBSTITUTE($A3480," ",""),"(주)",""),"주식회사",""),"㈜","")))</f>
        <v/>
      </c>
      <c r="H3480" s="10" t="str">
        <f aca="false">IF($B3480="","",SUBSTITUTE(SUBSTITUTE(SUBSTITUTE($B3480,"-","")," ",""),".",""))</f>
        <v/>
      </c>
      <c r="I3480" s="10" t="str">
        <f aca="false">IF($D3480="","",SUBSTITUTE(SUBSTITUTE(SUBSTITUTE($D3480,"-","")," ",""),".",""))</f>
        <v/>
      </c>
      <c r="J3480" s="10" t="str">
        <f aca="false">IF($E3480="","",UPPER(SUBSTITUTE($E3480," ","")))</f>
        <v/>
      </c>
      <c r="K3480" s="10" t="str">
        <f aca="false">IF($A3480="","",$G3480&amp;"|"&amp;$J3480)</f>
        <v/>
      </c>
      <c r="L3480" s="10" t="str">
        <f aca="false">IF($A3480="","",ROW()-2)</f>
        <v/>
      </c>
      <c r="M3480" s="10" t="str">
        <f aca="false">IF($A3480="","",ROW())</f>
        <v/>
      </c>
    </row>
    <row r="3481" customFormat="false" ht="15" hidden="false" customHeight="true" outlineLevel="0" collapsed="false">
      <c r="A3481" s="8"/>
      <c r="B3481" s="8"/>
      <c r="C3481" s="8"/>
      <c r="D3481" s="8"/>
      <c r="E3481" s="8"/>
      <c r="F3481" s="8"/>
      <c r="G3481" s="10" t="str">
        <f aca="false">IF($A3481="","",UPPER(SUBSTITUTE(SUBSTITUTE(SUBSTITUTE(SUBSTITUTE($A3481," ",""),"(주)",""),"주식회사",""),"㈜","")))</f>
        <v/>
      </c>
      <c r="H3481" s="10" t="str">
        <f aca="false">IF($B3481="","",SUBSTITUTE(SUBSTITUTE(SUBSTITUTE($B3481,"-","")," ",""),".",""))</f>
        <v/>
      </c>
      <c r="I3481" s="10" t="str">
        <f aca="false">IF($D3481="","",SUBSTITUTE(SUBSTITUTE(SUBSTITUTE($D3481,"-","")," ",""),".",""))</f>
        <v/>
      </c>
      <c r="J3481" s="10" t="str">
        <f aca="false">IF($E3481="","",UPPER(SUBSTITUTE($E3481," ","")))</f>
        <v/>
      </c>
      <c r="K3481" s="10" t="str">
        <f aca="false">IF($A3481="","",$G3481&amp;"|"&amp;$J3481)</f>
        <v/>
      </c>
      <c r="L3481" s="10" t="str">
        <f aca="false">IF($A3481="","",ROW()-2)</f>
        <v/>
      </c>
      <c r="M3481" s="10" t="str">
        <f aca="false">IF($A3481="","",ROW())</f>
        <v/>
      </c>
    </row>
    <row r="3482" customFormat="false" ht="15" hidden="false" customHeight="true" outlineLevel="0" collapsed="false">
      <c r="A3482" s="8"/>
      <c r="B3482" s="8"/>
      <c r="C3482" s="8"/>
      <c r="D3482" s="8"/>
      <c r="E3482" s="8"/>
      <c r="F3482" s="8"/>
      <c r="G3482" s="10" t="str">
        <f aca="false">IF($A3482="","",UPPER(SUBSTITUTE(SUBSTITUTE(SUBSTITUTE(SUBSTITUTE($A3482," ",""),"(주)",""),"주식회사",""),"㈜","")))</f>
        <v/>
      </c>
      <c r="H3482" s="10" t="str">
        <f aca="false">IF($B3482="","",SUBSTITUTE(SUBSTITUTE(SUBSTITUTE($B3482,"-","")," ",""),".",""))</f>
        <v/>
      </c>
      <c r="I3482" s="10" t="str">
        <f aca="false">IF($D3482="","",SUBSTITUTE(SUBSTITUTE(SUBSTITUTE($D3482,"-","")," ",""),".",""))</f>
        <v/>
      </c>
      <c r="J3482" s="10" t="str">
        <f aca="false">IF($E3482="","",UPPER(SUBSTITUTE($E3482," ","")))</f>
        <v/>
      </c>
      <c r="K3482" s="10" t="str">
        <f aca="false">IF($A3482="","",$G3482&amp;"|"&amp;$J3482)</f>
        <v/>
      </c>
      <c r="L3482" s="10" t="str">
        <f aca="false">IF($A3482="","",ROW()-2)</f>
        <v/>
      </c>
      <c r="M3482" s="10" t="str">
        <f aca="false">IF($A3482="","",ROW())</f>
        <v/>
      </c>
    </row>
    <row r="3483" customFormat="false" ht="15" hidden="false" customHeight="true" outlineLevel="0" collapsed="false">
      <c r="A3483" s="8"/>
      <c r="B3483" s="8"/>
      <c r="C3483" s="8"/>
      <c r="D3483" s="8"/>
      <c r="E3483" s="8"/>
      <c r="F3483" s="8"/>
      <c r="G3483" s="10" t="str">
        <f aca="false">IF($A3483="","",UPPER(SUBSTITUTE(SUBSTITUTE(SUBSTITUTE(SUBSTITUTE($A3483," ",""),"(주)",""),"주식회사",""),"㈜","")))</f>
        <v/>
      </c>
      <c r="H3483" s="10" t="str">
        <f aca="false">IF($B3483="","",SUBSTITUTE(SUBSTITUTE(SUBSTITUTE($B3483,"-","")," ",""),".",""))</f>
        <v/>
      </c>
      <c r="I3483" s="10" t="str">
        <f aca="false">IF($D3483="","",SUBSTITUTE(SUBSTITUTE(SUBSTITUTE($D3483,"-","")," ",""),".",""))</f>
        <v/>
      </c>
      <c r="J3483" s="10" t="str">
        <f aca="false">IF($E3483="","",UPPER(SUBSTITUTE($E3483," ","")))</f>
        <v/>
      </c>
      <c r="K3483" s="10" t="str">
        <f aca="false">IF($A3483="","",$G3483&amp;"|"&amp;$J3483)</f>
        <v/>
      </c>
      <c r="L3483" s="10" t="str">
        <f aca="false">IF($A3483="","",ROW()-2)</f>
        <v/>
      </c>
      <c r="M3483" s="10" t="str">
        <f aca="false">IF($A3483="","",ROW())</f>
        <v/>
      </c>
    </row>
    <row r="3484" customFormat="false" ht="15" hidden="false" customHeight="true" outlineLevel="0" collapsed="false">
      <c r="A3484" s="8"/>
      <c r="B3484" s="8"/>
      <c r="C3484" s="8"/>
      <c r="D3484" s="8"/>
      <c r="E3484" s="8"/>
      <c r="F3484" s="8"/>
      <c r="G3484" s="10" t="str">
        <f aca="false">IF($A3484="","",UPPER(SUBSTITUTE(SUBSTITUTE(SUBSTITUTE(SUBSTITUTE($A3484," ",""),"(주)",""),"주식회사",""),"㈜","")))</f>
        <v/>
      </c>
      <c r="H3484" s="10" t="str">
        <f aca="false">IF($B3484="","",SUBSTITUTE(SUBSTITUTE(SUBSTITUTE($B3484,"-","")," ",""),".",""))</f>
        <v/>
      </c>
      <c r="I3484" s="10" t="str">
        <f aca="false">IF($D3484="","",SUBSTITUTE(SUBSTITUTE(SUBSTITUTE($D3484,"-","")," ",""),".",""))</f>
        <v/>
      </c>
      <c r="J3484" s="10" t="str">
        <f aca="false">IF($E3484="","",UPPER(SUBSTITUTE($E3484," ","")))</f>
        <v/>
      </c>
      <c r="K3484" s="10" t="str">
        <f aca="false">IF($A3484="","",$G3484&amp;"|"&amp;$J3484)</f>
        <v/>
      </c>
      <c r="L3484" s="10" t="str">
        <f aca="false">IF($A3484="","",ROW()-2)</f>
        <v/>
      </c>
      <c r="M3484" s="10" t="str">
        <f aca="false">IF($A3484="","",ROW())</f>
        <v/>
      </c>
    </row>
    <row r="3485" customFormat="false" ht="15" hidden="false" customHeight="true" outlineLevel="0" collapsed="false">
      <c r="A3485" s="8"/>
      <c r="B3485" s="8"/>
      <c r="C3485" s="8"/>
      <c r="D3485" s="8"/>
      <c r="E3485" s="8"/>
      <c r="F3485" s="8"/>
      <c r="G3485" s="10" t="str">
        <f aca="false">IF($A3485="","",UPPER(SUBSTITUTE(SUBSTITUTE(SUBSTITUTE(SUBSTITUTE($A3485," ",""),"(주)",""),"주식회사",""),"㈜","")))</f>
        <v/>
      </c>
      <c r="H3485" s="10" t="str">
        <f aca="false">IF($B3485="","",SUBSTITUTE(SUBSTITUTE(SUBSTITUTE($B3485,"-","")," ",""),".",""))</f>
        <v/>
      </c>
      <c r="I3485" s="10" t="str">
        <f aca="false">IF($D3485="","",SUBSTITUTE(SUBSTITUTE(SUBSTITUTE($D3485,"-","")," ",""),".",""))</f>
        <v/>
      </c>
      <c r="J3485" s="10" t="str">
        <f aca="false">IF($E3485="","",UPPER(SUBSTITUTE($E3485," ","")))</f>
        <v/>
      </c>
      <c r="K3485" s="10" t="str">
        <f aca="false">IF($A3485="","",$G3485&amp;"|"&amp;$J3485)</f>
        <v/>
      </c>
      <c r="L3485" s="10" t="str">
        <f aca="false">IF($A3485="","",ROW()-2)</f>
        <v/>
      </c>
      <c r="M3485" s="10" t="str">
        <f aca="false">IF($A3485="","",ROW())</f>
        <v/>
      </c>
    </row>
    <row r="3486" customFormat="false" ht="15" hidden="false" customHeight="true" outlineLevel="0" collapsed="false">
      <c r="A3486" s="8"/>
      <c r="B3486" s="8"/>
      <c r="C3486" s="8"/>
      <c r="D3486" s="8"/>
      <c r="E3486" s="8"/>
      <c r="F3486" s="8"/>
      <c r="G3486" s="10" t="str">
        <f aca="false">IF($A3486="","",UPPER(SUBSTITUTE(SUBSTITUTE(SUBSTITUTE(SUBSTITUTE($A3486," ",""),"(주)",""),"주식회사",""),"㈜","")))</f>
        <v/>
      </c>
      <c r="H3486" s="10" t="str">
        <f aca="false">IF($B3486="","",SUBSTITUTE(SUBSTITUTE(SUBSTITUTE($B3486,"-","")," ",""),".",""))</f>
        <v/>
      </c>
      <c r="I3486" s="10" t="str">
        <f aca="false">IF($D3486="","",SUBSTITUTE(SUBSTITUTE(SUBSTITUTE($D3486,"-","")," ",""),".",""))</f>
        <v/>
      </c>
      <c r="J3486" s="10" t="str">
        <f aca="false">IF($E3486="","",UPPER(SUBSTITUTE($E3486," ","")))</f>
        <v/>
      </c>
      <c r="K3486" s="10" t="str">
        <f aca="false">IF($A3486="","",$G3486&amp;"|"&amp;$J3486)</f>
        <v/>
      </c>
      <c r="L3486" s="10" t="str">
        <f aca="false">IF($A3486="","",ROW()-2)</f>
        <v/>
      </c>
      <c r="M3486" s="10" t="str">
        <f aca="false">IF($A3486="","",ROW())</f>
        <v/>
      </c>
    </row>
    <row r="3487" customFormat="false" ht="15" hidden="false" customHeight="true" outlineLevel="0" collapsed="false">
      <c r="A3487" s="8"/>
      <c r="B3487" s="8"/>
      <c r="C3487" s="8"/>
      <c r="D3487" s="8"/>
      <c r="E3487" s="8"/>
      <c r="F3487" s="8"/>
      <c r="G3487" s="10" t="str">
        <f aca="false">IF($A3487="","",UPPER(SUBSTITUTE(SUBSTITUTE(SUBSTITUTE(SUBSTITUTE($A3487," ",""),"(주)",""),"주식회사",""),"㈜","")))</f>
        <v/>
      </c>
      <c r="H3487" s="10" t="str">
        <f aca="false">IF($B3487="","",SUBSTITUTE(SUBSTITUTE(SUBSTITUTE($B3487,"-","")," ",""),".",""))</f>
        <v/>
      </c>
      <c r="I3487" s="10" t="str">
        <f aca="false">IF($D3487="","",SUBSTITUTE(SUBSTITUTE(SUBSTITUTE($D3487,"-","")," ",""),".",""))</f>
        <v/>
      </c>
      <c r="J3487" s="10" t="str">
        <f aca="false">IF($E3487="","",UPPER(SUBSTITUTE($E3487," ","")))</f>
        <v/>
      </c>
      <c r="K3487" s="10" t="str">
        <f aca="false">IF($A3487="","",$G3487&amp;"|"&amp;$J3487)</f>
        <v/>
      </c>
      <c r="L3487" s="10" t="str">
        <f aca="false">IF($A3487="","",ROW()-2)</f>
        <v/>
      </c>
      <c r="M3487" s="10" t="str">
        <f aca="false">IF($A3487="","",ROW())</f>
        <v/>
      </c>
    </row>
    <row r="3488" customFormat="false" ht="15" hidden="false" customHeight="true" outlineLevel="0" collapsed="false">
      <c r="A3488" s="8"/>
      <c r="B3488" s="8"/>
      <c r="C3488" s="8"/>
      <c r="D3488" s="8"/>
      <c r="E3488" s="8"/>
      <c r="F3488" s="8"/>
      <c r="G3488" s="10" t="str">
        <f aca="false">IF($A3488="","",UPPER(SUBSTITUTE(SUBSTITUTE(SUBSTITUTE(SUBSTITUTE($A3488," ",""),"(주)",""),"주식회사",""),"㈜","")))</f>
        <v/>
      </c>
      <c r="H3488" s="10" t="str">
        <f aca="false">IF($B3488="","",SUBSTITUTE(SUBSTITUTE(SUBSTITUTE($B3488,"-","")," ",""),".",""))</f>
        <v/>
      </c>
      <c r="I3488" s="10" t="str">
        <f aca="false">IF($D3488="","",SUBSTITUTE(SUBSTITUTE(SUBSTITUTE($D3488,"-","")," ",""),".",""))</f>
        <v/>
      </c>
      <c r="J3488" s="10" t="str">
        <f aca="false">IF($E3488="","",UPPER(SUBSTITUTE($E3488," ","")))</f>
        <v/>
      </c>
      <c r="K3488" s="10" t="str">
        <f aca="false">IF($A3488="","",$G3488&amp;"|"&amp;$J3488)</f>
        <v/>
      </c>
      <c r="L3488" s="10" t="str">
        <f aca="false">IF($A3488="","",ROW()-2)</f>
        <v/>
      </c>
      <c r="M3488" s="10" t="str">
        <f aca="false">IF($A3488="","",ROW())</f>
        <v/>
      </c>
    </row>
    <row r="3489" customFormat="false" ht="15" hidden="false" customHeight="true" outlineLevel="0" collapsed="false">
      <c r="A3489" s="8"/>
      <c r="B3489" s="8"/>
      <c r="C3489" s="8"/>
      <c r="D3489" s="8"/>
      <c r="E3489" s="8"/>
      <c r="F3489" s="8"/>
      <c r="G3489" s="10" t="str">
        <f aca="false">IF($A3489="","",UPPER(SUBSTITUTE(SUBSTITUTE(SUBSTITUTE(SUBSTITUTE($A3489," ",""),"(주)",""),"주식회사",""),"㈜","")))</f>
        <v/>
      </c>
      <c r="H3489" s="10" t="str">
        <f aca="false">IF($B3489="","",SUBSTITUTE(SUBSTITUTE(SUBSTITUTE($B3489,"-","")," ",""),".",""))</f>
        <v/>
      </c>
      <c r="I3489" s="10" t="str">
        <f aca="false">IF($D3489="","",SUBSTITUTE(SUBSTITUTE(SUBSTITUTE($D3489,"-","")," ",""),".",""))</f>
        <v/>
      </c>
      <c r="J3489" s="10" t="str">
        <f aca="false">IF($E3489="","",UPPER(SUBSTITUTE($E3489," ","")))</f>
        <v/>
      </c>
      <c r="K3489" s="10" t="str">
        <f aca="false">IF($A3489="","",$G3489&amp;"|"&amp;$J3489)</f>
        <v/>
      </c>
      <c r="L3489" s="10" t="str">
        <f aca="false">IF($A3489="","",ROW()-2)</f>
        <v/>
      </c>
      <c r="M3489" s="10" t="str">
        <f aca="false">IF($A3489="","",ROW())</f>
        <v/>
      </c>
    </row>
    <row r="3490" customFormat="false" ht="15" hidden="false" customHeight="true" outlineLevel="0" collapsed="false">
      <c r="A3490" s="8"/>
      <c r="B3490" s="8"/>
      <c r="C3490" s="8"/>
      <c r="D3490" s="8"/>
      <c r="E3490" s="8"/>
      <c r="F3490" s="8"/>
      <c r="G3490" s="10" t="str">
        <f aca="false">IF($A3490="","",UPPER(SUBSTITUTE(SUBSTITUTE(SUBSTITUTE(SUBSTITUTE($A3490," ",""),"(주)",""),"주식회사",""),"㈜","")))</f>
        <v/>
      </c>
      <c r="H3490" s="10" t="str">
        <f aca="false">IF($B3490="","",SUBSTITUTE(SUBSTITUTE(SUBSTITUTE($B3490,"-","")," ",""),".",""))</f>
        <v/>
      </c>
      <c r="I3490" s="10" t="str">
        <f aca="false">IF($D3490="","",SUBSTITUTE(SUBSTITUTE(SUBSTITUTE($D3490,"-","")," ",""),".",""))</f>
        <v/>
      </c>
      <c r="J3490" s="10" t="str">
        <f aca="false">IF($E3490="","",UPPER(SUBSTITUTE($E3490," ","")))</f>
        <v/>
      </c>
      <c r="K3490" s="10" t="str">
        <f aca="false">IF($A3490="","",$G3490&amp;"|"&amp;$J3490)</f>
        <v/>
      </c>
      <c r="L3490" s="10" t="str">
        <f aca="false">IF($A3490="","",ROW()-2)</f>
        <v/>
      </c>
      <c r="M3490" s="10" t="str">
        <f aca="false">IF($A3490="","",ROW())</f>
        <v/>
      </c>
    </row>
    <row r="3491" customFormat="false" ht="15" hidden="false" customHeight="true" outlineLevel="0" collapsed="false">
      <c r="A3491" s="8"/>
      <c r="B3491" s="8"/>
      <c r="C3491" s="8"/>
      <c r="D3491" s="8"/>
      <c r="E3491" s="8"/>
      <c r="F3491" s="8"/>
      <c r="G3491" s="10" t="str">
        <f aca="false">IF($A3491="","",UPPER(SUBSTITUTE(SUBSTITUTE(SUBSTITUTE(SUBSTITUTE($A3491," ",""),"(주)",""),"주식회사",""),"㈜","")))</f>
        <v/>
      </c>
      <c r="H3491" s="10" t="str">
        <f aca="false">IF($B3491="","",SUBSTITUTE(SUBSTITUTE(SUBSTITUTE($B3491,"-","")," ",""),".",""))</f>
        <v/>
      </c>
      <c r="I3491" s="10" t="str">
        <f aca="false">IF($D3491="","",SUBSTITUTE(SUBSTITUTE(SUBSTITUTE($D3491,"-","")," ",""),".",""))</f>
        <v/>
      </c>
      <c r="J3491" s="10" t="str">
        <f aca="false">IF($E3491="","",UPPER(SUBSTITUTE($E3491," ","")))</f>
        <v/>
      </c>
      <c r="K3491" s="10" t="str">
        <f aca="false">IF($A3491="","",$G3491&amp;"|"&amp;$J3491)</f>
        <v/>
      </c>
      <c r="L3491" s="10" t="str">
        <f aca="false">IF($A3491="","",ROW()-2)</f>
        <v/>
      </c>
      <c r="M3491" s="10" t="str">
        <f aca="false">IF($A3491="","",ROW())</f>
        <v/>
      </c>
    </row>
    <row r="3492" customFormat="false" ht="15" hidden="false" customHeight="true" outlineLevel="0" collapsed="false">
      <c r="A3492" s="8"/>
      <c r="B3492" s="8"/>
      <c r="C3492" s="8"/>
      <c r="D3492" s="8"/>
      <c r="E3492" s="8"/>
      <c r="F3492" s="8"/>
      <c r="G3492" s="10" t="str">
        <f aca="false">IF($A3492="","",UPPER(SUBSTITUTE(SUBSTITUTE(SUBSTITUTE(SUBSTITUTE($A3492," ",""),"(주)",""),"주식회사",""),"㈜","")))</f>
        <v/>
      </c>
      <c r="H3492" s="10" t="str">
        <f aca="false">IF($B3492="","",SUBSTITUTE(SUBSTITUTE(SUBSTITUTE($B3492,"-","")," ",""),".",""))</f>
        <v/>
      </c>
      <c r="I3492" s="10" t="str">
        <f aca="false">IF($D3492="","",SUBSTITUTE(SUBSTITUTE(SUBSTITUTE($D3492,"-","")," ",""),".",""))</f>
        <v/>
      </c>
      <c r="J3492" s="10" t="str">
        <f aca="false">IF($E3492="","",UPPER(SUBSTITUTE($E3492," ","")))</f>
        <v/>
      </c>
      <c r="K3492" s="10" t="str">
        <f aca="false">IF($A3492="","",$G3492&amp;"|"&amp;$J3492)</f>
        <v/>
      </c>
      <c r="L3492" s="10" t="str">
        <f aca="false">IF($A3492="","",ROW()-2)</f>
        <v/>
      </c>
      <c r="M3492" s="10" t="str">
        <f aca="false">IF($A3492="","",ROW())</f>
        <v/>
      </c>
    </row>
    <row r="3493" customFormat="false" ht="15" hidden="false" customHeight="true" outlineLevel="0" collapsed="false">
      <c r="A3493" s="8"/>
      <c r="B3493" s="8"/>
      <c r="C3493" s="8"/>
      <c r="D3493" s="8"/>
      <c r="E3493" s="8"/>
      <c r="F3493" s="8"/>
      <c r="G3493" s="10" t="str">
        <f aca="false">IF($A3493="","",UPPER(SUBSTITUTE(SUBSTITUTE(SUBSTITUTE(SUBSTITUTE($A3493," ",""),"(주)",""),"주식회사",""),"㈜","")))</f>
        <v/>
      </c>
      <c r="H3493" s="10" t="str">
        <f aca="false">IF($B3493="","",SUBSTITUTE(SUBSTITUTE(SUBSTITUTE($B3493,"-","")," ",""),".",""))</f>
        <v/>
      </c>
      <c r="I3493" s="10" t="str">
        <f aca="false">IF($D3493="","",SUBSTITUTE(SUBSTITUTE(SUBSTITUTE($D3493,"-","")," ",""),".",""))</f>
        <v/>
      </c>
      <c r="J3493" s="10" t="str">
        <f aca="false">IF($E3493="","",UPPER(SUBSTITUTE($E3493," ","")))</f>
        <v/>
      </c>
      <c r="K3493" s="10" t="str">
        <f aca="false">IF($A3493="","",$G3493&amp;"|"&amp;$J3493)</f>
        <v/>
      </c>
      <c r="L3493" s="10" t="str">
        <f aca="false">IF($A3493="","",ROW()-2)</f>
        <v/>
      </c>
      <c r="M3493" s="10" t="str">
        <f aca="false">IF($A3493="","",ROW())</f>
        <v/>
      </c>
    </row>
    <row r="3494" customFormat="false" ht="15" hidden="false" customHeight="true" outlineLevel="0" collapsed="false">
      <c r="A3494" s="8"/>
      <c r="B3494" s="8"/>
      <c r="C3494" s="8"/>
      <c r="D3494" s="8"/>
      <c r="E3494" s="8"/>
      <c r="F3494" s="8"/>
      <c r="G3494" s="10" t="str">
        <f aca="false">IF($A3494="","",UPPER(SUBSTITUTE(SUBSTITUTE(SUBSTITUTE(SUBSTITUTE($A3494," ",""),"(주)",""),"주식회사",""),"㈜","")))</f>
        <v/>
      </c>
      <c r="H3494" s="10" t="str">
        <f aca="false">IF($B3494="","",SUBSTITUTE(SUBSTITUTE(SUBSTITUTE($B3494,"-","")," ",""),".",""))</f>
        <v/>
      </c>
      <c r="I3494" s="10" t="str">
        <f aca="false">IF($D3494="","",SUBSTITUTE(SUBSTITUTE(SUBSTITUTE($D3494,"-","")," ",""),".",""))</f>
        <v/>
      </c>
      <c r="J3494" s="10" t="str">
        <f aca="false">IF($E3494="","",UPPER(SUBSTITUTE($E3494," ","")))</f>
        <v/>
      </c>
      <c r="K3494" s="10" t="str">
        <f aca="false">IF($A3494="","",$G3494&amp;"|"&amp;$J3494)</f>
        <v/>
      </c>
      <c r="L3494" s="10" t="str">
        <f aca="false">IF($A3494="","",ROW()-2)</f>
        <v/>
      </c>
      <c r="M3494" s="10" t="str">
        <f aca="false">IF($A3494="","",ROW())</f>
        <v/>
      </c>
    </row>
    <row r="3495" customFormat="false" ht="15" hidden="false" customHeight="true" outlineLevel="0" collapsed="false">
      <c r="A3495" s="8"/>
      <c r="B3495" s="8"/>
      <c r="C3495" s="8"/>
      <c r="D3495" s="8"/>
      <c r="E3495" s="8"/>
      <c r="F3495" s="8"/>
      <c r="G3495" s="10" t="str">
        <f aca="false">IF($A3495="","",UPPER(SUBSTITUTE(SUBSTITUTE(SUBSTITUTE(SUBSTITUTE($A3495," ",""),"(주)",""),"주식회사",""),"㈜","")))</f>
        <v/>
      </c>
      <c r="H3495" s="10" t="str">
        <f aca="false">IF($B3495="","",SUBSTITUTE(SUBSTITUTE(SUBSTITUTE($B3495,"-","")," ",""),".",""))</f>
        <v/>
      </c>
      <c r="I3495" s="10" t="str">
        <f aca="false">IF($D3495="","",SUBSTITUTE(SUBSTITUTE(SUBSTITUTE($D3495,"-","")," ",""),".",""))</f>
        <v/>
      </c>
      <c r="J3495" s="10" t="str">
        <f aca="false">IF($E3495="","",UPPER(SUBSTITUTE($E3495," ","")))</f>
        <v/>
      </c>
      <c r="K3495" s="10" t="str">
        <f aca="false">IF($A3495="","",$G3495&amp;"|"&amp;$J3495)</f>
        <v/>
      </c>
      <c r="L3495" s="10" t="str">
        <f aca="false">IF($A3495="","",ROW()-2)</f>
        <v/>
      </c>
      <c r="M3495" s="10" t="str">
        <f aca="false">IF($A3495="","",ROW())</f>
        <v/>
      </c>
    </row>
    <row r="3496" customFormat="false" ht="15" hidden="false" customHeight="true" outlineLevel="0" collapsed="false">
      <c r="A3496" s="8"/>
      <c r="B3496" s="8"/>
      <c r="C3496" s="8"/>
      <c r="D3496" s="8"/>
      <c r="E3496" s="8"/>
      <c r="F3496" s="8"/>
      <c r="G3496" s="10" t="str">
        <f aca="false">IF($A3496="","",UPPER(SUBSTITUTE(SUBSTITUTE(SUBSTITUTE(SUBSTITUTE($A3496," ",""),"(주)",""),"주식회사",""),"㈜","")))</f>
        <v/>
      </c>
      <c r="H3496" s="10" t="str">
        <f aca="false">IF($B3496="","",SUBSTITUTE(SUBSTITUTE(SUBSTITUTE($B3496,"-","")," ",""),".",""))</f>
        <v/>
      </c>
      <c r="I3496" s="10" t="str">
        <f aca="false">IF($D3496="","",SUBSTITUTE(SUBSTITUTE(SUBSTITUTE($D3496,"-","")," ",""),".",""))</f>
        <v/>
      </c>
      <c r="J3496" s="10" t="str">
        <f aca="false">IF($E3496="","",UPPER(SUBSTITUTE($E3496," ","")))</f>
        <v/>
      </c>
      <c r="K3496" s="10" t="str">
        <f aca="false">IF($A3496="","",$G3496&amp;"|"&amp;$J3496)</f>
        <v/>
      </c>
      <c r="L3496" s="10" t="str">
        <f aca="false">IF($A3496="","",ROW()-2)</f>
        <v/>
      </c>
      <c r="M3496" s="10" t="str">
        <f aca="false">IF($A3496="","",ROW())</f>
        <v/>
      </c>
    </row>
    <row r="3497" customFormat="false" ht="15" hidden="false" customHeight="true" outlineLevel="0" collapsed="false">
      <c r="A3497" s="8"/>
      <c r="B3497" s="8"/>
      <c r="C3497" s="8"/>
      <c r="D3497" s="8"/>
      <c r="E3497" s="8"/>
      <c r="F3497" s="8"/>
      <c r="G3497" s="10" t="str">
        <f aca="false">IF($A3497="","",UPPER(SUBSTITUTE(SUBSTITUTE(SUBSTITUTE(SUBSTITUTE($A3497," ",""),"(주)",""),"주식회사",""),"㈜","")))</f>
        <v/>
      </c>
      <c r="H3497" s="10" t="str">
        <f aca="false">IF($B3497="","",SUBSTITUTE(SUBSTITUTE(SUBSTITUTE($B3497,"-","")," ",""),".",""))</f>
        <v/>
      </c>
      <c r="I3497" s="10" t="str">
        <f aca="false">IF($D3497="","",SUBSTITUTE(SUBSTITUTE(SUBSTITUTE($D3497,"-","")," ",""),".",""))</f>
        <v/>
      </c>
      <c r="J3497" s="10" t="str">
        <f aca="false">IF($E3497="","",UPPER(SUBSTITUTE($E3497," ","")))</f>
        <v/>
      </c>
      <c r="K3497" s="10" t="str">
        <f aca="false">IF($A3497="","",$G3497&amp;"|"&amp;$J3497)</f>
        <v/>
      </c>
      <c r="L3497" s="10" t="str">
        <f aca="false">IF($A3497="","",ROW()-2)</f>
        <v/>
      </c>
      <c r="M3497" s="10" t="str">
        <f aca="false">IF($A3497="","",ROW())</f>
        <v/>
      </c>
    </row>
    <row r="3498" customFormat="false" ht="15" hidden="false" customHeight="true" outlineLevel="0" collapsed="false">
      <c r="A3498" s="8"/>
      <c r="B3498" s="8"/>
      <c r="C3498" s="8"/>
      <c r="D3498" s="8"/>
      <c r="E3498" s="8"/>
      <c r="F3498" s="8"/>
      <c r="G3498" s="10" t="str">
        <f aca="false">IF($A3498="","",UPPER(SUBSTITUTE(SUBSTITUTE(SUBSTITUTE(SUBSTITUTE($A3498," ",""),"(주)",""),"주식회사",""),"㈜","")))</f>
        <v/>
      </c>
      <c r="H3498" s="10" t="str">
        <f aca="false">IF($B3498="","",SUBSTITUTE(SUBSTITUTE(SUBSTITUTE($B3498,"-","")," ",""),".",""))</f>
        <v/>
      </c>
      <c r="I3498" s="10" t="str">
        <f aca="false">IF($D3498="","",SUBSTITUTE(SUBSTITUTE(SUBSTITUTE($D3498,"-","")," ",""),".",""))</f>
        <v/>
      </c>
      <c r="J3498" s="10" t="str">
        <f aca="false">IF($E3498="","",UPPER(SUBSTITUTE($E3498," ","")))</f>
        <v/>
      </c>
      <c r="K3498" s="10" t="str">
        <f aca="false">IF($A3498="","",$G3498&amp;"|"&amp;$J3498)</f>
        <v/>
      </c>
      <c r="L3498" s="10" t="str">
        <f aca="false">IF($A3498="","",ROW()-2)</f>
        <v/>
      </c>
      <c r="M3498" s="10" t="str">
        <f aca="false">IF($A3498="","",ROW())</f>
        <v/>
      </c>
    </row>
    <row r="3499" customFormat="false" ht="15" hidden="false" customHeight="true" outlineLevel="0" collapsed="false">
      <c r="A3499" s="8"/>
      <c r="B3499" s="8"/>
      <c r="C3499" s="8"/>
      <c r="D3499" s="8"/>
      <c r="E3499" s="8"/>
      <c r="F3499" s="8"/>
      <c r="G3499" s="10" t="str">
        <f aca="false">IF($A3499="","",UPPER(SUBSTITUTE(SUBSTITUTE(SUBSTITUTE(SUBSTITUTE($A3499," ",""),"(주)",""),"주식회사",""),"㈜","")))</f>
        <v/>
      </c>
      <c r="H3499" s="10" t="str">
        <f aca="false">IF($B3499="","",SUBSTITUTE(SUBSTITUTE(SUBSTITUTE($B3499,"-","")," ",""),".",""))</f>
        <v/>
      </c>
      <c r="I3499" s="10" t="str">
        <f aca="false">IF($D3499="","",SUBSTITUTE(SUBSTITUTE(SUBSTITUTE($D3499,"-","")," ",""),".",""))</f>
        <v/>
      </c>
      <c r="J3499" s="10" t="str">
        <f aca="false">IF($E3499="","",UPPER(SUBSTITUTE($E3499," ","")))</f>
        <v/>
      </c>
      <c r="K3499" s="10" t="str">
        <f aca="false">IF($A3499="","",$G3499&amp;"|"&amp;$J3499)</f>
        <v/>
      </c>
      <c r="L3499" s="10" t="str">
        <f aca="false">IF($A3499="","",ROW()-2)</f>
        <v/>
      </c>
      <c r="M3499" s="10" t="str">
        <f aca="false">IF($A3499="","",ROW())</f>
        <v/>
      </c>
    </row>
    <row r="3500" customFormat="false" ht="15" hidden="false" customHeight="true" outlineLevel="0" collapsed="false">
      <c r="A3500" s="8"/>
      <c r="B3500" s="8"/>
      <c r="C3500" s="8"/>
      <c r="D3500" s="8"/>
      <c r="E3500" s="8"/>
      <c r="F3500" s="8"/>
      <c r="G3500" s="10" t="str">
        <f aca="false">IF($A3500="","",UPPER(SUBSTITUTE(SUBSTITUTE(SUBSTITUTE(SUBSTITUTE($A3500," ",""),"(주)",""),"주식회사",""),"㈜","")))</f>
        <v/>
      </c>
      <c r="H3500" s="10" t="str">
        <f aca="false">IF($B3500="","",SUBSTITUTE(SUBSTITUTE(SUBSTITUTE($B3500,"-","")," ",""),".",""))</f>
        <v/>
      </c>
      <c r="I3500" s="10" t="str">
        <f aca="false">IF($D3500="","",SUBSTITUTE(SUBSTITUTE(SUBSTITUTE($D3500,"-","")," ",""),".",""))</f>
        <v/>
      </c>
      <c r="J3500" s="10" t="str">
        <f aca="false">IF($E3500="","",UPPER(SUBSTITUTE($E3500," ","")))</f>
        <v/>
      </c>
      <c r="K3500" s="10" t="str">
        <f aca="false">IF($A3500="","",$G3500&amp;"|"&amp;$J3500)</f>
        <v/>
      </c>
      <c r="L3500" s="10" t="str">
        <f aca="false">IF($A3500="","",ROW()-2)</f>
        <v/>
      </c>
      <c r="M3500" s="10" t="str">
        <f aca="false">IF($A3500="","",ROW())</f>
        <v/>
      </c>
    </row>
    <row r="3501" customFormat="false" ht="15" hidden="false" customHeight="true" outlineLevel="0" collapsed="false">
      <c r="A3501" s="8"/>
      <c r="B3501" s="8"/>
      <c r="C3501" s="8"/>
      <c r="D3501" s="8"/>
      <c r="E3501" s="8"/>
      <c r="F3501" s="8"/>
      <c r="G3501" s="10" t="str">
        <f aca="false">IF($A3501="","",UPPER(SUBSTITUTE(SUBSTITUTE(SUBSTITUTE(SUBSTITUTE($A3501," ",""),"(주)",""),"주식회사",""),"㈜","")))</f>
        <v/>
      </c>
      <c r="H3501" s="10" t="str">
        <f aca="false">IF($B3501="","",SUBSTITUTE(SUBSTITUTE(SUBSTITUTE($B3501,"-","")," ",""),".",""))</f>
        <v/>
      </c>
      <c r="I3501" s="10" t="str">
        <f aca="false">IF($D3501="","",SUBSTITUTE(SUBSTITUTE(SUBSTITUTE($D3501,"-","")," ",""),".",""))</f>
        <v/>
      </c>
      <c r="J3501" s="10" t="str">
        <f aca="false">IF($E3501="","",UPPER(SUBSTITUTE($E3501," ","")))</f>
        <v/>
      </c>
      <c r="K3501" s="10" t="str">
        <f aca="false">IF($A3501="","",$G3501&amp;"|"&amp;$J3501)</f>
        <v/>
      </c>
      <c r="L3501" s="10" t="str">
        <f aca="false">IF($A3501="","",ROW()-2)</f>
        <v/>
      </c>
      <c r="M3501" s="10" t="str">
        <f aca="false">IF($A3501="","",ROW())</f>
        <v/>
      </c>
    </row>
    <row r="3502" customFormat="false" ht="15" hidden="false" customHeight="true" outlineLevel="0" collapsed="false">
      <c r="A3502" s="8"/>
      <c r="B3502" s="8"/>
      <c r="C3502" s="8"/>
      <c r="D3502" s="8"/>
      <c r="E3502" s="8"/>
      <c r="F3502" s="8"/>
      <c r="G3502" s="10" t="str">
        <f aca="false">IF($A3502="","",UPPER(SUBSTITUTE(SUBSTITUTE(SUBSTITUTE(SUBSTITUTE($A3502," ",""),"(주)",""),"주식회사",""),"㈜","")))</f>
        <v/>
      </c>
      <c r="H3502" s="10" t="str">
        <f aca="false">IF($B3502="","",SUBSTITUTE(SUBSTITUTE(SUBSTITUTE($B3502,"-","")," ",""),".",""))</f>
        <v/>
      </c>
      <c r="I3502" s="10" t="str">
        <f aca="false">IF($D3502="","",SUBSTITUTE(SUBSTITUTE(SUBSTITUTE($D3502,"-","")," ",""),".",""))</f>
        <v/>
      </c>
      <c r="J3502" s="10" t="str">
        <f aca="false">IF($E3502="","",UPPER(SUBSTITUTE($E3502," ","")))</f>
        <v/>
      </c>
      <c r="K3502" s="10" t="str">
        <f aca="false">IF($A3502="","",$G3502&amp;"|"&amp;$J3502)</f>
        <v/>
      </c>
      <c r="L3502" s="10" t="str">
        <f aca="false">IF($A3502="","",ROW()-2)</f>
        <v/>
      </c>
      <c r="M3502" s="10" t="str">
        <f aca="false">IF($A3502="","",ROW())</f>
        <v/>
      </c>
    </row>
    <row r="3503" customFormat="false" ht="15" hidden="false" customHeight="true" outlineLevel="0" collapsed="false">
      <c r="A3503" s="8"/>
      <c r="B3503" s="8"/>
      <c r="C3503" s="8"/>
      <c r="D3503" s="8"/>
      <c r="E3503" s="8"/>
      <c r="F3503" s="8"/>
      <c r="G3503" s="10" t="str">
        <f aca="false">IF($A3503="","",UPPER(SUBSTITUTE(SUBSTITUTE(SUBSTITUTE(SUBSTITUTE($A3503," ",""),"(주)",""),"주식회사",""),"㈜","")))</f>
        <v/>
      </c>
      <c r="H3503" s="10" t="str">
        <f aca="false">IF($B3503="","",SUBSTITUTE(SUBSTITUTE(SUBSTITUTE($B3503,"-","")," ",""),".",""))</f>
        <v/>
      </c>
      <c r="I3503" s="10" t="str">
        <f aca="false">IF($D3503="","",SUBSTITUTE(SUBSTITUTE(SUBSTITUTE($D3503,"-","")," ",""),".",""))</f>
        <v/>
      </c>
      <c r="J3503" s="10" t="str">
        <f aca="false">IF($E3503="","",UPPER(SUBSTITUTE($E3503," ","")))</f>
        <v/>
      </c>
      <c r="K3503" s="10" t="str">
        <f aca="false">IF($A3503="","",$G3503&amp;"|"&amp;$J3503)</f>
        <v/>
      </c>
      <c r="L3503" s="10" t="str">
        <f aca="false">IF($A3503="","",ROW()-2)</f>
        <v/>
      </c>
      <c r="M3503" s="10" t="str">
        <f aca="false">IF($A3503="","",ROW())</f>
        <v/>
      </c>
    </row>
    <row r="3504" customFormat="false" ht="15" hidden="false" customHeight="true" outlineLevel="0" collapsed="false">
      <c r="A3504" s="8"/>
      <c r="B3504" s="8"/>
      <c r="C3504" s="8"/>
      <c r="D3504" s="8"/>
      <c r="E3504" s="8"/>
      <c r="F3504" s="8"/>
      <c r="G3504" s="10" t="str">
        <f aca="false">IF($A3504="","",UPPER(SUBSTITUTE(SUBSTITUTE(SUBSTITUTE(SUBSTITUTE($A3504," ",""),"(주)",""),"주식회사",""),"㈜","")))</f>
        <v/>
      </c>
      <c r="H3504" s="10" t="str">
        <f aca="false">IF($B3504="","",SUBSTITUTE(SUBSTITUTE(SUBSTITUTE($B3504,"-","")," ",""),".",""))</f>
        <v/>
      </c>
      <c r="I3504" s="10" t="str">
        <f aca="false">IF($D3504="","",SUBSTITUTE(SUBSTITUTE(SUBSTITUTE($D3504,"-","")," ",""),".",""))</f>
        <v/>
      </c>
      <c r="J3504" s="10" t="str">
        <f aca="false">IF($E3504="","",UPPER(SUBSTITUTE($E3504," ","")))</f>
        <v/>
      </c>
      <c r="K3504" s="10" t="str">
        <f aca="false">IF($A3504="","",$G3504&amp;"|"&amp;$J3504)</f>
        <v/>
      </c>
      <c r="L3504" s="10" t="str">
        <f aca="false">IF($A3504="","",ROW()-2)</f>
        <v/>
      </c>
      <c r="M3504" s="10" t="str">
        <f aca="false">IF($A3504="","",ROW())</f>
        <v/>
      </c>
    </row>
    <row r="3505" customFormat="false" ht="15" hidden="false" customHeight="true" outlineLevel="0" collapsed="false">
      <c r="A3505" s="8"/>
      <c r="B3505" s="8"/>
      <c r="C3505" s="8"/>
      <c r="D3505" s="8"/>
      <c r="E3505" s="8"/>
      <c r="F3505" s="8"/>
      <c r="G3505" s="10" t="str">
        <f aca="false">IF($A3505="","",UPPER(SUBSTITUTE(SUBSTITUTE(SUBSTITUTE(SUBSTITUTE($A3505," ",""),"(주)",""),"주식회사",""),"㈜","")))</f>
        <v/>
      </c>
      <c r="H3505" s="10" t="str">
        <f aca="false">IF($B3505="","",SUBSTITUTE(SUBSTITUTE(SUBSTITUTE($B3505,"-","")," ",""),".",""))</f>
        <v/>
      </c>
      <c r="I3505" s="10" t="str">
        <f aca="false">IF($D3505="","",SUBSTITUTE(SUBSTITUTE(SUBSTITUTE($D3505,"-","")," ",""),".",""))</f>
        <v/>
      </c>
      <c r="J3505" s="10" t="str">
        <f aca="false">IF($E3505="","",UPPER(SUBSTITUTE($E3505," ","")))</f>
        <v/>
      </c>
      <c r="K3505" s="10" t="str">
        <f aca="false">IF($A3505="","",$G3505&amp;"|"&amp;$J3505)</f>
        <v/>
      </c>
      <c r="L3505" s="10" t="str">
        <f aca="false">IF($A3505="","",ROW()-2)</f>
        <v/>
      </c>
      <c r="M3505" s="10" t="str">
        <f aca="false">IF($A3505="","",ROW())</f>
        <v/>
      </c>
    </row>
    <row r="3506" customFormat="false" ht="15" hidden="false" customHeight="true" outlineLevel="0" collapsed="false">
      <c r="A3506" s="8"/>
      <c r="B3506" s="8"/>
      <c r="C3506" s="8"/>
      <c r="D3506" s="8"/>
      <c r="E3506" s="8"/>
      <c r="F3506" s="8"/>
      <c r="G3506" s="10" t="str">
        <f aca="false">IF($A3506="","",UPPER(SUBSTITUTE(SUBSTITUTE(SUBSTITUTE(SUBSTITUTE($A3506," ",""),"(주)",""),"주식회사",""),"㈜","")))</f>
        <v/>
      </c>
      <c r="H3506" s="10" t="str">
        <f aca="false">IF($B3506="","",SUBSTITUTE(SUBSTITUTE(SUBSTITUTE($B3506,"-","")," ",""),".",""))</f>
        <v/>
      </c>
      <c r="I3506" s="10" t="str">
        <f aca="false">IF($D3506="","",SUBSTITUTE(SUBSTITUTE(SUBSTITUTE($D3506,"-","")," ",""),".",""))</f>
        <v/>
      </c>
      <c r="J3506" s="10" t="str">
        <f aca="false">IF($E3506="","",UPPER(SUBSTITUTE($E3506," ","")))</f>
        <v/>
      </c>
      <c r="K3506" s="10" t="str">
        <f aca="false">IF($A3506="","",$G3506&amp;"|"&amp;$J3506)</f>
        <v/>
      </c>
      <c r="L3506" s="10" t="str">
        <f aca="false">IF($A3506="","",ROW()-2)</f>
        <v/>
      </c>
      <c r="M3506" s="10" t="str">
        <f aca="false">IF($A3506="","",ROW())</f>
        <v/>
      </c>
    </row>
    <row r="3507" customFormat="false" ht="15" hidden="false" customHeight="true" outlineLevel="0" collapsed="false">
      <c r="A3507" s="8"/>
      <c r="B3507" s="8"/>
      <c r="C3507" s="8"/>
      <c r="D3507" s="8"/>
      <c r="E3507" s="8"/>
      <c r="F3507" s="8"/>
      <c r="G3507" s="10" t="str">
        <f aca="false">IF($A3507="","",UPPER(SUBSTITUTE(SUBSTITUTE(SUBSTITUTE(SUBSTITUTE($A3507," ",""),"(주)",""),"주식회사",""),"㈜","")))</f>
        <v/>
      </c>
      <c r="H3507" s="10" t="str">
        <f aca="false">IF($B3507="","",SUBSTITUTE(SUBSTITUTE(SUBSTITUTE($B3507,"-","")," ",""),".",""))</f>
        <v/>
      </c>
      <c r="I3507" s="10" t="str">
        <f aca="false">IF($D3507="","",SUBSTITUTE(SUBSTITUTE(SUBSTITUTE($D3507,"-","")," ",""),".",""))</f>
        <v/>
      </c>
      <c r="J3507" s="10" t="str">
        <f aca="false">IF($E3507="","",UPPER(SUBSTITUTE($E3507," ","")))</f>
        <v/>
      </c>
      <c r="K3507" s="10" t="str">
        <f aca="false">IF($A3507="","",$G3507&amp;"|"&amp;$J3507)</f>
        <v/>
      </c>
      <c r="L3507" s="10" t="str">
        <f aca="false">IF($A3507="","",ROW()-2)</f>
        <v/>
      </c>
      <c r="M3507" s="10" t="str">
        <f aca="false">IF($A3507="","",ROW())</f>
        <v/>
      </c>
    </row>
    <row r="3508" customFormat="false" ht="15" hidden="false" customHeight="true" outlineLevel="0" collapsed="false">
      <c r="A3508" s="8"/>
      <c r="B3508" s="8"/>
      <c r="C3508" s="8"/>
      <c r="D3508" s="8"/>
      <c r="E3508" s="8"/>
      <c r="F3508" s="8"/>
      <c r="G3508" s="10" t="str">
        <f aca="false">IF($A3508="","",UPPER(SUBSTITUTE(SUBSTITUTE(SUBSTITUTE(SUBSTITUTE($A3508," ",""),"(주)",""),"주식회사",""),"㈜","")))</f>
        <v/>
      </c>
      <c r="H3508" s="10" t="str">
        <f aca="false">IF($B3508="","",SUBSTITUTE(SUBSTITUTE(SUBSTITUTE($B3508,"-","")," ",""),".",""))</f>
        <v/>
      </c>
      <c r="I3508" s="10" t="str">
        <f aca="false">IF($D3508="","",SUBSTITUTE(SUBSTITUTE(SUBSTITUTE($D3508,"-","")," ",""),".",""))</f>
        <v/>
      </c>
      <c r="J3508" s="10" t="str">
        <f aca="false">IF($E3508="","",UPPER(SUBSTITUTE($E3508," ","")))</f>
        <v/>
      </c>
      <c r="K3508" s="10" t="str">
        <f aca="false">IF($A3508="","",$G3508&amp;"|"&amp;$J3508)</f>
        <v/>
      </c>
      <c r="L3508" s="10" t="str">
        <f aca="false">IF($A3508="","",ROW()-2)</f>
        <v/>
      </c>
      <c r="M3508" s="10" t="str">
        <f aca="false">IF($A3508="","",ROW())</f>
        <v/>
      </c>
    </row>
    <row r="3509" customFormat="false" ht="15" hidden="false" customHeight="true" outlineLevel="0" collapsed="false">
      <c r="A3509" s="8"/>
      <c r="B3509" s="8"/>
      <c r="C3509" s="8"/>
      <c r="D3509" s="8"/>
      <c r="E3509" s="8"/>
      <c r="F3509" s="8"/>
      <c r="G3509" s="10" t="str">
        <f aca="false">IF($A3509="","",UPPER(SUBSTITUTE(SUBSTITUTE(SUBSTITUTE(SUBSTITUTE($A3509," ",""),"(주)",""),"주식회사",""),"㈜","")))</f>
        <v/>
      </c>
      <c r="H3509" s="10" t="str">
        <f aca="false">IF($B3509="","",SUBSTITUTE(SUBSTITUTE(SUBSTITUTE($B3509,"-","")," ",""),".",""))</f>
        <v/>
      </c>
      <c r="I3509" s="10" t="str">
        <f aca="false">IF($D3509="","",SUBSTITUTE(SUBSTITUTE(SUBSTITUTE($D3509,"-","")," ",""),".",""))</f>
        <v/>
      </c>
      <c r="J3509" s="10" t="str">
        <f aca="false">IF($E3509="","",UPPER(SUBSTITUTE($E3509," ","")))</f>
        <v/>
      </c>
      <c r="K3509" s="10" t="str">
        <f aca="false">IF($A3509="","",$G3509&amp;"|"&amp;$J3509)</f>
        <v/>
      </c>
      <c r="L3509" s="10" t="str">
        <f aca="false">IF($A3509="","",ROW()-2)</f>
        <v/>
      </c>
      <c r="M3509" s="10" t="str">
        <f aca="false">IF($A3509="","",ROW())</f>
        <v/>
      </c>
    </row>
    <row r="3510" customFormat="false" ht="15" hidden="false" customHeight="true" outlineLevel="0" collapsed="false">
      <c r="A3510" s="8"/>
      <c r="B3510" s="8"/>
      <c r="C3510" s="8"/>
      <c r="D3510" s="8"/>
      <c r="E3510" s="8"/>
      <c r="F3510" s="8"/>
      <c r="G3510" s="10" t="str">
        <f aca="false">IF($A3510="","",UPPER(SUBSTITUTE(SUBSTITUTE(SUBSTITUTE(SUBSTITUTE($A3510," ",""),"(주)",""),"주식회사",""),"㈜","")))</f>
        <v/>
      </c>
      <c r="H3510" s="10" t="str">
        <f aca="false">IF($B3510="","",SUBSTITUTE(SUBSTITUTE(SUBSTITUTE($B3510,"-","")," ",""),".",""))</f>
        <v/>
      </c>
      <c r="I3510" s="10" t="str">
        <f aca="false">IF($D3510="","",SUBSTITUTE(SUBSTITUTE(SUBSTITUTE($D3510,"-","")," ",""),".",""))</f>
        <v/>
      </c>
      <c r="J3510" s="10" t="str">
        <f aca="false">IF($E3510="","",UPPER(SUBSTITUTE($E3510," ","")))</f>
        <v/>
      </c>
      <c r="K3510" s="10" t="str">
        <f aca="false">IF($A3510="","",$G3510&amp;"|"&amp;$J3510)</f>
        <v/>
      </c>
      <c r="L3510" s="10" t="str">
        <f aca="false">IF($A3510="","",ROW()-2)</f>
        <v/>
      </c>
      <c r="M3510" s="10" t="str">
        <f aca="false">IF($A3510="","",ROW())</f>
        <v/>
      </c>
    </row>
    <row r="3511" customFormat="false" ht="15" hidden="false" customHeight="true" outlineLevel="0" collapsed="false">
      <c r="A3511" s="8"/>
      <c r="B3511" s="8"/>
      <c r="C3511" s="8"/>
      <c r="D3511" s="8"/>
      <c r="E3511" s="8"/>
      <c r="F3511" s="8"/>
      <c r="G3511" s="10" t="str">
        <f aca="false">IF($A3511="","",UPPER(SUBSTITUTE(SUBSTITUTE(SUBSTITUTE(SUBSTITUTE($A3511," ",""),"(주)",""),"주식회사",""),"㈜","")))</f>
        <v/>
      </c>
      <c r="H3511" s="10" t="str">
        <f aca="false">IF($B3511="","",SUBSTITUTE(SUBSTITUTE(SUBSTITUTE($B3511,"-","")," ",""),".",""))</f>
        <v/>
      </c>
      <c r="I3511" s="10" t="str">
        <f aca="false">IF($D3511="","",SUBSTITUTE(SUBSTITUTE(SUBSTITUTE($D3511,"-","")," ",""),".",""))</f>
        <v/>
      </c>
      <c r="J3511" s="10" t="str">
        <f aca="false">IF($E3511="","",UPPER(SUBSTITUTE($E3511," ","")))</f>
        <v/>
      </c>
      <c r="K3511" s="10" t="str">
        <f aca="false">IF($A3511="","",$G3511&amp;"|"&amp;$J3511)</f>
        <v/>
      </c>
      <c r="L3511" s="10" t="str">
        <f aca="false">IF($A3511="","",ROW()-2)</f>
        <v/>
      </c>
      <c r="M3511" s="10" t="str">
        <f aca="false">IF($A3511="","",ROW())</f>
        <v/>
      </c>
    </row>
    <row r="3512" customFormat="false" ht="15" hidden="false" customHeight="true" outlineLevel="0" collapsed="false">
      <c r="A3512" s="8"/>
      <c r="B3512" s="8"/>
      <c r="C3512" s="8"/>
      <c r="D3512" s="8"/>
      <c r="E3512" s="8"/>
      <c r="F3512" s="8"/>
      <c r="G3512" s="10" t="str">
        <f aca="false">IF($A3512="","",UPPER(SUBSTITUTE(SUBSTITUTE(SUBSTITUTE(SUBSTITUTE($A3512," ",""),"(주)",""),"주식회사",""),"㈜","")))</f>
        <v/>
      </c>
      <c r="H3512" s="10" t="str">
        <f aca="false">IF($B3512="","",SUBSTITUTE(SUBSTITUTE(SUBSTITUTE($B3512,"-","")," ",""),".",""))</f>
        <v/>
      </c>
      <c r="I3512" s="10" t="str">
        <f aca="false">IF($D3512="","",SUBSTITUTE(SUBSTITUTE(SUBSTITUTE($D3512,"-","")," ",""),".",""))</f>
        <v/>
      </c>
      <c r="J3512" s="10" t="str">
        <f aca="false">IF($E3512="","",UPPER(SUBSTITUTE($E3512," ","")))</f>
        <v/>
      </c>
      <c r="K3512" s="10" t="str">
        <f aca="false">IF($A3512="","",$G3512&amp;"|"&amp;$J3512)</f>
        <v/>
      </c>
      <c r="L3512" s="10" t="str">
        <f aca="false">IF($A3512="","",ROW()-2)</f>
        <v/>
      </c>
      <c r="M3512" s="10" t="str">
        <f aca="false">IF($A3512="","",ROW())</f>
        <v/>
      </c>
    </row>
    <row r="3513" customFormat="false" ht="15" hidden="false" customHeight="true" outlineLevel="0" collapsed="false">
      <c r="A3513" s="8"/>
      <c r="B3513" s="8"/>
      <c r="C3513" s="8"/>
      <c r="D3513" s="8"/>
      <c r="E3513" s="8"/>
      <c r="F3513" s="8"/>
      <c r="G3513" s="10" t="str">
        <f aca="false">IF($A3513="","",UPPER(SUBSTITUTE(SUBSTITUTE(SUBSTITUTE(SUBSTITUTE($A3513," ",""),"(주)",""),"주식회사",""),"㈜","")))</f>
        <v/>
      </c>
      <c r="H3513" s="10" t="str">
        <f aca="false">IF($B3513="","",SUBSTITUTE(SUBSTITUTE(SUBSTITUTE($B3513,"-","")," ",""),".",""))</f>
        <v/>
      </c>
      <c r="I3513" s="10" t="str">
        <f aca="false">IF($D3513="","",SUBSTITUTE(SUBSTITUTE(SUBSTITUTE($D3513,"-","")," ",""),".",""))</f>
        <v/>
      </c>
      <c r="J3513" s="10" t="str">
        <f aca="false">IF($E3513="","",UPPER(SUBSTITUTE($E3513," ","")))</f>
        <v/>
      </c>
      <c r="K3513" s="10" t="str">
        <f aca="false">IF($A3513="","",$G3513&amp;"|"&amp;$J3513)</f>
        <v/>
      </c>
      <c r="L3513" s="10" t="str">
        <f aca="false">IF($A3513="","",ROW()-2)</f>
        <v/>
      </c>
      <c r="M3513" s="10" t="str">
        <f aca="false">IF($A3513="","",ROW())</f>
        <v/>
      </c>
    </row>
    <row r="3514" customFormat="false" ht="15" hidden="false" customHeight="true" outlineLevel="0" collapsed="false">
      <c r="A3514" s="8"/>
      <c r="B3514" s="8"/>
      <c r="C3514" s="8"/>
      <c r="D3514" s="8"/>
      <c r="E3514" s="8"/>
      <c r="F3514" s="8"/>
      <c r="G3514" s="10" t="str">
        <f aca="false">IF($A3514="","",UPPER(SUBSTITUTE(SUBSTITUTE(SUBSTITUTE(SUBSTITUTE($A3514," ",""),"(주)",""),"주식회사",""),"㈜","")))</f>
        <v/>
      </c>
      <c r="H3514" s="10" t="str">
        <f aca="false">IF($B3514="","",SUBSTITUTE(SUBSTITUTE(SUBSTITUTE($B3514,"-","")," ",""),".",""))</f>
        <v/>
      </c>
      <c r="I3514" s="10" t="str">
        <f aca="false">IF($D3514="","",SUBSTITUTE(SUBSTITUTE(SUBSTITUTE($D3514,"-","")," ",""),".",""))</f>
        <v/>
      </c>
      <c r="J3514" s="10" t="str">
        <f aca="false">IF($E3514="","",UPPER(SUBSTITUTE($E3514," ","")))</f>
        <v/>
      </c>
      <c r="K3514" s="10" t="str">
        <f aca="false">IF($A3514="","",$G3514&amp;"|"&amp;$J3514)</f>
        <v/>
      </c>
      <c r="L3514" s="10" t="str">
        <f aca="false">IF($A3514="","",ROW()-2)</f>
        <v/>
      </c>
      <c r="M3514" s="10" t="str">
        <f aca="false">IF($A3514="","",ROW())</f>
        <v/>
      </c>
    </row>
    <row r="3515" customFormat="false" ht="15" hidden="false" customHeight="true" outlineLevel="0" collapsed="false">
      <c r="A3515" s="8"/>
      <c r="B3515" s="8"/>
      <c r="C3515" s="8"/>
      <c r="D3515" s="8"/>
      <c r="E3515" s="8"/>
      <c r="F3515" s="8"/>
      <c r="G3515" s="10" t="str">
        <f aca="false">IF($A3515="","",UPPER(SUBSTITUTE(SUBSTITUTE(SUBSTITUTE(SUBSTITUTE($A3515," ",""),"(주)",""),"주식회사",""),"㈜","")))</f>
        <v/>
      </c>
      <c r="H3515" s="10" t="str">
        <f aca="false">IF($B3515="","",SUBSTITUTE(SUBSTITUTE(SUBSTITUTE($B3515,"-","")," ",""),".",""))</f>
        <v/>
      </c>
      <c r="I3515" s="10" t="str">
        <f aca="false">IF($D3515="","",SUBSTITUTE(SUBSTITUTE(SUBSTITUTE($D3515,"-","")," ",""),".",""))</f>
        <v/>
      </c>
      <c r="J3515" s="10" t="str">
        <f aca="false">IF($E3515="","",UPPER(SUBSTITUTE($E3515," ","")))</f>
        <v/>
      </c>
      <c r="K3515" s="10" t="str">
        <f aca="false">IF($A3515="","",$G3515&amp;"|"&amp;$J3515)</f>
        <v/>
      </c>
      <c r="L3515" s="10" t="str">
        <f aca="false">IF($A3515="","",ROW()-2)</f>
        <v/>
      </c>
      <c r="M3515" s="10" t="str">
        <f aca="false">IF($A3515="","",ROW())</f>
        <v/>
      </c>
    </row>
    <row r="3516" customFormat="false" ht="15" hidden="false" customHeight="true" outlineLevel="0" collapsed="false">
      <c r="A3516" s="8"/>
      <c r="B3516" s="8"/>
      <c r="C3516" s="8"/>
      <c r="D3516" s="8"/>
      <c r="E3516" s="8"/>
      <c r="F3516" s="8"/>
      <c r="G3516" s="10" t="str">
        <f aca="false">IF($A3516="","",UPPER(SUBSTITUTE(SUBSTITUTE(SUBSTITUTE(SUBSTITUTE($A3516," ",""),"(주)",""),"주식회사",""),"㈜","")))</f>
        <v/>
      </c>
      <c r="H3516" s="10" t="str">
        <f aca="false">IF($B3516="","",SUBSTITUTE(SUBSTITUTE(SUBSTITUTE($B3516,"-","")," ",""),".",""))</f>
        <v/>
      </c>
      <c r="I3516" s="10" t="str">
        <f aca="false">IF($D3516="","",SUBSTITUTE(SUBSTITUTE(SUBSTITUTE($D3516,"-","")," ",""),".",""))</f>
        <v/>
      </c>
      <c r="J3516" s="10" t="str">
        <f aca="false">IF($E3516="","",UPPER(SUBSTITUTE($E3516," ","")))</f>
        <v/>
      </c>
      <c r="K3516" s="10" t="str">
        <f aca="false">IF($A3516="","",$G3516&amp;"|"&amp;$J3516)</f>
        <v/>
      </c>
      <c r="L3516" s="10" t="str">
        <f aca="false">IF($A3516="","",ROW()-2)</f>
        <v/>
      </c>
      <c r="M3516" s="10" t="str">
        <f aca="false">IF($A3516="","",ROW())</f>
        <v/>
      </c>
    </row>
    <row r="3517" customFormat="false" ht="15" hidden="false" customHeight="true" outlineLevel="0" collapsed="false">
      <c r="A3517" s="8"/>
      <c r="B3517" s="8"/>
      <c r="C3517" s="8"/>
      <c r="D3517" s="8"/>
      <c r="E3517" s="8"/>
      <c r="F3517" s="8"/>
      <c r="G3517" s="10" t="str">
        <f aca="false">IF($A3517="","",UPPER(SUBSTITUTE(SUBSTITUTE(SUBSTITUTE(SUBSTITUTE($A3517," ",""),"(주)",""),"주식회사",""),"㈜","")))</f>
        <v/>
      </c>
      <c r="H3517" s="10" t="str">
        <f aca="false">IF($B3517="","",SUBSTITUTE(SUBSTITUTE(SUBSTITUTE($B3517,"-","")," ",""),".",""))</f>
        <v/>
      </c>
      <c r="I3517" s="10" t="str">
        <f aca="false">IF($D3517="","",SUBSTITUTE(SUBSTITUTE(SUBSTITUTE($D3517,"-","")," ",""),".",""))</f>
        <v/>
      </c>
      <c r="J3517" s="10" t="str">
        <f aca="false">IF($E3517="","",UPPER(SUBSTITUTE($E3517," ","")))</f>
        <v/>
      </c>
      <c r="K3517" s="10" t="str">
        <f aca="false">IF($A3517="","",$G3517&amp;"|"&amp;$J3517)</f>
        <v/>
      </c>
      <c r="L3517" s="10" t="str">
        <f aca="false">IF($A3517="","",ROW()-2)</f>
        <v/>
      </c>
      <c r="M3517" s="10" t="str">
        <f aca="false">IF($A3517="","",ROW())</f>
        <v/>
      </c>
    </row>
    <row r="3518" customFormat="false" ht="15" hidden="false" customHeight="true" outlineLevel="0" collapsed="false">
      <c r="A3518" s="8"/>
      <c r="B3518" s="8"/>
      <c r="C3518" s="8"/>
      <c r="D3518" s="8"/>
      <c r="E3518" s="8"/>
      <c r="F3518" s="8"/>
      <c r="G3518" s="10" t="str">
        <f aca="false">IF($A3518="","",UPPER(SUBSTITUTE(SUBSTITUTE(SUBSTITUTE(SUBSTITUTE($A3518," ",""),"(주)",""),"주식회사",""),"㈜","")))</f>
        <v/>
      </c>
      <c r="H3518" s="10" t="str">
        <f aca="false">IF($B3518="","",SUBSTITUTE(SUBSTITUTE(SUBSTITUTE($B3518,"-","")," ",""),".",""))</f>
        <v/>
      </c>
      <c r="I3518" s="10" t="str">
        <f aca="false">IF($D3518="","",SUBSTITUTE(SUBSTITUTE(SUBSTITUTE($D3518,"-","")," ",""),".",""))</f>
        <v/>
      </c>
      <c r="J3518" s="10" t="str">
        <f aca="false">IF($E3518="","",UPPER(SUBSTITUTE($E3518," ","")))</f>
        <v/>
      </c>
      <c r="K3518" s="10" t="str">
        <f aca="false">IF($A3518="","",$G3518&amp;"|"&amp;$J3518)</f>
        <v/>
      </c>
      <c r="L3518" s="10" t="str">
        <f aca="false">IF($A3518="","",ROW()-2)</f>
        <v/>
      </c>
      <c r="M3518" s="10" t="str">
        <f aca="false">IF($A3518="","",ROW())</f>
        <v/>
      </c>
    </row>
    <row r="3519" customFormat="false" ht="15" hidden="false" customHeight="true" outlineLevel="0" collapsed="false">
      <c r="A3519" s="8"/>
      <c r="B3519" s="8"/>
      <c r="C3519" s="8"/>
      <c r="D3519" s="8"/>
      <c r="E3519" s="8"/>
      <c r="F3519" s="8"/>
      <c r="G3519" s="10" t="str">
        <f aca="false">IF($A3519="","",UPPER(SUBSTITUTE(SUBSTITUTE(SUBSTITUTE(SUBSTITUTE($A3519," ",""),"(주)",""),"주식회사",""),"㈜","")))</f>
        <v/>
      </c>
      <c r="H3519" s="10" t="str">
        <f aca="false">IF($B3519="","",SUBSTITUTE(SUBSTITUTE(SUBSTITUTE($B3519,"-","")," ",""),".",""))</f>
        <v/>
      </c>
      <c r="I3519" s="10" t="str">
        <f aca="false">IF($D3519="","",SUBSTITUTE(SUBSTITUTE(SUBSTITUTE($D3519,"-","")," ",""),".",""))</f>
        <v/>
      </c>
      <c r="J3519" s="10" t="str">
        <f aca="false">IF($E3519="","",UPPER(SUBSTITUTE($E3519," ","")))</f>
        <v/>
      </c>
      <c r="K3519" s="10" t="str">
        <f aca="false">IF($A3519="","",$G3519&amp;"|"&amp;$J3519)</f>
        <v/>
      </c>
      <c r="L3519" s="10" t="str">
        <f aca="false">IF($A3519="","",ROW()-2)</f>
        <v/>
      </c>
      <c r="M3519" s="10" t="str">
        <f aca="false">IF($A3519="","",ROW())</f>
        <v/>
      </c>
    </row>
    <row r="3520" customFormat="false" ht="15" hidden="false" customHeight="true" outlineLevel="0" collapsed="false">
      <c r="A3520" s="8"/>
      <c r="B3520" s="8"/>
      <c r="C3520" s="8"/>
      <c r="D3520" s="8"/>
      <c r="E3520" s="8"/>
      <c r="F3520" s="8"/>
      <c r="G3520" s="10" t="str">
        <f aca="false">IF($A3520="","",UPPER(SUBSTITUTE(SUBSTITUTE(SUBSTITUTE(SUBSTITUTE($A3520," ",""),"(주)",""),"주식회사",""),"㈜","")))</f>
        <v/>
      </c>
      <c r="H3520" s="10" t="str">
        <f aca="false">IF($B3520="","",SUBSTITUTE(SUBSTITUTE(SUBSTITUTE($B3520,"-","")," ",""),".",""))</f>
        <v/>
      </c>
      <c r="I3520" s="10" t="str">
        <f aca="false">IF($D3520="","",SUBSTITUTE(SUBSTITUTE(SUBSTITUTE($D3520,"-","")," ",""),".",""))</f>
        <v/>
      </c>
      <c r="J3520" s="10" t="str">
        <f aca="false">IF($E3520="","",UPPER(SUBSTITUTE($E3520," ","")))</f>
        <v/>
      </c>
      <c r="K3520" s="10" t="str">
        <f aca="false">IF($A3520="","",$G3520&amp;"|"&amp;$J3520)</f>
        <v/>
      </c>
      <c r="L3520" s="10" t="str">
        <f aca="false">IF($A3520="","",ROW()-2)</f>
        <v/>
      </c>
      <c r="M3520" s="10" t="str">
        <f aca="false">IF($A3520="","",ROW())</f>
        <v/>
      </c>
    </row>
    <row r="3521" customFormat="false" ht="15" hidden="false" customHeight="true" outlineLevel="0" collapsed="false">
      <c r="A3521" s="8"/>
      <c r="B3521" s="8"/>
      <c r="C3521" s="8"/>
      <c r="D3521" s="8"/>
      <c r="E3521" s="8"/>
      <c r="F3521" s="8"/>
      <c r="G3521" s="10" t="str">
        <f aca="false">IF($A3521="","",UPPER(SUBSTITUTE(SUBSTITUTE(SUBSTITUTE(SUBSTITUTE($A3521," ",""),"(주)",""),"주식회사",""),"㈜","")))</f>
        <v/>
      </c>
      <c r="H3521" s="10" t="str">
        <f aca="false">IF($B3521="","",SUBSTITUTE(SUBSTITUTE(SUBSTITUTE($B3521,"-","")," ",""),".",""))</f>
        <v/>
      </c>
      <c r="I3521" s="10" t="str">
        <f aca="false">IF($D3521="","",SUBSTITUTE(SUBSTITUTE(SUBSTITUTE($D3521,"-","")," ",""),".",""))</f>
        <v/>
      </c>
      <c r="J3521" s="10" t="str">
        <f aca="false">IF($E3521="","",UPPER(SUBSTITUTE($E3521," ","")))</f>
        <v/>
      </c>
      <c r="K3521" s="10" t="str">
        <f aca="false">IF($A3521="","",$G3521&amp;"|"&amp;$J3521)</f>
        <v/>
      </c>
      <c r="L3521" s="10" t="str">
        <f aca="false">IF($A3521="","",ROW()-2)</f>
        <v/>
      </c>
      <c r="M3521" s="10" t="str">
        <f aca="false">IF($A3521="","",ROW())</f>
        <v/>
      </c>
    </row>
    <row r="3522" customFormat="false" ht="15" hidden="false" customHeight="true" outlineLevel="0" collapsed="false">
      <c r="A3522" s="8"/>
      <c r="B3522" s="8"/>
      <c r="C3522" s="8"/>
      <c r="D3522" s="8"/>
      <c r="E3522" s="8"/>
      <c r="F3522" s="8"/>
      <c r="G3522" s="10" t="str">
        <f aca="false">IF($A3522="","",UPPER(SUBSTITUTE(SUBSTITUTE(SUBSTITUTE(SUBSTITUTE($A3522," ",""),"(주)",""),"주식회사",""),"㈜","")))</f>
        <v/>
      </c>
      <c r="H3522" s="10" t="str">
        <f aca="false">IF($B3522="","",SUBSTITUTE(SUBSTITUTE(SUBSTITUTE($B3522,"-","")," ",""),".",""))</f>
        <v/>
      </c>
      <c r="I3522" s="10" t="str">
        <f aca="false">IF($D3522="","",SUBSTITUTE(SUBSTITUTE(SUBSTITUTE($D3522,"-","")," ",""),".",""))</f>
        <v/>
      </c>
      <c r="J3522" s="10" t="str">
        <f aca="false">IF($E3522="","",UPPER(SUBSTITUTE($E3522," ","")))</f>
        <v/>
      </c>
      <c r="K3522" s="10" t="str">
        <f aca="false">IF($A3522="","",$G3522&amp;"|"&amp;$J3522)</f>
        <v/>
      </c>
      <c r="L3522" s="10" t="str">
        <f aca="false">IF($A3522="","",ROW()-2)</f>
        <v/>
      </c>
      <c r="M3522" s="10" t="str">
        <f aca="false">IF($A3522="","",ROW())</f>
        <v/>
      </c>
    </row>
    <row r="3523" customFormat="false" ht="15" hidden="false" customHeight="true" outlineLevel="0" collapsed="false">
      <c r="A3523" s="8"/>
      <c r="B3523" s="8"/>
      <c r="C3523" s="8"/>
      <c r="D3523" s="8"/>
      <c r="E3523" s="8"/>
      <c r="F3523" s="8"/>
      <c r="G3523" s="10" t="str">
        <f aca="false">IF($A3523="","",UPPER(SUBSTITUTE(SUBSTITUTE(SUBSTITUTE(SUBSTITUTE($A3523," ",""),"(주)",""),"주식회사",""),"㈜","")))</f>
        <v/>
      </c>
      <c r="H3523" s="10" t="str">
        <f aca="false">IF($B3523="","",SUBSTITUTE(SUBSTITUTE(SUBSTITUTE($B3523,"-","")," ",""),".",""))</f>
        <v/>
      </c>
      <c r="I3523" s="10" t="str">
        <f aca="false">IF($D3523="","",SUBSTITUTE(SUBSTITUTE(SUBSTITUTE($D3523,"-","")," ",""),".",""))</f>
        <v/>
      </c>
      <c r="J3523" s="10" t="str">
        <f aca="false">IF($E3523="","",UPPER(SUBSTITUTE($E3523," ","")))</f>
        <v/>
      </c>
      <c r="K3523" s="10" t="str">
        <f aca="false">IF($A3523="","",$G3523&amp;"|"&amp;$J3523)</f>
        <v/>
      </c>
      <c r="L3523" s="10" t="str">
        <f aca="false">IF($A3523="","",ROW()-2)</f>
        <v/>
      </c>
      <c r="M3523" s="10" t="str">
        <f aca="false">IF($A3523="","",ROW())</f>
        <v/>
      </c>
    </row>
    <row r="3524" customFormat="false" ht="15" hidden="false" customHeight="true" outlineLevel="0" collapsed="false">
      <c r="A3524" s="8"/>
      <c r="B3524" s="8"/>
      <c r="C3524" s="8"/>
      <c r="D3524" s="8"/>
      <c r="E3524" s="8"/>
      <c r="F3524" s="8"/>
      <c r="G3524" s="10" t="str">
        <f aca="false">IF($A3524="","",UPPER(SUBSTITUTE(SUBSTITUTE(SUBSTITUTE(SUBSTITUTE($A3524," ",""),"(주)",""),"주식회사",""),"㈜","")))</f>
        <v/>
      </c>
      <c r="H3524" s="10" t="str">
        <f aca="false">IF($B3524="","",SUBSTITUTE(SUBSTITUTE(SUBSTITUTE($B3524,"-","")," ",""),".",""))</f>
        <v/>
      </c>
      <c r="I3524" s="10" t="str">
        <f aca="false">IF($D3524="","",SUBSTITUTE(SUBSTITUTE(SUBSTITUTE($D3524,"-","")," ",""),".",""))</f>
        <v/>
      </c>
      <c r="J3524" s="10" t="str">
        <f aca="false">IF($E3524="","",UPPER(SUBSTITUTE($E3524," ","")))</f>
        <v/>
      </c>
      <c r="K3524" s="10" t="str">
        <f aca="false">IF($A3524="","",$G3524&amp;"|"&amp;$J3524)</f>
        <v/>
      </c>
      <c r="L3524" s="10" t="str">
        <f aca="false">IF($A3524="","",ROW()-2)</f>
        <v/>
      </c>
      <c r="M3524" s="10" t="str">
        <f aca="false">IF($A3524="","",ROW())</f>
        <v/>
      </c>
    </row>
    <row r="3525" customFormat="false" ht="15" hidden="false" customHeight="true" outlineLevel="0" collapsed="false">
      <c r="A3525" s="8"/>
      <c r="B3525" s="8"/>
      <c r="C3525" s="8"/>
      <c r="D3525" s="8"/>
      <c r="E3525" s="8"/>
      <c r="F3525" s="8"/>
      <c r="G3525" s="10" t="str">
        <f aca="false">IF($A3525="","",UPPER(SUBSTITUTE(SUBSTITUTE(SUBSTITUTE(SUBSTITUTE($A3525," ",""),"(주)",""),"주식회사",""),"㈜","")))</f>
        <v/>
      </c>
      <c r="H3525" s="10" t="str">
        <f aca="false">IF($B3525="","",SUBSTITUTE(SUBSTITUTE(SUBSTITUTE($B3525,"-","")," ",""),".",""))</f>
        <v/>
      </c>
      <c r="I3525" s="10" t="str">
        <f aca="false">IF($D3525="","",SUBSTITUTE(SUBSTITUTE(SUBSTITUTE($D3525,"-","")," ",""),".",""))</f>
        <v/>
      </c>
      <c r="J3525" s="10" t="str">
        <f aca="false">IF($E3525="","",UPPER(SUBSTITUTE($E3525," ","")))</f>
        <v/>
      </c>
      <c r="K3525" s="10" t="str">
        <f aca="false">IF($A3525="","",$G3525&amp;"|"&amp;$J3525)</f>
        <v/>
      </c>
      <c r="L3525" s="10" t="str">
        <f aca="false">IF($A3525="","",ROW()-2)</f>
        <v/>
      </c>
      <c r="M3525" s="10" t="str">
        <f aca="false">IF($A3525="","",ROW())</f>
        <v/>
      </c>
    </row>
    <row r="3526" customFormat="false" ht="15" hidden="false" customHeight="true" outlineLevel="0" collapsed="false">
      <c r="A3526" s="8"/>
      <c r="B3526" s="8"/>
      <c r="C3526" s="8"/>
      <c r="D3526" s="8"/>
      <c r="E3526" s="8"/>
      <c r="F3526" s="8"/>
      <c r="G3526" s="10" t="str">
        <f aca="false">IF($A3526="","",UPPER(SUBSTITUTE(SUBSTITUTE(SUBSTITUTE(SUBSTITUTE($A3526," ",""),"(주)",""),"주식회사",""),"㈜","")))</f>
        <v/>
      </c>
      <c r="H3526" s="10" t="str">
        <f aca="false">IF($B3526="","",SUBSTITUTE(SUBSTITUTE(SUBSTITUTE($B3526,"-","")," ",""),".",""))</f>
        <v/>
      </c>
      <c r="I3526" s="10" t="str">
        <f aca="false">IF($D3526="","",SUBSTITUTE(SUBSTITUTE(SUBSTITUTE($D3526,"-","")," ",""),".",""))</f>
        <v/>
      </c>
      <c r="J3526" s="10" t="str">
        <f aca="false">IF($E3526="","",UPPER(SUBSTITUTE($E3526," ","")))</f>
        <v/>
      </c>
      <c r="K3526" s="10" t="str">
        <f aca="false">IF($A3526="","",$G3526&amp;"|"&amp;$J3526)</f>
        <v/>
      </c>
      <c r="L3526" s="10" t="str">
        <f aca="false">IF($A3526="","",ROW()-2)</f>
        <v/>
      </c>
      <c r="M3526" s="10" t="str">
        <f aca="false">IF($A3526="","",ROW())</f>
        <v/>
      </c>
    </row>
    <row r="3527" customFormat="false" ht="15" hidden="false" customHeight="true" outlineLevel="0" collapsed="false">
      <c r="A3527" s="8"/>
      <c r="B3527" s="8"/>
      <c r="C3527" s="8"/>
      <c r="D3527" s="8"/>
      <c r="E3527" s="8"/>
      <c r="F3527" s="8"/>
      <c r="G3527" s="10" t="str">
        <f aca="false">IF($A3527="","",UPPER(SUBSTITUTE(SUBSTITUTE(SUBSTITUTE(SUBSTITUTE($A3527," ",""),"(주)",""),"주식회사",""),"㈜","")))</f>
        <v/>
      </c>
      <c r="H3527" s="10" t="str">
        <f aca="false">IF($B3527="","",SUBSTITUTE(SUBSTITUTE(SUBSTITUTE($B3527,"-","")," ",""),".",""))</f>
        <v/>
      </c>
      <c r="I3527" s="10" t="str">
        <f aca="false">IF($D3527="","",SUBSTITUTE(SUBSTITUTE(SUBSTITUTE($D3527,"-","")," ",""),".",""))</f>
        <v/>
      </c>
      <c r="J3527" s="10" t="str">
        <f aca="false">IF($E3527="","",UPPER(SUBSTITUTE($E3527," ","")))</f>
        <v/>
      </c>
      <c r="K3527" s="10" t="str">
        <f aca="false">IF($A3527="","",$G3527&amp;"|"&amp;$J3527)</f>
        <v/>
      </c>
      <c r="L3527" s="10" t="str">
        <f aca="false">IF($A3527="","",ROW()-2)</f>
        <v/>
      </c>
      <c r="M3527" s="10" t="str">
        <f aca="false">IF($A3527="","",ROW())</f>
        <v/>
      </c>
    </row>
    <row r="3528" customFormat="false" ht="15" hidden="false" customHeight="true" outlineLevel="0" collapsed="false">
      <c r="A3528" s="8"/>
      <c r="B3528" s="8"/>
      <c r="C3528" s="8"/>
      <c r="D3528" s="8"/>
      <c r="E3528" s="8"/>
      <c r="F3528" s="8"/>
      <c r="G3528" s="10" t="str">
        <f aca="false">IF($A3528="","",UPPER(SUBSTITUTE(SUBSTITUTE(SUBSTITUTE(SUBSTITUTE($A3528," ",""),"(주)",""),"주식회사",""),"㈜","")))</f>
        <v/>
      </c>
      <c r="H3528" s="10" t="str">
        <f aca="false">IF($B3528="","",SUBSTITUTE(SUBSTITUTE(SUBSTITUTE($B3528,"-","")," ",""),".",""))</f>
        <v/>
      </c>
      <c r="I3528" s="10" t="str">
        <f aca="false">IF($D3528="","",SUBSTITUTE(SUBSTITUTE(SUBSTITUTE($D3528,"-","")," ",""),".",""))</f>
        <v/>
      </c>
      <c r="J3528" s="10" t="str">
        <f aca="false">IF($E3528="","",UPPER(SUBSTITUTE($E3528," ","")))</f>
        <v/>
      </c>
      <c r="K3528" s="10" t="str">
        <f aca="false">IF($A3528="","",$G3528&amp;"|"&amp;$J3528)</f>
        <v/>
      </c>
      <c r="L3528" s="10" t="str">
        <f aca="false">IF($A3528="","",ROW()-2)</f>
        <v/>
      </c>
      <c r="M3528" s="10" t="str">
        <f aca="false">IF($A3528="","",ROW())</f>
        <v/>
      </c>
    </row>
    <row r="3529" customFormat="false" ht="15" hidden="false" customHeight="true" outlineLevel="0" collapsed="false">
      <c r="A3529" s="8"/>
      <c r="B3529" s="8"/>
      <c r="C3529" s="8"/>
      <c r="D3529" s="8"/>
      <c r="E3529" s="8"/>
      <c r="F3529" s="8"/>
      <c r="G3529" s="10" t="str">
        <f aca="false">IF($A3529="","",UPPER(SUBSTITUTE(SUBSTITUTE(SUBSTITUTE(SUBSTITUTE($A3529," ",""),"(주)",""),"주식회사",""),"㈜","")))</f>
        <v/>
      </c>
      <c r="H3529" s="10" t="str">
        <f aca="false">IF($B3529="","",SUBSTITUTE(SUBSTITUTE(SUBSTITUTE($B3529,"-","")," ",""),".",""))</f>
        <v/>
      </c>
      <c r="I3529" s="10" t="str">
        <f aca="false">IF($D3529="","",SUBSTITUTE(SUBSTITUTE(SUBSTITUTE($D3529,"-","")," ",""),".",""))</f>
        <v/>
      </c>
      <c r="J3529" s="10" t="str">
        <f aca="false">IF($E3529="","",UPPER(SUBSTITUTE($E3529," ","")))</f>
        <v/>
      </c>
      <c r="K3529" s="10" t="str">
        <f aca="false">IF($A3529="","",$G3529&amp;"|"&amp;$J3529)</f>
        <v/>
      </c>
      <c r="L3529" s="10" t="str">
        <f aca="false">IF($A3529="","",ROW()-2)</f>
        <v/>
      </c>
      <c r="M3529" s="10" t="str">
        <f aca="false">IF($A3529="","",ROW())</f>
        <v/>
      </c>
    </row>
    <row r="3530" customFormat="false" ht="15" hidden="false" customHeight="true" outlineLevel="0" collapsed="false">
      <c r="A3530" s="8"/>
      <c r="B3530" s="8"/>
      <c r="C3530" s="8"/>
      <c r="D3530" s="8"/>
      <c r="E3530" s="8"/>
      <c r="F3530" s="8"/>
      <c r="G3530" s="10" t="str">
        <f aca="false">IF($A3530="","",UPPER(SUBSTITUTE(SUBSTITUTE(SUBSTITUTE(SUBSTITUTE($A3530," ",""),"(주)",""),"주식회사",""),"㈜","")))</f>
        <v/>
      </c>
      <c r="H3530" s="10" t="str">
        <f aca="false">IF($B3530="","",SUBSTITUTE(SUBSTITUTE(SUBSTITUTE($B3530,"-","")," ",""),".",""))</f>
        <v/>
      </c>
      <c r="I3530" s="10" t="str">
        <f aca="false">IF($D3530="","",SUBSTITUTE(SUBSTITUTE(SUBSTITUTE($D3530,"-","")," ",""),".",""))</f>
        <v/>
      </c>
      <c r="J3530" s="10" t="str">
        <f aca="false">IF($E3530="","",UPPER(SUBSTITUTE($E3530," ","")))</f>
        <v/>
      </c>
      <c r="K3530" s="10" t="str">
        <f aca="false">IF($A3530="","",$G3530&amp;"|"&amp;$J3530)</f>
        <v/>
      </c>
      <c r="L3530" s="10" t="str">
        <f aca="false">IF($A3530="","",ROW()-2)</f>
        <v/>
      </c>
      <c r="M3530" s="10" t="str">
        <f aca="false">IF($A3530="","",ROW())</f>
        <v/>
      </c>
    </row>
    <row r="3531" customFormat="false" ht="15" hidden="false" customHeight="true" outlineLevel="0" collapsed="false">
      <c r="A3531" s="8"/>
      <c r="B3531" s="8"/>
      <c r="C3531" s="8"/>
      <c r="D3531" s="8"/>
      <c r="E3531" s="8"/>
      <c r="F3531" s="8"/>
      <c r="G3531" s="10" t="str">
        <f aca="false">IF($A3531="","",UPPER(SUBSTITUTE(SUBSTITUTE(SUBSTITUTE(SUBSTITUTE($A3531," ",""),"(주)",""),"주식회사",""),"㈜","")))</f>
        <v/>
      </c>
      <c r="H3531" s="10" t="str">
        <f aca="false">IF($B3531="","",SUBSTITUTE(SUBSTITUTE(SUBSTITUTE($B3531,"-","")," ",""),".",""))</f>
        <v/>
      </c>
      <c r="I3531" s="10" t="str">
        <f aca="false">IF($D3531="","",SUBSTITUTE(SUBSTITUTE(SUBSTITUTE($D3531,"-","")," ",""),".",""))</f>
        <v/>
      </c>
      <c r="J3531" s="10" t="str">
        <f aca="false">IF($E3531="","",UPPER(SUBSTITUTE($E3531," ","")))</f>
        <v/>
      </c>
      <c r="K3531" s="10" t="str">
        <f aca="false">IF($A3531="","",$G3531&amp;"|"&amp;$J3531)</f>
        <v/>
      </c>
      <c r="L3531" s="10" t="str">
        <f aca="false">IF($A3531="","",ROW()-2)</f>
        <v/>
      </c>
      <c r="M3531" s="10" t="str">
        <f aca="false">IF($A3531="","",ROW())</f>
        <v/>
      </c>
    </row>
    <row r="3532" customFormat="false" ht="15" hidden="false" customHeight="true" outlineLevel="0" collapsed="false">
      <c r="A3532" s="8"/>
      <c r="B3532" s="8"/>
      <c r="C3532" s="8"/>
      <c r="D3532" s="8"/>
      <c r="E3532" s="8"/>
      <c r="F3532" s="8"/>
      <c r="G3532" s="10" t="str">
        <f aca="false">IF($A3532="","",UPPER(SUBSTITUTE(SUBSTITUTE(SUBSTITUTE(SUBSTITUTE($A3532," ",""),"(주)",""),"주식회사",""),"㈜","")))</f>
        <v/>
      </c>
      <c r="H3532" s="10" t="str">
        <f aca="false">IF($B3532="","",SUBSTITUTE(SUBSTITUTE(SUBSTITUTE($B3532,"-","")," ",""),".",""))</f>
        <v/>
      </c>
      <c r="I3532" s="10" t="str">
        <f aca="false">IF($D3532="","",SUBSTITUTE(SUBSTITUTE(SUBSTITUTE($D3532,"-","")," ",""),".",""))</f>
        <v/>
      </c>
      <c r="J3532" s="10" t="str">
        <f aca="false">IF($E3532="","",UPPER(SUBSTITUTE($E3532," ","")))</f>
        <v/>
      </c>
      <c r="K3532" s="10" t="str">
        <f aca="false">IF($A3532="","",$G3532&amp;"|"&amp;$J3532)</f>
        <v/>
      </c>
      <c r="L3532" s="10" t="str">
        <f aca="false">IF($A3532="","",ROW()-2)</f>
        <v/>
      </c>
      <c r="M3532" s="10" t="str">
        <f aca="false">IF($A3532="","",ROW())</f>
        <v/>
      </c>
    </row>
    <row r="3533" customFormat="false" ht="15" hidden="false" customHeight="true" outlineLevel="0" collapsed="false">
      <c r="A3533" s="8"/>
      <c r="B3533" s="8"/>
      <c r="C3533" s="8"/>
      <c r="D3533" s="8"/>
      <c r="E3533" s="8"/>
      <c r="F3533" s="8"/>
      <c r="G3533" s="10" t="str">
        <f aca="false">IF($A3533="","",UPPER(SUBSTITUTE(SUBSTITUTE(SUBSTITUTE(SUBSTITUTE($A3533," ",""),"(주)",""),"주식회사",""),"㈜","")))</f>
        <v/>
      </c>
      <c r="H3533" s="10" t="str">
        <f aca="false">IF($B3533="","",SUBSTITUTE(SUBSTITUTE(SUBSTITUTE($B3533,"-","")," ",""),".",""))</f>
        <v/>
      </c>
      <c r="I3533" s="10" t="str">
        <f aca="false">IF($D3533="","",SUBSTITUTE(SUBSTITUTE(SUBSTITUTE($D3533,"-","")," ",""),".",""))</f>
        <v/>
      </c>
      <c r="J3533" s="10" t="str">
        <f aca="false">IF($E3533="","",UPPER(SUBSTITUTE($E3533," ","")))</f>
        <v/>
      </c>
      <c r="K3533" s="10" t="str">
        <f aca="false">IF($A3533="","",$G3533&amp;"|"&amp;$J3533)</f>
        <v/>
      </c>
      <c r="L3533" s="10" t="str">
        <f aca="false">IF($A3533="","",ROW()-2)</f>
        <v/>
      </c>
      <c r="M3533" s="10" t="str">
        <f aca="false">IF($A3533="","",ROW())</f>
        <v/>
      </c>
    </row>
    <row r="3534" customFormat="false" ht="15" hidden="false" customHeight="true" outlineLevel="0" collapsed="false">
      <c r="A3534" s="8"/>
      <c r="B3534" s="8"/>
      <c r="C3534" s="8"/>
      <c r="D3534" s="8"/>
      <c r="E3534" s="8"/>
      <c r="F3534" s="8"/>
      <c r="G3534" s="10" t="str">
        <f aca="false">IF($A3534="","",UPPER(SUBSTITUTE(SUBSTITUTE(SUBSTITUTE(SUBSTITUTE($A3534," ",""),"(주)",""),"주식회사",""),"㈜","")))</f>
        <v/>
      </c>
      <c r="H3534" s="10" t="str">
        <f aca="false">IF($B3534="","",SUBSTITUTE(SUBSTITUTE(SUBSTITUTE($B3534,"-","")," ",""),".",""))</f>
        <v/>
      </c>
      <c r="I3534" s="10" t="str">
        <f aca="false">IF($D3534="","",SUBSTITUTE(SUBSTITUTE(SUBSTITUTE($D3534,"-","")," ",""),".",""))</f>
        <v/>
      </c>
      <c r="J3534" s="10" t="str">
        <f aca="false">IF($E3534="","",UPPER(SUBSTITUTE($E3534," ","")))</f>
        <v/>
      </c>
      <c r="K3534" s="10" t="str">
        <f aca="false">IF($A3534="","",$G3534&amp;"|"&amp;$J3534)</f>
        <v/>
      </c>
      <c r="L3534" s="10" t="str">
        <f aca="false">IF($A3534="","",ROW()-2)</f>
        <v/>
      </c>
      <c r="M3534" s="10" t="str">
        <f aca="false">IF($A3534="","",ROW())</f>
        <v/>
      </c>
    </row>
    <row r="3535" customFormat="false" ht="15" hidden="false" customHeight="true" outlineLevel="0" collapsed="false">
      <c r="A3535" s="8"/>
      <c r="B3535" s="8"/>
      <c r="C3535" s="8"/>
      <c r="D3535" s="8"/>
      <c r="E3535" s="8"/>
      <c r="F3535" s="8"/>
      <c r="G3535" s="10" t="str">
        <f aca="false">IF($A3535="","",UPPER(SUBSTITUTE(SUBSTITUTE(SUBSTITUTE(SUBSTITUTE($A3535," ",""),"(주)",""),"주식회사",""),"㈜","")))</f>
        <v/>
      </c>
      <c r="H3535" s="10" t="str">
        <f aca="false">IF($B3535="","",SUBSTITUTE(SUBSTITUTE(SUBSTITUTE($B3535,"-","")," ",""),".",""))</f>
        <v/>
      </c>
      <c r="I3535" s="10" t="str">
        <f aca="false">IF($D3535="","",SUBSTITUTE(SUBSTITUTE(SUBSTITUTE($D3535,"-","")," ",""),".",""))</f>
        <v/>
      </c>
      <c r="J3535" s="10" t="str">
        <f aca="false">IF($E3535="","",UPPER(SUBSTITUTE($E3535," ","")))</f>
        <v/>
      </c>
      <c r="K3535" s="10" t="str">
        <f aca="false">IF($A3535="","",$G3535&amp;"|"&amp;$J3535)</f>
        <v/>
      </c>
      <c r="L3535" s="10" t="str">
        <f aca="false">IF($A3535="","",ROW()-2)</f>
        <v/>
      </c>
      <c r="M3535" s="10" t="str">
        <f aca="false">IF($A3535="","",ROW())</f>
        <v/>
      </c>
    </row>
    <row r="3536" customFormat="false" ht="15" hidden="false" customHeight="true" outlineLevel="0" collapsed="false">
      <c r="A3536" s="8"/>
      <c r="B3536" s="8"/>
      <c r="C3536" s="8"/>
      <c r="D3536" s="8"/>
      <c r="E3536" s="8"/>
      <c r="F3536" s="8"/>
      <c r="G3536" s="10" t="str">
        <f aca="false">IF($A3536="","",UPPER(SUBSTITUTE(SUBSTITUTE(SUBSTITUTE(SUBSTITUTE($A3536," ",""),"(주)",""),"주식회사",""),"㈜","")))</f>
        <v/>
      </c>
      <c r="H3536" s="10" t="str">
        <f aca="false">IF($B3536="","",SUBSTITUTE(SUBSTITUTE(SUBSTITUTE($B3536,"-","")," ",""),".",""))</f>
        <v/>
      </c>
      <c r="I3536" s="10" t="str">
        <f aca="false">IF($D3536="","",SUBSTITUTE(SUBSTITUTE(SUBSTITUTE($D3536,"-","")," ",""),".",""))</f>
        <v/>
      </c>
      <c r="J3536" s="10" t="str">
        <f aca="false">IF($E3536="","",UPPER(SUBSTITUTE($E3536," ","")))</f>
        <v/>
      </c>
      <c r="K3536" s="10" t="str">
        <f aca="false">IF($A3536="","",$G3536&amp;"|"&amp;$J3536)</f>
        <v/>
      </c>
      <c r="L3536" s="10" t="str">
        <f aca="false">IF($A3536="","",ROW()-2)</f>
        <v/>
      </c>
      <c r="M3536" s="10" t="str">
        <f aca="false">IF($A3536="","",ROW())</f>
        <v/>
      </c>
    </row>
    <row r="3537" customFormat="false" ht="15" hidden="false" customHeight="true" outlineLevel="0" collapsed="false">
      <c r="A3537" s="8"/>
      <c r="B3537" s="8"/>
      <c r="C3537" s="8"/>
      <c r="D3537" s="8"/>
      <c r="E3537" s="8"/>
      <c r="F3537" s="8"/>
      <c r="G3537" s="10" t="str">
        <f aca="false">IF($A3537="","",UPPER(SUBSTITUTE(SUBSTITUTE(SUBSTITUTE(SUBSTITUTE($A3537," ",""),"(주)",""),"주식회사",""),"㈜","")))</f>
        <v/>
      </c>
      <c r="H3537" s="10" t="str">
        <f aca="false">IF($B3537="","",SUBSTITUTE(SUBSTITUTE(SUBSTITUTE($B3537,"-","")," ",""),".",""))</f>
        <v/>
      </c>
      <c r="I3537" s="10" t="str">
        <f aca="false">IF($D3537="","",SUBSTITUTE(SUBSTITUTE(SUBSTITUTE($D3537,"-","")," ",""),".",""))</f>
        <v/>
      </c>
      <c r="J3537" s="10" t="str">
        <f aca="false">IF($E3537="","",UPPER(SUBSTITUTE($E3537," ","")))</f>
        <v/>
      </c>
      <c r="K3537" s="10" t="str">
        <f aca="false">IF($A3537="","",$G3537&amp;"|"&amp;$J3537)</f>
        <v/>
      </c>
      <c r="L3537" s="10" t="str">
        <f aca="false">IF($A3537="","",ROW()-2)</f>
        <v/>
      </c>
      <c r="M3537" s="10" t="str">
        <f aca="false">IF($A3537="","",ROW())</f>
        <v/>
      </c>
    </row>
    <row r="3538" customFormat="false" ht="15" hidden="false" customHeight="true" outlineLevel="0" collapsed="false">
      <c r="A3538" s="8"/>
      <c r="B3538" s="8"/>
      <c r="C3538" s="8"/>
      <c r="D3538" s="8"/>
      <c r="E3538" s="8"/>
      <c r="F3538" s="8"/>
      <c r="G3538" s="10" t="str">
        <f aca="false">IF($A3538="","",UPPER(SUBSTITUTE(SUBSTITUTE(SUBSTITUTE(SUBSTITUTE($A3538," ",""),"(주)",""),"주식회사",""),"㈜","")))</f>
        <v/>
      </c>
      <c r="H3538" s="10" t="str">
        <f aca="false">IF($B3538="","",SUBSTITUTE(SUBSTITUTE(SUBSTITUTE($B3538,"-","")," ",""),".",""))</f>
        <v/>
      </c>
      <c r="I3538" s="10" t="str">
        <f aca="false">IF($D3538="","",SUBSTITUTE(SUBSTITUTE(SUBSTITUTE($D3538,"-","")," ",""),".",""))</f>
        <v/>
      </c>
      <c r="J3538" s="10" t="str">
        <f aca="false">IF($E3538="","",UPPER(SUBSTITUTE($E3538," ","")))</f>
        <v/>
      </c>
      <c r="K3538" s="10" t="str">
        <f aca="false">IF($A3538="","",$G3538&amp;"|"&amp;$J3538)</f>
        <v/>
      </c>
      <c r="L3538" s="10" t="str">
        <f aca="false">IF($A3538="","",ROW()-2)</f>
        <v/>
      </c>
      <c r="M3538" s="10" t="str">
        <f aca="false">IF($A3538="","",ROW())</f>
        <v/>
      </c>
    </row>
    <row r="3539" customFormat="false" ht="15" hidden="false" customHeight="true" outlineLevel="0" collapsed="false">
      <c r="A3539" s="8"/>
      <c r="B3539" s="8"/>
      <c r="C3539" s="8"/>
      <c r="D3539" s="8"/>
      <c r="E3539" s="8"/>
      <c r="F3539" s="8"/>
      <c r="G3539" s="10" t="str">
        <f aca="false">IF($A3539="","",UPPER(SUBSTITUTE(SUBSTITUTE(SUBSTITUTE(SUBSTITUTE($A3539," ",""),"(주)",""),"주식회사",""),"㈜","")))</f>
        <v/>
      </c>
      <c r="H3539" s="10" t="str">
        <f aca="false">IF($B3539="","",SUBSTITUTE(SUBSTITUTE(SUBSTITUTE($B3539,"-","")," ",""),".",""))</f>
        <v/>
      </c>
      <c r="I3539" s="10" t="str">
        <f aca="false">IF($D3539="","",SUBSTITUTE(SUBSTITUTE(SUBSTITUTE($D3539,"-","")," ",""),".",""))</f>
        <v/>
      </c>
      <c r="J3539" s="10" t="str">
        <f aca="false">IF($E3539="","",UPPER(SUBSTITUTE($E3539," ","")))</f>
        <v/>
      </c>
      <c r="K3539" s="10" t="str">
        <f aca="false">IF($A3539="","",$G3539&amp;"|"&amp;$J3539)</f>
        <v/>
      </c>
      <c r="L3539" s="10" t="str">
        <f aca="false">IF($A3539="","",ROW()-2)</f>
        <v/>
      </c>
      <c r="M3539" s="10" t="str">
        <f aca="false">IF($A3539="","",ROW())</f>
        <v/>
      </c>
    </row>
    <row r="3540" customFormat="false" ht="15" hidden="false" customHeight="true" outlineLevel="0" collapsed="false">
      <c r="A3540" s="8"/>
      <c r="B3540" s="8"/>
      <c r="C3540" s="8"/>
      <c r="D3540" s="8"/>
      <c r="E3540" s="8"/>
      <c r="F3540" s="8"/>
      <c r="G3540" s="10" t="str">
        <f aca="false">IF($A3540="","",UPPER(SUBSTITUTE(SUBSTITUTE(SUBSTITUTE(SUBSTITUTE($A3540," ",""),"(주)",""),"주식회사",""),"㈜","")))</f>
        <v/>
      </c>
      <c r="H3540" s="10" t="str">
        <f aca="false">IF($B3540="","",SUBSTITUTE(SUBSTITUTE(SUBSTITUTE($B3540,"-","")," ",""),".",""))</f>
        <v/>
      </c>
      <c r="I3540" s="10" t="str">
        <f aca="false">IF($D3540="","",SUBSTITUTE(SUBSTITUTE(SUBSTITUTE($D3540,"-","")," ",""),".",""))</f>
        <v/>
      </c>
      <c r="J3540" s="10" t="str">
        <f aca="false">IF($E3540="","",UPPER(SUBSTITUTE($E3540," ","")))</f>
        <v/>
      </c>
      <c r="K3540" s="10" t="str">
        <f aca="false">IF($A3540="","",$G3540&amp;"|"&amp;$J3540)</f>
        <v/>
      </c>
      <c r="L3540" s="10" t="str">
        <f aca="false">IF($A3540="","",ROW()-2)</f>
        <v/>
      </c>
      <c r="M3540" s="10" t="str">
        <f aca="false">IF($A3540="","",ROW())</f>
        <v/>
      </c>
    </row>
    <row r="3541" customFormat="false" ht="15" hidden="false" customHeight="true" outlineLevel="0" collapsed="false">
      <c r="A3541" s="8"/>
      <c r="B3541" s="8"/>
      <c r="C3541" s="8"/>
      <c r="D3541" s="8"/>
      <c r="E3541" s="8"/>
      <c r="F3541" s="8"/>
      <c r="G3541" s="10" t="str">
        <f aca="false">IF($A3541="","",UPPER(SUBSTITUTE(SUBSTITUTE(SUBSTITUTE(SUBSTITUTE($A3541," ",""),"(주)",""),"주식회사",""),"㈜","")))</f>
        <v/>
      </c>
      <c r="H3541" s="10" t="str">
        <f aca="false">IF($B3541="","",SUBSTITUTE(SUBSTITUTE(SUBSTITUTE($B3541,"-","")," ",""),".",""))</f>
        <v/>
      </c>
      <c r="I3541" s="10" t="str">
        <f aca="false">IF($D3541="","",SUBSTITUTE(SUBSTITUTE(SUBSTITUTE($D3541,"-","")," ",""),".",""))</f>
        <v/>
      </c>
      <c r="J3541" s="10" t="str">
        <f aca="false">IF($E3541="","",UPPER(SUBSTITUTE($E3541," ","")))</f>
        <v/>
      </c>
      <c r="K3541" s="10" t="str">
        <f aca="false">IF($A3541="","",$G3541&amp;"|"&amp;$J3541)</f>
        <v/>
      </c>
      <c r="L3541" s="10" t="str">
        <f aca="false">IF($A3541="","",ROW()-2)</f>
        <v/>
      </c>
      <c r="M3541" s="10" t="str">
        <f aca="false">IF($A3541="","",ROW())</f>
        <v/>
      </c>
    </row>
    <row r="3542" customFormat="false" ht="15" hidden="false" customHeight="true" outlineLevel="0" collapsed="false">
      <c r="A3542" s="8"/>
      <c r="B3542" s="8"/>
      <c r="C3542" s="8"/>
      <c r="D3542" s="8"/>
      <c r="E3542" s="8"/>
      <c r="F3542" s="8"/>
      <c r="G3542" s="10" t="str">
        <f aca="false">IF($A3542="","",UPPER(SUBSTITUTE(SUBSTITUTE(SUBSTITUTE(SUBSTITUTE($A3542," ",""),"(주)",""),"주식회사",""),"㈜","")))</f>
        <v/>
      </c>
      <c r="H3542" s="10" t="str">
        <f aca="false">IF($B3542="","",SUBSTITUTE(SUBSTITUTE(SUBSTITUTE($B3542,"-","")," ",""),".",""))</f>
        <v/>
      </c>
      <c r="I3542" s="10" t="str">
        <f aca="false">IF($D3542="","",SUBSTITUTE(SUBSTITUTE(SUBSTITUTE($D3542,"-","")," ",""),".",""))</f>
        <v/>
      </c>
      <c r="J3542" s="10" t="str">
        <f aca="false">IF($E3542="","",UPPER(SUBSTITUTE($E3542," ","")))</f>
        <v/>
      </c>
      <c r="K3542" s="10" t="str">
        <f aca="false">IF($A3542="","",$G3542&amp;"|"&amp;$J3542)</f>
        <v/>
      </c>
      <c r="L3542" s="10" t="str">
        <f aca="false">IF($A3542="","",ROW()-2)</f>
        <v/>
      </c>
      <c r="M3542" s="10" t="str">
        <f aca="false">IF($A3542="","",ROW())</f>
        <v/>
      </c>
    </row>
    <row r="3543" customFormat="false" ht="15" hidden="false" customHeight="true" outlineLevel="0" collapsed="false">
      <c r="A3543" s="8"/>
      <c r="B3543" s="8"/>
      <c r="C3543" s="8"/>
      <c r="D3543" s="8"/>
      <c r="E3543" s="8"/>
      <c r="F3543" s="8"/>
      <c r="G3543" s="10" t="str">
        <f aca="false">IF($A3543="","",UPPER(SUBSTITUTE(SUBSTITUTE(SUBSTITUTE(SUBSTITUTE($A3543," ",""),"(주)",""),"주식회사",""),"㈜","")))</f>
        <v/>
      </c>
      <c r="H3543" s="10" t="str">
        <f aca="false">IF($B3543="","",SUBSTITUTE(SUBSTITUTE(SUBSTITUTE($B3543,"-","")," ",""),".",""))</f>
        <v/>
      </c>
      <c r="I3543" s="10" t="str">
        <f aca="false">IF($D3543="","",SUBSTITUTE(SUBSTITUTE(SUBSTITUTE($D3543,"-","")," ",""),".",""))</f>
        <v/>
      </c>
      <c r="J3543" s="10" t="str">
        <f aca="false">IF($E3543="","",UPPER(SUBSTITUTE($E3543," ","")))</f>
        <v/>
      </c>
      <c r="K3543" s="10" t="str">
        <f aca="false">IF($A3543="","",$G3543&amp;"|"&amp;$J3543)</f>
        <v/>
      </c>
      <c r="L3543" s="10" t="str">
        <f aca="false">IF($A3543="","",ROW()-2)</f>
        <v/>
      </c>
      <c r="M3543" s="10" t="str">
        <f aca="false">IF($A3543="","",ROW())</f>
        <v/>
      </c>
    </row>
    <row r="3544" customFormat="false" ht="15" hidden="false" customHeight="true" outlineLevel="0" collapsed="false">
      <c r="A3544" s="8"/>
      <c r="B3544" s="8"/>
      <c r="C3544" s="8"/>
      <c r="D3544" s="8"/>
      <c r="E3544" s="8"/>
      <c r="F3544" s="8"/>
      <c r="G3544" s="10" t="str">
        <f aca="false">IF($A3544="","",UPPER(SUBSTITUTE(SUBSTITUTE(SUBSTITUTE(SUBSTITUTE($A3544," ",""),"(주)",""),"주식회사",""),"㈜","")))</f>
        <v/>
      </c>
      <c r="H3544" s="10" t="str">
        <f aca="false">IF($B3544="","",SUBSTITUTE(SUBSTITUTE(SUBSTITUTE($B3544,"-","")," ",""),".",""))</f>
        <v/>
      </c>
      <c r="I3544" s="10" t="str">
        <f aca="false">IF($D3544="","",SUBSTITUTE(SUBSTITUTE(SUBSTITUTE($D3544,"-","")," ",""),".",""))</f>
        <v/>
      </c>
      <c r="J3544" s="10" t="str">
        <f aca="false">IF($E3544="","",UPPER(SUBSTITUTE($E3544," ","")))</f>
        <v/>
      </c>
      <c r="K3544" s="10" t="str">
        <f aca="false">IF($A3544="","",$G3544&amp;"|"&amp;$J3544)</f>
        <v/>
      </c>
      <c r="L3544" s="10" t="str">
        <f aca="false">IF($A3544="","",ROW()-2)</f>
        <v/>
      </c>
      <c r="M3544" s="10" t="str">
        <f aca="false">IF($A3544="","",ROW())</f>
        <v/>
      </c>
    </row>
    <row r="3545" customFormat="false" ht="15" hidden="false" customHeight="true" outlineLevel="0" collapsed="false">
      <c r="A3545" s="8"/>
      <c r="B3545" s="8"/>
      <c r="C3545" s="8"/>
      <c r="D3545" s="8"/>
      <c r="E3545" s="8"/>
      <c r="F3545" s="8"/>
      <c r="G3545" s="10" t="str">
        <f aca="false">IF($A3545="","",UPPER(SUBSTITUTE(SUBSTITUTE(SUBSTITUTE(SUBSTITUTE($A3545," ",""),"(주)",""),"주식회사",""),"㈜","")))</f>
        <v/>
      </c>
      <c r="H3545" s="10" t="str">
        <f aca="false">IF($B3545="","",SUBSTITUTE(SUBSTITUTE(SUBSTITUTE($B3545,"-","")," ",""),".",""))</f>
        <v/>
      </c>
      <c r="I3545" s="10" t="str">
        <f aca="false">IF($D3545="","",SUBSTITUTE(SUBSTITUTE(SUBSTITUTE($D3545,"-","")," ",""),".",""))</f>
        <v/>
      </c>
      <c r="J3545" s="10" t="str">
        <f aca="false">IF($E3545="","",UPPER(SUBSTITUTE($E3545," ","")))</f>
        <v/>
      </c>
      <c r="K3545" s="10" t="str">
        <f aca="false">IF($A3545="","",$G3545&amp;"|"&amp;$J3545)</f>
        <v/>
      </c>
      <c r="L3545" s="10" t="str">
        <f aca="false">IF($A3545="","",ROW()-2)</f>
        <v/>
      </c>
      <c r="M3545" s="10" t="str">
        <f aca="false">IF($A3545="","",ROW())</f>
        <v/>
      </c>
    </row>
    <row r="3546" customFormat="false" ht="15" hidden="false" customHeight="true" outlineLevel="0" collapsed="false">
      <c r="A3546" s="8"/>
      <c r="B3546" s="8"/>
      <c r="C3546" s="8"/>
      <c r="D3546" s="8"/>
      <c r="E3546" s="8"/>
      <c r="F3546" s="8"/>
      <c r="G3546" s="10" t="str">
        <f aca="false">IF($A3546="","",UPPER(SUBSTITUTE(SUBSTITUTE(SUBSTITUTE(SUBSTITUTE($A3546," ",""),"(주)",""),"주식회사",""),"㈜","")))</f>
        <v/>
      </c>
      <c r="H3546" s="10" t="str">
        <f aca="false">IF($B3546="","",SUBSTITUTE(SUBSTITUTE(SUBSTITUTE($B3546,"-","")," ",""),".",""))</f>
        <v/>
      </c>
      <c r="I3546" s="10" t="str">
        <f aca="false">IF($D3546="","",SUBSTITUTE(SUBSTITUTE(SUBSTITUTE($D3546,"-","")," ",""),".",""))</f>
        <v/>
      </c>
      <c r="J3546" s="10" t="str">
        <f aca="false">IF($E3546="","",UPPER(SUBSTITUTE($E3546," ","")))</f>
        <v/>
      </c>
      <c r="K3546" s="10" t="str">
        <f aca="false">IF($A3546="","",$G3546&amp;"|"&amp;$J3546)</f>
        <v/>
      </c>
      <c r="L3546" s="10" t="str">
        <f aca="false">IF($A3546="","",ROW()-2)</f>
        <v/>
      </c>
      <c r="M3546" s="10" t="str">
        <f aca="false">IF($A3546="","",ROW())</f>
        <v/>
      </c>
    </row>
    <row r="3547" customFormat="false" ht="15" hidden="false" customHeight="true" outlineLevel="0" collapsed="false">
      <c r="A3547" s="8"/>
      <c r="B3547" s="8"/>
      <c r="C3547" s="8"/>
      <c r="D3547" s="8"/>
      <c r="E3547" s="8"/>
      <c r="F3547" s="8"/>
      <c r="G3547" s="10" t="str">
        <f aca="false">IF($A3547="","",UPPER(SUBSTITUTE(SUBSTITUTE(SUBSTITUTE(SUBSTITUTE($A3547," ",""),"(주)",""),"주식회사",""),"㈜","")))</f>
        <v/>
      </c>
      <c r="H3547" s="10" t="str">
        <f aca="false">IF($B3547="","",SUBSTITUTE(SUBSTITUTE(SUBSTITUTE($B3547,"-","")," ",""),".",""))</f>
        <v/>
      </c>
      <c r="I3547" s="10" t="str">
        <f aca="false">IF($D3547="","",SUBSTITUTE(SUBSTITUTE(SUBSTITUTE($D3547,"-","")," ",""),".",""))</f>
        <v/>
      </c>
      <c r="J3547" s="10" t="str">
        <f aca="false">IF($E3547="","",UPPER(SUBSTITUTE($E3547," ","")))</f>
        <v/>
      </c>
      <c r="K3547" s="10" t="str">
        <f aca="false">IF($A3547="","",$G3547&amp;"|"&amp;$J3547)</f>
        <v/>
      </c>
      <c r="L3547" s="10" t="str">
        <f aca="false">IF($A3547="","",ROW()-2)</f>
        <v/>
      </c>
      <c r="M3547" s="10" t="str">
        <f aca="false">IF($A3547="","",ROW())</f>
        <v/>
      </c>
    </row>
    <row r="3548" customFormat="false" ht="15" hidden="false" customHeight="true" outlineLevel="0" collapsed="false">
      <c r="A3548" s="8"/>
      <c r="B3548" s="8"/>
      <c r="C3548" s="8"/>
      <c r="D3548" s="8"/>
      <c r="E3548" s="8"/>
      <c r="F3548" s="8"/>
      <c r="G3548" s="10" t="str">
        <f aca="false">IF($A3548="","",UPPER(SUBSTITUTE(SUBSTITUTE(SUBSTITUTE(SUBSTITUTE($A3548," ",""),"(주)",""),"주식회사",""),"㈜","")))</f>
        <v/>
      </c>
      <c r="H3548" s="10" t="str">
        <f aca="false">IF($B3548="","",SUBSTITUTE(SUBSTITUTE(SUBSTITUTE($B3548,"-","")," ",""),".",""))</f>
        <v/>
      </c>
      <c r="I3548" s="10" t="str">
        <f aca="false">IF($D3548="","",SUBSTITUTE(SUBSTITUTE(SUBSTITUTE($D3548,"-","")," ",""),".",""))</f>
        <v/>
      </c>
      <c r="J3548" s="10" t="str">
        <f aca="false">IF($E3548="","",UPPER(SUBSTITUTE($E3548," ","")))</f>
        <v/>
      </c>
      <c r="K3548" s="10" t="str">
        <f aca="false">IF($A3548="","",$G3548&amp;"|"&amp;$J3548)</f>
        <v/>
      </c>
      <c r="L3548" s="10" t="str">
        <f aca="false">IF($A3548="","",ROW()-2)</f>
        <v/>
      </c>
      <c r="M3548" s="10" t="str">
        <f aca="false">IF($A3548="","",ROW())</f>
        <v/>
      </c>
    </row>
    <row r="3549" customFormat="false" ht="15" hidden="false" customHeight="true" outlineLevel="0" collapsed="false">
      <c r="A3549" s="8"/>
      <c r="B3549" s="8"/>
      <c r="C3549" s="8"/>
      <c r="D3549" s="8"/>
      <c r="E3549" s="8"/>
      <c r="F3549" s="8"/>
      <c r="G3549" s="10" t="str">
        <f aca="false">IF($A3549="","",UPPER(SUBSTITUTE(SUBSTITUTE(SUBSTITUTE(SUBSTITUTE($A3549," ",""),"(주)",""),"주식회사",""),"㈜","")))</f>
        <v/>
      </c>
      <c r="H3549" s="10" t="str">
        <f aca="false">IF($B3549="","",SUBSTITUTE(SUBSTITUTE(SUBSTITUTE($B3549,"-","")," ",""),".",""))</f>
        <v/>
      </c>
      <c r="I3549" s="10" t="str">
        <f aca="false">IF($D3549="","",SUBSTITUTE(SUBSTITUTE(SUBSTITUTE($D3549,"-","")," ",""),".",""))</f>
        <v/>
      </c>
      <c r="J3549" s="10" t="str">
        <f aca="false">IF($E3549="","",UPPER(SUBSTITUTE($E3549," ","")))</f>
        <v/>
      </c>
      <c r="K3549" s="10" t="str">
        <f aca="false">IF($A3549="","",$G3549&amp;"|"&amp;$J3549)</f>
        <v/>
      </c>
      <c r="L3549" s="10" t="str">
        <f aca="false">IF($A3549="","",ROW()-2)</f>
        <v/>
      </c>
      <c r="M3549" s="10" t="str">
        <f aca="false">IF($A3549="","",ROW())</f>
        <v/>
      </c>
    </row>
    <row r="3550" customFormat="false" ht="15" hidden="false" customHeight="true" outlineLevel="0" collapsed="false">
      <c r="A3550" s="8"/>
      <c r="B3550" s="8"/>
      <c r="C3550" s="8"/>
      <c r="D3550" s="8"/>
      <c r="E3550" s="8"/>
      <c r="F3550" s="8"/>
      <c r="G3550" s="10" t="str">
        <f aca="false">IF($A3550="","",UPPER(SUBSTITUTE(SUBSTITUTE(SUBSTITUTE(SUBSTITUTE($A3550," ",""),"(주)",""),"주식회사",""),"㈜","")))</f>
        <v/>
      </c>
      <c r="H3550" s="10" t="str">
        <f aca="false">IF($B3550="","",SUBSTITUTE(SUBSTITUTE(SUBSTITUTE($B3550,"-","")," ",""),".",""))</f>
        <v/>
      </c>
      <c r="I3550" s="10" t="str">
        <f aca="false">IF($D3550="","",SUBSTITUTE(SUBSTITUTE(SUBSTITUTE($D3550,"-","")," ",""),".",""))</f>
        <v/>
      </c>
      <c r="J3550" s="10" t="str">
        <f aca="false">IF($E3550="","",UPPER(SUBSTITUTE($E3550," ","")))</f>
        <v/>
      </c>
      <c r="K3550" s="10" t="str">
        <f aca="false">IF($A3550="","",$G3550&amp;"|"&amp;$J3550)</f>
        <v/>
      </c>
      <c r="L3550" s="10" t="str">
        <f aca="false">IF($A3550="","",ROW()-2)</f>
        <v/>
      </c>
      <c r="M3550" s="10" t="str">
        <f aca="false">IF($A3550="","",ROW())</f>
        <v/>
      </c>
    </row>
    <row r="3551" customFormat="false" ht="15" hidden="false" customHeight="true" outlineLevel="0" collapsed="false">
      <c r="A3551" s="8"/>
      <c r="B3551" s="8"/>
      <c r="C3551" s="8"/>
      <c r="D3551" s="8"/>
      <c r="E3551" s="8"/>
      <c r="F3551" s="8"/>
      <c r="G3551" s="10" t="str">
        <f aca="false">IF($A3551="","",UPPER(SUBSTITUTE(SUBSTITUTE(SUBSTITUTE(SUBSTITUTE($A3551," ",""),"(주)",""),"주식회사",""),"㈜","")))</f>
        <v/>
      </c>
      <c r="H3551" s="10" t="str">
        <f aca="false">IF($B3551="","",SUBSTITUTE(SUBSTITUTE(SUBSTITUTE($B3551,"-","")," ",""),".",""))</f>
        <v/>
      </c>
      <c r="I3551" s="10" t="str">
        <f aca="false">IF($D3551="","",SUBSTITUTE(SUBSTITUTE(SUBSTITUTE($D3551,"-","")," ",""),".",""))</f>
        <v/>
      </c>
      <c r="J3551" s="10" t="str">
        <f aca="false">IF($E3551="","",UPPER(SUBSTITUTE($E3551," ","")))</f>
        <v/>
      </c>
      <c r="K3551" s="10" t="str">
        <f aca="false">IF($A3551="","",$G3551&amp;"|"&amp;$J3551)</f>
        <v/>
      </c>
      <c r="L3551" s="10" t="str">
        <f aca="false">IF($A3551="","",ROW()-2)</f>
        <v/>
      </c>
      <c r="M3551" s="10" t="str">
        <f aca="false">IF($A3551="","",ROW())</f>
        <v/>
      </c>
    </row>
    <row r="3552" customFormat="false" ht="15" hidden="false" customHeight="true" outlineLevel="0" collapsed="false">
      <c r="A3552" s="8"/>
      <c r="B3552" s="8"/>
      <c r="C3552" s="8"/>
      <c r="D3552" s="8"/>
      <c r="E3552" s="8"/>
      <c r="F3552" s="8"/>
      <c r="G3552" s="10" t="str">
        <f aca="false">IF($A3552="","",UPPER(SUBSTITUTE(SUBSTITUTE(SUBSTITUTE(SUBSTITUTE($A3552," ",""),"(주)",""),"주식회사",""),"㈜","")))</f>
        <v/>
      </c>
      <c r="H3552" s="10" t="str">
        <f aca="false">IF($B3552="","",SUBSTITUTE(SUBSTITUTE(SUBSTITUTE($B3552,"-","")," ",""),".",""))</f>
        <v/>
      </c>
      <c r="I3552" s="10" t="str">
        <f aca="false">IF($D3552="","",SUBSTITUTE(SUBSTITUTE(SUBSTITUTE($D3552,"-","")," ",""),".",""))</f>
        <v/>
      </c>
      <c r="J3552" s="10" t="str">
        <f aca="false">IF($E3552="","",UPPER(SUBSTITUTE($E3552," ","")))</f>
        <v/>
      </c>
      <c r="K3552" s="10" t="str">
        <f aca="false">IF($A3552="","",$G3552&amp;"|"&amp;$J3552)</f>
        <v/>
      </c>
      <c r="L3552" s="10" t="str">
        <f aca="false">IF($A3552="","",ROW()-2)</f>
        <v/>
      </c>
      <c r="M3552" s="10" t="str">
        <f aca="false">IF($A3552="","",ROW())</f>
        <v/>
      </c>
    </row>
    <row r="3553" customFormat="false" ht="15" hidden="false" customHeight="true" outlineLevel="0" collapsed="false">
      <c r="A3553" s="8"/>
      <c r="B3553" s="8"/>
      <c r="C3553" s="8"/>
      <c r="D3553" s="8"/>
      <c r="E3553" s="8"/>
      <c r="F3553" s="8"/>
      <c r="G3553" s="10" t="str">
        <f aca="false">IF($A3553="","",UPPER(SUBSTITUTE(SUBSTITUTE(SUBSTITUTE(SUBSTITUTE($A3553," ",""),"(주)",""),"주식회사",""),"㈜","")))</f>
        <v/>
      </c>
      <c r="H3553" s="10" t="str">
        <f aca="false">IF($B3553="","",SUBSTITUTE(SUBSTITUTE(SUBSTITUTE($B3553,"-","")," ",""),".",""))</f>
        <v/>
      </c>
      <c r="I3553" s="10" t="str">
        <f aca="false">IF($D3553="","",SUBSTITUTE(SUBSTITUTE(SUBSTITUTE($D3553,"-","")," ",""),".",""))</f>
        <v/>
      </c>
      <c r="J3553" s="10" t="str">
        <f aca="false">IF($E3553="","",UPPER(SUBSTITUTE($E3553," ","")))</f>
        <v/>
      </c>
      <c r="K3553" s="10" t="str">
        <f aca="false">IF($A3553="","",$G3553&amp;"|"&amp;$J3553)</f>
        <v/>
      </c>
      <c r="L3553" s="10" t="str">
        <f aca="false">IF($A3553="","",ROW()-2)</f>
        <v/>
      </c>
      <c r="M3553" s="10" t="str">
        <f aca="false">IF($A3553="","",ROW())</f>
        <v/>
      </c>
    </row>
    <row r="3554" customFormat="false" ht="15" hidden="false" customHeight="true" outlineLevel="0" collapsed="false">
      <c r="A3554" s="8"/>
      <c r="B3554" s="8"/>
      <c r="C3554" s="8"/>
      <c r="D3554" s="8"/>
      <c r="E3554" s="8"/>
      <c r="F3554" s="8"/>
      <c r="G3554" s="10" t="str">
        <f aca="false">IF($A3554="","",UPPER(SUBSTITUTE(SUBSTITUTE(SUBSTITUTE(SUBSTITUTE($A3554," ",""),"(주)",""),"주식회사",""),"㈜","")))</f>
        <v/>
      </c>
      <c r="H3554" s="10" t="str">
        <f aca="false">IF($B3554="","",SUBSTITUTE(SUBSTITUTE(SUBSTITUTE($B3554,"-","")," ",""),".",""))</f>
        <v/>
      </c>
      <c r="I3554" s="10" t="str">
        <f aca="false">IF($D3554="","",SUBSTITUTE(SUBSTITUTE(SUBSTITUTE($D3554,"-","")," ",""),".",""))</f>
        <v/>
      </c>
      <c r="J3554" s="10" t="str">
        <f aca="false">IF($E3554="","",UPPER(SUBSTITUTE($E3554," ","")))</f>
        <v/>
      </c>
      <c r="K3554" s="10" t="str">
        <f aca="false">IF($A3554="","",$G3554&amp;"|"&amp;$J3554)</f>
        <v/>
      </c>
      <c r="L3554" s="10" t="str">
        <f aca="false">IF($A3554="","",ROW()-2)</f>
        <v/>
      </c>
      <c r="M3554" s="10" t="str">
        <f aca="false">IF($A3554="","",ROW())</f>
        <v/>
      </c>
    </row>
    <row r="3555" customFormat="false" ht="15" hidden="false" customHeight="true" outlineLevel="0" collapsed="false">
      <c r="A3555" s="8"/>
      <c r="B3555" s="8"/>
      <c r="C3555" s="8"/>
      <c r="D3555" s="8"/>
      <c r="E3555" s="8"/>
      <c r="F3555" s="8"/>
      <c r="G3555" s="10" t="str">
        <f aca="false">IF($A3555="","",UPPER(SUBSTITUTE(SUBSTITUTE(SUBSTITUTE(SUBSTITUTE($A3555," ",""),"(주)",""),"주식회사",""),"㈜","")))</f>
        <v/>
      </c>
      <c r="H3555" s="10" t="str">
        <f aca="false">IF($B3555="","",SUBSTITUTE(SUBSTITUTE(SUBSTITUTE($B3555,"-","")," ",""),".",""))</f>
        <v/>
      </c>
      <c r="I3555" s="10" t="str">
        <f aca="false">IF($D3555="","",SUBSTITUTE(SUBSTITUTE(SUBSTITUTE($D3555,"-","")," ",""),".",""))</f>
        <v/>
      </c>
      <c r="J3555" s="10" t="str">
        <f aca="false">IF($E3555="","",UPPER(SUBSTITUTE($E3555," ","")))</f>
        <v/>
      </c>
      <c r="K3555" s="10" t="str">
        <f aca="false">IF($A3555="","",$G3555&amp;"|"&amp;$J3555)</f>
        <v/>
      </c>
      <c r="L3555" s="10" t="str">
        <f aca="false">IF($A3555="","",ROW()-2)</f>
        <v/>
      </c>
      <c r="M3555" s="10" t="str">
        <f aca="false">IF($A3555="","",ROW())</f>
        <v/>
      </c>
    </row>
    <row r="3556" customFormat="false" ht="15" hidden="false" customHeight="true" outlineLevel="0" collapsed="false">
      <c r="A3556" s="8"/>
      <c r="B3556" s="8"/>
      <c r="C3556" s="8"/>
      <c r="D3556" s="8"/>
      <c r="E3556" s="8"/>
      <c r="F3556" s="8"/>
      <c r="G3556" s="10" t="str">
        <f aca="false">IF($A3556="","",UPPER(SUBSTITUTE(SUBSTITUTE(SUBSTITUTE(SUBSTITUTE($A3556," ",""),"(주)",""),"주식회사",""),"㈜","")))</f>
        <v/>
      </c>
      <c r="H3556" s="10" t="str">
        <f aca="false">IF($B3556="","",SUBSTITUTE(SUBSTITUTE(SUBSTITUTE($B3556,"-","")," ",""),".",""))</f>
        <v/>
      </c>
      <c r="I3556" s="10" t="str">
        <f aca="false">IF($D3556="","",SUBSTITUTE(SUBSTITUTE(SUBSTITUTE($D3556,"-","")," ",""),".",""))</f>
        <v/>
      </c>
      <c r="J3556" s="10" t="str">
        <f aca="false">IF($E3556="","",UPPER(SUBSTITUTE($E3556," ","")))</f>
        <v/>
      </c>
      <c r="K3556" s="10" t="str">
        <f aca="false">IF($A3556="","",$G3556&amp;"|"&amp;$J3556)</f>
        <v/>
      </c>
      <c r="L3556" s="10" t="str">
        <f aca="false">IF($A3556="","",ROW()-2)</f>
        <v/>
      </c>
      <c r="M3556" s="10" t="str">
        <f aca="false">IF($A3556="","",ROW())</f>
        <v/>
      </c>
    </row>
    <row r="3557" customFormat="false" ht="15" hidden="false" customHeight="true" outlineLevel="0" collapsed="false">
      <c r="A3557" s="8"/>
      <c r="B3557" s="8"/>
      <c r="C3557" s="8"/>
      <c r="D3557" s="8"/>
      <c r="E3557" s="8"/>
      <c r="F3557" s="8"/>
      <c r="G3557" s="10" t="str">
        <f aca="false">IF($A3557="","",UPPER(SUBSTITUTE(SUBSTITUTE(SUBSTITUTE(SUBSTITUTE($A3557," ",""),"(주)",""),"주식회사",""),"㈜","")))</f>
        <v/>
      </c>
      <c r="H3557" s="10" t="str">
        <f aca="false">IF($B3557="","",SUBSTITUTE(SUBSTITUTE(SUBSTITUTE($B3557,"-","")," ",""),".",""))</f>
        <v/>
      </c>
      <c r="I3557" s="10" t="str">
        <f aca="false">IF($D3557="","",SUBSTITUTE(SUBSTITUTE(SUBSTITUTE($D3557,"-","")," ",""),".",""))</f>
        <v/>
      </c>
      <c r="J3557" s="10" t="str">
        <f aca="false">IF($E3557="","",UPPER(SUBSTITUTE($E3557," ","")))</f>
        <v/>
      </c>
      <c r="K3557" s="10" t="str">
        <f aca="false">IF($A3557="","",$G3557&amp;"|"&amp;$J3557)</f>
        <v/>
      </c>
      <c r="L3557" s="10" t="str">
        <f aca="false">IF($A3557="","",ROW()-2)</f>
        <v/>
      </c>
      <c r="M3557" s="10" t="str">
        <f aca="false">IF($A3557="","",ROW())</f>
        <v/>
      </c>
    </row>
    <row r="3558" customFormat="false" ht="15" hidden="false" customHeight="true" outlineLevel="0" collapsed="false">
      <c r="A3558" s="8"/>
      <c r="B3558" s="8"/>
      <c r="C3558" s="8"/>
      <c r="D3558" s="8"/>
      <c r="E3558" s="8"/>
      <c r="F3558" s="8"/>
      <c r="G3558" s="10" t="str">
        <f aca="false">IF($A3558="","",UPPER(SUBSTITUTE(SUBSTITUTE(SUBSTITUTE(SUBSTITUTE($A3558," ",""),"(주)",""),"주식회사",""),"㈜","")))</f>
        <v/>
      </c>
      <c r="H3558" s="10" t="str">
        <f aca="false">IF($B3558="","",SUBSTITUTE(SUBSTITUTE(SUBSTITUTE($B3558,"-","")," ",""),".",""))</f>
        <v/>
      </c>
      <c r="I3558" s="10" t="str">
        <f aca="false">IF($D3558="","",SUBSTITUTE(SUBSTITUTE(SUBSTITUTE($D3558,"-","")," ",""),".",""))</f>
        <v/>
      </c>
      <c r="J3558" s="10" t="str">
        <f aca="false">IF($E3558="","",UPPER(SUBSTITUTE($E3558," ","")))</f>
        <v/>
      </c>
      <c r="K3558" s="10" t="str">
        <f aca="false">IF($A3558="","",$G3558&amp;"|"&amp;$J3558)</f>
        <v/>
      </c>
      <c r="L3558" s="10" t="str">
        <f aca="false">IF($A3558="","",ROW()-2)</f>
        <v/>
      </c>
      <c r="M3558" s="10" t="str">
        <f aca="false">IF($A3558="","",ROW())</f>
        <v/>
      </c>
    </row>
    <row r="3559" customFormat="false" ht="15" hidden="false" customHeight="true" outlineLevel="0" collapsed="false">
      <c r="A3559" s="8"/>
      <c r="B3559" s="8"/>
      <c r="C3559" s="8"/>
      <c r="D3559" s="8"/>
      <c r="E3559" s="8"/>
      <c r="F3559" s="8"/>
      <c r="G3559" s="10" t="str">
        <f aca="false">IF($A3559="","",UPPER(SUBSTITUTE(SUBSTITUTE(SUBSTITUTE(SUBSTITUTE($A3559," ",""),"(주)",""),"주식회사",""),"㈜","")))</f>
        <v/>
      </c>
      <c r="H3559" s="10" t="str">
        <f aca="false">IF($B3559="","",SUBSTITUTE(SUBSTITUTE(SUBSTITUTE($B3559,"-","")," ",""),".",""))</f>
        <v/>
      </c>
      <c r="I3559" s="10" t="str">
        <f aca="false">IF($D3559="","",SUBSTITUTE(SUBSTITUTE(SUBSTITUTE($D3559,"-","")," ",""),".",""))</f>
        <v/>
      </c>
      <c r="J3559" s="10" t="str">
        <f aca="false">IF($E3559="","",UPPER(SUBSTITUTE($E3559," ","")))</f>
        <v/>
      </c>
      <c r="K3559" s="10" t="str">
        <f aca="false">IF($A3559="","",$G3559&amp;"|"&amp;$J3559)</f>
        <v/>
      </c>
      <c r="L3559" s="10" t="str">
        <f aca="false">IF($A3559="","",ROW()-2)</f>
        <v/>
      </c>
      <c r="M3559" s="10" t="str">
        <f aca="false">IF($A3559="","",ROW())</f>
        <v/>
      </c>
    </row>
    <row r="3560" customFormat="false" ht="15" hidden="false" customHeight="true" outlineLevel="0" collapsed="false">
      <c r="A3560" s="8"/>
      <c r="B3560" s="8"/>
      <c r="C3560" s="8"/>
      <c r="D3560" s="8"/>
      <c r="E3560" s="8"/>
      <c r="F3560" s="8"/>
      <c r="G3560" s="10" t="str">
        <f aca="false">IF($A3560="","",UPPER(SUBSTITUTE(SUBSTITUTE(SUBSTITUTE(SUBSTITUTE($A3560," ",""),"(주)",""),"주식회사",""),"㈜","")))</f>
        <v/>
      </c>
      <c r="H3560" s="10" t="str">
        <f aca="false">IF($B3560="","",SUBSTITUTE(SUBSTITUTE(SUBSTITUTE($B3560,"-","")," ",""),".",""))</f>
        <v/>
      </c>
      <c r="I3560" s="10" t="str">
        <f aca="false">IF($D3560="","",SUBSTITUTE(SUBSTITUTE(SUBSTITUTE($D3560,"-","")," ",""),".",""))</f>
        <v/>
      </c>
      <c r="J3560" s="10" t="str">
        <f aca="false">IF($E3560="","",UPPER(SUBSTITUTE($E3560," ","")))</f>
        <v/>
      </c>
      <c r="K3560" s="10" t="str">
        <f aca="false">IF($A3560="","",$G3560&amp;"|"&amp;$J3560)</f>
        <v/>
      </c>
      <c r="L3560" s="10" t="str">
        <f aca="false">IF($A3560="","",ROW()-2)</f>
        <v/>
      </c>
      <c r="M3560" s="10" t="str">
        <f aca="false">IF($A3560="","",ROW())</f>
        <v/>
      </c>
    </row>
    <row r="3561" customFormat="false" ht="15" hidden="false" customHeight="true" outlineLevel="0" collapsed="false">
      <c r="A3561" s="8"/>
      <c r="B3561" s="8"/>
      <c r="C3561" s="8"/>
      <c r="D3561" s="8"/>
      <c r="E3561" s="8"/>
      <c r="F3561" s="8"/>
      <c r="G3561" s="10" t="str">
        <f aca="false">IF($A3561="","",UPPER(SUBSTITUTE(SUBSTITUTE(SUBSTITUTE(SUBSTITUTE($A3561," ",""),"(주)",""),"주식회사",""),"㈜","")))</f>
        <v/>
      </c>
      <c r="H3561" s="10" t="str">
        <f aca="false">IF($B3561="","",SUBSTITUTE(SUBSTITUTE(SUBSTITUTE($B3561,"-","")," ",""),".",""))</f>
        <v/>
      </c>
      <c r="I3561" s="10" t="str">
        <f aca="false">IF($D3561="","",SUBSTITUTE(SUBSTITUTE(SUBSTITUTE($D3561,"-","")," ",""),".",""))</f>
        <v/>
      </c>
      <c r="J3561" s="10" t="str">
        <f aca="false">IF($E3561="","",UPPER(SUBSTITUTE($E3561," ","")))</f>
        <v/>
      </c>
      <c r="K3561" s="10" t="str">
        <f aca="false">IF($A3561="","",$G3561&amp;"|"&amp;$J3561)</f>
        <v/>
      </c>
      <c r="L3561" s="10" t="str">
        <f aca="false">IF($A3561="","",ROW()-2)</f>
        <v/>
      </c>
      <c r="M3561" s="10" t="str">
        <f aca="false">IF($A3561="","",ROW())</f>
        <v/>
      </c>
    </row>
    <row r="3562" customFormat="false" ht="15" hidden="false" customHeight="true" outlineLevel="0" collapsed="false">
      <c r="A3562" s="8"/>
      <c r="B3562" s="8"/>
      <c r="C3562" s="8"/>
      <c r="D3562" s="8"/>
      <c r="E3562" s="8"/>
      <c r="F3562" s="8"/>
      <c r="G3562" s="10" t="str">
        <f aca="false">IF($A3562="","",UPPER(SUBSTITUTE(SUBSTITUTE(SUBSTITUTE(SUBSTITUTE($A3562," ",""),"(주)",""),"주식회사",""),"㈜","")))</f>
        <v/>
      </c>
      <c r="H3562" s="10" t="str">
        <f aca="false">IF($B3562="","",SUBSTITUTE(SUBSTITUTE(SUBSTITUTE($B3562,"-","")," ",""),".",""))</f>
        <v/>
      </c>
      <c r="I3562" s="10" t="str">
        <f aca="false">IF($D3562="","",SUBSTITUTE(SUBSTITUTE(SUBSTITUTE($D3562,"-","")," ",""),".",""))</f>
        <v/>
      </c>
      <c r="J3562" s="10" t="str">
        <f aca="false">IF($E3562="","",UPPER(SUBSTITUTE($E3562," ","")))</f>
        <v/>
      </c>
      <c r="K3562" s="10" t="str">
        <f aca="false">IF($A3562="","",$G3562&amp;"|"&amp;$J3562)</f>
        <v/>
      </c>
      <c r="L3562" s="10" t="str">
        <f aca="false">IF($A3562="","",ROW()-2)</f>
        <v/>
      </c>
      <c r="M3562" s="10" t="str">
        <f aca="false">IF($A3562="","",ROW())</f>
        <v/>
      </c>
    </row>
    <row r="3563" customFormat="false" ht="15" hidden="false" customHeight="true" outlineLevel="0" collapsed="false">
      <c r="A3563" s="8"/>
      <c r="B3563" s="8"/>
      <c r="C3563" s="8"/>
      <c r="D3563" s="8"/>
      <c r="E3563" s="8"/>
      <c r="F3563" s="8"/>
      <c r="G3563" s="10" t="str">
        <f aca="false">IF($A3563="","",UPPER(SUBSTITUTE(SUBSTITUTE(SUBSTITUTE(SUBSTITUTE($A3563," ",""),"(주)",""),"주식회사",""),"㈜","")))</f>
        <v/>
      </c>
      <c r="H3563" s="10" t="str">
        <f aca="false">IF($B3563="","",SUBSTITUTE(SUBSTITUTE(SUBSTITUTE($B3563,"-","")," ",""),".",""))</f>
        <v/>
      </c>
      <c r="I3563" s="10" t="str">
        <f aca="false">IF($D3563="","",SUBSTITUTE(SUBSTITUTE(SUBSTITUTE($D3563,"-","")," ",""),".",""))</f>
        <v/>
      </c>
      <c r="J3563" s="10" t="str">
        <f aca="false">IF($E3563="","",UPPER(SUBSTITUTE($E3563," ","")))</f>
        <v/>
      </c>
      <c r="K3563" s="10" t="str">
        <f aca="false">IF($A3563="","",$G3563&amp;"|"&amp;$J3563)</f>
        <v/>
      </c>
      <c r="L3563" s="10" t="str">
        <f aca="false">IF($A3563="","",ROW()-2)</f>
        <v/>
      </c>
      <c r="M3563" s="10" t="str">
        <f aca="false">IF($A3563="","",ROW())</f>
        <v/>
      </c>
    </row>
    <row r="3564" customFormat="false" ht="15" hidden="false" customHeight="true" outlineLevel="0" collapsed="false">
      <c r="A3564" s="8"/>
      <c r="B3564" s="8"/>
      <c r="C3564" s="8"/>
      <c r="D3564" s="8"/>
      <c r="E3564" s="8"/>
      <c r="F3564" s="8"/>
      <c r="G3564" s="10" t="str">
        <f aca="false">IF($A3564="","",UPPER(SUBSTITUTE(SUBSTITUTE(SUBSTITUTE(SUBSTITUTE($A3564," ",""),"(주)",""),"주식회사",""),"㈜","")))</f>
        <v/>
      </c>
      <c r="H3564" s="10" t="str">
        <f aca="false">IF($B3564="","",SUBSTITUTE(SUBSTITUTE(SUBSTITUTE($B3564,"-","")," ",""),".",""))</f>
        <v/>
      </c>
      <c r="I3564" s="10" t="str">
        <f aca="false">IF($D3564="","",SUBSTITUTE(SUBSTITUTE(SUBSTITUTE($D3564,"-","")," ",""),".",""))</f>
        <v/>
      </c>
      <c r="J3564" s="10" t="str">
        <f aca="false">IF($E3564="","",UPPER(SUBSTITUTE($E3564," ","")))</f>
        <v/>
      </c>
      <c r="K3564" s="10" t="str">
        <f aca="false">IF($A3564="","",$G3564&amp;"|"&amp;$J3564)</f>
        <v/>
      </c>
      <c r="L3564" s="10" t="str">
        <f aca="false">IF($A3564="","",ROW()-2)</f>
        <v/>
      </c>
      <c r="M3564" s="10" t="str">
        <f aca="false">IF($A3564="","",ROW())</f>
        <v/>
      </c>
    </row>
    <row r="3565" customFormat="false" ht="15" hidden="false" customHeight="true" outlineLevel="0" collapsed="false">
      <c r="A3565" s="8"/>
      <c r="B3565" s="8"/>
      <c r="C3565" s="8"/>
      <c r="D3565" s="8"/>
      <c r="E3565" s="8"/>
      <c r="F3565" s="8"/>
      <c r="G3565" s="10" t="str">
        <f aca="false">IF($A3565="","",UPPER(SUBSTITUTE(SUBSTITUTE(SUBSTITUTE(SUBSTITUTE($A3565," ",""),"(주)",""),"주식회사",""),"㈜","")))</f>
        <v/>
      </c>
      <c r="H3565" s="10" t="str">
        <f aca="false">IF($B3565="","",SUBSTITUTE(SUBSTITUTE(SUBSTITUTE($B3565,"-","")," ",""),".",""))</f>
        <v/>
      </c>
      <c r="I3565" s="10" t="str">
        <f aca="false">IF($D3565="","",SUBSTITUTE(SUBSTITUTE(SUBSTITUTE($D3565,"-","")," ",""),".",""))</f>
        <v/>
      </c>
      <c r="J3565" s="10" t="str">
        <f aca="false">IF($E3565="","",UPPER(SUBSTITUTE($E3565," ","")))</f>
        <v/>
      </c>
      <c r="K3565" s="10" t="str">
        <f aca="false">IF($A3565="","",$G3565&amp;"|"&amp;$J3565)</f>
        <v/>
      </c>
      <c r="L3565" s="10" t="str">
        <f aca="false">IF($A3565="","",ROW()-2)</f>
        <v/>
      </c>
      <c r="M3565" s="10" t="str">
        <f aca="false">IF($A3565="","",ROW())</f>
        <v/>
      </c>
    </row>
    <row r="3566" customFormat="false" ht="15" hidden="false" customHeight="true" outlineLevel="0" collapsed="false">
      <c r="A3566" s="8"/>
      <c r="B3566" s="8"/>
      <c r="C3566" s="8"/>
      <c r="D3566" s="8"/>
      <c r="E3566" s="8"/>
      <c r="F3566" s="8"/>
      <c r="G3566" s="10" t="str">
        <f aca="false">IF($A3566="","",UPPER(SUBSTITUTE(SUBSTITUTE(SUBSTITUTE(SUBSTITUTE($A3566," ",""),"(주)",""),"주식회사",""),"㈜","")))</f>
        <v/>
      </c>
      <c r="H3566" s="10" t="str">
        <f aca="false">IF($B3566="","",SUBSTITUTE(SUBSTITUTE(SUBSTITUTE($B3566,"-","")," ",""),".",""))</f>
        <v/>
      </c>
      <c r="I3566" s="10" t="str">
        <f aca="false">IF($D3566="","",SUBSTITUTE(SUBSTITUTE(SUBSTITUTE($D3566,"-","")," ",""),".",""))</f>
        <v/>
      </c>
      <c r="J3566" s="10" t="str">
        <f aca="false">IF($E3566="","",UPPER(SUBSTITUTE($E3566," ","")))</f>
        <v/>
      </c>
      <c r="K3566" s="10" t="str">
        <f aca="false">IF($A3566="","",$G3566&amp;"|"&amp;$J3566)</f>
        <v/>
      </c>
      <c r="L3566" s="10" t="str">
        <f aca="false">IF($A3566="","",ROW()-2)</f>
        <v/>
      </c>
      <c r="M3566" s="10" t="str">
        <f aca="false">IF($A3566="","",ROW())</f>
        <v/>
      </c>
    </row>
    <row r="3567" customFormat="false" ht="15" hidden="false" customHeight="true" outlineLevel="0" collapsed="false">
      <c r="A3567" s="8"/>
      <c r="B3567" s="8"/>
      <c r="C3567" s="8"/>
      <c r="D3567" s="8"/>
      <c r="E3567" s="8"/>
      <c r="F3567" s="8"/>
      <c r="G3567" s="10" t="str">
        <f aca="false">IF($A3567="","",UPPER(SUBSTITUTE(SUBSTITUTE(SUBSTITUTE(SUBSTITUTE($A3567," ",""),"(주)",""),"주식회사",""),"㈜","")))</f>
        <v/>
      </c>
      <c r="H3567" s="10" t="str">
        <f aca="false">IF($B3567="","",SUBSTITUTE(SUBSTITUTE(SUBSTITUTE($B3567,"-","")," ",""),".",""))</f>
        <v/>
      </c>
      <c r="I3567" s="10" t="str">
        <f aca="false">IF($D3567="","",SUBSTITUTE(SUBSTITUTE(SUBSTITUTE($D3567,"-","")," ",""),".",""))</f>
        <v/>
      </c>
      <c r="J3567" s="10" t="str">
        <f aca="false">IF($E3567="","",UPPER(SUBSTITUTE($E3567," ","")))</f>
        <v/>
      </c>
      <c r="K3567" s="10" t="str">
        <f aca="false">IF($A3567="","",$G3567&amp;"|"&amp;$J3567)</f>
        <v/>
      </c>
      <c r="L3567" s="10" t="str">
        <f aca="false">IF($A3567="","",ROW()-2)</f>
        <v/>
      </c>
      <c r="M3567" s="10" t="str">
        <f aca="false">IF($A3567="","",ROW())</f>
        <v/>
      </c>
    </row>
    <row r="3568" customFormat="false" ht="15" hidden="false" customHeight="true" outlineLevel="0" collapsed="false">
      <c r="A3568" s="8"/>
      <c r="B3568" s="8"/>
      <c r="C3568" s="8"/>
      <c r="D3568" s="8"/>
      <c r="E3568" s="8"/>
      <c r="F3568" s="8"/>
      <c r="G3568" s="10" t="str">
        <f aca="false">IF($A3568="","",UPPER(SUBSTITUTE(SUBSTITUTE(SUBSTITUTE(SUBSTITUTE($A3568," ",""),"(주)",""),"주식회사",""),"㈜","")))</f>
        <v/>
      </c>
      <c r="H3568" s="10" t="str">
        <f aca="false">IF($B3568="","",SUBSTITUTE(SUBSTITUTE(SUBSTITUTE($B3568,"-","")," ",""),".",""))</f>
        <v/>
      </c>
      <c r="I3568" s="10" t="str">
        <f aca="false">IF($D3568="","",SUBSTITUTE(SUBSTITUTE(SUBSTITUTE($D3568,"-","")," ",""),".",""))</f>
        <v/>
      </c>
      <c r="J3568" s="10" t="str">
        <f aca="false">IF($E3568="","",UPPER(SUBSTITUTE($E3568," ","")))</f>
        <v/>
      </c>
      <c r="K3568" s="10" t="str">
        <f aca="false">IF($A3568="","",$G3568&amp;"|"&amp;$J3568)</f>
        <v/>
      </c>
      <c r="L3568" s="10" t="str">
        <f aca="false">IF($A3568="","",ROW()-2)</f>
        <v/>
      </c>
      <c r="M3568" s="10" t="str">
        <f aca="false">IF($A3568="","",ROW())</f>
        <v/>
      </c>
    </row>
    <row r="3569" customFormat="false" ht="15" hidden="false" customHeight="true" outlineLevel="0" collapsed="false">
      <c r="A3569" s="8"/>
      <c r="B3569" s="8"/>
      <c r="C3569" s="8"/>
      <c r="D3569" s="8"/>
      <c r="E3569" s="8"/>
      <c r="F3569" s="8"/>
      <c r="G3569" s="10" t="str">
        <f aca="false">IF($A3569="","",UPPER(SUBSTITUTE(SUBSTITUTE(SUBSTITUTE(SUBSTITUTE($A3569," ",""),"(주)",""),"주식회사",""),"㈜","")))</f>
        <v/>
      </c>
      <c r="H3569" s="10" t="str">
        <f aca="false">IF($B3569="","",SUBSTITUTE(SUBSTITUTE(SUBSTITUTE($B3569,"-","")," ",""),".",""))</f>
        <v/>
      </c>
      <c r="I3569" s="10" t="str">
        <f aca="false">IF($D3569="","",SUBSTITUTE(SUBSTITUTE(SUBSTITUTE($D3569,"-","")," ",""),".",""))</f>
        <v/>
      </c>
      <c r="J3569" s="10" t="str">
        <f aca="false">IF($E3569="","",UPPER(SUBSTITUTE($E3569," ","")))</f>
        <v/>
      </c>
      <c r="K3569" s="10" t="str">
        <f aca="false">IF($A3569="","",$G3569&amp;"|"&amp;$J3569)</f>
        <v/>
      </c>
      <c r="L3569" s="10" t="str">
        <f aca="false">IF($A3569="","",ROW()-2)</f>
        <v/>
      </c>
      <c r="M3569" s="10" t="str">
        <f aca="false">IF($A3569="","",ROW())</f>
        <v/>
      </c>
    </row>
    <row r="3570" customFormat="false" ht="15" hidden="false" customHeight="true" outlineLevel="0" collapsed="false">
      <c r="A3570" s="8"/>
      <c r="B3570" s="8"/>
      <c r="C3570" s="8"/>
      <c r="D3570" s="8"/>
      <c r="E3570" s="8"/>
      <c r="F3570" s="8"/>
      <c r="G3570" s="10" t="str">
        <f aca="false">IF($A3570="","",UPPER(SUBSTITUTE(SUBSTITUTE(SUBSTITUTE(SUBSTITUTE($A3570," ",""),"(주)",""),"주식회사",""),"㈜","")))</f>
        <v/>
      </c>
      <c r="H3570" s="10" t="str">
        <f aca="false">IF($B3570="","",SUBSTITUTE(SUBSTITUTE(SUBSTITUTE($B3570,"-","")," ",""),".",""))</f>
        <v/>
      </c>
      <c r="I3570" s="10" t="str">
        <f aca="false">IF($D3570="","",SUBSTITUTE(SUBSTITUTE(SUBSTITUTE($D3570,"-","")," ",""),".",""))</f>
        <v/>
      </c>
      <c r="J3570" s="10" t="str">
        <f aca="false">IF($E3570="","",UPPER(SUBSTITUTE($E3570," ","")))</f>
        <v/>
      </c>
      <c r="K3570" s="10" t="str">
        <f aca="false">IF($A3570="","",$G3570&amp;"|"&amp;$J3570)</f>
        <v/>
      </c>
      <c r="L3570" s="10" t="str">
        <f aca="false">IF($A3570="","",ROW()-2)</f>
        <v/>
      </c>
      <c r="M3570" s="10" t="str">
        <f aca="false">IF($A3570="","",ROW())</f>
        <v/>
      </c>
    </row>
    <row r="3571" customFormat="false" ht="15" hidden="false" customHeight="true" outlineLevel="0" collapsed="false">
      <c r="A3571" s="8"/>
      <c r="B3571" s="8"/>
      <c r="C3571" s="8"/>
      <c r="D3571" s="8"/>
      <c r="E3571" s="8"/>
      <c r="F3571" s="8"/>
      <c r="G3571" s="10" t="str">
        <f aca="false">IF($A3571="","",UPPER(SUBSTITUTE(SUBSTITUTE(SUBSTITUTE(SUBSTITUTE($A3571," ",""),"(주)",""),"주식회사",""),"㈜","")))</f>
        <v/>
      </c>
      <c r="H3571" s="10" t="str">
        <f aca="false">IF($B3571="","",SUBSTITUTE(SUBSTITUTE(SUBSTITUTE($B3571,"-","")," ",""),".",""))</f>
        <v/>
      </c>
      <c r="I3571" s="10" t="str">
        <f aca="false">IF($D3571="","",SUBSTITUTE(SUBSTITUTE(SUBSTITUTE($D3571,"-","")," ",""),".",""))</f>
        <v/>
      </c>
      <c r="J3571" s="10" t="str">
        <f aca="false">IF($E3571="","",UPPER(SUBSTITUTE($E3571," ","")))</f>
        <v/>
      </c>
      <c r="K3571" s="10" t="str">
        <f aca="false">IF($A3571="","",$G3571&amp;"|"&amp;$J3571)</f>
        <v/>
      </c>
      <c r="L3571" s="10" t="str">
        <f aca="false">IF($A3571="","",ROW()-2)</f>
        <v/>
      </c>
      <c r="M3571" s="10" t="str">
        <f aca="false">IF($A3571="","",ROW())</f>
        <v/>
      </c>
    </row>
    <row r="3572" customFormat="false" ht="15" hidden="false" customHeight="true" outlineLevel="0" collapsed="false">
      <c r="A3572" s="8"/>
      <c r="B3572" s="8"/>
      <c r="C3572" s="8"/>
      <c r="D3572" s="8"/>
      <c r="E3572" s="8"/>
      <c r="F3572" s="8"/>
      <c r="G3572" s="10" t="str">
        <f aca="false">IF($A3572="","",UPPER(SUBSTITUTE(SUBSTITUTE(SUBSTITUTE(SUBSTITUTE($A3572," ",""),"(주)",""),"주식회사",""),"㈜","")))</f>
        <v/>
      </c>
      <c r="H3572" s="10" t="str">
        <f aca="false">IF($B3572="","",SUBSTITUTE(SUBSTITUTE(SUBSTITUTE($B3572,"-","")," ",""),".",""))</f>
        <v/>
      </c>
      <c r="I3572" s="10" t="str">
        <f aca="false">IF($D3572="","",SUBSTITUTE(SUBSTITUTE(SUBSTITUTE($D3572,"-","")," ",""),".",""))</f>
        <v/>
      </c>
      <c r="J3572" s="10" t="str">
        <f aca="false">IF($E3572="","",UPPER(SUBSTITUTE($E3572," ","")))</f>
        <v/>
      </c>
      <c r="K3572" s="10" t="str">
        <f aca="false">IF($A3572="","",$G3572&amp;"|"&amp;$J3572)</f>
        <v/>
      </c>
      <c r="L3572" s="10" t="str">
        <f aca="false">IF($A3572="","",ROW()-2)</f>
        <v/>
      </c>
      <c r="M3572" s="10" t="str">
        <f aca="false">IF($A3572="","",ROW())</f>
        <v/>
      </c>
    </row>
    <row r="3573" customFormat="false" ht="15" hidden="false" customHeight="true" outlineLevel="0" collapsed="false">
      <c r="A3573" s="8"/>
      <c r="B3573" s="8"/>
      <c r="C3573" s="8"/>
      <c r="D3573" s="8"/>
      <c r="E3573" s="8"/>
      <c r="F3573" s="8"/>
      <c r="G3573" s="10" t="str">
        <f aca="false">IF($A3573="","",UPPER(SUBSTITUTE(SUBSTITUTE(SUBSTITUTE(SUBSTITUTE($A3573," ",""),"(주)",""),"주식회사",""),"㈜","")))</f>
        <v/>
      </c>
      <c r="H3573" s="10" t="str">
        <f aca="false">IF($B3573="","",SUBSTITUTE(SUBSTITUTE(SUBSTITUTE($B3573,"-","")," ",""),".",""))</f>
        <v/>
      </c>
      <c r="I3573" s="10" t="str">
        <f aca="false">IF($D3573="","",SUBSTITUTE(SUBSTITUTE(SUBSTITUTE($D3573,"-","")," ",""),".",""))</f>
        <v/>
      </c>
      <c r="J3573" s="10" t="str">
        <f aca="false">IF($E3573="","",UPPER(SUBSTITUTE($E3573," ","")))</f>
        <v/>
      </c>
      <c r="K3573" s="10" t="str">
        <f aca="false">IF($A3573="","",$G3573&amp;"|"&amp;$J3573)</f>
        <v/>
      </c>
      <c r="L3573" s="10" t="str">
        <f aca="false">IF($A3573="","",ROW()-2)</f>
        <v/>
      </c>
      <c r="M3573" s="10" t="str">
        <f aca="false">IF($A3573="","",ROW())</f>
        <v/>
      </c>
    </row>
    <row r="3574" customFormat="false" ht="15" hidden="false" customHeight="true" outlineLevel="0" collapsed="false">
      <c r="A3574" s="8"/>
      <c r="B3574" s="8"/>
      <c r="C3574" s="8"/>
      <c r="D3574" s="8"/>
      <c r="E3574" s="8"/>
      <c r="F3574" s="8"/>
      <c r="G3574" s="10" t="str">
        <f aca="false">IF($A3574="","",UPPER(SUBSTITUTE(SUBSTITUTE(SUBSTITUTE(SUBSTITUTE($A3574," ",""),"(주)",""),"주식회사",""),"㈜","")))</f>
        <v/>
      </c>
      <c r="H3574" s="10" t="str">
        <f aca="false">IF($B3574="","",SUBSTITUTE(SUBSTITUTE(SUBSTITUTE($B3574,"-","")," ",""),".",""))</f>
        <v/>
      </c>
      <c r="I3574" s="10" t="str">
        <f aca="false">IF($D3574="","",SUBSTITUTE(SUBSTITUTE(SUBSTITUTE($D3574,"-","")," ",""),".",""))</f>
        <v/>
      </c>
      <c r="J3574" s="10" t="str">
        <f aca="false">IF($E3574="","",UPPER(SUBSTITUTE($E3574," ","")))</f>
        <v/>
      </c>
      <c r="K3574" s="10" t="str">
        <f aca="false">IF($A3574="","",$G3574&amp;"|"&amp;$J3574)</f>
        <v/>
      </c>
      <c r="L3574" s="10" t="str">
        <f aca="false">IF($A3574="","",ROW()-2)</f>
        <v/>
      </c>
      <c r="M3574" s="10" t="str">
        <f aca="false">IF($A3574="","",ROW())</f>
        <v/>
      </c>
    </row>
    <row r="3575" customFormat="false" ht="15" hidden="false" customHeight="true" outlineLevel="0" collapsed="false">
      <c r="A3575" s="8"/>
      <c r="B3575" s="8"/>
      <c r="C3575" s="8"/>
      <c r="D3575" s="8"/>
      <c r="E3575" s="8"/>
      <c r="F3575" s="8"/>
      <c r="G3575" s="10" t="str">
        <f aca="false">IF($A3575="","",UPPER(SUBSTITUTE(SUBSTITUTE(SUBSTITUTE(SUBSTITUTE($A3575," ",""),"(주)",""),"주식회사",""),"㈜","")))</f>
        <v/>
      </c>
      <c r="H3575" s="10" t="str">
        <f aca="false">IF($B3575="","",SUBSTITUTE(SUBSTITUTE(SUBSTITUTE($B3575,"-","")," ",""),".",""))</f>
        <v/>
      </c>
      <c r="I3575" s="10" t="str">
        <f aca="false">IF($D3575="","",SUBSTITUTE(SUBSTITUTE(SUBSTITUTE($D3575,"-","")," ",""),".",""))</f>
        <v/>
      </c>
      <c r="J3575" s="10" t="str">
        <f aca="false">IF($E3575="","",UPPER(SUBSTITUTE($E3575," ","")))</f>
        <v/>
      </c>
      <c r="K3575" s="10" t="str">
        <f aca="false">IF($A3575="","",$G3575&amp;"|"&amp;$J3575)</f>
        <v/>
      </c>
      <c r="L3575" s="10" t="str">
        <f aca="false">IF($A3575="","",ROW()-2)</f>
        <v/>
      </c>
      <c r="M3575" s="10" t="str">
        <f aca="false">IF($A3575="","",ROW())</f>
        <v/>
      </c>
    </row>
    <row r="3576" customFormat="false" ht="15" hidden="false" customHeight="true" outlineLevel="0" collapsed="false">
      <c r="A3576" s="8"/>
      <c r="B3576" s="8"/>
      <c r="C3576" s="8"/>
      <c r="D3576" s="8"/>
      <c r="E3576" s="8"/>
      <c r="F3576" s="8"/>
      <c r="G3576" s="10" t="str">
        <f aca="false">IF($A3576="","",UPPER(SUBSTITUTE(SUBSTITUTE(SUBSTITUTE(SUBSTITUTE($A3576," ",""),"(주)",""),"주식회사",""),"㈜","")))</f>
        <v/>
      </c>
      <c r="H3576" s="10" t="str">
        <f aca="false">IF($B3576="","",SUBSTITUTE(SUBSTITUTE(SUBSTITUTE($B3576,"-","")," ",""),".",""))</f>
        <v/>
      </c>
      <c r="I3576" s="10" t="str">
        <f aca="false">IF($D3576="","",SUBSTITUTE(SUBSTITUTE(SUBSTITUTE($D3576,"-","")," ",""),".",""))</f>
        <v/>
      </c>
      <c r="J3576" s="10" t="str">
        <f aca="false">IF($E3576="","",UPPER(SUBSTITUTE($E3576," ","")))</f>
        <v/>
      </c>
      <c r="K3576" s="10" t="str">
        <f aca="false">IF($A3576="","",$G3576&amp;"|"&amp;$J3576)</f>
        <v/>
      </c>
      <c r="L3576" s="10" t="str">
        <f aca="false">IF($A3576="","",ROW()-2)</f>
        <v/>
      </c>
      <c r="M3576" s="10" t="str">
        <f aca="false">IF($A3576="","",ROW())</f>
        <v/>
      </c>
    </row>
    <row r="3577" customFormat="false" ht="15" hidden="false" customHeight="true" outlineLevel="0" collapsed="false">
      <c r="A3577" s="8"/>
      <c r="B3577" s="8"/>
      <c r="C3577" s="8"/>
      <c r="D3577" s="8"/>
      <c r="E3577" s="8"/>
      <c r="F3577" s="8"/>
      <c r="G3577" s="10" t="str">
        <f aca="false">IF($A3577="","",UPPER(SUBSTITUTE(SUBSTITUTE(SUBSTITUTE(SUBSTITUTE($A3577," ",""),"(주)",""),"주식회사",""),"㈜","")))</f>
        <v/>
      </c>
      <c r="H3577" s="10" t="str">
        <f aca="false">IF($B3577="","",SUBSTITUTE(SUBSTITUTE(SUBSTITUTE($B3577,"-","")," ",""),".",""))</f>
        <v/>
      </c>
      <c r="I3577" s="10" t="str">
        <f aca="false">IF($D3577="","",SUBSTITUTE(SUBSTITUTE(SUBSTITUTE($D3577,"-","")," ",""),".",""))</f>
        <v/>
      </c>
      <c r="J3577" s="10" t="str">
        <f aca="false">IF($E3577="","",UPPER(SUBSTITUTE($E3577," ","")))</f>
        <v/>
      </c>
      <c r="K3577" s="10" t="str">
        <f aca="false">IF($A3577="","",$G3577&amp;"|"&amp;$J3577)</f>
        <v/>
      </c>
      <c r="L3577" s="10" t="str">
        <f aca="false">IF($A3577="","",ROW()-2)</f>
        <v/>
      </c>
      <c r="M3577" s="10" t="str">
        <f aca="false">IF($A3577="","",ROW())</f>
        <v/>
      </c>
    </row>
    <row r="3578" customFormat="false" ht="15" hidden="false" customHeight="true" outlineLevel="0" collapsed="false">
      <c r="A3578" s="8"/>
      <c r="B3578" s="8"/>
      <c r="C3578" s="8"/>
      <c r="D3578" s="8"/>
      <c r="E3578" s="8"/>
      <c r="F3578" s="8"/>
      <c r="G3578" s="10" t="str">
        <f aca="false">IF($A3578="","",UPPER(SUBSTITUTE(SUBSTITUTE(SUBSTITUTE(SUBSTITUTE($A3578," ",""),"(주)",""),"주식회사",""),"㈜","")))</f>
        <v/>
      </c>
      <c r="H3578" s="10" t="str">
        <f aca="false">IF($B3578="","",SUBSTITUTE(SUBSTITUTE(SUBSTITUTE($B3578,"-","")," ",""),".",""))</f>
        <v/>
      </c>
      <c r="I3578" s="10" t="str">
        <f aca="false">IF($D3578="","",SUBSTITUTE(SUBSTITUTE(SUBSTITUTE($D3578,"-","")," ",""),".",""))</f>
        <v/>
      </c>
      <c r="J3578" s="10" t="str">
        <f aca="false">IF($E3578="","",UPPER(SUBSTITUTE($E3578," ","")))</f>
        <v/>
      </c>
      <c r="K3578" s="10" t="str">
        <f aca="false">IF($A3578="","",$G3578&amp;"|"&amp;$J3578)</f>
        <v/>
      </c>
      <c r="L3578" s="10" t="str">
        <f aca="false">IF($A3578="","",ROW()-2)</f>
        <v/>
      </c>
      <c r="M3578" s="10" t="str">
        <f aca="false">IF($A3578="","",ROW())</f>
        <v/>
      </c>
    </row>
    <row r="3579" customFormat="false" ht="15" hidden="false" customHeight="true" outlineLevel="0" collapsed="false">
      <c r="A3579" s="8"/>
      <c r="B3579" s="8"/>
      <c r="C3579" s="8"/>
      <c r="D3579" s="8"/>
      <c r="E3579" s="8"/>
      <c r="F3579" s="8"/>
      <c r="G3579" s="10" t="str">
        <f aca="false">IF($A3579="","",UPPER(SUBSTITUTE(SUBSTITUTE(SUBSTITUTE(SUBSTITUTE($A3579," ",""),"(주)",""),"주식회사",""),"㈜","")))</f>
        <v/>
      </c>
      <c r="H3579" s="10" t="str">
        <f aca="false">IF($B3579="","",SUBSTITUTE(SUBSTITUTE(SUBSTITUTE($B3579,"-","")," ",""),".",""))</f>
        <v/>
      </c>
      <c r="I3579" s="10" t="str">
        <f aca="false">IF($D3579="","",SUBSTITUTE(SUBSTITUTE(SUBSTITUTE($D3579,"-","")," ",""),".",""))</f>
        <v/>
      </c>
      <c r="J3579" s="10" t="str">
        <f aca="false">IF($E3579="","",UPPER(SUBSTITUTE($E3579," ","")))</f>
        <v/>
      </c>
      <c r="K3579" s="10" t="str">
        <f aca="false">IF($A3579="","",$G3579&amp;"|"&amp;$J3579)</f>
        <v/>
      </c>
      <c r="L3579" s="10" t="str">
        <f aca="false">IF($A3579="","",ROW()-2)</f>
        <v/>
      </c>
      <c r="M3579" s="10" t="str">
        <f aca="false">IF($A3579="","",ROW())</f>
        <v/>
      </c>
    </row>
    <row r="3580" customFormat="false" ht="15" hidden="false" customHeight="true" outlineLevel="0" collapsed="false">
      <c r="A3580" s="8"/>
      <c r="B3580" s="8"/>
      <c r="C3580" s="8"/>
      <c r="D3580" s="8"/>
      <c r="E3580" s="8"/>
      <c r="F3580" s="8"/>
      <c r="G3580" s="10" t="str">
        <f aca="false">IF($A3580="","",UPPER(SUBSTITUTE(SUBSTITUTE(SUBSTITUTE(SUBSTITUTE($A3580," ",""),"(주)",""),"주식회사",""),"㈜","")))</f>
        <v/>
      </c>
      <c r="H3580" s="10" t="str">
        <f aca="false">IF($B3580="","",SUBSTITUTE(SUBSTITUTE(SUBSTITUTE($B3580,"-","")," ",""),".",""))</f>
        <v/>
      </c>
      <c r="I3580" s="10" t="str">
        <f aca="false">IF($D3580="","",SUBSTITUTE(SUBSTITUTE(SUBSTITUTE($D3580,"-","")," ",""),".",""))</f>
        <v/>
      </c>
      <c r="J3580" s="10" t="str">
        <f aca="false">IF($E3580="","",UPPER(SUBSTITUTE($E3580," ","")))</f>
        <v/>
      </c>
      <c r="K3580" s="10" t="str">
        <f aca="false">IF($A3580="","",$G3580&amp;"|"&amp;$J3580)</f>
        <v/>
      </c>
      <c r="L3580" s="10" t="str">
        <f aca="false">IF($A3580="","",ROW()-2)</f>
        <v/>
      </c>
      <c r="M3580" s="10" t="str">
        <f aca="false">IF($A3580="","",ROW())</f>
        <v/>
      </c>
    </row>
    <row r="3581" customFormat="false" ht="15" hidden="false" customHeight="true" outlineLevel="0" collapsed="false">
      <c r="A3581" s="8"/>
      <c r="B3581" s="8"/>
      <c r="C3581" s="8"/>
      <c r="D3581" s="8"/>
      <c r="E3581" s="8"/>
      <c r="F3581" s="8"/>
      <c r="G3581" s="10" t="str">
        <f aca="false">IF($A3581="","",UPPER(SUBSTITUTE(SUBSTITUTE(SUBSTITUTE(SUBSTITUTE($A3581," ",""),"(주)",""),"주식회사",""),"㈜","")))</f>
        <v/>
      </c>
      <c r="H3581" s="10" t="str">
        <f aca="false">IF($B3581="","",SUBSTITUTE(SUBSTITUTE(SUBSTITUTE($B3581,"-","")," ",""),".",""))</f>
        <v/>
      </c>
      <c r="I3581" s="10" t="str">
        <f aca="false">IF($D3581="","",SUBSTITUTE(SUBSTITUTE(SUBSTITUTE($D3581,"-","")," ",""),".",""))</f>
        <v/>
      </c>
      <c r="J3581" s="10" t="str">
        <f aca="false">IF($E3581="","",UPPER(SUBSTITUTE($E3581," ","")))</f>
        <v/>
      </c>
      <c r="K3581" s="10" t="str">
        <f aca="false">IF($A3581="","",$G3581&amp;"|"&amp;$J3581)</f>
        <v/>
      </c>
      <c r="L3581" s="10" t="str">
        <f aca="false">IF($A3581="","",ROW()-2)</f>
        <v/>
      </c>
      <c r="M3581" s="10" t="str">
        <f aca="false">IF($A3581="","",ROW())</f>
        <v/>
      </c>
    </row>
    <row r="3582" customFormat="false" ht="15" hidden="false" customHeight="true" outlineLevel="0" collapsed="false">
      <c r="A3582" s="8"/>
      <c r="B3582" s="8"/>
      <c r="C3582" s="8"/>
      <c r="D3582" s="8"/>
      <c r="E3582" s="8"/>
      <c r="F3582" s="8"/>
      <c r="G3582" s="10" t="str">
        <f aca="false">IF($A3582="","",UPPER(SUBSTITUTE(SUBSTITUTE(SUBSTITUTE(SUBSTITUTE($A3582," ",""),"(주)",""),"주식회사",""),"㈜","")))</f>
        <v/>
      </c>
      <c r="H3582" s="10" t="str">
        <f aca="false">IF($B3582="","",SUBSTITUTE(SUBSTITUTE(SUBSTITUTE($B3582,"-","")," ",""),".",""))</f>
        <v/>
      </c>
      <c r="I3582" s="10" t="str">
        <f aca="false">IF($D3582="","",SUBSTITUTE(SUBSTITUTE(SUBSTITUTE($D3582,"-","")," ",""),".",""))</f>
        <v/>
      </c>
      <c r="J3582" s="10" t="str">
        <f aca="false">IF($E3582="","",UPPER(SUBSTITUTE($E3582," ","")))</f>
        <v/>
      </c>
      <c r="K3582" s="10" t="str">
        <f aca="false">IF($A3582="","",$G3582&amp;"|"&amp;$J3582)</f>
        <v/>
      </c>
      <c r="L3582" s="10" t="str">
        <f aca="false">IF($A3582="","",ROW()-2)</f>
        <v/>
      </c>
      <c r="M3582" s="10" t="str">
        <f aca="false">IF($A3582="","",ROW())</f>
        <v/>
      </c>
    </row>
    <row r="3583" customFormat="false" ht="15" hidden="false" customHeight="true" outlineLevel="0" collapsed="false">
      <c r="A3583" s="8"/>
      <c r="B3583" s="8"/>
      <c r="C3583" s="8"/>
      <c r="D3583" s="8"/>
      <c r="E3583" s="8"/>
      <c r="F3583" s="8"/>
      <c r="G3583" s="10" t="str">
        <f aca="false">IF($A3583="","",UPPER(SUBSTITUTE(SUBSTITUTE(SUBSTITUTE(SUBSTITUTE($A3583," ",""),"(주)",""),"주식회사",""),"㈜","")))</f>
        <v/>
      </c>
      <c r="H3583" s="10" t="str">
        <f aca="false">IF($B3583="","",SUBSTITUTE(SUBSTITUTE(SUBSTITUTE($B3583,"-","")," ",""),".",""))</f>
        <v/>
      </c>
      <c r="I3583" s="10" t="str">
        <f aca="false">IF($D3583="","",SUBSTITUTE(SUBSTITUTE(SUBSTITUTE($D3583,"-","")," ",""),".",""))</f>
        <v/>
      </c>
      <c r="J3583" s="10" t="str">
        <f aca="false">IF($E3583="","",UPPER(SUBSTITUTE($E3583," ","")))</f>
        <v/>
      </c>
      <c r="K3583" s="10" t="str">
        <f aca="false">IF($A3583="","",$G3583&amp;"|"&amp;$J3583)</f>
        <v/>
      </c>
      <c r="L3583" s="10" t="str">
        <f aca="false">IF($A3583="","",ROW()-2)</f>
        <v/>
      </c>
      <c r="M3583" s="10" t="str">
        <f aca="false">IF($A3583="","",ROW())</f>
        <v/>
      </c>
    </row>
    <row r="3584" customFormat="false" ht="15" hidden="false" customHeight="true" outlineLevel="0" collapsed="false">
      <c r="A3584" s="8"/>
      <c r="B3584" s="8"/>
      <c r="C3584" s="8"/>
      <c r="D3584" s="8"/>
      <c r="E3584" s="8"/>
      <c r="F3584" s="8"/>
      <c r="G3584" s="10" t="str">
        <f aca="false">IF($A3584="","",UPPER(SUBSTITUTE(SUBSTITUTE(SUBSTITUTE(SUBSTITUTE($A3584," ",""),"(주)",""),"주식회사",""),"㈜","")))</f>
        <v/>
      </c>
      <c r="H3584" s="10" t="str">
        <f aca="false">IF($B3584="","",SUBSTITUTE(SUBSTITUTE(SUBSTITUTE($B3584,"-","")," ",""),".",""))</f>
        <v/>
      </c>
      <c r="I3584" s="10" t="str">
        <f aca="false">IF($D3584="","",SUBSTITUTE(SUBSTITUTE(SUBSTITUTE($D3584,"-","")," ",""),".",""))</f>
        <v/>
      </c>
      <c r="J3584" s="10" t="str">
        <f aca="false">IF($E3584="","",UPPER(SUBSTITUTE($E3584," ","")))</f>
        <v/>
      </c>
      <c r="K3584" s="10" t="str">
        <f aca="false">IF($A3584="","",$G3584&amp;"|"&amp;$J3584)</f>
        <v/>
      </c>
      <c r="L3584" s="10" t="str">
        <f aca="false">IF($A3584="","",ROW()-2)</f>
        <v/>
      </c>
      <c r="M3584" s="10" t="str">
        <f aca="false">IF($A3584="","",ROW())</f>
        <v/>
      </c>
    </row>
    <row r="3585" customFormat="false" ht="15" hidden="false" customHeight="true" outlineLevel="0" collapsed="false">
      <c r="A3585" s="8"/>
      <c r="B3585" s="8"/>
      <c r="C3585" s="8"/>
      <c r="D3585" s="8"/>
      <c r="E3585" s="8"/>
      <c r="F3585" s="8"/>
      <c r="G3585" s="10" t="str">
        <f aca="false">IF($A3585="","",UPPER(SUBSTITUTE(SUBSTITUTE(SUBSTITUTE(SUBSTITUTE($A3585," ",""),"(주)",""),"주식회사",""),"㈜","")))</f>
        <v/>
      </c>
      <c r="H3585" s="10" t="str">
        <f aca="false">IF($B3585="","",SUBSTITUTE(SUBSTITUTE(SUBSTITUTE($B3585,"-","")," ",""),".",""))</f>
        <v/>
      </c>
      <c r="I3585" s="10" t="str">
        <f aca="false">IF($D3585="","",SUBSTITUTE(SUBSTITUTE(SUBSTITUTE($D3585,"-","")," ",""),".",""))</f>
        <v/>
      </c>
      <c r="J3585" s="10" t="str">
        <f aca="false">IF($E3585="","",UPPER(SUBSTITUTE($E3585," ","")))</f>
        <v/>
      </c>
      <c r="K3585" s="10" t="str">
        <f aca="false">IF($A3585="","",$G3585&amp;"|"&amp;$J3585)</f>
        <v/>
      </c>
      <c r="L3585" s="10" t="str">
        <f aca="false">IF($A3585="","",ROW()-2)</f>
        <v/>
      </c>
      <c r="M3585" s="10" t="str">
        <f aca="false">IF($A3585="","",ROW())</f>
        <v/>
      </c>
    </row>
    <row r="3586" customFormat="false" ht="15" hidden="false" customHeight="true" outlineLevel="0" collapsed="false">
      <c r="A3586" s="8"/>
      <c r="B3586" s="8"/>
      <c r="C3586" s="8"/>
      <c r="D3586" s="8"/>
      <c r="E3586" s="8"/>
      <c r="F3586" s="8"/>
      <c r="G3586" s="10" t="str">
        <f aca="false">IF($A3586="","",UPPER(SUBSTITUTE(SUBSTITUTE(SUBSTITUTE(SUBSTITUTE($A3586," ",""),"(주)",""),"주식회사",""),"㈜","")))</f>
        <v/>
      </c>
      <c r="H3586" s="10" t="str">
        <f aca="false">IF($B3586="","",SUBSTITUTE(SUBSTITUTE(SUBSTITUTE($B3586,"-","")," ",""),".",""))</f>
        <v/>
      </c>
      <c r="I3586" s="10" t="str">
        <f aca="false">IF($D3586="","",SUBSTITUTE(SUBSTITUTE(SUBSTITUTE($D3586,"-","")," ",""),".",""))</f>
        <v/>
      </c>
      <c r="J3586" s="10" t="str">
        <f aca="false">IF($E3586="","",UPPER(SUBSTITUTE($E3586," ","")))</f>
        <v/>
      </c>
      <c r="K3586" s="10" t="str">
        <f aca="false">IF($A3586="","",$G3586&amp;"|"&amp;$J3586)</f>
        <v/>
      </c>
      <c r="L3586" s="10" t="str">
        <f aca="false">IF($A3586="","",ROW()-2)</f>
        <v/>
      </c>
      <c r="M3586" s="10" t="str">
        <f aca="false">IF($A3586="","",ROW())</f>
        <v/>
      </c>
    </row>
    <row r="3587" customFormat="false" ht="15" hidden="false" customHeight="true" outlineLevel="0" collapsed="false">
      <c r="A3587" s="8"/>
      <c r="B3587" s="8"/>
      <c r="C3587" s="8"/>
      <c r="D3587" s="8"/>
      <c r="E3587" s="8"/>
      <c r="F3587" s="8"/>
      <c r="G3587" s="10" t="str">
        <f aca="false">IF($A3587="","",UPPER(SUBSTITUTE(SUBSTITUTE(SUBSTITUTE(SUBSTITUTE($A3587," ",""),"(주)",""),"주식회사",""),"㈜","")))</f>
        <v/>
      </c>
      <c r="H3587" s="10" t="str">
        <f aca="false">IF($B3587="","",SUBSTITUTE(SUBSTITUTE(SUBSTITUTE($B3587,"-","")," ",""),".",""))</f>
        <v/>
      </c>
      <c r="I3587" s="10" t="str">
        <f aca="false">IF($D3587="","",SUBSTITUTE(SUBSTITUTE(SUBSTITUTE($D3587,"-","")," ",""),".",""))</f>
        <v/>
      </c>
      <c r="J3587" s="10" t="str">
        <f aca="false">IF($E3587="","",UPPER(SUBSTITUTE($E3587," ","")))</f>
        <v/>
      </c>
      <c r="K3587" s="10" t="str">
        <f aca="false">IF($A3587="","",$G3587&amp;"|"&amp;$J3587)</f>
        <v/>
      </c>
      <c r="L3587" s="10" t="str">
        <f aca="false">IF($A3587="","",ROW()-2)</f>
        <v/>
      </c>
      <c r="M3587" s="10" t="str">
        <f aca="false">IF($A3587="","",ROW())</f>
        <v/>
      </c>
    </row>
    <row r="3588" customFormat="false" ht="15" hidden="false" customHeight="true" outlineLevel="0" collapsed="false">
      <c r="A3588" s="8"/>
      <c r="B3588" s="8"/>
      <c r="C3588" s="8"/>
      <c r="D3588" s="8"/>
      <c r="E3588" s="8"/>
      <c r="F3588" s="8"/>
      <c r="G3588" s="10" t="str">
        <f aca="false">IF($A3588="","",UPPER(SUBSTITUTE(SUBSTITUTE(SUBSTITUTE(SUBSTITUTE($A3588," ",""),"(주)",""),"주식회사",""),"㈜","")))</f>
        <v/>
      </c>
      <c r="H3588" s="10" t="str">
        <f aca="false">IF($B3588="","",SUBSTITUTE(SUBSTITUTE(SUBSTITUTE($B3588,"-","")," ",""),".",""))</f>
        <v/>
      </c>
      <c r="I3588" s="10" t="str">
        <f aca="false">IF($D3588="","",SUBSTITUTE(SUBSTITUTE(SUBSTITUTE($D3588,"-","")," ",""),".",""))</f>
        <v/>
      </c>
      <c r="J3588" s="10" t="str">
        <f aca="false">IF($E3588="","",UPPER(SUBSTITUTE($E3588," ","")))</f>
        <v/>
      </c>
      <c r="K3588" s="10" t="str">
        <f aca="false">IF($A3588="","",$G3588&amp;"|"&amp;$J3588)</f>
        <v/>
      </c>
      <c r="L3588" s="10" t="str">
        <f aca="false">IF($A3588="","",ROW()-2)</f>
        <v/>
      </c>
      <c r="M3588" s="10" t="str">
        <f aca="false">IF($A3588="","",ROW())</f>
        <v/>
      </c>
    </row>
    <row r="3589" customFormat="false" ht="15" hidden="false" customHeight="true" outlineLevel="0" collapsed="false">
      <c r="A3589" s="8"/>
      <c r="B3589" s="8"/>
      <c r="C3589" s="8"/>
      <c r="D3589" s="8"/>
      <c r="E3589" s="8"/>
      <c r="F3589" s="8"/>
      <c r="G3589" s="10" t="str">
        <f aca="false">IF($A3589="","",UPPER(SUBSTITUTE(SUBSTITUTE(SUBSTITUTE(SUBSTITUTE($A3589," ",""),"(주)",""),"주식회사",""),"㈜","")))</f>
        <v/>
      </c>
      <c r="H3589" s="10" t="str">
        <f aca="false">IF($B3589="","",SUBSTITUTE(SUBSTITUTE(SUBSTITUTE($B3589,"-","")," ",""),".",""))</f>
        <v/>
      </c>
      <c r="I3589" s="10" t="str">
        <f aca="false">IF($D3589="","",SUBSTITUTE(SUBSTITUTE(SUBSTITUTE($D3589,"-","")," ",""),".",""))</f>
        <v/>
      </c>
      <c r="J3589" s="10" t="str">
        <f aca="false">IF($E3589="","",UPPER(SUBSTITUTE($E3589," ","")))</f>
        <v/>
      </c>
      <c r="K3589" s="10" t="str">
        <f aca="false">IF($A3589="","",$G3589&amp;"|"&amp;$J3589)</f>
        <v/>
      </c>
      <c r="L3589" s="10" t="str">
        <f aca="false">IF($A3589="","",ROW()-2)</f>
        <v/>
      </c>
      <c r="M3589" s="10" t="str">
        <f aca="false">IF($A3589="","",ROW())</f>
        <v/>
      </c>
    </row>
    <row r="3590" customFormat="false" ht="15" hidden="false" customHeight="true" outlineLevel="0" collapsed="false">
      <c r="A3590" s="8"/>
      <c r="B3590" s="8"/>
      <c r="C3590" s="8"/>
      <c r="D3590" s="8"/>
      <c r="E3590" s="8"/>
      <c r="F3590" s="8"/>
      <c r="G3590" s="10" t="str">
        <f aca="false">IF($A3590="","",UPPER(SUBSTITUTE(SUBSTITUTE(SUBSTITUTE(SUBSTITUTE($A3590," ",""),"(주)",""),"주식회사",""),"㈜","")))</f>
        <v/>
      </c>
      <c r="H3590" s="10" t="str">
        <f aca="false">IF($B3590="","",SUBSTITUTE(SUBSTITUTE(SUBSTITUTE($B3590,"-","")," ",""),".",""))</f>
        <v/>
      </c>
      <c r="I3590" s="10" t="str">
        <f aca="false">IF($D3590="","",SUBSTITUTE(SUBSTITUTE(SUBSTITUTE($D3590,"-","")," ",""),".",""))</f>
        <v/>
      </c>
      <c r="J3590" s="10" t="str">
        <f aca="false">IF($E3590="","",UPPER(SUBSTITUTE($E3590," ","")))</f>
        <v/>
      </c>
      <c r="K3590" s="10" t="str">
        <f aca="false">IF($A3590="","",$G3590&amp;"|"&amp;$J3590)</f>
        <v/>
      </c>
      <c r="L3590" s="10" t="str">
        <f aca="false">IF($A3590="","",ROW()-2)</f>
        <v/>
      </c>
      <c r="M3590" s="10" t="str">
        <f aca="false">IF($A3590="","",ROW())</f>
        <v/>
      </c>
    </row>
    <row r="3591" customFormat="false" ht="15" hidden="false" customHeight="true" outlineLevel="0" collapsed="false">
      <c r="A3591" s="8"/>
      <c r="B3591" s="8"/>
      <c r="C3591" s="8"/>
      <c r="D3591" s="8"/>
      <c r="E3591" s="8"/>
      <c r="F3591" s="8"/>
      <c r="G3591" s="10" t="str">
        <f aca="false">IF($A3591="","",UPPER(SUBSTITUTE(SUBSTITUTE(SUBSTITUTE(SUBSTITUTE($A3591," ",""),"(주)",""),"주식회사",""),"㈜","")))</f>
        <v/>
      </c>
      <c r="H3591" s="10" t="str">
        <f aca="false">IF($B3591="","",SUBSTITUTE(SUBSTITUTE(SUBSTITUTE($B3591,"-","")," ",""),".",""))</f>
        <v/>
      </c>
      <c r="I3591" s="10" t="str">
        <f aca="false">IF($D3591="","",SUBSTITUTE(SUBSTITUTE(SUBSTITUTE($D3591,"-","")," ",""),".",""))</f>
        <v/>
      </c>
      <c r="J3591" s="10" t="str">
        <f aca="false">IF($E3591="","",UPPER(SUBSTITUTE($E3591," ","")))</f>
        <v/>
      </c>
      <c r="K3591" s="10" t="str">
        <f aca="false">IF($A3591="","",$G3591&amp;"|"&amp;$J3591)</f>
        <v/>
      </c>
      <c r="L3591" s="10" t="str">
        <f aca="false">IF($A3591="","",ROW()-2)</f>
        <v/>
      </c>
      <c r="M3591" s="10" t="str">
        <f aca="false">IF($A3591="","",ROW())</f>
        <v/>
      </c>
    </row>
    <row r="3592" customFormat="false" ht="15" hidden="false" customHeight="true" outlineLevel="0" collapsed="false">
      <c r="A3592" s="8"/>
      <c r="B3592" s="8"/>
      <c r="C3592" s="8"/>
      <c r="D3592" s="8"/>
      <c r="E3592" s="8"/>
      <c r="F3592" s="8"/>
      <c r="G3592" s="10" t="str">
        <f aca="false">IF($A3592="","",UPPER(SUBSTITUTE(SUBSTITUTE(SUBSTITUTE(SUBSTITUTE($A3592," ",""),"(주)",""),"주식회사",""),"㈜","")))</f>
        <v/>
      </c>
      <c r="H3592" s="10" t="str">
        <f aca="false">IF($B3592="","",SUBSTITUTE(SUBSTITUTE(SUBSTITUTE($B3592,"-","")," ",""),".",""))</f>
        <v/>
      </c>
      <c r="I3592" s="10" t="str">
        <f aca="false">IF($D3592="","",SUBSTITUTE(SUBSTITUTE(SUBSTITUTE($D3592,"-","")," ",""),".",""))</f>
        <v/>
      </c>
      <c r="J3592" s="10" t="str">
        <f aca="false">IF($E3592="","",UPPER(SUBSTITUTE($E3592," ","")))</f>
        <v/>
      </c>
      <c r="K3592" s="10" t="str">
        <f aca="false">IF($A3592="","",$G3592&amp;"|"&amp;$J3592)</f>
        <v/>
      </c>
      <c r="L3592" s="10" t="str">
        <f aca="false">IF($A3592="","",ROW()-2)</f>
        <v/>
      </c>
      <c r="M3592" s="10" t="str">
        <f aca="false">IF($A3592="","",ROW())</f>
        <v/>
      </c>
    </row>
    <row r="3593" customFormat="false" ht="15" hidden="false" customHeight="true" outlineLevel="0" collapsed="false">
      <c r="A3593" s="8"/>
      <c r="B3593" s="8"/>
      <c r="C3593" s="8"/>
      <c r="D3593" s="8"/>
      <c r="E3593" s="8"/>
      <c r="F3593" s="8"/>
      <c r="G3593" s="10" t="str">
        <f aca="false">IF($A3593="","",UPPER(SUBSTITUTE(SUBSTITUTE(SUBSTITUTE(SUBSTITUTE($A3593," ",""),"(주)",""),"주식회사",""),"㈜","")))</f>
        <v/>
      </c>
      <c r="H3593" s="10" t="str">
        <f aca="false">IF($B3593="","",SUBSTITUTE(SUBSTITUTE(SUBSTITUTE($B3593,"-","")," ",""),".",""))</f>
        <v/>
      </c>
      <c r="I3593" s="10" t="str">
        <f aca="false">IF($D3593="","",SUBSTITUTE(SUBSTITUTE(SUBSTITUTE($D3593,"-","")," ",""),".",""))</f>
        <v/>
      </c>
      <c r="J3593" s="10" t="str">
        <f aca="false">IF($E3593="","",UPPER(SUBSTITUTE($E3593," ","")))</f>
        <v/>
      </c>
      <c r="K3593" s="10" t="str">
        <f aca="false">IF($A3593="","",$G3593&amp;"|"&amp;$J3593)</f>
        <v/>
      </c>
      <c r="L3593" s="10" t="str">
        <f aca="false">IF($A3593="","",ROW()-2)</f>
        <v/>
      </c>
      <c r="M3593" s="10" t="str">
        <f aca="false">IF($A3593="","",ROW())</f>
        <v/>
      </c>
    </row>
    <row r="3594" customFormat="false" ht="15" hidden="false" customHeight="true" outlineLevel="0" collapsed="false">
      <c r="A3594" s="8"/>
      <c r="B3594" s="8"/>
      <c r="C3594" s="8"/>
      <c r="D3594" s="8"/>
      <c r="E3594" s="8"/>
      <c r="F3594" s="8"/>
      <c r="G3594" s="10" t="str">
        <f aca="false">IF($A3594="","",UPPER(SUBSTITUTE(SUBSTITUTE(SUBSTITUTE(SUBSTITUTE($A3594," ",""),"(주)",""),"주식회사",""),"㈜","")))</f>
        <v/>
      </c>
      <c r="H3594" s="10" t="str">
        <f aca="false">IF($B3594="","",SUBSTITUTE(SUBSTITUTE(SUBSTITUTE($B3594,"-","")," ",""),".",""))</f>
        <v/>
      </c>
      <c r="I3594" s="10" t="str">
        <f aca="false">IF($D3594="","",SUBSTITUTE(SUBSTITUTE(SUBSTITUTE($D3594,"-","")," ",""),".",""))</f>
        <v/>
      </c>
      <c r="J3594" s="10" t="str">
        <f aca="false">IF($E3594="","",UPPER(SUBSTITUTE($E3594," ","")))</f>
        <v/>
      </c>
      <c r="K3594" s="10" t="str">
        <f aca="false">IF($A3594="","",$G3594&amp;"|"&amp;$J3594)</f>
        <v/>
      </c>
      <c r="L3594" s="10" t="str">
        <f aca="false">IF($A3594="","",ROW()-2)</f>
        <v/>
      </c>
      <c r="M3594" s="10" t="str">
        <f aca="false">IF($A3594="","",ROW())</f>
        <v/>
      </c>
    </row>
    <row r="3595" customFormat="false" ht="15" hidden="false" customHeight="true" outlineLevel="0" collapsed="false">
      <c r="A3595" s="8"/>
      <c r="B3595" s="8"/>
      <c r="C3595" s="8"/>
      <c r="D3595" s="8"/>
      <c r="E3595" s="8"/>
      <c r="F3595" s="8"/>
      <c r="G3595" s="10" t="str">
        <f aca="false">IF($A3595="","",UPPER(SUBSTITUTE(SUBSTITUTE(SUBSTITUTE(SUBSTITUTE($A3595," ",""),"(주)",""),"주식회사",""),"㈜","")))</f>
        <v/>
      </c>
      <c r="H3595" s="10" t="str">
        <f aca="false">IF($B3595="","",SUBSTITUTE(SUBSTITUTE(SUBSTITUTE($B3595,"-","")," ",""),".",""))</f>
        <v/>
      </c>
      <c r="I3595" s="10" t="str">
        <f aca="false">IF($D3595="","",SUBSTITUTE(SUBSTITUTE(SUBSTITUTE($D3595,"-","")," ",""),".",""))</f>
        <v/>
      </c>
      <c r="J3595" s="10" t="str">
        <f aca="false">IF($E3595="","",UPPER(SUBSTITUTE($E3595," ","")))</f>
        <v/>
      </c>
      <c r="K3595" s="10" t="str">
        <f aca="false">IF($A3595="","",$G3595&amp;"|"&amp;$J3595)</f>
        <v/>
      </c>
      <c r="L3595" s="10" t="str">
        <f aca="false">IF($A3595="","",ROW()-2)</f>
        <v/>
      </c>
      <c r="M3595" s="10" t="str">
        <f aca="false">IF($A3595="","",ROW())</f>
        <v/>
      </c>
    </row>
    <row r="3596" customFormat="false" ht="15" hidden="false" customHeight="true" outlineLevel="0" collapsed="false">
      <c r="A3596" s="8"/>
      <c r="B3596" s="8"/>
      <c r="C3596" s="8"/>
      <c r="D3596" s="8"/>
      <c r="E3596" s="8"/>
      <c r="F3596" s="8"/>
      <c r="G3596" s="10" t="str">
        <f aca="false">IF($A3596="","",UPPER(SUBSTITUTE(SUBSTITUTE(SUBSTITUTE(SUBSTITUTE($A3596," ",""),"(주)",""),"주식회사",""),"㈜","")))</f>
        <v/>
      </c>
      <c r="H3596" s="10" t="str">
        <f aca="false">IF($B3596="","",SUBSTITUTE(SUBSTITUTE(SUBSTITUTE($B3596,"-","")," ",""),".",""))</f>
        <v/>
      </c>
      <c r="I3596" s="10" t="str">
        <f aca="false">IF($D3596="","",SUBSTITUTE(SUBSTITUTE(SUBSTITUTE($D3596,"-","")," ",""),".",""))</f>
        <v/>
      </c>
      <c r="J3596" s="10" t="str">
        <f aca="false">IF($E3596="","",UPPER(SUBSTITUTE($E3596," ","")))</f>
        <v/>
      </c>
      <c r="K3596" s="10" t="str">
        <f aca="false">IF($A3596="","",$G3596&amp;"|"&amp;$J3596)</f>
        <v/>
      </c>
      <c r="L3596" s="10" t="str">
        <f aca="false">IF($A3596="","",ROW()-2)</f>
        <v/>
      </c>
      <c r="M3596" s="10" t="str">
        <f aca="false">IF($A3596="","",ROW())</f>
        <v/>
      </c>
    </row>
    <row r="3597" customFormat="false" ht="15" hidden="false" customHeight="true" outlineLevel="0" collapsed="false">
      <c r="A3597" s="8"/>
      <c r="B3597" s="8"/>
      <c r="C3597" s="8"/>
      <c r="D3597" s="8"/>
      <c r="E3597" s="8"/>
      <c r="F3597" s="8"/>
      <c r="G3597" s="10" t="str">
        <f aca="false">IF($A3597="","",UPPER(SUBSTITUTE(SUBSTITUTE(SUBSTITUTE(SUBSTITUTE($A3597," ",""),"(주)",""),"주식회사",""),"㈜","")))</f>
        <v/>
      </c>
      <c r="H3597" s="10" t="str">
        <f aca="false">IF($B3597="","",SUBSTITUTE(SUBSTITUTE(SUBSTITUTE($B3597,"-","")," ",""),".",""))</f>
        <v/>
      </c>
      <c r="I3597" s="10" t="str">
        <f aca="false">IF($D3597="","",SUBSTITUTE(SUBSTITUTE(SUBSTITUTE($D3597,"-","")," ",""),".",""))</f>
        <v/>
      </c>
      <c r="J3597" s="10" t="str">
        <f aca="false">IF($E3597="","",UPPER(SUBSTITUTE($E3597," ","")))</f>
        <v/>
      </c>
      <c r="K3597" s="10" t="str">
        <f aca="false">IF($A3597="","",$G3597&amp;"|"&amp;$J3597)</f>
        <v/>
      </c>
      <c r="L3597" s="10" t="str">
        <f aca="false">IF($A3597="","",ROW()-2)</f>
        <v/>
      </c>
      <c r="M3597" s="10" t="str">
        <f aca="false">IF($A3597="","",ROW())</f>
        <v/>
      </c>
    </row>
    <row r="3598" customFormat="false" ht="15" hidden="false" customHeight="true" outlineLevel="0" collapsed="false">
      <c r="A3598" s="8"/>
      <c r="B3598" s="8"/>
      <c r="C3598" s="8"/>
      <c r="D3598" s="8"/>
      <c r="E3598" s="8"/>
      <c r="F3598" s="8"/>
      <c r="G3598" s="10" t="str">
        <f aca="false">IF($A3598="","",UPPER(SUBSTITUTE(SUBSTITUTE(SUBSTITUTE(SUBSTITUTE($A3598," ",""),"(주)",""),"주식회사",""),"㈜","")))</f>
        <v/>
      </c>
      <c r="H3598" s="10" t="str">
        <f aca="false">IF($B3598="","",SUBSTITUTE(SUBSTITUTE(SUBSTITUTE($B3598,"-","")," ",""),".",""))</f>
        <v/>
      </c>
      <c r="I3598" s="10" t="str">
        <f aca="false">IF($D3598="","",SUBSTITUTE(SUBSTITUTE(SUBSTITUTE($D3598,"-","")," ",""),".",""))</f>
        <v/>
      </c>
      <c r="J3598" s="10" t="str">
        <f aca="false">IF($E3598="","",UPPER(SUBSTITUTE($E3598," ","")))</f>
        <v/>
      </c>
      <c r="K3598" s="10" t="str">
        <f aca="false">IF($A3598="","",$G3598&amp;"|"&amp;$J3598)</f>
        <v/>
      </c>
      <c r="L3598" s="10" t="str">
        <f aca="false">IF($A3598="","",ROW()-2)</f>
        <v/>
      </c>
      <c r="M3598" s="10" t="str">
        <f aca="false">IF($A3598="","",ROW())</f>
        <v/>
      </c>
    </row>
    <row r="3599" customFormat="false" ht="15" hidden="false" customHeight="true" outlineLevel="0" collapsed="false">
      <c r="A3599" s="8"/>
      <c r="B3599" s="8"/>
      <c r="C3599" s="8"/>
      <c r="D3599" s="8"/>
      <c r="E3599" s="8"/>
      <c r="F3599" s="8"/>
      <c r="G3599" s="10" t="str">
        <f aca="false">IF($A3599="","",UPPER(SUBSTITUTE(SUBSTITUTE(SUBSTITUTE(SUBSTITUTE($A3599," ",""),"(주)",""),"주식회사",""),"㈜","")))</f>
        <v/>
      </c>
      <c r="H3599" s="10" t="str">
        <f aca="false">IF($B3599="","",SUBSTITUTE(SUBSTITUTE(SUBSTITUTE($B3599,"-","")," ",""),".",""))</f>
        <v/>
      </c>
      <c r="I3599" s="10" t="str">
        <f aca="false">IF($D3599="","",SUBSTITUTE(SUBSTITUTE(SUBSTITUTE($D3599,"-","")," ",""),".",""))</f>
        <v/>
      </c>
      <c r="J3599" s="10" t="str">
        <f aca="false">IF($E3599="","",UPPER(SUBSTITUTE($E3599," ","")))</f>
        <v/>
      </c>
      <c r="K3599" s="10" t="str">
        <f aca="false">IF($A3599="","",$G3599&amp;"|"&amp;$J3599)</f>
        <v/>
      </c>
      <c r="L3599" s="10" t="str">
        <f aca="false">IF($A3599="","",ROW()-2)</f>
        <v/>
      </c>
      <c r="M3599" s="10" t="str">
        <f aca="false">IF($A3599="","",ROW())</f>
        <v/>
      </c>
    </row>
    <row r="3600" customFormat="false" ht="15" hidden="false" customHeight="true" outlineLevel="0" collapsed="false">
      <c r="A3600" s="8"/>
      <c r="B3600" s="8"/>
      <c r="C3600" s="8"/>
      <c r="D3600" s="8"/>
      <c r="E3600" s="8"/>
      <c r="F3600" s="8"/>
      <c r="G3600" s="10" t="str">
        <f aca="false">IF($A3600="","",UPPER(SUBSTITUTE(SUBSTITUTE(SUBSTITUTE(SUBSTITUTE($A3600," ",""),"(주)",""),"주식회사",""),"㈜","")))</f>
        <v/>
      </c>
      <c r="H3600" s="10" t="str">
        <f aca="false">IF($B3600="","",SUBSTITUTE(SUBSTITUTE(SUBSTITUTE($B3600,"-","")," ",""),".",""))</f>
        <v/>
      </c>
      <c r="I3600" s="10" t="str">
        <f aca="false">IF($D3600="","",SUBSTITUTE(SUBSTITUTE(SUBSTITUTE($D3600,"-","")," ",""),".",""))</f>
        <v/>
      </c>
      <c r="J3600" s="10" t="str">
        <f aca="false">IF($E3600="","",UPPER(SUBSTITUTE($E3600," ","")))</f>
        <v/>
      </c>
      <c r="K3600" s="10" t="str">
        <f aca="false">IF($A3600="","",$G3600&amp;"|"&amp;$J3600)</f>
        <v/>
      </c>
      <c r="L3600" s="10" t="str">
        <f aca="false">IF($A3600="","",ROW()-2)</f>
        <v/>
      </c>
      <c r="M3600" s="10" t="str">
        <f aca="false">IF($A3600="","",ROW())</f>
        <v/>
      </c>
    </row>
    <row r="3601" customFormat="false" ht="15" hidden="false" customHeight="true" outlineLevel="0" collapsed="false">
      <c r="A3601" s="8"/>
      <c r="B3601" s="8"/>
      <c r="C3601" s="8"/>
      <c r="D3601" s="8"/>
      <c r="E3601" s="8"/>
      <c r="F3601" s="8"/>
      <c r="G3601" s="10" t="str">
        <f aca="false">IF($A3601="","",UPPER(SUBSTITUTE(SUBSTITUTE(SUBSTITUTE(SUBSTITUTE($A3601," ",""),"(주)",""),"주식회사",""),"㈜","")))</f>
        <v/>
      </c>
      <c r="H3601" s="10" t="str">
        <f aca="false">IF($B3601="","",SUBSTITUTE(SUBSTITUTE(SUBSTITUTE($B3601,"-","")," ",""),".",""))</f>
        <v/>
      </c>
      <c r="I3601" s="10" t="str">
        <f aca="false">IF($D3601="","",SUBSTITUTE(SUBSTITUTE(SUBSTITUTE($D3601,"-","")," ",""),".",""))</f>
        <v/>
      </c>
      <c r="J3601" s="10" t="str">
        <f aca="false">IF($E3601="","",UPPER(SUBSTITUTE($E3601," ","")))</f>
        <v/>
      </c>
      <c r="K3601" s="10" t="str">
        <f aca="false">IF($A3601="","",$G3601&amp;"|"&amp;$J3601)</f>
        <v/>
      </c>
      <c r="L3601" s="10" t="str">
        <f aca="false">IF($A3601="","",ROW()-2)</f>
        <v/>
      </c>
      <c r="M3601" s="10" t="str">
        <f aca="false">IF($A3601="","",ROW())</f>
        <v/>
      </c>
    </row>
    <row r="3602" customFormat="false" ht="15" hidden="false" customHeight="true" outlineLevel="0" collapsed="false">
      <c r="A3602" s="8"/>
      <c r="B3602" s="8"/>
      <c r="C3602" s="8"/>
      <c r="D3602" s="8"/>
      <c r="E3602" s="8"/>
      <c r="F3602" s="8"/>
      <c r="G3602" s="10" t="str">
        <f aca="false">IF($A3602="","",UPPER(SUBSTITUTE(SUBSTITUTE(SUBSTITUTE(SUBSTITUTE($A3602," ",""),"(주)",""),"주식회사",""),"㈜","")))</f>
        <v/>
      </c>
      <c r="H3602" s="10" t="str">
        <f aca="false">IF($B3602="","",SUBSTITUTE(SUBSTITUTE(SUBSTITUTE($B3602,"-","")," ",""),".",""))</f>
        <v/>
      </c>
      <c r="I3602" s="10" t="str">
        <f aca="false">IF($D3602="","",SUBSTITUTE(SUBSTITUTE(SUBSTITUTE($D3602,"-","")," ",""),".",""))</f>
        <v/>
      </c>
      <c r="J3602" s="10" t="str">
        <f aca="false">IF($E3602="","",UPPER(SUBSTITUTE($E3602," ","")))</f>
        <v/>
      </c>
      <c r="K3602" s="10" t="str">
        <f aca="false">IF($A3602="","",$G3602&amp;"|"&amp;$J3602)</f>
        <v/>
      </c>
      <c r="L3602" s="10" t="str">
        <f aca="false">IF($A3602="","",ROW()-2)</f>
        <v/>
      </c>
      <c r="M3602" s="10" t="str">
        <f aca="false">IF($A3602="","",ROW())</f>
        <v/>
      </c>
    </row>
    <row r="3603" customFormat="false" ht="15" hidden="false" customHeight="true" outlineLevel="0" collapsed="false">
      <c r="A3603" s="8"/>
      <c r="B3603" s="8"/>
      <c r="C3603" s="8"/>
      <c r="D3603" s="8"/>
      <c r="E3603" s="8"/>
      <c r="F3603" s="8"/>
      <c r="G3603" s="10" t="str">
        <f aca="false">IF($A3603="","",UPPER(SUBSTITUTE(SUBSTITUTE(SUBSTITUTE(SUBSTITUTE($A3603," ",""),"(주)",""),"주식회사",""),"㈜","")))</f>
        <v/>
      </c>
      <c r="H3603" s="10" t="str">
        <f aca="false">IF($B3603="","",SUBSTITUTE(SUBSTITUTE(SUBSTITUTE($B3603,"-","")," ",""),".",""))</f>
        <v/>
      </c>
      <c r="I3603" s="10" t="str">
        <f aca="false">IF($D3603="","",SUBSTITUTE(SUBSTITUTE(SUBSTITUTE($D3603,"-","")," ",""),".",""))</f>
        <v/>
      </c>
      <c r="J3603" s="10" t="str">
        <f aca="false">IF($E3603="","",UPPER(SUBSTITUTE($E3603," ","")))</f>
        <v/>
      </c>
      <c r="K3603" s="10" t="str">
        <f aca="false">IF($A3603="","",$G3603&amp;"|"&amp;$J3603)</f>
        <v/>
      </c>
      <c r="L3603" s="10" t="str">
        <f aca="false">IF($A3603="","",ROW()-2)</f>
        <v/>
      </c>
      <c r="M3603" s="10" t="str">
        <f aca="false">IF($A3603="","",ROW())</f>
        <v/>
      </c>
    </row>
    <row r="3604" customFormat="false" ht="15" hidden="false" customHeight="true" outlineLevel="0" collapsed="false">
      <c r="A3604" s="8"/>
      <c r="B3604" s="8"/>
      <c r="C3604" s="8"/>
      <c r="D3604" s="8"/>
      <c r="E3604" s="8"/>
      <c r="F3604" s="8"/>
      <c r="G3604" s="10" t="str">
        <f aca="false">IF($A3604="","",UPPER(SUBSTITUTE(SUBSTITUTE(SUBSTITUTE(SUBSTITUTE($A3604," ",""),"(주)",""),"주식회사",""),"㈜","")))</f>
        <v/>
      </c>
      <c r="H3604" s="10" t="str">
        <f aca="false">IF($B3604="","",SUBSTITUTE(SUBSTITUTE(SUBSTITUTE($B3604,"-","")," ",""),".",""))</f>
        <v/>
      </c>
      <c r="I3604" s="10" t="str">
        <f aca="false">IF($D3604="","",SUBSTITUTE(SUBSTITUTE(SUBSTITUTE($D3604,"-","")," ",""),".",""))</f>
        <v/>
      </c>
      <c r="J3604" s="10" t="str">
        <f aca="false">IF($E3604="","",UPPER(SUBSTITUTE($E3604," ","")))</f>
        <v/>
      </c>
      <c r="K3604" s="10" t="str">
        <f aca="false">IF($A3604="","",$G3604&amp;"|"&amp;$J3604)</f>
        <v/>
      </c>
      <c r="L3604" s="10" t="str">
        <f aca="false">IF($A3604="","",ROW()-2)</f>
        <v/>
      </c>
      <c r="M3604" s="10" t="str">
        <f aca="false">IF($A3604="","",ROW())</f>
        <v/>
      </c>
    </row>
    <row r="3605" customFormat="false" ht="15" hidden="false" customHeight="true" outlineLevel="0" collapsed="false">
      <c r="A3605" s="8"/>
      <c r="B3605" s="8"/>
      <c r="C3605" s="8"/>
      <c r="D3605" s="8"/>
      <c r="E3605" s="8"/>
      <c r="F3605" s="8"/>
      <c r="G3605" s="10" t="str">
        <f aca="false">IF($A3605="","",UPPER(SUBSTITUTE(SUBSTITUTE(SUBSTITUTE(SUBSTITUTE($A3605," ",""),"(주)",""),"주식회사",""),"㈜","")))</f>
        <v/>
      </c>
      <c r="H3605" s="10" t="str">
        <f aca="false">IF($B3605="","",SUBSTITUTE(SUBSTITUTE(SUBSTITUTE($B3605,"-","")," ",""),".",""))</f>
        <v/>
      </c>
      <c r="I3605" s="10" t="str">
        <f aca="false">IF($D3605="","",SUBSTITUTE(SUBSTITUTE(SUBSTITUTE($D3605,"-","")," ",""),".",""))</f>
        <v/>
      </c>
      <c r="J3605" s="10" t="str">
        <f aca="false">IF($E3605="","",UPPER(SUBSTITUTE($E3605," ","")))</f>
        <v/>
      </c>
      <c r="K3605" s="10" t="str">
        <f aca="false">IF($A3605="","",$G3605&amp;"|"&amp;$J3605)</f>
        <v/>
      </c>
      <c r="L3605" s="10" t="str">
        <f aca="false">IF($A3605="","",ROW()-2)</f>
        <v/>
      </c>
      <c r="M3605" s="10" t="str">
        <f aca="false">IF($A3605="","",ROW())</f>
        <v/>
      </c>
    </row>
    <row r="3606" customFormat="false" ht="15" hidden="false" customHeight="true" outlineLevel="0" collapsed="false">
      <c r="A3606" s="8"/>
      <c r="B3606" s="8"/>
      <c r="C3606" s="8"/>
      <c r="D3606" s="8"/>
      <c r="E3606" s="8"/>
      <c r="F3606" s="8"/>
      <c r="G3606" s="10" t="str">
        <f aca="false">IF($A3606="","",UPPER(SUBSTITUTE(SUBSTITUTE(SUBSTITUTE(SUBSTITUTE($A3606," ",""),"(주)",""),"주식회사",""),"㈜","")))</f>
        <v/>
      </c>
      <c r="H3606" s="10" t="str">
        <f aca="false">IF($B3606="","",SUBSTITUTE(SUBSTITUTE(SUBSTITUTE($B3606,"-","")," ",""),".",""))</f>
        <v/>
      </c>
      <c r="I3606" s="10" t="str">
        <f aca="false">IF($D3606="","",SUBSTITUTE(SUBSTITUTE(SUBSTITUTE($D3606,"-","")," ",""),".",""))</f>
        <v/>
      </c>
      <c r="J3606" s="10" t="str">
        <f aca="false">IF($E3606="","",UPPER(SUBSTITUTE($E3606," ","")))</f>
        <v/>
      </c>
      <c r="K3606" s="10" t="str">
        <f aca="false">IF($A3606="","",$G3606&amp;"|"&amp;$J3606)</f>
        <v/>
      </c>
      <c r="L3606" s="10" t="str">
        <f aca="false">IF($A3606="","",ROW()-2)</f>
        <v/>
      </c>
      <c r="M3606" s="10" t="str">
        <f aca="false">IF($A3606="","",ROW())</f>
        <v/>
      </c>
    </row>
    <row r="3607" customFormat="false" ht="15" hidden="false" customHeight="true" outlineLevel="0" collapsed="false">
      <c r="A3607" s="8"/>
      <c r="B3607" s="8"/>
      <c r="C3607" s="8"/>
      <c r="D3607" s="8"/>
      <c r="E3607" s="8"/>
      <c r="F3607" s="8"/>
      <c r="G3607" s="10" t="str">
        <f aca="false">IF($A3607="","",UPPER(SUBSTITUTE(SUBSTITUTE(SUBSTITUTE(SUBSTITUTE($A3607," ",""),"(주)",""),"주식회사",""),"㈜","")))</f>
        <v/>
      </c>
      <c r="H3607" s="10" t="str">
        <f aca="false">IF($B3607="","",SUBSTITUTE(SUBSTITUTE(SUBSTITUTE($B3607,"-","")," ",""),".",""))</f>
        <v/>
      </c>
      <c r="I3607" s="10" t="str">
        <f aca="false">IF($D3607="","",SUBSTITUTE(SUBSTITUTE(SUBSTITUTE($D3607,"-","")," ",""),".",""))</f>
        <v/>
      </c>
      <c r="J3607" s="10" t="str">
        <f aca="false">IF($E3607="","",UPPER(SUBSTITUTE($E3607," ","")))</f>
        <v/>
      </c>
      <c r="K3607" s="10" t="str">
        <f aca="false">IF($A3607="","",$G3607&amp;"|"&amp;$J3607)</f>
        <v/>
      </c>
      <c r="L3607" s="10" t="str">
        <f aca="false">IF($A3607="","",ROW()-2)</f>
        <v/>
      </c>
      <c r="M3607" s="10" t="str">
        <f aca="false">IF($A3607="","",ROW())</f>
        <v/>
      </c>
    </row>
    <row r="3608" customFormat="false" ht="15" hidden="false" customHeight="true" outlineLevel="0" collapsed="false">
      <c r="A3608" s="8"/>
      <c r="B3608" s="8"/>
      <c r="C3608" s="8"/>
      <c r="D3608" s="8"/>
      <c r="E3608" s="8"/>
      <c r="F3608" s="8"/>
      <c r="G3608" s="10" t="str">
        <f aca="false">IF($A3608="","",UPPER(SUBSTITUTE(SUBSTITUTE(SUBSTITUTE(SUBSTITUTE($A3608," ",""),"(주)",""),"주식회사",""),"㈜","")))</f>
        <v/>
      </c>
      <c r="H3608" s="10" t="str">
        <f aca="false">IF($B3608="","",SUBSTITUTE(SUBSTITUTE(SUBSTITUTE($B3608,"-","")," ",""),".",""))</f>
        <v/>
      </c>
      <c r="I3608" s="10" t="str">
        <f aca="false">IF($D3608="","",SUBSTITUTE(SUBSTITUTE(SUBSTITUTE($D3608,"-","")," ",""),".",""))</f>
        <v/>
      </c>
      <c r="J3608" s="10" t="str">
        <f aca="false">IF($E3608="","",UPPER(SUBSTITUTE($E3608," ","")))</f>
        <v/>
      </c>
      <c r="K3608" s="10" t="str">
        <f aca="false">IF($A3608="","",$G3608&amp;"|"&amp;$J3608)</f>
        <v/>
      </c>
      <c r="L3608" s="10" t="str">
        <f aca="false">IF($A3608="","",ROW()-2)</f>
        <v/>
      </c>
      <c r="M3608" s="10" t="str">
        <f aca="false">IF($A3608="","",ROW())</f>
        <v/>
      </c>
    </row>
    <row r="3609" customFormat="false" ht="15" hidden="false" customHeight="true" outlineLevel="0" collapsed="false">
      <c r="A3609" s="8"/>
      <c r="B3609" s="8"/>
      <c r="C3609" s="8"/>
      <c r="D3609" s="8"/>
      <c r="E3609" s="8"/>
      <c r="F3609" s="8"/>
      <c r="G3609" s="10" t="str">
        <f aca="false">IF($A3609="","",UPPER(SUBSTITUTE(SUBSTITUTE(SUBSTITUTE(SUBSTITUTE($A3609," ",""),"(주)",""),"주식회사",""),"㈜","")))</f>
        <v/>
      </c>
      <c r="H3609" s="10" t="str">
        <f aca="false">IF($B3609="","",SUBSTITUTE(SUBSTITUTE(SUBSTITUTE($B3609,"-","")," ",""),".",""))</f>
        <v/>
      </c>
      <c r="I3609" s="10" t="str">
        <f aca="false">IF($D3609="","",SUBSTITUTE(SUBSTITUTE(SUBSTITUTE($D3609,"-","")," ",""),".",""))</f>
        <v/>
      </c>
      <c r="J3609" s="10" t="str">
        <f aca="false">IF($E3609="","",UPPER(SUBSTITUTE($E3609," ","")))</f>
        <v/>
      </c>
      <c r="K3609" s="10" t="str">
        <f aca="false">IF($A3609="","",$G3609&amp;"|"&amp;$J3609)</f>
        <v/>
      </c>
      <c r="L3609" s="10" t="str">
        <f aca="false">IF($A3609="","",ROW()-2)</f>
        <v/>
      </c>
      <c r="M3609" s="10" t="str">
        <f aca="false">IF($A3609="","",ROW())</f>
        <v/>
      </c>
    </row>
    <row r="3610" customFormat="false" ht="15" hidden="false" customHeight="true" outlineLevel="0" collapsed="false">
      <c r="A3610" s="8"/>
      <c r="B3610" s="8"/>
      <c r="C3610" s="8"/>
      <c r="D3610" s="8"/>
      <c r="E3610" s="8"/>
      <c r="F3610" s="8"/>
      <c r="G3610" s="10" t="str">
        <f aca="false">IF($A3610="","",UPPER(SUBSTITUTE(SUBSTITUTE(SUBSTITUTE(SUBSTITUTE($A3610," ",""),"(주)",""),"주식회사",""),"㈜","")))</f>
        <v/>
      </c>
      <c r="H3610" s="10" t="str">
        <f aca="false">IF($B3610="","",SUBSTITUTE(SUBSTITUTE(SUBSTITUTE($B3610,"-","")," ",""),".",""))</f>
        <v/>
      </c>
      <c r="I3610" s="10" t="str">
        <f aca="false">IF($D3610="","",SUBSTITUTE(SUBSTITUTE(SUBSTITUTE($D3610,"-","")," ",""),".",""))</f>
        <v/>
      </c>
      <c r="J3610" s="10" t="str">
        <f aca="false">IF($E3610="","",UPPER(SUBSTITUTE($E3610," ","")))</f>
        <v/>
      </c>
      <c r="K3610" s="10" t="str">
        <f aca="false">IF($A3610="","",$G3610&amp;"|"&amp;$J3610)</f>
        <v/>
      </c>
      <c r="L3610" s="10" t="str">
        <f aca="false">IF($A3610="","",ROW()-2)</f>
        <v/>
      </c>
      <c r="M3610" s="10" t="str">
        <f aca="false">IF($A3610="","",ROW())</f>
        <v/>
      </c>
    </row>
    <row r="3611" customFormat="false" ht="15" hidden="false" customHeight="true" outlineLevel="0" collapsed="false">
      <c r="A3611" s="8"/>
      <c r="B3611" s="8"/>
      <c r="C3611" s="8"/>
      <c r="D3611" s="8"/>
      <c r="E3611" s="8"/>
      <c r="F3611" s="8"/>
      <c r="G3611" s="10" t="str">
        <f aca="false">IF($A3611="","",UPPER(SUBSTITUTE(SUBSTITUTE(SUBSTITUTE(SUBSTITUTE($A3611," ",""),"(주)",""),"주식회사",""),"㈜","")))</f>
        <v/>
      </c>
      <c r="H3611" s="10" t="str">
        <f aca="false">IF($B3611="","",SUBSTITUTE(SUBSTITUTE(SUBSTITUTE($B3611,"-","")," ",""),".",""))</f>
        <v/>
      </c>
      <c r="I3611" s="10" t="str">
        <f aca="false">IF($D3611="","",SUBSTITUTE(SUBSTITUTE(SUBSTITUTE($D3611,"-","")," ",""),".",""))</f>
        <v/>
      </c>
      <c r="J3611" s="10" t="str">
        <f aca="false">IF($E3611="","",UPPER(SUBSTITUTE($E3611," ","")))</f>
        <v/>
      </c>
      <c r="K3611" s="10" t="str">
        <f aca="false">IF($A3611="","",$G3611&amp;"|"&amp;$J3611)</f>
        <v/>
      </c>
      <c r="L3611" s="10" t="str">
        <f aca="false">IF($A3611="","",ROW()-2)</f>
        <v/>
      </c>
      <c r="M3611" s="10" t="str">
        <f aca="false">IF($A3611="","",ROW())</f>
        <v/>
      </c>
    </row>
    <row r="3612" customFormat="false" ht="15" hidden="false" customHeight="true" outlineLevel="0" collapsed="false">
      <c r="A3612" s="8"/>
      <c r="B3612" s="8"/>
      <c r="C3612" s="8"/>
      <c r="D3612" s="8"/>
      <c r="E3612" s="8"/>
      <c r="F3612" s="8"/>
      <c r="G3612" s="10" t="str">
        <f aca="false">IF($A3612="","",UPPER(SUBSTITUTE(SUBSTITUTE(SUBSTITUTE(SUBSTITUTE($A3612," ",""),"(주)",""),"주식회사",""),"㈜","")))</f>
        <v/>
      </c>
      <c r="H3612" s="10" t="str">
        <f aca="false">IF($B3612="","",SUBSTITUTE(SUBSTITUTE(SUBSTITUTE($B3612,"-","")," ",""),".",""))</f>
        <v/>
      </c>
      <c r="I3612" s="10" t="str">
        <f aca="false">IF($D3612="","",SUBSTITUTE(SUBSTITUTE(SUBSTITUTE($D3612,"-","")," ",""),".",""))</f>
        <v/>
      </c>
      <c r="J3612" s="10" t="str">
        <f aca="false">IF($E3612="","",UPPER(SUBSTITUTE($E3612," ","")))</f>
        <v/>
      </c>
      <c r="K3612" s="10" t="str">
        <f aca="false">IF($A3612="","",$G3612&amp;"|"&amp;$J3612)</f>
        <v/>
      </c>
      <c r="L3612" s="10" t="str">
        <f aca="false">IF($A3612="","",ROW()-2)</f>
        <v/>
      </c>
      <c r="M3612" s="10" t="str">
        <f aca="false">IF($A3612="","",ROW())</f>
        <v/>
      </c>
    </row>
    <row r="3613" customFormat="false" ht="15" hidden="false" customHeight="true" outlineLevel="0" collapsed="false">
      <c r="A3613" s="8"/>
      <c r="B3613" s="8"/>
      <c r="C3613" s="8"/>
      <c r="D3613" s="8"/>
      <c r="E3613" s="8"/>
      <c r="F3613" s="8"/>
      <c r="G3613" s="10" t="str">
        <f aca="false">IF($A3613="","",UPPER(SUBSTITUTE(SUBSTITUTE(SUBSTITUTE(SUBSTITUTE($A3613," ",""),"(주)",""),"주식회사",""),"㈜","")))</f>
        <v/>
      </c>
      <c r="H3613" s="10" t="str">
        <f aca="false">IF($B3613="","",SUBSTITUTE(SUBSTITUTE(SUBSTITUTE($B3613,"-","")," ",""),".",""))</f>
        <v/>
      </c>
      <c r="I3613" s="10" t="str">
        <f aca="false">IF($D3613="","",SUBSTITUTE(SUBSTITUTE(SUBSTITUTE($D3613,"-","")," ",""),".",""))</f>
        <v/>
      </c>
      <c r="J3613" s="10" t="str">
        <f aca="false">IF($E3613="","",UPPER(SUBSTITUTE($E3613," ","")))</f>
        <v/>
      </c>
      <c r="K3613" s="10" t="str">
        <f aca="false">IF($A3613="","",$G3613&amp;"|"&amp;$J3613)</f>
        <v/>
      </c>
      <c r="L3613" s="10" t="str">
        <f aca="false">IF($A3613="","",ROW()-2)</f>
        <v/>
      </c>
      <c r="M3613" s="10" t="str">
        <f aca="false">IF($A3613="","",ROW())</f>
        <v/>
      </c>
    </row>
    <row r="3614" customFormat="false" ht="15" hidden="false" customHeight="true" outlineLevel="0" collapsed="false">
      <c r="A3614" s="8"/>
      <c r="B3614" s="8"/>
      <c r="C3614" s="8"/>
      <c r="D3614" s="8"/>
      <c r="E3614" s="8"/>
      <c r="F3614" s="8"/>
      <c r="G3614" s="10" t="str">
        <f aca="false">IF($A3614="","",UPPER(SUBSTITUTE(SUBSTITUTE(SUBSTITUTE(SUBSTITUTE($A3614," ",""),"(주)",""),"주식회사",""),"㈜","")))</f>
        <v/>
      </c>
      <c r="H3614" s="10" t="str">
        <f aca="false">IF($B3614="","",SUBSTITUTE(SUBSTITUTE(SUBSTITUTE($B3614,"-","")," ",""),".",""))</f>
        <v/>
      </c>
      <c r="I3614" s="10" t="str">
        <f aca="false">IF($D3614="","",SUBSTITUTE(SUBSTITUTE(SUBSTITUTE($D3614,"-","")," ",""),".",""))</f>
        <v/>
      </c>
      <c r="J3614" s="10" t="str">
        <f aca="false">IF($E3614="","",UPPER(SUBSTITUTE($E3614," ","")))</f>
        <v/>
      </c>
      <c r="K3614" s="10" t="str">
        <f aca="false">IF($A3614="","",$G3614&amp;"|"&amp;$J3614)</f>
        <v/>
      </c>
      <c r="L3614" s="10" t="str">
        <f aca="false">IF($A3614="","",ROW()-2)</f>
        <v/>
      </c>
      <c r="M3614" s="10" t="str">
        <f aca="false">IF($A3614="","",ROW())</f>
        <v/>
      </c>
    </row>
    <row r="3615" customFormat="false" ht="15" hidden="false" customHeight="true" outlineLevel="0" collapsed="false">
      <c r="A3615" s="8"/>
      <c r="B3615" s="8"/>
      <c r="C3615" s="8"/>
      <c r="D3615" s="8"/>
      <c r="E3615" s="8"/>
      <c r="F3615" s="8"/>
      <c r="G3615" s="10" t="str">
        <f aca="false">IF($A3615="","",UPPER(SUBSTITUTE(SUBSTITUTE(SUBSTITUTE(SUBSTITUTE($A3615," ",""),"(주)",""),"주식회사",""),"㈜","")))</f>
        <v/>
      </c>
      <c r="H3615" s="10" t="str">
        <f aca="false">IF($B3615="","",SUBSTITUTE(SUBSTITUTE(SUBSTITUTE($B3615,"-","")," ",""),".",""))</f>
        <v/>
      </c>
      <c r="I3615" s="10" t="str">
        <f aca="false">IF($D3615="","",SUBSTITUTE(SUBSTITUTE(SUBSTITUTE($D3615,"-","")," ",""),".",""))</f>
        <v/>
      </c>
      <c r="J3615" s="10" t="str">
        <f aca="false">IF($E3615="","",UPPER(SUBSTITUTE($E3615," ","")))</f>
        <v/>
      </c>
      <c r="K3615" s="10" t="str">
        <f aca="false">IF($A3615="","",$G3615&amp;"|"&amp;$J3615)</f>
        <v/>
      </c>
      <c r="L3615" s="10" t="str">
        <f aca="false">IF($A3615="","",ROW()-2)</f>
        <v/>
      </c>
      <c r="M3615" s="10" t="str">
        <f aca="false">IF($A3615="","",ROW())</f>
        <v/>
      </c>
    </row>
    <row r="3616" customFormat="false" ht="15" hidden="false" customHeight="true" outlineLevel="0" collapsed="false">
      <c r="A3616" s="8"/>
      <c r="B3616" s="8"/>
      <c r="C3616" s="8"/>
      <c r="D3616" s="8"/>
      <c r="E3616" s="8"/>
      <c r="F3616" s="8"/>
      <c r="G3616" s="10" t="str">
        <f aca="false">IF($A3616="","",UPPER(SUBSTITUTE(SUBSTITUTE(SUBSTITUTE(SUBSTITUTE($A3616," ",""),"(주)",""),"주식회사",""),"㈜","")))</f>
        <v/>
      </c>
      <c r="H3616" s="10" t="str">
        <f aca="false">IF($B3616="","",SUBSTITUTE(SUBSTITUTE(SUBSTITUTE($B3616,"-","")," ",""),".",""))</f>
        <v/>
      </c>
      <c r="I3616" s="10" t="str">
        <f aca="false">IF($D3616="","",SUBSTITUTE(SUBSTITUTE(SUBSTITUTE($D3616,"-","")," ",""),".",""))</f>
        <v/>
      </c>
      <c r="J3616" s="10" t="str">
        <f aca="false">IF($E3616="","",UPPER(SUBSTITUTE($E3616," ","")))</f>
        <v/>
      </c>
      <c r="K3616" s="10" t="str">
        <f aca="false">IF($A3616="","",$G3616&amp;"|"&amp;$J3616)</f>
        <v/>
      </c>
      <c r="L3616" s="10" t="str">
        <f aca="false">IF($A3616="","",ROW()-2)</f>
        <v/>
      </c>
      <c r="M3616" s="10" t="str">
        <f aca="false">IF($A3616="","",ROW())</f>
        <v/>
      </c>
    </row>
    <row r="3617" customFormat="false" ht="15" hidden="false" customHeight="true" outlineLevel="0" collapsed="false">
      <c r="A3617" s="8"/>
      <c r="B3617" s="8"/>
      <c r="C3617" s="8"/>
      <c r="D3617" s="8"/>
      <c r="E3617" s="8"/>
      <c r="F3617" s="8"/>
      <c r="G3617" s="10" t="str">
        <f aca="false">IF($A3617="","",UPPER(SUBSTITUTE(SUBSTITUTE(SUBSTITUTE(SUBSTITUTE($A3617," ",""),"(주)",""),"주식회사",""),"㈜","")))</f>
        <v/>
      </c>
      <c r="H3617" s="10" t="str">
        <f aca="false">IF($B3617="","",SUBSTITUTE(SUBSTITUTE(SUBSTITUTE($B3617,"-","")," ",""),".",""))</f>
        <v/>
      </c>
      <c r="I3617" s="10" t="str">
        <f aca="false">IF($D3617="","",SUBSTITUTE(SUBSTITUTE(SUBSTITUTE($D3617,"-","")," ",""),".",""))</f>
        <v/>
      </c>
      <c r="J3617" s="10" t="str">
        <f aca="false">IF($E3617="","",UPPER(SUBSTITUTE($E3617," ","")))</f>
        <v/>
      </c>
      <c r="K3617" s="10" t="str">
        <f aca="false">IF($A3617="","",$G3617&amp;"|"&amp;$J3617)</f>
        <v/>
      </c>
      <c r="L3617" s="10" t="str">
        <f aca="false">IF($A3617="","",ROW()-2)</f>
        <v/>
      </c>
      <c r="M3617" s="10" t="str">
        <f aca="false">IF($A3617="","",ROW())</f>
        <v/>
      </c>
    </row>
    <row r="3618" customFormat="false" ht="15" hidden="false" customHeight="true" outlineLevel="0" collapsed="false">
      <c r="A3618" s="8"/>
      <c r="B3618" s="8"/>
      <c r="C3618" s="8"/>
      <c r="D3618" s="8"/>
      <c r="E3618" s="8"/>
      <c r="F3618" s="8"/>
      <c r="G3618" s="10" t="str">
        <f aca="false">IF($A3618="","",UPPER(SUBSTITUTE(SUBSTITUTE(SUBSTITUTE(SUBSTITUTE($A3618," ",""),"(주)",""),"주식회사",""),"㈜","")))</f>
        <v/>
      </c>
      <c r="H3618" s="10" t="str">
        <f aca="false">IF($B3618="","",SUBSTITUTE(SUBSTITUTE(SUBSTITUTE($B3618,"-","")," ",""),".",""))</f>
        <v/>
      </c>
      <c r="I3618" s="10" t="str">
        <f aca="false">IF($D3618="","",SUBSTITUTE(SUBSTITUTE(SUBSTITUTE($D3618,"-","")," ",""),".",""))</f>
        <v/>
      </c>
      <c r="J3618" s="10" t="str">
        <f aca="false">IF($E3618="","",UPPER(SUBSTITUTE($E3618," ","")))</f>
        <v/>
      </c>
      <c r="K3618" s="10" t="str">
        <f aca="false">IF($A3618="","",$G3618&amp;"|"&amp;$J3618)</f>
        <v/>
      </c>
      <c r="L3618" s="10" t="str">
        <f aca="false">IF($A3618="","",ROW()-2)</f>
        <v/>
      </c>
      <c r="M3618" s="10" t="str">
        <f aca="false">IF($A3618="","",ROW())</f>
        <v/>
      </c>
    </row>
    <row r="3619" customFormat="false" ht="15" hidden="false" customHeight="true" outlineLevel="0" collapsed="false">
      <c r="A3619" s="8"/>
      <c r="B3619" s="8"/>
      <c r="C3619" s="8"/>
      <c r="D3619" s="8"/>
      <c r="E3619" s="8"/>
      <c r="F3619" s="8"/>
      <c r="G3619" s="10" t="str">
        <f aca="false">IF($A3619="","",UPPER(SUBSTITUTE(SUBSTITUTE(SUBSTITUTE(SUBSTITUTE($A3619," ",""),"(주)",""),"주식회사",""),"㈜","")))</f>
        <v/>
      </c>
      <c r="H3619" s="10" t="str">
        <f aca="false">IF($B3619="","",SUBSTITUTE(SUBSTITUTE(SUBSTITUTE($B3619,"-","")," ",""),".",""))</f>
        <v/>
      </c>
      <c r="I3619" s="10" t="str">
        <f aca="false">IF($D3619="","",SUBSTITUTE(SUBSTITUTE(SUBSTITUTE($D3619,"-","")," ",""),".",""))</f>
        <v/>
      </c>
      <c r="J3619" s="10" t="str">
        <f aca="false">IF($E3619="","",UPPER(SUBSTITUTE($E3619," ","")))</f>
        <v/>
      </c>
      <c r="K3619" s="10" t="str">
        <f aca="false">IF($A3619="","",$G3619&amp;"|"&amp;$J3619)</f>
        <v/>
      </c>
      <c r="L3619" s="10" t="str">
        <f aca="false">IF($A3619="","",ROW()-2)</f>
        <v/>
      </c>
      <c r="M3619" s="10" t="str">
        <f aca="false">IF($A3619="","",ROW())</f>
        <v/>
      </c>
    </row>
    <row r="3620" customFormat="false" ht="15" hidden="false" customHeight="true" outlineLevel="0" collapsed="false">
      <c r="A3620" s="8"/>
      <c r="B3620" s="8"/>
      <c r="C3620" s="8"/>
      <c r="D3620" s="8"/>
      <c r="E3620" s="8"/>
      <c r="F3620" s="8"/>
      <c r="G3620" s="10" t="str">
        <f aca="false">IF($A3620="","",UPPER(SUBSTITUTE(SUBSTITUTE(SUBSTITUTE(SUBSTITUTE($A3620," ",""),"(주)",""),"주식회사",""),"㈜","")))</f>
        <v/>
      </c>
      <c r="H3620" s="10" t="str">
        <f aca="false">IF($B3620="","",SUBSTITUTE(SUBSTITUTE(SUBSTITUTE($B3620,"-","")," ",""),".",""))</f>
        <v/>
      </c>
      <c r="I3620" s="10" t="str">
        <f aca="false">IF($D3620="","",SUBSTITUTE(SUBSTITUTE(SUBSTITUTE($D3620,"-","")," ",""),".",""))</f>
        <v/>
      </c>
      <c r="J3620" s="10" t="str">
        <f aca="false">IF($E3620="","",UPPER(SUBSTITUTE($E3620," ","")))</f>
        <v/>
      </c>
      <c r="K3620" s="10" t="str">
        <f aca="false">IF($A3620="","",$G3620&amp;"|"&amp;$J3620)</f>
        <v/>
      </c>
      <c r="L3620" s="10" t="str">
        <f aca="false">IF($A3620="","",ROW()-2)</f>
        <v/>
      </c>
      <c r="M3620" s="10" t="str">
        <f aca="false">IF($A3620="","",ROW())</f>
        <v/>
      </c>
    </row>
    <row r="3621" customFormat="false" ht="15" hidden="false" customHeight="true" outlineLevel="0" collapsed="false">
      <c r="A3621" s="8"/>
      <c r="B3621" s="8"/>
      <c r="C3621" s="8"/>
      <c r="D3621" s="8"/>
      <c r="E3621" s="8"/>
      <c r="F3621" s="8"/>
      <c r="G3621" s="10" t="str">
        <f aca="false">IF($A3621="","",UPPER(SUBSTITUTE(SUBSTITUTE(SUBSTITUTE(SUBSTITUTE($A3621," ",""),"(주)",""),"주식회사",""),"㈜","")))</f>
        <v/>
      </c>
      <c r="H3621" s="10" t="str">
        <f aca="false">IF($B3621="","",SUBSTITUTE(SUBSTITUTE(SUBSTITUTE($B3621,"-","")," ",""),".",""))</f>
        <v/>
      </c>
      <c r="I3621" s="10" t="str">
        <f aca="false">IF($D3621="","",SUBSTITUTE(SUBSTITUTE(SUBSTITUTE($D3621,"-","")," ",""),".",""))</f>
        <v/>
      </c>
      <c r="J3621" s="10" t="str">
        <f aca="false">IF($E3621="","",UPPER(SUBSTITUTE($E3621," ","")))</f>
        <v/>
      </c>
      <c r="K3621" s="10" t="str">
        <f aca="false">IF($A3621="","",$G3621&amp;"|"&amp;$J3621)</f>
        <v/>
      </c>
      <c r="L3621" s="10" t="str">
        <f aca="false">IF($A3621="","",ROW()-2)</f>
        <v/>
      </c>
      <c r="M3621" s="10" t="str">
        <f aca="false">IF($A3621="","",ROW())</f>
        <v/>
      </c>
    </row>
    <row r="3622" customFormat="false" ht="15" hidden="false" customHeight="true" outlineLevel="0" collapsed="false">
      <c r="A3622" s="8"/>
      <c r="B3622" s="8"/>
      <c r="C3622" s="8"/>
      <c r="D3622" s="8"/>
      <c r="E3622" s="8"/>
      <c r="F3622" s="8"/>
      <c r="G3622" s="10" t="str">
        <f aca="false">IF($A3622="","",UPPER(SUBSTITUTE(SUBSTITUTE(SUBSTITUTE(SUBSTITUTE($A3622," ",""),"(주)",""),"주식회사",""),"㈜","")))</f>
        <v/>
      </c>
      <c r="H3622" s="10" t="str">
        <f aca="false">IF($B3622="","",SUBSTITUTE(SUBSTITUTE(SUBSTITUTE($B3622,"-","")," ",""),".",""))</f>
        <v/>
      </c>
      <c r="I3622" s="10" t="str">
        <f aca="false">IF($D3622="","",SUBSTITUTE(SUBSTITUTE(SUBSTITUTE($D3622,"-","")," ",""),".",""))</f>
        <v/>
      </c>
      <c r="J3622" s="10" t="str">
        <f aca="false">IF($E3622="","",UPPER(SUBSTITUTE($E3622," ","")))</f>
        <v/>
      </c>
      <c r="K3622" s="10" t="str">
        <f aca="false">IF($A3622="","",$G3622&amp;"|"&amp;$J3622)</f>
        <v/>
      </c>
      <c r="L3622" s="10" t="str">
        <f aca="false">IF($A3622="","",ROW()-2)</f>
        <v/>
      </c>
      <c r="M3622" s="10" t="str">
        <f aca="false">IF($A3622="","",ROW())</f>
        <v/>
      </c>
    </row>
    <row r="3623" customFormat="false" ht="15" hidden="false" customHeight="true" outlineLevel="0" collapsed="false">
      <c r="A3623" s="8"/>
      <c r="B3623" s="8"/>
      <c r="C3623" s="8"/>
      <c r="D3623" s="8"/>
      <c r="E3623" s="8"/>
      <c r="F3623" s="8"/>
      <c r="G3623" s="10" t="str">
        <f aca="false">IF($A3623="","",UPPER(SUBSTITUTE(SUBSTITUTE(SUBSTITUTE(SUBSTITUTE($A3623," ",""),"(주)",""),"주식회사",""),"㈜","")))</f>
        <v/>
      </c>
      <c r="H3623" s="10" t="str">
        <f aca="false">IF($B3623="","",SUBSTITUTE(SUBSTITUTE(SUBSTITUTE($B3623,"-","")," ",""),".",""))</f>
        <v/>
      </c>
      <c r="I3623" s="10" t="str">
        <f aca="false">IF($D3623="","",SUBSTITUTE(SUBSTITUTE(SUBSTITUTE($D3623,"-","")," ",""),".",""))</f>
        <v/>
      </c>
      <c r="J3623" s="10" t="str">
        <f aca="false">IF($E3623="","",UPPER(SUBSTITUTE($E3623," ","")))</f>
        <v/>
      </c>
      <c r="K3623" s="10" t="str">
        <f aca="false">IF($A3623="","",$G3623&amp;"|"&amp;$J3623)</f>
        <v/>
      </c>
      <c r="L3623" s="10" t="str">
        <f aca="false">IF($A3623="","",ROW()-2)</f>
        <v/>
      </c>
      <c r="M3623" s="10" t="str">
        <f aca="false">IF($A3623="","",ROW())</f>
        <v/>
      </c>
    </row>
    <row r="3624" customFormat="false" ht="15" hidden="false" customHeight="true" outlineLevel="0" collapsed="false">
      <c r="A3624" s="8"/>
      <c r="B3624" s="8"/>
      <c r="C3624" s="8"/>
      <c r="D3624" s="8"/>
      <c r="E3624" s="8"/>
      <c r="F3624" s="8"/>
      <c r="G3624" s="10" t="str">
        <f aca="false">IF($A3624="","",UPPER(SUBSTITUTE(SUBSTITUTE(SUBSTITUTE(SUBSTITUTE($A3624," ",""),"(주)",""),"주식회사",""),"㈜","")))</f>
        <v/>
      </c>
      <c r="H3624" s="10" t="str">
        <f aca="false">IF($B3624="","",SUBSTITUTE(SUBSTITUTE(SUBSTITUTE($B3624,"-","")," ",""),".",""))</f>
        <v/>
      </c>
      <c r="I3624" s="10" t="str">
        <f aca="false">IF($D3624="","",SUBSTITUTE(SUBSTITUTE(SUBSTITUTE($D3624,"-","")," ",""),".",""))</f>
        <v/>
      </c>
      <c r="J3624" s="10" t="str">
        <f aca="false">IF($E3624="","",UPPER(SUBSTITUTE($E3624," ","")))</f>
        <v/>
      </c>
      <c r="K3624" s="10" t="str">
        <f aca="false">IF($A3624="","",$G3624&amp;"|"&amp;$J3624)</f>
        <v/>
      </c>
      <c r="L3624" s="10" t="str">
        <f aca="false">IF($A3624="","",ROW()-2)</f>
        <v/>
      </c>
      <c r="M3624" s="10" t="str">
        <f aca="false">IF($A3624="","",ROW())</f>
        <v/>
      </c>
    </row>
    <row r="3625" customFormat="false" ht="15" hidden="false" customHeight="true" outlineLevel="0" collapsed="false">
      <c r="A3625" s="8"/>
      <c r="B3625" s="8"/>
      <c r="C3625" s="8"/>
      <c r="D3625" s="8"/>
      <c r="E3625" s="8"/>
      <c r="F3625" s="8"/>
      <c r="G3625" s="10" t="str">
        <f aca="false">IF($A3625="","",UPPER(SUBSTITUTE(SUBSTITUTE(SUBSTITUTE(SUBSTITUTE($A3625," ",""),"(주)",""),"주식회사",""),"㈜","")))</f>
        <v/>
      </c>
      <c r="H3625" s="10" t="str">
        <f aca="false">IF($B3625="","",SUBSTITUTE(SUBSTITUTE(SUBSTITUTE($B3625,"-","")," ",""),".",""))</f>
        <v/>
      </c>
      <c r="I3625" s="10" t="str">
        <f aca="false">IF($D3625="","",SUBSTITUTE(SUBSTITUTE(SUBSTITUTE($D3625,"-","")," ",""),".",""))</f>
        <v/>
      </c>
      <c r="J3625" s="10" t="str">
        <f aca="false">IF($E3625="","",UPPER(SUBSTITUTE($E3625," ","")))</f>
        <v/>
      </c>
      <c r="K3625" s="10" t="str">
        <f aca="false">IF($A3625="","",$G3625&amp;"|"&amp;$J3625)</f>
        <v/>
      </c>
      <c r="L3625" s="10" t="str">
        <f aca="false">IF($A3625="","",ROW()-2)</f>
        <v/>
      </c>
      <c r="M3625" s="10" t="str">
        <f aca="false">IF($A3625="","",ROW())</f>
        <v/>
      </c>
    </row>
    <row r="3626" customFormat="false" ht="15" hidden="false" customHeight="true" outlineLevel="0" collapsed="false">
      <c r="A3626" s="8"/>
      <c r="B3626" s="8"/>
      <c r="C3626" s="8"/>
      <c r="D3626" s="8"/>
      <c r="E3626" s="8"/>
      <c r="F3626" s="8"/>
      <c r="G3626" s="10" t="str">
        <f aca="false">IF($A3626="","",UPPER(SUBSTITUTE(SUBSTITUTE(SUBSTITUTE(SUBSTITUTE($A3626," ",""),"(주)",""),"주식회사",""),"㈜","")))</f>
        <v/>
      </c>
      <c r="H3626" s="10" t="str">
        <f aca="false">IF($B3626="","",SUBSTITUTE(SUBSTITUTE(SUBSTITUTE($B3626,"-","")," ",""),".",""))</f>
        <v/>
      </c>
      <c r="I3626" s="10" t="str">
        <f aca="false">IF($D3626="","",SUBSTITUTE(SUBSTITUTE(SUBSTITUTE($D3626,"-","")," ",""),".",""))</f>
        <v/>
      </c>
      <c r="J3626" s="10" t="str">
        <f aca="false">IF($E3626="","",UPPER(SUBSTITUTE($E3626," ","")))</f>
        <v/>
      </c>
      <c r="K3626" s="10" t="str">
        <f aca="false">IF($A3626="","",$G3626&amp;"|"&amp;$J3626)</f>
        <v/>
      </c>
      <c r="L3626" s="10" t="str">
        <f aca="false">IF($A3626="","",ROW()-2)</f>
        <v/>
      </c>
      <c r="M3626" s="10" t="str">
        <f aca="false">IF($A3626="","",ROW())</f>
        <v/>
      </c>
    </row>
    <row r="3627" customFormat="false" ht="15" hidden="false" customHeight="true" outlineLevel="0" collapsed="false">
      <c r="A3627" s="8"/>
      <c r="B3627" s="8"/>
      <c r="C3627" s="8"/>
      <c r="D3627" s="8"/>
      <c r="E3627" s="8"/>
      <c r="F3627" s="8"/>
      <c r="G3627" s="10" t="str">
        <f aca="false">IF($A3627="","",UPPER(SUBSTITUTE(SUBSTITUTE(SUBSTITUTE(SUBSTITUTE($A3627," ",""),"(주)",""),"주식회사",""),"㈜","")))</f>
        <v/>
      </c>
      <c r="H3627" s="10" t="str">
        <f aca="false">IF($B3627="","",SUBSTITUTE(SUBSTITUTE(SUBSTITUTE($B3627,"-","")," ",""),".",""))</f>
        <v/>
      </c>
      <c r="I3627" s="10" t="str">
        <f aca="false">IF($D3627="","",SUBSTITUTE(SUBSTITUTE(SUBSTITUTE($D3627,"-","")," ",""),".",""))</f>
        <v/>
      </c>
      <c r="J3627" s="10" t="str">
        <f aca="false">IF($E3627="","",UPPER(SUBSTITUTE($E3627," ","")))</f>
        <v/>
      </c>
      <c r="K3627" s="10" t="str">
        <f aca="false">IF($A3627="","",$G3627&amp;"|"&amp;$J3627)</f>
        <v/>
      </c>
      <c r="L3627" s="10" t="str">
        <f aca="false">IF($A3627="","",ROW()-2)</f>
        <v/>
      </c>
      <c r="M3627" s="10" t="str">
        <f aca="false">IF($A3627="","",ROW())</f>
        <v/>
      </c>
    </row>
    <row r="3628" customFormat="false" ht="15" hidden="false" customHeight="true" outlineLevel="0" collapsed="false">
      <c r="A3628" s="8"/>
      <c r="B3628" s="8"/>
      <c r="C3628" s="8"/>
      <c r="D3628" s="8"/>
      <c r="E3628" s="8"/>
      <c r="F3628" s="8"/>
      <c r="G3628" s="10" t="str">
        <f aca="false">IF($A3628="","",UPPER(SUBSTITUTE(SUBSTITUTE(SUBSTITUTE(SUBSTITUTE($A3628," ",""),"(주)",""),"주식회사",""),"㈜","")))</f>
        <v/>
      </c>
      <c r="H3628" s="10" t="str">
        <f aca="false">IF($B3628="","",SUBSTITUTE(SUBSTITUTE(SUBSTITUTE($B3628,"-","")," ",""),".",""))</f>
        <v/>
      </c>
      <c r="I3628" s="10" t="str">
        <f aca="false">IF($D3628="","",SUBSTITUTE(SUBSTITUTE(SUBSTITUTE($D3628,"-","")," ",""),".",""))</f>
        <v/>
      </c>
      <c r="J3628" s="10" t="str">
        <f aca="false">IF($E3628="","",UPPER(SUBSTITUTE($E3628," ","")))</f>
        <v/>
      </c>
      <c r="K3628" s="10" t="str">
        <f aca="false">IF($A3628="","",$G3628&amp;"|"&amp;$J3628)</f>
        <v/>
      </c>
      <c r="L3628" s="10" t="str">
        <f aca="false">IF($A3628="","",ROW()-2)</f>
        <v/>
      </c>
      <c r="M3628" s="10" t="str">
        <f aca="false">IF($A3628="","",ROW())</f>
        <v/>
      </c>
    </row>
    <row r="3629" customFormat="false" ht="15" hidden="false" customHeight="true" outlineLevel="0" collapsed="false">
      <c r="A3629" s="8"/>
      <c r="B3629" s="8"/>
      <c r="C3629" s="8"/>
      <c r="D3629" s="8"/>
      <c r="E3629" s="8"/>
      <c r="F3629" s="8"/>
      <c r="G3629" s="10" t="str">
        <f aca="false">IF($A3629="","",UPPER(SUBSTITUTE(SUBSTITUTE(SUBSTITUTE(SUBSTITUTE($A3629," ",""),"(주)",""),"주식회사",""),"㈜","")))</f>
        <v/>
      </c>
      <c r="H3629" s="10" t="str">
        <f aca="false">IF($B3629="","",SUBSTITUTE(SUBSTITUTE(SUBSTITUTE($B3629,"-","")," ",""),".",""))</f>
        <v/>
      </c>
      <c r="I3629" s="10" t="str">
        <f aca="false">IF($D3629="","",SUBSTITUTE(SUBSTITUTE(SUBSTITUTE($D3629,"-","")," ",""),".",""))</f>
        <v/>
      </c>
      <c r="J3629" s="10" t="str">
        <f aca="false">IF($E3629="","",UPPER(SUBSTITUTE($E3629," ","")))</f>
        <v/>
      </c>
      <c r="K3629" s="10" t="str">
        <f aca="false">IF($A3629="","",$G3629&amp;"|"&amp;$J3629)</f>
        <v/>
      </c>
      <c r="L3629" s="10" t="str">
        <f aca="false">IF($A3629="","",ROW()-2)</f>
        <v/>
      </c>
      <c r="M3629" s="10" t="str">
        <f aca="false">IF($A3629="","",ROW())</f>
        <v/>
      </c>
    </row>
    <row r="3630" customFormat="false" ht="15" hidden="false" customHeight="true" outlineLevel="0" collapsed="false">
      <c r="A3630" s="8"/>
      <c r="B3630" s="8"/>
      <c r="C3630" s="8"/>
      <c r="D3630" s="8"/>
      <c r="E3630" s="8"/>
      <c r="F3630" s="8"/>
      <c r="G3630" s="10" t="str">
        <f aca="false">IF($A3630="","",UPPER(SUBSTITUTE(SUBSTITUTE(SUBSTITUTE(SUBSTITUTE($A3630," ",""),"(주)",""),"주식회사",""),"㈜","")))</f>
        <v/>
      </c>
      <c r="H3630" s="10" t="str">
        <f aca="false">IF($B3630="","",SUBSTITUTE(SUBSTITUTE(SUBSTITUTE($B3630,"-","")," ",""),".",""))</f>
        <v/>
      </c>
      <c r="I3630" s="10" t="str">
        <f aca="false">IF($D3630="","",SUBSTITUTE(SUBSTITUTE(SUBSTITUTE($D3630,"-","")," ",""),".",""))</f>
        <v/>
      </c>
      <c r="J3630" s="10" t="str">
        <f aca="false">IF($E3630="","",UPPER(SUBSTITUTE($E3630," ","")))</f>
        <v/>
      </c>
      <c r="K3630" s="10" t="str">
        <f aca="false">IF($A3630="","",$G3630&amp;"|"&amp;$J3630)</f>
        <v/>
      </c>
      <c r="L3630" s="10" t="str">
        <f aca="false">IF($A3630="","",ROW()-2)</f>
        <v/>
      </c>
      <c r="M3630" s="10" t="str">
        <f aca="false">IF($A3630="","",ROW())</f>
        <v/>
      </c>
    </row>
    <row r="3631" customFormat="false" ht="15" hidden="false" customHeight="true" outlineLevel="0" collapsed="false">
      <c r="A3631" s="8"/>
      <c r="B3631" s="8"/>
      <c r="C3631" s="8"/>
      <c r="D3631" s="8"/>
      <c r="E3631" s="8"/>
      <c r="F3631" s="8"/>
      <c r="G3631" s="10" t="str">
        <f aca="false">IF($A3631="","",UPPER(SUBSTITUTE(SUBSTITUTE(SUBSTITUTE(SUBSTITUTE($A3631," ",""),"(주)",""),"주식회사",""),"㈜","")))</f>
        <v/>
      </c>
      <c r="H3631" s="10" t="str">
        <f aca="false">IF($B3631="","",SUBSTITUTE(SUBSTITUTE(SUBSTITUTE($B3631,"-","")," ",""),".",""))</f>
        <v/>
      </c>
      <c r="I3631" s="10" t="str">
        <f aca="false">IF($D3631="","",SUBSTITUTE(SUBSTITUTE(SUBSTITUTE($D3631,"-","")," ",""),".",""))</f>
        <v/>
      </c>
      <c r="J3631" s="10" t="str">
        <f aca="false">IF($E3631="","",UPPER(SUBSTITUTE($E3631," ","")))</f>
        <v/>
      </c>
      <c r="K3631" s="10" t="str">
        <f aca="false">IF($A3631="","",$G3631&amp;"|"&amp;$J3631)</f>
        <v/>
      </c>
      <c r="L3631" s="10" t="str">
        <f aca="false">IF($A3631="","",ROW()-2)</f>
        <v/>
      </c>
      <c r="M3631" s="10" t="str">
        <f aca="false">IF($A3631="","",ROW())</f>
        <v/>
      </c>
    </row>
    <row r="3632" customFormat="false" ht="15" hidden="false" customHeight="true" outlineLevel="0" collapsed="false">
      <c r="A3632" s="8"/>
      <c r="B3632" s="8"/>
      <c r="C3632" s="8"/>
      <c r="D3632" s="8"/>
      <c r="E3632" s="8"/>
      <c r="F3632" s="8"/>
      <c r="G3632" s="10" t="str">
        <f aca="false">IF($A3632="","",UPPER(SUBSTITUTE(SUBSTITUTE(SUBSTITUTE(SUBSTITUTE($A3632," ",""),"(주)",""),"주식회사",""),"㈜","")))</f>
        <v/>
      </c>
      <c r="H3632" s="10" t="str">
        <f aca="false">IF($B3632="","",SUBSTITUTE(SUBSTITUTE(SUBSTITUTE($B3632,"-","")," ",""),".",""))</f>
        <v/>
      </c>
      <c r="I3632" s="10" t="str">
        <f aca="false">IF($D3632="","",SUBSTITUTE(SUBSTITUTE(SUBSTITUTE($D3632,"-","")," ",""),".",""))</f>
        <v/>
      </c>
      <c r="J3632" s="10" t="str">
        <f aca="false">IF($E3632="","",UPPER(SUBSTITUTE($E3632," ","")))</f>
        <v/>
      </c>
      <c r="K3632" s="10" t="str">
        <f aca="false">IF($A3632="","",$G3632&amp;"|"&amp;$J3632)</f>
        <v/>
      </c>
      <c r="L3632" s="10" t="str">
        <f aca="false">IF($A3632="","",ROW()-2)</f>
        <v/>
      </c>
      <c r="M3632" s="10" t="str">
        <f aca="false">IF($A3632="","",ROW())</f>
        <v/>
      </c>
    </row>
    <row r="3633" customFormat="false" ht="15" hidden="false" customHeight="true" outlineLevel="0" collapsed="false">
      <c r="A3633" s="8"/>
      <c r="B3633" s="8"/>
      <c r="C3633" s="8"/>
      <c r="D3633" s="8"/>
      <c r="E3633" s="8"/>
      <c r="F3633" s="8"/>
      <c r="G3633" s="10" t="str">
        <f aca="false">IF($A3633="","",UPPER(SUBSTITUTE(SUBSTITUTE(SUBSTITUTE(SUBSTITUTE($A3633," ",""),"(주)",""),"주식회사",""),"㈜","")))</f>
        <v/>
      </c>
      <c r="H3633" s="10" t="str">
        <f aca="false">IF($B3633="","",SUBSTITUTE(SUBSTITUTE(SUBSTITUTE($B3633,"-","")," ",""),".",""))</f>
        <v/>
      </c>
      <c r="I3633" s="10" t="str">
        <f aca="false">IF($D3633="","",SUBSTITUTE(SUBSTITUTE(SUBSTITUTE($D3633,"-","")," ",""),".",""))</f>
        <v/>
      </c>
      <c r="J3633" s="10" t="str">
        <f aca="false">IF($E3633="","",UPPER(SUBSTITUTE($E3633," ","")))</f>
        <v/>
      </c>
      <c r="K3633" s="10" t="str">
        <f aca="false">IF($A3633="","",$G3633&amp;"|"&amp;$J3633)</f>
        <v/>
      </c>
      <c r="L3633" s="10" t="str">
        <f aca="false">IF($A3633="","",ROW()-2)</f>
        <v/>
      </c>
      <c r="M3633" s="10" t="str">
        <f aca="false">IF($A3633="","",ROW())</f>
        <v/>
      </c>
    </row>
    <row r="3634" customFormat="false" ht="15" hidden="false" customHeight="true" outlineLevel="0" collapsed="false">
      <c r="A3634" s="8"/>
      <c r="B3634" s="8"/>
      <c r="C3634" s="8"/>
      <c r="D3634" s="8"/>
      <c r="E3634" s="8"/>
      <c r="F3634" s="8"/>
      <c r="G3634" s="10" t="str">
        <f aca="false">IF($A3634="","",UPPER(SUBSTITUTE(SUBSTITUTE(SUBSTITUTE(SUBSTITUTE($A3634," ",""),"(주)",""),"주식회사",""),"㈜","")))</f>
        <v/>
      </c>
      <c r="H3634" s="10" t="str">
        <f aca="false">IF($B3634="","",SUBSTITUTE(SUBSTITUTE(SUBSTITUTE($B3634,"-","")," ",""),".",""))</f>
        <v/>
      </c>
      <c r="I3634" s="10" t="str">
        <f aca="false">IF($D3634="","",SUBSTITUTE(SUBSTITUTE(SUBSTITUTE($D3634,"-","")," ",""),".",""))</f>
        <v/>
      </c>
      <c r="J3634" s="10" t="str">
        <f aca="false">IF($E3634="","",UPPER(SUBSTITUTE($E3634," ","")))</f>
        <v/>
      </c>
      <c r="K3634" s="10" t="str">
        <f aca="false">IF($A3634="","",$G3634&amp;"|"&amp;$J3634)</f>
        <v/>
      </c>
      <c r="L3634" s="10" t="str">
        <f aca="false">IF($A3634="","",ROW()-2)</f>
        <v/>
      </c>
      <c r="M3634" s="10" t="str">
        <f aca="false">IF($A3634="","",ROW())</f>
        <v/>
      </c>
    </row>
    <row r="3635" customFormat="false" ht="15" hidden="false" customHeight="true" outlineLevel="0" collapsed="false">
      <c r="A3635" s="8"/>
      <c r="B3635" s="8"/>
      <c r="C3635" s="8"/>
      <c r="D3635" s="8"/>
      <c r="E3635" s="8"/>
      <c r="F3635" s="8"/>
      <c r="G3635" s="10" t="str">
        <f aca="false">IF($A3635="","",UPPER(SUBSTITUTE(SUBSTITUTE(SUBSTITUTE(SUBSTITUTE($A3635," ",""),"(주)",""),"주식회사",""),"㈜","")))</f>
        <v/>
      </c>
      <c r="H3635" s="10" t="str">
        <f aca="false">IF($B3635="","",SUBSTITUTE(SUBSTITUTE(SUBSTITUTE($B3635,"-","")," ",""),".",""))</f>
        <v/>
      </c>
      <c r="I3635" s="10" t="str">
        <f aca="false">IF($D3635="","",SUBSTITUTE(SUBSTITUTE(SUBSTITUTE($D3635,"-","")," ",""),".",""))</f>
        <v/>
      </c>
      <c r="J3635" s="10" t="str">
        <f aca="false">IF($E3635="","",UPPER(SUBSTITUTE($E3635," ","")))</f>
        <v/>
      </c>
      <c r="K3635" s="10" t="str">
        <f aca="false">IF($A3635="","",$G3635&amp;"|"&amp;$J3635)</f>
        <v/>
      </c>
      <c r="L3635" s="10" t="str">
        <f aca="false">IF($A3635="","",ROW()-2)</f>
        <v/>
      </c>
      <c r="M3635" s="10" t="str">
        <f aca="false">IF($A3635="","",ROW())</f>
        <v/>
      </c>
    </row>
    <row r="3636" customFormat="false" ht="15" hidden="false" customHeight="true" outlineLevel="0" collapsed="false">
      <c r="A3636" s="8"/>
      <c r="B3636" s="8"/>
      <c r="C3636" s="8"/>
      <c r="D3636" s="8"/>
      <c r="E3636" s="8"/>
      <c r="F3636" s="8"/>
      <c r="G3636" s="10" t="str">
        <f aca="false">IF($A3636="","",UPPER(SUBSTITUTE(SUBSTITUTE(SUBSTITUTE(SUBSTITUTE($A3636," ",""),"(주)",""),"주식회사",""),"㈜","")))</f>
        <v/>
      </c>
      <c r="H3636" s="10" t="str">
        <f aca="false">IF($B3636="","",SUBSTITUTE(SUBSTITUTE(SUBSTITUTE($B3636,"-","")," ",""),".",""))</f>
        <v/>
      </c>
      <c r="I3636" s="10" t="str">
        <f aca="false">IF($D3636="","",SUBSTITUTE(SUBSTITUTE(SUBSTITUTE($D3636,"-","")," ",""),".",""))</f>
        <v/>
      </c>
      <c r="J3636" s="10" t="str">
        <f aca="false">IF($E3636="","",UPPER(SUBSTITUTE($E3636," ","")))</f>
        <v/>
      </c>
      <c r="K3636" s="10" t="str">
        <f aca="false">IF($A3636="","",$G3636&amp;"|"&amp;$J3636)</f>
        <v/>
      </c>
      <c r="L3636" s="10" t="str">
        <f aca="false">IF($A3636="","",ROW()-2)</f>
        <v/>
      </c>
      <c r="M3636" s="10" t="str">
        <f aca="false">IF($A3636="","",ROW())</f>
        <v/>
      </c>
    </row>
    <row r="3637" customFormat="false" ht="15" hidden="false" customHeight="true" outlineLevel="0" collapsed="false">
      <c r="A3637" s="8"/>
      <c r="B3637" s="8"/>
      <c r="C3637" s="8"/>
      <c r="D3637" s="8"/>
      <c r="E3637" s="8"/>
      <c r="F3637" s="8"/>
      <c r="G3637" s="10" t="str">
        <f aca="false">IF($A3637="","",UPPER(SUBSTITUTE(SUBSTITUTE(SUBSTITUTE(SUBSTITUTE($A3637," ",""),"(주)",""),"주식회사",""),"㈜","")))</f>
        <v/>
      </c>
      <c r="H3637" s="10" t="str">
        <f aca="false">IF($B3637="","",SUBSTITUTE(SUBSTITUTE(SUBSTITUTE($B3637,"-","")," ",""),".",""))</f>
        <v/>
      </c>
      <c r="I3637" s="10" t="str">
        <f aca="false">IF($D3637="","",SUBSTITUTE(SUBSTITUTE(SUBSTITUTE($D3637,"-","")," ",""),".",""))</f>
        <v/>
      </c>
      <c r="J3637" s="10" t="str">
        <f aca="false">IF($E3637="","",UPPER(SUBSTITUTE($E3637," ","")))</f>
        <v/>
      </c>
      <c r="K3637" s="10" t="str">
        <f aca="false">IF($A3637="","",$G3637&amp;"|"&amp;$J3637)</f>
        <v/>
      </c>
      <c r="L3637" s="10" t="str">
        <f aca="false">IF($A3637="","",ROW()-2)</f>
        <v/>
      </c>
      <c r="M3637" s="10" t="str">
        <f aca="false">IF($A3637="","",ROW())</f>
        <v/>
      </c>
    </row>
    <row r="3638" customFormat="false" ht="15" hidden="false" customHeight="true" outlineLevel="0" collapsed="false">
      <c r="A3638" s="8"/>
      <c r="B3638" s="8"/>
      <c r="C3638" s="8"/>
      <c r="D3638" s="8"/>
      <c r="E3638" s="8"/>
      <c r="F3638" s="8"/>
      <c r="G3638" s="10" t="str">
        <f aca="false">IF($A3638="","",UPPER(SUBSTITUTE(SUBSTITUTE(SUBSTITUTE(SUBSTITUTE($A3638," ",""),"(주)",""),"주식회사",""),"㈜","")))</f>
        <v/>
      </c>
      <c r="H3638" s="10" t="str">
        <f aca="false">IF($B3638="","",SUBSTITUTE(SUBSTITUTE(SUBSTITUTE($B3638,"-","")," ",""),".",""))</f>
        <v/>
      </c>
      <c r="I3638" s="10" t="str">
        <f aca="false">IF($D3638="","",SUBSTITUTE(SUBSTITUTE(SUBSTITUTE($D3638,"-","")," ",""),".",""))</f>
        <v/>
      </c>
      <c r="J3638" s="10" t="str">
        <f aca="false">IF($E3638="","",UPPER(SUBSTITUTE($E3638," ","")))</f>
        <v/>
      </c>
      <c r="K3638" s="10" t="str">
        <f aca="false">IF($A3638="","",$G3638&amp;"|"&amp;$J3638)</f>
        <v/>
      </c>
      <c r="L3638" s="10" t="str">
        <f aca="false">IF($A3638="","",ROW()-2)</f>
        <v/>
      </c>
      <c r="M3638" s="10" t="str">
        <f aca="false">IF($A3638="","",ROW())</f>
        <v/>
      </c>
    </row>
    <row r="3639" customFormat="false" ht="15" hidden="false" customHeight="true" outlineLevel="0" collapsed="false">
      <c r="A3639" s="8"/>
      <c r="B3639" s="8"/>
      <c r="C3639" s="8"/>
      <c r="D3639" s="8"/>
      <c r="E3639" s="8"/>
      <c r="F3639" s="8"/>
      <c r="G3639" s="10" t="str">
        <f aca="false">IF($A3639="","",UPPER(SUBSTITUTE(SUBSTITUTE(SUBSTITUTE(SUBSTITUTE($A3639," ",""),"(주)",""),"주식회사",""),"㈜","")))</f>
        <v/>
      </c>
      <c r="H3639" s="10" t="str">
        <f aca="false">IF($B3639="","",SUBSTITUTE(SUBSTITUTE(SUBSTITUTE($B3639,"-","")," ",""),".",""))</f>
        <v/>
      </c>
      <c r="I3639" s="10" t="str">
        <f aca="false">IF($D3639="","",SUBSTITUTE(SUBSTITUTE(SUBSTITUTE($D3639,"-","")," ",""),".",""))</f>
        <v/>
      </c>
      <c r="J3639" s="10" t="str">
        <f aca="false">IF($E3639="","",UPPER(SUBSTITUTE($E3639," ","")))</f>
        <v/>
      </c>
      <c r="K3639" s="10" t="str">
        <f aca="false">IF($A3639="","",$G3639&amp;"|"&amp;$J3639)</f>
        <v/>
      </c>
      <c r="L3639" s="10" t="str">
        <f aca="false">IF($A3639="","",ROW()-2)</f>
        <v/>
      </c>
      <c r="M3639" s="10" t="str">
        <f aca="false">IF($A3639="","",ROW())</f>
        <v/>
      </c>
    </row>
    <row r="3640" customFormat="false" ht="15" hidden="false" customHeight="true" outlineLevel="0" collapsed="false">
      <c r="A3640" s="8"/>
      <c r="B3640" s="8"/>
      <c r="C3640" s="8"/>
      <c r="D3640" s="8"/>
      <c r="E3640" s="8"/>
      <c r="F3640" s="8"/>
      <c r="G3640" s="10" t="str">
        <f aca="false">IF($A3640="","",UPPER(SUBSTITUTE(SUBSTITUTE(SUBSTITUTE(SUBSTITUTE($A3640," ",""),"(주)",""),"주식회사",""),"㈜","")))</f>
        <v/>
      </c>
      <c r="H3640" s="10" t="str">
        <f aca="false">IF($B3640="","",SUBSTITUTE(SUBSTITUTE(SUBSTITUTE($B3640,"-","")," ",""),".",""))</f>
        <v/>
      </c>
      <c r="I3640" s="10" t="str">
        <f aca="false">IF($D3640="","",SUBSTITUTE(SUBSTITUTE(SUBSTITUTE($D3640,"-","")," ",""),".",""))</f>
        <v/>
      </c>
      <c r="J3640" s="10" t="str">
        <f aca="false">IF($E3640="","",UPPER(SUBSTITUTE($E3640," ","")))</f>
        <v/>
      </c>
      <c r="K3640" s="10" t="str">
        <f aca="false">IF($A3640="","",$G3640&amp;"|"&amp;$J3640)</f>
        <v/>
      </c>
      <c r="L3640" s="10" t="str">
        <f aca="false">IF($A3640="","",ROW()-2)</f>
        <v/>
      </c>
      <c r="M3640" s="10" t="str">
        <f aca="false">IF($A3640="","",ROW())</f>
        <v/>
      </c>
    </row>
    <row r="3641" customFormat="false" ht="15" hidden="false" customHeight="true" outlineLevel="0" collapsed="false">
      <c r="A3641" s="8"/>
      <c r="B3641" s="8"/>
      <c r="C3641" s="8"/>
      <c r="D3641" s="8"/>
      <c r="E3641" s="8"/>
      <c r="F3641" s="8"/>
      <c r="G3641" s="10" t="str">
        <f aca="false">IF($A3641="","",UPPER(SUBSTITUTE(SUBSTITUTE(SUBSTITUTE(SUBSTITUTE($A3641," ",""),"(주)",""),"주식회사",""),"㈜","")))</f>
        <v/>
      </c>
      <c r="H3641" s="10" t="str">
        <f aca="false">IF($B3641="","",SUBSTITUTE(SUBSTITUTE(SUBSTITUTE($B3641,"-","")," ",""),".",""))</f>
        <v/>
      </c>
      <c r="I3641" s="10" t="str">
        <f aca="false">IF($D3641="","",SUBSTITUTE(SUBSTITUTE(SUBSTITUTE($D3641,"-","")," ",""),".",""))</f>
        <v/>
      </c>
      <c r="J3641" s="10" t="str">
        <f aca="false">IF($E3641="","",UPPER(SUBSTITUTE($E3641," ","")))</f>
        <v/>
      </c>
      <c r="K3641" s="10" t="str">
        <f aca="false">IF($A3641="","",$G3641&amp;"|"&amp;$J3641)</f>
        <v/>
      </c>
      <c r="L3641" s="10" t="str">
        <f aca="false">IF($A3641="","",ROW()-2)</f>
        <v/>
      </c>
      <c r="M3641" s="10" t="str">
        <f aca="false">IF($A3641="","",ROW())</f>
        <v/>
      </c>
    </row>
    <row r="3642" customFormat="false" ht="15" hidden="false" customHeight="true" outlineLevel="0" collapsed="false">
      <c r="A3642" s="8"/>
      <c r="B3642" s="8"/>
      <c r="C3642" s="8"/>
      <c r="D3642" s="8"/>
      <c r="E3642" s="8"/>
      <c r="F3642" s="8"/>
      <c r="G3642" s="10" t="str">
        <f aca="false">IF($A3642="","",UPPER(SUBSTITUTE(SUBSTITUTE(SUBSTITUTE(SUBSTITUTE($A3642," ",""),"(주)",""),"주식회사",""),"㈜","")))</f>
        <v/>
      </c>
      <c r="H3642" s="10" t="str">
        <f aca="false">IF($B3642="","",SUBSTITUTE(SUBSTITUTE(SUBSTITUTE($B3642,"-","")," ",""),".",""))</f>
        <v/>
      </c>
      <c r="I3642" s="10" t="str">
        <f aca="false">IF($D3642="","",SUBSTITUTE(SUBSTITUTE(SUBSTITUTE($D3642,"-","")," ",""),".",""))</f>
        <v/>
      </c>
      <c r="J3642" s="10" t="str">
        <f aca="false">IF($E3642="","",UPPER(SUBSTITUTE($E3642," ","")))</f>
        <v/>
      </c>
      <c r="K3642" s="10" t="str">
        <f aca="false">IF($A3642="","",$G3642&amp;"|"&amp;$J3642)</f>
        <v/>
      </c>
      <c r="L3642" s="10" t="str">
        <f aca="false">IF($A3642="","",ROW()-2)</f>
        <v/>
      </c>
      <c r="M3642" s="10" t="str">
        <f aca="false">IF($A3642="","",ROW())</f>
        <v/>
      </c>
    </row>
    <row r="3643" customFormat="false" ht="15" hidden="false" customHeight="true" outlineLevel="0" collapsed="false">
      <c r="A3643" s="8"/>
      <c r="B3643" s="8"/>
      <c r="C3643" s="8"/>
      <c r="D3643" s="8"/>
      <c r="E3643" s="8"/>
      <c r="F3643" s="8"/>
      <c r="G3643" s="10" t="str">
        <f aca="false">IF($A3643="","",UPPER(SUBSTITUTE(SUBSTITUTE(SUBSTITUTE(SUBSTITUTE($A3643," ",""),"(주)",""),"주식회사",""),"㈜","")))</f>
        <v/>
      </c>
      <c r="H3643" s="10" t="str">
        <f aca="false">IF($B3643="","",SUBSTITUTE(SUBSTITUTE(SUBSTITUTE($B3643,"-","")," ",""),".",""))</f>
        <v/>
      </c>
      <c r="I3643" s="10" t="str">
        <f aca="false">IF($D3643="","",SUBSTITUTE(SUBSTITUTE(SUBSTITUTE($D3643,"-","")," ",""),".",""))</f>
        <v/>
      </c>
      <c r="J3643" s="10" t="str">
        <f aca="false">IF($E3643="","",UPPER(SUBSTITUTE($E3643," ","")))</f>
        <v/>
      </c>
      <c r="K3643" s="10" t="str">
        <f aca="false">IF($A3643="","",$G3643&amp;"|"&amp;$J3643)</f>
        <v/>
      </c>
      <c r="L3643" s="10" t="str">
        <f aca="false">IF($A3643="","",ROW()-2)</f>
        <v/>
      </c>
      <c r="M3643" s="10" t="str">
        <f aca="false">IF($A3643="","",ROW())</f>
        <v/>
      </c>
    </row>
    <row r="3644" customFormat="false" ht="15" hidden="false" customHeight="true" outlineLevel="0" collapsed="false">
      <c r="A3644" s="8"/>
      <c r="B3644" s="8"/>
      <c r="C3644" s="8"/>
      <c r="D3644" s="8"/>
      <c r="E3644" s="8"/>
      <c r="F3644" s="8"/>
      <c r="G3644" s="10" t="str">
        <f aca="false">IF($A3644="","",UPPER(SUBSTITUTE(SUBSTITUTE(SUBSTITUTE(SUBSTITUTE($A3644," ",""),"(주)",""),"주식회사",""),"㈜","")))</f>
        <v/>
      </c>
      <c r="H3644" s="10" t="str">
        <f aca="false">IF($B3644="","",SUBSTITUTE(SUBSTITUTE(SUBSTITUTE($B3644,"-","")," ",""),".",""))</f>
        <v/>
      </c>
      <c r="I3644" s="10" t="str">
        <f aca="false">IF($D3644="","",SUBSTITUTE(SUBSTITUTE(SUBSTITUTE($D3644,"-","")," ",""),".",""))</f>
        <v/>
      </c>
      <c r="J3644" s="10" t="str">
        <f aca="false">IF($E3644="","",UPPER(SUBSTITUTE($E3644," ","")))</f>
        <v/>
      </c>
      <c r="K3644" s="10" t="str">
        <f aca="false">IF($A3644="","",$G3644&amp;"|"&amp;$J3644)</f>
        <v/>
      </c>
      <c r="L3644" s="10" t="str">
        <f aca="false">IF($A3644="","",ROW()-2)</f>
        <v/>
      </c>
      <c r="M3644" s="10" t="str">
        <f aca="false">IF($A3644="","",ROW())</f>
        <v/>
      </c>
    </row>
    <row r="3645" customFormat="false" ht="15" hidden="false" customHeight="true" outlineLevel="0" collapsed="false">
      <c r="A3645" s="8"/>
      <c r="B3645" s="8"/>
      <c r="C3645" s="8"/>
      <c r="D3645" s="8"/>
      <c r="E3645" s="8"/>
      <c r="F3645" s="8"/>
      <c r="G3645" s="10" t="str">
        <f aca="false">IF($A3645="","",UPPER(SUBSTITUTE(SUBSTITUTE(SUBSTITUTE(SUBSTITUTE($A3645," ",""),"(주)",""),"주식회사",""),"㈜","")))</f>
        <v/>
      </c>
      <c r="H3645" s="10" t="str">
        <f aca="false">IF($B3645="","",SUBSTITUTE(SUBSTITUTE(SUBSTITUTE($B3645,"-","")," ",""),".",""))</f>
        <v/>
      </c>
      <c r="I3645" s="10" t="str">
        <f aca="false">IF($D3645="","",SUBSTITUTE(SUBSTITUTE(SUBSTITUTE($D3645,"-","")," ",""),".",""))</f>
        <v/>
      </c>
      <c r="J3645" s="10" t="str">
        <f aca="false">IF($E3645="","",UPPER(SUBSTITUTE($E3645," ","")))</f>
        <v/>
      </c>
      <c r="K3645" s="10" t="str">
        <f aca="false">IF($A3645="","",$G3645&amp;"|"&amp;$J3645)</f>
        <v/>
      </c>
      <c r="L3645" s="10" t="str">
        <f aca="false">IF($A3645="","",ROW()-2)</f>
        <v/>
      </c>
      <c r="M3645" s="10" t="str">
        <f aca="false">IF($A3645="","",ROW())</f>
        <v/>
      </c>
    </row>
    <row r="3646" customFormat="false" ht="15" hidden="false" customHeight="true" outlineLevel="0" collapsed="false">
      <c r="A3646" s="8"/>
      <c r="B3646" s="8"/>
      <c r="C3646" s="8"/>
      <c r="D3646" s="8"/>
      <c r="E3646" s="8"/>
      <c r="F3646" s="8"/>
      <c r="G3646" s="10" t="str">
        <f aca="false">IF($A3646="","",UPPER(SUBSTITUTE(SUBSTITUTE(SUBSTITUTE(SUBSTITUTE($A3646," ",""),"(주)",""),"주식회사",""),"㈜","")))</f>
        <v/>
      </c>
      <c r="H3646" s="10" t="str">
        <f aca="false">IF($B3646="","",SUBSTITUTE(SUBSTITUTE(SUBSTITUTE($B3646,"-","")," ",""),".",""))</f>
        <v/>
      </c>
      <c r="I3646" s="10" t="str">
        <f aca="false">IF($D3646="","",SUBSTITUTE(SUBSTITUTE(SUBSTITUTE($D3646,"-","")," ",""),".",""))</f>
        <v/>
      </c>
      <c r="J3646" s="10" t="str">
        <f aca="false">IF($E3646="","",UPPER(SUBSTITUTE($E3646," ","")))</f>
        <v/>
      </c>
      <c r="K3646" s="10" t="str">
        <f aca="false">IF($A3646="","",$G3646&amp;"|"&amp;$J3646)</f>
        <v/>
      </c>
      <c r="L3646" s="10" t="str">
        <f aca="false">IF($A3646="","",ROW()-2)</f>
        <v/>
      </c>
      <c r="M3646" s="10" t="str">
        <f aca="false">IF($A3646="","",ROW())</f>
        <v/>
      </c>
    </row>
    <row r="3647" customFormat="false" ht="15" hidden="false" customHeight="true" outlineLevel="0" collapsed="false">
      <c r="A3647" s="8"/>
      <c r="B3647" s="8"/>
      <c r="C3647" s="8"/>
      <c r="D3647" s="8"/>
      <c r="E3647" s="8"/>
      <c r="F3647" s="8"/>
      <c r="G3647" s="10" t="str">
        <f aca="false">IF($A3647="","",UPPER(SUBSTITUTE(SUBSTITUTE(SUBSTITUTE(SUBSTITUTE($A3647," ",""),"(주)",""),"주식회사",""),"㈜","")))</f>
        <v/>
      </c>
      <c r="H3647" s="10" t="str">
        <f aca="false">IF($B3647="","",SUBSTITUTE(SUBSTITUTE(SUBSTITUTE($B3647,"-","")," ",""),".",""))</f>
        <v/>
      </c>
      <c r="I3647" s="10" t="str">
        <f aca="false">IF($D3647="","",SUBSTITUTE(SUBSTITUTE(SUBSTITUTE($D3647,"-","")," ",""),".",""))</f>
        <v/>
      </c>
      <c r="J3647" s="10" t="str">
        <f aca="false">IF($E3647="","",UPPER(SUBSTITUTE($E3647," ","")))</f>
        <v/>
      </c>
      <c r="K3647" s="10" t="str">
        <f aca="false">IF($A3647="","",$G3647&amp;"|"&amp;$J3647)</f>
        <v/>
      </c>
      <c r="L3647" s="10" t="str">
        <f aca="false">IF($A3647="","",ROW()-2)</f>
        <v/>
      </c>
      <c r="M3647" s="10" t="str">
        <f aca="false">IF($A3647="","",ROW())</f>
        <v/>
      </c>
    </row>
    <row r="3648" customFormat="false" ht="15" hidden="false" customHeight="true" outlineLevel="0" collapsed="false">
      <c r="A3648" s="8"/>
      <c r="B3648" s="8"/>
      <c r="C3648" s="8"/>
      <c r="D3648" s="8"/>
      <c r="E3648" s="8"/>
      <c r="F3648" s="8"/>
      <c r="G3648" s="10" t="str">
        <f aca="false">IF($A3648="","",UPPER(SUBSTITUTE(SUBSTITUTE(SUBSTITUTE(SUBSTITUTE($A3648," ",""),"(주)",""),"주식회사",""),"㈜","")))</f>
        <v/>
      </c>
      <c r="H3648" s="10" t="str">
        <f aca="false">IF($B3648="","",SUBSTITUTE(SUBSTITUTE(SUBSTITUTE($B3648,"-","")," ",""),".",""))</f>
        <v/>
      </c>
      <c r="I3648" s="10" t="str">
        <f aca="false">IF($D3648="","",SUBSTITUTE(SUBSTITUTE(SUBSTITUTE($D3648,"-","")," ",""),".",""))</f>
        <v/>
      </c>
      <c r="J3648" s="10" t="str">
        <f aca="false">IF($E3648="","",UPPER(SUBSTITUTE($E3648," ","")))</f>
        <v/>
      </c>
      <c r="K3648" s="10" t="str">
        <f aca="false">IF($A3648="","",$G3648&amp;"|"&amp;$J3648)</f>
        <v/>
      </c>
      <c r="L3648" s="10" t="str">
        <f aca="false">IF($A3648="","",ROW()-2)</f>
        <v/>
      </c>
      <c r="M3648" s="10" t="str">
        <f aca="false">IF($A3648="","",ROW())</f>
        <v/>
      </c>
    </row>
    <row r="3649" customFormat="false" ht="15" hidden="false" customHeight="true" outlineLevel="0" collapsed="false">
      <c r="A3649" s="8"/>
      <c r="B3649" s="8"/>
      <c r="C3649" s="8"/>
      <c r="D3649" s="8"/>
      <c r="E3649" s="8"/>
      <c r="F3649" s="8"/>
      <c r="G3649" s="10" t="str">
        <f aca="false">IF($A3649="","",UPPER(SUBSTITUTE(SUBSTITUTE(SUBSTITUTE(SUBSTITUTE($A3649," ",""),"(주)",""),"주식회사",""),"㈜","")))</f>
        <v/>
      </c>
      <c r="H3649" s="10" t="str">
        <f aca="false">IF($B3649="","",SUBSTITUTE(SUBSTITUTE(SUBSTITUTE($B3649,"-","")," ",""),".",""))</f>
        <v/>
      </c>
      <c r="I3649" s="10" t="str">
        <f aca="false">IF($D3649="","",SUBSTITUTE(SUBSTITUTE(SUBSTITUTE($D3649,"-","")," ",""),".",""))</f>
        <v/>
      </c>
      <c r="J3649" s="10" t="str">
        <f aca="false">IF($E3649="","",UPPER(SUBSTITUTE($E3649," ","")))</f>
        <v/>
      </c>
      <c r="K3649" s="10" t="str">
        <f aca="false">IF($A3649="","",$G3649&amp;"|"&amp;$J3649)</f>
        <v/>
      </c>
      <c r="L3649" s="10" t="str">
        <f aca="false">IF($A3649="","",ROW()-2)</f>
        <v/>
      </c>
      <c r="M3649" s="10" t="str">
        <f aca="false">IF($A3649="","",ROW())</f>
        <v/>
      </c>
    </row>
    <row r="3650" customFormat="false" ht="15" hidden="false" customHeight="true" outlineLevel="0" collapsed="false">
      <c r="A3650" s="8"/>
      <c r="B3650" s="8"/>
      <c r="C3650" s="8"/>
      <c r="D3650" s="8"/>
      <c r="E3650" s="8"/>
      <c r="F3650" s="8"/>
      <c r="G3650" s="10" t="str">
        <f aca="false">IF($A3650="","",UPPER(SUBSTITUTE(SUBSTITUTE(SUBSTITUTE(SUBSTITUTE($A3650," ",""),"(주)",""),"주식회사",""),"㈜","")))</f>
        <v/>
      </c>
      <c r="H3650" s="10" t="str">
        <f aca="false">IF($B3650="","",SUBSTITUTE(SUBSTITUTE(SUBSTITUTE($B3650,"-","")," ",""),".",""))</f>
        <v/>
      </c>
      <c r="I3650" s="10" t="str">
        <f aca="false">IF($D3650="","",SUBSTITUTE(SUBSTITUTE(SUBSTITUTE($D3650,"-","")," ",""),".",""))</f>
        <v/>
      </c>
      <c r="J3650" s="10" t="str">
        <f aca="false">IF($E3650="","",UPPER(SUBSTITUTE($E3650," ","")))</f>
        <v/>
      </c>
      <c r="K3650" s="10" t="str">
        <f aca="false">IF($A3650="","",$G3650&amp;"|"&amp;$J3650)</f>
        <v/>
      </c>
      <c r="L3650" s="10" t="str">
        <f aca="false">IF($A3650="","",ROW()-2)</f>
        <v/>
      </c>
      <c r="M3650" s="10" t="str">
        <f aca="false">IF($A3650="","",ROW())</f>
        <v/>
      </c>
    </row>
    <row r="3651" customFormat="false" ht="15" hidden="false" customHeight="true" outlineLevel="0" collapsed="false">
      <c r="A3651" s="8"/>
      <c r="B3651" s="8"/>
      <c r="C3651" s="8"/>
      <c r="D3651" s="8"/>
      <c r="E3651" s="8"/>
      <c r="F3651" s="8"/>
      <c r="G3651" s="10" t="str">
        <f aca="false">IF($A3651="","",UPPER(SUBSTITUTE(SUBSTITUTE(SUBSTITUTE(SUBSTITUTE($A3651," ",""),"(주)",""),"주식회사",""),"㈜","")))</f>
        <v/>
      </c>
      <c r="H3651" s="10" t="str">
        <f aca="false">IF($B3651="","",SUBSTITUTE(SUBSTITUTE(SUBSTITUTE($B3651,"-","")," ",""),".",""))</f>
        <v/>
      </c>
      <c r="I3651" s="10" t="str">
        <f aca="false">IF($D3651="","",SUBSTITUTE(SUBSTITUTE(SUBSTITUTE($D3651,"-","")," ",""),".",""))</f>
        <v/>
      </c>
      <c r="J3651" s="10" t="str">
        <f aca="false">IF($E3651="","",UPPER(SUBSTITUTE($E3651," ","")))</f>
        <v/>
      </c>
      <c r="K3651" s="10" t="str">
        <f aca="false">IF($A3651="","",$G3651&amp;"|"&amp;$J3651)</f>
        <v/>
      </c>
      <c r="L3651" s="10" t="str">
        <f aca="false">IF($A3651="","",ROW()-2)</f>
        <v/>
      </c>
      <c r="M3651" s="10" t="str">
        <f aca="false">IF($A3651="","",ROW())</f>
        <v/>
      </c>
    </row>
    <row r="3652" customFormat="false" ht="15" hidden="false" customHeight="true" outlineLevel="0" collapsed="false">
      <c r="A3652" s="8"/>
      <c r="B3652" s="8"/>
      <c r="C3652" s="8"/>
      <c r="D3652" s="8"/>
      <c r="E3652" s="8"/>
      <c r="F3652" s="8"/>
      <c r="G3652" s="10" t="str">
        <f aca="false">IF($A3652="","",UPPER(SUBSTITUTE(SUBSTITUTE(SUBSTITUTE(SUBSTITUTE($A3652," ",""),"(주)",""),"주식회사",""),"㈜","")))</f>
        <v/>
      </c>
      <c r="H3652" s="10" t="str">
        <f aca="false">IF($B3652="","",SUBSTITUTE(SUBSTITUTE(SUBSTITUTE($B3652,"-","")," ",""),".",""))</f>
        <v/>
      </c>
      <c r="I3652" s="10" t="str">
        <f aca="false">IF($D3652="","",SUBSTITUTE(SUBSTITUTE(SUBSTITUTE($D3652,"-","")," ",""),".",""))</f>
        <v/>
      </c>
      <c r="J3652" s="10" t="str">
        <f aca="false">IF($E3652="","",UPPER(SUBSTITUTE($E3652," ","")))</f>
        <v/>
      </c>
      <c r="K3652" s="10" t="str">
        <f aca="false">IF($A3652="","",$G3652&amp;"|"&amp;$J3652)</f>
        <v/>
      </c>
      <c r="L3652" s="10" t="str">
        <f aca="false">IF($A3652="","",ROW()-2)</f>
        <v/>
      </c>
      <c r="M3652" s="10" t="str">
        <f aca="false">IF($A3652="","",ROW())</f>
        <v/>
      </c>
    </row>
    <row r="3653" customFormat="false" ht="15" hidden="false" customHeight="true" outlineLevel="0" collapsed="false">
      <c r="A3653" s="8"/>
      <c r="B3653" s="8"/>
      <c r="C3653" s="8"/>
      <c r="D3653" s="8"/>
      <c r="E3653" s="8"/>
      <c r="F3653" s="8"/>
      <c r="G3653" s="10" t="str">
        <f aca="false">IF($A3653="","",UPPER(SUBSTITUTE(SUBSTITUTE(SUBSTITUTE(SUBSTITUTE($A3653," ",""),"(주)",""),"주식회사",""),"㈜","")))</f>
        <v/>
      </c>
      <c r="H3653" s="10" t="str">
        <f aca="false">IF($B3653="","",SUBSTITUTE(SUBSTITUTE(SUBSTITUTE($B3653,"-","")," ",""),".",""))</f>
        <v/>
      </c>
      <c r="I3653" s="10" t="str">
        <f aca="false">IF($D3653="","",SUBSTITUTE(SUBSTITUTE(SUBSTITUTE($D3653,"-","")," ",""),".",""))</f>
        <v/>
      </c>
      <c r="J3653" s="10" t="str">
        <f aca="false">IF($E3653="","",UPPER(SUBSTITUTE($E3653," ","")))</f>
        <v/>
      </c>
      <c r="K3653" s="10" t="str">
        <f aca="false">IF($A3653="","",$G3653&amp;"|"&amp;$J3653)</f>
        <v/>
      </c>
      <c r="L3653" s="10" t="str">
        <f aca="false">IF($A3653="","",ROW()-2)</f>
        <v/>
      </c>
      <c r="M3653" s="10" t="str">
        <f aca="false">IF($A3653="","",ROW())</f>
        <v/>
      </c>
    </row>
    <row r="3654" customFormat="false" ht="15" hidden="false" customHeight="true" outlineLevel="0" collapsed="false">
      <c r="A3654" s="8"/>
      <c r="B3654" s="8"/>
      <c r="C3654" s="8"/>
      <c r="D3654" s="8"/>
      <c r="E3654" s="8"/>
      <c r="F3654" s="8"/>
      <c r="G3654" s="10" t="str">
        <f aca="false">IF($A3654="","",UPPER(SUBSTITUTE(SUBSTITUTE(SUBSTITUTE(SUBSTITUTE($A3654," ",""),"(주)",""),"주식회사",""),"㈜","")))</f>
        <v/>
      </c>
      <c r="H3654" s="10" t="str">
        <f aca="false">IF($B3654="","",SUBSTITUTE(SUBSTITUTE(SUBSTITUTE($B3654,"-","")," ",""),".",""))</f>
        <v/>
      </c>
      <c r="I3654" s="10" t="str">
        <f aca="false">IF($D3654="","",SUBSTITUTE(SUBSTITUTE(SUBSTITUTE($D3654,"-","")," ",""),".",""))</f>
        <v/>
      </c>
      <c r="J3654" s="10" t="str">
        <f aca="false">IF($E3654="","",UPPER(SUBSTITUTE($E3654," ","")))</f>
        <v/>
      </c>
      <c r="K3654" s="10" t="str">
        <f aca="false">IF($A3654="","",$G3654&amp;"|"&amp;$J3654)</f>
        <v/>
      </c>
      <c r="L3654" s="10" t="str">
        <f aca="false">IF($A3654="","",ROW()-2)</f>
        <v/>
      </c>
      <c r="M3654" s="10" t="str">
        <f aca="false">IF($A3654="","",ROW())</f>
        <v/>
      </c>
    </row>
    <row r="3655" customFormat="false" ht="15" hidden="false" customHeight="true" outlineLevel="0" collapsed="false">
      <c r="A3655" s="8"/>
      <c r="B3655" s="8"/>
      <c r="C3655" s="8"/>
      <c r="D3655" s="8"/>
      <c r="E3655" s="8"/>
      <c r="F3655" s="8"/>
      <c r="G3655" s="10" t="str">
        <f aca="false">IF($A3655="","",UPPER(SUBSTITUTE(SUBSTITUTE(SUBSTITUTE(SUBSTITUTE($A3655," ",""),"(주)",""),"주식회사",""),"㈜","")))</f>
        <v/>
      </c>
      <c r="H3655" s="10" t="str">
        <f aca="false">IF($B3655="","",SUBSTITUTE(SUBSTITUTE(SUBSTITUTE($B3655,"-","")," ",""),".",""))</f>
        <v/>
      </c>
      <c r="I3655" s="10" t="str">
        <f aca="false">IF($D3655="","",SUBSTITUTE(SUBSTITUTE(SUBSTITUTE($D3655,"-","")," ",""),".",""))</f>
        <v/>
      </c>
      <c r="J3655" s="10" t="str">
        <f aca="false">IF($E3655="","",UPPER(SUBSTITUTE($E3655," ","")))</f>
        <v/>
      </c>
      <c r="K3655" s="10" t="str">
        <f aca="false">IF($A3655="","",$G3655&amp;"|"&amp;$J3655)</f>
        <v/>
      </c>
      <c r="L3655" s="10" t="str">
        <f aca="false">IF($A3655="","",ROW()-2)</f>
        <v/>
      </c>
      <c r="M3655" s="10" t="str">
        <f aca="false">IF($A3655="","",ROW())</f>
        <v/>
      </c>
    </row>
    <row r="3656" customFormat="false" ht="15" hidden="false" customHeight="true" outlineLevel="0" collapsed="false">
      <c r="A3656" s="8"/>
      <c r="B3656" s="8"/>
      <c r="C3656" s="8"/>
      <c r="D3656" s="8"/>
      <c r="E3656" s="8"/>
      <c r="F3656" s="8"/>
      <c r="G3656" s="10" t="str">
        <f aca="false">IF($A3656="","",UPPER(SUBSTITUTE(SUBSTITUTE(SUBSTITUTE(SUBSTITUTE($A3656," ",""),"(주)",""),"주식회사",""),"㈜","")))</f>
        <v/>
      </c>
      <c r="H3656" s="10" t="str">
        <f aca="false">IF($B3656="","",SUBSTITUTE(SUBSTITUTE(SUBSTITUTE($B3656,"-","")," ",""),".",""))</f>
        <v/>
      </c>
      <c r="I3656" s="10" t="str">
        <f aca="false">IF($D3656="","",SUBSTITUTE(SUBSTITUTE(SUBSTITUTE($D3656,"-","")," ",""),".",""))</f>
        <v/>
      </c>
      <c r="J3656" s="10" t="str">
        <f aca="false">IF($E3656="","",UPPER(SUBSTITUTE($E3656," ","")))</f>
        <v/>
      </c>
      <c r="K3656" s="10" t="str">
        <f aca="false">IF($A3656="","",$G3656&amp;"|"&amp;$J3656)</f>
        <v/>
      </c>
      <c r="L3656" s="10" t="str">
        <f aca="false">IF($A3656="","",ROW()-2)</f>
        <v/>
      </c>
      <c r="M3656" s="10" t="str">
        <f aca="false">IF($A3656="","",ROW())</f>
        <v/>
      </c>
    </row>
    <row r="3657" customFormat="false" ht="15" hidden="false" customHeight="true" outlineLevel="0" collapsed="false">
      <c r="A3657" s="8"/>
      <c r="B3657" s="8"/>
      <c r="C3657" s="8"/>
      <c r="D3657" s="8"/>
      <c r="E3657" s="8"/>
      <c r="F3657" s="8"/>
      <c r="G3657" s="10" t="str">
        <f aca="false">IF($A3657="","",UPPER(SUBSTITUTE(SUBSTITUTE(SUBSTITUTE(SUBSTITUTE($A3657," ",""),"(주)",""),"주식회사",""),"㈜","")))</f>
        <v/>
      </c>
      <c r="H3657" s="10" t="str">
        <f aca="false">IF($B3657="","",SUBSTITUTE(SUBSTITUTE(SUBSTITUTE($B3657,"-","")," ",""),".",""))</f>
        <v/>
      </c>
      <c r="I3657" s="10" t="str">
        <f aca="false">IF($D3657="","",SUBSTITUTE(SUBSTITUTE(SUBSTITUTE($D3657,"-","")," ",""),".",""))</f>
        <v/>
      </c>
      <c r="J3657" s="10" t="str">
        <f aca="false">IF($E3657="","",UPPER(SUBSTITUTE($E3657," ","")))</f>
        <v/>
      </c>
      <c r="K3657" s="10" t="str">
        <f aca="false">IF($A3657="","",$G3657&amp;"|"&amp;$J3657)</f>
        <v/>
      </c>
      <c r="L3657" s="10" t="str">
        <f aca="false">IF($A3657="","",ROW()-2)</f>
        <v/>
      </c>
      <c r="M3657" s="10" t="str">
        <f aca="false">IF($A3657="","",ROW())</f>
        <v/>
      </c>
    </row>
    <row r="3658" customFormat="false" ht="15" hidden="false" customHeight="true" outlineLevel="0" collapsed="false">
      <c r="A3658" s="8"/>
      <c r="B3658" s="8"/>
      <c r="C3658" s="8"/>
      <c r="D3658" s="8"/>
      <c r="E3658" s="8"/>
      <c r="F3658" s="8"/>
      <c r="G3658" s="10" t="str">
        <f aca="false">IF($A3658="","",UPPER(SUBSTITUTE(SUBSTITUTE(SUBSTITUTE(SUBSTITUTE($A3658," ",""),"(주)",""),"주식회사",""),"㈜","")))</f>
        <v/>
      </c>
      <c r="H3658" s="10" t="str">
        <f aca="false">IF($B3658="","",SUBSTITUTE(SUBSTITUTE(SUBSTITUTE($B3658,"-","")," ",""),".",""))</f>
        <v/>
      </c>
      <c r="I3658" s="10" t="str">
        <f aca="false">IF($D3658="","",SUBSTITUTE(SUBSTITUTE(SUBSTITUTE($D3658,"-","")," ",""),".",""))</f>
        <v/>
      </c>
      <c r="J3658" s="10" t="str">
        <f aca="false">IF($E3658="","",UPPER(SUBSTITUTE($E3658," ","")))</f>
        <v/>
      </c>
      <c r="K3658" s="10" t="str">
        <f aca="false">IF($A3658="","",$G3658&amp;"|"&amp;$J3658)</f>
        <v/>
      </c>
      <c r="L3658" s="10" t="str">
        <f aca="false">IF($A3658="","",ROW()-2)</f>
        <v/>
      </c>
      <c r="M3658" s="10" t="str">
        <f aca="false">IF($A3658="","",ROW())</f>
        <v/>
      </c>
    </row>
    <row r="3659" customFormat="false" ht="15" hidden="false" customHeight="true" outlineLevel="0" collapsed="false">
      <c r="A3659" s="8"/>
      <c r="B3659" s="8"/>
      <c r="C3659" s="8"/>
      <c r="D3659" s="8"/>
      <c r="E3659" s="8"/>
      <c r="F3659" s="8"/>
      <c r="G3659" s="10" t="str">
        <f aca="false">IF($A3659="","",UPPER(SUBSTITUTE(SUBSTITUTE(SUBSTITUTE(SUBSTITUTE($A3659," ",""),"(주)",""),"주식회사",""),"㈜","")))</f>
        <v/>
      </c>
      <c r="H3659" s="10" t="str">
        <f aca="false">IF($B3659="","",SUBSTITUTE(SUBSTITUTE(SUBSTITUTE($B3659,"-","")," ",""),".",""))</f>
        <v/>
      </c>
      <c r="I3659" s="10" t="str">
        <f aca="false">IF($D3659="","",SUBSTITUTE(SUBSTITUTE(SUBSTITUTE($D3659,"-","")," ",""),".",""))</f>
        <v/>
      </c>
      <c r="J3659" s="10" t="str">
        <f aca="false">IF($E3659="","",UPPER(SUBSTITUTE($E3659," ","")))</f>
        <v/>
      </c>
      <c r="K3659" s="10" t="str">
        <f aca="false">IF($A3659="","",$G3659&amp;"|"&amp;$J3659)</f>
        <v/>
      </c>
      <c r="L3659" s="10" t="str">
        <f aca="false">IF($A3659="","",ROW()-2)</f>
        <v/>
      </c>
      <c r="M3659" s="10" t="str">
        <f aca="false">IF($A3659="","",ROW())</f>
        <v/>
      </c>
    </row>
    <row r="3660" customFormat="false" ht="15" hidden="false" customHeight="true" outlineLevel="0" collapsed="false">
      <c r="A3660" s="8"/>
      <c r="B3660" s="8"/>
      <c r="C3660" s="8"/>
      <c r="D3660" s="8"/>
      <c r="E3660" s="8"/>
      <c r="F3660" s="8"/>
      <c r="G3660" s="10" t="str">
        <f aca="false">IF($A3660="","",UPPER(SUBSTITUTE(SUBSTITUTE(SUBSTITUTE(SUBSTITUTE($A3660," ",""),"(주)",""),"주식회사",""),"㈜","")))</f>
        <v/>
      </c>
      <c r="H3660" s="10" t="str">
        <f aca="false">IF($B3660="","",SUBSTITUTE(SUBSTITUTE(SUBSTITUTE($B3660,"-","")," ",""),".",""))</f>
        <v/>
      </c>
      <c r="I3660" s="10" t="str">
        <f aca="false">IF($D3660="","",SUBSTITUTE(SUBSTITUTE(SUBSTITUTE($D3660,"-","")," ",""),".",""))</f>
        <v/>
      </c>
      <c r="J3660" s="10" t="str">
        <f aca="false">IF($E3660="","",UPPER(SUBSTITUTE($E3660," ","")))</f>
        <v/>
      </c>
      <c r="K3660" s="10" t="str">
        <f aca="false">IF($A3660="","",$G3660&amp;"|"&amp;$J3660)</f>
        <v/>
      </c>
      <c r="L3660" s="10" t="str">
        <f aca="false">IF($A3660="","",ROW()-2)</f>
        <v/>
      </c>
      <c r="M3660" s="10" t="str">
        <f aca="false">IF($A3660="","",ROW())</f>
        <v/>
      </c>
    </row>
    <row r="3661" customFormat="false" ht="15" hidden="false" customHeight="true" outlineLevel="0" collapsed="false">
      <c r="A3661" s="8"/>
      <c r="B3661" s="8"/>
      <c r="C3661" s="8"/>
      <c r="D3661" s="8"/>
      <c r="E3661" s="8"/>
      <c r="F3661" s="8"/>
      <c r="G3661" s="10" t="str">
        <f aca="false">IF($A3661="","",UPPER(SUBSTITUTE(SUBSTITUTE(SUBSTITUTE(SUBSTITUTE($A3661," ",""),"(주)",""),"주식회사",""),"㈜","")))</f>
        <v/>
      </c>
      <c r="H3661" s="10" t="str">
        <f aca="false">IF($B3661="","",SUBSTITUTE(SUBSTITUTE(SUBSTITUTE($B3661,"-","")," ",""),".",""))</f>
        <v/>
      </c>
      <c r="I3661" s="10" t="str">
        <f aca="false">IF($D3661="","",SUBSTITUTE(SUBSTITUTE(SUBSTITUTE($D3661,"-","")," ",""),".",""))</f>
        <v/>
      </c>
      <c r="J3661" s="10" t="str">
        <f aca="false">IF($E3661="","",UPPER(SUBSTITUTE($E3661," ","")))</f>
        <v/>
      </c>
      <c r="K3661" s="10" t="str">
        <f aca="false">IF($A3661="","",$G3661&amp;"|"&amp;$J3661)</f>
        <v/>
      </c>
      <c r="L3661" s="10" t="str">
        <f aca="false">IF($A3661="","",ROW()-2)</f>
        <v/>
      </c>
      <c r="M3661" s="10" t="str">
        <f aca="false">IF($A3661="","",ROW())</f>
        <v/>
      </c>
    </row>
    <row r="3662" customFormat="false" ht="15" hidden="false" customHeight="true" outlineLevel="0" collapsed="false">
      <c r="A3662" s="8"/>
      <c r="B3662" s="8"/>
      <c r="C3662" s="8"/>
      <c r="D3662" s="8"/>
      <c r="E3662" s="8"/>
      <c r="F3662" s="8"/>
      <c r="G3662" s="10" t="str">
        <f aca="false">IF($A3662="","",UPPER(SUBSTITUTE(SUBSTITUTE(SUBSTITUTE(SUBSTITUTE($A3662," ",""),"(주)",""),"주식회사",""),"㈜","")))</f>
        <v/>
      </c>
      <c r="H3662" s="10" t="str">
        <f aca="false">IF($B3662="","",SUBSTITUTE(SUBSTITUTE(SUBSTITUTE($B3662,"-","")," ",""),".",""))</f>
        <v/>
      </c>
      <c r="I3662" s="10" t="str">
        <f aca="false">IF($D3662="","",SUBSTITUTE(SUBSTITUTE(SUBSTITUTE($D3662,"-","")," ",""),".",""))</f>
        <v/>
      </c>
      <c r="J3662" s="10" t="str">
        <f aca="false">IF($E3662="","",UPPER(SUBSTITUTE($E3662," ","")))</f>
        <v/>
      </c>
      <c r="K3662" s="10" t="str">
        <f aca="false">IF($A3662="","",$G3662&amp;"|"&amp;$J3662)</f>
        <v/>
      </c>
      <c r="L3662" s="10" t="str">
        <f aca="false">IF($A3662="","",ROW()-2)</f>
        <v/>
      </c>
      <c r="M3662" s="10" t="str">
        <f aca="false">IF($A3662="","",ROW())</f>
        <v/>
      </c>
    </row>
    <row r="3663" customFormat="false" ht="15" hidden="false" customHeight="true" outlineLevel="0" collapsed="false">
      <c r="A3663" s="8"/>
      <c r="B3663" s="8"/>
      <c r="C3663" s="8"/>
      <c r="D3663" s="8"/>
      <c r="E3663" s="8"/>
      <c r="F3663" s="8"/>
      <c r="G3663" s="10" t="str">
        <f aca="false">IF($A3663="","",UPPER(SUBSTITUTE(SUBSTITUTE(SUBSTITUTE(SUBSTITUTE($A3663," ",""),"(주)",""),"주식회사",""),"㈜","")))</f>
        <v/>
      </c>
      <c r="H3663" s="10" t="str">
        <f aca="false">IF($B3663="","",SUBSTITUTE(SUBSTITUTE(SUBSTITUTE($B3663,"-","")," ",""),".",""))</f>
        <v/>
      </c>
      <c r="I3663" s="10" t="str">
        <f aca="false">IF($D3663="","",SUBSTITUTE(SUBSTITUTE(SUBSTITUTE($D3663,"-","")," ",""),".",""))</f>
        <v/>
      </c>
      <c r="J3663" s="10" t="str">
        <f aca="false">IF($E3663="","",UPPER(SUBSTITUTE($E3663," ","")))</f>
        <v/>
      </c>
      <c r="K3663" s="10" t="str">
        <f aca="false">IF($A3663="","",$G3663&amp;"|"&amp;$J3663)</f>
        <v/>
      </c>
      <c r="L3663" s="10" t="str">
        <f aca="false">IF($A3663="","",ROW()-2)</f>
        <v/>
      </c>
      <c r="M3663" s="10" t="str">
        <f aca="false">IF($A3663="","",ROW())</f>
        <v/>
      </c>
    </row>
    <row r="3664" customFormat="false" ht="15" hidden="false" customHeight="true" outlineLevel="0" collapsed="false">
      <c r="A3664" s="8"/>
      <c r="B3664" s="8"/>
      <c r="C3664" s="8"/>
      <c r="D3664" s="8"/>
      <c r="E3664" s="8"/>
      <c r="F3664" s="8"/>
      <c r="G3664" s="10" t="str">
        <f aca="false">IF($A3664="","",UPPER(SUBSTITUTE(SUBSTITUTE(SUBSTITUTE(SUBSTITUTE($A3664," ",""),"(주)",""),"주식회사",""),"㈜","")))</f>
        <v/>
      </c>
      <c r="H3664" s="10" t="str">
        <f aca="false">IF($B3664="","",SUBSTITUTE(SUBSTITUTE(SUBSTITUTE($B3664,"-","")," ",""),".",""))</f>
        <v/>
      </c>
      <c r="I3664" s="10" t="str">
        <f aca="false">IF($D3664="","",SUBSTITUTE(SUBSTITUTE(SUBSTITUTE($D3664,"-","")," ",""),".",""))</f>
        <v/>
      </c>
      <c r="J3664" s="10" t="str">
        <f aca="false">IF($E3664="","",UPPER(SUBSTITUTE($E3664," ","")))</f>
        <v/>
      </c>
      <c r="K3664" s="10" t="str">
        <f aca="false">IF($A3664="","",$G3664&amp;"|"&amp;$J3664)</f>
        <v/>
      </c>
      <c r="L3664" s="10" t="str">
        <f aca="false">IF($A3664="","",ROW()-2)</f>
        <v/>
      </c>
      <c r="M3664" s="10" t="str">
        <f aca="false">IF($A3664="","",ROW())</f>
        <v/>
      </c>
    </row>
    <row r="3665" customFormat="false" ht="15" hidden="false" customHeight="true" outlineLevel="0" collapsed="false">
      <c r="A3665" s="8"/>
      <c r="B3665" s="8"/>
      <c r="C3665" s="8"/>
      <c r="D3665" s="8"/>
      <c r="E3665" s="8"/>
      <c r="F3665" s="8"/>
      <c r="G3665" s="10" t="str">
        <f aca="false">IF($A3665="","",UPPER(SUBSTITUTE(SUBSTITUTE(SUBSTITUTE(SUBSTITUTE($A3665," ",""),"(주)",""),"주식회사",""),"㈜","")))</f>
        <v/>
      </c>
      <c r="H3665" s="10" t="str">
        <f aca="false">IF($B3665="","",SUBSTITUTE(SUBSTITUTE(SUBSTITUTE($B3665,"-","")," ",""),".",""))</f>
        <v/>
      </c>
      <c r="I3665" s="10" t="str">
        <f aca="false">IF($D3665="","",SUBSTITUTE(SUBSTITUTE(SUBSTITUTE($D3665,"-","")," ",""),".",""))</f>
        <v/>
      </c>
      <c r="J3665" s="10" t="str">
        <f aca="false">IF($E3665="","",UPPER(SUBSTITUTE($E3665," ","")))</f>
        <v/>
      </c>
      <c r="K3665" s="10" t="str">
        <f aca="false">IF($A3665="","",$G3665&amp;"|"&amp;$J3665)</f>
        <v/>
      </c>
      <c r="L3665" s="10" t="str">
        <f aca="false">IF($A3665="","",ROW()-2)</f>
        <v/>
      </c>
      <c r="M3665" s="10" t="str">
        <f aca="false">IF($A3665="","",ROW())</f>
        <v/>
      </c>
    </row>
    <row r="3666" customFormat="false" ht="15" hidden="false" customHeight="true" outlineLevel="0" collapsed="false">
      <c r="A3666" s="8"/>
      <c r="B3666" s="8"/>
      <c r="C3666" s="8"/>
      <c r="D3666" s="8"/>
      <c r="E3666" s="8"/>
      <c r="F3666" s="8"/>
      <c r="G3666" s="10" t="str">
        <f aca="false">IF($A3666="","",UPPER(SUBSTITUTE(SUBSTITUTE(SUBSTITUTE(SUBSTITUTE($A3666," ",""),"(주)",""),"주식회사",""),"㈜","")))</f>
        <v/>
      </c>
      <c r="H3666" s="10" t="str">
        <f aca="false">IF($B3666="","",SUBSTITUTE(SUBSTITUTE(SUBSTITUTE($B3666,"-","")," ",""),".",""))</f>
        <v/>
      </c>
      <c r="I3666" s="10" t="str">
        <f aca="false">IF($D3666="","",SUBSTITUTE(SUBSTITUTE(SUBSTITUTE($D3666,"-","")," ",""),".",""))</f>
        <v/>
      </c>
      <c r="J3666" s="10" t="str">
        <f aca="false">IF($E3666="","",UPPER(SUBSTITUTE($E3666," ","")))</f>
        <v/>
      </c>
      <c r="K3666" s="10" t="str">
        <f aca="false">IF($A3666="","",$G3666&amp;"|"&amp;$J3666)</f>
        <v/>
      </c>
      <c r="L3666" s="10" t="str">
        <f aca="false">IF($A3666="","",ROW()-2)</f>
        <v/>
      </c>
      <c r="M3666" s="10" t="str">
        <f aca="false">IF($A3666="","",ROW())</f>
        <v/>
      </c>
    </row>
    <row r="3667" customFormat="false" ht="15" hidden="false" customHeight="true" outlineLevel="0" collapsed="false">
      <c r="A3667" s="8"/>
      <c r="B3667" s="8"/>
      <c r="C3667" s="8"/>
      <c r="D3667" s="8"/>
      <c r="E3667" s="8"/>
      <c r="F3667" s="8"/>
      <c r="G3667" s="10" t="str">
        <f aca="false">IF($A3667="","",UPPER(SUBSTITUTE(SUBSTITUTE(SUBSTITUTE(SUBSTITUTE($A3667," ",""),"(주)",""),"주식회사",""),"㈜","")))</f>
        <v/>
      </c>
      <c r="H3667" s="10" t="str">
        <f aca="false">IF($B3667="","",SUBSTITUTE(SUBSTITUTE(SUBSTITUTE($B3667,"-","")," ",""),".",""))</f>
        <v/>
      </c>
      <c r="I3667" s="10" t="str">
        <f aca="false">IF($D3667="","",SUBSTITUTE(SUBSTITUTE(SUBSTITUTE($D3667,"-","")," ",""),".",""))</f>
        <v/>
      </c>
      <c r="J3667" s="10" t="str">
        <f aca="false">IF($E3667="","",UPPER(SUBSTITUTE($E3667," ","")))</f>
        <v/>
      </c>
      <c r="K3667" s="10" t="str">
        <f aca="false">IF($A3667="","",$G3667&amp;"|"&amp;$J3667)</f>
        <v/>
      </c>
      <c r="L3667" s="10" t="str">
        <f aca="false">IF($A3667="","",ROW()-2)</f>
        <v/>
      </c>
      <c r="M3667" s="10" t="str">
        <f aca="false">IF($A3667="","",ROW())</f>
        <v/>
      </c>
    </row>
    <row r="3668" customFormat="false" ht="15" hidden="false" customHeight="true" outlineLevel="0" collapsed="false">
      <c r="A3668" s="8"/>
      <c r="B3668" s="8"/>
      <c r="C3668" s="8"/>
      <c r="D3668" s="8"/>
      <c r="E3668" s="8"/>
      <c r="F3668" s="8"/>
      <c r="G3668" s="10" t="str">
        <f aca="false">IF($A3668="","",UPPER(SUBSTITUTE(SUBSTITUTE(SUBSTITUTE(SUBSTITUTE($A3668," ",""),"(주)",""),"주식회사",""),"㈜","")))</f>
        <v/>
      </c>
      <c r="H3668" s="10" t="str">
        <f aca="false">IF($B3668="","",SUBSTITUTE(SUBSTITUTE(SUBSTITUTE($B3668,"-","")," ",""),".",""))</f>
        <v/>
      </c>
      <c r="I3668" s="10" t="str">
        <f aca="false">IF($D3668="","",SUBSTITUTE(SUBSTITUTE(SUBSTITUTE($D3668,"-","")," ",""),".",""))</f>
        <v/>
      </c>
      <c r="J3668" s="10" t="str">
        <f aca="false">IF($E3668="","",UPPER(SUBSTITUTE($E3668," ","")))</f>
        <v/>
      </c>
      <c r="K3668" s="10" t="str">
        <f aca="false">IF($A3668="","",$G3668&amp;"|"&amp;$J3668)</f>
        <v/>
      </c>
      <c r="L3668" s="10" t="str">
        <f aca="false">IF($A3668="","",ROW()-2)</f>
        <v/>
      </c>
      <c r="M3668" s="10" t="str">
        <f aca="false">IF($A3668="","",ROW())</f>
        <v/>
      </c>
    </row>
    <row r="3669" customFormat="false" ht="15" hidden="false" customHeight="true" outlineLevel="0" collapsed="false">
      <c r="A3669" s="8"/>
      <c r="B3669" s="8"/>
      <c r="C3669" s="8"/>
      <c r="D3669" s="8"/>
      <c r="E3669" s="8"/>
      <c r="F3669" s="8"/>
      <c r="G3669" s="10" t="str">
        <f aca="false">IF($A3669="","",UPPER(SUBSTITUTE(SUBSTITUTE(SUBSTITUTE(SUBSTITUTE($A3669," ",""),"(주)",""),"주식회사",""),"㈜","")))</f>
        <v/>
      </c>
      <c r="H3669" s="10" t="str">
        <f aca="false">IF($B3669="","",SUBSTITUTE(SUBSTITUTE(SUBSTITUTE($B3669,"-","")," ",""),".",""))</f>
        <v/>
      </c>
      <c r="I3669" s="10" t="str">
        <f aca="false">IF($D3669="","",SUBSTITUTE(SUBSTITUTE(SUBSTITUTE($D3669,"-","")," ",""),".",""))</f>
        <v/>
      </c>
      <c r="J3669" s="10" t="str">
        <f aca="false">IF($E3669="","",UPPER(SUBSTITUTE($E3669," ","")))</f>
        <v/>
      </c>
      <c r="K3669" s="10" t="str">
        <f aca="false">IF($A3669="","",$G3669&amp;"|"&amp;$J3669)</f>
        <v/>
      </c>
      <c r="L3669" s="10" t="str">
        <f aca="false">IF($A3669="","",ROW()-2)</f>
        <v/>
      </c>
      <c r="M3669" s="10" t="str">
        <f aca="false">IF($A3669="","",ROW())</f>
        <v/>
      </c>
    </row>
    <row r="3670" customFormat="false" ht="15" hidden="false" customHeight="true" outlineLevel="0" collapsed="false">
      <c r="A3670" s="8"/>
      <c r="B3670" s="8"/>
      <c r="C3670" s="8"/>
      <c r="D3670" s="8"/>
      <c r="E3670" s="8"/>
      <c r="F3670" s="8"/>
      <c r="G3670" s="10" t="str">
        <f aca="false">IF($A3670="","",UPPER(SUBSTITUTE(SUBSTITUTE(SUBSTITUTE(SUBSTITUTE($A3670," ",""),"(주)",""),"주식회사",""),"㈜","")))</f>
        <v/>
      </c>
      <c r="H3670" s="10" t="str">
        <f aca="false">IF($B3670="","",SUBSTITUTE(SUBSTITUTE(SUBSTITUTE($B3670,"-","")," ",""),".",""))</f>
        <v/>
      </c>
      <c r="I3670" s="10" t="str">
        <f aca="false">IF($D3670="","",SUBSTITUTE(SUBSTITUTE(SUBSTITUTE($D3670,"-","")," ",""),".",""))</f>
        <v/>
      </c>
      <c r="J3670" s="10" t="str">
        <f aca="false">IF($E3670="","",UPPER(SUBSTITUTE($E3670," ","")))</f>
        <v/>
      </c>
      <c r="K3670" s="10" t="str">
        <f aca="false">IF($A3670="","",$G3670&amp;"|"&amp;$J3670)</f>
        <v/>
      </c>
      <c r="L3670" s="10" t="str">
        <f aca="false">IF($A3670="","",ROW()-2)</f>
        <v/>
      </c>
      <c r="M3670" s="10" t="str">
        <f aca="false">IF($A3670="","",ROW())</f>
        <v/>
      </c>
    </row>
    <row r="3671" customFormat="false" ht="15" hidden="false" customHeight="true" outlineLevel="0" collapsed="false">
      <c r="A3671" s="8"/>
      <c r="B3671" s="8"/>
      <c r="C3671" s="8"/>
      <c r="D3671" s="8"/>
      <c r="E3671" s="8"/>
      <c r="F3671" s="8"/>
      <c r="G3671" s="10" t="str">
        <f aca="false">IF($A3671="","",UPPER(SUBSTITUTE(SUBSTITUTE(SUBSTITUTE(SUBSTITUTE($A3671," ",""),"(주)",""),"주식회사",""),"㈜","")))</f>
        <v/>
      </c>
      <c r="H3671" s="10" t="str">
        <f aca="false">IF($B3671="","",SUBSTITUTE(SUBSTITUTE(SUBSTITUTE($B3671,"-","")," ",""),".",""))</f>
        <v/>
      </c>
      <c r="I3671" s="10" t="str">
        <f aca="false">IF($D3671="","",SUBSTITUTE(SUBSTITUTE(SUBSTITUTE($D3671,"-","")," ",""),".",""))</f>
        <v/>
      </c>
      <c r="J3671" s="10" t="str">
        <f aca="false">IF($E3671="","",UPPER(SUBSTITUTE($E3671," ","")))</f>
        <v/>
      </c>
      <c r="K3671" s="10" t="str">
        <f aca="false">IF($A3671="","",$G3671&amp;"|"&amp;$J3671)</f>
        <v/>
      </c>
      <c r="L3671" s="10" t="str">
        <f aca="false">IF($A3671="","",ROW()-2)</f>
        <v/>
      </c>
      <c r="M3671" s="10" t="str">
        <f aca="false">IF($A3671="","",ROW())</f>
        <v/>
      </c>
    </row>
    <row r="3672" customFormat="false" ht="15" hidden="false" customHeight="true" outlineLevel="0" collapsed="false">
      <c r="A3672" s="8"/>
      <c r="B3672" s="8"/>
      <c r="C3672" s="8"/>
      <c r="D3672" s="8"/>
      <c r="E3672" s="8"/>
      <c r="F3672" s="8"/>
      <c r="G3672" s="10" t="str">
        <f aca="false">IF($A3672="","",UPPER(SUBSTITUTE(SUBSTITUTE(SUBSTITUTE(SUBSTITUTE($A3672," ",""),"(주)",""),"주식회사",""),"㈜","")))</f>
        <v/>
      </c>
      <c r="H3672" s="10" t="str">
        <f aca="false">IF($B3672="","",SUBSTITUTE(SUBSTITUTE(SUBSTITUTE($B3672,"-","")," ",""),".",""))</f>
        <v/>
      </c>
      <c r="I3672" s="10" t="str">
        <f aca="false">IF($D3672="","",SUBSTITUTE(SUBSTITUTE(SUBSTITUTE($D3672,"-","")," ",""),".",""))</f>
        <v/>
      </c>
      <c r="J3672" s="10" t="str">
        <f aca="false">IF($E3672="","",UPPER(SUBSTITUTE($E3672," ","")))</f>
        <v/>
      </c>
      <c r="K3672" s="10" t="str">
        <f aca="false">IF($A3672="","",$G3672&amp;"|"&amp;$J3672)</f>
        <v/>
      </c>
      <c r="L3672" s="10" t="str">
        <f aca="false">IF($A3672="","",ROW()-2)</f>
        <v/>
      </c>
      <c r="M3672" s="10" t="str">
        <f aca="false">IF($A3672="","",ROW())</f>
        <v/>
      </c>
    </row>
    <row r="3673" customFormat="false" ht="15" hidden="false" customHeight="true" outlineLevel="0" collapsed="false">
      <c r="A3673" s="8"/>
      <c r="B3673" s="8"/>
      <c r="C3673" s="8"/>
      <c r="D3673" s="8"/>
      <c r="E3673" s="8"/>
      <c r="F3673" s="8"/>
      <c r="G3673" s="10" t="str">
        <f aca="false">IF($A3673="","",UPPER(SUBSTITUTE(SUBSTITUTE(SUBSTITUTE(SUBSTITUTE($A3673," ",""),"(주)",""),"주식회사",""),"㈜","")))</f>
        <v/>
      </c>
      <c r="H3673" s="10" t="str">
        <f aca="false">IF($B3673="","",SUBSTITUTE(SUBSTITUTE(SUBSTITUTE($B3673,"-","")," ",""),".",""))</f>
        <v/>
      </c>
      <c r="I3673" s="10" t="str">
        <f aca="false">IF($D3673="","",SUBSTITUTE(SUBSTITUTE(SUBSTITUTE($D3673,"-","")," ",""),".",""))</f>
        <v/>
      </c>
      <c r="J3673" s="10" t="str">
        <f aca="false">IF($E3673="","",UPPER(SUBSTITUTE($E3673," ","")))</f>
        <v/>
      </c>
      <c r="K3673" s="10" t="str">
        <f aca="false">IF($A3673="","",$G3673&amp;"|"&amp;$J3673)</f>
        <v/>
      </c>
      <c r="L3673" s="10" t="str">
        <f aca="false">IF($A3673="","",ROW()-2)</f>
        <v/>
      </c>
      <c r="M3673" s="10" t="str">
        <f aca="false">IF($A3673="","",ROW())</f>
        <v/>
      </c>
    </row>
    <row r="3674" customFormat="false" ht="15" hidden="false" customHeight="true" outlineLevel="0" collapsed="false">
      <c r="A3674" s="8"/>
      <c r="B3674" s="8"/>
      <c r="C3674" s="8"/>
      <c r="D3674" s="8"/>
      <c r="E3674" s="8"/>
      <c r="F3674" s="8"/>
      <c r="G3674" s="10" t="str">
        <f aca="false">IF($A3674="","",UPPER(SUBSTITUTE(SUBSTITUTE(SUBSTITUTE(SUBSTITUTE($A3674," ",""),"(주)",""),"주식회사",""),"㈜","")))</f>
        <v/>
      </c>
      <c r="H3674" s="10" t="str">
        <f aca="false">IF($B3674="","",SUBSTITUTE(SUBSTITUTE(SUBSTITUTE($B3674,"-","")," ",""),".",""))</f>
        <v/>
      </c>
      <c r="I3674" s="10" t="str">
        <f aca="false">IF($D3674="","",SUBSTITUTE(SUBSTITUTE(SUBSTITUTE($D3674,"-","")," ",""),".",""))</f>
        <v/>
      </c>
      <c r="J3674" s="10" t="str">
        <f aca="false">IF($E3674="","",UPPER(SUBSTITUTE($E3674," ","")))</f>
        <v/>
      </c>
      <c r="K3674" s="10" t="str">
        <f aca="false">IF($A3674="","",$G3674&amp;"|"&amp;$J3674)</f>
        <v/>
      </c>
      <c r="L3674" s="10" t="str">
        <f aca="false">IF($A3674="","",ROW()-2)</f>
        <v/>
      </c>
      <c r="M3674" s="10" t="str">
        <f aca="false">IF($A3674="","",ROW())</f>
        <v/>
      </c>
    </row>
    <row r="3675" customFormat="false" ht="15" hidden="false" customHeight="true" outlineLevel="0" collapsed="false">
      <c r="A3675" s="8"/>
      <c r="B3675" s="8"/>
      <c r="C3675" s="8"/>
      <c r="D3675" s="8"/>
      <c r="E3675" s="8"/>
      <c r="F3675" s="8"/>
      <c r="G3675" s="10" t="str">
        <f aca="false">IF($A3675="","",UPPER(SUBSTITUTE(SUBSTITUTE(SUBSTITUTE(SUBSTITUTE($A3675," ",""),"(주)",""),"주식회사",""),"㈜","")))</f>
        <v/>
      </c>
      <c r="H3675" s="10" t="str">
        <f aca="false">IF($B3675="","",SUBSTITUTE(SUBSTITUTE(SUBSTITUTE($B3675,"-","")," ",""),".",""))</f>
        <v/>
      </c>
      <c r="I3675" s="10" t="str">
        <f aca="false">IF($D3675="","",SUBSTITUTE(SUBSTITUTE(SUBSTITUTE($D3675,"-","")," ",""),".",""))</f>
        <v/>
      </c>
      <c r="J3675" s="10" t="str">
        <f aca="false">IF($E3675="","",UPPER(SUBSTITUTE($E3675," ","")))</f>
        <v/>
      </c>
      <c r="K3675" s="10" t="str">
        <f aca="false">IF($A3675="","",$G3675&amp;"|"&amp;$J3675)</f>
        <v/>
      </c>
      <c r="L3675" s="10" t="str">
        <f aca="false">IF($A3675="","",ROW()-2)</f>
        <v/>
      </c>
      <c r="M3675" s="10" t="str">
        <f aca="false">IF($A3675="","",ROW())</f>
        <v/>
      </c>
    </row>
    <row r="3676" customFormat="false" ht="15" hidden="false" customHeight="true" outlineLevel="0" collapsed="false">
      <c r="A3676" s="8"/>
      <c r="B3676" s="8"/>
      <c r="C3676" s="8"/>
      <c r="D3676" s="8"/>
      <c r="E3676" s="8"/>
      <c r="F3676" s="8"/>
      <c r="G3676" s="10" t="str">
        <f aca="false">IF($A3676="","",UPPER(SUBSTITUTE(SUBSTITUTE(SUBSTITUTE(SUBSTITUTE($A3676," ",""),"(주)",""),"주식회사",""),"㈜","")))</f>
        <v/>
      </c>
      <c r="H3676" s="10" t="str">
        <f aca="false">IF($B3676="","",SUBSTITUTE(SUBSTITUTE(SUBSTITUTE($B3676,"-","")," ",""),".",""))</f>
        <v/>
      </c>
      <c r="I3676" s="10" t="str">
        <f aca="false">IF($D3676="","",SUBSTITUTE(SUBSTITUTE(SUBSTITUTE($D3676,"-","")," ",""),".",""))</f>
        <v/>
      </c>
      <c r="J3676" s="10" t="str">
        <f aca="false">IF($E3676="","",UPPER(SUBSTITUTE($E3676," ","")))</f>
        <v/>
      </c>
      <c r="K3676" s="10" t="str">
        <f aca="false">IF($A3676="","",$G3676&amp;"|"&amp;$J3676)</f>
        <v/>
      </c>
      <c r="L3676" s="10" t="str">
        <f aca="false">IF($A3676="","",ROW()-2)</f>
        <v/>
      </c>
      <c r="M3676" s="10" t="str">
        <f aca="false">IF($A3676="","",ROW())</f>
        <v/>
      </c>
    </row>
    <row r="3677" customFormat="false" ht="15" hidden="false" customHeight="true" outlineLevel="0" collapsed="false">
      <c r="A3677" s="8"/>
      <c r="B3677" s="8"/>
      <c r="C3677" s="8"/>
      <c r="D3677" s="8"/>
      <c r="E3677" s="8"/>
      <c r="F3677" s="8"/>
      <c r="G3677" s="10" t="str">
        <f aca="false">IF($A3677="","",UPPER(SUBSTITUTE(SUBSTITUTE(SUBSTITUTE(SUBSTITUTE($A3677," ",""),"(주)",""),"주식회사",""),"㈜","")))</f>
        <v/>
      </c>
      <c r="H3677" s="10" t="str">
        <f aca="false">IF($B3677="","",SUBSTITUTE(SUBSTITUTE(SUBSTITUTE($B3677,"-","")," ",""),".",""))</f>
        <v/>
      </c>
      <c r="I3677" s="10" t="str">
        <f aca="false">IF($D3677="","",SUBSTITUTE(SUBSTITUTE(SUBSTITUTE($D3677,"-","")," ",""),".",""))</f>
        <v/>
      </c>
      <c r="J3677" s="10" t="str">
        <f aca="false">IF($E3677="","",UPPER(SUBSTITUTE($E3677," ","")))</f>
        <v/>
      </c>
      <c r="K3677" s="10" t="str">
        <f aca="false">IF($A3677="","",$G3677&amp;"|"&amp;$J3677)</f>
        <v/>
      </c>
      <c r="L3677" s="10" t="str">
        <f aca="false">IF($A3677="","",ROW()-2)</f>
        <v/>
      </c>
      <c r="M3677" s="10" t="str">
        <f aca="false">IF($A3677="","",ROW())</f>
        <v/>
      </c>
    </row>
    <row r="3678" customFormat="false" ht="15" hidden="false" customHeight="true" outlineLevel="0" collapsed="false">
      <c r="A3678" s="8"/>
      <c r="B3678" s="8"/>
      <c r="C3678" s="8"/>
      <c r="D3678" s="8"/>
      <c r="E3678" s="8"/>
      <c r="F3678" s="8"/>
      <c r="G3678" s="10" t="str">
        <f aca="false">IF($A3678="","",UPPER(SUBSTITUTE(SUBSTITUTE(SUBSTITUTE(SUBSTITUTE($A3678," ",""),"(주)",""),"주식회사",""),"㈜","")))</f>
        <v/>
      </c>
      <c r="H3678" s="10" t="str">
        <f aca="false">IF($B3678="","",SUBSTITUTE(SUBSTITUTE(SUBSTITUTE($B3678,"-","")," ",""),".",""))</f>
        <v/>
      </c>
      <c r="I3678" s="10" t="str">
        <f aca="false">IF($D3678="","",SUBSTITUTE(SUBSTITUTE(SUBSTITUTE($D3678,"-","")," ",""),".",""))</f>
        <v/>
      </c>
      <c r="J3678" s="10" t="str">
        <f aca="false">IF($E3678="","",UPPER(SUBSTITUTE($E3678," ","")))</f>
        <v/>
      </c>
      <c r="K3678" s="10" t="str">
        <f aca="false">IF($A3678="","",$G3678&amp;"|"&amp;$J3678)</f>
        <v/>
      </c>
      <c r="L3678" s="10" t="str">
        <f aca="false">IF($A3678="","",ROW()-2)</f>
        <v/>
      </c>
      <c r="M3678" s="10" t="str">
        <f aca="false">IF($A3678="","",ROW())</f>
        <v/>
      </c>
    </row>
    <row r="3679" customFormat="false" ht="15" hidden="false" customHeight="true" outlineLevel="0" collapsed="false">
      <c r="A3679" s="8"/>
      <c r="B3679" s="8"/>
      <c r="C3679" s="8"/>
      <c r="D3679" s="8"/>
      <c r="E3679" s="8"/>
      <c r="F3679" s="8"/>
      <c r="G3679" s="10" t="str">
        <f aca="false">IF($A3679="","",UPPER(SUBSTITUTE(SUBSTITUTE(SUBSTITUTE(SUBSTITUTE($A3679," ",""),"(주)",""),"주식회사",""),"㈜","")))</f>
        <v/>
      </c>
      <c r="H3679" s="10" t="str">
        <f aca="false">IF($B3679="","",SUBSTITUTE(SUBSTITUTE(SUBSTITUTE($B3679,"-","")," ",""),".",""))</f>
        <v/>
      </c>
      <c r="I3679" s="10" t="str">
        <f aca="false">IF($D3679="","",SUBSTITUTE(SUBSTITUTE(SUBSTITUTE($D3679,"-","")," ",""),".",""))</f>
        <v/>
      </c>
      <c r="J3679" s="10" t="str">
        <f aca="false">IF($E3679="","",UPPER(SUBSTITUTE($E3679," ","")))</f>
        <v/>
      </c>
      <c r="K3679" s="10" t="str">
        <f aca="false">IF($A3679="","",$G3679&amp;"|"&amp;$J3679)</f>
        <v/>
      </c>
      <c r="L3679" s="10" t="str">
        <f aca="false">IF($A3679="","",ROW()-2)</f>
        <v/>
      </c>
      <c r="M3679" s="10" t="str">
        <f aca="false">IF($A3679="","",ROW())</f>
        <v/>
      </c>
    </row>
    <row r="3680" customFormat="false" ht="15" hidden="false" customHeight="true" outlineLevel="0" collapsed="false">
      <c r="A3680" s="8"/>
      <c r="B3680" s="8"/>
      <c r="C3680" s="8"/>
      <c r="D3680" s="8"/>
      <c r="E3680" s="8"/>
      <c r="F3680" s="8"/>
      <c r="G3680" s="10" t="str">
        <f aca="false">IF($A3680="","",UPPER(SUBSTITUTE(SUBSTITUTE(SUBSTITUTE(SUBSTITUTE($A3680," ",""),"(주)",""),"주식회사",""),"㈜","")))</f>
        <v/>
      </c>
      <c r="H3680" s="10" t="str">
        <f aca="false">IF($B3680="","",SUBSTITUTE(SUBSTITUTE(SUBSTITUTE($B3680,"-","")," ",""),".",""))</f>
        <v/>
      </c>
      <c r="I3680" s="10" t="str">
        <f aca="false">IF($D3680="","",SUBSTITUTE(SUBSTITUTE(SUBSTITUTE($D3680,"-","")," ",""),".",""))</f>
        <v/>
      </c>
      <c r="J3680" s="10" t="str">
        <f aca="false">IF($E3680="","",UPPER(SUBSTITUTE($E3680," ","")))</f>
        <v/>
      </c>
      <c r="K3680" s="10" t="str">
        <f aca="false">IF($A3680="","",$G3680&amp;"|"&amp;$J3680)</f>
        <v/>
      </c>
      <c r="L3680" s="10" t="str">
        <f aca="false">IF($A3680="","",ROW()-2)</f>
        <v/>
      </c>
      <c r="M3680" s="10" t="str">
        <f aca="false">IF($A3680="","",ROW())</f>
        <v/>
      </c>
    </row>
    <row r="3681" customFormat="false" ht="15" hidden="false" customHeight="true" outlineLevel="0" collapsed="false">
      <c r="A3681" s="8"/>
      <c r="B3681" s="8"/>
      <c r="C3681" s="8"/>
      <c r="D3681" s="8"/>
      <c r="E3681" s="8"/>
      <c r="F3681" s="8"/>
      <c r="G3681" s="10" t="str">
        <f aca="false">IF($A3681="","",UPPER(SUBSTITUTE(SUBSTITUTE(SUBSTITUTE(SUBSTITUTE($A3681," ",""),"(주)",""),"주식회사",""),"㈜","")))</f>
        <v/>
      </c>
      <c r="H3681" s="10" t="str">
        <f aca="false">IF($B3681="","",SUBSTITUTE(SUBSTITUTE(SUBSTITUTE($B3681,"-","")," ",""),".",""))</f>
        <v/>
      </c>
      <c r="I3681" s="10" t="str">
        <f aca="false">IF($D3681="","",SUBSTITUTE(SUBSTITUTE(SUBSTITUTE($D3681,"-","")," ",""),".",""))</f>
        <v/>
      </c>
      <c r="J3681" s="10" t="str">
        <f aca="false">IF($E3681="","",UPPER(SUBSTITUTE($E3681," ","")))</f>
        <v/>
      </c>
      <c r="K3681" s="10" t="str">
        <f aca="false">IF($A3681="","",$G3681&amp;"|"&amp;$J3681)</f>
        <v/>
      </c>
      <c r="L3681" s="10" t="str">
        <f aca="false">IF($A3681="","",ROW()-2)</f>
        <v/>
      </c>
      <c r="M3681" s="10" t="str">
        <f aca="false">IF($A3681="","",ROW())</f>
        <v/>
      </c>
    </row>
    <row r="3682" customFormat="false" ht="15" hidden="false" customHeight="true" outlineLevel="0" collapsed="false">
      <c r="A3682" s="8"/>
      <c r="B3682" s="8"/>
      <c r="C3682" s="8"/>
      <c r="D3682" s="8"/>
      <c r="E3682" s="8"/>
      <c r="F3682" s="8"/>
      <c r="G3682" s="10" t="str">
        <f aca="false">IF($A3682="","",UPPER(SUBSTITUTE(SUBSTITUTE(SUBSTITUTE(SUBSTITUTE($A3682," ",""),"(주)",""),"주식회사",""),"㈜","")))</f>
        <v/>
      </c>
      <c r="H3682" s="10" t="str">
        <f aca="false">IF($B3682="","",SUBSTITUTE(SUBSTITUTE(SUBSTITUTE($B3682,"-","")," ",""),".",""))</f>
        <v/>
      </c>
      <c r="I3682" s="10" t="str">
        <f aca="false">IF($D3682="","",SUBSTITUTE(SUBSTITUTE(SUBSTITUTE($D3682,"-","")," ",""),".",""))</f>
        <v/>
      </c>
      <c r="J3682" s="10" t="str">
        <f aca="false">IF($E3682="","",UPPER(SUBSTITUTE($E3682," ","")))</f>
        <v/>
      </c>
      <c r="K3682" s="10" t="str">
        <f aca="false">IF($A3682="","",$G3682&amp;"|"&amp;$J3682)</f>
        <v/>
      </c>
      <c r="L3682" s="10" t="str">
        <f aca="false">IF($A3682="","",ROW()-2)</f>
        <v/>
      </c>
      <c r="M3682" s="10" t="str">
        <f aca="false">IF($A3682="","",ROW())</f>
        <v/>
      </c>
    </row>
    <row r="3683" customFormat="false" ht="15" hidden="false" customHeight="true" outlineLevel="0" collapsed="false">
      <c r="A3683" s="8"/>
      <c r="B3683" s="8"/>
      <c r="C3683" s="8"/>
      <c r="D3683" s="8"/>
      <c r="E3683" s="8"/>
      <c r="F3683" s="8"/>
      <c r="G3683" s="10" t="str">
        <f aca="false">IF($A3683="","",UPPER(SUBSTITUTE(SUBSTITUTE(SUBSTITUTE(SUBSTITUTE($A3683," ",""),"(주)",""),"주식회사",""),"㈜","")))</f>
        <v/>
      </c>
      <c r="H3683" s="10" t="str">
        <f aca="false">IF($B3683="","",SUBSTITUTE(SUBSTITUTE(SUBSTITUTE($B3683,"-","")," ",""),".",""))</f>
        <v/>
      </c>
      <c r="I3683" s="10" t="str">
        <f aca="false">IF($D3683="","",SUBSTITUTE(SUBSTITUTE(SUBSTITUTE($D3683,"-","")," ",""),".",""))</f>
        <v/>
      </c>
      <c r="J3683" s="10" t="str">
        <f aca="false">IF($E3683="","",UPPER(SUBSTITUTE($E3683," ","")))</f>
        <v/>
      </c>
      <c r="K3683" s="10" t="str">
        <f aca="false">IF($A3683="","",$G3683&amp;"|"&amp;$J3683)</f>
        <v/>
      </c>
      <c r="L3683" s="10" t="str">
        <f aca="false">IF($A3683="","",ROW()-2)</f>
        <v/>
      </c>
      <c r="M3683" s="10" t="str">
        <f aca="false">IF($A3683="","",ROW())</f>
        <v/>
      </c>
    </row>
    <row r="3684" customFormat="false" ht="15" hidden="false" customHeight="true" outlineLevel="0" collapsed="false">
      <c r="A3684" s="8"/>
      <c r="B3684" s="8"/>
      <c r="C3684" s="8"/>
      <c r="D3684" s="8"/>
      <c r="E3684" s="8"/>
      <c r="F3684" s="8"/>
      <c r="G3684" s="10" t="str">
        <f aca="false">IF($A3684="","",UPPER(SUBSTITUTE(SUBSTITUTE(SUBSTITUTE(SUBSTITUTE($A3684," ",""),"(주)",""),"주식회사",""),"㈜","")))</f>
        <v/>
      </c>
      <c r="H3684" s="10" t="str">
        <f aca="false">IF($B3684="","",SUBSTITUTE(SUBSTITUTE(SUBSTITUTE($B3684,"-","")," ",""),".",""))</f>
        <v/>
      </c>
      <c r="I3684" s="10" t="str">
        <f aca="false">IF($D3684="","",SUBSTITUTE(SUBSTITUTE(SUBSTITUTE($D3684,"-","")," ",""),".",""))</f>
        <v/>
      </c>
      <c r="J3684" s="10" t="str">
        <f aca="false">IF($E3684="","",UPPER(SUBSTITUTE($E3684," ","")))</f>
        <v/>
      </c>
      <c r="K3684" s="10" t="str">
        <f aca="false">IF($A3684="","",$G3684&amp;"|"&amp;$J3684)</f>
        <v/>
      </c>
      <c r="L3684" s="10" t="str">
        <f aca="false">IF($A3684="","",ROW()-2)</f>
        <v/>
      </c>
      <c r="M3684" s="10" t="str">
        <f aca="false">IF($A3684="","",ROW())</f>
        <v/>
      </c>
    </row>
    <row r="3685" customFormat="false" ht="15" hidden="false" customHeight="true" outlineLevel="0" collapsed="false">
      <c r="A3685" s="8"/>
      <c r="B3685" s="8"/>
      <c r="C3685" s="8"/>
      <c r="D3685" s="8"/>
      <c r="E3685" s="8"/>
      <c r="F3685" s="8"/>
      <c r="G3685" s="10" t="str">
        <f aca="false">IF($A3685="","",UPPER(SUBSTITUTE(SUBSTITUTE(SUBSTITUTE(SUBSTITUTE($A3685," ",""),"(주)",""),"주식회사",""),"㈜","")))</f>
        <v/>
      </c>
      <c r="H3685" s="10" t="str">
        <f aca="false">IF($B3685="","",SUBSTITUTE(SUBSTITUTE(SUBSTITUTE($B3685,"-","")," ",""),".",""))</f>
        <v/>
      </c>
      <c r="I3685" s="10" t="str">
        <f aca="false">IF($D3685="","",SUBSTITUTE(SUBSTITUTE(SUBSTITUTE($D3685,"-","")," ",""),".",""))</f>
        <v/>
      </c>
      <c r="J3685" s="10" t="str">
        <f aca="false">IF($E3685="","",UPPER(SUBSTITUTE($E3685," ","")))</f>
        <v/>
      </c>
      <c r="K3685" s="10" t="str">
        <f aca="false">IF($A3685="","",$G3685&amp;"|"&amp;$J3685)</f>
        <v/>
      </c>
      <c r="L3685" s="10" t="str">
        <f aca="false">IF($A3685="","",ROW()-2)</f>
        <v/>
      </c>
      <c r="M3685" s="10" t="str">
        <f aca="false">IF($A3685="","",ROW())</f>
        <v/>
      </c>
    </row>
    <row r="3686" customFormat="false" ht="15" hidden="false" customHeight="true" outlineLevel="0" collapsed="false">
      <c r="A3686" s="8"/>
      <c r="B3686" s="8"/>
      <c r="C3686" s="8"/>
      <c r="D3686" s="8"/>
      <c r="E3686" s="8"/>
      <c r="F3686" s="8"/>
      <c r="G3686" s="10" t="str">
        <f aca="false">IF($A3686="","",UPPER(SUBSTITUTE(SUBSTITUTE(SUBSTITUTE(SUBSTITUTE($A3686," ",""),"(주)",""),"주식회사",""),"㈜","")))</f>
        <v/>
      </c>
      <c r="H3686" s="10" t="str">
        <f aca="false">IF($B3686="","",SUBSTITUTE(SUBSTITUTE(SUBSTITUTE($B3686,"-","")," ",""),".",""))</f>
        <v/>
      </c>
      <c r="I3686" s="10" t="str">
        <f aca="false">IF($D3686="","",SUBSTITUTE(SUBSTITUTE(SUBSTITUTE($D3686,"-","")," ",""),".",""))</f>
        <v/>
      </c>
      <c r="J3686" s="10" t="str">
        <f aca="false">IF($E3686="","",UPPER(SUBSTITUTE($E3686," ","")))</f>
        <v/>
      </c>
      <c r="K3686" s="10" t="str">
        <f aca="false">IF($A3686="","",$G3686&amp;"|"&amp;$J3686)</f>
        <v/>
      </c>
      <c r="L3686" s="10" t="str">
        <f aca="false">IF($A3686="","",ROW()-2)</f>
        <v/>
      </c>
      <c r="M3686" s="10" t="str">
        <f aca="false">IF($A3686="","",ROW())</f>
        <v/>
      </c>
    </row>
    <row r="3687" customFormat="false" ht="15" hidden="false" customHeight="true" outlineLevel="0" collapsed="false">
      <c r="A3687" s="8"/>
      <c r="B3687" s="8"/>
      <c r="C3687" s="8"/>
      <c r="D3687" s="8"/>
      <c r="E3687" s="8"/>
      <c r="F3687" s="8"/>
      <c r="G3687" s="10" t="str">
        <f aca="false">IF($A3687="","",UPPER(SUBSTITUTE(SUBSTITUTE(SUBSTITUTE(SUBSTITUTE($A3687," ",""),"(주)",""),"주식회사",""),"㈜","")))</f>
        <v/>
      </c>
      <c r="H3687" s="10" t="str">
        <f aca="false">IF($B3687="","",SUBSTITUTE(SUBSTITUTE(SUBSTITUTE($B3687,"-","")," ",""),".",""))</f>
        <v/>
      </c>
      <c r="I3687" s="10" t="str">
        <f aca="false">IF($D3687="","",SUBSTITUTE(SUBSTITUTE(SUBSTITUTE($D3687,"-","")," ",""),".",""))</f>
        <v/>
      </c>
      <c r="J3687" s="10" t="str">
        <f aca="false">IF($E3687="","",UPPER(SUBSTITUTE($E3687," ","")))</f>
        <v/>
      </c>
      <c r="K3687" s="10" t="str">
        <f aca="false">IF($A3687="","",$G3687&amp;"|"&amp;$J3687)</f>
        <v/>
      </c>
      <c r="L3687" s="10" t="str">
        <f aca="false">IF($A3687="","",ROW()-2)</f>
        <v/>
      </c>
      <c r="M3687" s="10" t="str">
        <f aca="false">IF($A3687="","",ROW())</f>
        <v/>
      </c>
    </row>
    <row r="3688" customFormat="false" ht="15" hidden="false" customHeight="true" outlineLevel="0" collapsed="false">
      <c r="A3688" s="8"/>
      <c r="B3688" s="8"/>
      <c r="C3688" s="8"/>
      <c r="D3688" s="8"/>
      <c r="E3688" s="8"/>
      <c r="F3688" s="8"/>
      <c r="G3688" s="10" t="str">
        <f aca="false">IF($A3688="","",UPPER(SUBSTITUTE(SUBSTITUTE(SUBSTITUTE(SUBSTITUTE($A3688," ",""),"(주)",""),"주식회사",""),"㈜","")))</f>
        <v/>
      </c>
      <c r="H3688" s="10" t="str">
        <f aca="false">IF($B3688="","",SUBSTITUTE(SUBSTITUTE(SUBSTITUTE($B3688,"-","")," ",""),".",""))</f>
        <v/>
      </c>
      <c r="I3688" s="10" t="str">
        <f aca="false">IF($D3688="","",SUBSTITUTE(SUBSTITUTE(SUBSTITUTE($D3688,"-","")," ",""),".",""))</f>
        <v/>
      </c>
      <c r="J3688" s="10" t="str">
        <f aca="false">IF($E3688="","",UPPER(SUBSTITUTE($E3688," ","")))</f>
        <v/>
      </c>
      <c r="K3688" s="10" t="str">
        <f aca="false">IF($A3688="","",$G3688&amp;"|"&amp;$J3688)</f>
        <v/>
      </c>
      <c r="L3688" s="10" t="str">
        <f aca="false">IF($A3688="","",ROW()-2)</f>
        <v/>
      </c>
      <c r="M3688" s="10" t="str">
        <f aca="false">IF($A3688="","",ROW())</f>
        <v/>
      </c>
    </row>
    <row r="3689" customFormat="false" ht="15" hidden="false" customHeight="true" outlineLevel="0" collapsed="false">
      <c r="A3689" s="8"/>
      <c r="B3689" s="8"/>
      <c r="C3689" s="8"/>
      <c r="D3689" s="8"/>
      <c r="E3689" s="8"/>
      <c r="F3689" s="8"/>
      <c r="G3689" s="10" t="str">
        <f aca="false">IF($A3689="","",UPPER(SUBSTITUTE(SUBSTITUTE(SUBSTITUTE(SUBSTITUTE($A3689," ",""),"(주)",""),"주식회사",""),"㈜","")))</f>
        <v/>
      </c>
      <c r="H3689" s="10" t="str">
        <f aca="false">IF($B3689="","",SUBSTITUTE(SUBSTITUTE(SUBSTITUTE($B3689,"-","")," ",""),".",""))</f>
        <v/>
      </c>
      <c r="I3689" s="10" t="str">
        <f aca="false">IF($D3689="","",SUBSTITUTE(SUBSTITUTE(SUBSTITUTE($D3689,"-","")," ",""),".",""))</f>
        <v/>
      </c>
      <c r="J3689" s="10" t="str">
        <f aca="false">IF($E3689="","",UPPER(SUBSTITUTE($E3689," ","")))</f>
        <v/>
      </c>
      <c r="K3689" s="10" t="str">
        <f aca="false">IF($A3689="","",$G3689&amp;"|"&amp;$J3689)</f>
        <v/>
      </c>
      <c r="L3689" s="10" t="str">
        <f aca="false">IF($A3689="","",ROW()-2)</f>
        <v/>
      </c>
      <c r="M3689" s="10" t="str">
        <f aca="false">IF($A3689="","",ROW())</f>
        <v/>
      </c>
    </row>
    <row r="3690" customFormat="false" ht="15" hidden="false" customHeight="true" outlineLevel="0" collapsed="false">
      <c r="A3690" s="8"/>
      <c r="B3690" s="8"/>
      <c r="C3690" s="8"/>
      <c r="D3690" s="8"/>
      <c r="E3690" s="8"/>
      <c r="F3690" s="8"/>
      <c r="G3690" s="10" t="str">
        <f aca="false">IF($A3690="","",UPPER(SUBSTITUTE(SUBSTITUTE(SUBSTITUTE(SUBSTITUTE($A3690," ",""),"(주)",""),"주식회사",""),"㈜","")))</f>
        <v/>
      </c>
      <c r="H3690" s="10" t="str">
        <f aca="false">IF($B3690="","",SUBSTITUTE(SUBSTITUTE(SUBSTITUTE($B3690,"-","")," ",""),".",""))</f>
        <v/>
      </c>
      <c r="I3690" s="10" t="str">
        <f aca="false">IF($D3690="","",SUBSTITUTE(SUBSTITUTE(SUBSTITUTE($D3690,"-","")," ",""),".",""))</f>
        <v/>
      </c>
      <c r="J3690" s="10" t="str">
        <f aca="false">IF($E3690="","",UPPER(SUBSTITUTE($E3690," ","")))</f>
        <v/>
      </c>
      <c r="K3690" s="10" t="str">
        <f aca="false">IF($A3690="","",$G3690&amp;"|"&amp;$J3690)</f>
        <v/>
      </c>
      <c r="L3690" s="10" t="str">
        <f aca="false">IF($A3690="","",ROW()-2)</f>
        <v/>
      </c>
      <c r="M3690" s="10" t="str">
        <f aca="false">IF($A3690="","",ROW())</f>
        <v/>
      </c>
    </row>
    <row r="3691" customFormat="false" ht="15" hidden="false" customHeight="true" outlineLevel="0" collapsed="false">
      <c r="A3691" s="8"/>
      <c r="B3691" s="8"/>
      <c r="C3691" s="8"/>
      <c r="D3691" s="8"/>
      <c r="E3691" s="8"/>
      <c r="F3691" s="8"/>
      <c r="G3691" s="10" t="str">
        <f aca="false">IF($A3691="","",UPPER(SUBSTITUTE(SUBSTITUTE(SUBSTITUTE(SUBSTITUTE($A3691," ",""),"(주)",""),"주식회사",""),"㈜","")))</f>
        <v/>
      </c>
      <c r="H3691" s="10" t="str">
        <f aca="false">IF($B3691="","",SUBSTITUTE(SUBSTITUTE(SUBSTITUTE($B3691,"-","")," ",""),".",""))</f>
        <v/>
      </c>
      <c r="I3691" s="10" t="str">
        <f aca="false">IF($D3691="","",SUBSTITUTE(SUBSTITUTE(SUBSTITUTE($D3691,"-","")," ",""),".",""))</f>
        <v/>
      </c>
      <c r="J3691" s="10" t="str">
        <f aca="false">IF($E3691="","",UPPER(SUBSTITUTE($E3691," ","")))</f>
        <v/>
      </c>
      <c r="K3691" s="10" t="str">
        <f aca="false">IF($A3691="","",$G3691&amp;"|"&amp;$J3691)</f>
        <v/>
      </c>
      <c r="L3691" s="10" t="str">
        <f aca="false">IF($A3691="","",ROW()-2)</f>
        <v/>
      </c>
      <c r="M3691" s="10" t="str">
        <f aca="false">IF($A3691="","",ROW())</f>
        <v/>
      </c>
    </row>
    <row r="3692" customFormat="false" ht="15" hidden="false" customHeight="true" outlineLevel="0" collapsed="false">
      <c r="A3692" s="8"/>
      <c r="B3692" s="8"/>
      <c r="C3692" s="8"/>
      <c r="D3692" s="8"/>
      <c r="E3692" s="8"/>
      <c r="F3692" s="8"/>
      <c r="G3692" s="10" t="str">
        <f aca="false">IF($A3692="","",UPPER(SUBSTITUTE(SUBSTITUTE(SUBSTITUTE(SUBSTITUTE($A3692," ",""),"(주)",""),"주식회사",""),"㈜","")))</f>
        <v/>
      </c>
      <c r="H3692" s="10" t="str">
        <f aca="false">IF($B3692="","",SUBSTITUTE(SUBSTITUTE(SUBSTITUTE($B3692,"-","")," ",""),".",""))</f>
        <v/>
      </c>
      <c r="I3692" s="10" t="str">
        <f aca="false">IF($D3692="","",SUBSTITUTE(SUBSTITUTE(SUBSTITUTE($D3692,"-","")," ",""),".",""))</f>
        <v/>
      </c>
      <c r="J3692" s="10" t="str">
        <f aca="false">IF($E3692="","",UPPER(SUBSTITUTE($E3692," ","")))</f>
        <v/>
      </c>
      <c r="K3692" s="10" t="str">
        <f aca="false">IF($A3692="","",$G3692&amp;"|"&amp;$J3692)</f>
        <v/>
      </c>
      <c r="L3692" s="10" t="str">
        <f aca="false">IF($A3692="","",ROW()-2)</f>
        <v/>
      </c>
      <c r="M3692" s="10" t="str">
        <f aca="false">IF($A3692="","",ROW())</f>
        <v/>
      </c>
    </row>
    <row r="3693" customFormat="false" ht="15" hidden="false" customHeight="true" outlineLevel="0" collapsed="false">
      <c r="A3693" s="8"/>
      <c r="B3693" s="8"/>
      <c r="C3693" s="8"/>
      <c r="D3693" s="8"/>
      <c r="E3693" s="8"/>
      <c r="F3693" s="8"/>
      <c r="G3693" s="10" t="str">
        <f aca="false">IF($A3693="","",UPPER(SUBSTITUTE(SUBSTITUTE(SUBSTITUTE(SUBSTITUTE($A3693," ",""),"(주)",""),"주식회사",""),"㈜","")))</f>
        <v/>
      </c>
      <c r="H3693" s="10" t="str">
        <f aca="false">IF($B3693="","",SUBSTITUTE(SUBSTITUTE(SUBSTITUTE($B3693,"-","")," ",""),".",""))</f>
        <v/>
      </c>
      <c r="I3693" s="10" t="str">
        <f aca="false">IF($D3693="","",SUBSTITUTE(SUBSTITUTE(SUBSTITUTE($D3693,"-","")," ",""),".",""))</f>
        <v/>
      </c>
      <c r="J3693" s="10" t="str">
        <f aca="false">IF($E3693="","",UPPER(SUBSTITUTE($E3693," ","")))</f>
        <v/>
      </c>
      <c r="K3693" s="10" t="str">
        <f aca="false">IF($A3693="","",$G3693&amp;"|"&amp;$J3693)</f>
        <v/>
      </c>
      <c r="L3693" s="10" t="str">
        <f aca="false">IF($A3693="","",ROW()-2)</f>
        <v/>
      </c>
      <c r="M3693" s="10" t="str">
        <f aca="false">IF($A3693="","",ROW())</f>
        <v/>
      </c>
    </row>
    <row r="3694" customFormat="false" ht="15" hidden="false" customHeight="true" outlineLevel="0" collapsed="false">
      <c r="A3694" s="8"/>
      <c r="B3694" s="8"/>
      <c r="C3694" s="8"/>
      <c r="D3694" s="8"/>
      <c r="E3694" s="8"/>
      <c r="F3694" s="8"/>
      <c r="G3694" s="10" t="str">
        <f aca="false">IF($A3694="","",UPPER(SUBSTITUTE(SUBSTITUTE(SUBSTITUTE(SUBSTITUTE($A3694," ",""),"(주)",""),"주식회사",""),"㈜","")))</f>
        <v/>
      </c>
      <c r="H3694" s="10" t="str">
        <f aca="false">IF($B3694="","",SUBSTITUTE(SUBSTITUTE(SUBSTITUTE($B3694,"-","")," ",""),".",""))</f>
        <v/>
      </c>
      <c r="I3694" s="10" t="str">
        <f aca="false">IF($D3694="","",SUBSTITUTE(SUBSTITUTE(SUBSTITUTE($D3694,"-","")," ",""),".",""))</f>
        <v/>
      </c>
      <c r="J3694" s="10" t="str">
        <f aca="false">IF($E3694="","",UPPER(SUBSTITUTE($E3694," ","")))</f>
        <v/>
      </c>
      <c r="K3694" s="10" t="str">
        <f aca="false">IF($A3694="","",$G3694&amp;"|"&amp;$J3694)</f>
        <v/>
      </c>
      <c r="L3694" s="10" t="str">
        <f aca="false">IF($A3694="","",ROW()-2)</f>
        <v/>
      </c>
      <c r="M3694" s="10" t="str">
        <f aca="false">IF($A3694="","",ROW())</f>
        <v/>
      </c>
    </row>
    <row r="3695" customFormat="false" ht="15" hidden="false" customHeight="true" outlineLevel="0" collapsed="false">
      <c r="A3695" s="8"/>
      <c r="B3695" s="8"/>
      <c r="C3695" s="8"/>
      <c r="D3695" s="8"/>
      <c r="E3695" s="8"/>
      <c r="F3695" s="8"/>
      <c r="G3695" s="10" t="str">
        <f aca="false">IF($A3695="","",UPPER(SUBSTITUTE(SUBSTITUTE(SUBSTITUTE(SUBSTITUTE($A3695," ",""),"(주)",""),"주식회사",""),"㈜","")))</f>
        <v/>
      </c>
      <c r="H3695" s="10" t="str">
        <f aca="false">IF($B3695="","",SUBSTITUTE(SUBSTITUTE(SUBSTITUTE($B3695,"-","")," ",""),".",""))</f>
        <v/>
      </c>
      <c r="I3695" s="10" t="str">
        <f aca="false">IF($D3695="","",SUBSTITUTE(SUBSTITUTE(SUBSTITUTE($D3695,"-","")," ",""),".",""))</f>
        <v/>
      </c>
      <c r="J3695" s="10" t="str">
        <f aca="false">IF($E3695="","",UPPER(SUBSTITUTE($E3695," ","")))</f>
        <v/>
      </c>
      <c r="K3695" s="10" t="str">
        <f aca="false">IF($A3695="","",$G3695&amp;"|"&amp;$J3695)</f>
        <v/>
      </c>
      <c r="L3695" s="10" t="str">
        <f aca="false">IF($A3695="","",ROW()-2)</f>
        <v/>
      </c>
      <c r="M3695" s="10" t="str">
        <f aca="false">IF($A3695="","",ROW())</f>
        <v/>
      </c>
    </row>
    <row r="3696" customFormat="false" ht="15" hidden="false" customHeight="true" outlineLevel="0" collapsed="false">
      <c r="A3696" s="8"/>
      <c r="B3696" s="8"/>
      <c r="C3696" s="8"/>
      <c r="D3696" s="8"/>
      <c r="E3696" s="8"/>
      <c r="F3696" s="8"/>
      <c r="G3696" s="10" t="str">
        <f aca="false">IF($A3696="","",UPPER(SUBSTITUTE(SUBSTITUTE(SUBSTITUTE(SUBSTITUTE($A3696," ",""),"(주)",""),"주식회사",""),"㈜","")))</f>
        <v/>
      </c>
      <c r="H3696" s="10" t="str">
        <f aca="false">IF($B3696="","",SUBSTITUTE(SUBSTITUTE(SUBSTITUTE($B3696,"-","")," ",""),".",""))</f>
        <v/>
      </c>
      <c r="I3696" s="10" t="str">
        <f aca="false">IF($D3696="","",SUBSTITUTE(SUBSTITUTE(SUBSTITUTE($D3696,"-","")," ",""),".",""))</f>
        <v/>
      </c>
      <c r="J3696" s="10" t="str">
        <f aca="false">IF($E3696="","",UPPER(SUBSTITUTE($E3696," ","")))</f>
        <v/>
      </c>
      <c r="K3696" s="10" t="str">
        <f aca="false">IF($A3696="","",$G3696&amp;"|"&amp;$J3696)</f>
        <v/>
      </c>
      <c r="L3696" s="10" t="str">
        <f aca="false">IF($A3696="","",ROW()-2)</f>
        <v/>
      </c>
      <c r="M3696" s="10" t="str">
        <f aca="false">IF($A3696="","",ROW())</f>
        <v/>
      </c>
    </row>
    <row r="3697" customFormat="false" ht="15" hidden="false" customHeight="true" outlineLevel="0" collapsed="false">
      <c r="A3697" s="8"/>
      <c r="B3697" s="8"/>
      <c r="C3697" s="8"/>
      <c r="D3697" s="8"/>
      <c r="E3697" s="8"/>
      <c r="F3697" s="8"/>
      <c r="G3697" s="10" t="str">
        <f aca="false">IF($A3697="","",UPPER(SUBSTITUTE(SUBSTITUTE(SUBSTITUTE(SUBSTITUTE($A3697," ",""),"(주)",""),"주식회사",""),"㈜","")))</f>
        <v/>
      </c>
      <c r="H3697" s="10" t="str">
        <f aca="false">IF($B3697="","",SUBSTITUTE(SUBSTITUTE(SUBSTITUTE($B3697,"-","")," ",""),".",""))</f>
        <v/>
      </c>
      <c r="I3697" s="10" t="str">
        <f aca="false">IF($D3697="","",SUBSTITUTE(SUBSTITUTE(SUBSTITUTE($D3697,"-","")," ",""),".",""))</f>
        <v/>
      </c>
      <c r="J3697" s="10" t="str">
        <f aca="false">IF($E3697="","",UPPER(SUBSTITUTE($E3697," ","")))</f>
        <v/>
      </c>
      <c r="K3697" s="10" t="str">
        <f aca="false">IF($A3697="","",$G3697&amp;"|"&amp;$J3697)</f>
        <v/>
      </c>
      <c r="L3697" s="10" t="str">
        <f aca="false">IF($A3697="","",ROW()-2)</f>
        <v/>
      </c>
      <c r="M3697" s="10" t="str">
        <f aca="false">IF($A3697="","",ROW())</f>
        <v/>
      </c>
    </row>
    <row r="3698" customFormat="false" ht="15" hidden="false" customHeight="true" outlineLevel="0" collapsed="false">
      <c r="A3698" s="8"/>
      <c r="B3698" s="8"/>
      <c r="C3698" s="8"/>
      <c r="D3698" s="8"/>
      <c r="E3698" s="8"/>
      <c r="F3698" s="8"/>
      <c r="G3698" s="10" t="str">
        <f aca="false">IF($A3698="","",UPPER(SUBSTITUTE(SUBSTITUTE(SUBSTITUTE(SUBSTITUTE($A3698," ",""),"(주)",""),"주식회사",""),"㈜","")))</f>
        <v/>
      </c>
      <c r="H3698" s="10" t="str">
        <f aca="false">IF($B3698="","",SUBSTITUTE(SUBSTITUTE(SUBSTITUTE($B3698,"-","")," ",""),".",""))</f>
        <v/>
      </c>
      <c r="I3698" s="10" t="str">
        <f aca="false">IF($D3698="","",SUBSTITUTE(SUBSTITUTE(SUBSTITUTE($D3698,"-","")," ",""),".",""))</f>
        <v/>
      </c>
      <c r="J3698" s="10" t="str">
        <f aca="false">IF($E3698="","",UPPER(SUBSTITUTE($E3698," ","")))</f>
        <v/>
      </c>
      <c r="K3698" s="10" t="str">
        <f aca="false">IF($A3698="","",$G3698&amp;"|"&amp;$J3698)</f>
        <v/>
      </c>
      <c r="L3698" s="10" t="str">
        <f aca="false">IF($A3698="","",ROW()-2)</f>
        <v/>
      </c>
      <c r="M3698" s="10" t="str">
        <f aca="false">IF($A3698="","",ROW())</f>
        <v/>
      </c>
    </row>
    <row r="3699" customFormat="false" ht="15" hidden="false" customHeight="true" outlineLevel="0" collapsed="false">
      <c r="A3699" s="8"/>
      <c r="B3699" s="8"/>
      <c r="C3699" s="8"/>
      <c r="D3699" s="8"/>
      <c r="E3699" s="8"/>
      <c r="F3699" s="8"/>
      <c r="G3699" s="10" t="str">
        <f aca="false">IF($A3699="","",UPPER(SUBSTITUTE(SUBSTITUTE(SUBSTITUTE(SUBSTITUTE($A3699," ",""),"(주)",""),"주식회사",""),"㈜","")))</f>
        <v/>
      </c>
      <c r="H3699" s="10" t="str">
        <f aca="false">IF($B3699="","",SUBSTITUTE(SUBSTITUTE(SUBSTITUTE($B3699,"-","")," ",""),".",""))</f>
        <v/>
      </c>
      <c r="I3699" s="10" t="str">
        <f aca="false">IF($D3699="","",SUBSTITUTE(SUBSTITUTE(SUBSTITUTE($D3699,"-","")," ",""),".",""))</f>
        <v/>
      </c>
      <c r="J3699" s="10" t="str">
        <f aca="false">IF($E3699="","",UPPER(SUBSTITUTE($E3699," ","")))</f>
        <v/>
      </c>
      <c r="K3699" s="10" t="str">
        <f aca="false">IF($A3699="","",$G3699&amp;"|"&amp;$J3699)</f>
        <v/>
      </c>
      <c r="L3699" s="10" t="str">
        <f aca="false">IF($A3699="","",ROW()-2)</f>
        <v/>
      </c>
      <c r="M3699" s="10" t="str">
        <f aca="false">IF($A3699="","",ROW())</f>
        <v/>
      </c>
    </row>
    <row r="3700" customFormat="false" ht="15" hidden="false" customHeight="true" outlineLevel="0" collapsed="false">
      <c r="A3700" s="8"/>
      <c r="B3700" s="8"/>
      <c r="C3700" s="8"/>
      <c r="D3700" s="8"/>
      <c r="E3700" s="8"/>
      <c r="F3700" s="8"/>
      <c r="G3700" s="10" t="str">
        <f aca="false">IF($A3700="","",UPPER(SUBSTITUTE(SUBSTITUTE(SUBSTITUTE(SUBSTITUTE($A3700," ",""),"(주)",""),"주식회사",""),"㈜","")))</f>
        <v/>
      </c>
      <c r="H3700" s="10" t="str">
        <f aca="false">IF($B3700="","",SUBSTITUTE(SUBSTITUTE(SUBSTITUTE($B3700,"-","")," ",""),".",""))</f>
        <v/>
      </c>
      <c r="I3700" s="10" t="str">
        <f aca="false">IF($D3700="","",SUBSTITUTE(SUBSTITUTE(SUBSTITUTE($D3700,"-","")," ",""),".",""))</f>
        <v/>
      </c>
      <c r="J3700" s="10" t="str">
        <f aca="false">IF($E3700="","",UPPER(SUBSTITUTE($E3700," ","")))</f>
        <v/>
      </c>
      <c r="K3700" s="10" t="str">
        <f aca="false">IF($A3700="","",$G3700&amp;"|"&amp;$J3700)</f>
        <v/>
      </c>
      <c r="L3700" s="10" t="str">
        <f aca="false">IF($A3700="","",ROW()-2)</f>
        <v/>
      </c>
      <c r="M3700" s="10" t="str">
        <f aca="false">IF($A3700="","",ROW())</f>
        <v/>
      </c>
    </row>
    <row r="3701" customFormat="false" ht="15" hidden="false" customHeight="true" outlineLevel="0" collapsed="false">
      <c r="A3701" s="8"/>
      <c r="B3701" s="8"/>
      <c r="C3701" s="8"/>
      <c r="D3701" s="8"/>
      <c r="E3701" s="8"/>
      <c r="F3701" s="8"/>
      <c r="G3701" s="10" t="str">
        <f aca="false">IF($A3701="","",UPPER(SUBSTITUTE(SUBSTITUTE(SUBSTITUTE(SUBSTITUTE($A3701," ",""),"(주)",""),"주식회사",""),"㈜","")))</f>
        <v/>
      </c>
      <c r="H3701" s="10" t="str">
        <f aca="false">IF($B3701="","",SUBSTITUTE(SUBSTITUTE(SUBSTITUTE($B3701,"-","")," ",""),".",""))</f>
        <v/>
      </c>
      <c r="I3701" s="10" t="str">
        <f aca="false">IF($D3701="","",SUBSTITUTE(SUBSTITUTE(SUBSTITUTE($D3701,"-","")," ",""),".",""))</f>
        <v/>
      </c>
      <c r="J3701" s="10" t="str">
        <f aca="false">IF($E3701="","",UPPER(SUBSTITUTE($E3701," ","")))</f>
        <v/>
      </c>
      <c r="K3701" s="10" t="str">
        <f aca="false">IF($A3701="","",$G3701&amp;"|"&amp;$J3701)</f>
        <v/>
      </c>
      <c r="L3701" s="10" t="str">
        <f aca="false">IF($A3701="","",ROW()-2)</f>
        <v/>
      </c>
      <c r="M3701" s="10" t="str">
        <f aca="false">IF($A3701="","",ROW())</f>
        <v/>
      </c>
    </row>
    <row r="3702" customFormat="false" ht="15" hidden="false" customHeight="true" outlineLevel="0" collapsed="false">
      <c r="A3702" s="8"/>
      <c r="B3702" s="8"/>
      <c r="C3702" s="8"/>
      <c r="D3702" s="8"/>
      <c r="E3702" s="8"/>
      <c r="F3702" s="8"/>
      <c r="G3702" s="10" t="str">
        <f aca="false">IF($A3702="","",UPPER(SUBSTITUTE(SUBSTITUTE(SUBSTITUTE(SUBSTITUTE($A3702," ",""),"(주)",""),"주식회사",""),"㈜","")))</f>
        <v/>
      </c>
      <c r="H3702" s="10" t="str">
        <f aca="false">IF($B3702="","",SUBSTITUTE(SUBSTITUTE(SUBSTITUTE($B3702,"-","")," ",""),".",""))</f>
        <v/>
      </c>
      <c r="I3702" s="10" t="str">
        <f aca="false">IF($D3702="","",SUBSTITUTE(SUBSTITUTE(SUBSTITUTE($D3702,"-","")," ",""),".",""))</f>
        <v/>
      </c>
      <c r="J3702" s="10" t="str">
        <f aca="false">IF($E3702="","",UPPER(SUBSTITUTE($E3702," ","")))</f>
        <v/>
      </c>
      <c r="K3702" s="10" t="str">
        <f aca="false">IF($A3702="","",$G3702&amp;"|"&amp;$J3702)</f>
        <v/>
      </c>
      <c r="L3702" s="10" t="str">
        <f aca="false">IF($A3702="","",ROW()-2)</f>
        <v/>
      </c>
      <c r="M3702" s="10" t="str">
        <f aca="false">IF($A3702="","",ROW())</f>
        <v/>
      </c>
    </row>
    <row r="3703" customFormat="false" ht="15" hidden="false" customHeight="true" outlineLevel="0" collapsed="false">
      <c r="A3703" s="8"/>
      <c r="B3703" s="8"/>
      <c r="C3703" s="8"/>
      <c r="D3703" s="8"/>
      <c r="E3703" s="8"/>
      <c r="F3703" s="8"/>
      <c r="G3703" s="10" t="str">
        <f aca="false">IF($A3703="","",UPPER(SUBSTITUTE(SUBSTITUTE(SUBSTITUTE(SUBSTITUTE($A3703," ",""),"(주)",""),"주식회사",""),"㈜","")))</f>
        <v/>
      </c>
      <c r="H3703" s="10" t="str">
        <f aca="false">IF($B3703="","",SUBSTITUTE(SUBSTITUTE(SUBSTITUTE($B3703,"-","")," ",""),".",""))</f>
        <v/>
      </c>
      <c r="I3703" s="10" t="str">
        <f aca="false">IF($D3703="","",SUBSTITUTE(SUBSTITUTE(SUBSTITUTE($D3703,"-","")," ",""),".",""))</f>
        <v/>
      </c>
      <c r="J3703" s="10" t="str">
        <f aca="false">IF($E3703="","",UPPER(SUBSTITUTE($E3703," ","")))</f>
        <v/>
      </c>
      <c r="K3703" s="10" t="str">
        <f aca="false">IF($A3703="","",$G3703&amp;"|"&amp;$J3703)</f>
        <v/>
      </c>
      <c r="L3703" s="10" t="str">
        <f aca="false">IF($A3703="","",ROW()-2)</f>
        <v/>
      </c>
      <c r="M3703" s="10" t="str">
        <f aca="false">IF($A3703="","",ROW())</f>
        <v/>
      </c>
    </row>
    <row r="3704" customFormat="false" ht="15" hidden="false" customHeight="true" outlineLevel="0" collapsed="false">
      <c r="A3704" s="8"/>
      <c r="B3704" s="8"/>
      <c r="C3704" s="8"/>
      <c r="D3704" s="8"/>
      <c r="E3704" s="8"/>
      <c r="F3704" s="8"/>
      <c r="G3704" s="10" t="str">
        <f aca="false">IF($A3704="","",UPPER(SUBSTITUTE(SUBSTITUTE(SUBSTITUTE(SUBSTITUTE($A3704," ",""),"(주)",""),"주식회사",""),"㈜","")))</f>
        <v/>
      </c>
      <c r="H3704" s="10" t="str">
        <f aca="false">IF($B3704="","",SUBSTITUTE(SUBSTITUTE(SUBSTITUTE($B3704,"-","")," ",""),".",""))</f>
        <v/>
      </c>
      <c r="I3704" s="10" t="str">
        <f aca="false">IF($D3704="","",SUBSTITUTE(SUBSTITUTE(SUBSTITUTE($D3704,"-","")," ",""),".",""))</f>
        <v/>
      </c>
      <c r="J3704" s="10" t="str">
        <f aca="false">IF($E3704="","",UPPER(SUBSTITUTE($E3704," ","")))</f>
        <v/>
      </c>
      <c r="K3704" s="10" t="str">
        <f aca="false">IF($A3704="","",$G3704&amp;"|"&amp;$J3704)</f>
        <v/>
      </c>
      <c r="L3704" s="10" t="str">
        <f aca="false">IF($A3704="","",ROW()-2)</f>
        <v/>
      </c>
      <c r="M3704" s="10" t="str">
        <f aca="false">IF($A3704="","",ROW())</f>
        <v/>
      </c>
    </row>
    <row r="3705" customFormat="false" ht="15" hidden="false" customHeight="true" outlineLevel="0" collapsed="false">
      <c r="A3705" s="8"/>
      <c r="B3705" s="8"/>
      <c r="C3705" s="8"/>
      <c r="D3705" s="8"/>
      <c r="E3705" s="8"/>
      <c r="F3705" s="8"/>
      <c r="G3705" s="10" t="str">
        <f aca="false">IF($A3705="","",UPPER(SUBSTITUTE(SUBSTITUTE(SUBSTITUTE(SUBSTITUTE($A3705," ",""),"(주)",""),"주식회사",""),"㈜","")))</f>
        <v/>
      </c>
      <c r="H3705" s="10" t="str">
        <f aca="false">IF($B3705="","",SUBSTITUTE(SUBSTITUTE(SUBSTITUTE($B3705,"-","")," ",""),".",""))</f>
        <v/>
      </c>
      <c r="I3705" s="10" t="str">
        <f aca="false">IF($D3705="","",SUBSTITUTE(SUBSTITUTE(SUBSTITUTE($D3705,"-","")," ",""),".",""))</f>
        <v/>
      </c>
      <c r="J3705" s="10" t="str">
        <f aca="false">IF($E3705="","",UPPER(SUBSTITUTE($E3705," ","")))</f>
        <v/>
      </c>
      <c r="K3705" s="10" t="str">
        <f aca="false">IF($A3705="","",$G3705&amp;"|"&amp;$J3705)</f>
        <v/>
      </c>
      <c r="L3705" s="10" t="str">
        <f aca="false">IF($A3705="","",ROW()-2)</f>
        <v/>
      </c>
      <c r="M3705" s="10" t="str">
        <f aca="false">IF($A3705="","",ROW())</f>
        <v/>
      </c>
    </row>
    <row r="3706" customFormat="false" ht="15" hidden="false" customHeight="true" outlineLevel="0" collapsed="false">
      <c r="A3706" s="8"/>
      <c r="B3706" s="8"/>
      <c r="C3706" s="8"/>
      <c r="D3706" s="8"/>
      <c r="E3706" s="8"/>
      <c r="F3706" s="8"/>
      <c r="G3706" s="10" t="str">
        <f aca="false">IF($A3706="","",UPPER(SUBSTITUTE(SUBSTITUTE(SUBSTITUTE(SUBSTITUTE($A3706," ",""),"(주)",""),"주식회사",""),"㈜","")))</f>
        <v/>
      </c>
      <c r="H3706" s="10" t="str">
        <f aca="false">IF($B3706="","",SUBSTITUTE(SUBSTITUTE(SUBSTITUTE($B3706,"-","")," ",""),".",""))</f>
        <v/>
      </c>
      <c r="I3706" s="10" t="str">
        <f aca="false">IF($D3706="","",SUBSTITUTE(SUBSTITUTE(SUBSTITUTE($D3706,"-","")," ",""),".",""))</f>
        <v/>
      </c>
      <c r="J3706" s="10" t="str">
        <f aca="false">IF($E3706="","",UPPER(SUBSTITUTE($E3706," ","")))</f>
        <v/>
      </c>
      <c r="K3706" s="10" t="str">
        <f aca="false">IF($A3706="","",$G3706&amp;"|"&amp;$J3706)</f>
        <v/>
      </c>
      <c r="L3706" s="10" t="str">
        <f aca="false">IF($A3706="","",ROW()-2)</f>
        <v/>
      </c>
      <c r="M3706" s="10" t="str">
        <f aca="false">IF($A3706="","",ROW())</f>
        <v/>
      </c>
    </row>
    <row r="3707" customFormat="false" ht="15" hidden="false" customHeight="true" outlineLevel="0" collapsed="false">
      <c r="A3707" s="8"/>
      <c r="B3707" s="8"/>
      <c r="C3707" s="8"/>
      <c r="D3707" s="8"/>
      <c r="E3707" s="8"/>
      <c r="F3707" s="8"/>
      <c r="G3707" s="10" t="str">
        <f aca="false">IF($A3707="","",UPPER(SUBSTITUTE(SUBSTITUTE(SUBSTITUTE(SUBSTITUTE($A3707," ",""),"(주)",""),"주식회사",""),"㈜","")))</f>
        <v/>
      </c>
      <c r="H3707" s="10" t="str">
        <f aca="false">IF($B3707="","",SUBSTITUTE(SUBSTITUTE(SUBSTITUTE($B3707,"-","")," ",""),".",""))</f>
        <v/>
      </c>
      <c r="I3707" s="10" t="str">
        <f aca="false">IF($D3707="","",SUBSTITUTE(SUBSTITUTE(SUBSTITUTE($D3707,"-","")," ",""),".",""))</f>
        <v/>
      </c>
      <c r="J3707" s="10" t="str">
        <f aca="false">IF($E3707="","",UPPER(SUBSTITUTE($E3707," ","")))</f>
        <v/>
      </c>
      <c r="K3707" s="10" t="str">
        <f aca="false">IF($A3707="","",$G3707&amp;"|"&amp;$J3707)</f>
        <v/>
      </c>
      <c r="L3707" s="10" t="str">
        <f aca="false">IF($A3707="","",ROW()-2)</f>
        <v/>
      </c>
      <c r="M3707" s="10" t="str">
        <f aca="false">IF($A3707="","",ROW())</f>
        <v/>
      </c>
    </row>
    <row r="3708" customFormat="false" ht="15" hidden="false" customHeight="true" outlineLevel="0" collapsed="false">
      <c r="A3708" s="8"/>
      <c r="B3708" s="8"/>
      <c r="C3708" s="8"/>
      <c r="D3708" s="8"/>
      <c r="E3708" s="8"/>
      <c r="F3708" s="8"/>
      <c r="G3708" s="10" t="str">
        <f aca="false">IF($A3708="","",UPPER(SUBSTITUTE(SUBSTITUTE(SUBSTITUTE(SUBSTITUTE($A3708," ",""),"(주)",""),"주식회사",""),"㈜","")))</f>
        <v/>
      </c>
      <c r="H3708" s="10" t="str">
        <f aca="false">IF($B3708="","",SUBSTITUTE(SUBSTITUTE(SUBSTITUTE($B3708,"-","")," ",""),".",""))</f>
        <v/>
      </c>
      <c r="I3708" s="10" t="str">
        <f aca="false">IF($D3708="","",SUBSTITUTE(SUBSTITUTE(SUBSTITUTE($D3708,"-","")," ",""),".",""))</f>
        <v/>
      </c>
      <c r="J3708" s="10" t="str">
        <f aca="false">IF($E3708="","",UPPER(SUBSTITUTE($E3708," ","")))</f>
        <v/>
      </c>
      <c r="K3708" s="10" t="str">
        <f aca="false">IF($A3708="","",$G3708&amp;"|"&amp;$J3708)</f>
        <v/>
      </c>
      <c r="L3708" s="10" t="str">
        <f aca="false">IF($A3708="","",ROW()-2)</f>
        <v/>
      </c>
      <c r="M3708" s="10" t="str">
        <f aca="false">IF($A3708="","",ROW())</f>
        <v/>
      </c>
    </row>
    <row r="3709" customFormat="false" ht="15" hidden="false" customHeight="true" outlineLevel="0" collapsed="false">
      <c r="A3709" s="8"/>
      <c r="B3709" s="8"/>
      <c r="C3709" s="8"/>
      <c r="D3709" s="8"/>
      <c r="E3709" s="8"/>
      <c r="F3709" s="8"/>
      <c r="G3709" s="10" t="str">
        <f aca="false">IF($A3709="","",UPPER(SUBSTITUTE(SUBSTITUTE(SUBSTITUTE(SUBSTITUTE($A3709," ",""),"(주)",""),"주식회사",""),"㈜","")))</f>
        <v/>
      </c>
      <c r="H3709" s="10" t="str">
        <f aca="false">IF($B3709="","",SUBSTITUTE(SUBSTITUTE(SUBSTITUTE($B3709,"-","")," ",""),".",""))</f>
        <v/>
      </c>
      <c r="I3709" s="10" t="str">
        <f aca="false">IF($D3709="","",SUBSTITUTE(SUBSTITUTE(SUBSTITUTE($D3709,"-","")," ",""),".",""))</f>
        <v/>
      </c>
      <c r="J3709" s="10" t="str">
        <f aca="false">IF($E3709="","",UPPER(SUBSTITUTE($E3709," ","")))</f>
        <v/>
      </c>
      <c r="K3709" s="10" t="str">
        <f aca="false">IF($A3709="","",$G3709&amp;"|"&amp;$J3709)</f>
        <v/>
      </c>
      <c r="L3709" s="10" t="str">
        <f aca="false">IF($A3709="","",ROW()-2)</f>
        <v/>
      </c>
      <c r="M3709" s="10" t="str">
        <f aca="false">IF($A3709="","",ROW())</f>
        <v/>
      </c>
    </row>
    <row r="3710" customFormat="false" ht="15" hidden="false" customHeight="true" outlineLevel="0" collapsed="false">
      <c r="A3710" s="8"/>
      <c r="B3710" s="8"/>
      <c r="C3710" s="8"/>
      <c r="D3710" s="8"/>
      <c r="E3710" s="8"/>
      <c r="F3710" s="8"/>
      <c r="G3710" s="10" t="str">
        <f aca="false">IF($A3710="","",UPPER(SUBSTITUTE(SUBSTITUTE(SUBSTITUTE(SUBSTITUTE($A3710," ",""),"(주)",""),"주식회사",""),"㈜","")))</f>
        <v/>
      </c>
      <c r="H3710" s="10" t="str">
        <f aca="false">IF($B3710="","",SUBSTITUTE(SUBSTITUTE(SUBSTITUTE($B3710,"-","")," ",""),".",""))</f>
        <v/>
      </c>
      <c r="I3710" s="10" t="str">
        <f aca="false">IF($D3710="","",SUBSTITUTE(SUBSTITUTE(SUBSTITUTE($D3710,"-","")," ",""),".",""))</f>
        <v/>
      </c>
      <c r="J3710" s="10" t="str">
        <f aca="false">IF($E3710="","",UPPER(SUBSTITUTE($E3710," ","")))</f>
        <v/>
      </c>
      <c r="K3710" s="10" t="str">
        <f aca="false">IF($A3710="","",$G3710&amp;"|"&amp;$J3710)</f>
        <v/>
      </c>
      <c r="L3710" s="10" t="str">
        <f aca="false">IF($A3710="","",ROW()-2)</f>
        <v/>
      </c>
      <c r="M3710" s="10" t="str">
        <f aca="false">IF($A3710="","",ROW())</f>
        <v/>
      </c>
    </row>
    <row r="3711" customFormat="false" ht="15" hidden="false" customHeight="true" outlineLevel="0" collapsed="false">
      <c r="A3711" s="8"/>
      <c r="B3711" s="8"/>
      <c r="C3711" s="8"/>
      <c r="D3711" s="8"/>
      <c r="E3711" s="8"/>
      <c r="F3711" s="8"/>
      <c r="G3711" s="10" t="str">
        <f aca="false">IF($A3711="","",UPPER(SUBSTITUTE(SUBSTITUTE(SUBSTITUTE(SUBSTITUTE($A3711," ",""),"(주)",""),"주식회사",""),"㈜","")))</f>
        <v/>
      </c>
      <c r="H3711" s="10" t="str">
        <f aca="false">IF($B3711="","",SUBSTITUTE(SUBSTITUTE(SUBSTITUTE($B3711,"-","")," ",""),".",""))</f>
        <v/>
      </c>
      <c r="I3711" s="10" t="str">
        <f aca="false">IF($D3711="","",SUBSTITUTE(SUBSTITUTE(SUBSTITUTE($D3711,"-","")," ",""),".",""))</f>
        <v/>
      </c>
      <c r="J3711" s="10" t="str">
        <f aca="false">IF($E3711="","",UPPER(SUBSTITUTE($E3711," ","")))</f>
        <v/>
      </c>
      <c r="K3711" s="10" t="str">
        <f aca="false">IF($A3711="","",$G3711&amp;"|"&amp;$J3711)</f>
        <v/>
      </c>
      <c r="L3711" s="10" t="str">
        <f aca="false">IF($A3711="","",ROW()-2)</f>
        <v/>
      </c>
      <c r="M3711" s="10" t="str">
        <f aca="false">IF($A3711="","",ROW())</f>
        <v/>
      </c>
    </row>
    <row r="3712" customFormat="false" ht="15" hidden="false" customHeight="true" outlineLevel="0" collapsed="false">
      <c r="A3712" s="8"/>
      <c r="B3712" s="8"/>
      <c r="C3712" s="8"/>
      <c r="D3712" s="8"/>
      <c r="E3712" s="8"/>
      <c r="F3712" s="8"/>
      <c r="G3712" s="10" t="str">
        <f aca="false">IF($A3712="","",UPPER(SUBSTITUTE(SUBSTITUTE(SUBSTITUTE(SUBSTITUTE($A3712," ",""),"(주)",""),"주식회사",""),"㈜","")))</f>
        <v/>
      </c>
      <c r="H3712" s="10" t="str">
        <f aca="false">IF($B3712="","",SUBSTITUTE(SUBSTITUTE(SUBSTITUTE($B3712,"-","")," ",""),".",""))</f>
        <v/>
      </c>
      <c r="I3712" s="10" t="str">
        <f aca="false">IF($D3712="","",SUBSTITUTE(SUBSTITUTE(SUBSTITUTE($D3712,"-","")," ",""),".",""))</f>
        <v/>
      </c>
      <c r="J3712" s="10" t="str">
        <f aca="false">IF($E3712="","",UPPER(SUBSTITUTE($E3712," ","")))</f>
        <v/>
      </c>
      <c r="K3712" s="10" t="str">
        <f aca="false">IF($A3712="","",$G3712&amp;"|"&amp;$J3712)</f>
        <v/>
      </c>
      <c r="L3712" s="10" t="str">
        <f aca="false">IF($A3712="","",ROW()-2)</f>
        <v/>
      </c>
      <c r="M3712" s="10" t="str">
        <f aca="false">IF($A3712="","",ROW())</f>
        <v/>
      </c>
    </row>
    <row r="3713" customFormat="false" ht="15" hidden="false" customHeight="true" outlineLevel="0" collapsed="false">
      <c r="A3713" s="8"/>
      <c r="B3713" s="8"/>
      <c r="C3713" s="8"/>
      <c r="D3713" s="8"/>
      <c r="E3713" s="8"/>
      <c r="F3713" s="8"/>
      <c r="G3713" s="10" t="str">
        <f aca="false">IF($A3713="","",UPPER(SUBSTITUTE(SUBSTITUTE(SUBSTITUTE(SUBSTITUTE($A3713," ",""),"(주)",""),"주식회사",""),"㈜","")))</f>
        <v/>
      </c>
      <c r="H3713" s="10" t="str">
        <f aca="false">IF($B3713="","",SUBSTITUTE(SUBSTITUTE(SUBSTITUTE($B3713,"-","")," ",""),".",""))</f>
        <v/>
      </c>
      <c r="I3713" s="10" t="str">
        <f aca="false">IF($D3713="","",SUBSTITUTE(SUBSTITUTE(SUBSTITUTE($D3713,"-","")," ",""),".",""))</f>
        <v/>
      </c>
      <c r="J3713" s="10" t="str">
        <f aca="false">IF($E3713="","",UPPER(SUBSTITUTE($E3713," ","")))</f>
        <v/>
      </c>
      <c r="K3713" s="10" t="str">
        <f aca="false">IF($A3713="","",$G3713&amp;"|"&amp;$J3713)</f>
        <v/>
      </c>
      <c r="L3713" s="10" t="str">
        <f aca="false">IF($A3713="","",ROW()-2)</f>
        <v/>
      </c>
      <c r="M3713" s="10" t="str">
        <f aca="false">IF($A3713="","",ROW())</f>
        <v/>
      </c>
    </row>
    <row r="3714" customFormat="false" ht="15" hidden="false" customHeight="true" outlineLevel="0" collapsed="false">
      <c r="A3714" s="8"/>
      <c r="B3714" s="8"/>
      <c r="C3714" s="8"/>
      <c r="D3714" s="8"/>
      <c r="E3714" s="8"/>
      <c r="F3714" s="8"/>
      <c r="G3714" s="10" t="str">
        <f aca="false">IF($A3714="","",UPPER(SUBSTITUTE(SUBSTITUTE(SUBSTITUTE(SUBSTITUTE($A3714," ",""),"(주)",""),"주식회사",""),"㈜","")))</f>
        <v/>
      </c>
      <c r="H3714" s="10" t="str">
        <f aca="false">IF($B3714="","",SUBSTITUTE(SUBSTITUTE(SUBSTITUTE($B3714,"-","")," ",""),".",""))</f>
        <v/>
      </c>
      <c r="I3714" s="10" t="str">
        <f aca="false">IF($D3714="","",SUBSTITUTE(SUBSTITUTE(SUBSTITUTE($D3714,"-","")," ",""),".",""))</f>
        <v/>
      </c>
      <c r="J3714" s="10" t="str">
        <f aca="false">IF($E3714="","",UPPER(SUBSTITUTE($E3714," ","")))</f>
        <v/>
      </c>
      <c r="K3714" s="10" t="str">
        <f aca="false">IF($A3714="","",$G3714&amp;"|"&amp;$J3714)</f>
        <v/>
      </c>
      <c r="L3714" s="10" t="str">
        <f aca="false">IF($A3714="","",ROW()-2)</f>
        <v/>
      </c>
      <c r="M3714" s="10" t="str">
        <f aca="false">IF($A3714="","",ROW())</f>
        <v/>
      </c>
    </row>
    <row r="3715" customFormat="false" ht="15" hidden="false" customHeight="true" outlineLevel="0" collapsed="false">
      <c r="A3715" s="8"/>
      <c r="B3715" s="8"/>
      <c r="C3715" s="8"/>
      <c r="D3715" s="8"/>
      <c r="E3715" s="8"/>
      <c r="F3715" s="8"/>
      <c r="G3715" s="10" t="str">
        <f aca="false">IF($A3715="","",UPPER(SUBSTITUTE(SUBSTITUTE(SUBSTITUTE(SUBSTITUTE($A3715," ",""),"(주)",""),"주식회사",""),"㈜","")))</f>
        <v/>
      </c>
      <c r="H3715" s="10" t="str">
        <f aca="false">IF($B3715="","",SUBSTITUTE(SUBSTITUTE(SUBSTITUTE($B3715,"-","")," ",""),".",""))</f>
        <v/>
      </c>
      <c r="I3715" s="10" t="str">
        <f aca="false">IF($D3715="","",SUBSTITUTE(SUBSTITUTE(SUBSTITUTE($D3715,"-","")," ",""),".",""))</f>
        <v/>
      </c>
      <c r="J3715" s="10" t="str">
        <f aca="false">IF($E3715="","",UPPER(SUBSTITUTE($E3715," ","")))</f>
        <v/>
      </c>
      <c r="K3715" s="10" t="str">
        <f aca="false">IF($A3715="","",$G3715&amp;"|"&amp;$J3715)</f>
        <v/>
      </c>
      <c r="L3715" s="10" t="str">
        <f aca="false">IF($A3715="","",ROW()-2)</f>
        <v/>
      </c>
      <c r="M3715" s="10" t="str">
        <f aca="false">IF($A3715="","",ROW())</f>
        <v/>
      </c>
    </row>
    <row r="3716" customFormat="false" ht="15" hidden="false" customHeight="true" outlineLevel="0" collapsed="false">
      <c r="A3716" s="8"/>
      <c r="B3716" s="8"/>
      <c r="C3716" s="8"/>
      <c r="D3716" s="8"/>
      <c r="E3716" s="8"/>
      <c r="F3716" s="8"/>
      <c r="G3716" s="10" t="str">
        <f aca="false">IF($A3716="","",UPPER(SUBSTITUTE(SUBSTITUTE(SUBSTITUTE(SUBSTITUTE($A3716," ",""),"(주)",""),"주식회사",""),"㈜","")))</f>
        <v/>
      </c>
      <c r="H3716" s="10" t="str">
        <f aca="false">IF($B3716="","",SUBSTITUTE(SUBSTITUTE(SUBSTITUTE($B3716,"-","")," ",""),".",""))</f>
        <v/>
      </c>
      <c r="I3716" s="10" t="str">
        <f aca="false">IF($D3716="","",SUBSTITUTE(SUBSTITUTE(SUBSTITUTE($D3716,"-","")," ",""),".",""))</f>
        <v/>
      </c>
      <c r="J3716" s="10" t="str">
        <f aca="false">IF($E3716="","",UPPER(SUBSTITUTE($E3716," ","")))</f>
        <v/>
      </c>
      <c r="K3716" s="10" t="str">
        <f aca="false">IF($A3716="","",$G3716&amp;"|"&amp;$J3716)</f>
        <v/>
      </c>
      <c r="L3716" s="10" t="str">
        <f aca="false">IF($A3716="","",ROW()-2)</f>
        <v/>
      </c>
      <c r="M3716" s="10" t="str">
        <f aca="false">IF($A3716="","",ROW())</f>
        <v/>
      </c>
    </row>
    <row r="3717" customFormat="false" ht="15" hidden="false" customHeight="true" outlineLevel="0" collapsed="false">
      <c r="A3717" s="8"/>
      <c r="B3717" s="8"/>
      <c r="C3717" s="8"/>
      <c r="D3717" s="8"/>
      <c r="E3717" s="8"/>
      <c r="F3717" s="8"/>
      <c r="G3717" s="10" t="str">
        <f aca="false">IF($A3717="","",UPPER(SUBSTITUTE(SUBSTITUTE(SUBSTITUTE(SUBSTITUTE($A3717," ",""),"(주)",""),"주식회사",""),"㈜","")))</f>
        <v/>
      </c>
      <c r="H3717" s="10" t="str">
        <f aca="false">IF($B3717="","",SUBSTITUTE(SUBSTITUTE(SUBSTITUTE($B3717,"-","")," ",""),".",""))</f>
        <v/>
      </c>
      <c r="I3717" s="10" t="str">
        <f aca="false">IF($D3717="","",SUBSTITUTE(SUBSTITUTE(SUBSTITUTE($D3717,"-","")," ",""),".",""))</f>
        <v/>
      </c>
      <c r="J3717" s="10" t="str">
        <f aca="false">IF($E3717="","",UPPER(SUBSTITUTE($E3717," ","")))</f>
        <v/>
      </c>
      <c r="K3717" s="10" t="str">
        <f aca="false">IF($A3717="","",$G3717&amp;"|"&amp;$J3717)</f>
        <v/>
      </c>
      <c r="L3717" s="10" t="str">
        <f aca="false">IF($A3717="","",ROW()-2)</f>
        <v/>
      </c>
      <c r="M3717" s="10" t="str">
        <f aca="false">IF($A3717="","",ROW())</f>
        <v/>
      </c>
    </row>
    <row r="3718" customFormat="false" ht="15" hidden="false" customHeight="true" outlineLevel="0" collapsed="false">
      <c r="A3718" s="8"/>
      <c r="B3718" s="8"/>
      <c r="C3718" s="8"/>
      <c r="D3718" s="8"/>
      <c r="E3718" s="8"/>
      <c r="F3718" s="8"/>
      <c r="G3718" s="10" t="str">
        <f aca="false">IF($A3718="","",UPPER(SUBSTITUTE(SUBSTITUTE(SUBSTITUTE(SUBSTITUTE($A3718," ",""),"(주)",""),"주식회사",""),"㈜","")))</f>
        <v/>
      </c>
      <c r="H3718" s="10" t="str">
        <f aca="false">IF($B3718="","",SUBSTITUTE(SUBSTITUTE(SUBSTITUTE($B3718,"-","")," ",""),".",""))</f>
        <v/>
      </c>
      <c r="I3718" s="10" t="str">
        <f aca="false">IF($D3718="","",SUBSTITUTE(SUBSTITUTE(SUBSTITUTE($D3718,"-","")," ",""),".",""))</f>
        <v/>
      </c>
      <c r="J3718" s="10" t="str">
        <f aca="false">IF($E3718="","",UPPER(SUBSTITUTE($E3718," ","")))</f>
        <v/>
      </c>
      <c r="K3718" s="10" t="str">
        <f aca="false">IF($A3718="","",$G3718&amp;"|"&amp;$J3718)</f>
        <v/>
      </c>
      <c r="L3718" s="10" t="str">
        <f aca="false">IF($A3718="","",ROW()-2)</f>
        <v/>
      </c>
      <c r="M3718" s="10" t="str">
        <f aca="false">IF($A3718="","",ROW())</f>
        <v/>
      </c>
    </row>
    <row r="3719" customFormat="false" ht="15" hidden="false" customHeight="true" outlineLevel="0" collapsed="false">
      <c r="A3719" s="8"/>
      <c r="B3719" s="8"/>
      <c r="C3719" s="8"/>
      <c r="D3719" s="8"/>
      <c r="E3719" s="8"/>
      <c r="F3719" s="8"/>
      <c r="G3719" s="10" t="str">
        <f aca="false">IF($A3719="","",UPPER(SUBSTITUTE(SUBSTITUTE(SUBSTITUTE(SUBSTITUTE($A3719," ",""),"(주)",""),"주식회사",""),"㈜","")))</f>
        <v/>
      </c>
      <c r="H3719" s="10" t="str">
        <f aca="false">IF($B3719="","",SUBSTITUTE(SUBSTITUTE(SUBSTITUTE($B3719,"-","")," ",""),".",""))</f>
        <v/>
      </c>
      <c r="I3719" s="10" t="str">
        <f aca="false">IF($D3719="","",SUBSTITUTE(SUBSTITUTE(SUBSTITUTE($D3719,"-","")," ",""),".",""))</f>
        <v/>
      </c>
      <c r="J3719" s="10" t="str">
        <f aca="false">IF($E3719="","",UPPER(SUBSTITUTE($E3719," ","")))</f>
        <v/>
      </c>
      <c r="K3719" s="10" t="str">
        <f aca="false">IF($A3719="","",$G3719&amp;"|"&amp;$J3719)</f>
        <v/>
      </c>
      <c r="L3719" s="10" t="str">
        <f aca="false">IF($A3719="","",ROW()-2)</f>
        <v/>
      </c>
      <c r="M3719" s="10" t="str">
        <f aca="false">IF($A3719="","",ROW())</f>
        <v/>
      </c>
    </row>
    <row r="3720" customFormat="false" ht="15" hidden="false" customHeight="true" outlineLevel="0" collapsed="false">
      <c r="A3720" s="8"/>
      <c r="B3720" s="8"/>
      <c r="C3720" s="8"/>
      <c r="D3720" s="8"/>
      <c r="E3720" s="8"/>
      <c r="F3720" s="8"/>
      <c r="G3720" s="10" t="str">
        <f aca="false">IF($A3720="","",UPPER(SUBSTITUTE(SUBSTITUTE(SUBSTITUTE(SUBSTITUTE($A3720," ",""),"(주)",""),"주식회사",""),"㈜","")))</f>
        <v/>
      </c>
      <c r="H3720" s="10" t="str">
        <f aca="false">IF($B3720="","",SUBSTITUTE(SUBSTITUTE(SUBSTITUTE($B3720,"-","")," ",""),".",""))</f>
        <v/>
      </c>
      <c r="I3720" s="10" t="str">
        <f aca="false">IF($D3720="","",SUBSTITUTE(SUBSTITUTE(SUBSTITUTE($D3720,"-","")," ",""),".",""))</f>
        <v/>
      </c>
      <c r="J3720" s="10" t="str">
        <f aca="false">IF($E3720="","",UPPER(SUBSTITUTE($E3720," ","")))</f>
        <v/>
      </c>
      <c r="K3720" s="10" t="str">
        <f aca="false">IF($A3720="","",$G3720&amp;"|"&amp;$J3720)</f>
        <v/>
      </c>
      <c r="L3720" s="10" t="str">
        <f aca="false">IF($A3720="","",ROW()-2)</f>
        <v/>
      </c>
      <c r="M3720" s="10" t="str">
        <f aca="false">IF($A3720="","",ROW())</f>
        <v/>
      </c>
    </row>
    <row r="3721" customFormat="false" ht="15" hidden="false" customHeight="true" outlineLevel="0" collapsed="false">
      <c r="A3721" s="8"/>
      <c r="B3721" s="8"/>
      <c r="C3721" s="8"/>
      <c r="D3721" s="8"/>
      <c r="E3721" s="8"/>
      <c r="F3721" s="8"/>
      <c r="G3721" s="10" t="str">
        <f aca="false">IF($A3721="","",UPPER(SUBSTITUTE(SUBSTITUTE(SUBSTITUTE(SUBSTITUTE($A3721," ",""),"(주)",""),"주식회사",""),"㈜","")))</f>
        <v/>
      </c>
      <c r="H3721" s="10" t="str">
        <f aca="false">IF($B3721="","",SUBSTITUTE(SUBSTITUTE(SUBSTITUTE($B3721,"-","")," ",""),".",""))</f>
        <v/>
      </c>
      <c r="I3721" s="10" t="str">
        <f aca="false">IF($D3721="","",SUBSTITUTE(SUBSTITUTE(SUBSTITUTE($D3721,"-","")," ",""),".",""))</f>
        <v/>
      </c>
      <c r="J3721" s="10" t="str">
        <f aca="false">IF($E3721="","",UPPER(SUBSTITUTE($E3721," ","")))</f>
        <v/>
      </c>
      <c r="K3721" s="10" t="str">
        <f aca="false">IF($A3721="","",$G3721&amp;"|"&amp;$J3721)</f>
        <v/>
      </c>
      <c r="L3721" s="10" t="str">
        <f aca="false">IF($A3721="","",ROW()-2)</f>
        <v/>
      </c>
      <c r="M3721" s="10" t="str">
        <f aca="false">IF($A3721="","",ROW())</f>
        <v/>
      </c>
    </row>
    <row r="3722" customFormat="false" ht="15" hidden="false" customHeight="true" outlineLevel="0" collapsed="false">
      <c r="A3722" s="8"/>
      <c r="B3722" s="8"/>
      <c r="C3722" s="8"/>
      <c r="D3722" s="8"/>
      <c r="E3722" s="8"/>
      <c r="F3722" s="8"/>
      <c r="G3722" s="10" t="str">
        <f aca="false">IF($A3722="","",UPPER(SUBSTITUTE(SUBSTITUTE(SUBSTITUTE(SUBSTITUTE($A3722," ",""),"(주)",""),"주식회사",""),"㈜","")))</f>
        <v/>
      </c>
      <c r="H3722" s="10" t="str">
        <f aca="false">IF($B3722="","",SUBSTITUTE(SUBSTITUTE(SUBSTITUTE($B3722,"-","")," ",""),".",""))</f>
        <v/>
      </c>
      <c r="I3722" s="10" t="str">
        <f aca="false">IF($D3722="","",SUBSTITUTE(SUBSTITUTE(SUBSTITUTE($D3722,"-","")," ",""),".",""))</f>
        <v/>
      </c>
      <c r="J3722" s="10" t="str">
        <f aca="false">IF($E3722="","",UPPER(SUBSTITUTE($E3722," ","")))</f>
        <v/>
      </c>
      <c r="K3722" s="10" t="str">
        <f aca="false">IF($A3722="","",$G3722&amp;"|"&amp;$J3722)</f>
        <v/>
      </c>
      <c r="L3722" s="10" t="str">
        <f aca="false">IF($A3722="","",ROW()-2)</f>
        <v/>
      </c>
      <c r="M3722" s="10" t="str">
        <f aca="false">IF($A3722="","",ROW())</f>
        <v/>
      </c>
    </row>
    <row r="3723" customFormat="false" ht="15" hidden="false" customHeight="true" outlineLevel="0" collapsed="false">
      <c r="A3723" s="8"/>
      <c r="B3723" s="8"/>
      <c r="C3723" s="8"/>
      <c r="D3723" s="8"/>
      <c r="E3723" s="8"/>
      <c r="F3723" s="8"/>
      <c r="G3723" s="10" t="str">
        <f aca="false">IF($A3723="","",UPPER(SUBSTITUTE(SUBSTITUTE(SUBSTITUTE(SUBSTITUTE($A3723," ",""),"(주)",""),"주식회사",""),"㈜","")))</f>
        <v/>
      </c>
      <c r="H3723" s="10" t="str">
        <f aca="false">IF($B3723="","",SUBSTITUTE(SUBSTITUTE(SUBSTITUTE($B3723,"-","")," ",""),".",""))</f>
        <v/>
      </c>
      <c r="I3723" s="10" t="str">
        <f aca="false">IF($D3723="","",SUBSTITUTE(SUBSTITUTE(SUBSTITUTE($D3723,"-","")," ",""),".",""))</f>
        <v/>
      </c>
      <c r="J3723" s="10" t="str">
        <f aca="false">IF($E3723="","",UPPER(SUBSTITUTE($E3723," ","")))</f>
        <v/>
      </c>
      <c r="K3723" s="10" t="str">
        <f aca="false">IF($A3723="","",$G3723&amp;"|"&amp;$J3723)</f>
        <v/>
      </c>
      <c r="L3723" s="10" t="str">
        <f aca="false">IF($A3723="","",ROW()-2)</f>
        <v/>
      </c>
      <c r="M3723" s="10" t="str">
        <f aca="false">IF($A3723="","",ROW())</f>
        <v/>
      </c>
    </row>
    <row r="3724" customFormat="false" ht="15" hidden="false" customHeight="true" outlineLevel="0" collapsed="false">
      <c r="A3724" s="8"/>
      <c r="B3724" s="8"/>
      <c r="C3724" s="8"/>
      <c r="D3724" s="8"/>
      <c r="E3724" s="8"/>
      <c r="F3724" s="8"/>
      <c r="G3724" s="10" t="str">
        <f aca="false">IF($A3724="","",UPPER(SUBSTITUTE(SUBSTITUTE(SUBSTITUTE(SUBSTITUTE($A3724," ",""),"(주)",""),"주식회사",""),"㈜","")))</f>
        <v/>
      </c>
      <c r="H3724" s="10" t="str">
        <f aca="false">IF($B3724="","",SUBSTITUTE(SUBSTITUTE(SUBSTITUTE($B3724,"-","")," ",""),".",""))</f>
        <v/>
      </c>
      <c r="I3724" s="10" t="str">
        <f aca="false">IF($D3724="","",SUBSTITUTE(SUBSTITUTE(SUBSTITUTE($D3724,"-","")," ",""),".",""))</f>
        <v/>
      </c>
      <c r="J3724" s="10" t="str">
        <f aca="false">IF($E3724="","",UPPER(SUBSTITUTE($E3724," ","")))</f>
        <v/>
      </c>
      <c r="K3724" s="10" t="str">
        <f aca="false">IF($A3724="","",$G3724&amp;"|"&amp;$J3724)</f>
        <v/>
      </c>
      <c r="L3724" s="10" t="str">
        <f aca="false">IF($A3724="","",ROW()-2)</f>
        <v/>
      </c>
      <c r="M3724" s="10" t="str">
        <f aca="false">IF($A3724="","",ROW())</f>
        <v/>
      </c>
    </row>
    <row r="3725" customFormat="false" ht="15" hidden="false" customHeight="true" outlineLevel="0" collapsed="false">
      <c r="A3725" s="8"/>
      <c r="B3725" s="8"/>
      <c r="C3725" s="8"/>
      <c r="D3725" s="8"/>
      <c r="E3725" s="8"/>
      <c r="F3725" s="8"/>
      <c r="G3725" s="10" t="str">
        <f aca="false">IF($A3725="","",UPPER(SUBSTITUTE(SUBSTITUTE(SUBSTITUTE(SUBSTITUTE($A3725," ",""),"(주)",""),"주식회사",""),"㈜","")))</f>
        <v/>
      </c>
      <c r="H3725" s="10" t="str">
        <f aca="false">IF($B3725="","",SUBSTITUTE(SUBSTITUTE(SUBSTITUTE($B3725,"-","")," ",""),".",""))</f>
        <v/>
      </c>
      <c r="I3725" s="10" t="str">
        <f aca="false">IF($D3725="","",SUBSTITUTE(SUBSTITUTE(SUBSTITUTE($D3725,"-","")," ",""),".",""))</f>
        <v/>
      </c>
      <c r="J3725" s="10" t="str">
        <f aca="false">IF($E3725="","",UPPER(SUBSTITUTE($E3725," ","")))</f>
        <v/>
      </c>
      <c r="K3725" s="10" t="str">
        <f aca="false">IF($A3725="","",$G3725&amp;"|"&amp;$J3725)</f>
        <v/>
      </c>
      <c r="L3725" s="10" t="str">
        <f aca="false">IF($A3725="","",ROW()-2)</f>
        <v/>
      </c>
      <c r="M3725" s="10" t="str">
        <f aca="false">IF($A3725="","",ROW())</f>
        <v/>
      </c>
    </row>
    <row r="3726" customFormat="false" ht="15" hidden="false" customHeight="true" outlineLevel="0" collapsed="false">
      <c r="A3726" s="8"/>
      <c r="B3726" s="8"/>
      <c r="C3726" s="8"/>
      <c r="D3726" s="8"/>
      <c r="E3726" s="8"/>
      <c r="F3726" s="8"/>
      <c r="G3726" s="10" t="str">
        <f aca="false">IF($A3726="","",UPPER(SUBSTITUTE(SUBSTITUTE(SUBSTITUTE(SUBSTITUTE($A3726," ",""),"(주)",""),"주식회사",""),"㈜","")))</f>
        <v/>
      </c>
      <c r="H3726" s="10" t="str">
        <f aca="false">IF($B3726="","",SUBSTITUTE(SUBSTITUTE(SUBSTITUTE($B3726,"-","")," ",""),".",""))</f>
        <v/>
      </c>
      <c r="I3726" s="10" t="str">
        <f aca="false">IF($D3726="","",SUBSTITUTE(SUBSTITUTE(SUBSTITUTE($D3726,"-","")," ",""),".",""))</f>
        <v/>
      </c>
      <c r="J3726" s="10" t="str">
        <f aca="false">IF($E3726="","",UPPER(SUBSTITUTE($E3726," ","")))</f>
        <v/>
      </c>
      <c r="K3726" s="10" t="str">
        <f aca="false">IF($A3726="","",$G3726&amp;"|"&amp;$J3726)</f>
        <v/>
      </c>
      <c r="L3726" s="10" t="str">
        <f aca="false">IF($A3726="","",ROW()-2)</f>
        <v/>
      </c>
      <c r="M3726" s="10" t="str">
        <f aca="false">IF($A3726="","",ROW())</f>
        <v/>
      </c>
    </row>
    <row r="3727" customFormat="false" ht="15" hidden="false" customHeight="true" outlineLevel="0" collapsed="false">
      <c r="A3727" s="8"/>
      <c r="B3727" s="8"/>
      <c r="C3727" s="8"/>
      <c r="D3727" s="8"/>
      <c r="E3727" s="8"/>
      <c r="F3727" s="8"/>
      <c r="G3727" s="10" t="str">
        <f aca="false">IF($A3727="","",UPPER(SUBSTITUTE(SUBSTITUTE(SUBSTITUTE(SUBSTITUTE($A3727," ",""),"(주)",""),"주식회사",""),"㈜","")))</f>
        <v/>
      </c>
      <c r="H3727" s="10" t="str">
        <f aca="false">IF($B3727="","",SUBSTITUTE(SUBSTITUTE(SUBSTITUTE($B3727,"-","")," ",""),".",""))</f>
        <v/>
      </c>
      <c r="I3727" s="10" t="str">
        <f aca="false">IF($D3727="","",SUBSTITUTE(SUBSTITUTE(SUBSTITUTE($D3727,"-","")," ",""),".",""))</f>
        <v/>
      </c>
      <c r="J3727" s="10" t="str">
        <f aca="false">IF($E3727="","",UPPER(SUBSTITUTE($E3727," ","")))</f>
        <v/>
      </c>
      <c r="K3727" s="10" t="str">
        <f aca="false">IF($A3727="","",$G3727&amp;"|"&amp;$J3727)</f>
        <v/>
      </c>
      <c r="L3727" s="10" t="str">
        <f aca="false">IF($A3727="","",ROW()-2)</f>
        <v/>
      </c>
      <c r="M3727" s="10" t="str">
        <f aca="false">IF($A3727="","",ROW())</f>
        <v/>
      </c>
    </row>
    <row r="3728" customFormat="false" ht="15" hidden="false" customHeight="true" outlineLevel="0" collapsed="false">
      <c r="A3728" s="8"/>
      <c r="B3728" s="8"/>
      <c r="C3728" s="8"/>
      <c r="D3728" s="8"/>
      <c r="E3728" s="8"/>
      <c r="F3728" s="8"/>
      <c r="G3728" s="10" t="str">
        <f aca="false">IF($A3728="","",UPPER(SUBSTITUTE(SUBSTITUTE(SUBSTITUTE(SUBSTITUTE($A3728," ",""),"(주)",""),"주식회사",""),"㈜","")))</f>
        <v/>
      </c>
      <c r="H3728" s="10" t="str">
        <f aca="false">IF($B3728="","",SUBSTITUTE(SUBSTITUTE(SUBSTITUTE($B3728,"-","")," ",""),".",""))</f>
        <v/>
      </c>
      <c r="I3728" s="10" t="str">
        <f aca="false">IF($D3728="","",SUBSTITUTE(SUBSTITUTE(SUBSTITUTE($D3728,"-","")," ",""),".",""))</f>
        <v/>
      </c>
      <c r="J3728" s="10" t="str">
        <f aca="false">IF($E3728="","",UPPER(SUBSTITUTE($E3728," ","")))</f>
        <v/>
      </c>
      <c r="K3728" s="10" t="str">
        <f aca="false">IF($A3728="","",$G3728&amp;"|"&amp;$J3728)</f>
        <v/>
      </c>
      <c r="L3728" s="10" t="str">
        <f aca="false">IF($A3728="","",ROW()-2)</f>
        <v/>
      </c>
      <c r="M3728" s="10" t="str">
        <f aca="false">IF($A3728="","",ROW())</f>
        <v/>
      </c>
    </row>
    <row r="3729" customFormat="false" ht="15" hidden="false" customHeight="true" outlineLevel="0" collapsed="false">
      <c r="A3729" s="8"/>
      <c r="B3729" s="8"/>
      <c r="C3729" s="8"/>
      <c r="D3729" s="8"/>
      <c r="E3729" s="8"/>
      <c r="F3729" s="8"/>
      <c r="G3729" s="10" t="str">
        <f aca="false">IF($A3729="","",UPPER(SUBSTITUTE(SUBSTITUTE(SUBSTITUTE(SUBSTITUTE($A3729," ",""),"(주)",""),"주식회사",""),"㈜","")))</f>
        <v/>
      </c>
      <c r="H3729" s="10" t="str">
        <f aca="false">IF($B3729="","",SUBSTITUTE(SUBSTITUTE(SUBSTITUTE($B3729,"-","")," ",""),".",""))</f>
        <v/>
      </c>
      <c r="I3729" s="10" t="str">
        <f aca="false">IF($D3729="","",SUBSTITUTE(SUBSTITUTE(SUBSTITUTE($D3729,"-","")," ",""),".",""))</f>
        <v/>
      </c>
      <c r="J3729" s="10" t="str">
        <f aca="false">IF($E3729="","",UPPER(SUBSTITUTE($E3729," ","")))</f>
        <v/>
      </c>
      <c r="K3729" s="10" t="str">
        <f aca="false">IF($A3729="","",$G3729&amp;"|"&amp;$J3729)</f>
        <v/>
      </c>
      <c r="L3729" s="10" t="str">
        <f aca="false">IF($A3729="","",ROW()-2)</f>
        <v/>
      </c>
      <c r="M3729" s="10" t="str">
        <f aca="false">IF($A3729="","",ROW())</f>
        <v/>
      </c>
    </row>
    <row r="3730" customFormat="false" ht="15" hidden="false" customHeight="true" outlineLevel="0" collapsed="false">
      <c r="A3730" s="8"/>
      <c r="B3730" s="8"/>
      <c r="C3730" s="8"/>
      <c r="D3730" s="8"/>
      <c r="E3730" s="8"/>
      <c r="F3730" s="8"/>
      <c r="G3730" s="10" t="str">
        <f aca="false">IF($A3730="","",UPPER(SUBSTITUTE(SUBSTITUTE(SUBSTITUTE(SUBSTITUTE($A3730," ",""),"(주)",""),"주식회사",""),"㈜","")))</f>
        <v/>
      </c>
      <c r="H3730" s="10" t="str">
        <f aca="false">IF($B3730="","",SUBSTITUTE(SUBSTITUTE(SUBSTITUTE($B3730,"-","")," ",""),".",""))</f>
        <v/>
      </c>
      <c r="I3730" s="10" t="str">
        <f aca="false">IF($D3730="","",SUBSTITUTE(SUBSTITUTE(SUBSTITUTE($D3730,"-","")," ",""),".",""))</f>
        <v/>
      </c>
      <c r="J3730" s="10" t="str">
        <f aca="false">IF($E3730="","",UPPER(SUBSTITUTE($E3730," ","")))</f>
        <v/>
      </c>
      <c r="K3730" s="10" t="str">
        <f aca="false">IF($A3730="","",$G3730&amp;"|"&amp;$J3730)</f>
        <v/>
      </c>
      <c r="L3730" s="10" t="str">
        <f aca="false">IF($A3730="","",ROW()-2)</f>
        <v/>
      </c>
      <c r="M3730" s="10" t="str">
        <f aca="false">IF($A3730="","",ROW())</f>
        <v/>
      </c>
    </row>
    <row r="3731" customFormat="false" ht="15" hidden="false" customHeight="true" outlineLevel="0" collapsed="false">
      <c r="A3731" s="8"/>
      <c r="B3731" s="8"/>
      <c r="C3731" s="8"/>
      <c r="D3731" s="8"/>
      <c r="E3731" s="8"/>
      <c r="F3731" s="8"/>
      <c r="G3731" s="10" t="str">
        <f aca="false">IF($A3731="","",UPPER(SUBSTITUTE(SUBSTITUTE(SUBSTITUTE(SUBSTITUTE($A3731," ",""),"(주)",""),"주식회사",""),"㈜","")))</f>
        <v/>
      </c>
      <c r="H3731" s="10" t="str">
        <f aca="false">IF($B3731="","",SUBSTITUTE(SUBSTITUTE(SUBSTITUTE($B3731,"-","")," ",""),".",""))</f>
        <v/>
      </c>
      <c r="I3731" s="10" t="str">
        <f aca="false">IF($D3731="","",SUBSTITUTE(SUBSTITUTE(SUBSTITUTE($D3731,"-","")," ",""),".",""))</f>
        <v/>
      </c>
      <c r="J3731" s="10" t="str">
        <f aca="false">IF($E3731="","",UPPER(SUBSTITUTE($E3731," ","")))</f>
        <v/>
      </c>
      <c r="K3731" s="10" t="str">
        <f aca="false">IF($A3731="","",$G3731&amp;"|"&amp;$J3731)</f>
        <v/>
      </c>
      <c r="L3731" s="10" t="str">
        <f aca="false">IF($A3731="","",ROW()-2)</f>
        <v/>
      </c>
      <c r="M3731" s="10" t="str">
        <f aca="false">IF($A3731="","",ROW())</f>
        <v/>
      </c>
    </row>
    <row r="3732" customFormat="false" ht="15" hidden="false" customHeight="true" outlineLevel="0" collapsed="false">
      <c r="A3732" s="8"/>
      <c r="B3732" s="8"/>
      <c r="C3732" s="8"/>
      <c r="D3732" s="8"/>
      <c r="E3732" s="8"/>
      <c r="F3732" s="8"/>
      <c r="G3732" s="10" t="str">
        <f aca="false">IF($A3732="","",UPPER(SUBSTITUTE(SUBSTITUTE(SUBSTITUTE(SUBSTITUTE($A3732," ",""),"(주)",""),"주식회사",""),"㈜","")))</f>
        <v/>
      </c>
      <c r="H3732" s="10" t="str">
        <f aca="false">IF($B3732="","",SUBSTITUTE(SUBSTITUTE(SUBSTITUTE($B3732,"-","")," ",""),".",""))</f>
        <v/>
      </c>
      <c r="I3732" s="10" t="str">
        <f aca="false">IF($D3732="","",SUBSTITUTE(SUBSTITUTE(SUBSTITUTE($D3732,"-","")," ",""),".",""))</f>
        <v/>
      </c>
      <c r="J3732" s="10" t="str">
        <f aca="false">IF($E3732="","",UPPER(SUBSTITUTE($E3732," ","")))</f>
        <v/>
      </c>
      <c r="K3732" s="10" t="str">
        <f aca="false">IF($A3732="","",$G3732&amp;"|"&amp;$J3732)</f>
        <v/>
      </c>
      <c r="L3732" s="10" t="str">
        <f aca="false">IF($A3732="","",ROW()-2)</f>
        <v/>
      </c>
      <c r="M3732" s="10" t="str">
        <f aca="false">IF($A3732="","",ROW())</f>
        <v/>
      </c>
    </row>
    <row r="3733" customFormat="false" ht="15" hidden="false" customHeight="true" outlineLevel="0" collapsed="false">
      <c r="A3733" s="8"/>
      <c r="B3733" s="8"/>
      <c r="C3733" s="8"/>
      <c r="D3733" s="8"/>
      <c r="E3733" s="8"/>
      <c r="F3733" s="8"/>
      <c r="G3733" s="10" t="str">
        <f aca="false">IF($A3733="","",UPPER(SUBSTITUTE(SUBSTITUTE(SUBSTITUTE(SUBSTITUTE($A3733," ",""),"(주)",""),"주식회사",""),"㈜","")))</f>
        <v/>
      </c>
      <c r="H3733" s="10" t="str">
        <f aca="false">IF($B3733="","",SUBSTITUTE(SUBSTITUTE(SUBSTITUTE($B3733,"-","")," ",""),".",""))</f>
        <v/>
      </c>
      <c r="I3733" s="10" t="str">
        <f aca="false">IF($D3733="","",SUBSTITUTE(SUBSTITUTE(SUBSTITUTE($D3733,"-","")," ",""),".",""))</f>
        <v/>
      </c>
      <c r="J3733" s="10" t="str">
        <f aca="false">IF($E3733="","",UPPER(SUBSTITUTE($E3733," ","")))</f>
        <v/>
      </c>
      <c r="K3733" s="10" t="str">
        <f aca="false">IF($A3733="","",$G3733&amp;"|"&amp;$J3733)</f>
        <v/>
      </c>
      <c r="L3733" s="10" t="str">
        <f aca="false">IF($A3733="","",ROW()-2)</f>
        <v/>
      </c>
      <c r="M3733" s="10" t="str">
        <f aca="false">IF($A3733="","",ROW())</f>
        <v/>
      </c>
    </row>
    <row r="3734" customFormat="false" ht="15" hidden="false" customHeight="true" outlineLevel="0" collapsed="false">
      <c r="A3734" s="8"/>
      <c r="B3734" s="8"/>
      <c r="C3734" s="8"/>
      <c r="D3734" s="8"/>
      <c r="E3734" s="8"/>
      <c r="F3734" s="8"/>
      <c r="G3734" s="10" t="str">
        <f aca="false">IF($A3734="","",UPPER(SUBSTITUTE(SUBSTITUTE(SUBSTITUTE(SUBSTITUTE($A3734," ",""),"(주)",""),"주식회사",""),"㈜","")))</f>
        <v/>
      </c>
      <c r="H3734" s="10" t="str">
        <f aca="false">IF($B3734="","",SUBSTITUTE(SUBSTITUTE(SUBSTITUTE($B3734,"-","")," ",""),".",""))</f>
        <v/>
      </c>
      <c r="I3734" s="10" t="str">
        <f aca="false">IF($D3734="","",SUBSTITUTE(SUBSTITUTE(SUBSTITUTE($D3734,"-","")," ",""),".",""))</f>
        <v/>
      </c>
      <c r="J3734" s="10" t="str">
        <f aca="false">IF($E3734="","",UPPER(SUBSTITUTE($E3734," ","")))</f>
        <v/>
      </c>
      <c r="K3734" s="10" t="str">
        <f aca="false">IF($A3734="","",$G3734&amp;"|"&amp;$J3734)</f>
        <v/>
      </c>
      <c r="L3734" s="10" t="str">
        <f aca="false">IF($A3734="","",ROW()-2)</f>
        <v/>
      </c>
      <c r="M3734" s="10" t="str">
        <f aca="false">IF($A3734="","",ROW())</f>
        <v/>
      </c>
    </row>
    <row r="3735" customFormat="false" ht="15" hidden="false" customHeight="true" outlineLevel="0" collapsed="false">
      <c r="A3735" s="8"/>
      <c r="B3735" s="8"/>
      <c r="C3735" s="8"/>
      <c r="D3735" s="8"/>
      <c r="E3735" s="8"/>
      <c r="F3735" s="8"/>
      <c r="G3735" s="10" t="str">
        <f aca="false">IF($A3735="","",UPPER(SUBSTITUTE(SUBSTITUTE(SUBSTITUTE(SUBSTITUTE($A3735," ",""),"(주)",""),"주식회사",""),"㈜","")))</f>
        <v/>
      </c>
      <c r="H3735" s="10" t="str">
        <f aca="false">IF($B3735="","",SUBSTITUTE(SUBSTITUTE(SUBSTITUTE($B3735,"-","")," ",""),".",""))</f>
        <v/>
      </c>
      <c r="I3735" s="10" t="str">
        <f aca="false">IF($D3735="","",SUBSTITUTE(SUBSTITUTE(SUBSTITUTE($D3735,"-","")," ",""),".",""))</f>
        <v/>
      </c>
      <c r="J3735" s="10" t="str">
        <f aca="false">IF($E3735="","",UPPER(SUBSTITUTE($E3735," ","")))</f>
        <v/>
      </c>
      <c r="K3735" s="10" t="str">
        <f aca="false">IF($A3735="","",$G3735&amp;"|"&amp;$J3735)</f>
        <v/>
      </c>
      <c r="L3735" s="10" t="str">
        <f aca="false">IF($A3735="","",ROW()-2)</f>
        <v/>
      </c>
      <c r="M3735" s="10" t="str">
        <f aca="false">IF($A3735="","",ROW())</f>
        <v/>
      </c>
    </row>
    <row r="3736" customFormat="false" ht="15" hidden="false" customHeight="true" outlineLevel="0" collapsed="false">
      <c r="A3736" s="8"/>
      <c r="B3736" s="8"/>
      <c r="C3736" s="8"/>
      <c r="D3736" s="8"/>
      <c r="E3736" s="8"/>
      <c r="F3736" s="8"/>
      <c r="G3736" s="10" t="str">
        <f aca="false">IF($A3736="","",UPPER(SUBSTITUTE(SUBSTITUTE(SUBSTITUTE(SUBSTITUTE($A3736," ",""),"(주)",""),"주식회사",""),"㈜","")))</f>
        <v/>
      </c>
      <c r="H3736" s="10" t="str">
        <f aca="false">IF($B3736="","",SUBSTITUTE(SUBSTITUTE(SUBSTITUTE($B3736,"-","")," ",""),".",""))</f>
        <v/>
      </c>
      <c r="I3736" s="10" t="str">
        <f aca="false">IF($D3736="","",SUBSTITUTE(SUBSTITUTE(SUBSTITUTE($D3736,"-","")," ",""),".",""))</f>
        <v/>
      </c>
      <c r="J3736" s="10" t="str">
        <f aca="false">IF($E3736="","",UPPER(SUBSTITUTE($E3736," ","")))</f>
        <v/>
      </c>
      <c r="K3736" s="10" t="str">
        <f aca="false">IF($A3736="","",$G3736&amp;"|"&amp;$J3736)</f>
        <v/>
      </c>
      <c r="L3736" s="10" t="str">
        <f aca="false">IF($A3736="","",ROW()-2)</f>
        <v/>
      </c>
      <c r="M3736" s="10" t="str">
        <f aca="false">IF($A3736="","",ROW())</f>
        <v/>
      </c>
    </row>
    <row r="3737" customFormat="false" ht="15" hidden="false" customHeight="true" outlineLevel="0" collapsed="false">
      <c r="A3737" s="8"/>
      <c r="B3737" s="8"/>
      <c r="C3737" s="8"/>
      <c r="D3737" s="8"/>
      <c r="E3737" s="8"/>
      <c r="F3737" s="8"/>
      <c r="G3737" s="10" t="str">
        <f aca="false">IF($A3737="","",UPPER(SUBSTITUTE(SUBSTITUTE(SUBSTITUTE(SUBSTITUTE($A3737," ",""),"(주)",""),"주식회사",""),"㈜","")))</f>
        <v/>
      </c>
      <c r="H3737" s="10" t="str">
        <f aca="false">IF($B3737="","",SUBSTITUTE(SUBSTITUTE(SUBSTITUTE($B3737,"-","")," ",""),".",""))</f>
        <v/>
      </c>
      <c r="I3737" s="10" t="str">
        <f aca="false">IF($D3737="","",SUBSTITUTE(SUBSTITUTE(SUBSTITUTE($D3737,"-","")," ",""),".",""))</f>
        <v/>
      </c>
      <c r="J3737" s="10" t="str">
        <f aca="false">IF($E3737="","",UPPER(SUBSTITUTE($E3737," ","")))</f>
        <v/>
      </c>
      <c r="K3737" s="10" t="str">
        <f aca="false">IF($A3737="","",$G3737&amp;"|"&amp;$J3737)</f>
        <v/>
      </c>
      <c r="L3737" s="10" t="str">
        <f aca="false">IF($A3737="","",ROW()-2)</f>
        <v/>
      </c>
      <c r="M3737" s="10" t="str">
        <f aca="false">IF($A3737="","",ROW())</f>
        <v/>
      </c>
    </row>
    <row r="3738" customFormat="false" ht="15" hidden="false" customHeight="true" outlineLevel="0" collapsed="false">
      <c r="A3738" s="8"/>
      <c r="B3738" s="8"/>
      <c r="C3738" s="8"/>
      <c r="D3738" s="8"/>
      <c r="E3738" s="8"/>
      <c r="F3738" s="8"/>
      <c r="G3738" s="10" t="str">
        <f aca="false">IF($A3738="","",UPPER(SUBSTITUTE(SUBSTITUTE(SUBSTITUTE(SUBSTITUTE($A3738," ",""),"(주)",""),"주식회사",""),"㈜","")))</f>
        <v/>
      </c>
      <c r="H3738" s="10" t="str">
        <f aca="false">IF($B3738="","",SUBSTITUTE(SUBSTITUTE(SUBSTITUTE($B3738,"-","")," ",""),".",""))</f>
        <v/>
      </c>
      <c r="I3738" s="10" t="str">
        <f aca="false">IF($D3738="","",SUBSTITUTE(SUBSTITUTE(SUBSTITUTE($D3738,"-","")," ",""),".",""))</f>
        <v/>
      </c>
      <c r="J3738" s="10" t="str">
        <f aca="false">IF($E3738="","",UPPER(SUBSTITUTE($E3738," ","")))</f>
        <v/>
      </c>
      <c r="K3738" s="10" t="str">
        <f aca="false">IF($A3738="","",$G3738&amp;"|"&amp;$J3738)</f>
        <v/>
      </c>
      <c r="L3738" s="10" t="str">
        <f aca="false">IF($A3738="","",ROW()-2)</f>
        <v/>
      </c>
      <c r="M3738" s="10" t="str">
        <f aca="false">IF($A3738="","",ROW())</f>
        <v/>
      </c>
    </row>
    <row r="3739" customFormat="false" ht="15" hidden="false" customHeight="true" outlineLevel="0" collapsed="false">
      <c r="A3739" s="8"/>
      <c r="B3739" s="8"/>
      <c r="C3739" s="8"/>
      <c r="D3739" s="8"/>
      <c r="E3739" s="8"/>
      <c r="F3739" s="8"/>
      <c r="G3739" s="10" t="str">
        <f aca="false">IF($A3739="","",UPPER(SUBSTITUTE(SUBSTITUTE(SUBSTITUTE(SUBSTITUTE($A3739," ",""),"(주)",""),"주식회사",""),"㈜","")))</f>
        <v/>
      </c>
      <c r="H3739" s="10" t="str">
        <f aca="false">IF($B3739="","",SUBSTITUTE(SUBSTITUTE(SUBSTITUTE($B3739,"-","")," ",""),".",""))</f>
        <v/>
      </c>
      <c r="I3739" s="10" t="str">
        <f aca="false">IF($D3739="","",SUBSTITUTE(SUBSTITUTE(SUBSTITUTE($D3739,"-","")," ",""),".",""))</f>
        <v/>
      </c>
      <c r="J3739" s="10" t="str">
        <f aca="false">IF($E3739="","",UPPER(SUBSTITUTE($E3739," ","")))</f>
        <v/>
      </c>
      <c r="K3739" s="10" t="str">
        <f aca="false">IF($A3739="","",$G3739&amp;"|"&amp;$J3739)</f>
        <v/>
      </c>
      <c r="L3739" s="10" t="str">
        <f aca="false">IF($A3739="","",ROW()-2)</f>
        <v/>
      </c>
      <c r="M3739" s="10" t="str">
        <f aca="false">IF($A3739="","",ROW())</f>
        <v/>
      </c>
    </row>
    <row r="3740" customFormat="false" ht="15" hidden="false" customHeight="true" outlineLevel="0" collapsed="false">
      <c r="A3740" s="8"/>
      <c r="B3740" s="8"/>
      <c r="C3740" s="8"/>
      <c r="D3740" s="8"/>
      <c r="E3740" s="8"/>
      <c r="F3740" s="8"/>
      <c r="G3740" s="10" t="str">
        <f aca="false">IF($A3740="","",UPPER(SUBSTITUTE(SUBSTITUTE(SUBSTITUTE(SUBSTITUTE($A3740," ",""),"(주)",""),"주식회사",""),"㈜","")))</f>
        <v/>
      </c>
      <c r="H3740" s="10" t="str">
        <f aca="false">IF($B3740="","",SUBSTITUTE(SUBSTITUTE(SUBSTITUTE($B3740,"-","")," ",""),".",""))</f>
        <v/>
      </c>
      <c r="I3740" s="10" t="str">
        <f aca="false">IF($D3740="","",SUBSTITUTE(SUBSTITUTE(SUBSTITUTE($D3740,"-","")," ",""),".",""))</f>
        <v/>
      </c>
      <c r="J3740" s="10" t="str">
        <f aca="false">IF($E3740="","",UPPER(SUBSTITUTE($E3740," ","")))</f>
        <v/>
      </c>
      <c r="K3740" s="10" t="str">
        <f aca="false">IF($A3740="","",$G3740&amp;"|"&amp;$J3740)</f>
        <v/>
      </c>
      <c r="L3740" s="10" t="str">
        <f aca="false">IF($A3740="","",ROW()-2)</f>
        <v/>
      </c>
      <c r="M3740" s="10" t="str">
        <f aca="false">IF($A3740="","",ROW())</f>
        <v/>
      </c>
    </row>
    <row r="3741" customFormat="false" ht="15" hidden="false" customHeight="true" outlineLevel="0" collapsed="false">
      <c r="A3741" s="8"/>
      <c r="B3741" s="8"/>
      <c r="C3741" s="8"/>
      <c r="D3741" s="8"/>
      <c r="E3741" s="8"/>
      <c r="F3741" s="8"/>
      <c r="G3741" s="10" t="str">
        <f aca="false">IF($A3741="","",UPPER(SUBSTITUTE(SUBSTITUTE(SUBSTITUTE(SUBSTITUTE($A3741," ",""),"(주)",""),"주식회사",""),"㈜","")))</f>
        <v/>
      </c>
      <c r="H3741" s="10" t="str">
        <f aca="false">IF($B3741="","",SUBSTITUTE(SUBSTITUTE(SUBSTITUTE($B3741,"-","")," ",""),".",""))</f>
        <v/>
      </c>
      <c r="I3741" s="10" t="str">
        <f aca="false">IF($D3741="","",SUBSTITUTE(SUBSTITUTE(SUBSTITUTE($D3741,"-","")," ",""),".",""))</f>
        <v/>
      </c>
      <c r="J3741" s="10" t="str">
        <f aca="false">IF($E3741="","",UPPER(SUBSTITUTE($E3741," ","")))</f>
        <v/>
      </c>
      <c r="K3741" s="10" t="str">
        <f aca="false">IF($A3741="","",$G3741&amp;"|"&amp;$J3741)</f>
        <v/>
      </c>
      <c r="L3741" s="10" t="str">
        <f aca="false">IF($A3741="","",ROW()-2)</f>
        <v/>
      </c>
      <c r="M3741" s="10" t="str">
        <f aca="false">IF($A3741="","",ROW())</f>
        <v/>
      </c>
    </row>
    <row r="3742" customFormat="false" ht="15" hidden="false" customHeight="true" outlineLevel="0" collapsed="false">
      <c r="A3742" s="8"/>
      <c r="B3742" s="8"/>
      <c r="C3742" s="8"/>
      <c r="D3742" s="8"/>
      <c r="E3742" s="8"/>
      <c r="F3742" s="8"/>
      <c r="G3742" s="10" t="str">
        <f aca="false">IF($A3742="","",UPPER(SUBSTITUTE(SUBSTITUTE(SUBSTITUTE(SUBSTITUTE($A3742," ",""),"(주)",""),"주식회사",""),"㈜","")))</f>
        <v/>
      </c>
      <c r="H3742" s="10" t="str">
        <f aca="false">IF($B3742="","",SUBSTITUTE(SUBSTITUTE(SUBSTITUTE($B3742,"-","")," ",""),".",""))</f>
        <v/>
      </c>
      <c r="I3742" s="10" t="str">
        <f aca="false">IF($D3742="","",SUBSTITUTE(SUBSTITUTE(SUBSTITUTE($D3742,"-","")," ",""),".",""))</f>
        <v/>
      </c>
      <c r="J3742" s="10" t="str">
        <f aca="false">IF($E3742="","",UPPER(SUBSTITUTE($E3742," ","")))</f>
        <v/>
      </c>
      <c r="K3742" s="10" t="str">
        <f aca="false">IF($A3742="","",$G3742&amp;"|"&amp;$J3742)</f>
        <v/>
      </c>
      <c r="L3742" s="10" t="str">
        <f aca="false">IF($A3742="","",ROW()-2)</f>
        <v/>
      </c>
      <c r="M3742" s="10" t="str">
        <f aca="false">IF($A3742="","",ROW())</f>
        <v/>
      </c>
    </row>
    <row r="3743" customFormat="false" ht="15" hidden="false" customHeight="true" outlineLevel="0" collapsed="false">
      <c r="A3743" s="8"/>
      <c r="B3743" s="8"/>
      <c r="C3743" s="8"/>
      <c r="D3743" s="8"/>
      <c r="E3743" s="8"/>
      <c r="F3743" s="8"/>
      <c r="G3743" s="10" t="str">
        <f aca="false">IF($A3743="","",UPPER(SUBSTITUTE(SUBSTITUTE(SUBSTITUTE(SUBSTITUTE($A3743," ",""),"(주)",""),"주식회사",""),"㈜","")))</f>
        <v/>
      </c>
      <c r="H3743" s="10" t="str">
        <f aca="false">IF($B3743="","",SUBSTITUTE(SUBSTITUTE(SUBSTITUTE($B3743,"-","")," ",""),".",""))</f>
        <v/>
      </c>
      <c r="I3743" s="10" t="str">
        <f aca="false">IF($D3743="","",SUBSTITUTE(SUBSTITUTE(SUBSTITUTE($D3743,"-","")," ",""),".",""))</f>
        <v/>
      </c>
      <c r="J3743" s="10" t="str">
        <f aca="false">IF($E3743="","",UPPER(SUBSTITUTE($E3743," ","")))</f>
        <v/>
      </c>
      <c r="K3743" s="10" t="str">
        <f aca="false">IF($A3743="","",$G3743&amp;"|"&amp;$J3743)</f>
        <v/>
      </c>
      <c r="L3743" s="10" t="str">
        <f aca="false">IF($A3743="","",ROW()-2)</f>
        <v/>
      </c>
      <c r="M3743" s="10" t="str">
        <f aca="false">IF($A3743="","",ROW())</f>
        <v/>
      </c>
    </row>
    <row r="3744" customFormat="false" ht="15" hidden="false" customHeight="true" outlineLevel="0" collapsed="false">
      <c r="A3744" s="8"/>
      <c r="B3744" s="8"/>
      <c r="C3744" s="8"/>
      <c r="D3744" s="8"/>
      <c r="E3744" s="8"/>
      <c r="F3744" s="8"/>
      <c r="G3744" s="10" t="str">
        <f aca="false">IF($A3744="","",UPPER(SUBSTITUTE(SUBSTITUTE(SUBSTITUTE(SUBSTITUTE($A3744," ",""),"(주)",""),"주식회사",""),"㈜","")))</f>
        <v/>
      </c>
      <c r="H3744" s="10" t="str">
        <f aca="false">IF($B3744="","",SUBSTITUTE(SUBSTITUTE(SUBSTITUTE($B3744,"-","")," ",""),".",""))</f>
        <v/>
      </c>
      <c r="I3744" s="10" t="str">
        <f aca="false">IF($D3744="","",SUBSTITUTE(SUBSTITUTE(SUBSTITUTE($D3744,"-","")," ",""),".",""))</f>
        <v/>
      </c>
      <c r="J3744" s="10" t="str">
        <f aca="false">IF($E3744="","",UPPER(SUBSTITUTE($E3744," ","")))</f>
        <v/>
      </c>
      <c r="K3744" s="10" t="str">
        <f aca="false">IF($A3744="","",$G3744&amp;"|"&amp;$J3744)</f>
        <v/>
      </c>
      <c r="L3744" s="10" t="str">
        <f aca="false">IF($A3744="","",ROW()-2)</f>
        <v/>
      </c>
      <c r="M3744" s="10" t="str">
        <f aca="false">IF($A3744="","",ROW())</f>
        <v/>
      </c>
    </row>
    <row r="3745" customFormat="false" ht="15" hidden="false" customHeight="true" outlineLevel="0" collapsed="false">
      <c r="A3745" s="8"/>
      <c r="B3745" s="8"/>
      <c r="C3745" s="8"/>
      <c r="D3745" s="8"/>
      <c r="E3745" s="8"/>
      <c r="F3745" s="8"/>
      <c r="G3745" s="10" t="str">
        <f aca="false">IF($A3745="","",UPPER(SUBSTITUTE(SUBSTITUTE(SUBSTITUTE(SUBSTITUTE($A3745," ",""),"(주)",""),"주식회사",""),"㈜","")))</f>
        <v/>
      </c>
      <c r="H3745" s="10" t="str">
        <f aca="false">IF($B3745="","",SUBSTITUTE(SUBSTITUTE(SUBSTITUTE($B3745,"-","")," ",""),".",""))</f>
        <v/>
      </c>
      <c r="I3745" s="10" t="str">
        <f aca="false">IF($D3745="","",SUBSTITUTE(SUBSTITUTE(SUBSTITUTE($D3745,"-","")," ",""),".",""))</f>
        <v/>
      </c>
      <c r="J3745" s="10" t="str">
        <f aca="false">IF($E3745="","",UPPER(SUBSTITUTE($E3745," ","")))</f>
        <v/>
      </c>
      <c r="K3745" s="10" t="str">
        <f aca="false">IF($A3745="","",$G3745&amp;"|"&amp;$J3745)</f>
        <v/>
      </c>
      <c r="L3745" s="10" t="str">
        <f aca="false">IF($A3745="","",ROW()-2)</f>
        <v/>
      </c>
      <c r="M3745" s="10" t="str">
        <f aca="false">IF($A3745="","",ROW())</f>
        <v/>
      </c>
    </row>
    <row r="3746" customFormat="false" ht="15" hidden="false" customHeight="true" outlineLevel="0" collapsed="false">
      <c r="A3746" s="8"/>
      <c r="B3746" s="8"/>
      <c r="C3746" s="8"/>
      <c r="D3746" s="8"/>
      <c r="E3746" s="8"/>
      <c r="F3746" s="8"/>
      <c r="G3746" s="10" t="str">
        <f aca="false">IF($A3746="","",UPPER(SUBSTITUTE(SUBSTITUTE(SUBSTITUTE(SUBSTITUTE($A3746," ",""),"(주)",""),"주식회사",""),"㈜","")))</f>
        <v/>
      </c>
      <c r="H3746" s="10" t="str">
        <f aca="false">IF($B3746="","",SUBSTITUTE(SUBSTITUTE(SUBSTITUTE($B3746,"-","")," ",""),".",""))</f>
        <v/>
      </c>
      <c r="I3746" s="10" t="str">
        <f aca="false">IF($D3746="","",SUBSTITUTE(SUBSTITUTE(SUBSTITUTE($D3746,"-","")," ",""),".",""))</f>
        <v/>
      </c>
      <c r="J3746" s="10" t="str">
        <f aca="false">IF($E3746="","",UPPER(SUBSTITUTE($E3746," ","")))</f>
        <v/>
      </c>
      <c r="K3746" s="10" t="str">
        <f aca="false">IF($A3746="","",$G3746&amp;"|"&amp;$J3746)</f>
        <v/>
      </c>
      <c r="L3746" s="10" t="str">
        <f aca="false">IF($A3746="","",ROW()-2)</f>
        <v/>
      </c>
      <c r="M3746" s="10" t="str">
        <f aca="false">IF($A3746="","",ROW())</f>
        <v/>
      </c>
    </row>
    <row r="3747" customFormat="false" ht="15" hidden="false" customHeight="true" outlineLevel="0" collapsed="false">
      <c r="A3747" s="8"/>
      <c r="B3747" s="8"/>
      <c r="C3747" s="8"/>
      <c r="D3747" s="8"/>
      <c r="E3747" s="8"/>
      <c r="F3747" s="8"/>
      <c r="G3747" s="10" t="str">
        <f aca="false">IF($A3747="","",UPPER(SUBSTITUTE(SUBSTITUTE(SUBSTITUTE(SUBSTITUTE($A3747," ",""),"(주)",""),"주식회사",""),"㈜","")))</f>
        <v/>
      </c>
      <c r="H3747" s="10" t="str">
        <f aca="false">IF($B3747="","",SUBSTITUTE(SUBSTITUTE(SUBSTITUTE($B3747,"-","")," ",""),".",""))</f>
        <v/>
      </c>
      <c r="I3747" s="10" t="str">
        <f aca="false">IF($D3747="","",SUBSTITUTE(SUBSTITUTE(SUBSTITUTE($D3747,"-","")," ",""),".",""))</f>
        <v/>
      </c>
      <c r="J3747" s="10" t="str">
        <f aca="false">IF($E3747="","",UPPER(SUBSTITUTE($E3747," ","")))</f>
        <v/>
      </c>
      <c r="K3747" s="10" t="str">
        <f aca="false">IF($A3747="","",$G3747&amp;"|"&amp;$J3747)</f>
        <v/>
      </c>
      <c r="L3747" s="10" t="str">
        <f aca="false">IF($A3747="","",ROW()-2)</f>
        <v/>
      </c>
      <c r="M3747" s="10" t="str">
        <f aca="false">IF($A3747="","",ROW())</f>
        <v/>
      </c>
    </row>
    <row r="3748" customFormat="false" ht="15" hidden="false" customHeight="true" outlineLevel="0" collapsed="false">
      <c r="A3748" s="8"/>
      <c r="B3748" s="8"/>
      <c r="C3748" s="8"/>
      <c r="D3748" s="8"/>
      <c r="E3748" s="8"/>
      <c r="F3748" s="8"/>
      <c r="G3748" s="10" t="str">
        <f aca="false">IF($A3748="","",UPPER(SUBSTITUTE(SUBSTITUTE(SUBSTITUTE(SUBSTITUTE($A3748," ",""),"(주)",""),"주식회사",""),"㈜","")))</f>
        <v/>
      </c>
      <c r="H3748" s="10" t="str">
        <f aca="false">IF($B3748="","",SUBSTITUTE(SUBSTITUTE(SUBSTITUTE($B3748,"-","")," ",""),".",""))</f>
        <v/>
      </c>
      <c r="I3748" s="10" t="str">
        <f aca="false">IF($D3748="","",SUBSTITUTE(SUBSTITUTE(SUBSTITUTE($D3748,"-","")," ",""),".",""))</f>
        <v/>
      </c>
      <c r="J3748" s="10" t="str">
        <f aca="false">IF($E3748="","",UPPER(SUBSTITUTE($E3748," ","")))</f>
        <v/>
      </c>
      <c r="K3748" s="10" t="str">
        <f aca="false">IF($A3748="","",$G3748&amp;"|"&amp;$J3748)</f>
        <v/>
      </c>
      <c r="L3748" s="10" t="str">
        <f aca="false">IF($A3748="","",ROW()-2)</f>
        <v/>
      </c>
      <c r="M3748" s="10" t="str">
        <f aca="false">IF($A3748="","",ROW())</f>
        <v/>
      </c>
    </row>
    <row r="3749" customFormat="false" ht="15" hidden="false" customHeight="true" outlineLevel="0" collapsed="false">
      <c r="A3749" s="8"/>
      <c r="B3749" s="8"/>
      <c r="C3749" s="8"/>
      <c r="D3749" s="8"/>
      <c r="E3749" s="8"/>
      <c r="F3749" s="8"/>
      <c r="G3749" s="10" t="str">
        <f aca="false">IF($A3749="","",UPPER(SUBSTITUTE(SUBSTITUTE(SUBSTITUTE(SUBSTITUTE($A3749," ",""),"(주)",""),"주식회사",""),"㈜","")))</f>
        <v/>
      </c>
      <c r="H3749" s="10" t="str">
        <f aca="false">IF($B3749="","",SUBSTITUTE(SUBSTITUTE(SUBSTITUTE($B3749,"-","")," ",""),".",""))</f>
        <v/>
      </c>
      <c r="I3749" s="10" t="str">
        <f aca="false">IF($D3749="","",SUBSTITUTE(SUBSTITUTE(SUBSTITUTE($D3749,"-","")," ",""),".",""))</f>
        <v/>
      </c>
      <c r="J3749" s="10" t="str">
        <f aca="false">IF($E3749="","",UPPER(SUBSTITUTE($E3749," ","")))</f>
        <v/>
      </c>
      <c r="K3749" s="10" t="str">
        <f aca="false">IF($A3749="","",$G3749&amp;"|"&amp;$J3749)</f>
        <v/>
      </c>
      <c r="L3749" s="10" t="str">
        <f aca="false">IF($A3749="","",ROW()-2)</f>
        <v/>
      </c>
      <c r="M3749" s="10" t="str">
        <f aca="false">IF($A3749="","",ROW())</f>
        <v/>
      </c>
    </row>
    <row r="3750" customFormat="false" ht="15" hidden="false" customHeight="true" outlineLevel="0" collapsed="false">
      <c r="A3750" s="8"/>
      <c r="B3750" s="8"/>
      <c r="C3750" s="8"/>
      <c r="D3750" s="8"/>
      <c r="E3750" s="8"/>
      <c r="F3750" s="8"/>
      <c r="G3750" s="10" t="str">
        <f aca="false">IF($A3750="","",UPPER(SUBSTITUTE(SUBSTITUTE(SUBSTITUTE(SUBSTITUTE($A3750," ",""),"(주)",""),"주식회사",""),"㈜","")))</f>
        <v/>
      </c>
      <c r="H3750" s="10" t="str">
        <f aca="false">IF($B3750="","",SUBSTITUTE(SUBSTITUTE(SUBSTITUTE($B3750,"-","")," ",""),".",""))</f>
        <v/>
      </c>
      <c r="I3750" s="10" t="str">
        <f aca="false">IF($D3750="","",SUBSTITUTE(SUBSTITUTE(SUBSTITUTE($D3750,"-","")," ",""),".",""))</f>
        <v/>
      </c>
      <c r="J3750" s="10" t="str">
        <f aca="false">IF($E3750="","",UPPER(SUBSTITUTE($E3750," ","")))</f>
        <v/>
      </c>
      <c r="K3750" s="10" t="str">
        <f aca="false">IF($A3750="","",$G3750&amp;"|"&amp;$J3750)</f>
        <v/>
      </c>
      <c r="L3750" s="10" t="str">
        <f aca="false">IF($A3750="","",ROW()-2)</f>
        <v/>
      </c>
      <c r="M3750" s="10" t="str">
        <f aca="false">IF($A3750="","",ROW())</f>
        <v/>
      </c>
    </row>
    <row r="3751" customFormat="false" ht="15" hidden="false" customHeight="true" outlineLevel="0" collapsed="false">
      <c r="A3751" s="8"/>
      <c r="B3751" s="8"/>
      <c r="C3751" s="8"/>
      <c r="D3751" s="8"/>
      <c r="E3751" s="8"/>
      <c r="F3751" s="8"/>
      <c r="G3751" s="10" t="str">
        <f aca="false">IF($A3751="","",UPPER(SUBSTITUTE(SUBSTITUTE(SUBSTITUTE(SUBSTITUTE($A3751," ",""),"(주)",""),"주식회사",""),"㈜","")))</f>
        <v/>
      </c>
      <c r="H3751" s="10" t="str">
        <f aca="false">IF($B3751="","",SUBSTITUTE(SUBSTITUTE(SUBSTITUTE($B3751,"-","")," ",""),".",""))</f>
        <v/>
      </c>
      <c r="I3751" s="10" t="str">
        <f aca="false">IF($D3751="","",SUBSTITUTE(SUBSTITUTE(SUBSTITUTE($D3751,"-","")," ",""),".",""))</f>
        <v/>
      </c>
      <c r="J3751" s="10" t="str">
        <f aca="false">IF($E3751="","",UPPER(SUBSTITUTE($E3751," ","")))</f>
        <v/>
      </c>
      <c r="K3751" s="10" t="str">
        <f aca="false">IF($A3751="","",$G3751&amp;"|"&amp;$J3751)</f>
        <v/>
      </c>
      <c r="L3751" s="10" t="str">
        <f aca="false">IF($A3751="","",ROW()-2)</f>
        <v/>
      </c>
      <c r="M3751" s="10" t="str">
        <f aca="false">IF($A3751="","",ROW())</f>
        <v/>
      </c>
    </row>
    <row r="3752" customFormat="false" ht="15" hidden="false" customHeight="true" outlineLevel="0" collapsed="false">
      <c r="A3752" s="8"/>
      <c r="B3752" s="8"/>
      <c r="C3752" s="8"/>
      <c r="D3752" s="8"/>
      <c r="E3752" s="8"/>
      <c r="F3752" s="8"/>
      <c r="G3752" s="10" t="str">
        <f aca="false">IF($A3752="","",UPPER(SUBSTITUTE(SUBSTITUTE(SUBSTITUTE(SUBSTITUTE($A3752," ",""),"(주)",""),"주식회사",""),"㈜","")))</f>
        <v/>
      </c>
      <c r="H3752" s="10" t="str">
        <f aca="false">IF($B3752="","",SUBSTITUTE(SUBSTITUTE(SUBSTITUTE($B3752,"-","")," ",""),".",""))</f>
        <v/>
      </c>
      <c r="I3752" s="10" t="str">
        <f aca="false">IF($D3752="","",SUBSTITUTE(SUBSTITUTE(SUBSTITUTE($D3752,"-","")," ",""),".",""))</f>
        <v/>
      </c>
      <c r="J3752" s="10" t="str">
        <f aca="false">IF($E3752="","",UPPER(SUBSTITUTE($E3752," ","")))</f>
        <v/>
      </c>
      <c r="K3752" s="10" t="str">
        <f aca="false">IF($A3752="","",$G3752&amp;"|"&amp;$J3752)</f>
        <v/>
      </c>
      <c r="L3752" s="10" t="str">
        <f aca="false">IF($A3752="","",ROW()-2)</f>
        <v/>
      </c>
      <c r="M3752" s="10" t="str">
        <f aca="false">IF($A3752="","",ROW())</f>
        <v/>
      </c>
    </row>
    <row r="3753" customFormat="false" ht="15" hidden="false" customHeight="true" outlineLevel="0" collapsed="false">
      <c r="A3753" s="8"/>
      <c r="B3753" s="8"/>
      <c r="C3753" s="8"/>
      <c r="D3753" s="8"/>
      <c r="E3753" s="8"/>
      <c r="F3753" s="8"/>
      <c r="G3753" s="10" t="str">
        <f aca="false">IF($A3753="","",UPPER(SUBSTITUTE(SUBSTITUTE(SUBSTITUTE(SUBSTITUTE($A3753," ",""),"(주)",""),"주식회사",""),"㈜","")))</f>
        <v/>
      </c>
      <c r="H3753" s="10" t="str">
        <f aca="false">IF($B3753="","",SUBSTITUTE(SUBSTITUTE(SUBSTITUTE($B3753,"-","")," ",""),".",""))</f>
        <v/>
      </c>
      <c r="I3753" s="10" t="str">
        <f aca="false">IF($D3753="","",SUBSTITUTE(SUBSTITUTE(SUBSTITUTE($D3753,"-","")," ",""),".",""))</f>
        <v/>
      </c>
      <c r="J3753" s="10" t="str">
        <f aca="false">IF($E3753="","",UPPER(SUBSTITUTE($E3753," ","")))</f>
        <v/>
      </c>
      <c r="K3753" s="10" t="str">
        <f aca="false">IF($A3753="","",$G3753&amp;"|"&amp;$J3753)</f>
        <v/>
      </c>
      <c r="L3753" s="10" t="str">
        <f aca="false">IF($A3753="","",ROW()-2)</f>
        <v/>
      </c>
      <c r="M3753" s="10" t="str">
        <f aca="false">IF($A3753="","",ROW())</f>
        <v/>
      </c>
    </row>
    <row r="3754" customFormat="false" ht="15" hidden="false" customHeight="true" outlineLevel="0" collapsed="false">
      <c r="A3754" s="8"/>
      <c r="B3754" s="8"/>
      <c r="C3754" s="8"/>
      <c r="D3754" s="8"/>
      <c r="E3754" s="8"/>
      <c r="F3754" s="8"/>
      <c r="G3754" s="10" t="str">
        <f aca="false">IF($A3754="","",UPPER(SUBSTITUTE(SUBSTITUTE(SUBSTITUTE(SUBSTITUTE($A3754," ",""),"(주)",""),"주식회사",""),"㈜","")))</f>
        <v/>
      </c>
      <c r="H3754" s="10" t="str">
        <f aca="false">IF($B3754="","",SUBSTITUTE(SUBSTITUTE(SUBSTITUTE($B3754,"-","")," ",""),".",""))</f>
        <v/>
      </c>
      <c r="I3754" s="10" t="str">
        <f aca="false">IF($D3754="","",SUBSTITUTE(SUBSTITUTE(SUBSTITUTE($D3754,"-","")," ",""),".",""))</f>
        <v/>
      </c>
      <c r="J3754" s="10" t="str">
        <f aca="false">IF($E3754="","",UPPER(SUBSTITUTE($E3754," ","")))</f>
        <v/>
      </c>
      <c r="K3754" s="10" t="str">
        <f aca="false">IF($A3754="","",$G3754&amp;"|"&amp;$J3754)</f>
        <v/>
      </c>
      <c r="L3754" s="10" t="str">
        <f aca="false">IF($A3754="","",ROW()-2)</f>
        <v/>
      </c>
      <c r="M3754" s="10" t="str">
        <f aca="false">IF($A3754="","",ROW())</f>
        <v/>
      </c>
    </row>
    <row r="3755" customFormat="false" ht="15" hidden="false" customHeight="true" outlineLevel="0" collapsed="false">
      <c r="A3755" s="8"/>
      <c r="B3755" s="8"/>
      <c r="C3755" s="8"/>
      <c r="D3755" s="8"/>
      <c r="E3755" s="8"/>
      <c r="F3755" s="8"/>
      <c r="G3755" s="10" t="str">
        <f aca="false">IF($A3755="","",UPPER(SUBSTITUTE(SUBSTITUTE(SUBSTITUTE(SUBSTITUTE($A3755," ",""),"(주)",""),"주식회사",""),"㈜","")))</f>
        <v/>
      </c>
      <c r="H3755" s="10" t="str">
        <f aca="false">IF($B3755="","",SUBSTITUTE(SUBSTITUTE(SUBSTITUTE($B3755,"-","")," ",""),".",""))</f>
        <v/>
      </c>
      <c r="I3755" s="10" t="str">
        <f aca="false">IF($D3755="","",SUBSTITUTE(SUBSTITUTE(SUBSTITUTE($D3755,"-","")," ",""),".",""))</f>
        <v/>
      </c>
      <c r="J3755" s="10" t="str">
        <f aca="false">IF($E3755="","",UPPER(SUBSTITUTE($E3755," ","")))</f>
        <v/>
      </c>
      <c r="K3755" s="10" t="str">
        <f aca="false">IF($A3755="","",$G3755&amp;"|"&amp;$J3755)</f>
        <v/>
      </c>
      <c r="L3755" s="10" t="str">
        <f aca="false">IF($A3755="","",ROW()-2)</f>
        <v/>
      </c>
      <c r="M3755" s="10" t="str">
        <f aca="false">IF($A3755="","",ROW())</f>
        <v/>
      </c>
    </row>
    <row r="3756" customFormat="false" ht="15" hidden="false" customHeight="true" outlineLevel="0" collapsed="false">
      <c r="A3756" s="8"/>
      <c r="B3756" s="8"/>
      <c r="C3756" s="8"/>
      <c r="D3756" s="8"/>
      <c r="E3756" s="8"/>
      <c r="F3756" s="8"/>
      <c r="G3756" s="10" t="str">
        <f aca="false">IF($A3756="","",UPPER(SUBSTITUTE(SUBSTITUTE(SUBSTITUTE(SUBSTITUTE($A3756," ",""),"(주)",""),"주식회사",""),"㈜","")))</f>
        <v/>
      </c>
      <c r="H3756" s="10" t="str">
        <f aca="false">IF($B3756="","",SUBSTITUTE(SUBSTITUTE(SUBSTITUTE($B3756,"-","")," ",""),".",""))</f>
        <v/>
      </c>
      <c r="I3756" s="10" t="str">
        <f aca="false">IF($D3756="","",SUBSTITUTE(SUBSTITUTE(SUBSTITUTE($D3756,"-","")," ",""),".",""))</f>
        <v/>
      </c>
      <c r="J3756" s="10" t="str">
        <f aca="false">IF($E3756="","",UPPER(SUBSTITUTE($E3756," ","")))</f>
        <v/>
      </c>
      <c r="K3756" s="10" t="str">
        <f aca="false">IF($A3756="","",$G3756&amp;"|"&amp;$J3756)</f>
        <v/>
      </c>
      <c r="L3756" s="10" t="str">
        <f aca="false">IF($A3756="","",ROW()-2)</f>
        <v/>
      </c>
      <c r="M3756" s="10" t="str">
        <f aca="false">IF($A3756="","",ROW())</f>
        <v/>
      </c>
    </row>
    <row r="3757" customFormat="false" ht="15" hidden="false" customHeight="true" outlineLevel="0" collapsed="false">
      <c r="A3757" s="8"/>
      <c r="B3757" s="8"/>
      <c r="C3757" s="8"/>
      <c r="D3757" s="8"/>
      <c r="E3757" s="8"/>
      <c r="F3757" s="8"/>
      <c r="G3757" s="10" t="str">
        <f aca="false">IF($A3757="","",UPPER(SUBSTITUTE(SUBSTITUTE(SUBSTITUTE(SUBSTITUTE($A3757," ",""),"(주)",""),"주식회사",""),"㈜","")))</f>
        <v/>
      </c>
      <c r="H3757" s="10" t="str">
        <f aca="false">IF($B3757="","",SUBSTITUTE(SUBSTITUTE(SUBSTITUTE($B3757,"-","")," ",""),".",""))</f>
        <v/>
      </c>
      <c r="I3757" s="10" t="str">
        <f aca="false">IF($D3757="","",SUBSTITUTE(SUBSTITUTE(SUBSTITUTE($D3757,"-","")," ",""),".",""))</f>
        <v/>
      </c>
      <c r="J3757" s="10" t="str">
        <f aca="false">IF($E3757="","",UPPER(SUBSTITUTE($E3757," ","")))</f>
        <v/>
      </c>
      <c r="K3757" s="10" t="str">
        <f aca="false">IF($A3757="","",$G3757&amp;"|"&amp;$J3757)</f>
        <v/>
      </c>
      <c r="L3757" s="10" t="str">
        <f aca="false">IF($A3757="","",ROW()-2)</f>
        <v/>
      </c>
      <c r="M3757" s="10" t="str">
        <f aca="false">IF($A3757="","",ROW())</f>
        <v/>
      </c>
    </row>
    <row r="3758" customFormat="false" ht="15" hidden="false" customHeight="true" outlineLevel="0" collapsed="false">
      <c r="A3758" s="8"/>
      <c r="B3758" s="8"/>
      <c r="C3758" s="8"/>
      <c r="D3758" s="8"/>
      <c r="E3758" s="8"/>
      <c r="F3758" s="8"/>
      <c r="G3758" s="10" t="str">
        <f aca="false">IF($A3758="","",UPPER(SUBSTITUTE(SUBSTITUTE(SUBSTITUTE(SUBSTITUTE($A3758," ",""),"(주)",""),"주식회사",""),"㈜","")))</f>
        <v/>
      </c>
      <c r="H3758" s="10" t="str">
        <f aca="false">IF($B3758="","",SUBSTITUTE(SUBSTITUTE(SUBSTITUTE($B3758,"-","")," ",""),".",""))</f>
        <v/>
      </c>
      <c r="I3758" s="10" t="str">
        <f aca="false">IF($D3758="","",SUBSTITUTE(SUBSTITUTE(SUBSTITUTE($D3758,"-","")," ",""),".",""))</f>
        <v/>
      </c>
      <c r="J3758" s="10" t="str">
        <f aca="false">IF($E3758="","",UPPER(SUBSTITUTE($E3758," ","")))</f>
        <v/>
      </c>
      <c r="K3758" s="10" t="str">
        <f aca="false">IF($A3758="","",$G3758&amp;"|"&amp;$J3758)</f>
        <v/>
      </c>
      <c r="L3758" s="10" t="str">
        <f aca="false">IF($A3758="","",ROW()-2)</f>
        <v/>
      </c>
      <c r="M3758" s="10" t="str">
        <f aca="false">IF($A3758="","",ROW())</f>
        <v/>
      </c>
    </row>
    <row r="3759" customFormat="false" ht="15" hidden="false" customHeight="true" outlineLevel="0" collapsed="false">
      <c r="A3759" s="8"/>
      <c r="B3759" s="8"/>
      <c r="C3759" s="8"/>
      <c r="D3759" s="8"/>
      <c r="E3759" s="8"/>
      <c r="F3759" s="8"/>
      <c r="G3759" s="10" t="str">
        <f aca="false">IF($A3759="","",UPPER(SUBSTITUTE(SUBSTITUTE(SUBSTITUTE(SUBSTITUTE($A3759," ",""),"(주)",""),"주식회사",""),"㈜","")))</f>
        <v/>
      </c>
      <c r="H3759" s="10" t="str">
        <f aca="false">IF($B3759="","",SUBSTITUTE(SUBSTITUTE(SUBSTITUTE($B3759,"-","")," ",""),".",""))</f>
        <v/>
      </c>
      <c r="I3759" s="10" t="str">
        <f aca="false">IF($D3759="","",SUBSTITUTE(SUBSTITUTE(SUBSTITUTE($D3759,"-","")," ",""),".",""))</f>
        <v/>
      </c>
      <c r="J3759" s="10" t="str">
        <f aca="false">IF($E3759="","",UPPER(SUBSTITUTE($E3759," ","")))</f>
        <v/>
      </c>
      <c r="K3759" s="10" t="str">
        <f aca="false">IF($A3759="","",$G3759&amp;"|"&amp;$J3759)</f>
        <v/>
      </c>
      <c r="L3759" s="10" t="str">
        <f aca="false">IF($A3759="","",ROW()-2)</f>
        <v/>
      </c>
      <c r="M3759" s="10" t="str">
        <f aca="false">IF($A3759="","",ROW())</f>
        <v/>
      </c>
    </row>
    <row r="3760" customFormat="false" ht="15" hidden="false" customHeight="true" outlineLevel="0" collapsed="false">
      <c r="A3760" s="8"/>
      <c r="B3760" s="8"/>
      <c r="C3760" s="8"/>
      <c r="D3760" s="8"/>
      <c r="E3760" s="8"/>
      <c r="F3760" s="8"/>
      <c r="G3760" s="10" t="str">
        <f aca="false">IF($A3760="","",UPPER(SUBSTITUTE(SUBSTITUTE(SUBSTITUTE(SUBSTITUTE($A3760," ",""),"(주)",""),"주식회사",""),"㈜","")))</f>
        <v/>
      </c>
      <c r="H3760" s="10" t="str">
        <f aca="false">IF($B3760="","",SUBSTITUTE(SUBSTITUTE(SUBSTITUTE($B3760,"-","")," ",""),".",""))</f>
        <v/>
      </c>
      <c r="I3760" s="10" t="str">
        <f aca="false">IF($D3760="","",SUBSTITUTE(SUBSTITUTE(SUBSTITUTE($D3760,"-","")," ",""),".",""))</f>
        <v/>
      </c>
      <c r="J3760" s="10" t="str">
        <f aca="false">IF($E3760="","",UPPER(SUBSTITUTE($E3760," ","")))</f>
        <v/>
      </c>
      <c r="K3760" s="10" t="str">
        <f aca="false">IF($A3760="","",$G3760&amp;"|"&amp;$J3760)</f>
        <v/>
      </c>
      <c r="L3760" s="10" t="str">
        <f aca="false">IF($A3760="","",ROW()-2)</f>
        <v/>
      </c>
      <c r="M3760" s="10" t="str">
        <f aca="false">IF($A3760="","",ROW())</f>
        <v/>
      </c>
    </row>
    <row r="3761" customFormat="false" ht="15" hidden="false" customHeight="true" outlineLevel="0" collapsed="false">
      <c r="A3761" s="8"/>
      <c r="B3761" s="8"/>
      <c r="C3761" s="8"/>
      <c r="D3761" s="8"/>
      <c r="E3761" s="8"/>
      <c r="F3761" s="8"/>
      <c r="G3761" s="10" t="str">
        <f aca="false">IF($A3761="","",UPPER(SUBSTITUTE(SUBSTITUTE(SUBSTITUTE(SUBSTITUTE($A3761," ",""),"(주)",""),"주식회사",""),"㈜","")))</f>
        <v/>
      </c>
      <c r="H3761" s="10" t="str">
        <f aca="false">IF($B3761="","",SUBSTITUTE(SUBSTITUTE(SUBSTITUTE($B3761,"-","")," ",""),".",""))</f>
        <v/>
      </c>
      <c r="I3761" s="10" t="str">
        <f aca="false">IF($D3761="","",SUBSTITUTE(SUBSTITUTE(SUBSTITUTE($D3761,"-","")," ",""),".",""))</f>
        <v/>
      </c>
      <c r="J3761" s="10" t="str">
        <f aca="false">IF($E3761="","",UPPER(SUBSTITUTE($E3761," ","")))</f>
        <v/>
      </c>
      <c r="K3761" s="10" t="str">
        <f aca="false">IF($A3761="","",$G3761&amp;"|"&amp;$J3761)</f>
        <v/>
      </c>
      <c r="L3761" s="10" t="str">
        <f aca="false">IF($A3761="","",ROW()-2)</f>
        <v/>
      </c>
      <c r="M3761" s="10" t="str">
        <f aca="false">IF($A3761="","",ROW())</f>
        <v/>
      </c>
    </row>
    <row r="3762" customFormat="false" ht="15" hidden="false" customHeight="true" outlineLevel="0" collapsed="false">
      <c r="A3762" s="8"/>
      <c r="B3762" s="8"/>
      <c r="C3762" s="8"/>
      <c r="D3762" s="8"/>
      <c r="E3762" s="8"/>
      <c r="F3762" s="8"/>
      <c r="G3762" s="10" t="str">
        <f aca="false">IF($A3762="","",UPPER(SUBSTITUTE(SUBSTITUTE(SUBSTITUTE(SUBSTITUTE($A3762," ",""),"(주)",""),"주식회사",""),"㈜","")))</f>
        <v/>
      </c>
      <c r="H3762" s="10" t="str">
        <f aca="false">IF($B3762="","",SUBSTITUTE(SUBSTITUTE(SUBSTITUTE($B3762,"-","")," ",""),".",""))</f>
        <v/>
      </c>
      <c r="I3762" s="10" t="str">
        <f aca="false">IF($D3762="","",SUBSTITUTE(SUBSTITUTE(SUBSTITUTE($D3762,"-","")," ",""),".",""))</f>
        <v/>
      </c>
      <c r="J3762" s="10" t="str">
        <f aca="false">IF($E3762="","",UPPER(SUBSTITUTE($E3762," ","")))</f>
        <v/>
      </c>
      <c r="K3762" s="10" t="str">
        <f aca="false">IF($A3762="","",$G3762&amp;"|"&amp;$J3762)</f>
        <v/>
      </c>
      <c r="L3762" s="10" t="str">
        <f aca="false">IF($A3762="","",ROW()-2)</f>
        <v/>
      </c>
      <c r="M3762" s="10" t="str">
        <f aca="false">IF($A3762="","",ROW())</f>
        <v/>
      </c>
    </row>
    <row r="3763" customFormat="false" ht="15" hidden="false" customHeight="true" outlineLevel="0" collapsed="false">
      <c r="A3763" s="8"/>
      <c r="B3763" s="8"/>
      <c r="C3763" s="8"/>
      <c r="D3763" s="8"/>
      <c r="E3763" s="8"/>
      <c r="F3763" s="8"/>
      <c r="G3763" s="10" t="str">
        <f aca="false">IF($A3763="","",UPPER(SUBSTITUTE(SUBSTITUTE(SUBSTITUTE(SUBSTITUTE($A3763," ",""),"(주)",""),"주식회사",""),"㈜","")))</f>
        <v/>
      </c>
      <c r="H3763" s="10" t="str">
        <f aca="false">IF($B3763="","",SUBSTITUTE(SUBSTITUTE(SUBSTITUTE($B3763,"-","")," ",""),".",""))</f>
        <v/>
      </c>
      <c r="I3763" s="10" t="str">
        <f aca="false">IF($D3763="","",SUBSTITUTE(SUBSTITUTE(SUBSTITUTE($D3763,"-","")," ",""),".",""))</f>
        <v/>
      </c>
      <c r="J3763" s="10" t="str">
        <f aca="false">IF($E3763="","",UPPER(SUBSTITUTE($E3763," ","")))</f>
        <v/>
      </c>
      <c r="K3763" s="10" t="str">
        <f aca="false">IF($A3763="","",$G3763&amp;"|"&amp;$J3763)</f>
        <v/>
      </c>
      <c r="L3763" s="10" t="str">
        <f aca="false">IF($A3763="","",ROW()-2)</f>
        <v/>
      </c>
      <c r="M3763" s="10" t="str">
        <f aca="false">IF($A3763="","",ROW())</f>
        <v/>
      </c>
    </row>
    <row r="3764" customFormat="false" ht="15" hidden="false" customHeight="true" outlineLevel="0" collapsed="false">
      <c r="A3764" s="8"/>
      <c r="B3764" s="8"/>
      <c r="C3764" s="8"/>
      <c r="D3764" s="8"/>
      <c r="E3764" s="8"/>
      <c r="F3764" s="8"/>
      <c r="G3764" s="10" t="str">
        <f aca="false">IF($A3764="","",UPPER(SUBSTITUTE(SUBSTITUTE(SUBSTITUTE(SUBSTITUTE($A3764," ",""),"(주)",""),"주식회사",""),"㈜","")))</f>
        <v/>
      </c>
      <c r="H3764" s="10" t="str">
        <f aca="false">IF($B3764="","",SUBSTITUTE(SUBSTITUTE(SUBSTITUTE($B3764,"-","")," ",""),".",""))</f>
        <v/>
      </c>
      <c r="I3764" s="10" t="str">
        <f aca="false">IF($D3764="","",SUBSTITUTE(SUBSTITUTE(SUBSTITUTE($D3764,"-","")," ",""),".",""))</f>
        <v/>
      </c>
      <c r="J3764" s="10" t="str">
        <f aca="false">IF($E3764="","",UPPER(SUBSTITUTE($E3764," ","")))</f>
        <v/>
      </c>
      <c r="K3764" s="10" t="str">
        <f aca="false">IF($A3764="","",$G3764&amp;"|"&amp;$J3764)</f>
        <v/>
      </c>
      <c r="L3764" s="10" t="str">
        <f aca="false">IF($A3764="","",ROW()-2)</f>
        <v/>
      </c>
      <c r="M3764" s="10" t="str">
        <f aca="false">IF($A3764="","",ROW())</f>
        <v/>
      </c>
    </row>
    <row r="3765" customFormat="false" ht="15" hidden="false" customHeight="true" outlineLevel="0" collapsed="false">
      <c r="A3765" s="8"/>
      <c r="B3765" s="8"/>
      <c r="C3765" s="8"/>
      <c r="D3765" s="8"/>
      <c r="E3765" s="8"/>
      <c r="F3765" s="8"/>
      <c r="G3765" s="10" t="str">
        <f aca="false">IF($A3765="","",UPPER(SUBSTITUTE(SUBSTITUTE(SUBSTITUTE(SUBSTITUTE($A3765," ",""),"(주)",""),"주식회사",""),"㈜","")))</f>
        <v/>
      </c>
      <c r="H3765" s="10" t="str">
        <f aca="false">IF($B3765="","",SUBSTITUTE(SUBSTITUTE(SUBSTITUTE($B3765,"-","")," ",""),".",""))</f>
        <v/>
      </c>
      <c r="I3765" s="10" t="str">
        <f aca="false">IF($D3765="","",SUBSTITUTE(SUBSTITUTE(SUBSTITUTE($D3765,"-","")," ",""),".",""))</f>
        <v/>
      </c>
      <c r="J3765" s="10" t="str">
        <f aca="false">IF($E3765="","",UPPER(SUBSTITUTE($E3765," ","")))</f>
        <v/>
      </c>
      <c r="K3765" s="10" t="str">
        <f aca="false">IF($A3765="","",$G3765&amp;"|"&amp;$J3765)</f>
        <v/>
      </c>
      <c r="L3765" s="10" t="str">
        <f aca="false">IF($A3765="","",ROW()-2)</f>
        <v/>
      </c>
      <c r="M3765" s="10" t="str">
        <f aca="false">IF($A3765="","",ROW())</f>
        <v/>
      </c>
    </row>
    <row r="3766" customFormat="false" ht="15" hidden="false" customHeight="true" outlineLevel="0" collapsed="false">
      <c r="A3766" s="8"/>
      <c r="B3766" s="8"/>
      <c r="C3766" s="8"/>
      <c r="D3766" s="8"/>
      <c r="E3766" s="8"/>
      <c r="F3766" s="8"/>
      <c r="G3766" s="10" t="str">
        <f aca="false">IF($A3766="","",UPPER(SUBSTITUTE(SUBSTITUTE(SUBSTITUTE(SUBSTITUTE($A3766," ",""),"(주)",""),"주식회사",""),"㈜","")))</f>
        <v/>
      </c>
      <c r="H3766" s="10" t="str">
        <f aca="false">IF($B3766="","",SUBSTITUTE(SUBSTITUTE(SUBSTITUTE($B3766,"-","")," ",""),".",""))</f>
        <v/>
      </c>
      <c r="I3766" s="10" t="str">
        <f aca="false">IF($D3766="","",SUBSTITUTE(SUBSTITUTE(SUBSTITUTE($D3766,"-","")," ",""),".",""))</f>
        <v/>
      </c>
      <c r="J3766" s="10" t="str">
        <f aca="false">IF($E3766="","",UPPER(SUBSTITUTE($E3766," ","")))</f>
        <v/>
      </c>
      <c r="K3766" s="10" t="str">
        <f aca="false">IF($A3766="","",$G3766&amp;"|"&amp;$J3766)</f>
        <v/>
      </c>
      <c r="L3766" s="10" t="str">
        <f aca="false">IF($A3766="","",ROW()-2)</f>
        <v/>
      </c>
      <c r="M3766" s="10" t="str">
        <f aca="false">IF($A3766="","",ROW())</f>
        <v/>
      </c>
    </row>
    <row r="3767" customFormat="false" ht="15" hidden="false" customHeight="true" outlineLevel="0" collapsed="false">
      <c r="A3767" s="8"/>
      <c r="B3767" s="8"/>
      <c r="C3767" s="8"/>
      <c r="D3767" s="8"/>
      <c r="E3767" s="8"/>
      <c r="F3767" s="8"/>
      <c r="G3767" s="10" t="str">
        <f aca="false">IF($A3767="","",UPPER(SUBSTITUTE(SUBSTITUTE(SUBSTITUTE(SUBSTITUTE($A3767," ",""),"(주)",""),"주식회사",""),"㈜","")))</f>
        <v/>
      </c>
      <c r="H3767" s="10" t="str">
        <f aca="false">IF($B3767="","",SUBSTITUTE(SUBSTITUTE(SUBSTITUTE($B3767,"-","")," ",""),".",""))</f>
        <v/>
      </c>
      <c r="I3767" s="10" t="str">
        <f aca="false">IF($D3767="","",SUBSTITUTE(SUBSTITUTE(SUBSTITUTE($D3767,"-","")," ",""),".",""))</f>
        <v/>
      </c>
      <c r="J3767" s="10" t="str">
        <f aca="false">IF($E3767="","",UPPER(SUBSTITUTE($E3767," ","")))</f>
        <v/>
      </c>
      <c r="K3767" s="10" t="str">
        <f aca="false">IF($A3767="","",$G3767&amp;"|"&amp;$J3767)</f>
        <v/>
      </c>
      <c r="L3767" s="10" t="str">
        <f aca="false">IF($A3767="","",ROW()-2)</f>
        <v/>
      </c>
      <c r="M3767" s="10" t="str">
        <f aca="false">IF($A3767="","",ROW())</f>
        <v/>
      </c>
    </row>
    <row r="3768" customFormat="false" ht="15" hidden="false" customHeight="true" outlineLevel="0" collapsed="false">
      <c r="A3768" s="8"/>
      <c r="B3768" s="8"/>
      <c r="C3768" s="8"/>
      <c r="D3768" s="8"/>
      <c r="E3768" s="8"/>
      <c r="F3768" s="8"/>
      <c r="G3768" s="10" t="str">
        <f aca="false">IF($A3768="","",UPPER(SUBSTITUTE(SUBSTITUTE(SUBSTITUTE(SUBSTITUTE($A3768," ",""),"(주)",""),"주식회사",""),"㈜","")))</f>
        <v/>
      </c>
      <c r="H3768" s="10" t="str">
        <f aca="false">IF($B3768="","",SUBSTITUTE(SUBSTITUTE(SUBSTITUTE($B3768,"-","")," ",""),".",""))</f>
        <v/>
      </c>
      <c r="I3768" s="10" t="str">
        <f aca="false">IF($D3768="","",SUBSTITUTE(SUBSTITUTE(SUBSTITUTE($D3768,"-","")," ",""),".",""))</f>
        <v/>
      </c>
      <c r="J3768" s="10" t="str">
        <f aca="false">IF($E3768="","",UPPER(SUBSTITUTE($E3768," ","")))</f>
        <v/>
      </c>
      <c r="K3768" s="10" t="str">
        <f aca="false">IF($A3768="","",$G3768&amp;"|"&amp;$J3768)</f>
        <v/>
      </c>
      <c r="L3768" s="10" t="str">
        <f aca="false">IF($A3768="","",ROW()-2)</f>
        <v/>
      </c>
      <c r="M3768" s="10" t="str">
        <f aca="false">IF($A3768="","",ROW())</f>
        <v/>
      </c>
    </row>
    <row r="3769" customFormat="false" ht="15" hidden="false" customHeight="true" outlineLevel="0" collapsed="false">
      <c r="A3769" s="8"/>
      <c r="B3769" s="8"/>
      <c r="C3769" s="8"/>
      <c r="D3769" s="8"/>
      <c r="E3769" s="8"/>
      <c r="F3769" s="8"/>
      <c r="G3769" s="10" t="str">
        <f aca="false">IF($A3769="","",UPPER(SUBSTITUTE(SUBSTITUTE(SUBSTITUTE(SUBSTITUTE($A3769," ",""),"(주)",""),"주식회사",""),"㈜","")))</f>
        <v/>
      </c>
      <c r="H3769" s="10" t="str">
        <f aca="false">IF($B3769="","",SUBSTITUTE(SUBSTITUTE(SUBSTITUTE($B3769,"-","")," ",""),".",""))</f>
        <v/>
      </c>
      <c r="I3769" s="10" t="str">
        <f aca="false">IF($D3769="","",SUBSTITUTE(SUBSTITUTE(SUBSTITUTE($D3769,"-","")," ",""),".",""))</f>
        <v/>
      </c>
      <c r="J3769" s="10" t="str">
        <f aca="false">IF($E3769="","",UPPER(SUBSTITUTE($E3769," ","")))</f>
        <v/>
      </c>
      <c r="K3769" s="10" t="str">
        <f aca="false">IF($A3769="","",$G3769&amp;"|"&amp;$J3769)</f>
        <v/>
      </c>
      <c r="L3769" s="10" t="str">
        <f aca="false">IF($A3769="","",ROW()-2)</f>
        <v/>
      </c>
      <c r="M3769" s="10" t="str">
        <f aca="false">IF($A3769="","",ROW())</f>
        <v/>
      </c>
    </row>
    <row r="3770" customFormat="false" ht="15" hidden="false" customHeight="true" outlineLevel="0" collapsed="false">
      <c r="A3770" s="8"/>
      <c r="B3770" s="8"/>
      <c r="C3770" s="8"/>
      <c r="D3770" s="8"/>
      <c r="E3770" s="8"/>
      <c r="F3770" s="8"/>
      <c r="G3770" s="10" t="str">
        <f aca="false">IF($A3770="","",UPPER(SUBSTITUTE(SUBSTITUTE(SUBSTITUTE(SUBSTITUTE($A3770," ",""),"(주)",""),"주식회사",""),"㈜","")))</f>
        <v/>
      </c>
      <c r="H3770" s="10" t="str">
        <f aca="false">IF($B3770="","",SUBSTITUTE(SUBSTITUTE(SUBSTITUTE($B3770,"-","")," ",""),".",""))</f>
        <v/>
      </c>
      <c r="I3770" s="10" t="str">
        <f aca="false">IF($D3770="","",SUBSTITUTE(SUBSTITUTE(SUBSTITUTE($D3770,"-","")," ",""),".",""))</f>
        <v/>
      </c>
      <c r="J3770" s="10" t="str">
        <f aca="false">IF($E3770="","",UPPER(SUBSTITUTE($E3770," ","")))</f>
        <v/>
      </c>
      <c r="K3770" s="10" t="str">
        <f aca="false">IF($A3770="","",$G3770&amp;"|"&amp;$J3770)</f>
        <v/>
      </c>
      <c r="L3770" s="10" t="str">
        <f aca="false">IF($A3770="","",ROW()-2)</f>
        <v/>
      </c>
      <c r="M3770" s="10" t="str">
        <f aca="false">IF($A3770="","",ROW())</f>
        <v/>
      </c>
    </row>
    <row r="3771" customFormat="false" ht="15" hidden="false" customHeight="true" outlineLevel="0" collapsed="false">
      <c r="A3771" s="8"/>
      <c r="B3771" s="8"/>
      <c r="C3771" s="8"/>
      <c r="D3771" s="8"/>
      <c r="E3771" s="8"/>
      <c r="F3771" s="8"/>
      <c r="G3771" s="10" t="str">
        <f aca="false">IF($A3771="","",UPPER(SUBSTITUTE(SUBSTITUTE(SUBSTITUTE(SUBSTITUTE($A3771," ",""),"(주)",""),"주식회사",""),"㈜","")))</f>
        <v/>
      </c>
      <c r="H3771" s="10" t="str">
        <f aca="false">IF($B3771="","",SUBSTITUTE(SUBSTITUTE(SUBSTITUTE($B3771,"-","")," ",""),".",""))</f>
        <v/>
      </c>
      <c r="I3771" s="10" t="str">
        <f aca="false">IF($D3771="","",SUBSTITUTE(SUBSTITUTE(SUBSTITUTE($D3771,"-","")," ",""),".",""))</f>
        <v/>
      </c>
      <c r="J3771" s="10" t="str">
        <f aca="false">IF($E3771="","",UPPER(SUBSTITUTE($E3771," ","")))</f>
        <v/>
      </c>
      <c r="K3771" s="10" t="str">
        <f aca="false">IF($A3771="","",$G3771&amp;"|"&amp;$J3771)</f>
        <v/>
      </c>
      <c r="L3771" s="10" t="str">
        <f aca="false">IF($A3771="","",ROW()-2)</f>
        <v/>
      </c>
      <c r="M3771" s="10" t="str">
        <f aca="false">IF($A3771="","",ROW())</f>
        <v/>
      </c>
    </row>
    <row r="3772" customFormat="false" ht="15" hidden="false" customHeight="true" outlineLevel="0" collapsed="false">
      <c r="A3772" s="8"/>
      <c r="B3772" s="8"/>
      <c r="C3772" s="8"/>
      <c r="D3772" s="8"/>
      <c r="E3772" s="8"/>
      <c r="F3772" s="8"/>
      <c r="G3772" s="10" t="str">
        <f aca="false">IF($A3772="","",UPPER(SUBSTITUTE(SUBSTITUTE(SUBSTITUTE(SUBSTITUTE($A3772," ",""),"(주)",""),"주식회사",""),"㈜","")))</f>
        <v/>
      </c>
      <c r="H3772" s="10" t="str">
        <f aca="false">IF($B3772="","",SUBSTITUTE(SUBSTITUTE(SUBSTITUTE($B3772,"-","")," ",""),".",""))</f>
        <v/>
      </c>
      <c r="I3772" s="10" t="str">
        <f aca="false">IF($D3772="","",SUBSTITUTE(SUBSTITUTE(SUBSTITUTE($D3772,"-","")," ",""),".",""))</f>
        <v/>
      </c>
      <c r="J3772" s="10" t="str">
        <f aca="false">IF($E3772="","",UPPER(SUBSTITUTE($E3772," ","")))</f>
        <v/>
      </c>
      <c r="K3772" s="10" t="str">
        <f aca="false">IF($A3772="","",$G3772&amp;"|"&amp;$J3772)</f>
        <v/>
      </c>
      <c r="L3772" s="10" t="str">
        <f aca="false">IF($A3772="","",ROW()-2)</f>
        <v/>
      </c>
      <c r="M3772" s="10" t="str">
        <f aca="false">IF($A3772="","",ROW())</f>
        <v/>
      </c>
    </row>
    <row r="3773" customFormat="false" ht="15" hidden="false" customHeight="true" outlineLevel="0" collapsed="false">
      <c r="A3773" s="8"/>
      <c r="B3773" s="8"/>
      <c r="C3773" s="8"/>
      <c r="D3773" s="8"/>
      <c r="E3773" s="8"/>
      <c r="F3773" s="8"/>
      <c r="G3773" s="10" t="str">
        <f aca="false">IF($A3773="","",UPPER(SUBSTITUTE(SUBSTITUTE(SUBSTITUTE(SUBSTITUTE($A3773," ",""),"(주)",""),"주식회사",""),"㈜","")))</f>
        <v/>
      </c>
      <c r="H3773" s="10" t="str">
        <f aca="false">IF($B3773="","",SUBSTITUTE(SUBSTITUTE(SUBSTITUTE($B3773,"-","")," ",""),".",""))</f>
        <v/>
      </c>
      <c r="I3773" s="10" t="str">
        <f aca="false">IF($D3773="","",SUBSTITUTE(SUBSTITUTE(SUBSTITUTE($D3773,"-","")," ",""),".",""))</f>
        <v/>
      </c>
      <c r="J3773" s="10" t="str">
        <f aca="false">IF($E3773="","",UPPER(SUBSTITUTE($E3773," ","")))</f>
        <v/>
      </c>
      <c r="K3773" s="10" t="str">
        <f aca="false">IF($A3773="","",$G3773&amp;"|"&amp;$J3773)</f>
        <v/>
      </c>
      <c r="L3773" s="10" t="str">
        <f aca="false">IF($A3773="","",ROW()-2)</f>
        <v/>
      </c>
      <c r="M3773" s="10" t="str">
        <f aca="false">IF($A3773="","",ROW())</f>
        <v/>
      </c>
    </row>
    <row r="3774" customFormat="false" ht="15" hidden="false" customHeight="true" outlineLevel="0" collapsed="false">
      <c r="A3774" s="8"/>
      <c r="B3774" s="8"/>
      <c r="C3774" s="8"/>
      <c r="D3774" s="8"/>
      <c r="E3774" s="8"/>
      <c r="F3774" s="8"/>
      <c r="G3774" s="10" t="str">
        <f aca="false">IF($A3774="","",UPPER(SUBSTITUTE(SUBSTITUTE(SUBSTITUTE(SUBSTITUTE($A3774," ",""),"(주)",""),"주식회사",""),"㈜","")))</f>
        <v/>
      </c>
      <c r="H3774" s="10" t="str">
        <f aca="false">IF($B3774="","",SUBSTITUTE(SUBSTITUTE(SUBSTITUTE($B3774,"-","")," ",""),".",""))</f>
        <v/>
      </c>
      <c r="I3774" s="10" t="str">
        <f aca="false">IF($D3774="","",SUBSTITUTE(SUBSTITUTE(SUBSTITUTE($D3774,"-","")," ",""),".",""))</f>
        <v/>
      </c>
      <c r="J3774" s="10" t="str">
        <f aca="false">IF($E3774="","",UPPER(SUBSTITUTE($E3774," ","")))</f>
        <v/>
      </c>
      <c r="K3774" s="10" t="str">
        <f aca="false">IF($A3774="","",$G3774&amp;"|"&amp;$J3774)</f>
        <v/>
      </c>
      <c r="L3774" s="10" t="str">
        <f aca="false">IF($A3774="","",ROW()-2)</f>
        <v/>
      </c>
      <c r="M3774" s="10" t="str">
        <f aca="false">IF($A3774="","",ROW())</f>
        <v/>
      </c>
    </row>
    <row r="3775" customFormat="false" ht="15" hidden="false" customHeight="true" outlineLevel="0" collapsed="false">
      <c r="A3775" s="8"/>
      <c r="B3775" s="8"/>
      <c r="C3775" s="8"/>
      <c r="D3775" s="8"/>
      <c r="E3775" s="8"/>
      <c r="F3775" s="8"/>
      <c r="G3775" s="10" t="str">
        <f aca="false">IF($A3775="","",UPPER(SUBSTITUTE(SUBSTITUTE(SUBSTITUTE(SUBSTITUTE($A3775," ",""),"(주)",""),"주식회사",""),"㈜","")))</f>
        <v/>
      </c>
      <c r="H3775" s="10" t="str">
        <f aca="false">IF($B3775="","",SUBSTITUTE(SUBSTITUTE(SUBSTITUTE($B3775,"-","")," ",""),".",""))</f>
        <v/>
      </c>
      <c r="I3775" s="10" t="str">
        <f aca="false">IF($D3775="","",SUBSTITUTE(SUBSTITUTE(SUBSTITUTE($D3775,"-","")," ",""),".",""))</f>
        <v/>
      </c>
      <c r="J3775" s="10" t="str">
        <f aca="false">IF($E3775="","",UPPER(SUBSTITUTE($E3775," ","")))</f>
        <v/>
      </c>
      <c r="K3775" s="10" t="str">
        <f aca="false">IF($A3775="","",$G3775&amp;"|"&amp;$J3775)</f>
        <v/>
      </c>
      <c r="L3775" s="10" t="str">
        <f aca="false">IF($A3775="","",ROW()-2)</f>
        <v/>
      </c>
      <c r="M3775" s="10" t="str">
        <f aca="false">IF($A3775="","",ROW())</f>
        <v/>
      </c>
    </row>
    <row r="3776" customFormat="false" ht="15" hidden="false" customHeight="true" outlineLevel="0" collapsed="false">
      <c r="A3776" s="8"/>
      <c r="B3776" s="8"/>
      <c r="C3776" s="8"/>
      <c r="D3776" s="8"/>
      <c r="E3776" s="8"/>
      <c r="F3776" s="8"/>
      <c r="G3776" s="10" t="str">
        <f aca="false">IF($A3776="","",UPPER(SUBSTITUTE(SUBSTITUTE(SUBSTITUTE(SUBSTITUTE($A3776," ",""),"(주)",""),"주식회사",""),"㈜","")))</f>
        <v/>
      </c>
      <c r="H3776" s="10" t="str">
        <f aca="false">IF($B3776="","",SUBSTITUTE(SUBSTITUTE(SUBSTITUTE($B3776,"-","")," ",""),".",""))</f>
        <v/>
      </c>
      <c r="I3776" s="10" t="str">
        <f aca="false">IF($D3776="","",SUBSTITUTE(SUBSTITUTE(SUBSTITUTE($D3776,"-","")," ",""),".",""))</f>
        <v/>
      </c>
      <c r="J3776" s="10" t="str">
        <f aca="false">IF($E3776="","",UPPER(SUBSTITUTE($E3776," ","")))</f>
        <v/>
      </c>
      <c r="K3776" s="10" t="str">
        <f aca="false">IF($A3776="","",$G3776&amp;"|"&amp;$J3776)</f>
        <v/>
      </c>
      <c r="L3776" s="10" t="str">
        <f aca="false">IF($A3776="","",ROW()-2)</f>
        <v/>
      </c>
      <c r="M3776" s="10" t="str">
        <f aca="false">IF($A3776="","",ROW())</f>
        <v/>
      </c>
    </row>
    <row r="3777" customFormat="false" ht="15" hidden="false" customHeight="true" outlineLevel="0" collapsed="false">
      <c r="A3777" s="8"/>
      <c r="B3777" s="8"/>
      <c r="C3777" s="8"/>
      <c r="D3777" s="8"/>
      <c r="E3777" s="8"/>
      <c r="F3777" s="8"/>
      <c r="G3777" s="10" t="str">
        <f aca="false">IF($A3777="","",UPPER(SUBSTITUTE(SUBSTITUTE(SUBSTITUTE(SUBSTITUTE($A3777," ",""),"(주)",""),"주식회사",""),"㈜","")))</f>
        <v/>
      </c>
      <c r="H3777" s="10" t="str">
        <f aca="false">IF($B3777="","",SUBSTITUTE(SUBSTITUTE(SUBSTITUTE($B3777,"-","")," ",""),".",""))</f>
        <v/>
      </c>
      <c r="I3777" s="10" t="str">
        <f aca="false">IF($D3777="","",SUBSTITUTE(SUBSTITUTE(SUBSTITUTE($D3777,"-","")," ",""),".",""))</f>
        <v/>
      </c>
      <c r="J3777" s="10" t="str">
        <f aca="false">IF($E3777="","",UPPER(SUBSTITUTE($E3777," ","")))</f>
        <v/>
      </c>
      <c r="K3777" s="10" t="str">
        <f aca="false">IF($A3777="","",$G3777&amp;"|"&amp;$J3777)</f>
        <v/>
      </c>
      <c r="L3777" s="10" t="str">
        <f aca="false">IF($A3777="","",ROW()-2)</f>
        <v/>
      </c>
      <c r="M3777" s="10" t="str">
        <f aca="false">IF($A3777="","",ROW())</f>
        <v/>
      </c>
    </row>
    <row r="3778" customFormat="false" ht="15" hidden="false" customHeight="true" outlineLevel="0" collapsed="false">
      <c r="A3778" s="8"/>
      <c r="B3778" s="8"/>
      <c r="C3778" s="8"/>
      <c r="D3778" s="8"/>
      <c r="E3778" s="8"/>
      <c r="F3778" s="8"/>
      <c r="G3778" s="10" t="str">
        <f aca="false">IF($A3778="","",UPPER(SUBSTITUTE(SUBSTITUTE(SUBSTITUTE(SUBSTITUTE($A3778," ",""),"(주)",""),"주식회사",""),"㈜","")))</f>
        <v/>
      </c>
      <c r="H3778" s="10" t="str">
        <f aca="false">IF($B3778="","",SUBSTITUTE(SUBSTITUTE(SUBSTITUTE($B3778,"-","")," ",""),".",""))</f>
        <v/>
      </c>
      <c r="I3778" s="10" t="str">
        <f aca="false">IF($D3778="","",SUBSTITUTE(SUBSTITUTE(SUBSTITUTE($D3778,"-","")," ",""),".",""))</f>
        <v/>
      </c>
      <c r="J3778" s="10" t="str">
        <f aca="false">IF($E3778="","",UPPER(SUBSTITUTE($E3778," ","")))</f>
        <v/>
      </c>
      <c r="K3778" s="10" t="str">
        <f aca="false">IF($A3778="","",$G3778&amp;"|"&amp;$J3778)</f>
        <v/>
      </c>
      <c r="L3778" s="10" t="str">
        <f aca="false">IF($A3778="","",ROW()-2)</f>
        <v/>
      </c>
      <c r="M3778" s="10" t="str">
        <f aca="false">IF($A3778="","",ROW())</f>
        <v/>
      </c>
    </row>
    <row r="3779" customFormat="false" ht="15" hidden="false" customHeight="true" outlineLevel="0" collapsed="false">
      <c r="A3779" s="8"/>
      <c r="B3779" s="8"/>
      <c r="C3779" s="8"/>
      <c r="D3779" s="8"/>
      <c r="E3779" s="8"/>
      <c r="F3779" s="8"/>
      <c r="G3779" s="10" t="str">
        <f aca="false">IF($A3779="","",UPPER(SUBSTITUTE(SUBSTITUTE(SUBSTITUTE(SUBSTITUTE($A3779," ",""),"(주)",""),"주식회사",""),"㈜","")))</f>
        <v/>
      </c>
      <c r="H3779" s="10" t="str">
        <f aca="false">IF($B3779="","",SUBSTITUTE(SUBSTITUTE(SUBSTITUTE($B3779,"-","")," ",""),".",""))</f>
        <v/>
      </c>
      <c r="I3779" s="10" t="str">
        <f aca="false">IF($D3779="","",SUBSTITUTE(SUBSTITUTE(SUBSTITUTE($D3779,"-","")," ",""),".",""))</f>
        <v/>
      </c>
      <c r="J3779" s="10" t="str">
        <f aca="false">IF($E3779="","",UPPER(SUBSTITUTE($E3779," ","")))</f>
        <v/>
      </c>
      <c r="K3779" s="10" t="str">
        <f aca="false">IF($A3779="","",$G3779&amp;"|"&amp;$J3779)</f>
        <v/>
      </c>
      <c r="L3779" s="10" t="str">
        <f aca="false">IF($A3779="","",ROW()-2)</f>
        <v/>
      </c>
      <c r="M3779" s="10" t="str">
        <f aca="false">IF($A3779="","",ROW())</f>
        <v/>
      </c>
    </row>
    <row r="3780" customFormat="false" ht="15" hidden="false" customHeight="true" outlineLevel="0" collapsed="false">
      <c r="A3780" s="8"/>
      <c r="B3780" s="8"/>
      <c r="C3780" s="8"/>
      <c r="D3780" s="8"/>
      <c r="E3780" s="8"/>
      <c r="F3780" s="8"/>
      <c r="G3780" s="10" t="str">
        <f aca="false">IF($A3780="","",UPPER(SUBSTITUTE(SUBSTITUTE(SUBSTITUTE(SUBSTITUTE($A3780," ",""),"(주)",""),"주식회사",""),"㈜","")))</f>
        <v/>
      </c>
      <c r="H3780" s="10" t="str">
        <f aca="false">IF($B3780="","",SUBSTITUTE(SUBSTITUTE(SUBSTITUTE($B3780,"-","")," ",""),".",""))</f>
        <v/>
      </c>
      <c r="I3780" s="10" t="str">
        <f aca="false">IF($D3780="","",SUBSTITUTE(SUBSTITUTE(SUBSTITUTE($D3780,"-","")," ",""),".",""))</f>
        <v/>
      </c>
      <c r="J3780" s="10" t="str">
        <f aca="false">IF($E3780="","",UPPER(SUBSTITUTE($E3780," ","")))</f>
        <v/>
      </c>
      <c r="K3780" s="10" t="str">
        <f aca="false">IF($A3780="","",$G3780&amp;"|"&amp;$J3780)</f>
        <v/>
      </c>
      <c r="L3780" s="10" t="str">
        <f aca="false">IF($A3780="","",ROW()-2)</f>
        <v/>
      </c>
      <c r="M3780" s="10" t="str">
        <f aca="false">IF($A3780="","",ROW())</f>
        <v/>
      </c>
    </row>
    <row r="3781" customFormat="false" ht="15" hidden="false" customHeight="true" outlineLevel="0" collapsed="false">
      <c r="A3781" s="8"/>
      <c r="B3781" s="8"/>
      <c r="C3781" s="8"/>
      <c r="D3781" s="8"/>
      <c r="E3781" s="8"/>
      <c r="F3781" s="8"/>
      <c r="G3781" s="10" t="str">
        <f aca="false">IF($A3781="","",UPPER(SUBSTITUTE(SUBSTITUTE(SUBSTITUTE(SUBSTITUTE($A3781," ",""),"(주)",""),"주식회사",""),"㈜","")))</f>
        <v/>
      </c>
      <c r="H3781" s="10" t="str">
        <f aca="false">IF($B3781="","",SUBSTITUTE(SUBSTITUTE(SUBSTITUTE($B3781,"-","")," ",""),".",""))</f>
        <v/>
      </c>
      <c r="I3781" s="10" t="str">
        <f aca="false">IF($D3781="","",SUBSTITUTE(SUBSTITUTE(SUBSTITUTE($D3781,"-","")," ",""),".",""))</f>
        <v/>
      </c>
      <c r="J3781" s="10" t="str">
        <f aca="false">IF($E3781="","",UPPER(SUBSTITUTE($E3781," ","")))</f>
        <v/>
      </c>
      <c r="K3781" s="10" t="str">
        <f aca="false">IF($A3781="","",$G3781&amp;"|"&amp;$J3781)</f>
        <v/>
      </c>
      <c r="L3781" s="10" t="str">
        <f aca="false">IF($A3781="","",ROW()-2)</f>
        <v/>
      </c>
      <c r="M3781" s="10" t="str">
        <f aca="false">IF($A3781="","",ROW())</f>
        <v/>
      </c>
    </row>
    <row r="3782" customFormat="false" ht="15" hidden="false" customHeight="true" outlineLevel="0" collapsed="false">
      <c r="A3782" s="8"/>
      <c r="B3782" s="8"/>
      <c r="C3782" s="8"/>
      <c r="D3782" s="8"/>
      <c r="E3782" s="8"/>
      <c r="F3782" s="8"/>
      <c r="G3782" s="10" t="str">
        <f aca="false">IF($A3782="","",UPPER(SUBSTITUTE(SUBSTITUTE(SUBSTITUTE(SUBSTITUTE($A3782," ",""),"(주)",""),"주식회사",""),"㈜","")))</f>
        <v/>
      </c>
      <c r="H3782" s="10" t="str">
        <f aca="false">IF($B3782="","",SUBSTITUTE(SUBSTITUTE(SUBSTITUTE($B3782,"-","")," ",""),".",""))</f>
        <v/>
      </c>
      <c r="I3782" s="10" t="str">
        <f aca="false">IF($D3782="","",SUBSTITUTE(SUBSTITUTE(SUBSTITUTE($D3782,"-","")," ",""),".",""))</f>
        <v/>
      </c>
      <c r="J3782" s="10" t="str">
        <f aca="false">IF($E3782="","",UPPER(SUBSTITUTE($E3782," ","")))</f>
        <v/>
      </c>
      <c r="K3782" s="10" t="str">
        <f aca="false">IF($A3782="","",$G3782&amp;"|"&amp;$J3782)</f>
        <v/>
      </c>
      <c r="L3782" s="10" t="str">
        <f aca="false">IF($A3782="","",ROW()-2)</f>
        <v/>
      </c>
      <c r="M3782" s="10" t="str">
        <f aca="false">IF($A3782="","",ROW())</f>
        <v/>
      </c>
    </row>
    <row r="3783" customFormat="false" ht="15" hidden="false" customHeight="true" outlineLevel="0" collapsed="false">
      <c r="A3783" s="8"/>
      <c r="B3783" s="8"/>
      <c r="C3783" s="8"/>
      <c r="D3783" s="8"/>
      <c r="E3783" s="8"/>
      <c r="F3783" s="8"/>
      <c r="G3783" s="10" t="str">
        <f aca="false">IF($A3783="","",UPPER(SUBSTITUTE(SUBSTITUTE(SUBSTITUTE(SUBSTITUTE($A3783," ",""),"(주)",""),"주식회사",""),"㈜","")))</f>
        <v/>
      </c>
      <c r="H3783" s="10" t="str">
        <f aca="false">IF($B3783="","",SUBSTITUTE(SUBSTITUTE(SUBSTITUTE($B3783,"-","")," ",""),".",""))</f>
        <v/>
      </c>
      <c r="I3783" s="10" t="str">
        <f aca="false">IF($D3783="","",SUBSTITUTE(SUBSTITUTE(SUBSTITUTE($D3783,"-","")," ",""),".",""))</f>
        <v/>
      </c>
      <c r="J3783" s="10" t="str">
        <f aca="false">IF($E3783="","",UPPER(SUBSTITUTE($E3783," ","")))</f>
        <v/>
      </c>
      <c r="K3783" s="10" t="str">
        <f aca="false">IF($A3783="","",$G3783&amp;"|"&amp;$J3783)</f>
        <v/>
      </c>
      <c r="L3783" s="10" t="str">
        <f aca="false">IF($A3783="","",ROW()-2)</f>
        <v/>
      </c>
      <c r="M3783" s="10" t="str">
        <f aca="false">IF($A3783="","",ROW())</f>
        <v/>
      </c>
    </row>
    <row r="3784" customFormat="false" ht="15" hidden="false" customHeight="true" outlineLevel="0" collapsed="false">
      <c r="A3784" s="8"/>
      <c r="B3784" s="8"/>
      <c r="C3784" s="8"/>
      <c r="D3784" s="8"/>
      <c r="E3784" s="8"/>
      <c r="F3784" s="8"/>
      <c r="G3784" s="10" t="str">
        <f aca="false">IF($A3784="","",UPPER(SUBSTITUTE(SUBSTITUTE(SUBSTITUTE(SUBSTITUTE($A3784," ",""),"(주)",""),"주식회사",""),"㈜","")))</f>
        <v/>
      </c>
      <c r="H3784" s="10" t="str">
        <f aca="false">IF($B3784="","",SUBSTITUTE(SUBSTITUTE(SUBSTITUTE($B3784,"-","")," ",""),".",""))</f>
        <v/>
      </c>
      <c r="I3784" s="10" t="str">
        <f aca="false">IF($D3784="","",SUBSTITUTE(SUBSTITUTE(SUBSTITUTE($D3784,"-","")," ",""),".",""))</f>
        <v/>
      </c>
      <c r="J3784" s="10" t="str">
        <f aca="false">IF($E3784="","",UPPER(SUBSTITUTE($E3784," ","")))</f>
        <v/>
      </c>
      <c r="K3784" s="10" t="str">
        <f aca="false">IF($A3784="","",$G3784&amp;"|"&amp;$J3784)</f>
        <v/>
      </c>
      <c r="L3784" s="10" t="str">
        <f aca="false">IF($A3784="","",ROW()-2)</f>
        <v/>
      </c>
      <c r="M3784" s="10" t="str">
        <f aca="false">IF($A3784="","",ROW())</f>
        <v/>
      </c>
    </row>
    <row r="3785" customFormat="false" ht="15" hidden="false" customHeight="true" outlineLevel="0" collapsed="false">
      <c r="A3785" s="8"/>
      <c r="B3785" s="8"/>
      <c r="C3785" s="8"/>
      <c r="D3785" s="8"/>
      <c r="E3785" s="8"/>
      <c r="F3785" s="8"/>
      <c r="G3785" s="10" t="str">
        <f aca="false">IF($A3785="","",UPPER(SUBSTITUTE(SUBSTITUTE(SUBSTITUTE(SUBSTITUTE($A3785," ",""),"(주)",""),"주식회사",""),"㈜","")))</f>
        <v/>
      </c>
      <c r="H3785" s="10" t="str">
        <f aca="false">IF($B3785="","",SUBSTITUTE(SUBSTITUTE(SUBSTITUTE($B3785,"-","")," ",""),".",""))</f>
        <v/>
      </c>
      <c r="I3785" s="10" t="str">
        <f aca="false">IF($D3785="","",SUBSTITUTE(SUBSTITUTE(SUBSTITUTE($D3785,"-","")," ",""),".",""))</f>
        <v/>
      </c>
      <c r="J3785" s="10" t="str">
        <f aca="false">IF($E3785="","",UPPER(SUBSTITUTE($E3785," ","")))</f>
        <v/>
      </c>
      <c r="K3785" s="10" t="str">
        <f aca="false">IF($A3785="","",$G3785&amp;"|"&amp;$J3785)</f>
        <v/>
      </c>
      <c r="L3785" s="10" t="str">
        <f aca="false">IF($A3785="","",ROW()-2)</f>
        <v/>
      </c>
      <c r="M3785" s="10" t="str">
        <f aca="false">IF($A3785="","",ROW())</f>
        <v/>
      </c>
    </row>
    <row r="3786" customFormat="false" ht="15" hidden="false" customHeight="true" outlineLevel="0" collapsed="false">
      <c r="A3786" s="8"/>
      <c r="B3786" s="8"/>
      <c r="C3786" s="8"/>
      <c r="D3786" s="8"/>
      <c r="E3786" s="8"/>
      <c r="F3786" s="8"/>
      <c r="G3786" s="10" t="str">
        <f aca="false">IF($A3786="","",UPPER(SUBSTITUTE(SUBSTITUTE(SUBSTITUTE(SUBSTITUTE($A3786," ",""),"(주)",""),"주식회사",""),"㈜","")))</f>
        <v/>
      </c>
      <c r="H3786" s="10" t="str">
        <f aca="false">IF($B3786="","",SUBSTITUTE(SUBSTITUTE(SUBSTITUTE($B3786,"-","")," ",""),".",""))</f>
        <v/>
      </c>
      <c r="I3786" s="10" t="str">
        <f aca="false">IF($D3786="","",SUBSTITUTE(SUBSTITUTE(SUBSTITUTE($D3786,"-","")," ",""),".",""))</f>
        <v/>
      </c>
      <c r="J3786" s="10" t="str">
        <f aca="false">IF($E3786="","",UPPER(SUBSTITUTE($E3786," ","")))</f>
        <v/>
      </c>
      <c r="K3786" s="10" t="str">
        <f aca="false">IF($A3786="","",$G3786&amp;"|"&amp;$J3786)</f>
        <v/>
      </c>
      <c r="L3786" s="10" t="str">
        <f aca="false">IF($A3786="","",ROW()-2)</f>
        <v/>
      </c>
      <c r="M3786" s="10" t="str">
        <f aca="false">IF($A3786="","",ROW())</f>
        <v/>
      </c>
    </row>
    <row r="3787" customFormat="false" ht="15" hidden="false" customHeight="true" outlineLevel="0" collapsed="false">
      <c r="A3787" s="8"/>
      <c r="B3787" s="8"/>
      <c r="C3787" s="8"/>
      <c r="D3787" s="8"/>
      <c r="E3787" s="8"/>
      <c r="F3787" s="8"/>
      <c r="G3787" s="10" t="str">
        <f aca="false">IF($A3787="","",UPPER(SUBSTITUTE(SUBSTITUTE(SUBSTITUTE(SUBSTITUTE($A3787," ",""),"(주)",""),"주식회사",""),"㈜","")))</f>
        <v/>
      </c>
      <c r="H3787" s="10" t="str">
        <f aca="false">IF($B3787="","",SUBSTITUTE(SUBSTITUTE(SUBSTITUTE($B3787,"-","")," ",""),".",""))</f>
        <v/>
      </c>
      <c r="I3787" s="10" t="str">
        <f aca="false">IF($D3787="","",SUBSTITUTE(SUBSTITUTE(SUBSTITUTE($D3787,"-","")," ",""),".",""))</f>
        <v/>
      </c>
      <c r="J3787" s="10" t="str">
        <f aca="false">IF($E3787="","",UPPER(SUBSTITUTE($E3787," ","")))</f>
        <v/>
      </c>
      <c r="K3787" s="10" t="str">
        <f aca="false">IF($A3787="","",$G3787&amp;"|"&amp;$J3787)</f>
        <v/>
      </c>
      <c r="L3787" s="10" t="str">
        <f aca="false">IF($A3787="","",ROW()-2)</f>
        <v/>
      </c>
      <c r="M3787" s="10" t="str">
        <f aca="false">IF($A3787="","",ROW())</f>
        <v/>
      </c>
    </row>
    <row r="3788" customFormat="false" ht="15" hidden="false" customHeight="true" outlineLevel="0" collapsed="false">
      <c r="A3788" s="8"/>
      <c r="B3788" s="8"/>
      <c r="C3788" s="8"/>
      <c r="D3788" s="8"/>
      <c r="E3788" s="8"/>
      <c r="F3788" s="8"/>
      <c r="G3788" s="10" t="str">
        <f aca="false">IF($A3788="","",UPPER(SUBSTITUTE(SUBSTITUTE(SUBSTITUTE(SUBSTITUTE($A3788," ",""),"(주)",""),"주식회사",""),"㈜","")))</f>
        <v/>
      </c>
      <c r="H3788" s="10" t="str">
        <f aca="false">IF($B3788="","",SUBSTITUTE(SUBSTITUTE(SUBSTITUTE($B3788,"-","")," ",""),".",""))</f>
        <v/>
      </c>
      <c r="I3788" s="10" t="str">
        <f aca="false">IF($D3788="","",SUBSTITUTE(SUBSTITUTE(SUBSTITUTE($D3788,"-","")," ",""),".",""))</f>
        <v/>
      </c>
      <c r="J3788" s="10" t="str">
        <f aca="false">IF($E3788="","",UPPER(SUBSTITUTE($E3788," ","")))</f>
        <v/>
      </c>
      <c r="K3788" s="10" t="str">
        <f aca="false">IF($A3788="","",$G3788&amp;"|"&amp;$J3788)</f>
        <v/>
      </c>
      <c r="L3788" s="10" t="str">
        <f aca="false">IF($A3788="","",ROW()-2)</f>
        <v/>
      </c>
      <c r="M3788" s="10" t="str">
        <f aca="false">IF($A3788="","",ROW())</f>
        <v/>
      </c>
    </row>
    <row r="3789" customFormat="false" ht="15" hidden="false" customHeight="true" outlineLevel="0" collapsed="false">
      <c r="A3789" s="8"/>
      <c r="B3789" s="8"/>
      <c r="C3789" s="8"/>
      <c r="D3789" s="8"/>
      <c r="E3789" s="8"/>
      <c r="F3789" s="8"/>
      <c r="G3789" s="10" t="str">
        <f aca="false">IF($A3789="","",UPPER(SUBSTITUTE(SUBSTITUTE(SUBSTITUTE(SUBSTITUTE($A3789," ",""),"(주)",""),"주식회사",""),"㈜","")))</f>
        <v/>
      </c>
      <c r="H3789" s="10" t="str">
        <f aca="false">IF($B3789="","",SUBSTITUTE(SUBSTITUTE(SUBSTITUTE($B3789,"-","")," ",""),".",""))</f>
        <v/>
      </c>
      <c r="I3789" s="10" t="str">
        <f aca="false">IF($D3789="","",SUBSTITUTE(SUBSTITUTE(SUBSTITUTE($D3789,"-","")," ",""),".",""))</f>
        <v/>
      </c>
      <c r="J3789" s="10" t="str">
        <f aca="false">IF($E3789="","",UPPER(SUBSTITUTE($E3789," ","")))</f>
        <v/>
      </c>
      <c r="K3789" s="10" t="str">
        <f aca="false">IF($A3789="","",$G3789&amp;"|"&amp;$J3789)</f>
        <v/>
      </c>
      <c r="L3789" s="10" t="str">
        <f aca="false">IF($A3789="","",ROW()-2)</f>
        <v/>
      </c>
      <c r="M3789" s="10" t="str">
        <f aca="false">IF($A3789="","",ROW())</f>
        <v/>
      </c>
    </row>
    <row r="3790" customFormat="false" ht="15" hidden="false" customHeight="true" outlineLevel="0" collapsed="false">
      <c r="A3790" s="8"/>
      <c r="B3790" s="8"/>
      <c r="C3790" s="8"/>
      <c r="D3790" s="8"/>
      <c r="E3790" s="8"/>
      <c r="F3790" s="8"/>
      <c r="G3790" s="10" t="str">
        <f aca="false">IF($A3790="","",UPPER(SUBSTITUTE(SUBSTITUTE(SUBSTITUTE(SUBSTITUTE($A3790," ",""),"(주)",""),"주식회사",""),"㈜","")))</f>
        <v/>
      </c>
      <c r="H3790" s="10" t="str">
        <f aca="false">IF($B3790="","",SUBSTITUTE(SUBSTITUTE(SUBSTITUTE($B3790,"-","")," ",""),".",""))</f>
        <v/>
      </c>
      <c r="I3790" s="10" t="str">
        <f aca="false">IF($D3790="","",SUBSTITUTE(SUBSTITUTE(SUBSTITUTE($D3790,"-","")," ",""),".",""))</f>
        <v/>
      </c>
      <c r="J3790" s="10" t="str">
        <f aca="false">IF($E3790="","",UPPER(SUBSTITUTE($E3790," ","")))</f>
        <v/>
      </c>
      <c r="K3790" s="10" t="str">
        <f aca="false">IF($A3790="","",$G3790&amp;"|"&amp;$J3790)</f>
        <v/>
      </c>
      <c r="L3790" s="10" t="str">
        <f aca="false">IF($A3790="","",ROW()-2)</f>
        <v/>
      </c>
      <c r="M3790" s="10" t="str">
        <f aca="false">IF($A3790="","",ROW())</f>
        <v/>
      </c>
    </row>
    <row r="3791" customFormat="false" ht="15" hidden="false" customHeight="true" outlineLevel="0" collapsed="false">
      <c r="A3791" s="8"/>
      <c r="B3791" s="8"/>
      <c r="C3791" s="8"/>
      <c r="D3791" s="8"/>
      <c r="E3791" s="8"/>
      <c r="F3791" s="8"/>
      <c r="G3791" s="10" t="str">
        <f aca="false">IF($A3791="","",UPPER(SUBSTITUTE(SUBSTITUTE(SUBSTITUTE(SUBSTITUTE($A3791," ",""),"(주)",""),"주식회사",""),"㈜","")))</f>
        <v/>
      </c>
      <c r="H3791" s="10" t="str">
        <f aca="false">IF($B3791="","",SUBSTITUTE(SUBSTITUTE(SUBSTITUTE($B3791,"-","")," ",""),".",""))</f>
        <v/>
      </c>
      <c r="I3791" s="10" t="str">
        <f aca="false">IF($D3791="","",SUBSTITUTE(SUBSTITUTE(SUBSTITUTE($D3791,"-","")," ",""),".",""))</f>
        <v/>
      </c>
      <c r="J3791" s="10" t="str">
        <f aca="false">IF($E3791="","",UPPER(SUBSTITUTE($E3791," ","")))</f>
        <v/>
      </c>
      <c r="K3791" s="10" t="str">
        <f aca="false">IF($A3791="","",$G3791&amp;"|"&amp;$J3791)</f>
        <v/>
      </c>
      <c r="L3791" s="10" t="str">
        <f aca="false">IF($A3791="","",ROW()-2)</f>
        <v/>
      </c>
      <c r="M3791" s="10" t="str">
        <f aca="false">IF($A3791="","",ROW())</f>
        <v/>
      </c>
    </row>
    <row r="3792" customFormat="false" ht="15" hidden="false" customHeight="true" outlineLevel="0" collapsed="false">
      <c r="A3792" s="8"/>
      <c r="B3792" s="8"/>
      <c r="C3792" s="8"/>
      <c r="D3792" s="8"/>
      <c r="E3792" s="8"/>
      <c r="F3792" s="8"/>
      <c r="G3792" s="10" t="str">
        <f aca="false">IF($A3792="","",UPPER(SUBSTITUTE(SUBSTITUTE(SUBSTITUTE(SUBSTITUTE($A3792," ",""),"(주)",""),"주식회사",""),"㈜","")))</f>
        <v/>
      </c>
      <c r="H3792" s="10" t="str">
        <f aca="false">IF($B3792="","",SUBSTITUTE(SUBSTITUTE(SUBSTITUTE($B3792,"-","")," ",""),".",""))</f>
        <v/>
      </c>
      <c r="I3792" s="10" t="str">
        <f aca="false">IF($D3792="","",SUBSTITUTE(SUBSTITUTE(SUBSTITUTE($D3792,"-","")," ",""),".",""))</f>
        <v/>
      </c>
      <c r="J3792" s="10" t="str">
        <f aca="false">IF($E3792="","",UPPER(SUBSTITUTE($E3792," ","")))</f>
        <v/>
      </c>
      <c r="K3792" s="10" t="str">
        <f aca="false">IF($A3792="","",$G3792&amp;"|"&amp;$J3792)</f>
        <v/>
      </c>
      <c r="L3792" s="10" t="str">
        <f aca="false">IF($A3792="","",ROW()-2)</f>
        <v/>
      </c>
      <c r="M3792" s="10" t="str">
        <f aca="false">IF($A3792="","",ROW())</f>
        <v/>
      </c>
    </row>
    <row r="3793" customFormat="false" ht="15" hidden="false" customHeight="true" outlineLevel="0" collapsed="false">
      <c r="A3793" s="8"/>
      <c r="B3793" s="8"/>
      <c r="C3793" s="8"/>
      <c r="D3793" s="8"/>
      <c r="E3793" s="8"/>
      <c r="F3793" s="8"/>
      <c r="G3793" s="10" t="str">
        <f aca="false">IF($A3793="","",UPPER(SUBSTITUTE(SUBSTITUTE(SUBSTITUTE(SUBSTITUTE($A3793," ",""),"(주)",""),"주식회사",""),"㈜","")))</f>
        <v/>
      </c>
      <c r="H3793" s="10" t="str">
        <f aca="false">IF($B3793="","",SUBSTITUTE(SUBSTITUTE(SUBSTITUTE($B3793,"-","")," ",""),".",""))</f>
        <v/>
      </c>
      <c r="I3793" s="10" t="str">
        <f aca="false">IF($D3793="","",SUBSTITUTE(SUBSTITUTE(SUBSTITUTE($D3793,"-","")," ",""),".",""))</f>
        <v/>
      </c>
      <c r="J3793" s="10" t="str">
        <f aca="false">IF($E3793="","",UPPER(SUBSTITUTE($E3793," ","")))</f>
        <v/>
      </c>
      <c r="K3793" s="10" t="str">
        <f aca="false">IF($A3793="","",$G3793&amp;"|"&amp;$J3793)</f>
        <v/>
      </c>
      <c r="L3793" s="10" t="str">
        <f aca="false">IF($A3793="","",ROW()-2)</f>
        <v/>
      </c>
      <c r="M3793" s="10" t="str">
        <f aca="false">IF($A3793="","",ROW())</f>
        <v/>
      </c>
    </row>
    <row r="3794" customFormat="false" ht="15" hidden="false" customHeight="true" outlineLevel="0" collapsed="false">
      <c r="A3794" s="8"/>
      <c r="B3794" s="8"/>
      <c r="C3794" s="8"/>
      <c r="D3794" s="8"/>
      <c r="E3794" s="8"/>
      <c r="F3794" s="8"/>
      <c r="G3794" s="10" t="str">
        <f aca="false">IF($A3794="","",UPPER(SUBSTITUTE(SUBSTITUTE(SUBSTITUTE(SUBSTITUTE($A3794," ",""),"(주)",""),"주식회사",""),"㈜","")))</f>
        <v/>
      </c>
      <c r="H3794" s="10" t="str">
        <f aca="false">IF($B3794="","",SUBSTITUTE(SUBSTITUTE(SUBSTITUTE($B3794,"-","")," ",""),".",""))</f>
        <v/>
      </c>
      <c r="I3794" s="10" t="str">
        <f aca="false">IF($D3794="","",SUBSTITUTE(SUBSTITUTE(SUBSTITUTE($D3794,"-","")," ",""),".",""))</f>
        <v/>
      </c>
      <c r="J3794" s="10" t="str">
        <f aca="false">IF($E3794="","",UPPER(SUBSTITUTE($E3794," ","")))</f>
        <v/>
      </c>
      <c r="K3794" s="10" t="str">
        <f aca="false">IF($A3794="","",$G3794&amp;"|"&amp;$J3794)</f>
        <v/>
      </c>
      <c r="L3794" s="10" t="str">
        <f aca="false">IF($A3794="","",ROW()-2)</f>
        <v/>
      </c>
      <c r="M3794" s="10" t="str">
        <f aca="false">IF($A3794="","",ROW())</f>
        <v/>
      </c>
    </row>
    <row r="3795" customFormat="false" ht="15" hidden="false" customHeight="true" outlineLevel="0" collapsed="false">
      <c r="A3795" s="8"/>
      <c r="B3795" s="8"/>
      <c r="C3795" s="8"/>
      <c r="D3795" s="8"/>
      <c r="E3795" s="8"/>
      <c r="F3795" s="8"/>
      <c r="G3795" s="10" t="str">
        <f aca="false">IF($A3795="","",UPPER(SUBSTITUTE(SUBSTITUTE(SUBSTITUTE(SUBSTITUTE($A3795," ",""),"(주)",""),"주식회사",""),"㈜","")))</f>
        <v/>
      </c>
      <c r="H3795" s="10" t="str">
        <f aca="false">IF($B3795="","",SUBSTITUTE(SUBSTITUTE(SUBSTITUTE($B3795,"-","")," ",""),".",""))</f>
        <v/>
      </c>
      <c r="I3795" s="10" t="str">
        <f aca="false">IF($D3795="","",SUBSTITUTE(SUBSTITUTE(SUBSTITUTE($D3795,"-","")," ",""),".",""))</f>
        <v/>
      </c>
      <c r="J3795" s="10" t="str">
        <f aca="false">IF($E3795="","",UPPER(SUBSTITUTE($E3795," ","")))</f>
        <v/>
      </c>
      <c r="K3795" s="10" t="str">
        <f aca="false">IF($A3795="","",$G3795&amp;"|"&amp;$J3795)</f>
        <v/>
      </c>
      <c r="L3795" s="10" t="str">
        <f aca="false">IF($A3795="","",ROW()-2)</f>
        <v/>
      </c>
      <c r="M3795" s="10" t="str">
        <f aca="false">IF($A3795="","",ROW())</f>
        <v/>
      </c>
    </row>
    <row r="3796" customFormat="false" ht="15" hidden="false" customHeight="true" outlineLevel="0" collapsed="false">
      <c r="A3796" s="8"/>
      <c r="B3796" s="8"/>
      <c r="C3796" s="8"/>
      <c r="D3796" s="8"/>
      <c r="E3796" s="8"/>
      <c r="F3796" s="8"/>
      <c r="G3796" s="10" t="str">
        <f aca="false">IF($A3796="","",UPPER(SUBSTITUTE(SUBSTITUTE(SUBSTITUTE(SUBSTITUTE($A3796," ",""),"(주)",""),"주식회사",""),"㈜","")))</f>
        <v/>
      </c>
      <c r="H3796" s="10" t="str">
        <f aca="false">IF($B3796="","",SUBSTITUTE(SUBSTITUTE(SUBSTITUTE($B3796,"-","")," ",""),".",""))</f>
        <v/>
      </c>
      <c r="I3796" s="10" t="str">
        <f aca="false">IF($D3796="","",SUBSTITUTE(SUBSTITUTE(SUBSTITUTE($D3796,"-","")," ",""),".",""))</f>
        <v/>
      </c>
      <c r="J3796" s="10" t="str">
        <f aca="false">IF($E3796="","",UPPER(SUBSTITUTE($E3796," ","")))</f>
        <v/>
      </c>
      <c r="K3796" s="10" t="str">
        <f aca="false">IF($A3796="","",$G3796&amp;"|"&amp;$J3796)</f>
        <v/>
      </c>
      <c r="L3796" s="10" t="str">
        <f aca="false">IF($A3796="","",ROW()-2)</f>
        <v/>
      </c>
      <c r="M3796" s="10" t="str">
        <f aca="false">IF($A3796="","",ROW())</f>
        <v/>
      </c>
    </row>
    <row r="3797" customFormat="false" ht="15" hidden="false" customHeight="true" outlineLevel="0" collapsed="false">
      <c r="A3797" s="8"/>
      <c r="B3797" s="8"/>
      <c r="C3797" s="8"/>
      <c r="D3797" s="8"/>
      <c r="E3797" s="8"/>
      <c r="F3797" s="8"/>
      <c r="G3797" s="10" t="str">
        <f aca="false">IF($A3797="","",UPPER(SUBSTITUTE(SUBSTITUTE(SUBSTITUTE(SUBSTITUTE($A3797," ",""),"(주)",""),"주식회사",""),"㈜","")))</f>
        <v/>
      </c>
      <c r="H3797" s="10" t="str">
        <f aca="false">IF($B3797="","",SUBSTITUTE(SUBSTITUTE(SUBSTITUTE($B3797,"-","")," ",""),".",""))</f>
        <v/>
      </c>
      <c r="I3797" s="10" t="str">
        <f aca="false">IF($D3797="","",SUBSTITUTE(SUBSTITUTE(SUBSTITUTE($D3797,"-","")," ",""),".",""))</f>
        <v/>
      </c>
      <c r="J3797" s="10" t="str">
        <f aca="false">IF($E3797="","",UPPER(SUBSTITUTE($E3797," ","")))</f>
        <v/>
      </c>
      <c r="K3797" s="10" t="str">
        <f aca="false">IF($A3797="","",$G3797&amp;"|"&amp;$J3797)</f>
        <v/>
      </c>
      <c r="L3797" s="10" t="str">
        <f aca="false">IF($A3797="","",ROW()-2)</f>
        <v/>
      </c>
      <c r="M3797" s="10" t="str">
        <f aca="false">IF($A3797="","",ROW())</f>
        <v/>
      </c>
    </row>
    <row r="3798" customFormat="false" ht="15" hidden="false" customHeight="true" outlineLevel="0" collapsed="false">
      <c r="A3798" s="8"/>
      <c r="B3798" s="8"/>
      <c r="C3798" s="8"/>
      <c r="D3798" s="8"/>
      <c r="E3798" s="8"/>
      <c r="F3798" s="8"/>
      <c r="G3798" s="10" t="str">
        <f aca="false">IF($A3798="","",UPPER(SUBSTITUTE(SUBSTITUTE(SUBSTITUTE(SUBSTITUTE($A3798," ",""),"(주)",""),"주식회사",""),"㈜","")))</f>
        <v/>
      </c>
      <c r="H3798" s="10" t="str">
        <f aca="false">IF($B3798="","",SUBSTITUTE(SUBSTITUTE(SUBSTITUTE($B3798,"-","")," ",""),".",""))</f>
        <v/>
      </c>
      <c r="I3798" s="10" t="str">
        <f aca="false">IF($D3798="","",SUBSTITUTE(SUBSTITUTE(SUBSTITUTE($D3798,"-","")," ",""),".",""))</f>
        <v/>
      </c>
      <c r="J3798" s="10" t="str">
        <f aca="false">IF($E3798="","",UPPER(SUBSTITUTE($E3798," ","")))</f>
        <v/>
      </c>
      <c r="K3798" s="10" t="str">
        <f aca="false">IF($A3798="","",$G3798&amp;"|"&amp;$J3798)</f>
        <v/>
      </c>
      <c r="L3798" s="10" t="str">
        <f aca="false">IF($A3798="","",ROW()-2)</f>
        <v/>
      </c>
      <c r="M3798" s="10" t="str">
        <f aca="false">IF($A3798="","",ROW())</f>
        <v/>
      </c>
    </row>
    <row r="3799" customFormat="false" ht="15" hidden="false" customHeight="true" outlineLevel="0" collapsed="false">
      <c r="A3799" s="8"/>
      <c r="B3799" s="8"/>
      <c r="C3799" s="8"/>
      <c r="D3799" s="8"/>
      <c r="E3799" s="8"/>
      <c r="F3799" s="8"/>
      <c r="G3799" s="10" t="str">
        <f aca="false">IF($A3799="","",UPPER(SUBSTITUTE(SUBSTITUTE(SUBSTITUTE(SUBSTITUTE($A3799," ",""),"(주)",""),"주식회사",""),"㈜","")))</f>
        <v/>
      </c>
      <c r="H3799" s="10" t="str">
        <f aca="false">IF($B3799="","",SUBSTITUTE(SUBSTITUTE(SUBSTITUTE($B3799,"-","")," ",""),".",""))</f>
        <v/>
      </c>
      <c r="I3799" s="10" t="str">
        <f aca="false">IF($D3799="","",SUBSTITUTE(SUBSTITUTE(SUBSTITUTE($D3799,"-","")," ",""),".",""))</f>
        <v/>
      </c>
      <c r="J3799" s="10" t="str">
        <f aca="false">IF($E3799="","",UPPER(SUBSTITUTE($E3799," ","")))</f>
        <v/>
      </c>
      <c r="K3799" s="10" t="str">
        <f aca="false">IF($A3799="","",$G3799&amp;"|"&amp;$J3799)</f>
        <v/>
      </c>
      <c r="L3799" s="10" t="str">
        <f aca="false">IF($A3799="","",ROW()-2)</f>
        <v/>
      </c>
      <c r="M3799" s="10" t="str">
        <f aca="false">IF($A3799="","",ROW())</f>
        <v/>
      </c>
    </row>
    <row r="3800" customFormat="false" ht="15" hidden="false" customHeight="true" outlineLevel="0" collapsed="false">
      <c r="A3800" s="8"/>
      <c r="B3800" s="8"/>
      <c r="C3800" s="8"/>
      <c r="D3800" s="8"/>
      <c r="E3800" s="8"/>
      <c r="F3800" s="8"/>
      <c r="G3800" s="10" t="str">
        <f aca="false">IF($A3800="","",UPPER(SUBSTITUTE(SUBSTITUTE(SUBSTITUTE(SUBSTITUTE($A3800," ",""),"(주)",""),"주식회사",""),"㈜","")))</f>
        <v/>
      </c>
      <c r="H3800" s="10" t="str">
        <f aca="false">IF($B3800="","",SUBSTITUTE(SUBSTITUTE(SUBSTITUTE($B3800,"-","")," ",""),".",""))</f>
        <v/>
      </c>
      <c r="I3800" s="10" t="str">
        <f aca="false">IF($D3800="","",SUBSTITUTE(SUBSTITUTE(SUBSTITUTE($D3800,"-","")," ",""),".",""))</f>
        <v/>
      </c>
      <c r="J3800" s="10" t="str">
        <f aca="false">IF($E3800="","",UPPER(SUBSTITUTE($E3800," ","")))</f>
        <v/>
      </c>
      <c r="K3800" s="10" t="str">
        <f aca="false">IF($A3800="","",$G3800&amp;"|"&amp;$J3800)</f>
        <v/>
      </c>
      <c r="L3800" s="10" t="str">
        <f aca="false">IF($A3800="","",ROW()-2)</f>
        <v/>
      </c>
      <c r="M3800" s="10" t="str">
        <f aca="false">IF($A3800="","",ROW())</f>
        <v/>
      </c>
    </row>
    <row r="3801" customFormat="false" ht="15" hidden="false" customHeight="true" outlineLevel="0" collapsed="false">
      <c r="A3801" s="8"/>
      <c r="B3801" s="8"/>
      <c r="C3801" s="8"/>
      <c r="D3801" s="8"/>
      <c r="E3801" s="8"/>
      <c r="F3801" s="8"/>
      <c r="G3801" s="10" t="str">
        <f aca="false">IF($A3801="","",UPPER(SUBSTITUTE(SUBSTITUTE(SUBSTITUTE(SUBSTITUTE($A3801," ",""),"(주)",""),"주식회사",""),"㈜","")))</f>
        <v/>
      </c>
      <c r="H3801" s="10" t="str">
        <f aca="false">IF($B3801="","",SUBSTITUTE(SUBSTITUTE(SUBSTITUTE($B3801,"-","")," ",""),".",""))</f>
        <v/>
      </c>
      <c r="I3801" s="10" t="str">
        <f aca="false">IF($D3801="","",SUBSTITUTE(SUBSTITUTE(SUBSTITUTE($D3801,"-","")," ",""),".",""))</f>
        <v/>
      </c>
      <c r="J3801" s="10" t="str">
        <f aca="false">IF($E3801="","",UPPER(SUBSTITUTE($E3801," ","")))</f>
        <v/>
      </c>
      <c r="K3801" s="10" t="str">
        <f aca="false">IF($A3801="","",$G3801&amp;"|"&amp;$J3801)</f>
        <v/>
      </c>
      <c r="L3801" s="10" t="str">
        <f aca="false">IF($A3801="","",ROW()-2)</f>
        <v/>
      </c>
      <c r="M3801" s="10" t="str">
        <f aca="false">IF($A3801="","",ROW())</f>
        <v/>
      </c>
    </row>
    <row r="3802" customFormat="false" ht="15" hidden="false" customHeight="true" outlineLevel="0" collapsed="false">
      <c r="A3802" s="8"/>
      <c r="B3802" s="8"/>
      <c r="C3802" s="8"/>
      <c r="D3802" s="8"/>
      <c r="E3802" s="8"/>
      <c r="F3802" s="8"/>
      <c r="G3802" s="10" t="str">
        <f aca="false">IF($A3802="","",UPPER(SUBSTITUTE(SUBSTITUTE(SUBSTITUTE(SUBSTITUTE($A3802," ",""),"(주)",""),"주식회사",""),"㈜","")))</f>
        <v/>
      </c>
      <c r="H3802" s="10" t="str">
        <f aca="false">IF($B3802="","",SUBSTITUTE(SUBSTITUTE(SUBSTITUTE($B3802,"-","")," ",""),".",""))</f>
        <v/>
      </c>
      <c r="I3802" s="10" t="str">
        <f aca="false">IF($D3802="","",SUBSTITUTE(SUBSTITUTE(SUBSTITUTE($D3802,"-","")," ",""),".",""))</f>
        <v/>
      </c>
      <c r="J3802" s="10" t="str">
        <f aca="false">IF($E3802="","",UPPER(SUBSTITUTE($E3802," ","")))</f>
        <v/>
      </c>
      <c r="K3802" s="10" t="str">
        <f aca="false">IF($A3802="","",$G3802&amp;"|"&amp;$J3802)</f>
        <v/>
      </c>
      <c r="L3802" s="10" t="str">
        <f aca="false">IF($A3802="","",ROW()-2)</f>
        <v/>
      </c>
      <c r="M3802" s="10" t="str">
        <f aca="false">IF($A3802="","",ROW())</f>
        <v/>
      </c>
    </row>
    <row r="3803" customFormat="false" ht="15" hidden="false" customHeight="true" outlineLevel="0" collapsed="false">
      <c r="A3803" s="8"/>
      <c r="B3803" s="8"/>
      <c r="C3803" s="8"/>
      <c r="D3803" s="8"/>
      <c r="E3803" s="8"/>
      <c r="F3803" s="8"/>
      <c r="G3803" s="10" t="str">
        <f aca="false">IF($A3803="","",UPPER(SUBSTITUTE(SUBSTITUTE(SUBSTITUTE(SUBSTITUTE($A3803," ",""),"(주)",""),"주식회사",""),"㈜","")))</f>
        <v/>
      </c>
      <c r="H3803" s="10" t="str">
        <f aca="false">IF($B3803="","",SUBSTITUTE(SUBSTITUTE(SUBSTITUTE($B3803,"-","")," ",""),".",""))</f>
        <v/>
      </c>
      <c r="I3803" s="10" t="str">
        <f aca="false">IF($D3803="","",SUBSTITUTE(SUBSTITUTE(SUBSTITUTE($D3803,"-","")," ",""),".",""))</f>
        <v/>
      </c>
      <c r="J3803" s="10" t="str">
        <f aca="false">IF($E3803="","",UPPER(SUBSTITUTE($E3803," ","")))</f>
        <v/>
      </c>
      <c r="K3803" s="10" t="str">
        <f aca="false">IF($A3803="","",$G3803&amp;"|"&amp;$J3803)</f>
        <v/>
      </c>
      <c r="L3803" s="10" t="str">
        <f aca="false">IF($A3803="","",ROW()-2)</f>
        <v/>
      </c>
      <c r="M3803" s="10" t="str">
        <f aca="false">IF($A3803="","",ROW())</f>
        <v/>
      </c>
    </row>
    <row r="3804" customFormat="false" ht="15" hidden="false" customHeight="true" outlineLevel="0" collapsed="false">
      <c r="A3804" s="8"/>
      <c r="B3804" s="8"/>
      <c r="C3804" s="8"/>
      <c r="D3804" s="8"/>
      <c r="E3804" s="8"/>
      <c r="F3804" s="8"/>
      <c r="G3804" s="10" t="str">
        <f aca="false">IF($A3804="","",UPPER(SUBSTITUTE(SUBSTITUTE(SUBSTITUTE(SUBSTITUTE($A3804," ",""),"(주)",""),"주식회사",""),"㈜","")))</f>
        <v/>
      </c>
      <c r="H3804" s="10" t="str">
        <f aca="false">IF($B3804="","",SUBSTITUTE(SUBSTITUTE(SUBSTITUTE($B3804,"-","")," ",""),".",""))</f>
        <v/>
      </c>
      <c r="I3804" s="10" t="str">
        <f aca="false">IF($D3804="","",SUBSTITUTE(SUBSTITUTE(SUBSTITUTE($D3804,"-","")," ",""),".",""))</f>
        <v/>
      </c>
      <c r="J3804" s="10" t="str">
        <f aca="false">IF($E3804="","",UPPER(SUBSTITUTE($E3804," ","")))</f>
        <v/>
      </c>
      <c r="K3804" s="10" t="str">
        <f aca="false">IF($A3804="","",$G3804&amp;"|"&amp;$J3804)</f>
        <v/>
      </c>
      <c r="L3804" s="10" t="str">
        <f aca="false">IF($A3804="","",ROW()-2)</f>
        <v/>
      </c>
      <c r="M3804" s="10" t="str">
        <f aca="false">IF($A3804="","",ROW())</f>
        <v/>
      </c>
    </row>
    <row r="3805" customFormat="false" ht="15" hidden="false" customHeight="true" outlineLevel="0" collapsed="false">
      <c r="A3805" s="8"/>
      <c r="B3805" s="8"/>
      <c r="C3805" s="8"/>
      <c r="D3805" s="8"/>
      <c r="E3805" s="8"/>
      <c r="F3805" s="8"/>
      <c r="G3805" s="10" t="str">
        <f aca="false">IF($A3805="","",UPPER(SUBSTITUTE(SUBSTITUTE(SUBSTITUTE(SUBSTITUTE($A3805," ",""),"(주)",""),"주식회사",""),"㈜","")))</f>
        <v/>
      </c>
      <c r="H3805" s="10" t="str">
        <f aca="false">IF($B3805="","",SUBSTITUTE(SUBSTITUTE(SUBSTITUTE($B3805,"-","")," ",""),".",""))</f>
        <v/>
      </c>
      <c r="I3805" s="10" t="str">
        <f aca="false">IF($D3805="","",SUBSTITUTE(SUBSTITUTE(SUBSTITUTE($D3805,"-","")," ",""),".",""))</f>
        <v/>
      </c>
      <c r="J3805" s="10" t="str">
        <f aca="false">IF($E3805="","",UPPER(SUBSTITUTE($E3805," ","")))</f>
        <v/>
      </c>
      <c r="K3805" s="10" t="str">
        <f aca="false">IF($A3805="","",$G3805&amp;"|"&amp;$J3805)</f>
        <v/>
      </c>
      <c r="L3805" s="10" t="str">
        <f aca="false">IF($A3805="","",ROW()-2)</f>
        <v/>
      </c>
      <c r="M3805" s="10" t="str">
        <f aca="false">IF($A3805="","",ROW())</f>
        <v/>
      </c>
    </row>
    <row r="3806" customFormat="false" ht="15" hidden="false" customHeight="true" outlineLevel="0" collapsed="false">
      <c r="A3806" s="8"/>
      <c r="B3806" s="8"/>
      <c r="C3806" s="8"/>
      <c r="D3806" s="8"/>
      <c r="E3806" s="8"/>
      <c r="F3806" s="8"/>
      <c r="G3806" s="10" t="str">
        <f aca="false">IF($A3806="","",UPPER(SUBSTITUTE(SUBSTITUTE(SUBSTITUTE(SUBSTITUTE($A3806," ",""),"(주)",""),"주식회사",""),"㈜","")))</f>
        <v/>
      </c>
      <c r="H3806" s="10" t="str">
        <f aca="false">IF($B3806="","",SUBSTITUTE(SUBSTITUTE(SUBSTITUTE($B3806,"-","")," ",""),".",""))</f>
        <v/>
      </c>
      <c r="I3806" s="10" t="str">
        <f aca="false">IF($D3806="","",SUBSTITUTE(SUBSTITUTE(SUBSTITUTE($D3806,"-","")," ",""),".",""))</f>
        <v/>
      </c>
      <c r="J3806" s="10" t="str">
        <f aca="false">IF($E3806="","",UPPER(SUBSTITUTE($E3806," ","")))</f>
        <v/>
      </c>
      <c r="K3806" s="10" t="str">
        <f aca="false">IF($A3806="","",$G3806&amp;"|"&amp;$J3806)</f>
        <v/>
      </c>
      <c r="L3806" s="10" t="str">
        <f aca="false">IF($A3806="","",ROW()-2)</f>
        <v/>
      </c>
      <c r="M3806" s="10" t="str">
        <f aca="false">IF($A3806="","",ROW())</f>
        <v/>
      </c>
    </row>
    <row r="3807" customFormat="false" ht="15" hidden="false" customHeight="true" outlineLevel="0" collapsed="false">
      <c r="A3807" s="8"/>
      <c r="B3807" s="8"/>
      <c r="C3807" s="8"/>
      <c r="D3807" s="8"/>
      <c r="E3807" s="8"/>
      <c r="F3807" s="8"/>
      <c r="G3807" s="10" t="str">
        <f aca="false">IF($A3807="","",UPPER(SUBSTITUTE(SUBSTITUTE(SUBSTITUTE(SUBSTITUTE($A3807," ",""),"(주)",""),"주식회사",""),"㈜","")))</f>
        <v/>
      </c>
      <c r="H3807" s="10" t="str">
        <f aca="false">IF($B3807="","",SUBSTITUTE(SUBSTITUTE(SUBSTITUTE($B3807,"-","")," ",""),".",""))</f>
        <v/>
      </c>
      <c r="I3807" s="10" t="str">
        <f aca="false">IF($D3807="","",SUBSTITUTE(SUBSTITUTE(SUBSTITUTE($D3807,"-","")," ",""),".",""))</f>
        <v/>
      </c>
      <c r="J3807" s="10" t="str">
        <f aca="false">IF($E3807="","",UPPER(SUBSTITUTE($E3807," ","")))</f>
        <v/>
      </c>
      <c r="K3807" s="10" t="str">
        <f aca="false">IF($A3807="","",$G3807&amp;"|"&amp;$J3807)</f>
        <v/>
      </c>
      <c r="L3807" s="10" t="str">
        <f aca="false">IF($A3807="","",ROW()-2)</f>
        <v/>
      </c>
      <c r="M3807" s="10" t="str">
        <f aca="false">IF($A3807="","",ROW())</f>
        <v/>
      </c>
    </row>
    <row r="3808" customFormat="false" ht="15" hidden="false" customHeight="true" outlineLevel="0" collapsed="false">
      <c r="A3808" s="8"/>
      <c r="B3808" s="8"/>
      <c r="C3808" s="8"/>
      <c r="D3808" s="8"/>
      <c r="E3808" s="8"/>
      <c r="F3808" s="8"/>
      <c r="G3808" s="10" t="str">
        <f aca="false">IF($A3808="","",UPPER(SUBSTITUTE(SUBSTITUTE(SUBSTITUTE(SUBSTITUTE($A3808," ",""),"(주)",""),"주식회사",""),"㈜","")))</f>
        <v/>
      </c>
      <c r="H3808" s="10" t="str">
        <f aca="false">IF($B3808="","",SUBSTITUTE(SUBSTITUTE(SUBSTITUTE($B3808,"-","")," ",""),".",""))</f>
        <v/>
      </c>
      <c r="I3808" s="10" t="str">
        <f aca="false">IF($D3808="","",SUBSTITUTE(SUBSTITUTE(SUBSTITUTE($D3808,"-","")," ",""),".",""))</f>
        <v/>
      </c>
      <c r="J3808" s="10" t="str">
        <f aca="false">IF($E3808="","",UPPER(SUBSTITUTE($E3808," ","")))</f>
        <v/>
      </c>
      <c r="K3808" s="10" t="str">
        <f aca="false">IF($A3808="","",$G3808&amp;"|"&amp;$J3808)</f>
        <v/>
      </c>
      <c r="L3808" s="10" t="str">
        <f aca="false">IF($A3808="","",ROW()-2)</f>
        <v/>
      </c>
      <c r="M3808" s="10" t="str">
        <f aca="false">IF($A3808="","",ROW())</f>
        <v/>
      </c>
    </row>
    <row r="3809" customFormat="false" ht="15" hidden="false" customHeight="true" outlineLevel="0" collapsed="false">
      <c r="A3809" s="8"/>
      <c r="B3809" s="8"/>
      <c r="C3809" s="8"/>
      <c r="D3809" s="8"/>
      <c r="E3809" s="8"/>
      <c r="F3809" s="8"/>
      <c r="G3809" s="10" t="str">
        <f aca="false">IF($A3809="","",UPPER(SUBSTITUTE(SUBSTITUTE(SUBSTITUTE(SUBSTITUTE($A3809," ",""),"(주)",""),"주식회사",""),"㈜","")))</f>
        <v/>
      </c>
      <c r="H3809" s="10" t="str">
        <f aca="false">IF($B3809="","",SUBSTITUTE(SUBSTITUTE(SUBSTITUTE($B3809,"-","")," ",""),".",""))</f>
        <v/>
      </c>
      <c r="I3809" s="10" t="str">
        <f aca="false">IF($D3809="","",SUBSTITUTE(SUBSTITUTE(SUBSTITUTE($D3809,"-","")," ",""),".",""))</f>
        <v/>
      </c>
      <c r="J3809" s="10" t="str">
        <f aca="false">IF($E3809="","",UPPER(SUBSTITUTE($E3809," ","")))</f>
        <v/>
      </c>
      <c r="K3809" s="10" t="str">
        <f aca="false">IF($A3809="","",$G3809&amp;"|"&amp;$J3809)</f>
        <v/>
      </c>
      <c r="L3809" s="10" t="str">
        <f aca="false">IF($A3809="","",ROW()-2)</f>
        <v/>
      </c>
      <c r="M3809" s="10" t="str">
        <f aca="false">IF($A3809="","",ROW())</f>
        <v/>
      </c>
    </row>
    <row r="3810" customFormat="false" ht="15" hidden="false" customHeight="true" outlineLevel="0" collapsed="false">
      <c r="A3810" s="8"/>
      <c r="B3810" s="8"/>
      <c r="C3810" s="8"/>
      <c r="D3810" s="8"/>
      <c r="E3810" s="8"/>
      <c r="F3810" s="8"/>
      <c r="G3810" s="10" t="str">
        <f aca="false">IF($A3810="","",UPPER(SUBSTITUTE(SUBSTITUTE(SUBSTITUTE(SUBSTITUTE($A3810," ",""),"(주)",""),"주식회사",""),"㈜","")))</f>
        <v/>
      </c>
      <c r="H3810" s="10" t="str">
        <f aca="false">IF($B3810="","",SUBSTITUTE(SUBSTITUTE(SUBSTITUTE($B3810,"-","")," ",""),".",""))</f>
        <v/>
      </c>
      <c r="I3810" s="10" t="str">
        <f aca="false">IF($D3810="","",SUBSTITUTE(SUBSTITUTE(SUBSTITUTE($D3810,"-","")," ",""),".",""))</f>
        <v/>
      </c>
      <c r="J3810" s="10" t="str">
        <f aca="false">IF($E3810="","",UPPER(SUBSTITUTE($E3810," ","")))</f>
        <v/>
      </c>
      <c r="K3810" s="10" t="str">
        <f aca="false">IF($A3810="","",$G3810&amp;"|"&amp;$J3810)</f>
        <v/>
      </c>
      <c r="L3810" s="10" t="str">
        <f aca="false">IF($A3810="","",ROW()-2)</f>
        <v/>
      </c>
      <c r="M3810" s="10" t="str">
        <f aca="false">IF($A3810="","",ROW())</f>
        <v/>
      </c>
    </row>
    <row r="3811" customFormat="false" ht="15" hidden="false" customHeight="true" outlineLevel="0" collapsed="false">
      <c r="A3811" s="8"/>
      <c r="B3811" s="8"/>
      <c r="C3811" s="8"/>
      <c r="D3811" s="8"/>
      <c r="E3811" s="8"/>
      <c r="F3811" s="8"/>
      <c r="G3811" s="10" t="str">
        <f aca="false">IF($A3811="","",UPPER(SUBSTITUTE(SUBSTITUTE(SUBSTITUTE(SUBSTITUTE($A3811," ",""),"(주)",""),"주식회사",""),"㈜","")))</f>
        <v/>
      </c>
      <c r="H3811" s="10" t="str">
        <f aca="false">IF($B3811="","",SUBSTITUTE(SUBSTITUTE(SUBSTITUTE($B3811,"-","")," ",""),".",""))</f>
        <v/>
      </c>
      <c r="I3811" s="10" t="str">
        <f aca="false">IF($D3811="","",SUBSTITUTE(SUBSTITUTE(SUBSTITUTE($D3811,"-","")," ",""),".",""))</f>
        <v/>
      </c>
      <c r="J3811" s="10" t="str">
        <f aca="false">IF($E3811="","",UPPER(SUBSTITUTE($E3811," ","")))</f>
        <v/>
      </c>
      <c r="K3811" s="10" t="str">
        <f aca="false">IF($A3811="","",$G3811&amp;"|"&amp;$J3811)</f>
        <v/>
      </c>
      <c r="L3811" s="10" t="str">
        <f aca="false">IF($A3811="","",ROW()-2)</f>
        <v/>
      </c>
      <c r="M3811" s="10" t="str">
        <f aca="false">IF($A3811="","",ROW())</f>
        <v/>
      </c>
    </row>
    <row r="3812" customFormat="false" ht="15" hidden="false" customHeight="true" outlineLevel="0" collapsed="false">
      <c r="A3812" s="8"/>
      <c r="B3812" s="8"/>
      <c r="C3812" s="8"/>
      <c r="D3812" s="8"/>
      <c r="E3812" s="8"/>
      <c r="F3812" s="8"/>
      <c r="G3812" s="10" t="str">
        <f aca="false">IF($A3812="","",UPPER(SUBSTITUTE(SUBSTITUTE(SUBSTITUTE(SUBSTITUTE($A3812," ",""),"(주)",""),"주식회사",""),"㈜","")))</f>
        <v/>
      </c>
      <c r="H3812" s="10" t="str">
        <f aca="false">IF($B3812="","",SUBSTITUTE(SUBSTITUTE(SUBSTITUTE($B3812,"-","")," ",""),".",""))</f>
        <v/>
      </c>
      <c r="I3812" s="10" t="str">
        <f aca="false">IF($D3812="","",SUBSTITUTE(SUBSTITUTE(SUBSTITUTE($D3812,"-","")," ",""),".",""))</f>
        <v/>
      </c>
      <c r="J3812" s="10" t="str">
        <f aca="false">IF($E3812="","",UPPER(SUBSTITUTE($E3812," ","")))</f>
        <v/>
      </c>
      <c r="K3812" s="10" t="str">
        <f aca="false">IF($A3812="","",$G3812&amp;"|"&amp;$J3812)</f>
        <v/>
      </c>
      <c r="L3812" s="10" t="str">
        <f aca="false">IF($A3812="","",ROW()-2)</f>
        <v/>
      </c>
      <c r="M3812" s="10" t="str">
        <f aca="false">IF($A3812="","",ROW())</f>
        <v/>
      </c>
    </row>
    <row r="3813" customFormat="false" ht="15" hidden="false" customHeight="true" outlineLevel="0" collapsed="false">
      <c r="A3813" s="8"/>
      <c r="B3813" s="8"/>
      <c r="C3813" s="8"/>
      <c r="D3813" s="8"/>
      <c r="E3813" s="8"/>
      <c r="F3813" s="8"/>
      <c r="G3813" s="10" t="str">
        <f aca="false">IF($A3813="","",UPPER(SUBSTITUTE(SUBSTITUTE(SUBSTITUTE(SUBSTITUTE($A3813," ",""),"(주)",""),"주식회사",""),"㈜","")))</f>
        <v/>
      </c>
      <c r="H3813" s="10" t="str">
        <f aca="false">IF($B3813="","",SUBSTITUTE(SUBSTITUTE(SUBSTITUTE($B3813,"-","")," ",""),".",""))</f>
        <v/>
      </c>
      <c r="I3813" s="10" t="str">
        <f aca="false">IF($D3813="","",SUBSTITUTE(SUBSTITUTE(SUBSTITUTE($D3813,"-","")," ",""),".",""))</f>
        <v/>
      </c>
      <c r="J3813" s="10" t="str">
        <f aca="false">IF($E3813="","",UPPER(SUBSTITUTE($E3813," ","")))</f>
        <v/>
      </c>
      <c r="K3813" s="10" t="str">
        <f aca="false">IF($A3813="","",$G3813&amp;"|"&amp;$J3813)</f>
        <v/>
      </c>
      <c r="L3813" s="10" t="str">
        <f aca="false">IF($A3813="","",ROW()-2)</f>
        <v/>
      </c>
      <c r="M3813" s="10" t="str">
        <f aca="false">IF($A3813="","",ROW())</f>
        <v/>
      </c>
    </row>
    <row r="3814" customFormat="false" ht="15" hidden="false" customHeight="true" outlineLevel="0" collapsed="false">
      <c r="A3814" s="8"/>
      <c r="B3814" s="8"/>
      <c r="C3814" s="8"/>
      <c r="D3814" s="8"/>
      <c r="E3814" s="8"/>
      <c r="F3814" s="8"/>
      <c r="G3814" s="10" t="str">
        <f aca="false">IF($A3814="","",UPPER(SUBSTITUTE(SUBSTITUTE(SUBSTITUTE(SUBSTITUTE($A3814," ",""),"(주)",""),"주식회사",""),"㈜","")))</f>
        <v/>
      </c>
      <c r="H3814" s="10" t="str">
        <f aca="false">IF($B3814="","",SUBSTITUTE(SUBSTITUTE(SUBSTITUTE($B3814,"-","")," ",""),".",""))</f>
        <v/>
      </c>
      <c r="I3814" s="10" t="str">
        <f aca="false">IF($D3814="","",SUBSTITUTE(SUBSTITUTE(SUBSTITUTE($D3814,"-","")," ",""),".",""))</f>
        <v/>
      </c>
      <c r="J3814" s="10" t="str">
        <f aca="false">IF($E3814="","",UPPER(SUBSTITUTE($E3814," ","")))</f>
        <v/>
      </c>
      <c r="K3814" s="10" t="str">
        <f aca="false">IF($A3814="","",$G3814&amp;"|"&amp;$J3814)</f>
        <v/>
      </c>
      <c r="L3814" s="10" t="str">
        <f aca="false">IF($A3814="","",ROW()-2)</f>
        <v/>
      </c>
      <c r="M3814" s="10" t="str">
        <f aca="false">IF($A3814="","",ROW())</f>
        <v/>
      </c>
    </row>
    <row r="3815" customFormat="false" ht="15" hidden="false" customHeight="true" outlineLevel="0" collapsed="false">
      <c r="A3815" s="8"/>
      <c r="B3815" s="8"/>
      <c r="C3815" s="8"/>
      <c r="D3815" s="8"/>
      <c r="E3815" s="8"/>
      <c r="F3815" s="8"/>
      <c r="G3815" s="10" t="str">
        <f aca="false">IF($A3815="","",UPPER(SUBSTITUTE(SUBSTITUTE(SUBSTITUTE(SUBSTITUTE($A3815," ",""),"(주)",""),"주식회사",""),"㈜","")))</f>
        <v/>
      </c>
      <c r="H3815" s="10" t="str">
        <f aca="false">IF($B3815="","",SUBSTITUTE(SUBSTITUTE(SUBSTITUTE($B3815,"-","")," ",""),".",""))</f>
        <v/>
      </c>
      <c r="I3815" s="10" t="str">
        <f aca="false">IF($D3815="","",SUBSTITUTE(SUBSTITUTE(SUBSTITUTE($D3815,"-","")," ",""),".",""))</f>
        <v/>
      </c>
      <c r="J3815" s="10" t="str">
        <f aca="false">IF($E3815="","",UPPER(SUBSTITUTE($E3815," ","")))</f>
        <v/>
      </c>
      <c r="K3815" s="10" t="str">
        <f aca="false">IF($A3815="","",$G3815&amp;"|"&amp;$J3815)</f>
        <v/>
      </c>
      <c r="L3815" s="10" t="str">
        <f aca="false">IF($A3815="","",ROW()-2)</f>
        <v/>
      </c>
      <c r="M3815" s="10" t="str">
        <f aca="false">IF($A3815="","",ROW())</f>
        <v/>
      </c>
    </row>
    <row r="3816" customFormat="false" ht="15" hidden="false" customHeight="true" outlineLevel="0" collapsed="false">
      <c r="A3816" s="8"/>
      <c r="B3816" s="8"/>
      <c r="C3816" s="8"/>
      <c r="D3816" s="8"/>
      <c r="E3816" s="8"/>
      <c r="F3816" s="8"/>
      <c r="G3816" s="10" t="str">
        <f aca="false">IF($A3816="","",UPPER(SUBSTITUTE(SUBSTITUTE(SUBSTITUTE(SUBSTITUTE($A3816," ",""),"(주)",""),"주식회사",""),"㈜","")))</f>
        <v/>
      </c>
      <c r="H3816" s="10" t="str">
        <f aca="false">IF($B3816="","",SUBSTITUTE(SUBSTITUTE(SUBSTITUTE($B3816,"-","")," ",""),".",""))</f>
        <v/>
      </c>
      <c r="I3816" s="10" t="str">
        <f aca="false">IF($D3816="","",SUBSTITUTE(SUBSTITUTE(SUBSTITUTE($D3816,"-","")," ",""),".",""))</f>
        <v/>
      </c>
      <c r="J3816" s="10" t="str">
        <f aca="false">IF($E3816="","",UPPER(SUBSTITUTE($E3816," ","")))</f>
        <v/>
      </c>
      <c r="K3816" s="10" t="str">
        <f aca="false">IF($A3816="","",$G3816&amp;"|"&amp;$J3816)</f>
        <v/>
      </c>
      <c r="L3816" s="10" t="str">
        <f aca="false">IF($A3816="","",ROW()-2)</f>
        <v/>
      </c>
      <c r="M3816" s="10" t="str">
        <f aca="false">IF($A3816="","",ROW())</f>
        <v/>
      </c>
    </row>
    <row r="3817" customFormat="false" ht="15" hidden="false" customHeight="true" outlineLevel="0" collapsed="false">
      <c r="A3817" s="8"/>
      <c r="B3817" s="8"/>
      <c r="C3817" s="8"/>
      <c r="D3817" s="8"/>
      <c r="E3817" s="8"/>
      <c r="F3817" s="8"/>
      <c r="G3817" s="10" t="str">
        <f aca="false">IF($A3817="","",UPPER(SUBSTITUTE(SUBSTITUTE(SUBSTITUTE(SUBSTITUTE($A3817," ",""),"(주)",""),"주식회사",""),"㈜","")))</f>
        <v/>
      </c>
      <c r="H3817" s="10" t="str">
        <f aca="false">IF($B3817="","",SUBSTITUTE(SUBSTITUTE(SUBSTITUTE($B3817,"-","")," ",""),".",""))</f>
        <v/>
      </c>
      <c r="I3817" s="10" t="str">
        <f aca="false">IF($D3817="","",SUBSTITUTE(SUBSTITUTE(SUBSTITUTE($D3817,"-","")," ",""),".",""))</f>
        <v/>
      </c>
      <c r="J3817" s="10" t="str">
        <f aca="false">IF($E3817="","",UPPER(SUBSTITUTE($E3817," ","")))</f>
        <v/>
      </c>
      <c r="K3817" s="10" t="str">
        <f aca="false">IF($A3817="","",$G3817&amp;"|"&amp;$J3817)</f>
        <v/>
      </c>
      <c r="L3817" s="10" t="str">
        <f aca="false">IF($A3817="","",ROW()-2)</f>
        <v/>
      </c>
      <c r="M3817" s="10" t="str">
        <f aca="false">IF($A3817="","",ROW())</f>
        <v/>
      </c>
    </row>
    <row r="3818" customFormat="false" ht="15" hidden="false" customHeight="true" outlineLevel="0" collapsed="false">
      <c r="A3818" s="8"/>
      <c r="B3818" s="8"/>
      <c r="C3818" s="8"/>
      <c r="D3818" s="8"/>
      <c r="E3818" s="8"/>
      <c r="F3818" s="8"/>
      <c r="G3818" s="10" t="str">
        <f aca="false">IF($A3818="","",UPPER(SUBSTITUTE(SUBSTITUTE(SUBSTITUTE(SUBSTITUTE($A3818," ",""),"(주)",""),"주식회사",""),"㈜","")))</f>
        <v/>
      </c>
      <c r="H3818" s="10" t="str">
        <f aca="false">IF($B3818="","",SUBSTITUTE(SUBSTITUTE(SUBSTITUTE($B3818,"-","")," ",""),".",""))</f>
        <v/>
      </c>
      <c r="I3818" s="10" t="str">
        <f aca="false">IF($D3818="","",SUBSTITUTE(SUBSTITUTE(SUBSTITUTE($D3818,"-","")," ",""),".",""))</f>
        <v/>
      </c>
      <c r="J3818" s="10" t="str">
        <f aca="false">IF($E3818="","",UPPER(SUBSTITUTE($E3818," ","")))</f>
        <v/>
      </c>
      <c r="K3818" s="10" t="str">
        <f aca="false">IF($A3818="","",$G3818&amp;"|"&amp;$J3818)</f>
        <v/>
      </c>
      <c r="L3818" s="10" t="str">
        <f aca="false">IF($A3818="","",ROW()-2)</f>
        <v/>
      </c>
      <c r="M3818" s="10" t="str">
        <f aca="false">IF($A3818="","",ROW())</f>
        <v/>
      </c>
    </row>
    <row r="3819" customFormat="false" ht="15" hidden="false" customHeight="true" outlineLevel="0" collapsed="false">
      <c r="A3819" s="8"/>
      <c r="B3819" s="8"/>
      <c r="C3819" s="8"/>
      <c r="D3819" s="8"/>
      <c r="E3819" s="8"/>
      <c r="F3819" s="8"/>
      <c r="G3819" s="10" t="str">
        <f aca="false">IF($A3819="","",UPPER(SUBSTITUTE(SUBSTITUTE(SUBSTITUTE(SUBSTITUTE($A3819," ",""),"(주)",""),"주식회사",""),"㈜","")))</f>
        <v/>
      </c>
      <c r="H3819" s="10" t="str">
        <f aca="false">IF($B3819="","",SUBSTITUTE(SUBSTITUTE(SUBSTITUTE($B3819,"-","")," ",""),".",""))</f>
        <v/>
      </c>
      <c r="I3819" s="10" t="str">
        <f aca="false">IF($D3819="","",SUBSTITUTE(SUBSTITUTE(SUBSTITUTE($D3819,"-","")," ",""),".",""))</f>
        <v/>
      </c>
      <c r="J3819" s="10" t="str">
        <f aca="false">IF($E3819="","",UPPER(SUBSTITUTE($E3819," ","")))</f>
        <v/>
      </c>
      <c r="K3819" s="10" t="str">
        <f aca="false">IF($A3819="","",$G3819&amp;"|"&amp;$J3819)</f>
        <v/>
      </c>
      <c r="L3819" s="10" t="str">
        <f aca="false">IF($A3819="","",ROW()-2)</f>
        <v/>
      </c>
      <c r="M3819" s="10" t="str">
        <f aca="false">IF($A3819="","",ROW())</f>
        <v/>
      </c>
    </row>
    <row r="3820" customFormat="false" ht="15" hidden="false" customHeight="true" outlineLevel="0" collapsed="false">
      <c r="A3820" s="8"/>
      <c r="B3820" s="8"/>
      <c r="C3820" s="8"/>
      <c r="D3820" s="8"/>
      <c r="E3820" s="8"/>
      <c r="F3820" s="8"/>
      <c r="G3820" s="10" t="str">
        <f aca="false">IF($A3820="","",UPPER(SUBSTITUTE(SUBSTITUTE(SUBSTITUTE(SUBSTITUTE($A3820," ",""),"(주)",""),"주식회사",""),"㈜","")))</f>
        <v/>
      </c>
      <c r="H3820" s="10" t="str">
        <f aca="false">IF($B3820="","",SUBSTITUTE(SUBSTITUTE(SUBSTITUTE($B3820,"-","")," ",""),".",""))</f>
        <v/>
      </c>
      <c r="I3820" s="10" t="str">
        <f aca="false">IF($D3820="","",SUBSTITUTE(SUBSTITUTE(SUBSTITUTE($D3820,"-","")," ",""),".",""))</f>
        <v/>
      </c>
      <c r="J3820" s="10" t="str">
        <f aca="false">IF($E3820="","",UPPER(SUBSTITUTE($E3820," ","")))</f>
        <v/>
      </c>
      <c r="K3820" s="10" t="str">
        <f aca="false">IF($A3820="","",$G3820&amp;"|"&amp;$J3820)</f>
        <v/>
      </c>
      <c r="L3820" s="10" t="str">
        <f aca="false">IF($A3820="","",ROW()-2)</f>
        <v/>
      </c>
      <c r="M3820" s="10" t="str">
        <f aca="false">IF($A3820="","",ROW())</f>
        <v/>
      </c>
    </row>
    <row r="3821" customFormat="false" ht="15" hidden="false" customHeight="true" outlineLevel="0" collapsed="false">
      <c r="A3821" s="8"/>
      <c r="B3821" s="8"/>
      <c r="C3821" s="8"/>
      <c r="D3821" s="8"/>
      <c r="E3821" s="8"/>
      <c r="F3821" s="8"/>
      <c r="G3821" s="10" t="str">
        <f aca="false">IF($A3821="","",UPPER(SUBSTITUTE(SUBSTITUTE(SUBSTITUTE(SUBSTITUTE($A3821," ",""),"(주)",""),"주식회사",""),"㈜","")))</f>
        <v/>
      </c>
      <c r="H3821" s="10" t="str">
        <f aca="false">IF($B3821="","",SUBSTITUTE(SUBSTITUTE(SUBSTITUTE($B3821,"-","")," ",""),".",""))</f>
        <v/>
      </c>
      <c r="I3821" s="10" t="str">
        <f aca="false">IF($D3821="","",SUBSTITUTE(SUBSTITUTE(SUBSTITUTE($D3821,"-","")," ",""),".",""))</f>
        <v/>
      </c>
      <c r="J3821" s="10" t="str">
        <f aca="false">IF($E3821="","",UPPER(SUBSTITUTE($E3821," ","")))</f>
        <v/>
      </c>
      <c r="K3821" s="10" t="str">
        <f aca="false">IF($A3821="","",$G3821&amp;"|"&amp;$J3821)</f>
        <v/>
      </c>
      <c r="L3821" s="10" t="str">
        <f aca="false">IF($A3821="","",ROW()-2)</f>
        <v/>
      </c>
      <c r="M3821" s="10" t="str">
        <f aca="false">IF($A3821="","",ROW())</f>
        <v/>
      </c>
    </row>
    <row r="3822" customFormat="false" ht="15" hidden="false" customHeight="true" outlineLevel="0" collapsed="false">
      <c r="A3822" s="8"/>
      <c r="B3822" s="8"/>
      <c r="C3822" s="8"/>
      <c r="D3822" s="8"/>
      <c r="E3822" s="8"/>
      <c r="F3822" s="8"/>
      <c r="G3822" s="10" t="str">
        <f aca="false">IF($A3822="","",UPPER(SUBSTITUTE(SUBSTITUTE(SUBSTITUTE(SUBSTITUTE($A3822," ",""),"(주)",""),"주식회사",""),"㈜","")))</f>
        <v/>
      </c>
      <c r="H3822" s="10" t="str">
        <f aca="false">IF($B3822="","",SUBSTITUTE(SUBSTITUTE(SUBSTITUTE($B3822,"-","")," ",""),".",""))</f>
        <v/>
      </c>
      <c r="I3822" s="10" t="str">
        <f aca="false">IF($D3822="","",SUBSTITUTE(SUBSTITUTE(SUBSTITUTE($D3822,"-","")," ",""),".",""))</f>
        <v/>
      </c>
      <c r="J3822" s="10" t="str">
        <f aca="false">IF($E3822="","",UPPER(SUBSTITUTE($E3822," ","")))</f>
        <v/>
      </c>
      <c r="K3822" s="10" t="str">
        <f aca="false">IF($A3822="","",$G3822&amp;"|"&amp;$J3822)</f>
        <v/>
      </c>
      <c r="L3822" s="10" t="str">
        <f aca="false">IF($A3822="","",ROW()-2)</f>
        <v/>
      </c>
      <c r="M3822" s="10" t="str">
        <f aca="false">IF($A3822="","",ROW())</f>
        <v/>
      </c>
    </row>
    <row r="3823" customFormat="false" ht="15" hidden="false" customHeight="true" outlineLevel="0" collapsed="false">
      <c r="A3823" s="8"/>
      <c r="B3823" s="8"/>
      <c r="C3823" s="8"/>
      <c r="D3823" s="8"/>
      <c r="E3823" s="8"/>
      <c r="F3823" s="8"/>
      <c r="G3823" s="10" t="str">
        <f aca="false">IF($A3823="","",UPPER(SUBSTITUTE(SUBSTITUTE(SUBSTITUTE(SUBSTITUTE($A3823," ",""),"(주)",""),"주식회사",""),"㈜","")))</f>
        <v/>
      </c>
      <c r="H3823" s="10" t="str">
        <f aca="false">IF($B3823="","",SUBSTITUTE(SUBSTITUTE(SUBSTITUTE($B3823,"-","")," ",""),".",""))</f>
        <v/>
      </c>
      <c r="I3823" s="10" t="str">
        <f aca="false">IF($D3823="","",SUBSTITUTE(SUBSTITUTE(SUBSTITUTE($D3823,"-","")," ",""),".",""))</f>
        <v/>
      </c>
      <c r="J3823" s="10" t="str">
        <f aca="false">IF($E3823="","",UPPER(SUBSTITUTE($E3823," ","")))</f>
        <v/>
      </c>
      <c r="K3823" s="10" t="str">
        <f aca="false">IF($A3823="","",$G3823&amp;"|"&amp;$J3823)</f>
        <v/>
      </c>
      <c r="L3823" s="10" t="str">
        <f aca="false">IF($A3823="","",ROW()-2)</f>
        <v/>
      </c>
      <c r="M3823" s="10" t="str">
        <f aca="false">IF($A3823="","",ROW())</f>
        <v/>
      </c>
    </row>
    <row r="3824" customFormat="false" ht="15" hidden="false" customHeight="true" outlineLevel="0" collapsed="false">
      <c r="A3824" s="8"/>
      <c r="B3824" s="8"/>
      <c r="C3824" s="8"/>
      <c r="D3824" s="8"/>
      <c r="E3824" s="8"/>
      <c r="F3824" s="8"/>
      <c r="G3824" s="10" t="str">
        <f aca="false">IF($A3824="","",UPPER(SUBSTITUTE(SUBSTITUTE(SUBSTITUTE(SUBSTITUTE($A3824," ",""),"(주)",""),"주식회사",""),"㈜","")))</f>
        <v/>
      </c>
      <c r="H3824" s="10" t="str">
        <f aca="false">IF($B3824="","",SUBSTITUTE(SUBSTITUTE(SUBSTITUTE($B3824,"-","")," ",""),".",""))</f>
        <v/>
      </c>
      <c r="I3824" s="10" t="str">
        <f aca="false">IF($D3824="","",SUBSTITUTE(SUBSTITUTE(SUBSTITUTE($D3824,"-","")," ",""),".",""))</f>
        <v/>
      </c>
      <c r="J3824" s="10" t="str">
        <f aca="false">IF($E3824="","",UPPER(SUBSTITUTE($E3824," ","")))</f>
        <v/>
      </c>
      <c r="K3824" s="10" t="str">
        <f aca="false">IF($A3824="","",$G3824&amp;"|"&amp;$J3824)</f>
        <v/>
      </c>
      <c r="L3824" s="10" t="str">
        <f aca="false">IF($A3824="","",ROW()-2)</f>
        <v/>
      </c>
      <c r="M3824" s="10" t="str">
        <f aca="false">IF($A3824="","",ROW())</f>
        <v/>
      </c>
    </row>
    <row r="3825" customFormat="false" ht="15" hidden="false" customHeight="true" outlineLevel="0" collapsed="false">
      <c r="A3825" s="8"/>
      <c r="B3825" s="8"/>
      <c r="C3825" s="8"/>
      <c r="D3825" s="8"/>
      <c r="E3825" s="8"/>
      <c r="F3825" s="8"/>
      <c r="G3825" s="10" t="str">
        <f aca="false">IF($A3825="","",UPPER(SUBSTITUTE(SUBSTITUTE(SUBSTITUTE(SUBSTITUTE($A3825," ",""),"(주)",""),"주식회사",""),"㈜","")))</f>
        <v/>
      </c>
      <c r="H3825" s="10" t="str">
        <f aca="false">IF($B3825="","",SUBSTITUTE(SUBSTITUTE(SUBSTITUTE($B3825,"-","")," ",""),".",""))</f>
        <v/>
      </c>
      <c r="I3825" s="10" t="str">
        <f aca="false">IF($D3825="","",SUBSTITUTE(SUBSTITUTE(SUBSTITUTE($D3825,"-","")," ",""),".",""))</f>
        <v/>
      </c>
      <c r="J3825" s="10" t="str">
        <f aca="false">IF($E3825="","",UPPER(SUBSTITUTE($E3825," ","")))</f>
        <v/>
      </c>
      <c r="K3825" s="10" t="str">
        <f aca="false">IF($A3825="","",$G3825&amp;"|"&amp;$J3825)</f>
        <v/>
      </c>
      <c r="L3825" s="10" t="str">
        <f aca="false">IF($A3825="","",ROW()-2)</f>
        <v/>
      </c>
      <c r="M3825" s="10" t="str">
        <f aca="false">IF($A3825="","",ROW())</f>
        <v/>
      </c>
    </row>
    <row r="3826" customFormat="false" ht="15" hidden="false" customHeight="true" outlineLevel="0" collapsed="false">
      <c r="A3826" s="8"/>
      <c r="B3826" s="8"/>
      <c r="C3826" s="8"/>
      <c r="D3826" s="8"/>
      <c r="E3826" s="8"/>
      <c r="F3826" s="8"/>
      <c r="G3826" s="10" t="str">
        <f aca="false">IF($A3826="","",UPPER(SUBSTITUTE(SUBSTITUTE(SUBSTITUTE(SUBSTITUTE($A3826," ",""),"(주)",""),"주식회사",""),"㈜","")))</f>
        <v/>
      </c>
      <c r="H3826" s="10" t="str">
        <f aca="false">IF($B3826="","",SUBSTITUTE(SUBSTITUTE(SUBSTITUTE($B3826,"-","")," ",""),".",""))</f>
        <v/>
      </c>
      <c r="I3826" s="10" t="str">
        <f aca="false">IF($D3826="","",SUBSTITUTE(SUBSTITUTE(SUBSTITUTE($D3826,"-","")," ",""),".",""))</f>
        <v/>
      </c>
      <c r="J3826" s="10" t="str">
        <f aca="false">IF($E3826="","",UPPER(SUBSTITUTE($E3826," ","")))</f>
        <v/>
      </c>
      <c r="K3826" s="10" t="str">
        <f aca="false">IF($A3826="","",$G3826&amp;"|"&amp;$J3826)</f>
        <v/>
      </c>
      <c r="L3826" s="10" t="str">
        <f aca="false">IF($A3826="","",ROW()-2)</f>
        <v/>
      </c>
      <c r="M3826" s="10" t="str">
        <f aca="false">IF($A3826="","",ROW())</f>
        <v/>
      </c>
    </row>
    <row r="3827" customFormat="false" ht="15" hidden="false" customHeight="true" outlineLevel="0" collapsed="false">
      <c r="A3827" s="8"/>
      <c r="B3827" s="8"/>
      <c r="C3827" s="8"/>
      <c r="D3827" s="8"/>
      <c r="E3827" s="8"/>
      <c r="F3827" s="8"/>
      <c r="G3827" s="10" t="str">
        <f aca="false">IF($A3827="","",UPPER(SUBSTITUTE(SUBSTITUTE(SUBSTITUTE(SUBSTITUTE($A3827," ",""),"(주)",""),"주식회사",""),"㈜","")))</f>
        <v/>
      </c>
      <c r="H3827" s="10" t="str">
        <f aca="false">IF($B3827="","",SUBSTITUTE(SUBSTITUTE(SUBSTITUTE($B3827,"-","")," ",""),".",""))</f>
        <v/>
      </c>
      <c r="I3827" s="10" t="str">
        <f aca="false">IF($D3827="","",SUBSTITUTE(SUBSTITUTE(SUBSTITUTE($D3827,"-","")," ",""),".",""))</f>
        <v/>
      </c>
      <c r="J3827" s="10" t="str">
        <f aca="false">IF($E3827="","",UPPER(SUBSTITUTE($E3827," ","")))</f>
        <v/>
      </c>
      <c r="K3827" s="10" t="str">
        <f aca="false">IF($A3827="","",$G3827&amp;"|"&amp;$J3827)</f>
        <v/>
      </c>
      <c r="L3827" s="10" t="str">
        <f aca="false">IF($A3827="","",ROW()-2)</f>
        <v/>
      </c>
      <c r="M3827" s="10" t="str">
        <f aca="false">IF($A3827="","",ROW())</f>
        <v/>
      </c>
    </row>
    <row r="3828" customFormat="false" ht="15" hidden="false" customHeight="true" outlineLevel="0" collapsed="false">
      <c r="A3828" s="8"/>
      <c r="B3828" s="8"/>
      <c r="C3828" s="8"/>
      <c r="D3828" s="8"/>
      <c r="E3828" s="8"/>
      <c r="F3828" s="8"/>
      <c r="G3828" s="10" t="str">
        <f aca="false">IF($A3828="","",UPPER(SUBSTITUTE(SUBSTITUTE(SUBSTITUTE(SUBSTITUTE($A3828," ",""),"(주)",""),"주식회사",""),"㈜","")))</f>
        <v/>
      </c>
      <c r="H3828" s="10" t="str">
        <f aca="false">IF($B3828="","",SUBSTITUTE(SUBSTITUTE(SUBSTITUTE($B3828,"-","")," ",""),".",""))</f>
        <v/>
      </c>
      <c r="I3828" s="10" t="str">
        <f aca="false">IF($D3828="","",SUBSTITUTE(SUBSTITUTE(SUBSTITUTE($D3828,"-","")," ",""),".",""))</f>
        <v/>
      </c>
      <c r="J3828" s="10" t="str">
        <f aca="false">IF($E3828="","",UPPER(SUBSTITUTE($E3828," ","")))</f>
        <v/>
      </c>
      <c r="K3828" s="10" t="str">
        <f aca="false">IF($A3828="","",$G3828&amp;"|"&amp;$J3828)</f>
        <v/>
      </c>
      <c r="L3828" s="10" t="str">
        <f aca="false">IF($A3828="","",ROW()-2)</f>
        <v/>
      </c>
      <c r="M3828" s="10" t="str">
        <f aca="false">IF($A3828="","",ROW())</f>
        <v/>
      </c>
    </row>
    <row r="3829" customFormat="false" ht="15" hidden="false" customHeight="true" outlineLevel="0" collapsed="false">
      <c r="A3829" s="8"/>
      <c r="B3829" s="8"/>
      <c r="C3829" s="8"/>
      <c r="D3829" s="8"/>
      <c r="E3829" s="8"/>
      <c r="F3829" s="8"/>
      <c r="G3829" s="10" t="str">
        <f aca="false">IF($A3829="","",UPPER(SUBSTITUTE(SUBSTITUTE(SUBSTITUTE(SUBSTITUTE($A3829," ",""),"(주)",""),"주식회사",""),"㈜","")))</f>
        <v/>
      </c>
      <c r="H3829" s="10" t="str">
        <f aca="false">IF($B3829="","",SUBSTITUTE(SUBSTITUTE(SUBSTITUTE($B3829,"-","")," ",""),".",""))</f>
        <v/>
      </c>
      <c r="I3829" s="10" t="str">
        <f aca="false">IF($D3829="","",SUBSTITUTE(SUBSTITUTE(SUBSTITUTE($D3829,"-","")," ",""),".",""))</f>
        <v/>
      </c>
      <c r="J3829" s="10" t="str">
        <f aca="false">IF($E3829="","",UPPER(SUBSTITUTE($E3829," ","")))</f>
        <v/>
      </c>
      <c r="K3829" s="10" t="str">
        <f aca="false">IF($A3829="","",$G3829&amp;"|"&amp;$J3829)</f>
        <v/>
      </c>
      <c r="L3829" s="10" t="str">
        <f aca="false">IF($A3829="","",ROW()-2)</f>
        <v/>
      </c>
      <c r="M3829" s="10" t="str">
        <f aca="false">IF($A3829="","",ROW())</f>
        <v/>
      </c>
    </row>
    <row r="3830" customFormat="false" ht="15" hidden="false" customHeight="true" outlineLevel="0" collapsed="false">
      <c r="A3830" s="8"/>
      <c r="B3830" s="8"/>
      <c r="C3830" s="8"/>
      <c r="D3830" s="8"/>
      <c r="E3830" s="8"/>
      <c r="F3830" s="8"/>
      <c r="G3830" s="10" t="str">
        <f aca="false">IF($A3830="","",UPPER(SUBSTITUTE(SUBSTITUTE(SUBSTITUTE(SUBSTITUTE($A3830," ",""),"(주)",""),"주식회사",""),"㈜","")))</f>
        <v/>
      </c>
      <c r="H3830" s="10" t="str">
        <f aca="false">IF($B3830="","",SUBSTITUTE(SUBSTITUTE(SUBSTITUTE($B3830,"-","")," ",""),".",""))</f>
        <v/>
      </c>
      <c r="I3830" s="10" t="str">
        <f aca="false">IF($D3830="","",SUBSTITUTE(SUBSTITUTE(SUBSTITUTE($D3830,"-","")," ",""),".",""))</f>
        <v/>
      </c>
      <c r="J3830" s="10" t="str">
        <f aca="false">IF($E3830="","",UPPER(SUBSTITUTE($E3830," ","")))</f>
        <v/>
      </c>
      <c r="K3830" s="10" t="str">
        <f aca="false">IF($A3830="","",$G3830&amp;"|"&amp;$J3830)</f>
        <v/>
      </c>
      <c r="L3830" s="10" t="str">
        <f aca="false">IF($A3830="","",ROW()-2)</f>
        <v/>
      </c>
      <c r="M3830" s="10" t="str">
        <f aca="false">IF($A3830="","",ROW())</f>
        <v/>
      </c>
    </row>
    <row r="3831" customFormat="false" ht="15" hidden="false" customHeight="true" outlineLevel="0" collapsed="false">
      <c r="A3831" s="8"/>
      <c r="B3831" s="8"/>
      <c r="C3831" s="8"/>
      <c r="D3831" s="8"/>
      <c r="E3831" s="8"/>
      <c r="F3831" s="8"/>
      <c r="G3831" s="10" t="str">
        <f aca="false">IF($A3831="","",UPPER(SUBSTITUTE(SUBSTITUTE(SUBSTITUTE(SUBSTITUTE($A3831," ",""),"(주)",""),"주식회사",""),"㈜","")))</f>
        <v/>
      </c>
      <c r="H3831" s="10" t="str">
        <f aca="false">IF($B3831="","",SUBSTITUTE(SUBSTITUTE(SUBSTITUTE($B3831,"-","")," ",""),".",""))</f>
        <v/>
      </c>
      <c r="I3831" s="10" t="str">
        <f aca="false">IF($D3831="","",SUBSTITUTE(SUBSTITUTE(SUBSTITUTE($D3831,"-","")," ",""),".",""))</f>
        <v/>
      </c>
      <c r="J3831" s="10" t="str">
        <f aca="false">IF($E3831="","",UPPER(SUBSTITUTE($E3831," ","")))</f>
        <v/>
      </c>
      <c r="K3831" s="10" t="str">
        <f aca="false">IF($A3831="","",$G3831&amp;"|"&amp;$J3831)</f>
        <v/>
      </c>
      <c r="L3831" s="10" t="str">
        <f aca="false">IF($A3831="","",ROW()-2)</f>
        <v/>
      </c>
      <c r="M3831" s="10" t="str">
        <f aca="false">IF($A3831="","",ROW())</f>
        <v/>
      </c>
    </row>
    <row r="3832" customFormat="false" ht="15" hidden="false" customHeight="true" outlineLevel="0" collapsed="false">
      <c r="A3832" s="8"/>
      <c r="B3832" s="8"/>
      <c r="C3832" s="8"/>
      <c r="D3832" s="8"/>
      <c r="E3832" s="8"/>
      <c r="F3832" s="8"/>
      <c r="G3832" s="10" t="str">
        <f aca="false">IF($A3832="","",UPPER(SUBSTITUTE(SUBSTITUTE(SUBSTITUTE(SUBSTITUTE($A3832," ",""),"(주)",""),"주식회사",""),"㈜","")))</f>
        <v/>
      </c>
      <c r="H3832" s="10" t="str">
        <f aca="false">IF($B3832="","",SUBSTITUTE(SUBSTITUTE(SUBSTITUTE($B3832,"-","")," ",""),".",""))</f>
        <v/>
      </c>
      <c r="I3832" s="10" t="str">
        <f aca="false">IF($D3832="","",SUBSTITUTE(SUBSTITUTE(SUBSTITUTE($D3832,"-","")," ",""),".",""))</f>
        <v/>
      </c>
      <c r="J3832" s="10" t="str">
        <f aca="false">IF($E3832="","",UPPER(SUBSTITUTE($E3832," ","")))</f>
        <v/>
      </c>
      <c r="K3832" s="10" t="str">
        <f aca="false">IF($A3832="","",$G3832&amp;"|"&amp;$J3832)</f>
        <v/>
      </c>
      <c r="L3832" s="10" t="str">
        <f aca="false">IF($A3832="","",ROW()-2)</f>
        <v/>
      </c>
      <c r="M3832" s="10" t="str">
        <f aca="false">IF($A3832="","",ROW())</f>
        <v/>
      </c>
    </row>
    <row r="3833" customFormat="false" ht="15" hidden="false" customHeight="true" outlineLevel="0" collapsed="false">
      <c r="A3833" s="8"/>
      <c r="B3833" s="8"/>
      <c r="C3833" s="8"/>
      <c r="D3833" s="8"/>
      <c r="E3833" s="8"/>
      <c r="F3833" s="8"/>
      <c r="G3833" s="10" t="str">
        <f aca="false">IF($A3833="","",UPPER(SUBSTITUTE(SUBSTITUTE(SUBSTITUTE(SUBSTITUTE($A3833," ",""),"(주)",""),"주식회사",""),"㈜","")))</f>
        <v/>
      </c>
      <c r="H3833" s="10" t="str">
        <f aca="false">IF($B3833="","",SUBSTITUTE(SUBSTITUTE(SUBSTITUTE($B3833,"-","")," ",""),".",""))</f>
        <v/>
      </c>
      <c r="I3833" s="10" t="str">
        <f aca="false">IF($D3833="","",SUBSTITUTE(SUBSTITUTE(SUBSTITUTE($D3833,"-","")," ",""),".",""))</f>
        <v/>
      </c>
      <c r="J3833" s="10" t="str">
        <f aca="false">IF($E3833="","",UPPER(SUBSTITUTE($E3833," ","")))</f>
        <v/>
      </c>
      <c r="K3833" s="10" t="str">
        <f aca="false">IF($A3833="","",$G3833&amp;"|"&amp;$J3833)</f>
        <v/>
      </c>
      <c r="L3833" s="10" t="str">
        <f aca="false">IF($A3833="","",ROW()-2)</f>
        <v/>
      </c>
      <c r="M3833" s="10" t="str">
        <f aca="false">IF($A3833="","",ROW())</f>
        <v/>
      </c>
    </row>
    <row r="3834" customFormat="false" ht="15" hidden="false" customHeight="true" outlineLevel="0" collapsed="false">
      <c r="A3834" s="8"/>
      <c r="B3834" s="8"/>
      <c r="C3834" s="8"/>
      <c r="D3834" s="8"/>
      <c r="E3834" s="8"/>
      <c r="F3834" s="8"/>
      <c r="G3834" s="10" t="str">
        <f aca="false">IF($A3834="","",UPPER(SUBSTITUTE(SUBSTITUTE(SUBSTITUTE(SUBSTITUTE($A3834," ",""),"(주)",""),"주식회사",""),"㈜","")))</f>
        <v/>
      </c>
      <c r="H3834" s="10" t="str">
        <f aca="false">IF($B3834="","",SUBSTITUTE(SUBSTITUTE(SUBSTITUTE($B3834,"-","")," ",""),".",""))</f>
        <v/>
      </c>
      <c r="I3834" s="10" t="str">
        <f aca="false">IF($D3834="","",SUBSTITUTE(SUBSTITUTE(SUBSTITUTE($D3834,"-","")," ",""),".",""))</f>
        <v/>
      </c>
      <c r="J3834" s="10" t="str">
        <f aca="false">IF($E3834="","",UPPER(SUBSTITUTE($E3834," ","")))</f>
        <v/>
      </c>
      <c r="K3834" s="10" t="str">
        <f aca="false">IF($A3834="","",$G3834&amp;"|"&amp;$J3834)</f>
        <v/>
      </c>
      <c r="L3834" s="10" t="str">
        <f aca="false">IF($A3834="","",ROW()-2)</f>
        <v/>
      </c>
      <c r="M3834" s="10" t="str">
        <f aca="false">IF($A3834="","",ROW())</f>
        <v/>
      </c>
    </row>
    <row r="3835" customFormat="false" ht="15" hidden="false" customHeight="true" outlineLevel="0" collapsed="false">
      <c r="A3835" s="8"/>
      <c r="B3835" s="8"/>
      <c r="C3835" s="8"/>
      <c r="D3835" s="8"/>
      <c r="E3835" s="8"/>
      <c r="F3835" s="8"/>
      <c r="G3835" s="10" t="str">
        <f aca="false">IF($A3835="","",UPPER(SUBSTITUTE(SUBSTITUTE(SUBSTITUTE(SUBSTITUTE($A3835," ",""),"(주)",""),"주식회사",""),"㈜","")))</f>
        <v/>
      </c>
      <c r="H3835" s="10" t="str">
        <f aca="false">IF($B3835="","",SUBSTITUTE(SUBSTITUTE(SUBSTITUTE($B3835,"-","")," ",""),".",""))</f>
        <v/>
      </c>
      <c r="I3835" s="10" t="str">
        <f aca="false">IF($D3835="","",SUBSTITUTE(SUBSTITUTE(SUBSTITUTE($D3835,"-","")," ",""),".",""))</f>
        <v/>
      </c>
      <c r="J3835" s="10" t="str">
        <f aca="false">IF($E3835="","",UPPER(SUBSTITUTE($E3835," ","")))</f>
        <v/>
      </c>
      <c r="K3835" s="10" t="str">
        <f aca="false">IF($A3835="","",$G3835&amp;"|"&amp;$J3835)</f>
        <v/>
      </c>
      <c r="L3835" s="10" t="str">
        <f aca="false">IF($A3835="","",ROW()-2)</f>
        <v/>
      </c>
      <c r="M3835" s="10" t="str">
        <f aca="false">IF($A3835="","",ROW())</f>
        <v/>
      </c>
    </row>
    <row r="3836" customFormat="false" ht="15" hidden="false" customHeight="true" outlineLevel="0" collapsed="false">
      <c r="A3836" s="8"/>
      <c r="B3836" s="8"/>
      <c r="C3836" s="8"/>
      <c r="D3836" s="8"/>
      <c r="E3836" s="8"/>
      <c r="F3836" s="8"/>
      <c r="G3836" s="10" t="str">
        <f aca="false">IF($A3836="","",UPPER(SUBSTITUTE(SUBSTITUTE(SUBSTITUTE(SUBSTITUTE($A3836," ",""),"(주)",""),"주식회사",""),"㈜","")))</f>
        <v/>
      </c>
      <c r="H3836" s="10" t="str">
        <f aca="false">IF($B3836="","",SUBSTITUTE(SUBSTITUTE(SUBSTITUTE($B3836,"-","")," ",""),".",""))</f>
        <v/>
      </c>
      <c r="I3836" s="10" t="str">
        <f aca="false">IF($D3836="","",SUBSTITUTE(SUBSTITUTE(SUBSTITUTE($D3836,"-","")," ",""),".",""))</f>
        <v/>
      </c>
      <c r="J3836" s="10" t="str">
        <f aca="false">IF($E3836="","",UPPER(SUBSTITUTE($E3836," ","")))</f>
        <v/>
      </c>
      <c r="K3836" s="10" t="str">
        <f aca="false">IF($A3836="","",$G3836&amp;"|"&amp;$J3836)</f>
        <v/>
      </c>
      <c r="L3836" s="10" t="str">
        <f aca="false">IF($A3836="","",ROW()-2)</f>
        <v/>
      </c>
      <c r="M3836" s="10" t="str">
        <f aca="false">IF($A3836="","",ROW())</f>
        <v/>
      </c>
    </row>
    <row r="3837" customFormat="false" ht="15" hidden="false" customHeight="true" outlineLevel="0" collapsed="false">
      <c r="A3837" s="8"/>
      <c r="B3837" s="8"/>
      <c r="C3837" s="8"/>
      <c r="D3837" s="8"/>
      <c r="E3837" s="8"/>
      <c r="F3837" s="8"/>
      <c r="G3837" s="10" t="str">
        <f aca="false">IF($A3837="","",UPPER(SUBSTITUTE(SUBSTITUTE(SUBSTITUTE(SUBSTITUTE($A3837," ",""),"(주)",""),"주식회사",""),"㈜","")))</f>
        <v/>
      </c>
      <c r="H3837" s="10" t="str">
        <f aca="false">IF($B3837="","",SUBSTITUTE(SUBSTITUTE(SUBSTITUTE($B3837,"-","")," ",""),".",""))</f>
        <v/>
      </c>
      <c r="I3837" s="10" t="str">
        <f aca="false">IF($D3837="","",SUBSTITUTE(SUBSTITUTE(SUBSTITUTE($D3837,"-","")," ",""),".",""))</f>
        <v/>
      </c>
      <c r="J3837" s="10" t="str">
        <f aca="false">IF($E3837="","",UPPER(SUBSTITUTE($E3837," ","")))</f>
        <v/>
      </c>
      <c r="K3837" s="10" t="str">
        <f aca="false">IF($A3837="","",$G3837&amp;"|"&amp;$J3837)</f>
        <v/>
      </c>
      <c r="L3837" s="10" t="str">
        <f aca="false">IF($A3837="","",ROW()-2)</f>
        <v/>
      </c>
      <c r="M3837" s="10" t="str">
        <f aca="false">IF($A3837="","",ROW())</f>
        <v/>
      </c>
    </row>
    <row r="3838" customFormat="false" ht="15" hidden="false" customHeight="true" outlineLevel="0" collapsed="false">
      <c r="A3838" s="8"/>
      <c r="B3838" s="8"/>
      <c r="C3838" s="8"/>
      <c r="D3838" s="8"/>
      <c r="E3838" s="8"/>
      <c r="F3838" s="8"/>
      <c r="G3838" s="10" t="str">
        <f aca="false">IF($A3838="","",UPPER(SUBSTITUTE(SUBSTITUTE(SUBSTITUTE(SUBSTITUTE($A3838," ",""),"(주)",""),"주식회사",""),"㈜","")))</f>
        <v/>
      </c>
      <c r="H3838" s="10" t="str">
        <f aca="false">IF($B3838="","",SUBSTITUTE(SUBSTITUTE(SUBSTITUTE($B3838,"-","")," ",""),".",""))</f>
        <v/>
      </c>
      <c r="I3838" s="10" t="str">
        <f aca="false">IF($D3838="","",SUBSTITUTE(SUBSTITUTE(SUBSTITUTE($D3838,"-","")," ",""),".",""))</f>
        <v/>
      </c>
      <c r="J3838" s="10" t="str">
        <f aca="false">IF($E3838="","",UPPER(SUBSTITUTE($E3838," ","")))</f>
        <v/>
      </c>
      <c r="K3838" s="10" t="str">
        <f aca="false">IF($A3838="","",$G3838&amp;"|"&amp;$J3838)</f>
        <v/>
      </c>
      <c r="L3838" s="10" t="str">
        <f aca="false">IF($A3838="","",ROW()-2)</f>
        <v/>
      </c>
      <c r="M3838" s="10" t="str">
        <f aca="false">IF($A3838="","",ROW())</f>
        <v/>
      </c>
    </row>
    <row r="3839" customFormat="false" ht="15" hidden="false" customHeight="true" outlineLevel="0" collapsed="false">
      <c r="A3839" s="8"/>
      <c r="B3839" s="8"/>
      <c r="C3839" s="8"/>
      <c r="D3839" s="8"/>
      <c r="E3839" s="8"/>
      <c r="F3839" s="8"/>
      <c r="G3839" s="10" t="str">
        <f aca="false">IF($A3839="","",UPPER(SUBSTITUTE(SUBSTITUTE(SUBSTITUTE(SUBSTITUTE($A3839," ",""),"(주)",""),"주식회사",""),"㈜","")))</f>
        <v/>
      </c>
      <c r="H3839" s="10" t="str">
        <f aca="false">IF($B3839="","",SUBSTITUTE(SUBSTITUTE(SUBSTITUTE($B3839,"-","")," ",""),".",""))</f>
        <v/>
      </c>
      <c r="I3839" s="10" t="str">
        <f aca="false">IF($D3839="","",SUBSTITUTE(SUBSTITUTE(SUBSTITUTE($D3839,"-","")," ",""),".",""))</f>
        <v/>
      </c>
      <c r="J3839" s="10" t="str">
        <f aca="false">IF($E3839="","",UPPER(SUBSTITUTE($E3839," ","")))</f>
        <v/>
      </c>
      <c r="K3839" s="10" t="str">
        <f aca="false">IF($A3839="","",$G3839&amp;"|"&amp;$J3839)</f>
        <v/>
      </c>
      <c r="L3839" s="10" t="str">
        <f aca="false">IF($A3839="","",ROW()-2)</f>
        <v/>
      </c>
      <c r="M3839" s="10" t="str">
        <f aca="false">IF($A3839="","",ROW())</f>
        <v/>
      </c>
    </row>
    <row r="3840" customFormat="false" ht="15" hidden="false" customHeight="true" outlineLevel="0" collapsed="false">
      <c r="A3840" s="8"/>
      <c r="B3840" s="8"/>
      <c r="C3840" s="8"/>
      <c r="D3840" s="8"/>
      <c r="E3840" s="8"/>
      <c r="F3840" s="8"/>
      <c r="G3840" s="10" t="str">
        <f aca="false">IF($A3840="","",UPPER(SUBSTITUTE(SUBSTITUTE(SUBSTITUTE(SUBSTITUTE($A3840," ",""),"(주)",""),"주식회사",""),"㈜","")))</f>
        <v/>
      </c>
      <c r="H3840" s="10" t="str">
        <f aca="false">IF($B3840="","",SUBSTITUTE(SUBSTITUTE(SUBSTITUTE($B3840,"-","")," ",""),".",""))</f>
        <v/>
      </c>
      <c r="I3840" s="10" t="str">
        <f aca="false">IF($D3840="","",SUBSTITUTE(SUBSTITUTE(SUBSTITUTE($D3840,"-","")," ",""),".",""))</f>
        <v/>
      </c>
      <c r="J3840" s="10" t="str">
        <f aca="false">IF($E3840="","",UPPER(SUBSTITUTE($E3840," ","")))</f>
        <v/>
      </c>
      <c r="K3840" s="10" t="str">
        <f aca="false">IF($A3840="","",$G3840&amp;"|"&amp;$J3840)</f>
        <v/>
      </c>
      <c r="L3840" s="10" t="str">
        <f aca="false">IF($A3840="","",ROW()-2)</f>
        <v/>
      </c>
      <c r="M3840" s="10" t="str">
        <f aca="false">IF($A3840="","",ROW())</f>
        <v/>
      </c>
    </row>
    <row r="3841" customFormat="false" ht="15" hidden="false" customHeight="true" outlineLevel="0" collapsed="false">
      <c r="A3841" s="8"/>
      <c r="B3841" s="8"/>
      <c r="C3841" s="8"/>
      <c r="D3841" s="8"/>
      <c r="E3841" s="8"/>
      <c r="F3841" s="8"/>
      <c r="G3841" s="10" t="str">
        <f aca="false">IF($A3841="","",UPPER(SUBSTITUTE(SUBSTITUTE(SUBSTITUTE(SUBSTITUTE($A3841," ",""),"(주)",""),"주식회사",""),"㈜","")))</f>
        <v/>
      </c>
      <c r="H3841" s="10" t="str">
        <f aca="false">IF($B3841="","",SUBSTITUTE(SUBSTITUTE(SUBSTITUTE($B3841,"-","")," ",""),".",""))</f>
        <v/>
      </c>
      <c r="I3841" s="10" t="str">
        <f aca="false">IF($D3841="","",SUBSTITUTE(SUBSTITUTE(SUBSTITUTE($D3841,"-","")," ",""),".",""))</f>
        <v/>
      </c>
      <c r="J3841" s="10" t="str">
        <f aca="false">IF($E3841="","",UPPER(SUBSTITUTE($E3841," ","")))</f>
        <v/>
      </c>
      <c r="K3841" s="10" t="str">
        <f aca="false">IF($A3841="","",$G3841&amp;"|"&amp;$J3841)</f>
        <v/>
      </c>
      <c r="L3841" s="10" t="str">
        <f aca="false">IF($A3841="","",ROW()-2)</f>
        <v/>
      </c>
      <c r="M3841" s="10" t="str">
        <f aca="false">IF($A3841="","",ROW())</f>
        <v/>
      </c>
    </row>
    <row r="3842" customFormat="false" ht="15" hidden="false" customHeight="true" outlineLevel="0" collapsed="false">
      <c r="A3842" s="8"/>
      <c r="B3842" s="8"/>
      <c r="C3842" s="8"/>
      <c r="D3842" s="8"/>
      <c r="E3842" s="8"/>
      <c r="F3842" s="8"/>
      <c r="G3842" s="10" t="str">
        <f aca="false">IF($A3842="","",UPPER(SUBSTITUTE(SUBSTITUTE(SUBSTITUTE(SUBSTITUTE($A3842," ",""),"(주)",""),"주식회사",""),"㈜","")))</f>
        <v/>
      </c>
      <c r="H3842" s="10" t="str">
        <f aca="false">IF($B3842="","",SUBSTITUTE(SUBSTITUTE(SUBSTITUTE($B3842,"-","")," ",""),".",""))</f>
        <v/>
      </c>
      <c r="I3842" s="10" t="str">
        <f aca="false">IF($D3842="","",SUBSTITUTE(SUBSTITUTE(SUBSTITUTE($D3842,"-","")," ",""),".",""))</f>
        <v/>
      </c>
      <c r="J3842" s="10" t="str">
        <f aca="false">IF($E3842="","",UPPER(SUBSTITUTE($E3842," ","")))</f>
        <v/>
      </c>
      <c r="K3842" s="10" t="str">
        <f aca="false">IF($A3842="","",$G3842&amp;"|"&amp;$J3842)</f>
        <v/>
      </c>
      <c r="L3842" s="10" t="str">
        <f aca="false">IF($A3842="","",ROW()-2)</f>
        <v/>
      </c>
      <c r="M3842" s="10" t="str">
        <f aca="false">IF($A3842="","",ROW())</f>
        <v/>
      </c>
    </row>
    <row r="3843" customFormat="false" ht="15" hidden="false" customHeight="true" outlineLevel="0" collapsed="false">
      <c r="A3843" s="8"/>
      <c r="B3843" s="8"/>
      <c r="C3843" s="8"/>
      <c r="D3843" s="8"/>
      <c r="E3843" s="8"/>
      <c r="F3843" s="8"/>
      <c r="G3843" s="10" t="str">
        <f aca="false">IF($A3843="","",UPPER(SUBSTITUTE(SUBSTITUTE(SUBSTITUTE(SUBSTITUTE($A3843," ",""),"(주)",""),"주식회사",""),"㈜","")))</f>
        <v/>
      </c>
      <c r="H3843" s="10" t="str">
        <f aca="false">IF($B3843="","",SUBSTITUTE(SUBSTITUTE(SUBSTITUTE($B3843,"-","")," ",""),".",""))</f>
        <v/>
      </c>
      <c r="I3843" s="10" t="str">
        <f aca="false">IF($D3843="","",SUBSTITUTE(SUBSTITUTE(SUBSTITUTE($D3843,"-","")," ",""),".",""))</f>
        <v/>
      </c>
      <c r="J3843" s="10" t="str">
        <f aca="false">IF($E3843="","",UPPER(SUBSTITUTE($E3843," ","")))</f>
        <v/>
      </c>
      <c r="K3843" s="10" t="str">
        <f aca="false">IF($A3843="","",$G3843&amp;"|"&amp;$J3843)</f>
        <v/>
      </c>
      <c r="L3843" s="10" t="str">
        <f aca="false">IF($A3843="","",ROW()-2)</f>
        <v/>
      </c>
      <c r="M3843" s="10" t="str">
        <f aca="false">IF($A3843="","",ROW())</f>
        <v/>
      </c>
    </row>
    <row r="3844" customFormat="false" ht="15" hidden="false" customHeight="true" outlineLevel="0" collapsed="false">
      <c r="A3844" s="8"/>
      <c r="B3844" s="8"/>
      <c r="C3844" s="8"/>
      <c r="D3844" s="8"/>
      <c r="E3844" s="8"/>
      <c r="F3844" s="8"/>
      <c r="G3844" s="10" t="str">
        <f aca="false">IF($A3844="","",UPPER(SUBSTITUTE(SUBSTITUTE(SUBSTITUTE(SUBSTITUTE($A3844," ",""),"(주)",""),"주식회사",""),"㈜","")))</f>
        <v/>
      </c>
      <c r="H3844" s="10" t="str">
        <f aca="false">IF($B3844="","",SUBSTITUTE(SUBSTITUTE(SUBSTITUTE($B3844,"-","")," ",""),".",""))</f>
        <v/>
      </c>
      <c r="I3844" s="10" t="str">
        <f aca="false">IF($D3844="","",SUBSTITUTE(SUBSTITUTE(SUBSTITUTE($D3844,"-","")," ",""),".",""))</f>
        <v/>
      </c>
      <c r="J3844" s="10" t="str">
        <f aca="false">IF($E3844="","",UPPER(SUBSTITUTE($E3844," ","")))</f>
        <v/>
      </c>
      <c r="K3844" s="10" t="str">
        <f aca="false">IF($A3844="","",$G3844&amp;"|"&amp;$J3844)</f>
        <v/>
      </c>
      <c r="L3844" s="10" t="str">
        <f aca="false">IF($A3844="","",ROW()-2)</f>
        <v/>
      </c>
      <c r="M3844" s="10" t="str">
        <f aca="false">IF($A3844="","",ROW())</f>
        <v/>
      </c>
    </row>
    <row r="3845" customFormat="false" ht="15" hidden="false" customHeight="true" outlineLevel="0" collapsed="false">
      <c r="A3845" s="8"/>
      <c r="B3845" s="8"/>
      <c r="C3845" s="8"/>
      <c r="D3845" s="8"/>
      <c r="E3845" s="8"/>
      <c r="F3845" s="8"/>
      <c r="G3845" s="10" t="str">
        <f aca="false">IF($A3845="","",UPPER(SUBSTITUTE(SUBSTITUTE(SUBSTITUTE(SUBSTITUTE($A3845," ",""),"(주)",""),"주식회사",""),"㈜","")))</f>
        <v/>
      </c>
      <c r="H3845" s="10" t="str">
        <f aca="false">IF($B3845="","",SUBSTITUTE(SUBSTITUTE(SUBSTITUTE($B3845,"-","")," ",""),".",""))</f>
        <v/>
      </c>
      <c r="I3845" s="10" t="str">
        <f aca="false">IF($D3845="","",SUBSTITUTE(SUBSTITUTE(SUBSTITUTE($D3845,"-","")," ",""),".",""))</f>
        <v/>
      </c>
      <c r="J3845" s="10" t="str">
        <f aca="false">IF($E3845="","",UPPER(SUBSTITUTE($E3845," ","")))</f>
        <v/>
      </c>
      <c r="K3845" s="10" t="str">
        <f aca="false">IF($A3845="","",$G3845&amp;"|"&amp;$J3845)</f>
        <v/>
      </c>
      <c r="L3845" s="10" t="str">
        <f aca="false">IF($A3845="","",ROW()-2)</f>
        <v/>
      </c>
      <c r="M3845" s="10" t="str">
        <f aca="false">IF($A3845="","",ROW())</f>
        <v/>
      </c>
    </row>
    <row r="3846" customFormat="false" ht="15" hidden="false" customHeight="true" outlineLevel="0" collapsed="false">
      <c r="A3846" s="8"/>
      <c r="B3846" s="8"/>
      <c r="C3846" s="8"/>
      <c r="D3846" s="8"/>
      <c r="E3846" s="8"/>
      <c r="F3846" s="8"/>
      <c r="G3846" s="10" t="str">
        <f aca="false">IF($A3846="","",UPPER(SUBSTITUTE(SUBSTITUTE(SUBSTITUTE(SUBSTITUTE($A3846," ",""),"(주)",""),"주식회사",""),"㈜","")))</f>
        <v/>
      </c>
      <c r="H3846" s="10" t="str">
        <f aca="false">IF($B3846="","",SUBSTITUTE(SUBSTITUTE(SUBSTITUTE($B3846,"-","")," ",""),".",""))</f>
        <v/>
      </c>
      <c r="I3846" s="10" t="str">
        <f aca="false">IF($D3846="","",SUBSTITUTE(SUBSTITUTE(SUBSTITUTE($D3846,"-","")," ",""),".",""))</f>
        <v/>
      </c>
      <c r="J3846" s="10" t="str">
        <f aca="false">IF($E3846="","",UPPER(SUBSTITUTE($E3846," ","")))</f>
        <v/>
      </c>
      <c r="K3846" s="10" t="str">
        <f aca="false">IF($A3846="","",$G3846&amp;"|"&amp;$J3846)</f>
        <v/>
      </c>
      <c r="L3846" s="10" t="str">
        <f aca="false">IF($A3846="","",ROW()-2)</f>
        <v/>
      </c>
      <c r="M3846" s="10" t="str">
        <f aca="false">IF($A3846="","",ROW())</f>
        <v/>
      </c>
    </row>
    <row r="3847" customFormat="false" ht="15" hidden="false" customHeight="true" outlineLevel="0" collapsed="false">
      <c r="A3847" s="8"/>
      <c r="B3847" s="8"/>
      <c r="C3847" s="8"/>
      <c r="D3847" s="8"/>
      <c r="E3847" s="8"/>
      <c r="F3847" s="8"/>
      <c r="G3847" s="10" t="str">
        <f aca="false">IF($A3847="","",UPPER(SUBSTITUTE(SUBSTITUTE(SUBSTITUTE(SUBSTITUTE($A3847," ",""),"(주)",""),"주식회사",""),"㈜","")))</f>
        <v/>
      </c>
      <c r="H3847" s="10" t="str">
        <f aca="false">IF($B3847="","",SUBSTITUTE(SUBSTITUTE(SUBSTITUTE($B3847,"-","")," ",""),".",""))</f>
        <v/>
      </c>
      <c r="I3847" s="10" t="str">
        <f aca="false">IF($D3847="","",SUBSTITUTE(SUBSTITUTE(SUBSTITUTE($D3847,"-","")," ",""),".",""))</f>
        <v/>
      </c>
      <c r="J3847" s="10" t="str">
        <f aca="false">IF($E3847="","",UPPER(SUBSTITUTE($E3847," ","")))</f>
        <v/>
      </c>
      <c r="K3847" s="10" t="str">
        <f aca="false">IF($A3847="","",$G3847&amp;"|"&amp;$J3847)</f>
        <v/>
      </c>
      <c r="L3847" s="10" t="str">
        <f aca="false">IF($A3847="","",ROW()-2)</f>
        <v/>
      </c>
      <c r="M3847" s="10" t="str">
        <f aca="false">IF($A3847="","",ROW())</f>
        <v/>
      </c>
    </row>
    <row r="3848" customFormat="false" ht="15" hidden="false" customHeight="true" outlineLevel="0" collapsed="false">
      <c r="A3848" s="8"/>
      <c r="B3848" s="8"/>
      <c r="C3848" s="8"/>
      <c r="D3848" s="8"/>
      <c r="E3848" s="8"/>
      <c r="F3848" s="8"/>
      <c r="G3848" s="10" t="str">
        <f aca="false">IF($A3848="","",UPPER(SUBSTITUTE(SUBSTITUTE(SUBSTITUTE(SUBSTITUTE($A3848," ",""),"(주)",""),"주식회사",""),"㈜","")))</f>
        <v/>
      </c>
      <c r="H3848" s="10" t="str">
        <f aca="false">IF($B3848="","",SUBSTITUTE(SUBSTITUTE(SUBSTITUTE($B3848,"-","")," ",""),".",""))</f>
        <v/>
      </c>
      <c r="I3848" s="10" t="str">
        <f aca="false">IF($D3848="","",SUBSTITUTE(SUBSTITUTE(SUBSTITUTE($D3848,"-","")," ",""),".",""))</f>
        <v/>
      </c>
      <c r="J3848" s="10" t="str">
        <f aca="false">IF($E3848="","",UPPER(SUBSTITUTE($E3848," ","")))</f>
        <v/>
      </c>
      <c r="K3848" s="10" t="str">
        <f aca="false">IF($A3848="","",$G3848&amp;"|"&amp;$J3848)</f>
        <v/>
      </c>
      <c r="L3848" s="10" t="str">
        <f aca="false">IF($A3848="","",ROW()-2)</f>
        <v/>
      </c>
      <c r="M3848" s="10" t="str">
        <f aca="false">IF($A3848="","",ROW())</f>
        <v/>
      </c>
    </row>
    <row r="3849" customFormat="false" ht="15" hidden="false" customHeight="true" outlineLevel="0" collapsed="false">
      <c r="A3849" s="8"/>
      <c r="B3849" s="8"/>
      <c r="C3849" s="8"/>
      <c r="D3849" s="8"/>
      <c r="E3849" s="8"/>
      <c r="F3849" s="8"/>
      <c r="G3849" s="10" t="str">
        <f aca="false">IF($A3849="","",UPPER(SUBSTITUTE(SUBSTITUTE(SUBSTITUTE(SUBSTITUTE($A3849," ",""),"(주)",""),"주식회사",""),"㈜","")))</f>
        <v/>
      </c>
      <c r="H3849" s="10" t="str">
        <f aca="false">IF($B3849="","",SUBSTITUTE(SUBSTITUTE(SUBSTITUTE($B3849,"-","")," ",""),".",""))</f>
        <v/>
      </c>
      <c r="I3849" s="10" t="str">
        <f aca="false">IF($D3849="","",SUBSTITUTE(SUBSTITUTE(SUBSTITUTE($D3849,"-","")," ",""),".",""))</f>
        <v/>
      </c>
      <c r="J3849" s="10" t="str">
        <f aca="false">IF($E3849="","",UPPER(SUBSTITUTE($E3849," ","")))</f>
        <v/>
      </c>
      <c r="K3849" s="10" t="str">
        <f aca="false">IF($A3849="","",$G3849&amp;"|"&amp;$J3849)</f>
        <v/>
      </c>
      <c r="L3849" s="10" t="str">
        <f aca="false">IF($A3849="","",ROW()-2)</f>
        <v/>
      </c>
      <c r="M3849" s="10" t="str">
        <f aca="false">IF($A3849="","",ROW())</f>
        <v/>
      </c>
    </row>
    <row r="3850" customFormat="false" ht="15" hidden="false" customHeight="true" outlineLevel="0" collapsed="false">
      <c r="A3850" s="8"/>
      <c r="B3850" s="8"/>
      <c r="C3850" s="8"/>
      <c r="D3850" s="8"/>
      <c r="E3850" s="8"/>
      <c r="F3850" s="8"/>
      <c r="G3850" s="10" t="str">
        <f aca="false">IF($A3850="","",UPPER(SUBSTITUTE(SUBSTITUTE(SUBSTITUTE(SUBSTITUTE($A3850," ",""),"(주)",""),"주식회사",""),"㈜","")))</f>
        <v/>
      </c>
      <c r="H3850" s="10" t="str">
        <f aca="false">IF($B3850="","",SUBSTITUTE(SUBSTITUTE(SUBSTITUTE($B3850,"-","")," ",""),".",""))</f>
        <v/>
      </c>
      <c r="I3850" s="10" t="str">
        <f aca="false">IF($D3850="","",SUBSTITUTE(SUBSTITUTE(SUBSTITUTE($D3850,"-","")," ",""),".",""))</f>
        <v/>
      </c>
      <c r="J3850" s="10" t="str">
        <f aca="false">IF($E3850="","",UPPER(SUBSTITUTE($E3850," ","")))</f>
        <v/>
      </c>
      <c r="K3850" s="10" t="str">
        <f aca="false">IF($A3850="","",$G3850&amp;"|"&amp;$J3850)</f>
        <v/>
      </c>
      <c r="L3850" s="10" t="str">
        <f aca="false">IF($A3850="","",ROW()-2)</f>
        <v/>
      </c>
      <c r="M3850" s="10" t="str">
        <f aca="false">IF($A3850="","",ROW())</f>
        <v/>
      </c>
    </row>
    <row r="3851" customFormat="false" ht="15" hidden="false" customHeight="true" outlineLevel="0" collapsed="false">
      <c r="A3851" s="8"/>
      <c r="B3851" s="8"/>
      <c r="C3851" s="8"/>
      <c r="D3851" s="8"/>
      <c r="E3851" s="8"/>
      <c r="F3851" s="8"/>
      <c r="G3851" s="10" t="str">
        <f aca="false">IF($A3851="","",UPPER(SUBSTITUTE(SUBSTITUTE(SUBSTITUTE(SUBSTITUTE($A3851," ",""),"(주)",""),"주식회사",""),"㈜","")))</f>
        <v/>
      </c>
      <c r="H3851" s="10" t="str">
        <f aca="false">IF($B3851="","",SUBSTITUTE(SUBSTITUTE(SUBSTITUTE($B3851,"-","")," ",""),".",""))</f>
        <v/>
      </c>
      <c r="I3851" s="10" t="str">
        <f aca="false">IF($D3851="","",SUBSTITUTE(SUBSTITUTE(SUBSTITUTE($D3851,"-","")," ",""),".",""))</f>
        <v/>
      </c>
      <c r="J3851" s="10" t="str">
        <f aca="false">IF($E3851="","",UPPER(SUBSTITUTE($E3851," ","")))</f>
        <v/>
      </c>
      <c r="K3851" s="10" t="str">
        <f aca="false">IF($A3851="","",$G3851&amp;"|"&amp;$J3851)</f>
        <v/>
      </c>
      <c r="L3851" s="10" t="str">
        <f aca="false">IF($A3851="","",ROW()-2)</f>
        <v/>
      </c>
      <c r="M3851" s="10" t="str">
        <f aca="false">IF($A3851="","",ROW())</f>
        <v/>
      </c>
    </row>
    <row r="3852" customFormat="false" ht="15" hidden="false" customHeight="true" outlineLevel="0" collapsed="false">
      <c r="A3852" s="8"/>
      <c r="B3852" s="8"/>
      <c r="C3852" s="8"/>
      <c r="D3852" s="8"/>
      <c r="E3852" s="8"/>
      <c r="F3852" s="8"/>
      <c r="G3852" s="10" t="str">
        <f aca="false">IF($A3852="","",UPPER(SUBSTITUTE(SUBSTITUTE(SUBSTITUTE(SUBSTITUTE($A3852," ",""),"(주)",""),"주식회사",""),"㈜","")))</f>
        <v/>
      </c>
      <c r="H3852" s="10" t="str">
        <f aca="false">IF($B3852="","",SUBSTITUTE(SUBSTITUTE(SUBSTITUTE($B3852,"-","")," ",""),".",""))</f>
        <v/>
      </c>
      <c r="I3852" s="10" t="str">
        <f aca="false">IF($D3852="","",SUBSTITUTE(SUBSTITUTE(SUBSTITUTE($D3852,"-","")," ",""),".",""))</f>
        <v/>
      </c>
      <c r="J3852" s="10" t="str">
        <f aca="false">IF($E3852="","",UPPER(SUBSTITUTE($E3852," ","")))</f>
        <v/>
      </c>
      <c r="K3852" s="10" t="str">
        <f aca="false">IF($A3852="","",$G3852&amp;"|"&amp;$J3852)</f>
        <v/>
      </c>
      <c r="L3852" s="10" t="str">
        <f aca="false">IF($A3852="","",ROW()-2)</f>
        <v/>
      </c>
      <c r="M3852" s="10" t="str">
        <f aca="false">IF($A3852="","",ROW())</f>
        <v/>
      </c>
    </row>
    <row r="3853" customFormat="false" ht="15" hidden="false" customHeight="true" outlineLevel="0" collapsed="false">
      <c r="A3853" s="8"/>
      <c r="B3853" s="8"/>
      <c r="C3853" s="8"/>
      <c r="D3853" s="8"/>
      <c r="E3853" s="8"/>
      <c r="F3853" s="8"/>
      <c r="G3853" s="10" t="str">
        <f aca="false">IF($A3853="","",UPPER(SUBSTITUTE(SUBSTITUTE(SUBSTITUTE(SUBSTITUTE($A3853," ",""),"(주)",""),"주식회사",""),"㈜","")))</f>
        <v/>
      </c>
      <c r="H3853" s="10" t="str">
        <f aca="false">IF($B3853="","",SUBSTITUTE(SUBSTITUTE(SUBSTITUTE($B3853,"-","")," ",""),".",""))</f>
        <v/>
      </c>
      <c r="I3853" s="10" t="str">
        <f aca="false">IF($D3853="","",SUBSTITUTE(SUBSTITUTE(SUBSTITUTE($D3853,"-","")," ",""),".",""))</f>
        <v/>
      </c>
      <c r="J3853" s="10" t="str">
        <f aca="false">IF($E3853="","",UPPER(SUBSTITUTE($E3853," ","")))</f>
        <v/>
      </c>
      <c r="K3853" s="10" t="str">
        <f aca="false">IF($A3853="","",$G3853&amp;"|"&amp;$J3853)</f>
        <v/>
      </c>
      <c r="L3853" s="10" t="str">
        <f aca="false">IF($A3853="","",ROW()-2)</f>
        <v/>
      </c>
      <c r="M3853" s="10" t="str">
        <f aca="false">IF($A3853="","",ROW())</f>
        <v/>
      </c>
    </row>
    <row r="3854" customFormat="false" ht="15" hidden="false" customHeight="true" outlineLevel="0" collapsed="false">
      <c r="A3854" s="8"/>
      <c r="B3854" s="8"/>
      <c r="C3854" s="8"/>
      <c r="D3854" s="8"/>
      <c r="E3854" s="8"/>
      <c r="F3854" s="8"/>
      <c r="G3854" s="10" t="str">
        <f aca="false">IF($A3854="","",UPPER(SUBSTITUTE(SUBSTITUTE(SUBSTITUTE(SUBSTITUTE($A3854," ",""),"(주)",""),"주식회사",""),"㈜","")))</f>
        <v/>
      </c>
      <c r="H3854" s="10" t="str">
        <f aca="false">IF($B3854="","",SUBSTITUTE(SUBSTITUTE(SUBSTITUTE($B3854,"-","")," ",""),".",""))</f>
        <v/>
      </c>
      <c r="I3854" s="10" t="str">
        <f aca="false">IF($D3854="","",SUBSTITUTE(SUBSTITUTE(SUBSTITUTE($D3854,"-","")," ",""),".",""))</f>
        <v/>
      </c>
      <c r="J3854" s="10" t="str">
        <f aca="false">IF($E3854="","",UPPER(SUBSTITUTE($E3854," ","")))</f>
        <v/>
      </c>
      <c r="K3854" s="10" t="str">
        <f aca="false">IF($A3854="","",$G3854&amp;"|"&amp;$J3854)</f>
        <v/>
      </c>
      <c r="L3854" s="10" t="str">
        <f aca="false">IF($A3854="","",ROW()-2)</f>
        <v/>
      </c>
      <c r="M3854" s="10" t="str">
        <f aca="false">IF($A3854="","",ROW())</f>
        <v/>
      </c>
    </row>
    <row r="3855" customFormat="false" ht="15" hidden="false" customHeight="true" outlineLevel="0" collapsed="false">
      <c r="A3855" s="8"/>
      <c r="B3855" s="8"/>
      <c r="C3855" s="8"/>
      <c r="D3855" s="8"/>
      <c r="E3855" s="8"/>
      <c r="F3855" s="8"/>
      <c r="G3855" s="10" t="str">
        <f aca="false">IF($A3855="","",UPPER(SUBSTITUTE(SUBSTITUTE(SUBSTITUTE(SUBSTITUTE($A3855," ",""),"(주)",""),"주식회사",""),"㈜","")))</f>
        <v/>
      </c>
      <c r="H3855" s="10" t="str">
        <f aca="false">IF($B3855="","",SUBSTITUTE(SUBSTITUTE(SUBSTITUTE($B3855,"-","")," ",""),".",""))</f>
        <v/>
      </c>
      <c r="I3855" s="10" t="str">
        <f aca="false">IF($D3855="","",SUBSTITUTE(SUBSTITUTE(SUBSTITUTE($D3855,"-","")," ",""),".",""))</f>
        <v/>
      </c>
      <c r="J3855" s="10" t="str">
        <f aca="false">IF($E3855="","",UPPER(SUBSTITUTE($E3855," ","")))</f>
        <v/>
      </c>
      <c r="K3855" s="10" t="str">
        <f aca="false">IF($A3855="","",$G3855&amp;"|"&amp;$J3855)</f>
        <v/>
      </c>
      <c r="L3855" s="10" t="str">
        <f aca="false">IF($A3855="","",ROW()-2)</f>
        <v/>
      </c>
      <c r="M3855" s="10" t="str">
        <f aca="false">IF($A3855="","",ROW())</f>
        <v/>
      </c>
    </row>
    <row r="3856" customFormat="false" ht="15" hidden="false" customHeight="true" outlineLevel="0" collapsed="false">
      <c r="A3856" s="8"/>
      <c r="B3856" s="8"/>
      <c r="C3856" s="8"/>
      <c r="D3856" s="8"/>
      <c r="E3856" s="8"/>
      <c r="F3856" s="8"/>
      <c r="G3856" s="10" t="str">
        <f aca="false">IF($A3856="","",UPPER(SUBSTITUTE(SUBSTITUTE(SUBSTITUTE(SUBSTITUTE($A3856," ",""),"(주)",""),"주식회사",""),"㈜","")))</f>
        <v/>
      </c>
      <c r="H3856" s="10" t="str">
        <f aca="false">IF($B3856="","",SUBSTITUTE(SUBSTITUTE(SUBSTITUTE($B3856,"-","")," ",""),".",""))</f>
        <v/>
      </c>
      <c r="I3856" s="10" t="str">
        <f aca="false">IF($D3856="","",SUBSTITUTE(SUBSTITUTE(SUBSTITUTE($D3856,"-","")," ",""),".",""))</f>
        <v/>
      </c>
      <c r="J3856" s="10" t="str">
        <f aca="false">IF($E3856="","",UPPER(SUBSTITUTE($E3856," ","")))</f>
        <v/>
      </c>
      <c r="K3856" s="10" t="str">
        <f aca="false">IF($A3856="","",$G3856&amp;"|"&amp;$J3856)</f>
        <v/>
      </c>
      <c r="L3856" s="10" t="str">
        <f aca="false">IF($A3856="","",ROW()-2)</f>
        <v/>
      </c>
      <c r="M3856" s="10" t="str">
        <f aca="false">IF($A3856="","",ROW())</f>
        <v/>
      </c>
    </row>
    <row r="3857" customFormat="false" ht="15" hidden="false" customHeight="true" outlineLevel="0" collapsed="false">
      <c r="A3857" s="8"/>
      <c r="B3857" s="8"/>
      <c r="C3857" s="8"/>
      <c r="D3857" s="8"/>
      <c r="E3857" s="8"/>
      <c r="F3857" s="8"/>
      <c r="G3857" s="10" t="str">
        <f aca="false">IF($A3857="","",UPPER(SUBSTITUTE(SUBSTITUTE(SUBSTITUTE(SUBSTITUTE($A3857," ",""),"(주)",""),"주식회사",""),"㈜","")))</f>
        <v/>
      </c>
      <c r="H3857" s="10" t="str">
        <f aca="false">IF($B3857="","",SUBSTITUTE(SUBSTITUTE(SUBSTITUTE($B3857,"-","")," ",""),".",""))</f>
        <v/>
      </c>
      <c r="I3857" s="10" t="str">
        <f aca="false">IF($D3857="","",SUBSTITUTE(SUBSTITUTE(SUBSTITUTE($D3857,"-","")," ",""),".",""))</f>
        <v/>
      </c>
      <c r="J3857" s="10" t="str">
        <f aca="false">IF($E3857="","",UPPER(SUBSTITUTE($E3857," ","")))</f>
        <v/>
      </c>
      <c r="K3857" s="10" t="str">
        <f aca="false">IF($A3857="","",$G3857&amp;"|"&amp;$J3857)</f>
        <v/>
      </c>
      <c r="L3857" s="10" t="str">
        <f aca="false">IF($A3857="","",ROW()-2)</f>
        <v/>
      </c>
      <c r="M3857" s="10" t="str">
        <f aca="false">IF($A3857="","",ROW())</f>
        <v/>
      </c>
    </row>
    <row r="3858" customFormat="false" ht="15" hidden="false" customHeight="true" outlineLevel="0" collapsed="false">
      <c r="A3858" s="8"/>
      <c r="B3858" s="8"/>
      <c r="C3858" s="8"/>
      <c r="D3858" s="8"/>
      <c r="E3858" s="8"/>
      <c r="F3858" s="8"/>
      <c r="G3858" s="10" t="str">
        <f aca="false">IF($A3858="","",UPPER(SUBSTITUTE(SUBSTITUTE(SUBSTITUTE(SUBSTITUTE($A3858," ",""),"(주)",""),"주식회사",""),"㈜","")))</f>
        <v/>
      </c>
      <c r="H3858" s="10" t="str">
        <f aca="false">IF($B3858="","",SUBSTITUTE(SUBSTITUTE(SUBSTITUTE($B3858,"-","")," ",""),".",""))</f>
        <v/>
      </c>
      <c r="I3858" s="10" t="str">
        <f aca="false">IF($D3858="","",SUBSTITUTE(SUBSTITUTE(SUBSTITUTE($D3858,"-","")," ",""),".",""))</f>
        <v/>
      </c>
      <c r="J3858" s="10" t="str">
        <f aca="false">IF($E3858="","",UPPER(SUBSTITUTE($E3858," ","")))</f>
        <v/>
      </c>
      <c r="K3858" s="10" t="str">
        <f aca="false">IF($A3858="","",$G3858&amp;"|"&amp;$J3858)</f>
        <v/>
      </c>
      <c r="L3858" s="10" t="str">
        <f aca="false">IF($A3858="","",ROW()-2)</f>
        <v/>
      </c>
      <c r="M3858" s="10" t="str">
        <f aca="false">IF($A3858="","",ROW())</f>
        <v/>
      </c>
    </row>
    <row r="3859" customFormat="false" ht="15" hidden="false" customHeight="true" outlineLevel="0" collapsed="false">
      <c r="A3859" s="8"/>
      <c r="B3859" s="8"/>
      <c r="C3859" s="8"/>
      <c r="D3859" s="8"/>
      <c r="E3859" s="8"/>
      <c r="F3859" s="8"/>
      <c r="G3859" s="10" t="str">
        <f aca="false">IF($A3859="","",UPPER(SUBSTITUTE(SUBSTITUTE(SUBSTITUTE(SUBSTITUTE($A3859," ",""),"(주)",""),"주식회사",""),"㈜","")))</f>
        <v/>
      </c>
      <c r="H3859" s="10" t="str">
        <f aca="false">IF($B3859="","",SUBSTITUTE(SUBSTITUTE(SUBSTITUTE($B3859,"-","")," ",""),".",""))</f>
        <v/>
      </c>
      <c r="I3859" s="10" t="str">
        <f aca="false">IF($D3859="","",SUBSTITUTE(SUBSTITUTE(SUBSTITUTE($D3859,"-","")," ",""),".",""))</f>
        <v/>
      </c>
      <c r="J3859" s="10" t="str">
        <f aca="false">IF($E3859="","",UPPER(SUBSTITUTE($E3859," ","")))</f>
        <v/>
      </c>
      <c r="K3859" s="10" t="str">
        <f aca="false">IF($A3859="","",$G3859&amp;"|"&amp;$J3859)</f>
        <v/>
      </c>
      <c r="L3859" s="10" t="str">
        <f aca="false">IF($A3859="","",ROW()-2)</f>
        <v/>
      </c>
      <c r="M3859" s="10" t="str">
        <f aca="false">IF($A3859="","",ROW())</f>
        <v/>
      </c>
    </row>
    <row r="3860" customFormat="false" ht="15" hidden="false" customHeight="true" outlineLevel="0" collapsed="false">
      <c r="A3860" s="8"/>
      <c r="B3860" s="8"/>
      <c r="C3860" s="8"/>
      <c r="D3860" s="8"/>
      <c r="E3860" s="8"/>
      <c r="F3860" s="8"/>
      <c r="G3860" s="10" t="str">
        <f aca="false">IF($A3860="","",UPPER(SUBSTITUTE(SUBSTITUTE(SUBSTITUTE(SUBSTITUTE($A3860," ",""),"(주)",""),"주식회사",""),"㈜","")))</f>
        <v/>
      </c>
      <c r="H3860" s="10" t="str">
        <f aca="false">IF($B3860="","",SUBSTITUTE(SUBSTITUTE(SUBSTITUTE($B3860,"-","")," ",""),".",""))</f>
        <v/>
      </c>
      <c r="I3860" s="10" t="str">
        <f aca="false">IF($D3860="","",SUBSTITUTE(SUBSTITUTE(SUBSTITUTE($D3860,"-","")," ",""),".",""))</f>
        <v/>
      </c>
      <c r="J3860" s="10" t="str">
        <f aca="false">IF($E3860="","",UPPER(SUBSTITUTE($E3860," ","")))</f>
        <v/>
      </c>
      <c r="K3860" s="10" t="str">
        <f aca="false">IF($A3860="","",$G3860&amp;"|"&amp;$J3860)</f>
        <v/>
      </c>
      <c r="L3860" s="10" t="str">
        <f aca="false">IF($A3860="","",ROW()-2)</f>
        <v/>
      </c>
      <c r="M3860" s="10" t="str">
        <f aca="false">IF($A3860="","",ROW())</f>
        <v/>
      </c>
    </row>
    <row r="3861" customFormat="false" ht="15" hidden="false" customHeight="true" outlineLevel="0" collapsed="false">
      <c r="A3861" s="8"/>
      <c r="B3861" s="8"/>
      <c r="C3861" s="8"/>
      <c r="D3861" s="8"/>
      <c r="E3861" s="8"/>
      <c r="F3861" s="8"/>
      <c r="G3861" s="10" t="str">
        <f aca="false">IF($A3861="","",UPPER(SUBSTITUTE(SUBSTITUTE(SUBSTITUTE(SUBSTITUTE($A3861," ",""),"(주)",""),"주식회사",""),"㈜","")))</f>
        <v/>
      </c>
      <c r="H3861" s="10" t="str">
        <f aca="false">IF($B3861="","",SUBSTITUTE(SUBSTITUTE(SUBSTITUTE($B3861,"-","")," ",""),".",""))</f>
        <v/>
      </c>
      <c r="I3861" s="10" t="str">
        <f aca="false">IF($D3861="","",SUBSTITUTE(SUBSTITUTE(SUBSTITUTE($D3861,"-","")," ",""),".",""))</f>
        <v/>
      </c>
      <c r="J3861" s="10" t="str">
        <f aca="false">IF($E3861="","",UPPER(SUBSTITUTE($E3861," ","")))</f>
        <v/>
      </c>
      <c r="K3861" s="10" t="str">
        <f aca="false">IF($A3861="","",$G3861&amp;"|"&amp;$J3861)</f>
        <v/>
      </c>
      <c r="L3861" s="10" t="str">
        <f aca="false">IF($A3861="","",ROW()-2)</f>
        <v/>
      </c>
      <c r="M3861" s="10" t="str">
        <f aca="false">IF($A3861="","",ROW())</f>
        <v/>
      </c>
    </row>
    <row r="3862" customFormat="false" ht="15" hidden="false" customHeight="true" outlineLevel="0" collapsed="false">
      <c r="A3862" s="8"/>
      <c r="B3862" s="8"/>
      <c r="C3862" s="8"/>
      <c r="D3862" s="8"/>
      <c r="E3862" s="8"/>
      <c r="F3862" s="8"/>
      <c r="G3862" s="10" t="str">
        <f aca="false">IF($A3862="","",UPPER(SUBSTITUTE(SUBSTITUTE(SUBSTITUTE(SUBSTITUTE($A3862," ",""),"(주)",""),"주식회사",""),"㈜","")))</f>
        <v/>
      </c>
      <c r="H3862" s="10" t="str">
        <f aca="false">IF($B3862="","",SUBSTITUTE(SUBSTITUTE(SUBSTITUTE($B3862,"-","")," ",""),".",""))</f>
        <v/>
      </c>
      <c r="I3862" s="10" t="str">
        <f aca="false">IF($D3862="","",SUBSTITUTE(SUBSTITUTE(SUBSTITUTE($D3862,"-","")," ",""),".",""))</f>
        <v/>
      </c>
      <c r="J3862" s="10" t="str">
        <f aca="false">IF($E3862="","",UPPER(SUBSTITUTE($E3862," ","")))</f>
        <v/>
      </c>
      <c r="K3862" s="10" t="str">
        <f aca="false">IF($A3862="","",$G3862&amp;"|"&amp;$J3862)</f>
        <v/>
      </c>
      <c r="L3862" s="10" t="str">
        <f aca="false">IF($A3862="","",ROW()-2)</f>
        <v/>
      </c>
      <c r="M3862" s="10" t="str">
        <f aca="false">IF($A3862="","",ROW())</f>
        <v/>
      </c>
    </row>
    <row r="3863" customFormat="false" ht="15" hidden="false" customHeight="true" outlineLevel="0" collapsed="false">
      <c r="A3863" s="8"/>
      <c r="B3863" s="8"/>
      <c r="C3863" s="8"/>
      <c r="D3863" s="8"/>
      <c r="E3863" s="8"/>
      <c r="F3863" s="8"/>
      <c r="G3863" s="10" t="str">
        <f aca="false">IF($A3863="","",UPPER(SUBSTITUTE(SUBSTITUTE(SUBSTITUTE(SUBSTITUTE($A3863," ",""),"(주)",""),"주식회사",""),"㈜","")))</f>
        <v/>
      </c>
      <c r="H3863" s="10" t="str">
        <f aca="false">IF($B3863="","",SUBSTITUTE(SUBSTITUTE(SUBSTITUTE($B3863,"-","")," ",""),".",""))</f>
        <v/>
      </c>
      <c r="I3863" s="10" t="str">
        <f aca="false">IF($D3863="","",SUBSTITUTE(SUBSTITUTE(SUBSTITUTE($D3863,"-","")," ",""),".",""))</f>
        <v/>
      </c>
      <c r="J3863" s="10" t="str">
        <f aca="false">IF($E3863="","",UPPER(SUBSTITUTE($E3863," ","")))</f>
        <v/>
      </c>
      <c r="K3863" s="10" t="str">
        <f aca="false">IF($A3863="","",$G3863&amp;"|"&amp;$J3863)</f>
        <v/>
      </c>
      <c r="L3863" s="10" t="str">
        <f aca="false">IF($A3863="","",ROW()-2)</f>
        <v/>
      </c>
      <c r="M3863" s="10" t="str">
        <f aca="false">IF($A3863="","",ROW())</f>
        <v/>
      </c>
    </row>
    <row r="3864" customFormat="false" ht="15" hidden="false" customHeight="true" outlineLevel="0" collapsed="false">
      <c r="A3864" s="8"/>
      <c r="B3864" s="8"/>
      <c r="C3864" s="8"/>
      <c r="D3864" s="8"/>
      <c r="E3864" s="8"/>
      <c r="F3864" s="8"/>
      <c r="G3864" s="10" t="str">
        <f aca="false">IF($A3864="","",UPPER(SUBSTITUTE(SUBSTITUTE(SUBSTITUTE(SUBSTITUTE($A3864," ",""),"(주)",""),"주식회사",""),"㈜","")))</f>
        <v/>
      </c>
      <c r="H3864" s="10" t="str">
        <f aca="false">IF($B3864="","",SUBSTITUTE(SUBSTITUTE(SUBSTITUTE($B3864,"-","")," ",""),".",""))</f>
        <v/>
      </c>
      <c r="I3864" s="10" t="str">
        <f aca="false">IF($D3864="","",SUBSTITUTE(SUBSTITUTE(SUBSTITUTE($D3864,"-","")," ",""),".",""))</f>
        <v/>
      </c>
      <c r="J3864" s="10" t="str">
        <f aca="false">IF($E3864="","",UPPER(SUBSTITUTE($E3864," ","")))</f>
        <v/>
      </c>
      <c r="K3864" s="10" t="str">
        <f aca="false">IF($A3864="","",$G3864&amp;"|"&amp;$J3864)</f>
        <v/>
      </c>
      <c r="L3864" s="10" t="str">
        <f aca="false">IF($A3864="","",ROW()-2)</f>
        <v/>
      </c>
      <c r="M3864" s="10" t="str">
        <f aca="false">IF($A3864="","",ROW())</f>
        <v/>
      </c>
    </row>
    <row r="3865" customFormat="false" ht="15" hidden="false" customHeight="true" outlineLevel="0" collapsed="false">
      <c r="A3865" s="8"/>
      <c r="B3865" s="8"/>
      <c r="C3865" s="8"/>
      <c r="D3865" s="8"/>
      <c r="E3865" s="8"/>
      <c r="F3865" s="8"/>
      <c r="G3865" s="10" t="str">
        <f aca="false">IF($A3865="","",UPPER(SUBSTITUTE(SUBSTITUTE(SUBSTITUTE(SUBSTITUTE($A3865," ",""),"(주)",""),"주식회사",""),"㈜","")))</f>
        <v/>
      </c>
      <c r="H3865" s="10" t="str">
        <f aca="false">IF($B3865="","",SUBSTITUTE(SUBSTITUTE(SUBSTITUTE($B3865,"-","")," ",""),".",""))</f>
        <v/>
      </c>
      <c r="I3865" s="10" t="str">
        <f aca="false">IF($D3865="","",SUBSTITUTE(SUBSTITUTE(SUBSTITUTE($D3865,"-","")," ",""),".",""))</f>
        <v/>
      </c>
      <c r="J3865" s="10" t="str">
        <f aca="false">IF($E3865="","",UPPER(SUBSTITUTE($E3865," ","")))</f>
        <v/>
      </c>
      <c r="K3865" s="10" t="str">
        <f aca="false">IF($A3865="","",$G3865&amp;"|"&amp;$J3865)</f>
        <v/>
      </c>
      <c r="L3865" s="10" t="str">
        <f aca="false">IF($A3865="","",ROW()-2)</f>
        <v/>
      </c>
      <c r="M3865" s="10" t="str">
        <f aca="false">IF($A3865="","",ROW())</f>
        <v/>
      </c>
    </row>
    <row r="3866" customFormat="false" ht="15" hidden="false" customHeight="true" outlineLevel="0" collapsed="false">
      <c r="A3866" s="8"/>
      <c r="B3866" s="8"/>
      <c r="C3866" s="8"/>
      <c r="D3866" s="8"/>
      <c r="E3866" s="8"/>
      <c r="F3866" s="8"/>
      <c r="G3866" s="10" t="str">
        <f aca="false">IF($A3866="","",UPPER(SUBSTITUTE(SUBSTITUTE(SUBSTITUTE(SUBSTITUTE($A3866," ",""),"(주)",""),"주식회사",""),"㈜","")))</f>
        <v/>
      </c>
      <c r="H3866" s="10" t="str">
        <f aca="false">IF($B3866="","",SUBSTITUTE(SUBSTITUTE(SUBSTITUTE($B3866,"-","")," ",""),".",""))</f>
        <v/>
      </c>
      <c r="I3866" s="10" t="str">
        <f aca="false">IF($D3866="","",SUBSTITUTE(SUBSTITUTE(SUBSTITUTE($D3866,"-","")," ",""),".",""))</f>
        <v/>
      </c>
      <c r="J3866" s="10" t="str">
        <f aca="false">IF($E3866="","",UPPER(SUBSTITUTE($E3866," ","")))</f>
        <v/>
      </c>
      <c r="K3866" s="10" t="str">
        <f aca="false">IF($A3866="","",$G3866&amp;"|"&amp;$J3866)</f>
        <v/>
      </c>
      <c r="L3866" s="10" t="str">
        <f aca="false">IF($A3866="","",ROW()-2)</f>
        <v/>
      </c>
      <c r="M3866" s="10" t="str">
        <f aca="false">IF($A3866="","",ROW())</f>
        <v/>
      </c>
    </row>
    <row r="3867" customFormat="false" ht="15" hidden="false" customHeight="true" outlineLevel="0" collapsed="false">
      <c r="A3867" s="8"/>
      <c r="B3867" s="8"/>
      <c r="C3867" s="8"/>
      <c r="D3867" s="8"/>
      <c r="E3867" s="8"/>
      <c r="F3867" s="8"/>
      <c r="G3867" s="10" t="str">
        <f aca="false">IF($A3867="","",UPPER(SUBSTITUTE(SUBSTITUTE(SUBSTITUTE(SUBSTITUTE($A3867," ",""),"(주)",""),"주식회사",""),"㈜","")))</f>
        <v/>
      </c>
      <c r="H3867" s="10" t="str">
        <f aca="false">IF($B3867="","",SUBSTITUTE(SUBSTITUTE(SUBSTITUTE($B3867,"-","")," ",""),".",""))</f>
        <v/>
      </c>
      <c r="I3867" s="10" t="str">
        <f aca="false">IF($D3867="","",SUBSTITUTE(SUBSTITUTE(SUBSTITUTE($D3867,"-","")," ",""),".",""))</f>
        <v/>
      </c>
      <c r="J3867" s="10" t="str">
        <f aca="false">IF($E3867="","",UPPER(SUBSTITUTE($E3867," ","")))</f>
        <v/>
      </c>
      <c r="K3867" s="10" t="str">
        <f aca="false">IF($A3867="","",$G3867&amp;"|"&amp;$J3867)</f>
        <v/>
      </c>
      <c r="L3867" s="10" t="str">
        <f aca="false">IF($A3867="","",ROW()-2)</f>
        <v/>
      </c>
      <c r="M3867" s="10" t="str">
        <f aca="false">IF($A3867="","",ROW())</f>
        <v/>
      </c>
    </row>
    <row r="3868" customFormat="false" ht="15" hidden="false" customHeight="true" outlineLevel="0" collapsed="false">
      <c r="A3868" s="8"/>
      <c r="B3868" s="8"/>
      <c r="C3868" s="8"/>
      <c r="D3868" s="8"/>
      <c r="E3868" s="8"/>
      <c r="F3868" s="8"/>
      <c r="G3868" s="10" t="str">
        <f aca="false">IF($A3868="","",UPPER(SUBSTITUTE(SUBSTITUTE(SUBSTITUTE(SUBSTITUTE($A3868," ",""),"(주)",""),"주식회사",""),"㈜","")))</f>
        <v/>
      </c>
      <c r="H3868" s="10" t="str">
        <f aca="false">IF($B3868="","",SUBSTITUTE(SUBSTITUTE(SUBSTITUTE($B3868,"-","")," ",""),".",""))</f>
        <v/>
      </c>
      <c r="I3868" s="10" t="str">
        <f aca="false">IF($D3868="","",SUBSTITUTE(SUBSTITUTE(SUBSTITUTE($D3868,"-","")," ",""),".",""))</f>
        <v/>
      </c>
      <c r="J3868" s="10" t="str">
        <f aca="false">IF($E3868="","",UPPER(SUBSTITUTE($E3868," ","")))</f>
        <v/>
      </c>
      <c r="K3868" s="10" t="str">
        <f aca="false">IF($A3868="","",$G3868&amp;"|"&amp;$J3868)</f>
        <v/>
      </c>
      <c r="L3868" s="10" t="str">
        <f aca="false">IF($A3868="","",ROW()-2)</f>
        <v/>
      </c>
      <c r="M3868" s="10" t="str">
        <f aca="false">IF($A3868="","",ROW())</f>
        <v/>
      </c>
    </row>
    <row r="3869" customFormat="false" ht="15" hidden="false" customHeight="true" outlineLevel="0" collapsed="false">
      <c r="A3869" s="8"/>
      <c r="B3869" s="8"/>
      <c r="C3869" s="8"/>
      <c r="D3869" s="8"/>
      <c r="E3869" s="8"/>
      <c r="F3869" s="8"/>
      <c r="G3869" s="10" t="str">
        <f aca="false">IF($A3869="","",UPPER(SUBSTITUTE(SUBSTITUTE(SUBSTITUTE(SUBSTITUTE($A3869," ",""),"(주)",""),"주식회사",""),"㈜","")))</f>
        <v/>
      </c>
      <c r="H3869" s="10" t="str">
        <f aca="false">IF($B3869="","",SUBSTITUTE(SUBSTITUTE(SUBSTITUTE($B3869,"-","")," ",""),".",""))</f>
        <v/>
      </c>
      <c r="I3869" s="10" t="str">
        <f aca="false">IF($D3869="","",SUBSTITUTE(SUBSTITUTE(SUBSTITUTE($D3869,"-","")," ",""),".",""))</f>
        <v/>
      </c>
      <c r="J3869" s="10" t="str">
        <f aca="false">IF($E3869="","",UPPER(SUBSTITUTE($E3869," ","")))</f>
        <v/>
      </c>
      <c r="K3869" s="10" t="str">
        <f aca="false">IF($A3869="","",$G3869&amp;"|"&amp;$J3869)</f>
        <v/>
      </c>
      <c r="L3869" s="10" t="str">
        <f aca="false">IF($A3869="","",ROW()-2)</f>
        <v/>
      </c>
      <c r="M3869" s="10" t="str">
        <f aca="false">IF($A3869="","",ROW())</f>
        <v/>
      </c>
    </row>
    <row r="3870" customFormat="false" ht="15" hidden="false" customHeight="true" outlineLevel="0" collapsed="false">
      <c r="A3870" s="8"/>
      <c r="B3870" s="8"/>
      <c r="C3870" s="8"/>
      <c r="D3870" s="8"/>
      <c r="E3870" s="8"/>
      <c r="F3870" s="8"/>
      <c r="G3870" s="10" t="str">
        <f aca="false">IF($A3870="","",UPPER(SUBSTITUTE(SUBSTITUTE(SUBSTITUTE(SUBSTITUTE($A3870," ",""),"(주)",""),"주식회사",""),"㈜","")))</f>
        <v/>
      </c>
      <c r="H3870" s="10" t="str">
        <f aca="false">IF($B3870="","",SUBSTITUTE(SUBSTITUTE(SUBSTITUTE($B3870,"-","")," ",""),".",""))</f>
        <v/>
      </c>
      <c r="I3870" s="10" t="str">
        <f aca="false">IF($D3870="","",SUBSTITUTE(SUBSTITUTE(SUBSTITUTE($D3870,"-","")," ",""),".",""))</f>
        <v/>
      </c>
      <c r="J3870" s="10" t="str">
        <f aca="false">IF($E3870="","",UPPER(SUBSTITUTE($E3870," ","")))</f>
        <v/>
      </c>
      <c r="K3870" s="10" t="str">
        <f aca="false">IF($A3870="","",$G3870&amp;"|"&amp;$J3870)</f>
        <v/>
      </c>
      <c r="L3870" s="10" t="str">
        <f aca="false">IF($A3870="","",ROW()-2)</f>
        <v/>
      </c>
      <c r="M3870" s="10" t="str">
        <f aca="false">IF($A3870="","",ROW())</f>
        <v/>
      </c>
    </row>
    <row r="3871" customFormat="false" ht="15" hidden="false" customHeight="true" outlineLevel="0" collapsed="false">
      <c r="A3871" s="8"/>
      <c r="B3871" s="8"/>
      <c r="C3871" s="8"/>
      <c r="D3871" s="8"/>
      <c r="E3871" s="8"/>
      <c r="F3871" s="8"/>
      <c r="G3871" s="10" t="str">
        <f aca="false">IF($A3871="","",UPPER(SUBSTITUTE(SUBSTITUTE(SUBSTITUTE(SUBSTITUTE($A3871," ",""),"(주)",""),"주식회사",""),"㈜","")))</f>
        <v/>
      </c>
      <c r="H3871" s="10" t="str">
        <f aca="false">IF($B3871="","",SUBSTITUTE(SUBSTITUTE(SUBSTITUTE($B3871,"-","")," ",""),".",""))</f>
        <v/>
      </c>
      <c r="I3871" s="10" t="str">
        <f aca="false">IF($D3871="","",SUBSTITUTE(SUBSTITUTE(SUBSTITUTE($D3871,"-","")," ",""),".",""))</f>
        <v/>
      </c>
      <c r="J3871" s="10" t="str">
        <f aca="false">IF($E3871="","",UPPER(SUBSTITUTE($E3871," ","")))</f>
        <v/>
      </c>
      <c r="K3871" s="10" t="str">
        <f aca="false">IF($A3871="","",$G3871&amp;"|"&amp;$J3871)</f>
        <v/>
      </c>
      <c r="L3871" s="10" t="str">
        <f aca="false">IF($A3871="","",ROW()-2)</f>
        <v/>
      </c>
      <c r="M3871" s="10" t="str">
        <f aca="false">IF($A3871="","",ROW())</f>
        <v/>
      </c>
    </row>
    <row r="3872" customFormat="false" ht="15" hidden="false" customHeight="true" outlineLevel="0" collapsed="false">
      <c r="A3872" s="8"/>
      <c r="B3872" s="8"/>
      <c r="C3872" s="8"/>
      <c r="D3872" s="8"/>
      <c r="E3872" s="8"/>
      <c r="F3872" s="8"/>
      <c r="G3872" s="10" t="str">
        <f aca="false">IF($A3872="","",UPPER(SUBSTITUTE(SUBSTITUTE(SUBSTITUTE(SUBSTITUTE($A3872," ",""),"(주)",""),"주식회사",""),"㈜","")))</f>
        <v/>
      </c>
      <c r="H3872" s="10" t="str">
        <f aca="false">IF($B3872="","",SUBSTITUTE(SUBSTITUTE(SUBSTITUTE($B3872,"-","")," ",""),".",""))</f>
        <v/>
      </c>
      <c r="I3872" s="10" t="str">
        <f aca="false">IF($D3872="","",SUBSTITUTE(SUBSTITUTE(SUBSTITUTE($D3872,"-","")," ",""),".",""))</f>
        <v/>
      </c>
      <c r="J3872" s="10" t="str">
        <f aca="false">IF($E3872="","",UPPER(SUBSTITUTE($E3872," ","")))</f>
        <v/>
      </c>
      <c r="K3872" s="10" t="str">
        <f aca="false">IF($A3872="","",$G3872&amp;"|"&amp;$J3872)</f>
        <v/>
      </c>
      <c r="L3872" s="10" t="str">
        <f aca="false">IF($A3872="","",ROW()-2)</f>
        <v/>
      </c>
      <c r="M3872" s="10" t="str">
        <f aca="false">IF($A3872="","",ROW())</f>
        <v/>
      </c>
    </row>
    <row r="3873" customFormat="false" ht="15" hidden="false" customHeight="true" outlineLevel="0" collapsed="false">
      <c r="A3873" s="8"/>
      <c r="B3873" s="8"/>
      <c r="C3873" s="8"/>
      <c r="D3873" s="8"/>
      <c r="E3873" s="8"/>
      <c r="F3873" s="8"/>
      <c r="G3873" s="10" t="str">
        <f aca="false">IF($A3873="","",UPPER(SUBSTITUTE(SUBSTITUTE(SUBSTITUTE(SUBSTITUTE($A3873," ",""),"(주)",""),"주식회사",""),"㈜","")))</f>
        <v/>
      </c>
      <c r="H3873" s="10" t="str">
        <f aca="false">IF($B3873="","",SUBSTITUTE(SUBSTITUTE(SUBSTITUTE($B3873,"-","")," ",""),".",""))</f>
        <v/>
      </c>
      <c r="I3873" s="10" t="str">
        <f aca="false">IF($D3873="","",SUBSTITUTE(SUBSTITUTE(SUBSTITUTE($D3873,"-","")," ",""),".",""))</f>
        <v/>
      </c>
      <c r="J3873" s="10" t="str">
        <f aca="false">IF($E3873="","",UPPER(SUBSTITUTE($E3873," ","")))</f>
        <v/>
      </c>
      <c r="K3873" s="10" t="str">
        <f aca="false">IF($A3873="","",$G3873&amp;"|"&amp;$J3873)</f>
        <v/>
      </c>
      <c r="L3873" s="10" t="str">
        <f aca="false">IF($A3873="","",ROW()-2)</f>
        <v/>
      </c>
      <c r="M3873" s="10" t="str">
        <f aca="false">IF($A3873="","",ROW())</f>
        <v/>
      </c>
    </row>
    <row r="3874" customFormat="false" ht="15" hidden="false" customHeight="true" outlineLevel="0" collapsed="false">
      <c r="A3874" s="8"/>
      <c r="B3874" s="8"/>
      <c r="C3874" s="8"/>
      <c r="D3874" s="8"/>
      <c r="E3874" s="8"/>
      <c r="F3874" s="8"/>
      <c r="G3874" s="10" t="str">
        <f aca="false">IF($A3874="","",UPPER(SUBSTITUTE(SUBSTITUTE(SUBSTITUTE(SUBSTITUTE($A3874," ",""),"(주)",""),"주식회사",""),"㈜","")))</f>
        <v/>
      </c>
      <c r="H3874" s="10" t="str">
        <f aca="false">IF($B3874="","",SUBSTITUTE(SUBSTITUTE(SUBSTITUTE($B3874,"-","")," ",""),".",""))</f>
        <v/>
      </c>
      <c r="I3874" s="10" t="str">
        <f aca="false">IF($D3874="","",SUBSTITUTE(SUBSTITUTE(SUBSTITUTE($D3874,"-","")," ",""),".",""))</f>
        <v/>
      </c>
      <c r="J3874" s="10" t="str">
        <f aca="false">IF($E3874="","",UPPER(SUBSTITUTE($E3874," ","")))</f>
        <v/>
      </c>
      <c r="K3874" s="10" t="str">
        <f aca="false">IF($A3874="","",$G3874&amp;"|"&amp;$J3874)</f>
        <v/>
      </c>
      <c r="L3874" s="10" t="str">
        <f aca="false">IF($A3874="","",ROW()-2)</f>
        <v/>
      </c>
      <c r="M3874" s="10" t="str">
        <f aca="false">IF($A3874="","",ROW())</f>
        <v/>
      </c>
    </row>
    <row r="3875" customFormat="false" ht="15" hidden="false" customHeight="true" outlineLevel="0" collapsed="false">
      <c r="A3875" s="8"/>
      <c r="B3875" s="8"/>
      <c r="C3875" s="8"/>
      <c r="D3875" s="8"/>
      <c r="E3875" s="8"/>
      <c r="F3875" s="8"/>
      <c r="G3875" s="10" t="str">
        <f aca="false">IF($A3875="","",UPPER(SUBSTITUTE(SUBSTITUTE(SUBSTITUTE(SUBSTITUTE($A3875," ",""),"(주)",""),"주식회사",""),"㈜","")))</f>
        <v/>
      </c>
      <c r="H3875" s="10" t="str">
        <f aca="false">IF($B3875="","",SUBSTITUTE(SUBSTITUTE(SUBSTITUTE($B3875,"-","")," ",""),".",""))</f>
        <v/>
      </c>
      <c r="I3875" s="10" t="str">
        <f aca="false">IF($D3875="","",SUBSTITUTE(SUBSTITUTE(SUBSTITUTE($D3875,"-","")," ",""),".",""))</f>
        <v/>
      </c>
      <c r="J3875" s="10" t="str">
        <f aca="false">IF($E3875="","",UPPER(SUBSTITUTE($E3875," ","")))</f>
        <v/>
      </c>
      <c r="K3875" s="10" t="str">
        <f aca="false">IF($A3875="","",$G3875&amp;"|"&amp;$J3875)</f>
        <v/>
      </c>
      <c r="L3875" s="10" t="str">
        <f aca="false">IF($A3875="","",ROW()-2)</f>
        <v/>
      </c>
      <c r="M3875" s="10" t="str">
        <f aca="false">IF($A3875="","",ROW())</f>
        <v/>
      </c>
    </row>
    <row r="3876" customFormat="false" ht="15" hidden="false" customHeight="true" outlineLevel="0" collapsed="false">
      <c r="A3876" s="8"/>
      <c r="B3876" s="8"/>
      <c r="C3876" s="8"/>
      <c r="D3876" s="8"/>
      <c r="E3876" s="8"/>
      <c r="F3876" s="8"/>
      <c r="G3876" s="10" t="str">
        <f aca="false">IF($A3876="","",UPPER(SUBSTITUTE(SUBSTITUTE(SUBSTITUTE(SUBSTITUTE($A3876," ",""),"(주)",""),"주식회사",""),"㈜","")))</f>
        <v/>
      </c>
      <c r="H3876" s="10" t="str">
        <f aca="false">IF($B3876="","",SUBSTITUTE(SUBSTITUTE(SUBSTITUTE($B3876,"-","")," ",""),".",""))</f>
        <v/>
      </c>
      <c r="I3876" s="10" t="str">
        <f aca="false">IF($D3876="","",SUBSTITUTE(SUBSTITUTE(SUBSTITUTE($D3876,"-","")," ",""),".",""))</f>
        <v/>
      </c>
      <c r="J3876" s="10" t="str">
        <f aca="false">IF($E3876="","",UPPER(SUBSTITUTE($E3876," ","")))</f>
        <v/>
      </c>
      <c r="K3876" s="10" t="str">
        <f aca="false">IF($A3876="","",$G3876&amp;"|"&amp;$J3876)</f>
        <v/>
      </c>
      <c r="L3876" s="10" t="str">
        <f aca="false">IF($A3876="","",ROW()-2)</f>
        <v/>
      </c>
      <c r="M3876" s="10" t="str">
        <f aca="false">IF($A3876="","",ROW())</f>
        <v/>
      </c>
    </row>
    <row r="3877" customFormat="false" ht="15" hidden="false" customHeight="true" outlineLevel="0" collapsed="false">
      <c r="A3877" s="8"/>
      <c r="B3877" s="8"/>
      <c r="C3877" s="8"/>
      <c r="D3877" s="8"/>
      <c r="E3877" s="8"/>
      <c r="F3877" s="8"/>
      <c r="G3877" s="10" t="str">
        <f aca="false">IF($A3877="","",UPPER(SUBSTITUTE(SUBSTITUTE(SUBSTITUTE(SUBSTITUTE($A3877," ",""),"(주)",""),"주식회사",""),"㈜","")))</f>
        <v/>
      </c>
      <c r="H3877" s="10" t="str">
        <f aca="false">IF($B3877="","",SUBSTITUTE(SUBSTITUTE(SUBSTITUTE($B3877,"-","")," ",""),".",""))</f>
        <v/>
      </c>
      <c r="I3877" s="10" t="str">
        <f aca="false">IF($D3877="","",SUBSTITUTE(SUBSTITUTE(SUBSTITUTE($D3877,"-","")," ",""),".",""))</f>
        <v/>
      </c>
      <c r="J3877" s="10" t="str">
        <f aca="false">IF($E3877="","",UPPER(SUBSTITUTE($E3877," ","")))</f>
        <v/>
      </c>
      <c r="K3877" s="10" t="str">
        <f aca="false">IF($A3877="","",$G3877&amp;"|"&amp;$J3877)</f>
        <v/>
      </c>
      <c r="L3877" s="10" t="str">
        <f aca="false">IF($A3877="","",ROW()-2)</f>
        <v/>
      </c>
      <c r="M3877" s="10" t="str">
        <f aca="false">IF($A3877="","",ROW())</f>
        <v/>
      </c>
    </row>
    <row r="3878" customFormat="false" ht="15" hidden="false" customHeight="true" outlineLevel="0" collapsed="false">
      <c r="A3878" s="8"/>
      <c r="B3878" s="8"/>
      <c r="C3878" s="8"/>
      <c r="D3878" s="8"/>
      <c r="E3878" s="8"/>
      <c r="F3878" s="8"/>
      <c r="G3878" s="10" t="str">
        <f aca="false">IF($A3878="","",UPPER(SUBSTITUTE(SUBSTITUTE(SUBSTITUTE(SUBSTITUTE($A3878," ",""),"(주)",""),"주식회사",""),"㈜","")))</f>
        <v/>
      </c>
      <c r="H3878" s="10" t="str">
        <f aca="false">IF($B3878="","",SUBSTITUTE(SUBSTITUTE(SUBSTITUTE($B3878,"-","")," ",""),".",""))</f>
        <v/>
      </c>
      <c r="I3878" s="10" t="str">
        <f aca="false">IF($D3878="","",SUBSTITUTE(SUBSTITUTE(SUBSTITUTE($D3878,"-","")," ",""),".",""))</f>
        <v/>
      </c>
      <c r="J3878" s="10" t="str">
        <f aca="false">IF($E3878="","",UPPER(SUBSTITUTE($E3878," ","")))</f>
        <v/>
      </c>
      <c r="K3878" s="10" t="str">
        <f aca="false">IF($A3878="","",$G3878&amp;"|"&amp;$J3878)</f>
        <v/>
      </c>
      <c r="L3878" s="10" t="str">
        <f aca="false">IF($A3878="","",ROW()-2)</f>
        <v/>
      </c>
      <c r="M3878" s="10" t="str">
        <f aca="false">IF($A3878="","",ROW())</f>
        <v/>
      </c>
    </row>
    <row r="3879" customFormat="false" ht="15" hidden="false" customHeight="true" outlineLevel="0" collapsed="false">
      <c r="A3879" s="8"/>
      <c r="B3879" s="8"/>
      <c r="C3879" s="8"/>
      <c r="D3879" s="8"/>
      <c r="E3879" s="8"/>
      <c r="F3879" s="8"/>
      <c r="G3879" s="10" t="str">
        <f aca="false">IF($A3879="","",UPPER(SUBSTITUTE(SUBSTITUTE(SUBSTITUTE(SUBSTITUTE($A3879," ",""),"(주)",""),"주식회사",""),"㈜","")))</f>
        <v/>
      </c>
      <c r="H3879" s="10" t="str">
        <f aca="false">IF($B3879="","",SUBSTITUTE(SUBSTITUTE(SUBSTITUTE($B3879,"-","")," ",""),".",""))</f>
        <v/>
      </c>
      <c r="I3879" s="10" t="str">
        <f aca="false">IF($D3879="","",SUBSTITUTE(SUBSTITUTE(SUBSTITUTE($D3879,"-","")," ",""),".",""))</f>
        <v/>
      </c>
      <c r="J3879" s="10" t="str">
        <f aca="false">IF($E3879="","",UPPER(SUBSTITUTE($E3879," ","")))</f>
        <v/>
      </c>
      <c r="K3879" s="10" t="str">
        <f aca="false">IF($A3879="","",$G3879&amp;"|"&amp;$J3879)</f>
        <v/>
      </c>
      <c r="L3879" s="10" t="str">
        <f aca="false">IF($A3879="","",ROW()-2)</f>
        <v/>
      </c>
      <c r="M3879" s="10" t="str">
        <f aca="false">IF($A3879="","",ROW())</f>
        <v/>
      </c>
    </row>
    <row r="3880" customFormat="false" ht="15" hidden="false" customHeight="true" outlineLevel="0" collapsed="false">
      <c r="A3880" s="8"/>
      <c r="B3880" s="8"/>
      <c r="C3880" s="8"/>
      <c r="D3880" s="8"/>
      <c r="E3880" s="8"/>
      <c r="F3880" s="8"/>
      <c r="G3880" s="10" t="str">
        <f aca="false">IF($A3880="","",UPPER(SUBSTITUTE(SUBSTITUTE(SUBSTITUTE(SUBSTITUTE($A3880," ",""),"(주)",""),"주식회사",""),"㈜","")))</f>
        <v/>
      </c>
      <c r="H3880" s="10" t="str">
        <f aca="false">IF($B3880="","",SUBSTITUTE(SUBSTITUTE(SUBSTITUTE($B3880,"-","")," ",""),".",""))</f>
        <v/>
      </c>
      <c r="I3880" s="10" t="str">
        <f aca="false">IF($D3880="","",SUBSTITUTE(SUBSTITUTE(SUBSTITUTE($D3880,"-","")," ",""),".",""))</f>
        <v/>
      </c>
      <c r="J3880" s="10" t="str">
        <f aca="false">IF($E3880="","",UPPER(SUBSTITUTE($E3880," ","")))</f>
        <v/>
      </c>
      <c r="K3880" s="10" t="str">
        <f aca="false">IF($A3880="","",$G3880&amp;"|"&amp;$J3880)</f>
        <v/>
      </c>
      <c r="L3880" s="10" t="str">
        <f aca="false">IF($A3880="","",ROW()-2)</f>
        <v/>
      </c>
      <c r="M3880" s="10" t="str">
        <f aca="false">IF($A3880="","",ROW())</f>
        <v/>
      </c>
    </row>
    <row r="3881" customFormat="false" ht="15" hidden="false" customHeight="true" outlineLevel="0" collapsed="false">
      <c r="A3881" s="8"/>
      <c r="B3881" s="8"/>
      <c r="C3881" s="8"/>
      <c r="D3881" s="8"/>
      <c r="E3881" s="8"/>
      <c r="F3881" s="8"/>
      <c r="G3881" s="10" t="str">
        <f aca="false">IF($A3881="","",UPPER(SUBSTITUTE(SUBSTITUTE(SUBSTITUTE(SUBSTITUTE($A3881," ",""),"(주)",""),"주식회사",""),"㈜","")))</f>
        <v/>
      </c>
      <c r="H3881" s="10" t="str">
        <f aca="false">IF($B3881="","",SUBSTITUTE(SUBSTITUTE(SUBSTITUTE($B3881,"-","")," ",""),".",""))</f>
        <v/>
      </c>
      <c r="I3881" s="10" t="str">
        <f aca="false">IF($D3881="","",SUBSTITUTE(SUBSTITUTE(SUBSTITUTE($D3881,"-","")," ",""),".",""))</f>
        <v/>
      </c>
      <c r="J3881" s="10" t="str">
        <f aca="false">IF($E3881="","",UPPER(SUBSTITUTE($E3881," ","")))</f>
        <v/>
      </c>
      <c r="K3881" s="10" t="str">
        <f aca="false">IF($A3881="","",$G3881&amp;"|"&amp;$J3881)</f>
        <v/>
      </c>
      <c r="L3881" s="10" t="str">
        <f aca="false">IF($A3881="","",ROW()-2)</f>
        <v/>
      </c>
      <c r="M3881" s="10" t="str">
        <f aca="false">IF($A3881="","",ROW())</f>
        <v/>
      </c>
    </row>
    <row r="3882" customFormat="false" ht="15" hidden="false" customHeight="true" outlineLevel="0" collapsed="false">
      <c r="A3882" s="8"/>
      <c r="B3882" s="8"/>
      <c r="C3882" s="8"/>
      <c r="D3882" s="8"/>
      <c r="E3882" s="8"/>
      <c r="F3882" s="8"/>
      <c r="G3882" s="10" t="str">
        <f aca="false">IF($A3882="","",UPPER(SUBSTITUTE(SUBSTITUTE(SUBSTITUTE(SUBSTITUTE($A3882," ",""),"(주)",""),"주식회사",""),"㈜","")))</f>
        <v/>
      </c>
      <c r="H3882" s="10" t="str">
        <f aca="false">IF($B3882="","",SUBSTITUTE(SUBSTITUTE(SUBSTITUTE($B3882,"-","")," ",""),".",""))</f>
        <v/>
      </c>
      <c r="I3882" s="10" t="str">
        <f aca="false">IF($D3882="","",SUBSTITUTE(SUBSTITUTE(SUBSTITUTE($D3882,"-","")," ",""),".",""))</f>
        <v/>
      </c>
      <c r="J3882" s="10" t="str">
        <f aca="false">IF($E3882="","",UPPER(SUBSTITUTE($E3882," ","")))</f>
        <v/>
      </c>
      <c r="K3882" s="10" t="str">
        <f aca="false">IF($A3882="","",$G3882&amp;"|"&amp;$J3882)</f>
        <v/>
      </c>
      <c r="L3882" s="10" t="str">
        <f aca="false">IF($A3882="","",ROW()-2)</f>
        <v/>
      </c>
      <c r="M3882" s="10" t="str">
        <f aca="false">IF($A3882="","",ROW())</f>
        <v/>
      </c>
    </row>
    <row r="3883" customFormat="false" ht="15" hidden="false" customHeight="true" outlineLevel="0" collapsed="false">
      <c r="A3883" s="8"/>
      <c r="B3883" s="8"/>
      <c r="C3883" s="8"/>
      <c r="D3883" s="8"/>
      <c r="E3883" s="8"/>
      <c r="F3883" s="8"/>
      <c r="G3883" s="10" t="str">
        <f aca="false">IF($A3883="","",UPPER(SUBSTITUTE(SUBSTITUTE(SUBSTITUTE(SUBSTITUTE($A3883," ",""),"(주)",""),"주식회사",""),"㈜","")))</f>
        <v/>
      </c>
      <c r="H3883" s="10" t="str">
        <f aca="false">IF($B3883="","",SUBSTITUTE(SUBSTITUTE(SUBSTITUTE($B3883,"-","")," ",""),".",""))</f>
        <v/>
      </c>
      <c r="I3883" s="10" t="str">
        <f aca="false">IF($D3883="","",SUBSTITUTE(SUBSTITUTE(SUBSTITUTE($D3883,"-","")," ",""),".",""))</f>
        <v/>
      </c>
      <c r="J3883" s="10" t="str">
        <f aca="false">IF($E3883="","",UPPER(SUBSTITUTE($E3883," ","")))</f>
        <v/>
      </c>
      <c r="K3883" s="10" t="str">
        <f aca="false">IF($A3883="","",$G3883&amp;"|"&amp;$J3883)</f>
        <v/>
      </c>
      <c r="L3883" s="10" t="str">
        <f aca="false">IF($A3883="","",ROW()-2)</f>
        <v/>
      </c>
      <c r="M3883" s="10" t="str">
        <f aca="false">IF($A3883="","",ROW())</f>
        <v/>
      </c>
    </row>
    <row r="3884" customFormat="false" ht="15" hidden="false" customHeight="true" outlineLevel="0" collapsed="false">
      <c r="A3884" s="8"/>
      <c r="B3884" s="8"/>
      <c r="C3884" s="8"/>
      <c r="D3884" s="8"/>
      <c r="E3884" s="8"/>
      <c r="F3884" s="8"/>
      <c r="G3884" s="10" t="str">
        <f aca="false">IF($A3884="","",UPPER(SUBSTITUTE(SUBSTITUTE(SUBSTITUTE(SUBSTITUTE($A3884," ",""),"(주)",""),"주식회사",""),"㈜","")))</f>
        <v/>
      </c>
      <c r="H3884" s="10" t="str">
        <f aca="false">IF($B3884="","",SUBSTITUTE(SUBSTITUTE(SUBSTITUTE($B3884,"-","")," ",""),".",""))</f>
        <v/>
      </c>
      <c r="I3884" s="10" t="str">
        <f aca="false">IF($D3884="","",SUBSTITUTE(SUBSTITUTE(SUBSTITUTE($D3884,"-","")," ",""),".",""))</f>
        <v/>
      </c>
      <c r="J3884" s="10" t="str">
        <f aca="false">IF($E3884="","",UPPER(SUBSTITUTE($E3884," ","")))</f>
        <v/>
      </c>
      <c r="K3884" s="10" t="str">
        <f aca="false">IF($A3884="","",$G3884&amp;"|"&amp;$J3884)</f>
        <v/>
      </c>
      <c r="L3884" s="10" t="str">
        <f aca="false">IF($A3884="","",ROW()-2)</f>
        <v/>
      </c>
      <c r="M3884" s="10" t="str">
        <f aca="false">IF($A3884="","",ROW())</f>
        <v/>
      </c>
    </row>
    <row r="3885" customFormat="false" ht="15" hidden="false" customHeight="true" outlineLevel="0" collapsed="false">
      <c r="A3885" s="8"/>
      <c r="B3885" s="8"/>
      <c r="C3885" s="8"/>
      <c r="D3885" s="8"/>
      <c r="E3885" s="8"/>
      <c r="F3885" s="8"/>
      <c r="G3885" s="10" t="str">
        <f aca="false">IF($A3885="","",UPPER(SUBSTITUTE(SUBSTITUTE(SUBSTITUTE(SUBSTITUTE($A3885," ",""),"(주)",""),"주식회사",""),"㈜","")))</f>
        <v/>
      </c>
      <c r="H3885" s="10" t="str">
        <f aca="false">IF($B3885="","",SUBSTITUTE(SUBSTITUTE(SUBSTITUTE($B3885,"-","")," ",""),".",""))</f>
        <v/>
      </c>
      <c r="I3885" s="10" t="str">
        <f aca="false">IF($D3885="","",SUBSTITUTE(SUBSTITUTE(SUBSTITUTE($D3885,"-","")," ",""),".",""))</f>
        <v/>
      </c>
      <c r="J3885" s="10" t="str">
        <f aca="false">IF($E3885="","",UPPER(SUBSTITUTE($E3885," ","")))</f>
        <v/>
      </c>
      <c r="K3885" s="10" t="str">
        <f aca="false">IF($A3885="","",$G3885&amp;"|"&amp;$J3885)</f>
        <v/>
      </c>
      <c r="L3885" s="10" t="str">
        <f aca="false">IF($A3885="","",ROW()-2)</f>
        <v/>
      </c>
      <c r="M3885" s="10" t="str">
        <f aca="false">IF($A3885="","",ROW())</f>
        <v/>
      </c>
    </row>
    <row r="3886" customFormat="false" ht="15" hidden="false" customHeight="true" outlineLevel="0" collapsed="false">
      <c r="A3886" s="8"/>
      <c r="B3886" s="8"/>
      <c r="C3886" s="8"/>
      <c r="D3886" s="8"/>
      <c r="E3886" s="8"/>
      <c r="F3886" s="8"/>
      <c r="G3886" s="10" t="str">
        <f aca="false">IF($A3886="","",UPPER(SUBSTITUTE(SUBSTITUTE(SUBSTITUTE(SUBSTITUTE($A3886," ",""),"(주)",""),"주식회사",""),"㈜","")))</f>
        <v/>
      </c>
      <c r="H3886" s="10" t="str">
        <f aca="false">IF($B3886="","",SUBSTITUTE(SUBSTITUTE(SUBSTITUTE($B3886,"-","")," ",""),".",""))</f>
        <v/>
      </c>
      <c r="I3886" s="10" t="str">
        <f aca="false">IF($D3886="","",SUBSTITUTE(SUBSTITUTE(SUBSTITUTE($D3886,"-","")," ",""),".",""))</f>
        <v/>
      </c>
      <c r="J3886" s="10" t="str">
        <f aca="false">IF($E3886="","",UPPER(SUBSTITUTE($E3886," ","")))</f>
        <v/>
      </c>
      <c r="K3886" s="10" t="str">
        <f aca="false">IF($A3886="","",$G3886&amp;"|"&amp;$J3886)</f>
        <v/>
      </c>
      <c r="L3886" s="10" t="str">
        <f aca="false">IF($A3886="","",ROW()-2)</f>
        <v/>
      </c>
      <c r="M3886" s="10" t="str">
        <f aca="false">IF($A3886="","",ROW())</f>
        <v/>
      </c>
    </row>
    <row r="3887" customFormat="false" ht="15" hidden="false" customHeight="true" outlineLevel="0" collapsed="false">
      <c r="A3887" s="8"/>
      <c r="B3887" s="8"/>
      <c r="C3887" s="8"/>
      <c r="D3887" s="8"/>
      <c r="E3887" s="8"/>
      <c r="F3887" s="8"/>
      <c r="G3887" s="10" t="str">
        <f aca="false">IF($A3887="","",UPPER(SUBSTITUTE(SUBSTITUTE(SUBSTITUTE(SUBSTITUTE($A3887," ",""),"(주)",""),"주식회사",""),"㈜","")))</f>
        <v/>
      </c>
      <c r="H3887" s="10" t="str">
        <f aca="false">IF($B3887="","",SUBSTITUTE(SUBSTITUTE(SUBSTITUTE($B3887,"-","")," ",""),".",""))</f>
        <v/>
      </c>
      <c r="I3887" s="10" t="str">
        <f aca="false">IF($D3887="","",SUBSTITUTE(SUBSTITUTE(SUBSTITUTE($D3887,"-","")," ",""),".",""))</f>
        <v/>
      </c>
      <c r="J3887" s="10" t="str">
        <f aca="false">IF($E3887="","",UPPER(SUBSTITUTE($E3887," ","")))</f>
        <v/>
      </c>
      <c r="K3887" s="10" t="str">
        <f aca="false">IF($A3887="","",$G3887&amp;"|"&amp;$J3887)</f>
        <v/>
      </c>
      <c r="L3887" s="10" t="str">
        <f aca="false">IF($A3887="","",ROW()-2)</f>
        <v/>
      </c>
      <c r="M3887" s="10" t="str">
        <f aca="false">IF($A3887="","",ROW())</f>
        <v/>
      </c>
    </row>
    <row r="3888" customFormat="false" ht="15" hidden="false" customHeight="true" outlineLevel="0" collapsed="false">
      <c r="A3888" s="8"/>
      <c r="B3888" s="8"/>
      <c r="C3888" s="8"/>
      <c r="D3888" s="8"/>
      <c r="E3888" s="8"/>
      <c r="F3888" s="8"/>
      <c r="G3888" s="10" t="str">
        <f aca="false">IF($A3888="","",UPPER(SUBSTITUTE(SUBSTITUTE(SUBSTITUTE(SUBSTITUTE($A3888," ",""),"(주)",""),"주식회사",""),"㈜","")))</f>
        <v/>
      </c>
      <c r="H3888" s="10" t="str">
        <f aca="false">IF($B3888="","",SUBSTITUTE(SUBSTITUTE(SUBSTITUTE($B3888,"-","")," ",""),".",""))</f>
        <v/>
      </c>
      <c r="I3888" s="10" t="str">
        <f aca="false">IF($D3888="","",SUBSTITUTE(SUBSTITUTE(SUBSTITUTE($D3888,"-","")," ",""),".",""))</f>
        <v/>
      </c>
      <c r="J3888" s="10" t="str">
        <f aca="false">IF($E3888="","",UPPER(SUBSTITUTE($E3888," ","")))</f>
        <v/>
      </c>
      <c r="K3888" s="10" t="str">
        <f aca="false">IF($A3888="","",$G3888&amp;"|"&amp;$J3888)</f>
        <v/>
      </c>
      <c r="L3888" s="10" t="str">
        <f aca="false">IF($A3888="","",ROW()-2)</f>
        <v/>
      </c>
      <c r="M3888" s="10" t="str">
        <f aca="false">IF($A3888="","",ROW())</f>
        <v/>
      </c>
    </row>
    <row r="3889" customFormat="false" ht="15" hidden="false" customHeight="true" outlineLevel="0" collapsed="false">
      <c r="A3889" s="8"/>
      <c r="B3889" s="8"/>
      <c r="C3889" s="8"/>
      <c r="D3889" s="8"/>
      <c r="E3889" s="8"/>
      <c r="F3889" s="8"/>
      <c r="G3889" s="10" t="str">
        <f aca="false">IF($A3889="","",UPPER(SUBSTITUTE(SUBSTITUTE(SUBSTITUTE(SUBSTITUTE($A3889," ",""),"(주)",""),"주식회사",""),"㈜","")))</f>
        <v/>
      </c>
      <c r="H3889" s="10" t="str">
        <f aca="false">IF($B3889="","",SUBSTITUTE(SUBSTITUTE(SUBSTITUTE($B3889,"-","")," ",""),".",""))</f>
        <v/>
      </c>
      <c r="I3889" s="10" t="str">
        <f aca="false">IF($D3889="","",SUBSTITUTE(SUBSTITUTE(SUBSTITUTE($D3889,"-","")," ",""),".",""))</f>
        <v/>
      </c>
      <c r="J3889" s="10" t="str">
        <f aca="false">IF($E3889="","",UPPER(SUBSTITUTE($E3889," ","")))</f>
        <v/>
      </c>
      <c r="K3889" s="10" t="str">
        <f aca="false">IF($A3889="","",$G3889&amp;"|"&amp;$J3889)</f>
        <v/>
      </c>
      <c r="L3889" s="10" t="str">
        <f aca="false">IF($A3889="","",ROW()-2)</f>
        <v/>
      </c>
      <c r="M3889" s="10" t="str">
        <f aca="false">IF($A3889="","",ROW())</f>
        <v/>
      </c>
    </row>
    <row r="3890" customFormat="false" ht="15" hidden="false" customHeight="true" outlineLevel="0" collapsed="false">
      <c r="A3890" s="8"/>
      <c r="B3890" s="8"/>
      <c r="C3890" s="8"/>
      <c r="D3890" s="8"/>
      <c r="E3890" s="8"/>
      <c r="F3890" s="8"/>
      <c r="G3890" s="10" t="str">
        <f aca="false">IF($A3890="","",UPPER(SUBSTITUTE(SUBSTITUTE(SUBSTITUTE(SUBSTITUTE($A3890," ",""),"(주)",""),"주식회사",""),"㈜","")))</f>
        <v/>
      </c>
      <c r="H3890" s="10" t="str">
        <f aca="false">IF($B3890="","",SUBSTITUTE(SUBSTITUTE(SUBSTITUTE($B3890,"-","")," ",""),".",""))</f>
        <v/>
      </c>
      <c r="I3890" s="10" t="str">
        <f aca="false">IF($D3890="","",SUBSTITUTE(SUBSTITUTE(SUBSTITUTE($D3890,"-","")," ",""),".",""))</f>
        <v/>
      </c>
      <c r="J3890" s="10" t="str">
        <f aca="false">IF($E3890="","",UPPER(SUBSTITUTE($E3890," ","")))</f>
        <v/>
      </c>
      <c r="K3890" s="10" t="str">
        <f aca="false">IF($A3890="","",$G3890&amp;"|"&amp;$J3890)</f>
        <v/>
      </c>
      <c r="L3890" s="10" t="str">
        <f aca="false">IF($A3890="","",ROW()-2)</f>
        <v/>
      </c>
      <c r="M3890" s="10" t="str">
        <f aca="false">IF($A3890="","",ROW())</f>
        <v/>
      </c>
    </row>
    <row r="3891" customFormat="false" ht="15" hidden="false" customHeight="true" outlineLevel="0" collapsed="false">
      <c r="A3891" s="8"/>
      <c r="B3891" s="8"/>
      <c r="C3891" s="8"/>
      <c r="D3891" s="8"/>
      <c r="E3891" s="8"/>
      <c r="F3891" s="8"/>
      <c r="G3891" s="10" t="str">
        <f aca="false">IF($A3891="","",UPPER(SUBSTITUTE(SUBSTITUTE(SUBSTITUTE(SUBSTITUTE($A3891," ",""),"(주)",""),"주식회사",""),"㈜","")))</f>
        <v/>
      </c>
      <c r="H3891" s="10" t="str">
        <f aca="false">IF($B3891="","",SUBSTITUTE(SUBSTITUTE(SUBSTITUTE($B3891,"-","")," ",""),".",""))</f>
        <v/>
      </c>
      <c r="I3891" s="10" t="str">
        <f aca="false">IF($D3891="","",SUBSTITUTE(SUBSTITUTE(SUBSTITUTE($D3891,"-","")," ",""),".",""))</f>
        <v/>
      </c>
      <c r="J3891" s="10" t="str">
        <f aca="false">IF($E3891="","",UPPER(SUBSTITUTE($E3891," ","")))</f>
        <v/>
      </c>
      <c r="K3891" s="10" t="str">
        <f aca="false">IF($A3891="","",$G3891&amp;"|"&amp;$J3891)</f>
        <v/>
      </c>
      <c r="L3891" s="10" t="str">
        <f aca="false">IF($A3891="","",ROW()-2)</f>
        <v/>
      </c>
      <c r="M3891" s="10" t="str">
        <f aca="false">IF($A3891="","",ROW())</f>
        <v/>
      </c>
    </row>
    <row r="3892" customFormat="false" ht="15" hidden="false" customHeight="true" outlineLevel="0" collapsed="false">
      <c r="A3892" s="8"/>
      <c r="B3892" s="8"/>
      <c r="C3892" s="8"/>
      <c r="D3892" s="8"/>
      <c r="E3892" s="8"/>
      <c r="F3892" s="8"/>
      <c r="G3892" s="10" t="str">
        <f aca="false">IF($A3892="","",UPPER(SUBSTITUTE(SUBSTITUTE(SUBSTITUTE(SUBSTITUTE($A3892," ",""),"(주)",""),"주식회사",""),"㈜","")))</f>
        <v/>
      </c>
      <c r="H3892" s="10" t="str">
        <f aca="false">IF($B3892="","",SUBSTITUTE(SUBSTITUTE(SUBSTITUTE($B3892,"-","")," ",""),".",""))</f>
        <v/>
      </c>
      <c r="I3892" s="10" t="str">
        <f aca="false">IF($D3892="","",SUBSTITUTE(SUBSTITUTE(SUBSTITUTE($D3892,"-","")," ",""),".",""))</f>
        <v/>
      </c>
      <c r="J3892" s="10" t="str">
        <f aca="false">IF($E3892="","",UPPER(SUBSTITUTE($E3892," ","")))</f>
        <v/>
      </c>
      <c r="K3892" s="10" t="str">
        <f aca="false">IF($A3892="","",$G3892&amp;"|"&amp;$J3892)</f>
        <v/>
      </c>
      <c r="L3892" s="10" t="str">
        <f aca="false">IF($A3892="","",ROW()-2)</f>
        <v/>
      </c>
      <c r="M3892" s="10" t="str">
        <f aca="false">IF($A3892="","",ROW())</f>
        <v/>
      </c>
    </row>
    <row r="3893" customFormat="false" ht="15" hidden="false" customHeight="true" outlineLevel="0" collapsed="false">
      <c r="A3893" s="8"/>
      <c r="B3893" s="8"/>
      <c r="C3893" s="8"/>
      <c r="D3893" s="8"/>
      <c r="E3893" s="8"/>
      <c r="F3893" s="8"/>
      <c r="G3893" s="10" t="str">
        <f aca="false">IF($A3893="","",UPPER(SUBSTITUTE(SUBSTITUTE(SUBSTITUTE(SUBSTITUTE($A3893," ",""),"(주)",""),"주식회사",""),"㈜","")))</f>
        <v/>
      </c>
      <c r="H3893" s="10" t="str">
        <f aca="false">IF($B3893="","",SUBSTITUTE(SUBSTITUTE(SUBSTITUTE($B3893,"-","")," ",""),".",""))</f>
        <v/>
      </c>
      <c r="I3893" s="10" t="str">
        <f aca="false">IF($D3893="","",SUBSTITUTE(SUBSTITUTE(SUBSTITUTE($D3893,"-","")," ",""),".",""))</f>
        <v/>
      </c>
      <c r="J3893" s="10" t="str">
        <f aca="false">IF($E3893="","",UPPER(SUBSTITUTE($E3893," ","")))</f>
        <v/>
      </c>
      <c r="K3893" s="10" t="str">
        <f aca="false">IF($A3893="","",$G3893&amp;"|"&amp;$J3893)</f>
        <v/>
      </c>
      <c r="L3893" s="10" t="str">
        <f aca="false">IF($A3893="","",ROW()-2)</f>
        <v/>
      </c>
      <c r="M3893" s="10" t="str">
        <f aca="false">IF($A3893="","",ROW())</f>
        <v/>
      </c>
    </row>
    <row r="3894" customFormat="false" ht="15" hidden="false" customHeight="true" outlineLevel="0" collapsed="false">
      <c r="A3894" s="8"/>
      <c r="B3894" s="8"/>
      <c r="C3894" s="8"/>
      <c r="D3894" s="8"/>
      <c r="E3894" s="8"/>
      <c r="F3894" s="8"/>
      <c r="G3894" s="10" t="str">
        <f aca="false">IF($A3894="","",UPPER(SUBSTITUTE(SUBSTITUTE(SUBSTITUTE(SUBSTITUTE($A3894," ",""),"(주)",""),"주식회사",""),"㈜","")))</f>
        <v/>
      </c>
      <c r="H3894" s="10" t="str">
        <f aca="false">IF($B3894="","",SUBSTITUTE(SUBSTITUTE(SUBSTITUTE($B3894,"-","")," ",""),".",""))</f>
        <v/>
      </c>
      <c r="I3894" s="10" t="str">
        <f aca="false">IF($D3894="","",SUBSTITUTE(SUBSTITUTE(SUBSTITUTE($D3894,"-","")," ",""),".",""))</f>
        <v/>
      </c>
      <c r="J3894" s="10" t="str">
        <f aca="false">IF($E3894="","",UPPER(SUBSTITUTE($E3894," ","")))</f>
        <v/>
      </c>
      <c r="K3894" s="10" t="str">
        <f aca="false">IF($A3894="","",$G3894&amp;"|"&amp;$J3894)</f>
        <v/>
      </c>
      <c r="L3894" s="10" t="str">
        <f aca="false">IF($A3894="","",ROW()-2)</f>
        <v/>
      </c>
      <c r="M3894" s="10" t="str">
        <f aca="false">IF($A3894="","",ROW())</f>
        <v/>
      </c>
    </row>
    <row r="3895" customFormat="false" ht="15" hidden="false" customHeight="true" outlineLevel="0" collapsed="false">
      <c r="A3895" s="8"/>
      <c r="B3895" s="8"/>
      <c r="C3895" s="8"/>
      <c r="D3895" s="8"/>
      <c r="E3895" s="8"/>
      <c r="F3895" s="8"/>
      <c r="G3895" s="10" t="str">
        <f aca="false">IF($A3895="","",UPPER(SUBSTITUTE(SUBSTITUTE(SUBSTITUTE(SUBSTITUTE($A3895," ",""),"(주)",""),"주식회사",""),"㈜","")))</f>
        <v/>
      </c>
      <c r="H3895" s="10" t="str">
        <f aca="false">IF($B3895="","",SUBSTITUTE(SUBSTITUTE(SUBSTITUTE($B3895,"-","")," ",""),".",""))</f>
        <v/>
      </c>
      <c r="I3895" s="10" t="str">
        <f aca="false">IF($D3895="","",SUBSTITUTE(SUBSTITUTE(SUBSTITUTE($D3895,"-","")," ",""),".",""))</f>
        <v/>
      </c>
      <c r="J3895" s="10" t="str">
        <f aca="false">IF($E3895="","",UPPER(SUBSTITUTE($E3895," ","")))</f>
        <v/>
      </c>
      <c r="K3895" s="10" t="str">
        <f aca="false">IF($A3895="","",$G3895&amp;"|"&amp;$J3895)</f>
        <v/>
      </c>
      <c r="L3895" s="10" t="str">
        <f aca="false">IF($A3895="","",ROW()-2)</f>
        <v/>
      </c>
      <c r="M3895" s="10" t="str">
        <f aca="false">IF($A3895="","",ROW())</f>
        <v/>
      </c>
    </row>
    <row r="3896" customFormat="false" ht="15" hidden="false" customHeight="true" outlineLevel="0" collapsed="false">
      <c r="A3896" s="8"/>
      <c r="B3896" s="8"/>
      <c r="C3896" s="8"/>
      <c r="D3896" s="8"/>
      <c r="E3896" s="8"/>
      <c r="F3896" s="8"/>
      <c r="G3896" s="10" t="str">
        <f aca="false">IF($A3896="","",UPPER(SUBSTITUTE(SUBSTITUTE(SUBSTITUTE(SUBSTITUTE($A3896," ",""),"(주)",""),"주식회사",""),"㈜","")))</f>
        <v/>
      </c>
      <c r="H3896" s="10" t="str">
        <f aca="false">IF($B3896="","",SUBSTITUTE(SUBSTITUTE(SUBSTITUTE($B3896,"-","")," ",""),".",""))</f>
        <v/>
      </c>
      <c r="I3896" s="10" t="str">
        <f aca="false">IF($D3896="","",SUBSTITUTE(SUBSTITUTE(SUBSTITUTE($D3896,"-","")," ",""),".",""))</f>
        <v/>
      </c>
      <c r="J3896" s="10" t="str">
        <f aca="false">IF($E3896="","",UPPER(SUBSTITUTE($E3896," ","")))</f>
        <v/>
      </c>
      <c r="K3896" s="10" t="str">
        <f aca="false">IF($A3896="","",$G3896&amp;"|"&amp;$J3896)</f>
        <v/>
      </c>
      <c r="L3896" s="10" t="str">
        <f aca="false">IF($A3896="","",ROW()-2)</f>
        <v/>
      </c>
      <c r="M3896" s="10" t="str">
        <f aca="false">IF($A3896="","",ROW())</f>
        <v/>
      </c>
    </row>
    <row r="3897" customFormat="false" ht="15" hidden="false" customHeight="true" outlineLevel="0" collapsed="false">
      <c r="A3897" s="8"/>
      <c r="B3897" s="8"/>
      <c r="C3897" s="8"/>
      <c r="D3897" s="8"/>
      <c r="E3897" s="8"/>
      <c r="F3897" s="8"/>
      <c r="G3897" s="10" t="str">
        <f aca="false">IF($A3897="","",UPPER(SUBSTITUTE(SUBSTITUTE(SUBSTITUTE(SUBSTITUTE($A3897," ",""),"(주)",""),"주식회사",""),"㈜","")))</f>
        <v/>
      </c>
      <c r="H3897" s="10" t="str">
        <f aca="false">IF($B3897="","",SUBSTITUTE(SUBSTITUTE(SUBSTITUTE($B3897,"-","")," ",""),".",""))</f>
        <v/>
      </c>
      <c r="I3897" s="10" t="str">
        <f aca="false">IF($D3897="","",SUBSTITUTE(SUBSTITUTE(SUBSTITUTE($D3897,"-","")," ",""),".",""))</f>
        <v/>
      </c>
      <c r="J3897" s="10" t="str">
        <f aca="false">IF($E3897="","",UPPER(SUBSTITUTE($E3897," ","")))</f>
        <v/>
      </c>
      <c r="K3897" s="10" t="str">
        <f aca="false">IF($A3897="","",$G3897&amp;"|"&amp;$J3897)</f>
        <v/>
      </c>
      <c r="L3897" s="10" t="str">
        <f aca="false">IF($A3897="","",ROW()-2)</f>
        <v/>
      </c>
      <c r="M3897" s="10" t="str">
        <f aca="false">IF($A3897="","",ROW())</f>
        <v/>
      </c>
    </row>
    <row r="3898" customFormat="false" ht="15" hidden="false" customHeight="true" outlineLevel="0" collapsed="false">
      <c r="A3898" s="8"/>
      <c r="B3898" s="8"/>
      <c r="C3898" s="8"/>
      <c r="D3898" s="8"/>
      <c r="E3898" s="8"/>
      <c r="F3898" s="8"/>
      <c r="G3898" s="10" t="str">
        <f aca="false">IF($A3898="","",UPPER(SUBSTITUTE(SUBSTITUTE(SUBSTITUTE(SUBSTITUTE($A3898," ",""),"(주)",""),"주식회사",""),"㈜","")))</f>
        <v/>
      </c>
      <c r="H3898" s="10" t="str">
        <f aca="false">IF($B3898="","",SUBSTITUTE(SUBSTITUTE(SUBSTITUTE($B3898,"-","")," ",""),".",""))</f>
        <v/>
      </c>
      <c r="I3898" s="10" t="str">
        <f aca="false">IF($D3898="","",SUBSTITUTE(SUBSTITUTE(SUBSTITUTE($D3898,"-","")," ",""),".",""))</f>
        <v/>
      </c>
      <c r="J3898" s="10" t="str">
        <f aca="false">IF($E3898="","",UPPER(SUBSTITUTE($E3898," ","")))</f>
        <v/>
      </c>
      <c r="K3898" s="10" t="str">
        <f aca="false">IF($A3898="","",$G3898&amp;"|"&amp;$J3898)</f>
        <v/>
      </c>
      <c r="L3898" s="10" t="str">
        <f aca="false">IF($A3898="","",ROW()-2)</f>
        <v/>
      </c>
      <c r="M3898" s="10" t="str">
        <f aca="false">IF($A3898="","",ROW())</f>
        <v/>
      </c>
    </row>
    <row r="3899" customFormat="false" ht="15" hidden="false" customHeight="true" outlineLevel="0" collapsed="false">
      <c r="A3899" s="8"/>
      <c r="B3899" s="8"/>
      <c r="C3899" s="8"/>
      <c r="D3899" s="8"/>
      <c r="E3899" s="8"/>
      <c r="F3899" s="8"/>
      <c r="G3899" s="10" t="str">
        <f aca="false">IF($A3899="","",UPPER(SUBSTITUTE(SUBSTITUTE(SUBSTITUTE(SUBSTITUTE($A3899," ",""),"(주)",""),"주식회사",""),"㈜","")))</f>
        <v/>
      </c>
      <c r="H3899" s="10" t="str">
        <f aca="false">IF($B3899="","",SUBSTITUTE(SUBSTITUTE(SUBSTITUTE($B3899,"-","")," ",""),".",""))</f>
        <v/>
      </c>
      <c r="I3899" s="10" t="str">
        <f aca="false">IF($D3899="","",SUBSTITUTE(SUBSTITUTE(SUBSTITUTE($D3899,"-","")," ",""),".",""))</f>
        <v/>
      </c>
      <c r="J3899" s="10" t="str">
        <f aca="false">IF($E3899="","",UPPER(SUBSTITUTE($E3899," ","")))</f>
        <v/>
      </c>
      <c r="K3899" s="10" t="str">
        <f aca="false">IF($A3899="","",$G3899&amp;"|"&amp;$J3899)</f>
        <v/>
      </c>
      <c r="L3899" s="10" t="str">
        <f aca="false">IF($A3899="","",ROW()-2)</f>
        <v/>
      </c>
      <c r="M3899" s="10" t="str">
        <f aca="false">IF($A3899="","",ROW())</f>
        <v/>
      </c>
    </row>
    <row r="3900" customFormat="false" ht="15" hidden="false" customHeight="true" outlineLevel="0" collapsed="false">
      <c r="A3900" s="8"/>
      <c r="B3900" s="8"/>
      <c r="C3900" s="8"/>
      <c r="D3900" s="8"/>
      <c r="E3900" s="8"/>
      <c r="F3900" s="8"/>
      <c r="G3900" s="10" t="str">
        <f aca="false">IF($A3900="","",UPPER(SUBSTITUTE(SUBSTITUTE(SUBSTITUTE(SUBSTITUTE($A3900," ",""),"(주)",""),"주식회사",""),"㈜","")))</f>
        <v/>
      </c>
      <c r="H3900" s="10" t="str">
        <f aca="false">IF($B3900="","",SUBSTITUTE(SUBSTITUTE(SUBSTITUTE($B3900,"-","")," ",""),".",""))</f>
        <v/>
      </c>
      <c r="I3900" s="10" t="str">
        <f aca="false">IF($D3900="","",SUBSTITUTE(SUBSTITUTE(SUBSTITUTE($D3900,"-","")," ",""),".",""))</f>
        <v/>
      </c>
      <c r="J3900" s="10" t="str">
        <f aca="false">IF($E3900="","",UPPER(SUBSTITUTE($E3900," ","")))</f>
        <v/>
      </c>
      <c r="K3900" s="10" t="str">
        <f aca="false">IF($A3900="","",$G3900&amp;"|"&amp;$J3900)</f>
        <v/>
      </c>
      <c r="L3900" s="10" t="str">
        <f aca="false">IF($A3900="","",ROW()-2)</f>
        <v/>
      </c>
      <c r="M3900" s="10" t="str">
        <f aca="false">IF($A3900="","",ROW())</f>
        <v/>
      </c>
    </row>
    <row r="3901" customFormat="false" ht="15" hidden="false" customHeight="true" outlineLevel="0" collapsed="false">
      <c r="A3901" s="8"/>
      <c r="B3901" s="8"/>
      <c r="C3901" s="8"/>
      <c r="D3901" s="8"/>
      <c r="E3901" s="8"/>
      <c r="F3901" s="8"/>
      <c r="G3901" s="10" t="str">
        <f aca="false">IF($A3901="","",UPPER(SUBSTITUTE(SUBSTITUTE(SUBSTITUTE(SUBSTITUTE($A3901," ",""),"(주)",""),"주식회사",""),"㈜","")))</f>
        <v/>
      </c>
      <c r="H3901" s="10" t="str">
        <f aca="false">IF($B3901="","",SUBSTITUTE(SUBSTITUTE(SUBSTITUTE($B3901,"-","")," ",""),".",""))</f>
        <v/>
      </c>
      <c r="I3901" s="10" t="str">
        <f aca="false">IF($D3901="","",SUBSTITUTE(SUBSTITUTE(SUBSTITUTE($D3901,"-","")," ",""),".",""))</f>
        <v/>
      </c>
      <c r="J3901" s="10" t="str">
        <f aca="false">IF($E3901="","",UPPER(SUBSTITUTE($E3901," ","")))</f>
        <v/>
      </c>
      <c r="K3901" s="10" t="str">
        <f aca="false">IF($A3901="","",$G3901&amp;"|"&amp;$J3901)</f>
        <v/>
      </c>
      <c r="L3901" s="10" t="str">
        <f aca="false">IF($A3901="","",ROW()-2)</f>
        <v/>
      </c>
      <c r="M3901" s="10" t="str">
        <f aca="false">IF($A3901="","",ROW())</f>
        <v/>
      </c>
    </row>
    <row r="3902" customFormat="false" ht="15" hidden="false" customHeight="true" outlineLevel="0" collapsed="false">
      <c r="A3902" s="8"/>
      <c r="B3902" s="8"/>
      <c r="C3902" s="8"/>
      <c r="D3902" s="8"/>
      <c r="E3902" s="8"/>
      <c r="F3902" s="8"/>
      <c r="G3902" s="10" t="str">
        <f aca="false">IF($A3902="","",UPPER(SUBSTITUTE(SUBSTITUTE(SUBSTITUTE(SUBSTITUTE($A3902," ",""),"(주)",""),"주식회사",""),"㈜","")))</f>
        <v/>
      </c>
      <c r="H3902" s="10" t="str">
        <f aca="false">IF($B3902="","",SUBSTITUTE(SUBSTITUTE(SUBSTITUTE($B3902,"-","")," ",""),".",""))</f>
        <v/>
      </c>
      <c r="I3902" s="10" t="str">
        <f aca="false">IF($D3902="","",SUBSTITUTE(SUBSTITUTE(SUBSTITUTE($D3902,"-","")," ",""),".",""))</f>
        <v/>
      </c>
      <c r="J3902" s="10" t="str">
        <f aca="false">IF($E3902="","",UPPER(SUBSTITUTE($E3902," ","")))</f>
        <v/>
      </c>
      <c r="K3902" s="10" t="str">
        <f aca="false">IF($A3902="","",$G3902&amp;"|"&amp;$J3902)</f>
        <v/>
      </c>
      <c r="L3902" s="10" t="str">
        <f aca="false">IF($A3902="","",ROW()-2)</f>
        <v/>
      </c>
      <c r="M3902" s="10" t="str">
        <f aca="false">IF($A3902="","",ROW())</f>
        <v/>
      </c>
    </row>
    <row r="3903" customFormat="false" ht="15" hidden="false" customHeight="true" outlineLevel="0" collapsed="false">
      <c r="A3903" s="8"/>
      <c r="B3903" s="8"/>
      <c r="C3903" s="8"/>
      <c r="D3903" s="8"/>
      <c r="E3903" s="8"/>
      <c r="F3903" s="8"/>
      <c r="G3903" s="10" t="str">
        <f aca="false">IF($A3903="","",UPPER(SUBSTITUTE(SUBSTITUTE(SUBSTITUTE(SUBSTITUTE($A3903," ",""),"(주)",""),"주식회사",""),"㈜","")))</f>
        <v/>
      </c>
      <c r="H3903" s="10" t="str">
        <f aca="false">IF($B3903="","",SUBSTITUTE(SUBSTITUTE(SUBSTITUTE($B3903,"-","")," ",""),".",""))</f>
        <v/>
      </c>
      <c r="I3903" s="10" t="str">
        <f aca="false">IF($D3903="","",SUBSTITUTE(SUBSTITUTE(SUBSTITUTE($D3903,"-","")," ",""),".",""))</f>
        <v/>
      </c>
      <c r="J3903" s="10" t="str">
        <f aca="false">IF($E3903="","",UPPER(SUBSTITUTE($E3903," ","")))</f>
        <v/>
      </c>
      <c r="K3903" s="10" t="str">
        <f aca="false">IF($A3903="","",$G3903&amp;"|"&amp;$J3903)</f>
        <v/>
      </c>
      <c r="L3903" s="10" t="str">
        <f aca="false">IF($A3903="","",ROW()-2)</f>
        <v/>
      </c>
      <c r="M3903" s="10" t="str">
        <f aca="false">IF($A3903="","",ROW())</f>
        <v/>
      </c>
    </row>
    <row r="3904" customFormat="false" ht="15" hidden="false" customHeight="true" outlineLevel="0" collapsed="false">
      <c r="A3904" s="8"/>
      <c r="B3904" s="8"/>
      <c r="C3904" s="8"/>
      <c r="D3904" s="8"/>
      <c r="E3904" s="8"/>
      <c r="F3904" s="8"/>
      <c r="G3904" s="10" t="str">
        <f aca="false">IF($A3904="","",UPPER(SUBSTITUTE(SUBSTITUTE(SUBSTITUTE(SUBSTITUTE($A3904," ",""),"(주)",""),"주식회사",""),"㈜","")))</f>
        <v/>
      </c>
      <c r="H3904" s="10" t="str">
        <f aca="false">IF($B3904="","",SUBSTITUTE(SUBSTITUTE(SUBSTITUTE($B3904,"-","")," ",""),".",""))</f>
        <v/>
      </c>
      <c r="I3904" s="10" t="str">
        <f aca="false">IF($D3904="","",SUBSTITUTE(SUBSTITUTE(SUBSTITUTE($D3904,"-","")," ",""),".",""))</f>
        <v/>
      </c>
      <c r="J3904" s="10" t="str">
        <f aca="false">IF($E3904="","",UPPER(SUBSTITUTE($E3904," ","")))</f>
        <v/>
      </c>
      <c r="K3904" s="10" t="str">
        <f aca="false">IF($A3904="","",$G3904&amp;"|"&amp;$J3904)</f>
        <v/>
      </c>
      <c r="L3904" s="10" t="str">
        <f aca="false">IF($A3904="","",ROW()-2)</f>
        <v/>
      </c>
      <c r="M3904" s="10" t="str">
        <f aca="false">IF($A3904="","",ROW())</f>
        <v/>
      </c>
    </row>
    <row r="3905" customFormat="false" ht="15" hidden="false" customHeight="true" outlineLevel="0" collapsed="false">
      <c r="A3905" s="8"/>
      <c r="B3905" s="8"/>
      <c r="C3905" s="8"/>
      <c r="D3905" s="8"/>
      <c r="E3905" s="8"/>
      <c r="F3905" s="8"/>
      <c r="G3905" s="10" t="str">
        <f aca="false">IF($A3905="","",UPPER(SUBSTITUTE(SUBSTITUTE(SUBSTITUTE(SUBSTITUTE($A3905," ",""),"(주)",""),"주식회사",""),"㈜","")))</f>
        <v/>
      </c>
      <c r="H3905" s="10" t="str">
        <f aca="false">IF($B3905="","",SUBSTITUTE(SUBSTITUTE(SUBSTITUTE($B3905,"-","")," ",""),".",""))</f>
        <v/>
      </c>
      <c r="I3905" s="10" t="str">
        <f aca="false">IF($D3905="","",SUBSTITUTE(SUBSTITUTE(SUBSTITUTE($D3905,"-","")," ",""),".",""))</f>
        <v/>
      </c>
      <c r="J3905" s="10" t="str">
        <f aca="false">IF($E3905="","",UPPER(SUBSTITUTE($E3905," ","")))</f>
        <v/>
      </c>
      <c r="K3905" s="10" t="str">
        <f aca="false">IF($A3905="","",$G3905&amp;"|"&amp;$J3905)</f>
        <v/>
      </c>
      <c r="L3905" s="10" t="str">
        <f aca="false">IF($A3905="","",ROW()-2)</f>
        <v/>
      </c>
      <c r="M3905" s="10" t="str">
        <f aca="false">IF($A3905="","",ROW())</f>
        <v/>
      </c>
    </row>
    <row r="3906" customFormat="false" ht="15" hidden="false" customHeight="true" outlineLevel="0" collapsed="false">
      <c r="A3906" s="8"/>
      <c r="B3906" s="8"/>
      <c r="C3906" s="8"/>
      <c r="D3906" s="8"/>
      <c r="E3906" s="8"/>
      <c r="F3906" s="8"/>
      <c r="G3906" s="10" t="str">
        <f aca="false">IF($A3906="","",UPPER(SUBSTITUTE(SUBSTITUTE(SUBSTITUTE(SUBSTITUTE($A3906," ",""),"(주)",""),"주식회사",""),"㈜","")))</f>
        <v/>
      </c>
      <c r="H3906" s="10" t="str">
        <f aca="false">IF($B3906="","",SUBSTITUTE(SUBSTITUTE(SUBSTITUTE($B3906,"-","")," ",""),".",""))</f>
        <v/>
      </c>
      <c r="I3906" s="10" t="str">
        <f aca="false">IF($D3906="","",SUBSTITUTE(SUBSTITUTE(SUBSTITUTE($D3906,"-","")," ",""),".",""))</f>
        <v/>
      </c>
      <c r="J3906" s="10" t="str">
        <f aca="false">IF($E3906="","",UPPER(SUBSTITUTE($E3906," ","")))</f>
        <v/>
      </c>
      <c r="K3906" s="10" t="str">
        <f aca="false">IF($A3906="","",$G3906&amp;"|"&amp;$J3906)</f>
        <v/>
      </c>
      <c r="L3906" s="10" t="str">
        <f aca="false">IF($A3906="","",ROW()-2)</f>
        <v/>
      </c>
      <c r="M3906" s="10" t="str">
        <f aca="false">IF($A3906="","",ROW())</f>
        <v/>
      </c>
    </row>
    <row r="3907" customFormat="false" ht="15" hidden="false" customHeight="true" outlineLevel="0" collapsed="false">
      <c r="A3907" s="8"/>
      <c r="B3907" s="8"/>
      <c r="C3907" s="8"/>
      <c r="D3907" s="8"/>
      <c r="E3907" s="8"/>
      <c r="F3907" s="8"/>
      <c r="G3907" s="10" t="str">
        <f aca="false">IF($A3907="","",UPPER(SUBSTITUTE(SUBSTITUTE(SUBSTITUTE(SUBSTITUTE($A3907," ",""),"(주)",""),"주식회사",""),"㈜","")))</f>
        <v/>
      </c>
      <c r="H3907" s="10" t="str">
        <f aca="false">IF($B3907="","",SUBSTITUTE(SUBSTITUTE(SUBSTITUTE($B3907,"-","")," ",""),".",""))</f>
        <v/>
      </c>
      <c r="I3907" s="10" t="str">
        <f aca="false">IF($D3907="","",SUBSTITUTE(SUBSTITUTE(SUBSTITUTE($D3907,"-","")," ",""),".",""))</f>
        <v/>
      </c>
      <c r="J3907" s="10" t="str">
        <f aca="false">IF($E3907="","",UPPER(SUBSTITUTE($E3907," ","")))</f>
        <v/>
      </c>
      <c r="K3907" s="10" t="str">
        <f aca="false">IF($A3907="","",$G3907&amp;"|"&amp;$J3907)</f>
        <v/>
      </c>
      <c r="L3907" s="10" t="str">
        <f aca="false">IF($A3907="","",ROW()-2)</f>
        <v/>
      </c>
      <c r="M3907" s="10" t="str">
        <f aca="false">IF($A3907="","",ROW())</f>
        <v/>
      </c>
    </row>
    <row r="3908" customFormat="false" ht="15" hidden="false" customHeight="true" outlineLevel="0" collapsed="false">
      <c r="A3908" s="8"/>
      <c r="B3908" s="8"/>
      <c r="C3908" s="8"/>
      <c r="D3908" s="8"/>
      <c r="E3908" s="8"/>
      <c r="F3908" s="8"/>
      <c r="G3908" s="10" t="str">
        <f aca="false">IF($A3908="","",UPPER(SUBSTITUTE(SUBSTITUTE(SUBSTITUTE(SUBSTITUTE($A3908," ",""),"(주)",""),"주식회사",""),"㈜","")))</f>
        <v/>
      </c>
      <c r="H3908" s="10" t="str">
        <f aca="false">IF($B3908="","",SUBSTITUTE(SUBSTITUTE(SUBSTITUTE($B3908,"-","")," ",""),".",""))</f>
        <v/>
      </c>
      <c r="I3908" s="10" t="str">
        <f aca="false">IF($D3908="","",SUBSTITUTE(SUBSTITUTE(SUBSTITUTE($D3908,"-","")," ",""),".",""))</f>
        <v/>
      </c>
      <c r="J3908" s="10" t="str">
        <f aca="false">IF($E3908="","",UPPER(SUBSTITUTE($E3908," ","")))</f>
        <v/>
      </c>
      <c r="K3908" s="10" t="str">
        <f aca="false">IF($A3908="","",$G3908&amp;"|"&amp;$J3908)</f>
        <v/>
      </c>
      <c r="L3908" s="10" t="str">
        <f aca="false">IF($A3908="","",ROW()-2)</f>
        <v/>
      </c>
      <c r="M3908" s="10" t="str">
        <f aca="false">IF($A3908="","",ROW())</f>
        <v/>
      </c>
    </row>
    <row r="3909" customFormat="false" ht="15" hidden="false" customHeight="true" outlineLevel="0" collapsed="false">
      <c r="A3909" s="8"/>
      <c r="B3909" s="8"/>
      <c r="C3909" s="8"/>
      <c r="D3909" s="8"/>
      <c r="E3909" s="8"/>
      <c r="F3909" s="8"/>
      <c r="G3909" s="10" t="str">
        <f aca="false">IF($A3909="","",UPPER(SUBSTITUTE(SUBSTITUTE(SUBSTITUTE(SUBSTITUTE($A3909," ",""),"(주)",""),"주식회사",""),"㈜","")))</f>
        <v/>
      </c>
      <c r="H3909" s="10" t="str">
        <f aca="false">IF($B3909="","",SUBSTITUTE(SUBSTITUTE(SUBSTITUTE($B3909,"-","")," ",""),".",""))</f>
        <v/>
      </c>
      <c r="I3909" s="10" t="str">
        <f aca="false">IF($D3909="","",SUBSTITUTE(SUBSTITUTE(SUBSTITUTE($D3909,"-","")," ",""),".",""))</f>
        <v/>
      </c>
      <c r="J3909" s="10" t="str">
        <f aca="false">IF($E3909="","",UPPER(SUBSTITUTE($E3909," ","")))</f>
        <v/>
      </c>
      <c r="K3909" s="10" t="str">
        <f aca="false">IF($A3909="","",$G3909&amp;"|"&amp;$J3909)</f>
        <v/>
      </c>
      <c r="L3909" s="10" t="str">
        <f aca="false">IF($A3909="","",ROW()-2)</f>
        <v/>
      </c>
      <c r="M3909" s="10" t="str">
        <f aca="false">IF($A3909="","",ROW())</f>
        <v/>
      </c>
    </row>
    <row r="3910" customFormat="false" ht="15" hidden="false" customHeight="true" outlineLevel="0" collapsed="false">
      <c r="A3910" s="8"/>
      <c r="B3910" s="8"/>
      <c r="C3910" s="8"/>
      <c r="D3910" s="8"/>
      <c r="E3910" s="8"/>
      <c r="F3910" s="8"/>
      <c r="G3910" s="10" t="str">
        <f aca="false">IF($A3910="","",UPPER(SUBSTITUTE(SUBSTITUTE(SUBSTITUTE(SUBSTITUTE($A3910," ",""),"(주)",""),"주식회사",""),"㈜","")))</f>
        <v/>
      </c>
      <c r="H3910" s="10" t="str">
        <f aca="false">IF($B3910="","",SUBSTITUTE(SUBSTITUTE(SUBSTITUTE($B3910,"-","")," ",""),".",""))</f>
        <v/>
      </c>
      <c r="I3910" s="10" t="str">
        <f aca="false">IF($D3910="","",SUBSTITUTE(SUBSTITUTE(SUBSTITUTE($D3910,"-","")," ",""),".",""))</f>
        <v/>
      </c>
      <c r="J3910" s="10" t="str">
        <f aca="false">IF($E3910="","",UPPER(SUBSTITUTE($E3910," ","")))</f>
        <v/>
      </c>
      <c r="K3910" s="10" t="str">
        <f aca="false">IF($A3910="","",$G3910&amp;"|"&amp;$J3910)</f>
        <v/>
      </c>
      <c r="L3910" s="10" t="str">
        <f aca="false">IF($A3910="","",ROW()-2)</f>
        <v/>
      </c>
      <c r="M3910" s="10" t="str">
        <f aca="false">IF($A3910="","",ROW())</f>
        <v/>
      </c>
    </row>
    <row r="3911" customFormat="false" ht="15" hidden="false" customHeight="true" outlineLevel="0" collapsed="false">
      <c r="A3911" s="8"/>
      <c r="B3911" s="8"/>
      <c r="C3911" s="8"/>
      <c r="D3911" s="8"/>
      <c r="E3911" s="8"/>
      <c r="F3911" s="8"/>
      <c r="G3911" s="10" t="str">
        <f aca="false">IF($A3911="","",UPPER(SUBSTITUTE(SUBSTITUTE(SUBSTITUTE(SUBSTITUTE($A3911," ",""),"(주)",""),"주식회사",""),"㈜","")))</f>
        <v/>
      </c>
      <c r="H3911" s="10" t="str">
        <f aca="false">IF($B3911="","",SUBSTITUTE(SUBSTITUTE(SUBSTITUTE($B3911,"-","")," ",""),".",""))</f>
        <v/>
      </c>
      <c r="I3911" s="10" t="str">
        <f aca="false">IF($D3911="","",SUBSTITUTE(SUBSTITUTE(SUBSTITUTE($D3911,"-","")," ",""),".",""))</f>
        <v/>
      </c>
      <c r="J3911" s="10" t="str">
        <f aca="false">IF($E3911="","",UPPER(SUBSTITUTE($E3911," ","")))</f>
        <v/>
      </c>
      <c r="K3911" s="10" t="str">
        <f aca="false">IF($A3911="","",$G3911&amp;"|"&amp;$J3911)</f>
        <v/>
      </c>
      <c r="L3911" s="10" t="str">
        <f aca="false">IF($A3911="","",ROW()-2)</f>
        <v/>
      </c>
      <c r="M3911" s="10" t="str">
        <f aca="false">IF($A3911="","",ROW())</f>
        <v/>
      </c>
    </row>
    <row r="3912" customFormat="false" ht="15" hidden="false" customHeight="true" outlineLevel="0" collapsed="false">
      <c r="A3912" s="8"/>
      <c r="B3912" s="8"/>
      <c r="C3912" s="8"/>
      <c r="D3912" s="8"/>
      <c r="E3912" s="8"/>
      <c r="F3912" s="8"/>
      <c r="G3912" s="10" t="str">
        <f aca="false">IF($A3912="","",UPPER(SUBSTITUTE(SUBSTITUTE(SUBSTITUTE(SUBSTITUTE($A3912," ",""),"(주)",""),"주식회사",""),"㈜","")))</f>
        <v/>
      </c>
      <c r="H3912" s="10" t="str">
        <f aca="false">IF($B3912="","",SUBSTITUTE(SUBSTITUTE(SUBSTITUTE($B3912,"-","")," ",""),".",""))</f>
        <v/>
      </c>
      <c r="I3912" s="10" t="str">
        <f aca="false">IF($D3912="","",SUBSTITUTE(SUBSTITUTE(SUBSTITUTE($D3912,"-","")," ",""),".",""))</f>
        <v/>
      </c>
      <c r="J3912" s="10" t="str">
        <f aca="false">IF($E3912="","",UPPER(SUBSTITUTE($E3912," ","")))</f>
        <v/>
      </c>
      <c r="K3912" s="10" t="str">
        <f aca="false">IF($A3912="","",$G3912&amp;"|"&amp;$J3912)</f>
        <v/>
      </c>
      <c r="L3912" s="10" t="str">
        <f aca="false">IF($A3912="","",ROW()-2)</f>
        <v/>
      </c>
      <c r="M3912" s="10" t="str">
        <f aca="false">IF($A3912="","",ROW())</f>
        <v/>
      </c>
    </row>
    <row r="3913" customFormat="false" ht="15" hidden="false" customHeight="true" outlineLevel="0" collapsed="false">
      <c r="A3913" s="8"/>
      <c r="B3913" s="8"/>
      <c r="C3913" s="8"/>
      <c r="D3913" s="8"/>
      <c r="E3913" s="8"/>
      <c r="F3913" s="8"/>
      <c r="G3913" s="10" t="str">
        <f aca="false">IF($A3913="","",UPPER(SUBSTITUTE(SUBSTITUTE(SUBSTITUTE(SUBSTITUTE($A3913," ",""),"(주)",""),"주식회사",""),"㈜","")))</f>
        <v/>
      </c>
      <c r="H3913" s="10" t="str">
        <f aca="false">IF($B3913="","",SUBSTITUTE(SUBSTITUTE(SUBSTITUTE($B3913,"-","")," ",""),".",""))</f>
        <v/>
      </c>
      <c r="I3913" s="10" t="str">
        <f aca="false">IF($D3913="","",SUBSTITUTE(SUBSTITUTE(SUBSTITUTE($D3913,"-","")," ",""),".",""))</f>
        <v/>
      </c>
      <c r="J3913" s="10" t="str">
        <f aca="false">IF($E3913="","",UPPER(SUBSTITUTE($E3913," ","")))</f>
        <v/>
      </c>
      <c r="K3913" s="10" t="str">
        <f aca="false">IF($A3913="","",$G3913&amp;"|"&amp;$J3913)</f>
        <v/>
      </c>
      <c r="L3913" s="10" t="str">
        <f aca="false">IF($A3913="","",ROW()-2)</f>
        <v/>
      </c>
      <c r="M3913" s="10" t="str">
        <f aca="false">IF($A3913="","",ROW())</f>
        <v/>
      </c>
    </row>
    <row r="3914" customFormat="false" ht="15" hidden="false" customHeight="true" outlineLevel="0" collapsed="false">
      <c r="A3914" s="8"/>
      <c r="B3914" s="8"/>
      <c r="C3914" s="8"/>
      <c r="D3914" s="8"/>
      <c r="E3914" s="8"/>
      <c r="F3914" s="8"/>
      <c r="G3914" s="10" t="str">
        <f aca="false">IF($A3914="","",UPPER(SUBSTITUTE(SUBSTITUTE(SUBSTITUTE(SUBSTITUTE($A3914," ",""),"(주)",""),"주식회사",""),"㈜","")))</f>
        <v/>
      </c>
      <c r="H3914" s="10" t="str">
        <f aca="false">IF($B3914="","",SUBSTITUTE(SUBSTITUTE(SUBSTITUTE($B3914,"-","")," ",""),".",""))</f>
        <v/>
      </c>
      <c r="I3914" s="10" t="str">
        <f aca="false">IF($D3914="","",SUBSTITUTE(SUBSTITUTE(SUBSTITUTE($D3914,"-","")," ",""),".",""))</f>
        <v/>
      </c>
      <c r="J3914" s="10" t="str">
        <f aca="false">IF($E3914="","",UPPER(SUBSTITUTE($E3914," ","")))</f>
        <v/>
      </c>
      <c r="K3914" s="10" t="str">
        <f aca="false">IF($A3914="","",$G3914&amp;"|"&amp;$J3914)</f>
        <v/>
      </c>
      <c r="L3914" s="10" t="str">
        <f aca="false">IF($A3914="","",ROW()-2)</f>
        <v/>
      </c>
      <c r="M3914" s="10" t="str">
        <f aca="false">IF($A3914="","",ROW())</f>
        <v/>
      </c>
    </row>
    <row r="3915" customFormat="false" ht="15" hidden="false" customHeight="true" outlineLevel="0" collapsed="false">
      <c r="A3915" s="8"/>
      <c r="B3915" s="8"/>
      <c r="C3915" s="8"/>
      <c r="D3915" s="8"/>
      <c r="E3915" s="8"/>
      <c r="F3915" s="8"/>
      <c r="G3915" s="10" t="str">
        <f aca="false">IF($A3915="","",UPPER(SUBSTITUTE(SUBSTITUTE(SUBSTITUTE(SUBSTITUTE($A3915," ",""),"(주)",""),"주식회사",""),"㈜","")))</f>
        <v/>
      </c>
      <c r="H3915" s="10" t="str">
        <f aca="false">IF($B3915="","",SUBSTITUTE(SUBSTITUTE(SUBSTITUTE($B3915,"-","")," ",""),".",""))</f>
        <v/>
      </c>
      <c r="I3915" s="10" t="str">
        <f aca="false">IF($D3915="","",SUBSTITUTE(SUBSTITUTE(SUBSTITUTE($D3915,"-","")," ",""),".",""))</f>
        <v/>
      </c>
      <c r="J3915" s="10" t="str">
        <f aca="false">IF($E3915="","",UPPER(SUBSTITUTE($E3915," ","")))</f>
        <v/>
      </c>
      <c r="K3915" s="10" t="str">
        <f aca="false">IF($A3915="","",$G3915&amp;"|"&amp;$J3915)</f>
        <v/>
      </c>
      <c r="L3915" s="10" t="str">
        <f aca="false">IF($A3915="","",ROW()-2)</f>
        <v/>
      </c>
      <c r="M3915" s="10" t="str">
        <f aca="false">IF($A3915="","",ROW())</f>
        <v/>
      </c>
    </row>
    <row r="3916" customFormat="false" ht="15" hidden="false" customHeight="true" outlineLevel="0" collapsed="false">
      <c r="A3916" s="8"/>
      <c r="B3916" s="8"/>
      <c r="C3916" s="8"/>
      <c r="D3916" s="8"/>
      <c r="E3916" s="8"/>
      <c r="F3916" s="8"/>
      <c r="G3916" s="10" t="str">
        <f aca="false">IF($A3916="","",UPPER(SUBSTITUTE(SUBSTITUTE(SUBSTITUTE(SUBSTITUTE($A3916," ",""),"(주)",""),"주식회사",""),"㈜","")))</f>
        <v/>
      </c>
      <c r="H3916" s="10" t="str">
        <f aca="false">IF($B3916="","",SUBSTITUTE(SUBSTITUTE(SUBSTITUTE($B3916,"-","")," ",""),".",""))</f>
        <v/>
      </c>
      <c r="I3916" s="10" t="str">
        <f aca="false">IF($D3916="","",SUBSTITUTE(SUBSTITUTE(SUBSTITUTE($D3916,"-","")," ",""),".",""))</f>
        <v/>
      </c>
      <c r="J3916" s="10" t="str">
        <f aca="false">IF($E3916="","",UPPER(SUBSTITUTE($E3916," ","")))</f>
        <v/>
      </c>
      <c r="K3916" s="10" t="str">
        <f aca="false">IF($A3916="","",$G3916&amp;"|"&amp;$J3916)</f>
        <v/>
      </c>
      <c r="L3916" s="10" t="str">
        <f aca="false">IF($A3916="","",ROW()-2)</f>
        <v/>
      </c>
      <c r="M3916" s="10" t="str">
        <f aca="false">IF($A3916="","",ROW())</f>
        <v/>
      </c>
    </row>
    <row r="3917" customFormat="false" ht="15" hidden="false" customHeight="true" outlineLevel="0" collapsed="false">
      <c r="A3917" s="8"/>
      <c r="B3917" s="8"/>
      <c r="C3917" s="8"/>
      <c r="D3917" s="8"/>
      <c r="E3917" s="8"/>
      <c r="F3917" s="8"/>
      <c r="G3917" s="10" t="str">
        <f aca="false">IF($A3917="","",UPPER(SUBSTITUTE(SUBSTITUTE(SUBSTITUTE(SUBSTITUTE($A3917," ",""),"(주)",""),"주식회사",""),"㈜","")))</f>
        <v/>
      </c>
      <c r="H3917" s="10" t="str">
        <f aca="false">IF($B3917="","",SUBSTITUTE(SUBSTITUTE(SUBSTITUTE($B3917,"-","")," ",""),".",""))</f>
        <v/>
      </c>
      <c r="I3917" s="10" t="str">
        <f aca="false">IF($D3917="","",SUBSTITUTE(SUBSTITUTE(SUBSTITUTE($D3917,"-","")," ",""),".",""))</f>
        <v/>
      </c>
      <c r="J3917" s="10" t="str">
        <f aca="false">IF($E3917="","",UPPER(SUBSTITUTE($E3917," ","")))</f>
        <v/>
      </c>
      <c r="K3917" s="10" t="str">
        <f aca="false">IF($A3917="","",$G3917&amp;"|"&amp;$J3917)</f>
        <v/>
      </c>
      <c r="L3917" s="10" t="str">
        <f aca="false">IF($A3917="","",ROW()-2)</f>
        <v/>
      </c>
      <c r="M3917" s="10" t="str">
        <f aca="false">IF($A3917="","",ROW())</f>
        <v/>
      </c>
    </row>
    <row r="3918" customFormat="false" ht="15" hidden="false" customHeight="true" outlineLevel="0" collapsed="false">
      <c r="A3918" s="8"/>
      <c r="B3918" s="8"/>
      <c r="C3918" s="8"/>
      <c r="D3918" s="8"/>
      <c r="E3918" s="8"/>
      <c r="F3918" s="8"/>
      <c r="G3918" s="10" t="str">
        <f aca="false">IF($A3918="","",UPPER(SUBSTITUTE(SUBSTITUTE(SUBSTITUTE(SUBSTITUTE($A3918," ",""),"(주)",""),"주식회사",""),"㈜","")))</f>
        <v/>
      </c>
      <c r="H3918" s="10" t="str">
        <f aca="false">IF($B3918="","",SUBSTITUTE(SUBSTITUTE(SUBSTITUTE($B3918,"-","")," ",""),".",""))</f>
        <v/>
      </c>
      <c r="I3918" s="10" t="str">
        <f aca="false">IF($D3918="","",SUBSTITUTE(SUBSTITUTE(SUBSTITUTE($D3918,"-","")," ",""),".",""))</f>
        <v/>
      </c>
      <c r="J3918" s="10" t="str">
        <f aca="false">IF($E3918="","",UPPER(SUBSTITUTE($E3918," ","")))</f>
        <v/>
      </c>
      <c r="K3918" s="10" t="str">
        <f aca="false">IF($A3918="","",$G3918&amp;"|"&amp;$J3918)</f>
        <v/>
      </c>
      <c r="L3918" s="10" t="str">
        <f aca="false">IF($A3918="","",ROW()-2)</f>
        <v/>
      </c>
      <c r="M3918" s="10" t="str">
        <f aca="false">IF($A3918="","",ROW())</f>
        <v/>
      </c>
    </row>
    <row r="3919" customFormat="false" ht="15" hidden="false" customHeight="true" outlineLevel="0" collapsed="false">
      <c r="A3919" s="8"/>
      <c r="B3919" s="8"/>
      <c r="C3919" s="8"/>
      <c r="D3919" s="8"/>
      <c r="E3919" s="8"/>
      <c r="F3919" s="8"/>
      <c r="G3919" s="10" t="str">
        <f aca="false">IF($A3919="","",UPPER(SUBSTITUTE(SUBSTITUTE(SUBSTITUTE(SUBSTITUTE($A3919," ",""),"(주)",""),"주식회사",""),"㈜","")))</f>
        <v/>
      </c>
      <c r="H3919" s="10" t="str">
        <f aca="false">IF($B3919="","",SUBSTITUTE(SUBSTITUTE(SUBSTITUTE($B3919,"-","")," ",""),".",""))</f>
        <v/>
      </c>
      <c r="I3919" s="10" t="str">
        <f aca="false">IF($D3919="","",SUBSTITUTE(SUBSTITUTE(SUBSTITUTE($D3919,"-","")," ",""),".",""))</f>
        <v/>
      </c>
      <c r="J3919" s="10" t="str">
        <f aca="false">IF($E3919="","",UPPER(SUBSTITUTE($E3919," ","")))</f>
        <v/>
      </c>
      <c r="K3919" s="10" t="str">
        <f aca="false">IF($A3919="","",$G3919&amp;"|"&amp;$J3919)</f>
        <v/>
      </c>
      <c r="L3919" s="10" t="str">
        <f aca="false">IF($A3919="","",ROW()-2)</f>
        <v/>
      </c>
      <c r="M3919" s="10" t="str">
        <f aca="false">IF($A3919="","",ROW())</f>
        <v/>
      </c>
    </row>
    <row r="3920" customFormat="false" ht="15" hidden="false" customHeight="true" outlineLevel="0" collapsed="false">
      <c r="A3920" s="8"/>
      <c r="B3920" s="8"/>
      <c r="C3920" s="8"/>
      <c r="D3920" s="8"/>
      <c r="E3920" s="8"/>
      <c r="F3920" s="8"/>
      <c r="G3920" s="10" t="str">
        <f aca="false">IF($A3920="","",UPPER(SUBSTITUTE(SUBSTITUTE(SUBSTITUTE(SUBSTITUTE($A3920," ",""),"(주)",""),"주식회사",""),"㈜","")))</f>
        <v/>
      </c>
      <c r="H3920" s="10" t="str">
        <f aca="false">IF($B3920="","",SUBSTITUTE(SUBSTITUTE(SUBSTITUTE($B3920,"-","")," ",""),".",""))</f>
        <v/>
      </c>
      <c r="I3920" s="10" t="str">
        <f aca="false">IF($D3920="","",SUBSTITUTE(SUBSTITUTE(SUBSTITUTE($D3920,"-","")," ",""),".",""))</f>
        <v/>
      </c>
      <c r="J3920" s="10" t="str">
        <f aca="false">IF($E3920="","",UPPER(SUBSTITUTE($E3920," ","")))</f>
        <v/>
      </c>
      <c r="K3920" s="10" t="str">
        <f aca="false">IF($A3920="","",$G3920&amp;"|"&amp;$J3920)</f>
        <v/>
      </c>
      <c r="L3920" s="10" t="str">
        <f aca="false">IF($A3920="","",ROW()-2)</f>
        <v/>
      </c>
      <c r="M3920" s="10" t="str">
        <f aca="false">IF($A3920="","",ROW())</f>
        <v/>
      </c>
    </row>
    <row r="3921" customFormat="false" ht="15" hidden="false" customHeight="true" outlineLevel="0" collapsed="false">
      <c r="A3921" s="8"/>
      <c r="B3921" s="8"/>
      <c r="C3921" s="8"/>
      <c r="D3921" s="8"/>
      <c r="E3921" s="8"/>
      <c r="F3921" s="8"/>
      <c r="G3921" s="10" t="str">
        <f aca="false">IF($A3921="","",UPPER(SUBSTITUTE(SUBSTITUTE(SUBSTITUTE(SUBSTITUTE($A3921," ",""),"(주)",""),"주식회사",""),"㈜","")))</f>
        <v/>
      </c>
      <c r="H3921" s="10" t="str">
        <f aca="false">IF($B3921="","",SUBSTITUTE(SUBSTITUTE(SUBSTITUTE($B3921,"-","")," ",""),".",""))</f>
        <v/>
      </c>
      <c r="I3921" s="10" t="str">
        <f aca="false">IF($D3921="","",SUBSTITUTE(SUBSTITUTE(SUBSTITUTE($D3921,"-","")," ",""),".",""))</f>
        <v/>
      </c>
      <c r="J3921" s="10" t="str">
        <f aca="false">IF($E3921="","",UPPER(SUBSTITUTE($E3921," ","")))</f>
        <v/>
      </c>
      <c r="K3921" s="10" t="str">
        <f aca="false">IF($A3921="","",$G3921&amp;"|"&amp;$J3921)</f>
        <v/>
      </c>
      <c r="L3921" s="10" t="str">
        <f aca="false">IF($A3921="","",ROW()-2)</f>
        <v/>
      </c>
      <c r="M3921" s="10" t="str">
        <f aca="false">IF($A3921="","",ROW())</f>
        <v/>
      </c>
    </row>
    <row r="3922" customFormat="false" ht="15" hidden="false" customHeight="true" outlineLevel="0" collapsed="false">
      <c r="A3922" s="8"/>
      <c r="B3922" s="8"/>
      <c r="C3922" s="8"/>
      <c r="D3922" s="8"/>
      <c r="E3922" s="8"/>
      <c r="F3922" s="8"/>
      <c r="G3922" s="10" t="str">
        <f aca="false">IF($A3922="","",UPPER(SUBSTITUTE(SUBSTITUTE(SUBSTITUTE(SUBSTITUTE($A3922," ",""),"(주)",""),"주식회사",""),"㈜","")))</f>
        <v/>
      </c>
      <c r="H3922" s="10" t="str">
        <f aca="false">IF($B3922="","",SUBSTITUTE(SUBSTITUTE(SUBSTITUTE($B3922,"-","")," ",""),".",""))</f>
        <v/>
      </c>
      <c r="I3922" s="10" t="str">
        <f aca="false">IF($D3922="","",SUBSTITUTE(SUBSTITUTE(SUBSTITUTE($D3922,"-","")," ",""),".",""))</f>
        <v/>
      </c>
      <c r="J3922" s="10" t="str">
        <f aca="false">IF($E3922="","",UPPER(SUBSTITUTE($E3922," ","")))</f>
        <v/>
      </c>
      <c r="K3922" s="10" t="str">
        <f aca="false">IF($A3922="","",$G3922&amp;"|"&amp;$J3922)</f>
        <v/>
      </c>
      <c r="L3922" s="10" t="str">
        <f aca="false">IF($A3922="","",ROW()-2)</f>
        <v/>
      </c>
      <c r="M3922" s="10" t="str">
        <f aca="false">IF($A3922="","",ROW())</f>
        <v/>
      </c>
    </row>
    <row r="3923" customFormat="false" ht="15" hidden="false" customHeight="true" outlineLevel="0" collapsed="false">
      <c r="A3923" s="8"/>
      <c r="B3923" s="8"/>
      <c r="C3923" s="8"/>
      <c r="D3923" s="8"/>
      <c r="E3923" s="8"/>
      <c r="F3923" s="8"/>
      <c r="G3923" s="10" t="str">
        <f aca="false">IF($A3923="","",UPPER(SUBSTITUTE(SUBSTITUTE(SUBSTITUTE(SUBSTITUTE($A3923," ",""),"(주)",""),"주식회사",""),"㈜","")))</f>
        <v/>
      </c>
      <c r="H3923" s="10" t="str">
        <f aca="false">IF($B3923="","",SUBSTITUTE(SUBSTITUTE(SUBSTITUTE($B3923,"-","")," ",""),".",""))</f>
        <v/>
      </c>
      <c r="I3923" s="10" t="str">
        <f aca="false">IF($D3923="","",SUBSTITUTE(SUBSTITUTE(SUBSTITUTE($D3923,"-","")," ",""),".",""))</f>
        <v/>
      </c>
      <c r="J3923" s="10" t="str">
        <f aca="false">IF($E3923="","",UPPER(SUBSTITUTE($E3923," ","")))</f>
        <v/>
      </c>
      <c r="K3923" s="10" t="str">
        <f aca="false">IF($A3923="","",$G3923&amp;"|"&amp;$J3923)</f>
        <v/>
      </c>
      <c r="L3923" s="10" t="str">
        <f aca="false">IF($A3923="","",ROW()-2)</f>
        <v/>
      </c>
      <c r="M3923" s="10" t="str">
        <f aca="false">IF($A3923="","",ROW())</f>
        <v/>
      </c>
    </row>
    <row r="3924" customFormat="false" ht="15" hidden="false" customHeight="true" outlineLevel="0" collapsed="false">
      <c r="A3924" s="8"/>
      <c r="B3924" s="8"/>
      <c r="C3924" s="8"/>
      <c r="D3924" s="8"/>
      <c r="E3924" s="8"/>
      <c r="F3924" s="8"/>
      <c r="G3924" s="10" t="str">
        <f aca="false">IF($A3924="","",UPPER(SUBSTITUTE(SUBSTITUTE(SUBSTITUTE(SUBSTITUTE($A3924," ",""),"(주)",""),"주식회사",""),"㈜","")))</f>
        <v/>
      </c>
      <c r="H3924" s="10" t="str">
        <f aca="false">IF($B3924="","",SUBSTITUTE(SUBSTITUTE(SUBSTITUTE($B3924,"-","")," ",""),".",""))</f>
        <v/>
      </c>
      <c r="I3924" s="10" t="str">
        <f aca="false">IF($D3924="","",SUBSTITUTE(SUBSTITUTE(SUBSTITUTE($D3924,"-","")," ",""),".",""))</f>
        <v/>
      </c>
      <c r="J3924" s="10" t="str">
        <f aca="false">IF($E3924="","",UPPER(SUBSTITUTE($E3924," ","")))</f>
        <v/>
      </c>
      <c r="K3924" s="10" t="str">
        <f aca="false">IF($A3924="","",$G3924&amp;"|"&amp;$J3924)</f>
        <v/>
      </c>
      <c r="L3924" s="10" t="str">
        <f aca="false">IF($A3924="","",ROW()-2)</f>
        <v/>
      </c>
      <c r="M3924" s="10" t="str">
        <f aca="false">IF($A3924="","",ROW())</f>
        <v/>
      </c>
    </row>
    <row r="3925" customFormat="false" ht="15" hidden="false" customHeight="true" outlineLevel="0" collapsed="false">
      <c r="A3925" s="8"/>
      <c r="B3925" s="8"/>
      <c r="C3925" s="8"/>
      <c r="D3925" s="8"/>
      <c r="E3925" s="8"/>
      <c r="F3925" s="8"/>
      <c r="G3925" s="10" t="str">
        <f aca="false">IF($A3925="","",UPPER(SUBSTITUTE(SUBSTITUTE(SUBSTITUTE(SUBSTITUTE($A3925," ",""),"(주)",""),"주식회사",""),"㈜","")))</f>
        <v/>
      </c>
      <c r="H3925" s="10" t="str">
        <f aca="false">IF($B3925="","",SUBSTITUTE(SUBSTITUTE(SUBSTITUTE($B3925,"-","")," ",""),".",""))</f>
        <v/>
      </c>
      <c r="I3925" s="10" t="str">
        <f aca="false">IF($D3925="","",SUBSTITUTE(SUBSTITUTE(SUBSTITUTE($D3925,"-","")," ",""),".",""))</f>
        <v/>
      </c>
      <c r="J3925" s="10" t="str">
        <f aca="false">IF($E3925="","",UPPER(SUBSTITUTE($E3925," ","")))</f>
        <v/>
      </c>
      <c r="K3925" s="10" t="str">
        <f aca="false">IF($A3925="","",$G3925&amp;"|"&amp;$J3925)</f>
        <v/>
      </c>
      <c r="L3925" s="10" t="str">
        <f aca="false">IF($A3925="","",ROW()-2)</f>
        <v/>
      </c>
      <c r="M3925" s="10" t="str">
        <f aca="false">IF($A3925="","",ROW())</f>
        <v/>
      </c>
    </row>
    <row r="3926" customFormat="false" ht="15" hidden="false" customHeight="true" outlineLevel="0" collapsed="false">
      <c r="A3926" s="8"/>
      <c r="B3926" s="8"/>
      <c r="C3926" s="8"/>
      <c r="D3926" s="8"/>
      <c r="E3926" s="8"/>
      <c r="F3926" s="8"/>
      <c r="G3926" s="10" t="str">
        <f aca="false">IF($A3926="","",UPPER(SUBSTITUTE(SUBSTITUTE(SUBSTITUTE(SUBSTITUTE($A3926," ",""),"(주)",""),"주식회사",""),"㈜","")))</f>
        <v/>
      </c>
      <c r="H3926" s="10" t="str">
        <f aca="false">IF($B3926="","",SUBSTITUTE(SUBSTITUTE(SUBSTITUTE($B3926,"-","")," ",""),".",""))</f>
        <v/>
      </c>
      <c r="I3926" s="10" t="str">
        <f aca="false">IF($D3926="","",SUBSTITUTE(SUBSTITUTE(SUBSTITUTE($D3926,"-","")," ",""),".",""))</f>
        <v/>
      </c>
      <c r="J3926" s="10" t="str">
        <f aca="false">IF($E3926="","",UPPER(SUBSTITUTE($E3926," ","")))</f>
        <v/>
      </c>
      <c r="K3926" s="10" t="str">
        <f aca="false">IF($A3926="","",$G3926&amp;"|"&amp;$J3926)</f>
        <v/>
      </c>
      <c r="L3926" s="10" t="str">
        <f aca="false">IF($A3926="","",ROW()-2)</f>
        <v/>
      </c>
      <c r="M3926" s="10" t="str">
        <f aca="false">IF($A3926="","",ROW())</f>
        <v/>
      </c>
    </row>
    <row r="3927" customFormat="false" ht="15" hidden="false" customHeight="true" outlineLevel="0" collapsed="false">
      <c r="A3927" s="8"/>
      <c r="B3927" s="8"/>
      <c r="C3927" s="8"/>
      <c r="D3927" s="8"/>
      <c r="E3927" s="8"/>
      <c r="F3927" s="8"/>
      <c r="G3927" s="10" t="str">
        <f aca="false">IF($A3927="","",UPPER(SUBSTITUTE(SUBSTITUTE(SUBSTITUTE(SUBSTITUTE($A3927," ",""),"(주)",""),"주식회사",""),"㈜","")))</f>
        <v/>
      </c>
      <c r="H3927" s="10" t="str">
        <f aca="false">IF($B3927="","",SUBSTITUTE(SUBSTITUTE(SUBSTITUTE($B3927,"-","")," ",""),".",""))</f>
        <v/>
      </c>
      <c r="I3927" s="10" t="str">
        <f aca="false">IF($D3927="","",SUBSTITUTE(SUBSTITUTE(SUBSTITUTE($D3927,"-","")," ",""),".",""))</f>
        <v/>
      </c>
      <c r="J3927" s="10" t="str">
        <f aca="false">IF($E3927="","",UPPER(SUBSTITUTE($E3927," ","")))</f>
        <v/>
      </c>
      <c r="K3927" s="10" t="str">
        <f aca="false">IF($A3927="","",$G3927&amp;"|"&amp;$J3927)</f>
        <v/>
      </c>
      <c r="L3927" s="10" t="str">
        <f aca="false">IF($A3927="","",ROW()-2)</f>
        <v/>
      </c>
      <c r="M3927" s="10" t="str">
        <f aca="false">IF($A3927="","",ROW())</f>
        <v/>
      </c>
    </row>
    <row r="3928" customFormat="false" ht="15" hidden="false" customHeight="true" outlineLevel="0" collapsed="false">
      <c r="A3928" s="8"/>
      <c r="B3928" s="8"/>
      <c r="C3928" s="8"/>
      <c r="D3928" s="8"/>
      <c r="E3928" s="8"/>
      <c r="F3928" s="8"/>
      <c r="G3928" s="10" t="str">
        <f aca="false">IF($A3928="","",UPPER(SUBSTITUTE(SUBSTITUTE(SUBSTITUTE(SUBSTITUTE($A3928," ",""),"(주)",""),"주식회사",""),"㈜","")))</f>
        <v/>
      </c>
      <c r="H3928" s="10" t="str">
        <f aca="false">IF($B3928="","",SUBSTITUTE(SUBSTITUTE(SUBSTITUTE($B3928,"-","")," ",""),".",""))</f>
        <v/>
      </c>
      <c r="I3928" s="10" t="str">
        <f aca="false">IF($D3928="","",SUBSTITUTE(SUBSTITUTE(SUBSTITUTE($D3928,"-","")," ",""),".",""))</f>
        <v/>
      </c>
      <c r="J3928" s="10" t="str">
        <f aca="false">IF($E3928="","",UPPER(SUBSTITUTE($E3928," ","")))</f>
        <v/>
      </c>
      <c r="K3928" s="10" t="str">
        <f aca="false">IF($A3928="","",$G3928&amp;"|"&amp;$J3928)</f>
        <v/>
      </c>
      <c r="L3928" s="10" t="str">
        <f aca="false">IF($A3928="","",ROW()-2)</f>
        <v/>
      </c>
      <c r="M3928" s="10" t="str">
        <f aca="false">IF($A3928="","",ROW())</f>
        <v/>
      </c>
    </row>
    <row r="3929" customFormat="false" ht="15" hidden="false" customHeight="true" outlineLevel="0" collapsed="false">
      <c r="A3929" s="8"/>
      <c r="B3929" s="8"/>
      <c r="C3929" s="8"/>
      <c r="D3929" s="8"/>
      <c r="E3929" s="8"/>
      <c r="F3929" s="8"/>
      <c r="G3929" s="10" t="str">
        <f aca="false">IF($A3929="","",UPPER(SUBSTITUTE(SUBSTITUTE(SUBSTITUTE(SUBSTITUTE($A3929," ",""),"(주)",""),"주식회사",""),"㈜","")))</f>
        <v/>
      </c>
      <c r="H3929" s="10" t="str">
        <f aca="false">IF($B3929="","",SUBSTITUTE(SUBSTITUTE(SUBSTITUTE($B3929,"-","")," ",""),".",""))</f>
        <v/>
      </c>
      <c r="I3929" s="10" t="str">
        <f aca="false">IF($D3929="","",SUBSTITUTE(SUBSTITUTE(SUBSTITUTE($D3929,"-","")," ",""),".",""))</f>
        <v/>
      </c>
      <c r="J3929" s="10" t="str">
        <f aca="false">IF($E3929="","",UPPER(SUBSTITUTE($E3929," ","")))</f>
        <v/>
      </c>
      <c r="K3929" s="10" t="str">
        <f aca="false">IF($A3929="","",$G3929&amp;"|"&amp;$J3929)</f>
        <v/>
      </c>
      <c r="L3929" s="10" t="str">
        <f aca="false">IF($A3929="","",ROW()-2)</f>
        <v/>
      </c>
      <c r="M3929" s="10" t="str">
        <f aca="false">IF($A3929="","",ROW())</f>
        <v/>
      </c>
    </row>
    <row r="3930" customFormat="false" ht="15" hidden="false" customHeight="true" outlineLevel="0" collapsed="false">
      <c r="A3930" s="8"/>
      <c r="B3930" s="8"/>
      <c r="C3930" s="8"/>
      <c r="D3930" s="8"/>
      <c r="E3930" s="8"/>
      <c r="F3930" s="8"/>
      <c r="G3930" s="10" t="str">
        <f aca="false">IF($A3930="","",UPPER(SUBSTITUTE(SUBSTITUTE(SUBSTITUTE(SUBSTITUTE($A3930," ",""),"(주)",""),"주식회사",""),"㈜","")))</f>
        <v/>
      </c>
      <c r="H3930" s="10" t="str">
        <f aca="false">IF($B3930="","",SUBSTITUTE(SUBSTITUTE(SUBSTITUTE($B3930,"-","")," ",""),".",""))</f>
        <v/>
      </c>
      <c r="I3930" s="10" t="str">
        <f aca="false">IF($D3930="","",SUBSTITUTE(SUBSTITUTE(SUBSTITUTE($D3930,"-","")," ",""),".",""))</f>
        <v/>
      </c>
      <c r="J3930" s="10" t="str">
        <f aca="false">IF($E3930="","",UPPER(SUBSTITUTE($E3930," ","")))</f>
        <v/>
      </c>
      <c r="K3930" s="10" t="str">
        <f aca="false">IF($A3930="","",$G3930&amp;"|"&amp;$J3930)</f>
        <v/>
      </c>
      <c r="L3930" s="10" t="str">
        <f aca="false">IF($A3930="","",ROW()-2)</f>
        <v/>
      </c>
      <c r="M3930" s="10" t="str">
        <f aca="false">IF($A3930="","",ROW())</f>
        <v/>
      </c>
    </row>
    <row r="3931" customFormat="false" ht="15" hidden="false" customHeight="true" outlineLevel="0" collapsed="false">
      <c r="A3931" s="8"/>
      <c r="B3931" s="8"/>
      <c r="C3931" s="8"/>
      <c r="D3931" s="8"/>
      <c r="E3931" s="8"/>
      <c r="F3931" s="8"/>
      <c r="G3931" s="10" t="str">
        <f aca="false">IF($A3931="","",UPPER(SUBSTITUTE(SUBSTITUTE(SUBSTITUTE(SUBSTITUTE($A3931," ",""),"(주)",""),"주식회사",""),"㈜","")))</f>
        <v/>
      </c>
      <c r="H3931" s="10" t="str">
        <f aca="false">IF($B3931="","",SUBSTITUTE(SUBSTITUTE(SUBSTITUTE($B3931,"-","")," ",""),".",""))</f>
        <v/>
      </c>
      <c r="I3931" s="10" t="str">
        <f aca="false">IF($D3931="","",SUBSTITUTE(SUBSTITUTE(SUBSTITUTE($D3931,"-","")," ",""),".",""))</f>
        <v/>
      </c>
      <c r="J3931" s="10" t="str">
        <f aca="false">IF($E3931="","",UPPER(SUBSTITUTE($E3931," ","")))</f>
        <v/>
      </c>
      <c r="K3931" s="10" t="str">
        <f aca="false">IF($A3931="","",$G3931&amp;"|"&amp;$J3931)</f>
        <v/>
      </c>
      <c r="L3931" s="10" t="str">
        <f aca="false">IF($A3931="","",ROW()-2)</f>
        <v/>
      </c>
      <c r="M3931" s="10" t="str">
        <f aca="false">IF($A3931="","",ROW())</f>
        <v/>
      </c>
    </row>
    <row r="3932" customFormat="false" ht="15" hidden="false" customHeight="true" outlineLevel="0" collapsed="false">
      <c r="A3932" s="8"/>
      <c r="B3932" s="8"/>
      <c r="C3932" s="8"/>
      <c r="D3932" s="8"/>
      <c r="E3932" s="8"/>
      <c r="F3932" s="8"/>
      <c r="G3932" s="10" t="str">
        <f aca="false">IF($A3932="","",UPPER(SUBSTITUTE(SUBSTITUTE(SUBSTITUTE(SUBSTITUTE($A3932," ",""),"(주)",""),"주식회사",""),"㈜","")))</f>
        <v/>
      </c>
      <c r="H3932" s="10" t="str">
        <f aca="false">IF($B3932="","",SUBSTITUTE(SUBSTITUTE(SUBSTITUTE($B3932,"-","")," ",""),".",""))</f>
        <v/>
      </c>
      <c r="I3932" s="10" t="str">
        <f aca="false">IF($D3932="","",SUBSTITUTE(SUBSTITUTE(SUBSTITUTE($D3932,"-","")," ",""),".",""))</f>
        <v/>
      </c>
      <c r="J3932" s="10" t="str">
        <f aca="false">IF($E3932="","",UPPER(SUBSTITUTE($E3932," ","")))</f>
        <v/>
      </c>
      <c r="K3932" s="10" t="str">
        <f aca="false">IF($A3932="","",$G3932&amp;"|"&amp;$J3932)</f>
        <v/>
      </c>
      <c r="L3932" s="10" t="str">
        <f aca="false">IF($A3932="","",ROW()-2)</f>
        <v/>
      </c>
      <c r="M3932" s="10" t="str">
        <f aca="false">IF($A3932="","",ROW())</f>
        <v/>
      </c>
    </row>
    <row r="3933" customFormat="false" ht="15" hidden="false" customHeight="true" outlineLevel="0" collapsed="false">
      <c r="A3933" s="8"/>
      <c r="B3933" s="8"/>
      <c r="C3933" s="8"/>
      <c r="D3933" s="8"/>
      <c r="E3933" s="8"/>
      <c r="F3933" s="8"/>
      <c r="G3933" s="10" t="str">
        <f aca="false">IF($A3933="","",UPPER(SUBSTITUTE(SUBSTITUTE(SUBSTITUTE(SUBSTITUTE($A3933," ",""),"(주)",""),"주식회사",""),"㈜","")))</f>
        <v/>
      </c>
      <c r="H3933" s="10" t="str">
        <f aca="false">IF($B3933="","",SUBSTITUTE(SUBSTITUTE(SUBSTITUTE($B3933,"-","")," ",""),".",""))</f>
        <v/>
      </c>
      <c r="I3933" s="10" t="str">
        <f aca="false">IF($D3933="","",SUBSTITUTE(SUBSTITUTE(SUBSTITUTE($D3933,"-","")," ",""),".",""))</f>
        <v/>
      </c>
      <c r="J3933" s="10" t="str">
        <f aca="false">IF($E3933="","",UPPER(SUBSTITUTE($E3933," ","")))</f>
        <v/>
      </c>
      <c r="K3933" s="10" t="str">
        <f aca="false">IF($A3933="","",$G3933&amp;"|"&amp;$J3933)</f>
        <v/>
      </c>
      <c r="L3933" s="10" t="str">
        <f aca="false">IF($A3933="","",ROW()-2)</f>
        <v/>
      </c>
      <c r="M3933" s="10" t="str">
        <f aca="false">IF($A3933="","",ROW())</f>
        <v/>
      </c>
    </row>
    <row r="3934" customFormat="false" ht="15" hidden="false" customHeight="true" outlineLevel="0" collapsed="false">
      <c r="A3934" s="8"/>
      <c r="B3934" s="8"/>
      <c r="C3934" s="8"/>
      <c r="D3934" s="8"/>
      <c r="E3934" s="8"/>
      <c r="F3934" s="8"/>
      <c r="G3934" s="10" t="str">
        <f aca="false">IF($A3934="","",UPPER(SUBSTITUTE(SUBSTITUTE(SUBSTITUTE(SUBSTITUTE($A3934," ",""),"(주)",""),"주식회사",""),"㈜","")))</f>
        <v/>
      </c>
      <c r="H3934" s="10" t="str">
        <f aca="false">IF($B3934="","",SUBSTITUTE(SUBSTITUTE(SUBSTITUTE($B3934,"-","")," ",""),".",""))</f>
        <v/>
      </c>
      <c r="I3934" s="10" t="str">
        <f aca="false">IF($D3934="","",SUBSTITUTE(SUBSTITUTE(SUBSTITUTE($D3934,"-","")," ",""),".",""))</f>
        <v/>
      </c>
      <c r="J3934" s="10" t="str">
        <f aca="false">IF($E3934="","",UPPER(SUBSTITUTE($E3934," ","")))</f>
        <v/>
      </c>
      <c r="K3934" s="10" t="str">
        <f aca="false">IF($A3934="","",$G3934&amp;"|"&amp;$J3934)</f>
        <v/>
      </c>
      <c r="L3934" s="10" t="str">
        <f aca="false">IF($A3934="","",ROW()-2)</f>
        <v/>
      </c>
      <c r="M3934" s="10" t="str">
        <f aca="false">IF($A3934="","",ROW())</f>
        <v/>
      </c>
    </row>
    <row r="3935" customFormat="false" ht="15" hidden="false" customHeight="true" outlineLevel="0" collapsed="false">
      <c r="A3935" s="8"/>
      <c r="B3935" s="8"/>
      <c r="C3935" s="8"/>
      <c r="D3935" s="8"/>
      <c r="E3935" s="8"/>
      <c r="F3935" s="8"/>
      <c r="G3935" s="10" t="str">
        <f aca="false">IF($A3935="","",UPPER(SUBSTITUTE(SUBSTITUTE(SUBSTITUTE(SUBSTITUTE($A3935," ",""),"(주)",""),"주식회사",""),"㈜","")))</f>
        <v/>
      </c>
      <c r="H3935" s="10" t="str">
        <f aca="false">IF($B3935="","",SUBSTITUTE(SUBSTITUTE(SUBSTITUTE($B3935,"-","")," ",""),".",""))</f>
        <v/>
      </c>
      <c r="I3935" s="10" t="str">
        <f aca="false">IF($D3935="","",SUBSTITUTE(SUBSTITUTE(SUBSTITUTE($D3935,"-","")," ",""),".",""))</f>
        <v/>
      </c>
      <c r="J3935" s="10" t="str">
        <f aca="false">IF($E3935="","",UPPER(SUBSTITUTE($E3935," ","")))</f>
        <v/>
      </c>
      <c r="K3935" s="10" t="str">
        <f aca="false">IF($A3935="","",$G3935&amp;"|"&amp;$J3935)</f>
        <v/>
      </c>
      <c r="L3935" s="10" t="str">
        <f aca="false">IF($A3935="","",ROW()-2)</f>
        <v/>
      </c>
      <c r="M3935" s="10" t="str">
        <f aca="false">IF($A3935="","",ROW())</f>
        <v/>
      </c>
    </row>
    <row r="3936" customFormat="false" ht="15" hidden="false" customHeight="true" outlineLevel="0" collapsed="false">
      <c r="A3936" s="8"/>
      <c r="B3936" s="8"/>
      <c r="C3936" s="8"/>
      <c r="D3936" s="8"/>
      <c r="E3936" s="8"/>
      <c r="F3936" s="8"/>
      <c r="G3936" s="10" t="str">
        <f aca="false">IF($A3936="","",UPPER(SUBSTITUTE(SUBSTITUTE(SUBSTITUTE(SUBSTITUTE($A3936," ",""),"(주)",""),"주식회사",""),"㈜","")))</f>
        <v/>
      </c>
      <c r="H3936" s="10" t="str">
        <f aca="false">IF($B3936="","",SUBSTITUTE(SUBSTITUTE(SUBSTITUTE($B3936,"-","")," ",""),".",""))</f>
        <v/>
      </c>
      <c r="I3936" s="10" t="str">
        <f aca="false">IF($D3936="","",SUBSTITUTE(SUBSTITUTE(SUBSTITUTE($D3936,"-","")," ",""),".",""))</f>
        <v/>
      </c>
      <c r="J3936" s="10" t="str">
        <f aca="false">IF($E3936="","",UPPER(SUBSTITUTE($E3936," ","")))</f>
        <v/>
      </c>
      <c r="K3936" s="10" t="str">
        <f aca="false">IF($A3936="","",$G3936&amp;"|"&amp;$J3936)</f>
        <v/>
      </c>
      <c r="L3936" s="10" t="str">
        <f aca="false">IF($A3936="","",ROW()-2)</f>
        <v/>
      </c>
      <c r="M3936" s="10" t="str">
        <f aca="false">IF($A3936="","",ROW())</f>
        <v/>
      </c>
    </row>
    <row r="3937" customFormat="false" ht="15" hidden="false" customHeight="true" outlineLevel="0" collapsed="false">
      <c r="A3937" s="8"/>
      <c r="B3937" s="8"/>
      <c r="C3937" s="8"/>
      <c r="D3937" s="8"/>
      <c r="E3937" s="8"/>
      <c r="F3937" s="8"/>
      <c r="G3937" s="10" t="str">
        <f aca="false">IF($A3937="","",UPPER(SUBSTITUTE(SUBSTITUTE(SUBSTITUTE(SUBSTITUTE($A3937," ",""),"(주)",""),"주식회사",""),"㈜","")))</f>
        <v/>
      </c>
      <c r="H3937" s="10" t="str">
        <f aca="false">IF($B3937="","",SUBSTITUTE(SUBSTITUTE(SUBSTITUTE($B3937,"-","")," ",""),".",""))</f>
        <v/>
      </c>
      <c r="I3937" s="10" t="str">
        <f aca="false">IF($D3937="","",SUBSTITUTE(SUBSTITUTE(SUBSTITUTE($D3937,"-","")," ",""),".",""))</f>
        <v/>
      </c>
      <c r="J3937" s="10" t="str">
        <f aca="false">IF($E3937="","",UPPER(SUBSTITUTE($E3937," ","")))</f>
        <v/>
      </c>
      <c r="K3937" s="10" t="str">
        <f aca="false">IF($A3937="","",$G3937&amp;"|"&amp;$J3937)</f>
        <v/>
      </c>
      <c r="L3937" s="10" t="str">
        <f aca="false">IF($A3937="","",ROW()-2)</f>
        <v/>
      </c>
      <c r="M3937" s="10" t="str">
        <f aca="false">IF($A3937="","",ROW())</f>
        <v/>
      </c>
    </row>
    <row r="3938" customFormat="false" ht="15" hidden="false" customHeight="true" outlineLevel="0" collapsed="false">
      <c r="A3938" s="8"/>
      <c r="B3938" s="8"/>
      <c r="C3938" s="8"/>
      <c r="D3938" s="8"/>
      <c r="E3938" s="8"/>
      <c r="F3938" s="8"/>
      <c r="G3938" s="10" t="str">
        <f aca="false">IF($A3938="","",UPPER(SUBSTITUTE(SUBSTITUTE(SUBSTITUTE(SUBSTITUTE($A3938," ",""),"(주)",""),"주식회사",""),"㈜","")))</f>
        <v/>
      </c>
      <c r="H3938" s="10" t="str">
        <f aca="false">IF($B3938="","",SUBSTITUTE(SUBSTITUTE(SUBSTITUTE($B3938,"-","")," ",""),".",""))</f>
        <v/>
      </c>
      <c r="I3938" s="10" t="str">
        <f aca="false">IF($D3938="","",SUBSTITUTE(SUBSTITUTE(SUBSTITUTE($D3938,"-","")," ",""),".",""))</f>
        <v/>
      </c>
      <c r="J3938" s="10" t="str">
        <f aca="false">IF($E3938="","",UPPER(SUBSTITUTE($E3938," ","")))</f>
        <v/>
      </c>
      <c r="K3938" s="10" t="str">
        <f aca="false">IF($A3938="","",$G3938&amp;"|"&amp;$J3938)</f>
        <v/>
      </c>
      <c r="L3938" s="10" t="str">
        <f aca="false">IF($A3938="","",ROW()-2)</f>
        <v/>
      </c>
      <c r="M3938" s="10" t="str">
        <f aca="false">IF($A3938="","",ROW())</f>
        <v/>
      </c>
    </row>
    <row r="3939" customFormat="false" ht="15" hidden="false" customHeight="true" outlineLevel="0" collapsed="false">
      <c r="A3939" s="8"/>
      <c r="B3939" s="8"/>
      <c r="C3939" s="8"/>
      <c r="D3939" s="8"/>
      <c r="E3939" s="8"/>
      <c r="F3939" s="8"/>
      <c r="G3939" s="10" t="str">
        <f aca="false">IF($A3939="","",UPPER(SUBSTITUTE(SUBSTITUTE(SUBSTITUTE(SUBSTITUTE($A3939," ",""),"(주)",""),"주식회사",""),"㈜","")))</f>
        <v/>
      </c>
      <c r="H3939" s="10" t="str">
        <f aca="false">IF($B3939="","",SUBSTITUTE(SUBSTITUTE(SUBSTITUTE($B3939,"-","")," ",""),".",""))</f>
        <v/>
      </c>
      <c r="I3939" s="10" t="str">
        <f aca="false">IF($D3939="","",SUBSTITUTE(SUBSTITUTE(SUBSTITUTE($D3939,"-","")," ",""),".",""))</f>
        <v/>
      </c>
      <c r="J3939" s="10" t="str">
        <f aca="false">IF($E3939="","",UPPER(SUBSTITUTE($E3939," ","")))</f>
        <v/>
      </c>
      <c r="K3939" s="10" t="str">
        <f aca="false">IF($A3939="","",$G3939&amp;"|"&amp;$J3939)</f>
        <v/>
      </c>
      <c r="L3939" s="10" t="str">
        <f aca="false">IF($A3939="","",ROW()-2)</f>
        <v/>
      </c>
      <c r="M3939" s="10" t="str">
        <f aca="false">IF($A3939="","",ROW())</f>
        <v/>
      </c>
    </row>
    <row r="3940" customFormat="false" ht="15" hidden="false" customHeight="true" outlineLevel="0" collapsed="false">
      <c r="A3940" s="8"/>
      <c r="B3940" s="8"/>
      <c r="C3940" s="8"/>
      <c r="D3940" s="8"/>
      <c r="E3940" s="8"/>
      <c r="F3940" s="8"/>
      <c r="G3940" s="10" t="str">
        <f aca="false">IF($A3940="","",UPPER(SUBSTITUTE(SUBSTITUTE(SUBSTITUTE(SUBSTITUTE($A3940," ",""),"(주)",""),"주식회사",""),"㈜","")))</f>
        <v/>
      </c>
      <c r="H3940" s="10" t="str">
        <f aca="false">IF($B3940="","",SUBSTITUTE(SUBSTITUTE(SUBSTITUTE($B3940,"-","")," ",""),".",""))</f>
        <v/>
      </c>
      <c r="I3940" s="10" t="str">
        <f aca="false">IF($D3940="","",SUBSTITUTE(SUBSTITUTE(SUBSTITUTE($D3940,"-","")," ",""),".",""))</f>
        <v/>
      </c>
      <c r="J3940" s="10" t="str">
        <f aca="false">IF($E3940="","",UPPER(SUBSTITUTE($E3940," ","")))</f>
        <v/>
      </c>
      <c r="K3940" s="10" t="str">
        <f aca="false">IF($A3940="","",$G3940&amp;"|"&amp;$J3940)</f>
        <v/>
      </c>
      <c r="L3940" s="10" t="str">
        <f aca="false">IF($A3940="","",ROW()-2)</f>
        <v/>
      </c>
      <c r="M3940" s="10" t="str">
        <f aca="false">IF($A3940="","",ROW())</f>
        <v/>
      </c>
    </row>
    <row r="3941" customFormat="false" ht="15" hidden="false" customHeight="true" outlineLevel="0" collapsed="false">
      <c r="A3941" s="8"/>
      <c r="B3941" s="8"/>
      <c r="C3941" s="8"/>
      <c r="D3941" s="8"/>
      <c r="E3941" s="8"/>
      <c r="F3941" s="8"/>
      <c r="G3941" s="10" t="str">
        <f aca="false">IF($A3941="","",UPPER(SUBSTITUTE(SUBSTITUTE(SUBSTITUTE(SUBSTITUTE($A3941," ",""),"(주)",""),"주식회사",""),"㈜","")))</f>
        <v/>
      </c>
      <c r="H3941" s="10" t="str">
        <f aca="false">IF($B3941="","",SUBSTITUTE(SUBSTITUTE(SUBSTITUTE($B3941,"-","")," ",""),".",""))</f>
        <v/>
      </c>
      <c r="I3941" s="10" t="str">
        <f aca="false">IF($D3941="","",SUBSTITUTE(SUBSTITUTE(SUBSTITUTE($D3941,"-","")," ",""),".",""))</f>
        <v/>
      </c>
      <c r="J3941" s="10" t="str">
        <f aca="false">IF($E3941="","",UPPER(SUBSTITUTE($E3941," ","")))</f>
        <v/>
      </c>
      <c r="K3941" s="10" t="str">
        <f aca="false">IF($A3941="","",$G3941&amp;"|"&amp;$J3941)</f>
        <v/>
      </c>
      <c r="L3941" s="10" t="str">
        <f aca="false">IF($A3941="","",ROW()-2)</f>
        <v/>
      </c>
      <c r="M3941" s="10" t="str">
        <f aca="false">IF($A3941="","",ROW())</f>
        <v/>
      </c>
    </row>
    <row r="3942" customFormat="false" ht="15" hidden="false" customHeight="true" outlineLevel="0" collapsed="false">
      <c r="A3942" s="8"/>
      <c r="B3942" s="8"/>
      <c r="C3942" s="8"/>
      <c r="D3942" s="8"/>
      <c r="E3942" s="8"/>
      <c r="F3942" s="8"/>
      <c r="G3942" s="10" t="str">
        <f aca="false">IF($A3942="","",UPPER(SUBSTITUTE(SUBSTITUTE(SUBSTITUTE(SUBSTITUTE($A3942," ",""),"(주)",""),"주식회사",""),"㈜","")))</f>
        <v/>
      </c>
      <c r="H3942" s="10" t="str">
        <f aca="false">IF($B3942="","",SUBSTITUTE(SUBSTITUTE(SUBSTITUTE($B3942,"-","")," ",""),".",""))</f>
        <v/>
      </c>
      <c r="I3942" s="10" t="str">
        <f aca="false">IF($D3942="","",SUBSTITUTE(SUBSTITUTE(SUBSTITUTE($D3942,"-","")," ",""),".",""))</f>
        <v/>
      </c>
      <c r="J3942" s="10" t="str">
        <f aca="false">IF($E3942="","",UPPER(SUBSTITUTE($E3942," ","")))</f>
        <v/>
      </c>
      <c r="K3942" s="10" t="str">
        <f aca="false">IF($A3942="","",$G3942&amp;"|"&amp;$J3942)</f>
        <v/>
      </c>
      <c r="L3942" s="10" t="str">
        <f aca="false">IF($A3942="","",ROW()-2)</f>
        <v/>
      </c>
      <c r="M3942" s="10" t="str">
        <f aca="false">IF($A3942="","",ROW())</f>
        <v/>
      </c>
    </row>
    <row r="3943" customFormat="false" ht="15" hidden="false" customHeight="true" outlineLevel="0" collapsed="false">
      <c r="A3943" s="8"/>
      <c r="B3943" s="8"/>
      <c r="C3943" s="8"/>
      <c r="D3943" s="8"/>
      <c r="E3943" s="8"/>
      <c r="F3943" s="8"/>
      <c r="G3943" s="10" t="str">
        <f aca="false">IF($A3943="","",UPPER(SUBSTITUTE(SUBSTITUTE(SUBSTITUTE(SUBSTITUTE($A3943," ",""),"(주)",""),"주식회사",""),"㈜","")))</f>
        <v/>
      </c>
      <c r="H3943" s="10" t="str">
        <f aca="false">IF($B3943="","",SUBSTITUTE(SUBSTITUTE(SUBSTITUTE($B3943,"-","")," ",""),".",""))</f>
        <v/>
      </c>
      <c r="I3943" s="10" t="str">
        <f aca="false">IF($D3943="","",SUBSTITUTE(SUBSTITUTE(SUBSTITUTE($D3943,"-","")," ",""),".",""))</f>
        <v/>
      </c>
      <c r="J3943" s="10" t="str">
        <f aca="false">IF($E3943="","",UPPER(SUBSTITUTE($E3943," ","")))</f>
        <v/>
      </c>
      <c r="K3943" s="10" t="str">
        <f aca="false">IF($A3943="","",$G3943&amp;"|"&amp;$J3943)</f>
        <v/>
      </c>
      <c r="L3943" s="10" t="str">
        <f aca="false">IF($A3943="","",ROW()-2)</f>
        <v/>
      </c>
      <c r="M3943" s="10" t="str">
        <f aca="false">IF($A3943="","",ROW())</f>
        <v/>
      </c>
    </row>
    <row r="3944" customFormat="false" ht="15" hidden="false" customHeight="true" outlineLevel="0" collapsed="false">
      <c r="A3944" s="8"/>
      <c r="B3944" s="8"/>
      <c r="C3944" s="8"/>
      <c r="D3944" s="8"/>
      <c r="E3944" s="8"/>
      <c r="F3944" s="8"/>
      <c r="G3944" s="10" t="str">
        <f aca="false">IF($A3944="","",UPPER(SUBSTITUTE(SUBSTITUTE(SUBSTITUTE(SUBSTITUTE($A3944," ",""),"(주)",""),"주식회사",""),"㈜","")))</f>
        <v/>
      </c>
      <c r="H3944" s="10" t="str">
        <f aca="false">IF($B3944="","",SUBSTITUTE(SUBSTITUTE(SUBSTITUTE($B3944,"-","")," ",""),".",""))</f>
        <v/>
      </c>
      <c r="I3944" s="10" t="str">
        <f aca="false">IF($D3944="","",SUBSTITUTE(SUBSTITUTE(SUBSTITUTE($D3944,"-","")," ",""),".",""))</f>
        <v/>
      </c>
      <c r="J3944" s="10" t="str">
        <f aca="false">IF($E3944="","",UPPER(SUBSTITUTE($E3944," ","")))</f>
        <v/>
      </c>
      <c r="K3944" s="10" t="str">
        <f aca="false">IF($A3944="","",$G3944&amp;"|"&amp;$J3944)</f>
        <v/>
      </c>
      <c r="L3944" s="10" t="str">
        <f aca="false">IF($A3944="","",ROW()-2)</f>
        <v/>
      </c>
      <c r="M3944" s="10" t="str">
        <f aca="false">IF($A3944="","",ROW())</f>
        <v/>
      </c>
    </row>
    <row r="3945" customFormat="false" ht="15" hidden="false" customHeight="true" outlineLevel="0" collapsed="false">
      <c r="A3945" s="8"/>
      <c r="B3945" s="8"/>
      <c r="C3945" s="8"/>
      <c r="D3945" s="8"/>
      <c r="E3945" s="8"/>
      <c r="F3945" s="8"/>
      <c r="G3945" s="10" t="str">
        <f aca="false">IF($A3945="","",UPPER(SUBSTITUTE(SUBSTITUTE(SUBSTITUTE(SUBSTITUTE($A3945," ",""),"(주)",""),"주식회사",""),"㈜","")))</f>
        <v/>
      </c>
      <c r="H3945" s="10" t="str">
        <f aca="false">IF($B3945="","",SUBSTITUTE(SUBSTITUTE(SUBSTITUTE($B3945,"-","")," ",""),".",""))</f>
        <v/>
      </c>
      <c r="I3945" s="10" t="str">
        <f aca="false">IF($D3945="","",SUBSTITUTE(SUBSTITUTE(SUBSTITUTE($D3945,"-","")," ",""),".",""))</f>
        <v/>
      </c>
      <c r="J3945" s="10" t="str">
        <f aca="false">IF($E3945="","",UPPER(SUBSTITUTE($E3945," ","")))</f>
        <v/>
      </c>
      <c r="K3945" s="10" t="str">
        <f aca="false">IF($A3945="","",$G3945&amp;"|"&amp;$J3945)</f>
        <v/>
      </c>
      <c r="L3945" s="10" t="str">
        <f aca="false">IF($A3945="","",ROW()-2)</f>
        <v/>
      </c>
      <c r="M3945" s="10" t="str">
        <f aca="false">IF($A3945="","",ROW())</f>
        <v/>
      </c>
    </row>
    <row r="3946" customFormat="false" ht="15" hidden="false" customHeight="true" outlineLevel="0" collapsed="false">
      <c r="A3946" s="8"/>
      <c r="B3946" s="8"/>
      <c r="C3946" s="8"/>
      <c r="D3946" s="8"/>
      <c r="E3946" s="8"/>
      <c r="F3946" s="8"/>
      <c r="G3946" s="10" t="str">
        <f aca="false">IF($A3946="","",UPPER(SUBSTITUTE(SUBSTITUTE(SUBSTITUTE(SUBSTITUTE($A3946," ",""),"(주)",""),"주식회사",""),"㈜","")))</f>
        <v/>
      </c>
      <c r="H3946" s="10" t="str">
        <f aca="false">IF($B3946="","",SUBSTITUTE(SUBSTITUTE(SUBSTITUTE($B3946,"-","")," ",""),".",""))</f>
        <v/>
      </c>
      <c r="I3946" s="10" t="str">
        <f aca="false">IF($D3946="","",SUBSTITUTE(SUBSTITUTE(SUBSTITUTE($D3946,"-","")," ",""),".",""))</f>
        <v/>
      </c>
      <c r="J3946" s="10" t="str">
        <f aca="false">IF($E3946="","",UPPER(SUBSTITUTE($E3946," ","")))</f>
        <v/>
      </c>
      <c r="K3946" s="10" t="str">
        <f aca="false">IF($A3946="","",$G3946&amp;"|"&amp;$J3946)</f>
        <v/>
      </c>
      <c r="L3946" s="10" t="str">
        <f aca="false">IF($A3946="","",ROW()-2)</f>
        <v/>
      </c>
      <c r="M3946" s="10" t="str">
        <f aca="false">IF($A3946="","",ROW())</f>
        <v/>
      </c>
    </row>
    <row r="3947" customFormat="false" ht="15" hidden="false" customHeight="true" outlineLevel="0" collapsed="false">
      <c r="A3947" s="8"/>
      <c r="B3947" s="8"/>
      <c r="C3947" s="8"/>
      <c r="D3947" s="8"/>
      <c r="E3947" s="8"/>
      <c r="F3947" s="8"/>
      <c r="G3947" s="10" t="str">
        <f aca="false">IF($A3947="","",UPPER(SUBSTITUTE(SUBSTITUTE(SUBSTITUTE(SUBSTITUTE($A3947," ",""),"(주)",""),"주식회사",""),"㈜","")))</f>
        <v/>
      </c>
      <c r="H3947" s="10" t="str">
        <f aca="false">IF($B3947="","",SUBSTITUTE(SUBSTITUTE(SUBSTITUTE($B3947,"-","")," ",""),".",""))</f>
        <v/>
      </c>
      <c r="I3947" s="10" t="str">
        <f aca="false">IF($D3947="","",SUBSTITUTE(SUBSTITUTE(SUBSTITUTE($D3947,"-","")," ",""),".",""))</f>
        <v/>
      </c>
      <c r="J3947" s="10" t="str">
        <f aca="false">IF($E3947="","",UPPER(SUBSTITUTE($E3947," ","")))</f>
        <v/>
      </c>
      <c r="K3947" s="10" t="str">
        <f aca="false">IF($A3947="","",$G3947&amp;"|"&amp;$J3947)</f>
        <v/>
      </c>
      <c r="L3947" s="10" t="str">
        <f aca="false">IF($A3947="","",ROW()-2)</f>
        <v/>
      </c>
      <c r="M3947" s="10" t="str">
        <f aca="false">IF($A3947="","",ROW())</f>
        <v/>
      </c>
    </row>
    <row r="3948" customFormat="false" ht="15" hidden="false" customHeight="true" outlineLevel="0" collapsed="false">
      <c r="A3948" s="8"/>
      <c r="B3948" s="8"/>
      <c r="C3948" s="8"/>
      <c r="D3948" s="8"/>
      <c r="E3948" s="8"/>
      <c r="F3948" s="8"/>
      <c r="G3948" s="10" t="str">
        <f aca="false">IF($A3948="","",UPPER(SUBSTITUTE(SUBSTITUTE(SUBSTITUTE(SUBSTITUTE($A3948," ",""),"(주)",""),"주식회사",""),"㈜","")))</f>
        <v/>
      </c>
      <c r="H3948" s="10" t="str">
        <f aca="false">IF($B3948="","",SUBSTITUTE(SUBSTITUTE(SUBSTITUTE($B3948,"-","")," ",""),".",""))</f>
        <v/>
      </c>
      <c r="I3948" s="10" t="str">
        <f aca="false">IF($D3948="","",SUBSTITUTE(SUBSTITUTE(SUBSTITUTE($D3948,"-","")," ",""),".",""))</f>
        <v/>
      </c>
      <c r="J3948" s="10" t="str">
        <f aca="false">IF($E3948="","",UPPER(SUBSTITUTE($E3948," ","")))</f>
        <v/>
      </c>
      <c r="K3948" s="10" t="str">
        <f aca="false">IF($A3948="","",$G3948&amp;"|"&amp;$J3948)</f>
        <v/>
      </c>
      <c r="L3948" s="10" t="str">
        <f aca="false">IF($A3948="","",ROW()-2)</f>
        <v/>
      </c>
      <c r="M3948" s="10" t="str">
        <f aca="false">IF($A3948="","",ROW())</f>
        <v/>
      </c>
    </row>
    <row r="3949" customFormat="false" ht="15" hidden="false" customHeight="true" outlineLevel="0" collapsed="false">
      <c r="A3949" s="8"/>
      <c r="B3949" s="8"/>
      <c r="C3949" s="8"/>
      <c r="D3949" s="8"/>
      <c r="E3949" s="8"/>
      <c r="F3949" s="8"/>
      <c r="G3949" s="10" t="str">
        <f aca="false">IF($A3949="","",UPPER(SUBSTITUTE(SUBSTITUTE(SUBSTITUTE(SUBSTITUTE($A3949," ",""),"(주)",""),"주식회사",""),"㈜","")))</f>
        <v/>
      </c>
      <c r="H3949" s="10" t="str">
        <f aca="false">IF($B3949="","",SUBSTITUTE(SUBSTITUTE(SUBSTITUTE($B3949,"-","")," ",""),".",""))</f>
        <v/>
      </c>
      <c r="I3949" s="10" t="str">
        <f aca="false">IF($D3949="","",SUBSTITUTE(SUBSTITUTE(SUBSTITUTE($D3949,"-","")," ",""),".",""))</f>
        <v/>
      </c>
      <c r="J3949" s="10" t="str">
        <f aca="false">IF($E3949="","",UPPER(SUBSTITUTE($E3949," ","")))</f>
        <v/>
      </c>
      <c r="K3949" s="10" t="str">
        <f aca="false">IF($A3949="","",$G3949&amp;"|"&amp;$J3949)</f>
        <v/>
      </c>
      <c r="L3949" s="10" t="str">
        <f aca="false">IF($A3949="","",ROW()-2)</f>
        <v/>
      </c>
      <c r="M3949" s="10" t="str">
        <f aca="false">IF($A3949="","",ROW())</f>
        <v/>
      </c>
    </row>
    <row r="3950" customFormat="false" ht="15" hidden="false" customHeight="true" outlineLevel="0" collapsed="false">
      <c r="A3950" s="8"/>
      <c r="B3950" s="8"/>
      <c r="C3950" s="8"/>
      <c r="D3950" s="8"/>
      <c r="E3950" s="8"/>
      <c r="F3950" s="8"/>
      <c r="G3950" s="10" t="str">
        <f aca="false">IF($A3950="","",UPPER(SUBSTITUTE(SUBSTITUTE(SUBSTITUTE(SUBSTITUTE($A3950," ",""),"(주)",""),"주식회사",""),"㈜","")))</f>
        <v/>
      </c>
      <c r="H3950" s="10" t="str">
        <f aca="false">IF($B3950="","",SUBSTITUTE(SUBSTITUTE(SUBSTITUTE($B3950,"-","")," ",""),".",""))</f>
        <v/>
      </c>
      <c r="I3950" s="10" t="str">
        <f aca="false">IF($D3950="","",SUBSTITUTE(SUBSTITUTE(SUBSTITUTE($D3950,"-","")," ",""),".",""))</f>
        <v/>
      </c>
      <c r="J3950" s="10" t="str">
        <f aca="false">IF($E3950="","",UPPER(SUBSTITUTE($E3950," ","")))</f>
        <v/>
      </c>
      <c r="K3950" s="10" t="str">
        <f aca="false">IF($A3950="","",$G3950&amp;"|"&amp;$J3950)</f>
        <v/>
      </c>
      <c r="L3950" s="10" t="str">
        <f aca="false">IF($A3950="","",ROW()-2)</f>
        <v/>
      </c>
      <c r="M3950" s="10" t="str">
        <f aca="false">IF($A3950="","",ROW())</f>
        <v/>
      </c>
    </row>
    <row r="3951" customFormat="false" ht="15" hidden="false" customHeight="true" outlineLevel="0" collapsed="false">
      <c r="A3951" s="8"/>
      <c r="B3951" s="8"/>
      <c r="C3951" s="8"/>
      <c r="D3951" s="8"/>
      <c r="E3951" s="8"/>
      <c r="F3951" s="8"/>
      <c r="G3951" s="10" t="str">
        <f aca="false">IF($A3951="","",UPPER(SUBSTITUTE(SUBSTITUTE(SUBSTITUTE(SUBSTITUTE($A3951," ",""),"(주)",""),"주식회사",""),"㈜","")))</f>
        <v/>
      </c>
      <c r="H3951" s="10" t="str">
        <f aca="false">IF($B3951="","",SUBSTITUTE(SUBSTITUTE(SUBSTITUTE($B3951,"-","")," ",""),".",""))</f>
        <v/>
      </c>
      <c r="I3951" s="10" t="str">
        <f aca="false">IF($D3951="","",SUBSTITUTE(SUBSTITUTE(SUBSTITUTE($D3951,"-","")," ",""),".",""))</f>
        <v/>
      </c>
      <c r="J3951" s="10" t="str">
        <f aca="false">IF($E3951="","",UPPER(SUBSTITUTE($E3951," ","")))</f>
        <v/>
      </c>
      <c r="K3951" s="10" t="str">
        <f aca="false">IF($A3951="","",$G3951&amp;"|"&amp;$J3951)</f>
        <v/>
      </c>
      <c r="L3951" s="10" t="str">
        <f aca="false">IF($A3951="","",ROW()-2)</f>
        <v/>
      </c>
      <c r="M3951" s="10" t="str">
        <f aca="false">IF($A3951="","",ROW())</f>
        <v/>
      </c>
    </row>
    <row r="3952" customFormat="false" ht="15" hidden="false" customHeight="true" outlineLevel="0" collapsed="false">
      <c r="A3952" s="8"/>
      <c r="B3952" s="8"/>
      <c r="C3952" s="8"/>
      <c r="D3952" s="8"/>
      <c r="E3952" s="8"/>
      <c r="F3952" s="8"/>
      <c r="G3952" s="10" t="str">
        <f aca="false">IF($A3952="","",UPPER(SUBSTITUTE(SUBSTITUTE(SUBSTITUTE(SUBSTITUTE($A3952," ",""),"(주)",""),"주식회사",""),"㈜","")))</f>
        <v/>
      </c>
      <c r="H3952" s="10" t="str">
        <f aca="false">IF($B3952="","",SUBSTITUTE(SUBSTITUTE(SUBSTITUTE($B3952,"-","")," ",""),".",""))</f>
        <v/>
      </c>
      <c r="I3952" s="10" t="str">
        <f aca="false">IF($D3952="","",SUBSTITUTE(SUBSTITUTE(SUBSTITUTE($D3952,"-","")," ",""),".",""))</f>
        <v/>
      </c>
      <c r="J3952" s="10" t="str">
        <f aca="false">IF($E3952="","",UPPER(SUBSTITUTE($E3952," ","")))</f>
        <v/>
      </c>
      <c r="K3952" s="10" t="str">
        <f aca="false">IF($A3952="","",$G3952&amp;"|"&amp;$J3952)</f>
        <v/>
      </c>
      <c r="L3952" s="10" t="str">
        <f aca="false">IF($A3952="","",ROW()-2)</f>
        <v/>
      </c>
      <c r="M3952" s="10" t="str">
        <f aca="false">IF($A3952="","",ROW())</f>
        <v/>
      </c>
    </row>
    <row r="3953" customFormat="false" ht="15" hidden="false" customHeight="true" outlineLevel="0" collapsed="false">
      <c r="A3953" s="8"/>
      <c r="B3953" s="8"/>
      <c r="C3953" s="8"/>
      <c r="D3953" s="8"/>
      <c r="E3953" s="8"/>
      <c r="F3953" s="8"/>
      <c r="G3953" s="10" t="str">
        <f aca="false">IF($A3953="","",UPPER(SUBSTITUTE(SUBSTITUTE(SUBSTITUTE(SUBSTITUTE($A3953," ",""),"(주)",""),"주식회사",""),"㈜","")))</f>
        <v/>
      </c>
      <c r="H3953" s="10" t="str">
        <f aca="false">IF($B3953="","",SUBSTITUTE(SUBSTITUTE(SUBSTITUTE($B3953,"-","")," ",""),".",""))</f>
        <v/>
      </c>
      <c r="I3953" s="10" t="str">
        <f aca="false">IF($D3953="","",SUBSTITUTE(SUBSTITUTE(SUBSTITUTE($D3953,"-","")," ",""),".",""))</f>
        <v/>
      </c>
      <c r="J3953" s="10" t="str">
        <f aca="false">IF($E3953="","",UPPER(SUBSTITUTE($E3953," ","")))</f>
        <v/>
      </c>
      <c r="K3953" s="10" t="str">
        <f aca="false">IF($A3953="","",$G3953&amp;"|"&amp;$J3953)</f>
        <v/>
      </c>
      <c r="L3953" s="10" t="str">
        <f aca="false">IF($A3953="","",ROW()-2)</f>
        <v/>
      </c>
      <c r="M3953" s="10" t="str">
        <f aca="false">IF($A3953="","",ROW())</f>
        <v/>
      </c>
    </row>
    <row r="3954" customFormat="false" ht="15" hidden="false" customHeight="true" outlineLevel="0" collapsed="false">
      <c r="A3954" s="8"/>
      <c r="B3954" s="8"/>
      <c r="C3954" s="8"/>
      <c r="D3954" s="8"/>
      <c r="E3954" s="8"/>
      <c r="F3954" s="8"/>
      <c r="G3954" s="10" t="str">
        <f aca="false">IF($A3954="","",UPPER(SUBSTITUTE(SUBSTITUTE(SUBSTITUTE(SUBSTITUTE($A3954," ",""),"(주)",""),"주식회사",""),"㈜","")))</f>
        <v/>
      </c>
      <c r="H3954" s="10" t="str">
        <f aca="false">IF($B3954="","",SUBSTITUTE(SUBSTITUTE(SUBSTITUTE($B3954,"-","")," ",""),".",""))</f>
        <v/>
      </c>
      <c r="I3954" s="10" t="str">
        <f aca="false">IF($D3954="","",SUBSTITUTE(SUBSTITUTE(SUBSTITUTE($D3954,"-","")," ",""),".",""))</f>
        <v/>
      </c>
      <c r="J3954" s="10" t="str">
        <f aca="false">IF($E3954="","",UPPER(SUBSTITUTE($E3954," ","")))</f>
        <v/>
      </c>
      <c r="K3954" s="10" t="str">
        <f aca="false">IF($A3954="","",$G3954&amp;"|"&amp;$J3954)</f>
        <v/>
      </c>
      <c r="L3954" s="10" t="str">
        <f aca="false">IF($A3954="","",ROW()-2)</f>
        <v/>
      </c>
      <c r="M3954" s="10" t="str">
        <f aca="false">IF($A3954="","",ROW())</f>
        <v/>
      </c>
    </row>
    <row r="3955" customFormat="false" ht="15" hidden="false" customHeight="true" outlineLevel="0" collapsed="false">
      <c r="A3955" s="8"/>
      <c r="B3955" s="8"/>
      <c r="C3955" s="8"/>
      <c r="D3955" s="8"/>
      <c r="E3955" s="8"/>
      <c r="F3955" s="8"/>
      <c r="G3955" s="10" t="str">
        <f aca="false">IF($A3955="","",UPPER(SUBSTITUTE(SUBSTITUTE(SUBSTITUTE(SUBSTITUTE($A3955," ",""),"(주)",""),"주식회사",""),"㈜","")))</f>
        <v/>
      </c>
      <c r="H3955" s="10" t="str">
        <f aca="false">IF($B3955="","",SUBSTITUTE(SUBSTITUTE(SUBSTITUTE($B3955,"-","")," ",""),".",""))</f>
        <v/>
      </c>
      <c r="I3955" s="10" t="str">
        <f aca="false">IF($D3955="","",SUBSTITUTE(SUBSTITUTE(SUBSTITUTE($D3955,"-","")," ",""),".",""))</f>
        <v/>
      </c>
      <c r="J3955" s="10" t="str">
        <f aca="false">IF($E3955="","",UPPER(SUBSTITUTE($E3955," ","")))</f>
        <v/>
      </c>
      <c r="K3955" s="10" t="str">
        <f aca="false">IF($A3955="","",$G3955&amp;"|"&amp;$J3955)</f>
        <v/>
      </c>
      <c r="L3955" s="10" t="str">
        <f aca="false">IF($A3955="","",ROW()-2)</f>
        <v/>
      </c>
      <c r="M3955" s="10" t="str">
        <f aca="false">IF($A3955="","",ROW())</f>
        <v/>
      </c>
    </row>
    <row r="3956" customFormat="false" ht="15" hidden="false" customHeight="true" outlineLevel="0" collapsed="false">
      <c r="A3956" s="8"/>
      <c r="B3956" s="8"/>
      <c r="C3956" s="8"/>
      <c r="D3956" s="8"/>
      <c r="E3956" s="8"/>
      <c r="F3956" s="8"/>
      <c r="G3956" s="10" t="str">
        <f aca="false">IF($A3956="","",UPPER(SUBSTITUTE(SUBSTITUTE(SUBSTITUTE(SUBSTITUTE($A3956," ",""),"(주)",""),"주식회사",""),"㈜","")))</f>
        <v/>
      </c>
      <c r="H3956" s="10" t="str">
        <f aca="false">IF($B3956="","",SUBSTITUTE(SUBSTITUTE(SUBSTITUTE($B3956,"-","")," ",""),".",""))</f>
        <v/>
      </c>
      <c r="I3956" s="10" t="str">
        <f aca="false">IF($D3956="","",SUBSTITUTE(SUBSTITUTE(SUBSTITUTE($D3956,"-","")," ",""),".",""))</f>
        <v/>
      </c>
      <c r="J3956" s="10" t="str">
        <f aca="false">IF($E3956="","",UPPER(SUBSTITUTE($E3956," ","")))</f>
        <v/>
      </c>
      <c r="K3956" s="10" t="str">
        <f aca="false">IF($A3956="","",$G3956&amp;"|"&amp;$J3956)</f>
        <v/>
      </c>
      <c r="L3956" s="10" t="str">
        <f aca="false">IF($A3956="","",ROW()-2)</f>
        <v/>
      </c>
      <c r="M3956" s="10" t="str">
        <f aca="false">IF($A3956="","",ROW())</f>
        <v/>
      </c>
    </row>
    <row r="3957" customFormat="false" ht="15" hidden="false" customHeight="true" outlineLevel="0" collapsed="false">
      <c r="A3957" s="8"/>
      <c r="B3957" s="8"/>
      <c r="C3957" s="8"/>
      <c r="D3957" s="8"/>
      <c r="E3957" s="8"/>
      <c r="F3957" s="8"/>
      <c r="G3957" s="10" t="str">
        <f aca="false">IF($A3957="","",UPPER(SUBSTITUTE(SUBSTITUTE(SUBSTITUTE(SUBSTITUTE($A3957," ",""),"(주)",""),"주식회사",""),"㈜","")))</f>
        <v/>
      </c>
      <c r="H3957" s="10" t="str">
        <f aca="false">IF($B3957="","",SUBSTITUTE(SUBSTITUTE(SUBSTITUTE($B3957,"-","")," ",""),".",""))</f>
        <v/>
      </c>
      <c r="I3957" s="10" t="str">
        <f aca="false">IF($D3957="","",SUBSTITUTE(SUBSTITUTE(SUBSTITUTE($D3957,"-","")," ",""),".",""))</f>
        <v/>
      </c>
      <c r="J3957" s="10" t="str">
        <f aca="false">IF($E3957="","",UPPER(SUBSTITUTE($E3957," ","")))</f>
        <v/>
      </c>
      <c r="K3957" s="10" t="str">
        <f aca="false">IF($A3957="","",$G3957&amp;"|"&amp;$J3957)</f>
        <v/>
      </c>
      <c r="L3957" s="10" t="str">
        <f aca="false">IF($A3957="","",ROW()-2)</f>
        <v/>
      </c>
      <c r="M3957" s="10" t="str">
        <f aca="false">IF($A3957="","",ROW())</f>
        <v/>
      </c>
    </row>
    <row r="3958" customFormat="false" ht="15" hidden="false" customHeight="true" outlineLevel="0" collapsed="false">
      <c r="A3958" s="8"/>
      <c r="B3958" s="8"/>
      <c r="C3958" s="8"/>
      <c r="D3958" s="8"/>
      <c r="E3958" s="8"/>
      <c r="F3958" s="8"/>
      <c r="G3958" s="10" t="str">
        <f aca="false">IF($A3958="","",UPPER(SUBSTITUTE(SUBSTITUTE(SUBSTITUTE(SUBSTITUTE($A3958," ",""),"(주)",""),"주식회사",""),"㈜","")))</f>
        <v/>
      </c>
      <c r="H3958" s="10" t="str">
        <f aca="false">IF($B3958="","",SUBSTITUTE(SUBSTITUTE(SUBSTITUTE($B3958,"-","")," ",""),".",""))</f>
        <v/>
      </c>
      <c r="I3958" s="10" t="str">
        <f aca="false">IF($D3958="","",SUBSTITUTE(SUBSTITUTE(SUBSTITUTE($D3958,"-","")," ",""),".",""))</f>
        <v/>
      </c>
      <c r="J3958" s="10" t="str">
        <f aca="false">IF($E3958="","",UPPER(SUBSTITUTE($E3958," ","")))</f>
        <v/>
      </c>
      <c r="K3958" s="10" t="str">
        <f aca="false">IF($A3958="","",$G3958&amp;"|"&amp;$J3958)</f>
        <v/>
      </c>
      <c r="L3958" s="10" t="str">
        <f aca="false">IF($A3958="","",ROW()-2)</f>
        <v/>
      </c>
      <c r="M3958" s="10" t="str">
        <f aca="false">IF($A3958="","",ROW())</f>
        <v/>
      </c>
    </row>
    <row r="3959" customFormat="false" ht="15" hidden="false" customHeight="true" outlineLevel="0" collapsed="false">
      <c r="A3959" s="8"/>
      <c r="B3959" s="8"/>
      <c r="C3959" s="8"/>
      <c r="D3959" s="8"/>
      <c r="E3959" s="8"/>
      <c r="F3959" s="8"/>
      <c r="G3959" s="10" t="str">
        <f aca="false">IF($A3959="","",UPPER(SUBSTITUTE(SUBSTITUTE(SUBSTITUTE(SUBSTITUTE($A3959," ",""),"(주)",""),"주식회사",""),"㈜","")))</f>
        <v/>
      </c>
      <c r="H3959" s="10" t="str">
        <f aca="false">IF($B3959="","",SUBSTITUTE(SUBSTITUTE(SUBSTITUTE($B3959,"-","")," ",""),".",""))</f>
        <v/>
      </c>
      <c r="I3959" s="10" t="str">
        <f aca="false">IF($D3959="","",SUBSTITUTE(SUBSTITUTE(SUBSTITUTE($D3959,"-","")," ",""),".",""))</f>
        <v/>
      </c>
      <c r="J3959" s="10" t="str">
        <f aca="false">IF($E3959="","",UPPER(SUBSTITUTE($E3959," ","")))</f>
        <v/>
      </c>
      <c r="K3959" s="10" t="str">
        <f aca="false">IF($A3959="","",$G3959&amp;"|"&amp;$J3959)</f>
        <v/>
      </c>
      <c r="L3959" s="10" t="str">
        <f aca="false">IF($A3959="","",ROW()-2)</f>
        <v/>
      </c>
      <c r="M3959" s="10" t="str">
        <f aca="false">IF($A3959="","",ROW())</f>
        <v/>
      </c>
    </row>
    <row r="3960" customFormat="false" ht="15" hidden="false" customHeight="true" outlineLevel="0" collapsed="false">
      <c r="A3960" s="8"/>
      <c r="B3960" s="8"/>
      <c r="C3960" s="8"/>
      <c r="D3960" s="8"/>
      <c r="E3960" s="8"/>
      <c r="F3960" s="8"/>
      <c r="G3960" s="10" t="str">
        <f aca="false">IF($A3960="","",UPPER(SUBSTITUTE(SUBSTITUTE(SUBSTITUTE(SUBSTITUTE($A3960," ",""),"(주)",""),"주식회사",""),"㈜","")))</f>
        <v/>
      </c>
      <c r="H3960" s="10" t="str">
        <f aca="false">IF($B3960="","",SUBSTITUTE(SUBSTITUTE(SUBSTITUTE($B3960,"-","")," ",""),".",""))</f>
        <v/>
      </c>
      <c r="I3960" s="10" t="str">
        <f aca="false">IF($D3960="","",SUBSTITUTE(SUBSTITUTE(SUBSTITUTE($D3960,"-","")," ",""),".",""))</f>
        <v/>
      </c>
      <c r="J3960" s="10" t="str">
        <f aca="false">IF($E3960="","",UPPER(SUBSTITUTE($E3960," ","")))</f>
        <v/>
      </c>
      <c r="K3960" s="10" t="str">
        <f aca="false">IF($A3960="","",$G3960&amp;"|"&amp;$J3960)</f>
        <v/>
      </c>
      <c r="L3960" s="10" t="str">
        <f aca="false">IF($A3960="","",ROW()-2)</f>
        <v/>
      </c>
      <c r="M3960" s="10" t="str">
        <f aca="false">IF($A3960="","",ROW())</f>
        <v/>
      </c>
    </row>
    <row r="3961" customFormat="false" ht="15" hidden="false" customHeight="true" outlineLevel="0" collapsed="false">
      <c r="A3961" s="8"/>
      <c r="B3961" s="8"/>
      <c r="C3961" s="8"/>
      <c r="D3961" s="8"/>
      <c r="E3961" s="8"/>
      <c r="F3961" s="8"/>
      <c r="G3961" s="10" t="str">
        <f aca="false">IF($A3961="","",UPPER(SUBSTITUTE(SUBSTITUTE(SUBSTITUTE(SUBSTITUTE($A3961," ",""),"(주)",""),"주식회사",""),"㈜","")))</f>
        <v/>
      </c>
      <c r="H3961" s="10" t="str">
        <f aca="false">IF($B3961="","",SUBSTITUTE(SUBSTITUTE(SUBSTITUTE($B3961,"-","")," ",""),".",""))</f>
        <v/>
      </c>
      <c r="I3961" s="10" t="str">
        <f aca="false">IF($D3961="","",SUBSTITUTE(SUBSTITUTE(SUBSTITUTE($D3961,"-","")," ",""),".",""))</f>
        <v/>
      </c>
      <c r="J3961" s="10" t="str">
        <f aca="false">IF($E3961="","",UPPER(SUBSTITUTE($E3961," ","")))</f>
        <v/>
      </c>
      <c r="K3961" s="10" t="str">
        <f aca="false">IF($A3961="","",$G3961&amp;"|"&amp;$J3961)</f>
        <v/>
      </c>
      <c r="L3961" s="10" t="str">
        <f aca="false">IF($A3961="","",ROW()-2)</f>
        <v/>
      </c>
      <c r="M3961" s="10" t="str">
        <f aca="false">IF($A3961="","",ROW())</f>
        <v/>
      </c>
    </row>
    <row r="3962" customFormat="false" ht="15" hidden="false" customHeight="true" outlineLevel="0" collapsed="false">
      <c r="A3962" s="8"/>
      <c r="B3962" s="8"/>
      <c r="C3962" s="8"/>
      <c r="D3962" s="8"/>
      <c r="E3962" s="8"/>
      <c r="F3962" s="8"/>
      <c r="G3962" s="10" t="str">
        <f aca="false">IF($A3962="","",UPPER(SUBSTITUTE(SUBSTITUTE(SUBSTITUTE(SUBSTITUTE($A3962," ",""),"(주)",""),"주식회사",""),"㈜","")))</f>
        <v/>
      </c>
      <c r="H3962" s="10" t="str">
        <f aca="false">IF($B3962="","",SUBSTITUTE(SUBSTITUTE(SUBSTITUTE($B3962,"-","")," ",""),".",""))</f>
        <v/>
      </c>
      <c r="I3962" s="10" t="str">
        <f aca="false">IF($D3962="","",SUBSTITUTE(SUBSTITUTE(SUBSTITUTE($D3962,"-","")," ",""),".",""))</f>
        <v/>
      </c>
      <c r="J3962" s="10" t="str">
        <f aca="false">IF($E3962="","",UPPER(SUBSTITUTE($E3962," ","")))</f>
        <v/>
      </c>
      <c r="K3962" s="10" t="str">
        <f aca="false">IF($A3962="","",$G3962&amp;"|"&amp;$J3962)</f>
        <v/>
      </c>
      <c r="L3962" s="10" t="str">
        <f aca="false">IF($A3962="","",ROW()-2)</f>
        <v/>
      </c>
      <c r="M3962" s="10" t="str">
        <f aca="false">IF($A3962="","",ROW())</f>
        <v/>
      </c>
    </row>
    <row r="3963" customFormat="false" ht="15" hidden="false" customHeight="true" outlineLevel="0" collapsed="false">
      <c r="A3963" s="8"/>
      <c r="B3963" s="8"/>
      <c r="C3963" s="8"/>
      <c r="D3963" s="8"/>
      <c r="E3963" s="8"/>
      <c r="F3963" s="8"/>
      <c r="G3963" s="10" t="str">
        <f aca="false">IF($A3963="","",UPPER(SUBSTITUTE(SUBSTITUTE(SUBSTITUTE(SUBSTITUTE($A3963," ",""),"(주)",""),"주식회사",""),"㈜","")))</f>
        <v/>
      </c>
      <c r="H3963" s="10" t="str">
        <f aca="false">IF($B3963="","",SUBSTITUTE(SUBSTITUTE(SUBSTITUTE($B3963,"-","")," ",""),".",""))</f>
        <v/>
      </c>
      <c r="I3963" s="10" t="str">
        <f aca="false">IF($D3963="","",SUBSTITUTE(SUBSTITUTE(SUBSTITUTE($D3963,"-","")," ",""),".",""))</f>
        <v/>
      </c>
      <c r="J3963" s="10" t="str">
        <f aca="false">IF($E3963="","",UPPER(SUBSTITUTE($E3963," ","")))</f>
        <v/>
      </c>
      <c r="K3963" s="10" t="str">
        <f aca="false">IF($A3963="","",$G3963&amp;"|"&amp;$J3963)</f>
        <v/>
      </c>
      <c r="L3963" s="10" t="str">
        <f aca="false">IF($A3963="","",ROW()-2)</f>
        <v/>
      </c>
      <c r="M3963" s="10" t="str">
        <f aca="false">IF($A3963="","",ROW())</f>
        <v/>
      </c>
    </row>
    <row r="3964" customFormat="false" ht="15" hidden="false" customHeight="true" outlineLevel="0" collapsed="false">
      <c r="A3964" s="8"/>
      <c r="B3964" s="8"/>
      <c r="C3964" s="8"/>
      <c r="D3964" s="8"/>
      <c r="E3964" s="8"/>
      <c r="F3964" s="8"/>
      <c r="G3964" s="10" t="str">
        <f aca="false">IF($A3964="","",UPPER(SUBSTITUTE(SUBSTITUTE(SUBSTITUTE(SUBSTITUTE($A3964," ",""),"(주)",""),"주식회사",""),"㈜","")))</f>
        <v/>
      </c>
      <c r="H3964" s="10" t="str">
        <f aca="false">IF($B3964="","",SUBSTITUTE(SUBSTITUTE(SUBSTITUTE($B3964,"-","")," ",""),".",""))</f>
        <v/>
      </c>
      <c r="I3964" s="10" t="str">
        <f aca="false">IF($D3964="","",SUBSTITUTE(SUBSTITUTE(SUBSTITUTE($D3964,"-","")," ",""),".",""))</f>
        <v/>
      </c>
      <c r="J3964" s="10" t="str">
        <f aca="false">IF($E3964="","",UPPER(SUBSTITUTE($E3964," ","")))</f>
        <v/>
      </c>
      <c r="K3964" s="10" t="str">
        <f aca="false">IF($A3964="","",$G3964&amp;"|"&amp;$J3964)</f>
        <v/>
      </c>
      <c r="L3964" s="10" t="str">
        <f aca="false">IF($A3964="","",ROW()-2)</f>
        <v/>
      </c>
      <c r="M3964" s="10" t="str">
        <f aca="false">IF($A3964="","",ROW())</f>
        <v/>
      </c>
    </row>
    <row r="3965" customFormat="false" ht="15" hidden="false" customHeight="true" outlineLevel="0" collapsed="false">
      <c r="A3965" s="8"/>
      <c r="B3965" s="8"/>
      <c r="C3965" s="8"/>
      <c r="D3965" s="8"/>
      <c r="E3965" s="8"/>
      <c r="F3965" s="8"/>
      <c r="G3965" s="10" t="str">
        <f aca="false">IF($A3965="","",UPPER(SUBSTITUTE(SUBSTITUTE(SUBSTITUTE(SUBSTITUTE($A3965," ",""),"(주)",""),"주식회사",""),"㈜","")))</f>
        <v/>
      </c>
      <c r="H3965" s="10" t="str">
        <f aca="false">IF($B3965="","",SUBSTITUTE(SUBSTITUTE(SUBSTITUTE($B3965,"-","")," ",""),".",""))</f>
        <v/>
      </c>
      <c r="I3965" s="10" t="str">
        <f aca="false">IF($D3965="","",SUBSTITUTE(SUBSTITUTE(SUBSTITUTE($D3965,"-","")," ",""),".",""))</f>
        <v/>
      </c>
      <c r="J3965" s="10" t="str">
        <f aca="false">IF($E3965="","",UPPER(SUBSTITUTE($E3965," ","")))</f>
        <v/>
      </c>
      <c r="K3965" s="10" t="str">
        <f aca="false">IF($A3965="","",$G3965&amp;"|"&amp;$J3965)</f>
        <v/>
      </c>
      <c r="L3965" s="10" t="str">
        <f aca="false">IF($A3965="","",ROW()-2)</f>
        <v/>
      </c>
      <c r="M3965" s="10" t="str">
        <f aca="false">IF($A3965="","",ROW())</f>
        <v/>
      </c>
    </row>
    <row r="3966" customFormat="false" ht="15" hidden="false" customHeight="true" outlineLevel="0" collapsed="false">
      <c r="A3966" s="8"/>
      <c r="B3966" s="8"/>
      <c r="C3966" s="8"/>
      <c r="D3966" s="8"/>
      <c r="E3966" s="8"/>
      <c r="F3966" s="8"/>
      <c r="G3966" s="10" t="str">
        <f aca="false">IF($A3966="","",UPPER(SUBSTITUTE(SUBSTITUTE(SUBSTITUTE(SUBSTITUTE($A3966," ",""),"(주)",""),"주식회사",""),"㈜","")))</f>
        <v/>
      </c>
      <c r="H3966" s="10" t="str">
        <f aca="false">IF($B3966="","",SUBSTITUTE(SUBSTITUTE(SUBSTITUTE($B3966,"-","")," ",""),".",""))</f>
        <v/>
      </c>
      <c r="I3966" s="10" t="str">
        <f aca="false">IF($D3966="","",SUBSTITUTE(SUBSTITUTE(SUBSTITUTE($D3966,"-","")," ",""),".",""))</f>
        <v/>
      </c>
      <c r="J3966" s="10" t="str">
        <f aca="false">IF($E3966="","",UPPER(SUBSTITUTE($E3966," ","")))</f>
        <v/>
      </c>
      <c r="K3966" s="10" t="str">
        <f aca="false">IF($A3966="","",$G3966&amp;"|"&amp;$J3966)</f>
        <v/>
      </c>
      <c r="L3966" s="10" t="str">
        <f aca="false">IF($A3966="","",ROW()-2)</f>
        <v/>
      </c>
      <c r="M3966" s="10" t="str">
        <f aca="false">IF($A3966="","",ROW())</f>
        <v/>
      </c>
    </row>
    <row r="3967" customFormat="false" ht="15" hidden="false" customHeight="true" outlineLevel="0" collapsed="false">
      <c r="A3967" s="8"/>
      <c r="B3967" s="8"/>
      <c r="C3967" s="8"/>
      <c r="D3967" s="8"/>
      <c r="E3967" s="8"/>
      <c r="F3967" s="8"/>
      <c r="G3967" s="10" t="str">
        <f aca="false">IF($A3967="","",UPPER(SUBSTITUTE(SUBSTITUTE(SUBSTITUTE(SUBSTITUTE($A3967," ",""),"(주)",""),"주식회사",""),"㈜","")))</f>
        <v/>
      </c>
      <c r="H3967" s="10" t="str">
        <f aca="false">IF($B3967="","",SUBSTITUTE(SUBSTITUTE(SUBSTITUTE($B3967,"-","")," ",""),".",""))</f>
        <v/>
      </c>
      <c r="I3967" s="10" t="str">
        <f aca="false">IF($D3967="","",SUBSTITUTE(SUBSTITUTE(SUBSTITUTE($D3967,"-","")," ",""),".",""))</f>
        <v/>
      </c>
      <c r="J3967" s="10" t="str">
        <f aca="false">IF($E3967="","",UPPER(SUBSTITUTE($E3967," ","")))</f>
        <v/>
      </c>
      <c r="K3967" s="10" t="str">
        <f aca="false">IF($A3967="","",$G3967&amp;"|"&amp;$J3967)</f>
        <v/>
      </c>
      <c r="L3967" s="10" t="str">
        <f aca="false">IF($A3967="","",ROW()-2)</f>
        <v/>
      </c>
      <c r="M3967" s="10" t="str">
        <f aca="false">IF($A3967="","",ROW())</f>
        <v/>
      </c>
    </row>
    <row r="3968" customFormat="false" ht="15" hidden="false" customHeight="true" outlineLevel="0" collapsed="false">
      <c r="A3968" s="8"/>
      <c r="B3968" s="8"/>
      <c r="C3968" s="8"/>
      <c r="D3968" s="8"/>
      <c r="E3968" s="8"/>
      <c r="F3968" s="8"/>
      <c r="G3968" s="10" t="str">
        <f aca="false">IF($A3968="","",UPPER(SUBSTITUTE(SUBSTITUTE(SUBSTITUTE(SUBSTITUTE($A3968," ",""),"(주)",""),"주식회사",""),"㈜","")))</f>
        <v/>
      </c>
      <c r="H3968" s="10" t="str">
        <f aca="false">IF($B3968="","",SUBSTITUTE(SUBSTITUTE(SUBSTITUTE($B3968,"-","")," ",""),".",""))</f>
        <v/>
      </c>
      <c r="I3968" s="10" t="str">
        <f aca="false">IF($D3968="","",SUBSTITUTE(SUBSTITUTE(SUBSTITUTE($D3968,"-","")," ",""),".",""))</f>
        <v/>
      </c>
      <c r="J3968" s="10" t="str">
        <f aca="false">IF($E3968="","",UPPER(SUBSTITUTE($E3968," ","")))</f>
        <v/>
      </c>
      <c r="K3968" s="10" t="str">
        <f aca="false">IF($A3968="","",$G3968&amp;"|"&amp;$J3968)</f>
        <v/>
      </c>
      <c r="L3968" s="10" t="str">
        <f aca="false">IF($A3968="","",ROW()-2)</f>
        <v/>
      </c>
      <c r="M3968" s="10" t="str">
        <f aca="false">IF($A3968="","",ROW())</f>
        <v/>
      </c>
    </row>
    <row r="3969" customFormat="false" ht="15" hidden="false" customHeight="true" outlineLevel="0" collapsed="false">
      <c r="A3969" s="8"/>
      <c r="B3969" s="8"/>
      <c r="C3969" s="8"/>
      <c r="D3969" s="8"/>
      <c r="E3969" s="8"/>
      <c r="F3969" s="8"/>
      <c r="G3969" s="10" t="str">
        <f aca="false">IF($A3969="","",UPPER(SUBSTITUTE(SUBSTITUTE(SUBSTITUTE(SUBSTITUTE($A3969," ",""),"(주)",""),"주식회사",""),"㈜","")))</f>
        <v/>
      </c>
      <c r="H3969" s="10" t="str">
        <f aca="false">IF($B3969="","",SUBSTITUTE(SUBSTITUTE(SUBSTITUTE($B3969,"-","")," ",""),".",""))</f>
        <v/>
      </c>
      <c r="I3969" s="10" t="str">
        <f aca="false">IF($D3969="","",SUBSTITUTE(SUBSTITUTE(SUBSTITUTE($D3969,"-","")," ",""),".",""))</f>
        <v/>
      </c>
      <c r="J3969" s="10" t="str">
        <f aca="false">IF($E3969="","",UPPER(SUBSTITUTE($E3969," ","")))</f>
        <v/>
      </c>
      <c r="K3969" s="10" t="str">
        <f aca="false">IF($A3969="","",$G3969&amp;"|"&amp;$J3969)</f>
        <v/>
      </c>
      <c r="L3969" s="10" t="str">
        <f aca="false">IF($A3969="","",ROW()-2)</f>
        <v/>
      </c>
      <c r="M3969" s="10" t="str">
        <f aca="false">IF($A3969="","",ROW())</f>
        <v/>
      </c>
    </row>
    <row r="3970" customFormat="false" ht="15" hidden="false" customHeight="true" outlineLevel="0" collapsed="false">
      <c r="A3970" s="8"/>
      <c r="B3970" s="8"/>
      <c r="C3970" s="8"/>
      <c r="D3970" s="8"/>
      <c r="E3970" s="8"/>
      <c r="F3970" s="8"/>
      <c r="G3970" s="10" t="str">
        <f aca="false">IF($A3970="","",UPPER(SUBSTITUTE(SUBSTITUTE(SUBSTITUTE(SUBSTITUTE($A3970," ",""),"(주)",""),"주식회사",""),"㈜","")))</f>
        <v/>
      </c>
      <c r="H3970" s="10" t="str">
        <f aca="false">IF($B3970="","",SUBSTITUTE(SUBSTITUTE(SUBSTITUTE($B3970,"-","")," ",""),".",""))</f>
        <v/>
      </c>
      <c r="I3970" s="10" t="str">
        <f aca="false">IF($D3970="","",SUBSTITUTE(SUBSTITUTE(SUBSTITUTE($D3970,"-","")," ",""),".",""))</f>
        <v/>
      </c>
      <c r="J3970" s="10" t="str">
        <f aca="false">IF($E3970="","",UPPER(SUBSTITUTE($E3970," ","")))</f>
        <v/>
      </c>
      <c r="K3970" s="10" t="str">
        <f aca="false">IF($A3970="","",$G3970&amp;"|"&amp;$J3970)</f>
        <v/>
      </c>
      <c r="L3970" s="10" t="str">
        <f aca="false">IF($A3970="","",ROW()-2)</f>
        <v/>
      </c>
      <c r="M3970" s="10" t="str">
        <f aca="false">IF($A3970="","",ROW())</f>
        <v/>
      </c>
    </row>
    <row r="3971" customFormat="false" ht="15" hidden="false" customHeight="true" outlineLevel="0" collapsed="false">
      <c r="A3971" s="8"/>
      <c r="B3971" s="8"/>
      <c r="C3971" s="8"/>
      <c r="D3971" s="8"/>
      <c r="E3971" s="8"/>
      <c r="F3971" s="8"/>
      <c r="G3971" s="10" t="str">
        <f aca="false">IF($A3971="","",UPPER(SUBSTITUTE(SUBSTITUTE(SUBSTITUTE(SUBSTITUTE($A3971," ",""),"(주)",""),"주식회사",""),"㈜","")))</f>
        <v/>
      </c>
      <c r="H3971" s="10" t="str">
        <f aca="false">IF($B3971="","",SUBSTITUTE(SUBSTITUTE(SUBSTITUTE($B3971,"-","")," ",""),".",""))</f>
        <v/>
      </c>
      <c r="I3971" s="10" t="str">
        <f aca="false">IF($D3971="","",SUBSTITUTE(SUBSTITUTE(SUBSTITUTE($D3971,"-","")," ",""),".",""))</f>
        <v/>
      </c>
      <c r="J3971" s="10" t="str">
        <f aca="false">IF($E3971="","",UPPER(SUBSTITUTE($E3971," ","")))</f>
        <v/>
      </c>
      <c r="K3971" s="10" t="str">
        <f aca="false">IF($A3971="","",$G3971&amp;"|"&amp;$J3971)</f>
        <v/>
      </c>
      <c r="L3971" s="10" t="str">
        <f aca="false">IF($A3971="","",ROW()-2)</f>
        <v/>
      </c>
      <c r="M3971" s="10" t="str">
        <f aca="false">IF($A3971="","",ROW())</f>
        <v/>
      </c>
    </row>
    <row r="3972" customFormat="false" ht="15" hidden="false" customHeight="true" outlineLevel="0" collapsed="false">
      <c r="A3972" s="8"/>
      <c r="B3972" s="8"/>
      <c r="C3972" s="8"/>
      <c r="D3972" s="8"/>
      <c r="E3972" s="8"/>
      <c r="F3972" s="8"/>
      <c r="G3972" s="10" t="str">
        <f aca="false">IF($A3972="","",UPPER(SUBSTITUTE(SUBSTITUTE(SUBSTITUTE(SUBSTITUTE($A3972," ",""),"(주)",""),"주식회사",""),"㈜","")))</f>
        <v/>
      </c>
      <c r="H3972" s="10" t="str">
        <f aca="false">IF($B3972="","",SUBSTITUTE(SUBSTITUTE(SUBSTITUTE($B3972,"-","")," ",""),".",""))</f>
        <v/>
      </c>
      <c r="I3972" s="10" t="str">
        <f aca="false">IF($D3972="","",SUBSTITUTE(SUBSTITUTE(SUBSTITUTE($D3972,"-","")," ",""),".",""))</f>
        <v/>
      </c>
      <c r="J3972" s="10" t="str">
        <f aca="false">IF($E3972="","",UPPER(SUBSTITUTE($E3972," ","")))</f>
        <v/>
      </c>
      <c r="K3972" s="10" t="str">
        <f aca="false">IF($A3972="","",$G3972&amp;"|"&amp;$J3972)</f>
        <v/>
      </c>
      <c r="L3972" s="10" t="str">
        <f aca="false">IF($A3972="","",ROW()-2)</f>
        <v/>
      </c>
      <c r="M3972" s="10" t="str">
        <f aca="false">IF($A3972="","",ROW())</f>
        <v/>
      </c>
    </row>
    <row r="3973" customFormat="false" ht="15" hidden="false" customHeight="true" outlineLevel="0" collapsed="false">
      <c r="A3973" s="8"/>
      <c r="B3973" s="8"/>
      <c r="C3973" s="8"/>
      <c r="D3973" s="8"/>
      <c r="E3973" s="8"/>
      <c r="F3973" s="8"/>
      <c r="G3973" s="10" t="str">
        <f aca="false">IF($A3973="","",UPPER(SUBSTITUTE(SUBSTITUTE(SUBSTITUTE(SUBSTITUTE($A3973," ",""),"(주)",""),"주식회사",""),"㈜","")))</f>
        <v/>
      </c>
      <c r="H3973" s="10" t="str">
        <f aca="false">IF($B3973="","",SUBSTITUTE(SUBSTITUTE(SUBSTITUTE($B3973,"-","")," ",""),".",""))</f>
        <v/>
      </c>
      <c r="I3973" s="10" t="str">
        <f aca="false">IF($D3973="","",SUBSTITUTE(SUBSTITUTE(SUBSTITUTE($D3973,"-","")," ",""),".",""))</f>
        <v/>
      </c>
      <c r="J3973" s="10" t="str">
        <f aca="false">IF($E3973="","",UPPER(SUBSTITUTE($E3973," ","")))</f>
        <v/>
      </c>
      <c r="K3973" s="10" t="str">
        <f aca="false">IF($A3973="","",$G3973&amp;"|"&amp;$J3973)</f>
        <v/>
      </c>
      <c r="L3973" s="10" t="str">
        <f aca="false">IF($A3973="","",ROW()-2)</f>
        <v/>
      </c>
      <c r="M3973" s="10" t="str">
        <f aca="false">IF($A3973="","",ROW())</f>
        <v/>
      </c>
    </row>
    <row r="3974" customFormat="false" ht="15" hidden="false" customHeight="true" outlineLevel="0" collapsed="false">
      <c r="A3974" s="8"/>
      <c r="B3974" s="8"/>
      <c r="C3974" s="8"/>
      <c r="D3974" s="8"/>
      <c r="E3974" s="8"/>
      <c r="F3974" s="8"/>
      <c r="G3974" s="10" t="str">
        <f aca="false">IF($A3974="","",UPPER(SUBSTITUTE(SUBSTITUTE(SUBSTITUTE(SUBSTITUTE($A3974," ",""),"(주)",""),"주식회사",""),"㈜","")))</f>
        <v/>
      </c>
      <c r="H3974" s="10" t="str">
        <f aca="false">IF($B3974="","",SUBSTITUTE(SUBSTITUTE(SUBSTITUTE($B3974,"-","")," ",""),".",""))</f>
        <v/>
      </c>
      <c r="I3974" s="10" t="str">
        <f aca="false">IF($D3974="","",SUBSTITUTE(SUBSTITUTE(SUBSTITUTE($D3974,"-","")," ",""),".",""))</f>
        <v/>
      </c>
      <c r="J3974" s="10" t="str">
        <f aca="false">IF($E3974="","",UPPER(SUBSTITUTE($E3974," ","")))</f>
        <v/>
      </c>
      <c r="K3974" s="10" t="str">
        <f aca="false">IF($A3974="","",$G3974&amp;"|"&amp;$J3974)</f>
        <v/>
      </c>
      <c r="L3974" s="10" t="str">
        <f aca="false">IF($A3974="","",ROW()-2)</f>
        <v/>
      </c>
      <c r="M3974" s="10" t="str">
        <f aca="false">IF($A3974="","",ROW())</f>
        <v/>
      </c>
    </row>
    <row r="3975" customFormat="false" ht="15" hidden="false" customHeight="true" outlineLevel="0" collapsed="false">
      <c r="A3975" s="8"/>
      <c r="B3975" s="8"/>
      <c r="C3975" s="8"/>
      <c r="D3975" s="8"/>
      <c r="E3975" s="8"/>
      <c r="F3975" s="8"/>
      <c r="G3975" s="10" t="str">
        <f aca="false">IF($A3975="","",UPPER(SUBSTITUTE(SUBSTITUTE(SUBSTITUTE(SUBSTITUTE($A3975," ",""),"(주)",""),"주식회사",""),"㈜","")))</f>
        <v/>
      </c>
      <c r="H3975" s="10" t="str">
        <f aca="false">IF($B3975="","",SUBSTITUTE(SUBSTITUTE(SUBSTITUTE($B3975,"-","")," ",""),".",""))</f>
        <v/>
      </c>
      <c r="I3975" s="10" t="str">
        <f aca="false">IF($D3975="","",SUBSTITUTE(SUBSTITUTE(SUBSTITUTE($D3975,"-","")," ",""),".",""))</f>
        <v/>
      </c>
      <c r="J3975" s="10" t="str">
        <f aca="false">IF($E3975="","",UPPER(SUBSTITUTE($E3975," ","")))</f>
        <v/>
      </c>
      <c r="K3975" s="10" t="str">
        <f aca="false">IF($A3975="","",$G3975&amp;"|"&amp;$J3975)</f>
        <v/>
      </c>
      <c r="L3975" s="10" t="str">
        <f aca="false">IF($A3975="","",ROW()-2)</f>
        <v/>
      </c>
      <c r="M3975" s="10" t="str">
        <f aca="false">IF($A3975="","",ROW())</f>
        <v/>
      </c>
    </row>
    <row r="3976" customFormat="false" ht="15" hidden="false" customHeight="true" outlineLevel="0" collapsed="false">
      <c r="A3976" s="8"/>
      <c r="B3976" s="8"/>
      <c r="C3976" s="8"/>
      <c r="D3976" s="8"/>
      <c r="E3976" s="8"/>
      <c r="F3976" s="8"/>
      <c r="G3976" s="10" t="str">
        <f aca="false">IF($A3976="","",UPPER(SUBSTITUTE(SUBSTITUTE(SUBSTITUTE(SUBSTITUTE($A3976," ",""),"(주)",""),"주식회사",""),"㈜","")))</f>
        <v/>
      </c>
      <c r="H3976" s="10" t="str">
        <f aca="false">IF($B3976="","",SUBSTITUTE(SUBSTITUTE(SUBSTITUTE($B3976,"-","")," ",""),".",""))</f>
        <v/>
      </c>
      <c r="I3976" s="10" t="str">
        <f aca="false">IF($D3976="","",SUBSTITUTE(SUBSTITUTE(SUBSTITUTE($D3976,"-","")," ",""),".",""))</f>
        <v/>
      </c>
      <c r="J3976" s="10" t="str">
        <f aca="false">IF($E3976="","",UPPER(SUBSTITUTE($E3976," ","")))</f>
        <v/>
      </c>
      <c r="K3976" s="10" t="str">
        <f aca="false">IF($A3976="","",$G3976&amp;"|"&amp;$J3976)</f>
        <v/>
      </c>
      <c r="L3976" s="10" t="str">
        <f aca="false">IF($A3976="","",ROW()-2)</f>
        <v/>
      </c>
      <c r="M3976" s="10" t="str">
        <f aca="false">IF($A3976="","",ROW())</f>
        <v/>
      </c>
    </row>
    <row r="3977" customFormat="false" ht="15" hidden="false" customHeight="true" outlineLevel="0" collapsed="false">
      <c r="A3977" s="8"/>
      <c r="B3977" s="8"/>
      <c r="C3977" s="8"/>
      <c r="D3977" s="8"/>
      <c r="E3977" s="8"/>
      <c r="F3977" s="8"/>
      <c r="G3977" s="10" t="str">
        <f aca="false">IF($A3977="","",UPPER(SUBSTITUTE(SUBSTITUTE(SUBSTITUTE(SUBSTITUTE($A3977," ",""),"(주)",""),"주식회사",""),"㈜","")))</f>
        <v/>
      </c>
      <c r="H3977" s="10" t="str">
        <f aca="false">IF($B3977="","",SUBSTITUTE(SUBSTITUTE(SUBSTITUTE($B3977,"-","")," ",""),".",""))</f>
        <v/>
      </c>
      <c r="I3977" s="10" t="str">
        <f aca="false">IF($D3977="","",SUBSTITUTE(SUBSTITUTE(SUBSTITUTE($D3977,"-","")," ",""),".",""))</f>
        <v/>
      </c>
      <c r="J3977" s="10" t="str">
        <f aca="false">IF($E3977="","",UPPER(SUBSTITUTE($E3977," ","")))</f>
        <v/>
      </c>
      <c r="K3977" s="10" t="str">
        <f aca="false">IF($A3977="","",$G3977&amp;"|"&amp;$J3977)</f>
        <v/>
      </c>
      <c r="L3977" s="10" t="str">
        <f aca="false">IF($A3977="","",ROW()-2)</f>
        <v/>
      </c>
      <c r="M3977" s="10" t="str">
        <f aca="false">IF($A3977="","",ROW())</f>
        <v/>
      </c>
    </row>
    <row r="3978" customFormat="false" ht="15" hidden="false" customHeight="true" outlineLevel="0" collapsed="false">
      <c r="A3978" s="8"/>
      <c r="B3978" s="8"/>
      <c r="C3978" s="8"/>
      <c r="D3978" s="8"/>
      <c r="E3978" s="8"/>
      <c r="F3978" s="8"/>
      <c r="G3978" s="10" t="str">
        <f aca="false">IF($A3978="","",UPPER(SUBSTITUTE(SUBSTITUTE(SUBSTITUTE(SUBSTITUTE($A3978," ",""),"(주)",""),"주식회사",""),"㈜","")))</f>
        <v/>
      </c>
      <c r="H3978" s="10" t="str">
        <f aca="false">IF($B3978="","",SUBSTITUTE(SUBSTITUTE(SUBSTITUTE($B3978,"-","")," ",""),".",""))</f>
        <v/>
      </c>
      <c r="I3978" s="10" t="str">
        <f aca="false">IF($D3978="","",SUBSTITUTE(SUBSTITUTE(SUBSTITUTE($D3978,"-","")," ",""),".",""))</f>
        <v/>
      </c>
      <c r="J3978" s="10" t="str">
        <f aca="false">IF($E3978="","",UPPER(SUBSTITUTE($E3978," ","")))</f>
        <v/>
      </c>
      <c r="K3978" s="10" t="str">
        <f aca="false">IF($A3978="","",$G3978&amp;"|"&amp;$J3978)</f>
        <v/>
      </c>
      <c r="L3978" s="10" t="str">
        <f aca="false">IF($A3978="","",ROW()-2)</f>
        <v/>
      </c>
      <c r="M3978" s="10" t="str">
        <f aca="false">IF($A3978="","",ROW())</f>
        <v/>
      </c>
    </row>
    <row r="3979" customFormat="false" ht="15" hidden="false" customHeight="true" outlineLevel="0" collapsed="false">
      <c r="A3979" s="8"/>
      <c r="B3979" s="8"/>
      <c r="C3979" s="8"/>
      <c r="D3979" s="8"/>
      <c r="E3979" s="8"/>
      <c r="F3979" s="8"/>
      <c r="G3979" s="10" t="str">
        <f aca="false">IF($A3979="","",UPPER(SUBSTITUTE(SUBSTITUTE(SUBSTITUTE(SUBSTITUTE($A3979," ",""),"(주)",""),"주식회사",""),"㈜","")))</f>
        <v/>
      </c>
      <c r="H3979" s="10" t="str">
        <f aca="false">IF($B3979="","",SUBSTITUTE(SUBSTITUTE(SUBSTITUTE($B3979,"-","")," ",""),".",""))</f>
        <v/>
      </c>
      <c r="I3979" s="10" t="str">
        <f aca="false">IF($D3979="","",SUBSTITUTE(SUBSTITUTE(SUBSTITUTE($D3979,"-","")," ",""),".",""))</f>
        <v/>
      </c>
      <c r="J3979" s="10" t="str">
        <f aca="false">IF($E3979="","",UPPER(SUBSTITUTE($E3979," ","")))</f>
        <v/>
      </c>
      <c r="K3979" s="10" t="str">
        <f aca="false">IF($A3979="","",$G3979&amp;"|"&amp;$J3979)</f>
        <v/>
      </c>
      <c r="L3979" s="10" t="str">
        <f aca="false">IF($A3979="","",ROW()-2)</f>
        <v/>
      </c>
      <c r="M3979" s="10" t="str">
        <f aca="false">IF($A3979="","",ROW())</f>
        <v/>
      </c>
    </row>
    <row r="3980" customFormat="false" ht="15" hidden="false" customHeight="true" outlineLevel="0" collapsed="false">
      <c r="A3980" s="8"/>
      <c r="B3980" s="8"/>
      <c r="C3980" s="8"/>
      <c r="D3980" s="8"/>
      <c r="E3980" s="8"/>
      <c r="F3980" s="8"/>
      <c r="G3980" s="10" t="str">
        <f aca="false">IF($A3980="","",UPPER(SUBSTITUTE(SUBSTITUTE(SUBSTITUTE(SUBSTITUTE($A3980," ",""),"(주)",""),"주식회사",""),"㈜","")))</f>
        <v/>
      </c>
      <c r="H3980" s="10" t="str">
        <f aca="false">IF($B3980="","",SUBSTITUTE(SUBSTITUTE(SUBSTITUTE($B3980,"-","")," ",""),".",""))</f>
        <v/>
      </c>
      <c r="I3980" s="10" t="str">
        <f aca="false">IF($D3980="","",SUBSTITUTE(SUBSTITUTE(SUBSTITUTE($D3980,"-","")," ",""),".",""))</f>
        <v/>
      </c>
      <c r="J3980" s="10" t="str">
        <f aca="false">IF($E3980="","",UPPER(SUBSTITUTE($E3980," ","")))</f>
        <v/>
      </c>
      <c r="K3980" s="10" t="str">
        <f aca="false">IF($A3980="","",$G3980&amp;"|"&amp;$J3980)</f>
        <v/>
      </c>
      <c r="L3980" s="10" t="str">
        <f aca="false">IF($A3980="","",ROW()-2)</f>
        <v/>
      </c>
      <c r="M3980" s="10" t="str">
        <f aca="false">IF($A3980="","",ROW())</f>
        <v/>
      </c>
    </row>
    <row r="3981" customFormat="false" ht="15" hidden="false" customHeight="true" outlineLevel="0" collapsed="false">
      <c r="A3981" s="8"/>
      <c r="B3981" s="8"/>
      <c r="C3981" s="8"/>
      <c r="D3981" s="8"/>
      <c r="E3981" s="8"/>
      <c r="F3981" s="8"/>
      <c r="G3981" s="10" t="str">
        <f aca="false">IF($A3981="","",UPPER(SUBSTITUTE(SUBSTITUTE(SUBSTITUTE(SUBSTITUTE($A3981," ",""),"(주)",""),"주식회사",""),"㈜","")))</f>
        <v/>
      </c>
      <c r="H3981" s="10" t="str">
        <f aca="false">IF($B3981="","",SUBSTITUTE(SUBSTITUTE(SUBSTITUTE($B3981,"-","")," ",""),".",""))</f>
        <v/>
      </c>
      <c r="I3981" s="10" t="str">
        <f aca="false">IF($D3981="","",SUBSTITUTE(SUBSTITUTE(SUBSTITUTE($D3981,"-","")," ",""),".",""))</f>
        <v/>
      </c>
      <c r="J3981" s="10" t="str">
        <f aca="false">IF($E3981="","",UPPER(SUBSTITUTE($E3981," ","")))</f>
        <v/>
      </c>
      <c r="K3981" s="10" t="str">
        <f aca="false">IF($A3981="","",$G3981&amp;"|"&amp;$J3981)</f>
        <v/>
      </c>
      <c r="L3981" s="10" t="str">
        <f aca="false">IF($A3981="","",ROW()-2)</f>
        <v/>
      </c>
      <c r="M3981" s="10" t="str">
        <f aca="false">IF($A3981="","",ROW())</f>
        <v/>
      </c>
    </row>
    <row r="3982" customFormat="false" ht="15" hidden="false" customHeight="true" outlineLevel="0" collapsed="false">
      <c r="A3982" s="8"/>
      <c r="B3982" s="8"/>
      <c r="C3982" s="8"/>
      <c r="D3982" s="8"/>
      <c r="E3982" s="8"/>
      <c r="F3982" s="8"/>
      <c r="G3982" s="10" t="str">
        <f aca="false">IF($A3982="","",UPPER(SUBSTITUTE(SUBSTITUTE(SUBSTITUTE(SUBSTITUTE($A3982," ",""),"(주)",""),"주식회사",""),"㈜","")))</f>
        <v/>
      </c>
      <c r="H3982" s="10" t="str">
        <f aca="false">IF($B3982="","",SUBSTITUTE(SUBSTITUTE(SUBSTITUTE($B3982,"-","")," ",""),".",""))</f>
        <v/>
      </c>
      <c r="I3982" s="10" t="str">
        <f aca="false">IF($D3982="","",SUBSTITUTE(SUBSTITUTE(SUBSTITUTE($D3982,"-","")," ",""),".",""))</f>
        <v/>
      </c>
      <c r="J3982" s="10" t="str">
        <f aca="false">IF($E3982="","",UPPER(SUBSTITUTE($E3982," ","")))</f>
        <v/>
      </c>
      <c r="K3982" s="10" t="str">
        <f aca="false">IF($A3982="","",$G3982&amp;"|"&amp;$J3982)</f>
        <v/>
      </c>
      <c r="L3982" s="10" t="str">
        <f aca="false">IF($A3982="","",ROW()-2)</f>
        <v/>
      </c>
      <c r="M3982" s="10" t="str">
        <f aca="false">IF($A3982="","",ROW())</f>
        <v/>
      </c>
    </row>
    <row r="3983" customFormat="false" ht="15" hidden="false" customHeight="true" outlineLevel="0" collapsed="false">
      <c r="A3983" s="8"/>
      <c r="B3983" s="8"/>
      <c r="C3983" s="8"/>
      <c r="D3983" s="8"/>
      <c r="E3983" s="8"/>
      <c r="F3983" s="8"/>
      <c r="G3983" s="10" t="str">
        <f aca="false">IF($A3983="","",UPPER(SUBSTITUTE(SUBSTITUTE(SUBSTITUTE(SUBSTITUTE($A3983," ",""),"(주)",""),"주식회사",""),"㈜","")))</f>
        <v/>
      </c>
      <c r="H3983" s="10" t="str">
        <f aca="false">IF($B3983="","",SUBSTITUTE(SUBSTITUTE(SUBSTITUTE($B3983,"-","")," ",""),".",""))</f>
        <v/>
      </c>
      <c r="I3983" s="10" t="str">
        <f aca="false">IF($D3983="","",SUBSTITUTE(SUBSTITUTE(SUBSTITUTE($D3983,"-","")," ",""),".",""))</f>
        <v/>
      </c>
      <c r="J3983" s="10" t="str">
        <f aca="false">IF($E3983="","",UPPER(SUBSTITUTE($E3983," ","")))</f>
        <v/>
      </c>
      <c r="K3983" s="10" t="str">
        <f aca="false">IF($A3983="","",$G3983&amp;"|"&amp;$J3983)</f>
        <v/>
      </c>
      <c r="L3983" s="10" t="str">
        <f aca="false">IF($A3983="","",ROW()-2)</f>
        <v/>
      </c>
      <c r="M3983" s="10" t="str">
        <f aca="false">IF($A3983="","",ROW())</f>
        <v/>
      </c>
    </row>
    <row r="3984" customFormat="false" ht="15" hidden="false" customHeight="true" outlineLevel="0" collapsed="false">
      <c r="A3984" s="8"/>
      <c r="B3984" s="8"/>
      <c r="C3984" s="8"/>
      <c r="D3984" s="8"/>
      <c r="E3984" s="8"/>
      <c r="F3984" s="8"/>
      <c r="G3984" s="10" t="str">
        <f aca="false">IF($A3984="","",UPPER(SUBSTITUTE(SUBSTITUTE(SUBSTITUTE(SUBSTITUTE($A3984," ",""),"(주)",""),"주식회사",""),"㈜","")))</f>
        <v/>
      </c>
      <c r="H3984" s="10" t="str">
        <f aca="false">IF($B3984="","",SUBSTITUTE(SUBSTITUTE(SUBSTITUTE($B3984,"-","")," ",""),".",""))</f>
        <v/>
      </c>
      <c r="I3984" s="10" t="str">
        <f aca="false">IF($D3984="","",SUBSTITUTE(SUBSTITUTE(SUBSTITUTE($D3984,"-","")," ",""),".",""))</f>
        <v/>
      </c>
      <c r="J3984" s="10" t="str">
        <f aca="false">IF($E3984="","",UPPER(SUBSTITUTE($E3984," ","")))</f>
        <v/>
      </c>
      <c r="K3984" s="10" t="str">
        <f aca="false">IF($A3984="","",$G3984&amp;"|"&amp;$J3984)</f>
        <v/>
      </c>
      <c r="L3984" s="10" t="str">
        <f aca="false">IF($A3984="","",ROW()-2)</f>
        <v/>
      </c>
      <c r="M3984" s="10" t="str">
        <f aca="false">IF($A3984="","",ROW())</f>
        <v/>
      </c>
    </row>
    <row r="3985" customFormat="false" ht="15" hidden="false" customHeight="true" outlineLevel="0" collapsed="false">
      <c r="A3985" s="8"/>
      <c r="B3985" s="8"/>
      <c r="C3985" s="8"/>
      <c r="D3985" s="8"/>
      <c r="E3985" s="8"/>
      <c r="F3985" s="8"/>
      <c r="G3985" s="10" t="str">
        <f aca="false">IF($A3985="","",UPPER(SUBSTITUTE(SUBSTITUTE(SUBSTITUTE(SUBSTITUTE($A3985," ",""),"(주)",""),"주식회사",""),"㈜","")))</f>
        <v/>
      </c>
      <c r="H3985" s="10" t="str">
        <f aca="false">IF($B3985="","",SUBSTITUTE(SUBSTITUTE(SUBSTITUTE($B3985,"-","")," ",""),".",""))</f>
        <v/>
      </c>
      <c r="I3985" s="10" t="str">
        <f aca="false">IF($D3985="","",SUBSTITUTE(SUBSTITUTE(SUBSTITUTE($D3985,"-","")," ",""),".",""))</f>
        <v/>
      </c>
      <c r="J3985" s="10" t="str">
        <f aca="false">IF($E3985="","",UPPER(SUBSTITUTE($E3985," ","")))</f>
        <v/>
      </c>
      <c r="K3985" s="10" t="str">
        <f aca="false">IF($A3985="","",$G3985&amp;"|"&amp;$J3985)</f>
        <v/>
      </c>
      <c r="L3985" s="10" t="str">
        <f aca="false">IF($A3985="","",ROW()-2)</f>
        <v/>
      </c>
      <c r="M3985" s="10" t="str">
        <f aca="false">IF($A3985="","",ROW())</f>
        <v/>
      </c>
    </row>
    <row r="3986" customFormat="false" ht="15" hidden="false" customHeight="true" outlineLevel="0" collapsed="false">
      <c r="A3986" s="8"/>
      <c r="B3986" s="8"/>
      <c r="C3986" s="8"/>
      <c r="D3986" s="8"/>
      <c r="E3986" s="8"/>
      <c r="F3986" s="8"/>
      <c r="G3986" s="10" t="str">
        <f aca="false">IF($A3986="","",UPPER(SUBSTITUTE(SUBSTITUTE(SUBSTITUTE(SUBSTITUTE($A3986," ",""),"(주)",""),"주식회사",""),"㈜","")))</f>
        <v/>
      </c>
      <c r="H3986" s="10" t="str">
        <f aca="false">IF($B3986="","",SUBSTITUTE(SUBSTITUTE(SUBSTITUTE($B3986,"-","")," ",""),".",""))</f>
        <v/>
      </c>
      <c r="I3986" s="10" t="str">
        <f aca="false">IF($D3986="","",SUBSTITUTE(SUBSTITUTE(SUBSTITUTE($D3986,"-","")," ",""),".",""))</f>
        <v/>
      </c>
      <c r="J3986" s="10" t="str">
        <f aca="false">IF($E3986="","",UPPER(SUBSTITUTE($E3986," ","")))</f>
        <v/>
      </c>
      <c r="K3986" s="10" t="str">
        <f aca="false">IF($A3986="","",$G3986&amp;"|"&amp;$J3986)</f>
        <v/>
      </c>
      <c r="L3986" s="10" t="str">
        <f aca="false">IF($A3986="","",ROW()-2)</f>
        <v/>
      </c>
      <c r="M3986" s="10" t="str">
        <f aca="false">IF($A3986="","",ROW())</f>
        <v/>
      </c>
    </row>
    <row r="3987" customFormat="false" ht="15" hidden="false" customHeight="true" outlineLevel="0" collapsed="false">
      <c r="A3987" s="8"/>
      <c r="B3987" s="8"/>
      <c r="C3987" s="8"/>
      <c r="D3987" s="8"/>
      <c r="E3987" s="8"/>
      <c r="F3987" s="8"/>
      <c r="G3987" s="10" t="str">
        <f aca="false">IF($A3987="","",UPPER(SUBSTITUTE(SUBSTITUTE(SUBSTITUTE(SUBSTITUTE($A3987," ",""),"(주)",""),"주식회사",""),"㈜","")))</f>
        <v/>
      </c>
      <c r="H3987" s="10" t="str">
        <f aca="false">IF($B3987="","",SUBSTITUTE(SUBSTITUTE(SUBSTITUTE($B3987,"-","")," ",""),".",""))</f>
        <v/>
      </c>
      <c r="I3987" s="10" t="str">
        <f aca="false">IF($D3987="","",SUBSTITUTE(SUBSTITUTE(SUBSTITUTE($D3987,"-","")," ",""),".",""))</f>
        <v/>
      </c>
      <c r="J3987" s="10" t="str">
        <f aca="false">IF($E3987="","",UPPER(SUBSTITUTE($E3987," ","")))</f>
        <v/>
      </c>
      <c r="K3987" s="10" t="str">
        <f aca="false">IF($A3987="","",$G3987&amp;"|"&amp;$J3987)</f>
        <v/>
      </c>
      <c r="L3987" s="10" t="str">
        <f aca="false">IF($A3987="","",ROW()-2)</f>
        <v/>
      </c>
      <c r="M3987" s="10" t="str">
        <f aca="false">IF($A3987="","",ROW())</f>
        <v/>
      </c>
    </row>
    <row r="3988" customFormat="false" ht="15" hidden="false" customHeight="true" outlineLevel="0" collapsed="false">
      <c r="A3988" s="8"/>
      <c r="B3988" s="8"/>
      <c r="C3988" s="8"/>
      <c r="D3988" s="8"/>
      <c r="E3988" s="8"/>
      <c r="F3988" s="8"/>
      <c r="G3988" s="10" t="str">
        <f aca="false">IF($A3988="","",UPPER(SUBSTITUTE(SUBSTITUTE(SUBSTITUTE(SUBSTITUTE($A3988," ",""),"(주)",""),"주식회사",""),"㈜","")))</f>
        <v/>
      </c>
      <c r="H3988" s="10" t="str">
        <f aca="false">IF($B3988="","",SUBSTITUTE(SUBSTITUTE(SUBSTITUTE($B3988,"-","")," ",""),".",""))</f>
        <v/>
      </c>
      <c r="I3988" s="10" t="str">
        <f aca="false">IF($D3988="","",SUBSTITUTE(SUBSTITUTE(SUBSTITUTE($D3988,"-","")," ",""),".",""))</f>
        <v/>
      </c>
      <c r="J3988" s="10" t="str">
        <f aca="false">IF($E3988="","",UPPER(SUBSTITUTE($E3988," ","")))</f>
        <v/>
      </c>
      <c r="K3988" s="10" t="str">
        <f aca="false">IF($A3988="","",$G3988&amp;"|"&amp;$J3988)</f>
        <v/>
      </c>
      <c r="L3988" s="10" t="str">
        <f aca="false">IF($A3988="","",ROW()-2)</f>
        <v/>
      </c>
      <c r="M3988" s="10" t="str">
        <f aca="false">IF($A3988="","",ROW())</f>
        <v/>
      </c>
    </row>
    <row r="3989" customFormat="false" ht="15" hidden="false" customHeight="true" outlineLevel="0" collapsed="false">
      <c r="A3989" s="8"/>
      <c r="B3989" s="8"/>
      <c r="C3989" s="8"/>
      <c r="D3989" s="8"/>
      <c r="E3989" s="8"/>
      <c r="F3989" s="8"/>
      <c r="G3989" s="10" t="str">
        <f aca="false">IF($A3989="","",UPPER(SUBSTITUTE(SUBSTITUTE(SUBSTITUTE(SUBSTITUTE($A3989," ",""),"(주)",""),"주식회사",""),"㈜","")))</f>
        <v/>
      </c>
      <c r="H3989" s="10" t="str">
        <f aca="false">IF($B3989="","",SUBSTITUTE(SUBSTITUTE(SUBSTITUTE($B3989,"-","")," ",""),".",""))</f>
        <v/>
      </c>
      <c r="I3989" s="10" t="str">
        <f aca="false">IF($D3989="","",SUBSTITUTE(SUBSTITUTE(SUBSTITUTE($D3989,"-","")," ",""),".",""))</f>
        <v/>
      </c>
      <c r="J3989" s="10" t="str">
        <f aca="false">IF($E3989="","",UPPER(SUBSTITUTE($E3989," ","")))</f>
        <v/>
      </c>
      <c r="K3989" s="10" t="str">
        <f aca="false">IF($A3989="","",$G3989&amp;"|"&amp;$J3989)</f>
        <v/>
      </c>
      <c r="L3989" s="10" t="str">
        <f aca="false">IF($A3989="","",ROW()-2)</f>
        <v/>
      </c>
      <c r="M3989" s="10" t="str">
        <f aca="false">IF($A3989="","",ROW())</f>
        <v/>
      </c>
    </row>
    <row r="3990" customFormat="false" ht="15" hidden="false" customHeight="true" outlineLevel="0" collapsed="false">
      <c r="A3990" s="8"/>
      <c r="B3990" s="8"/>
      <c r="C3990" s="8"/>
      <c r="D3990" s="8"/>
      <c r="E3990" s="8"/>
      <c r="F3990" s="8"/>
      <c r="G3990" s="10" t="str">
        <f aca="false">IF($A3990="","",UPPER(SUBSTITUTE(SUBSTITUTE(SUBSTITUTE(SUBSTITUTE($A3990," ",""),"(주)",""),"주식회사",""),"㈜","")))</f>
        <v/>
      </c>
      <c r="H3990" s="10" t="str">
        <f aca="false">IF($B3990="","",SUBSTITUTE(SUBSTITUTE(SUBSTITUTE($B3990,"-","")," ",""),".",""))</f>
        <v/>
      </c>
      <c r="I3990" s="10" t="str">
        <f aca="false">IF($D3990="","",SUBSTITUTE(SUBSTITUTE(SUBSTITUTE($D3990,"-","")," ",""),".",""))</f>
        <v/>
      </c>
      <c r="J3990" s="10" t="str">
        <f aca="false">IF($E3990="","",UPPER(SUBSTITUTE($E3990," ","")))</f>
        <v/>
      </c>
      <c r="K3990" s="10" t="str">
        <f aca="false">IF($A3990="","",$G3990&amp;"|"&amp;$J3990)</f>
        <v/>
      </c>
      <c r="L3990" s="10" t="str">
        <f aca="false">IF($A3990="","",ROW()-2)</f>
        <v/>
      </c>
      <c r="M3990" s="10" t="str">
        <f aca="false">IF($A3990="","",ROW())</f>
        <v/>
      </c>
    </row>
    <row r="3991" customFormat="false" ht="15" hidden="false" customHeight="true" outlineLevel="0" collapsed="false">
      <c r="A3991" s="8"/>
      <c r="B3991" s="8"/>
      <c r="C3991" s="8"/>
      <c r="D3991" s="8"/>
      <c r="E3991" s="8"/>
      <c r="F3991" s="8"/>
      <c r="G3991" s="10" t="str">
        <f aca="false">IF($A3991="","",UPPER(SUBSTITUTE(SUBSTITUTE(SUBSTITUTE(SUBSTITUTE($A3991," ",""),"(주)",""),"주식회사",""),"㈜","")))</f>
        <v/>
      </c>
      <c r="H3991" s="10" t="str">
        <f aca="false">IF($B3991="","",SUBSTITUTE(SUBSTITUTE(SUBSTITUTE($B3991,"-","")," ",""),".",""))</f>
        <v/>
      </c>
      <c r="I3991" s="10" t="str">
        <f aca="false">IF($D3991="","",SUBSTITUTE(SUBSTITUTE(SUBSTITUTE($D3991,"-","")," ",""),".",""))</f>
        <v/>
      </c>
      <c r="J3991" s="10" t="str">
        <f aca="false">IF($E3991="","",UPPER(SUBSTITUTE($E3991," ","")))</f>
        <v/>
      </c>
      <c r="K3991" s="10" t="str">
        <f aca="false">IF($A3991="","",$G3991&amp;"|"&amp;$J3991)</f>
        <v/>
      </c>
      <c r="L3991" s="10" t="str">
        <f aca="false">IF($A3991="","",ROW()-2)</f>
        <v/>
      </c>
      <c r="M3991" s="10" t="str">
        <f aca="false">IF($A3991="","",ROW())</f>
        <v/>
      </c>
    </row>
    <row r="3992" customFormat="false" ht="15" hidden="false" customHeight="true" outlineLevel="0" collapsed="false">
      <c r="A3992" s="8"/>
      <c r="B3992" s="8"/>
      <c r="C3992" s="8"/>
      <c r="D3992" s="8"/>
      <c r="E3992" s="8"/>
      <c r="F3992" s="8"/>
      <c r="G3992" s="10" t="str">
        <f aca="false">IF($A3992="","",UPPER(SUBSTITUTE(SUBSTITUTE(SUBSTITUTE(SUBSTITUTE($A3992," ",""),"(주)",""),"주식회사",""),"㈜","")))</f>
        <v/>
      </c>
      <c r="H3992" s="10" t="str">
        <f aca="false">IF($B3992="","",SUBSTITUTE(SUBSTITUTE(SUBSTITUTE($B3992,"-","")," ",""),".",""))</f>
        <v/>
      </c>
      <c r="I3992" s="10" t="str">
        <f aca="false">IF($D3992="","",SUBSTITUTE(SUBSTITUTE(SUBSTITUTE($D3992,"-","")," ",""),".",""))</f>
        <v/>
      </c>
      <c r="J3992" s="10" t="str">
        <f aca="false">IF($E3992="","",UPPER(SUBSTITUTE($E3992," ","")))</f>
        <v/>
      </c>
      <c r="K3992" s="10" t="str">
        <f aca="false">IF($A3992="","",$G3992&amp;"|"&amp;$J3992)</f>
        <v/>
      </c>
      <c r="L3992" s="10" t="str">
        <f aca="false">IF($A3992="","",ROW()-2)</f>
        <v/>
      </c>
      <c r="M3992" s="10" t="str">
        <f aca="false">IF($A3992="","",ROW())</f>
        <v/>
      </c>
    </row>
    <row r="3993" customFormat="false" ht="15" hidden="false" customHeight="true" outlineLevel="0" collapsed="false">
      <c r="A3993" s="8"/>
      <c r="B3993" s="8"/>
      <c r="C3993" s="8"/>
      <c r="D3993" s="8"/>
      <c r="E3993" s="8"/>
      <c r="F3993" s="8"/>
      <c r="G3993" s="10" t="str">
        <f aca="false">IF($A3993="","",UPPER(SUBSTITUTE(SUBSTITUTE(SUBSTITUTE(SUBSTITUTE($A3993," ",""),"(주)",""),"주식회사",""),"㈜","")))</f>
        <v/>
      </c>
      <c r="H3993" s="10" t="str">
        <f aca="false">IF($B3993="","",SUBSTITUTE(SUBSTITUTE(SUBSTITUTE($B3993,"-","")," ",""),".",""))</f>
        <v/>
      </c>
      <c r="I3993" s="10" t="str">
        <f aca="false">IF($D3993="","",SUBSTITUTE(SUBSTITUTE(SUBSTITUTE($D3993,"-","")," ",""),".",""))</f>
        <v/>
      </c>
      <c r="J3993" s="10" t="str">
        <f aca="false">IF($E3993="","",UPPER(SUBSTITUTE($E3993," ","")))</f>
        <v/>
      </c>
      <c r="K3993" s="10" t="str">
        <f aca="false">IF($A3993="","",$G3993&amp;"|"&amp;$J3993)</f>
        <v/>
      </c>
      <c r="L3993" s="10" t="str">
        <f aca="false">IF($A3993="","",ROW()-2)</f>
        <v/>
      </c>
      <c r="M3993" s="10" t="str">
        <f aca="false">IF($A3993="","",ROW())</f>
        <v/>
      </c>
    </row>
    <row r="3994" customFormat="false" ht="15" hidden="false" customHeight="true" outlineLevel="0" collapsed="false">
      <c r="A3994" s="8"/>
      <c r="B3994" s="8"/>
      <c r="C3994" s="8"/>
      <c r="D3994" s="8"/>
      <c r="E3994" s="8"/>
      <c r="F3994" s="8"/>
      <c r="G3994" s="10" t="str">
        <f aca="false">IF($A3994="","",UPPER(SUBSTITUTE(SUBSTITUTE(SUBSTITUTE(SUBSTITUTE($A3994," ",""),"(주)",""),"주식회사",""),"㈜","")))</f>
        <v/>
      </c>
      <c r="H3994" s="10" t="str">
        <f aca="false">IF($B3994="","",SUBSTITUTE(SUBSTITUTE(SUBSTITUTE($B3994,"-","")," ",""),".",""))</f>
        <v/>
      </c>
      <c r="I3994" s="10" t="str">
        <f aca="false">IF($D3994="","",SUBSTITUTE(SUBSTITUTE(SUBSTITUTE($D3994,"-","")," ",""),".",""))</f>
        <v/>
      </c>
      <c r="J3994" s="10" t="str">
        <f aca="false">IF($E3994="","",UPPER(SUBSTITUTE($E3994," ","")))</f>
        <v/>
      </c>
      <c r="K3994" s="10" t="str">
        <f aca="false">IF($A3994="","",$G3994&amp;"|"&amp;$J3994)</f>
        <v/>
      </c>
      <c r="L3994" s="10" t="str">
        <f aca="false">IF($A3994="","",ROW()-2)</f>
        <v/>
      </c>
      <c r="M3994" s="10" t="str">
        <f aca="false">IF($A3994="","",ROW())</f>
        <v/>
      </c>
    </row>
    <row r="3995" customFormat="false" ht="15" hidden="false" customHeight="true" outlineLevel="0" collapsed="false">
      <c r="A3995" s="8"/>
      <c r="B3995" s="8"/>
      <c r="C3995" s="8"/>
      <c r="D3995" s="8"/>
      <c r="E3995" s="8"/>
      <c r="F3995" s="8"/>
      <c r="G3995" s="10" t="str">
        <f aca="false">IF($A3995="","",UPPER(SUBSTITUTE(SUBSTITUTE(SUBSTITUTE(SUBSTITUTE($A3995," ",""),"(주)",""),"주식회사",""),"㈜","")))</f>
        <v/>
      </c>
      <c r="H3995" s="10" t="str">
        <f aca="false">IF($B3995="","",SUBSTITUTE(SUBSTITUTE(SUBSTITUTE($B3995,"-","")," ",""),".",""))</f>
        <v/>
      </c>
      <c r="I3995" s="10" t="str">
        <f aca="false">IF($D3995="","",SUBSTITUTE(SUBSTITUTE(SUBSTITUTE($D3995,"-","")," ",""),".",""))</f>
        <v/>
      </c>
      <c r="J3995" s="10" t="str">
        <f aca="false">IF($E3995="","",UPPER(SUBSTITUTE($E3995," ","")))</f>
        <v/>
      </c>
      <c r="K3995" s="10" t="str">
        <f aca="false">IF($A3995="","",$G3995&amp;"|"&amp;$J3995)</f>
        <v/>
      </c>
      <c r="L3995" s="10" t="str">
        <f aca="false">IF($A3995="","",ROW()-2)</f>
        <v/>
      </c>
      <c r="M3995" s="10" t="str">
        <f aca="false">IF($A3995="","",ROW())</f>
        <v/>
      </c>
    </row>
    <row r="3996" customFormat="false" ht="15" hidden="false" customHeight="true" outlineLevel="0" collapsed="false">
      <c r="A3996" s="8"/>
      <c r="B3996" s="8"/>
      <c r="C3996" s="8"/>
      <c r="D3996" s="8"/>
      <c r="E3996" s="8"/>
      <c r="F3996" s="8"/>
      <c r="G3996" s="10" t="str">
        <f aca="false">IF($A3996="","",UPPER(SUBSTITUTE(SUBSTITUTE(SUBSTITUTE(SUBSTITUTE($A3996," ",""),"(주)",""),"주식회사",""),"㈜","")))</f>
        <v/>
      </c>
      <c r="H3996" s="10" t="str">
        <f aca="false">IF($B3996="","",SUBSTITUTE(SUBSTITUTE(SUBSTITUTE($B3996,"-","")," ",""),".",""))</f>
        <v/>
      </c>
      <c r="I3996" s="10" t="str">
        <f aca="false">IF($D3996="","",SUBSTITUTE(SUBSTITUTE(SUBSTITUTE($D3996,"-","")," ",""),".",""))</f>
        <v/>
      </c>
      <c r="J3996" s="10" t="str">
        <f aca="false">IF($E3996="","",UPPER(SUBSTITUTE($E3996," ","")))</f>
        <v/>
      </c>
      <c r="K3996" s="10" t="str">
        <f aca="false">IF($A3996="","",$G3996&amp;"|"&amp;$J3996)</f>
        <v/>
      </c>
      <c r="L3996" s="10" t="str">
        <f aca="false">IF($A3996="","",ROW()-2)</f>
        <v/>
      </c>
      <c r="M3996" s="10" t="str">
        <f aca="false">IF($A3996="","",ROW())</f>
        <v/>
      </c>
    </row>
    <row r="3997" customFormat="false" ht="15" hidden="false" customHeight="true" outlineLevel="0" collapsed="false">
      <c r="A3997" s="8"/>
      <c r="B3997" s="8"/>
      <c r="C3997" s="8"/>
      <c r="D3997" s="8"/>
      <c r="E3997" s="8"/>
      <c r="F3997" s="8"/>
      <c r="G3997" s="10" t="str">
        <f aca="false">IF($A3997="","",UPPER(SUBSTITUTE(SUBSTITUTE(SUBSTITUTE(SUBSTITUTE($A3997," ",""),"(주)",""),"주식회사",""),"㈜","")))</f>
        <v/>
      </c>
      <c r="H3997" s="10" t="str">
        <f aca="false">IF($B3997="","",SUBSTITUTE(SUBSTITUTE(SUBSTITUTE($B3997,"-","")," ",""),".",""))</f>
        <v/>
      </c>
      <c r="I3997" s="10" t="str">
        <f aca="false">IF($D3997="","",SUBSTITUTE(SUBSTITUTE(SUBSTITUTE($D3997,"-","")," ",""),".",""))</f>
        <v/>
      </c>
      <c r="J3997" s="10" t="str">
        <f aca="false">IF($E3997="","",UPPER(SUBSTITUTE($E3997," ","")))</f>
        <v/>
      </c>
      <c r="K3997" s="10" t="str">
        <f aca="false">IF($A3997="","",$G3997&amp;"|"&amp;$J3997)</f>
        <v/>
      </c>
      <c r="L3997" s="10" t="str">
        <f aca="false">IF($A3997="","",ROW()-2)</f>
        <v/>
      </c>
      <c r="M3997" s="10" t="str">
        <f aca="false">IF($A3997="","",ROW())</f>
        <v/>
      </c>
    </row>
    <row r="3998" customFormat="false" ht="15" hidden="false" customHeight="true" outlineLevel="0" collapsed="false">
      <c r="A3998" s="8"/>
      <c r="B3998" s="8"/>
      <c r="C3998" s="8"/>
      <c r="D3998" s="8"/>
      <c r="E3998" s="8"/>
      <c r="F3998" s="8"/>
      <c r="G3998" s="10" t="str">
        <f aca="false">IF($A3998="","",UPPER(SUBSTITUTE(SUBSTITUTE(SUBSTITUTE(SUBSTITUTE($A3998," ",""),"(주)",""),"주식회사",""),"㈜","")))</f>
        <v/>
      </c>
      <c r="H3998" s="10" t="str">
        <f aca="false">IF($B3998="","",SUBSTITUTE(SUBSTITUTE(SUBSTITUTE($B3998,"-","")," ",""),".",""))</f>
        <v/>
      </c>
      <c r="I3998" s="10" t="str">
        <f aca="false">IF($D3998="","",SUBSTITUTE(SUBSTITUTE(SUBSTITUTE($D3998,"-","")," ",""),".",""))</f>
        <v/>
      </c>
      <c r="J3998" s="10" t="str">
        <f aca="false">IF($E3998="","",UPPER(SUBSTITUTE($E3998," ","")))</f>
        <v/>
      </c>
      <c r="K3998" s="10" t="str">
        <f aca="false">IF($A3998="","",$G3998&amp;"|"&amp;$J3998)</f>
        <v/>
      </c>
      <c r="L3998" s="10" t="str">
        <f aca="false">IF($A3998="","",ROW()-2)</f>
        <v/>
      </c>
      <c r="M3998" s="10" t="str">
        <f aca="false">IF($A3998="","",ROW())</f>
        <v/>
      </c>
    </row>
    <row r="3999" customFormat="false" ht="15" hidden="false" customHeight="true" outlineLevel="0" collapsed="false">
      <c r="A3999" s="8"/>
      <c r="B3999" s="8"/>
      <c r="C3999" s="8"/>
      <c r="D3999" s="8"/>
      <c r="E3999" s="8"/>
      <c r="F3999" s="8"/>
      <c r="G3999" s="10" t="str">
        <f aca="false">IF($A3999="","",UPPER(SUBSTITUTE(SUBSTITUTE(SUBSTITUTE(SUBSTITUTE($A3999," ",""),"(주)",""),"주식회사",""),"㈜","")))</f>
        <v/>
      </c>
      <c r="H3999" s="10" t="str">
        <f aca="false">IF($B3999="","",SUBSTITUTE(SUBSTITUTE(SUBSTITUTE($B3999,"-","")," ",""),".",""))</f>
        <v/>
      </c>
      <c r="I3999" s="10" t="str">
        <f aca="false">IF($D3999="","",SUBSTITUTE(SUBSTITUTE(SUBSTITUTE($D3999,"-","")," ",""),".",""))</f>
        <v/>
      </c>
      <c r="J3999" s="10" t="str">
        <f aca="false">IF($E3999="","",UPPER(SUBSTITUTE($E3999," ","")))</f>
        <v/>
      </c>
      <c r="K3999" s="10" t="str">
        <f aca="false">IF($A3999="","",$G3999&amp;"|"&amp;$J3999)</f>
        <v/>
      </c>
      <c r="L3999" s="10" t="str">
        <f aca="false">IF($A3999="","",ROW()-2)</f>
        <v/>
      </c>
      <c r="M3999" s="10" t="str">
        <f aca="false">IF($A3999="","",ROW())</f>
        <v/>
      </c>
    </row>
    <row r="4000" customFormat="false" ht="15" hidden="false" customHeight="true" outlineLevel="0" collapsed="false">
      <c r="A4000" s="8"/>
      <c r="B4000" s="8"/>
      <c r="C4000" s="8"/>
      <c r="D4000" s="8"/>
      <c r="E4000" s="8"/>
      <c r="F4000" s="8"/>
      <c r="G4000" s="10" t="str">
        <f aca="false">IF($A4000="","",UPPER(SUBSTITUTE(SUBSTITUTE(SUBSTITUTE(SUBSTITUTE($A4000," ",""),"(주)",""),"주식회사",""),"㈜","")))</f>
        <v/>
      </c>
      <c r="H4000" s="10" t="str">
        <f aca="false">IF($B4000="","",SUBSTITUTE(SUBSTITUTE(SUBSTITUTE($B4000,"-","")," ",""),".",""))</f>
        <v/>
      </c>
      <c r="I4000" s="10" t="str">
        <f aca="false">IF($D4000="","",SUBSTITUTE(SUBSTITUTE(SUBSTITUTE($D4000,"-","")," ",""),".",""))</f>
        <v/>
      </c>
      <c r="J4000" s="10" t="str">
        <f aca="false">IF($E4000="","",UPPER(SUBSTITUTE($E4000," ","")))</f>
        <v/>
      </c>
      <c r="K4000" s="10" t="str">
        <f aca="false">IF($A4000="","",$G4000&amp;"|"&amp;$J4000)</f>
        <v/>
      </c>
      <c r="L4000" s="10" t="str">
        <f aca="false">IF($A4000="","",ROW()-2)</f>
        <v/>
      </c>
      <c r="M4000" s="10" t="str">
        <f aca="false">IF($A4000="","",ROW())</f>
        <v/>
      </c>
    </row>
    <row r="4001" customFormat="false" ht="15" hidden="false" customHeight="true" outlineLevel="0" collapsed="false">
      <c r="A4001" s="8"/>
      <c r="B4001" s="8"/>
      <c r="C4001" s="8"/>
      <c r="D4001" s="8"/>
      <c r="E4001" s="8"/>
      <c r="F4001" s="8"/>
      <c r="G4001" s="10" t="str">
        <f aca="false">IF($A4001="","",UPPER(SUBSTITUTE(SUBSTITUTE(SUBSTITUTE(SUBSTITUTE($A4001," ",""),"(주)",""),"주식회사",""),"㈜","")))</f>
        <v/>
      </c>
      <c r="H4001" s="10" t="str">
        <f aca="false">IF($B4001="","",SUBSTITUTE(SUBSTITUTE(SUBSTITUTE($B4001,"-","")," ",""),".",""))</f>
        <v/>
      </c>
      <c r="I4001" s="10" t="str">
        <f aca="false">IF($D4001="","",SUBSTITUTE(SUBSTITUTE(SUBSTITUTE($D4001,"-","")," ",""),".",""))</f>
        <v/>
      </c>
      <c r="J4001" s="10" t="str">
        <f aca="false">IF($E4001="","",UPPER(SUBSTITUTE($E4001," ","")))</f>
        <v/>
      </c>
      <c r="K4001" s="10" t="str">
        <f aca="false">IF($A4001="","",$G4001&amp;"|"&amp;$J4001)</f>
        <v/>
      </c>
      <c r="L4001" s="10" t="str">
        <f aca="false">IF($A4001="","",ROW()-2)</f>
        <v/>
      </c>
      <c r="M4001" s="10" t="str">
        <f aca="false">IF($A4001="","",ROW())</f>
        <v/>
      </c>
    </row>
    <row r="4002" customFormat="false" ht="15" hidden="false" customHeight="true" outlineLevel="0" collapsed="false">
      <c r="A4002" s="8"/>
      <c r="B4002" s="8"/>
      <c r="C4002" s="8"/>
      <c r="D4002" s="8"/>
      <c r="E4002" s="8"/>
      <c r="F4002" s="8"/>
      <c r="G4002" s="10" t="str">
        <f aca="false">IF($A4002="","",UPPER(SUBSTITUTE(SUBSTITUTE(SUBSTITUTE(SUBSTITUTE($A4002," ",""),"(주)",""),"주식회사",""),"㈜","")))</f>
        <v/>
      </c>
      <c r="H4002" s="10" t="str">
        <f aca="false">IF($B4002="","",SUBSTITUTE(SUBSTITUTE(SUBSTITUTE($B4002,"-","")," ",""),".",""))</f>
        <v/>
      </c>
      <c r="I4002" s="10" t="str">
        <f aca="false">IF($D4002="","",SUBSTITUTE(SUBSTITUTE(SUBSTITUTE($D4002,"-","")," ",""),".",""))</f>
        <v/>
      </c>
      <c r="J4002" s="10" t="str">
        <f aca="false">IF($E4002="","",UPPER(SUBSTITUTE($E4002," ","")))</f>
        <v/>
      </c>
      <c r="K4002" s="10" t="str">
        <f aca="false">IF($A4002="","",$G4002&amp;"|"&amp;$J4002)</f>
        <v/>
      </c>
      <c r="L4002" s="10" t="str">
        <f aca="false">IF($A4002="","",ROW()-2)</f>
        <v/>
      </c>
      <c r="M4002" s="10" t="str">
        <f aca="false">IF($A4002="","",ROW())</f>
        <v/>
      </c>
    </row>
    <row r="4003" customFormat="false" ht="15" hidden="false" customHeight="true" outlineLevel="0" collapsed="false">
      <c r="A4003" s="8"/>
      <c r="B4003" s="8"/>
      <c r="C4003" s="8"/>
      <c r="D4003" s="8"/>
      <c r="E4003" s="8"/>
      <c r="F4003" s="8"/>
      <c r="G4003" s="10" t="str">
        <f aca="false">IF($A4003="","",UPPER(SUBSTITUTE(SUBSTITUTE(SUBSTITUTE(SUBSTITUTE($A4003," ",""),"(주)",""),"주식회사",""),"㈜","")))</f>
        <v/>
      </c>
      <c r="H4003" s="10" t="str">
        <f aca="false">IF($B4003="","",SUBSTITUTE(SUBSTITUTE(SUBSTITUTE($B4003,"-","")," ",""),".",""))</f>
        <v/>
      </c>
      <c r="I4003" s="10" t="str">
        <f aca="false">IF($D4003="","",SUBSTITUTE(SUBSTITUTE(SUBSTITUTE($D4003,"-","")," ",""),".",""))</f>
        <v/>
      </c>
      <c r="J4003" s="10" t="str">
        <f aca="false">IF($E4003="","",UPPER(SUBSTITUTE($E4003," ","")))</f>
        <v/>
      </c>
      <c r="K4003" s="10" t="str">
        <f aca="false">IF($A4003="","",$G4003&amp;"|"&amp;$J4003)</f>
        <v/>
      </c>
      <c r="L4003" s="10" t="str">
        <f aca="false">IF($A4003="","",ROW()-2)</f>
        <v/>
      </c>
      <c r="M4003" s="10" t="str">
        <f aca="false">IF($A4003="","",ROW())</f>
        <v/>
      </c>
    </row>
    <row r="4004" customFormat="false" ht="15" hidden="false" customHeight="true" outlineLevel="0" collapsed="false">
      <c r="A4004" s="8"/>
      <c r="B4004" s="8"/>
      <c r="C4004" s="8"/>
      <c r="D4004" s="8"/>
      <c r="E4004" s="8"/>
      <c r="F4004" s="8"/>
      <c r="G4004" s="10" t="str">
        <f aca="false">IF($A4004="","",UPPER(SUBSTITUTE(SUBSTITUTE(SUBSTITUTE(SUBSTITUTE($A4004," ",""),"(주)",""),"주식회사",""),"㈜","")))</f>
        <v/>
      </c>
      <c r="H4004" s="10" t="str">
        <f aca="false">IF($B4004="","",SUBSTITUTE(SUBSTITUTE(SUBSTITUTE($B4004,"-","")," ",""),".",""))</f>
        <v/>
      </c>
      <c r="I4004" s="10" t="str">
        <f aca="false">IF($D4004="","",SUBSTITUTE(SUBSTITUTE(SUBSTITUTE($D4004,"-","")," ",""),".",""))</f>
        <v/>
      </c>
      <c r="J4004" s="10" t="str">
        <f aca="false">IF($E4004="","",UPPER(SUBSTITUTE($E4004," ","")))</f>
        <v/>
      </c>
      <c r="K4004" s="10" t="str">
        <f aca="false">IF($A4004="","",$G4004&amp;"|"&amp;$J4004)</f>
        <v/>
      </c>
      <c r="L4004" s="10" t="str">
        <f aca="false">IF($A4004="","",ROW()-2)</f>
        <v/>
      </c>
      <c r="M4004" s="10" t="str">
        <f aca="false">IF($A4004="","",ROW())</f>
        <v/>
      </c>
    </row>
    <row r="4005" customFormat="false" ht="15" hidden="false" customHeight="true" outlineLevel="0" collapsed="false">
      <c r="A4005" s="8"/>
      <c r="B4005" s="8"/>
      <c r="C4005" s="8"/>
      <c r="D4005" s="8"/>
      <c r="E4005" s="8"/>
      <c r="F4005" s="8"/>
      <c r="G4005" s="10" t="str">
        <f aca="false">IF($A4005="","",UPPER(SUBSTITUTE(SUBSTITUTE(SUBSTITUTE(SUBSTITUTE($A4005," ",""),"(주)",""),"주식회사",""),"㈜","")))</f>
        <v/>
      </c>
      <c r="H4005" s="10" t="str">
        <f aca="false">IF($B4005="","",SUBSTITUTE(SUBSTITUTE(SUBSTITUTE($B4005,"-","")," ",""),".",""))</f>
        <v/>
      </c>
      <c r="I4005" s="10" t="str">
        <f aca="false">IF($D4005="","",SUBSTITUTE(SUBSTITUTE(SUBSTITUTE($D4005,"-","")," ",""),".",""))</f>
        <v/>
      </c>
      <c r="J4005" s="10" t="str">
        <f aca="false">IF($E4005="","",UPPER(SUBSTITUTE($E4005," ","")))</f>
        <v/>
      </c>
      <c r="K4005" s="10" t="str">
        <f aca="false">IF($A4005="","",$G4005&amp;"|"&amp;$J4005)</f>
        <v/>
      </c>
      <c r="L4005" s="10" t="str">
        <f aca="false">IF($A4005="","",ROW()-2)</f>
        <v/>
      </c>
      <c r="M4005" s="10" t="str">
        <f aca="false">IF($A4005="","",ROW())</f>
        <v/>
      </c>
    </row>
    <row r="4006" customFormat="false" ht="15" hidden="false" customHeight="true" outlineLevel="0" collapsed="false">
      <c r="A4006" s="8"/>
      <c r="B4006" s="8"/>
      <c r="C4006" s="8"/>
      <c r="D4006" s="8"/>
      <c r="E4006" s="8"/>
      <c r="F4006" s="8"/>
      <c r="G4006" s="10" t="str">
        <f aca="false">IF($A4006="","",UPPER(SUBSTITUTE(SUBSTITUTE(SUBSTITUTE(SUBSTITUTE($A4006," ",""),"(주)",""),"주식회사",""),"㈜","")))</f>
        <v/>
      </c>
      <c r="H4006" s="10" t="str">
        <f aca="false">IF($B4006="","",SUBSTITUTE(SUBSTITUTE(SUBSTITUTE($B4006,"-","")," ",""),".",""))</f>
        <v/>
      </c>
      <c r="I4006" s="10" t="str">
        <f aca="false">IF($D4006="","",SUBSTITUTE(SUBSTITUTE(SUBSTITUTE($D4006,"-","")," ",""),".",""))</f>
        <v/>
      </c>
      <c r="J4006" s="10" t="str">
        <f aca="false">IF($E4006="","",UPPER(SUBSTITUTE($E4006," ","")))</f>
        <v/>
      </c>
      <c r="K4006" s="10" t="str">
        <f aca="false">IF($A4006="","",$G4006&amp;"|"&amp;$J4006)</f>
        <v/>
      </c>
      <c r="L4006" s="10" t="str">
        <f aca="false">IF($A4006="","",ROW()-2)</f>
        <v/>
      </c>
      <c r="M4006" s="10" t="str">
        <f aca="false">IF($A4006="","",ROW())</f>
        <v/>
      </c>
    </row>
    <row r="4007" customFormat="false" ht="15" hidden="false" customHeight="true" outlineLevel="0" collapsed="false">
      <c r="A4007" s="8"/>
      <c r="B4007" s="8"/>
      <c r="C4007" s="8"/>
      <c r="D4007" s="8"/>
      <c r="E4007" s="8"/>
      <c r="F4007" s="8"/>
      <c r="G4007" s="10" t="str">
        <f aca="false">IF($A4007="","",UPPER(SUBSTITUTE(SUBSTITUTE(SUBSTITUTE(SUBSTITUTE($A4007," ",""),"(주)",""),"주식회사",""),"㈜","")))</f>
        <v/>
      </c>
      <c r="H4007" s="10" t="str">
        <f aca="false">IF($B4007="","",SUBSTITUTE(SUBSTITUTE(SUBSTITUTE($B4007,"-","")," ",""),".",""))</f>
        <v/>
      </c>
      <c r="I4007" s="10" t="str">
        <f aca="false">IF($D4007="","",SUBSTITUTE(SUBSTITUTE(SUBSTITUTE($D4007,"-","")," ",""),".",""))</f>
        <v/>
      </c>
      <c r="J4007" s="10" t="str">
        <f aca="false">IF($E4007="","",UPPER(SUBSTITUTE($E4007," ","")))</f>
        <v/>
      </c>
      <c r="K4007" s="10" t="str">
        <f aca="false">IF($A4007="","",$G4007&amp;"|"&amp;$J4007)</f>
        <v/>
      </c>
      <c r="L4007" s="10" t="str">
        <f aca="false">IF($A4007="","",ROW()-2)</f>
        <v/>
      </c>
      <c r="M4007" s="10" t="str">
        <f aca="false">IF($A4007="","",ROW())</f>
        <v/>
      </c>
    </row>
    <row r="4008" customFormat="false" ht="15" hidden="false" customHeight="true" outlineLevel="0" collapsed="false">
      <c r="A4008" s="8"/>
      <c r="B4008" s="8"/>
      <c r="C4008" s="8"/>
      <c r="D4008" s="8"/>
      <c r="E4008" s="8"/>
      <c r="F4008" s="8"/>
      <c r="G4008" s="10" t="str">
        <f aca="false">IF($A4008="","",UPPER(SUBSTITUTE(SUBSTITUTE(SUBSTITUTE(SUBSTITUTE($A4008," ",""),"(주)",""),"주식회사",""),"㈜","")))</f>
        <v/>
      </c>
      <c r="H4008" s="10" t="str">
        <f aca="false">IF($B4008="","",SUBSTITUTE(SUBSTITUTE(SUBSTITUTE($B4008,"-","")," ",""),".",""))</f>
        <v/>
      </c>
      <c r="I4008" s="10" t="str">
        <f aca="false">IF($D4008="","",SUBSTITUTE(SUBSTITUTE(SUBSTITUTE($D4008,"-","")," ",""),".",""))</f>
        <v/>
      </c>
      <c r="J4008" s="10" t="str">
        <f aca="false">IF($E4008="","",UPPER(SUBSTITUTE($E4008," ","")))</f>
        <v/>
      </c>
      <c r="K4008" s="10" t="str">
        <f aca="false">IF($A4008="","",$G4008&amp;"|"&amp;$J4008)</f>
        <v/>
      </c>
      <c r="L4008" s="10" t="str">
        <f aca="false">IF($A4008="","",ROW()-2)</f>
        <v/>
      </c>
      <c r="M4008" s="10" t="str">
        <f aca="false">IF($A4008="","",ROW())</f>
        <v/>
      </c>
    </row>
    <row r="4009" customFormat="false" ht="15" hidden="false" customHeight="true" outlineLevel="0" collapsed="false">
      <c r="A4009" s="8"/>
      <c r="B4009" s="8"/>
      <c r="C4009" s="8"/>
      <c r="D4009" s="8"/>
      <c r="E4009" s="8"/>
      <c r="F4009" s="8"/>
      <c r="G4009" s="10" t="str">
        <f aca="false">IF($A4009="","",UPPER(SUBSTITUTE(SUBSTITUTE(SUBSTITUTE(SUBSTITUTE($A4009," ",""),"(주)",""),"주식회사",""),"㈜","")))</f>
        <v/>
      </c>
      <c r="H4009" s="10" t="str">
        <f aca="false">IF($B4009="","",SUBSTITUTE(SUBSTITUTE(SUBSTITUTE($B4009,"-","")," ",""),".",""))</f>
        <v/>
      </c>
      <c r="I4009" s="10" t="str">
        <f aca="false">IF($D4009="","",SUBSTITUTE(SUBSTITUTE(SUBSTITUTE($D4009,"-","")," ",""),".",""))</f>
        <v/>
      </c>
      <c r="J4009" s="10" t="str">
        <f aca="false">IF($E4009="","",UPPER(SUBSTITUTE($E4009," ","")))</f>
        <v/>
      </c>
      <c r="K4009" s="10" t="str">
        <f aca="false">IF($A4009="","",$G4009&amp;"|"&amp;$J4009)</f>
        <v/>
      </c>
      <c r="L4009" s="10" t="str">
        <f aca="false">IF($A4009="","",ROW()-2)</f>
        <v/>
      </c>
      <c r="M4009" s="10" t="str">
        <f aca="false">IF($A4009="","",ROW())</f>
        <v/>
      </c>
    </row>
    <row r="4010" customFormat="false" ht="15" hidden="false" customHeight="true" outlineLevel="0" collapsed="false">
      <c r="A4010" s="8"/>
      <c r="B4010" s="8"/>
      <c r="C4010" s="8"/>
      <c r="D4010" s="8"/>
      <c r="E4010" s="8"/>
      <c r="F4010" s="8"/>
      <c r="G4010" s="10" t="str">
        <f aca="false">IF($A4010="","",UPPER(SUBSTITUTE(SUBSTITUTE(SUBSTITUTE(SUBSTITUTE($A4010," ",""),"(주)",""),"주식회사",""),"㈜","")))</f>
        <v/>
      </c>
      <c r="H4010" s="10" t="str">
        <f aca="false">IF($B4010="","",SUBSTITUTE(SUBSTITUTE(SUBSTITUTE($B4010,"-","")," ",""),".",""))</f>
        <v/>
      </c>
      <c r="I4010" s="10" t="str">
        <f aca="false">IF($D4010="","",SUBSTITUTE(SUBSTITUTE(SUBSTITUTE($D4010,"-","")," ",""),".",""))</f>
        <v/>
      </c>
      <c r="J4010" s="10" t="str">
        <f aca="false">IF($E4010="","",UPPER(SUBSTITUTE($E4010," ","")))</f>
        <v/>
      </c>
      <c r="K4010" s="10" t="str">
        <f aca="false">IF($A4010="","",$G4010&amp;"|"&amp;$J4010)</f>
        <v/>
      </c>
      <c r="L4010" s="10" t="str">
        <f aca="false">IF($A4010="","",ROW()-2)</f>
        <v/>
      </c>
      <c r="M4010" s="10" t="str">
        <f aca="false">IF($A4010="","",ROW())</f>
        <v/>
      </c>
    </row>
    <row r="4011" customFormat="false" ht="15" hidden="false" customHeight="true" outlineLevel="0" collapsed="false">
      <c r="A4011" s="8"/>
      <c r="B4011" s="8"/>
      <c r="C4011" s="8"/>
      <c r="D4011" s="8"/>
      <c r="E4011" s="8"/>
      <c r="F4011" s="8"/>
      <c r="G4011" s="10" t="str">
        <f aca="false">IF($A4011="","",UPPER(SUBSTITUTE(SUBSTITUTE(SUBSTITUTE(SUBSTITUTE($A4011," ",""),"(주)",""),"주식회사",""),"㈜","")))</f>
        <v/>
      </c>
      <c r="H4011" s="10" t="str">
        <f aca="false">IF($B4011="","",SUBSTITUTE(SUBSTITUTE(SUBSTITUTE($B4011,"-","")," ",""),".",""))</f>
        <v/>
      </c>
      <c r="I4011" s="10" t="str">
        <f aca="false">IF($D4011="","",SUBSTITUTE(SUBSTITUTE(SUBSTITUTE($D4011,"-","")," ",""),".",""))</f>
        <v/>
      </c>
      <c r="J4011" s="10" t="str">
        <f aca="false">IF($E4011="","",UPPER(SUBSTITUTE($E4011," ","")))</f>
        <v/>
      </c>
      <c r="K4011" s="10" t="str">
        <f aca="false">IF($A4011="","",$G4011&amp;"|"&amp;$J4011)</f>
        <v/>
      </c>
      <c r="L4011" s="10" t="str">
        <f aca="false">IF($A4011="","",ROW()-2)</f>
        <v/>
      </c>
      <c r="M4011" s="10" t="str">
        <f aca="false">IF($A4011="","",ROW())</f>
        <v/>
      </c>
    </row>
    <row r="4012" customFormat="false" ht="15" hidden="false" customHeight="true" outlineLevel="0" collapsed="false">
      <c r="A4012" s="8"/>
      <c r="B4012" s="8"/>
      <c r="C4012" s="8"/>
      <c r="D4012" s="8"/>
      <c r="E4012" s="8"/>
      <c r="F4012" s="8"/>
      <c r="G4012" s="10" t="str">
        <f aca="false">IF($A4012="","",UPPER(SUBSTITUTE(SUBSTITUTE(SUBSTITUTE(SUBSTITUTE($A4012," ",""),"(주)",""),"주식회사",""),"㈜","")))</f>
        <v/>
      </c>
      <c r="H4012" s="10" t="str">
        <f aca="false">IF($B4012="","",SUBSTITUTE(SUBSTITUTE(SUBSTITUTE($B4012,"-","")," ",""),".",""))</f>
        <v/>
      </c>
      <c r="I4012" s="10" t="str">
        <f aca="false">IF($D4012="","",SUBSTITUTE(SUBSTITUTE(SUBSTITUTE($D4012,"-","")," ",""),".",""))</f>
        <v/>
      </c>
      <c r="J4012" s="10" t="str">
        <f aca="false">IF($E4012="","",UPPER(SUBSTITUTE($E4012," ","")))</f>
        <v/>
      </c>
      <c r="K4012" s="10" t="str">
        <f aca="false">IF($A4012="","",$G4012&amp;"|"&amp;$J4012)</f>
        <v/>
      </c>
      <c r="L4012" s="10" t="str">
        <f aca="false">IF($A4012="","",ROW()-2)</f>
        <v/>
      </c>
      <c r="M4012" s="10" t="str">
        <f aca="false">IF($A4012="","",ROW())</f>
        <v/>
      </c>
    </row>
    <row r="4013" customFormat="false" ht="15" hidden="false" customHeight="true" outlineLevel="0" collapsed="false">
      <c r="A4013" s="8"/>
      <c r="B4013" s="8"/>
      <c r="C4013" s="8"/>
      <c r="D4013" s="8"/>
      <c r="E4013" s="8"/>
      <c r="F4013" s="8"/>
      <c r="G4013" s="10" t="str">
        <f aca="false">IF($A4013="","",UPPER(SUBSTITUTE(SUBSTITUTE(SUBSTITUTE(SUBSTITUTE($A4013," ",""),"(주)",""),"주식회사",""),"㈜","")))</f>
        <v/>
      </c>
      <c r="H4013" s="10" t="str">
        <f aca="false">IF($B4013="","",SUBSTITUTE(SUBSTITUTE(SUBSTITUTE($B4013,"-","")," ",""),".",""))</f>
        <v/>
      </c>
      <c r="I4013" s="10" t="str">
        <f aca="false">IF($D4013="","",SUBSTITUTE(SUBSTITUTE(SUBSTITUTE($D4013,"-","")," ",""),".",""))</f>
        <v/>
      </c>
      <c r="J4013" s="10" t="str">
        <f aca="false">IF($E4013="","",UPPER(SUBSTITUTE($E4013," ","")))</f>
        <v/>
      </c>
      <c r="K4013" s="10" t="str">
        <f aca="false">IF($A4013="","",$G4013&amp;"|"&amp;$J4013)</f>
        <v/>
      </c>
      <c r="L4013" s="10" t="str">
        <f aca="false">IF($A4013="","",ROW()-2)</f>
        <v/>
      </c>
      <c r="M4013" s="10" t="str">
        <f aca="false">IF($A4013="","",ROW())</f>
        <v/>
      </c>
    </row>
    <row r="4014" customFormat="false" ht="15" hidden="false" customHeight="true" outlineLevel="0" collapsed="false">
      <c r="A4014" s="8"/>
      <c r="B4014" s="8"/>
      <c r="C4014" s="8"/>
      <c r="D4014" s="8"/>
      <c r="E4014" s="8"/>
      <c r="F4014" s="8"/>
      <c r="G4014" s="10" t="str">
        <f aca="false">IF($A4014="","",UPPER(SUBSTITUTE(SUBSTITUTE(SUBSTITUTE(SUBSTITUTE($A4014," ",""),"(주)",""),"주식회사",""),"㈜","")))</f>
        <v/>
      </c>
      <c r="H4014" s="10" t="str">
        <f aca="false">IF($B4014="","",SUBSTITUTE(SUBSTITUTE(SUBSTITUTE($B4014,"-","")," ",""),".",""))</f>
        <v/>
      </c>
      <c r="I4014" s="10" t="str">
        <f aca="false">IF($D4014="","",SUBSTITUTE(SUBSTITUTE(SUBSTITUTE($D4014,"-","")," ",""),".",""))</f>
        <v/>
      </c>
      <c r="J4014" s="10" t="str">
        <f aca="false">IF($E4014="","",UPPER(SUBSTITUTE($E4014," ","")))</f>
        <v/>
      </c>
      <c r="K4014" s="10" t="str">
        <f aca="false">IF($A4014="","",$G4014&amp;"|"&amp;$J4014)</f>
        <v/>
      </c>
      <c r="L4014" s="10" t="str">
        <f aca="false">IF($A4014="","",ROW()-2)</f>
        <v/>
      </c>
      <c r="M4014" s="10" t="str">
        <f aca="false">IF($A4014="","",ROW())</f>
        <v/>
      </c>
    </row>
    <row r="4015" customFormat="false" ht="15" hidden="false" customHeight="true" outlineLevel="0" collapsed="false">
      <c r="A4015" s="8"/>
      <c r="B4015" s="8"/>
      <c r="C4015" s="8"/>
      <c r="D4015" s="8"/>
      <c r="E4015" s="8"/>
      <c r="F4015" s="8"/>
      <c r="G4015" s="10" t="str">
        <f aca="false">IF($A4015="","",UPPER(SUBSTITUTE(SUBSTITUTE(SUBSTITUTE(SUBSTITUTE($A4015," ",""),"(주)",""),"주식회사",""),"㈜","")))</f>
        <v/>
      </c>
      <c r="H4015" s="10" t="str">
        <f aca="false">IF($B4015="","",SUBSTITUTE(SUBSTITUTE(SUBSTITUTE($B4015,"-","")," ",""),".",""))</f>
        <v/>
      </c>
      <c r="I4015" s="10" t="str">
        <f aca="false">IF($D4015="","",SUBSTITUTE(SUBSTITUTE(SUBSTITUTE($D4015,"-","")," ",""),".",""))</f>
        <v/>
      </c>
      <c r="J4015" s="10" t="str">
        <f aca="false">IF($E4015="","",UPPER(SUBSTITUTE($E4015," ","")))</f>
        <v/>
      </c>
      <c r="K4015" s="10" t="str">
        <f aca="false">IF($A4015="","",$G4015&amp;"|"&amp;$J4015)</f>
        <v/>
      </c>
      <c r="L4015" s="10" t="str">
        <f aca="false">IF($A4015="","",ROW()-2)</f>
        <v/>
      </c>
      <c r="M4015" s="10" t="str">
        <f aca="false">IF($A4015="","",ROW())</f>
        <v/>
      </c>
    </row>
    <row r="4016" customFormat="false" ht="15" hidden="false" customHeight="true" outlineLevel="0" collapsed="false">
      <c r="A4016" s="8"/>
      <c r="B4016" s="8"/>
      <c r="C4016" s="8"/>
      <c r="D4016" s="8"/>
      <c r="E4016" s="8"/>
      <c r="F4016" s="8"/>
      <c r="G4016" s="10" t="str">
        <f aca="false">IF($A4016="","",UPPER(SUBSTITUTE(SUBSTITUTE(SUBSTITUTE(SUBSTITUTE($A4016," ",""),"(주)",""),"주식회사",""),"㈜","")))</f>
        <v/>
      </c>
      <c r="H4016" s="10" t="str">
        <f aca="false">IF($B4016="","",SUBSTITUTE(SUBSTITUTE(SUBSTITUTE($B4016,"-","")," ",""),".",""))</f>
        <v/>
      </c>
      <c r="I4016" s="10" t="str">
        <f aca="false">IF($D4016="","",SUBSTITUTE(SUBSTITUTE(SUBSTITUTE($D4016,"-","")," ",""),".",""))</f>
        <v/>
      </c>
      <c r="J4016" s="10" t="str">
        <f aca="false">IF($E4016="","",UPPER(SUBSTITUTE($E4016," ","")))</f>
        <v/>
      </c>
      <c r="K4016" s="10" t="str">
        <f aca="false">IF($A4016="","",$G4016&amp;"|"&amp;$J4016)</f>
        <v/>
      </c>
      <c r="L4016" s="10" t="str">
        <f aca="false">IF($A4016="","",ROW()-2)</f>
        <v/>
      </c>
      <c r="M4016" s="10" t="str">
        <f aca="false">IF($A4016="","",ROW())</f>
        <v/>
      </c>
    </row>
    <row r="4017" customFormat="false" ht="15" hidden="false" customHeight="true" outlineLevel="0" collapsed="false">
      <c r="A4017" s="8"/>
      <c r="B4017" s="8"/>
      <c r="C4017" s="8"/>
      <c r="D4017" s="8"/>
      <c r="E4017" s="8"/>
      <c r="F4017" s="8"/>
      <c r="G4017" s="10" t="str">
        <f aca="false">IF($A4017="","",UPPER(SUBSTITUTE(SUBSTITUTE(SUBSTITUTE(SUBSTITUTE($A4017," ",""),"(주)",""),"주식회사",""),"㈜","")))</f>
        <v/>
      </c>
      <c r="H4017" s="10" t="str">
        <f aca="false">IF($B4017="","",SUBSTITUTE(SUBSTITUTE(SUBSTITUTE($B4017,"-","")," ",""),".",""))</f>
        <v/>
      </c>
      <c r="I4017" s="10" t="str">
        <f aca="false">IF($D4017="","",SUBSTITUTE(SUBSTITUTE(SUBSTITUTE($D4017,"-","")," ",""),".",""))</f>
        <v/>
      </c>
      <c r="J4017" s="10" t="str">
        <f aca="false">IF($E4017="","",UPPER(SUBSTITUTE($E4017," ","")))</f>
        <v/>
      </c>
      <c r="K4017" s="10" t="str">
        <f aca="false">IF($A4017="","",$G4017&amp;"|"&amp;$J4017)</f>
        <v/>
      </c>
      <c r="L4017" s="10" t="str">
        <f aca="false">IF($A4017="","",ROW()-2)</f>
        <v/>
      </c>
      <c r="M4017" s="10" t="str">
        <f aca="false">IF($A4017="","",ROW())</f>
        <v/>
      </c>
    </row>
    <row r="4018" customFormat="false" ht="15" hidden="false" customHeight="true" outlineLevel="0" collapsed="false">
      <c r="A4018" s="8"/>
      <c r="B4018" s="8"/>
      <c r="C4018" s="8"/>
      <c r="D4018" s="8"/>
      <c r="E4018" s="8"/>
      <c r="F4018" s="8"/>
      <c r="G4018" s="10" t="str">
        <f aca="false">IF($A4018="","",UPPER(SUBSTITUTE(SUBSTITUTE(SUBSTITUTE(SUBSTITUTE($A4018," ",""),"(주)",""),"주식회사",""),"㈜","")))</f>
        <v/>
      </c>
      <c r="H4018" s="10" t="str">
        <f aca="false">IF($B4018="","",SUBSTITUTE(SUBSTITUTE(SUBSTITUTE($B4018,"-","")," ",""),".",""))</f>
        <v/>
      </c>
      <c r="I4018" s="10" t="str">
        <f aca="false">IF($D4018="","",SUBSTITUTE(SUBSTITUTE(SUBSTITUTE($D4018,"-","")," ",""),".",""))</f>
        <v/>
      </c>
      <c r="J4018" s="10" t="str">
        <f aca="false">IF($E4018="","",UPPER(SUBSTITUTE($E4018," ","")))</f>
        <v/>
      </c>
      <c r="K4018" s="10" t="str">
        <f aca="false">IF($A4018="","",$G4018&amp;"|"&amp;$J4018)</f>
        <v/>
      </c>
      <c r="L4018" s="10" t="str">
        <f aca="false">IF($A4018="","",ROW()-2)</f>
        <v/>
      </c>
      <c r="M4018" s="10" t="str">
        <f aca="false">IF($A4018="","",ROW())</f>
        <v/>
      </c>
    </row>
    <row r="4019" customFormat="false" ht="15" hidden="false" customHeight="true" outlineLevel="0" collapsed="false">
      <c r="A4019" s="8"/>
      <c r="B4019" s="8"/>
      <c r="C4019" s="8"/>
      <c r="D4019" s="8"/>
      <c r="E4019" s="8"/>
      <c r="F4019" s="8"/>
      <c r="G4019" s="10" t="str">
        <f aca="false">IF($A4019="","",UPPER(SUBSTITUTE(SUBSTITUTE(SUBSTITUTE(SUBSTITUTE($A4019," ",""),"(주)",""),"주식회사",""),"㈜","")))</f>
        <v/>
      </c>
      <c r="H4019" s="10" t="str">
        <f aca="false">IF($B4019="","",SUBSTITUTE(SUBSTITUTE(SUBSTITUTE($B4019,"-","")," ",""),".",""))</f>
        <v/>
      </c>
      <c r="I4019" s="10" t="str">
        <f aca="false">IF($D4019="","",SUBSTITUTE(SUBSTITUTE(SUBSTITUTE($D4019,"-","")," ",""),".",""))</f>
        <v/>
      </c>
      <c r="J4019" s="10" t="str">
        <f aca="false">IF($E4019="","",UPPER(SUBSTITUTE($E4019," ","")))</f>
        <v/>
      </c>
      <c r="K4019" s="10" t="str">
        <f aca="false">IF($A4019="","",$G4019&amp;"|"&amp;$J4019)</f>
        <v/>
      </c>
      <c r="L4019" s="10" t="str">
        <f aca="false">IF($A4019="","",ROW()-2)</f>
        <v/>
      </c>
      <c r="M4019" s="10" t="str">
        <f aca="false">IF($A4019="","",ROW())</f>
        <v/>
      </c>
    </row>
    <row r="4020" customFormat="false" ht="15" hidden="false" customHeight="true" outlineLevel="0" collapsed="false">
      <c r="A4020" s="8"/>
      <c r="B4020" s="8"/>
      <c r="C4020" s="8"/>
      <c r="D4020" s="8"/>
      <c r="E4020" s="8"/>
      <c r="F4020" s="8"/>
      <c r="G4020" s="10" t="str">
        <f aca="false">IF($A4020="","",UPPER(SUBSTITUTE(SUBSTITUTE(SUBSTITUTE(SUBSTITUTE($A4020," ",""),"(주)",""),"주식회사",""),"㈜","")))</f>
        <v/>
      </c>
      <c r="H4020" s="10" t="str">
        <f aca="false">IF($B4020="","",SUBSTITUTE(SUBSTITUTE(SUBSTITUTE($B4020,"-","")," ",""),".",""))</f>
        <v/>
      </c>
      <c r="I4020" s="10" t="str">
        <f aca="false">IF($D4020="","",SUBSTITUTE(SUBSTITUTE(SUBSTITUTE($D4020,"-","")," ",""),".",""))</f>
        <v/>
      </c>
      <c r="J4020" s="10" t="str">
        <f aca="false">IF($E4020="","",UPPER(SUBSTITUTE($E4020," ","")))</f>
        <v/>
      </c>
      <c r="K4020" s="10" t="str">
        <f aca="false">IF($A4020="","",$G4020&amp;"|"&amp;$J4020)</f>
        <v/>
      </c>
      <c r="L4020" s="10" t="str">
        <f aca="false">IF($A4020="","",ROW()-2)</f>
        <v/>
      </c>
      <c r="M4020" s="10" t="str">
        <f aca="false">IF($A4020="","",ROW())</f>
        <v/>
      </c>
    </row>
    <row r="4021" customFormat="false" ht="15" hidden="false" customHeight="true" outlineLevel="0" collapsed="false">
      <c r="A4021" s="8"/>
      <c r="B4021" s="8"/>
      <c r="C4021" s="8"/>
      <c r="D4021" s="8"/>
      <c r="E4021" s="8"/>
      <c r="F4021" s="8"/>
      <c r="G4021" s="10" t="str">
        <f aca="false">IF($A4021="","",UPPER(SUBSTITUTE(SUBSTITUTE(SUBSTITUTE(SUBSTITUTE($A4021," ",""),"(주)",""),"주식회사",""),"㈜","")))</f>
        <v/>
      </c>
      <c r="H4021" s="10" t="str">
        <f aca="false">IF($B4021="","",SUBSTITUTE(SUBSTITUTE(SUBSTITUTE($B4021,"-","")," ",""),".",""))</f>
        <v/>
      </c>
      <c r="I4021" s="10" t="str">
        <f aca="false">IF($D4021="","",SUBSTITUTE(SUBSTITUTE(SUBSTITUTE($D4021,"-","")," ",""),".",""))</f>
        <v/>
      </c>
      <c r="J4021" s="10" t="str">
        <f aca="false">IF($E4021="","",UPPER(SUBSTITUTE($E4021," ","")))</f>
        <v/>
      </c>
      <c r="K4021" s="10" t="str">
        <f aca="false">IF($A4021="","",$G4021&amp;"|"&amp;$J4021)</f>
        <v/>
      </c>
      <c r="L4021" s="10" t="str">
        <f aca="false">IF($A4021="","",ROW()-2)</f>
        <v/>
      </c>
      <c r="M4021" s="10" t="str">
        <f aca="false">IF($A4021="","",ROW())</f>
        <v/>
      </c>
    </row>
    <row r="4022" customFormat="false" ht="15" hidden="false" customHeight="true" outlineLevel="0" collapsed="false">
      <c r="A4022" s="8"/>
      <c r="B4022" s="8"/>
      <c r="C4022" s="8"/>
      <c r="D4022" s="8"/>
      <c r="E4022" s="8"/>
      <c r="F4022" s="8"/>
      <c r="G4022" s="10" t="str">
        <f aca="false">IF($A4022="","",UPPER(SUBSTITUTE(SUBSTITUTE(SUBSTITUTE(SUBSTITUTE($A4022," ",""),"(주)",""),"주식회사",""),"㈜","")))</f>
        <v/>
      </c>
      <c r="H4022" s="10" t="str">
        <f aca="false">IF($B4022="","",SUBSTITUTE(SUBSTITUTE(SUBSTITUTE($B4022,"-","")," ",""),".",""))</f>
        <v/>
      </c>
      <c r="I4022" s="10" t="str">
        <f aca="false">IF($D4022="","",SUBSTITUTE(SUBSTITUTE(SUBSTITUTE($D4022,"-","")," ",""),".",""))</f>
        <v/>
      </c>
      <c r="J4022" s="10" t="str">
        <f aca="false">IF($E4022="","",UPPER(SUBSTITUTE($E4022," ","")))</f>
        <v/>
      </c>
      <c r="K4022" s="10" t="str">
        <f aca="false">IF($A4022="","",$G4022&amp;"|"&amp;$J4022)</f>
        <v/>
      </c>
      <c r="L4022" s="10" t="str">
        <f aca="false">IF($A4022="","",ROW()-2)</f>
        <v/>
      </c>
      <c r="M4022" s="10" t="str">
        <f aca="false">IF($A4022="","",ROW())</f>
        <v/>
      </c>
    </row>
    <row r="4023" customFormat="false" ht="15" hidden="false" customHeight="true" outlineLevel="0" collapsed="false">
      <c r="A4023" s="8"/>
      <c r="B4023" s="8"/>
      <c r="C4023" s="8"/>
      <c r="D4023" s="8"/>
      <c r="E4023" s="8"/>
      <c r="F4023" s="8"/>
      <c r="G4023" s="10" t="str">
        <f aca="false">IF($A4023="","",UPPER(SUBSTITUTE(SUBSTITUTE(SUBSTITUTE(SUBSTITUTE($A4023," ",""),"(주)",""),"주식회사",""),"㈜","")))</f>
        <v/>
      </c>
      <c r="H4023" s="10" t="str">
        <f aca="false">IF($B4023="","",SUBSTITUTE(SUBSTITUTE(SUBSTITUTE($B4023,"-","")," ",""),".",""))</f>
        <v/>
      </c>
      <c r="I4023" s="10" t="str">
        <f aca="false">IF($D4023="","",SUBSTITUTE(SUBSTITUTE(SUBSTITUTE($D4023,"-","")," ",""),".",""))</f>
        <v/>
      </c>
      <c r="J4023" s="10" t="str">
        <f aca="false">IF($E4023="","",UPPER(SUBSTITUTE($E4023," ","")))</f>
        <v/>
      </c>
      <c r="K4023" s="10" t="str">
        <f aca="false">IF($A4023="","",$G4023&amp;"|"&amp;$J4023)</f>
        <v/>
      </c>
      <c r="L4023" s="10" t="str">
        <f aca="false">IF($A4023="","",ROW()-2)</f>
        <v/>
      </c>
      <c r="M4023" s="10" t="str">
        <f aca="false">IF($A4023="","",ROW())</f>
        <v/>
      </c>
    </row>
    <row r="4024" customFormat="false" ht="15" hidden="false" customHeight="true" outlineLevel="0" collapsed="false">
      <c r="A4024" s="8"/>
      <c r="B4024" s="8"/>
      <c r="C4024" s="8"/>
      <c r="D4024" s="8"/>
      <c r="E4024" s="8"/>
      <c r="F4024" s="8"/>
      <c r="G4024" s="10" t="str">
        <f aca="false">IF($A4024="","",UPPER(SUBSTITUTE(SUBSTITUTE(SUBSTITUTE(SUBSTITUTE($A4024," ",""),"(주)",""),"주식회사",""),"㈜","")))</f>
        <v/>
      </c>
      <c r="H4024" s="10" t="str">
        <f aca="false">IF($B4024="","",SUBSTITUTE(SUBSTITUTE(SUBSTITUTE($B4024,"-","")," ",""),".",""))</f>
        <v/>
      </c>
      <c r="I4024" s="10" t="str">
        <f aca="false">IF($D4024="","",SUBSTITUTE(SUBSTITUTE(SUBSTITUTE($D4024,"-","")," ",""),".",""))</f>
        <v/>
      </c>
      <c r="J4024" s="10" t="str">
        <f aca="false">IF($E4024="","",UPPER(SUBSTITUTE($E4024," ","")))</f>
        <v/>
      </c>
      <c r="K4024" s="10" t="str">
        <f aca="false">IF($A4024="","",$G4024&amp;"|"&amp;$J4024)</f>
        <v/>
      </c>
      <c r="L4024" s="10" t="str">
        <f aca="false">IF($A4024="","",ROW()-2)</f>
        <v/>
      </c>
      <c r="M4024" s="10" t="str">
        <f aca="false">IF($A4024="","",ROW())</f>
        <v/>
      </c>
    </row>
    <row r="4025" customFormat="false" ht="15" hidden="false" customHeight="true" outlineLevel="0" collapsed="false">
      <c r="A4025" s="8"/>
      <c r="B4025" s="8"/>
      <c r="C4025" s="8"/>
      <c r="D4025" s="8"/>
      <c r="E4025" s="8"/>
      <c r="F4025" s="8"/>
      <c r="G4025" s="10" t="str">
        <f aca="false">IF($A4025="","",UPPER(SUBSTITUTE(SUBSTITUTE(SUBSTITUTE(SUBSTITUTE($A4025," ",""),"(주)",""),"주식회사",""),"㈜","")))</f>
        <v/>
      </c>
      <c r="H4025" s="10" t="str">
        <f aca="false">IF($B4025="","",SUBSTITUTE(SUBSTITUTE(SUBSTITUTE($B4025,"-","")," ",""),".",""))</f>
        <v/>
      </c>
      <c r="I4025" s="10" t="str">
        <f aca="false">IF($D4025="","",SUBSTITUTE(SUBSTITUTE(SUBSTITUTE($D4025,"-","")," ",""),".",""))</f>
        <v/>
      </c>
      <c r="J4025" s="10" t="str">
        <f aca="false">IF($E4025="","",UPPER(SUBSTITUTE($E4025," ","")))</f>
        <v/>
      </c>
      <c r="K4025" s="10" t="str">
        <f aca="false">IF($A4025="","",$G4025&amp;"|"&amp;$J4025)</f>
        <v/>
      </c>
      <c r="L4025" s="10" t="str">
        <f aca="false">IF($A4025="","",ROW()-2)</f>
        <v/>
      </c>
      <c r="M4025" s="10" t="str">
        <f aca="false">IF($A4025="","",ROW())</f>
        <v/>
      </c>
    </row>
    <row r="4026" customFormat="false" ht="15" hidden="false" customHeight="true" outlineLevel="0" collapsed="false">
      <c r="A4026" s="8"/>
      <c r="B4026" s="8"/>
      <c r="C4026" s="8"/>
      <c r="D4026" s="8"/>
      <c r="E4026" s="8"/>
      <c r="F4026" s="8"/>
      <c r="G4026" s="10" t="str">
        <f aca="false">IF($A4026="","",UPPER(SUBSTITUTE(SUBSTITUTE(SUBSTITUTE(SUBSTITUTE($A4026," ",""),"(주)",""),"주식회사",""),"㈜","")))</f>
        <v/>
      </c>
      <c r="H4026" s="10" t="str">
        <f aca="false">IF($B4026="","",SUBSTITUTE(SUBSTITUTE(SUBSTITUTE($B4026,"-","")," ",""),".",""))</f>
        <v/>
      </c>
      <c r="I4026" s="10" t="str">
        <f aca="false">IF($D4026="","",SUBSTITUTE(SUBSTITUTE(SUBSTITUTE($D4026,"-","")," ",""),".",""))</f>
        <v/>
      </c>
      <c r="J4026" s="10" t="str">
        <f aca="false">IF($E4026="","",UPPER(SUBSTITUTE($E4026," ","")))</f>
        <v/>
      </c>
      <c r="K4026" s="10" t="str">
        <f aca="false">IF($A4026="","",$G4026&amp;"|"&amp;$J4026)</f>
        <v/>
      </c>
      <c r="L4026" s="10" t="str">
        <f aca="false">IF($A4026="","",ROW()-2)</f>
        <v/>
      </c>
      <c r="M4026" s="10" t="str">
        <f aca="false">IF($A4026="","",ROW())</f>
        <v/>
      </c>
    </row>
    <row r="4027" customFormat="false" ht="15" hidden="false" customHeight="true" outlineLevel="0" collapsed="false">
      <c r="A4027" s="8"/>
      <c r="B4027" s="8"/>
      <c r="C4027" s="8"/>
      <c r="D4027" s="8"/>
      <c r="E4027" s="8"/>
      <c r="F4027" s="8"/>
      <c r="G4027" s="10" t="str">
        <f aca="false">IF($A4027="","",UPPER(SUBSTITUTE(SUBSTITUTE(SUBSTITUTE(SUBSTITUTE($A4027," ",""),"(주)",""),"주식회사",""),"㈜","")))</f>
        <v/>
      </c>
      <c r="H4027" s="10" t="str">
        <f aca="false">IF($B4027="","",SUBSTITUTE(SUBSTITUTE(SUBSTITUTE($B4027,"-","")," ",""),".",""))</f>
        <v/>
      </c>
      <c r="I4027" s="10" t="str">
        <f aca="false">IF($D4027="","",SUBSTITUTE(SUBSTITUTE(SUBSTITUTE($D4027,"-","")," ",""),".",""))</f>
        <v/>
      </c>
      <c r="J4027" s="10" t="str">
        <f aca="false">IF($E4027="","",UPPER(SUBSTITUTE($E4027," ","")))</f>
        <v/>
      </c>
      <c r="K4027" s="10" t="str">
        <f aca="false">IF($A4027="","",$G4027&amp;"|"&amp;$J4027)</f>
        <v/>
      </c>
      <c r="L4027" s="10" t="str">
        <f aca="false">IF($A4027="","",ROW()-2)</f>
        <v/>
      </c>
      <c r="M4027" s="10" t="str">
        <f aca="false">IF($A4027="","",ROW())</f>
        <v/>
      </c>
    </row>
    <row r="4028" customFormat="false" ht="15" hidden="false" customHeight="true" outlineLevel="0" collapsed="false">
      <c r="A4028" s="8"/>
      <c r="B4028" s="8"/>
      <c r="C4028" s="8"/>
      <c r="D4028" s="8"/>
      <c r="E4028" s="8"/>
      <c r="F4028" s="8"/>
      <c r="G4028" s="10" t="str">
        <f aca="false">IF($A4028="","",UPPER(SUBSTITUTE(SUBSTITUTE(SUBSTITUTE(SUBSTITUTE($A4028," ",""),"(주)",""),"주식회사",""),"㈜","")))</f>
        <v/>
      </c>
      <c r="H4028" s="10" t="str">
        <f aca="false">IF($B4028="","",SUBSTITUTE(SUBSTITUTE(SUBSTITUTE($B4028,"-","")," ",""),".",""))</f>
        <v/>
      </c>
      <c r="I4028" s="10" t="str">
        <f aca="false">IF($D4028="","",SUBSTITUTE(SUBSTITUTE(SUBSTITUTE($D4028,"-","")," ",""),".",""))</f>
        <v/>
      </c>
      <c r="J4028" s="10" t="str">
        <f aca="false">IF($E4028="","",UPPER(SUBSTITUTE($E4028," ","")))</f>
        <v/>
      </c>
      <c r="K4028" s="10" t="str">
        <f aca="false">IF($A4028="","",$G4028&amp;"|"&amp;$J4028)</f>
        <v/>
      </c>
      <c r="L4028" s="10" t="str">
        <f aca="false">IF($A4028="","",ROW()-2)</f>
        <v/>
      </c>
      <c r="M4028" s="10" t="str">
        <f aca="false">IF($A4028="","",ROW())</f>
        <v/>
      </c>
    </row>
    <row r="4029" customFormat="false" ht="15" hidden="false" customHeight="true" outlineLevel="0" collapsed="false">
      <c r="A4029" s="8"/>
      <c r="B4029" s="8"/>
      <c r="C4029" s="8"/>
      <c r="D4029" s="8"/>
      <c r="E4029" s="8"/>
      <c r="F4029" s="8"/>
      <c r="G4029" s="10" t="str">
        <f aca="false">IF($A4029="","",UPPER(SUBSTITUTE(SUBSTITUTE(SUBSTITUTE(SUBSTITUTE($A4029," ",""),"(주)",""),"주식회사",""),"㈜","")))</f>
        <v/>
      </c>
      <c r="H4029" s="10" t="str">
        <f aca="false">IF($B4029="","",SUBSTITUTE(SUBSTITUTE(SUBSTITUTE($B4029,"-","")," ",""),".",""))</f>
        <v/>
      </c>
      <c r="I4029" s="10" t="str">
        <f aca="false">IF($D4029="","",SUBSTITUTE(SUBSTITUTE(SUBSTITUTE($D4029,"-","")," ",""),".",""))</f>
        <v/>
      </c>
      <c r="J4029" s="10" t="str">
        <f aca="false">IF($E4029="","",UPPER(SUBSTITUTE($E4029," ","")))</f>
        <v/>
      </c>
      <c r="K4029" s="10" t="str">
        <f aca="false">IF($A4029="","",$G4029&amp;"|"&amp;$J4029)</f>
        <v/>
      </c>
      <c r="L4029" s="10" t="str">
        <f aca="false">IF($A4029="","",ROW()-2)</f>
        <v/>
      </c>
      <c r="M4029" s="10" t="str">
        <f aca="false">IF($A4029="","",ROW())</f>
        <v/>
      </c>
    </row>
    <row r="4030" customFormat="false" ht="15" hidden="false" customHeight="true" outlineLevel="0" collapsed="false">
      <c r="A4030" s="8"/>
      <c r="B4030" s="8"/>
      <c r="C4030" s="8"/>
      <c r="D4030" s="8"/>
      <c r="E4030" s="8"/>
      <c r="F4030" s="8"/>
      <c r="G4030" s="10" t="str">
        <f aca="false">IF($A4030="","",UPPER(SUBSTITUTE(SUBSTITUTE(SUBSTITUTE(SUBSTITUTE($A4030," ",""),"(주)",""),"주식회사",""),"㈜","")))</f>
        <v/>
      </c>
      <c r="H4030" s="10" t="str">
        <f aca="false">IF($B4030="","",SUBSTITUTE(SUBSTITUTE(SUBSTITUTE($B4030,"-","")," ",""),".",""))</f>
        <v/>
      </c>
      <c r="I4030" s="10" t="str">
        <f aca="false">IF($D4030="","",SUBSTITUTE(SUBSTITUTE(SUBSTITUTE($D4030,"-","")," ",""),".",""))</f>
        <v/>
      </c>
      <c r="J4030" s="10" t="str">
        <f aca="false">IF($E4030="","",UPPER(SUBSTITUTE($E4030," ","")))</f>
        <v/>
      </c>
      <c r="K4030" s="10" t="str">
        <f aca="false">IF($A4030="","",$G4030&amp;"|"&amp;$J4030)</f>
        <v/>
      </c>
      <c r="L4030" s="10" t="str">
        <f aca="false">IF($A4030="","",ROW()-2)</f>
        <v/>
      </c>
      <c r="M4030" s="10" t="str">
        <f aca="false">IF($A4030="","",ROW())</f>
        <v/>
      </c>
    </row>
    <row r="4031" customFormat="false" ht="15" hidden="false" customHeight="true" outlineLevel="0" collapsed="false">
      <c r="A4031" s="8"/>
      <c r="B4031" s="8"/>
      <c r="C4031" s="8"/>
      <c r="D4031" s="8"/>
      <c r="E4031" s="8"/>
      <c r="F4031" s="8"/>
      <c r="G4031" s="10" t="str">
        <f aca="false">IF($A4031="","",UPPER(SUBSTITUTE(SUBSTITUTE(SUBSTITUTE(SUBSTITUTE($A4031," ",""),"(주)",""),"주식회사",""),"㈜","")))</f>
        <v/>
      </c>
      <c r="H4031" s="10" t="str">
        <f aca="false">IF($B4031="","",SUBSTITUTE(SUBSTITUTE(SUBSTITUTE($B4031,"-","")," ",""),".",""))</f>
        <v/>
      </c>
      <c r="I4031" s="10" t="str">
        <f aca="false">IF($D4031="","",SUBSTITUTE(SUBSTITUTE(SUBSTITUTE($D4031,"-","")," ",""),".",""))</f>
        <v/>
      </c>
      <c r="J4031" s="10" t="str">
        <f aca="false">IF($E4031="","",UPPER(SUBSTITUTE($E4031," ","")))</f>
        <v/>
      </c>
      <c r="K4031" s="10" t="str">
        <f aca="false">IF($A4031="","",$G4031&amp;"|"&amp;$J4031)</f>
        <v/>
      </c>
      <c r="L4031" s="10" t="str">
        <f aca="false">IF($A4031="","",ROW()-2)</f>
        <v/>
      </c>
      <c r="M4031" s="10" t="str">
        <f aca="false">IF($A4031="","",ROW())</f>
        <v/>
      </c>
    </row>
    <row r="4032" customFormat="false" ht="15" hidden="false" customHeight="true" outlineLevel="0" collapsed="false">
      <c r="A4032" s="8"/>
      <c r="B4032" s="8"/>
      <c r="C4032" s="8"/>
      <c r="D4032" s="8"/>
      <c r="E4032" s="8"/>
      <c r="F4032" s="8"/>
      <c r="G4032" s="10" t="str">
        <f aca="false">IF($A4032="","",UPPER(SUBSTITUTE(SUBSTITUTE(SUBSTITUTE(SUBSTITUTE($A4032," ",""),"(주)",""),"주식회사",""),"㈜","")))</f>
        <v/>
      </c>
      <c r="H4032" s="10" t="str">
        <f aca="false">IF($B4032="","",SUBSTITUTE(SUBSTITUTE(SUBSTITUTE($B4032,"-","")," ",""),".",""))</f>
        <v/>
      </c>
      <c r="I4032" s="10" t="str">
        <f aca="false">IF($D4032="","",SUBSTITUTE(SUBSTITUTE(SUBSTITUTE($D4032,"-","")," ",""),".",""))</f>
        <v/>
      </c>
      <c r="J4032" s="10" t="str">
        <f aca="false">IF($E4032="","",UPPER(SUBSTITUTE($E4032," ","")))</f>
        <v/>
      </c>
      <c r="K4032" s="10" t="str">
        <f aca="false">IF($A4032="","",$G4032&amp;"|"&amp;$J4032)</f>
        <v/>
      </c>
      <c r="L4032" s="10" t="str">
        <f aca="false">IF($A4032="","",ROW()-2)</f>
        <v/>
      </c>
      <c r="M4032" s="10" t="str">
        <f aca="false">IF($A4032="","",ROW())</f>
        <v/>
      </c>
    </row>
    <row r="4033" customFormat="false" ht="15" hidden="false" customHeight="true" outlineLevel="0" collapsed="false">
      <c r="A4033" s="8"/>
      <c r="B4033" s="8"/>
      <c r="C4033" s="8"/>
      <c r="D4033" s="8"/>
      <c r="E4033" s="8"/>
      <c r="F4033" s="8"/>
      <c r="G4033" s="10" t="str">
        <f aca="false">IF($A4033="","",UPPER(SUBSTITUTE(SUBSTITUTE(SUBSTITUTE(SUBSTITUTE($A4033," ",""),"(주)",""),"주식회사",""),"㈜","")))</f>
        <v/>
      </c>
      <c r="H4033" s="10" t="str">
        <f aca="false">IF($B4033="","",SUBSTITUTE(SUBSTITUTE(SUBSTITUTE($B4033,"-","")," ",""),".",""))</f>
        <v/>
      </c>
      <c r="I4033" s="10" t="str">
        <f aca="false">IF($D4033="","",SUBSTITUTE(SUBSTITUTE(SUBSTITUTE($D4033,"-","")," ",""),".",""))</f>
        <v/>
      </c>
      <c r="J4033" s="10" t="str">
        <f aca="false">IF($E4033="","",UPPER(SUBSTITUTE($E4033," ","")))</f>
        <v/>
      </c>
      <c r="K4033" s="10" t="str">
        <f aca="false">IF($A4033="","",$G4033&amp;"|"&amp;$J4033)</f>
        <v/>
      </c>
      <c r="L4033" s="10" t="str">
        <f aca="false">IF($A4033="","",ROW()-2)</f>
        <v/>
      </c>
      <c r="M4033" s="10" t="str">
        <f aca="false">IF($A4033="","",ROW())</f>
        <v/>
      </c>
    </row>
    <row r="4034" customFormat="false" ht="15" hidden="false" customHeight="true" outlineLevel="0" collapsed="false">
      <c r="A4034" s="8"/>
      <c r="B4034" s="8"/>
      <c r="C4034" s="8"/>
      <c r="D4034" s="8"/>
      <c r="E4034" s="8"/>
      <c r="F4034" s="8"/>
      <c r="G4034" s="10" t="str">
        <f aca="false">IF($A4034="","",UPPER(SUBSTITUTE(SUBSTITUTE(SUBSTITUTE(SUBSTITUTE($A4034," ",""),"(주)",""),"주식회사",""),"㈜","")))</f>
        <v/>
      </c>
      <c r="H4034" s="10" t="str">
        <f aca="false">IF($B4034="","",SUBSTITUTE(SUBSTITUTE(SUBSTITUTE($B4034,"-","")," ",""),".",""))</f>
        <v/>
      </c>
      <c r="I4034" s="10" t="str">
        <f aca="false">IF($D4034="","",SUBSTITUTE(SUBSTITUTE(SUBSTITUTE($D4034,"-","")," ",""),".",""))</f>
        <v/>
      </c>
      <c r="J4034" s="10" t="str">
        <f aca="false">IF($E4034="","",UPPER(SUBSTITUTE($E4034," ","")))</f>
        <v/>
      </c>
      <c r="K4034" s="10" t="str">
        <f aca="false">IF($A4034="","",$G4034&amp;"|"&amp;$J4034)</f>
        <v/>
      </c>
      <c r="L4034" s="10" t="str">
        <f aca="false">IF($A4034="","",ROW()-2)</f>
        <v/>
      </c>
      <c r="M4034" s="10" t="str">
        <f aca="false">IF($A4034="","",ROW())</f>
        <v/>
      </c>
    </row>
    <row r="4035" customFormat="false" ht="15" hidden="false" customHeight="true" outlineLevel="0" collapsed="false">
      <c r="A4035" s="8"/>
      <c r="B4035" s="8"/>
      <c r="C4035" s="8"/>
      <c r="D4035" s="8"/>
      <c r="E4035" s="8"/>
      <c r="F4035" s="8"/>
      <c r="G4035" s="10" t="str">
        <f aca="false">IF($A4035="","",UPPER(SUBSTITUTE(SUBSTITUTE(SUBSTITUTE(SUBSTITUTE($A4035," ",""),"(주)",""),"주식회사",""),"㈜","")))</f>
        <v/>
      </c>
      <c r="H4035" s="10" t="str">
        <f aca="false">IF($B4035="","",SUBSTITUTE(SUBSTITUTE(SUBSTITUTE($B4035,"-","")," ",""),".",""))</f>
        <v/>
      </c>
      <c r="I4035" s="10" t="str">
        <f aca="false">IF($D4035="","",SUBSTITUTE(SUBSTITUTE(SUBSTITUTE($D4035,"-","")," ",""),".",""))</f>
        <v/>
      </c>
      <c r="J4035" s="10" t="str">
        <f aca="false">IF($E4035="","",UPPER(SUBSTITUTE($E4035," ","")))</f>
        <v/>
      </c>
      <c r="K4035" s="10" t="str">
        <f aca="false">IF($A4035="","",$G4035&amp;"|"&amp;$J4035)</f>
        <v/>
      </c>
      <c r="L4035" s="10" t="str">
        <f aca="false">IF($A4035="","",ROW()-2)</f>
        <v/>
      </c>
      <c r="M4035" s="10" t="str">
        <f aca="false">IF($A4035="","",ROW())</f>
        <v/>
      </c>
    </row>
    <row r="4036" customFormat="false" ht="15" hidden="false" customHeight="true" outlineLevel="0" collapsed="false">
      <c r="A4036" s="8"/>
      <c r="B4036" s="8"/>
      <c r="C4036" s="8"/>
      <c r="D4036" s="8"/>
      <c r="E4036" s="8"/>
      <c r="F4036" s="8"/>
      <c r="G4036" s="10" t="str">
        <f aca="false">IF($A4036="","",UPPER(SUBSTITUTE(SUBSTITUTE(SUBSTITUTE(SUBSTITUTE($A4036," ",""),"(주)",""),"주식회사",""),"㈜","")))</f>
        <v/>
      </c>
      <c r="H4036" s="10" t="str">
        <f aca="false">IF($B4036="","",SUBSTITUTE(SUBSTITUTE(SUBSTITUTE($B4036,"-","")," ",""),".",""))</f>
        <v/>
      </c>
      <c r="I4036" s="10" t="str">
        <f aca="false">IF($D4036="","",SUBSTITUTE(SUBSTITUTE(SUBSTITUTE($D4036,"-","")," ",""),".",""))</f>
        <v/>
      </c>
      <c r="J4036" s="10" t="str">
        <f aca="false">IF($E4036="","",UPPER(SUBSTITUTE($E4036," ","")))</f>
        <v/>
      </c>
      <c r="K4036" s="10" t="str">
        <f aca="false">IF($A4036="","",$G4036&amp;"|"&amp;$J4036)</f>
        <v/>
      </c>
      <c r="L4036" s="10" t="str">
        <f aca="false">IF($A4036="","",ROW()-2)</f>
        <v/>
      </c>
      <c r="M4036" s="10" t="str">
        <f aca="false">IF($A4036="","",ROW())</f>
        <v/>
      </c>
    </row>
    <row r="4037" customFormat="false" ht="15" hidden="false" customHeight="true" outlineLevel="0" collapsed="false">
      <c r="A4037" s="8"/>
      <c r="B4037" s="8"/>
      <c r="C4037" s="8"/>
      <c r="D4037" s="8"/>
      <c r="E4037" s="8"/>
      <c r="F4037" s="8"/>
      <c r="G4037" s="10" t="str">
        <f aca="false">IF($A4037="","",UPPER(SUBSTITUTE(SUBSTITUTE(SUBSTITUTE(SUBSTITUTE($A4037," ",""),"(주)",""),"주식회사",""),"㈜","")))</f>
        <v/>
      </c>
      <c r="H4037" s="10" t="str">
        <f aca="false">IF($B4037="","",SUBSTITUTE(SUBSTITUTE(SUBSTITUTE($B4037,"-","")," ",""),".",""))</f>
        <v/>
      </c>
      <c r="I4037" s="10" t="str">
        <f aca="false">IF($D4037="","",SUBSTITUTE(SUBSTITUTE(SUBSTITUTE($D4037,"-","")," ",""),".",""))</f>
        <v/>
      </c>
      <c r="J4037" s="10" t="str">
        <f aca="false">IF($E4037="","",UPPER(SUBSTITUTE($E4037," ","")))</f>
        <v/>
      </c>
      <c r="K4037" s="10" t="str">
        <f aca="false">IF($A4037="","",$G4037&amp;"|"&amp;$J4037)</f>
        <v/>
      </c>
      <c r="L4037" s="10" t="str">
        <f aca="false">IF($A4037="","",ROW()-2)</f>
        <v/>
      </c>
      <c r="M4037" s="10" t="str">
        <f aca="false">IF($A4037="","",ROW())</f>
        <v/>
      </c>
    </row>
    <row r="4038" customFormat="false" ht="15" hidden="false" customHeight="true" outlineLevel="0" collapsed="false">
      <c r="A4038" s="8"/>
      <c r="B4038" s="8"/>
      <c r="C4038" s="8"/>
      <c r="D4038" s="8"/>
      <c r="E4038" s="8"/>
      <c r="F4038" s="8"/>
      <c r="G4038" s="10" t="str">
        <f aca="false">IF($A4038="","",UPPER(SUBSTITUTE(SUBSTITUTE(SUBSTITUTE(SUBSTITUTE($A4038," ",""),"(주)",""),"주식회사",""),"㈜","")))</f>
        <v/>
      </c>
      <c r="H4038" s="10" t="str">
        <f aca="false">IF($B4038="","",SUBSTITUTE(SUBSTITUTE(SUBSTITUTE($B4038,"-","")," ",""),".",""))</f>
        <v/>
      </c>
      <c r="I4038" s="10" t="str">
        <f aca="false">IF($D4038="","",SUBSTITUTE(SUBSTITUTE(SUBSTITUTE($D4038,"-","")," ",""),".",""))</f>
        <v/>
      </c>
      <c r="J4038" s="10" t="str">
        <f aca="false">IF($E4038="","",UPPER(SUBSTITUTE($E4038," ","")))</f>
        <v/>
      </c>
      <c r="K4038" s="10" t="str">
        <f aca="false">IF($A4038="","",$G4038&amp;"|"&amp;$J4038)</f>
        <v/>
      </c>
      <c r="L4038" s="10" t="str">
        <f aca="false">IF($A4038="","",ROW()-2)</f>
        <v/>
      </c>
      <c r="M4038" s="10" t="str">
        <f aca="false">IF($A4038="","",ROW())</f>
        <v/>
      </c>
    </row>
    <row r="4039" customFormat="false" ht="15" hidden="false" customHeight="true" outlineLevel="0" collapsed="false">
      <c r="A4039" s="8"/>
      <c r="B4039" s="8"/>
      <c r="C4039" s="8"/>
      <c r="D4039" s="8"/>
      <c r="E4039" s="8"/>
      <c r="F4039" s="8"/>
      <c r="G4039" s="10" t="str">
        <f aca="false">IF($A4039="","",UPPER(SUBSTITUTE(SUBSTITUTE(SUBSTITUTE(SUBSTITUTE($A4039," ",""),"(주)",""),"주식회사",""),"㈜","")))</f>
        <v/>
      </c>
      <c r="H4039" s="10" t="str">
        <f aca="false">IF($B4039="","",SUBSTITUTE(SUBSTITUTE(SUBSTITUTE($B4039,"-","")," ",""),".",""))</f>
        <v/>
      </c>
      <c r="I4039" s="10" t="str">
        <f aca="false">IF($D4039="","",SUBSTITUTE(SUBSTITUTE(SUBSTITUTE($D4039,"-","")," ",""),".",""))</f>
        <v/>
      </c>
      <c r="J4039" s="10" t="str">
        <f aca="false">IF($E4039="","",UPPER(SUBSTITUTE($E4039," ","")))</f>
        <v/>
      </c>
      <c r="K4039" s="10" t="str">
        <f aca="false">IF($A4039="","",$G4039&amp;"|"&amp;$J4039)</f>
        <v/>
      </c>
      <c r="L4039" s="10" t="str">
        <f aca="false">IF($A4039="","",ROW()-2)</f>
        <v/>
      </c>
      <c r="M4039" s="10" t="str">
        <f aca="false">IF($A4039="","",ROW())</f>
        <v/>
      </c>
    </row>
    <row r="4040" customFormat="false" ht="15" hidden="false" customHeight="true" outlineLevel="0" collapsed="false">
      <c r="A4040" s="8"/>
      <c r="B4040" s="8"/>
      <c r="C4040" s="8"/>
      <c r="D4040" s="8"/>
      <c r="E4040" s="8"/>
      <c r="F4040" s="8"/>
      <c r="G4040" s="10" t="str">
        <f aca="false">IF($A4040="","",UPPER(SUBSTITUTE(SUBSTITUTE(SUBSTITUTE(SUBSTITUTE($A4040," ",""),"(주)",""),"주식회사",""),"㈜","")))</f>
        <v/>
      </c>
      <c r="H4040" s="10" t="str">
        <f aca="false">IF($B4040="","",SUBSTITUTE(SUBSTITUTE(SUBSTITUTE($B4040,"-","")," ",""),".",""))</f>
        <v/>
      </c>
      <c r="I4040" s="10" t="str">
        <f aca="false">IF($D4040="","",SUBSTITUTE(SUBSTITUTE(SUBSTITUTE($D4040,"-","")," ",""),".",""))</f>
        <v/>
      </c>
      <c r="J4040" s="10" t="str">
        <f aca="false">IF($E4040="","",UPPER(SUBSTITUTE($E4040," ","")))</f>
        <v/>
      </c>
      <c r="K4040" s="10" t="str">
        <f aca="false">IF($A4040="","",$G4040&amp;"|"&amp;$J4040)</f>
        <v/>
      </c>
      <c r="L4040" s="10" t="str">
        <f aca="false">IF($A4040="","",ROW()-2)</f>
        <v/>
      </c>
      <c r="M4040" s="10" t="str">
        <f aca="false">IF($A4040="","",ROW())</f>
        <v/>
      </c>
    </row>
    <row r="4041" customFormat="false" ht="15" hidden="false" customHeight="true" outlineLevel="0" collapsed="false">
      <c r="A4041" s="8"/>
      <c r="B4041" s="8"/>
      <c r="C4041" s="8"/>
      <c r="D4041" s="8"/>
      <c r="E4041" s="8"/>
      <c r="F4041" s="8"/>
      <c r="G4041" s="10" t="str">
        <f aca="false">IF($A4041="","",UPPER(SUBSTITUTE(SUBSTITUTE(SUBSTITUTE(SUBSTITUTE($A4041," ",""),"(주)",""),"주식회사",""),"㈜","")))</f>
        <v/>
      </c>
      <c r="H4041" s="10" t="str">
        <f aca="false">IF($B4041="","",SUBSTITUTE(SUBSTITUTE(SUBSTITUTE($B4041,"-","")," ",""),".",""))</f>
        <v/>
      </c>
      <c r="I4041" s="10" t="str">
        <f aca="false">IF($D4041="","",SUBSTITUTE(SUBSTITUTE(SUBSTITUTE($D4041,"-","")," ",""),".",""))</f>
        <v/>
      </c>
      <c r="J4041" s="10" t="str">
        <f aca="false">IF($E4041="","",UPPER(SUBSTITUTE($E4041," ","")))</f>
        <v/>
      </c>
      <c r="K4041" s="10" t="str">
        <f aca="false">IF($A4041="","",$G4041&amp;"|"&amp;$J4041)</f>
        <v/>
      </c>
      <c r="L4041" s="10" t="str">
        <f aca="false">IF($A4041="","",ROW()-2)</f>
        <v/>
      </c>
      <c r="M4041" s="10" t="str">
        <f aca="false">IF($A4041="","",ROW())</f>
        <v/>
      </c>
    </row>
    <row r="4042" customFormat="false" ht="15" hidden="false" customHeight="true" outlineLevel="0" collapsed="false">
      <c r="A4042" s="8"/>
      <c r="B4042" s="8"/>
      <c r="C4042" s="8"/>
      <c r="D4042" s="8"/>
      <c r="E4042" s="8"/>
      <c r="F4042" s="8"/>
      <c r="G4042" s="10" t="str">
        <f aca="false">IF($A4042="","",UPPER(SUBSTITUTE(SUBSTITUTE(SUBSTITUTE(SUBSTITUTE($A4042," ",""),"(주)",""),"주식회사",""),"㈜","")))</f>
        <v/>
      </c>
      <c r="H4042" s="10" t="str">
        <f aca="false">IF($B4042="","",SUBSTITUTE(SUBSTITUTE(SUBSTITUTE($B4042,"-","")," ",""),".",""))</f>
        <v/>
      </c>
      <c r="I4042" s="10" t="str">
        <f aca="false">IF($D4042="","",SUBSTITUTE(SUBSTITUTE(SUBSTITUTE($D4042,"-","")," ",""),".",""))</f>
        <v/>
      </c>
      <c r="J4042" s="10" t="str">
        <f aca="false">IF($E4042="","",UPPER(SUBSTITUTE($E4042," ","")))</f>
        <v/>
      </c>
      <c r="K4042" s="10" t="str">
        <f aca="false">IF($A4042="","",$G4042&amp;"|"&amp;$J4042)</f>
        <v/>
      </c>
      <c r="L4042" s="10" t="str">
        <f aca="false">IF($A4042="","",ROW()-2)</f>
        <v/>
      </c>
      <c r="M4042" s="10" t="str">
        <f aca="false">IF($A4042="","",ROW())</f>
        <v/>
      </c>
    </row>
    <row r="4043" customFormat="false" ht="15" hidden="false" customHeight="true" outlineLevel="0" collapsed="false">
      <c r="A4043" s="8"/>
      <c r="B4043" s="8"/>
      <c r="C4043" s="8"/>
      <c r="D4043" s="8"/>
      <c r="E4043" s="8"/>
      <c r="F4043" s="8"/>
      <c r="G4043" s="10" t="str">
        <f aca="false">IF($A4043="","",UPPER(SUBSTITUTE(SUBSTITUTE(SUBSTITUTE(SUBSTITUTE($A4043," ",""),"(주)",""),"주식회사",""),"㈜","")))</f>
        <v/>
      </c>
      <c r="H4043" s="10" t="str">
        <f aca="false">IF($B4043="","",SUBSTITUTE(SUBSTITUTE(SUBSTITUTE($B4043,"-","")," ",""),".",""))</f>
        <v/>
      </c>
      <c r="I4043" s="10" t="str">
        <f aca="false">IF($D4043="","",SUBSTITUTE(SUBSTITUTE(SUBSTITUTE($D4043,"-","")," ",""),".",""))</f>
        <v/>
      </c>
      <c r="J4043" s="10" t="str">
        <f aca="false">IF($E4043="","",UPPER(SUBSTITUTE($E4043," ","")))</f>
        <v/>
      </c>
      <c r="K4043" s="10" t="str">
        <f aca="false">IF($A4043="","",$G4043&amp;"|"&amp;$J4043)</f>
        <v/>
      </c>
      <c r="L4043" s="10" t="str">
        <f aca="false">IF($A4043="","",ROW()-2)</f>
        <v/>
      </c>
      <c r="M4043" s="10" t="str">
        <f aca="false">IF($A4043="","",ROW())</f>
        <v/>
      </c>
    </row>
    <row r="4044" customFormat="false" ht="15" hidden="false" customHeight="true" outlineLevel="0" collapsed="false">
      <c r="A4044" s="8"/>
      <c r="B4044" s="8"/>
      <c r="C4044" s="8"/>
      <c r="D4044" s="8"/>
      <c r="E4044" s="8"/>
      <c r="F4044" s="8"/>
      <c r="G4044" s="10" t="str">
        <f aca="false">IF($A4044="","",UPPER(SUBSTITUTE(SUBSTITUTE(SUBSTITUTE(SUBSTITUTE($A4044," ",""),"(주)",""),"주식회사",""),"㈜","")))</f>
        <v/>
      </c>
      <c r="H4044" s="10" t="str">
        <f aca="false">IF($B4044="","",SUBSTITUTE(SUBSTITUTE(SUBSTITUTE($B4044,"-","")," ",""),".",""))</f>
        <v/>
      </c>
      <c r="I4044" s="10" t="str">
        <f aca="false">IF($D4044="","",SUBSTITUTE(SUBSTITUTE(SUBSTITUTE($D4044,"-","")," ",""),".",""))</f>
        <v/>
      </c>
      <c r="J4044" s="10" t="str">
        <f aca="false">IF($E4044="","",UPPER(SUBSTITUTE($E4044," ","")))</f>
        <v/>
      </c>
      <c r="K4044" s="10" t="str">
        <f aca="false">IF($A4044="","",$G4044&amp;"|"&amp;$J4044)</f>
        <v/>
      </c>
      <c r="L4044" s="10" t="str">
        <f aca="false">IF($A4044="","",ROW()-2)</f>
        <v/>
      </c>
      <c r="M4044" s="10" t="str">
        <f aca="false">IF($A4044="","",ROW())</f>
        <v/>
      </c>
    </row>
    <row r="4045" customFormat="false" ht="15" hidden="false" customHeight="true" outlineLevel="0" collapsed="false">
      <c r="A4045" s="8"/>
      <c r="B4045" s="8"/>
      <c r="C4045" s="8"/>
      <c r="D4045" s="8"/>
      <c r="E4045" s="8"/>
      <c r="F4045" s="8"/>
      <c r="G4045" s="10" t="str">
        <f aca="false">IF($A4045="","",UPPER(SUBSTITUTE(SUBSTITUTE(SUBSTITUTE(SUBSTITUTE($A4045," ",""),"(주)",""),"주식회사",""),"㈜","")))</f>
        <v/>
      </c>
      <c r="H4045" s="10" t="str">
        <f aca="false">IF($B4045="","",SUBSTITUTE(SUBSTITUTE(SUBSTITUTE($B4045,"-","")," ",""),".",""))</f>
        <v/>
      </c>
      <c r="I4045" s="10" t="str">
        <f aca="false">IF($D4045="","",SUBSTITUTE(SUBSTITUTE(SUBSTITUTE($D4045,"-","")," ",""),".",""))</f>
        <v/>
      </c>
      <c r="J4045" s="10" t="str">
        <f aca="false">IF($E4045="","",UPPER(SUBSTITUTE($E4045," ","")))</f>
        <v/>
      </c>
      <c r="K4045" s="10" t="str">
        <f aca="false">IF($A4045="","",$G4045&amp;"|"&amp;$J4045)</f>
        <v/>
      </c>
      <c r="L4045" s="10" t="str">
        <f aca="false">IF($A4045="","",ROW()-2)</f>
        <v/>
      </c>
      <c r="M4045" s="10" t="str">
        <f aca="false">IF($A4045="","",ROW())</f>
        <v/>
      </c>
    </row>
    <row r="4046" customFormat="false" ht="15" hidden="false" customHeight="true" outlineLevel="0" collapsed="false">
      <c r="A4046" s="8"/>
      <c r="B4046" s="8"/>
      <c r="C4046" s="8"/>
      <c r="D4046" s="8"/>
      <c r="E4046" s="8"/>
      <c r="F4046" s="8"/>
      <c r="G4046" s="10" t="str">
        <f aca="false">IF($A4046="","",UPPER(SUBSTITUTE(SUBSTITUTE(SUBSTITUTE(SUBSTITUTE($A4046," ",""),"(주)",""),"주식회사",""),"㈜","")))</f>
        <v/>
      </c>
      <c r="H4046" s="10" t="str">
        <f aca="false">IF($B4046="","",SUBSTITUTE(SUBSTITUTE(SUBSTITUTE($B4046,"-","")," ",""),".",""))</f>
        <v/>
      </c>
      <c r="I4046" s="10" t="str">
        <f aca="false">IF($D4046="","",SUBSTITUTE(SUBSTITUTE(SUBSTITUTE($D4046,"-","")," ",""),".",""))</f>
        <v/>
      </c>
      <c r="J4046" s="10" t="str">
        <f aca="false">IF($E4046="","",UPPER(SUBSTITUTE($E4046," ","")))</f>
        <v/>
      </c>
      <c r="K4046" s="10" t="str">
        <f aca="false">IF($A4046="","",$G4046&amp;"|"&amp;$J4046)</f>
        <v/>
      </c>
      <c r="L4046" s="10" t="str">
        <f aca="false">IF($A4046="","",ROW()-2)</f>
        <v/>
      </c>
      <c r="M4046" s="10" t="str">
        <f aca="false">IF($A4046="","",ROW())</f>
        <v/>
      </c>
    </row>
    <row r="4047" customFormat="false" ht="15" hidden="false" customHeight="true" outlineLevel="0" collapsed="false">
      <c r="A4047" s="8"/>
      <c r="B4047" s="8"/>
      <c r="C4047" s="8"/>
      <c r="D4047" s="8"/>
      <c r="E4047" s="8"/>
      <c r="F4047" s="8"/>
      <c r="G4047" s="10" t="str">
        <f aca="false">IF($A4047="","",UPPER(SUBSTITUTE(SUBSTITUTE(SUBSTITUTE(SUBSTITUTE($A4047," ",""),"(주)",""),"주식회사",""),"㈜","")))</f>
        <v/>
      </c>
      <c r="H4047" s="10" t="str">
        <f aca="false">IF($B4047="","",SUBSTITUTE(SUBSTITUTE(SUBSTITUTE($B4047,"-","")," ",""),".",""))</f>
        <v/>
      </c>
      <c r="I4047" s="10" t="str">
        <f aca="false">IF($D4047="","",SUBSTITUTE(SUBSTITUTE(SUBSTITUTE($D4047,"-","")," ",""),".",""))</f>
        <v/>
      </c>
      <c r="J4047" s="10" t="str">
        <f aca="false">IF($E4047="","",UPPER(SUBSTITUTE($E4047," ","")))</f>
        <v/>
      </c>
      <c r="K4047" s="10" t="str">
        <f aca="false">IF($A4047="","",$G4047&amp;"|"&amp;$J4047)</f>
        <v/>
      </c>
      <c r="L4047" s="10" t="str">
        <f aca="false">IF($A4047="","",ROW()-2)</f>
        <v/>
      </c>
      <c r="M4047" s="10" t="str">
        <f aca="false">IF($A4047="","",ROW())</f>
        <v/>
      </c>
    </row>
    <row r="4048" customFormat="false" ht="15" hidden="false" customHeight="true" outlineLevel="0" collapsed="false">
      <c r="A4048" s="8"/>
      <c r="B4048" s="8"/>
      <c r="C4048" s="8"/>
      <c r="D4048" s="8"/>
      <c r="E4048" s="8"/>
      <c r="F4048" s="8"/>
      <c r="G4048" s="10" t="str">
        <f aca="false">IF($A4048="","",UPPER(SUBSTITUTE(SUBSTITUTE(SUBSTITUTE(SUBSTITUTE($A4048," ",""),"(주)",""),"주식회사",""),"㈜","")))</f>
        <v/>
      </c>
      <c r="H4048" s="10" t="str">
        <f aca="false">IF($B4048="","",SUBSTITUTE(SUBSTITUTE(SUBSTITUTE($B4048,"-","")," ",""),".",""))</f>
        <v/>
      </c>
      <c r="I4048" s="10" t="str">
        <f aca="false">IF($D4048="","",SUBSTITUTE(SUBSTITUTE(SUBSTITUTE($D4048,"-","")," ",""),".",""))</f>
        <v/>
      </c>
      <c r="J4048" s="10" t="str">
        <f aca="false">IF($E4048="","",UPPER(SUBSTITUTE($E4048," ","")))</f>
        <v/>
      </c>
      <c r="K4048" s="10" t="str">
        <f aca="false">IF($A4048="","",$G4048&amp;"|"&amp;$J4048)</f>
        <v/>
      </c>
      <c r="L4048" s="10" t="str">
        <f aca="false">IF($A4048="","",ROW()-2)</f>
        <v/>
      </c>
      <c r="M4048" s="10" t="str">
        <f aca="false">IF($A4048="","",ROW())</f>
        <v/>
      </c>
    </row>
    <row r="4049" customFormat="false" ht="15" hidden="false" customHeight="true" outlineLevel="0" collapsed="false">
      <c r="A4049" s="8"/>
      <c r="B4049" s="8"/>
      <c r="C4049" s="8"/>
      <c r="D4049" s="8"/>
      <c r="E4049" s="8"/>
      <c r="F4049" s="8"/>
      <c r="G4049" s="10" t="str">
        <f aca="false">IF($A4049="","",UPPER(SUBSTITUTE(SUBSTITUTE(SUBSTITUTE(SUBSTITUTE($A4049," ",""),"(주)",""),"주식회사",""),"㈜","")))</f>
        <v/>
      </c>
      <c r="H4049" s="10" t="str">
        <f aca="false">IF($B4049="","",SUBSTITUTE(SUBSTITUTE(SUBSTITUTE($B4049,"-","")," ",""),".",""))</f>
        <v/>
      </c>
      <c r="I4049" s="10" t="str">
        <f aca="false">IF($D4049="","",SUBSTITUTE(SUBSTITUTE(SUBSTITUTE($D4049,"-","")," ",""),".",""))</f>
        <v/>
      </c>
      <c r="J4049" s="10" t="str">
        <f aca="false">IF($E4049="","",UPPER(SUBSTITUTE($E4049," ","")))</f>
        <v/>
      </c>
      <c r="K4049" s="10" t="str">
        <f aca="false">IF($A4049="","",$G4049&amp;"|"&amp;$J4049)</f>
        <v/>
      </c>
      <c r="L4049" s="10" t="str">
        <f aca="false">IF($A4049="","",ROW()-2)</f>
        <v/>
      </c>
      <c r="M4049" s="10" t="str">
        <f aca="false">IF($A4049="","",ROW())</f>
        <v/>
      </c>
    </row>
    <row r="4050" customFormat="false" ht="15" hidden="false" customHeight="true" outlineLevel="0" collapsed="false">
      <c r="A4050" s="8"/>
      <c r="B4050" s="8"/>
      <c r="C4050" s="8"/>
      <c r="D4050" s="8"/>
      <c r="E4050" s="8"/>
      <c r="F4050" s="8"/>
      <c r="G4050" s="10" t="str">
        <f aca="false">IF($A4050="","",UPPER(SUBSTITUTE(SUBSTITUTE(SUBSTITUTE(SUBSTITUTE($A4050," ",""),"(주)",""),"주식회사",""),"㈜","")))</f>
        <v/>
      </c>
      <c r="H4050" s="10" t="str">
        <f aca="false">IF($B4050="","",SUBSTITUTE(SUBSTITUTE(SUBSTITUTE($B4050,"-","")," ",""),".",""))</f>
        <v/>
      </c>
      <c r="I4050" s="10" t="str">
        <f aca="false">IF($D4050="","",SUBSTITUTE(SUBSTITUTE(SUBSTITUTE($D4050,"-","")," ",""),".",""))</f>
        <v/>
      </c>
      <c r="J4050" s="10" t="str">
        <f aca="false">IF($E4050="","",UPPER(SUBSTITUTE($E4050," ","")))</f>
        <v/>
      </c>
      <c r="K4050" s="10" t="str">
        <f aca="false">IF($A4050="","",$G4050&amp;"|"&amp;$J4050)</f>
        <v/>
      </c>
      <c r="L4050" s="10" t="str">
        <f aca="false">IF($A4050="","",ROW()-2)</f>
        <v/>
      </c>
      <c r="M4050" s="10" t="str">
        <f aca="false">IF($A4050="","",ROW())</f>
        <v/>
      </c>
    </row>
    <row r="4051" customFormat="false" ht="15" hidden="false" customHeight="true" outlineLevel="0" collapsed="false">
      <c r="A4051" s="8"/>
      <c r="B4051" s="8"/>
      <c r="C4051" s="8"/>
      <c r="D4051" s="8"/>
      <c r="E4051" s="8"/>
      <c r="F4051" s="8"/>
      <c r="G4051" s="10" t="str">
        <f aca="false">IF($A4051="","",UPPER(SUBSTITUTE(SUBSTITUTE(SUBSTITUTE(SUBSTITUTE($A4051," ",""),"(주)",""),"주식회사",""),"㈜","")))</f>
        <v/>
      </c>
      <c r="H4051" s="10" t="str">
        <f aca="false">IF($B4051="","",SUBSTITUTE(SUBSTITUTE(SUBSTITUTE($B4051,"-","")," ",""),".",""))</f>
        <v/>
      </c>
      <c r="I4051" s="10" t="str">
        <f aca="false">IF($D4051="","",SUBSTITUTE(SUBSTITUTE(SUBSTITUTE($D4051,"-","")," ",""),".",""))</f>
        <v/>
      </c>
      <c r="J4051" s="10" t="str">
        <f aca="false">IF($E4051="","",UPPER(SUBSTITUTE($E4051," ","")))</f>
        <v/>
      </c>
      <c r="K4051" s="10" t="str">
        <f aca="false">IF($A4051="","",$G4051&amp;"|"&amp;$J4051)</f>
        <v/>
      </c>
      <c r="L4051" s="10" t="str">
        <f aca="false">IF($A4051="","",ROW()-2)</f>
        <v/>
      </c>
      <c r="M4051" s="10" t="str">
        <f aca="false">IF($A4051="","",ROW())</f>
        <v/>
      </c>
    </row>
    <row r="4052" customFormat="false" ht="15" hidden="false" customHeight="true" outlineLevel="0" collapsed="false">
      <c r="A4052" s="8"/>
      <c r="B4052" s="8"/>
      <c r="C4052" s="8"/>
      <c r="D4052" s="8"/>
      <c r="E4052" s="8"/>
      <c r="F4052" s="8"/>
      <c r="G4052" s="10" t="str">
        <f aca="false">IF($A4052="","",UPPER(SUBSTITUTE(SUBSTITUTE(SUBSTITUTE(SUBSTITUTE($A4052," ",""),"(주)",""),"주식회사",""),"㈜","")))</f>
        <v/>
      </c>
      <c r="H4052" s="10" t="str">
        <f aca="false">IF($B4052="","",SUBSTITUTE(SUBSTITUTE(SUBSTITUTE($B4052,"-","")," ",""),".",""))</f>
        <v/>
      </c>
      <c r="I4052" s="10" t="str">
        <f aca="false">IF($D4052="","",SUBSTITUTE(SUBSTITUTE(SUBSTITUTE($D4052,"-","")," ",""),".",""))</f>
        <v/>
      </c>
      <c r="J4052" s="10" t="str">
        <f aca="false">IF($E4052="","",UPPER(SUBSTITUTE($E4052," ","")))</f>
        <v/>
      </c>
      <c r="K4052" s="10" t="str">
        <f aca="false">IF($A4052="","",$G4052&amp;"|"&amp;$J4052)</f>
        <v/>
      </c>
      <c r="L4052" s="10" t="str">
        <f aca="false">IF($A4052="","",ROW()-2)</f>
        <v/>
      </c>
      <c r="M4052" s="10" t="str">
        <f aca="false">IF($A4052="","",ROW())</f>
        <v/>
      </c>
    </row>
    <row r="4053" customFormat="false" ht="15" hidden="false" customHeight="true" outlineLevel="0" collapsed="false">
      <c r="A4053" s="8"/>
      <c r="B4053" s="8"/>
      <c r="C4053" s="8"/>
      <c r="D4053" s="8"/>
      <c r="E4053" s="8"/>
      <c r="F4053" s="8"/>
      <c r="G4053" s="10" t="str">
        <f aca="false">IF($A4053="","",UPPER(SUBSTITUTE(SUBSTITUTE(SUBSTITUTE(SUBSTITUTE($A4053," ",""),"(주)",""),"주식회사",""),"㈜","")))</f>
        <v/>
      </c>
      <c r="H4053" s="10" t="str">
        <f aca="false">IF($B4053="","",SUBSTITUTE(SUBSTITUTE(SUBSTITUTE($B4053,"-","")," ",""),".",""))</f>
        <v/>
      </c>
      <c r="I4053" s="10" t="str">
        <f aca="false">IF($D4053="","",SUBSTITUTE(SUBSTITUTE(SUBSTITUTE($D4053,"-","")," ",""),".",""))</f>
        <v/>
      </c>
      <c r="J4053" s="10" t="str">
        <f aca="false">IF($E4053="","",UPPER(SUBSTITUTE($E4053," ","")))</f>
        <v/>
      </c>
      <c r="K4053" s="10" t="str">
        <f aca="false">IF($A4053="","",$G4053&amp;"|"&amp;$J4053)</f>
        <v/>
      </c>
      <c r="L4053" s="10" t="str">
        <f aca="false">IF($A4053="","",ROW()-2)</f>
        <v/>
      </c>
      <c r="M4053" s="10" t="str">
        <f aca="false">IF($A4053="","",ROW())</f>
        <v/>
      </c>
    </row>
    <row r="4054" customFormat="false" ht="15" hidden="false" customHeight="true" outlineLevel="0" collapsed="false">
      <c r="A4054" s="8"/>
      <c r="B4054" s="8"/>
      <c r="C4054" s="8"/>
      <c r="D4054" s="8"/>
      <c r="E4054" s="8"/>
      <c r="F4054" s="8"/>
      <c r="G4054" s="10" t="str">
        <f aca="false">IF($A4054="","",UPPER(SUBSTITUTE(SUBSTITUTE(SUBSTITUTE(SUBSTITUTE($A4054," ",""),"(주)",""),"주식회사",""),"㈜","")))</f>
        <v/>
      </c>
      <c r="H4054" s="10" t="str">
        <f aca="false">IF($B4054="","",SUBSTITUTE(SUBSTITUTE(SUBSTITUTE($B4054,"-","")," ",""),".",""))</f>
        <v/>
      </c>
      <c r="I4054" s="10" t="str">
        <f aca="false">IF($D4054="","",SUBSTITUTE(SUBSTITUTE(SUBSTITUTE($D4054,"-","")," ",""),".",""))</f>
        <v/>
      </c>
      <c r="J4054" s="10" t="str">
        <f aca="false">IF($E4054="","",UPPER(SUBSTITUTE($E4054," ","")))</f>
        <v/>
      </c>
      <c r="K4054" s="10" t="str">
        <f aca="false">IF($A4054="","",$G4054&amp;"|"&amp;$J4054)</f>
        <v/>
      </c>
      <c r="L4054" s="10" t="str">
        <f aca="false">IF($A4054="","",ROW()-2)</f>
        <v/>
      </c>
      <c r="M4054" s="10" t="str">
        <f aca="false">IF($A4054="","",ROW())</f>
        <v/>
      </c>
    </row>
    <row r="4055" customFormat="false" ht="15" hidden="false" customHeight="true" outlineLevel="0" collapsed="false">
      <c r="A4055" s="8"/>
      <c r="B4055" s="8"/>
      <c r="C4055" s="8"/>
      <c r="D4055" s="8"/>
      <c r="E4055" s="8"/>
      <c r="F4055" s="8"/>
      <c r="G4055" s="10" t="str">
        <f aca="false">IF($A4055="","",UPPER(SUBSTITUTE(SUBSTITUTE(SUBSTITUTE(SUBSTITUTE($A4055," ",""),"(주)",""),"주식회사",""),"㈜","")))</f>
        <v/>
      </c>
      <c r="H4055" s="10" t="str">
        <f aca="false">IF($B4055="","",SUBSTITUTE(SUBSTITUTE(SUBSTITUTE($B4055,"-","")," ",""),".",""))</f>
        <v/>
      </c>
      <c r="I4055" s="10" t="str">
        <f aca="false">IF($D4055="","",SUBSTITUTE(SUBSTITUTE(SUBSTITUTE($D4055,"-","")," ",""),".",""))</f>
        <v/>
      </c>
      <c r="J4055" s="10" t="str">
        <f aca="false">IF($E4055="","",UPPER(SUBSTITUTE($E4055," ","")))</f>
        <v/>
      </c>
      <c r="K4055" s="10" t="str">
        <f aca="false">IF($A4055="","",$G4055&amp;"|"&amp;$J4055)</f>
        <v/>
      </c>
      <c r="L4055" s="10" t="str">
        <f aca="false">IF($A4055="","",ROW()-2)</f>
        <v/>
      </c>
      <c r="M4055" s="10" t="str">
        <f aca="false">IF($A4055="","",ROW())</f>
        <v/>
      </c>
    </row>
    <row r="4056" customFormat="false" ht="15" hidden="false" customHeight="true" outlineLevel="0" collapsed="false">
      <c r="A4056" s="8"/>
      <c r="B4056" s="8"/>
      <c r="C4056" s="8"/>
      <c r="D4056" s="8"/>
      <c r="E4056" s="8"/>
      <c r="F4056" s="8"/>
      <c r="G4056" s="10" t="str">
        <f aca="false">IF($A4056="","",UPPER(SUBSTITUTE(SUBSTITUTE(SUBSTITUTE(SUBSTITUTE($A4056," ",""),"(주)",""),"주식회사",""),"㈜","")))</f>
        <v/>
      </c>
      <c r="H4056" s="10" t="str">
        <f aca="false">IF($B4056="","",SUBSTITUTE(SUBSTITUTE(SUBSTITUTE($B4056,"-","")," ",""),".",""))</f>
        <v/>
      </c>
      <c r="I4056" s="10" t="str">
        <f aca="false">IF($D4056="","",SUBSTITUTE(SUBSTITUTE(SUBSTITUTE($D4056,"-","")," ",""),".",""))</f>
        <v/>
      </c>
      <c r="J4056" s="10" t="str">
        <f aca="false">IF($E4056="","",UPPER(SUBSTITUTE($E4056," ","")))</f>
        <v/>
      </c>
      <c r="K4056" s="10" t="str">
        <f aca="false">IF($A4056="","",$G4056&amp;"|"&amp;$J4056)</f>
        <v/>
      </c>
      <c r="L4056" s="10" t="str">
        <f aca="false">IF($A4056="","",ROW()-2)</f>
        <v/>
      </c>
      <c r="M4056" s="10" t="str">
        <f aca="false">IF($A4056="","",ROW())</f>
        <v/>
      </c>
    </row>
    <row r="4057" customFormat="false" ht="15" hidden="false" customHeight="true" outlineLevel="0" collapsed="false">
      <c r="A4057" s="8"/>
      <c r="B4057" s="8"/>
      <c r="C4057" s="8"/>
      <c r="D4057" s="8"/>
      <c r="E4057" s="8"/>
      <c r="F4057" s="8"/>
      <c r="G4057" s="10" t="str">
        <f aca="false">IF($A4057="","",UPPER(SUBSTITUTE(SUBSTITUTE(SUBSTITUTE(SUBSTITUTE($A4057," ",""),"(주)",""),"주식회사",""),"㈜","")))</f>
        <v/>
      </c>
      <c r="H4057" s="10" t="str">
        <f aca="false">IF($B4057="","",SUBSTITUTE(SUBSTITUTE(SUBSTITUTE($B4057,"-","")," ",""),".",""))</f>
        <v/>
      </c>
      <c r="I4057" s="10" t="str">
        <f aca="false">IF($D4057="","",SUBSTITUTE(SUBSTITUTE(SUBSTITUTE($D4057,"-","")," ",""),".",""))</f>
        <v/>
      </c>
      <c r="J4057" s="10" t="str">
        <f aca="false">IF($E4057="","",UPPER(SUBSTITUTE($E4057," ","")))</f>
        <v/>
      </c>
      <c r="K4057" s="10" t="str">
        <f aca="false">IF($A4057="","",$G4057&amp;"|"&amp;$J4057)</f>
        <v/>
      </c>
      <c r="L4057" s="10" t="str">
        <f aca="false">IF($A4057="","",ROW()-2)</f>
        <v/>
      </c>
      <c r="M4057" s="10" t="str">
        <f aca="false">IF($A4057="","",ROW())</f>
        <v/>
      </c>
    </row>
    <row r="4058" customFormat="false" ht="15" hidden="false" customHeight="true" outlineLevel="0" collapsed="false">
      <c r="A4058" s="8"/>
      <c r="B4058" s="8"/>
      <c r="C4058" s="8"/>
      <c r="D4058" s="8"/>
      <c r="E4058" s="8"/>
      <c r="F4058" s="8"/>
      <c r="G4058" s="10" t="str">
        <f aca="false">IF($A4058="","",UPPER(SUBSTITUTE(SUBSTITUTE(SUBSTITUTE(SUBSTITUTE($A4058," ",""),"(주)",""),"주식회사",""),"㈜","")))</f>
        <v/>
      </c>
      <c r="H4058" s="10" t="str">
        <f aca="false">IF($B4058="","",SUBSTITUTE(SUBSTITUTE(SUBSTITUTE($B4058,"-","")," ",""),".",""))</f>
        <v/>
      </c>
      <c r="I4058" s="10" t="str">
        <f aca="false">IF($D4058="","",SUBSTITUTE(SUBSTITUTE(SUBSTITUTE($D4058,"-","")," ",""),".",""))</f>
        <v/>
      </c>
      <c r="J4058" s="10" t="str">
        <f aca="false">IF($E4058="","",UPPER(SUBSTITUTE($E4058," ","")))</f>
        <v/>
      </c>
      <c r="K4058" s="10" t="str">
        <f aca="false">IF($A4058="","",$G4058&amp;"|"&amp;$J4058)</f>
        <v/>
      </c>
      <c r="L4058" s="10" t="str">
        <f aca="false">IF($A4058="","",ROW()-2)</f>
        <v/>
      </c>
      <c r="M4058" s="10" t="str">
        <f aca="false">IF($A4058="","",ROW())</f>
        <v/>
      </c>
    </row>
    <row r="4059" customFormat="false" ht="15" hidden="false" customHeight="true" outlineLevel="0" collapsed="false">
      <c r="A4059" s="8"/>
      <c r="B4059" s="8"/>
      <c r="C4059" s="8"/>
      <c r="D4059" s="8"/>
      <c r="E4059" s="8"/>
      <c r="F4059" s="8"/>
      <c r="G4059" s="10" t="str">
        <f aca="false">IF($A4059="","",UPPER(SUBSTITUTE(SUBSTITUTE(SUBSTITUTE(SUBSTITUTE($A4059," ",""),"(주)",""),"주식회사",""),"㈜","")))</f>
        <v/>
      </c>
      <c r="H4059" s="10" t="str">
        <f aca="false">IF($B4059="","",SUBSTITUTE(SUBSTITUTE(SUBSTITUTE($B4059,"-","")," ",""),".",""))</f>
        <v/>
      </c>
      <c r="I4059" s="10" t="str">
        <f aca="false">IF($D4059="","",SUBSTITUTE(SUBSTITUTE(SUBSTITUTE($D4059,"-","")," ",""),".",""))</f>
        <v/>
      </c>
      <c r="J4059" s="10" t="str">
        <f aca="false">IF($E4059="","",UPPER(SUBSTITUTE($E4059," ","")))</f>
        <v/>
      </c>
      <c r="K4059" s="10" t="str">
        <f aca="false">IF($A4059="","",$G4059&amp;"|"&amp;$J4059)</f>
        <v/>
      </c>
      <c r="L4059" s="10" t="str">
        <f aca="false">IF($A4059="","",ROW()-2)</f>
        <v/>
      </c>
      <c r="M4059" s="10" t="str">
        <f aca="false">IF($A4059="","",ROW())</f>
        <v/>
      </c>
    </row>
    <row r="4060" customFormat="false" ht="15" hidden="false" customHeight="true" outlineLevel="0" collapsed="false">
      <c r="A4060" s="8"/>
      <c r="B4060" s="8"/>
      <c r="C4060" s="8"/>
      <c r="D4060" s="8"/>
      <c r="E4060" s="8"/>
      <c r="F4060" s="8"/>
      <c r="G4060" s="10" t="str">
        <f aca="false">IF($A4060="","",UPPER(SUBSTITUTE(SUBSTITUTE(SUBSTITUTE(SUBSTITUTE($A4060," ",""),"(주)",""),"주식회사",""),"㈜","")))</f>
        <v/>
      </c>
      <c r="H4060" s="10" t="str">
        <f aca="false">IF($B4060="","",SUBSTITUTE(SUBSTITUTE(SUBSTITUTE($B4060,"-","")," ",""),".",""))</f>
        <v/>
      </c>
      <c r="I4060" s="10" t="str">
        <f aca="false">IF($D4060="","",SUBSTITUTE(SUBSTITUTE(SUBSTITUTE($D4060,"-","")," ",""),".",""))</f>
        <v/>
      </c>
      <c r="J4060" s="10" t="str">
        <f aca="false">IF($E4060="","",UPPER(SUBSTITUTE($E4060," ","")))</f>
        <v/>
      </c>
      <c r="K4060" s="10" t="str">
        <f aca="false">IF($A4060="","",$G4060&amp;"|"&amp;$J4060)</f>
        <v/>
      </c>
      <c r="L4060" s="10" t="str">
        <f aca="false">IF($A4060="","",ROW()-2)</f>
        <v/>
      </c>
      <c r="M4060" s="10" t="str">
        <f aca="false">IF($A4060="","",ROW())</f>
        <v/>
      </c>
    </row>
    <row r="4061" customFormat="false" ht="15" hidden="false" customHeight="true" outlineLevel="0" collapsed="false">
      <c r="A4061" s="8"/>
      <c r="B4061" s="8"/>
      <c r="C4061" s="8"/>
      <c r="D4061" s="8"/>
      <c r="E4061" s="8"/>
      <c r="F4061" s="8"/>
      <c r="G4061" s="10" t="str">
        <f aca="false">IF($A4061="","",UPPER(SUBSTITUTE(SUBSTITUTE(SUBSTITUTE(SUBSTITUTE($A4061," ",""),"(주)",""),"주식회사",""),"㈜","")))</f>
        <v/>
      </c>
      <c r="H4061" s="10" t="str">
        <f aca="false">IF($B4061="","",SUBSTITUTE(SUBSTITUTE(SUBSTITUTE($B4061,"-","")," ",""),".",""))</f>
        <v/>
      </c>
      <c r="I4061" s="10" t="str">
        <f aca="false">IF($D4061="","",SUBSTITUTE(SUBSTITUTE(SUBSTITUTE($D4061,"-","")," ",""),".",""))</f>
        <v/>
      </c>
      <c r="J4061" s="10" t="str">
        <f aca="false">IF($E4061="","",UPPER(SUBSTITUTE($E4061," ","")))</f>
        <v/>
      </c>
      <c r="K4061" s="10" t="str">
        <f aca="false">IF($A4061="","",$G4061&amp;"|"&amp;$J4061)</f>
        <v/>
      </c>
      <c r="L4061" s="10" t="str">
        <f aca="false">IF($A4061="","",ROW()-2)</f>
        <v/>
      </c>
      <c r="M4061" s="10" t="str">
        <f aca="false">IF($A4061="","",ROW())</f>
        <v/>
      </c>
    </row>
    <row r="4062" customFormat="false" ht="15" hidden="false" customHeight="true" outlineLevel="0" collapsed="false">
      <c r="A4062" s="8"/>
      <c r="B4062" s="8"/>
      <c r="C4062" s="8"/>
      <c r="D4062" s="8"/>
      <c r="E4062" s="8"/>
      <c r="F4062" s="8"/>
      <c r="G4062" s="10" t="str">
        <f aca="false">IF($A4062="","",UPPER(SUBSTITUTE(SUBSTITUTE(SUBSTITUTE(SUBSTITUTE($A4062," ",""),"(주)",""),"주식회사",""),"㈜","")))</f>
        <v/>
      </c>
      <c r="H4062" s="10" t="str">
        <f aca="false">IF($B4062="","",SUBSTITUTE(SUBSTITUTE(SUBSTITUTE($B4062,"-","")," ",""),".",""))</f>
        <v/>
      </c>
      <c r="I4062" s="10" t="str">
        <f aca="false">IF($D4062="","",SUBSTITUTE(SUBSTITUTE(SUBSTITUTE($D4062,"-","")," ",""),".",""))</f>
        <v/>
      </c>
      <c r="J4062" s="10" t="str">
        <f aca="false">IF($E4062="","",UPPER(SUBSTITUTE($E4062," ","")))</f>
        <v/>
      </c>
      <c r="K4062" s="10" t="str">
        <f aca="false">IF($A4062="","",$G4062&amp;"|"&amp;$J4062)</f>
        <v/>
      </c>
      <c r="L4062" s="10" t="str">
        <f aca="false">IF($A4062="","",ROW()-2)</f>
        <v/>
      </c>
      <c r="M4062" s="10" t="str">
        <f aca="false">IF($A4062="","",ROW())</f>
        <v/>
      </c>
    </row>
    <row r="4063" customFormat="false" ht="15" hidden="false" customHeight="true" outlineLevel="0" collapsed="false">
      <c r="A4063" s="8"/>
      <c r="B4063" s="8"/>
      <c r="C4063" s="8"/>
      <c r="D4063" s="8"/>
      <c r="E4063" s="8"/>
      <c r="F4063" s="8"/>
      <c r="G4063" s="10" t="str">
        <f aca="false">IF($A4063="","",UPPER(SUBSTITUTE(SUBSTITUTE(SUBSTITUTE(SUBSTITUTE($A4063," ",""),"(주)",""),"주식회사",""),"㈜","")))</f>
        <v/>
      </c>
      <c r="H4063" s="10" t="str">
        <f aca="false">IF($B4063="","",SUBSTITUTE(SUBSTITUTE(SUBSTITUTE($B4063,"-","")," ",""),".",""))</f>
        <v/>
      </c>
      <c r="I4063" s="10" t="str">
        <f aca="false">IF($D4063="","",SUBSTITUTE(SUBSTITUTE(SUBSTITUTE($D4063,"-","")," ",""),".",""))</f>
        <v/>
      </c>
      <c r="J4063" s="10" t="str">
        <f aca="false">IF($E4063="","",UPPER(SUBSTITUTE($E4063," ","")))</f>
        <v/>
      </c>
      <c r="K4063" s="10" t="str">
        <f aca="false">IF($A4063="","",$G4063&amp;"|"&amp;$J4063)</f>
        <v/>
      </c>
      <c r="L4063" s="10" t="str">
        <f aca="false">IF($A4063="","",ROW()-2)</f>
        <v/>
      </c>
      <c r="M4063" s="10" t="str">
        <f aca="false">IF($A4063="","",ROW())</f>
        <v/>
      </c>
    </row>
    <row r="4064" customFormat="false" ht="15" hidden="false" customHeight="true" outlineLevel="0" collapsed="false">
      <c r="A4064" s="8"/>
      <c r="B4064" s="8"/>
      <c r="C4064" s="8"/>
      <c r="D4064" s="8"/>
      <c r="E4064" s="8"/>
      <c r="F4064" s="8"/>
      <c r="G4064" s="10" t="str">
        <f aca="false">IF($A4064="","",UPPER(SUBSTITUTE(SUBSTITUTE(SUBSTITUTE(SUBSTITUTE($A4064," ",""),"(주)",""),"주식회사",""),"㈜","")))</f>
        <v/>
      </c>
      <c r="H4064" s="10" t="str">
        <f aca="false">IF($B4064="","",SUBSTITUTE(SUBSTITUTE(SUBSTITUTE($B4064,"-","")," ",""),".",""))</f>
        <v/>
      </c>
      <c r="I4064" s="10" t="str">
        <f aca="false">IF($D4064="","",SUBSTITUTE(SUBSTITUTE(SUBSTITUTE($D4064,"-","")," ",""),".",""))</f>
        <v/>
      </c>
      <c r="J4064" s="10" t="str">
        <f aca="false">IF($E4064="","",UPPER(SUBSTITUTE($E4064," ","")))</f>
        <v/>
      </c>
      <c r="K4064" s="10" t="str">
        <f aca="false">IF($A4064="","",$G4064&amp;"|"&amp;$J4064)</f>
        <v/>
      </c>
      <c r="L4064" s="10" t="str">
        <f aca="false">IF($A4064="","",ROW()-2)</f>
        <v/>
      </c>
      <c r="M4064" s="10" t="str">
        <f aca="false">IF($A4064="","",ROW())</f>
        <v/>
      </c>
    </row>
    <row r="4065" customFormat="false" ht="15" hidden="false" customHeight="true" outlineLevel="0" collapsed="false">
      <c r="A4065" s="8"/>
      <c r="B4065" s="8"/>
      <c r="C4065" s="8"/>
      <c r="D4065" s="8"/>
      <c r="E4065" s="8"/>
      <c r="F4065" s="8"/>
      <c r="G4065" s="10" t="str">
        <f aca="false">IF($A4065="","",UPPER(SUBSTITUTE(SUBSTITUTE(SUBSTITUTE(SUBSTITUTE($A4065," ",""),"(주)",""),"주식회사",""),"㈜","")))</f>
        <v/>
      </c>
      <c r="H4065" s="10" t="str">
        <f aca="false">IF($B4065="","",SUBSTITUTE(SUBSTITUTE(SUBSTITUTE($B4065,"-","")," ",""),".",""))</f>
        <v/>
      </c>
      <c r="I4065" s="10" t="str">
        <f aca="false">IF($D4065="","",SUBSTITUTE(SUBSTITUTE(SUBSTITUTE($D4065,"-","")," ",""),".",""))</f>
        <v/>
      </c>
      <c r="J4065" s="10" t="str">
        <f aca="false">IF($E4065="","",UPPER(SUBSTITUTE($E4065," ","")))</f>
        <v/>
      </c>
      <c r="K4065" s="10" t="str">
        <f aca="false">IF($A4065="","",$G4065&amp;"|"&amp;$J4065)</f>
        <v/>
      </c>
      <c r="L4065" s="10" t="str">
        <f aca="false">IF($A4065="","",ROW()-2)</f>
        <v/>
      </c>
      <c r="M4065" s="10" t="str">
        <f aca="false">IF($A4065="","",ROW())</f>
        <v/>
      </c>
    </row>
    <row r="4066" customFormat="false" ht="15" hidden="false" customHeight="true" outlineLevel="0" collapsed="false">
      <c r="A4066" s="8"/>
      <c r="B4066" s="8"/>
      <c r="C4066" s="8"/>
      <c r="D4066" s="8"/>
      <c r="E4066" s="8"/>
      <c r="F4066" s="8"/>
      <c r="G4066" s="10" t="str">
        <f aca="false">IF($A4066="","",UPPER(SUBSTITUTE(SUBSTITUTE(SUBSTITUTE(SUBSTITUTE($A4066," ",""),"(주)",""),"주식회사",""),"㈜","")))</f>
        <v/>
      </c>
      <c r="H4066" s="10" t="str">
        <f aca="false">IF($B4066="","",SUBSTITUTE(SUBSTITUTE(SUBSTITUTE($B4066,"-","")," ",""),".",""))</f>
        <v/>
      </c>
      <c r="I4066" s="10" t="str">
        <f aca="false">IF($D4066="","",SUBSTITUTE(SUBSTITUTE(SUBSTITUTE($D4066,"-","")," ",""),".",""))</f>
        <v/>
      </c>
      <c r="J4066" s="10" t="str">
        <f aca="false">IF($E4066="","",UPPER(SUBSTITUTE($E4066," ","")))</f>
        <v/>
      </c>
      <c r="K4066" s="10" t="str">
        <f aca="false">IF($A4066="","",$G4066&amp;"|"&amp;$J4066)</f>
        <v/>
      </c>
      <c r="L4066" s="10" t="str">
        <f aca="false">IF($A4066="","",ROW()-2)</f>
        <v/>
      </c>
      <c r="M4066" s="10" t="str">
        <f aca="false">IF($A4066="","",ROW())</f>
        <v/>
      </c>
    </row>
    <row r="4067" customFormat="false" ht="15" hidden="false" customHeight="true" outlineLevel="0" collapsed="false">
      <c r="A4067" s="8"/>
      <c r="B4067" s="8"/>
      <c r="C4067" s="8"/>
      <c r="D4067" s="8"/>
      <c r="E4067" s="8"/>
      <c r="F4067" s="8"/>
      <c r="G4067" s="10" t="str">
        <f aca="false">IF($A4067="","",UPPER(SUBSTITUTE(SUBSTITUTE(SUBSTITUTE(SUBSTITUTE($A4067," ",""),"(주)",""),"주식회사",""),"㈜","")))</f>
        <v/>
      </c>
      <c r="H4067" s="10" t="str">
        <f aca="false">IF($B4067="","",SUBSTITUTE(SUBSTITUTE(SUBSTITUTE($B4067,"-","")," ",""),".",""))</f>
        <v/>
      </c>
      <c r="I4067" s="10" t="str">
        <f aca="false">IF($D4067="","",SUBSTITUTE(SUBSTITUTE(SUBSTITUTE($D4067,"-","")," ",""),".",""))</f>
        <v/>
      </c>
      <c r="J4067" s="10" t="str">
        <f aca="false">IF($E4067="","",UPPER(SUBSTITUTE($E4067," ","")))</f>
        <v/>
      </c>
      <c r="K4067" s="10" t="str">
        <f aca="false">IF($A4067="","",$G4067&amp;"|"&amp;$J4067)</f>
        <v/>
      </c>
      <c r="L4067" s="10" t="str">
        <f aca="false">IF($A4067="","",ROW()-2)</f>
        <v/>
      </c>
      <c r="M4067" s="10" t="str">
        <f aca="false">IF($A4067="","",ROW())</f>
        <v/>
      </c>
    </row>
    <row r="4068" customFormat="false" ht="15" hidden="false" customHeight="true" outlineLevel="0" collapsed="false">
      <c r="A4068" s="8"/>
      <c r="B4068" s="8"/>
      <c r="C4068" s="8"/>
      <c r="D4068" s="8"/>
      <c r="E4068" s="8"/>
      <c r="F4068" s="8"/>
      <c r="G4068" s="10" t="str">
        <f aca="false">IF($A4068="","",UPPER(SUBSTITUTE(SUBSTITUTE(SUBSTITUTE(SUBSTITUTE($A4068," ",""),"(주)",""),"주식회사",""),"㈜","")))</f>
        <v/>
      </c>
      <c r="H4068" s="10" t="str">
        <f aca="false">IF($B4068="","",SUBSTITUTE(SUBSTITUTE(SUBSTITUTE($B4068,"-","")," ",""),".",""))</f>
        <v/>
      </c>
      <c r="I4068" s="10" t="str">
        <f aca="false">IF($D4068="","",SUBSTITUTE(SUBSTITUTE(SUBSTITUTE($D4068,"-","")," ",""),".",""))</f>
        <v/>
      </c>
      <c r="J4068" s="10" t="str">
        <f aca="false">IF($E4068="","",UPPER(SUBSTITUTE($E4068," ","")))</f>
        <v/>
      </c>
      <c r="K4068" s="10" t="str">
        <f aca="false">IF($A4068="","",$G4068&amp;"|"&amp;$J4068)</f>
        <v/>
      </c>
      <c r="L4068" s="10" t="str">
        <f aca="false">IF($A4068="","",ROW()-2)</f>
        <v/>
      </c>
      <c r="M4068" s="10" t="str">
        <f aca="false">IF($A4068="","",ROW())</f>
        <v/>
      </c>
    </row>
    <row r="4069" customFormat="false" ht="15" hidden="false" customHeight="true" outlineLevel="0" collapsed="false">
      <c r="A4069" s="8"/>
      <c r="B4069" s="8"/>
      <c r="C4069" s="8"/>
      <c r="D4069" s="8"/>
      <c r="E4069" s="8"/>
      <c r="F4069" s="8"/>
      <c r="G4069" s="10" t="str">
        <f aca="false">IF($A4069="","",UPPER(SUBSTITUTE(SUBSTITUTE(SUBSTITUTE(SUBSTITUTE($A4069," ",""),"(주)",""),"주식회사",""),"㈜","")))</f>
        <v/>
      </c>
      <c r="H4069" s="10" t="str">
        <f aca="false">IF($B4069="","",SUBSTITUTE(SUBSTITUTE(SUBSTITUTE($B4069,"-","")," ",""),".",""))</f>
        <v/>
      </c>
      <c r="I4069" s="10" t="str">
        <f aca="false">IF($D4069="","",SUBSTITUTE(SUBSTITUTE(SUBSTITUTE($D4069,"-","")," ",""),".",""))</f>
        <v/>
      </c>
      <c r="J4069" s="10" t="str">
        <f aca="false">IF($E4069="","",UPPER(SUBSTITUTE($E4069," ","")))</f>
        <v/>
      </c>
      <c r="K4069" s="10" t="str">
        <f aca="false">IF($A4069="","",$G4069&amp;"|"&amp;$J4069)</f>
        <v/>
      </c>
      <c r="L4069" s="10" t="str">
        <f aca="false">IF($A4069="","",ROW()-2)</f>
        <v/>
      </c>
      <c r="M4069" s="10" t="str">
        <f aca="false">IF($A4069="","",ROW())</f>
        <v/>
      </c>
    </row>
    <row r="4070" customFormat="false" ht="15" hidden="false" customHeight="true" outlineLevel="0" collapsed="false">
      <c r="A4070" s="8"/>
      <c r="B4070" s="8"/>
      <c r="C4070" s="8"/>
      <c r="D4070" s="8"/>
      <c r="E4070" s="8"/>
      <c r="F4070" s="8"/>
      <c r="G4070" s="10" t="str">
        <f aca="false">IF($A4070="","",UPPER(SUBSTITUTE(SUBSTITUTE(SUBSTITUTE(SUBSTITUTE($A4070," ",""),"(주)",""),"주식회사",""),"㈜","")))</f>
        <v/>
      </c>
      <c r="H4070" s="10" t="str">
        <f aca="false">IF($B4070="","",SUBSTITUTE(SUBSTITUTE(SUBSTITUTE($B4070,"-","")," ",""),".",""))</f>
        <v/>
      </c>
      <c r="I4070" s="10" t="str">
        <f aca="false">IF($D4070="","",SUBSTITUTE(SUBSTITUTE(SUBSTITUTE($D4070,"-","")," ",""),".",""))</f>
        <v/>
      </c>
      <c r="J4070" s="10" t="str">
        <f aca="false">IF($E4070="","",UPPER(SUBSTITUTE($E4070," ","")))</f>
        <v/>
      </c>
      <c r="K4070" s="10" t="str">
        <f aca="false">IF($A4070="","",$G4070&amp;"|"&amp;$J4070)</f>
        <v/>
      </c>
      <c r="L4070" s="10" t="str">
        <f aca="false">IF($A4070="","",ROW()-2)</f>
        <v/>
      </c>
      <c r="M4070" s="10" t="str">
        <f aca="false">IF($A4070="","",ROW())</f>
        <v/>
      </c>
    </row>
    <row r="4071" customFormat="false" ht="15" hidden="false" customHeight="true" outlineLevel="0" collapsed="false">
      <c r="A4071" s="8"/>
      <c r="B4071" s="8"/>
      <c r="C4071" s="8"/>
      <c r="D4071" s="8"/>
      <c r="E4071" s="8"/>
      <c r="F4071" s="8"/>
      <c r="G4071" s="10" t="str">
        <f aca="false">IF($A4071="","",UPPER(SUBSTITUTE(SUBSTITUTE(SUBSTITUTE(SUBSTITUTE($A4071," ",""),"(주)",""),"주식회사",""),"㈜","")))</f>
        <v/>
      </c>
      <c r="H4071" s="10" t="str">
        <f aca="false">IF($B4071="","",SUBSTITUTE(SUBSTITUTE(SUBSTITUTE($B4071,"-","")," ",""),".",""))</f>
        <v/>
      </c>
      <c r="I4071" s="10" t="str">
        <f aca="false">IF($D4071="","",SUBSTITUTE(SUBSTITUTE(SUBSTITUTE($D4071,"-","")," ",""),".",""))</f>
        <v/>
      </c>
      <c r="J4071" s="10" t="str">
        <f aca="false">IF($E4071="","",UPPER(SUBSTITUTE($E4071," ","")))</f>
        <v/>
      </c>
      <c r="K4071" s="10" t="str">
        <f aca="false">IF($A4071="","",$G4071&amp;"|"&amp;$J4071)</f>
        <v/>
      </c>
      <c r="L4071" s="10" t="str">
        <f aca="false">IF($A4071="","",ROW()-2)</f>
        <v/>
      </c>
      <c r="M4071" s="10" t="str">
        <f aca="false">IF($A4071="","",ROW())</f>
        <v/>
      </c>
    </row>
    <row r="4072" customFormat="false" ht="15" hidden="false" customHeight="true" outlineLevel="0" collapsed="false">
      <c r="A4072" s="8"/>
      <c r="B4072" s="8"/>
      <c r="C4072" s="8"/>
      <c r="D4072" s="8"/>
      <c r="E4072" s="8"/>
      <c r="F4072" s="8"/>
      <c r="G4072" s="10" t="str">
        <f aca="false">IF($A4072="","",UPPER(SUBSTITUTE(SUBSTITUTE(SUBSTITUTE(SUBSTITUTE($A4072," ",""),"(주)",""),"주식회사",""),"㈜","")))</f>
        <v/>
      </c>
      <c r="H4072" s="10" t="str">
        <f aca="false">IF($B4072="","",SUBSTITUTE(SUBSTITUTE(SUBSTITUTE($B4072,"-","")," ",""),".",""))</f>
        <v/>
      </c>
      <c r="I4072" s="10" t="str">
        <f aca="false">IF($D4072="","",SUBSTITUTE(SUBSTITUTE(SUBSTITUTE($D4072,"-","")," ",""),".",""))</f>
        <v/>
      </c>
      <c r="J4072" s="10" t="str">
        <f aca="false">IF($E4072="","",UPPER(SUBSTITUTE($E4072," ","")))</f>
        <v/>
      </c>
      <c r="K4072" s="10" t="str">
        <f aca="false">IF($A4072="","",$G4072&amp;"|"&amp;$J4072)</f>
        <v/>
      </c>
      <c r="L4072" s="10" t="str">
        <f aca="false">IF($A4072="","",ROW()-2)</f>
        <v/>
      </c>
      <c r="M4072" s="10" t="str">
        <f aca="false">IF($A4072="","",ROW())</f>
        <v/>
      </c>
    </row>
    <row r="4073" customFormat="false" ht="15" hidden="false" customHeight="true" outlineLevel="0" collapsed="false">
      <c r="A4073" s="8"/>
      <c r="B4073" s="8"/>
      <c r="C4073" s="8"/>
      <c r="D4073" s="8"/>
      <c r="E4073" s="8"/>
      <c r="F4073" s="8"/>
      <c r="G4073" s="10" t="str">
        <f aca="false">IF($A4073="","",UPPER(SUBSTITUTE(SUBSTITUTE(SUBSTITUTE(SUBSTITUTE($A4073," ",""),"(주)",""),"주식회사",""),"㈜","")))</f>
        <v/>
      </c>
      <c r="H4073" s="10" t="str">
        <f aca="false">IF($B4073="","",SUBSTITUTE(SUBSTITUTE(SUBSTITUTE($B4073,"-","")," ",""),".",""))</f>
        <v/>
      </c>
      <c r="I4073" s="10" t="str">
        <f aca="false">IF($D4073="","",SUBSTITUTE(SUBSTITUTE(SUBSTITUTE($D4073,"-","")," ",""),".",""))</f>
        <v/>
      </c>
      <c r="J4073" s="10" t="str">
        <f aca="false">IF($E4073="","",UPPER(SUBSTITUTE($E4073," ","")))</f>
        <v/>
      </c>
      <c r="K4073" s="10" t="str">
        <f aca="false">IF($A4073="","",$G4073&amp;"|"&amp;$J4073)</f>
        <v/>
      </c>
      <c r="L4073" s="10" t="str">
        <f aca="false">IF($A4073="","",ROW()-2)</f>
        <v/>
      </c>
      <c r="M4073" s="10" t="str">
        <f aca="false">IF($A4073="","",ROW())</f>
        <v/>
      </c>
    </row>
    <row r="4074" customFormat="false" ht="15" hidden="false" customHeight="true" outlineLevel="0" collapsed="false">
      <c r="A4074" s="8"/>
      <c r="B4074" s="8"/>
      <c r="C4074" s="8"/>
      <c r="D4074" s="8"/>
      <c r="E4074" s="8"/>
      <c r="F4074" s="8"/>
      <c r="G4074" s="10" t="str">
        <f aca="false">IF($A4074="","",UPPER(SUBSTITUTE(SUBSTITUTE(SUBSTITUTE(SUBSTITUTE($A4074," ",""),"(주)",""),"주식회사",""),"㈜","")))</f>
        <v/>
      </c>
      <c r="H4074" s="10" t="str">
        <f aca="false">IF($B4074="","",SUBSTITUTE(SUBSTITUTE(SUBSTITUTE($B4074,"-","")," ",""),".",""))</f>
        <v/>
      </c>
      <c r="I4074" s="10" t="str">
        <f aca="false">IF($D4074="","",SUBSTITUTE(SUBSTITUTE(SUBSTITUTE($D4074,"-","")," ",""),".",""))</f>
        <v/>
      </c>
      <c r="J4074" s="10" t="str">
        <f aca="false">IF($E4074="","",UPPER(SUBSTITUTE($E4074," ","")))</f>
        <v/>
      </c>
      <c r="K4074" s="10" t="str">
        <f aca="false">IF($A4074="","",$G4074&amp;"|"&amp;$J4074)</f>
        <v/>
      </c>
      <c r="L4074" s="10" t="str">
        <f aca="false">IF($A4074="","",ROW()-2)</f>
        <v/>
      </c>
      <c r="M4074" s="10" t="str">
        <f aca="false">IF($A4074="","",ROW())</f>
        <v/>
      </c>
    </row>
    <row r="4075" customFormat="false" ht="15" hidden="false" customHeight="true" outlineLevel="0" collapsed="false">
      <c r="A4075" s="8"/>
      <c r="B4075" s="8"/>
      <c r="C4075" s="8"/>
      <c r="D4075" s="8"/>
      <c r="E4075" s="8"/>
      <c r="F4075" s="8"/>
      <c r="G4075" s="10" t="str">
        <f aca="false">IF($A4075="","",UPPER(SUBSTITUTE(SUBSTITUTE(SUBSTITUTE(SUBSTITUTE($A4075," ",""),"(주)",""),"주식회사",""),"㈜","")))</f>
        <v/>
      </c>
      <c r="H4075" s="10" t="str">
        <f aca="false">IF($B4075="","",SUBSTITUTE(SUBSTITUTE(SUBSTITUTE($B4075,"-","")," ",""),".",""))</f>
        <v/>
      </c>
      <c r="I4075" s="10" t="str">
        <f aca="false">IF($D4075="","",SUBSTITUTE(SUBSTITUTE(SUBSTITUTE($D4075,"-","")," ",""),".",""))</f>
        <v/>
      </c>
      <c r="J4075" s="10" t="str">
        <f aca="false">IF($E4075="","",UPPER(SUBSTITUTE($E4075," ","")))</f>
        <v/>
      </c>
      <c r="K4075" s="10" t="str">
        <f aca="false">IF($A4075="","",$G4075&amp;"|"&amp;$J4075)</f>
        <v/>
      </c>
      <c r="L4075" s="10" t="str">
        <f aca="false">IF($A4075="","",ROW()-2)</f>
        <v/>
      </c>
      <c r="M4075" s="10" t="str">
        <f aca="false">IF($A4075="","",ROW())</f>
        <v/>
      </c>
    </row>
    <row r="4076" customFormat="false" ht="15" hidden="false" customHeight="true" outlineLevel="0" collapsed="false">
      <c r="A4076" s="8"/>
      <c r="B4076" s="8"/>
      <c r="C4076" s="8"/>
      <c r="D4076" s="8"/>
      <c r="E4076" s="8"/>
      <c r="F4076" s="8"/>
      <c r="G4076" s="10" t="str">
        <f aca="false">IF($A4076="","",UPPER(SUBSTITUTE(SUBSTITUTE(SUBSTITUTE(SUBSTITUTE($A4076," ",""),"(주)",""),"주식회사",""),"㈜","")))</f>
        <v/>
      </c>
      <c r="H4076" s="10" t="str">
        <f aca="false">IF($B4076="","",SUBSTITUTE(SUBSTITUTE(SUBSTITUTE($B4076,"-","")," ",""),".",""))</f>
        <v/>
      </c>
      <c r="I4076" s="10" t="str">
        <f aca="false">IF($D4076="","",SUBSTITUTE(SUBSTITUTE(SUBSTITUTE($D4076,"-","")," ",""),".",""))</f>
        <v/>
      </c>
      <c r="J4076" s="10" t="str">
        <f aca="false">IF($E4076="","",UPPER(SUBSTITUTE($E4076," ","")))</f>
        <v/>
      </c>
      <c r="K4076" s="10" t="str">
        <f aca="false">IF($A4076="","",$G4076&amp;"|"&amp;$J4076)</f>
        <v/>
      </c>
      <c r="L4076" s="10" t="str">
        <f aca="false">IF($A4076="","",ROW()-2)</f>
        <v/>
      </c>
      <c r="M4076" s="10" t="str">
        <f aca="false">IF($A4076="","",ROW())</f>
        <v/>
      </c>
    </row>
    <row r="4077" customFormat="false" ht="15" hidden="false" customHeight="true" outlineLevel="0" collapsed="false">
      <c r="A4077" s="8"/>
      <c r="B4077" s="8"/>
      <c r="C4077" s="8"/>
      <c r="D4077" s="8"/>
      <c r="E4077" s="8"/>
      <c r="F4077" s="8"/>
      <c r="G4077" s="10" t="str">
        <f aca="false">IF($A4077="","",UPPER(SUBSTITUTE(SUBSTITUTE(SUBSTITUTE(SUBSTITUTE($A4077," ",""),"(주)",""),"주식회사",""),"㈜","")))</f>
        <v/>
      </c>
      <c r="H4077" s="10" t="str">
        <f aca="false">IF($B4077="","",SUBSTITUTE(SUBSTITUTE(SUBSTITUTE($B4077,"-","")," ",""),".",""))</f>
        <v/>
      </c>
      <c r="I4077" s="10" t="str">
        <f aca="false">IF($D4077="","",SUBSTITUTE(SUBSTITUTE(SUBSTITUTE($D4077,"-","")," ",""),".",""))</f>
        <v/>
      </c>
      <c r="J4077" s="10" t="str">
        <f aca="false">IF($E4077="","",UPPER(SUBSTITUTE($E4077," ","")))</f>
        <v/>
      </c>
      <c r="K4077" s="10" t="str">
        <f aca="false">IF($A4077="","",$G4077&amp;"|"&amp;$J4077)</f>
        <v/>
      </c>
      <c r="L4077" s="10" t="str">
        <f aca="false">IF($A4077="","",ROW()-2)</f>
        <v/>
      </c>
      <c r="M4077" s="10" t="str">
        <f aca="false">IF($A4077="","",ROW())</f>
        <v/>
      </c>
    </row>
    <row r="4078" customFormat="false" ht="15" hidden="false" customHeight="true" outlineLevel="0" collapsed="false">
      <c r="A4078" s="8"/>
      <c r="B4078" s="8"/>
      <c r="C4078" s="8"/>
      <c r="D4078" s="8"/>
      <c r="E4078" s="8"/>
      <c r="F4078" s="8"/>
      <c r="G4078" s="10" t="str">
        <f aca="false">IF($A4078="","",UPPER(SUBSTITUTE(SUBSTITUTE(SUBSTITUTE(SUBSTITUTE($A4078," ",""),"(주)",""),"주식회사",""),"㈜","")))</f>
        <v/>
      </c>
      <c r="H4078" s="10" t="str">
        <f aca="false">IF($B4078="","",SUBSTITUTE(SUBSTITUTE(SUBSTITUTE($B4078,"-","")," ",""),".",""))</f>
        <v/>
      </c>
      <c r="I4078" s="10" t="str">
        <f aca="false">IF($D4078="","",SUBSTITUTE(SUBSTITUTE(SUBSTITUTE($D4078,"-","")," ",""),".",""))</f>
        <v/>
      </c>
      <c r="J4078" s="10" t="str">
        <f aca="false">IF($E4078="","",UPPER(SUBSTITUTE($E4078," ","")))</f>
        <v/>
      </c>
      <c r="K4078" s="10" t="str">
        <f aca="false">IF($A4078="","",$G4078&amp;"|"&amp;$J4078)</f>
        <v/>
      </c>
      <c r="L4078" s="10" t="str">
        <f aca="false">IF($A4078="","",ROW()-2)</f>
        <v/>
      </c>
      <c r="M4078" s="10" t="str">
        <f aca="false">IF($A4078="","",ROW())</f>
        <v/>
      </c>
    </row>
    <row r="4079" customFormat="false" ht="15" hidden="false" customHeight="true" outlineLevel="0" collapsed="false">
      <c r="A4079" s="8"/>
      <c r="B4079" s="8"/>
      <c r="C4079" s="8"/>
      <c r="D4079" s="8"/>
      <c r="E4079" s="8"/>
      <c r="F4079" s="8"/>
      <c r="G4079" s="10" t="str">
        <f aca="false">IF($A4079="","",UPPER(SUBSTITUTE(SUBSTITUTE(SUBSTITUTE(SUBSTITUTE($A4079," ",""),"(주)",""),"주식회사",""),"㈜","")))</f>
        <v/>
      </c>
      <c r="H4079" s="10" t="str">
        <f aca="false">IF($B4079="","",SUBSTITUTE(SUBSTITUTE(SUBSTITUTE($B4079,"-","")," ",""),".",""))</f>
        <v/>
      </c>
      <c r="I4079" s="10" t="str">
        <f aca="false">IF($D4079="","",SUBSTITUTE(SUBSTITUTE(SUBSTITUTE($D4079,"-","")," ",""),".",""))</f>
        <v/>
      </c>
      <c r="J4079" s="10" t="str">
        <f aca="false">IF($E4079="","",UPPER(SUBSTITUTE($E4079," ","")))</f>
        <v/>
      </c>
      <c r="K4079" s="10" t="str">
        <f aca="false">IF($A4079="","",$G4079&amp;"|"&amp;$J4079)</f>
        <v/>
      </c>
      <c r="L4079" s="10" t="str">
        <f aca="false">IF($A4079="","",ROW()-2)</f>
        <v/>
      </c>
      <c r="M4079" s="10" t="str">
        <f aca="false">IF($A4079="","",ROW())</f>
        <v/>
      </c>
    </row>
    <row r="4080" customFormat="false" ht="15" hidden="false" customHeight="true" outlineLevel="0" collapsed="false">
      <c r="A4080" s="8"/>
      <c r="B4080" s="8"/>
      <c r="C4080" s="8"/>
      <c r="D4080" s="8"/>
      <c r="E4080" s="8"/>
      <c r="F4080" s="8"/>
      <c r="G4080" s="10" t="str">
        <f aca="false">IF($A4080="","",UPPER(SUBSTITUTE(SUBSTITUTE(SUBSTITUTE(SUBSTITUTE($A4080," ",""),"(주)",""),"주식회사",""),"㈜","")))</f>
        <v/>
      </c>
      <c r="H4080" s="10" t="str">
        <f aca="false">IF($B4080="","",SUBSTITUTE(SUBSTITUTE(SUBSTITUTE($B4080,"-","")," ",""),".",""))</f>
        <v/>
      </c>
      <c r="I4080" s="10" t="str">
        <f aca="false">IF($D4080="","",SUBSTITUTE(SUBSTITUTE(SUBSTITUTE($D4080,"-","")," ",""),".",""))</f>
        <v/>
      </c>
      <c r="J4080" s="10" t="str">
        <f aca="false">IF($E4080="","",UPPER(SUBSTITUTE($E4080," ","")))</f>
        <v/>
      </c>
      <c r="K4080" s="10" t="str">
        <f aca="false">IF($A4080="","",$G4080&amp;"|"&amp;$J4080)</f>
        <v/>
      </c>
      <c r="L4080" s="10" t="str">
        <f aca="false">IF($A4080="","",ROW()-2)</f>
        <v/>
      </c>
      <c r="M4080" s="10" t="str">
        <f aca="false">IF($A4080="","",ROW())</f>
        <v/>
      </c>
    </row>
    <row r="4081" customFormat="false" ht="15" hidden="false" customHeight="true" outlineLevel="0" collapsed="false">
      <c r="A4081" s="8"/>
      <c r="B4081" s="8"/>
      <c r="C4081" s="8"/>
      <c r="D4081" s="8"/>
      <c r="E4081" s="8"/>
      <c r="F4081" s="8"/>
      <c r="G4081" s="10" t="str">
        <f aca="false">IF($A4081="","",UPPER(SUBSTITUTE(SUBSTITUTE(SUBSTITUTE(SUBSTITUTE($A4081," ",""),"(주)",""),"주식회사",""),"㈜","")))</f>
        <v/>
      </c>
      <c r="H4081" s="10" t="str">
        <f aca="false">IF($B4081="","",SUBSTITUTE(SUBSTITUTE(SUBSTITUTE($B4081,"-","")," ",""),".",""))</f>
        <v/>
      </c>
      <c r="I4081" s="10" t="str">
        <f aca="false">IF($D4081="","",SUBSTITUTE(SUBSTITUTE(SUBSTITUTE($D4081,"-","")," ",""),".",""))</f>
        <v/>
      </c>
      <c r="J4081" s="10" t="str">
        <f aca="false">IF($E4081="","",UPPER(SUBSTITUTE($E4081," ","")))</f>
        <v/>
      </c>
      <c r="K4081" s="10" t="str">
        <f aca="false">IF($A4081="","",$G4081&amp;"|"&amp;$J4081)</f>
        <v/>
      </c>
      <c r="L4081" s="10" t="str">
        <f aca="false">IF($A4081="","",ROW()-2)</f>
        <v/>
      </c>
      <c r="M4081" s="10" t="str">
        <f aca="false">IF($A4081="","",ROW())</f>
        <v/>
      </c>
    </row>
    <row r="4082" customFormat="false" ht="15" hidden="false" customHeight="true" outlineLevel="0" collapsed="false">
      <c r="A4082" s="8"/>
      <c r="B4082" s="8"/>
      <c r="C4082" s="8"/>
      <c r="D4082" s="8"/>
      <c r="E4082" s="8"/>
      <c r="F4082" s="8"/>
      <c r="G4082" s="10" t="str">
        <f aca="false">IF($A4082="","",UPPER(SUBSTITUTE(SUBSTITUTE(SUBSTITUTE(SUBSTITUTE($A4082," ",""),"(주)",""),"주식회사",""),"㈜","")))</f>
        <v/>
      </c>
      <c r="H4082" s="10" t="str">
        <f aca="false">IF($B4082="","",SUBSTITUTE(SUBSTITUTE(SUBSTITUTE($B4082,"-","")," ",""),".",""))</f>
        <v/>
      </c>
      <c r="I4082" s="10" t="str">
        <f aca="false">IF($D4082="","",SUBSTITUTE(SUBSTITUTE(SUBSTITUTE($D4082,"-","")," ",""),".",""))</f>
        <v/>
      </c>
      <c r="J4082" s="10" t="str">
        <f aca="false">IF($E4082="","",UPPER(SUBSTITUTE($E4082," ","")))</f>
        <v/>
      </c>
      <c r="K4082" s="10" t="str">
        <f aca="false">IF($A4082="","",$G4082&amp;"|"&amp;$J4082)</f>
        <v/>
      </c>
      <c r="L4082" s="10" t="str">
        <f aca="false">IF($A4082="","",ROW()-2)</f>
        <v/>
      </c>
      <c r="M4082" s="10" t="str">
        <f aca="false">IF($A4082="","",ROW())</f>
        <v/>
      </c>
    </row>
    <row r="4083" customFormat="false" ht="15" hidden="false" customHeight="true" outlineLevel="0" collapsed="false">
      <c r="A4083" s="8"/>
      <c r="B4083" s="8"/>
      <c r="C4083" s="8"/>
      <c r="D4083" s="8"/>
      <c r="E4083" s="8"/>
      <c r="F4083" s="8"/>
      <c r="G4083" s="10" t="str">
        <f aca="false">IF($A4083="","",UPPER(SUBSTITUTE(SUBSTITUTE(SUBSTITUTE(SUBSTITUTE($A4083," ",""),"(주)",""),"주식회사",""),"㈜","")))</f>
        <v/>
      </c>
      <c r="H4083" s="10" t="str">
        <f aca="false">IF($B4083="","",SUBSTITUTE(SUBSTITUTE(SUBSTITUTE($B4083,"-","")," ",""),".",""))</f>
        <v/>
      </c>
      <c r="I4083" s="10" t="str">
        <f aca="false">IF($D4083="","",SUBSTITUTE(SUBSTITUTE(SUBSTITUTE($D4083,"-","")," ",""),".",""))</f>
        <v/>
      </c>
      <c r="J4083" s="10" t="str">
        <f aca="false">IF($E4083="","",UPPER(SUBSTITUTE($E4083," ","")))</f>
        <v/>
      </c>
      <c r="K4083" s="10" t="str">
        <f aca="false">IF($A4083="","",$G4083&amp;"|"&amp;$J4083)</f>
        <v/>
      </c>
      <c r="L4083" s="10" t="str">
        <f aca="false">IF($A4083="","",ROW()-2)</f>
        <v/>
      </c>
      <c r="M4083" s="10" t="str">
        <f aca="false">IF($A4083="","",ROW())</f>
        <v/>
      </c>
    </row>
    <row r="4084" customFormat="false" ht="15" hidden="false" customHeight="true" outlineLevel="0" collapsed="false">
      <c r="A4084" s="8"/>
      <c r="B4084" s="8"/>
      <c r="C4084" s="8"/>
      <c r="D4084" s="8"/>
      <c r="E4084" s="8"/>
      <c r="F4084" s="8"/>
      <c r="G4084" s="10" t="str">
        <f aca="false">IF($A4084="","",UPPER(SUBSTITUTE(SUBSTITUTE(SUBSTITUTE(SUBSTITUTE($A4084," ",""),"(주)",""),"주식회사",""),"㈜","")))</f>
        <v/>
      </c>
      <c r="H4084" s="10" t="str">
        <f aca="false">IF($B4084="","",SUBSTITUTE(SUBSTITUTE(SUBSTITUTE($B4084,"-","")," ",""),".",""))</f>
        <v/>
      </c>
      <c r="I4084" s="10" t="str">
        <f aca="false">IF($D4084="","",SUBSTITUTE(SUBSTITUTE(SUBSTITUTE($D4084,"-","")," ",""),".",""))</f>
        <v/>
      </c>
      <c r="J4084" s="10" t="str">
        <f aca="false">IF($E4084="","",UPPER(SUBSTITUTE($E4084," ","")))</f>
        <v/>
      </c>
      <c r="K4084" s="10" t="str">
        <f aca="false">IF($A4084="","",$G4084&amp;"|"&amp;$J4084)</f>
        <v/>
      </c>
      <c r="L4084" s="10" t="str">
        <f aca="false">IF($A4084="","",ROW()-2)</f>
        <v/>
      </c>
      <c r="M4084" s="10" t="str">
        <f aca="false">IF($A4084="","",ROW())</f>
        <v/>
      </c>
    </row>
    <row r="4085" customFormat="false" ht="15" hidden="false" customHeight="true" outlineLevel="0" collapsed="false">
      <c r="A4085" s="8"/>
      <c r="B4085" s="8"/>
      <c r="C4085" s="8"/>
      <c r="D4085" s="8"/>
      <c r="E4085" s="8"/>
      <c r="F4085" s="8"/>
      <c r="G4085" s="10" t="str">
        <f aca="false">IF($A4085="","",UPPER(SUBSTITUTE(SUBSTITUTE(SUBSTITUTE(SUBSTITUTE($A4085," ",""),"(주)",""),"주식회사",""),"㈜","")))</f>
        <v/>
      </c>
      <c r="H4085" s="10" t="str">
        <f aca="false">IF($B4085="","",SUBSTITUTE(SUBSTITUTE(SUBSTITUTE($B4085,"-","")," ",""),".",""))</f>
        <v/>
      </c>
      <c r="I4085" s="10" t="str">
        <f aca="false">IF($D4085="","",SUBSTITUTE(SUBSTITUTE(SUBSTITUTE($D4085,"-","")," ",""),".",""))</f>
        <v/>
      </c>
      <c r="J4085" s="10" t="str">
        <f aca="false">IF($E4085="","",UPPER(SUBSTITUTE($E4085," ","")))</f>
        <v/>
      </c>
      <c r="K4085" s="10" t="str">
        <f aca="false">IF($A4085="","",$G4085&amp;"|"&amp;$J4085)</f>
        <v/>
      </c>
      <c r="L4085" s="10" t="str">
        <f aca="false">IF($A4085="","",ROW()-2)</f>
        <v/>
      </c>
      <c r="M4085" s="10" t="str">
        <f aca="false">IF($A4085="","",ROW())</f>
        <v/>
      </c>
    </row>
    <row r="4086" customFormat="false" ht="15" hidden="false" customHeight="true" outlineLevel="0" collapsed="false">
      <c r="A4086" s="8"/>
      <c r="B4086" s="8"/>
      <c r="C4086" s="8"/>
      <c r="D4086" s="8"/>
      <c r="E4086" s="8"/>
      <c r="F4086" s="8"/>
      <c r="G4086" s="10" t="str">
        <f aca="false">IF($A4086="","",UPPER(SUBSTITUTE(SUBSTITUTE(SUBSTITUTE(SUBSTITUTE($A4086," ",""),"(주)",""),"주식회사",""),"㈜","")))</f>
        <v/>
      </c>
      <c r="H4086" s="10" t="str">
        <f aca="false">IF($B4086="","",SUBSTITUTE(SUBSTITUTE(SUBSTITUTE($B4086,"-","")," ",""),".",""))</f>
        <v/>
      </c>
      <c r="I4086" s="10" t="str">
        <f aca="false">IF($D4086="","",SUBSTITUTE(SUBSTITUTE(SUBSTITUTE($D4086,"-","")," ",""),".",""))</f>
        <v/>
      </c>
      <c r="J4086" s="10" t="str">
        <f aca="false">IF($E4086="","",UPPER(SUBSTITUTE($E4086," ","")))</f>
        <v/>
      </c>
      <c r="K4086" s="10" t="str">
        <f aca="false">IF($A4086="","",$G4086&amp;"|"&amp;$J4086)</f>
        <v/>
      </c>
      <c r="L4086" s="10" t="str">
        <f aca="false">IF($A4086="","",ROW()-2)</f>
        <v/>
      </c>
      <c r="M4086" s="10" t="str">
        <f aca="false">IF($A4086="","",ROW())</f>
        <v/>
      </c>
    </row>
    <row r="4087" customFormat="false" ht="15" hidden="false" customHeight="true" outlineLevel="0" collapsed="false">
      <c r="A4087" s="8"/>
      <c r="B4087" s="8"/>
      <c r="C4087" s="8"/>
      <c r="D4087" s="8"/>
      <c r="E4087" s="8"/>
      <c r="F4087" s="8"/>
      <c r="G4087" s="10" t="str">
        <f aca="false">IF($A4087="","",UPPER(SUBSTITUTE(SUBSTITUTE(SUBSTITUTE(SUBSTITUTE($A4087," ",""),"(주)",""),"주식회사",""),"㈜","")))</f>
        <v/>
      </c>
      <c r="H4087" s="10" t="str">
        <f aca="false">IF($B4087="","",SUBSTITUTE(SUBSTITUTE(SUBSTITUTE($B4087,"-","")," ",""),".",""))</f>
        <v/>
      </c>
      <c r="I4087" s="10" t="str">
        <f aca="false">IF($D4087="","",SUBSTITUTE(SUBSTITUTE(SUBSTITUTE($D4087,"-","")," ",""),".",""))</f>
        <v/>
      </c>
      <c r="J4087" s="10" t="str">
        <f aca="false">IF($E4087="","",UPPER(SUBSTITUTE($E4087," ","")))</f>
        <v/>
      </c>
      <c r="K4087" s="10" t="str">
        <f aca="false">IF($A4087="","",$G4087&amp;"|"&amp;$J4087)</f>
        <v/>
      </c>
      <c r="L4087" s="10" t="str">
        <f aca="false">IF($A4087="","",ROW()-2)</f>
        <v/>
      </c>
      <c r="M4087" s="10" t="str">
        <f aca="false">IF($A4087="","",ROW())</f>
        <v/>
      </c>
    </row>
    <row r="4088" customFormat="false" ht="15" hidden="false" customHeight="true" outlineLevel="0" collapsed="false">
      <c r="A4088" s="8"/>
      <c r="B4088" s="8"/>
      <c r="C4088" s="8"/>
      <c r="D4088" s="8"/>
      <c r="E4088" s="8"/>
      <c r="F4088" s="8"/>
      <c r="G4088" s="10" t="str">
        <f aca="false">IF($A4088="","",UPPER(SUBSTITUTE(SUBSTITUTE(SUBSTITUTE(SUBSTITUTE($A4088," ",""),"(주)",""),"주식회사",""),"㈜","")))</f>
        <v/>
      </c>
      <c r="H4088" s="10" t="str">
        <f aca="false">IF($B4088="","",SUBSTITUTE(SUBSTITUTE(SUBSTITUTE($B4088,"-","")," ",""),".",""))</f>
        <v/>
      </c>
      <c r="I4088" s="10" t="str">
        <f aca="false">IF($D4088="","",SUBSTITUTE(SUBSTITUTE(SUBSTITUTE($D4088,"-","")," ",""),".",""))</f>
        <v/>
      </c>
      <c r="J4088" s="10" t="str">
        <f aca="false">IF($E4088="","",UPPER(SUBSTITUTE($E4088," ","")))</f>
        <v/>
      </c>
      <c r="K4088" s="10" t="str">
        <f aca="false">IF($A4088="","",$G4088&amp;"|"&amp;$J4088)</f>
        <v/>
      </c>
      <c r="L4088" s="10" t="str">
        <f aca="false">IF($A4088="","",ROW()-2)</f>
        <v/>
      </c>
      <c r="M4088" s="10" t="str">
        <f aca="false">IF($A4088="","",ROW())</f>
        <v/>
      </c>
    </row>
    <row r="4089" customFormat="false" ht="15" hidden="false" customHeight="true" outlineLevel="0" collapsed="false">
      <c r="A4089" s="8"/>
      <c r="B4089" s="8"/>
      <c r="C4089" s="8"/>
      <c r="D4089" s="8"/>
      <c r="E4089" s="8"/>
      <c r="F4089" s="8"/>
      <c r="G4089" s="10" t="str">
        <f aca="false">IF($A4089="","",UPPER(SUBSTITUTE(SUBSTITUTE(SUBSTITUTE(SUBSTITUTE($A4089," ",""),"(주)",""),"주식회사",""),"㈜","")))</f>
        <v/>
      </c>
      <c r="H4089" s="10" t="str">
        <f aca="false">IF($B4089="","",SUBSTITUTE(SUBSTITUTE(SUBSTITUTE($B4089,"-","")," ",""),".",""))</f>
        <v/>
      </c>
      <c r="I4089" s="10" t="str">
        <f aca="false">IF($D4089="","",SUBSTITUTE(SUBSTITUTE(SUBSTITUTE($D4089,"-","")," ",""),".",""))</f>
        <v/>
      </c>
      <c r="J4089" s="10" t="str">
        <f aca="false">IF($E4089="","",UPPER(SUBSTITUTE($E4089," ","")))</f>
        <v/>
      </c>
      <c r="K4089" s="10" t="str">
        <f aca="false">IF($A4089="","",$G4089&amp;"|"&amp;$J4089)</f>
        <v/>
      </c>
      <c r="L4089" s="10" t="str">
        <f aca="false">IF($A4089="","",ROW()-2)</f>
        <v/>
      </c>
      <c r="M4089" s="10" t="str">
        <f aca="false">IF($A4089="","",ROW())</f>
        <v/>
      </c>
    </row>
    <row r="4090" customFormat="false" ht="15" hidden="false" customHeight="true" outlineLevel="0" collapsed="false">
      <c r="A4090" s="8"/>
      <c r="B4090" s="8"/>
      <c r="C4090" s="8"/>
      <c r="D4090" s="8"/>
      <c r="E4090" s="8"/>
      <c r="F4090" s="8"/>
      <c r="G4090" s="10" t="str">
        <f aca="false">IF($A4090="","",UPPER(SUBSTITUTE(SUBSTITUTE(SUBSTITUTE(SUBSTITUTE($A4090," ",""),"(주)",""),"주식회사",""),"㈜","")))</f>
        <v/>
      </c>
      <c r="H4090" s="10" t="str">
        <f aca="false">IF($B4090="","",SUBSTITUTE(SUBSTITUTE(SUBSTITUTE($B4090,"-","")," ",""),".",""))</f>
        <v/>
      </c>
      <c r="I4090" s="10" t="str">
        <f aca="false">IF($D4090="","",SUBSTITUTE(SUBSTITUTE(SUBSTITUTE($D4090,"-","")," ",""),".",""))</f>
        <v/>
      </c>
      <c r="J4090" s="10" t="str">
        <f aca="false">IF($E4090="","",UPPER(SUBSTITUTE($E4090," ","")))</f>
        <v/>
      </c>
      <c r="K4090" s="10" t="str">
        <f aca="false">IF($A4090="","",$G4090&amp;"|"&amp;$J4090)</f>
        <v/>
      </c>
      <c r="L4090" s="10" t="str">
        <f aca="false">IF($A4090="","",ROW()-2)</f>
        <v/>
      </c>
      <c r="M4090" s="10" t="str">
        <f aca="false">IF($A4090="","",ROW())</f>
        <v/>
      </c>
    </row>
    <row r="4091" customFormat="false" ht="15" hidden="false" customHeight="true" outlineLevel="0" collapsed="false">
      <c r="A4091" s="8"/>
      <c r="B4091" s="8"/>
      <c r="C4091" s="8"/>
      <c r="D4091" s="8"/>
      <c r="E4091" s="8"/>
      <c r="F4091" s="8"/>
      <c r="G4091" s="10" t="str">
        <f aca="false">IF($A4091="","",UPPER(SUBSTITUTE(SUBSTITUTE(SUBSTITUTE(SUBSTITUTE($A4091," ",""),"(주)",""),"주식회사",""),"㈜","")))</f>
        <v/>
      </c>
      <c r="H4091" s="10" t="str">
        <f aca="false">IF($B4091="","",SUBSTITUTE(SUBSTITUTE(SUBSTITUTE($B4091,"-","")," ",""),".",""))</f>
        <v/>
      </c>
      <c r="I4091" s="10" t="str">
        <f aca="false">IF($D4091="","",SUBSTITUTE(SUBSTITUTE(SUBSTITUTE($D4091,"-","")," ",""),".",""))</f>
        <v/>
      </c>
      <c r="J4091" s="10" t="str">
        <f aca="false">IF($E4091="","",UPPER(SUBSTITUTE($E4091," ","")))</f>
        <v/>
      </c>
      <c r="K4091" s="10" t="str">
        <f aca="false">IF($A4091="","",$G4091&amp;"|"&amp;$J4091)</f>
        <v/>
      </c>
      <c r="L4091" s="10" t="str">
        <f aca="false">IF($A4091="","",ROW()-2)</f>
        <v/>
      </c>
      <c r="M4091" s="10" t="str">
        <f aca="false">IF($A4091="","",ROW())</f>
        <v/>
      </c>
    </row>
    <row r="4092" customFormat="false" ht="15" hidden="false" customHeight="true" outlineLevel="0" collapsed="false">
      <c r="A4092" s="8"/>
      <c r="B4092" s="8"/>
      <c r="C4092" s="8"/>
      <c r="D4092" s="8"/>
      <c r="E4092" s="8"/>
      <c r="F4092" s="8"/>
      <c r="G4092" s="10" t="str">
        <f aca="false">IF($A4092="","",UPPER(SUBSTITUTE(SUBSTITUTE(SUBSTITUTE(SUBSTITUTE($A4092," ",""),"(주)",""),"주식회사",""),"㈜","")))</f>
        <v/>
      </c>
      <c r="H4092" s="10" t="str">
        <f aca="false">IF($B4092="","",SUBSTITUTE(SUBSTITUTE(SUBSTITUTE($B4092,"-","")," ",""),".",""))</f>
        <v/>
      </c>
      <c r="I4092" s="10" t="str">
        <f aca="false">IF($D4092="","",SUBSTITUTE(SUBSTITUTE(SUBSTITUTE($D4092,"-","")," ",""),".",""))</f>
        <v/>
      </c>
      <c r="J4092" s="10" t="str">
        <f aca="false">IF($E4092="","",UPPER(SUBSTITUTE($E4092," ","")))</f>
        <v/>
      </c>
      <c r="K4092" s="10" t="str">
        <f aca="false">IF($A4092="","",$G4092&amp;"|"&amp;$J4092)</f>
        <v/>
      </c>
      <c r="L4092" s="10" t="str">
        <f aca="false">IF($A4092="","",ROW()-2)</f>
        <v/>
      </c>
      <c r="M4092" s="10" t="str">
        <f aca="false">IF($A4092="","",ROW())</f>
        <v/>
      </c>
    </row>
    <row r="4093" customFormat="false" ht="15" hidden="false" customHeight="true" outlineLevel="0" collapsed="false">
      <c r="A4093" s="8"/>
      <c r="B4093" s="8"/>
      <c r="C4093" s="8"/>
      <c r="D4093" s="8"/>
      <c r="E4093" s="8"/>
      <c r="F4093" s="8"/>
      <c r="G4093" s="10" t="str">
        <f aca="false">IF($A4093="","",UPPER(SUBSTITUTE(SUBSTITUTE(SUBSTITUTE(SUBSTITUTE($A4093," ",""),"(주)",""),"주식회사",""),"㈜","")))</f>
        <v/>
      </c>
      <c r="H4093" s="10" t="str">
        <f aca="false">IF($B4093="","",SUBSTITUTE(SUBSTITUTE(SUBSTITUTE($B4093,"-","")," ",""),".",""))</f>
        <v/>
      </c>
      <c r="I4093" s="10" t="str">
        <f aca="false">IF($D4093="","",SUBSTITUTE(SUBSTITUTE(SUBSTITUTE($D4093,"-","")," ",""),".",""))</f>
        <v/>
      </c>
      <c r="J4093" s="10" t="str">
        <f aca="false">IF($E4093="","",UPPER(SUBSTITUTE($E4093," ","")))</f>
        <v/>
      </c>
      <c r="K4093" s="10" t="str">
        <f aca="false">IF($A4093="","",$G4093&amp;"|"&amp;$J4093)</f>
        <v/>
      </c>
      <c r="L4093" s="10" t="str">
        <f aca="false">IF($A4093="","",ROW()-2)</f>
        <v/>
      </c>
      <c r="M4093" s="10" t="str">
        <f aca="false">IF($A4093="","",ROW())</f>
        <v/>
      </c>
    </row>
    <row r="4094" customFormat="false" ht="15" hidden="false" customHeight="true" outlineLevel="0" collapsed="false">
      <c r="A4094" s="8"/>
      <c r="B4094" s="8"/>
      <c r="C4094" s="8"/>
      <c r="D4094" s="8"/>
      <c r="E4094" s="8"/>
      <c r="F4094" s="8"/>
      <c r="G4094" s="10" t="str">
        <f aca="false">IF($A4094="","",UPPER(SUBSTITUTE(SUBSTITUTE(SUBSTITUTE(SUBSTITUTE($A4094," ",""),"(주)",""),"주식회사",""),"㈜","")))</f>
        <v/>
      </c>
      <c r="H4094" s="10" t="str">
        <f aca="false">IF($B4094="","",SUBSTITUTE(SUBSTITUTE(SUBSTITUTE($B4094,"-","")," ",""),".",""))</f>
        <v/>
      </c>
      <c r="I4094" s="10" t="str">
        <f aca="false">IF($D4094="","",SUBSTITUTE(SUBSTITUTE(SUBSTITUTE($D4094,"-","")," ",""),".",""))</f>
        <v/>
      </c>
      <c r="J4094" s="10" t="str">
        <f aca="false">IF($E4094="","",UPPER(SUBSTITUTE($E4094," ","")))</f>
        <v/>
      </c>
      <c r="K4094" s="10" t="str">
        <f aca="false">IF($A4094="","",$G4094&amp;"|"&amp;$J4094)</f>
        <v/>
      </c>
      <c r="L4094" s="10" t="str">
        <f aca="false">IF($A4094="","",ROW()-2)</f>
        <v/>
      </c>
      <c r="M4094" s="10" t="str">
        <f aca="false">IF($A4094="","",ROW())</f>
        <v/>
      </c>
    </row>
    <row r="4095" customFormat="false" ht="15" hidden="false" customHeight="true" outlineLevel="0" collapsed="false">
      <c r="A4095" s="8"/>
      <c r="B4095" s="8"/>
      <c r="C4095" s="8"/>
      <c r="D4095" s="8"/>
      <c r="E4095" s="8"/>
      <c r="F4095" s="8"/>
      <c r="G4095" s="10" t="str">
        <f aca="false">IF($A4095="","",UPPER(SUBSTITUTE(SUBSTITUTE(SUBSTITUTE(SUBSTITUTE($A4095," ",""),"(주)",""),"주식회사",""),"㈜","")))</f>
        <v/>
      </c>
      <c r="H4095" s="10" t="str">
        <f aca="false">IF($B4095="","",SUBSTITUTE(SUBSTITUTE(SUBSTITUTE($B4095,"-","")," ",""),".",""))</f>
        <v/>
      </c>
      <c r="I4095" s="10" t="str">
        <f aca="false">IF($D4095="","",SUBSTITUTE(SUBSTITUTE(SUBSTITUTE($D4095,"-","")," ",""),".",""))</f>
        <v/>
      </c>
      <c r="J4095" s="10" t="str">
        <f aca="false">IF($E4095="","",UPPER(SUBSTITUTE($E4095," ","")))</f>
        <v/>
      </c>
      <c r="K4095" s="10" t="str">
        <f aca="false">IF($A4095="","",$G4095&amp;"|"&amp;$J4095)</f>
        <v/>
      </c>
      <c r="L4095" s="10" t="str">
        <f aca="false">IF($A4095="","",ROW()-2)</f>
        <v/>
      </c>
      <c r="M4095" s="10" t="str">
        <f aca="false">IF($A4095="","",ROW())</f>
        <v/>
      </c>
    </row>
    <row r="4096" customFormat="false" ht="15" hidden="false" customHeight="true" outlineLevel="0" collapsed="false">
      <c r="A4096" s="8"/>
      <c r="B4096" s="8"/>
      <c r="C4096" s="8"/>
      <c r="D4096" s="8"/>
      <c r="E4096" s="8"/>
      <c r="F4096" s="8"/>
      <c r="G4096" s="10" t="str">
        <f aca="false">IF($A4096="","",UPPER(SUBSTITUTE(SUBSTITUTE(SUBSTITUTE(SUBSTITUTE($A4096," ",""),"(주)",""),"주식회사",""),"㈜","")))</f>
        <v/>
      </c>
      <c r="H4096" s="10" t="str">
        <f aca="false">IF($B4096="","",SUBSTITUTE(SUBSTITUTE(SUBSTITUTE($B4096,"-","")," ",""),".",""))</f>
        <v/>
      </c>
      <c r="I4096" s="10" t="str">
        <f aca="false">IF($D4096="","",SUBSTITUTE(SUBSTITUTE(SUBSTITUTE($D4096,"-","")," ",""),".",""))</f>
        <v/>
      </c>
      <c r="J4096" s="10" t="str">
        <f aca="false">IF($E4096="","",UPPER(SUBSTITUTE($E4096," ","")))</f>
        <v/>
      </c>
      <c r="K4096" s="10" t="str">
        <f aca="false">IF($A4096="","",$G4096&amp;"|"&amp;$J4096)</f>
        <v/>
      </c>
      <c r="L4096" s="10" t="str">
        <f aca="false">IF($A4096="","",ROW()-2)</f>
        <v/>
      </c>
      <c r="M4096" s="10" t="str">
        <f aca="false">IF($A4096="","",ROW())</f>
        <v/>
      </c>
    </row>
    <row r="4097" customFormat="false" ht="15" hidden="false" customHeight="true" outlineLevel="0" collapsed="false">
      <c r="A4097" s="8"/>
      <c r="B4097" s="8"/>
      <c r="C4097" s="8"/>
      <c r="D4097" s="8"/>
      <c r="E4097" s="8"/>
      <c r="F4097" s="8"/>
      <c r="G4097" s="10" t="str">
        <f aca="false">IF($A4097="","",UPPER(SUBSTITUTE(SUBSTITUTE(SUBSTITUTE(SUBSTITUTE($A4097," ",""),"(주)",""),"주식회사",""),"㈜","")))</f>
        <v/>
      </c>
      <c r="H4097" s="10" t="str">
        <f aca="false">IF($B4097="","",SUBSTITUTE(SUBSTITUTE(SUBSTITUTE($B4097,"-","")," ",""),".",""))</f>
        <v/>
      </c>
      <c r="I4097" s="10" t="str">
        <f aca="false">IF($D4097="","",SUBSTITUTE(SUBSTITUTE(SUBSTITUTE($D4097,"-","")," ",""),".",""))</f>
        <v/>
      </c>
      <c r="J4097" s="10" t="str">
        <f aca="false">IF($E4097="","",UPPER(SUBSTITUTE($E4097," ","")))</f>
        <v/>
      </c>
      <c r="K4097" s="10" t="str">
        <f aca="false">IF($A4097="","",$G4097&amp;"|"&amp;$J4097)</f>
        <v/>
      </c>
      <c r="L4097" s="10" t="str">
        <f aca="false">IF($A4097="","",ROW()-2)</f>
        <v/>
      </c>
      <c r="M4097" s="10" t="str">
        <f aca="false">IF($A4097="","",ROW())</f>
        <v/>
      </c>
    </row>
    <row r="4098" customFormat="false" ht="15" hidden="false" customHeight="true" outlineLevel="0" collapsed="false">
      <c r="A4098" s="8"/>
      <c r="B4098" s="8"/>
      <c r="C4098" s="8"/>
      <c r="D4098" s="8"/>
      <c r="E4098" s="8"/>
      <c r="F4098" s="8"/>
      <c r="G4098" s="10" t="str">
        <f aca="false">IF($A4098="","",UPPER(SUBSTITUTE(SUBSTITUTE(SUBSTITUTE(SUBSTITUTE($A4098," ",""),"(주)",""),"주식회사",""),"㈜","")))</f>
        <v/>
      </c>
      <c r="H4098" s="10" t="str">
        <f aca="false">IF($B4098="","",SUBSTITUTE(SUBSTITUTE(SUBSTITUTE($B4098,"-","")," ",""),".",""))</f>
        <v/>
      </c>
      <c r="I4098" s="10" t="str">
        <f aca="false">IF($D4098="","",SUBSTITUTE(SUBSTITUTE(SUBSTITUTE($D4098,"-","")," ",""),".",""))</f>
        <v/>
      </c>
      <c r="J4098" s="10" t="str">
        <f aca="false">IF($E4098="","",UPPER(SUBSTITUTE($E4098," ","")))</f>
        <v/>
      </c>
      <c r="K4098" s="10" t="str">
        <f aca="false">IF($A4098="","",$G4098&amp;"|"&amp;$J4098)</f>
        <v/>
      </c>
      <c r="L4098" s="10" t="str">
        <f aca="false">IF($A4098="","",ROW()-2)</f>
        <v/>
      </c>
      <c r="M4098" s="10" t="str">
        <f aca="false">IF($A4098="","",ROW())</f>
        <v/>
      </c>
    </row>
    <row r="4099" customFormat="false" ht="15" hidden="false" customHeight="true" outlineLevel="0" collapsed="false">
      <c r="A4099" s="8"/>
      <c r="B4099" s="8"/>
      <c r="C4099" s="8"/>
      <c r="D4099" s="8"/>
      <c r="E4099" s="8"/>
      <c r="F4099" s="8"/>
      <c r="G4099" s="10" t="str">
        <f aca="false">IF($A4099="","",UPPER(SUBSTITUTE(SUBSTITUTE(SUBSTITUTE(SUBSTITUTE($A4099," ",""),"(주)",""),"주식회사",""),"㈜","")))</f>
        <v/>
      </c>
      <c r="H4099" s="10" t="str">
        <f aca="false">IF($B4099="","",SUBSTITUTE(SUBSTITUTE(SUBSTITUTE($B4099,"-","")," ",""),".",""))</f>
        <v/>
      </c>
      <c r="I4099" s="10" t="str">
        <f aca="false">IF($D4099="","",SUBSTITUTE(SUBSTITUTE(SUBSTITUTE($D4099,"-","")," ",""),".",""))</f>
        <v/>
      </c>
      <c r="J4099" s="10" t="str">
        <f aca="false">IF($E4099="","",UPPER(SUBSTITUTE($E4099," ","")))</f>
        <v/>
      </c>
      <c r="K4099" s="10" t="str">
        <f aca="false">IF($A4099="","",$G4099&amp;"|"&amp;$J4099)</f>
        <v/>
      </c>
      <c r="L4099" s="10" t="str">
        <f aca="false">IF($A4099="","",ROW()-2)</f>
        <v/>
      </c>
      <c r="M4099" s="10" t="str">
        <f aca="false">IF($A4099="","",ROW())</f>
        <v/>
      </c>
    </row>
    <row r="4100" customFormat="false" ht="15" hidden="false" customHeight="true" outlineLevel="0" collapsed="false">
      <c r="A4100" s="8"/>
      <c r="B4100" s="8"/>
      <c r="C4100" s="8"/>
      <c r="D4100" s="8"/>
      <c r="E4100" s="8"/>
      <c r="F4100" s="8"/>
      <c r="G4100" s="10" t="str">
        <f aca="false">IF($A4100="","",UPPER(SUBSTITUTE(SUBSTITUTE(SUBSTITUTE(SUBSTITUTE($A4100," ",""),"(주)",""),"주식회사",""),"㈜","")))</f>
        <v/>
      </c>
      <c r="H4100" s="10" t="str">
        <f aca="false">IF($B4100="","",SUBSTITUTE(SUBSTITUTE(SUBSTITUTE($B4100,"-","")," ",""),".",""))</f>
        <v/>
      </c>
      <c r="I4100" s="10" t="str">
        <f aca="false">IF($D4100="","",SUBSTITUTE(SUBSTITUTE(SUBSTITUTE($D4100,"-","")," ",""),".",""))</f>
        <v/>
      </c>
      <c r="J4100" s="10" t="str">
        <f aca="false">IF($E4100="","",UPPER(SUBSTITUTE($E4100," ","")))</f>
        <v/>
      </c>
      <c r="K4100" s="10" t="str">
        <f aca="false">IF($A4100="","",$G4100&amp;"|"&amp;$J4100)</f>
        <v/>
      </c>
      <c r="L4100" s="10" t="str">
        <f aca="false">IF($A4100="","",ROW()-2)</f>
        <v/>
      </c>
      <c r="M4100" s="10" t="str">
        <f aca="false">IF($A4100="","",ROW())</f>
        <v/>
      </c>
    </row>
    <row r="4101" customFormat="false" ht="15" hidden="false" customHeight="true" outlineLevel="0" collapsed="false">
      <c r="A4101" s="8"/>
      <c r="B4101" s="8"/>
      <c r="C4101" s="8"/>
      <c r="D4101" s="8"/>
      <c r="E4101" s="8"/>
      <c r="F4101" s="8"/>
      <c r="G4101" s="10" t="str">
        <f aca="false">IF($A4101="","",UPPER(SUBSTITUTE(SUBSTITUTE(SUBSTITUTE(SUBSTITUTE($A4101," ",""),"(주)",""),"주식회사",""),"㈜","")))</f>
        <v/>
      </c>
      <c r="H4101" s="10" t="str">
        <f aca="false">IF($B4101="","",SUBSTITUTE(SUBSTITUTE(SUBSTITUTE($B4101,"-","")," ",""),".",""))</f>
        <v/>
      </c>
      <c r="I4101" s="10" t="str">
        <f aca="false">IF($D4101="","",SUBSTITUTE(SUBSTITUTE(SUBSTITUTE($D4101,"-","")," ",""),".",""))</f>
        <v/>
      </c>
      <c r="J4101" s="10" t="str">
        <f aca="false">IF($E4101="","",UPPER(SUBSTITUTE($E4101," ","")))</f>
        <v/>
      </c>
      <c r="K4101" s="10" t="str">
        <f aca="false">IF($A4101="","",$G4101&amp;"|"&amp;$J4101)</f>
        <v/>
      </c>
      <c r="L4101" s="10" t="str">
        <f aca="false">IF($A4101="","",ROW()-2)</f>
        <v/>
      </c>
      <c r="M4101" s="10" t="str">
        <f aca="false">IF($A4101="","",ROW())</f>
        <v/>
      </c>
    </row>
    <row r="4102" customFormat="false" ht="15" hidden="false" customHeight="true" outlineLevel="0" collapsed="false">
      <c r="A4102" s="8"/>
      <c r="B4102" s="8"/>
      <c r="C4102" s="8"/>
      <c r="D4102" s="8"/>
      <c r="E4102" s="8"/>
      <c r="F4102" s="8"/>
      <c r="G4102" s="10" t="str">
        <f aca="false">IF($A4102="","",UPPER(SUBSTITUTE(SUBSTITUTE(SUBSTITUTE(SUBSTITUTE($A4102," ",""),"(주)",""),"주식회사",""),"㈜","")))</f>
        <v/>
      </c>
      <c r="H4102" s="10" t="str">
        <f aca="false">IF($B4102="","",SUBSTITUTE(SUBSTITUTE(SUBSTITUTE($B4102,"-","")," ",""),".",""))</f>
        <v/>
      </c>
      <c r="I4102" s="10" t="str">
        <f aca="false">IF($D4102="","",SUBSTITUTE(SUBSTITUTE(SUBSTITUTE($D4102,"-","")," ",""),".",""))</f>
        <v/>
      </c>
      <c r="J4102" s="10" t="str">
        <f aca="false">IF($E4102="","",UPPER(SUBSTITUTE($E4102," ","")))</f>
        <v/>
      </c>
      <c r="K4102" s="10" t="str">
        <f aca="false">IF($A4102="","",$G4102&amp;"|"&amp;$J4102)</f>
        <v/>
      </c>
      <c r="L4102" s="10" t="str">
        <f aca="false">IF($A4102="","",ROW()-2)</f>
        <v/>
      </c>
      <c r="M4102" s="10" t="str">
        <f aca="false">IF($A4102="","",ROW())</f>
        <v/>
      </c>
    </row>
    <row r="4103" customFormat="false" ht="15" hidden="false" customHeight="true" outlineLevel="0" collapsed="false">
      <c r="A4103" s="8"/>
      <c r="B4103" s="8"/>
      <c r="C4103" s="8"/>
      <c r="D4103" s="8"/>
      <c r="E4103" s="8"/>
      <c r="F4103" s="8"/>
      <c r="G4103" s="10" t="str">
        <f aca="false">IF($A4103="","",UPPER(SUBSTITUTE(SUBSTITUTE(SUBSTITUTE(SUBSTITUTE($A4103," ",""),"(주)",""),"주식회사",""),"㈜","")))</f>
        <v/>
      </c>
      <c r="H4103" s="10" t="str">
        <f aca="false">IF($B4103="","",SUBSTITUTE(SUBSTITUTE(SUBSTITUTE($B4103,"-","")," ",""),".",""))</f>
        <v/>
      </c>
      <c r="I4103" s="10" t="str">
        <f aca="false">IF($D4103="","",SUBSTITUTE(SUBSTITUTE(SUBSTITUTE($D4103,"-","")," ",""),".",""))</f>
        <v/>
      </c>
      <c r="J4103" s="10" t="str">
        <f aca="false">IF($E4103="","",UPPER(SUBSTITUTE($E4103," ","")))</f>
        <v/>
      </c>
      <c r="K4103" s="10" t="str">
        <f aca="false">IF($A4103="","",$G4103&amp;"|"&amp;$J4103)</f>
        <v/>
      </c>
      <c r="L4103" s="10" t="str">
        <f aca="false">IF($A4103="","",ROW()-2)</f>
        <v/>
      </c>
      <c r="M4103" s="10" t="str">
        <f aca="false">IF($A4103="","",ROW())</f>
        <v/>
      </c>
    </row>
    <row r="4104" customFormat="false" ht="15" hidden="false" customHeight="true" outlineLevel="0" collapsed="false">
      <c r="A4104" s="8"/>
      <c r="B4104" s="8"/>
      <c r="C4104" s="8"/>
      <c r="D4104" s="8"/>
      <c r="E4104" s="8"/>
      <c r="F4104" s="8"/>
      <c r="G4104" s="10" t="str">
        <f aca="false">IF($A4104="","",UPPER(SUBSTITUTE(SUBSTITUTE(SUBSTITUTE(SUBSTITUTE($A4104," ",""),"(주)",""),"주식회사",""),"㈜","")))</f>
        <v/>
      </c>
      <c r="H4104" s="10" t="str">
        <f aca="false">IF($B4104="","",SUBSTITUTE(SUBSTITUTE(SUBSTITUTE($B4104,"-","")," ",""),".",""))</f>
        <v/>
      </c>
      <c r="I4104" s="10" t="str">
        <f aca="false">IF($D4104="","",SUBSTITUTE(SUBSTITUTE(SUBSTITUTE($D4104,"-","")," ",""),".",""))</f>
        <v/>
      </c>
      <c r="J4104" s="10" t="str">
        <f aca="false">IF($E4104="","",UPPER(SUBSTITUTE($E4104," ","")))</f>
        <v/>
      </c>
      <c r="K4104" s="10" t="str">
        <f aca="false">IF($A4104="","",$G4104&amp;"|"&amp;$J4104)</f>
        <v/>
      </c>
      <c r="L4104" s="10" t="str">
        <f aca="false">IF($A4104="","",ROW()-2)</f>
        <v/>
      </c>
      <c r="M4104" s="10" t="str">
        <f aca="false">IF($A4104="","",ROW())</f>
        <v/>
      </c>
    </row>
    <row r="4105" customFormat="false" ht="15" hidden="false" customHeight="true" outlineLevel="0" collapsed="false">
      <c r="A4105" s="8"/>
      <c r="B4105" s="8"/>
      <c r="C4105" s="8"/>
      <c r="D4105" s="8"/>
      <c r="E4105" s="8"/>
      <c r="F4105" s="8"/>
      <c r="G4105" s="10" t="str">
        <f aca="false">IF($A4105="","",UPPER(SUBSTITUTE(SUBSTITUTE(SUBSTITUTE(SUBSTITUTE($A4105," ",""),"(주)",""),"주식회사",""),"㈜","")))</f>
        <v/>
      </c>
      <c r="H4105" s="10" t="str">
        <f aca="false">IF($B4105="","",SUBSTITUTE(SUBSTITUTE(SUBSTITUTE($B4105,"-","")," ",""),".",""))</f>
        <v/>
      </c>
      <c r="I4105" s="10" t="str">
        <f aca="false">IF($D4105="","",SUBSTITUTE(SUBSTITUTE(SUBSTITUTE($D4105,"-","")," ",""),".",""))</f>
        <v/>
      </c>
      <c r="J4105" s="10" t="str">
        <f aca="false">IF($E4105="","",UPPER(SUBSTITUTE($E4105," ","")))</f>
        <v/>
      </c>
      <c r="K4105" s="10" t="str">
        <f aca="false">IF($A4105="","",$G4105&amp;"|"&amp;$J4105)</f>
        <v/>
      </c>
      <c r="L4105" s="10" t="str">
        <f aca="false">IF($A4105="","",ROW()-2)</f>
        <v/>
      </c>
      <c r="M4105" s="10" t="str">
        <f aca="false">IF($A4105="","",ROW())</f>
        <v/>
      </c>
    </row>
    <row r="4106" customFormat="false" ht="15" hidden="false" customHeight="true" outlineLevel="0" collapsed="false">
      <c r="A4106" s="8"/>
      <c r="B4106" s="8"/>
      <c r="C4106" s="8"/>
      <c r="D4106" s="8"/>
      <c r="E4106" s="8"/>
      <c r="F4106" s="8"/>
      <c r="G4106" s="10" t="str">
        <f aca="false">IF($A4106="","",UPPER(SUBSTITUTE(SUBSTITUTE(SUBSTITUTE(SUBSTITUTE($A4106," ",""),"(주)",""),"주식회사",""),"㈜","")))</f>
        <v/>
      </c>
      <c r="H4106" s="10" t="str">
        <f aca="false">IF($B4106="","",SUBSTITUTE(SUBSTITUTE(SUBSTITUTE($B4106,"-","")," ",""),".",""))</f>
        <v/>
      </c>
      <c r="I4106" s="10" t="str">
        <f aca="false">IF($D4106="","",SUBSTITUTE(SUBSTITUTE(SUBSTITUTE($D4106,"-","")," ",""),".",""))</f>
        <v/>
      </c>
      <c r="J4106" s="10" t="str">
        <f aca="false">IF($E4106="","",UPPER(SUBSTITUTE($E4106," ","")))</f>
        <v/>
      </c>
      <c r="K4106" s="10" t="str">
        <f aca="false">IF($A4106="","",$G4106&amp;"|"&amp;$J4106)</f>
        <v/>
      </c>
      <c r="L4106" s="10" t="str">
        <f aca="false">IF($A4106="","",ROW()-2)</f>
        <v/>
      </c>
      <c r="M4106" s="10" t="str">
        <f aca="false">IF($A4106="","",ROW())</f>
        <v/>
      </c>
    </row>
    <row r="4107" customFormat="false" ht="15" hidden="false" customHeight="true" outlineLevel="0" collapsed="false">
      <c r="A4107" s="8"/>
      <c r="B4107" s="8"/>
      <c r="C4107" s="8"/>
      <c r="D4107" s="8"/>
      <c r="E4107" s="8"/>
      <c r="F4107" s="8"/>
      <c r="G4107" s="10" t="str">
        <f aca="false">IF($A4107="","",UPPER(SUBSTITUTE(SUBSTITUTE(SUBSTITUTE(SUBSTITUTE($A4107," ",""),"(주)",""),"주식회사",""),"㈜","")))</f>
        <v/>
      </c>
      <c r="H4107" s="10" t="str">
        <f aca="false">IF($B4107="","",SUBSTITUTE(SUBSTITUTE(SUBSTITUTE($B4107,"-","")," ",""),".",""))</f>
        <v/>
      </c>
      <c r="I4107" s="10" t="str">
        <f aca="false">IF($D4107="","",SUBSTITUTE(SUBSTITUTE(SUBSTITUTE($D4107,"-","")," ",""),".",""))</f>
        <v/>
      </c>
      <c r="J4107" s="10" t="str">
        <f aca="false">IF($E4107="","",UPPER(SUBSTITUTE($E4107," ","")))</f>
        <v/>
      </c>
      <c r="K4107" s="10" t="str">
        <f aca="false">IF($A4107="","",$G4107&amp;"|"&amp;$J4107)</f>
        <v/>
      </c>
      <c r="L4107" s="10" t="str">
        <f aca="false">IF($A4107="","",ROW()-2)</f>
        <v/>
      </c>
      <c r="M4107" s="10" t="str">
        <f aca="false">IF($A4107="","",ROW())</f>
        <v/>
      </c>
    </row>
    <row r="4108" customFormat="false" ht="15" hidden="false" customHeight="true" outlineLevel="0" collapsed="false">
      <c r="A4108" s="8"/>
      <c r="B4108" s="8"/>
      <c r="C4108" s="8"/>
      <c r="D4108" s="8"/>
      <c r="E4108" s="8"/>
      <c r="F4108" s="8"/>
      <c r="G4108" s="10" t="str">
        <f aca="false">IF($A4108="","",UPPER(SUBSTITUTE(SUBSTITUTE(SUBSTITUTE(SUBSTITUTE($A4108," ",""),"(주)",""),"주식회사",""),"㈜","")))</f>
        <v/>
      </c>
      <c r="H4108" s="10" t="str">
        <f aca="false">IF($B4108="","",SUBSTITUTE(SUBSTITUTE(SUBSTITUTE($B4108,"-","")," ",""),".",""))</f>
        <v/>
      </c>
      <c r="I4108" s="10" t="str">
        <f aca="false">IF($D4108="","",SUBSTITUTE(SUBSTITUTE(SUBSTITUTE($D4108,"-","")," ",""),".",""))</f>
        <v/>
      </c>
      <c r="J4108" s="10" t="str">
        <f aca="false">IF($E4108="","",UPPER(SUBSTITUTE($E4108," ","")))</f>
        <v/>
      </c>
      <c r="K4108" s="10" t="str">
        <f aca="false">IF($A4108="","",$G4108&amp;"|"&amp;$J4108)</f>
        <v/>
      </c>
      <c r="L4108" s="10" t="str">
        <f aca="false">IF($A4108="","",ROW()-2)</f>
        <v/>
      </c>
      <c r="M4108" s="10" t="str">
        <f aca="false">IF($A4108="","",ROW())</f>
        <v/>
      </c>
    </row>
    <row r="4109" customFormat="false" ht="15" hidden="false" customHeight="true" outlineLevel="0" collapsed="false">
      <c r="A4109" s="8"/>
      <c r="B4109" s="8"/>
      <c r="C4109" s="8"/>
      <c r="D4109" s="8"/>
      <c r="E4109" s="8"/>
      <c r="F4109" s="8"/>
      <c r="G4109" s="10" t="str">
        <f aca="false">IF($A4109="","",UPPER(SUBSTITUTE(SUBSTITUTE(SUBSTITUTE(SUBSTITUTE($A4109," ",""),"(주)",""),"주식회사",""),"㈜","")))</f>
        <v/>
      </c>
      <c r="H4109" s="10" t="str">
        <f aca="false">IF($B4109="","",SUBSTITUTE(SUBSTITUTE(SUBSTITUTE($B4109,"-","")," ",""),".",""))</f>
        <v/>
      </c>
      <c r="I4109" s="10" t="str">
        <f aca="false">IF($D4109="","",SUBSTITUTE(SUBSTITUTE(SUBSTITUTE($D4109,"-","")," ",""),".",""))</f>
        <v/>
      </c>
      <c r="J4109" s="10" t="str">
        <f aca="false">IF($E4109="","",UPPER(SUBSTITUTE($E4109," ","")))</f>
        <v/>
      </c>
      <c r="K4109" s="10" t="str">
        <f aca="false">IF($A4109="","",$G4109&amp;"|"&amp;$J4109)</f>
        <v/>
      </c>
      <c r="L4109" s="10" t="str">
        <f aca="false">IF($A4109="","",ROW()-2)</f>
        <v/>
      </c>
      <c r="M4109" s="10" t="str">
        <f aca="false">IF($A4109="","",ROW())</f>
        <v/>
      </c>
    </row>
    <row r="4110" customFormat="false" ht="15" hidden="false" customHeight="true" outlineLevel="0" collapsed="false">
      <c r="A4110" s="8"/>
      <c r="B4110" s="8"/>
      <c r="C4110" s="8"/>
      <c r="D4110" s="8"/>
      <c r="E4110" s="8"/>
      <c r="F4110" s="8"/>
      <c r="G4110" s="10" t="str">
        <f aca="false">IF($A4110="","",UPPER(SUBSTITUTE(SUBSTITUTE(SUBSTITUTE(SUBSTITUTE($A4110," ",""),"(주)",""),"주식회사",""),"㈜","")))</f>
        <v/>
      </c>
      <c r="H4110" s="10" t="str">
        <f aca="false">IF($B4110="","",SUBSTITUTE(SUBSTITUTE(SUBSTITUTE($B4110,"-","")," ",""),".",""))</f>
        <v/>
      </c>
      <c r="I4110" s="10" t="str">
        <f aca="false">IF($D4110="","",SUBSTITUTE(SUBSTITUTE(SUBSTITUTE($D4110,"-","")," ",""),".",""))</f>
        <v/>
      </c>
      <c r="J4110" s="10" t="str">
        <f aca="false">IF($E4110="","",UPPER(SUBSTITUTE($E4110," ","")))</f>
        <v/>
      </c>
      <c r="K4110" s="10" t="str">
        <f aca="false">IF($A4110="","",$G4110&amp;"|"&amp;$J4110)</f>
        <v/>
      </c>
      <c r="L4110" s="10" t="str">
        <f aca="false">IF($A4110="","",ROW()-2)</f>
        <v/>
      </c>
      <c r="M4110" s="10" t="str">
        <f aca="false">IF($A4110="","",ROW())</f>
        <v/>
      </c>
    </row>
    <row r="4111" customFormat="false" ht="15" hidden="false" customHeight="true" outlineLevel="0" collapsed="false">
      <c r="A4111" s="8"/>
      <c r="B4111" s="8"/>
      <c r="C4111" s="8"/>
      <c r="D4111" s="8"/>
      <c r="E4111" s="8"/>
      <c r="F4111" s="8"/>
      <c r="G4111" s="10" t="str">
        <f aca="false">IF($A4111="","",UPPER(SUBSTITUTE(SUBSTITUTE(SUBSTITUTE(SUBSTITUTE($A4111," ",""),"(주)",""),"주식회사",""),"㈜","")))</f>
        <v/>
      </c>
      <c r="H4111" s="10" t="str">
        <f aca="false">IF($B4111="","",SUBSTITUTE(SUBSTITUTE(SUBSTITUTE($B4111,"-","")," ",""),".",""))</f>
        <v/>
      </c>
      <c r="I4111" s="10" t="str">
        <f aca="false">IF($D4111="","",SUBSTITUTE(SUBSTITUTE(SUBSTITUTE($D4111,"-","")," ",""),".",""))</f>
        <v/>
      </c>
      <c r="J4111" s="10" t="str">
        <f aca="false">IF($E4111="","",UPPER(SUBSTITUTE($E4111," ","")))</f>
        <v/>
      </c>
      <c r="K4111" s="10" t="str">
        <f aca="false">IF($A4111="","",$G4111&amp;"|"&amp;$J4111)</f>
        <v/>
      </c>
      <c r="L4111" s="10" t="str">
        <f aca="false">IF($A4111="","",ROW()-2)</f>
        <v/>
      </c>
      <c r="M4111" s="10" t="str">
        <f aca="false">IF($A4111="","",ROW())</f>
        <v/>
      </c>
    </row>
    <row r="4112" customFormat="false" ht="15" hidden="false" customHeight="true" outlineLevel="0" collapsed="false">
      <c r="A4112" s="8"/>
      <c r="B4112" s="8"/>
      <c r="C4112" s="8"/>
      <c r="D4112" s="8"/>
      <c r="E4112" s="8"/>
      <c r="F4112" s="8"/>
      <c r="G4112" s="10" t="str">
        <f aca="false">IF($A4112="","",UPPER(SUBSTITUTE(SUBSTITUTE(SUBSTITUTE(SUBSTITUTE($A4112," ",""),"(주)",""),"주식회사",""),"㈜","")))</f>
        <v/>
      </c>
      <c r="H4112" s="10" t="str">
        <f aca="false">IF($B4112="","",SUBSTITUTE(SUBSTITUTE(SUBSTITUTE($B4112,"-","")," ",""),".",""))</f>
        <v/>
      </c>
      <c r="I4112" s="10" t="str">
        <f aca="false">IF($D4112="","",SUBSTITUTE(SUBSTITUTE(SUBSTITUTE($D4112,"-","")," ",""),".",""))</f>
        <v/>
      </c>
      <c r="J4112" s="10" t="str">
        <f aca="false">IF($E4112="","",UPPER(SUBSTITUTE($E4112," ","")))</f>
        <v/>
      </c>
      <c r="K4112" s="10" t="str">
        <f aca="false">IF($A4112="","",$G4112&amp;"|"&amp;$J4112)</f>
        <v/>
      </c>
      <c r="L4112" s="10" t="str">
        <f aca="false">IF($A4112="","",ROW()-2)</f>
        <v/>
      </c>
      <c r="M4112" s="10" t="str">
        <f aca="false">IF($A4112="","",ROW())</f>
        <v/>
      </c>
    </row>
    <row r="4113" customFormat="false" ht="15" hidden="false" customHeight="true" outlineLevel="0" collapsed="false">
      <c r="A4113" s="8"/>
      <c r="B4113" s="8"/>
      <c r="C4113" s="8"/>
      <c r="D4113" s="8"/>
      <c r="E4113" s="8"/>
      <c r="F4113" s="8"/>
      <c r="G4113" s="10" t="str">
        <f aca="false">IF($A4113="","",UPPER(SUBSTITUTE(SUBSTITUTE(SUBSTITUTE(SUBSTITUTE($A4113," ",""),"(주)",""),"주식회사",""),"㈜","")))</f>
        <v/>
      </c>
      <c r="H4113" s="10" t="str">
        <f aca="false">IF($B4113="","",SUBSTITUTE(SUBSTITUTE(SUBSTITUTE($B4113,"-","")," ",""),".",""))</f>
        <v/>
      </c>
      <c r="I4113" s="10" t="str">
        <f aca="false">IF($D4113="","",SUBSTITUTE(SUBSTITUTE(SUBSTITUTE($D4113,"-","")," ",""),".",""))</f>
        <v/>
      </c>
      <c r="J4113" s="10" t="str">
        <f aca="false">IF($E4113="","",UPPER(SUBSTITUTE($E4113," ","")))</f>
        <v/>
      </c>
      <c r="K4113" s="10" t="str">
        <f aca="false">IF($A4113="","",$G4113&amp;"|"&amp;$J4113)</f>
        <v/>
      </c>
      <c r="L4113" s="10" t="str">
        <f aca="false">IF($A4113="","",ROW()-2)</f>
        <v/>
      </c>
      <c r="M4113" s="10" t="str">
        <f aca="false">IF($A4113="","",ROW())</f>
        <v/>
      </c>
    </row>
    <row r="4114" customFormat="false" ht="15" hidden="false" customHeight="true" outlineLevel="0" collapsed="false">
      <c r="A4114" s="8"/>
      <c r="B4114" s="8"/>
      <c r="C4114" s="8"/>
      <c r="D4114" s="8"/>
      <c r="E4114" s="8"/>
      <c r="F4114" s="8"/>
      <c r="G4114" s="10" t="str">
        <f aca="false">IF($A4114="","",UPPER(SUBSTITUTE(SUBSTITUTE(SUBSTITUTE(SUBSTITUTE($A4114," ",""),"(주)",""),"주식회사",""),"㈜","")))</f>
        <v/>
      </c>
      <c r="H4114" s="10" t="str">
        <f aca="false">IF($B4114="","",SUBSTITUTE(SUBSTITUTE(SUBSTITUTE($B4114,"-","")," ",""),".",""))</f>
        <v/>
      </c>
      <c r="I4114" s="10" t="str">
        <f aca="false">IF($D4114="","",SUBSTITUTE(SUBSTITUTE(SUBSTITUTE($D4114,"-","")," ",""),".",""))</f>
        <v/>
      </c>
      <c r="J4114" s="10" t="str">
        <f aca="false">IF($E4114="","",UPPER(SUBSTITUTE($E4114," ","")))</f>
        <v/>
      </c>
      <c r="K4114" s="10" t="str">
        <f aca="false">IF($A4114="","",$G4114&amp;"|"&amp;$J4114)</f>
        <v/>
      </c>
      <c r="L4114" s="10" t="str">
        <f aca="false">IF($A4114="","",ROW()-2)</f>
        <v/>
      </c>
      <c r="M4114" s="10" t="str">
        <f aca="false">IF($A4114="","",ROW())</f>
        <v/>
      </c>
    </row>
    <row r="4115" customFormat="false" ht="15" hidden="false" customHeight="true" outlineLevel="0" collapsed="false">
      <c r="A4115" s="8"/>
      <c r="B4115" s="8"/>
      <c r="C4115" s="8"/>
      <c r="D4115" s="8"/>
      <c r="E4115" s="8"/>
      <c r="F4115" s="8"/>
      <c r="G4115" s="10" t="str">
        <f aca="false">IF($A4115="","",UPPER(SUBSTITUTE(SUBSTITUTE(SUBSTITUTE(SUBSTITUTE($A4115," ",""),"(주)",""),"주식회사",""),"㈜","")))</f>
        <v/>
      </c>
      <c r="H4115" s="10" t="str">
        <f aca="false">IF($B4115="","",SUBSTITUTE(SUBSTITUTE(SUBSTITUTE($B4115,"-","")," ",""),".",""))</f>
        <v/>
      </c>
      <c r="I4115" s="10" t="str">
        <f aca="false">IF($D4115="","",SUBSTITUTE(SUBSTITUTE(SUBSTITUTE($D4115,"-","")," ",""),".",""))</f>
        <v/>
      </c>
      <c r="J4115" s="10" t="str">
        <f aca="false">IF($E4115="","",UPPER(SUBSTITUTE($E4115," ","")))</f>
        <v/>
      </c>
      <c r="K4115" s="10" t="str">
        <f aca="false">IF($A4115="","",$G4115&amp;"|"&amp;$J4115)</f>
        <v/>
      </c>
      <c r="L4115" s="10" t="str">
        <f aca="false">IF($A4115="","",ROW()-2)</f>
        <v/>
      </c>
      <c r="M4115" s="10" t="str">
        <f aca="false">IF($A4115="","",ROW())</f>
        <v/>
      </c>
    </row>
    <row r="4116" customFormat="false" ht="15" hidden="false" customHeight="true" outlineLevel="0" collapsed="false">
      <c r="A4116" s="8"/>
      <c r="B4116" s="8"/>
      <c r="C4116" s="8"/>
      <c r="D4116" s="8"/>
      <c r="E4116" s="8"/>
      <c r="F4116" s="8"/>
      <c r="G4116" s="10" t="str">
        <f aca="false">IF($A4116="","",UPPER(SUBSTITUTE(SUBSTITUTE(SUBSTITUTE(SUBSTITUTE($A4116," ",""),"(주)",""),"주식회사",""),"㈜","")))</f>
        <v/>
      </c>
      <c r="H4116" s="10" t="str">
        <f aca="false">IF($B4116="","",SUBSTITUTE(SUBSTITUTE(SUBSTITUTE($B4116,"-","")," ",""),".",""))</f>
        <v/>
      </c>
      <c r="I4116" s="10" t="str">
        <f aca="false">IF($D4116="","",SUBSTITUTE(SUBSTITUTE(SUBSTITUTE($D4116,"-","")," ",""),".",""))</f>
        <v/>
      </c>
      <c r="J4116" s="10" t="str">
        <f aca="false">IF($E4116="","",UPPER(SUBSTITUTE($E4116," ","")))</f>
        <v/>
      </c>
      <c r="K4116" s="10" t="str">
        <f aca="false">IF($A4116="","",$G4116&amp;"|"&amp;$J4116)</f>
        <v/>
      </c>
      <c r="L4116" s="10" t="str">
        <f aca="false">IF($A4116="","",ROW()-2)</f>
        <v/>
      </c>
      <c r="M4116" s="10" t="str">
        <f aca="false">IF($A4116="","",ROW())</f>
        <v/>
      </c>
    </row>
    <row r="4117" customFormat="false" ht="15" hidden="false" customHeight="true" outlineLevel="0" collapsed="false">
      <c r="A4117" s="8"/>
      <c r="B4117" s="8"/>
      <c r="C4117" s="8"/>
      <c r="D4117" s="8"/>
      <c r="E4117" s="8"/>
      <c r="F4117" s="8"/>
      <c r="G4117" s="10" t="str">
        <f aca="false">IF($A4117="","",UPPER(SUBSTITUTE(SUBSTITUTE(SUBSTITUTE(SUBSTITUTE($A4117," ",""),"(주)",""),"주식회사",""),"㈜","")))</f>
        <v/>
      </c>
      <c r="H4117" s="10" t="str">
        <f aca="false">IF($B4117="","",SUBSTITUTE(SUBSTITUTE(SUBSTITUTE($B4117,"-","")," ",""),".",""))</f>
        <v/>
      </c>
      <c r="I4117" s="10" t="str">
        <f aca="false">IF($D4117="","",SUBSTITUTE(SUBSTITUTE(SUBSTITUTE($D4117,"-","")," ",""),".",""))</f>
        <v/>
      </c>
      <c r="J4117" s="10" t="str">
        <f aca="false">IF($E4117="","",UPPER(SUBSTITUTE($E4117," ","")))</f>
        <v/>
      </c>
      <c r="K4117" s="10" t="str">
        <f aca="false">IF($A4117="","",$G4117&amp;"|"&amp;$J4117)</f>
        <v/>
      </c>
      <c r="L4117" s="10" t="str">
        <f aca="false">IF($A4117="","",ROW()-2)</f>
        <v/>
      </c>
      <c r="M4117" s="10" t="str">
        <f aca="false">IF($A4117="","",ROW())</f>
        <v/>
      </c>
    </row>
    <row r="4118" customFormat="false" ht="15" hidden="false" customHeight="true" outlineLevel="0" collapsed="false">
      <c r="A4118" s="8"/>
      <c r="B4118" s="8"/>
      <c r="C4118" s="8"/>
      <c r="D4118" s="8"/>
      <c r="E4118" s="8"/>
      <c r="F4118" s="8"/>
      <c r="G4118" s="10" t="str">
        <f aca="false">IF($A4118="","",UPPER(SUBSTITUTE(SUBSTITUTE(SUBSTITUTE(SUBSTITUTE($A4118," ",""),"(주)",""),"주식회사",""),"㈜","")))</f>
        <v/>
      </c>
      <c r="H4118" s="10" t="str">
        <f aca="false">IF($B4118="","",SUBSTITUTE(SUBSTITUTE(SUBSTITUTE($B4118,"-","")," ",""),".",""))</f>
        <v/>
      </c>
      <c r="I4118" s="10" t="str">
        <f aca="false">IF($D4118="","",SUBSTITUTE(SUBSTITUTE(SUBSTITUTE($D4118,"-","")," ",""),".",""))</f>
        <v/>
      </c>
      <c r="J4118" s="10" t="str">
        <f aca="false">IF($E4118="","",UPPER(SUBSTITUTE($E4118," ","")))</f>
        <v/>
      </c>
      <c r="K4118" s="10" t="str">
        <f aca="false">IF($A4118="","",$G4118&amp;"|"&amp;$J4118)</f>
        <v/>
      </c>
      <c r="L4118" s="10" t="str">
        <f aca="false">IF($A4118="","",ROW()-2)</f>
        <v/>
      </c>
      <c r="M4118" s="10" t="str">
        <f aca="false">IF($A4118="","",ROW())</f>
        <v/>
      </c>
    </row>
    <row r="4119" customFormat="false" ht="15" hidden="false" customHeight="true" outlineLevel="0" collapsed="false">
      <c r="A4119" s="8"/>
      <c r="B4119" s="8"/>
      <c r="C4119" s="8"/>
      <c r="D4119" s="8"/>
      <c r="E4119" s="8"/>
      <c r="F4119" s="8"/>
      <c r="G4119" s="10" t="str">
        <f aca="false">IF($A4119="","",UPPER(SUBSTITUTE(SUBSTITUTE(SUBSTITUTE(SUBSTITUTE($A4119," ",""),"(주)",""),"주식회사",""),"㈜","")))</f>
        <v/>
      </c>
      <c r="H4119" s="10" t="str">
        <f aca="false">IF($B4119="","",SUBSTITUTE(SUBSTITUTE(SUBSTITUTE($B4119,"-","")," ",""),".",""))</f>
        <v/>
      </c>
      <c r="I4119" s="10" t="str">
        <f aca="false">IF($D4119="","",SUBSTITUTE(SUBSTITUTE(SUBSTITUTE($D4119,"-","")," ",""),".",""))</f>
        <v/>
      </c>
      <c r="J4119" s="10" t="str">
        <f aca="false">IF($E4119="","",UPPER(SUBSTITUTE($E4119," ","")))</f>
        <v/>
      </c>
      <c r="K4119" s="10" t="str">
        <f aca="false">IF($A4119="","",$G4119&amp;"|"&amp;$J4119)</f>
        <v/>
      </c>
      <c r="L4119" s="10" t="str">
        <f aca="false">IF($A4119="","",ROW()-2)</f>
        <v/>
      </c>
      <c r="M4119" s="10" t="str">
        <f aca="false">IF($A4119="","",ROW())</f>
        <v/>
      </c>
    </row>
    <row r="4120" customFormat="false" ht="15" hidden="false" customHeight="true" outlineLevel="0" collapsed="false">
      <c r="A4120" s="8"/>
      <c r="B4120" s="8"/>
      <c r="C4120" s="8"/>
      <c r="D4120" s="8"/>
      <c r="E4120" s="8"/>
      <c r="F4120" s="8"/>
      <c r="G4120" s="10" t="str">
        <f aca="false">IF($A4120="","",UPPER(SUBSTITUTE(SUBSTITUTE(SUBSTITUTE(SUBSTITUTE($A4120," ",""),"(주)",""),"주식회사",""),"㈜","")))</f>
        <v/>
      </c>
      <c r="H4120" s="10" t="str">
        <f aca="false">IF($B4120="","",SUBSTITUTE(SUBSTITUTE(SUBSTITUTE($B4120,"-","")," ",""),".",""))</f>
        <v/>
      </c>
      <c r="I4120" s="10" t="str">
        <f aca="false">IF($D4120="","",SUBSTITUTE(SUBSTITUTE(SUBSTITUTE($D4120,"-","")," ",""),".",""))</f>
        <v/>
      </c>
      <c r="J4120" s="10" t="str">
        <f aca="false">IF($E4120="","",UPPER(SUBSTITUTE($E4120," ","")))</f>
        <v/>
      </c>
      <c r="K4120" s="10" t="str">
        <f aca="false">IF($A4120="","",$G4120&amp;"|"&amp;$J4120)</f>
        <v/>
      </c>
      <c r="L4120" s="10" t="str">
        <f aca="false">IF($A4120="","",ROW()-2)</f>
        <v/>
      </c>
      <c r="M4120" s="10" t="str">
        <f aca="false">IF($A4120="","",ROW())</f>
        <v/>
      </c>
    </row>
    <row r="4121" customFormat="false" ht="15" hidden="false" customHeight="true" outlineLevel="0" collapsed="false">
      <c r="A4121" s="8"/>
      <c r="B4121" s="8"/>
      <c r="C4121" s="8"/>
      <c r="D4121" s="8"/>
      <c r="E4121" s="8"/>
      <c r="F4121" s="8"/>
      <c r="G4121" s="10" t="str">
        <f aca="false">IF($A4121="","",UPPER(SUBSTITUTE(SUBSTITUTE(SUBSTITUTE(SUBSTITUTE($A4121," ",""),"(주)",""),"주식회사",""),"㈜","")))</f>
        <v/>
      </c>
      <c r="H4121" s="10" t="str">
        <f aca="false">IF($B4121="","",SUBSTITUTE(SUBSTITUTE(SUBSTITUTE($B4121,"-","")," ",""),".",""))</f>
        <v/>
      </c>
      <c r="I4121" s="10" t="str">
        <f aca="false">IF($D4121="","",SUBSTITUTE(SUBSTITUTE(SUBSTITUTE($D4121,"-","")," ",""),".",""))</f>
        <v/>
      </c>
      <c r="J4121" s="10" t="str">
        <f aca="false">IF($E4121="","",UPPER(SUBSTITUTE($E4121," ","")))</f>
        <v/>
      </c>
      <c r="K4121" s="10" t="str">
        <f aca="false">IF($A4121="","",$G4121&amp;"|"&amp;$J4121)</f>
        <v/>
      </c>
      <c r="L4121" s="10" t="str">
        <f aca="false">IF($A4121="","",ROW()-2)</f>
        <v/>
      </c>
      <c r="M4121" s="10" t="str">
        <f aca="false">IF($A4121="","",ROW())</f>
        <v/>
      </c>
    </row>
    <row r="4122" customFormat="false" ht="15" hidden="false" customHeight="true" outlineLevel="0" collapsed="false">
      <c r="A4122" s="8"/>
      <c r="B4122" s="8"/>
      <c r="C4122" s="8"/>
      <c r="D4122" s="8"/>
      <c r="E4122" s="8"/>
      <c r="F4122" s="8"/>
      <c r="G4122" s="10" t="str">
        <f aca="false">IF($A4122="","",UPPER(SUBSTITUTE(SUBSTITUTE(SUBSTITUTE(SUBSTITUTE($A4122," ",""),"(주)",""),"주식회사",""),"㈜","")))</f>
        <v/>
      </c>
      <c r="H4122" s="10" t="str">
        <f aca="false">IF($B4122="","",SUBSTITUTE(SUBSTITUTE(SUBSTITUTE($B4122,"-","")," ",""),".",""))</f>
        <v/>
      </c>
      <c r="I4122" s="10" t="str">
        <f aca="false">IF($D4122="","",SUBSTITUTE(SUBSTITUTE(SUBSTITUTE($D4122,"-","")," ",""),".",""))</f>
        <v/>
      </c>
      <c r="J4122" s="10" t="str">
        <f aca="false">IF($E4122="","",UPPER(SUBSTITUTE($E4122," ","")))</f>
        <v/>
      </c>
      <c r="K4122" s="10" t="str">
        <f aca="false">IF($A4122="","",$G4122&amp;"|"&amp;$J4122)</f>
        <v/>
      </c>
      <c r="L4122" s="10" t="str">
        <f aca="false">IF($A4122="","",ROW()-2)</f>
        <v/>
      </c>
      <c r="M4122" s="10" t="str">
        <f aca="false">IF($A4122="","",ROW())</f>
        <v/>
      </c>
    </row>
    <row r="4123" customFormat="false" ht="15" hidden="false" customHeight="true" outlineLevel="0" collapsed="false">
      <c r="A4123" s="8"/>
      <c r="B4123" s="8"/>
      <c r="C4123" s="8"/>
      <c r="D4123" s="8"/>
      <c r="E4123" s="8"/>
      <c r="F4123" s="8"/>
      <c r="G4123" s="10" t="str">
        <f aca="false">IF($A4123="","",UPPER(SUBSTITUTE(SUBSTITUTE(SUBSTITUTE(SUBSTITUTE($A4123," ",""),"(주)",""),"주식회사",""),"㈜","")))</f>
        <v/>
      </c>
      <c r="H4123" s="10" t="str">
        <f aca="false">IF($B4123="","",SUBSTITUTE(SUBSTITUTE(SUBSTITUTE($B4123,"-","")," ",""),".",""))</f>
        <v/>
      </c>
      <c r="I4123" s="10" t="str">
        <f aca="false">IF($D4123="","",SUBSTITUTE(SUBSTITUTE(SUBSTITUTE($D4123,"-","")," ",""),".",""))</f>
        <v/>
      </c>
      <c r="J4123" s="10" t="str">
        <f aca="false">IF($E4123="","",UPPER(SUBSTITUTE($E4123," ","")))</f>
        <v/>
      </c>
      <c r="K4123" s="10" t="str">
        <f aca="false">IF($A4123="","",$G4123&amp;"|"&amp;$J4123)</f>
        <v/>
      </c>
      <c r="L4123" s="10" t="str">
        <f aca="false">IF($A4123="","",ROW()-2)</f>
        <v/>
      </c>
      <c r="M4123" s="10" t="str">
        <f aca="false">IF($A4123="","",ROW())</f>
        <v/>
      </c>
    </row>
    <row r="4124" customFormat="false" ht="15" hidden="false" customHeight="true" outlineLevel="0" collapsed="false">
      <c r="A4124" s="8"/>
      <c r="B4124" s="8"/>
      <c r="C4124" s="8"/>
      <c r="D4124" s="8"/>
      <c r="E4124" s="8"/>
      <c r="F4124" s="8"/>
      <c r="G4124" s="10" t="str">
        <f aca="false">IF($A4124="","",UPPER(SUBSTITUTE(SUBSTITUTE(SUBSTITUTE(SUBSTITUTE($A4124," ",""),"(주)",""),"주식회사",""),"㈜","")))</f>
        <v/>
      </c>
      <c r="H4124" s="10" t="str">
        <f aca="false">IF($B4124="","",SUBSTITUTE(SUBSTITUTE(SUBSTITUTE($B4124,"-","")," ",""),".",""))</f>
        <v/>
      </c>
      <c r="I4124" s="10" t="str">
        <f aca="false">IF($D4124="","",SUBSTITUTE(SUBSTITUTE(SUBSTITUTE($D4124,"-","")," ",""),".",""))</f>
        <v/>
      </c>
      <c r="J4124" s="10" t="str">
        <f aca="false">IF($E4124="","",UPPER(SUBSTITUTE($E4124," ","")))</f>
        <v/>
      </c>
      <c r="K4124" s="10" t="str">
        <f aca="false">IF($A4124="","",$G4124&amp;"|"&amp;$J4124)</f>
        <v/>
      </c>
      <c r="L4124" s="10" t="str">
        <f aca="false">IF($A4124="","",ROW()-2)</f>
        <v/>
      </c>
      <c r="M4124" s="10" t="str">
        <f aca="false">IF($A4124="","",ROW())</f>
        <v/>
      </c>
    </row>
    <row r="4125" customFormat="false" ht="15" hidden="false" customHeight="true" outlineLevel="0" collapsed="false">
      <c r="A4125" s="8"/>
      <c r="B4125" s="8"/>
      <c r="C4125" s="8"/>
      <c r="D4125" s="8"/>
      <c r="E4125" s="8"/>
      <c r="F4125" s="8"/>
      <c r="G4125" s="10" t="str">
        <f aca="false">IF($A4125="","",UPPER(SUBSTITUTE(SUBSTITUTE(SUBSTITUTE(SUBSTITUTE($A4125," ",""),"(주)",""),"주식회사",""),"㈜","")))</f>
        <v/>
      </c>
      <c r="H4125" s="10" t="str">
        <f aca="false">IF($B4125="","",SUBSTITUTE(SUBSTITUTE(SUBSTITUTE($B4125,"-","")," ",""),".",""))</f>
        <v/>
      </c>
      <c r="I4125" s="10" t="str">
        <f aca="false">IF($D4125="","",SUBSTITUTE(SUBSTITUTE(SUBSTITUTE($D4125,"-","")," ",""),".",""))</f>
        <v/>
      </c>
      <c r="J4125" s="10" t="str">
        <f aca="false">IF($E4125="","",UPPER(SUBSTITUTE($E4125," ","")))</f>
        <v/>
      </c>
      <c r="K4125" s="10" t="str">
        <f aca="false">IF($A4125="","",$G4125&amp;"|"&amp;$J4125)</f>
        <v/>
      </c>
      <c r="L4125" s="10" t="str">
        <f aca="false">IF($A4125="","",ROW()-2)</f>
        <v/>
      </c>
      <c r="M4125" s="10" t="str">
        <f aca="false">IF($A4125="","",ROW())</f>
        <v/>
      </c>
    </row>
    <row r="4126" customFormat="false" ht="15" hidden="false" customHeight="true" outlineLevel="0" collapsed="false">
      <c r="A4126" s="8"/>
      <c r="B4126" s="8"/>
      <c r="C4126" s="8"/>
      <c r="D4126" s="8"/>
      <c r="E4126" s="8"/>
      <c r="F4126" s="8"/>
      <c r="G4126" s="10" t="str">
        <f aca="false">IF($A4126="","",UPPER(SUBSTITUTE(SUBSTITUTE(SUBSTITUTE(SUBSTITUTE($A4126," ",""),"(주)",""),"주식회사",""),"㈜","")))</f>
        <v/>
      </c>
      <c r="H4126" s="10" t="str">
        <f aca="false">IF($B4126="","",SUBSTITUTE(SUBSTITUTE(SUBSTITUTE($B4126,"-","")," ",""),".",""))</f>
        <v/>
      </c>
      <c r="I4126" s="10" t="str">
        <f aca="false">IF($D4126="","",SUBSTITUTE(SUBSTITUTE(SUBSTITUTE($D4126,"-","")," ",""),".",""))</f>
        <v/>
      </c>
      <c r="J4126" s="10" t="str">
        <f aca="false">IF($E4126="","",UPPER(SUBSTITUTE($E4126," ","")))</f>
        <v/>
      </c>
      <c r="K4126" s="10" t="str">
        <f aca="false">IF($A4126="","",$G4126&amp;"|"&amp;$J4126)</f>
        <v/>
      </c>
      <c r="L4126" s="10" t="str">
        <f aca="false">IF($A4126="","",ROW()-2)</f>
        <v/>
      </c>
      <c r="M4126" s="10" t="str">
        <f aca="false">IF($A4126="","",ROW())</f>
        <v/>
      </c>
    </row>
    <row r="4127" customFormat="false" ht="15" hidden="false" customHeight="true" outlineLevel="0" collapsed="false">
      <c r="A4127" s="8"/>
      <c r="B4127" s="8"/>
      <c r="C4127" s="8"/>
      <c r="D4127" s="8"/>
      <c r="E4127" s="8"/>
      <c r="F4127" s="8"/>
      <c r="G4127" s="10" t="str">
        <f aca="false">IF($A4127="","",UPPER(SUBSTITUTE(SUBSTITUTE(SUBSTITUTE(SUBSTITUTE($A4127," ",""),"(주)",""),"주식회사",""),"㈜","")))</f>
        <v/>
      </c>
      <c r="H4127" s="10" t="str">
        <f aca="false">IF($B4127="","",SUBSTITUTE(SUBSTITUTE(SUBSTITUTE($B4127,"-","")," ",""),".",""))</f>
        <v/>
      </c>
      <c r="I4127" s="10" t="str">
        <f aca="false">IF($D4127="","",SUBSTITUTE(SUBSTITUTE(SUBSTITUTE($D4127,"-","")," ",""),".",""))</f>
        <v/>
      </c>
      <c r="J4127" s="10" t="str">
        <f aca="false">IF($E4127="","",UPPER(SUBSTITUTE($E4127," ","")))</f>
        <v/>
      </c>
      <c r="K4127" s="10" t="str">
        <f aca="false">IF($A4127="","",$G4127&amp;"|"&amp;$J4127)</f>
        <v/>
      </c>
      <c r="L4127" s="10" t="str">
        <f aca="false">IF($A4127="","",ROW()-2)</f>
        <v/>
      </c>
      <c r="M4127" s="10" t="str">
        <f aca="false">IF($A4127="","",ROW())</f>
        <v/>
      </c>
    </row>
    <row r="4128" customFormat="false" ht="15" hidden="false" customHeight="true" outlineLevel="0" collapsed="false">
      <c r="A4128" s="8"/>
      <c r="B4128" s="8"/>
      <c r="C4128" s="8"/>
      <c r="D4128" s="8"/>
      <c r="E4128" s="8"/>
      <c r="F4128" s="8"/>
      <c r="G4128" s="10" t="str">
        <f aca="false">IF($A4128="","",UPPER(SUBSTITUTE(SUBSTITUTE(SUBSTITUTE(SUBSTITUTE($A4128," ",""),"(주)",""),"주식회사",""),"㈜","")))</f>
        <v/>
      </c>
      <c r="H4128" s="10" t="str">
        <f aca="false">IF($B4128="","",SUBSTITUTE(SUBSTITUTE(SUBSTITUTE($B4128,"-","")," ",""),".",""))</f>
        <v/>
      </c>
      <c r="I4128" s="10" t="str">
        <f aca="false">IF($D4128="","",SUBSTITUTE(SUBSTITUTE(SUBSTITUTE($D4128,"-","")," ",""),".",""))</f>
        <v/>
      </c>
      <c r="J4128" s="10" t="str">
        <f aca="false">IF($E4128="","",UPPER(SUBSTITUTE($E4128," ","")))</f>
        <v/>
      </c>
      <c r="K4128" s="10" t="str">
        <f aca="false">IF($A4128="","",$G4128&amp;"|"&amp;$J4128)</f>
        <v/>
      </c>
      <c r="L4128" s="10" t="str">
        <f aca="false">IF($A4128="","",ROW()-2)</f>
        <v/>
      </c>
      <c r="M4128" s="10" t="str">
        <f aca="false">IF($A4128="","",ROW())</f>
        <v/>
      </c>
    </row>
    <row r="4129" customFormat="false" ht="15" hidden="false" customHeight="true" outlineLevel="0" collapsed="false">
      <c r="A4129" s="8"/>
      <c r="B4129" s="8"/>
      <c r="C4129" s="8"/>
      <c r="D4129" s="8"/>
      <c r="E4129" s="8"/>
      <c r="F4129" s="8"/>
      <c r="G4129" s="10" t="str">
        <f aca="false">IF($A4129="","",UPPER(SUBSTITUTE(SUBSTITUTE(SUBSTITUTE(SUBSTITUTE($A4129," ",""),"(주)",""),"주식회사",""),"㈜","")))</f>
        <v/>
      </c>
      <c r="H4129" s="10" t="str">
        <f aca="false">IF($B4129="","",SUBSTITUTE(SUBSTITUTE(SUBSTITUTE($B4129,"-","")," ",""),".",""))</f>
        <v/>
      </c>
      <c r="I4129" s="10" t="str">
        <f aca="false">IF($D4129="","",SUBSTITUTE(SUBSTITUTE(SUBSTITUTE($D4129,"-","")," ",""),".",""))</f>
        <v/>
      </c>
      <c r="J4129" s="10" t="str">
        <f aca="false">IF($E4129="","",UPPER(SUBSTITUTE($E4129," ","")))</f>
        <v/>
      </c>
      <c r="K4129" s="10" t="str">
        <f aca="false">IF($A4129="","",$G4129&amp;"|"&amp;$J4129)</f>
        <v/>
      </c>
      <c r="L4129" s="10" t="str">
        <f aca="false">IF($A4129="","",ROW()-2)</f>
        <v/>
      </c>
      <c r="M4129" s="10" t="str">
        <f aca="false">IF($A4129="","",ROW())</f>
        <v/>
      </c>
    </row>
    <row r="4130" customFormat="false" ht="15" hidden="false" customHeight="true" outlineLevel="0" collapsed="false">
      <c r="A4130" s="8"/>
      <c r="B4130" s="8"/>
      <c r="C4130" s="8"/>
      <c r="D4130" s="8"/>
      <c r="E4130" s="8"/>
      <c r="F4130" s="8"/>
      <c r="G4130" s="10" t="str">
        <f aca="false">IF($A4130="","",UPPER(SUBSTITUTE(SUBSTITUTE(SUBSTITUTE(SUBSTITUTE($A4130," ",""),"(주)",""),"주식회사",""),"㈜","")))</f>
        <v/>
      </c>
      <c r="H4130" s="10" t="str">
        <f aca="false">IF($B4130="","",SUBSTITUTE(SUBSTITUTE(SUBSTITUTE($B4130,"-","")," ",""),".",""))</f>
        <v/>
      </c>
      <c r="I4130" s="10" t="str">
        <f aca="false">IF($D4130="","",SUBSTITUTE(SUBSTITUTE(SUBSTITUTE($D4130,"-","")," ",""),".",""))</f>
        <v/>
      </c>
      <c r="J4130" s="10" t="str">
        <f aca="false">IF($E4130="","",UPPER(SUBSTITUTE($E4130," ","")))</f>
        <v/>
      </c>
      <c r="K4130" s="10" t="str">
        <f aca="false">IF($A4130="","",$G4130&amp;"|"&amp;$J4130)</f>
        <v/>
      </c>
      <c r="L4130" s="10" t="str">
        <f aca="false">IF($A4130="","",ROW()-2)</f>
        <v/>
      </c>
      <c r="M4130" s="10" t="str">
        <f aca="false">IF($A4130="","",ROW())</f>
        <v/>
      </c>
    </row>
    <row r="4131" customFormat="false" ht="15" hidden="false" customHeight="true" outlineLevel="0" collapsed="false">
      <c r="A4131" s="8"/>
      <c r="B4131" s="8"/>
      <c r="C4131" s="8"/>
      <c r="D4131" s="8"/>
      <c r="E4131" s="8"/>
      <c r="F4131" s="8"/>
      <c r="G4131" s="10" t="str">
        <f aca="false">IF($A4131="","",UPPER(SUBSTITUTE(SUBSTITUTE(SUBSTITUTE(SUBSTITUTE($A4131," ",""),"(주)",""),"주식회사",""),"㈜","")))</f>
        <v/>
      </c>
      <c r="H4131" s="10" t="str">
        <f aca="false">IF($B4131="","",SUBSTITUTE(SUBSTITUTE(SUBSTITUTE($B4131,"-","")," ",""),".",""))</f>
        <v/>
      </c>
      <c r="I4131" s="10" t="str">
        <f aca="false">IF($D4131="","",SUBSTITUTE(SUBSTITUTE(SUBSTITUTE($D4131,"-","")," ",""),".",""))</f>
        <v/>
      </c>
      <c r="J4131" s="10" t="str">
        <f aca="false">IF($E4131="","",UPPER(SUBSTITUTE($E4131," ","")))</f>
        <v/>
      </c>
      <c r="K4131" s="10" t="str">
        <f aca="false">IF($A4131="","",$G4131&amp;"|"&amp;$J4131)</f>
        <v/>
      </c>
      <c r="L4131" s="10" t="str">
        <f aca="false">IF($A4131="","",ROW()-2)</f>
        <v/>
      </c>
      <c r="M4131" s="10" t="str">
        <f aca="false">IF($A4131="","",ROW())</f>
        <v/>
      </c>
    </row>
    <row r="4132" customFormat="false" ht="15" hidden="false" customHeight="true" outlineLevel="0" collapsed="false">
      <c r="A4132" s="8"/>
      <c r="B4132" s="8"/>
      <c r="C4132" s="8"/>
      <c r="D4132" s="8"/>
      <c r="E4132" s="8"/>
      <c r="F4132" s="8"/>
      <c r="G4132" s="10" t="str">
        <f aca="false">IF($A4132="","",UPPER(SUBSTITUTE(SUBSTITUTE(SUBSTITUTE(SUBSTITUTE($A4132," ",""),"(주)",""),"주식회사",""),"㈜","")))</f>
        <v/>
      </c>
      <c r="H4132" s="10" t="str">
        <f aca="false">IF($B4132="","",SUBSTITUTE(SUBSTITUTE(SUBSTITUTE($B4132,"-","")," ",""),".",""))</f>
        <v/>
      </c>
      <c r="I4132" s="10" t="str">
        <f aca="false">IF($D4132="","",SUBSTITUTE(SUBSTITUTE(SUBSTITUTE($D4132,"-","")," ",""),".",""))</f>
        <v/>
      </c>
      <c r="J4132" s="10" t="str">
        <f aca="false">IF($E4132="","",UPPER(SUBSTITUTE($E4132," ","")))</f>
        <v/>
      </c>
      <c r="K4132" s="10" t="str">
        <f aca="false">IF($A4132="","",$G4132&amp;"|"&amp;$J4132)</f>
        <v/>
      </c>
      <c r="L4132" s="10" t="str">
        <f aca="false">IF($A4132="","",ROW()-2)</f>
        <v/>
      </c>
      <c r="M4132" s="10" t="str">
        <f aca="false">IF($A4132="","",ROW())</f>
        <v/>
      </c>
    </row>
    <row r="4133" customFormat="false" ht="15" hidden="false" customHeight="true" outlineLevel="0" collapsed="false">
      <c r="A4133" s="8"/>
      <c r="B4133" s="8"/>
      <c r="C4133" s="8"/>
      <c r="D4133" s="8"/>
      <c r="E4133" s="8"/>
      <c r="F4133" s="8"/>
      <c r="G4133" s="10" t="str">
        <f aca="false">IF($A4133="","",UPPER(SUBSTITUTE(SUBSTITUTE(SUBSTITUTE(SUBSTITUTE($A4133," ",""),"(주)",""),"주식회사",""),"㈜","")))</f>
        <v/>
      </c>
      <c r="H4133" s="10" t="str">
        <f aca="false">IF($B4133="","",SUBSTITUTE(SUBSTITUTE(SUBSTITUTE($B4133,"-","")," ",""),".",""))</f>
        <v/>
      </c>
      <c r="I4133" s="10" t="str">
        <f aca="false">IF($D4133="","",SUBSTITUTE(SUBSTITUTE(SUBSTITUTE($D4133,"-","")," ",""),".",""))</f>
        <v/>
      </c>
      <c r="J4133" s="10" t="str">
        <f aca="false">IF($E4133="","",UPPER(SUBSTITUTE($E4133," ","")))</f>
        <v/>
      </c>
      <c r="K4133" s="10" t="str">
        <f aca="false">IF($A4133="","",$G4133&amp;"|"&amp;$J4133)</f>
        <v/>
      </c>
      <c r="L4133" s="10" t="str">
        <f aca="false">IF($A4133="","",ROW()-2)</f>
        <v/>
      </c>
      <c r="M4133" s="10" t="str">
        <f aca="false">IF($A4133="","",ROW())</f>
        <v/>
      </c>
    </row>
    <row r="4134" customFormat="false" ht="15" hidden="false" customHeight="true" outlineLevel="0" collapsed="false">
      <c r="A4134" s="8"/>
      <c r="B4134" s="8"/>
      <c r="C4134" s="8"/>
      <c r="D4134" s="8"/>
      <c r="E4134" s="8"/>
      <c r="F4134" s="8"/>
      <c r="G4134" s="10" t="str">
        <f aca="false">IF($A4134="","",UPPER(SUBSTITUTE(SUBSTITUTE(SUBSTITUTE(SUBSTITUTE($A4134," ",""),"(주)",""),"주식회사",""),"㈜","")))</f>
        <v/>
      </c>
      <c r="H4134" s="10" t="str">
        <f aca="false">IF($B4134="","",SUBSTITUTE(SUBSTITUTE(SUBSTITUTE($B4134,"-","")," ",""),".",""))</f>
        <v/>
      </c>
      <c r="I4134" s="10" t="str">
        <f aca="false">IF($D4134="","",SUBSTITUTE(SUBSTITUTE(SUBSTITUTE($D4134,"-","")," ",""),".",""))</f>
        <v/>
      </c>
      <c r="J4134" s="10" t="str">
        <f aca="false">IF($E4134="","",UPPER(SUBSTITUTE($E4134," ","")))</f>
        <v/>
      </c>
      <c r="K4134" s="10" t="str">
        <f aca="false">IF($A4134="","",$G4134&amp;"|"&amp;$J4134)</f>
        <v/>
      </c>
      <c r="L4134" s="10" t="str">
        <f aca="false">IF($A4134="","",ROW()-2)</f>
        <v/>
      </c>
      <c r="M4134" s="10" t="str">
        <f aca="false">IF($A4134="","",ROW())</f>
        <v/>
      </c>
    </row>
    <row r="4135" customFormat="false" ht="15" hidden="false" customHeight="true" outlineLevel="0" collapsed="false">
      <c r="A4135" s="8"/>
      <c r="B4135" s="8"/>
      <c r="C4135" s="8"/>
      <c r="D4135" s="8"/>
      <c r="E4135" s="8"/>
      <c r="F4135" s="8"/>
      <c r="G4135" s="10" t="str">
        <f aca="false">IF($A4135="","",UPPER(SUBSTITUTE(SUBSTITUTE(SUBSTITUTE(SUBSTITUTE($A4135," ",""),"(주)",""),"주식회사",""),"㈜","")))</f>
        <v/>
      </c>
      <c r="H4135" s="10" t="str">
        <f aca="false">IF($B4135="","",SUBSTITUTE(SUBSTITUTE(SUBSTITUTE($B4135,"-","")," ",""),".",""))</f>
        <v/>
      </c>
      <c r="I4135" s="10" t="str">
        <f aca="false">IF($D4135="","",SUBSTITUTE(SUBSTITUTE(SUBSTITUTE($D4135,"-","")," ",""),".",""))</f>
        <v/>
      </c>
      <c r="J4135" s="10" t="str">
        <f aca="false">IF($E4135="","",UPPER(SUBSTITUTE($E4135," ","")))</f>
        <v/>
      </c>
      <c r="K4135" s="10" t="str">
        <f aca="false">IF($A4135="","",$G4135&amp;"|"&amp;$J4135)</f>
        <v/>
      </c>
      <c r="L4135" s="10" t="str">
        <f aca="false">IF($A4135="","",ROW()-2)</f>
        <v/>
      </c>
      <c r="M4135" s="10" t="str">
        <f aca="false">IF($A4135="","",ROW())</f>
        <v/>
      </c>
    </row>
    <row r="4136" customFormat="false" ht="15" hidden="false" customHeight="true" outlineLevel="0" collapsed="false">
      <c r="A4136" s="8"/>
      <c r="B4136" s="8"/>
      <c r="C4136" s="8"/>
      <c r="D4136" s="8"/>
      <c r="E4136" s="8"/>
      <c r="F4136" s="8"/>
      <c r="G4136" s="10" t="str">
        <f aca="false">IF($A4136="","",UPPER(SUBSTITUTE(SUBSTITUTE(SUBSTITUTE(SUBSTITUTE($A4136," ",""),"(주)",""),"주식회사",""),"㈜","")))</f>
        <v/>
      </c>
      <c r="H4136" s="10" t="str">
        <f aca="false">IF($B4136="","",SUBSTITUTE(SUBSTITUTE(SUBSTITUTE($B4136,"-","")," ",""),".",""))</f>
        <v/>
      </c>
      <c r="I4136" s="10" t="str">
        <f aca="false">IF($D4136="","",SUBSTITUTE(SUBSTITUTE(SUBSTITUTE($D4136,"-","")," ",""),".",""))</f>
        <v/>
      </c>
      <c r="J4136" s="10" t="str">
        <f aca="false">IF($E4136="","",UPPER(SUBSTITUTE($E4136," ","")))</f>
        <v/>
      </c>
      <c r="K4136" s="10" t="str">
        <f aca="false">IF($A4136="","",$G4136&amp;"|"&amp;$J4136)</f>
        <v/>
      </c>
      <c r="L4136" s="10" t="str">
        <f aca="false">IF($A4136="","",ROW()-2)</f>
        <v/>
      </c>
      <c r="M4136" s="10" t="str">
        <f aca="false">IF($A4136="","",ROW())</f>
        <v/>
      </c>
    </row>
    <row r="4137" customFormat="false" ht="15" hidden="false" customHeight="true" outlineLevel="0" collapsed="false">
      <c r="A4137" s="8"/>
      <c r="B4137" s="8"/>
      <c r="C4137" s="8"/>
      <c r="D4137" s="8"/>
      <c r="E4137" s="8"/>
      <c r="F4137" s="8"/>
      <c r="G4137" s="10" t="str">
        <f aca="false">IF($A4137="","",UPPER(SUBSTITUTE(SUBSTITUTE(SUBSTITUTE(SUBSTITUTE($A4137," ",""),"(주)",""),"주식회사",""),"㈜","")))</f>
        <v/>
      </c>
      <c r="H4137" s="10" t="str">
        <f aca="false">IF($B4137="","",SUBSTITUTE(SUBSTITUTE(SUBSTITUTE($B4137,"-","")," ",""),".",""))</f>
        <v/>
      </c>
      <c r="I4137" s="10" t="str">
        <f aca="false">IF($D4137="","",SUBSTITUTE(SUBSTITUTE(SUBSTITUTE($D4137,"-","")," ",""),".",""))</f>
        <v/>
      </c>
      <c r="J4137" s="10" t="str">
        <f aca="false">IF($E4137="","",UPPER(SUBSTITUTE($E4137," ","")))</f>
        <v/>
      </c>
      <c r="K4137" s="10" t="str">
        <f aca="false">IF($A4137="","",$G4137&amp;"|"&amp;$J4137)</f>
        <v/>
      </c>
      <c r="L4137" s="10" t="str">
        <f aca="false">IF($A4137="","",ROW()-2)</f>
        <v/>
      </c>
      <c r="M4137" s="10" t="str">
        <f aca="false">IF($A4137="","",ROW())</f>
        <v/>
      </c>
    </row>
    <row r="4138" customFormat="false" ht="15" hidden="false" customHeight="true" outlineLevel="0" collapsed="false">
      <c r="A4138" s="8"/>
      <c r="B4138" s="8"/>
      <c r="C4138" s="8"/>
      <c r="D4138" s="8"/>
      <c r="E4138" s="8"/>
      <c r="F4138" s="8"/>
      <c r="G4138" s="10" t="str">
        <f aca="false">IF($A4138="","",UPPER(SUBSTITUTE(SUBSTITUTE(SUBSTITUTE(SUBSTITUTE($A4138," ",""),"(주)",""),"주식회사",""),"㈜","")))</f>
        <v/>
      </c>
      <c r="H4138" s="10" t="str">
        <f aca="false">IF($B4138="","",SUBSTITUTE(SUBSTITUTE(SUBSTITUTE($B4138,"-","")," ",""),".",""))</f>
        <v/>
      </c>
      <c r="I4138" s="10" t="str">
        <f aca="false">IF($D4138="","",SUBSTITUTE(SUBSTITUTE(SUBSTITUTE($D4138,"-","")," ",""),".",""))</f>
        <v/>
      </c>
      <c r="J4138" s="10" t="str">
        <f aca="false">IF($E4138="","",UPPER(SUBSTITUTE($E4138," ","")))</f>
        <v/>
      </c>
      <c r="K4138" s="10" t="str">
        <f aca="false">IF($A4138="","",$G4138&amp;"|"&amp;$J4138)</f>
        <v/>
      </c>
      <c r="L4138" s="10" t="str">
        <f aca="false">IF($A4138="","",ROW()-2)</f>
        <v/>
      </c>
      <c r="M4138" s="10" t="str">
        <f aca="false">IF($A4138="","",ROW())</f>
        <v/>
      </c>
    </row>
    <row r="4139" customFormat="false" ht="15" hidden="false" customHeight="true" outlineLevel="0" collapsed="false">
      <c r="A4139" s="8"/>
      <c r="B4139" s="8"/>
      <c r="C4139" s="8"/>
      <c r="D4139" s="8"/>
      <c r="E4139" s="8"/>
      <c r="F4139" s="8"/>
      <c r="G4139" s="10" t="str">
        <f aca="false">IF($A4139="","",UPPER(SUBSTITUTE(SUBSTITUTE(SUBSTITUTE(SUBSTITUTE($A4139," ",""),"(주)",""),"주식회사",""),"㈜","")))</f>
        <v/>
      </c>
      <c r="H4139" s="10" t="str">
        <f aca="false">IF($B4139="","",SUBSTITUTE(SUBSTITUTE(SUBSTITUTE($B4139,"-","")," ",""),".",""))</f>
        <v/>
      </c>
      <c r="I4139" s="10" t="str">
        <f aca="false">IF($D4139="","",SUBSTITUTE(SUBSTITUTE(SUBSTITUTE($D4139,"-","")," ",""),".",""))</f>
        <v/>
      </c>
      <c r="J4139" s="10" t="str">
        <f aca="false">IF($E4139="","",UPPER(SUBSTITUTE($E4139," ","")))</f>
        <v/>
      </c>
      <c r="K4139" s="10" t="str">
        <f aca="false">IF($A4139="","",$G4139&amp;"|"&amp;$J4139)</f>
        <v/>
      </c>
      <c r="L4139" s="10" t="str">
        <f aca="false">IF($A4139="","",ROW()-2)</f>
        <v/>
      </c>
      <c r="M4139" s="10" t="str">
        <f aca="false">IF($A4139="","",ROW())</f>
        <v/>
      </c>
    </row>
    <row r="4140" customFormat="false" ht="15" hidden="false" customHeight="true" outlineLevel="0" collapsed="false">
      <c r="A4140" s="8"/>
      <c r="B4140" s="8"/>
      <c r="C4140" s="8"/>
      <c r="D4140" s="8"/>
      <c r="E4140" s="8"/>
      <c r="F4140" s="8"/>
      <c r="G4140" s="10" t="str">
        <f aca="false">IF($A4140="","",UPPER(SUBSTITUTE(SUBSTITUTE(SUBSTITUTE(SUBSTITUTE($A4140," ",""),"(주)",""),"주식회사",""),"㈜","")))</f>
        <v/>
      </c>
      <c r="H4140" s="10" t="str">
        <f aca="false">IF($B4140="","",SUBSTITUTE(SUBSTITUTE(SUBSTITUTE($B4140,"-","")," ",""),".",""))</f>
        <v/>
      </c>
      <c r="I4140" s="10" t="str">
        <f aca="false">IF($D4140="","",SUBSTITUTE(SUBSTITUTE(SUBSTITUTE($D4140,"-","")," ",""),".",""))</f>
        <v/>
      </c>
      <c r="J4140" s="10" t="str">
        <f aca="false">IF($E4140="","",UPPER(SUBSTITUTE($E4140," ","")))</f>
        <v/>
      </c>
      <c r="K4140" s="10" t="str">
        <f aca="false">IF($A4140="","",$G4140&amp;"|"&amp;$J4140)</f>
        <v/>
      </c>
      <c r="L4140" s="10" t="str">
        <f aca="false">IF($A4140="","",ROW()-2)</f>
        <v/>
      </c>
      <c r="M4140" s="10" t="str">
        <f aca="false">IF($A4140="","",ROW())</f>
        <v/>
      </c>
    </row>
    <row r="4141" customFormat="false" ht="15" hidden="false" customHeight="true" outlineLevel="0" collapsed="false">
      <c r="A4141" s="8"/>
      <c r="B4141" s="8"/>
      <c r="C4141" s="8"/>
      <c r="D4141" s="8"/>
      <c r="E4141" s="8"/>
      <c r="F4141" s="8"/>
      <c r="G4141" s="10" t="str">
        <f aca="false">IF($A4141="","",UPPER(SUBSTITUTE(SUBSTITUTE(SUBSTITUTE(SUBSTITUTE($A4141," ",""),"(주)",""),"주식회사",""),"㈜","")))</f>
        <v/>
      </c>
      <c r="H4141" s="10" t="str">
        <f aca="false">IF($B4141="","",SUBSTITUTE(SUBSTITUTE(SUBSTITUTE($B4141,"-","")," ",""),".",""))</f>
        <v/>
      </c>
      <c r="I4141" s="10" t="str">
        <f aca="false">IF($D4141="","",SUBSTITUTE(SUBSTITUTE(SUBSTITUTE($D4141,"-","")," ",""),".",""))</f>
        <v/>
      </c>
      <c r="J4141" s="10" t="str">
        <f aca="false">IF($E4141="","",UPPER(SUBSTITUTE($E4141," ","")))</f>
        <v/>
      </c>
      <c r="K4141" s="10" t="str">
        <f aca="false">IF($A4141="","",$G4141&amp;"|"&amp;$J4141)</f>
        <v/>
      </c>
      <c r="L4141" s="10" t="str">
        <f aca="false">IF($A4141="","",ROW()-2)</f>
        <v/>
      </c>
      <c r="M4141" s="10" t="str">
        <f aca="false">IF($A4141="","",ROW())</f>
        <v/>
      </c>
    </row>
    <row r="4142" customFormat="false" ht="15" hidden="false" customHeight="true" outlineLevel="0" collapsed="false">
      <c r="A4142" s="8"/>
      <c r="B4142" s="8"/>
      <c r="C4142" s="8"/>
      <c r="D4142" s="8"/>
      <c r="E4142" s="8"/>
      <c r="F4142" s="8"/>
      <c r="G4142" s="10" t="str">
        <f aca="false">IF($A4142="","",UPPER(SUBSTITUTE(SUBSTITUTE(SUBSTITUTE(SUBSTITUTE($A4142," ",""),"(주)",""),"주식회사",""),"㈜","")))</f>
        <v/>
      </c>
      <c r="H4142" s="10" t="str">
        <f aca="false">IF($B4142="","",SUBSTITUTE(SUBSTITUTE(SUBSTITUTE($B4142,"-","")," ",""),".",""))</f>
        <v/>
      </c>
      <c r="I4142" s="10" t="str">
        <f aca="false">IF($D4142="","",SUBSTITUTE(SUBSTITUTE(SUBSTITUTE($D4142,"-","")," ",""),".",""))</f>
        <v/>
      </c>
      <c r="J4142" s="10" t="str">
        <f aca="false">IF($E4142="","",UPPER(SUBSTITUTE($E4142," ","")))</f>
        <v/>
      </c>
      <c r="K4142" s="10" t="str">
        <f aca="false">IF($A4142="","",$G4142&amp;"|"&amp;$J4142)</f>
        <v/>
      </c>
      <c r="L4142" s="10" t="str">
        <f aca="false">IF($A4142="","",ROW()-2)</f>
        <v/>
      </c>
      <c r="M4142" s="10" t="str">
        <f aca="false">IF($A4142="","",ROW())</f>
        <v/>
      </c>
    </row>
    <row r="4143" customFormat="false" ht="15" hidden="false" customHeight="true" outlineLevel="0" collapsed="false">
      <c r="A4143" s="8"/>
      <c r="B4143" s="8"/>
      <c r="C4143" s="8"/>
      <c r="D4143" s="8"/>
      <c r="E4143" s="8"/>
      <c r="F4143" s="8"/>
      <c r="G4143" s="10" t="str">
        <f aca="false">IF($A4143="","",UPPER(SUBSTITUTE(SUBSTITUTE(SUBSTITUTE(SUBSTITUTE($A4143," ",""),"(주)",""),"주식회사",""),"㈜","")))</f>
        <v/>
      </c>
      <c r="H4143" s="10" t="str">
        <f aca="false">IF($B4143="","",SUBSTITUTE(SUBSTITUTE(SUBSTITUTE($B4143,"-","")," ",""),".",""))</f>
        <v/>
      </c>
      <c r="I4143" s="10" t="str">
        <f aca="false">IF($D4143="","",SUBSTITUTE(SUBSTITUTE(SUBSTITUTE($D4143,"-","")," ",""),".",""))</f>
        <v/>
      </c>
      <c r="J4143" s="10" t="str">
        <f aca="false">IF($E4143="","",UPPER(SUBSTITUTE($E4143," ","")))</f>
        <v/>
      </c>
      <c r="K4143" s="10" t="str">
        <f aca="false">IF($A4143="","",$G4143&amp;"|"&amp;$J4143)</f>
        <v/>
      </c>
      <c r="L4143" s="10" t="str">
        <f aca="false">IF($A4143="","",ROW()-2)</f>
        <v/>
      </c>
      <c r="M4143" s="10" t="str">
        <f aca="false">IF($A4143="","",ROW())</f>
        <v/>
      </c>
    </row>
    <row r="4144" customFormat="false" ht="15" hidden="false" customHeight="true" outlineLevel="0" collapsed="false">
      <c r="A4144" s="8"/>
      <c r="B4144" s="8"/>
      <c r="C4144" s="8"/>
      <c r="D4144" s="8"/>
      <c r="E4144" s="8"/>
      <c r="F4144" s="8"/>
      <c r="G4144" s="10" t="str">
        <f aca="false">IF($A4144="","",UPPER(SUBSTITUTE(SUBSTITUTE(SUBSTITUTE(SUBSTITUTE($A4144," ",""),"(주)",""),"주식회사",""),"㈜","")))</f>
        <v/>
      </c>
      <c r="H4144" s="10" t="str">
        <f aca="false">IF($B4144="","",SUBSTITUTE(SUBSTITUTE(SUBSTITUTE($B4144,"-","")," ",""),".",""))</f>
        <v/>
      </c>
      <c r="I4144" s="10" t="str">
        <f aca="false">IF($D4144="","",SUBSTITUTE(SUBSTITUTE(SUBSTITUTE($D4144,"-","")," ",""),".",""))</f>
        <v/>
      </c>
      <c r="J4144" s="10" t="str">
        <f aca="false">IF($E4144="","",UPPER(SUBSTITUTE($E4144," ","")))</f>
        <v/>
      </c>
      <c r="K4144" s="10" t="str">
        <f aca="false">IF($A4144="","",$G4144&amp;"|"&amp;$J4144)</f>
        <v/>
      </c>
      <c r="L4144" s="10" t="str">
        <f aca="false">IF($A4144="","",ROW()-2)</f>
        <v/>
      </c>
      <c r="M4144" s="10" t="str">
        <f aca="false">IF($A4144="","",ROW())</f>
        <v/>
      </c>
    </row>
    <row r="4145" customFormat="false" ht="15" hidden="false" customHeight="true" outlineLevel="0" collapsed="false">
      <c r="A4145" s="8"/>
      <c r="B4145" s="8"/>
      <c r="C4145" s="8"/>
      <c r="D4145" s="8"/>
      <c r="E4145" s="8"/>
      <c r="F4145" s="8"/>
      <c r="G4145" s="10" t="str">
        <f aca="false">IF($A4145="","",UPPER(SUBSTITUTE(SUBSTITUTE(SUBSTITUTE(SUBSTITUTE($A4145," ",""),"(주)",""),"주식회사",""),"㈜","")))</f>
        <v/>
      </c>
      <c r="H4145" s="10" t="str">
        <f aca="false">IF($B4145="","",SUBSTITUTE(SUBSTITUTE(SUBSTITUTE($B4145,"-","")," ",""),".",""))</f>
        <v/>
      </c>
      <c r="I4145" s="10" t="str">
        <f aca="false">IF($D4145="","",SUBSTITUTE(SUBSTITUTE(SUBSTITUTE($D4145,"-","")," ",""),".",""))</f>
        <v/>
      </c>
      <c r="J4145" s="10" t="str">
        <f aca="false">IF($E4145="","",UPPER(SUBSTITUTE($E4145," ","")))</f>
        <v/>
      </c>
      <c r="K4145" s="10" t="str">
        <f aca="false">IF($A4145="","",$G4145&amp;"|"&amp;$J4145)</f>
        <v/>
      </c>
      <c r="L4145" s="10" t="str">
        <f aca="false">IF($A4145="","",ROW()-2)</f>
        <v/>
      </c>
      <c r="M4145" s="10" t="str">
        <f aca="false">IF($A4145="","",ROW())</f>
        <v/>
      </c>
    </row>
    <row r="4146" customFormat="false" ht="15" hidden="false" customHeight="true" outlineLevel="0" collapsed="false">
      <c r="A4146" s="8"/>
      <c r="B4146" s="8"/>
      <c r="C4146" s="8"/>
      <c r="D4146" s="8"/>
      <c r="E4146" s="8"/>
      <c r="F4146" s="8"/>
      <c r="G4146" s="10" t="str">
        <f aca="false">IF($A4146="","",UPPER(SUBSTITUTE(SUBSTITUTE(SUBSTITUTE(SUBSTITUTE($A4146," ",""),"(주)",""),"주식회사",""),"㈜","")))</f>
        <v/>
      </c>
      <c r="H4146" s="10" t="str">
        <f aca="false">IF($B4146="","",SUBSTITUTE(SUBSTITUTE(SUBSTITUTE($B4146,"-","")," ",""),".",""))</f>
        <v/>
      </c>
      <c r="I4146" s="10" t="str">
        <f aca="false">IF($D4146="","",SUBSTITUTE(SUBSTITUTE(SUBSTITUTE($D4146,"-","")," ",""),".",""))</f>
        <v/>
      </c>
      <c r="J4146" s="10" t="str">
        <f aca="false">IF($E4146="","",UPPER(SUBSTITUTE($E4146," ","")))</f>
        <v/>
      </c>
      <c r="K4146" s="10" t="str">
        <f aca="false">IF($A4146="","",$G4146&amp;"|"&amp;$J4146)</f>
        <v/>
      </c>
      <c r="L4146" s="10" t="str">
        <f aca="false">IF($A4146="","",ROW()-2)</f>
        <v/>
      </c>
      <c r="M4146" s="10" t="str">
        <f aca="false">IF($A4146="","",ROW())</f>
        <v/>
      </c>
    </row>
    <row r="4147" customFormat="false" ht="15" hidden="false" customHeight="true" outlineLevel="0" collapsed="false">
      <c r="A4147" s="8"/>
      <c r="B4147" s="8"/>
      <c r="C4147" s="8"/>
      <c r="D4147" s="8"/>
      <c r="E4147" s="8"/>
      <c r="F4147" s="8"/>
      <c r="G4147" s="10" t="str">
        <f aca="false">IF($A4147="","",UPPER(SUBSTITUTE(SUBSTITUTE(SUBSTITUTE(SUBSTITUTE($A4147," ",""),"(주)",""),"주식회사",""),"㈜","")))</f>
        <v/>
      </c>
      <c r="H4147" s="10" t="str">
        <f aca="false">IF($B4147="","",SUBSTITUTE(SUBSTITUTE(SUBSTITUTE($B4147,"-","")," ",""),".",""))</f>
        <v/>
      </c>
      <c r="I4147" s="10" t="str">
        <f aca="false">IF($D4147="","",SUBSTITUTE(SUBSTITUTE(SUBSTITUTE($D4147,"-","")," ",""),".",""))</f>
        <v/>
      </c>
      <c r="J4147" s="10" t="str">
        <f aca="false">IF($E4147="","",UPPER(SUBSTITUTE($E4147," ","")))</f>
        <v/>
      </c>
      <c r="K4147" s="10" t="str">
        <f aca="false">IF($A4147="","",$G4147&amp;"|"&amp;$J4147)</f>
        <v/>
      </c>
      <c r="L4147" s="10" t="str">
        <f aca="false">IF($A4147="","",ROW()-2)</f>
        <v/>
      </c>
      <c r="M4147" s="10" t="str">
        <f aca="false">IF($A4147="","",ROW())</f>
        <v/>
      </c>
    </row>
    <row r="4148" customFormat="false" ht="15" hidden="false" customHeight="true" outlineLevel="0" collapsed="false">
      <c r="A4148" s="8"/>
      <c r="B4148" s="8"/>
      <c r="C4148" s="8"/>
      <c r="D4148" s="8"/>
      <c r="E4148" s="8"/>
      <c r="F4148" s="8"/>
      <c r="G4148" s="10" t="str">
        <f aca="false">IF($A4148="","",UPPER(SUBSTITUTE(SUBSTITUTE(SUBSTITUTE(SUBSTITUTE($A4148," ",""),"(주)",""),"주식회사",""),"㈜","")))</f>
        <v/>
      </c>
      <c r="H4148" s="10" t="str">
        <f aca="false">IF($B4148="","",SUBSTITUTE(SUBSTITUTE(SUBSTITUTE($B4148,"-","")," ",""),".",""))</f>
        <v/>
      </c>
      <c r="I4148" s="10" t="str">
        <f aca="false">IF($D4148="","",SUBSTITUTE(SUBSTITUTE(SUBSTITUTE($D4148,"-","")," ",""),".",""))</f>
        <v/>
      </c>
      <c r="J4148" s="10" t="str">
        <f aca="false">IF($E4148="","",UPPER(SUBSTITUTE($E4148," ","")))</f>
        <v/>
      </c>
      <c r="K4148" s="10" t="str">
        <f aca="false">IF($A4148="","",$G4148&amp;"|"&amp;$J4148)</f>
        <v/>
      </c>
      <c r="L4148" s="10" t="str">
        <f aca="false">IF($A4148="","",ROW()-2)</f>
        <v/>
      </c>
      <c r="M4148" s="10" t="str">
        <f aca="false">IF($A4148="","",ROW())</f>
        <v/>
      </c>
    </row>
    <row r="4149" customFormat="false" ht="15" hidden="false" customHeight="true" outlineLevel="0" collapsed="false">
      <c r="A4149" s="8"/>
      <c r="B4149" s="8"/>
      <c r="C4149" s="8"/>
      <c r="D4149" s="8"/>
      <c r="E4149" s="8"/>
      <c r="F4149" s="8"/>
      <c r="G4149" s="10" t="str">
        <f aca="false">IF($A4149="","",UPPER(SUBSTITUTE(SUBSTITUTE(SUBSTITUTE(SUBSTITUTE($A4149," ",""),"(주)",""),"주식회사",""),"㈜","")))</f>
        <v/>
      </c>
      <c r="H4149" s="10" t="str">
        <f aca="false">IF($B4149="","",SUBSTITUTE(SUBSTITUTE(SUBSTITUTE($B4149,"-","")," ",""),".",""))</f>
        <v/>
      </c>
      <c r="I4149" s="10" t="str">
        <f aca="false">IF($D4149="","",SUBSTITUTE(SUBSTITUTE(SUBSTITUTE($D4149,"-","")," ",""),".",""))</f>
        <v/>
      </c>
      <c r="J4149" s="10" t="str">
        <f aca="false">IF($E4149="","",UPPER(SUBSTITUTE($E4149," ","")))</f>
        <v/>
      </c>
      <c r="K4149" s="10" t="str">
        <f aca="false">IF($A4149="","",$G4149&amp;"|"&amp;$J4149)</f>
        <v/>
      </c>
      <c r="L4149" s="10" t="str">
        <f aca="false">IF($A4149="","",ROW()-2)</f>
        <v/>
      </c>
      <c r="M4149" s="10" t="str">
        <f aca="false">IF($A4149="","",ROW())</f>
        <v/>
      </c>
    </row>
    <row r="4150" customFormat="false" ht="15" hidden="false" customHeight="true" outlineLevel="0" collapsed="false">
      <c r="A4150" s="8"/>
      <c r="B4150" s="8"/>
      <c r="C4150" s="8"/>
      <c r="D4150" s="8"/>
      <c r="E4150" s="8"/>
      <c r="F4150" s="8"/>
      <c r="G4150" s="10" t="str">
        <f aca="false">IF($A4150="","",UPPER(SUBSTITUTE(SUBSTITUTE(SUBSTITUTE(SUBSTITUTE($A4150," ",""),"(주)",""),"주식회사",""),"㈜","")))</f>
        <v/>
      </c>
      <c r="H4150" s="10" t="str">
        <f aca="false">IF($B4150="","",SUBSTITUTE(SUBSTITUTE(SUBSTITUTE($B4150,"-","")," ",""),".",""))</f>
        <v/>
      </c>
      <c r="I4150" s="10" t="str">
        <f aca="false">IF($D4150="","",SUBSTITUTE(SUBSTITUTE(SUBSTITUTE($D4150,"-","")," ",""),".",""))</f>
        <v/>
      </c>
      <c r="J4150" s="10" t="str">
        <f aca="false">IF($E4150="","",UPPER(SUBSTITUTE($E4150," ","")))</f>
        <v/>
      </c>
      <c r="K4150" s="10" t="str">
        <f aca="false">IF($A4150="","",$G4150&amp;"|"&amp;$J4150)</f>
        <v/>
      </c>
      <c r="L4150" s="10" t="str">
        <f aca="false">IF($A4150="","",ROW()-2)</f>
        <v/>
      </c>
      <c r="M4150" s="10" t="str">
        <f aca="false">IF($A4150="","",ROW())</f>
        <v/>
      </c>
    </row>
    <row r="4151" customFormat="false" ht="15" hidden="false" customHeight="true" outlineLevel="0" collapsed="false">
      <c r="A4151" s="8"/>
      <c r="B4151" s="8"/>
      <c r="C4151" s="8"/>
      <c r="D4151" s="8"/>
      <c r="E4151" s="8"/>
      <c r="F4151" s="8"/>
      <c r="G4151" s="10" t="str">
        <f aca="false">IF($A4151="","",UPPER(SUBSTITUTE(SUBSTITUTE(SUBSTITUTE(SUBSTITUTE($A4151," ",""),"(주)",""),"주식회사",""),"㈜","")))</f>
        <v/>
      </c>
      <c r="H4151" s="10" t="str">
        <f aca="false">IF($B4151="","",SUBSTITUTE(SUBSTITUTE(SUBSTITUTE($B4151,"-","")," ",""),".",""))</f>
        <v/>
      </c>
      <c r="I4151" s="10" t="str">
        <f aca="false">IF($D4151="","",SUBSTITUTE(SUBSTITUTE(SUBSTITUTE($D4151,"-","")," ",""),".",""))</f>
        <v/>
      </c>
      <c r="J4151" s="10" t="str">
        <f aca="false">IF($E4151="","",UPPER(SUBSTITUTE($E4151," ","")))</f>
        <v/>
      </c>
      <c r="K4151" s="10" t="str">
        <f aca="false">IF($A4151="","",$G4151&amp;"|"&amp;$J4151)</f>
        <v/>
      </c>
      <c r="L4151" s="10" t="str">
        <f aca="false">IF($A4151="","",ROW()-2)</f>
        <v/>
      </c>
      <c r="M4151" s="10" t="str">
        <f aca="false">IF($A4151="","",ROW())</f>
        <v/>
      </c>
    </row>
    <row r="4152" customFormat="false" ht="15" hidden="false" customHeight="true" outlineLevel="0" collapsed="false">
      <c r="A4152" s="8"/>
      <c r="B4152" s="8"/>
      <c r="C4152" s="8"/>
      <c r="D4152" s="8"/>
      <c r="E4152" s="8"/>
      <c r="F4152" s="8"/>
      <c r="G4152" s="10" t="str">
        <f aca="false">IF($A4152="","",UPPER(SUBSTITUTE(SUBSTITUTE(SUBSTITUTE(SUBSTITUTE($A4152," ",""),"(주)",""),"주식회사",""),"㈜","")))</f>
        <v/>
      </c>
      <c r="H4152" s="10" t="str">
        <f aca="false">IF($B4152="","",SUBSTITUTE(SUBSTITUTE(SUBSTITUTE($B4152,"-","")," ",""),".",""))</f>
        <v/>
      </c>
      <c r="I4152" s="10" t="str">
        <f aca="false">IF($D4152="","",SUBSTITUTE(SUBSTITUTE(SUBSTITUTE($D4152,"-","")," ",""),".",""))</f>
        <v/>
      </c>
      <c r="J4152" s="10" t="str">
        <f aca="false">IF($E4152="","",UPPER(SUBSTITUTE($E4152," ","")))</f>
        <v/>
      </c>
      <c r="K4152" s="10" t="str">
        <f aca="false">IF($A4152="","",$G4152&amp;"|"&amp;$J4152)</f>
        <v/>
      </c>
      <c r="L4152" s="10" t="str">
        <f aca="false">IF($A4152="","",ROW()-2)</f>
        <v/>
      </c>
      <c r="M4152" s="10" t="str">
        <f aca="false">IF($A4152="","",ROW())</f>
        <v/>
      </c>
    </row>
    <row r="4153" customFormat="false" ht="15" hidden="false" customHeight="true" outlineLevel="0" collapsed="false">
      <c r="A4153" s="8"/>
      <c r="B4153" s="8"/>
      <c r="C4153" s="8"/>
      <c r="D4153" s="8"/>
      <c r="E4153" s="8"/>
      <c r="F4153" s="8"/>
      <c r="G4153" s="10" t="str">
        <f aca="false">IF($A4153="","",UPPER(SUBSTITUTE(SUBSTITUTE(SUBSTITUTE(SUBSTITUTE($A4153," ",""),"(주)",""),"주식회사",""),"㈜","")))</f>
        <v/>
      </c>
      <c r="H4153" s="10" t="str">
        <f aca="false">IF($B4153="","",SUBSTITUTE(SUBSTITUTE(SUBSTITUTE($B4153,"-","")," ",""),".",""))</f>
        <v/>
      </c>
      <c r="I4153" s="10" t="str">
        <f aca="false">IF($D4153="","",SUBSTITUTE(SUBSTITUTE(SUBSTITUTE($D4153,"-","")," ",""),".",""))</f>
        <v/>
      </c>
      <c r="J4153" s="10" t="str">
        <f aca="false">IF($E4153="","",UPPER(SUBSTITUTE($E4153," ","")))</f>
        <v/>
      </c>
      <c r="K4153" s="10" t="str">
        <f aca="false">IF($A4153="","",$G4153&amp;"|"&amp;$J4153)</f>
        <v/>
      </c>
      <c r="L4153" s="10" t="str">
        <f aca="false">IF($A4153="","",ROW()-2)</f>
        <v/>
      </c>
      <c r="M4153" s="10" t="str">
        <f aca="false">IF($A4153="","",ROW())</f>
        <v/>
      </c>
    </row>
    <row r="4154" customFormat="false" ht="15" hidden="false" customHeight="true" outlineLevel="0" collapsed="false">
      <c r="A4154" s="8"/>
      <c r="B4154" s="8"/>
      <c r="C4154" s="8"/>
      <c r="D4154" s="8"/>
      <c r="E4154" s="8"/>
      <c r="F4154" s="8"/>
      <c r="G4154" s="10" t="str">
        <f aca="false">IF($A4154="","",UPPER(SUBSTITUTE(SUBSTITUTE(SUBSTITUTE(SUBSTITUTE($A4154," ",""),"(주)",""),"주식회사",""),"㈜","")))</f>
        <v/>
      </c>
      <c r="H4154" s="10" t="str">
        <f aca="false">IF($B4154="","",SUBSTITUTE(SUBSTITUTE(SUBSTITUTE($B4154,"-","")," ",""),".",""))</f>
        <v/>
      </c>
      <c r="I4154" s="10" t="str">
        <f aca="false">IF($D4154="","",SUBSTITUTE(SUBSTITUTE(SUBSTITUTE($D4154,"-","")," ",""),".",""))</f>
        <v/>
      </c>
      <c r="J4154" s="10" t="str">
        <f aca="false">IF($E4154="","",UPPER(SUBSTITUTE($E4154," ","")))</f>
        <v/>
      </c>
      <c r="K4154" s="10" t="str">
        <f aca="false">IF($A4154="","",$G4154&amp;"|"&amp;$J4154)</f>
        <v/>
      </c>
      <c r="L4154" s="10" t="str">
        <f aca="false">IF($A4154="","",ROW()-2)</f>
        <v/>
      </c>
      <c r="M4154" s="10" t="str">
        <f aca="false">IF($A4154="","",ROW())</f>
        <v/>
      </c>
    </row>
    <row r="4155" customFormat="false" ht="15" hidden="false" customHeight="true" outlineLevel="0" collapsed="false">
      <c r="A4155" s="8"/>
      <c r="B4155" s="8"/>
      <c r="C4155" s="8"/>
      <c r="D4155" s="8"/>
      <c r="E4155" s="8"/>
      <c r="F4155" s="8"/>
      <c r="G4155" s="10" t="str">
        <f aca="false">IF($A4155="","",UPPER(SUBSTITUTE(SUBSTITUTE(SUBSTITUTE(SUBSTITUTE($A4155," ",""),"(주)",""),"주식회사",""),"㈜","")))</f>
        <v/>
      </c>
      <c r="H4155" s="10" t="str">
        <f aca="false">IF($B4155="","",SUBSTITUTE(SUBSTITUTE(SUBSTITUTE($B4155,"-","")," ",""),".",""))</f>
        <v/>
      </c>
      <c r="I4155" s="10" t="str">
        <f aca="false">IF($D4155="","",SUBSTITUTE(SUBSTITUTE(SUBSTITUTE($D4155,"-","")," ",""),".",""))</f>
        <v/>
      </c>
      <c r="J4155" s="10" t="str">
        <f aca="false">IF($E4155="","",UPPER(SUBSTITUTE($E4155," ","")))</f>
        <v/>
      </c>
      <c r="K4155" s="10" t="str">
        <f aca="false">IF($A4155="","",$G4155&amp;"|"&amp;$J4155)</f>
        <v/>
      </c>
      <c r="L4155" s="10" t="str">
        <f aca="false">IF($A4155="","",ROW()-2)</f>
        <v/>
      </c>
      <c r="M4155" s="10" t="str">
        <f aca="false">IF($A4155="","",ROW())</f>
        <v/>
      </c>
    </row>
    <row r="4156" customFormat="false" ht="15" hidden="false" customHeight="true" outlineLevel="0" collapsed="false">
      <c r="A4156" s="8"/>
      <c r="B4156" s="8"/>
      <c r="C4156" s="8"/>
      <c r="D4156" s="8"/>
      <c r="E4156" s="8"/>
      <c r="F4156" s="8"/>
      <c r="G4156" s="10" t="str">
        <f aca="false">IF($A4156="","",UPPER(SUBSTITUTE(SUBSTITUTE(SUBSTITUTE(SUBSTITUTE($A4156," ",""),"(주)",""),"주식회사",""),"㈜","")))</f>
        <v/>
      </c>
      <c r="H4156" s="10" t="str">
        <f aca="false">IF($B4156="","",SUBSTITUTE(SUBSTITUTE(SUBSTITUTE($B4156,"-","")," ",""),".",""))</f>
        <v/>
      </c>
      <c r="I4156" s="10" t="str">
        <f aca="false">IF($D4156="","",SUBSTITUTE(SUBSTITUTE(SUBSTITUTE($D4156,"-","")," ",""),".",""))</f>
        <v/>
      </c>
      <c r="J4156" s="10" t="str">
        <f aca="false">IF($E4156="","",UPPER(SUBSTITUTE($E4156," ","")))</f>
        <v/>
      </c>
      <c r="K4156" s="10" t="str">
        <f aca="false">IF($A4156="","",$G4156&amp;"|"&amp;$J4156)</f>
        <v/>
      </c>
      <c r="L4156" s="10" t="str">
        <f aca="false">IF($A4156="","",ROW()-2)</f>
        <v/>
      </c>
      <c r="M4156" s="10" t="str">
        <f aca="false">IF($A4156="","",ROW())</f>
        <v/>
      </c>
    </row>
    <row r="4157" customFormat="false" ht="15" hidden="false" customHeight="true" outlineLevel="0" collapsed="false">
      <c r="A4157" s="8"/>
      <c r="B4157" s="8"/>
      <c r="C4157" s="8"/>
      <c r="D4157" s="8"/>
      <c r="E4157" s="8"/>
      <c r="F4157" s="8"/>
      <c r="G4157" s="10" t="str">
        <f aca="false">IF($A4157="","",UPPER(SUBSTITUTE(SUBSTITUTE(SUBSTITUTE(SUBSTITUTE($A4157," ",""),"(주)",""),"주식회사",""),"㈜","")))</f>
        <v/>
      </c>
      <c r="H4157" s="10" t="str">
        <f aca="false">IF($B4157="","",SUBSTITUTE(SUBSTITUTE(SUBSTITUTE($B4157,"-","")," ",""),".",""))</f>
        <v/>
      </c>
      <c r="I4157" s="10" t="str">
        <f aca="false">IF($D4157="","",SUBSTITUTE(SUBSTITUTE(SUBSTITUTE($D4157,"-","")," ",""),".",""))</f>
        <v/>
      </c>
      <c r="J4157" s="10" t="str">
        <f aca="false">IF($E4157="","",UPPER(SUBSTITUTE($E4157," ","")))</f>
        <v/>
      </c>
      <c r="K4157" s="10" t="str">
        <f aca="false">IF($A4157="","",$G4157&amp;"|"&amp;$J4157)</f>
        <v/>
      </c>
      <c r="L4157" s="10" t="str">
        <f aca="false">IF($A4157="","",ROW()-2)</f>
        <v/>
      </c>
      <c r="M4157" s="10" t="str">
        <f aca="false">IF($A4157="","",ROW())</f>
        <v/>
      </c>
    </row>
    <row r="4158" customFormat="false" ht="15" hidden="false" customHeight="true" outlineLevel="0" collapsed="false">
      <c r="A4158" s="8"/>
      <c r="B4158" s="8"/>
      <c r="C4158" s="8"/>
      <c r="D4158" s="8"/>
      <c r="E4158" s="8"/>
      <c r="F4158" s="8"/>
      <c r="G4158" s="10" t="str">
        <f aca="false">IF($A4158="","",UPPER(SUBSTITUTE(SUBSTITUTE(SUBSTITUTE(SUBSTITUTE($A4158," ",""),"(주)",""),"주식회사",""),"㈜","")))</f>
        <v/>
      </c>
      <c r="H4158" s="10" t="str">
        <f aca="false">IF($B4158="","",SUBSTITUTE(SUBSTITUTE(SUBSTITUTE($B4158,"-","")," ",""),".",""))</f>
        <v/>
      </c>
      <c r="I4158" s="10" t="str">
        <f aca="false">IF($D4158="","",SUBSTITUTE(SUBSTITUTE(SUBSTITUTE($D4158,"-","")," ",""),".",""))</f>
        <v/>
      </c>
      <c r="J4158" s="10" t="str">
        <f aca="false">IF($E4158="","",UPPER(SUBSTITUTE($E4158," ","")))</f>
        <v/>
      </c>
      <c r="K4158" s="10" t="str">
        <f aca="false">IF($A4158="","",$G4158&amp;"|"&amp;$J4158)</f>
        <v/>
      </c>
      <c r="L4158" s="10" t="str">
        <f aca="false">IF($A4158="","",ROW()-2)</f>
        <v/>
      </c>
      <c r="M4158" s="10" t="str">
        <f aca="false">IF($A4158="","",ROW())</f>
        <v/>
      </c>
    </row>
    <row r="4159" customFormat="false" ht="15" hidden="false" customHeight="true" outlineLevel="0" collapsed="false">
      <c r="A4159" s="8"/>
      <c r="B4159" s="8"/>
      <c r="C4159" s="8"/>
      <c r="D4159" s="8"/>
      <c r="E4159" s="8"/>
      <c r="F4159" s="8"/>
      <c r="G4159" s="10" t="str">
        <f aca="false">IF($A4159="","",UPPER(SUBSTITUTE(SUBSTITUTE(SUBSTITUTE(SUBSTITUTE($A4159," ",""),"(주)",""),"주식회사",""),"㈜","")))</f>
        <v/>
      </c>
      <c r="H4159" s="10" t="str">
        <f aca="false">IF($B4159="","",SUBSTITUTE(SUBSTITUTE(SUBSTITUTE($B4159,"-","")," ",""),".",""))</f>
        <v/>
      </c>
      <c r="I4159" s="10" t="str">
        <f aca="false">IF($D4159="","",SUBSTITUTE(SUBSTITUTE(SUBSTITUTE($D4159,"-","")," ",""),".",""))</f>
        <v/>
      </c>
      <c r="J4159" s="10" t="str">
        <f aca="false">IF($E4159="","",UPPER(SUBSTITUTE($E4159," ","")))</f>
        <v/>
      </c>
      <c r="K4159" s="10" t="str">
        <f aca="false">IF($A4159="","",$G4159&amp;"|"&amp;$J4159)</f>
        <v/>
      </c>
      <c r="L4159" s="10" t="str">
        <f aca="false">IF($A4159="","",ROW()-2)</f>
        <v/>
      </c>
      <c r="M4159" s="10" t="str">
        <f aca="false">IF($A4159="","",ROW())</f>
        <v/>
      </c>
    </row>
    <row r="4160" customFormat="false" ht="15" hidden="false" customHeight="true" outlineLevel="0" collapsed="false">
      <c r="A4160" s="8"/>
      <c r="B4160" s="8"/>
      <c r="C4160" s="8"/>
      <c r="D4160" s="8"/>
      <c r="E4160" s="8"/>
      <c r="F4160" s="8"/>
      <c r="G4160" s="10" t="str">
        <f aca="false">IF($A4160="","",UPPER(SUBSTITUTE(SUBSTITUTE(SUBSTITUTE(SUBSTITUTE($A4160," ",""),"(주)",""),"주식회사",""),"㈜","")))</f>
        <v/>
      </c>
      <c r="H4160" s="10" t="str">
        <f aca="false">IF($B4160="","",SUBSTITUTE(SUBSTITUTE(SUBSTITUTE($B4160,"-","")," ",""),".",""))</f>
        <v/>
      </c>
      <c r="I4160" s="10" t="str">
        <f aca="false">IF($D4160="","",SUBSTITUTE(SUBSTITUTE(SUBSTITUTE($D4160,"-","")," ",""),".",""))</f>
        <v/>
      </c>
      <c r="J4160" s="10" t="str">
        <f aca="false">IF($E4160="","",UPPER(SUBSTITUTE($E4160," ","")))</f>
        <v/>
      </c>
      <c r="K4160" s="10" t="str">
        <f aca="false">IF($A4160="","",$G4160&amp;"|"&amp;$J4160)</f>
        <v/>
      </c>
      <c r="L4160" s="10" t="str">
        <f aca="false">IF($A4160="","",ROW()-2)</f>
        <v/>
      </c>
      <c r="M4160" s="10" t="str">
        <f aca="false">IF($A4160="","",ROW())</f>
        <v/>
      </c>
    </row>
    <row r="4161" customFormat="false" ht="15" hidden="false" customHeight="true" outlineLevel="0" collapsed="false">
      <c r="A4161" s="8"/>
      <c r="B4161" s="8"/>
      <c r="C4161" s="8"/>
      <c r="D4161" s="8"/>
      <c r="E4161" s="8"/>
      <c r="F4161" s="8"/>
      <c r="G4161" s="10" t="str">
        <f aca="false">IF($A4161="","",UPPER(SUBSTITUTE(SUBSTITUTE(SUBSTITUTE(SUBSTITUTE($A4161," ",""),"(주)",""),"주식회사",""),"㈜","")))</f>
        <v/>
      </c>
      <c r="H4161" s="10" t="str">
        <f aca="false">IF($B4161="","",SUBSTITUTE(SUBSTITUTE(SUBSTITUTE($B4161,"-","")," ",""),".",""))</f>
        <v/>
      </c>
      <c r="I4161" s="10" t="str">
        <f aca="false">IF($D4161="","",SUBSTITUTE(SUBSTITUTE(SUBSTITUTE($D4161,"-","")," ",""),".",""))</f>
        <v/>
      </c>
      <c r="J4161" s="10" t="str">
        <f aca="false">IF($E4161="","",UPPER(SUBSTITUTE($E4161," ","")))</f>
        <v/>
      </c>
      <c r="K4161" s="10" t="str">
        <f aca="false">IF($A4161="","",$G4161&amp;"|"&amp;$J4161)</f>
        <v/>
      </c>
      <c r="L4161" s="10" t="str">
        <f aca="false">IF($A4161="","",ROW()-2)</f>
        <v/>
      </c>
      <c r="M4161" s="10" t="str">
        <f aca="false">IF($A4161="","",ROW())</f>
        <v/>
      </c>
    </row>
    <row r="4162" customFormat="false" ht="15" hidden="false" customHeight="true" outlineLevel="0" collapsed="false">
      <c r="A4162" s="8"/>
      <c r="B4162" s="8"/>
      <c r="C4162" s="8"/>
      <c r="D4162" s="8"/>
      <c r="E4162" s="8"/>
      <c r="F4162" s="8"/>
      <c r="G4162" s="10" t="str">
        <f aca="false">IF($A4162="","",UPPER(SUBSTITUTE(SUBSTITUTE(SUBSTITUTE(SUBSTITUTE($A4162," ",""),"(주)",""),"주식회사",""),"㈜","")))</f>
        <v/>
      </c>
      <c r="H4162" s="10" t="str">
        <f aca="false">IF($B4162="","",SUBSTITUTE(SUBSTITUTE(SUBSTITUTE($B4162,"-","")," ",""),".",""))</f>
        <v/>
      </c>
      <c r="I4162" s="10" t="str">
        <f aca="false">IF($D4162="","",SUBSTITUTE(SUBSTITUTE(SUBSTITUTE($D4162,"-","")," ",""),".",""))</f>
        <v/>
      </c>
      <c r="J4162" s="10" t="str">
        <f aca="false">IF($E4162="","",UPPER(SUBSTITUTE($E4162," ","")))</f>
        <v/>
      </c>
      <c r="K4162" s="10" t="str">
        <f aca="false">IF($A4162="","",$G4162&amp;"|"&amp;$J4162)</f>
        <v/>
      </c>
      <c r="L4162" s="10" t="str">
        <f aca="false">IF($A4162="","",ROW()-2)</f>
        <v/>
      </c>
      <c r="M4162" s="10" t="str">
        <f aca="false">IF($A4162="","",ROW())</f>
        <v/>
      </c>
    </row>
    <row r="4163" customFormat="false" ht="15" hidden="false" customHeight="true" outlineLevel="0" collapsed="false">
      <c r="A4163" s="8"/>
      <c r="B4163" s="8"/>
      <c r="C4163" s="8"/>
      <c r="D4163" s="8"/>
      <c r="E4163" s="8"/>
      <c r="F4163" s="8"/>
      <c r="G4163" s="10" t="str">
        <f aca="false">IF($A4163="","",UPPER(SUBSTITUTE(SUBSTITUTE(SUBSTITUTE(SUBSTITUTE($A4163," ",""),"(주)",""),"주식회사",""),"㈜","")))</f>
        <v/>
      </c>
      <c r="H4163" s="10" t="str">
        <f aca="false">IF($B4163="","",SUBSTITUTE(SUBSTITUTE(SUBSTITUTE($B4163,"-","")," ",""),".",""))</f>
        <v/>
      </c>
      <c r="I4163" s="10" t="str">
        <f aca="false">IF($D4163="","",SUBSTITUTE(SUBSTITUTE(SUBSTITUTE($D4163,"-","")," ",""),".",""))</f>
        <v/>
      </c>
      <c r="J4163" s="10" t="str">
        <f aca="false">IF($E4163="","",UPPER(SUBSTITUTE($E4163," ","")))</f>
        <v/>
      </c>
      <c r="K4163" s="10" t="str">
        <f aca="false">IF($A4163="","",$G4163&amp;"|"&amp;$J4163)</f>
        <v/>
      </c>
      <c r="L4163" s="10" t="str">
        <f aca="false">IF($A4163="","",ROW()-2)</f>
        <v/>
      </c>
      <c r="M4163" s="10" t="str">
        <f aca="false">IF($A4163="","",ROW())</f>
        <v/>
      </c>
    </row>
    <row r="4164" customFormat="false" ht="15" hidden="false" customHeight="true" outlineLevel="0" collapsed="false">
      <c r="A4164" s="8"/>
      <c r="B4164" s="8"/>
      <c r="C4164" s="8"/>
      <c r="D4164" s="8"/>
      <c r="E4164" s="8"/>
      <c r="F4164" s="8"/>
      <c r="G4164" s="10" t="str">
        <f aca="false">IF($A4164="","",UPPER(SUBSTITUTE(SUBSTITUTE(SUBSTITUTE(SUBSTITUTE($A4164," ",""),"(주)",""),"주식회사",""),"㈜","")))</f>
        <v/>
      </c>
      <c r="H4164" s="10" t="str">
        <f aca="false">IF($B4164="","",SUBSTITUTE(SUBSTITUTE(SUBSTITUTE($B4164,"-","")," ",""),".",""))</f>
        <v/>
      </c>
      <c r="I4164" s="10" t="str">
        <f aca="false">IF($D4164="","",SUBSTITUTE(SUBSTITUTE(SUBSTITUTE($D4164,"-","")," ",""),".",""))</f>
        <v/>
      </c>
      <c r="J4164" s="10" t="str">
        <f aca="false">IF($E4164="","",UPPER(SUBSTITUTE($E4164," ","")))</f>
        <v/>
      </c>
      <c r="K4164" s="10" t="str">
        <f aca="false">IF($A4164="","",$G4164&amp;"|"&amp;$J4164)</f>
        <v/>
      </c>
      <c r="L4164" s="10" t="str">
        <f aca="false">IF($A4164="","",ROW()-2)</f>
        <v/>
      </c>
      <c r="M4164" s="10" t="str">
        <f aca="false">IF($A4164="","",ROW())</f>
        <v/>
      </c>
    </row>
    <row r="4165" customFormat="false" ht="15" hidden="false" customHeight="true" outlineLevel="0" collapsed="false">
      <c r="A4165" s="8"/>
      <c r="B4165" s="8"/>
      <c r="C4165" s="8"/>
      <c r="D4165" s="8"/>
      <c r="E4165" s="8"/>
      <c r="F4165" s="8"/>
      <c r="G4165" s="10" t="str">
        <f aca="false">IF($A4165="","",UPPER(SUBSTITUTE(SUBSTITUTE(SUBSTITUTE(SUBSTITUTE($A4165," ",""),"(주)",""),"주식회사",""),"㈜","")))</f>
        <v/>
      </c>
      <c r="H4165" s="10" t="str">
        <f aca="false">IF($B4165="","",SUBSTITUTE(SUBSTITUTE(SUBSTITUTE($B4165,"-","")," ",""),".",""))</f>
        <v/>
      </c>
      <c r="I4165" s="10" t="str">
        <f aca="false">IF($D4165="","",SUBSTITUTE(SUBSTITUTE(SUBSTITUTE($D4165,"-","")," ",""),".",""))</f>
        <v/>
      </c>
      <c r="J4165" s="10" t="str">
        <f aca="false">IF($E4165="","",UPPER(SUBSTITUTE($E4165," ","")))</f>
        <v/>
      </c>
      <c r="K4165" s="10" t="str">
        <f aca="false">IF($A4165="","",$G4165&amp;"|"&amp;$J4165)</f>
        <v/>
      </c>
      <c r="L4165" s="10" t="str">
        <f aca="false">IF($A4165="","",ROW()-2)</f>
        <v/>
      </c>
      <c r="M4165" s="10" t="str">
        <f aca="false">IF($A4165="","",ROW())</f>
        <v/>
      </c>
    </row>
    <row r="4166" customFormat="false" ht="15" hidden="false" customHeight="true" outlineLevel="0" collapsed="false">
      <c r="A4166" s="8"/>
      <c r="B4166" s="8"/>
      <c r="C4166" s="8"/>
      <c r="D4166" s="8"/>
      <c r="E4166" s="8"/>
      <c r="F4166" s="8"/>
      <c r="G4166" s="10" t="str">
        <f aca="false">IF($A4166="","",UPPER(SUBSTITUTE(SUBSTITUTE(SUBSTITUTE(SUBSTITUTE($A4166," ",""),"(주)",""),"주식회사",""),"㈜","")))</f>
        <v/>
      </c>
      <c r="H4166" s="10" t="str">
        <f aca="false">IF($B4166="","",SUBSTITUTE(SUBSTITUTE(SUBSTITUTE($B4166,"-","")," ",""),".",""))</f>
        <v/>
      </c>
      <c r="I4166" s="10" t="str">
        <f aca="false">IF($D4166="","",SUBSTITUTE(SUBSTITUTE(SUBSTITUTE($D4166,"-","")," ",""),".",""))</f>
        <v/>
      </c>
      <c r="J4166" s="10" t="str">
        <f aca="false">IF($E4166="","",UPPER(SUBSTITUTE($E4166," ","")))</f>
        <v/>
      </c>
      <c r="K4166" s="10" t="str">
        <f aca="false">IF($A4166="","",$G4166&amp;"|"&amp;$J4166)</f>
        <v/>
      </c>
      <c r="L4166" s="10" t="str">
        <f aca="false">IF($A4166="","",ROW()-2)</f>
        <v/>
      </c>
      <c r="M4166" s="10" t="str">
        <f aca="false">IF($A4166="","",ROW())</f>
        <v/>
      </c>
    </row>
    <row r="4167" customFormat="false" ht="15" hidden="false" customHeight="true" outlineLevel="0" collapsed="false">
      <c r="A4167" s="8"/>
      <c r="B4167" s="8"/>
      <c r="C4167" s="8"/>
      <c r="D4167" s="8"/>
      <c r="E4167" s="8"/>
      <c r="F4167" s="8"/>
      <c r="G4167" s="10" t="str">
        <f aca="false">IF($A4167="","",UPPER(SUBSTITUTE(SUBSTITUTE(SUBSTITUTE(SUBSTITUTE($A4167," ",""),"(주)",""),"주식회사",""),"㈜","")))</f>
        <v/>
      </c>
      <c r="H4167" s="10" t="str">
        <f aca="false">IF($B4167="","",SUBSTITUTE(SUBSTITUTE(SUBSTITUTE($B4167,"-","")," ",""),".",""))</f>
        <v/>
      </c>
      <c r="I4167" s="10" t="str">
        <f aca="false">IF($D4167="","",SUBSTITUTE(SUBSTITUTE(SUBSTITUTE($D4167,"-","")," ",""),".",""))</f>
        <v/>
      </c>
      <c r="J4167" s="10" t="str">
        <f aca="false">IF($E4167="","",UPPER(SUBSTITUTE($E4167," ","")))</f>
        <v/>
      </c>
      <c r="K4167" s="10" t="str">
        <f aca="false">IF($A4167="","",$G4167&amp;"|"&amp;$J4167)</f>
        <v/>
      </c>
      <c r="L4167" s="10" t="str">
        <f aca="false">IF($A4167="","",ROW()-2)</f>
        <v/>
      </c>
      <c r="M4167" s="10" t="str">
        <f aca="false">IF($A4167="","",ROW())</f>
        <v/>
      </c>
    </row>
    <row r="4168" customFormat="false" ht="15" hidden="false" customHeight="true" outlineLevel="0" collapsed="false">
      <c r="A4168" s="8"/>
      <c r="B4168" s="8"/>
      <c r="C4168" s="8"/>
      <c r="D4168" s="8"/>
      <c r="E4168" s="8"/>
      <c r="F4168" s="8"/>
      <c r="G4168" s="10" t="str">
        <f aca="false">IF($A4168="","",UPPER(SUBSTITUTE(SUBSTITUTE(SUBSTITUTE(SUBSTITUTE($A4168," ",""),"(주)",""),"주식회사",""),"㈜","")))</f>
        <v/>
      </c>
      <c r="H4168" s="10" t="str">
        <f aca="false">IF($B4168="","",SUBSTITUTE(SUBSTITUTE(SUBSTITUTE($B4168,"-","")," ",""),".",""))</f>
        <v/>
      </c>
      <c r="I4168" s="10" t="str">
        <f aca="false">IF($D4168="","",SUBSTITUTE(SUBSTITUTE(SUBSTITUTE($D4168,"-","")," ",""),".",""))</f>
        <v/>
      </c>
      <c r="J4168" s="10" t="str">
        <f aca="false">IF($E4168="","",UPPER(SUBSTITUTE($E4168," ","")))</f>
        <v/>
      </c>
      <c r="K4168" s="10" t="str">
        <f aca="false">IF($A4168="","",$G4168&amp;"|"&amp;$J4168)</f>
        <v/>
      </c>
      <c r="L4168" s="10" t="str">
        <f aca="false">IF($A4168="","",ROW()-2)</f>
        <v/>
      </c>
      <c r="M4168" s="10" t="str">
        <f aca="false">IF($A4168="","",ROW())</f>
        <v/>
      </c>
    </row>
    <row r="4169" customFormat="false" ht="15" hidden="false" customHeight="true" outlineLevel="0" collapsed="false">
      <c r="A4169" s="8"/>
      <c r="B4169" s="8"/>
      <c r="C4169" s="8"/>
      <c r="D4169" s="8"/>
      <c r="E4169" s="8"/>
      <c r="F4169" s="8"/>
      <c r="G4169" s="10" t="str">
        <f aca="false">IF($A4169="","",UPPER(SUBSTITUTE(SUBSTITUTE(SUBSTITUTE(SUBSTITUTE($A4169," ",""),"(주)",""),"주식회사",""),"㈜","")))</f>
        <v/>
      </c>
      <c r="H4169" s="10" t="str">
        <f aca="false">IF($B4169="","",SUBSTITUTE(SUBSTITUTE(SUBSTITUTE($B4169,"-","")," ",""),".",""))</f>
        <v/>
      </c>
      <c r="I4169" s="10" t="str">
        <f aca="false">IF($D4169="","",SUBSTITUTE(SUBSTITUTE(SUBSTITUTE($D4169,"-","")," ",""),".",""))</f>
        <v/>
      </c>
      <c r="J4169" s="10" t="str">
        <f aca="false">IF($E4169="","",UPPER(SUBSTITUTE($E4169," ","")))</f>
        <v/>
      </c>
      <c r="K4169" s="10" t="str">
        <f aca="false">IF($A4169="","",$G4169&amp;"|"&amp;$J4169)</f>
        <v/>
      </c>
      <c r="L4169" s="10" t="str">
        <f aca="false">IF($A4169="","",ROW()-2)</f>
        <v/>
      </c>
      <c r="M4169" s="10" t="str">
        <f aca="false">IF($A4169="","",ROW())</f>
        <v/>
      </c>
    </row>
    <row r="4170" customFormat="false" ht="15" hidden="false" customHeight="true" outlineLevel="0" collapsed="false">
      <c r="A4170" s="8"/>
      <c r="B4170" s="8"/>
      <c r="C4170" s="8"/>
      <c r="D4170" s="8"/>
      <c r="E4170" s="8"/>
      <c r="F4170" s="8"/>
      <c r="G4170" s="10" t="str">
        <f aca="false">IF($A4170="","",UPPER(SUBSTITUTE(SUBSTITUTE(SUBSTITUTE(SUBSTITUTE($A4170," ",""),"(주)",""),"주식회사",""),"㈜","")))</f>
        <v/>
      </c>
      <c r="H4170" s="10" t="str">
        <f aca="false">IF($B4170="","",SUBSTITUTE(SUBSTITUTE(SUBSTITUTE($B4170,"-","")," ",""),".",""))</f>
        <v/>
      </c>
      <c r="I4170" s="10" t="str">
        <f aca="false">IF($D4170="","",SUBSTITUTE(SUBSTITUTE(SUBSTITUTE($D4170,"-","")," ",""),".",""))</f>
        <v/>
      </c>
      <c r="J4170" s="10" t="str">
        <f aca="false">IF($E4170="","",UPPER(SUBSTITUTE($E4170," ","")))</f>
        <v/>
      </c>
      <c r="K4170" s="10" t="str">
        <f aca="false">IF($A4170="","",$G4170&amp;"|"&amp;$J4170)</f>
        <v/>
      </c>
      <c r="L4170" s="10" t="str">
        <f aca="false">IF($A4170="","",ROW()-2)</f>
        <v/>
      </c>
      <c r="M4170" s="10" t="str">
        <f aca="false">IF($A4170="","",ROW())</f>
        <v/>
      </c>
    </row>
    <row r="4171" customFormat="false" ht="15" hidden="false" customHeight="true" outlineLevel="0" collapsed="false">
      <c r="A4171" s="8"/>
      <c r="B4171" s="8"/>
      <c r="C4171" s="8"/>
      <c r="D4171" s="8"/>
      <c r="E4171" s="8"/>
      <c r="F4171" s="8"/>
      <c r="G4171" s="10" t="str">
        <f aca="false">IF($A4171="","",UPPER(SUBSTITUTE(SUBSTITUTE(SUBSTITUTE(SUBSTITUTE($A4171," ",""),"(주)",""),"주식회사",""),"㈜","")))</f>
        <v/>
      </c>
      <c r="H4171" s="10" t="str">
        <f aca="false">IF($B4171="","",SUBSTITUTE(SUBSTITUTE(SUBSTITUTE($B4171,"-","")," ",""),".",""))</f>
        <v/>
      </c>
      <c r="I4171" s="10" t="str">
        <f aca="false">IF($D4171="","",SUBSTITUTE(SUBSTITUTE(SUBSTITUTE($D4171,"-","")," ",""),".",""))</f>
        <v/>
      </c>
      <c r="J4171" s="10" t="str">
        <f aca="false">IF($E4171="","",UPPER(SUBSTITUTE($E4171," ","")))</f>
        <v/>
      </c>
      <c r="K4171" s="10" t="str">
        <f aca="false">IF($A4171="","",$G4171&amp;"|"&amp;$J4171)</f>
        <v/>
      </c>
      <c r="L4171" s="10" t="str">
        <f aca="false">IF($A4171="","",ROW()-2)</f>
        <v/>
      </c>
      <c r="M4171" s="10" t="str">
        <f aca="false">IF($A4171="","",ROW())</f>
        <v/>
      </c>
    </row>
    <row r="4172" customFormat="false" ht="15" hidden="false" customHeight="true" outlineLevel="0" collapsed="false">
      <c r="A4172" s="8"/>
      <c r="B4172" s="8"/>
      <c r="C4172" s="8"/>
      <c r="D4172" s="8"/>
      <c r="E4172" s="8"/>
      <c r="F4172" s="8"/>
      <c r="G4172" s="10" t="str">
        <f aca="false">IF($A4172="","",UPPER(SUBSTITUTE(SUBSTITUTE(SUBSTITUTE(SUBSTITUTE($A4172," ",""),"(주)",""),"주식회사",""),"㈜","")))</f>
        <v/>
      </c>
      <c r="H4172" s="10" t="str">
        <f aca="false">IF($B4172="","",SUBSTITUTE(SUBSTITUTE(SUBSTITUTE($B4172,"-","")," ",""),".",""))</f>
        <v/>
      </c>
      <c r="I4172" s="10" t="str">
        <f aca="false">IF($D4172="","",SUBSTITUTE(SUBSTITUTE(SUBSTITUTE($D4172,"-","")," ",""),".",""))</f>
        <v/>
      </c>
      <c r="J4172" s="10" t="str">
        <f aca="false">IF($E4172="","",UPPER(SUBSTITUTE($E4172," ","")))</f>
        <v/>
      </c>
      <c r="K4172" s="10" t="str">
        <f aca="false">IF($A4172="","",$G4172&amp;"|"&amp;$J4172)</f>
        <v/>
      </c>
      <c r="L4172" s="10" t="str">
        <f aca="false">IF($A4172="","",ROW()-2)</f>
        <v/>
      </c>
      <c r="M4172" s="10" t="str">
        <f aca="false">IF($A4172="","",ROW())</f>
        <v/>
      </c>
    </row>
    <row r="4173" customFormat="false" ht="15" hidden="false" customHeight="true" outlineLevel="0" collapsed="false">
      <c r="A4173" s="8"/>
      <c r="B4173" s="8"/>
      <c r="C4173" s="8"/>
      <c r="D4173" s="8"/>
      <c r="E4173" s="8"/>
      <c r="F4173" s="8"/>
      <c r="G4173" s="10" t="str">
        <f aca="false">IF($A4173="","",UPPER(SUBSTITUTE(SUBSTITUTE(SUBSTITUTE(SUBSTITUTE($A4173," ",""),"(주)",""),"주식회사",""),"㈜","")))</f>
        <v/>
      </c>
      <c r="H4173" s="10" t="str">
        <f aca="false">IF($B4173="","",SUBSTITUTE(SUBSTITUTE(SUBSTITUTE($B4173,"-","")," ",""),".",""))</f>
        <v/>
      </c>
      <c r="I4173" s="10" t="str">
        <f aca="false">IF($D4173="","",SUBSTITUTE(SUBSTITUTE(SUBSTITUTE($D4173,"-","")," ",""),".",""))</f>
        <v/>
      </c>
      <c r="J4173" s="10" t="str">
        <f aca="false">IF($E4173="","",UPPER(SUBSTITUTE($E4173," ","")))</f>
        <v/>
      </c>
      <c r="K4173" s="10" t="str">
        <f aca="false">IF($A4173="","",$G4173&amp;"|"&amp;$J4173)</f>
        <v/>
      </c>
      <c r="L4173" s="10" t="str">
        <f aca="false">IF($A4173="","",ROW()-2)</f>
        <v/>
      </c>
      <c r="M4173" s="10" t="str">
        <f aca="false">IF($A4173="","",ROW())</f>
        <v/>
      </c>
    </row>
    <row r="4174" customFormat="false" ht="15" hidden="false" customHeight="true" outlineLevel="0" collapsed="false">
      <c r="A4174" s="8"/>
      <c r="B4174" s="8"/>
      <c r="C4174" s="8"/>
      <c r="D4174" s="8"/>
      <c r="E4174" s="8"/>
      <c r="F4174" s="8"/>
      <c r="G4174" s="10" t="str">
        <f aca="false">IF($A4174="","",UPPER(SUBSTITUTE(SUBSTITUTE(SUBSTITUTE(SUBSTITUTE($A4174," ",""),"(주)",""),"주식회사",""),"㈜","")))</f>
        <v/>
      </c>
      <c r="H4174" s="10" t="str">
        <f aca="false">IF($B4174="","",SUBSTITUTE(SUBSTITUTE(SUBSTITUTE($B4174,"-","")," ",""),".",""))</f>
        <v/>
      </c>
      <c r="I4174" s="10" t="str">
        <f aca="false">IF($D4174="","",SUBSTITUTE(SUBSTITUTE(SUBSTITUTE($D4174,"-","")," ",""),".",""))</f>
        <v/>
      </c>
      <c r="J4174" s="10" t="str">
        <f aca="false">IF($E4174="","",UPPER(SUBSTITUTE($E4174," ","")))</f>
        <v/>
      </c>
      <c r="K4174" s="10" t="str">
        <f aca="false">IF($A4174="","",$G4174&amp;"|"&amp;$J4174)</f>
        <v/>
      </c>
      <c r="L4174" s="10" t="str">
        <f aca="false">IF($A4174="","",ROW()-2)</f>
        <v/>
      </c>
      <c r="M4174" s="10" t="str">
        <f aca="false">IF($A4174="","",ROW())</f>
        <v/>
      </c>
    </row>
    <row r="4175" customFormat="false" ht="15" hidden="false" customHeight="true" outlineLevel="0" collapsed="false">
      <c r="A4175" s="8"/>
      <c r="B4175" s="8"/>
      <c r="C4175" s="8"/>
      <c r="D4175" s="8"/>
      <c r="E4175" s="8"/>
      <c r="F4175" s="8"/>
      <c r="G4175" s="10" t="str">
        <f aca="false">IF($A4175="","",UPPER(SUBSTITUTE(SUBSTITUTE(SUBSTITUTE(SUBSTITUTE($A4175," ",""),"(주)",""),"주식회사",""),"㈜","")))</f>
        <v/>
      </c>
      <c r="H4175" s="10" t="str">
        <f aca="false">IF($B4175="","",SUBSTITUTE(SUBSTITUTE(SUBSTITUTE($B4175,"-","")," ",""),".",""))</f>
        <v/>
      </c>
      <c r="I4175" s="10" t="str">
        <f aca="false">IF($D4175="","",SUBSTITUTE(SUBSTITUTE(SUBSTITUTE($D4175,"-","")," ",""),".",""))</f>
        <v/>
      </c>
      <c r="J4175" s="10" t="str">
        <f aca="false">IF($E4175="","",UPPER(SUBSTITUTE($E4175," ","")))</f>
        <v/>
      </c>
      <c r="K4175" s="10" t="str">
        <f aca="false">IF($A4175="","",$G4175&amp;"|"&amp;$J4175)</f>
        <v/>
      </c>
      <c r="L4175" s="10" t="str">
        <f aca="false">IF($A4175="","",ROW()-2)</f>
        <v/>
      </c>
      <c r="M4175" s="10" t="str">
        <f aca="false">IF($A4175="","",ROW())</f>
        <v/>
      </c>
    </row>
    <row r="4176" customFormat="false" ht="15" hidden="false" customHeight="true" outlineLevel="0" collapsed="false">
      <c r="A4176" s="8"/>
      <c r="B4176" s="8"/>
      <c r="C4176" s="8"/>
      <c r="D4176" s="8"/>
      <c r="E4176" s="8"/>
      <c r="F4176" s="8"/>
      <c r="G4176" s="10" t="str">
        <f aca="false">IF($A4176="","",UPPER(SUBSTITUTE(SUBSTITUTE(SUBSTITUTE(SUBSTITUTE($A4176," ",""),"(주)",""),"주식회사",""),"㈜","")))</f>
        <v/>
      </c>
      <c r="H4176" s="10" t="str">
        <f aca="false">IF($B4176="","",SUBSTITUTE(SUBSTITUTE(SUBSTITUTE($B4176,"-","")," ",""),".",""))</f>
        <v/>
      </c>
      <c r="I4176" s="10" t="str">
        <f aca="false">IF($D4176="","",SUBSTITUTE(SUBSTITUTE(SUBSTITUTE($D4176,"-","")," ",""),".",""))</f>
        <v/>
      </c>
      <c r="J4176" s="10" t="str">
        <f aca="false">IF($E4176="","",UPPER(SUBSTITUTE($E4176," ","")))</f>
        <v/>
      </c>
      <c r="K4176" s="10" t="str">
        <f aca="false">IF($A4176="","",$G4176&amp;"|"&amp;$J4176)</f>
        <v/>
      </c>
      <c r="L4176" s="10" t="str">
        <f aca="false">IF($A4176="","",ROW()-2)</f>
        <v/>
      </c>
      <c r="M4176" s="10" t="str">
        <f aca="false">IF($A4176="","",ROW())</f>
        <v/>
      </c>
    </row>
    <row r="4177" customFormat="false" ht="15" hidden="false" customHeight="true" outlineLevel="0" collapsed="false">
      <c r="A4177" s="8"/>
      <c r="B4177" s="8"/>
      <c r="C4177" s="8"/>
      <c r="D4177" s="8"/>
      <c r="E4177" s="8"/>
      <c r="F4177" s="8"/>
      <c r="G4177" s="10" t="str">
        <f aca="false">IF($A4177="","",UPPER(SUBSTITUTE(SUBSTITUTE(SUBSTITUTE(SUBSTITUTE($A4177," ",""),"(주)",""),"주식회사",""),"㈜","")))</f>
        <v/>
      </c>
      <c r="H4177" s="10" t="str">
        <f aca="false">IF($B4177="","",SUBSTITUTE(SUBSTITUTE(SUBSTITUTE($B4177,"-","")," ",""),".",""))</f>
        <v/>
      </c>
      <c r="I4177" s="10" t="str">
        <f aca="false">IF($D4177="","",SUBSTITUTE(SUBSTITUTE(SUBSTITUTE($D4177,"-","")," ",""),".",""))</f>
        <v/>
      </c>
      <c r="J4177" s="10" t="str">
        <f aca="false">IF($E4177="","",UPPER(SUBSTITUTE($E4177," ","")))</f>
        <v/>
      </c>
      <c r="K4177" s="10" t="str">
        <f aca="false">IF($A4177="","",$G4177&amp;"|"&amp;$J4177)</f>
        <v/>
      </c>
      <c r="L4177" s="10" t="str">
        <f aca="false">IF($A4177="","",ROW()-2)</f>
        <v/>
      </c>
      <c r="M4177" s="10" t="str">
        <f aca="false">IF($A4177="","",ROW())</f>
        <v/>
      </c>
    </row>
    <row r="4178" customFormat="false" ht="15" hidden="false" customHeight="true" outlineLevel="0" collapsed="false">
      <c r="A4178" s="8"/>
      <c r="B4178" s="8"/>
      <c r="C4178" s="8"/>
      <c r="D4178" s="8"/>
      <c r="E4178" s="8"/>
      <c r="F4178" s="8"/>
      <c r="G4178" s="10" t="str">
        <f aca="false">IF($A4178="","",UPPER(SUBSTITUTE(SUBSTITUTE(SUBSTITUTE(SUBSTITUTE($A4178," ",""),"(주)",""),"주식회사",""),"㈜","")))</f>
        <v/>
      </c>
      <c r="H4178" s="10" t="str">
        <f aca="false">IF($B4178="","",SUBSTITUTE(SUBSTITUTE(SUBSTITUTE($B4178,"-","")," ",""),".",""))</f>
        <v/>
      </c>
      <c r="I4178" s="10" t="str">
        <f aca="false">IF($D4178="","",SUBSTITUTE(SUBSTITUTE(SUBSTITUTE($D4178,"-","")," ",""),".",""))</f>
        <v/>
      </c>
      <c r="J4178" s="10" t="str">
        <f aca="false">IF($E4178="","",UPPER(SUBSTITUTE($E4178," ","")))</f>
        <v/>
      </c>
      <c r="K4178" s="10" t="str">
        <f aca="false">IF($A4178="","",$G4178&amp;"|"&amp;$J4178)</f>
        <v/>
      </c>
      <c r="L4178" s="10" t="str">
        <f aca="false">IF($A4178="","",ROW()-2)</f>
        <v/>
      </c>
      <c r="M4178" s="10" t="str">
        <f aca="false">IF($A4178="","",ROW())</f>
        <v/>
      </c>
    </row>
    <row r="4179" customFormat="false" ht="15" hidden="false" customHeight="true" outlineLevel="0" collapsed="false">
      <c r="A4179" s="8"/>
      <c r="B4179" s="8"/>
      <c r="C4179" s="8"/>
      <c r="D4179" s="8"/>
      <c r="E4179" s="8"/>
      <c r="F4179" s="8"/>
      <c r="G4179" s="10" t="str">
        <f aca="false">IF($A4179="","",UPPER(SUBSTITUTE(SUBSTITUTE(SUBSTITUTE(SUBSTITUTE($A4179," ",""),"(주)",""),"주식회사",""),"㈜","")))</f>
        <v/>
      </c>
      <c r="H4179" s="10" t="str">
        <f aca="false">IF($B4179="","",SUBSTITUTE(SUBSTITUTE(SUBSTITUTE($B4179,"-","")," ",""),".",""))</f>
        <v/>
      </c>
      <c r="I4179" s="10" t="str">
        <f aca="false">IF($D4179="","",SUBSTITUTE(SUBSTITUTE(SUBSTITUTE($D4179,"-","")," ",""),".",""))</f>
        <v/>
      </c>
      <c r="J4179" s="10" t="str">
        <f aca="false">IF($E4179="","",UPPER(SUBSTITUTE($E4179," ","")))</f>
        <v/>
      </c>
      <c r="K4179" s="10" t="str">
        <f aca="false">IF($A4179="","",$G4179&amp;"|"&amp;$J4179)</f>
        <v/>
      </c>
      <c r="L4179" s="10" t="str">
        <f aca="false">IF($A4179="","",ROW()-2)</f>
        <v/>
      </c>
      <c r="M4179" s="10" t="str">
        <f aca="false">IF($A4179="","",ROW())</f>
        <v/>
      </c>
    </row>
    <row r="4180" customFormat="false" ht="15" hidden="false" customHeight="true" outlineLevel="0" collapsed="false">
      <c r="A4180" s="8"/>
      <c r="B4180" s="8"/>
      <c r="C4180" s="8"/>
      <c r="D4180" s="8"/>
      <c r="E4180" s="8"/>
      <c r="F4180" s="8"/>
      <c r="G4180" s="10" t="str">
        <f aca="false">IF($A4180="","",UPPER(SUBSTITUTE(SUBSTITUTE(SUBSTITUTE(SUBSTITUTE($A4180," ",""),"(주)",""),"주식회사",""),"㈜","")))</f>
        <v/>
      </c>
      <c r="H4180" s="10" t="str">
        <f aca="false">IF($B4180="","",SUBSTITUTE(SUBSTITUTE(SUBSTITUTE($B4180,"-","")," ",""),".",""))</f>
        <v/>
      </c>
      <c r="I4180" s="10" t="str">
        <f aca="false">IF($D4180="","",SUBSTITUTE(SUBSTITUTE(SUBSTITUTE($D4180,"-","")," ",""),".",""))</f>
        <v/>
      </c>
      <c r="J4180" s="10" t="str">
        <f aca="false">IF($E4180="","",UPPER(SUBSTITUTE($E4180," ","")))</f>
        <v/>
      </c>
      <c r="K4180" s="10" t="str">
        <f aca="false">IF($A4180="","",$G4180&amp;"|"&amp;$J4180)</f>
        <v/>
      </c>
      <c r="L4180" s="10" t="str">
        <f aca="false">IF($A4180="","",ROW()-2)</f>
        <v/>
      </c>
      <c r="M4180" s="10" t="str">
        <f aca="false">IF($A4180="","",ROW())</f>
        <v/>
      </c>
    </row>
    <row r="4181" customFormat="false" ht="15" hidden="false" customHeight="true" outlineLevel="0" collapsed="false">
      <c r="A4181" s="8"/>
      <c r="B4181" s="8"/>
      <c r="C4181" s="8"/>
      <c r="D4181" s="8"/>
      <c r="E4181" s="8"/>
      <c r="F4181" s="8"/>
      <c r="G4181" s="10" t="str">
        <f aca="false">IF($A4181="","",UPPER(SUBSTITUTE(SUBSTITUTE(SUBSTITUTE(SUBSTITUTE($A4181," ",""),"(주)",""),"주식회사",""),"㈜","")))</f>
        <v/>
      </c>
      <c r="H4181" s="10" t="str">
        <f aca="false">IF($B4181="","",SUBSTITUTE(SUBSTITUTE(SUBSTITUTE($B4181,"-","")," ",""),".",""))</f>
        <v/>
      </c>
      <c r="I4181" s="10" t="str">
        <f aca="false">IF($D4181="","",SUBSTITUTE(SUBSTITUTE(SUBSTITUTE($D4181,"-","")," ",""),".",""))</f>
        <v/>
      </c>
      <c r="J4181" s="10" t="str">
        <f aca="false">IF($E4181="","",UPPER(SUBSTITUTE($E4181," ","")))</f>
        <v/>
      </c>
      <c r="K4181" s="10" t="str">
        <f aca="false">IF($A4181="","",$G4181&amp;"|"&amp;$J4181)</f>
        <v/>
      </c>
      <c r="L4181" s="10" t="str">
        <f aca="false">IF($A4181="","",ROW()-2)</f>
        <v/>
      </c>
      <c r="M4181" s="10" t="str">
        <f aca="false">IF($A4181="","",ROW())</f>
        <v/>
      </c>
    </row>
    <row r="4182" customFormat="false" ht="15" hidden="false" customHeight="true" outlineLevel="0" collapsed="false">
      <c r="A4182" s="8"/>
      <c r="B4182" s="8"/>
      <c r="C4182" s="8"/>
      <c r="D4182" s="8"/>
      <c r="E4182" s="8"/>
      <c r="F4182" s="8"/>
      <c r="G4182" s="10" t="str">
        <f aca="false">IF($A4182="","",UPPER(SUBSTITUTE(SUBSTITUTE(SUBSTITUTE(SUBSTITUTE($A4182," ",""),"(주)",""),"주식회사",""),"㈜","")))</f>
        <v/>
      </c>
      <c r="H4182" s="10" t="str">
        <f aca="false">IF($B4182="","",SUBSTITUTE(SUBSTITUTE(SUBSTITUTE($B4182,"-","")," ",""),".",""))</f>
        <v/>
      </c>
      <c r="I4182" s="10" t="str">
        <f aca="false">IF($D4182="","",SUBSTITUTE(SUBSTITUTE(SUBSTITUTE($D4182,"-","")," ",""),".",""))</f>
        <v/>
      </c>
      <c r="J4182" s="10" t="str">
        <f aca="false">IF($E4182="","",UPPER(SUBSTITUTE($E4182," ","")))</f>
        <v/>
      </c>
      <c r="K4182" s="10" t="str">
        <f aca="false">IF($A4182="","",$G4182&amp;"|"&amp;$J4182)</f>
        <v/>
      </c>
      <c r="L4182" s="10" t="str">
        <f aca="false">IF($A4182="","",ROW()-2)</f>
        <v/>
      </c>
      <c r="M4182" s="10" t="str">
        <f aca="false">IF($A4182="","",ROW())</f>
        <v/>
      </c>
    </row>
    <row r="4183" customFormat="false" ht="15" hidden="false" customHeight="true" outlineLevel="0" collapsed="false">
      <c r="A4183" s="8"/>
      <c r="B4183" s="8"/>
      <c r="C4183" s="8"/>
      <c r="D4183" s="8"/>
      <c r="E4183" s="8"/>
      <c r="F4183" s="8"/>
      <c r="G4183" s="10" t="str">
        <f aca="false">IF($A4183="","",UPPER(SUBSTITUTE(SUBSTITUTE(SUBSTITUTE(SUBSTITUTE($A4183," ",""),"(주)",""),"주식회사",""),"㈜","")))</f>
        <v/>
      </c>
      <c r="H4183" s="10" t="str">
        <f aca="false">IF($B4183="","",SUBSTITUTE(SUBSTITUTE(SUBSTITUTE($B4183,"-","")," ",""),".",""))</f>
        <v/>
      </c>
      <c r="I4183" s="10" t="str">
        <f aca="false">IF($D4183="","",SUBSTITUTE(SUBSTITUTE(SUBSTITUTE($D4183,"-","")," ",""),".",""))</f>
        <v/>
      </c>
      <c r="J4183" s="10" t="str">
        <f aca="false">IF($E4183="","",UPPER(SUBSTITUTE($E4183," ","")))</f>
        <v/>
      </c>
      <c r="K4183" s="10" t="str">
        <f aca="false">IF($A4183="","",$G4183&amp;"|"&amp;$J4183)</f>
        <v/>
      </c>
      <c r="L4183" s="10" t="str">
        <f aca="false">IF($A4183="","",ROW()-2)</f>
        <v/>
      </c>
      <c r="M4183" s="10" t="str">
        <f aca="false">IF($A4183="","",ROW())</f>
        <v/>
      </c>
    </row>
    <row r="4184" customFormat="false" ht="15" hidden="false" customHeight="true" outlineLevel="0" collapsed="false">
      <c r="A4184" s="8"/>
      <c r="B4184" s="8"/>
      <c r="C4184" s="8"/>
      <c r="D4184" s="8"/>
      <c r="E4184" s="8"/>
      <c r="F4184" s="8"/>
      <c r="G4184" s="10" t="str">
        <f aca="false">IF($A4184="","",UPPER(SUBSTITUTE(SUBSTITUTE(SUBSTITUTE(SUBSTITUTE($A4184," ",""),"(주)",""),"주식회사",""),"㈜","")))</f>
        <v/>
      </c>
      <c r="H4184" s="10" t="str">
        <f aca="false">IF($B4184="","",SUBSTITUTE(SUBSTITUTE(SUBSTITUTE($B4184,"-","")," ",""),".",""))</f>
        <v/>
      </c>
      <c r="I4184" s="10" t="str">
        <f aca="false">IF($D4184="","",SUBSTITUTE(SUBSTITUTE(SUBSTITUTE($D4184,"-","")," ",""),".",""))</f>
        <v/>
      </c>
      <c r="J4184" s="10" t="str">
        <f aca="false">IF($E4184="","",UPPER(SUBSTITUTE($E4184," ","")))</f>
        <v/>
      </c>
      <c r="K4184" s="10" t="str">
        <f aca="false">IF($A4184="","",$G4184&amp;"|"&amp;$J4184)</f>
        <v/>
      </c>
      <c r="L4184" s="10" t="str">
        <f aca="false">IF($A4184="","",ROW()-2)</f>
        <v/>
      </c>
      <c r="M4184" s="10" t="str">
        <f aca="false">IF($A4184="","",ROW())</f>
        <v/>
      </c>
    </row>
    <row r="4185" customFormat="false" ht="15" hidden="false" customHeight="true" outlineLevel="0" collapsed="false">
      <c r="A4185" s="8"/>
      <c r="B4185" s="8"/>
      <c r="C4185" s="8"/>
      <c r="D4185" s="8"/>
      <c r="E4185" s="8"/>
      <c r="F4185" s="8"/>
      <c r="G4185" s="10" t="str">
        <f aca="false">IF($A4185="","",UPPER(SUBSTITUTE(SUBSTITUTE(SUBSTITUTE(SUBSTITUTE($A4185," ",""),"(주)",""),"주식회사",""),"㈜","")))</f>
        <v/>
      </c>
      <c r="H4185" s="10" t="str">
        <f aca="false">IF($B4185="","",SUBSTITUTE(SUBSTITUTE(SUBSTITUTE($B4185,"-","")," ",""),".",""))</f>
        <v/>
      </c>
      <c r="I4185" s="10" t="str">
        <f aca="false">IF($D4185="","",SUBSTITUTE(SUBSTITUTE(SUBSTITUTE($D4185,"-","")," ",""),".",""))</f>
        <v/>
      </c>
      <c r="J4185" s="10" t="str">
        <f aca="false">IF($E4185="","",UPPER(SUBSTITUTE($E4185," ","")))</f>
        <v/>
      </c>
      <c r="K4185" s="10" t="str">
        <f aca="false">IF($A4185="","",$G4185&amp;"|"&amp;$J4185)</f>
        <v/>
      </c>
      <c r="L4185" s="10" t="str">
        <f aca="false">IF($A4185="","",ROW()-2)</f>
        <v/>
      </c>
      <c r="M4185" s="10" t="str">
        <f aca="false">IF($A4185="","",ROW())</f>
        <v/>
      </c>
    </row>
    <row r="4186" customFormat="false" ht="15" hidden="false" customHeight="true" outlineLevel="0" collapsed="false">
      <c r="A4186" s="8"/>
      <c r="B4186" s="8"/>
      <c r="C4186" s="8"/>
      <c r="D4186" s="8"/>
      <c r="E4186" s="8"/>
      <c r="F4186" s="8"/>
      <c r="G4186" s="10" t="str">
        <f aca="false">IF($A4186="","",UPPER(SUBSTITUTE(SUBSTITUTE(SUBSTITUTE(SUBSTITUTE($A4186," ",""),"(주)",""),"주식회사",""),"㈜","")))</f>
        <v/>
      </c>
      <c r="H4186" s="10" t="str">
        <f aca="false">IF($B4186="","",SUBSTITUTE(SUBSTITUTE(SUBSTITUTE($B4186,"-","")," ",""),".",""))</f>
        <v/>
      </c>
      <c r="I4186" s="10" t="str">
        <f aca="false">IF($D4186="","",SUBSTITUTE(SUBSTITUTE(SUBSTITUTE($D4186,"-","")," ",""),".",""))</f>
        <v/>
      </c>
      <c r="J4186" s="10" t="str">
        <f aca="false">IF($E4186="","",UPPER(SUBSTITUTE($E4186," ","")))</f>
        <v/>
      </c>
      <c r="K4186" s="10" t="str">
        <f aca="false">IF($A4186="","",$G4186&amp;"|"&amp;$J4186)</f>
        <v/>
      </c>
      <c r="L4186" s="10" t="str">
        <f aca="false">IF($A4186="","",ROW()-2)</f>
        <v/>
      </c>
      <c r="M4186" s="10" t="str">
        <f aca="false">IF($A4186="","",ROW())</f>
        <v/>
      </c>
    </row>
    <row r="4187" customFormat="false" ht="15" hidden="false" customHeight="true" outlineLevel="0" collapsed="false">
      <c r="A4187" s="8"/>
      <c r="B4187" s="8"/>
      <c r="C4187" s="8"/>
      <c r="D4187" s="8"/>
      <c r="E4187" s="8"/>
      <c r="F4187" s="8"/>
      <c r="G4187" s="10" t="str">
        <f aca="false">IF($A4187="","",UPPER(SUBSTITUTE(SUBSTITUTE(SUBSTITUTE(SUBSTITUTE($A4187," ",""),"(주)",""),"주식회사",""),"㈜","")))</f>
        <v/>
      </c>
      <c r="H4187" s="10" t="str">
        <f aca="false">IF($B4187="","",SUBSTITUTE(SUBSTITUTE(SUBSTITUTE($B4187,"-","")," ",""),".",""))</f>
        <v/>
      </c>
      <c r="I4187" s="10" t="str">
        <f aca="false">IF($D4187="","",SUBSTITUTE(SUBSTITUTE(SUBSTITUTE($D4187,"-","")," ",""),".",""))</f>
        <v/>
      </c>
      <c r="J4187" s="10" t="str">
        <f aca="false">IF($E4187="","",UPPER(SUBSTITUTE($E4187," ","")))</f>
        <v/>
      </c>
      <c r="K4187" s="10" t="str">
        <f aca="false">IF($A4187="","",$G4187&amp;"|"&amp;$J4187)</f>
        <v/>
      </c>
      <c r="L4187" s="10" t="str">
        <f aca="false">IF($A4187="","",ROW()-2)</f>
        <v/>
      </c>
      <c r="M4187" s="10" t="str">
        <f aca="false">IF($A4187="","",ROW())</f>
        <v/>
      </c>
    </row>
    <row r="4188" customFormat="false" ht="15" hidden="false" customHeight="true" outlineLevel="0" collapsed="false">
      <c r="A4188" s="8"/>
      <c r="B4188" s="8"/>
      <c r="C4188" s="8"/>
      <c r="D4188" s="8"/>
      <c r="E4188" s="8"/>
      <c r="F4188" s="8"/>
      <c r="G4188" s="10" t="str">
        <f aca="false">IF($A4188="","",UPPER(SUBSTITUTE(SUBSTITUTE(SUBSTITUTE(SUBSTITUTE($A4188," ",""),"(주)",""),"주식회사",""),"㈜","")))</f>
        <v/>
      </c>
      <c r="H4188" s="10" t="str">
        <f aca="false">IF($B4188="","",SUBSTITUTE(SUBSTITUTE(SUBSTITUTE($B4188,"-","")," ",""),".",""))</f>
        <v/>
      </c>
      <c r="I4188" s="10" t="str">
        <f aca="false">IF($D4188="","",SUBSTITUTE(SUBSTITUTE(SUBSTITUTE($D4188,"-","")," ",""),".",""))</f>
        <v/>
      </c>
      <c r="J4188" s="10" t="str">
        <f aca="false">IF($E4188="","",UPPER(SUBSTITUTE($E4188," ","")))</f>
        <v/>
      </c>
      <c r="K4188" s="10" t="str">
        <f aca="false">IF($A4188="","",$G4188&amp;"|"&amp;$J4188)</f>
        <v/>
      </c>
      <c r="L4188" s="10" t="str">
        <f aca="false">IF($A4188="","",ROW()-2)</f>
        <v/>
      </c>
      <c r="M4188" s="10" t="str">
        <f aca="false">IF($A4188="","",ROW())</f>
        <v/>
      </c>
    </row>
    <row r="4189" customFormat="false" ht="15" hidden="false" customHeight="true" outlineLevel="0" collapsed="false">
      <c r="A4189" s="8"/>
      <c r="B4189" s="8"/>
      <c r="C4189" s="8"/>
      <c r="D4189" s="8"/>
      <c r="E4189" s="8"/>
      <c r="F4189" s="8"/>
      <c r="G4189" s="10" t="str">
        <f aca="false">IF($A4189="","",UPPER(SUBSTITUTE(SUBSTITUTE(SUBSTITUTE(SUBSTITUTE($A4189," ",""),"(주)",""),"주식회사",""),"㈜","")))</f>
        <v/>
      </c>
      <c r="H4189" s="10" t="str">
        <f aca="false">IF($B4189="","",SUBSTITUTE(SUBSTITUTE(SUBSTITUTE($B4189,"-","")," ",""),".",""))</f>
        <v/>
      </c>
      <c r="I4189" s="10" t="str">
        <f aca="false">IF($D4189="","",SUBSTITUTE(SUBSTITUTE(SUBSTITUTE($D4189,"-","")," ",""),".",""))</f>
        <v/>
      </c>
      <c r="J4189" s="10" t="str">
        <f aca="false">IF($E4189="","",UPPER(SUBSTITUTE($E4189," ","")))</f>
        <v/>
      </c>
      <c r="K4189" s="10" t="str">
        <f aca="false">IF($A4189="","",$G4189&amp;"|"&amp;$J4189)</f>
        <v/>
      </c>
      <c r="L4189" s="10" t="str">
        <f aca="false">IF($A4189="","",ROW()-2)</f>
        <v/>
      </c>
      <c r="M4189" s="10" t="str">
        <f aca="false">IF($A4189="","",ROW())</f>
        <v/>
      </c>
    </row>
    <row r="4190" customFormat="false" ht="15" hidden="false" customHeight="true" outlineLevel="0" collapsed="false">
      <c r="A4190" s="8"/>
      <c r="B4190" s="8"/>
      <c r="C4190" s="8"/>
      <c r="D4190" s="8"/>
      <c r="E4190" s="8"/>
      <c r="F4190" s="8"/>
      <c r="G4190" s="10" t="str">
        <f aca="false">IF($A4190="","",UPPER(SUBSTITUTE(SUBSTITUTE(SUBSTITUTE(SUBSTITUTE($A4190," ",""),"(주)",""),"주식회사",""),"㈜","")))</f>
        <v/>
      </c>
      <c r="H4190" s="10" t="str">
        <f aca="false">IF($B4190="","",SUBSTITUTE(SUBSTITUTE(SUBSTITUTE($B4190,"-","")," ",""),".",""))</f>
        <v/>
      </c>
      <c r="I4190" s="10" t="str">
        <f aca="false">IF($D4190="","",SUBSTITUTE(SUBSTITUTE(SUBSTITUTE($D4190,"-","")," ",""),".",""))</f>
        <v/>
      </c>
      <c r="J4190" s="10" t="str">
        <f aca="false">IF($E4190="","",UPPER(SUBSTITUTE($E4190," ","")))</f>
        <v/>
      </c>
      <c r="K4190" s="10" t="str">
        <f aca="false">IF($A4190="","",$G4190&amp;"|"&amp;$J4190)</f>
        <v/>
      </c>
      <c r="L4190" s="10" t="str">
        <f aca="false">IF($A4190="","",ROW()-2)</f>
        <v/>
      </c>
      <c r="M4190" s="10" t="str">
        <f aca="false">IF($A4190="","",ROW())</f>
        <v/>
      </c>
    </row>
    <row r="4191" customFormat="false" ht="15" hidden="false" customHeight="true" outlineLevel="0" collapsed="false">
      <c r="A4191" s="8"/>
      <c r="B4191" s="8"/>
      <c r="C4191" s="8"/>
      <c r="D4191" s="8"/>
      <c r="E4191" s="8"/>
      <c r="F4191" s="8"/>
      <c r="G4191" s="10" t="str">
        <f aca="false">IF($A4191="","",UPPER(SUBSTITUTE(SUBSTITUTE(SUBSTITUTE(SUBSTITUTE($A4191," ",""),"(주)",""),"주식회사",""),"㈜","")))</f>
        <v/>
      </c>
      <c r="H4191" s="10" t="str">
        <f aca="false">IF($B4191="","",SUBSTITUTE(SUBSTITUTE(SUBSTITUTE($B4191,"-","")," ",""),".",""))</f>
        <v/>
      </c>
      <c r="I4191" s="10" t="str">
        <f aca="false">IF($D4191="","",SUBSTITUTE(SUBSTITUTE(SUBSTITUTE($D4191,"-","")," ",""),".",""))</f>
        <v/>
      </c>
      <c r="J4191" s="10" t="str">
        <f aca="false">IF($E4191="","",UPPER(SUBSTITUTE($E4191," ","")))</f>
        <v/>
      </c>
      <c r="K4191" s="10" t="str">
        <f aca="false">IF($A4191="","",$G4191&amp;"|"&amp;$J4191)</f>
        <v/>
      </c>
      <c r="L4191" s="10" t="str">
        <f aca="false">IF($A4191="","",ROW()-2)</f>
        <v/>
      </c>
      <c r="M4191" s="10" t="str">
        <f aca="false">IF($A4191="","",ROW())</f>
        <v/>
      </c>
    </row>
    <row r="4192" customFormat="false" ht="15" hidden="false" customHeight="true" outlineLevel="0" collapsed="false">
      <c r="A4192" s="8"/>
      <c r="B4192" s="8"/>
      <c r="C4192" s="8"/>
      <c r="D4192" s="8"/>
      <c r="E4192" s="8"/>
      <c r="F4192" s="8"/>
      <c r="G4192" s="10" t="str">
        <f aca="false">IF($A4192="","",UPPER(SUBSTITUTE(SUBSTITUTE(SUBSTITUTE(SUBSTITUTE($A4192," ",""),"(주)",""),"주식회사",""),"㈜","")))</f>
        <v/>
      </c>
      <c r="H4192" s="10" t="str">
        <f aca="false">IF($B4192="","",SUBSTITUTE(SUBSTITUTE(SUBSTITUTE($B4192,"-","")," ",""),".",""))</f>
        <v/>
      </c>
      <c r="I4192" s="10" t="str">
        <f aca="false">IF($D4192="","",SUBSTITUTE(SUBSTITUTE(SUBSTITUTE($D4192,"-","")," ",""),".",""))</f>
        <v/>
      </c>
      <c r="J4192" s="10" t="str">
        <f aca="false">IF($E4192="","",UPPER(SUBSTITUTE($E4192," ","")))</f>
        <v/>
      </c>
      <c r="K4192" s="10" t="str">
        <f aca="false">IF($A4192="","",$G4192&amp;"|"&amp;$J4192)</f>
        <v/>
      </c>
      <c r="L4192" s="10" t="str">
        <f aca="false">IF($A4192="","",ROW()-2)</f>
        <v/>
      </c>
      <c r="M4192" s="10" t="str">
        <f aca="false">IF($A4192="","",ROW())</f>
        <v/>
      </c>
    </row>
    <row r="4193" customFormat="false" ht="15" hidden="false" customHeight="true" outlineLevel="0" collapsed="false">
      <c r="A4193" s="8"/>
      <c r="B4193" s="8"/>
      <c r="C4193" s="8"/>
      <c r="D4193" s="8"/>
      <c r="E4193" s="8"/>
      <c r="F4193" s="8"/>
      <c r="G4193" s="10" t="str">
        <f aca="false">IF($A4193="","",UPPER(SUBSTITUTE(SUBSTITUTE(SUBSTITUTE(SUBSTITUTE($A4193," ",""),"(주)",""),"주식회사",""),"㈜","")))</f>
        <v/>
      </c>
      <c r="H4193" s="10" t="str">
        <f aca="false">IF($B4193="","",SUBSTITUTE(SUBSTITUTE(SUBSTITUTE($B4193,"-","")," ",""),".",""))</f>
        <v/>
      </c>
      <c r="I4193" s="10" t="str">
        <f aca="false">IF($D4193="","",SUBSTITUTE(SUBSTITUTE(SUBSTITUTE($D4193,"-","")," ",""),".",""))</f>
        <v/>
      </c>
      <c r="J4193" s="10" t="str">
        <f aca="false">IF($E4193="","",UPPER(SUBSTITUTE($E4193," ","")))</f>
        <v/>
      </c>
      <c r="K4193" s="10" t="str">
        <f aca="false">IF($A4193="","",$G4193&amp;"|"&amp;$J4193)</f>
        <v/>
      </c>
      <c r="L4193" s="10" t="str">
        <f aca="false">IF($A4193="","",ROW()-2)</f>
        <v/>
      </c>
      <c r="M4193" s="10" t="str">
        <f aca="false">IF($A4193="","",ROW())</f>
        <v/>
      </c>
    </row>
    <row r="4194" customFormat="false" ht="15" hidden="false" customHeight="true" outlineLevel="0" collapsed="false">
      <c r="A4194" s="8"/>
      <c r="B4194" s="8"/>
      <c r="C4194" s="8"/>
      <c r="D4194" s="8"/>
      <c r="E4194" s="8"/>
      <c r="F4194" s="8"/>
      <c r="G4194" s="10" t="str">
        <f aca="false">IF($A4194="","",UPPER(SUBSTITUTE(SUBSTITUTE(SUBSTITUTE(SUBSTITUTE($A4194," ",""),"(주)",""),"주식회사",""),"㈜","")))</f>
        <v/>
      </c>
      <c r="H4194" s="10" t="str">
        <f aca="false">IF($B4194="","",SUBSTITUTE(SUBSTITUTE(SUBSTITUTE($B4194,"-","")," ",""),".",""))</f>
        <v/>
      </c>
      <c r="I4194" s="10" t="str">
        <f aca="false">IF($D4194="","",SUBSTITUTE(SUBSTITUTE(SUBSTITUTE($D4194,"-","")," ",""),".",""))</f>
        <v/>
      </c>
      <c r="J4194" s="10" t="str">
        <f aca="false">IF($E4194="","",UPPER(SUBSTITUTE($E4194," ","")))</f>
        <v/>
      </c>
      <c r="K4194" s="10" t="str">
        <f aca="false">IF($A4194="","",$G4194&amp;"|"&amp;$J4194)</f>
        <v/>
      </c>
      <c r="L4194" s="10" t="str">
        <f aca="false">IF($A4194="","",ROW()-2)</f>
        <v/>
      </c>
      <c r="M4194" s="10" t="str">
        <f aca="false">IF($A4194="","",ROW())</f>
        <v/>
      </c>
    </row>
    <row r="4195" customFormat="false" ht="15" hidden="false" customHeight="true" outlineLevel="0" collapsed="false">
      <c r="A4195" s="8"/>
      <c r="B4195" s="8"/>
      <c r="C4195" s="8"/>
      <c r="D4195" s="8"/>
      <c r="E4195" s="8"/>
      <c r="F4195" s="8"/>
      <c r="G4195" s="10" t="str">
        <f aca="false">IF($A4195="","",UPPER(SUBSTITUTE(SUBSTITUTE(SUBSTITUTE(SUBSTITUTE($A4195," ",""),"(주)",""),"주식회사",""),"㈜","")))</f>
        <v/>
      </c>
      <c r="H4195" s="10" t="str">
        <f aca="false">IF($B4195="","",SUBSTITUTE(SUBSTITUTE(SUBSTITUTE($B4195,"-","")," ",""),".",""))</f>
        <v/>
      </c>
      <c r="I4195" s="10" t="str">
        <f aca="false">IF($D4195="","",SUBSTITUTE(SUBSTITUTE(SUBSTITUTE($D4195,"-","")," ",""),".",""))</f>
        <v/>
      </c>
      <c r="J4195" s="10" t="str">
        <f aca="false">IF($E4195="","",UPPER(SUBSTITUTE($E4195," ","")))</f>
        <v/>
      </c>
      <c r="K4195" s="10" t="str">
        <f aca="false">IF($A4195="","",$G4195&amp;"|"&amp;$J4195)</f>
        <v/>
      </c>
      <c r="L4195" s="10" t="str">
        <f aca="false">IF($A4195="","",ROW()-2)</f>
        <v/>
      </c>
      <c r="M4195" s="10" t="str">
        <f aca="false">IF($A4195="","",ROW())</f>
        <v/>
      </c>
    </row>
    <row r="4196" customFormat="false" ht="15" hidden="false" customHeight="true" outlineLevel="0" collapsed="false">
      <c r="A4196" s="8"/>
      <c r="B4196" s="8"/>
      <c r="C4196" s="8"/>
      <c r="D4196" s="8"/>
      <c r="E4196" s="8"/>
      <c r="F4196" s="8"/>
      <c r="G4196" s="10" t="str">
        <f aca="false">IF($A4196="","",UPPER(SUBSTITUTE(SUBSTITUTE(SUBSTITUTE(SUBSTITUTE($A4196," ",""),"(주)",""),"주식회사",""),"㈜","")))</f>
        <v/>
      </c>
      <c r="H4196" s="10" t="str">
        <f aca="false">IF($B4196="","",SUBSTITUTE(SUBSTITUTE(SUBSTITUTE($B4196,"-","")," ",""),".",""))</f>
        <v/>
      </c>
      <c r="I4196" s="10" t="str">
        <f aca="false">IF($D4196="","",SUBSTITUTE(SUBSTITUTE(SUBSTITUTE($D4196,"-","")," ",""),".",""))</f>
        <v/>
      </c>
      <c r="J4196" s="10" t="str">
        <f aca="false">IF($E4196="","",UPPER(SUBSTITUTE($E4196," ","")))</f>
        <v/>
      </c>
      <c r="K4196" s="10" t="str">
        <f aca="false">IF($A4196="","",$G4196&amp;"|"&amp;$J4196)</f>
        <v/>
      </c>
      <c r="L4196" s="10" t="str">
        <f aca="false">IF($A4196="","",ROW()-2)</f>
        <v/>
      </c>
      <c r="M4196" s="10" t="str">
        <f aca="false">IF($A4196="","",ROW())</f>
        <v/>
      </c>
    </row>
    <row r="4197" customFormat="false" ht="15" hidden="false" customHeight="true" outlineLevel="0" collapsed="false">
      <c r="A4197" s="8"/>
      <c r="B4197" s="8"/>
      <c r="C4197" s="8"/>
      <c r="D4197" s="8"/>
      <c r="E4197" s="8"/>
      <c r="F4197" s="8"/>
      <c r="G4197" s="10" t="str">
        <f aca="false">IF($A4197="","",UPPER(SUBSTITUTE(SUBSTITUTE(SUBSTITUTE(SUBSTITUTE($A4197," ",""),"(주)",""),"주식회사",""),"㈜","")))</f>
        <v/>
      </c>
      <c r="H4197" s="10" t="str">
        <f aca="false">IF($B4197="","",SUBSTITUTE(SUBSTITUTE(SUBSTITUTE($B4197,"-","")," ",""),".",""))</f>
        <v/>
      </c>
      <c r="I4197" s="10" t="str">
        <f aca="false">IF($D4197="","",SUBSTITUTE(SUBSTITUTE(SUBSTITUTE($D4197,"-","")," ",""),".",""))</f>
        <v/>
      </c>
      <c r="J4197" s="10" t="str">
        <f aca="false">IF($E4197="","",UPPER(SUBSTITUTE($E4197," ","")))</f>
        <v/>
      </c>
      <c r="K4197" s="10" t="str">
        <f aca="false">IF($A4197="","",$G4197&amp;"|"&amp;$J4197)</f>
        <v/>
      </c>
      <c r="L4197" s="10" t="str">
        <f aca="false">IF($A4197="","",ROW()-2)</f>
        <v/>
      </c>
      <c r="M4197" s="10" t="str">
        <f aca="false">IF($A4197="","",ROW())</f>
        <v/>
      </c>
    </row>
    <row r="4198" customFormat="false" ht="15" hidden="false" customHeight="true" outlineLevel="0" collapsed="false">
      <c r="A4198" s="8"/>
      <c r="B4198" s="8"/>
      <c r="C4198" s="8"/>
      <c r="D4198" s="8"/>
      <c r="E4198" s="8"/>
      <c r="F4198" s="8"/>
      <c r="G4198" s="10" t="str">
        <f aca="false">IF($A4198="","",UPPER(SUBSTITUTE(SUBSTITUTE(SUBSTITUTE(SUBSTITUTE($A4198," ",""),"(주)",""),"주식회사",""),"㈜","")))</f>
        <v/>
      </c>
      <c r="H4198" s="10" t="str">
        <f aca="false">IF($B4198="","",SUBSTITUTE(SUBSTITUTE(SUBSTITUTE($B4198,"-","")," ",""),".",""))</f>
        <v/>
      </c>
      <c r="I4198" s="10" t="str">
        <f aca="false">IF($D4198="","",SUBSTITUTE(SUBSTITUTE(SUBSTITUTE($D4198,"-","")," ",""),".",""))</f>
        <v/>
      </c>
      <c r="J4198" s="10" t="str">
        <f aca="false">IF($E4198="","",UPPER(SUBSTITUTE($E4198," ","")))</f>
        <v/>
      </c>
      <c r="K4198" s="10" t="str">
        <f aca="false">IF($A4198="","",$G4198&amp;"|"&amp;$J4198)</f>
        <v/>
      </c>
      <c r="L4198" s="10" t="str">
        <f aca="false">IF($A4198="","",ROW()-2)</f>
        <v/>
      </c>
      <c r="M4198" s="10" t="str">
        <f aca="false">IF($A4198="","",ROW())</f>
        <v/>
      </c>
    </row>
    <row r="4199" customFormat="false" ht="15" hidden="false" customHeight="true" outlineLevel="0" collapsed="false">
      <c r="A4199" s="8"/>
      <c r="B4199" s="8"/>
      <c r="C4199" s="8"/>
      <c r="D4199" s="8"/>
      <c r="E4199" s="8"/>
      <c r="F4199" s="8"/>
      <c r="G4199" s="10" t="str">
        <f aca="false">IF($A4199="","",UPPER(SUBSTITUTE(SUBSTITUTE(SUBSTITUTE(SUBSTITUTE($A4199," ",""),"(주)",""),"주식회사",""),"㈜","")))</f>
        <v/>
      </c>
      <c r="H4199" s="10" t="str">
        <f aca="false">IF($B4199="","",SUBSTITUTE(SUBSTITUTE(SUBSTITUTE($B4199,"-","")," ",""),".",""))</f>
        <v/>
      </c>
      <c r="I4199" s="10" t="str">
        <f aca="false">IF($D4199="","",SUBSTITUTE(SUBSTITUTE(SUBSTITUTE($D4199,"-","")," ",""),".",""))</f>
        <v/>
      </c>
      <c r="J4199" s="10" t="str">
        <f aca="false">IF($E4199="","",UPPER(SUBSTITUTE($E4199," ","")))</f>
        <v/>
      </c>
      <c r="K4199" s="10" t="str">
        <f aca="false">IF($A4199="","",$G4199&amp;"|"&amp;$J4199)</f>
        <v/>
      </c>
      <c r="L4199" s="10" t="str">
        <f aca="false">IF($A4199="","",ROW()-2)</f>
        <v/>
      </c>
      <c r="M4199" s="10" t="str">
        <f aca="false">IF($A4199="","",ROW())</f>
        <v/>
      </c>
    </row>
    <row r="4200" customFormat="false" ht="15" hidden="false" customHeight="true" outlineLevel="0" collapsed="false">
      <c r="A4200" s="8"/>
      <c r="B4200" s="8"/>
      <c r="C4200" s="8"/>
      <c r="D4200" s="8"/>
      <c r="E4200" s="8"/>
      <c r="F4200" s="8"/>
      <c r="G4200" s="10" t="str">
        <f aca="false">IF($A4200="","",UPPER(SUBSTITUTE(SUBSTITUTE(SUBSTITUTE(SUBSTITUTE($A4200," ",""),"(주)",""),"주식회사",""),"㈜","")))</f>
        <v/>
      </c>
      <c r="H4200" s="10" t="str">
        <f aca="false">IF($B4200="","",SUBSTITUTE(SUBSTITUTE(SUBSTITUTE($B4200,"-","")," ",""),".",""))</f>
        <v/>
      </c>
      <c r="I4200" s="10" t="str">
        <f aca="false">IF($D4200="","",SUBSTITUTE(SUBSTITUTE(SUBSTITUTE($D4200,"-","")," ",""),".",""))</f>
        <v/>
      </c>
      <c r="J4200" s="10" t="str">
        <f aca="false">IF($E4200="","",UPPER(SUBSTITUTE($E4200," ","")))</f>
        <v/>
      </c>
      <c r="K4200" s="10" t="str">
        <f aca="false">IF($A4200="","",$G4200&amp;"|"&amp;$J4200)</f>
        <v/>
      </c>
      <c r="L4200" s="10" t="str">
        <f aca="false">IF($A4200="","",ROW()-2)</f>
        <v/>
      </c>
      <c r="M4200" s="10" t="str">
        <f aca="false">IF($A4200="","",ROW())</f>
        <v/>
      </c>
    </row>
    <row r="4201" customFormat="false" ht="15" hidden="false" customHeight="true" outlineLevel="0" collapsed="false">
      <c r="A4201" s="8"/>
      <c r="B4201" s="8"/>
      <c r="C4201" s="8"/>
      <c r="D4201" s="8"/>
      <c r="E4201" s="8"/>
      <c r="F4201" s="8"/>
      <c r="G4201" s="10" t="str">
        <f aca="false">IF($A4201="","",UPPER(SUBSTITUTE(SUBSTITUTE(SUBSTITUTE(SUBSTITUTE($A4201," ",""),"(주)",""),"주식회사",""),"㈜","")))</f>
        <v/>
      </c>
      <c r="H4201" s="10" t="str">
        <f aca="false">IF($B4201="","",SUBSTITUTE(SUBSTITUTE(SUBSTITUTE($B4201,"-","")," ",""),".",""))</f>
        <v/>
      </c>
      <c r="I4201" s="10" t="str">
        <f aca="false">IF($D4201="","",SUBSTITUTE(SUBSTITUTE(SUBSTITUTE($D4201,"-","")," ",""),".",""))</f>
        <v/>
      </c>
      <c r="J4201" s="10" t="str">
        <f aca="false">IF($E4201="","",UPPER(SUBSTITUTE($E4201," ","")))</f>
        <v/>
      </c>
      <c r="K4201" s="10" t="str">
        <f aca="false">IF($A4201="","",$G4201&amp;"|"&amp;$J4201)</f>
        <v/>
      </c>
      <c r="L4201" s="10" t="str">
        <f aca="false">IF($A4201="","",ROW()-2)</f>
        <v/>
      </c>
      <c r="M4201" s="10" t="str">
        <f aca="false">IF($A4201="","",ROW())</f>
        <v/>
      </c>
    </row>
    <row r="4202" customFormat="false" ht="15" hidden="false" customHeight="true" outlineLevel="0" collapsed="false">
      <c r="A4202" s="8"/>
      <c r="B4202" s="8"/>
      <c r="C4202" s="8"/>
      <c r="D4202" s="8"/>
      <c r="E4202" s="8"/>
      <c r="F4202" s="8"/>
      <c r="G4202" s="10" t="str">
        <f aca="false">IF($A4202="","",UPPER(SUBSTITUTE(SUBSTITUTE(SUBSTITUTE(SUBSTITUTE($A4202," ",""),"(주)",""),"주식회사",""),"㈜","")))</f>
        <v/>
      </c>
      <c r="H4202" s="10" t="str">
        <f aca="false">IF($B4202="","",SUBSTITUTE(SUBSTITUTE(SUBSTITUTE($B4202,"-","")," ",""),".",""))</f>
        <v/>
      </c>
      <c r="I4202" s="10" t="str">
        <f aca="false">IF($D4202="","",SUBSTITUTE(SUBSTITUTE(SUBSTITUTE($D4202,"-","")," ",""),".",""))</f>
        <v/>
      </c>
      <c r="J4202" s="10" t="str">
        <f aca="false">IF($E4202="","",UPPER(SUBSTITUTE($E4202," ","")))</f>
        <v/>
      </c>
      <c r="K4202" s="10" t="str">
        <f aca="false">IF($A4202="","",$G4202&amp;"|"&amp;$J4202)</f>
        <v/>
      </c>
      <c r="L4202" s="10" t="str">
        <f aca="false">IF($A4202="","",ROW()-2)</f>
        <v/>
      </c>
      <c r="M4202" s="10" t="str">
        <f aca="false">IF($A4202="","",ROW())</f>
        <v/>
      </c>
    </row>
    <row r="4203" customFormat="false" ht="15" hidden="false" customHeight="true" outlineLevel="0" collapsed="false">
      <c r="A4203" s="8"/>
      <c r="B4203" s="8"/>
      <c r="C4203" s="8"/>
      <c r="D4203" s="8"/>
      <c r="E4203" s="8"/>
      <c r="F4203" s="8"/>
      <c r="G4203" s="10" t="str">
        <f aca="false">IF($A4203="","",UPPER(SUBSTITUTE(SUBSTITUTE(SUBSTITUTE(SUBSTITUTE($A4203," ",""),"(주)",""),"주식회사",""),"㈜","")))</f>
        <v/>
      </c>
      <c r="H4203" s="10" t="str">
        <f aca="false">IF($B4203="","",SUBSTITUTE(SUBSTITUTE(SUBSTITUTE($B4203,"-","")," ",""),".",""))</f>
        <v/>
      </c>
      <c r="I4203" s="10" t="str">
        <f aca="false">IF($D4203="","",SUBSTITUTE(SUBSTITUTE(SUBSTITUTE($D4203,"-","")," ",""),".",""))</f>
        <v/>
      </c>
      <c r="J4203" s="10" t="str">
        <f aca="false">IF($E4203="","",UPPER(SUBSTITUTE($E4203," ","")))</f>
        <v/>
      </c>
      <c r="K4203" s="10" t="str">
        <f aca="false">IF($A4203="","",$G4203&amp;"|"&amp;$J4203)</f>
        <v/>
      </c>
      <c r="L4203" s="10" t="str">
        <f aca="false">IF($A4203="","",ROW()-2)</f>
        <v/>
      </c>
      <c r="M4203" s="10" t="str">
        <f aca="false">IF($A4203="","",ROW())</f>
        <v/>
      </c>
    </row>
    <row r="4204" customFormat="false" ht="15" hidden="false" customHeight="true" outlineLevel="0" collapsed="false">
      <c r="A4204" s="8"/>
      <c r="B4204" s="8"/>
      <c r="C4204" s="8"/>
      <c r="D4204" s="8"/>
      <c r="E4204" s="8"/>
      <c r="F4204" s="8"/>
      <c r="G4204" s="10" t="str">
        <f aca="false">IF($A4204="","",UPPER(SUBSTITUTE(SUBSTITUTE(SUBSTITUTE(SUBSTITUTE($A4204," ",""),"(주)",""),"주식회사",""),"㈜","")))</f>
        <v/>
      </c>
      <c r="H4204" s="10" t="str">
        <f aca="false">IF($B4204="","",SUBSTITUTE(SUBSTITUTE(SUBSTITUTE($B4204,"-","")," ",""),".",""))</f>
        <v/>
      </c>
      <c r="I4204" s="10" t="str">
        <f aca="false">IF($D4204="","",SUBSTITUTE(SUBSTITUTE(SUBSTITUTE($D4204,"-","")," ",""),".",""))</f>
        <v/>
      </c>
      <c r="J4204" s="10" t="str">
        <f aca="false">IF($E4204="","",UPPER(SUBSTITUTE($E4204," ","")))</f>
        <v/>
      </c>
      <c r="K4204" s="10" t="str">
        <f aca="false">IF($A4204="","",$G4204&amp;"|"&amp;$J4204)</f>
        <v/>
      </c>
      <c r="L4204" s="10" t="str">
        <f aca="false">IF($A4204="","",ROW()-2)</f>
        <v/>
      </c>
      <c r="M4204" s="10" t="str">
        <f aca="false">IF($A4204="","",ROW())</f>
        <v/>
      </c>
    </row>
    <row r="4205" customFormat="false" ht="15" hidden="false" customHeight="true" outlineLevel="0" collapsed="false">
      <c r="A4205" s="8"/>
      <c r="B4205" s="8"/>
      <c r="C4205" s="8"/>
      <c r="D4205" s="8"/>
      <c r="E4205" s="8"/>
      <c r="F4205" s="8"/>
      <c r="G4205" s="10" t="str">
        <f aca="false">IF($A4205="","",UPPER(SUBSTITUTE(SUBSTITUTE(SUBSTITUTE(SUBSTITUTE($A4205," ",""),"(주)",""),"주식회사",""),"㈜","")))</f>
        <v/>
      </c>
      <c r="H4205" s="10" t="str">
        <f aca="false">IF($B4205="","",SUBSTITUTE(SUBSTITUTE(SUBSTITUTE($B4205,"-","")," ",""),".",""))</f>
        <v/>
      </c>
      <c r="I4205" s="10" t="str">
        <f aca="false">IF($D4205="","",SUBSTITUTE(SUBSTITUTE(SUBSTITUTE($D4205,"-","")," ",""),".",""))</f>
        <v/>
      </c>
      <c r="J4205" s="10" t="str">
        <f aca="false">IF($E4205="","",UPPER(SUBSTITUTE($E4205," ","")))</f>
        <v/>
      </c>
      <c r="K4205" s="10" t="str">
        <f aca="false">IF($A4205="","",$G4205&amp;"|"&amp;$J4205)</f>
        <v/>
      </c>
      <c r="L4205" s="10" t="str">
        <f aca="false">IF($A4205="","",ROW()-2)</f>
        <v/>
      </c>
      <c r="M4205" s="10" t="str">
        <f aca="false">IF($A4205="","",ROW())</f>
        <v/>
      </c>
    </row>
    <row r="4206" customFormat="false" ht="15" hidden="false" customHeight="true" outlineLevel="0" collapsed="false">
      <c r="A4206" s="8"/>
      <c r="B4206" s="8"/>
      <c r="C4206" s="8"/>
      <c r="D4206" s="8"/>
      <c r="E4206" s="8"/>
      <c r="F4206" s="8"/>
      <c r="G4206" s="10" t="str">
        <f aca="false">IF($A4206="","",UPPER(SUBSTITUTE(SUBSTITUTE(SUBSTITUTE(SUBSTITUTE($A4206," ",""),"(주)",""),"주식회사",""),"㈜","")))</f>
        <v/>
      </c>
      <c r="H4206" s="10" t="str">
        <f aca="false">IF($B4206="","",SUBSTITUTE(SUBSTITUTE(SUBSTITUTE($B4206,"-","")," ",""),".",""))</f>
        <v/>
      </c>
      <c r="I4206" s="10" t="str">
        <f aca="false">IF($D4206="","",SUBSTITUTE(SUBSTITUTE(SUBSTITUTE($D4206,"-","")," ",""),".",""))</f>
        <v/>
      </c>
      <c r="J4206" s="10" t="str">
        <f aca="false">IF($E4206="","",UPPER(SUBSTITUTE($E4206," ","")))</f>
        <v/>
      </c>
      <c r="K4206" s="10" t="str">
        <f aca="false">IF($A4206="","",$G4206&amp;"|"&amp;$J4206)</f>
        <v/>
      </c>
      <c r="L4206" s="10" t="str">
        <f aca="false">IF($A4206="","",ROW()-2)</f>
        <v/>
      </c>
      <c r="M4206" s="10" t="str">
        <f aca="false">IF($A4206="","",ROW())</f>
        <v/>
      </c>
    </row>
    <row r="4207" customFormat="false" ht="15" hidden="false" customHeight="true" outlineLevel="0" collapsed="false">
      <c r="A4207" s="8"/>
      <c r="B4207" s="8"/>
      <c r="C4207" s="8"/>
      <c r="D4207" s="8"/>
      <c r="E4207" s="8"/>
      <c r="F4207" s="8"/>
      <c r="G4207" s="10" t="str">
        <f aca="false">IF($A4207="","",UPPER(SUBSTITUTE(SUBSTITUTE(SUBSTITUTE(SUBSTITUTE($A4207," ",""),"(주)",""),"주식회사",""),"㈜","")))</f>
        <v/>
      </c>
      <c r="H4207" s="10" t="str">
        <f aca="false">IF($B4207="","",SUBSTITUTE(SUBSTITUTE(SUBSTITUTE($B4207,"-","")," ",""),".",""))</f>
        <v/>
      </c>
      <c r="I4207" s="10" t="str">
        <f aca="false">IF($D4207="","",SUBSTITUTE(SUBSTITUTE(SUBSTITUTE($D4207,"-","")," ",""),".",""))</f>
        <v/>
      </c>
      <c r="J4207" s="10" t="str">
        <f aca="false">IF($E4207="","",UPPER(SUBSTITUTE($E4207," ","")))</f>
        <v/>
      </c>
      <c r="K4207" s="10" t="str">
        <f aca="false">IF($A4207="","",$G4207&amp;"|"&amp;$J4207)</f>
        <v/>
      </c>
      <c r="L4207" s="10" t="str">
        <f aca="false">IF($A4207="","",ROW()-2)</f>
        <v/>
      </c>
      <c r="M4207" s="10" t="str">
        <f aca="false">IF($A4207="","",ROW())</f>
        <v/>
      </c>
    </row>
    <row r="4208" customFormat="false" ht="15" hidden="false" customHeight="true" outlineLevel="0" collapsed="false">
      <c r="A4208" s="8"/>
      <c r="B4208" s="8"/>
      <c r="C4208" s="8"/>
      <c r="D4208" s="8"/>
      <c r="E4208" s="8"/>
      <c r="F4208" s="8"/>
      <c r="G4208" s="10" t="str">
        <f aca="false">IF($A4208="","",UPPER(SUBSTITUTE(SUBSTITUTE(SUBSTITUTE(SUBSTITUTE($A4208," ",""),"(주)",""),"주식회사",""),"㈜","")))</f>
        <v/>
      </c>
      <c r="H4208" s="10" t="str">
        <f aca="false">IF($B4208="","",SUBSTITUTE(SUBSTITUTE(SUBSTITUTE($B4208,"-","")," ",""),".",""))</f>
        <v/>
      </c>
      <c r="I4208" s="10" t="str">
        <f aca="false">IF($D4208="","",SUBSTITUTE(SUBSTITUTE(SUBSTITUTE($D4208,"-","")," ",""),".",""))</f>
        <v/>
      </c>
      <c r="J4208" s="10" t="str">
        <f aca="false">IF($E4208="","",UPPER(SUBSTITUTE($E4208," ","")))</f>
        <v/>
      </c>
      <c r="K4208" s="10" t="str">
        <f aca="false">IF($A4208="","",$G4208&amp;"|"&amp;$J4208)</f>
        <v/>
      </c>
      <c r="L4208" s="10" t="str">
        <f aca="false">IF($A4208="","",ROW()-2)</f>
        <v/>
      </c>
      <c r="M4208" s="10" t="str">
        <f aca="false">IF($A4208="","",ROW())</f>
        <v/>
      </c>
    </row>
    <row r="4209" customFormat="false" ht="15" hidden="false" customHeight="true" outlineLevel="0" collapsed="false">
      <c r="A4209" s="8"/>
      <c r="B4209" s="8"/>
      <c r="C4209" s="8"/>
      <c r="D4209" s="8"/>
      <c r="E4209" s="8"/>
      <c r="F4209" s="8"/>
      <c r="G4209" s="10" t="str">
        <f aca="false">IF($A4209="","",UPPER(SUBSTITUTE(SUBSTITUTE(SUBSTITUTE(SUBSTITUTE($A4209," ",""),"(주)",""),"주식회사",""),"㈜","")))</f>
        <v/>
      </c>
      <c r="H4209" s="10" t="str">
        <f aca="false">IF($B4209="","",SUBSTITUTE(SUBSTITUTE(SUBSTITUTE($B4209,"-","")," ",""),".",""))</f>
        <v/>
      </c>
      <c r="I4209" s="10" t="str">
        <f aca="false">IF($D4209="","",SUBSTITUTE(SUBSTITUTE(SUBSTITUTE($D4209,"-","")," ",""),".",""))</f>
        <v/>
      </c>
      <c r="J4209" s="10" t="str">
        <f aca="false">IF($E4209="","",UPPER(SUBSTITUTE($E4209," ","")))</f>
        <v/>
      </c>
      <c r="K4209" s="10" t="str">
        <f aca="false">IF($A4209="","",$G4209&amp;"|"&amp;$J4209)</f>
        <v/>
      </c>
      <c r="L4209" s="10" t="str">
        <f aca="false">IF($A4209="","",ROW()-2)</f>
        <v/>
      </c>
      <c r="M4209" s="10" t="str">
        <f aca="false">IF($A4209="","",ROW())</f>
        <v/>
      </c>
    </row>
    <row r="4210" customFormat="false" ht="15" hidden="false" customHeight="true" outlineLevel="0" collapsed="false">
      <c r="A4210" s="8"/>
      <c r="B4210" s="8"/>
      <c r="C4210" s="8"/>
      <c r="D4210" s="8"/>
      <c r="E4210" s="8"/>
      <c r="F4210" s="8"/>
      <c r="G4210" s="10" t="str">
        <f aca="false">IF($A4210="","",UPPER(SUBSTITUTE(SUBSTITUTE(SUBSTITUTE(SUBSTITUTE($A4210," ",""),"(주)",""),"주식회사",""),"㈜","")))</f>
        <v/>
      </c>
      <c r="H4210" s="10" t="str">
        <f aca="false">IF($B4210="","",SUBSTITUTE(SUBSTITUTE(SUBSTITUTE($B4210,"-","")," ",""),".",""))</f>
        <v/>
      </c>
      <c r="I4210" s="10" t="str">
        <f aca="false">IF($D4210="","",SUBSTITUTE(SUBSTITUTE(SUBSTITUTE($D4210,"-","")," ",""),".",""))</f>
        <v/>
      </c>
      <c r="J4210" s="10" t="str">
        <f aca="false">IF($E4210="","",UPPER(SUBSTITUTE($E4210," ","")))</f>
        <v/>
      </c>
      <c r="K4210" s="10" t="str">
        <f aca="false">IF($A4210="","",$G4210&amp;"|"&amp;$J4210)</f>
        <v/>
      </c>
      <c r="L4210" s="10" t="str">
        <f aca="false">IF($A4210="","",ROW()-2)</f>
        <v/>
      </c>
      <c r="M4210" s="10" t="str">
        <f aca="false">IF($A4210="","",ROW())</f>
        <v/>
      </c>
    </row>
    <row r="4211" customFormat="false" ht="15" hidden="false" customHeight="true" outlineLevel="0" collapsed="false">
      <c r="A4211" s="8"/>
      <c r="B4211" s="8"/>
      <c r="C4211" s="8"/>
      <c r="D4211" s="8"/>
      <c r="E4211" s="8"/>
      <c r="F4211" s="8"/>
      <c r="G4211" s="10" t="str">
        <f aca="false">IF($A4211="","",UPPER(SUBSTITUTE(SUBSTITUTE(SUBSTITUTE(SUBSTITUTE($A4211," ",""),"(주)",""),"주식회사",""),"㈜","")))</f>
        <v/>
      </c>
      <c r="H4211" s="10" t="str">
        <f aca="false">IF($B4211="","",SUBSTITUTE(SUBSTITUTE(SUBSTITUTE($B4211,"-","")," ",""),".",""))</f>
        <v/>
      </c>
      <c r="I4211" s="10" t="str">
        <f aca="false">IF($D4211="","",SUBSTITUTE(SUBSTITUTE(SUBSTITUTE($D4211,"-","")," ",""),".",""))</f>
        <v/>
      </c>
      <c r="J4211" s="10" t="str">
        <f aca="false">IF($E4211="","",UPPER(SUBSTITUTE($E4211," ","")))</f>
        <v/>
      </c>
      <c r="K4211" s="10" t="str">
        <f aca="false">IF($A4211="","",$G4211&amp;"|"&amp;$J4211)</f>
        <v/>
      </c>
      <c r="L4211" s="10" t="str">
        <f aca="false">IF($A4211="","",ROW()-2)</f>
        <v/>
      </c>
      <c r="M4211" s="10" t="str">
        <f aca="false">IF($A4211="","",ROW())</f>
        <v/>
      </c>
    </row>
    <row r="4212" customFormat="false" ht="15" hidden="false" customHeight="true" outlineLevel="0" collapsed="false">
      <c r="A4212" s="8"/>
      <c r="B4212" s="8"/>
      <c r="C4212" s="8"/>
      <c r="D4212" s="8"/>
      <c r="E4212" s="8"/>
      <c r="F4212" s="8"/>
      <c r="G4212" s="10" t="str">
        <f aca="false">IF($A4212="","",UPPER(SUBSTITUTE(SUBSTITUTE(SUBSTITUTE(SUBSTITUTE($A4212," ",""),"(주)",""),"주식회사",""),"㈜","")))</f>
        <v/>
      </c>
      <c r="H4212" s="10" t="str">
        <f aca="false">IF($B4212="","",SUBSTITUTE(SUBSTITUTE(SUBSTITUTE($B4212,"-","")," ",""),".",""))</f>
        <v/>
      </c>
      <c r="I4212" s="10" t="str">
        <f aca="false">IF($D4212="","",SUBSTITUTE(SUBSTITUTE(SUBSTITUTE($D4212,"-","")," ",""),".",""))</f>
        <v/>
      </c>
      <c r="J4212" s="10" t="str">
        <f aca="false">IF($E4212="","",UPPER(SUBSTITUTE($E4212," ","")))</f>
        <v/>
      </c>
      <c r="K4212" s="10" t="str">
        <f aca="false">IF($A4212="","",$G4212&amp;"|"&amp;$J4212)</f>
        <v/>
      </c>
      <c r="L4212" s="10" t="str">
        <f aca="false">IF($A4212="","",ROW()-2)</f>
        <v/>
      </c>
      <c r="M4212" s="10" t="str">
        <f aca="false">IF($A4212="","",ROW())</f>
        <v/>
      </c>
    </row>
    <row r="4213" customFormat="false" ht="15" hidden="false" customHeight="true" outlineLevel="0" collapsed="false">
      <c r="A4213" s="8"/>
      <c r="B4213" s="8"/>
      <c r="C4213" s="8"/>
      <c r="D4213" s="8"/>
      <c r="E4213" s="8"/>
      <c r="F4213" s="8"/>
      <c r="G4213" s="10" t="str">
        <f aca="false">IF($A4213="","",UPPER(SUBSTITUTE(SUBSTITUTE(SUBSTITUTE(SUBSTITUTE($A4213," ",""),"(주)",""),"주식회사",""),"㈜","")))</f>
        <v/>
      </c>
      <c r="H4213" s="10" t="str">
        <f aca="false">IF($B4213="","",SUBSTITUTE(SUBSTITUTE(SUBSTITUTE($B4213,"-","")," ",""),".",""))</f>
        <v/>
      </c>
      <c r="I4213" s="10" t="str">
        <f aca="false">IF($D4213="","",SUBSTITUTE(SUBSTITUTE(SUBSTITUTE($D4213,"-","")," ",""),".",""))</f>
        <v/>
      </c>
      <c r="J4213" s="10" t="str">
        <f aca="false">IF($E4213="","",UPPER(SUBSTITUTE($E4213," ","")))</f>
        <v/>
      </c>
      <c r="K4213" s="10" t="str">
        <f aca="false">IF($A4213="","",$G4213&amp;"|"&amp;$J4213)</f>
        <v/>
      </c>
      <c r="L4213" s="10" t="str">
        <f aca="false">IF($A4213="","",ROW()-2)</f>
        <v/>
      </c>
      <c r="M4213" s="10" t="str">
        <f aca="false">IF($A4213="","",ROW())</f>
        <v/>
      </c>
    </row>
    <row r="4214" customFormat="false" ht="15" hidden="false" customHeight="true" outlineLevel="0" collapsed="false">
      <c r="A4214" s="8"/>
      <c r="B4214" s="8"/>
      <c r="C4214" s="8"/>
      <c r="D4214" s="8"/>
      <c r="E4214" s="8"/>
      <c r="F4214" s="8"/>
      <c r="G4214" s="10" t="str">
        <f aca="false">IF($A4214="","",UPPER(SUBSTITUTE(SUBSTITUTE(SUBSTITUTE(SUBSTITUTE($A4214," ",""),"(주)",""),"주식회사",""),"㈜","")))</f>
        <v/>
      </c>
      <c r="H4214" s="10" t="str">
        <f aca="false">IF($B4214="","",SUBSTITUTE(SUBSTITUTE(SUBSTITUTE($B4214,"-","")," ",""),".",""))</f>
        <v/>
      </c>
      <c r="I4214" s="10" t="str">
        <f aca="false">IF($D4214="","",SUBSTITUTE(SUBSTITUTE(SUBSTITUTE($D4214,"-","")," ",""),".",""))</f>
        <v/>
      </c>
      <c r="J4214" s="10" t="str">
        <f aca="false">IF($E4214="","",UPPER(SUBSTITUTE($E4214," ","")))</f>
        <v/>
      </c>
      <c r="K4214" s="10" t="str">
        <f aca="false">IF($A4214="","",$G4214&amp;"|"&amp;$J4214)</f>
        <v/>
      </c>
      <c r="L4214" s="10" t="str">
        <f aca="false">IF($A4214="","",ROW()-2)</f>
        <v/>
      </c>
      <c r="M4214" s="10" t="str">
        <f aca="false">IF($A4214="","",ROW())</f>
        <v/>
      </c>
    </row>
    <row r="4215" customFormat="false" ht="15" hidden="false" customHeight="true" outlineLevel="0" collapsed="false">
      <c r="A4215" s="8"/>
      <c r="B4215" s="8"/>
      <c r="C4215" s="8"/>
      <c r="D4215" s="8"/>
      <c r="E4215" s="8"/>
      <c r="F4215" s="8"/>
      <c r="G4215" s="10" t="str">
        <f aca="false">IF($A4215="","",UPPER(SUBSTITUTE(SUBSTITUTE(SUBSTITUTE(SUBSTITUTE($A4215," ",""),"(주)",""),"주식회사",""),"㈜","")))</f>
        <v/>
      </c>
      <c r="H4215" s="10" t="str">
        <f aca="false">IF($B4215="","",SUBSTITUTE(SUBSTITUTE(SUBSTITUTE($B4215,"-","")," ",""),".",""))</f>
        <v/>
      </c>
      <c r="I4215" s="10" t="str">
        <f aca="false">IF($D4215="","",SUBSTITUTE(SUBSTITUTE(SUBSTITUTE($D4215,"-","")," ",""),".",""))</f>
        <v/>
      </c>
      <c r="J4215" s="10" t="str">
        <f aca="false">IF($E4215="","",UPPER(SUBSTITUTE($E4215," ","")))</f>
        <v/>
      </c>
      <c r="K4215" s="10" t="str">
        <f aca="false">IF($A4215="","",$G4215&amp;"|"&amp;$J4215)</f>
        <v/>
      </c>
      <c r="L4215" s="10" t="str">
        <f aca="false">IF($A4215="","",ROW()-2)</f>
        <v/>
      </c>
      <c r="M4215" s="10" t="str">
        <f aca="false">IF($A4215="","",ROW())</f>
        <v/>
      </c>
    </row>
    <row r="4216" customFormat="false" ht="15" hidden="false" customHeight="true" outlineLevel="0" collapsed="false">
      <c r="A4216" s="8"/>
      <c r="B4216" s="8"/>
      <c r="C4216" s="8"/>
      <c r="D4216" s="8"/>
      <c r="E4216" s="8"/>
      <c r="F4216" s="8"/>
      <c r="G4216" s="10" t="str">
        <f aca="false">IF($A4216="","",UPPER(SUBSTITUTE(SUBSTITUTE(SUBSTITUTE(SUBSTITUTE($A4216," ",""),"(주)",""),"주식회사",""),"㈜","")))</f>
        <v/>
      </c>
      <c r="H4216" s="10" t="str">
        <f aca="false">IF($B4216="","",SUBSTITUTE(SUBSTITUTE(SUBSTITUTE($B4216,"-","")," ",""),".",""))</f>
        <v/>
      </c>
      <c r="I4216" s="10" t="str">
        <f aca="false">IF($D4216="","",SUBSTITUTE(SUBSTITUTE(SUBSTITUTE($D4216,"-","")," ",""),".",""))</f>
        <v/>
      </c>
      <c r="J4216" s="10" t="str">
        <f aca="false">IF($E4216="","",UPPER(SUBSTITUTE($E4216," ","")))</f>
        <v/>
      </c>
      <c r="K4216" s="10" t="str">
        <f aca="false">IF($A4216="","",$G4216&amp;"|"&amp;$J4216)</f>
        <v/>
      </c>
      <c r="L4216" s="10" t="str">
        <f aca="false">IF($A4216="","",ROW()-2)</f>
        <v/>
      </c>
      <c r="M4216" s="10" t="str">
        <f aca="false">IF($A4216="","",ROW())</f>
        <v/>
      </c>
    </row>
    <row r="4217" customFormat="false" ht="15" hidden="false" customHeight="true" outlineLevel="0" collapsed="false">
      <c r="A4217" s="8"/>
      <c r="B4217" s="8"/>
      <c r="C4217" s="8"/>
      <c r="D4217" s="8"/>
      <c r="E4217" s="8"/>
      <c r="F4217" s="8"/>
      <c r="G4217" s="10" t="str">
        <f aca="false">IF($A4217="","",UPPER(SUBSTITUTE(SUBSTITUTE(SUBSTITUTE(SUBSTITUTE($A4217," ",""),"(주)",""),"주식회사",""),"㈜","")))</f>
        <v/>
      </c>
      <c r="H4217" s="10" t="str">
        <f aca="false">IF($B4217="","",SUBSTITUTE(SUBSTITUTE(SUBSTITUTE($B4217,"-","")," ",""),".",""))</f>
        <v/>
      </c>
      <c r="I4217" s="10" t="str">
        <f aca="false">IF($D4217="","",SUBSTITUTE(SUBSTITUTE(SUBSTITUTE($D4217,"-","")," ",""),".",""))</f>
        <v/>
      </c>
      <c r="J4217" s="10" t="str">
        <f aca="false">IF($E4217="","",UPPER(SUBSTITUTE($E4217," ","")))</f>
        <v/>
      </c>
      <c r="K4217" s="10" t="str">
        <f aca="false">IF($A4217="","",$G4217&amp;"|"&amp;$J4217)</f>
        <v/>
      </c>
      <c r="L4217" s="10" t="str">
        <f aca="false">IF($A4217="","",ROW()-2)</f>
        <v/>
      </c>
      <c r="M4217" s="10" t="str">
        <f aca="false">IF($A4217="","",ROW())</f>
        <v/>
      </c>
    </row>
    <row r="4218" customFormat="false" ht="15" hidden="false" customHeight="true" outlineLevel="0" collapsed="false">
      <c r="A4218" s="8"/>
      <c r="B4218" s="8"/>
      <c r="C4218" s="8"/>
      <c r="D4218" s="8"/>
      <c r="E4218" s="8"/>
      <c r="F4218" s="8"/>
      <c r="G4218" s="10" t="str">
        <f aca="false">IF($A4218="","",UPPER(SUBSTITUTE(SUBSTITUTE(SUBSTITUTE(SUBSTITUTE($A4218," ",""),"(주)",""),"주식회사",""),"㈜","")))</f>
        <v/>
      </c>
      <c r="H4218" s="10" t="str">
        <f aca="false">IF($B4218="","",SUBSTITUTE(SUBSTITUTE(SUBSTITUTE($B4218,"-","")," ",""),".",""))</f>
        <v/>
      </c>
      <c r="I4218" s="10" t="str">
        <f aca="false">IF($D4218="","",SUBSTITUTE(SUBSTITUTE(SUBSTITUTE($D4218,"-","")," ",""),".",""))</f>
        <v/>
      </c>
      <c r="J4218" s="10" t="str">
        <f aca="false">IF($E4218="","",UPPER(SUBSTITUTE($E4218," ","")))</f>
        <v/>
      </c>
      <c r="K4218" s="10" t="str">
        <f aca="false">IF($A4218="","",$G4218&amp;"|"&amp;$J4218)</f>
        <v/>
      </c>
      <c r="L4218" s="10" t="str">
        <f aca="false">IF($A4218="","",ROW()-2)</f>
        <v/>
      </c>
      <c r="M4218" s="10" t="str">
        <f aca="false">IF($A4218="","",ROW())</f>
        <v/>
      </c>
    </row>
    <row r="4219" customFormat="false" ht="15" hidden="false" customHeight="true" outlineLevel="0" collapsed="false">
      <c r="A4219" s="8"/>
      <c r="B4219" s="8"/>
      <c r="C4219" s="8"/>
      <c r="D4219" s="8"/>
      <c r="E4219" s="8"/>
      <c r="F4219" s="8"/>
      <c r="G4219" s="10" t="str">
        <f aca="false">IF($A4219="","",UPPER(SUBSTITUTE(SUBSTITUTE(SUBSTITUTE(SUBSTITUTE($A4219," ",""),"(주)",""),"주식회사",""),"㈜","")))</f>
        <v/>
      </c>
      <c r="H4219" s="10" t="str">
        <f aca="false">IF($B4219="","",SUBSTITUTE(SUBSTITUTE(SUBSTITUTE($B4219,"-","")," ",""),".",""))</f>
        <v/>
      </c>
      <c r="I4219" s="10" t="str">
        <f aca="false">IF($D4219="","",SUBSTITUTE(SUBSTITUTE(SUBSTITUTE($D4219,"-","")," ",""),".",""))</f>
        <v/>
      </c>
      <c r="J4219" s="10" t="str">
        <f aca="false">IF($E4219="","",UPPER(SUBSTITUTE($E4219," ","")))</f>
        <v/>
      </c>
      <c r="K4219" s="10" t="str">
        <f aca="false">IF($A4219="","",$G4219&amp;"|"&amp;$J4219)</f>
        <v/>
      </c>
      <c r="L4219" s="10" t="str">
        <f aca="false">IF($A4219="","",ROW()-2)</f>
        <v/>
      </c>
      <c r="M4219" s="10" t="str">
        <f aca="false">IF($A4219="","",ROW())</f>
        <v/>
      </c>
    </row>
    <row r="4220" customFormat="false" ht="15" hidden="false" customHeight="true" outlineLevel="0" collapsed="false">
      <c r="A4220" s="8"/>
      <c r="B4220" s="8"/>
      <c r="C4220" s="8"/>
      <c r="D4220" s="8"/>
      <c r="E4220" s="8"/>
      <c r="F4220" s="8"/>
      <c r="G4220" s="10" t="str">
        <f aca="false">IF($A4220="","",UPPER(SUBSTITUTE(SUBSTITUTE(SUBSTITUTE(SUBSTITUTE($A4220," ",""),"(주)",""),"주식회사",""),"㈜","")))</f>
        <v/>
      </c>
      <c r="H4220" s="10" t="str">
        <f aca="false">IF($B4220="","",SUBSTITUTE(SUBSTITUTE(SUBSTITUTE($B4220,"-","")," ",""),".",""))</f>
        <v/>
      </c>
      <c r="I4220" s="10" t="str">
        <f aca="false">IF($D4220="","",SUBSTITUTE(SUBSTITUTE(SUBSTITUTE($D4220,"-","")," ",""),".",""))</f>
        <v/>
      </c>
      <c r="J4220" s="10" t="str">
        <f aca="false">IF($E4220="","",UPPER(SUBSTITUTE($E4220," ","")))</f>
        <v/>
      </c>
      <c r="K4220" s="10" t="str">
        <f aca="false">IF($A4220="","",$G4220&amp;"|"&amp;$J4220)</f>
        <v/>
      </c>
      <c r="L4220" s="10" t="str">
        <f aca="false">IF($A4220="","",ROW()-2)</f>
        <v/>
      </c>
      <c r="M4220" s="10" t="str">
        <f aca="false">IF($A4220="","",ROW())</f>
        <v/>
      </c>
    </row>
    <row r="4221" customFormat="false" ht="15" hidden="false" customHeight="true" outlineLevel="0" collapsed="false">
      <c r="A4221" s="8"/>
      <c r="B4221" s="8"/>
      <c r="C4221" s="8"/>
      <c r="D4221" s="8"/>
      <c r="E4221" s="8"/>
      <c r="F4221" s="8"/>
      <c r="G4221" s="10" t="str">
        <f aca="false">IF($A4221="","",UPPER(SUBSTITUTE(SUBSTITUTE(SUBSTITUTE(SUBSTITUTE($A4221," ",""),"(주)",""),"주식회사",""),"㈜","")))</f>
        <v/>
      </c>
      <c r="H4221" s="10" t="str">
        <f aca="false">IF($B4221="","",SUBSTITUTE(SUBSTITUTE(SUBSTITUTE($B4221,"-","")," ",""),".",""))</f>
        <v/>
      </c>
      <c r="I4221" s="10" t="str">
        <f aca="false">IF($D4221="","",SUBSTITUTE(SUBSTITUTE(SUBSTITUTE($D4221,"-","")," ",""),".",""))</f>
        <v/>
      </c>
      <c r="J4221" s="10" t="str">
        <f aca="false">IF($E4221="","",UPPER(SUBSTITUTE($E4221," ","")))</f>
        <v/>
      </c>
      <c r="K4221" s="10" t="str">
        <f aca="false">IF($A4221="","",$G4221&amp;"|"&amp;$J4221)</f>
        <v/>
      </c>
      <c r="L4221" s="10" t="str">
        <f aca="false">IF($A4221="","",ROW()-2)</f>
        <v/>
      </c>
      <c r="M4221" s="10" t="str">
        <f aca="false">IF($A4221="","",ROW())</f>
        <v/>
      </c>
    </row>
    <row r="4222" customFormat="false" ht="15" hidden="false" customHeight="true" outlineLevel="0" collapsed="false">
      <c r="A4222" s="8"/>
      <c r="B4222" s="8"/>
      <c r="C4222" s="8"/>
      <c r="D4222" s="8"/>
      <c r="E4222" s="8"/>
      <c r="F4222" s="8"/>
      <c r="G4222" s="10" t="str">
        <f aca="false">IF($A4222="","",UPPER(SUBSTITUTE(SUBSTITUTE(SUBSTITUTE(SUBSTITUTE($A4222," ",""),"(주)",""),"주식회사",""),"㈜","")))</f>
        <v/>
      </c>
      <c r="H4222" s="10" t="str">
        <f aca="false">IF($B4222="","",SUBSTITUTE(SUBSTITUTE(SUBSTITUTE($B4222,"-","")," ",""),".",""))</f>
        <v/>
      </c>
      <c r="I4222" s="10" t="str">
        <f aca="false">IF($D4222="","",SUBSTITUTE(SUBSTITUTE(SUBSTITUTE($D4222,"-","")," ",""),".",""))</f>
        <v/>
      </c>
      <c r="J4222" s="10" t="str">
        <f aca="false">IF($E4222="","",UPPER(SUBSTITUTE($E4222," ","")))</f>
        <v/>
      </c>
      <c r="K4222" s="10" t="str">
        <f aca="false">IF($A4222="","",$G4222&amp;"|"&amp;$J4222)</f>
        <v/>
      </c>
      <c r="L4222" s="10" t="str">
        <f aca="false">IF($A4222="","",ROW()-2)</f>
        <v/>
      </c>
      <c r="M4222" s="10" t="str">
        <f aca="false">IF($A4222="","",ROW())</f>
        <v/>
      </c>
    </row>
    <row r="4223" customFormat="false" ht="15" hidden="false" customHeight="true" outlineLevel="0" collapsed="false">
      <c r="A4223" s="8"/>
      <c r="B4223" s="8"/>
      <c r="C4223" s="8"/>
      <c r="D4223" s="8"/>
      <c r="E4223" s="8"/>
      <c r="F4223" s="8"/>
      <c r="G4223" s="10" t="str">
        <f aca="false">IF($A4223="","",UPPER(SUBSTITUTE(SUBSTITUTE(SUBSTITUTE(SUBSTITUTE($A4223," ",""),"(주)",""),"주식회사",""),"㈜","")))</f>
        <v/>
      </c>
      <c r="H4223" s="10" t="str">
        <f aca="false">IF($B4223="","",SUBSTITUTE(SUBSTITUTE(SUBSTITUTE($B4223,"-","")," ",""),".",""))</f>
        <v/>
      </c>
      <c r="I4223" s="10" t="str">
        <f aca="false">IF($D4223="","",SUBSTITUTE(SUBSTITUTE(SUBSTITUTE($D4223,"-","")," ",""),".",""))</f>
        <v/>
      </c>
      <c r="J4223" s="10" t="str">
        <f aca="false">IF($E4223="","",UPPER(SUBSTITUTE($E4223," ","")))</f>
        <v/>
      </c>
      <c r="K4223" s="10" t="str">
        <f aca="false">IF($A4223="","",$G4223&amp;"|"&amp;$J4223)</f>
        <v/>
      </c>
      <c r="L4223" s="10" t="str">
        <f aca="false">IF($A4223="","",ROW()-2)</f>
        <v/>
      </c>
      <c r="M4223" s="10" t="str">
        <f aca="false">IF($A4223="","",ROW())</f>
        <v/>
      </c>
    </row>
    <row r="4224" customFormat="false" ht="15" hidden="false" customHeight="true" outlineLevel="0" collapsed="false">
      <c r="A4224" s="8"/>
      <c r="B4224" s="8"/>
      <c r="C4224" s="8"/>
      <c r="D4224" s="8"/>
      <c r="E4224" s="8"/>
      <c r="F4224" s="8"/>
      <c r="G4224" s="10" t="str">
        <f aca="false">IF($A4224="","",UPPER(SUBSTITUTE(SUBSTITUTE(SUBSTITUTE(SUBSTITUTE($A4224," ",""),"(주)",""),"주식회사",""),"㈜","")))</f>
        <v/>
      </c>
      <c r="H4224" s="10" t="str">
        <f aca="false">IF($B4224="","",SUBSTITUTE(SUBSTITUTE(SUBSTITUTE($B4224,"-","")," ",""),".",""))</f>
        <v/>
      </c>
      <c r="I4224" s="10" t="str">
        <f aca="false">IF($D4224="","",SUBSTITUTE(SUBSTITUTE(SUBSTITUTE($D4224,"-","")," ",""),".",""))</f>
        <v/>
      </c>
      <c r="J4224" s="10" t="str">
        <f aca="false">IF($E4224="","",UPPER(SUBSTITUTE($E4224," ","")))</f>
        <v/>
      </c>
      <c r="K4224" s="10" t="str">
        <f aca="false">IF($A4224="","",$G4224&amp;"|"&amp;$J4224)</f>
        <v/>
      </c>
      <c r="L4224" s="10" t="str">
        <f aca="false">IF($A4224="","",ROW()-2)</f>
        <v/>
      </c>
      <c r="M4224" s="10" t="str">
        <f aca="false">IF($A4224="","",ROW())</f>
        <v/>
      </c>
    </row>
    <row r="4225" customFormat="false" ht="15" hidden="false" customHeight="true" outlineLevel="0" collapsed="false">
      <c r="A4225" s="8"/>
      <c r="B4225" s="8"/>
      <c r="C4225" s="8"/>
      <c r="D4225" s="8"/>
      <c r="E4225" s="8"/>
      <c r="F4225" s="8"/>
      <c r="G4225" s="10" t="str">
        <f aca="false">IF($A4225="","",UPPER(SUBSTITUTE(SUBSTITUTE(SUBSTITUTE(SUBSTITUTE($A4225," ",""),"(주)",""),"주식회사",""),"㈜","")))</f>
        <v/>
      </c>
      <c r="H4225" s="10" t="str">
        <f aca="false">IF($B4225="","",SUBSTITUTE(SUBSTITUTE(SUBSTITUTE($B4225,"-","")," ",""),".",""))</f>
        <v/>
      </c>
      <c r="I4225" s="10" t="str">
        <f aca="false">IF($D4225="","",SUBSTITUTE(SUBSTITUTE(SUBSTITUTE($D4225,"-","")," ",""),".",""))</f>
        <v/>
      </c>
      <c r="J4225" s="10" t="str">
        <f aca="false">IF($E4225="","",UPPER(SUBSTITUTE($E4225," ","")))</f>
        <v/>
      </c>
      <c r="K4225" s="10" t="str">
        <f aca="false">IF($A4225="","",$G4225&amp;"|"&amp;$J4225)</f>
        <v/>
      </c>
      <c r="L4225" s="10" t="str">
        <f aca="false">IF($A4225="","",ROW()-2)</f>
        <v/>
      </c>
      <c r="M4225" s="10" t="str">
        <f aca="false">IF($A4225="","",ROW())</f>
        <v/>
      </c>
    </row>
    <row r="4226" customFormat="false" ht="15" hidden="false" customHeight="true" outlineLevel="0" collapsed="false">
      <c r="A4226" s="8"/>
      <c r="B4226" s="8"/>
      <c r="C4226" s="8"/>
      <c r="D4226" s="8"/>
      <c r="E4226" s="8"/>
      <c r="F4226" s="8"/>
      <c r="G4226" s="10" t="str">
        <f aca="false">IF($A4226="","",UPPER(SUBSTITUTE(SUBSTITUTE(SUBSTITUTE(SUBSTITUTE($A4226," ",""),"(주)",""),"주식회사",""),"㈜","")))</f>
        <v/>
      </c>
      <c r="H4226" s="10" t="str">
        <f aca="false">IF($B4226="","",SUBSTITUTE(SUBSTITUTE(SUBSTITUTE($B4226,"-","")," ",""),".",""))</f>
        <v/>
      </c>
      <c r="I4226" s="10" t="str">
        <f aca="false">IF($D4226="","",SUBSTITUTE(SUBSTITUTE(SUBSTITUTE($D4226,"-","")," ",""),".",""))</f>
        <v/>
      </c>
      <c r="J4226" s="10" t="str">
        <f aca="false">IF($E4226="","",UPPER(SUBSTITUTE($E4226," ","")))</f>
        <v/>
      </c>
      <c r="K4226" s="10" t="str">
        <f aca="false">IF($A4226="","",$G4226&amp;"|"&amp;$J4226)</f>
        <v/>
      </c>
      <c r="L4226" s="10" t="str">
        <f aca="false">IF($A4226="","",ROW()-2)</f>
        <v/>
      </c>
      <c r="M4226" s="10" t="str">
        <f aca="false">IF($A4226="","",ROW())</f>
        <v/>
      </c>
    </row>
    <row r="4227" customFormat="false" ht="15" hidden="false" customHeight="true" outlineLevel="0" collapsed="false">
      <c r="A4227" s="8"/>
      <c r="B4227" s="8"/>
      <c r="C4227" s="8"/>
      <c r="D4227" s="8"/>
      <c r="E4227" s="8"/>
      <c r="F4227" s="8"/>
      <c r="G4227" s="10" t="str">
        <f aca="false">IF($A4227="","",UPPER(SUBSTITUTE(SUBSTITUTE(SUBSTITUTE(SUBSTITUTE($A4227," ",""),"(주)",""),"주식회사",""),"㈜","")))</f>
        <v/>
      </c>
      <c r="H4227" s="10" t="str">
        <f aca="false">IF($B4227="","",SUBSTITUTE(SUBSTITUTE(SUBSTITUTE($B4227,"-","")," ",""),".",""))</f>
        <v/>
      </c>
      <c r="I4227" s="10" t="str">
        <f aca="false">IF($D4227="","",SUBSTITUTE(SUBSTITUTE(SUBSTITUTE($D4227,"-","")," ",""),".",""))</f>
        <v/>
      </c>
      <c r="J4227" s="10" t="str">
        <f aca="false">IF($E4227="","",UPPER(SUBSTITUTE($E4227," ","")))</f>
        <v/>
      </c>
      <c r="K4227" s="10" t="str">
        <f aca="false">IF($A4227="","",$G4227&amp;"|"&amp;$J4227)</f>
        <v/>
      </c>
      <c r="L4227" s="10" t="str">
        <f aca="false">IF($A4227="","",ROW()-2)</f>
        <v/>
      </c>
      <c r="M4227" s="10" t="str">
        <f aca="false">IF($A4227="","",ROW())</f>
        <v/>
      </c>
    </row>
    <row r="4228" customFormat="false" ht="15" hidden="false" customHeight="true" outlineLevel="0" collapsed="false">
      <c r="A4228" s="8"/>
      <c r="B4228" s="8"/>
      <c r="C4228" s="8"/>
      <c r="D4228" s="8"/>
      <c r="E4228" s="8"/>
      <c r="F4228" s="8"/>
      <c r="G4228" s="10" t="str">
        <f aca="false">IF($A4228="","",UPPER(SUBSTITUTE(SUBSTITUTE(SUBSTITUTE(SUBSTITUTE($A4228," ",""),"(주)",""),"주식회사",""),"㈜","")))</f>
        <v/>
      </c>
      <c r="H4228" s="10" t="str">
        <f aca="false">IF($B4228="","",SUBSTITUTE(SUBSTITUTE(SUBSTITUTE($B4228,"-","")," ",""),".",""))</f>
        <v/>
      </c>
      <c r="I4228" s="10" t="str">
        <f aca="false">IF($D4228="","",SUBSTITUTE(SUBSTITUTE(SUBSTITUTE($D4228,"-","")," ",""),".",""))</f>
        <v/>
      </c>
      <c r="J4228" s="10" t="str">
        <f aca="false">IF($E4228="","",UPPER(SUBSTITUTE($E4228," ","")))</f>
        <v/>
      </c>
      <c r="K4228" s="10" t="str">
        <f aca="false">IF($A4228="","",$G4228&amp;"|"&amp;$J4228)</f>
        <v/>
      </c>
      <c r="L4228" s="10" t="str">
        <f aca="false">IF($A4228="","",ROW()-2)</f>
        <v/>
      </c>
      <c r="M4228" s="10" t="str">
        <f aca="false">IF($A4228="","",ROW())</f>
        <v/>
      </c>
    </row>
    <row r="4229" customFormat="false" ht="15" hidden="false" customHeight="true" outlineLevel="0" collapsed="false">
      <c r="A4229" s="8"/>
      <c r="B4229" s="8"/>
      <c r="C4229" s="8"/>
      <c r="D4229" s="8"/>
      <c r="E4229" s="8"/>
      <c r="F4229" s="8"/>
      <c r="G4229" s="10" t="str">
        <f aca="false">IF($A4229="","",UPPER(SUBSTITUTE(SUBSTITUTE(SUBSTITUTE(SUBSTITUTE($A4229," ",""),"(주)",""),"주식회사",""),"㈜","")))</f>
        <v/>
      </c>
      <c r="H4229" s="10" t="str">
        <f aca="false">IF($B4229="","",SUBSTITUTE(SUBSTITUTE(SUBSTITUTE($B4229,"-","")," ",""),".",""))</f>
        <v/>
      </c>
      <c r="I4229" s="10" t="str">
        <f aca="false">IF($D4229="","",SUBSTITUTE(SUBSTITUTE(SUBSTITUTE($D4229,"-","")," ",""),".",""))</f>
        <v/>
      </c>
      <c r="J4229" s="10" t="str">
        <f aca="false">IF($E4229="","",UPPER(SUBSTITUTE($E4229," ","")))</f>
        <v/>
      </c>
      <c r="K4229" s="10" t="str">
        <f aca="false">IF($A4229="","",$G4229&amp;"|"&amp;$J4229)</f>
        <v/>
      </c>
      <c r="L4229" s="10" t="str">
        <f aca="false">IF($A4229="","",ROW()-2)</f>
        <v/>
      </c>
      <c r="M4229" s="10" t="str">
        <f aca="false">IF($A4229="","",ROW())</f>
        <v/>
      </c>
    </row>
    <row r="4230" customFormat="false" ht="15" hidden="false" customHeight="true" outlineLevel="0" collapsed="false">
      <c r="A4230" s="8"/>
      <c r="B4230" s="8"/>
      <c r="C4230" s="8"/>
      <c r="D4230" s="8"/>
      <c r="E4230" s="8"/>
      <c r="F4230" s="8"/>
      <c r="G4230" s="10" t="str">
        <f aca="false">IF($A4230="","",UPPER(SUBSTITUTE(SUBSTITUTE(SUBSTITUTE(SUBSTITUTE($A4230," ",""),"(주)",""),"주식회사",""),"㈜","")))</f>
        <v/>
      </c>
      <c r="H4230" s="10" t="str">
        <f aca="false">IF($B4230="","",SUBSTITUTE(SUBSTITUTE(SUBSTITUTE($B4230,"-","")," ",""),".",""))</f>
        <v/>
      </c>
      <c r="I4230" s="10" t="str">
        <f aca="false">IF($D4230="","",SUBSTITUTE(SUBSTITUTE(SUBSTITUTE($D4230,"-","")," ",""),".",""))</f>
        <v/>
      </c>
      <c r="J4230" s="10" t="str">
        <f aca="false">IF($E4230="","",UPPER(SUBSTITUTE($E4230," ","")))</f>
        <v/>
      </c>
      <c r="K4230" s="10" t="str">
        <f aca="false">IF($A4230="","",$G4230&amp;"|"&amp;$J4230)</f>
        <v/>
      </c>
      <c r="L4230" s="10" t="str">
        <f aca="false">IF($A4230="","",ROW()-2)</f>
        <v/>
      </c>
      <c r="M4230" s="10" t="str">
        <f aca="false">IF($A4230="","",ROW())</f>
        <v/>
      </c>
    </row>
    <row r="4231" customFormat="false" ht="15" hidden="false" customHeight="true" outlineLevel="0" collapsed="false">
      <c r="A4231" s="8"/>
      <c r="B4231" s="8"/>
      <c r="C4231" s="8"/>
      <c r="D4231" s="8"/>
      <c r="E4231" s="8"/>
      <c r="F4231" s="8"/>
      <c r="G4231" s="10" t="str">
        <f aca="false">IF($A4231="","",UPPER(SUBSTITUTE(SUBSTITUTE(SUBSTITUTE(SUBSTITUTE($A4231," ",""),"(주)",""),"주식회사",""),"㈜","")))</f>
        <v/>
      </c>
      <c r="H4231" s="10" t="str">
        <f aca="false">IF($B4231="","",SUBSTITUTE(SUBSTITUTE(SUBSTITUTE($B4231,"-","")," ",""),".",""))</f>
        <v/>
      </c>
      <c r="I4231" s="10" t="str">
        <f aca="false">IF($D4231="","",SUBSTITUTE(SUBSTITUTE(SUBSTITUTE($D4231,"-","")," ",""),".",""))</f>
        <v/>
      </c>
      <c r="J4231" s="10" t="str">
        <f aca="false">IF($E4231="","",UPPER(SUBSTITUTE($E4231," ","")))</f>
        <v/>
      </c>
      <c r="K4231" s="10" t="str">
        <f aca="false">IF($A4231="","",$G4231&amp;"|"&amp;$J4231)</f>
        <v/>
      </c>
      <c r="L4231" s="10" t="str">
        <f aca="false">IF($A4231="","",ROW()-2)</f>
        <v/>
      </c>
      <c r="M4231" s="10" t="str">
        <f aca="false">IF($A4231="","",ROW())</f>
        <v/>
      </c>
    </row>
    <row r="4232" customFormat="false" ht="15" hidden="false" customHeight="true" outlineLevel="0" collapsed="false">
      <c r="A4232" s="8"/>
      <c r="B4232" s="8"/>
      <c r="C4232" s="8"/>
      <c r="D4232" s="8"/>
      <c r="E4232" s="8"/>
      <c r="F4232" s="8"/>
      <c r="G4232" s="10" t="str">
        <f aca="false">IF($A4232="","",UPPER(SUBSTITUTE(SUBSTITUTE(SUBSTITUTE(SUBSTITUTE($A4232," ",""),"(주)",""),"주식회사",""),"㈜","")))</f>
        <v/>
      </c>
      <c r="H4232" s="10" t="str">
        <f aca="false">IF($B4232="","",SUBSTITUTE(SUBSTITUTE(SUBSTITUTE($B4232,"-","")," ",""),".",""))</f>
        <v/>
      </c>
      <c r="I4232" s="10" t="str">
        <f aca="false">IF($D4232="","",SUBSTITUTE(SUBSTITUTE(SUBSTITUTE($D4232,"-","")," ",""),".",""))</f>
        <v/>
      </c>
      <c r="J4232" s="10" t="str">
        <f aca="false">IF($E4232="","",UPPER(SUBSTITUTE($E4232," ","")))</f>
        <v/>
      </c>
      <c r="K4232" s="10" t="str">
        <f aca="false">IF($A4232="","",$G4232&amp;"|"&amp;$J4232)</f>
        <v/>
      </c>
      <c r="L4232" s="10" t="str">
        <f aca="false">IF($A4232="","",ROW()-2)</f>
        <v/>
      </c>
      <c r="M4232" s="10" t="str">
        <f aca="false">IF($A4232="","",ROW())</f>
        <v/>
      </c>
    </row>
    <row r="4233" customFormat="false" ht="15" hidden="false" customHeight="true" outlineLevel="0" collapsed="false">
      <c r="A4233" s="8"/>
      <c r="B4233" s="8"/>
      <c r="C4233" s="8"/>
      <c r="D4233" s="8"/>
      <c r="E4233" s="8"/>
      <c r="F4233" s="8"/>
      <c r="G4233" s="10" t="str">
        <f aca="false">IF($A4233="","",UPPER(SUBSTITUTE(SUBSTITUTE(SUBSTITUTE(SUBSTITUTE($A4233," ",""),"(주)",""),"주식회사",""),"㈜","")))</f>
        <v/>
      </c>
      <c r="H4233" s="10" t="str">
        <f aca="false">IF($B4233="","",SUBSTITUTE(SUBSTITUTE(SUBSTITUTE($B4233,"-","")," ",""),".",""))</f>
        <v/>
      </c>
      <c r="I4233" s="10" t="str">
        <f aca="false">IF($D4233="","",SUBSTITUTE(SUBSTITUTE(SUBSTITUTE($D4233,"-","")," ",""),".",""))</f>
        <v/>
      </c>
      <c r="J4233" s="10" t="str">
        <f aca="false">IF($E4233="","",UPPER(SUBSTITUTE($E4233," ","")))</f>
        <v/>
      </c>
      <c r="K4233" s="10" t="str">
        <f aca="false">IF($A4233="","",$G4233&amp;"|"&amp;$J4233)</f>
        <v/>
      </c>
      <c r="L4233" s="10" t="str">
        <f aca="false">IF($A4233="","",ROW()-2)</f>
        <v/>
      </c>
      <c r="M4233" s="10" t="str">
        <f aca="false">IF($A4233="","",ROW())</f>
        <v/>
      </c>
    </row>
    <row r="4234" customFormat="false" ht="15" hidden="false" customHeight="true" outlineLevel="0" collapsed="false">
      <c r="A4234" s="8"/>
      <c r="B4234" s="8"/>
      <c r="C4234" s="8"/>
      <c r="D4234" s="8"/>
      <c r="E4234" s="8"/>
      <c r="F4234" s="8"/>
      <c r="G4234" s="10" t="str">
        <f aca="false">IF($A4234="","",UPPER(SUBSTITUTE(SUBSTITUTE(SUBSTITUTE(SUBSTITUTE($A4234," ",""),"(주)",""),"주식회사",""),"㈜","")))</f>
        <v/>
      </c>
      <c r="H4234" s="10" t="str">
        <f aca="false">IF($B4234="","",SUBSTITUTE(SUBSTITUTE(SUBSTITUTE($B4234,"-","")," ",""),".",""))</f>
        <v/>
      </c>
      <c r="I4234" s="10" t="str">
        <f aca="false">IF($D4234="","",SUBSTITUTE(SUBSTITUTE(SUBSTITUTE($D4234,"-","")," ",""),".",""))</f>
        <v/>
      </c>
      <c r="J4234" s="10" t="str">
        <f aca="false">IF($E4234="","",UPPER(SUBSTITUTE($E4234," ","")))</f>
        <v/>
      </c>
      <c r="K4234" s="10" t="str">
        <f aca="false">IF($A4234="","",$G4234&amp;"|"&amp;$J4234)</f>
        <v/>
      </c>
      <c r="L4234" s="10" t="str">
        <f aca="false">IF($A4234="","",ROW()-2)</f>
        <v/>
      </c>
      <c r="M4234" s="10" t="str">
        <f aca="false">IF($A4234="","",ROW())</f>
        <v/>
      </c>
    </row>
    <row r="4235" customFormat="false" ht="15" hidden="false" customHeight="true" outlineLevel="0" collapsed="false">
      <c r="A4235" s="8"/>
      <c r="B4235" s="8"/>
      <c r="C4235" s="8"/>
      <c r="D4235" s="8"/>
      <c r="E4235" s="8"/>
      <c r="F4235" s="8"/>
      <c r="G4235" s="10" t="str">
        <f aca="false">IF($A4235="","",UPPER(SUBSTITUTE(SUBSTITUTE(SUBSTITUTE(SUBSTITUTE($A4235," ",""),"(주)",""),"주식회사",""),"㈜","")))</f>
        <v/>
      </c>
      <c r="H4235" s="10" t="str">
        <f aca="false">IF($B4235="","",SUBSTITUTE(SUBSTITUTE(SUBSTITUTE($B4235,"-","")," ",""),".",""))</f>
        <v/>
      </c>
      <c r="I4235" s="10" t="str">
        <f aca="false">IF($D4235="","",SUBSTITUTE(SUBSTITUTE(SUBSTITUTE($D4235,"-","")," ",""),".",""))</f>
        <v/>
      </c>
      <c r="J4235" s="10" t="str">
        <f aca="false">IF($E4235="","",UPPER(SUBSTITUTE($E4235," ","")))</f>
        <v/>
      </c>
      <c r="K4235" s="10" t="str">
        <f aca="false">IF($A4235="","",$G4235&amp;"|"&amp;$J4235)</f>
        <v/>
      </c>
      <c r="L4235" s="10" t="str">
        <f aca="false">IF($A4235="","",ROW()-2)</f>
        <v/>
      </c>
      <c r="M4235" s="10" t="str">
        <f aca="false">IF($A4235="","",ROW())</f>
        <v/>
      </c>
    </row>
    <row r="4236" customFormat="false" ht="15" hidden="false" customHeight="true" outlineLevel="0" collapsed="false">
      <c r="A4236" s="8"/>
      <c r="B4236" s="8"/>
      <c r="C4236" s="8"/>
      <c r="D4236" s="8"/>
      <c r="E4236" s="8"/>
      <c r="F4236" s="8"/>
      <c r="G4236" s="10" t="str">
        <f aca="false">IF($A4236="","",UPPER(SUBSTITUTE(SUBSTITUTE(SUBSTITUTE(SUBSTITUTE($A4236," ",""),"(주)",""),"주식회사",""),"㈜","")))</f>
        <v/>
      </c>
      <c r="H4236" s="10" t="str">
        <f aca="false">IF($B4236="","",SUBSTITUTE(SUBSTITUTE(SUBSTITUTE($B4236,"-","")," ",""),".",""))</f>
        <v/>
      </c>
      <c r="I4236" s="10" t="str">
        <f aca="false">IF($D4236="","",SUBSTITUTE(SUBSTITUTE(SUBSTITUTE($D4236,"-","")," ",""),".",""))</f>
        <v/>
      </c>
      <c r="J4236" s="10" t="str">
        <f aca="false">IF($E4236="","",UPPER(SUBSTITUTE($E4236," ","")))</f>
        <v/>
      </c>
      <c r="K4236" s="10" t="str">
        <f aca="false">IF($A4236="","",$G4236&amp;"|"&amp;$J4236)</f>
        <v/>
      </c>
      <c r="L4236" s="10" t="str">
        <f aca="false">IF($A4236="","",ROW()-2)</f>
        <v/>
      </c>
      <c r="M4236" s="10" t="str">
        <f aca="false">IF($A4236="","",ROW())</f>
        <v/>
      </c>
    </row>
    <row r="4237" customFormat="false" ht="15" hidden="false" customHeight="true" outlineLevel="0" collapsed="false">
      <c r="A4237" s="8"/>
      <c r="B4237" s="8"/>
      <c r="C4237" s="8"/>
      <c r="D4237" s="8"/>
      <c r="E4237" s="8"/>
      <c r="F4237" s="8"/>
      <c r="G4237" s="10" t="str">
        <f aca="false">IF($A4237="","",UPPER(SUBSTITUTE(SUBSTITUTE(SUBSTITUTE(SUBSTITUTE($A4237," ",""),"(주)",""),"주식회사",""),"㈜","")))</f>
        <v/>
      </c>
      <c r="H4237" s="10" t="str">
        <f aca="false">IF($B4237="","",SUBSTITUTE(SUBSTITUTE(SUBSTITUTE($B4237,"-","")," ",""),".",""))</f>
        <v/>
      </c>
      <c r="I4237" s="10" t="str">
        <f aca="false">IF($D4237="","",SUBSTITUTE(SUBSTITUTE(SUBSTITUTE($D4237,"-","")," ",""),".",""))</f>
        <v/>
      </c>
      <c r="J4237" s="10" t="str">
        <f aca="false">IF($E4237="","",UPPER(SUBSTITUTE($E4237," ","")))</f>
        <v/>
      </c>
      <c r="K4237" s="10" t="str">
        <f aca="false">IF($A4237="","",$G4237&amp;"|"&amp;$J4237)</f>
        <v/>
      </c>
      <c r="L4237" s="10" t="str">
        <f aca="false">IF($A4237="","",ROW()-2)</f>
        <v/>
      </c>
      <c r="M4237" s="10" t="str">
        <f aca="false">IF($A4237="","",ROW())</f>
        <v/>
      </c>
    </row>
    <row r="4238" customFormat="false" ht="15" hidden="false" customHeight="true" outlineLevel="0" collapsed="false">
      <c r="A4238" s="8"/>
      <c r="B4238" s="8"/>
      <c r="C4238" s="8"/>
      <c r="D4238" s="8"/>
      <c r="E4238" s="8"/>
      <c r="F4238" s="8"/>
      <c r="G4238" s="10" t="str">
        <f aca="false">IF($A4238="","",UPPER(SUBSTITUTE(SUBSTITUTE(SUBSTITUTE(SUBSTITUTE($A4238," ",""),"(주)",""),"주식회사",""),"㈜","")))</f>
        <v/>
      </c>
      <c r="H4238" s="10" t="str">
        <f aca="false">IF($B4238="","",SUBSTITUTE(SUBSTITUTE(SUBSTITUTE($B4238,"-","")," ",""),".",""))</f>
        <v/>
      </c>
      <c r="I4238" s="10" t="str">
        <f aca="false">IF($D4238="","",SUBSTITUTE(SUBSTITUTE(SUBSTITUTE($D4238,"-","")," ",""),".",""))</f>
        <v/>
      </c>
      <c r="J4238" s="10" t="str">
        <f aca="false">IF($E4238="","",UPPER(SUBSTITUTE($E4238," ","")))</f>
        <v/>
      </c>
      <c r="K4238" s="10" t="str">
        <f aca="false">IF($A4238="","",$G4238&amp;"|"&amp;$J4238)</f>
        <v/>
      </c>
      <c r="L4238" s="10" t="str">
        <f aca="false">IF($A4238="","",ROW()-2)</f>
        <v/>
      </c>
      <c r="M4238" s="10" t="str">
        <f aca="false">IF($A4238="","",ROW())</f>
        <v/>
      </c>
    </row>
    <row r="4239" customFormat="false" ht="15" hidden="false" customHeight="true" outlineLevel="0" collapsed="false">
      <c r="A4239" s="8"/>
      <c r="B4239" s="8"/>
      <c r="C4239" s="8"/>
      <c r="D4239" s="8"/>
      <c r="E4239" s="8"/>
      <c r="F4239" s="8"/>
      <c r="G4239" s="10" t="str">
        <f aca="false">IF($A4239="","",UPPER(SUBSTITUTE(SUBSTITUTE(SUBSTITUTE(SUBSTITUTE($A4239," ",""),"(주)",""),"주식회사",""),"㈜","")))</f>
        <v/>
      </c>
      <c r="H4239" s="10" t="str">
        <f aca="false">IF($B4239="","",SUBSTITUTE(SUBSTITUTE(SUBSTITUTE($B4239,"-","")," ",""),".",""))</f>
        <v/>
      </c>
      <c r="I4239" s="10" t="str">
        <f aca="false">IF($D4239="","",SUBSTITUTE(SUBSTITUTE(SUBSTITUTE($D4239,"-","")," ",""),".",""))</f>
        <v/>
      </c>
      <c r="J4239" s="10" t="str">
        <f aca="false">IF($E4239="","",UPPER(SUBSTITUTE($E4239," ","")))</f>
        <v/>
      </c>
      <c r="K4239" s="10" t="str">
        <f aca="false">IF($A4239="","",$G4239&amp;"|"&amp;$J4239)</f>
        <v/>
      </c>
      <c r="L4239" s="10" t="str">
        <f aca="false">IF($A4239="","",ROW()-2)</f>
        <v/>
      </c>
      <c r="M4239" s="10" t="str">
        <f aca="false">IF($A4239="","",ROW())</f>
        <v/>
      </c>
    </row>
    <row r="4240" customFormat="false" ht="15" hidden="false" customHeight="true" outlineLevel="0" collapsed="false">
      <c r="A4240" s="8"/>
      <c r="B4240" s="8"/>
      <c r="C4240" s="8"/>
      <c r="D4240" s="8"/>
      <c r="E4240" s="8"/>
      <c r="F4240" s="8"/>
      <c r="G4240" s="10" t="str">
        <f aca="false">IF($A4240="","",UPPER(SUBSTITUTE(SUBSTITUTE(SUBSTITUTE(SUBSTITUTE($A4240," ",""),"(주)",""),"주식회사",""),"㈜","")))</f>
        <v/>
      </c>
      <c r="H4240" s="10" t="str">
        <f aca="false">IF($B4240="","",SUBSTITUTE(SUBSTITUTE(SUBSTITUTE($B4240,"-","")," ",""),".",""))</f>
        <v/>
      </c>
      <c r="I4240" s="10" t="str">
        <f aca="false">IF($D4240="","",SUBSTITUTE(SUBSTITUTE(SUBSTITUTE($D4240,"-","")," ",""),".",""))</f>
        <v/>
      </c>
      <c r="J4240" s="10" t="str">
        <f aca="false">IF($E4240="","",UPPER(SUBSTITUTE($E4240," ","")))</f>
        <v/>
      </c>
      <c r="K4240" s="10" t="str">
        <f aca="false">IF($A4240="","",$G4240&amp;"|"&amp;$J4240)</f>
        <v/>
      </c>
      <c r="L4240" s="10" t="str">
        <f aca="false">IF($A4240="","",ROW()-2)</f>
        <v/>
      </c>
      <c r="M4240" s="10" t="str">
        <f aca="false">IF($A4240="","",ROW())</f>
        <v/>
      </c>
    </row>
    <row r="4241" customFormat="false" ht="15" hidden="false" customHeight="true" outlineLevel="0" collapsed="false">
      <c r="A4241" s="8"/>
      <c r="B4241" s="8"/>
      <c r="C4241" s="8"/>
      <c r="D4241" s="8"/>
      <c r="E4241" s="8"/>
      <c r="F4241" s="8"/>
      <c r="G4241" s="10" t="str">
        <f aca="false">IF($A4241="","",UPPER(SUBSTITUTE(SUBSTITUTE(SUBSTITUTE(SUBSTITUTE($A4241," ",""),"(주)",""),"주식회사",""),"㈜","")))</f>
        <v/>
      </c>
      <c r="H4241" s="10" t="str">
        <f aca="false">IF($B4241="","",SUBSTITUTE(SUBSTITUTE(SUBSTITUTE($B4241,"-","")," ",""),".",""))</f>
        <v/>
      </c>
      <c r="I4241" s="10" t="str">
        <f aca="false">IF($D4241="","",SUBSTITUTE(SUBSTITUTE(SUBSTITUTE($D4241,"-","")," ",""),".",""))</f>
        <v/>
      </c>
      <c r="J4241" s="10" t="str">
        <f aca="false">IF($E4241="","",UPPER(SUBSTITUTE($E4241," ","")))</f>
        <v/>
      </c>
      <c r="K4241" s="10" t="str">
        <f aca="false">IF($A4241="","",$G4241&amp;"|"&amp;$J4241)</f>
        <v/>
      </c>
      <c r="L4241" s="10" t="str">
        <f aca="false">IF($A4241="","",ROW()-2)</f>
        <v/>
      </c>
      <c r="M4241" s="10" t="str">
        <f aca="false">IF($A4241="","",ROW())</f>
        <v/>
      </c>
    </row>
    <row r="4242" customFormat="false" ht="15" hidden="false" customHeight="true" outlineLevel="0" collapsed="false">
      <c r="A4242" s="8"/>
      <c r="B4242" s="8"/>
      <c r="C4242" s="8"/>
      <c r="D4242" s="8"/>
      <c r="E4242" s="8"/>
      <c r="F4242" s="8"/>
      <c r="G4242" s="10" t="str">
        <f aca="false">IF($A4242="","",UPPER(SUBSTITUTE(SUBSTITUTE(SUBSTITUTE(SUBSTITUTE($A4242," ",""),"(주)",""),"주식회사",""),"㈜","")))</f>
        <v/>
      </c>
      <c r="H4242" s="10" t="str">
        <f aca="false">IF($B4242="","",SUBSTITUTE(SUBSTITUTE(SUBSTITUTE($B4242,"-","")," ",""),".",""))</f>
        <v/>
      </c>
      <c r="I4242" s="10" t="str">
        <f aca="false">IF($D4242="","",SUBSTITUTE(SUBSTITUTE(SUBSTITUTE($D4242,"-","")," ",""),".",""))</f>
        <v/>
      </c>
      <c r="J4242" s="10" t="str">
        <f aca="false">IF($E4242="","",UPPER(SUBSTITUTE($E4242," ","")))</f>
        <v/>
      </c>
      <c r="K4242" s="10" t="str">
        <f aca="false">IF($A4242="","",$G4242&amp;"|"&amp;$J4242)</f>
        <v/>
      </c>
      <c r="L4242" s="10" t="str">
        <f aca="false">IF($A4242="","",ROW()-2)</f>
        <v/>
      </c>
      <c r="M4242" s="10" t="str">
        <f aca="false">IF($A4242="","",ROW())</f>
        <v/>
      </c>
    </row>
    <row r="4243" customFormat="false" ht="15" hidden="false" customHeight="true" outlineLevel="0" collapsed="false">
      <c r="A4243" s="8"/>
      <c r="B4243" s="8"/>
      <c r="C4243" s="8"/>
      <c r="D4243" s="8"/>
      <c r="E4243" s="8"/>
      <c r="F4243" s="8"/>
      <c r="G4243" s="10" t="str">
        <f aca="false">IF($A4243="","",UPPER(SUBSTITUTE(SUBSTITUTE(SUBSTITUTE(SUBSTITUTE($A4243," ",""),"(주)",""),"주식회사",""),"㈜","")))</f>
        <v/>
      </c>
      <c r="H4243" s="10" t="str">
        <f aca="false">IF($B4243="","",SUBSTITUTE(SUBSTITUTE(SUBSTITUTE($B4243,"-","")," ",""),".",""))</f>
        <v/>
      </c>
      <c r="I4243" s="10" t="str">
        <f aca="false">IF($D4243="","",SUBSTITUTE(SUBSTITUTE(SUBSTITUTE($D4243,"-","")," ",""),".",""))</f>
        <v/>
      </c>
      <c r="J4243" s="10" t="str">
        <f aca="false">IF($E4243="","",UPPER(SUBSTITUTE($E4243," ","")))</f>
        <v/>
      </c>
      <c r="K4243" s="10" t="str">
        <f aca="false">IF($A4243="","",$G4243&amp;"|"&amp;$J4243)</f>
        <v/>
      </c>
      <c r="L4243" s="10" t="str">
        <f aca="false">IF($A4243="","",ROW()-2)</f>
        <v/>
      </c>
      <c r="M4243" s="10" t="str">
        <f aca="false">IF($A4243="","",ROW())</f>
        <v/>
      </c>
    </row>
    <row r="4244" customFormat="false" ht="15" hidden="false" customHeight="true" outlineLevel="0" collapsed="false">
      <c r="A4244" s="8"/>
      <c r="B4244" s="8"/>
      <c r="C4244" s="8"/>
      <c r="D4244" s="8"/>
      <c r="E4244" s="8"/>
      <c r="F4244" s="8"/>
      <c r="G4244" s="10" t="str">
        <f aca="false">IF($A4244="","",UPPER(SUBSTITUTE(SUBSTITUTE(SUBSTITUTE(SUBSTITUTE($A4244," ",""),"(주)",""),"주식회사",""),"㈜","")))</f>
        <v/>
      </c>
      <c r="H4244" s="10" t="str">
        <f aca="false">IF($B4244="","",SUBSTITUTE(SUBSTITUTE(SUBSTITUTE($B4244,"-","")," ",""),".",""))</f>
        <v/>
      </c>
      <c r="I4244" s="10" t="str">
        <f aca="false">IF($D4244="","",SUBSTITUTE(SUBSTITUTE(SUBSTITUTE($D4244,"-","")," ",""),".",""))</f>
        <v/>
      </c>
      <c r="J4244" s="10" t="str">
        <f aca="false">IF($E4244="","",UPPER(SUBSTITUTE($E4244," ","")))</f>
        <v/>
      </c>
      <c r="K4244" s="10" t="str">
        <f aca="false">IF($A4244="","",$G4244&amp;"|"&amp;$J4244)</f>
        <v/>
      </c>
      <c r="L4244" s="10" t="str">
        <f aca="false">IF($A4244="","",ROW()-2)</f>
        <v/>
      </c>
      <c r="M4244" s="10" t="str">
        <f aca="false">IF($A4244="","",ROW())</f>
        <v/>
      </c>
    </row>
    <row r="4245" customFormat="false" ht="15" hidden="false" customHeight="true" outlineLevel="0" collapsed="false">
      <c r="A4245" s="8"/>
      <c r="B4245" s="8"/>
      <c r="C4245" s="8"/>
      <c r="D4245" s="8"/>
      <c r="E4245" s="8"/>
      <c r="F4245" s="8"/>
      <c r="G4245" s="10" t="str">
        <f aca="false">IF($A4245="","",UPPER(SUBSTITUTE(SUBSTITUTE(SUBSTITUTE(SUBSTITUTE($A4245," ",""),"(주)",""),"주식회사",""),"㈜","")))</f>
        <v/>
      </c>
      <c r="H4245" s="10" t="str">
        <f aca="false">IF($B4245="","",SUBSTITUTE(SUBSTITUTE(SUBSTITUTE($B4245,"-","")," ",""),".",""))</f>
        <v/>
      </c>
      <c r="I4245" s="10" t="str">
        <f aca="false">IF($D4245="","",SUBSTITUTE(SUBSTITUTE(SUBSTITUTE($D4245,"-","")," ",""),".",""))</f>
        <v/>
      </c>
      <c r="J4245" s="10" t="str">
        <f aca="false">IF($E4245="","",UPPER(SUBSTITUTE($E4245," ","")))</f>
        <v/>
      </c>
      <c r="K4245" s="10" t="str">
        <f aca="false">IF($A4245="","",$G4245&amp;"|"&amp;$J4245)</f>
        <v/>
      </c>
      <c r="L4245" s="10" t="str">
        <f aca="false">IF($A4245="","",ROW()-2)</f>
        <v/>
      </c>
      <c r="M4245" s="10" t="str">
        <f aca="false">IF($A4245="","",ROW())</f>
        <v/>
      </c>
    </row>
    <row r="4246" customFormat="false" ht="15" hidden="false" customHeight="true" outlineLevel="0" collapsed="false">
      <c r="A4246" s="8"/>
      <c r="B4246" s="8"/>
      <c r="C4246" s="8"/>
      <c r="D4246" s="8"/>
      <c r="E4246" s="8"/>
      <c r="F4246" s="8"/>
      <c r="G4246" s="10" t="str">
        <f aca="false">IF($A4246="","",UPPER(SUBSTITUTE(SUBSTITUTE(SUBSTITUTE(SUBSTITUTE($A4246," ",""),"(주)",""),"주식회사",""),"㈜","")))</f>
        <v/>
      </c>
      <c r="H4246" s="10" t="str">
        <f aca="false">IF($B4246="","",SUBSTITUTE(SUBSTITUTE(SUBSTITUTE($B4246,"-","")," ",""),".",""))</f>
        <v/>
      </c>
      <c r="I4246" s="10" t="str">
        <f aca="false">IF($D4246="","",SUBSTITUTE(SUBSTITUTE(SUBSTITUTE($D4246,"-","")," ",""),".",""))</f>
        <v/>
      </c>
      <c r="J4246" s="10" t="str">
        <f aca="false">IF($E4246="","",UPPER(SUBSTITUTE($E4246," ","")))</f>
        <v/>
      </c>
      <c r="K4246" s="10" t="str">
        <f aca="false">IF($A4246="","",$G4246&amp;"|"&amp;$J4246)</f>
        <v/>
      </c>
      <c r="L4246" s="10" t="str">
        <f aca="false">IF($A4246="","",ROW()-2)</f>
        <v/>
      </c>
      <c r="M4246" s="10" t="str">
        <f aca="false">IF($A4246="","",ROW())</f>
        <v/>
      </c>
    </row>
    <row r="4247" customFormat="false" ht="15" hidden="false" customHeight="true" outlineLevel="0" collapsed="false">
      <c r="A4247" s="8"/>
      <c r="B4247" s="8"/>
      <c r="C4247" s="8"/>
      <c r="D4247" s="8"/>
      <c r="E4247" s="8"/>
      <c r="F4247" s="8"/>
      <c r="G4247" s="10" t="str">
        <f aca="false">IF($A4247="","",UPPER(SUBSTITUTE(SUBSTITUTE(SUBSTITUTE(SUBSTITUTE($A4247," ",""),"(주)",""),"주식회사",""),"㈜","")))</f>
        <v/>
      </c>
      <c r="H4247" s="10" t="str">
        <f aca="false">IF($B4247="","",SUBSTITUTE(SUBSTITUTE(SUBSTITUTE($B4247,"-","")," ",""),".",""))</f>
        <v/>
      </c>
      <c r="I4247" s="10" t="str">
        <f aca="false">IF($D4247="","",SUBSTITUTE(SUBSTITUTE(SUBSTITUTE($D4247,"-","")," ",""),".",""))</f>
        <v/>
      </c>
      <c r="J4247" s="10" t="str">
        <f aca="false">IF($E4247="","",UPPER(SUBSTITUTE($E4247," ","")))</f>
        <v/>
      </c>
      <c r="K4247" s="10" t="str">
        <f aca="false">IF($A4247="","",$G4247&amp;"|"&amp;$J4247)</f>
        <v/>
      </c>
      <c r="L4247" s="10" t="str">
        <f aca="false">IF($A4247="","",ROW()-2)</f>
        <v/>
      </c>
      <c r="M4247" s="10" t="str">
        <f aca="false">IF($A4247="","",ROW())</f>
        <v/>
      </c>
    </row>
    <row r="4248" customFormat="false" ht="15" hidden="false" customHeight="true" outlineLevel="0" collapsed="false">
      <c r="A4248" s="8"/>
      <c r="B4248" s="8"/>
      <c r="C4248" s="8"/>
      <c r="D4248" s="8"/>
      <c r="E4248" s="8"/>
      <c r="F4248" s="8"/>
      <c r="G4248" s="10" t="str">
        <f aca="false">IF($A4248="","",UPPER(SUBSTITUTE(SUBSTITUTE(SUBSTITUTE(SUBSTITUTE($A4248," ",""),"(주)",""),"주식회사",""),"㈜","")))</f>
        <v/>
      </c>
      <c r="H4248" s="10" t="str">
        <f aca="false">IF($B4248="","",SUBSTITUTE(SUBSTITUTE(SUBSTITUTE($B4248,"-","")," ",""),".",""))</f>
        <v/>
      </c>
      <c r="I4248" s="10" t="str">
        <f aca="false">IF($D4248="","",SUBSTITUTE(SUBSTITUTE(SUBSTITUTE($D4248,"-","")," ",""),".",""))</f>
        <v/>
      </c>
      <c r="J4248" s="10" t="str">
        <f aca="false">IF($E4248="","",UPPER(SUBSTITUTE($E4248," ","")))</f>
        <v/>
      </c>
      <c r="K4248" s="10" t="str">
        <f aca="false">IF($A4248="","",$G4248&amp;"|"&amp;$J4248)</f>
        <v/>
      </c>
      <c r="L4248" s="10" t="str">
        <f aca="false">IF($A4248="","",ROW()-2)</f>
        <v/>
      </c>
      <c r="M4248" s="10" t="str">
        <f aca="false">IF($A4248="","",ROW())</f>
        <v/>
      </c>
    </row>
    <row r="4249" customFormat="false" ht="15" hidden="false" customHeight="true" outlineLevel="0" collapsed="false">
      <c r="A4249" s="8"/>
      <c r="B4249" s="8"/>
      <c r="C4249" s="8"/>
      <c r="D4249" s="8"/>
      <c r="E4249" s="8"/>
      <c r="F4249" s="8"/>
      <c r="G4249" s="10" t="str">
        <f aca="false">IF($A4249="","",UPPER(SUBSTITUTE(SUBSTITUTE(SUBSTITUTE(SUBSTITUTE($A4249," ",""),"(주)",""),"주식회사",""),"㈜","")))</f>
        <v/>
      </c>
      <c r="H4249" s="10" t="str">
        <f aca="false">IF($B4249="","",SUBSTITUTE(SUBSTITUTE(SUBSTITUTE($B4249,"-","")," ",""),".",""))</f>
        <v/>
      </c>
      <c r="I4249" s="10" t="str">
        <f aca="false">IF($D4249="","",SUBSTITUTE(SUBSTITUTE(SUBSTITUTE($D4249,"-","")," ",""),".",""))</f>
        <v/>
      </c>
      <c r="J4249" s="10" t="str">
        <f aca="false">IF($E4249="","",UPPER(SUBSTITUTE($E4249," ","")))</f>
        <v/>
      </c>
      <c r="K4249" s="10" t="str">
        <f aca="false">IF($A4249="","",$G4249&amp;"|"&amp;$J4249)</f>
        <v/>
      </c>
      <c r="L4249" s="10" t="str">
        <f aca="false">IF($A4249="","",ROW()-2)</f>
        <v/>
      </c>
      <c r="M4249" s="10" t="str">
        <f aca="false">IF($A4249="","",ROW())</f>
        <v/>
      </c>
    </row>
    <row r="4250" customFormat="false" ht="15" hidden="false" customHeight="true" outlineLevel="0" collapsed="false">
      <c r="A4250" s="8"/>
      <c r="B4250" s="8"/>
      <c r="C4250" s="8"/>
      <c r="D4250" s="8"/>
      <c r="E4250" s="8"/>
      <c r="F4250" s="8"/>
      <c r="G4250" s="10" t="str">
        <f aca="false">IF($A4250="","",UPPER(SUBSTITUTE(SUBSTITUTE(SUBSTITUTE(SUBSTITUTE($A4250," ",""),"(주)",""),"주식회사",""),"㈜","")))</f>
        <v/>
      </c>
      <c r="H4250" s="10" t="str">
        <f aca="false">IF($B4250="","",SUBSTITUTE(SUBSTITUTE(SUBSTITUTE($B4250,"-","")," ",""),".",""))</f>
        <v/>
      </c>
      <c r="I4250" s="10" t="str">
        <f aca="false">IF($D4250="","",SUBSTITUTE(SUBSTITUTE(SUBSTITUTE($D4250,"-","")," ",""),".",""))</f>
        <v/>
      </c>
      <c r="J4250" s="10" t="str">
        <f aca="false">IF($E4250="","",UPPER(SUBSTITUTE($E4250," ","")))</f>
        <v/>
      </c>
      <c r="K4250" s="10" t="str">
        <f aca="false">IF($A4250="","",$G4250&amp;"|"&amp;$J4250)</f>
        <v/>
      </c>
      <c r="L4250" s="10" t="str">
        <f aca="false">IF($A4250="","",ROW()-2)</f>
        <v/>
      </c>
      <c r="M4250" s="10" t="str">
        <f aca="false">IF($A4250="","",ROW())</f>
        <v/>
      </c>
    </row>
    <row r="4251" customFormat="false" ht="15" hidden="false" customHeight="true" outlineLevel="0" collapsed="false">
      <c r="A4251" s="8"/>
      <c r="B4251" s="8"/>
      <c r="C4251" s="8"/>
      <c r="D4251" s="8"/>
      <c r="E4251" s="8"/>
      <c r="F4251" s="8"/>
      <c r="G4251" s="10" t="str">
        <f aca="false">IF($A4251="","",UPPER(SUBSTITUTE(SUBSTITUTE(SUBSTITUTE(SUBSTITUTE($A4251," ",""),"(주)",""),"주식회사",""),"㈜","")))</f>
        <v/>
      </c>
      <c r="H4251" s="10" t="str">
        <f aca="false">IF($B4251="","",SUBSTITUTE(SUBSTITUTE(SUBSTITUTE($B4251,"-","")," ",""),".",""))</f>
        <v/>
      </c>
      <c r="I4251" s="10" t="str">
        <f aca="false">IF($D4251="","",SUBSTITUTE(SUBSTITUTE(SUBSTITUTE($D4251,"-","")," ",""),".",""))</f>
        <v/>
      </c>
      <c r="J4251" s="10" t="str">
        <f aca="false">IF($E4251="","",UPPER(SUBSTITUTE($E4251," ","")))</f>
        <v/>
      </c>
      <c r="K4251" s="10" t="str">
        <f aca="false">IF($A4251="","",$G4251&amp;"|"&amp;$J4251)</f>
        <v/>
      </c>
      <c r="L4251" s="10" t="str">
        <f aca="false">IF($A4251="","",ROW()-2)</f>
        <v/>
      </c>
      <c r="M4251" s="10" t="str">
        <f aca="false">IF($A4251="","",ROW())</f>
        <v/>
      </c>
    </row>
    <row r="4252" customFormat="false" ht="15" hidden="false" customHeight="true" outlineLevel="0" collapsed="false">
      <c r="A4252" s="8"/>
      <c r="B4252" s="8"/>
      <c r="C4252" s="8"/>
      <c r="D4252" s="8"/>
      <c r="E4252" s="8"/>
      <c r="F4252" s="8"/>
      <c r="G4252" s="10" t="str">
        <f aca="false">IF($A4252="","",UPPER(SUBSTITUTE(SUBSTITUTE(SUBSTITUTE(SUBSTITUTE($A4252," ",""),"(주)",""),"주식회사",""),"㈜","")))</f>
        <v/>
      </c>
      <c r="H4252" s="10" t="str">
        <f aca="false">IF($B4252="","",SUBSTITUTE(SUBSTITUTE(SUBSTITUTE($B4252,"-","")," ",""),".",""))</f>
        <v/>
      </c>
      <c r="I4252" s="10" t="str">
        <f aca="false">IF($D4252="","",SUBSTITUTE(SUBSTITUTE(SUBSTITUTE($D4252,"-","")," ",""),".",""))</f>
        <v/>
      </c>
      <c r="J4252" s="10" t="str">
        <f aca="false">IF($E4252="","",UPPER(SUBSTITUTE($E4252," ","")))</f>
        <v/>
      </c>
      <c r="K4252" s="10" t="str">
        <f aca="false">IF($A4252="","",$G4252&amp;"|"&amp;$J4252)</f>
        <v/>
      </c>
      <c r="L4252" s="10" t="str">
        <f aca="false">IF($A4252="","",ROW()-2)</f>
        <v/>
      </c>
      <c r="M4252" s="10" t="str">
        <f aca="false">IF($A4252="","",ROW())</f>
        <v/>
      </c>
    </row>
    <row r="4253" customFormat="false" ht="15" hidden="false" customHeight="true" outlineLevel="0" collapsed="false">
      <c r="A4253" s="8"/>
      <c r="B4253" s="8"/>
      <c r="C4253" s="8"/>
      <c r="D4253" s="8"/>
      <c r="E4253" s="8"/>
      <c r="F4253" s="8"/>
      <c r="G4253" s="10" t="str">
        <f aca="false">IF($A4253="","",UPPER(SUBSTITUTE(SUBSTITUTE(SUBSTITUTE(SUBSTITUTE($A4253," ",""),"(주)",""),"주식회사",""),"㈜","")))</f>
        <v/>
      </c>
      <c r="H4253" s="10" t="str">
        <f aca="false">IF($B4253="","",SUBSTITUTE(SUBSTITUTE(SUBSTITUTE($B4253,"-","")," ",""),".",""))</f>
        <v/>
      </c>
      <c r="I4253" s="10" t="str">
        <f aca="false">IF($D4253="","",SUBSTITUTE(SUBSTITUTE(SUBSTITUTE($D4253,"-","")," ",""),".",""))</f>
        <v/>
      </c>
      <c r="J4253" s="10" t="str">
        <f aca="false">IF($E4253="","",UPPER(SUBSTITUTE($E4253," ","")))</f>
        <v/>
      </c>
      <c r="K4253" s="10" t="str">
        <f aca="false">IF($A4253="","",$G4253&amp;"|"&amp;$J4253)</f>
        <v/>
      </c>
      <c r="L4253" s="10" t="str">
        <f aca="false">IF($A4253="","",ROW()-2)</f>
        <v/>
      </c>
      <c r="M4253" s="10" t="str">
        <f aca="false">IF($A4253="","",ROW())</f>
        <v/>
      </c>
    </row>
    <row r="4254" customFormat="false" ht="15" hidden="false" customHeight="true" outlineLevel="0" collapsed="false">
      <c r="A4254" s="8"/>
      <c r="B4254" s="8"/>
      <c r="C4254" s="8"/>
      <c r="D4254" s="8"/>
      <c r="E4254" s="8"/>
      <c r="F4254" s="8"/>
      <c r="G4254" s="10" t="str">
        <f aca="false">IF($A4254="","",UPPER(SUBSTITUTE(SUBSTITUTE(SUBSTITUTE(SUBSTITUTE($A4254," ",""),"(주)",""),"주식회사",""),"㈜","")))</f>
        <v/>
      </c>
      <c r="H4254" s="10" t="str">
        <f aca="false">IF($B4254="","",SUBSTITUTE(SUBSTITUTE(SUBSTITUTE($B4254,"-","")," ",""),".",""))</f>
        <v/>
      </c>
      <c r="I4254" s="10" t="str">
        <f aca="false">IF($D4254="","",SUBSTITUTE(SUBSTITUTE(SUBSTITUTE($D4254,"-","")," ",""),".",""))</f>
        <v/>
      </c>
      <c r="J4254" s="10" t="str">
        <f aca="false">IF($E4254="","",UPPER(SUBSTITUTE($E4254," ","")))</f>
        <v/>
      </c>
      <c r="K4254" s="10" t="str">
        <f aca="false">IF($A4254="","",$G4254&amp;"|"&amp;$J4254)</f>
        <v/>
      </c>
      <c r="L4254" s="10" t="str">
        <f aca="false">IF($A4254="","",ROW()-2)</f>
        <v/>
      </c>
      <c r="M4254" s="10" t="str">
        <f aca="false">IF($A4254="","",ROW())</f>
        <v/>
      </c>
    </row>
    <row r="4255" customFormat="false" ht="15" hidden="false" customHeight="true" outlineLevel="0" collapsed="false">
      <c r="A4255" s="8"/>
      <c r="B4255" s="8"/>
      <c r="C4255" s="8"/>
      <c r="D4255" s="8"/>
      <c r="E4255" s="8"/>
      <c r="F4255" s="8"/>
      <c r="G4255" s="10" t="str">
        <f aca="false">IF($A4255="","",UPPER(SUBSTITUTE(SUBSTITUTE(SUBSTITUTE(SUBSTITUTE($A4255," ",""),"(주)",""),"주식회사",""),"㈜","")))</f>
        <v/>
      </c>
      <c r="H4255" s="10" t="str">
        <f aca="false">IF($B4255="","",SUBSTITUTE(SUBSTITUTE(SUBSTITUTE($B4255,"-","")," ",""),".",""))</f>
        <v/>
      </c>
      <c r="I4255" s="10" t="str">
        <f aca="false">IF($D4255="","",SUBSTITUTE(SUBSTITUTE(SUBSTITUTE($D4255,"-","")," ",""),".",""))</f>
        <v/>
      </c>
      <c r="J4255" s="10" t="str">
        <f aca="false">IF($E4255="","",UPPER(SUBSTITUTE($E4255," ","")))</f>
        <v/>
      </c>
      <c r="K4255" s="10" t="str">
        <f aca="false">IF($A4255="","",$G4255&amp;"|"&amp;$J4255)</f>
        <v/>
      </c>
      <c r="L4255" s="10" t="str">
        <f aca="false">IF($A4255="","",ROW()-2)</f>
        <v/>
      </c>
      <c r="M4255" s="10" t="str">
        <f aca="false">IF($A4255="","",ROW())</f>
        <v/>
      </c>
    </row>
    <row r="4256" customFormat="false" ht="15" hidden="false" customHeight="true" outlineLevel="0" collapsed="false">
      <c r="A4256" s="8"/>
      <c r="B4256" s="8"/>
      <c r="C4256" s="8"/>
      <c r="D4256" s="8"/>
      <c r="E4256" s="8"/>
      <c r="F4256" s="8"/>
      <c r="G4256" s="10" t="str">
        <f aca="false">IF($A4256="","",UPPER(SUBSTITUTE(SUBSTITUTE(SUBSTITUTE(SUBSTITUTE($A4256," ",""),"(주)",""),"주식회사",""),"㈜","")))</f>
        <v/>
      </c>
      <c r="H4256" s="10" t="str">
        <f aca="false">IF($B4256="","",SUBSTITUTE(SUBSTITUTE(SUBSTITUTE($B4256,"-","")," ",""),".",""))</f>
        <v/>
      </c>
      <c r="I4256" s="10" t="str">
        <f aca="false">IF($D4256="","",SUBSTITUTE(SUBSTITUTE(SUBSTITUTE($D4256,"-","")," ",""),".",""))</f>
        <v/>
      </c>
      <c r="J4256" s="10" t="str">
        <f aca="false">IF($E4256="","",UPPER(SUBSTITUTE($E4256," ","")))</f>
        <v/>
      </c>
      <c r="K4256" s="10" t="str">
        <f aca="false">IF($A4256="","",$G4256&amp;"|"&amp;$J4256)</f>
        <v/>
      </c>
      <c r="L4256" s="10" t="str">
        <f aca="false">IF($A4256="","",ROW()-2)</f>
        <v/>
      </c>
      <c r="M4256" s="10" t="str">
        <f aca="false">IF($A4256="","",ROW())</f>
        <v/>
      </c>
    </row>
    <row r="4257" customFormat="false" ht="15" hidden="false" customHeight="true" outlineLevel="0" collapsed="false">
      <c r="A4257" s="8"/>
      <c r="B4257" s="8"/>
      <c r="C4257" s="8"/>
      <c r="D4257" s="8"/>
      <c r="E4257" s="8"/>
      <c r="F4257" s="8"/>
      <c r="G4257" s="10" t="str">
        <f aca="false">IF($A4257="","",UPPER(SUBSTITUTE(SUBSTITUTE(SUBSTITUTE(SUBSTITUTE($A4257," ",""),"(주)",""),"주식회사",""),"㈜","")))</f>
        <v/>
      </c>
      <c r="H4257" s="10" t="str">
        <f aca="false">IF($B4257="","",SUBSTITUTE(SUBSTITUTE(SUBSTITUTE($B4257,"-","")," ",""),".",""))</f>
        <v/>
      </c>
      <c r="I4257" s="10" t="str">
        <f aca="false">IF($D4257="","",SUBSTITUTE(SUBSTITUTE(SUBSTITUTE($D4257,"-","")," ",""),".",""))</f>
        <v/>
      </c>
      <c r="J4257" s="10" t="str">
        <f aca="false">IF($E4257="","",UPPER(SUBSTITUTE($E4257," ","")))</f>
        <v/>
      </c>
      <c r="K4257" s="10" t="str">
        <f aca="false">IF($A4257="","",$G4257&amp;"|"&amp;$J4257)</f>
        <v/>
      </c>
      <c r="L4257" s="10" t="str">
        <f aca="false">IF($A4257="","",ROW()-2)</f>
        <v/>
      </c>
      <c r="M4257" s="10" t="str">
        <f aca="false">IF($A4257="","",ROW())</f>
        <v/>
      </c>
    </row>
    <row r="4258" customFormat="false" ht="15" hidden="false" customHeight="true" outlineLevel="0" collapsed="false">
      <c r="A4258" s="8"/>
      <c r="B4258" s="8"/>
      <c r="C4258" s="8"/>
      <c r="D4258" s="8"/>
      <c r="E4258" s="8"/>
      <c r="F4258" s="8"/>
      <c r="G4258" s="10" t="str">
        <f aca="false">IF($A4258="","",UPPER(SUBSTITUTE(SUBSTITUTE(SUBSTITUTE(SUBSTITUTE($A4258," ",""),"(주)",""),"주식회사",""),"㈜","")))</f>
        <v/>
      </c>
      <c r="H4258" s="10" t="str">
        <f aca="false">IF($B4258="","",SUBSTITUTE(SUBSTITUTE(SUBSTITUTE($B4258,"-","")," ",""),".",""))</f>
        <v/>
      </c>
      <c r="I4258" s="10" t="str">
        <f aca="false">IF($D4258="","",SUBSTITUTE(SUBSTITUTE(SUBSTITUTE($D4258,"-","")," ",""),".",""))</f>
        <v/>
      </c>
      <c r="J4258" s="10" t="str">
        <f aca="false">IF($E4258="","",UPPER(SUBSTITUTE($E4258," ","")))</f>
        <v/>
      </c>
      <c r="K4258" s="10" t="str">
        <f aca="false">IF($A4258="","",$G4258&amp;"|"&amp;$J4258)</f>
        <v/>
      </c>
      <c r="L4258" s="10" t="str">
        <f aca="false">IF($A4258="","",ROW()-2)</f>
        <v/>
      </c>
      <c r="M4258" s="10" t="str">
        <f aca="false">IF($A4258="","",ROW())</f>
        <v/>
      </c>
    </row>
    <row r="4259" customFormat="false" ht="15" hidden="false" customHeight="true" outlineLevel="0" collapsed="false">
      <c r="A4259" s="8"/>
      <c r="B4259" s="8"/>
      <c r="C4259" s="8"/>
      <c r="D4259" s="8"/>
      <c r="E4259" s="8"/>
      <c r="F4259" s="8"/>
      <c r="G4259" s="10" t="str">
        <f aca="false">IF($A4259="","",UPPER(SUBSTITUTE(SUBSTITUTE(SUBSTITUTE(SUBSTITUTE($A4259," ",""),"(주)",""),"주식회사",""),"㈜","")))</f>
        <v/>
      </c>
      <c r="H4259" s="10" t="str">
        <f aca="false">IF($B4259="","",SUBSTITUTE(SUBSTITUTE(SUBSTITUTE($B4259,"-","")," ",""),".",""))</f>
        <v/>
      </c>
      <c r="I4259" s="10" t="str">
        <f aca="false">IF($D4259="","",SUBSTITUTE(SUBSTITUTE(SUBSTITUTE($D4259,"-","")," ",""),".",""))</f>
        <v/>
      </c>
      <c r="J4259" s="10" t="str">
        <f aca="false">IF($E4259="","",UPPER(SUBSTITUTE($E4259," ","")))</f>
        <v/>
      </c>
      <c r="K4259" s="10" t="str">
        <f aca="false">IF($A4259="","",$G4259&amp;"|"&amp;$J4259)</f>
        <v/>
      </c>
      <c r="L4259" s="10" t="str">
        <f aca="false">IF($A4259="","",ROW()-2)</f>
        <v/>
      </c>
      <c r="M4259" s="10" t="str">
        <f aca="false">IF($A4259="","",ROW())</f>
        <v/>
      </c>
    </row>
    <row r="4260" customFormat="false" ht="15" hidden="false" customHeight="true" outlineLevel="0" collapsed="false">
      <c r="A4260" s="8"/>
      <c r="B4260" s="8"/>
      <c r="C4260" s="8"/>
      <c r="D4260" s="8"/>
      <c r="E4260" s="8"/>
      <c r="F4260" s="8"/>
      <c r="G4260" s="10" t="str">
        <f aca="false">IF($A4260="","",UPPER(SUBSTITUTE(SUBSTITUTE(SUBSTITUTE(SUBSTITUTE($A4260," ",""),"(주)",""),"주식회사",""),"㈜","")))</f>
        <v/>
      </c>
      <c r="H4260" s="10" t="str">
        <f aca="false">IF($B4260="","",SUBSTITUTE(SUBSTITUTE(SUBSTITUTE($B4260,"-","")," ",""),".",""))</f>
        <v/>
      </c>
      <c r="I4260" s="10" t="str">
        <f aca="false">IF($D4260="","",SUBSTITUTE(SUBSTITUTE(SUBSTITUTE($D4260,"-","")," ",""),".",""))</f>
        <v/>
      </c>
      <c r="J4260" s="10" t="str">
        <f aca="false">IF($E4260="","",UPPER(SUBSTITUTE($E4260," ","")))</f>
        <v/>
      </c>
      <c r="K4260" s="10" t="str">
        <f aca="false">IF($A4260="","",$G4260&amp;"|"&amp;$J4260)</f>
        <v/>
      </c>
      <c r="L4260" s="10" t="str">
        <f aca="false">IF($A4260="","",ROW()-2)</f>
        <v/>
      </c>
      <c r="M4260" s="10" t="str">
        <f aca="false">IF($A4260="","",ROW())</f>
        <v/>
      </c>
    </row>
    <row r="4261" customFormat="false" ht="15" hidden="false" customHeight="true" outlineLevel="0" collapsed="false">
      <c r="A4261" s="8"/>
      <c r="B4261" s="8"/>
      <c r="C4261" s="8"/>
      <c r="D4261" s="8"/>
      <c r="E4261" s="8"/>
      <c r="F4261" s="8"/>
      <c r="G4261" s="10" t="str">
        <f aca="false">IF($A4261="","",UPPER(SUBSTITUTE(SUBSTITUTE(SUBSTITUTE(SUBSTITUTE($A4261," ",""),"(주)",""),"주식회사",""),"㈜","")))</f>
        <v/>
      </c>
      <c r="H4261" s="10" t="str">
        <f aca="false">IF($B4261="","",SUBSTITUTE(SUBSTITUTE(SUBSTITUTE($B4261,"-","")," ",""),".",""))</f>
        <v/>
      </c>
      <c r="I4261" s="10" t="str">
        <f aca="false">IF($D4261="","",SUBSTITUTE(SUBSTITUTE(SUBSTITUTE($D4261,"-","")," ",""),".",""))</f>
        <v/>
      </c>
      <c r="J4261" s="10" t="str">
        <f aca="false">IF($E4261="","",UPPER(SUBSTITUTE($E4261," ","")))</f>
        <v/>
      </c>
      <c r="K4261" s="10" t="str">
        <f aca="false">IF($A4261="","",$G4261&amp;"|"&amp;$J4261)</f>
        <v/>
      </c>
      <c r="L4261" s="10" t="str">
        <f aca="false">IF($A4261="","",ROW()-2)</f>
        <v/>
      </c>
      <c r="M4261" s="10" t="str">
        <f aca="false">IF($A4261="","",ROW())</f>
        <v/>
      </c>
    </row>
    <row r="4262" customFormat="false" ht="15" hidden="false" customHeight="true" outlineLevel="0" collapsed="false">
      <c r="A4262" s="8"/>
      <c r="B4262" s="8"/>
      <c r="C4262" s="8"/>
      <c r="D4262" s="8"/>
      <c r="E4262" s="8"/>
      <c r="F4262" s="8"/>
      <c r="G4262" s="10" t="str">
        <f aca="false">IF($A4262="","",UPPER(SUBSTITUTE(SUBSTITUTE(SUBSTITUTE(SUBSTITUTE($A4262," ",""),"(주)",""),"주식회사",""),"㈜","")))</f>
        <v/>
      </c>
      <c r="H4262" s="10" t="str">
        <f aca="false">IF($B4262="","",SUBSTITUTE(SUBSTITUTE(SUBSTITUTE($B4262,"-","")," ",""),".",""))</f>
        <v/>
      </c>
      <c r="I4262" s="10" t="str">
        <f aca="false">IF($D4262="","",SUBSTITUTE(SUBSTITUTE(SUBSTITUTE($D4262,"-","")," ",""),".",""))</f>
        <v/>
      </c>
      <c r="J4262" s="10" t="str">
        <f aca="false">IF($E4262="","",UPPER(SUBSTITUTE($E4262," ","")))</f>
        <v/>
      </c>
      <c r="K4262" s="10" t="str">
        <f aca="false">IF($A4262="","",$G4262&amp;"|"&amp;$J4262)</f>
        <v/>
      </c>
      <c r="L4262" s="10" t="str">
        <f aca="false">IF($A4262="","",ROW()-2)</f>
        <v/>
      </c>
      <c r="M4262" s="10" t="str">
        <f aca="false">IF($A4262="","",ROW())</f>
        <v/>
      </c>
    </row>
    <row r="4263" customFormat="false" ht="15" hidden="false" customHeight="true" outlineLevel="0" collapsed="false">
      <c r="A4263" s="8"/>
      <c r="B4263" s="8"/>
      <c r="C4263" s="8"/>
      <c r="D4263" s="8"/>
      <c r="E4263" s="8"/>
      <c r="F4263" s="8"/>
      <c r="G4263" s="10" t="str">
        <f aca="false">IF($A4263="","",UPPER(SUBSTITUTE(SUBSTITUTE(SUBSTITUTE(SUBSTITUTE($A4263," ",""),"(주)",""),"주식회사",""),"㈜","")))</f>
        <v/>
      </c>
      <c r="H4263" s="10" t="str">
        <f aca="false">IF($B4263="","",SUBSTITUTE(SUBSTITUTE(SUBSTITUTE($B4263,"-","")," ",""),".",""))</f>
        <v/>
      </c>
      <c r="I4263" s="10" t="str">
        <f aca="false">IF($D4263="","",SUBSTITUTE(SUBSTITUTE(SUBSTITUTE($D4263,"-","")," ",""),".",""))</f>
        <v/>
      </c>
      <c r="J4263" s="10" t="str">
        <f aca="false">IF($E4263="","",UPPER(SUBSTITUTE($E4263," ","")))</f>
        <v/>
      </c>
      <c r="K4263" s="10" t="str">
        <f aca="false">IF($A4263="","",$G4263&amp;"|"&amp;$J4263)</f>
        <v/>
      </c>
      <c r="L4263" s="10" t="str">
        <f aca="false">IF($A4263="","",ROW()-2)</f>
        <v/>
      </c>
      <c r="M4263" s="10" t="str">
        <f aca="false">IF($A4263="","",ROW())</f>
        <v/>
      </c>
    </row>
    <row r="4264" customFormat="false" ht="15" hidden="false" customHeight="true" outlineLevel="0" collapsed="false">
      <c r="A4264" s="8"/>
      <c r="B4264" s="8"/>
      <c r="C4264" s="8"/>
      <c r="D4264" s="8"/>
      <c r="E4264" s="8"/>
      <c r="F4264" s="8"/>
      <c r="G4264" s="10" t="str">
        <f aca="false">IF($A4264="","",UPPER(SUBSTITUTE(SUBSTITUTE(SUBSTITUTE(SUBSTITUTE($A4264," ",""),"(주)",""),"주식회사",""),"㈜","")))</f>
        <v/>
      </c>
      <c r="H4264" s="10" t="str">
        <f aca="false">IF($B4264="","",SUBSTITUTE(SUBSTITUTE(SUBSTITUTE($B4264,"-","")," ",""),".",""))</f>
        <v/>
      </c>
      <c r="I4264" s="10" t="str">
        <f aca="false">IF($D4264="","",SUBSTITUTE(SUBSTITUTE(SUBSTITUTE($D4264,"-","")," ",""),".",""))</f>
        <v/>
      </c>
      <c r="J4264" s="10" t="str">
        <f aca="false">IF($E4264="","",UPPER(SUBSTITUTE($E4264," ","")))</f>
        <v/>
      </c>
      <c r="K4264" s="10" t="str">
        <f aca="false">IF($A4264="","",$G4264&amp;"|"&amp;$J4264)</f>
        <v/>
      </c>
      <c r="L4264" s="10" t="str">
        <f aca="false">IF($A4264="","",ROW()-2)</f>
        <v/>
      </c>
      <c r="M4264" s="10" t="str">
        <f aca="false">IF($A4264="","",ROW())</f>
        <v/>
      </c>
    </row>
    <row r="4265" customFormat="false" ht="15" hidden="false" customHeight="true" outlineLevel="0" collapsed="false">
      <c r="A4265" s="8"/>
      <c r="B4265" s="8"/>
      <c r="C4265" s="8"/>
      <c r="D4265" s="8"/>
      <c r="E4265" s="8"/>
      <c r="F4265" s="8"/>
      <c r="G4265" s="10" t="str">
        <f aca="false">IF($A4265="","",UPPER(SUBSTITUTE(SUBSTITUTE(SUBSTITUTE(SUBSTITUTE($A4265," ",""),"(주)",""),"주식회사",""),"㈜","")))</f>
        <v/>
      </c>
      <c r="H4265" s="10" t="str">
        <f aca="false">IF($B4265="","",SUBSTITUTE(SUBSTITUTE(SUBSTITUTE($B4265,"-","")," ",""),".",""))</f>
        <v/>
      </c>
      <c r="I4265" s="10" t="str">
        <f aca="false">IF($D4265="","",SUBSTITUTE(SUBSTITUTE(SUBSTITUTE($D4265,"-","")," ",""),".",""))</f>
        <v/>
      </c>
      <c r="J4265" s="10" t="str">
        <f aca="false">IF($E4265="","",UPPER(SUBSTITUTE($E4265," ","")))</f>
        <v/>
      </c>
      <c r="K4265" s="10" t="str">
        <f aca="false">IF($A4265="","",$G4265&amp;"|"&amp;$J4265)</f>
        <v/>
      </c>
      <c r="L4265" s="10" t="str">
        <f aca="false">IF($A4265="","",ROW()-2)</f>
        <v/>
      </c>
      <c r="M4265" s="10" t="str">
        <f aca="false">IF($A4265="","",ROW())</f>
        <v/>
      </c>
    </row>
    <row r="4266" customFormat="false" ht="15" hidden="false" customHeight="true" outlineLevel="0" collapsed="false">
      <c r="A4266" s="8"/>
      <c r="B4266" s="8"/>
      <c r="C4266" s="8"/>
      <c r="D4266" s="8"/>
      <c r="E4266" s="8"/>
      <c r="F4266" s="8"/>
      <c r="G4266" s="10" t="str">
        <f aca="false">IF($A4266="","",UPPER(SUBSTITUTE(SUBSTITUTE(SUBSTITUTE(SUBSTITUTE($A4266," ",""),"(주)",""),"주식회사",""),"㈜","")))</f>
        <v/>
      </c>
      <c r="H4266" s="10" t="str">
        <f aca="false">IF($B4266="","",SUBSTITUTE(SUBSTITUTE(SUBSTITUTE($B4266,"-","")," ",""),".",""))</f>
        <v/>
      </c>
      <c r="I4266" s="10" t="str">
        <f aca="false">IF($D4266="","",SUBSTITUTE(SUBSTITUTE(SUBSTITUTE($D4266,"-","")," ",""),".",""))</f>
        <v/>
      </c>
      <c r="J4266" s="10" t="str">
        <f aca="false">IF($E4266="","",UPPER(SUBSTITUTE($E4266," ","")))</f>
        <v/>
      </c>
      <c r="K4266" s="10" t="str">
        <f aca="false">IF($A4266="","",$G4266&amp;"|"&amp;$J4266)</f>
        <v/>
      </c>
      <c r="L4266" s="10" t="str">
        <f aca="false">IF($A4266="","",ROW()-2)</f>
        <v/>
      </c>
      <c r="M4266" s="10" t="str">
        <f aca="false">IF($A4266="","",ROW())</f>
        <v/>
      </c>
    </row>
    <row r="4267" customFormat="false" ht="15" hidden="false" customHeight="true" outlineLevel="0" collapsed="false">
      <c r="A4267" s="8"/>
      <c r="B4267" s="8"/>
      <c r="C4267" s="8"/>
      <c r="D4267" s="8"/>
      <c r="E4267" s="8"/>
      <c r="F4267" s="8"/>
      <c r="G4267" s="10" t="str">
        <f aca="false">IF($A4267="","",UPPER(SUBSTITUTE(SUBSTITUTE(SUBSTITUTE(SUBSTITUTE($A4267," ",""),"(주)",""),"주식회사",""),"㈜","")))</f>
        <v/>
      </c>
      <c r="H4267" s="10" t="str">
        <f aca="false">IF($B4267="","",SUBSTITUTE(SUBSTITUTE(SUBSTITUTE($B4267,"-","")," ",""),".",""))</f>
        <v/>
      </c>
      <c r="I4267" s="10" t="str">
        <f aca="false">IF($D4267="","",SUBSTITUTE(SUBSTITUTE(SUBSTITUTE($D4267,"-","")," ",""),".",""))</f>
        <v/>
      </c>
      <c r="J4267" s="10" t="str">
        <f aca="false">IF($E4267="","",UPPER(SUBSTITUTE($E4267," ","")))</f>
        <v/>
      </c>
      <c r="K4267" s="10" t="str">
        <f aca="false">IF($A4267="","",$G4267&amp;"|"&amp;$J4267)</f>
        <v/>
      </c>
      <c r="L4267" s="10" t="str">
        <f aca="false">IF($A4267="","",ROW()-2)</f>
        <v/>
      </c>
      <c r="M4267" s="10" t="str">
        <f aca="false">IF($A4267="","",ROW())</f>
        <v/>
      </c>
    </row>
    <row r="4268" customFormat="false" ht="15" hidden="false" customHeight="true" outlineLevel="0" collapsed="false">
      <c r="A4268" s="8"/>
      <c r="B4268" s="8"/>
      <c r="C4268" s="8"/>
      <c r="D4268" s="8"/>
      <c r="E4268" s="8"/>
      <c r="F4268" s="8"/>
      <c r="G4268" s="10" t="str">
        <f aca="false">IF($A4268="","",UPPER(SUBSTITUTE(SUBSTITUTE(SUBSTITUTE(SUBSTITUTE($A4268," ",""),"(주)",""),"주식회사",""),"㈜","")))</f>
        <v/>
      </c>
      <c r="H4268" s="10" t="str">
        <f aca="false">IF($B4268="","",SUBSTITUTE(SUBSTITUTE(SUBSTITUTE($B4268,"-","")," ",""),".",""))</f>
        <v/>
      </c>
      <c r="I4268" s="10" t="str">
        <f aca="false">IF($D4268="","",SUBSTITUTE(SUBSTITUTE(SUBSTITUTE($D4268,"-","")," ",""),".",""))</f>
        <v/>
      </c>
      <c r="J4268" s="10" t="str">
        <f aca="false">IF($E4268="","",UPPER(SUBSTITUTE($E4268," ","")))</f>
        <v/>
      </c>
      <c r="K4268" s="10" t="str">
        <f aca="false">IF($A4268="","",$G4268&amp;"|"&amp;$J4268)</f>
        <v/>
      </c>
      <c r="L4268" s="10" t="str">
        <f aca="false">IF($A4268="","",ROW()-2)</f>
        <v/>
      </c>
      <c r="M4268" s="10" t="str">
        <f aca="false">IF($A4268="","",ROW())</f>
        <v/>
      </c>
    </row>
    <row r="4269" customFormat="false" ht="15" hidden="false" customHeight="true" outlineLevel="0" collapsed="false">
      <c r="A4269" s="8"/>
      <c r="B4269" s="8"/>
      <c r="C4269" s="8"/>
      <c r="D4269" s="8"/>
      <c r="E4269" s="8"/>
      <c r="F4269" s="8"/>
      <c r="G4269" s="10" t="str">
        <f aca="false">IF($A4269="","",UPPER(SUBSTITUTE(SUBSTITUTE(SUBSTITUTE(SUBSTITUTE($A4269," ",""),"(주)",""),"주식회사",""),"㈜","")))</f>
        <v/>
      </c>
      <c r="H4269" s="10" t="str">
        <f aca="false">IF($B4269="","",SUBSTITUTE(SUBSTITUTE(SUBSTITUTE($B4269,"-","")," ",""),".",""))</f>
        <v/>
      </c>
      <c r="I4269" s="10" t="str">
        <f aca="false">IF($D4269="","",SUBSTITUTE(SUBSTITUTE(SUBSTITUTE($D4269,"-","")," ",""),".",""))</f>
        <v/>
      </c>
      <c r="J4269" s="10" t="str">
        <f aca="false">IF($E4269="","",UPPER(SUBSTITUTE($E4269," ","")))</f>
        <v/>
      </c>
      <c r="K4269" s="10" t="str">
        <f aca="false">IF($A4269="","",$G4269&amp;"|"&amp;$J4269)</f>
        <v/>
      </c>
      <c r="L4269" s="10" t="str">
        <f aca="false">IF($A4269="","",ROW()-2)</f>
        <v/>
      </c>
      <c r="M4269" s="10" t="str">
        <f aca="false">IF($A4269="","",ROW())</f>
        <v/>
      </c>
    </row>
    <row r="4270" customFormat="false" ht="15" hidden="false" customHeight="true" outlineLevel="0" collapsed="false">
      <c r="A4270" s="8"/>
      <c r="B4270" s="8"/>
      <c r="C4270" s="8"/>
      <c r="D4270" s="8"/>
      <c r="E4270" s="8"/>
      <c r="F4270" s="8"/>
      <c r="G4270" s="10" t="str">
        <f aca="false">IF($A4270="","",UPPER(SUBSTITUTE(SUBSTITUTE(SUBSTITUTE(SUBSTITUTE($A4270," ",""),"(주)",""),"주식회사",""),"㈜","")))</f>
        <v/>
      </c>
      <c r="H4270" s="10" t="str">
        <f aca="false">IF($B4270="","",SUBSTITUTE(SUBSTITUTE(SUBSTITUTE($B4270,"-","")," ",""),".",""))</f>
        <v/>
      </c>
      <c r="I4270" s="10" t="str">
        <f aca="false">IF($D4270="","",SUBSTITUTE(SUBSTITUTE(SUBSTITUTE($D4270,"-","")," ",""),".",""))</f>
        <v/>
      </c>
      <c r="J4270" s="10" t="str">
        <f aca="false">IF($E4270="","",UPPER(SUBSTITUTE($E4270," ","")))</f>
        <v/>
      </c>
      <c r="K4270" s="10" t="str">
        <f aca="false">IF($A4270="","",$G4270&amp;"|"&amp;$J4270)</f>
        <v/>
      </c>
      <c r="L4270" s="10" t="str">
        <f aca="false">IF($A4270="","",ROW()-2)</f>
        <v/>
      </c>
      <c r="M4270" s="10" t="str">
        <f aca="false">IF($A4270="","",ROW())</f>
        <v/>
      </c>
    </row>
    <row r="4271" customFormat="false" ht="15" hidden="false" customHeight="true" outlineLevel="0" collapsed="false">
      <c r="A4271" s="8"/>
      <c r="B4271" s="8"/>
      <c r="C4271" s="8"/>
      <c r="D4271" s="8"/>
      <c r="E4271" s="8"/>
      <c r="F4271" s="8"/>
      <c r="G4271" s="10" t="str">
        <f aca="false">IF($A4271="","",UPPER(SUBSTITUTE(SUBSTITUTE(SUBSTITUTE(SUBSTITUTE($A4271," ",""),"(주)",""),"주식회사",""),"㈜","")))</f>
        <v/>
      </c>
      <c r="H4271" s="10" t="str">
        <f aca="false">IF($B4271="","",SUBSTITUTE(SUBSTITUTE(SUBSTITUTE($B4271,"-","")," ",""),".",""))</f>
        <v/>
      </c>
      <c r="I4271" s="10" t="str">
        <f aca="false">IF($D4271="","",SUBSTITUTE(SUBSTITUTE(SUBSTITUTE($D4271,"-","")," ",""),".",""))</f>
        <v/>
      </c>
      <c r="J4271" s="10" t="str">
        <f aca="false">IF($E4271="","",UPPER(SUBSTITUTE($E4271," ","")))</f>
        <v/>
      </c>
      <c r="K4271" s="10" t="str">
        <f aca="false">IF($A4271="","",$G4271&amp;"|"&amp;$J4271)</f>
        <v/>
      </c>
      <c r="L4271" s="10" t="str">
        <f aca="false">IF($A4271="","",ROW()-2)</f>
        <v/>
      </c>
      <c r="M4271" s="10" t="str">
        <f aca="false">IF($A4271="","",ROW())</f>
        <v/>
      </c>
    </row>
    <row r="4272" customFormat="false" ht="15" hidden="false" customHeight="true" outlineLevel="0" collapsed="false">
      <c r="A4272" s="8"/>
      <c r="B4272" s="8"/>
      <c r="C4272" s="8"/>
      <c r="D4272" s="8"/>
      <c r="E4272" s="8"/>
      <c r="F4272" s="8"/>
      <c r="G4272" s="10" t="str">
        <f aca="false">IF($A4272="","",UPPER(SUBSTITUTE(SUBSTITUTE(SUBSTITUTE(SUBSTITUTE($A4272," ",""),"(주)",""),"주식회사",""),"㈜","")))</f>
        <v/>
      </c>
      <c r="H4272" s="10" t="str">
        <f aca="false">IF($B4272="","",SUBSTITUTE(SUBSTITUTE(SUBSTITUTE($B4272,"-","")," ",""),".",""))</f>
        <v/>
      </c>
      <c r="I4272" s="10" t="str">
        <f aca="false">IF($D4272="","",SUBSTITUTE(SUBSTITUTE(SUBSTITUTE($D4272,"-","")," ",""),".",""))</f>
        <v/>
      </c>
      <c r="J4272" s="10" t="str">
        <f aca="false">IF($E4272="","",UPPER(SUBSTITUTE($E4272," ","")))</f>
        <v/>
      </c>
      <c r="K4272" s="10" t="str">
        <f aca="false">IF($A4272="","",$G4272&amp;"|"&amp;$J4272)</f>
        <v/>
      </c>
      <c r="L4272" s="10" t="str">
        <f aca="false">IF($A4272="","",ROW()-2)</f>
        <v/>
      </c>
      <c r="M4272" s="10" t="str">
        <f aca="false">IF($A4272="","",ROW())</f>
        <v/>
      </c>
    </row>
    <row r="4273" customFormat="false" ht="15" hidden="false" customHeight="true" outlineLevel="0" collapsed="false">
      <c r="A4273" s="8"/>
      <c r="B4273" s="8"/>
      <c r="C4273" s="8"/>
      <c r="D4273" s="8"/>
      <c r="E4273" s="8"/>
      <c r="F4273" s="8"/>
      <c r="G4273" s="10" t="str">
        <f aca="false">IF($A4273="","",UPPER(SUBSTITUTE(SUBSTITUTE(SUBSTITUTE(SUBSTITUTE($A4273," ",""),"(주)",""),"주식회사",""),"㈜","")))</f>
        <v/>
      </c>
      <c r="H4273" s="10" t="str">
        <f aca="false">IF($B4273="","",SUBSTITUTE(SUBSTITUTE(SUBSTITUTE($B4273,"-","")," ",""),".",""))</f>
        <v/>
      </c>
      <c r="I4273" s="10" t="str">
        <f aca="false">IF($D4273="","",SUBSTITUTE(SUBSTITUTE(SUBSTITUTE($D4273,"-","")," ",""),".",""))</f>
        <v/>
      </c>
      <c r="J4273" s="10" t="str">
        <f aca="false">IF($E4273="","",UPPER(SUBSTITUTE($E4273," ","")))</f>
        <v/>
      </c>
      <c r="K4273" s="10" t="str">
        <f aca="false">IF($A4273="","",$G4273&amp;"|"&amp;$J4273)</f>
        <v/>
      </c>
      <c r="L4273" s="10" t="str">
        <f aca="false">IF($A4273="","",ROW()-2)</f>
        <v/>
      </c>
      <c r="M4273" s="10" t="str">
        <f aca="false">IF($A4273="","",ROW())</f>
        <v/>
      </c>
    </row>
    <row r="4274" customFormat="false" ht="15" hidden="false" customHeight="true" outlineLevel="0" collapsed="false">
      <c r="A4274" s="8"/>
      <c r="B4274" s="8"/>
      <c r="C4274" s="8"/>
      <c r="D4274" s="8"/>
      <c r="E4274" s="8"/>
      <c r="F4274" s="8"/>
      <c r="G4274" s="10" t="str">
        <f aca="false">IF($A4274="","",UPPER(SUBSTITUTE(SUBSTITUTE(SUBSTITUTE(SUBSTITUTE($A4274," ",""),"(주)",""),"주식회사",""),"㈜","")))</f>
        <v/>
      </c>
      <c r="H4274" s="10" t="str">
        <f aca="false">IF($B4274="","",SUBSTITUTE(SUBSTITUTE(SUBSTITUTE($B4274,"-","")," ",""),".",""))</f>
        <v/>
      </c>
      <c r="I4274" s="10" t="str">
        <f aca="false">IF($D4274="","",SUBSTITUTE(SUBSTITUTE(SUBSTITUTE($D4274,"-","")," ",""),".",""))</f>
        <v/>
      </c>
      <c r="J4274" s="10" t="str">
        <f aca="false">IF($E4274="","",UPPER(SUBSTITUTE($E4274," ","")))</f>
        <v/>
      </c>
      <c r="K4274" s="10" t="str">
        <f aca="false">IF($A4274="","",$G4274&amp;"|"&amp;$J4274)</f>
        <v/>
      </c>
      <c r="L4274" s="10" t="str">
        <f aca="false">IF($A4274="","",ROW()-2)</f>
        <v/>
      </c>
      <c r="M4274" s="10" t="str">
        <f aca="false">IF($A4274="","",ROW())</f>
        <v/>
      </c>
    </row>
    <row r="4275" customFormat="false" ht="15" hidden="false" customHeight="true" outlineLevel="0" collapsed="false">
      <c r="A4275" s="8"/>
      <c r="B4275" s="8"/>
      <c r="C4275" s="8"/>
      <c r="D4275" s="8"/>
      <c r="E4275" s="8"/>
      <c r="F4275" s="8"/>
      <c r="G4275" s="10" t="str">
        <f aca="false">IF($A4275="","",UPPER(SUBSTITUTE(SUBSTITUTE(SUBSTITUTE(SUBSTITUTE($A4275," ",""),"(주)",""),"주식회사",""),"㈜","")))</f>
        <v/>
      </c>
      <c r="H4275" s="10" t="str">
        <f aca="false">IF($B4275="","",SUBSTITUTE(SUBSTITUTE(SUBSTITUTE($B4275,"-","")," ",""),".",""))</f>
        <v/>
      </c>
      <c r="I4275" s="10" t="str">
        <f aca="false">IF($D4275="","",SUBSTITUTE(SUBSTITUTE(SUBSTITUTE($D4275,"-","")," ",""),".",""))</f>
        <v/>
      </c>
      <c r="J4275" s="10" t="str">
        <f aca="false">IF($E4275="","",UPPER(SUBSTITUTE($E4275," ","")))</f>
        <v/>
      </c>
      <c r="K4275" s="10" t="str">
        <f aca="false">IF($A4275="","",$G4275&amp;"|"&amp;$J4275)</f>
        <v/>
      </c>
      <c r="L4275" s="10" t="str">
        <f aca="false">IF($A4275="","",ROW()-2)</f>
        <v/>
      </c>
      <c r="M4275" s="10" t="str">
        <f aca="false">IF($A4275="","",ROW())</f>
        <v/>
      </c>
    </row>
    <row r="4276" customFormat="false" ht="15" hidden="false" customHeight="true" outlineLevel="0" collapsed="false">
      <c r="A4276" s="8"/>
      <c r="B4276" s="8"/>
      <c r="C4276" s="8"/>
      <c r="D4276" s="8"/>
      <c r="E4276" s="8"/>
      <c r="F4276" s="8"/>
      <c r="G4276" s="10" t="str">
        <f aca="false">IF($A4276="","",UPPER(SUBSTITUTE(SUBSTITUTE(SUBSTITUTE(SUBSTITUTE($A4276," ",""),"(주)",""),"주식회사",""),"㈜","")))</f>
        <v/>
      </c>
      <c r="H4276" s="10" t="str">
        <f aca="false">IF($B4276="","",SUBSTITUTE(SUBSTITUTE(SUBSTITUTE($B4276,"-","")," ",""),".",""))</f>
        <v/>
      </c>
      <c r="I4276" s="10" t="str">
        <f aca="false">IF($D4276="","",SUBSTITUTE(SUBSTITUTE(SUBSTITUTE($D4276,"-","")," ",""),".",""))</f>
        <v/>
      </c>
      <c r="J4276" s="10" t="str">
        <f aca="false">IF($E4276="","",UPPER(SUBSTITUTE($E4276," ","")))</f>
        <v/>
      </c>
      <c r="K4276" s="10" t="str">
        <f aca="false">IF($A4276="","",$G4276&amp;"|"&amp;$J4276)</f>
        <v/>
      </c>
      <c r="L4276" s="10" t="str">
        <f aca="false">IF($A4276="","",ROW()-2)</f>
        <v/>
      </c>
      <c r="M4276" s="10" t="str">
        <f aca="false">IF($A4276="","",ROW())</f>
        <v/>
      </c>
    </row>
    <row r="4277" customFormat="false" ht="15" hidden="false" customHeight="true" outlineLevel="0" collapsed="false">
      <c r="A4277" s="8"/>
      <c r="B4277" s="8"/>
      <c r="C4277" s="8"/>
      <c r="D4277" s="8"/>
      <c r="E4277" s="8"/>
      <c r="F4277" s="8"/>
      <c r="G4277" s="10" t="str">
        <f aca="false">IF($A4277="","",UPPER(SUBSTITUTE(SUBSTITUTE(SUBSTITUTE(SUBSTITUTE($A4277," ",""),"(주)",""),"주식회사",""),"㈜","")))</f>
        <v/>
      </c>
      <c r="H4277" s="10" t="str">
        <f aca="false">IF($B4277="","",SUBSTITUTE(SUBSTITUTE(SUBSTITUTE($B4277,"-","")," ",""),".",""))</f>
        <v/>
      </c>
      <c r="I4277" s="10" t="str">
        <f aca="false">IF($D4277="","",SUBSTITUTE(SUBSTITUTE(SUBSTITUTE($D4277,"-","")," ",""),".",""))</f>
        <v/>
      </c>
      <c r="J4277" s="10" t="str">
        <f aca="false">IF($E4277="","",UPPER(SUBSTITUTE($E4277," ","")))</f>
        <v/>
      </c>
      <c r="K4277" s="10" t="str">
        <f aca="false">IF($A4277="","",$G4277&amp;"|"&amp;$J4277)</f>
        <v/>
      </c>
      <c r="L4277" s="10" t="str">
        <f aca="false">IF($A4277="","",ROW()-2)</f>
        <v/>
      </c>
      <c r="M4277" s="10" t="str">
        <f aca="false">IF($A4277="","",ROW())</f>
        <v/>
      </c>
    </row>
    <row r="4278" customFormat="false" ht="15" hidden="false" customHeight="true" outlineLevel="0" collapsed="false">
      <c r="A4278" s="8"/>
      <c r="B4278" s="8"/>
      <c r="C4278" s="8"/>
      <c r="D4278" s="8"/>
      <c r="E4278" s="8"/>
      <c r="F4278" s="8"/>
      <c r="G4278" s="10" t="str">
        <f aca="false">IF($A4278="","",UPPER(SUBSTITUTE(SUBSTITUTE(SUBSTITUTE(SUBSTITUTE($A4278," ",""),"(주)",""),"주식회사",""),"㈜","")))</f>
        <v/>
      </c>
      <c r="H4278" s="10" t="str">
        <f aca="false">IF($B4278="","",SUBSTITUTE(SUBSTITUTE(SUBSTITUTE($B4278,"-","")," ",""),".",""))</f>
        <v/>
      </c>
      <c r="I4278" s="10" t="str">
        <f aca="false">IF($D4278="","",SUBSTITUTE(SUBSTITUTE(SUBSTITUTE($D4278,"-","")," ",""),".",""))</f>
        <v/>
      </c>
      <c r="J4278" s="10" t="str">
        <f aca="false">IF($E4278="","",UPPER(SUBSTITUTE($E4278," ","")))</f>
        <v/>
      </c>
      <c r="K4278" s="10" t="str">
        <f aca="false">IF($A4278="","",$G4278&amp;"|"&amp;$J4278)</f>
        <v/>
      </c>
      <c r="L4278" s="10" t="str">
        <f aca="false">IF($A4278="","",ROW()-2)</f>
        <v/>
      </c>
      <c r="M4278" s="10" t="str">
        <f aca="false">IF($A4278="","",ROW())</f>
        <v/>
      </c>
    </row>
    <row r="4279" customFormat="false" ht="15" hidden="false" customHeight="true" outlineLevel="0" collapsed="false">
      <c r="A4279" s="8"/>
      <c r="B4279" s="8"/>
      <c r="C4279" s="8"/>
      <c r="D4279" s="8"/>
      <c r="E4279" s="8"/>
      <c r="F4279" s="8"/>
      <c r="G4279" s="10" t="str">
        <f aca="false">IF($A4279="","",UPPER(SUBSTITUTE(SUBSTITUTE(SUBSTITUTE(SUBSTITUTE($A4279," ",""),"(주)",""),"주식회사",""),"㈜","")))</f>
        <v/>
      </c>
      <c r="H4279" s="10" t="str">
        <f aca="false">IF($B4279="","",SUBSTITUTE(SUBSTITUTE(SUBSTITUTE($B4279,"-","")," ",""),".",""))</f>
        <v/>
      </c>
      <c r="I4279" s="10" t="str">
        <f aca="false">IF($D4279="","",SUBSTITUTE(SUBSTITUTE(SUBSTITUTE($D4279,"-","")," ",""),".",""))</f>
        <v/>
      </c>
      <c r="J4279" s="10" t="str">
        <f aca="false">IF($E4279="","",UPPER(SUBSTITUTE($E4279," ","")))</f>
        <v/>
      </c>
      <c r="K4279" s="10" t="str">
        <f aca="false">IF($A4279="","",$G4279&amp;"|"&amp;$J4279)</f>
        <v/>
      </c>
      <c r="L4279" s="10" t="str">
        <f aca="false">IF($A4279="","",ROW()-2)</f>
        <v/>
      </c>
      <c r="M4279" s="10" t="str">
        <f aca="false">IF($A4279="","",ROW())</f>
        <v/>
      </c>
    </row>
    <row r="4280" customFormat="false" ht="15" hidden="false" customHeight="true" outlineLevel="0" collapsed="false">
      <c r="A4280" s="8"/>
      <c r="B4280" s="8"/>
      <c r="C4280" s="8"/>
      <c r="D4280" s="8"/>
      <c r="E4280" s="8"/>
      <c r="F4280" s="8"/>
      <c r="G4280" s="10" t="str">
        <f aca="false">IF($A4280="","",UPPER(SUBSTITUTE(SUBSTITUTE(SUBSTITUTE(SUBSTITUTE($A4280," ",""),"(주)",""),"주식회사",""),"㈜","")))</f>
        <v/>
      </c>
      <c r="H4280" s="10" t="str">
        <f aca="false">IF($B4280="","",SUBSTITUTE(SUBSTITUTE(SUBSTITUTE($B4280,"-","")," ",""),".",""))</f>
        <v/>
      </c>
      <c r="I4280" s="10" t="str">
        <f aca="false">IF($D4280="","",SUBSTITUTE(SUBSTITUTE(SUBSTITUTE($D4280,"-","")," ",""),".",""))</f>
        <v/>
      </c>
      <c r="J4280" s="10" t="str">
        <f aca="false">IF($E4280="","",UPPER(SUBSTITUTE($E4280," ","")))</f>
        <v/>
      </c>
      <c r="K4280" s="10" t="str">
        <f aca="false">IF($A4280="","",$G4280&amp;"|"&amp;$J4280)</f>
        <v/>
      </c>
      <c r="L4280" s="10" t="str">
        <f aca="false">IF($A4280="","",ROW()-2)</f>
        <v/>
      </c>
      <c r="M4280" s="10" t="str">
        <f aca="false">IF($A4280="","",ROW())</f>
        <v/>
      </c>
    </row>
    <row r="4281" customFormat="false" ht="15" hidden="false" customHeight="true" outlineLevel="0" collapsed="false">
      <c r="A4281" s="8"/>
      <c r="B4281" s="8"/>
      <c r="C4281" s="8"/>
      <c r="D4281" s="8"/>
      <c r="E4281" s="8"/>
      <c r="F4281" s="8"/>
      <c r="G4281" s="10" t="str">
        <f aca="false">IF($A4281="","",UPPER(SUBSTITUTE(SUBSTITUTE(SUBSTITUTE(SUBSTITUTE($A4281," ",""),"(주)",""),"주식회사",""),"㈜","")))</f>
        <v/>
      </c>
      <c r="H4281" s="10" t="str">
        <f aca="false">IF($B4281="","",SUBSTITUTE(SUBSTITUTE(SUBSTITUTE($B4281,"-","")," ",""),".",""))</f>
        <v/>
      </c>
      <c r="I4281" s="10" t="str">
        <f aca="false">IF($D4281="","",SUBSTITUTE(SUBSTITUTE(SUBSTITUTE($D4281,"-","")," ",""),".",""))</f>
        <v/>
      </c>
      <c r="J4281" s="10" t="str">
        <f aca="false">IF($E4281="","",UPPER(SUBSTITUTE($E4281," ","")))</f>
        <v/>
      </c>
      <c r="K4281" s="10" t="str">
        <f aca="false">IF($A4281="","",$G4281&amp;"|"&amp;$J4281)</f>
        <v/>
      </c>
      <c r="L4281" s="10" t="str">
        <f aca="false">IF($A4281="","",ROW()-2)</f>
        <v/>
      </c>
      <c r="M4281" s="10" t="str">
        <f aca="false">IF($A4281="","",ROW())</f>
        <v/>
      </c>
    </row>
    <row r="4282" customFormat="false" ht="15" hidden="false" customHeight="true" outlineLevel="0" collapsed="false">
      <c r="A4282" s="8"/>
      <c r="B4282" s="8"/>
      <c r="C4282" s="8"/>
      <c r="D4282" s="8"/>
      <c r="E4282" s="8"/>
      <c r="F4282" s="8"/>
      <c r="G4282" s="10" t="str">
        <f aca="false">IF($A4282="","",UPPER(SUBSTITUTE(SUBSTITUTE(SUBSTITUTE(SUBSTITUTE($A4282," ",""),"(주)",""),"주식회사",""),"㈜","")))</f>
        <v/>
      </c>
      <c r="H4282" s="10" t="str">
        <f aca="false">IF($B4282="","",SUBSTITUTE(SUBSTITUTE(SUBSTITUTE($B4282,"-","")," ",""),".",""))</f>
        <v/>
      </c>
      <c r="I4282" s="10" t="str">
        <f aca="false">IF($D4282="","",SUBSTITUTE(SUBSTITUTE(SUBSTITUTE($D4282,"-","")," ",""),".",""))</f>
        <v/>
      </c>
      <c r="J4282" s="10" t="str">
        <f aca="false">IF($E4282="","",UPPER(SUBSTITUTE($E4282," ","")))</f>
        <v/>
      </c>
      <c r="K4282" s="10" t="str">
        <f aca="false">IF($A4282="","",$G4282&amp;"|"&amp;$J4282)</f>
        <v/>
      </c>
      <c r="L4282" s="10" t="str">
        <f aca="false">IF($A4282="","",ROW()-2)</f>
        <v/>
      </c>
      <c r="M4282" s="10" t="str">
        <f aca="false">IF($A4282="","",ROW())</f>
        <v/>
      </c>
    </row>
    <row r="4283" customFormat="false" ht="15" hidden="false" customHeight="true" outlineLevel="0" collapsed="false">
      <c r="A4283" s="8"/>
      <c r="B4283" s="8"/>
      <c r="C4283" s="8"/>
      <c r="D4283" s="8"/>
      <c r="E4283" s="8"/>
      <c r="F4283" s="8"/>
      <c r="G4283" s="10" t="str">
        <f aca="false">IF($A4283="","",UPPER(SUBSTITUTE(SUBSTITUTE(SUBSTITUTE(SUBSTITUTE($A4283," ",""),"(주)",""),"주식회사",""),"㈜","")))</f>
        <v/>
      </c>
      <c r="H4283" s="10" t="str">
        <f aca="false">IF($B4283="","",SUBSTITUTE(SUBSTITUTE(SUBSTITUTE($B4283,"-","")," ",""),".",""))</f>
        <v/>
      </c>
      <c r="I4283" s="10" t="str">
        <f aca="false">IF($D4283="","",SUBSTITUTE(SUBSTITUTE(SUBSTITUTE($D4283,"-","")," ",""),".",""))</f>
        <v/>
      </c>
      <c r="J4283" s="10" t="str">
        <f aca="false">IF($E4283="","",UPPER(SUBSTITUTE($E4283," ","")))</f>
        <v/>
      </c>
      <c r="K4283" s="10" t="str">
        <f aca="false">IF($A4283="","",$G4283&amp;"|"&amp;$J4283)</f>
        <v/>
      </c>
      <c r="L4283" s="10" t="str">
        <f aca="false">IF($A4283="","",ROW()-2)</f>
        <v/>
      </c>
      <c r="M4283" s="10" t="str">
        <f aca="false">IF($A4283="","",ROW())</f>
        <v/>
      </c>
    </row>
    <row r="4284" customFormat="false" ht="15" hidden="false" customHeight="true" outlineLevel="0" collapsed="false">
      <c r="A4284" s="8"/>
      <c r="B4284" s="8"/>
      <c r="C4284" s="8"/>
      <c r="D4284" s="8"/>
      <c r="E4284" s="8"/>
      <c r="F4284" s="8"/>
      <c r="G4284" s="10" t="str">
        <f aca="false">IF($A4284="","",UPPER(SUBSTITUTE(SUBSTITUTE(SUBSTITUTE(SUBSTITUTE($A4284," ",""),"(주)",""),"주식회사",""),"㈜","")))</f>
        <v/>
      </c>
      <c r="H4284" s="10" t="str">
        <f aca="false">IF($B4284="","",SUBSTITUTE(SUBSTITUTE(SUBSTITUTE($B4284,"-","")," ",""),".",""))</f>
        <v/>
      </c>
      <c r="I4284" s="10" t="str">
        <f aca="false">IF($D4284="","",SUBSTITUTE(SUBSTITUTE(SUBSTITUTE($D4284,"-","")," ",""),".",""))</f>
        <v/>
      </c>
      <c r="J4284" s="10" t="str">
        <f aca="false">IF($E4284="","",UPPER(SUBSTITUTE($E4284," ","")))</f>
        <v/>
      </c>
      <c r="K4284" s="10" t="str">
        <f aca="false">IF($A4284="","",$G4284&amp;"|"&amp;$J4284)</f>
        <v/>
      </c>
      <c r="L4284" s="10" t="str">
        <f aca="false">IF($A4284="","",ROW()-2)</f>
        <v/>
      </c>
      <c r="M4284" s="10" t="str">
        <f aca="false">IF($A4284="","",ROW())</f>
        <v/>
      </c>
    </row>
    <row r="4285" customFormat="false" ht="15" hidden="false" customHeight="true" outlineLevel="0" collapsed="false">
      <c r="A4285" s="8"/>
      <c r="B4285" s="8"/>
      <c r="C4285" s="8"/>
      <c r="D4285" s="8"/>
      <c r="E4285" s="8"/>
      <c r="F4285" s="8"/>
      <c r="G4285" s="10" t="str">
        <f aca="false">IF($A4285="","",UPPER(SUBSTITUTE(SUBSTITUTE(SUBSTITUTE(SUBSTITUTE($A4285," ",""),"(주)",""),"주식회사",""),"㈜","")))</f>
        <v/>
      </c>
      <c r="H4285" s="10" t="str">
        <f aca="false">IF($B4285="","",SUBSTITUTE(SUBSTITUTE(SUBSTITUTE($B4285,"-","")," ",""),".",""))</f>
        <v/>
      </c>
      <c r="I4285" s="10" t="str">
        <f aca="false">IF($D4285="","",SUBSTITUTE(SUBSTITUTE(SUBSTITUTE($D4285,"-","")," ",""),".",""))</f>
        <v/>
      </c>
      <c r="J4285" s="10" t="str">
        <f aca="false">IF($E4285="","",UPPER(SUBSTITUTE($E4285," ","")))</f>
        <v/>
      </c>
      <c r="K4285" s="10" t="str">
        <f aca="false">IF($A4285="","",$G4285&amp;"|"&amp;$J4285)</f>
        <v/>
      </c>
      <c r="L4285" s="10" t="str">
        <f aca="false">IF($A4285="","",ROW()-2)</f>
        <v/>
      </c>
      <c r="M4285" s="10" t="str">
        <f aca="false">IF($A4285="","",ROW())</f>
        <v/>
      </c>
    </row>
    <row r="4286" customFormat="false" ht="15" hidden="false" customHeight="true" outlineLevel="0" collapsed="false">
      <c r="A4286" s="8"/>
      <c r="B4286" s="8"/>
      <c r="C4286" s="8"/>
      <c r="D4286" s="8"/>
      <c r="E4286" s="8"/>
      <c r="F4286" s="8"/>
      <c r="G4286" s="10" t="str">
        <f aca="false">IF($A4286="","",UPPER(SUBSTITUTE(SUBSTITUTE(SUBSTITUTE(SUBSTITUTE($A4286," ",""),"(주)",""),"주식회사",""),"㈜","")))</f>
        <v/>
      </c>
      <c r="H4286" s="10" t="str">
        <f aca="false">IF($B4286="","",SUBSTITUTE(SUBSTITUTE(SUBSTITUTE($B4286,"-","")," ",""),".",""))</f>
        <v/>
      </c>
      <c r="I4286" s="10" t="str">
        <f aca="false">IF($D4286="","",SUBSTITUTE(SUBSTITUTE(SUBSTITUTE($D4286,"-","")," ",""),".",""))</f>
        <v/>
      </c>
      <c r="J4286" s="10" t="str">
        <f aca="false">IF($E4286="","",UPPER(SUBSTITUTE($E4286," ","")))</f>
        <v/>
      </c>
      <c r="K4286" s="10" t="str">
        <f aca="false">IF($A4286="","",$G4286&amp;"|"&amp;$J4286)</f>
        <v/>
      </c>
      <c r="L4286" s="10" t="str">
        <f aca="false">IF($A4286="","",ROW()-2)</f>
        <v/>
      </c>
      <c r="M4286" s="10" t="str">
        <f aca="false">IF($A4286="","",ROW())</f>
        <v/>
      </c>
    </row>
    <row r="4287" customFormat="false" ht="15" hidden="false" customHeight="true" outlineLevel="0" collapsed="false">
      <c r="A4287" s="8"/>
      <c r="B4287" s="8"/>
      <c r="C4287" s="8"/>
      <c r="D4287" s="8"/>
      <c r="E4287" s="8"/>
      <c r="F4287" s="8"/>
      <c r="G4287" s="10" t="str">
        <f aca="false">IF($A4287="","",UPPER(SUBSTITUTE(SUBSTITUTE(SUBSTITUTE(SUBSTITUTE($A4287," ",""),"(주)",""),"주식회사",""),"㈜","")))</f>
        <v/>
      </c>
      <c r="H4287" s="10" t="str">
        <f aca="false">IF($B4287="","",SUBSTITUTE(SUBSTITUTE(SUBSTITUTE($B4287,"-","")," ",""),".",""))</f>
        <v/>
      </c>
      <c r="I4287" s="10" t="str">
        <f aca="false">IF($D4287="","",SUBSTITUTE(SUBSTITUTE(SUBSTITUTE($D4287,"-","")," ",""),".",""))</f>
        <v/>
      </c>
      <c r="J4287" s="10" t="str">
        <f aca="false">IF($E4287="","",UPPER(SUBSTITUTE($E4287," ","")))</f>
        <v/>
      </c>
      <c r="K4287" s="10" t="str">
        <f aca="false">IF($A4287="","",$G4287&amp;"|"&amp;$J4287)</f>
        <v/>
      </c>
      <c r="L4287" s="10" t="str">
        <f aca="false">IF($A4287="","",ROW()-2)</f>
        <v/>
      </c>
      <c r="M4287" s="10" t="str">
        <f aca="false">IF($A4287="","",ROW())</f>
        <v/>
      </c>
    </row>
    <row r="4288" customFormat="false" ht="15" hidden="false" customHeight="true" outlineLevel="0" collapsed="false">
      <c r="A4288" s="8"/>
      <c r="B4288" s="8"/>
      <c r="C4288" s="8"/>
      <c r="D4288" s="8"/>
      <c r="E4288" s="8"/>
      <c r="F4288" s="8"/>
      <c r="G4288" s="10" t="str">
        <f aca="false">IF($A4288="","",UPPER(SUBSTITUTE(SUBSTITUTE(SUBSTITUTE(SUBSTITUTE($A4288," ",""),"(주)",""),"주식회사",""),"㈜","")))</f>
        <v/>
      </c>
      <c r="H4288" s="10" t="str">
        <f aca="false">IF($B4288="","",SUBSTITUTE(SUBSTITUTE(SUBSTITUTE($B4288,"-","")," ",""),".",""))</f>
        <v/>
      </c>
      <c r="I4288" s="10" t="str">
        <f aca="false">IF($D4288="","",SUBSTITUTE(SUBSTITUTE(SUBSTITUTE($D4288,"-","")," ",""),".",""))</f>
        <v/>
      </c>
      <c r="J4288" s="10" t="str">
        <f aca="false">IF($E4288="","",UPPER(SUBSTITUTE($E4288," ","")))</f>
        <v/>
      </c>
      <c r="K4288" s="10" t="str">
        <f aca="false">IF($A4288="","",$G4288&amp;"|"&amp;$J4288)</f>
        <v/>
      </c>
      <c r="L4288" s="10" t="str">
        <f aca="false">IF($A4288="","",ROW()-2)</f>
        <v/>
      </c>
      <c r="M4288" s="10" t="str">
        <f aca="false">IF($A4288="","",ROW())</f>
        <v/>
      </c>
    </row>
    <row r="4289" customFormat="false" ht="15" hidden="false" customHeight="true" outlineLevel="0" collapsed="false">
      <c r="A4289" s="8"/>
      <c r="B4289" s="8"/>
      <c r="C4289" s="8"/>
      <c r="D4289" s="8"/>
      <c r="E4289" s="8"/>
      <c r="F4289" s="8"/>
      <c r="G4289" s="10" t="str">
        <f aca="false">IF($A4289="","",UPPER(SUBSTITUTE(SUBSTITUTE(SUBSTITUTE(SUBSTITUTE($A4289," ",""),"(주)",""),"주식회사",""),"㈜","")))</f>
        <v/>
      </c>
      <c r="H4289" s="10" t="str">
        <f aca="false">IF($B4289="","",SUBSTITUTE(SUBSTITUTE(SUBSTITUTE($B4289,"-","")," ",""),".",""))</f>
        <v/>
      </c>
      <c r="I4289" s="10" t="str">
        <f aca="false">IF($D4289="","",SUBSTITUTE(SUBSTITUTE(SUBSTITUTE($D4289,"-","")," ",""),".",""))</f>
        <v/>
      </c>
      <c r="J4289" s="10" t="str">
        <f aca="false">IF($E4289="","",UPPER(SUBSTITUTE($E4289," ","")))</f>
        <v/>
      </c>
      <c r="K4289" s="10" t="str">
        <f aca="false">IF($A4289="","",$G4289&amp;"|"&amp;$J4289)</f>
        <v/>
      </c>
      <c r="L4289" s="10" t="str">
        <f aca="false">IF($A4289="","",ROW()-2)</f>
        <v/>
      </c>
      <c r="M4289" s="10" t="str">
        <f aca="false">IF($A4289="","",ROW())</f>
        <v/>
      </c>
    </row>
    <row r="4290" customFormat="false" ht="15" hidden="false" customHeight="true" outlineLevel="0" collapsed="false">
      <c r="A4290" s="8"/>
      <c r="B4290" s="8"/>
      <c r="C4290" s="8"/>
      <c r="D4290" s="8"/>
      <c r="E4290" s="8"/>
      <c r="F4290" s="8"/>
      <c r="G4290" s="10" t="str">
        <f aca="false">IF($A4290="","",UPPER(SUBSTITUTE(SUBSTITUTE(SUBSTITUTE(SUBSTITUTE($A4290," ",""),"(주)",""),"주식회사",""),"㈜","")))</f>
        <v/>
      </c>
      <c r="H4290" s="10" t="str">
        <f aca="false">IF($B4290="","",SUBSTITUTE(SUBSTITUTE(SUBSTITUTE($B4290,"-","")," ",""),".",""))</f>
        <v/>
      </c>
      <c r="I4290" s="10" t="str">
        <f aca="false">IF($D4290="","",SUBSTITUTE(SUBSTITUTE(SUBSTITUTE($D4290,"-","")," ",""),".",""))</f>
        <v/>
      </c>
      <c r="J4290" s="10" t="str">
        <f aca="false">IF($E4290="","",UPPER(SUBSTITUTE($E4290," ","")))</f>
        <v/>
      </c>
      <c r="K4290" s="10" t="str">
        <f aca="false">IF($A4290="","",$G4290&amp;"|"&amp;$J4290)</f>
        <v/>
      </c>
      <c r="L4290" s="10" t="str">
        <f aca="false">IF($A4290="","",ROW()-2)</f>
        <v/>
      </c>
      <c r="M4290" s="10" t="str">
        <f aca="false">IF($A4290="","",ROW())</f>
        <v/>
      </c>
    </row>
    <row r="4291" customFormat="false" ht="15" hidden="false" customHeight="true" outlineLevel="0" collapsed="false">
      <c r="A4291" s="8"/>
      <c r="B4291" s="8"/>
      <c r="C4291" s="8"/>
      <c r="D4291" s="8"/>
      <c r="E4291" s="8"/>
      <c r="F4291" s="8"/>
      <c r="G4291" s="10" t="str">
        <f aca="false">IF($A4291="","",UPPER(SUBSTITUTE(SUBSTITUTE(SUBSTITUTE(SUBSTITUTE($A4291," ",""),"(주)",""),"주식회사",""),"㈜","")))</f>
        <v/>
      </c>
      <c r="H4291" s="10" t="str">
        <f aca="false">IF($B4291="","",SUBSTITUTE(SUBSTITUTE(SUBSTITUTE($B4291,"-","")," ",""),".",""))</f>
        <v/>
      </c>
      <c r="I4291" s="10" t="str">
        <f aca="false">IF($D4291="","",SUBSTITUTE(SUBSTITUTE(SUBSTITUTE($D4291,"-","")," ",""),".",""))</f>
        <v/>
      </c>
      <c r="J4291" s="10" t="str">
        <f aca="false">IF($E4291="","",UPPER(SUBSTITUTE($E4291," ","")))</f>
        <v/>
      </c>
      <c r="K4291" s="10" t="str">
        <f aca="false">IF($A4291="","",$G4291&amp;"|"&amp;$J4291)</f>
        <v/>
      </c>
      <c r="L4291" s="10" t="str">
        <f aca="false">IF($A4291="","",ROW()-2)</f>
        <v/>
      </c>
      <c r="M4291" s="10" t="str">
        <f aca="false">IF($A4291="","",ROW())</f>
        <v/>
      </c>
    </row>
    <row r="4292" customFormat="false" ht="15" hidden="false" customHeight="true" outlineLevel="0" collapsed="false">
      <c r="A4292" s="8"/>
      <c r="B4292" s="8"/>
      <c r="C4292" s="8"/>
      <c r="D4292" s="8"/>
      <c r="E4292" s="8"/>
      <c r="F4292" s="8"/>
      <c r="G4292" s="10" t="str">
        <f aca="false">IF($A4292="","",UPPER(SUBSTITUTE(SUBSTITUTE(SUBSTITUTE(SUBSTITUTE($A4292," ",""),"(주)",""),"주식회사",""),"㈜","")))</f>
        <v/>
      </c>
      <c r="H4292" s="10" t="str">
        <f aca="false">IF($B4292="","",SUBSTITUTE(SUBSTITUTE(SUBSTITUTE($B4292,"-","")," ",""),".",""))</f>
        <v/>
      </c>
      <c r="I4292" s="10" t="str">
        <f aca="false">IF($D4292="","",SUBSTITUTE(SUBSTITUTE(SUBSTITUTE($D4292,"-","")," ",""),".",""))</f>
        <v/>
      </c>
      <c r="J4292" s="10" t="str">
        <f aca="false">IF($E4292="","",UPPER(SUBSTITUTE($E4292," ","")))</f>
        <v/>
      </c>
      <c r="K4292" s="10" t="str">
        <f aca="false">IF($A4292="","",$G4292&amp;"|"&amp;$J4292)</f>
        <v/>
      </c>
      <c r="L4292" s="10" t="str">
        <f aca="false">IF($A4292="","",ROW()-2)</f>
        <v/>
      </c>
      <c r="M4292" s="10" t="str">
        <f aca="false">IF($A4292="","",ROW())</f>
        <v/>
      </c>
    </row>
    <row r="4293" customFormat="false" ht="15" hidden="false" customHeight="true" outlineLevel="0" collapsed="false">
      <c r="A4293" s="8"/>
      <c r="B4293" s="8"/>
      <c r="C4293" s="8"/>
      <c r="D4293" s="8"/>
      <c r="E4293" s="8"/>
      <c r="F4293" s="8"/>
      <c r="G4293" s="10" t="str">
        <f aca="false">IF($A4293="","",UPPER(SUBSTITUTE(SUBSTITUTE(SUBSTITUTE(SUBSTITUTE($A4293," ",""),"(주)",""),"주식회사",""),"㈜","")))</f>
        <v/>
      </c>
      <c r="H4293" s="10" t="str">
        <f aca="false">IF($B4293="","",SUBSTITUTE(SUBSTITUTE(SUBSTITUTE($B4293,"-","")," ",""),".",""))</f>
        <v/>
      </c>
      <c r="I4293" s="10" t="str">
        <f aca="false">IF($D4293="","",SUBSTITUTE(SUBSTITUTE(SUBSTITUTE($D4293,"-","")," ",""),".",""))</f>
        <v/>
      </c>
      <c r="J4293" s="10" t="str">
        <f aca="false">IF($E4293="","",UPPER(SUBSTITUTE($E4293," ","")))</f>
        <v/>
      </c>
      <c r="K4293" s="10" t="str">
        <f aca="false">IF($A4293="","",$G4293&amp;"|"&amp;$J4293)</f>
        <v/>
      </c>
      <c r="L4293" s="10" t="str">
        <f aca="false">IF($A4293="","",ROW()-2)</f>
        <v/>
      </c>
      <c r="M4293" s="10" t="str">
        <f aca="false">IF($A4293="","",ROW())</f>
        <v/>
      </c>
    </row>
    <row r="4294" customFormat="false" ht="15" hidden="false" customHeight="true" outlineLevel="0" collapsed="false">
      <c r="A4294" s="8"/>
      <c r="B4294" s="8"/>
      <c r="C4294" s="8"/>
      <c r="D4294" s="8"/>
      <c r="E4294" s="8"/>
      <c r="F4294" s="8"/>
      <c r="G4294" s="10" t="str">
        <f aca="false">IF($A4294="","",UPPER(SUBSTITUTE(SUBSTITUTE(SUBSTITUTE(SUBSTITUTE($A4294," ",""),"(주)",""),"주식회사",""),"㈜","")))</f>
        <v/>
      </c>
      <c r="H4294" s="10" t="str">
        <f aca="false">IF($B4294="","",SUBSTITUTE(SUBSTITUTE(SUBSTITUTE($B4294,"-","")," ",""),".",""))</f>
        <v/>
      </c>
      <c r="I4294" s="10" t="str">
        <f aca="false">IF($D4294="","",SUBSTITUTE(SUBSTITUTE(SUBSTITUTE($D4294,"-","")," ",""),".",""))</f>
        <v/>
      </c>
      <c r="J4294" s="10" t="str">
        <f aca="false">IF($E4294="","",UPPER(SUBSTITUTE($E4294," ","")))</f>
        <v/>
      </c>
      <c r="K4294" s="10" t="str">
        <f aca="false">IF($A4294="","",$G4294&amp;"|"&amp;$J4294)</f>
        <v/>
      </c>
      <c r="L4294" s="10" t="str">
        <f aca="false">IF($A4294="","",ROW()-2)</f>
        <v/>
      </c>
      <c r="M4294" s="10" t="str">
        <f aca="false">IF($A4294="","",ROW())</f>
        <v/>
      </c>
    </row>
    <row r="4295" customFormat="false" ht="15" hidden="false" customHeight="true" outlineLevel="0" collapsed="false">
      <c r="A4295" s="8"/>
      <c r="B4295" s="8"/>
      <c r="C4295" s="8"/>
      <c r="D4295" s="8"/>
      <c r="E4295" s="8"/>
      <c r="F4295" s="8"/>
      <c r="G4295" s="10" t="str">
        <f aca="false">IF($A4295="","",UPPER(SUBSTITUTE(SUBSTITUTE(SUBSTITUTE(SUBSTITUTE($A4295," ",""),"(주)",""),"주식회사",""),"㈜","")))</f>
        <v/>
      </c>
      <c r="H4295" s="10" t="str">
        <f aca="false">IF($B4295="","",SUBSTITUTE(SUBSTITUTE(SUBSTITUTE($B4295,"-","")," ",""),".",""))</f>
        <v/>
      </c>
      <c r="I4295" s="10" t="str">
        <f aca="false">IF($D4295="","",SUBSTITUTE(SUBSTITUTE(SUBSTITUTE($D4295,"-","")," ",""),".",""))</f>
        <v/>
      </c>
      <c r="J4295" s="10" t="str">
        <f aca="false">IF($E4295="","",UPPER(SUBSTITUTE($E4295," ","")))</f>
        <v/>
      </c>
      <c r="K4295" s="10" t="str">
        <f aca="false">IF($A4295="","",$G4295&amp;"|"&amp;$J4295)</f>
        <v/>
      </c>
      <c r="L4295" s="10" t="str">
        <f aca="false">IF($A4295="","",ROW()-2)</f>
        <v/>
      </c>
      <c r="M4295" s="10" t="str">
        <f aca="false">IF($A4295="","",ROW())</f>
        <v/>
      </c>
    </row>
    <row r="4296" customFormat="false" ht="15" hidden="false" customHeight="true" outlineLevel="0" collapsed="false">
      <c r="A4296" s="8"/>
      <c r="B4296" s="8"/>
      <c r="C4296" s="8"/>
      <c r="D4296" s="8"/>
      <c r="E4296" s="8"/>
      <c r="F4296" s="8"/>
      <c r="G4296" s="10" t="str">
        <f aca="false">IF($A4296="","",UPPER(SUBSTITUTE(SUBSTITUTE(SUBSTITUTE(SUBSTITUTE($A4296," ",""),"(주)",""),"주식회사",""),"㈜","")))</f>
        <v/>
      </c>
      <c r="H4296" s="10" t="str">
        <f aca="false">IF($B4296="","",SUBSTITUTE(SUBSTITUTE(SUBSTITUTE($B4296,"-","")," ",""),".",""))</f>
        <v/>
      </c>
      <c r="I4296" s="10" t="str">
        <f aca="false">IF($D4296="","",SUBSTITUTE(SUBSTITUTE(SUBSTITUTE($D4296,"-","")," ",""),".",""))</f>
        <v/>
      </c>
      <c r="J4296" s="10" t="str">
        <f aca="false">IF($E4296="","",UPPER(SUBSTITUTE($E4296," ","")))</f>
        <v/>
      </c>
      <c r="K4296" s="10" t="str">
        <f aca="false">IF($A4296="","",$G4296&amp;"|"&amp;$J4296)</f>
        <v/>
      </c>
      <c r="L4296" s="10" t="str">
        <f aca="false">IF($A4296="","",ROW()-2)</f>
        <v/>
      </c>
      <c r="M4296" s="10" t="str">
        <f aca="false">IF($A4296="","",ROW())</f>
        <v/>
      </c>
    </row>
    <row r="4297" customFormat="false" ht="15" hidden="false" customHeight="true" outlineLevel="0" collapsed="false">
      <c r="A4297" s="8"/>
      <c r="B4297" s="8"/>
      <c r="C4297" s="8"/>
      <c r="D4297" s="8"/>
      <c r="E4297" s="8"/>
      <c r="F4297" s="8"/>
      <c r="G4297" s="10" t="str">
        <f aca="false">IF($A4297="","",UPPER(SUBSTITUTE(SUBSTITUTE(SUBSTITUTE(SUBSTITUTE($A4297," ",""),"(주)",""),"주식회사",""),"㈜","")))</f>
        <v/>
      </c>
      <c r="H4297" s="10" t="str">
        <f aca="false">IF($B4297="","",SUBSTITUTE(SUBSTITUTE(SUBSTITUTE($B4297,"-","")," ",""),".",""))</f>
        <v/>
      </c>
      <c r="I4297" s="10" t="str">
        <f aca="false">IF($D4297="","",SUBSTITUTE(SUBSTITUTE(SUBSTITUTE($D4297,"-","")," ",""),".",""))</f>
        <v/>
      </c>
      <c r="J4297" s="10" t="str">
        <f aca="false">IF($E4297="","",UPPER(SUBSTITUTE($E4297," ","")))</f>
        <v/>
      </c>
      <c r="K4297" s="10" t="str">
        <f aca="false">IF($A4297="","",$G4297&amp;"|"&amp;$J4297)</f>
        <v/>
      </c>
      <c r="L4297" s="10" t="str">
        <f aca="false">IF($A4297="","",ROW()-2)</f>
        <v/>
      </c>
      <c r="M4297" s="10" t="str">
        <f aca="false">IF($A4297="","",ROW())</f>
        <v/>
      </c>
    </row>
    <row r="4298" customFormat="false" ht="15" hidden="false" customHeight="true" outlineLevel="0" collapsed="false">
      <c r="A4298" s="8"/>
      <c r="B4298" s="8"/>
      <c r="C4298" s="8"/>
      <c r="D4298" s="8"/>
      <c r="E4298" s="8"/>
      <c r="F4298" s="8"/>
      <c r="G4298" s="10" t="str">
        <f aca="false">IF($A4298="","",UPPER(SUBSTITUTE(SUBSTITUTE(SUBSTITUTE(SUBSTITUTE($A4298," ",""),"(주)",""),"주식회사",""),"㈜","")))</f>
        <v/>
      </c>
      <c r="H4298" s="10" t="str">
        <f aca="false">IF($B4298="","",SUBSTITUTE(SUBSTITUTE(SUBSTITUTE($B4298,"-","")," ",""),".",""))</f>
        <v/>
      </c>
      <c r="I4298" s="10" t="str">
        <f aca="false">IF($D4298="","",SUBSTITUTE(SUBSTITUTE(SUBSTITUTE($D4298,"-","")," ",""),".",""))</f>
        <v/>
      </c>
      <c r="J4298" s="10" t="str">
        <f aca="false">IF($E4298="","",UPPER(SUBSTITUTE($E4298," ","")))</f>
        <v/>
      </c>
      <c r="K4298" s="10" t="str">
        <f aca="false">IF($A4298="","",$G4298&amp;"|"&amp;$J4298)</f>
        <v/>
      </c>
      <c r="L4298" s="10" t="str">
        <f aca="false">IF($A4298="","",ROW()-2)</f>
        <v/>
      </c>
      <c r="M4298" s="10" t="str">
        <f aca="false">IF($A4298="","",ROW())</f>
        <v/>
      </c>
    </row>
    <row r="4299" customFormat="false" ht="15" hidden="false" customHeight="true" outlineLevel="0" collapsed="false">
      <c r="A4299" s="8"/>
      <c r="B4299" s="8"/>
      <c r="C4299" s="8"/>
      <c r="D4299" s="8"/>
      <c r="E4299" s="8"/>
      <c r="F4299" s="8"/>
      <c r="G4299" s="10" t="str">
        <f aca="false">IF($A4299="","",UPPER(SUBSTITUTE(SUBSTITUTE(SUBSTITUTE(SUBSTITUTE($A4299," ",""),"(주)",""),"주식회사",""),"㈜","")))</f>
        <v/>
      </c>
      <c r="H4299" s="10" t="str">
        <f aca="false">IF($B4299="","",SUBSTITUTE(SUBSTITUTE(SUBSTITUTE($B4299,"-","")," ",""),".",""))</f>
        <v/>
      </c>
      <c r="I4299" s="10" t="str">
        <f aca="false">IF($D4299="","",SUBSTITUTE(SUBSTITUTE(SUBSTITUTE($D4299,"-","")," ",""),".",""))</f>
        <v/>
      </c>
      <c r="J4299" s="10" t="str">
        <f aca="false">IF($E4299="","",UPPER(SUBSTITUTE($E4299," ","")))</f>
        <v/>
      </c>
      <c r="K4299" s="10" t="str">
        <f aca="false">IF($A4299="","",$G4299&amp;"|"&amp;$J4299)</f>
        <v/>
      </c>
      <c r="L4299" s="10" t="str">
        <f aca="false">IF($A4299="","",ROW()-2)</f>
        <v/>
      </c>
      <c r="M4299" s="10" t="str">
        <f aca="false">IF($A4299="","",ROW())</f>
        <v/>
      </c>
    </row>
    <row r="4300" customFormat="false" ht="15" hidden="false" customHeight="true" outlineLevel="0" collapsed="false">
      <c r="A4300" s="8"/>
      <c r="B4300" s="8"/>
      <c r="C4300" s="8"/>
      <c r="D4300" s="8"/>
      <c r="E4300" s="8"/>
      <c r="F4300" s="8"/>
      <c r="G4300" s="10" t="str">
        <f aca="false">IF($A4300="","",UPPER(SUBSTITUTE(SUBSTITUTE(SUBSTITUTE(SUBSTITUTE($A4300," ",""),"(주)",""),"주식회사",""),"㈜","")))</f>
        <v/>
      </c>
      <c r="H4300" s="10" t="str">
        <f aca="false">IF($B4300="","",SUBSTITUTE(SUBSTITUTE(SUBSTITUTE($B4300,"-","")," ",""),".",""))</f>
        <v/>
      </c>
      <c r="I4300" s="10" t="str">
        <f aca="false">IF($D4300="","",SUBSTITUTE(SUBSTITUTE(SUBSTITUTE($D4300,"-","")," ",""),".",""))</f>
        <v/>
      </c>
      <c r="J4300" s="10" t="str">
        <f aca="false">IF($E4300="","",UPPER(SUBSTITUTE($E4300," ","")))</f>
        <v/>
      </c>
      <c r="K4300" s="10" t="str">
        <f aca="false">IF($A4300="","",$G4300&amp;"|"&amp;$J4300)</f>
        <v/>
      </c>
      <c r="L4300" s="10" t="str">
        <f aca="false">IF($A4300="","",ROW()-2)</f>
        <v/>
      </c>
      <c r="M4300" s="10" t="str">
        <f aca="false">IF($A4300="","",ROW())</f>
        <v/>
      </c>
    </row>
    <row r="4301" customFormat="false" ht="15" hidden="false" customHeight="true" outlineLevel="0" collapsed="false">
      <c r="A4301" s="8"/>
      <c r="B4301" s="8"/>
      <c r="C4301" s="8"/>
      <c r="D4301" s="8"/>
      <c r="E4301" s="8"/>
      <c r="F4301" s="8"/>
      <c r="G4301" s="10" t="str">
        <f aca="false">IF($A4301="","",UPPER(SUBSTITUTE(SUBSTITUTE(SUBSTITUTE(SUBSTITUTE($A4301," ",""),"(주)",""),"주식회사",""),"㈜","")))</f>
        <v/>
      </c>
      <c r="H4301" s="10" t="str">
        <f aca="false">IF($B4301="","",SUBSTITUTE(SUBSTITUTE(SUBSTITUTE($B4301,"-","")," ",""),".",""))</f>
        <v/>
      </c>
      <c r="I4301" s="10" t="str">
        <f aca="false">IF($D4301="","",SUBSTITUTE(SUBSTITUTE(SUBSTITUTE($D4301,"-","")," ",""),".",""))</f>
        <v/>
      </c>
      <c r="J4301" s="10" t="str">
        <f aca="false">IF($E4301="","",UPPER(SUBSTITUTE($E4301," ","")))</f>
        <v/>
      </c>
      <c r="K4301" s="10" t="str">
        <f aca="false">IF($A4301="","",$G4301&amp;"|"&amp;$J4301)</f>
        <v/>
      </c>
      <c r="L4301" s="10" t="str">
        <f aca="false">IF($A4301="","",ROW()-2)</f>
        <v/>
      </c>
      <c r="M4301" s="10" t="str">
        <f aca="false">IF($A4301="","",ROW())</f>
        <v/>
      </c>
    </row>
    <row r="4302" customFormat="false" ht="15" hidden="false" customHeight="true" outlineLevel="0" collapsed="false">
      <c r="A4302" s="8"/>
      <c r="B4302" s="8"/>
      <c r="C4302" s="8"/>
      <c r="D4302" s="8"/>
      <c r="E4302" s="8"/>
      <c r="F4302" s="8"/>
      <c r="G4302" s="10" t="str">
        <f aca="false">IF($A4302="","",UPPER(SUBSTITUTE(SUBSTITUTE(SUBSTITUTE(SUBSTITUTE($A4302," ",""),"(주)",""),"주식회사",""),"㈜","")))</f>
        <v/>
      </c>
      <c r="H4302" s="10" t="str">
        <f aca="false">IF($B4302="","",SUBSTITUTE(SUBSTITUTE(SUBSTITUTE($B4302,"-","")," ",""),".",""))</f>
        <v/>
      </c>
      <c r="I4302" s="10" t="str">
        <f aca="false">IF($D4302="","",SUBSTITUTE(SUBSTITUTE(SUBSTITUTE($D4302,"-","")," ",""),".",""))</f>
        <v/>
      </c>
      <c r="J4302" s="10" t="str">
        <f aca="false">IF($E4302="","",UPPER(SUBSTITUTE($E4302," ","")))</f>
        <v/>
      </c>
      <c r="K4302" s="10" t="str">
        <f aca="false">IF($A4302="","",$G4302&amp;"|"&amp;$J4302)</f>
        <v/>
      </c>
      <c r="L4302" s="10" t="str">
        <f aca="false">IF($A4302="","",ROW()-2)</f>
        <v/>
      </c>
      <c r="M4302" s="10" t="str">
        <f aca="false">IF($A4302="","",ROW())</f>
        <v/>
      </c>
    </row>
    <row r="4303" customFormat="false" ht="15" hidden="false" customHeight="true" outlineLevel="0" collapsed="false">
      <c r="A4303" s="8"/>
      <c r="B4303" s="8"/>
      <c r="C4303" s="8"/>
      <c r="D4303" s="8"/>
      <c r="E4303" s="8"/>
      <c r="F4303" s="8"/>
      <c r="G4303" s="10" t="str">
        <f aca="false">IF($A4303="","",UPPER(SUBSTITUTE(SUBSTITUTE(SUBSTITUTE(SUBSTITUTE($A4303," ",""),"(주)",""),"주식회사",""),"㈜","")))</f>
        <v/>
      </c>
      <c r="H4303" s="10" t="str">
        <f aca="false">IF($B4303="","",SUBSTITUTE(SUBSTITUTE(SUBSTITUTE($B4303,"-","")," ",""),".",""))</f>
        <v/>
      </c>
      <c r="I4303" s="10" t="str">
        <f aca="false">IF($D4303="","",SUBSTITUTE(SUBSTITUTE(SUBSTITUTE($D4303,"-","")," ",""),".",""))</f>
        <v/>
      </c>
      <c r="J4303" s="10" t="str">
        <f aca="false">IF($E4303="","",UPPER(SUBSTITUTE($E4303," ","")))</f>
        <v/>
      </c>
      <c r="K4303" s="10" t="str">
        <f aca="false">IF($A4303="","",$G4303&amp;"|"&amp;$J4303)</f>
        <v/>
      </c>
      <c r="L4303" s="10" t="str">
        <f aca="false">IF($A4303="","",ROW()-2)</f>
        <v/>
      </c>
      <c r="M4303" s="10" t="str">
        <f aca="false">IF($A4303="","",ROW())</f>
        <v/>
      </c>
    </row>
    <row r="4304" customFormat="false" ht="15" hidden="false" customHeight="true" outlineLevel="0" collapsed="false">
      <c r="A4304" s="8"/>
      <c r="B4304" s="8"/>
      <c r="C4304" s="8"/>
      <c r="D4304" s="8"/>
      <c r="E4304" s="8"/>
      <c r="F4304" s="8"/>
      <c r="G4304" s="10" t="str">
        <f aca="false">IF($A4304="","",UPPER(SUBSTITUTE(SUBSTITUTE(SUBSTITUTE(SUBSTITUTE($A4304," ",""),"(주)",""),"주식회사",""),"㈜","")))</f>
        <v/>
      </c>
      <c r="H4304" s="10" t="str">
        <f aca="false">IF($B4304="","",SUBSTITUTE(SUBSTITUTE(SUBSTITUTE($B4304,"-","")," ",""),".",""))</f>
        <v/>
      </c>
      <c r="I4304" s="10" t="str">
        <f aca="false">IF($D4304="","",SUBSTITUTE(SUBSTITUTE(SUBSTITUTE($D4304,"-","")," ",""),".",""))</f>
        <v/>
      </c>
      <c r="J4304" s="10" t="str">
        <f aca="false">IF($E4304="","",UPPER(SUBSTITUTE($E4304," ","")))</f>
        <v/>
      </c>
      <c r="K4304" s="10" t="str">
        <f aca="false">IF($A4304="","",$G4304&amp;"|"&amp;$J4304)</f>
        <v/>
      </c>
      <c r="L4304" s="10" t="str">
        <f aca="false">IF($A4304="","",ROW()-2)</f>
        <v/>
      </c>
      <c r="M4304" s="10" t="str">
        <f aca="false">IF($A4304="","",ROW())</f>
        <v/>
      </c>
    </row>
    <row r="4305" customFormat="false" ht="15" hidden="false" customHeight="true" outlineLevel="0" collapsed="false">
      <c r="A4305" s="8"/>
      <c r="B4305" s="8"/>
      <c r="C4305" s="8"/>
      <c r="D4305" s="8"/>
      <c r="E4305" s="8"/>
      <c r="F4305" s="8"/>
      <c r="G4305" s="10" t="str">
        <f aca="false">IF($A4305="","",UPPER(SUBSTITUTE(SUBSTITUTE(SUBSTITUTE(SUBSTITUTE($A4305," ",""),"(주)",""),"주식회사",""),"㈜","")))</f>
        <v/>
      </c>
      <c r="H4305" s="10" t="str">
        <f aca="false">IF($B4305="","",SUBSTITUTE(SUBSTITUTE(SUBSTITUTE($B4305,"-","")," ",""),".",""))</f>
        <v/>
      </c>
      <c r="I4305" s="10" t="str">
        <f aca="false">IF($D4305="","",SUBSTITUTE(SUBSTITUTE(SUBSTITUTE($D4305,"-","")," ",""),".",""))</f>
        <v/>
      </c>
      <c r="J4305" s="10" t="str">
        <f aca="false">IF($E4305="","",UPPER(SUBSTITUTE($E4305," ","")))</f>
        <v/>
      </c>
      <c r="K4305" s="10" t="str">
        <f aca="false">IF($A4305="","",$G4305&amp;"|"&amp;$J4305)</f>
        <v/>
      </c>
      <c r="L4305" s="10" t="str">
        <f aca="false">IF($A4305="","",ROW()-2)</f>
        <v/>
      </c>
      <c r="M4305" s="10" t="str">
        <f aca="false">IF($A4305="","",ROW())</f>
        <v/>
      </c>
    </row>
    <row r="4306" customFormat="false" ht="15" hidden="false" customHeight="true" outlineLevel="0" collapsed="false">
      <c r="A4306" s="8"/>
      <c r="B4306" s="8"/>
      <c r="C4306" s="8"/>
      <c r="D4306" s="8"/>
      <c r="E4306" s="8"/>
      <c r="F4306" s="8"/>
      <c r="G4306" s="10" t="str">
        <f aca="false">IF($A4306="","",UPPER(SUBSTITUTE(SUBSTITUTE(SUBSTITUTE(SUBSTITUTE($A4306," ",""),"(주)",""),"주식회사",""),"㈜","")))</f>
        <v/>
      </c>
      <c r="H4306" s="10" t="str">
        <f aca="false">IF($B4306="","",SUBSTITUTE(SUBSTITUTE(SUBSTITUTE($B4306,"-","")," ",""),".",""))</f>
        <v/>
      </c>
      <c r="I4306" s="10" t="str">
        <f aca="false">IF($D4306="","",SUBSTITUTE(SUBSTITUTE(SUBSTITUTE($D4306,"-","")," ",""),".",""))</f>
        <v/>
      </c>
      <c r="J4306" s="10" t="str">
        <f aca="false">IF($E4306="","",UPPER(SUBSTITUTE($E4306," ","")))</f>
        <v/>
      </c>
      <c r="K4306" s="10" t="str">
        <f aca="false">IF($A4306="","",$G4306&amp;"|"&amp;$J4306)</f>
        <v/>
      </c>
      <c r="L4306" s="10" t="str">
        <f aca="false">IF($A4306="","",ROW()-2)</f>
        <v/>
      </c>
      <c r="M4306" s="10" t="str">
        <f aca="false">IF($A4306="","",ROW())</f>
        <v/>
      </c>
    </row>
    <row r="4307" customFormat="false" ht="15" hidden="false" customHeight="true" outlineLevel="0" collapsed="false">
      <c r="A4307" s="8"/>
      <c r="B4307" s="8"/>
      <c r="C4307" s="8"/>
      <c r="D4307" s="8"/>
      <c r="E4307" s="8"/>
      <c r="F4307" s="8"/>
      <c r="G4307" s="10" t="str">
        <f aca="false">IF($A4307="","",UPPER(SUBSTITUTE(SUBSTITUTE(SUBSTITUTE(SUBSTITUTE($A4307," ",""),"(주)",""),"주식회사",""),"㈜","")))</f>
        <v/>
      </c>
      <c r="H4307" s="10" t="str">
        <f aca="false">IF($B4307="","",SUBSTITUTE(SUBSTITUTE(SUBSTITUTE($B4307,"-","")," ",""),".",""))</f>
        <v/>
      </c>
      <c r="I4307" s="10" t="str">
        <f aca="false">IF($D4307="","",SUBSTITUTE(SUBSTITUTE(SUBSTITUTE($D4307,"-","")," ",""),".",""))</f>
        <v/>
      </c>
      <c r="J4307" s="10" t="str">
        <f aca="false">IF($E4307="","",UPPER(SUBSTITUTE($E4307," ","")))</f>
        <v/>
      </c>
      <c r="K4307" s="10" t="str">
        <f aca="false">IF($A4307="","",$G4307&amp;"|"&amp;$J4307)</f>
        <v/>
      </c>
      <c r="L4307" s="10" t="str">
        <f aca="false">IF($A4307="","",ROW()-2)</f>
        <v/>
      </c>
      <c r="M4307" s="10" t="str">
        <f aca="false">IF($A4307="","",ROW())</f>
        <v/>
      </c>
    </row>
    <row r="4308" customFormat="false" ht="15" hidden="false" customHeight="true" outlineLevel="0" collapsed="false">
      <c r="A4308" s="8"/>
      <c r="B4308" s="8"/>
      <c r="C4308" s="8"/>
      <c r="D4308" s="8"/>
      <c r="E4308" s="8"/>
      <c r="F4308" s="8"/>
      <c r="G4308" s="10" t="str">
        <f aca="false">IF($A4308="","",UPPER(SUBSTITUTE(SUBSTITUTE(SUBSTITUTE(SUBSTITUTE($A4308," ",""),"(주)",""),"주식회사",""),"㈜","")))</f>
        <v/>
      </c>
      <c r="H4308" s="10" t="str">
        <f aca="false">IF($B4308="","",SUBSTITUTE(SUBSTITUTE(SUBSTITUTE($B4308,"-","")," ",""),".",""))</f>
        <v/>
      </c>
      <c r="I4308" s="10" t="str">
        <f aca="false">IF($D4308="","",SUBSTITUTE(SUBSTITUTE(SUBSTITUTE($D4308,"-","")," ",""),".",""))</f>
        <v/>
      </c>
      <c r="J4308" s="10" t="str">
        <f aca="false">IF($E4308="","",UPPER(SUBSTITUTE($E4308," ","")))</f>
        <v/>
      </c>
      <c r="K4308" s="10" t="str">
        <f aca="false">IF($A4308="","",$G4308&amp;"|"&amp;$J4308)</f>
        <v/>
      </c>
      <c r="L4308" s="10" t="str">
        <f aca="false">IF($A4308="","",ROW()-2)</f>
        <v/>
      </c>
      <c r="M4308" s="10" t="str">
        <f aca="false">IF($A4308="","",ROW())</f>
        <v/>
      </c>
    </row>
    <row r="4309" customFormat="false" ht="15" hidden="false" customHeight="true" outlineLevel="0" collapsed="false">
      <c r="A4309" s="8"/>
      <c r="B4309" s="8"/>
      <c r="C4309" s="8"/>
      <c r="D4309" s="8"/>
      <c r="E4309" s="8"/>
      <c r="F4309" s="8"/>
      <c r="G4309" s="10" t="str">
        <f aca="false">IF($A4309="","",UPPER(SUBSTITUTE(SUBSTITUTE(SUBSTITUTE(SUBSTITUTE($A4309," ",""),"(주)",""),"주식회사",""),"㈜","")))</f>
        <v/>
      </c>
      <c r="H4309" s="10" t="str">
        <f aca="false">IF($B4309="","",SUBSTITUTE(SUBSTITUTE(SUBSTITUTE($B4309,"-","")," ",""),".",""))</f>
        <v/>
      </c>
      <c r="I4309" s="10" t="str">
        <f aca="false">IF($D4309="","",SUBSTITUTE(SUBSTITUTE(SUBSTITUTE($D4309,"-","")," ",""),".",""))</f>
        <v/>
      </c>
      <c r="J4309" s="10" t="str">
        <f aca="false">IF($E4309="","",UPPER(SUBSTITUTE($E4309," ","")))</f>
        <v/>
      </c>
      <c r="K4309" s="10" t="str">
        <f aca="false">IF($A4309="","",$G4309&amp;"|"&amp;$J4309)</f>
        <v/>
      </c>
      <c r="L4309" s="10" t="str">
        <f aca="false">IF($A4309="","",ROW()-2)</f>
        <v/>
      </c>
      <c r="M4309" s="10" t="str">
        <f aca="false">IF($A4309="","",ROW())</f>
        <v/>
      </c>
    </row>
    <row r="4310" customFormat="false" ht="15" hidden="false" customHeight="true" outlineLevel="0" collapsed="false">
      <c r="A4310" s="8"/>
      <c r="B4310" s="8"/>
      <c r="C4310" s="8"/>
      <c r="D4310" s="8"/>
      <c r="E4310" s="8"/>
      <c r="F4310" s="8"/>
      <c r="G4310" s="10" t="str">
        <f aca="false">IF($A4310="","",UPPER(SUBSTITUTE(SUBSTITUTE(SUBSTITUTE(SUBSTITUTE($A4310," ",""),"(주)",""),"주식회사",""),"㈜","")))</f>
        <v/>
      </c>
      <c r="H4310" s="10" t="str">
        <f aca="false">IF($B4310="","",SUBSTITUTE(SUBSTITUTE(SUBSTITUTE($B4310,"-","")," ",""),".",""))</f>
        <v/>
      </c>
      <c r="I4310" s="10" t="str">
        <f aca="false">IF($D4310="","",SUBSTITUTE(SUBSTITUTE(SUBSTITUTE($D4310,"-","")," ",""),".",""))</f>
        <v/>
      </c>
      <c r="J4310" s="10" t="str">
        <f aca="false">IF($E4310="","",UPPER(SUBSTITUTE($E4310," ","")))</f>
        <v/>
      </c>
      <c r="K4310" s="10" t="str">
        <f aca="false">IF($A4310="","",$G4310&amp;"|"&amp;$J4310)</f>
        <v/>
      </c>
      <c r="L4310" s="10" t="str">
        <f aca="false">IF($A4310="","",ROW()-2)</f>
        <v/>
      </c>
      <c r="M4310" s="10" t="str">
        <f aca="false">IF($A4310="","",ROW())</f>
        <v/>
      </c>
    </row>
    <row r="4311" customFormat="false" ht="15" hidden="false" customHeight="true" outlineLevel="0" collapsed="false">
      <c r="A4311" s="8"/>
      <c r="B4311" s="8"/>
      <c r="C4311" s="8"/>
      <c r="D4311" s="8"/>
      <c r="E4311" s="8"/>
      <c r="F4311" s="8"/>
      <c r="G4311" s="10" t="str">
        <f aca="false">IF($A4311="","",UPPER(SUBSTITUTE(SUBSTITUTE(SUBSTITUTE(SUBSTITUTE($A4311," ",""),"(주)",""),"주식회사",""),"㈜","")))</f>
        <v/>
      </c>
      <c r="H4311" s="10" t="str">
        <f aca="false">IF($B4311="","",SUBSTITUTE(SUBSTITUTE(SUBSTITUTE($B4311,"-","")," ",""),".",""))</f>
        <v/>
      </c>
      <c r="I4311" s="10" t="str">
        <f aca="false">IF($D4311="","",SUBSTITUTE(SUBSTITUTE(SUBSTITUTE($D4311,"-","")," ",""),".",""))</f>
        <v/>
      </c>
      <c r="J4311" s="10" t="str">
        <f aca="false">IF($E4311="","",UPPER(SUBSTITUTE($E4311," ","")))</f>
        <v/>
      </c>
      <c r="K4311" s="10" t="str">
        <f aca="false">IF($A4311="","",$G4311&amp;"|"&amp;$J4311)</f>
        <v/>
      </c>
      <c r="L4311" s="10" t="str">
        <f aca="false">IF($A4311="","",ROW()-2)</f>
        <v/>
      </c>
      <c r="M4311" s="10" t="str">
        <f aca="false">IF($A4311="","",ROW())</f>
        <v/>
      </c>
    </row>
    <row r="4312" customFormat="false" ht="15" hidden="false" customHeight="true" outlineLevel="0" collapsed="false">
      <c r="A4312" s="8"/>
      <c r="B4312" s="8"/>
      <c r="C4312" s="8"/>
      <c r="D4312" s="8"/>
      <c r="E4312" s="8"/>
      <c r="F4312" s="8"/>
      <c r="G4312" s="10" t="str">
        <f aca="false">IF($A4312="","",UPPER(SUBSTITUTE(SUBSTITUTE(SUBSTITUTE(SUBSTITUTE($A4312," ",""),"(주)",""),"주식회사",""),"㈜","")))</f>
        <v/>
      </c>
      <c r="H4312" s="10" t="str">
        <f aca="false">IF($B4312="","",SUBSTITUTE(SUBSTITUTE(SUBSTITUTE($B4312,"-","")," ",""),".",""))</f>
        <v/>
      </c>
      <c r="I4312" s="10" t="str">
        <f aca="false">IF($D4312="","",SUBSTITUTE(SUBSTITUTE(SUBSTITUTE($D4312,"-","")," ",""),".",""))</f>
        <v/>
      </c>
      <c r="J4312" s="10" t="str">
        <f aca="false">IF($E4312="","",UPPER(SUBSTITUTE($E4312," ","")))</f>
        <v/>
      </c>
      <c r="K4312" s="10" t="str">
        <f aca="false">IF($A4312="","",$G4312&amp;"|"&amp;$J4312)</f>
        <v/>
      </c>
      <c r="L4312" s="10" t="str">
        <f aca="false">IF($A4312="","",ROW()-2)</f>
        <v/>
      </c>
      <c r="M4312" s="10" t="str">
        <f aca="false">IF($A4312="","",ROW())</f>
        <v/>
      </c>
    </row>
    <row r="4313" customFormat="false" ht="15" hidden="false" customHeight="true" outlineLevel="0" collapsed="false">
      <c r="A4313" s="8"/>
      <c r="B4313" s="8"/>
      <c r="C4313" s="8"/>
      <c r="D4313" s="8"/>
      <c r="E4313" s="8"/>
      <c r="F4313" s="8"/>
      <c r="G4313" s="10" t="str">
        <f aca="false">IF($A4313="","",UPPER(SUBSTITUTE(SUBSTITUTE(SUBSTITUTE(SUBSTITUTE($A4313," ",""),"(주)",""),"주식회사",""),"㈜","")))</f>
        <v/>
      </c>
      <c r="H4313" s="10" t="str">
        <f aca="false">IF($B4313="","",SUBSTITUTE(SUBSTITUTE(SUBSTITUTE($B4313,"-","")," ",""),".",""))</f>
        <v/>
      </c>
      <c r="I4313" s="10" t="str">
        <f aca="false">IF($D4313="","",SUBSTITUTE(SUBSTITUTE(SUBSTITUTE($D4313,"-","")," ",""),".",""))</f>
        <v/>
      </c>
      <c r="J4313" s="10" t="str">
        <f aca="false">IF($E4313="","",UPPER(SUBSTITUTE($E4313," ","")))</f>
        <v/>
      </c>
      <c r="K4313" s="10" t="str">
        <f aca="false">IF($A4313="","",$G4313&amp;"|"&amp;$J4313)</f>
        <v/>
      </c>
      <c r="L4313" s="10" t="str">
        <f aca="false">IF($A4313="","",ROW()-2)</f>
        <v/>
      </c>
      <c r="M4313" s="10" t="str">
        <f aca="false">IF($A4313="","",ROW())</f>
        <v/>
      </c>
    </row>
    <row r="4314" customFormat="false" ht="15" hidden="false" customHeight="true" outlineLevel="0" collapsed="false">
      <c r="A4314" s="8"/>
      <c r="B4314" s="8"/>
      <c r="C4314" s="8"/>
      <c r="D4314" s="8"/>
      <c r="E4314" s="8"/>
      <c r="F4314" s="8"/>
      <c r="G4314" s="10" t="str">
        <f aca="false">IF($A4314="","",UPPER(SUBSTITUTE(SUBSTITUTE(SUBSTITUTE(SUBSTITUTE($A4314," ",""),"(주)",""),"주식회사",""),"㈜","")))</f>
        <v/>
      </c>
      <c r="H4314" s="10" t="str">
        <f aca="false">IF($B4314="","",SUBSTITUTE(SUBSTITUTE(SUBSTITUTE($B4314,"-","")," ",""),".",""))</f>
        <v/>
      </c>
      <c r="I4314" s="10" t="str">
        <f aca="false">IF($D4314="","",SUBSTITUTE(SUBSTITUTE(SUBSTITUTE($D4314,"-","")," ",""),".",""))</f>
        <v/>
      </c>
      <c r="J4314" s="10" t="str">
        <f aca="false">IF($E4314="","",UPPER(SUBSTITUTE($E4314," ","")))</f>
        <v/>
      </c>
      <c r="K4314" s="10" t="str">
        <f aca="false">IF($A4314="","",$G4314&amp;"|"&amp;$J4314)</f>
        <v/>
      </c>
      <c r="L4314" s="10" t="str">
        <f aca="false">IF($A4314="","",ROW()-2)</f>
        <v/>
      </c>
      <c r="M4314" s="10" t="str">
        <f aca="false">IF($A4314="","",ROW())</f>
        <v/>
      </c>
    </row>
    <row r="4315" customFormat="false" ht="15" hidden="false" customHeight="true" outlineLevel="0" collapsed="false">
      <c r="A4315" s="8"/>
      <c r="B4315" s="8"/>
      <c r="C4315" s="8"/>
      <c r="D4315" s="8"/>
      <c r="E4315" s="8"/>
      <c r="F4315" s="8"/>
      <c r="G4315" s="10" t="str">
        <f aca="false">IF($A4315="","",UPPER(SUBSTITUTE(SUBSTITUTE(SUBSTITUTE(SUBSTITUTE($A4315," ",""),"(주)",""),"주식회사",""),"㈜","")))</f>
        <v/>
      </c>
      <c r="H4315" s="10" t="str">
        <f aca="false">IF($B4315="","",SUBSTITUTE(SUBSTITUTE(SUBSTITUTE($B4315,"-","")," ",""),".",""))</f>
        <v/>
      </c>
      <c r="I4315" s="10" t="str">
        <f aca="false">IF($D4315="","",SUBSTITUTE(SUBSTITUTE(SUBSTITUTE($D4315,"-","")," ",""),".",""))</f>
        <v/>
      </c>
      <c r="J4315" s="10" t="str">
        <f aca="false">IF($E4315="","",UPPER(SUBSTITUTE($E4315," ","")))</f>
        <v/>
      </c>
      <c r="K4315" s="10" t="str">
        <f aca="false">IF($A4315="","",$G4315&amp;"|"&amp;$J4315)</f>
        <v/>
      </c>
      <c r="L4315" s="10" t="str">
        <f aca="false">IF($A4315="","",ROW()-2)</f>
        <v/>
      </c>
      <c r="M4315" s="10" t="str">
        <f aca="false">IF($A4315="","",ROW())</f>
        <v/>
      </c>
    </row>
    <row r="4316" customFormat="false" ht="15" hidden="false" customHeight="true" outlineLevel="0" collapsed="false">
      <c r="A4316" s="8"/>
      <c r="B4316" s="8"/>
      <c r="C4316" s="8"/>
      <c r="D4316" s="8"/>
      <c r="E4316" s="8"/>
      <c r="F4316" s="8"/>
      <c r="G4316" s="10" t="str">
        <f aca="false">IF($A4316="","",UPPER(SUBSTITUTE(SUBSTITUTE(SUBSTITUTE(SUBSTITUTE($A4316," ",""),"(주)",""),"주식회사",""),"㈜","")))</f>
        <v/>
      </c>
      <c r="H4316" s="10" t="str">
        <f aca="false">IF($B4316="","",SUBSTITUTE(SUBSTITUTE(SUBSTITUTE($B4316,"-","")," ",""),".",""))</f>
        <v/>
      </c>
      <c r="I4316" s="10" t="str">
        <f aca="false">IF($D4316="","",SUBSTITUTE(SUBSTITUTE(SUBSTITUTE($D4316,"-","")," ",""),".",""))</f>
        <v/>
      </c>
      <c r="J4316" s="10" t="str">
        <f aca="false">IF($E4316="","",UPPER(SUBSTITUTE($E4316," ","")))</f>
        <v/>
      </c>
      <c r="K4316" s="10" t="str">
        <f aca="false">IF($A4316="","",$G4316&amp;"|"&amp;$J4316)</f>
        <v/>
      </c>
      <c r="L4316" s="10" t="str">
        <f aca="false">IF($A4316="","",ROW()-2)</f>
        <v/>
      </c>
      <c r="M4316" s="10" t="str">
        <f aca="false">IF($A4316="","",ROW())</f>
        <v/>
      </c>
    </row>
    <row r="4317" customFormat="false" ht="15" hidden="false" customHeight="true" outlineLevel="0" collapsed="false">
      <c r="A4317" s="8"/>
      <c r="B4317" s="8"/>
      <c r="C4317" s="8"/>
      <c r="D4317" s="8"/>
      <c r="E4317" s="8"/>
      <c r="F4317" s="8"/>
      <c r="G4317" s="10" t="str">
        <f aca="false">IF($A4317="","",UPPER(SUBSTITUTE(SUBSTITUTE(SUBSTITUTE(SUBSTITUTE($A4317," ",""),"(주)",""),"주식회사",""),"㈜","")))</f>
        <v/>
      </c>
      <c r="H4317" s="10" t="str">
        <f aca="false">IF($B4317="","",SUBSTITUTE(SUBSTITUTE(SUBSTITUTE($B4317,"-","")," ",""),".",""))</f>
        <v/>
      </c>
      <c r="I4317" s="10" t="str">
        <f aca="false">IF($D4317="","",SUBSTITUTE(SUBSTITUTE(SUBSTITUTE($D4317,"-","")," ",""),".",""))</f>
        <v/>
      </c>
      <c r="J4317" s="10" t="str">
        <f aca="false">IF($E4317="","",UPPER(SUBSTITUTE($E4317," ","")))</f>
        <v/>
      </c>
      <c r="K4317" s="10" t="str">
        <f aca="false">IF($A4317="","",$G4317&amp;"|"&amp;$J4317)</f>
        <v/>
      </c>
      <c r="L4317" s="10" t="str">
        <f aca="false">IF($A4317="","",ROW()-2)</f>
        <v/>
      </c>
      <c r="M4317" s="10" t="str">
        <f aca="false">IF($A4317="","",ROW())</f>
        <v/>
      </c>
    </row>
    <row r="4318" customFormat="false" ht="15" hidden="false" customHeight="true" outlineLevel="0" collapsed="false">
      <c r="A4318" s="8"/>
      <c r="B4318" s="8"/>
      <c r="C4318" s="8"/>
      <c r="D4318" s="8"/>
      <c r="E4318" s="8"/>
      <c r="F4318" s="8"/>
      <c r="G4318" s="10" t="str">
        <f aca="false">IF($A4318="","",UPPER(SUBSTITUTE(SUBSTITUTE(SUBSTITUTE(SUBSTITUTE($A4318," ",""),"(주)",""),"주식회사",""),"㈜","")))</f>
        <v/>
      </c>
      <c r="H4318" s="10" t="str">
        <f aca="false">IF($B4318="","",SUBSTITUTE(SUBSTITUTE(SUBSTITUTE($B4318,"-","")," ",""),".",""))</f>
        <v/>
      </c>
      <c r="I4318" s="10" t="str">
        <f aca="false">IF($D4318="","",SUBSTITUTE(SUBSTITUTE(SUBSTITUTE($D4318,"-","")," ",""),".",""))</f>
        <v/>
      </c>
      <c r="J4318" s="10" t="str">
        <f aca="false">IF($E4318="","",UPPER(SUBSTITUTE($E4318," ","")))</f>
        <v/>
      </c>
      <c r="K4318" s="10" t="str">
        <f aca="false">IF($A4318="","",$G4318&amp;"|"&amp;$J4318)</f>
        <v/>
      </c>
      <c r="L4318" s="10" t="str">
        <f aca="false">IF($A4318="","",ROW()-2)</f>
        <v/>
      </c>
      <c r="M4318" s="10" t="str">
        <f aca="false">IF($A4318="","",ROW())</f>
        <v/>
      </c>
    </row>
    <row r="4319" customFormat="false" ht="15" hidden="false" customHeight="true" outlineLevel="0" collapsed="false">
      <c r="A4319" s="8"/>
      <c r="B4319" s="8"/>
      <c r="C4319" s="8"/>
      <c r="D4319" s="8"/>
      <c r="E4319" s="8"/>
      <c r="F4319" s="8"/>
      <c r="G4319" s="10" t="str">
        <f aca="false">IF($A4319="","",UPPER(SUBSTITUTE(SUBSTITUTE(SUBSTITUTE(SUBSTITUTE($A4319," ",""),"(주)",""),"주식회사",""),"㈜","")))</f>
        <v/>
      </c>
      <c r="H4319" s="10" t="str">
        <f aca="false">IF($B4319="","",SUBSTITUTE(SUBSTITUTE(SUBSTITUTE($B4319,"-","")," ",""),".",""))</f>
        <v/>
      </c>
      <c r="I4319" s="10" t="str">
        <f aca="false">IF($D4319="","",SUBSTITUTE(SUBSTITUTE(SUBSTITUTE($D4319,"-","")," ",""),".",""))</f>
        <v/>
      </c>
      <c r="J4319" s="10" t="str">
        <f aca="false">IF($E4319="","",UPPER(SUBSTITUTE($E4319," ","")))</f>
        <v/>
      </c>
      <c r="K4319" s="10" t="str">
        <f aca="false">IF($A4319="","",$G4319&amp;"|"&amp;$J4319)</f>
        <v/>
      </c>
      <c r="L4319" s="10" t="str">
        <f aca="false">IF($A4319="","",ROW()-2)</f>
        <v/>
      </c>
      <c r="M4319" s="10" t="str">
        <f aca="false">IF($A4319="","",ROW())</f>
        <v/>
      </c>
    </row>
    <row r="4320" customFormat="false" ht="15" hidden="false" customHeight="true" outlineLevel="0" collapsed="false">
      <c r="A4320" s="8"/>
      <c r="B4320" s="8"/>
      <c r="C4320" s="8"/>
      <c r="D4320" s="8"/>
      <c r="E4320" s="8"/>
      <c r="F4320" s="8"/>
      <c r="G4320" s="10" t="str">
        <f aca="false">IF($A4320="","",UPPER(SUBSTITUTE(SUBSTITUTE(SUBSTITUTE(SUBSTITUTE($A4320," ",""),"(주)",""),"주식회사",""),"㈜","")))</f>
        <v/>
      </c>
      <c r="H4320" s="10" t="str">
        <f aca="false">IF($B4320="","",SUBSTITUTE(SUBSTITUTE(SUBSTITUTE($B4320,"-","")," ",""),".",""))</f>
        <v/>
      </c>
      <c r="I4320" s="10" t="str">
        <f aca="false">IF($D4320="","",SUBSTITUTE(SUBSTITUTE(SUBSTITUTE($D4320,"-","")," ",""),".",""))</f>
        <v/>
      </c>
      <c r="J4320" s="10" t="str">
        <f aca="false">IF($E4320="","",UPPER(SUBSTITUTE($E4320," ","")))</f>
        <v/>
      </c>
      <c r="K4320" s="10" t="str">
        <f aca="false">IF($A4320="","",$G4320&amp;"|"&amp;$J4320)</f>
        <v/>
      </c>
      <c r="L4320" s="10" t="str">
        <f aca="false">IF($A4320="","",ROW()-2)</f>
        <v/>
      </c>
      <c r="M4320" s="10" t="str">
        <f aca="false">IF($A4320="","",ROW())</f>
        <v/>
      </c>
    </row>
    <row r="4321" customFormat="false" ht="15" hidden="false" customHeight="true" outlineLevel="0" collapsed="false">
      <c r="A4321" s="8"/>
      <c r="B4321" s="8"/>
      <c r="C4321" s="8"/>
      <c r="D4321" s="8"/>
      <c r="E4321" s="8"/>
      <c r="F4321" s="8"/>
      <c r="G4321" s="10" t="str">
        <f aca="false">IF($A4321="","",UPPER(SUBSTITUTE(SUBSTITUTE(SUBSTITUTE(SUBSTITUTE($A4321," ",""),"(주)",""),"주식회사",""),"㈜","")))</f>
        <v/>
      </c>
      <c r="H4321" s="10" t="str">
        <f aca="false">IF($B4321="","",SUBSTITUTE(SUBSTITUTE(SUBSTITUTE($B4321,"-","")," ",""),".",""))</f>
        <v/>
      </c>
      <c r="I4321" s="10" t="str">
        <f aca="false">IF($D4321="","",SUBSTITUTE(SUBSTITUTE(SUBSTITUTE($D4321,"-","")," ",""),".",""))</f>
        <v/>
      </c>
      <c r="J4321" s="10" t="str">
        <f aca="false">IF($E4321="","",UPPER(SUBSTITUTE($E4321," ","")))</f>
        <v/>
      </c>
      <c r="K4321" s="10" t="str">
        <f aca="false">IF($A4321="","",$G4321&amp;"|"&amp;$J4321)</f>
        <v/>
      </c>
      <c r="L4321" s="10" t="str">
        <f aca="false">IF($A4321="","",ROW()-2)</f>
        <v/>
      </c>
      <c r="M4321" s="10" t="str">
        <f aca="false">IF($A4321="","",ROW())</f>
        <v/>
      </c>
    </row>
    <row r="4322" customFormat="false" ht="15" hidden="false" customHeight="true" outlineLevel="0" collapsed="false">
      <c r="A4322" s="8"/>
      <c r="B4322" s="8"/>
      <c r="C4322" s="8"/>
      <c r="D4322" s="8"/>
      <c r="E4322" s="8"/>
      <c r="F4322" s="8"/>
      <c r="G4322" s="10" t="str">
        <f aca="false">IF($A4322="","",UPPER(SUBSTITUTE(SUBSTITUTE(SUBSTITUTE(SUBSTITUTE($A4322," ",""),"(주)",""),"주식회사",""),"㈜","")))</f>
        <v/>
      </c>
      <c r="H4322" s="10" t="str">
        <f aca="false">IF($B4322="","",SUBSTITUTE(SUBSTITUTE(SUBSTITUTE($B4322,"-","")," ",""),".",""))</f>
        <v/>
      </c>
      <c r="I4322" s="10" t="str">
        <f aca="false">IF($D4322="","",SUBSTITUTE(SUBSTITUTE(SUBSTITUTE($D4322,"-","")," ",""),".",""))</f>
        <v/>
      </c>
      <c r="J4322" s="10" t="str">
        <f aca="false">IF($E4322="","",UPPER(SUBSTITUTE($E4322," ","")))</f>
        <v/>
      </c>
      <c r="K4322" s="10" t="str">
        <f aca="false">IF($A4322="","",$G4322&amp;"|"&amp;$J4322)</f>
        <v/>
      </c>
      <c r="L4322" s="10" t="str">
        <f aca="false">IF($A4322="","",ROW()-2)</f>
        <v/>
      </c>
      <c r="M4322" s="10" t="str">
        <f aca="false">IF($A4322="","",ROW())</f>
        <v/>
      </c>
    </row>
    <row r="4323" customFormat="false" ht="15" hidden="false" customHeight="true" outlineLevel="0" collapsed="false">
      <c r="A4323" s="8"/>
      <c r="B4323" s="8"/>
      <c r="C4323" s="8"/>
      <c r="D4323" s="8"/>
      <c r="E4323" s="8"/>
      <c r="F4323" s="8"/>
      <c r="G4323" s="10" t="str">
        <f aca="false">IF($A4323="","",UPPER(SUBSTITUTE(SUBSTITUTE(SUBSTITUTE(SUBSTITUTE($A4323," ",""),"(주)",""),"주식회사",""),"㈜","")))</f>
        <v/>
      </c>
      <c r="H4323" s="10" t="str">
        <f aca="false">IF($B4323="","",SUBSTITUTE(SUBSTITUTE(SUBSTITUTE($B4323,"-","")," ",""),".",""))</f>
        <v/>
      </c>
      <c r="I4323" s="10" t="str">
        <f aca="false">IF($D4323="","",SUBSTITUTE(SUBSTITUTE(SUBSTITUTE($D4323,"-","")," ",""),".",""))</f>
        <v/>
      </c>
      <c r="J4323" s="10" t="str">
        <f aca="false">IF($E4323="","",UPPER(SUBSTITUTE($E4323," ","")))</f>
        <v/>
      </c>
      <c r="K4323" s="10" t="str">
        <f aca="false">IF($A4323="","",$G4323&amp;"|"&amp;$J4323)</f>
        <v/>
      </c>
      <c r="L4323" s="10" t="str">
        <f aca="false">IF($A4323="","",ROW()-2)</f>
        <v/>
      </c>
      <c r="M4323" s="10" t="str">
        <f aca="false">IF($A4323="","",ROW())</f>
        <v/>
      </c>
    </row>
    <row r="4324" customFormat="false" ht="15" hidden="false" customHeight="true" outlineLevel="0" collapsed="false">
      <c r="A4324" s="8"/>
      <c r="B4324" s="8"/>
      <c r="C4324" s="8"/>
      <c r="D4324" s="8"/>
      <c r="E4324" s="8"/>
      <c r="F4324" s="8"/>
      <c r="G4324" s="10" t="str">
        <f aca="false">IF($A4324="","",UPPER(SUBSTITUTE(SUBSTITUTE(SUBSTITUTE(SUBSTITUTE($A4324," ",""),"(주)",""),"주식회사",""),"㈜","")))</f>
        <v/>
      </c>
      <c r="H4324" s="10" t="str">
        <f aca="false">IF($B4324="","",SUBSTITUTE(SUBSTITUTE(SUBSTITUTE($B4324,"-","")," ",""),".",""))</f>
        <v/>
      </c>
      <c r="I4324" s="10" t="str">
        <f aca="false">IF($D4324="","",SUBSTITUTE(SUBSTITUTE(SUBSTITUTE($D4324,"-","")," ",""),".",""))</f>
        <v/>
      </c>
      <c r="J4324" s="10" t="str">
        <f aca="false">IF($E4324="","",UPPER(SUBSTITUTE($E4324," ","")))</f>
        <v/>
      </c>
      <c r="K4324" s="10" t="str">
        <f aca="false">IF($A4324="","",$G4324&amp;"|"&amp;$J4324)</f>
        <v/>
      </c>
      <c r="L4324" s="10" t="str">
        <f aca="false">IF($A4324="","",ROW()-2)</f>
        <v/>
      </c>
      <c r="M4324" s="10" t="str">
        <f aca="false">IF($A4324="","",ROW())</f>
        <v/>
      </c>
    </row>
    <row r="4325" customFormat="false" ht="15" hidden="false" customHeight="true" outlineLevel="0" collapsed="false">
      <c r="A4325" s="8"/>
      <c r="B4325" s="8"/>
      <c r="C4325" s="8"/>
      <c r="D4325" s="8"/>
      <c r="E4325" s="8"/>
      <c r="F4325" s="8"/>
      <c r="G4325" s="10" t="str">
        <f aca="false">IF($A4325="","",UPPER(SUBSTITUTE(SUBSTITUTE(SUBSTITUTE(SUBSTITUTE($A4325," ",""),"(주)",""),"주식회사",""),"㈜","")))</f>
        <v/>
      </c>
      <c r="H4325" s="10" t="str">
        <f aca="false">IF($B4325="","",SUBSTITUTE(SUBSTITUTE(SUBSTITUTE($B4325,"-","")," ",""),".",""))</f>
        <v/>
      </c>
      <c r="I4325" s="10" t="str">
        <f aca="false">IF($D4325="","",SUBSTITUTE(SUBSTITUTE(SUBSTITUTE($D4325,"-","")," ",""),".",""))</f>
        <v/>
      </c>
      <c r="J4325" s="10" t="str">
        <f aca="false">IF($E4325="","",UPPER(SUBSTITUTE($E4325," ","")))</f>
        <v/>
      </c>
      <c r="K4325" s="10" t="str">
        <f aca="false">IF($A4325="","",$G4325&amp;"|"&amp;$J4325)</f>
        <v/>
      </c>
      <c r="L4325" s="10" t="str">
        <f aca="false">IF($A4325="","",ROW()-2)</f>
        <v/>
      </c>
      <c r="M4325" s="10" t="str">
        <f aca="false">IF($A4325="","",ROW())</f>
        <v/>
      </c>
    </row>
    <row r="4326" customFormat="false" ht="15" hidden="false" customHeight="true" outlineLevel="0" collapsed="false">
      <c r="A4326" s="8"/>
      <c r="B4326" s="8"/>
      <c r="C4326" s="8"/>
      <c r="D4326" s="8"/>
      <c r="E4326" s="8"/>
      <c r="F4326" s="8"/>
      <c r="G4326" s="10" t="str">
        <f aca="false">IF($A4326="","",UPPER(SUBSTITUTE(SUBSTITUTE(SUBSTITUTE(SUBSTITUTE($A4326," ",""),"(주)",""),"주식회사",""),"㈜","")))</f>
        <v/>
      </c>
      <c r="H4326" s="10" t="str">
        <f aca="false">IF($B4326="","",SUBSTITUTE(SUBSTITUTE(SUBSTITUTE($B4326,"-","")," ",""),".",""))</f>
        <v/>
      </c>
      <c r="I4326" s="10" t="str">
        <f aca="false">IF($D4326="","",SUBSTITUTE(SUBSTITUTE(SUBSTITUTE($D4326,"-","")," ",""),".",""))</f>
        <v/>
      </c>
      <c r="J4326" s="10" t="str">
        <f aca="false">IF($E4326="","",UPPER(SUBSTITUTE($E4326," ","")))</f>
        <v/>
      </c>
      <c r="K4326" s="10" t="str">
        <f aca="false">IF($A4326="","",$G4326&amp;"|"&amp;$J4326)</f>
        <v/>
      </c>
      <c r="L4326" s="10" t="str">
        <f aca="false">IF($A4326="","",ROW()-2)</f>
        <v/>
      </c>
      <c r="M4326" s="10" t="str">
        <f aca="false">IF($A4326="","",ROW())</f>
        <v/>
      </c>
    </row>
    <row r="4327" customFormat="false" ht="15" hidden="false" customHeight="true" outlineLevel="0" collapsed="false">
      <c r="A4327" s="8"/>
      <c r="B4327" s="8"/>
      <c r="C4327" s="8"/>
      <c r="D4327" s="8"/>
      <c r="E4327" s="8"/>
      <c r="F4327" s="8"/>
      <c r="G4327" s="10" t="str">
        <f aca="false">IF($A4327="","",UPPER(SUBSTITUTE(SUBSTITUTE(SUBSTITUTE(SUBSTITUTE($A4327," ",""),"(주)",""),"주식회사",""),"㈜","")))</f>
        <v/>
      </c>
      <c r="H4327" s="10" t="str">
        <f aca="false">IF($B4327="","",SUBSTITUTE(SUBSTITUTE(SUBSTITUTE($B4327,"-","")," ",""),".",""))</f>
        <v/>
      </c>
      <c r="I4327" s="10" t="str">
        <f aca="false">IF($D4327="","",SUBSTITUTE(SUBSTITUTE(SUBSTITUTE($D4327,"-","")," ",""),".",""))</f>
        <v/>
      </c>
      <c r="J4327" s="10" t="str">
        <f aca="false">IF($E4327="","",UPPER(SUBSTITUTE($E4327," ","")))</f>
        <v/>
      </c>
      <c r="K4327" s="10" t="str">
        <f aca="false">IF($A4327="","",$G4327&amp;"|"&amp;$J4327)</f>
        <v/>
      </c>
      <c r="L4327" s="10" t="str">
        <f aca="false">IF($A4327="","",ROW()-2)</f>
        <v/>
      </c>
      <c r="M4327" s="10" t="str">
        <f aca="false">IF($A4327="","",ROW())</f>
        <v/>
      </c>
    </row>
    <row r="4328" customFormat="false" ht="15" hidden="false" customHeight="true" outlineLevel="0" collapsed="false">
      <c r="A4328" s="8"/>
      <c r="B4328" s="8"/>
      <c r="C4328" s="8"/>
      <c r="D4328" s="8"/>
      <c r="E4328" s="8"/>
      <c r="F4328" s="8"/>
      <c r="G4328" s="10" t="str">
        <f aca="false">IF($A4328="","",UPPER(SUBSTITUTE(SUBSTITUTE(SUBSTITUTE(SUBSTITUTE($A4328," ",""),"(주)",""),"주식회사",""),"㈜","")))</f>
        <v/>
      </c>
      <c r="H4328" s="10" t="str">
        <f aca="false">IF($B4328="","",SUBSTITUTE(SUBSTITUTE(SUBSTITUTE($B4328,"-","")," ",""),".",""))</f>
        <v/>
      </c>
      <c r="I4328" s="10" t="str">
        <f aca="false">IF($D4328="","",SUBSTITUTE(SUBSTITUTE(SUBSTITUTE($D4328,"-","")," ",""),".",""))</f>
        <v/>
      </c>
      <c r="J4328" s="10" t="str">
        <f aca="false">IF($E4328="","",UPPER(SUBSTITUTE($E4328," ","")))</f>
        <v/>
      </c>
      <c r="K4328" s="10" t="str">
        <f aca="false">IF($A4328="","",$G4328&amp;"|"&amp;$J4328)</f>
        <v/>
      </c>
      <c r="L4328" s="10" t="str">
        <f aca="false">IF($A4328="","",ROW()-2)</f>
        <v/>
      </c>
      <c r="M4328" s="10" t="str">
        <f aca="false">IF($A4328="","",ROW())</f>
        <v/>
      </c>
    </row>
    <row r="4329" customFormat="false" ht="15" hidden="false" customHeight="true" outlineLevel="0" collapsed="false">
      <c r="A4329" s="8"/>
      <c r="B4329" s="8"/>
      <c r="C4329" s="8"/>
      <c r="D4329" s="8"/>
      <c r="E4329" s="8"/>
      <c r="F4329" s="8"/>
      <c r="G4329" s="10" t="str">
        <f aca="false">IF($A4329="","",UPPER(SUBSTITUTE(SUBSTITUTE(SUBSTITUTE(SUBSTITUTE($A4329," ",""),"(주)",""),"주식회사",""),"㈜","")))</f>
        <v/>
      </c>
      <c r="H4329" s="10" t="str">
        <f aca="false">IF($B4329="","",SUBSTITUTE(SUBSTITUTE(SUBSTITUTE($B4329,"-","")," ",""),".",""))</f>
        <v/>
      </c>
      <c r="I4329" s="10" t="str">
        <f aca="false">IF($D4329="","",SUBSTITUTE(SUBSTITUTE(SUBSTITUTE($D4329,"-","")," ",""),".",""))</f>
        <v/>
      </c>
      <c r="J4329" s="10" t="str">
        <f aca="false">IF($E4329="","",UPPER(SUBSTITUTE($E4329," ","")))</f>
        <v/>
      </c>
      <c r="K4329" s="10" t="str">
        <f aca="false">IF($A4329="","",$G4329&amp;"|"&amp;$J4329)</f>
        <v/>
      </c>
      <c r="L4329" s="10" t="str">
        <f aca="false">IF($A4329="","",ROW()-2)</f>
        <v/>
      </c>
      <c r="M4329" s="10" t="str">
        <f aca="false">IF($A4329="","",ROW())</f>
        <v/>
      </c>
    </row>
    <row r="4330" customFormat="false" ht="15" hidden="false" customHeight="true" outlineLevel="0" collapsed="false">
      <c r="A4330" s="8"/>
      <c r="B4330" s="8"/>
      <c r="C4330" s="8"/>
      <c r="D4330" s="8"/>
      <c r="E4330" s="8"/>
      <c r="F4330" s="8"/>
      <c r="G4330" s="10" t="str">
        <f aca="false">IF($A4330="","",UPPER(SUBSTITUTE(SUBSTITUTE(SUBSTITUTE(SUBSTITUTE($A4330," ",""),"(주)",""),"주식회사",""),"㈜","")))</f>
        <v/>
      </c>
      <c r="H4330" s="10" t="str">
        <f aca="false">IF($B4330="","",SUBSTITUTE(SUBSTITUTE(SUBSTITUTE($B4330,"-","")," ",""),".",""))</f>
        <v/>
      </c>
      <c r="I4330" s="10" t="str">
        <f aca="false">IF($D4330="","",SUBSTITUTE(SUBSTITUTE(SUBSTITUTE($D4330,"-","")," ",""),".",""))</f>
        <v/>
      </c>
      <c r="J4330" s="10" t="str">
        <f aca="false">IF($E4330="","",UPPER(SUBSTITUTE($E4330," ","")))</f>
        <v/>
      </c>
      <c r="K4330" s="10" t="str">
        <f aca="false">IF($A4330="","",$G4330&amp;"|"&amp;$J4330)</f>
        <v/>
      </c>
      <c r="L4330" s="10" t="str">
        <f aca="false">IF($A4330="","",ROW()-2)</f>
        <v/>
      </c>
      <c r="M4330" s="10" t="str">
        <f aca="false">IF($A4330="","",ROW())</f>
        <v/>
      </c>
    </row>
    <row r="4331" customFormat="false" ht="15" hidden="false" customHeight="true" outlineLevel="0" collapsed="false">
      <c r="A4331" s="8"/>
      <c r="B4331" s="8"/>
      <c r="C4331" s="8"/>
      <c r="D4331" s="8"/>
      <c r="E4331" s="8"/>
      <c r="F4331" s="8"/>
      <c r="G4331" s="10" t="str">
        <f aca="false">IF($A4331="","",UPPER(SUBSTITUTE(SUBSTITUTE(SUBSTITUTE(SUBSTITUTE($A4331," ",""),"(주)",""),"주식회사",""),"㈜","")))</f>
        <v/>
      </c>
      <c r="H4331" s="10" t="str">
        <f aca="false">IF($B4331="","",SUBSTITUTE(SUBSTITUTE(SUBSTITUTE($B4331,"-","")," ",""),".",""))</f>
        <v/>
      </c>
      <c r="I4331" s="10" t="str">
        <f aca="false">IF($D4331="","",SUBSTITUTE(SUBSTITUTE(SUBSTITUTE($D4331,"-","")," ",""),".",""))</f>
        <v/>
      </c>
      <c r="J4331" s="10" t="str">
        <f aca="false">IF($E4331="","",UPPER(SUBSTITUTE($E4331," ","")))</f>
        <v/>
      </c>
      <c r="K4331" s="10" t="str">
        <f aca="false">IF($A4331="","",$G4331&amp;"|"&amp;$J4331)</f>
        <v/>
      </c>
      <c r="L4331" s="10" t="str">
        <f aca="false">IF($A4331="","",ROW()-2)</f>
        <v/>
      </c>
      <c r="M4331" s="10" t="str">
        <f aca="false">IF($A4331="","",ROW())</f>
        <v/>
      </c>
    </row>
    <row r="4332" customFormat="false" ht="15" hidden="false" customHeight="true" outlineLevel="0" collapsed="false">
      <c r="A4332" s="8"/>
      <c r="B4332" s="8"/>
      <c r="C4332" s="8"/>
      <c r="D4332" s="8"/>
      <c r="E4332" s="8"/>
      <c r="F4332" s="8"/>
      <c r="G4332" s="10" t="str">
        <f aca="false">IF($A4332="","",UPPER(SUBSTITUTE(SUBSTITUTE(SUBSTITUTE(SUBSTITUTE($A4332," ",""),"(주)",""),"주식회사",""),"㈜","")))</f>
        <v/>
      </c>
      <c r="H4332" s="10" t="str">
        <f aca="false">IF($B4332="","",SUBSTITUTE(SUBSTITUTE(SUBSTITUTE($B4332,"-","")," ",""),".",""))</f>
        <v/>
      </c>
      <c r="I4332" s="10" t="str">
        <f aca="false">IF($D4332="","",SUBSTITUTE(SUBSTITUTE(SUBSTITUTE($D4332,"-","")," ",""),".",""))</f>
        <v/>
      </c>
      <c r="J4332" s="10" t="str">
        <f aca="false">IF($E4332="","",UPPER(SUBSTITUTE($E4332," ","")))</f>
        <v/>
      </c>
      <c r="K4332" s="10" t="str">
        <f aca="false">IF($A4332="","",$G4332&amp;"|"&amp;$J4332)</f>
        <v/>
      </c>
      <c r="L4332" s="10" t="str">
        <f aca="false">IF($A4332="","",ROW()-2)</f>
        <v/>
      </c>
      <c r="M4332" s="10" t="str">
        <f aca="false">IF($A4332="","",ROW())</f>
        <v/>
      </c>
    </row>
    <row r="4333" customFormat="false" ht="15" hidden="false" customHeight="true" outlineLevel="0" collapsed="false">
      <c r="A4333" s="8"/>
      <c r="B4333" s="8"/>
      <c r="C4333" s="8"/>
      <c r="D4333" s="8"/>
      <c r="E4333" s="8"/>
      <c r="F4333" s="8"/>
      <c r="G4333" s="10" t="str">
        <f aca="false">IF($A4333="","",UPPER(SUBSTITUTE(SUBSTITUTE(SUBSTITUTE(SUBSTITUTE($A4333," ",""),"(주)",""),"주식회사",""),"㈜","")))</f>
        <v/>
      </c>
      <c r="H4333" s="10" t="str">
        <f aca="false">IF($B4333="","",SUBSTITUTE(SUBSTITUTE(SUBSTITUTE($B4333,"-","")," ",""),".",""))</f>
        <v/>
      </c>
      <c r="I4333" s="10" t="str">
        <f aca="false">IF($D4333="","",SUBSTITUTE(SUBSTITUTE(SUBSTITUTE($D4333,"-","")," ",""),".",""))</f>
        <v/>
      </c>
      <c r="J4333" s="10" t="str">
        <f aca="false">IF($E4333="","",UPPER(SUBSTITUTE($E4333," ","")))</f>
        <v/>
      </c>
      <c r="K4333" s="10" t="str">
        <f aca="false">IF($A4333="","",$G4333&amp;"|"&amp;$J4333)</f>
        <v/>
      </c>
      <c r="L4333" s="10" t="str">
        <f aca="false">IF($A4333="","",ROW()-2)</f>
        <v/>
      </c>
      <c r="M4333" s="10" t="str">
        <f aca="false">IF($A4333="","",ROW())</f>
        <v/>
      </c>
    </row>
    <row r="4334" customFormat="false" ht="15" hidden="false" customHeight="true" outlineLevel="0" collapsed="false">
      <c r="A4334" s="8"/>
      <c r="B4334" s="8"/>
      <c r="C4334" s="8"/>
      <c r="D4334" s="8"/>
      <c r="E4334" s="8"/>
      <c r="F4334" s="8"/>
      <c r="G4334" s="10" t="str">
        <f aca="false">IF($A4334="","",UPPER(SUBSTITUTE(SUBSTITUTE(SUBSTITUTE(SUBSTITUTE($A4334," ",""),"(주)",""),"주식회사",""),"㈜","")))</f>
        <v/>
      </c>
      <c r="H4334" s="10" t="str">
        <f aca="false">IF($B4334="","",SUBSTITUTE(SUBSTITUTE(SUBSTITUTE($B4334,"-","")," ",""),".",""))</f>
        <v/>
      </c>
      <c r="I4334" s="10" t="str">
        <f aca="false">IF($D4334="","",SUBSTITUTE(SUBSTITUTE(SUBSTITUTE($D4334,"-","")," ",""),".",""))</f>
        <v/>
      </c>
      <c r="J4334" s="10" t="str">
        <f aca="false">IF($E4334="","",UPPER(SUBSTITUTE($E4334," ","")))</f>
        <v/>
      </c>
      <c r="K4334" s="10" t="str">
        <f aca="false">IF($A4334="","",$G4334&amp;"|"&amp;$J4334)</f>
        <v/>
      </c>
      <c r="L4334" s="10" t="str">
        <f aca="false">IF($A4334="","",ROW()-2)</f>
        <v/>
      </c>
      <c r="M4334" s="10" t="str">
        <f aca="false">IF($A4334="","",ROW())</f>
        <v/>
      </c>
    </row>
    <row r="4335" customFormat="false" ht="15" hidden="false" customHeight="true" outlineLevel="0" collapsed="false">
      <c r="A4335" s="8"/>
      <c r="B4335" s="8"/>
      <c r="C4335" s="8"/>
      <c r="D4335" s="8"/>
      <c r="E4335" s="8"/>
      <c r="F4335" s="8"/>
      <c r="G4335" s="10" t="str">
        <f aca="false">IF($A4335="","",UPPER(SUBSTITUTE(SUBSTITUTE(SUBSTITUTE(SUBSTITUTE($A4335," ",""),"(주)",""),"주식회사",""),"㈜","")))</f>
        <v/>
      </c>
      <c r="H4335" s="10" t="str">
        <f aca="false">IF($B4335="","",SUBSTITUTE(SUBSTITUTE(SUBSTITUTE($B4335,"-","")," ",""),".",""))</f>
        <v/>
      </c>
      <c r="I4335" s="10" t="str">
        <f aca="false">IF($D4335="","",SUBSTITUTE(SUBSTITUTE(SUBSTITUTE($D4335,"-","")," ",""),".",""))</f>
        <v/>
      </c>
      <c r="J4335" s="10" t="str">
        <f aca="false">IF($E4335="","",UPPER(SUBSTITUTE($E4335," ","")))</f>
        <v/>
      </c>
      <c r="K4335" s="10" t="str">
        <f aca="false">IF($A4335="","",$G4335&amp;"|"&amp;$J4335)</f>
        <v/>
      </c>
      <c r="L4335" s="10" t="str">
        <f aca="false">IF($A4335="","",ROW()-2)</f>
        <v/>
      </c>
      <c r="M4335" s="10" t="str">
        <f aca="false">IF($A4335="","",ROW())</f>
        <v/>
      </c>
    </row>
    <row r="4336" customFormat="false" ht="15" hidden="false" customHeight="true" outlineLevel="0" collapsed="false">
      <c r="A4336" s="8"/>
      <c r="B4336" s="8"/>
      <c r="C4336" s="8"/>
      <c r="D4336" s="8"/>
      <c r="E4336" s="8"/>
      <c r="F4336" s="8"/>
      <c r="G4336" s="10" t="str">
        <f aca="false">IF($A4336="","",UPPER(SUBSTITUTE(SUBSTITUTE(SUBSTITUTE(SUBSTITUTE($A4336," ",""),"(주)",""),"주식회사",""),"㈜","")))</f>
        <v/>
      </c>
      <c r="H4336" s="10" t="str">
        <f aca="false">IF($B4336="","",SUBSTITUTE(SUBSTITUTE(SUBSTITUTE($B4336,"-","")," ",""),".",""))</f>
        <v/>
      </c>
      <c r="I4336" s="10" t="str">
        <f aca="false">IF($D4336="","",SUBSTITUTE(SUBSTITUTE(SUBSTITUTE($D4336,"-","")," ",""),".",""))</f>
        <v/>
      </c>
      <c r="J4336" s="10" t="str">
        <f aca="false">IF($E4336="","",UPPER(SUBSTITUTE($E4336," ","")))</f>
        <v/>
      </c>
      <c r="K4336" s="10" t="str">
        <f aca="false">IF($A4336="","",$G4336&amp;"|"&amp;$J4336)</f>
        <v/>
      </c>
      <c r="L4336" s="10" t="str">
        <f aca="false">IF($A4336="","",ROW()-2)</f>
        <v/>
      </c>
      <c r="M4336" s="10" t="str">
        <f aca="false">IF($A4336="","",ROW())</f>
        <v/>
      </c>
    </row>
    <row r="4337" customFormat="false" ht="15" hidden="false" customHeight="true" outlineLevel="0" collapsed="false">
      <c r="A4337" s="8"/>
      <c r="B4337" s="8"/>
      <c r="C4337" s="8"/>
      <c r="D4337" s="8"/>
      <c r="E4337" s="8"/>
      <c r="F4337" s="8"/>
      <c r="G4337" s="10" t="str">
        <f aca="false">IF($A4337="","",UPPER(SUBSTITUTE(SUBSTITUTE(SUBSTITUTE(SUBSTITUTE($A4337," ",""),"(주)",""),"주식회사",""),"㈜","")))</f>
        <v/>
      </c>
      <c r="H4337" s="10" t="str">
        <f aca="false">IF($B4337="","",SUBSTITUTE(SUBSTITUTE(SUBSTITUTE($B4337,"-","")," ",""),".",""))</f>
        <v/>
      </c>
      <c r="I4337" s="10" t="str">
        <f aca="false">IF($D4337="","",SUBSTITUTE(SUBSTITUTE(SUBSTITUTE($D4337,"-","")," ",""),".",""))</f>
        <v/>
      </c>
      <c r="J4337" s="10" t="str">
        <f aca="false">IF($E4337="","",UPPER(SUBSTITUTE($E4337," ","")))</f>
        <v/>
      </c>
      <c r="K4337" s="10" t="str">
        <f aca="false">IF($A4337="","",$G4337&amp;"|"&amp;$J4337)</f>
        <v/>
      </c>
      <c r="L4337" s="10" t="str">
        <f aca="false">IF($A4337="","",ROW()-2)</f>
        <v/>
      </c>
      <c r="M4337" s="10" t="str">
        <f aca="false">IF($A4337="","",ROW())</f>
        <v/>
      </c>
    </row>
    <row r="4338" customFormat="false" ht="15" hidden="false" customHeight="true" outlineLevel="0" collapsed="false">
      <c r="A4338" s="8"/>
      <c r="B4338" s="8"/>
      <c r="C4338" s="8"/>
      <c r="D4338" s="8"/>
      <c r="E4338" s="8"/>
      <c r="F4338" s="8"/>
      <c r="G4338" s="10" t="str">
        <f aca="false">IF($A4338="","",UPPER(SUBSTITUTE(SUBSTITUTE(SUBSTITUTE(SUBSTITUTE($A4338," ",""),"(주)",""),"주식회사",""),"㈜","")))</f>
        <v/>
      </c>
      <c r="H4338" s="10" t="str">
        <f aca="false">IF($B4338="","",SUBSTITUTE(SUBSTITUTE(SUBSTITUTE($B4338,"-","")," ",""),".",""))</f>
        <v/>
      </c>
      <c r="I4338" s="10" t="str">
        <f aca="false">IF($D4338="","",SUBSTITUTE(SUBSTITUTE(SUBSTITUTE($D4338,"-","")," ",""),".",""))</f>
        <v/>
      </c>
      <c r="J4338" s="10" t="str">
        <f aca="false">IF($E4338="","",UPPER(SUBSTITUTE($E4338," ","")))</f>
        <v/>
      </c>
      <c r="K4338" s="10" t="str">
        <f aca="false">IF($A4338="","",$G4338&amp;"|"&amp;$J4338)</f>
        <v/>
      </c>
      <c r="L4338" s="10" t="str">
        <f aca="false">IF($A4338="","",ROW()-2)</f>
        <v/>
      </c>
      <c r="M4338" s="10" t="str">
        <f aca="false">IF($A4338="","",ROW())</f>
        <v/>
      </c>
    </row>
    <row r="4339" customFormat="false" ht="15" hidden="false" customHeight="true" outlineLevel="0" collapsed="false">
      <c r="A4339" s="8"/>
      <c r="B4339" s="8"/>
      <c r="C4339" s="8"/>
      <c r="D4339" s="8"/>
      <c r="E4339" s="8"/>
      <c r="F4339" s="8"/>
      <c r="G4339" s="10" t="str">
        <f aca="false">IF($A4339="","",UPPER(SUBSTITUTE(SUBSTITUTE(SUBSTITUTE(SUBSTITUTE($A4339," ",""),"(주)",""),"주식회사",""),"㈜","")))</f>
        <v/>
      </c>
      <c r="H4339" s="10" t="str">
        <f aca="false">IF($B4339="","",SUBSTITUTE(SUBSTITUTE(SUBSTITUTE($B4339,"-","")," ",""),".",""))</f>
        <v/>
      </c>
      <c r="I4339" s="10" t="str">
        <f aca="false">IF($D4339="","",SUBSTITUTE(SUBSTITUTE(SUBSTITUTE($D4339,"-","")," ",""),".",""))</f>
        <v/>
      </c>
      <c r="J4339" s="10" t="str">
        <f aca="false">IF($E4339="","",UPPER(SUBSTITUTE($E4339," ","")))</f>
        <v/>
      </c>
      <c r="K4339" s="10" t="str">
        <f aca="false">IF($A4339="","",$G4339&amp;"|"&amp;$J4339)</f>
        <v/>
      </c>
      <c r="L4339" s="10" t="str">
        <f aca="false">IF($A4339="","",ROW()-2)</f>
        <v/>
      </c>
      <c r="M4339" s="10" t="str">
        <f aca="false">IF($A4339="","",ROW())</f>
        <v/>
      </c>
    </row>
    <row r="4340" customFormat="false" ht="15" hidden="false" customHeight="true" outlineLevel="0" collapsed="false">
      <c r="A4340" s="8"/>
      <c r="B4340" s="8"/>
      <c r="C4340" s="8"/>
      <c r="D4340" s="8"/>
      <c r="E4340" s="8"/>
      <c r="F4340" s="8"/>
      <c r="G4340" s="10" t="str">
        <f aca="false">IF($A4340="","",UPPER(SUBSTITUTE(SUBSTITUTE(SUBSTITUTE(SUBSTITUTE($A4340," ",""),"(주)",""),"주식회사",""),"㈜","")))</f>
        <v/>
      </c>
      <c r="H4340" s="10" t="str">
        <f aca="false">IF($B4340="","",SUBSTITUTE(SUBSTITUTE(SUBSTITUTE($B4340,"-","")," ",""),".",""))</f>
        <v/>
      </c>
      <c r="I4340" s="10" t="str">
        <f aca="false">IF($D4340="","",SUBSTITUTE(SUBSTITUTE(SUBSTITUTE($D4340,"-","")," ",""),".",""))</f>
        <v/>
      </c>
      <c r="J4340" s="10" t="str">
        <f aca="false">IF($E4340="","",UPPER(SUBSTITUTE($E4340," ","")))</f>
        <v/>
      </c>
      <c r="K4340" s="10" t="str">
        <f aca="false">IF($A4340="","",$G4340&amp;"|"&amp;$J4340)</f>
        <v/>
      </c>
      <c r="L4340" s="10" t="str">
        <f aca="false">IF($A4340="","",ROW()-2)</f>
        <v/>
      </c>
      <c r="M4340" s="10" t="str">
        <f aca="false">IF($A4340="","",ROW())</f>
        <v/>
      </c>
    </row>
    <row r="4341" customFormat="false" ht="15" hidden="false" customHeight="true" outlineLevel="0" collapsed="false">
      <c r="A4341" s="8"/>
      <c r="B4341" s="8"/>
      <c r="C4341" s="8"/>
      <c r="D4341" s="8"/>
      <c r="E4341" s="8"/>
      <c r="F4341" s="8"/>
      <c r="G4341" s="10" t="str">
        <f aca="false">IF($A4341="","",UPPER(SUBSTITUTE(SUBSTITUTE(SUBSTITUTE(SUBSTITUTE($A4341," ",""),"(주)",""),"주식회사",""),"㈜","")))</f>
        <v/>
      </c>
      <c r="H4341" s="10" t="str">
        <f aca="false">IF($B4341="","",SUBSTITUTE(SUBSTITUTE(SUBSTITUTE($B4341,"-","")," ",""),".",""))</f>
        <v/>
      </c>
      <c r="I4341" s="10" t="str">
        <f aca="false">IF($D4341="","",SUBSTITUTE(SUBSTITUTE(SUBSTITUTE($D4341,"-","")," ",""),".",""))</f>
        <v/>
      </c>
      <c r="J4341" s="10" t="str">
        <f aca="false">IF($E4341="","",UPPER(SUBSTITUTE($E4341," ","")))</f>
        <v/>
      </c>
      <c r="K4341" s="10" t="str">
        <f aca="false">IF($A4341="","",$G4341&amp;"|"&amp;$J4341)</f>
        <v/>
      </c>
      <c r="L4341" s="10" t="str">
        <f aca="false">IF($A4341="","",ROW()-2)</f>
        <v/>
      </c>
      <c r="M4341" s="10" t="str">
        <f aca="false">IF($A4341="","",ROW())</f>
        <v/>
      </c>
    </row>
    <row r="4342" customFormat="false" ht="15" hidden="false" customHeight="true" outlineLevel="0" collapsed="false">
      <c r="A4342" s="8"/>
      <c r="B4342" s="8"/>
      <c r="C4342" s="8"/>
      <c r="D4342" s="8"/>
      <c r="E4342" s="8"/>
      <c r="F4342" s="8"/>
      <c r="G4342" s="10" t="str">
        <f aca="false">IF($A4342="","",UPPER(SUBSTITUTE(SUBSTITUTE(SUBSTITUTE(SUBSTITUTE($A4342," ",""),"(주)",""),"주식회사",""),"㈜","")))</f>
        <v/>
      </c>
      <c r="H4342" s="10" t="str">
        <f aca="false">IF($B4342="","",SUBSTITUTE(SUBSTITUTE(SUBSTITUTE($B4342,"-","")," ",""),".",""))</f>
        <v/>
      </c>
      <c r="I4342" s="10" t="str">
        <f aca="false">IF($D4342="","",SUBSTITUTE(SUBSTITUTE(SUBSTITUTE($D4342,"-","")," ",""),".",""))</f>
        <v/>
      </c>
      <c r="J4342" s="10" t="str">
        <f aca="false">IF($E4342="","",UPPER(SUBSTITUTE($E4342," ","")))</f>
        <v/>
      </c>
      <c r="K4342" s="10" t="str">
        <f aca="false">IF($A4342="","",$G4342&amp;"|"&amp;$J4342)</f>
        <v/>
      </c>
      <c r="L4342" s="10" t="str">
        <f aca="false">IF($A4342="","",ROW()-2)</f>
        <v/>
      </c>
      <c r="M4342" s="10" t="str">
        <f aca="false">IF($A4342="","",ROW())</f>
        <v/>
      </c>
    </row>
    <row r="4343" customFormat="false" ht="15" hidden="false" customHeight="true" outlineLevel="0" collapsed="false">
      <c r="A4343" s="8"/>
      <c r="B4343" s="8"/>
      <c r="C4343" s="8"/>
      <c r="D4343" s="8"/>
      <c r="E4343" s="8"/>
      <c r="F4343" s="8"/>
      <c r="G4343" s="10" t="str">
        <f aca="false">IF($A4343="","",UPPER(SUBSTITUTE(SUBSTITUTE(SUBSTITUTE(SUBSTITUTE($A4343," ",""),"(주)",""),"주식회사",""),"㈜","")))</f>
        <v/>
      </c>
      <c r="H4343" s="10" t="str">
        <f aca="false">IF($B4343="","",SUBSTITUTE(SUBSTITUTE(SUBSTITUTE($B4343,"-","")," ",""),".",""))</f>
        <v/>
      </c>
      <c r="I4343" s="10" t="str">
        <f aca="false">IF($D4343="","",SUBSTITUTE(SUBSTITUTE(SUBSTITUTE($D4343,"-","")," ",""),".",""))</f>
        <v/>
      </c>
      <c r="J4343" s="10" t="str">
        <f aca="false">IF($E4343="","",UPPER(SUBSTITUTE($E4343," ","")))</f>
        <v/>
      </c>
      <c r="K4343" s="10" t="str">
        <f aca="false">IF($A4343="","",$G4343&amp;"|"&amp;$J4343)</f>
        <v/>
      </c>
      <c r="L4343" s="10" t="str">
        <f aca="false">IF($A4343="","",ROW()-2)</f>
        <v/>
      </c>
      <c r="M4343" s="10" t="str">
        <f aca="false">IF($A4343="","",ROW())</f>
        <v/>
      </c>
    </row>
    <row r="4344" customFormat="false" ht="15" hidden="false" customHeight="true" outlineLevel="0" collapsed="false">
      <c r="A4344" s="8"/>
      <c r="B4344" s="8"/>
      <c r="C4344" s="8"/>
      <c r="D4344" s="8"/>
      <c r="E4344" s="8"/>
      <c r="F4344" s="8"/>
      <c r="G4344" s="10" t="str">
        <f aca="false">IF($A4344="","",UPPER(SUBSTITUTE(SUBSTITUTE(SUBSTITUTE(SUBSTITUTE($A4344," ",""),"(주)",""),"주식회사",""),"㈜","")))</f>
        <v/>
      </c>
      <c r="H4344" s="10" t="str">
        <f aca="false">IF($B4344="","",SUBSTITUTE(SUBSTITUTE(SUBSTITUTE($B4344,"-","")," ",""),".",""))</f>
        <v/>
      </c>
      <c r="I4344" s="10" t="str">
        <f aca="false">IF($D4344="","",SUBSTITUTE(SUBSTITUTE(SUBSTITUTE($D4344,"-","")," ",""),".",""))</f>
        <v/>
      </c>
      <c r="J4344" s="10" t="str">
        <f aca="false">IF($E4344="","",UPPER(SUBSTITUTE($E4344," ","")))</f>
        <v/>
      </c>
      <c r="K4344" s="10" t="str">
        <f aca="false">IF($A4344="","",$G4344&amp;"|"&amp;$J4344)</f>
        <v/>
      </c>
      <c r="L4344" s="10" t="str">
        <f aca="false">IF($A4344="","",ROW()-2)</f>
        <v/>
      </c>
      <c r="M4344" s="10" t="str">
        <f aca="false">IF($A4344="","",ROW())</f>
        <v/>
      </c>
    </row>
    <row r="4345" customFormat="false" ht="15" hidden="false" customHeight="true" outlineLevel="0" collapsed="false">
      <c r="A4345" s="8"/>
      <c r="B4345" s="8"/>
      <c r="C4345" s="8"/>
      <c r="D4345" s="8"/>
      <c r="E4345" s="8"/>
      <c r="F4345" s="8"/>
      <c r="G4345" s="10" t="str">
        <f aca="false">IF($A4345="","",UPPER(SUBSTITUTE(SUBSTITUTE(SUBSTITUTE(SUBSTITUTE($A4345," ",""),"(주)",""),"주식회사",""),"㈜","")))</f>
        <v/>
      </c>
      <c r="H4345" s="10" t="str">
        <f aca="false">IF($B4345="","",SUBSTITUTE(SUBSTITUTE(SUBSTITUTE($B4345,"-","")," ",""),".",""))</f>
        <v/>
      </c>
      <c r="I4345" s="10" t="str">
        <f aca="false">IF($D4345="","",SUBSTITUTE(SUBSTITUTE(SUBSTITUTE($D4345,"-","")," ",""),".",""))</f>
        <v/>
      </c>
      <c r="J4345" s="10" t="str">
        <f aca="false">IF($E4345="","",UPPER(SUBSTITUTE($E4345," ","")))</f>
        <v/>
      </c>
      <c r="K4345" s="10" t="str">
        <f aca="false">IF($A4345="","",$G4345&amp;"|"&amp;$J4345)</f>
        <v/>
      </c>
      <c r="L4345" s="10" t="str">
        <f aca="false">IF($A4345="","",ROW()-2)</f>
        <v/>
      </c>
      <c r="M4345" s="10" t="str">
        <f aca="false">IF($A4345="","",ROW())</f>
        <v/>
      </c>
    </row>
    <row r="4346" customFormat="false" ht="15" hidden="false" customHeight="true" outlineLevel="0" collapsed="false">
      <c r="A4346" s="8"/>
      <c r="B4346" s="8"/>
      <c r="C4346" s="8"/>
      <c r="D4346" s="8"/>
      <c r="E4346" s="8"/>
      <c r="F4346" s="8"/>
      <c r="G4346" s="10" t="str">
        <f aca="false">IF($A4346="","",UPPER(SUBSTITUTE(SUBSTITUTE(SUBSTITUTE(SUBSTITUTE($A4346," ",""),"(주)",""),"주식회사",""),"㈜","")))</f>
        <v/>
      </c>
      <c r="H4346" s="10" t="str">
        <f aca="false">IF($B4346="","",SUBSTITUTE(SUBSTITUTE(SUBSTITUTE($B4346,"-","")," ",""),".",""))</f>
        <v/>
      </c>
      <c r="I4346" s="10" t="str">
        <f aca="false">IF($D4346="","",SUBSTITUTE(SUBSTITUTE(SUBSTITUTE($D4346,"-","")," ",""),".",""))</f>
        <v/>
      </c>
      <c r="J4346" s="10" t="str">
        <f aca="false">IF($E4346="","",UPPER(SUBSTITUTE($E4346," ","")))</f>
        <v/>
      </c>
      <c r="K4346" s="10" t="str">
        <f aca="false">IF($A4346="","",$G4346&amp;"|"&amp;$J4346)</f>
        <v/>
      </c>
      <c r="L4346" s="10" t="str">
        <f aca="false">IF($A4346="","",ROW()-2)</f>
        <v/>
      </c>
      <c r="M4346" s="10" t="str">
        <f aca="false">IF($A4346="","",ROW())</f>
        <v/>
      </c>
    </row>
    <row r="4347" customFormat="false" ht="15" hidden="false" customHeight="true" outlineLevel="0" collapsed="false">
      <c r="A4347" s="8"/>
      <c r="B4347" s="8"/>
      <c r="C4347" s="8"/>
      <c r="D4347" s="8"/>
      <c r="E4347" s="8"/>
      <c r="F4347" s="8"/>
      <c r="G4347" s="10" t="str">
        <f aca="false">IF($A4347="","",UPPER(SUBSTITUTE(SUBSTITUTE(SUBSTITUTE(SUBSTITUTE($A4347," ",""),"(주)",""),"주식회사",""),"㈜","")))</f>
        <v/>
      </c>
      <c r="H4347" s="10" t="str">
        <f aca="false">IF($B4347="","",SUBSTITUTE(SUBSTITUTE(SUBSTITUTE($B4347,"-","")," ",""),".",""))</f>
        <v/>
      </c>
      <c r="I4347" s="10" t="str">
        <f aca="false">IF($D4347="","",SUBSTITUTE(SUBSTITUTE(SUBSTITUTE($D4347,"-","")," ",""),".",""))</f>
        <v/>
      </c>
      <c r="J4347" s="10" t="str">
        <f aca="false">IF($E4347="","",UPPER(SUBSTITUTE($E4347," ","")))</f>
        <v/>
      </c>
      <c r="K4347" s="10" t="str">
        <f aca="false">IF($A4347="","",$G4347&amp;"|"&amp;$J4347)</f>
        <v/>
      </c>
      <c r="L4347" s="10" t="str">
        <f aca="false">IF($A4347="","",ROW()-2)</f>
        <v/>
      </c>
      <c r="M4347" s="10" t="str">
        <f aca="false">IF($A4347="","",ROW())</f>
        <v/>
      </c>
    </row>
    <row r="4348" customFormat="false" ht="15" hidden="false" customHeight="true" outlineLevel="0" collapsed="false">
      <c r="A4348" s="8"/>
      <c r="B4348" s="8"/>
      <c r="C4348" s="8"/>
      <c r="D4348" s="8"/>
      <c r="E4348" s="8"/>
      <c r="F4348" s="8"/>
      <c r="G4348" s="10" t="str">
        <f aca="false">IF($A4348="","",UPPER(SUBSTITUTE(SUBSTITUTE(SUBSTITUTE(SUBSTITUTE($A4348," ",""),"(주)",""),"주식회사",""),"㈜","")))</f>
        <v/>
      </c>
      <c r="H4348" s="10" t="str">
        <f aca="false">IF($B4348="","",SUBSTITUTE(SUBSTITUTE(SUBSTITUTE($B4348,"-","")," ",""),".",""))</f>
        <v/>
      </c>
      <c r="I4348" s="10" t="str">
        <f aca="false">IF($D4348="","",SUBSTITUTE(SUBSTITUTE(SUBSTITUTE($D4348,"-","")," ",""),".",""))</f>
        <v/>
      </c>
      <c r="J4348" s="10" t="str">
        <f aca="false">IF($E4348="","",UPPER(SUBSTITUTE($E4348," ","")))</f>
        <v/>
      </c>
      <c r="K4348" s="10" t="str">
        <f aca="false">IF($A4348="","",$G4348&amp;"|"&amp;$J4348)</f>
        <v/>
      </c>
      <c r="L4348" s="10" t="str">
        <f aca="false">IF($A4348="","",ROW()-2)</f>
        <v/>
      </c>
      <c r="M4348" s="10" t="str">
        <f aca="false">IF($A4348="","",ROW())</f>
        <v/>
      </c>
    </row>
    <row r="4349" customFormat="false" ht="15" hidden="false" customHeight="true" outlineLevel="0" collapsed="false">
      <c r="A4349" s="8"/>
      <c r="B4349" s="8"/>
      <c r="C4349" s="8"/>
      <c r="D4349" s="8"/>
      <c r="E4349" s="8"/>
      <c r="F4349" s="8"/>
      <c r="G4349" s="10" t="str">
        <f aca="false">IF($A4349="","",UPPER(SUBSTITUTE(SUBSTITUTE(SUBSTITUTE(SUBSTITUTE($A4349," ",""),"(주)",""),"주식회사",""),"㈜","")))</f>
        <v/>
      </c>
      <c r="H4349" s="10" t="str">
        <f aca="false">IF($B4349="","",SUBSTITUTE(SUBSTITUTE(SUBSTITUTE($B4349,"-","")," ",""),".",""))</f>
        <v/>
      </c>
      <c r="I4349" s="10" t="str">
        <f aca="false">IF($D4349="","",SUBSTITUTE(SUBSTITUTE(SUBSTITUTE($D4349,"-","")," ",""),".",""))</f>
        <v/>
      </c>
      <c r="J4349" s="10" t="str">
        <f aca="false">IF($E4349="","",UPPER(SUBSTITUTE($E4349," ","")))</f>
        <v/>
      </c>
      <c r="K4349" s="10" t="str">
        <f aca="false">IF($A4349="","",$G4349&amp;"|"&amp;$J4349)</f>
        <v/>
      </c>
      <c r="L4349" s="10" t="str">
        <f aca="false">IF($A4349="","",ROW()-2)</f>
        <v/>
      </c>
      <c r="M4349" s="10" t="str">
        <f aca="false">IF($A4349="","",ROW())</f>
        <v/>
      </c>
    </row>
    <row r="4350" customFormat="false" ht="15" hidden="false" customHeight="true" outlineLevel="0" collapsed="false">
      <c r="A4350" s="8"/>
      <c r="B4350" s="8"/>
      <c r="C4350" s="8"/>
      <c r="D4350" s="8"/>
      <c r="E4350" s="8"/>
      <c r="F4350" s="8"/>
      <c r="G4350" s="10" t="str">
        <f aca="false">IF($A4350="","",UPPER(SUBSTITUTE(SUBSTITUTE(SUBSTITUTE(SUBSTITUTE($A4350," ",""),"(주)",""),"주식회사",""),"㈜","")))</f>
        <v/>
      </c>
      <c r="H4350" s="10" t="str">
        <f aca="false">IF($B4350="","",SUBSTITUTE(SUBSTITUTE(SUBSTITUTE($B4350,"-","")," ",""),".",""))</f>
        <v/>
      </c>
      <c r="I4350" s="10" t="str">
        <f aca="false">IF($D4350="","",SUBSTITUTE(SUBSTITUTE(SUBSTITUTE($D4350,"-","")," ",""),".",""))</f>
        <v/>
      </c>
      <c r="J4350" s="10" t="str">
        <f aca="false">IF($E4350="","",UPPER(SUBSTITUTE($E4350," ","")))</f>
        <v/>
      </c>
      <c r="K4350" s="10" t="str">
        <f aca="false">IF($A4350="","",$G4350&amp;"|"&amp;$J4350)</f>
        <v/>
      </c>
      <c r="L4350" s="10" t="str">
        <f aca="false">IF($A4350="","",ROW()-2)</f>
        <v/>
      </c>
      <c r="M4350" s="10" t="str">
        <f aca="false">IF($A4350="","",ROW())</f>
        <v/>
      </c>
    </row>
    <row r="4351" customFormat="false" ht="15" hidden="false" customHeight="true" outlineLevel="0" collapsed="false">
      <c r="A4351" s="8"/>
      <c r="B4351" s="8"/>
      <c r="C4351" s="8"/>
      <c r="D4351" s="8"/>
      <c r="E4351" s="8"/>
      <c r="F4351" s="8"/>
      <c r="G4351" s="10" t="str">
        <f aca="false">IF($A4351="","",UPPER(SUBSTITUTE(SUBSTITUTE(SUBSTITUTE(SUBSTITUTE($A4351," ",""),"(주)",""),"주식회사",""),"㈜","")))</f>
        <v/>
      </c>
      <c r="H4351" s="10" t="str">
        <f aca="false">IF($B4351="","",SUBSTITUTE(SUBSTITUTE(SUBSTITUTE($B4351,"-","")," ",""),".",""))</f>
        <v/>
      </c>
      <c r="I4351" s="10" t="str">
        <f aca="false">IF($D4351="","",SUBSTITUTE(SUBSTITUTE(SUBSTITUTE($D4351,"-","")," ",""),".",""))</f>
        <v/>
      </c>
      <c r="J4351" s="10" t="str">
        <f aca="false">IF($E4351="","",UPPER(SUBSTITUTE($E4351," ","")))</f>
        <v/>
      </c>
      <c r="K4351" s="10" t="str">
        <f aca="false">IF($A4351="","",$G4351&amp;"|"&amp;$J4351)</f>
        <v/>
      </c>
      <c r="L4351" s="10" t="str">
        <f aca="false">IF($A4351="","",ROW()-2)</f>
        <v/>
      </c>
      <c r="M4351" s="10" t="str">
        <f aca="false">IF($A4351="","",ROW())</f>
        <v/>
      </c>
    </row>
    <row r="4352" customFormat="false" ht="15" hidden="false" customHeight="true" outlineLevel="0" collapsed="false">
      <c r="A4352" s="8"/>
      <c r="B4352" s="8"/>
      <c r="C4352" s="8"/>
      <c r="D4352" s="8"/>
      <c r="E4352" s="8"/>
      <c r="F4352" s="8"/>
      <c r="G4352" s="10" t="str">
        <f aca="false">IF($A4352="","",UPPER(SUBSTITUTE(SUBSTITUTE(SUBSTITUTE(SUBSTITUTE($A4352," ",""),"(주)",""),"주식회사",""),"㈜","")))</f>
        <v/>
      </c>
      <c r="H4352" s="10" t="str">
        <f aca="false">IF($B4352="","",SUBSTITUTE(SUBSTITUTE(SUBSTITUTE($B4352,"-","")," ",""),".",""))</f>
        <v/>
      </c>
      <c r="I4352" s="10" t="str">
        <f aca="false">IF($D4352="","",SUBSTITUTE(SUBSTITUTE(SUBSTITUTE($D4352,"-","")," ",""),".",""))</f>
        <v/>
      </c>
      <c r="J4352" s="10" t="str">
        <f aca="false">IF($E4352="","",UPPER(SUBSTITUTE($E4352," ","")))</f>
        <v/>
      </c>
      <c r="K4352" s="10" t="str">
        <f aca="false">IF($A4352="","",$G4352&amp;"|"&amp;$J4352)</f>
        <v/>
      </c>
      <c r="L4352" s="10" t="str">
        <f aca="false">IF($A4352="","",ROW()-2)</f>
        <v/>
      </c>
      <c r="M4352" s="10" t="str">
        <f aca="false">IF($A4352="","",ROW())</f>
        <v/>
      </c>
    </row>
    <row r="4353" customFormat="false" ht="15" hidden="false" customHeight="true" outlineLevel="0" collapsed="false">
      <c r="A4353" s="8"/>
      <c r="B4353" s="8"/>
      <c r="C4353" s="8"/>
      <c r="D4353" s="8"/>
      <c r="E4353" s="8"/>
      <c r="F4353" s="8"/>
      <c r="G4353" s="10" t="str">
        <f aca="false">IF($A4353="","",UPPER(SUBSTITUTE(SUBSTITUTE(SUBSTITUTE(SUBSTITUTE($A4353," ",""),"(주)",""),"주식회사",""),"㈜","")))</f>
        <v/>
      </c>
      <c r="H4353" s="10" t="str">
        <f aca="false">IF($B4353="","",SUBSTITUTE(SUBSTITUTE(SUBSTITUTE($B4353,"-","")," ",""),".",""))</f>
        <v/>
      </c>
      <c r="I4353" s="10" t="str">
        <f aca="false">IF($D4353="","",SUBSTITUTE(SUBSTITUTE(SUBSTITUTE($D4353,"-","")," ",""),".",""))</f>
        <v/>
      </c>
      <c r="J4353" s="10" t="str">
        <f aca="false">IF($E4353="","",UPPER(SUBSTITUTE($E4353," ","")))</f>
        <v/>
      </c>
      <c r="K4353" s="10" t="str">
        <f aca="false">IF($A4353="","",$G4353&amp;"|"&amp;$J4353)</f>
        <v/>
      </c>
      <c r="L4353" s="10" t="str">
        <f aca="false">IF($A4353="","",ROW()-2)</f>
        <v/>
      </c>
      <c r="M4353" s="10" t="str">
        <f aca="false">IF($A4353="","",ROW())</f>
        <v/>
      </c>
    </row>
    <row r="4354" customFormat="false" ht="15" hidden="false" customHeight="true" outlineLevel="0" collapsed="false">
      <c r="A4354" s="8"/>
      <c r="B4354" s="8"/>
      <c r="C4354" s="8"/>
      <c r="D4354" s="8"/>
      <c r="E4354" s="8"/>
      <c r="F4354" s="8"/>
      <c r="G4354" s="10" t="str">
        <f aca="false">IF($A4354="","",UPPER(SUBSTITUTE(SUBSTITUTE(SUBSTITUTE(SUBSTITUTE($A4354," ",""),"(주)",""),"주식회사",""),"㈜","")))</f>
        <v/>
      </c>
      <c r="H4354" s="10" t="str">
        <f aca="false">IF($B4354="","",SUBSTITUTE(SUBSTITUTE(SUBSTITUTE($B4354,"-","")," ",""),".",""))</f>
        <v/>
      </c>
      <c r="I4354" s="10" t="str">
        <f aca="false">IF($D4354="","",SUBSTITUTE(SUBSTITUTE(SUBSTITUTE($D4354,"-","")," ",""),".",""))</f>
        <v/>
      </c>
      <c r="J4354" s="10" t="str">
        <f aca="false">IF($E4354="","",UPPER(SUBSTITUTE($E4354," ","")))</f>
        <v/>
      </c>
      <c r="K4354" s="10" t="str">
        <f aca="false">IF($A4354="","",$G4354&amp;"|"&amp;$J4354)</f>
        <v/>
      </c>
      <c r="L4354" s="10" t="str">
        <f aca="false">IF($A4354="","",ROW()-2)</f>
        <v/>
      </c>
      <c r="M4354" s="10" t="str">
        <f aca="false">IF($A4354="","",ROW())</f>
        <v/>
      </c>
    </row>
    <row r="4355" customFormat="false" ht="15" hidden="false" customHeight="true" outlineLevel="0" collapsed="false">
      <c r="A4355" s="8"/>
      <c r="B4355" s="8"/>
      <c r="C4355" s="8"/>
      <c r="D4355" s="8"/>
      <c r="E4355" s="8"/>
      <c r="F4355" s="8"/>
      <c r="G4355" s="10" t="str">
        <f aca="false">IF($A4355="","",UPPER(SUBSTITUTE(SUBSTITUTE(SUBSTITUTE(SUBSTITUTE($A4355," ",""),"(주)",""),"주식회사",""),"㈜","")))</f>
        <v/>
      </c>
      <c r="H4355" s="10" t="str">
        <f aca="false">IF($B4355="","",SUBSTITUTE(SUBSTITUTE(SUBSTITUTE($B4355,"-","")," ",""),".",""))</f>
        <v/>
      </c>
      <c r="I4355" s="10" t="str">
        <f aca="false">IF($D4355="","",SUBSTITUTE(SUBSTITUTE(SUBSTITUTE($D4355,"-","")," ",""),".",""))</f>
        <v/>
      </c>
      <c r="J4355" s="10" t="str">
        <f aca="false">IF($E4355="","",UPPER(SUBSTITUTE($E4355," ","")))</f>
        <v/>
      </c>
      <c r="K4355" s="10" t="str">
        <f aca="false">IF($A4355="","",$G4355&amp;"|"&amp;$J4355)</f>
        <v/>
      </c>
      <c r="L4355" s="10" t="str">
        <f aca="false">IF($A4355="","",ROW()-2)</f>
        <v/>
      </c>
      <c r="M4355" s="10" t="str">
        <f aca="false">IF($A4355="","",ROW())</f>
        <v/>
      </c>
    </row>
    <row r="4356" customFormat="false" ht="15" hidden="false" customHeight="true" outlineLevel="0" collapsed="false">
      <c r="A4356" s="8"/>
      <c r="B4356" s="8"/>
      <c r="C4356" s="8"/>
      <c r="D4356" s="8"/>
      <c r="E4356" s="8"/>
      <c r="F4356" s="8"/>
      <c r="G4356" s="10" t="str">
        <f aca="false">IF($A4356="","",UPPER(SUBSTITUTE(SUBSTITUTE(SUBSTITUTE(SUBSTITUTE($A4356," ",""),"(주)",""),"주식회사",""),"㈜","")))</f>
        <v/>
      </c>
      <c r="H4356" s="10" t="str">
        <f aca="false">IF($B4356="","",SUBSTITUTE(SUBSTITUTE(SUBSTITUTE($B4356,"-","")," ",""),".",""))</f>
        <v/>
      </c>
      <c r="I4356" s="10" t="str">
        <f aca="false">IF($D4356="","",SUBSTITUTE(SUBSTITUTE(SUBSTITUTE($D4356,"-","")," ",""),".",""))</f>
        <v/>
      </c>
      <c r="J4356" s="10" t="str">
        <f aca="false">IF($E4356="","",UPPER(SUBSTITUTE($E4356," ","")))</f>
        <v/>
      </c>
      <c r="K4356" s="10" t="str">
        <f aca="false">IF($A4356="","",$G4356&amp;"|"&amp;$J4356)</f>
        <v/>
      </c>
      <c r="L4356" s="10" t="str">
        <f aca="false">IF($A4356="","",ROW()-2)</f>
        <v/>
      </c>
      <c r="M4356" s="10" t="str">
        <f aca="false">IF($A4356="","",ROW())</f>
        <v/>
      </c>
    </row>
    <row r="4357" customFormat="false" ht="15" hidden="false" customHeight="true" outlineLevel="0" collapsed="false">
      <c r="A4357" s="8"/>
      <c r="B4357" s="8"/>
      <c r="C4357" s="8"/>
      <c r="D4357" s="8"/>
      <c r="E4357" s="8"/>
      <c r="F4357" s="8"/>
      <c r="G4357" s="10" t="str">
        <f aca="false">IF($A4357="","",UPPER(SUBSTITUTE(SUBSTITUTE(SUBSTITUTE(SUBSTITUTE($A4357," ",""),"(주)",""),"주식회사",""),"㈜","")))</f>
        <v/>
      </c>
      <c r="H4357" s="10" t="str">
        <f aca="false">IF($B4357="","",SUBSTITUTE(SUBSTITUTE(SUBSTITUTE($B4357,"-","")," ",""),".",""))</f>
        <v/>
      </c>
      <c r="I4357" s="10" t="str">
        <f aca="false">IF($D4357="","",SUBSTITUTE(SUBSTITUTE(SUBSTITUTE($D4357,"-","")," ",""),".",""))</f>
        <v/>
      </c>
      <c r="J4357" s="10" t="str">
        <f aca="false">IF($E4357="","",UPPER(SUBSTITUTE($E4357," ","")))</f>
        <v/>
      </c>
      <c r="K4357" s="10" t="str">
        <f aca="false">IF($A4357="","",$G4357&amp;"|"&amp;$J4357)</f>
        <v/>
      </c>
      <c r="L4357" s="10" t="str">
        <f aca="false">IF($A4357="","",ROW()-2)</f>
        <v/>
      </c>
      <c r="M4357" s="10" t="str">
        <f aca="false">IF($A4357="","",ROW())</f>
        <v/>
      </c>
    </row>
    <row r="4358" customFormat="false" ht="15" hidden="false" customHeight="true" outlineLevel="0" collapsed="false">
      <c r="A4358" s="8"/>
      <c r="B4358" s="8"/>
      <c r="C4358" s="8"/>
      <c r="D4358" s="8"/>
      <c r="E4358" s="8"/>
      <c r="F4358" s="8"/>
      <c r="G4358" s="10" t="str">
        <f aca="false">IF($A4358="","",UPPER(SUBSTITUTE(SUBSTITUTE(SUBSTITUTE(SUBSTITUTE($A4358," ",""),"(주)",""),"주식회사",""),"㈜","")))</f>
        <v/>
      </c>
      <c r="H4358" s="10" t="str">
        <f aca="false">IF($B4358="","",SUBSTITUTE(SUBSTITUTE(SUBSTITUTE($B4358,"-","")," ",""),".",""))</f>
        <v/>
      </c>
      <c r="I4358" s="10" t="str">
        <f aca="false">IF($D4358="","",SUBSTITUTE(SUBSTITUTE(SUBSTITUTE($D4358,"-","")," ",""),".",""))</f>
        <v/>
      </c>
      <c r="J4358" s="10" t="str">
        <f aca="false">IF($E4358="","",UPPER(SUBSTITUTE($E4358," ","")))</f>
        <v/>
      </c>
      <c r="K4358" s="10" t="str">
        <f aca="false">IF($A4358="","",$G4358&amp;"|"&amp;$J4358)</f>
        <v/>
      </c>
      <c r="L4358" s="10" t="str">
        <f aca="false">IF($A4358="","",ROW()-2)</f>
        <v/>
      </c>
      <c r="M4358" s="10" t="str">
        <f aca="false">IF($A4358="","",ROW())</f>
        <v/>
      </c>
    </row>
    <row r="4359" customFormat="false" ht="15" hidden="false" customHeight="true" outlineLevel="0" collapsed="false">
      <c r="A4359" s="8"/>
      <c r="B4359" s="8"/>
      <c r="C4359" s="8"/>
      <c r="D4359" s="8"/>
      <c r="E4359" s="8"/>
      <c r="F4359" s="8"/>
      <c r="G4359" s="10" t="str">
        <f aca="false">IF($A4359="","",UPPER(SUBSTITUTE(SUBSTITUTE(SUBSTITUTE(SUBSTITUTE($A4359," ",""),"(주)",""),"주식회사",""),"㈜","")))</f>
        <v/>
      </c>
      <c r="H4359" s="10" t="str">
        <f aca="false">IF($B4359="","",SUBSTITUTE(SUBSTITUTE(SUBSTITUTE($B4359,"-","")," ",""),".",""))</f>
        <v/>
      </c>
      <c r="I4359" s="10" t="str">
        <f aca="false">IF($D4359="","",SUBSTITUTE(SUBSTITUTE(SUBSTITUTE($D4359,"-","")," ",""),".",""))</f>
        <v/>
      </c>
      <c r="J4359" s="10" t="str">
        <f aca="false">IF($E4359="","",UPPER(SUBSTITUTE($E4359," ","")))</f>
        <v/>
      </c>
      <c r="K4359" s="10" t="str">
        <f aca="false">IF($A4359="","",$G4359&amp;"|"&amp;$J4359)</f>
        <v/>
      </c>
      <c r="L4359" s="10" t="str">
        <f aca="false">IF($A4359="","",ROW()-2)</f>
        <v/>
      </c>
      <c r="M4359" s="10" t="str">
        <f aca="false">IF($A4359="","",ROW())</f>
        <v/>
      </c>
    </row>
    <row r="4360" customFormat="false" ht="15" hidden="false" customHeight="true" outlineLevel="0" collapsed="false">
      <c r="A4360" s="8"/>
      <c r="B4360" s="8"/>
      <c r="C4360" s="8"/>
      <c r="D4360" s="8"/>
      <c r="E4360" s="8"/>
      <c r="F4360" s="8"/>
      <c r="G4360" s="10" t="str">
        <f aca="false">IF($A4360="","",UPPER(SUBSTITUTE(SUBSTITUTE(SUBSTITUTE(SUBSTITUTE($A4360," ",""),"(주)",""),"주식회사",""),"㈜","")))</f>
        <v/>
      </c>
      <c r="H4360" s="10" t="str">
        <f aca="false">IF($B4360="","",SUBSTITUTE(SUBSTITUTE(SUBSTITUTE($B4360,"-","")," ",""),".",""))</f>
        <v/>
      </c>
      <c r="I4360" s="10" t="str">
        <f aca="false">IF($D4360="","",SUBSTITUTE(SUBSTITUTE(SUBSTITUTE($D4360,"-","")," ",""),".",""))</f>
        <v/>
      </c>
      <c r="J4360" s="10" t="str">
        <f aca="false">IF($E4360="","",UPPER(SUBSTITUTE($E4360," ","")))</f>
        <v/>
      </c>
      <c r="K4360" s="10" t="str">
        <f aca="false">IF($A4360="","",$G4360&amp;"|"&amp;$J4360)</f>
        <v/>
      </c>
      <c r="L4360" s="10" t="str">
        <f aca="false">IF($A4360="","",ROW()-2)</f>
        <v/>
      </c>
      <c r="M4360" s="10" t="str">
        <f aca="false">IF($A4360="","",ROW())</f>
        <v/>
      </c>
    </row>
    <row r="4361" customFormat="false" ht="15" hidden="false" customHeight="true" outlineLevel="0" collapsed="false">
      <c r="A4361" s="8"/>
      <c r="B4361" s="8"/>
      <c r="C4361" s="8"/>
      <c r="D4361" s="8"/>
      <c r="E4361" s="8"/>
      <c r="F4361" s="8"/>
      <c r="G4361" s="10" t="str">
        <f aca="false">IF($A4361="","",UPPER(SUBSTITUTE(SUBSTITUTE(SUBSTITUTE(SUBSTITUTE($A4361," ",""),"(주)",""),"주식회사",""),"㈜","")))</f>
        <v/>
      </c>
      <c r="H4361" s="10" t="str">
        <f aca="false">IF($B4361="","",SUBSTITUTE(SUBSTITUTE(SUBSTITUTE($B4361,"-","")," ",""),".",""))</f>
        <v/>
      </c>
      <c r="I4361" s="10" t="str">
        <f aca="false">IF($D4361="","",SUBSTITUTE(SUBSTITUTE(SUBSTITUTE($D4361,"-","")," ",""),".",""))</f>
        <v/>
      </c>
      <c r="J4361" s="10" t="str">
        <f aca="false">IF($E4361="","",UPPER(SUBSTITUTE($E4361," ","")))</f>
        <v/>
      </c>
      <c r="K4361" s="10" t="str">
        <f aca="false">IF($A4361="","",$G4361&amp;"|"&amp;$J4361)</f>
        <v/>
      </c>
      <c r="L4361" s="10" t="str">
        <f aca="false">IF($A4361="","",ROW()-2)</f>
        <v/>
      </c>
      <c r="M4361" s="10" t="str">
        <f aca="false">IF($A4361="","",ROW())</f>
        <v/>
      </c>
    </row>
    <row r="4362" customFormat="false" ht="15" hidden="false" customHeight="true" outlineLevel="0" collapsed="false">
      <c r="A4362" s="8"/>
      <c r="B4362" s="8"/>
      <c r="C4362" s="8"/>
      <c r="D4362" s="8"/>
      <c r="E4362" s="8"/>
      <c r="F4362" s="8"/>
      <c r="G4362" s="10" t="str">
        <f aca="false">IF($A4362="","",UPPER(SUBSTITUTE(SUBSTITUTE(SUBSTITUTE(SUBSTITUTE($A4362," ",""),"(주)",""),"주식회사",""),"㈜","")))</f>
        <v/>
      </c>
      <c r="H4362" s="10" t="str">
        <f aca="false">IF($B4362="","",SUBSTITUTE(SUBSTITUTE(SUBSTITUTE($B4362,"-","")," ",""),".",""))</f>
        <v/>
      </c>
      <c r="I4362" s="10" t="str">
        <f aca="false">IF($D4362="","",SUBSTITUTE(SUBSTITUTE(SUBSTITUTE($D4362,"-","")," ",""),".",""))</f>
        <v/>
      </c>
      <c r="J4362" s="10" t="str">
        <f aca="false">IF($E4362="","",UPPER(SUBSTITUTE($E4362," ","")))</f>
        <v/>
      </c>
      <c r="K4362" s="10" t="str">
        <f aca="false">IF($A4362="","",$G4362&amp;"|"&amp;$J4362)</f>
        <v/>
      </c>
      <c r="L4362" s="10" t="str">
        <f aca="false">IF($A4362="","",ROW()-2)</f>
        <v/>
      </c>
      <c r="M4362" s="10" t="str">
        <f aca="false">IF($A4362="","",ROW())</f>
        <v/>
      </c>
    </row>
    <row r="4363" customFormat="false" ht="15" hidden="false" customHeight="true" outlineLevel="0" collapsed="false">
      <c r="A4363" s="8"/>
      <c r="B4363" s="8"/>
      <c r="C4363" s="8"/>
      <c r="D4363" s="8"/>
      <c r="E4363" s="8"/>
      <c r="F4363" s="8"/>
      <c r="G4363" s="10" t="str">
        <f aca="false">IF($A4363="","",UPPER(SUBSTITUTE(SUBSTITUTE(SUBSTITUTE(SUBSTITUTE($A4363," ",""),"(주)",""),"주식회사",""),"㈜","")))</f>
        <v/>
      </c>
      <c r="H4363" s="10" t="str">
        <f aca="false">IF($B4363="","",SUBSTITUTE(SUBSTITUTE(SUBSTITUTE($B4363,"-","")," ",""),".",""))</f>
        <v/>
      </c>
      <c r="I4363" s="10" t="str">
        <f aca="false">IF($D4363="","",SUBSTITUTE(SUBSTITUTE(SUBSTITUTE($D4363,"-","")," ",""),".",""))</f>
        <v/>
      </c>
      <c r="J4363" s="10" t="str">
        <f aca="false">IF($E4363="","",UPPER(SUBSTITUTE($E4363," ","")))</f>
        <v/>
      </c>
      <c r="K4363" s="10" t="str">
        <f aca="false">IF($A4363="","",$G4363&amp;"|"&amp;$J4363)</f>
        <v/>
      </c>
      <c r="L4363" s="10" t="str">
        <f aca="false">IF($A4363="","",ROW()-2)</f>
        <v/>
      </c>
      <c r="M4363" s="10" t="str">
        <f aca="false">IF($A4363="","",ROW())</f>
        <v/>
      </c>
    </row>
    <row r="4364" customFormat="false" ht="15" hidden="false" customHeight="true" outlineLevel="0" collapsed="false">
      <c r="A4364" s="8"/>
      <c r="B4364" s="8"/>
      <c r="C4364" s="8"/>
      <c r="D4364" s="8"/>
      <c r="E4364" s="8"/>
      <c r="F4364" s="8"/>
      <c r="G4364" s="10" t="str">
        <f aca="false">IF($A4364="","",UPPER(SUBSTITUTE(SUBSTITUTE(SUBSTITUTE(SUBSTITUTE($A4364," ",""),"(주)",""),"주식회사",""),"㈜","")))</f>
        <v/>
      </c>
      <c r="H4364" s="10" t="str">
        <f aca="false">IF($B4364="","",SUBSTITUTE(SUBSTITUTE(SUBSTITUTE($B4364,"-","")," ",""),".",""))</f>
        <v/>
      </c>
      <c r="I4364" s="10" t="str">
        <f aca="false">IF($D4364="","",SUBSTITUTE(SUBSTITUTE(SUBSTITUTE($D4364,"-","")," ",""),".",""))</f>
        <v/>
      </c>
      <c r="J4364" s="10" t="str">
        <f aca="false">IF($E4364="","",UPPER(SUBSTITUTE($E4364," ","")))</f>
        <v/>
      </c>
      <c r="K4364" s="10" t="str">
        <f aca="false">IF($A4364="","",$G4364&amp;"|"&amp;$J4364)</f>
        <v/>
      </c>
      <c r="L4364" s="10" t="str">
        <f aca="false">IF($A4364="","",ROW()-2)</f>
        <v/>
      </c>
      <c r="M4364" s="10" t="str">
        <f aca="false">IF($A4364="","",ROW())</f>
        <v/>
      </c>
    </row>
    <row r="4365" customFormat="false" ht="15" hidden="false" customHeight="true" outlineLevel="0" collapsed="false">
      <c r="A4365" s="8"/>
      <c r="B4365" s="8"/>
      <c r="C4365" s="8"/>
      <c r="D4365" s="8"/>
      <c r="E4365" s="8"/>
      <c r="F4365" s="8"/>
      <c r="G4365" s="10" t="str">
        <f aca="false">IF($A4365="","",UPPER(SUBSTITUTE(SUBSTITUTE(SUBSTITUTE(SUBSTITUTE($A4365," ",""),"(주)",""),"주식회사",""),"㈜","")))</f>
        <v/>
      </c>
      <c r="H4365" s="10" t="str">
        <f aca="false">IF($B4365="","",SUBSTITUTE(SUBSTITUTE(SUBSTITUTE($B4365,"-","")," ",""),".",""))</f>
        <v/>
      </c>
      <c r="I4365" s="10" t="str">
        <f aca="false">IF($D4365="","",SUBSTITUTE(SUBSTITUTE(SUBSTITUTE($D4365,"-","")," ",""),".",""))</f>
        <v/>
      </c>
      <c r="J4365" s="10" t="str">
        <f aca="false">IF($E4365="","",UPPER(SUBSTITUTE($E4365," ","")))</f>
        <v/>
      </c>
      <c r="K4365" s="10" t="str">
        <f aca="false">IF($A4365="","",$G4365&amp;"|"&amp;$J4365)</f>
        <v/>
      </c>
      <c r="L4365" s="10" t="str">
        <f aca="false">IF($A4365="","",ROW()-2)</f>
        <v/>
      </c>
      <c r="M4365" s="10" t="str">
        <f aca="false">IF($A4365="","",ROW())</f>
        <v/>
      </c>
    </row>
    <row r="4366" customFormat="false" ht="15" hidden="false" customHeight="true" outlineLevel="0" collapsed="false">
      <c r="A4366" s="8"/>
      <c r="B4366" s="8"/>
      <c r="C4366" s="8"/>
      <c r="D4366" s="8"/>
      <c r="E4366" s="8"/>
      <c r="F4366" s="8"/>
      <c r="G4366" s="10" t="str">
        <f aca="false">IF($A4366="","",UPPER(SUBSTITUTE(SUBSTITUTE(SUBSTITUTE(SUBSTITUTE($A4366," ",""),"(주)",""),"주식회사",""),"㈜","")))</f>
        <v/>
      </c>
      <c r="H4366" s="10" t="str">
        <f aca="false">IF($B4366="","",SUBSTITUTE(SUBSTITUTE(SUBSTITUTE($B4366,"-","")," ",""),".",""))</f>
        <v/>
      </c>
      <c r="I4366" s="10" t="str">
        <f aca="false">IF($D4366="","",SUBSTITUTE(SUBSTITUTE(SUBSTITUTE($D4366,"-","")," ",""),".",""))</f>
        <v/>
      </c>
      <c r="J4366" s="10" t="str">
        <f aca="false">IF($E4366="","",UPPER(SUBSTITUTE($E4366," ","")))</f>
        <v/>
      </c>
      <c r="K4366" s="10" t="str">
        <f aca="false">IF($A4366="","",$G4366&amp;"|"&amp;$J4366)</f>
        <v/>
      </c>
      <c r="L4366" s="10" t="str">
        <f aca="false">IF($A4366="","",ROW()-2)</f>
        <v/>
      </c>
      <c r="M4366" s="10" t="str">
        <f aca="false">IF($A4366="","",ROW())</f>
        <v/>
      </c>
    </row>
    <row r="4367" customFormat="false" ht="15" hidden="false" customHeight="true" outlineLevel="0" collapsed="false">
      <c r="A4367" s="8"/>
      <c r="B4367" s="8"/>
      <c r="C4367" s="8"/>
      <c r="D4367" s="8"/>
      <c r="E4367" s="8"/>
      <c r="F4367" s="8"/>
      <c r="G4367" s="10" t="str">
        <f aca="false">IF($A4367="","",UPPER(SUBSTITUTE(SUBSTITUTE(SUBSTITUTE(SUBSTITUTE($A4367," ",""),"(주)",""),"주식회사",""),"㈜","")))</f>
        <v/>
      </c>
      <c r="H4367" s="10" t="str">
        <f aca="false">IF($B4367="","",SUBSTITUTE(SUBSTITUTE(SUBSTITUTE($B4367,"-","")," ",""),".",""))</f>
        <v/>
      </c>
      <c r="I4367" s="10" t="str">
        <f aca="false">IF($D4367="","",SUBSTITUTE(SUBSTITUTE(SUBSTITUTE($D4367,"-","")," ",""),".",""))</f>
        <v/>
      </c>
      <c r="J4367" s="10" t="str">
        <f aca="false">IF($E4367="","",UPPER(SUBSTITUTE($E4367," ","")))</f>
        <v/>
      </c>
      <c r="K4367" s="10" t="str">
        <f aca="false">IF($A4367="","",$G4367&amp;"|"&amp;$J4367)</f>
        <v/>
      </c>
      <c r="L4367" s="10" t="str">
        <f aca="false">IF($A4367="","",ROW()-2)</f>
        <v/>
      </c>
      <c r="M4367" s="10" t="str">
        <f aca="false">IF($A4367="","",ROW())</f>
        <v/>
      </c>
    </row>
    <row r="4368" customFormat="false" ht="15" hidden="false" customHeight="true" outlineLevel="0" collapsed="false">
      <c r="A4368" s="8"/>
      <c r="B4368" s="8"/>
      <c r="C4368" s="8"/>
      <c r="D4368" s="8"/>
      <c r="E4368" s="8"/>
      <c r="F4368" s="8"/>
      <c r="G4368" s="10" t="str">
        <f aca="false">IF($A4368="","",UPPER(SUBSTITUTE(SUBSTITUTE(SUBSTITUTE(SUBSTITUTE($A4368," ",""),"(주)",""),"주식회사",""),"㈜","")))</f>
        <v/>
      </c>
      <c r="H4368" s="10" t="str">
        <f aca="false">IF($B4368="","",SUBSTITUTE(SUBSTITUTE(SUBSTITUTE($B4368,"-","")," ",""),".",""))</f>
        <v/>
      </c>
      <c r="I4368" s="10" t="str">
        <f aca="false">IF($D4368="","",SUBSTITUTE(SUBSTITUTE(SUBSTITUTE($D4368,"-","")," ",""),".",""))</f>
        <v/>
      </c>
      <c r="J4368" s="10" t="str">
        <f aca="false">IF($E4368="","",UPPER(SUBSTITUTE($E4368," ","")))</f>
        <v/>
      </c>
      <c r="K4368" s="10" t="str">
        <f aca="false">IF($A4368="","",$G4368&amp;"|"&amp;$J4368)</f>
        <v/>
      </c>
      <c r="L4368" s="10" t="str">
        <f aca="false">IF($A4368="","",ROW()-2)</f>
        <v/>
      </c>
      <c r="M4368" s="10" t="str">
        <f aca="false">IF($A4368="","",ROW())</f>
        <v/>
      </c>
    </row>
    <row r="4369" customFormat="false" ht="15" hidden="false" customHeight="true" outlineLevel="0" collapsed="false">
      <c r="A4369" s="8"/>
      <c r="B4369" s="8"/>
      <c r="C4369" s="8"/>
      <c r="D4369" s="8"/>
      <c r="E4369" s="8"/>
      <c r="F4369" s="8"/>
      <c r="G4369" s="10" t="str">
        <f aca="false">IF($A4369="","",UPPER(SUBSTITUTE(SUBSTITUTE(SUBSTITUTE(SUBSTITUTE($A4369," ",""),"(주)",""),"주식회사",""),"㈜","")))</f>
        <v/>
      </c>
      <c r="H4369" s="10" t="str">
        <f aca="false">IF($B4369="","",SUBSTITUTE(SUBSTITUTE(SUBSTITUTE($B4369,"-","")," ",""),".",""))</f>
        <v/>
      </c>
      <c r="I4369" s="10" t="str">
        <f aca="false">IF($D4369="","",SUBSTITUTE(SUBSTITUTE(SUBSTITUTE($D4369,"-","")," ",""),".",""))</f>
        <v/>
      </c>
      <c r="J4369" s="10" t="str">
        <f aca="false">IF($E4369="","",UPPER(SUBSTITUTE($E4369," ","")))</f>
        <v/>
      </c>
      <c r="K4369" s="10" t="str">
        <f aca="false">IF($A4369="","",$G4369&amp;"|"&amp;$J4369)</f>
        <v/>
      </c>
      <c r="L4369" s="10" t="str">
        <f aca="false">IF($A4369="","",ROW()-2)</f>
        <v/>
      </c>
      <c r="M4369" s="10" t="str">
        <f aca="false">IF($A4369="","",ROW())</f>
        <v/>
      </c>
    </row>
    <row r="4370" customFormat="false" ht="15" hidden="false" customHeight="true" outlineLevel="0" collapsed="false">
      <c r="A4370" s="8"/>
      <c r="B4370" s="8"/>
      <c r="C4370" s="8"/>
      <c r="D4370" s="8"/>
      <c r="E4370" s="8"/>
      <c r="F4370" s="8"/>
      <c r="G4370" s="10" t="str">
        <f aca="false">IF($A4370="","",UPPER(SUBSTITUTE(SUBSTITUTE(SUBSTITUTE(SUBSTITUTE($A4370," ",""),"(주)",""),"주식회사",""),"㈜","")))</f>
        <v/>
      </c>
      <c r="H4370" s="10" t="str">
        <f aca="false">IF($B4370="","",SUBSTITUTE(SUBSTITUTE(SUBSTITUTE($B4370,"-","")," ",""),".",""))</f>
        <v/>
      </c>
      <c r="I4370" s="10" t="str">
        <f aca="false">IF($D4370="","",SUBSTITUTE(SUBSTITUTE(SUBSTITUTE($D4370,"-","")," ",""),".",""))</f>
        <v/>
      </c>
      <c r="J4370" s="10" t="str">
        <f aca="false">IF($E4370="","",UPPER(SUBSTITUTE($E4370," ","")))</f>
        <v/>
      </c>
      <c r="K4370" s="10" t="str">
        <f aca="false">IF($A4370="","",$G4370&amp;"|"&amp;$J4370)</f>
        <v/>
      </c>
      <c r="L4370" s="10" t="str">
        <f aca="false">IF($A4370="","",ROW()-2)</f>
        <v/>
      </c>
      <c r="M4370" s="10" t="str">
        <f aca="false">IF($A4370="","",ROW())</f>
        <v/>
      </c>
    </row>
    <row r="4371" customFormat="false" ht="15" hidden="false" customHeight="true" outlineLevel="0" collapsed="false">
      <c r="A4371" s="8"/>
      <c r="B4371" s="8"/>
      <c r="C4371" s="8"/>
      <c r="D4371" s="8"/>
      <c r="E4371" s="8"/>
      <c r="F4371" s="8"/>
      <c r="G4371" s="10" t="str">
        <f aca="false">IF($A4371="","",UPPER(SUBSTITUTE(SUBSTITUTE(SUBSTITUTE(SUBSTITUTE($A4371," ",""),"(주)",""),"주식회사",""),"㈜","")))</f>
        <v/>
      </c>
      <c r="H4371" s="10" t="str">
        <f aca="false">IF($B4371="","",SUBSTITUTE(SUBSTITUTE(SUBSTITUTE($B4371,"-","")," ",""),".",""))</f>
        <v/>
      </c>
      <c r="I4371" s="10" t="str">
        <f aca="false">IF($D4371="","",SUBSTITUTE(SUBSTITUTE(SUBSTITUTE($D4371,"-","")," ",""),".",""))</f>
        <v/>
      </c>
      <c r="J4371" s="10" t="str">
        <f aca="false">IF($E4371="","",UPPER(SUBSTITUTE($E4371," ","")))</f>
        <v/>
      </c>
      <c r="K4371" s="10" t="str">
        <f aca="false">IF($A4371="","",$G4371&amp;"|"&amp;$J4371)</f>
        <v/>
      </c>
      <c r="L4371" s="10" t="str">
        <f aca="false">IF($A4371="","",ROW()-2)</f>
        <v/>
      </c>
      <c r="M4371" s="10" t="str">
        <f aca="false">IF($A4371="","",ROW())</f>
        <v/>
      </c>
    </row>
    <row r="4372" customFormat="false" ht="15" hidden="false" customHeight="true" outlineLevel="0" collapsed="false">
      <c r="A4372" s="8"/>
      <c r="B4372" s="8"/>
      <c r="C4372" s="8"/>
      <c r="D4372" s="8"/>
      <c r="E4372" s="8"/>
      <c r="F4372" s="8"/>
      <c r="G4372" s="10" t="str">
        <f aca="false">IF($A4372="","",UPPER(SUBSTITUTE(SUBSTITUTE(SUBSTITUTE(SUBSTITUTE($A4372," ",""),"(주)",""),"주식회사",""),"㈜","")))</f>
        <v/>
      </c>
      <c r="H4372" s="10" t="str">
        <f aca="false">IF($B4372="","",SUBSTITUTE(SUBSTITUTE(SUBSTITUTE($B4372,"-","")," ",""),".",""))</f>
        <v/>
      </c>
      <c r="I4372" s="10" t="str">
        <f aca="false">IF($D4372="","",SUBSTITUTE(SUBSTITUTE(SUBSTITUTE($D4372,"-","")," ",""),".",""))</f>
        <v/>
      </c>
      <c r="J4372" s="10" t="str">
        <f aca="false">IF($E4372="","",UPPER(SUBSTITUTE($E4372," ","")))</f>
        <v/>
      </c>
      <c r="K4372" s="10" t="str">
        <f aca="false">IF($A4372="","",$G4372&amp;"|"&amp;$J4372)</f>
        <v/>
      </c>
      <c r="L4372" s="10" t="str">
        <f aca="false">IF($A4372="","",ROW()-2)</f>
        <v/>
      </c>
      <c r="M4372" s="10" t="str">
        <f aca="false">IF($A4372="","",ROW())</f>
        <v/>
      </c>
    </row>
    <row r="4373" customFormat="false" ht="15" hidden="false" customHeight="true" outlineLevel="0" collapsed="false">
      <c r="A4373" s="8"/>
      <c r="B4373" s="8"/>
      <c r="C4373" s="8"/>
      <c r="D4373" s="8"/>
      <c r="E4373" s="8"/>
      <c r="F4373" s="8"/>
      <c r="G4373" s="10" t="str">
        <f aca="false">IF($A4373="","",UPPER(SUBSTITUTE(SUBSTITUTE(SUBSTITUTE(SUBSTITUTE($A4373," ",""),"(주)",""),"주식회사",""),"㈜","")))</f>
        <v/>
      </c>
      <c r="H4373" s="10" t="str">
        <f aca="false">IF($B4373="","",SUBSTITUTE(SUBSTITUTE(SUBSTITUTE($B4373,"-","")," ",""),".",""))</f>
        <v/>
      </c>
      <c r="I4373" s="10" t="str">
        <f aca="false">IF($D4373="","",SUBSTITUTE(SUBSTITUTE(SUBSTITUTE($D4373,"-","")," ",""),".",""))</f>
        <v/>
      </c>
      <c r="J4373" s="10" t="str">
        <f aca="false">IF($E4373="","",UPPER(SUBSTITUTE($E4373," ","")))</f>
        <v/>
      </c>
      <c r="K4373" s="10" t="str">
        <f aca="false">IF($A4373="","",$G4373&amp;"|"&amp;$J4373)</f>
        <v/>
      </c>
      <c r="L4373" s="10" t="str">
        <f aca="false">IF($A4373="","",ROW()-2)</f>
        <v/>
      </c>
      <c r="M4373" s="10" t="str">
        <f aca="false">IF($A4373="","",ROW())</f>
        <v/>
      </c>
    </row>
    <row r="4374" customFormat="false" ht="15" hidden="false" customHeight="true" outlineLevel="0" collapsed="false">
      <c r="A4374" s="8"/>
      <c r="B4374" s="8"/>
      <c r="C4374" s="8"/>
      <c r="D4374" s="8"/>
      <c r="E4374" s="8"/>
      <c r="F4374" s="8"/>
      <c r="G4374" s="10" t="str">
        <f aca="false">IF($A4374="","",UPPER(SUBSTITUTE(SUBSTITUTE(SUBSTITUTE(SUBSTITUTE($A4374," ",""),"(주)",""),"주식회사",""),"㈜","")))</f>
        <v/>
      </c>
      <c r="H4374" s="10" t="str">
        <f aca="false">IF($B4374="","",SUBSTITUTE(SUBSTITUTE(SUBSTITUTE($B4374,"-","")," ",""),".",""))</f>
        <v/>
      </c>
      <c r="I4374" s="10" t="str">
        <f aca="false">IF($D4374="","",SUBSTITUTE(SUBSTITUTE(SUBSTITUTE($D4374,"-","")," ",""),".",""))</f>
        <v/>
      </c>
      <c r="J4374" s="10" t="str">
        <f aca="false">IF($E4374="","",UPPER(SUBSTITUTE($E4374," ","")))</f>
        <v/>
      </c>
      <c r="K4374" s="10" t="str">
        <f aca="false">IF($A4374="","",$G4374&amp;"|"&amp;$J4374)</f>
        <v/>
      </c>
      <c r="L4374" s="10" t="str">
        <f aca="false">IF($A4374="","",ROW()-2)</f>
        <v/>
      </c>
      <c r="M4374" s="10" t="str">
        <f aca="false">IF($A4374="","",ROW())</f>
        <v/>
      </c>
    </row>
    <row r="4375" customFormat="false" ht="15" hidden="false" customHeight="true" outlineLevel="0" collapsed="false">
      <c r="A4375" s="8"/>
      <c r="B4375" s="8"/>
      <c r="C4375" s="8"/>
      <c r="D4375" s="8"/>
      <c r="E4375" s="8"/>
      <c r="F4375" s="8"/>
      <c r="G4375" s="10" t="str">
        <f aca="false">IF($A4375="","",UPPER(SUBSTITUTE(SUBSTITUTE(SUBSTITUTE(SUBSTITUTE($A4375," ",""),"(주)",""),"주식회사",""),"㈜","")))</f>
        <v/>
      </c>
      <c r="H4375" s="10" t="str">
        <f aca="false">IF($B4375="","",SUBSTITUTE(SUBSTITUTE(SUBSTITUTE($B4375,"-","")," ",""),".",""))</f>
        <v/>
      </c>
      <c r="I4375" s="10" t="str">
        <f aca="false">IF($D4375="","",SUBSTITUTE(SUBSTITUTE(SUBSTITUTE($D4375,"-","")," ",""),".",""))</f>
        <v/>
      </c>
      <c r="J4375" s="10" t="str">
        <f aca="false">IF($E4375="","",UPPER(SUBSTITUTE($E4375," ","")))</f>
        <v/>
      </c>
      <c r="K4375" s="10" t="str">
        <f aca="false">IF($A4375="","",$G4375&amp;"|"&amp;$J4375)</f>
        <v/>
      </c>
      <c r="L4375" s="10" t="str">
        <f aca="false">IF($A4375="","",ROW()-2)</f>
        <v/>
      </c>
      <c r="M4375" s="10" t="str">
        <f aca="false">IF($A4375="","",ROW())</f>
        <v/>
      </c>
    </row>
    <row r="4376" customFormat="false" ht="15" hidden="false" customHeight="true" outlineLevel="0" collapsed="false">
      <c r="A4376" s="8"/>
      <c r="B4376" s="8"/>
      <c r="C4376" s="8"/>
      <c r="D4376" s="8"/>
      <c r="E4376" s="8"/>
      <c r="F4376" s="8"/>
      <c r="G4376" s="10" t="str">
        <f aca="false">IF($A4376="","",UPPER(SUBSTITUTE(SUBSTITUTE(SUBSTITUTE(SUBSTITUTE($A4376," ",""),"(주)",""),"주식회사",""),"㈜","")))</f>
        <v/>
      </c>
      <c r="H4376" s="10" t="str">
        <f aca="false">IF($B4376="","",SUBSTITUTE(SUBSTITUTE(SUBSTITUTE($B4376,"-","")," ",""),".",""))</f>
        <v/>
      </c>
      <c r="I4376" s="10" t="str">
        <f aca="false">IF($D4376="","",SUBSTITUTE(SUBSTITUTE(SUBSTITUTE($D4376,"-","")," ",""),".",""))</f>
        <v/>
      </c>
      <c r="J4376" s="10" t="str">
        <f aca="false">IF($E4376="","",UPPER(SUBSTITUTE($E4376," ","")))</f>
        <v/>
      </c>
      <c r="K4376" s="10" t="str">
        <f aca="false">IF($A4376="","",$G4376&amp;"|"&amp;$J4376)</f>
        <v/>
      </c>
      <c r="L4376" s="10" t="str">
        <f aca="false">IF($A4376="","",ROW()-2)</f>
        <v/>
      </c>
      <c r="M4376" s="10" t="str">
        <f aca="false">IF($A4376="","",ROW())</f>
        <v/>
      </c>
    </row>
    <row r="4377" customFormat="false" ht="15" hidden="false" customHeight="true" outlineLevel="0" collapsed="false">
      <c r="A4377" s="8"/>
      <c r="B4377" s="8"/>
      <c r="C4377" s="8"/>
      <c r="D4377" s="8"/>
      <c r="E4377" s="8"/>
      <c r="F4377" s="8"/>
      <c r="G4377" s="10" t="str">
        <f aca="false">IF($A4377="","",UPPER(SUBSTITUTE(SUBSTITUTE(SUBSTITUTE(SUBSTITUTE($A4377," ",""),"(주)",""),"주식회사",""),"㈜","")))</f>
        <v/>
      </c>
      <c r="H4377" s="10" t="str">
        <f aca="false">IF($B4377="","",SUBSTITUTE(SUBSTITUTE(SUBSTITUTE($B4377,"-","")," ",""),".",""))</f>
        <v/>
      </c>
      <c r="I4377" s="10" t="str">
        <f aca="false">IF($D4377="","",SUBSTITUTE(SUBSTITUTE(SUBSTITUTE($D4377,"-","")," ",""),".",""))</f>
        <v/>
      </c>
      <c r="J4377" s="10" t="str">
        <f aca="false">IF($E4377="","",UPPER(SUBSTITUTE($E4377," ","")))</f>
        <v/>
      </c>
      <c r="K4377" s="10" t="str">
        <f aca="false">IF($A4377="","",$G4377&amp;"|"&amp;$J4377)</f>
        <v/>
      </c>
      <c r="L4377" s="10" t="str">
        <f aca="false">IF($A4377="","",ROW()-2)</f>
        <v/>
      </c>
      <c r="M4377" s="10" t="str">
        <f aca="false">IF($A4377="","",ROW())</f>
        <v/>
      </c>
    </row>
    <row r="4378" customFormat="false" ht="15" hidden="false" customHeight="true" outlineLevel="0" collapsed="false">
      <c r="A4378" s="8"/>
      <c r="B4378" s="8"/>
      <c r="C4378" s="8"/>
      <c r="D4378" s="8"/>
      <c r="E4378" s="8"/>
      <c r="F4378" s="8"/>
      <c r="G4378" s="10" t="str">
        <f aca="false">IF($A4378="","",UPPER(SUBSTITUTE(SUBSTITUTE(SUBSTITUTE(SUBSTITUTE($A4378," ",""),"(주)",""),"주식회사",""),"㈜","")))</f>
        <v/>
      </c>
      <c r="H4378" s="10" t="str">
        <f aca="false">IF($B4378="","",SUBSTITUTE(SUBSTITUTE(SUBSTITUTE($B4378,"-","")," ",""),".",""))</f>
        <v/>
      </c>
      <c r="I4378" s="10" t="str">
        <f aca="false">IF($D4378="","",SUBSTITUTE(SUBSTITUTE(SUBSTITUTE($D4378,"-","")," ",""),".",""))</f>
        <v/>
      </c>
      <c r="J4378" s="10" t="str">
        <f aca="false">IF($E4378="","",UPPER(SUBSTITUTE($E4378," ","")))</f>
        <v/>
      </c>
      <c r="K4378" s="10" t="str">
        <f aca="false">IF($A4378="","",$G4378&amp;"|"&amp;$J4378)</f>
        <v/>
      </c>
      <c r="L4378" s="10" t="str">
        <f aca="false">IF($A4378="","",ROW()-2)</f>
        <v/>
      </c>
      <c r="M4378" s="10" t="str">
        <f aca="false">IF($A4378="","",ROW())</f>
        <v/>
      </c>
    </row>
    <row r="4379" customFormat="false" ht="15" hidden="false" customHeight="true" outlineLevel="0" collapsed="false">
      <c r="A4379" s="8"/>
      <c r="B4379" s="8"/>
      <c r="C4379" s="8"/>
      <c r="D4379" s="8"/>
      <c r="E4379" s="8"/>
      <c r="F4379" s="8"/>
      <c r="G4379" s="10" t="str">
        <f aca="false">IF($A4379="","",UPPER(SUBSTITUTE(SUBSTITUTE(SUBSTITUTE(SUBSTITUTE($A4379," ",""),"(주)",""),"주식회사",""),"㈜","")))</f>
        <v/>
      </c>
      <c r="H4379" s="10" t="str">
        <f aca="false">IF($B4379="","",SUBSTITUTE(SUBSTITUTE(SUBSTITUTE($B4379,"-","")," ",""),".",""))</f>
        <v/>
      </c>
      <c r="I4379" s="10" t="str">
        <f aca="false">IF($D4379="","",SUBSTITUTE(SUBSTITUTE(SUBSTITUTE($D4379,"-","")," ",""),".",""))</f>
        <v/>
      </c>
      <c r="J4379" s="10" t="str">
        <f aca="false">IF($E4379="","",UPPER(SUBSTITUTE($E4379," ","")))</f>
        <v/>
      </c>
      <c r="K4379" s="10" t="str">
        <f aca="false">IF($A4379="","",$G4379&amp;"|"&amp;$J4379)</f>
        <v/>
      </c>
      <c r="L4379" s="10" t="str">
        <f aca="false">IF($A4379="","",ROW()-2)</f>
        <v/>
      </c>
      <c r="M4379" s="10" t="str">
        <f aca="false">IF($A4379="","",ROW())</f>
        <v/>
      </c>
    </row>
    <row r="4380" customFormat="false" ht="15" hidden="false" customHeight="true" outlineLevel="0" collapsed="false">
      <c r="A4380" s="8"/>
      <c r="B4380" s="8"/>
      <c r="C4380" s="8"/>
      <c r="D4380" s="8"/>
      <c r="E4380" s="8"/>
      <c r="F4380" s="8"/>
      <c r="G4380" s="10" t="str">
        <f aca="false">IF($A4380="","",UPPER(SUBSTITUTE(SUBSTITUTE(SUBSTITUTE(SUBSTITUTE($A4380," ",""),"(주)",""),"주식회사",""),"㈜","")))</f>
        <v/>
      </c>
      <c r="H4380" s="10" t="str">
        <f aca="false">IF($B4380="","",SUBSTITUTE(SUBSTITUTE(SUBSTITUTE($B4380,"-","")," ",""),".",""))</f>
        <v/>
      </c>
      <c r="I4380" s="10" t="str">
        <f aca="false">IF($D4380="","",SUBSTITUTE(SUBSTITUTE(SUBSTITUTE($D4380,"-","")," ",""),".",""))</f>
        <v/>
      </c>
      <c r="J4380" s="10" t="str">
        <f aca="false">IF($E4380="","",UPPER(SUBSTITUTE($E4380," ","")))</f>
        <v/>
      </c>
      <c r="K4380" s="10" t="str">
        <f aca="false">IF($A4380="","",$G4380&amp;"|"&amp;$J4380)</f>
        <v/>
      </c>
      <c r="L4380" s="10" t="str">
        <f aca="false">IF($A4380="","",ROW()-2)</f>
        <v/>
      </c>
      <c r="M4380" s="10" t="str">
        <f aca="false">IF($A4380="","",ROW())</f>
        <v/>
      </c>
    </row>
    <row r="4381" customFormat="false" ht="15" hidden="false" customHeight="true" outlineLevel="0" collapsed="false">
      <c r="A4381" s="8"/>
      <c r="B4381" s="8"/>
      <c r="C4381" s="8"/>
      <c r="D4381" s="8"/>
      <c r="E4381" s="8"/>
      <c r="F4381" s="8"/>
      <c r="G4381" s="10" t="str">
        <f aca="false">IF($A4381="","",UPPER(SUBSTITUTE(SUBSTITUTE(SUBSTITUTE(SUBSTITUTE($A4381," ",""),"(주)",""),"주식회사",""),"㈜","")))</f>
        <v/>
      </c>
      <c r="H4381" s="10" t="str">
        <f aca="false">IF($B4381="","",SUBSTITUTE(SUBSTITUTE(SUBSTITUTE($B4381,"-","")," ",""),".",""))</f>
        <v/>
      </c>
      <c r="I4381" s="10" t="str">
        <f aca="false">IF($D4381="","",SUBSTITUTE(SUBSTITUTE(SUBSTITUTE($D4381,"-","")," ",""),".",""))</f>
        <v/>
      </c>
      <c r="J4381" s="10" t="str">
        <f aca="false">IF($E4381="","",UPPER(SUBSTITUTE($E4381," ","")))</f>
        <v/>
      </c>
      <c r="K4381" s="10" t="str">
        <f aca="false">IF($A4381="","",$G4381&amp;"|"&amp;$J4381)</f>
        <v/>
      </c>
      <c r="L4381" s="10" t="str">
        <f aca="false">IF($A4381="","",ROW()-2)</f>
        <v/>
      </c>
      <c r="M4381" s="10" t="str">
        <f aca="false">IF($A4381="","",ROW())</f>
        <v/>
      </c>
    </row>
    <row r="4382" customFormat="false" ht="15" hidden="false" customHeight="true" outlineLevel="0" collapsed="false">
      <c r="A4382" s="8"/>
      <c r="B4382" s="8"/>
      <c r="C4382" s="8"/>
      <c r="D4382" s="8"/>
      <c r="E4382" s="8"/>
      <c r="F4382" s="8"/>
      <c r="G4382" s="10" t="str">
        <f aca="false">IF($A4382="","",UPPER(SUBSTITUTE(SUBSTITUTE(SUBSTITUTE(SUBSTITUTE($A4382," ",""),"(주)",""),"주식회사",""),"㈜","")))</f>
        <v/>
      </c>
      <c r="H4382" s="10" t="str">
        <f aca="false">IF($B4382="","",SUBSTITUTE(SUBSTITUTE(SUBSTITUTE($B4382,"-","")," ",""),".",""))</f>
        <v/>
      </c>
      <c r="I4382" s="10" t="str">
        <f aca="false">IF($D4382="","",SUBSTITUTE(SUBSTITUTE(SUBSTITUTE($D4382,"-","")," ",""),".",""))</f>
        <v/>
      </c>
      <c r="J4382" s="10" t="str">
        <f aca="false">IF($E4382="","",UPPER(SUBSTITUTE($E4382," ","")))</f>
        <v/>
      </c>
      <c r="K4382" s="10" t="str">
        <f aca="false">IF($A4382="","",$G4382&amp;"|"&amp;$J4382)</f>
        <v/>
      </c>
      <c r="L4382" s="10" t="str">
        <f aca="false">IF($A4382="","",ROW()-2)</f>
        <v/>
      </c>
      <c r="M4382" s="10" t="str">
        <f aca="false">IF($A4382="","",ROW())</f>
        <v/>
      </c>
    </row>
    <row r="4383" customFormat="false" ht="15" hidden="false" customHeight="true" outlineLevel="0" collapsed="false">
      <c r="A4383" s="8"/>
      <c r="B4383" s="8"/>
      <c r="C4383" s="8"/>
      <c r="D4383" s="8"/>
      <c r="E4383" s="8"/>
      <c r="F4383" s="8"/>
      <c r="G4383" s="10" t="str">
        <f aca="false">IF($A4383="","",UPPER(SUBSTITUTE(SUBSTITUTE(SUBSTITUTE(SUBSTITUTE($A4383," ",""),"(주)",""),"주식회사",""),"㈜","")))</f>
        <v/>
      </c>
      <c r="H4383" s="10" t="str">
        <f aca="false">IF($B4383="","",SUBSTITUTE(SUBSTITUTE(SUBSTITUTE($B4383,"-","")," ",""),".",""))</f>
        <v/>
      </c>
      <c r="I4383" s="10" t="str">
        <f aca="false">IF($D4383="","",SUBSTITUTE(SUBSTITUTE(SUBSTITUTE($D4383,"-","")," ",""),".",""))</f>
        <v/>
      </c>
      <c r="J4383" s="10" t="str">
        <f aca="false">IF($E4383="","",UPPER(SUBSTITUTE($E4383," ","")))</f>
        <v/>
      </c>
      <c r="K4383" s="10" t="str">
        <f aca="false">IF($A4383="","",$G4383&amp;"|"&amp;$J4383)</f>
        <v/>
      </c>
      <c r="L4383" s="10" t="str">
        <f aca="false">IF($A4383="","",ROW()-2)</f>
        <v/>
      </c>
      <c r="M4383" s="10" t="str">
        <f aca="false">IF($A4383="","",ROW())</f>
        <v/>
      </c>
    </row>
    <row r="4384" customFormat="false" ht="15" hidden="false" customHeight="true" outlineLevel="0" collapsed="false">
      <c r="A4384" s="8"/>
      <c r="B4384" s="8"/>
      <c r="C4384" s="8"/>
      <c r="D4384" s="8"/>
      <c r="E4384" s="8"/>
      <c r="F4384" s="8"/>
      <c r="G4384" s="10" t="str">
        <f aca="false">IF($A4384="","",UPPER(SUBSTITUTE(SUBSTITUTE(SUBSTITUTE(SUBSTITUTE($A4384," ",""),"(주)",""),"주식회사",""),"㈜","")))</f>
        <v/>
      </c>
      <c r="H4384" s="10" t="str">
        <f aca="false">IF($B4384="","",SUBSTITUTE(SUBSTITUTE(SUBSTITUTE($B4384,"-","")," ",""),".",""))</f>
        <v/>
      </c>
      <c r="I4384" s="10" t="str">
        <f aca="false">IF($D4384="","",SUBSTITUTE(SUBSTITUTE(SUBSTITUTE($D4384,"-","")," ",""),".",""))</f>
        <v/>
      </c>
      <c r="J4384" s="10" t="str">
        <f aca="false">IF($E4384="","",UPPER(SUBSTITUTE($E4384," ","")))</f>
        <v/>
      </c>
      <c r="K4384" s="10" t="str">
        <f aca="false">IF($A4384="","",$G4384&amp;"|"&amp;$J4384)</f>
        <v/>
      </c>
      <c r="L4384" s="10" t="str">
        <f aca="false">IF($A4384="","",ROW()-2)</f>
        <v/>
      </c>
      <c r="M4384" s="10" t="str">
        <f aca="false">IF($A4384="","",ROW())</f>
        <v/>
      </c>
    </row>
    <row r="4385" customFormat="false" ht="15" hidden="false" customHeight="true" outlineLevel="0" collapsed="false">
      <c r="A4385" s="8"/>
      <c r="B4385" s="8"/>
      <c r="C4385" s="8"/>
      <c r="D4385" s="8"/>
      <c r="E4385" s="8"/>
      <c r="F4385" s="8"/>
      <c r="G4385" s="10" t="str">
        <f aca="false">IF($A4385="","",UPPER(SUBSTITUTE(SUBSTITUTE(SUBSTITUTE(SUBSTITUTE($A4385," ",""),"(주)",""),"주식회사",""),"㈜","")))</f>
        <v/>
      </c>
      <c r="H4385" s="10" t="str">
        <f aca="false">IF($B4385="","",SUBSTITUTE(SUBSTITUTE(SUBSTITUTE($B4385,"-","")," ",""),".",""))</f>
        <v/>
      </c>
      <c r="I4385" s="10" t="str">
        <f aca="false">IF($D4385="","",SUBSTITUTE(SUBSTITUTE(SUBSTITUTE($D4385,"-","")," ",""),".",""))</f>
        <v/>
      </c>
      <c r="J4385" s="10" t="str">
        <f aca="false">IF($E4385="","",UPPER(SUBSTITUTE($E4385," ","")))</f>
        <v/>
      </c>
      <c r="K4385" s="10" t="str">
        <f aca="false">IF($A4385="","",$G4385&amp;"|"&amp;$J4385)</f>
        <v/>
      </c>
      <c r="L4385" s="10" t="str">
        <f aca="false">IF($A4385="","",ROW()-2)</f>
        <v/>
      </c>
      <c r="M4385" s="10" t="str">
        <f aca="false">IF($A4385="","",ROW())</f>
        <v/>
      </c>
    </row>
    <row r="4386" customFormat="false" ht="15" hidden="false" customHeight="true" outlineLevel="0" collapsed="false">
      <c r="A4386" s="8"/>
      <c r="B4386" s="8"/>
      <c r="C4386" s="8"/>
      <c r="D4386" s="8"/>
      <c r="E4386" s="8"/>
      <c r="F4386" s="8"/>
      <c r="G4386" s="10" t="str">
        <f aca="false">IF($A4386="","",UPPER(SUBSTITUTE(SUBSTITUTE(SUBSTITUTE(SUBSTITUTE($A4386," ",""),"(주)",""),"주식회사",""),"㈜","")))</f>
        <v/>
      </c>
      <c r="H4386" s="10" t="str">
        <f aca="false">IF($B4386="","",SUBSTITUTE(SUBSTITUTE(SUBSTITUTE($B4386,"-","")," ",""),".",""))</f>
        <v/>
      </c>
      <c r="I4386" s="10" t="str">
        <f aca="false">IF($D4386="","",SUBSTITUTE(SUBSTITUTE(SUBSTITUTE($D4386,"-","")," ",""),".",""))</f>
        <v/>
      </c>
      <c r="J4386" s="10" t="str">
        <f aca="false">IF($E4386="","",UPPER(SUBSTITUTE($E4386," ","")))</f>
        <v/>
      </c>
      <c r="K4386" s="10" t="str">
        <f aca="false">IF($A4386="","",$G4386&amp;"|"&amp;$J4386)</f>
        <v/>
      </c>
      <c r="L4386" s="10" t="str">
        <f aca="false">IF($A4386="","",ROW()-2)</f>
        <v/>
      </c>
      <c r="M4386" s="10" t="str">
        <f aca="false">IF($A4386="","",ROW())</f>
        <v/>
      </c>
    </row>
    <row r="4387" customFormat="false" ht="15" hidden="false" customHeight="true" outlineLevel="0" collapsed="false">
      <c r="A4387" s="8"/>
      <c r="B4387" s="8"/>
      <c r="C4387" s="8"/>
      <c r="D4387" s="8"/>
      <c r="E4387" s="8"/>
      <c r="F4387" s="8"/>
      <c r="G4387" s="10" t="str">
        <f aca="false">IF($A4387="","",UPPER(SUBSTITUTE(SUBSTITUTE(SUBSTITUTE(SUBSTITUTE($A4387," ",""),"(주)",""),"주식회사",""),"㈜","")))</f>
        <v/>
      </c>
      <c r="H4387" s="10" t="str">
        <f aca="false">IF($B4387="","",SUBSTITUTE(SUBSTITUTE(SUBSTITUTE($B4387,"-","")," ",""),".",""))</f>
        <v/>
      </c>
      <c r="I4387" s="10" t="str">
        <f aca="false">IF($D4387="","",SUBSTITUTE(SUBSTITUTE(SUBSTITUTE($D4387,"-","")," ",""),".",""))</f>
        <v/>
      </c>
      <c r="J4387" s="10" t="str">
        <f aca="false">IF($E4387="","",UPPER(SUBSTITUTE($E4387," ","")))</f>
        <v/>
      </c>
      <c r="K4387" s="10" t="str">
        <f aca="false">IF($A4387="","",$G4387&amp;"|"&amp;$J4387)</f>
        <v/>
      </c>
      <c r="L4387" s="10" t="str">
        <f aca="false">IF($A4387="","",ROW()-2)</f>
        <v/>
      </c>
      <c r="M4387" s="10" t="str">
        <f aca="false">IF($A4387="","",ROW())</f>
        <v/>
      </c>
    </row>
    <row r="4388" customFormat="false" ht="15" hidden="false" customHeight="true" outlineLevel="0" collapsed="false">
      <c r="A4388" s="8"/>
      <c r="B4388" s="8"/>
      <c r="C4388" s="8"/>
      <c r="D4388" s="8"/>
      <c r="E4388" s="8"/>
      <c r="F4388" s="8"/>
      <c r="G4388" s="10" t="str">
        <f aca="false">IF($A4388="","",UPPER(SUBSTITUTE(SUBSTITUTE(SUBSTITUTE(SUBSTITUTE($A4388," ",""),"(주)",""),"주식회사",""),"㈜","")))</f>
        <v/>
      </c>
      <c r="H4388" s="10" t="str">
        <f aca="false">IF($B4388="","",SUBSTITUTE(SUBSTITUTE(SUBSTITUTE($B4388,"-","")," ",""),".",""))</f>
        <v/>
      </c>
      <c r="I4388" s="10" t="str">
        <f aca="false">IF($D4388="","",SUBSTITUTE(SUBSTITUTE(SUBSTITUTE($D4388,"-","")," ",""),".",""))</f>
        <v/>
      </c>
      <c r="J4388" s="10" t="str">
        <f aca="false">IF($E4388="","",UPPER(SUBSTITUTE($E4388," ","")))</f>
        <v/>
      </c>
      <c r="K4388" s="10" t="str">
        <f aca="false">IF($A4388="","",$G4388&amp;"|"&amp;$J4388)</f>
        <v/>
      </c>
      <c r="L4388" s="10" t="str">
        <f aca="false">IF($A4388="","",ROW()-2)</f>
        <v/>
      </c>
      <c r="M4388" s="10" t="str">
        <f aca="false">IF($A4388="","",ROW())</f>
        <v/>
      </c>
    </row>
    <row r="4389" customFormat="false" ht="15" hidden="false" customHeight="true" outlineLevel="0" collapsed="false">
      <c r="A4389" s="8"/>
      <c r="B4389" s="8"/>
      <c r="C4389" s="8"/>
      <c r="D4389" s="8"/>
      <c r="E4389" s="8"/>
      <c r="F4389" s="8"/>
      <c r="G4389" s="10" t="str">
        <f aca="false">IF($A4389="","",UPPER(SUBSTITUTE(SUBSTITUTE(SUBSTITUTE(SUBSTITUTE($A4389," ",""),"(주)",""),"주식회사",""),"㈜","")))</f>
        <v/>
      </c>
      <c r="H4389" s="10" t="str">
        <f aca="false">IF($B4389="","",SUBSTITUTE(SUBSTITUTE(SUBSTITUTE($B4389,"-","")," ",""),".",""))</f>
        <v/>
      </c>
      <c r="I4389" s="10" t="str">
        <f aca="false">IF($D4389="","",SUBSTITUTE(SUBSTITUTE(SUBSTITUTE($D4389,"-","")," ",""),".",""))</f>
        <v/>
      </c>
      <c r="J4389" s="10" t="str">
        <f aca="false">IF($E4389="","",UPPER(SUBSTITUTE($E4389," ","")))</f>
        <v/>
      </c>
      <c r="K4389" s="10" t="str">
        <f aca="false">IF($A4389="","",$G4389&amp;"|"&amp;$J4389)</f>
        <v/>
      </c>
      <c r="L4389" s="10" t="str">
        <f aca="false">IF($A4389="","",ROW()-2)</f>
        <v/>
      </c>
      <c r="M4389" s="10" t="str">
        <f aca="false">IF($A4389="","",ROW())</f>
        <v/>
      </c>
    </row>
    <row r="4390" customFormat="false" ht="15" hidden="false" customHeight="true" outlineLevel="0" collapsed="false">
      <c r="A4390" s="8"/>
      <c r="B4390" s="8"/>
      <c r="C4390" s="8"/>
      <c r="D4390" s="8"/>
      <c r="E4390" s="8"/>
      <c r="F4390" s="8"/>
      <c r="G4390" s="10" t="str">
        <f aca="false">IF($A4390="","",UPPER(SUBSTITUTE(SUBSTITUTE(SUBSTITUTE(SUBSTITUTE($A4390," ",""),"(주)",""),"주식회사",""),"㈜","")))</f>
        <v/>
      </c>
      <c r="H4390" s="10" t="str">
        <f aca="false">IF($B4390="","",SUBSTITUTE(SUBSTITUTE(SUBSTITUTE($B4390,"-","")," ",""),".",""))</f>
        <v/>
      </c>
      <c r="I4390" s="10" t="str">
        <f aca="false">IF($D4390="","",SUBSTITUTE(SUBSTITUTE(SUBSTITUTE($D4390,"-","")," ",""),".",""))</f>
        <v/>
      </c>
      <c r="J4390" s="10" t="str">
        <f aca="false">IF($E4390="","",UPPER(SUBSTITUTE($E4390," ","")))</f>
        <v/>
      </c>
      <c r="K4390" s="10" t="str">
        <f aca="false">IF($A4390="","",$G4390&amp;"|"&amp;$J4390)</f>
        <v/>
      </c>
      <c r="L4390" s="10" t="str">
        <f aca="false">IF($A4390="","",ROW()-2)</f>
        <v/>
      </c>
      <c r="M4390" s="10" t="str">
        <f aca="false">IF($A4390="","",ROW())</f>
        <v/>
      </c>
    </row>
    <row r="4391" customFormat="false" ht="15" hidden="false" customHeight="true" outlineLevel="0" collapsed="false">
      <c r="A4391" s="8"/>
      <c r="B4391" s="8"/>
      <c r="C4391" s="8"/>
      <c r="D4391" s="8"/>
      <c r="E4391" s="8"/>
      <c r="F4391" s="8"/>
      <c r="G4391" s="10" t="str">
        <f aca="false">IF($A4391="","",UPPER(SUBSTITUTE(SUBSTITUTE(SUBSTITUTE(SUBSTITUTE($A4391," ",""),"(주)",""),"주식회사",""),"㈜","")))</f>
        <v/>
      </c>
      <c r="H4391" s="10" t="str">
        <f aca="false">IF($B4391="","",SUBSTITUTE(SUBSTITUTE(SUBSTITUTE($B4391,"-","")," ",""),".",""))</f>
        <v/>
      </c>
      <c r="I4391" s="10" t="str">
        <f aca="false">IF($D4391="","",SUBSTITUTE(SUBSTITUTE(SUBSTITUTE($D4391,"-","")," ",""),".",""))</f>
        <v/>
      </c>
      <c r="J4391" s="10" t="str">
        <f aca="false">IF($E4391="","",UPPER(SUBSTITUTE($E4391," ","")))</f>
        <v/>
      </c>
      <c r="K4391" s="10" t="str">
        <f aca="false">IF($A4391="","",$G4391&amp;"|"&amp;$J4391)</f>
        <v/>
      </c>
      <c r="L4391" s="10" t="str">
        <f aca="false">IF($A4391="","",ROW()-2)</f>
        <v/>
      </c>
      <c r="M4391" s="10" t="str">
        <f aca="false">IF($A4391="","",ROW())</f>
        <v/>
      </c>
    </row>
    <row r="4392" customFormat="false" ht="15" hidden="false" customHeight="true" outlineLevel="0" collapsed="false">
      <c r="A4392" s="8"/>
      <c r="B4392" s="8"/>
      <c r="C4392" s="8"/>
      <c r="D4392" s="8"/>
      <c r="E4392" s="8"/>
      <c r="F4392" s="8"/>
      <c r="G4392" s="10" t="str">
        <f aca="false">IF($A4392="","",UPPER(SUBSTITUTE(SUBSTITUTE(SUBSTITUTE(SUBSTITUTE($A4392," ",""),"(주)",""),"주식회사",""),"㈜","")))</f>
        <v/>
      </c>
      <c r="H4392" s="10" t="str">
        <f aca="false">IF($B4392="","",SUBSTITUTE(SUBSTITUTE(SUBSTITUTE($B4392,"-","")," ",""),".",""))</f>
        <v/>
      </c>
      <c r="I4392" s="10" t="str">
        <f aca="false">IF($D4392="","",SUBSTITUTE(SUBSTITUTE(SUBSTITUTE($D4392,"-","")," ",""),".",""))</f>
        <v/>
      </c>
      <c r="J4392" s="10" t="str">
        <f aca="false">IF($E4392="","",UPPER(SUBSTITUTE($E4392," ","")))</f>
        <v/>
      </c>
      <c r="K4392" s="10" t="str">
        <f aca="false">IF($A4392="","",$G4392&amp;"|"&amp;$J4392)</f>
        <v/>
      </c>
      <c r="L4392" s="10" t="str">
        <f aca="false">IF($A4392="","",ROW()-2)</f>
        <v/>
      </c>
      <c r="M4392" s="10" t="str">
        <f aca="false">IF($A4392="","",ROW())</f>
        <v/>
      </c>
    </row>
    <row r="4393" customFormat="false" ht="15" hidden="false" customHeight="true" outlineLevel="0" collapsed="false">
      <c r="A4393" s="8"/>
      <c r="B4393" s="8"/>
      <c r="C4393" s="8"/>
      <c r="D4393" s="8"/>
      <c r="E4393" s="8"/>
      <c r="F4393" s="8"/>
      <c r="G4393" s="10" t="str">
        <f aca="false">IF($A4393="","",UPPER(SUBSTITUTE(SUBSTITUTE(SUBSTITUTE(SUBSTITUTE($A4393," ",""),"(주)",""),"주식회사",""),"㈜","")))</f>
        <v/>
      </c>
      <c r="H4393" s="10" t="str">
        <f aca="false">IF($B4393="","",SUBSTITUTE(SUBSTITUTE(SUBSTITUTE($B4393,"-","")," ",""),".",""))</f>
        <v/>
      </c>
      <c r="I4393" s="10" t="str">
        <f aca="false">IF($D4393="","",SUBSTITUTE(SUBSTITUTE(SUBSTITUTE($D4393,"-","")," ",""),".",""))</f>
        <v/>
      </c>
      <c r="J4393" s="10" t="str">
        <f aca="false">IF($E4393="","",UPPER(SUBSTITUTE($E4393," ","")))</f>
        <v/>
      </c>
      <c r="K4393" s="10" t="str">
        <f aca="false">IF($A4393="","",$G4393&amp;"|"&amp;$J4393)</f>
        <v/>
      </c>
      <c r="L4393" s="10" t="str">
        <f aca="false">IF($A4393="","",ROW()-2)</f>
        <v/>
      </c>
      <c r="M4393" s="10" t="str">
        <f aca="false">IF($A4393="","",ROW())</f>
        <v/>
      </c>
    </row>
    <row r="4394" customFormat="false" ht="15" hidden="false" customHeight="true" outlineLevel="0" collapsed="false">
      <c r="A4394" s="8"/>
      <c r="B4394" s="8"/>
      <c r="C4394" s="8"/>
      <c r="D4394" s="8"/>
      <c r="E4394" s="8"/>
      <c r="F4394" s="8"/>
      <c r="G4394" s="10" t="str">
        <f aca="false">IF($A4394="","",UPPER(SUBSTITUTE(SUBSTITUTE(SUBSTITUTE(SUBSTITUTE($A4394," ",""),"(주)",""),"주식회사",""),"㈜","")))</f>
        <v/>
      </c>
      <c r="H4394" s="10" t="str">
        <f aca="false">IF($B4394="","",SUBSTITUTE(SUBSTITUTE(SUBSTITUTE($B4394,"-","")," ",""),".",""))</f>
        <v/>
      </c>
      <c r="I4394" s="10" t="str">
        <f aca="false">IF($D4394="","",SUBSTITUTE(SUBSTITUTE(SUBSTITUTE($D4394,"-","")," ",""),".",""))</f>
        <v/>
      </c>
      <c r="J4394" s="10" t="str">
        <f aca="false">IF($E4394="","",UPPER(SUBSTITUTE($E4394," ","")))</f>
        <v/>
      </c>
      <c r="K4394" s="10" t="str">
        <f aca="false">IF($A4394="","",$G4394&amp;"|"&amp;$J4394)</f>
        <v/>
      </c>
      <c r="L4394" s="10" t="str">
        <f aca="false">IF($A4394="","",ROW()-2)</f>
        <v/>
      </c>
      <c r="M4394" s="10" t="str">
        <f aca="false">IF($A4394="","",ROW())</f>
        <v/>
      </c>
    </row>
    <row r="4395" customFormat="false" ht="15" hidden="false" customHeight="true" outlineLevel="0" collapsed="false">
      <c r="A4395" s="8"/>
      <c r="B4395" s="8"/>
      <c r="C4395" s="8"/>
      <c r="D4395" s="8"/>
      <c r="E4395" s="8"/>
      <c r="F4395" s="8"/>
      <c r="G4395" s="10" t="str">
        <f aca="false">IF($A4395="","",UPPER(SUBSTITUTE(SUBSTITUTE(SUBSTITUTE(SUBSTITUTE($A4395," ",""),"(주)",""),"주식회사",""),"㈜","")))</f>
        <v/>
      </c>
      <c r="H4395" s="10" t="str">
        <f aca="false">IF($B4395="","",SUBSTITUTE(SUBSTITUTE(SUBSTITUTE($B4395,"-","")," ",""),".",""))</f>
        <v/>
      </c>
      <c r="I4395" s="10" t="str">
        <f aca="false">IF($D4395="","",SUBSTITUTE(SUBSTITUTE(SUBSTITUTE($D4395,"-","")," ",""),".",""))</f>
        <v/>
      </c>
      <c r="J4395" s="10" t="str">
        <f aca="false">IF($E4395="","",UPPER(SUBSTITUTE($E4395," ","")))</f>
        <v/>
      </c>
      <c r="K4395" s="10" t="str">
        <f aca="false">IF($A4395="","",$G4395&amp;"|"&amp;$J4395)</f>
        <v/>
      </c>
      <c r="L4395" s="10" t="str">
        <f aca="false">IF($A4395="","",ROW()-2)</f>
        <v/>
      </c>
      <c r="M4395" s="10" t="str">
        <f aca="false">IF($A4395="","",ROW())</f>
        <v/>
      </c>
    </row>
    <row r="4396" customFormat="false" ht="15" hidden="false" customHeight="true" outlineLevel="0" collapsed="false">
      <c r="A4396" s="8"/>
      <c r="B4396" s="8"/>
      <c r="C4396" s="8"/>
      <c r="D4396" s="8"/>
      <c r="E4396" s="8"/>
      <c r="F4396" s="8"/>
      <c r="G4396" s="10" t="str">
        <f aca="false">IF($A4396="","",UPPER(SUBSTITUTE(SUBSTITUTE(SUBSTITUTE(SUBSTITUTE($A4396," ",""),"(주)",""),"주식회사",""),"㈜","")))</f>
        <v/>
      </c>
      <c r="H4396" s="10" t="str">
        <f aca="false">IF($B4396="","",SUBSTITUTE(SUBSTITUTE(SUBSTITUTE($B4396,"-","")," ",""),".",""))</f>
        <v/>
      </c>
      <c r="I4396" s="10" t="str">
        <f aca="false">IF($D4396="","",SUBSTITUTE(SUBSTITUTE(SUBSTITUTE($D4396,"-","")," ",""),".",""))</f>
        <v/>
      </c>
      <c r="J4396" s="10" t="str">
        <f aca="false">IF($E4396="","",UPPER(SUBSTITUTE($E4396," ","")))</f>
        <v/>
      </c>
      <c r="K4396" s="10" t="str">
        <f aca="false">IF($A4396="","",$G4396&amp;"|"&amp;$J4396)</f>
        <v/>
      </c>
      <c r="L4396" s="10" t="str">
        <f aca="false">IF($A4396="","",ROW()-2)</f>
        <v/>
      </c>
      <c r="M4396" s="10" t="str">
        <f aca="false">IF($A4396="","",ROW())</f>
        <v/>
      </c>
    </row>
    <row r="4397" customFormat="false" ht="15" hidden="false" customHeight="true" outlineLevel="0" collapsed="false">
      <c r="A4397" s="8"/>
      <c r="B4397" s="8"/>
      <c r="C4397" s="8"/>
      <c r="D4397" s="8"/>
      <c r="E4397" s="8"/>
      <c r="F4397" s="8"/>
      <c r="G4397" s="10" t="str">
        <f aca="false">IF($A4397="","",UPPER(SUBSTITUTE(SUBSTITUTE(SUBSTITUTE(SUBSTITUTE($A4397," ",""),"(주)",""),"주식회사",""),"㈜","")))</f>
        <v/>
      </c>
      <c r="H4397" s="10" t="str">
        <f aca="false">IF($B4397="","",SUBSTITUTE(SUBSTITUTE(SUBSTITUTE($B4397,"-","")," ",""),".",""))</f>
        <v/>
      </c>
      <c r="I4397" s="10" t="str">
        <f aca="false">IF($D4397="","",SUBSTITUTE(SUBSTITUTE(SUBSTITUTE($D4397,"-","")," ",""),".",""))</f>
        <v/>
      </c>
      <c r="J4397" s="10" t="str">
        <f aca="false">IF($E4397="","",UPPER(SUBSTITUTE($E4397," ","")))</f>
        <v/>
      </c>
      <c r="K4397" s="10" t="str">
        <f aca="false">IF($A4397="","",$G4397&amp;"|"&amp;$J4397)</f>
        <v/>
      </c>
      <c r="L4397" s="10" t="str">
        <f aca="false">IF($A4397="","",ROW()-2)</f>
        <v/>
      </c>
      <c r="M4397" s="10" t="str">
        <f aca="false">IF($A4397="","",ROW())</f>
        <v/>
      </c>
    </row>
    <row r="4398" customFormat="false" ht="15" hidden="false" customHeight="true" outlineLevel="0" collapsed="false">
      <c r="A4398" s="8"/>
      <c r="B4398" s="8"/>
      <c r="C4398" s="8"/>
      <c r="D4398" s="8"/>
      <c r="E4398" s="8"/>
      <c r="F4398" s="8"/>
      <c r="G4398" s="10" t="str">
        <f aca="false">IF($A4398="","",UPPER(SUBSTITUTE(SUBSTITUTE(SUBSTITUTE(SUBSTITUTE($A4398," ",""),"(주)",""),"주식회사",""),"㈜","")))</f>
        <v/>
      </c>
      <c r="H4398" s="10" t="str">
        <f aca="false">IF($B4398="","",SUBSTITUTE(SUBSTITUTE(SUBSTITUTE($B4398,"-","")," ",""),".",""))</f>
        <v/>
      </c>
      <c r="I4398" s="10" t="str">
        <f aca="false">IF($D4398="","",SUBSTITUTE(SUBSTITUTE(SUBSTITUTE($D4398,"-","")," ",""),".",""))</f>
        <v/>
      </c>
      <c r="J4398" s="10" t="str">
        <f aca="false">IF($E4398="","",UPPER(SUBSTITUTE($E4398," ","")))</f>
        <v/>
      </c>
      <c r="K4398" s="10" t="str">
        <f aca="false">IF($A4398="","",$G4398&amp;"|"&amp;$J4398)</f>
        <v/>
      </c>
      <c r="L4398" s="10" t="str">
        <f aca="false">IF($A4398="","",ROW()-2)</f>
        <v/>
      </c>
      <c r="M4398" s="10" t="str">
        <f aca="false">IF($A4398="","",ROW())</f>
        <v/>
      </c>
    </row>
    <row r="4399" customFormat="false" ht="15" hidden="false" customHeight="true" outlineLevel="0" collapsed="false">
      <c r="A4399" s="8"/>
      <c r="B4399" s="8"/>
      <c r="C4399" s="8"/>
      <c r="D4399" s="8"/>
      <c r="E4399" s="8"/>
      <c r="F4399" s="8"/>
      <c r="G4399" s="10" t="str">
        <f aca="false">IF($A4399="","",UPPER(SUBSTITUTE(SUBSTITUTE(SUBSTITUTE(SUBSTITUTE($A4399," ",""),"(주)",""),"주식회사",""),"㈜","")))</f>
        <v/>
      </c>
      <c r="H4399" s="10" t="str">
        <f aca="false">IF($B4399="","",SUBSTITUTE(SUBSTITUTE(SUBSTITUTE($B4399,"-","")," ",""),".",""))</f>
        <v/>
      </c>
      <c r="I4399" s="10" t="str">
        <f aca="false">IF($D4399="","",SUBSTITUTE(SUBSTITUTE(SUBSTITUTE($D4399,"-","")," ",""),".",""))</f>
        <v/>
      </c>
      <c r="J4399" s="10" t="str">
        <f aca="false">IF($E4399="","",UPPER(SUBSTITUTE($E4399," ","")))</f>
        <v/>
      </c>
      <c r="K4399" s="10" t="str">
        <f aca="false">IF($A4399="","",$G4399&amp;"|"&amp;$J4399)</f>
        <v/>
      </c>
      <c r="L4399" s="10" t="str">
        <f aca="false">IF($A4399="","",ROW()-2)</f>
        <v/>
      </c>
      <c r="M4399" s="10" t="str">
        <f aca="false">IF($A4399="","",ROW())</f>
        <v/>
      </c>
    </row>
    <row r="4400" customFormat="false" ht="15" hidden="false" customHeight="true" outlineLevel="0" collapsed="false">
      <c r="A4400" s="8"/>
      <c r="B4400" s="8"/>
      <c r="C4400" s="8"/>
      <c r="D4400" s="8"/>
      <c r="E4400" s="8"/>
      <c r="F4400" s="8"/>
      <c r="G4400" s="10" t="str">
        <f aca="false">IF($A4400="","",UPPER(SUBSTITUTE(SUBSTITUTE(SUBSTITUTE(SUBSTITUTE($A4400," ",""),"(주)",""),"주식회사",""),"㈜","")))</f>
        <v/>
      </c>
      <c r="H4400" s="10" t="str">
        <f aca="false">IF($B4400="","",SUBSTITUTE(SUBSTITUTE(SUBSTITUTE($B4400,"-","")," ",""),".",""))</f>
        <v/>
      </c>
      <c r="I4400" s="10" t="str">
        <f aca="false">IF($D4400="","",SUBSTITUTE(SUBSTITUTE(SUBSTITUTE($D4400,"-","")," ",""),".",""))</f>
        <v/>
      </c>
      <c r="J4400" s="10" t="str">
        <f aca="false">IF($E4400="","",UPPER(SUBSTITUTE($E4400," ","")))</f>
        <v/>
      </c>
      <c r="K4400" s="10" t="str">
        <f aca="false">IF($A4400="","",$G4400&amp;"|"&amp;$J4400)</f>
        <v/>
      </c>
      <c r="L4400" s="10" t="str">
        <f aca="false">IF($A4400="","",ROW()-2)</f>
        <v/>
      </c>
      <c r="M4400" s="10" t="str">
        <f aca="false">IF($A4400="","",ROW())</f>
        <v/>
      </c>
    </row>
    <row r="4401" customFormat="false" ht="15" hidden="false" customHeight="true" outlineLevel="0" collapsed="false">
      <c r="A4401" s="8"/>
      <c r="B4401" s="8"/>
      <c r="C4401" s="8"/>
      <c r="D4401" s="8"/>
      <c r="E4401" s="8"/>
      <c r="F4401" s="8"/>
      <c r="G4401" s="10" t="str">
        <f aca="false">IF($A4401="","",UPPER(SUBSTITUTE(SUBSTITUTE(SUBSTITUTE(SUBSTITUTE($A4401," ",""),"(주)",""),"주식회사",""),"㈜","")))</f>
        <v/>
      </c>
      <c r="H4401" s="10" t="str">
        <f aca="false">IF($B4401="","",SUBSTITUTE(SUBSTITUTE(SUBSTITUTE($B4401,"-","")," ",""),".",""))</f>
        <v/>
      </c>
      <c r="I4401" s="10" t="str">
        <f aca="false">IF($D4401="","",SUBSTITUTE(SUBSTITUTE(SUBSTITUTE($D4401,"-","")," ",""),".",""))</f>
        <v/>
      </c>
      <c r="J4401" s="10" t="str">
        <f aca="false">IF($E4401="","",UPPER(SUBSTITUTE($E4401," ","")))</f>
        <v/>
      </c>
      <c r="K4401" s="10" t="str">
        <f aca="false">IF($A4401="","",$G4401&amp;"|"&amp;$J4401)</f>
        <v/>
      </c>
      <c r="L4401" s="10" t="str">
        <f aca="false">IF($A4401="","",ROW()-2)</f>
        <v/>
      </c>
      <c r="M4401" s="10" t="str">
        <f aca="false">IF($A4401="","",ROW())</f>
        <v/>
      </c>
    </row>
    <row r="4402" customFormat="false" ht="15" hidden="false" customHeight="true" outlineLevel="0" collapsed="false">
      <c r="A4402" s="8"/>
      <c r="B4402" s="8"/>
      <c r="C4402" s="8"/>
      <c r="D4402" s="8"/>
      <c r="E4402" s="8"/>
      <c r="F4402" s="8"/>
      <c r="G4402" s="10" t="str">
        <f aca="false">IF($A4402="","",UPPER(SUBSTITUTE(SUBSTITUTE(SUBSTITUTE(SUBSTITUTE($A4402," ",""),"(주)",""),"주식회사",""),"㈜","")))</f>
        <v/>
      </c>
      <c r="H4402" s="10" t="str">
        <f aca="false">IF($B4402="","",SUBSTITUTE(SUBSTITUTE(SUBSTITUTE($B4402,"-","")," ",""),".",""))</f>
        <v/>
      </c>
      <c r="I4402" s="10" t="str">
        <f aca="false">IF($D4402="","",SUBSTITUTE(SUBSTITUTE(SUBSTITUTE($D4402,"-","")," ",""),".",""))</f>
        <v/>
      </c>
      <c r="J4402" s="10" t="str">
        <f aca="false">IF($E4402="","",UPPER(SUBSTITUTE($E4402," ","")))</f>
        <v/>
      </c>
      <c r="K4402" s="10" t="str">
        <f aca="false">IF($A4402="","",$G4402&amp;"|"&amp;$J4402)</f>
        <v/>
      </c>
      <c r="L4402" s="10" t="str">
        <f aca="false">IF($A4402="","",ROW()-2)</f>
        <v/>
      </c>
      <c r="M4402" s="10" t="str">
        <f aca="false">IF($A4402="","",ROW())</f>
        <v/>
      </c>
    </row>
    <row r="4403" customFormat="false" ht="15" hidden="false" customHeight="true" outlineLevel="0" collapsed="false">
      <c r="A4403" s="8"/>
      <c r="B4403" s="8"/>
      <c r="C4403" s="8"/>
      <c r="D4403" s="8"/>
      <c r="E4403" s="8"/>
      <c r="F4403" s="8"/>
      <c r="G4403" s="10" t="str">
        <f aca="false">IF($A4403="","",UPPER(SUBSTITUTE(SUBSTITUTE(SUBSTITUTE(SUBSTITUTE($A4403," ",""),"(주)",""),"주식회사",""),"㈜","")))</f>
        <v/>
      </c>
      <c r="H4403" s="10" t="str">
        <f aca="false">IF($B4403="","",SUBSTITUTE(SUBSTITUTE(SUBSTITUTE($B4403,"-","")," ",""),".",""))</f>
        <v/>
      </c>
      <c r="I4403" s="10" t="str">
        <f aca="false">IF($D4403="","",SUBSTITUTE(SUBSTITUTE(SUBSTITUTE($D4403,"-","")," ",""),".",""))</f>
        <v/>
      </c>
      <c r="J4403" s="10" t="str">
        <f aca="false">IF($E4403="","",UPPER(SUBSTITUTE($E4403," ","")))</f>
        <v/>
      </c>
      <c r="K4403" s="10" t="str">
        <f aca="false">IF($A4403="","",$G4403&amp;"|"&amp;$J4403)</f>
        <v/>
      </c>
      <c r="L4403" s="10" t="str">
        <f aca="false">IF($A4403="","",ROW()-2)</f>
        <v/>
      </c>
      <c r="M4403" s="10" t="str">
        <f aca="false">IF($A4403="","",ROW())</f>
        <v/>
      </c>
    </row>
    <row r="4404" customFormat="false" ht="15" hidden="false" customHeight="true" outlineLevel="0" collapsed="false">
      <c r="A4404" s="8"/>
      <c r="B4404" s="8"/>
      <c r="C4404" s="8"/>
      <c r="D4404" s="8"/>
      <c r="E4404" s="8"/>
      <c r="F4404" s="8"/>
      <c r="G4404" s="10" t="str">
        <f aca="false">IF($A4404="","",UPPER(SUBSTITUTE(SUBSTITUTE(SUBSTITUTE(SUBSTITUTE($A4404," ",""),"(주)",""),"주식회사",""),"㈜","")))</f>
        <v/>
      </c>
      <c r="H4404" s="10" t="str">
        <f aca="false">IF($B4404="","",SUBSTITUTE(SUBSTITUTE(SUBSTITUTE($B4404,"-","")," ",""),".",""))</f>
        <v/>
      </c>
      <c r="I4404" s="10" t="str">
        <f aca="false">IF($D4404="","",SUBSTITUTE(SUBSTITUTE(SUBSTITUTE($D4404,"-","")," ",""),".",""))</f>
        <v/>
      </c>
      <c r="J4404" s="10" t="str">
        <f aca="false">IF($E4404="","",UPPER(SUBSTITUTE($E4404," ","")))</f>
        <v/>
      </c>
      <c r="K4404" s="10" t="str">
        <f aca="false">IF($A4404="","",$G4404&amp;"|"&amp;$J4404)</f>
        <v/>
      </c>
      <c r="L4404" s="10" t="str">
        <f aca="false">IF($A4404="","",ROW()-2)</f>
        <v/>
      </c>
      <c r="M4404" s="10" t="str">
        <f aca="false">IF($A4404="","",ROW())</f>
        <v/>
      </c>
    </row>
    <row r="4405" customFormat="false" ht="15" hidden="false" customHeight="true" outlineLevel="0" collapsed="false">
      <c r="A4405" s="8"/>
      <c r="B4405" s="8"/>
      <c r="C4405" s="8"/>
      <c r="D4405" s="8"/>
      <c r="E4405" s="8"/>
      <c r="F4405" s="8"/>
      <c r="G4405" s="10" t="str">
        <f aca="false">IF($A4405="","",UPPER(SUBSTITUTE(SUBSTITUTE(SUBSTITUTE(SUBSTITUTE($A4405," ",""),"(주)",""),"주식회사",""),"㈜","")))</f>
        <v/>
      </c>
      <c r="H4405" s="10" t="str">
        <f aca="false">IF($B4405="","",SUBSTITUTE(SUBSTITUTE(SUBSTITUTE($B4405,"-","")," ",""),".",""))</f>
        <v/>
      </c>
      <c r="I4405" s="10" t="str">
        <f aca="false">IF($D4405="","",SUBSTITUTE(SUBSTITUTE(SUBSTITUTE($D4405,"-","")," ",""),".",""))</f>
        <v/>
      </c>
      <c r="J4405" s="10" t="str">
        <f aca="false">IF($E4405="","",UPPER(SUBSTITUTE($E4405," ","")))</f>
        <v/>
      </c>
      <c r="K4405" s="10" t="str">
        <f aca="false">IF($A4405="","",$G4405&amp;"|"&amp;$J4405)</f>
        <v/>
      </c>
      <c r="L4405" s="10" t="str">
        <f aca="false">IF($A4405="","",ROW()-2)</f>
        <v/>
      </c>
      <c r="M4405" s="10" t="str">
        <f aca="false">IF($A4405="","",ROW())</f>
        <v/>
      </c>
    </row>
    <row r="4406" customFormat="false" ht="15" hidden="false" customHeight="true" outlineLevel="0" collapsed="false">
      <c r="A4406" s="8"/>
      <c r="B4406" s="8"/>
      <c r="C4406" s="8"/>
      <c r="D4406" s="8"/>
      <c r="E4406" s="8"/>
      <c r="F4406" s="8"/>
      <c r="G4406" s="10" t="str">
        <f aca="false">IF($A4406="","",UPPER(SUBSTITUTE(SUBSTITUTE(SUBSTITUTE(SUBSTITUTE($A4406," ",""),"(주)",""),"주식회사",""),"㈜","")))</f>
        <v/>
      </c>
      <c r="H4406" s="10" t="str">
        <f aca="false">IF($B4406="","",SUBSTITUTE(SUBSTITUTE(SUBSTITUTE($B4406,"-","")," ",""),".",""))</f>
        <v/>
      </c>
      <c r="I4406" s="10" t="str">
        <f aca="false">IF($D4406="","",SUBSTITUTE(SUBSTITUTE(SUBSTITUTE($D4406,"-","")," ",""),".",""))</f>
        <v/>
      </c>
      <c r="J4406" s="10" t="str">
        <f aca="false">IF($E4406="","",UPPER(SUBSTITUTE($E4406," ","")))</f>
        <v/>
      </c>
      <c r="K4406" s="10" t="str">
        <f aca="false">IF($A4406="","",$G4406&amp;"|"&amp;$J4406)</f>
        <v/>
      </c>
      <c r="L4406" s="10" t="str">
        <f aca="false">IF($A4406="","",ROW()-2)</f>
        <v/>
      </c>
      <c r="M4406" s="10" t="str">
        <f aca="false">IF($A4406="","",ROW())</f>
        <v/>
      </c>
    </row>
    <row r="4407" customFormat="false" ht="15" hidden="false" customHeight="true" outlineLevel="0" collapsed="false">
      <c r="A4407" s="8"/>
      <c r="B4407" s="8"/>
      <c r="C4407" s="8"/>
      <c r="D4407" s="8"/>
      <c r="E4407" s="8"/>
      <c r="F4407" s="8"/>
      <c r="G4407" s="10" t="str">
        <f aca="false">IF($A4407="","",UPPER(SUBSTITUTE(SUBSTITUTE(SUBSTITUTE(SUBSTITUTE($A4407," ",""),"(주)",""),"주식회사",""),"㈜","")))</f>
        <v/>
      </c>
      <c r="H4407" s="10" t="str">
        <f aca="false">IF($B4407="","",SUBSTITUTE(SUBSTITUTE(SUBSTITUTE($B4407,"-","")," ",""),".",""))</f>
        <v/>
      </c>
      <c r="I4407" s="10" t="str">
        <f aca="false">IF($D4407="","",SUBSTITUTE(SUBSTITUTE(SUBSTITUTE($D4407,"-","")," ",""),".",""))</f>
        <v/>
      </c>
      <c r="J4407" s="10" t="str">
        <f aca="false">IF($E4407="","",UPPER(SUBSTITUTE($E4407," ","")))</f>
        <v/>
      </c>
      <c r="K4407" s="10" t="str">
        <f aca="false">IF($A4407="","",$G4407&amp;"|"&amp;$J4407)</f>
        <v/>
      </c>
      <c r="L4407" s="10" t="str">
        <f aca="false">IF($A4407="","",ROW()-2)</f>
        <v/>
      </c>
      <c r="M4407" s="10" t="str">
        <f aca="false">IF($A4407="","",ROW())</f>
        <v/>
      </c>
    </row>
    <row r="4408" customFormat="false" ht="15" hidden="false" customHeight="true" outlineLevel="0" collapsed="false">
      <c r="A4408" s="8"/>
      <c r="B4408" s="8"/>
      <c r="C4408" s="8"/>
      <c r="D4408" s="8"/>
      <c r="E4408" s="8"/>
      <c r="F4408" s="8"/>
      <c r="G4408" s="10" t="str">
        <f aca="false">IF($A4408="","",UPPER(SUBSTITUTE(SUBSTITUTE(SUBSTITUTE(SUBSTITUTE($A4408," ",""),"(주)",""),"주식회사",""),"㈜","")))</f>
        <v/>
      </c>
      <c r="H4408" s="10" t="str">
        <f aca="false">IF($B4408="","",SUBSTITUTE(SUBSTITUTE(SUBSTITUTE($B4408,"-","")," ",""),".",""))</f>
        <v/>
      </c>
      <c r="I4408" s="10" t="str">
        <f aca="false">IF($D4408="","",SUBSTITUTE(SUBSTITUTE(SUBSTITUTE($D4408,"-","")," ",""),".",""))</f>
        <v/>
      </c>
      <c r="J4408" s="10" t="str">
        <f aca="false">IF($E4408="","",UPPER(SUBSTITUTE($E4408," ","")))</f>
        <v/>
      </c>
      <c r="K4408" s="10" t="str">
        <f aca="false">IF($A4408="","",$G4408&amp;"|"&amp;$J4408)</f>
        <v/>
      </c>
      <c r="L4408" s="10" t="str">
        <f aca="false">IF($A4408="","",ROW()-2)</f>
        <v/>
      </c>
      <c r="M4408" s="10" t="str">
        <f aca="false">IF($A4408="","",ROW())</f>
        <v/>
      </c>
    </row>
    <row r="4409" customFormat="false" ht="15" hidden="false" customHeight="true" outlineLevel="0" collapsed="false">
      <c r="A4409" s="8"/>
      <c r="B4409" s="8"/>
      <c r="C4409" s="8"/>
      <c r="D4409" s="8"/>
      <c r="E4409" s="8"/>
      <c r="F4409" s="8"/>
      <c r="G4409" s="10" t="str">
        <f aca="false">IF($A4409="","",UPPER(SUBSTITUTE(SUBSTITUTE(SUBSTITUTE(SUBSTITUTE($A4409," ",""),"(주)",""),"주식회사",""),"㈜","")))</f>
        <v/>
      </c>
      <c r="H4409" s="10" t="str">
        <f aca="false">IF($B4409="","",SUBSTITUTE(SUBSTITUTE(SUBSTITUTE($B4409,"-","")," ",""),".",""))</f>
        <v/>
      </c>
      <c r="I4409" s="10" t="str">
        <f aca="false">IF($D4409="","",SUBSTITUTE(SUBSTITUTE(SUBSTITUTE($D4409,"-","")," ",""),".",""))</f>
        <v/>
      </c>
      <c r="J4409" s="10" t="str">
        <f aca="false">IF($E4409="","",UPPER(SUBSTITUTE($E4409," ","")))</f>
        <v/>
      </c>
      <c r="K4409" s="10" t="str">
        <f aca="false">IF($A4409="","",$G4409&amp;"|"&amp;$J4409)</f>
        <v/>
      </c>
      <c r="L4409" s="10" t="str">
        <f aca="false">IF($A4409="","",ROW()-2)</f>
        <v/>
      </c>
      <c r="M4409" s="10" t="str">
        <f aca="false">IF($A4409="","",ROW())</f>
        <v/>
      </c>
    </row>
    <row r="4410" customFormat="false" ht="15" hidden="false" customHeight="true" outlineLevel="0" collapsed="false">
      <c r="A4410" s="8"/>
      <c r="B4410" s="8"/>
      <c r="C4410" s="8"/>
      <c r="D4410" s="8"/>
      <c r="E4410" s="8"/>
      <c r="F4410" s="8"/>
      <c r="G4410" s="10" t="str">
        <f aca="false">IF($A4410="","",UPPER(SUBSTITUTE(SUBSTITUTE(SUBSTITUTE(SUBSTITUTE($A4410," ",""),"(주)",""),"주식회사",""),"㈜","")))</f>
        <v/>
      </c>
      <c r="H4410" s="10" t="str">
        <f aca="false">IF($B4410="","",SUBSTITUTE(SUBSTITUTE(SUBSTITUTE($B4410,"-","")," ",""),".",""))</f>
        <v/>
      </c>
      <c r="I4410" s="10" t="str">
        <f aca="false">IF($D4410="","",SUBSTITUTE(SUBSTITUTE(SUBSTITUTE($D4410,"-","")," ",""),".",""))</f>
        <v/>
      </c>
      <c r="J4410" s="10" t="str">
        <f aca="false">IF($E4410="","",UPPER(SUBSTITUTE($E4410," ","")))</f>
        <v/>
      </c>
      <c r="K4410" s="10" t="str">
        <f aca="false">IF($A4410="","",$G4410&amp;"|"&amp;$J4410)</f>
        <v/>
      </c>
      <c r="L4410" s="10" t="str">
        <f aca="false">IF($A4410="","",ROW()-2)</f>
        <v/>
      </c>
      <c r="M4410" s="10" t="str">
        <f aca="false">IF($A4410="","",ROW())</f>
        <v/>
      </c>
    </row>
    <row r="4411" customFormat="false" ht="15" hidden="false" customHeight="true" outlineLevel="0" collapsed="false">
      <c r="A4411" s="8"/>
      <c r="B4411" s="8"/>
      <c r="C4411" s="8"/>
      <c r="D4411" s="8"/>
      <c r="E4411" s="8"/>
      <c r="F4411" s="8"/>
      <c r="G4411" s="10" t="str">
        <f aca="false">IF($A4411="","",UPPER(SUBSTITUTE(SUBSTITUTE(SUBSTITUTE(SUBSTITUTE($A4411," ",""),"(주)",""),"주식회사",""),"㈜","")))</f>
        <v/>
      </c>
      <c r="H4411" s="10" t="str">
        <f aca="false">IF($B4411="","",SUBSTITUTE(SUBSTITUTE(SUBSTITUTE($B4411,"-","")," ",""),".",""))</f>
        <v/>
      </c>
      <c r="I4411" s="10" t="str">
        <f aca="false">IF($D4411="","",SUBSTITUTE(SUBSTITUTE(SUBSTITUTE($D4411,"-","")," ",""),".",""))</f>
        <v/>
      </c>
      <c r="J4411" s="10" t="str">
        <f aca="false">IF($E4411="","",UPPER(SUBSTITUTE($E4411," ","")))</f>
        <v/>
      </c>
      <c r="K4411" s="10" t="str">
        <f aca="false">IF($A4411="","",$G4411&amp;"|"&amp;$J4411)</f>
        <v/>
      </c>
      <c r="L4411" s="10" t="str">
        <f aca="false">IF($A4411="","",ROW()-2)</f>
        <v/>
      </c>
      <c r="M4411" s="10" t="str">
        <f aca="false">IF($A4411="","",ROW())</f>
        <v/>
      </c>
    </row>
    <row r="4412" customFormat="false" ht="15" hidden="false" customHeight="true" outlineLevel="0" collapsed="false">
      <c r="A4412" s="8"/>
      <c r="B4412" s="8"/>
      <c r="C4412" s="8"/>
      <c r="D4412" s="8"/>
      <c r="E4412" s="8"/>
      <c r="F4412" s="8"/>
      <c r="G4412" s="10" t="str">
        <f aca="false">IF($A4412="","",UPPER(SUBSTITUTE(SUBSTITUTE(SUBSTITUTE(SUBSTITUTE($A4412," ",""),"(주)",""),"주식회사",""),"㈜","")))</f>
        <v/>
      </c>
      <c r="H4412" s="10" t="str">
        <f aca="false">IF($B4412="","",SUBSTITUTE(SUBSTITUTE(SUBSTITUTE($B4412,"-","")," ",""),".",""))</f>
        <v/>
      </c>
      <c r="I4412" s="10" t="str">
        <f aca="false">IF($D4412="","",SUBSTITUTE(SUBSTITUTE(SUBSTITUTE($D4412,"-","")," ",""),".",""))</f>
        <v/>
      </c>
      <c r="J4412" s="10" t="str">
        <f aca="false">IF($E4412="","",UPPER(SUBSTITUTE($E4412," ","")))</f>
        <v/>
      </c>
      <c r="K4412" s="10" t="str">
        <f aca="false">IF($A4412="","",$G4412&amp;"|"&amp;$J4412)</f>
        <v/>
      </c>
      <c r="L4412" s="10" t="str">
        <f aca="false">IF($A4412="","",ROW()-2)</f>
        <v/>
      </c>
      <c r="M4412" s="10" t="str">
        <f aca="false">IF($A4412="","",ROW())</f>
        <v/>
      </c>
    </row>
    <row r="4413" customFormat="false" ht="15" hidden="false" customHeight="true" outlineLevel="0" collapsed="false">
      <c r="A4413" s="8"/>
      <c r="B4413" s="8"/>
      <c r="C4413" s="8"/>
      <c r="D4413" s="8"/>
      <c r="E4413" s="8"/>
      <c r="F4413" s="8"/>
      <c r="G4413" s="10" t="str">
        <f aca="false">IF($A4413="","",UPPER(SUBSTITUTE(SUBSTITUTE(SUBSTITUTE(SUBSTITUTE($A4413," ",""),"(주)",""),"주식회사",""),"㈜","")))</f>
        <v/>
      </c>
      <c r="H4413" s="10" t="str">
        <f aca="false">IF($B4413="","",SUBSTITUTE(SUBSTITUTE(SUBSTITUTE($B4413,"-","")," ",""),".",""))</f>
        <v/>
      </c>
      <c r="I4413" s="10" t="str">
        <f aca="false">IF($D4413="","",SUBSTITUTE(SUBSTITUTE(SUBSTITUTE($D4413,"-","")," ",""),".",""))</f>
        <v/>
      </c>
      <c r="J4413" s="10" t="str">
        <f aca="false">IF($E4413="","",UPPER(SUBSTITUTE($E4413," ","")))</f>
        <v/>
      </c>
      <c r="K4413" s="10" t="str">
        <f aca="false">IF($A4413="","",$G4413&amp;"|"&amp;$J4413)</f>
        <v/>
      </c>
      <c r="L4413" s="10" t="str">
        <f aca="false">IF($A4413="","",ROW()-2)</f>
        <v/>
      </c>
      <c r="M4413" s="10" t="str">
        <f aca="false">IF($A4413="","",ROW())</f>
        <v/>
      </c>
    </row>
    <row r="4414" customFormat="false" ht="15" hidden="false" customHeight="true" outlineLevel="0" collapsed="false">
      <c r="A4414" s="8"/>
      <c r="B4414" s="8"/>
      <c r="C4414" s="8"/>
      <c r="D4414" s="8"/>
      <c r="E4414" s="8"/>
      <c r="F4414" s="8"/>
      <c r="G4414" s="10" t="str">
        <f aca="false">IF($A4414="","",UPPER(SUBSTITUTE(SUBSTITUTE(SUBSTITUTE(SUBSTITUTE($A4414," ",""),"(주)",""),"주식회사",""),"㈜","")))</f>
        <v/>
      </c>
      <c r="H4414" s="10" t="str">
        <f aca="false">IF($B4414="","",SUBSTITUTE(SUBSTITUTE(SUBSTITUTE($B4414,"-","")," ",""),".",""))</f>
        <v/>
      </c>
      <c r="I4414" s="10" t="str">
        <f aca="false">IF($D4414="","",SUBSTITUTE(SUBSTITUTE(SUBSTITUTE($D4414,"-","")," ",""),".",""))</f>
        <v/>
      </c>
      <c r="J4414" s="10" t="str">
        <f aca="false">IF($E4414="","",UPPER(SUBSTITUTE($E4414," ","")))</f>
        <v/>
      </c>
      <c r="K4414" s="10" t="str">
        <f aca="false">IF($A4414="","",$G4414&amp;"|"&amp;$J4414)</f>
        <v/>
      </c>
      <c r="L4414" s="10" t="str">
        <f aca="false">IF($A4414="","",ROW()-2)</f>
        <v/>
      </c>
      <c r="M4414" s="10" t="str">
        <f aca="false">IF($A4414="","",ROW())</f>
        <v/>
      </c>
    </row>
    <row r="4415" customFormat="false" ht="15" hidden="false" customHeight="true" outlineLevel="0" collapsed="false">
      <c r="A4415" s="8"/>
      <c r="B4415" s="8"/>
      <c r="C4415" s="8"/>
      <c r="D4415" s="8"/>
      <c r="E4415" s="8"/>
      <c r="F4415" s="8"/>
      <c r="G4415" s="10" t="str">
        <f aca="false">IF($A4415="","",UPPER(SUBSTITUTE(SUBSTITUTE(SUBSTITUTE(SUBSTITUTE($A4415," ",""),"(주)",""),"주식회사",""),"㈜","")))</f>
        <v/>
      </c>
      <c r="H4415" s="10" t="str">
        <f aca="false">IF($B4415="","",SUBSTITUTE(SUBSTITUTE(SUBSTITUTE($B4415,"-","")," ",""),".",""))</f>
        <v/>
      </c>
      <c r="I4415" s="10" t="str">
        <f aca="false">IF($D4415="","",SUBSTITUTE(SUBSTITUTE(SUBSTITUTE($D4415,"-","")," ",""),".",""))</f>
        <v/>
      </c>
      <c r="J4415" s="10" t="str">
        <f aca="false">IF($E4415="","",UPPER(SUBSTITUTE($E4415," ","")))</f>
        <v/>
      </c>
      <c r="K4415" s="10" t="str">
        <f aca="false">IF($A4415="","",$G4415&amp;"|"&amp;$J4415)</f>
        <v/>
      </c>
      <c r="L4415" s="10" t="str">
        <f aca="false">IF($A4415="","",ROW()-2)</f>
        <v/>
      </c>
      <c r="M4415" s="10" t="str">
        <f aca="false">IF($A4415="","",ROW())</f>
        <v/>
      </c>
    </row>
    <row r="4416" customFormat="false" ht="15" hidden="false" customHeight="true" outlineLevel="0" collapsed="false">
      <c r="A4416" s="8"/>
      <c r="B4416" s="8"/>
      <c r="C4416" s="8"/>
      <c r="D4416" s="8"/>
      <c r="E4416" s="8"/>
      <c r="F4416" s="8"/>
      <c r="G4416" s="10" t="str">
        <f aca="false">IF($A4416="","",UPPER(SUBSTITUTE(SUBSTITUTE(SUBSTITUTE(SUBSTITUTE($A4416," ",""),"(주)",""),"주식회사",""),"㈜","")))</f>
        <v/>
      </c>
      <c r="H4416" s="10" t="str">
        <f aca="false">IF($B4416="","",SUBSTITUTE(SUBSTITUTE(SUBSTITUTE($B4416,"-","")," ",""),".",""))</f>
        <v/>
      </c>
      <c r="I4416" s="10" t="str">
        <f aca="false">IF($D4416="","",SUBSTITUTE(SUBSTITUTE(SUBSTITUTE($D4416,"-","")," ",""),".",""))</f>
        <v/>
      </c>
      <c r="J4416" s="10" t="str">
        <f aca="false">IF($E4416="","",UPPER(SUBSTITUTE($E4416," ","")))</f>
        <v/>
      </c>
      <c r="K4416" s="10" t="str">
        <f aca="false">IF($A4416="","",$G4416&amp;"|"&amp;$J4416)</f>
        <v/>
      </c>
      <c r="L4416" s="10" t="str">
        <f aca="false">IF($A4416="","",ROW()-2)</f>
        <v/>
      </c>
      <c r="M4416" s="10" t="str">
        <f aca="false">IF($A4416="","",ROW())</f>
        <v/>
      </c>
    </row>
    <row r="4417" customFormat="false" ht="15" hidden="false" customHeight="true" outlineLevel="0" collapsed="false">
      <c r="A4417" s="8"/>
      <c r="B4417" s="8"/>
      <c r="C4417" s="8"/>
      <c r="D4417" s="8"/>
      <c r="E4417" s="8"/>
      <c r="F4417" s="8"/>
      <c r="G4417" s="10" t="str">
        <f aca="false">IF($A4417="","",UPPER(SUBSTITUTE(SUBSTITUTE(SUBSTITUTE(SUBSTITUTE($A4417," ",""),"(주)",""),"주식회사",""),"㈜","")))</f>
        <v/>
      </c>
      <c r="H4417" s="10" t="str">
        <f aca="false">IF($B4417="","",SUBSTITUTE(SUBSTITUTE(SUBSTITUTE($B4417,"-","")," ",""),".",""))</f>
        <v/>
      </c>
      <c r="I4417" s="10" t="str">
        <f aca="false">IF($D4417="","",SUBSTITUTE(SUBSTITUTE(SUBSTITUTE($D4417,"-","")," ",""),".",""))</f>
        <v/>
      </c>
      <c r="J4417" s="10" t="str">
        <f aca="false">IF($E4417="","",UPPER(SUBSTITUTE($E4417," ","")))</f>
        <v/>
      </c>
      <c r="K4417" s="10" t="str">
        <f aca="false">IF($A4417="","",$G4417&amp;"|"&amp;$J4417)</f>
        <v/>
      </c>
      <c r="L4417" s="10" t="str">
        <f aca="false">IF($A4417="","",ROW()-2)</f>
        <v/>
      </c>
      <c r="M4417" s="10" t="str">
        <f aca="false">IF($A4417="","",ROW())</f>
        <v/>
      </c>
    </row>
    <row r="4418" customFormat="false" ht="15" hidden="false" customHeight="true" outlineLevel="0" collapsed="false">
      <c r="A4418" s="8"/>
      <c r="B4418" s="8"/>
      <c r="C4418" s="8"/>
      <c r="D4418" s="8"/>
      <c r="E4418" s="8"/>
      <c r="F4418" s="8"/>
      <c r="G4418" s="10" t="str">
        <f aca="false">IF($A4418="","",UPPER(SUBSTITUTE(SUBSTITUTE(SUBSTITUTE(SUBSTITUTE($A4418," ",""),"(주)",""),"주식회사",""),"㈜","")))</f>
        <v/>
      </c>
      <c r="H4418" s="10" t="str">
        <f aca="false">IF($B4418="","",SUBSTITUTE(SUBSTITUTE(SUBSTITUTE($B4418,"-","")," ",""),".",""))</f>
        <v/>
      </c>
      <c r="I4418" s="10" t="str">
        <f aca="false">IF($D4418="","",SUBSTITUTE(SUBSTITUTE(SUBSTITUTE($D4418,"-","")," ",""),".",""))</f>
        <v/>
      </c>
      <c r="J4418" s="10" t="str">
        <f aca="false">IF($E4418="","",UPPER(SUBSTITUTE($E4418," ","")))</f>
        <v/>
      </c>
      <c r="K4418" s="10" t="str">
        <f aca="false">IF($A4418="","",$G4418&amp;"|"&amp;$J4418)</f>
        <v/>
      </c>
      <c r="L4418" s="10" t="str">
        <f aca="false">IF($A4418="","",ROW()-2)</f>
        <v/>
      </c>
      <c r="M4418" s="10" t="str">
        <f aca="false">IF($A4418="","",ROW())</f>
        <v/>
      </c>
    </row>
    <row r="4419" customFormat="false" ht="15" hidden="false" customHeight="true" outlineLevel="0" collapsed="false">
      <c r="A4419" s="8"/>
      <c r="B4419" s="8"/>
      <c r="C4419" s="8"/>
      <c r="D4419" s="8"/>
      <c r="E4419" s="8"/>
      <c r="F4419" s="8"/>
      <c r="G4419" s="10" t="str">
        <f aca="false">IF($A4419="","",UPPER(SUBSTITUTE(SUBSTITUTE(SUBSTITUTE(SUBSTITUTE($A4419," ",""),"(주)",""),"주식회사",""),"㈜","")))</f>
        <v/>
      </c>
      <c r="H4419" s="10" t="str">
        <f aca="false">IF($B4419="","",SUBSTITUTE(SUBSTITUTE(SUBSTITUTE($B4419,"-","")," ",""),".",""))</f>
        <v/>
      </c>
      <c r="I4419" s="10" t="str">
        <f aca="false">IF($D4419="","",SUBSTITUTE(SUBSTITUTE(SUBSTITUTE($D4419,"-","")," ",""),".",""))</f>
        <v/>
      </c>
      <c r="J4419" s="10" t="str">
        <f aca="false">IF($E4419="","",UPPER(SUBSTITUTE($E4419," ","")))</f>
        <v/>
      </c>
      <c r="K4419" s="10" t="str">
        <f aca="false">IF($A4419="","",$G4419&amp;"|"&amp;$J4419)</f>
        <v/>
      </c>
      <c r="L4419" s="10" t="str">
        <f aca="false">IF($A4419="","",ROW()-2)</f>
        <v/>
      </c>
      <c r="M4419" s="10" t="str">
        <f aca="false">IF($A4419="","",ROW())</f>
        <v/>
      </c>
    </row>
    <row r="4420" customFormat="false" ht="15" hidden="false" customHeight="true" outlineLevel="0" collapsed="false">
      <c r="A4420" s="8"/>
      <c r="B4420" s="8"/>
      <c r="C4420" s="8"/>
      <c r="D4420" s="8"/>
      <c r="E4420" s="8"/>
      <c r="F4420" s="8"/>
      <c r="G4420" s="10" t="str">
        <f aca="false">IF($A4420="","",UPPER(SUBSTITUTE(SUBSTITUTE(SUBSTITUTE(SUBSTITUTE($A4420," ",""),"(주)",""),"주식회사",""),"㈜","")))</f>
        <v/>
      </c>
      <c r="H4420" s="10" t="str">
        <f aca="false">IF($B4420="","",SUBSTITUTE(SUBSTITUTE(SUBSTITUTE($B4420,"-","")," ",""),".",""))</f>
        <v/>
      </c>
      <c r="I4420" s="10" t="str">
        <f aca="false">IF($D4420="","",SUBSTITUTE(SUBSTITUTE(SUBSTITUTE($D4420,"-","")," ",""),".",""))</f>
        <v/>
      </c>
      <c r="J4420" s="10" t="str">
        <f aca="false">IF($E4420="","",UPPER(SUBSTITUTE($E4420," ","")))</f>
        <v/>
      </c>
      <c r="K4420" s="10" t="str">
        <f aca="false">IF($A4420="","",$G4420&amp;"|"&amp;$J4420)</f>
        <v/>
      </c>
      <c r="L4420" s="10" t="str">
        <f aca="false">IF($A4420="","",ROW()-2)</f>
        <v/>
      </c>
      <c r="M4420" s="10" t="str">
        <f aca="false">IF($A4420="","",ROW())</f>
        <v/>
      </c>
    </row>
    <row r="4421" customFormat="false" ht="15" hidden="false" customHeight="true" outlineLevel="0" collapsed="false">
      <c r="A4421" s="8"/>
      <c r="B4421" s="8"/>
      <c r="C4421" s="8"/>
      <c r="D4421" s="8"/>
      <c r="E4421" s="8"/>
      <c r="F4421" s="8"/>
      <c r="G4421" s="10" t="str">
        <f aca="false">IF($A4421="","",UPPER(SUBSTITUTE(SUBSTITUTE(SUBSTITUTE(SUBSTITUTE($A4421," ",""),"(주)",""),"주식회사",""),"㈜","")))</f>
        <v/>
      </c>
      <c r="H4421" s="10" t="str">
        <f aca="false">IF($B4421="","",SUBSTITUTE(SUBSTITUTE(SUBSTITUTE($B4421,"-","")," ",""),".",""))</f>
        <v/>
      </c>
      <c r="I4421" s="10" t="str">
        <f aca="false">IF($D4421="","",SUBSTITUTE(SUBSTITUTE(SUBSTITUTE($D4421,"-","")," ",""),".",""))</f>
        <v/>
      </c>
      <c r="J4421" s="10" t="str">
        <f aca="false">IF($E4421="","",UPPER(SUBSTITUTE($E4421," ","")))</f>
        <v/>
      </c>
      <c r="K4421" s="10" t="str">
        <f aca="false">IF($A4421="","",$G4421&amp;"|"&amp;$J4421)</f>
        <v/>
      </c>
      <c r="L4421" s="10" t="str">
        <f aca="false">IF($A4421="","",ROW()-2)</f>
        <v/>
      </c>
      <c r="M4421" s="10" t="str">
        <f aca="false">IF($A4421="","",ROW())</f>
        <v/>
      </c>
    </row>
    <row r="4422" customFormat="false" ht="15" hidden="false" customHeight="true" outlineLevel="0" collapsed="false">
      <c r="A4422" s="8"/>
      <c r="B4422" s="8"/>
      <c r="C4422" s="8"/>
      <c r="D4422" s="8"/>
      <c r="E4422" s="8"/>
      <c r="F4422" s="8"/>
      <c r="G4422" s="10" t="str">
        <f aca="false">IF($A4422="","",UPPER(SUBSTITUTE(SUBSTITUTE(SUBSTITUTE(SUBSTITUTE($A4422," ",""),"(주)",""),"주식회사",""),"㈜","")))</f>
        <v/>
      </c>
      <c r="H4422" s="10" t="str">
        <f aca="false">IF($B4422="","",SUBSTITUTE(SUBSTITUTE(SUBSTITUTE($B4422,"-","")," ",""),".",""))</f>
        <v/>
      </c>
      <c r="I4422" s="10" t="str">
        <f aca="false">IF($D4422="","",SUBSTITUTE(SUBSTITUTE(SUBSTITUTE($D4422,"-","")," ",""),".",""))</f>
        <v/>
      </c>
      <c r="J4422" s="10" t="str">
        <f aca="false">IF($E4422="","",UPPER(SUBSTITUTE($E4422," ","")))</f>
        <v/>
      </c>
      <c r="K4422" s="10" t="str">
        <f aca="false">IF($A4422="","",$G4422&amp;"|"&amp;$J4422)</f>
        <v/>
      </c>
      <c r="L4422" s="10" t="str">
        <f aca="false">IF($A4422="","",ROW()-2)</f>
        <v/>
      </c>
      <c r="M4422" s="10" t="str">
        <f aca="false">IF($A4422="","",ROW())</f>
        <v/>
      </c>
    </row>
    <row r="4423" customFormat="false" ht="15" hidden="false" customHeight="true" outlineLevel="0" collapsed="false">
      <c r="A4423" s="8"/>
      <c r="B4423" s="8"/>
      <c r="C4423" s="8"/>
      <c r="D4423" s="8"/>
      <c r="E4423" s="8"/>
      <c r="F4423" s="8"/>
      <c r="G4423" s="10" t="str">
        <f aca="false">IF($A4423="","",UPPER(SUBSTITUTE(SUBSTITUTE(SUBSTITUTE(SUBSTITUTE($A4423," ",""),"(주)",""),"주식회사",""),"㈜","")))</f>
        <v/>
      </c>
      <c r="H4423" s="10" t="str">
        <f aca="false">IF($B4423="","",SUBSTITUTE(SUBSTITUTE(SUBSTITUTE($B4423,"-","")," ",""),".",""))</f>
        <v/>
      </c>
      <c r="I4423" s="10" t="str">
        <f aca="false">IF($D4423="","",SUBSTITUTE(SUBSTITUTE(SUBSTITUTE($D4423,"-","")," ",""),".",""))</f>
        <v/>
      </c>
      <c r="J4423" s="10" t="str">
        <f aca="false">IF($E4423="","",UPPER(SUBSTITUTE($E4423," ","")))</f>
        <v/>
      </c>
      <c r="K4423" s="10" t="str">
        <f aca="false">IF($A4423="","",$G4423&amp;"|"&amp;$J4423)</f>
        <v/>
      </c>
      <c r="L4423" s="10" t="str">
        <f aca="false">IF($A4423="","",ROW()-2)</f>
        <v/>
      </c>
      <c r="M4423" s="10" t="str">
        <f aca="false">IF($A4423="","",ROW())</f>
        <v/>
      </c>
    </row>
    <row r="4424" customFormat="false" ht="15" hidden="false" customHeight="true" outlineLevel="0" collapsed="false">
      <c r="A4424" s="8"/>
      <c r="B4424" s="8"/>
      <c r="C4424" s="8"/>
      <c r="D4424" s="8"/>
      <c r="E4424" s="8"/>
      <c r="F4424" s="8"/>
      <c r="G4424" s="10" t="str">
        <f aca="false">IF($A4424="","",UPPER(SUBSTITUTE(SUBSTITUTE(SUBSTITUTE(SUBSTITUTE($A4424," ",""),"(주)",""),"주식회사",""),"㈜","")))</f>
        <v/>
      </c>
      <c r="H4424" s="10" t="str">
        <f aca="false">IF($B4424="","",SUBSTITUTE(SUBSTITUTE(SUBSTITUTE($B4424,"-","")," ",""),".",""))</f>
        <v/>
      </c>
      <c r="I4424" s="10" t="str">
        <f aca="false">IF($D4424="","",SUBSTITUTE(SUBSTITUTE(SUBSTITUTE($D4424,"-","")," ",""),".",""))</f>
        <v/>
      </c>
      <c r="J4424" s="10" t="str">
        <f aca="false">IF($E4424="","",UPPER(SUBSTITUTE($E4424," ","")))</f>
        <v/>
      </c>
      <c r="K4424" s="10" t="str">
        <f aca="false">IF($A4424="","",$G4424&amp;"|"&amp;$J4424)</f>
        <v/>
      </c>
      <c r="L4424" s="10" t="str">
        <f aca="false">IF($A4424="","",ROW()-2)</f>
        <v/>
      </c>
      <c r="M4424" s="10" t="str">
        <f aca="false">IF($A4424="","",ROW())</f>
        <v/>
      </c>
    </row>
    <row r="4425" customFormat="false" ht="15" hidden="false" customHeight="true" outlineLevel="0" collapsed="false">
      <c r="A4425" s="8"/>
      <c r="B4425" s="8"/>
      <c r="C4425" s="8"/>
      <c r="D4425" s="8"/>
      <c r="E4425" s="8"/>
      <c r="F4425" s="8"/>
      <c r="G4425" s="10" t="str">
        <f aca="false">IF($A4425="","",UPPER(SUBSTITUTE(SUBSTITUTE(SUBSTITUTE(SUBSTITUTE($A4425," ",""),"(주)",""),"주식회사",""),"㈜","")))</f>
        <v/>
      </c>
      <c r="H4425" s="10" t="str">
        <f aca="false">IF($B4425="","",SUBSTITUTE(SUBSTITUTE(SUBSTITUTE($B4425,"-","")," ",""),".",""))</f>
        <v/>
      </c>
      <c r="I4425" s="10" t="str">
        <f aca="false">IF($D4425="","",SUBSTITUTE(SUBSTITUTE(SUBSTITUTE($D4425,"-","")," ",""),".",""))</f>
        <v/>
      </c>
      <c r="J4425" s="10" t="str">
        <f aca="false">IF($E4425="","",UPPER(SUBSTITUTE($E4425," ","")))</f>
        <v/>
      </c>
      <c r="K4425" s="10" t="str">
        <f aca="false">IF($A4425="","",$G4425&amp;"|"&amp;$J4425)</f>
        <v/>
      </c>
      <c r="L4425" s="10" t="str">
        <f aca="false">IF($A4425="","",ROW()-2)</f>
        <v/>
      </c>
      <c r="M4425" s="10" t="str">
        <f aca="false">IF($A4425="","",ROW())</f>
        <v/>
      </c>
    </row>
    <row r="4426" customFormat="false" ht="15" hidden="false" customHeight="true" outlineLevel="0" collapsed="false">
      <c r="A4426" s="8"/>
      <c r="B4426" s="8"/>
      <c r="C4426" s="8"/>
      <c r="D4426" s="8"/>
      <c r="E4426" s="8"/>
      <c r="F4426" s="8"/>
      <c r="G4426" s="10" t="str">
        <f aca="false">IF($A4426="","",UPPER(SUBSTITUTE(SUBSTITUTE(SUBSTITUTE(SUBSTITUTE($A4426," ",""),"(주)",""),"주식회사",""),"㈜","")))</f>
        <v/>
      </c>
      <c r="H4426" s="10" t="str">
        <f aca="false">IF($B4426="","",SUBSTITUTE(SUBSTITUTE(SUBSTITUTE($B4426,"-","")," ",""),".",""))</f>
        <v/>
      </c>
      <c r="I4426" s="10" t="str">
        <f aca="false">IF($D4426="","",SUBSTITUTE(SUBSTITUTE(SUBSTITUTE($D4426,"-","")," ",""),".",""))</f>
        <v/>
      </c>
      <c r="J4426" s="10" t="str">
        <f aca="false">IF($E4426="","",UPPER(SUBSTITUTE($E4426," ","")))</f>
        <v/>
      </c>
      <c r="K4426" s="10" t="str">
        <f aca="false">IF($A4426="","",$G4426&amp;"|"&amp;$J4426)</f>
        <v/>
      </c>
      <c r="L4426" s="10" t="str">
        <f aca="false">IF($A4426="","",ROW()-2)</f>
        <v/>
      </c>
      <c r="M4426" s="10" t="str">
        <f aca="false">IF($A4426="","",ROW())</f>
        <v/>
      </c>
    </row>
    <row r="4427" customFormat="false" ht="15" hidden="false" customHeight="true" outlineLevel="0" collapsed="false">
      <c r="A4427" s="8"/>
      <c r="B4427" s="8"/>
      <c r="C4427" s="8"/>
      <c r="D4427" s="8"/>
      <c r="E4427" s="8"/>
      <c r="F4427" s="8"/>
      <c r="G4427" s="10" t="str">
        <f aca="false">IF($A4427="","",UPPER(SUBSTITUTE(SUBSTITUTE(SUBSTITUTE(SUBSTITUTE($A4427," ",""),"(주)",""),"주식회사",""),"㈜","")))</f>
        <v/>
      </c>
      <c r="H4427" s="10" t="str">
        <f aca="false">IF($B4427="","",SUBSTITUTE(SUBSTITUTE(SUBSTITUTE($B4427,"-","")," ",""),".",""))</f>
        <v/>
      </c>
      <c r="I4427" s="10" t="str">
        <f aca="false">IF($D4427="","",SUBSTITUTE(SUBSTITUTE(SUBSTITUTE($D4427,"-","")," ",""),".",""))</f>
        <v/>
      </c>
      <c r="J4427" s="10" t="str">
        <f aca="false">IF($E4427="","",UPPER(SUBSTITUTE($E4427," ","")))</f>
        <v/>
      </c>
      <c r="K4427" s="10" t="str">
        <f aca="false">IF($A4427="","",$G4427&amp;"|"&amp;$J4427)</f>
        <v/>
      </c>
      <c r="L4427" s="10" t="str">
        <f aca="false">IF($A4427="","",ROW()-2)</f>
        <v/>
      </c>
      <c r="M4427" s="10" t="str">
        <f aca="false">IF($A4427="","",ROW())</f>
        <v/>
      </c>
    </row>
    <row r="4428" customFormat="false" ht="15" hidden="false" customHeight="true" outlineLevel="0" collapsed="false">
      <c r="A4428" s="8"/>
      <c r="B4428" s="8"/>
      <c r="C4428" s="8"/>
      <c r="D4428" s="8"/>
      <c r="E4428" s="8"/>
      <c r="F4428" s="8"/>
      <c r="G4428" s="10" t="str">
        <f aca="false">IF($A4428="","",UPPER(SUBSTITUTE(SUBSTITUTE(SUBSTITUTE(SUBSTITUTE($A4428," ",""),"(주)",""),"주식회사",""),"㈜","")))</f>
        <v/>
      </c>
      <c r="H4428" s="10" t="str">
        <f aca="false">IF($B4428="","",SUBSTITUTE(SUBSTITUTE(SUBSTITUTE($B4428,"-","")," ",""),".",""))</f>
        <v/>
      </c>
      <c r="I4428" s="10" t="str">
        <f aca="false">IF($D4428="","",SUBSTITUTE(SUBSTITUTE(SUBSTITUTE($D4428,"-","")," ",""),".",""))</f>
        <v/>
      </c>
      <c r="J4428" s="10" t="str">
        <f aca="false">IF($E4428="","",UPPER(SUBSTITUTE($E4428," ","")))</f>
        <v/>
      </c>
      <c r="K4428" s="10" t="str">
        <f aca="false">IF($A4428="","",$G4428&amp;"|"&amp;$J4428)</f>
        <v/>
      </c>
      <c r="L4428" s="10" t="str">
        <f aca="false">IF($A4428="","",ROW()-2)</f>
        <v/>
      </c>
      <c r="M4428" s="10" t="str">
        <f aca="false">IF($A4428="","",ROW())</f>
        <v/>
      </c>
    </row>
    <row r="4429" customFormat="false" ht="15" hidden="false" customHeight="true" outlineLevel="0" collapsed="false">
      <c r="A4429" s="8"/>
      <c r="B4429" s="8"/>
      <c r="C4429" s="8"/>
      <c r="D4429" s="8"/>
      <c r="E4429" s="8"/>
      <c r="F4429" s="8"/>
      <c r="G4429" s="10" t="str">
        <f aca="false">IF($A4429="","",UPPER(SUBSTITUTE(SUBSTITUTE(SUBSTITUTE(SUBSTITUTE($A4429," ",""),"(주)",""),"주식회사",""),"㈜","")))</f>
        <v/>
      </c>
      <c r="H4429" s="10" t="str">
        <f aca="false">IF($B4429="","",SUBSTITUTE(SUBSTITUTE(SUBSTITUTE($B4429,"-","")," ",""),".",""))</f>
        <v/>
      </c>
      <c r="I4429" s="10" t="str">
        <f aca="false">IF($D4429="","",SUBSTITUTE(SUBSTITUTE(SUBSTITUTE($D4429,"-","")," ",""),".",""))</f>
        <v/>
      </c>
      <c r="J4429" s="10" t="str">
        <f aca="false">IF($E4429="","",UPPER(SUBSTITUTE($E4429," ","")))</f>
        <v/>
      </c>
      <c r="K4429" s="10" t="str">
        <f aca="false">IF($A4429="","",$G4429&amp;"|"&amp;$J4429)</f>
        <v/>
      </c>
      <c r="L4429" s="10" t="str">
        <f aca="false">IF($A4429="","",ROW()-2)</f>
        <v/>
      </c>
      <c r="M4429" s="10" t="str">
        <f aca="false">IF($A4429="","",ROW())</f>
        <v/>
      </c>
    </row>
    <row r="4430" customFormat="false" ht="15" hidden="false" customHeight="true" outlineLevel="0" collapsed="false">
      <c r="A4430" s="8"/>
      <c r="B4430" s="8"/>
      <c r="C4430" s="8"/>
      <c r="D4430" s="8"/>
      <c r="E4430" s="8"/>
      <c r="F4430" s="8"/>
      <c r="G4430" s="10" t="str">
        <f aca="false">IF($A4430="","",UPPER(SUBSTITUTE(SUBSTITUTE(SUBSTITUTE(SUBSTITUTE($A4430," ",""),"(주)",""),"주식회사",""),"㈜","")))</f>
        <v/>
      </c>
      <c r="H4430" s="10" t="str">
        <f aca="false">IF($B4430="","",SUBSTITUTE(SUBSTITUTE(SUBSTITUTE($B4430,"-","")," ",""),".",""))</f>
        <v/>
      </c>
      <c r="I4430" s="10" t="str">
        <f aca="false">IF($D4430="","",SUBSTITUTE(SUBSTITUTE(SUBSTITUTE($D4430,"-","")," ",""),".",""))</f>
        <v/>
      </c>
      <c r="J4430" s="10" t="str">
        <f aca="false">IF($E4430="","",UPPER(SUBSTITUTE($E4430," ","")))</f>
        <v/>
      </c>
      <c r="K4430" s="10" t="str">
        <f aca="false">IF($A4430="","",$G4430&amp;"|"&amp;$J4430)</f>
        <v/>
      </c>
      <c r="L4430" s="10" t="str">
        <f aca="false">IF($A4430="","",ROW()-2)</f>
        <v/>
      </c>
      <c r="M4430" s="10" t="str">
        <f aca="false">IF($A4430="","",ROW())</f>
        <v/>
      </c>
    </row>
    <row r="4431" customFormat="false" ht="15" hidden="false" customHeight="true" outlineLevel="0" collapsed="false">
      <c r="A4431" s="8"/>
      <c r="B4431" s="8"/>
      <c r="C4431" s="8"/>
      <c r="D4431" s="8"/>
      <c r="E4431" s="8"/>
      <c r="F4431" s="8"/>
      <c r="G4431" s="10" t="str">
        <f aca="false">IF($A4431="","",UPPER(SUBSTITUTE(SUBSTITUTE(SUBSTITUTE(SUBSTITUTE($A4431," ",""),"(주)",""),"주식회사",""),"㈜","")))</f>
        <v/>
      </c>
      <c r="H4431" s="10" t="str">
        <f aca="false">IF($B4431="","",SUBSTITUTE(SUBSTITUTE(SUBSTITUTE($B4431,"-","")," ",""),".",""))</f>
        <v/>
      </c>
      <c r="I4431" s="10" t="str">
        <f aca="false">IF($D4431="","",SUBSTITUTE(SUBSTITUTE(SUBSTITUTE($D4431,"-","")," ",""),".",""))</f>
        <v/>
      </c>
      <c r="J4431" s="10" t="str">
        <f aca="false">IF($E4431="","",UPPER(SUBSTITUTE($E4431," ","")))</f>
        <v/>
      </c>
      <c r="K4431" s="10" t="str">
        <f aca="false">IF($A4431="","",$G4431&amp;"|"&amp;$J4431)</f>
        <v/>
      </c>
      <c r="L4431" s="10" t="str">
        <f aca="false">IF($A4431="","",ROW()-2)</f>
        <v/>
      </c>
      <c r="M4431" s="10" t="str">
        <f aca="false">IF($A4431="","",ROW())</f>
        <v/>
      </c>
    </row>
    <row r="4432" customFormat="false" ht="15" hidden="false" customHeight="true" outlineLevel="0" collapsed="false">
      <c r="A4432" s="8"/>
      <c r="B4432" s="8"/>
      <c r="C4432" s="8"/>
      <c r="D4432" s="8"/>
      <c r="E4432" s="8"/>
      <c r="F4432" s="8"/>
      <c r="G4432" s="10" t="str">
        <f aca="false">IF($A4432="","",UPPER(SUBSTITUTE(SUBSTITUTE(SUBSTITUTE(SUBSTITUTE($A4432," ",""),"(주)",""),"주식회사",""),"㈜","")))</f>
        <v/>
      </c>
      <c r="H4432" s="10" t="str">
        <f aca="false">IF($B4432="","",SUBSTITUTE(SUBSTITUTE(SUBSTITUTE($B4432,"-","")," ",""),".",""))</f>
        <v/>
      </c>
      <c r="I4432" s="10" t="str">
        <f aca="false">IF($D4432="","",SUBSTITUTE(SUBSTITUTE(SUBSTITUTE($D4432,"-","")," ",""),".",""))</f>
        <v/>
      </c>
      <c r="J4432" s="10" t="str">
        <f aca="false">IF($E4432="","",UPPER(SUBSTITUTE($E4432," ","")))</f>
        <v/>
      </c>
      <c r="K4432" s="10" t="str">
        <f aca="false">IF($A4432="","",$G4432&amp;"|"&amp;$J4432)</f>
        <v/>
      </c>
      <c r="L4432" s="10" t="str">
        <f aca="false">IF($A4432="","",ROW()-2)</f>
        <v/>
      </c>
      <c r="M4432" s="10" t="str">
        <f aca="false">IF($A4432="","",ROW())</f>
        <v/>
      </c>
    </row>
    <row r="4433" customFormat="false" ht="15" hidden="false" customHeight="true" outlineLevel="0" collapsed="false">
      <c r="A4433" s="8"/>
      <c r="B4433" s="8"/>
      <c r="C4433" s="8"/>
      <c r="D4433" s="8"/>
      <c r="E4433" s="8"/>
      <c r="F4433" s="8"/>
      <c r="G4433" s="10" t="str">
        <f aca="false">IF($A4433="","",UPPER(SUBSTITUTE(SUBSTITUTE(SUBSTITUTE(SUBSTITUTE($A4433," ",""),"(주)",""),"주식회사",""),"㈜","")))</f>
        <v/>
      </c>
      <c r="H4433" s="10" t="str">
        <f aca="false">IF($B4433="","",SUBSTITUTE(SUBSTITUTE(SUBSTITUTE($B4433,"-","")," ",""),".",""))</f>
        <v/>
      </c>
      <c r="I4433" s="10" t="str">
        <f aca="false">IF($D4433="","",SUBSTITUTE(SUBSTITUTE(SUBSTITUTE($D4433,"-","")," ",""),".",""))</f>
        <v/>
      </c>
      <c r="J4433" s="10" t="str">
        <f aca="false">IF($E4433="","",UPPER(SUBSTITUTE($E4433," ","")))</f>
        <v/>
      </c>
      <c r="K4433" s="10" t="str">
        <f aca="false">IF($A4433="","",$G4433&amp;"|"&amp;$J4433)</f>
        <v/>
      </c>
      <c r="L4433" s="10" t="str">
        <f aca="false">IF($A4433="","",ROW()-2)</f>
        <v/>
      </c>
      <c r="M4433" s="10" t="str">
        <f aca="false">IF($A4433="","",ROW())</f>
        <v/>
      </c>
    </row>
    <row r="4434" customFormat="false" ht="15" hidden="false" customHeight="true" outlineLevel="0" collapsed="false">
      <c r="A4434" s="8"/>
      <c r="B4434" s="8"/>
      <c r="C4434" s="8"/>
      <c r="D4434" s="8"/>
      <c r="E4434" s="8"/>
      <c r="F4434" s="8"/>
      <c r="G4434" s="10" t="str">
        <f aca="false">IF($A4434="","",UPPER(SUBSTITUTE(SUBSTITUTE(SUBSTITUTE(SUBSTITUTE($A4434," ",""),"(주)",""),"주식회사",""),"㈜","")))</f>
        <v/>
      </c>
      <c r="H4434" s="10" t="str">
        <f aca="false">IF($B4434="","",SUBSTITUTE(SUBSTITUTE(SUBSTITUTE($B4434,"-","")," ",""),".",""))</f>
        <v/>
      </c>
      <c r="I4434" s="10" t="str">
        <f aca="false">IF($D4434="","",SUBSTITUTE(SUBSTITUTE(SUBSTITUTE($D4434,"-","")," ",""),".",""))</f>
        <v/>
      </c>
      <c r="J4434" s="10" t="str">
        <f aca="false">IF($E4434="","",UPPER(SUBSTITUTE($E4434," ","")))</f>
        <v/>
      </c>
      <c r="K4434" s="10" t="str">
        <f aca="false">IF($A4434="","",$G4434&amp;"|"&amp;$J4434)</f>
        <v/>
      </c>
      <c r="L4434" s="10" t="str">
        <f aca="false">IF($A4434="","",ROW()-2)</f>
        <v/>
      </c>
      <c r="M4434" s="10" t="str">
        <f aca="false">IF($A4434="","",ROW())</f>
        <v/>
      </c>
    </row>
    <row r="4435" customFormat="false" ht="15" hidden="false" customHeight="true" outlineLevel="0" collapsed="false">
      <c r="A4435" s="8"/>
      <c r="B4435" s="8"/>
      <c r="C4435" s="8"/>
      <c r="D4435" s="8"/>
      <c r="E4435" s="8"/>
      <c r="F4435" s="8"/>
      <c r="G4435" s="10" t="str">
        <f aca="false">IF($A4435="","",UPPER(SUBSTITUTE(SUBSTITUTE(SUBSTITUTE(SUBSTITUTE($A4435," ",""),"(주)",""),"주식회사",""),"㈜","")))</f>
        <v/>
      </c>
      <c r="H4435" s="10" t="str">
        <f aca="false">IF($B4435="","",SUBSTITUTE(SUBSTITUTE(SUBSTITUTE($B4435,"-","")," ",""),".",""))</f>
        <v/>
      </c>
      <c r="I4435" s="10" t="str">
        <f aca="false">IF($D4435="","",SUBSTITUTE(SUBSTITUTE(SUBSTITUTE($D4435,"-","")," ",""),".",""))</f>
        <v/>
      </c>
      <c r="J4435" s="10" t="str">
        <f aca="false">IF($E4435="","",UPPER(SUBSTITUTE($E4435," ","")))</f>
        <v/>
      </c>
      <c r="K4435" s="10" t="str">
        <f aca="false">IF($A4435="","",$G4435&amp;"|"&amp;$J4435)</f>
        <v/>
      </c>
      <c r="L4435" s="10" t="str">
        <f aca="false">IF($A4435="","",ROW()-2)</f>
        <v/>
      </c>
      <c r="M4435" s="10" t="str">
        <f aca="false">IF($A4435="","",ROW())</f>
        <v/>
      </c>
    </row>
    <row r="4436" customFormat="false" ht="15" hidden="false" customHeight="true" outlineLevel="0" collapsed="false">
      <c r="A4436" s="8"/>
      <c r="B4436" s="8"/>
      <c r="C4436" s="8"/>
      <c r="D4436" s="8"/>
      <c r="E4436" s="8"/>
      <c r="F4436" s="8"/>
      <c r="G4436" s="10" t="str">
        <f aca="false">IF($A4436="","",UPPER(SUBSTITUTE(SUBSTITUTE(SUBSTITUTE(SUBSTITUTE($A4436," ",""),"(주)",""),"주식회사",""),"㈜","")))</f>
        <v/>
      </c>
      <c r="H4436" s="10" t="str">
        <f aca="false">IF($B4436="","",SUBSTITUTE(SUBSTITUTE(SUBSTITUTE($B4436,"-","")," ",""),".",""))</f>
        <v/>
      </c>
      <c r="I4436" s="10" t="str">
        <f aca="false">IF($D4436="","",SUBSTITUTE(SUBSTITUTE(SUBSTITUTE($D4436,"-","")," ",""),".",""))</f>
        <v/>
      </c>
      <c r="J4436" s="10" t="str">
        <f aca="false">IF($E4436="","",UPPER(SUBSTITUTE($E4436," ","")))</f>
        <v/>
      </c>
      <c r="K4436" s="10" t="str">
        <f aca="false">IF($A4436="","",$G4436&amp;"|"&amp;$J4436)</f>
        <v/>
      </c>
      <c r="L4436" s="10" t="str">
        <f aca="false">IF($A4436="","",ROW()-2)</f>
        <v/>
      </c>
      <c r="M4436" s="10" t="str">
        <f aca="false">IF($A4436="","",ROW())</f>
        <v/>
      </c>
    </row>
    <row r="4437" customFormat="false" ht="15" hidden="false" customHeight="true" outlineLevel="0" collapsed="false">
      <c r="A4437" s="8"/>
      <c r="B4437" s="8"/>
      <c r="C4437" s="8"/>
      <c r="D4437" s="8"/>
      <c r="E4437" s="8"/>
      <c r="F4437" s="8"/>
      <c r="G4437" s="10" t="str">
        <f aca="false">IF($A4437="","",UPPER(SUBSTITUTE(SUBSTITUTE(SUBSTITUTE(SUBSTITUTE($A4437," ",""),"(주)",""),"주식회사",""),"㈜","")))</f>
        <v/>
      </c>
      <c r="H4437" s="10" t="str">
        <f aca="false">IF($B4437="","",SUBSTITUTE(SUBSTITUTE(SUBSTITUTE($B4437,"-","")," ",""),".",""))</f>
        <v/>
      </c>
      <c r="I4437" s="10" t="str">
        <f aca="false">IF($D4437="","",SUBSTITUTE(SUBSTITUTE(SUBSTITUTE($D4437,"-","")," ",""),".",""))</f>
        <v/>
      </c>
      <c r="J4437" s="10" t="str">
        <f aca="false">IF($E4437="","",UPPER(SUBSTITUTE($E4437," ","")))</f>
        <v/>
      </c>
      <c r="K4437" s="10" t="str">
        <f aca="false">IF($A4437="","",$G4437&amp;"|"&amp;$J4437)</f>
        <v/>
      </c>
      <c r="L4437" s="10" t="str">
        <f aca="false">IF($A4437="","",ROW()-2)</f>
        <v/>
      </c>
      <c r="M4437" s="10" t="str">
        <f aca="false">IF($A4437="","",ROW())</f>
        <v/>
      </c>
    </row>
    <row r="4438" customFormat="false" ht="15" hidden="false" customHeight="true" outlineLevel="0" collapsed="false">
      <c r="A4438" s="8"/>
      <c r="B4438" s="8"/>
      <c r="C4438" s="8"/>
      <c r="D4438" s="8"/>
      <c r="E4438" s="8"/>
      <c r="F4438" s="8"/>
      <c r="G4438" s="10" t="str">
        <f aca="false">IF($A4438="","",UPPER(SUBSTITUTE(SUBSTITUTE(SUBSTITUTE(SUBSTITUTE($A4438," ",""),"(주)",""),"주식회사",""),"㈜","")))</f>
        <v/>
      </c>
      <c r="H4438" s="10" t="str">
        <f aca="false">IF($B4438="","",SUBSTITUTE(SUBSTITUTE(SUBSTITUTE($B4438,"-","")," ",""),".",""))</f>
        <v/>
      </c>
      <c r="I4438" s="10" t="str">
        <f aca="false">IF($D4438="","",SUBSTITUTE(SUBSTITUTE(SUBSTITUTE($D4438,"-","")," ",""),".",""))</f>
        <v/>
      </c>
      <c r="J4438" s="10" t="str">
        <f aca="false">IF($E4438="","",UPPER(SUBSTITUTE($E4438," ","")))</f>
        <v/>
      </c>
      <c r="K4438" s="10" t="str">
        <f aca="false">IF($A4438="","",$G4438&amp;"|"&amp;$J4438)</f>
        <v/>
      </c>
      <c r="L4438" s="10" t="str">
        <f aca="false">IF($A4438="","",ROW()-2)</f>
        <v/>
      </c>
      <c r="M4438" s="10" t="str">
        <f aca="false">IF($A4438="","",ROW())</f>
        <v/>
      </c>
    </row>
    <row r="4439" customFormat="false" ht="15" hidden="false" customHeight="true" outlineLevel="0" collapsed="false">
      <c r="A4439" s="8"/>
      <c r="B4439" s="8"/>
      <c r="C4439" s="8"/>
      <c r="D4439" s="8"/>
      <c r="E4439" s="8"/>
      <c r="F4439" s="8"/>
      <c r="G4439" s="10" t="str">
        <f aca="false">IF($A4439="","",UPPER(SUBSTITUTE(SUBSTITUTE(SUBSTITUTE(SUBSTITUTE($A4439," ",""),"(주)",""),"주식회사",""),"㈜","")))</f>
        <v/>
      </c>
      <c r="H4439" s="10" t="str">
        <f aca="false">IF($B4439="","",SUBSTITUTE(SUBSTITUTE(SUBSTITUTE($B4439,"-","")," ",""),".",""))</f>
        <v/>
      </c>
      <c r="I4439" s="10" t="str">
        <f aca="false">IF($D4439="","",SUBSTITUTE(SUBSTITUTE(SUBSTITUTE($D4439,"-","")," ",""),".",""))</f>
        <v/>
      </c>
      <c r="J4439" s="10" t="str">
        <f aca="false">IF($E4439="","",UPPER(SUBSTITUTE($E4439," ","")))</f>
        <v/>
      </c>
      <c r="K4439" s="10" t="str">
        <f aca="false">IF($A4439="","",$G4439&amp;"|"&amp;$J4439)</f>
        <v/>
      </c>
      <c r="L4439" s="10" t="str">
        <f aca="false">IF($A4439="","",ROW()-2)</f>
        <v/>
      </c>
      <c r="M4439" s="10" t="str">
        <f aca="false">IF($A4439="","",ROW())</f>
        <v/>
      </c>
    </row>
    <row r="4440" customFormat="false" ht="15" hidden="false" customHeight="true" outlineLevel="0" collapsed="false">
      <c r="A4440" s="8"/>
      <c r="B4440" s="8"/>
      <c r="C4440" s="8"/>
      <c r="D4440" s="8"/>
      <c r="E4440" s="8"/>
      <c r="F4440" s="8"/>
      <c r="G4440" s="10" t="str">
        <f aca="false">IF($A4440="","",UPPER(SUBSTITUTE(SUBSTITUTE(SUBSTITUTE(SUBSTITUTE($A4440," ",""),"(주)",""),"주식회사",""),"㈜","")))</f>
        <v/>
      </c>
      <c r="H4440" s="10" t="str">
        <f aca="false">IF($B4440="","",SUBSTITUTE(SUBSTITUTE(SUBSTITUTE($B4440,"-","")," ",""),".",""))</f>
        <v/>
      </c>
      <c r="I4440" s="10" t="str">
        <f aca="false">IF($D4440="","",SUBSTITUTE(SUBSTITUTE(SUBSTITUTE($D4440,"-","")," ",""),".",""))</f>
        <v/>
      </c>
      <c r="J4440" s="10" t="str">
        <f aca="false">IF($E4440="","",UPPER(SUBSTITUTE($E4440," ","")))</f>
        <v/>
      </c>
      <c r="K4440" s="10" t="str">
        <f aca="false">IF($A4440="","",$G4440&amp;"|"&amp;$J4440)</f>
        <v/>
      </c>
      <c r="L4440" s="10" t="str">
        <f aca="false">IF($A4440="","",ROW()-2)</f>
        <v/>
      </c>
      <c r="M4440" s="10" t="str">
        <f aca="false">IF($A4440="","",ROW())</f>
        <v/>
      </c>
    </row>
    <row r="4441" customFormat="false" ht="15" hidden="false" customHeight="true" outlineLevel="0" collapsed="false">
      <c r="A4441" s="8"/>
      <c r="B4441" s="8"/>
      <c r="C4441" s="8"/>
      <c r="D4441" s="8"/>
      <c r="E4441" s="8"/>
      <c r="F4441" s="8"/>
      <c r="G4441" s="10" t="str">
        <f aca="false">IF($A4441="","",UPPER(SUBSTITUTE(SUBSTITUTE(SUBSTITUTE(SUBSTITUTE($A4441," ",""),"(주)",""),"주식회사",""),"㈜","")))</f>
        <v/>
      </c>
      <c r="H4441" s="10" t="str">
        <f aca="false">IF($B4441="","",SUBSTITUTE(SUBSTITUTE(SUBSTITUTE($B4441,"-","")," ",""),".",""))</f>
        <v/>
      </c>
      <c r="I4441" s="10" t="str">
        <f aca="false">IF($D4441="","",SUBSTITUTE(SUBSTITUTE(SUBSTITUTE($D4441,"-","")," ",""),".",""))</f>
        <v/>
      </c>
      <c r="J4441" s="10" t="str">
        <f aca="false">IF($E4441="","",UPPER(SUBSTITUTE($E4441," ","")))</f>
        <v/>
      </c>
      <c r="K4441" s="10" t="str">
        <f aca="false">IF($A4441="","",$G4441&amp;"|"&amp;$J4441)</f>
        <v/>
      </c>
      <c r="L4441" s="10" t="str">
        <f aca="false">IF($A4441="","",ROW()-2)</f>
        <v/>
      </c>
      <c r="M4441" s="10" t="str">
        <f aca="false">IF($A4441="","",ROW())</f>
        <v/>
      </c>
    </row>
    <row r="4442" customFormat="false" ht="15" hidden="false" customHeight="true" outlineLevel="0" collapsed="false">
      <c r="A4442" s="8"/>
      <c r="B4442" s="8"/>
      <c r="C4442" s="8"/>
      <c r="D4442" s="8"/>
      <c r="E4442" s="8"/>
      <c r="F4442" s="8"/>
      <c r="G4442" s="10" t="str">
        <f aca="false">IF($A4442="","",UPPER(SUBSTITUTE(SUBSTITUTE(SUBSTITUTE(SUBSTITUTE($A4442," ",""),"(주)",""),"주식회사",""),"㈜","")))</f>
        <v/>
      </c>
      <c r="H4442" s="10" t="str">
        <f aca="false">IF($B4442="","",SUBSTITUTE(SUBSTITUTE(SUBSTITUTE($B4442,"-","")," ",""),".",""))</f>
        <v/>
      </c>
      <c r="I4442" s="10" t="str">
        <f aca="false">IF($D4442="","",SUBSTITUTE(SUBSTITUTE(SUBSTITUTE($D4442,"-","")," ",""),".",""))</f>
        <v/>
      </c>
      <c r="J4442" s="10" t="str">
        <f aca="false">IF($E4442="","",UPPER(SUBSTITUTE($E4442," ","")))</f>
        <v/>
      </c>
      <c r="K4442" s="10" t="str">
        <f aca="false">IF($A4442="","",$G4442&amp;"|"&amp;$J4442)</f>
        <v/>
      </c>
      <c r="L4442" s="10" t="str">
        <f aca="false">IF($A4442="","",ROW()-2)</f>
        <v/>
      </c>
      <c r="M4442" s="10" t="str">
        <f aca="false">IF($A4442="","",ROW())</f>
        <v/>
      </c>
    </row>
    <row r="4443" customFormat="false" ht="15" hidden="false" customHeight="true" outlineLevel="0" collapsed="false">
      <c r="A4443" s="8"/>
      <c r="B4443" s="8"/>
      <c r="C4443" s="8"/>
      <c r="D4443" s="8"/>
      <c r="E4443" s="8"/>
      <c r="F4443" s="8"/>
      <c r="G4443" s="10" t="str">
        <f aca="false">IF($A4443="","",UPPER(SUBSTITUTE(SUBSTITUTE(SUBSTITUTE(SUBSTITUTE($A4443," ",""),"(주)",""),"주식회사",""),"㈜","")))</f>
        <v/>
      </c>
      <c r="H4443" s="10" t="str">
        <f aca="false">IF($B4443="","",SUBSTITUTE(SUBSTITUTE(SUBSTITUTE($B4443,"-","")," ",""),".",""))</f>
        <v/>
      </c>
      <c r="I4443" s="10" t="str">
        <f aca="false">IF($D4443="","",SUBSTITUTE(SUBSTITUTE(SUBSTITUTE($D4443,"-","")," ",""),".",""))</f>
        <v/>
      </c>
      <c r="J4443" s="10" t="str">
        <f aca="false">IF($E4443="","",UPPER(SUBSTITUTE($E4443," ","")))</f>
        <v/>
      </c>
      <c r="K4443" s="10" t="str">
        <f aca="false">IF($A4443="","",$G4443&amp;"|"&amp;$J4443)</f>
        <v/>
      </c>
      <c r="L4443" s="10" t="str">
        <f aca="false">IF($A4443="","",ROW()-2)</f>
        <v/>
      </c>
      <c r="M4443" s="10" t="str">
        <f aca="false">IF($A4443="","",ROW())</f>
        <v/>
      </c>
    </row>
    <row r="4444" customFormat="false" ht="15" hidden="false" customHeight="true" outlineLevel="0" collapsed="false">
      <c r="A4444" s="8"/>
      <c r="B4444" s="8"/>
      <c r="C4444" s="8"/>
      <c r="D4444" s="8"/>
      <c r="E4444" s="8"/>
      <c r="F4444" s="8"/>
      <c r="G4444" s="10" t="str">
        <f aca="false">IF($A4444="","",UPPER(SUBSTITUTE(SUBSTITUTE(SUBSTITUTE(SUBSTITUTE($A4444," ",""),"(주)",""),"주식회사",""),"㈜","")))</f>
        <v/>
      </c>
      <c r="H4444" s="10" t="str">
        <f aca="false">IF($B4444="","",SUBSTITUTE(SUBSTITUTE(SUBSTITUTE($B4444,"-","")," ",""),".",""))</f>
        <v/>
      </c>
      <c r="I4444" s="10" t="str">
        <f aca="false">IF($D4444="","",SUBSTITUTE(SUBSTITUTE(SUBSTITUTE($D4444,"-","")," ",""),".",""))</f>
        <v/>
      </c>
      <c r="J4444" s="10" t="str">
        <f aca="false">IF($E4444="","",UPPER(SUBSTITUTE($E4444," ","")))</f>
        <v/>
      </c>
      <c r="K4444" s="10" t="str">
        <f aca="false">IF($A4444="","",$G4444&amp;"|"&amp;$J4444)</f>
        <v/>
      </c>
      <c r="L4444" s="10" t="str">
        <f aca="false">IF($A4444="","",ROW()-2)</f>
        <v/>
      </c>
      <c r="M4444" s="10" t="str">
        <f aca="false">IF($A4444="","",ROW())</f>
        <v/>
      </c>
    </row>
    <row r="4445" customFormat="false" ht="15" hidden="false" customHeight="true" outlineLevel="0" collapsed="false">
      <c r="A4445" s="8"/>
      <c r="B4445" s="8"/>
      <c r="C4445" s="8"/>
      <c r="D4445" s="8"/>
      <c r="E4445" s="8"/>
      <c r="F4445" s="8"/>
      <c r="G4445" s="10" t="str">
        <f aca="false">IF($A4445="","",UPPER(SUBSTITUTE(SUBSTITUTE(SUBSTITUTE(SUBSTITUTE($A4445," ",""),"(주)",""),"주식회사",""),"㈜","")))</f>
        <v/>
      </c>
      <c r="H4445" s="10" t="str">
        <f aca="false">IF($B4445="","",SUBSTITUTE(SUBSTITUTE(SUBSTITUTE($B4445,"-","")," ",""),".",""))</f>
        <v/>
      </c>
      <c r="I4445" s="10" t="str">
        <f aca="false">IF($D4445="","",SUBSTITUTE(SUBSTITUTE(SUBSTITUTE($D4445,"-","")," ",""),".",""))</f>
        <v/>
      </c>
      <c r="J4445" s="10" t="str">
        <f aca="false">IF($E4445="","",UPPER(SUBSTITUTE($E4445," ","")))</f>
        <v/>
      </c>
      <c r="K4445" s="10" t="str">
        <f aca="false">IF($A4445="","",$G4445&amp;"|"&amp;$J4445)</f>
        <v/>
      </c>
      <c r="L4445" s="10" t="str">
        <f aca="false">IF($A4445="","",ROW()-2)</f>
        <v/>
      </c>
      <c r="M4445" s="10" t="str">
        <f aca="false">IF($A4445="","",ROW())</f>
        <v/>
      </c>
    </row>
    <row r="4446" customFormat="false" ht="15" hidden="false" customHeight="true" outlineLevel="0" collapsed="false">
      <c r="A4446" s="8"/>
      <c r="B4446" s="8"/>
      <c r="C4446" s="8"/>
      <c r="D4446" s="8"/>
      <c r="E4446" s="8"/>
      <c r="F4446" s="8"/>
      <c r="G4446" s="10" t="str">
        <f aca="false">IF($A4446="","",UPPER(SUBSTITUTE(SUBSTITUTE(SUBSTITUTE(SUBSTITUTE($A4446," ",""),"(주)",""),"주식회사",""),"㈜","")))</f>
        <v/>
      </c>
      <c r="H4446" s="10" t="str">
        <f aca="false">IF($B4446="","",SUBSTITUTE(SUBSTITUTE(SUBSTITUTE($B4446,"-","")," ",""),".",""))</f>
        <v/>
      </c>
      <c r="I4446" s="10" t="str">
        <f aca="false">IF($D4446="","",SUBSTITUTE(SUBSTITUTE(SUBSTITUTE($D4446,"-","")," ",""),".",""))</f>
        <v/>
      </c>
      <c r="J4446" s="10" t="str">
        <f aca="false">IF($E4446="","",UPPER(SUBSTITUTE($E4446," ","")))</f>
        <v/>
      </c>
      <c r="K4446" s="10" t="str">
        <f aca="false">IF($A4446="","",$G4446&amp;"|"&amp;$J4446)</f>
        <v/>
      </c>
      <c r="L4446" s="10" t="str">
        <f aca="false">IF($A4446="","",ROW()-2)</f>
        <v/>
      </c>
      <c r="M4446" s="10" t="str">
        <f aca="false">IF($A4446="","",ROW())</f>
        <v/>
      </c>
    </row>
    <row r="4447" customFormat="false" ht="15" hidden="false" customHeight="true" outlineLevel="0" collapsed="false">
      <c r="A4447" s="8"/>
      <c r="B4447" s="8"/>
      <c r="C4447" s="8"/>
      <c r="D4447" s="8"/>
      <c r="E4447" s="8"/>
      <c r="F4447" s="8"/>
      <c r="G4447" s="10" t="str">
        <f aca="false">IF($A4447="","",UPPER(SUBSTITUTE(SUBSTITUTE(SUBSTITUTE(SUBSTITUTE($A4447," ",""),"(주)",""),"주식회사",""),"㈜","")))</f>
        <v/>
      </c>
      <c r="H4447" s="10" t="str">
        <f aca="false">IF($B4447="","",SUBSTITUTE(SUBSTITUTE(SUBSTITUTE($B4447,"-","")," ",""),".",""))</f>
        <v/>
      </c>
      <c r="I4447" s="10" t="str">
        <f aca="false">IF($D4447="","",SUBSTITUTE(SUBSTITUTE(SUBSTITUTE($D4447,"-","")," ",""),".",""))</f>
        <v/>
      </c>
      <c r="J4447" s="10" t="str">
        <f aca="false">IF($E4447="","",UPPER(SUBSTITUTE($E4447," ","")))</f>
        <v/>
      </c>
      <c r="K4447" s="10" t="str">
        <f aca="false">IF($A4447="","",$G4447&amp;"|"&amp;$J4447)</f>
        <v/>
      </c>
      <c r="L4447" s="10" t="str">
        <f aca="false">IF($A4447="","",ROW()-2)</f>
        <v/>
      </c>
      <c r="M4447" s="10" t="str">
        <f aca="false">IF($A4447="","",ROW())</f>
        <v/>
      </c>
    </row>
    <row r="4448" customFormat="false" ht="15" hidden="false" customHeight="true" outlineLevel="0" collapsed="false">
      <c r="A4448" s="8"/>
      <c r="B4448" s="8"/>
      <c r="C4448" s="8"/>
      <c r="D4448" s="8"/>
      <c r="E4448" s="8"/>
      <c r="F4448" s="8"/>
      <c r="G4448" s="10" t="str">
        <f aca="false">IF($A4448="","",UPPER(SUBSTITUTE(SUBSTITUTE(SUBSTITUTE(SUBSTITUTE($A4448," ",""),"(주)",""),"주식회사",""),"㈜","")))</f>
        <v/>
      </c>
      <c r="H4448" s="10" t="str">
        <f aca="false">IF($B4448="","",SUBSTITUTE(SUBSTITUTE(SUBSTITUTE($B4448,"-","")," ",""),".",""))</f>
        <v/>
      </c>
      <c r="I4448" s="10" t="str">
        <f aca="false">IF($D4448="","",SUBSTITUTE(SUBSTITUTE(SUBSTITUTE($D4448,"-","")," ",""),".",""))</f>
        <v/>
      </c>
      <c r="J4448" s="10" t="str">
        <f aca="false">IF($E4448="","",UPPER(SUBSTITUTE($E4448," ","")))</f>
        <v/>
      </c>
      <c r="K4448" s="10" t="str">
        <f aca="false">IF($A4448="","",$G4448&amp;"|"&amp;$J4448)</f>
        <v/>
      </c>
      <c r="L4448" s="10" t="str">
        <f aca="false">IF($A4448="","",ROW()-2)</f>
        <v/>
      </c>
      <c r="M4448" s="10" t="str">
        <f aca="false">IF($A4448="","",ROW())</f>
        <v/>
      </c>
    </row>
    <row r="4449" customFormat="false" ht="15" hidden="false" customHeight="true" outlineLevel="0" collapsed="false">
      <c r="A4449" s="8"/>
      <c r="B4449" s="8"/>
      <c r="C4449" s="8"/>
      <c r="D4449" s="8"/>
      <c r="E4449" s="8"/>
      <c r="F4449" s="8"/>
      <c r="G4449" s="10" t="str">
        <f aca="false">IF($A4449="","",UPPER(SUBSTITUTE(SUBSTITUTE(SUBSTITUTE(SUBSTITUTE($A4449," ",""),"(주)",""),"주식회사",""),"㈜","")))</f>
        <v/>
      </c>
      <c r="H4449" s="10" t="str">
        <f aca="false">IF($B4449="","",SUBSTITUTE(SUBSTITUTE(SUBSTITUTE($B4449,"-","")," ",""),".",""))</f>
        <v/>
      </c>
      <c r="I4449" s="10" t="str">
        <f aca="false">IF($D4449="","",SUBSTITUTE(SUBSTITUTE(SUBSTITUTE($D4449,"-","")," ",""),".",""))</f>
        <v/>
      </c>
      <c r="J4449" s="10" t="str">
        <f aca="false">IF($E4449="","",UPPER(SUBSTITUTE($E4449," ","")))</f>
        <v/>
      </c>
      <c r="K4449" s="10" t="str">
        <f aca="false">IF($A4449="","",$G4449&amp;"|"&amp;$J4449)</f>
        <v/>
      </c>
      <c r="L4449" s="10" t="str">
        <f aca="false">IF($A4449="","",ROW()-2)</f>
        <v/>
      </c>
      <c r="M4449" s="10" t="str">
        <f aca="false">IF($A4449="","",ROW())</f>
        <v/>
      </c>
    </row>
    <row r="4450" customFormat="false" ht="15" hidden="false" customHeight="true" outlineLevel="0" collapsed="false">
      <c r="A4450" s="8"/>
      <c r="B4450" s="8"/>
      <c r="C4450" s="8"/>
      <c r="D4450" s="8"/>
      <c r="E4450" s="8"/>
      <c r="F4450" s="8"/>
      <c r="G4450" s="10" t="str">
        <f aca="false">IF($A4450="","",UPPER(SUBSTITUTE(SUBSTITUTE(SUBSTITUTE(SUBSTITUTE($A4450," ",""),"(주)",""),"주식회사",""),"㈜","")))</f>
        <v/>
      </c>
      <c r="H4450" s="10" t="str">
        <f aca="false">IF($B4450="","",SUBSTITUTE(SUBSTITUTE(SUBSTITUTE($B4450,"-","")," ",""),".",""))</f>
        <v/>
      </c>
      <c r="I4450" s="10" t="str">
        <f aca="false">IF($D4450="","",SUBSTITUTE(SUBSTITUTE(SUBSTITUTE($D4450,"-","")," ",""),".",""))</f>
        <v/>
      </c>
      <c r="J4450" s="10" t="str">
        <f aca="false">IF($E4450="","",UPPER(SUBSTITUTE($E4450," ","")))</f>
        <v/>
      </c>
      <c r="K4450" s="10" t="str">
        <f aca="false">IF($A4450="","",$G4450&amp;"|"&amp;$J4450)</f>
        <v/>
      </c>
      <c r="L4450" s="10" t="str">
        <f aca="false">IF($A4450="","",ROW()-2)</f>
        <v/>
      </c>
      <c r="M4450" s="10" t="str">
        <f aca="false">IF($A4450="","",ROW())</f>
        <v/>
      </c>
    </row>
    <row r="4451" customFormat="false" ht="15" hidden="false" customHeight="true" outlineLevel="0" collapsed="false">
      <c r="A4451" s="8"/>
      <c r="B4451" s="8"/>
      <c r="C4451" s="8"/>
      <c r="D4451" s="8"/>
      <c r="E4451" s="8"/>
      <c r="F4451" s="8"/>
      <c r="G4451" s="10" t="str">
        <f aca="false">IF($A4451="","",UPPER(SUBSTITUTE(SUBSTITUTE(SUBSTITUTE(SUBSTITUTE($A4451," ",""),"(주)",""),"주식회사",""),"㈜","")))</f>
        <v/>
      </c>
      <c r="H4451" s="10" t="str">
        <f aca="false">IF($B4451="","",SUBSTITUTE(SUBSTITUTE(SUBSTITUTE($B4451,"-","")," ",""),".",""))</f>
        <v/>
      </c>
      <c r="I4451" s="10" t="str">
        <f aca="false">IF($D4451="","",SUBSTITUTE(SUBSTITUTE(SUBSTITUTE($D4451,"-","")," ",""),".",""))</f>
        <v/>
      </c>
      <c r="J4451" s="10" t="str">
        <f aca="false">IF($E4451="","",UPPER(SUBSTITUTE($E4451," ","")))</f>
        <v/>
      </c>
      <c r="K4451" s="10" t="str">
        <f aca="false">IF($A4451="","",$G4451&amp;"|"&amp;$J4451)</f>
        <v/>
      </c>
      <c r="L4451" s="10" t="str">
        <f aca="false">IF($A4451="","",ROW()-2)</f>
        <v/>
      </c>
      <c r="M4451" s="10" t="str">
        <f aca="false">IF($A4451="","",ROW())</f>
        <v/>
      </c>
    </row>
    <row r="4452" customFormat="false" ht="15" hidden="false" customHeight="true" outlineLevel="0" collapsed="false">
      <c r="A4452" s="8"/>
      <c r="B4452" s="8"/>
      <c r="C4452" s="8"/>
      <c r="D4452" s="8"/>
      <c r="E4452" s="8"/>
      <c r="F4452" s="8"/>
      <c r="G4452" s="10" t="str">
        <f aca="false">IF($A4452="","",UPPER(SUBSTITUTE(SUBSTITUTE(SUBSTITUTE(SUBSTITUTE($A4452," ",""),"(주)",""),"주식회사",""),"㈜","")))</f>
        <v/>
      </c>
      <c r="H4452" s="10" t="str">
        <f aca="false">IF($B4452="","",SUBSTITUTE(SUBSTITUTE(SUBSTITUTE($B4452,"-","")," ",""),".",""))</f>
        <v/>
      </c>
      <c r="I4452" s="10" t="str">
        <f aca="false">IF($D4452="","",SUBSTITUTE(SUBSTITUTE(SUBSTITUTE($D4452,"-","")," ",""),".",""))</f>
        <v/>
      </c>
      <c r="J4452" s="10" t="str">
        <f aca="false">IF($E4452="","",UPPER(SUBSTITUTE($E4452," ","")))</f>
        <v/>
      </c>
      <c r="K4452" s="10" t="str">
        <f aca="false">IF($A4452="","",$G4452&amp;"|"&amp;$J4452)</f>
        <v/>
      </c>
      <c r="L4452" s="10" t="str">
        <f aca="false">IF($A4452="","",ROW()-2)</f>
        <v/>
      </c>
      <c r="M4452" s="10" t="str">
        <f aca="false">IF($A4452="","",ROW())</f>
        <v/>
      </c>
    </row>
    <row r="4453" customFormat="false" ht="15" hidden="false" customHeight="true" outlineLevel="0" collapsed="false">
      <c r="A4453" s="8"/>
      <c r="B4453" s="8"/>
      <c r="C4453" s="8"/>
      <c r="D4453" s="8"/>
      <c r="E4453" s="8"/>
      <c r="F4453" s="8"/>
      <c r="G4453" s="10" t="str">
        <f aca="false">IF($A4453="","",UPPER(SUBSTITUTE(SUBSTITUTE(SUBSTITUTE(SUBSTITUTE($A4453," ",""),"(주)",""),"주식회사",""),"㈜","")))</f>
        <v/>
      </c>
      <c r="H4453" s="10" t="str">
        <f aca="false">IF($B4453="","",SUBSTITUTE(SUBSTITUTE(SUBSTITUTE($B4453,"-","")," ",""),".",""))</f>
        <v/>
      </c>
      <c r="I4453" s="10" t="str">
        <f aca="false">IF($D4453="","",SUBSTITUTE(SUBSTITUTE(SUBSTITUTE($D4453,"-","")," ",""),".",""))</f>
        <v/>
      </c>
      <c r="J4453" s="10" t="str">
        <f aca="false">IF($E4453="","",UPPER(SUBSTITUTE($E4453," ","")))</f>
        <v/>
      </c>
      <c r="K4453" s="10" t="str">
        <f aca="false">IF($A4453="","",$G4453&amp;"|"&amp;$J4453)</f>
        <v/>
      </c>
      <c r="L4453" s="10" t="str">
        <f aca="false">IF($A4453="","",ROW()-2)</f>
        <v/>
      </c>
      <c r="M4453" s="10" t="str">
        <f aca="false">IF($A4453="","",ROW())</f>
        <v/>
      </c>
    </row>
    <row r="4454" customFormat="false" ht="15" hidden="false" customHeight="true" outlineLevel="0" collapsed="false">
      <c r="A4454" s="8"/>
      <c r="B4454" s="8"/>
      <c r="C4454" s="8"/>
      <c r="D4454" s="8"/>
      <c r="E4454" s="8"/>
      <c r="F4454" s="8"/>
      <c r="G4454" s="10" t="str">
        <f aca="false">IF($A4454="","",UPPER(SUBSTITUTE(SUBSTITUTE(SUBSTITUTE(SUBSTITUTE($A4454," ",""),"(주)",""),"주식회사",""),"㈜","")))</f>
        <v/>
      </c>
      <c r="H4454" s="10" t="str">
        <f aca="false">IF($B4454="","",SUBSTITUTE(SUBSTITUTE(SUBSTITUTE($B4454,"-","")," ",""),".",""))</f>
        <v/>
      </c>
      <c r="I4454" s="10" t="str">
        <f aca="false">IF($D4454="","",SUBSTITUTE(SUBSTITUTE(SUBSTITUTE($D4454,"-","")," ",""),".",""))</f>
        <v/>
      </c>
      <c r="J4454" s="10" t="str">
        <f aca="false">IF($E4454="","",UPPER(SUBSTITUTE($E4454," ","")))</f>
        <v/>
      </c>
      <c r="K4454" s="10" t="str">
        <f aca="false">IF($A4454="","",$G4454&amp;"|"&amp;$J4454)</f>
        <v/>
      </c>
      <c r="L4454" s="10" t="str">
        <f aca="false">IF($A4454="","",ROW()-2)</f>
        <v/>
      </c>
      <c r="M4454" s="10" t="str">
        <f aca="false">IF($A4454="","",ROW())</f>
        <v/>
      </c>
    </row>
    <row r="4455" customFormat="false" ht="15" hidden="false" customHeight="true" outlineLevel="0" collapsed="false">
      <c r="A4455" s="8"/>
      <c r="B4455" s="8"/>
      <c r="C4455" s="8"/>
      <c r="D4455" s="8"/>
      <c r="E4455" s="8"/>
      <c r="F4455" s="8"/>
      <c r="G4455" s="10" t="str">
        <f aca="false">IF($A4455="","",UPPER(SUBSTITUTE(SUBSTITUTE(SUBSTITUTE(SUBSTITUTE($A4455," ",""),"(주)",""),"주식회사",""),"㈜","")))</f>
        <v/>
      </c>
      <c r="H4455" s="10" t="str">
        <f aca="false">IF($B4455="","",SUBSTITUTE(SUBSTITUTE(SUBSTITUTE($B4455,"-","")," ",""),".",""))</f>
        <v/>
      </c>
      <c r="I4455" s="10" t="str">
        <f aca="false">IF($D4455="","",SUBSTITUTE(SUBSTITUTE(SUBSTITUTE($D4455,"-","")," ",""),".",""))</f>
        <v/>
      </c>
      <c r="J4455" s="10" t="str">
        <f aca="false">IF($E4455="","",UPPER(SUBSTITUTE($E4455," ","")))</f>
        <v/>
      </c>
      <c r="K4455" s="10" t="str">
        <f aca="false">IF($A4455="","",$G4455&amp;"|"&amp;$J4455)</f>
        <v/>
      </c>
      <c r="L4455" s="10" t="str">
        <f aca="false">IF($A4455="","",ROW()-2)</f>
        <v/>
      </c>
      <c r="M4455" s="10" t="str">
        <f aca="false">IF($A4455="","",ROW())</f>
        <v/>
      </c>
    </row>
    <row r="4456" customFormat="false" ht="15" hidden="false" customHeight="true" outlineLevel="0" collapsed="false">
      <c r="A4456" s="8"/>
      <c r="B4456" s="8"/>
      <c r="C4456" s="8"/>
      <c r="D4456" s="8"/>
      <c r="E4456" s="8"/>
      <c r="F4456" s="8"/>
      <c r="G4456" s="10" t="str">
        <f aca="false">IF($A4456="","",UPPER(SUBSTITUTE(SUBSTITUTE(SUBSTITUTE(SUBSTITUTE($A4456," ",""),"(주)",""),"주식회사",""),"㈜","")))</f>
        <v/>
      </c>
      <c r="H4456" s="10" t="str">
        <f aca="false">IF($B4456="","",SUBSTITUTE(SUBSTITUTE(SUBSTITUTE($B4456,"-","")," ",""),".",""))</f>
        <v/>
      </c>
      <c r="I4456" s="10" t="str">
        <f aca="false">IF($D4456="","",SUBSTITUTE(SUBSTITUTE(SUBSTITUTE($D4456,"-","")," ",""),".",""))</f>
        <v/>
      </c>
      <c r="J4456" s="10" t="str">
        <f aca="false">IF($E4456="","",UPPER(SUBSTITUTE($E4456," ","")))</f>
        <v/>
      </c>
      <c r="K4456" s="10" t="str">
        <f aca="false">IF($A4456="","",$G4456&amp;"|"&amp;$J4456)</f>
        <v/>
      </c>
      <c r="L4456" s="10" t="str">
        <f aca="false">IF($A4456="","",ROW()-2)</f>
        <v/>
      </c>
      <c r="M4456" s="10" t="str">
        <f aca="false">IF($A4456="","",ROW())</f>
        <v/>
      </c>
    </row>
    <row r="4457" customFormat="false" ht="15" hidden="false" customHeight="true" outlineLevel="0" collapsed="false">
      <c r="A4457" s="8"/>
      <c r="B4457" s="8"/>
      <c r="C4457" s="8"/>
      <c r="D4457" s="8"/>
      <c r="E4457" s="8"/>
      <c r="F4457" s="8"/>
      <c r="G4457" s="10" t="str">
        <f aca="false">IF($A4457="","",UPPER(SUBSTITUTE(SUBSTITUTE(SUBSTITUTE(SUBSTITUTE($A4457," ",""),"(주)",""),"주식회사",""),"㈜","")))</f>
        <v/>
      </c>
      <c r="H4457" s="10" t="str">
        <f aca="false">IF($B4457="","",SUBSTITUTE(SUBSTITUTE(SUBSTITUTE($B4457,"-","")," ",""),".",""))</f>
        <v/>
      </c>
      <c r="I4457" s="10" t="str">
        <f aca="false">IF($D4457="","",SUBSTITUTE(SUBSTITUTE(SUBSTITUTE($D4457,"-","")," ",""),".",""))</f>
        <v/>
      </c>
      <c r="J4457" s="10" t="str">
        <f aca="false">IF($E4457="","",UPPER(SUBSTITUTE($E4457," ","")))</f>
        <v/>
      </c>
      <c r="K4457" s="10" t="str">
        <f aca="false">IF($A4457="","",$G4457&amp;"|"&amp;$J4457)</f>
        <v/>
      </c>
      <c r="L4457" s="10" t="str">
        <f aca="false">IF($A4457="","",ROW()-2)</f>
        <v/>
      </c>
      <c r="M4457" s="10" t="str">
        <f aca="false">IF($A4457="","",ROW())</f>
        <v/>
      </c>
    </row>
    <row r="4458" customFormat="false" ht="15" hidden="false" customHeight="true" outlineLevel="0" collapsed="false">
      <c r="A4458" s="8"/>
      <c r="B4458" s="8"/>
      <c r="C4458" s="8"/>
      <c r="D4458" s="8"/>
      <c r="E4458" s="8"/>
      <c r="F4458" s="8"/>
      <c r="G4458" s="10" t="str">
        <f aca="false">IF($A4458="","",UPPER(SUBSTITUTE(SUBSTITUTE(SUBSTITUTE(SUBSTITUTE($A4458," ",""),"(주)",""),"주식회사",""),"㈜","")))</f>
        <v/>
      </c>
      <c r="H4458" s="10" t="str">
        <f aca="false">IF($B4458="","",SUBSTITUTE(SUBSTITUTE(SUBSTITUTE($B4458,"-","")," ",""),".",""))</f>
        <v/>
      </c>
      <c r="I4458" s="10" t="str">
        <f aca="false">IF($D4458="","",SUBSTITUTE(SUBSTITUTE(SUBSTITUTE($D4458,"-","")," ",""),".",""))</f>
        <v/>
      </c>
      <c r="J4458" s="10" t="str">
        <f aca="false">IF($E4458="","",UPPER(SUBSTITUTE($E4458," ","")))</f>
        <v/>
      </c>
      <c r="K4458" s="10" t="str">
        <f aca="false">IF($A4458="","",$G4458&amp;"|"&amp;$J4458)</f>
        <v/>
      </c>
      <c r="L4458" s="10" t="str">
        <f aca="false">IF($A4458="","",ROW()-2)</f>
        <v/>
      </c>
      <c r="M4458" s="10" t="str">
        <f aca="false">IF($A4458="","",ROW())</f>
        <v/>
      </c>
    </row>
    <row r="4459" customFormat="false" ht="15" hidden="false" customHeight="true" outlineLevel="0" collapsed="false">
      <c r="A4459" s="8"/>
      <c r="B4459" s="8"/>
      <c r="C4459" s="8"/>
      <c r="D4459" s="8"/>
      <c r="E4459" s="8"/>
      <c r="F4459" s="8"/>
      <c r="G4459" s="10" t="str">
        <f aca="false">IF($A4459="","",UPPER(SUBSTITUTE(SUBSTITUTE(SUBSTITUTE(SUBSTITUTE($A4459," ",""),"(주)",""),"주식회사",""),"㈜","")))</f>
        <v/>
      </c>
      <c r="H4459" s="10" t="str">
        <f aca="false">IF($B4459="","",SUBSTITUTE(SUBSTITUTE(SUBSTITUTE($B4459,"-","")," ",""),".",""))</f>
        <v/>
      </c>
      <c r="I4459" s="10" t="str">
        <f aca="false">IF($D4459="","",SUBSTITUTE(SUBSTITUTE(SUBSTITUTE($D4459,"-","")," ",""),".",""))</f>
        <v/>
      </c>
      <c r="J4459" s="10" t="str">
        <f aca="false">IF($E4459="","",UPPER(SUBSTITUTE($E4459," ","")))</f>
        <v/>
      </c>
      <c r="K4459" s="10" t="str">
        <f aca="false">IF($A4459="","",$G4459&amp;"|"&amp;$J4459)</f>
        <v/>
      </c>
      <c r="L4459" s="10" t="str">
        <f aca="false">IF($A4459="","",ROW()-2)</f>
        <v/>
      </c>
      <c r="M4459" s="10" t="str">
        <f aca="false">IF($A4459="","",ROW())</f>
        <v/>
      </c>
    </row>
    <row r="4460" customFormat="false" ht="15" hidden="false" customHeight="true" outlineLevel="0" collapsed="false">
      <c r="A4460" s="8"/>
      <c r="B4460" s="8"/>
      <c r="C4460" s="8"/>
      <c r="D4460" s="8"/>
      <c r="E4460" s="8"/>
      <c r="F4460" s="8"/>
      <c r="G4460" s="10" t="str">
        <f aca="false">IF($A4460="","",UPPER(SUBSTITUTE(SUBSTITUTE(SUBSTITUTE(SUBSTITUTE($A4460," ",""),"(주)",""),"주식회사",""),"㈜","")))</f>
        <v/>
      </c>
      <c r="H4460" s="10" t="str">
        <f aca="false">IF($B4460="","",SUBSTITUTE(SUBSTITUTE(SUBSTITUTE($B4460,"-","")," ",""),".",""))</f>
        <v/>
      </c>
      <c r="I4460" s="10" t="str">
        <f aca="false">IF($D4460="","",SUBSTITUTE(SUBSTITUTE(SUBSTITUTE($D4460,"-","")," ",""),".",""))</f>
        <v/>
      </c>
      <c r="J4460" s="10" t="str">
        <f aca="false">IF($E4460="","",UPPER(SUBSTITUTE($E4460," ","")))</f>
        <v/>
      </c>
      <c r="K4460" s="10" t="str">
        <f aca="false">IF($A4460="","",$G4460&amp;"|"&amp;$J4460)</f>
        <v/>
      </c>
      <c r="L4460" s="10" t="str">
        <f aca="false">IF($A4460="","",ROW()-2)</f>
        <v/>
      </c>
      <c r="M4460" s="10" t="str">
        <f aca="false">IF($A4460="","",ROW())</f>
        <v/>
      </c>
    </row>
    <row r="4461" customFormat="false" ht="15" hidden="false" customHeight="true" outlineLevel="0" collapsed="false">
      <c r="A4461" s="8"/>
      <c r="B4461" s="8"/>
      <c r="C4461" s="8"/>
      <c r="D4461" s="8"/>
      <c r="E4461" s="8"/>
      <c r="F4461" s="8"/>
      <c r="G4461" s="10" t="str">
        <f aca="false">IF($A4461="","",UPPER(SUBSTITUTE(SUBSTITUTE(SUBSTITUTE(SUBSTITUTE($A4461," ",""),"(주)",""),"주식회사",""),"㈜","")))</f>
        <v/>
      </c>
      <c r="H4461" s="10" t="str">
        <f aca="false">IF($B4461="","",SUBSTITUTE(SUBSTITUTE(SUBSTITUTE($B4461,"-","")," ",""),".",""))</f>
        <v/>
      </c>
      <c r="I4461" s="10" t="str">
        <f aca="false">IF($D4461="","",SUBSTITUTE(SUBSTITUTE(SUBSTITUTE($D4461,"-","")," ",""),".",""))</f>
        <v/>
      </c>
      <c r="J4461" s="10" t="str">
        <f aca="false">IF($E4461="","",UPPER(SUBSTITUTE($E4461," ","")))</f>
        <v/>
      </c>
      <c r="K4461" s="10" t="str">
        <f aca="false">IF($A4461="","",$G4461&amp;"|"&amp;$J4461)</f>
        <v/>
      </c>
      <c r="L4461" s="10" t="str">
        <f aca="false">IF($A4461="","",ROW()-2)</f>
        <v/>
      </c>
      <c r="M4461" s="10" t="str">
        <f aca="false">IF($A4461="","",ROW())</f>
        <v/>
      </c>
    </row>
    <row r="4462" customFormat="false" ht="15" hidden="false" customHeight="true" outlineLevel="0" collapsed="false">
      <c r="A4462" s="8"/>
      <c r="B4462" s="8"/>
      <c r="C4462" s="8"/>
      <c r="D4462" s="8"/>
      <c r="E4462" s="8"/>
      <c r="F4462" s="8"/>
      <c r="G4462" s="10" t="str">
        <f aca="false">IF($A4462="","",UPPER(SUBSTITUTE(SUBSTITUTE(SUBSTITUTE(SUBSTITUTE($A4462," ",""),"(주)",""),"주식회사",""),"㈜","")))</f>
        <v/>
      </c>
      <c r="H4462" s="10" t="str">
        <f aca="false">IF($B4462="","",SUBSTITUTE(SUBSTITUTE(SUBSTITUTE($B4462,"-","")," ",""),".",""))</f>
        <v/>
      </c>
      <c r="I4462" s="10" t="str">
        <f aca="false">IF($D4462="","",SUBSTITUTE(SUBSTITUTE(SUBSTITUTE($D4462,"-","")," ",""),".",""))</f>
        <v/>
      </c>
      <c r="J4462" s="10" t="str">
        <f aca="false">IF($E4462="","",UPPER(SUBSTITUTE($E4462," ","")))</f>
        <v/>
      </c>
      <c r="K4462" s="10" t="str">
        <f aca="false">IF($A4462="","",$G4462&amp;"|"&amp;$J4462)</f>
        <v/>
      </c>
      <c r="L4462" s="10" t="str">
        <f aca="false">IF($A4462="","",ROW()-2)</f>
        <v/>
      </c>
      <c r="M4462" s="10" t="str">
        <f aca="false">IF($A4462="","",ROW())</f>
        <v/>
      </c>
    </row>
    <row r="4463" customFormat="false" ht="15" hidden="false" customHeight="true" outlineLevel="0" collapsed="false">
      <c r="A4463" s="8"/>
      <c r="B4463" s="8"/>
      <c r="C4463" s="8"/>
      <c r="D4463" s="8"/>
      <c r="E4463" s="8"/>
      <c r="F4463" s="8"/>
      <c r="G4463" s="10" t="str">
        <f aca="false">IF($A4463="","",UPPER(SUBSTITUTE(SUBSTITUTE(SUBSTITUTE(SUBSTITUTE($A4463," ",""),"(주)",""),"주식회사",""),"㈜","")))</f>
        <v/>
      </c>
      <c r="H4463" s="10" t="str">
        <f aca="false">IF($B4463="","",SUBSTITUTE(SUBSTITUTE(SUBSTITUTE($B4463,"-","")," ",""),".",""))</f>
        <v/>
      </c>
      <c r="I4463" s="10" t="str">
        <f aca="false">IF($D4463="","",SUBSTITUTE(SUBSTITUTE(SUBSTITUTE($D4463,"-","")," ",""),".",""))</f>
        <v/>
      </c>
      <c r="J4463" s="10" t="str">
        <f aca="false">IF($E4463="","",UPPER(SUBSTITUTE($E4463," ","")))</f>
        <v/>
      </c>
      <c r="K4463" s="10" t="str">
        <f aca="false">IF($A4463="","",$G4463&amp;"|"&amp;$J4463)</f>
        <v/>
      </c>
      <c r="L4463" s="10" t="str">
        <f aca="false">IF($A4463="","",ROW()-2)</f>
        <v/>
      </c>
      <c r="M4463" s="10" t="str">
        <f aca="false">IF($A4463="","",ROW())</f>
        <v/>
      </c>
    </row>
    <row r="4464" customFormat="false" ht="15" hidden="false" customHeight="true" outlineLevel="0" collapsed="false">
      <c r="A4464" s="8"/>
      <c r="B4464" s="8"/>
      <c r="C4464" s="8"/>
      <c r="D4464" s="8"/>
      <c r="E4464" s="8"/>
      <c r="F4464" s="8"/>
      <c r="G4464" s="10" t="str">
        <f aca="false">IF($A4464="","",UPPER(SUBSTITUTE(SUBSTITUTE(SUBSTITUTE(SUBSTITUTE($A4464," ",""),"(주)",""),"주식회사",""),"㈜","")))</f>
        <v/>
      </c>
      <c r="H4464" s="10" t="str">
        <f aca="false">IF($B4464="","",SUBSTITUTE(SUBSTITUTE(SUBSTITUTE($B4464,"-","")," ",""),".",""))</f>
        <v/>
      </c>
      <c r="I4464" s="10" t="str">
        <f aca="false">IF($D4464="","",SUBSTITUTE(SUBSTITUTE(SUBSTITUTE($D4464,"-","")," ",""),".",""))</f>
        <v/>
      </c>
      <c r="J4464" s="10" t="str">
        <f aca="false">IF($E4464="","",UPPER(SUBSTITUTE($E4464," ","")))</f>
        <v/>
      </c>
      <c r="K4464" s="10" t="str">
        <f aca="false">IF($A4464="","",$G4464&amp;"|"&amp;$J4464)</f>
        <v/>
      </c>
      <c r="L4464" s="10" t="str">
        <f aca="false">IF($A4464="","",ROW()-2)</f>
        <v/>
      </c>
      <c r="M4464" s="10" t="str">
        <f aca="false">IF($A4464="","",ROW())</f>
        <v/>
      </c>
    </row>
    <row r="4465" customFormat="false" ht="15" hidden="false" customHeight="true" outlineLevel="0" collapsed="false">
      <c r="A4465" s="8"/>
      <c r="B4465" s="8"/>
      <c r="C4465" s="8"/>
      <c r="D4465" s="8"/>
      <c r="E4465" s="8"/>
      <c r="F4465" s="8"/>
      <c r="G4465" s="10" t="str">
        <f aca="false">IF($A4465="","",UPPER(SUBSTITUTE(SUBSTITUTE(SUBSTITUTE(SUBSTITUTE($A4465," ",""),"(주)",""),"주식회사",""),"㈜","")))</f>
        <v/>
      </c>
      <c r="H4465" s="10" t="str">
        <f aca="false">IF($B4465="","",SUBSTITUTE(SUBSTITUTE(SUBSTITUTE($B4465,"-","")," ",""),".",""))</f>
        <v/>
      </c>
      <c r="I4465" s="10" t="str">
        <f aca="false">IF($D4465="","",SUBSTITUTE(SUBSTITUTE(SUBSTITUTE($D4465,"-","")," ",""),".",""))</f>
        <v/>
      </c>
      <c r="J4465" s="10" t="str">
        <f aca="false">IF($E4465="","",UPPER(SUBSTITUTE($E4465," ","")))</f>
        <v/>
      </c>
      <c r="K4465" s="10" t="str">
        <f aca="false">IF($A4465="","",$G4465&amp;"|"&amp;$J4465)</f>
        <v/>
      </c>
      <c r="L4465" s="10" t="str">
        <f aca="false">IF($A4465="","",ROW()-2)</f>
        <v/>
      </c>
      <c r="M4465" s="10" t="str">
        <f aca="false">IF($A4465="","",ROW())</f>
        <v/>
      </c>
    </row>
    <row r="4466" customFormat="false" ht="15" hidden="false" customHeight="true" outlineLevel="0" collapsed="false">
      <c r="A4466" s="8"/>
      <c r="B4466" s="8"/>
      <c r="C4466" s="8"/>
      <c r="D4466" s="8"/>
      <c r="E4466" s="8"/>
      <c r="F4466" s="8"/>
      <c r="G4466" s="10" t="str">
        <f aca="false">IF($A4466="","",UPPER(SUBSTITUTE(SUBSTITUTE(SUBSTITUTE(SUBSTITUTE($A4466," ",""),"(주)",""),"주식회사",""),"㈜","")))</f>
        <v/>
      </c>
      <c r="H4466" s="10" t="str">
        <f aca="false">IF($B4466="","",SUBSTITUTE(SUBSTITUTE(SUBSTITUTE($B4466,"-","")," ",""),".",""))</f>
        <v/>
      </c>
      <c r="I4466" s="10" t="str">
        <f aca="false">IF($D4466="","",SUBSTITUTE(SUBSTITUTE(SUBSTITUTE($D4466,"-","")," ",""),".",""))</f>
        <v/>
      </c>
      <c r="J4466" s="10" t="str">
        <f aca="false">IF($E4466="","",UPPER(SUBSTITUTE($E4466," ","")))</f>
        <v/>
      </c>
      <c r="K4466" s="10" t="str">
        <f aca="false">IF($A4466="","",$G4466&amp;"|"&amp;$J4466)</f>
        <v/>
      </c>
      <c r="L4466" s="10" t="str">
        <f aca="false">IF($A4466="","",ROW()-2)</f>
        <v/>
      </c>
      <c r="M4466" s="10" t="str">
        <f aca="false">IF($A4466="","",ROW())</f>
        <v/>
      </c>
    </row>
    <row r="4467" customFormat="false" ht="15" hidden="false" customHeight="true" outlineLevel="0" collapsed="false">
      <c r="A4467" s="8"/>
      <c r="B4467" s="8"/>
      <c r="C4467" s="8"/>
      <c r="D4467" s="8"/>
      <c r="E4467" s="8"/>
      <c r="F4467" s="8"/>
      <c r="G4467" s="10" t="str">
        <f aca="false">IF($A4467="","",UPPER(SUBSTITUTE(SUBSTITUTE(SUBSTITUTE(SUBSTITUTE($A4467," ",""),"(주)",""),"주식회사",""),"㈜","")))</f>
        <v/>
      </c>
      <c r="H4467" s="10" t="str">
        <f aca="false">IF($B4467="","",SUBSTITUTE(SUBSTITUTE(SUBSTITUTE($B4467,"-","")," ",""),".",""))</f>
        <v/>
      </c>
      <c r="I4467" s="10" t="str">
        <f aca="false">IF($D4467="","",SUBSTITUTE(SUBSTITUTE(SUBSTITUTE($D4467,"-","")," ",""),".",""))</f>
        <v/>
      </c>
      <c r="J4467" s="10" t="str">
        <f aca="false">IF($E4467="","",UPPER(SUBSTITUTE($E4467," ","")))</f>
        <v/>
      </c>
      <c r="K4467" s="10" t="str">
        <f aca="false">IF($A4467="","",$G4467&amp;"|"&amp;$J4467)</f>
        <v/>
      </c>
      <c r="L4467" s="10" t="str">
        <f aca="false">IF($A4467="","",ROW()-2)</f>
        <v/>
      </c>
      <c r="M4467" s="10" t="str">
        <f aca="false">IF($A4467="","",ROW())</f>
        <v/>
      </c>
    </row>
    <row r="4468" customFormat="false" ht="15" hidden="false" customHeight="true" outlineLevel="0" collapsed="false">
      <c r="A4468" s="8"/>
      <c r="B4468" s="8"/>
      <c r="C4468" s="8"/>
      <c r="D4468" s="8"/>
      <c r="E4468" s="8"/>
      <c r="F4468" s="8"/>
      <c r="G4468" s="10" t="str">
        <f aca="false">IF($A4468="","",UPPER(SUBSTITUTE(SUBSTITUTE(SUBSTITUTE(SUBSTITUTE($A4468," ",""),"(주)",""),"주식회사",""),"㈜","")))</f>
        <v/>
      </c>
      <c r="H4468" s="10" t="str">
        <f aca="false">IF($B4468="","",SUBSTITUTE(SUBSTITUTE(SUBSTITUTE($B4468,"-","")," ",""),".",""))</f>
        <v/>
      </c>
      <c r="I4468" s="10" t="str">
        <f aca="false">IF($D4468="","",SUBSTITUTE(SUBSTITUTE(SUBSTITUTE($D4468,"-","")," ",""),".",""))</f>
        <v/>
      </c>
      <c r="J4468" s="10" t="str">
        <f aca="false">IF($E4468="","",UPPER(SUBSTITUTE($E4468," ","")))</f>
        <v/>
      </c>
      <c r="K4468" s="10" t="str">
        <f aca="false">IF($A4468="","",$G4468&amp;"|"&amp;$J4468)</f>
        <v/>
      </c>
      <c r="L4468" s="10" t="str">
        <f aca="false">IF($A4468="","",ROW()-2)</f>
        <v/>
      </c>
      <c r="M4468" s="10" t="str">
        <f aca="false">IF($A4468="","",ROW())</f>
        <v/>
      </c>
    </row>
    <row r="4469" customFormat="false" ht="15" hidden="false" customHeight="true" outlineLevel="0" collapsed="false">
      <c r="A4469" s="8"/>
      <c r="B4469" s="8"/>
      <c r="C4469" s="8"/>
      <c r="D4469" s="8"/>
      <c r="E4469" s="8"/>
      <c r="F4469" s="8"/>
      <c r="G4469" s="10" t="str">
        <f aca="false">IF($A4469="","",UPPER(SUBSTITUTE(SUBSTITUTE(SUBSTITUTE(SUBSTITUTE($A4469," ",""),"(주)",""),"주식회사",""),"㈜","")))</f>
        <v/>
      </c>
      <c r="H4469" s="10" t="str">
        <f aca="false">IF($B4469="","",SUBSTITUTE(SUBSTITUTE(SUBSTITUTE($B4469,"-","")," ",""),".",""))</f>
        <v/>
      </c>
      <c r="I4469" s="10" t="str">
        <f aca="false">IF($D4469="","",SUBSTITUTE(SUBSTITUTE(SUBSTITUTE($D4469,"-","")," ",""),".",""))</f>
        <v/>
      </c>
      <c r="J4469" s="10" t="str">
        <f aca="false">IF($E4469="","",UPPER(SUBSTITUTE($E4469," ","")))</f>
        <v/>
      </c>
      <c r="K4469" s="10" t="str">
        <f aca="false">IF($A4469="","",$G4469&amp;"|"&amp;$J4469)</f>
        <v/>
      </c>
      <c r="L4469" s="10" t="str">
        <f aca="false">IF($A4469="","",ROW()-2)</f>
        <v/>
      </c>
      <c r="M4469" s="10" t="str">
        <f aca="false">IF($A4469="","",ROW())</f>
        <v/>
      </c>
    </row>
    <row r="4470" customFormat="false" ht="15" hidden="false" customHeight="true" outlineLevel="0" collapsed="false">
      <c r="A4470" s="8"/>
      <c r="B4470" s="8"/>
      <c r="C4470" s="8"/>
      <c r="D4470" s="8"/>
      <c r="E4470" s="8"/>
      <c r="F4470" s="8"/>
      <c r="G4470" s="10" t="str">
        <f aca="false">IF($A4470="","",UPPER(SUBSTITUTE(SUBSTITUTE(SUBSTITUTE(SUBSTITUTE($A4470," ",""),"(주)",""),"주식회사",""),"㈜","")))</f>
        <v/>
      </c>
      <c r="H4470" s="10" t="str">
        <f aca="false">IF($B4470="","",SUBSTITUTE(SUBSTITUTE(SUBSTITUTE($B4470,"-","")," ",""),".",""))</f>
        <v/>
      </c>
      <c r="I4470" s="10" t="str">
        <f aca="false">IF($D4470="","",SUBSTITUTE(SUBSTITUTE(SUBSTITUTE($D4470,"-","")," ",""),".",""))</f>
        <v/>
      </c>
      <c r="J4470" s="10" t="str">
        <f aca="false">IF($E4470="","",UPPER(SUBSTITUTE($E4470," ","")))</f>
        <v/>
      </c>
      <c r="K4470" s="10" t="str">
        <f aca="false">IF($A4470="","",$G4470&amp;"|"&amp;$J4470)</f>
        <v/>
      </c>
      <c r="L4470" s="10" t="str">
        <f aca="false">IF($A4470="","",ROW()-2)</f>
        <v/>
      </c>
      <c r="M4470" s="10" t="str">
        <f aca="false">IF($A4470="","",ROW())</f>
        <v/>
      </c>
    </row>
    <row r="4471" customFormat="false" ht="15" hidden="false" customHeight="true" outlineLevel="0" collapsed="false">
      <c r="A4471" s="8"/>
      <c r="B4471" s="8"/>
      <c r="C4471" s="8"/>
      <c r="D4471" s="8"/>
      <c r="E4471" s="8"/>
      <c r="F4471" s="8"/>
      <c r="G4471" s="10" t="str">
        <f aca="false">IF($A4471="","",UPPER(SUBSTITUTE(SUBSTITUTE(SUBSTITUTE(SUBSTITUTE($A4471," ",""),"(주)",""),"주식회사",""),"㈜","")))</f>
        <v/>
      </c>
      <c r="H4471" s="10" t="str">
        <f aca="false">IF($B4471="","",SUBSTITUTE(SUBSTITUTE(SUBSTITUTE($B4471,"-","")," ",""),".",""))</f>
        <v/>
      </c>
      <c r="I4471" s="10" t="str">
        <f aca="false">IF($D4471="","",SUBSTITUTE(SUBSTITUTE(SUBSTITUTE($D4471,"-","")," ",""),".",""))</f>
        <v/>
      </c>
      <c r="J4471" s="10" t="str">
        <f aca="false">IF($E4471="","",UPPER(SUBSTITUTE($E4471," ","")))</f>
        <v/>
      </c>
      <c r="K4471" s="10" t="str">
        <f aca="false">IF($A4471="","",$G4471&amp;"|"&amp;$J4471)</f>
        <v/>
      </c>
      <c r="L4471" s="10" t="str">
        <f aca="false">IF($A4471="","",ROW()-2)</f>
        <v/>
      </c>
      <c r="M4471" s="10" t="str">
        <f aca="false">IF($A4471="","",ROW())</f>
        <v/>
      </c>
    </row>
    <row r="4472" customFormat="false" ht="15" hidden="false" customHeight="true" outlineLevel="0" collapsed="false">
      <c r="A4472" s="8"/>
      <c r="B4472" s="8"/>
      <c r="C4472" s="8"/>
      <c r="D4472" s="8"/>
      <c r="E4472" s="8"/>
      <c r="F4472" s="8"/>
      <c r="G4472" s="10" t="str">
        <f aca="false">IF($A4472="","",UPPER(SUBSTITUTE(SUBSTITUTE(SUBSTITUTE(SUBSTITUTE($A4472," ",""),"(주)",""),"주식회사",""),"㈜","")))</f>
        <v/>
      </c>
      <c r="H4472" s="10" t="str">
        <f aca="false">IF($B4472="","",SUBSTITUTE(SUBSTITUTE(SUBSTITUTE($B4472,"-","")," ",""),".",""))</f>
        <v/>
      </c>
      <c r="I4472" s="10" t="str">
        <f aca="false">IF($D4472="","",SUBSTITUTE(SUBSTITUTE(SUBSTITUTE($D4472,"-","")," ",""),".",""))</f>
        <v/>
      </c>
      <c r="J4472" s="10" t="str">
        <f aca="false">IF($E4472="","",UPPER(SUBSTITUTE($E4472," ","")))</f>
        <v/>
      </c>
      <c r="K4472" s="10" t="str">
        <f aca="false">IF($A4472="","",$G4472&amp;"|"&amp;$J4472)</f>
        <v/>
      </c>
      <c r="L4472" s="10" t="str">
        <f aca="false">IF($A4472="","",ROW()-2)</f>
        <v/>
      </c>
      <c r="M4472" s="10" t="str">
        <f aca="false">IF($A4472="","",ROW())</f>
        <v/>
      </c>
    </row>
    <row r="4473" customFormat="false" ht="15" hidden="false" customHeight="true" outlineLevel="0" collapsed="false">
      <c r="A4473" s="8"/>
      <c r="B4473" s="8"/>
      <c r="C4473" s="8"/>
      <c r="D4473" s="8"/>
      <c r="E4473" s="8"/>
      <c r="F4473" s="8"/>
      <c r="G4473" s="10" t="str">
        <f aca="false">IF($A4473="","",UPPER(SUBSTITUTE(SUBSTITUTE(SUBSTITUTE(SUBSTITUTE($A4473," ",""),"(주)",""),"주식회사",""),"㈜","")))</f>
        <v/>
      </c>
      <c r="H4473" s="10" t="str">
        <f aca="false">IF($B4473="","",SUBSTITUTE(SUBSTITUTE(SUBSTITUTE($B4473,"-","")," ",""),".",""))</f>
        <v/>
      </c>
      <c r="I4473" s="10" t="str">
        <f aca="false">IF($D4473="","",SUBSTITUTE(SUBSTITUTE(SUBSTITUTE($D4473,"-","")," ",""),".",""))</f>
        <v/>
      </c>
      <c r="J4473" s="10" t="str">
        <f aca="false">IF($E4473="","",UPPER(SUBSTITUTE($E4473," ","")))</f>
        <v/>
      </c>
      <c r="K4473" s="10" t="str">
        <f aca="false">IF($A4473="","",$G4473&amp;"|"&amp;$J4473)</f>
        <v/>
      </c>
      <c r="L4473" s="10" t="str">
        <f aca="false">IF($A4473="","",ROW()-2)</f>
        <v/>
      </c>
      <c r="M4473" s="10" t="str">
        <f aca="false">IF($A4473="","",ROW())</f>
        <v/>
      </c>
    </row>
    <row r="4474" customFormat="false" ht="15" hidden="false" customHeight="true" outlineLevel="0" collapsed="false">
      <c r="A4474" s="8"/>
      <c r="B4474" s="8"/>
      <c r="C4474" s="8"/>
      <c r="D4474" s="8"/>
      <c r="E4474" s="8"/>
      <c r="F4474" s="8"/>
      <c r="G4474" s="10" t="str">
        <f aca="false">IF($A4474="","",UPPER(SUBSTITUTE(SUBSTITUTE(SUBSTITUTE(SUBSTITUTE($A4474," ",""),"(주)",""),"주식회사",""),"㈜","")))</f>
        <v/>
      </c>
      <c r="H4474" s="10" t="str">
        <f aca="false">IF($B4474="","",SUBSTITUTE(SUBSTITUTE(SUBSTITUTE($B4474,"-","")," ",""),".",""))</f>
        <v/>
      </c>
      <c r="I4474" s="10" t="str">
        <f aca="false">IF($D4474="","",SUBSTITUTE(SUBSTITUTE(SUBSTITUTE($D4474,"-","")," ",""),".",""))</f>
        <v/>
      </c>
      <c r="J4474" s="10" t="str">
        <f aca="false">IF($E4474="","",UPPER(SUBSTITUTE($E4474," ","")))</f>
        <v/>
      </c>
      <c r="K4474" s="10" t="str">
        <f aca="false">IF($A4474="","",$G4474&amp;"|"&amp;$J4474)</f>
        <v/>
      </c>
      <c r="L4474" s="10" t="str">
        <f aca="false">IF($A4474="","",ROW()-2)</f>
        <v/>
      </c>
      <c r="M4474" s="10" t="str">
        <f aca="false">IF($A4474="","",ROW())</f>
        <v/>
      </c>
    </row>
    <row r="4475" customFormat="false" ht="15" hidden="false" customHeight="true" outlineLevel="0" collapsed="false">
      <c r="A4475" s="8"/>
      <c r="B4475" s="8"/>
      <c r="C4475" s="8"/>
      <c r="D4475" s="8"/>
      <c r="E4475" s="8"/>
      <c r="F4475" s="8"/>
      <c r="G4475" s="10" t="str">
        <f aca="false">IF($A4475="","",UPPER(SUBSTITUTE(SUBSTITUTE(SUBSTITUTE(SUBSTITUTE($A4475," ",""),"(주)",""),"주식회사",""),"㈜","")))</f>
        <v/>
      </c>
      <c r="H4475" s="10" t="str">
        <f aca="false">IF($B4475="","",SUBSTITUTE(SUBSTITUTE(SUBSTITUTE($B4475,"-","")," ",""),".",""))</f>
        <v/>
      </c>
      <c r="I4475" s="10" t="str">
        <f aca="false">IF($D4475="","",SUBSTITUTE(SUBSTITUTE(SUBSTITUTE($D4475,"-","")," ",""),".",""))</f>
        <v/>
      </c>
      <c r="J4475" s="10" t="str">
        <f aca="false">IF($E4475="","",UPPER(SUBSTITUTE($E4475," ","")))</f>
        <v/>
      </c>
      <c r="K4475" s="10" t="str">
        <f aca="false">IF($A4475="","",$G4475&amp;"|"&amp;$J4475)</f>
        <v/>
      </c>
      <c r="L4475" s="10" t="str">
        <f aca="false">IF($A4475="","",ROW()-2)</f>
        <v/>
      </c>
      <c r="M4475" s="10" t="str">
        <f aca="false">IF($A4475="","",ROW())</f>
        <v/>
      </c>
    </row>
    <row r="4476" customFormat="false" ht="15" hidden="false" customHeight="true" outlineLevel="0" collapsed="false">
      <c r="A4476" s="8"/>
      <c r="B4476" s="8"/>
      <c r="C4476" s="8"/>
      <c r="D4476" s="8"/>
      <c r="E4476" s="8"/>
      <c r="F4476" s="8"/>
      <c r="G4476" s="10" t="str">
        <f aca="false">IF($A4476="","",UPPER(SUBSTITUTE(SUBSTITUTE(SUBSTITUTE(SUBSTITUTE($A4476," ",""),"(주)",""),"주식회사",""),"㈜","")))</f>
        <v/>
      </c>
      <c r="H4476" s="10" t="str">
        <f aca="false">IF($B4476="","",SUBSTITUTE(SUBSTITUTE(SUBSTITUTE($B4476,"-","")," ",""),".",""))</f>
        <v/>
      </c>
      <c r="I4476" s="10" t="str">
        <f aca="false">IF($D4476="","",SUBSTITUTE(SUBSTITUTE(SUBSTITUTE($D4476,"-","")," ",""),".",""))</f>
        <v/>
      </c>
      <c r="J4476" s="10" t="str">
        <f aca="false">IF($E4476="","",UPPER(SUBSTITUTE($E4476," ","")))</f>
        <v/>
      </c>
      <c r="K4476" s="10" t="str">
        <f aca="false">IF($A4476="","",$G4476&amp;"|"&amp;$J4476)</f>
        <v/>
      </c>
      <c r="L4476" s="10" t="str">
        <f aca="false">IF($A4476="","",ROW()-2)</f>
        <v/>
      </c>
      <c r="M4476" s="10" t="str">
        <f aca="false">IF($A4476="","",ROW())</f>
        <v/>
      </c>
    </row>
    <row r="4477" customFormat="false" ht="15" hidden="false" customHeight="true" outlineLevel="0" collapsed="false">
      <c r="A4477" s="8"/>
      <c r="B4477" s="8"/>
      <c r="C4477" s="8"/>
      <c r="D4477" s="8"/>
      <c r="E4477" s="8"/>
      <c r="F4477" s="8"/>
      <c r="G4477" s="10" t="str">
        <f aca="false">IF($A4477="","",UPPER(SUBSTITUTE(SUBSTITUTE(SUBSTITUTE(SUBSTITUTE($A4477," ",""),"(주)",""),"주식회사",""),"㈜","")))</f>
        <v/>
      </c>
      <c r="H4477" s="10" t="str">
        <f aca="false">IF($B4477="","",SUBSTITUTE(SUBSTITUTE(SUBSTITUTE($B4477,"-","")," ",""),".",""))</f>
        <v/>
      </c>
      <c r="I4477" s="10" t="str">
        <f aca="false">IF($D4477="","",SUBSTITUTE(SUBSTITUTE(SUBSTITUTE($D4477,"-","")," ",""),".",""))</f>
        <v/>
      </c>
      <c r="J4477" s="10" t="str">
        <f aca="false">IF($E4477="","",UPPER(SUBSTITUTE($E4477," ","")))</f>
        <v/>
      </c>
      <c r="K4477" s="10" t="str">
        <f aca="false">IF($A4477="","",$G4477&amp;"|"&amp;$J4477)</f>
        <v/>
      </c>
      <c r="L4477" s="10" t="str">
        <f aca="false">IF($A4477="","",ROW()-2)</f>
        <v/>
      </c>
      <c r="M4477" s="10" t="str">
        <f aca="false">IF($A4477="","",ROW())</f>
        <v/>
      </c>
    </row>
    <row r="4478" customFormat="false" ht="15" hidden="false" customHeight="true" outlineLevel="0" collapsed="false">
      <c r="A4478" s="8"/>
      <c r="B4478" s="8"/>
      <c r="C4478" s="8"/>
      <c r="D4478" s="8"/>
      <c r="E4478" s="8"/>
      <c r="F4478" s="8"/>
      <c r="G4478" s="10" t="str">
        <f aca="false">IF($A4478="","",UPPER(SUBSTITUTE(SUBSTITUTE(SUBSTITUTE(SUBSTITUTE($A4478," ",""),"(주)",""),"주식회사",""),"㈜","")))</f>
        <v/>
      </c>
      <c r="H4478" s="10" t="str">
        <f aca="false">IF($B4478="","",SUBSTITUTE(SUBSTITUTE(SUBSTITUTE($B4478,"-","")," ",""),".",""))</f>
        <v/>
      </c>
      <c r="I4478" s="10" t="str">
        <f aca="false">IF($D4478="","",SUBSTITUTE(SUBSTITUTE(SUBSTITUTE($D4478,"-","")," ",""),".",""))</f>
        <v/>
      </c>
      <c r="J4478" s="10" t="str">
        <f aca="false">IF($E4478="","",UPPER(SUBSTITUTE($E4478," ","")))</f>
        <v/>
      </c>
      <c r="K4478" s="10" t="str">
        <f aca="false">IF($A4478="","",$G4478&amp;"|"&amp;$J4478)</f>
        <v/>
      </c>
      <c r="L4478" s="10" t="str">
        <f aca="false">IF($A4478="","",ROW()-2)</f>
        <v/>
      </c>
      <c r="M4478" s="10" t="str">
        <f aca="false">IF($A4478="","",ROW())</f>
        <v/>
      </c>
    </row>
    <row r="4479" customFormat="false" ht="15" hidden="false" customHeight="true" outlineLevel="0" collapsed="false">
      <c r="A4479" s="8"/>
      <c r="B4479" s="8"/>
      <c r="C4479" s="8"/>
      <c r="D4479" s="8"/>
      <c r="E4479" s="8"/>
      <c r="F4479" s="8"/>
      <c r="G4479" s="10" t="str">
        <f aca="false">IF($A4479="","",UPPER(SUBSTITUTE(SUBSTITUTE(SUBSTITUTE(SUBSTITUTE($A4479," ",""),"(주)",""),"주식회사",""),"㈜","")))</f>
        <v/>
      </c>
      <c r="H4479" s="10" t="str">
        <f aca="false">IF($B4479="","",SUBSTITUTE(SUBSTITUTE(SUBSTITUTE($B4479,"-","")," ",""),".",""))</f>
        <v/>
      </c>
      <c r="I4479" s="10" t="str">
        <f aca="false">IF($D4479="","",SUBSTITUTE(SUBSTITUTE(SUBSTITUTE($D4479,"-","")," ",""),".",""))</f>
        <v/>
      </c>
      <c r="J4479" s="10" t="str">
        <f aca="false">IF($E4479="","",UPPER(SUBSTITUTE($E4479," ","")))</f>
        <v/>
      </c>
      <c r="K4479" s="10" t="str">
        <f aca="false">IF($A4479="","",$G4479&amp;"|"&amp;$J4479)</f>
        <v/>
      </c>
      <c r="L4479" s="10" t="str">
        <f aca="false">IF($A4479="","",ROW()-2)</f>
        <v/>
      </c>
      <c r="M4479" s="10" t="str">
        <f aca="false">IF($A4479="","",ROW())</f>
        <v/>
      </c>
    </row>
    <row r="4480" customFormat="false" ht="15" hidden="false" customHeight="true" outlineLevel="0" collapsed="false">
      <c r="A4480" s="8"/>
      <c r="B4480" s="8"/>
      <c r="C4480" s="8"/>
      <c r="D4480" s="8"/>
      <c r="E4480" s="8"/>
      <c r="F4480" s="8"/>
      <c r="G4480" s="10" t="str">
        <f aca="false">IF($A4480="","",UPPER(SUBSTITUTE(SUBSTITUTE(SUBSTITUTE(SUBSTITUTE($A4480," ",""),"(주)",""),"주식회사",""),"㈜","")))</f>
        <v/>
      </c>
      <c r="H4480" s="10" t="str">
        <f aca="false">IF($B4480="","",SUBSTITUTE(SUBSTITUTE(SUBSTITUTE($B4480,"-","")," ",""),".",""))</f>
        <v/>
      </c>
      <c r="I4480" s="10" t="str">
        <f aca="false">IF($D4480="","",SUBSTITUTE(SUBSTITUTE(SUBSTITUTE($D4480,"-","")," ",""),".",""))</f>
        <v/>
      </c>
      <c r="J4480" s="10" t="str">
        <f aca="false">IF($E4480="","",UPPER(SUBSTITUTE($E4480," ","")))</f>
        <v/>
      </c>
      <c r="K4480" s="10" t="str">
        <f aca="false">IF($A4480="","",$G4480&amp;"|"&amp;$J4480)</f>
        <v/>
      </c>
      <c r="L4480" s="10" t="str">
        <f aca="false">IF($A4480="","",ROW()-2)</f>
        <v/>
      </c>
      <c r="M4480" s="10" t="str">
        <f aca="false">IF($A4480="","",ROW())</f>
        <v/>
      </c>
    </row>
    <row r="4481" customFormat="false" ht="15" hidden="false" customHeight="true" outlineLevel="0" collapsed="false">
      <c r="A4481" s="8"/>
      <c r="B4481" s="8"/>
      <c r="C4481" s="8"/>
      <c r="D4481" s="8"/>
      <c r="E4481" s="8"/>
      <c r="F4481" s="8"/>
      <c r="G4481" s="10" t="str">
        <f aca="false">IF($A4481="","",UPPER(SUBSTITUTE(SUBSTITUTE(SUBSTITUTE(SUBSTITUTE($A4481," ",""),"(주)",""),"주식회사",""),"㈜","")))</f>
        <v/>
      </c>
      <c r="H4481" s="10" t="str">
        <f aca="false">IF($B4481="","",SUBSTITUTE(SUBSTITUTE(SUBSTITUTE($B4481,"-","")," ",""),".",""))</f>
        <v/>
      </c>
      <c r="I4481" s="10" t="str">
        <f aca="false">IF($D4481="","",SUBSTITUTE(SUBSTITUTE(SUBSTITUTE($D4481,"-","")," ",""),".",""))</f>
        <v/>
      </c>
      <c r="J4481" s="10" t="str">
        <f aca="false">IF($E4481="","",UPPER(SUBSTITUTE($E4481," ","")))</f>
        <v/>
      </c>
      <c r="K4481" s="10" t="str">
        <f aca="false">IF($A4481="","",$G4481&amp;"|"&amp;$J4481)</f>
        <v/>
      </c>
      <c r="L4481" s="10" t="str">
        <f aca="false">IF($A4481="","",ROW()-2)</f>
        <v/>
      </c>
      <c r="M4481" s="10" t="str">
        <f aca="false">IF($A4481="","",ROW())</f>
        <v/>
      </c>
    </row>
    <row r="4482" customFormat="false" ht="15" hidden="false" customHeight="true" outlineLevel="0" collapsed="false">
      <c r="A4482" s="8"/>
      <c r="B4482" s="8"/>
      <c r="C4482" s="8"/>
      <c r="D4482" s="8"/>
      <c r="E4482" s="8"/>
      <c r="F4482" s="8"/>
      <c r="G4482" s="10" t="str">
        <f aca="false">IF($A4482="","",UPPER(SUBSTITUTE(SUBSTITUTE(SUBSTITUTE(SUBSTITUTE($A4482," ",""),"(주)",""),"주식회사",""),"㈜","")))</f>
        <v/>
      </c>
      <c r="H4482" s="10" t="str">
        <f aca="false">IF($B4482="","",SUBSTITUTE(SUBSTITUTE(SUBSTITUTE($B4482,"-","")," ",""),".",""))</f>
        <v/>
      </c>
      <c r="I4482" s="10" t="str">
        <f aca="false">IF($D4482="","",SUBSTITUTE(SUBSTITUTE(SUBSTITUTE($D4482,"-","")," ",""),".",""))</f>
        <v/>
      </c>
      <c r="J4482" s="10" t="str">
        <f aca="false">IF($E4482="","",UPPER(SUBSTITUTE($E4482," ","")))</f>
        <v/>
      </c>
      <c r="K4482" s="10" t="str">
        <f aca="false">IF($A4482="","",$G4482&amp;"|"&amp;$J4482)</f>
        <v/>
      </c>
      <c r="L4482" s="10" t="str">
        <f aca="false">IF($A4482="","",ROW()-2)</f>
        <v/>
      </c>
      <c r="M4482" s="10" t="str">
        <f aca="false">IF($A4482="","",ROW())</f>
        <v/>
      </c>
    </row>
    <row r="4483" customFormat="false" ht="15" hidden="false" customHeight="true" outlineLevel="0" collapsed="false">
      <c r="A4483" s="8"/>
      <c r="B4483" s="8"/>
      <c r="C4483" s="8"/>
      <c r="D4483" s="8"/>
      <c r="E4483" s="8"/>
      <c r="F4483" s="8"/>
      <c r="G4483" s="10" t="str">
        <f aca="false">IF($A4483="","",UPPER(SUBSTITUTE(SUBSTITUTE(SUBSTITUTE(SUBSTITUTE($A4483," ",""),"(주)",""),"주식회사",""),"㈜","")))</f>
        <v/>
      </c>
      <c r="H4483" s="10" t="str">
        <f aca="false">IF($B4483="","",SUBSTITUTE(SUBSTITUTE(SUBSTITUTE($B4483,"-","")," ",""),".",""))</f>
        <v/>
      </c>
      <c r="I4483" s="10" t="str">
        <f aca="false">IF($D4483="","",SUBSTITUTE(SUBSTITUTE(SUBSTITUTE($D4483,"-","")," ",""),".",""))</f>
        <v/>
      </c>
      <c r="J4483" s="10" t="str">
        <f aca="false">IF($E4483="","",UPPER(SUBSTITUTE($E4483," ","")))</f>
        <v/>
      </c>
      <c r="K4483" s="10" t="str">
        <f aca="false">IF($A4483="","",$G4483&amp;"|"&amp;$J4483)</f>
        <v/>
      </c>
      <c r="L4483" s="10" t="str">
        <f aca="false">IF($A4483="","",ROW()-2)</f>
        <v/>
      </c>
      <c r="M4483" s="10" t="str">
        <f aca="false">IF($A4483="","",ROW())</f>
        <v/>
      </c>
    </row>
    <row r="4484" customFormat="false" ht="15" hidden="false" customHeight="true" outlineLevel="0" collapsed="false">
      <c r="A4484" s="8"/>
      <c r="B4484" s="8"/>
      <c r="C4484" s="8"/>
      <c r="D4484" s="8"/>
      <c r="E4484" s="8"/>
      <c r="F4484" s="8"/>
      <c r="G4484" s="10" t="str">
        <f aca="false">IF($A4484="","",UPPER(SUBSTITUTE(SUBSTITUTE(SUBSTITUTE(SUBSTITUTE($A4484," ",""),"(주)",""),"주식회사",""),"㈜","")))</f>
        <v/>
      </c>
      <c r="H4484" s="10" t="str">
        <f aca="false">IF($B4484="","",SUBSTITUTE(SUBSTITUTE(SUBSTITUTE($B4484,"-","")," ",""),".",""))</f>
        <v/>
      </c>
      <c r="I4484" s="10" t="str">
        <f aca="false">IF($D4484="","",SUBSTITUTE(SUBSTITUTE(SUBSTITUTE($D4484,"-","")," ",""),".",""))</f>
        <v/>
      </c>
      <c r="J4484" s="10" t="str">
        <f aca="false">IF($E4484="","",UPPER(SUBSTITUTE($E4484," ","")))</f>
        <v/>
      </c>
      <c r="K4484" s="10" t="str">
        <f aca="false">IF($A4484="","",$G4484&amp;"|"&amp;$J4484)</f>
        <v/>
      </c>
      <c r="L4484" s="10" t="str">
        <f aca="false">IF($A4484="","",ROW()-2)</f>
        <v/>
      </c>
      <c r="M4484" s="10" t="str">
        <f aca="false">IF($A4484="","",ROW())</f>
        <v/>
      </c>
    </row>
    <row r="4485" customFormat="false" ht="15" hidden="false" customHeight="true" outlineLevel="0" collapsed="false">
      <c r="A4485" s="8"/>
      <c r="B4485" s="8"/>
      <c r="C4485" s="8"/>
      <c r="D4485" s="8"/>
      <c r="E4485" s="8"/>
      <c r="F4485" s="8"/>
      <c r="G4485" s="10" t="str">
        <f aca="false">IF($A4485="","",UPPER(SUBSTITUTE(SUBSTITUTE(SUBSTITUTE(SUBSTITUTE($A4485," ",""),"(주)",""),"주식회사",""),"㈜","")))</f>
        <v/>
      </c>
      <c r="H4485" s="10" t="str">
        <f aca="false">IF($B4485="","",SUBSTITUTE(SUBSTITUTE(SUBSTITUTE($B4485,"-","")," ",""),".",""))</f>
        <v/>
      </c>
      <c r="I4485" s="10" t="str">
        <f aca="false">IF($D4485="","",SUBSTITUTE(SUBSTITUTE(SUBSTITUTE($D4485,"-","")," ",""),".",""))</f>
        <v/>
      </c>
      <c r="J4485" s="10" t="str">
        <f aca="false">IF($E4485="","",UPPER(SUBSTITUTE($E4485," ","")))</f>
        <v/>
      </c>
      <c r="K4485" s="10" t="str">
        <f aca="false">IF($A4485="","",$G4485&amp;"|"&amp;$J4485)</f>
        <v/>
      </c>
      <c r="L4485" s="10" t="str">
        <f aca="false">IF($A4485="","",ROW()-2)</f>
        <v/>
      </c>
      <c r="M4485" s="10" t="str">
        <f aca="false">IF($A4485="","",ROW())</f>
        <v/>
      </c>
    </row>
    <row r="4486" customFormat="false" ht="15" hidden="false" customHeight="true" outlineLevel="0" collapsed="false">
      <c r="A4486" s="8"/>
      <c r="B4486" s="8"/>
      <c r="C4486" s="8"/>
      <c r="D4486" s="8"/>
      <c r="E4486" s="8"/>
      <c r="F4486" s="8"/>
      <c r="G4486" s="10" t="str">
        <f aca="false">IF($A4486="","",UPPER(SUBSTITUTE(SUBSTITUTE(SUBSTITUTE(SUBSTITUTE($A4486," ",""),"(주)",""),"주식회사",""),"㈜","")))</f>
        <v/>
      </c>
      <c r="H4486" s="10" t="str">
        <f aca="false">IF($B4486="","",SUBSTITUTE(SUBSTITUTE(SUBSTITUTE($B4486,"-","")," ",""),".",""))</f>
        <v/>
      </c>
      <c r="I4486" s="10" t="str">
        <f aca="false">IF($D4486="","",SUBSTITUTE(SUBSTITUTE(SUBSTITUTE($D4486,"-","")," ",""),".",""))</f>
        <v/>
      </c>
      <c r="J4486" s="10" t="str">
        <f aca="false">IF($E4486="","",UPPER(SUBSTITUTE($E4486," ","")))</f>
        <v/>
      </c>
      <c r="K4486" s="10" t="str">
        <f aca="false">IF($A4486="","",$G4486&amp;"|"&amp;$J4486)</f>
        <v/>
      </c>
      <c r="L4486" s="10" t="str">
        <f aca="false">IF($A4486="","",ROW()-2)</f>
        <v/>
      </c>
      <c r="M4486" s="10" t="str">
        <f aca="false">IF($A4486="","",ROW())</f>
        <v/>
      </c>
    </row>
    <row r="4487" customFormat="false" ht="15" hidden="false" customHeight="true" outlineLevel="0" collapsed="false">
      <c r="A4487" s="8"/>
      <c r="B4487" s="8"/>
      <c r="C4487" s="8"/>
      <c r="D4487" s="8"/>
      <c r="E4487" s="8"/>
      <c r="F4487" s="8"/>
      <c r="G4487" s="10" t="str">
        <f aca="false">IF($A4487="","",UPPER(SUBSTITUTE(SUBSTITUTE(SUBSTITUTE(SUBSTITUTE($A4487," ",""),"(주)",""),"주식회사",""),"㈜","")))</f>
        <v/>
      </c>
      <c r="H4487" s="10" t="str">
        <f aca="false">IF($B4487="","",SUBSTITUTE(SUBSTITUTE(SUBSTITUTE($B4487,"-","")," ",""),".",""))</f>
        <v/>
      </c>
      <c r="I4487" s="10" t="str">
        <f aca="false">IF($D4487="","",SUBSTITUTE(SUBSTITUTE(SUBSTITUTE($D4487,"-","")," ",""),".",""))</f>
        <v/>
      </c>
      <c r="J4487" s="10" t="str">
        <f aca="false">IF($E4487="","",UPPER(SUBSTITUTE($E4487," ","")))</f>
        <v/>
      </c>
      <c r="K4487" s="10" t="str">
        <f aca="false">IF($A4487="","",$G4487&amp;"|"&amp;$J4487)</f>
        <v/>
      </c>
      <c r="L4487" s="10" t="str">
        <f aca="false">IF($A4487="","",ROW()-2)</f>
        <v/>
      </c>
      <c r="M4487" s="10" t="str">
        <f aca="false">IF($A4487="","",ROW())</f>
        <v/>
      </c>
    </row>
    <row r="4488" customFormat="false" ht="15" hidden="false" customHeight="true" outlineLevel="0" collapsed="false">
      <c r="A4488" s="8"/>
      <c r="B4488" s="8"/>
      <c r="C4488" s="8"/>
      <c r="D4488" s="8"/>
      <c r="E4488" s="8"/>
      <c r="F4488" s="8"/>
      <c r="G4488" s="10" t="str">
        <f aca="false">IF($A4488="","",UPPER(SUBSTITUTE(SUBSTITUTE(SUBSTITUTE(SUBSTITUTE($A4488," ",""),"(주)",""),"주식회사",""),"㈜","")))</f>
        <v/>
      </c>
      <c r="H4488" s="10" t="str">
        <f aca="false">IF($B4488="","",SUBSTITUTE(SUBSTITUTE(SUBSTITUTE($B4488,"-","")," ",""),".",""))</f>
        <v/>
      </c>
      <c r="I4488" s="10" t="str">
        <f aca="false">IF($D4488="","",SUBSTITUTE(SUBSTITUTE(SUBSTITUTE($D4488,"-","")," ",""),".",""))</f>
        <v/>
      </c>
      <c r="J4488" s="10" t="str">
        <f aca="false">IF($E4488="","",UPPER(SUBSTITUTE($E4488," ","")))</f>
        <v/>
      </c>
      <c r="K4488" s="10" t="str">
        <f aca="false">IF($A4488="","",$G4488&amp;"|"&amp;$J4488)</f>
        <v/>
      </c>
      <c r="L4488" s="10" t="str">
        <f aca="false">IF($A4488="","",ROW()-2)</f>
        <v/>
      </c>
      <c r="M4488" s="10" t="str">
        <f aca="false">IF($A4488="","",ROW())</f>
        <v/>
      </c>
    </row>
    <row r="4489" customFormat="false" ht="15" hidden="false" customHeight="true" outlineLevel="0" collapsed="false">
      <c r="A4489" s="8"/>
      <c r="B4489" s="8"/>
      <c r="C4489" s="8"/>
      <c r="D4489" s="8"/>
      <c r="E4489" s="8"/>
      <c r="F4489" s="8"/>
      <c r="G4489" s="10" t="str">
        <f aca="false">IF($A4489="","",UPPER(SUBSTITUTE(SUBSTITUTE(SUBSTITUTE(SUBSTITUTE($A4489," ",""),"(주)",""),"주식회사",""),"㈜","")))</f>
        <v/>
      </c>
      <c r="H4489" s="10" t="str">
        <f aca="false">IF($B4489="","",SUBSTITUTE(SUBSTITUTE(SUBSTITUTE($B4489,"-","")," ",""),".",""))</f>
        <v/>
      </c>
      <c r="I4489" s="10" t="str">
        <f aca="false">IF($D4489="","",SUBSTITUTE(SUBSTITUTE(SUBSTITUTE($D4489,"-","")," ",""),".",""))</f>
        <v/>
      </c>
      <c r="J4489" s="10" t="str">
        <f aca="false">IF($E4489="","",UPPER(SUBSTITUTE($E4489," ","")))</f>
        <v/>
      </c>
      <c r="K4489" s="10" t="str">
        <f aca="false">IF($A4489="","",$G4489&amp;"|"&amp;$J4489)</f>
        <v/>
      </c>
      <c r="L4489" s="10" t="str">
        <f aca="false">IF($A4489="","",ROW()-2)</f>
        <v/>
      </c>
      <c r="M4489" s="10" t="str">
        <f aca="false">IF($A4489="","",ROW())</f>
        <v/>
      </c>
    </row>
    <row r="4490" customFormat="false" ht="15" hidden="false" customHeight="true" outlineLevel="0" collapsed="false">
      <c r="A4490" s="8"/>
      <c r="B4490" s="8"/>
      <c r="C4490" s="8"/>
      <c r="D4490" s="8"/>
      <c r="E4490" s="8"/>
      <c r="F4490" s="8"/>
      <c r="G4490" s="10" t="str">
        <f aca="false">IF($A4490="","",UPPER(SUBSTITUTE(SUBSTITUTE(SUBSTITUTE(SUBSTITUTE($A4490," ",""),"(주)",""),"주식회사",""),"㈜","")))</f>
        <v/>
      </c>
      <c r="H4490" s="10" t="str">
        <f aca="false">IF($B4490="","",SUBSTITUTE(SUBSTITUTE(SUBSTITUTE($B4490,"-","")," ",""),".",""))</f>
        <v/>
      </c>
      <c r="I4490" s="10" t="str">
        <f aca="false">IF($D4490="","",SUBSTITUTE(SUBSTITUTE(SUBSTITUTE($D4490,"-","")," ",""),".",""))</f>
        <v/>
      </c>
      <c r="J4490" s="10" t="str">
        <f aca="false">IF($E4490="","",UPPER(SUBSTITUTE($E4490," ","")))</f>
        <v/>
      </c>
      <c r="K4490" s="10" t="str">
        <f aca="false">IF($A4490="","",$G4490&amp;"|"&amp;$J4490)</f>
        <v/>
      </c>
      <c r="L4490" s="10" t="str">
        <f aca="false">IF($A4490="","",ROW()-2)</f>
        <v/>
      </c>
      <c r="M4490" s="10" t="str">
        <f aca="false">IF($A4490="","",ROW())</f>
        <v/>
      </c>
    </row>
    <row r="4491" customFormat="false" ht="15" hidden="false" customHeight="true" outlineLevel="0" collapsed="false">
      <c r="A4491" s="8"/>
      <c r="B4491" s="8"/>
      <c r="C4491" s="8"/>
      <c r="D4491" s="8"/>
      <c r="E4491" s="8"/>
      <c r="F4491" s="8"/>
      <c r="G4491" s="10" t="str">
        <f aca="false">IF($A4491="","",UPPER(SUBSTITUTE(SUBSTITUTE(SUBSTITUTE(SUBSTITUTE($A4491," ",""),"(주)",""),"주식회사",""),"㈜","")))</f>
        <v/>
      </c>
      <c r="H4491" s="10" t="str">
        <f aca="false">IF($B4491="","",SUBSTITUTE(SUBSTITUTE(SUBSTITUTE($B4491,"-","")," ",""),".",""))</f>
        <v/>
      </c>
      <c r="I4491" s="10" t="str">
        <f aca="false">IF($D4491="","",SUBSTITUTE(SUBSTITUTE(SUBSTITUTE($D4491,"-","")," ",""),".",""))</f>
        <v/>
      </c>
      <c r="J4491" s="10" t="str">
        <f aca="false">IF($E4491="","",UPPER(SUBSTITUTE($E4491," ","")))</f>
        <v/>
      </c>
      <c r="K4491" s="10" t="str">
        <f aca="false">IF($A4491="","",$G4491&amp;"|"&amp;$J4491)</f>
        <v/>
      </c>
      <c r="L4491" s="10" t="str">
        <f aca="false">IF($A4491="","",ROW()-2)</f>
        <v/>
      </c>
      <c r="M4491" s="10" t="str">
        <f aca="false">IF($A4491="","",ROW())</f>
        <v/>
      </c>
    </row>
    <row r="4492" customFormat="false" ht="15" hidden="false" customHeight="true" outlineLevel="0" collapsed="false">
      <c r="A4492" s="8"/>
      <c r="B4492" s="8"/>
      <c r="C4492" s="8"/>
      <c r="D4492" s="8"/>
      <c r="E4492" s="8"/>
      <c r="F4492" s="8"/>
      <c r="G4492" s="10" t="str">
        <f aca="false">IF($A4492="","",UPPER(SUBSTITUTE(SUBSTITUTE(SUBSTITUTE(SUBSTITUTE($A4492," ",""),"(주)",""),"주식회사",""),"㈜","")))</f>
        <v/>
      </c>
      <c r="H4492" s="10" t="str">
        <f aca="false">IF($B4492="","",SUBSTITUTE(SUBSTITUTE(SUBSTITUTE($B4492,"-","")," ",""),".",""))</f>
        <v/>
      </c>
      <c r="I4492" s="10" t="str">
        <f aca="false">IF($D4492="","",SUBSTITUTE(SUBSTITUTE(SUBSTITUTE($D4492,"-","")," ",""),".",""))</f>
        <v/>
      </c>
      <c r="J4492" s="10" t="str">
        <f aca="false">IF($E4492="","",UPPER(SUBSTITUTE($E4492," ","")))</f>
        <v/>
      </c>
      <c r="K4492" s="10" t="str">
        <f aca="false">IF($A4492="","",$G4492&amp;"|"&amp;$J4492)</f>
        <v/>
      </c>
      <c r="L4492" s="10" t="str">
        <f aca="false">IF($A4492="","",ROW()-2)</f>
        <v/>
      </c>
      <c r="M4492" s="10" t="str">
        <f aca="false">IF($A4492="","",ROW())</f>
        <v/>
      </c>
    </row>
    <row r="4493" customFormat="false" ht="15" hidden="false" customHeight="true" outlineLevel="0" collapsed="false">
      <c r="A4493" s="8"/>
      <c r="B4493" s="8"/>
      <c r="C4493" s="8"/>
      <c r="D4493" s="8"/>
      <c r="E4493" s="8"/>
      <c r="F4493" s="8"/>
      <c r="G4493" s="10" t="str">
        <f aca="false">IF($A4493="","",UPPER(SUBSTITUTE(SUBSTITUTE(SUBSTITUTE(SUBSTITUTE($A4493," ",""),"(주)",""),"주식회사",""),"㈜","")))</f>
        <v/>
      </c>
      <c r="H4493" s="10" t="str">
        <f aca="false">IF($B4493="","",SUBSTITUTE(SUBSTITUTE(SUBSTITUTE($B4493,"-","")," ",""),".",""))</f>
        <v/>
      </c>
      <c r="I4493" s="10" t="str">
        <f aca="false">IF($D4493="","",SUBSTITUTE(SUBSTITUTE(SUBSTITUTE($D4493,"-","")," ",""),".",""))</f>
        <v/>
      </c>
      <c r="J4493" s="10" t="str">
        <f aca="false">IF($E4493="","",UPPER(SUBSTITUTE($E4493," ","")))</f>
        <v/>
      </c>
      <c r="K4493" s="10" t="str">
        <f aca="false">IF($A4493="","",$G4493&amp;"|"&amp;$J4493)</f>
        <v/>
      </c>
      <c r="L4493" s="10" t="str">
        <f aca="false">IF($A4493="","",ROW()-2)</f>
        <v/>
      </c>
      <c r="M4493" s="10" t="str">
        <f aca="false">IF($A4493="","",ROW())</f>
        <v/>
      </c>
    </row>
    <row r="4494" customFormat="false" ht="15" hidden="false" customHeight="true" outlineLevel="0" collapsed="false">
      <c r="A4494" s="8"/>
      <c r="B4494" s="8"/>
      <c r="C4494" s="8"/>
      <c r="D4494" s="8"/>
      <c r="E4494" s="8"/>
      <c r="F4494" s="8"/>
      <c r="G4494" s="10" t="str">
        <f aca="false">IF($A4494="","",UPPER(SUBSTITUTE(SUBSTITUTE(SUBSTITUTE(SUBSTITUTE($A4494," ",""),"(주)",""),"주식회사",""),"㈜","")))</f>
        <v/>
      </c>
      <c r="H4494" s="10" t="str">
        <f aca="false">IF($B4494="","",SUBSTITUTE(SUBSTITUTE(SUBSTITUTE($B4494,"-","")," ",""),".",""))</f>
        <v/>
      </c>
      <c r="I4494" s="10" t="str">
        <f aca="false">IF($D4494="","",SUBSTITUTE(SUBSTITUTE(SUBSTITUTE($D4494,"-","")," ",""),".",""))</f>
        <v/>
      </c>
      <c r="J4494" s="10" t="str">
        <f aca="false">IF($E4494="","",UPPER(SUBSTITUTE($E4494," ","")))</f>
        <v/>
      </c>
      <c r="K4494" s="10" t="str">
        <f aca="false">IF($A4494="","",$G4494&amp;"|"&amp;$J4494)</f>
        <v/>
      </c>
      <c r="L4494" s="10" t="str">
        <f aca="false">IF($A4494="","",ROW()-2)</f>
        <v/>
      </c>
      <c r="M4494" s="10" t="str">
        <f aca="false">IF($A4494="","",ROW())</f>
        <v/>
      </c>
    </row>
    <row r="4495" customFormat="false" ht="15" hidden="false" customHeight="true" outlineLevel="0" collapsed="false">
      <c r="A4495" s="8"/>
      <c r="B4495" s="8"/>
      <c r="C4495" s="8"/>
      <c r="D4495" s="8"/>
      <c r="E4495" s="8"/>
      <c r="F4495" s="8"/>
      <c r="G4495" s="10" t="str">
        <f aca="false">IF($A4495="","",UPPER(SUBSTITUTE(SUBSTITUTE(SUBSTITUTE(SUBSTITUTE($A4495," ",""),"(주)",""),"주식회사",""),"㈜","")))</f>
        <v/>
      </c>
      <c r="H4495" s="10" t="str">
        <f aca="false">IF($B4495="","",SUBSTITUTE(SUBSTITUTE(SUBSTITUTE($B4495,"-","")," ",""),".",""))</f>
        <v/>
      </c>
      <c r="I4495" s="10" t="str">
        <f aca="false">IF($D4495="","",SUBSTITUTE(SUBSTITUTE(SUBSTITUTE($D4495,"-","")," ",""),".",""))</f>
        <v/>
      </c>
      <c r="J4495" s="10" t="str">
        <f aca="false">IF($E4495="","",UPPER(SUBSTITUTE($E4495," ","")))</f>
        <v/>
      </c>
      <c r="K4495" s="10" t="str">
        <f aca="false">IF($A4495="","",$G4495&amp;"|"&amp;$J4495)</f>
        <v/>
      </c>
      <c r="L4495" s="10" t="str">
        <f aca="false">IF($A4495="","",ROW()-2)</f>
        <v/>
      </c>
      <c r="M4495" s="10" t="str">
        <f aca="false">IF($A4495="","",ROW())</f>
        <v/>
      </c>
    </row>
    <row r="4496" customFormat="false" ht="15" hidden="false" customHeight="true" outlineLevel="0" collapsed="false">
      <c r="A4496" s="8"/>
      <c r="B4496" s="8"/>
      <c r="C4496" s="8"/>
      <c r="D4496" s="8"/>
      <c r="E4496" s="8"/>
      <c r="F4496" s="8"/>
      <c r="G4496" s="10" t="str">
        <f aca="false">IF($A4496="","",UPPER(SUBSTITUTE(SUBSTITUTE(SUBSTITUTE(SUBSTITUTE($A4496," ",""),"(주)",""),"주식회사",""),"㈜","")))</f>
        <v/>
      </c>
      <c r="H4496" s="10" t="str">
        <f aca="false">IF($B4496="","",SUBSTITUTE(SUBSTITUTE(SUBSTITUTE($B4496,"-","")," ",""),".",""))</f>
        <v/>
      </c>
      <c r="I4496" s="10" t="str">
        <f aca="false">IF($D4496="","",SUBSTITUTE(SUBSTITUTE(SUBSTITUTE($D4496,"-","")," ",""),".",""))</f>
        <v/>
      </c>
      <c r="J4496" s="10" t="str">
        <f aca="false">IF($E4496="","",UPPER(SUBSTITUTE($E4496," ","")))</f>
        <v/>
      </c>
      <c r="K4496" s="10" t="str">
        <f aca="false">IF($A4496="","",$G4496&amp;"|"&amp;$J4496)</f>
        <v/>
      </c>
      <c r="L4496" s="10" t="str">
        <f aca="false">IF($A4496="","",ROW()-2)</f>
        <v/>
      </c>
      <c r="M4496" s="10" t="str">
        <f aca="false">IF($A4496="","",ROW())</f>
        <v/>
      </c>
    </row>
    <row r="4497" customFormat="false" ht="15" hidden="false" customHeight="true" outlineLevel="0" collapsed="false">
      <c r="A4497" s="8"/>
      <c r="B4497" s="8"/>
      <c r="C4497" s="8"/>
      <c r="D4497" s="8"/>
      <c r="E4497" s="8"/>
      <c r="F4497" s="8"/>
      <c r="G4497" s="10" t="str">
        <f aca="false">IF($A4497="","",UPPER(SUBSTITUTE(SUBSTITUTE(SUBSTITUTE(SUBSTITUTE($A4497," ",""),"(주)",""),"주식회사",""),"㈜","")))</f>
        <v/>
      </c>
      <c r="H4497" s="10" t="str">
        <f aca="false">IF($B4497="","",SUBSTITUTE(SUBSTITUTE(SUBSTITUTE($B4497,"-","")," ",""),".",""))</f>
        <v/>
      </c>
      <c r="I4497" s="10" t="str">
        <f aca="false">IF($D4497="","",SUBSTITUTE(SUBSTITUTE(SUBSTITUTE($D4497,"-","")," ",""),".",""))</f>
        <v/>
      </c>
      <c r="J4497" s="10" t="str">
        <f aca="false">IF($E4497="","",UPPER(SUBSTITUTE($E4497," ","")))</f>
        <v/>
      </c>
      <c r="K4497" s="10" t="str">
        <f aca="false">IF($A4497="","",$G4497&amp;"|"&amp;$J4497)</f>
        <v/>
      </c>
      <c r="L4497" s="10" t="str">
        <f aca="false">IF($A4497="","",ROW()-2)</f>
        <v/>
      </c>
      <c r="M4497" s="10" t="str">
        <f aca="false">IF($A4497="","",ROW())</f>
        <v/>
      </c>
    </row>
    <row r="4498" customFormat="false" ht="15" hidden="false" customHeight="true" outlineLevel="0" collapsed="false">
      <c r="A4498" s="8"/>
      <c r="B4498" s="8"/>
      <c r="C4498" s="8"/>
      <c r="D4498" s="8"/>
      <c r="E4498" s="8"/>
      <c r="F4498" s="8"/>
      <c r="G4498" s="10" t="str">
        <f aca="false">IF($A4498="","",UPPER(SUBSTITUTE(SUBSTITUTE(SUBSTITUTE(SUBSTITUTE($A4498," ",""),"(주)",""),"주식회사",""),"㈜","")))</f>
        <v/>
      </c>
      <c r="H4498" s="10" t="str">
        <f aca="false">IF($B4498="","",SUBSTITUTE(SUBSTITUTE(SUBSTITUTE($B4498,"-","")," ",""),".",""))</f>
        <v/>
      </c>
      <c r="I4498" s="10" t="str">
        <f aca="false">IF($D4498="","",SUBSTITUTE(SUBSTITUTE(SUBSTITUTE($D4498,"-","")," ",""),".",""))</f>
        <v/>
      </c>
      <c r="J4498" s="10" t="str">
        <f aca="false">IF($E4498="","",UPPER(SUBSTITUTE($E4498," ","")))</f>
        <v/>
      </c>
      <c r="K4498" s="10" t="str">
        <f aca="false">IF($A4498="","",$G4498&amp;"|"&amp;$J4498)</f>
        <v/>
      </c>
      <c r="L4498" s="10" t="str">
        <f aca="false">IF($A4498="","",ROW()-2)</f>
        <v/>
      </c>
      <c r="M4498" s="10" t="str">
        <f aca="false">IF($A4498="","",ROW())</f>
        <v/>
      </c>
    </row>
    <row r="4499" customFormat="false" ht="15" hidden="false" customHeight="true" outlineLevel="0" collapsed="false">
      <c r="A4499" s="8"/>
      <c r="B4499" s="8"/>
      <c r="C4499" s="8"/>
      <c r="D4499" s="8"/>
      <c r="E4499" s="8"/>
      <c r="F4499" s="8"/>
      <c r="G4499" s="10" t="str">
        <f aca="false">IF($A4499="","",UPPER(SUBSTITUTE(SUBSTITUTE(SUBSTITUTE(SUBSTITUTE($A4499," ",""),"(주)",""),"주식회사",""),"㈜","")))</f>
        <v/>
      </c>
      <c r="H4499" s="10" t="str">
        <f aca="false">IF($B4499="","",SUBSTITUTE(SUBSTITUTE(SUBSTITUTE($B4499,"-","")," ",""),".",""))</f>
        <v/>
      </c>
      <c r="I4499" s="10" t="str">
        <f aca="false">IF($D4499="","",SUBSTITUTE(SUBSTITUTE(SUBSTITUTE($D4499,"-","")," ",""),".",""))</f>
        <v/>
      </c>
      <c r="J4499" s="10" t="str">
        <f aca="false">IF($E4499="","",UPPER(SUBSTITUTE($E4499," ","")))</f>
        <v/>
      </c>
      <c r="K4499" s="10" t="str">
        <f aca="false">IF($A4499="","",$G4499&amp;"|"&amp;$J4499)</f>
        <v/>
      </c>
      <c r="L4499" s="10" t="str">
        <f aca="false">IF($A4499="","",ROW()-2)</f>
        <v/>
      </c>
      <c r="M4499" s="10" t="str">
        <f aca="false">IF($A4499="","",ROW())</f>
        <v/>
      </c>
    </row>
    <row r="4500" customFormat="false" ht="15" hidden="false" customHeight="true" outlineLevel="0" collapsed="false">
      <c r="A4500" s="8"/>
      <c r="B4500" s="8"/>
      <c r="C4500" s="8"/>
      <c r="D4500" s="8"/>
      <c r="E4500" s="8"/>
      <c r="F4500" s="8"/>
      <c r="G4500" s="10" t="str">
        <f aca="false">IF($A4500="","",UPPER(SUBSTITUTE(SUBSTITUTE(SUBSTITUTE(SUBSTITUTE($A4500," ",""),"(주)",""),"주식회사",""),"㈜","")))</f>
        <v/>
      </c>
      <c r="H4500" s="10" t="str">
        <f aca="false">IF($B4500="","",SUBSTITUTE(SUBSTITUTE(SUBSTITUTE($B4500,"-","")," ",""),".",""))</f>
        <v/>
      </c>
      <c r="I4500" s="10" t="str">
        <f aca="false">IF($D4500="","",SUBSTITUTE(SUBSTITUTE(SUBSTITUTE($D4500,"-","")," ",""),".",""))</f>
        <v/>
      </c>
      <c r="J4500" s="10" t="str">
        <f aca="false">IF($E4500="","",UPPER(SUBSTITUTE($E4500," ","")))</f>
        <v/>
      </c>
      <c r="K4500" s="10" t="str">
        <f aca="false">IF($A4500="","",$G4500&amp;"|"&amp;$J4500)</f>
        <v/>
      </c>
      <c r="L4500" s="10" t="str">
        <f aca="false">IF($A4500="","",ROW()-2)</f>
        <v/>
      </c>
      <c r="M4500" s="10" t="str">
        <f aca="false">IF($A4500="","",ROW())</f>
        <v/>
      </c>
    </row>
    <row r="4501" customFormat="false" ht="15" hidden="false" customHeight="true" outlineLevel="0" collapsed="false">
      <c r="A4501" s="8"/>
      <c r="B4501" s="8"/>
      <c r="C4501" s="8"/>
      <c r="D4501" s="8"/>
      <c r="E4501" s="8"/>
      <c r="F4501" s="8"/>
      <c r="G4501" s="10" t="str">
        <f aca="false">IF($A4501="","",UPPER(SUBSTITUTE(SUBSTITUTE(SUBSTITUTE(SUBSTITUTE($A4501," ",""),"(주)",""),"주식회사",""),"㈜","")))</f>
        <v/>
      </c>
      <c r="H4501" s="10" t="str">
        <f aca="false">IF($B4501="","",SUBSTITUTE(SUBSTITUTE(SUBSTITUTE($B4501,"-","")," ",""),".",""))</f>
        <v/>
      </c>
      <c r="I4501" s="10" t="str">
        <f aca="false">IF($D4501="","",SUBSTITUTE(SUBSTITUTE(SUBSTITUTE($D4501,"-","")," ",""),".",""))</f>
        <v/>
      </c>
      <c r="J4501" s="10" t="str">
        <f aca="false">IF($E4501="","",UPPER(SUBSTITUTE($E4501," ","")))</f>
        <v/>
      </c>
      <c r="K4501" s="10" t="str">
        <f aca="false">IF($A4501="","",$G4501&amp;"|"&amp;$J4501)</f>
        <v/>
      </c>
      <c r="L4501" s="10" t="str">
        <f aca="false">IF($A4501="","",ROW()-2)</f>
        <v/>
      </c>
      <c r="M4501" s="10" t="str">
        <f aca="false">IF($A4501="","",ROW())</f>
        <v/>
      </c>
    </row>
    <row r="4502" customFormat="false" ht="15" hidden="false" customHeight="true" outlineLevel="0" collapsed="false">
      <c r="A4502" s="8"/>
      <c r="B4502" s="8"/>
      <c r="C4502" s="8"/>
      <c r="D4502" s="8"/>
      <c r="E4502" s="8"/>
      <c r="F4502" s="8"/>
      <c r="G4502" s="10" t="str">
        <f aca="false">IF($A4502="","",UPPER(SUBSTITUTE(SUBSTITUTE(SUBSTITUTE(SUBSTITUTE($A4502," ",""),"(주)",""),"주식회사",""),"㈜","")))</f>
        <v/>
      </c>
      <c r="H4502" s="10" t="str">
        <f aca="false">IF($B4502="","",SUBSTITUTE(SUBSTITUTE(SUBSTITUTE($B4502,"-","")," ",""),".",""))</f>
        <v/>
      </c>
      <c r="I4502" s="10" t="str">
        <f aca="false">IF($D4502="","",SUBSTITUTE(SUBSTITUTE(SUBSTITUTE($D4502,"-","")," ",""),".",""))</f>
        <v/>
      </c>
      <c r="J4502" s="10" t="str">
        <f aca="false">IF($E4502="","",UPPER(SUBSTITUTE($E4502," ","")))</f>
        <v/>
      </c>
      <c r="K4502" s="10" t="str">
        <f aca="false">IF($A4502="","",$G4502&amp;"|"&amp;$J4502)</f>
        <v/>
      </c>
      <c r="L4502" s="10" t="str">
        <f aca="false">IF($A4502="","",ROW()-2)</f>
        <v/>
      </c>
      <c r="M4502" s="10" t="str">
        <f aca="false">IF($A4502="","",ROW())</f>
        <v/>
      </c>
    </row>
    <row r="4503" customFormat="false" ht="15" hidden="false" customHeight="true" outlineLevel="0" collapsed="false">
      <c r="A4503" s="8"/>
      <c r="B4503" s="8"/>
      <c r="C4503" s="8"/>
      <c r="D4503" s="8"/>
      <c r="E4503" s="8"/>
      <c r="F4503" s="8"/>
      <c r="G4503" s="10" t="str">
        <f aca="false">IF($A4503="","",UPPER(SUBSTITUTE(SUBSTITUTE(SUBSTITUTE(SUBSTITUTE($A4503," ",""),"(주)",""),"주식회사",""),"㈜","")))</f>
        <v/>
      </c>
      <c r="H4503" s="10" t="str">
        <f aca="false">IF($B4503="","",SUBSTITUTE(SUBSTITUTE(SUBSTITUTE($B4503,"-","")," ",""),".",""))</f>
        <v/>
      </c>
      <c r="I4503" s="10" t="str">
        <f aca="false">IF($D4503="","",SUBSTITUTE(SUBSTITUTE(SUBSTITUTE($D4503,"-","")," ",""),".",""))</f>
        <v/>
      </c>
      <c r="J4503" s="10" t="str">
        <f aca="false">IF($E4503="","",UPPER(SUBSTITUTE($E4503," ","")))</f>
        <v/>
      </c>
      <c r="K4503" s="10" t="str">
        <f aca="false">IF($A4503="","",$G4503&amp;"|"&amp;$J4503)</f>
        <v/>
      </c>
      <c r="L4503" s="10" t="str">
        <f aca="false">IF($A4503="","",ROW()-2)</f>
        <v/>
      </c>
      <c r="M4503" s="10" t="str">
        <f aca="false">IF($A4503="","",ROW())</f>
        <v/>
      </c>
    </row>
    <row r="4504" customFormat="false" ht="15" hidden="false" customHeight="true" outlineLevel="0" collapsed="false">
      <c r="A4504" s="8"/>
      <c r="B4504" s="8"/>
      <c r="C4504" s="8"/>
      <c r="D4504" s="8"/>
      <c r="E4504" s="8"/>
      <c r="F4504" s="8"/>
      <c r="G4504" s="10" t="str">
        <f aca="false">IF($A4504="","",UPPER(SUBSTITUTE(SUBSTITUTE(SUBSTITUTE(SUBSTITUTE($A4504," ",""),"(주)",""),"주식회사",""),"㈜","")))</f>
        <v/>
      </c>
      <c r="H4504" s="10" t="str">
        <f aca="false">IF($B4504="","",SUBSTITUTE(SUBSTITUTE(SUBSTITUTE($B4504,"-","")," ",""),".",""))</f>
        <v/>
      </c>
      <c r="I4504" s="10" t="str">
        <f aca="false">IF($D4504="","",SUBSTITUTE(SUBSTITUTE(SUBSTITUTE($D4504,"-","")," ",""),".",""))</f>
        <v/>
      </c>
      <c r="J4504" s="10" t="str">
        <f aca="false">IF($E4504="","",UPPER(SUBSTITUTE($E4504," ","")))</f>
        <v/>
      </c>
      <c r="K4504" s="10" t="str">
        <f aca="false">IF($A4504="","",$G4504&amp;"|"&amp;$J4504)</f>
        <v/>
      </c>
      <c r="L4504" s="10" t="str">
        <f aca="false">IF($A4504="","",ROW()-2)</f>
        <v/>
      </c>
      <c r="M4504" s="10" t="str">
        <f aca="false">IF($A4504="","",ROW())</f>
        <v/>
      </c>
    </row>
    <row r="4505" customFormat="false" ht="15" hidden="false" customHeight="true" outlineLevel="0" collapsed="false">
      <c r="A4505" s="8"/>
      <c r="B4505" s="8"/>
      <c r="C4505" s="8"/>
      <c r="D4505" s="8"/>
      <c r="E4505" s="8"/>
      <c r="F4505" s="8"/>
      <c r="G4505" s="10" t="str">
        <f aca="false">IF($A4505="","",UPPER(SUBSTITUTE(SUBSTITUTE(SUBSTITUTE(SUBSTITUTE($A4505," ",""),"(주)",""),"주식회사",""),"㈜","")))</f>
        <v/>
      </c>
      <c r="H4505" s="10" t="str">
        <f aca="false">IF($B4505="","",SUBSTITUTE(SUBSTITUTE(SUBSTITUTE($B4505,"-","")," ",""),".",""))</f>
        <v/>
      </c>
      <c r="I4505" s="10" t="str">
        <f aca="false">IF($D4505="","",SUBSTITUTE(SUBSTITUTE(SUBSTITUTE($D4505,"-","")," ",""),".",""))</f>
        <v/>
      </c>
      <c r="J4505" s="10" t="str">
        <f aca="false">IF($E4505="","",UPPER(SUBSTITUTE($E4505," ","")))</f>
        <v/>
      </c>
      <c r="K4505" s="10" t="str">
        <f aca="false">IF($A4505="","",$G4505&amp;"|"&amp;$J4505)</f>
        <v/>
      </c>
      <c r="L4505" s="10" t="str">
        <f aca="false">IF($A4505="","",ROW()-2)</f>
        <v/>
      </c>
      <c r="M4505" s="10" t="str">
        <f aca="false">IF($A4505="","",ROW())</f>
        <v/>
      </c>
    </row>
    <row r="4506" customFormat="false" ht="15" hidden="false" customHeight="true" outlineLevel="0" collapsed="false">
      <c r="A4506" s="8"/>
      <c r="B4506" s="8"/>
      <c r="C4506" s="8"/>
      <c r="D4506" s="8"/>
      <c r="E4506" s="8"/>
      <c r="F4506" s="8"/>
      <c r="G4506" s="10" t="str">
        <f aca="false">IF($A4506="","",UPPER(SUBSTITUTE(SUBSTITUTE(SUBSTITUTE(SUBSTITUTE($A4506," ",""),"(주)",""),"주식회사",""),"㈜","")))</f>
        <v/>
      </c>
      <c r="H4506" s="10" t="str">
        <f aca="false">IF($B4506="","",SUBSTITUTE(SUBSTITUTE(SUBSTITUTE($B4506,"-","")," ",""),".",""))</f>
        <v/>
      </c>
      <c r="I4506" s="10" t="str">
        <f aca="false">IF($D4506="","",SUBSTITUTE(SUBSTITUTE(SUBSTITUTE($D4506,"-","")," ",""),".",""))</f>
        <v/>
      </c>
      <c r="J4506" s="10" t="str">
        <f aca="false">IF($E4506="","",UPPER(SUBSTITUTE($E4506," ","")))</f>
        <v/>
      </c>
      <c r="K4506" s="10" t="str">
        <f aca="false">IF($A4506="","",$G4506&amp;"|"&amp;$J4506)</f>
        <v/>
      </c>
      <c r="L4506" s="10" t="str">
        <f aca="false">IF($A4506="","",ROW()-2)</f>
        <v/>
      </c>
      <c r="M4506" s="10" t="str">
        <f aca="false">IF($A4506="","",ROW())</f>
        <v/>
      </c>
    </row>
    <row r="4507" customFormat="false" ht="15" hidden="false" customHeight="true" outlineLevel="0" collapsed="false">
      <c r="A4507" s="8"/>
      <c r="B4507" s="8"/>
      <c r="C4507" s="8"/>
      <c r="D4507" s="8"/>
      <c r="E4507" s="8"/>
      <c r="F4507" s="8"/>
      <c r="G4507" s="10" t="str">
        <f aca="false">IF($A4507="","",UPPER(SUBSTITUTE(SUBSTITUTE(SUBSTITUTE(SUBSTITUTE($A4507," ",""),"(주)",""),"주식회사",""),"㈜","")))</f>
        <v/>
      </c>
      <c r="H4507" s="10" t="str">
        <f aca="false">IF($B4507="","",SUBSTITUTE(SUBSTITUTE(SUBSTITUTE($B4507,"-","")," ",""),".",""))</f>
        <v/>
      </c>
      <c r="I4507" s="10" t="str">
        <f aca="false">IF($D4507="","",SUBSTITUTE(SUBSTITUTE(SUBSTITUTE($D4507,"-","")," ",""),".",""))</f>
        <v/>
      </c>
      <c r="J4507" s="10" t="str">
        <f aca="false">IF($E4507="","",UPPER(SUBSTITUTE($E4507," ","")))</f>
        <v/>
      </c>
      <c r="K4507" s="10" t="str">
        <f aca="false">IF($A4507="","",$G4507&amp;"|"&amp;$J4507)</f>
        <v/>
      </c>
      <c r="L4507" s="10" t="str">
        <f aca="false">IF($A4507="","",ROW()-2)</f>
        <v/>
      </c>
      <c r="M4507" s="10" t="str">
        <f aca="false">IF($A4507="","",ROW())</f>
        <v/>
      </c>
    </row>
    <row r="4508" customFormat="false" ht="15" hidden="false" customHeight="true" outlineLevel="0" collapsed="false">
      <c r="A4508" s="8"/>
      <c r="B4508" s="8"/>
      <c r="C4508" s="8"/>
      <c r="D4508" s="8"/>
      <c r="E4508" s="8"/>
      <c r="F4508" s="8"/>
      <c r="G4508" s="10" t="str">
        <f aca="false">IF($A4508="","",UPPER(SUBSTITUTE(SUBSTITUTE(SUBSTITUTE(SUBSTITUTE($A4508," ",""),"(주)",""),"주식회사",""),"㈜","")))</f>
        <v/>
      </c>
      <c r="H4508" s="10" t="str">
        <f aca="false">IF($B4508="","",SUBSTITUTE(SUBSTITUTE(SUBSTITUTE($B4508,"-","")," ",""),".",""))</f>
        <v/>
      </c>
      <c r="I4508" s="10" t="str">
        <f aca="false">IF($D4508="","",SUBSTITUTE(SUBSTITUTE(SUBSTITUTE($D4508,"-","")," ",""),".",""))</f>
        <v/>
      </c>
      <c r="J4508" s="10" t="str">
        <f aca="false">IF($E4508="","",UPPER(SUBSTITUTE($E4508," ","")))</f>
        <v/>
      </c>
      <c r="K4508" s="10" t="str">
        <f aca="false">IF($A4508="","",$G4508&amp;"|"&amp;$J4508)</f>
        <v/>
      </c>
      <c r="L4508" s="10" t="str">
        <f aca="false">IF($A4508="","",ROW()-2)</f>
        <v/>
      </c>
      <c r="M4508" s="10" t="str">
        <f aca="false">IF($A4508="","",ROW())</f>
        <v/>
      </c>
    </row>
    <row r="4509" customFormat="false" ht="15" hidden="false" customHeight="true" outlineLevel="0" collapsed="false">
      <c r="A4509" s="8"/>
      <c r="B4509" s="8"/>
      <c r="C4509" s="8"/>
      <c r="D4509" s="8"/>
      <c r="E4509" s="8"/>
      <c r="F4509" s="8"/>
      <c r="G4509" s="10" t="str">
        <f aca="false">IF($A4509="","",UPPER(SUBSTITUTE(SUBSTITUTE(SUBSTITUTE(SUBSTITUTE($A4509," ",""),"(주)",""),"주식회사",""),"㈜","")))</f>
        <v/>
      </c>
      <c r="H4509" s="10" t="str">
        <f aca="false">IF($B4509="","",SUBSTITUTE(SUBSTITUTE(SUBSTITUTE($B4509,"-","")," ",""),".",""))</f>
        <v/>
      </c>
      <c r="I4509" s="10" t="str">
        <f aca="false">IF($D4509="","",SUBSTITUTE(SUBSTITUTE(SUBSTITUTE($D4509,"-","")," ",""),".",""))</f>
        <v/>
      </c>
      <c r="J4509" s="10" t="str">
        <f aca="false">IF($E4509="","",UPPER(SUBSTITUTE($E4509," ","")))</f>
        <v/>
      </c>
      <c r="K4509" s="10" t="str">
        <f aca="false">IF($A4509="","",$G4509&amp;"|"&amp;$J4509)</f>
        <v/>
      </c>
      <c r="L4509" s="10" t="str">
        <f aca="false">IF($A4509="","",ROW()-2)</f>
        <v/>
      </c>
      <c r="M4509" s="10" t="str">
        <f aca="false">IF($A4509="","",ROW())</f>
        <v/>
      </c>
    </row>
    <row r="4510" customFormat="false" ht="15" hidden="false" customHeight="true" outlineLevel="0" collapsed="false">
      <c r="A4510" s="8"/>
      <c r="B4510" s="8"/>
      <c r="C4510" s="8"/>
      <c r="D4510" s="8"/>
      <c r="E4510" s="8"/>
      <c r="F4510" s="8"/>
      <c r="G4510" s="10" t="str">
        <f aca="false">IF($A4510="","",UPPER(SUBSTITUTE(SUBSTITUTE(SUBSTITUTE(SUBSTITUTE($A4510," ",""),"(주)",""),"주식회사",""),"㈜","")))</f>
        <v/>
      </c>
      <c r="H4510" s="10" t="str">
        <f aca="false">IF($B4510="","",SUBSTITUTE(SUBSTITUTE(SUBSTITUTE($B4510,"-","")," ",""),".",""))</f>
        <v/>
      </c>
      <c r="I4510" s="10" t="str">
        <f aca="false">IF($D4510="","",SUBSTITUTE(SUBSTITUTE(SUBSTITUTE($D4510,"-","")," ",""),".",""))</f>
        <v/>
      </c>
      <c r="J4510" s="10" t="str">
        <f aca="false">IF($E4510="","",UPPER(SUBSTITUTE($E4510," ","")))</f>
        <v/>
      </c>
      <c r="K4510" s="10" t="str">
        <f aca="false">IF($A4510="","",$G4510&amp;"|"&amp;$J4510)</f>
        <v/>
      </c>
      <c r="L4510" s="10" t="str">
        <f aca="false">IF($A4510="","",ROW()-2)</f>
        <v/>
      </c>
      <c r="M4510" s="10" t="str">
        <f aca="false">IF($A4510="","",ROW())</f>
        <v/>
      </c>
    </row>
    <row r="4511" customFormat="false" ht="15" hidden="false" customHeight="true" outlineLevel="0" collapsed="false">
      <c r="A4511" s="8"/>
      <c r="B4511" s="8"/>
      <c r="C4511" s="8"/>
      <c r="D4511" s="8"/>
      <c r="E4511" s="8"/>
      <c r="F4511" s="8"/>
      <c r="G4511" s="10" t="str">
        <f aca="false">IF($A4511="","",UPPER(SUBSTITUTE(SUBSTITUTE(SUBSTITUTE(SUBSTITUTE($A4511," ",""),"(주)",""),"주식회사",""),"㈜","")))</f>
        <v/>
      </c>
      <c r="H4511" s="10" t="str">
        <f aca="false">IF($B4511="","",SUBSTITUTE(SUBSTITUTE(SUBSTITUTE($B4511,"-","")," ",""),".",""))</f>
        <v/>
      </c>
      <c r="I4511" s="10" t="str">
        <f aca="false">IF($D4511="","",SUBSTITUTE(SUBSTITUTE(SUBSTITUTE($D4511,"-","")," ",""),".",""))</f>
        <v/>
      </c>
      <c r="J4511" s="10" t="str">
        <f aca="false">IF($E4511="","",UPPER(SUBSTITUTE($E4511," ","")))</f>
        <v/>
      </c>
      <c r="K4511" s="10" t="str">
        <f aca="false">IF($A4511="","",$G4511&amp;"|"&amp;$J4511)</f>
        <v/>
      </c>
      <c r="L4511" s="10" t="str">
        <f aca="false">IF($A4511="","",ROW()-2)</f>
        <v/>
      </c>
      <c r="M4511" s="10" t="str">
        <f aca="false">IF($A4511="","",ROW())</f>
        <v/>
      </c>
    </row>
    <row r="4512" customFormat="false" ht="15" hidden="false" customHeight="true" outlineLevel="0" collapsed="false">
      <c r="A4512" s="8"/>
      <c r="B4512" s="8"/>
      <c r="C4512" s="8"/>
      <c r="D4512" s="8"/>
      <c r="E4512" s="8"/>
      <c r="F4512" s="8"/>
      <c r="G4512" s="10" t="str">
        <f aca="false">IF($A4512="","",UPPER(SUBSTITUTE(SUBSTITUTE(SUBSTITUTE(SUBSTITUTE($A4512," ",""),"(주)",""),"주식회사",""),"㈜","")))</f>
        <v/>
      </c>
      <c r="H4512" s="10" t="str">
        <f aca="false">IF($B4512="","",SUBSTITUTE(SUBSTITUTE(SUBSTITUTE($B4512,"-","")," ",""),".",""))</f>
        <v/>
      </c>
      <c r="I4512" s="10" t="str">
        <f aca="false">IF($D4512="","",SUBSTITUTE(SUBSTITUTE(SUBSTITUTE($D4512,"-","")," ",""),".",""))</f>
        <v/>
      </c>
      <c r="J4512" s="10" t="str">
        <f aca="false">IF($E4512="","",UPPER(SUBSTITUTE($E4512," ","")))</f>
        <v/>
      </c>
      <c r="K4512" s="10" t="str">
        <f aca="false">IF($A4512="","",$G4512&amp;"|"&amp;$J4512)</f>
        <v/>
      </c>
      <c r="L4512" s="10" t="str">
        <f aca="false">IF($A4512="","",ROW()-2)</f>
        <v/>
      </c>
      <c r="M4512" s="10" t="str">
        <f aca="false">IF($A4512="","",ROW())</f>
        <v/>
      </c>
    </row>
    <row r="4513" customFormat="false" ht="15" hidden="false" customHeight="true" outlineLevel="0" collapsed="false">
      <c r="A4513" s="8"/>
      <c r="B4513" s="8"/>
      <c r="C4513" s="8"/>
      <c r="D4513" s="8"/>
      <c r="E4513" s="8"/>
      <c r="F4513" s="8"/>
      <c r="G4513" s="10" t="str">
        <f aca="false">IF($A4513="","",UPPER(SUBSTITUTE(SUBSTITUTE(SUBSTITUTE(SUBSTITUTE($A4513," ",""),"(주)",""),"주식회사",""),"㈜","")))</f>
        <v/>
      </c>
      <c r="H4513" s="10" t="str">
        <f aca="false">IF($B4513="","",SUBSTITUTE(SUBSTITUTE(SUBSTITUTE($B4513,"-","")," ",""),".",""))</f>
        <v/>
      </c>
      <c r="I4513" s="10" t="str">
        <f aca="false">IF($D4513="","",SUBSTITUTE(SUBSTITUTE(SUBSTITUTE($D4513,"-","")," ",""),".",""))</f>
        <v/>
      </c>
      <c r="J4513" s="10" t="str">
        <f aca="false">IF($E4513="","",UPPER(SUBSTITUTE($E4513," ","")))</f>
        <v/>
      </c>
      <c r="K4513" s="10" t="str">
        <f aca="false">IF($A4513="","",$G4513&amp;"|"&amp;$J4513)</f>
        <v/>
      </c>
      <c r="L4513" s="10" t="str">
        <f aca="false">IF($A4513="","",ROW()-2)</f>
        <v/>
      </c>
      <c r="M4513" s="10" t="str">
        <f aca="false">IF($A4513="","",ROW())</f>
        <v/>
      </c>
    </row>
    <row r="4514" customFormat="false" ht="15" hidden="false" customHeight="true" outlineLevel="0" collapsed="false">
      <c r="A4514" s="8"/>
      <c r="B4514" s="8"/>
      <c r="C4514" s="8"/>
      <c r="D4514" s="8"/>
      <c r="E4514" s="8"/>
      <c r="F4514" s="8"/>
      <c r="G4514" s="10" t="str">
        <f aca="false">IF($A4514="","",UPPER(SUBSTITUTE(SUBSTITUTE(SUBSTITUTE(SUBSTITUTE($A4514," ",""),"(주)",""),"주식회사",""),"㈜","")))</f>
        <v/>
      </c>
      <c r="H4514" s="10" t="str">
        <f aca="false">IF($B4514="","",SUBSTITUTE(SUBSTITUTE(SUBSTITUTE($B4514,"-","")," ",""),".",""))</f>
        <v/>
      </c>
      <c r="I4514" s="10" t="str">
        <f aca="false">IF($D4514="","",SUBSTITUTE(SUBSTITUTE(SUBSTITUTE($D4514,"-","")," ",""),".",""))</f>
        <v/>
      </c>
      <c r="J4514" s="10" t="str">
        <f aca="false">IF($E4514="","",UPPER(SUBSTITUTE($E4514," ","")))</f>
        <v/>
      </c>
      <c r="K4514" s="10" t="str">
        <f aca="false">IF($A4514="","",$G4514&amp;"|"&amp;$J4514)</f>
        <v/>
      </c>
      <c r="L4514" s="10" t="str">
        <f aca="false">IF($A4514="","",ROW()-2)</f>
        <v/>
      </c>
      <c r="M4514" s="10" t="str">
        <f aca="false">IF($A4514="","",ROW())</f>
        <v/>
      </c>
    </row>
    <row r="4515" customFormat="false" ht="15" hidden="false" customHeight="true" outlineLevel="0" collapsed="false">
      <c r="A4515" s="8"/>
      <c r="B4515" s="8"/>
      <c r="C4515" s="8"/>
      <c r="D4515" s="8"/>
      <c r="E4515" s="8"/>
      <c r="F4515" s="8"/>
      <c r="G4515" s="10" t="str">
        <f aca="false">IF($A4515="","",UPPER(SUBSTITUTE(SUBSTITUTE(SUBSTITUTE(SUBSTITUTE($A4515," ",""),"(주)",""),"주식회사",""),"㈜","")))</f>
        <v/>
      </c>
      <c r="H4515" s="10" t="str">
        <f aca="false">IF($B4515="","",SUBSTITUTE(SUBSTITUTE(SUBSTITUTE($B4515,"-","")," ",""),".",""))</f>
        <v/>
      </c>
      <c r="I4515" s="10" t="str">
        <f aca="false">IF($D4515="","",SUBSTITUTE(SUBSTITUTE(SUBSTITUTE($D4515,"-","")," ",""),".",""))</f>
        <v/>
      </c>
      <c r="J4515" s="10" t="str">
        <f aca="false">IF($E4515="","",UPPER(SUBSTITUTE($E4515," ","")))</f>
        <v/>
      </c>
      <c r="K4515" s="10" t="str">
        <f aca="false">IF($A4515="","",$G4515&amp;"|"&amp;$J4515)</f>
        <v/>
      </c>
      <c r="L4515" s="10" t="str">
        <f aca="false">IF($A4515="","",ROW()-2)</f>
        <v/>
      </c>
      <c r="M4515" s="10" t="str">
        <f aca="false">IF($A4515="","",ROW())</f>
        <v/>
      </c>
    </row>
    <row r="4516" customFormat="false" ht="15" hidden="false" customHeight="true" outlineLevel="0" collapsed="false">
      <c r="A4516" s="8"/>
      <c r="B4516" s="8"/>
      <c r="C4516" s="8"/>
      <c r="D4516" s="8"/>
      <c r="E4516" s="8"/>
      <c r="F4516" s="8"/>
      <c r="G4516" s="10" t="str">
        <f aca="false">IF($A4516="","",UPPER(SUBSTITUTE(SUBSTITUTE(SUBSTITUTE(SUBSTITUTE($A4516," ",""),"(주)",""),"주식회사",""),"㈜","")))</f>
        <v/>
      </c>
      <c r="H4516" s="10" t="str">
        <f aca="false">IF($B4516="","",SUBSTITUTE(SUBSTITUTE(SUBSTITUTE($B4516,"-","")," ",""),".",""))</f>
        <v/>
      </c>
      <c r="I4516" s="10" t="str">
        <f aca="false">IF($D4516="","",SUBSTITUTE(SUBSTITUTE(SUBSTITUTE($D4516,"-","")," ",""),".",""))</f>
        <v/>
      </c>
      <c r="J4516" s="10" t="str">
        <f aca="false">IF($E4516="","",UPPER(SUBSTITUTE($E4516," ","")))</f>
        <v/>
      </c>
      <c r="K4516" s="10" t="str">
        <f aca="false">IF($A4516="","",$G4516&amp;"|"&amp;$J4516)</f>
        <v/>
      </c>
      <c r="L4516" s="10" t="str">
        <f aca="false">IF($A4516="","",ROW()-2)</f>
        <v/>
      </c>
      <c r="M4516" s="10" t="str">
        <f aca="false">IF($A4516="","",ROW())</f>
        <v/>
      </c>
    </row>
    <row r="4517" customFormat="false" ht="15" hidden="false" customHeight="true" outlineLevel="0" collapsed="false">
      <c r="A4517" s="8"/>
      <c r="B4517" s="8"/>
      <c r="C4517" s="8"/>
      <c r="D4517" s="8"/>
      <c r="E4517" s="8"/>
      <c r="F4517" s="8"/>
      <c r="G4517" s="10" t="str">
        <f aca="false">IF($A4517="","",UPPER(SUBSTITUTE(SUBSTITUTE(SUBSTITUTE(SUBSTITUTE($A4517," ",""),"(주)",""),"주식회사",""),"㈜","")))</f>
        <v/>
      </c>
      <c r="H4517" s="10" t="str">
        <f aca="false">IF($B4517="","",SUBSTITUTE(SUBSTITUTE(SUBSTITUTE($B4517,"-","")," ",""),".",""))</f>
        <v/>
      </c>
      <c r="I4517" s="10" t="str">
        <f aca="false">IF($D4517="","",SUBSTITUTE(SUBSTITUTE(SUBSTITUTE($D4517,"-","")," ",""),".",""))</f>
        <v/>
      </c>
      <c r="J4517" s="10" t="str">
        <f aca="false">IF($E4517="","",UPPER(SUBSTITUTE($E4517," ","")))</f>
        <v/>
      </c>
      <c r="K4517" s="10" t="str">
        <f aca="false">IF($A4517="","",$G4517&amp;"|"&amp;$J4517)</f>
        <v/>
      </c>
      <c r="L4517" s="10" t="str">
        <f aca="false">IF($A4517="","",ROW()-2)</f>
        <v/>
      </c>
      <c r="M4517" s="10" t="str">
        <f aca="false">IF($A4517="","",ROW())</f>
        <v/>
      </c>
    </row>
    <row r="4518" customFormat="false" ht="15" hidden="false" customHeight="true" outlineLevel="0" collapsed="false">
      <c r="A4518" s="8"/>
      <c r="B4518" s="8"/>
      <c r="C4518" s="8"/>
      <c r="D4518" s="8"/>
      <c r="E4518" s="8"/>
      <c r="F4518" s="8"/>
      <c r="G4518" s="10" t="str">
        <f aca="false">IF($A4518="","",UPPER(SUBSTITUTE(SUBSTITUTE(SUBSTITUTE(SUBSTITUTE($A4518," ",""),"(주)",""),"주식회사",""),"㈜","")))</f>
        <v/>
      </c>
      <c r="H4518" s="10" t="str">
        <f aca="false">IF($B4518="","",SUBSTITUTE(SUBSTITUTE(SUBSTITUTE($B4518,"-","")," ",""),".",""))</f>
        <v/>
      </c>
      <c r="I4518" s="10" t="str">
        <f aca="false">IF($D4518="","",SUBSTITUTE(SUBSTITUTE(SUBSTITUTE($D4518,"-","")," ",""),".",""))</f>
        <v/>
      </c>
      <c r="J4518" s="10" t="str">
        <f aca="false">IF($E4518="","",UPPER(SUBSTITUTE($E4518," ","")))</f>
        <v/>
      </c>
      <c r="K4518" s="10" t="str">
        <f aca="false">IF($A4518="","",$G4518&amp;"|"&amp;$J4518)</f>
        <v/>
      </c>
      <c r="L4518" s="10" t="str">
        <f aca="false">IF($A4518="","",ROW()-2)</f>
        <v/>
      </c>
      <c r="M4518" s="10" t="str">
        <f aca="false">IF($A4518="","",ROW())</f>
        <v/>
      </c>
    </row>
    <row r="4519" customFormat="false" ht="15" hidden="false" customHeight="true" outlineLevel="0" collapsed="false">
      <c r="A4519" s="8"/>
      <c r="B4519" s="8"/>
      <c r="C4519" s="8"/>
      <c r="D4519" s="8"/>
      <c r="E4519" s="8"/>
      <c r="F4519" s="8"/>
      <c r="G4519" s="10" t="str">
        <f aca="false">IF($A4519="","",UPPER(SUBSTITUTE(SUBSTITUTE(SUBSTITUTE(SUBSTITUTE($A4519," ",""),"(주)",""),"주식회사",""),"㈜","")))</f>
        <v/>
      </c>
      <c r="H4519" s="10" t="str">
        <f aca="false">IF($B4519="","",SUBSTITUTE(SUBSTITUTE(SUBSTITUTE($B4519,"-","")," ",""),".",""))</f>
        <v/>
      </c>
      <c r="I4519" s="10" t="str">
        <f aca="false">IF($D4519="","",SUBSTITUTE(SUBSTITUTE(SUBSTITUTE($D4519,"-","")," ",""),".",""))</f>
        <v/>
      </c>
      <c r="J4519" s="10" t="str">
        <f aca="false">IF($E4519="","",UPPER(SUBSTITUTE($E4519," ","")))</f>
        <v/>
      </c>
      <c r="K4519" s="10" t="str">
        <f aca="false">IF($A4519="","",$G4519&amp;"|"&amp;$J4519)</f>
        <v/>
      </c>
      <c r="L4519" s="10" t="str">
        <f aca="false">IF($A4519="","",ROW()-2)</f>
        <v/>
      </c>
      <c r="M4519" s="10" t="str">
        <f aca="false">IF($A4519="","",ROW())</f>
        <v/>
      </c>
    </row>
    <row r="4520" customFormat="false" ht="15" hidden="false" customHeight="true" outlineLevel="0" collapsed="false">
      <c r="A4520" s="8"/>
      <c r="B4520" s="8"/>
      <c r="C4520" s="8"/>
      <c r="D4520" s="8"/>
      <c r="E4520" s="8"/>
      <c r="F4520" s="8"/>
      <c r="G4520" s="10" t="str">
        <f aca="false">IF($A4520="","",UPPER(SUBSTITUTE(SUBSTITUTE(SUBSTITUTE(SUBSTITUTE($A4520," ",""),"(주)",""),"주식회사",""),"㈜","")))</f>
        <v/>
      </c>
      <c r="H4520" s="10" t="str">
        <f aca="false">IF($B4520="","",SUBSTITUTE(SUBSTITUTE(SUBSTITUTE($B4520,"-","")," ",""),".",""))</f>
        <v/>
      </c>
      <c r="I4520" s="10" t="str">
        <f aca="false">IF($D4520="","",SUBSTITUTE(SUBSTITUTE(SUBSTITUTE($D4520,"-","")," ",""),".",""))</f>
        <v/>
      </c>
      <c r="J4520" s="10" t="str">
        <f aca="false">IF($E4520="","",UPPER(SUBSTITUTE($E4520," ","")))</f>
        <v/>
      </c>
      <c r="K4520" s="10" t="str">
        <f aca="false">IF($A4520="","",$G4520&amp;"|"&amp;$J4520)</f>
        <v/>
      </c>
      <c r="L4520" s="10" t="str">
        <f aca="false">IF($A4520="","",ROW()-2)</f>
        <v/>
      </c>
      <c r="M4520" s="10" t="str">
        <f aca="false">IF($A4520="","",ROW())</f>
        <v/>
      </c>
    </row>
    <row r="4521" customFormat="false" ht="15" hidden="false" customHeight="true" outlineLevel="0" collapsed="false">
      <c r="A4521" s="8"/>
      <c r="B4521" s="8"/>
      <c r="C4521" s="8"/>
      <c r="D4521" s="8"/>
      <c r="E4521" s="8"/>
      <c r="F4521" s="8"/>
      <c r="G4521" s="10" t="str">
        <f aca="false">IF($A4521="","",UPPER(SUBSTITUTE(SUBSTITUTE(SUBSTITUTE(SUBSTITUTE($A4521," ",""),"(주)",""),"주식회사",""),"㈜","")))</f>
        <v/>
      </c>
      <c r="H4521" s="10" t="str">
        <f aca="false">IF($B4521="","",SUBSTITUTE(SUBSTITUTE(SUBSTITUTE($B4521,"-","")," ",""),".",""))</f>
        <v/>
      </c>
      <c r="I4521" s="10" t="str">
        <f aca="false">IF($D4521="","",SUBSTITUTE(SUBSTITUTE(SUBSTITUTE($D4521,"-","")," ",""),".",""))</f>
        <v/>
      </c>
      <c r="J4521" s="10" t="str">
        <f aca="false">IF($E4521="","",UPPER(SUBSTITUTE($E4521," ","")))</f>
        <v/>
      </c>
      <c r="K4521" s="10" t="str">
        <f aca="false">IF($A4521="","",$G4521&amp;"|"&amp;$J4521)</f>
        <v/>
      </c>
      <c r="L4521" s="10" t="str">
        <f aca="false">IF($A4521="","",ROW()-2)</f>
        <v/>
      </c>
      <c r="M4521" s="10" t="str">
        <f aca="false">IF($A4521="","",ROW())</f>
        <v/>
      </c>
    </row>
    <row r="4522" customFormat="false" ht="15" hidden="false" customHeight="true" outlineLevel="0" collapsed="false">
      <c r="A4522" s="8"/>
      <c r="B4522" s="8"/>
      <c r="C4522" s="8"/>
      <c r="D4522" s="8"/>
      <c r="E4522" s="8"/>
      <c r="F4522" s="8"/>
      <c r="G4522" s="10" t="str">
        <f aca="false">IF($A4522="","",UPPER(SUBSTITUTE(SUBSTITUTE(SUBSTITUTE(SUBSTITUTE($A4522," ",""),"(주)",""),"주식회사",""),"㈜","")))</f>
        <v/>
      </c>
      <c r="H4522" s="10" t="str">
        <f aca="false">IF($B4522="","",SUBSTITUTE(SUBSTITUTE(SUBSTITUTE($B4522,"-","")," ",""),".",""))</f>
        <v/>
      </c>
      <c r="I4522" s="10" t="str">
        <f aca="false">IF($D4522="","",SUBSTITUTE(SUBSTITUTE(SUBSTITUTE($D4522,"-","")," ",""),".",""))</f>
        <v/>
      </c>
      <c r="J4522" s="10" t="str">
        <f aca="false">IF($E4522="","",UPPER(SUBSTITUTE($E4522," ","")))</f>
        <v/>
      </c>
      <c r="K4522" s="10" t="str">
        <f aca="false">IF($A4522="","",$G4522&amp;"|"&amp;$J4522)</f>
        <v/>
      </c>
      <c r="L4522" s="10" t="str">
        <f aca="false">IF($A4522="","",ROW()-2)</f>
        <v/>
      </c>
      <c r="M4522" s="10" t="str">
        <f aca="false">IF($A4522="","",ROW())</f>
        <v/>
      </c>
    </row>
    <row r="4523" customFormat="false" ht="15" hidden="false" customHeight="true" outlineLevel="0" collapsed="false">
      <c r="A4523" s="8"/>
      <c r="B4523" s="8"/>
      <c r="C4523" s="8"/>
      <c r="D4523" s="8"/>
      <c r="E4523" s="8"/>
      <c r="F4523" s="8"/>
      <c r="G4523" s="10" t="str">
        <f aca="false">IF($A4523="","",UPPER(SUBSTITUTE(SUBSTITUTE(SUBSTITUTE(SUBSTITUTE($A4523," ",""),"(주)",""),"주식회사",""),"㈜","")))</f>
        <v/>
      </c>
      <c r="H4523" s="10" t="str">
        <f aca="false">IF($B4523="","",SUBSTITUTE(SUBSTITUTE(SUBSTITUTE($B4523,"-","")," ",""),".",""))</f>
        <v/>
      </c>
      <c r="I4523" s="10" t="str">
        <f aca="false">IF($D4523="","",SUBSTITUTE(SUBSTITUTE(SUBSTITUTE($D4523,"-","")," ",""),".",""))</f>
        <v/>
      </c>
      <c r="J4523" s="10" t="str">
        <f aca="false">IF($E4523="","",UPPER(SUBSTITUTE($E4523," ","")))</f>
        <v/>
      </c>
      <c r="K4523" s="10" t="str">
        <f aca="false">IF($A4523="","",$G4523&amp;"|"&amp;$J4523)</f>
        <v/>
      </c>
      <c r="L4523" s="10" t="str">
        <f aca="false">IF($A4523="","",ROW()-2)</f>
        <v/>
      </c>
      <c r="M4523" s="10" t="str">
        <f aca="false">IF($A4523="","",ROW())</f>
        <v/>
      </c>
    </row>
    <row r="4524" customFormat="false" ht="15" hidden="false" customHeight="true" outlineLevel="0" collapsed="false">
      <c r="A4524" s="8"/>
      <c r="B4524" s="8"/>
      <c r="C4524" s="8"/>
      <c r="D4524" s="8"/>
      <c r="E4524" s="8"/>
      <c r="F4524" s="8"/>
      <c r="G4524" s="10" t="str">
        <f aca="false">IF($A4524="","",UPPER(SUBSTITUTE(SUBSTITUTE(SUBSTITUTE(SUBSTITUTE($A4524," ",""),"(주)",""),"주식회사",""),"㈜","")))</f>
        <v/>
      </c>
      <c r="H4524" s="10" t="str">
        <f aca="false">IF($B4524="","",SUBSTITUTE(SUBSTITUTE(SUBSTITUTE($B4524,"-","")," ",""),".",""))</f>
        <v/>
      </c>
      <c r="I4524" s="10" t="str">
        <f aca="false">IF($D4524="","",SUBSTITUTE(SUBSTITUTE(SUBSTITUTE($D4524,"-","")," ",""),".",""))</f>
        <v/>
      </c>
      <c r="J4524" s="10" t="str">
        <f aca="false">IF($E4524="","",UPPER(SUBSTITUTE($E4524," ","")))</f>
        <v/>
      </c>
      <c r="K4524" s="10" t="str">
        <f aca="false">IF($A4524="","",$G4524&amp;"|"&amp;$J4524)</f>
        <v/>
      </c>
      <c r="L4524" s="10" t="str">
        <f aca="false">IF($A4524="","",ROW()-2)</f>
        <v/>
      </c>
      <c r="M4524" s="10" t="str">
        <f aca="false">IF($A4524="","",ROW())</f>
        <v/>
      </c>
    </row>
    <row r="4525" customFormat="false" ht="15" hidden="false" customHeight="true" outlineLevel="0" collapsed="false">
      <c r="A4525" s="8"/>
      <c r="B4525" s="8"/>
      <c r="C4525" s="8"/>
      <c r="D4525" s="8"/>
      <c r="E4525" s="8"/>
      <c r="F4525" s="8"/>
      <c r="G4525" s="10" t="str">
        <f aca="false">IF($A4525="","",UPPER(SUBSTITUTE(SUBSTITUTE(SUBSTITUTE(SUBSTITUTE($A4525," ",""),"(주)",""),"주식회사",""),"㈜","")))</f>
        <v/>
      </c>
      <c r="H4525" s="10" t="str">
        <f aca="false">IF($B4525="","",SUBSTITUTE(SUBSTITUTE(SUBSTITUTE($B4525,"-","")," ",""),".",""))</f>
        <v/>
      </c>
      <c r="I4525" s="10" t="str">
        <f aca="false">IF($D4525="","",SUBSTITUTE(SUBSTITUTE(SUBSTITUTE($D4525,"-","")," ",""),".",""))</f>
        <v/>
      </c>
      <c r="J4525" s="10" t="str">
        <f aca="false">IF($E4525="","",UPPER(SUBSTITUTE($E4525," ","")))</f>
        <v/>
      </c>
      <c r="K4525" s="10" t="str">
        <f aca="false">IF($A4525="","",$G4525&amp;"|"&amp;$J4525)</f>
        <v/>
      </c>
      <c r="L4525" s="10" t="str">
        <f aca="false">IF($A4525="","",ROW()-2)</f>
        <v/>
      </c>
      <c r="M4525" s="10" t="str">
        <f aca="false">IF($A4525="","",ROW())</f>
        <v/>
      </c>
    </row>
    <row r="4526" customFormat="false" ht="15" hidden="false" customHeight="true" outlineLevel="0" collapsed="false">
      <c r="A4526" s="8"/>
      <c r="B4526" s="8"/>
      <c r="C4526" s="8"/>
      <c r="D4526" s="8"/>
      <c r="E4526" s="8"/>
      <c r="F4526" s="8"/>
      <c r="G4526" s="10" t="str">
        <f aca="false">IF($A4526="","",UPPER(SUBSTITUTE(SUBSTITUTE(SUBSTITUTE(SUBSTITUTE($A4526," ",""),"(주)",""),"주식회사",""),"㈜","")))</f>
        <v/>
      </c>
      <c r="H4526" s="10" t="str">
        <f aca="false">IF($B4526="","",SUBSTITUTE(SUBSTITUTE(SUBSTITUTE($B4526,"-","")," ",""),".",""))</f>
        <v/>
      </c>
      <c r="I4526" s="10" t="str">
        <f aca="false">IF($D4526="","",SUBSTITUTE(SUBSTITUTE(SUBSTITUTE($D4526,"-","")," ",""),".",""))</f>
        <v/>
      </c>
      <c r="J4526" s="10" t="str">
        <f aca="false">IF($E4526="","",UPPER(SUBSTITUTE($E4526," ","")))</f>
        <v/>
      </c>
      <c r="K4526" s="10" t="str">
        <f aca="false">IF($A4526="","",$G4526&amp;"|"&amp;$J4526)</f>
        <v/>
      </c>
      <c r="L4526" s="10" t="str">
        <f aca="false">IF($A4526="","",ROW()-2)</f>
        <v/>
      </c>
      <c r="M4526" s="10" t="str">
        <f aca="false">IF($A4526="","",ROW())</f>
        <v/>
      </c>
    </row>
    <row r="4527" customFormat="false" ht="15" hidden="false" customHeight="true" outlineLevel="0" collapsed="false">
      <c r="A4527" s="8"/>
      <c r="B4527" s="8"/>
      <c r="C4527" s="8"/>
      <c r="D4527" s="8"/>
      <c r="E4527" s="8"/>
      <c r="F4527" s="8"/>
      <c r="G4527" s="10" t="str">
        <f aca="false">IF($A4527="","",UPPER(SUBSTITUTE(SUBSTITUTE(SUBSTITUTE(SUBSTITUTE($A4527," ",""),"(주)",""),"주식회사",""),"㈜","")))</f>
        <v/>
      </c>
      <c r="H4527" s="10" t="str">
        <f aca="false">IF($B4527="","",SUBSTITUTE(SUBSTITUTE(SUBSTITUTE($B4527,"-","")," ",""),".",""))</f>
        <v/>
      </c>
      <c r="I4527" s="10" t="str">
        <f aca="false">IF($D4527="","",SUBSTITUTE(SUBSTITUTE(SUBSTITUTE($D4527,"-","")," ",""),".",""))</f>
        <v/>
      </c>
      <c r="J4527" s="10" t="str">
        <f aca="false">IF($E4527="","",UPPER(SUBSTITUTE($E4527," ","")))</f>
        <v/>
      </c>
      <c r="K4527" s="10" t="str">
        <f aca="false">IF($A4527="","",$G4527&amp;"|"&amp;$J4527)</f>
        <v/>
      </c>
      <c r="L4527" s="10" t="str">
        <f aca="false">IF($A4527="","",ROW()-2)</f>
        <v/>
      </c>
      <c r="M4527" s="10" t="str">
        <f aca="false">IF($A4527="","",ROW())</f>
        <v/>
      </c>
    </row>
    <row r="4528" customFormat="false" ht="15" hidden="false" customHeight="true" outlineLevel="0" collapsed="false">
      <c r="A4528" s="8"/>
      <c r="B4528" s="8"/>
      <c r="C4528" s="8"/>
      <c r="D4528" s="8"/>
      <c r="E4528" s="8"/>
      <c r="F4528" s="8"/>
      <c r="G4528" s="10" t="str">
        <f aca="false">IF($A4528="","",UPPER(SUBSTITUTE(SUBSTITUTE(SUBSTITUTE(SUBSTITUTE($A4528," ",""),"(주)",""),"주식회사",""),"㈜","")))</f>
        <v/>
      </c>
      <c r="H4528" s="10" t="str">
        <f aca="false">IF($B4528="","",SUBSTITUTE(SUBSTITUTE(SUBSTITUTE($B4528,"-","")," ",""),".",""))</f>
        <v/>
      </c>
      <c r="I4528" s="10" t="str">
        <f aca="false">IF($D4528="","",SUBSTITUTE(SUBSTITUTE(SUBSTITUTE($D4528,"-","")," ",""),".",""))</f>
        <v/>
      </c>
      <c r="J4528" s="10" t="str">
        <f aca="false">IF($E4528="","",UPPER(SUBSTITUTE($E4528," ","")))</f>
        <v/>
      </c>
      <c r="K4528" s="10" t="str">
        <f aca="false">IF($A4528="","",$G4528&amp;"|"&amp;$J4528)</f>
        <v/>
      </c>
      <c r="L4528" s="10" t="str">
        <f aca="false">IF($A4528="","",ROW()-2)</f>
        <v/>
      </c>
      <c r="M4528" s="10" t="str">
        <f aca="false">IF($A4528="","",ROW())</f>
        <v/>
      </c>
    </row>
    <row r="4529" customFormat="false" ht="15" hidden="false" customHeight="true" outlineLevel="0" collapsed="false">
      <c r="A4529" s="8"/>
      <c r="B4529" s="8"/>
      <c r="C4529" s="8"/>
      <c r="D4529" s="8"/>
      <c r="E4529" s="8"/>
      <c r="F4529" s="8"/>
      <c r="G4529" s="10" t="str">
        <f aca="false">IF($A4529="","",UPPER(SUBSTITUTE(SUBSTITUTE(SUBSTITUTE(SUBSTITUTE($A4529," ",""),"(주)",""),"주식회사",""),"㈜","")))</f>
        <v/>
      </c>
      <c r="H4529" s="10" t="str">
        <f aca="false">IF($B4529="","",SUBSTITUTE(SUBSTITUTE(SUBSTITUTE($B4529,"-","")," ",""),".",""))</f>
        <v/>
      </c>
      <c r="I4529" s="10" t="str">
        <f aca="false">IF($D4529="","",SUBSTITUTE(SUBSTITUTE(SUBSTITUTE($D4529,"-","")," ",""),".",""))</f>
        <v/>
      </c>
      <c r="J4529" s="10" t="str">
        <f aca="false">IF($E4529="","",UPPER(SUBSTITUTE($E4529," ","")))</f>
        <v/>
      </c>
      <c r="K4529" s="10" t="str">
        <f aca="false">IF($A4529="","",$G4529&amp;"|"&amp;$J4529)</f>
        <v/>
      </c>
      <c r="L4529" s="10" t="str">
        <f aca="false">IF($A4529="","",ROW()-2)</f>
        <v/>
      </c>
      <c r="M4529" s="10" t="str">
        <f aca="false">IF($A4529="","",ROW())</f>
        <v/>
      </c>
    </row>
    <row r="4530" customFormat="false" ht="15" hidden="false" customHeight="true" outlineLevel="0" collapsed="false">
      <c r="A4530" s="8"/>
      <c r="B4530" s="8"/>
      <c r="C4530" s="8"/>
      <c r="D4530" s="8"/>
      <c r="E4530" s="8"/>
      <c r="F4530" s="8"/>
      <c r="G4530" s="10" t="str">
        <f aca="false">IF($A4530="","",UPPER(SUBSTITUTE(SUBSTITUTE(SUBSTITUTE(SUBSTITUTE($A4530," ",""),"(주)",""),"주식회사",""),"㈜","")))</f>
        <v/>
      </c>
      <c r="H4530" s="10" t="str">
        <f aca="false">IF($B4530="","",SUBSTITUTE(SUBSTITUTE(SUBSTITUTE($B4530,"-","")," ",""),".",""))</f>
        <v/>
      </c>
      <c r="I4530" s="10" t="str">
        <f aca="false">IF($D4530="","",SUBSTITUTE(SUBSTITUTE(SUBSTITUTE($D4530,"-","")," ",""),".",""))</f>
        <v/>
      </c>
      <c r="J4530" s="10" t="str">
        <f aca="false">IF($E4530="","",UPPER(SUBSTITUTE($E4530," ","")))</f>
        <v/>
      </c>
      <c r="K4530" s="10" t="str">
        <f aca="false">IF($A4530="","",$G4530&amp;"|"&amp;$J4530)</f>
        <v/>
      </c>
      <c r="L4530" s="10" t="str">
        <f aca="false">IF($A4530="","",ROW()-2)</f>
        <v/>
      </c>
      <c r="M4530" s="10" t="str">
        <f aca="false">IF($A4530="","",ROW())</f>
        <v/>
      </c>
    </row>
    <row r="4531" customFormat="false" ht="15" hidden="false" customHeight="true" outlineLevel="0" collapsed="false">
      <c r="A4531" s="8"/>
      <c r="B4531" s="8"/>
      <c r="C4531" s="8"/>
      <c r="D4531" s="8"/>
      <c r="E4531" s="8"/>
      <c r="F4531" s="8"/>
      <c r="G4531" s="10" t="str">
        <f aca="false">IF($A4531="","",UPPER(SUBSTITUTE(SUBSTITUTE(SUBSTITUTE(SUBSTITUTE($A4531," ",""),"(주)",""),"주식회사",""),"㈜","")))</f>
        <v/>
      </c>
      <c r="H4531" s="10" t="str">
        <f aca="false">IF($B4531="","",SUBSTITUTE(SUBSTITUTE(SUBSTITUTE($B4531,"-","")," ",""),".",""))</f>
        <v/>
      </c>
      <c r="I4531" s="10" t="str">
        <f aca="false">IF($D4531="","",SUBSTITUTE(SUBSTITUTE(SUBSTITUTE($D4531,"-","")," ",""),".",""))</f>
        <v/>
      </c>
      <c r="J4531" s="10" t="str">
        <f aca="false">IF($E4531="","",UPPER(SUBSTITUTE($E4531," ","")))</f>
        <v/>
      </c>
      <c r="K4531" s="10" t="str">
        <f aca="false">IF($A4531="","",$G4531&amp;"|"&amp;$J4531)</f>
        <v/>
      </c>
      <c r="L4531" s="10" t="str">
        <f aca="false">IF($A4531="","",ROW()-2)</f>
        <v/>
      </c>
      <c r="M4531" s="10" t="str">
        <f aca="false">IF($A4531="","",ROW())</f>
        <v/>
      </c>
    </row>
    <row r="4532" customFormat="false" ht="15" hidden="false" customHeight="true" outlineLevel="0" collapsed="false">
      <c r="A4532" s="8"/>
      <c r="B4532" s="8"/>
      <c r="C4532" s="8"/>
      <c r="D4532" s="8"/>
      <c r="E4532" s="8"/>
      <c r="F4532" s="8"/>
      <c r="G4532" s="10" t="str">
        <f aca="false">IF($A4532="","",UPPER(SUBSTITUTE(SUBSTITUTE(SUBSTITUTE(SUBSTITUTE($A4532," ",""),"(주)",""),"주식회사",""),"㈜","")))</f>
        <v/>
      </c>
      <c r="H4532" s="10" t="str">
        <f aca="false">IF($B4532="","",SUBSTITUTE(SUBSTITUTE(SUBSTITUTE($B4532,"-","")," ",""),".",""))</f>
        <v/>
      </c>
      <c r="I4532" s="10" t="str">
        <f aca="false">IF($D4532="","",SUBSTITUTE(SUBSTITUTE(SUBSTITUTE($D4532,"-","")," ",""),".",""))</f>
        <v/>
      </c>
      <c r="J4532" s="10" t="str">
        <f aca="false">IF($E4532="","",UPPER(SUBSTITUTE($E4532," ","")))</f>
        <v/>
      </c>
      <c r="K4532" s="10" t="str">
        <f aca="false">IF($A4532="","",$G4532&amp;"|"&amp;$J4532)</f>
        <v/>
      </c>
      <c r="L4532" s="10" t="str">
        <f aca="false">IF($A4532="","",ROW()-2)</f>
        <v/>
      </c>
      <c r="M4532" s="10" t="str">
        <f aca="false">IF($A4532="","",ROW())</f>
        <v/>
      </c>
    </row>
    <row r="4533" customFormat="false" ht="15" hidden="false" customHeight="true" outlineLevel="0" collapsed="false">
      <c r="A4533" s="8"/>
      <c r="B4533" s="8"/>
      <c r="C4533" s="8"/>
      <c r="D4533" s="8"/>
      <c r="E4533" s="8"/>
      <c r="F4533" s="8"/>
      <c r="G4533" s="10" t="str">
        <f aca="false">IF($A4533="","",UPPER(SUBSTITUTE(SUBSTITUTE(SUBSTITUTE(SUBSTITUTE($A4533," ",""),"(주)",""),"주식회사",""),"㈜","")))</f>
        <v/>
      </c>
      <c r="H4533" s="10" t="str">
        <f aca="false">IF($B4533="","",SUBSTITUTE(SUBSTITUTE(SUBSTITUTE($B4533,"-","")," ",""),".",""))</f>
        <v/>
      </c>
      <c r="I4533" s="10" t="str">
        <f aca="false">IF($D4533="","",SUBSTITUTE(SUBSTITUTE(SUBSTITUTE($D4533,"-","")," ",""),".",""))</f>
        <v/>
      </c>
      <c r="J4533" s="10" t="str">
        <f aca="false">IF($E4533="","",UPPER(SUBSTITUTE($E4533," ","")))</f>
        <v/>
      </c>
      <c r="K4533" s="10" t="str">
        <f aca="false">IF($A4533="","",$G4533&amp;"|"&amp;$J4533)</f>
        <v/>
      </c>
      <c r="L4533" s="10" t="str">
        <f aca="false">IF($A4533="","",ROW()-2)</f>
        <v/>
      </c>
      <c r="M4533" s="10" t="str">
        <f aca="false">IF($A4533="","",ROW())</f>
        <v/>
      </c>
    </row>
    <row r="4534" customFormat="false" ht="15" hidden="false" customHeight="true" outlineLevel="0" collapsed="false">
      <c r="A4534" s="8"/>
      <c r="B4534" s="8"/>
      <c r="C4534" s="8"/>
      <c r="D4534" s="8"/>
      <c r="E4534" s="8"/>
      <c r="F4534" s="8"/>
      <c r="G4534" s="10" t="str">
        <f aca="false">IF($A4534="","",UPPER(SUBSTITUTE(SUBSTITUTE(SUBSTITUTE(SUBSTITUTE($A4534," ",""),"(주)",""),"주식회사",""),"㈜","")))</f>
        <v/>
      </c>
      <c r="H4534" s="10" t="str">
        <f aca="false">IF($B4534="","",SUBSTITUTE(SUBSTITUTE(SUBSTITUTE($B4534,"-","")," ",""),".",""))</f>
        <v/>
      </c>
      <c r="I4534" s="10" t="str">
        <f aca="false">IF($D4534="","",SUBSTITUTE(SUBSTITUTE(SUBSTITUTE($D4534,"-","")," ",""),".",""))</f>
        <v/>
      </c>
      <c r="J4534" s="10" t="str">
        <f aca="false">IF($E4534="","",UPPER(SUBSTITUTE($E4534," ","")))</f>
        <v/>
      </c>
      <c r="K4534" s="10" t="str">
        <f aca="false">IF($A4534="","",$G4534&amp;"|"&amp;$J4534)</f>
        <v/>
      </c>
      <c r="L4534" s="10" t="str">
        <f aca="false">IF($A4534="","",ROW()-2)</f>
        <v/>
      </c>
      <c r="M4534" s="10" t="str">
        <f aca="false">IF($A4534="","",ROW())</f>
        <v/>
      </c>
    </row>
    <row r="4535" customFormat="false" ht="15" hidden="false" customHeight="true" outlineLevel="0" collapsed="false">
      <c r="A4535" s="8"/>
      <c r="B4535" s="8"/>
      <c r="C4535" s="8"/>
      <c r="D4535" s="8"/>
      <c r="E4535" s="8"/>
      <c r="F4535" s="8"/>
      <c r="G4535" s="10" t="str">
        <f aca="false">IF($A4535="","",UPPER(SUBSTITUTE(SUBSTITUTE(SUBSTITUTE(SUBSTITUTE($A4535," ",""),"(주)",""),"주식회사",""),"㈜","")))</f>
        <v/>
      </c>
      <c r="H4535" s="10" t="str">
        <f aca="false">IF($B4535="","",SUBSTITUTE(SUBSTITUTE(SUBSTITUTE($B4535,"-","")," ",""),".",""))</f>
        <v/>
      </c>
      <c r="I4535" s="10" t="str">
        <f aca="false">IF($D4535="","",SUBSTITUTE(SUBSTITUTE(SUBSTITUTE($D4535,"-","")," ",""),".",""))</f>
        <v/>
      </c>
      <c r="J4535" s="10" t="str">
        <f aca="false">IF($E4535="","",UPPER(SUBSTITUTE($E4535," ","")))</f>
        <v/>
      </c>
      <c r="K4535" s="10" t="str">
        <f aca="false">IF($A4535="","",$G4535&amp;"|"&amp;$J4535)</f>
        <v/>
      </c>
      <c r="L4535" s="10" t="str">
        <f aca="false">IF($A4535="","",ROW()-2)</f>
        <v/>
      </c>
      <c r="M4535" s="10" t="str">
        <f aca="false">IF($A4535="","",ROW())</f>
        <v/>
      </c>
    </row>
    <row r="4536" customFormat="false" ht="15" hidden="false" customHeight="true" outlineLevel="0" collapsed="false">
      <c r="A4536" s="8"/>
      <c r="B4536" s="8"/>
      <c r="C4536" s="8"/>
      <c r="D4536" s="8"/>
      <c r="E4536" s="8"/>
      <c r="F4536" s="8"/>
      <c r="G4536" s="10" t="str">
        <f aca="false">IF($A4536="","",UPPER(SUBSTITUTE(SUBSTITUTE(SUBSTITUTE(SUBSTITUTE($A4536," ",""),"(주)",""),"주식회사",""),"㈜","")))</f>
        <v/>
      </c>
      <c r="H4536" s="10" t="str">
        <f aca="false">IF($B4536="","",SUBSTITUTE(SUBSTITUTE(SUBSTITUTE($B4536,"-","")," ",""),".",""))</f>
        <v/>
      </c>
      <c r="I4536" s="10" t="str">
        <f aca="false">IF($D4536="","",SUBSTITUTE(SUBSTITUTE(SUBSTITUTE($D4536,"-","")," ",""),".",""))</f>
        <v/>
      </c>
      <c r="J4536" s="10" t="str">
        <f aca="false">IF($E4536="","",UPPER(SUBSTITUTE($E4536," ","")))</f>
        <v/>
      </c>
      <c r="K4536" s="10" t="str">
        <f aca="false">IF($A4536="","",$G4536&amp;"|"&amp;$J4536)</f>
        <v/>
      </c>
      <c r="L4536" s="10" t="str">
        <f aca="false">IF($A4536="","",ROW()-2)</f>
        <v/>
      </c>
      <c r="M4536" s="10" t="str">
        <f aca="false">IF($A4536="","",ROW())</f>
        <v/>
      </c>
    </row>
    <row r="4537" customFormat="false" ht="15" hidden="false" customHeight="true" outlineLevel="0" collapsed="false">
      <c r="A4537" s="8"/>
      <c r="B4537" s="8"/>
      <c r="C4537" s="8"/>
      <c r="D4537" s="8"/>
      <c r="E4537" s="8"/>
      <c r="F4537" s="8"/>
      <c r="G4537" s="10" t="str">
        <f aca="false">IF($A4537="","",UPPER(SUBSTITUTE(SUBSTITUTE(SUBSTITUTE(SUBSTITUTE($A4537," ",""),"(주)",""),"주식회사",""),"㈜","")))</f>
        <v/>
      </c>
      <c r="H4537" s="10" t="str">
        <f aca="false">IF($B4537="","",SUBSTITUTE(SUBSTITUTE(SUBSTITUTE($B4537,"-","")," ",""),".",""))</f>
        <v/>
      </c>
      <c r="I4537" s="10" t="str">
        <f aca="false">IF($D4537="","",SUBSTITUTE(SUBSTITUTE(SUBSTITUTE($D4537,"-","")," ",""),".",""))</f>
        <v/>
      </c>
      <c r="J4537" s="10" t="str">
        <f aca="false">IF($E4537="","",UPPER(SUBSTITUTE($E4537," ","")))</f>
        <v/>
      </c>
      <c r="K4537" s="10" t="str">
        <f aca="false">IF($A4537="","",$G4537&amp;"|"&amp;$J4537)</f>
        <v/>
      </c>
      <c r="L4537" s="10" t="str">
        <f aca="false">IF($A4537="","",ROW()-2)</f>
        <v/>
      </c>
      <c r="M4537" s="10" t="str">
        <f aca="false">IF($A4537="","",ROW())</f>
        <v/>
      </c>
    </row>
    <row r="4538" customFormat="false" ht="15" hidden="false" customHeight="true" outlineLevel="0" collapsed="false">
      <c r="A4538" s="8"/>
      <c r="B4538" s="8"/>
      <c r="C4538" s="8"/>
      <c r="D4538" s="8"/>
      <c r="E4538" s="8"/>
      <c r="F4538" s="8"/>
      <c r="G4538" s="10" t="str">
        <f aca="false">IF($A4538="","",UPPER(SUBSTITUTE(SUBSTITUTE(SUBSTITUTE(SUBSTITUTE($A4538," ",""),"(주)",""),"주식회사",""),"㈜","")))</f>
        <v/>
      </c>
      <c r="H4538" s="10" t="str">
        <f aca="false">IF($B4538="","",SUBSTITUTE(SUBSTITUTE(SUBSTITUTE($B4538,"-","")," ",""),".",""))</f>
        <v/>
      </c>
      <c r="I4538" s="10" t="str">
        <f aca="false">IF($D4538="","",SUBSTITUTE(SUBSTITUTE(SUBSTITUTE($D4538,"-","")," ",""),".",""))</f>
        <v/>
      </c>
      <c r="J4538" s="10" t="str">
        <f aca="false">IF($E4538="","",UPPER(SUBSTITUTE($E4538," ","")))</f>
        <v/>
      </c>
      <c r="K4538" s="10" t="str">
        <f aca="false">IF($A4538="","",$G4538&amp;"|"&amp;$J4538)</f>
        <v/>
      </c>
      <c r="L4538" s="10" t="str">
        <f aca="false">IF($A4538="","",ROW()-2)</f>
        <v/>
      </c>
      <c r="M4538" s="10" t="str">
        <f aca="false">IF($A4538="","",ROW())</f>
        <v/>
      </c>
    </row>
    <row r="4539" customFormat="false" ht="15" hidden="false" customHeight="true" outlineLevel="0" collapsed="false">
      <c r="A4539" s="8"/>
      <c r="B4539" s="8"/>
      <c r="C4539" s="8"/>
      <c r="D4539" s="8"/>
      <c r="E4539" s="8"/>
      <c r="F4539" s="8"/>
      <c r="G4539" s="10" t="str">
        <f aca="false">IF($A4539="","",UPPER(SUBSTITUTE(SUBSTITUTE(SUBSTITUTE(SUBSTITUTE($A4539," ",""),"(주)",""),"주식회사",""),"㈜","")))</f>
        <v/>
      </c>
      <c r="H4539" s="10" t="str">
        <f aca="false">IF($B4539="","",SUBSTITUTE(SUBSTITUTE(SUBSTITUTE($B4539,"-","")," ",""),".",""))</f>
        <v/>
      </c>
      <c r="I4539" s="10" t="str">
        <f aca="false">IF($D4539="","",SUBSTITUTE(SUBSTITUTE(SUBSTITUTE($D4539,"-","")," ",""),".",""))</f>
        <v/>
      </c>
      <c r="J4539" s="10" t="str">
        <f aca="false">IF($E4539="","",UPPER(SUBSTITUTE($E4539," ","")))</f>
        <v/>
      </c>
      <c r="K4539" s="10" t="str">
        <f aca="false">IF($A4539="","",$G4539&amp;"|"&amp;$J4539)</f>
        <v/>
      </c>
      <c r="L4539" s="10" t="str">
        <f aca="false">IF($A4539="","",ROW()-2)</f>
        <v/>
      </c>
      <c r="M4539" s="10" t="str">
        <f aca="false">IF($A4539="","",ROW())</f>
        <v/>
      </c>
    </row>
    <row r="4540" customFormat="false" ht="15" hidden="false" customHeight="true" outlineLevel="0" collapsed="false">
      <c r="A4540" s="8"/>
      <c r="B4540" s="8"/>
      <c r="C4540" s="8"/>
      <c r="D4540" s="8"/>
      <c r="E4540" s="8"/>
      <c r="F4540" s="8"/>
      <c r="G4540" s="10" t="str">
        <f aca="false">IF($A4540="","",UPPER(SUBSTITUTE(SUBSTITUTE(SUBSTITUTE(SUBSTITUTE($A4540," ",""),"(주)",""),"주식회사",""),"㈜","")))</f>
        <v/>
      </c>
      <c r="H4540" s="10" t="str">
        <f aca="false">IF($B4540="","",SUBSTITUTE(SUBSTITUTE(SUBSTITUTE($B4540,"-","")," ",""),".",""))</f>
        <v/>
      </c>
      <c r="I4540" s="10" t="str">
        <f aca="false">IF($D4540="","",SUBSTITUTE(SUBSTITUTE(SUBSTITUTE($D4540,"-","")," ",""),".",""))</f>
        <v/>
      </c>
      <c r="J4540" s="10" t="str">
        <f aca="false">IF($E4540="","",UPPER(SUBSTITUTE($E4540," ","")))</f>
        <v/>
      </c>
      <c r="K4540" s="10" t="str">
        <f aca="false">IF($A4540="","",$G4540&amp;"|"&amp;$J4540)</f>
        <v/>
      </c>
      <c r="L4540" s="10" t="str">
        <f aca="false">IF($A4540="","",ROW()-2)</f>
        <v/>
      </c>
      <c r="M4540" s="10" t="str">
        <f aca="false">IF($A4540="","",ROW())</f>
        <v/>
      </c>
    </row>
    <row r="4541" customFormat="false" ht="15" hidden="false" customHeight="true" outlineLevel="0" collapsed="false">
      <c r="A4541" s="8"/>
      <c r="B4541" s="8"/>
      <c r="C4541" s="8"/>
      <c r="D4541" s="8"/>
      <c r="E4541" s="8"/>
      <c r="F4541" s="8"/>
      <c r="G4541" s="10" t="str">
        <f aca="false">IF($A4541="","",UPPER(SUBSTITUTE(SUBSTITUTE(SUBSTITUTE(SUBSTITUTE($A4541," ",""),"(주)",""),"주식회사",""),"㈜","")))</f>
        <v/>
      </c>
      <c r="H4541" s="10" t="str">
        <f aca="false">IF($B4541="","",SUBSTITUTE(SUBSTITUTE(SUBSTITUTE($B4541,"-","")," ",""),".",""))</f>
        <v/>
      </c>
      <c r="I4541" s="10" t="str">
        <f aca="false">IF($D4541="","",SUBSTITUTE(SUBSTITUTE(SUBSTITUTE($D4541,"-","")," ",""),".",""))</f>
        <v/>
      </c>
      <c r="J4541" s="10" t="str">
        <f aca="false">IF($E4541="","",UPPER(SUBSTITUTE($E4541," ","")))</f>
        <v/>
      </c>
      <c r="K4541" s="10" t="str">
        <f aca="false">IF($A4541="","",$G4541&amp;"|"&amp;$J4541)</f>
        <v/>
      </c>
      <c r="L4541" s="10" t="str">
        <f aca="false">IF($A4541="","",ROW()-2)</f>
        <v/>
      </c>
      <c r="M4541" s="10" t="str">
        <f aca="false">IF($A4541="","",ROW())</f>
        <v/>
      </c>
    </row>
    <row r="4542" customFormat="false" ht="15" hidden="false" customHeight="true" outlineLevel="0" collapsed="false">
      <c r="A4542" s="8"/>
      <c r="B4542" s="8"/>
      <c r="C4542" s="8"/>
      <c r="D4542" s="8"/>
      <c r="E4542" s="8"/>
      <c r="F4542" s="8"/>
      <c r="G4542" s="10" t="str">
        <f aca="false">IF($A4542="","",UPPER(SUBSTITUTE(SUBSTITUTE(SUBSTITUTE(SUBSTITUTE($A4542," ",""),"(주)",""),"주식회사",""),"㈜","")))</f>
        <v/>
      </c>
      <c r="H4542" s="10" t="str">
        <f aca="false">IF($B4542="","",SUBSTITUTE(SUBSTITUTE(SUBSTITUTE($B4542,"-","")," ",""),".",""))</f>
        <v/>
      </c>
      <c r="I4542" s="10" t="str">
        <f aca="false">IF($D4542="","",SUBSTITUTE(SUBSTITUTE(SUBSTITUTE($D4542,"-","")," ",""),".",""))</f>
        <v/>
      </c>
      <c r="J4542" s="10" t="str">
        <f aca="false">IF($E4542="","",UPPER(SUBSTITUTE($E4542," ","")))</f>
        <v/>
      </c>
      <c r="K4542" s="10" t="str">
        <f aca="false">IF($A4542="","",$G4542&amp;"|"&amp;$J4542)</f>
        <v/>
      </c>
      <c r="L4542" s="10" t="str">
        <f aca="false">IF($A4542="","",ROW()-2)</f>
        <v/>
      </c>
      <c r="M4542" s="10" t="str">
        <f aca="false">IF($A4542="","",ROW())</f>
        <v/>
      </c>
    </row>
    <row r="4543" customFormat="false" ht="15" hidden="false" customHeight="true" outlineLevel="0" collapsed="false">
      <c r="A4543" s="8"/>
      <c r="B4543" s="8"/>
      <c r="C4543" s="8"/>
      <c r="D4543" s="8"/>
      <c r="E4543" s="8"/>
      <c r="F4543" s="8"/>
      <c r="G4543" s="10" t="str">
        <f aca="false">IF($A4543="","",UPPER(SUBSTITUTE(SUBSTITUTE(SUBSTITUTE(SUBSTITUTE($A4543," ",""),"(주)",""),"주식회사",""),"㈜","")))</f>
        <v/>
      </c>
      <c r="H4543" s="10" t="str">
        <f aca="false">IF($B4543="","",SUBSTITUTE(SUBSTITUTE(SUBSTITUTE($B4543,"-","")," ",""),".",""))</f>
        <v/>
      </c>
      <c r="I4543" s="10" t="str">
        <f aca="false">IF($D4543="","",SUBSTITUTE(SUBSTITUTE(SUBSTITUTE($D4543,"-","")," ",""),".",""))</f>
        <v/>
      </c>
      <c r="J4543" s="10" t="str">
        <f aca="false">IF($E4543="","",UPPER(SUBSTITUTE($E4543," ","")))</f>
        <v/>
      </c>
      <c r="K4543" s="10" t="str">
        <f aca="false">IF($A4543="","",$G4543&amp;"|"&amp;$J4543)</f>
        <v/>
      </c>
      <c r="L4543" s="10" t="str">
        <f aca="false">IF($A4543="","",ROW()-2)</f>
        <v/>
      </c>
      <c r="M4543" s="10" t="str">
        <f aca="false">IF($A4543="","",ROW())</f>
        <v/>
      </c>
    </row>
    <row r="4544" customFormat="false" ht="15" hidden="false" customHeight="true" outlineLevel="0" collapsed="false">
      <c r="A4544" s="8"/>
      <c r="B4544" s="8"/>
      <c r="C4544" s="8"/>
      <c r="D4544" s="8"/>
      <c r="E4544" s="8"/>
      <c r="F4544" s="8"/>
      <c r="G4544" s="10" t="str">
        <f aca="false">IF($A4544="","",UPPER(SUBSTITUTE(SUBSTITUTE(SUBSTITUTE(SUBSTITUTE($A4544," ",""),"(주)",""),"주식회사",""),"㈜","")))</f>
        <v/>
      </c>
      <c r="H4544" s="10" t="str">
        <f aca="false">IF($B4544="","",SUBSTITUTE(SUBSTITUTE(SUBSTITUTE($B4544,"-","")," ",""),".",""))</f>
        <v/>
      </c>
      <c r="I4544" s="10" t="str">
        <f aca="false">IF($D4544="","",SUBSTITUTE(SUBSTITUTE(SUBSTITUTE($D4544,"-","")," ",""),".",""))</f>
        <v/>
      </c>
      <c r="J4544" s="10" t="str">
        <f aca="false">IF($E4544="","",UPPER(SUBSTITUTE($E4544," ","")))</f>
        <v/>
      </c>
      <c r="K4544" s="10" t="str">
        <f aca="false">IF($A4544="","",$G4544&amp;"|"&amp;$J4544)</f>
        <v/>
      </c>
      <c r="L4544" s="10" t="str">
        <f aca="false">IF($A4544="","",ROW()-2)</f>
        <v/>
      </c>
      <c r="M4544" s="10" t="str">
        <f aca="false">IF($A4544="","",ROW())</f>
        <v/>
      </c>
    </row>
    <row r="4545" customFormat="false" ht="15" hidden="false" customHeight="true" outlineLevel="0" collapsed="false">
      <c r="A4545" s="8"/>
      <c r="B4545" s="8"/>
      <c r="C4545" s="8"/>
      <c r="D4545" s="8"/>
      <c r="E4545" s="8"/>
      <c r="F4545" s="8"/>
      <c r="G4545" s="10" t="str">
        <f aca="false">IF($A4545="","",UPPER(SUBSTITUTE(SUBSTITUTE(SUBSTITUTE(SUBSTITUTE($A4545," ",""),"(주)",""),"주식회사",""),"㈜","")))</f>
        <v/>
      </c>
      <c r="H4545" s="10" t="str">
        <f aca="false">IF($B4545="","",SUBSTITUTE(SUBSTITUTE(SUBSTITUTE($B4545,"-","")," ",""),".",""))</f>
        <v/>
      </c>
      <c r="I4545" s="10" t="str">
        <f aca="false">IF($D4545="","",SUBSTITUTE(SUBSTITUTE(SUBSTITUTE($D4545,"-","")," ",""),".",""))</f>
        <v/>
      </c>
      <c r="J4545" s="10" t="str">
        <f aca="false">IF($E4545="","",UPPER(SUBSTITUTE($E4545," ","")))</f>
        <v/>
      </c>
      <c r="K4545" s="10" t="str">
        <f aca="false">IF($A4545="","",$G4545&amp;"|"&amp;$J4545)</f>
        <v/>
      </c>
      <c r="L4545" s="10" t="str">
        <f aca="false">IF($A4545="","",ROW()-2)</f>
        <v/>
      </c>
      <c r="M4545" s="10" t="str">
        <f aca="false">IF($A4545="","",ROW())</f>
        <v/>
      </c>
    </row>
    <row r="4546" customFormat="false" ht="15" hidden="false" customHeight="true" outlineLevel="0" collapsed="false">
      <c r="A4546" s="8"/>
      <c r="B4546" s="8"/>
      <c r="C4546" s="8"/>
      <c r="D4546" s="8"/>
      <c r="E4546" s="8"/>
      <c r="F4546" s="8"/>
      <c r="G4546" s="10" t="str">
        <f aca="false">IF($A4546="","",UPPER(SUBSTITUTE(SUBSTITUTE(SUBSTITUTE(SUBSTITUTE($A4546," ",""),"(주)",""),"주식회사",""),"㈜","")))</f>
        <v/>
      </c>
      <c r="H4546" s="10" t="str">
        <f aca="false">IF($B4546="","",SUBSTITUTE(SUBSTITUTE(SUBSTITUTE($B4546,"-","")," ",""),".",""))</f>
        <v/>
      </c>
      <c r="I4546" s="10" t="str">
        <f aca="false">IF($D4546="","",SUBSTITUTE(SUBSTITUTE(SUBSTITUTE($D4546,"-","")," ",""),".",""))</f>
        <v/>
      </c>
      <c r="J4546" s="10" t="str">
        <f aca="false">IF($E4546="","",UPPER(SUBSTITUTE($E4546," ","")))</f>
        <v/>
      </c>
      <c r="K4546" s="10" t="str">
        <f aca="false">IF($A4546="","",$G4546&amp;"|"&amp;$J4546)</f>
        <v/>
      </c>
      <c r="L4546" s="10" t="str">
        <f aca="false">IF($A4546="","",ROW()-2)</f>
        <v/>
      </c>
      <c r="M4546" s="10" t="str">
        <f aca="false">IF($A4546="","",ROW())</f>
        <v/>
      </c>
    </row>
    <row r="4547" customFormat="false" ht="15" hidden="false" customHeight="true" outlineLevel="0" collapsed="false">
      <c r="A4547" s="8"/>
      <c r="B4547" s="8"/>
      <c r="C4547" s="8"/>
      <c r="D4547" s="8"/>
      <c r="E4547" s="8"/>
      <c r="F4547" s="8"/>
      <c r="G4547" s="10" t="str">
        <f aca="false">IF($A4547="","",UPPER(SUBSTITUTE(SUBSTITUTE(SUBSTITUTE(SUBSTITUTE($A4547," ",""),"(주)",""),"주식회사",""),"㈜","")))</f>
        <v/>
      </c>
      <c r="H4547" s="10" t="str">
        <f aca="false">IF($B4547="","",SUBSTITUTE(SUBSTITUTE(SUBSTITUTE($B4547,"-","")," ",""),".",""))</f>
        <v/>
      </c>
      <c r="I4547" s="10" t="str">
        <f aca="false">IF($D4547="","",SUBSTITUTE(SUBSTITUTE(SUBSTITUTE($D4547,"-","")," ",""),".",""))</f>
        <v/>
      </c>
      <c r="J4547" s="10" t="str">
        <f aca="false">IF($E4547="","",UPPER(SUBSTITUTE($E4547," ","")))</f>
        <v/>
      </c>
      <c r="K4547" s="10" t="str">
        <f aca="false">IF($A4547="","",$G4547&amp;"|"&amp;$J4547)</f>
        <v/>
      </c>
      <c r="L4547" s="10" t="str">
        <f aca="false">IF($A4547="","",ROW()-2)</f>
        <v/>
      </c>
      <c r="M4547" s="10" t="str">
        <f aca="false">IF($A4547="","",ROW())</f>
        <v/>
      </c>
    </row>
    <row r="4548" customFormat="false" ht="15" hidden="false" customHeight="true" outlineLevel="0" collapsed="false">
      <c r="A4548" s="8"/>
      <c r="B4548" s="8"/>
      <c r="C4548" s="8"/>
      <c r="D4548" s="8"/>
      <c r="E4548" s="8"/>
      <c r="F4548" s="8"/>
      <c r="G4548" s="10" t="str">
        <f aca="false">IF($A4548="","",UPPER(SUBSTITUTE(SUBSTITUTE(SUBSTITUTE(SUBSTITUTE($A4548," ",""),"(주)",""),"주식회사",""),"㈜","")))</f>
        <v/>
      </c>
      <c r="H4548" s="10" t="str">
        <f aca="false">IF($B4548="","",SUBSTITUTE(SUBSTITUTE(SUBSTITUTE($B4548,"-","")," ",""),".",""))</f>
        <v/>
      </c>
      <c r="I4548" s="10" t="str">
        <f aca="false">IF($D4548="","",SUBSTITUTE(SUBSTITUTE(SUBSTITUTE($D4548,"-","")," ",""),".",""))</f>
        <v/>
      </c>
      <c r="J4548" s="10" t="str">
        <f aca="false">IF($E4548="","",UPPER(SUBSTITUTE($E4548," ","")))</f>
        <v/>
      </c>
      <c r="K4548" s="10" t="str">
        <f aca="false">IF($A4548="","",$G4548&amp;"|"&amp;$J4548)</f>
        <v/>
      </c>
      <c r="L4548" s="10" t="str">
        <f aca="false">IF($A4548="","",ROW()-2)</f>
        <v/>
      </c>
      <c r="M4548" s="10" t="str">
        <f aca="false">IF($A4548="","",ROW())</f>
        <v/>
      </c>
    </row>
    <row r="4549" customFormat="false" ht="15" hidden="false" customHeight="true" outlineLevel="0" collapsed="false">
      <c r="A4549" s="8"/>
      <c r="B4549" s="8"/>
      <c r="C4549" s="8"/>
      <c r="D4549" s="8"/>
      <c r="E4549" s="8"/>
      <c r="F4549" s="8"/>
      <c r="G4549" s="10" t="str">
        <f aca="false">IF($A4549="","",UPPER(SUBSTITUTE(SUBSTITUTE(SUBSTITUTE(SUBSTITUTE($A4549," ",""),"(주)",""),"주식회사",""),"㈜","")))</f>
        <v/>
      </c>
      <c r="H4549" s="10" t="str">
        <f aca="false">IF($B4549="","",SUBSTITUTE(SUBSTITUTE(SUBSTITUTE($B4549,"-","")," ",""),".",""))</f>
        <v/>
      </c>
      <c r="I4549" s="10" t="str">
        <f aca="false">IF($D4549="","",SUBSTITUTE(SUBSTITUTE(SUBSTITUTE($D4549,"-","")," ",""),".",""))</f>
        <v/>
      </c>
      <c r="J4549" s="10" t="str">
        <f aca="false">IF($E4549="","",UPPER(SUBSTITUTE($E4549," ","")))</f>
        <v/>
      </c>
      <c r="K4549" s="10" t="str">
        <f aca="false">IF($A4549="","",$G4549&amp;"|"&amp;$J4549)</f>
        <v/>
      </c>
      <c r="L4549" s="10" t="str">
        <f aca="false">IF($A4549="","",ROW()-2)</f>
        <v/>
      </c>
      <c r="M4549" s="10" t="str">
        <f aca="false">IF($A4549="","",ROW())</f>
        <v/>
      </c>
    </row>
    <row r="4550" customFormat="false" ht="15" hidden="false" customHeight="true" outlineLevel="0" collapsed="false">
      <c r="A4550" s="8"/>
      <c r="B4550" s="8"/>
      <c r="C4550" s="8"/>
      <c r="D4550" s="8"/>
      <c r="E4550" s="8"/>
      <c r="F4550" s="8"/>
      <c r="G4550" s="10" t="str">
        <f aca="false">IF($A4550="","",UPPER(SUBSTITUTE(SUBSTITUTE(SUBSTITUTE(SUBSTITUTE($A4550," ",""),"(주)",""),"주식회사",""),"㈜","")))</f>
        <v/>
      </c>
      <c r="H4550" s="10" t="str">
        <f aca="false">IF($B4550="","",SUBSTITUTE(SUBSTITUTE(SUBSTITUTE($B4550,"-","")," ",""),".",""))</f>
        <v/>
      </c>
      <c r="I4550" s="10" t="str">
        <f aca="false">IF($D4550="","",SUBSTITUTE(SUBSTITUTE(SUBSTITUTE($D4550,"-","")," ",""),".",""))</f>
        <v/>
      </c>
      <c r="J4550" s="10" t="str">
        <f aca="false">IF($E4550="","",UPPER(SUBSTITUTE($E4550," ","")))</f>
        <v/>
      </c>
      <c r="K4550" s="10" t="str">
        <f aca="false">IF($A4550="","",$G4550&amp;"|"&amp;$J4550)</f>
        <v/>
      </c>
      <c r="L4550" s="10" t="str">
        <f aca="false">IF($A4550="","",ROW()-2)</f>
        <v/>
      </c>
      <c r="M4550" s="10" t="str">
        <f aca="false">IF($A4550="","",ROW())</f>
        <v/>
      </c>
    </row>
    <row r="4551" customFormat="false" ht="15" hidden="false" customHeight="true" outlineLevel="0" collapsed="false">
      <c r="A4551" s="8"/>
      <c r="B4551" s="8"/>
      <c r="C4551" s="8"/>
      <c r="D4551" s="8"/>
      <c r="E4551" s="8"/>
      <c r="F4551" s="8"/>
      <c r="G4551" s="10" t="str">
        <f aca="false">IF($A4551="","",UPPER(SUBSTITUTE(SUBSTITUTE(SUBSTITUTE(SUBSTITUTE($A4551," ",""),"(주)",""),"주식회사",""),"㈜","")))</f>
        <v/>
      </c>
      <c r="H4551" s="10" t="str">
        <f aca="false">IF($B4551="","",SUBSTITUTE(SUBSTITUTE(SUBSTITUTE($B4551,"-","")," ",""),".",""))</f>
        <v/>
      </c>
      <c r="I4551" s="10" t="str">
        <f aca="false">IF($D4551="","",SUBSTITUTE(SUBSTITUTE(SUBSTITUTE($D4551,"-","")," ",""),".",""))</f>
        <v/>
      </c>
      <c r="J4551" s="10" t="str">
        <f aca="false">IF($E4551="","",UPPER(SUBSTITUTE($E4551," ","")))</f>
        <v/>
      </c>
      <c r="K4551" s="10" t="str">
        <f aca="false">IF($A4551="","",$G4551&amp;"|"&amp;$J4551)</f>
        <v/>
      </c>
      <c r="L4551" s="10" t="str">
        <f aca="false">IF($A4551="","",ROW()-2)</f>
        <v/>
      </c>
      <c r="M4551" s="10" t="str">
        <f aca="false">IF($A4551="","",ROW())</f>
        <v/>
      </c>
    </row>
    <row r="4552" customFormat="false" ht="15" hidden="false" customHeight="true" outlineLevel="0" collapsed="false">
      <c r="A4552" s="8"/>
      <c r="B4552" s="8"/>
      <c r="C4552" s="8"/>
      <c r="D4552" s="8"/>
      <c r="E4552" s="8"/>
      <c r="F4552" s="8"/>
      <c r="G4552" s="10" t="str">
        <f aca="false">IF($A4552="","",UPPER(SUBSTITUTE(SUBSTITUTE(SUBSTITUTE(SUBSTITUTE($A4552," ",""),"(주)",""),"주식회사",""),"㈜","")))</f>
        <v/>
      </c>
      <c r="H4552" s="10" t="str">
        <f aca="false">IF($B4552="","",SUBSTITUTE(SUBSTITUTE(SUBSTITUTE($B4552,"-","")," ",""),".",""))</f>
        <v/>
      </c>
      <c r="I4552" s="10" t="str">
        <f aca="false">IF($D4552="","",SUBSTITUTE(SUBSTITUTE(SUBSTITUTE($D4552,"-","")," ",""),".",""))</f>
        <v/>
      </c>
      <c r="J4552" s="10" t="str">
        <f aca="false">IF($E4552="","",UPPER(SUBSTITUTE($E4552," ","")))</f>
        <v/>
      </c>
      <c r="K4552" s="10" t="str">
        <f aca="false">IF($A4552="","",$G4552&amp;"|"&amp;$J4552)</f>
        <v/>
      </c>
      <c r="L4552" s="10" t="str">
        <f aca="false">IF($A4552="","",ROW()-2)</f>
        <v/>
      </c>
      <c r="M4552" s="10" t="str">
        <f aca="false">IF($A4552="","",ROW())</f>
        <v/>
      </c>
    </row>
    <row r="4553" customFormat="false" ht="15" hidden="false" customHeight="true" outlineLevel="0" collapsed="false">
      <c r="A4553" s="8"/>
      <c r="B4553" s="8"/>
      <c r="C4553" s="8"/>
      <c r="D4553" s="8"/>
      <c r="E4553" s="8"/>
      <c r="F4553" s="8"/>
      <c r="G4553" s="10" t="str">
        <f aca="false">IF($A4553="","",UPPER(SUBSTITUTE(SUBSTITUTE(SUBSTITUTE(SUBSTITUTE($A4553," ",""),"(주)",""),"주식회사",""),"㈜","")))</f>
        <v/>
      </c>
      <c r="H4553" s="10" t="str">
        <f aca="false">IF($B4553="","",SUBSTITUTE(SUBSTITUTE(SUBSTITUTE($B4553,"-","")," ",""),".",""))</f>
        <v/>
      </c>
      <c r="I4553" s="10" t="str">
        <f aca="false">IF($D4553="","",SUBSTITUTE(SUBSTITUTE(SUBSTITUTE($D4553,"-","")," ",""),".",""))</f>
        <v/>
      </c>
      <c r="J4553" s="10" t="str">
        <f aca="false">IF($E4553="","",UPPER(SUBSTITUTE($E4553," ","")))</f>
        <v/>
      </c>
      <c r="K4553" s="10" t="str">
        <f aca="false">IF($A4553="","",$G4553&amp;"|"&amp;$J4553)</f>
        <v/>
      </c>
      <c r="L4553" s="10" t="str">
        <f aca="false">IF($A4553="","",ROW()-2)</f>
        <v/>
      </c>
      <c r="M4553" s="10" t="str">
        <f aca="false">IF($A4553="","",ROW())</f>
        <v/>
      </c>
    </row>
    <row r="4554" customFormat="false" ht="15" hidden="false" customHeight="true" outlineLevel="0" collapsed="false">
      <c r="A4554" s="8"/>
      <c r="B4554" s="8"/>
      <c r="C4554" s="8"/>
      <c r="D4554" s="8"/>
      <c r="E4554" s="8"/>
      <c r="F4554" s="8"/>
      <c r="G4554" s="10" t="str">
        <f aca="false">IF($A4554="","",UPPER(SUBSTITUTE(SUBSTITUTE(SUBSTITUTE(SUBSTITUTE($A4554," ",""),"(주)",""),"주식회사",""),"㈜","")))</f>
        <v/>
      </c>
      <c r="H4554" s="10" t="str">
        <f aca="false">IF($B4554="","",SUBSTITUTE(SUBSTITUTE(SUBSTITUTE($B4554,"-","")," ",""),".",""))</f>
        <v/>
      </c>
      <c r="I4554" s="10" t="str">
        <f aca="false">IF($D4554="","",SUBSTITUTE(SUBSTITUTE(SUBSTITUTE($D4554,"-","")," ",""),".",""))</f>
        <v/>
      </c>
      <c r="J4554" s="10" t="str">
        <f aca="false">IF($E4554="","",UPPER(SUBSTITUTE($E4554," ","")))</f>
        <v/>
      </c>
      <c r="K4554" s="10" t="str">
        <f aca="false">IF($A4554="","",$G4554&amp;"|"&amp;$J4554)</f>
        <v/>
      </c>
      <c r="L4554" s="10" t="str">
        <f aca="false">IF($A4554="","",ROW()-2)</f>
        <v/>
      </c>
      <c r="M4554" s="10" t="str">
        <f aca="false">IF($A4554="","",ROW())</f>
        <v/>
      </c>
    </row>
    <row r="4555" customFormat="false" ht="15" hidden="false" customHeight="true" outlineLevel="0" collapsed="false">
      <c r="A4555" s="8"/>
      <c r="B4555" s="8"/>
      <c r="C4555" s="8"/>
      <c r="D4555" s="8"/>
      <c r="E4555" s="8"/>
      <c r="F4555" s="8"/>
      <c r="G4555" s="10" t="str">
        <f aca="false">IF($A4555="","",UPPER(SUBSTITUTE(SUBSTITUTE(SUBSTITUTE(SUBSTITUTE($A4555," ",""),"(주)",""),"주식회사",""),"㈜","")))</f>
        <v/>
      </c>
      <c r="H4555" s="10" t="str">
        <f aca="false">IF($B4555="","",SUBSTITUTE(SUBSTITUTE(SUBSTITUTE($B4555,"-","")," ",""),".",""))</f>
        <v/>
      </c>
      <c r="I4555" s="10" t="str">
        <f aca="false">IF($D4555="","",SUBSTITUTE(SUBSTITUTE(SUBSTITUTE($D4555,"-","")," ",""),".",""))</f>
        <v/>
      </c>
      <c r="J4555" s="10" t="str">
        <f aca="false">IF($E4555="","",UPPER(SUBSTITUTE($E4555," ","")))</f>
        <v/>
      </c>
      <c r="K4555" s="10" t="str">
        <f aca="false">IF($A4555="","",$G4555&amp;"|"&amp;$J4555)</f>
        <v/>
      </c>
      <c r="L4555" s="10" t="str">
        <f aca="false">IF($A4555="","",ROW()-2)</f>
        <v/>
      </c>
      <c r="M4555" s="10" t="str">
        <f aca="false">IF($A4555="","",ROW())</f>
        <v/>
      </c>
    </row>
    <row r="4556" customFormat="false" ht="15" hidden="false" customHeight="true" outlineLevel="0" collapsed="false">
      <c r="A4556" s="8"/>
      <c r="B4556" s="8"/>
      <c r="C4556" s="8"/>
      <c r="D4556" s="8"/>
      <c r="E4556" s="8"/>
      <c r="F4556" s="8"/>
      <c r="G4556" s="10" t="str">
        <f aca="false">IF($A4556="","",UPPER(SUBSTITUTE(SUBSTITUTE(SUBSTITUTE(SUBSTITUTE($A4556," ",""),"(주)",""),"주식회사",""),"㈜","")))</f>
        <v/>
      </c>
      <c r="H4556" s="10" t="str">
        <f aca="false">IF($B4556="","",SUBSTITUTE(SUBSTITUTE(SUBSTITUTE($B4556,"-","")," ",""),".",""))</f>
        <v/>
      </c>
      <c r="I4556" s="10" t="str">
        <f aca="false">IF($D4556="","",SUBSTITUTE(SUBSTITUTE(SUBSTITUTE($D4556,"-","")," ",""),".",""))</f>
        <v/>
      </c>
      <c r="J4556" s="10" t="str">
        <f aca="false">IF($E4556="","",UPPER(SUBSTITUTE($E4556," ","")))</f>
        <v/>
      </c>
      <c r="K4556" s="10" t="str">
        <f aca="false">IF($A4556="","",$G4556&amp;"|"&amp;$J4556)</f>
        <v/>
      </c>
      <c r="L4556" s="10" t="str">
        <f aca="false">IF($A4556="","",ROW()-2)</f>
        <v/>
      </c>
      <c r="M4556" s="10" t="str">
        <f aca="false">IF($A4556="","",ROW())</f>
        <v/>
      </c>
    </row>
    <row r="4557" customFormat="false" ht="15" hidden="false" customHeight="true" outlineLevel="0" collapsed="false">
      <c r="A4557" s="8"/>
      <c r="B4557" s="8"/>
      <c r="C4557" s="8"/>
      <c r="D4557" s="8"/>
      <c r="E4557" s="8"/>
      <c r="F4557" s="8"/>
      <c r="G4557" s="10" t="str">
        <f aca="false">IF($A4557="","",UPPER(SUBSTITUTE(SUBSTITUTE(SUBSTITUTE(SUBSTITUTE($A4557," ",""),"(주)",""),"주식회사",""),"㈜","")))</f>
        <v/>
      </c>
      <c r="H4557" s="10" t="str">
        <f aca="false">IF($B4557="","",SUBSTITUTE(SUBSTITUTE(SUBSTITUTE($B4557,"-","")," ",""),".",""))</f>
        <v/>
      </c>
      <c r="I4557" s="10" t="str">
        <f aca="false">IF($D4557="","",SUBSTITUTE(SUBSTITUTE(SUBSTITUTE($D4557,"-","")," ",""),".",""))</f>
        <v/>
      </c>
      <c r="J4557" s="10" t="str">
        <f aca="false">IF($E4557="","",UPPER(SUBSTITUTE($E4557," ","")))</f>
        <v/>
      </c>
      <c r="K4557" s="10" t="str">
        <f aca="false">IF($A4557="","",$G4557&amp;"|"&amp;$J4557)</f>
        <v/>
      </c>
      <c r="L4557" s="10" t="str">
        <f aca="false">IF($A4557="","",ROW()-2)</f>
        <v/>
      </c>
      <c r="M4557" s="10" t="str">
        <f aca="false">IF($A4557="","",ROW())</f>
        <v/>
      </c>
    </row>
    <row r="4558" customFormat="false" ht="15" hidden="false" customHeight="true" outlineLevel="0" collapsed="false">
      <c r="A4558" s="8"/>
      <c r="B4558" s="8"/>
      <c r="C4558" s="8"/>
      <c r="D4558" s="8"/>
      <c r="E4558" s="8"/>
      <c r="F4558" s="8"/>
      <c r="G4558" s="10" t="str">
        <f aca="false">IF($A4558="","",UPPER(SUBSTITUTE(SUBSTITUTE(SUBSTITUTE(SUBSTITUTE($A4558," ",""),"(주)",""),"주식회사",""),"㈜","")))</f>
        <v/>
      </c>
      <c r="H4558" s="10" t="str">
        <f aca="false">IF($B4558="","",SUBSTITUTE(SUBSTITUTE(SUBSTITUTE($B4558,"-","")," ",""),".",""))</f>
        <v/>
      </c>
      <c r="I4558" s="10" t="str">
        <f aca="false">IF($D4558="","",SUBSTITUTE(SUBSTITUTE(SUBSTITUTE($D4558,"-","")," ",""),".",""))</f>
        <v/>
      </c>
      <c r="J4558" s="10" t="str">
        <f aca="false">IF($E4558="","",UPPER(SUBSTITUTE($E4558," ","")))</f>
        <v/>
      </c>
      <c r="K4558" s="10" t="str">
        <f aca="false">IF($A4558="","",$G4558&amp;"|"&amp;$J4558)</f>
        <v/>
      </c>
      <c r="L4558" s="10" t="str">
        <f aca="false">IF($A4558="","",ROW()-2)</f>
        <v/>
      </c>
      <c r="M4558" s="10" t="str">
        <f aca="false">IF($A4558="","",ROW())</f>
        <v/>
      </c>
    </row>
    <row r="4559" customFormat="false" ht="15" hidden="false" customHeight="true" outlineLevel="0" collapsed="false">
      <c r="A4559" s="8"/>
      <c r="B4559" s="8"/>
      <c r="C4559" s="8"/>
      <c r="D4559" s="8"/>
      <c r="E4559" s="8"/>
      <c r="F4559" s="8"/>
      <c r="G4559" s="10" t="str">
        <f aca="false">IF($A4559="","",UPPER(SUBSTITUTE(SUBSTITUTE(SUBSTITUTE(SUBSTITUTE($A4559," ",""),"(주)",""),"주식회사",""),"㈜","")))</f>
        <v/>
      </c>
      <c r="H4559" s="10" t="str">
        <f aca="false">IF($B4559="","",SUBSTITUTE(SUBSTITUTE(SUBSTITUTE($B4559,"-","")," ",""),".",""))</f>
        <v/>
      </c>
      <c r="I4559" s="10" t="str">
        <f aca="false">IF($D4559="","",SUBSTITUTE(SUBSTITUTE(SUBSTITUTE($D4559,"-","")," ",""),".",""))</f>
        <v/>
      </c>
      <c r="J4559" s="10" t="str">
        <f aca="false">IF($E4559="","",UPPER(SUBSTITUTE($E4559," ","")))</f>
        <v/>
      </c>
      <c r="K4559" s="10" t="str">
        <f aca="false">IF($A4559="","",$G4559&amp;"|"&amp;$J4559)</f>
        <v/>
      </c>
      <c r="L4559" s="10" t="str">
        <f aca="false">IF($A4559="","",ROW()-2)</f>
        <v/>
      </c>
      <c r="M4559" s="10" t="str">
        <f aca="false">IF($A4559="","",ROW())</f>
        <v/>
      </c>
    </row>
    <row r="4560" customFormat="false" ht="15" hidden="false" customHeight="true" outlineLevel="0" collapsed="false">
      <c r="A4560" s="8"/>
      <c r="B4560" s="8"/>
      <c r="C4560" s="8"/>
      <c r="D4560" s="8"/>
      <c r="E4560" s="8"/>
      <c r="F4560" s="8"/>
      <c r="G4560" s="10" t="str">
        <f aca="false">IF($A4560="","",UPPER(SUBSTITUTE(SUBSTITUTE(SUBSTITUTE(SUBSTITUTE($A4560," ",""),"(주)",""),"주식회사",""),"㈜","")))</f>
        <v/>
      </c>
      <c r="H4560" s="10" t="str">
        <f aca="false">IF($B4560="","",SUBSTITUTE(SUBSTITUTE(SUBSTITUTE($B4560,"-","")," ",""),".",""))</f>
        <v/>
      </c>
      <c r="I4560" s="10" t="str">
        <f aca="false">IF($D4560="","",SUBSTITUTE(SUBSTITUTE(SUBSTITUTE($D4560,"-","")," ",""),".",""))</f>
        <v/>
      </c>
      <c r="J4560" s="10" t="str">
        <f aca="false">IF($E4560="","",UPPER(SUBSTITUTE($E4560," ","")))</f>
        <v/>
      </c>
      <c r="K4560" s="10" t="str">
        <f aca="false">IF($A4560="","",$G4560&amp;"|"&amp;$J4560)</f>
        <v/>
      </c>
      <c r="L4560" s="10" t="str">
        <f aca="false">IF($A4560="","",ROW()-2)</f>
        <v/>
      </c>
      <c r="M4560" s="10" t="str">
        <f aca="false">IF($A4560="","",ROW())</f>
        <v/>
      </c>
    </row>
    <row r="4561" customFormat="false" ht="15" hidden="false" customHeight="true" outlineLevel="0" collapsed="false">
      <c r="A4561" s="8"/>
      <c r="B4561" s="8"/>
      <c r="C4561" s="8"/>
      <c r="D4561" s="8"/>
      <c r="E4561" s="8"/>
      <c r="F4561" s="8"/>
      <c r="G4561" s="10" t="str">
        <f aca="false">IF($A4561="","",UPPER(SUBSTITUTE(SUBSTITUTE(SUBSTITUTE(SUBSTITUTE($A4561," ",""),"(주)",""),"주식회사",""),"㈜","")))</f>
        <v/>
      </c>
      <c r="H4561" s="10" t="str">
        <f aca="false">IF($B4561="","",SUBSTITUTE(SUBSTITUTE(SUBSTITUTE($B4561,"-","")," ",""),".",""))</f>
        <v/>
      </c>
      <c r="I4561" s="10" t="str">
        <f aca="false">IF($D4561="","",SUBSTITUTE(SUBSTITUTE(SUBSTITUTE($D4561,"-","")," ",""),".",""))</f>
        <v/>
      </c>
      <c r="J4561" s="10" t="str">
        <f aca="false">IF($E4561="","",UPPER(SUBSTITUTE($E4561," ","")))</f>
        <v/>
      </c>
      <c r="K4561" s="10" t="str">
        <f aca="false">IF($A4561="","",$G4561&amp;"|"&amp;$J4561)</f>
        <v/>
      </c>
      <c r="L4561" s="10" t="str">
        <f aca="false">IF($A4561="","",ROW()-2)</f>
        <v/>
      </c>
      <c r="M4561" s="10" t="str">
        <f aca="false">IF($A4561="","",ROW())</f>
        <v/>
      </c>
    </row>
    <row r="4562" customFormat="false" ht="15" hidden="false" customHeight="true" outlineLevel="0" collapsed="false">
      <c r="A4562" s="8"/>
      <c r="B4562" s="8"/>
      <c r="C4562" s="8"/>
      <c r="D4562" s="8"/>
      <c r="E4562" s="8"/>
      <c r="F4562" s="8"/>
      <c r="G4562" s="10" t="str">
        <f aca="false">IF($A4562="","",UPPER(SUBSTITUTE(SUBSTITUTE(SUBSTITUTE(SUBSTITUTE($A4562," ",""),"(주)",""),"주식회사",""),"㈜","")))</f>
        <v/>
      </c>
      <c r="H4562" s="10" t="str">
        <f aca="false">IF($B4562="","",SUBSTITUTE(SUBSTITUTE(SUBSTITUTE($B4562,"-","")," ",""),".",""))</f>
        <v/>
      </c>
      <c r="I4562" s="10" t="str">
        <f aca="false">IF($D4562="","",SUBSTITUTE(SUBSTITUTE(SUBSTITUTE($D4562,"-","")," ",""),".",""))</f>
        <v/>
      </c>
      <c r="J4562" s="10" t="str">
        <f aca="false">IF($E4562="","",UPPER(SUBSTITUTE($E4562," ","")))</f>
        <v/>
      </c>
      <c r="K4562" s="10" t="str">
        <f aca="false">IF($A4562="","",$G4562&amp;"|"&amp;$J4562)</f>
        <v/>
      </c>
      <c r="L4562" s="10" t="str">
        <f aca="false">IF($A4562="","",ROW()-2)</f>
        <v/>
      </c>
      <c r="M4562" s="10" t="str">
        <f aca="false">IF($A4562="","",ROW())</f>
        <v/>
      </c>
    </row>
    <row r="4563" customFormat="false" ht="15" hidden="false" customHeight="true" outlineLevel="0" collapsed="false">
      <c r="A4563" s="8"/>
      <c r="B4563" s="8"/>
      <c r="C4563" s="8"/>
      <c r="D4563" s="8"/>
      <c r="E4563" s="8"/>
      <c r="F4563" s="8"/>
      <c r="G4563" s="10" t="str">
        <f aca="false">IF($A4563="","",UPPER(SUBSTITUTE(SUBSTITUTE(SUBSTITUTE(SUBSTITUTE($A4563," ",""),"(주)",""),"주식회사",""),"㈜","")))</f>
        <v/>
      </c>
      <c r="H4563" s="10" t="str">
        <f aca="false">IF($B4563="","",SUBSTITUTE(SUBSTITUTE(SUBSTITUTE($B4563,"-","")," ",""),".",""))</f>
        <v/>
      </c>
      <c r="I4563" s="10" t="str">
        <f aca="false">IF($D4563="","",SUBSTITUTE(SUBSTITUTE(SUBSTITUTE($D4563,"-","")," ",""),".",""))</f>
        <v/>
      </c>
      <c r="J4563" s="10" t="str">
        <f aca="false">IF($E4563="","",UPPER(SUBSTITUTE($E4563," ","")))</f>
        <v/>
      </c>
      <c r="K4563" s="10" t="str">
        <f aca="false">IF($A4563="","",$G4563&amp;"|"&amp;$J4563)</f>
        <v/>
      </c>
      <c r="L4563" s="10" t="str">
        <f aca="false">IF($A4563="","",ROW()-2)</f>
        <v/>
      </c>
      <c r="M4563" s="10" t="str">
        <f aca="false">IF($A4563="","",ROW())</f>
        <v/>
      </c>
    </row>
    <row r="4564" customFormat="false" ht="15" hidden="false" customHeight="true" outlineLevel="0" collapsed="false">
      <c r="A4564" s="8"/>
      <c r="B4564" s="8"/>
      <c r="C4564" s="8"/>
      <c r="D4564" s="8"/>
      <c r="E4564" s="8"/>
      <c r="F4564" s="8"/>
      <c r="G4564" s="10" t="str">
        <f aca="false">IF($A4564="","",UPPER(SUBSTITUTE(SUBSTITUTE(SUBSTITUTE(SUBSTITUTE($A4564," ",""),"(주)",""),"주식회사",""),"㈜","")))</f>
        <v/>
      </c>
      <c r="H4564" s="10" t="str">
        <f aca="false">IF($B4564="","",SUBSTITUTE(SUBSTITUTE(SUBSTITUTE($B4564,"-","")," ",""),".",""))</f>
        <v/>
      </c>
      <c r="I4564" s="10" t="str">
        <f aca="false">IF($D4564="","",SUBSTITUTE(SUBSTITUTE(SUBSTITUTE($D4564,"-","")," ",""),".",""))</f>
        <v/>
      </c>
      <c r="J4564" s="10" t="str">
        <f aca="false">IF($E4564="","",UPPER(SUBSTITUTE($E4564," ","")))</f>
        <v/>
      </c>
      <c r="K4564" s="10" t="str">
        <f aca="false">IF($A4564="","",$G4564&amp;"|"&amp;$J4564)</f>
        <v/>
      </c>
      <c r="L4564" s="10" t="str">
        <f aca="false">IF($A4564="","",ROW()-2)</f>
        <v/>
      </c>
      <c r="M4564" s="10" t="str">
        <f aca="false">IF($A4564="","",ROW())</f>
        <v/>
      </c>
    </row>
    <row r="4565" customFormat="false" ht="15" hidden="false" customHeight="true" outlineLevel="0" collapsed="false">
      <c r="A4565" s="8"/>
      <c r="B4565" s="8"/>
      <c r="C4565" s="8"/>
      <c r="D4565" s="8"/>
      <c r="E4565" s="8"/>
      <c r="F4565" s="8"/>
      <c r="G4565" s="10" t="str">
        <f aca="false">IF($A4565="","",UPPER(SUBSTITUTE(SUBSTITUTE(SUBSTITUTE(SUBSTITUTE($A4565," ",""),"(주)",""),"주식회사",""),"㈜","")))</f>
        <v/>
      </c>
      <c r="H4565" s="10" t="str">
        <f aca="false">IF($B4565="","",SUBSTITUTE(SUBSTITUTE(SUBSTITUTE($B4565,"-","")," ",""),".",""))</f>
        <v/>
      </c>
      <c r="I4565" s="10" t="str">
        <f aca="false">IF($D4565="","",SUBSTITUTE(SUBSTITUTE(SUBSTITUTE($D4565,"-","")," ",""),".",""))</f>
        <v/>
      </c>
      <c r="J4565" s="10" t="str">
        <f aca="false">IF($E4565="","",UPPER(SUBSTITUTE($E4565," ","")))</f>
        <v/>
      </c>
      <c r="K4565" s="10" t="str">
        <f aca="false">IF($A4565="","",$G4565&amp;"|"&amp;$J4565)</f>
        <v/>
      </c>
      <c r="L4565" s="10" t="str">
        <f aca="false">IF($A4565="","",ROW()-2)</f>
        <v/>
      </c>
      <c r="M4565" s="10" t="str">
        <f aca="false">IF($A4565="","",ROW())</f>
        <v/>
      </c>
    </row>
    <row r="4566" customFormat="false" ht="15" hidden="false" customHeight="true" outlineLevel="0" collapsed="false">
      <c r="A4566" s="8"/>
      <c r="B4566" s="8"/>
      <c r="C4566" s="8"/>
      <c r="D4566" s="8"/>
      <c r="E4566" s="8"/>
      <c r="F4566" s="8"/>
      <c r="G4566" s="10" t="str">
        <f aca="false">IF($A4566="","",UPPER(SUBSTITUTE(SUBSTITUTE(SUBSTITUTE(SUBSTITUTE($A4566," ",""),"(주)",""),"주식회사",""),"㈜","")))</f>
        <v/>
      </c>
      <c r="H4566" s="10" t="str">
        <f aca="false">IF($B4566="","",SUBSTITUTE(SUBSTITUTE(SUBSTITUTE($B4566,"-","")," ",""),".",""))</f>
        <v/>
      </c>
      <c r="I4566" s="10" t="str">
        <f aca="false">IF($D4566="","",SUBSTITUTE(SUBSTITUTE(SUBSTITUTE($D4566,"-","")," ",""),".",""))</f>
        <v/>
      </c>
      <c r="J4566" s="10" t="str">
        <f aca="false">IF($E4566="","",UPPER(SUBSTITUTE($E4566," ","")))</f>
        <v/>
      </c>
      <c r="K4566" s="10" t="str">
        <f aca="false">IF($A4566="","",$G4566&amp;"|"&amp;$J4566)</f>
        <v/>
      </c>
      <c r="L4566" s="10" t="str">
        <f aca="false">IF($A4566="","",ROW()-2)</f>
        <v/>
      </c>
      <c r="M4566" s="10" t="str">
        <f aca="false">IF($A4566="","",ROW())</f>
        <v/>
      </c>
    </row>
    <row r="4567" customFormat="false" ht="15" hidden="false" customHeight="true" outlineLevel="0" collapsed="false">
      <c r="A4567" s="8"/>
      <c r="B4567" s="8"/>
      <c r="C4567" s="8"/>
      <c r="D4567" s="8"/>
      <c r="E4567" s="8"/>
      <c r="F4567" s="8"/>
      <c r="G4567" s="10" t="str">
        <f aca="false">IF($A4567="","",UPPER(SUBSTITUTE(SUBSTITUTE(SUBSTITUTE(SUBSTITUTE($A4567," ",""),"(주)",""),"주식회사",""),"㈜","")))</f>
        <v/>
      </c>
      <c r="H4567" s="10" t="str">
        <f aca="false">IF($B4567="","",SUBSTITUTE(SUBSTITUTE(SUBSTITUTE($B4567,"-","")," ",""),".",""))</f>
        <v/>
      </c>
      <c r="I4567" s="10" t="str">
        <f aca="false">IF($D4567="","",SUBSTITUTE(SUBSTITUTE(SUBSTITUTE($D4567,"-","")," ",""),".",""))</f>
        <v/>
      </c>
      <c r="J4567" s="10" t="str">
        <f aca="false">IF($E4567="","",UPPER(SUBSTITUTE($E4567," ","")))</f>
        <v/>
      </c>
      <c r="K4567" s="10" t="str">
        <f aca="false">IF($A4567="","",$G4567&amp;"|"&amp;$J4567)</f>
        <v/>
      </c>
      <c r="L4567" s="10" t="str">
        <f aca="false">IF($A4567="","",ROW()-2)</f>
        <v/>
      </c>
      <c r="M4567" s="10" t="str">
        <f aca="false">IF($A4567="","",ROW())</f>
        <v/>
      </c>
    </row>
    <row r="4568" customFormat="false" ht="15" hidden="false" customHeight="true" outlineLevel="0" collapsed="false">
      <c r="A4568" s="8"/>
      <c r="B4568" s="8"/>
      <c r="C4568" s="8"/>
      <c r="D4568" s="8"/>
      <c r="E4568" s="8"/>
      <c r="F4568" s="8"/>
      <c r="G4568" s="10" t="str">
        <f aca="false">IF($A4568="","",UPPER(SUBSTITUTE(SUBSTITUTE(SUBSTITUTE(SUBSTITUTE($A4568," ",""),"(주)",""),"주식회사",""),"㈜","")))</f>
        <v/>
      </c>
      <c r="H4568" s="10" t="str">
        <f aca="false">IF($B4568="","",SUBSTITUTE(SUBSTITUTE(SUBSTITUTE($B4568,"-","")," ",""),".",""))</f>
        <v/>
      </c>
      <c r="I4568" s="10" t="str">
        <f aca="false">IF($D4568="","",SUBSTITUTE(SUBSTITUTE(SUBSTITUTE($D4568,"-","")," ",""),".",""))</f>
        <v/>
      </c>
      <c r="J4568" s="10" t="str">
        <f aca="false">IF($E4568="","",UPPER(SUBSTITUTE($E4568," ","")))</f>
        <v/>
      </c>
      <c r="K4568" s="10" t="str">
        <f aca="false">IF($A4568="","",$G4568&amp;"|"&amp;$J4568)</f>
        <v/>
      </c>
      <c r="L4568" s="10" t="str">
        <f aca="false">IF($A4568="","",ROW()-2)</f>
        <v/>
      </c>
      <c r="M4568" s="10" t="str">
        <f aca="false">IF($A4568="","",ROW())</f>
        <v/>
      </c>
    </row>
    <row r="4569" customFormat="false" ht="15" hidden="false" customHeight="true" outlineLevel="0" collapsed="false">
      <c r="A4569" s="8"/>
      <c r="B4569" s="8"/>
      <c r="C4569" s="8"/>
      <c r="D4569" s="8"/>
      <c r="E4569" s="8"/>
      <c r="F4569" s="8"/>
      <c r="G4569" s="10" t="str">
        <f aca="false">IF($A4569="","",UPPER(SUBSTITUTE(SUBSTITUTE(SUBSTITUTE(SUBSTITUTE($A4569," ",""),"(주)",""),"주식회사",""),"㈜","")))</f>
        <v/>
      </c>
      <c r="H4569" s="10" t="str">
        <f aca="false">IF($B4569="","",SUBSTITUTE(SUBSTITUTE(SUBSTITUTE($B4569,"-","")," ",""),".",""))</f>
        <v/>
      </c>
      <c r="I4569" s="10" t="str">
        <f aca="false">IF($D4569="","",SUBSTITUTE(SUBSTITUTE(SUBSTITUTE($D4569,"-","")," ",""),".",""))</f>
        <v/>
      </c>
      <c r="J4569" s="10" t="str">
        <f aca="false">IF($E4569="","",UPPER(SUBSTITUTE($E4569," ","")))</f>
        <v/>
      </c>
      <c r="K4569" s="10" t="str">
        <f aca="false">IF($A4569="","",$G4569&amp;"|"&amp;$J4569)</f>
        <v/>
      </c>
      <c r="L4569" s="10" t="str">
        <f aca="false">IF($A4569="","",ROW()-2)</f>
        <v/>
      </c>
      <c r="M4569" s="10" t="str">
        <f aca="false">IF($A4569="","",ROW())</f>
        <v/>
      </c>
    </row>
    <row r="4570" customFormat="false" ht="15" hidden="false" customHeight="true" outlineLevel="0" collapsed="false">
      <c r="A4570" s="8"/>
      <c r="B4570" s="8"/>
      <c r="C4570" s="8"/>
      <c r="D4570" s="8"/>
      <c r="E4570" s="8"/>
      <c r="F4570" s="8"/>
      <c r="G4570" s="10" t="str">
        <f aca="false">IF($A4570="","",UPPER(SUBSTITUTE(SUBSTITUTE(SUBSTITUTE(SUBSTITUTE($A4570," ",""),"(주)",""),"주식회사",""),"㈜","")))</f>
        <v/>
      </c>
      <c r="H4570" s="10" t="str">
        <f aca="false">IF($B4570="","",SUBSTITUTE(SUBSTITUTE(SUBSTITUTE($B4570,"-","")," ",""),".",""))</f>
        <v/>
      </c>
      <c r="I4570" s="10" t="str">
        <f aca="false">IF($D4570="","",SUBSTITUTE(SUBSTITUTE(SUBSTITUTE($D4570,"-","")," ",""),".",""))</f>
        <v/>
      </c>
      <c r="J4570" s="10" t="str">
        <f aca="false">IF($E4570="","",UPPER(SUBSTITUTE($E4570," ","")))</f>
        <v/>
      </c>
      <c r="K4570" s="10" t="str">
        <f aca="false">IF($A4570="","",$G4570&amp;"|"&amp;$J4570)</f>
        <v/>
      </c>
      <c r="L4570" s="10" t="str">
        <f aca="false">IF($A4570="","",ROW()-2)</f>
        <v/>
      </c>
      <c r="M4570" s="10" t="str">
        <f aca="false">IF($A4570="","",ROW())</f>
        <v/>
      </c>
    </row>
    <row r="4571" customFormat="false" ht="15" hidden="false" customHeight="true" outlineLevel="0" collapsed="false">
      <c r="A4571" s="8"/>
      <c r="B4571" s="8"/>
      <c r="C4571" s="8"/>
      <c r="D4571" s="8"/>
      <c r="E4571" s="8"/>
      <c r="F4571" s="8"/>
      <c r="G4571" s="10" t="str">
        <f aca="false">IF($A4571="","",UPPER(SUBSTITUTE(SUBSTITUTE(SUBSTITUTE(SUBSTITUTE($A4571," ",""),"(주)",""),"주식회사",""),"㈜","")))</f>
        <v/>
      </c>
      <c r="H4571" s="10" t="str">
        <f aca="false">IF($B4571="","",SUBSTITUTE(SUBSTITUTE(SUBSTITUTE($B4571,"-","")," ",""),".",""))</f>
        <v/>
      </c>
      <c r="I4571" s="10" t="str">
        <f aca="false">IF($D4571="","",SUBSTITUTE(SUBSTITUTE(SUBSTITUTE($D4571,"-","")," ",""),".",""))</f>
        <v/>
      </c>
      <c r="J4571" s="10" t="str">
        <f aca="false">IF($E4571="","",UPPER(SUBSTITUTE($E4571," ","")))</f>
        <v/>
      </c>
      <c r="K4571" s="10" t="str">
        <f aca="false">IF($A4571="","",$G4571&amp;"|"&amp;$J4571)</f>
        <v/>
      </c>
      <c r="L4571" s="10" t="str">
        <f aca="false">IF($A4571="","",ROW()-2)</f>
        <v/>
      </c>
      <c r="M4571" s="10" t="str">
        <f aca="false">IF($A4571="","",ROW())</f>
        <v/>
      </c>
    </row>
    <row r="4572" customFormat="false" ht="15" hidden="false" customHeight="true" outlineLevel="0" collapsed="false">
      <c r="A4572" s="8"/>
      <c r="B4572" s="8"/>
      <c r="C4572" s="8"/>
      <c r="D4572" s="8"/>
      <c r="E4572" s="8"/>
      <c r="F4572" s="8"/>
      <c r="G4572" s="10" t="str">
        <f aca="false">IF($A4572="","",UPPER(SUBSTITUTE(SUBSTITUTE(SUBSTITUTE(SUBSTITUTE($A4572," ",""),"(주)",""),"주식회사",""),"㈜","")))</f>
        <v/>
      </c>
      <c r="H4572" s="10" t="str">
        <f aca="false">IF($B4572="","",SUBSTITUTE(SUBSTITUTE(SUBSTITUTE($B4572,"-","")," ",""),".",""))</f>
        <v/>
      </c>
      <c r="I4572" s="10" t="str">
        <f aca="false">IF($D4572="","",SUBSTITUTE(SUBSTITUTE(SUBSTITUTE($D4572,"-","")," ",""),".",""))</f>
        <v/>
      </c>
      <c r="J4572" s="10" t="str">
        <f aca="false">IF($E4572="","",UPPER(SUBSTITUTE($E4572," ","")))</f>
        <v/>
      </c>
      <c r="K4572" s="10" t="str">
        <f aca="false">IF($A4572="","",$G4572&amp;"|"&amp;$J4572)</f>
        <v/>
      </c>
      <c r="L4572" s="10" t="str">
        <f aca="false">IF($A4572="","",ROW()-2)</f>
        <v/>
      </c>
      <c r="M4572" s="10" t="str">
        <f aca="false">IF($A4572="","",ROW())</f>
        <v/>
      </c>
    </row>
    <row r="4573" customFormat="false" ht="15" hidden="false" customHeight="true" outlineLevel="0" collapsed="false">
      <c r="A4573" s="8"/>
      <c r="B4573" s="8"/>
      <c r="C4573" s="8"/>
      <c r="D4573" s="8"/>
      <c r="E4573" s="8"/>
      <c r="F4573" s="8"/>
      <c r="G4573" s="10" t="str">
        <f aca="false">IF($A4573="","",UPPER(SUBSTITUTE(SUBSTITUTE(SUBSTITUTE(SUBSTITUTE($A4573," ",""),"(주)",""),"주식회사",""),"㈜","")))</f>
        <v/>
      </c>
      <c r="H4573" s="10" t="str">
        <f aca="false">IF($B4573="","",SUBSTITUTE(SUBSTITUTE(SUBSTITUTE($B4573,"-","")," ",""),".",""))</f>
        <v/>
      </c>
      <c r="I4573" s="10" t="str">
        <f aca="false">IF($D4573="","",SUBSTITUTE(SUBSTITUTE(SUBSTITUTE($D4573,"-","")," ",""),".",""))</f>
        <v/>
      </c>
      <c r="J4573" s="10" t="str">
        <f aca="false">IF($E4573="","",UPPER(SUBSTITUTE($E4573," ","")))</f>
        <v/>
      </c>
      <c r="K4573" s="10" t="str">
        <f aca="false">IF($A4573="","",$G4573&amp;"|"&amp;$J4573)</f>
        <v/>
      </c>
      <c r="L4573" s="10" t="str">
        <f aca="false">IF($A4573="","",ROW()-2)</f>
        <v/>
      </c>
      <c r="M4573" s="10" t="str">
        <f aca="false">IF($A4573="","",ROW())</f>
        <v/>
      </c>
    </row>
    <row r="4574" customFormat="false" ht="15" hidden="false" customHeight="true" outlineLevel="0" collapsed="false">
      <c r="A4574" s="8"/>
      <c r="B4574" s="8"/>
      <c r="C4574" s="8"/>
      <c r="D4574" s="8"/>
      <c r="E4574" s="8"/>
      <c r="F4574" s="8"/>
      <c r="G4574" s="10" t="str">
        <f aca="false">IF($A4574="","",UPPER(SUBSTITUTE(SUBSTITUTE(SUBSTITUTE(SUBSTITUTE($A4574," ",""),"(주)",""),"주식회사",""),"㈜","")))</f>
        <v/>
      </c>
      <c r="H4574" s="10" t="str">
        <f aca="false">IF($B4574="","",SUBSTITUTE(SUBSTITUTE(SUBSTITUTE($B4574,"-","")," ",""),".",""))</f>
        <v/>
      </c>
      <c r="I4574" s="10" t="str">
        <f aca="false">IF($D4574="","",SUBSTITUTE(SUBSTITUTE(SUBSTITUTE($D4574,"-","")," ",""),".",""))</f>
        <v/>
      </c>
      <c r="J4574" s="10" t="str">
        <f aca="false">IF($E4574="","",UPPER(SUBSTITUTE($E4574," ","")))</f>
        <v/>
      </c>
      <c r="K4574" s="10" t="str">
        <f aca="false">IF($A4574="","",$G4574&amp;"|"&amp;$J4574)</f>
        <v/>
      </c>
      <c r="L4574" s="10" t="str">
        <f aca="false">IF($A4574="","",ROW()-2)</f>
        <v/>
      </c>
      <c r="M4574" s="10" t="str">
        <f aca="false">IF($A4574="","",ROW())</f>
        <v/>
      </c>
    </row>
    <row r="4575" customFormat="false" ht="15" hidden="false" customHeight="true" outlineLevel="0" collapsed="false">
      <c r="A4575" s="8"/>
      <c r="B4575" s="8"/>
      <c r="C4575" s="8"/>
      <c r="D4575" s="8"/>
      <c r="E4575" s="8"/>
      <c r="F4575" s="8"/>
      <c r="G4575" s="10" t="str">
        <f aca="false">IF($A4575="","",UPPER(SUBSTITUTE(SUBSTITUTE(SUBSTITUTE(SUBSTITUTE($A4575," ",""),"(주)",""),"주식회사",""),"㈜","")))</f>
        <v/>
      </c>
      <c r="H4575" s="10" t="str">
        <f aca="false">IF($B4575="","",SUBSTITUTE(SUBSTITUTE(SUBSTITUTE($B4575,"-","")," ",""),".",""))</f>
        <v/>
      </c>
      <c r="I4575" s="10" t="str">
        <f aca="false">IF($D4575="","",SUBSTITUTE(SUBSTITUTE(SUBSTITUTE($D4575,"-","")," ",""),".",""))</f>
        <v/>
      </c>
      <c r="J4575" s="10" t="str">
        <f aca="false">IF($E4575="","",UPPER(SUBSTITUTE($E4575," ","")))</f>
        <v/>
      </c>
      <c r="K4575" s="10" t="str">
        <f aca="false">IF($A4575="","",$G4575&amp;"|"&amp;$J4575)</f>
        <v/>
      </c>
      <c r="L4575" s="10" t="str">
        <f aca="false">IF($A4575="","",ROW()-2)</f>
        <v/>
      </c>
      <c r="M4575" s="10" t="str">
        <f aca="false">IF($A4575="","",ROW())</f>
        <v/>
      </c>
    </row>
    <row r="4576" customFormat="false" ht="15" hidden="false" customHeight="true" outlineLevel="0" collapsed="false">
      <c r="A4576" s="8"/>
      <c r="B4576" s="8"/>
      <c r="C4576" s="8"/>
      <c r="D4576" s="8"/>
      <c r="E4576" s="8"/>
      <c r="F4576" s="8"/>
      <c r="G4576" s="10" t="str">
        <f aca="false">IF($A4576="","",UPPER(SUBSTITUTE(SUBSTITUTE(SUBSTITUTE(SUBSTITUTE($A4576," ",""),"(주)",""),"주식회사",""),"㈜","")))</f>
        <v/>
      </c>
      <c r="H4576" s="10" t="str">
        <f aca="false">IF($B4576="","",SUBSTITUTE(SUBSTITUTE(SUBSTITUTE($B4576,"-","")," ",""),".",""))</f>
        <v/>
      </c>
      <c r="I4576" s="10" t="str">
        <f aca="false">IF($D4576="","",SUBSTITUTE(SUBSTITUTE(SUBSTITUTE($D4576,"-","")," ",""),".",""))</f>
        <v/>
      </c>
      <c r="J4576" s="10" t="str">
        <f aca="false">IF($E4576="","",UPPER(SUBSTITUTE($E4576," ","")))</f>
        <v/>
      </c>
      <c r="K4576" s="10" t="str">
        <f aca="false">IF($A4576="","",$G4576&amp;"|"&amp;$J4576)</f>
        <v/>
      </c>
      <c r="L4576" s="10" t="str">
        <f aca="false">IF($A4576="","",ROW()-2)</f>
        <v/>
      </c>
      <c r="M4576" s="10" t="str">
        <f aca="false">IF($A4576="","",ROW())</f>
        <v/>
      </c>
    </row>
    <row r="4577" customFormat="false" ht="15" hidden="false" customHeight="true" outlineLevel="0" collapsed="false">
      <c r="A4577" s="8"/>
      <c r="B4577" s="8"/>
      <c r="C4577" s="8"/>
      <c r="D4577" s="8"/>
      <c r="E4577" s="8"/>
      <c r="F4577" s="8"/>
      <c r="G4577" s="10" t="str">
        <f aca="false">IF($A4577="","",UPPER(SUBSTITUTE(SUBSTITUTE(SUBSTITUTE(SUBSTITUTE($A4577," ",""),"(주)",""),"주식회사",""),"㈜","")))</f>
        <v/>
      </c>
      <c r="H4577" s="10" t="str">
        <f aca="false">IF($B4577="","",SUBSTITUTE(SUBSTITUTE(SUBSTITUTE($B4577,"-","")," ",""),".",""))</f>
        <v/>
      </c>
      <c r="I4577" s="10" t="str">
        <f aca="false">IF($D4577="","",SUBSTITUTE(SUBSTITUTE(SUBSTITUTE($D4577,"-","")," ",""),".",""))</f>
        <v/>
      </c>
      <c r="J4577" s="10" t="str">
        <f aca="false">IF($E4577="","",UPPER(SUBSTITUTE($E4577," ","")))</f>
        <v/>
      </c>
      <c r="K4577" s="10" t="str">
        <f aca="false">IF($A4577="","",$G4577&amp;"|"&amp;$J4577)</f>
        <v/>
      </c>
      <c r="L4577" s="10" t="str">
        <f aca="false">IF($A4577="","",ROW()-2)</f>
        <v/>
      </c>
      <c r="M4577" s="10" t="str">
        <f aca="false">IF($A4577="","",ROW())</f>
        <v/>
      </c>
    </row>
    <row r="4578" customFormat="false" ht="15" hidden="false" customHeight="true" outlineLevel="0" collapsed="false">
      <c r="A4578" s="8"/>
      <c r="B4578" s="8"/>
      <c r="C4578" s="8"/>
      <c r="D4578" s="8"/>
      <c r="E4578" s="8"/>
      <c r="F4578" s="8"/>
      <c r="G4578" s="10" t="str">
        <f aca="false">IF($A4578="","",UPPER(SUBSTITUTE(SUBSTITUTE(SUBSTITUTE(SUBSTITUTE($A4578," ",""),"(주)",""),"주식회사",""),"㈜","")))</f>
        <v/>
      </c>
      <c r="H4578" s="10" t="str">
        <f aca="false">IF($B4578="","",SUBSTITUTE(SUBSTITUTE(SUBSTITUTE($B4578,"-","")," ",""),".",""))</f>
        <v/>
      </c>
      <c r="I4578" s="10" t="str">
        <f aca="false">IF($D4578="","",SUBSTITUTE(SUBSTITUTE(SUBSTITUTE($D4578,"-","")," ",""),".",""))</f>
        <v/>
      </c>
      <c r="J4578" s="10" t="str">
        <f aca="false">IF($E4578="","",UPPER(SUBSTITUTE($E4578," ","")))</f>
        <v/>
      </c>
      <c r="K4578" s="10" t="str">
        <f aca="false">IF($A4578="","",$G4578&amp;"|"&amp;$J4578)</f>
        <v/>
      </c>
      <c r="L4578" s="10" t="str">
        <f aca="false">IF($A4578="","",ROW()-2)</f>
        <v/>
      </c>
      <c r="M4578" s="10" t="str">
        <f aca="false">IF($A4578="","",ROW())</f>
        <v/>
      </c>
    </row>
    <row r="4579" customFormat="false" ht="15" hidden="false" customHeight="true" outlineLevel="0" collapsed="false">
      <c r="A4579" s="8"/>
      <c r="B4579" s="8"/>
      <c r="C4579" s="8"/>
      <c r="D4579" s="8"/>
      <c r="E4579" s="8"/>
      <c r="F4579" s="8"/>
      <c r="G4579" s="10" t="str">
        <f aca="false">IF($A4579="","",UPPER(SUBSTITUTE(SUBSTITUTE(SUBSTITUTE(SUBSTITUTE($A4579," ",""),"(주)",""),"주식회사",""),"㈜","")))</f>
        <v/>
      </c>
      <c r="H4579" s="10" t="str">
        <f aca="false">IF($B4579="","",SUBSTITUTE(SUBSTITUTE(SUBSTITUTE($B4579,"-","")," ",""),".",""))</f>
        <v/>
      </c>
      <c r="I4579" s="10" t="str">
        <f aca="false">IF($D4579="","",SUBSTITUTE(SUBSTITUTE(SUBSTITUTE($D4579,"-","")," ",""),".",""))</f>
        <v/>
      </c>
      <c r="J4579" s="10" t="str">
        <f aca="false">IF($E4579="","",UPPER(SUBSTITUTE($E4579," ","")))</f>
        <v/>
      </c>
      <c r="K4579" s="10" t="str">
        <f aca="false">IF($A4579="","",$G4579&amp;"|"&amp;$J4579)</f>
        <v/>
      </c>
      <c r="L4579" s="10" t="str">
        <f aca="false">IF($A4579="","",ROW()-2)</f>
        <v/>
      </c>
      <c r="M4579" s="10" t="str">
        <f aca="false">IF($A4579="","",ROW())</f>
        <v/>
      </c>
    </row>
    <row r="4580" customFormat="false" ht="15" hidden="false" customHeight="true" outlineLevel="0" collapsed="false">
      <c r="A4580" s="8"/>
      <c r="B4580" s="8"/>
      <c r="C4580" s="8"/>
      <c r="D4580" s="8"/>
      <c r="E4580" s="8"/>
      <c r="F4580" s="8"/>
      <c r="G4580" s="10" t="str">
        <f aca="false">IF($A4580="","",UPPER(SUBSTITUTE(SUBSTITUTE(SUBSTITUTE(SUBSTITUTE($A4580," ",""),"(주)",""),"주식회사",""),"㈜","")))</f>
        <v/>
      </c>
      <c r="H4580" s="10" t="str">
        <f aca="false">IF($B4580="","",SUBSTITUTE(SUBSTITUTE(SUBSTITUTE($B4580,"-","")," ",""),".",""))</f>
        <v/>
      </c>
      <c r="I4580" s="10" t="str">
        <f aca="false">IF($D4580="","",SUBSTITUTE(SUBSTITUTE(SUBSTITUTE($D4580,"-","")," ",""),".",""))</f>
        <v/>
      </c>
      <c r="J4580" s="10" t="str">
        <f aca="false">IF($E4580="","",UPPER(SUBSTITUTE($E4580," ","")))</f>
        <v/>
      </c>
      <c r="K4580" s="10" t="str">
        <f aca="false">IF($A4580="","",$G4580&amp;"|"&amp;$J4580)</f>
        <v/>
      </c>
      <c r="L4580" s="10" t="str">
        <f aca="false">IF($A4580="","",ROW()-2)</f>
        <v/>
      </c>
      <c r="M4580" s="10" t="str">
        <f aca="false">IF($A4580="","",ROW())</f>
        <v/>
      </c>
    </row>
    <row r="4581" customFormat="false" ht="15" hidden="false" customHeight="true" outlineLevel="0" collapsed="false">
      <c r="A4581" s="8"/>
      <c r="B4581" s="8"/>
      <c r="C4581" s="8"/>
      <c r="D4581" s="8"/>
      <c r="E4581" s="8"/>
      <c r="F4581" s="8"/>
      <c r="G4581" s="10" t="str">
        <f aca="false">IF($A4581="","",UPPER(SUBSTITUTE(SUBSTITUTE(SUBSTITUTE(SUBSTITUTE($A4581," ",""),"(주)",""),"주식회사",""),"㈜","")))</f>
        <v/>
      </c>
      <c r="H4581" s="10" t="str">
        <f aca="false">IF($B4581="","",SUBSTITUTE(SUBSTITUTE(SUBSTITUTE($B4581,"-","")," ",""),".",""))</f>
        <v/>
      </c>
      <c r="I4581" s="10" t="str">
        <f aca="false">IF($D4581="","",SUBSTITUTE(SUBSTITUTE(SUBSTITUTE($D4581,"-","")," ",""),".",""))</f>
        <v/>
      </c>
      <c r="J4581" s="10" t="str">
        <f aca="false">IF($E4581="","",UPPER(SUBSTITUTE($E4581," ","")))</f>
        <v/>
      </c>
      <c r="K4581" s="10" t="str">
        <f aca="false">IF($A4581="","",$G4581&amp;"|"&amp;$J4581)</f>
        <v/>
      </c>
      <c r="L4581" s="10" t="str">
        <f aca="false">IF($A4581="","",ROW()-2)</f>
        <v/>
      </c>
      <c r="M4581" s="10" t="str">
        <f aca="false">IF($A4581="","",ROW())</f>
        <v/>
      </c>
    </row>
    <row r="4582" customFormat="false" ht="15" hidden="false" customHeight="true" outlineLevel="0" collapsed="false">
      <c r="A4582" s="8"/>
      <c r="B4582" s="8"/>
      <c r="C4582" s="8"/>
      <c r="D4582" s="8"/>
      <c r="E4582" s="8"/>
      <c r="F4582" s="8"/>
      <c r="G4582" s="10" t="str">
        <f aca="false">IF($A4582="","",UPPER(SUBSTITUTE(SUBSTITUTE(SUBSTITUTE(SUBSTITUTE($A4582," ",""),"(주)",""),"주식회사",""),"㈜","")))</f>
        <v/>
      </c>
      <c r="H4582" s="10" t="str">
        <f aca="false">IF($B4582="","",SUBSTITUTE(SUBSTITUTE(SUBSTITUTE($B4582,"-","")," ",""),".",""))</f>
        <v/>
      </c>
      <c r="I4582" s="10" t="str">
        <f aca="false">IF($D4582="","",SUBSTITUTE(SUBSTITUTE(SUBSTITUTE($D4582,"-","")," ",""),".",""))</f>
        <v/>
      </c>
      <c r="J4582" s="10" t="str">
        <f aca="false">IF($E4582="","",UPPER(SUBSTITUTE($E4582," ","")))</f>
        <v/>
      </c>
      <c r="K4582" s="10" t="str">
        <f aca="false">IF($A4582="","",$G4582&amp;"|"&amp;$J4582)</f>
        <v/>
      </c>
      <c r="L4582" s="10" t="str">
        <f aca="false">IF($A4582="","",ROW()-2)</f>
        <v/>
      </c>
      <c r="M4582" s="10" t="str">
        <f aca="false">IF($A4582="","",ROW())</f>
        <v/>
      </c>
    </row>
    <row r="4583" customFormat="false" ht="15" hidden="false" customHeight="true" outlineLevel="0" collapsed="false">
      <c r="A4583" s="8"/>
      <c r="B4583" s="8"/>
      <c r="C4583" s="8"/>
      <c r="D4583" s="8"/>
      <c r="E4583" s="8"/>
      <c r="F4583" s="8"/>
      <c r="G4583" s="10" t="str">
        <f aca="false">IF($A4583="","",UPPER(SUBSTITUTE(SUBSTITUTE(SUBSTITUTE(SUBSTITUTE($A4583," ",""),"(주)",""),"주식회사",""),"㈜","")))</f>
        <v/>
      </c>
      <c r="H4583" s="10" t="str">
        <f aca="false">IF($B4583="","",SUBSTITUTE(SUBSTITUTE(SUBSTITUTE($B4583,"-","")," ",""),".",""))</f>
        <v/>
      </c>
      <c r="I4583" s="10" t="str">
        <f aca="false">IF($D4583="","",SUBSTITUTE(SUBSTITUTE(SUBSTITUTE($D4583,"-","")," ",""),".",""))</f>
        <v/>
      </c>
      <c r="J4583" s="10" t="str">
        <f aca="false">IF($E4583="","",UPPER(SUBSTITUTE($E4583," ","")))</f>
        <v/>
      </c>
      <c r="K4583" s="10" t="str">
        <f aca="false">IF($A4583="","",$G4583&amp;"|"&amp;$J4583)</f>
        <v/>
      </c>
      <c r="L4583" s="10" t="str">
        <f aca="false">IF($A4583="","",ROW()-2)</f>
        <v/>
      </c>
      <c r="M4583" s="10" t="str">
        <f aca="false">IF($A4583="","",ROW())</f>
        <v/>
      </c>
    </row>
    <row r="4584" customFormat="false" ht="15" hidden="false" customHeight="true" outlineLevel="0" collapsed="false">
      <c r="A4584" s="8"/>
      <c r="B4584" s="8"/>
      <c r="C4584" s="8"/>
      <c r="D4584" s="8"/>
      <c r="E4584" s="8"/>
      <c r="F4584" s="8"/>
      <c r="G4584" s="10" t="str">
        <f aca="false">IF($A4584="","",UPPER(SUBSTITUTE(SUBSTITUTE(SUBSTITUTE(SUBSTITUTE($A4584," ",""),"(주)",""),"주식회사",""),"㈜","")))</f>
        <v/>
      </c>
      <c r="H4584" s="10" t="str">
        <f aca="false">IF($B4584="","",SUBSTITUTE(SUBSTITUTE(SUBSTITUTE($B4584,"-","")," ",""),".",""))</f>
        <v/>
      </c>
      <c r="I4584" s="10" t="str">
        <f aca="false">IF($D4584="","",SUBSTITUTE(SUBSTITUTE(SUBSTITUTE($D4584,"-","")," ",""),".",""))</f>
        <v/>
      </c>
      <c r="J4584" s="10" t="str">
        <f aca="false">IF($E4584="","",UPPER(SUBSTITUTE($E4584," ","")))</f>
        <v/>
      </c>
      <c r="K4584" s="10" t="str">
        <f aca="false">IF($A4584="","",$G4584&amp;"|"&amp;$J4584)</f>
        <v/>
      </c>
      <c r="L4584" s="10" t="str">
        <f aca="false">IF($A4584="","",ROW()-2)</f>
        <v/>
      </c>
      <c r="M4584" s="10" t="str">
        <f aca="false">IF($A4584="","",ROW())</f>
        <v/>
      </c>
    </row>
    <row r="4585" customFormat="false" ht="15" hidden="false" customHeight="true" outlineLevel="0" collapsed="false">
      <c r="A4585" s="8"/>
      <c r="B4585" s="8"/>
      <c r="C4585" s="8"/>
      <c r="D4585" s="8"/>
      <c r="E4585" s="8"/>
      <c r="F4585" s="8"/>
      <c r="G4585" s="10" t="str">
        <f aca="false">IF($A4585="","",UPPER(SUBSTITUTE(SUBSTITUTE(SUBSTITUTE(SUBSTITUTE($A4585," ",""),"(주)",""),"주식회사",""),"㈜","")))</f>
        <v/>
      </c>
      <c r="H4585" s="10" t="str">
        <f aca="false">IF($B4585="","",SUBSTITUTE(SUBSTITUTE(SUBSTITUTE($B4585,"-","")," ",""),".",""))</f>
        <v/>
      </c>
      <c r="I4585" s="10" t="str">
        <f aca="false">IF($D4585="","",SUBSTITUTE(SUBSTITUTE(SUBSTITUTE($D4585,"-","")," ",""),".",""))</f>
        <v/>
      </c>
      <c r="J4585" s="10" t="str">
        <f aca="false">IF($E4585="","",UPPER(SUBSTITUTE($E4585," ","")))</f>
        <v/>
      </c>
      <c r="K4585" s="10" t="str">
        <f aca="false">IF($A4585="","",$G4585&amp;"|"&amp;$J4585)</f>
        <v/>
      </c>
      <c r="L4585" s="10" t="str">
        <f aca="false">IF($A4585="","",ROW()-2)</f>
        <v/>
      </c>
      <c r="M4585" s="10" t="str">
        <f aca="false">IF($A4585="","",ROW())</f>
        <v/>
      </c>
    </row>
    <row r="4586" customFormat="false" ht="15" hidden="false" customHeight="true" outlineLevel="0" collapsed="false">
      <c r="A4586" s="8"/>
      <c r="B4586" s="8"/>
      <c r="C4586" s="8"/>
      <c r="D4586" s="8"/>
      <c r="E4586" s="8"/>
      <c r="F4586" s="8"/>
      <c r="G4586" s="10" t="str">
        <f aca="false">IF($A4586="","",UPPER(SUBSTITUTE(SUBSTITUTE(SUBSTITUTE(SUBSTITUTE($A4586," ",""),"(주)",""),"주식회사",""),"㈜","")))</f>
        <v/>
      </c>
      <c r="H4586" s="10" t="str">
        <f aca="false">IF($B4586="","",SUBSTITUTE(SUBSTITUTE(SUBSTITUTE($B4586,"-","")," ",""),".",""))</f>
        <v/>
      </c>
      <c r="I4586" s="10" t="str">
        <f aca="false">IF($D4586="","",SUBSTITUTE(SUBSTITUTE(SUBSTITUTE($D4586,"-","")," ",""),".",""))</f>
        <v/>
      </c>
      <c r="J4586" s="10" t="str">
        <f aca="false">IF($E4586="","",UPPER(SUBSTITUTE($E4586," ","")))</f>
        <v/>
      </c>
      <c r="K4586" s="10" t="str">
        <f aca="false">IF($A4586="","",$G4586&amp;"|"&amp;$J4586)</f>
        <v/>
      </c>
      <c r="L4586" s="10" t="str">
        <f aca="false">IF($A4586="","",ROW()-2)</f>
        <v/>
      </c>
      <c r="M4586" s="10" t="str">
        <f aca="false">IF($A4586="","",ROW())</f>
        <v/>
      </c>
    </row>
    <row r="4587" customFormat="false" ht="15" hidden="false" customHeight="true" outlineLevel="0" collapsed="false">
      <c r="A4587" s="8"/>
      <c r="B4587" s="8"/>
      <c r="C4587" s="8"/>
      <c r="D4587" s="8"/>
      <c r="E4587" s="8"/>
      <c r="F4587" s="8"/>
      <c r="G4587" s="10" t="str">
        <f aca="false">IF($A4587="","",UPPER(SUBSTITUTE(SUBSTITUTE(SUBSTITUTE(SUBSTITUTE($A4587," ",""),"(주)",""),"주식회사",""),"㈜","")))</f>
        <v/>
      </c>
      <c r="H4587" s="10" t="str">
        <f aca="false">IF($B4587="","",SUBSTITUTE(SUBSTITUTE(SUBSTITUTE($B4587,"-","")," ",""),".",""))</f>
        <v/>
      </c>
      <c r="I4587" s="10" t="str">
        <f aca="false">IF($D4587="","",SUBSTITUTE(SUBSTITUTE(SUBSTITUTE($D4587,"-","")," ",""),".",""))</f>
        <v/>
      </c>
      <c r="J4587" s="10" t="str">
        <f aca="false">IF($E4587="","",UPPER(SUBSTITUTE($E4587," ","")))</f>
        <v/>
      </c>
      <c r="K4587" s="10" t="str">
        <f aca="false">IF($A4587="","",$G4587&amp;"|"&amp;$J4587)</f>
        <v/>
      </c>
      <c r="L4587" s="10" t="str">
        <f aca="false">IF($A4587="","",ROW()-2)</f>
        <v/>
      </c>
      <c r="M4587" s="10" t="str">
        <f aca="false">IF($A4587="","",ROW())</f>
        <v/>
      </c>
    </row>
    <row r="4588" customFormat="false" ht="15" hidden="false" customHeight="true" outlineLevel="0" collapsed="false">
      <c r="A4588" s="8"/>
      <c r="B4588" s="8"/>
      <c r="C4588" s="8"/>
      <c r="D4588" s="8"/>
      <c r="E4588" s="8"/>
      <c r="F4588" s="8"/>
      <c r="G4588" s="10" t="str">
        <f aca="false">IF($A4588="","",UPPER(SUBSTITUTE(SUBSTITUTE(SUBSTITUTE(SUBSTITUTE($A4588," ",""),"(주)",""),"주식회사",""),"㈜","")))</f>
        <v/>
      </c>
      <c r="H4588" s="10" t="str">
        <f aca="false">IF($B4588="","",SUBSTITUTE(SUBSTITUTE(SUBSTITUTE($B4588,"-","")," ",""),".",""))</f>
        <v/>
      </c>
      <c r="I4588" s="10" t="str">
        <f aca="false">IF($D4588="","",SUBSTITUTE(SUBSTITUTE(SUBSTITUTE($D4588,"-","")," ",""),".",""))</f>
        <v/>
      </c>
      <c r="J4588" s="10" t="str">
        <f aca="false">IF($E4588="","",UPPER(SUBSTITUTE($E4588," ","")))</f>
        <v/>
      </c>
      <c r="K4588" s="10" t="str">
        <f aca="false">IF($A4588="","",$G4588&amp;"|"&amp;$J4588)</f>
        <v/>
      </c>
      <c r="L4588" s="10" t="str">
        <f aca="false">IF($A4588="","",ROW()-2)</f>
        <v/>
      </c>
      <c r="M4588" s="10" t="str">
        <f aca="false">IF($A4588="","",ROW())</f>
        <v/>
      </c>
    </row>
    <row r="4589" customFormat="false" ht="15" hidden="false" customHeight="true" outlineLevel="0" collapsed="false">
      <c r="A4589" s="8"/>
      <c r="B4589" s="8"/>
      <c r="C4589" s="8"/>
      <c r="D4589" s="8"/>
      <c r="E4589" s="8"/>
      <c r="F4589" s="8"/>
      <c r="G4589" s="10" t="str">
        <f aca="false">IF($A4589="","",UPPER(SUBSTITUTE(SUBSTITUTE(SUBSTITUTE(SUBSTITUTE($A4589," ",""),"(주)",""),"주식회사",""),"㈜","")))</f>
        <v/>
      </c>
      <c r="H4589" s="10" t="str">
        <f aca="false">IF($B4589="","",SUBSTITUTE(SUBSTITUTE(SUBSTITUTE($B4589,"-","")," ",""),".",""))</f>
        <v/>
      </c>
      <c r="I4589" s="10" t="str">
        <f aca="false">IF($D4589="","",SUBSTITUTE(SUBSTITUTE(SUBSTITUTE($D4589,"-","")," ",""),".",""))</f>
        <v/>
      </c>
      <c r="J4589" s="10" t="str">
        <f aca="false">IF($E4589="","",UPPER(SUBSTITUTE($E4589," ","")))</f>
        <v/>
      </c>
      <c r="K4589" s="10" t="str">
        <f aca="false">IF($A4589="","",$G4589&amp;"|"&amp;$J4589)</f>
        <v/>
      </c>
      <c r="L4589" s="10" t="str">
        <f aca="false">IF($A4589="","",ROW()-2)</f>
        <v/>
      </c>
      <c r="M4589" s="10" t="str">
        <f aca="false">IF($A4589="","",ROW())</f>
        <v/>
      </c>
    </row>
    <row r="4590" customFormat="false" ht="15" hidden="false" customHeight="true" outlineLevel="0" collapsed="false">
      <c r="A4590" s="8"/>
      <c r="B4590" s="8"/>
      <c r="C4590" s="8"/>
      <c r="D4590" s="8"/>
      <c r="E4590" s="8"/>
      <c r="F4590" s="8"/>
      <c r="G4590" s="10" t="str">
        <f aca="false">IF($A4590="","",UPPER(SUBSTITUTE(SUBSTITUTE(SUBSTITUTE(SUBSTITUTE($A4590," ",""),"(주)",""),"주식회사",""),"㈜","")))</f>
        <v/>
      </c>
      <c r="H4590" s="10" t="str">
        <f aca="false">IF($B4590="","",SUBSTITUTE(SUBSTITUTE(SUBSTITUTE($B4590,"-","")," ",""),".",""))</f>
        <v/>
      </c>
      <c r="I4590" s="10" t="str">
        <f aca="false">IF($D4590="","",SUBSTITUTE(SUBSTITUTE(SUBSTITUTE($D4590,"-","")," ",""),".",""))</f>
        <v/>
      </c>
      <c r="J4590" s="10" t="str">
        <f aca="false">IF($E4590="","",UPPER(SUBSTITUTE($E4590," ","")))</f>
        <v/>
      </c>
      <c r="K4590" s="10" t="str">
        <f aca="false">IF($A4590="","",$G4590&amp;"|"&amp;$J4590)</f>
        <v/>
      </c>
      <c r="L4590" s="10" t="str">
        <f aca="false">IF($A4590="","",ROW()-2)</f>
        <v/>
      </c>
      <c r="M4590" s="10" t="str">
        <f aca="false">IF($A4590="","",ROW())</f>
        <v/>
      </c>
    </row>
    <row r="4591" customFormat="false" ht="15" hidden="false" customHeight="true" outlineLevel="0" collapsed="false">
      <c r="A4591" s="8"/>
      <c r="B4591" s="8"/>
      <c r="C4591" s="8"/>
      <c r="D4591" s="8"/>
      <c r="E4591" s="8"/>
      <c r="F4591" s="8"/>
      <c r="G4591" s="10" t="str">
        <f aca="false">IF($A4591="","",UPPER(SUBSTITUTE(SUBSTITUTE(SUBSTITUTE(SUBSTITUTE($A4591," ",""),"(주)",""),"주식회사",""),"㈜","")))</f>
        <v/>
      </c>
      <c r="H4591" s="10" t="str">
        <f aca="false">IF($B4591="","",SUBSTITUTE(SUBSTITUTE(SUBSTITUTE($B4591,"-","")," ",""),".",""))</f>
        <v/>
      </c>
      <c r="I4591" s="10" t="str">
        <f aca="false">IF($D4591="","",SUBSTITUTE(SUBSTITUTE(SUBSTITUTE($D4591,"-","")," ",""),".",""))</f>
        <v/>
      </c>
      <c r="J4591" s="10" t="str">
        <f aca="false">IF($E4591="","",UPPER(SUBSTITUTE($E4591," ","")))</f>
        <v/>
      </c>
      <c r="K4591" s="10" t="str">
        <f aca="false">IF($A4591="","",$G4591&amp;"|"&amp;$J4591)</f>
        <v/>
      </c>
      <c r="L4591" s="10" t="str">
        <f aca="false">IF($A4591="","",ROW()-2)</f>
        <v/>
      </c>
      <c r="M4591" s="10" t="str">
        <f aca="false">IF($A4591="","",ROW())</f>
        <v/>
      </c>
    </row>
    <row r="4592" customFormat="false" ht="15" hidden="false" customHeight="true" outlineLevel="0" collapsed="false">
      <c r="A4592" s="8"/>
      <c r="B4592" s="8"/>
      <c r="C4592" s="8"/>
      <c r="D4592" s="8"/>
      <c r="E4592" s="8"/>
      <c r="F4592" s="8"/>
      <c r="G4592" s="10" t="str">
        <f aca="false">IF($A4592="","",UPPER(SUBSTITUTE(SUBSTITUTE(SUBSTITUTE(SUBSTITUTE($A4592," ",""),"(주)",""),"주식회사",""),"㈜","")))</f>
        <v/>
      </c>
      <c r="H4592" s="10" t="str">
        <f aca="false">IF($B4592="","",SUBSTITUTE(SUBSTITUTE(SUBSTITUTE($B4592,"-","")," ",""),".",""))</f>
        <v/>
      </c>
      <c r="I4592" s="10" t="str">
        <f aca="false">IF($D4592="","",SUBSTITUTE(SUBSTITUTE(SUBSTITUTE($D4592,"-","")," ",""),".",""))</f>
        <v/>
      </c>
      <c r="J4592" s="10" t="str">
        <f aca="false">IF($E4592="","",UPPER(SUBSTITUTE($E4592," ","")))</f>
        <v/>
      </c>
      <c r="K4592" s="10" t="str">
        <f aca="false">IF($A4592="","",$G4592&amp;"|"&amp;$J4592)</f>
        <v/>
      </c>
      <c r="L4592" s="10" t="str">
        <f aca="false">IF($A4592="","",ROW()-2)</f>
        <v/>
      </c>
      <c r="M4592" s="10" t="str">
        <f aca="false">IF($A4592="","",ROW())</f>
        <v/>
      </c>
    </row>
    <row r="4593" customFormat="false" ht="15" hidden="false" customHeight="true" outlineLevel="0" collapsed="false">
      <c r="A4593" s="8"/>
      <c r="B4593" s="8"/>
      <c r="C4593" s="8"/>
      <c r="D4593" s="8"/>
      <c r="E4593" s="8"/>
      <c r="F4593" s="8"/>
      <c r="G4593" s="10" t="str">
        <f aca="false">IF($A4593="","",UPPER(SUBSTITUTE(SUBSTITUTE(SUBSTITUTE(SUBSTITUTE($A4593," ",""),"(주)",""),"주식회사",""),"㈜","")))</f>
        <v/>
      </c>
      <c r="H4593" s="10" t="str">
        <f aca="false">IF($B4593="","",SUBSTITUTE(SUBSTITUTE(SUBSTITUTE($B4593,"-","")," ",""),".",""))</f>
        <v/>
      </c>
      <c r="I4593" s="10" t="str">
        <f aca="false">IF($D4593="","",SUBSTITUTE(SUBSTITUTE(SUBSTITUTE($D4593,"-","")," ",""),".",""))</f>
        <v/>
      </c>
      <c r="J4593" s="10" t="str">
        <f aca="false">IF($E4593="","",UPPER(SUBSTITUTE($E4593," ","")))</f>
        <v/>
      </c>
      <c r="K4593" s="10" t="str">
        <f aca="false">IF($A4593="","",$G4593&amp;"|"&amp;$J4593)</f>
        <v/>
      </c>
      <c r="L4593" s="10" t="str">
        <f aca="false">IF($A4593="","",ROW()-2)</f>
        <v/>
      </c>
      <c r="M4593" s="10" t="str">
        <f aca="false">IF($A4593="","",ROW())</f>
        <v/>
      </c>
    </row>
    <row r="4594" customFormat="false" ht="15" hidden="false" customHeight="true" outlineLevel="0" collapsed="false">
      <c r="A4594" s="8"/>
      <c r="B4594" s="8"/>
      <c r="C4594" s="8"/>
      <c r="D4594" s="8"/>
      <c r="E4594" s="8"/>
      <c r="F4594" s="8"/>
      <c r="G4594" s="10" t="str">
        <f aca="false">IF($A4594="","",UPPER(SUBSTITUTE(SUBSTITUTE(SUBSTITUTE(SUBSTITUTE($A4594," ",""),"(주)",""),"주식회사",""),"㈜","")))</f>
        <v/>
      </c>
      <c r="H4594" s="10" t="str">
        <f aca="false">IF($B4594="","",SUBSTITUTE(SUBSTITUTE(SUBSTITUTE($B4594,"-","")," ",""),".",""))</f>
        <v/>
      </c>
      <c r="I4594" s="10" t="str">
        <f aca="false">IF($D4594="","",SUBSTITUTE(SUBSTITUTE(SUBSTITUTE($D4594,"-","")," ",""),".",""))</f>
        <v/>
      </c>
      <c r="J4594" s="10" t="str">
        <f aca="false">IF($E4594="","",UPPER(SUBSTITUTE($E4594," ","")))</f>
        <v/>
      </c>
      <c r="K4594" s="10" t="str">
        <f aca="false">IF($A4594="","",$G4594&amp;"|"&amp;$J4594)</f>
        <v/>
      </c>
      <c r="L4594" s="10" t="str">
        <f aca="false">IF($A4594="","",ROW()-2)</f>
        <v/>
      </c>
      <c r="M4594" s="10" t="str">
        <f aca="false">IF($A4594="","",ROW())</f>
        <v/>
      </c>
    </row>
    <row r="4595" customFormat="false" ht="15" hidden="false" customHeight="true" outlineLevel="0" collapsed="false">
      <c r="A4595" s="8"/>
      <c r="B4595" s="8"/>
      <c r="C4595" s="8"/>
      <c r="D4595" s="8"/>
      <c r="E4595" s="8"/>
      <c r="F4595" s="8"/>
      <c r="G4595" s="10" t="str">
        <f aca="false">IF($A4595="","",UPPER(SUBSTITUTE(SUBSTITUTE(SUBSTITUTE(SUBSTITUTE($A4595," ",""),"(주)",""),"주식회사",""),"㈜","")))</f>
        <v/>
      </c>
      <c r="H4595" s="10" t="str">
        <f aca="false">IF($B4595="","",SUBSTITUTE(SUBSTITUTE(SUBSTITUTE($B4595,"-","")," ",""),".",""))</f>
        <v/>
      </c>
      <c r="I4595" s="10" t="str">
        <f aca="false">IF($D4595="","",SUBSTITUTE(SUBSTITUTE(SUBSTITUTE($D4595,"-","")," ",""),".",""))</f>
        <v/>
      </c>
      <c r="J4595" s="10" t="str">
        <f aca="false">IF($E4595="","",UPPER(SUBSTITUTE($E4595," ","")))</f>
        <v/>
      </c>
      <c r="K4595" s="10" t="str">
        <f aca="false">IF($A4595="","",$G4595&amp;"|"&amp;$J4595)</f>
        <v/>
      </c>
      <c r="L4595" s="10" t="str">
        <f aca="false">IF($A4595="","",ROW()-2)</f>
        <v/>
      </c>
      <c r="M4595" s="10" t="str">
        <f aca="false">IF($A4595="","",ROW())</f>
        <v/>
      </c>
    </row>
    <row r="4596" customFormat="false" ht="15" hidden="false" customHeight="true" outlineLevel="0" collapsed="false">
      <c r="A4596" s="8"/>
      <c r="B4596" s="8"/>
      <c r="C4596" s="8"/>
      <c r="D4596" s="8"/>
      <c r="E4596" s="8"/>
      <c r="F4596" s="8"/>
      <c r="G4596" s="10" t="str">
        <f aca="false">IF($A4596="","",UPPER(SUBSTITUTE(SUBSTITUTE(SUBSTITUTE(SUBSTITUTE($A4596," ",""),"(주)",""),"주식회사",""),"㈜","")))</f>
        <v/>
      </c>
      <c r="H4596" s="10" t="str">
        <f aca="false">IF($B4596="","",SUBSTITUTE(SUBSTITUTE(SUBSTITUTE($B4596,"-","")," ",""),".",""))</f>
        <v/>
      </c>
      <c r="I4596" s="10" t="str">
        <f aca="false">IF($D4596="","",SUBSTITUTE(SUBSTITUTE(SUBSTITUTE($D4596,"-","")," ",""),".",""))</f>
        <v/>
      </c>
      <c r="J4596" s="10" t="str">
        <f aca="false">IF($E4596="","",UPPER(SUBSTITUTE($E4596," ","")))</f>
        <v/>
      </c>
      <c r="K4596" s="10" t="str">
        <f aca="false">IF($A4596="","",$G4596&amp;"|"&amp;$J4596)</f>
        <v/>
      </c>
      <c r="L4596" s="10" t="str">
        <f aca="false">IF($A4596="","",ROW()-2)</f>
        <v/>
      </c>
      <c r="M4596" s="10" t="str">
        <f aca="false">IF($A4596="","",ROW())</f>
        <v/>
      </c>
    </row>
    <row r="4597" customFormat="false" ht="15" hidden="false" customHeight="true" outlineLevel="0" collapsed="false">
      <c r="A4597" s="8"/>
      <c r="B4597" s="8"/>
      <c r="C4597" s="8"/>
      <c r="D4597" s="8"/>
      <c r="E4597" s="8"/>
      <c r="F4597" s="8"/>
      <c r="G4597" s="10" t="str">
        <f aca="false">IF($A4597="","",UPPER(SUBSTITUTE(SUBSTITUTE(SUBSTITUTE(SUBSTITUTE($A4597," ",""),"(주)",""),"주식회사",""),"㈜","")))</f>
        <v/>
      </c>
      <c r="H4597" s="10" t="str">
        <f aca="false">IF($B4597="","",SUBSTITUTE(SUBSTITUTE(SUBSTITUTE($B4597,"-","")," ",""),".",""))</f>
        <v/>
      </c>
      <c r="I4597" s="10" t="str">
        <f aca="false">IF($D4597="","",SUBSTITUTE(SUBSTITUTE(SUBSTITUTE($D4597,"-","")," ",""),".",""))</f>
        <v/>
      </c>
      <c r="J4597" s="10" t="str">
        <f aca="false">IF($E4597="","",UPPER(SUBSTITUTE($E4597," ","")))</f>
        <v/>
      </c>
      <c r="K4597" s="10" t="str">
        <f aca="false">IF($A4597="","",$G4597&amp;"|"&amp;$J4597)</f>
        <v/>
      </c>
      <c r="L4597" s="10" t="str">
        <f aca="false">IF($A4597="","",ROW()-2)</f>
        <v/>
      </c>
      <c r="M4597" s="10" t="str">
        <f aca="false">IF($A4597="","",ROW())</f>
        <v/>
      </c>
    </row>
    <row r="4598" customFormat="false" ht="15" hidden="false" customHeight="true" outlineLevel="0" collapsed="false">
      <c r="A4598" s="8"/>
      <c r="B4598" s="8"/>
      <c r="C4598" s="8"/>
      <c r="D4598" s="8"/>
      <c r="E4598" s="8"/>
      <c r="F4598" s="8"/>
      <c r="G4598" s="10" t="str">
        <f aca="false">IF($A4598="","",UPPER(SUBSTITUTE(SUBSTITUTE(SUBSTITUTE(SUBSTITUTE($A4598," ",""),"(주)",""),"주식회사",""),"㈜","")))</f>
        <v/>
      </c>
      <c r="H4598" s="10" t="str">
        <f aca="false">IF($B4598="","",SUBSTITUTE(SUBSTITUTE(SUBSTITUTE($B4598,"-","")," ",""),".",""))</f>
        <v/>
      </c>
      <c r="I4598" s="10" t="str">
        <f aca="false">IF($D4598="","",SUBSTITUTE(SUBSTITUTE(SUBSTITUTE($D4598,"-","")," ",""),".",""))</f>
        <v/>
      </c>
      <c r="J4598" s="10" t="str">
        <f aca="false">IF($E4598="","",UPPER(SUBSTITUTE($E4598," ","")))</f>
        <v/>
      </c>
      <c r="K4598" s="10" t="str">
        <f aca="false">IF($A4598="","",$G4598&amp;"|"&amp;$J4598)</f>
        <v/>
      </c>
      <c r="L4598" s="10" t="str">
        <f aca="false">IF($A4598="","",ROW()-2)</f>
        <v/>
      </c>
      <c r="M4598" s="10" t="str">
        <f aca="false">IF($A4598="","",ROW())</f>
        <v/>
      </c>
    </row>
    <row r="4599" customFormat="false" ht="15" hidden="false" customHeight="true" outlineLevel="0" collapsed="false">
      <c r="A4599" s="8"/>
      <c r="B4599" s="8"/>
      <c r="C4599" s="8"/>
      <c r="D4599" s="8"/>
      <c r="E4599" s="8"/>
      <c r="F4599" s="8"/>
      <c r="G4599" s="10" t="str">
        <f aca="false">IF($A4599="","",UPPER(SUBSTITUTE(SUBSTITUTE(SUBSTITUTE(SUBSTITUTE($A4599," ",""),"(주)",""),"주식회사",""),"㈜","")))</f>
        <v/>
      </c>
      <c r="H4599" s="10" t="str">
        <f aca="false">IF($B4599="","",SUBSTITUTE(SUBSTITUTE(SUBSTITUTE($B4599,"-","")," ",""),".",""))</f>
        <v/>
      </c>
      <c r="I4599" s="10" t="str">
        <f aca="false">IF($D4599="","",SUBSTITUTE(SUBSTITUTE(SUBSTITUTE($D4599,"-","")," ",""),".",""))</f>
        <v/>
      </c>
      <c r="J4599" s="10" t="str">
        <f aca="false">IF($E4599="","",UPPER(SUBSTITUTE($E4599," ","")))</f>
        <v/>
      </c>
      <c r="K4599" s="10" t="str">
        <f aca="false">IF($A4599="","",$G4599&amp;"|"&amp;$J4599)</f>
        <v/>
      </c>
      <c r="L4599" s="10" t="str">
        <f aca="false">IF($A4599="","",ROW()-2)</f>
        <v/>
      </c>
      <c r="M4599" s="10" t="str">
        <f aca="false">IF($A4599="","",ROW())</f>
        <v/>
      </c>
    </row>
    <row r="4600" customFormat="false" ht="15" hidden="false" customHeight="true" outlineLevel="0" collapsed="false">
      <c r="A4600" s="8"/>
      <c r="B4600" s="8"/>
      <c r="C4600" s="8"/>
      <c r="D4600" s="8"/>
      <c r="E4600" s="8"/>
      <c r="F4600" s="8"/>
      <c r="G4600" s="10" t="str">
        <f aca="false">IF($A4600="","",UPPER(SUBSTITUTE(SUBSTITUTE(SUBSTITUTE(SUBSTITUTE($A4600," ",""),"(주)",""),"주식회사",""),"㈜","")))</f>
        <v/>
      </c>
      <c r="H4600" s="10" t="str">
        <f aca="false">IF($B4600="","",SUBSTITUTE(SUBSTITUTE(SUBSTITUTE($B4600,"-","")," ",""),".",""))</f>
        <v/>
      </c>
      <c r="I4600" s="10" t="str">
        <f aca="false">IF($D4600="","",SUBSTITUTE(SUBSTITUTE(SUBSTITUTE($D4600,"-","")," ",""),".",""))</f>
        <v/>
      </c>
      <c r="J4600" s="10" t="str">
        <f aca="false">IF($E4600="","",UPPER(SUBSTITUTE($E4600," ","")))</f>
        <v/>
      </c>
      <c r="K4600" s="10" t="str">
        <f aca="false">IF($A4600="","",$G4600&amp;"|"&amp;$J4600)</f>
        <v/>
      </c>
      <c r="L4600" s="10" t="str">
        <f aca="false">IF($A4600="","",ROW()-2)</f>
        <v/>
      </c>
      <c r="M4600" s="10" t="str">
        <f aca="false">IF($A4600="","",ROW())</f>
        <v/>
      </c>
    </row>
    <row r="4601" customFormat="false" ht="15" hidden="false" customHeight="true" outlineLevel="0" collapsed="false">
      <c r="A4601" s="8"/>
      <c r="B4601" s="8"/>
      <c r="C4601" s="8"/>
      <c r="D4601" s="8"/>
      <c r="E4601" s="8"/>
      <c r="F4601" s="8"/>
      <c r="G4601" s="10" t="str">
        <f aca="false">IF($A4601="","",UPPER(SUBSTITUTE(SUBSTITUTE(SUBSTITUTE(SUBSTITUTE($A4601," ",""),"(주)",""),"주식회사",""),"㈜","")))</f>
        <v/>
      </c>
      <c r="H4601" s="10" t="str">
        <f aca="false">IF($B4601="","",SUBSTITUTE(SUBSTITUTE(SUBSTITUTE($B4601,"-","")," ",""),".",""))</f>
        <v/>
      </c>
      <c r="I4601" s="10" t="str">
        <f aca="false">IF($D4601="","",SUBSTITUTE(SUBSTITUTE(SUBSTITUTE($D4601,"-","")," ",""),".",""))</f>
        <v/>
      </c>
      <c r="J4601" s="10" t="str">
        <f aca="false">IF($E4601="","",UPPER(SUBSTITUTE($E4601," ","")))</f>
        <v/>
      </c>
      <c r="K4601" s="10" t="str">
        <f aca="false">IF($A4601="","",$G4601&amp;"|"&amp;$J4601)</f>
        <v/>
      </c>
      <c r="L4601" s="10" t="str">
        <f aca="false">IF($A4601="","",ROW()-2)</f>
        <v/>
      </c>
      <c r="M4601" s="10" t="str">
        <f aca="false">IF($A4601="","",ROW())</f>
        <v/>
      </c>
    </row>
    <row r="4602" customFormat="false" ht="15" hidden="false" customHeight="true" outlineLevel="0" collapsed="false">
      <c r="A4602" s="8"/>
      <c r="B4602" s="8"/>
      <c r="C4602" s="8"/>
      <c r="D4602" s="8"/>
      <c r="E4602" s="8"/>
      <c r="F4602" s="8"/>
      <c r="G4602" s="10" t="str">
        <f aca="false">IF($A4602="","",UPPER(SUBSTITUTE(SUBSTITUTE(SUBSTITUTE(SUBSTITUTE($A4602," ",""),"(주)",""),"주식회사",""),"㈜","")))</f>
        <v/>
      </c>
      <c r="H4602" s="10" t="str">
        <f aca="false">IF($B4602="","",SUBSTITUTE(SUBSTITUTE(SUBSTITUTE($B4602,"-","")," ",""),".",""))</f>
        <v/>
      </c>
      <c r="I4602" s="10" t="str">
        <f aca="false">IF($D4602="","",SUBSTITUTE(SUBSTITUTE(SUBSTITUTE($D4602,"-","")," ",""),".",""))</f>
        <v/>
      </c>
      <c r="J4602" s="10" t="str">
        <f aca="false">IF($E4602="","",UPPER(SUBSTITUTE($E4602," ","")))</f>
        <v/>
      </c>
      <c r="K4602" s="10" t="str">
        <f aca="false">IF($A4602="","",$G4602&amp;"|"&amp;$J4602)</f>
        <v/>
      </c>
      <c r="L4602" s="10" t="str">
        <f aca="false">IF($A4602="","",ROW()-2)</f>
        <v/>
      </c>
      <c r="M4602" s="10" t="str">
        <f aca="false">IF($A4602="","",ROW())</f>
        <v/>
      </c>
    </row>
    <row r="4603" customFormat="false" ht="15" hidden="false" customHeight="true" outlineLevel="0" collapsed="false">
      <c r="A4603" s="8"/>
      <c r="B4603" s="8"/>
      <c r="C4603" s="8"/>
      <c r="D4603" s="8"/>
      <c r="E4603" s="8"/>
      <c r="F4603" s="8"/>
      <c r="G4603" s="10" t="str">
        <f aca="false">IF($A4603="","",UPPER(SUBSTITUTE(SUBSTITUTE(SUBSTITUTE(SUBSTITUTE($A4603," ",""),"(주)",""),"주식회사",""),"㈜","")))</f>
        <v/>
      </c>
      <c r="H4603" s="10" t="str">
        <f aca="false">IF($B4603="","",SUBSTITUTE(SUBSTITUTE(SUBSTITUTE($B4603,"-","")," ",""),".",""))</f>
        <v/>
      </c>
      <c r="I4603" s="10" t="str">
        <f aca="false">IF($D4603="","",SUBSTITUTE(SUBSTITUTE(SUBSTITUTE($D4603,"-","")," ",""),".",""))</f>
        <v/>
      </c>
      <c r="J4603" s="10" t="str">
        <f aca="false">IF($E4603="","",UPPER(SUBSTITUTE($E4603," ","")))</f>
        <v/>
      </c>
      <c r="K4603" s="10" t="str">
        <f aca="false">IF($A4603="","",$G4603&amp;"|"&amp;$J4603)</f>
        <v/>
      </c>
      <c r="L4603" s="10" t="str">
        <f aca="false">IF($A4603="","",ROW()-2)</f>
        <v/>
      </c>
      <c r="M4603" s="10" t="str">
        <f aca="false">IF($A4603="","",ROW())</f>
        <v/>
      </c>
    </row>
    <row r="4604" customFormat="false" ht="15" hidden="false" customHeight="true" outlineLevel="0" collapsed="false">
      <c r="A4604" s="8"/>
      <c r="B4604" s="8"/>
      <c r="C4604" s="8"/>
      <c r="D4604" s="8"/>
      <c r="E4604" s="8"/>
      <c r="F4604" s="8"/>
      <c r="G4604" s="10" t="str">
        <f aca="false">IF($A4604="","",UPPER(SUBSTITUTE(SUBSTITUTE(SUBSTITUTE(SUBSTITUTE($A4604," ",""),"(주)",""),"주식회사",""),"㈜","")))</f>
        <v/>
      </c>
      <c r="H4604" s="10" t="str">
        <f aca="false">IF($B4604="","",SUBSTITUTE(SUBSTITUTE(SUBSTITUTE($B4604,"-","")," ",""),".",""))</f>
        <v/>
      </c>
      <c r="I4604" s="10" t="str">
        <f aca="false">IF($D4604="","",SUBSTITUTE(SUBSTITUTE(SUBSTITUTE($D4604,"-","")," ",""),".",""))</f>
        <v/>
      </c>
      <c r="J4604" s="10" t="str">
        <f aca="false">IF($E4604="","",UPPER(SUBSTITUTE($E4604," ","")))</f>
        <v/>
      </c>
      <c r="K4604" s="10" t="str">
        <f aca="false">IF($A4604="","",$G4604&amp;"|"&amp;$J4604)</f>
        <v/>
      </c>
      <c r="L4604" s="10" t="str">
        <f aca="false">IF($A4604="","",ROW()-2)</f>
        <v/>
      </c>
      <c r="M4604" s="10" t="str">
        <f aca="false">IF($A4604="","",ROW())</f>
        <v/>
      </c>
    </row>
    <row r="4605" customFormat="false" ht="15" hidden="false" customHeight="true" outlineLevel="0" collapsed="false">
      <c r="A4605" s="8"/>
      <c r="B4605" s="8"/>
      <c r="C4605" s="8"/>
      <c r="D4605" s="8"/>
      <c r="E4605" s="8"/>
      <c r="F4605" s="8"/>
      <c r="G4605" s="10" t="str">
        <f aca="false">IF($A4605="","",UPPER(SUBSTITUTE(SUBSTITUTE(SUBSTITUTE(SUBSTITUTE($A4605," ",""),"(주)",""),"주식회사",""),"㈜","")))</f>
        <v/>
      </c>
      <c r="H4605" s="10" t="str">
        <f aca="false">IF($B4605="","",SUBSTITUTE(SUBSTITUTE(SUBSTITUTE($B4605,"-","")," ",""),".",""))</f>
        <v/>
      </c>
      <c r="I4605" s="10" t="str">
        <f aca="false">IF($D4605="","",SUBSTITUTE(SUBSTITUTE(SUBSTITUTE($D4605,"-","")," ",""),".",""))</f>
        <v/>
      </c>
      <c r="J4605" s="10" t="str">
        <f aca="false">IF($E4605="","",UPPER(SUBSTITUTE($E4605," ","")))</f>
        <v/>
      </c>
      <c r="K4605" s="10" t="str">
        <f aca="false">IF($A4605="","",$G4605&amp;"|"&amp;$J4605)</f>
        <v/>
      </c>
      <c r="L4605" s="10" t="str">
        <f aca="false">IF($A4605="","",ROW()-2)</f>
        <v/>
      </c>
      <c r="M4605" s="10" t="str">
        <f aca="false">IF($A4605="","",ROW())</f>
        <v/>
      </c>
    </row>
    <row r="4606" customFormat="false" ht="15" hidden="false" customHeight="true" outlineLevel="0" collapsed="false">
      <c r="A4606" s="8"/>
      <c r="B4606" s="8"/>
      <c r="C4606" s="8"/>
      <c r="D4606" s="8"/>
      <c r="E4606" s="8"/>
      <c r="F4606" s="8"/>
      <c r="G4606" s="10" t="str">
        <f aca="false">IF($A4606="","",UPPER(SUBSTITUTE(SUBSTITUTE(SUBSTITUTE(SUBSTITUTE($A4606," ",""),"(주)",""),"주식회사",""),"㈜","")))</f>
        <v/>
      </c>
      <c r="H4606" s="10" t="str">
        <f aca="false">IF($B4606="","",SUBSTITUTE(SUBSTITUTE(SUBSTITUTE($B4606,"-","")," ",""),".",""))</f>
        <v/>
      </c>
      <c r="I4606" s="10" t="str">
        <f aca="false">IF($D4606="","",SUBSTITUTE(SUBSTITUTE(SUBSTITUTE($D4606,"-","")," ",""),".",""))</f>
        <v/>
      </c>
      <c r="J4606" s="10" t="str">
        <f aca="false">IF($E4606="","",UPPER(SUBSTITUTE($E4606," ","")))</f>
        <v/>
      </c>
      <c r="K4606" s="10" t="str">
        <f aca="false">IF($A4606="","",$G4606&amp;"|"&amp;$J4606)</f>
        <v/>
      </c>
      <c r="L4606" s="10" t="str">
        <f aca="false">IF($A4606="","",ROW()-2)</f>
        <v/>
      </c>
      <c r="M4606" s="10" t="str">
        <f aca="false">IF($A4606="","",ROW())</f>
        <v/>
      </c>
    </row>
    <row r="4607" customFormat="false" ht="15" hidden="false" customHeight="true" outlineLevel="0" collapsed="false">
      <c r="A4607" s="8"/>
      <c r="B4607" s="8"/>
      <c r="C4607" s="8"/>
      <c r="D4607" s="8"/>
      <c r="E4607" s="8"/>
      <c r="F4607" s="8"/>
      <c r="G4607" s="10" t="str">
        <f aca="false">IF($A4607="","",UPPER(SUBSTITUTE(SUBSTITUTE(SUBSTITUTE(SUBSTITUTE($A4607," ",""),"(주)",""),"주식회사",""),"㈜","")))</f>
        <v/>
      </c>
      <c r="H4607" s="10" t="str">
        <f aca="false">IF($B4607="","",SUBSTITUTE(SUBSTITUTE(SUBSTITUTE($B4607,"-","")," ",""),".",""))</f>
        <v/>
      </c>
      <c r="I4607" s="10" t="str">
        <f aca="false">IF($D4607="","",SUBSTITUTE(SUBSTITUTE(SUBSTITUTE($D4607,"-","")," ",""),".",""))</f>
        <v/>
      </c>
      <c r="J4607" s="10" t="str">
        <f aca="false">IF($E4607="","",UPPER(SUBSTITUTE($E4607," ","")))</f>
        <v/>
      </c>
      <c r="K4607" s="10" t="str">
        <f aca="false">IF($A4607="","",$G4607&amp;"|"&amp;$J4607)</f>
        <v/>
      </c>
      <c r="L4607" s="10" t="str">
        <f aca="false">IF($A4607="","",ROW()-2)</f>
        <v/>
      </c>
      <c r="M4607" s="10" t="str">
        <f aca="false">IF($A4607="","",ROW())</f>
        <v/>
      </c>
    </row>
    <row r="4608" customFormat="false" ht="15" hidden="false" customHeight="true" outlineLevel="0" collapsed="false">
      <c r="A4608" s="8"/>
      <c r="B4608" s="8"/>
      <c r="C4608" s="8"/>
      <c r="D4608" s="8"/>
      <c r="E4608" s="8"/>
      <c r="F4608" s="8"/>
      <c r="G4608" s="10" t="str">
        <f aca="false">IF($A4608="","",UPPER(SUBSTITUTE(SUBSTITUTE(SUBSTITUTE(SUBSTITUTE($A4608," ",""),"(주)",""),"주식회사",""),"㈜","")))</f>
        <v/>
      </c>
      <c r="H4608" s="10" t="str">
        <f aca="false">IF($B4608="","",SUBSTITUTE(SUBSTITUTE(SUBSTITUTE($B4608,"-","")," ",""),".",""))</f>
        <v/>
      </c>
      <c r="I4608" s="10" t="str">
        <f aca="false">IF($D4608="","",SUBSTITUTE(SUBSTITUTE(SUBSTITUTE($D4608,"-","")," ",""),".",""))</f>
        <v/>
      </c>
      <c r="J4608" s="10" t="str">
        <f aca="false">IF($E4608="","",UPPER(SUBSTITUTE($E4608," ","")))</f>
        <v/>
      </c>
      <c r="K4608" s="10" t="str">
        <f aca="false">IF($A4608="","",$G4608&amp;"|"&amp;$J4608)</f>
        <v/>
      </c>
      <c r="L4608" s="10" t="str">
        <f aca="false">IF($A4608="","",ROW()-2)</f>
        <v/>
      </c>
      <c r="M4608" s="10" t="str">
        <f aca="false">IF($A4608="","",ROW())</f>
        <v/>
      </c>
    </row>
    <row r="4609" customFormat="false" ht="15" hidden="false" customHeight="true" outlineLevel="0" collapsed="false">
      <c r="A4609" s="8"/>
      <c r="B4609" s="8"/>
      <c r="C4609" s="8"/>
      <c r="D4609" s="8"/>
      <c r="E4609" s="8"/>
      <c r="F4609" s="8"/>
      <c r="G4609" s="10" t="str">
        <f aca="false">IF($A4609="","",UPPER(SUBSTITUTE(SUBSTITUTE(SUBSTITUTE(SUBSTITUTE($A4609," ",""),"(주)",""),"주식회사",""),"㈜","")))</f>
        <v/>
      </c>
      <c r="H4609" s="10" t="str">
        <f aca="false">IF($B4609="","",SUBSTITUTE(SUBSTITUTE(SUBSTITUTE($B4609,"-","")," ",""),".",""))</f>
        <v/>
      </c>
      <c r="I4609" s="10" t="str">
        <f aca="false">IF($D4609="","",SUBSTITUTE(SUBSTITUTE(SUBSTITUTE($D4609,"-","")," ",""),".",""))</f>
        <v/>
      </c>
      <c r="J4609" s="10" t="str">
        <f aca="false">IF($E4609="","",UPPER(SUBSTITUTE($E4609," ","")))</f>
        <v/>
      </c>
      <c r="K4609" s="10" t="str">
        <f aca="false">IF($A4609="","",$G4609&amp;"|"&amp;$J4609)</f>
        <v/>
      </c>
      <c r="L4609" s="10" t="str">
        <f aca="false">IF($A4609="","",ROW()-2)</f>
        <v/>
      </c>
      <c r="M4609" s="10" t="str">
        <f aca="false">IF($A4609="","",ROW())</f>
        <v/>
      </c>
    </row>
    <row r="4610" customFormat="false" ht="15" hidden="false" customHeight="true" outlineLevel="0" collapsed="false">
      <c r="A4610" s="8"/>
      <c r="B4610" s="8"/>
      <c r="C4610" s="8"/>
      <c r="D4610" s="8"/>
      <c r="E4610" s="8"/>
      <c r="F4610" s="8"/>
      <c r="G4610" s="10" t="str">
        <f aca="false">IF($A4610="","",UPPER(SUBSTITUTE(SUBSTITUTE(SUBSTITUTE(SUBSTITUTE($A4610," ",""),"(주)",""),"주식회사",""),"㈜","")))</f>
        <v/>
      </c>
      <c r="H4610" s="10" t="str">
        <f aca="false">IF($B4610="","",SUBSTITUTE(SUBSTITUTE(SUBSTITUTE($B4610,"-","")," ",""),".",""))</f>
        <v/>
      </c>
      <c r="I4610" s="10" t="str">
        <f aca="false">IF($D4610="","",SUBSTITUTE(SUBSTITUTE(SUBSTITUTE($D4610,"-","")," ",""),".",""))</f>
        <v/>
      </c>
      <c r="J4610" s="10" t="str">
        <f aca="false">IF($E4610="","",UPPER(SUBSTITUTE($E4610," ","")))</f>
        <v/>
      </c>
      <c r="K4610" s="10" t="str">
        <f aca="false">IF($A4610="","",$G4610&amp;"|"&amp;$J4610)</f>
        <v/>
      </c>
      <c r="L4610" s="10" t="str">
        <f aca="false">IF($A4610="","",ROW()-2)</f>
        <v/>
      </c>
      <c r="M4610" s="10" t="str">
        <f aca="false">IF($A4610="","",ROW())</f>
        <v/>
      </c>
    </row>
    <row r="4611" customFormat="false" ht="15" hidden="false" customHeight="true" outlineLevel="0" collapsed="false">
      <c r="A4611" s="8"/>
      <c r="B4611" s="8"/>
      <c r="C4611" s="8"/>
      <c r="D4611" s="8"/>
      <c r="E4611" s="8"/>
      <c r="F4611" s="8"/>
      <c r="G4611" s="10" t="str">
        <f aca="false">IF($A4611="","",UPPER(SUBSTITUTE(SUBSTITUTE(SUBSTITUTE(SUBSTITUTE($A4611," ",""),"(주)",""),"주식회사",""),"㈜","")))</f>
        <v/>
      </c>
      <c r="H4611" s="10" t="str">
        <f aca="false">IF($B4611="","",SUBSTITUTE(SUBSTITUTE(SUBSTITUTE($B4611,"-","")," ",""),".",""))</f>
        <v/>
      </c>
      <c r="I4611" s="10" t="str">
        <f aca="false">IF($D4611="","",SUBSTITUTE(SUBSTITUTE(SUBSTITUTE($D4611,"-","")," ",""),".",""))</f>
        <v/>
      </c>
      <c r="J4611" s="10" t="str">
        <f aca="false">IF($E4611="","",UPPER(SUBSTITUTE($E4611," ","")))</f>
        <v/>
      </c>
      <c r="K4611" s="10" t="str">
        <f aca="false">IF($A4611="","",$G4611&amp;"|"&amp;$J4611)</f>
        <v/>
      </c>
      <c r="L4611" s="10" t="str">
        <f aca="false">IF($A4611="","",ROW()-2)</f>
        <v/>
      </c>
      <c r="M4611" s="10" t="str">
        <f aca="false">IF($A4611="","",ROW())</f>
        <v/>
      </c>
    </row>
    <row r="4612" customFormat="false" ht="15" hidden="false" customHeight="true" outlineLevel="0" collapsed="false">
      <c r="A4612" s="8"/>
      <c r="B4612" s="8"/>
      <c r="C4612" s="8"/>
      <c r="D4612" s="8"/>
      <c r="E4612" s="8"/>
      <c r="F4612" s="8"/>
      <c r="G4612" s="10" t="str">
        <f aca="false">IF($A4612="","",UPPER(SUBSTITUTE(SUBSTITUTE(SUBSTITUTE(SUBSTITUTE($A4612," ",""),"(주)",""),"주식회사",""),"㈜","")))</f>
        <v/>
      </c>
      <c r="H4612" s="10" t="str">
        <f aca="false">IF($B4612="","",SUBSTITUTE(SUBSTITUTE(SUBSTITUTE($B4612,"-","")," ",""),".",""))</f>
        <v/>
      </c>
      <c r="I4612" s="10" t="str">
        <f aca="false">IF($D4612="","",SUBSTITUTE(SUBSTITUTE(SUBSTITUTE($D4612,"-","")," ",""),".",""))</f>
        <v/>
      </c>
      <c r="J4612" s="10" t="str">
        <f aca="false">IF($E4612="","",UPPER(SUBSTITUTE($E4612," ","")))</f>
        <v/>
      </c>
      <c r="K4612" s="10" t="str">
        <f aca="false">IF($A4612="","",$G4612&amp;"|"&amp;$J4612)</f>
        <v/>
      </c>
      <c r="L4612" s="10" t="str">
        <f aca="false">IF($A4612="","",ROW()-2)</f>
        <v/>
      </c>
      <c r="M4612" s="10" t="str">
        <f aca="false">IF($A4612="","",ROW())</f>
        <v/>
      </c>
    </row>
    <row r="4613" customFormat="false" ht="15" hidden="false" customHeight="true" outlineLevel="0" collapsed="false">
      <c r="A4613" s="8"/>
      <c r="B4613" s="8"/>
      <c r="C4613" s="8"/>
      <c r="D4613" s="8"/>
      <c r="E4613" s="8"/>
      <c r="F4613" s="8"/>
      <c r="G4613" s="10" t="str">
        <f aca="false">IF($A4613="","",UPPER(SUBSTITUTE(SUBSTITUTE(SUBSTITUTE(SUBSTITUTE($A4613," ",""),"(주)",""),"주식회사",""),"㈜","")))</f>
        <v/>
      </c>
      <c r="H4613" s="10" t="str">
        <f aca="false">IF($B4613="","",SUBSTITUTE(SUBSTITUTE(SUBSTITUTE($B4613,"-","")," ",""),".",""))</f>
        <v/>
      </c>
      <c r="I4613" s="10" t="str">
        <f aca="false">IF($D4613="","",SUBSTITUTE(SUBSTITUTE(SUBSTITUTE($D4613,"-","")," ",""),".",""))</f>
        <v/>
      </c>
      <c r="J4613" s="10" t="str">
        <f aca="false">IF($E4613="","",UPPER(SUBSTITUTE($E4613," ","")))</f>
        <v/>
      </c>
      <c r="K4613" s="10" t="str">
        <f aca="false">IF($A4613="","",$G4613&amp;"|"&amp;$J4613)</f>
        <v/>
      </c>
      <c r="L4613" s="10" t="str">
        <f aca="false">IF($A4613="","",ROW()-2)</f>
        <v/>
      </c>
      <c r="M4613" s="10" t="str">
        <f aca="false">IF($A4613="","",ROW())</f>
        <v/>
      </c>
    </row>
    <row r="4614" customFormat="false" ht="15" hidden="false" customHeight="true" outlineLevel="0" collapsed="false">
      <c r="A4614" s="8"/>
      <c r="B4614" s="8"/>
      <c r="C4614" s="8"/>
      <c r="D4614" s="8"/>
      <c r="E4614" s="8"/>
      <c r="F4614" s="8"/>
      <c r="G4614" s="10" t="str">
        <f aca="false">IF($A4614="","",UPPER(SUBSTITUTE(SUBSTITUTE(SUBSTITUTE(SUBSTITUTE($A4614," ",""),"(주)",""),"주식회사",""),"㈜","")))</f>
        <v/>
      </c>
      <c r="H4614" s="10" t="str">
        <f aca="false">IF($B4614="","",SUBSTITUTE(SUBSTITUTE(SUBSTITUTE($B4614,"-","")," ",""),".",""))</f>
        <v/>
      </c>
      <c r="I4614" s="10" t="str">
        <f aca="false">IF($D4614="","",SUBSTITUTE(SUBSTITUTE(SUBSTITUTE($D4614,"-","")," ",""),".",""))</f>
        <v/>
      </c>
      <c r="J4614" s="10" t="str">
        <f aca="false">IF($E4614="","",UPPER(SUBSTITUTE($E4614," ","")))</f>
        <v/>
      </c>
      <c r="K4614" s="10" t="str">
        <f aca="false">IF($A4614="","",$G4614&amp;"|"&amp;$J4614)</f>
        <v/>
      </c>
      <c r="L4614" s="10" t="str">
        <f aca="false">IF($A4614="","",ROW()-2)</f>
        <v/>
      </c>
      <c r="M4614" s="10" t="str">
        <f aca="false">IF($A4614="","",ROW())</f>
        <v/>
      </c>
    </row>
    <row r="4615" customFormat="false" ht="15" hidden="false" customHeight="true" outlineLevel="0" collapsed="false">
      <c r="A4615" s="8"/>
      <c r="B4615" s="8"/>
      <c r="C4615" s="8"/>
      <c r="D4615" s="8"/>
      <c r="E4615" s="8"/>
      <c r="F4615" s="8"/>
      <c r="G4615" s="10" t="str">
        <f aca="false">IF($A4615="","",UPPER(SUBSTITUTE(SUBSTITUTE(SUBSTITUTE(SUBSTITUTE($A4615," ",""),"(주)",""),"주식회사",""),"㈜","")))</f>
        <v/>
      </c>
      <c r="H4615" s="10" t="str">
        <f aca="false">IF($B4615="","",SUBSTITUTE(SUBSTITUTE(SUBSTITUTE($B4615,"-","")," ",""),".",""))</f>
        <v/>
      </c>
      <c r="I4615" s="10" t="str">
        <f aca="false">IF($D4615="","",SUBSTITUTE(SUBSTITUTE(SUBSTITUTE($D4615,"-","")," ",""),".",""))</f>
        <v/>
      </c>
      <c r="J4615" s="10" t="str">
        <f aca="false">IF($E4615="","",UPPER(SUBSTITUTE($E4615," ","")))</f>
        <v/>
      </c>
      <c r="K4615" s="10" t="str">
        <f aca="false">IF($A4615="","",$G4615&amp;"|"&amp;$J4615)</f>
        <v/>
      </c>
      <c r="L4615" s="10" t="str">
        <f aca="false">IF($A4615="","",ROW()-2)</f>
        <v/>
      </c>
      <c r="M4615" s="10" t="str">
        <f aca="false">IF($A4615="","",ROW())</f>
        <v/>
      </c>
    </row>
    <row r="4616" customFormat="false" ht="15" hidden="false" customHeight="true" outlineLevel="0" collapsed="false">
      <c r="A4616" s="8"/>
      <c r="B4616" s="8"/>
      <c r="C4616" s="8"/>
      <c r="D4616" s="8"/>
      <c r="E4616" s="8"/>
      <c r="F4616" s="8"/>
      <c r="G4616" s="10" t="str">
        <f aca="false">IF($A4616="","",UPPER(SUBSTITUTE(SUBSTITUTE(SUBSTITUTE(SUBSTITUTE($A4616," ",""),"(주)",""),"주식회사",""),"㈜","")))</f>
        <v/>
      </c>
      <c r="H4616" s="10" t="str">
        <f aca="false">IF($B4616="","",SUBSTITUTE(SUBSTITUTE(SUBSTITUTE($B4616,"-","")," ",""),".",""))</f>
        <v/>
      </c>
      <c r="I4616" s="10" t="str">
        <f aca="false">IF($D4616="","",SUBSTITUTE(SUBSTITUTE(SUBSTITUTE($D4616,"-","")," ",""),".",""))</f>
        <v/>
      </c>
      <c r="J4616" s="10" t="str">
        <f aca="false">IF($E4616="","",UPPER(SUBSTITUTE($E4616," ","")))</f>
        <v/>
      </c>
      <c r="K4616" s="10" t="str">
        <f aca="false">IF($A4616="","",$G4616&amp;"|"&amp;$J4616)</f>
        <v/>
      </c>
      <c r="L4616" s="10" t="str">
        <f aca="false">IF($A4616="","",ROW()-2)</f>
        <v/>
      </c>
      <c r="M4616" s="10" t="str">
        <f aca="false">IF($A4616="","",ROW())</f>
        <v/>
      </c>
    </row>
    <row r="4617" customFormat="false" ht="15" hidden="false" customHeight="true" outlineLevel="0" collapsed="false">
      <c r="A4617" s="8"/>
      <c r="B4617" s="8"/>
      <c r="C4617" s="8"/>
      <c r="D4617" s="8"/>
      <c r="E4617" s="8"/>
      <c r="F4617" s="8"/>
      <c r="G4617" s="10" t="str">
        <f aca="false">IF($A4617="","",UPPER(SUBSTITUTE(SUBSTITUTE(SUBSTITUTE(SUBSTITUTE($A4617," ",""),"(주)",""),"주식회사",""),"㈜","")))</f>
        <v/>
      </c>
      <c r="H4617" s="10" t="str">
        <f aca="false">IF($B4617="","",SUBSTITUTE(SUBSTITUTE(SUBSTITUTE($B4617,"-","")," ",""),".",""))</f>
        <v/>
      </c>
      <c r="I4617" s="10" t="str">
        <f aca="false">IF($D4617="","",SUBSTITUTE(SUBSTITUTE(SUBSTITUTE($D4617,"-","")," ",""),".",""))</f>
        <v/>
      </c>
      <c r="J4617" s="10" t="str">
        <f aca="false">IF($E4617="","",UPPER(SUBSTITUTE($E4617," ","")))</f>
        <v/>
      </c>
      <c r="K4617" s="10" t="str">
        <f aca="false">IF($A4617="","",$G4617&amp;"|"&amp;$J4617)</f>
        <v/>
      </c>
      <c r="L4617" s="10" t="str">
        <f aca="false">IF($A4617="","",ROW()-2)</f>
        <v/>
      </c>
      <c r="M4617" s="10" t="str">
        <f aca="false">IF($A4617="","",ROW())</f>
        <v/>
      </c>
    </row>
    <row r="4618" customFormat="false" ht="15" hidden="false" customHeight="true" outlineLevel="0" collapsed="false">
      <c r="A4618" s="8"/>
      <c r="B4618" s="8"/>
      <c r="C4618" s="8"/>
      <c r="D4618" s="8"/>
      <c r="E4618" s="8"/>
      <c r="F4618" s="8"/>
      <c r="G4618" s="10" t="str">
        <f aca="false">IF($A4618="","",UPPER(SUBSTITUTE(SUBSTITUTE(SUBSTITUTE(SUBSTITUTE($A4618," ",""),"(주)",""),"주식회사",""),"㈜","")))</f>
        <v/>
      </c>
      <c r="H4618" s="10" t="str">
        <f aca="false">IF($B4618="","",SUBSTITUTE(SUBSTITUTE(SUBSTITUTE($B4618,"-","")," ",""),".",""))</f>
        <v/>
      </c>
      <c r="I4618" s="10" t="str">
        <f aca="false">IF($D4618="","",SUBSTITUTE(SUBSTITUTE(SUBSTITUTE($D4618,"-","")," ",""),".",""))</f>
        <v/>
      </c>
      <c r="J4618" s="10" t="str">
        <f aca="false">IF($E4618="","",UPPER(SUBSTITUTE($E4618," ","")))</f>
        <v/>
      </c>
      <c r="K4618" s="10" t="str">
        <f aca="false">IF($A4618="","",$G4618&amp;"|"&amp;$J4618)</f>
        <v/>
      </c>
      <c r="L4618" s="10" t="str">
        <f aca="false">IF($A4618="","",ROW()-2)</f>
        <v/>
      </c>
      <c r="M4618" s="10" t="str">
        <f aca="false">IF($A4618="","",ROW())</f>
        <v/>
      </c>
    </row>
    <row r="4619" customFormat="false" ht="15" hidden="false" customHeight="true" outlineLevel="0" collapsed="false">
      <c r="A4619" s="8"/>
      <c r="B4619" s="8"/>
      <c r="C4619" s="8"/>
      <c r="D4619" s="8"/>
      <c r="E4619" s="8"/>
      <c r="F4619" s="8"/>
      <c r="G4619" s="10" t="str">
        <f aca="false">IF($A4619="","",UPPER(SUBSTITUTE(SUBSTITUTE(SUBSTITUTE(SUBSTITUTE($A4619," ",""),"(주)",""),"주식회사",""),"㈜","")))</f>
        <v/>
      </c>
      <c r="H4619" s="10" t="str">
        <f aca="false">IF($B4619="","",SUBSTITUTE(SUBSTITUTE(SUBSTITUTE($B4619,"-","")," ",""),".",""))</f>
        <v/>
      </c>
      <c r="I4619" s="10" t="str">
        <f aca="false">IF($D4619="","",SUBSTITUTE(SUBSTITUTE(SUBSTITUTE($D4619,"-","")," ",""),".",""))</f>
        <v/>
      </c>
      <c r="J4619" s="10" t="str">
        <f aca="false">IF($E4619="","",UPPER(SUBSTITUTE($E4619," ","")))</f>
        <v/>
      </c>
      <c r="K4619" s="10" t="str">
        <f aca="false">IF($A4619="","",$G4619&amp;"|"&amp;$J4619)</f>
        <v/>
      </c>
      <c r="L4619" s="10" t="str">
        <f aca="false">IF($A4619="","",ROW()-2)</f>
        <v/>
      </c>
      <c r="M4619" s="10" t="str">
        <f aca="false">IF($A4619="","",ROW())</f>
        <v/>
      </c>
    </row>
    <row r="4620" customFormat="false" ht="15" hidden="false" customHeight="true" outlineLevel="0" collapsed="false">
      <c r="A4620" s="8"/>
      <c r="B4620" s="8"/>
      <c r="C4620" s="8"/>
      <c r="D4620" s="8"/>
      <c r="E4620" s="8"/>
      <c r="F4620" s="8"/>
      <c r="G4620" s="10" t="str">
        <f aca="false">IF($A4620="","",UPPER(SUBSTITUTE(SUBSTITUTE(SUBSTITUTE(SUBSTITUTE($A4620," ",""),"(주)",""),"주식회사",""),"㈜","")))</f>
        <v/>
      </c>
      <c r="H4620" s="10" t="str">
        <f aca="false">IF($B4620="","",SUBSTITUTE(SUBSTITUTE(SUBSTITUTE($B4620,"-","")," ",""),".",""))</f>
        <v/>
      </c>
      <c r="I4620" s="10" t="str">
        <f aca="false">IF($D4620="","",SUBSTITUTE(SUBSTITUTE(SUBSTITUTE($D4620,"-","")," ",""),".",""))</f>
        <v/>
      </c>
      <c r="J4620" s="10" t="str">
        <f aca="false">IF($E4620="","",UPPER(SUBSTITUTE($E4620," ","")))</f>
        <v/>
      </c>
      <c r="K4620" s="10" t="str">
        <f aca="false">IF($A4620="","",$G4620&amp;"|"&amp;$J4620)</f>
        <v/>
      </c>
      <c r="L4620" s="10" t="str">
        <f aca="false">IF($A4620="","",ROW()-2)</f>
        <v/>
      </c>
      <c r="M4620" s="10" t="str">
        <f aca="false">IF($A4620="","",ROW())</f>
        <v/>
      </c>
    </row>
    <row r="4621" customFormat="false" ht="15" hidden="false" customHeight="true" outlineLevel="0" collapsed="false">
      <c r="A4621" s="8"/>
      <c r="B4621" s="8"/>
      <c r="C4621" s="8"/>
      <c r="D4621" s="8"/>
      <c r="E4621" s="8"/>
      <c r="F4621" s="8"/>
      <c r="G4621" s="10" t="str">
        <f aca="false">IF($A4621="","",UPPER(SUBSTITUTE(SUBSTITUTE(SUBSTITUTE(SUBSTITUTE($A4621," ",""),"(주)",""),"주식회사",""),"㈜","")))</f>
        <v/>
      </c>
      <c r="H4621" s="10" t="str">
        <f aca="false">IF($B4621="","",SUBSTITUTE(SUBSTITUTE(SUBSTITUTE($B4621,"-","")," ",""),".",""))</f>
        <v/>
      </c>
      <c r="I4621" s="10" t="str">
        <f aca="false">IF($D4621="","",SUBSTITUTE(SUBSTITUTE(SUBSTITUTE($D4621,"-","")," ",""),".",""))</f>
        <v/>
      </c>
      <c r="J4621" s="10" t="str">
        <f aca="false">IF($E4621="","",UPPER(SUBSTITUTE($E4621," ","")))</f>
        <v/>
      </c>
      <c r="K4621" s="10" t="str">
        <f aca="false">IF($A4621="","",$G4621&amp;"|"&amp;$J4621)</f>
        <v/>
      </c>
      <c r="L4621" s="10" t="str">
        <f aca="false">IF($A4621="","",ROW()-2)</f>
        <v/>
      </c>
      <c r="M4621" s="10" t="str">
        <f aca="false">IF($A4621="","",ROW())</f>
        <v/>
      </c>
    </row>
    <row r="4622" customFormat="false" ht="15" hidden="false" customHeight="true" outlineLevel="0" collapsed="false">
      <c r="A4622" s="8"/>
      <c r="B4622" s="8"/>
      <c r="C4622" s="8"/>
      <c r="D4622" s="8"/>
      <c r="E4622" s="8"/>
      <c r="F4622" s="8"/>
      <c r="G4622" s="10" t="str">
        <f aca="false">IF($A4622="","",UPPER(SUBSTITUTE(SUBSTITUTE(SUBSTITUTE(SUBSTITUTE($A4622," ",""),"(주)",""),"주식회사",""),"㈜","")))</f>
        <v/>
      </c>
      <c r="H4622" s="10" t="str">
        <f aca="false">IF($B4622="","",SUBSTITUTE(SUBSTITUTE(SUBSTITUTE($B4622,"-","")," ",""),".",""))</f>
        <v/>
      </c>
      <c r="I4622" s="10" t="str">
        <f aca="false">IF($D4622="","",SUBSTITUTE(SUBSTITUTE(SUBSTITUTE($D4622,"-","")," ",""),".",""))</f>
        <v/>
      </c>
      <c r="J4622" s="10" t="str">
        <f aca="false">IF($E4622="","",UPPER(SUBSTITUTE($E4622," ","")))</f>
        <v/>
      </c>
      <c r="K4622" s="10" t="str">
        <f aca="false">IF($A4622="","",$G4622&amp;"|"&amp;$J4622)</f>
        <v/>
      </c>
      <c r="L4622" s="10" t="str">
        <f aca="false">IF($A4622="","",ROW()-2)</f>
        <v/>
      </c>
      <c r="M4622" s="10" t="str">
        <f aca="false">IF($A4622="","",ROW())</f>
        <v/>
      </c>
    </row>
    <row r="4623" customFormat="false" ht="15" hidden="false" customHeight="true" outlineLevel="0" collapsed="false">
      <c r="A4623" s="8"/>
      <c r="B4623" s="8"/>
      <c r="C4623" s="8"/>
      <c r="D4623" s="8"/>
      <c r="E4623" s="8"/>
      <c r="F4623" s="8"/>
      <c r="G4623" s="10" t="str">
        <f aca="false">IF($A4623="","",UPPER(SUBSTITUTE(SUBSTITUTE(SUBSTITUTE(SUBSTITUTE($A4623," ",""),"(주)",""),"주식회사",""),"㈜","")))</f>
        <v/>
      </c>
      <c r="H4623" s="10" t="str">
        <f aca="false">IF($B4623="","",SUBSTITUTE(SUBSTITUTE(SUBSTITUTE($B4623,"-","")," ",""),".",""))</f>
        <v/>
      </c>
      <c r="I4623" s="10" t="str">
        <f aca="false">IF($D4623="","",SUBSTITUTE(SUBSTITUTE(SUBSTITUTE($D4623,"-","")," ",""),".",""))</f>
        <v/>
      </c>
      <c r="J4623" s="10" t="str">
        <f aca="false">IF($E4623="","",UPPER(SUBSTITUTE($E4623," ","")))</f>
        <v/>
      </c>
      <c r="K4623" s="10" t="str">
        <f aca="false">IF($A4623="","",$G4623&amp;"|"&amp;$J4623)</f>
        <v/>
      </c>
      <c r="L4623" s="10" t="str">
        <f aca="false">IF($A4623="","",ROW()-2)</f>
        <v/>
      </c>
      <c r="M4623" s="10" t="str">
        <f aca="false">IF($A4623="","",ROW())</f>
        <v/>
      </c>
    </row>
    <row r="4624" customFormat="false" ht="15" hidden="false" customHeight="true" outlineLevel="0" collapsed="false">
      <c r="A4624" s="8"/>
      <c r="B4624" s="8"/>
      <c r="C4624" s="8"/>
      <c r="D4624" s="8"/>
      <c r="E4624" s="8"/>
      <c r="F4624" s="8"/>
      <c r="G4624" s="10" t="str">
        <f aca="false">IF($A4624="","",UPPER(SUBSTITUTE(SUBSTITUTE(SUBSTITUTE(SUBSTITUTE($A4624," ",""),"(주)",""),"주식회사",""),"㈜","")))</f>
        <v/>
      </c>
      <c r="H4624" s="10" t="str">
        <f aca="false">IF($B4624="","",SUBSTITUTE(SUBSTITUTE(SUBSTITUTE($B4624,"-","")," ",""),".",""))</f>
        <v/>
      </c>
      <c r="I4624" s="10" t="str">
        <f aca="false">IF($D4624="","",SUBSTITUTE(SUBSTITUTE(SUBSTITUTE($D4624,"-","")," ",""),".",""))</f>
        <v/>
      </c>
      <c r="J4624" s="10" t="str">
        <f aca="false">IF($E4624="","",UPPER(SUBSTITUTE($E4624," ","")))</f>
        <v/>
      </c>
      <c r="K4624" s="10" t="str">
        <f aca="false">IF($A4624="","",$G4624&amp;"|"&amp;$J4624)</f>
        <v/>
      </c>
      <c r="L4624" s="10" t="str">
        <f aca="false">IF($A4624="","",ROW()-2)</f>
        <v/>
      </c>
      <c r="M4624" s="10" t="str">
        <f aca="false">IF($A4624="","",ROW())</f>
        <v/>
      </c>
    </row>
    <row r="4625" customFormat="false" ht="15" hidden="false" customHeight="true" outlineLevel="0" collapsed="false">
      <c r="A4625" s="8"/>
      <c r="B4625" s="8"/>
      <c r="C4625" s="8"/>
      <c r="D4625" s="8"/>
      <c r="E4625" s="8"/>
      <c r="F4625" s="8"/>
      <c r="G4625" s="10" t="str">
        <f aca="false">IF($A4625="","",UPPER(SUBSTITUTE(SUBSTITUTE(SUBSTITUTE(SUBSTITUTE($A4625," ",""),"(주)",""),"주식회사",""),"㈜","")))</f>
        <v/>
      </c>
      <c r="H4625" s="10" t="str">
        <f aca="false">IF($B4625="","",SUBSTITUTE(SUBSTITUTE(SUBSTITUTE($B4625,"-","")," ",""),".",""))</f>
        <v/>
      </c>
      <c r="I4625" s="10" t="str">
        <f aca="false">IF($D4625="","",SUBSTITUTE(SUBSTITUTE(SUBSTITUTE($D4625,"-","")," ",""),".",""))</f>
        <v/>
      </c>
      <c r="J4625" s="10" t="str">
        <f aca="false">IF($E4625="","",UPPER(SUBSTITUTE($E4625," ","")))</f>
        <v/>
      </c>
      <c r="K4625" s="10" t="str">
        <f aca="false">IF($A4625="","",$G4625&amp;"|"&amp;$J4625)</f>
        <v/>
      </c>
      <c r="L4625" s="10" t="str">
        <f aca="false">IF($A4625="","",ROW()-2)</f>
        <v/>
      </c>
      <c r="M4625" s="10" t="str">
        <f aca="false">IF($A4625="","",ROW())</f>
        <v/>
      </c>
    </row>
    <row r="4626" customFormat="false" ht="15" hidden="false" customHeight="true" outlineLevel="0" collapsed="false">
      <c r="A4626" s="8"/>
      <c r="B4626" s="8"/>
      <c r="C4626" s="8"/>
      <c r="D4626" s="8"/>
      <c r="E4626" s="8"/>
      <c r="F4626" s="8"/>
      <c r="G4626" s="10" t="str">
        <f aca="false">IF($A4626="","",UPPER(SUBSTITUTE(SUBSTITUTE(SUBSTITUTE(SUBSTITUTE($A4626," ",""),"(주)",""),"주식회사",""),"㈜","")))</f>
        <v/>
      </c>
      <c r="H4626" s="10" t="str">
        <f aca="false">IF($B4626="","",SUBSTITUTE(SUBSTITUTE(SUBSTITUTE($B4626,"-","")," ",""),".",""))</f>
        <v/>
      </c>
      <c r="I4626" s="10" t="str">
        <f aca="false">IF($D4626="","",SUBSTITUTE(SUBSTITUTE(SUBSTITUTE($D4626,"-","")," ",""),".",""))</f>
        <v/>
      </c>
      <c r="J4626" s="10" t="str">
        <f aca="false">IF($E4626="","",UPPER(SUBSTITUTE($E4626," ","")))</f>
        <v/>
      </c>
      <c r="K4626" s="10" t="str">
        <f aca="false">IF($A4626="","",$G4626&amp;"|"&amp;$J4626)</f>
        <v/>
      </c>
      <c r="L4626" s="10" t="str">
        <f aca="false">IF($A4626="","",ROW()-2)</f>
        <v/>
      </c>
      <c r="M4626" s="10" t="str">
        <f aca="false">IF($A4626="","",ROW())</f>
        <v/>
      </c>
    </row>
    <row r="4627" customFormat="false" ht="15" hidden="false" customHeight="true" outlineLevel="0" collapsed="false">
      <c r="A4627" s="8"/>
      <c r="B4627" s="8"/>
      <c r="C4627" s="8"/>
      <c r="D4627" s="8"/>
      <c r="E4627" s="8"/>
      <c r="F4627" s="8"/>
      <c r="G4627" s="10" t="str">
        <f aca="false">IF($A4627="","",UPPER(SUBSTITUTE(SUBSTITUTE(SUBSTITUTE(SUBSTITUTE($A4627," ",""),"(주)",""),"주식회사",""),"㈜","")))</f>
        <v/>
      </c>
      <c r="H4627" s="10" t="str">
        <f aca="false">IF($B4627="","",SUBSTITUTE(SUBSTITUTE(SUBSTITUTE($B4627,"-","")," ",""),".",""))</f>
        <v/>
      </c>
      <c r="I4627" s="10" t="str">
        <f aca="false">IF($D4627="","",SUBSTITUTE(SUBSTITUTE(SUBSTITUTE($D4627,"-","")," ",""),".",""))</f>
        <v/>
      </c>
      <c r="J4627" s="10" t="str">
        <f aca="false">IF($E4627="","",UPPER(SUBSTITUTE($E4627," ","")))</f>
        <v/>
      </c>
      <c r="K4627" s="10" t="str">
        <f aca="false">IF($A4627="","",$G4627&amp;"|"&amp;$J4627)</f>
        <v/>
      </c>
      <c r="L4627" s="10" t="str">
        <f aca="false">IF($A4627="","",ROW()-2)</f>
        <v/>
      </c>
      <c r="M4627" s="10" t="str">
        <f aca="false">IF($A4627="","",ROW())</f>
        <v/>
      </c>
    </row>
    <row r="4628" customFormat="false" ht="15" hidden="false" customHeight="true" outlineLevel="0" collapsed="false">
      <c r="A4628" s="8"/>
      <c r="B4628" s="8"/>
      <c r="C4628" s="8"/>
      <c r="D4628" s="8"/>
      <c r="E4628" s="8"/>
      <c r="F4628" s="8"/>
      <c r="G4628" s="10" t="str">
        <f aca="false">IF($A4628="","",UPPER(SUBSTITUTE(SUBSTITUTE(SUBSTITUTE(SUBSTITUTE($A4628," ",""),"(주)",""),"주식회사",""),"㈜","")))</f>
        <v/>
      </c>
      <c r="H4628" s="10" t="str">
        <f aca="false">IF($B4628="","",SUBSTITUTE(SUBSTITUTE(SUBSTITUTE($B4628,"-","")," ",""),".",""))</f>
        <v/>
      </c>
      <c r="I4628" s="10" t="str">
        <f aca="false">IF($D4628="","",SUBSTITUTE(SUBSTITUTE(SUBSTITUTE($D4628,"-","")," ",""),".",""))</f>
        <v/>
      </c>
      <c r="J4628" s="10" t="str">
        <f aca="false">IF($E4628="","",UPPER(SUBSTITUTE($E4628," ","")))</f>
        <v/>
      </c>
      <c r="K4628" s="10" t="str">
        <f aca="false">IF($A4628="","",$G4628&amp;"|"&amp;$J4628)</f>
        <v/>
      </c>
      <c r="L4628" s="10" t="str">
        <f aca="false">IF($A4628="","",ROW()-2)</f>
        <v/>
      </c>
      <c r="M4628" s="10" t="str">
        <f aca="false">IF($A4628="","",ROW())</f>
        <v/>
      </c>
    </row>
    <row r="4629" customFormat="false" ht="15" hidden="false" customHeight="true" outlineLevel="0" collapsed="false">
      <c r="A4629" s="8"/>
      <c r="B4629" s="8"/>
      <c r="C4629" s="8"/>
      <c r="D4629" s="8"/>
      <c r="E4629" s="8"/>
      <c r="F4629" s="8"/>
      <c r="G4629" s="10" t="str">
        <f aca="false">IF($A4629="","",UPPER(SUBSTITUTE(SUBSTITUTE(SUBSTITUTE(SUBSTITUTE($A4629," ",""),"(주)",""),"주식회사",""),"㈜","")))</f>
        <v/>
      </c>
      <c r="H4629" s="10" t="str">
        <f aca="false">IF($B4629="","",SUBSTITUTE(SUBSTITUTE(SUBSTITUTE($B4629,"-","")," ",""),".",""))</f>
        <v/>
      </c>
      <c r="I4629" s="10" t="str">
        <f aca="false">IF($D4629="","",SUBSTITUTE(SUBSTITUTE(SUBSTITUTE($D4629,"-","")," ",""),".",""))</f>
        <v/>
      </c>
      <c r="J4629" s="10" t="str">
        <f aca="false">IF($E4629="","",UPPER(SUBSTITUTE($E4629," ","")))</f>
        <v/>
      </c>
      <c r="K4629" s="10" t="str">
        <f aca="false">IF($A4629="","",$G4629&amp;"|"&amp;$J4629)</f>
        <v/>
      </c>
      <c r="L4629" s="10" t="str">
        <f aca="false">IF($A4629="","",ROW()-2)</f>
        <v/>
      </c>
      <c r="M4629" s="10" t="str">
        <f aca="false">IF($A4629="","",ROW())</f>
        <v/>
      </c>
    </row>
    <row r="4630" customFormat="false" ht="15" hidden="false" customHeight="true" outlineLevel="0" collapsed="false">
      <c r="A4630" s="8"/>
      <c r="B4630" s="8"/>
      <c r="C4630" s="8"/>
      <c r="D4630" s="8"/>
      <c r="E4630" s="8"/>
      <c r="F4630" s="8"/>
      <c r="G4630" s="10" t="str">
        <f aca="false">IF($A4630="","",UPPER(SUBSTITUTE(SUBSTITUTE(SUBSTITUTE(SUBSTITUTE($A4630," ",""),"(주)",""),"주식회사",""),"㈜","")))</f>
        <v/>
      </c>
      <c r="H4630" s="10" t="str">
        <f aca="false">IF($B4630="","",SUBSTITUTE(SUBSTITUTE(SUBSTITUTE($B4630,"-","")," ",""),".",""))</f>
        <v/>
      </c>
      <c r="I4630" s="10" t="str">
        <f aca="false">IF($D4630="","",SUBSTITUTE(SUBSTITUTE(SUBSTITUTE($D4630,"-","")," ",""),".",""))</f>
        <v/>
      </c>
      <c r="J4630" s="10" t="str">
        <f aca="false">IF($E4630="","",UPPER(SUBSTITUTE($E4630," ","")))</f>
        <v/>
      </c>
      <c r="K4630" s="10" t="str">
        <f aca="false">IF($A4630="","",$G4630&amp;"|"&amp;$J4630)</f>
        <v/>
      </c>
      <c r="L4630" s="10" t="str">
        <f aca="false">IF($A4630="","",ROW()-2)</f>
        <v/>
      </c>
      <c r="M4630" s="10" t="str">
        <f aca="false">IF($A4630="","",ROW())</f>
        <v/>
      </c>
    </row>
    <row r="4631" customFormat="false" ht="15" hidden="false" customHeight="true" outlineLevel="0" collapsed="false">
      <c r="A4631" s="8"/>
      <c r="B4631" s="8"/>
      <c r="C4631" s="8"/>
      <c r="D4631" s="8"/>
      <c r="E4631" s="8"/>
      <c r="F4631" s="8"/>
      <c r="G4631" s="10" t="str">
        <f aca="false">IF($A4631="","",UPPER(SUBSTITUTE(SUBSTITUTE(SUBSTITUTE(SUBSTITUTE($A4631," ",""),"(주)",""),"주식회사",""),"㈜","")))</f>
        <v/>
      </c>
      <c r="H4631" s="10" t="str">
        <f aca="false">IF($B4631="","",SUBSTITUTE(SUBSTITUTE(SUBSTITUTE($B4631,"-","")," ",""),".",""))</f>
        <v/>
      </c>
      <c r="I4631" s="10" t="str">
        <f aca="false">IF($D4631="","",SUBSTITUTE(SUBSTITUTE(SUBSTITUTE($D4631,"-","")," ",""),".",""))</f>
        <v/>
      </c>
      <c r="J4631" s="10" t="str">
        <f aca="false">IF($E4631="","",UPPER(SUBSTITUTE($E4631," ","")))</f>
        <v/>
      </c>
      <c r="K4631" s="10" t="str">
        <f aca="false">IF($A4631="","",$G4631&amp;"|"&amp;$J4631)</f>
        <v/>
      </c>
      <c r="L4631" s="10" t="str">
        <f aca="false">IF($A4631="","",ROW()-2)</f>
        <v/>
      </c>
      <c r="M4631" s="10" t="str">
        <f aca="false">IF($A4631="","",ROW())</f>
        <v/>
      </c>
    </row>
    <row r="4632" customFormat="false" ht="15" hidden="false" customHeight="true" outlineLevel="0" collapsed="false">
      <c r="A4632" s="8"/>
      <c r="B4632" s="8"/>
      <c r="C4632" s="8"/>
      <c r="D4632" s="8"/>
      <c r="E4632" s="8"/>
      <c r="F4632" s="8"/>
      <c r="G4632" s="10" t="str">
        <f aca="false">IF($A4632="","",UPPER(SUBSTITUTE(SUBSTITUTE(SUBSTITUTE(SUBSTITUTE($A4632," ",""),"(주)",""),"주식회사",""),"㈜","")))</f>
        <v/>
      </c>
      <c r="H4632" s="10" t="str">
        <f aca="false">IF($B4632="","",SUBSTITUTE(SUBSTITUTE(SUBSTITUTE($B4632,"-","")," ",""),".",""))</f>
        <v/>
      </c>
      <c r="I4632" s="10" t="str">
        <f aca="false">IF($D4632="","",SUBSTITUTE(SUBSTITUTE(SUBSTITUTE($D4632,"-","")," ",""),".",""))</f>
        <v/>
      </c>
      <c r="J4632" s="10" t="str">
        <f aca="false">IF($E4632="","",UPPER(SUBSTITUTE($E4632," ","")))</f>
        <v/>
      </c>
      <c r="K4632" s="10" t="str">
        <f aca="false">IF($A4632="","",$G4632&amp;"|"&amp;$J4632)</f>
        <v/>
      </c>
      <c r="L4632" s="10" t="str">
        <f aca="false">IF($A4632="","",ROW()-2)</f>
        <v/>
      </c>
      <c r="M4632" s="10" t="str">
        <f aca="false">IF($A4632="","",ROW())</f>
        <v/>
      </c>
    </row>
    <row r="4633" customFormat="false" ht="15" hidden="false" customHeight="true" outlineLevel="0" collapsed="false">
      <c r="A4633" s="8"/>
      <c r="B4633" s="8"/>
      <c r="C4633" s="8"/>
      <c r="D4633" s="8"/>
      <c r="E4633" s="8"/>
      <c r="F4633" s="8"/>
      <c r="G4633" s="10" t="str">
        <f aca="false">IF($A4633="","",UPPER(SUBSTITUTE(SUBSTITUTE(SUBSTITUTE(SUBSTITUTE($A4633," ",""),"(주)",""),"주식회사",""),"㈜","")))</f>
        <v/>
      </c>
      <c r="H4633" s="10" t="str">
        <f aca="false">IF($B4633="","",SUBSTITUTE(SUBSTITUTE(SUBSTITUTE($B4633,"-","")," ",""),".",""))</f>
        <v/>
      </c>
      <c r="I4633" s="10" t="str">
        <f aca="false">IF($D4633="","",SUBSTITUTE(SUBSTITUTE(SUBSTITUTE($D4633,"-","")," ",""),".",""))</f>
        <v/>
      </c>
      <c r="J4633" s="10" t="str">
        <f aca="false">IF($E4633="","",UPPER(SUBSTITUTE($E4633," ","")))</f>
        <v/>
      </c>
      <c r="K4633" s="10" t="str">
        <f aca="false">IF($A4633="","",$G4633&amp;"|"&amp;$J4633)</f>
        <v/>
      </c>
      <c r="L4633" s="10" t="str">
        <f aca="false">IF($A4633="","",ROW()-2)</f>
        <v/>
      </c>
      <c r="M4633" s="10" t="str">
        <f aca="false">IF($A4633="","",ROW())</f>
        <v/>
      </c>
    </row>
    <row r="4634" customFormat="false" ht="15" hidden="false" customHeight="true" outlineLevel="0" collapsed="false">
      <c r="A4634" s="8"/>
      <c r="B4634" s="8"/>
      <c r="C4634" s="8"/>
      <c r="D4634" s="8"/>
      <c r="E4634" s="8"/>
      <c r="F4634" s="8"/>
      <c r="G4634" s="10" t="str">
        <f aca="false">IF($A4634="","",UPPER(SUBSTITUTE(SUBSTITUTE(SUBSTITUTE(SUBSTITUTE($A4634," ",""),"(주)",""),"주식회사",""),"㈜","")))</f>
        <v/>
      </c>
      <c r="H4634" s="10" t="str">
        <f aca="false">IF($B4634="","",SUBSTITUTE(SUBSTITUTE(SUBSTITUTE($B4634,"-","")," ",""),".",""))</f>
        <v/>
      </c>
      <c r="I4634" s="10" t="str">
        <f aca="false">IF($D4634="","",SUBSTITUTE(SUBSTITUTE(SUBSTITUTE($D4634,"-","")," ",""),".",""))</f>
        <v/>
      </c>
      <c r="J4634" s="10" t="str">
        <f aca="false">IF($E4634="","",UPPER(SUBSTITUTE($E4634," ","")))</f>
        <v/>
      </c>
      <c r="K4634" s="10" t="str">
        <f aca="false">IF($A4634="","",$G4634&amp;"|"&amp;$J4634)</f>
        <v/>
      </c>
      <c r="L4634" s="10" t="str">
        <f aca="false">IF($A4634="","",ROW()-2)</f>
        <v/>
      </c>
      <c r="M4634" s="10" t="str">
        <f aca="false">IF($A4634="","",ROW())</f>
        <v/>
      </c>
    </row>
    <row r="4635" customFormat="false" ht="15" hidden="false" customHeight="true" outlineLevel="0" collapsed="false">
      <c r="A4635" s="8"/>
      <c r="B4635" s="8"/>
      <c r="C4635" s="8"/>
      <c r="D4635" s="8"/>
      <c r="E4635" s="8"/>
      <c r="F4635" s="8"/>
      <c r="G4635" s="10" t="str">
        <f aca="false">IF($A4635="","",UPPER(SUBSTITUTE(SUBSTITUTE(SUBSTITUTE(SUBSTITUTE($A4635," ",""),"(주)",""),"주식회사",""),"㈜","")))</f>
        <v/>
      </c>
      <c r="H4635" s="10" t="str">
        <f aca="false">IF($B4635="","",SUBSTITUTE(SUBSTITUTE(SUBSTITUTE($B4635,"-","")," ",""),".",""))</f>
        <v/>
      </c>
      <c r="I4635" s="10" t="str">
        <f aca="false">IF($D4635="","",SUBSTITUTE(SUBSTITUTE(SUBSTITUTE($D4635,"-","")," ",""),".",""))</f>
        <v/>
      </c>
      <c r="J4635" s="10" t="str">
        <f aca="false">IF($E4635="","",UPPER(SUBSTITUTE($E4635," ","")))</f>
        <v/>
      </c>
      <c r="K4635" s="10" t="str">
        <f aca="false">IF($A4635="","",$G4635&amp;"|"&amp;$J4635)</f>
        <v/>
      </c>
      <c r="L4635" s="10" t="str">
        <f aca="false">IF($A4635="","",ROW()-2)</f>
        <v/>
      </c>
      <c r="M4635" s="10" t="str">
        <f aca="false">IF($A4635="","",ROW())</f>
        <v/>
      </c>
    </row>
    <row r="4636" customFormat="false" ht="15" hidden="false" customHeight="true" outlineLevel="0" collapsed="false">
      <c r="A4636" s="8"/>
      <c r="B4636" s="8"/>
      <c r="C4636" s="8"/>
      <c r="D4636" s="8"/>
      <c r="E4636" s="8"/>
      <c r="F4636" s="8"/>
      <c r="G4636" s="10" t="str">
        <f aca="false">IF($A4636="","",UPPER(SUBSTITUTE(SUBSTITUTE(SUBSTITUTE(SUBSTITUTE($A4636," ",""),"(주)",""),"주식회사",""),"㈜","")))</f>
        <v/>
      </c>
      <c r="H4636" s="10" t="str">
        <f aca="false">IF($B4636="","",SUBSTITUTE(SUBSTITUTE(SUBSTITUTE($B4636,"-","")," ",""),".",""))</f>
        <v/>
      </c>
      <c r="I4636" s="10" t="str">
        <f aca="false">IF($D4636="","",SUBSTITUTE(SUBSTITUTE(SUBSTITUTE($D4636,"-","")," ",""),".",""))</f>
        <v/>
      </c>
      <c r="J4636" s="10" t="str">
        <f aca="false">IF($E4636="","",UPPER(SUBSTITUTE($E4636," ","")))</f>
        <v/>
      </c>
      <c r="K4636" s="10" t="str">
        <f aca="false">IF($A4636="","",$G4636&amp;"|"&amp;$J4636)</f>
        <v/>
      </c>
      <c r="L4636" s="10" t="str">
        <f aca="false">IF($A4636="","",ROW()-2)</f>
        <v/>
      </c>
      <c r="M4636" s="10" t="str">
        <f aca="false">IF($A4636="","",ROW())</f>
        <v/>
      </c>
    </row>
    <row r="4637" customFormat="false" ht="15" hidden="false" customHeight="true" outlineLevel="0" collapsed="false">
      <c r="A4637" s="8"/>
      <c r="B4637" s="8"/>
      <c r="C4637" s="8"/>
      <c r="D4637" s="8"/>
      <c r="E4637" s="8"/>
      <c r="F4637" s="8"/>
      <c r="G4637" s="10" t="str">
        <f aca="false">IF($A4637="","",UPPER(SUBSTITUTE(SUBSTITUTE(SUBSTITUTE(SUBSTITUTE($A4637," ",""),"(주)",""),"주식회사",""),"㈜","")))</f>
        <v/>
      </c>
      <c r="H4637" s="10" t="str">
        <f aca="false">IF($B4637="","",SUBSTITUTE(SUBSTITUTE(SUBSTITUTE($B4637,"-","")," ",""),".",""))</f>
        <v/>
      </c>
      <c r="I4637" s="10" t="str">
        <f aca="false">IF($D4637="","",SUBSTITUTE(SUBSTITUTE(SUBSTITUTE($D4637,"-","")," ",""),".",""))</f>
        <v/>
      </c>
      <c r="J4637" s="10" t="str">
        <f aca="false">IF($E4637="","",UPPER(SUBSTITUTE($E4637," ","")))</f>
        <v/>
      </c>
      <c r="K4637" s="10" t="str">
        <f aca="false">IF($A4637="","",$G4637&amp;"|"&amp;$J4637)</f>
        <v/>
      </c>
      <c r="L4637" s="10" t="str">
        <f aca="false">IF($A4637="","",ROW()-2)</f>
        <v/>
      </c>
      <c r="M4637" s="10" t="str">
        <f aca="false">IF($A4637="","",ROW())</f>
        <v/>
      </c>
    </row>
    <row r="4638" customFormat="false" ht="15" hidden="false" customHeight="true" outlineLevel="0" collapsed="false">
      <c r="A4638" s="8"/>
      <c r="B4638" s="8"/>
      <c r="C4638" s="8"/>
      <c r="D4638" s="8"/>
      <c r="E4638" s="8"/>
      <c r="F4638" s="8"/>
      <c r="G4638" s="10" t="str">
        <f aca="false">IF($A4638="","",UPPER(SUBSTITUTE(SUBSTITUTE(SUBSTITUTE(SUBSTITUTE($A4638," ",""),"(주)",""),"주식회사",""),"㈜","")))</f>
        <v/>
      </c>
      <c r="H4638" s="10" t="str">
        <f aca="false">IF($B4638="","",SUBSTITUTE(SUBSTITUTE(SUBSTITUTE($B4638,"-","")," ",""),".",""))</f>
        <v/>
      </c>
      <c r="I4638" s="10" t="str">
        <f aca="false">IF($D4638="","",SUBSTITUTE(SUBSTITUTE(SUBSTITUTE($D4638,"-","")," ",""),".",""))</f>
        <v/>
      </c>
      <c r="J4638" s="10" t="str">
        <f aca="false">IF($E4638="","",UPPER(SUBSTITUTE($E4638," ","")))</f>
        <v/>
      </c>
      <c r="K4638" s="10" t="str">
        <f aca="false">IF($A4638="","",$G4638&amp;"|"&amp;$J4638)</f>
        <v/>
      </c>
      <c r="L4638" s="10" t="str">
        <f aca="false">IF($A4638="","",ROW()-2)</f>
        <v/>
      </c>
      <c r="M4638" s="10" t="str">
        <f aca="false">IF($A4638="","",ROW())</f>
        <v/>
      </c>
    </row>
    <row r="4639" customFormat="false" ht="15" hidden="false" customHeight="true" outlineLevel="0" collapsed="false">
      <c r="A4639" s="8"/>
      <c r="B4639" s="8"/>
      <c r="C4639" s="8"/>
      <c r="D4639" s="8"/>
      <c r="E4639" s="8"/>
      <c r="F4639" s="8"/>
      <c r="G4639" s="10" t="str">
        <f aca="false">IF($A4639="","",UPPER(SUBSTITUTE(SUBSTITUTE(SUBSTITUTE(SUBSTITUTE($A4639," ",""),"(주)",""),"주식회사",""),"㈜","")))</f>
        <v/>
      </c>
      <c r="H4639" s="10" t="str">
        <f aca="false">IF($B4639="","",SUBSTITUTE(SUBSTITUTE(SUBSTITUTE($B4639,"-","")," ",""),".",""))</f>
        <v/>
      </c>
      <c r="I4639" s="10" t="str">
        <f aca="false">IF($D4639="","",SUBSTITUTE(SUBSTITUTE(SUBSTITUTE($D4639,"-","")," ",""),".",""))</f>
        <v/>
      </c>
      <c r="J4639" s="10" t="str">
        <f aca="false">IF($E4639="","",UPPER(SUBSTITUTE($E4639," ","")))</f>
        <v/>
      </c>
      <c r="K4639" s="10" t="str">
        <f aca="false">IF($A4639="","",$G4639&amp;"|"&amp;$J4639)</f>
        <v/>
      </c>
      <c r="L4639" s="10" t="str">
        <f aca="false">IF($A4639="","",ROW()-2)</f>
        <v/>
      </c>
      <c r="M4639" s="10" t="str">
        <f aca="false">IF($A4639="","",ROW())</f>
        <v/>
      </c>
    </row>
    <row r="4640" customFormat="false" ht="15" hidden="false" customHeight="true" outlineLevel="0" collapsed="false">
      <c r="A4640" s="8"/>
      <c r="B4640" s="8"/>
      <c r="C4640" s="8"/>
      <c r="D4640" s="8"/>
      <c r="E4640" s="8"/>
      <c r="F4640" s="8"/>
      <c r="G4640" s="10" t="str">
        <f aca="false">IF($A4640="","",UPPER(SUBSTITUTE(SUBSTITUTE(SUBSTITUTE(SUBSTITUTE($A4640," ",""),"(주)",""),"주식회사",""),"㈜","")))</f>
        <v/>
      </c>
      <c r="H4640" s="10" t="str">
        <f aca="false">IF($B4640="","",SUBSTITUTE(SUBSTITUTE(SUBSTITUTE($B4640,"-","")," ",""),".",""))</f>
        <v/>
      </c>
      <c r="I4640" s="10" t="str">
        <f aca="false">IF($D4640="","",SUBSTITUTE(SUBSTITUTE(SUBSTITUTE($D4640,"-","")," ",""),".",""))</f>
        <v/>
      </c>
      <c r="J4640" s="10" t="str">
        <f aca="false">IF($E4640="","",UPPER(SUBSTITUTE($E4640," ","")))</f>
        <v/>
      </c>
      <c r="K4640" s="10" t="str">
        <f aca="false">IF($A4640="","",$G4640&amp;"|"&amp;$J4640)</f>
        <v/>
      </c>
      <c r="L4640" s="10" t="str">
        <f aca="false">IF($A4640="","",ROW()-2)</f>
        <v/>
      </c>
      <c r="M4640" s="10" t="str">
        <f aca="false">IF($A4640="","",ROW())</f>
        <v/>
      </c>
    </row>
    <row r="4641" customFormat="false" ht="15" hidden="false" customHeight="true" outlineLevel="0" collapsed="false">
      <c r="A4641" s="8"/>
      <c r="B4641" s="8"/>
      <c r="C4641" s="8"/>
      <c r="D4641" s="8"/>
      <c r="E4641" s="8"/>
      <c r="F4641" s="8"/>
      <c r="G4641" s="10" t="str">
        <f aca="false">IF($A4641="","",UPPER(SUBSTITUTE(SUBSTITUTE(SUBSTITUTE(SUBSTITUTE($A4641," ",""),"(주)",""),"주식회사",""),"㈜","")))</f>
        <v/>
      </c>
      <c r="H4641" s="10" t="str">
        <f aca="false">IF($B4641="","",SUBSTITUTE(SUBSTITUTE(SUBSTITUTE($B4641,"-","")," ",""),".",""))</f>
        <v/>
      </c>
      <c r="I4641" s="10" t="str">
        <f aca="false">IF($D4641="","",SUBSTITUTE(SUBSTITUTE(SUBSTITUTE($D4641,"-","")," ",""),".",""))</f>
        <v/>
      </c>
      <c r="J4641" s="10" t="str">
        <f aca="false">IF($E4641="","",UPPER(SUBSTITUTE($E4641," ","")))</f>
        <v/>
      </c>
      <c r="K4641" s="10" t="str">
        <f aca="false">IF($A4641="","",$G4641&amp;"|"&amp;$J4641)</f>
        <v/>
      </c>
      <c r="L4641" s="10" t="str">
        <f aca="false">IF($A4641="","",ROW()-2)</f>
        <v/>
      </c>
      <c r="M4641" s="10" t="str">
        <f aca="false">IF($A4641="","",ROW())</f>
        <v/>
      </c>
    </row>
    <row r="4642" customFormat="false" ht="15" hidden="false" customHeight="true" outlineLevel="0" collapsed="false">
      <c r="A4642" s="8"/>
      <c r="B4642" s="8"/>
      <c r="C4642" s="8"/>
      <c r="D4642" s="8"/>
      <c r="E4642" s="8"/>
      <c r="F4642" s="8"/>
      <c r="G4642" s="10" t="str">
        <f aca="false">IF($A4642="","",UPPER(SUBSTITUTE(SUBSTITUTE(SUBSTITUTE(SUBSTITUTE($A4642," ",""),"(주)",""),"주식회사",""),"㈜","")))</f>
        <v/>
      </c>
      <c r="H4642" s="10" t="str">
        <f aca="false">IF($B4642="","",SUBSTITUTE(SUBSTITUTE(SUBSTITUTE($B4642,"-","")," ",""),".",""))</f>
        <v/>
      </c>
      <c r="I4642" s="10" t="str">
        <f aca="false">IF($D4642="","",SUBSTITUTE(SUBSTITUTE(SUBSTITUTE($D4642,"-","")," ",""),".",""))</f>
        <v/>
      </c>
      <c r="J4642" s="10" t="str">
        <f aca="false">IF($E4642="","",UPPER(SUBSTITUTE($E4642," ","")))</f>
        <v/>
      </c>
      <c r="K4642" s="10" t="str">
        <f aca="false">IF($A4642="","",$G4642&amp;"|"&amp;$J4642)</f>
        <v/>
      </c>
      <c r="L4642" s="10" t="str">
        <f aca="false">IF($A4642="","",ROW()-2)</f>
        <v/>
      </c>
      <c r="M4642" s="10" t="str">
        <f aca="false">IF($A4642="","",ROW())</f>
        <v/>
      </c>
    </row>
    <row r="4643" customFormat="false" ht="15" hidden="false" customHeight="true" outlineLevel="0" collapsed="false">
      <c r="A4643" s="8"/>
      <c r="B4643" s="8"/>
      <c r="C4643" s="8"/>
      <c r="D4643" s="8"/>
      <c r="E4643" s="8"/>
      <c r="F4643" s="8"/>
      <c r="G4643" s="10" t="str">
        <f aca="false">IF($A4643="","",UPPER(SUBSTITUTE(SUBSTITUTE(SUBSTITUTE(SUBSTITUTE($A4643," ",""),"(주)",""),"주식회사",""),"㈜","")))</f>
        <v/>
      </c>
      <c r="H4643" s="10" t="str">
        <f aca="false">IF($B4643="","",SUBSTITUTE(SUBSTITUTE(SUBSTITUTE($B4643,"-","")," ",""),".",""))</f>
        <v/>
      </c>
      <c r="I4643" s="10" t="str">
        <f aca="false">IF($D4643="","",SUBSTITUTE(SUBSTITUTE(SUBSTITUTE($D4643,"-","")," ",""),".",""))</f>
        <v/>
      </c>
      <c r="J4643" s="10" t="str">
        <f aca="false">IF($E4643="","",UPPER(SUBSTITUTE($E4643," ","")))</f>
        <v/>
      </c>
      <c r="K4643" s="10" t="str">
        <f aca="false">IF($A4643="","",$G4643&amp;"|"&amp;$J4643)</f>
        <v/>
      </c>
      <c r="L4643" s="10" t="str">
        <f aca="false">IF($A4643="","",ROW()-2)</f>
        <v/>
      </c>
      <c r="M4643" s="10" t="str">
        <f aca="false">IF($A4643="","",ROW())</f>
        <v/>
      </c>
    </row>
    <row r="4644" customFormat="false" ht="15" hidden="false" customHeight="true" outlineLevel="0" collapsed="false">
      <c r="A4644" s="8"/>
      <c r="B4644" s="8"/>
      <c r="C4644" s="8"/>
      <c r="D4644" s="8"/>
      <c r="E4644" s="8"/>
      <c r="F4644" s="8"/>
      <c r="G4644" s="10" t="str">
        <f aca="false">IF($A4644="","",UPPER(SUBSTITUTE(SUBSTITUTE(SUBSTITUTE(SUBSTITUTE($A4644," ",""),"(주)",""),"주식회사",""),"㈜","")))</f>
        <v/>
      </c>
      <c r="H4644" s="10" t="str">
        <f aca="false">IF($B4644="","",SUBSTITUTE(SUBSTITUTE(SUBSTITUTE($B4644,"-","")," ",""),".",""))</f>
        <v/>
      </c>
      <c r="I4644" s="10" t="str">
        <f aca="false">IF($D4644="","",SUBSTITUTE(SUBSTITUTE(SUBSTITUTE($D4644,"-","")," ",""),".",""))</f>
        <v/>
      </c>
      <c r="J4644" s="10" t="str">
        <f aca="false">IF($E4644="","",UPPER(SUBSTITUTE($E4644," ","")))</f>
        <v/>
      </c>
      <c r="K4644" s="10" t="str">
        <f aca="false">IF($A4644="","",$G4644&amp;"|"&amp;$J4644)</f>
        <v/>
      </c>
      <c r="L4644" s="10" t="str">
        <f aca="false">IF($A4644="","",ROW()-2)</f>
        <v/>
      </c>
      <c r="M4644" s="10" t="str">
        <f aca="false">IF($A4644="","",ROW())</f>
        <v/>
      </c>
    </row>
    <row r="4645" customFormat="false" ht="15" hidden="false" customHeight="true" outlineLevel="0" collapsed="false">
      <c r="A4645" s="8"/>
      <c r="B4645" s="8"/>
      <c r="C4645" s="8"/>
      <c r="D4645" s="8"/>
      <c r="E4645" s="8"/>
      <c r="F4645" s="8"/>
      <c r="G4645" s="10" t="str">
        <f aca="false">IF($A4645="","",UPPER(SUBSTITUTE(SUBSTITUTE(SUBSTITUTE(SUBSTITUTE($A4645," ",""),"(주)",""),"주식회사",""),"㈜","")))</f>
        <v/>
      </c>
      <c r="H4645" s="10" t="str">
        <f aca="false">IF($B4645="","",SUBSTITUTE(SUBSTITUTE(SUBSTITUTE($B4645,"-","")," ",""),".",""))</f>
        <v/>
      </c>
      <c r="I4645" s="10" t="str">
        <f aca="false">IF($D4645="","",SUBSTITUTE(SUBSTITUTE(SUBSTITUTE($D4645,"-","")," ",""),".",""))</f>
        <v/>
      </c>
      <c r="J4645" s="10" t="str">
        <f aca="false">IF($E4645="","",UPPER(SUBSTITUTE($E4645," ","")))</f>
        <v/>
      </c>
      <c r="K4645" s="10" t="str">
        <f aca="false">IF($A4645="","",$G4645&amp;"|"&amp;$J4645)</f>
        <v/>
      </c>
      <c r="L4645" s="10" t="str">
        <f aca="false">IF($A4645="","",ROW()-2)</f>
        <v/>
      </c>
      <c r="M4645" s="10" t="str">
        <f aca="false">IF($A4645="","",ROW())</f>
        <v/>
      </c>
    </row>
    <row r="4646" customFormat="false" ht="15" hidden="false" customHeight="true" outlineLevel="0" collapsed="false">
      <c r="A4646" s="8"/>
      <c r="B4646" s="8"/>
      <c r="C4646" s="8"/>
      <c r="D4646" s="8"/>
      <c r="E4646" s="8"/>
      <c r="F4646" s="8"/>
      <c r="G4646" s="10" t="str">
        <f aca="false">IF($A4646="","",UPPER(SUBSTITUTE(SUBSTITUTE(SUBSTITUTE(SUBSTITUTE($A4646," ",""),"(주)",""),"주식회사",""),"㈜","")))</f>
        <v/>
      </c>
      <c r="H4646" s="10" t="str">
        <f aca="false">IF($B4646="","",SUBSTITUTE(SUBSTITUTE(SUBSTITUTE($B4646,"-","")," ",""),".",""))</f>
        <v/>
      </c>
      <c r="I4646" s="10" t="str">
        <f aca="false">IF($D4646="","",SUBSTITUTE(SUBSTITUTE(SUBSTITUTE($D4646,"-","")," ",""),".",""))</f>
        <v/>
      </c>
      <c r="J4646" s="10" t="str">
        <f aca="false">IF($E4646="","",UPPER(SUBSTITUTE($E4646," ","")))</f>
        <v/>
      </c>
      <c r="K4646" s="10" t="str">
        <f aca="false">IF($A4646="","",$G4646&amp;"|"&amp;$J4646)</f>
        <v/>
      </c>
      <c r="L4646" s="10" t="str">
        <f aca="false">IF($A4646="","",ROW()-2)</f>
        <v/>
      </c>
      <c r="M4646" s="10" t="str">
        <f aca="false">IF($A4646="","",ROW())</f>
        <v/>
      </c>
    </row>
    <row r="4647" customFormat="false" ht="15" hidden="false" customHeight="true" outlineLevel="0" collapsed="false">
      <c r="A4647" s="8"/>
      <c r="B4647" s="8"/>
      <c r="C4647" s="8"/>
      <c r="D4647" s="8"/>
      <c r="E4647" s="8"/>
      <c r="F4647" s="8"/>
      <c r="G4647" s="10" t="str">
        <f aca="false">IF($A4647="","",UPPER(SUBSTITUTE(SUBSTITUTE(SUBSTITUTE(SUBSTITUTE($A4647," ",""),"(주)",""),"주식회사",""),"㈜","")))</f>
        <v/>
      </c>
      <c r="H4647" s="10" t="str">
        <f aca="false">IF($B4647="","",SUBSTITUTE(SUBSTITUTE(SUBSTITUTE($B4647,"-","")," ",""),".",""))</f>
        <v/>
      </c>
      <c r="I4647" s="10" t="str">
        <f aca="false">IF($D4647="","",SUBSTITUTE(SUBSTITUTE(SUBSTITUTE($D4647,"-","")," ",""),".",""))</f>
        <v/>
      </c>
      <c r="J4647" s="10" t="str">
        <f aca="false">IF($E4647="","",UPPER(SUBSTITUTE($E4647," ","")))</f>
        <v/>
      </c>
      <c r="K4647" s="10" t="str">
        <f aca="false">IF($A4647="","",$G4647&amp;"|"&amp;$J4647)</f>
        <v/>
      </c>
      <c r="L4647" s="10" t="str">
        <f aca="false">IF($A4647="","",ROW()-2)</f>
        <v/>
      </c>
      <c r="M4647" s="10" t="str">
        <f aca="false">IF($A4647="","",ROW())</f>
        <v/>
      </c>
    </row>
    <row r="4648" customFormat="false" ht="15" hidden="false" customHeight="true" outlineLevel="0" collapsed="false">
      <c r="A4648" s="8"/>
      <c r="B4648" s="8"/>
      <c r="C4648" s="8"/>
      <c r="D4648" s="8"/>
      <c r="E4648" s="8"/>
      <c r="F4648" s="8"/>
      <c r="G4648" s="10" t="str">
        <f aca="false">IF($A4648="","",UPPER(SUBSTITUTE(SUBSTITUTE(SUBSTITUTE(SUBSTITUTE($A4648," ",""),"(주)",""),"주식회사",""),"㈜","")))</f>
        <v/>
      </c>
      <c r="H4648" s="10" t="str">
        <f aca="false">IF($B4648="","",SUBSTITUTE(SUBSTITUTE(SUBSTITUTE($B4648,"-","")," ",""),".",""))</f>
        <v/>
      </c>
      <c r="I4648" s="10" t="str">
        <f aca="false">IF($D4648="","",SUBSTITUTE(SUBSTITUTE(SUBSTITUTE($D4648,"-","")," ",""),".",""))</f>
        <v/>
      </c>
      <c r="J4648" s="10" t="str">
        <f aca="false">IF($E4648="","",UPPER(SUBSTITUTE($E4648," ","")))</f>
        <v/>
      </c>
      <c r="K4648" s="10" t="str">
        <f aca="false">IF($A4648="","",$G4648&amp;"|"&amp;$J4648)</f>
        <v/>
      </c>
      <c r="L4648" s="10" t="str">
        <f aca="false">IF($A4648="","",ROW()-2)</f>
        <v/>
      </c>
      <c r="M4648" s="10" t="str">
        <f aca="false">IF($A4648="","",ROW())</f>
        <v/>
      </c>
    </row>
    <row r="4649" customFormat="false" ht="15" hidden="false" customHeight="true" outlineLevel="0" collapsed="false">
      <c r="A4649" s="8"/>
      <c r="B4649" s="8"/>
      <c r="C4649" s="8"/>
      <c r="D4649" s="8"/>
      <c r="E4649" s="8"/>
      <c r="F4649" s="8"/>
      <c r="G4649" s="10" t="str">
        <f aca="false">IF($A4649="","",UPPER(SUBSTITUTE(SUBSTITUTE(SUBSTITUTE(SUBSTITUTE($A4649," ",""),"(주)",""),"주식회사",""),"㈜","")))</f>
        <v/>
      </c>
      <c r="H4649" s="10" t="str">
        <f aca="false">IF($B4649="","",SUBSTITUTE(SUBSTITUTE(SUBSTITUTE($B4649,"-","")," ",""),".",""))</f>
        <v/>
      </c>
      <c r="I4649" s="10" t="str">
        <f aca="false">IF($D4649="","",SUBSTITUTE(SUBSTITUTE(SUBSTITUTE($D4649,"-","")," ",""),".",""))</f>
        <v/>
      </c>
      <c r="J4649" s="10" t="str">
        <f aca="false">IF($E4649="","",UPPER(SUBSTITUTE($E4649," ","")))</f>
        <v/>
      </c>
      <c r="K4649" s="10" t="str">
        <f aca="false">IF($A4649="","",$G4649&amp;"|"&amp;$J4649)</f>
        <v/>
      </c>
      <c r="L4649" s="10" t="str">
        <f aca="false">IF($A4649="","",ROW()-2)</f>
        <v/>
      </c>
      <c r="M4649" s="10" t="str">
        <f aca="false">IF($A4649="","",ROW())</f>
        <v/>
      </c>
    </row>
    <row r="4650" customFormat="false" ht="15" hidden="false" customHeight="true" outlineLevel="0" collapsed="false">
      <c r="A4650" s="8"/>
      <c r="B4650" s="8"/>
      <c r="C4650" s="8"/>
      <c r="D4650" s="8"/>
      <c r="E4650" s="8"/>
      <c r="F4650" s="8"/>
      <c r="G4650" s="10" t="str">
        <f aca="false">IF($A4650="","",UPPER(SUBSTITUTE(SUBSTITUTE(SUBSTITUTE(SUBSTITUTE($A4650," ",""),"(주)",""),"주식회사",""),"㈜","")))</f>
        <v/>
      </c>
      <c r="H4650" s="10" t="str">
        <f aca="false">IF($B4650="","",SUBSTITUTE(SUBSTITUTE(SUBSTITUTE($B4650,"-","")," ",""),".",""))</f>
        <v/>
      </c>
      <c r="I4650" s="10" t="str">
        <f aca="false">IF($D4650="","",SUBSTITUTE(SUBSTITUTE(SUBSTITUTE($D4650,"-","")," ",""),".",""))</f>
        <v/>
      </c>
      <c r="J4650" s="10" t="str">
        <f aca="false">IF($E4650="","",UPPER(SUBSTITUTE($E4650," ","")))</f>
        <v/>
      </c>
      <c r="K4650" s="10" t="str">
        <f aca="false">IF($A4650="","",$G4650&amp;"|"&amp;$J4650)</f>
        <v/>
      </c>
      <c r="L4650" s="10" t="str">
        <f aca="false">IF($A4650="","",ROW()-2)</f>
        <v/>
      </c>
      <c r="M4650" s="10" t="str">
        <f aca="false">IF($A4650="","",ROW())</f>
        <v/>
      </c>
    </row>
    <row r="4651" customFormat="false" ht="15" hidden="false" customHeight="true" outlineLevel="0" collapsed="false">
      <c r="A4651" s="8"/>
      <c r="B4651" s="8"/>
      <c r="C4651" s="8"/>
      <c r="D4651" s="8"/>
      <c r="E4651" s="8"/>
      <c r="F4651" s="8"/>
      <c r="G4651" s="10" t="str">
        <f aca="false">IF($A4651="","",UPPER(SUBSTITUTE(SUBSTITUTE(SUBSTITUTE(SUBSTITUTE($A4651," ",""),"(주)",""),"주식회사",""),"㈜","")))</f>
        <v/>
      </c>
      <c r="H4651" s="10" t="str">
        <f aca="false">IF($B4651="","",SUBSTITUTE(SUBSTITUTE(SUBSTITUTE($B4651,"-","")," ",""),".",""))</f>
        <v/>
      </c>
      <c r="I4651" s="10" t="str">
        <f aca="false">IF($D4651="","",SUBSTITUTE(SUBSTITUTE(SUBSTITUTE($D4651,"-","")," ",""),".",""))</f>
        <v/>
      </c>
      <c r="J4651" s="10" t="str">
        <f aca="false">IF($E4651="","",UPPER(SUBSTITUTE($E4651," ","")))</f>
        <v/>
      </c>
      <c r="K4651" s="10" t="str">
        <f aca="false">IF($A4651="","",$G4651&amp;"|"&amp;$J4651)</f>
        <v/>
      </c>
      <c r="L4651" s="10" t="str">
        <f aca="false">IF($A4651="","",ROW()-2)</f>
        <v/>
      </c>
      <c r="M4651" s="10" t="str">
        <f aca="false">IF($A4651="","",ROW())</f>
        <v/>
      </c>
    </row>
    <row r="4652" customFormat="false" ht="15" hidden="false" customHeight="true" outlineLevel="0" collapsed="false">
      <c r="A4652" s="8"/>
      <c r="B4652" s="8"/>
      <c r="C4652" s="8"/>
      <c r="D4652" s="8"/>
      <c r="E4652" s="8"/>
      <c r="F4652" s="8"/>
      <c r="G4652" s="10" t="str">
        <f aca="false">IF($A4652="","",UPPER(SUBSTITUTE(SUBSTITUTE(SUBSTITUTE(SUBSTITUTE($A4652," ",""),"(주)",""),"주식회사",""),"㈜","")))</f>
        <v/>
      </c>
      <c r="H4652" s="10" t="str">
        <f aca="false">IF($B4652="","",SUBSTITUTE(SUBSTITUTE(SUBSTITUTE($B4652,"-","")," ",""),".",""))</f>
        <v/>
      </c>
      <c r="I4652" s="10" t="str">
        <f aca="false">IF($D4652="","",SUBSTITUTE(SUBSTITUTE(SUBSTITUTE($D4652,"-","")," ",""),".",""))</f>
        <v/>
      </c>
      <c r="J4652" s="10" t="str">
        <f aca="false">IF($E4652="","",UPPER(SUBSTITUTE($E4652," ","")))</f>
        <v/>
      </c>
      <c r="K4652" s="10" t="str">
        <f aca="false">IF($A4652="","",$G4652&amp;"|"&amp;$J4652)</f>
        <v/>
      </c>
      <c r="L4652" s="10" t="str">
        <f aca="false">IF($A4652="","",ROW()-2)</f>
        <v/>
      </c>
      <c r="M4652" s="10" t="str">
        <f aca="false">IF($A4652="","",ROW())</f>
        <v/>
      </c>
    </row>
    <row r="4653" customFormat="false" ht="15" hidden="false" customHeight="true" outlineLevel="0" collapsed="false">
      <c r="A4653" s="8"/>
      <c r="B4653" s="8"/>
      <c r="C4653" s="8"/>
      <c r="D4653" s="8"/>
      <c r="E4653" s="8"/>
      <c r="F4653" s="8"/>
      <c r="G4653" s="10" t="str">
        <f aca="false">IF($A4653="","",UPPER(SUBSTITUTE(SUBSTITUTE(SUBSTITUTE(SUBSTITUTE($A4653," ",""),"(주)",""),"주식회사",""),"㈜","")))</f>
        <v/>
      </c>
      <c r="H4653" s="10" t="str">
        <f aca="false">IF($B4653="","",SUBSTITUTE(SUBSTITUTE(SUBSTITUTE($B4653,"-","")," ",""),".",""))</f>
        <v/>
      </c>
      <c r="I4653" s="10" t="str">
        <f aca="false">IF($D4653="","",SUBSTITUTE(SUBSTITUTE(SUBSTITUTE($D4653,"-","")," ",""),".",""))</f>
        <v/>
      </c>
      <c r="J4653" s="10" t="str">
        <f aca="false">IF($E4653="","",UPPER(SUBSTITUTE($E4653," ","")))</f>
        <v/>
      </c>
      <c r="K4653" s="10" t="str">
        <f aca="false">IF($A4653="","",$G4653&amp;"|"&amp;$J4653)</f>
        <v/>
      </c>
      <c r="L4653" s="10" t="str">
        <f aca="false">IF($A4653="","",ROW()-2)</f>
        <v/>
      </c>
      <c r="M4653" s="10" t="str">
        <f aca="false">IF($A4653="","",ROW())</f>
        <v/>
      </c>
    </row>
    <row r="4654" customFormat="false" ht="15" hidden="false" customHeight="true" outlineLevel="0" collapsed="false">
      <c r="A4654" s="8"/>
      <c r="B4654" s="8"/>
      <c r="C4654" s="8"/>
      <c r="D4654" s="8"/>
      <c r="E4654" s="8"/>
      <c r="F4654" s="8"/>
      <c r="G4654" s="10" t="str">
        <f aca="false">IF($A4654="","",UPPER(SUBSTITUTE(SUBSTITUTE(SUBSTITUTE(SUBSTITUTE($A4654," ",""),"(주)",""),"주식회사",""),"㈜","")))</f>
        <v/>
      </c>
      <c r="H4654" s="10" t="str">
        <f aca="false">IF($B4654="","",SUBSTITUTE(SUBSTITUTE(SUBSTITUTE($B4654,"-","")," ",""),".",""))</f>
        <v/>
      </c>
      <c r="I4654" s="10" t="str">
        <f aca="false">IF($D4654="","",SUBSTITUTE(SUBSTITUTE(SUBSTITUTE($D4654,"-","")," ",""),".",""))</f>
        <v/>
      </c>
      <c r="J4654" s="10" t="str">
        <f aca="false">IF($E4654="","",UPPER(SUBSTITUTE($E4654," ","")))</f>
        <v/>
      </c>
      <c r="K4654" s="10" t="str">
        <f aca="false">IF($A4654="","",$G4654&amp;"|"&amp;$J4654)</f>
        <v/>
      </c>
      <c r="L4654" s="10" t="str">
        <f aca="false">IF($A4654="","",ROW()-2)</f>
        <v/>
      </c>
      <c r="M4654" s="10" t="str">
        <f aca="false">IF($A4654="","",ROW())</f>
        <v/>
      </c>
    </row>
    <row r="4655" customFormat="false" ht="15" hidden="false" customHeight="true" outlineLevel="0" collapsed="false">
      <c r="A4655" s="8"/>
      <c r="B4655" s="8"/>
      <c r="C4655" s="8"/>
      <c r="D4655" s="8"/>
      <c r="E4655" s="8"/>
      <c r="F4655" s="8"/>
      <c r="G4655" s="10" t="str">
        <f aca="false">IF($A4655="","",UPPER(SUBSTITUTE(SUBSTITUTE(SUBSTITUTE(SUBSTITUTE($A4655," ",""),"(주)",""),"주식회사",""),"㈜","")))</f>
        <v/>
      </c>
      <c r="H4655" s="10" t="str">
        <f aca="false">IF($B4655="","",SUBSTITUTE(SUBSTITUTE(SUBSTITUTE($B4655,"-","")," ",""),".",""))</f>
        <v/>
      </c>
      <c r="I4655" s="10" t="str">
        <f aca="false">IF($D4655="","",SUBSTITUTE(SUBSTITUTE(SUBSTITUTE($D4655,"-","")," ",""),".",""))</f>
        <v/>
      </c>
      <c r="J4655" s="10" t="str">
        <f aca="false">IF($E4655="","",UPPER(SUBSTITUTE($E4655," ","")))</f>
        <v/>
      </c>
      <c r="K4655" s="10" t="str">
        <f aca="false">IF($A4655="","",$G4655&amp;"|"&amp;$J4655)</f>
        <v/>
      </c>
      <c r="L4655" s="10" t="str">
        <f aca="false">IF($A4655="","",ROW()-2)</f>
        <v/>
      </c>
      <c r="M4655" s="10" t="str">
        <f aca="false">IF($A4655="","",ROW())</f>
        <v/>
      </c>
    </row>
    <row r="4656" customFormat="false" ht="15" hidden="false" customHeight="true" outlineLevel="0" collapsed="false">
      <c r="A4656" s="8"/>
      <c r="B4656" s="8"/>
      <c r="C4656" s="8"/>
      <c r="D4656" s="8"/>
      <c r="E4656" s="8"/>
      <c r="F4656" s="8"/>
      <c r="G4656" s="10" t="str">
        <f aca="false">IF($A4656="","",UPPER(SUBSTITUTE(SUBSTITUTE(SUBSTITUTE(SUBSTITUTE($A4656," ",""),"(주)",""),"주식회사",""),"㈜","")))</f>
        <v/>
      </c>
      <c r="H4656" s="10" t="str">
        <f aca="false">IF($B4656="","",SUBSTITUTE(SUBSTITUTE(SUBSTITUTE($B4656,"-","")," ",""),".",""))</f>
        <v/>
      </c>
      <c r="I4656" s="10" t="str">
        <f aca="false">IF($D4656="","",SUBSTITUTE(SUBSTITUTE(SUBSTITUTE($D4656,"-","")," ",""),".",""))</f>
        <v/>
      </c>
      <c r="J4656" s="10" t="str">
        <f aca="false">IF($E4656="","",UPPER(SUBSTITUTE($E4656," ","")))</f>
        <v/>
      </c>
      <c r="K4656" s="10" t="str">
        <f aca="false">IF($A4656="","",$G4656&amp;"|"&amp;$J4656)</f>
        <v/>
      </c>
      <c r="L4656" s="10" t="str">
        <f aca="false">IF($A4656="","",ROW()-2)</f>
        <v/>
      </c>
      <c r="M4656" s="10" t="str">
        <f aca="false">IF($A4656="","",ROW())</f>
        <v/>
      </c>
    </row>
    <row r="4657" customFormat="false" ht="15" hidden="false" customHeight="true" outlineLevel="0" collapsed="false">
      <c r="A4657" s="8"/>
      <c r="B4657" s="8"/>
      <c r="C4657" s="8"/>
      <c r="D4657" s="8"/>
      <c r="E4657" s="8"/>
      <c r="F4657" s="8"/>
      <c r="G4657" s="10" t="str">
        <f aca="false">IF($A4657="","",UPPER(SUBSTITUTE(SUBSTITUTE(SUBSTITUTE(SUBSTITUTE($A4657," ",""),"(주)",""),"주식회사",""),"㈜","")))</f>
        <v/>
      </c>
      <c r="H4657" s="10" t="str">
        <f aca="false">IF($B4657="","",SUBSTITUTE(SUBSTITUTE(SUBSTITUTE($B4657,"-","")," ",""),".",""))</f>
        <v/>
      </c>
      <c r="I4657" s="10" t="str">
        <f aca="false">IF($D4657="","",SUBSTITUTE(SUBSTITUTE(SUBSTITUTE($D4657,"-","")," ",""),".",""))</f>
        <v/>
      </c>
      <c r="J4657" s="10" t="str">
        <f aca="false">IF($E4657="","",UPPER(SUBSTITUTE($E4657," ","")))</f>
        <v/>
      </c>
      <c r="K4657" s="10" t="str">
        <f aca="false">IF($A4657="","",$G4657&amp;"|"&amp;$J4657)</f>
        <v/>
      </c>
      <c r="L4657" s="10" t="str">
        <f aca="false">IF($A4657="","",ROW()-2)</f>
        <v/>
      </c>
      <c r="M4657" s="10" t="str">
        <f aca="false">IF($A4657="","",ROW())</f>
        <v/>
      </c>
    </row>
    <row r="4658" customFormat="false" ht="15" hidden="false" customHeight="true" outlineLevel="0" collapsed="false">
      <c r="A4658" s="8"/>
      <c r="B4658" s="8"/>
      <c r="C4658" s="8"/>
      <c r="D4658" s="8"/>
      <c r="E4658" s="8"/>
      <c r="F4658" s="8"/>
      <c r="G4658" s="10" t="str">
        <f aca="false">IF($A4658="","",UPPER(SUBSTITUTE(SUBSTITUTE(SUBSTITUTE(SUBSTITUTE($A4658," ",""),"(주)",""),"주식회사",""),"㈜","")))</f>
        <v/>
      </c>
      <c r="H4658" s="10" t="str">
        <f aca="false">IF($B4658="","",SUBSTITUTE(SUBSTITUTE(SUBSTITUTE($B4658,"-","")," ",""),".",""))</f>
        <v/>
      </c>
      <c r="I4658" s="10" t="str">
        <f aca="false">IF($D4658="","",SUBSTITUTE(SUBSTITUTE(SUBSTITUTE($D4658,"-","")," ",""),".",""))</f>
        <v/>
      </c>
      <c r="J4658" s="10" t="str">
        <f aca="false">IF($E4658="","",UPPER(SUBSTITUTE($E4658," ","")))</f>
        <v/>
      </c>
      <c r="K4658" s="10" t="str">
        <f aca="false">IF($A4658="","",$G4658&amp;"|"&amp;$J4658)</f>
        <v/>
      </c>
      <c r="L4658" s="10" t="str">
        <f aca="false">IF($A4658="","",ROW()-2)</f>
        <v/>
      </c>
      <c r="M4658" s="10" t="str">
        <f aca="false">IF($A4658="","",ROW())</f>
        <v/>
      </c>
    </row>
    <row r="4659" customFormat="false" ht="15" hidden="false" customHeight="true" outlineLevel="0" collapsed="false">
      <c r="A4659" s="8"/>
      <c r="B4659" s="8"/>
      <c r="C4659" s="8"/>
      <c r="D4659" s="8"/>
      <c r="E4659" s="8"/>
      <c r="F4659" s="8"/>
      <c r="G4659" s="10" t="str">
        <f aca="false">IF($A4659="","",UPPER(SUBSTITUTE(SUBSTITUTE(SUBSTITUTE(SUBSTITUTE($A4659," ",""),"(주)",""),"주식회사",""),"㈜","")))</f>
        <v/>
      </c>
      <c r="H4659" s="10" t="str">
        <f aca="false">IF($B4659="","",SUBSTITUTE(SUBSTITUTE(SUBSTITUTE($B4659,"-","")," ",""),".",""))</f>
        <v/>
      </c>
      <c r="I4659" s="10" t="str">
        <f aca="false">IF($D4659="","",SUBSTITUTE(SUBSTITUTE(SUBSTITUTE($D4659,"-","")," ",""),".",""))</f>
        <v/>
      </c>
      <c r="J4659" s="10" t="str">
        <f aca="false">IF($E4659="","",UPPER(SUBSTITUTE($E4659," ","")))</f>
        <v/>
      </c>
      <c r="K4659" s="10" t="str">
        <f aca="false">IF($A4659="","",$G4659&amp;"|"&amp;$J4659)</f>
        <v/>
      </c>
      <c r="L4659" s="10" t="str">
        <f aca="false">IF($A4659="","",ROW()-2)</f>
        <v/>
      </c>
      <c r="M4659" s="10" t="str">
        <f aca="false">IF($A4659="","",ROW())</f>
        <v/>
      </c>
    </row>
    <row r="4660" customFormat="false" ht="15" hidden="false" customHeight="true" outlineLevel="0" collapsed="false">
      <c r="A4660" s="8"/>
      <c r="B4660" s="8"/>
      <c r="C4660" s="8"/>
      <c r="D4660" s="8"/>
      <c r="E4660" s="8"/>
      <c r="F4660" s="8"/>
      <c r="G4660" s="10" t="str">
        <f aca="false">IF($A4660="","",UPPER(SUBSTITUTE(SUBSTITUTE(SUBSTITUTE(SUBSTITUTE($A4660," ",""),"(주)",""),"주식회사",""),"㈜","")))</f>
        <v/>
      </c>
      <c r="H4660" s="10" t="str">
        <f aca="false">IF($B4660="","",SUBSTITUTE(SUBSTITUTE(SUBSTITUTE($B4660,"-","")," ",""),".",""))</f>
        <v/>
      </c>
      <c r="I4660" s="10" t="str">
        <f aca="false">IF($D4660="","",SUBSTITUTE(SUBSTITUTE(SUBSTITUTE($D4660,"-","")," ",""),".",""))</f>
        <v/>
      </c>
      <c r="J4660" s="10" t="str">
        <f aca="false">IF($E4660="","",UPPER(SUBSTITUTE($E4660," ","")))</f>
        <v/>
      </c>
      <c r="K4660" s="10" t="str">
        <f aca="false">IF($A4660="","",$G4660&amp;"|"&amp;$J4660)</f>
        <v/>
      </c>
      <c r="L4660" s="10" t="str">
        <f aca="false">IF($A4660="","",ROW()-2)</f>
        <v/>
      </c>
      <c r="M4660" s="10" t="str">
        <f aca="false">IF($A4660="","",ROW())</f>
        <v/>
      </c>
    </row>
    <row r="4661" customFormat="false" ht="15" hidden="false" customHeight="true" outlineLevel="0" collapsed="false">
      <c r="A4661" s="8"/>
      <c r="B4661" s="8"/>
      <c r="C4661" s="8"/>
      <c r="D4661" s="8"/>
      <c r="E4661" s="8"/>
      <c r="F4661" s="8"/>
      <c r="G4661" s="10" t="str">
        <f aca="false">IF($A4661="","",UPPER(SUBSTITUTE(SUBSTITUTE(SUBSTITUTE(SUBSTITUTE($A4661," ",""),"(주)",""),"주식회사",""),"㈜","")))</f>
        <v/>
      </c>
      <c r="H4661" s="10" t="str">
        <f aca="false">IF($B4661="","",SUBSTITUTE(SUBSTITUTE(SUBSTITUTE($B4661,"-","")," ",""),".",""))</f>
        <v/>
      </c>
      <c r="I4661" s="10" t="str">
        <f aca="false">IF($D4661="","",SUBSTITUTE(SUBSTITUTE(SUBSTITUTE($D4661,"-","")," ",""),".",""))</f>
        <v/>
      </c>
      <c r="J4661" s="10" t="str">
        <f aca="false">IF($E4661="","",UPPER(SUBSTITUTE($E4661," ","")))</f>
        <v/>
      </c>
      <c r="K4661" s="10" t="str">
        <f aca="false">IF($A4661="","",$G4661&amp;"|"&amp;$J4661)</f>
        <v/>
      </c>
      <c r="L4661" s="10" t="str">
        <f aca="false">IF($A4661="","",ROW()-2)</f>
        <v/>
      </c>
      <c r="M4661" s="10" t="str">
        <f aca="false">IF($A4661="","",ROW())</f>
        <v/>
      </c>
    </row>
    <row r="4662" customFormat="false" ht="15" hidden="false" customHeight="true" outlineLevel="0" collapsed="false">
      <c r="A4662" s="8"/>
      <c r="B4662" s="8"/>
      <c r="C4662" s="8"/>
      <c r="D4662" s="8"/>
      <c r="E4662" s="8"/>
      <c r="F4662" s="8"/>
      <c r="G4662" s="10" t="str">
        <f aca="false">IF($A4662="","",UPPER(SUBSTITUTE(SUBSTITUTE(SUBSTITUTE(SUBSTITUTE($A4662," ",""),"(주)",""),"주식회사",""),"㈜","")))</f>
        <v/>
      </c>
      <c r="H4662" s="10" t="str">
        <f aca="false">IF($B4662="","",SUBSTITUTE(SUBSTITUTE(SUBSTITUTE($B4662,"-","")," ",""),".",""))</f>
        <v/>
      </c>
      <c r="I4662" s="10" t="str">
        <f aca="false">IF($D4662="","",SUBSTITUTE(SUBSTITUTE(SUBSTITUTE($D4662,"-","")," ",""),".",""))</f>
        <v/>
      </c>
      <c r="J4662" s="10" t="str">
        <f aca="false">IF($E4662="","",UPPER(SUBSTITUTE($E4662," ","")))</f>
        <v/>
      </c>
      <c r="K4662" s="10" t="str">
        <f aca="false">IF($A4662="","",$G4662&amp;"|"&amp;$J4662)</f>
        <v/>
      </c>
      <c r="L4662" s="10" t="str">
        <f aca="false">IF($A4662="","",ROW()-2)</f>
        <v/>
      </c>
      <c r="M4662" s="10" t="str">
        <f aca="false">IF($A4662="","",ROW())</f>
        <v/>
      </c>
    </row>
    <row r="4663" customFormat="false" ht="15" hidden="false" customHeight="true" outlineLevel="0" collapsed="false">
      <c r="A4663" s="8"/>
      <c r="B4663" s="8"/>
      <c r="C4663" s="8"/>
      <c r="D4663" s="8"/>
      <c r="E4663" s="8"/>
      <c r="F4663" s="8"/>
      <c r="G4663" s="10" t="str">
        <f aca="false">IF($A4663="","",UPPER(SUBSTITUTE(SUBSTITUTE(SUBSTITUTE(SUBSTITUTE($A4663," ",""),"(주)",""),"주식회사",""),"㈜","")))</f>
        <v/>
      </c>
      <c r="H4663" s="10" t="str">
        <f aca="false">IF($B4663="","",SUBSTITUTE(SUBSTITUTE(SUBSTITUTE($B4663,"-","")," ",""),".",""))</f>
        <v/>
      </c>
      <c r="I4663" s="10" t="str">
        <f aca="false">IF($D4663="","",SUBSTITUTE(SUBSTITUTE(SUBSTITUTE($D4663,"-","")," ",""),".",""))</f>
        <v/>
      </c>
      <c r="J4663" s="10" t="str">
        <f aca="false">IF($E4663="","",UPPER(SUBSTITUTE($E4663," ","")))</f>
        <v/>
      </c>
      <c r="K4663" s="10" t="str">
        <f aca="false">IF($A4663="","",$G4663&amp;"|"&amp;$J4663)</f>
        <v/>
      </c>
      <c r="L4663" s="10" t="str">
        <f aca="false">IF($A4663="","",ROW()-2)</f>
        <v/>
      </c>
      <c r="M4663" s="10" t="str">
        <f aca="false">IF($A4663="","",ROW())</f>
        <v/>
      </c>
    </row>
    <row r="4664" customFormat="false" ht="15" hidden="false" customHeight="true" outlineLevel="0" collapsed="false">
      <c r="A4664" s="8"/>
      <c r="B4664" s="8"/>
      <c r="C4664" s="8"/>
      <c r="D4664" s="8"/>
      <c r="E4664" s="8"/>
      <c r="F4664" s="8"/>
      <c r="G4664" s="10" t="str">
        <f aca="false">IF($A4664="","",UPPER(SUBSTITUTE(SUBSTITUTE(SUBSTITUTE(SUBSTITUTE($A4664," ",""),"(주)",""),"주식회사",""),"㈜","")))</f>
        <v/>
      </c>
      <c r="H4664" s="10" t="str">
        <f aca="false">IF($B4664="","",SUBSTITUTE(SUBSTITUTE(SUBSTITUTE($B4664,"-","")," ",""),".",""))</f>
        <v/>
      </c>
      <c r="I4664" s="10" t="str">
        <f aca="false">IF($D4664="","",SUBSTITUTE(SUBSTITUTE(SUBSTITUTE($D4664,"-","")," ",""),".",""))</f>
        <v/>
      </c>
      <c r="J4664" s="10" t="str">
        <f aca="false">IF($E4664="","",UPPER(SUBSTITUTE($E4664," ","")))</f>
        <v/>
      </c>
      <c r="K4664" s="10" t="str">
        <f aca="false">IF($A4664="","",$G4664&amp;"|"&amp;$J4664)</f>
        <v/>
      </c>
      <c r="L4664" s="10" t="str">
        <f aca="false">IF($A4664="","",ROW()-2)</f>
        <v/>
      </c>
      <c r="M4664" s="10" t="str">
        <f aca="false">IF($A4664="","",ROW())</f>
        <v/>
      </c>
    </row>
    <row r="4665" customFormat="false" ht="15" hidden="false" customHeight="true" outlineLevel="0" collapsed="false">
      <c r="A4665" s="8"/>
      <c r="B4665" s="8"/>
      <c r="C4665" s="8"/>
      <c r="D4665" s="8"/>
      <c r="E4665" s="8"/>
      <c r="F4665" s="8"/>
      <c r="G4665" s="10" t="str">
        <f aca="false">IF($A4665="","",UPPER(SUBSTITUTE(SUBSTITUTE(SUBSTITUTE(SUBSTITUTE($A4665," ",""),"(주)",""),"주식회사",""),"㈜","")))</f>
        <v/>
      </c>
      <c r="H4665" s="10" t="str">
        <f aca="false">IF($B4665="","",SUBSTITUTE(SUBSTITUTE(SUBSTITUTE($B4665,"-","")," ",""),".",""))</f>
        <v/>
      </c>
      <c r="I4665" s="10" t="str">
        <f aca="false">IF($D4665="","",SUBSTITUTE(SUBSTITUTE(SUBSTITUTE($D4665,"-","")," ",""),".",""))</f>
        <v/>
      </c>
      <c r="J4665" s="10" t="str">
        <f aca="false">IF($E4665="","",UPPER(SUBSTITUTE($E4665," ","")))</f>
        <v/>
      </c>
      <c r="K4665" s="10" t="str">
        <f aca="false">IF($A4665="","",$G4665&amp;"|"&amp;$J4665)</f>
        <v/>
      </c>
      <c r="L4665" s="10" t="str">
        <f aca="false">IF($A4665="","",ROW()-2)</f>
        <v/>
      </c>
      <c r="M4665" s="10" t="str">
        <f aca="false">IF($A4665="","",ROW())</f>
        <v/>
      </c>
    </row>
    <row r="4666" customFormat="false" ht="15" hidden="false" customHeight="true" outlineLevel="0" collapsed="false">
      <c r="A4666" s="8"/>
      <c r="B4666" s="8"/>
      <c r="C4666" s="8"/>
      <c r="D4666" s="8"/>
      <c r="E4666" s="8"/>
      <c r="F4666" s="8"/>
      <c r="G4666" s="10" t="str">
        <f aca="false">IF($A4666="","",UPPER(SUBSTITUTE(SUBSTITUTE(SUBSTITUTE(SUBSTITUTE($A4666," ",""),"(주)",""),"주식회사",""),"㈜","")))</f>
        <v/>
      </c>
      <c r="H4666" s="10" t="str">
        <f aca="false">IF($B4666="","",SUBSTITUTE(SUBSTITUTE(SUBSTITUTE($B4666,"-","")," ",""),".",""))</f>
        <v/>
      </c>
      <c r="I4666" s="10" t="str">
        <f aca="false">IF($D4666="","",SUBSTITUTE(SUBSTITUTE(SUBSTITUTE($D4666,"-","")," ",""),".",""))</f>
        <v/>
      </c>
      <c r="J4666" s="10" t="str">
        <f aca="false">IF($E4666="","",UPPER(SUBSTITUTE($E4666," ","")))</f>
        <v/>
      </c>
      <c r="K4666" s="10" t="str">
        <f aca="false">IF($A4666="","",$G4666&amp;"|"&amp;$J4666)</f>
        <v/>
      </c>
      <c r="L4666" s="10" t="str">
        <f aca="false">IF($A4666="","",ROW()-2)</f>
        <v/>
      </c>
      <c r="M4666" s="10" t="str">
        <f aca="false">IF($A4666="","",ROW())</f>
        <v/>
      </c>
    </row>
    <row r="4667" customFormat="false" ht="15" hidden="false" customHeight="true" outlineLevel="0" collapsed="false">
      <c r="A4667" s="8"/>
      <c r="B4667" s="8"/>
      <c r="C4667" s="8"/>
      <c r="D4667" s="8"/>
      <c r="E4667" s="8"/>
      <c r="F4667" s="8"/>
      <c r="G4667" s="10" t="str">
        <f aca="false">IF($A4667="","",UPPER(SUBSTITUTE(SUBSTITUTE(SUBSTITUTE(SUBSTITUTE($A4667," ",""),"(주)",""),"주식회사",""),"㈜","")))</f>
        <v/>
      </c>
      <c r="H4667" s="10" t="str">
        <f aca="false">IF($B4667="","",SUBSTITUTE(SUBSTITUTE(SUBSTITUTE($B4667,"-","")," ",""),".",""))</f>
        <v/>
      </c>
      <c r="I4667" s="10" t="str">
        <f aca="false">IF($D4667="","",SUBSTITUTE(SUBSTITUTE(SUBSTITUTE($D4667,"-","")," ",""),".",""))</f>
        <v/>
      </c>
      <c r="J4667" s="10" t="str">
        <f aca="false">IF($E4667="","",UPPER(SUBSTITUTE($E4667," ","")))</f>
        <v/>
      </c>
      <c r="K4667" s="10" t="str">
        <f aca="false">IF($A4667="","",$G4667&amp;"|"&amp;$J4667)</f>
        <v/>
      </c>
      <c r="L4667" s="10" t="str">
        <f aca="false">IF($A4667="","",ROW()-2)</f>
        <v/>
      </c>
      <c r="M4667" s="10" t="str">
        <f aca="false">IF($A4667="","",ROW())</f>
        <v/>
      </c>
    </row>
    <row r="4668" customFormat="false" ht="15" hidden="false" customHeight="true" outlineLevel="0" collapsed="false">
      <c r="A4668" s="8"/>
      <c r="B4668" s="8"/>
      <c r="C4668" s="8"/>
      <c r="D4668" s="8"/>
      <c r="E4668" s="8"/>
      <c r="F4668" s="8"/>
      <c r="G4668" s="10" t="str">
        <f aca="false">IF($A4668="","",UPPER(SUBSTITUTE(SUBSTITUTE(SUBSTITUTE(SUBSTITUTE($A4668," ",""),"(주)",""),"주식회사",""),"㈜","")))</f>
        <v/>
      </c>
      <c r="H4668" s="10" t="str">
        <f aca="false">IF($B4668="","",SUBSTITUTE(SUBSTITUTE(SUBSTITUTE($B4668,"-","")," ",""),".",""))</f>
        <v/>
      </c>
      <c r="I4668" s="10" t="str">
        <f aca="false">IF($D4668="","",SUBSTITUTE(SUBSTITUTE(SUBSTITUTE($D4668,"-","")," ",""),".",""))</f>
        <v/>
      </c>
      <c r="J4668" s="10" t="str">
        <f aca="false">IF($E4668="","",UPPER(SUBSTITUTE($E4668," ","")))</f>
        <v/>
      </c>
      <c r="K4668" s="10" t="str">
        <f aca="false">IF($A4668="","",$G4668&amp;"|"&amp;$J4668)</f>
        <v/>
      </c>
      <c r="L4668" s="10" t="str">
        <f aca="false">IF($A4668="","",ROW()-2)</f>
        <v/>
      </c>
      <c r="M4668" s="10" t="str">
        <f aca="false">IF($A4668="","",ROW())</f>
        <v/>
      </c>
    </row>
    <row r="4669" customFormat="false" ht="15" hidden="false" customHeight="true" outlineLevel="0" collapsed="false">
      <c r="A4669" s="8"/>
      <c r="B4669" s="8"/>
      <c r="C4669" s="8"/>
      <c r="D4669" s="8"/>
      <c r="E4669" s="8"/>
      <c r="F4669" s="8"/>
      <c r="G4669" s="10" t="str">
        <f aca="false">IF($A4669="","",UPPER(SUBSTITUTE(SUBSTITUTE(SUBSTITUTE(SUBSTITUTE($A4669," ",""),"(주)",""),"주식회사",""),"㈜","")))</f>
        <v/>
      </c>
      <c r="H4669" s="10" t="str">
        <f aca="false">IF($B4669="","",SUBSTITUTE(SUBSTITUTE(SUBSTITUTE($B4669,"-","")," ",""),".",""))</f>
        <v/>
      </c>
      <c r="I4669" s="10" t="str">
        <f aca="false">IF($D4669="","",SUBSTITUTE(SUBSTITUTE(SUBSTITUTE($D4669,"-","")," ",""),".",""))</f>
        <v/>
      </c>
      <c r="J4669" s="10" t="str">
        <f aca="false">IF($E4669="","",UPPER(SUBSTITUTE($E4669," ","")))</f>
        <v/>
      </c>
      <c r="K4669" s="10" t="str">
        <f aca="false">IF($A4669="","",$G4669&amp;"|"&amp;$J4669)</f>
        <v/>
      </c>
      <c r="L4669" s="10" t="str">
        <f aca="false">IF($A4669="","",ROW()-2)</f>
        <v/>
      </c>
      <c r="M4669" s="10" t="str">
        <f aca="false">IF($A4669="","",ROW())</f>
        <v/>
      </c>
    </row>
    <row r="4670" customFormat="false" ht="15" hidden="false" customHeight="true" outlineLevel="0" collapsed="false">
      <c r="A4670" s="8"/>
      <c r="B4670" s="8"/>
      <c r="C4670" s="8"/>
      <c r="D4670" s="8"/>
      <c r="E4670" s="8"/>
      <c r="F4670" s="8"/>
      <c r="G4670" s="10" t="str">
        <f aca="false">IF($A4670="","",UPPER(SUBSTITUTE(SUBSTITUTE(SUBSTITUTE(SUBSTITUTE($A4670," ",""),"(주)",""),"주식회사",""),"㈜","")))</f>
        <v/>
      </c>
      <c r="H4670" s="10" t="str">
        <f aca="false">IF($B4670="","",SUBSTITUTE(SUBSTITUTE(SUBSTITUTE($B4670,"-","")," ",""),".",""))</f>
        <v/>
      </c>
      <c r="I4670" s="10" t="str">
        <f aca="false">IF($D4670="","",SUBSTITUTE(SUBSTITUTE(SUBSTITUTE($D4670,"-","")," ",""),".",""))</f>
        <v/>
      </c>
      <c r="J4670" s="10" t="str">
        <f aca="false">IF($E4670="","",UPPER(SUBSTITUTE($E4670," ","")))</f>
        <v/>
      </c>
      <c r="K4670" s="10" t="str">
        <f aca="false">IF($A4670="","",$G4670&amp;"|"&amp;$J4670)</f>
        <v/>
      </c>
      <c r="L4670" s="10" t="str">
        <f aca="false">IF($A4670="","",ROW()-2)</f>
        <v/>
      </c>
      <c r="M4670" s="10" t="str">
        <f aca="false">IF($A4670="","",ROW())</f>
        <v/>
      </c>
    </row>
    <row r="4671" customFormat="false" ht="15" hidden="false" customHeight="true" outlineLevel="0" collapsed="false">
      <c r="A4671" s="8"/>
      <c r="B4671" s="8"/>
      <c r="C4671" s="8"/>
      <c r="D4671" s="8"/>
      <c r="E4671" s="8"/>
      <c r="F4671" s="8"/>
      <c r="G4671" s="10" t="str">
        <f aca="false">IF($A4671="","",UPPER(SUBSTITUTE(SUBSTITUTE(SUBSTITUTE(SUBSTITUTE($A4671," ",""),"(주)",""),"주식회사",""),"㈜","")))</f>
        <v/>
      </c>
      <c r="H4671" s="10" t="str">
        <f aca="false">IF($B4671="","",SUBSTITUTE(SUBSTITUTE(SUBSTITUTE($B4671,"-","")," ",""),".",""))</f>
        <v/>
      </c>
      <c r="I4671" s="10" t="str">
        <f aca="false">IF($D4671="","",SUBSTITUTE(SUBSTITUTE(SUBSTITUTE($D4671,"-","")," ",""),".",""))</f>
        <v/>
      </c>
      <c r="J4671" s="10" t="str">
        <f aca="false">IF($E4671="","",UPPER(SUBSTITUTE($E4671," ","")))</f>
        <v/>
      </c>
      <c r="K4671" s="10" t="str">
        <f aca="false">IF($A4671="","",$G4671&amp;"|"&amp;$J4671)</f>
        <v/>
      </c>
      <c r="L4671" s="10" t="str">
        <f aca="false">IF($A4671="","",ROW()-2)</f>
        <v/>
      </c>
      <c r="M4671" s="10" t="str">
        <f aca="false">IF($A4671="","",ROW())</f>
        <v/>
      </c>
    </row>
    <row r="4672" customFormat="false" ht="15" hidden="false" customHeight="true" outlineLevel="0" collapsed="false">
      <c r="A4672" s="8"/>
      <c r="B4672" s="8"/>
      <c r="C4672" s="8"/>
      <c r="D4672" s="8"/>
      <c r="E4672" s="8"/>
      <c r="F4672" s="8"/>
      <c r="G4672" s="10" t="str">
        <f aca="false">IF($A4672="","",UPPER(SUBSTITUTE(SUBSTITUTE(SUBSTITUTE(SUBSTITUTE($A4672," ",""),"(주)",""),"주식회사",""),"㈜","")))</f>
        <v/>
      </c>
      <c r="H4672" s="10" t="str">
        <f aca="false">IF($B4672="","",SUBSTITUTE(SUBSTITUTE(SUBSTITUTE($B4672,"-","")," ",""),".",""))</f>
        <v/>
      </c>
      <c r="I4672" s="10" t="str">
        <f aca="false">IF($D4672="","",SUBSTITUTE(SUBSTITUTE(SUBSTITUTE($D4672,"-","")," ",""),".",""))</f>
        <v/>
      </c>
      <c r="J4672" s="10" t="str">
        <f aca="false">IF($E4672="","",UPPER(SUBSTITUTE($E4672," ","")))</f>
        <v/>
      </c>
      <c r="K4672" s="10" t="str">
        <f aca="false">IF($A4672="","",$G4672&amp;"|"&amp;$J4672)</f>
        <v/>
      </c>
      <c r="L4672" s="10" t="str">
        <f aca="false">IF($A4672="","",ROW()-2)</f>
        <v/>
      </c>
      <c r="M4672" s="10" t="str">
        <f aca="false">IF($A4672="","",ROW())</f>
        <v/>
      </c>
    </row>
    <row r="4673" customFormat="false" ht="15" hidden="false" customHeight="true" outlineLevel="0" collapsed="false">
      <c r="A4673" s="8"/>
      <c r="B4673" s="8"/>
      <c r="C4673" s="8"/>
      <c r="D4673" s="8"/>
      <c r="E4673" s="8"/>
      <c r="F4673" s="8"/>
      <c r="G4673" s="10" t="str">
        <f aca="false">IF($A4673="","",UPPER(SUBSTITUTE(SUBSTITUTE(SUBSTITUTE(SUBSTITUTE($A4673," ",""),"(주)",""),"주식회사",""),"㈜","")))</f>
        <v/>
      </c>
      <c r="H4673" s="10" t="str">
        <f aca="false">IF($B4673="","",SUBSTITUTE(SUBSTITUTE(SUBSTITUTE($B4673,"-","")," ",""),".",""))</f>
        <v/>
      </c>
      <c r="I4673" s="10" t="str">
        <f aca="false">IF($D4673="","",SUBSTITUTE(SUBSTITUTE(SUBSTITUTE($D4673,"-","")," ",""),".",""))</f>
        <v/>
      </c>
      <c r="J4673" s="10" t="str">
        <f aca="false">IF($E4673="","",UPPER(SUBSTITUTE($E4673," ","")))</f>
        <v/>
      </c>
      <c r="K4673" s="10" t="str">
        <f aca="false">IF($A4673="","",$G4673&amp;"|"&amp;$J4673)</f>
        <v/>
      </c>
      <c r="L4673" s="10" t="str">
        <f aca="false">IF($A4673="","",ROW()-2)</f>
        <v/>
      </c>
      <c r="M4673" s="10" t="str">
        <f aca="false">IF($A4673="","",ROW())</f>
        <v/>
      </c>
    </row>
    <row r="4674" customFormat="false" ht="15" hidden="false" customHeight="true" outlineLevel="0" collapsed="false">
      <c r="A4674" s="8"/>
      <c r="B4674" s="8"/>
      <c r="C4674" s="8"/>
      <c r="D4674" s="8"/>
      <c r="E4674" s="8"/>
      <c r="F4674" s="8"/>
      <c r="G4674" s="10" t="str">
        <f aca="false">IF($A4674="","",UPPER(SUBSTITUTE(SUBSTITUTE(SUBSTITUTE(SUBSTITUTE($A4674," ",""),"(주)",""),"주식회사",""),"㈜","")))</f>
        <v/>
      </c>
      <c r="H4674" s="10" t="str">
        <f aca="false">IF($B4674="","",SUBSTITUTE(SUBSTITUTE(SUBSTITUTE($B4674,"-","")," ",""),".",""))</f>
        <v/>
      </c>
      <c r="I4674" s="10" t="str">
        <f aca="false">IF($D4674="","",SUBSTITUTE(SUBSTITUTE(SUBSTITUTE($D4674,"-","")," ",""),".",""))</f>
        <v/>
      </c>
      <c r="J4674" s="10" t="str">
        <f aca="false">IF($E4674="","",UPPER(SUBSTITUTE($E4674," ","")))</f>
        <v/>
      </c>
      <c r="K4674" s="10" t="str">
        <f aca="false">IF($A4674="","",$G4674&amp;"|"&amp;$J4674)</f>
        <v/>
      </c>
      <c r="L4674" s="10" t="str">
        <f aca="false">IF($A4674="","",ROW()-2)</f>
        <v/>
      </c>
      <c r="M4674" s="10" t="str">
        <f aca="false">IF($A4674="","",ROW())</f>
        <v/>
      </c>
    </row>
    <row r="4675" customFormat="false" ht="15" hidden="false" customHeight="true" outlineLevel="0" collapsed="false">
      <c r="A4675" s="8"/>
      <c r="B4675" s="8"/>
      <c r="C4675" s="8"/>
      <c r="D4675" s="8"/>
      <c r="E4675" s="8"/>
      <c r="F4675" s="8"/>
      <c r="G4675" s="10" t="str">
        <f aca="false">IF($A4675="","",UPPER(SUBSTITUTE(SUBSTITUTE(SUBSTITUTE(SUBSTITUTE($A4675," ",""),"(주)",""),"주식회사",""),"㈜","")))</f>
        <v/>
      </c>
      <c r="H4675" s="10" t="str">
        <f aca="false">IF($B4675="","",SUBSTITUTE(SUBSTITUTE(SUBSTITUTE($B4675,"-","")," ",""),".",""))</f>
        <v/>
      </c>
      <c r="I4675" s="10" t="str">
        <f aca="false">IF($D4675="","",SUBSTITUTE(SUBSTITUTE(SUBSTITUTE($D4675,"-","")," ",""),".",""))</f>
        <v/>
      </c>
      <c r="J4675" s="10" t="str">
        <f aca="false">IF($E4675="","",UPPER(SUBSTITUTE($E4675," ","")))</f>
        <v/>
      </c>
      <c r="K4675" s="10" t="str">
        <f aca="false">IF($A4675="","",$G4675&amp;"|"&amp;$J4675)</f>
        <v/>
      </c>
      <c r="L4675" s="10" t="str">
        <f aca="false">IF($A4675="","",ROW()-2)</f>
        <v/>
      </c>
      <c r="M4675" s="10" t="str">
        <f aca="false">IF($A4675="","",ROW())</f>
        <v/>
      </c>
    </row>
    <row r="4676" customFormat="false" ht="15" hidden="false" customHeight="true" outlineLevel="0" collapsed="false">
      <c r="A4676" s="8"/>
      <c r="B4676" s="8"/>
      <c r="C4676" s="8"/>
      <c r="D4676" s="8"/>
      <c r="E4676" s="8"/>
      <c r="F4676" s="8"/>
      <c r="G4676" s="10" t="str">
        <f aca="false">IF($A4676="","",UPPER(SUBSTITUTE(SUBSTITUTE(SUBSTITUTE(SUBSTITUTE($A4676," ",""),"(주)",""),"주식회사",""),"㈜","")))</f>
        <v/>
      </c>
      <c r="H4676" s="10" t="str">
        <f aca="false">IF($B4676="","",SUBSTITUTE(SUBSTITUTE(SUBSTITUTE($B4676,"-","")," ",""),".",""))</f>
        <v/>
      </c>
      <c r="I4676" s="10" t="str">
        <f aca="false">IF($D4676="","",SUBSTITUTE(SUBSTITUTE(SUBSTITUTE($D4676,"-","")," ",""),".",""))</f>
        <v/>
      </c>
      <c r="J4676" s="10" t="str">
        <f aca="false">IF($E4676="","",UPPER(SUBSTITUTE($E4676," ","")))</f>
        <v/>
      </c>
      <c r="K4676" s="10" t="str">
        <f aca="false">IF($A4676="","",$G4676&amp;"|"&amp;$J4676)</f>
        <v/>
      </c>
      <c r="L4676" s="10" t="str">
        <f aca="false">IF($A4676="","",ROW()-2)</f>
        <v/>
      </c>
      <c r="M4676" s="10" t="str">
        <f aca="false">IF($A4676="","",ROW())</f>
        <v/>
      </c>
    </row>
    <row r="4677" customFormat="false" ht="15" hidden="false" customHeight="true" outlineLevel="0" collapsed="false">
      <c r="A4677" s="8"/>
      <c r="B4677" s="8"/>
      <c r="C4677" s="8"/>
      <c r="D4677" s="8"/>
      <c r="E4677" s="8"/>
      <c r="F4677" s="8"/>
      <c r="G4677" s="10" t="str">
        <f aca="false">IF($A4677="","",UPPER(SUBSTITUTE(SUBSTITUTE(SUBSTITUTE(SUBSTITUTE($A4677," ",""),"(주)",""),"주식회사",""),"㈜","")))</f>
        <v/>
      </c>
      <c r="H4677" s="10" t="str">
        <f aca="false">IF($B4677="","",SUBSTITUTE(SUBSTITUTE(SUBSTITUTE($B4677,"-","")," ",""),".",""))</f>
        <v/>
      </c>
      <c r="I4677" s="10" t="str">
        <f aca="false">IF($D4677="","",SUBSTITUTE(SUBSTITUTE(SUBSTITUTE($D4677,"-","")," ",""),".",""))</f>
        <v/>
      </c>
      <c r="J4677" s="10" t="str">
        <f aca="false">IF($E4677="","",UPPER(SUBSTITUTE($E4677," ","")))</f>
        <v/>
      </c>
      <c r="K4677" s="10" t="str">
        <f aca="false">IF($A4677="","",$G4677&amp;"|"&amp;$J4677)</f>
        <v/>
      </c>
      <c r="L4677" s="10" t="str">
        <f aca="false">IF($A4677="","",ROW()-2)</f>
        <v/>
      </c>
      <c r="M4677" s="10" t="str">
        <f aca="false">IF($A4677="","",ROW())</f>
        <v/>
      </c>
    </row>
    <row r="4678" customFormat="false" ht="15" hidden="false" customHeight="true" outlineLevel="0" collapsed="false">
      <c r="A4678" s="8"/>
      <c r="B4678" s="8"/>
      <c r="C4678" s="8"/>
      <c r="D4678" s="8"/>
      <c r="E4678" s="8"/>
      <c r="F4678" s="8"/>
      <c r="G4678" s="10" t="str">
        <f aca="false">IF($A4678="","",UPPER(SUBSTITUTE(SUBSTITUTE(SUBSTITUTE(SUBSTITUTE($A4678," ",""),"(주)",""),"주식회사",""),"㈜","")))</f>
        <v/>
      </c>
      <c r="H4678" s="10" t="str">
        <f aca="false">IF($B4678="","",SUBSTITUTE(SUBSTITUTE(SUBSTITUTE($B4678,"-","")," ",""),".",""))</f>
        <v/>
      </c>
      <c r="I4678" s="10" t="str">
        <f aca="false">IF($D4678="","",SUBSTITUTE(SUBSTITUTE(SUBSTITUTE($D4678,"-","")," ",""),".",""))</f>
        <v/>
      </c>
      <c r="J4678" s="10" t="str">
        <f aca="false">IF($E4678="","",UPPER(SUBSTITUTE($E4678," ","")))</f>
        <v/>
      </c>
      <c r="K4678" s="10" t="str">
        <f aca="false">IF($A4678="","",$G4678&amp;"|"&amp;$J4678)</f>
        <v/>
      </c>
      <c r="L4678" s="10" t="str">
        <f aca="false">IF($A4678="","",ROW()-2)</f>
        <v/>
      </c>
      <c r="M4678" s="10" t="str">
        <f aca="false">IF($A4678="","",ROW())</f>
        <v/>
      </c>
    </row>
    <row r="4679" customFormat="false" ht="15" hidden="false" customHeight="true" outlineLevel="0" collapsed="false">
      <c r="A4679" s="8"/>
      <c r="B4679" s="8"/>
      <c r="C4679" s="8"/>
      <c r="D4679" s="8"/>
      <c r="E4679" s="8"/>
      <c r="F4679" s="8"/>
      <c r="G4679" s="10" t="str">
        <f aca="false">IF($A4679="","",UPPER(SUBSTITUTE(SUBSTITUTE(SUBSTITUTE(SUBSTITUTE($A4679," ",""),"(주)",""),"주식회사",""),"㈜","")))</f>
        <v/>
      </c>
      <c r="H4679" s="10" t="str">
        <f aca="false">IF($B4679="","",SUBSTITUTE(SUBSTITUTE(SUBSTITUTE($B4679,"-","")," ",""),".",""))</f>
        <v/>
      </c>
      <c r="I4679" s="10" t="str">
        <f aca="false">IF($D4679="","",SUBSTITUTE(SUBSTITUTE(SUBSTITUTE($D4679,"-","")," ",""),".",""))</f>
        <v/>
      </c>
      <c r="J4679" s="10" t="str">
        <f aca="false">IF($E4679="","",UPPER(SUBSTITUTE($E4679," ","")))</f>
        <v/>
      </c>
      <c r="K4679" s="10" t="str">
        <f aca="false">IF($A4679="","",$G4679&amp;"|"&amp;$J4679)</f>
        <v/>
      </c>
      <c r="L4679" s="10" t="str">
        <f aca="false">IF($A4679="","",ROW()-2)</f>
        <v/>
      </c>
      <c r="M4679" s="10" t="str">
        <f aca="false">IF($A4679="","",ROW())</f>
        <v/>
      </c>
    </row>
    <row r="4680" customFormat="false" ht="15" hidden="false" customHeight="true" outlineLevel="0" collapsed="false">
      <c r="A4680" s="8"/>
      <c r="B4680" s="8"/>
      <c r="C4680" s="8"/>
      <c r="D4680" s="8"/>
      <c r="E4680" s="8"/>
      <c r="F4680" s="8"/>
      <c r="G4680" s="10" t="str">
        <f aca="false">IF($A4680="","",UPPER(SUBSTITUTE(SUBSTITUTE(SUBSTITUTE(SUBSTITUTE($A4680," ",""),"(주)",""),"주식회사",""),"㈜","")))</f>
        <v/>
      </c>
      <c r="H4680" s="10" t="str">
        <f aca="false">IF($B4680="","",SUBSTITUTE(SUBSTITUTE(SUBSTITUTE($B4680,"-","")," ",""),".",""))</f>
        <v/>
      </c>
      <c r="I4680" s="10" t="str">
        <f aca="false">IF($D4680="","",SUBSTITUTE(SUBSTITUTE(SUBSTITUTE($D4680,"-","")," ",""),".",""))</f>
        <v/>
      </c>
      <c r="J4680" s="10" t="str">
        <f aca="false">IF($E4680="","",UPPER(SUBSTITUTE($E4680," ","")))</f>
        <v/>
      </c>
      <c r="K4680" s="10" t="str">
        <f aca="false">IF($A4680="","",$G4680&amp;"|"&amp;$J4680)</f>
        <v/>
      </c>
      <c r="L4680" s="10" t="str">
        <f aca="false">IF($A4680="","",ROW()-2)</f>
        <v/>
      </c>
      <c r="M4680" s="10" t="str">
        <f aca="false">IF($A4680="","",ROW())</f>
        <v/>
      </c>
    </row>
    <row r="4681" customFormat="false" ht="15" hidden="false" customHeight="true" outlineLevel="0" collapsed="false">
      <c r="A4681" s="8"/>
      <c r="B4681" s="8"/>
      <c r="C4681" s="8"/>
      <c r="D4681" s="8"/>
      <c r="E4681" s="8"/>
      <c r="F4681" s="8"/>
      <c r="G4681" s="10" t="str">
        <f aca="false">IF($A4681="","",UPPER(SUBSTITUTE(SUBSTITUTE(SUBSTITUTE(SUBSTITUTE($A4681," ",""),"(주)",""),"주식회사",""),"㈜","")))</f>
        <v/>
      </c>
      <c r="H4681" s="10" t="str">
        <f aca="false">IF($B4681="","",SUBSTITUTE(SUBSTITUTE(SUBSTITUTE($B4681,"-","")," ",""),".",""))</f>
        <v/>
      </c>
      <c r="I4681" s="10" t="str">
        <f aca="false">IF($D4681="","",SUBSTITUTE(SUBSTITUTE(SUBSTITUTE($D4681,"-","")," ",""),".",""))</f>
        <v/>
      </c>
      <c r="J4681" s="10" t="str">
        <f aca="false">IF($E4681="","",UPPER(SUBSTITUTE($E4681," ","")))</f>
        <v/>
      </c>
      <c r="K4681" s="10" t="str">
        <f aca="false">IF($A4681="","",$G4681&amp;"|"&amp;$J4681)</f>
        <v/>
      </c>
      <c r="L4681" s="10" t="str">
        <f aca="false">IF($A4681="","",ROW()-2)</f>
        <v/>
      </c>
      <c r="M4681" s="10" t="str">
        <f aca="false">IF($A4681="","",ROW())</f>
        <v/>
      </c>
    </row>
    <row r="4682" customFormat="false" ht="15" hidden="false" customHeight="true" outlineLevel="0" collapsed="false">
      <c r="A4682" s="8"/>
      <c r="B4682" s="8"/>
      <c r="C4682" s="8"/>
      <c r="D4682" s="8"/>
      <c r="E4682" s="8"/>
      <c r="F4682" s="8"/>
      <c r="G4682" s="10" t="str">
        <f aca="false">IF($A4682="","",UPPER(SUBSTITUTE(SUBSTITUTE(SUBSTITUTE(SUBSTITUTE($A4682," ",""),"(주)",""),"주식회사",""),"㈜","")))</f>
        <v/>
      </c>
      <c r="H4682" s="10" t="str">
        <f aca="false">IF($B4682="","",SUBSTITUTE(SUBSTITUTE(SUBSTITUTE($B4682,"-","")," ",""),".",""))</f>
        <v/>
      </c>
      <c r="I4682" s="10" t="str">
        <f aca="false">IF($D4682="","",SUBSTITUTE(SUBSTITUTE(SUBSTITUTE($D4682,"-","")," ",""),".",""))</f>
        <v/>
      </c>
      <c r="J4682" s="10" t="str">
        <f aca="false">IF($E4682="","",UPPER(SUBSTITUTE($E4682," ","")))</f>
        <v/>
      </c>
      <c r="K4682" s="10" t="str">
        <f aca="false">IF($A4682="","",$G4682&amp;"|"&amp;$J4682)</f>
        <v/>
      </c>
      <c r="L4682" s="10" t="str">
        <f aca="false">IF($A4682="","",ROW()-2)</f>
        <v/>
      </c>
      <c r="M4682" s="10" t="str">
        <f aca="false">IF($A4682="","",ROW())</f>
        <v/>
      </c>
    </row>
    <row r="4683" customFormat="false" ht="15" hidden="false" customHeight="true" outlineLevel="0" collapsed="false">
      <c r="A4683" s="8"/>
      <c r="B4683" s="8"/>
      <c r="C4683" s="8"/>
      <c r="D4683" s="8"/>
      <c r="E4683" s="8"/>
      <c r="F4683" s="8"/>
      <c r="G4683" s="10" t="str">
        <f aca="false">IF($A4683="","",UPPER(SUBSTITUTE(SUBSTITUTE(SUBSTITUTE(SUBSTITUTE($A4683," ",""),"(주)",""),"주식회사",""),"㈜","")))</f>
        <v/>
      </c>
      <c r="H4683" s="10" t="str">
        <f aca="false">IF($B4683="","",SUBSTITUTE(SUBSTITUTE(SUBSTITUTE($B4683,"-","")," ",""),".",""))</f>
        <v/>
      </c>
      <c r="I4683" s="10" t="str">
        <f aca="false">IF($D4683="","",SUBSTITUTE(SUBSTITUTE(SUBSTITUTE($D4683,"-","")," ",""),".",""))</f>
        <v/>
      </c>
      <c r="J4683" s="10" t="str">
        <f aca="false">IF($E4683="","",UPPER(SUBSTITUTE($E4683," ","")))</f>
        <v/>
      </c>
      <c r="K4683" s="10" t="str">
        <f aca="false">IF($A4683="","",$G4683&amp;"|"&amp;$J4683)</f>
        <v/>
      </c>
      <c r="L4683" s="10" t="str">
        <f aca="false">IF($A4683="","",ROW()-2)</f>
        <v/>
      </c>
      <c r="M4683" s="10" t="str">
        <f aca="false">IF($A4683="","",ROW())</f>
        <v/>
      </c>
    </row>
    <row r="4684" customFormat="false" ht="15" hidden="false" customHeight="true" outlineLevel="0" collapsed="false">
      <c r="A4684" s="8"/>
      <c r="B4684" s="8"/>
      <c r="C4684" s="8"/>
      <c r="D4684" s="8"/>
      <c r="E4684" s="8"/>
      <c r="F4684" s="8"/>
      <c r="G4684" s="10" t="str">
        <f aca="false">IF($A4684="","",UPPER(SUBSTITUTE(SUBSTITUTE(SUBSTITUTE(SUBSTITUTE($A4684," ",""),"(주)",""),"주식회사",""),"㈜","")))</f>
        <v/>
      </c>
      <c r="H4684" s="10" t="str">
        <f aca="false">IF($B4684="","",SUBSTITUTE(SUBSTITUTE(SUBSTITUTE($B4684,"-","")," ",""),".",""))</f>
        <v/>
      </c>
      <c r="I4684" s="10" t="str">
        <f aca="false">IF($D4684="","",SUBSTITUTE(SUBSTITUTE(SUBSTITUTE($D4684,"-","")," ",""),".",""))</f>
        <v/>
      </c>
      <c r="J4684" s="10" t="str">
        <f aca="false">IF($E4684="","",UPPER(SUBSTITUTE($E4684," ","")))</f>
        <v/>
      </c>
      <c r="K4684" s="10" t="str">
        <f aca="false">IF($A4684="","",$G4684&amp;"|"&amp;$J4684)</f>
        <v/>
      </c>
      <c r="L4684" s="10" t="str">
        <f aca="false">IF($A4684="","",ROW()-2)</f>
        <v/>
      </c>
      <c r="M4684" s="10" t="str">
        <f aca="false">IF($A4684="","",ROW())</f>
        <v/>
      </c>
    </row>
    <row r="4685" customFormat="false" ht="15" hidden="false" customHeight="true" outlineLevel="0" collapsed="false">
      <c r="A4685" s="8"/>
      <c r="B4685" s="8"/>
      <c r="C4685" s="8"/>
      <c r="D4685" s="8"/>
      <c r="E4685" s="8"/>
      <c r="F4685" s="8"/>
      <c r="G4685" s="10" t="str">
        <f aca="false">IF($A4685="","",UPPER(SUBSTITUTE(SUBSTITUTE(SUBSTITUTE(SUBSTITUTE($A4685," ",""),"(주)",""),"주식회사",""),"㈜","")))</f>
        <v/>
      </c>
      <c r="H4685" s="10" t="str">
        <f aca="false">IF($B4685="","",SUBSTITUTE(SUBSTITUTE(SUBSTITUTE($B4685,"-","")," ",""),".",""))</f>
        <v/>
      </c>
      <c r="I4685" s="10" t="str">
        <f aca="false">IF($D4685="","",SUBSTITUTE(SUBSTITUTE(SUBSTITUTE($D4685,"-","")," ",""),".",""))</f>
        <v/>
      </c>
      <c r="J4685" s="10" t="str">
        <f aca="false">IF($E4685="","",UPPER(SUBSTITUTE($E4685," ","")))</f>
        <v/>
      </c>
      <c r="K4685" s="10" t="str">
        <f aca="false">IF($A4685="","",$G4685&amp;"|"&amp;$J4685)</f>
        <v/>
      </c>
      <c r="L4685" s="10" t="str">
        <f aca="false">IF($A4685="","",ROW()-2)</f>
        <v/>
      </c>
      <c r="M4685" s="10" t="str">
        <f aca="false">IF($A4685="","",ROW())</f>
        <v/>
      </c>
    </row>
    <row r="4686" customFormat="false" ht="15" hidden="false" customHeight="true" outlineLevel="0" collapsed="false">
      <c r="A4686" s="8"/>
      <c r="B4686" s="8"/>
      <c r="C4686" s="8"/>
      <c r="D4686" s="8"/>
      <c r="E4686" s="8"/>
      <c r="F4686" s="8"/>
      <c r="G4686" s="10" t="str">
        <f aca="false">IF($A4686="","",UPPER(SUBSTITUTE(SUBSTITUTE(SUBSTITUTE(SUBSTITUTE($A4686," ",""),"(주)",""),"주식회사",""),"㈜","")))</f>
        <v/>
      </c>
      <c r="H4686" s="10" t="str">
        <f aca="false">IF($B4686="","",SUBSTITUTE(SUBSTITUTE(SUBSTITUTE($B4686,"-","")," ",""),".",""))</f>
        <v/>
      </c>
      <c r="I4686" s="10" t="str">
        <f aca="false">IF($D4686="","",SUBSTITUTE(SUBSTITUTE(SUBSTITUTE($D4686,"-","")," ",""),".",""))</f>
        <v/>
      </c>
      <c r="J4686" s="10" t="str">
        <f aca="false">IF($E4686="","",UPPER(SUBSTITUTE($E4686," ","")))</f>
        <v/>
      </c>
      <c r="K4686" s="10" t="str">
        <f aca="false">IF($A4686="","",$G4686&amp;"|"&amp;$J4686)</f>
        <v/>
      </c>
      <c r="L4686" s="10" t="str">
        <f aca="false">IF($A4686="","",ROW()-2)</f>
        <v/>
      </c>
      <c r="M4686" s="10" t="str">
        <f aca="false">IF($A4686="","",ROW())</f>
        <v/>
      </c>
    </row>
    <row r="4687" customFormat="false" ht="15" hidden="false" customHeight="true" outlineLevel="0" collapsed="false">
      <c r="A4687" s="8"/>
      <c r="B4687" s="8"/>
      <c r="C4687" s="8"/>
      <c r="D4687" s="8"/>
      <c r="E4687" s="8"/>
      <c r="F4687" s="8"/>
      <c r="G4687" s="10" t="str">
        <f aca="false">IF($A4687="","",UPPER(SUBSTITUTE(SUBSTITUTE(SUBSTITUTE(SUBSTITUTE($A4687," ",""),"(주)",""),"주식회사",""),"㈜","")))</f>
        <v/>
      </c>
      <c r="H4687" s="10" t="str">
        <f aca="false">IF($B4687="","",SUBSTITUTE(SUBSTITUTE(SUBSTITUTE($B4687,"-","")," ",""),".",""))</f>
        <v/>
      </c>
      <c r="I4687" s="10" t="str">
        <f aca="false">IF($D4687="","",SUBSTITUTE(SUBSTITUTE(SUBSTITUTE($D4687,"-","")," ",""),".",""))</f>
        <v/>
      </c>
      <c r="J4687" s="10" t="str">
        <f aca="false">IF($E4687="","",UPPER(SUBSTITUTE($E4687," ","")))</f>
        <v/>
      </c>
      <c r="K4687" s="10" t="str">
        <f aca="false">IF($A4687="","",$G4687&amp;"|"&amp;$J4687)</f>
        <v/>
      </c>
      <c r="L4687" s="10" t="str">
        <f aca="false">IF($A4687="","",ROW()-2)</f>
        <v/>
      </c>
      <c r="M4687" s="10" t="str">
        <f aca="false">IF($A4687="","",ROW())</f>
        <v/>
      </c>
    </row>
    <row r="4688" customFormat="false" ht="15" hidden="false" customHeight="true" outlineLevel="0" collapsed="false">
      <c r="A4688" s="8"/>
      <c r="B4688" s="8"/>
      <c r="C4688" s="8"/>
      <c r="D4688" s="8"/>
      <c r="E4688" s="8"/>
      <c r="F4688" s="8"/>
      <c r="G4688" s="10" t="str">
        <f aca="false">IF($A4688="","",UPPER(SUBSTITUTE(SUBSTITUTE(SUBSTITUTE(SUBSTITUTE($A4688," ",""),"(주)",""),"주식회사",""),"㈜","")))</f>
        <v/>
      </c>
      <c r="H4688" s="10" t="str">
        <f aca="false">IF($B4688="","",SUBSTITUTE(SUBSTITUTE(SUBSTITUTE($B4688,"-","")," ",""),".",""))</f>
        <v/>
      </c>
      <c r="I4688" s="10" t="str">
        <f aca="false">IF($D4688="","",SUBSTITUTE(SUBSTITUTE(SUBSTITUTE($D4688,"-","")," ",""),".",""))</f>
        <v/>
      </c>
      <c r="J4688" s="10" t="str">
        <f aca="false">IF($E4688="","",UPPER(SUBSTITUTE($E4688," ","")))</f>
        <v/>
      </c>
      <c r="K4688" s="10" t="str">
        <f aca="false">IF($A4688="","",$G4688&amp;"|"&amp;$J4688)</f>
        <v/>
      </c>
      <c r="L4688" s="10" t="str">
        <f aca="false">IF($A4688="","",ROW()-2)</f>
        <v/>
      </c>
      <c r="M4688" s="10" t="str">
        <f aca="false">IF($A4688="","",ROW())</f>
        <v/>
      </c>
    </row>
    <row r="4689" customFormat="false" ht="15" hidden="false" customHeight="true" outlineLevel="0" collapsed="false">
      <c r="A4689" s="8"/>
      <c r="B4689" s="8"/>
      <c r="C4689" s="8"/>
      <c r="D4689" s="8"/>
      <c r="E4689" s="8"/>
      <c r="F4689" s="8"/>
      <c r="G4689" s="10" t="str">
        <f aca="false">IF($A4689="","",UPPER(SUBSTITUTE(SUBSTITUTE(SUBSTITUTE(SUBSTITUTE($A4689," ",""),"(주)",""),"주식회사",""),"㈜","")))</f>
        <v/>
      </c>
      <c r="H4689" s="10" t="str">
        <f aca="false">IF($B4689="","",SUBSTITUTE(SUBSTITUTE(SUBSTITUTE($B4689,"-","")," ",""),".",""))</f>
        <v/>
      </c>
      <c r="I4689" s="10" t="str">
        <f aca="false">IF($D4689="","",SUBSTITUTE(SUBSTITUTE(SUBSTITUTE($D4689,"-","")," ",""),".",""))</f>
        <v/>
      </c>
      <c r="J4689" s="10" t="str">
        <f aca="false">IF($E4689="","",UPPER(SUBSTITUTE($E4689," ","")))</f>
        <v/>
      </c>
      <c r="K4689" s="10" t="str">
        <f aca="false">IF($A4689="","",$G4689&amp;"|"&amp;$J4689)</f>
        <v/>
      </c>
      <c r="L4689" s="10" t="str">
        <f aca="false">IF($A4689="","",ROW()-2)</f>
        <v/>
      </c>
      <c r="M4689" s="10" t="str">
        <f aca="false">IF($A4689="","",ROW())</f>
        <v/>
      </c>
    </row>
    <row r="4690" customFormat="false" ht="15" hidden="false" customHeight="true" outlineLevel="0" collapsed="false">
      <c r="A4690" s="8"/>
      <c r="B4690" s="8"/>
      <c r="C4690" s="8"/>
      <c r="D4690" s="8"/>
      <c r="E4690" s="8"/>
      <c r="F4690" s="8"/>
      <c r="G4690" s="10" t="str">
        <f aca="false">IF($A4690="","",UPPER(SUBSTITUTE(SUBSTITUTE(SUBSTITUTE(SUBSTITUTE($A4690," ",""),"(주)",""),"주식회사",""),"㈜","")))</f>
        <v/>
      </c>
      <c r="H4690" s="10" t="str">
        <f aca="false">IF($B4690="","",SUBSTITUTE(SUBSTITUTE(SUBSTITUTE($B4690,"-","")," ",""),".",""))</f>
        <v/>
      </c>
      <c r="I4690" s="10" t="str">
        <f aca="false">IF($D4690="","",SUBSTITUTE(SUBSTITUTE(SUBSTITUTE($D4690,"-","")," ",""),".",""))</f>
        <v/>
      </c>
      <c r="J4690" s="10" t="str">
        <f aca="false">IF($E4690="","",UPPER(SUBSTITUTE($E4690," ","")))</f>
        <v/>
      </c>
      <c r="K4690" s="10" t="str">
        <f aca="false">IF($A4690="","",$G4690&amp;"|"&amp;$J4690)</f>
        <v/>
      </c>
      <c r="L4690" s="10" t="str">
        <f aca="false">IF($A4690="","",ROW()-2)</f>
        <v/>
      </c>
      <c r="M4690" s="10" t="str">
        <f aca="false">IF($A4690="","",ROW())</f>
        <v/>
      </c>
    </row>
    <row r="4691" customFormat="false" ht="15" hidden="false" customHeight="true" outlineLevel="0" collapsed="false">
      <c r="A4691" s="8"/>
      <c r="B4691" s="8"/>
      <c r="C4691" s="8"/>
      <c r="D4691" s="8"/>
      <c r="E4691" s="8"/>
      <c r="F4691" s="8"/>
      <c r="G4691" s="10" t="str">
        <f aca="false">IF($A4691="","",UPPER(SUBSTITUTE(SUBSTITUTE(SUBSTITUTE(SUBSTITUTE($A4691," ",""),"(주)",""),"주식회사",""),"㈜","")))</f>
        <v/>
      </c>
      <c r="H4691" s="10" t="str">
        <f aca="false">IF($B4691="","",SUBSTITUTE(SUBSTITUTE(SUBSTITUTE($B4691,"-","")," ",""),".",""))</f>
        <v/>
      </c>
      <c r="I4691" s="10" t="str">
        <f aca="false">IF($D4691="","",SUBSTITUTE(SUBSTITUTE(SUBSTITUTE($D4691,"-","")," ",""),".",""))</f>
        <v/>
      </c>
      <c r="J4691" s="10" t="str">
        <f aca="false">IF($E4691="","",UPPER(SUBSTITUTE($E4691," ","")))</f>
        <v/>
      </c>
      <c r="K4691" s="10" t="str">
        <f aca="false">IF($A4691="","",$G4691&amp;"|"&amp;$J4691)</f>
        <v/>
      </c>
      <c r="L4691" s="10" t="str">
        <f aca="false">IF($A4691="","",ROW()-2)</f>
        <v/>
      </c>
      <c r="M4691" s="10" t="str">
        <f aca="false">IF($A4691="","",ROW())</f>
        <v/>
      </c>
    </row>
    <row r="4692" customFormat="false" ht="15" hidden="false" customHeight="true" outlineLevel="0" collapsed="false">
      <c r="A4692" s="8"/>
      <c r="B4692" s="8"/>
      <c r="C4692" s="8"/>
      <c r="D4692" s="8"/>
      <c r="E4692" s="8"/>
      <c r="F4692" s="8"/>
      <c r="G4692" s="10" t="str">
        <f aca="false">IF($A4692="","",UPPER(SUBSTITUTE(SUBSTITUTE(SUBSTITUTE(SUBSTITUTE($A4692," ",""),"(주)",""),"주식회사",""),"㈜","")))</f>
        <v/>
      </c>
      <c r="H4692" s="10" t="str">
        <f aca="false">IF($B4692="","",SUBSTITUTE(SUBSTITUTE(SUBSTITUTE($B4692,"-","")," ",""),".",""))</f>
        <v/>
      </c>
      <c r="I4692" s="10" t="str">
        <f aca="false">IF($D4692="","",SUBSTITUTE(SUBSTITUTE(SUBSTITUTE($D4692,"-","")," ",""),".",""))</f>
        <v/>
      </c>
      <c r="J4692" s="10" t="str">
        <f aca="false">IF($E4692="","",UPPER(SUBSTITUTE($E4692," ","")))</f>
        <v/>
      </c>
      <c r="K4692" s="10" t="str">
        <f aca="false">IF($A4692="","",$G4692&amp;"|"&amp;$J4692)</f>
        <v/>
      </c>
      <c r="L4692" s="10" t="str">
        <f aca="false">IF($A4692="","",ROW()-2)</f>
        <v/>
      </c>
      <c r="M4692" s="10" t="str">
        <f aca="false">IF($A4692="","",ROW())</f>
        <v/>
      </c>
    </row>
    <row r="4693" customFormat="false" ht="15" hidden="false" customHeight="true" outlineLevel="0" collapsed="false">
      <c r="A4693" s="8"/>
      <c r="B4693" s="8"/>
      <c r="C4693" s="8"/>
      <c r="D4693" s="8"/>
      <c r="E4693" s="8"/>
      <c r="F4693" s="8"/>
      <c r="G4693" s="10" t="str">
        <f aca="false">IF($A4693="","",UPPER(SUBSTITUTE(SUBSTITUTE(SUBSTITUTE(SUBSTITUTE($A4693," ",""),"(주)",""),"주식회사",""),"㈜","")))</f>
        <v/>
      </c>
      <c r="H4693" s="10" t="str">
        <f aca="false">IF($B4693="","",SUBSTITUTE(SUBSTITUTE(SUBSTITUTE($B4693,"-","")," ",""),".",""))</f>
        <v/>
      </c>
      <c r="I4693" s="10" t="str">
        <f aca="false">IF($D4693="","",SUBSTITUTE(SUBSTITUTE(SUBSTITUTE($D4693,"-","")," ",""),".",""))</f>
        <v/>
      </c>
      <c r="J4693" s="10" t="str">
        <f aca="false">IF($E4693="","",UPPER(SUBSTITUTE($E4693," ","")))</f>
        <v/>
      </c>
      <c r="K4693" s="10" t="str">
        <f aca="false">IF($A4693="","",$G4693&amp;"|"&amp;$J4693)</f>
        <v/>
      </c>
      <c r="L4693" s="10" t="str">
        <f aca="false">IF($A4693="","",ROW()-2)</f>
        <v/>
      </c>
      <c r="M4693" s="10" t="str">
        <f aca="false">IF($A4693="","",ROW())</f>
        <v/>
      </c>
    </row>
    <row r="4694" customFormat="false" ht="15" hidden="false" customHeight="true" outlineLevel="0" collapsed="false">
      <c r="A4694" s="8"/>
      <c r="B4694" s="8"/>
      <c r="C4694" s="8"/>
      <c r="D4694" s="8"/>
      <c r="E4694" s="8"/>
      <c r="F4694" s="8"/>
      <c r="G4694" s="10" t="str">
        <f aca="false">IF($A4694="","",UPPER(SUBSTITUTE(SUBSTITUTE(SUBSTITUTE(SUBSTITUTE($A4694," ",""),"(주)",""),"주식회사",""),"㈜","")))</f>
        <v/>
      </c>
      <c r="H4694" s="10" t="str">
        <f aca="false">IF($B4694="","",SUBSTITUTE(SUBSTITUTE(SUBSTITUTE($B4694,"-","")," ",""),".",""))</f>
        <v/>
      </c>
      <c r="I4694" s="10" t="str">
        <f aca="false">IF($D4694="","",SUBSTITUTE(SUBSTITUTE(SUBSTITUTE($D4694,"-","")," ",""),".",""))</f>
        <v/>
      </c>
      <c r="J4694" s="10" t="str">
        <f aca="false">IF($E4694="","",UPPER(SUBSTITUTE($E4694," ","")))</f>
        <v/>
      </c>
      <c r="K4694" s="10" t="str">
        <f aca="false">IF($A4694="","",$G4694&amp;"|"&amp;$J4694)</f>
        <v/>
      </c>
      <c r="L4694" s="10" t="str">
        <f aca="false">IF($A4694="","",ROW()-2)</f>
        <v/>
      </c>
      <c r="M4694" s="10" t="str">
        <f aca="false">IF($A4694="","",ROW())</f>
        <v/>
      </c>
    </row>
    <row r="4695" customFormat="false" ht="15" hidden="false" customHeight="true" outlineLevel="0" collapsed="false">
      <c r="A4695" s="8"/>
      <c r="B4695" s="8"/>
      <c r="C4695" s="8"/>
      <c r="D4695" s="8"/>
      <c r="E4695" s="8"/>
      <c r="F4695" s="8"/>
      <c r="G4695" s="10" t="str">
        <f aca="false">IF($A4695="","",UPPER(SUBSTITUTE(SUBSTITUTE(SUBSTITUTE(SUBSTITUTE($A4695," ",""),"(주)",""),"주식회사",""),"㈜","")))</f>
        <v/>
      </c>
      <c r="H4695" s="10" t="str">
        <f aca="false">IF($B4695="","",SUBSTITUTE(SUBSTITUTE(SUBSTITUTE($B4695,"-","")," ",""),".",""))</f>
        <v/>
      </c>
      <c r="I4695" s="10" t="str">
        <f aca="false">IF($D4695="","",SUBSTITUTE(SUBSTITUTE(SUBSTITUTE($D4695,"-","")," ",""),".",""))</f>
        <v/>
      </c>
      <c r="J4695" s="10" t="str">
        <f aca="false">IF($E4695="","",UPPER(SUBSTITUTE($E4695," ","")))</f>
        <v/>
      </c>
      <c r="K4695" s="10" t="str">
        <f aca="false">IF($A4695="","",$G4695&amp;"|"&amp;$J4695)</f>
        <v/>
      </c>
      <c r="L4695" s="10" t="str">
        <f aca="false">IF($A4695="","",ROW()-2)</f>
        <v/>
      </c>
      <c r="M4695" s="10" t="str">
        <f aca="false">IF($A4695="","",ROW())</f>
        <v/>
      </c>
    </row>
    <row r="4696" customFormat="false" ht="15" hidden="false" customHeight="true" outlineLevel="0" collapsed="false">
      <c r="A4696" s="8"/>
      <c r="B4696" s="8"/>
      <c r="C4696" s="8"/>
      <c r="D4696" s="8"/>
      <c r="E4696" s="8"/>
      <c r="F4696" s="8"/>
      <c r="G4696" s="10" t="str">
        <f aca="false">IF($A4696="","",UPPER(SUBSTITUTE(SUBSTITUTE(SUBSTITUTE(SUBSTITUTE($A4696," ",""),"(주)",""),"주식회사",""),"㈜","")))</f>
        <v/>
      </c>
      <c r="H4696" s="10" t="str">
        <f aca="false">IF($B4696="","",SUBSTITUTE(SUBSTITUTE(SUBSTITUTE($B4696,"-","")," ",""),".",""))</f>
        <v/>
      </c>
      <c r="I4696" s="10" t="str">
        <f aca="false">IF($D4696="","",SUBSTITUTE(SUBSTITUTE(SUBSTITUTE($D4696,"-","")," ",""),".",""))</f>
        <v/>
      </c>
      <c r="J4696" s="10" t="str">
        <f aca="false">IF($E4696="","",UPPER(SUBSTITUTE($E4696," ","")))</f>
        <v/>
      </c>
      <c r="K4696" s="10" t="str">
        <f aca="false">IF($A4696="","",$G4696&amp;"|"&amp;$J4696)</f>
        <v/>
      </c>
      <c r="L4696" s="10" t="str">
        <f aca="false">IF($A4696="","",ROW()-2)</f>
        <v/>
      </c>
      <c r="M4696" s="10" t="str">
        <f aca="false">IF($A4696="","",ROW())</f>
        <v/>
      </c>
    </row>
    <row r="4697" customFormat="false" ht="15" hidden="false" customHeight="true" outlineLevel="0" collapsed="false">
      <c r="A4697" s="8"/>
      <c r="B4697" s="8"/>
      <c r="C4697" s="8"/>
      <c r="D4697" s="8"/>
      <c r="E4697" s="8"/>
      <c r="F4697" s="8"/>
      <c r="G4697" s="10" t="str">
        <f aca="false">IF($A4697="","",UPPER(SUBSTITUTE(SUBSTITUTE(SUBSTITUTE(SUBSTITUTE($A4697," ",""),"(주)",""),"주식회사",""),"㈜","")))</f>
        <v/>
      </c>
      <c r="H4697" s="10" t="str">
        <f aca="false">IF($B4697="","",SUBSTITUTE(SUBSTITUTE(SUBSTITUTE($B4697,"-","")," ",""),".",""))</f>
        <v/>
      </c>
      <c r="I4697" s="10" t="str">
        <f aca="false">IF($D4697="","",SUBSTITUTE(SUBSTITUTE(SUBSTITUTE($D4697,"-","")," ",""),".",""))</f>
        <v/>
      </c>
      <c r="J4697" s="10" t="str">
        <f aca="false">IF($E4697="","",UPPER(SUBSTITUTE($E4697," ","")))</f>
        <v/>
      </c>
      <c r="K4697" s="10" t="str">
        <f aca="false">IF($A4697="","",$G4697&amp;"|"&amp;$J4697)</f>
        <v/>
      </c>
      <c r="L4697" s="10" t="str">
        <f aca="false">IF($A4697="","",ROW()-2)</f>
        <v/>
      </c>
      <c r="M4697" s="10" t="str">
        <f aca="false">IF($A4697="","",ROW())</f>
        <v/>
      </c>
    </row>
    <row r="4698" customFormat="false" ht="15" hidden="false" customHeight="true" outlineLevel="0" collapsed="false">
      <c r="A4698" s="8"/>
      <c r="B4698" s="8"/>
      <c r="C4698" s="8"/>
      <c r="D4698" s="8"/>
      <c r="E4698" s="8"/>
      <c r="F4698" s="8"/>
      <c r="G4698" s="10" t="str">
        <f aca="false">IF($A4698="","",UPPER(SUBSTITUTE(SUBSTITUTE(SUBSTITUTE(SUBSTITUTE($A4698," ",""),"(주)",""),"주식회사",""),"㈜","")))</f>
        <v/>
      </c>
      <c r="H4698" s="10" t="str">
        <f aca="false">IF($B4698="","",SUBSTITUTE(SUBSTITUTE(SUBSTITUTE($B4698,"-","")," ",""),".",""))</f>
        <v/>
      </c>
      <c r="I4698" s="10" t="str">
        <f aca="false">IF($D4698="","",SUBSTITUTE(SUBSTITUTE(SUBSTITUTE($D4698,"-","")," ",""),".",""))</f>
        <v/>
      </c>
      <c r="J4698" s="10" t="str">
        <f aca="false">IF($E4698="","",UPPER(SUBSTITUTE($E4698," ","")))</f>
        <v/>
      </c>
      <c r="K4698" s="10" t="str">
        <f aca="false">IF($A4698="","",$G4698&amp;"|"&amp;$J4698)</f>
        <v/>
      </c>
      <c r="L4698" s="10" t="str">
        <f aca="false">IF($A4698="","",ROW()-2)</f>
        <v/>
      </c>
      <c r="M4698" s="10" t="str">
        <f aca="false">IF($A4698="","",ROW())</f>
        <v/>
      </c>
    </row>
    <row r="4699" customFormat="false" ht="15" hidden="false" customHeight="true" outlineLevel="0" collapsed="false">
      <c r="A4699" s="8"/>
      <c r="B4699" s="8"/>
      <c r="C4699" s="8"/>
      <c r="D4699" s="8"/>
      <c r="E4699" s="8"/>
      <c r="F4699" s="8"/>
      <c r="G4699" s="10" t="str">
        <f aca="false">IF($A4699="","",UPPER(SUBSTITUTE(SUBSTITUTE(SUBSTITUTE(SUBSTITUTE($A4699," ",""),"(주)",""),"주식회사",""),"㈜","")))</f>
        <v/>
      </c>
      <c r="H4699" s="10" t="str">
        <f aca="false">IF($B4699="","",SUBSTITUTE(SUBSTITUTE(SUBSTITUTE($B4699,"-","")," ",""),".",""))</f>
        <v/>
      </c>
      <c r="I4699" s="10" t="str">
        <f aca="false">IF($D4699="","",SUBSTITUTE(SUBSTITUTE(SUBSTITUTE($D4699,"-","")," ",""),".",""))</f>
        <v/>
      </c>
      <c r="J4699" s="10" t="str">
        <f aca="false">IF($E4699="","",UPPER(SUBSTITUTE($E4699," ","")))</f>
        <v/>
      </c>
      <c r="K4699" s="10" t="str">
        <f aca="false">IF($A4699="","",$G4699&amp;"|"&amp;$J4699)</f>
        <v/>
      </c>
      <c r="L4699" s="10" t="str">
        <f aca="false">IF($A4699="","",ROW()-2)</f>
        <v/>
      </c>
      <c r="M4699" s="10" t="str">
        <f aca="false">IF($A4699="","",ROW())</f>
        <v/>
      </c>
    </row>
    <row r="4700" customFormat="false" ht="15" hidden="false" customHeight="true" outlineLevel="0" collapsed="false">
      <c r="A4700" s="8"/>
      <c r="B4700" s="8"/>
      <c r="C4700" s="8"/>
      <c r="D4700" s="8"/>
      <c r="E4700" s="8"/>
      <c r="F4700" s="8"/>
      <c r="G4700" s="10" t="str">
        <f aca="false">IF($A4700="","",UPPER(SUBSTITUTE(SUBSTITUTE(SUBSTITUTE(SUBSTITUTE($A4700," ",""),"(주)",""),"주식회사",""),"㈜","")))</f>
        <v/>
      </c>
      <c r="H4700" s="10" t="str">
        <f aca="false">IF($B4700="","",SUBSTITUTE(SUBSTITUTE(SUBSTITUTE($B4700,"-","")," ",""),".",""))</f>
        <v/>
      </c>
      <c r="I4700" s="10" t="str">
        <f aca="false">IF($D4700="","",SUBSTITUTE(SUBSTITUTE(SUBSTITUTE($D4700,"-","")," ",""),".",""))</f>
        <v/>
      </c>
      <c r="J4700" s="10" t="str">
        <f aca="false">IF($E4700="","",UPPER(SUBSTITUTE($E4700," ","")))</f>
        <v/>
      </c>
      <c r="K4700" s="10" t="str">
        <f aca="false">IF($A4700="","",$G4700&amp;"|"&amp;$J4700)</f>
        <v/>
      </c>
      <c r="L4700" s="10" t="str">
        <f aca="false">IF($A4700="","",ROW()-2)</f>
        <v/>
      </c>
      <c r="M4700" s="10" t="str">
        <f aca="false">IF($A4700="","",ROW())</f>
        <v/>
      </c>
    </row>
    <row r="4701" customFormat="false" ht="15" hidden="false" customHeight="true" outlineLevel="0" collapsed="false">
      <c r="A4701" s="8"/>
      <c r="B4701" s="8"/>
      <c r="C4701" s="8"/>
      <c r="D4701" s="8"/>
      <c r="E4701" s="8"/>
      <c r="F4701" s="8"/>
      <c r="G4701" s="10" t="str">
        <f aca="false">IF($A4701="","",UPPER(SUBSTITUTE(SUBSTITUTE(SUBSTITUTE(SUBSTITUTE($A4701," ",""),"(주)",""),"주식회사",""),"㈜","")))</f>
        <v/>
      </c>
      <c r="H4701" s="10" t="str">
        <f aca="false">IF($B4701="","",SUBSTITUTE(SUBSTITUTE(SUBSTITUTE($B4701,"-","")," ",""),".",""))</f>
        <v/>
      </c>
      <c r="I4701" s="10" t="str">
        <f aca="false">IF($D4701="","",SUBSTITUTE(SUBSTITUTE(SUBSTITUTE($D4701,"-","")," ",""),".",""))</f>
        <v/>
      </c>
      <c r="J4701" s="10" t="str">
        <f aca="false">IF($E4701="","",UPPER(SUBSTITUTE($E4701," ","")))</f>
        <v/>
      </c>
      <c r="K4701" s="10" t="str">
        <f aca="false">IF($A4701="","",$G4701&amp;"|"&amp;$J4701)</f>
        <v/>
      </c>
      <c r="L4701" s="10" t="str">
        <f aca="false">IF($A4701="","",ROW()-2)</f>
        <v/>
      </c>
      <c r="M4701" s="10" t="str">
        <f aca="false">IF($A4701="","",ROW())</f>
        <v/>
      </c>
    </row>
    <row r="4702" customFormat="false" ht="15" hidden="false" customHeight="true" outlineLevel="0" collapsed="false">
      <c r="A4702" s="8"/>
      <c r="B4702" s="8"/>
      <c r="C4702" s="8"/>
      <c r="D4702" s="8"/>
      <c r="E4702" s="8"/>
      <c r="F4702" s="8"/>
      <c r="G4702" s="10" t="str">
        <f aca="false">IF($A4702="","",UPPER(SUBSTITUTE(SUBSTITUTE(SUBSTITUTE(SUBSTITUTE($A4702," ",""),"(주)",""),"주식회사",""),"㈜","")))</f>
        <v/>
      </c>
      <c r="H4702" s="10" t="str">
        <f aca="false">IF($B4702="","",SUBSTITUTE(SUBSTITUTE(SUBSTITUTE($B4702,"-","")," ",""),".",""))</f>
        <v/>
      </c>
      <c r="I4702" s="10" t="str">
        <f aca="false">IF($D4702="","",SUBSTITUTE(SUBSTITUTE(SUBSTITUTE($D4702,"-","")," ",""),".",""))</f>
        <v/>
      </c>
      <c r="J4702" s="10" t="str">
        <f aca="false">IF($E4702="","",UPPER(SUBSTITUTE($E4702," ","")))</f>
        <v/>
      </c>
      <c r="K4702" s="10" t="str">
        <f aca="false">IF($A4702="","",$G4702&amp;"|"&amp;$J4702)</f>
        <v/>
      </c>
      <c r="L4702" s="10" t="str">
        <f aca="false">IF($A4702="","",ROW()-2)</f>
        <v/>
      </c>
      <c r="M4702" s="10" t="str">
        <f aca="false">IF($A4702="","",ROW())</f>
        <v/>
      </c>
    </row>
    <row r="4703" customFormat="false" ht="15" hidden="false" customHeight="true" outlineLevel="0" collapsed="false">
      <c r="A4703" s="8"/>
      <c r="B4703" s="8"/>
      <c r="C4703" s="8"/>
      <c r="D4703" s="8"/>
      <c r="E4703" s="8"/>
      <c r="F4703" s="8"/>
      <c r="G4703" s="10" t="str">
        <f aca="false">IF($A4703="","",UPPER(SUBSTITUTE(SUBSTITUTE(SUBSTITUTE(SUBSTITUTE($A4703," ",""),"(주)",""),"주식회사",""),"㈜","")))</f>
        <v/>
      </c>
      <c r="H4703" s="10" t="str">
        <f aca="false">IF($B4703="","",SUBSTITUTE(SUBSTITUTE(SUBSTITUTE($B4703,"-","")," ",""),".",""))</f>
        <v/>
      </c>
      <c r="I4703" s="10" t="str">
        <f aca="false">IF($D4703="","",SUBSTITUTE(SUBSTITUTE(SUBSTITUTE($D4703,"-","")," ",""),".",""))</f>
        <v/>
      </c>
      <c r="J4703" s="10" t="str">
        <f aca="false">IF($E4703="","",UPPER(SUBSTITUTE($E4703," ","")))</f>
        <v/>
      </c>
      <c r="K4703" s="10" t="str">
        <f aca="false">IF($A4703="","",$G4703&amp;"|"&amp;$J4703)</f>
        <v/>
      </c>
      <c r="L4703" s="10" t="str">
        <f aca="false">IF($A4703="","",ROW()-2)</f>
        <v/>
      </c>
      <c r="M4703" s="10" t="str">
        <f aca="false">IF($A4703="","",ROW())</f>
        <v/>
      </c>
    </row>
    <row r="4704" customFormat="false" ht="15" hidden="false" customHeight="true" outlineLevel="0" collapsed="false">
      <c r="A4704" s="8"/>
      <c r="B4704" s="8"/>
      <c r="C4704" s="8"/>
      <c r="D4704" s="8"/>
      <c r="E4704" s="8"/>
      <c r="F4704" s="8"/>
      <c r="G4704" s="10" t="str">
        <f aca="false">IF($A4704="","",UPPER(SUBSTITUTE(SUBSTITUTE(SUBSTITUTE(SUBSTITUTE($A4704," ",""),"(주)",""),"주식회사",""),"㈜","")))</f>
        <v/>
      </c>
      <c r="H4704" s="10" t="str">
        <f aca="false">IF($B4704="","",SUBSTITUTE(SUBSTITUTE(SUBSTITUTE($B4704,"-","")," ",""),".",""))</f>
        <v/>
      </c>
      <c r="I4704" s="10" t="str">
        <f aca="false">IF($D4704="","",SUBSTITUTE(SUBSTITUTE(SUBSTITUTE($D4704,"-","")," ",""),".",""))</f>
        <v/>
      </c>
      <c r="J4704" s="10" t="str">
        <f aca="false">IF($E4704="","",UPPER(SUBSTITUTE($E4704," ","")))</f>
        <v/>
      </c>
      <c r="K4704" s="10" t="str">
        <f aca="false">IF($A4704="","",$G4704&amp;"|"&amp;$J4704)</f>
        <v/>
      </c>
      <c r="L4704" s="10" t="str">
        <f aca="false">IF($A4704="","",ROW()-2)</f>
        <v/>
      </c>
      <c r="M4704" s="10" t="str">
        <f aca="false">IF($A4704="","",ROW())</f>
        <v/>
      </c>
    </row>
    <row r="4705" customFormat="false" ht="15" hidden="false" customHeight="true" outlineLevel="0" collapsed="false">
      <c r="A4705" s="8"/>
      <c r="B4705" s="8"/>
      <c r="C4705" s="8"/>
      <c r="D4705" s="8"/>
      <c r="E4705" s="8"/>
      <c r="F4705" s="8"/>
      <c r="G4705" s="10" t="str">
        <f aca="false">IF($A4705="","",UPPER(SUBSTITUTE(SUBSTITUTE(SUBSTITUTE(SUBSTITUTE($A4705," ",""),"(주)",""),"주식회사",""),"㈜","")))</f>
        <v/>
      </c>
      <c r="H4705" s="10" t="str">
        <f aca="false">IF($B4705="","",SUBSTITUTE(SUBSTITUTE(SUBSTITUTE($B4705,"-","")," ",""),".",""))</f>
        <v/>
      </c>
      <c r="I4705" s="10" t="str">
        <f aca="false">IF($D4705="","",SUBSTITUTE(SUBSTITUTE(SUBSTITUTE($D4705,"-","")," ",""),".",""))</f>
        <v/>
      </c>
      <c r="J4705" s="10" t="str">
        <f aca="false">IF($E4705="","",UPPER(SUBSTITUTE($E4705," ","")))</f>
        <v/>
      </c>
      <c r="K4705" s="10" t="str">
        <f aca="false">IF($A4705="","",$G4705&amp;"|"&amp;$J4705)</f>
        <v/>
      </c>
      <c r="L4705" s="10" t="str">
        <f aca="false">IF($A4705="","",ROW()-2)</f>
        <v/>
      </c>
      <c r="M4705" s="10" t="str">
        <f aca="false">IF($A4705="","",ROW())</f>
        <v/>
      </c>
    </row>
    <row r="4706" customFormat="false" ht="15" hidden="false" customHeight="true" outlineLevel="0" collapsed="false">
      <c r="A4706" s="8"/>
      <c r="B4706" s="8"/>
      <c r="C4706" s="8"/>
      <c r="D4706" s="8"/>
      <c r="E4706" s="8"/>
      <c r="F4706" s="8"/>
      <c r="G4706" s="10" t="str">
        <f aca="false">IF($A4706="","",UPPER(SUBSTITUTE(SUBSTITUTE(SUBSTITUTE(SUBSTITUTE($A4706," ",""),"(주)",""),"주식회사",""),"㈜","")))</f>
        <v/>
      </c>
      <c r="H4706" s="10" t="str">
        <f aca="false">IF($B4706="","",SUBSTITUTE(SUBSTITUTE(SUBSTITUTE($B4706,"-","")," ",""),".",""))</f>
        <v/>
      </c>
      <c r="I4706" s="10" t="str">
        <f aca="false">IF($D4706="","",SUBSTITUTE(SUBSTITUTE(SUBSTITUTE($D4706,"-","")," ",""),".",""))</f>
        <v/>
      </c>
      <c r="J4706" s="10" t="str">
        <f aca="false">IF($E4706="","",UPPER(SUBSTITUTE($E4706," ","")))</f>
        <v/>
      </c>
      <c r="K4706" s="10" t="str">
        <f aca="false">IF($A4706="","",$G4706&amp;"|"&amp;$J4706)</f>
        <v/>
      </c>
      <c r="L4706" s="10" t="str">
        <f aca="false">IF($A4706="","",ROW()-2)</f>
        <v/>
      </c>
      <c r="M4706" s="10" t="str">
        <f aca="false">IF($A4706="","",ROW())</f>
        <v/>
      </c>
    </row>
    <row r="4707" customFormat="false" ht="15" hidden="false" customHeight="true" outlineLevel="0" collapsed="false">
      <c r="A4707" s="8"/>
      <c r="B4707" s="8"/>
      <c r="C4707" s="8"/>
      <c r="D4707" s="8"/>
      <c r="E4707" s="8"/>
      <c r="F4707" s="8"/>
      <c r="G4707" s="10" t="str">
        <f aca="false">IF($A4707="","",UPPER(SUBSTITUTE(SUBSTITUTE(SUBSTITUTE(SUBSTITUTE($A4707," ",""),"(주)",""),"주식회사",""),"㈜","")))</f>
        <v/>
      </c>
      <c r="H4707" s="10" t="str">
        <f aca="false">IF($B4707="","",SUBSTITUTE(SUBSTITUTE(SUBSTITUTE($B4707,"-","")," ",""),".",""))</f>
        <v/>
      </c>
      <c r="I4707" s="10" t="str">
        <f aca="false">IF($D4707="","",SUBSTITUTE(SUBSTITUTE(SUBSTITUTE($D4707,"-","")," ",""),".",""))</f>
        <v/>
      </c>
      <c r="J4707" s="10" t="str">
        <f aca="false">IF($E4707="","",UPPER(SUBSTITUTE($E4707," ","")))</f>
        <v/>
      </c>
      <c r="K4707" s="10" t="str">
        <f aca="false">IF($A4707="","",$G4707&amp;"|"&amp;$J4707)</f>
        <v/>
      </c>
      <c r="L4707" s="10" t="str">
        <f aca="false">IF($A4707="","",ROW()-2)</f>
        <v/>
      </c>
      <c r="M4707" s="10" t="str">
        <f aca="false">IF($A4707="","",ROW())</f>
        <v/>
      </c>
    </row>
    <row r="4708" customFormat="false" ht="15" hidden="false" customHeight="true" outlineLevel="0" collapsed="false">
      <c r="A4708" s="8"/>
      <c r="B4708" s="8"/>
      <c r="C4708" s="8"/>
      <c r="D4708" s="8"/>
      <c r="E4708" s="8"/>
      <c r="F4708" s="8"/>
      <c r="G4708" s="10" t="str">
        <f aca="false">IF($A4708="","",UPPER(SUBSTITUTE(SUBSTITUTE(SUBSTITUTE(SUBSTITUTE($A4708," ",""),"(주)",""),"주식회사",""),"㈜","")))</f>
        <v/>
      </c>
      <c r="H4708" s="10" t="str">
        <f aca="false">IF($B4708="","",SUBSTITUTE(SUBSTITUTE(SUBSTITUTE($B4708,"-","")," ",""),".",""))</f>
        <v/>
      </c>
      <c r="I4708" s="10" t="str">
        <f aca="false">IF($D4708="","",SUBSTITUTE(SUBSTITUTE(SUBSTITUTE($D4708,"-","")," ",""),".",""))</f>
        <v/>
      </c>
      <c r="J4708" s="10" t="str">
        <f aca="false">IF($E4708="","",UPPER(SUBSTITUTE($E4708," ","")))</f>
        <v/>
      </c>
      <c r="K4708" s="10" t="str">
        <f aca="false">IF($A4708="","",$G4708&amp;"|"&amp;$J4708)</f>
        <v/>
      </c>
      <c r="L4708" s="10" t="str">
        <f aca="false">IF($A4708="","",ROW()-2)</f>
        <v/>
      </c>
      <c r="M4708" s="10" t="str">
        <f aca="false">IF($A4708="","",ROW())</f>
        <v/>
      </c>
    </row>
    <row r="4709" customFormat="false" ht="15" hidden="false" customHeight="true" outlineLevel="0" collapsed="false">
      <c r="A4709" s="8"/>
      <c r="B4709" s="8"/>
      <c r="C4709" s="8"/>
      <c r="D4709" s="8"/>
      <c r="E4709" s="8"/>
      <c r="F4709" s="8"/>
      <c r="G4709" s="10" t="str">
        <f aca="false">IF($A4709="","",UPPER(SUBSTITUTE(SUBSTITUTE(SUBSTITUTE(SUBSTITUTE($A4709," ",""),"(주)",""),"주식회사",""),"㈜","")))</f>
        <v/>
      </c>
      <c r="H4709" s="10" t="str">
        <f aca="false">IF($B4709="","",SUBSTITUTE(SUBSTITUTE(SUBSTITUTE($B4709,"-","")," ",""),".",""))</f>
        <v/>
      </c>
      <c r="I4709" s="10" t="str">
        <f aca="false">IF($D4709="","",SUBSTITUTE(SUBSTITUTE(SUBSTITUTE($D4709,"-","")," ",""),".",""))</f>
        <v/>
      </c>
      <c r="J4709" s="10" t="str">
        <f aca="false">IF($E4709="","",UPPER(SUBSTITUTE($E4709," ","")))</f>
        <v/>
      </c>
      <c r="K4709" s="10" t="str">
        <f aca="false">IF($A4709="","",$G4709&amp;"|"&amp;$J4709)</f>
        <v/>
      </c>
      <c r="L4709" s="10" t="str">
        <f aca="false">IF($A4709="","",ROW()-2)</f>
        <v/>
      </c>
      <c r="M4709" s="10" t="str">
        <f aca="false">IF($A4709="","",ROW())</f>
        <v/>
      </c>
    </row>
    <row r="4710" customFormat="false" ht="15" hidden="false" customHeight="true" outlineLevel="0" collapsed="false">
      <c r="A4710" s="8"/>
      <c r="B4710" s="8"/>
      <c r="C4710" s="8"/>
      <c r="D4710" s="8"/>
      <c r="E4710" s="8"/>
      <c r="F4710" s="8"/>
      <c r="G4710" s="10" t="str">
        <f aca="false">IF($A4710="","",UPPER(SUBSTITUTE(SUBSTITUTE(SUBSTITUTE(SUBSTITUTE($A4710," ",""),"(주)",""),"주식회사",""),"㈜","")))</f>
        <v/>
      </c>
      <c r="H4710" s="10" t="str">
        <f aca="false">IF($B4710="","",SUBSTITUTE(SUBSTITUTE(SUBSTITUTE($B4710,"-","")," ",""),".",""))</f>
        <v/>
      </c>
      <c r="I4710" s="10" t="str">
        <f aca="false">IF($D4710="","",SUBSTITUTE(SUBSTITUTE(SUBSTITUTE($D4710,"-","")," ",""),".",""))</f>
        <v/>
      </c>
      <c r="J4710" s="10" t="str">
        <f aca="false">IF($E4710="","",UPPER(SUBSTITUTE($E4710," ","")))</f>
        <v/>
      </c>
      <c r="K4710" s="10" t="str">
        <f aca="false">IF($A4710="","",$G4710&amp;"|"&amp;$J4710)</f>
        <v/>
      </c>
      <c r="L4710" s="10" t="str">
        <f aca="false">IF($A4710="","",ROW()-2)</f>
        <v/>
      </c>
      <c r="M4710" s="10" t="str">
        <f aca="false">IF($A4710="","",ROW())</f>
        <v/>
      </c>
    </row>
    <row r="4711" customFormat="false" ht="15" hidden="false" customHeight="true" outlineLevel="0" collapsed="false">
      <c r="A4711" s="8"/>
      <c r="B4711" s="8"/>
      <c r="C4711" s="8"/>
      <c r="D4711" s="8"/>
      <c r="E4711" s="8"/>
      <c r="F4711" s="8"/>
      <c r="G4711" s="10" t="str">
        <f aca="false">IF($A4711="","",UPPER(SUBSTITUTE(SUBSTITUTE(SUBSTITUTE(SUBSTITUTE($A4711," ",""),"(주)",""),"주식회사",""),"㈜","")))</f>
        <v/>
      </c>
      <c r="H4711" s="10" t="str">
        <f aca="false">IF($B4711="","",SUBSTITUTE(SUBSTITUTE(SUBSTITUTE($B4711,"-","")," ",""),".",""))</f>
        <v/>
      </c>
      <c r="I4711" s="10" t="str">
        <f aca="false">IF($D4711="","",SUBSTITUTE(SUBSTITUTE(SUBSTITUTE($D4711,"-","")," ",""),".",""))</f>
        <v/>
      </c>
      <c r="J4711" s="10" t="str">
        <f aca="false">IF($E4711="","",UPPER(SUBSTITUTE($E4711," ","")))</f>
        <v/>
      </c>
      <c r="K4711" s="10" t="str">
        <f aca="false">IF($A4711="","",$G4711&amp;"|"&amp;$J4711)</f>
        <v/>
      </c>
      <c r="L4711" s="10" t="str">
        <f aca="false">IF($A4711="","",ROW()-2)</f>
        <v/>
      </c>
      <c r="M4711" s="10" t="str">
        <f aca="false">IF($A4711="","",ROW())</f>
        <v/>
      </c>
    </row>
    <row r="4712" customFormat="false" ht="15" hidden="false" customHeight="true" outlineLevel="0" collapsed="false">
      <c r="A4712" s="8"/>
      <c r="B4712" s="8"/>
      <c r="C4712" s="8"/>
      <c r="D4712" s="8"/>
      <c r="E4712" s="8"/>
      <c r="F4712" s="8"/>
      <c r="G4712" s="10" t="str">
        <f aca="false">IF($A4712="","",UPPER(SUBSTITUTE(SUBSTITUTE(SUBSTITUTE(SUBSTITUTE($A4712," ",""),"(주)",""),"주식회사",""),"㈜","")))</f>
        <v/>
      </c>
      <c r="H4712" s="10" t="str">
        <f aca="false">IF($B4712="","",SUBSTITUTE(SUBSTITUTE(SUBSTITUTE($B4712,"-","")," ",""),".",""))</f>
        <v/>
      </c>
      <c r="I4712" s="10" t="str">
        <f aca="false">IF($D4712="","",SUBSTITUTE(SUBSTITUTE(SUBSTITUTE($D4712,"-","")," ",""),".",""))</f>
        <v/>
      </c>
      <c r="J4712" s="10" t="str">
        <f aca="false">IF($E4712="","",UPPER(SUBSTITUTE($E4712," ","")))</f>
        <v/>
      </c>
      <c r="K4712" s="10" t="str">
        <f aca="false">IF($A4712="","",$G4712&amp;"|"&amp;$J4712)</f>
        <v/>
      </c>
      <c r="L4712" s="10" t="str">
        <f aca="false">IF($A4712="","",ROW()-2)</f>
        <v/>
      </c>
      <c r="M4712" s="10" t="str">
        <f aca="false">IF($A4712="","",ROW())</f>
        <v/>
      </c>
    </row>
    <row r="4713" customFormat="false" ht="15" hidden="false" customHeight="true" outlineLevel="0" collapsed="false">
      <c r="A4713" s="8"/>
      <c r="B4713" s="8"/>
      <c r="C4713" s="8"/>
      <c r="D4713" s="8"/>
      <c r="E4713" s="8"/>
      <c r="F4713" s="8"/>
      <c r="G4713" s="10" t="str">
        <f aca="false">IF($A4713="","",UPPER(SUBSTITUTE(SUBSTITUTE(SUBSTITUTE(SUBSTITUTE($A4713," ",""),"(주)",""),"주식회사",""),"㈜","")))</f>
        <v/>
      </c>
      <c r="H4713" s="10" t="str">
        <f aca="false">IF($B4713="","",SUBSTITUTE(SUBSTITUTE(SUBSTITUTE($B4713,"-","")," ",""),".",""))</f>
        <v/>
      </c>
      <c r="I4713" s="10" t="str">
        <f aca="false">IF($D4713="","",SUBSTITUTE(SUBSTITUTE(SUBSTITUTE($D4713,"-","")," ",""),".",""))</f>
        <v/>
      </c>
      <c r="J4713" s="10" t="str">
        <f aca="false">IF($E4713="","",UPPER(SUBSTITUTE($E4713," ","")))</f>
        <v/>
      </c>
      <c r="K4713" s="10" t="str">
        <f aca="false">IF($A4713="","",$G4713&amp;"|"&amp;$J4713)</f>
        <v/>
      </c>
      <c r="L4713" s="10" t="str">
        <f aca="false">IF($A4713="","",ROW()-2)</f>
        <v/>
      </c>
      <c r="M4713" s="10" t="str">
        <f aca="false">IF($A4713="","",ROW())</f>
        <v/>
      </c>
    </row>
    <row r="4714" customFormat="false" ht="15" hidden="false" customHeight="true" outlineLevel="0" collapsed="false">
      <c r="A4714" s="8"/>
      <c r="B4714" s="8"/>
      <c r="C4714" s="8"/>
      <c r="D4714" s="8"/>
      <c r="E4714" s="8"/>
      <c r="F4714" s="8"/>
      <c r="G4714" s="10" t="str">
        <f aca="false">IF($A4714="","",UPPER(SUBSTITUTE(SUBSTITUTE(SUBSTITUTE(SUBSTITUTE($A4714," ",""),"(주)",""),"주식회사",""),"㈜","")))</f>
        <v/>
      </c>
      <c r="H4714" s="10" t="str">
        <f aca="false">IF($B4714="","",SUBSTITUTE(SUBSTITUTE(SUBSTITUTE($B4714,"-","")," ",""),".",""))</f>
        <v/>
      </c>
      <c r="I4714" s="10" t="str">
        <f aca="false">IF($D4714="","",SUBSTITUTE(SUBSTITUTE(SUBSTITUTE($D4714,"-","")," ",""),".",""))</f>
        <v/>
      </c>
      <c r="J4714" s="10" t="str">
        <f aca="false">IF($E4714="","",UPPER(SUBSTITUTE($E4714," ","")))</f>
        <v/>
      </c>
      <c r="K4714" s="10" t="str">
        <f aca="false">IF($A4714="","",$G4714&amp;"|"&amp;$J4714)</f>
        <v/>
      </c>
      <c r="L4714" s="10" t="str">
        <f aca="false">IF($A4714="","",ROW()-2)</f>
        <v/>
      </c>
      <c r="M4714" s="10" t="str">
        <f aca="false">IF($A4714="","",ROW())</f>
        <v/>
      </c>
    </row>
    <row r="4715" customFormat="false" ht="15" hidden="false" customHeight="true" outlineLevel="0" collapsed="false">
      <c r="A4715" s="8"/>
      <c r="B4715" s="8"/>
      <c r="C4715" s="8"/>
      <c r="D4715" s="8"/>
      <c r="E4715" s="8"/>
      <c r="F4715" s="8"/>
      <c r="G4715" s="10" t="str">
        <f aca="false">IF($A4715="","",UPPER(SUBSTITUTE(SUBSTITUTE(SUBSTITUTE(SUBSTITUTE($A4715," ",""),"(주)",""),"주식회사",""),"㈜","")))</f>
        <v/>
      </c>
      <c r="H4715" s="10" t="str">
        <f aca="false">IF($B4715="","",SUBSTITUTE(SUBSTITUTE(SUBSTITUTE($B4715,"-","")," ",""),".",""))</f>
        <v/>
      </c>
      <c r="I4715" s="10" t="str">
        <f aca="false">IF($D4715="","",SUBSTITUTE(SUBSTITUTE(SUBSTITUTE($D4715,"-","")," ",""),".",""))</f>
        <v/>
      </c>
      <c r="J4715" s="10" t="str">
        <f aca="false">IF($E4715="","",UPPER(SUBSTITUTE($E4715," ","")))</f>
        <v/>
      </c>
      <c r="K4715" s="10" t="str">
        <f aca="false">IF($A4715="","",$G4715&amp;"|"&amp;$J4715)</f>
        <v/>
      </c>
      <c r="L4715" s="10" t="str">
        <f aca="false">IF($A4715="","",ROW()-2)</f>
        <v/>
      </c>
      <c r="M4715" s="10" t="str">
        <f aca="false">IF($A4715="","",ROW())</f>
        <v/>
      </c>
    </row>
    <row r="4716" customFormat="false" ht="15" hidden="false" customHeight="true" outlineLevel="0" collapsed="false">
      <c r="A4716" s="8"/>
      <c r="B4716" s="8"/>
      <c r="C4716" s="8"/>
      <c r="D4716" s="8"/>
      <c r="E4716" s="8"/>
      <c r="F4716" s="8"/>
      <c r="G4716" s="10" t="str">
        <f aca="false">IF($A4716="","",UPPER(SUBSTITUTE(SUBSTITUTE(SUBSTITUTE(SUBSTITUTE($A4716," ",""),"(주)",""),"주식회사",""),"㈜","")))</f>
        <v/>
      </c>
      <c r="H4716" s="10" t="str">
        <f aca="false">IF($B4716="","",SUBSTITUTE(SUBSTITUTE(SUBSTITUTE($B4716,"-","")," ",""),".",""))</f>
        <v/>
      </c>
      <c r="I4716" s="10" t="str">
        <f aca="false">IF($D4716="","",SUBSTITUTE(SUBSTITUTE(SUBSTITUTE($D4716,"-","")," ",""),".",""))</f>
        <v/>
      </c>
      <c r="J4716" s="10" t="str">
        <f aca="false">IF($E4716="","",UPPER(SUBSTITUTE($E4716," ","")))</f>
        <v/>
      </c>
      <c r="K4716" s="10" t="str">
        <f aca="false">IF($A4716="","",$G4716&amp;"|"&amp;$J4716)</f>
        <v/>
      </c>
      <c r="L4716" s="10" t="str">
        <f aca="false">IF($A4716="","",ROW()-2)</f>
        <v/>
      </c>
      <c r="M4716" s="10" t="str">
        <f aca="false">IF($A4716="","",ROW())</f>
        <v/>
      </c>
    </row>
    <row r="4717" customFormat="false" ht="15" hidden="false" customHeight="true" outlineLevel="0" collapsed="false">
      <c r="A4717" s="8"/>
      <c r="B4717" s="8"/>
      <c r="C4717" s="8"/>
      <c r="D4717" s="8"/>
      <c r="E4717" s="8"/>
      <c r="F4717" s="8"/>
      <c r="G4717" s="10" t="str">
        <f aca="false">IF($A4717="","",UPPER(SUBSTITUTE(SUBSTITUTE(SUBSTITUTE(SUBSTITUTE($A4717," ",""),"(주)",""),"주식회사",""),"㈜","")))</f>
        <v/>
      </c>
      <c r="H4717" s="10" t="str">
        <f aca="false">IF($B4717="","",SUBSTITUTE(SUBSTITUTE(SUBSTITUTE($B4717,"-","")," ",""),".",""))</f>
        <v/>
      </c>
      <c r="I4717" s="10" t="str">
        <f aca="false">IF($D4717="","",SUBSTITUTE(SUBSTITUTE(SUBSTITUTE($D4717,"-","")," ",""),".",""))</f>
        <v/>
      </c>
      <c r="J4717" s="10" t="str">
        <f aca="false">IF($E4717="","",UPPER(SUBSTITUTE($E4717," ","")))</f>
        <v/>
      </c>
      <c r="K4717" s="10" t="str">
        <f aca="false">IF($A4717="","",$G4717&amp;"|"&amp;$J4717)</f>
        <v/>
      </c>
      <c r="L4717" s="10" t="str">
        <f aca="false">IF($A4717="","",ROW()-2)</f>
        <v/>
      </c>
      <c r="M4717" s="10" t="str">
        <f aca="false">IF($A4717="","",ROW())</f>
        <v/>
      </c>
    </row>
    <row r="4718" customFormat="false" ht="15" hidden="false" customHeight="true" outlineLevel="0" collapsed="false">
      <c r="A4718" s="8"/>
      <c r="B4718" s="8"/>
      <c r="C4718" s="8"/>
      <c r="D4718" s="8"/>
      <c r="E4718" s="8"/>
      <c r="F4718" s="8"/>
      <c r="G4718" s="10" t="str">
        <f aca="false">IF($A4718="","",UPPER(SUBSTITUTE(SUBSTITUTE(SUBSTITUTE(SUBSTITUTE($A4718," ",""),"(주)",""),"주식회사",""),"㈜","")))</f>
        <v/>
      </c>
      <c r="H4718" s="10" t="str">
        <f aca="false">IF($B4718="","",SUBSTITUTE(SUBSTITUTE(SUBSTITUTE($B4718,"-","")," ",""),".",""))</f>
        <v/>
      </c>
      <c r="I4718" s="10" t="str">
        <f aca="false">IF($D4718="","",SUBSTITUTE(SUBSTITUTE(SUBSTITUTE($D4718,"-","")," ",""),".",""))</f>
        <v/>
      </c>
      <c r="J4718" s="10" t="str">
        <f aca="false">IF($E4718="","",UPPER(SUBSTITUTE($E4718," ","")))</f>
        <v/>
      </c>
      <c r="K4718" s="10" t="str">
        <f aca="false">IF($A4718="","",$G4718&amp;"|"&amp;$J4718)</f>
        <v/>
      </c>
      <c r="L4718" s="10" t="str">
        <f aca="false">IF($A4718="","",ROW()-2)</f>
        <v/>
      </c>
      <c r="M4718" s="10" t="str">
        <f aca="false">IF($A4718="","",ROW())</f>
        <v/>
      </c>
    </row>
    <row r="4719" customFormat="false" ht="15" hidden="false" customHeight="true" outlineLevel="0" collapsed="false">
      <c r="A4719" s="8"/>
      <c r="B4719" s="8"/>
      <c r="C4719" s="8"/>
      <c r="D4719" s="8"/>
      <c r="E4719" s="8"/>
      <c r="F4719" s="8"/>
      <c r="G4719" s="10" t="str">
        <f aca="false">IF($A4719="","",UPPER(SUBSTITUTE(SUBSTITUTE(SUBSTITUTE(SUBSTITUTE($A4719," ",""),"(주)",""),"주식회사",""),"㈜","")))</f>
        <v/>
      </c>
      <c r="H4719" s="10" t="str">
        <f aca="false">IF($B4719="","",SUBSTITUTE(SUBSTITUTE(SUBSTITUTE($B4719,"-","")," ",""),".",""))</f>
        <v/>
      </c>
      <c r="I4719" s="10" t="str">
        <f aca="false">IF($D4719="","",SUBSTITUTE(SUBSTITUTE(SUBSTITUTE($D4719,"-","")," ",""),".",""))</f>
        <v/>
      </c>
      <c r="J4719" s="10" t="str">
        <f aca="false">IF($E4719="","",UPPER(SUBSTITUTE($E4719," ","")))</f>
        <v/>
      </c>
      <c r="K4719" s="10" t="str">
        <f aca="false">IF($A4719="","",$G4719&amp;"|"&amp;$J4719)</f>
        <v/>
      </c>
      <c r="L4719" s="10" t="str">
        <f aca="false">IF($A4719="","",ROW()-2)</f>
        <v/>
      </c>
      <c r="M4719" s="10" t="str">
        <f aca="false">IF($A4719="","",ROW())</f>
        <v/>
      </c>
    </row>
    <row r="4720" customFormat="false" ht="15" hidden="false" customHeight="true" outlineLevel="0" collapsed="false">
      <c r="A4720" s="8"/>
      <c r="B4720" s="8"/>
      <c r="C4720" s="8"/>
      <c r="D4720" s="8"/>
      <c r="E4720" s="8"/>
      <c r="F4720" s="8"/>
      <c r="G4720" s="10" t="str">
        <f aca="false">IF($A4720="","",UPPER(SUBSTITUTE(SUBSTITUTE(SUBSTITUTE(SUBSTITUTE($A4720," ",""),"(주)",""),"주식회사",""),"㈜","")))</f>
        <v/>
      </c>
      <c r="H4720" s="10" t="str">
        <f aca="false">IF($B4720="","",SUBSTITUTE(SUBSTITUTE(SUBSTITUTE($B4720,"-","")," ",""),".",""))</f>
        <v/>
      </c>
      <c r="I4720" s="10" t="str">
        <f aca="false">IF($D4720="","",SUBSTITUTE(SUBSTITUTE(SUBSTITUTE($D4720,"-","")," ",""),".",""))</f>
        <v/>
      </c>
      <c r="J4720" s="10" t="str">
        <f aca="false">IF($E4720="","",UPPER(SUBSTITUTE($E4720," ","")))</f>
        <v/>
      </c>
      <c r="K4720" s="10" t="str">
        <f aca="false">IF($A4720="","",$G4720&amp;"|"&amp;$J4720)</f>
        <v/>
      </c>
      <c r="L4720" s="10" t="str">
        <f aca="false">IF($A4720="","",ROW()-2)</f>
        <v/>
      </c>
      <c r="M4720" s="10" t="str">
        <f aca="false">IF($A4720="","",ROW())</f>
        <v/>
      </c>
    </row>
    <row r="4721" customFormat="false" ht="15" hidden="false" customHeight="true" outlineLevel="0" collapsed="false">
      <c r="A4721" s="8"/>
      <c r="B4721" s="8"/>
      <c r="C4721" s="8"/>
      <c r="D4721" s="8"/>
      <c r="E4721" s="8"/>
      <c r="F4721" s="8"/>
      <c r="G4721" s="10" t="str">
        <f aca="false">IF($A4721="","",UPPER(SUBSTITUTE(SUBSTITUTE(SUBSTITUTE(SUBSTITUTE($A4721," ",""),"(주)",""),"주식회사",""),"㈜","")))</f>
        <v/>
      </c>
      <c r="H4721" s="10" t="str">
        <f aca="false">IF($B4721="","",SUBSTITUTE(SUBSTITUTE(SUBSTITUTE($B4721,"-","")," ",""),".",""))</f>
        <v/>
      </c>
      <c r="I4721" s="10" t="str">
        <f aca="false">IF($D4721="","",SUBSTITUTE(SUBSTITUTE(SUBSTITUTE($D4721,"-","")," ",""),".",""))</f>
        <v/>
      </c>
      <c r="J4721" s="10" t="str">
        <f aca="false">IF($E4721="","",UPPER(SUBSTITUTE($E4721," ","")))</f>
        <v/>
      </c>
      <c r="K4721" s="10" t="str">
        <f aca="false">IF($A4721="","",$G4721&amp;"|"&amp;$J4721)</f>
        <v/>
      </c>
      <c r="L4721" s="10" t="str">
        <f aca="false">IF($A4721="","",ROW()-2)</f>
        <v/>
      </c>
      <c r="M4721" s="10" t="str">
        <f aca="false">IF($A4721="","",ROW())</f>
        <v/>
      </c>
    </row>
    <row r="4722" customFormat="false" ht="15" hidden="false" customHeight="true" outlineLevel="0" collapsed="false">
      <c r="A4722" s="8"/>
      <c r="B4722" s="8"/>
      <c r="C4722" s="8"/>
      <c r="D4722" s="8"/>
      <c r="E4722" s="8"/>
      <c r="F4722" s="8"/>
      <c r="G4722" s="10" t="str">
        <f aca="false">IF($A4722="","",UPPER(SUBSTITUTE(SUBSTITUTE(SUBSTITUTE(SUBSTITUTE($A4722," ",""),"(주)",""),"주식회사",""),"㈜","")))</f>
        <v/>
      </c>
      <c r="H4722" s="10" t="str">
        <f aca="false">IF($B4722="","",SUBSTITUTE(SUBSTITUTE(SUBSTITUTE($B4722,"-","")," ",""),".",""))</f>
        <v/>
      </c>
      <c r="I4722" s="10" t="str">
        <f aca="false">IF($D4722="","",SUBSTITUTE(SUBSTITUTE(SUBSTITUTE($D4722,"-","")," ",""),".",""))</f>
        <v/>
      </c>
      <c r="J4722" s="10" t="str">
        <f aca="false">IF($E4722="","",UPPER(SUBSTITUTE($E4722," ","")))</f>
        <v/>
      </c>
      <c r="K4722" s="10" t="str">
        <f aca="false">IF($A4722="","",$G4722&amp;"|"&amp;$J4722)</f>
        <v/>
      </c>
      <c r="L4722" s="10" t="str">
        <f aca="false">IF($A4722="","",ROW()-2)</f>
        <v/>
      </c>
      <c r="M4722" s="10" t="str">
        <f aca="false">IF($A4722="","",ROW())</f>
        <v/>
      </c>
    </row>
    <row r="4723" customFormat="false" ht="15" hidden="false" customHeight="true" outlineLevel="0" collapsed="false">
      <c r="A4723" s="8"/>
      <c r="B4723" s="8"/>
      <c r="C4723" s="8"/>
      <c r="D4723" s="8"/>
      <c r="E4723" s="8"/>
      <c r="F4723" s="8"/>
      <c r="G4723" s="10" t="str">
        <f aca="false">IF($A4723="","",UPPER(SUBSTITUTE(SUBSTITUTE(SUBSTITUTE(SUBSTITUTE($A4723," ",""),"(주)",""),"주식회사",""),"㈜","")))</f>
        <v/>
      </c>
      <c r="H4723" s="10" t="str">
        <f aca="false">IF($B4723="","",SUBSTITUTE(SUBSTITUTE(SUBSTITUTE($B4723,"-","")," ",""),".",""))</f>
        <v/>
      </c>
      <c r="I4723" s="10" t="str">
        <f aca="false">IF($D4723="","",SUBSTITUTE(SUBSTITUTE(SUBSTITUTE($D4723,"-","")," ",""),".",""))</f>
        <v/>
      </c>
      <c r="J4723" s="10" t="str">
        <f aca="false">IF($E4723="","",UPPER(SUBSTITUTE($E4723," ","")))</f>
        <v/>
      </c>
      <c r="K4723" s="10" t="str">
        <f aca="false">IF($A4723="","",$G4723&amp;"|"&amp;$J4723)</f>
        <v/>
      </c>
      <c r="L4723" s="10" t="str">
        <f aca="false">IF($A4723="","",ROW()-2)</f>
        <v/>
      </c>
      <c r="M4723" s="10" t="str">
        <f aca="false">IF($A4723="","",ROW())</f>
        <v/>
      </c>
    </row>
    <row r="4724" customFormat="false" ht="15" hidden="false" customHeight="true" outlineLevel="0" collapsed="false">
      <c r="A4724" s="8"/>
      <c r="B4724" s="8"/>
      <c r="C4724" s="8"/>
      <c r="D4724" s="8"/>
      <c r="E4724" s="8"/>
      <c r="F4724" s="8"/>
      <c r="G4724" s="10" t="str">
        <f aca="false">IF($A4724="","",UPPER(SUBSTITUTE(SUBSTITUTE(SUBSTITUTE(SUBSTITUTE($A4724," ",""),"(주)",""),"주식회사",""),"㈜","")))</f>
        <v/>
      </c>
      <c r="H4724" s="10" t="str">
        <f aca="false">IF($B4724="","",SUBSTITUTE(SUBSTITUTE(SUBSTITUTE($B4724,"-","")," ",""),".",""))</f>
        <v/>
      </c>
      <c r="I4724" s="10" t="str">
        <f aca="false">IF($D4724="","",SUBSTITUTE(SUBSTITUTE(SUBSTITUTE($D4724,"-","")," ",""),".",""))</f>
        <v/>
      </c>
      <c r="J4724" s="10" t="str">
        <f aca="false">IF($E4724="","",UPPER(SUBSTITUTE($E4724," ","")))</f>
        <v/>
      </c>
      <c r="K4724" s="10" t="str">
        <f aca="false">IF($A4724="","",$G4724&amp;"|"&amp;$J4724)</f>
        <v/>
      </c>
      <c r="L4724" s="10" t="str">
        <f aca="false">IF($A4724="","",ROW()-2)</f>
        <v/>
      </c>
      <c r="M4724" s="10" t="str">
        <f aca="false">IF($A4724="","",ROW())</f>
        <v/>
      </c>
    </row>
    <row r="4725" customFormat="false" ht="15" hidden="false" customHeight="true" outlineLevel="0" collapsed="false">
      <c r="A4725" s="8"/>
      <c r="B4725" s="8"/>
      <c r="C4725" s="8"/>
      <c r="D4725" s="8"/>
      <c r="E4725" s="8"/>
      <c r="F4725" s="8"/>
      <c r="G4725" s="10" t="str">
        <f aca="false">IF($A4725="","",UPPER(SUBSTITUTE(SUBSTITUTE(SUBSTITUTE(SUBSTITUTE($A4725," ",""),"(주)",""),"주식회사",""),"㈜","")))</f>
        <v/>
      </c>
      <c r="H4725" s="10" t="str">
        <f aca="false">IF($B4725="","",SUBSTITUTE(SUBSTITUTE(SUBSTITUTE($B4725,"-","")," ",""),".",""))</f>
        <v/>
      </c>
      <c r="I4725" s="10" t="str">
        <f aca="false">IF($D4725="","",SUBSTITUTE(SUBSTITUTE(SUBSTITUTE($D4725,"-","")," ",""),".",""))</f>
        <v/>
      </c>
      <c r="J4725" s="10" t="str">
        <f aca="false">IF($E4725="","",UPPER(SUBSTITUTE($E4725," ","")))</f>
        <v/>
      </c>
      <c r="K4725" s="10" t="str">
        <f aca="false">IF($A4725="","",$G4725&amp;"|"&amp;$J4725)</f>
        <v/>
      </c>
      <c r="L4725" s="10" t="str">
        <f aca="false">IF($A4725="","",ROW()-2)</f>
        <v/>
      </c>
      <c r="M4725" s="10" t="str">
        <f aca="false">IF($A4725="","",ROW())</f>
        <v/>
      </c>
    </row>
    <row r="4726" customFormat="false" ht="15" hidden="false" customHeight="true" outlineLevel="0" collapsed="false">
      <c r="A4726" s="8"/>
      <c r="B4726" s="8"/>
      <c r="C4726" s="8"/>
      <c r="D4726" s="8"/>
      <c r="E4726" s="8"/>
      <c r="F4726" s="8"/>
      <c r="G4726" s="10" t="str">
        <f aca="false">IF($A4726="","",UPPER(SUBSTITUTE(SUBSTITUTE(SUBSTITUTE(SUBSTITUTE($A4726," ",""),"(주)",""),"주식회사",""),"㈜","")))</f>
        <v/>
      </c>
      <c r="H4726" s="10" t="str">
        <f aca="false">IF($B4726="","",SUBSTITUTE(SUBSTITUTE(SUBSTITUTE($B4726,"-","")," ",""),".",""))</f>
        <v/>
      </c>
      <c r="I4726" s="10" t="str">
        <f aca="false">IF($D4726="","",SUBSTITUTE(SUBSTITUTE(SUBSTITUTE($D4726,"-","")," ",""),".",""))</f>
        <v/>
      </c>
      <c r="J4726" s="10" t="str">
        <f aca="false">IF($E4726="","",UPPER(SUBSTITUTE($E4726," ","")))</f>
        <v/>
      </c>
      <c r="K4726" s="10" t="str">
        <f aca="false">IF($A4726="","",$G4726&amp;"|"&amp;$J4726)</f>
        <v/>
      </c>
      <c r="L4726" s="10" t="str">
        <f aca="false">IF($A4726="","",ROW()-2)</f>
        <v/>
      </c>
      <c r="M4726" s="10" t="str">
        <f aca="false">IF($A4726="","",ROW())</f>
        <v/>
      </c>
    </row>
    <row r="4727" customFormat="false" ht="15" hidden="false" customHeight="true" outlineLevel="0" collapsed="false">
      <c r="A4727" s="8"/>
      <c r="B4727" s="8"/>
      <c r="C4727" s="8"/>
      <c r="D4727" s="8"/>
      <c r="E4727" s="8"/>
      <c r="F4727" s="8"/>
      <c r="G4727" s="10" t="str">
        <f aca="false">IF($A4727="","",UPPER(SUBSTITUTE(SUBSTITUTE(SUBSTITUTE(SUBSTITUTE($A4727," ",""),"(주)",""),"주식회사",""),"㈜","")))</f>
        <v/>
      </c>
      <c r="H4727" s="10" t="str">
        <f aca="false">IF($B4727="","",SUBSTITUTE(SUBSTITUTE(SUBSTITUTE($B4727,"-","")," ",""),".",""))</f>
        <v/>
      </c>
      <c r="I4727" s="10" t="str">
        <f aca="false">IF($D4727="","",SUBSTITUTE(SUBSTITUTE(SUBSTITUTE($D4727,"-","")," ",""),".",""))</f>
        <v/>
      </c>
      <c r="J4727" s="10" t="str">
        <f aca="false">IF($E4727="","",UPPER(SUBSTITUTE($E4727," ","")))</f>
        <v/>
      </c>
      <c r="K4727" s="10" t="str">
        <f aca="false">IF($A4727="","",$G4727&amp;"|"&amp;$J4727)</f>
        <v/>
      </c>
      <c r="L4727" s="10" t="str">
        <f aca="false">IF($A4727="","",ROW()-2)</f>
        <v/>
      </c>
      <c r="M4727" s="10" t="str">
        <f aca="false">IF($A4727="","",ROW())</f>
        <v/>
      </c>
    </row>
    <row r="4728" customFormat="false" ht="15" hidden="false" customHeight="true" outlineLevel="0" collapsed="false">
      <c r="A4728" s="8"/>
      <c r="B4728" s="8"/>
      <c r="C4728" s="8"/>
      <c r="D4728" s="8"/>
      <c r="E4728" s="8"/>
      <c r="F4728" s="8"/>
      <c r="G4728" s="10" t="str">
        <f aca="false">IF($A4728="","",UPPER(SUBSTITUTE(SUBSTITUTE(SUBSTITUTE(SUBSTITUTE($A4728," ",""),"(주)",""),"주식회사",""),"㈜","")))</f>
        <v/>
      </c>
      <c r="H4728" s="10" t="str">
        <f aca="false">IF($B4728="","",SUBSTITUTE(SUBSTITUTE(SUBSTITUTE($B4728,"-","")," ",""),".",""))</f>
        <v/>
      </c>
      <c r="I4728" s="10" t="str">
        <f aca="false">IF($D4728="","",SUBSTITUTE(SUBSTITUTE(SUBSTITUTE($D4728,"-","")," ",""),".",""))</f>
        <v/>
      </c>
      <c r="J4728" s="10" t="str">
        <f aca="false">IF($E4728="","",UPPER(SUBSTITUTE($E4728," ","")))</f>
        <v/>
      </c>
      <c r="K4728" s="10" t="str">
        <f aca="false">IF($A4728="","",$G4728&amp;"|"&amp;$J4728)</f>
        <v/>
      </c>
      <c r="L4728" s="10" t="str">
        <f aca="false">IF($A4728="","",ROW()-2)</f>
        <v/>
      </c>
      <c r="M4728" s="10" t="str">
        <f aca="false">IF($A4728="","",ROW())</f>
        <v/>
      </c>
    </row>
    <row r="4729" customFormat="false" ht="15" hidden="false" customHeight="true" outlineLevel="0" collapsed="false">
      <c r="A4729" s="8"/>
      <c r="B4729" s="8"/>
      <c r="C4729" s="8"/>
      <c r="D4729" s="8"/>
      <c r="E4729" s="8"/>
      <c r="F4729" s="8"/>
      <c r="G4729" s="10" t="str">
        <f aca="false">IF($A4729="","",UPPER(SUBSTITUTE(SUBSTITUTE(SUBSTITUTE(SUBSTITUTE($A4729," ",""),"(주)",""),"주식회사",""),"㈜","")))</f>
        <v/>
      </c>
      <c r="H4729" s="10" t="str">
        <f aca="false">IF($B4729="","",SUBSTITUTE(SUBSTITUTE(SUBSTITUTE($B4729,"-","")," ",""),".",""))</f>
        <v/>
      </c>
      <c r="I4729" s="10" t="str">
        <f aca="false">IF($D4729="","",SUBSTITUTE(SUBSTITUTE(SUBSTITUTE($D4729,"-","")," ",""),".",""))</f>
        <v/>
      </c>
      <c r="J4729" s="10" t="str">
        <f aca="false">IF($E4729="","",UPPER(SUBSTITUTE($E4729," ","")))</f>
        <v/>
      </c>
      <c r="K4729" s="10" t="str">
        <f aca="false">IF($A4729="","",$G4729&amp;"|"&amp;$J4729)</f>
        <v/>
      </c>
      <c r="L4729" s="10" t="str">
        <f aca="false">IF($A4729="","",ROW()-2)</f>
        <v/>
      </c>
      <c r="M4729" s="10" t="str">
        <f aca="false">IF($A4729="","",ROW())</f>
        <v/>
      </c>
    </row>
    <row r="4730" customFormat="false" ht="15" hidden="false" customHeight="true" outlineLevel="0" collapsed="false">
      <c r="A4730" s="8"/>
      <c r="B4730" s="8"/>
      <c r="C4730" s="8"/>
      <c r="D4730" s="8"/>
      <c r="E4730" s="8"/>
      <c r="F4730" s="8"/>
      <c r="G4730" s="10" t="str">
        <f aca="false">IF($A4730="","",UPPER(SUBSTITUTE(SUBSTITUTE(SUBSTITUTE(SUBSTITUTE($A4730," ",""),"(주)",""),"주식회사",""),"㈜","")))</f>
        <v/>
      </c>
      <c r="H4730" s="10" t="str">
        <f aca="false">IF($B4730="","",SUBSTITUTE(SUBSTITUTE(SUBSTITUTE($B4730,"-","")," ",""),".",""))</f>
        <v/>
      </c>
      <c r="I4730" s="10" t="str">
        <f aca="false">IF($D4730="","",SUBSTITUTE(SUBSTITUTE(SUBSTITUTE($D4730,"-","")," ",""),".",""))</f>
        <v/>
      </c>
      <c r="J4730" s="10" t="str">
        <f aca="false">IF($E4730="","",UPPER(SUBSTITUTE($E4730," ","")))</f>
        <v/>
      </c>
      <c r="K4730" s="10" t="str">
        <f aca="false">IF($A4730="","",$G4730&amp;"|"&amp;$J4730)</f>
        <v/>
      </c>
      <c r="L4730" s="10" t="str">
        <f aca="false">IF($A4730="","",ROW()-2)</f>
        <v/>
      </c>
      <c r="M4730" s="10" t="str">
        <f aca="false">IF($A4730="","",ROW())</f>
        <v/>
      </c>
    </row>
    <row r="4731" customFormat="false" ht="15" hidden="false" customHeight="true" outlineLevel="0" collapsed="false">
      <c r="A4731" s="8"/>
      <c r="B4731" s="8"/>
      <c r="C4731" s="8"/>
      <c r="D4731" s="8"/>
      <c r="E4731" s="8"/>
      <c r="F4731" s="8"/>
      <c r="G4731" s="10" t="str">
        <f aca="false">IF($A4731="","",UPPER(SUBSTITUTE(SUBSTITUTE(SUBSTITUTE(SUBSTITUTE($A4731," ",""),"(주)",""),"주식회사",""),"㈜","")))</f>
        <v/>
      </c>
      <c r="H4731" s="10" t="str">
        <f aca="false">IF($B4731="","",SUBSTITUTE(SUBSTITUTE(SUBSTITUTE($B4731,"-","")," ",""),".",""))</f>
        <v/>
      </c>
      <c r="I4731" s="10" t="str">
        <f aca="false">IF($D4731="","",SUBSTITUTE(SUBSTITUTE(SUBSTITUTE($D4731,"-","")," ",""),".",""))</f>
        <v/>
      </c>
      <c r="J4731" s="10" t="str">
        <f aca="false">IF($E4731="","",UPPER(SUBSTITUTE($E4731," ","")))</f>
        <v/>
      </c>
      <c r="K4731" s="10" t="str">
        <f aca="false">IF($A4731="","",$G4731&amp;"|"&amp;$J4731)</f>
        <v/>
      </c>
      <c r="L4731" s="10" t="str">
        <f aca="false">IF($A4731="","",ROW()-2)</f>
        <v/>
      </c>
      <c r="M4731" s="10" t="str">
        <f aca="false">IF($A4731="","",ROW())</f>
        <v/>
      </c>
    </row>
    <row r="4732" customFormat="false" ht="15" hidden="false" customHeight="true" outlineLevel="0" collapsed="false">
      <c r="A4732" s="8"/>
      <c r="B4732" s="8"/>
      <c r="C4732" s="8"/>
      <c r="D4732" s="8"/>
      <c r="E4732" s="8"/>
      <c r="F4732" s="8"/>
      <c r="G4732" s="10" t="str">
        <f aca="false">IF($A4732="","",UPPER(SUBSTITUTE(SUBSTITUTE(SUBSTITUTE(SUBSTITUTE($A4732," ",""),"(주)",""),"주식회사",""),"㈜","")))</f>
        <v/>
      </c>
      <c r="H4732" s="10" t="str">
        <f aca="false">IF($B4732="","",SUBSTITUTE(SUBSTITUTE(SUBSTITUTE($B4732,"-","")," ",""),".",""))</f>
        <v/>
      </c>
      <c r="I4732" s="10" t="str">
        <f aca="false">IF($D4732="","",SUBSTITUTE(SUBSTITUTE(SUBSTITUTE($D4732,"-","")," ",""),".",""))</f>
        <v/>
      </c>
      <c r="J4732" s="10" t="str">
        <f aca="false">IF($E4732="","",UPPER(SUBSTITUTE($E4732," ","")))</f>
        <v/>
      </c>
      <c r="K4732" s="10" t="str">
        <f aca="false">IF($A4732="","",$G4732&amp;"|"&amp;$J4732)</f>
        <v/>
      </c>
      <c r="L4732" s="10" t="str">
        <f aca="false">IF($A4732="","",ROW()-2)</f>
        <v/>
      </c>
      <c r="M4732" s="10" t="str">
        <f aca="false">IF($A4732="","",ROW())</f>
        <v/>
      </c>
    </row>
    <row r="4733" customFormat="false" ht="15" hidden="false" customHeight="true" outlineLevel="0" collapsed="false">
      <c r="A4733" s="8"/>
      <c r="B4733" s="8"/>
      <c r="C4733" s="8"/>
      <c r="D4733" s="8"/>
      <c r="E4733" s="8"/>
      <c r="F4733" s="8"/>
      <c r="G4733" s="10" t="str">
        <f aca="false">IF($A4733="","",UPPER(SUBSTITUTE(SUBSTITUTE(SUBSTITUTE(SUBSTITUTE($A4733," ",""),"(주)",""),"주식회사",""),"㈜","")))</f>
        <v/>
      </c>
      <c r="H4733" s="10" t="str">
        <f aca="false">IF($B4733="","",SUBSTITUTE(SUBSTITUTE(SUBSTITUTE($B4733,"-","")," ",""),".",""))</f>
        <v/>
      </c>
      <c r="I4733" s="10" t="str">
        <f aca="false">IF($D4733="","",SUBSTITUTE(SUBSTITUTE(SUBSTITUTE($D4733,"-","")," ",""),".",""))</f>
        <v/>
      </c>
      <c r="J4733" s="10" t="str">
        <f aca="false">IF($E4733="","",UPPER(SUBSTITUTE($E4733," ","")))</f>
        <v/>
      </c>
      <c r="K4733" s="10" t="str">
        <f aca="false">IF($A4733="","",$G4733&amp;"|"&amp;$J4733)</f>
        <v/>
      </c>
      <c r="L4733" s="10" t="str">
        <f aca="false">IF($A4733="","",ROW()-2)</f>
        <v/>
      </c>
      <c r="M4733" s="10" t="str">
        <f aca="false">IF($A4733="","",ROW())</f>
        <v/>
      </c>
    </row>
    <row r="4734" customFormat="false" ht="15" hidden="false" customHeight="true" outlineLevel="0" collapsed="false">
      <c r="A4734" s="8"/>
      <c r="B4734" s="8"/>
      <c r="C4734" s="8"/>
      <c r="D4734" s="8"/>
      <c r="E4734" s="8"/>
      <c r="F4734" s="8"/>
      <c r="G4734" s="10" t="str">
        <f aca="false">IF($A4734="","",UPPER(SUBSTITUTE(SUBSTITUTE(SUBSTITUTE(SUBSTITUTE($A4734," ",""),"(주)",""),"주식회사",""),"㈜","")))</f>
        <v/>
      </c>
      <c r="H4734" s="10" t="str">
        <f aca="false">IF($B4734="","",SUBSTITUTE(SUBSTITUTE(SUBSTITUTE($B4734,"-","")," ",""),".",""))</f>
        <v/>
      </c>
      <c r="I4734" s="10" t="str">
        <f aca="false">IF($D4734="","",SUBSTITUTE(SUBSTITUTE(SUBSTITUTE($D4734,"-","")," ",""),".",""))</f>
        <v/>
      </c>
      <c r="J4734" s="10" t="str">
        <f aca="false">IF($E4734="","",UPPER(SUBSTITUTE($E4734," ","")))</f>
        <v/>
      </c>
      <c r="K4734" s="10" t="str">
        <f aca="false">IF($A4734="","",$G4734&amp;"|"&amp;$J4734)</f>
        <v/>
      </c>
      <c r="L4734" s="10" t="str">
        <f aca="false">IF($A4734="","",ROW()-2)</f>
        <v/>
      </c>
      <c r="M4734" s="10" t="str">
        <f aca="false">IF($A4734="","",ROW())</f>
        <v/>
      </c>
    </row>
    <row r="4735" customFormat="false" ht="15" hidden="false" customHeight="true" outlineLevel="0" collapsed="false">
      <c r="A4735" s="8"/>
      <c r="B4735" s="8"/>
      <c r="C4735" s="8"/>
      <c r="D4735" s="8"/>
      <c r="E4735" s="8"/>
      <c r="F4735" s="8"/>
      <c r="G4735" s="10" t="str">
        <f aca="false">IF($A4735="","",UPPER(SUBSTITUTE(SUBSTITUTE(SUBSTITUTE(SUBSTITUTE($A4735," ",""),"(주)",""),"주식회사",""),"㈜","")))</f>
        <v/>
      </c>
      <c r="H4735" s="10" t="str">
        <f aca="false">IF($B4735="","",SUBSTITUTE(SUBSTITUTE(SUBSTITUTE($B4735,"-","")," ",""),".",""))</f>
        <v/>
      </c>
      <c r="I4735" s="10" t="str">
        <f aca="false">IF($D4735="","",SUBSTITUTE(SUBSTITUTE(SUBSTITUTE($D4735,"-","")," ",""),".",""))</f>
        <v/>
      </c>
      <c r="J4735" s="10" t="str">
        <f aca="false">IF($E4735="","",UPPER(SUBSTITUTE($E4735," ","")))</f>
        <v/>
      </c>
      <c r="K4735" s="10" t="str">
        <f aca="false">IF($A4735="","",$G4735&amp;"|"&amp;$J4735)</f>
        <v/>
      </c>
      <c r="L4735" s="10" t="str">
        <f aca="false">IF($A4735="","",ROW()-2)</f>
        <v/>
      </c>
      <c r="M4735" s="10" t="str">
        <f aca="false">IF($A4735="","",ROW())</f>
        <v/>
      </c>
    </row>
    <row r="4736" customFormat="false" ht="15" hidden="false" customHeight="true" outlineLevel="0" collapsed="false">
      <c r="A4736" s="8"/>
      <c r="B4736" s="8"/>
      <c r="C4736" s="8"/>
      <c r="D4736" s="8"/>
      <c r="E4736" s="8"/>
      <c r="F4736" s="8"/>
      <c r="G4736" s="10" t="str">
        <f aca="false">IF($A4736="","",UPPER(SUBSTITUTE(SUBSTITUTE(SUBSTITUTE(SUBSTITUTE($A4736," ",""),"(주)",""),"주식회사",""),"㈜","")))</f>
        <v/>
      </c>
      <c r="H4736" s="10" t="str">
        <f aca="false">IF($B4736="","",SUBSTITUTE(SUBSTITUTE(SUBSTITUTE($B4736,"-","")," ",""),".",""))</f>
        <v/>
      </c>
      <c r="I4736" s="10" t="str">
        <f aca="false">IF($D4736="","",SUBSTITUTE(SUBSTITUTE(SUBSTITUTE($D4736,"-","")," ",""),".",""))</f>
        <v/>
      </c>
      <c r="J4736" s="10" t="str">
        <f aca="false">IF($E4736="","",UPPER(SUBSTITUTE($E4736," ","")))</f>
        <v/>
      </c>
      <c r="K4736" s="10" t="str">
        <f aca="false">IF($A4736="","",$G4736&amp;"|"&amp;$J4736)</f>
        <v/>
      </c>
      <c r="L4736" s="10" t="str">
        <f aca="false">IF($A4736="","",ROW()-2)</f>
        <v/>
      </c>
      <c r="M4736" s="10" t="str">
        <f aca="false">IF($A4736="","",ROW())</f>
        <v/>
      </c>
    </row>
    <row r="4737" customFormat="false" ht="15" hidden="false" customHeight="true" outlineLevel="0" collapsed="false">
      <c r="A4737" s="8"/>
      <c r="B4737" s="8"/>
      <c r="C4737" s="8"/>
      <c r="D4737" s="8"/>
      <c r="E4737" s="8"/>
      <c r="F4737" s="8"/>
      <c r="G4737" s="10" t="str">
        <f aca="false">IF($A4737="","",UPPER(SUBSTITUTE(SUBSTITUTE(SUBSTITUTE(SUBSTITUTE($A4737," ",""),"(주)",""),"주식회사",""),"㈜","")))</f>
        <v/>
      </c>
      <c r="H4737" s="10" t="str">
        <f aca="false">IF($B4737="","",SUBSTITUTE(SUBSTITUTE(SUBSTITUTE($B4737,"-","")," ",""),".",""))</f>
        <v/>
      </c>
      <c r="I4737" s="10" t="str">
        <f aca="false">IF($D4737="","",SUBSTITUTE(SUBSTITUTE(SUBSTITUTE($D4737,"-","")," ",""),".",""))</f>
        <v/>
      </c>
      <c r="J4737" s="10" t="str">
        <f aca="false">IF($E4737="","",UPPER(SUBSTITUTE($E4737," ","")))</f>
        <v/>
      </c>
      <c r="K4737" s="10" t="str">
        <f aca="false">IF($A4737="","",$G4737&amp;"|"&amp;$J4737)</f>
        <v/>
      </c>
      <c r="L4737" s="10" t="str">
        <f aca="false">IF($A4737="","",ROW()-2)</f>
        <v/>
      </c>
      <c r="M4737" s="10" t="str">
        <f aca="false">IF($A4737="","",ROW())</f>
        <v/>
      </c>
    </row>
    <row r="4738" customFormat="false" ht="15" hidden="false" customHeight="true" outlineLevel="0" collapsed="false">
      <c r="A4738" s="8"/>
      <c r="B4738" s="8"/>
      <c r="C4738" s="8"/>
      <c r="D4738" s="8"/>
      <c r="E4738" s="8"/>
      <c r="F4738" s="8"/>
      <c r="G4738" s="10" t="str">
        <f aca="false">IF($A4738="","",UPPER(SUBSTITUTE(SUBSTITUTE(SUBSTITUTE(SUBSTITUTE($A4738," ",""),"(주)",""),"주식회사",""),"㈜","")))</f>
        <v/>
      </c>
      <c r="H4738" s="10" t="str">
        <f aca="false">IF($B4738="","",SUBSTITUTE(SUBSTITUTE(SUBSTITUTE($B4738,"-","")," ",""),".",""))</f>
        <v/>
      </c>
      <c r="I4738" s="10" t="str">
        <f aca="false">IF($D4738="","",SUBSTITUTE(SUBSTITUTE(SUBSTITUTE($D4738,"-","")," ",""),".",""))</f>
        <v/>
      </c>
      <c r="J4738" s="10" t="str">
        <f aca="false">IF($E4738="","",UPPER(SUBSTITUTE($E4738," ","")))</f>
        <v/>
      </c>
      <c r="K4738" s="10" t="str">
        <f aca="false">IF($A4738="","",$G4738&amp;"|"&amp;$J4738)</f>
        <v/>
      </c>
      <c r="L4738" s="10" t="str">
        <f aca="false">IF($A4738="","",ROW()-2)</f>
        <v/>
      </c>
      <c r="M4738" s="10" t="str">
        <f aca="false">IF($A4738="","",ROW())</f>
        <v/>
      </c>
    </row>
    <row r="4739" customFormat="false" ht="15" hidden="false" customHeight="true" outlineLevel="0" collapsed="false">
      <c r="A4739" s="8"/>
      <c r="B4739" s="8"/>
      <c r="C4739" s="8"/>
      <c r="D4739" s="8"/>
      <c r="E4739" s="8"/>
      <c r="F4739" s="8"/>
      <c r="G4739" s="10" t="str">
        <f aca="false">IF($A4739="","",UPPER(SUBSTITUTE(SUBSTITUTE(SUBSTITUTE(SUBSTITUTE($A4739," ",""),"(주)",""),"주식회사",""),"㈜","")))</f>
        <v/>
      </c>
      <c r="H4739" s="10" t="str">
        <f aca="false">IF($B4739="","",SUBSTITUTE(SUBSTITUTE(SUBSTITUTE($B4739,"-","")," ",""),".",""))</f>
        <v/>
      </c>
      <c r="I4739" s="10" t="str">
        <f aca="false">IF($D4739="","",SUBSTITUTE(SUBSTITUTE(SUBSTITUTE($D4739,"-","")," ",""),".",""))</f>
        <v/>
      </c>
      <c r="J4739" s="10" t="str">
        <f aca="false">IF($E4739="","",UPPER(SUBSTITUTE($E4739," ","")))</f>
        <v/>
      </c>
      <c r="K4739" s="10" t="str">
        <f aca="false">IF($A4739="","",$G4739&amp;"|"&amp;$J4739)</f>
        <v/>
      </c>
      <c r="L4739" s="10" t="str">
        <f aca="false">IF($A4739="","",ROW()-2)</f>
        <v/>
      </c>
      <c r="M4739" s="10" t="str">
        <f aca="false">IF($A4739="","",ROW())</f>
        <v/>
      </c>
    </row>
    <row r="4740" customFormat="false" ht="15" hidden="false" customHeight="true" outlineLevel="0" collapsed="false">
      <c r="A4740" s="8"/>
      <c r="B4740" s="8"/>
      <c r="C4740" s="8"/>
      <c r="D4740" s="8"/>
      <c r="E4740" s="8"/>
      <c r="F4740" s="8"/>
      <c r="G4740" s="10" t="str">
        <f aca="false">IF($A4740="","",UPPER(SUBSTITUTE(SUBSTITUTE(SUBSTITUTE(SUBSTITUTE($A4740," ",""),"(주)",""),"주식회사",""),"㈜","")))</f>
        <v/>
      </c>
      <c r="H4740" s="10" t="str">
        <f aca="false">IF($B4740="","",SUBSTITUTE(SUBSTITUTE(SUBSTITUTE($B4740,"-","")," ",""),".",""))</f>
        <v/>
      </c>
      <c r="I4740" s="10" t="str">
        <f aca="false">IF($D4740="","",SUBSTITUTE(SUBSTITUTE(SUBSTITUTE($D4740,"-","")," ",""),".",""))</f>
        <v/>
      </c>
      <c r="J4740" s="10" t="str">
        <f aca="false">IF($E4740="","",UPPER(SUBSTITUTE($E4740," ","")))</f>
        <v/>
      </c>
      <c r="K4740" s="10" t="str">
        <f aca="false">IF($A4740="","",$G4740&amp;"|"&amp;$J4740)</f>
        <v/>
      </c>
      <c r="L4740" s="10" t="str">
        <f aca="false">IF($A4740="","",ROW()-2)</f>
        <v/>
      </c>
      <c r="M4740" s="10" t="str">
        <f aca="false">IF($A4740="","",ROW())</f>
        <v/>
      </c>
    </row>
    <row r="4741" customFormat="false" ht="15" hidden="false" customHeight="true" outlineLevel="0" collapsed="false">
      <c r="A4741" s="8"/>
      <c r="B4741" s="8"/>
      <c r="C4741" s="8"/>
      <c r="D4741" s="8"/>
      <c r="E4741" s="8"/>
      <c r="F4741" s="8"/>
      <c r="G4741" s="10" t="str">
        <f aca="false">IF($A4741="","",UPPER(SUBSTITUTE(SUBSTITUTE(SUBSTITUTE(SUBSTITUTE($A4741," ",""),"(주)",""),"주식회사",""),"㈜","")))</f>
        <v/>
      </c>
      <c r="H4741" s="10" t="str">
        <f aca="false">IF($B4741="","",SUBSTITUTE(SUBSTITUTE(SUBSTITUTE($B4741,"-","")," ",""),".",""))</f>
        <v/>
      </c>
      <c r="I4741" s="10" t="str">
        <f aca="false">IF($D4741="","",SUBSTITUTE(SUBSTITUTE(SUBSTITUTE($D4741,"-","")," ",""),".",""))</f>
        <v/>
      </c>
      <c r="J4741" s="10" t="str">
        <f aca="false">IF($E4741="","",UPPER(SUBSTITUTE($E4741," ","")))</f>
        <v/>
      </c>
      <c r="K4741" s="10" t="str">
        <f aca="false">IF($A4741="","",$G4741&amp;"|"&amp;$J4741)</f>
        <v/>
      </c>
      <c r="L4741" s="10" t="str">
        <f aca="false">IF($A4741="","",ROW()-2)</f>
        <v/>
      </c>
      <c r="M4741" s="10" t="str">
        <f aca="false">IF($A4741="","",ROW())</f>
        <v/>
      </c>
    </row>
    <row r="4742" customFormat="false" ht="15" hidden="false" customHeight="true" outlineLevel="0" collapsed="false">
      <c r="A4742" s="8"/>
      <c r="B4742" s="8"/>
      <c r="C4742" s="8"/>
      <c r="D4742" s="8"/>
      <c r="E4742" s="8"/>
      <c r="F4742" s="8"/>
      <c r="G4742" s="10" t="str">
        <f aca="false">IF($A4742="","",UPPER(SUBSTITUTE(SUBSTITUTE(SUBSTITUTE(SUBSTITUTE($A4742," ",""),"(주)",""),"주식회사",""),"㈜","")))</f>
        <v/>
      </c>
      <c r="H4742" s="10" t="str">
        <f aca="false">IF($B4742="","",SUBSTITUTE(SUBSTITUTE(SUBSTITUTE($B4742,"-","")," ",""),".",""))</f>
        <v/>
      </c>
      <c r="I4742" s="10" t="str">
        <f aca="false">IF($D4742="","",SUBSTITUTE(SUBSTITUTE(SUBSTITUTE($D4742,"-","")," ",""),".",""))</f>
        <v/>
      </c>
      <c r="J4742" s="10" t="str">
        <f aca="false">IF($E4742="","",UPPER(SUBSTITUTE($E4742," ","")))</f>
        <v/>
      </c>
      <c r="K4742" s="10" t="str">
        <f aca="false">IF($A4742="","",$G4742&amp;"|"&amp;$J4742)</f>
        <v/>
      </c>
      <c r="L4742" s="10" t="str">
        <f aca="false">IF($A4742="","",ROW()-2)</f>
        <v/>
      </c>
      <c r="M4742" s="10" t="str">
        <f aca="false">IF($A4742="","",ROW())</f>
        <v/>
      </c>
    </row>
    <row r="4743" customFormat="false" ht="15" hidden="false" customHeight="true" outlineLevel="0" collapsed="false">
      <c r="A4743" s="8"/>
      <c r="B4743" s="8"/>
      <c r="C4743" s="8"/>
      <c r="D4743" s="8"/>
      <c r="E4743" s="8"/>
      <c r="F4743" s="8"/>
      <c r="G4743" s="10" t="str">
        <f aca="false">IF($A4743="","",UPPER(SUBSTITUTE(SUBSTITUTE(SUBSTITUTE(SUBSTITUTE($A4743," ",""),"(주)",""),"주식회사",""),"㈜","")))</f>
        <v/>
      </c>
      <c r="H4743" s="10" t="str">
        <f aca="false">IF($B4743="","",SUBSTITUTE(SUBSTITUTE(SUBSTITUTE($B4743,"-","")," ",""),".",""))</f>
        <v/>
      </c>
      <c r="I4743" s="10" t="str">
        <f aca="false">IF($D4743="","",SUBSTITUTE(SUBSTITUTE(SUBSTITUTE($D4743,"-","")," ",""),".",""))</f>
        <v/>
      </c>
      <c r="J4743" s="10" t="str">
        <f aca="false">IF($E4743="","",UPPER(SUBSTITUTE($E4743," ","")))</f>
        <v/>
      </c>
      <c r="K4743" s="10" t="str">
        <f aca="false">IF($A4743="","",$G4743&amp;"|"&amp;$J4743)</f>
        <v/>
      </c>
      <c r="L4743" s="10" t="str">
        <f aca="false">IF($A4743="","",ROW()-2)</f>
        <v/>
      </c>
      <c r="M4743" s="10" t="str">
        <f aca="false">IF($A4743="","",ROW())</f>
        <v/>
      </c>
    </row>
    <row r="4744" customFormat="false" ht="15" hidden="false" customHeight="true" outlineLevel="0" collapsed="false">
      <c r="A4744" s="8"/>
      <c r="B4744" s="8"/>
      <c r="C4744" s="8"/>
      <c r="D4744" s="8"/>
      <c r="E4744" s="8"/>
      <c r="F4744" s="8"/>
      <c r="G4744" s="10" t="str">
        <f aca="false">IF($A4744="","",UPPER(SUBSTITUTE(SUBSTITUTE(SUBSTITUTE(SUBSTITUTE($A4744," ",""),"(주)",""),"주식회사",""),"㈜","")))</f>
        <v/>
      </c>
      <c r="H4744" s="10" t="str">
        <f aca="false">IF($B4744="","",SUBSTITUTE(SUBSTITUTE(SUBSTITUTE($B4744,"-","")," ",""),".",""))</f>
        <v/>
      </c>
      <c r="I4744" s="10" t="str">
        <f aca="false">IF($D4744="","",SUBSTITUTE(SUBSTITUTE(SUBSTITUTE($D4744,"-","")," ",""),".",""))</f>
        <v/>
      </c>
      <c r="J4744" s="10" t="str">
        <f aca="false">IF($E4744="","",UPPER(SUBSTITUTE($E4744," ","")))</f>
        <v/>
      </c>
      <c r="K4744" s="10" t="str">
        <f aca="false">IF($A4744="","",$G4744&amp;"|"&amp;$J4744)</f>
        <v/>
      </c>
      <c r="L4744" s="10" t="str">
        <f aca="false">IF($A4744="","",ROW()-2)</f>
        <v/>
      </c>
      <c r="M4744" s="10" t="str">
        <f aca="false">IF($A4744="","",ROW())</f>
        <v/>
      </c>
    </row>
    <row r="4745" customFormat="false" ht="15" hidden="false" customHeight="true" outlineLevel="0" collapsed="false">
      <c r="A4745" s="8"/>
      <c r="B4745" s="8"/>
      <c r="C4745" s="8"/>
      <c r="D4745" s="8"/>
      <c r="E4745" s="8"/>
      <c r="F4745" s="8"/>
      <c r="G4745" s="10" t="str">
        <f aca="false">IF($A4745="","",UPPER(SUBSTITUTE(SUBSTITUTE(SUBSTITUTE(SUBSTITUTE($A4745," ",""),"(주)",""),"주식회사",""),"㈜","")))</f>
        <v/>
      </c>
      <c r="H4745" s="10" t="str">
        <f aca="false">IF($B4745="","",SUBSTITUTE(SUBSTITUTE(SUBSTITUTE($B4745,"-","")," ",""),".",""))</f>
        <v/>
      </c>
      <c r="I4745" s="10" t="str">
        <f aca="false">IF($D4745="","",SUBSTITUTE(SUBSTITUTE(SUBSTITUTE($D4745,"-","")," ",""),".",""))</f>
        <v/>
      </c>
      <c r="J4745" s="10" t="str">
        <f aca="false">IF($E4745="","",UPPER(SUBSTITUTE($E4745," ","")))</f>
        <v/>
      </c>
      <c r="K4745" s="10" t="str">
        <f aca="false">IF($A4745="","",$G4745&amp;"|"&amp;$J4745)</f>
        <v/>
      </c>
      <c r="L4745" s="10" t="str">
        <f aca="false">IF($A4745="","",ROW()-2)</f>
        <v/>
      </c>
      <c r="M4745" s="10" t="str">
        <f aca="false">IF($A4745="","",ROW())</f>
        <v/>
      </c>
    </row>
    <row r="4746" customFormat="false" ht="15" hidden="false" customHeight="true" outlineLevel="0" collapsed="false">
      <c r="A4746" s="8"/>
      <c r="B4746" s="8"/>
      <c r="C4746" s="8"/>
      <c r="D4746" s="8"/>
      <c r="E4746" s="8"/>
      <c r="F4746" s="8"/>
      <c r="G4746" s="10" t="str">
        <f aca="false">IF($A4746="","",UPPER(SUBSTITUTE(SUBSTITUTE(SUBSTITUTE(SUBSTITUTE($A4746," ",""),"(주)",""),"주식회사",""),"㈜","")))</f>
        <v/>
      </c>
      <c r="H4746" s="10" t="str">
        <f aca="false">IF($B4746="","",SUBSTITUTE(SUBSTITUTE(SUBSTITUTE($B4746,"-","")," ",""),".",""))</f>
        <v/>
      </c>
      <c r="I4746" s="10" t="str">
        <f aca="false">IF($D4746="","",SUBSTITUTE(SUBSTITUTE(SUBSTITUTE($D4746,"-","")," ",""),".",""))</f>
        <v/>
      </c>
      <c r="J4746" s="10" t="str">
        <f aca="false">IF($E4746="","",UPPER(SUBSTITUTE($E4746," ","")))</f>
        <v/>
      </c>
      <c r="K4746" s="10" t="str">
        <f aca="false">IF($A4746="","",$G4746&amp;"|"&amp;$J4746)</f>
        <v/>
      </c>
      <c r="L4746" s="10" t="str">
        <f aca="false">IF($A4746="","",ROW()-2)</f>
        <v/>
      </c>
      <c r="M4746" s="10" t="str">
        <f aca="false">IF($A4746="","",ROW())</f>
        <v/>
      </c>
    </row>
    <row r="4747" customFormat="false" ht="15" hidden="false" customHeight="true" outlineLevel="0" collapsed="false">
      <c r="A4747" s="8"/>
      <c r="B4747" s="8"/>
      <c r="C4747" s="8"/>
      <c r="D4747" s="8"/>
      <c r="E4747" s="8"/>
      <c r="F4747" s="8"/>
      <c r="G4747" s="10" t="str">
        <f aca="false">IF($A4747="","",UPPER(SUBSTITUTE(SUBSTITUTE(SUBSTITUTE(SUBSTITUTE($A4747," ",""),"(주)",""),"주식회사",""),"㈜","")))</f>
        <v/>
      </c>
      <c r="H4747" s="10" t="str">
        <f aca="false">IF($B4747="","",SUBSTITUTE(SUBSTITUTE(SUBSTITUTE($B4747,"-","")," ",""),".",""))</f>
        <v/>
      </c>
      <c r="I4747" s="10" t="str">
        <f aca="false">IF($D4747="","",SUBSTITUTE(SUBSTITUTE(SUBSTITUTE($D4747,"-","")," ",""),".",""))</f>
        <v/>
      </c>
      <c r="J4747" s="10" t="str">
        <f aca="false">IF($E4747="","",UPPER(SUBSTITUTE($E4747," ","")))</f>
        <v/>
      </c>
      <c r="K4747" s="10" t="str">
        <f aca="false">IF($A4747="","",$G4747&amp;"|"&amp;$J4747)</f>
        <v/>
      </c>
      <c r="L4747" s="10" t="str">
        <f aca="false">IF($A4747="","",ROW()-2)</f>
        <v/>
      </c>
      <c r="M4747" s="10" t="str">
        <f aca="false">IF($A4747="","",ROW())</f>
        <v/>
      </c>
    </row>
    <row r="4748" customFormat="false" ht="15" hidden="false" customHeight="true" outlineLevel="0" collapsed="false">
      <c r="A4748" s="8"/>
      <c r="B4748" s="8"/>
      <c r="C4748" s="8"/>
      <c r="D4748" s="8"/>
      <c r="E4748" s="8"/>
      <c r="F4748" s="8"/>
      <c r="G4748" s="10" t="str">
        <f aca="false">IF($A4748="","",UPPER(SUBSTITUTE(SUBSTITUTE(SUBSTITUTE(SUBSTITUTE($A4748," ",""),"(주)",""),"주식회사",""),"㈜","")))</f>
        <v/>
      </c>
      <c r="H4748" s="10" t="str">
        <f aca="false">IF($B4748="","",SUBSTITUTE(SUBSTITUTE(SUBSTITUTE($B4748,"-","")," ",""),".",""))</f>
        <v/>
      </c>
      <c r="I4748" s="10" t="str">
        <f aca="false">IF($D4748="","",SUBSTITUTE(SUBSTITUTE(SUBSTITUTE($D4748,"-","")," ",""),".",""))</f>
        <v/>
      </c>
      <c r="J4748" s="10" t="str">
        <f aca="false">IF($E4748="","",UPPER(SUBSTITUTE($E4748," ","")))</f>
        <v/>
      </c>
      <c r="K4748" s="10" t="str">
        <f aca="false">IF($A4748="","",$G4748&amp;"|"&amp;$J4748)</f>
        <v/>
      </c>
      <c r="L4748" s="10" t="str">
        <f aca="false">IF($A4748="","",ROW()-2)</f>
        <v/>
      </c>
      <c r="M4748" s="10" t="str">
        <f aca="false">IF($A4748="","",ROW())</f>
        <v/>
      </c>
    </row>
    <row r="4749" customFormat="false" ht="15" hidden="false" customHeight="true" outlineLevel="0" collapsed="false">
      <c r="A4749" s="8"/>
      <c r="B4749" s="8"/>
      <c r="C4749" s="8"/>
      <c r="D4749" s="8"/>
      <c r="E4749" s="8"/>
      <c r="F4749" s="8"/>
      <c r="G4749" s="10" t="str">
        <f aca="false">IF($A4749="","",UPPER(SUBSTITUTE(SUBSTITUTE(SUBSTITUTE(SUBSTITUTE($A4749," ",""),"(주)",""),"주식회사",""),"㈜","")))</f>
        <v/>
      </c>
      <c r="H4749" s="10" t="str">
        <f aca="false">IF($B4749="","",SUBSTITUTE(SUBSTITUTE(SUBSTITUTE($B4749,"-","")," ",""),".",""))</f>
        <v/>
      </c>
      <c r="I4749" s="10" t="str">
        <f aca="false">IF($D4749="","",SUBSTITUTE(SUBSTITUTE(SUBSTITUTE($D4749,"-","")," ",""),".",""))</f>
        <v/>
      </c>
      <c r="J4749" s="10" t="str">
        <f aca="false">IF($E4749="","",UPPER(SUBSTITUTE($E4749," ","")))</f>
        <v/>
      </c>
      <c r="K4749" s="10" t="str">
        <f aca="false">IF($A4749="","",$G4749&amp;"|"&amp;$J4749)</f>
        <v/>
      </c>
      <c r="L4749" s="10" t="str">
        <f aca="false">IF($A4749="","",ROW()-2)</f>
        <v/>
      </c>
      <c r="M4749" s="10" t="str">
        <f aca="false">IF($A4749="","",ROW())</f>
        <v/>
      </c>
    </row>
    <row r="4750" customFormat="false" ht="15" hidden="false" customHeight="true" outlineLevel="0" collapsed="false">
      <c r="A4750" s="8"/>
      <c r="B4750" s="8"/>
      <c r="C4750" s="8"/>
      <c r="D4750" s="8"/>
      <c r="E4750" s="8"/>
      <c r="F4750" s="8"/>
      <c r="G4750" s="10" t="str">
        <f aca="false">IF($A4750="","",UPPER(SUBSTITUTE(SUBSTITUTE(SUBSTITUTE(SUBSTITUTE($A4750," ",""),"(주)",""),"주식회사",""),"㈜","")))</f>
        <v/>
      </c>
      <c r="H4750" s="10" t="str">
        <f aca="false">IF($B4750="","",SUBSTITUTE(SUBSTITUTE(SUBSTITUTE($B4750,"-","")," ",""),".",""))</f>
        <v/>
      </c>
      <c r="I4750" s="10" t="str">
        <f aca="false">IF($D4750="","",SUBSTITUTE(SUBSTITUTE(SUBSTITUTE($D4750,"-","")," ",""),".",""))</f>
        <v/>
      </c>
      <c r="J4750" s="10" t="str">
        <f aca="false">IF($E4750="","",UPPER(SUBSTITUTE($E4750," ","")))</f>
        <v/>
      </c>
      <c r="K4750" s="10" t="str">
        <f aca="false">IF($A4750="","",$G4750&amp;"|"&amp;$J4750)</f>
        <v/>
      </c>
      <c r="L4750" s="10" t="str">
        <f aca="false">IF($A4750="","",ROW()-2)</f>
        <v/>
      </c>
      <c r="M4750" s="10" t="str">
        <f aca="false">IF($A4750="","",ROW())</f>
        <v/>
      </c>
    </row>
    <row r="4751" customFormat="false" ht="15" hidden="false" customHeight="true" outlineLevel="0" collapsed="false">
      <c r="A4751" s="8"/>
      <c r="B4751" s="8"/>
      <c r="C4751" s="8"/>
      <c r="D4751" s="8"/>
      <c r="E4751" s="8"/>
      <c r="F4751" s="8"/>
      <c r="G4751" s="10" t="str">
        <f aca="false">IF($A4751="","",UPPER(SUBSTITUTE(SUBSTITUTE(SUBSTITUTE(SUBSTITUTE($A4751," ",""),"(주)",""),"주식회사",""),"㈜","")))</f>
        <v/>
      </c>
      <c r="H4751" s="10" t="str">
        <f aca="false">IF($B4751="","",SUBSTITUTE(SUBSTITUTE(SUBSTITUTE($B4751,"-","")," ",""),".",""))</f>
        <v/>
      </c>
      <c r="I4751" s="10" t="str">
        <f aca="false">IF($D4751="","",SUBSTITUTE(SUBSTITUTE(SUBSTITUTE($D4751,"-","")," ",""),".",""))</f>
        <v/>
      </c>
      <c r="J4751" s="10" t="str">
        <f aca="false">IF($E4751="","",UPPER(SUBSTITUTE($E4751," ","")))</f>
        <v/>
      </c>
      <c r="K4751" s="10" t="str">
        <f aca="false">IF($A4751="","",$G4751&amp;"|"&amp;$J4751)</f>
        <v/>
      </c>
      <c r="L4751" s="10" t="str">
        <f aca="false">IF($A4751="","",ROW()-2)</f>
        <v/>
      </c>
      <c r="M4751" s="10" t="str">
        <f aca="false">IF($A4751="","",ROW())</f>
        <v/>
      </c>
    </row>
    <row r="4752" customFormat="false" ht="15" hidden="false" customHeight="true" outlineLevel="0" collapsed="false">
      <c r="A4752" s="8"/>
      <c r="B4752" s="8"/>
      <c r="C4752" s="8"/>
      <c r="D4752" s="8"/>
      <c r="E4752" s="8"/>
      <c r="F4752" s="8"/>
      <c r="G4752" s="10" t="str">
        <f aca="false">IF($A4752="","",UPPER(SUBSTITUTE(SUBSTITUTE(SUBSTITUTE(SUBSTITUTE($A4752," ",""),"(주)",""),"주식회사",""),"㈜","")))</f>
        <v/>
      </c>
      <c r="H4752" s="10" t="str">
        <f aca="false">IF($B4752="","",SUBSTITUTE(SUBSTITUTE(SUBSTITUTE($B4752,"-","")," ",""),".",""))</f>
        <v/>
      </c>
      <c r="I4752" s="10" t="str">
        <f aca="false">IF($D4752="","",SUBSTITUTE(SUBSTITUTE(SUBSTITUTE($D4752,"-","")," ",""),".",""))</f>
        <v/>
      </c>
      <c r="J4752" s="10" t="str">
        <f aca="false">IF($E4752="","",UPPER(SUBSTITUTE($E4752," ","")))</f>
        <v/>
      </c>
      <c r="K4752" s="10" t="str">
        <f aca="false">IF($A4752="","",$G4752&amp;"|"&amp;$J4752)</f>
        <v/>
      </c>
      <c r="L4752" s="10" t="str">
        <f aca="false">IF($A4752="","",ROW()-2)</f>
        <v/>
      </c>
      <c r="M4752" s="10" t="str">
        <f aca="false">IF($A4752="","",ROW())</f>
        <v/>
      </c>
    </row>
    <row r="4753" customFormat="false" ht="15" hidden="false" customHeight="true" outlineLevel="0" collapsed="false">
      <c r="A4753" s="8"/>
      <c r="B4753" s="8"/>
      <c r="C4753" s="8"/>
      <c r="D4753" s="8"/>
      <c r="E4753" s="8"/>
      <c r="F4753" s="8"/>
      <c r="G4753" s="10" t="str">
        <f aca="false">IF($A4753="","",UPPER(SUBSTITUTE(SUBSTITUTE(SUBSTITUTE(SUBSTITUTE($A4753," ",""),"(주)",""),"주식회사",""),"㈜","")))</f>
        <v/>
      </c>
      <c r="H4753" s="10" t="str">
        <f aca="false">IF($B4753="","",SUBSTITUTE(SUBSTITUTE(SUBSTITUTE($B4753,"-","")," ",""),".",""))</f>
        <v/>
      </c>
      <c r="I4753" s="10" t="str">
        <f aca="false">IF($D4753="","",SUBSTITUTE(SUBSTITUTE(SUBSTITUTE($D4753,"-","")," ",""),".",""))</f>
        <v/>
      </c>
      <c r="J4753" s="10" t="str">
        <f aca="false">IF($E4753="","",UPPER(SUBSTITUTE($E4753," ","")))</f>
        <v/>
      </c>
      <c r="K4753" s="10" t="str">
        <f aca="false">IF($A4753="","",$G4753&amp;"|"&amp;$J4753)</f>
        <v/>
      </c>
      <c r="L4753" s="10" t="str">
        <f aca="false">IF($A4753="","",ROW()-2)</f>
        <v/>
      </c>
      <c r="M4753" s="10" t="str">
        <f aca="false">IF($A4753="","",ROW())</f>
        <v/>
      </c>
    </row>
    <row r="4754" customFormat="false" ht="15" hidden="false" customHeight="true" outlineLevel="0" collapsed="false">
      <c r="A4754" s="8"/>
      <c r="B4754" s="8"/>
      <c r="C4754" s="8"/>
      <c r="D4754" s="8"/>
      <c r="E4754" s="8"/>
      <c r="F4754" s="8"/>
      <c r="G4754" s="10" t="str">
        <f aca="false">IF($A4754="","",UPPER(SUBSTITUTE(SUBSTITUTE(SUBSTITUTE(SUBSTITUTE($A4754," ",""),"(주)",""),"주식회사",""),"㈜","")))</f>
        <v/>
      </c>
      <c r="H4754" s="10" t="str">
        <f aca="false">IF($B4754="","",SUBSTITUTE(SUBSTITUTE(SUBSTITUTE($B4754,"-","")," ",""),".",""))</f>
        <v/>
      </c>
      <c r="I4754" s="10" t="str">
        <f aca="false">IF($D4754="","",SUBSTITUTE(SUBSTITUTE(SUBSTITUTE($D4754,"-","")," ",""),".",""))</f>
        <v/>
      </c>
      <c r="J4754" s="10" t="str">
        <f aca="false">IF($E4754="","",UPPER(SUBSTITUTE($E4754," ","")))</f>
        <v/>
      </c>
      <c r="K4754" s="10" t="str">
        <f aca="false">IF($A4754="","",$G4754&amp;"|"&amp;$J4754)</f>
        <v/>
      </c>
      <c r="L4754" s="10" t="str">
        <f aca="false">IF($A4754="","",ROW()-2)</f>
        <v/>
      </c>
      <c r="M4754" s="10" t="str">
        <f aca="false">IF($A4754="","",ROW())</f>
        <v/>
      </c>
    </row>
    <row r="4755" customFormat="false" ht="15" hidden="false" customHeight="true" outlineLevel="0" collapsed="false">
      <c r="A4755" s="8"/>
      <c r="B4755" s="8"/>
      <c r="C4755" s="8"/>
      <c r="D4755" s="8"/>
      <c r="E4755" s="8"/>
      <c r="F4755" s="8"/>
      <c r="G4755" s="10" t="str">
        <f aca="false">IF($A4755="","",UPPER(SUBSTITUTE(SUBSTITUTE(SUBSTITUTE(SUBSTITUTE($A4755," ",""),"(주)",""),"주식회사",""),"㈜","")))</f>
        <v/>
      </c>
      <c r="H4755" s="10" t="str">
        <f aca="false">IF($B4755="","",SUBSTITUTE(SUBSTITUTE(SUBSTITUTE($B4755,"-","")," ",""),".",""))</f>
        <v/>
      </c>
      <c r="I4755" s="10" t="str">
        <f aca="false">IF($D4755="","",SUBSTITUTE(SUBSTITUTE(SUBSTITUTE($D4755,"-","")," ",""),".",""))</f>
        <v/>
      </c>
      <c r="J4755" s="10" t="str">
        <f aca="false">IF($E4755="","",UPPER(SUBSTITUTE($E4755," ","")))</f>
        <v/>
      </c>
      <c r="K4755" s="10" t="str">
        <f aca="false">IF($A4755="","",$G4755&amp;"|"&amp;$J4755)</f>
        <v/>
      </c>
      <c r="L4755" s="10" t="str">
        <f aca="false">IF($A4755="","",ROW()-2)</f>
        <v/>
      </c>
      <c r="M4755" s="10" t="str">
        <f aca="false">IF($A4755="","",ROW())</f>
        <v/>
      </c>
    </row>
    <row r="4756" customFormat="false" ht="15" hidden="false" customHeight="true" outlineLevel="0" collapsed="false">
      <c r="A4756" s="8"/>
      <c r="B4756" s="8"/>
      <c r="C4756" s="8"/>
      <c r="D4756" s="8"/>
      <c r="E4756" s="8"/>
      <c r="F4756" s="8"/>
      <c r="G4756" s="10" t="str">
        <f aca="false">IF($A4756="","",UPPER(SUBSTITUTE(SUBSTITUTE(SUBSTITUTE(SUBSTITUTE($A4756," ",""),"(주)",""),"주식회사",""),"㈜","")))</f>
        <v/>
      </c>
      <c r="H4756" s="10" t="str">
        <f aca="false">IF($B4756="","",SUBSTITUTE(SUBSTITUTE(SUBSTITUTE($B4756,"-","")," ",""),".",""))</f>
        <v/>
      </c>
      <c r="I4756" s="10" t="str">
        <f aca="false">IF($D4756="","",SUBSTITUTE(SUBSTITUTE(SUBSTITUTE($D4756,"-","")," ",""),".",""))</f>
        <v/>
      </c>
      <c r="J4756" s="10" t="str">
        <f aca="false">IF($E4756="","",UPPER(SUBSTITUTE($E4756," ","")))</f>
        <v/>
      </c>
      <c r="K4756" s="10" t="str">
        <f aca="false">IF($A4756="","",$G4756&amp;"|"&amp;$J4756)</f>
        <v/>
      </c>
      <c r="L4756" s="10" t="str">
        <f aca="false">IF($A4756="","",ROW()-2)</f>
        <v/>
      </c>
      <c r="M4756" s="10" t="str">
        <f aca="false">IF($A4756="","",ROW())</f>
        <v/>
      </c>
    </row>
    <row r="4757" customFormat="false" ht="15" hidden="false" customHeight="true" outlineLevel="0" collapsed="false">
      <c r="A4757" s="8"/>
      <c r="B4757" s="8"/>
      <c r="C4757" s="8"/>
      <c r="D4757" s="8"/>
      <c r="E4757" s="8"/>
      <c r="F4757" s="8"/>
      <c r="G4757" s="10" t="str">
        <f aca="false">IF($A4757="","",UPPER(SUBSTITUTE(SUBSTITUTE(SUBSTITUTE(SUBSTITUTE($A4757," ",""),"(주)",""),"주식회사",""),"㈜","")))</f>
        <v/>
      </c>
      <c r="H4757" s="10" t="str">
        <f aca="false">IF($B4757="","",SUBSTITUTE(SUBSTITUTE(SUBSTITUTE($B4757,"-","")," ",""),".",""))</f>
        <v/>
      </c>
      <c r="I4757" s="10" t="str">
        <f aca="false">IF($D4757="","",SUBSTITUTE(SUBSTITUTE(SUBSTITUTE($D4757,"-","")," ",""),".",""))</f>
        <v/>
      </c>
      <c r="J4757" s="10" t="str">
        <f aca="false">IF($E4757="","",UPPER(SUBSTITUTE($E4757," ","")))</f>
        <v/>
      </c>
      <c r="K4757" s="10" t="str">
        <f aca="false">IF($A4757="","",$G4757&amp;"|"&amp;$J4757)</f>
        <v/>
      </c>
      <c r="L4757" s="10" t="str">
        <f aca="false">IF($A4757="","",ROW()-2)</f>
        <v/>
      </c>
      <c r="M4757" s="10" t="str">
        <f aca="false">IF($A4757="","",ROW())</f>
        <v/>
      </c>
    </row>
    <row r="4758" customFormat="false" ht="15" hidden="false" customHeight="true" outlineLevel="0" collapsed="false">
      <c r="A4758" s="8"/>
      <c r="B4758" s="8"/>
      <c r="C4758" s="8"/>
      <c r="D4758" s="8"/>
      <c r="E4758" s="8"/>
      <c r="F4758" s="8"/>
      <c r="G4758" s="10" t="str">
        <f aca="false">IF($A4758="","",UPPER(SUBSTITUTE(SUBSTITUTE(SUBSTITUTE(SUBSTITUTE($A4758," ",""),"(주)",""),"주식회사",""),"㈜","")))</f>
        <v/>
      </c>
      <c r="H4758" s="10" t="str">
        <f aca="false">IF($B4758="","",SUBSTITUTE(SUBSTITUTE(SUBSTITUTE($B4758,"-","")," ",""),".",""))</f>
        <v/>
      </c>
      <c r="I4758" s="10" t="str">
        <f aca="false">IF($D4758="","",SUBSTITUTE(SUBSTITUTE(SUBSTITUTE($D4758,"-","")," ",""),".",""))</f>
        <v/>
      </c>
      <c r="J4758" s="10" t="str">
        <f aca="false">IF($E4758="","",UPPER(SUBSTITUTE($E4758," ","")))</f>
        <v/>
      </c>
      <c r="K4758" s="10" t="str">
        <f aca="false">IF($A4758="","",$G4758&amp;"|"&amp;$J4758)</f>
        <v/>
      </c>
      <c r="L4758" s="10" t="str">
        <f aca="false">IF($A4758="","",ROW()-2)</f>
        <v/>
      </c>
      <c r="M4758" s="10" t="str">
        <f aca="false">IF($A4758="","",ROW())</f>
        <v/>
      </c>
    </row>
    <row r="4759" customFormat="false" ht="15" hidden="false" customHeight="true" outlineLevel="0" collapsed="false">
      <c r="A4759" s="8"/>
      <c r="B4759" s="8"/>
      <c r="C4759" s="8"/>
      <c r="D4759" s="8"/>
      <c r="E4759" s="8"/>
      <c r="F4759" s="8"/>
      <c r="G4759" s="10" t="str">
        <f aca="false">IF($A4759="","",UPPER(SUBSTITUTE(SUBSTITUTE(SUBSTITUTE(SUBSTITUTE($A4759," ",""),"(주)",""),"주식회사",""),"㈜","")))</f>
        <v/>
      </c>
      <c r="H4759" s="10" t="str">
        <f aca="false">IF($B4759="","",SUBSTITUTE(SUBSTITUTE(SUBSTITUTE($B4759,"-","")," ",""),".",""))</f>
        <v/>
      </c>
      <c r="I4759" s="10" t="str">
        <f aca="false">IF($D4759="","",SUBSTITUTE(SUBSTITUTE(SUBSTITUTE($D4759,"-","")," ",""),".",""))</f>
        <v/>
      </c>
      <c r="J4759" s="10" t="str">
        <f aca="false">IF($E4759="","",UPPER(SUBSTITUTE($E4759," ","")))</f>
        <v/>
      </c>
      <c r="K4759" s="10" t="str">
        <f aca="false">IF($A4759="","",$G4759&amp;"|"&amp;$J4759)</f>
        <v/>
      </c>
      <c r="L4759" s="10" t="str">
        <f aca="false">IF($A4759="","",ROW()-2)</f>
        <v/>
      </c>
      <c r="M4759" s="10" t="str">
        <f aca="false">IF($A4759="","",ROW())</f>
        <v/>
      </c>
    </row>
    <row r="4760" customFormat="false" ht="15" hidden="false" customHeight="true" outlineLevel="0" collapsed="false">
      <c r="A4760" s="8"/>
      <c r="B4760" s="8"/>
      <c r="C4760" s="8"/>
      <c r="D4760" s="8"/>
      <c r="E4760" s="8"/>
      <c r="F4760" s="8"/>
      <c r="G4760" s="10" t="str">
        <f aca="false">IF($A4760="","",UPPER(SUBSTITUTE(SUBSTITUTE(SUBSTITUTE(SUBSTITUTE($A4760," ",""),"(주)",""),"주식회사",""),"㈜","")))</f>
        <v/>
      </c>
      <c r="H4760" s="10" t="str">
        <f aca="false">IF($B4760="","",SUBSTITUTE(SUBSTITUTE(SUBSTITUTE($B4760,"-","")," ",""),".",""))</f>
        <v/>
      </c>
      <c r="I4760" s="10" t="str">
        <f aca="false">IF($D4760="","",SUBSTITUTE(SUBSTITUTE(SUBSTITUTE($D4760,"-","")," ",""),".",""))</f>
        <v/>
      </c>
      <c r="J4760" s="10" t="str">
        <f aca="false">IF($E4760="","",UPPER(SUBSTITUTE($E4760," ","")))</f>
        <v/>
      </c>
      <c r="K4760" s="10" t="str">
        <f aca="false">IF($A4760="","",$G4760&amp;"|"&amp;$J4760)</f>
        <v/>
      </c>
      <c r="L4760" s="10" t="str">
        <f aca="false">IF($A4760="","",ROW()-2)</f>
        <v/>
      </c>
      <c r="M4760" s="10" t="str">
        <f aca="false">IF($A4760="","",ROW())</f>
        <v/>
      </c>
    </row>
    <row r="4761" customFormat="false" ht="15" hidden="false" customHeight="true" outlineLevel="0" collapsed="false">
      <c r="A4761" s="8"/>
      <c r="B4761" s="8"/>
      <c r="C4761" s="8"/>
      <c r="D4761" s="8"/>
      <c r="E4761" s="8"/>
      <c r="F4761" s="8"/>
      <c r="G4761" s="10" t="str">
        <f aca="false">IF($A4761="","",UPPER(SUBSTITUTE(SUBSTITUTE(SUBSTITUTE(SUBSTITUTE($A4761," ",""),"(주)",""),"주식회사",""),"㈜","")))</f>
        <v/>
      </c>
      <c r="H4761" s="10" t="str">
        <f aca="false">IF($B4761="","",SUBSTITUTE(SUBSTITUTE(SUBSTITUTE($B4761,"-","")," ",""),".",""))</f>
        <v/>
      </c>
      <c r="I4761" s="10" t="str">
        <f aca="false">IF($D4761="","",SUBSTITUTE(SUBSTITUTE(SUBSTITUTE($D4761,"-","")," ",""),".",""))</f>
        <v/>
      </c>
      <c r="J4761" s="10" t="str">
        <f aca="false">IF($E4761="","",UPPER(SUBSTITUTE($E4761," ","")))</f>
        <v/>
      </c>
      <c r="K4761" s="10" t="str">
        <f aca="false">IF($A4761="","",$G4761&amp;"|"&amp;$J4761)</f>
        <v/>
      </c>
      <c r="L4761" s="10" t="str">
        <f aca="false">IF($A4761="","",ROW()-2)</f>
        <v/>
      </c>
      <c r="M4761" s="10" t="str">
        <f aca="false">IF($A4761="","",ROW())</f>
        <v/>
      </c>
    </row>
    <row r="4762" customFormat="false" ht="15" hidden="false" customHeight="true" outlineLevel="0" collapsed="false">
      <c r="A4762" s="8"/>
      <c r="B4762" s="8"/>
      <c r="C4762" s="8"/>
      <c r="D4762" s="8"/>
      <c r="E4762" s="8"/>
      <c r="F4762" s="8"/>
      <c r="G4762" s="10" t="str">
        <f aca="false">IF($A4762="","",UPPER(SUBSTITUTE(SUBSTITUTE(SUBSTITUTE(SUBSTITUTE($A4762," ",""),"(주)",""),"주식회사",""),"㈜","")))</f>
        <v/>
      </c>
      <c r="H4762" s="10" t="str">
        <f aca="false">IF($B4762="","",SUBSTITUTE(SUBSTITUTE(SUBSTITUTE($B4762,"-","")," ",""),".",""))</f>
        <v/>
      </c>
      <c r="I4762" s="10" t="str">
        <f aca="false">IF($D4762="","",SUBSTITUTE(SUBSTITUTE(SUBSTITUTE($D4762,"-","")," ",""),".",""))</f>
        <v/>
      </c>
      <c r="J4762" s="10" t="str">
        <f aca="false">IF($E4762="","",UPPER(SUBSTITUTE($E4762," ","")))</f>
        <v/>
      </c>
      <c r="K4762" s="10" t="str">
        <f aca="false">IF($A4762="","",$G4762&amp;"|"&amp;$J4762)</f>
        <v/>
      </c>
      <c r="L4762" s="10" t="str">
        <f aca="false">IF($A4762="","",ROW()-2)</f>
        <v/>
      </c>
      <c r="M4762" s="10" t="str">
        <f aca="false">IF($A4762="","",ROW())</f>
        <v/>
      </c>
    </row>
    <row r="4763" customFormat="false" ht="15" hidden="false" customHeight="true" outlineLevel="0" collapsed="false">
      <c r="A4763" s="8"/>
      <c r="B4763" s="8"/>
      <c r="C4763" s="8"/>
      <c r="D4763" s="8"/>
      <c r="E4763" s="8"/>
      <c r="F4763" s="8"/>
      <c r="G4763" s="10" t="str">
        <f aca="false">IF($A4763="","",UPPER(SUBSTITUTE(SUBSTITUTE(SUBSTITUTE(SUBSTITUTE($A4763," ",""),"(주)",""),"주식회사",""),"㈜","")))</f>
        <v/>
      </c>
      <c r="H4763" s="10" t="str">
        <f aca="false">IF($B4763="","",SUBSTITUTE(SUBSTITUTE(SUBSTITUTE($B4763,"-","")," ",""),".",""))</f>
        <v/>
      </c>
      <c r="I4763" s="10" t="str">
        <f aca="false">IF($D4763="","",SUBSTITUTE(SUBSTITUTE(SUBSTITUTE($D4763,"-","")," ",""),".",""))</f>
        <v/>
      </c>
      <c r="J4763" s="10" t="str">
        <f aca="false">IF($E4763="","",UPPER(SUBSTITUTE($E4763," ","")))</f>
        <v/>
      </c>
      <c r="K4763" s="10" t="str">
        <f aca="false">IF($A4763="","",$G4763&amp;"|"&amp;$J4763)</f>
        <v/>
      </c>
      <c r="L4763" s="10" t="str">
        <f aca="false">IF($A4763="","",ROW()-2)</f>
        <v/>
      </c>
      <c r="M4763" s="10" t="str">
        <f aca="false">IF($A4763="","",ROW())</f>
        <v/>
      </c>
    </row>
    <row r="4764" customFormat="false" ht="15" hidden="false" customHeight="true" outlineLevel="0" collapsed="false">
      <c r="A4764" s="8"/>
      <c r="B4764" s="8"/>
      <c r="C4764" s="8"/>
      <c r="D4764" s="8"/>
      <c r="E4764" s="8"/>
      <c r="F4764" s="8"/>
      <c r="G4764" s="10" t="str">
        <f aca="false">IF($A4764="","",UPPER(SUBSTITUTE(SUBSTITUTE(SUBSTITUTE(SUBSTITUTE($A4764," ",""),"(주)",""),"주식회사",""),"㈜","")))</f>
        <v/>
      </c>
      <c r="H4764" s="10" t="str">
        <f aca="false">IF($B4764="","",SUBSTITUTE(SUBSTITUTE(SUBSTITUTE($B4764,"-","")," ",""),".",""))</f>
        <v/>
      </c>
      <c r="I4764" s="10" t="str">
        <f aca="false">IF($D4764="","",SUBSTITUTE(SUBSTITUTE(SUBSTITUTE($D4764,"-","")," ",""),".",""))</f>
        <v/>
      </c>
      <c r="J4764" s="10" t="str">
        <f aca="false">IF($E4764="","",UPPER(SUBSTITUTE($E4764," ","")))</f>
        <v/>
      </c>
      <c r="K4764" s="10" t="str">
        <f aca="false">IF($A4764="","",$G4764&amp;"|"&amp;$J4764)</f>
        <v/>
      </c>
      <c r="L4764" s="10" t="str">
        <f aca="false">IF($A4764="","",ROW()-2)</f>
        <v/>
      </c>
      <c r="M4764" s="10" t="str">
        <f aca="false">IF($A4764="","",ROW())</f>
        <v/>
      </c>
    </row>
    <row r="4765" customFormat="false" ht="15" hidden="false" customHeight="true" outlineLevel="0" collapsed="false">
      <c r="A4765" s="8"/>
      <c r="B4765" s="8"/>
      <c r="C4765" s="8"/>
      <c r="D4765" s="8"/>
      <c r="E4765" s="8"/>
      <c r="F4765" s="8"/>
      <c r="G4765" s="10" t="str">
        <f aca="false">IF($A4765="","",UPPER(SUBSTITUTE(SUBSTITUTE(SUBSTITUTE(SUBSTITUTE($A4765," ",""),"(주)",""),"주식회사",""),"㈜","")))</f>
        <v/>
      </c>
      <c r="H4765" s="10" t="str">
        <f aca="false">IF($B4765="","",SUBSTITUTE(SUBSTITUTE(SUBSTITUTE($B4765,"-","")," ",""),".",""))</f>
        <v/>
      </c>
      <c r="I4765" s="10" t="str">
        <f aca="false">IF($D4765="","",SUBSTITUTE(SUBSTITUTE(SUBSTITUTE($D4765,"-","")," ",""),".",""))</f>
        <v/>
      </c>
      <c r="J4765" s="10" t="str">
        <f aca="false">IF($E4765="","",UPPER(SUBSTITUTE($E4765," ","")))</f>
        <v/>
      </c>
      <c r="K4765" s="10" t="str">
        <f aca="false">IF($A4765="","",$G4765&amp;"|"&amp;$J4765)</f>
        <v/>
      </c>
      <c r="L4765" s="10" t="str">
        <f aca="false">IF($A4765="","",ROW()-2)</f>
        <v/>
      </c>
      <c r="M4765" s="10" t="str">
        <f aca="false">IF($A4765="","",ROW())</f>
        <v/>
      </c>
    </row>
    <row r="4766" customFormat="false" ht="15" hidden="false" customHeight="true" outlineLevel="0" collapsed="false">
      <c r="A4766" s="8"/>
      <c r="B4766" s="8"/>
      <c r="C4766" s="8"/>
      <c r="D4766" s="8"/>
      <c r="E4766" s="8"/>
      <c r="F4766" s="8"/>
      <c r="G4766" s="10" t="str">
        <f aca="false">IF($A4766="","",UPPER(SUBSTITUTE(SUBSTITUTE(SUBSTITUTE(SUBSTITUTE($A4766," ",""),"(주)",""),"주식회사",""),"㈜","")))</f>
        <v/>
      </c>
      <c r="H4766" s="10" t="str">
        <f aca="false">IF($B4766="","",SUBSTITUTE(SUBSTITUTE(SUBSTITUTE($B4766,"-","")," ",""),".",""))</f>
        <v/>
      </c>
      <c r="I4766" s="10" t="str">
        <f aca="false">IF($D4766="","",SUBSTITUTE(SUBSTITUTE(SUBSTITUTE($D4766,"-","")," ",""),".",""))</f>
        <v/>
      </c>
      <c r="J4766" s="10" t="str">
        <f aca="false">IF($E4766="","",UPPER(SUBSTITUTE($E4766," ","")))</f>
        <v/>
      </c>
      <c r="K4766" s="10" t="str">
        <f aca="false">IF($A4766="","",$G4766&amp;"|"&amp;$J4766)</f>
        <v/>
      </c>
      <c r="L4766" s="10" t="str">
        <f aca="false">IF($A4766="","",ROW()-2)</f>
        <v/>
      </c>
      <c r="M4766" s="10" t="str">
        <f aca="false">IF($A4766="","",ROW())</f>
        <v/>
      </c>
    </row>
    <row r="4767" customFormat="false" ht="15" hidden="false" customHeight="true" outlineLevel="0" collapsed="false">
      <c r="A4767" s="8"/>
      <c r="B4767" s="8"/>
      <c r="C4767" s="8"/>
      <c r="D4767" s="8"/>
      <c r="E4767" s="8"/>
      <c r="F4767" s="8"/>
      <c r="G4767" s="10" t="str">
        <f aca="false">IF($A4767="","",UPPER(SUBSTITUTE(SUBSTITUTE(SUBSTITUTE(SUBSTITUTE($A4767," ",""),"(주)",""),"주식회사",""),"㈜","")))</f>
        <v/>
      </c>
      <c r="H4767" s="10" t="str">
        <f aca="false">IF($B4767="","",SUBSTITUTE(SUBSTITUTE(SUBSTITUTE($B4767,"-","")," ",""),".",""))</f>
        <v/>
      </c>
      <c r="I4767" s="10" t="str">
        <f aca="false">IF($D4767="","",SUBSTITUTE(SUBSTITUTE(SUBSTITUTE($D4767,"-","")," ",""),".",""))</f>
        <v/>
      </c>
      <c r="J4767" s="10" t="str">
        <f aca="false">IF($E4767="","",UPPER(SUBSTITUTE($E4767," ","")))</f>
        <v/>
      </c>
      <c r="K4767" s="10" t="str">
        <f aca="false">IF($A4767="","",$G4767&amp;"|"&amp;$J4767)</f>
        <v/>
      </c>
      <c r="L4767" s="10" t="str">
        <f aca="false">IF($A4767="","",ROW()-2)</f>
        <v/>
      </c>
      <c r="M4767" s="10" t="str">
        <f aca="false">IF($A4767="","",ROW())</f>
        <v/>
      </c>
    </row>
    <row r="4768" customFormat="false" ht="15" hidden="false" customHeight="true" outlineLevel="0" collapsed="false">
      <c r="A4768" s="8"/>
      <c r="B4768" s="8"/>
      <c r="C4768" s="8"/>
      <c r="D4768" s="8"/>
      <c r="E4768" s="8"/>
      <c r="F4768" s="8"/>
      <c r="G4768" s="10" t="str">
        <f aca="false">IF($A4768="","",UPPER(SUBSTITUTE(SUBSTITUTE(SUBSTITUTE(SUBSTITUTE($A4768," ",""),"(주)",""),"주식회사",""),"㈜","")))</f>
        <v/>
      </c>
      <c r="H4768" s="10" t="str">
        <f aca="false">IF($B4768="","",SUBSTITUTE(SUBSTITUTE(SUBSTITUTE($B4768,"-","")," ",""),".",""))</f>
        <v/>
      </c>
      <c r="I4768" s="10" t="str">
        <f aca="false">IF($D4768="","",SUBSTITUTE(SUBSTITUTE(SUBSTITUTE($D4768,"-","")," ",""),".",""))</f>
        <v/>
      </c>
      <c r="J4768" s="10" t="str">
        <f aca="false">IF($E4768="","",UPPER(SUBSTITUTE($E4768," ","")))</f>
        <v/>
      </c>
      <c r="K4768" s="10" t="str">
        <f aca="false">IF($A4768="","",$G4768&amp;"|"&amp;$J4768)</f>
        <v/>
      </c>
      <c r="L4768" s="10" t="str">
        <f aca="false">IF($A4768="","",ROW()-2)</f>
        <v/>
      </c>
      <c r="M4768" s="10" t="str">
        <f aca="false">IF($A4768="","",ROW())</f>
        <v/>
      </c>
    </row>
    <row r="4769" customFormat="false" ht="15" hidden="false" customHeight="true" outlineLevel="0" collapsed="false">
      <c r="A4769" s="8"/>
      <c r="B4769" s="8"/>
      <c r="C4769" s="8"/>
      <c r="D4769" s="8"/>
      <c r="E4769" s="8"/>
      <c r="F4769" s="8"/>
      <c r="G4769" s="10" t="str">
        <f aca="false">IF($A4769="","",UPPER(SUBSTITUTE(SUBSTITUTE(SUBSTITUTE(SUBSTITUTE($A4769," ",""),"(주)",""),"주식회사",""),"㈜","")))</f>
        <v/>
      </c>
      <c r="H4769" s="10" t="str">
        <f aca="false">IF($B4769="","",SUBSTITUTE(SUBSTITUTE(SUBSTITUTE($B4769,"-","")," ",""),".",""))</f>
        <v/>
      </c>
      <c r="I4769" s="10" t="str">
        <f aca="false">IF($D4769="","",SUBSTITUTE(SUBSTITUTE(SUBSTITUTE($D4769,"-","")," ",""),".",""))</f>
        <v/>
      </c>
      <c r="J4769" s="10" t="str">
        <f aca="false">IF($E4769="","",UPPER(SUBSTITUTE($E4769," ","")))</f>
        <v/>
      </c>
      <c r="K4769" s="10" t="str">
        <f aca="false">IF($A4769="","",$G4769&amp;"|"&amp;$J4769)</f>
        <v/>
      </c>
      <c r="L4769" s="10" t="str">
        <f aca="false">IF($A4769="","",ROW()-2)</f>
        <v/>
      </c>
      <c r="M4769" s="10" t="str">
        <f aca="false">IF($A4769="","",ROW())</f>
        <v/>
      </c>
    </row>
    <row r="4770" customFormat="false" ht="15" hidden="false" customHeight="true" outlineLevel="0" collapsed="false">
      <c r="A4770" s="8"/>
      <c r="B4770" s="8"/>
      <c r="C4770" s="8"/>
      <c r="D4770" s="8"/>
      <c r="E4770" s="8"/>
      <c r="F4770" s="8"/>
      <c r="G4770" s="10" t="str">
        <f aca="false">IF($A4770="","",UPPER(SUBSTITUTE(SUBSTITUTE(SUBSTITUTE(SUBSTITUTE($A4770," ",""),"(주)",""),"주식회사",""),"㈜","")))</f>
        <v/>
      </c>
      <c r="H4770" s="10" t="str">
        <f aca="false">IF($B4770="","",SUBSTITUTE(SUBSTITUTE(SUBSTITUTE($B4770,"-","")," ",""),".",""))</f>
        <v/>
      </c>
      <c r="I4770" s="10" t="str">
        <f aca="false">IF($D4770="","",SUBSTITUTE(SUBSTITUTE(SUBSTITUTE($D4770,"-","")," ",""),".",""))</f>
        <v/>
      </c>
      <c r="J4770" s="10" t="str">
        <f aca="false">IF($E4770="","",UPPER(SUBSTITUTE($E4770," ","")))</f>
        <v/>
      </c>
      <c r="K4770" s="10" t="str">
        <f aca="false">IF($A4770="","",$G4770&amp;"|"&amp;$J4770)</f>
        <v/>
      </c>
      <c r="L4770" s="10" t="str">
        <f aca="false">IF($A4770="","",ROW()-2)</f>
        <v/>
      </c>
      <c r="M4770" s="10" t="str">
        <f aca="false">IF($A4770="","",ROW())</f>
        <v/>
      </c>
    </row>
    <row r="4771" customFormat="false" ht="15" hidden="false" customHeight="true" outlineLevel="0" collapsed="false">
      <c r="A4771" s="8"/>
      <c r="B4771" s="8"/>
      <c r="C4771" s="8"/>
      <c r="D4771" s="8"/>
      <c r="E4771" s="8"/>
      <c r="F4771" s="8"/>
      <c r="G4771" s="10" t="str">
        <f aca="false">IF($A4771="","",UPPER(SUBSTITUTE(SUBSTITUTE(SUBSTITUTE(SUBSTITUTE($A4771," ",""),"(주)",""),"주식회사",""),"㈜","")))</f>
        <v/>
      </c>
      <c r="H4771" s="10" t="str">
        <f aca="false">IF($B4771="","",SUBSTITUTE(SUBSTITUTE(SUBSTITUTE($B4771,"-","")," ",""),".",""))</f>
        <v/>
      </c>
      <c r="I4771" s="10" t="str">
        <f aca="false">IF($D4771="","",SUBSTITUTE(SUBSTITUTE(SUBSTITUTE($D4771,"-","")," ",""),".",""))</f>
        <v/>
      </c>
      <c r="J4771" s="10" t="str">
        <f aca="false">IF($E4771="","",UPPER(SUBSTITUTE($E4771," ","")))</f>
        <v/>
      </c>
      <c r="K4771" s="10" t="str">
        <f aca="false">IF($A4771="","",$G4771&amp;"|"&amp;$J4771)</f>
        <v/>
      </c>
      <c r="L4771" s="10" t="str">
        <f aca="false">IF($A4771="","",ROW()-2)</f>
        <v/>
      </c>
      <c r="M4771" s="10" t="str">
        <f aca="false">IF($A4771="","",ROW())</f>
        <v/>
      </c>
    </row>
    <row r="4772" customFormat="false" ht="15" hidden="false" customHeight="true" outlineLevel="0" collapsed="false">
      <c r="A4772" s="8"/>
      <c r="B4772" s="8"/>
      <c r="C4772" s="8"/>
      <c r="D4772" s="8"/>
      <c r="E4772" s="8"/>
      <c r="F4772" s="8"/>
      <c r="G4772" s="10" t="str">
        <f aca="false">IF($A4772="","",UPPER(SUBSTITUTE(SUBSTITUTE(SUBSTITUTE(SUBSTITUTE($A4772," ",""),"(주)",""),"주식회사",""),"㈜","")))</f>
        <v/>
      </c>
      <c r="H4772" s="10" t="str">
        <f aca="false">IF($B4772="","",SUBSTITUTE(SUBSTITUTE(SUBSTITUTE($B4772,"-","")," ",""),".",""))</f>
        <v/>
      </c>
      <c r="I4772" s="10" t="str">
        <f aca="false">IF($D4772="","",SUBSTITUTE(SUBSTITUTE(SUBSTITUTE($D4772,"-","")," ",""),".",""))</f>
        <v/>
      </c>
      <c r="J4772" s="10" t="str">
        <f aca="false">IF($E4772="","",UPPER(SUBSTITUTE($E4772," ","")))</f>
        <v/>
      </c>
      <c r="K4772" s="10" t="str">
        <f aca="false">IF($A4772="","",$G4772&amp;"|"&amp;$J4772)</f>
        <v/>
      </c>
      <c r="L4772" s="10" t="str">
        <f aca="false">IF($A4772="","",ROW()-2)</f>
        <v/>
      </c>
      <c r="M4772" s="10" t="str">
        <f aca="false">IF($A4772="","",ROW())</f>
        <v/>
      </c>
    </row>
    <row r="4773" customFormat="false" ht="15" hidden="false" customHeight="true" outlineLevel="0" collapsed="false">
      <c r="A4773" s="8"/>
      <c r="B4773" s="8"/>
      <c r="C4773" s="8"/>
      <c r="D4773" s="8"/>
      <c r="E4773" s="8"/>
      <c r="F4773" s="8"/>
      <c r="G4773" s="10" t="str">
        <f aca="false">IF($A4773="","",UPPER(SUBSTITUTE(SUBSTITUTE(SUBSTITUTE(SUBSTITUTE($A4773," ",""),"(주)",""),"주식회사",""),"㈜","")))</f>
        <v/>
      </c>
      <c r="H4773" s="10" t="str">
        <f aca="false">IF($B4773="","",SUBSTITUTE(SUBSTITUTE(SUBSTITUTE($B4773,"-","")," ",""),".",""))</f>
        <v/>
      </c>
      <c r="I4773" s="10" t="str">
        <f aca="false">IF($D4773="","",SUBSTITUTE(SUBSTITUTE(SUBSTITUTE($D4773,"-","")," ",""),".",""))</f>
        <v/>
      </c>
      <c r="J4773" s="10" t="str">
        <f aca="false">IF($E4773="","",UPPER(SUBSTITUTE($E4773," ","")))</f>
        <v/>
      </c>
      <c r="K4773" s="10" t="str">
        <f aca="false">IF($A4773="","",$G4773&amp;"|"&amp;$J4773)</f>
        <v/>
      </c>
      <c r="L4773" s="10" t="str">
        <f aca="false">IF($A4773="","",ROW()-2)</f>
        <v/>
      </c>
      <c r="M4773" s="10" t="str">
        <f aca="false">IF($A4773="","",ROW())</f>
        <v/>
      </c>
    </row>
    <row r="4774" customFormat="false" ht="15" hidden="false" customHeight="true" outlineLevel="0" collapsed="false">
      <c r="A4774" s="8"/>
      <c r="B4774" s="8"/>
      <c r="C4774" s="8"/>
      <c r="D4774" s="8"/>
      <c r="E4774" s="8"/>
      <c r="F4774" s="8"/>
      <c r="G4774" s="10" t="str">
        <f aca="false">IF($A4774="","",UPPER(SUBSTITUTE(SUBSTITUTE(SUBSTITUTE(SUBSTITUTE($A4774," ",""),"(주)",""),"주식회사",""),"㈜","")))</f>
        <v/>
      </c>
      <c r="H4774" s="10" t="str">
        <f aca="false">IF($B4774="","",SUBSTITUTE(SUBSTITUTE(SUBSTITUTE($B4774,"-","")," ",""),".",""))</f>
        <v/>
      </c>
      <c r="I4774" s="10" t="str">
        <f aca="false">IF($D4774="","",SUBSTITUTE(SUBSTITUTE(SUBSTITUTE($D4774,"-","")," ",""),".",""))</f>
        <v/>
      </c>
      <c r="J4774" s="10" t="str">
        <f aca="false">IF($E4774="","",UPPER(SUBSTITUTE($E4774," ","")))</f>
        <v/>
      </c>
      <c r="K4774" s="10" t="str">
        <f aca="false">IF($A4774="","",$G4774&amp;"|"&amp;$J4774)</f>
        <v/>
      </c>
      <c r="L4774" s="10" t="str">
        <f aca="false">IF($A4774="","",ROW()-2)</f>
        <v/>
      </c>
      <c r="M4774" s="10" t="str">
        <f aca="false">IF($A4774="","",ROW())</f>
        <v/>
      </c>
    </row>
    <row r="4775" customFormat="false" ht="15" hidden="false" customHeight="true" outlineLevel="0" collapsed="false">
      <c r="A4775" s="8"/>
      <c r="B4775" s="8"/>
      <c r="C4775" s="8"/>
      <c r="D4775" s="8"/>
      <c r="E4775" s="8"/>
      <c r="F4775" s="8"/>
      <c r="G4775" s="10" t="str">
        <f aca="false">IF($A4775="","",UPPER(SUBSTITUTE(SUBSTITUTE(SUBSTITUTE(SUBSTITUTE($A4775," ",""),"(주)",""),"주식회사",""),"㈜","")))</f>
        <v/>
      </c>
      <c r="H4775" s="10" t="str">
        <f aca="false">IF($B4775="","",SUBSTITUTE(SUBSTITUTE(SUBSTITUTE($B4775,"-","")," ",""),".",""))</f>
        <v/>
      </c>
      <c r="I4775" s="10" t="str">
        <f aca="false">IF($D4775="","",SUBSTITUTE(SUBSTITUTE(SUBSTITUTE($D4775,"-","")," ",""),".",""))</f>
        <v/>
      </c>
      <c r="J4775" s="10" t="str">
        <f aca="false">IF($E4775="","",UPPER(SUBSTITUTE($E4775," ","")))</f>
        <v/>
      </c>
      <c r="K4775" s="10" t="str">
        <f aca="false">IF($A4775="","",$G4775&amp;"|"&amp;$J4775)</f>
        <v/>
      </c>
      <c r="L4775" s="10" t="str">
        <f aca="false">IF($A4775="","",ROW()-2)</f>
        <v/>
      </c>
      <c r="M4775" s="10" t="str">
        <f aca="false">IF($A4775="","",ROW())</f>
        <v/>
      </c>
    </row>
    <row r="4776" customFormat="false" ht="15" hidden="false" customHeight="true" outlineLevel="0" collapsed="false">
      <c r="A4776" s="8"/>
      <c r="B4776" s="8"/>
      <c r="C4776" s="8"/>
      <c r="D4776" s="8"/>
      <c r="E4776" s="8"/>
      <c r="F4776" s="8"/>
      <c r="G4776" s="10" t="str">
        <f aca="false">IF($A4776="","",UPPER(SUBSTITUTE(SUBSTITUTE(SUBSTITUTE(SUBSTITUTE($A4776," ",""),"(주)",""),"주식회사",""),"㈜","")))</f>
        <v/>
      </c>
      <c r="H4776" s="10" t="str">
        <f aca="false">IF($B4776="","",SUBSTITUTE(SUBSTITUTE(SUBSTITUTE($B4776,"-","")," ",""),".",""))</f>
        <v/>
      </c>
      <c r="I4776" s="10" t="str">
        <f aca="false">IF($D4776="","",SUBSTITUTE(SUBSTITUTE(SUBSTITUTE($D4776,"-","")," ",""),".",""))</f>
        <v/>
      </c>
      <c r="J4776" s="10" t="str">
        <f aca="false">IF($E4776="","",UPPER(SUBSTITUTE($E4776," ","")))</f>
        <v/>
      </c>
      <c r="K4776" s="10" t="str">
        <f aca="false">IF($A4776="","",$G4776&amp;"|"&amp;$J4776)</f>
        <v/>
      </c>
      <c r="L4776" s="10" t="str">
        <f aca="false">IF($A4776="","",ROW()-2)</f>
        <v/>
      </c>
      <c r="M4776" s="10" t="str">
        <f aca="false">IF($A4776="","",ROW())</f>
        <v/>
      </c>
    </row>
    <row r="4777" customFormat="false" ht="15" hidden="false" customHeight="true" outlineLevel="0" collapsed="false">
      <c r="A4777" s="8"/>
      <c r="B4777" s="8"/>
      <c r="C4777" s="8"/>
      <c r="D4777" s="8"/>
      <c r="E4777" s="8"/>
      <c r="F4777" s="8"/>
      <c r="G4777" s="10" t="str">
        <f aca="false">IF($A4777="","",UPPER(SUBSTITUTE(SUBSTITUTE(SUBSTITUTE(SUBSTITUTE($A4777," ",""),"(주)",""),"주식회사",""),"㈜","")))</f>
        <v/>
      </c>
      <c r="H4777" s="10" t="str">
        <f aca="false">IF($B4777="","",SUBSTITUTE(SUBSTITUTE(SUBSTITUTE($B4777,"-","")," ",""),".",""))</f>
        <v/>
      </c>
      <c r="I4777" s="10" t="str">
        <f aca="false">IF($D4777="","",SUBSTITUTE(SUBSTITUTE(SUBSTITUTE($D4777,"-","")," ",""),".",""))</f>
        <v/>
      </c>
      <c r="J4777" s="10" t="str">
        <f aca="false">IF($E4777="","",UPPER(SUBSTITUTE($E4777," ","")))</f>
        <v/>
      </c>
      <c r="K4777" s="10" t="str">
        <f aca="false">IF($A4777="","",$G4777&amp;"|"&amp;$J4777)</f>
        <v/>
      </c>
      <c r="L4777" s="10" t="str">
        <f aca="false">IF($A4777="","",ROW()-2)</f>
        <v/>
      </c>
      <c r="M4777" s="10" t="str">
        <f aca="false">IF($A4777="","",ROW())</f>
        <v/>
      </c>
    </row>
    <row r="4778" customFormat="false" ht="15" hidden="false" customHeight="true" outlineLevel="0" collapsed="false">
      <c r="A4778" s="8"/>
      <c r="B4778" s="8"/>
      <c r="C4778" s="8"/>
      <c r="D4778" s="8"/>
      <c r="E4778" s="8"/>
      <c r="F4778" s="8"/>
      <c r="G4778" s="10" t="str">
        <f aca="false">IF($A4778="","",UPPER(SUBSTITUTE(SUBSTITUTE(SUBSTITUTE(SUBSTITUTE($A4778," ",""),"(주)",""),"주식회사",""),"㈜","")))</f>
        <v/>
      </c>
      <c r="H4778" s="10" t="str">
        <f aca="false">IF($B4778="","",SUBSTITUTE(SUBSTITUTE(SUBSTITUTE($B4778,"-","")," ",""),".",""))</f>
        <v/>
      </c>
      <c r="I4778" s="10" t="str">
        <f aca="false">IF($D4778="","",SUBSTITUTE(SUBSTITUTE(SUBSTITUTE($D4778,"-","")," ",""),".",""))</f>
        <v/>
      </c>
      <c r="J4778" s="10" t="str">
        <f aca="false">IF($E4778="","",UPPER(SUBSTITUTE($E4778," ","")))</f>
        <v/>
      </c>
      <c r="K4778" s="10" t="str">
        <f aca="false">IF($A4778="","",$G4778&amp;"|"&amp;$J4778)</f>
        <v/>
      </c>
      <c r="L4778" s="10" t="str">
        <f aca="false">IF($A4778="","",ROW()-2)</f>
        <v/>
      </c>
      <c r="M4778" s="10" t="str">
        <f aca="false">IF($A4778="","",ROW())</f>
        <v/>
      </c>
    </row>
    <row r="4779" customFormat="false" ht="15" hidden="false" customHeight="true" outlineLevel="0" collapsed="false">
      <c r="A4779" s="8"/>
      <c r="B4779" s="8"/>
      <c r="C4779" s="8"/>
      <c r="D4779" s="8"/>
      <c r="E4779" s="8"/>
      <c r="F4779" s="8"/>
      <c r="G4779" s="10" t="str">
        <f aca="false">IF($A4779="","",UPPER(SUBSTITUTE(SUBSTITUTE(SUBSTITUTE(SUBSTITUTE($A4779," ",""),"(주)",""),"주식회사",""),"㈜","")))</f>
        <v/>
      </c>
      <c r="H4779" s="10" t="str">
        <f aca="false">IF($B4779="","",SUBSTITUTE(SUBSTITUTE(SUBSTITUTE($B4779,"-","")," ",""),".",""))</f>
        <v/>
      </c>
      <c r="I4779" s="10" t="str">
        <f aca="false">IF($D4779="","",SUBSTITUTE(SUBSTITUTE(SUBSTITUTE($D4779,"-","")," ",""),".",""))</f>
        <v/>
      </c>
      <c r="J4779" s="10" t="str">
        <f aca="false">IF($E4779="","",UPPER(SUBSTITUTE($E4779," ","")))</f>
        <v/>
      </c>
      <c r="K4779" s="10" t="str">
        <f aca="false">IF($A4779="","",$G4779&amp;"|"&amp;$J4779)</f>
        <v/>
      </c>
      <c r="L4779" s="10" t="str">
        <f aca="false">IF($A4779="","",ROW()-2)</f>
        <v/>
      </c>
      <c r="M4779" s="10" t="str">
        <f aca="false">IF($A4779="","",ROW())</f>
        <v/>
      </c>
    </row>
    <row r="4780" customFormat="false" ht="15" hidden="false" customHeight="true" outlineLevel="0" collapsed="false">
      <c r="A4780" s="8"/>
      <c r="B4780" s="8"/>
      <c r="C4780" s="8"/>
      <c r="D4780" s="8"/>
      <c r="E4780" s="8"/>
      <c r="F4780" s="8"/>
      <c r="G4780" s="10" t="str">
        <f aca="false">IF($A4780="","",UPPER(SUBSTITUTE(SUBSTITUTE(SUBSTITUTE(SUBSTITUTE($A4780," ",""),"(주)",""),"주식회사",""),"㈜","")))</f>
        <v/>
      </c>
      <c r="H4780" s="10" t="str">
        <f aca="false">IF($B4780="","",SUBSTITUTE(SUBSTITUTE(SUBSTITUTE($B4780,"-","")," ",""),".",""))</f>
        <v/>
      </c>
      <c r="I4780" s="10" t="str">
        <f aca="false">IF($D4780="","",SUBSTITUTE(SUBSTITUTE(SUBSTITUTE($D4780,"-","")," ",""),".",""))</f>
        <v/>
      </c>
      <c r="J4780" s="10" t="str">
        <f aca="false">IF($E4780="","",UPPER(SUBSTITUTE($E4780," ","")))</f>
        <v/>
      </c>
      <c r="K4780" s="10" t="str">
        <f aca="false">IF($A4780="","",$G4780&amp;"|"&amp;$J4780)</f>
        <v/>
      </c>
      <c r="L4780" s="10" t="str">
        <f aca="false">IF($A4780="","",ROW()-2)</f>
        <v/>
      </c>
      <c r="M4780" s="10" t="str">
        <f aca="false">IF($A4780="","",ROW())</f>
        <v/>
      </c>
    </row>
    <row r="4781" customFormat="false" ht="15" hidden="false" customHeight="true" outlineLevel="0" collapsed="false">
      <c r="A4781" s="8"/>
      <c r="B4781" s="8"/>
      <c r="C4781" s="8"/>
      <c r="D4781" s="8"/>
      <c r="E4781" s="8"/>
      <c r="F4781" s="8"/>
      <c r="G4781" s="10" t="str">
        <f aca="false">IF($A4781="","",UPPER(SUBSTITUTE(SUBSTITUTE(SUBSTITUTE(SUBSTITUTE($A4781," ",""),"(주)",""),"주식회사",""),"㈜","")))</f>
        <v/>
      </c>
      <c r="H4781" s="10" t="str">
        <f aca="false">IF($B4781="","",SUBSTITUTE(SUBSTITUTE(SUBSTITUTE($B4781,"-","")," ",""),".",""))</f>
        <v/>
      </c>
      <c r="I4781" s="10" t="str">
        <f aca="false">IF($D4781="","",SUBSTITUTE(SUBSTITUTE(SUBSTITUTE($D4781,"-","")," ",""),".",""))</f>
        <v/>
      </c>
      <c r="J4781" s="10" t="str">
        <f aca="false">IF($E4781="","",UPPER(SUBSTITUTE($E4781," ","")))</f>
        <v/>
      </c>
      <c r="K4781" s="10" t="str">
        <f aca="false">IF($A4781="","",$G4781&amp;"|"&amp;$J4781)</f>
        <v/>
      </c>
      <c r="L4781" s="10" t="str">
        <f aca="false">IF($A4781="","",ROW()-2)</f>
        <v/>
      </c>
      <c r="M4781" s="10" t="str">
        <f aca="false">IF($A4781="","",ROW())</f>
        <v/>
      </c>
    </row>
    <row r="4782" customFormat="false" ht="15" hidden="false" customHeight="true" outlineLevel="0" collapsed="false">
      <c r="A4782" s="8"/>
      <c r="B4782" s="8"/>
      <c r="C4782" s="8"/>
      <c r="D4782" s="8"/>
      <c r="E4782" s="8"/>
      <c r="F4782" s="8"/>
      <c r="G4782" s="10" t="str">
        <f aca="false">IF($A4782="","",UPPER(SUBSTITUTE(SUBSTITUTE(SUBSTITUTE(SUBSTITUTE($A4782," ",""),"(주)",""),"주식회사",""),"㈜","")))</f>
        <v/>
      </c>
      <c r="H4782" s="10" t="str">
        <f aca="false">IF($B4782="","",SUBSTITUTE(SUBSTITUTE(SUBSTITUTE($B4782,"-","")," ",""),".",""))</f>
        <v/>
      </c>
      <c r="I4782" s="10" t="str">
        <f aca="false">IF($D4782="","",SUBSTITUTE(SUBSTITUTE(SUBSTITUTE($D4782,"-","")," ",""),".",""))</f>
        <v/>
      </c>
      <c r="J4782" s="10" t="str">
        <f aca="false">IF($E4782="","",UPPER(SUBSTITUTE($E4782," ","")))</f>
        <v/>
      </c>
      <c r="K4782" s="10" t="str">
        <f aca="false">IF($A4782="","",$G4782&amp;"|"&amp;$J4782)</f>
        <v/>
      </c>
      <c r="L4782" s="10" t="str">
        <f aca="false">IF($A4782="","",ROW()-2)</f>
        <v/>
      </c>
      <c r="M4782" s="10" t="str">
        <f aca="false">IF($A4782="","",ROW())</f>
        <v/>
      </c>
    </row>
    <row r="4783" customFormat="false" ht="15" hidden="false" customHeight="true" outlineLevel="0" collapsed="false">
      <c r="A4783" s="8"/>
      <c r="B4783" s="8"/>
      <c r="C4783" s="8"/>
      <c r="D4783" s="8"/>
      <c r="E4783" s="8"/>
      <c r="F4783" s="8"/>
      <c r="G4783" s="10" t="str">
        <f aca="false">IF($A4783="","",UPPER(SUBSTITUTE(SUBSTITUTE(SUBSTITUTE(SUBSTITUTE($A4783," ",""),"(주)",""),"주식회사",""),"㈜","")))</f>
        <v/>
      </c>
      <c r="H4783" s="10" t="str">
        <f aca="false">IF($B4783="","",SUBSTITUTE(SUBSTITUTE(SUBSTITUTE($B4783,"-","")," ",""),".",""))</f>
        <v/>
      </c>
      <c r="I4783" s="10" t="str">
        <f aca="false">IF($D4783="","",SUBSTITUTE(SUBSTITUTE(SUBSTITUTE($D4783,"-","")," ",""),".",""))</f>
        <v/>
      </c>
      <c r="J4783" s="10" t="str">
        <f aca="false">IF($E4783="","",UPPER(SUBSTITUTE($E4783," ","")))</f>
        <v/>
      </c>
      <c r="K4783" s="10" t="str">
        <f aca="false">IF($A4783="","",$G4783&amp;"|"&amp;$J4783)</f>
        <v/>
      </c>
      <c r="L4783" s="10" t="str">
        <f aca="false">IF($A4783="","",ROW()-2)</f>
        <v/>
      </c>
      <c r="M4783" s="10" t="str">
        <f aca="false">IF($A4783="","",ROW())</f>
        <v/>
      </c>
    </row>
    <row r="4784" customFormat="false" ht="15" hidden="false" customHeight="true" outlineLevel="0" collapsed="false">
      <c r="A4784" s="8"/>
      <c r="B4784" s="8"/>
      <c r="C4784" s="8"/>
      <c r="D4784" s="8"/>
      <c r="E4784" s="8"/>
      <c r="F4784" s="8"/>
      <c r="G4784" s="10" t="str">
        <f aca="false">IF($A4784="","",UPPER(SUBSTITUTE(SUBSTITUTE(SUBSTITUTE(SUBSTITUTE($A4784," ",""),"(주)",""),"주식회사",""),"㈜","")))</f>
        <v/>
      </c>
      <c r="H4784" s="10" t="str">
        <f aca="false">IF($B4784="","",SUBSTITUTE(SUBSTITUTE(SUBSTITUTE($B4784,"-","")," ",""),".",""))</f>
        <v/>
      </c>
      <c r="I4784" s="10" t="str">
        <f aca="false">IF($D4784="","",SUBSTITUTE(SUBSTITUTE(SUBSTITUTE($D4784,"-","")," ",""),".",""))</f>
        <v/>
      </c>
      <c r="J4784" s="10" t="str">
        <f aca="false">IF($E4784="","",UPPER(SUBSTITUTE($E4784," ","")))</f>
        <v/>
      </c>
      <c r="K4784" s="10" t="str">
        <f aca="false">IF($A4784="","",$G4784&amp;"|"&amp;$J4784)</f>
        <v/>
      </c>
      <c r="L4784" s="10" t="str">
        <f aca="false">IF($A4784="","",ROW()-2)</f>
        <v/>
      </c>
      <c r="M4784" s="10" t="str">
        <f aca="false">IF($A4784="","",ROW())</f>
        <v/>
      </c>
    </row>
    <row r="4785" customFormat="false" ht="15" hidden="false" customHeight="true" outlineLevel="0" collapsed="false">
      <c r="A4785" s="8"/>
      <c r="B4785" s="8"/>
      <c r="C4785" s="8"/>
      <c r="D4785" s="8"/>
      <c r="E4785" s="8"/>
      <c r="F4785" s="8"/>
      <c r="G4785" s="10" t="str">
        <f aca="false">IF($A4785="","",UPPER(SUBSTITUTE(SUBSTITUTE(SUBSTITUTE(SUBSTITUTE($A4785," ",""),"(주)",""),"주식회사",""),"㈜","")))</f>
        <v/>
      </c>
      <c r="H4785" s="10" t="str">
        <f aca="false">IF($B4785="","",SUBSTITUTE(SUBSTITUTE(SUBSTITUTE($B4785,"-","")," ",""),".",""))</f>
        <v/>
      </c>
      <c r="I4785" s="10" t="str">
        <f aca="false">IF($D4785="","",SUBSTITUTE(SUBSTITUTE(SUBSTITUTE($D4785,"-","")," ",""),".",""))</f>
        <v/>
      </c>
      <c r="J4785" s="10" t="str">
        <f aca="false">IF($E4785="","",UPPER(SUBSTITUTE($E4785," ","")))</f>
        <v/>
      </c>
      <c r="K4785" s="10" t="str">
        <f aca="false">IF($A4785="","",$G4785&amp;"|"&amp;$J4785)</f>
        <v/>
      </c>
      <c r="L4785" s="10" t="str">
        <f aca="false">IF($A4785="","",ROW()-2)</f>
        <v/>
      </c>
      <c r="M4785" s="10" t="str">
        <f aca="false">IF($A4785="","",ROW())</f>
        <v/>
      </c>
    </row>
    <row r="4786" customFormat="false" ht="15" hidden="false" customHeight="true" outlineLevel="0" collapsed="false">
      <c r="A4786" s="8"/>
      <c r="B4786" s="8"/>
      <c r="C4786" s="8"/>
      <c r="D4786" s="8"/>
      <c r="E4786" s="8"/>
      <c r="F4786" s="8"/>
      <c r="G4786" s="10" t="str">
        <f aca="false">IF($A4786="","",UPPER(SUBSTITUTE(SUBSTITUTE(SUBSTITUTE(SUBSTITUTE($A4786," ",""),"(주)",""),"주식회사",""),"㈜","")))</f>
        <v/>
      </c>
      <c r="H4786" s="10" t="str">
        <f aca="false">IF($B4786="","",SUBSTITUTE(SUBSTITUTE(SUBSTITUTE($B4786,"-","")," ",""),".",""))</f>
        <v/>
      </c>
      <c r="I4786" s="10" t="str">
        <f aca="false">IF($D4786="","",SUBSTITUTE(SUBSTITUTE(SUBSTITUTE($D4786,"-","")," ",""),".",""))</f>
        <v/>
      </c>
      <c r="J4786" s="10" t="str">
        <f aca="false">IF($E4786="","",UPPER(SUBSTITUTE($E4786," ","")))</f>
        <v/>
      </c>
      <c r="K4786" s="10" t="str">
        <f aca="false">IF($A4786="","",$G4786&amp;"|"&amp;$J4786)</f>
        <v/>
      </c>
      <c r="L4786" s="10" t="str">
        <f aca="false">IF($A4786="","",ROW()-2)</f>
        <v/>
      </c>
      <c r="M4786" s="10" t="str">
        <f aca="false">IF($A4786="","",ROW())</f>
        <v/>
      </c>
    </row>
    <row r="4787" customFormat="false" ht="15" hidden="false" customHeight="true" outlineLevel="0" collapsed="false">
      <c r="A4787" s="8"/>
      <c r="B4787" s="8"/>
      <c r="C4787" s="8"/>
      <c r="D4787" s="8"/>
      <c r="E4787" s="8"/>
      <c r="F4787" s="8"/>
      <c r="G4787" s="10" t="str">
        <f aca="false">IF($A4787="","",UPPER(SUBSTITUTE(SUBSTITUTE(SUBSTITUTE(SUBSTITUTE($A4787," ",""),"(주)",""),"주식회사",""),"㈜","")))</f>
        <v/>
      </c>
      <c r="H4787" s="10" t="str">
        <f aca="false">IF($B4787="","",SUBSTITUTE(SUBSTITUTE(SUBSTITUTE($B4787,"-","")," ",""),".",""))</f>
        <v/>
      </c>
      <c r="I4787" s="10" t="str">
        <f aca="false">IF($D4787="","",SUBSTITUTE(SUBSTITUTE(SUBSTITUTE($D4787,"-","")," ",""),".",""))</f>
        <v/>
      </c>
      <c r="J4787" s="10" t="str">
        <f aca="false">IF($E4787="","",UPPER(SUBSTITUTE($E4787," ","")))</f>
        <v/>
      </c>
      <c r="K4787" s="10" t="str">
        <f aca="false">IF($A4787="","",$G4787&amp;"|"&amp;$J4787)</f>
        <v/>
      </c>
      <c r="L4787" s="10" t="str">
        <f aca="false">IF($A4787="","",ROW()-2)</f>
        <v/>
      </c>
      <c r="M4787" s="10" t="str">
        <f aca="false">IF($A4787="","",ROW())</f>
        <v/>
      </c>
    </row>
    <row r="4788" customFormat="false" ht="15" hidden="false" customHeight="true" outlineLevel="0" collapsed="false">
      <c r="A4788" s="8"/>
      <c r="B4788" s="8"/>
      <c r="C4788" s="8"/>
      <c r="D4788" s="8"/>
      <c r="E4788" s="8"/>
      <c r="F4788" s="8"/>
      <c r="G4788" s="10" t="str">
        <f aca="false">IF($A4788="","",UPPER(SUBSTITUTE(SUBSTITUTE(SUBSTITUTE(SUBSTITUTE($A4788," ",""),"(주)",""),"주식회사",""),"㈜","")))</f>
        <v/>
      </c>
      <c r="H4788" s="10" t="str">
        <f aca="false">IF($B4788="","",SUBSTITUTE(SUBSTITUTE(SUBSTITUTE($B4788,"-","")," ",""),".",""))</f>
        <v/>
      </c>
      <c r="I4788" s="10" t="str">
        <f aca="false">IF($D4788="","",SUBSTITUTE(SUBSTITUTE(SUBSTITUTE($D4788,"-","")," ",""),".",""))</f>
        <v/>
      </c>
      <c r="J4788" s="10" t="str">
        <f aca="false">IF($E4788="","",UPPER(SUBSTITUTE($E4788," ","")))</f>
        <v/>
      </c>
      <c r="K4788" s="10" t="str">
        <f aca="false">IF($A4788="","",$G4788&amp;"|"&amp;$J4788)</f>
        <v/>
      </c>
      <c r="L4788" s="10" t="str">
        <f aca="false">IF($A4788="","",ROW()-2)</f>
        <v/>
      </c>
      <c r="M4788" s="10" t="str">
        <f aca="false">IF($A4788="","",ROW())</f>
        <v/>
      </c>
    </row>
    <row r="4789" customFormat="false" ht="15" hidden="false" customHeight="true" outlineLevel="0" collapsed="false">
      <c r="A4789" s="8"/>
      <c r="B4789" s="8"/>
      <c r="C4789" s="8"/>
      <c r="D4789" s="8"/>
      <c r="E4789" s="8"/>
      <c r="F4789" s="8"/>
      <c r="G4789" s="10" t="str">
        <f aca="false">IF($A4789="","",UPPER(SUBSTITUTE(SUBSTITUTE(SUBSTITUTE(SUBSTITUTE($A4789," ",""),"(주)",""),"주식회사",""),"㈜","")))</f>
        <v/>
      </c>
      <c r="H4789" s="10" t="str">
        <f aca="false">IF($B4789="","",SUBSTITUTE(SUBSTITUTE(SUBSTITUTE($B4789,"-","")," ",""),".",""))</f>
        <v/>
      </c>
      <c r="I4789" s="10" t="str">
        <f aca="false">IF($D4789="","",SUBSTITUTE(SUBSTITUTE(SUBSTITUTE($D4789,"-","")," ",""),".",""))</f>
        <v/>
      </c>
      <c r="J4789" s="10" t="str">
        <f aca="false">IF($E4789="","",UPPER(SUBSTITUTE($E4789," ","")))</f>
        <v/>
      </c>
      <c r="K4789" s="10" t="str">
        <f aca="false">IF($A4789="","",$G4789&amp;"|"&amp;$J4789)</f>
        <v/>
      </c>
      <c r="L4789" s="10" t="str">
        <f aca="false">IF($A4789="","",ROW()-2)</f>
        <v/>
      </c>
      <c r="M4789" s="10" t="str">
        <f aca="false">IF($A4789="","",ROW())</f>
        <v/>
      </c>
    </row>
    <row r="4790" customFormat="false" ht="15" hidden="false" customHeight="true" outlineLevel="0" collapsed="false">
      <c r="A4790" s="8"/>
      <c r="B4790" s="8"/>
      <c r="C4790" s="8"/>
      <c r="D4790" s="8"/>
      <c r="E4790" s="8"/>
      <c r="F4790" s="8"/>
      <c r="G4790" s="10" t="str">
        <f aca="false">IF($A4790="","",UPPER(SUBSTITUTE(SUBSTITUTE(SUBSTITUTE(SUBSTITUTE($A4790," ",""),"(주)",""),"주식회사",""),"㈜","")))</f>
        <v/>
      </c>
      <c r="H4790" s="10" t="str">
        <f aca="false">IF($B4790="","",SUBSTITUTE(SUBSTITUTE(SUBSTITUTE($B4790,"-","")," ",""),".",""))</f>
        <v/>
      </c>
      <c r="I4790" s="10" t="str">
        <f aca="false">IF($D4790="","",SUBSTITUTE(SUBSTITUTE(SUBSTITUTE($D4790,"-","")," ",""),".",""))</f>
        <v/>
      </c>
      <c r="J4790" s="10" t="str">
        <f aca="false">IF($E4790="","",UPPER(SUBSTITUTE($E4790," ","")))</f>
        <v/>
      </c>
      <c r="K4790" s="10" t="str">
        <f aca="false">IF($A4790="","",$G4790&amp;"|"&amp;$J4790)</f>
        <v/>
      </c>
      <c r="L4790" s="10" t="str">
        <f aca="false">IF($A4790="","",ROW()-2)</f>
        <v/>
      </c>
      <c r="M4790" s="10" t="str">
        <f aca="false">IF($A4790="","",ROW())</f>
        <v/>
      </c>
    </row>
    <row r="4791" customFormat="false" ht="15" hidden="false" customHeight="true" outlineLevel="0" collapsed="false">
      <c r="A4791" s="8"/>
      <c r="B4791" s="8"/>
      <c r="C4791" s="8"/>
      <c r="D4791" s="8"/>
      <c r="E4791" s="8"/>
      <c r="F4791" s="8"/>
      <c r="G4791" s="10" t="str">
        <f aca="false">IF($A4791="","",UPPER(SUBSTITUTE(SUBSTITUTE(SUBSTITUTE(SUBSTITUTE($A4791," ",""),"(주)",""),"주식회사",""),"㈜","")))</f>
        <v/>
      </c>
      <c r="H4791" s="10" t="str">
        <f aca="false">IF($B4791="","",SUBSTITUTE(SUBSTITUTE(SUBSTITUTE($B4791,"-","")," ",""),".",""))</f>
        <v/>
      </c>
      <c r="I4791" s="10" t="str">
        <f aca="false">IF($D4791="","",SUBSTITUTE(SUBSTITUTE(SUBSTITUTE($D4791,"-","")," ",""),".",""))</f>
        <v/>
      </c>
      <c r="J4791" s="10" t="str">
        <f aca="false">IF($E4791="","",UPPER(SUBSTITUTE($E4791," ","")))</f>
        <v/>
      </c>
      <c r="K4791" s="10" t="str">
        <f aca="false">IF($A4791="","",$G4791&amp;"|"&amp;$J4791)</f>
        <v/>
      </c>
      <c r="L4791" s="10" t="str">
        <f aca="false">IF($A4791="","",ROW()-2)</f>
        <v/>
      </c>
      <c r="M4791" s="10" t="str">
        <f aca="false">IF($A4791="","",ROW())</f>
        <v/>
      </c>
    </row>
    <row r="4792" customFormat="false" ht="15" hidden="false" customHeight="true" outlineLevel="0" collapsed="false">
      <c r="A4792" s="8"/>
      <c r="B4792" s="8"/>
      <c r="C4792" s="8"/>
      <c r="D4792" s="8"/>
      <c r="E4792" s="8"/>
      <c r="F4792" s="8"/>
      <c r="G4792" s="10" t="str">
        <f aca="false">IF($A4792="","",UPPER(SUBSTITUTE(SUBSTITUTE(SUBSTITUTE(SUBSTITUTE($A4792," ",""),"(주)",""),"주식회사",""),"㈜","")))</f>
        <v/>
      </c>
      <c r="H4792" s="10" t="str">
        <f aca="false">IF($B4792="","",SUBSTITUTE(SUBSTITUTE(SUBSTITUTE($B4792,"-","")," ",""),".",""))</f>
        <v/>
      </c>
      <c r="I4792" s="10" t="str">
        <f aca="false">IF($D4792="","",SUBSTITUTE(SUBSTITUTE(SUBSTITUTE($D4792,"-","")," ",""),".",""))</f>
        <v/>
      </c>
      <c r="J4792" s="10" t="str">
        <f aca="false">IF($E4792="","",UPPER(SUBSTITUTE($E4792," ","")))</f>
        <v/>
      </c>
      <c r="K4792" s="10" t="str">
        <f aca="false">IF($A4792="","",$G4792&amp;"|"&amp;$J4792)</f>
        <v/>
      </c>
      <c r="L4792" s="10" t="str">
        <f aca="false">IF($A4792="","",ROW()-2)</f>
        <v/>
      </c>
      <c r="M4792" s="10" t="str">
        <f aca="false">IF($A4792="","",ROW())</f>
        <v/>
      </c>
    </row>
    <row r="4793" customFormat="false" ht="15" hidden="false" customHeight="true" outlineLevel="0" collapsed="false">
      <c r="A4793" s="8"/>
      <c r="B4793" s="8"/>
      <c r="C4793" s="8"/>
      <c r="D4793" s="8"/>
      <c r="E4793" s="8"/>
      <c r="F4793" s="8"/>
      <c r="G4793" s="10" t="str">
        <f aca="false">IF($A4793="","",UPPER(SUBSTITUTE(SUBSTITUTE(SUBSTITUTE(SUBSTITUTE($A4793," ",""),"(주)",""),"주식회사",""),"㈜","")))</f>
        <v/>
      </c>
      <c r="H4793" s="10" t="str">
        <f aca="false">IF($B4793="","",SUBSTITUTE(SUBSTITUTE(SUBSTITUTE($B4793,"-","")," ",""),".",""))</f>
        <v/>
      </c>
      <c r="I4793" s="10" t="str">
        <f aca="false">IF($D4793="","",SUBSTITUTE(SUBSTITUTE(SUBSTITUTE($D4793,"-","")," ",""),".",""))</f>
        <v/>
      </c>
      <c r="J4793" s="10" t="str">
        <f aca="false">IF($E4793="","",UPPER(SUBSTITUTE($E4793," ","")))</f>
        <v/>
      </c>
      <c r="K4793" s="10" t="str">
        <f aca="false">IF($A4793="","",$G4793&amp;"|"&amp;$J4793)</f>
        <v/>
      </c>
      <c r="L4793" s="10" t="str">
        <f aca="false">IF($A4793="","",ROW()-2)</f>
        <v/>
      </c>
      <c r="M4793" s="10" t="str">
        <f aca="false">IF($A4793="","",ROW())</f>
        <v/>
      </c>
    </row>
    <row r="4794" customFormat="false" ht="15" hidden="false" customHeight="true" outlineLevel="0" collapsed="false">
      <c r="A4794" s="8"/>
      <c r="B4794" s="8"/>
      <c r="C4794" s="8"/>
      <c r="D4794" s="8"/>
      <c r="E4794" s="8"/>
      <c r="F4794" s="8"/>
      <c r="G4794" s="10" t="str">
        <f aca="false">IF($A4794="","",UPPER(SUBSTITUTE(SUBSTITUTE(SUBSTITUTE(SUBSTITUTE($A4794," ",""),"(주)",""),"주식회사",""),"㈜","")))</f>
        <v/>
      </c>
      <c r="H4794" s="10" t="str">
        <f aca="false">IF($B4794="","",SUBSTITUTE(SUBSTITUTE(SUBSTITUTE($B4794,"-","")," ",""),".",""))</f>
        <v/>
      </c>
      <c r="I4794" s="10" t="str">
        <f aca="false">IF($D4794="","",SUBSTITUTE(SUBSTITUTE(SUBSTITUTE($D4794,"-","")," ",""),".",""))</f>
        <v/>
      </c>
      <c r="J4794" s="10" t="str">
        <f aca="false">IF($E4794="","",UPPER(SUBSTITUTE($E4794," ","")))</f>
        <v/>
      </c>
      <c r="K4794" s="10" t="str">
        <f aca="false">IF($A4794="","",$G4794&amp;"|"&amp;$J4794)</f>
        <v/>
      </c>
      <c r="L4794" s="10" t="str">
        <f aca="false">IF($A4794="","",ROW()-2)</f>
        <v/>
      </c>
      <c r="M4794" s="10" t="str">
        <f aca="false">IF($A4794="","",ROW())</f>
        <v/>
      </c>
    </row>
    <row r="4795" customFormat="false" ht="15" hidden="false" customHeight="true" outlineLevel="0" collapsed="false">
      <c r="A4795" s="8"/>
      <c r="B4795" s="8"/>
      <c r="C4795" s="8"/>
      <c r="D4795" s="8"/>
      <c r="E4795" s="8"/>
      <c r="F4795" s="8"/>
      <c r="G4795" s="10" t="str">
        <f aca="false">IF($A4795="","",UPPER(SUBSTITUTE(SUBSTITUTE(SUBSTITUTE(SUBSTITUTE($A4795," ",""),"(주)",""),"주식회사",""),"㈜","")))</f>
        <v/>
      </c>
      <c r="H4795" s="10" t="str">
        <f aca="false">IF($B4795="","",SUBSTITUTE(SUBSTITUTE(SUBSTITUTE($B4795,"-","")," ",""),".",""))</f>
        <v/>
      </c>
      <c r="I4795" s="10" t="str">
        <f aca="false">IF($D4795="","",SUBSTITUTE(SUBSTITUTE(SUBSTITUTE($D4795,"-","")," ",""),".",""))</f>
        <v/>
      </c>
      <c r="J4795" s="10" t="str">
        <f aca="false">IF($E4795="","",UPPER(SUBSTITUTE($E4795," ","")))</f>
        <v/>
      </c>
      <c r="K4795" s="10" t="str">
        <f aca="false">IF($A4795="","",$G4795&amp;"|"&amp;$J4795)</f>
        <v/>
      </c>
      <c r="L4795" s="10" t="str">
        <f aca="false">IF($A4795="","",ROW()-2)</f>
        <v/>
      </c>
      <c r="M4795" s="10" t="str">
        <f aca="false">IF($A4795="","",ROW())</f>
        <v/>
      </c>
    </row>
    <row r="4796" customFormat="false" ht="15" hidden="false" customHeight="true" outlineLevel="0" collapsed="false">
      <c r="A4796" s="8"/>
      <c r="B4796" s="8"/>
      <c r="C4796" s="8"/>
      <c r="D4796" s="8"/>
      <c r="E4796" s="8"/>
      <c r="F4796" s="8"/>
      <c r="G4796" s="10" t="str">
        <f aca="false">IF($A4796="","",UPPER(SUBSTITUTE(SUBSTITUTE(SUBSTITUTE(SUBSTITUTE($A4796," ",""),"(주)",""),"주식회사",""),"㈜","")))</f>
        <v/>
      </c>
      <c r="H4796" s="10" t="str">
        <f aca="false">IF($B4796="","",SUBSTITUTE(SUBSTITUTE(SUBSTITUTE($B4796,"-","")," ",""),".",""))</f>
        <v/>
      </c>
      <c r="I4796" s="10" t="str">
        <f aca="false">IF($D4796="","",SUBSTITUTE(SUBSTITUTE(SUBSTITUTE($D4796,"-","")," ",""),".",""))</f>
        <v/>
      </c>
      <c r="J4796" s="10" t="str">
        <f aca="false">IF($E4796="","",UPPER(SUBSTITUTE($E4796," ","")))</f>
        <v/>
      </c>
      <c r="K4796" s="10" t="str">
        <f aca="false">IF($A4796="","",$G4796&amp;"|"&amp;$J4796)</f>
        <v/>
      </c>
      <c r="L4796" s="10" t="str">
        <f aca="false">IF($A4796="","",ROW()-2)</f>
        <v/>
      </c>
      <c r="M4796" s="10" t="str">
        <f aca="false">IF($A4796="","",ROW())</f>
        <v/>
      </c>
    </row>
    <row r="4797" customFormat="false" ht="15" hidden="false" customHeight="true" outlineLevel="0" collapsed="false">
      <c r="A4797" s="8"/>
      <c r="B4797" s="8"/>
      <c r="C4797" s="8"/>
      <c r="D4797" s="8"/>
      <c r="E4797" s="8"/>
      <c r="F4797" s="8"/>
      <c r="G4797" s="10" t="str">
        <f aca="false">IF($A4797="","",UPPER(SUBSTITUTE(SUBSTITUTE(SUBSTITUTE(SUBSTITUTE($A4797," ",""),"(주)",""),"주식회사",""),"㈜","")))</f>
        <v/>
      </c>
      <c r="H4797" s="10" t="str">
        <f aca="false">IF($B4797="","",SUBSTITUTE(SUBSTITUTE(SUBSTITUTE($B4797,"-","")," ",""),".",""))</f>
        <v/>
      </c>
      <c r="I4797" s="10" t="str">
        <f aca="false">IF($D4797="","",SUBSTITUTE(SUBSTITUTE(SUBSTITUTE($D4797,"-","")," ",""),".",""))</f>
        <v/>
      </c>
      <c r="J4797" s="10" t="str">
        <f aca="false">IF($E4797="","",UPPER(SUBSTITUTE($E4797," ","")))</f>
        <v/>
      </c>
      <c r="K4797" s="10" t="str">
        <f aca="false">IF($A4797="","",$G4797&amp;"|"&amp;$J4797)</f>
        <v/>
      </c>
      <c r="L4797" s="10" t="str">
        <f aca="false">IF($A4797="","",ROW()-2)</f>
        <v/>
      </c>
      <c r="M4797" s="10" t="str">
        <f aca="false">IF($A4797="","",ROW())</f>
        <v/>
      </c>
    </row>
    <row r="4798" customFormat="false" ht="15" hidden="false" customHeight="true" outlineLevel="0" collapsed="false">
      <c r="A4798" s="8"/>
      <c r="B4798" s="8"/>
      <c r="C4798" s="8"/>
      <c r="D4798" s="8"/>
      <c r="E4798" s="8"/>
      <c r="F4798" s="8"/>
      <c r="G4798" s="10" t="str">
        <f aca="false">IF($A4798="","",UPPER(SUBSTITUTE(SUBSTITUTE(SUBSTITUTE(SUBSTITUTE($A4798," ",""),"(주)",""),"주식회사",""),"㈜","")))</f>
        <v/>
      </c>
      <c r="H4798" s="10" t="str">
        <f aca="false">IF($B4798="","",SUBSTITUTE(SUBSTITUTE(SUBSTITUTE($B4798,"-","")," ",""),".",""))</f>
        <v/>
      </c>
      <c r="I4798" s="10" t="str">
        <f aca="false">IF($D4798="","",SUBSTITUTE(SUBSTITUTE(SUBSTITUTE($D4798,"-","")," ",""),".",""))</f>
        <v/>
      </c>
      <c r="J4798" s="10" t="str">
        <f aca="false">IF($E4798="","",UPPER(SUBSTITUTE($E4798," ","")))</f>
        <v/>
      </c>
      <c r="K4798" s="10" t="str">
        <f aca="false">IF($A4798="","",$G4798&amp;"|"&amp;$J4798)</f>
        <v/>
      </c>
      <c r="L4798" s="10" t="str">
        <f aca="false">IF($A4798="","",ROW()-2)</f>
        <v/>
      </c>
      <c r="M4798" s="10" t="str">
        <f aca="false">IF($A4798="","",ROW())</f>
        <v/>
      </c>
    </row>
    <row r="4799" customFormat="false" ht="15" hidden="false" customHeight="true" outlineLevel="0" collapsed="false">
      <c r="A4799" s="8"/>
      <c r="B4799" s="8"/>
      <c r="C4799" s="8"/>
      <c r="D4799" s="8"/>
      <c r="E4799" s="8"/>
      <c r="F4799" s="8"/>
      <c r="G4799" s="10" t="str">
        <f aca="false">IF($A4799="","",UPPER(SUBSTITUTE(SUBSTITUTE(SUBSTITUTE(SUBSTITUTE($A4799," ",""),"(주)",""),"주식회사",""),"㈜","")))</f>
        <v/>
      </c>
      <c r="H4799" s="10" t="str">
        <f aca="false">IF($B4799="","",SUBSTITUTE(SUBSTITUTE(SUBSTITUTE($B4799,"-","")," ",""),".",""))</f>
        <v/>
      </c>
      <c r="I4799" s="10" t="str">
        <f aca="false">IF($D4799="","",SUBSTITUTE(SUBSTITUTE(SUBSTITUTE($D4799,"-","")," ",""),".",""))</f>
        <v/>
      </c>
      <c r="J4799" s="10" t="str">
        <f aca="false">IF($E4799="","",UPPER(SUBSTITUTE($E4799," ","")))</f>
        <v/>
      </c>
      <c r="K4799" s="10" t="str">
        <f aca="false">IF($A4799="","",$G4799&amp;"|"&amp;$J4799)</f>
        <v/>
      </c>
      <c r="L4799" s="10" t="str">
        <f aca="false">IF($A4799="","",ROW()-2)</f>
        <v/>
      </c>
      <c r="M4799" s="10" t="str">
        <f aca="false">IF($A4799="","",ROW())</f>
        <v/>
      </c>
    </row>
    <row r="4800" customFormat="false" ht="15" hidden="false" customHeight="true" outlineLevel="0" collapsed="false">
      <c r="A4800" s="8"/>
      <c r="B4800" s="8"/>
      <c r="C4800" s="8"/>
      <c r="D4800" s="8"/>
      <c r="E4800" s="8"/>
      <c r="F4800" s="8"/>
      <c r="G4800" s="10" t="str">
        <f aca="false">IF($A4800="","",UPPER(SUBSTITUTE(SUBSTITUTE(SUBSTITUTE(SUBSTITUTE($A4800," ",""),"(주)",""),"주식회사",""),"㈜","")))</f>
        <v/>
      </c>
      <c r="H4800" s="10" t="str">
        <f aca="false">IF($B4800="","",SUBSTITUTE(SUBSTITUTE(SUBSTITUTE($B4800,"-","")," ",""),".",""))</f>
        <v/>
      </c>
      <c r="I4800" s="10" t="str">
        <f aca="false">IF($D4800="","",SUBSTITUTE(SUBSTITUTE(SUBSTITUTE($D4800,"-","")," ",""),".",""))</f>
        <v/>
      </c>
      <c r="J4800" s="10" t="str">
        <f aca="false">IF($E4800="","",UPPER(SUBSTITUTE($E4800," ","")))</f>
        <v/>
      </c>
      <c r="K4800" s="10" t="str">
        <f aca="false">IF($A4800="","",$G4800&amp;"|"&amp;$J4800)</f>
        <v/>
      </c>
      <c r="L4800" s="10" t="str">
        <f aca="false">IF($A4800="","",ROW()-2)</f>
        <v/>
      </c>
      <c r="M4800" s="10" t="str">
        <f aca="false">IF($A4800="","",ROW())</f>
        <v/>
      </c>
    </row>
    <row r="4801" customFormat="false" ht="15" hidden="false" customHeight="true" outlineLevel="0" collapsed="false">
      <c r="A4801" s="8"/>
      <c r="B4801" s="8"/>
      <c r="C4801" s="8"/>
      <c r="D4801" s="8"/>
      <c r="E4801" s="8"/>
      <c r="F4801" s="8"/>
      <c r="G4801" s="10" t="str">
        <f aca="false">IF($A4801="","",UPPER(SUBSTITUTE(SUBSTITUTE(SUBSTITUTE(SUBSTITUTE($A4801," ",""),"(주)",""),"주식회사",""),"㈜","")))</f>
        <v/>
      </c>
      <c r="H4801" s="10" t="str">
        <f aca="false">IF($B4801="","",SUBSTITUTE(SUBSTITUTE(SUBSTITUTE($B4801,"-","")," ",""),".",""))</f>
        <v/>
      </c>
      <c r="I4801" s="10" t="str">
        <f aca="false">IF($D4801="","",SUBSTITUTE(SUBSTITUTE(SUBSTITUTE($D4801,"-","")," ",""),".",""))</f>
        <v/>
      </c>
      <c r="J4801" s="10" t="str">
        <f aca="false">IF($E4801="","",UPPER(SUBSTITUTE($E4801," ","")))</f>
        <v/>
      </c>
      <c r="K4801" s="10" t="str">
        <f aca="false">IF($A4801="","",$G4801&amp;"|"&amp;$J4801)</f>
        <v/>
      </c>
      <c r="L4801" s="10" t="str">
        <f aca="false">IF($A4801="","",ROW()-2)</f>
        <v/>
      </c>
      <c r="M4801" s="10" t="str">
        <f aca="false">IF($A4801="","",ROW())</f>
        <v/>
      </c>
    </row>
    <row r="4802" customFormat="false" ht="15" hidden="false" customHeight="true" outlineLevel="0" collapsed="false">
      <c r="A4802" s="8"/>
      <c r="B4802" s="8"/>
      <c r="C4802" s="8"/>
      <c r="D4802" s="8"/>
      <c r="E4802" s="8"/>
      <c r="F4802" s="8"/>
      <c r="G4802" s="10" t="str">
        <f aca="false">IF($A4802="","",UPPER(SUBSTITUTE(SUBSTITUTE(SUBSTITUTE(SUBSTITUTE($A4802," ",""),"(주)",""),"주식회사",""),"㈜","")))</f>
        <v/>
      </c>
      <c r="H4802" s="10" t="str">
        <f aca="false">IF($B4802="","",SUBSTITUTE(SUBSTITUTE(SUBSTITUTE($B4802,"-","")," ",""),".",""))</f>
        <v/>
      </c>
      <c r="I4802" s="10" t="str">
        <f aca="false">IF($D4802="","",SUBSTITUTE(SUBSTITUTE(SUBSTITUTE($D4802,"-","")," ",""),".",""))</f>
        <v/>
      </c>
      <c r="J4802" s="10" t="str">
        <f aca="false">IF($E4802="","",UPPER(SUBSTITUTE($E4802," ","")))</f>
        <v/>
      </c>
      <c r="K4802" s="10" t="str">
        <f aca="false">IF($A4802="","",$G4802&amp;"|"&amp;$J4802)</f>
        <v/>
      </c>
      <c r="L4802" s="10" t="str">
        <f aca="false">IF($A4802="","",ROW()-2)</f>
        <v/>
      </c>
      <c r="M4802" s="10" t="str">
        <f aca="false">IF($A4802="","",ROW())</f>
        <v/>
      </c>
    </row>
    <row r="4803" customFormat="false" ht="15" hidden="false" customHeight="true" outlineLevel="0" collapsed="false">
      <c r="A4803" s="8"/>
      <c r="B4803" s="8"/>
      <c r="C4803" s="8"/>
      <c r="D4803" s="8"/>
      <c r="E4803" s="8"/>
      <c r="F4803" s="8"/>
      <c r="G4803" s="10" t="str">
        <f aca="false">IF($A4803="","",UPPER(SUBSTITUTE(SUBSTITUTE(SUBSTITUTE(SUBSTITUTE($A4803," ",""),"(주)",""),"주식회사",""),"㈜","")))</f>
        <v/>
      </c>
      <c r="H4803" s="10" t="str">
        <f aca="false">IF($B4803="","",SUBSTITUTE(SUBSTITUTE(SUBSTITUTE($B4803,"-","")," ",""),".",""))</f>
        <v/>
      </c>
      <c r="I4803" s="10" t="str">
        <f aca="false">IF($D4803="","",SUBSTITUTE(SUBSTITUTE(SUBSTITUTE($D4803,"-","")," ",""),".",""))</f>
        <v/>
      </c>
      <c r="J4803" s="10" t="str">
        <f aca="false">IF($E4803="","",UPPER(SUBSTITUTE($E4803," ","")))</f>
        <v/>
      </c>
      <c r="K4803" s="10" t="str">
        <f aca="false">IF($A4803="","",$G4803&amp;"|"&amp;$J4803)</f>
        <v/>
      </c>
      <c r="L4803" s="10" t="str">
        <f aca="false">IF($A4803="","",ROW()-2)</f>
        <v/>
      </c>
      <c r="M4803" s="10" t="str">
        <f aca="false">IF($A4803="","",ROW())</f>
        <v/>
      </c>
    </row>
    <row r="4804" customFormat="false" ht="15" hidden="false" customHeight="true" outlineLevel="0" collapsed="false">
      <c r="A4804" s="8"/>
      <c r="B4804" s="8"/>
      <c r="C4804" s="8"/>
      <c r="D4804" s="8"/>
      <c r="E4804" s="8"/>
      <c r="F4804" s="8"/>
      <c r="G4804" s="10" t="str">
        <f aca="false">IF($A4804="","",UPPER(SUBSTITUTE(SUBSTITUTE(SUBSTITUTE(SUBSTITUTE($A4804," ",""),"(주)",""),"주식회사",""),"㈜","")))</f>
        <v/>
      </c>
      <c r="H4804" s="10" t="str">
        <f aca="false">IF($B4804="","",SUBSTITUTE(SUBSTITUTE(SUBSTITUTE($B4804,"-","")," ",""),".",""))</f>
        <v/>
      </c>
      <c r="I4804" s="10" t="str">
        <f aca="false">IF($D4804="","",SUBSTITUTE(SUBSTITUTE(SUBSTITUTE($D4804,"-","")," ",""),".",""))</f>
        <v/>
      </c>
      <c r="J4804" s="10" t="str">
        <f aca="false">IF($E4804="","",UPPER(SUBSTITUTE($E4804," ","")))</f>
        <v/>
      </c>
      <c r="K4804" s="10" t="str">
        <f aca="false">IF($A4804="","",$G4804&amp;"|"&amp;$J4804)</f>
        <v/>
      </c>
      <c r="L4804" s="10" t="str">
        <f aca="false">IF($A4804="","",ROW()-2)</f>
        <v/>
      </c>
      <c r="M4804" s="10" t="str">
        <f aca="false">IF($A4804="","",ROW())</f>
        <v/>
      </c>
    </row>
    <row r="4805" customFormat="false" ht="15" hidden="false" customHeight="true" outlineLevel="0" collapsed="false">
      <c r="A4805" s="8"/>
      <c r="B4805" s="8"/>
      <c r="C4805" s="8"/>
      <c r="D4805" s="8"/>
      <c r="E4805" s="8"/>
      <c r="F4805" s="8"/>
      <c r="G4805" s="10" t="str">
        <f aca="false">IF($A4805="","",UPPER(SUBSTITUTE(SUBSTITUTE(SUBSTITUTE(SUBSTITUTE($A4805," ",""),"(주)",""),"주식회사",""),"㈜","")))</f>
        <v/>
      </c>
      <c r="H4805" s="10" t="str">
        <f aca="false">IF($B4805="","",SUBSTITUTE(SUBSTITUTE(SUBSTITUTE($B4805,"-","")," ",""),".",""))</f>
        <v/>
      </c>
      <c r="I4805" s="10" t="str">
        <f aca="false">IF($D4805="","",SUBSTITUTE(SUBSTITUTE(SUBSTITUTE($D4805,"-","")," ",""),".",""))</f>
        <v/>
      </c>
      <c r="J4805" s="10" t="str">
        <f aca="false">IF($E4805="","",UPPER(SUBSTITUTE($E4805," ","")))</f>
        <v/>
      </c>
      <c r="K4805" s="10" t="str">
        <f aca="false">IF($A4805="","",$G4805&amp;"|"&amp;$J4805)</f>
        <v/>
      </c>
      <c r="L4805" s="10" t="str">
        <f aca="false">IF($A4805="","",ROW()-2)</f>
        <v/>
      </c>
      <c r="M4805" s="10" t="str">
        <f aca="false">IF($A4805="","",ROW())</f>
        <v/>
      </c>
    </row>
    <row r="4806" customFormat="false" ht="15" hidden="false" customHeight="true" outlineLevel="0" collapsed="false">
      <c r="A4806" s="8"/>
      <c r="B4806" s="8"/>
      <c r="C4806" s="8"/>
      <c r="D4806" s="8"/>
      <c r="E4806" s="8"/>
      <c r="F4806" s="8"/>
      <c r="G4806" s="10" t="str">
        <f aca="false">IF($A4806="","",UPPER(SUBSTITUTE(SUBSTITUTE(SUBSTITUTE(SUBSTITUTE($A4806," ",""),"(주)",""),"주식회사",""),"㈜","")))</f>
        <v/>
      </c>
      <c r="H4806" s="10" t="str">
        <f aca="false">IF($B4806="","",SUBSTITUTE(SUBSTITUTE(SUBSTITUTE($B4806,"-","")," ",""),".",""))</f>
        <v/>
      </c>
      <c r="I4806" s="10" t="str">
        <f aca="false">IF($D4806="","",SUBSTITUTE(SUBSTITUTE(SUBSTITUTE($D4806,"-","")," ",""),".",""))</f>
        <v/>
      </c>
      <c r="J4806" s="10" t="str">
        <f aca="false">IF($E4806="","",UPPER(SUBSTITUTE($E4806," ","")))</f>
        <v/>
      </c>
      <c r="K4806" s="10" t="str">
        <f aca="false">IF($A4806="","",$G4806&amp;"|"&amp;$J4806)</f>
        <v/>
      </c>
      <c r="L4806" s="10" t="str">
        <f aca="false">IF($A4806="","",ROW()-2)</f>
        <v/>
      </c>
      <c r="M4806" s="10" t="str">
        <f aca="false">IF($A4806="","",ROW())</f>
        <v/>
      </c>
    </row>
    <row r="4807" customFormat="false" ht="15" hidden="false" customHeight="true" outlineLevel="0" collapsed="false">
      <c r="A4807" s="8"/>
      <c r="B4807" s="8"/>
      <c r="C4807" s="8"/>
      <c r="D4807" s="8"/>
      <c r="E4807" s="8"/>
      <c r="F4807" s="8"/>
      <c r="G4807" s="10" t="str">
        <f aca="false">IF($A4807="","",UPPER(SUBSTITUTE(SUBSTITUTE(SUBSTITUTE(SUBSTITUTE($A4807," ",""),"(주)",""),"주식회사",""),"㈜","")))</f>
        <v/>
      </c>
      <c r="H4807" s="10" t="str">
        <f aca="false">IF($B4807="","",SUBSTITUTE(SUBSTITUTE(SUBSTITUTE($B4807,"-","")," ",""),".",""))</f>
        <v/>
      </c>
      <c r="I4807" s="10" t="str">
        <f aca="false">IF($D4807="","",SUBSTITUTE(SUBSTITUTE(SUBSTITUTE($D4807,"-","")," ",""),".",""))</f>
        <v/>
      </c>
      <c r="J4807" s="10" t="str">
        <f aca="false">IF($E4807="","",UPPER(SUBSTITUTE($E4807," ","")))</f>
        <v/>
      </c>
      <c r="K4807" s="10" t="str">
        <f aca="false">IF($A4807="","",$G4807&amp;"|"&amp;$J4807)</f>
        <v/>
      </c>
      <c r="L4807" s="10" t="str">
        <f aca="false">IF($A4807="","",ROW()-2)</f>
        <v/>
      </c>
      <c r="M4807" s="10" t="str">
        <f aca="false">IF($A4807="","",ROW())</f>
        <v/>
      </c>
    </row>
    <row r="4808" customFormat="false" ht="15" hidden="false" customHeight="true" outlineLevel="0" collapsed="false">
      <c r="A4808" s="8"/>
      <c r="B4808" s="8"/>
      <c r="C4808" s="8"/>
      <c r="D4808" s="8"/>
      <c r="E4808" s="8"/>
      <c r="F4808" s="8"/>
      <c r="G4808" s="10" t="str">
        <f aca="false">IF($A4808="","",UPPER(SUBSTITUTE(SUBSTITUTE(SUBSTITUTE(SUBSTITUTE($A4808," ",""),"(주)",""),"주식회사",""),"㈜","")))</f>
        <v/>
      </c>
      <c r="H4808" s="10" t="str">
        <f aca="false">IF($B4808="","",SUBSTITUTE(SUBSTITUTE(SUBSTITUTE($B4808,"-","")," ",""),".",""))</f>
        <v/>
      </c>
      <c r="I4808" s="10" t="str">
        <f aca="false">IF($D4808="","",SUBSTITUTE(SUBSTITUTE(SUBSTITUTE($D4808,"-","")," ",""),".",""))</f>
        <v/>
      </c>
      <c r="J4808" s="10" t="str">
        <f aca="false">IF($E4808="","",UPPER(SUBSTITUTE($E4808," ","")))</f>
        <v/>
      </c>
      <c r="K4808" s="10" t="str">
        <f aca="false">IF($A4808="","",$G4808&amp;"|"&amp;$J4808)</f>
        <v/>
      </c>
      <c r="L4808" s="10" t="str">
        <f aca="false">IF($A4808="","",ROW()-2)</f>
        <v/>
      </c>
      <c r="M4808" s="10" t="str">
        <f aca="false">IF($A4808="","",ROW())</f>
        <v/>
      </c>
    </row>
    <row r="4809" customFormat="false" ht="15" hidden="false" customHeight="true" outlineLevel="0" collapsed="false">
      <c r="A4809" s="8"/>
      <c r="B4809" s="8"/>
      <c r="C4809" s="8"/>
      <c r="D4809" s="8"/>
      <c r="E4809" s="8"/>
      <c r="F4809" s="8"/>
      <c r="G4809" s="10" t="str">
        <f aca="false">IF($A4809="","",UPPER(SUBSTITUTE(SUBSTITUTE(SUBSTITUTE(SUBSTITUTE($A4809," ",""),"(주)",""),"주식회사",""),"㈜","")))</f>
        <v/>
      </c>
      <c r="H4809" s="10" t="str">
        <f aca="false">IF($B4809="","",SUBSTITUTE(SUBSTITUTE(SUBSTITUTE($B4809,"-","")," ",""),".",""))</f>
        <v/>
      </c>
      <c r="I4809" s="10" t="str">
        <f aca="false">IF($D4809="","",SUBSTITUTE(SUBSTITUTE(SUBSTITUTE($D4809,"-","")," ",""),".",""))</f>
        <v/>
      </c>
      <c r="J4809" s="10" t="str">
        <f aca="false">IF($E4809="","",UPPER(SUBSTITUTE($E4809," ","")))</f>
        <v/>
      </c>
      <c r="K4809" s="10" t="str">
        <f aca="false">IF($A4809="","",$G4809&amp;"|"&amp;$J4809)</f>
        <v/>
      </c>
      <c r="L4809" s="10" t="str">
        <f aca="false">IF($A4809="","",ROW()-2)</f>
        <v/>
      </c>
      <c r="M4809" s="10" t="str">
        <f aca="false">IF($A4809="","",ROW())</f>
        <v/>
      </c>
    </row>
    <row r="4810" customFormat="false" ht="15" hidden="false" customHeight="true" outlineLevel="0" collapsed="false">
      <c r="A4810" s="8"/>
      <c r="B4810" s="8"/>
      <c r="C4810" s="8"/>
      <c r="D4810" s="8"/>
      <c r="E4810" s="8"/>
      <c r="F4810" s="8"/>
      <c r="G4810" s="10" t="str">
        <f aca="false">IF($A4810="","",UPPER(SUBSTITUTE(SUBSTITUTE(SUBSTITUTE(SUBSTITUTE($A4810," ",""),"(주)",""),"주식회사",""),"㈜","")))</f>
        <v/>
      </c>
      <c r="H4810" s="10" t="str">
        <f aca="false">IF($B4810="","",SUBSTITUTE(SUBSTITUTE(SUBSTITUTE($B4810,"-","")," ",""),".",""))</f>
        <v/>
      </c>
      <c r="I4810" s="10" t="str">
        <f aca="false">IF($D4810="","",SUBSTITUTE(SUBSTITUTE(SUBSTITUTE($D4810,"-","")," ",""),".",""))</f>
        <v/>
      </c>
      <c r="J4810" s="10" t="str">
        <f aca="false">IF($E4810="","",UPPER(SUBSTITUTE($E4810," ","")))</f>
        <v/>
      </c>
      <c r="K4810" s="10" t="str">
        <f aca="false">IF($A4810="","",$G4810&amp;"|"&amp;$J4810)</f>
        <v/>
      </c>
      <c r="L4810" s="10" t="str">
        <f aca="false">IF($A4810="","",ROW()-2)</f>
        <v/>
      </c>
      <c r="M4810" s="10" t="str">
        <f aca="false">IF($A4810="","",ROW())</f>
        <v/>
      </c>
    </row>
    <row r="4811" customFormat="false" ht="15" hidden="false" customHeight="true" outlineLevel="0" collapsed="false">
      <c r="A4811" s="8"/>
      <c r="B4811" s="8"/>
      <c r="C4811" s="8"/>
      <c r="D4811" s="8"/>
      <c r="E4811" s="8"/>
      <c r="F4811" s="8"/>
      <c r="G4811" s="10" t="str">
        <f aca="false">IF($A4811="","",UPPER(SUBSTITUTE(SUBSTITUTE(SUBSTITUTE(SUBSTITUTE($A4811," ",""),"(주)",""),"주식회사",""),"㈜","")))</f>
        <v/>
      </c>
      <c r="H4811" s="10" t="str">
        <f aca="false">IF($B4811="","",SUBSTITUTE(SUBSTITUTE(SUBSTITUTE($B4811,"-","")," ",""),".",""))</f>
        <v/>
      </c>
      <c r="I4811" s="10" t="str">
        <f aca="false">IF($D4811="","",SUBSTITUTE(SUBSTITUTE(SUBSTITUTE($D4811,"-","")," ",""),".",""))</f>
        <v/>
      </c>
      <c r="J4811" s="10" t="str">
        <f aca="false">IF($E4811="","",UPPER(SUBSTITUTE($E4811," ","")))</f>
        <v/>
      </c>
      <c r="K4811" s="10" t="str">
        <f aca="false">IF($A4811="","",$G4811&amp;"|"&amp;$J4811)</f>
        <v/>
      </c>
      <c r="L4811" s="10" t="str">
        <f aca="false">IF($A4811="","",ROW()-2)</f>
        <v/>
      </c>
      <c r="M4811" s="10" t="str">
        <f aca="false">IF($A4811="","",ROW())</f>
        <v/>
      </c>
    </row>
    <row r="4812" customFormat="false" ht="15" hidden="false" customHeight="true" outlineLevel="0" collapsed="false">
      <c r="A4812" s="8"/>
      <c r="B4812" s="8"/>
      <c r="C4812" s="8"/>
      <c r="D4812" s="8"/>
      <c r="E4812" s="8"/>
      <c r="F4812" s="8"/>
      <c r="G4812" s="10" t="str">
        <f aca="false">IF($A4812="","",UPPER(SUBSTITUTE(SUBSTITUTE(SUBSTITUTE(SUBSTITUTE($A4812," ",""),"(주)",""),"주식회사",""),"㈜","")))</f>
        <v/>
      </c>
      <c r="H4812" s="10" t="str">
        <f aca="false">IF($B4812="","",SUBSTITUTE(SUBSTITUTE(SUBSTITUTE($B4812,"-","")," ",""),".",""))</f>
        <v/>
      </c>
      <c r="I4812" s="10" t="str">
        <f aca="false">IF($D4812="","",SUBSTITUTE(SUBSTITUTE(SUBSTITUTE($D4812,"-","")," ",""),".",""))</f>
        <v/>
      </c>
      <c r="J4812" s="10" t="str">
        <f aca="false">IF($E4812="","",UPPER(SUBSTITUTE($E4812," ","")))</f>
        <v/>
      </c>
      <c r="K4812" s="10" t="str">
        <f aca="false">IF($A4812="","",$G4812&amp;"|"&amp;$J4812)</f>
        <v/>
      </c>
      <c r="L4812" s="10" t="str">
        <f aca="false">IF($A4812="","",ROW()-2)</f>
        <v/>
      </c>
      <c r="M4812" s="10" t="str">
        <f aca="false">IF($A4812="","",ROW())</f>
        <v/>
      </c>
    </row>
    <row r="4813" customFormat="false" ht="15" hidden="false" customHeight="true" outlineLevel="0" collapsed="false">
      <c r="A4813" s="8"/>
      <c r="B4813" s="8"/>
      <c r="C4813" s="8"/>
      <c r="D4813" s="8"/>
      <c r="E4813" s="8"/>
      <c r="F4813" s="8"/>
      <c r="G4813" s="10" t="str">
        <f aca="false">IF($A4813="","",UPPER(SUBSTITUTE(SUBSTITUTE(SUBSTITUTE(SUBSTITUTE($A4813," ",""),"(주)",""),"주식회사",""),"㈜","")))</f>
        <v/>
      </c>
      <c r="H4813" s="10" t="str">
        <f aca="false">IF($B4813="","",SUBSTITUTE(SUBSTITUTE(SUBSTITUTE($B4813,"-","")," ",""),".",""))</f>
        <v/>
      </c>
      <c r="I4813" s="10" t="str">
        <f aca="false">IF($D4813="","",SUBSTITUTE(SUBSTITUTE(SUBSTITUTE($D4813,"-","")," ",""),".",""))</f>
        <v/>
      </c>
      <c r="J4813" s="10" t="str">
        <f aca="false">IF($E4813="","",UPPER(SUBSTITUTE($E4813," ","")))</f>
        <v/>
      </c>
      <c r="K4813" s="10" t="str">
        <f aca="false">IF($A4813="","",$G4813&amp;"|"&amp;$J4813)</f>
        <v/>
      </c>
      <c r="L4813" s="10" t="str">
        <f aca="false">IF($A4813="","",ROW()-2)</f>
        <v/>
      </c>
      <c r="M4813" s="10" t="str">
        <f aca="false">IF($A4813="","",ROW())</f>
        <v/>
      </c>
    </row>
    <row r="4814" customFormat="false" ht="15" hidden="false" customHeight="true" outlineLevel="0" collapsed="false">
      <c r="A4814" s="8"/>
      <c r="B4814" s="8"/>
      <c r="C4814" s="8"/>
      <c r="D4814" s="8"/>
      <c r="E4814" s="8"/>
      <c r="F4814" s="8"/>
      <c r="G4814" s="10" t="str">
        <f aca="false">IF($A4814="","",UPPER(SUBSTITUTE(SUBSTITUTE(SUBSTITUTE(SUBSTITUTE($A4814," ",""),"(주)",""),"주식회사",""),"㈜","")))</f>
        <v/>
      </c>
      <c r="H4814" s="10" t="str">
        <f aca="false">IF($B4814="","",SUBSTITUTE(SUBSTITUTE(SUBSTITUTE($B4814,"-","")," ",""),".",""))</f>
        <v/>
      </c>
      <c r="I4814" s="10" t="str">
        <f aca="false">IF($D4814="","",SUBSTITUTE(SUBSTITUTE(SUBSTITUTE($D4814,"-","")," ",""),".",""))</f>
        <v/>
      </c>
      <c r="J4814" s="10" t="str">
        <f aca="false">IF($E4814="","",UPPER(SUBSTITUTE($E4814," ","")))</f>
        <v/>
      </c>
      <c r="K4814" s="10" t="str">
        <f aca="false">IF($A4814="","",$G4814&amp;"|"&amp;$J4814)</f>
        <v/>
      </c>
      <c r="L4814" s="10" t="str">
        <f aca="false">IF($A4814="","",ROW()-2)</f>
        <v/>
      </c>
      <c r="M4814" s="10" t="str">
        <f aca="false">IF($A4814="","",ROW())</f>
        <v/>
      </c>
    </row>
    <row r="4815" customFormat="false" ht="15" hidden="false" customHeight="true" outlineLevel="0" collapsed="false">
      <c r="A4815" s="8"/>
      <c r="B4815" s="8"/>
      <c r="C4815" s="8"/>
      <c r="D4815" s="8"/>
      <c r="E4815" s="8"/>
      <c r="F4815" s="8"/>
      <c r="G4815" s="10" t="str">
        <f aca="false">IF($A4815="","",UPPER(SUBSTITUTE(SUBSTITUTE(SUBSTITUTE(SUBSTITUTE($A4815," ",""),"(주)",""),"주식회사",""),"㈜","")))</f>
        <v/>
      </c>
      <c r="H4815" s="10" t="str">
        <f aca="false">IF($B4815="","",SUBSTITUTE(SUBSTITUTE(SUBSTITUTE($B4815,"-","")," ",""),".",""))</f>
        <v/>
      </c>
      <c r="I4815" s="10" t="str">
        <f aca="false">IF($D4815="","",SUBSTITUTE(SUBSTITUTE(SUBSTITUTE($D4815,"-","")," ",""),".",""))</f>
        <v/>
      </c>
      <c r="J4815" s="10" t="str">
        <f aca="false">IF($E4815="","",UPPER(SUBSTITUTE($E4815," ","")))</f>
        <v/>
      </c>
      <c r="K4815" s="10" t="str">
        <f aca="false">IF($A4815="","",$G4815&amp;"|"&amp;$J4815)</f>
        <v/>
      </c>
      <c r="L4815" s="10" t="str">
        <f aca="false">IF($A4815="","",ROW()-2)</f>
        <v/>
      </c>
      <c r="M4815" s="10" t="str">
        <f aca="false">IF($A4815="","",ROW())</f>
        <v/>
      </c>
    </row>
    <row r="4816" customFormat="false" ht="15" hidden="false" customHeight="true" outlineLevel="0" collapsed="false">
      <c r="A4816" s="8"/>
      <c r="B4816" s="8"/>
      <c r="C4816" s="8"/>
      <c r="D4816" s="8"/>
      <c r="E4816" s="8"/>
      <c r="F4816" s="8"/>
      <c r="G4816" s="10" t="str">
        <f aca="false">IF($A4816="","",UPPER(SUBSTITUTE(SUBSTITUTE(SUBSTITUTE(SUBSTITUTE($A4816," ",""),"(주)",""),"주식회사",""),"㈜","")))</f>
        <v/>
      </c>
      <c r="H4816" s="10" t="str">
        <f aca="false">IF($B4816="","",SUBSTITUTE(SUBSTITUTE(SUBSTITUTE($B4816,"-","")," ",""),".",""))</f>
        <v/>
      </c>
      <c r="I4816" s="10" t="str">
        <f aca="false">IF($D4816="","",SUBSTITUTE(SUBSTITUTE(SUBSTITUTE($D4816,"-","")," ",""),".",""))</f>
        <v/>
      </c>
      <c r="J4816" s="10" t="str">
        <f aca="false">IF($E4816="","",UPPER(SUBSTITUTE($E4816," ","")))</f>
        <v/>
      </c>
      <c r="K4816" s="10" t="str">
        <f aca="false">IF($A4816="","",$G4816&amp;"|"&amp;$J4816)</f>
        <v/>
      </c>
      <c r="L4816" s="10" t="str">
        <f aca="false">IF($A4816="","",ROW()-2)</f>
        <v/>
      </c>
      <c r="M4816" s="10" t="str">
        <f aca="false">IF($A4816="","",ROW())</f>
        <v/>
      </c>
    </row>
    <row r="4817" customFormat="false" ht="15" hidden="false" customHeight="true" outlineLevel="0" collapsed="false">
      <c r="A4817" s="8"/>
      <c r="B4817" s="8"/>
      <c r="C4817" s="8"/>
      <c r="D4817" s="8"/>
      <c r="E4817" s="8"/>
      <c r="F4817" s="8"/>
      <c r="G4817" s="10" t="str">
        <f aca="false">IF($A4817="","",UPPER(SUBSTITUTE(SUBSTITUTE(SUBSTITUTE(SUBSTITUTE($A4817," ",""),"(주)",""),"주식회사",""),"㈜","")))</f>
        <v/>
      </c>
      <c r="H4817" s="10" t="str">
        <f aca="false">IF($B4817="","",SUBSTITUTE(SUBSTITUTE(SUBSTITUTE($B4817,"-","")," ",""),".",""))</f>
        <v/>
      </c>
      <c r="I4817" s="10" t="str">
        <f aca="false">IF($D4817="","",SUBSTITUTE(SUBSTITUTE(SUBSTITUTE($D4817,"-","")," ",""),".",""))</f>
        <v/>
      </c>
      <c r="J4817" s="10" t="str">
        <f aca="false">IF($E4817="","",UPPER(SUBSTITUTE($E4817," ","")))</f>
        <v/>
      </c>
      <c r="K4817" s="10" t="str">
        <f aca="false">IF($A4817="","",$G4817&amp;"|"&amp;$J4817)</f>
        <v/>
      </c>
      <c r="L4817" s="10" t="str">
        <f aca="false">IF($A4817="","",ROW()-2)</f>
        <v/>
      </c>
      <c r="M4817" s="10" t="str">
        <f aca="false">IF($A4817="","",ROW())</f>
        <v/>
      </c>
    </row>
    <row r="4818" customFormat="false" ht="15" hidden="false" customHeight="true" outlineLevel="0" collapsed="false">
      <c r="A4818" s="8"/>
      <c r="B4818" s="8"/>
      <c r="C4818" s="8"/>
      <c r="D4818" s="8"/>
      <c r="E4818" s="8"/>
      <c r="F4818" s="8"/>
      <c r="G4818" s="10" t="str">
        <f aca="false">IF($A4818="","",UPPER(SUBSTITUTE(SUBSTITUTE(SUBSTITUTE(SUBSTITUTE($A4818," ",""),"(주)",""),"주식회사",""),"㈜","")))</f>
        <v/>
      </c>
      <c r="H4818" s="10" t="str">
        <f aca="false">IF($B4818="","",SUBSTITUTE(SUBSTITUTE(SUBSTITUTE($B4818,"-","")," ",""),".",""))</f>
        <v/>
      </c>
      <c r="I4818" s="10" t="str">
        <f aca="false">IF($D4818="","",SUBSTITUTE(SUBSTITUTE(SUBSTITUTE($D4818,"-","")," ",""),".",""))</f>
        <v/>
      </c>
      <c r="J4818" s="10" t="str">
        <f aca="false">IF($E4818="","",UPPER(SUBSTITUTE($E4818," ","")))</f>
        <v/>
      </c>
      <c r="K4818" s="10" t="str">
        <f aca="false">IF($A4818="","",$G4818&amp;"|"&amp;$J4818)</f>
        <v/>
      </c>
      <c r="L4818" s="10" t="str">
        <f aca="false">IF($A4818="","",ROW()-2)</f>
        <v/>
      </c>
      <c r="M4818" s="10" t="str">
        <f aca="false">IF($A4818="","",ROW())</f>
        <v/>
      </c>
    </row>
    <row r="4819" customFormat="false" ht="15" hidden="false" customHeight="true" outlineLevel="0" collapsed="false">
      <c r="A4819" s="8"/>
      <c r="B4819" s="8"/>
      <c r="C4819" s="8"/>
      <c r="D4819" s="8"/>
      <c r="E4819" s="8"/>
      <c r="F4819" s="8"/>
      <c r="G4819" s="10" t="str">
        <f aca="false">IF($A4819="","",UPPER(SUBSTITUTE(SUBSTITUTE(SUBSTITUTE(SUBSTITUTE($A4819," ",""),"(주)",""),"주식회사",""),"㈜","")))</f>
        <v/>
      </c>
      <c r="H4819" s="10" t="str">
        <f aca="false">IF($B4819="","",SUBSTITUTE(SUBSTITUTE(SUBSTITUTE($B4819,"-","")," ",""),".",""))</f>
        <v/>
      </c>
      <c r="I4819" s="10" t="str">
        <f aca="false">IF($D4819="","",SUBSTITUTE(SUBSTITUTE(SUBSTITUTE($D4819,"-","")," ",""),".",""))</f>
        <v/>
      </c>
      <c r="J4819" s="10" t="str">
        <f aca="false">IF($E4819="","",UPPER(SUBSTITUTE($E4819," ","")))</f>
        <v/>
      </c>
      <c r="K4819" s="10" t="str">
        <f aca="false">IF($A4819="","",$G4819&amp;"|"&amp;$J4819)</f>
        <v/>
      </c>
      <c r="L4819" s="10" t="str">
        <f aca="false">IF($A4819="","",ROW()-2)</f>
        <v/>
      </c>
      <c r="M4819" s="10" t="str">
        <f aca="false">IF($A4819="","",ROW())</f>
        <v/>
      </c>
    </row>
    <row r="4820" customFormat="false" ht="15" hidden="false" customHeight="true" outlineLevel="0" collapsed="false">
      <c r="A4820" s="8"/>
      <c r="B4820" s="8"/>
      <c r="C4820" s="8"/>
      <c r="D4820" s="8"/>
      <c r="E4820" s="8"/>
      <c r="F4820" s="8"/>
      <c r="G4820" s="10" t="str">
        <f aca="false">IF($A4820="","",UPPER(SUBSTITUTE(SUBSTITUTE(SUBSTITUTE(SUBSTITUTE($A4820," ",""),"(주)",""),"주식회사",""),"㈜","")))</f>
        <v/>
      </c>
      <c r="H4820" s="10" t="str">
        <f aca="false">IF($B4820="","",SUBSTITUTE(SUBSTITUTE(SUBSTITUTE($B4820,"-","")," ",""),".",""))</f>
        <v/>
      </c>
      <c r="I4820" s="10" t="str">
        <f aca="false">IF($D4820="","",SUBSTITUTE(SUBSTITUTE(SUBSTITUTE($D4820,"-","")," ",""),".",""))</f>
        <v/>
      </c>
      <c r="J4820" s="10" t="str">
        <f aca="false">IF($E4820="","",UPPER(SUBSTITUTE($E4820," ","")))</f>
        <v/>
      </c>
      <c r="K4820" s="10" t="str">
        <f aca="false">IF($A4820="","",$G4820&amp;"|"&amp;$J4820)</f>
        <v/>
      </c>
      <c r="L4820" s="10" t="str">
        <f aca="false">IF($A4820="","",ROW()-2)</f>
        <v/>
      </c>
      <c r="M4820" s="10" t="str">
        <f aca="false">IF($A4820="","",ROW())</f>
        <v/>
      </c>
    </row>
    <row r="4821" customFormat="false" ht="15" hidden="false" customHeight="true" outlineLevel="0" collapsed="false">
      <c r="A4821" s="8"/>
      <c r="B4821" s="8"/>
      <c r="C4821" s="8"/>
      <c r="D4821" s="8"/>
      <c r="E4821" s="8"/>
      <c r="F4821" s="8"/>
      <c r="G4821" s="10" t="str">
        <f aca="false">IF($A4821="","",UPPER(SUBSTITUTE(SUBSTITUTE(SUBSTITUTE(SUBSTITUTE($A4821," ",""),"(주)",""),"주식회사",""),"㈜","")))</f>
        <v/>
      </c>
      <c r="H4821" s="10" t="str">
        <f aca="false">IF($B4821="","",SUBSTITUTE(SUBSTITUTE(SUBSTITUTE($B4821,"-","")," ",""),".",""))</f>
        <v/>
      </c>
      <c r="I4821" s="10" t="str">
        <f aca="false">IF($D4821="","",SUBSTITUTE(SUBSTITUTE(SUBSTITUTE($D4821,"-","")," ",""),".",""))</f>
        <v/>
      </c>
      <c r="J4821" s="10" t="str">
        <f aca="false">IF($E4821="","",UPPER(SUBSTITUTE($E4821," ","")))</f>
        <v/>
      </c>
      <c r="K4821" s="10" t="str">
        <f aca="false">IF($A4821="","",$G4821&amp;"|"&amp;$J4821)</f>
        <v/>
      </c>
      <c r="L4821" s="10" t="str">
        <f aca="false">IF($A4821="","",ROW()-2)</f>
        <v/>
      </c>
      <c r="M4821" s="10" t="str">
        <f aca="false">IF($A4821="","",ROW())</f>
        <v/>
      </c>
    </row>
    <row r="4822" customFormat="false" ht="15" hidden="false" customHeight="true" outlineLevel="0" collapsed="false">
      <c r="A4822" s="8"/>
      <c r="B4822" s="8"/>
      <c r="C4822" s="8"/>
      <c r="D4822" s="8"/>
      <c r="E4822" s="8"/>
      <c r="F4822" s="8"/>
      <c r="G4822" s="10" t="str">
        <f aca="false">IF($A4822="","",UPPER(SUBSTITUTE(SUBSTITUTE(SUBSTITUTE(SUBSTITUTE($A4822," ",""),"(주)",""),"주식회사",""),"㈜","")))</f>
        <v/>
      </c>
      <c r="H4822" s="10" t="str">
        <f aca="false">IF($B4822="","",SUBSTITUTE(SUBSTITUTE(SUBSTITUTE($B4822,"-","")," ",""),".",""))</f>
        <v/>
      </c>
      <c r="I4822" s="10" t="str">
        <f aca="false">IF($D4822="","",SUBSTITUTE(SUBSTITUTE(SUBSTITUTE($D4822,"-","")," ",""),".",""))</f>
        <v/>
      </c>
      <c r="J4822" s="10" t="str">
        <f aca="false">IF($E4822="","",UPPER(SUBSTITUTE($E4822," ","")))</f>
        <v/>
      </c>
      <c r="K4822" s="10" t="str">
        <f aca="false">IF($A4822="","",$G4822&amp;"|"&amp;$J4822)</f>
        <v/>
      </c>
      <c r="L4822" s="10" t="str">
        <f aca="false">IF($A4822="","",ROW()-2)</f>
        <v/>
      </c>
      <c r="M4822" s="10" t="str">
        <f aca="false">IF($A4822="","",ROW())</f>
        <v/>
      </c>
    </row>
    <row r="4823" customFormat="false" ht="15" hidden="false" customHeight="true" outlineLevel="0" collapsed="false">
      <c r="A4823" s="8"/>
      <c r="B4823" s="8"/>
      <c r="C4823" s="8"/>
      <c r="D4823" s="8"/>
      <c r="E4823" s="8"/>
      <c r="F4823" s="8"/>
      <c r="G4823" s="10" t="str">
        <f aca="false">IF($A4823="","",UPPER(SUBSTITUTE(SUBSTITUTE(SUBSTITUTE(SUBSTITUTE($A4823," ",""),"(주)",""),"주식회사",""),"㈜","")))</f>
        <v/>
      </c>
      <c r="H4823" s="10" t="str">
        <f aca="false">IF($B4823="","",SUBSTITUTE(SUBSTITUTE(SUBSTITUTE($B4823,"-","")," ",""),".",""))</f>
        <v/>
      </c>
      <c r="I4823" s="10" t="str">
        <f aca="false">IF($D4823="","",SUBSTITUTE(SUBSTITUTE(SUBSTITUTE($D4823,"-","")," ",""),".",""))</f>
        <v/>
      </c>
      <c r="J4823" s="10" t="str">
        <f aca="false">IF($E4823="","",UPPER(SUBSTITUTE($E4823," ","")))</f>
        <v/>
      </c>
      <c r="K4823" s="10" t="str">
        <f aca="false">IF($A4823="","",$G4823&amp;"|"&amp;$J4823)</f>
        <v/>
      </c>
      <c r="L4823" s="10" t="str">
        <f aca="false">IF($A4823="","",ROW()-2)</f>
        <v/>
      </c>
      <c r="M4823" s="10" t="str">
        <f aca="false">IF($A4823="","",ROW())</f>
        <v/>
      </c>
    </row>
    <row r="4824" customFormat="false" ht="15" hidden="false" customHeight="true" outlineLevel="0" collapsed="false">
      <c r="A4824" s="8"/>
      <c r="B4824" s="8"/>
      <c r="C4824" s="8"/>
      <c r="D4824" s="8"/>
      <c r="E4824" s="8"/>
      <c r="F4824" s="8"/>
      <c r="G4824" s="10" t="str">
        <f aca="false">IF($A4824="","",UPPER(SUBSTITUTE(SUBSTITUTE(SUBSTITUTE(SUBSTITUTE($A4824," ",""),"(주)",""),"주식회사",""),"㈜","")))</f>
        <v/>
      </c>
      <c r="H4824" s="10" t="str">
        <f aca="false">IF($B4824="","",SUBSTITUTE(SUBSTITUTE(SUBSTITUTE($B4824,"-","")," ",""),".",""))</f>
        <v/>
      </c>
      <c r="I4824" s="10" t="str">
        <f aca="false">IF($D4824="","",SUBSTITUTE(SUBSTITUTE(SUBSTITUTE($D4824,"-","")," ",""),".",""))</f>
        <v/>
      </c>
      <c r="J4824" s="10" t="str">
        <f aca="false">IF($E4824="","",UPPER(SUBSTITUTE($E4824," ","")))</f>
        <v/>
      </c>
      <c r="K4824" s="10" t="str">
        <f aca="false">IF($A4824="","",$G4824&amp;"|"&amp;$J4824)</f>
        <v/>
      </c>
      <c r="L4824" s="10" t="str">
        <f aca="false">IF($A4824="","",ROW()-2)</f>
        <v/>
      </c>
      <c r="M4824" s="10" t="str">
        <f aca="false">IF($A4824="","",ROW())</f>
        <v/>
      </c>
    </row>
    <row r="4825" customFormat="false" ht="15" hidden="false" customHeight="true" outlineLevel="0" collapsed="false">
      <c r="A4825" s="8"/>
      <c r="B4825" s="8"/>
      <c r="C4825" s="8"/>
      <c r="D4825" s="8"/>
      <c r="E4825" s="8"/>
      <c r="F4825" s="8"/>
      <c r="G4825" s="10" t="str">
        <f aca="false">IF($A4825="","",UPPER(SUBSTITUTE(SUBSTITUTE(SUBSTITUTE(SUBSTITUTE($A4825," ",""),"(주)",""),"주식회사",""),"㈜","")))</f>
        <v/>
      </c>
      <c r="H4825" s="10" t="str">
        <f aca="false">IF($B4825="","",SUBSTITUTE(SUBSTITUTE(SUBSTITUTE($B4825,"-","")," ",""),".",""))</f>
        <v/>
      </c>
      <c r="I4825" s="10" t="str">
        <f aca="false">IF($D4825="","",SUBSTITUTE(SUBSTITUTE(SUBSTITUTE($D4825,"-","")," ",""),".",""))</f>
        <v/>
      </c>
      <c r="J4825" s="10" t="str">
        <f aca="false">IF($E4825="","",UPPER(SUBSTITUTE($E4825," ","")))</f>
        <v/>
      </c>
      <c r="K4825" s="10" t="str">
        <f aca="false">IF($A4825="","",$G4825&amp;"|"&amp;$J4825)</f>
        <v/>
      </c>
      <c r="L4825" s="10" t="str">
        <f aca="false">IF($A4825="","",ROW()-2)</f>
        <v/>
      </c>
      <c r="M4825" s="10" t="str">
        <f aca="false">IF($A4825="","",ROW())</f>
        <v/>
      </c>
    </row>
    <row r="4826" customFormat="false" ht="15" hidden="false" customHeight="true" outlineLevel="0" collapsed="false">
      <c r="A4826" s="8"/>
      <c r="B4826" s="8"/>
      <c r="C4826" s="8"/>
      <c r="D4826" s="8"/>
      <c r="E4826" s="8"/>
      <c r="F4826" s="8"/>
      <c r="G4826" s="10" t="str">
        <f aca="false">IF($A4826="","",UPPER(SUBSTITUTE(SUBSTITUTE(SUBSTITUTE(SUBSTITUTE($A4826," ",""),"(주)",""),"주식회사",""),"㈜","")))</f>
        <v/>
      </c>
      <c r="H4826" s="10" t="str">
        <f aca="false">IF($B4826="","",SUBSTITUTE(SUBSTITUTE(SUBSTITUTE($B4826,"-","")," ",""),".",""))</f>
        <v/>
      </c>
      <c r="I4826" s="10" t="str">
        <f aca="false">IF($D4826="","",SUBSTITUTE(SUBSTITUTE(SUBSTITUTE($D4826,"-","")," ",""),".",""))</f>
        <v/>
      </c>
      <c r="J4826" s="10" t="str">
        <f aca="false">IF($E4826="","",UPPER(SUBSTITUTE($E4826," ","")))</f>
        <v/>
      </c>
      <c r="K4826" s="10" t="str">
        <f aca="false">IF($A4826="","",$G4826&amp;"|"&amp;$J4826)</f>
        <v/>
      </c>
      <c r="L4826" s="10" t="str">
        <f aca="false">IF($A4826="","",ROW()-2)</f>
        <v/>
      </c>
      <c r="M4826" s="10" t="str">
        <f aca="false">IF($A4826="","",ROW())</f>
        <v/>
      </c>
    </row>
    <row r="4827" customFormat="false" ht="15" hidden="false" customHeight="true" outlineLevel="0" collapsed="false">
      <c r="A4827" s="8"/>
      <c r="B4827" s="8"/>
      <c r="C4827" s="8"/>
      <c r="D4827" s="8"/>
      <c r="E4827" s="8"/>
      <c r="F4827" s="8"/>
      <c r="G4827" s="10" t="str">
        <f aca="false">IF($A4827="","",UPPER(SUBSTITUTE(SUBSTITUTE(SUBSTITUTE(SUBSTITUTE($A4827," ",""),"(주)",""),"주식회사",""),"㈜","")))</f>
        <v/>
      </c>
      <c r="H4827" s="10" t="str">
        <f aca="false">IF($B4827="","",SUBSTITUTE(SUBSTITUTE(SUBSTITUTE($B4827,"-","")," ",""),".",""))</f>
        <v/>
      </c>
      <c r="I4827" s="10" t="str">
        <f aca="false">IF($D4827="","",SUBSTITUTE(SUBSTITUTE(SUBSTITUTE($D4827,"-","")," ",""),".",""))</f>
        <v/>
      </c>
      <c r="J4827" s="10" t="str">
        <f aca="false">IF($E4827="","",UPPER(SUBSTITUTE($E4827," ","")))</f>
        <v/>
      </c>
      <c r="K4827" s="10" t="str">
        <f aca="false">IF($A4827="","",$G4827&amp;"|"&amp;$J4827)</f>
        <v/>
      </c>
      <c r="L4827" s="10" t="str">
        <f aca="false">IF($A4827="","",ROW()-2)</f>
        <v/>
      </c>
      <c r="M4827" s="10" t="str">
        <f aca="false">IF($A4827="","",ROW())</f>
        <v/>
      </c>
    </row>
    <row r="4828" customFormat="false" ht="15" hidden="false" customHeight="true" outlineLevel="0" collapsed="false">
      <c r="A4828" s="8"/>
      <c r="B4828" s="8"/>
      <c r="C4828" s="8"/>
      <c r="D4828" s="8"/>
      <c r="E4828" s="8"/>
      <c r="F4828" s="8"/>
      <c r="G4828" s="10" t="str">
        <f aca="false">IF($A4828="","",UPPER(SUBSTITUTE(SUBSTITUTE(SUBSTITUTE(SUBSTITUTE($A4828," ",""),"(주)",""),"주식회사",""),"㈜","")))</f>
        <v/>
      </c>
      <c r="H4828" s="10" t="str">
        <f aca="false">IF($B4828="","",SUBSTITUTE(SUBSTITUTE(SUBSTITUTE($B4828,"-","")," ",""),".",""))</f>
        <v/>
      </c>
      <c r="I4828" s="10" t="str">
        <f aca="false">IF($D4828="","",SUBSTITUTE(SUBSTITUTE(SUBSTITUTE($D4828,"-","")," ",""),".",""))</f>
        <v/>
      </c>
      <c r="J4828" s="10" t="str">
        <f aca="false">IF($E4828="","",UPPER(SUBSTITUTE($E4828," ","")))</f>
        <v/>
      </c>
      <c r="K4828" s="10" t="str">
        <f aca="false">IF($A4828="","",$G4828&amp;"|"&amp;$J4828)</f>
        <v/>
      </c>
      <c r="L4828" s="10" t="str">
        <f aca="false">IF($A4828="","",ROW()-2)</f>
        <v/>
      </c>
      <c r="M4828" s="10" t="str">
        <f aca="false">IF($A4828="","",ROW())</f>
        <v/>
      </c>
    </row>
    <row r="4829" customFormat="false" ht="15" hidden="false" customHeight="true" outlineLevel="0" collapsed="false">
      <c r="A4829" s="8"/>
      <c r="B4829" s="8"/>
      <c r="C4829" s="8"/>
      <c r="D4829" s="8"/>
      <c r="E4829" s="8"/>
      <c r="F4829" s="8"/>
      <c r="G4829" s="10" t="str">
        <f aca="false">IF($A4829="","",UPPER(SUBSTITUTE(SUBSTITUTE(SUBSTITUTE(SUBSTITUTE($A4829," ",""),"(주)",""),"주식회사",""),"㈜","")))</f>
        <v/>
      </c>
      <c r="H4829" s="10" t="str">
        <f aca="false">IF($B4829="","",SUBSTITUTE(SUBSTITUTE(SUBSTITUTE($B4829,"-","")," ",""),".",""))</f>
        <v/>
      </c>
      <c r="I4829" s="10" t="str">
        <f aca="false">IF($D4829="","",SUBSTITUTE(SUBSTITUTE(SUBSTITUTE($D4829,"-","")," ",""),".",""))</f>
        <v/>
      </c>
      <c r="J4829" s="10" t="str">
        <f aca="false">IF($E4829="","",UPPER(SUBSTITUTE($E4829," ","")))</f>
        <v/>
      </c>
      <c r="K4829" s="10" t="str">
        <f aca="false">IF($A4829="","",$G4829&amp;"|"&amp;$J4829)</f>
        <v/>
      </c>
      <c r="L4829" s="10" t="str">
        <f aca="false">IF($A4829="","",ROW()-2)</f>
        <v/>
      </c>
      <c r="M4829" s="10" t="str">
        <f aca="false">IF($A4829="","",ROW())</f>
        <v/>
      </c>
    </row>
    <row r="4830" customFormat="false" ht="15" hidden="false" customHeight="true" outlineLevel="0" collapsed="false">
      <c r="A4830" s="8"/>
      <c r="B4830" s="8"/>
      <c r="C4830" s="8"/>
      <c r="D4830" s="8"/>
      <c r="E4830" s="8"/>
      <c r="F4830" s="8"/>
      <c r="G4830" s="10" t="str">
        <f aca="false">IF($A4830="","",UPPER(SUBSTITUTE(SUBSTITUTE(SUBSTITUTE(SUBSTITUTE($A4830," ",""),"(주)",""),"주식회사",""),"㈜","")))</f>
        <v/>
      </c>
      <c r="H4830" s="10" t="str">
        <f aca="false">IF($B4830="","",SUBSTITUTE(SUBSTITUTE(SUBSTITUTE($B4830,"-","")," ",""),".",""))</f>
        <v/>
      </c>
      <c r="I4830" s="10" t="str">
        <f aca="false">IF($D4830="","",SUBSTITUTE(SUBSTITUTE(SUBSTITUTE($D4830,"-","")," ",""),".",""))</f>
        <v/>
      </c>
      <c r="J4830" s="10" t="str">
        <f aca="false">IF($E4830="","",UPPER(SUBSTITUTE($E4830," ","")))</f>
        <v/>
      </c>
      <c r="K4830" s="10" t="str">
        <f aca="false">IF($A4830="","",$G4830&amp;"|"&amp;$J4830)</f>
        <v/>
      </c>
      <c r="L4830" s="10" t="str">
        <f aca="false">IF($A4830="","",ROW()-2)</f>
        <v/>
      </c>
      <c r="M4830" s="10" t="str">
        <f aca="false">IF($A4830="","",ROW())</f>
        <v/>
      </c>
    </row>
    <row r="4831" customFormat="false" ht="15" hidden="false" customHeight="true" outlineLevel="0" collapsed="false">
      <c r="A4831" s="8"/>
      <c r="B4831" s="8"/>
      <c r="C4831" s="8"/>
      <c r="D4831" s="8"/>
      <c r="E4831" s="8"/>
      <c r="F4831" s="8"/>
      <c r="G4831" s="10" t="str">
        <f aca="false">IF($A4831="","",UPPER(SUBSTITUTE(SUBSTITUTE(SUBSTITUTE(SUBSTITUTE($A4831," ",""),"(주)",""),"주식회사",""),"㈜","")))</f>
        <v/>
      </c>
      <c r="H4831" s="10" t="str">
        <f aca="false">IF($B4831="","",SUBSTITUTE(SUBSTITUTE(SUBSTITUTE($B4831,"-","")," ",""),".",""))</f>
        <v/>
      </c>
      <c r="I4831" s="10" t="str">
        <f aca="false">IF($D4831="","",SUBSTITUTE(SUBSTITUTE(SUBSTITUTE($D4831,"-","")," ",""),".",""))</f>
        <v/>
      </c>
      <c r="J4831" s="10" t="str">
        <f aca="false">IF($E4831="","",UPPER(SUBSTITUTE($E4831," ","")))</f>
        <v/>
      </c>
      <c r="K4831" s="10" t="str">
        <f aca="false">IF($A4831="","",$G4831&amp;"|"&amp;$J4831)</f>
        <v/>
      </c>
      <c r="L4831" s="10" t="str">
        <f aca="false">IF($A4831="","",ROW()-2)</f>
        <v/>
      </c>
      <c r="M4831" s="10" t="str">
        <f aca="false">IF($A4831="","",ROW())</f>
        <v/>
      </c>
    </row>
    <row r="4832" customFormat="false" ht="15" hidden="false" customHeight="true" outlineLevel="0" collapsed="false">
      <c r="A4832" s="8"/>
      <c r="B4832" s="8"/>
      <c r="C4832" s="8"/>
      <c r="D4832" s="8"/>
      <c r="E4832" s="8"/>
      <c r="F4832" s="8"/>
      <c r="G4832" s="10" t="str">
        <f aca="false">IF($A4832="","",UPPER(SUBSTITUTE(SUBSTITUTE(SUBSTITUTE(SUBSTITUTE($A4832," ",""),"(주)",""),"주식회사",""),"㈜","")))</f>
        <v/>
      </c>
      <c r="H4832" s="10" t="str">
        <f aca="false">IF($B4832="","",SUBSTITUTE(SUBSTITUTE(SUBSTITUTE($B4832,"-","")," ",""),".",""))</f>
        <v/>
      </c>
      <c r="I4832" s="10" t="str">
        <f aca="false">IF($D4832="","",SUBSTITUTE(SUBSTITUTE(SUBSTITUTE($D4832,"-","")," ",""),".",""))</f>
        <v/>
      </c>
      <c r="J4832" s="10" t="str">
        <f aca="false">IF($E4832="","",UPPER(SUBSTITUTE($E4832," ","")))</f>
        <v/>
      </c>
      <c r="K4832" s="10" t="str">
        <f aca="false">IF($A4832="","",$G4832&amp;"|"&amp;$J4832)</f>
        <v/>
      </c>
      <c r="L4832" s="10" t="str">
        <f aca="false">IF($A4832="","",ROW()-2)</f>
        <v/>
      </c>
      <c r="M4832" s="10" t="str">
        <f aca="false">IF($A4832="","",ROW())</f>
        <v/>
      </c>
    </row>
    <row r="4833" customFormat="false" ht="15" hidden="false" customHeight="true" outlineLevel="0" collapsed="false">
      <c r="A4833" s="8"/>
      <c r="B4833" s="8"/>
      <c r="C4833" s="8"/>
      <c r="D4833" s="8"/>
      <c r="E4833" s="8"/>
      <c r="F4833" s="8"/>
      <c r="G4833" s="10" t="str">
        <f aca="false">IF($A4833="","",UPPER(SUBSTITUTE(SUBSTITUTE(SUBSTITUTE(SUBSTITUTE($A4833," ",""),"(주)",""),"주식회사",""),"㈜","")))</f>
        <v/>
      </c>
      <c r="H4833" s="10" t="str">
        <f aca="false">IF($B4833="","",SUBSTITUTE(SUBSTITUTE(SUBSTITUTE($B4833,"-","")," ",""),".",""))</f>
        <v/>
      </c>
      <c r="I4833" s="10" t="str">
        <f aca="false">IF($D4833="","",SUBSTITUTE(SUBSTITUTE(SUBSTITUTE($D4833,"-","")," ",""),".",""))</f>
        <v/>
      </c>
      <c r="J4833" s="10" t="str">
        <f aca="false">IF($E4833="","",UPPER(SUBSTITUTE($E4833," ","")))</f>
        <v/>
      </c>
      <c r="K4833" s="10" t="str">
        <f aca="false">IF($A4833="","",$G4833&amp;"|"&amp;$J4833)</f>
        <v/>
      </c>
      <c r="L4833" s="10" t="str">
        <f aca="false">IF($A4833="","",ROW()-2)</f>
        <v/>
      </c>
      <c r="M4833" s="10" t="str">
        <f aca="false">IF($A4833="","",ROW())</f>
        <v/>
      </c>
    </row>
    <row r="4834" customFormat="false" ht="15" hidden="false" customHeight="true" outlineLevel="0" collapsed="false">
      <c r="A4834" s="8"/>
      <c r="B4834" s="8"/>
      <c r="C4834" s="8"/>
      <c r="D4834" s="8"/>
      <c r="E4834" s="8"/>
      <c r="F4834" s="8"/>
      <c r="G4834" s="10" t="str">
        <f aca="false">IF($A4834="","",UPPER(SUBSTITUTE(SUBSTITUTE(SUBSTITUTE(SUBSTITUTE($A4834," ",""),"(주)",""),"주식회사",""),"㈜","")))</f>
        <v/>
      </c>
      <c r="H4834" s="10" t="str">
        <f aca="false">IF($B4834="","",SUBSTITUTE(SUBSTITUTE(SUBSTITUTE($B4834,"-","")," ",""),".",""))</f>
        <v/>
      </c>
      <c r="I4834" s="10" t="str">
        <f aca="false">IF($D4834="","",SUBSTITUTE(SUBSTITUTE(SUBSTITUTE($D4834,"-","")," ",""),".",""))</f>
        <v/>
      </c>
      <c r="J4834" s="10" t="str">
        <f aca="false">IF($E4834="","",UPPER(SUBSTITUTE($E4834," ","")))</f>
        <v/>
      </c>
      <c r="K4834" s="10" t="str">
        <f aca="false">IF($A4834="","",$G4834&amp;"|"&amp;$J4834)</f>
        <v/>
      </c>
      <c r="L4834" s="10" t="str">
        <f aca="false">IF($A4834="","",ROW()-2)</f>
        <v/>
      </c>
      <c r="M4834" s="10" t="str">
        <f aca="false">IF($A4834="","",ROW())</f>
        <v/>
      </c>
    </row>
    <row r="4835" customFormat="false" ht="15" hidden="false" customHeight="true" outlineLevel="0" collapsed="false">
      <c r="A4835" s="8"/>
      <c r="B4835" s="8"/>
      <c r="C4835" s="8"/>
      <c r="D4835" s="8"/>
      <c r="E4835" s="8"/>
      <c r="F4835" s="8"/>
      <c r="G4835" s="10" t="str">
        <f aca="false">IF($A4835="","",UPPER(SUBSTITUTE(SUBSTITUTE(SUBSTITUTE(SUBSTITUTE($A4835," ",""),"(주)",""),"주식회사",""),"㈜","")))</f>
        <v/>
      </c>
      <c r="H4835" s="10" t="str">
        <f aca="false">IF($B4835="","",SUBSTITUTE(SUBSTITUTE(SUBSTITUTE($B4835,"-","")," ",""),".",""))</f>
        <v/>
      </c>
      <c r="I4835" s="10" t="str">
        <f aca="false">IF($D4835="","",SUBSTITUTE(SUBSTITUTE(SUBSTITUTE($D4835,"-","")," ",""),".",""))</f>
        <v/>
      </c>
      <c r="J4835" s="10" t="str">
        <f aca="false">IF($E4835="","",UPPER(SUBSTITUTE($E4835," ","")))</f>
        <v/>
      </c>
      <c r="K4835" s="10" t="str">
        <f aca="false">IF($A4835="","",$G4835&amp;"|"&amp;$J4835)</f>
        <v/>
      </c>
      <c r="L4835" s="10" t="str">
        <f aca="false">IF($A4835="","",ROW()-2)</f>
        <v/>
      </c>
      <c r="M4835" s="10" t="str">
        <f aca="false">IF($A4835="","",ROW())</f>
        <v/>
      </c>
    </row>
    <row r="4836" customFormat="false" ht="15" hidden="false" customHeight="true" outlineLevel="0" collapsed="false">
      <c r="A4836" s="8"/>
      <c r="B4836" s="8"/>
      <c r="C4836" s="8"/>
      <c r="D4836" s="8"/>
      <c r="E4836" s="8"/>
      <c r="F4836" s="8"/>
      <c r="G4836" s="10" t="str">
        <f aca="false">IF($A4836="","",UPPER(SUBSTITUTE(SUBSTITUTE(SUBSTITUTE(SUBSTITUTE($A4836," ",""),"(주)",""),"주식회사",""),"㈜","")))</f>
        <v/>
      </c>
      <c r="H4836" s="10" t="str">
        <f aca="false">IF($B4836="","",SUBSTITUTE(SUBSTITUTE(SUBSTITUTE($B4836,"-","")," ",""),".",""))</f>
        <v/>
      </c>
      <c r="I4836" s="10" t="str">
        <f aca="false">IF($D4836="","",SUBSTITUTE(SUBSTITUTE(SUBSTITUTE($D4836,"-","")," ",""),".",""))</f>
        <v/>
      </c>
      <c r="J4836" s="10" t="str">
        <f aca="false">IF($E4836="","",UPPER(SUBSTITUTE($E4836," ","")))</f>
        <v/>
      </c>
      <c r="K4836" s="10" t="str">
        <f aca="false">IF($A4836="","",$G4836&amp;"|"&amp;$J4836)</f>
        <v/>
      </c>
      <c r="L4836" s="10" t="str">
        <f aca="false">IF($A4836="","",ROW()-2)</f>
        <v/>
      </c>
      <c r="M4836" s="10" t="str">
        <f aca="false">IF($A4836="","",ROW())</f>
        <v/>
      </c>
    </row>
    <row r="4837" customFormat="false" ht="15" hidden="false" customHeight="true" outlineLevel="0" collapsed="false">
      <c r="A4837" s="8"/>
      <c r="B4837" s="8"/>
      <c r="C4837" s="8"/>
      <c r="D4837" s="8"/>
      <c r="E4837" s="8"/>
      <c r="F4837" s="8"/>
      <c r="G4837" s="10" t="str">
        <f aca="false">IF($A4837="","",UPPER(SUBSTITUTE(SUBSTITUTE(SUBSTITUTE(SUBSTITUTE($A4837," ",""),"(주)",""),"주식회사",""),"㈜","")))</f>
        <v/>
      </c>
      <c r="H4837" s="10" t="str">
        <f aca="false">IF($B4837="","",SUBSTITUTE(SUBSTITUTE(SUBSTITUTE($B4837,"-","")," ",""),".",""))</f>
        <v/>
      </c>
      <c r="I4837" s="10" t="str">
        <f aca="false">IF($D4837="","",SUBSTITUTE(SUBSTITUTE(SUBSTITUTE($D4837,"-","")," ",""),".",""))</f>
        <v/>
      </c>
      <c r="J4837" s="10" t="str">
        <f aca="false">IF($E4837="","",UPPER(SUBSTITUTE($E4837," ","")))</f>
        <v/>
      </c>
      <c r="K4837" s="10" t="str">
        <f aca="false">IF($A4837="","",$G4837&amp;"|"&amp;$J4837)</f>
        <v/>
      </c>
      <c r="L4837" s="10" t="str">
        <f aca="false">IF($A4837="","",ROW()-2)</f>
        <v/>
      </c>
      <c r="M4837" s="10" t="str">
        <f aca="false">IF($A4837="","",ROW())</f>
        <v/>
      </c>
    </row>
    <row r="4838" customFormat="false" ht="15" hidden="false" customHeight="true" outlineLevel="0" collapsed="false">
      <c r="A4838" s="8"/>
      <c r="B4838" s="8"/>
      <c r="C4838" s="8"/>
      <c r="D4838" s="8"/>
      <c r="E4838" s="8"/>
      <c r="F4838" s="8"/>
      <c r="G4838" s="10" t="str">
        <f aca="false">IF($A4838="","",UPPER(SUBSTITUTE(SUBSTITUTE(SUBSTITUTE(SUBSTITUTE($A4838," ",""),"(주)",""),"주식회사",""),"㈜","")))</f>
        <v/>
      </c>
      <c r="H4838" s="10" t="str">
        <f aca="false">IF($B4838="","",SUBSTITUTE(SUBSTITUTE(SUBSTITUTE($B4838,"-","")," ",""),".",""))</f>
        <v/>
      </c>
      <c r="I4838" s="10" t="str">
        <f aca="false">IF($D4838="","",SUBSTITUTE(SUBSTITUTE(SUBSTITUTE($D4838,"-","")," ",""),".",""))</f>
        <v/>
      </c>
      <c r="J4838" s="10" t="str">
        <f aca="false">IF($E4838="","",UPPER(SUBSTITUTE($E4838," ","")))</f>
        <v/>
      </c>
      <c r="K4838" s="10" t="str">
        <f aca="false">IF($A4838="","",$G4838&amp;"|"&amp;$J4838)</f>
        <v/>
      </c>
      <c r="L4838" s="10" t="str">
        <f aca="false">IF($A4838="","",ROW()-2)</f>
        <v/>
      </c>
      <c r="M4838" s="10" t="str">
        <f aca="false">IF($A4838="","",ROW())</f>
        <v/>
      </c>
    </row>
    <row r="4839" customFormat="false" ht="15" hidden="false" customHeight="true" outlineLevel="0" collapsed="false">
      <c r="A4839" s="8"/>
      <c r="B4839" s="8"/>
      <c r="C4839" s="8"/>
      <c r="D4839" s="8"/>
      <c r="E4839" s="8"/>
      <c r="F4839" s="8"/>
      <c r="G4839" s="10" t="str">
        <f aca="false">IF($A4839="","",UPPER(SUBSTITUTE(SUBSTITUTE(SUBSTITUTE(SUBSTITUTE($A4839," ",""),"(주)",""),"주식회사",""),"㈜","")))</f>
        <v/>
      </c>
      <c r="H4839" s="10" t="str">
        <f aca="false">IF($B4839="","",SUBSTITUTE(SUBSTITUTE(SUBSTITUTE($B4839,"-","")," ",""),".",""))</f>
        <v/>
      </c>
      <c r="I4839" s="10" t="str">
        <f aca="false">IF($D4839="","",SUBSTITUTE(SUBSTITUTE(SUBSTITUTE($D4839,"-","")," ",""),".",""))</f>
        <v/>
      </c>
      <c r="J4839" s="10" t="str">
        <f aca="false">IF($E4839="","",UPPER(SUBSTITUTE($E4839," ","")))</f>
        <v/>
      </c>
      <c r="K4839" s="10" t="str">
        <f aca="false">IF($A4839="","",$G4839&amp;"|"&amp;$J4839)</f>
        <v/>
      </c>
      <c r="L4839" s="10" t="str">
        <f aca="false">IF($A4839="","",ROW()-2)</f>
        <v/>
      </c>
      <c r="M4839" s="10" t="str">
        <f aca="false">IF($A4839="","",ROW())</f>
        <v/>
      </c>
    </row>
    <row r="4840" customFormat="false" ht="15" hidden="false" customHeight="true" outlineLevel="0" collapsed="false">
      <c r="A4840" s="8"/>
      <c r="B4840" s="8"/>
      <c r="C4840" s="8"/>
      <c r="D4840" s="8"/>
      <c r="E4840" s="8"/>
      <c r="F4840" s="8"/>
      <c r="G4840" s="10" t="str">
        <f aca="false">IF($A4840="","",UPPER(SUBSTITUTE(SUBSTITUTE(SUBSTITUTE(SUBSTITUTE($A4840," ",""),"(주)",""),"주식회사",""),"㈜","")))</f>
        <v/>
      </c>
      <c r="H4840" s="10" t="str">
        <f aca="false">IF($B4840="","",SUBSTITUTE(SUBSTITUTE(SUBSTITUTE($B4840,"-","")," ",""),".",""))</f>
        <v/>
      </c>
      <c r="I4840" s="10" t="str">
        <f aca="false">IF($D4840="","",SUBSTITUTE(SUBSTITUTE(SUBSTITUTE($D4840,"-","")," ",""),".",""))</f>
        <v/>
      </c>
      <c r="J4840" s="10" t="str">
        <f aca="false">IF($E4840="","",UPPER(SUBSTITUTE($E4840," ","")))</f>
        <v/>
      </c>
      <c r="K4840" s="10" t="str">
        <f aca="false">IF($A4840="","",$G4840&amp;"|"&amp;$J4840)</f>
        <v/>
      </c>
      <c r="L4840" s="10" t="str">
        <f aca="false">IF($A4840="","",ROW()-2)</f>
        <v/>
      </c>
      <c r="M4840" s="10" t="str">
        <f aca="false">IF($A4840="","",ROW())</f>
        <v/>
      </c>
    </row>
    <row r="4841" customFormat="false" ht="15" hidden="false" customHeight="true" outlineLevel="0" collapsed="false">
      <c r="A4841" s="8"/>
      <c r="B4841" s="8"/>
      <c r="C4841" s="8"/>
      <c r="D4841" s="8"/>
      <c r="E4841" s="8"/>
      <c r="F4841" s="8"/>
      <c r="G4841" s="10" t="str">
        <f aca="false">IF($A4841="","",UPPER(SUBSTITUTE(SUBSTITUTE(SUBSTITUTE(SUBSTITUTE($A4841," ",""),"(주)",""),"주식회사",""),"㈜","")))</f>
        <v/>
      </c>
      <c r="H4841" s="10" t="str">
        <f aca="false">IF($B4841="","",SUBSTITUTE(SUBSTITUTE(SUBSTITUTE($B4841,"-","")," ",""),".",""))</f>
        <v/>
      </c>
      <c r="I4841" s="10" t="str">
        <f aca="false">IF($D4841="","",SUBSTITUTE(SUBSTITUTE(SUBSTITUTE($D4841,"-","")," ",""),".",""))</f>
        <v/>
      </c>
      <c r="J4841" s="10" t="str">
        <f aca="false">IF($E4841="","",UPPER(SUBSTITUTE($E4841," ","")))</f>
        <v/>
      </c>
      <c r="K4841" s="10" t="str">
        <f aca="false">IF($A4841="","",$G4841&amp;"|"&amp;$J4841)</f>
        <v/>
      </c>
      <c r="L4841" s="10" t="str">
        <f aca="false">IF($A4841="","",ROW()-2)</f>
        <v/>
      </c>
      <c r="M4841" s="10" t="str">
        <f aca="false">IF($A4841="","",ROW())</f>
        <v/>
      </c>
    </row>
    <row r="4842" customFormat="false" ht="15" hidden="false" customHeight="true" outlineLevel="0" collapsed="false">
      <c r="A4842" s="8"/>
      <c r="B4842" s="8"/>
      <c r="C4842" s="8"/>
      <c r="D4842" s="8"/>
      <c r="E4842" s="8"/>
      <c r="F4842" s="8"/>
      <c r="G4842" s="10" t="str">
        <f aca="false">IF($A4842="","",UPPER(SUBSTITUTE(SUBSTITUTE(SUBSTITUTE(SUBSTITUTE($A4842," ",""),"(주)",""),"주식회사",""),"㈜","")))</f>
        <v/>
      </c>
      <c r="H4842" s="10" t="str">
        <f aca="false">IF($B4842="","",SUBSTITUTE(SUBSTITUTE(SUBSTITUTE($B4842,"-","")," ",""),".",""))</f>
        <v/>
      </c>
      <c r="I4842" s="10" t="str">
        <f aca="false">IF($D4842="","",SUBSTITUTE(SUBSTITUTE(SUBSTITUTE($D4842,"-","")," ",""),".",""))</f>
        <v/>
      </c>
      <c r="J4842" s="10" t="str">
        <f aca="false">IF($E4842="","",UPPER(SUBSTITUTE($E4842," ","")))</f>
        <v/>
      </c>
      <c r="K4842" s="10" t="str">
        <f aca="false">IF($A4842="","",$G4842&amp;"|"&amp;$J4842)</f>
        <v/>
      </c>
      <c r="L4842" s="10" t="str">
        <f aca="false">IF($A4842="","",ROW()-2)</f>
        <v/>
      </c>
      <c r="M4842" s="10" t="str">
        <f aca="false">IF($A4842="","",ROW())</f>
        <v/>
      </c>
    </row>
    <row r="4843" customFormat="false" ht="15" hidden="false" customHeight="true" outlineLevel="0" collapsed="false">
      <c r="A4843" s="8"/>
      <c r="B4843" s="8"/>
      <c r="C4843" s="8"/>
      <c r="D4843" s="8"/>
      <c r="E4843" s="8"/>
      <c r="F4843" s="8"/>
      <c r="G4843" s="10" t="str">
        <f aca="false">IF($A4843="","",UPPER(SUBSTITUTE(SUBSTITUTE(SUBSTITUTE(SUBSTITUTE($A4843," ",""),"(주)",""),"주식회사",""),"㈜","")))</f>
        <v/>
      </c>
      <c r="H4843" s="10" t="str">
        <f aca="false">IF($B4843="","",SUBSTITUTE(SUBSTITUTE(SUBSTITUTE($B4843,"-","")," ",""),".",""))</f>
        <v/>
      </c>
      <c r="I4843" s="10" t="str">
        <f aca="false">IF($D4843="","",SUBSTITUTE(SUBSTITUTE(SUBSTITUTE($D4843,"-","")," ",""),".",""))</f>
        <v/>
      </c>
      <c r="J4843" s="10" t="str">
        <f aca="false">IF($E4843="","",UPPER(SUBSTITUTE($E4843," ","")))</f>
        <v/>
      </c>
      <c r="K4843" s="10" t="str">
        <f aca="false">IF($A4843="","",$G4843&amp;"|"&amp;$J4843)</f>
        <v/>
      </c>
      <c r="L4843" s="10" t="str">
        <f aca="false">IF($A4843="","",ROW()-2)</f>
        <v/>
      </c>
      <c r="M4843" s="10" t="str">
        <f aca="false">IF($A4843="","",ROW())</f>
        <v/>
      </c>
    </row>
    <row r="4844" customFormat="false" ht="15" hidden="false" customHeight="true" outlineLevel="0" collapsed="false">
      <c r="A4844" s="8"/>
      <c r="B4844" s="8"/>
      <c r="C4844" s="8"/>
      <c r="D4844" s="8"/>
      <c r="E4844" s="8"/>
      <c r="F4844" s="8"/>
      <c r="G4844" s="10" t="str">
        <f aca="false">IF($A4844="","",UPPER(SUBSTITUTE(SUBSTITUTE(SUBSTITUTE(SUBSTITUTE($A4844," ",""),"(주)",""),"주식회사",""),"㈜","")))</f>
        <v/>
      </c>
      <c r="H4844" s="10" t="str">
        <f aca="false">IF($B4844="","",SUBSTITUTE(SUBSTITUTE(SUBSTITUTE($B4844,"-","")," ",""),".",""))</f>
        <v/>
      </c>
      <c r="I4844" s="10" t="str">
        <f aca="false">IF($D4844="","",SUBSTITUTE(SUBSTITUTE(SUBSTITUTE($D4844,"-","")," ",""),".",""))</f>
        <v/>
      </c>
      <c r="J4844" s="10" t="str">
        <f aca="false">IF($E4844="","",UPPER(SUBSTITUTE($E4844," ","")))</f>
        <v/>
      </c>
      <c r="K4844" s="10" t="str">
        <f aca="false">IF($A4844="","",$G4844&amp;"|"&amp;$J4844)</f>
        <v/>
      </c>
      <c r="L4844" s="10" t="str">
        <f aca="false">IF($A4844="","",ROW()-2)</f>
        <v/>
      </c>
      <c r="M4844" s="10" t="str">
        <f aca="false">IF($A4844="","",ROW())</f>
        <v/>
      </c>
    </row>
    <row r="4845" customFormat="false" ht="15" hidden="false" customHeight="true" outlineLevel="0" collapsed="false">
      <c r="A4845" s="8"/>
      <c r="B4845" s="8"/>
      <c r="C4845" s="8"/>
      <c r="D4845" s="8"/>
      <c r="E4845" s="8"/>
      <c r="F4845" s="8"/>
      <c r="G4845" s="10" t="str">
        <f aca="false">IF($A4845="","",UPPER(SUBSTITUTE(SUBSTITUTE(SUBSTITUTE(SUBSTITUTE($A4845," ",""),"(주)",""),"주식회사",""),"㈜","")))</f>
        <v/>
      </c>
      <c r="H4845" s="10" t="str">
        <f aca="false">IF($B4845="","",SUBSTITUTE(SUBSTITUTE(SUBSTITUTE($B4845,"-","")," ",""),".",""))</f>
        <v/>
      </c>
      <c r="I4845" s="10" t="str">
        <f aca="false">IF($D4845="","",SUBSTITUTE(SUBSTITUTE(SUBSTITUTE($D4845,"-","")," ",""),".",""))</f>
        <v/>
      </c>
      <c r="J4845" s="10" t="str">
        <f aca="false">IF($E4845="","",UPPER(SUBSTITUTE($E4845," ","")))</f>
        <v/>
      </c>
      <c r="K4845" s="10" t="str">
        <f aca="false">IF($A4845="","",$G4845&amp;"|"&amp;$J4845)</f>
        <v/>
      </c>
      <c r="L4845" s="10" t="str">
        <f aca="false">IF($A4845="","",ROW()-2)</f>
        <v/>
      </c>
      <c r="M4845" s="10" t="str">
        <f aca="false">IF($A4845="","",ROW())</f>
        <v/>
      </c>
    </row>
    <row r="4846" customFormat="false" ht="15" hidden="false" customHeight="true" outlineLevel="0" collapsed="false">
      <c r="A4846" s="8"/>
      <c r="B4846" s="8"/>
      <c r="C4846" s="8"/>
      <c r="D4846" s="8"/>
      <c r="E4846" s="8"/>
      <c r="F4846" s="8"/>
      <c r="G4846" s="10" t="str">
        <f aca="false">IF($A4846="","",UPPER(SUBSTITUTE(SUBSTITUTE(SUBSTITUTE(SUBSTITUTE($A4846," ",""),"(주)",""),"주식회사",""),"㈜","")))</f>
        <v/>
      </c>
      <c r="H4846" s="10" t="str">
        <f aca="false">IF($B4846="","",SUBSTITUTE(SUBSTITUTE(SUBSTITUTE($B4846,"-","")," ",""),".",""))</f>
        <v/>
      </c>
      <c r="I4846" s="10" t="str">
        <f aca="false">IF($D4846="","",SUBSTITUTE(SUBSTITUTE(SUBSTITUTE($D4846,"-","")," ",""),".",""))</f>
        <v/>
      </c>
      <c r="J4846" s="10" t="str">
        <f aca="false">IF($E4846="","",UPPER(SUBSTITUTE($E4846," ","")))</f>
        <v/>
      </c>
      <c r="K4846" s="10" t="str">
        <f aca="false">IF($A4846="","",$G4846&amp;"|"&amp;$J4846)</f>
        <v/>
      </c>
      <c r="L4846" s="10" t="str">
        <f aca="false">IF($A4846="","",ROW()-2)</f>
        <v/>
      </c>
      <c r="M4846" s="10" t="str">
        <f aca="false">IF($A4846="","",ROW())</f>
        <v/>
      </c>
    </row>
    <row r="4847" customFormat="false" ht="15" hidden="false" customHeight="true" outlineLevel="0" collapsed="false">
      <c r="A4847" s="8"/>
      <c r="B4847" s="8"/>
      <c r="C4847" s="8"/>
      <c r="D4847" s="8"/>
      <c r="E4847" s="8"/>
      <c r="F4847" s="8"/>
      <c r="G4847" s="10" t="str">
        <f aca="false">IF($A4847="","",UPPER(SUBSTITUTE(SUBSTITUTE(SUBSTITUTE(SUBSTITUTE($A4847," ",""),"(주)",""),"주식회사",""),"㈜","")))</f>
        <v/>
      </c>
      <c r="H4847" s="10" t="str">
        <f aca="false">IF($B4847="","",SUBSTITUTE(SUBSTITUTE(SUBSTITUTE($B4847,"-","")," ",""),".",""))</f>
        <v/>
      </c>
      <c r="I4847" s="10" t="str">
        <f aca="false">IF($D4847="","",SUBSTITUTE(SUBSTITUTE(SUBSTITUTE($D4847,"-","")," ",""),".",""))</f>
        <v/>
      </c>
      <c r="J4847" s="10" t="str">
        <f aca="false">IF($E4847="","",UPPER(SUBSTITUTE($E4847," ","")))</f>
        <v/>
      </c>
      <c r="K4847" s="10" t="str">
        <f aca="false">IF($A4847="","",$G4847&amp;"|"&amp;$J4847)</f>
        <v/>
      </c>
      <c r="L4847" s="10" t="str">
        <f aca="false">IF($A4847="","",ROW()-2)</f>
        <v/>
      </c>
      <c r="M4847" s="10" t="str">
        <f aca="false">IF($A4847="","",ROW())</f>
        <v/>
      </c>
    </row>
    <row r="4848" customFormat="false" ht="15" hidden="false" customHeight="true" outlineLevel="0" collapsed="false">
      <c r="A4848" s="8"/>
      <c r="B4848" s="8"/>
      <c r="C4848" s="8"/>
      <c r="D4848" s="8"/>
      <c r="E4848" s="8"/>
      <c r="F4848" s="8"/>
      <c r="G4848" s="10" t="str">
        <f aca="false">IF($A4848="","",UPPER(SUBSTITUTE(SUBSTITUTE(SUBSTITUTE(SUBSTITUTE($A4848," ",""),"(주)",""),"주식회사",""),"㈜","")))</f>
        <v/>
      </c>
      <c r="H4848" s="10" t="str">
        <f aca="false">IF($B4848="","",SUBSTITUTE(SUBSTITUTE(SUBSTITUTE($B4848,"-","")," ",""),".",""))</f>
        <v/>
      </c>
      <c r="I4848" s="10" t="str">
        <f aca="false">IF($D4848="","",SUBSTITUTE(SUBSTITUTE(SUBSTITUTE($D4848,"-","")," ",""),".",""))</f>
        <v/>
      </c>
      <c r="J4848" s="10" t="str">
        <f aca="false">IF($E4848="","",UPPER(SUBSTITUTE($E4848," ","")))</f>
        <v/>
      </c>
      <c r="K4848" s="10" t="str">
        <f aca="false">IF($A4848="","",$G4848&amp;"|"&amp;$J4848)</f>
        <v/>
      </c>
      <c r="L4848" s="10" t="str">
        <f aca="false">IF($A4848="","",ROW()-2)</f>
        <v/>
      </c>
      <c r="M4848" s="10" t="str">
        <f aca="false">IF($A4848="","",ROW())</f>
        <v/>
      </c>
    </row>
    <row r="4849" customFormat="false" ht="15" hidden="false" customHeight="true" outlineLevel="0" collapsed="false">
      <c r="A4849" s="8"/>
      <c r="B4849" s="8"/>
      <c r="C4849" s="8"/>
      <c r="D4849" s="8"/>
      <c r="E4849" s="8"/>
      <c r="F4849" s="8"/>
      <c r="G4849" s="10" t="str">
        <f aca="false">IF($A4849="","",UPPER(SUBSTITUTE(SUBSTITUTE(SUBSTITUTE(SUBSTITUTE($A4849," ",""),"(주)",""),"주식회사",""),"㈜","")))</f>
        <v/>
      </c>
      <c r="H4849" s="10" t="str">
        <f aca="false">IF($B4849="","",SUBSTITUTE(SUBSTITUTE(SUBSTITUTE($B4849,"-","")," ",""),".",""))</f>
        <v/>
      </c>
      <c r="I4849" s="10" t="str">
        <f aca="false">IF($D4849="","",SUBSTITUTE(SUBSTITUTE(SUBSTITUTE($D4849,"-","")," ",""),".",""))</f>
        <v/>
      </c>
      <c r="J4849" s="10" t="str">
        <f aca="false">IF($E4849="","",UPPER(SUBSTITUTE($E4849," ","")))</f>
        <v/>
      </c>
      <c r="K4849" s="10" t="str">
        <f aca="false">IF($A4849="","",$G4849&amp;"|"&amp;$J4849)</f>
        <v/>
      </c>
      <c r="L4849" s="10" t="str">
        <f aca="false">IF($A4849="","",ROW()-2)</f>
        <v/>
      </c>
      <c r="M4849" s="10" t="str">
        <f aca="false">IF($A4849="","",ROW())</f>
        <v/>
      </c>
    </row>
    <row r="4850" customFormat="false" ht="15" hidden="false" customHeight="true" outlineLevel="0" collapsed="false">
      <c r="A4850" s="8"/>
      <c r="B4850" s="8"/>
      <c r="C4850" s="8"/>
      <c r="D4850" s="8"/>
      <c r="E4850" s="8"/>
      <c r="F4850" s="8"/>
      <c r="G4850" s="10" t="str">
        <f aca="false">IF($A4850="","",UPPER(SUBSTITUTE(SUBSTITUTE(SUBSTITUTE(SUBSTITUTE($A4850," ",""),"(주)",""),"주식회사",""),"㈜","")))</f>
        <v/>
      </c>
      <c r="H4850" s="10" t="str">
        <f aca="false">IF($B4850="","",SUBSTITUTE(SUBSTITUTE(SUBSTITUTE($B4850,"-","")," ",""),".",""))</f>
        <v/>
      </c>
      <c r="I4850" s="10" t="str">
        <f aca="false">IF($D4850="","",SUBSTITUTE(SUBSTITUTE(SUBSTITUTE($D4850,"-","")," ",""),".",""))</f>
        <v/>
      </c>
      <c r="J4850" s="10" t="str">
        <f aca="false">IF($E4850="","",UPPER(SUBSTITUTE($E4850," ","")))</f>
        <v/>
      </c>
      <c r="K4850" s="10" t="str">
        <f aca="false">IF($A4850="","",$G4850&amp;"|"&amp;$J4850)</f>
        <v/>
      </c>
      <c r="L4850" s="10" t="str">
        <f aca="false">IF($A4850="","",ROW()-2)</f>
        <v/>
      </c>
      <c r="M4850" s="10" t="str">
        <f aca="false">IF($A4850="","",ROW())</f>
        <v/>
      </c>
    </row>
    <row r="4851" customFormat="false" ht="15" hidden="false" customHeight="true" outlineLevel="0" collapsed="false">
      <c r="A4851" s="8"/>
      <c r="B4851" s="8"/>
      <c r="C4851" s="8"/>
      <c r="D4851" s="8"/>
      <c r="E4851" s="8"/>
      <c r="F4851" s="8"/>
      <c r="G4851" s="10" t="str">
        <f aca="false">IF($A4851="","",UPPER(SUBSTITUTE(SUBSTITUTE(SUBSTITUTE(SUBSTITUTE($A4851," ",""),"(주)",""),"주식회사",""),"㈜","")))</f>
        <v/>
      </c>
      <c r="H4851" s="10" t="str">
        <f aca="false">IF($B4851="","",SUBSTITUTE(SUBSTITUTE(SUBSTITUTE($B4851,"-","")," ",""),".",""))</f>
        <v/>
      </c>
      <c r="I4851" s="10" t="str">
        <f aca="false">IF($D4851="","",SUBSTITUTE(SUBSTITUTE(SUBSTITUTE($D4851,"-","")," ",""),".",""))</f>
        <v/>
      </c>
      <c r="J4851" s="10" t="str">
        <f aca="false">IF($E4851="","",UPPER(SUBSTITUTE($E4851," ","")))</f>
        <v/>
      </c>
      <c r="K4851" s="10" t="str">
        <f aca="false">IF($A4851="","",$G4851&amp;"|"&amp;$J4851)</f>
        <v/>
      </c>
      <c r="L4851" s="10" t="str">
        <f aca="false">IF($A4851="","",ROW()-2)</f>
        <v/>
      </c>
      <c r="M4851" s="10" t="str">
        <f aca="false">IF($A4851="","",ROW())</f>
        <v/>
      </c>
    </row>
    <row r="4852" customFormat="false" ht="15" hidden="false" customHeight="true" outlineLevel="0" collapsed="false">
      <c r="A4852" s="8"/>
      <c r="B4852" s="8"/>
      <c r="C4852" s="8"/>
      <c r="D4852" s="8"/>
      <c r="E4852" s="8"/>
      <c r="F4852" s="8"/>
      <c r="G4852" s="10" t="str">
        <f aca="false">IF($A4852="","",UPPER(SUBSTITUTE(SUBSTITUTE(SUBSTITUTE(SUBSTITUTE($A4852," ",""),"(주)",""),"주식회사",""),"㈜","")))</f>
        <v/>
      </c>
      <c r="H4852" s="10" t="str">
        <f aca="false">IF($B4852="","",SUBSTITUTE(SUBSTITUTE(SUBSTITUTE($B4852,"-","")," ",""),".",""))</f>
        <v/>
      </c>
      <c r="I4852" s="10" t="str">
        <f aca="false">IF($D4852="","",SUBSTITUTE(SUBSTITUTE(SUBSTITUTE($D4852,"-","")," ",""),".",""))</f>
        <v/>
      </c>
      <c r="J4852" s="10" t="str">
        <f aca="false">IF($E4852="","",UPPER(SUBSTITUTE($E4852," ","")))</f>
        <v/>
      </c>
      <c r="K4852" s="10" t="str">
        <f aca="false">IF($A4852="","",$G4852&amp;"|"&amp;$J4852)</f>
        <v/>
      </c>
      <c r="L4852" s="10" t="str">
        <f aca="false">IF($A4852="","",ROW()-2)</f>
        <v/>
      </c>
      <c r="M4852" s="10" t="str">
        <f aca="false">IF($A4852="","",ROW())</f>
        <v/>
      </c>
    </row>
    <row r="4853" customFormat="false" ht="15" hidden="false" customHeight="true" outlineLevel="0" collapsed="false">
      <c r="A4853" s="8"/>
      <c r="B4853" s="8"/>
      <c r="C4853" s="8"/>
      <c r="D4853" s="8"/>
      <c r="E4853" s="8"/>
      <c r="F4853" s="8"/>
      <c r="G4853" s="10" t="str">
        <f aca="false">IF($A4853="","",UPPER(SUBSTITUTE(SUBSTITUTE(SUBSTITUTE(SUBSTITUTE($A4853," ",""),"(주)",""),"주식회사",""),"㈜","")))</f>
        <v/>
      </c>
      <c r="H4853" s="10" t="str">
        <f aca="false">IF($B4853="","",SUBSTITUTE(SUBSTITUTE(SUBSTITUTE($B4853,"-","")," ",""),".",""))</f>
        <v/>
      </c>
      <c r="I4853" s="10" t="str">
        <f aca="false">IF($D4853="","",SUBSTITUTE(SUBSTITUTE(SUBSTITUTE($D4853,"-","")," ",""),".",""))</f>
        <v/>
      </c>
      <c r="J4853" s="10" t="str">
        <f aca="false">IF($E4853="","",UPPER(SUBSTITUTE($E4853," ","")))</f>
        <v/>
      </c>
      <c r="K4853" s="10" t="str">
        <f aca="false">IF($A4853="","",$G4853&amp;"|"&amp;$J4853)</f>
        <v/>
      </c>
      <c r="L4853" s="10" t="str">
        <f aca="false">IF($A4853="","",ROW()-2)</f>
        <v/>
      </c>
      <c r="M4853" s="10" t="str">
        <f aca="false">IF($A4853="","",ROW())</f>
        <v/>
      </c>
    </row>
    <row r="4854" customFormat="false" ht="15" hidden="false" customHeight="true" outlineLevel="0" collapsed="false">
      <c r="A4854" s="8"/>
      <c r="B4854" s="8"/>
      <c r="C4854" s="8"/>
      <c r="D4854" s="8"/>
      <c r="E4854" s="8"/>
      <c r="F4854" s="8"/>
      <c r="G4854" s="10" t="str">
        <f aca="false">IF($A4854="","",UPPER(SUBSTITUTE(SUBSTITUTE(SUBSTITUTE(SUBSTITUTE($A4854," ",""),"(주)",""),"주식회사",""),"㈜","")))</f>
        <v/>
      </c>
      <c r="H4854" s="10" t="str">
        <f aca="false">IF($B4854="","",SUBSTITUTE(SUBSTITUTE(SUBSTITUTE($B4854,"-","")," ",""),".",""))</f>
        <v/>
      </c>
      <c r="I4854" s="10" t="str">
        <f aca="false">IF($D4854="","",SUBSTITUTE(SUBSTITUTE(SUBSTITUTE($D4854,"-","")," ",""),".",""))</f>
        <v/>
      </c>
      <c r="J4854" s="10" t="str">
        <f aca="false">IF($E4854="","",UPPER(SUBSTITUTE($E4854," ","")))</f>
        <v/>
      </c>
      <c r="K4854" s="10" t="str">
        <f aca="false">IF($A4854="","",$G4854&amp;"|"&amp;$J4854)</f>
        <v/>
      </c>
      <c r="L4854" s="10" t="str">
        <f aca="false">IF($A4854="","",ROW()-2)</f>
        <v/>
      </c>
      <c r="M4854" s="10" t="str">
        <f aca="false">IF($A4854="","",ROW())</f>
        <v/>
      </c>
    </row>
    <row r="4855" customFormat="false" ht="15" hidden="false" customHeight="true" outlineLevel="0" collapsed="false">
      <c r="A4855" s="8"/>
      <c r="B4855" s="8"/>
      <c r="C4855" s="8"/>
      <c r="D4855" s="8"/>
      <c r="E4855" s="8"/>
      <c r="F4855" s="8"/>
      <c r="G4855" s="10" t="str">
        <f aca="false">IF($A4855="","",UPPER(SUBSTITUTE(SUBSTITUTE(SUBSTITUTE(SUBSTITUTE($A4855," ",""),"(주)",""),"주식회사",""),"㈜","")))</f>
        <v/>
      </c>
      <c r="H4855" s="10" t="str">
        <f aca="false">IF($B4855="","",SUBSTITUTE(SUBSTITUTE(SUBSTITUTE($B4855,"-","")," ",""),".",""))</f>
        <v/>
      </c>
      <c r="I4855" s="10" t="str">
        <f aca="false">IF($D4855="","",SUBSTITUTE(SUBSTITUTE(SUBSTITUTE($D4855,"-","")," ",""),".",""))</f>
        <v/>
      </c>
      <c r="J4855" s="10" t="str">
        <f aca="false">IF($E4855="","",UPPER(SUBSTITUTE($E4855," ","")))</f>
        <v/>
      </c>
      <c r="K4855" s="10" t="str">
        <f aca="false">IF($A4855="","",$G4855&amp;"|"&amp;$J4855)</f>
        <v/>
      </c>
      <c r="L4855" s="10" t="str">
        <f aca="false">IF($A4855="","",ROW()-2)</f>
        <v/>
      </c>
      <c r="M4855" s="10" t="str">
        <f aca="false">IF($A4855="","",ROW())</f>
        <v/>
      </c>
    </row>
    <row r="4856" customFormat="false" ht="15" hidden="false" customHeight="true" outlineLevel="0" collapsed="false">
      <c r="A4856" s="8"/>
      <c r="B4856" s="8"/>
      <c r="C4856" s="8"/>
      <c r="D4856" s="8"/>
      <c r="E4856" s="8"/>
      <c r="F4856" s="8"/>
      <c r="G4856" s="10" t="str">
        <f aca="false">IF($A4856="","",UPPER(SUBSTITUTE(SUBSTITUTE(SUBSTITUTE(SUBSTITUTE($A4856," ",""),"(주)",""),"주식회사",""),"㈜","")))</f>
        <v/>
      </c>
      <c r="H4856" s="10" t="str">
        <f aca="false">IF($B4856="","",SUBSTITUTE(SUBSTITUTE(SUBSTITUTE($B4856,"-","")," ",""),".",""))</f>
        <v/>
      </c>
      <c r="I4856" s="10" t="str">
        <f aca="false">IF($D4856="","",SUBSTITUTE(SUBSTITUTE(SUBSTITUTE($D4856,"-","")," ",""),".",""))</f>
        <v/>
      </c>
      <c r="J4856" s="10" t="str">
        <f aca="false">IF($E4856="","",UPPER(SUBSTITUTE($E4856," ","")))</f>
        <v/>
      </c>
      <c r="K4856" s="10" t="str">
        <f aca="false">IF($A4856="","",$G4856&amp;"|"&amp;$J4856)</f>
        <v/>
      </c>
      <c r="L4856" s="10" t="str">
        <f aca="false">IF($A4856="","",ROW()-2)</f>
        <v/>
      </c>
      <c r="M4856" s="10" t="str">
        <f aca="false">IF($A4856="","",ROW())</f>
        <v/>
      </c>
    </row>
    <row r="4857" customFormat="false" ht="15" hidden="false" customHeight="true" outlineLevel="0" collapsed="false">
      <c r="A4857" s="8"/>
      <c r="B4857" s="8"/>
      <c r="C4857" s="8"/>
      <c r="D4857" s="8"/>
      <c r="E4857" s="8"/>
      <c r="F4857" s="8"/>
      <c r="G4857" s="10" t="str">
        <f aca="false">IF($A4857="","",UPPER(SUBSTITUTE(SUBSTITUTE(SUBSTITUTE(SUBSTITUTE($A4857," ",""),"(주)",""),"주식회사",""),"㈜","")))</f>
        <v/>
      </c>
      <c r="H4857" s="10" t="str">
        <f aca="false">IF($B4857="","",SUBSTITUTE(SUBSTITUTE(SUBSTITUTE($B4857,"-","")," ",""),".",""))</f>
        <v/>
      </c>
      <c r="I4857" s="10" t="str">
        <f aca="false">IF($D4857="","",SUBSTITUTE(SUBSTITUTE(SUBSTITUTE($D4857,"-","")," ",""),".",""))</f>
        <v/>
      </c>
      <c r="J4857" s="10" t="str">
        <f aca="false">IF($E4857="","",UPPER(SUBSTITUTE($E4857," ","")))</f>
        <v/>
      </c>
      <c r="K4857" s="10" t="str">
        <f aca="false">IF($A4857="","",$G4857&amp;"|"&amp;$J4857)</f>
        <v/>
      </c>
      <c r="L4857" s="10" t="str">
        <f aca="false">IF($A4857="","",ROW()-2)</f>
        <v/>
      </c>
      <c r="M4857" s="10" t="str">
        <f aca="false">IF($A4857="","",ROW())</f>
        <v/>
      </c>
    </row>
    <row r="4858" customFormat="false" ht="15" hidden="false" customHeight="true" outlineLevel="0" collapsed="false">
      <c r="A4858" s="8"/>
      <c r="B4858" s="8"/>
      <c r="C4858" s="8"/>
      <c r="D4858" s="8"/>
      <c r="E4858" s="8"/>
      <c r="F4858" s="8"/>
      <c r="G4858" s="10" t="str">
        <f aca="false">IF($A4858="","",UPPER(SUBSTITUTE(SUBSTITUTE(SUBSTITUTE(SUBSTITUTE($A4858," ",""),"(주)",""),"주식회사",""),"㈜","")))</f>
        <v/>
      </c>
      <c r="H4858" s="10" t="str">
        <f aca="false">IF($B4858="","",SUBSTITUTE(SUBSTITUTE(SUBSTITUTE($B4858,"-","")," ",""),".",""))</f>
        <v/>
      </c>
      <c r="I4858" s="10" t="str">
        <f aca="false">IF($D4858="","",SUBSTITUTE(SUBSTITUTE(SUBSTITUTE($D4858,"-","")," ",""),".",""))</f>
        <v/>
      </c>
      <c r="J4858" s="10" t="str">
        <f aca="false">IF($E4858="","",UPPER(SUBSTITUTE($E4858," ","")))</f>
        <v/>
      </c>
      <c r="K4858" s="10" t="str">
        <f aca="false">IF($A4858="","",$G4858&amp;"|"&amp;$J4858)</f>
        <v/>
      </c>
      <c r="L4858" s="10" t="str">
        <f aca="false">IF($A4858="","",ROW()-2)</f>
        <v/>
      </c>
      <c r="M4858" s="10" t="str">
        <f aca="false">IF($A4858="","",ROW())</f>
        <v/>
      </c>
    </row>
    <row r="4859" customFormat="false" ht="15" hidden="false" customHeight="true" outlineLevel="0" collapsed="false">
      <c r="A4859" s="8"/>
      <c r="B4859" s="8"/>
      <c r="C4859" s="8"/>
      <c r="D4859" s="8"/>
      <c r="E4859" s="8"/>
      <c r="F4859" s="8"/>
      <c r="G4859" s="10" t="str">
        <f aca="false">IF($A4859="","",UPPER(SUBSTITUTE(SUBSTITUTE(SUBSTITUTE(SUBSTITUTE($A4859," ",""),"(주)",""),"주식회사",""),"㈜","")))</f>
        <v/>
      </c>
      <c r="H4859" s="10" t="str">
        <f aca="false">IF($B4859="","",SUBSTITUTE(SUBSTITUTE(SUBSTITUTE($B4859,"-","")," ",""),".",""))</f>
        <v/>
      </c>
      <c r="I4859" s="10" t="str">
        <f aca="false">IF($D4859="","",SUBSTITUTE(SUBSTITUTE(SUBSTITUTE($D4859,"-","")," ",""),".",""))</f>
        <v/>
      </c>
      <c r="J4859" s="10" t="str">
        <f aca="false">IF($E4859="","",UPPER(SUBSTITUTE($E4859," ","")))</f>
        <v/>
      </c>
      <c r="K4859" s="10" t="str">
        <f aca="false">IF($A4859="","",$G4859&amp;"|"&amp;$J4859)</f>
        <v/>
      </c>
      <c r="L4859" s="10" t="str">
        <f aca="false">IF($A4859="","",ROW()-2)</f>
        <v/>
      </c>
      <c r="M4859" s="10" t="str">
        <f aca="false">IF($A4859="","",ROW())</f>
        <v/>
      </c>
    </row>
    <row r="4860" customFormat="false" ht="15" hidden="false" customHeight="true" outlineLevel="0" collapsed="false">
      <c r="A4860" s="8"/>
      <c r="B4860" s="8"/>
      <c r="C4860" s="8"/>
      <c r="D4860" s="8"/>
      <c r="E4860" s="8"/>
      <c r="F4860" s="8"/>
      <c r="G4860" s="10" t="str">
        <f aca="false">IF($A4860="","",UPPER(SUBSTITUTE(SUBSTITUTE(SUBSTITUTE(SUBSTITUTE($A4860," ",""),"(주)",""),"주식회사",""),"㈜","")))</f>
        <v/>
      </c>
      <c r="H4860" s="10" t="str">
        <f aca="false">IF($B4860="","",SUBSTITUTE(SUBSTITUTE(SUBSTITUTE($B4860,"-","")," ",""),".",""))</f>
        <v/>
      </c>
      <c r="I4860" s="10" t="str">
        <f aca="false">IF($D4860="","",SUBSTITUTE(SUBSTITUTE(SUBSTITUTE($D4860,"-","")," ",""),".",""))</f>
        <v/>
      </c>
      <c r="J4860" s="10" t="str">
        <f aca="false">IF($E4860="","",UPPER(SUBSTITUTE($E4860," ","")))</f>
        <v/>
      </c>
      <c r="K4860" s="10" t="str">
        <f aca="false">IF($A4860="","",$G4860&amp;"|"&amp;$J4860)</f>
        <v/>
      </c>
      <c r="L4860" s="10" t="str">
        <f aca="false">IF($A4860="","",ROW()-2)</f>
        <v/>
      </c>
      <c r="M4860" s="10" t="str">
        <f aca="false">IF($A4860="","",ROW())</f>
        <v/>
      </c>
    </row>
    <row r="4861" customFormat="false" ht="15" hidden="false" customHeight="true" outlineLevel="0" collapsed="false">
      <c r="A4861" s="8"/>
      <c r="B4861" s="8"/>
      <c r="C4861" s="8"/>
      <c r="D4861" s="8"/>
      <c r="E4861" s="8"/>
      <c r="F4861" s="8"/>
      <c r="G4861" s="10" t="str">
        <f aca="false">IF($A4861="","",UPPER(SUBSTITUTE(SUBSTITUTE(SUBSTITUTE(SUBSTITUTE($A4861," ",""),"(주)",""),"주식회사",""),"㈜","")))</f>
        <v/>
      </c>
      <c r="H4861" s="10" t="str">
        <f aca="false">IF($B4861="","",SUBSTITUTE(SUBSTITUTE(SUBSTITUTE($B4861,"-","")," ",""),".",""))</f>
        <v/>
      </c>
      <c r="I4861" s="10" t="str">
        <f aca="false">IF($D4861="","",SUBSTITUTE(SUBSTITUTE(SUBSTITUTE($D4861,"-","")," ",""),".",""))</f>
        <v/>
      </c>
      <c r="J4861" s="10" t="str">
        <f aca="false">IF($E4861="","",UPPER(SUBSTITUTE($E4861," ","")))</f>
        <v/>
      </c>
      <c r="K4861" s="10" t="str">
        <f aca="false">IF($A4861="","",$G4861&amp;"|"&amp;$J4861)</f>
        <v/>
      </c>
      <c r="L4861" s="10" t="str">
        <f aca="false">IF($A4861="","",ROW()-2)</f>
        <v/>
      </c>
      <c r="M4861" s="10" t="str">
        <f aca="false">IF($A4861="","",ROW())</f>
        <v/>
      </c>
    </row>
    <row r="4862" customFormat="false" ht="15" hidden="false" customHeight="true" outlineLevel="0" collapsed="false">
      <c r="A4862" s="8"/>
      <c r="B4862" s="8"/>
      <c r="C4862" s="8"/>
      <c r="D4862" s="8"/>
      <c r="E4862" s="8"/>
      <c r="F4862" s="8"/>
      <c r="G4862" s="10" t="str">
        <f aca="false">IF($A4862="","",UPPER(SUBSTITUTE(SUBSTITUTE(SUBSTITUTE(SUBSTITUTE($A4862," ",""),"(주)",""),"주식회사",""),"㈜","")))</f>
        <v/>
      </c>
      <c r="H4862" s="10" t="str">
        <f aca="false">IF($B4862="","",SUBSTITUTE(SUBSTITUTE(SUBSTITUTE($B4862,"-","")," ",""),".",""))</f>
        <v/>
      </c>
      <c r="I4862" s="10" t="str">
        <f aca="false">IF($D4862="","",SUBSTITUTE(SUBSTITUTE(SUBSTITUTE($D4862,"-","")," ",""),".",""))</f>
        <v/>
      </c>
      <c r="J4862" s="10" t="str">
        <f aca="false">IF($E4862="","",UPPER(SUBSTITUTE($E4862," ","")))</f>
        <v/>
      </c>
      <c r="K4862" s="10" t="str">
        <f aca="false">IF($A4862="","",$G4862&amp;"|"&amp;$J4862)</f>
        <v/>
      </c>
      <c r="L4862" s="10" t="str">
        <f aca="false">IF($A4862="","",ROW()-2)</f>
        <v/>
      </c>
      <c r="M4862" s="10" t="str">
        <f aca="false">IF($A4862="","",ROW())</f>
        <v/>
      </c>
    </row>
    <row r="4863" customFormat="false" ht="15" hidden="false" customHeight="true" outlineLevel="0" collapsed="false">
      <c r="A4863" s="8"/>
      <c r="B4863" s="8"/>
      <c r="C4863" s="8"/>
      <c r="D4863" s="8"/>
      <c r="E4863" s="8"/>
      <c r="F4863" s="8"/>
      <c r="G4863" s="10" t="str">
        <f aca="false">IF($A4863="","",UPPER(SUBSTITUTE(SUBSTITUTE(SUBSTITUTE(SUBSTITUTE($A4863," ",""),"(주)",""),"주식회사",""),"㈜","")))</f>
        <v/>
      </c>
      <c r="H4863" s="10" t="str">
        <f aca="false">IF($B4863="","",SUBSTITUTE(SUBSTITUTE(SUBSTITUTE($B4863,"-","")," ",""),".",""))</f>
        <v/>
      </c>
      <c r="I4863" s="10" t="str">
        <f aca="false">IF($D4863="","",SUBSTITUTE(SUBSTITUTE(SUBSTITUTE($D4863,"-","")," ",""),".",""))</f>
        <v/>
      </c>
      <c r="J4863" s="10" t="str">
        <f aca="false">IF($E4863="","",UPPER(SUBSTITUTE($E4863," ","")))</f>
        <v/>
      </c>
      <c r="K4863" s="10" t="str">
        <f aca="false">IF($A4863="","",$G4863&amp;"|"&amp;$J4863)</f>
        <v/>
      </c>
      <c r="L4863" s="10" t="str">
        <f aca="false">IF($A4863="","",ROW()-2)</f>
        <v/>
      </c>
      <c r="M4863" s="10" t="str">
        <f aca="false">IF($A4863="","",ROW())</f>
        <v/>
      </c>
    </row>
    <row r="4864" customFormat="false" ht="15" hidden="false" customHeight="true" outlineLevel="0" collapsed="false">
      <c r="A4864" s="8"/>
      <c r="B4864" s="8"/>
      <c r="C4864" s="8"/>
      <c r="D4864" s="8"/>
      <c r="E4864" s="8"/>
      <c r="F4864" s="8"/>
      <c r="G4864" s="10" t="str">
        <f aca="false">IF($A4864="","",UPPER(SUBSTITUTE(SUBSTITUTE(SUBSTITUTE(SUBSTITUTE($A4864," ",""),"(주)",""),"주식회사",""),"㈜","")))</f>
        <v/>
      </c>
      <c r="H4864" s="10" t="str">
        <f aca="false">IF($B4864="","",SUBSTITUTE(SUBSTITUTE(SUBSTITUTE($B4864,"-","")," ",""),".",""))</f>
        <v/>
      </c>
      <c r="I4864" s="10" t="str">
        <f aca="false">IF($D4864="","",SUBSTITUTE(SUBSTITUTE(SUBSTITUTE($D4864,"-","")," ",""),".",""))</f>
        <v/>
      </c>
      <c r="J4864" s="10" t="str">
        <f aca="false">IF($E4864="","",UPPER(SUBSTITUTE($E4864," ","")))</f>
        <v/>
      </c>
      <c r="K4864" s="10" t="str">
        <f aca="false">IF($A4864="","",$G4864&amp;"|"&amp;$J4864)</f>
        <v/>
      </c>
      <c r="L4864" s="10" t="str">
        <f aca="false">IF($A4864="","",ROW()-2)</f>
        <v/>
      </c>
      <c r="M4864" s="10" t="str">
        <f aca="false">IF($A4864="","",ROW())</f>
        <v/>
      </c>
    </row>
    <row r="4865" customFormat="false" ht="15" hidden="false" customHeight="true" outlineLevel="0" collapsed="false">
      <c r="A4865" s="8"/>
      <c r="B4865" s="8"/>
      <c r="C4865" s="8"/>
      <c r="D4865" s="8"/>
      <c r="E4865" s="8"/>
      <c r="F4865" s="8"/>
      <c r="G4865" s="10" t="str">
        <f aca="false">IF($A4865="","",UPPER(SUBSTITUTE(SUBSTITUTE(SUBSTITUTE(SUBSTITUTE($A4865," ",""),"(주)",""),"주식회사",""),"㈜","")))</f>
        <v/>
      </c>
      <c r="H4865" s="10" t="str">
        <f aca="false">IF($B4865="","",SUBSTITUTE(SUBSTITUTE(SUBSTITUTE($B4865,"-","")," ",""),".",""))</f>
        <v/>
      </c>
      <c r="I4865" s="10" t="str">
        <f aca="false">IF($D4865="","",SUBSTITUTE(SUBSTITUTE(SUBSTITUTE($D4865,"-","")," ",""),".",""))</f>
        <v/>
      </c>
      <c r="J4865" s="10" t="str">
        <f aca="false">IF($E4865="","",UPPER(SUBSTITUTE($E4865," ","")))</f>
        <v/>
      </c>
      <c r="K4865" s="10" t="str">
        <f aca="false">IF($A4865="","",$G4865&amp;"|"&amp;$J4865)</f>
        <v/>
      </c>
      <c r="L4865" s="10" t="str">
        <f aca="false">IF($A4865="","",ROW()-2)</f>
        <v/>
      </c>
      <c r="M4865" s="10" t="str">
        <f aca="false">IF($A4865="","",ROW())</f>
        <v/>
      </c>
    </row>
    <row r="4866" customFormat="false" ht="15" hidden="false" customHeight="true" outlineLevel="0" collapsed="false">
      <c r="A4866" s="8"/>
      <c r="B4866" s="8"/>
      <c r="C4866" s="8"/>
      <c r="D4866" s="8"/>
      <c r="E4866" s="8"/>
      <c r="F4866" s="8"/>
      <c r="G4866" s="10" t="str">
        <f aca="false">IF($A4866="","",UPPER(SUBSTITUTE(SUBSTITUTE(SUBSTITUTE(SUBSTITUTE($A4866," ",""),"(주)",""),"주식회사",""),"㈜","")))</f>
        <v/>
      </c>
      <c r="H4866" s="10" t="str">
        <f aca="false">IF($B4866="","",SUBSTITUTE(SUBSTITUTE(SUBSTITUTE($B4866,"-","")," ",""),".",""))</f>
        <v/>
      </c>
      <c r="I4866" s="10" t="str">
        <f aca="false">IF($D4866="","",SUBSTITUTE(SUBSTITUTE(SUBSTITUTE($D4866,"-","")," ",""),".",""))</f>
        <v/>
      </c>
      <c r="J4866" s="10" t="str">
        <f aca="false">IF($E4866="","",UPPER(SUBSTITUTE($E4866," ","")))</f>
        <v/>
      </c>
      <c r="K4866" s="10" t="str">
        <f aca="false">IF($A4866="","",$G4866&amp;"|"&amp;$J4866)</f>
        <v/>
      </c>
      <c r="L4866" s="10" t="str">
        <f aca="false">IF($A4866="","",ROW()-2)</f>
        <v/>
      </c>
      <c r="M4866" s="10" t="str">
        <f aca="false">IF($A4866="","",ROW())</f>
        <v/>
      </c>
    </row>
    <row r="4867" customFormat="false" ht="15" hidden="false" customHeight="true" outlineLevel="0" collapsed="false">
      <c r="A4867" s="8"/>
      <c r="B4867" s="8"/>
      <c r="C4867" s="8"/>
      <c r="D4867" s="8"/>
      <c r="E4867" s="8"/>
      <c r="F4867" s="8"/>
      <c r="G4867" s="10" t="str">
        <f aca="false">IF($A4867="","",UPPER(SUBSTITUTE(SUBSTITUTE(SUBSTITUTE(SUBSTITUTE($A4867," ",""),"(주)",""),"주식회사",""),"㈜","")))</f>
        <v/>
      </c>
      <c r="H4867" s="10" t="str">
        <f aca="false">IF($B4867="","",SUBSTITUTE(SUBSTITUTE(SUBSTITUTE($B4867,"-","")," ",""),".",""))</f>
        <v/>
      </c>
      <c r="I4867" s="10" t="str">
        <f aca="false">IF($D4867="","",SUBSTITUTE(SUBSTITUTE(SUBSTITUTE($D4867,"-","")," ",""),".",""))</f>
        <v/>
      </c>
      <c r="J4867" s="10" t="str">
        <f aca="false">IF($E4867="","",UPPER(SUBSTITUTE($E4867," ","")))</f>
        <v/>
      </c>
      <c r="K4867" s="10" t="str">
        <f aca="false">IF($A4867="","",$G4867&amp;"|"&amp;$J4867)</f>
        <v/>
      </c>
      <c r="L4867" s="10" t="str">
        <f aca="false">IF($A4867="","",ROW()-2)</f>
        <v/>
      </c>
      <c r="M4867" s="10" t="str">
        <f aca="false">IF($A4867="","",ROW())</f>
        <v/>
      </c>
    </row>
    <row r="4868" customFormat="false" ht="15" hidden="false" customHeight="true" outlineLevel="0" collapsed="false">
      <c r="A4868" s="8"/>
      <c r="B4868" s="8"/>
      <c r="C4868" s="8"/>
      <c r="D4868" s="8"/>
      <c r="E4868" s="8"/>
      <c r="F4868" s="8"/>
      <c r="G4868" s="10" t="str">
        <f aca="false">IF($A4868="","",UPPER(SUBSTITUTE(SUBSTITUTE(SUBSTITUTE(SUBSTITUTE($A4868," ",""),"(주)",""),"주식회사",""),"㈜","")))</f>
        <v/>
      </c>
      <c r="H4868" s="10" t="str">
        <f aca="false">IF($B4868="","",SUBSTITUTE(SUBSTITUTE(SUBSTITUTE($B4868,"-","")," ",""),".",""))</f>
        <v/>
      </c>
      <c r="I4868" s="10" t="str">
        <f aca="false">IF($D4868="","",SUBSTITUTE(SUBSTITUTE(SUBSTITUTE($D4868,"-","")," ",""),".",""))</f>
        <v/>
      </c>
      <c r="J4868" s="10" t="str">
        <f aca="false">IF($E4868="","",UPPER(SUBSTITUTE($E4868," ","")))</f>
        <v/>
      </c>
      <c r="K4868" s="10" t="str">
        <f aca="false">IF($A4868="","",$G4868&amp;"|"&amp;$J4868)</f>
        <v/>
      </c>
      <c r="L4868" s="10" t="str">
        <f aca="false">IF($A4868="","",ROW()-2)</f>
        <v/>
      </c>
      <c r="M4868" s="10" t="str">
        <f aca="false">IF($A4868="","",ROW())</f>
        <v/>
      </c>
    </row>
    <row r="4869" customFormat="false" ht="15" hidden="false" customHeight="true" outlineLevel="0" collapsed="false">
      <c r="A4869" s="8"/>
      <c r="B4869" s="8"/>
      <c r="C4869" s="8"/>
      <c r="D4869" s="8"/>
      <c r="E4869" s="8"/>
      <c r="F4869" s="8"/>
      <c r="G4869" s="10" t="str">
        <f aca="false">IF($A4869="","",UPPER(SUBSTITUTE(SUBSTITUTE(SUBSTITUTE(SUBSTITUTE($A4869," ",""),"(주)",""),"주식회사",""),"㈜","")))</f>
        <v/>
      </c>
      <c r="H4869" s="10" t="str">
        <f aca="false">IF($B4869="","",SUBSTITUTE(SUBSTITUTE(SUBSTITUTE($B4869,"-","")," ",""),".",""))</f>
        <v/>
      </c>
      <c r="I4869" s="10" t="str">
        <f aca="false">IF($D4869="","",SUBSTITUTE(SUBSTITUTE(SUBSTITUTE($D4869,"-","")," ",""),".",""))</f>
        <v/>
      </c>
      <c r="J4869" s="10" t="str">
        <f aca="false">IF($E4869="","",UPPER(SUBSTITUTE($E4869," ","")))</f>
        <v/>
      </c>
      <c r="K4869" s="10" t="str">
        <f aca="false">IF($A4869="","",$G4869&amp;"|"&amp;$J4869)</f>
        <v/>
      </c>
      <c r="L4869" s="10" t="str">
        <f aca="false">IF($A4869="","",ROW()-2)</f>
        <v/>
      </c>
      <c r="M4869" s="10" t="str">
        <f aca="false">IF($A4869="","",ROW())</f>
        <v/>
      </c>
    </row>
    <row r="4870" customFormat="false" ht="15" hidden="false" customHeight="true" outlineLevel="0" collapsed="false">
      <c r="A4870" s="8"/>
      <c r="B4870" s="8"/>
      <c r="C4870" s="8"/>
      <c r="D4870" s="8"/>
      <c r="E4870" s="8"/>
      <c r="F4870" s="8"/>
      <c r="G4870" s="10" t="str">
        <f aca="false">IF($A4870="","",UPPER(SUBSTITUTE(SUBSTITUTE(SUBSTITUTE(SUBSTITUTE($A4870," ",""),"(주)",""),"주식회사",""),"㈜","")))</f>
        <v/>
      </c>
      <c r="H4870" s="10" t="str">
        <f aca="false">IF($B4870="","",SUBSTITUTE(SUBSTITUTE(SUBSTITUTE($B4870,"-","")," ",""),".",""))</f>
        <v/>
      </c>
      <c r="I4870" s="10" t="str">
        <f aca="false">IF($D4870="","",SUBSTITUTE(SUBSTITUTE(SUBSTITUTE($D4870,"-","")," ",""),".",""))</f>
        <v/>
      </c>
      <c r="J4870" s="10" t="str">
        <f aca="false">IF($E4870="","",UPPER(SUBSTITUTE($E4870," ","")))</f>
        <v/>
      </c>
      <c r="K4870" s="10" t="str">
        <f aca="false">IF($A4870="","",$G4870&amp;"|"&amp;$J4870)</f>
        <v/>
      </c>
      <c r="L4870" s="10" t="str">
        <f aca="false">IF($A4870="","",ROW()-2)</f>
        <v/>
      </c>
      <c r="M4870" s="10" t="str">
        <f aca="false">IF($A4870="","",ROW())</f>
        <v/>
      </c>
    </row>
    <row r="4871" customFormat="false" ht="15" hidden="false" customHeight="true" outlineLevel="0" collapsed="false">
      <c r="A4871" s="8"/>
      <c r="B4871" s="8"/>
      <c r="C4871" s="8"/>
      <c r="D4871" s="8"/>
      <c r="E4871" s="8"/>
      <c r="F4871" s="8"/>
      <c r="G4871" s="10" t="str">
        <f aca="false">IF($A4871="","",UPPER(SUBSTITUTE(SUBSTITUTE(SUBSTITUTE(SUBSTITUTE($A4871," ",""),"(주)",""),"주식회사",""),"㈜","")))</f>
        <v/>
      </c>
      <c r="H4871" s="10" t="str">
        <f aca="false">IF($B4871="","",SUBSTITUTE(SUBSTITUTE(SUBSTITUTE($B4871,"-","")," ",""),".",""))</f>
        <v/>
      </c>
      <c r="I4871" s="10" t="str">
        <f aca="false">IF($D4871="","",SUBSTITUTE(SUBSTITUTE(SUBSTITUTE($D4871,"-","")," ",""),".",""))</f>
        <v/>
      </c>
      <c r="J4871" s="10" t="str">
        <f aca="false">IF($E4871="","",UPPER(SUBSTITUTE($E4871," ","")))</f>
        <v/>
      </c>
      <c r="K4871" s="10" t="str">
        <f aca="false">IF($A4871="","",$G4871&amp;"|"&amp;$J4871)</f>
        <v/>
      </c>
      <c r="L4871" s="10" t="str">
        <f aca="false">IF($A4871="","",ROW()-2)</f>
        <v/>
      </c>
      <c r="M4871" s="10" t="str">
        <f aca="false">IF($A4871="","",ROW())</f>
        <v/>
      </c>
    </row>
    <row r="4872" customFormat="false" ht="15" hidden="false" customHeight="true" outlineLevel="0" collapsed="false">
      <c r="A4872" s="8"/>
      <c r="B4872" s="8"/>
      <c r="C4872" s="8"/>
      <c r="D4872" s="8"/>
      <c r="E4872" s="8"/>
      <c r="F4872" s="8"/>
      <c r="G4872" s="10" t="str">
        <f aca="false">IF($A4872="","",UPPER(SUBSTITUTE(SUBSTITUTE(SUBSTITUTE(SUBSTITUTE($A4872," ",""),"(주)",""),"주식회사",""),"㈜","")))</f>
        <v/>
      </c>
      <c r="H4872" s="10" t="str">
        <f aca="false">IF($B4872="","",SUBSTITUTE(SUBSTITUTE(SUBSTITUTE($B4872,"-","")," ",""),".",""))</f>
        <v/>
      </c>
      <c r="I4872" s="10" t="str">
        <f aca="false">IF($D4872="","",SUBSTITUTE(SUBSTITUTE(SUBSTITUTE($D4872,"-","")," ",""),".",""))</f>
        <v/>
      </c>
      <c r="J4872" s="10" t="str">
        <f aca="false">IF($E4872="","",UPPER(SUBSTITUTE($E4872," ","")))</f>
        <v/>
      </c>
      <c r="K4872" s="10" t="str">
        <f aca="false">IF($A4872="","",$G4872&amp;"|"&amp;$J4872)</f>
        <v/>
      </c>
      <c r="L4872" s="10" t="str">
        <f aca="false">IF($A4872="","",ROW()-2)</f>
        <v/>
      </c>
      <c r="M4872" s="10" t="str">
        <f aca="false">IF($A4872="","",ROW())</f>
        <v/>
      </c>
    </row>
    <row r="4873" customFormat="false" ht="15" hidden="false" customHeight="true" outlineLevel="0" collapsed="false">
      <c r="A4873" s="8"/>
      <c r="B4873" s="8"/>
      <c r="C4873" s="8"/>
      <c r="D4873" s="8"/>
      <c r="E4873" s="8"/>
      <c r="F4873" s="8"/>
      <c r="G4873" s="10" t="str">
        <f aca="false">IF($A4873="","",UPPER(SUBSTITUTE(SUBSTITUTE(SUBSTITUTE(SUBSTITUTE($A4873," ",""),"(주)",""),"주식회사",""),"㈜","")))</f>
        <v/>
      </c>
      <c r="H4873" s="10" t="str">
        <f aca="false">IF($B4873="","",SUBSTITUTE(SUBSTITUTE(SUBSTITUTE($B4873,"-","")," ",""),".",""))</f>
        <v/>
      </c>
      <c r="I4873" s="10" t="str">
        <f aca="false">IF($D4873="","",SUBSTITUTE(SUBSTITUTE(SUBSTITUTE($D4873,"-","")," ",""),".",""))</f>
        <v/>
      </c>
      <c r="J4873" s="10" t="str">
        <f aca="false">IF($E4873="","",UPPER(SUBSTITUTE($E4873," ","")))</f>
        <v/>
      </c>
      <c r="K4873" s="10" t="str">
        <f aca="false">IF($A4873="","",$G4873&amp;"|"&amp;$J4873)</f>
        <v/>
      </c>
      <c r="L4873" s="10" t="str">
        <f aca="false">IF($A4873="","",ROW()-2)</f>
        <v/>
      </c>
      <c r="M4873" s="10" t="str">
        <f aca="false">IF($A4873="","",ROW())</f>
        <v/>
      </c>
    </row>
    <row r="4874" customFormat="false" ht="15" hidden="false" customHeight="true" outlineLevel="0" collapsed="false">
      <c r="A4874" s="8"/>
      <c r="B4874" s="8"/>
      <c r="C4874" s="8"/>
      <c r="D4874" s="8"/>
      <c r="E4874" s="8"/>
      <c r="F4874" s="8"/>
      <c r="G4874" s="10" t="str">
        <f aca="false">IF($A4874="","",UPPER(SUBSTITUTE(SUBSTITUTE(SUBSTITUTE(SUBSTITUTE($A4874," ",""),"(주)",""),"주식회사",""),"㈜","")))</f>
        <v/>
      </c>
      <c r="H4874" s="10" t="str">
        <f aca="false">IF($B4874="","",SUBSTITUTE(SUBSTITUTE(SUBSTITUTE($B4874,"-","")," ",""),".",""))</f>
        <v/>
      </c>
      <c r="I4874" s="10" t="str">
        <f aca="false">IF($D4874="","",SUBSTITUTE(SUBSTITUTE(SUBSTITUTE($D4874,"-","")," ",""),".",""))</f>
        <v/>
      </c>
      <c r="J4874" s="10" t="str">
        <f aca="false">IF($E4874="","",UPPER(SUBSTITUTE($E4874," ","")))</f>
        <v/>
      </c>
      <c r="K4874" s="10" t="str">
        <f aca="false">IF($A4874="","",$G4874&amp;"|"&amp;$J4874)</f>
        <v/>
      </c>
      <c r="L4874" s="10" t="str">
        <f aca="false">IF($A4874="","",ROW()-2)</f>
        <v/>
      </c>
      <c r="M4874" s="10" t="str">
        <f aca="false">IF($A4874="","",ROW())</f>
        <v/>
      </c>
    </row>
    <row r="4875" customFormat="false" ht="15" hidden="false" customHeight="true" outlineLevel="0" collapsed="false">
      <c r="A4875" s="8"/>
      <c r="B4875" s="8"/>
      <c r="C4875" s="8"/>
      <c r="D4875" s="8"/>
      <c r="E4875" s="8"/>
      <c r="F4875" s="8"/>
      <c r="G4875" s="10" t="str">
        <f aca="false">IF($A4875="","",UPPER(SUBSTITUTE(SUBSTITUTE(SUBSTITUTE(SUBSTITUTE($A4875," ",""),"(주)",""),"주식회사",""),"㈜","")))</f>
        <v/>
      </c>
      <c r="H4875" s="10" t="str">
        <f aca="false">IF($B4875="","",SUBSTITUTE(SUBSTITUTE(SUBSTITUTE($B4875,"-","")," ",""),".",""))</f>
        <v/>
      </c>
      <c r="I4875" s="10" t="str">
        <f aca="false">IF($D4875="","",SUBSTITUTE(SUBSTITUTE(SUBSTITUTE($D4875,"-","")," ",""),".",""))</f>
        <v/>
      </c>
      <c r="J4875" s="10" t="str">
        <f aca="false">IF($E4875="","",UPPER(SUBSTITUTE($E4875," ","")))</f>
        <v/>
      </c>
      <c r="K4875" s="10" t="str">
        <f aca="false">IF($A4875="","",$G4875&amp;"|"&amp;$J4875)</f>
        <v/>
      </c>
      <c r="L4875" s="10" t="str">
        <f aca="false">IF($A4875="","",ROW()-2)</f>
        <v/>
      </c>
      <c r="M4875" s="10" t="str">
        <f aca="false">IF($A4875="","",ROW())</f>
        <v/>
      </c>
    </row>
    <row r="4876" customFormat="false" ht="15" hidden="false" customHeight="true" outlineLevel="0" collapsed="false">
      <c r="A4876" s="8"/>
      <c r="B4876" s="8"/>
      <c r="C4876" s="8"/>
      <c r="D4876" s="8"/>
      <c r="E4876" s="8"/>
      <c r="F4876" s="8"/>
      <c r="G4876" s="10" t="str">
        <f aca="false">IF($A4876="","",UPPER(SUBSTITUTE(SUBSTITUTE(SUBSTITUTE(SUBSTITUTE($A4876," ",""),"(주)",""),"주식회사",""),"㈜","")))</f>
        <v/>
      </c>
      <c r="H4876" s="10" t="str">
        <f aca="false">IF($B4876="","",SUBSTITUTE(SUBSTITUTE(SUBSTITUTE($B4876,"-","")," ",""),".",""))</f>
        <v/>
      </c>
      <c r="I4876" s="10" t="str">
        <f aca="false">IF($D4876="","",SUBSTITUTE(SUBSTITUTE(SUBSTITUTE($D4876,"-","")," ",""),".",""))</f>
        <v/>
      </c>
      <c r="J4876" s="10" t="str">
        <f aca="false">IF($E4876="","",UPPER(SUBSTITUTE($E4876," ","")))</f>
        <v/>
      </c>
      <c r="K4876" s="10" t="str">
        <f aca="false">IF($A4876="","",$G4876&amp;"|"&amp;$J4876)</f>
        <v/>
      </c>
      <c r="L4876" s="10" t="str">
        <f aca="false">IF($A4876="","",ROW()-2)</f>
        <v/>
      </c>
      <c r="M4876" s="10" t="str">
        <f aca="false">IF($A4876="","",ROW())</f>
        <v/>
      </c>
    </row>
    <row r="4877" customFormat="false" ht="15" hidden="false" customHeight="true" outlineLevel="0" collapsed="false">
      <c r="A4877" s="8"/>
      <c r="B4877" s="8"/>
      <c r="C4877" s="8"/>
      <c r="D4877" s="8"/>
      <c r="E4877" s="8"/>
      <c r="F4877" s="8"/>
      <c r="G4877" s="10" t="str">
        <f aca="false">IF($A4877="","",UPPER(SUBSTITUTE(SUBSTITUTE(SUBSTITUTE(SUBSTITUTE($A4877," ",""),"(주)",""),"주식회사",""),"㈜","")))</f>
        <v/>
      </c>
      <c r="H4877" s="10" t="str">
        <f aca="false">IF($B4877="","",SUBSTITUTE(SUBSTITUTE(SUBSTITUTE($B4877,"-","")," ",""),".",""))</f>
        <v/>
      </c>
      <c r="I4877" s="10" t="str">
        <f aca="false">IF($D4877="","",SUBSTITUTE(SUBSTITUTE(SUBSTITUTE($D4877,"-","")," ",""),".",""))</f>
        <v/>
      </c>
      <c r="J4877" s="10" t="str">
        <f aca="false">IF($E4877="","",UPPER(SUBSTITUTE($E4877," ","")))</f>
        <v/>
      </c>
      <c r="K4877" s="10" t="str">
        <f aca="false">IF($A4877="","",$G4877&amp;"|"&amp;$J4877)</f>
        <v/>
      </c>
      <c r="L4877" s="10" t="str">
        <f aca="false">IF($A4877="","",ROW()-2)</f>
        <v/>
      </c>
      <c r="M4877" s="10" t="str">
        <f aca="false">IF($A4877="","",ROW())</f>
        <v/>
      </c>
    </row>
    <row r="4878" customFormat="false" ht="15" hidden="false" customHeight="true" outlineLevel="0" collapsed="false">
      <c r="A4878" s="8"/>
      <c r="B4878" s="8"/>
      <c r="C4878" s="8"/>
      <c r="D4878" s="8"/>
      <c r="E4878" s="8"/>
      <c r="F4878" s="8"/>
      <c r="G4878" s="10" t="str">
        <f aca="false">IF($A4878="","",UPPER(SUBSTITUTE(SUBSTITUTE(SUBSTITUTE(SUBSTITUTE($A4878," ",""),"(주)",""),"주식회사",""),"㈜","")))</f>
        <v/>
      </c>
      <c r="H4878" s="10" t="str">
        <f aca="false">IF($B4878="","",SUBSTITUTE(SUBSTITUTE(SUBSTITUTE($B4878,"-","")," ",""),".",""))</f>
        <v/>
      </c>
      <c r="I4878" s="10" t="str">
        <f aca="false">IF($D4878="","",SUBSTITUTE(SUBSTITUTE(SUBSTITUTE($D4878,"-","")," ",""),".",""))</f>
        <v/>
      </c>
      <c r="J4878" s="10" t="str">
        <f aca="false">IF($E4878="","",UPPER(SUBSTITUTE($E4878," ","")))</f>
        <v/>
      </c>
      <c r="K4878" s="10" t="str">
        <f aca="false">IF($A4878="","",$G4878&amp;"|"&amp;$J4878)</f>
        <v/>
      </c>
      <c r="L4878" s="10" t="str">
        <f aca="false">IF($A4878="","",ROW()-2)</f>
        <v/>
      </c>
      <c r="M4878" s="10" t="str">
        <f aca="false">IF($A4878="","",ROW())</f>
        <v/>
      </c>
    </row>
    <row r="4879" customFormat="false" ht="15" hidden="false" customHeight="true" outlineLevel="0" collapsed="false">
      <c r="A4879" s="8"/>
      <c r="B4879" s="8"/>
      <c r="C4879" s="8"/>
      <c r="D4879" s="8"/>
      <c r="E4879" s="8"/>
      <c r="F4879" s="8"/>
      <c r="G4879" s="10" t="str">
        <f aca="false">IF($A4879="","",UPPER(SUBSTITUTE(SUBSTITUTE(SUBSTITUTE(SUBSTITUTE($A4879," ",""),"(주)",""),"주식회사",""),"㈜","")))</f>
        <v/>
      </c>
      <c r="H4879" s="10" t="str">
        <f aca="false">IF($B4879="","",SUBSTITUTE(SUBSTITUTE(SUBSTITUTE($B4879,"-","")," ",""),".",""))</f>
        <v/>
      </c>
      <c r="I4879" s="10" t="str">
        <f aca="false">IF($D4879="","",SUBSTITUTE(SUBSTITUTE(SUBSTITUTE($D4879,"-","")," ",""),".",""))</f>
        <v/>
      </c>
      <c r="J4879" s="10" t="str">
        <f aca="false">IF($E4879="","",UPPER(SUBSTITUTE($E4879," ","")))</f>
        <v/>
      </c>
      <c r="K4879" s="10" t="str">
        <f aca="false">IF($A4879="","",$G4879&amp;"|"&amp;$J4879)</f>
        <v/>
      </c>
      <c r="L4879" s="10" t="str">
        <f aca="false">IF($A4879="","",ROW()-2)</f>
        <v/>
      </c>
      <c r="M4879" s="10" t="str">
        <f aca="false">IF($A4879="","",ROW())</f>
        <v/>
      </c>
    </row>
    <row r="4880" customFormat="false" ht="15" hidden="false" customHeight="true" outlineLevel="0" collapsed="false">
      <c r="A4880" s="8"/>
      <c r="B4880" s="8"/>
      <c r="C4880" s="8"/>
      <c r="D4880" s="8"/>
      <c r="E4880" s="8"/>
      <c r="F4880" s="8"/>
      <c r="G4880" s="10" t="str">
        <f aca="false">IF($A4880="","",UPPER(SUBSTITUTE(SUBSTITUTE(SUBSTITUTE(SUBSTITUTE($A4880," ",""),"(주)",""),"주식회사",""),"㈜","")))</f>
        <v/>
      </c>
      <c r="H4880" s="10" t="str">
        <f aca="false">IF($B4880="","",SUBSTITUTE(SUBSTITUTE(SUBSTITUTE($B4880,"-","")," ",""),".",""))</f>
        <v/>
      </c>
      <c r="I4880" s="10" t="str">
        <f aca="false">IF($D4880="","",SUBSTITUTE(SUBSTITUTE(SUBSTITUTE($D4880,"-","")," ",""),".",""))</f>
        <v/>
      </c>
      <c r="J4880" s="10" t="str">
        <f aca="false">IF($E4880="","",UPPER(SUBSTITUTE($E4880," ","")))</f>
        <v/>
      </c>
      <c r="K4880" s="10" t="str">
        <f aca="false">IF($A4880="","",$G4880&amp;"|"&amp;$J4880)</f>
        <v/>
      </c>
      <c r="L4880" s="10" t="str">
        <f aca="false">IF($A4880="","",ROW()-2)</f>
        <v/>
      </c>
      <c r="M4880" s="10" t="str">
        <f aca="false">IF($A4880="","",ROW())</f>
        <v/>
      </c>
    </row>
    <row r="4881" customFormat="false" ht="15" hidden="false" customHeight="true" outlineLevel="0" collapsed="false">
      <c r="A4881" s="8"/>
      <c r="B4881" s="8"/>
      <c r="C4881" s="8"/>
      <c r="D4881" s="8"/>
      <c r="E4881" s="8"/>
      <c r="F4881" s="8"/>
      <c r="G4881" s="10" t="str">
        <f aca="false">IF($A4881="","",UPPER(SUBSTITUTE(SUBSTITUTE(SUBSTITUTE(SUBSTITUTE($A4881," ",""),"(주)",""),"주식회사",""),"㈜","")))</f>
        <v/>
      </c>
      <c r="H4881" s="10" t="str">
        <f aca="false">IF($B4881="","",SUBSTITUTE(SUBSTITUTE(SUBSTITUTE($B4881,"-","")," ",""),".",""))</f>
        <v/>
      </c>
      <c r="I4881" s="10" t="str">
        <f aca="false">IF($D4881="","",SUBSTITUTE(SUBSTITUTE(SUBSTITUTE($D4881,"-","")," ",""),".",""))</f>
        <v/>
      </c>
      <c r="J4881" s="10" t="str">
        <f aca="false">IF($E4881="","",UPPER(SUBSTITUTE($E4881," ","")))</f>
        <v/>
      </c>
      <c r="K4881" s="10" t="str">
        <f aca="false">IF($A4881="","",$G4881&amp;"|"&amp;$J4881)</f>
        <v/>
      </c>
      <c r="L4881" s="10" t="str">
        <f aca="false">IF($A4881="","",ROW()-2)</f>
        <v/>
      </c>
      <c r="M4881" s="10" t="str">
        <f aca="false">IF($A4881="","",ROW())</f>
        <v/>
      </c>
    </row>
    <row r="4882" customFormat="false" ht="15" hidden="false" customHeight="true" outlineLevel="0" collapsed="false">
      <c r="A4882" s="8"/>
      <c r="B4882" s="8"/>
      <c r="C4882" s="8"/>
      <c r="D4882" s="8"/>
      <c r="E4882" s="8"/>
      <c r="F4882" s="8"/>
      <c r="G4882" s="10" t="str">
        <f aca="false">IF($A4882="","",UPPER(SUBSTITUTE(SUBSTITUTE(SUBSTITUTE(SUBSTITUTE($A4882," ",""),"(주)",""),"주식회사",""),"㈜","")))</f>
        <v/>
      </c>
      <c r="H4882" s="10" t="str">
        <f aca="false">IF($B4882="","",SUBSTITUTE(SUBSTITUTE(SUBSTITUTE($B4882,"-","")," ",""),".",""))</f>
        <v/>
      </c>
      <c r="I4882" s="10" t="str">
        <f aca="false">IF($D4882="","",SUBSTITUTE(SUBSTITUTE(SUBSTITUTE($D4882,"-","")," ",""),".",""))</f>
        <v/>
      </c>
      <c r="J4882" s="10" t="str">
        <f aca="false">IF($E4882="","",UPPER(SUBSTITUTE($E4882," ","")))</f>
        <v/>
      </c>
      <c r="K4882" s="10" t="str">
        <f aca="false">IF($A4882="","",$G4882&amp;"|"&amp;$J4882)</f>
        <v/>
      </c>
      <c r="L4882" s="10" t="str">
        <f aca="false">IF($A4882="","",ROW()-2)</f>
        <v/>
      </c>
      <c r="M4882" s="10" t="str">
        <f aca="false">IF($A4882="","",ROW())</f>
        <v/>
      </c>
    </row>
    <row r="4883" customFormat="false" ht="15" hidden="false" customHeight="true" outlineLevel="0" collapsed="false">
      <c r="A4883" s="8"/>
      <c r="B4883" s="8"/>
      <c r="C4883" s="8"/>
      <c r="D4883" s="8"/>
      <c r="E4883" s="8"/>
      <c r="F4883" s="8"/>
      <c r="G4883" s="10" t="str">
        <f aca="false">IF($A4883="","",UPPER(SUBSTITUTE(SUBSTITUTE(SUBSTITUTE(SUBSTITUTE($A4883," ",""),"(주)",""),"주식회사",""),"㈜","")))</f>
        <v/>
      </c>
      <c r="H4883" s="10" t="str">
        <f aca="false">IF($B4883="","",SUBSTITUTE(SUBSTITUTE(SUBSTITUTE($B4883,"-","")," ",""),".",""))</f>
        <v/>
      </c>
      <c r="I4883" s="10" t="str">
        <f aca="false">IF($D4883="","",SUBSTITUTE(SUBSTITUTE(SUBSTITUTE($D4883,"-","")," ",""),".",""))</f>
        <v/>
      </c>
      <c r="J4883" s="10" t="str">
        <f aca="false">IF($E4883="","",UPPER(SUBSTITUTE($E4883," ","")))</f>
        <v/>
      </c>
      <c r="K4883" s="10" t="str">
        <f aca="false">IF($A4883="","",$G4883&amp;"|"&amp;$J4883)</f>
        <v/>
      </c>
      <c r="L4883" s="10" t="str">
        <f aca="false">IF($A4883="","",ROW()-2)</f>
        <v/>
      </c>
      <c r="M4883" s="10" t="str">
        <f aca="false">IF($A4883="","",ROW())</f>
        <v/>
      </c>
    </row>
    <row r="4884" customFormat="false" ht="15" hidden="false" customHeight="true" outlineLevel="0" collapsed="false">
      <c r="A4884" s="8"/>
      <c r="B4884" s="8"/>
      <c r="C4884" s="8"/>
      <c r="D4884" s="8"/>
      <c r="E4884" s="8"/>
      <c r="F4884" s="8"/>
      <c r="G4884" s="10" t="str">
        <f aca="false">IF($A4884="","",UPPER(SUBSTITUTE(SUBSTITUTE(SUBSTITUTE(SUBSTITUTE($A4884," ",""),"(주)",""),"주식회사",""),"㈜","")))</f>
        <v/>
      </c>
      <c r="H4884" s="10" t="str">
        <f aca="false">IF($B4884="","",SUBSTITUTE(SUBSTITUTE(SUBSTITUTE($B4884,"-","")," ",""),".",""))</f>
        <v/>
      </c>
      <c r="I4884" s="10" t="str">
        <f aca="false">IF($D4884="","",SUBSTITUTE(SUBSTITUTE(SUBSTITUTE($D4884,"-","")," ",""),".",""))</f>
        <v/>
      </c>
      <c r="J4884" s="10" t="str">
        <f aca="false">IF($E4884="","",UPPER(SUBSTITUTE($E4884," ","")))</f>
        <v/>
      </c>
      <c r="K4884" s="10" t="str">
        <f aca="false">IF($A4884="","",$G4884&amp;"|"&amp;$J4884)</f>
        <v/>
      </c>
      <c r="L4884" s="10" t="str">
        <f aca="false">IF($A4884="","",ROW()-2)</f>
        <v/>
      </c>
      <c r="M4884" s="10" t="str">
        <f aca="false">IF($A4884="","",ROW())</f>
        <v/>
      </c>
    </row>
    <row r="4885" customFormat="false" ht="15" hidden="false" customHeight="true" outlineLevel="0" collapsed="false">
      <c r="A4885" s="8"/>
      <c r="B4885" s="8"/>
      <c r="C4885" s="8"/>
      <c r="D4885" s="8"/>
      <c r="E4885" s="8"/>
      <c r="F4885" s="8"/>
      <c r="G4885" s="10" t="str">
        <f aca="false">IF($A4885="","",UPPER(SUBSTITUTE(SUBSTITUTE(SUBSTITUTE(SUBSTITUTE($A4885," ",""),"(주)",""),"주식회사",""),"㈜","")))</f>
        <v/>
      </c>
      <c r="H4885" s="10" t="str">
        <f aca="false">IF($B4885="","",SUBSTITUTE(SUBSTITUTE(SUBSTITUTE($B4885,"-","")," ",""),".",""))</f>
        <v/>
      </c>
      <c r="I4885" s="10" t="str">
        <f aca="false">IF($D4885="","",SUBSTITUTE(SUBSTITUTE(SUBSTITUTE($D4885,"-","")," ",""),".",""))</f>
        <v/>
      </c>
      <c r="J4885" s="10" t="str">
        <f aca="false">IF($E4885="","",UPPER(SUBSTITUTE($E4885," ","")))</f>
        <v/>
      </c>
      <c r="K4885" s="10" t="str">
        <f aca="false">IF($A4885="","",$G4885&amp;"|"&amp;$J4885)</f>
        <v/>
      </c>
      <c r="L4885" s="10" t="str">
        <f aca="false">IF($A4885="","",ROW()-2)</f>
        <v/>
      </c>
      <c r="M4885" s="10" t="str">
        <f aca="false">IF($A4885="","",ROW())</f>
        <v/>
      </c>
    </row>
    <row r="4886" customFormat="false" ht="15" hidden="false" customHeight="true" outlineLevel="0" collapsed="false">
      <c r="A4886" s="8"/>
      <c r="B4886" s="8"/>
      <c r="C4886" s="8"/>
      <c r="D4886" s="8"/>
      <c r="E4886" s="8"/>
      <c r="F4886" s="8"/>
      <c r="G4886" s="10" t="str">
        <f aca="false">IF($A4886="","",UPPER(SUBSTITUTE(SUBSTITUTE(SUBSTITUTE(SUBSTITUTE($A4886," ",""),"(주)",""),"주식회사",""),"㈜","")))</f>
        <v/>
      </c>
      <c r="H4886" s="10" t="str">
        <f aca="false">IF($B4886="","",SUBSTITUTE(SUBSTITUTE(SUBSTITUTE($B4886,"-","")," ",""),".",""))</f>
        <v/>
      </c>
      <c r="I4886" s="10" t="str">
        <f aca="false">IF($D4886="","",SUBSTITUTE(SUBSTITUTE(SUBSTITUTE($D4886,"-","")," ",""),".",""))</f>
        <v/>
      </c>
      <c r="J4886" s="10" t="str">
        <f aca="false">IF($E4886="","",UPPER(SUBSTITUTE($E4886," ","")))</f>
        <v/>
      </c>
      <c r="K4886" s="10" t="str">
        <f aca="false">IF($A4886="","",$G4886&amp;"|"&amp;$J4886)</f>
        <v/>
      </c>
      <c r="L4886" s="10" t="str">
        <f aca="false">IF($A4886="","",ROW()-2)</f>
        <v/>
      </c>
      <c r="M4886" s="10" t="str">
        <f aca="false">IF($A4886="","",ROW())</f>
        <v/>
      </c>
    </row>
    <row r="4887" customFormat="false" ht="15" hidden="false" customHeight="true" outlineLevel="0" collapsed="false">
      <c r="A4887" s="8"/>
      <c r="B4887" s="8"/>
      <c r="C4887" s="8"/>
      <c r="D4887" s="8"/>
      <c r="E4887" s="8"/>
      <c r="F4887" s="8"/>
      <c r="G4887" s="10" t="str">
        <f aca="false">IF($A4887="","",UPPER(SUBSTITUTE(SUBSTITUTE(SUBSTITUTE(SUBSTITUTE($A4887," ",""),"(주)",""),"주식회사",""),"㈜","")))</f>
        <v/>
      </c>
      <c r="H4887" s="10" t="str">
        <f aca="false">IF($B4887="","",SUBSTITUTE(SUBSTITUTE(SUBSTITUTE($B4887,"-","")," ",""),".",""))</f>
        <v/>
      </c>
      <c r="I4887" s="10" t="str">
        <f aca="false">IF($D4887="","",SUBSTITUTE(SUBSTITUTE(SUBSTITUTE($D4887,"-","")," ",""),".",""))</f>
        <v/>
      </c>
      <c r="J4887" s="10" t="str">
        <f aca="false">IF($E4887="","",UPPER(SUBSTITUTE($E4887," ","")))</f>
        <v/>
      </c>
      <c r="K4887" s="10" t="str">
        <f aca="false">IF($A4887="","",$G4887&amp;"|"&amp;$J4887)</f>
        <v/>
      </c>
      <c r="L4887" s="10" t="str">
        <f aca="false">IF($A4887="","",ROW()-2)</f>
        <v/>
      </c>
      <c r="M4887" s="10" t="str">
        <f aca="false">IF($A4887="","",ROW())</f>
        <v/>
      </c>
    </row>
    <row r="4888" customFormat="false" ht="15" hidden="false" customHeight="true" outlineLevel="0" collapsed="false">
      <c r="A4888" s="8"/>
      <c r="B4888" s="8"/>
      <c r="C4888" s="8"/>
      <c r="D4888" s="8"/>
      <c r="E4888" s="8"/>
      <c r="F4888" s="8"/>
      <c r="G4888" s="10" t="str">
        <f aca="false">IF($A4888="","",UPPER(SUBSTITUTE(SUBSTITUTE(SUBSTITUTE(SUBSTITUTE($A4888," ",""),"(주)",""),"주식회사",""),"㈜","")))</f>
        <v/>
      </c>
      <c r="H4888" s="10" t="str">
        <f aca="false">IF($B4888="","",SUBSTITUTE(SUBSTITUTE(SUBSTITUTE($B4888,"-","")," ",""),".",""))</f>
        <v/>
      </c>
      <c r="I4888" s="10" t="str">
        <f aca="false">IF($D4888="","",SUBSTITUTE(SUBSTITUTE(SUBSTITUTE($D4888,"-","")," ",""),".",""))</f>
        <v/>
      </c>
      <c r="J4888" s="10" t="str">
        <f aca="false">IF($E4888="","",UPPER(SUBSTITUTE($E4888," ","")))</f>
        <v/>
      </c>
      <c r="K4888" s="10" t="str">
        <f aca="false">IF($A4888="","",$G4888&amp;"|"&amp;$J4888)</f>
        <v/>
      </c>
      <c r="L4888" s="10" t="str">
        <f aca="false">IF($A4888="","",ROW()-2)</f>
        <v/>
      </c>
      <c r="M4888" s="10" t="str">
        <f aca="false">IF($A4888="","",ROW())</f>
        <v/>
      </c>
    </row>
    <row r="4889" customFormat="false" ht="15" hidden="false" customHeight="true" outlineLevel="0" collapsed="false">
      <c r="A4889" s="8"/>
      <c r="B4889" s="8"/>
      <c r="C4889" s="8"/>
      <c r="D4889" s="8"/>
      <c r="E4889" s="8"/>
      <c r="F4889" s="8"/>
      <c r="G4889" s="10" t="str">
        <f aca="false">IF($A4889="","",UPPER(SUBSTITUTE(SUBSTITUTE(SUBSTITUTE(SUBSTITUTE($A4889," ",""),"(주)",""),"주식회사",""),"㈜","")))</f>
        <v/>
      </c>
      <c r="H4889" s="10" t="str">
        <f aca="false">IF($B4889="","",SUBSTITUTE(SUBSTITUTE(SUBSTITUTE($B4889,"-","")," ",""),".",""))</f>
        <v/>
      </c>
      <c r="I4889" s="10" t="str">
        <f aca="false">IF($D4889="","",SUBSTITUTE(SUBSTITUTE(SUBSTITUTE($D4889,"-","")," ",""),".",""))</f>
        <v/>
      </c>
      <c r="J4889" s="10" t="str">
        <f aca="false">IF($E4889="","",UPPER(SUBSTITUTE($E4889," ","")))</f>
        <v/>
      </c>
      <c r="K4889" s="10" t="str">
        <f aca="false">IF($A4889="","",$G4889&amp;"|"&amp;$J4889)</f>
        <v/>
      </c>
      <c r="L4889" s="10" t="str">
        <f aca="false">IF($A4889="","",ROW()-2)</f>
        <v/>
      </c>
      <c r="M4889" s="10" t="str">
        <f aca="false">IF($A4889="","",ROW())</f>
        <v/>
      </c>
    </row>
    <row r="4890" customFormat="false" ht="15" hidden="false" customHeight="true" outlineLevel="0" collapsed="false">
      <c r="A4890" s="8"/>
      <c r="B4890" s="8"/>
      <c r="C4890" s="8"/>
      <c r="D4890" s="8"/>
      <c r="E4890" s="8"/>
      <c r="F4890" s="8"/>
      <c r="G4890" s="10" t="str">
        <f aca="false">IF($A4890="","",UPPER(SUBSTITUTE(SUBSTITUTE(SUBSTITUTE(SUBSTITUTE($A4890," ",""),"(주)",""),"주식회사",""),"㈜","")))</f>
        <v/>
      </c>
      <c r="H4890" s="10" t="str">
        <f aca="false">IF($B4890="","",SUBSTITUTE(SUBSTITUTE(SUBSTITUTE($B4890,"-","")," ",""),".",""))</f>
        <v/>
      </c>
      <c r="I4890" s="10" t="str">
        <f aca="false">IF($D4890="","",SUBSTITUTE(SUBSTITUTE(SUBSTITUTE($D4890,"-","")," ",""),".",""))</f>
        <v/>
      </c>
      <c r="J4890" s="10" t="str">
        <f aca="false">IF($E4890="","",UPPER(SUBSTITUTE($E4890," ","")))</f>
        <v/>
      </c>
      <c r="K4890" s="10" t="str">
        <f aca="false">IF($A4890="","",$G4890&amp;"|"&amp;$J4890)</f>
        <v/>
      </c>
      <c r="L4890" s="10" t="str">
        <f aca="false">IF($A4890="","",ROW()-2)</f>
        <v/>
      </c>
      <c r="M4890" s="10" t="str">
        <f aca="false">IF($A4890="","",ROW())</f>
        <v/>
      </c>
    </row>
    <row r="4891" customFormat="false" ht="15" hidden="false" customHeight="true" outlineLevel="0" collapsed="false">
      <c r="A4891" s="8"/>
      <c r="B4891" s="8"/>
      <c r="C4891" s="8"/>
      <c r="D4891" s="8"/>
      <c r="E4891" s="8"/>
      <c r="F4891" s="8"/>
      <c r="G4891" s="10" t="str">
        <f aca="false">IF($A4891="","",UPPER(SUBSTITUTE(SUBSTITUTE(SUBSTITUTE(SUBSTITUTE($A4891," ",""),"(주)",""),"주식회사",""),"㈜","")))</f>
        <v/>
      </c>
      <c r="H4891" s="10" t="str">
        <f aca="false">IF($B4891="","",SUBSTITUTE(SUBSTITUTE(SUBSTITUTE($B4891,"-","")," ",""),".",""))</f>
        <v/>
      </c>
      <c r="I4891" s="10" t="str">
        <f aca="false">IF($D4891="","",SUBSTITUTE(SUBSTITUTE(SUBSTITUTE($D4891,"-","")," ",""),".",""))</f>
        <v/>
      </c>
      <c r="J4891" s="10" t="str">
        <f aca="false">IF($E4891="","",UPPER(SUBSTITUTE($E4891," ","")))</f>
        <v/>
      </c>
      <c r="K4891" s="10" t="str">
        <f aca="false">IF($A4891="","",$G4891&amp;"|"&amp;$J4891)</f>
        <v/>
      </c>
      <c r="L4891" s="10" t="str">
        <f aca="false">IF($A4891="","",ROW()-2)</f>
        <v/>
      </c>
      <c r="M4891" s="10" t="str">
        <f aca="false">IF($A4891="","",ROW())</f>
        <v/>
      </c>
    </row>
    <row r="4892" customFormat="false" ht="15" hidden="false" customHeight="true" outlineLevel="0" collapsed="false">
      <c r="A4892" s="8"/>
      <c r="B4892" s="8"/>
      <c r="C4892" s="8"/>
      <c r="D4892" s="8"/>
      <c r="E4892" s="8"/>
      <c r="F4892" s="8"/>
      <c r="G4892" s="10" t="str">
        <f aca="false">IF($A4892="","",UPPER(SUBSTITUTE(SUBSTITUTE(SUBSTITUTE(SUBSTITUTE($A4892," ",""),"(주)",""),"주식회사",""),"㈜","")))</f>
        <v/>
      </c>
      <c r="H4892" s="10" t="str">
        <f aca="false">IF($B4892="","",SUBSTITUTE(SUBSTITUTE(SUBSTITUTE($B4892,"-","")," ",""),".",""))</f>
        <v/>
      </c>
      <c r="I4892" s="10" t="str">
        <f aca="false">IF($D4892="","",SUBSTITUTE(SUBSTITUTE(SUBSTITUTE($D4892,"-","")," ",""),".",""))</f>
        <v/>
      </c>
      <c r="J4892" s="10" t="str">
        <f aca="false">IF($E4892="","",UPPER(SUBSTITUTE($E4892," ","")))</f>
        <v/>
      </c>
      <c r="K4892" s="10" t="str">
        <f aca="false">IF($A4892="","",$G4892&amp;"|"&amp;$J4892)</f>
        <v/>
      </c>
      <c r="L4892" s="10" t="str">
        <f aca="false">IF($A4892="","",ROW()-2)</f>
        <v/>
      </c>
      <c r="M4892" s="10" t="str">
        <f aca="false">IF($A4892="","",ROW())</f>
        <v/>
      </c>
    </row>
    <row r="4893" customFormat="false" ht="15" hidden="false" customHeight="true" outlineLevel="0" collapsed="false">
      <c r="A4893" s="8"/>
      <c r="B4893" s="8"/>
      <c r="C4893" s="8"/>
      <c r="D4893" s="8"/>
      <c r="E4893" s="8"/>
      <c r="F4893" s="8"/>
      <c r="G4893" s="10" t="str">
        <f aca="false">IF($A4893="","",UPPER(SUBSTITUTE(SUBSTITUTE(SUBSTITUTE(SUBSTITUTE($A4893," ",""),"(주)",""),"주식회사",""),"㈜","")))</f>
        <v/>
      </c>
      <c r="H4893" s="10" t="str">
        <f aca="false">IF($B4893="","",SUBSTITUTE(SUBSTITUTE(SUBSTITUTE($B4893,"-","")," ",""),".",""))</f>
        <v/>
      </c>
      <c r="I4893" s="10" t="str">
        <f aca="false">IF($D4893="","",SUBSTITUTE(SUBSTITUTE(SUBSTITUTE($D4893,"-","")," ",""),".",""))</f>
        <v/>
      </c>
      <c r="J4893" s="10" t="str">
        <f aca="false">IF($E4893="","",UPPER(SUBSTITUTE($E4893," ","")))</f>
        <v/>
      </c>
      <c r="K4893" s="10" t="str">
        <f aca="false">IF($A4893="","",$G4893&amp;"|"&amp;$J4893)</f>
        <v/>
      </c>
      <c r="L4893" s="10" t="str">
        <f aca="false">IF($A4893="","",ROW()-2)</f>
        <v/>
      </c>
      <c r="M4893" s="10" t="str">
        <f aca="false">IF($A4893="","",ROW())</f>
        <v/>
      </c>
    </row>
    <row r="4894" customFormat="false" ht="15" hidden="false" customHeight="true" outlineLevel="0" collapsed="false">
      <c r="A4894" s="8"/>
      <c r="B4894" s="8"/>
      <c r="C4894" s="8"/>
      <c r="D4894" s="8"/>
      <c r="E4894" s="8"/>
      <c r="F4894" s="8"/>
      <c r="G4894" s="10" t="str">
        <f aca="false">IF($A4894="","",UPPER(SUBSTITUTE(SUBSTITUTE(SUBSTITUTE(SUBSTITUTE($A4894," ",""),"(주)",""),"주식회사",""),"㈜","")))</f>
        <v/>
      </c>
      <c r="H4894" s="10" t="str">
        <f aca="false">IF($B4894="","",SUBSTITUTE(SUBSTITUTE(SUBSTITUTE($B4894,"-","")," ",""),".",""))</f>
        <v/>
      </c>
      <c r="I4894" s="10" t="str">
        <f aca="false">IF($D4894="","",SUBSTITUTE(SUBSTITUTE(SUBSTITUTE($D4894,"-","")," ",""),".",""))</f>
        <v/>
      </c>
      <c r="J4894" s="10" t="str">
        <f aca="false">IF($E4894="","",UPPER(SUBSTITUTE($E4894," ","")))</f>
        <v/>
      </c>
      <c r="K4894" s="10" t="str">
        <f aca="false">IF($A4894="","",$G4894&amp;"|"&amp;$J4894)</f>
        <v/>
      </c>
      <c r="L4894" s="10" t="str">
        <f aca="false">IF($A4894="","",ROW()-2)</f>
        <v/>
      </c>
      <c r="M4894" s="10" t="str">
        <f aca="false">IF($A4894="","",ROW())</f>
        <v/>
      </c>
    </row>
    <row r="4895" customFormat="false" ht="15" hidden="false" customHeight="true" outlineLevel="0" collapsed="false">
      <c r="A4895" s="8"/>
      <c r="B4895" s="8"/>
      <c r="C4895" s="8"/>
      <c r="D4895" s="8"/>
      <c r="E4895" s="8"/>
      <c r="F4895" s="8"/>
      <c r="G4895" s="10" t="str">
        <f aca="false">IF($A4895="","",UPPER(SUBSTITUTE(SUBSTITUTE(SUBSTITUTE(SUBSTITUTE($A4895," ",""),"(주)",""),"주식회사",""),"㈜","")))</f>
        <v/>
      </c>
      <c r="H4895" s="10" t="str">
        <f aca="false">IF($B4895="","",SUBSTITUTE(SUBSTITUTE(SUBSTITUTE($B4895,"-","")," ",""),".",""))</f>
        <v/>
      </c>
      <c r="I4895" s="10" t="str">
        <f aca="false">IF($D4895="","",SUBSTITUTE(SUBSTITUTE(SUBSTITUTE($D4895,"-","")," ",""),".",""))</f>
        <v/>
      </c>
      <c r="J4895" s="10" t="str">
        <f aca="false">IF($E4895="","",UPPER(SUBSTITUTE($E4895," ","")))</f>
        <v/>
      </c>
      <c r="K4895" s="10" t="str">
        <f aca="false">IF($A4895="","",$G4895&amp;"|"&amp;$J4895)</f>
        <v/>
      </c>
      <c r="L4895" s="10" t="str">
        <f aca="false">IF($A4895="","",ROW()-2)</f>
        <v/>
      </c>
      <c r="M4895" s="10" t="str">
        <f aca="false">IF($A4895="","",ROW())</f>
        <v/>
      </c>
    </row>
    <row r="4896" customFormat="false" ht="15" hidden="false" customHeight="true" outlineLevel="0" collapsed="false">
      <c r="A4896" s="8"/>
      <c r="B4896" s="8"/>
      <c r="C4896" s="8"/>
      <c r="D4896" s="8"/>
      <c r="E4896" s="8"/>
      <c r="F4896" s="8"/>
      <c r="G4896" s="10" t="str">
        <f aca="false">IF($A4896="","",UPPER(SUBSTITUTE(SUBSTITUTE(SUBSTITUTE(SUBSTITUTE($A4896," ",""),"(주)",""),"주식회사",""),"㈜","")))</f>
        <v/>
      </c>
      <c r="H4896" s="10" t="str">
        <f aca="false">IF($B4896="","",SUBSTITUTE(SUBSTITUTE(SUBSTITUTE($B4896,"-","")," ",""),".",""))</f>
        <v/>
      </c>
      <c r="I4896" s="10" t="str">
        <f aca="false">IF($D4896="","",SUBSTITUTE(SUBSTITUTE(SUBSTITUTE($D4896,"-","")," ",""),".",""))</f>
        <v/>
      </c>
      <c r="J4896" s="10" t="str">
        <f aca="false">IF($E4896="","",UPPER(SUBSTITUTE($E4896," ","")))</f>
        <v/>
      </c>
      <c r="K4896" s="10" t="str">
        <f aca="false">IF($A4896="","",$G4896&amp;"|"&amp;$J4896)</f>
        <v/>
      </c>
      <c r="L4896" s="10" t="str">
        <f aca="false">IF($A4896="","",ROW()-2)</f>
        <v/>
      </c>
      <c r="M4896" s="10" t="str">
        <f aca="false">IF($A4896="","",ROW())</f>
        <v/>
      </c>
    </row>
    <row r="4897" customFormat="false" ht="15" hidden="false" customHeight="true" outlineLevel="0" collapsed="false">
      <c r="A4897" s="8"/>
      <c r="B4897" s="8"/>
      <c r="C4897" s="8"/>
      <c r="D4897" s="8"/>
      <c r="E4897" s="8"/>
      <c r="F4897" s="8"/>
      <c r="G4897" s="10" t="str">
        <f aca="false">IF($A4897="","",UPPER(SUBSTITUTE(SUBSTITUTE(SUBSTITUTE(SUBSTITUTE($A4897," ",""),"(주)",""),"주식회사",""),"㈜","")))</f>
        <v/>
      </c>
      <c r="H4897" s="10" t="str">
        <f aca="false">IF($B4897="","",SUBSTITUTE(SUBSTITUTE(SUBSTITUTE($B4897,"-","")," ",""),".",""))</f>
        <v/>
      </c>
      <c r="I4897" s="10" t="str">
        <f aca="false">IF($D4897="","",SUBSTITUTE(SUBSTITUTE(SUBSTITUTE($D4897,"-","")," ",""),".",""))</f>
        <v/>
      </c>
      <c r="J4897" s="10" t="str">
        <f aca="false">IF($E4897="","",UPPER(SUBSTITUTE($E4897," ","")))</f>
        <v/>
      </c>
      <c r="K4897" s="10" t="str">
        <f aca="false">IF($A4897="","",$G4897&amp;"|"&amp;$J4897)</f>
        <v/>
      </c>
      <c r="L4897" s="10" t="str">
        <f aca="false">IF($A4897="","",ROW()-2)</f>
        <v/>
      </c>
      <c r="M4897" s="10" t="str">
        <f aca="false">IF($A4897="","",ROW())</f>
        <v/>
      </c>
    </row>
    <row r="4898" customFormat="false" ht="15" hidden="false" customHeight="true" outlineLevel="0" collapsed="false">
      <c r="A4898" s="8"/>
      <c r="B4898" s="8"/>
      <c r="C4898" s="8"/>
      <c r="D4898" s="8"/>
      <c r="E4898" s="8"/>
      <c r="F4898" s="8"/>
      <c r="G4898" s="10" t="str">
        <f aca="false">IF($A4898="","",UPPER(SUBSTITUTE(SUBSTITUTE(SUBSTITUTE(SUBSTITUTE($A4898," ",""),"(주)",""),"주식회사",""),"㈜","")))</f>
        <v/>
      </c>
      <c r="H4898" s="10" t="str">
        <f aca="false">IF($B4898="","",SUBSTITUTE(SUBSTITUTE(SUBSTITUTE($B4898,"-","")," ",""),".",""))</f>
        <v/>
      </c>
      <c r="I4898" s="10" t="str">
        <f aca="false">IF($D4898="","",SUBSTITUTE(SUBSTITUTE(SUBSTITUTE($D4898,"-","")," ",""),".",""))</f>
        <v/>
      </c>
      <c r="J4898" s="10" t="str">
        <f aca="false">IF($E4898="","",UPPER(SUBSTITUTE($E4898," ","")))</f>
        <v/>
      </c>
      <c r="K4898" s="10" t="str">
        <f aca="false">IF($A4898="","",$G4898&amp;"|"&amp;$J4898)</f>
        <v/>
      </c>
      <c r="L4898" s="10" t="str">
        <f aca="false">IF($A4898="","",ROW()-2)</f>
        <v/>
      </c>
      <c r="M4898" s="10" t="str">
        <f aca="false">IF($A4898="","",ROW())</f>
        <v/>
      </c>
    </row>
    <row r="4899" customFormat="false" ht="15" hidden="false" customHeight="true" outlineLevel="0" collapsed="false">
      <c r="A4899" s="8"/>
      <c r="B4899" s="8"/>
      <c r="C4899" s="8"/>
      <c r="D4899" s="8"/>
      <c r="E4899" s="8"/>
      <c r="F4899" s="8"/>
      <c r="G4899" s="10" t="str">
        <f aca="false">IF($A4899="","",UPPER(SUBSTITUTE(SUBSTITUTE(SUBSTITUTE(SUBSTITUTE($A4899," ",""),"(주)",""),"주식회사",""),"㈜","")))</f>
        <v/>
      </c>
      <c r="H4899" s="10" t="str">
        <f aca="false">IF($B4899="","",SUBSTITUTE(SUBSTITUTE(SUBSTITUTE($B4899,"-","")," ",""),".",""))</f>
        <v/>
      </c>
      <c r="I4899" s="10" t="str">
        <f aca="false">IF($D4899="","",SUBSTITUTE(SUBSTITUTE(SUBSTITUTE($D4899,"-","")," ",""),".",""))</f>
        <v/>
      </c>
      <c r="J4899" s="10" t="str">
        <f aca="false">IF($E4899="","",UPPER(SUBSTITUTE($E4899," ","")))</f>
        <v/>
      </c>
      <c r="K4899" s="10" t="str">
        <f aca="false">IF($A4899="","",$G4899&amp;"|"&amp;$J4899)</f>
        <v/>
      </c>
      <c r="L4899" s="10" t="str">
        <f aca="false">IF($A4899="","",ROW()-2)</f>
        <v/>
      </c>
      <c r="M4899" s="10" t="str">
        <f aca="false">IF($A4899="","",ROW())</f>
        <v/>
      </c>
    </row>
    <row r="4900" customFormat="false" ht="15" hidden="false" customHeight="true" outlineLevel="0" collapsed="false">
      <c r="A4900" s="8"/>
      <c r="B4900" s="8"/>
      <c r="C4900" s="8"/>
      <c r="D4900" s="8"/>
      <c r="E4900" s="8"/>
      <c r="F4900" s="8"/>
      <c r="G4900" s="10" t="str">
        <f aca="false">IF($A4900="","",UPPER(SUBSTITUTE(SUBSTITUTE(SUBSTITUTE(SUBSTITUTE($A4900," ",""),"(주)",""),"주식회사",""),"㈜","")))</f>
        <v/>
      </c>
      <c r="H4900" s="10" t="str">
        <f aca="false">IF($B4900="","",SUBSTITUTE(SUBSTITUTE(SUBSTITUTE($B4900,"-","")," ",""),".",""))</f>
        <v/>
      </c>
      <c r="I4900" s="10" t="str">
        <f aca="false">IF($D4900="","",SUBSTITUTE(SUBSTITUTE(SUBSTITUTE($D4900,"-","")," ",""),".",""))</f>
        <v/>
      </c>
      <c r="J4900" s="10" t="str">
        <f aca="false">IF($E4900="","",UPPER(SUBSTITUTE($E4900," ","")))</f>
        <v/>
      </c>
      <c r="K4900" s="10" t="str">
        <f aca="false">IF($A4900="","",$G4900&amp;"|"&amp;$J4900)</f>
        <v/>
      </c>
      <c r="L4900" s="10" t="str">
        <f aca="false">IF($A4900="","",ROW()-2)</f>
        <v/>
      </c>
      <c r="M4900" s="10" t="str">
        <f aca="false">IF($A4900="","",ROW())</f>
        <v/>
      </c>
    </row>
    <row r="4901" customFormat="false" ht="15" hidden="false" customHeight="true" outlineLevel="0" collapsed="false">
      <c r="A4901" s="8"/>
      <c r="B4901" s="8"/>
      <c r="C4901" s="8"/>
      <c r="D4901" s="8"/>
      <c r="E4901" s="8"/>
      <c r="F4901" s="8"/>
      <c r="G4901" s="10" t="str">
        <f aca="false">IF($A4901="","",UPPER(SUBSTITUTE(SUBSTITUTE(SUBSTITUTE(SUBSTITUTE($A4901," ",""),"(주)",""),"주식회사",""),"㈜","")))</f>
        <v/>
      </c>
      <c r="H4901" s="10" t="str">
        <f aca="false">IF($B4901="","",SUBSTITUTE(SUBSTITUTE(SUBSTITUTE($B4901,"-","")," ",""),".",""))</f>
        <v/>
      </c>
      <c r="I4901" s="10" t="str">
        <f aca="false">IF($D4901="","",SUBSTITUTE(SUBSTITUTE(SUBSTITUTE($D4901,"-","")," ",""),".",""))</f>
        <v/>
      </c>
      <c r="J4901" s="10" t="str">
        <f aca="false">IF($E4901="","",UPPER(SUBSTITUTE($E4901," ","")))</f>
        <v/>
      </c>
      <c r="K4901" s="10" t="str">
        <f aca="false">IF($A4901="","",$G4901&amp;"|"&amp;$J4901)</f>
        <v/>
      </c>
      <c r="L4901" s="10" t="str">
        <f aca="false">IF($A4901="","",ROW()-2)</f>
        <v/>
      </c>
      <c r="M4901" s="10" t="str">
        <f aca="false">IF($A4901="","",ROW())</f>
        <v/>
      </c>
    </row>
    <row r="4902" customFormat="false" ht="15" hidden="false" customHeight="true" outlineLevel="0" collapsed="false">
      <c r="A4902" s="8"/>
      <c r="B4902" s="8"/>
      <c r="C4902" s="8"/>
      <c r="D4902" s="8"/>
      <c r="E4902" s="8"/>
      <c r="F4902" s="8"/>
      <c r="G4902" s="10" t="str">
        <f aca="false">IF($A4902="","",UPPER(SUBSTITUTE(SUBSTITUTE(SUBSTITUTE(SUBSTITUTE($A4902," ",""),"(주)",""),"주식회사",""),"㈜","")))</f>
        <v/>
      </c>
      <c r="H4902" s="10" t="str">
        <f aca="false">IF($B4902="","",SUBSTITUTE(SUBSTITUTE(SUBSTITUTE($B4902,"-","")," ",""),".",""))</f>
        <v/>
      </c>
      <c r="I4902" s="10" t="str">
        <f aca="false">IF($D4902="","",SUBSTITUTE(SUBSTITUTE(SUBSTITUTE($D4902,"-","")," ",""),".",""))</f>
        <v/>
      </c>
      <c r="J4902" s="10" t="str">
        <f aca="false">IF($E4902="","",UPPER(SUBSTITUTE($E4902," ","")))</f>
        <v/>
      </c>
      <c r="K4902" s="10" t="str">
        <f aca="false">IF($A4902="","",$G4902&amp;"|"&amp;$J4902)</f>
        <v/>
      </c>
      <c r="L4902" s="10" t="str">
        <f aca="false">IF($A4902="","",ROW()-2)</f>
        <v/>
      </c>
      <c r="M4902" s="10" t="str">
        <f aca="false">IF($A4902="","",ROW())</f>
        <v/>
      </c>
    </row>
    <row r="4903" customFormat="false" ht="15" hidden="false" customHeight="true" outlineLevel="0" collapsed="false">
      <c r="A4903" s="8"/>
      <c r="B4903" s="8"/>
      <c r="C4903" s="8"/>
      <c r="D4903" s="8"/>
      <c r="E4903" s="8"/>
      <c r="F4903" s="8"/>
      <c r="G4903" s="10" t="str">
        <f aca="false">IF($A4903="","",UPPER(SUBSTITUTE(SUBSTITUTE(SUBSTITUTE(SUBSTITUTE($A4903," ",""),"(주)",""),"주식회사",""),"㈜","")))</f>
        <v/>
      </c>
      <c r="H4903" s="10" t="str">
        <f aca="false">IF($B4903="","",SUBSTITUTE(SUBSTITUTE(SUBSTITUTE($B4903,"-","")," ",""),".",""))</f>
        <v/>
      </c>
      <c r="I4903" s="10" t="str">
        <f aca="false">IF($D4903="","",SUBSTITUTE(SUBSTITUTE(SUBSTITUTE($D4903,"-","")," ",""),".",""))</f>
        <v/>
      </c>
      <c r="J4903" s="10" t="str">
        <f aca="false">IF($E4903="","",UPPER(SUBSTITUTE($E4903," ","")))</f>
        <v/>
      </c>
      <c r="K4903" s="10" t="str">
        <f aca="false">IF($A4903="","",$G4903&amp;"|"&amp;$J4903)</f>
        <v/>
      </c>
      <c r="L4903" s="10" t="str">
        <f aca="false">IF($A4903="","",ROW()-2)</f>
        <v/>
      </c>
      <c r="M4903" s="10" t="str">
        <f aca="false">IF($A4903="","",ROW())</f>
        <v/>
      </c>
    </row>
    <row r="4904" customFormat="false" ht="15" hidden="false" customHeight="true" outlineLevel="0" collapsed="false">
      <c r="A4904" s="8"/>
      <c r="B4904" s="8"/>
      <c r="C4904" s="8"/>
      <c r="D4904" s="8"/>
      <c r="E4904" s="8"/>
      <c r="F4904" s="8"/>
      <c r="G4904" s="10" t="str">
        <f aca="false">IF($A4904="","",UPPER(SUBSTITUTE(SUBSTITUTE(SUBSTITUTE(SUBSTITUTE($A4904," ",""),"(주)",""),"주식회사",""),"㈜","")))</f>
        <v/>
      </c>
      <c r="H4904" s="10" t="str">
        <f aca="false">IF($B4904="","",SUBSTITUTE(SUBSTITUTE(SUBSTITUTE($B4904,"-","")," ",""),".",""))</f>
        <v/>
      </c>
      <c r="I4904" s="10" t="str">
        <f aca="false">IF($D4904="","",SUBSTITUTE(SUBSTITUTE(SUBSTITUTE($D4904,"-","")," ",""),".",""))</f>
        <v/>
      </c>
      <c r="J4904" s="10" t="str">
        <f aca="false">IF($E4904="","",UPPER(SUBSTITUTE($E4904," ","")))</f>
        <v/>
      </c>
      <c r="K4904" s="10" t="str">
        <f aca="false">IF($A4904="","",$G4904&amp;"|"&amp;$J4904)</f>
        <v/>
      </c>
      <c r="L4904" s="10" t="str">
        <f aca="false">IF($A4904="","",ROW()-2)</f>
        <v/>
      </c>
      <c r="M4904" s="10" t="str">
        <f aca="false">IF($A4904="","",ROW())</f>
        <v/>
      </c>
    </row>
    <row r="4905" customFormat="false" ht="15" hidden="false" customHeight="true" outlineLevel="0" collapsed="false">
      <c r="A4905" s="8"/>
      <c r="B4905" s="8"/>
      <c r="C4905" s="8"/>
      <c r="D4905" s="8"/>
      <c r="E4905" s="8"/>
      <c r="F4905" s="8"/>
      <c r="G4905" s="10" t="str">
        <f aca="false">IF($A4905="","",UPPER(SUBSTITUTE(SUBSTITUTE(SUBSTITUTE(SUBSTITUTE($A4905," ",""),"(주)",""),"주식회사",""),"㈜","")))</f>
        <v/>
      </c>
      <c r="H4905" s="10" t="str">
        <f aca="false">IF($B4905="","",SUBSTITUTE(SUBSTITUTE(SUBSTITUTE($B4905,"-","")," ",""),".",""))</f>
        <v/>
      </c>
      <c r="I4905" s="10" t="str">
        <f aca="false">IF($D4905="","",SUBSTITUTE(SUBSTITUTE(SUBSTITUTE($D4905,"-","")," ",""),".",""))</f>
        <v/>
      </c>
      <c r="J4905" s="10" t="str">
        <f aca="false">IF($E4905="","",UPPER(SUBSTITUTE($E4905," ","")))</f>
        <v/>
      </c>
      <c r="K4905" s="10" t="str">
        <f aca="false">IF($A4905="","",$G4905&amp;"|"&amp;$J4905)</f>
        <v/>
      </c>
      <c r="L4905" s="10" t="str">
        <f aca="false">IF($A4905="","",ROW()-2)</f>
        <v/>
      </c>
      <c r="M4905" s="10" t="str">
        <f aca="false">IF($A4905="","",ROW())</f>
        <v/>
      </c>
    </row>
    <row r="4906" customFormat="false" ht="15" hidden="false" customHeight="true" outlineLevel="0" collapsed="false">
      <c r="A4906" s="8"/>
      <c r="B4906" s="8"/>
      <c r="C4906" s="8"/>
      <c r="D4906" s="8"/>
      <c r="E4906" s="8"/>
      <c r="F4906" s="8"/>
      <c r="G4906" s="10" t="str">
        <f aca="false">IF($A4906="","",UPPER(SUBSTITUTE(SUBSTITUTE(SUBSTITUTE(SUBSTITUTE($A4906," ",""),"(주)",""),"주식회사",""),"㈜","")))</f>
        <v/>
      </c>
      <c r="H4906" s="10" t="str">
        <f aca="false">IF($B4906="","",SUBSTITUTE(SUBSTITUTE(SUBSTITUTE($B4906,"-","")," ",""),".",""))</f>
        <v/>
      </c>
      <c r="I4906" s="10" t="str">
        <f aca="false">IF($D4906="","",SUBSTITUTE(SUBSTITUTE(SUBSTITUTE($D4906,"-","")," ",""),".",""))</f>
        <v/>
      </c>
      <c r="J4906" s="10" t="str">
        <f aca="false">IF($E4906="","",UPPER(SUBSTITUTE($E4906," ","")))</f>
        <v/>
      </c>
      <c r="K4906" s="10" t="str">
        <f aca="false">IF($A4906="","",$G4906&amp;"|"&amp;$J4906)</f>
        <v/>
      </c>
      <c r="L4906" s="10" t="str">
        <f aca="false">IF($A4906="","",ROW()-2)</f>
        <v/>
      </c>
      <c r="M4906" s="10" t="str">
        <f aca="false">IF($A4906="","",ROW())</f>
        <v/>
      </c>
    </row>
    <row r="4907" customFormat="false" ht="15" hidden="false" customHeight="true" outlineLevel="0" collapsed="false">
      <c r="A4907" s="8"/>
      <c r="B4907" s="8"/>
      <c r="C4907" s="8"/>
      <c r="D4907" s="8"/>
      <c r="E4907" s="8"/>
      <c r="F4907" s="8"/>
      <c r="G4907" s="10" t="str">
        <f aca="false">IF($A4907="","",UPPER(SUBSTITUTE(SUBSTITUTE(SUBSTITUTE(SUBSTITUTE($A4907," ",""),"(주)",""),"주식회사",""),"㈜","")))</f>
        <v/>
      </c>
      <c r="H4907" s="10" t="str">
        <f aca="false">IF($B4907="","",SUBSTITUTE(SUBSTITUTE(SUBSTITUTE($B4907,"-","")," ",""),".",""))</f>
        <v/>
      </c>
      <c r="I4907" s="10" t="str">
        <f aca="false">IF($D4907="","",SUBSTITUTE(SUBSTITUTE(SUBSTITUTE($D4907,"-","")," ",""),".",""))</f>
        <v/>
      </c>
      <c r="J4907" s="10" t="str">
        <f aca="false">IF($E4907="","",UPPER(SUBSTITUTE($E4907," ","")))</f>
        <v/>
      </c>
      <c r="K4907" s="10" t="str">
        <f aca="false">IF($A4907="","",$G4907&amp;"|"&amp;$J4907)</f>
        <v/>
      </c>
      <c r="L4907" s="10" t="str">
        <f aca="false">IF($A4907="","",ROW()-2)</f>
        <v/>
      </c>
      <c r="M4907" s="10" t="str">
        <f aca="false">IF($A4907="","",ROW())</f>
        <v/>
      </c>
    </row>
    <row r="4908" customFormat="false" ht="15" hidden="false" customHeight="true" outlineLevel="0" collapsed="false">
      <c r="A4908" s="8"/>
      <c r="B4908" s="8"/>
      <c r="C4908" s="8"/>
      <c r="D4908" s="8"/>
      <c r="E4908" s="8"/>
      <c r="F4908" s="8"/>
      <c r="G4908" s="10" t="str">
        <f aca="false">IF($A4908="","",UPPER(SUBSTITUTE(SUBSTITUTE(SUBSTITUTE(SUBSTITUTE($A4908," ",""),"(주)",""),"주식회사",""),"㈜","")))</f>
        <v/>
      </c>
      <c r="H4908" s="10" t="str">
        <f aca="false">IF($B4908="","",SUBSTITUTE(SUBSTITUTE(SUBSTITUTE($B4908,"-","")," ",""),".",""))</f>
        <v/>
      </c>
      <c r="I4908" s="10" t="str">
        <f aca="false">IF($D4908="","",SUBSTITUTE(SUBSTITUTE(SUBSTITUTE($D4908,"-","")," ",""),".",""))</f>
        <v/>
      </c>
      <c r="J4908" s="10" t="str">
        <f aca="false">IF($E4908="","",UPPER(SUBSTITUTE($E4908," ","")))</f>
        <v/>
      </c>
      <c r="K4908" s="10" t="str">
        <f aca="false">IF($A4908="","",$G4908&amp;"|"&amp;$J4908)</f>
        <v/>
      </c>
      <c r="L4908" s="10" t="str">
        <f aca="false">IF($A4908="","",ROW()-2)</f>
        <v/>
      </c>
      <c r="M4908" s="10" t="str">
        <f aca="false">IF($A4908="","",ROW())</f>
        <v/>
      </c>
    </row>
    <row r="4909" customFormat="false" ht="15" hidden="false" customHeight="true" outlineLevel="0" collapsed="false">
      <c r="A4909" s="8"/>
      <c r="B4909" s="8"/>
      <c r="C4909" s="8"/>
      <c r="D4909" s="8"/>
      <c r="E4909" s="8"/>
      <c r="F4909" s="8"/>
      <c r="G4909" s="10" t="str">
        <f aca="false">IF($A4909="","",UPPER(SUBSTITUTE(SUBSTITUTE(SUBSTITUTE(SUBSTITUTE($A4909," ",""),"(주)",""),"주식회사",""),"㈜","")))</f>
        <v/>
      </c>
      <c r="H4909" s="10" t="str">
        <f aca="false">IF($B4909="","",SUBSTITUTE(SUBSTITUTE(SUBSTITUTE($B4909,"-","")," ",""),".",""))</f>
        <v/>
      </c>
      <c r="I4909" s="10" t="str">
        <f aca="false">IF($D4909="","",SUBSTITUTE(SUBSTITUTE(SUBSTITUTE($D4909,"-","")," ",""),".",""))</f>
        <v/>
      </c>
      <c r="J4909" s="10" t="str">
        <f aca="false">IF($E4909="","",UPPER(SUBSTITUTE($E4909," ","")))</f>
        <v/>
      </c>
      <c r="K4909" s="10" t="str">
        <f aca="false">IF($A4909="","",$G4909&amp;"|"&amp;$J4909)</f>
        <v/>
      </c>
      <c r="L4909" s="10" t="str">
        <f aca="false">IF($A4909="","",ROW()-2)</f>
        <v/>
      </c>
      <c r="M4909" s="10" t="str">
        <f aca="false">IF($A4909="","",ROW())</f>
        <v/>
      </c>
    </row>
    <row r="4910" customFormat="false" ht="15" hidden="false" customHeight="true" outlineLevel="0" collapsed="false">
      <c r="A4910" s="8"/>
      <c r="B4910" s="8"/>
      <c r="C4910" s="8"/>
      <c r="D4910" s="8"/>
      <c r="E4910" s="8"/>
      <c r="F4910" s="8"/>
      <c r="G4910" s="10" t="str">
        <f aca="false">IF($A4910="","",UPPER(SUBSTITUTE(SUBSTITUTE(SUBSTITUTE(SUBSTITUTE($A4910," ",""),"(주)",""),"주식회사",""),"㈜","")))</f>
        <v/>
      </c>
      <c r="H4910" s="10" t="str">
        <f aca="false">IF($B4910="","",SUBSTITUTE(SUBSTITUTE(SUBSTITUTE($B4910,"-","")," ",""),".",""))</f>
        <v/>
      </c>
      <c r="I4910" s="10" t="str">
        <f aca="false">IF($D4910="","",SUBSTITUTE(SUBSTITUTE(SUBSTITUTE($D4910,"-","")," ",""),".",""))</f>
        <v/>
      </c>
      <c r="J4910" s="10" t="str">
        <f aca="false">IF($E4910="","",UPPER(SUBSTITUTE($E4910," ","")))</f>
        <v/>
      </c>
      <c r="K4910" s="10" t="str">
        <f aca="false">IF($A4910="","",$G4910&amp;"|"&amp;$J4910)</f>
        <v/>
      </c>
      <c r="L4910" s="10" t="str">
        <f aca="false">IF($A4910="","",ROW()-2)</f>
        <v/>
      </c>
      <c r="M4910" s="10" t="str">
        <f aca="false">IF($A4910="","",ROW())</f>
        <v/>
      </c>
    </row>
    <row r="4911" customFormat="false" ht="15" hidden="false" customHeight="true" outlineLevel="0" collapsed="false">
      <c r="A4911" s="8"/>
      <c r="B4911" s="8"/>
      <c r="C4911" s="8"/>
      <c r="D4911" s="8"/>
      <c r="E4911" s="8"/>
      <c r="F4911" s="8"/>
      <c r="G4911" s="10" t="str">
        <f aca="false">IF($A4911="","",UPPER(SUBSTITUTE(SUBSTITUTE(SUBSTITUTE(SUBSTITUTE($A4911," ",""),"(주)",""),"주식회사",""),"㈜","")))</f>
        <v/>
      </c>
      <c r="H4911" s="10" t="str">
        <f aca="false">IF($B4911="","",SUBSTITUTE(SUBSTITUTE(SUBSTITUTE($B4911,"-","")," ",""),".",""))</f>
        <v/>
      </c>
      <c r="I4911" s="10" t="str">
        <f aca="false">IF($D4911="","",SUBSTITUTE(SUBSTITUTE(SUBSTITUTE($D4911,"-","")," ",""),".",""))</f>
        <v/>
      </c>
      <c r="J4911" s="10" t="str">
        <f aca="false">IF($E4911="","",UPPER(SUBSTITUTE($E4911," ","")))</f>
        <v/>
      </c>
      <c r="K4911" s="10" t="str">
        <f aca="false">IF($A4911="","",$G4911&amp;"|"&amp;$J4911)</f>
        <v/>
      </c>
      <c r="L4911" s="10" t="str">
        <f aca="false">IF($A4911="","",ROW()-2)</f>
        <v/>
      </c>
      <c r="M4911" s="10" t="str">
        <f aca="false">IF($A4911="","",ROW())</f>
        <v/>
      </c>
    </row>
    <row r="4912" customFormat="false" ht="15" hidden="false" customHeight="true" outlineLevel="0" collapsed="false">
      <c r="A4912" s="8"/>
      <c r="B4912" s="8"/>
      <c r="C4912" s="8"/>
      <c r="D4912" s="8"/>
      <c r="E4912" s="8"/>
      <c r="F4912" s="8"/>
      <c r="G4912" s="10" t="str">
        <f aca="false">IF($A4912="","",UPPER(SUBSTITUTE(SUBSTITUTE(SUBSTITUTE(SUBSTITUTE($A4912," ",""),"(주)",""),"주식회사",""),"㈜","")))</f>
        <v/>
      </c>
      <c r="H4912" s="10" t="str">
        <f aca="false">IF($B4912="","",SUBSTITUTE(SUBSTITUTE(SUBSTITUTE($B4912,"-","")," ",""),".",""))</f>
        <v/>
      </c>
      <c r="I4912" s="10" t="str">
        <f aca="false">IF($D4912="","",SUBSTITUTE(SUBSTITUTE(SUBSTITUTE($D4912,"-","")," ",""),".",""))</f>
        <v/>
      </c>
      <c r="J4912" s="10" t="str">
        <f aca="false">IF($E4912="","",UPPER(SUBSTITUTE($E4912," ","")))</f>
        <v/>
      </c>
      <c r="K4912" s="10" t="str">
        <f aca="false">IF($A4912="","",$G4912&amp;"|"&amp;$J4912)</f>
        <v/>
      </c>
      <c r="L4912" s="10" t="str">
        <f aca="false">IF($A4912="","",ROW()-2)</f>
        <v/>
      </c>
      <c r="M4912" s="10" t="str">
        <f aca="false">IF($A4912="","",ROW())</f>
        <v/>
      </c>
    </row>
    <row r="4913" customFormat="false" ht="15" hidden="false" customHeight="true" outlineLevel="0" collapsed="false">
      <c r="A4913" s="8"/>
      <c r="B4913" s="8"/>
      <c r="C4913" s="8"/>
      <c r="D4913" s="8"/>
      <c r="E4913" s="8"/>
      <c r="F4913" s="8"/>
      <c r="G4913" s="10" t="str">
        <f aca="false">IF($A4913="","",UPPER(SUBSTITUTE(SUBSTITUTE(SUBSTITUTE(SUBSTITUTE($A4913," ",""),"(주)",""),"주식회사",""),"㈜","")))</f>
        <v/>
      </c>
      <c r="H4913" s="10" t="str">
        <f aca="false">IF($B4913="","",SUBSTITUTE(SUBSTITUTE(SUBSTITUTE($B4913,"-","")," ",""),".",""))</f>
        <v/>
      </c>
      <c r="I4913" s="10" t="str">
        <f aca="false">IF($D4913="","",SUBSTITUTE(SUBSTITUTE(SUBSTITUTE($D4913,"-","")," ",""),".",""))</f>
        <v/>
      </c>
      <c r="J4913" s="10" t="str">
        <f aca="false">IF($E4913="","",UPPER(SUBSTITUTE($E4913," ","")))</f>
        <v/>
      </c>
      <c r="K4913" s="10" t="str">
        <f aca="false">IF($A4913="","",$G4913&amp;"|"&amp;$J4913)</f>
        <v/>
      </c>
      <c r="L4913" s="10" t="str">
        <f aca="false">IF($A4913="","",ROW()-2)</f>
        <v/>
      </c>
      <c r="M4913" s="10" t="str">
        <f aca="false">IF($A4913="","",ROW())</f>
        <v/>
      </c>
    </row>
    <row r="4914" customFormat="false" ht="15" hidden="false" customHeight="true" outlineLevel="0" collapsed="false">
      <c r="A4914" s="8"/>
      <c r="B4914" s="8"/>
      <c r="C4914" s="8"/>
      <c r="D4914" s="8"/>
      <c r="E4914" s="8"/>
      <c r="F4914" s="8"/>
      <c r="G4914" s="10" t="str">
        <f aca="false">IF($A4914="","",UPPER(SUBSTITUTE(SUBSTITUTE(SUBSTITUTE(SUBSTITUTE($A4914," ",""),"(주)",""),"주식회사",""),"㈜","")))</f>
        <v/>
      </c>
      <c r="H4914" s="10" t="str">
        <f aca="false">IF($B4914="","",SUBSTITUTE(SUBSTITUTE(SUBSTITUTE($B4914,"-","")," ",""),".",""))</f>
        <v/>
      </c>
      <c r="I4914" s="10" t="str">
        <f aca="false">IF($D4914="","",SUBSTITUTE(SUBSTITUTE(SUBSTITUTE($D4914,"-","")," ",""),".",""))</f>
        <v/>
      </c>
      <c r="J4914" s="10" t="str">
        <f aca="false">IF($E4914="","",UPPER(SUBSTITUTE($E4914," ","")))</f>
        <v/>
      </c>
      <c r="K4914" s="10" t="str">
        <f aca="false">IF($A4914="","",$G4914&amp;"|"&amp;$J4914)</f>
        <v/>
      </c>
      <c r="L4914" s="10" t="str">
        <f aca="false">IF($A4914="","",ROW()-2)</f>
        <v/>
      </c>
      <c r="M4914" s="10" t="str">
        <f aca="false">IF($A4914="","",ROW())</f>
        <v/>
      </c>
    </row>
    <row r="4915" customFormat="false" ht="15" hidden="false" customHeight="true" outlineLevel="0" collapsed="false">
      <c r="A4915" s="8"/>
      <c r="B4915" s="8"/>
      <c r="C4915" s="8"/>
      <c r="D4915" s="8"/>
      <c r="E4915" s="8"/>
      <c r="F4915" s="8"/>
      <c r="G4915" s="10" t="str">
        <f aca="false">IF($A4915="","",UPPER(SUBSTITUTE(SUBSTITUTE(SUBSTITUTE(SUBSTITUTE($A4915," ",""),"(주)",""),"주식회사",""),"㈜","")))</f>
        <v/>
      </c>
      <c r="H4915" s="10" t="str">
        <f aca="false">IF($B4915="","",SUBSTITUTE(SUBSTITUTE(SUBSTITUTE($B4915,"-","")," ",""),".",""))</f>
        <v/>
      </c>
      <c r="I4915" s="10" t="str">
        <f aca="false">IF($D4915="","",SUBSTITUTE(SUBSTITUTE(SUBSTITUTE($D4915,"-","")," ",""),".",""))</f>
        <v/>
      </c>
      <c r="J4915" s="10" t="str">
        <f aca="false">IF($E4915="","",UPPER(SUBSTITUTE($E4915," ","")))</f>
        <v/>
      </c>
      <c r="K4915" s="10" t="str">
        <f aca="false">IF($A4915="","",$G4915&amp;"|"&amp;$J4915)</f>
        <v/>
      </c>
      <c r="L4915" s="10" t="str">
        <f aca="false">IF($A4915="","",ROW()-2)</f>
        <v/>
      </c>
      <c r="M4915" s="10" t="str">
        <f aca="false">IF($A4915="","",ROW())</f>
        <v/>
      </c>
    </row>
    <row r="4916" customFormat="false" ht="15" hidden="false" customHeight="true" outlineLevel="0" collapsed="false">
      <c r="A4916" s="8"/>
      <c r="B4916" s="8"/>
      <c r="C4916" s="8"/>
      <c r="D4916" s="8"/>
      <c r="E4916" s="8"/>
      <c r="F4916" s="8"/>
      <c r="G4916" s="10" t="str">
        <f aca="false">IF($A4916="","",UPPER(SUBSTITUTE(SUBSTITUTE(SUBSTITUTE(SUBSTITUTE($A4916," ",""),"(주)",""),"주식회사",""),"㈜","")))</f>
        <v/>
      </c>
      <c r="H4916" s="10" t="str">
        <f aca="false">IF($B4916="","",SUBSTITUTE(SUBSTITUTE(SUBSTITUTE($B4916,"-","")," ",""),".",""))</f>
        <v/>
      </c>
      <c r="I4916" s="10" t="str">
        <f aca="false">IF($D4916="","",SUBSTITUTE(SUBSTITUTE(SUBSTITUTE($D4916,"-","")," ",""),".",""))</f>
        <v/>
      </c>
      <c r="J4916" s="10" t="str">
        <f aca="false">IF($E4916="","",UPPER(SUBSTITUTE($E4916," ","")))</f>
        <v/>
      </c>
      <c r="K4916" s="10" t="str">
        <f aca="false">IF($A4916="","",$G4916&amp;"|"&amp;$J4916)</f>
        <v/>
      </c>
      <c r="L4916" s="10" t="str">
        <f aca="false">IF($A4916="","",ROW()-2)</f>
        <v/>
      </c>
      <c r="M4916" s="10" t="str">
        <f aca="false">IF($A4916="","",ROW())</f>
        <v/>
      </c>
    </row>
    <row r="4917" customFormat="false" ht="15" hidden="false" customHeight="true" outlineLevel="0" collapsed="false">
      <c r="A4917" s="8"/>
      <c r="B4917" s="8"/>
      <c r="C4917" s="8"/>
      <c r="D4917" s="8"/>
      <c r="E4917" s="8"/>
      <c r="F4917" s="8"/>
      <c r="G4917" s="10" t="str">
        <f aca="false">IF($A4917="","",UPPER(SUBSTITUTE(SUBSTITUTE(SUBSTITUTE(SUBSTITUTE($A4917," ",""),"(주)",""),"주식회사",""),"㈜","")))</f>
        <v/>
      </c>
      <c r="H4917" s="10" t="str">
        <f aca="false">IF($B4917="","",SUBSTITUTE(SUBSTITUTE(SUBSTITUTE($B4917,"-","")," ",""),".",""))</f>
        <v/>
      </c>
      <c r="I4917" s="10" t="str">
        <f aca="false">IF($D4917="","",SUBSTITUTE(SUBSTITUTE(SUBSTITUTE($D4917,"-","")," ",""),".",""))</f>
        <v/>
      </c>
      <c r="J4917" s="10" t="str">
        <f aca="false">IF($E4917="","",UPPER(SUBSTITUTE($E4917," ","")))</f>
        <v/>
      </c>
      <c r="K4917" s="10" t="str">
        <f aca="false">IF($A4917="","",$G4917&amp;"|"&amp;$J4917)</f>
        <v/>
      </c>
      <c r="L4917" s="10" t="str">
        <f aca="false">IF($A4917="","",ROW()-2)</f>
        <v/>
      </c>
      <c r="M4917" s="10" t="str">
        <f aca="false">IF($A4917="","",ROW())</f>
        <v/>
      </c>
    </row>
    <row r="4918" customFormat="false" ht="15" hidden="false" customHeight="true" outlineLevel="0" collapsed="false">
      <c r="A4918" s="8"/>
      <c r="B4918" s="8"/>
      <c r="C4918" s="8"/>
      <c r="D4918" s="8"/>
      <c r="E4918" s="8"/>
      <c r="F4918" s="8"/>
      <c r="G4918" s="10" t="str">
        <f aca="false">IF($A4918="","",UPPER(SUBSTITUTE(SUBSTITUTE(SUBSTITUTE(SUBSTITUTE($A4918," ",""),"(주)",""),"주식회사",""),"㈜","")))</f>
        <v/>
      </c>
      <c r="H4918" s="10" t="str">
        <f aca="false">IF($B4918="","",SUBSTITUTE(SUBSTITUTE(SUBSTITUTE($B4918,"-","")," ",""),".",""))</f>
        <v/>
      </c>
      <c r="I4918" s="10" t="str">
        <f aca="false">IF($D4918="","",SUBSTITUTE(SUBSTITUTE(SUBSTITUTE($D4918,"-","")," ",""),".",""))</f>
        <v/>
      </c>
      <c r="J4918" s="10" t="str">
        <f aca="false">IF($E4918="","",UPPER(SUBSTITUTE($E4918," ","")))</f>
        <v/>
      </c>
      <c r="K4918" s="10" t="str">
        <f aca="false">IF($A4918="","",$G4918&amp;"|"&amp;$J4918)</f>
        <v/>
      </c>
      <c r="L4918" s="10" t="str">
        <f aca="false">IF($A4918="","",ROW()-2)</f>
        <v/>
      </c>
      <c r="M4918" s="10" t="str">
        <f aca="false">IF($A4918="","",ROW())</f>
        <v/>
      </c>
    </row>
    <row r="4919" customFormat="false" ht="15" hidden="false" customHeight="true" outlineLevel="0" collapsed="false">
      <c r="A4919" s="8"/>
      <c r="B4919" s="8"/>
      <c r="C4919" s="8"/>
      <c r="D4919" s="8"/>
      <c r="E4919" s="8"/>
      <c r="F4919" s="8"/>
      <c r="G4919" s="10" t="str">
        <f aca="false">IF($A4919="","",UPPER(SUBSTITUTE(SUBSTITUTE(SUBSTITUTE(SUBSTITUTE($A4919," ",""),"(주)",""),"주식회사",""),"㈜","")))</f>
        <v/>
      </c>
      <c r="H4919" s="10" t="str">
        <f aca="false">IF($B4919="","",SUBSTITUTE(SUBSTITUTE(SUBSTITUTE($B4919,"-","")," ",""),".",""))</f>
        <v/>
      </c>
      <c r="I4919" s="10" t="str">
        <f aca="false">IF($D4919="","",SUBSTITUTE(SUBSTITUTE(SUBSTITUTE($D4919,"-","")," ",""),".",""))</f>
        <v/>
      </c>
      <c r="J4919" s="10" t="str">
        <f aca="false">IF($E4919="","",UPPER(SUBSTITUTE($E4919," ","")))</f>
        <v/>
      </c>
      <c r="K4919" s="10" t="str">
        <f aca="false">IF($A4919="","",$G4919&amp;"|"&amp;$J4919)</f>
        <v/>
      </c>
      <c r="L4919" s="10" t="str">
        <f aca="false">IF($A4919="","",ROW()-2)</f>
        <v/>
      </c>
      <c r="M4919" s="10" t="str">
        <f aca="false">IF($A4919="","",ROW())</f>
        <v/>
      </c>
    </row>
    <row r="4920" customFormat="false" ht="15" hidden="false" customHeight="true" outlineLevel="0" collapsed="false">
      <c r="A4920" s="8"/>
      <c r="B4920" s="8"/>
      <c r="C4920" s="8"/>
      <c r="D4920" s="8"/>
      <c r="E4920" s="8"/>
      <c r="F4920" s="8"/>
      <c r="G4920" s="10" t="str">
        <f aca="false">IF($A4920="","",UPPER(SUBSTITUTE(SUBSTITUTE(SUBSTITUTE(SUBSTITUTE($A4920," ",""),"(주)",""),"주식회사",""),"㈜","")))</f>
        <v/>
      </c>
      <c r="H4920" s="10" t="str">
        <f aca="false">IF($B4920="","",SUBSTITUTE(SUBSTITUTE(SUBSTITUTE($B4920,"-","")," ",""),".",""))</f>
        <v/>
      </c>
      <c r="I4920" s="10" t="str">
        <f aca="false">IF($D4920="","",SUBSTITUTE(SUBSTITUTE(SUBSTITUTE($D4920,"-","")," ",""),".",""))</f>
        <v/>
      </c>
      <c r="J4920" s="10" t="str">
        <f aca="false">IF($E4920="","",UPPER(SUBSTITUTE($E4920," ","")))</f>
        <v/>
      </c>
      <c r="K4920" s="10" t="str">
        <f aca="false">IF($A4920="","",$G4920&amp;"|"&amp;$J4920)</f>
        <v/>
      </c>
      <c r="L4920" s="10" t="str">
        <f aca="false">IF($A4920="","",ROW()-2)</f>
        <v/>
      </c>
      <c r="M4920" s="10" t="str">
        <f aca="false">IF($A4920="","",ROW())</f>
        <v/>
      </c>
    </row>
    <row r="4921" customFormat="false" ht="15" hidden="false" customHeight="true" outlineLevel="0" collapsed="false">
      <c r="A4921" s="8"/>
      <c r="B4921" s="8"/>
      <c r="C4921" s="8"/>
      <c r="D4921" s="8"/>
      <c r="E4921" s="8"/>
      <c r="F4921" s="8"/>
      <c r="G4921" s="10" t="str">
        <f aca="false">IF($A4921="","",UPPER(SUBSTITUTE(SUBSTITUTE(SUBSTITUTE(SUBSTITUTE($A4921," ",""),"(주)",""),"주식회사",""),"㈜","")))</f>
        <v/>
      </c>
      <c r="H4921" s="10" t="str">
        <f aca="false">IF($B4921="","",SUBSTITUTE(SUBSTITUTE(SUBSTITUTE($B4921,"-","")," ",""),".",""))</f>
        <v/>
      </c>
      <c r="I4921" s="10" t="str">
        <f aca="false">IF($D4921="","",SUBSTITUTE(SUBSTITUTE(SUBSTITUTE($D4921,"-","")," ",""),".",""))</f>
        <v/>
      </c>
      <c r="J4921" s="10" t="str">
        <f aca="false">IF($E4921="","",UPPER(SUBSTITUTE($E4921," ","")))</f>
        <v/>
      </c>
      <c r="K4921" s="10" t="str">
        <f aca="false">IF($A4921="","",$G4921&amp;"|"&amp;$J4921)</f>
        <v/>
      </c>
      <c r="L4921" s="10" t="str">
        <f aca="false">IF($A4921="","",ROW()-2)</f>
        <v/>
      </c>
      <c r="M4921" s="10" t="str">
        <f aca="false">IF($A4921="","",ROW())</f>
        <v/>
      </c>
    </row>
    <row r="4922" customFormat="false" ht="15" hidden="false" customHeight="true" outlineLevel="0" collapsed="false">
      <c r="A4922" s="8"/>
      <c r="B4922" s="8"/>
      <c r="C4922" s="8"/>
      <c r="D4922" s="8"/>
      <c r="E4922" s="8"/>
      <c r="F4922" s="8"/>
      <c r="G4922" s="10" t="str">
        <f aca="false">IF($A4922="","",UPPER(SUBSTITUTE(SUBSTITUTE(SUBSTITUTE(SUBSTITUTE($A4922," ",""),"(주)",""),"주식회사",""),"㈜","")))</f>
        <v/>
      </c>
      <c r="H4922" s="10" t="str">
        <f aca="false">IF($B4922="","",SUBSTITUTE(SUBSTITUTE(SUBSTITUTE($B4922,"-","")," ",""),".",""))</f>
        <v/>
      </c>
      <c r="I4922" s="10" t="str">
        <f aca="false">IF($D4922="","",SUBSTITUTE(SUBSTITUTE(SUBSTITUTE($D4922,"-","")," ",""),".",""))</f>
        <v/>
      </c>
      <c r="J4922" s="10" t="str">
        <f aca="false">IF($E4922="","",UPPER(SUBSTITUTE($E4922," ","")))</f>
        <v/>
      </c>
      <c r="K4922" s="10" t="str">
        <f aca="false">IF($A4922="","",$G4922&amp;"|"&amp;$J4922)</f>
        <v/>
      </c>
      <c r="L4922" s="10" t="str">
        <f aca="false">IF($A4922="","",ROW()-2)</f>
        <v/>
      </c>
      <c r="M4922" s="10" t="str">
        <f aca="false">IF($A4922="","",ROW())</f>
        <v/>
      </c>
    </row>
    <row r="4923" customFormat="false" ht="15" hidden="false" customHeight="true" outlineLevel="0" collapsed="false">
      <c r="A4923" s="8"/>
      <c r="B4923" s="8"/>
      <c r="C4923" s="8"/>
      <c r="D4923" s="8"/>
      <c r="E4923" s="8"/>
      <c r="F4923" s="8"/>
      <c r="G4923" s="10" t="str">
        <f aca="false">IF($A4923="","",UPPER(SUBSTITUTE(SUBSTITUTE(SUBSTITUTE(SUBSTITUTE($A4923," ",""),"(주)",""),"주식회사",""),"㈜","")))</f>
        <v/>
      </c>
      <c r="H4923" s="10" t="str">
        <f aca="false">IF($B4923="","",SUBSTITUTE(SUBSTITUTE(SUBSTITUTE($B4923,"-","")," ",""),".",""))</f>
        <v/>
      </c>
      <c r="I4923" s="10" t="str">
        <f aca="false">IF($D4923="","",SUBSTITUTE(SUBSTITUTE(SUBSTITUTE($D4923,"-","")," ",""),".",""))</f>
        <v/>
      </c>
      <c r="J4923" s="10" t="str">
        <f aca="false">IF($E4923="","",UPPER(SUBSTITUTE($E4923," ","")))</f>
        <v/>
      </c>
      <c r="K4923" s="10" t="str">
        <f aca="false">IF($A4923="","",$G4923&amp;"|"&amp;$J4923)</f>
        <v/>
      </c>
      <c r="L4923" s="10" t="str">
        <f aca="false">IF($A4923="","",ROW()-2)</f>
        <v/>
      </c>
      <c r="M4923" s="10" t="str">
        <f aca="false">IF($A4923="","",ROW())</f>
        <v/>
      </c>
    </row>
    <row r="4924" customFormat="false" ht="15" hidden="false" customHeight="true" outlineLevel="0" collapsed="false">
      <c r="A4924" s="8"/>
      <c r="B4924" s="8"/>
      <c r="C4924" s="8"/>
      <c r="D4924" s="8"/>
      <c r="E4924" s="8"/>
      <c r="F4924" s="8"/>
      <c r="G4924" s="10" t="str">
        <f aca="false">IF($A4924="","",UPPER(SUBSTITUTE(SUBSTITUTE(SUBSTITUTE(SUBSTITUTE($A4924," ",""),"(주)",""),"주식회사",""),"㈜","")))</f>
        <v/>
      </c>
      <c r="H4924" s="10" t="str">
        <f aca="false">IF($B4924="","",SUBSTITUTE(SUBSTITUTE(SUBSTITUTE($B4924,"-","")," ",""),".",""))</f>
        <v/>
      </c>
      <c r="I4924" s="10" t="str">
        <f aca="false">IF($D4924="","",SUBSTITUTE(SUBSTITUTE(SUBSTITUTE($D4924,"-","")," ",""),".",""))</f>
        <v/>
      </c>
      <c r="J4924" s="10" t="str">
        <f aca="false">IF($E4924="","",UPPER(SUBSTITUTE($E4924," ","")))</f>
        <v/>
      </c>
      <c r="K4924" s="10" t="str">
        <f aca="false">IF($A4924="","",$G4924&amp;"|"&amp;$J4924)</f>
        <v/>
      </c>
      <c r="L4924" s="10" t="str">
        <f aca="false">IF($A4924="","",ROW()-2)</f>
        <v/>
      </c>
      <c r="M4924" s="10" t="str">
        <f aca="false">IF($A4924="","",ROW())</f>
        <v/>
      </c>
    </row>
    <row r="4925" customFormat="false" ht="15" hidden="false" customHeight="true" outlineLevel="0" collapsed="false">
      <c r="A4925" s="8"/>
      <c r="B4925" s="8"/>
      <c r="C4925" s="8"/>
      <c r="D4925" s="8"/>
      <c r="E4925" s="8"/>
      <c r="F4925" s="8"/>
      <c r="G4925" s="10" t="str">
        <f aca="false">IF($A4925="","",UPPER(SUBSTITUTE(SUBSTITUTE(SUBSTITUTE(SUBSTITUTE($A4925," ",""),"(주)",""),"주식회사",""),"㈜","")))</f>
        <v/>
      </c>
      <c r="H4925" s="10" t="str">
        <f aca="false">IF($B4925="","",SUBSTITUTE(SUBSTITUTE(SUBSTITUTE($B4925,"-","")," ",""),".",""))</f>
        <v/>
      </c>
      <c r="I4925" s="10" t="str">
        <f aca="false">IF($D4925="","",SUBSTITUTE(SUBSTITUTE(SUBSTITUTE($D4925,"-","")," ",""),".",""))</f>
        <v/>
      </c>
      <c r="J4925" s="10" t="str">
        <f aca="false">IF($E4925="","",UPPER(SUBSTITUTE($E4925," ","")))</f>
        <v/>
      </c>
      <c r="K4925" s="10" t="str">
        <f aca="false">IF($A4925="","",$G4925&amp;"|"&amp;$J4925)</f>
        <v/>
      </c>
      <c r="L4925" s="10" t="str">
        <f aca="false">IF($A4925="","",ROW()-2)</f>
        <v/>
      </c>
      <c r="M4925" s="10" t="str">
        <f aca="false">IF($A4925="","",ROW())</f>
        <v/>
      </c>
    </row>
    <row r="4926" customFormat="false" ht="15" hidden="false" customHeight="true" outlineLevel="0" collapsed="false">
      <c r="A4926" s="8"/>
      <c r="B4926" s="8"/>
      <c r="C4926" s="8"/>
      <c r="D4926" s="8"/>
      <c r="E4926" s="8"/>
      <c r="F4926" s="8"/>
      <c r="G4926" s="10" t="str">
        <f aca="false">IF($A4926="","",UPPER(SUBSTITUTE(SUBSTITUTE(SUBSTITUTE(SUBSTITUTE($A4926," ",""),"(주)",""),"주식회사",""),"㈜","")))</f>
        <v/>
      </c>
      <c r="H4926" s="10" t="str">
        <f aca="false">IF($B4926="","",SUBSTITUTE(SUBSTITUTE(SUBSTITUTE($B4926,"-","")," ",""),".",""))</f>
        <v/>
      </c>
      <c r="I4926" s="10" t="str">
        <f aca="false">IF($D4926="","",SUBSTITUTE(SUBSTITUTE(SUBSTITUTE($D4926,"-","")," ",""),".",""))</f>
        <v/>
      </c>
      <c r="J4926" s="10" t="str">
        <f aca="false">IF($E4926="","",UPPER(SUBSTITUTE($E4926," ","")))</f>
        <v/>
      </c>
      <c r="K4926" s="10" t="str">
        <f aca="false">IF($A4926="","",$G4926&amp;"|"&amp;$J4926)</f>
        <v/>
      </c>
      <c r="L4926" s="10" t="str">
        <f aca="false">IF($A4926="","",ROW()-2)</f>
        <v/>
      </c>
      <c r="M4926" s="10" t="str">
        <f aca="false">IF($A4926="","",ROW())</f>
        <v/>
      </c>
    </row>
    <row r="4927" customFormat="false" ht="15" hidden="false" customHeight="true" outlineLevel="0" collapsed="false">
      <c r="A4927" s="8"/>
      <c r="B4927" s="8"/>
      <c r="C4927" s="8"/>
      <c r="D4927" s="8"/>
      <c r="E4927" s="8"/>
      <c r="F4927" s="8"/>
      <c r="G4927" s="10" t="str">
        <f aca="false">IF($A4927="","",UPPER(SUBSTITUTE(SUBSTITUTE(SUBSTITUTE(SUBSTITUTE($A4927," ",""),"(주)",""),"주식회사",""),"㈜","")))</f>
        <v/>
      </c>
      <c r="H4927" s="10" t="str">
        <f aca="false">IF($B4927="","",SUBSTITUTE(SUBSTITUTE(SUBSTITUTE($B4927,"-","")," ",""),".",""))</f>
        <v/>
      </c>
      <c r="I4927" s="10" t="str">
        <f aca="false">IF($D4927="","",SUBSTITUTE(SUBSTITUTE(SUBSTITUTE($D4927,"-","")," ",""),".",""))</f>
        <v/>
      </c>
      <c r="J4927" s="10" t="str">
        <f aca="false">IF($E4927="","",UPPER(SUBSTITUTE($E4927," ","")))</f>
        <v/>
      </c>
      <c r="K4927" s="10" t="str">
        <f aca="false">IF($A4927="","",$G4927&amp;"|"&amp;$J4927)</f>
        <v/>
      </c>
      <c r="L4927" s="10" t="str">
        <f aca="false">IF($A4927="","",ROW()-2)</f>
        <v/>
      </c>
      <c r="M4927" s="10" t="str">
        <f aca="false">IF($A4927="","",ROW())</f>
        <v/>
      </c>
    </row>
    <row r="4928" customFormat="false" ht="15" hidden="false" customHeight="true" outlineLevel="0" collapsed="false">
      <c r="A4928" s="8"/>
      <c r="B4928" s="8"/>
      <c r="C4928" s="8"/>
      <c r="D4928" s="8"/>
      <c r="E4928" s="8"/>
      <c r="F4928" s="8"/>
      <c r="G4928" s="10" t="str">
        <f aca="false">IF($A4928="","",UPPER(SUBSTITUTE(SUBSTITUTE(SUBSTITUTE(SUBSTITUTE($A4928," ",""),"(주)",""),"주식회사",""),"㈜","")))</f>
        <v/>
      </c>
      <c r="H4928" s="10" t="str">
        <f aca="false">IF($B4928="","",SUBSTITUTE(SUBSTITUTE(SUBSTITUTE($B4928,"-","")," ",""),".",""))</f>
        <v/>
      </c>
      <c r="I4928" s="10" t="str">
        <f aca="false">IF($D4928="","",SUBSTITUTE(SUBSTITUTE(SUBSTITUTE($D4928,"-","")," ",""),".",""))</f>
        <v/>
      </c>
      <c r="J4928" s="10" t="str">
        <f aca="false">IF($E4928="","",UPPER(SUBSTITUTE($E4928," ","")))</f>
        <v/>
      </c>
      <c r="K4928" s="10" t="str">
        <f aca="false">IF($A4928="","",$G4928&amp;"|"&amp;$J4928)</f>
        <v/>
      </c>
      <c r="L4928" s="10" t="str">
        <f aca="false">IF($A4928="","",ROW()-2)</f>
        <v/>
      </c>
      <c r="M4928" s="10" t="str">
        <f aca="false">IF($A4928="","",ROW())</f>
        <v/>
      </c>
    </row>
    <row r="4929" customFormat="false" ht="15" hidden="false" customHeight="true" outlineLevel="0" collapsed="false">
      <c r="A4929" s="8"/>
      <c r="B4929" s="8"/>
      <c r="C4929" s="8"/>
      <c r="D4929" s="8"/>
      <c r="E4929" s="8"/>
      <c r="F4929" s="8"/>
      <c r="G4929" s="10" t="str">
        <f aca="false">IF($A4929="","",UPPER(SUBSTITUTE(SUBSTITUTE(SUBSTITUTE(SUBSTITUTE($A4929," ",""),"(주)",""),"주식회사",""),"㈜","")))</f>
        <v/>
      </c>
      <c r="H4929" s="10" t="str">
        <f aca="false">IF($B4929="","",SUBSTITUTE(SUBSTITUTE(SUBSTITUTE($B4929,"-","")," ",""),".",""))</f>
        <v/>
      </c>
      <c r="I4929" s="10" t="str">
        <f aca="false">IF($D4929="","",SUBSTITUTE(SUBSTITUTE(SUBSTITUTE($D4929,"-","")," ",""),".",""))</f>
        <v/>
      </c>
      <c r="J4929" s="10" t="str">
        <f aca="false">IF($E4929="","",UPPER(SUBSTITUTE($E4929," ","")))</f>
        <v/>
      </c>
      <c r="K4929" s="10" t="str">
        <f aca="false">IF($A4929="","",$G4929&amp;"|"&amp;$J4929)</f>
        <v/>
      </c>
      <c r="L4929" s="10" t="str">
        <f aca="false">IF($A4929="","",ROW()-2)</f>
        <v/>
      </c>
      <c r="M4929" s="10" t="str">
        <f aca="false">IF($A4929="","",ROW())</f>
        <v/>
      </c>
    </row>
    <row r="4930" customFormat="false" ht="15" hidden="false" customHeight="true" outlineLevel="0" collapsed="false">
      <c r="A4930" s="8"/>
      <c r="B4930" s="8"/>
      <c r="C4930" s="8"/>
      <c r="D4930" s="8"/>
      <c r="E4930" s="8"/>
      <c r="F4930" s="8"/>
      <c r="G4930" s="10" t="str">
        <f aca="false">IF($A4930="","",UPPER(SUBSTITUTE(SUBSTITUTE(SUBSTITUTE(SUBSTITUTE($A4930," ",""),"(주)",""),"주식회사",""),"㈜","")))</f>
        <v/>
      </c>
      <c r="H4930" s="10" t="str">
        <f aca="false">IF($B4930="","",SUBSTITUTE(SUBSTITUTE(SUBSTITUTE($B4930,"-","")," ",""),".",""))</f>
        <v/>
      </c>
      <c r="I4930" s="10" t="str">
        <f aca="false">IF($D4930="","",SUBSTITUTE(SUBSTITUTE(SUBSTITUTE($D4930,"-","")," ",""),".",""))</f>
        <v/>
      </c>
      <c r="J4930" s="10" t="str">
        <f aca="false">IF($E4930="","",UPPER(SUBSTITUTE($E4930," ","")))</f>
        <v/>
      </c>
      <c r="K4930" s="10" t="str">
        <f aca="false">IF($A4930="","",$G4930&amp;"|"&amp;$J4930)</f>
        <v/>
      </c>
      <c r="L4930" s="10" t="str">
        <f aca="false">IF($A4930="","",ROW()-2)</f>
        <v/>
      </c>
      <c r="M4930" s="10" t="str">
        <f aca="false">IF($A4930="","",ROW())</f>
        <v/>
      </c>
    </row>
    <row r="4931" customFormat="false" ht="15" hidden="false" customHeight="true" outlineLevel="0" collapsed="false">
      <c r="A4931" s="8"/>
      <c r="B4931" s="8"/>
      <c r="C4931" s="8"/>
      <c r="D4931" s="8"/>
      <c r="E4931" s="8"/>
      <c r="F4931" s="8"/>
      <c r="G4931" s="10" t="str">
        <f aca="false">IF($A4931="","",UPPER(SUBSTITUTE(SUBSTITUTE(SUBSTITUTE(SUBSTITUTE($A4931," ",""),"(주)",""),"주식회사",""),"㈜","")))</f>
        <v/>
      </c>
      <c r="H4931" s="10" t="str">
        <f aca="false">IF($B4931="","",SUBSTITUTE(SUBSTITUTE(SUBSTITUTE($B4931,"-","")," ",""),".",""))</f>
        <v/>
      </c>
      <c r="I4931" s="10" t="str">
        <f aca="false">IF($D4931="","",SUBSTITUTE(SUBSTITUTE(SUBSTITUTE($D4931,"-","")," ",""),".",""))</f>
        <v/>
      </c>
      <c r="J4931" s="10" t="str">
        <f aca="false">IF($E4931="","",UPPER(SUBSTITUTE($E4931," ","")))</f>
        <v/>
      </c>
      <c r="K4931" s="10" t="str">
        <f aca="false">IF($A4931="","",$G4931&amp;"|"&amp;$J4931)</f>
        <v/>
      </c>
      <c r="L4931" s="10" t="str">
        <f aca="false">IF($A4931="","",ROW()-2)</f>
        <v/>
      </c>
      <c r="M4931" s="10" t="str">
        <f aca="false">IF($A4931="","",ROW())</f>
        <v/>
      </c>
    </row>
    <row r="4932" customFormat="false" ht="15" hidden="false" customHeight="true" outlineLevel="0" collapsed="false">
      <c r="A4932" s="8"/>
      <c r="B4932" s="8"/>
      <c r="C4932" s="8"/>
      <c r="D4932" s="8"/>
      <c r="E4932" s="8"/>
      <c r="F4932" s="8"/>
      <c r="G4932" s="10" t="str">
        <f aca="false">IF($A4932="","",UPPER(SUBSTITUTE(SUBSTITUTE(SUBSTITUTE(SUBSTITUTE($A4932," ",""),"(주)",""),"주식회사",""),"㈜","")))</f>
        <v/>
      </c>
      <c r="H4932" s="10" t="str">
        <f aca="false">IF($B4932="","",SUBSTITUTE(SUBSTITUTE(SUBSTITUTE($B4932,"-","")," ",""),".",""))</f>
        <v/>
      </c>
      <c r="I4932" s="10" t="str">
        <f aca="false">IF($D4932="","",SUBSTITUTE(SUBSTITUTE(SUBSTITUTE($D4932,"-","")," ",""),".",""))</f>
        <v/>
      </c>
      <c r="J4932" s="10" t="str">
        <f aca="false">IF($E4932="","",UPPER(SUBSTITUTE($E4932," ","")))</f>
        <v/>
      </c>
      <c r="K4932" s="10" t="str">
        <f aca="false">IF($A4932="","",$G4932&amp;"|"&amp;$J4932)</f>
        <v/>
      </c>
      <c r="L4932" s="10" t="str">
        <f aca="false">IF($A4932="","",ROW()-2)</f>
        <v/>
      </c>
      <c r="M4932" s="10" t="str">
        <f aca="false">IF($A4932="","",ROW())</f>
        <v/>
      </c>
    </row>
    <row r="4933" customFormat="false" ht="15" hidden="false" customHeight="true" outlineLevel="0" collapsed="false">
      <c r="A4933" s="8"/>
      <c r="B4933" s="8"/>
      <c r="C4933" s="8"/>
      <c r="D4933" s="8"/>
      <c r="E4933" s="8"/>
      <c r="F4933" s="8"/>
      <c r="G4933" s="10" t="str">
        <f aca="false">IF($A4933="","",UPPER(SUBSTITUTE(SUBSTITUTE(SUBSTITUTE(SUBSTITUTE($A4933," ",""),"(주)",""),"주식회사",""),"㈜","")))</f>
        <v/>
      </c>
      <c r="H4933" s="10" t="str">
        <f aca="false">IF($B4933="","",SUBSTITUTE(SUBSTITUTE(SUBSTITUTE($B4933,"-","")," ",""),".",""))</f>
        <v/>
      </c>
      <c r="I4933" s="10" t="str">
        <f aca="false">IF($D4933="","",SUBSTITUTE(SUBSTITUTE(SUBSTITUTE($D4933,"-","")," ",""),".",""))</f>
        <v/>
      </c>
      <c r="J4933" s="10" t="str">
        <f aca="false">IF($E4933="","",UPPER(SUBSTITUTE($E4933," ","")))</f>
        <v/>
      </c>
      <c r="K4933" s="10" t="str">
        <f aca="false">IF($A4933="","",$G4933&amp;"|"&amp;$J4933)</f>
        <v/>
      </c>
      <c r="L4933" s="10" t="str">
        <f aca="false">IF($A4933="","",ROW()-2)</f>
        <v/>
      </c>
      <c r="M4933" s="10" t="str">
        <f aca="false">IF($A4933="","",ROW())</f>
        <v/>
      </c>
    </row>
    <row r="4934" customFormat="false" ht="15" hidden="false" customHeight="true" outlineLevel="0" collapsed="false">
      <c r="A4934" s="8"/>
      <c r="B4934" s="8"/>
      <c r="C4934" s="8"/>
      <c r="D4934" s="8"/>
      <c r="E4934" s="8"/>
      <c r="F4934" s="8"/>
      <c r="G4934" s="10" t="str">
        <f aca="false">IF($A4934="","",UPPER(SUBSTITUTE(SUBSTITUTE(SUBSTITUTE(SUBSTITUTE($A4934," ",""),"(주)",""),"주식회사",""),"㈜","")))</f>
        <v/>
      </c>
      <c r="H4934" s="10" t="str">
        <f aca="false">IF($B4934="","",SUBSTITUTE(SUBSTITUTE(SUBSTITUTE($B4934,"-","")," ",""),".",""))</f>
        <v/>
      </c>
      <c r="I4934" s="10" t="str">
        <f aca="false">IF($D4934="","",SUBSTITUTE(SUBSTITUTE(SUBSTITUTE($D4934,"-","")," ",""),".",""))</f>
        <v/>
      </c>
      <c r="J4934" s="10" t="str">
        <f aca="false">IF($E4934="","",UPPER(SUBSTITUTE($E4934," ","")))</f>
        <v/>
      </c>
      <c r="K4934" s="10" t="str">
        <f aca="false">IF($A4934="","",$G4934&amp;"|"&amp;$J4934)</f>
        <v/>
      </c>
      <c r="L4934" s="10" t="str">
        <f aca="false">IF($A4934="","",ROW()-2)</f>
        <v/>
      </c>
      <c r="M4934" s="10" t="str">
        <f aca="false">IF($A4934="","",ROW())</f>
        <v/>
      </c>
    </row>
    <row r="4935" customFormat="false" ht="15" hidden="false" customHeight="true" outlineLevel="0" collapsed="false">
      <c r="A4935" s="8"/>
      <c r="B4935" s="8"/>
      <c r="C4935" s="8"/>
      <c r="D4935" s="8"/>
      <c r="E4935" s="8"/>
      <c r="F4935" s="8"/>
      <c r="G4935" s="10" t="str">
        <f aca="false">IF($A4935="","",UPPER(SUBSTITUTE(SUBSTITUTE(SUBSTITUTE(SUBSTITUTE($A4935," ",""),"(주)",""),"주식회사",""),"㈜","")))</f>
        <v/>
      </c>
      <c r="H4935" s="10" t="str">
        <f aca="false">IF($B4935="","",SUBSTITUTE(SUBSTITUTE(SUBSTITUTE($B4935,"-","")," ",""),".",""))</f>
        <v/>
      </c>
      <c r="I4935" s="10" t="str">
        <f aca="false">IF($D4935="","",SUBSTITUTE(SUBSTITUTE(SUBSTITUTE($D4935,"-","")," ",""),".",""))</f>
        <v/>
      </c>
      <c r="J4935" s="10" t="str">
        <f aca="false">IF($E4935="","",UPPER(SUBSTITUTE($E4935," ","")))</f>
        <v/>
      </c>
      <c r="K4935" s="10" t="str">
        <f aca="false">IF($A4935="","",$G4935&amp;"|"&amp;$J4935)</f>
        <v/>
      </c>
      <c r="L4935" s="10" t="str">
        <f aca="false">IF($A4935="","",ROW()-2)</f>
        <v/>
      </c>
      <c r="M4935" s="10" t="str">
        <f aca="false">IF($A4935="","",ROW())</f>
        <v/>
      </c>
    </row>
    <row r="4936" customFormat="false" ht="15" hidden="false" customHeight="true" outlineLevel="0" collapsed="false">
      <c r="A4936" s="8"/>
      <c r="B4936" s="8"/>
      <c r="C4936" s="8"/>
      <c r="D4936" s="8"/>
      <c r="E4936" s="8"/>
      <c r="F4936" s="8"/>
      <c r="G4936" s="10" t="str">
        <f aca="false">IF($A4936="","",UPPER(SUBSTITUTE(SUBSTITUTE(SUBSTITUTE(SUBSTITUTE($A4936," ",""),"(주)",""),"주식회사",""),"㈜","")))</f>
        <v/>
      </c>
      <c r="H4936" s="10" t="str">
        <f aca="false">IF($B4936="","",SUBSTITUTE(SUBSTITUTE(SUBSTITUTE($B4936,"-","")," ",""),".",""))</f>
        <v/>
      </c>
      <c r="I4936" s="10" t="str">
        <f aca="false">IF($D4936="","",SUBSTITUTE(SUBSTITUTE(SUBSTITUTE($D4936,"-","")," ",""),".",""))</f>
        <v/>
      </c>
      <c r="J4936" s="10" t="str">
        <f aca="false">IF($E4936="","",UPPER(SUBSTITUTE($E4936," ","")))</f>
        <v/>
      </c>
      <c r="K4936" s="10" t="str">
        <f aca="false">IF($A4936="","",$G4936&amp;"|"&amp;$J4936)</f>
        <v/>
      </c>
      <c r="L4936" s="10" t="str">
        <f aca="false">IF($A4936="","",ROW()-2)</f>
        <v/>
      </c>
      <c r="M4936" s="10" t="str">
        <f aca="false">IF($A4936="","",ROW())</f>
        <v/>
      </c>
    </row>
    <row r="4937" customFormat="false" ht="15" hidden="false" customHeight="true" outlineLevel="0" collapsed="false">
      <c r="A4937" s="8"/>
      <c r="B4937" s="8"/>
      <c r="C4937" s="8"/>
      <c r="D4937" s="8"/>
      <c r="E4937" s="8"/>
      <c r="F4937" s="8"/>
      <c r="G4937" s="10" t="str">
        <f aca="false">IF($A4937="","",UPPER(SUBSTITUTE(SUBSTITUTE(SUBSTITUTE(SUBSTITUTE($A4937," ",""),"(주)",""),"주식회사",""),"㈜","")))</f>
        <v/>
      </c>
      <c r="H4937" s="10" t="str">
        <f aca="false">IF($B4937="","",SUBSTITUTE(SUBSTITUTE(SUBSTITUTE($B4937,"-","")," ",""),".",""))</f>
        <v/>
      </c>
      <c r="I4937" s="10" t="str">
        <f aca="false">IF($D4937="","",SUBSTITUTE(SUBSTITUTE(SUBSTITUTE($D4937,"-","")," ",""),".",""))</f>
        <v/>
      </c>
      <c r="J4937" s="10" t="str">
        <f aca="false">IF($E4937="","",UPPER(SUBSTITUTE($E4937," ","")))</f>
        <v/>
      </c>
      <c r="K4937" s="10" t="str">
        <f aca="false">IF($A4937="","",$G4937&amp;"|"&amp;$J4937)</f>
        <v/>
      </c>
      <c r="L4937" s="10" t="str">
        <f aca="false">IF($A4937="","",ROW()-2)</f>
        <v/>
      </c>
      <c r="M4937" s="10" t="str">
        <f aca="false">IF($A4937="","",ROW())</f>
        <v/>
      </c>
    </row>
    <row r="4938" customFormat="false" ht="15" hidden="false" customHeight="true" outlineLevel="0" collapsed="false">
      <c r="A4938" s="8"/>
      <c r="B4938" s="8"/>
      <c r="C4938" s="8"/>
      <c r="D4938" s="8"/>
      <c r="E4938" s="8"/>
      <c r="F4938" s="8"/>
      <c r="G4938" s="10" t="str">
        <f aca="false">IF($A4938="","",UPPER(SUBSTITUTE(SUBSTITUTE(SUBSTITUTE(SUBSTITUTE($A4938," ",""),"(주)",""),"주식회사",""),"㈜","")))</f>
        <v/>
      </c>
      <c r="H4938" s="10" t="str">
        <f aca="false">IF($B4938="","",SUBSTITUTE(SUBSTITUTE(SUBSTITUTE($B4938,"-","")," ",""),".",""))</f>
        <v/>
      </c>
      <c r="I4938" s="10" t="str">
        <f aca="false">IF($D4938="","",SUBSTITUTE(SUBSTITUTE(SUBSTITUTE($D4938,"-","")," ",""),".",""))</f>
        <v/>
      </c>
      <c r="J4938" s="10" t="str">
        <f aca="false">IF($E4938="","",UPPER(SUBSTITUTE($E4938," ","")))</f>
        <v/>
      </c>
      <c r="K4938" s="10" t="str">
        <f aca="false">IF($A4938="","",$G4938&amp;"|"&amp;$J4938)</f>
        <v/>
      </c>
      <c r="L4938" s="10" t="str">
        <f aca="false">IF($A4938="","",ROW()-2)</f>
        <v/>
      </c>
      <c r="M4938" s="10" t="str">
        <f aca="false">IF($A4938="","",ROW())</f>
        <v/>
      </c>
    </row>
    <row r="4939" customFormat="false" ht="15" hidden="false" customHeight="true" outlineLevel="0" collapsed="false">
      <c r="A4939" s="8"/>
      <c r="B4939" s="8"/>
      <c r="C4939" s="8"/>
      <c r="D4939" s="8"/>
      <c r="E4939" s="8"/>
      <c r="F4939" s="8"/>
      <c r="G4939" s="10" t="str">
        <f aca="false">IF($A4939="","",UPPER(SUBSTITUTE(SUBSTITUTE(SUBSTITUTE(SUBSTITUTE($A4939," ",""),"(주)",""),"주식회사",""),"㈜","")))</f>
        <v/>
      </c>
      <c r="H4939" s="10" t="str">
        <f aca="false">IF($B4939="","",SUBSTITUTE(SUBSTITUTE(SUBSTITUTE($B4939,"-","")," ",""),".",""))</f>
        <v/>
      </c>
      <c r="I4939" s="10" t="str">
        <f aca="false">IF($D4939="","",SUBSTITUTE(SUBSTITUTE(SUBSTITUTE($D4939,"-","")," ",""),".",""))</f>
        <v/>
      </c>
      <c r="J4939" s="10" t="str">
        <f aca="false">IF($E4939="","",UPPER(SUBSTITUTE($E4939," ","")))</f>
        <v/>
      </c>
      <c r="K4939" s="10" t="str">
        <f aca="false">IF($A4939="","",$G4939&amp;"|"&amp;$J4939)</f>
        <v/>
      </c>
      <c r="L4939" s="10" t="str">
        <f aca="false">IF($A4939="","",ROW()-2)</f>
        <v/>
      </c>
      <c r="M4939" s="10" t="str">
        <f aca="false">IF($A4939="","",ROW())</f>
        <v/>
      </c>
    </row>
    <row r="4940" customFormat="false" ht="15" hidden="false" customHeight="true" outlineLevel="0" collapsed="false">
      <c r="A4940" s="8"/>
      <c r="B4940" s="8"/>
      <c r="C4940" s="8"/>
      <c r="D4940" s="8"/>
      <c r="E4940" s="8"/>
      <c r="F4940" s="8"/>
      <c r="G4940" s="10" t="str">
        <f aca="false">IF($A4940="","",UPPER(SUBSTITUTE(SUBSTITUTE(SUBSTITUTE(SUBSTITUTE($A4940," ",""),"(주)",""),"주식회사",""),"㈜","")))</f>
        <v/>
      </c>
      <c r="H4940" s="10" t="str">
        <f aca="false">IF($B4940="","",SUBSTITUTE(SUBSTITUTE(SUBSTITUTE($B4940,"-","")," ",""),".",""))</f>
        <v/>
      </c>
      <c r="I4940" s="10" t="str">
        <f aca="false">IF($D4940="","",SUBSTITUTE(SUBSTITUTE(SUBSTITUTE($D4940,"-","")," ",""),".",""))</f>
        <v/>
      </c>
      <c r="J4940" s="10" t="str">
        <f aca="false">IF($E4940="","",UPPER(SUBSTITUTE($E4940," ","")))</f>
        <v/>
      </c>
      <c r="K4940" s="10" t="str">
        <f aca="false">IF($A4940="","",$G4940&amp;"|"&amp;$J4940)</f>
        <v/>
      </c>
      <c r="L4940" s="10" t="str">
        <f aca="false">IF($A4940="","",ROW()-2)</f>
        <v/>
      </c>
      <c r="M4940" s="10" t="str">
        <f aca="false">IF($A4940="","",ROW())</f>
        <v/>
      </c>
    </row>
    <row r="4941" customFormat="false" ht="15" hidden="false" customHeight="true" outlineLevel="0" collapsed="false">
      <c r="A4941" s="8"/>
      <c r="B4941" s="8"/>
      <c r="C4941" s="8"/>
      <c r="D4941" s="8"/>
      <c r="E4941" s="8"/>
      <c r="F4941" s="8"/>
      <c r="G4941" s="10" t="str">
        <f aca="false">IF($A4941="","",UPPER(SUBSTITUTE(SUBSTITUTE(SUBSTITUTE(SUBSTITUTE($A4941," ",""),"(주)",""),"주식회사",""),"㈜","")))</f>
        <v/>
      </c>
      <c r="H4941" s="10" t="str">
        <f aca="false">IF($B4941="","",SUBSTITUTE(SUBSTITUTE(SUBSTITUTE($B4941,"-","")," ",""),".",""))</f>
        <v/>
      </c>
      <c r="I4941" s="10" t="str">
        <f aca="false">IF($D4941="","",SUBSTITUTE(SUBSTITUTE(SUBSTITUTE($D4941,"-","")," ",""),".",""))</f>
        <v/>
      </c>
      <c r="J4941" s="10" t="str">
        <f aca="false">IF($E4941="","",UPPER(SUBSTITUTE($E4941," ","")))</f>
        <v/>
      </c>
      <c r="K4941" s="10" t="str">
        <f aca="false">IF($A4941="","",$G4941&amp;"|"&amp;$J4941)</f>
        <v/>
      </c>
      <c r="L4941" s="10" t="str">
        <f aca="false">IF($A4941="","",ROW()-2)</f>
        <v/>
      </c>
      <c r="M4941" s="10" t="str">
        <f aca="false">IF($A4941="","",ROW())</f>
        <v/>
      </c>
    </row>
    <row r="4942" customFormat="false" ht="15" hidden="false" customHeight="true" outlineLevel="0" collapsed="false">
      <c r="A4942" s="8"/>
      <c r="B4942" s="8"/>
      <c r="C4942" s="8"/>
      <c r="D4942" s="8"/>
      <c r="E4942" s="8"/>
      <c r="F4942" s="8"/>
      <c r="G4942" s="10" t="str">
        <f aca="false">IF($A4942="","",UPPER(SUBSTITUTE(SUBSTITUTE(SUBSTITUTE(SUBSTITUTE($A4942," ",""),"(주)",""),"주식회사",""),"㈜","")))</f>
        <v/>
      </c>
      <c r="H4942" s="10" t="str">
        <f aca="false">IF($B4942="","",SUBSTITUTE(SUBSTITUTE(SUBSTITUTE($B4942,"-","")," ",""),".",""))</f>
        <v/>
      </c>
      <c r="I4942" s="10" t="str">
        <f aca="false">IF($D4942="","",SUBSTITUTE(SUBSTITUTE(SUBSTITUTE($D4942,"-","")," ",""),".",""))</f>
        <v/>
      </c>
      <c r="J4942" s="10" t="str">
        <f aca="false">IF($E4942="","",UPPER(SUBSTITUTE($E4942," ","")))</f>
        <v/>
      </c>
      <c r="K4942" s="10" t="str">
        <f aca="false">IF($A4942="","",$G4942&amp;"|"&amp;$J4942)</f>
        <v/>
      </c>
      <c r="L4942" s="10" t="str">
        <f aca="false">IF($A4942="","",ROW()-2)</f>
        <v/>
      </c>
      <c r="M4942" s="10" t="str">
        <f aca="false">IF($A4942="","",ROW())</f>
        <v/>
      </c>
    </row>
    <row r="4943" customFormat="false" ht="15" hidden="false" customHeight="true" outlineLevel="0" collapsed="false">
      <c r="A4943" s="8"/>
      <c r="B4943" s="8"/>
      <c r="C4943" s="8"/>
      <c r="D4943" s="8"/>
      <c r="E4943" s="8"/>
      <c r="F4943" s="8"/>
      <c r="G4943" s="10" t="str">
        <f aca="false">IF($A4943="","",UPPER(SUBSTITUTE(SUBSTITUTE(SUBSTITUTE(SUBSTITUTE($A4943," ",""),"(주)",""),"주식회사",""),"㈜","")))</f>
        <v/>
      </c>
      <c r="H4943" s="10" t="str">
        <f aca="false">IF($B4943="","",SUBSTITUTE(SUBSTITUTE(SUBSTITUTE($B4943,"-","")," ",""),".",""))</f>
        <v/>
      </c>
      <c r="I4943" s="10" t="str">
        <f aca="false">IF($D4943="","",SUBSTITUTE(SUBSTITUTE(SUBSTITUTE($D4943,"-","")," ",""),".",""))</f>
        <v/>
      </c>
      <c r="J4943" s="10" t="str">
        <f aca="false">IF($E4943="","",UPPER(SUBSTITUTE($E4943," ","")))</f>
        <v/>
      </c>
      <c r="K4943" s="10" t="str">
        <f aca="false">IF($A4943="","",$G4943&amp;"|"&amp;$J4943)</f>
        <v/>
      </c>
      <c r="L4943" s="10" t="str">
        <f aca="false">IF($A4943="","",ROW()-2)</f>
        <v/>
      </c>
      <c r="M4943" s="10" t="str">
        <f aca="false">IF($A4943="","",ROW())</f>
        <v/>
      </c>
    </row>
    <row r="4944" customFormat="false" ht="15" hidden="false" customHeight="true" outlineLevel="0" collapsed="false">
      <c r="A4944" s="8"/>
      <c r="B4944" s="8"/>
      <c r="C4944" s="8"/>
      <c r="D4944" s="8"/>
      <c r="E4944" s="8"/>
      <c r="F4944" s="8"/>
      <c r="G4944" s="10" t="str">
        <f aca="false">IF($A4944="","",UPPER(SUBSTITUTE(SUBSTITUTE(SUBSTITUTE(SUBSTITUTE($A4944," ",""),"(주)",""),"주식회사",""),"㈜","")))</f>
        <v/>
      </c>
      <c r="H4944" s="10" t="str">
        <f aca="false">IF($B4944="","",SUBSTITUTE(SUBSTITUTE(SUBSTITUTE($B4944,"-","")," ",""),".",""))</f>
        <v/>
      </c>
      <c r="I4944" s="10" t="str">
        <f aca="false">IF($D4944="","",SUBSTITUTE(SUBSTITUTE(SUBSTITUTE($D4944,"-","")," ",""),".",""))</f>
        <v/>
      </c>
      <c r="J4944" s="10" t="str">
        <f aca="false">IF($E4944="","",UPPER(SUBSTITUTE($E4944," ","")))</f>
        <v/>
      </c>
      <c r="K4944" s="10" t="str">
        <f aca="false">IF($A4944="","",$G4944&amp;"|"&amp;$J4944)</f>
        <v/>
      </c>
      <c r="L4944" s="10" t="str">
        <f aca="false">IF($A4944="","",ROW()-2)</f>
        <v/>
      </c>
      <c r="M4944" s="10" t="str">
        <f aca="false">IF($A4944="","",ROW())</f>
        <v/>
      </c>
    </row>
    <row r="4945" customFormat="false" ht="15" hidden="false" customHeight="true" outlineLevel="0" collapsed="false">
      <c r="A4945" s="8"/>
      <c r="B4945" s="8"/>
      <c r="C4945" s="8"/>
      <c r="D4945" s="8"/>
      <c r="E4945" s="8"/>
      <c r="F4945" s="8"/>
      <c r="G4945" s="10" t="str">
        <f aca="false">IF($A4945="","",UPPER(SUBSTITUTE(SUBSTITUTE(SUBSTITUTE(SUBSTITUTE($A4945," ",""),"(주)",""),"주식회사",""),"㈜","")))</f>
        <v/>
      </c>
      <c r="H4945" s="10" t="str">
        <f aca="false">IF($B4945="","",SUBSTITUTE(SUBSTITUTE(SUBSTITUTE($B4945,"-","")," ",""),".",""))</f>
        <v/>
      </c>
      <c r="I4945" s="10" t="str">
        <f aca="false">IF($D4945="","",SUBSTITUTE(SUBSTITUTE(SUBSTITUTE($D4945,"-","")," ",""),".",""))</f>
        <v/>
      </c>
      <c r="J4945" s="10" t="str">
        <f aca="false">IF($E4945="","",UPPER(SUBSTITUTE($E4945," ","")))</f>
        <v/>
      </c>
      <c r="K4945" s="10" t="str">
        <f aca="false">IF($A4945="","",$G4945&amp;"|"&amp;$J4945)</f>
        <v/>
      </c>
      <c r="L4945" s="10" t="str">
        <f aca="false">IF($A4945="","",ROW()-2)</f>
        <v/>
      </c>
      <c r="M4945" s="10" t="str">
        <f aca="false">IF($A4945="","",ROW())</f>
        <v/>
      </c>
    </row>
    <row r="4946" customFormat="false" ht="15" hidden="false" customHeight="true" outlineLevel="0" collapsed="false">
      <c r="A4946" s="8"/>
      <c r="B4946" s="8"/>
      <c r="C4946" s="8"/>
      <c r="D4946" s="8"/>
      <c r="E4946" s="8"/>
      <c r="F4946" s="8"/>
      <c r="G4946" s="10" t="str">
        <f aca="false">IF($A4946="","",UPPER(SUBSTITUTE(SUBSTITUTE(SUBSTITUTE(SUBSTITUTE($A4946," ",""),"(주)",""),"주식회사",""),"㈜","")))</f>
        <v/>
      </c>
      <c r="H4946" s="10" t="str">
        <f aca="false">IF($B4946="","",SUBSTITUTE(SUBSTITUTE(SUBSTITUTE($B4946,"-","")," ",""),".",""))</f>
        <v/>
      </c>
      <c r="I4946" s="10" t="str">
        <f aca="false">IF($D4946="","",SUBSTITUTE(SUBSTITUTE(SUBSTITUTE($D4946,"-","")," ",""),".",""))</f>
        <v/>
      </c>
      <c r="J4946" s="10" t="str">
        <f aca="false">IF($E4946="","",UPPER(SUBSTITUTE($E4946," ","")))</f>
        <v/>
      </c>
      <c r="K4946" s="10" t="str">
        <f aca="false">IF($A4946="","",$G4946&amp;"|"&amp;$J4946)</f>
        <v/>
      </c>
      <c r="L4946" s="10" t="str">
        <f aca="false">IF($A4946="","",ROW()-2)</f>
        <v/>
      </c>
      <c r="M4946" s="10" t="str">
        <f aca="false">IF($A4946="","",ROW())</f>
        <v/>
      </c>
    </row>
    <row r="4947" customFormat="false" ht="15" hidden="false" customHeight="true" outlineLevel="0" collapsed="false">
      <c r="A4947" s="8"/>
      <c r="B4947" s="8"/>
      <c r="C4947" s="8"/>
      <c r="D4947" s="8"/>
      <c r="E4947" s="8"/>
      <c r="F4947" s="8"/>
      <c r="G4947" s="10" t="str">
        <f aca="false">IF($A4947="","",UPPER(SUBSTITUTE(SUBSTITUTE(SUBSTITUTE(SUBSTITUTE($A4947," ",""),"(주)",""),"주식회사",""),"㈜","")))</f>
        <v/>
      </c>
      <c r="H4947" s="10" t="str">
        <f aca="false">IF($B4947="","",SUBSTITUTE(SUBSTITUTE(SUBSTITUTE($B4947,"-","")," ",""),".",""))</f>
        <v/>
      </c>
      <c r="I4947" s="10" t="str">
        <f aca="false">IF($D4947="","",SUBSTITUTE(SUBSTITUTE(SUBSTITUTE($D4947,"-","")," ",""),".",""))</f>
        <v/>
      </c>
      <c r="J4947" s="10" t="str">
        <f aca="false">IF($E4947="","",UPPER(SUBSTITUTE($E4947," ","")))</f>
        <v/>
      </c>
      <c r="K4947" s="10" t="str">
        <f aca="false">IF($A4947="","",$G4947&amp;"|"&amp;$J4947)</f>
        <v/>
      </c>
      <c r="L4947" s="10" t="str">
        <f aca="false">IF($A4947="","",ROW()-2)</f>
        <v/>
      </c>
      <c r="M4947" s="10" t="str">
        <f aca="false">IF($A4947="","",ROW())</f>
        <v/>
      </c>
    </row>
    <row r="4948" customFormat="false" ht="15" hidden="false" customHeight="true" outlineLevel="0" collapsed="false">
      <c r="A4948" s="8"/>
      <c r="B4948" s="8"/>
      <c r="C4948" s="8"/>
      <c r="D4948" s="8"/>
      <c r="E4948" s="8"/>
      <c r="F4948" s="8"/>
      <c r="G4948" s="10" t="str">
        <f aca="false">IF($A4948="","",UPPER(SUBSTITUTE(SUBSTITUTE(SUBSTITUTE(SUBSTITUTE($A4948," ",""),"(주)",""),"주식회사",""),"㈜","")))</f>
        <v/>
      </c>
      <c r="H4948" s="10" t="str">
        <f aca="false">IF($B4948="","",SUBSTITUTE(SUBSTITUTE(SUBSTITUTE($B4948,"-","")," ",""),".",""))</f>
        <v/>
      </c>
      <c r="I4948" s="10" t="str">
        <f aca="false">IF($D4948="","",SUBSTITUTE(SUBSTITUTE(SUBSTITUTE($D4948,"-","")," ",""),".",""))</f>
        <v/>
      </c>
      <c r="J4948" s="10" t="str">
        <f aca="false">IF($E4948="","",UPPER(SUBSTITUTE($E4948," ","")))</f>
        <v/>
      </c>
      <c r="K4948" s="10" t="str">
        <f aca="false">IF($A4948="","",$G4948&amp;"|"&amp;$J4948)</f>
        <v/>
      </c>
      <c r="L4948" s="10" t="str">
        <f aca="false">IF($A4948="","",ROW()-2)</f>
        <v/>
      </c>
      <c r="M4948" s="10" t="str">
        <f aca="false">IF($A4948="","",ROW())</f>
        <v/>
      </c>
    </row>
    <row r="4949" customFormat="false" ht="15" hidden="false" customHeight="true" outlineLevel="0" collapsed="false">
      <c r="A4949" s="8"/>
      <c r="B4949" s="8"/>
      <c r="C4949" s="8"/>
      <c r="D4949" s="8"/>
      <c r="E4949" s="8"/>
      <c r="F4949" s="8"/>
      <c r="G4949" s="10" t="str">
        <f aca="false">IF($A4949="","",UPPER(SUBSTITUTE(SUBSTITUTE(SUBSTITUTE(SUBSTITUTE($A4949," ",""),"(주)",""),"주식회사",""),"㈜","")))</f>
        <v/>
      </c>
      <c r="H4949" s="10" t="str">
        <f aca="false">IF($B4949="","",SUBSTITUTE(SUBSTITUTE(SUBSTITUTE($B4949,"-","")," ",""),".",""))</f>
        <v/>
      </c>
      <c r="I4949" s="10" t="str">
        <f aca="false">IF($D4949="","",SUBSTITUTE(SUBSTITUTE(SUBSTITUTE($D4949,"-","")," ",""),".",""))</f>
        <v/>
      </c>
      <c r="J4949" s="10" t="str">
        <f aca="false">IF($E4949="","",UPPER(SUBSTITUTE($E4949," ","")))</f>
        <v/>
      </c>
      <c r="K4949" s="10" t="str">
        <f aca="false">IF($A4949="","",$G4949&amp;"|"&amp;$J4949)</f>
        <v/>
      </c>
      <c r="L4949" s="10" t="str">
        <f aca="false">IF($A4949="","",ROW()-2)</f>
        <v/>
      </c>
      <c r="M4949" s="10" t="str">
        <f aca="false">IF($A4949="","",ROW())</f>
        <v/>
      </c>
    </row>
    <row r="4950" customFormat="false" ht="15" hidden="false" customHeight="true" outlineLevel="0" collapsed="false">
      <c r="A4950" s="8"/>
      <c r="B4950" s="8"/>
      <c r="C4950" s="8"/>
      <c r="D4950" s="8"/>
      <c r="E4950" s="8"/>
      <c r="F4950" s="8"/>
      <c r="G4950" s="10" t="str">
        <f aca="false">IF($A4950="","",UPPER(SUBSTITUTE(SUBSTITUTE(SUBSTITUTE(SUBSTITUTE($A4950," ",""),"(주)",""),"주식회사",""),"㈜","")))</f>
        <v/>
      </c>
      <c r="H4950" s="10" t="str">
        <f aca="false">IF($B4950="","",SUBSTITUTE(SUBSTITUTE(SUBSTITUTE($B4950,"-","")," ",""),".",""))</f>
        <v/>
      </c>
      <c r="I4950" s="10" t="str">
        <f aca="false">IF($D4950="","",SUBSTITUTE(SUBSTITUTE(SUBSTITUTE($D4950,"-","")," ",""),".",""))</f>
        <v/>
      </c>
      <c r="J4950" s="10" t="str">
        <f aca="false">IF($E4950="","",UPPER(SUBSTITUTE($E4950," ","")))</f>
        <v/>
      </c>
      <c r="K4950" s="10" t="str">
        <f aca="false">IF($A4950="","",$G4950&amp;"|"&amp;$J4950)</f>
        <v/>
      </c>
      <c r="L4950" s="10" t="str">
        <f aca="false">IF($A4950="","",ROW()-2)</f>
        <v/>
      </c>
      <c r="M4950" s="10" t="str">
        <f aca="false">IF($A4950="","",ROW())</f>
        <v/>
      </c>
    </row>
    <row r="4951" customFormat="false" ht="15" hidden="false" customHeight="true" outlineLevel="0" collapsed="false">
      <c r="A4951" s="8"/>
      <c r="B4951" s="8"/>
      <c r="C4951" s="8"/>
      <c r="D4951" s="8"/>
      <c r="E4951" s="8"/>
      <c r="F4951" s="8"/>
      <c r="G4951" s="10" t="str">
        <f aca="false">IF($A4951="","",UPPER(SUBSTITUTE(SUBSTITUTE(SUBSTITUTE(SUBSTITUTE($A4951," ",""),"(주)",""),"주식회사",""),"㈜","")))</f>
        <v/>
      </c>
      <c r="H4951" s="10" t="str">
        <f aca="false">IF($B4951="","",SUBSTITUTE(SUBSTITUTE(SUBSTITUTE($B4951,"-","")," ",""),".",""))</f>
        <v/>
      </c>
      <c r="I4951" s="10" t="str">
        <f aca="false">IF($D4951="","",SUBSTITUTE(SUBSTITUTE(SUBSTITUTE($D4951,"-","")," ",""),".",""))</f>
        <v/>
      </c>
      <c r="J4951" s="10" t="str">
        <f aca="false">IF($E4951="","",UPPER(SUBSTITUTE($E4951," ","")))</f>
        <v/>
      </c>
      <c r="K4951" s="10" t="str">
        <f aca="false">IF($A4951="","",$G4951&amp;"|"&amp;$J4951)</f>
        <v/>
      </c>
      <c r="L4951" s="10" t="str">
        <f aca="false">IF($A4951="","",ROW()-2)</f>
        <v/>
      </c>
      <c r="M4951" s="10" t="str">
        <f aca="false">IF($A4951="","",ROW())</f>
        <v/>
      </c>
    </row>
    <row r="4952" customFormat="false" ht="15" hidden="false" customHeight="true" outlineLevel="0" collapsed="false">
      <c r="A4952" s="8"/>
      <c r="B4952" s="8"/>
      <c r="C4952" s="8"/>
      <c r="D4952" s="8"/>
      <c r="E4952" s="8"/>
      <c r="F4952" s="8"/>
      <c r="G4952" s="10" t="str">
        <f aca="false">IF($A4952="","",UPPER(SUBSTITUTE(SUBSTITUTE(SUBSTITUTE(SUBSTITUTE($A4952," ",""),"(주)",""),"주식회사",""),"㈜","")))</f>
        <v/>
      </c>
      <c r="H4952" s="10" t="str">
        <f aca="false">IF($B4952="","",SUBSTITUTE(SUBSTITUTE(SUBSTITUTE($B4952,"-","")," ",""),".",""))</f>
        <v/>
      </c>
      <c r="I4952" s="10" t="str">
        <f aca="false">IF($D4952="","",SUBSTITUTE(SUBSTITUTE(SUBSTITUTE($D4952,"-","")," ",""),".",""))</f>
        <v/>
      </c>
      <c r="J4952" s="10" t="str">
        <f aca="false">IF($E4952="","",UPPER(SUBSTITUTE($E4952," ","")))</f>
        <v/>
      </c>
      <c r="K4952" s="10" t="str">
        <f aca="false">IF($A4952="","",$G4952&amp;"|"&amp;$J4952)</f>
        <v/>
      </c>
      <c r="L4952" s="10" t="str">
        <f aca="false">IF($A4952="","",ROW()-2)</f>
        <v/>
      </c>
      <c r="M4952" s="10" t="str">
        <f aca="false">IF($A4952="","",ROW())</f>
        <v/>
      </c>
    </row>
    <row r="4953" customFormat="false" ht="15" hidden="false" customHeight="true" outlineLevel="0" collapsed="false">
      <c r="A4953" s="8"/>
      <c r="B4953" s="8"/>
      <c r="C4953" s="8"/>
      <c r="D4953" s="8"/>
      <c r="E4953" s="8"/>
      <c r="F4953" s="8"/>
      <c r="G4953" s="10" t="str">
        <f aca="false">IF($A4953="","",UPPER(SUBSTITUTE(SUBSTITUTE(SUBSTITUTE(SUBSTITUTE($A4953," ",""),"(주)",""),"주식회사",""),"㈜","")))</f>
        <v/>
      </c>
      <c r="H4953" s="10" t="str">
        <f aca="false">IF($B4953="","",SUBSTITUTE(SUBSTITUTE(SUBSTITUTE($B4953,"-","")," ",""),".",""))</f>
        <v/>
      </c>
      <c r="I4953" s="10" t="str">
        <f aca="false">IF($D4953="","",SUBSTITUTE(SUBSTITUTE(SUBSTITUTE($D4953,"-","")," ",""),".",""))</f>
        <v/>
      </c>
      <c r="J4953" s="10" t="str">
        <f aca="false">IF($E4953="","",UPPER(SUBSTITUTE($E4953," ","")))</f>
        <v/>
      </c>
      <c r="K4953" s="10" t="str">
        <f aca="false">IF($A4953="","",$G4953&amp;"|"&amp;$J4953)</f>
        <v/>
      </c>
      <c r="L4953" s="10" t="str">
        <f aca="false">IF($A4953="","",ROW()-2)</f>
        <v/>
      </c>
      <c r="M4953" s="10" t="str">
        <f aca="false">IF($A4953="","",ROW())</f>
        <v/>
      </c>
    </row>
    <row r="4954" customFormat="false" ht="15" hidden="false" customHeight="true" outlineLevel="0" collapsed="false">
      <c r="A4954" s="8"/>
      <c r="B4954" s="8"/>
      <c r="C4954" s="8"/>
      <c r="D4954" s="8"/>
      <c r="E4954" s="8"/>
      <c r="F4954" s="8"/>
      <c r="G4954" s="10" t="str">
        <f aca="false">IF($A4954="","",UPPER(SUBSTITUTE(SUBSTITUTE(SUBSTITUTE(SUBSTITUTE($A4954," ",""),"(주)",""),"주식회사",""),"㈜","")))</f>
        <v/>
      </c>
      <c r="H4954" s="10" t="str">
        <f aca="false">IF($B4954="","",SUBSTITUTE(SUBSTITUTE(SUBSTITUTE($B4954,"-","")," ",""),".",""))</f>
        <v/>
      </c>
      <c r="I4954" s="10" t="str">
        <f aca="false">IF($D4954="","",SUBSTITUTE(SUBSTITUTE(SUBSTITUTE($D4954,"-","")," ",""),".",""))</f>
        <v/>
      </c>
      <c r="J4954" s="10" t="str">
        <f aca="false">IF($E4954="","",UPPER(SUBSTITUTE($E4954," ","")))</f>
        <v/>
      </c>
      <c r="K4954" s="10" t="str">
        <f aca="false">IF($A4954="","",$G4954&amp;"|"&amp;$J4954)</f>
        <v/>
      </c>
      <c r="L4954" s="10" t="str">
        <f aca="false">IF($A4954="","",ROW()-2)</f>
        <v/>
      </c>
      <c r="M4954" s="10" t="str">
        <f aca="false">IF($A4954="","",ROW())</f>
        <v/>
      </c>
    </row>
    <row r="4955" customFormat="false" ht="15" hidden="false" customHeight="true" outlineLevel="0" collapsed="false">
      <c r="A4955" s="8"/>
      <c r="B4955" s="8"/>
      <c r="C4955" s="8"/>
      <c r="D4955" s="8"/>
      <c r="E4955" s="8"/>
      <c r="F4955" s="8"/>
      <c r="G4955" s="10" t="str">
        <f aca="false">IF($A4955="","",UPPER(SUBSTITUTE(SUBSTITUTE(SUBSTITUTE(SUBSTITUTE($A4955," ",""),"(주)",""),"주식회사",""),"㈜","")))</f>
        <v/>
      </c>
      <c r="H4955" s="10" t="str">
        <f aca="false">IF($B4955="","",SUBSTITUTE(SUBSTITUTE(SUBSTITUTE($B4955,"-","")," ",""),".",""))</f>
        <v/>
      </c>
      <c r="I4955" s="10" t="str">
        <f aca="false">IF($D4955="","",SUBSTITUTE(SUBSTITUTE(SUBSTITUTE($D4955,"-","")," ",""),".",""))</f>
        <v/>
      </c>
      <c r="J4955" s="10" t="str">
        <f aca="false">IF($E4955="","",UPPER(SUBSTITUTE($E4955," ","")))</f>
        <v/>
      </c>
      <c r="K4955" s="10" t="str">
        <f aca="false">IF($A4955="","",$G4955&amp;"|"&amp;$J4955)</f>
        <v/>
      </c>
      <c r="L4955" s="10" t="str">
        <f aca="false">IF($A4955="","",ROW()-2)</f>
        <v/>
      </c>
      <c r="M4955" s="10" t="str">
        <f aca="false">IF($A4955="","",ROW())</f>
        <v/>
      </c>
    </row>
    <row r="4956" customFormat="false" ht="15" hidden="false" customHeight="true" outlineLevel="0" collapsed="false">
      <c r="A4956" s="8"/>
      <c r="B4956" s="8"/>
      <c r="C4956" s="8"/>
      <c r="D4956" s="8"/>
      <c r="E4956" s="8"/>
      <c r="F4956" s="8"/>
      <c r="G4956" s="10" t="str">
        <f aca="false">IF($A4956="","",UPPER(SUBSTITUTE(SUBSTITUTE(SUBSTITUTE(SUBSTITUTE($A4956," ",""),"(주)",""),"주식회사",""),"㈜","")))</f>
        <v/>
      </c>
      <c r="H4956" s="10" t="str">
        <f aca="false">IF($B4956="","",SUBSTITUTE(SUBSTITUTE(SUBSTITUTE($B4956,"-","")," ",""),".",""))</f>
        <v/>
      </c>
      <c r="I4956" s="10" t="str">
        <f aca="false">IF($D4956="","",SUBSTITUTE(SUBSTITUTE(SUBSTITUTE($D4956,"-","")," ",""),".",""))</f>
        <v/>
      </c>
      <c r="J4956" s="10" t="str">
        <f aca="false">IF($E4956="","",UPPER(SUBSTITUTE($E4956," ","")))</f>
        <v/>
      </c>
      <c r="K4956" s="10" t="str">
        <f aca="false">IF($A4956="","",$G4956&amp;"|"&amp;$J4956)</f>
        <v/>
      </c>
      <c r="L4956" s="10" t="str">
        <f aca="false">IF($A4956="","",ROW()-2)</f>
        <v/>
      </c>
      <c r="M4956" s="10" t="str">
        <f aca="false">IF($A4956="","",ROW())</f>
        <v/>
      </c>
    </row>
    <row r="4957" customFormat="false" ht="15" hidden="false" customHeight="true" outlineLevel="0" collapsed="false">
      <c r="A4957" s="8"/>
      <c r="B4957" s="8"/>
      <c r="C4957" s="8"/>
      <c r="D4957" s="8"/>
      <c r="E4957" s="8"/>
      <c r="F4957" s="8"/>
      <c r="G4957" s="10" t="str">
        <f aca="false">IF($A4957="","",UPPER(SUBSTITUTE(SUBSTITUTE(SUBSTITUTE(SUBSTITUTE($A4957," ",""),"(주)",""),"주식회사",""),"㈜","")))</f>
        <v/>
      </c>
      <c r="H4957" s="10" t="str">
        <f aca="false">IF($B4957="","",SUBSTITUTE(SUBSTITUTE(SUBSTITUTE($B4957,"-","")," ",""),".",""))</f>
        <v/>
      </c>
      <c r="I4957" s="10" t="str">
        <f aca="false">IF($D4957="","",SUBSTITUTE(SUBSTITUTE(SUBSTITUTE($D4957,"-","")," ",""),".",""))</f>
        <v/>
      </c>
      <c r="J4957" s="10" t="str">
        <f aca="false">IF($E4957="","",UPPER(SUBSTITUTE($E4957," ","")))</f>
        <v/>
      </c>
      <c r="K4957" s="10" t="str">
        <f aca="false">IF($A4957="","",$G4957&amp;"|"&amp;$J4957)</f>
        <v/>
      </c>
      <c r="L4957" s="10" t="str">
        <f aca="false">IF($A4957="","",ROW()-2)</f>
        <v/>
      </c>
      <c r="M4957" s="10" t="str">
        <f aca="false">IF($A4957="","",ROW())</f>
        <v/>
      </c>
    </row>
    <row r="4958" customFormat="false" ht="15" hidden="false" customHeight="true" outlineLevel="0" collapsed="false">
      <c r="A4958" s="8"/>
      <c r="B4958" s="8"/>
      <c r="C4958" s="8"/>
      <c r="D4958" s="8"/>
      <c r="E4958" s="8"/>
      <c r="F4958" s="8"/>
      <c r="G4958" s="10" t="str">
        <f aca="false">IF($A4958="","",UPPER(SUBSTITUTE(SUBSTITUTE(SUBSTITUTE(SUBSTITUTE($A4958," ",""),"(주)",""),"주식회사",""),"㈜","")))</f>
        <v/>
      </c>
      <c r="H4958" s="10" t="str">
        <f aca="false">IF($B4958="","",SUBSTITUTE(SUBSTITUTE(SUBSTITUTE($B4958,"-","")," ",""),".",""))</f>
        <v/>
      </c>
      <c r="I4958" s="10" t="str">
        <f aca="false">IF($D4958="","",SUBSTITUTE(SUBSTITUTE(SUBSTITUTE($D4958,"-","")," ",""),".",""))</f>
        <v/>
      </c>
      <c r="J4958" s="10" t="str">
        <f aca="false">IF($E4958="","",UPPER(SUBSTITUTE($E4958," ","")))</f>
        <v/>
      </c>
      <c r="K4958" s="10" t="str">
        <f aca="false">IF($A4958="","",$G4958&amp;"|"&amp;$J4958)</f>
        <v/>
      </c>
      <c r="L4958" s="10" t="str">
        <f aca="false">IF($A4958="","",ROW()-2)</f>
        <v/>
      </c>
      <c r="M4958" s="10" t="str">
        <f aca="false">IF($A4958="","",ROW())</f>
        <v/>
      </c>
    </row>
    <row r="4959" customFormat="false" ht="15" hidden="false" customHeight="true" outlineLevel="0" collapsed="false">
      <c r="A4959" s="8"/>
      <c r="B4959" s="8"/>
      <c r="C4959" s="8"/>
      <c r="D4959" s="8"/>
      <c r="E4959" s="8"/>
      <c r="F4959" s="8"/>
      <c r="G4959" s="10" t="str">
        <f aca="false">IF($A4959="","",UPPER(SUBSTITUTE(SUBSTITUTE(SUBSTITUTE(SUBSTITUTE($A4959," ",""),"(주)",""),"주식회사",""),"㈜","")))</f>
        <v/>
      </c>
      <c r="H4959" s="10" t="str">
        <f aca="false">IF($B4959="","",SUBSTITUTE(SUBSTITUTE(SUBSTITUTE($B4959,"-","")," ",""),".",""))</f>
        <v/>
      </c>
      <c r="I4959" s="10" t="str">
        <f aca="false">IF($D4959="","",SUBSTITUTE(SUBSTITUTE(SUBSTITUTE($D4959,"-","")," ",""),".",""))</f>
        <v/>
      </c>
      <c r="J4959" s="10" t="str">
        <f aca="false">IF($E4959="","",UPPER(SUBSTITUTE($E4959," ","")))</f>
        <v/>
      </c>
      <c r="K4959" s="10" t="str">
        <f aca="false">IF($A4959="","",$G4959&amp;"|"&amp;$J4959)</f>
        <v/>
      </c>
      <c r="L4959" s="10" t="str">
        <f aca="false">IF($A4959="","",ROW()-2)</f>
        <v/>
      </c>
      <c r="M4959" s="10" t="str">
        <f aca="false">IF($A4959="","",ROW())</f>
        <v/>
      </c>
    </row>
    <row r="4960" customFormat="false" ht="15" hidden="false" customHeight="true" outlineLevel="0" collapsed="false">
      <c r="A4960" s="8"/>
      <c r="B4960" s="8"/>
      <c r="C4960" s="8"/>
      <c r="D4960" s="8"/>
      <c r="E4960" s="8"/>
      <c r="F4960" s="8"/>
      <c r="G4960" s="10" t="str">
        <f aca="false">IF($A4960="","",UPPER(SUBSTITUTE(SUBSTITUTE(SUBSTITUTE(SUBSTITUTE($A4960," ",""),"(주)",""),"주식회사",""),"㈜","")))</f>
        <v/>
      </c>
      <c r="H4960" s="10" t="str">
        <f aca="false">IF($B4960="","",SUBSTITUTE(SUBSTITUTE(SUBSTITUTE($B4960,"-","")," ",""),".",""))</f>
        <v/>
      </c>
      <c r="I4960" s="10" t="str">
        <f aca="false">IF($D4960="","",SUBSTITUTE(SUBSTITUTE(SUBSTITUTE($D4960,"-","")," ",""),".",""))</f>
        <v/>
      </c>
      <c r="J4960" s="10" t="str">
        <f aca="false">IF($E4960="","",UPPER(SUBSTITUTE($E4960," ","")))</f>
        <v/>
      </c>
      <c r="K4960" s="10" t="str">
        <f aca="false">IF($A4960="","",$G4960&amp;"|"&amp;$J4960)</f>
        <v/>
      </c>
      <c r="L4960" s="10" t="str">
        <f aca="false">IF($A4960="","",ROW()-2)</f>
        <v/>
      </c>
      <c r="M4960" s="10" t="str">
        <f aca="false">IF($A4960="","",ROW())</f>
        <v/>
      </c>
    </row>
    <row r="4961" customFormat="false" ht="15" hidden="false" customHeight="true" outlineLevel="0" collapsed="false">
      <c r="A4961" s="8"/>
      <c r="B4961" s="8"/>
      <c r="C4961" s="8"/>
      <c r="D4961" s="8"/>
      <c r="E4961" s="8"/>
      <c r="F4961" s="8"/>
      <c r="G4961" s="10" t="str">
        <f aca="false">IF($A4961="","",UPPER(SUBSTITUTE(SUBSTITUTE(SUBSTITUTE(SUBSTITUTE($A4961," ",""),"(주)",""),"주식회사",""),"㈜","")))</f>
        <v/>
      </c>
      <c r="H4961" s="10" t="str">
        <f aca="false">IF($B4961="","",SUBSTITUTE(SUBSTITUTE(SUBSTITUTE($B4961,"-","")," ",""),".",""))</f>
        <v/>
      </c>
      <c r="I4961" s="10" t="str">
        <f aca="false">IF($D4961="","",SUBSTITUTE(SUBSTITUTE(SUBSTITUTE($D4961,"-","")," ",""),".",""))</f>
        <v/>
      </c>
      <c r="J4961" s="10" t="str">
        <f aca="false">IF($E4961="","",UPPER(SUBSTITUTE($E4961," ","")))</f>
        <v/>
      </c>
      <c r="K4961" s="10" t="str">
        <f aca="false">IF($A4961="","",$G4961&amp;"|"&amp;$J4961)</f>
        <v/>
      </c>
      <c r="L4961" s="10" t="str">
        <f aca="false">IF($A4961="","",ROW()-2)</f>
        <v/>
      </c>
      <c r="M4961" s="10" t="str">
        <f aca="false">IF($A4961="","",ROW())</f>
        <v/>
      </c>
    </row>
    <row r="4962" customFormat="false" ht="15" hidden="false" customHeight="true" outlineLevel="0" collapsed="false">
      <c r="A4962" s="8"/>
      <c r="B4962" s="8"/>
      <c r="C4962" s="8"/>
      <c r="D4962" s="8"/>
      <c r="E4962" s="8"/>
      <c r="F4962" s="8"/>
      <c r="G4962" s="10" t="str">
        <f aca="false">IF($A4962="","",UPPER(SUBSTITUTE(SUBSTITUTE(SUBSTITUTE(SUBSTITUTE($A4962," ",""),"(주)",""),"주식회사",""),"㈜","")))</f>
        <v/>
      </c>
      <c r="H4962" s="10" t="str">
        <f aca="false">IF($B4962="","",SUBSTITUTE(SUBSTITUTE(SUBSTITUTE($B4962,"-","")," ",""),".",""))</f>
        <v/>
      </c>
      <c r="I4962" s="10" t="str">
        <f aca="false">IF($D4962="","",SUBSTITUTE(SUBSTITUTE(SUBSTITUTE($D4962,"-","")," ",""),".",""))</f>
        <v/>
      </c>
      <c r="J4962" s="10" t="str">
        <f aca="false">IF($E4962="","",UPPER(SUBSTITUTE($E4962," ","")))</f>
        <v/>
      </c>
      <c r="K4962" s="10" t="str">
        <f aca="false">IF($A4962="","",$G4962&amp;"|"&amp;$J4962)</f>
        <v/>
      </c>
      <c r="L4962" s="10" t="str">
        <f aca="false">IF($A4962="","",ROW()-2)</f>
        <v/>
      </c>
      <c r="M4962" s="10" t="str">
        <f aca="false">IF($A4962="","",ROW())</f>
        <v/>
      </c>
    </row>
    <row r="4963" customFormat="false" ht="15" hidden="false" customHeight="true" outlineLevel="0" collapsed="false">
      <c r="A4963" s="8"/>
      <c r="B4963" s="8"/>
      <c r="C4963" s="8"/>
      <c r="D4963" s="8"/>
      <c r="E4963" s="8"/>
      <c r="F4963" s="8"/>
      <c r="G4963" s="10" t="str">
        <f aca="false">IF($A4963="","",UPPER(SUBSTITUTE(SUBSTITUTE(SUBSTITUTE(SUBSTITUTE($A4963," ",""),"(주)",""),"주식회사",""),"㈜","")))</f>
        <v/>
      </c>
      <c r="H4963" s="10" t="str">
        <f aca="false">IF($B4963="","",SUBSTITUTE(SUBSTITUTE(SUBSTITUTE($B4963,"-","")," ",""),".",""))</f>
        <v/>
      </c>
      <c r="I4963" s="10" t="str">
        <f aca="false">IF($D4963="","",SUBSTITUTE(SUBSTITUTE(SUBSTITUTE($D4963,"-","")," ",""),".",""))</f>
        <v/>
      </c>
      <c r="J4963" s="10" t="str">
        <f aca="false">IF($E4963="","",UPPER(SUBSTITUTE($E4963," ","")))</f>
        <v/>
      </c>
      <c r="K4963" s="10" t="str">
        <f aca="false">IF($A4963="","",$G4963&amp;"|"&amp;$J4963)</f>
        <v/>
      </c>
      <c r="L4963" s="10" t="str">
        <f aca="false">IF($A4963="","",ROW()-2)</f>
        <v/>
      </c>
      <c r="M4963" s="10" t="str">
        <f aca="false">IF($A4963="","",ROW())</f>
        <v/>
      </c>
    </row>
    <row r="4964" customFormat="false" ht="15" hidden="false" customHeight="true" outlineLevel="0" collapsed="false">
      <c r="A4964" s="8"/>
      <c r="B4964" s="8"/>
      <c r="C4964" s="8"/>
      <c r="D4964" s="8"/>
      <c r="E4964" s="8"/>
      <c r="F4964" s="8"/>
      <c r="G4964" s="10" t="str">
        <f aca="false">IF($A4964="","",UPPER(SUBSTITUTE(SUBSTITUTE(SUBSTITUTE(SUBSTITUTE($A4964," ",""),"(주)",""),"주식회사",""),"㈜","")))</f>
        <v/>
      </c>
      <c r="H4964" s="10" t="str">
        <f aca="false">IF($B4964="","",SUBSTITUTE(SUBSTITUTE(SUBSTITUTE($B4964,"-","")," ",""),".",""))</f>
        <v/>
      </c>
      <c r="I4964" s="10" t="str">
        <f aca="false">IF($D4964="","",SUBSTITUTE(SUBSTITUTE(SUBSTITUTE($D4964,"-","")," ",""),".",""))</f>
        <v/>
      </c>
      <c r="J4964" s="10" t="str">
        <f aca="false">IF($E4964="","",UPPER(SUBSTITUTE($E4964," ","")))</f>
        <v/>
      </c>
      <c r="K4964" s="10" t="str">
        <f aca="false">IF($A4964="","",$G4964&amp;"|"&amp;$J4964)</f>
        <v/>
      </c>
      <c r="L4964" s="10" t="str">
        <f aca="false">IF($A4964="","",ROW()-2)</f>
        <v/>
      </c>
      <c r="M4964" s="10" t="str">
        <f aca="false">IF($A4964="","",ROW())</f>
        <v/>
      </c>
    </row>
    <row r="4965" customFormat="false" ht="15" hidden="false" customHeight="true" outlineLevel="0" collapsed="false">
      <c r="A4965" s="8"/>
      <c r="B4965" s="8"/>
      <c r="C4965" s="8"/>
      <c r="D4965" s="8"/>
      <c r="E4965" s="8"/>
      <c r="F4965" s="8"/>
      <c r="G4965" s="10" t="str">
        <f aca="false">IF($A4965="","",UPPER(SUBSTITUTE(SUBSTITUTE(SUBSTITUTE(SUBSTITUTE($A4965," ",""),"(주)",""),"주식회사",""),"㈜","")))</f>
        <v/>
      </c>
      <c r="H4965" s="10" t="str">
        <f aca="false">IF($B4965="","",SUBSTITUTE(SUBSTITUTE(SUBSTITUTE($B4965,"-","")," ",""),".",""))</f>
        <v/>
      </c>
      <c r="I4965" s="10" t="str">
        <f aca="false">IF($D4965="","",SUBSTITUTE(SUBSTITUTE(SUBSTITUTE($D4965,"-","")," ",""),".",""))</f>
        <v/>
      </c>
      <c r="J4965" s="10" t="str">
        <f aca="false">IF($E4965="","",UPPER(SUBSTITUTE($E4965," ","")))</f>
        <v/>
      </c>
      <c r="K4965" s="10" t="str">
        <f aca="false">IF($A4965="","",$G4965&amp;"|"&amp;$J4965)</f>
        <v/>
      </c>
      <c r="L4965" s="10" t="str">
        <f aca="false">IF($A4965="","",ROW()-2)</f>
        <v/>
      </c>
      <c r="M4965" s="10" t="str">
        <f aca="false">IF($A4965="","",ROW())</f>
        <v/>
      </c>
    </row>
    <row r="4966" customFormat="false" ht="15" hidden="false" customHeight="true" outlineLevel="0" collapsed="false">
      <c r="A4966" s="8"/>
      <c r="B4966" s="8"/>
      <c r="C4966" s="8"/>
      <c r="D4966" s="8"/>
      <c r="E4966" s="8"/>
      <c r="F4966" s="8"/>
      <c r="G4966" s="10" t="str">
        <f aca="false">IF($A4966="","",UPPER(SUBSTITUTE(SUBSTITUTE(SUBSTITUTE(SUBSTITUTE($A4966," ",""),"(주)",""),"주식회사",""),"㈜","")))</f>
        <v/>
      </c>
      <c r="H4966" s="10" t="str">
        <f aca="false">IF($B4966="","",SUBSTITUTE(SUBSTITUTE(SUBSTITUTE($B4966,"-","")," ",""),".",""))</f>
        <v/>
      </c>
      <c r="I4966" s="10" t="str">
        <f aca="false">IF($D4966="","",SUBSTITUTE(SUBSTITUTE(SUBSTITUTE($D4966,"-","")," ",""),".",""))</f>
        <v/>
      </c>
      <c r="J4966" s="10" t="str">
        <f aca="false">IF($E4966="","",UPPER(SUBSTITUTE($E4966," ","")))</f>
        <v/>
      </c>
      <c r="K4966" s="10" t="str">
        <f aca="false">IF($A4966="","",$G4966&amp;"|"&amp;$J4966)</f>
        <v/>
      </c>
      <c r="L4966" s="10" t="str">
        <f aca="false">IF($A4966="","",ROW()-2)</f>
        <v/>
      </c>
      <c r="M4966" s="10" t="str">
        <f aca="false">IF($A4966="","",ROW())</f>
        <v/>
      </c>
    </row>
    <row r="4967" customFormat="false" ht="15" hidden="false" customHeight="true" outlineLevel="0" collapsed="false">
      <c r="A4967" s="8"/>
      <c r="B4967" s="8"/>
      <c r="C4967" s="8"/>
      <c r="D4967" s="8"/>
      <c r="E4967" s="8"/>
      <c r="F4967" s="8"/>
      <c r="G4967" s="10" t="str">
        <f aca="false">IF($A4967="","",UPPER(SUBSTITUTE(SUBSTITUTE(SUBSTITUTE(SUBSTITUTE($A4967," ",""),"(주)",""),"주식회사",""),"㈜","")))</f>
        <v/>
      </c>
      <c r="H4967" s="10" t="str">
        <f aca="false">IF($B4967="","",SUBSTITUTE(SUBSTITUTE(SUBSTITUTE($B4967,"-","")," ",""),".",""))</f>
        <v/>
      </c>
      <c r="I4967" s="10" t="str">
        <f aca="false">IF($D4967="","",SUBSTITUTE(SUBSTITUTE(SUBSTITUTE($D4967,"-","")," ",""),".",""))</f>
        <v/>
      </c>
      <c r="J4967" s="10" t="str">
        <f aca="false">IF($E4967="","",UPPER(SUBSTITUTE($E4967," ","")))</f>
        <v/>
      </c>
      <c r="K4967" s="10" t="str">
        <f aca="false">IF($A4967="","",$G4967&amp;"|"&amp;$J4967)</f>
        <v/>
      </c>
      <c r="L4967" s="10" t="str">
        <f aca="false">IF($A4967="","",ROW()-2)</f>
        <v/>
      </c>
      <c r="M4967" s="10" t="str">
        <f aca="false">IF($A4967="","",ROW())</f>
        <v/>
      </c>
    </row>
    <row r="4968" customFormat="false" ht="15" hidden="false" customHeight="true" outlineLevel="0" collapsed="false">
      <c r="A4968" s="8"/>
      <c r="B4968" s="8"/>
      <c r="C4968" s="8"/>
      <c r="D4968" s="8"/>
      <c r="E4968" s="8"/>
      <c r="F4968" s="8"/>
      <c r="G4968" s="10" t="str">
        <f aca="false">IF($A4968="","",UPPER(SUBSTITUTE(SUBSTITUTE(SUBSTITUTE(SUBSTITUTE($A4968," ",""),"(주)",""),"주식회사",""),"㈜","")))</f>
        <v/>
      </c>
      <c r="H4968" s="10" t="str">
        <f aca="false">IF($B4968="","",SUBSTITUTE(SUBSTITUTE(SUBSTITUTE($B4968,"-","")," ",""),".",""))</f>
        <v/>
      </c>
      <c r="I4968" s="10" t="str">
        <f aca="false">IF($D4968="","",SUBSTITUTE(SUBSTITUTE(SUBSTITUTE($D4968,"-","")," ",""),".",""))</f>
        <v/>
      </c>
      <c r="J4968" s="10" t="str">
        <f aca="false">IF($E4968="","",UPPER(SUBSTITUTE($E4968," ","")))</f>
        <v/>
      </c>
      <c r="K4968" s="10" t="str">
        <f aca="false">IF($A4968="","",$G4968&amp;"|"&amp;$J4968)</f>
        <v/>
      </c>
      <c r="L4968" s="10" t="str">
        <f aca="false">IF($A4968="","",ROW()-2)</f>
        <v/>
      </c>
      <c r="M4968" s="10" t="str">
        <f aca="false">IF($A4968="","",ROW())</f>
        <v/>
      </c>
    </row>
    <row r="4969" customFormat="false" ht="15" hidden="false" customHeight="true" outlineLevel="0" collapsed="false">
      <c r="A4969" s="8"/>
      <c r="B4969" s="8"/>
      <c r="C4969" s="8"/>
      <c r="D4969" s="8"/>
      <c r="E4969" s="8"/>
      <c r="F4969" s="8"/>
      <c r="G4969" s="10" t="str">
        <f aca="false">IF($A4969="","",UPPER(SUBSTITUTE(SUBSTITUTE(SUBSTITUTE(SUBSTITUTE($A4969," ",""),"(주)",""),"주식회사",""),"㈜","")))</f>
        <v/>
      </c>
      <c r="H4969" s="10" t="str">
        <f aca="false">IF($B4969="","",SUBSTITUTE(SUBSTITUTE(SUBSTITUTE($B4969,"-","")," ",""),".",""))</f>
        <v/>
      </c>
      <c r="I4969" s="10" t="str">
        <f aca="false">IF($D4969="","",SUBSTITUTE(SUBSTITUTE(SUBSTITUTE($D4969,"-","")," ",""),".",""))</f>
        <v/>
      </c>
      <c r="J4969" s="10" t="str">
        <f aca="false">IF($E4969="","",UPPER(SUBSTITUTE($E4969," ","")))</f>
        <v/>
      </c>
      <c r="K4969" s="10" t="str">
        <f aca="false">IF($A4969="","",$G4969&amp;"|"&amp;$J4969)</f>
        <v/>
      </c>
      <c r="L4969" s="10" t="str">
        <f aca="false">IF($A4969="","",ROW()-2)</f>
        <v/>
      </c>
      <c r="M4969" s="10" t="str">
        <f aca="false">IF($A4969="","",ROW())</f>
        <v/>
      </c>
    </row>
    <row r="4970" customFormat="false" ht="15" hidden="false" customHeight="true" outlineLevel="0" collapsed="false">
      <c r="A4970" s="8"/>
      <c r="B4970" s="8"/>
      <c r="C4970" s="8"/>
      <c r="D4970" s="8"/>
      <c r="E4970" s="8"/>
      <c r="F4970" s="8"/>
      <c r="G4970" s="10" t="str">
        <f aca="false">IF($A4970="","",UPPER(SUBSTITUTE(SUBSTITUTE(SUBSTITUTE(SUBSTITUTE($A4970," ",""),"(주)",""),"주식회사",""),"㈜","")))</f>
        <v/>
      </c>
      <c r="H4970" s="10" t="str">
        <f aca="false">IF($B4970="","",SUBSTITUTE(SUBSTITUTE(SUBSTITUTE($B4970,"-","")," ",""),".",""))</f>
        <v/>
      </c>
      <c r="I4970" s="10" t="str">
        <f aca="false">IF($D4970="","",SUBSTITUTE(SUBSTITUTE(SUBSTITUTE($D4970,"-","")," ",""),".",""))</f>
        <v/>
      </c>
      <c r="J4970" s="10" t="str">
        <f aca="false">IF($E4970="","",UPPER(SUBSTITUTE($E4970," ","")))</f>
        <v/>
      </c>
      <c r="K4970" s="10" t="str">
        <f aca="false">IF($A4970="","",$G4970&amp;"|"&amp;$J4970)</f>
        <v/>
      </c>
      <c r="L4970" s="10" t="str">
        <f aca="false">IF($A4970="","",ROW()-2)</f>
        <v/>
      </c>
      <c r="M4970" s="10" t="str">
        <f aca="false">IF($A4970="","",ROW())</f>
        <v/>
      </c>
    </row>
    <row r="4971" customFormat="false" ht="15" hidden="false" customHeight="true" outlineLevel="0" collapsed="false">
      <c r="A4971" s="8"/>
      <c r="B4971" s="8"/>
      <c r="C4971" s="8"/>
      <c r="D4971" s="8"/>
      <c r="E4971" s="8"/>
      <c r="F4971" s="8"/>
      <c r="G4971" s="10" t="str">
        <f aca="false">IF($A4971="","",UPPER(SUBSTITUTE(SUBSTITUTE(SUBSTITUTE(SUBSTITUTE($A4971," ",""),"(주)",""),"주식회사",""),"㈜","")))</f>
        <v/>
      </c>
      <c r="H4971" s="10" t="str">
        <f aca="false">IF($B4971="","",SUBSTITUTE(SUBSTITUTE(SUBSTITUTE($B4971,"-","")," ",""),".",""))</f>
        <v/>
      </c>
      <c r="I4971" s="10" t="str">
        <f aca="false">IF($D4971="","",SUBSTITUTE(SUBSTITUTE(SUBSTITUTE($D4971,"-","")," ",""),".",""))</f>
        <v/>
      </c>
      <c r="J4971" s="10" t="str">
        <f aca="false">IF($E4971="","",UPPER(SUBSTITUTE($E4971," ","")))</f>
        <v/>
      </c>
      <c r="K4971" s="10" t="str">
        <f aca="false">IF($A4971="","",$G4971&amp;"|"&amp;$J4971)</f>
        <v/>
      </c>
      <c r="L4971" s="10" t="str">
        <f aca="false">IF($A4971="","",ROW()-2)</f>
        <v/>
      </c>
      <c r="M4971" s="10" t="str">
        <f aca="false">IF($A4971="","",ROW())</f>
        <v/>
      </c>
    </row>
    <row r="4972" customFormat="false" ht="15" hidden="false" customHeight="true" outlineLevel="0" collapsed="false">
      <c r="A4972" s="8"/>
      <c r="B4972" s="8"/>
      <c r="C4972" s="8"/>
      <c r="D4972" s="8"/>
      <c r="E4972" s="8"/>
      <c r="F4972" s="8"/>
      <c r="G4972" s="10" t="str">
        <f aca="false">IF($A4972="","",UPPER(SUBSTITUTE(SUBSTITUTE(SUBSTITUTE(SUBSTITUTE($A4972," ",""),"(주)",""),"주식회사",""),"㈜","")))</f>
        <v/>
      </c>
      <c r="H4972" s="10" t="str">
        <f aca="false">IF($B4972="","",SUBSTITUTE(SUBSTITUTE(SUBSTITUTE($B4972,"-","")," ",""),".",""))</f>
        <v/>
      </c>
      <c r="I4972" s="10" t="str">
        <f aca="false">IF($D4972="","",SUBSTITUTE(SUBSTITUTE(SUBSTITUTE($D4972,"-","")," ",""),".",""))</f>
        <v/>
      </c>
      <c r="J4972" s="10" t="str">
        <f aca="false">IF($E4972="","",UPPER(SUBSTITUTE($E4972," ","")))</f>
        <v/>
      </c>
      <c r="K4972" s="10" t="str">
        <f aca="false">IF($A4972="","",$G4972&amp;"|"&amp;$J4972)</f>
        <v/>
      </c>
      <c r="L4972" s="10" t="str">
        <f aca="false">IF($A4972="","",ROW()-2)</f>
        <v/>
      </c>
      <c r="M4972" s="10" t="str">
        <f aca="false">IF($A4972="","",ROW())</f>
        <v/>
      </c>
    </row>
    <row r="4973" customFormat="false" ht="15" hidden="false" customHeight="true" outlineLevel="0" collapsed="false">
      <c r="A4973" s="8"/>
      <c r="B4973" s="8"/>
      <c r="C4973" s="8"/>
      <c r="D4973" s="8"/>
      <c r="E4973" s="8"/>
      <c r="F4973" s="8"/>
      <c r="G4973" s="10" t="str">
        <f aca="false">IF($A4973="","",UPPER(SUBSTITUTE(SUBSTITUTE(SUBSTITUTE(SUBSTITUTE($A4973," ",""),"(주)",""),"주식회사",""),"㈜","")))</f>
        <v/>
      </c>
      <c r="H4973" s="10" t="str">
        <f aca="false">IF($B4973="","",SUBSTITUTE(SUBSTITUTE(SUBSTITUTE($B4973,"-","")," ",""),".",""))</f>
        <v/>
      </c>
      <c r="I4973" s="10" t="str">
        <f aca="false">IF($D4973="","",SUBSTITUTE(SUBSTITUTE(SUBSTITUTE($D4973,"-","")," ",""),".",""))</f>
        <v/>
      </c>
      <c r="J4973" s="10" t="str">
        <f aca="false">IF($E4973="","",UPPER(SUBSTITUTE($E4973," ","")))</f>
        <v/>
      </c>
      <c r="K4973" s="10" t="str">
        <f aca="false">IF($A4973="","",$G4973&amp;"|"&amp;$J4973)</f>
        <v/>
      </c>
      <c r="L4973" s="10" t="str">
        <f aca="false">IF($A4973="","",ROW()-2)</f>
        <v/>
      </c>
      <c r="M4973" s="10" t="str">
        <f aca="false">IF($A4973="","",ROW())</f>
        <v/>
      </c>
    </row>
    <row r="4974" customFormat="false" ht="15" hidden="false" customHeight="true" outlineLevel="0" collapsed="false">
      <c r="A4974" s="8"/>
      <c r="B4974" s="8"/>
      <c r="C4974" s="8"/>
      <c r="D4974" s="8"/>
      <c r="E4974" s="8"/>
      <c r="F4974" s="8"/>
      <c r="G4974" s="10" t="str">
        <f aca="false">IF($A4974="","",UPPER(SUBSTITUTE(SUBSTITUTE(SUBSTITUTE(SUBSTITUTE($A4974," ",""),"(주)",""),"주식회사",""),"㈜","")))</f>
        <v/>
      </c>
      <c r="H4974" s="10" t="str">
        <f aca="false">IF($B4974="","",SUBSTITUTE(SUBSTITUTE(SUBSTITUTE($B4974,"-","")," ",""),".",""))</f>
        <v/>
      </c>
      <c r="I4974" s="10" t="str">
        <f aca="false">IF($D4974="","",SUBSTITUTE(SUBSTITUTE(SUBSTITUTE($D4974,"-","")," ",""),".",""))</f>
        <v/>
      </c>
      <c r="J4974" s="10" t="str">
        <f aca="false">IF($E4974="","",UPPER(SUBSTITUTE($E4974," ","")))</f>
        <v/>
      </c>
      <c r="K4974" s="10" t="str">
        <f aca="false">IF($A4974="","",$G4974&amp;"|"&amp;$J4974)</f>
        <v/>
      </c>
      <c r="L4974" s="10" t="str">
        <f aca="false">IF($A4974="","",ROW()-2)</f>
        <v/>
      </c>
      <c r="M4974" s="10" t="str">
        <f aca="false">IF($A4974="","",ROW())</f>
        <v/>
      </c>
    </row>
    <row r="4975" customFormat="false" ht="15" hidden="false" customHeight="true" outlineLevel="0" collapsed="false">
      <c r="A4975" s="8"/>
      <c r="B4975" s="8"/>
      <c r="C4975" s="8"/>
      <c r="D4975" s="8"/>
      <c r="E4975" s="8"/>
      <c r="F4975" s="8"/>
      <c r="G4975" s="10" t="str">
        <f aca="false">IF($A4975="","",UPPER(SUBSTITUTE(SUBSTITUTE(SUBSTITUTE(SUBSTITUTE($A4975," ",""),"(주)",""),"주식회사",""),"㈜","")))</f>
        <v/>
      </c>
      <c r="H4975" s="10" t="str">
        <f aca="false">IF($B4975="","",SUBSTITUTE(SUBSTITUTE(SUBSTITUTE($B4975,"-","")," ",""),".",""))</f>
        <v/>
      </c>
      <c r="I4975" s="10" t="str">
        <f aca="false">IF($D4975="","",SUBSTITUTE(SUBSTITUTE(SUBSTITUTE($D4975,"-","")," ",""),".",""))</f>
        <v/>
      </c>
      <c r="J4975" s="10" t="str">
        <f aca="false">IF($E4975="","",UPPER(SUBSTITUTE($E4975," ","")))</f>
        <v/>
      </c>
      <c r="K4975" s="10" t="str">
        <f aca="false">IF($A4975="","",$G4975&amp;"|"&amp;$J4975)</f>
        <v/>
      </c>
      <c r="L4975" s="10" t="str">
        <f aca="false">IF($A4975="","",ROW()-2)</f>
        <v/>
      </c>
      <c r="M4975" s="10" t="str">
        <f aca="false">IF($A4975="","",ROW())</f>
        <v/>
      </c>
    </row>
    <row r="4976" customFormat="false" ht="15" hidden="false" customHeight="true" outlineLevel="0" collapsed="false">
      <c r="A4976" s="8"/>
      <c r="B4976" s="8"/>
      <c r="C4976" s="8"/>
      <c r="D4976" s="8"/>
      <c r="E4976" s="8"/>
      <c r="F4976" s="8"/>
      <c r="G4976" s="10" t="str">
        <f aca="false">IF($A4976="","",UPPER(SUBSTITUTE(SUBSTITUTE(SUBSTITUTE(SUBSTITUTE($A4976," ",""),"(주)",""),"주식회사",""),"㈜","")))</f>
        <v/>
      </c>
      <c r="H4976" s="10" t="str">
        <f aca="false">IF($B4976="","",SUBSTITUTE(SUBSTITUTE(SUBSTITUTE($B4976,"-","")," ",""),".",""))</f>
        <v/>
      </c>
      <c r="I4976" s="10" t="str">
        <f aca="false">IF($D4976="","",SUBSTITUTE(SUBSTITUTE(SUBSTITUTE($D4976,"-","")," ",""),".",""))</f>
        <v/>
      </c>
      <c r="J4976" s="10" t="str">
        <f aca="false">IF($E4976="","",UPPER(SUBSTITUTE($E4976," ","")))</f>
        <v/>
      </c>
      <c r="K4976" s="10" t="str">
        <f aca="false">IF($A4976="","",$G4976&amp;"|"&amp;$J4976)</f>
        <v/>
      </c>
      <c r="L4976" s="10" t="str">
        <f aca="false">IF($A4976="","",ROW()-2)</f>
        <v/>
      </c>
      <c r="M4976" s="10" t="str">
        <f aca="false">IF($A4976="","",ROW())</f>
        <v/>
      </c>
    </row>
    <row r="4977" customFormat="false" ht="15" hidden="false" customHeight="true" outlineLevel="0" collapsed="false">
      <c r="A4977" s="8"/>
      <c r="B4977" s="8"/>
      <c r="C4977" s="8"/>
      <c r="D4977" s="8"/>
      <c r="E4977" s="8"/>
      <c r="F4977" s="8"/>
      <c r="G4977" s="10" t="str">
        <f aca="false">IF($A4977="","",UPPER(SUBSTITUTE(SUBSTITUTE(SUBSTITUTE(SUBSTITUTE($A4977," ",""),"(주)",""),"주식회사",""),"㈜","")))</f>
        <v/>
      </c>
      <c r="H4977" s="10" t="str">
        <f aca="false">IF($B4977="","",SUBSTITUTE(SUBSTITUTE(SUBSTITUTE($B4977,"-","")," ",""),".",""))</f>
        <v/>
      </c>
      <c r="I4977" s="10" t="str">
        <f aca="false">IF($D4977="","",SUBSTITUTE(SUBSTITUTE(SUBSTITUTE($D4977,"-","")," ",""),".",""))</f>
        <v/>
      </c>
      <c r="J4977" s="10" t="str">
        <f aca="false">IF($E4977="","",UPPER(SUBSTITUTE($E4977," ","")))</f>
        <v/>
      </c>
      <c r="K4977" s="10" t="str">
        <f aca="false">IF($A4977="","",$G4977&amp;"|"&amp;$J4977)</f>
        <v/>
      </c>
      <c r="L4977" s="10" t="str">
        <f aca="false">IF($A4977="","",ROW()-2)</f>
        <v/>
      </c>
      <c r="M4977" s="10" t="str">
        <f aca="false">IF($A4977="","",ROW())</f>
        <v/>
      </c>
    </row>
    <row r="4978" customFormat="false" ht="15" hidden="false" customHeight="true" outlineLevel="0" collapsed="false">
      <c r="A4978" s="8"/>
      <c r="B4978" s="8"/>
      <c r="C4978" s="8"/>
      <c r="D4978" s="8"/>
      <c r="E4978" s="8"/>
      <c r="F4978" s="8"/>
      <c r="G4978" s="10" t="str">
        <f aca="false">IF($A4978="","",UPPER(SUBSTITUTE(SUBSTITUTE(SUBSTITUTE(SUBSTITUTE($A4978," ",""),"(주)",""),"주식회사",""),"㈜","")))</f>
        <v/>
      </c>
      <c r="H4978" s="10" t="str">
        <f aca="false">IF($B4978="","",SUBSTITUTE(SUBSTITUTE(SUBSTITUTE($B4978,"-","")," ",""),".",""))</f>
        <v/>
      </c>
      <c r="I4978" s="10" t="str">
        <f aca="false">IF($D4978="","",SUBSTITUTE(SUBSTITUTE(SUBSTITUTE($D4978,"-","")," ",""),".",""))</f>
        <v/>
      </c>
      <c r="J4978" s="10" t="str">
        <f aca="false">IF($E4978="","",UPPER(SUBSTITUTE($E4978," ","")))</f>
        <v/>
      </c>
      <c r="K4978" s="10" t="str">
        <f aca="false">IF($A4978="","",$G4978&amp;"|"&amp;$J4978)</f>
        <v/>
      </c>
      <c r="L4978" s="10" t="str">
        <f aca="false">IF($A4978="","",ROW()-2)</f>
        <v/>
      </c>
      <c r="M4978" s="10" t="str">
        <f aca="false">IF($A4978="","",ROW())</f>
        <v/>
      </c>
    </row>
    <row r="4979" customFormat="false" ht="15" hidden="false" customHeight="true" outlineLevel="0" collapsed="false">
      <c r="A4979" s="8"/>
      <c r="B4979" s="8"/>
      <c r="C4979" s="8"/>
      <c r="D4979" s="8"/>
      <c r="E4979" s="8"/>
      <c r="F4979" s="8"/>
      <c r="G4979" s="10" t="str">
        <f aca="false">IF($A4979="","",UPPER(SUBSTITUTE(SUBSTITUTE(SUBSTITUTE(SUBSTITUTE($A4979," ",""),"(주)",""),"주식회사",""),"㈜","")))</f>
        <v/>
      </c>
      <c r="H4979" s="10" t="str">
        <f aca="false">IF($B4979="","",SUBSTITUTE(SUBSTITUTE(SUBSTITUTE($B4979,"-","")," ",""),".",""))</f>
        <v/>
      </c>
      <c r="I4979" s="10" t="str">
        <f aca="false">IF($D4979="","",SUBSTITUTE(SUBSTITUTE(SUBSTITUTE($D4979,"-","")," ",""),".",""))</f>
        <v/>
      </c>
      <c r="J4979" s="10" t="str">
        <f aca="false">IF($E4979="","",UPPER(SUBSTITUTE($E4979," ","")))</f>
        <v/>
      </c>
      <c r="K4979" s="10" t="str">
        <f aca="false">IF($A4979="","",$G4979&amp;"|"&amp;$J4979)</f>
        <v/>
      </c>
      <c r="L4979" s="10" t="str">
        <f aca="false">IF($A4979="","",ROW()-2)</f>
        <v/>
      </c>
      <c r="M4979" s="10" t="str">
        <f aca="false">IF($A4979="","",ROW())</f>
        <v/>
      </c>
    </row>
    <row r="4980" customFormat="false" ht="15" hidden="false" customHeight="true" outlineLevel="0" collapsed="false">
      <c r="A4980" s="8"/>
      <c r="B4980" s="8"/>
      <c r="C4980" s="8"/>
      <c r="D4980" s="8"/>
      <c r="E4980" s="8"/>
      <c r="F4980" s="8"/>
      <c r="G4980" s="10" t="str">
        <f aca="false">IF($A4980="","",UPPER(SUBSTITUTE(SUBSTITUTE(SUBSTITUTE(SUBSTITUTE($A4980," ",""),"(주)",""),"주식회사",""),"㈜","")))</f>
        <v/>
      </c>
      <c r="H4980" s="10" t="str">
        <f aca="false">IF($B4980="","",SUBSTITUTE(SUBSTITUTE(SUBSTITUTE($B4980,"-","")," ",""),".",""))</f>
        <v/>
      </c>
      <c r="I4980" s="10" t="str">
        <f aca="false">IF($D4980="","",SUBSTITUTE(SUBSTITUTE(SUBSTITUTE($D4980,"-","")," ",""),".",""))</f>
        <v/>
      </c>
      <c r="J4980" s="10" t="str">
        <f aca="false">IF($E4980="","",UPPER(SUBSTITUTE($E4980," ","")))</f>
        <v/>
      </c>
      <c r="K4980" s="10" t="str">
        <f aca="false">IF($A4980="","",$G4980&amp;"|"&amp;$J4980)</f>
        <v/>
      </c>
      <c r="L4980" s="10" t="str">
        <f aca="false">IF($A4980="","",ROW()-2)</f>
        <v/>
      </c>
      <c r="M4980" s="10" t="str">
        <f aca="false">IF($A4980="","",ROW())</f>
        <v/>
      </c>
    </row>
    <row r="4981" customFormat="false" ht="15" hidden="false" customHeight="true" outlineLevel="0" collapsed="false">
      <c r="A4981" s="8"/>
      <c r="B4981" s="8"/>
      <c r="C4981" s="8"/>
      <c r="D4981" s="8"/>
      <c r="E4981" s="8"/>
      <c r="F4981" s="8"/>
      <c r="G4981" s="10" t="str">
        <f aca="false">IF($A4981="","",UPPER(SUBSTITUTE(SUBSTITUTE(SUBSTITUTE(SUBSTITUTE($A4981," ",""),"(주)",""),"주식회사",""),"㈜","")))</f>
        <v/>
      </c>
      <c r="H4981" s="10" t="str">
        <f aca="false">IF($B4981="","",SUBSTITUTE(SUBSTITUTE(SUBSTITUTE($B4981,"-","")," ",""),".",""))</f>
        <v/>
      </c>
      <c r="I4981" s="10" t="str">
        <f aca="false">IF($D4981="","",SUBSTITUTE(SUBSTITUTE(SUBSTITUTE($D4981,"-","")," ",""),".",""))</f>
        <v/>
      </c>
      <c r="J4981" s="10" t="str">
        <f aca="false">IF($E4981="","",UPPER(SUBSTITUTE($E4981," ","")))</f>
        <v/>
      </c>
      <c r="K4981" s="10" t="str">
        <f aca="false">IF($A4981="","",$G4981&amp;"|"&amp;$J4981)</f>
        <v/>
      </c>
      <c r="L4981" s="10" t="str">
        <f aca="false">IF($A4981="","",ROW()-2)</f>
        <v/>
      </c>
      <c r="M4981" s="10" t="str">
        <f aca="false">IF($A4981="","",ROW())</f>
        <v/>
      </c>
    </row>
    <row r="4982" customFormat="false" ht="15" hidden="false" customHeight="true" outlineLevel="0" collapsed="false">
      <c r="A4982" s="8"/>
      <c r="B4982" s="8"/>
      <c r="C4982" s="8"/>
      <c r="D4982" s="8"/>
      <c r="E4982" s="8"/>
      <c r="F4982" s="8"/>
      <c r="G4982" s="10" t="str">
        <f aca="false">IF($A4982="","",UPPER(SUBSTITUTE(SUBSTITUTE(SUBSTITUTE(SUBSTITUTE($A4982," ",""),"(주)",""),"주식회사",""),"㈜","")))</f>
        <v/>
      </c>
      <c r="H4982" s="10" t="str">
        <f aca="false">IF($B4982="","",SUBSTITUTE(SUBSTITUTE(SUBSTITUTE($B4982,"-","")," ",""),".",""))</f>
        <v/>
      </c>
      <c r="I4982" s="10" t="str">
        <f aca="false">IF($D4982="","",SUBSTITUTE(SUBSTITUTE(SUBSTITUTE($D4982,"-","")," ",""),".",""))</f>
        <v/>
      </c>
      <c r="J4982" s="10" t="str">
        <f aca="false">IF($E4982="","",UPPER(SUBSTITUTE($E4982," ","")))</f>
        <v/>
      </c>
      <c r="K4982" s="10" t="str">
        <f aca="false">IF($A4982="","",$G4982&amp;"|"&amp;$J4982)</f>
        <v/>
      </c>
      <c r="L4982" s="10" t="str">
        <f aca="false">IF($A4982="","",ROW()-2)</f>
        <v/>
      </c>
      <c r="M4982" s="10" t="str">
        <f aca="false">IF($A4982="","",ROW())</f>
        <v/>
      </c>
    </row>
    <row r="4983" customFormat="false" ht="15" hidden="false" customHeight="true" outlineLevel="0" collapsed="false">
      <c r="A4983" s="8"/>
      <c r="B4983" s="8"/>
      <c r="C4983" s="8"/>
      <c r="D4983" s="8"/>
      <c r="E4983" s="8"/>
      <c r="F4983" s="8"/>
      <c r="G4983" s="10" t="str">
        <f aca="false">IF($A4983="","",UPPER(SUBSTITUTE(SUBSTITUTE(SUBSTITUTE(SUBSTITUTE($A4983," ",""),"(주)",""),"주식회사",""),"㈜","")))</f>
        <v/>
      </c>
      <c r="H4983" s="10" t="str">
        <f aca="false">IF($B4983="","",SUBSTITUTE(SUBSTITUTE(SUBSTITUTE($B4983,"-","")," ",""),".",""))</f>
        <v/>
      </c>
      <c r="I4983" s="10" t="str">
        <f aca="false">IF($D4983="","",SUBSTITUTE(SUBSTITUTE(SUBSTITUTE($D4983,"-","")," ",""),".",""))</f>
        <v/>
      </c>
      <c r="J4983" s="10" t="str">
        <f aca="false">IF($E4983="","",UPPER(SUBSTITUTE($E4983," ","")))</f>
        <v/>
      </c>
      <c r="K4983" s="10" t="str">
        <f aca="false">IF($A4983="","",$G4983&amp;"|"&amp;$J4983)</f>
        <v/>
      </c>
      <c r="L4983" s="10" t="str">
        <f aca="false">IF($A4983="","",ROW()-2)</f>
        <v/>
      </c>
      <c r="M4983" s="10" t="str">
        <f aca="false">IF($A4983="","",ROW())</f>
        <v/>
      </c>
    </row>
    <row r="4984" customFormat="false" ht="15" hidden="false" customHeight="true" outlineLevel="0" collapsed="false">
      <c r="A4984" s="8"/>
      <c r="B4984" s="8"/>
      <c r="C4984" s="8"/>
      <c r="D4984" s="8"/>
      <c r="E4984" s="8"/>
      <c r="F4984" s="8"/>
      <c r="G4984" s="10" t="str">
        <f aca="false">IF($A4984="","",UPPER(SUBSTITUTE(SUBSTITUTE(SUBSTITUTE(SUBSTITUTE($A4984," ",""),"(주)",""),"주식회사",""),"㈜","")))</f>
        <v/>
      </c>
      <c r="H4984" s="10" t="str">
        <f aca="false">IF($B4984="","",SUBSTITUTE(SUBSTITUTE(SUBSTITUTE($B4984,"-","")," ",""),".",""))</f>
        <v/>
      </c>
      <c r="I4984" s="10" t="str">
        <f aca="false">IF($D4984="","",SUBSTITUTE(SUBSTITUTE(SUBSTITUTE($D4984,"-","")," ",""),".",""))</f>
        <v/>
      </c>
      <c r="J4984" s="10" t="str">
        <f aca="false">IF($E4984="","",UPPER(SUBSTITUTE($E4984," ","")))</f>
        <v/>
      </c>
      <c r="K4984" s="10" t="str">
        <f aca="false">IF($A4984="","",$G4984&amp;"|"&amp;$J4984)</f>
        <v/>
      </c>
      <c r="L4984" s="10" t="str">
        <f aca="false">IF($A4984="","",ROW()-2)</f>
        <v/>
      </c>
      <c r="M4984" s="10" t="str">
        <f aca="false">IF($A4984="","",ROW())</f>
        <v/>
      </c>
    </row>
    <row r="4985" customFormat="false" ht="15" hidden="false" customHeight="true" outlineLevel="0" collapsed="false">
      <c r="A4985" s="8"/>
      <c r="B4985" s="8"/>
      <c r="C4985" s="8"/>
      <c r="D4985" s="8"/>
      <c r="E4985" s="8"/>
      <c r="F4985" s="8"/>
      <c r="G4985" s="10" t="str">
        <f aca="false">IF($A4985="","",UPPER(SUBSTITUTE(SUBSTITUTE(SUBSTITUTE(SUBSTITUTE($A4985," ",""),"(주)",""),"주식회사",""),"㈜","")))</f>
        <v/>
      </c>
      <c r="H4985" s="10" t="str">
        <f aca="false">IF($B4985="","",SUBSTITUTE(SUBSTITUTE(SUBSTITUTE($B4985,"-","")," ",""),".",""))</f>
        <v/>
      </c>
      <c r="I4985" s="10" t="str">
        <f aca="false">IF($D4985="","",SUBSTITUTE(SUBSTITUTE(SUBSTITUTE($D4985,"-","")," ",""),".",""))</f>
        <v/>
      </c>
      <c r="J4985" s="10" t="str">
        <f aca="false">IF($E4985="","",UPPER(SUBSTITUTE($E4985," ","")))</f>
        <v/>
      </c>
      <c r="K4985" s="10" t="str">
        <f aca="false">IF($A4985="","",$G4985&amp;"|"&amp;$J4985)</f>
        <v/>
      </c>
      <c r="L4985" s="10" t="str">
        <f aca="false">IF($A4985="","",ROW()-2)</f>
        <v/>
      </c>
      <c r="M4985" s="10" t="str">
        <f aca="false">IF($A4985="","",ROW())</f>
        <v/>
      </c>
    </row>
    <row r="4986" customFormat="false" ht="15" hidden="false" customHeight="true" outlineLevel="0" collapsed="false">
      <c r="A4986" s="8"/>
      <c r="B4986" s="8"/>
      <c r="C4986" s="8"/>
      <c r="D4986" s="8"/>
      <c r="E4986" s="8"/>
      <c r="F4986" s="8"/>
      <c r="G4986" s="10" t="str">
        <f aca="false">IF($A4986="","",UPPER(SUBSTITUTE(SUBSTITUTE(SUBSTITUTE(SUBSTITUTE($A4986," ",""),"(주)",""),"주식회사",""),"㈜","")))</f>
        <v/>
      </c>
      <c r="H4986" s="10" t="str">
        <f aca="false">IF($B4986="","",SUBSTITUTE(SUBSTITUTE(SUBSTITUTE($B4986,"-","")," ",""),".",""))</f>
        <v/>
      </c>
      <c r="I4986" s="10" t="str">
        <f aca="false">IF($D4986="","",SUBSTITUTE(SUBSTITUTE(SUBSTITUTE($D4986,"-","")," ",""),".",""))</f>
        <v/>
      </c>
      <c r="J4986" s="10" t="str">
        <f aca="false">IF($E4986="","",UPPER(SUBSTITUTE($E4986," ","")))</f>
        <v/>
      </c>
      <c r="K4986" s="10" t="str">
        <f aca="false">IF($A4986="","",$G4986&amp;"|"&amp;$J4986)</f>
        <v/>
      </c>
      <c r="L4986" s="10" t="str">
        <f aca="false">IF($A4986="","",ROW()-2)</f>
        <v/>
      </c>
      <c r="M4986" s="10" t="str">
        <f aca="false">IF($A4986="","",ROW())</f>
        <v/>
      </c>
    </row>
    <row r="4987" customFormat="false" ht="15" hidden="false" customHeight="true" outlineLevel="0" collapsed="false">
      <c r="A4987" s="8"/>
      <c r="B4987" s="8"/>
      <c r="C4987" s="8"/>
      <c r="D4987" s="8"/>
      <c r="E4987" s="8"/>
      <c r="F4987" s="8"/>
      <c r="G4987" s="10" t="str">
        <f aca="false">IF($A4987="","",UPPER(SUBSTITUTE(SUBSTITUTE(SUBSTITUTE(SUBSTITUTE($A4987," ",""),"(주)",""),"주식회사",""),"㈜","")))</f>
        <v/>
      </c>
      <c r="H4987" s="10" t="str">
        <f aca="false">IF($B4987="","",SUBSTITUTE(SUBSTITUTE(SUBSTITUTE($B4987,"-","")," ",""),".",""))</f>
        <v/>
      </c>
      <c r="I4987" s="10" t="str">
        <f aca="false">IF($D4987="","",SUBSTITUTE(SUBSTITUTE(SUBSTITUTE($D4987,"-","")," ",""),".",""))</f>
        <v/>
      </c>
      <c r="J4987" s="10" t="str">
        <f aca="false">IF($E4987="","",UPPER(SUBSTITUTE($E4987," ","")))</f>
        <v/>
      </c>
      <c r="K4987" s="10" t="str">
        <f aca="false">IF($A4987="","",$G4987&amp;"|"&amp;$J4987)</f>
        <v/>
      </c>
      <c r="L4987" s="10" t="str">
        <f aca="false">IF($A4987="","",ROW()-2)</f>
        <v/>
      </c>
      <c r="M4987" s="10" t="str">
        <f aca="false">IF($A4987="","",ROW())</f>
        <v/>
      </c>
    </row>
    <row r="4988" customFormat="false" ht="15" hidden="false" customHeight="true" outlineLevel="0" collapsed="false">
      <c r="A4988" s="8"/>
      <c r="B4988" s="8"/>
      <c r="C4988" s="8"/>
      <c r="D4988" s="8"/>
      <c r="E4988" s="8"/>
      <c r="F4988" s="8"/>
      <c r="G4988" s="10" t="str">
        <f aca="false">IF($A4988="","",UPPER(SUBSTITUTE(SUBSTITUTE(SUBSTITUTE(SUBSTITUTE($A4988," ",""),"(주)",""),"주식회사",""),"㈜","")))</f>
        <v/>
      </c>
      <c r="H4988" s="10" t="str">
        <f aca="false">IF($B4988="","",SUBSTITUTE(SUBSTITUTE(SUBSTITUTE($B4988,"-","")," ",""),".",""))</f>
        <v/>
      </c>
      <c r="I4988" s="10" t="str">
        <f aca="false">IF($D4988="","",SUBSTITUTE(SUBSTITUTE(SUBSTITUTE($D4988,"-","")," ",""),".",""))</f>
        <v/>
      </c>
      <c r="J4988" s="10" t="str">
        <f aca="false">IF($E4988="","",UPPER(SUBSTITUTE($E4988," ","")))</f>
        <v/>
      </c>
      <c r="K4988" s="10" t="str">
        <f aca="false">IF($A4988="","",$G4988&amp;"|"&amp;$J4988)</f>
        <v/>
      </c>
      <c r="L4988" s="10" t="str">
        <f aca="false">IF($A4988="","",ROW()-2)</f>
        <v/>
      </c>
      <c r="M4988" s="10" t="str">
        <f aca="false">IF($A4988="","",ROW())</f>
        <v/>
      </c>
    </row>
    <row r="4989" customFormat="false" ht="15" hidden="false" customHeight="true" outlineLevel="0" collapsed="false">
      <c r="A4989" s="8"/>
      <c r="B4989" s="8"/>
      <c r="C4989" s="8"/>
      <c r="D4989" s="8"/>
      <c r="E4989" s="8"/>
      <c r="F4989" s="8"/>
      <c r="G4989" s="10" t="str">
        <f aca="false">IF($A4989="","",UPPER(SUBSTITUTE(SUBSTITUTE(SUBSTITUTE(SUBSTITUTE($A4989," ",""),"(주)",""),"주식회사",""),"㈜","")))</f>
        <v/>
      </c>
      <c r="H4989" s="10" t="str">
        <f aca="false">IF($B4989="","",SUBSTITUTE(SUBSTITUTE(SUBSTITUTE($B4989,"-","")," ",""),".",""))</f>
        <v/>
      </c>
      <c r="I4989" s="10" t="str">
        <f aca="false">IF($D4989="","",SUBSTITUTE(SUBSTITUTE(SUBSTITUTE($D4989,"-","")," ",""),".",""))</f>
        <v/>
      </c>
      <c r="J4989" s="10" t="str">
        <f aca="false">IF($E4989="","",UPPER(SUBSTITUTE($E4989," ","")))</f>
        <v/>
      </c>
      <c r="K4989" s="10" t="str">
        <f aca="false">IF($A4989="","",$G4989&amp;"|"&amp;$J4989)</f>
        <v/>
      </c>
      <c r="L4989" s="10" t="str">
        <f aca="false">IF($A4989="","",ROW()-2)</f>
        <v/>
      </c>
      <c r="M4989" s="10" t="str">
        <f aca="false">IF($A4989="","",ROW())</f>
        <v/>
      </c>
    </row>
    <row r="4990" customFormat="false" ht="15" hidden="false" customHeight="true" outlineLevel="0" collapsed="false">
      <c r="A4990" s="8"/>
      <c r="B4990" s="8"/>
      <c r="C4990" s="8"/>
      <c r="D4990" s="8"/>
      <c r="E4990" s="8"/>
      <c r="F4990" s="8"/>
      <c r="G4990" s="10" t="str">
        <f aca="false">IF($A4990="","",UPPER(SUBSTITUTE(SUBSTITUTE(SUBSTITUTE(SUBSTITUTE($A4990," ",""),"(주)",""),"주식회사",""),"㈜","")))</f>
        <v/>
      </c>
      <c r="H4990" s="10" t="str">
        <f aca="false">IF($B4990="","",SUBSTITUTE(SUBSTITUTE(SUBSTITUTE($B4990,"-","")," ",""),".",""))</f>
        <v/>
      </c>
      <c r="I4990" s="10" t="str">
        <f aca="false">IF($D4990="","",SUBSTITUTE(SUBSTITUTE(SUBSTITUTE($D4990,"-","")," ",""),".",""))</f>
        <v/>
      </c>
      <c r="J4990" s="10" t="str">
        <f aca="false">IF($E4990="","",UPPER(SUBSTITUTE($E4990," ","")))</f>
        <v/>
      </c>
      <c r="K4990" s="10" t="str">
        <f aca="false">IF($A4990="","",$G4990&amp;"|"&amp;$J4990)</f>
        <v/>
      </c>
      <c r="L4990" s="10" t="str">
        <f aca="false">IF($A4990="","",ROW()-2)</f>
        <v/>
      </c>
      <c r="M4990" s="10" t="str">
        <f aca="false">IF($A4990="","",ROW())</f>
        <v/>
      </c>
    </row>
    <row r="4991" customFormat="false" ht="15" hidden="false" customHeight="true" outlineLevel="0" collapsed="false">
      <c r="A4991" s="8"/>
      <c r="B4991" s="8"/>
      <c r="C4991" s="8"/>
      <c r="D4991" s="8"/>
      <c r="E4991" s="8"/>
      <c r="F4991" s="8"/>
      <c r="G4991" s="10" t="str">
        <f aca="false">IF($A4991="","",UPPER(SUBSTITUTE(SUBSTITUTE(SUBSTITUTE(SUBSTITUTE($A4991," ",""),"(주)",""),"주식회사",""),"㈜","")))</f>
        <v/>
      </c>
      <c r="H4991" s="10" t="str">
        <f aca="false">IF($B4991="","",SUBSTITUTE(SUBSTITUTE(SUBSTITUTE($B4991,"-","")," ",""),".",""))</f>
        <v/>
      </c>
      <c r="I4991" s="10" t="str">
        <f aca="false">IF($D4991="","",SUBSTITUTE(SUBSTITUTE(SUBSTITUTE($D4991,"-","")," ",""),".",""))</f>
        <v/>
      </c>
      <c r="J4991" s="10" t="str">
        <f aca="false">IF($E4991="","",UPPER(SUBSTITUTE($E4991," ","")))</f>
        <v/>
      </c>
      <c r="K4991" s="10" t="str">
        <f aca="false">IF($A4991="","",$G4991&amp;"|"&amp;$J4991)</f>
        <v/>
      </c>
      <c r="L4991" s="10" t="str">
        <f aca="false">IF($A4991="","",ROW()-2)</f>
        <v/>
      </c>
      <c r="M4991" s="10" t="str">
        <f aca="false">IF($A4991="","",ROW())</f>
        <v/>
      </c>
    </row>
    <row r="4992" customFormat="false" ht="15" hidden="false" customHeight="true" outlineLevel="0" collapsed="false">
      <c r="A4992" s="8"/>
      <c r="B4992" s="8"/>
      <c r="C4992" s="8"/>
      <c r="D4992" s="8"/>
      <c r="E4992" s="8"/>
      <c r="F4992" s="8"/>
      <c r="G4992" s="10" t="str">
        <f aca="false">IF($A4992="","",UPPER(SUBSTITUTE(SUBSTITUTE(SUBSTITUTE(SUBSTITUTE($A4992," ",""),"(주)",""),"주식회사",""),"㈜","")))</f>
        <v/>
      </c>
      <c r="H4992" s="10" t="str">
        <f aca="false">IF($B4992="","",SUBSTITUTE(SUBSTITUTE(SUBSTITUTE($B4992,"-","")," ",""),".",""))</f>
        <v/>
      </c>
      <c r="I4992" s="10" t="str">
        <f aca="false">IF($D4992="","",SUBSTITUTE(SUBSTITUTE(SUBSTITUTE($D4992,"-","")," ",""),".",""))</f>
        <v/>
      </c>
      <c r="J4992" s="10" t="str">
        <f aca="false">IF($E4992="","",UPPER(SUBSTITUTE($E4992," ","")))</f>
        <v/>
      </c>
      <c r="K4992" s="10" t="str">
        <f aca="false">IF($A4992="","",$G4992&amp;"|"&amp;$J4992)</f>
        <v/>
      </c>
      <c r="L4992" s="10" t="str">
        <f aca="false">IF($A4992="","",ROW()-2)</f>
        <v/>
      </c>
      <c r="M4992" s="10" t="str">
        <f aca="false">IF($A4992="","",ROW())</f>
        <v/>
      </c>
    </row>
    <row r="4993" customFormat="false" ht="15" hidden="false" customHeight="true" outlineLevel="0" collapsed="false">
      <c r="A4993" s="8"/>
      <c r="B4993" s="8"/>
      <c r="C4993" s="8"/>
      <c r="D4993" s="8"/>
      <c r="E4993" s="8"/>
      <c r="F4993" s="8"/>
      <c r="G4993" s="10" t="str">
        <f aca="false">IF($A4993="","",UPPER(SUBSTITUTE(SUBSTITUTE(SUBSTITUTE(SUBSTITUTE($A4993," ",""),"(주)",""),"주식회사",""),"㈜","")))</f>
        <v/>
      </c>
      <c r="H4993" s="10" t="str">
        <f aca="false">IF($B4993="","",SUBSTITUTE(SUBSTITUTE(SUBSTITUTE($B4993,"-","")," ",""),".",""))</f>
        <v/>
      </c>
      <c r="I4993" s="10" t="str">
        <f aca="false">IF($D4993="","",SUBSTITUTE(SUBSTITUTE(SUBSTITUTE($D4993,"-","")," ",""),".",""))</f>
        <v/>
      </c>
      <c r="J4993" s="10" t="str">
        <f aca="false">IF($E4993="","",UPPER(SUBSTITUTE($E4993," ","")))</f>
        <v/>
      </c>
      <c r="K4993" s="10" t="str">
        <f aca="false">IF($A4993="","",$G4993&amp;"|"&amp;$J4993)</f>
        <v/>
      </c>
      <c r="L4993" s="10" t="str">
        <f aca="false">IF($A4993="","",ROW()-2)</f>
        <v/>
      </c>
      <c r="M4993" s="10" t="str">
        <f aca="false">IF($A4993="","",ROW())</f>
        <v/>
      </c>
    </row>
    <row r="4994" customFormat="false" ht="15" hidden="false" customHeight="true" outlineLevel="0" collapsed="false">
      <c r="A4994" s="8"/>
      <c r="B4994" s="8"/>
      <c r="C4994" s="8"/>
      <c r="D4994" s="8"/>
      <c r="E4994" s="8"/>
      <c r="F4994" s="8"/>
      <c r="G4994" s="10" t="str">
        <f aca="false">IF($A4994="","",UPPER(SUBSTITUTE(SUBSTITUTE(SUBSTITUTE(SUBSTITUTE($A4994," ",""),"(주)",""),"주식회사",""),"㈜","")))</f>
        <v/>
      </c>
      <c r="H4994" s="10" t="str">
        <f aca="false">IF($B4994="","",SUBSTITUTE(SUBSTITUTE(SUBSTITUTE($B4994,"-","")," ",""),".",""))</f>
        <v/>
      </c>
      <c r="I4994" s="10" t="str">
        <f aca="false">IF($D4994="","",SUBSTITUTE(SUBSTITUTE(SUBSTITUTE($D4994,"-","")," ",""),".",""))</f>
        <v/>
      </c>
      <c r="J4994" s="10" t="str">
        <f aca="false">IF($E4994="","",UPPER(SUBSTITUTE($E4994," ","")))</f>
        <v/>
      </c>
      <c r="K4994" s="10" t="str">
        <f aca="false">IF($A4994="","",$G4994&amp;"|"&amp;$J4994)</f>
        <v/>
      </c>
      <c r="L4994" s="10" t="str">
        <f aca="false">IF($A4994="","",ROW()-2)</f>
        <v/>
      </c>
      <c r="M4994" s="10" t="str">
        <f aca="false">IF($A4994="","",ROW())</f>
        <v/>
      </c>
    </row>
    <row r="4995" customFormat="false" ht="15" hidden="false" customHeight="true" outlineLevel="0" collapsed="false">
      <c r="A4995" s="8"/>
      <c r="B4995" s="8"/>
      <c r="C4995" s="8"/>
      <c r="D4995" s="8"/>
      <c r="E4995" s="8"/>
      <c r="F4995" s="8"/>
      <c r="G4995" s="10" t="str">
        <f aca="false">IF($A4995="","",UPPER(SUBSTITUTE(SUBSTITUTE(SUBSTITUTE(SUBSTITUTE($A4995," ",""),"(주)",""),"주식회사",""),"㈜","")))</f>
        <v/>
      </c>
      <c r="H4995" s="10" t="str">
        <f aca="false">IF($B4995="","",SUBSTITUTE(SUBSTITUTE(SUBSTITUTE($B4995,"-","")," ",""),".",""))</f>
        <v/>
      </c>
      <c r="I4995" s="10" t="str">
        <f aca="false">IF($D4995="","",SUBSTITUTE(SUBSTITUTE(SUBSTITUTE($D4995,"-","")," ",""),".",""))</f>
        <v/>
      </c>
      <c r="J4995" s="10" t="str">
        <f aca="false">IF($E4995="","",UPPER(SUBSTITUTE($E4995," ","")))</f>
        <v/>
      </c>
      <c r="K4995" s="10" t="str">
        <f aca="false">IF($A4995="","",$G4995&amp;"|"&amp;$J4995)</f>
        <v/>
      </c>
      <c r="L4995" s="10" t="str">
        <f aca="false">IF($A4995="","",ROW()-2)</f>
        <v/>
      </c>
      <c r="M4995" s="10" t="str">
        <f aca="false">IF($A4995="","",ROW())</f>
        <v/>
      </c>
    </row>
    <row r="4996" customFormat="false" ht="15" hidden="false" customHeight="true" outlineLevel="0" collapsed="false">
      <c r="A4996" s="8"/>
      <c r="B4996" s="8"/>
      <c r="C4996" s="8"/>
      <c r="D4996" s="8"/>
      <c r="E4996" s="8"/>
      <c r="F4996" s="8"/>
      <c r="G4996" s="10" t="str">
        <f aca="false">IF($A4996="","",UPPER(SUBSTITUTE(SUBSTITUTE(SUBSTITUTE(SUBSTITUTE($A4996," ",""),"(주)",""),"주식회사",""),"㈜","")))</f>
        <v/>
      </c>
      <c r="H4996" s="10" t="str">
        <f aca="false">IF($B4996="","",SUBSTITUTE(SUBSTITUTE(SUBSTITUTE($B4996,"-","")," ",""),".",""))</f>
        <v/>
      </c>
      <c r="I4996" s="10" t="str">
        <f aca="false">IF($D4996="","",SUBSTITUTE(SUBSTITUTE(SUBSTITUTE($D4996,"-","")," ",""),".",""))</f>
        <v/>
      </c>
      <c r="J4996" s="10" t="str">
        <f aca="false">IF($E4996="","",UPPER(SUBSTITUTE($E4996," ","")))</f>
        <v/>
      </c>
      <c r="K4996" s="10" t="str">
        <f aca="false">IF($A4996="","",$G4996&amp;"|"&amp;$J4996)</f>
        <v/>
      </c>
      <c r="L4996" s="10" t="str">
        <f aca="false">IF($A4996="","",ROW()-2)</f>
        <v/>
      </c>
      <c r="M4996" s="10" t="str">
        <f aca="false">IF($A4996="","",ROW())</f>
        <v/>
      </c>
    </row>
    <row r="4997" customFormat="false" ht="15" hidden="false" customHeight="true" outlineLevel="0" collapsed="false">
      <c r="A4997" s="8"/>
      <c r="B4997" s="8"/>
      <c r="C4997" s="8"/>
      <c r="D4997" s="8"/>
      <c r="E4997" s="8"/>
      <c r="F4997" s="8"/>
      <c r="G4997" s="10" t="str">
        <f aca="false">IF($A4997="","",UPPER(SUBSTITUTE(SUBSTITUTE(SUBSTITUTE(SUBSTITUTE($A4997," ",""),"(주)",""),"주식회사",""),"㈜","")))</f>
        <v/>
      </c>
      <c r="H4997" s="10" t="str">
        <f aca="false">IF($B4997="","",SUBSTITUTE(SUBSTITUTE(SUBSTITUTE($B4997,"-","")," ",""),".",""))</f>
        <v/>
      </c>
      <c r="I4997" s="10" t="str">
        <f aca="false">IF($D4997="","",SUBSTITUTE(SUBSTITUTE(SUBSTITUTE($D4997,"-","")," ",""),".",""))</f>
        <v/>
      </c>
      <c r="J4997" s="10" t="str">
        <f aca="false">IF($E4997="","",UPPER(SUBSTITUTE($E4997," ","")))</f>
        <v/>
      </c>
      <c r="K4997" s="10" t="str">
        <f aca="false">IF($A4997="","",$G4997&amp;"|"&amp;$J4997)</f>
        <v/>
      </c>
      <c r="L4997" s="10" t="str">
        <f aca="false">IF($A4997="","",ROW()-2)</f>
        <v/>
      </c>
      <c r="M4997" s="10" t="str">
        <f aca="false">IF($A4997="","",ROW())</f>
        <v/>
      </c>
    </row>
    <row r="4998" customFormat="false" ht="15" hidden="false" customHeight="true" outlineLevel="0" collapsed="false">
      <c r="A4998" s="8"/>
      <c r="B4998" s="8"/>
      <c r="C4998" s="8"/>
      <c r="D4998" s="8"/>
      <c r="E4998" s="8"/>
      <c r="F4998" s="8"/>
      <c r="G4998" s="10" t="str">
        <f aca="false">IF($A4998="","",UPPER(SUBSTITUTE(SUBSTITUTE(SUBSTITUTE(SUBSTITUTE($A4998," ",""),"(주)",""),"주식회사",""),"㈜","")))</f>
        <v/>
      </c>
      <c r="H4998" s="10" t="str">
        <f aca="false">IF($B4998="","",SUBSTITUTE(SUBSTITUTE(SUBSTITUTE($B4998,"-","")," ",""),".",""))</f>
        <v/>
      </c>
      <c r="I4998" s="10" t="str">
        <f aca="false">IF($D4998="","",SUBSTITUTE(SUBSTITUTE(SUBSTITUTE($D4998,"-","")," ",""),".",""))</f>
        <v/>
      </c>
      <c r="J4998" s="10" t="str">
        <f aca="false">IF($E4998="","",UPPER(SUBSTITUTE($E4998," ","")))</f>
        <v/>
      </c>
      <c r="K4998" s="10" t="str">
        <f aca="false">IF($A4998="","",$G4998&amp;"|"&amp;$J4998)</f>
        <v/>
      </c>
      <c r="L4998" s="10" t="str">
        <f aca="false">IF($A4998="","",ROW()-2)</f>
        <v/>
      </c>
      <c r="M4998" s="10" t="str">
        <f aca="false">IF($A4998="","",ROW())</f>
        <v/>
      </c>
    </row>
    <row r="4999" customFormat="false" ht="15" hidden="false" customHeight="true" outlineLevel="0" collapsed="false">
      <c r="A4999" s="8"/>
      <c r="B4999" s="8"/>
      <c r="C4999" s="8"/>
      <c r="D4999" s="8"/>
      <c r="E4999" s="8"/>
      <c r="F4999" s="8"/>
      <c r="G4999" s="10" t="str">
        <f aca="false">IF($A4999="","",UPPER(SUBSTITUTE(SUBSTITUTE(SUBSTITUTE(SUBSTITUTE($A4999," ",""),"(주)",""),"주식회사",""),"㈜","")))</f>
        <v/>
      </c>
      <c r="H4999" s="10" t="str">
        <f aca="false">IF($B4999="","",SUBSTITUTE(SUBSTITUTE(SUBSTITUTE($B4999,"-","")," ",""),".",""))</f>
        <v/>
      </c>
      <c r="I4999" s="10" t="str">
        <f aca="false">IF($D4999="","",SUBSTITUTE(SUBSTITUTE(SUBSTITUTE($D4999,"-","")," ",""),".",""))</f>
        <v/>
      </c>
      <c r="J4999" s="10" t="str">
        <f aca="false">IF($E4999="","",UPPER(SUBSTITUTE($E4999," ","")))</f>
        <v/>
      </c>
      <c r="K4999" s="10" t="str">
        <f aca="false">IF($A4999="","",$G4999&amp;"|"&amp;$J4999)</f>
        <v/>
      </c>
      <c r="L4999" s="10" t="str">
        <f aca="false">IF($A4999="","",ROW()-2)</f>
        <v/>
      </c>
      <c r="M4999" s="10" t="str">
        <f aca="false">IF($A4999="","",ROW())</f>
        <v/>
      </c>
    </row>
    <row r="5000" customFormat="false" ht="15" hidden="false" customHeight="true" outlineLevel="0" collapsed="false">
      <c r="A5000" s="8"/>
      <c r="B5000" s="8"/>
      <c r="C5000" s="8"/>
      <c r="D5000" s="8"/>
      <c r="E5000" s="8"/>
      <c r="F5000" s="8"/>
      <c r="G5000" s="10" t="str">
        <f aca="false">IF($A5000="","",UPPER(SUBSTITUTE(SUBSTITUTE(SUBSTITUTE(SUBSTITUTE($A5000," ",""),"(주)",""),"주식회사",""),"㈜","")))</f>
        <v/>
      </c>
      <c r="H5000" s="10" t="str">
        <f aca="false">IF($B5000="","",SUBSTITUTE(SUBSTITUTE(SUBSTITUTE($B5000,"-","")," ",""),".",""))</f>
        <v/>
      </c>
      <c r="I5000" s="10" t="str">
        <f aca="false">IF($D5000="","",SUBSTITUTE(SUBSTITUTE(SUBSTITUTE($D5000,"-","")," ",""),".",""))</f>
        <v/>
      </c>
      <c r="J5000" s="10" t="str">
        <f aca="false">IF($E5000="","",UPPER(SUBSTITUTE($E5000," ","")))</f>
        <v/>
      </c>
      <c r="K5000" s="10" t="str">
        <f aca="false">IF($A5000="","",$G5000&amp;"|"&amp;$J5000)</f>
        <v/>
      </c>
      <c r="L5000" s="10" t="str">
        <f aca="false">IF($A5000="","",ROW()-2)</f>
        <v/>
      </c>
      <c r="M5000" s="10" t="str">
        <f aca="false">IF($A5000="","",ROW())</f>
        <v/>
      </c>
    </row>
    <row r="5001" customFormat="false" ht="15" hidden="false" customHeight="true" outlineLevel="0" collapsed="false">
      <c r="A5001" s="8"/>
      <c r="B5001" s="8"/>
      <c r="C5001" s="8"/>
      <c r="D5001" s="8"/>
      <c r="E5001" s="8"/>
      <c r="F5001" s="8"/>
      <c r="G5001" s="10" t="str">
        <f aca="false">IF($A5001="","",UPPER(SUBSTITUTE(SUBSTITUTE(SUBSTITUTE(SUBSTITUTE($A5001," ",""),"(주)",""),"주식회사",""),"㈜","")))</f>
        <v/>
      </c>
      <c r="H5001" s="10" t="str">
        <f aca="false">IF($B5001="","",SUBSTITUTE(SUBSTITUTE(SUBSTITUTE($B5001,"-","")," ",""),".",""))</f>
        <v/>
      </c>
      <c r="I5001" s="10" t="str">
        <f aca="false">IF($D5001="","",SUBSTITUTE(SUBSTITUTE(SUBSTITUTE($D5001,"-","")," ",""),".",""))</f>
        <v/>
      </c>
      <c r="J5001" s="10" t="str">
        <f aca="false">IF($E5001="","",UPPER(SUBSTITUTE($E5001," ","")))</f>
        <v/>
      </c>
      <c r="K5001" s="10" t="str">
        <f aca="false">IF($A5001="","",$G5001&amp;"|"&amp;$J5001)</f>
        <v/>
      </c>
      <c r="L5001" s="10" t="str">
        <f aca="false">IF($A5001="","",ROW()-2)</f>
        <v/>
      </c>
      <c r="M5001" s="10" t="str">
        <f aca="false">IF($A5001="","",ROW())</f>
        <v/>
      </c>
    </row>
    <row r="5002" customFormat="false" ht="15" hidden="false" customHeight="true" outlineLevel="0" collapsed="false">
      <c r="A5002" s="8"/>
      <c r="B5002" s="8"/>
      <c r="C5002" s="8"/>
      <c r="D5002" s="8"/>
      <c r="E5002" s="8"/>
      <c r="F5002" s="8"/>
      <c r="G5002" s="10" t="str">
        <f aca="false">IF($A5002="","",UPPER(SUBSTITUTE(SUBSTITUTE(SUBSTITUTE(SUBSTITUTE($A5002," ",""),"(주)",""),"주식회사",""),"㈜","")))</f>
        <v/>
      </c>
      <c r="H5002" s="10" t="str">
        <f aca="false">IF($B5002="","",SUBSTITUTE(SUBSTITUTE(SUBSTITUTE($B5002,"-","")," ",""),".",""))</f>
        <v/>
      </c>
      <c r="I5002" s="10" t="str">
        <f aca="false">IF($D5002="","",SUBSTITUTE(SUBSTITUTE(SUBSTITUTE($D5002,"-","")," ",""),".",""))</f>
        <v/>
      </c>
      <c r="J5002" s="10" t="str">
        <f aca="false">IF($E5002="","",UPPER(SUBSTITUTE($E5002," ","")))</f>
        <v/>
      </c>
      <c r="K5002" s="10" t="str">
        <f aca="false">IF($A5002="","",$G5002&amp;"|"&amp;$J5002)</f>
        <v/>
      </c>
      <c r="L5002" s="10" t="str">
        <f aca="false">IF($A5002="","",ROW()-2)</f>
        <v/>
      </c>
      <c r="M5002" s="10" t="str">
        <f aca="false">IF($A5002="","",ROW())</f>
        <v/>
      </c>
    </row>
    <row r="5003" customFormat="false" ht="15" hidden="false" customHeight="true" outlineLevel="0" collapsed="false">
      <c r="A5003" s="8"/>
      <c r="B5003" s="8"/>
      <c r="C5003" s="8"/>
      <c r="D5003" s="8"/>
      <c r="E5003" s="8"/>
      <c r="F5003" s="8"/>
      <c r="G5003" s="10" t="str">
        <f aca="false">IF($A5003="","",UPPER(SUBSTITUTE(SUBSTITUTE(SUBSTITUTE(SUBSTITUTE($A5003," ",""),"(주)",""),"주식회사",""),"㈜","")))</f>
        <v/>
      </c>
      <c r="H5003" s="10" t="str">
        <f aca="false">IF($B5003="","",SUBSTITUTE(SUBSTITUTE(SUBSTITUTE($B5003,"-","")," ",""),".",""))</f>
        <v/>
      </c>
      <c r="I5003" s="10" t="str">
        <f aca="false">IF($D5003="","",SUBSTITUTE(SUBSTITUTE(SUBSTITUTE($D5003,"-","")," ",""),".",""))</f>
        <v/>
      </c>
      <c r="J5003" s="10" t="str">
        <f aca="false">IF($E5003="","",UPPER(SUBSTITUTE($E5003," ","")))</f>
        <v/>
      </c>
      <c r="K5003" s="10" t="str">
        <f aca="false">IF($A5003="","",$G5003&amp;"|"&amp;$J5003)</f>
        <v/>
      </c>
      <c r="L5003" s="10" t="str">
        <f aca="false">IF($A5003="","",ROW()-2)</f>
        <v/>
      </c>
      <c r="M5003" s="10" t="str">
        <f aca="false">IF($A5003="","",ROW())</f>
        <v/>
      </c>
    </row>
    <row r="5004" customFormat="false" ht="15" hidden="false" customHeight="true" outlineLevel="0" collapsed="false">
      <c r="A5004" s="8"/>
      <c r="B5004" s="8"/>
      <c r="C5004" s="8"/>
      <c r="D5004" s="8"/>
      <c r="E5004" s="8"/>
      <c r="F5004" s="8"/>
      <c r="G5004" s="10" t="str">
        <f aca="false">IF($A5004="","",UPPER(SUBSTITUTE(SUBSTITUTE(SUBSTITUTE(SUBSTITUTE($A5004," ",""),"(주)",""),"주식회사",""),"㈜","")))</f>
        <v/>
      </c>
      <c r="H5004" s="10" t="str">
        <f aca="false">IF($B5004="","",SUBSTITUTE(SUBSTITUTE(SUBSTITUTE($B5004,"-","")," ",""),".",""))</f>
        <v/>
      </c>
      <c r="I5004" s="10" t="str">
        <f aca="false">IF($D5004="","",SUBSTITUTE(SUBSTITUTE(SUBSTITUTE($D5004,"-","")," ",""),".",""))</f>
        <v/>
      </c>
      <c r="J5004" s="10" t="str">
        <f aca="false">IF($E5004="","",UPPER(SUBSTITUTE($E5004," ","")))</f>
        <v/>
      </c>
      <c r="K5004" s="10" t="str">
        <f aca="false">IF($A5004="","",$G5004&amp;"|"&amp;$J5004)</f>
        <v/>
      </c>
      <c r="L5004" s="10" t="str">
        <f aca="false">IF($A5004="","",ROW()-2)</f>
        <v/>
      </c>
      <c r="M5004" s="10" t="str">
        <f aca="false">IF($A5004="","",ROW())</f>
        <v/>
      </c>
    </row>
    <row r="5005" customFormat="false" ht="15" hidden="false" customHeight="true" outlineLevel="0" collapsed="false">
      <c r="A5005" s="8"/>
      <c r="B5005" s="8"/>
      <c r="C5005" s="8"/>
      <c r="D5005" s="8"/>
      <c r="E5005" s="8"/>
      <c r="F5005" s="8"/>
      <c r="G5005" s="10" t="str">
        <f aca="false">IF($A5005="","",UPPER(SUBSTITUTE(SUBSTITUTE(SUBSTITUTE(SUBSTITUTE($A5005," ",""),"(주)",""),"주식회사",""),"㈜","")))</f>
        <v/>
      </c>
      <c r="H5005" s="10" t="str">
        <f aca="false">IF($B5005="","",SUBSTITUTE(SUBSTITUTE(SUBSTITUTE($B5005,"-","")," ",""),".",""))</f>
        <v/>
      </c>
      <c r="I5005" s="10" t="str">
        <f aca="false">IF($D5005="","",SUBSTITUTE(SUBSTITUTE(SUBSTITUTE($D5005,"-","")," ",""),".",""))</f>
        <v/>
      </c>
      <c r="J5005" s="10" t="str">
        <f aca="false">IF($E5005="","",UPPER(SUBSTITUTE($E5005," ","")))</f>
        <v/>
      </c>
      <c r="K5005" s="10" t="str">
        <f aca="false">IF($A5005="","",$G5005&amp;"|"&amp;$J5005)</f>
        <v/>
      </c>
      <c r="L5005" s="10" t="str">
        <f aca="false">IF($A5005="","",ROW()-2)</f>
        <v/>
      </c>
      <c r="M5005" s="10" t="str">
        <f aca="false">IF($A5005="","",ROW())</f>
        <v/>
      </c>
    </row>
    <row r="5006" customFormat="false" ht="15" hidden="false" customHeight="true" outlineLevel="0" collapsed="false">
      <c r="A5006" s="8"/>
      <c r="B5006" s="8"/>
      <c r="C5006" s="8"/>
      <c r="D5006" s="8"/>
      <c r="E5006" s="8"/>
      <c r="F5006" s="8"/>
      <c r="G5006" s="10" t="str">
        <f aca="false">IF($A5006="","",UPPER(SUBSTITUTE(SUBSTITUTE(SUBSTITUTE(SUBSTITUTE($A5006," ",""),"(주)",""),"주식회사",""),"㈜","")))</f>
        <v/>
      </c>
      <c r="H5006" s="10" t="str">
        <f aca="false">IF($B5006="","",SUBSTITUTE(SUBSTITUTE(SUBSTITUTE($B5006,"-","")," ",""),".",""))</f>
        <v/>
      </c>
      <c r="I5006" s="10" t="str">
        <f aca="false">IF($D5006="","",SUBSTITUTE(SUBSTITUTE(SUBSTITUTE($D5006,"-","")," ",""),".",""))</f>
        <v/>
      </c>
      <c r="J5006" s="10" t="str">
        <f aca="false">IF($E5006="","",UPPER(SUBSTITUTE($E5006," ","")))</f>
        <v/>
      </c>
      <c r="K5006" s="10" t="str">
        <f aca="false">IF($A5006="","",$G5006&amp;"|"&amp;$J5006)</f>
        <v/>
      </c>
      <c r="L5006" s="10" t="str">
        <f aca="false">IF($A5006="","",ROW()-2)</f>
        <v/>
      </c>
      <c r="M5006" s="10" t="str">
        <f aca="false">IF($A5006="","",ROW())</f>
        <v/>
      </c>
    </row>
    <row r="5007" customFormat="false" ht="15" hidden="false" customHeight="true" outlineLevel="0" collapsed="false">
      <c r="A5007" s="8"/>
      <c r="B5007" s="8"/>
      <c r="C5007" s="8"/>
      <c r="D5007" s="8"/>
      <c r="E5007" s="8"/>
      <c r="F5007" s="8"/>
      <c r="G5007" s="10" t="str">
        <f aca="false">IF($A5007="","",UPPER(SUBSTITUTE(SUBSTITUTE(SUBSTITUTE(SUBSTITUTE($A5007," ",""),"(주)",""),"주식회사",""),"㈜","")))</f>
        <v/>
      </c>
      <c r="H5007" s="10" t="str">
        <f aca="false">IF($B5007="","",SUBSTITUTE(SUBSTITUTE(SUBSTITUTE($B5007,"-","")," ",""),".",""))</f>
        <v/>
      </c>
      <c r="I5007" s="10" t="str">
        <f aca="false">IF($D5007="","",SUBSTITUTE(SUBSTITUTE(SUBSTITUTE($D5007,"-","")," ",""),".",""))</f>
        <v/>
      </c>
      <c r="J5007" s="10" t="str">
        <f aca="false">IF($E5007="","",UPPER(SUBSTITUTE($E5007," ","")))</f>
        <v/>
      </c>
      <c r="K5007" s="10" t="str">
        <f aca="false">IF($A5007="","",$G5007&amp;"|"&amp;$J5007)</f>
        <v/>
      </c>
      <c r="L5007" s="10" t="str">
        <f aca="false">IF($A5007="","",ROW()-2)</f>
        <v/>
      </c>
      <c r="M5007" s="10" t="str">
        <f aca="false">IF($A5007="","",ROW())</f>
        <v/>
      </c>
    </row>
    <row r="5008" customFormat="false" ht="15" hidden="false" customHeight="true" outlineLevel="0" collapsed="false">
      <c r="A5008" s="8"/>
      <c r="B5008" s="8"/>
      <c r="C5008" s="8"/>
      <c r="D5008" s="8"/>
      <c r="E5008" s="8"/>
      <c r="F5008" s="8"/>
      <c r="G5008" s="10" t="str">
        <f aca="false">IF($A5008="","",UPPER(SUBSTITUTE(SUBSTITUTE(SUBSTITUTE(SUBSTITUTE($A5008," ",""),"(주)",""),"주식회사",""),"㈜","")))</f>
        <v/>
      </c>
      <c r="H5008" s="10" t="str">
        <f aca="false">IF($B5008="","",SUBSTITUTE(SUBSTITUTE(SUBSTITUTE($B5008,"-","")," ",""),".",""))</f>
        <v/>
      </c>
      <c r="I5008" s="10" t="str">
        <f aca="false">IF($D5008="","",SUBSTITUTE(SUBSTITUTE(SUBSTITUTE($D5008,"-","")," ",""),".",""))</f>
        <v/>
      </c>
      <c r="J5008" s="10" t="str">
        <f aca="false">IF($E5008="","",UPPER(SUBSTITUTE($E5008," ","")))</f>
        <v/>
      </c>
      <c r="K5008" s="10" t="str">
        <f aca="false">IF($A5008="","",$G5008&amp;"|"&amp;$J5008)</f>
        <v/>
      </c>
      <c r="L5008" s="10" t="str">
        <f aca="false">IF($A5008="","",ROW()-2)</f>
        <v/>
      </c>
      <c r="M5008" s="10" t="str">
        <f aca="false">IF($A5008="","",ROW())</f>
        <v/>
      </c>
    </row>
    <row r="5009" customFormat="false" ht="15" hidden="false" customHeight="true" outlineLevel="0" collapsed="false">
      <c r="A5009" s="8"/>
      <c r="B5009" s="8"/>
      <c r="C5009" s="8"/>
      <c r="D5009" s="8"/>
      <c r="E5009" s="8"/>
      <c r="F5009" s="8"/>
      <c r="G5009" s="10" t="str">
        <f aca="false">IF($A5009="","",UPPER(SUBSTITUTE(SUBSTITUTE(SUBSTITUTE(SUBSTITUTE($A5009," ",""),"(주)",""),"주식회사",""),"㈜","")))</f>
        <v/>
      </c>
      <c r="H5009" s="10" t="str">
        <f aca="false">IF($B5009="","",SUBSTITUTE(SUBSTITUTE(SUBSTITUTE($B5009,"-","")," ",""),".",""))</f>
        <v/>
      </c>
      <c r="I5009" s="10" t="str">
        <f aca="false">IF($D5009="","",SUBSTITUTE(SUBSTITUTE(SUBSTITUTE($D5009,"-","")," ",""),".",""))</f>
        <v/>
      </c>
      <c r="J5009" s="10" t="str">
        <f aca="false">IF($E5009="","",UPPER(SUBSTITUTE($E5009," ","")))</f>
        <v/>
      </c>
      <c r="K5009" s="10" t="str">
        <f aca="false">IF($A5009="","",$G5009&amp;"|"&amp;$J5009)</f>
        <v/>
      </c>
      <c r="L5009" s="10" t="str">
        <f aca="false">IF($A5009="","",ROW()-2)</f>
        <v/>
      </c>
      <c r="M5009" s="10" t="str">
        <f aca="false">IF($A5009="","",ROW())</f>
        <v/>
      </c>
    </row>
    <row r="5010" customFormat="false" ht="15" hidden="false" customHeight="true" outlineLevel="0" collapsed="false">
      <c r="A5010" s="8"/>
      <c r="B5010" s="8"/>
      <c r="C5010" s="8"/>
      <c r="D5010" s="8"/>
      <c r="E5010" s="8"/>
      <c r="F5010" s="8"/>
      <c r="G5010" s="10" t="str">
        <f aca="false">IF($A5010="","",UPPER(SUBSTITUTE(SUBSTITUTE(SUBSTITUTE(SUBSTITUTE($A5010," ",""),"(주)",""),"주식회사",""),"㈜","")))</f>
        <v/>
      </c>
      <c r="H5010" s="10" t="str">
        <f aca="false">IF($B5010="","",SUBSTITUTE(SUBSTITUTE(SUBSTITUTE($B5010,"-","")," ",""),".",""))</f>
        <v/>
      </c>
      <c r="I5010" s="10" t="str">
        <f aca="false">IF($D5010="","",SUBSTITUTE(SUBSTITUTE(SUBSTITUTE($D5010,"-","")," ",""),".",""))</f>
        <v/>
      </c>
      <c r="J5010" s="10" t="str">
        <f aca="false">IF($E5010="","",UPPER(SUBSTITUTE($E5010," ","")))</f>
        <v/>
      </c>
      <c r="K5010" s="10" t="str">
        <f aca="false">IF($A5010="","",$G5010&amp;"|"&amp;$J5010)</f>
        <v/>
      </c>
      <c r="L5010" s="10" t="str">
        <f aca="false">IF($A5010="","",ROW()-2)</f>
        <v/>
      </c>
      <c r="M5010" s="10" t="str">
        <f aca="false">IF($A5010="","",ROW())</f>
        <v/>
      </c>
    </row>
    <row r="5011" customFormat="false" ht="15" hidden="false" customHeight="true" outlineLevel="0" collapsed="false">
      <c r="A5011" s="8"/>
      <c r="B5011" s="8"/>
      <c r="C5011" s="8"/>
      <c r="D5011" s="8"/>
      <c r="E5011" s="8"/>
      <c r="F5011" s="8"/>
      <c r="G5011" s="10" t="str">
        <f aca="false">IF($A5011="","",UPPER(SUBSTITUTE(SUBSTITUTE(SUBSTITUTE(SUBSTITUTE($A5011," ",""),"(주)",""),"주식회사",""),"㈜","")))</f>
        <v/>
      </c>
      <c r="H5011" s="10" t="str">
        <f aca="false">IF($B5011="","",SUBSTITUTE(SUBSTITUTE(SUBSTITUTE($B5011,"-","")," ",""),".",""))</f>
        <v/>
      </c>
      <c r="I5011" s="10" t="str">
        <f aca="false">IF($D5011="","",SUBSTITUTE(SUBSTITUTE(SUBSTITUTE($D5011,"-","")," ",""),".",""))</f>
        <v/>
      </c>
      <c r="J5011" s="10" t="str">
        <f aca="false">IF($E5011="","",UPPER(SUBSTITUTE($E5011," ","")))</f>
        <v/>
      </c>
      <c r="K5011" s="10" t="str">
        <f aca="false">IF($A5011="","",$G5011&amp;"|"&amp;$J5011)</f>
        <v/>
      </c>
      <c r="L5011" s="10" t="str">
        <f aca="false">IF($A5011="","",ROW()-2)</f>
        <v/>
      </c>
      <c r="M5011" s="10" t="str">
        <f aca="false">IF($A5011="","",ROW())</f>
        <v/>
      </c>
    </row>
    <row r="5012" customFormat="false" ht="15" hidden="false" customHeight="true" outlineLevel="0" collapsed="false">
      <c r="A5012" s="8"/>
      <c r="B5012" s="8"/>
      <c r="C5012" s="8"/>
      <c r="D5012" s="8"/>
      <c r="E5012" s="8"/>
      <c r="F5012" s="8"/>
      <c r="G5012" s="10" t="str">
        <f aca="false">IF($A5012="","",UPPER(SUBSTITUTE(SUBSTITUTE(SUBSTITUTE(SUBSTITUTE($A5012," ",""),"(주)",""),"주식회사",""),"㈜","")))</f>
        <v/>
      </c>
      <c r="H5012" s="10" t="str">
        <f aca="false">IF($B5012="","",SUBSTITUTE(SUBSTITUTE(SUBSTITUTE($B5012,"-","")," ",""),".",""))</f>
        <v/>
      </c>
      <c r="I5012" s="10" t="str">
        <f aca="false">IF($D5012="","",SUBSTITUTE(SUBSTITUTE(SUBSTITUTE($D5012,"-","")," ",""),".",""))</f>
        <v/>
      </c>
      <c r="J5012" s="10" t="str">
        <f aca="false">IF($E5012="","",UPPER(SUBSTITUTE($E5012," ","")))</f>
        <v/>
      </c>
      <c r="K5012" s="10" t="str">
        <f aca="false">IF($A5012="","",$G5012&amp;"|"&amp;$J5012)</f>
        <v/>
      </c>
      <c r="L5012" s="10" t="str">
        <f aca="false">IF($A5012="","",ROW()-2)</f>
        <v/>
      </c>
      <c r="M5012" s="10" t="str">
        <f aca="false">IF($A5012="","",ROW())</f>
        <v/>
      </c>
    </row>
    <row r="5013" customFormat="false" ht="15" hidden="false" customHeight="true" outlineLevel="0" collapsed="false">
      <c r="A5013" s="8"/>
      <c r="B5013" s="8"/>
      <c r="C5013" s="8"/>
      <c r="D5013" s="8"/>
      <c r="E5013" s="8"/>
      <c r="F5013" s="8"/>
      <c r="G5013" s="10" t="str">
        <f aca="false">IF($A5013="","",UPPER(SUBSTITUTE(SUBSTITUTE(SUBSTITUTE(SUBSTITUTE($A5013," ",""),"(주)",""),"주식회사",""),"㈜","")))</f>
        <v/>
      </c>
      <c r="H5013" s="10" t="str">
        <f aca="false">IF($B5013="","",SUBSTITUTE(SUBSTITUTE(SUBSTITUTE($B5013,"-","")," ",""),".",""))</f>
        <v/>
      </c>
      <c r="I5013" s="10" t="str">
        <f aca="false">IF($D5013="","",SUBSTITUTE(SUBSTITUTE(SUBSTITUTE($D5013,"-","")," ",""),".",""))</f>
        <v/>
      </c>
      <c r="J5013" s="10" t="str">
        <f aca="false">IF($E5013="","",UPPER(SUBSTITUTE($E5013," ","")))</f>
        <v/>
      </c>
      <c r="K5013" s="10" t="str">
        <f aca="false">IF($A5013="","",$G5013&amp;"|"&amp;$J5013)</f>
        <v/>
      </c>
      <c r="L5013" s="10" t="str">
        <f aca="false">IF($A5013="","",ROW()-2)</f>
        <v/>
      </c>
      <c r="M5013" s="10" t="str">
        <f aca="false">IF($A5013="","",ROW())</f>
        <v/>
      </c>
    </row>
    <row r="5014" customFormat="false" ht="15" hidden="false" customHeight="true" outlineLevel="0" collapsed="false">
      <c r="A5014" s="8"/>
      <c r="B5014" s="8"/>
      <c r="C5014" s="8"/>
      <c r="D5014" s="8"/>
      <c r="E5014" s="8"/>
      <c r="F5014" s="8"/>
      <c r="G5014" s="10" t="str">
        <f aca="false">IF($A5014="","",UPPER(SUBSTITUTE(SUBSTITUTE(SUBSTITUTE(SUBSTITUTE($A5014," ",""),"(주)",""),"주식회사",""),"㈜","")))</f>
        <v/>
      </c>
      <c r="H5014" s="10" t="str">
        <f aca="false">IF($B5014="","",SUBSTITUTE(SUBSTITUTE(SUBSTITUTE($B5014,"-","")," ",""),".",""))</f>
        <v/>
      </c>
      <c r="I5014" s="10" t="str">
        <f aca="false">IF($D5014="","",SUBSTITUTE(SUBSTITUTE(SUBSTITUTE($D5014,"-","")," ",""),".",""))</f>
        <v/>
      </c>
      <c r="J5014" s="10" t="str">
        <f aca="false">IF($E5014="","",UPPER(SUBSTITUTE($E5014," ","")))</f>
        <v/>
      </c>
      <c r="K5014" s="10" t="str">
        <f aca="false">IF($A5014="","",$G5014&amp;"|"&amp;$J5014)</f>
        <v/>
      </c>
      <c r="L5014" s="10" t="str">
        <f aca="false">IF($A5014="","",ROW()-2)</f>
        <v/>
      </c>
      <c r="M5014" s="10" t="str">
        <f aca="false">IF($A5014="","",ROW())</f>
        <v/>
      </c>
    </row>
    <row r="5015" customFormat="false" ht="15" hidden="false" customHeight="true" outlineLevel="0" collapsed="false">
      <c r="A5015" s="8"/>
      <c r="B5015" s="8"/>
      <c r="C5015" s="8"/>
      <c r="D5015" s="8"/>
      <c r="E5015" s="8"/>
      <c r="F5015" s="8"/>
      <c r="G5015" s="10" t="str">
        <f aca="false">IF($A5015="","",UPPER(SUBSTITUTE(SUBSTITUTE(SUBSTITUTE(SUBSTITUTE($A5015," ",""),"(주)",""),"주식회사",""),"㈜","")))</f>
        <v/>
      </c>
      <c r="H5015" s="10" t="str">
        <f aca="false">IF($B5015="","",SUBSTITUTE(SUBSTITUTE(SUBSTITUTE($B5015,"-","")," ",""),".",""))</f>
        <v/>
      </c>
      <c r="I5015" s="10" t="str">
        <f aca="false">IF($D5015="","",SUBSTITUTE(SUBSTITUTE(SUBSTITUTE($D5015,"-","")," ",""),".",""))</f>
        <v/>
      </c>
      <c r="J5015" s="10" t="str">
        <f aca="false">IF($E5015="","",UPPER(SUBSTITUTE($E5015," ","")))</f>
        <v/>
      </c>
      <c r="K5015" s="10" t="str">
        <f aca="false">IF($A5015="","",$G5015&amp;"|"&amp;$J5015)</f>
        <v/>
      </c>
      <c r="L5015" s="10" t="str">
        <f aca="false">IF($A5015="","",ROW()-2)</f>
        <v/>
      </c>
      <c r="M5015" s="10" t="str">
        <f aca="false">IF($A5015="","",ROW())</f>
        <v/>
      </c>
    </row>
    <row r="5016" customFormat="false" ht="15" hidden="false" customHeight="true" outlineLevel="0" collapsed="false">
      <c r="A5016" s="8"/>
      <c r="B5016" s="8"/>
      <c r="C5016" s="8"/>
      <c r="D5016" s="8"/>
      <c r="E5016" s="8"/>
      <c r="F5016" s="8"/>
      <c r="G5016" s="10" t="str">
        <f aca="false">IF($A5016="","",UPPER(SUBSTITUTE(SUBSTITUTE(SUBSTITUTE(SUBSTITUTE($A5016," ",""),"(주)",""),"주식회사",""),"㈜","")))</f>
        <v/>
      </c>
      <c r="H5016" s="10" t="str">
        <f aca="false">IF($B5016="","",SUBSTITUTE(SUBSTITUTE(SUBSTITUTE($B5016,"-","")," ",""),".",""))</f>
        <v/>
      </c>
      <c r="I5016" s="10" t="str">
        <f aca="false">IF($D5016="","",SUBSTITUTE(SUBSTITUTE(SUBSTITUTE($D5016,"-","")," ",""),".",""))</f>
        <v/>
      </c>
      <c r="J5016" s="10" t="str">
        <f aca="false">IF($E5016="","",UPPER(SUBSTITUTE($E5016," ","")))</f>
        <v/>
      </c>
      <c r="K5016" s="10" t="str">
        <f aca="false">IF($A5016="","",$G5016&amp;"|"&amp;$J5016)</f>
        <v/>
      </c>
      <c r="L5016" s="10" t="str">
        <f aca="false">IF($A5016="","",ROW()-2)</f>
        <v/>
      </c>
      <c r="M5016" s="10" t="str">
        <f aca="false">IF($A5016="","",ROW())</f>
        <v/>
      </c>
    </row>
    <row r="5017" customFormat="false" ht="15" hidden="false" customHeight="true" outlineLevel="0" collapsed="false">
      <c r="A5017" s="8"/>
      <c r="B5017" s="8"/>
      <c r="C5017" s="8"/>
      <c r="D5017" s="8"/>
      <c r="E5017" s="8"/>
      <c r="F5017" s="8"/>
      <c r="G5017" s="10" t="str">
        <f aca="false">IF($A5017="","",UPPER(SUBSTITUTE(SUBSTITUTE(SUBSTITUTE(SUBSTITUTE($A5017," ",""),"(주)",""),"주식회사",""),"㈜","")))</f>
        <v/>
      </c>
      <c r="H5017" s="10" t="str">
        <f aca="false">IF($B5017="","",SUBSTITUTE(SUBSTITUTE(SUBSTITUTE($B5017,"-","")," ",""),".",""))</f>
        <v/>
      </c>
      <c r="I5017" s="10" t="str">
        <f aca="false">IF($D5017="","",SUBSTITUTE(SUBSTITUTE(SUBSTITUTE($D5017,"-","")," ",""),".",""))</f>
        <v/>
      </c>
      <c r="J5017" s="10" t="str">
        <f aca="false">IF($E5017="","",UPPER(SUBSTITUTE($E5017," ","")))</f>
        <v/>
      </c>
      <c r="K5017" s="10" t="str">
        <f aca="false">IF($A5017="","",$G5017&amp;"|"&amp;$J5017)</f>
        <v/>
      </c>
      <c r="L5017" s="10" t="str">
        <f aca="false">IF($A5017="","",ROW()-2)</f>
        <v/>
      </c>
      <c r="M5017" s="10" t="str">
        <f aca="false">IF($A5017="","",ROW())</f>
        <v/>
      </c>
    </row>
    <row r="5018" customFormat="false" ht="15" hidden="false" customHeight="true" outlineLevel="0" collapsed="false">
      <c r="A5018" s="8"/>
      <c r="B5018" s="8"/>
      <c r="C5018" s="8"/>
      <c r="D5018" s="8"/>
      <c r="E5018" s="8"/>
      <c r="F5018" s="8"/>
      <c r="G5018" s="10" t="str">
        <f aca="false">IF($A5018="","",UPPER(SUBSTITUTE(SUBSTITUTE(SUBSTITUTE(SUBSTITUTE($A5018," ",""),"(주)",""),"주식회사",""),"㈜","")))</f>
        <v/>
      </c>
      <c r="H5018" s="10" t="str">
        <f aca="false">IF($B5018="","",SUBSTITUTE(SUBSTITUTE(SUBSTITUTE($B5018,"-","")," ",""),".",""))</f>
        <v/>
      </c>
      <c r="I5018" s="10" t="str">
        <f aca="false">IF($D5018="","",SUBSTITUTE(SUBSTITUTE(SUBSTITUTE($D5018,"-","")," ",""),".",""))</f>
        <v/>
      </c>
      <c r="J5018" s="10" t="str">
        <f aca="false">IF($E5018="","",UPPER(SUBSTITUTE($E5018," ","")))</f>
        <v/>
      </c>
      <c r="K5018" s="10" t="str">
        <f aca="false">IF($A5018="","",$G5018&amp;"|"&amp;$J5018)</f>
        <v/>
      </c>
      <c r="L5018" s="10" t="str">
        <f aca="false">IF($A5018="","",ROW()-2)</f>
        <v/>
      </c>
      <c r="M5018" s="10" t="str">
        <f aca="false">IF($A5018="","",ROW())</f>
        <v/>
      </c>
    </row>
    <row r="5019" customFormat="false" ht="15" hidden="false" customHeight="true" outlineLevel="0" collapsed="false">
      <c r="A5019" s="8"/>
      <c r="B5019" s="8"/>
      <c r="C5019" s="8"/>
      <c r="D5019" s="8"/>
      <c r="E5019" s="8"/>
      <c r="F5019" s="8"/>
      <c r="G5019" s="10" t="str">
        <f aca="false">IF($A5019="","",UPPER(SUBSTITUTE(SUBSTITUTE(SUBSTITUTE(SUBSTITUTE($A5019," ",""),"(주)",""),"주식회사",""),"㈜","")))</f>
        <v/>
      </c>
      <c r="H5019" s="10" t="str">
        <f aca="false">IF($B5019="","",SUBSTITUTE(SUBSTITUTE(SUBSTITUTE($B5019,"-","")," ",""),".",""))</f>
        <v/>
      </c>
      <c r="I5019" s="10" t="str">
        <f aca="false">IF($D5019="","",SUBSTITUTE(SUBSTITUTE(SUBSTITUTE($D5019,"-","")," ",""),".",""))</f>
        <v/>
      </c>
      <c r="J5019" s="10" t="str">
        <f aca="false">IF($E5019="","",UPPER(SUBSTITUTE($E5019," ","")))</f>
        <v/>
      </c>
      <c r="K5019" s="10" t="str">
        <f aca="false">IF($A5019="","",$G5019&amp;"|"&amp;$J5019)</f>
        <v/>
      </c>
      <c r="L5019" s="10" t="str">
        <f aca="false">IF($A5019="","",ROW()-2)</f>
        <v/>
      </c>
      <c r="M5019" s="10" t="str">
        <f aca="false">IF($A5019="","",ROW())</f>
        <v/>
      </c>
    </row>
    <row r="5020" customFormat="false" ht="15" hidden="false" customHeight="true" outlineLevel="0" collapsed="false">
      <c r="A5020" s="8"/>
      <c r="B5020" s="8"/>
      <c r="C5020" s="8"/>
      <c r="D5020" s="8"/>
      <c r="E5020" s="8"/>
      <c r="F5020" s="8"/>
      <c r="G5020" s="10" t="str">
        <f aca="false">IF($A5020="","",UPPER(SUBSTITUTE(SUBSTITUTE(SUBSTITUTE(SUBSTITUTE($A5020," ",""),"(주)",""),"주식회사",""),"㈜","")))</f>
        <v/>
      </c>
      <c r="H5020" s="10" t="str">
        <f aca="false">IF($B5020="","",SUBSTITUTE(SUBSTITUTE(SUBSTITUTE($B5020,"-","")," ",""),".",""))</f>
        <v/>
      </c>
      <c r="I5020" s="10" t="str">
        <f aca="false">IF($D5020="","",SUBSTITUTE(SUBSTITUTE(SUBSTITUTE($D5020,"-","")," ",""),".",""))</f>
        <v/>
      </c>
      <c r="J5020" s="10" t="str">
        <f aca="false">IF($E5020="","",UPPER(SUBSTITUTE($E5020," ","")))</f>
        <v/>
      </c>
      <c r="K5020" s="10" t="str">
        <f aca="false">IF($A5020="","",$G5020&amp;"|"&amp;$J5020)</f>
        <v/>
      </c>
      <c r="L5020" s="10" t="str">
        <f aca="false">IF($A5020="","",ROW()-2)</f>
        <v/>
      </c>
      <c r="M5020" s="10" t="str">
        <f aca="false">IF($A5020="","",ROW())</f>
        <v/>
      </c>
    </row>
    <row r="5021" customFormat="false" ht="15" hidden="false" customHeight="true" outlineLevel="0" collapsed="false">
      <c r="A5021" s="8"/>
      <c r="B5021" s="8"/>
      <c r="C5021" s="8"/>
      <c r="D5021" s="8"/>
      <c r="E5021" s="8"/>
      <c r="F5021" s="8"/>
      <c r="G5021" s="10" t="str">
        <f aca="false">IF($A5021="","",UPPER(SUBSTITUTE(SUBSTITUTE(SUBSTITUTE(SUBSTITUTE($A5021," ",""),"(주)",""),"주식회사",""),"㈜","")))</f>
        <v/>
      </c>
      <c r="H5021" s="10" t="str">
        <f aca="false">IF($B5021="","",SUBSTITUTE(SUBSTITUTE(SUBSTITUTE($B5021,"-","")," ",""),".",""))</f>
        <v/>
      </c>
      <c r="I5021" s="10" t="str">
        <f aca="false">IF($D5021="","",SUBSTITUTE(SUBSTITUTE(SUBSTITUTE($D5021,"-","")," ",""),".",""))</f>
        <v/>
      </c>
      <c r="J5021" s="10" t="str">
        <f aca="false">IF($E5021="","",UPPER(SUBSTITUTE($E5021," ","")))</f>
        <v/>
      </c>
      <c r="K5021" s="10" t="str">
        <f aca="false">IF($A5021="","",$G5021&amp;"|"&amp;$J5021)</f>
        <v/>
      </c>
      <c r="L5021" s="10" t="str">
        <f aca="false">IF($A5021="","",ROW()-2)</f>
        <v/>
      </c>
      <c r="M5021" s="10" t="str">
        <f aca="false">IF($A5021="","",ROW())</f>
        <v/>
      </c>
    </row>
    <row r="5022" customFormat="false" ht="15" hidden="false" customHeight="true" outlineLevel="0" collapsed="false">
      <c r="A5022" s="8"/>
      <c r="B5022" s="8"/>
      <c r="C5022" s="8"/>
      <c r="D5022" s="8"/>
      <c r="E5022" s="8"/>
      <c r="F5022" s="8"/>
      <c r="G5022" s="10" t="str">
        <f aca="false">IF($A5022="","",UPPER(SUBSTITUTE(SUBSTITUTE(SUBSTITUTE(SUBSTITUTE($A5022," ",""),"(주)",""),"주식회사",""),"㈜","")))</f>
        <v/>
      </c>
      <c r="H5022" s="10" t="str">
        <f aca="false">IF($B5022="","",SUBSTITUTE(SUBSTITUTE(SUBSTITUTE($B5022,"-","")," ",""),".",""))</f>
        <v/>
      </c>
      <c r="I5022" s="10" t="str">
        <f aca="false">IF($D5022="","",SUBSTITUTE(SUBSTITUTE(SUBSTITUTE($D5022,"-","")," ",""),".",""))</f>
        <v/>
      </c>
      <c r="J5022" s="10" t="str">
        <f aca="false">IF($E5022="","",UPPER(SUBSTITUTE($E5022," ","")))</f>
        <v/>
      </c>
      <c r="K5022" s="10" t="str">
        <f aca="false">IF($A5022="","",$G5022&amp;"|"&amp;$J5022)</f>
        <v/>
      </c>
      <c r="L5022" s="10" t="str">
        <f aca="false">IF($A5022="","",ROW()-2)</f>
        <v/>
      </c>
      <c r="M5022" s="10" t="str">
        <f aca="false">IF($A5022="","",ROW())</f>
        <v/>
      </c>
    </row>
    <row r="5023" customFormat="false" ht="15" hidden="false" customHeight="true" outlineLevel="0" collapsed="false">
      <c r="A5023" s="8"/>
      <c r="B5023" s="8"/>
      <c r="C5023" s="8"/>
      <c r="D5023" s="8"/>
      <c r="E5023" s="8"/>
      <c r="F5023" s="8"/>
      <c r="G5023" s="10" t="str">
        <f aca="false">IF($A5023="","",UPPER(SUBSTITUTE(SUBSTITUTE(SUBSTITUTE(SUBSTITUTE($A5023," ",""),"(주)",""),"주식회사",""),"㈜","")))</f>
        <v/>
      </c>
      <c r="H5023" s="10" t="str">
        <f aca="false">IF($B5023="","",SUBSTITUTE(SUBSTITUTE(SUBSTITUTE($B5023,"-","")," ",""),".",""))</f>
        <v/>
      </c>
      <c r="I5023" s="10" t="str">
        <f aca="false">IF($D5023="","",SUBSTITUTE(SUBSTITUTE(SUBSTITUTE($D5023,"-","")," ",""),".",""))</f>
        <v/>
      </c>
      <c r="J5023" s="10" t="str">
        <f aca="false">IF($E5023="","",UPPER(SUBSTITUTE($E5023," ","")))</f>
        <v/>
      </c>
      <c r="K5023" s="10" t="str">
        <f aca="false">IF($A5023="","",$G5023&amp;"|"&amp;$J5023)</f>
        <v/>
      </c>
      <c r="L5023" s="10" t="str">
        <f aca="false">IF($A5023="","",ROW()-2)</f>
        <v/>
      </c>
      <c r="M5023" s="10" t="str">
        <f aca="false">IF($A5023="","",ROW())</f>
        <v/>
      </c>
    </row>
    <row r="5024" customFormat="false" ht="15" hidden="false" customHeight="true" outlineLevel="0" collapsed="false">
      <c r="A5024" s="8"/>
      <c r="B5024" s="8"/>
      <c r="C5024" s="8"/>
      <c r="D5024" s="8"/>
      <c r="E5024" s="8"/>
      <c r="F5024" s="8"/>
      <c r="G5024" s="10" t="str">
        <f aca="false">IF($A5024="","",UPPER(SUBSTITUTE(SUBSTITUTE(SUBSTITUTE(SUBSTITUTE($A5024," ",""),"(주)",""),"주식회사",""),"㈜","")))</f>
        <v/>
      </c>
      <c r="H5024" s="10" t="str">
        <f aca="false">IF($B5024="","",SUBSTITUTE(SUBSTITUTE(SUBSTITUTE($B5024,"-","")," ",""),".",""))</f>
        <v/>
      </c>
      <c r="I5024" s="10" t="str">
        <f aca="false">IF($D5024="","",SUBSTITUTE(SUBSTITUTE(SUBSTITUTE($D5024,"-","")," ",""),".",""))</f>
        <v/>
      </c>
      <c r="J5024" s="10" t="str">
        <f aca="false">IF($E5024="","",UPPER(SUBSTITUTE($E5024," ","")))</f>
        <v/>
      </c>
      <c r="K5024" s="10" t="str">
        <f aca="false">IF($A5024="","",$G5024&amp;"|"&amp;$J5024)</f>
        <v/>
      </c>
      <c r="L5024" s="10" t="str">
        <f aca="false">IF($A5024="","",ROW()-2)</f>
        <v/>
      </c>
      <c r="M5024" s="10" t="str">
        <f aca="false">IF($A5024="","",ROW())</f>
        <v/>
      </c>
    </row>
    <row r="5025" customFormat="false" ht="15" hidden="false" customHeight="true" outlineLevel="0" collapsed="false">
      <c r="A5025" s="8"/>
      <c r="B5025" s="8"/>
      <c r="C5025" s="8"/>
      <c r="D5025" s="8"/>
      <c r="E5025" s="8"/>
      <c r="F5025" s="8"/>
      <c r="G5025" s="10" t="str">
        <f aca="false">IF($A5025="","",UPPER(SUBSTITUTE(SUBSTITUTE(SUBSTITUTE(SUBSTITUTE($A5025," ",""),"(주)",""),"주식회사",""),"㈜","")))</f>
        <v/>
      </c>
      <c r="H5025" s="10" t="str">
        <f aca="false">IF($B5025="","",SUBSTITUTE(SUBSTITUTE(SUBSTITUTE($B5025,"-","")," ",""),".",""))</f>
        <v/>
      </c>
      <c r="I5025" s="10" t="str">
        <f aca="false">IF($D5025="","",SUBSTITUTE(SUBSTITUTE(SUBSTITUTE($D5025,"-","")," ",""),".",""))</f>
        <v/>
      </c>
      <c r="J5025" s="10" t="str">
        <f aca="false">IF($E5025="","",UPPER(SUBSTITUTE($E5025," ","")))</f>
        <v/>
      </c>
      <c r="K5025" s="10" t="str">
        <f aca="false">IF($A5025="","",$G5025&amp;"|"&amp;$J5025)</f>
        <v/>
      </c>
      <c r="L5025" s="10" t="str">
        <f aca="false">IF($A5025="","",ROW()-2)</f>
        <v/>
      </c>
      <c r="M5025" s="10" t="str">
        <f aca="false">IF($A5025="","",ROW())</f>
        <v/>
      </c>
    </row>
    <row r="5026" customFormat="false" ht="15" hidden="false" customHeight="true" outlineLevel="0" collapsed="false">
      <c r="A5026" s="8"/>
      <c r="B5026" s="8"/>
      <c r="C5026" s="8"/>
      <c r="D5026" s="8"/>
      <c r="E5026" s="8"/>
      <c r="F5026" s="8"/>
      <c r="G5026" s="10" t="str">
        <f aca="false">IF($A5026="","",UPPER(SUBSTITUTE(SUBSTITUTE(SUBSTITUTE(SUBSTITUTE($A5026," ",""),"(주)",""),"주식회사",""),"㈜","")))</f>
        <v/>
      </c>
      <c r="H5026" s="10" t="str">
        <f aca="false">IF($B5026="","",SUBSTITUTE(SUBSTITUTE(SUBSTITUTE($B5026,"-","")," ",""),".",""))</f>
        <v/>
      </c>
      <c r="I5026" s="10" t="str">
        <f aca="false">IF($D5026="","",SUBSTITUTE(SUBSTITUTE(SUBSTITUTE($D5026,"-","")," ",""),".",""))</f>
        <v/>
      </c>
      <c r="J5026" s="10" t="str">
        <f aca="false">IF($E5026="","",UPPER(SUBSTITUTE($E5026," ","")))</f>
        <v/>
      </c>
      <c r="K5026" s="10" t="str">
        <f aca="false">IF($A5026="","",$G5026&amp;"|"&amp;$J5026)</f>
        <v/>
      </c>
      <c r="L5026" s="10" t="str">
        <f aca="false">IF($A5026="","",ROW()-2)</f>
        <v/>
      </c>
      <c r="M5026" s="10" t="str">
        <f aca="false">IF($A5026="","",ROW())</f>
        <v/>
      </c>
    </row>
    <row r="5027" customFormat="false" ht="15" hidden="false" customHeight="true" outlineLevel="0" collapsed="false">
      <c r="A5027" s="8"/>
      <c r="B5027" s="8"/>
      <c r="C5027" s="8"/>
      <c r="D5027" s="8"/>
      <c r="E5027" s="8"/>
      <c r="F5027" s="8"/>
      <c r="G5027" s="10" t="str">
        <f aca="false">IF($A5027="","",UPPER(SUBSTITUTE(SUBSTITUTE(SUBSTITUTE(SUBSTITUTE($A5027," ",""),"(주)",""),"주식회사",""),"㈜","")))</f>
        <v/>
      </c>
      <c r="H5027" s="10" t="str">
        <f aca="false">IF($B5027="","",SUBSTITUTE(SUBSTITUTE(SUBSTITUTE($B5027,"-","")," ",""),".",""))</f>
        <v/>
      </c>
      <c r="I5027" s="10" t="str">
        <f aca="false">IF($D5027="","",SUBSTITUTE(SUBSTITUTE(SUBSTITUTE($D5027,"-","")," ",""),".",""))</f>
        <v/>
      </c>
      <c r="J5027" s="10" t="str">
        <f aca="false">IF($E5027="","",UPPER(SUBSTITUTE($E5027," ","")))</f>
        <v/>
      </c>
      <c r="K5027" s="10" t="str">
        <f aca="false">IF($A5027="","",$G5027&amp;"|"&amp;$J5027)</f>
        <v/>
      </c>
      <c r="L5027" s="10" t="str">
        <f aca="false">IF($A5027="","",ROW()-2)</f>
        <v/>
      </c>
      <c r="M5027" s="10" t="str">
        <f aca="false">IF($A5027="","",ROW())</f>
        <v/>
      </c>
    </row>
    <row r="5028" customFormat="false" ht="15" hidden="false" customHeight="true" outlineLevel="0" collapsed="false">
      <c r="A5028" s="8"/>
      <c r="B5028" s="8"/>
      <c r="C5028" s="8"/>
      <c r="D5028" s="8"/>
      <c r="E5028" s="8"/>
      <c r="F5028" s="8"/>
      <c r="G5028" s="10" t="str">
        <f aca="false">IF($A5028="","",UPPER(SUBSTITUTE(SUBSTITUTE(SUBSTITUTE(SUBSTITUTE($A5028," ",""),"(주)",""),"주식회사",""),"㈜","")))</f>
        <v/>
      </c>
      <c r="H5028" s="10" t="str">
        <f aca="false">IF($B5028="","",SUBSTITUTE(SUBSTITUTE(SUBSTITUTE($B5028,"-","")," ",""),".",""))</f>
        <v/>
      </c>
      <c r="I5028" s="10" t="str">
        <f aca="false">IF($D5028="","",SUBSTITUTE(SUBSTITUTE(SUBSTITUTE($D5028,"-","")," ",""),".",""))</f>
        <v/>
      </c>
      <c r="J5028" s="10" t="str">
        <f aca="false">IF($E5028="","",UPPER(SUBSTITUTE($E5028," ","")))</f>
        <v/>
      </c>
      <c r="K5028" s="10" t="str">
        <f aca="false">IF($A5028="","",$G5028&amp;"|"&amp;$J5028)</f>
        <v/>
      </c>
      <c r="L5028" s="10" t="str">
        <f aca="false">IF($A5028="","",ROW()-2)</f>
        <v/>
      </c>
      <c r="M5028" s="10" t="str">
        <f aca="false">IF($A5028="","",ROW())</f>
        <v/>
      </c>
    </row>
    <row r="5029" customFormat="false" ht="15" hidden="false" customHeight="true" outlineLevel="0" collapsed="false">
      <c r="A5029" s="8"/>
      <c r="B5029" s="8"/>
      <c r="C5029" s="8"/>
      <c r="D5029" s="8"/>
      <c r="E5029" s="8"/>
      <c r="F5029" s="8"/>
      <c r="G5029" s="10" t="str">
        <f aca="false">IF($A5029="","",UPPER(SUBSTITUTE(SUBSTITUTE(SUBSTITUTE(SUBSTITUTE($A5029," ",""),"(주)",""),"주식회사",""),"㈜","")))</f>
        <v/>
      </c>
      <c r="H5029" s="10" t="str">
        <f aca="false">IF($B5029="","",SUBSTITUTE(SUBSTITUTE(SUBSTITUTE($B5029,"-","")," ",""),".",""))</f>
        <v/>
      </c>
      <c r="I5029" s="10" t="str">
        <f aca="false">IF($D5029="","",SUBSTITUTE(SUBSTITUTE(SUBSTITUTE($D5029,"-","")," ",""),".",""))</f>
        <v/>
      </c>
      <c r="J5029" s="10" t="str">
        <f aca="false">IF($E5029="","",UPPER(SUBSTITUTE($E5029," ","")))</f>
        <v/>
      </c>
      <c r="K5029" s="10" t="str">
        <f aca="false">IF($A5029="","",$G5029&amp;"|"&amp;$J5029)</f>
        <v/>
      </c>
      <c r="L5029" s="10" t="str">
        <f aca="false">IF($A5029="","",ROW()-2)</f>
        <v/>
      </c>
      <c r="M5029" s="10" t="str">
        <f aca="false">IF($A5029="","",ROW())</f>
        <v/>
      </c>
    </row>
    <row r="5030" customFormat="false" ht="15" hidden="false" customHeight="true" outlineLevel="0" collapsed="false">
      <c r="A5030" s="8"/>
      <c r="B5030" s="8"/>
      <c r="C5030" s="8"/>
      <c r="D5030" s="8"/>
      <c r="E5030" s="8"/>
      <c r="F5030" s="8"/>
      <c r="G5030" s="10" t="str">
        <f aca="false">IF($A5030="","",UPPER(SUBSTITUTE(SUBSTITUTE(SUBSTITUTE(SUBSTITUTE($A5030," ",""),"(주)",""),"주식회사",""),"㈜","")))</f>
        <v/>
      </c>
      <c r="H5030" s="10" t="str">
        <f aca="false">IF($B5030="","",SUBSTITUTE(SUBSTITUTE(SUBSTITUTE($B5030,"-","")," ",""),".",""))</f>
        <v/>
      </c>
      <c r="I5030" s="10" t="str">
        <f aca="false">IF($D5030="","",SUBSTITUTE(SUBSTITUTE(SUBSTITUTE($D5030,"-","")," ",""),".",""))</f>
        <v/>
      </c>
      <c r="J5030" s="10" t="str">
        <f aca="false">IF($E5030="","",UPPER(SUBSTITUTE($E5030," ","")))</f>
        <v/>
      </c>
      <c r="K5030" s="10" t="str">
        <f aca="false">IF($A5030="","",$G5030&amp;"|"&amp;$J5030)</f>
        <v/>
      </c>
      <c r="L5030" s="10" t="str">
        <f aca="false">IF($A5030="","",ROW()-2)</f>
        <v/>
      </c>
      <c r="M5030" s="10" t="str">
        <f aca="false">IF($A5030="","",ROW())</f>
        <v/>
      </c>
    </row>
    <row r="5031" customFormat="false" ht="15" hidden="false" customHeight="true" outlineLevel="0" collapsed="false">
      <c r="A5031" s="8"/>
      <c r="B5031" s="8"/>
      <c r="C5031" s="8"/>
      <c r="D5031" s="8"/>
      <c r="E5031" s="8"/>
      <c r="F5031" s="8"/>
      <c r="G5031" s="10" t="str">
        <f aca="false">IF($A5031="","",UPPER(SUBSTITUTE(SUBSTITUTE(SUBSTITUTE(SUBSTITUTE($A5031," ",""),"(주)",""),"주식회사",""),"㈜","")))</f>
        <v/>
      </c>
      <c r="H5031" s="10" t="str">
        <f aca="false">IF($B5031="","",SUBSTITUTE(SUBSTITUTE(SUBSTITUTE($B5031,"-","")," ",""),".",""))</f>
        <v/>
      </c>
      <c r="I5031" s="10" t="str">
        <f aca="false">IF($D5031="","",SUBSTITUTE(SUBSTITUTE(SUBSTITUTE($D5031,"-","")," ",""),".",""))</f>
        <v/>
      </c>
      <c r="J5031" s="10" t="str">
        <f aca="false">IF($E5031="","",UPPER(SUBSTITUTE($E5031," ","")))</f>
        <v/>
      </c>
      <c r="K5031" s="10" t="str">
        <f aca="false">IF($A5031="","",$G5031&amp;"|"&amp;$J5031)</f>
        <v/>
      </c>
      <c r="L5031" s="10" t="str">
        <f aca="false">IF($A5031="","",ROW()-2)</f>
        <v/>
      </c>
      <c r="M5031" s="10" t="str">
        <f aca="false">IF($A5031="","",ROW())</f>
        <v/>
      </c>
    </row>
    <row r="5032" customFormat="false" ht="15" hidden="false" customHeight="true" outlineLevel="0" collapsed="false">
      <c r="A5032" s="8"/>
      <c r="B5032" s="8"/>
      <c r="C5032" s="8"/>
      <c r="D5032" s="8"/>
      <c r="E5032" s="8"/>
      <c r="F5032" s="8"/>
      <c r="G5032" s="10" t="str">
        <f aca="false">IF($A5032="","",UPPER(SUBSTITUTE(SUBSTITUTE(SUBSTITUTE(SUBSTITUTE($A5032," ",""),"(주)",""),"주식회사",""),"㈜","")))</f>
        <v/>
      </c>
      <c r="H5032" s="10" t="str">
        <f aca="false">IF($B5032="","",SUBSTITUTE(SUBSTITUTE(SUBSTITUTE($B5032,"-","")," ",""),".",""))</f>
        <v/>
      </c>
      <c r="I5032" s="10" t="str">
        <f aca="false">IF($D5032="","",SUBSTITUTE(SUBSTITUTE(SUBSTITUTE($D5032,"-","")," ",""),".",""))</f>
        <v/>
      </c>
      <c r="J5032" s="10" t="str">
        <f aca="false">IF($E5032="","",UPPER(SUBSTITUTE($E5032," ","")))</f>
        <v/>
      </c>
      <c r="K5032" s="10" t="str">
        <f aca="false">IF($A5032="","",$G5032&amp;"|"&amp;$J5032)</f>
        <v/>
      </c>
      <c r="L5032" s="10" t="str">
        <f aca="false">IF($A5032="","",ROW()-2)</f>
        <v/>
      </c>
      <c r="M5032" s="10" t="str">
        <f aca="false">IF($A5032="","",ROW())</f>
        <v/>
      </c>
    </row>
    <row r="5033" customFormat="false" ht="15" hidden="false" customHeight="true" outlineLevel="0" collapsed="false">
      <c r="A5033" s="8"/>
      <c r="B5033" s="8"/>
      <c r="C5033" s="8"/>
      <c r="D5033" s="8"/>
      <c r="E5033" s="8"/>
      <c r="F5033" s="8"/>
      <c r="G5033" s="10" t="str">
        <f aca="false">IF($A5033="","",UPPER(SUBSTITUTE(SUBSTITUTE(SUBSTITUTE(SUBSTITUTE($A5033," ",""),"(주)",""),"주식회사",""),"㈜","")))</f>
        <v/>
      </c>
      <c r="H5033" s="10" t="str">
        <f aca="false">IF($B5033="","",SUBSTITUTE(SUBSTITUTE(SUBSTITUTE($B5033,"-","")," ",""),".",""))</f>
        <v/>
      </c>
      <c r="I5033" s="10" t="str">
        <f aca="false">IF($D5033="","",SUBSTITUTE(SUBSTITUTE(SUBSTITUTE($D5033,"-","")," ",""),".",""))</f>
        <v/>
      </c>
      <c r="J5033" s="10" t="str">
        <f aca="false">IF($E5033="","",UPPER(SUBSTITUTE($E5033," ","")))</f>
        <v/>
      </c>
      <c r="K5033" s="10" t="str">
        <f aca="false">IF($A5033="","",$G5033&amp;"|"&amp;$J5033)</f>
        <v/>
      </c>
      <c r="L5033" s="10" t="str">
        <f aca="false">IF($A5033="","",ROW()-2)</f>
        <v/>
      </c>
      <c r="M5033" s="10" t="str">
        <f aca="false">IF($A5033="","",ROW())</f>
        <v/>
      </c>
    </row>
    <row r="5034" customFormat="false" ht="15" hidden="false" customHeight="true" outlineLevel="0" collapsed="false">
      <c r="A5034" s="8"/>
      <c r="B5034" s="8"/>
      <c r="C5034" s="8"/>
      <c r="D5034" s="8"/>
      <c r="E5034" s="8"/>
      <c r="F5034" s="8"/>
      <c r="G5034" s="10" t="str">
        <f aca="false">IF($A5034="","",UPPER(SUBSTITUTE(SUBSTITUTE(SUBSTITUTE(SUBSTITUTE($A5034," ",""),"(주)",""),"주식회사",""),"㈜","")))</f>
        <v/>
      </c>
      <c r="H5034" s="10" t="str">
        <f aca="false">IF($B5034="","",SUBSTITUTE(SUBSTITUTE(SUBSTITUTE($B5034,"-","")," ",""),".",""))</f>
        <v/>
      </c>
      <c r="I5034" s="10" t="str">
        <f aca="false">IF($D5034="","",SUBSTITUTE(SUBSTITUTE(SUBSTITUTE($D5034,"-","")," ",""),".",""))</f>
        <v/>
      </c>
      <c r="J5034" s="10" t="str">
        <f aca="false">IF($E5034="","",UPPER(SUBSTITUTE($E5034," ","")))</f>
        <v/>
      </c>
      <c r="K5034" s="10" t="str">
        <f aca="false">IF($A5034="","",$G5034&amp;"|"&amp;$J5034)</f>
        <v/>
      </c>
      <c r="L5034" s="10" t="str">
        <f aca="false">IF($A5034="","",ROW()-2)</f>
        <v/>
      </c>
      <c r="M5034" s="10" t="str">
        <f aca="false">IF($A5034="","",ROW())</f>
        <v/>
      </c>
    </row>
    <row r="5035" customFormat="false" ht="15" hidden="false" customHeight="true" outlineLevel="0" collapsed="false">
      <c r="A5035" s="8"/>
      <c r="B5035" s="8"/>
      <c r="C5035" s="8"/>
      <c r="D5035" s="8"/>
      <c r="E5035" s="8"/>
      <c r="F5035" s="8"/>
      <c r="G5035" s="10" t="str">
        <f aca="false">IF($A5035="","",UPPER(SUBSTITUTE(SUBSTITUTE(SUBSTITUTE(SUBSTITUTE($A5035," ",""),"(주)",""),"주식회사",""),"㈜","")))</f>
        <v/>
      </c>
      <c r="H5035" s="10" t="str">
        <f aca="false">IF($B5035="","",SUBSTITUTE(SUBSTITUTE(SUBSTITUTE($B5035,"-","")," ",""),".",""))</f>
        <v/>
      </c>
      <c r="I5035" s="10" t="str">
        <f aca="false">IF($D5035="","",SUBSTITUTE(SUBSTITUTE(SUBSTITUTE($D5035,"-","")," ",""),".",""))</f>
        <v/>
      </c>
      <c r="J5035" s="10" t="str">
        <f aca="false">IF($E5035="","",UPPER(SUBSTITUTE($E5035," ","")))</f>
        <v/>
      </c>
      <c r="K5035" s="10" t="str">
        <f aca="false">IF($A5035="","",$G5035&amp;"|"&amp;$J5035)</f>
        <v/>
      </c>
      <c r="L5035" s="10" t="str">
        <f aca="false">IF($A5035="","",ROW()-2)</f>
        <v/>
      </c>
      <c r="M5035" s="10" t="str">
        <f aca="false">IF($A5035="","",ROW())</f>
        <v/>
      </c>
    </row>
    <row r="5036" customFormat="false" ht="15" hidden="false" customHeight="true" outlineLevel="0" collapsed="false">
      <c r="A5036" s="8"/>
      <c r="B5036" s="8"/>
      <c r="C5036" s="8"/>
      <c r="D5036" s="8"/>
      <c r="E5036" s="8"/>
      <c r="F5036" s="8"/>
      <c r="G5036" s="10" t="str">
        <f aca="false">IF($A5036="","",UPPER(SUBSTITUTE(SUBSTITUTE(SUBSTITUTE(SUBSTITUTE($A5036," ",""),"(주)",""),"주식회사",""),"㈜","")))</f>
        <v/>
      </c>
      <c r="H5036" s="10" t="str">
        <f aca="false">IF($B5036="","",SUBSTITUTE(SUBSTITUTE(SUBSTITUTE($B5036,"-","")," ",""),".",""))</f>
        <v/>
      </c>
      <c r="I5036" s="10" t="str">
        <f aca="false">IF($D5036="","",SUBSTITUTE(SUBSTITUTE(SUBSTITUTE($D5036,"-","")," ",""),".",""))</f>
        <v/>
      </c>
      <c r="J5036" s="10" t="str">
        <f aca="false">IF($E5036="","",UPPER(SUBSTITUTE($E5036," ","")))</f>
        <v/>
      </c>
      <c r="K5036" s="10" t="str">
        <f aca="false">IF($A5036="","",$G5036&amp;"|"&amp;$J5036)</f>
        <v/>
      </c>
      <c r="L5036" s="10" t="str">
        <f aca="false">IF($A5036="","",ROW()-2)</f>
        <v/>
      </c>
      <c r="M5036" s="10" t="str">
        <f aca="false">IF($A5036="","",ROW())</f>
        <v/>
      </c>
    </row>
    <row r="5037" customFormat="false" ht="15" hidden="false" customHeight="true" outlineLevel="0" collapsed="false">
      <c r="A5037" s="8"/>
      <c r="B5037" s="8"/>
      <c r="C5037" s="8"/>
      <c r="D5037" s="8"/>
      <c r="E5037" s="8"/>
      <c r="F5037" s="8"/>
      <c r="G5037" s="10" t="str">
        <f aca="false">IF($A5037="","",UPPER(SUBSTITUTE(SUBSTITUTE(SUBSTITUTE(SUBSTITUTE($A5037," ",""),"(주)",""),"주식회사",""),"㈜","")))</f>
        <v/>
      </c>
      <c r="H5037" s="10" t="str">
        <f aca="false">IF($B5037="","",SUBSTITUTE(SUBSTITUTE(SUBSTITUTE($B5037,"-","")," ",""),".",""))</f>
        <v/>
      </c>
      <c r="I5037" s="10" t="str">
        <f aca="false">IF($D5037="","",SUBSTITUTE(SUBSTITUTE(SUBSTITUTE($D5037,"-","")," ",""),".",""))</f>
        <v/>
      </c>
      <c r="J5037" s="10" t="str">
        <f aca="false">IF($E5037="","",UPPER(SUBSTITUTE($E5037," ","")))</f>
        <v/>
      </c>
      <c r="K5037" s="10" t="str">
        <f aca="false">IF($A5037="","",$G5037&amp;"|"&amp;$J5037)</f>
        <v/>
      </c>
      <c r="L5037" s="10" t="str">
        <f aca="false">IF($A5037="","",ROW()-2)</f>
        <v/>
      </c>
      <c r="M5037" s="10" t="str">
        <f aca="false">IF($A5037="","",ROW())</f>
        <v/>
      </c>
    </row>
    <row r="5038" customFormat="false" ht="15" hidden="false" customHeight="true" outlineLevel="0" collapsed="false">
      <c r="A5038" s="8"/>
      <c r="B5038" s="8"/>
      <c r="C5038" s="8"/>
      <c r="D5038" s="8"/>
      <c r="E5038" s="8"/>
      <c r="F5038" s="8"/>
      <c r="G5038" s="10" t="str">
        <f aca="false">IF($A5038="","",UPPER(SUBSTITUTE(SUBSTITUTE(SUBSTITUTE(SUBSTITUTE($A5038," ",""),"(주)",""),"주식회사",""),"㈜","")))</f>
        <v/>
      </c>
      <c r="H5038" s="10" t="str">
        <f aca="false">IF($B5038="","",SUBSTITUTE(SUBSTITUTE(SUBSTITUTE($B5038,"-","")," ",""),".",""))</f>
        <v/>
      </c>
      <c r="I5038" s="10" t="str">
        <f aca="false">IF($D5038="","",SUBSTITUTE(SUBSTITUTE(SUBSTITUTE($D5038,"-","")," ",""),".",""))</f>
        <v/>
      </c>
      <c r="J5038" s="10" t="str">
        <f aca="false">IF($E5038="","",UPPER(SUBSTITUTE($E5038," ","")))</f>
        <v/>
      </c>
      <c r="K5038" s="10" t="str">
        <f aca="false">IF($A5038="","",$G5038&amp;"|"&amp;$J5038)</f>
        <v/>
      </c>
      <c r="L5038" s="10" t="str">
        <f aca="false">IF($A5038="","",ROW()-2)</f>
        <v/>
      </c>
      <c r="M5038" s="10" t="str">
        <f aca="false">IF($A5038="","",ROW())</f>
        <v/>
      </c>
    </row>
    <row r="5039" customFormat="false" ht="15" hidden="false" customHeight="true" outlineLevel="0" collapsed="false">
      <c r="A5039" s="8"/>
      <c r="B5039" s="8"/>
      <c r="C5039" s="8"/>
      <c r="D5039" s="8"/>
      <c r="E5039" s="8"/>
      <c r="F5039" s="8"/>
      <c r="G5039" s="10" t="str">
        <f aca="false">IF($A5039="","",UPPER(SUBSTITUTE(SUBSTITUTE(SUBSTITUTE(SUBSTITUTE($A5039," ",""),"(주)",""),"주식회사",""),"㈜","")))</f>
        <v/>
      </c>
      <c r="H5039" s="10" t="str">
        <f aca="false">IF($B5039="","",SUBSTITUTE(SUBSTITUTE(SUBSTITUTE($B5039,"-","")," ",""),".",""))</f>
        <v/>
      </c>
      <c r="I5039" s="10" t="str">
        <f aca="false">IF($D5039="","",SUBSTITUTE(SUBSTITUTE(SUBSTITUTE($D5039,"-","")," ",""),".",""))</f>
        <v/>
      </c>
      <c r="J5039" s="10" t="str">
        <f aca="false">IF($E5039="","",UPPER(SUBSTITUTE($E5039," ","")))</f>
        <v/>
      </c>
      <c r="K5039" s="10" t="str">
        <f aca="false">IF($A5039="","",$G5039&amp;"|"&amp;$J5039)</f>
        <v/>
      </c>
      <c r="L5039" s="10" t="str">
        <f aca="false">IF($A5039="","",ROW()-2)</f>
        <v/>
      </c>
      <c r="M5039" s="10" t="str">
        <f aca="false">IF($A5039="","",ROW())</f>
        <v/>
      </c>
    </row>
    <row r="5040" customFormat="false" ht="15" hidden="false" customHeight="true" outlineLevel="0" collapsed="false">
      <c r="A5040" s="8"/>
      <c r="B5040" s="8"/>
      <c r="C5040" s="8"/>
      <c r="D5040" s="8"/>
      <c r="E5040" s="8"/>
      <c r="F5040" s="8"/>
      <c r="G5040" s="10" t="str">
        <f aca="false">IF($A5040="","",UPPER(SUBSTITUTE(SUBSTITUTE(SUBSTITUTE(SUBSTITUTE($A5040," ",""),"(주)",""),"주식회사",""),"㈜","")))</f>
        <v/>
      </c>
      <c r="H5040" s="10" t="str">
        <f aca="false">IF($B5040="","",SUBSTITUTE(SUBSTITUTE(SUBSTITUTE($B5040,"-","")," ",""),".",""))</f>
        <v/>
      </c>
      <c r="I5040" s="10" t="str">
        <f aca="false">IF($D5040="","",SUBSTITUTE(SUBSTITUTE(SUBSTITUTE($D5040,"-","")," ",""),".",""))</f>
        <v/>
      </c>
      <c r="J5040" s="10" t="str">
        <f aca="false">IF($E5040="","",UPPER(SUBSTITUTE($E5040," ","")))</f>
        <v/>
      </c>
      <c r="K5040" s="10" t="str">
        <f aca="false">IF($A5040="","",$G5040&amp;"|"&amp;$J5040)</f>
        <v/>
      </c>
      <c r="L5040" s="10" t="str">
        <f aca="false">IF($A5040="","",ROW()-2)</f>
        <v/>
      </c>
      <c r="M5040" s="10" t="str">
        <f aca="false">IF($A5040="","",ROW())</f>
        <v/>
      </c>
    </row>
    <row r="5041" customFormat="false" ht="15" hidden="false" customHeight="true" outlineLevel="0" collapsed="false">
      <c r="A5041" s="8"/>
      <c r="B5041" s="8"/>
      <c r="C5041" s="8"/>
      <c r="D5041" s="8"/>
      <c r="E5041" s="8"/>
      <c r="F5041" s="8"/>
      <c r="G5041" s="10" t="str">
        <f aca="false">IF($A5041="","",UPPER(SUBSTITUTE(SUBSTITUTE(SUBSTITUTE(SUBSTITUTE($A5041," ",""),"(주)",""),"주식회사",""),"㈜","")))</f>
        <v/>
      </c>
      <c r="H5041" s="10" t="str">
        <f aca="false">IF($B5041="","",SUBSTITUTE(SUBSTITUTE(SUBSTITUTE($B5041,"-","")," ",""),".",""))</f>
        <v/>
      </c>
      <c r="I5041" s="10" t="str">
        <f aca="false">IF($D5041="","",SUBSTITUTE(SUBSTITUTE(SUBSTITUTE($D5041,"-","")," ",""),".",""))</f>
        <v/>
      </c>
      <c r="J5041" s="10" t="str">
        <f aca="false">IF($E5041="","",UPPER(SUBSTITUTE($E5041," ","")))</f>
        <v/>
      </c>
      <c r="K5041" s="10" t="str">
        <f aca="false">IF($A5041="","",$G5041&amp;"|"&amp;$J5041)</f>
        <v/>
      </c>
      <c r="L5041" s="10" t="str">
        <f aca="false">IF($A5041="","",ROW()-2)</f>
        <v/>
      </c>
      <c r="M5041" s="10" t="str">
        <f aca="false">IF($A5041="","",ROW())</f>
        <v/>
      </c>
    </row>
    <row r="5042" customFormat="false" ht="15" hidden="false" customHeight="true" outlineLevel="0" collapsed="false">
      <c r="A5042" s="8"/>
      <c r="B5042" s="8"/>
      <c r="C5042" s="8"/>
      <c r="D5042" s="8"/>
      <c r="E5042" s="8"/>
      <c r="F5042" s="8"/>
      <c r="G5042" s="10" t="str">
        <f aca="false">IF($A5042="","",UPPER(SUBSTITUTE(SUBSTITUTE(SUBSTITUTE(SUBSTITUTE($A5042," ",""),"(주)",""),"주식회사",""),"㈜","")))</f>
        <v/>
      </c>
      <c r="H5042" s="10" t="str">
        <f aca="false">IF($B5042="","",SUBSTITUTE(SUBSTITUTE(SUBSTITUTE($B5042,"-","")," ",""),".",""))</f>
        <v/>
      </c>
      <c r="I5042" s="10" t="str">
        <f aca="false">IF($D5042="","",SUBSTITUTE(SUBSTITUTE(SUBSTITUTE($D5042,"-","")," ",""),".",""))</f>
        <v/>
      </c>
      <c r="J5042" s="10" t="str">
        <f aca="false">IF($E5042="","",UPPER(SUBSTITUTE($E5042," ","")))</f>
        <v/>
      </c>
      <c r="K5042" s="10" t="str">
        <f aca="false">IF($A5042="","",$G5042&amp;"|"&amp;$J5042)</f>
        <v/>
      </c>
      <c r="L5042" s="10" t="str">
        <f aca="false">IF($A5042="","",ROW()-2)</f>
        <v/>
      </c>
      <c r="M5042" s="10" t="str">
        <f aca="false">IF($A5042="","",ROW())</f>
        <v/>
      </c>
    </row>
    <row r="5043" customFormat="false" ht="15" hidden="false" customHeight="true" outlineLevel="0" collapsed="false">
      <c r="A5043" s="8"/>
      <c r="B5043" s="8"/>
      <c r="C5043" s="8"/>
      <c r="D5043" s="8"/>
      <c r="E5043" s="8"/>
      <c r="F5043" s="8"/>
      <c r="G5043" s="10" t="str">
        <f aca="false">IF($A5043="","",UPPER(SUBSTITUTE(SUBSTITUTE(SUBSTITUTE(SUBSTITUTE($A5043," ",""),"(주)",""),"주식회사",""),"㈜","")))</f>
        <v/>
      </c>
      <c r="H5043" s="10" t="str">
        <f aca="false">IF($B5043="","",SUBSTITUTE(SUBSTITUTE(SUBSTITUTE($B5043,"-","")," ",""),".",""))</f>
        <v/>
      </c>
      <c r="I5043" s="10" t="str">
        <f aca="false">IF($D5043="","",SUBSTITUTE(SUBSTITUTE(SUBSTITUTE($D5043,"-","")," ",""),".",""))</f>
        <v/>
      </c>
      <c r="J5043" s="10" t="str">
        <f aca="false">IF($E5043="","",UPPER(SUBSTITUTE($E5043," ","")))</f>
        <v/>
      </c>
      <c r="K5043" s="10" t="str">
        <f aca="false">IF($A5043="","",$G5043&amp;"|"&amp;$J5043)</f>
        <v/>
      </c>
      <c r="L5043" s="10" t="str">
        <f aca="false">IF($A5043="","",ROW()-2)</f>
        <v/>
      </c>
      <c r="M5043" s="10" t="str">
        <f aca="false">IF($A5043="","",ROW())</f>
        <v/>
      </c>
    </row>
    <row r="5044" customFormat="false" ht="15" hidden="false" customHeight="true" outlineLevel="0" collapsed="false">
      <c r="A5044" s="8"/>
      <c r="B5044" s="8"/>
      <c r="C5044" s="8"/>
      <c r="D5044" s="8"/>
      <c r="E5044" s="8"/>
      <c r="F5044" s="8"/>
      <c r="G5044" s="10" t="str">
        <f aca="false">IF($A5044="","",UPPER(SUBSTITUTE(SUBSTITUTE(SUBSTITUTE(SUBSTITUTE($A5044," ",""),"(주)",""),"주식회사",""),"㈜","")))</f>
        <v/>
      </c>
      <c r="H5044" s="10" t="str">
        <f aca="false">IF($B5044="","",SUBSTITUTE(SUBSTITUTE(SUBSTITUTE($B5044,"-","")," ",""),".",""))</f>
        <v/>
      </c>
      <c r="I5044" s="10" t="str">
        <f aca="false">IF($D5044="","",SUBSTITUTE(SUBSTITUTE(SUBSTITUTE($D5044,"-","")," ",""),".",""))</f>
        <v/>
      </c>
      <c r="J5044" s="10" t="str">
        <f aca="false">IF($E5044="","",UPPER(SUBSTITUTE($E5044," ","")))</f>
        <v/>
      </c>
      <c r="K5044" s="10" t="str">
        <f aca="false">IF($A5044="","",$G5044&amp;"|"&amp;$J5044)</f>
        <v/>
      </c>
      <c r="L5044" s="10" t="str">
        <f aca="false">IF($A5044="","",ROW()-2)</f>
        <v/>
      </c>
      <c r="M5044" s="10" t="str">
        <f aca="false">IF($A5044="","",ROW())</f>
        <v/>
      </c>
    </row>
    <row r="5045" customFormat="false" ht="15" hidden="false" customHeight="true" outlineLevel="0" collapsed="false">
      <c r="A5045" s="8"/>
      <c r="B5045" s="8"/>
      <c r="C5045" s="8"/>
      <c r="D5045" s="8"/>
      <c r="E5045" s="8"/>
      <c r="F5045" s="8"/>
      <c r="G5045" s="10" t="str">
        <f aca="false">IF($A5045="","",UPPER(SUBSTITUTE(SUBSTITUTE(SUBSTITUTE(SUBSTITUTE($A5045," ",""),"(주)",""),"주식회사",""),"㈜","")))</f>
        <v/>
      </c>
      <c r="H5045" s="10" t="str">
        <f aca="false">IF($B5045="","",SUBSTITUTE(SUBSTITUTE(SUBSTITUTE($B5045,"-","")," ",""),".",""))</f>
        <v/>
      </c>
      <c r="I5045" s="10" t="str">
        <f aca="false">IF($D5045="","",SUBSTITUTE(SUBSTITUTE(SUBSTITUTE($D5045,"-","")," ",""),".",""))</f>
        <v/>
      </c>
      <c r="J5045" s="10" t="str">
        <f aca="false">IF($E5045="","",UPPER(SUBSTITUTE($E5045," ","")))</f>
        <v/>
      </c>
      <c r="K5045" s="10" t="str">
        <f aca="false">IF($A5045="","",$G5045&amp;"|"&amp;$J5045)</f>
        <v/>
      </c>
      <c r="L5045" s="10" t="str">
        <f aca="false">IF($A5045="","",ROW()-2)</f>
        <v/>
      </c>
      <c r="M5045" s="10" t="str">
        <f aca="false">IF($A5045="","",ROW())</f>
        <v/>
      </c>
    </row>
    <row r="5046" customFormat="false" ht="15" hidden="false" customHeight="true" outlineLevel="0" collapsed="false">
      <c r="A5046" s="8"/>
      <c r="B5046" s="8"/>
      <c r="C5046" s="8"/>
      <c r="D5046" s="8"/>
      <c r="E5046" s="8"/>
      <c r="F5046" s="8"/>
      <c r="G5046" s="10" t="str">
        <f aca="false">IF($A5046="","",UPPER(SUBSTITUTE(SUBSTITUTE(SUBSTITUTE(SUBSTITUTE($A5046," ",""),"(주)",""),"주식회사",""),"㈜","")))</f>
        <v/>
      </c>
      <c r="H5046" s="10" t="str">
        <f aca="false">IF($B5046="","",SUBSTITUTE(SUBSTITUTE(SUBSTITUTE($B5046,"-","")," ",""),".",""))</f>
        <v/>
      </c>
      <c r="I5046" s="10" t="str">
        <f aca="false">IF($D5046="","",SUBSTITUTE(SUBSTITUTE(SUBSTITUTE($D5046,"-","")," ",""),".",""))</f>
        <v/>
      </c>
      <c r="J5046" s="10" t="str">
        <f aca="false">IF($E5046="","",UPPER(SUBSTITUTE($E5046," ","")))</f>
        <v/>
      </c>
      <c r="K5046" s="10" t="str">
        <f aca="false">IF($A5046="","",$G5046&amp;"|"&amp;$J5046)</f>
        <v/>
      </c>
      <c r="L5046" s="10" t="str">
        <f aca="false">IF($A5046="","",ROW()-2)</f>
        <v/>
      </c>
      <c r="M5046" s="10" t="str">
        <f aca="false">IF($A5046="","",ROW())</f>
        <v/>
      </c>
    </row>
    <row r="5047" customFormat="false" ht="15" hidden="false" customHeight="true" outlineLevel="0" collapsed="false">
      <c r="A5047" s="8"/>
      <c r="B5047" s="8"/>
      <c r="C5047" s="8"/>
      <c r="D5047" s="8"/>
      <c r="E5047" s="8"/>
      <c r="F5047" s="8"/>
      <c r="G5047" s="10" t="str">
        <f aca="false">IF($A5047="","",UPPER(SUBSTITUTE(SUBSTITUTE(SUBSTITUTE(SUBSTITUTE($A5047," ",""),"(주)",""),"주식회사",""),"㈜","")))</f>
        <v/>
      </c>
      <c r="H5047" s="10" t="str">
        <f aca="false">IF($B5047="","",SUBSTITUTE(SUBSTITUTE(SUBSTITUTE($B5047,"-","")," ",""),".",""))</f>
        <v/>
      </c>
      <c r="I5047" s="10" t="str">
        <f aca="false">IF($D5047="","",SUBSTITUTE(SUBSTITUTE(SUBSTITUTE($D5047,"-","")," ",""),".",""))</f>
        <v/>
      </c>
      <c r="J5047" s="10" t="str">
        <f aca="false">IF($E5047="","",UPPER(SUBSTITUTE($E5047," ","")))</f>
        <v/>
      </c>
      <c r="K5047" s="10" t="str">
        <f aca="false">IF($A5047="","",$G5047&amp;"|"&amp;$J5047)</f>
        <v/>
      </c>
      <c r="L5047" s="10" t="str">
        <f aca="false">IF($A5047="","",ROW()-2)</f>
        <v/>
      </c>
      <c r="M5047" s="10" t="str">
        <f aca="false">IF($A5047="","",ROW())</f>
        <v/>
      </c>
    </row>
    <row r="5048" customFormat="false" ht="15" hidden="false" customHeight="true" outlineLevel="0" collapsed="false">
      <c r="A5048" s="8"/>
      <c r="B5048" s="8"/>
      <c r="C5048" s="8"/>
      <c r="D5048" s="8"/>
      <c r="E5048" s="8"/>
      <c r="F5048" s="8"/>
      <c r="G5048" s="10" t="str">
        <f aca="false">IF($A5048="","",UPPER(SUBSTITUTE(SUBSTITUTE(SUBSTITUTE(SUBSTITUTE($A5048," ",""),"(주)",""),"주식회사",""),"㈜","")))</f>
        <v/>
      </c>
      <c r="H5048" s="10" t="str">
        <f aca="false">IF($B5048="","",SUBSTITUTE(SUBSTITUTE(SUBSTITUTE($B5048,"-","")," ",""),".",""))</f>
        <v/>
      </c>
      <c r="I5048" s="10" t="str">
        <f aca="false">IF($D5048="","",SUBSTITUTE(SUBSTITUTE(SUBSTITUTE($D5048,"-","")," ",""),".",""))</f>
        <v/>
      </c>
      <c r="J5048" s="10" t="str">
        <f aca="false">IF($E5048="","",UPPER(SUBSTITUTE($E5048," ","")))</f>
        <v/>
      </c>
      <c r="K5048" s="10" t="str">
        <f aca="false">IF($A5048="","",$G5048&amp;"|"&amp;$J5048)</f>
        <v/>
      </c>
      <c r="L5048" s="10" t="str">
        <f aca="false">IF($A5048="","",ROW()-2)</f>
        <v/>
      </c>
      <c r="M5048" s="10" t="str">
        <f aca="false">IF($A5048="","",ROW())</f>
        <v/>
      </c>
    </row>
    <row r="5049" customFormat="false" ht="15" hidden="false" customHeight="true" outlineLevel="0" collapsed="false">
      <c r="A5049" s="8"/>
      <c r="B5049" s="8"/>
      <c r="C5049" s="8"/>
      <c r="D5049" s="8"/>
      <c r="E5049" s="8"/>
      <c r="F5049" s="8"/>
      <c r="G5049" s="10" t="str">
        <f aca="false">IF($A5049="","",UPPER(SUBSTITUTE(SUBSTITUTE(SUBSTITUTE(SUBSTITUTE($A5049," ",""),"(주)",""),"주식회사",""),"㈜","")))</f>
        <v/>
      </c>
      <c r="H5049" s="10" t="str">
        <f aca="false">IF($B5049="","",SUBSTITUTE(SUBSTITUTE(SUBSTITUTE($B5049,"-","")," ",""),".",""))</f>
        <v/>
      </c>
      <c r="I5049" s="10" t="str">
        <f aca="false">IF($D5049="","",SUBSTITUTE(SUBSTITUTE(SUBSTITUTE($D5049,"-","")," ",""),".",""))</f>
        <v/>
      </c>
      <c r="J5049" s="10" t="str">
        <f aca="false">IF($E5049="","",UPPER(SUBSTITUTE($E5049," ","")))</f>
        <v/>
      </c>
      <c r="K5049" s="10" t="str">
        <f aca="false">IF($A5049="","",$G5049&amp;"|"&amp;$J5049)</f>
        <v/>
      </c>
      <c r="L5049" s="10" t="str">
        <f aca="false">IF($A5049="","",ROW()-2)</f>
        <v/>
      </c>
      <c r="M5049" s="10" t="str">
        <f aca="false">IF($A5049="","",ROW())</f>
        <v/>
      </c>
    </row>
    <row r="5050" customFormat="false" ht="15" hidden="false" customHeight="true" outlineLevel="0" collapsed="false">
      <c r="A5050" s="8"/>
      <c r="B5050" s="8"/>
      <c r="C5050" s="8"/>
      <c r="D5050" s="8"/>
      <c r="E5050" s="8"/>
      <c r="F5050" s="8"/>
      <c r="G5050" s="10" t="str">
        <f aca="false">IF($A5050="","",UPPER(SUBSTITUTE(SUBSTITUTE(SUBSTITUTE(SUBSTITUTE($A5050," ",""),"(주)",""),"주식회사",""),"㈜","")))</f>
        <v/>
      </c>
      <c r="H5050" s="10" t="str">
        <f aca="false">IF($B5050="","",SUBSTITUTE(SUBSTITUTE(SUBSTITUTE($B5050,"-","")," ",""),".",""))</f>
        <v/>
      </c>
      <c r="I5050" s="10" t="str">
        <f aca="false">IF($D5050="","",SUBSTITUTE(SUBSTITUTE(SUBSTITUTE($D5050,"-","")," ",""),".",""))</f>
        <v/>
      </c>
      <c r="J5050" s="10" t="str">
        <f aca="false">IF($E5050="","",UPPER(SUBSTITUTE($E5050," ","")))</f>
        <v/>
      </c>
      <c r="K5050" s="10" t="str">
        <f aca="false">IF($A5050="","",$G5050&amp;"|"&amp;$J5050)</f>
        <v/>
      </c>
      <c r="L5050" s="10" t="str">
        <f aca="false">IF($A5050="","",ROW()-2)</f>
        <v/>
      </c>
      <c r="M5050" s="10" t="str">
        <f aca="false">IF($A5050="","",ROW())</f>
        <v/>
      </c>
    </row>
    <row r="5051" customFormat="false" ht="15" hidden="false" customHeight="true" outlineLevel="0" collapsed="false">
      <c r="A5051" s="8"/>
      <c r="B5051" s="8"/>
      <c r="C5051" s="8"/>
      <c r="D5051" s="8"/>
      <c r="E5051" s="8"/>
      <c r="F5051" s="8"/>
      <c r="G5051" s="10" t="str">
        <f aca="false">IF($A5051="","",UPPER(SUBSTITUTE(SUBSTITUTE(SUBSTITUTE(SUBSTITUTE($A5051," ",""),"(주)",""),"주식회사",""),"㈜","")))</f>
        <v/>
      </c>
      <c r="H5051" s="10" t="str">
        <f aca="false">IF($B5051="","",SUBSTITUTE(SUBSTITUTE(SUBSTITUTE($B5051,"-","")," ",""),".",""))</f>
        <v/>
      </c>
      <c r="I5051" s="10" t="str">
        <f aca="false">IF($D5051="","",SUBSTITUTE(SUBSTITUTE(SUBSTITUTE($D5051,"-","")," ",""),".",""))</f>
        <v/>
      </c>
      <c r="J5051" s="10" t="str">
        <f aca="false">IF($E5051="","",UPPER(SUBSTITUTE($E5051," ","")))</f>
        <v/>
      </c>
      <c r="K5051" s="10" t="str">
        <f aca="false">IF($A5051="","",$G5051&amp;"|"&amp;$J5051)</f>
        <v/>
      </c>
      <c r="L5051" s="10" t="str">
        <f aca="false">IF($A5051="","",ROW()-2)</f>
        <v/>
      </c>
      <c r="M5051" s="10" t="str">
        <f aca="false">IF($A5051="","",ROW())</f>
        <v/>
      </c>
    </row>
    <row r="5052" customFormat="false" ht="15" hidden="false" customHeight="true" outlineLevel="0" collapsed="false">
      <c r="A5052" s="8"/>
      <c r="B5052" s="8"/>
      <c r="C5052" s="8"/>
      <c r="D5052" s="8"/>
      <c r="E5052" s="8"/>
      <c r="F5052" s="8"/>
      <c r="G5052" s="10" t="str">
        <f aca="false">IF($A5052="","",UPPER(SUBSTITUTE(SUBSTITUTE(SUBSTITUTE(SUBSTITUTE($A5052," ",""),"(주)",""),"주식회사",""),"㈜","")))</f>
        <v/>
      </c>
      <c r="H5052" s="10" t="str">
        <f aca="false">IF($B5052="","",SUBSTITUTE(SUBSTITUTE(SUBSTITUTE($B5052,"-","")," ",""),".",""))</f>
        <v/>
      </c>
      <c r="I5052" s="10" t="str">
        <f aca="false">IF($D5052="","",SUBSTITUTE(SUBSTITUTE(SUBSTITUTE($D5052,"-","")," ",""),".",""))</f>
        <v/>
      </c>
      <c r="J5052" s="10" t="str">
        <f aca="false">IF($E5052="","",UPPER(SUBSTITUTE($E5052," ","")))</f>
        <v/>
      </c>
      <c r="K5052" s="10" t="str">
        <f aca="false">IF($A5052="","",$G5052&amp;"|"&amp;$J5052)</f>
        <v/>
      </c>
      <c r="L5052" s="10" t="str">
        <f aca="false">IF($A5052="","",ROW()-2)</f>
        <v/>
      </c>
      <c r="M5052" s="10" t="str">
        <f aca="false">IF($A5052="","",ROW())</f>
        <v/>
      </c>
    </row>
    <row r="5053" customFormat="false" ht="15" hidden="false" customHeight="true" outlineLevel="0" collapsed="false">
      <c r="A5053" s="8"/>
      <c r="B5053" s="8"/>
      <c r="C5053" s="8"/>
      <c r="D5053" s="8"/>
      <c r="E5053" s="8"/>
      <c r="F5053" s="8"/>
      <c r="G5053" s="10" t="str">
        <f aca="false">IF($A5053="","",UPPER(SUBSTITUTE(SUBSTITUTE(SUBSTITUTE(SUBSTITUTE($A5053," ",""),"(주)",""),"주식회사",""),"㈜","")))</f>
        <v/>
      </c>
      <c r="H5053" s="10" t="str">
        <f aca="false">IF($B5053="","",SUBSTITUTE(SUBSTITUTE(SUBSTITUTE($B5053,"-","")," ",""),".",""))</f>
        <v/>
      </c>
      <c r="I5053" s="10" t="str">
        <f aca="false">IF($D5053="","",SUBSTITUTE(SUBSTITUTE(SUBSTITUTE($D5053,"-","")," ",""),".",""))</f>
        <v/>
      </c>
      <c r="J5053" s="10" t="str">
        <f aca="false">IF($E5053="","",UPPER(SUBSTITUTE($E5053," ","")))</f>
        <v/>
      </c>
      <c r="K5053" s="10" t="str">
        <f aca="false">IF($A5053="","",$G5053&amp;"|"&amp;$J5053)</f>
        <v/>
      </c>
      <c r="L5053" s="10" t="str">
        <f aca="false">IF($A5053="","",ROW()-2)</f>
        <v/>
      </c>
      <c r="M5053" s="10" t="str">
        <f aca="false">IF($A5053="","",ROW())</f>
        <v/>
      </c>
    </row>
    <row r="5054" customFormat="false" ht="15" hidden="false" customHeight="true" outlineLevel="0" collapsed="false">
      <c r="A5054" s="8"/>
      <c r="B5054" s="8"/>
      <c r="C5054" s="8"/>
      <c r="D5054" s="8"/>
      <c r="E5054" s="8"/>
      <c r="F5054" s="8"/>
      <c r="G5054" s="10" t="str">
        <f aca="false">IF($A5054="","",UPPER(SUBSTITUTE(SUBSTITUTE(SUBSTITUTE(SUBSTITUTE($A5054," ",""),"(주)",""),"주식회사",""),"㈜","")))</f>
        <v/>
      </c>
      <c r="H5054" s="10" t="str">
        <f aca="false">IF($B5054="","",SUBSTITUTE(SUBSTITUTE(SUBSTITUTE($B5054,"-","")," ",""),".",""))</f>
        <v/>
      </c>
      <c r="I5054" s="10" t="str">
        <f aca="false">IF($D5054="","",SUBSTITUTE(SUBSTITUTE(SUBSTITUTE($D5054,"-","")," ",""),".",""))</f>
        <v/>
      </c>
      <c r="J5054" s="10" t="str">
        <f aca="false">IF($E5054="","",UPPER(SUBSTITUTE($E5054," ","")))</f>
        <v/>
      </c>
      <c r="K5054" s="10" t="str">
        <f aca="false">IF($A5054="","",$G5054&amp;"|"&amp;$J5054)</f>
        <v/>
      </c>
      <c r="L5054" s="10" t="str">
        <f aca="false">IF($A5054="","",ROW()-2)</f>
        <v/>
      </c>
      <c r="M5054" s="10" t="str">
        <f aca="false">IF($A5054="","",ROW())</f>
        <v/>
      </c>
    </row>
    <row r="5055" customFormat="false" ht="15" hidden="false" customHeight="true" outlineLevel="0" collapsed="false">
      <c r="A5055" s="8"/>
      <c r="B5055" s="8"/>
      <c r="C5055" s="8"/>
      <c r="D5055" s="8"/>
      <c r="E5055" s="8"/>
      <c r="F5055" s="8"/>
      <c r="G5055" s="10" t="str">
        <f aca="false">IF($A5055="","",UPPER(SUBSTITUTE(SUBSTITUTE(SUBSTITUTE(SUBSTITUTE($A5055," ",""),"(주)",""),"주식회사",""),"㈜","")))</f>
        <v/>
      </c>
      <c r="H5055" s="10" t="str">
        <f aca="false">IF($B5055="","",SUBSTITUTE(SUBSTITUTE(SUBSTITUTE($B5055,"-","")," ",""),".",""))</f>
        <v/>
      </c>
      <c r="I5055" s="10" t="str">
        <f aca="false">IF($D5055="","",SUBSTITUTE(SUBSTITUTE(SUBSTITUTE($D5055,"-","")," ",""),".",""))</f>
        <v/>
      </c>
      <c r="J5055" s="10" t="str">
        <f aca="false">IF($E5055="","",UPPER(SUBSTITUTE($E5055," ","")))</f>
        <v/>
      </c>
      <c r="K5055" s="10" t="str">
        <f aca="false">IF($A5055="","",$G5055&amp;"|"&amp;$J5055)</f>
        <v/>
      </c>
      <c r="L5055" s="10" t="str">
        <f aca="false">IF($A5055="","",ROW()-2)</f>
        <v/>
      </c>
      <c r="M5055" s="10" t="str">
        <f aca="false">IF($A5055="","",ROW())</f>
        <v/>
      </c>
    </row>
    <row r="5056" customFormat="false" ht="15" hidden="false" customHeight="true" outlineLevel="0" collapsed="false">
      <c r="A5056" s="8"/>
      <c r="B5056" s="8"/>
      <c r="C5056" s="8"/>
      <c r="D5056" s="8"/>
      <c r="E5056" s="8"/>
      <c r="F5056" s="8"/>
      <c r="G5056" s="10" t="str">
        <f aca="false">IF($A5056="","",UPPER(SUBSTITUTE(SUBSTITUTE(SUBSTITUTE(SUBSTITUTE($A5056," ",""),"(주)",""),"주식회사",""),"㈜","")))</f>
        <v/>
      </c>
      <c r="H5056" s="10" t="str">
        <f aca="false">IF($B5056="","",SUBSTITUTE(SUBSTITUTE(SUBSTITUTE($B5056,"-","")," ",""),".",""))</f>
        <v/>
      </c>
      <c r="I5056" s="10" t="str">
        <f aca="false">IF($D5056="","",SUBSTITUTE(SUBSTITUTE(SUBSTITUTE($D5056,"-","")," ",""),".",""))</f>
        <v/>
      </c>
      <c r="J5056" s="10" t="str">
        <f aca="false">IF($E5056="","",UPPER(SUBSTITUTE($E5056," ","")))</f>
        <v/>
      </c>
      <c r="K5056" s="10" t="str">
        <f aca="false">IF($A5056="","",$G5056&amp;"|"&amp;$J5056)</f>
        <v/>
      </c>
      <c r="L5056" s="10" t="str">
        <f aca="false">IF($A5056="","",ROW()-2)</f>
        <v/>
      </c>
      <c r="M5056" s="10" t="str">
        <f aca="false">IF($A5056="","",ROW())</f>
        <v/>
      </c>
    </row>
    <row r="5057" customFormat="false" ht="15" hidden="false" customHeight="true" outlineLevel="0" collapsed="false">
      <c r="A5057" s="8"/>
      <c r="B5057" s="8"/>
      <c r="C5057" s="8"/>
      <c r="D5057" s="8"/>
      <c r="E5057" s="8"/>
      <c r="F5057" s="8"/>
      <c r="G5057" s="10" t="str">
        <f aca="false">IF($A5057="","",UPPER(SUBSTITUTE(SUBSTITUTE(SUBSTITUTE(SUBSTITUTE($A5057," ",""),"(주)",""),"주식회사",""),"㈜","")))</f>
        <v/>
      </c>
      <c r="H5057" s="10" t="str">
        <f aca="false">IF($B5057="","",SUBSTITUTE(SUBSTITUTE(SUBSTITUTE($B5057,"-","")," ",""),".",""))</f>
        <v/>
      </c>
      <c r="I5057" s="10" t="str">
        <f aca="false">IF($D5057="","",SUBSTITUTE(SUBSTITUTE(SUBSTITUTE($D5057,"-","")," ",""),".",""))</f>
        <v/>
      </c>
      <c r="J5057" s="10" t="str">
        <f aca="false">IF($E5057="","",UPPER(SUBSTITUTE($E5057," ","")))</f>
        <v/>
      </c>
      <c r="K5057" s="10" t="str">
        <f aca="false">IF($A5057="","",$G5057&amp;"|"&amp;$J5057)</f>
        <v/>
      </c>
      <c r="L5057" s="10" t="str">
        <f aca="false">IF($A5057="","",ROW()-2)</f>
        <v/>
      </c>
      <c r="M5057" s="10" t="str">
        <f aca="false">IF($A5057="","",ROW())</f>
        <v/>
      </c>
    </row>
    <row r="5058" customFormat="false" ht="15" hidden="false" customHeight="true" outlineLevel="0" collapsed="false">
      <c r="A5058" s="8"/>
      <c r="B5058" s="8"/>
      <c r="C5058" s="8"/>
      <c r="D5058" s="8"/>
      <c r="E5058" s="8"/>
      <c r="F5058" s="8"/>
      <c r="G5058" s="10" t="str">
        <f aca="false">IF($A5058="","",UPPER(SUBSTITUTE(SUBSTITUTE(SUBSTITUTE(SUBSTITUTE($A5058," ",""),"(주)",""),"주식회사",""),"㈜","")))</f>
        <v/>
      </c>
      <c r="H5058" s="10" t="str">
        <f aca="false">IF($B5058="","",SUBSTITUTE(SUBSTITUTE(SUBSTITUTE($B5058,"-","")," ",""),".",""))</f>
        <v/>
      </c>
      <c r="I5058" s="10" t="str">
        <f aca="false">IF($D5058="","",SUBSTITUTE(SUBSTITUTE(SUBSTITUTE($D5058,"-","")," ",""),".",""))</f>
        <v/>
      </c>
      <c r="J5058" s="10" t="str">
        <f aca="false">IF($E5058="","",UPPER(SUBSTITUTE($E5058," ","")))</f>
        <v/>
      </c>
      <c r="K5058" s="10" t="str">
        <f aca="false">IF($A5058="","",$G5058&amp;"|"&amp;$J5058)</f>
        <v/>
      </c>
      <c r="L5058" s="10" t="str">
        <f aca="false">IF($A5058="","",ROW()-2)</f>
        <v/>
      </c>
      <c r="M5058" s="10" t="str">
        <f aca="false">IF($A5058="","",ROW())</f>
        <v/>
      </c>
    </row>
    <row r="5059" customFormat="false" ht="15" hidden="false" customHeight="true" outlineLevel="0" collapsed="false">
      <c r="A5059" s="8"/>
      <c r="B5059" s="8"/>
      <c r="C5059" s="8"/>
      <c r="D5059" s="8"/>
      <c r="E5059" s="8"/>
      <c r="F5059" s="8"/>
      <c r="G5059" s="10" t="str">
        <f aca="false">IF($A5059="","",UPPER(SUBSTITUTE(SUBSTITUTE(SUBSTITUTE(SUBSTITUTE($A5059," ",""),"(주)",""),"주식회사",""),"㈜","")))</f>
        <v/>
      </c>
      <c r="H5059" s="10" t="str">
        <f aca="false">IF($B5059="","",SUBSTITUTE(SUBSTITUTE(SUBSTITUTE($B5059,"-","")," ",""),".",""))</f>
        <v/>
      </c>
      <c r="I5059" s="10" t="str">
        <f aca="false">IF($D5059="","",SUBSTITUTE(SUBSTITUTE(SUBSTITUTE($D5059,"-","")," ",""),".",""))</f>
        <v/>
      </c>
      <c r="J5059" s="10" t="str">
        <f aca="false">IF($E5059="","",UPPER(SUBSTITUTE($E5059," ","")))</f>
        <v/>
      </c>
      <c r="K5059" s="10" t="str">
        <f aca="false">IF($A5059="","",$G5059&amp;"|"&amp;$J5059)</f>
        <v/>
      </c>
      <c r="L5059" s="10" t="str">
        <f aca="false">IF($A5059="","",ROW()-2)</f>
        <v/>
      </c>
      <c r="M5059" s="10" t="str">
        <f aca="false">IF($A5059="","",ROW())</f>
        <v/>
      </c>
    </row>
    <row r="5060" customFormat="false" ht="15" hidden="false" customHeight="true" outlineLevel="0" collapsed="false">
      <c r="A5060" s="8"/>
      <c r="B5060" s="8"/>
      <c r="C5060" s="8"/>
      <c r="D5060" s="8"/>
      <c r="E5060" s="8"/>
      <c r="F5060" s="8"/>
      <c r="G5060" s="10" t="str">
        <f aca="false">IF($A5060="","",UPPER(SUBSTITUTE(SUBSTITUTE(SUBSTITUTE(SUBSTITUTE($A5060," ",""),"(주)",""),"주식회사",""),"㈜","")))</f>
        <v/>
      </c>
      <c r="H5060" s="10" t="str">
        <f aca="false">IF($B5060="","",SUBSTITUTE(SUBSTITUTE(SUBSTITUTE($B5060,"-","")," ",""),".",""))</f>
        <v/>
      </c>
      <c r="I5060" s="10" t="str">
        <f aca="false">IF($D5060="","",SUBSTITUTE(SUBSTITUTE(SUBSTITUTE($D5060,"-","")," ",""),".",""))</f>
        <v/>
      </c>
      <c r="J5060" s="10" t="str">
        <f aca="false">IF($E5060="","",UPPER(SUBSTITUTE($E5060," ","")))</f>
        <v/>
      </c>
      <c r="K5060" s="10" t="str">
        <f aca="false">IF($A5060="","",$G5060&amp;"|"&amp;$J5060)</f>
        <v/>
      </c>
      <c r="L5060" s="10" t="str">
        <f aca="false">IF($A5060="","",ROW()-2)</f>
        <v/>
      </c>
      <c r="M5060" s="10" t="str">
        <f aca="false">IF($A5060="","",ROW())</f>
        <v/>
      </c>
    </row>
    <row r="5061" customFormat="false" ht="15" hidden="false" customHeight="true" outlineLevel="0" collapsed="false">
      <c r="A5061" s="8"/>
      <c r="B5061" s="8"/>
      <c r="C5061" s="8"/>
      <c r="D5061" s="8"/>
      <c r="E5061" s="8"/>
      <c r="F5061" s="8"/>
      <c r="G5061" s="10" t="str">
        <f aca="false">IF($A5061="","",UPPER(SUBSTITUTE(SUBSTITUTE(SUBSTITUTE(SUBSTITUTE($A5061," ",""),"(주)",""),"주식회사",""),"㈜","")))</f>
        <v/>
      </c>
      <c r="H5061" s="10" t="str">
        <f aca="false">IF($B5061="","",SUBSTITUTE(SUBSTITUTE(SUBSTITUTE($B5061,"-","")," ",""),".",""))</f>
        <v/>
      </c>
      <c r="I5061" s="10" t="str">
        <f aca="false">IF($D5061="","",SUBSTITUTE(SUBSTITUTE(SUBSTITUTE($D5061,"-","")," ",""),".",""))</f>
        <v/>
      </c>
      <c r="J5061" s="10" t="str">
        <f aca="false">IF($E5061="","",UPPER(SUBSTITUTE($E5061," ","")))</f>
        <v/>
      </c>
      <c r="K5061" s="10" t="str">
        <f aca="false">IF($A5061="","",$G5061&amp;"|"&amp;$J5061)</f>
        <v/>
      </c>
      <c r="L5061" s="10" t="str">
        <f aca="false">IF($A5061="","",ROW()-2)</f>
        <v/>
      </c>
      <c r="M5061" s="10" t="str">
        <f aca="false">IF($A5061="","",ROW())</f>
        <v/>
      </c>
    </row>
    <row r="5062" customFormat="false" ht="15" hidden="false" customHeight="true" outlineLevel="0" collapsed="false">
      <c r="A5062" s="8"/>
      <c r="B5062" s="8"/>
      <c r="C5062" s="8"/>
      <c r="D5062" s="8"/>
      <c r="E5062" s="8"/>
      <c r="F5062" s="8"/>
      <c r="G5062" s="10" t="str">
        <f aca="false">IF($A5062="","",UPPER(SUBSTITUTE(SUBSTITUTE(SUBSTITUTE(SUBSTITUTE($A5062," ",""),"(주)",""),"주식회사",""),"㈜","")))</f>
        <v/>
      </c>
      <c r="H5062" s="10" t="str">
        <f aca="false">IF($B5062="","",SUBSTITUTE(SUBSTITUTE(SUBSTITUTE($B5062,"-","")," ",""),".",""))</f>
        <v/>
      </c>
      <c r="I5062" s="10" t="str">
        <f aca="false">IF($D5062="","",SUBSTITUTE(SUBSTITUTE(SUBSTITUTE($D5062,"-","")," ",""),".",""))</f>
        <v/>
      </c>
      <c r="J5062" s="10" t="str">
        <f aca="false">IF($E5062="","",UPPER(SUBSTITUTE($E5062," ","")))</f>
        <v/>
      </c>
      <c r="K5062" s="10" t="str">
        <f aca="false">IF($A5062="","",$G5062&amp;"|"&amp;$J5062)</f>
        <v/>
      </c>
      <c r="L5062" s="10" t="str">
        <f aca="false">IF($A5062="","",ROW()-2)</f>
        <v/>
      </c>
      <c r="M5062" s="10" t="str">
        <f aca="false">IF($A5062="","",ROW())</f>
        <v/>
      </c>
    </row>
    <row r="5063" customFormat="false" ht="15" hidden="false" customHeight="true" outlineLevel="0" collapsed="false">
      <c r="A5063" s="8"/>
      <c r="B5063" s="8"/>
      <c r="C5063" s="8"/>
      <c r="D5063" s="8"/>
      <c r="E5063" s="8"/>
      <c r="F5063" s="8"/>
      <c r="G5063" s="10" t="str">
        <f aca="false">IF($A5063="","",UPPER(SUBSTITUTE(SUBSTITUTE(SUBSTITUTE(SUBSTITUTE($A5063," ",""),"(주)",""),"주식회사",""),"㈜","")))</f>
        <v/>
      </c>
      <c r="H5063" s="10" t="str">
        <f aca="false">IF($B5063="","",SUBSTITUTE(SUBSTITUTE(SUBSTITUTE($B5063,"-","")," ",""),".",""))</f>
        <v/>
      </c>
      <c r="I5063" s="10" t="str">
        <f aca="false">IF($D5063="","",SUBSTITUTE(SUBSTITUTE(SUBSTITUTE($D5063,"-","")," ",""),".",""))</f>
        <v/>
      </c>
      <c r="J5063" s="10" t="str">
        <f aca="false">IF($E5063="","",UPPER(SUBSTITUTE($E5063," ","")))</f>
        <v/>
      </c>
      <c r="K5063" s="10" t="str">
        <f aca="false">IF($A5063="","",$G5063&amp;"|"&amp;$J5063)</f>
        <v/>
      </c>
      <c r="L5063" s="10" t="str">
        <f aca="false">IF($A5063="","",ROW()-2)</f>
        <v/>
      </c>
      <c r="M5063" s="10" t="str">
        <f aca="false">IF($A5063="","",ROW())</f>
        <v/>
      </c>
    </row>
    <row r="5064" customFormat="false" ht="15" hidden="false" customHeight="true" outlineLevel="0" collapsed="false">
      <c r="A5064" s="8"/>
      <c r="B5064" s="8"/>
      <c r="C5064" s="8"/>
      <c r="D5064" s="8"/>
      <c r="E5064" s="8"/>
      <c r="F5064" s="8"/>
      <c r="G5064" s="10" t="str">
        <f aca="false">IF($A5064="","",UPPER(SUBSTITUTE(SUBSTITUTE(SUBSTITUTE(SUBSTITUTE($A5064," ",""),"(주)",""),"주식회사",""),"㈜","")))</f>
        <v/>
      </c>
      <c r="H5064" s="10" t="str">
        <f aca="false">IF($B5064="","",SUBSTITUTE(SUBSTITUTE(SUBSTITUTE($B5064,"-","")," ",""),".",""))</f>
        <v/>
      </c>
      <c r="I5064" s="10" t="str">
        <f aca="false">IF($D5064="","",SUBSTITUTE(SUBSTITUTE(SUBSTITUTE($D5064,"-","")," ",""),".",""))</f>
        <v/>
      </c>
      <c r="J5064" s="10" t="str">
        <f aca="false">IF($E5064="","",UPPER(SUBSTITUTE($E5064," ","")))</f>
        <v/>
      </c>
      <c r="K5064" s="10" t="str">
        <f aca="false">IF($A5064="","",$G5064&amp;"|"&amp;$J5064)</f>
        <v/>
      </c>
      <c r="L5064" s="10" t="str">
        <f aca="false">IF($A5064="","",ROW()-2)</f>
        <v/>
      </c>
      <c r="M5064" s="10" t="str">
        <f aca="false">IF($A5064="","",ROW())</f>
        <v/>
      </c>
    </row>
    <row r="5065" customFormat="false" ht="15" hidden="false" customHeight="true" outlineLevel="0" collapsed="false">
      <c r="A5065" s="8"/>
      <c r="B5065" s="8"/>
      <c r="C5065" s="8"/>
      <c r="D5065" s="8"/>
      <c r="E5065" s="8"/>
      <c r="F5065" s="8"/>
      <c r="G5065" s="10" t="str">
        <f aca="false">IF($A5065="","",UPPER(SUBSTITUTE(SUBSTITUTE(SUBSTITUTE(SUBSTITUTE($A5065," ",""),"(주)",""),"주식회사",""),"㈜","")))</f>
        <v/>
      </c>
      <c r="H5065" s="10" t="str">
        <f aca="false">IF($B5065="","",SUBSTITUTE(SUBSTITUTE(SUBSTITUTE($B5065,"-","")," ",""),".",""))</f>
        <v/>
      </c>
      <c r="I5065" s="10" t="str">
        <f aca="false">IF($D5065="","",SUBSTITUTE(SUBSTITUTE(SUBSTITUTE($D5065,"-","")," ",""),".",""))</f>
        <v/>
      </c>
      <c r="J5065" s="10" t="str">
        <f aca="false">IF($E5065="","",UPPER(SUBSTITUTE($E5065," ","")))</f>
        <v/>
      </c>
      <c r="K5065" s="10" t="str">
        <f aca="false">IF($A5065="","",$G5065&amp;"|"&amp;$J5065)</f>
        <v/>
      </c>
      <c r="L5065" s="10" t="str">
        <f aca="false">IF($A5065="","",ROW()-2)</f>
        <v/>
      </c>
      <c r="M5065" s="10" t="str">
        <f aca="false">IF($A5065="","",ROW())</f>
        <v/>
      </c>
    </row>
    <row r="5066" customFormat="false" ht="15" hidden="false" customHeight="true" outlineLevel="0" collapsed="false">
      <c r="A5066" s="8"/>
      <c r="B5066" s="8"/>
      <c r="C5066" s="8"/>
      <c r="D5066" s="8"/>
      <c r="E5066" s="8"/>
      <c r="F5066" s="8"/>
      <c r="G5066" s="10" t="str">
        <f aca="false">IF($A5066="","",UPPER(SUBSTITUTE(SUBSTITUTE(SUBSTITUTE(SUBSTITUTE($A5066," ",""),"(주)",""),"주식회사",""),"㈜","")))</f>
        <v/>
      </c>
      <c r="H5066" s="10" t="str">
        <f aca="false">IF($B5066="","",SUBSTITUTE(SUBSTITUTE(SUBSTITUTE($B5066,"-","")," ",""),".",""))</f>
        <v/>
      </c>
      <c r="I5066" s="10" t="str">
        <f aca="false">IF($D5066="","",SUBSTITUTE(SUBSTITUTE(SUBSTITUTE($D5066,"-","")," ",""),".",""))</f>
        <v/>
      </c>
      <c r="J5066" s="10" t="str">
        <f aca="false">IF($E5066="","",UPPER(SUBSTITUTE($E5066," ","")))</f>
        <v/>
      </c>
      <c r="K5066" s="10" t="str">
        <f aca="false">IF($A5066="","",$G5066&amp;"|"&amp;$J5066)</f>
        <v/>
      </c>
      <c r="L5066" s="10" t="str">
        <f aca="false">IF($A5066="","",ROW()-2)</f>
        <v/>
      </c>
      <c r="M5066" s="10" t="str">
        <f aca="false">IF($A5066="","",ROW())</f>
        <v/>
      </c>
    </row>
    <row r="5067" customFormat="false" ht="15" hidden="false" customHeight="true" outlineLevel="0" collapsed="false">
      <c r="A5067" s="8"/>
      <c r="B5067" s="8"/>
      <c r="C5067" s="8"/>
      <c r="D5067" s="8"/>
      <c r="E5067" s="8"/>
      <c r="F5067" s="8"/>
      <c r="G5067" s="10" t="str">
        <f aca="false">IF($A5067="","",UPPER(SUBSTITUTE(SUBSTITUTE(SUBSTITUTE(SUBSTITUTE($A5067," ",""),"(주)",""),"주식회사",""),"㈜","")))</f>
        <v/>
      </c>
      <c r="H5067" s="10" t="str">
        <f aca="false">IF($B5067="","",SUBSTITUTE(SUBSTITUTE(SUBSTITUTE($B5067,"-","")," ",""),".",""))</f>
        <v/>
      </c>
      <c r="I5067" s="10" t="str">
        <f aca="false">IF($D5067="","",SUBSTITUTE(SUBSTITUTE(SUBSTITUTE($D5067,"-","")," ",""),".",""))</f>
        <v/>
      </c>
      <c r="J5067" s="10" t="str">
        <f aca="false">IF($E5067="","",UPPER(SUBSTITUTE($E5067," ","")))</f>
        <v/>
      </c>
      <c r="K5067" s="10" t="str">
        <f aca="false">IF($A5067="","",$G5067&amp;"|"&amp;$J5067)</f>
        <v/>
      </c>
      <c r="L5067" s="10" t="str">
        <f aca="false">IF($A5067="","",ROW()-2)</f>
        <v/>
      </c>
      <c r="M5067" s="10" t="str">
        <f aca="false">IF($A5067="","",ROW())</f>
        <v/>
      </c>
    </row>
    <row r="5068" customFormat="false" ht="15" hidden="false" customHeight="true" outlineLevel="0" collapsed="false">
      <c r="A5068" s="8"/>
      <c r="B5068" s="8"/>
      <c r="C5068" s="8"/>
      <c r="D5068" s="8"/>
      <c r="E5068" s="8"/>
      <c r="F5068" s="8"/>
      <c r="G5068" s="10" t="str">
        <f aca="false">IF($A5068="","",UPPER(SUBSTITUTE(SUBSTITUTE(SUBSTITUTE(SUBSTITUTE($A5068," ",""),"(주)",""),"주식회사",""),"㈜","")))</f>
        <v/>
      </c>
      <c r="H5068" s="10" t="str">
        <f aca="false">IF($B5068="","",SUBSTITUTE(SUBSTITUTE(SUBSTITUTE($B5068,"-","")," ",""),".",""))</f>
        <v/>
      </c>
      <c r="I5068" s="10" t="str">
        <f aca="false">IF($D5068="","",SUBSTITUTE(SUBSTITUTE(SUBSTITUTE($D5068,"-","")," ",""),".",""))</f>
        <v/>
      </c>
      <c r="J5068" s="10" t="str">
        <f aca="false">IF($E5068="","",UPPER(SUBSTITUTE($E5068," ","")))</f>
        <v/>
      </c>
      <c r="K5068" s="10" t="str">
        <f aca="false">IF($A5068="","",$G5068&amp;"|"&amp;$J5068)</f>
        <v/>
      </c>
      <c r="L5068" s="10" t="str">
        <f aca="false">IF($A5068="","",ROW()-2)</f>
        <v/>
      </c>
      <c r="M5068" s="10" t="str">
        <f aca="false">IF($A5068="","",ROW())</f>
        <v/>
      </c>
    </row>
    <row r="5069" customFormat="false" ht="15" hidden="false" customHeight="true" outlineLevel="0" collapsed="false">
      <c r="A5069" s="8"/>
      <c r="B5069" s="8"/>
      <c r="C5069" s="8"/>
      <c r="D5069" s="8"/>
      <c r="E5069" s="8"/>
      <c r="F5069" s="8"/>
      <c r="G5069" s="10" t="str">
        <f aca="false">IF($A5069="","",UPPER(SUBSTITUTE(SUBSTITUTE(SUBSTITUTE(SUBSTITUTE($A5069," ",""),"(주)",""),"주식회사",""),"㈜","")))</f>
        <v/>
      </c>
      <c r="H5069" s="10" t="str">
        <f aca="false">IF($B5069="","",SUBSTITUTE(SUBSTITUTE(SUBSTITUTE($B5069,"-","")," ",""),".",""))</f>
        <v/>
      </c>
      <c r="I5069" s="10" t="str">
        <f aca="false">IF($D5069="","",SUBSTITUTE(SUBSTITUTE(SUBSTITUTE($D5069,"-","")," ",""),".",""))</f>
        <v/>
      </c>
      <c r="J5069" s="10" t="str">
        <f aca="false">IF($E5069="","",UPPER(SUBSTITUTE($E5069," ","")))</f>
        <v/>
      </c>
      <c r="K5069" s="10" t="str">
        <f aca="false">IF($A5069="","",$G5069&amp;"|"&amp;$J5069)</f>
        <v/>
      </c>
      <c r="L5069" s="10" t="str">
        <f aca="false">IF($A5069="","",ROW()-2)</f>
        <v/>
      </c>
      <c r="M5069" s="10" t="str">
        <f aca="false">IF($A5069="","",ROW())</f>
        <v/>
      </c>
    </row>
    <row r="5070" customFormat="false" ht="15" hidden="false" customHeight="true" outlineLevel="0" collapsed="false">
      <c r="A5070" s="8"/>
      <c r="B5070" s="8"/>
      <c r="C5070" s="8"/>
      <c r="D5070" s="8"/>
      <c r="E5070" s="8"/>
      <c r="F5070" s="8"/>
      <c r="G5070" s="10" t="str">
        <f aca="false">IF($A5070="","",UPPER(SUBSTITUTE(SUBSTITUTE(SUBSTITUTE(SUBSTITUTE($A5070," ",""),"(주)",""),"주식회사",""),"㈜","")))</f>
        <v/>
      </c>
      <c r="H5070" s="10" t="str">
        <f aca="false">IF($B5070="","",SUBSTITUTE(SUBSTITUTE(SUBSTITUTE($B5070,"-","")," ",""),".",""))</f>
        <v/>
      </c>
      <c r="I5070" s="10" t="str">
        <f aca="false">IF($D5070="","",SUBSTITUTE(SUBSTITUTE(SUBSTITUTE($D5070,"-","")," ",""),".",""))</f>
        <v/>
      </c>
      <c r="J5070" s="10" t="str">
        <f aca="false">IF($E5070="","",UPPER(SUBSTITUTE($E5070," ","")))</f>
        <v/>
      </c>
      <c r="K5070" s="10" t="str">
        <f aca="false">IF($A5070="","",$G5070&amp;"|"&amp;$J5070)</f>
        <v/>
      </c>
      <c r="L5070" s="10" t="str">
        <f aca="false">IF($A5070="","",ROW()-2)</f>
        <v/>
      </c>
      <c r="M5070" s="10" t="str">
        <f aca="false">IF($A5070="","",ROW())</f>
        <v/>
      </c>
    </row>
    <row r="5071" customFormat="false" ht="15" hidden="false" customHeight="true" outlineLevel="0" collapsed="false">
      <c r="A5071" s="8"/>
      <c r="B5071" s="8"/>
      <c r="C5071" s="8"/>
      <c r="D5071" s="8"/>
      <c r="E5071" s="8"/>
      <c r="F5071" s="8"/>
      <c r="G5071" s="10" t="str">
        <f aca="false">IF($A5071="","",UPPER(SUBSTITUTE(SUBSTITUTE(SUBSTITUTE(SUBSTITUTE($A5071," ",""),"(주)",""),"주식회사",""),"㈜","")))</f>
        <v/>
      </c>
      <c r="H5071" s="10" t="str">
        <f aca="false">IF($B5071="","",SUBSTITUTE(SUBSTITUTE(SUBSTITUTE($B5071,"-","")," ",""),".",""))</f>
        <v/>
      </c>
      <c r="I5071" s="10" t="str">
        <f aca="false">IF($D5071="","",SUBSTITUTE(SUBSTITUTE(SUBSTITUTE($D5071,"-","")," ",""),".",""))</f>
        <v/>
      </c>
      <c r="J5071" s="10" t="str">
        <f aca="false">IF($E5071="","",UPPER(SUBSTITUTE($E5071," ","")))</f>
        <v/>
      </c>
      <c r="K5071" s="10" t="str">
        <f aca="false">IF($A5071="","",$G5071&amp;"|"&amp;$J5071)</f>
        <v/>
      </c>
      <c r="L5071" s="10" t="str">
        <f aca="false">IF($A5071="","",ROW()-2)</f>
        <v/>
      </c>
      <c r="M5071" s="10" t="str">
        <f aca="false">IF($A5071="","",ROW())</f>
        <v/>
      </c>
    </row>
    <row r="5072" customFormat="false" ht="15" hidden="false" customHeight="true" outlineLevel="0" collapsed="false">
      <c r="A5072" s="8"/>
      <c r="B5072" s="8"/>
      <c r="C5072" s="8"/>
      <c r="D5072" s="8"/>
      <c r="E5072" s="8"/>
      <c r="F5072" s="8"/>
      <c r="G5072" s="10" t="str">
        <f aca="false">IF($A5072="","",UPPER(SUBSTITUTE(SUBSTITUTE(SUBSTITUTE(SUBSTITUTE($A5072," ",""),"(주)",""),"주식회사",""),"㈜","")))</f>
        <v/>
      </c>
      <c r="H5072" s="10" t="str">
        <f aca="false">IF($B5072="","",SUBSTITUTE(SUBSTITUTE(SUBSTITUTE($B5072,"-","")," ",""),".",""))</f>
        <v/>
      </c>
      <c r="I5072" s="10" t="str">
        <f aca="false">IF($D5072="","",SUBSTITUTE(SUBSTITUTE(SUBSTITUTE($D5072,"-","")," ",""),".",""))</f>
        <v/>
      </c>
      <c r="J5072" s="10" t="str">
        <f aca="false">IF($E5072="","",UPPER(SUBSTITUTE($E5072," ","")))</f>
        <v/>
      </c>
      <c r="K5072" s="10" t="str">
        <f aca="false">IF($A5072="","",$G5072&amp;"|"&amp;$J5072)</f>
        <v/>
      </c>
      <c r="L5072" s="10" t="str">
        <f aca="false">IF($A5072="","",ROW()-2)</f>
        <v/>
      </c>
      <c r="M5072" s="10" t="str">
        <f aca="false">IF($A5072="","",ROW())</f>
        <v/>
      </c>
    </row>
    <row r="5073" customFormat="false" ht="15" hidden="false" customHeight="true" outlineLevel="0" collapsed="false">
      <c r="A5073" s="8"/>
      <c r="B5073" s="8"/>
      <c r="C5073" s="8"/>
      <c r="D5073" s="8"/>
      <c r="E5073" s="8"/>
      <c r="F5073" s="8"/>
      <c r="G5073" s="10" t="str">
        <f aca="false">IF($A5073="","",UPPER(SUBSTITUTE(SUBSTITUTE(SUBSTITUTE(SUBSTITUTE($A5073," ",""),"(주)",""),"주식회사",""),"㈜","")))</f>
        <v/>
      </c>
      <c r="H5073" s="10" t="str">
        <f aca="false">IF($B5073="","",SUBSTITUTE(SUBSTITUTE(SUBSTITUTE($B5073,"-","")," ",""),".",""))</f>
        <v/>
      </c>
      <c r="I5073" s="10" t="str">
        <f aca="false">IF($D5073="","",SUBSTITUTE(SUBSTITUTE(SUBSTITUTE($D5073,"-","")," ",""),".",""))</f>
        <v/>
      </c>
      <c r="J5073" s="10" t="str">
        <f aca="false">IF($E5073="","",UPPER(SUBSTITUTE($E5073," ","")))</f>
        <v/>
      </c>
      <c r="K5073" s="10" t="str">
        <f aca="false">IF($A5073="","",$G5073&amp;"|"&amp;$J5073)</f>
        <v/>
      </c>
      <c r="L5073" s="10" t="str">
        <f aca="false">IF($A5073="","",ROW()-2)</f>
        <v/>
      </c>
      <c r="M5073" s="10" t="str">
        <f aca="false">IF($A5073="","",ROW())</f>
        <v/>
      </c>
    </row>
    <row r="5074" customFormat="false" ht="15" hidden="false" customHeight="true" outlineLevel="0" collapsed="false">
      <c r="A5074" s="8"/>
      <c r="B5074" s="8"/>
      <c r="C5074" s="8"/>
      <c r="D5074" s="8"/>
      <c r="E5074" s="8"/>
      <c r="F5074" s="8"/>
      <c r="G5074" s="10" t="str">
        <f aca="false">IF($A5074="","",UPPER(SUBSTITUTE(SUBSTITUTE(SUBSTITUTE(SUBSTITUTE($A5074," ",""),"(주)",""),"주식회사",""),"㈜","")))</f>
        <v/>
      </c>
      <c r="H5074" s="10" t="str">
        <f aca="false">IF($B5074="","",SUBSTITUTE(SUBSTITUTE(SUBSTITUTE($B5074,"-","")," ",""),".",""))</f>
        <v/>
      </c>
      <c r="I5074" s="10" t="str">
        <f aca="false">IF($D5074="","",SUBSTITUTE(SUBSTITUTE(SUBSTITUTE($D5074,"-","")," ",""),".",""))</f>
        <v/>
      </c>
      <c r="J5074" s="10" t="str">
        <f aca="false">IF($E5074="","",UPPER(SUBSTITUTE($E5074," ","")))</f>
        <v/>
      </c>
      <c r="K5074" s="10" t="str">
        <f aca="false">IF($A5074="","",$G5074&amp;"|"&amp;$J5074)</f>
        <v/>
      </c>
      <c r="L5074" s="10" t="str">
        <f aca="false">IF($A5074="","",ROW()-2)</f>
        <v/>
      </c>
      <c r="M5074" s="10" t="str">
        <f aca="false">IF($A5074="","",ROW())</f>
        <v/>
      </c>
    </row>
    <row r="5075" customFormat="false" ht="15" hidden="false" customHeight="true" outlineLevel="0" collapsed="false">
      <c r="A5075" s="8"/>
      <c r="B5075" s="8"/>
      <c r="C5075" s="8"/>
      <c r="D5075" s="8"/>
      <c r="E5075" s="8"/>
      <c r="F5075" s="8"/>
      <c r="G5075" s="10" t="str">
        <f aca="false">IF($A5075="","",UPPER(SUBSTITUTE(SUBSTITUTE(SUBSTITUTE(SUBSTITUTE($A5075," ",""),"(주)",""),"주식회사",""),"㈜","")))</f>
        <v/>
      </c>
      <c r="H5075" s="10" t="str">
        <f aca="false">IF($B5075="","",SUBSTITUTE(SUBSTITUTE(SUBSTITUTE($B5075,"-","")," ",""),".",""))</f>
        <v/>
      </c>
      <c r="I5075" s="10" t="str">
        <f aca="false">IF($D5075="","",SUBSTITUTE(SUBSTITUTE(SUBSTITUTE($D5075,"-","")," ",""),".",""))</f>
        <v/>
      </c>
      <c r="J5075" s="10" t="str">
        <f aca="false">IF($E5075="","",UPPER(SUBSTITUTE($E5075," ","")))</f>
        <v/>
      </c>
      <c r="K5075" s="10" t="str">
        <f aca="false">IF($A5075="","",$G5075&amp;"|"&amp;$J5075)</f>
        <v/>
      </c>
      <c r="L5075" s="10" t="str">
        <f aca="false">IF($A5075="","",ROW()-2)</f>
        <v/>
      </c>
      <c r="M5075" s="10" t="str">
        <f aca="false">IF($A5075="","",ROW())</f>
        <v/>
      </c>
    </row>
    <row r="5076" customFormat="false" ht="15" hidden="false" customHeight="true" outlineLevel="0" collapsed="false">
      <c r="A5076" s="8"/>
      <c r="B5076" s="8"/>
      <c r="C5076" s="8"/>
      <c r="D5076" s="8"/>
      <c r="E5076" s="8"/>
      <c r="F5076" s="8"/>
      <c r="G5076" s="10" t="str">
        <f aca="false">IF($A5076="","",UPPER(SUBSTITUTE(SUBSTITUTE(SUBSTITUTE(SUBSTITUTE($A5076," ",""),"(주)",""),"주식회사",""),"㈜","")))</f>
        <v/>
      </c>
      <c r="H5076" s="10" t="str">
        <f aca="false">IF($B5076="","",SUBSTITUTE(SUBSTITUTE(SUBSTITUTE($B5076,"-","")," ",""),".",""))</f>
        <v/>
      </c>
      <c r="I5076" s="10" t="str">
        <f aca="false">IF($D5076="","",SUBSTITUTE(SUBSTITUTE(SUBSTITUTE($D5076,"-","")," ",""),".",""))</f>
        <v/>
      </c>
      <c r="J5076" s="10" t="str">
        <f aca="false">IF($E5076="","",UPPER(SUBSTITUTE($E5076," ","")))</f>
        <v/>
      </c>
      <c r="K5076" s="10" t="str">
        <f aca="false">IF($A5076="","",$G5076&amp;"|"&amp;$J5076)</f>
        <v/>
      </c>
      <c r="L5076" s="10" t="str">
        <f aca="false">IF($A5076="","",ROW()-2)</f>
        <v/>
      </c>
      <c r="M5076" s="10" t="str">
        <f aca="false">IF($A5076="","",ROW())</f>
        <v/>
      </c>
    </row>
    <row r="5077" customFormat="false" ht="15" hidden="false" customHeight="true" outlineLevel="0" collapsed="false">
      <c r="A5077" s="8"/>
      <c r="B5077" s="8"/>
      <c r="C5077" s="8"/>
      <c r="D5077" s="8"/>
      <c r="E5077" s="8"/>
      <c r="F5077" s="8"/>
      <c r="G5077" s="10" t="str">
        <f aca="false">IF($A5077="","",UPPER(SUBSTITUTE(SUBSTITUTE(SUBSTITUTE(SUBSTITUTE($A5077," ",""),"(주)",""),"주식회사",""),"㈜","")))</f>
        <v/>
      </c>
      <c r="H5077" s="10" t="str">
        <f aca="false">IF($B5077="","",SUBSTITUTE(SUBSTITUTE(SUBSTITUTE($B5077,"-","")," ",""),".",""))</f>
        <v/>
      </c>
      <c r="I5077" s="10" t="str">
        <f aca="false">IF($D5077="","",SUBSTITUTE(SUBSTITUTE(SUBSTITUTE($D5077,"-","")," ",""),".",""))</f>
        <v/>
      </c>
      <c r="J5077" s="10" t="str">
        <f aca="false">IF($E5077="","",UPPER(SUBSTITUTE($E5077," ","")))</f>
        <v/>
      </c>
      <c r="K5077" s="10" t="str">
        <f aca="false">IF($A5077="","",$G5077&amp;"|"&amp;$J5077)</f>
        <v/>
      </c>
      <c r="L5077" s="10" t="str">
        <f aca="false">IF($A5077="","",ROW()-2)</f>
        <v/>
      </c>
      <c r="M5077" s="10" t="str">
        <f aca="false">IF($A5077="","",ROW())</f>
        <v/>
      </c>
    </row>
    <row r="5078" customFormat="false" ht="15" hidden="false" customHeight="true" outlineLevel="0" collapsed="false">
      <c r="A5078" s="8"/>
      <c r="B5078" s="8"/>
      <c r="C5078" s="8"/>
      <c r="D5078" s="8"/>
      <c r="E5078" s="8"/>
      <c r="F5078" s="8"/>
      <c r="G5078" s="10" t="str">
        <f aca="false">IF($A5078="","",UPPER(SUBSTITUTE(SUBSTITUTE(SUBSTITUTE(SUBSTITUTE($A5078," ",""),"(주)",""),"주식회사",""),"㈜","")))</f>
        <v/>
      </c>
      <c r="H5078" s="10" t="str">
        <f aca="false">IF($B5078="","",SUBSTITUTE(SUBSTITUTE(SUBSTITUTE($B5078,"-","")," ",""),".",""))</f>
        <v/>
      </c>
      <c r="I5078" s="10" t="str">
        <f aca="false">IF($D5078="","",SUBSTITUTE(SUBSTITUTE(SUBSTITUTE($D5078,"-","")," ",""),".",""))</f>
        <v/>
      </c>
      <c r="J5078" s="10" t="str">
        <f aca="false">IF($E5078="","",UPPER(SUBSTITUTE($E5078," ","")))</f>
        <v/>
      </c>
      <c r="K5078" s="10" t="str">
        <f aca="false">IF($A5078="","",$G5078&amp;"|"&amp;$J5078)</f>
        <v/>
      </c>
      <c r="L5078" s="10" t="str">
        <f aca="false">IF($A5078="","",ROW()-2)</f>
        <v/>
      </c>
      <c r="M5078" s="10" t="str">
        <f aca="false">IF($A5078="","",ROW())</f>
        <v/>
      </c>
    </row>
    <row r="5079" customFormat="false" ht="15" hidden="false" customHeight="true" outlineLevel="0" collapsed="false">
      <c r="A5079" s="8"/>
      <c r="B5079" s="8"/>
      <c r="C5079" s="8"/>
      <c r="D5079" s="8"/>
      <c r="E5079" s="8"/>
      <c r="F5079" s="8"/>
      <c r="G5079" s="10" t="str">
        <f aca="false">IF($A5079="","",UPPER(SUBSTITUTE(SUBSTITUTE(SUBSTITUTE(SUBSTITUTE($A5079," ",""),"(주)",""),"주식회사",""),"㈜","")))</f>
        <v/>
      </c>
      <c r="H5079" s="10" t="str">
        <f aca="false">IF($B5079="","",SUBSTITUTE(SUBSTITUTE(SUBSTITUTE($B5079,"-","")," ",""),".",""))</f>
        <v/>
      </c>
      <c r="I5079" s="10" t="str">
        <f aca="false">IF($D5079="","",SUBSTITUTE(SUBSTITUTE(SUBSTITUTE($D5079,"-","")," ",""),".",""))</f>
        <v/>
      </c>
      <c r="J5079" s="10" t="str">
        <f aca="false">IF($E5079="","",UPPER(SUBSTITUTE($E5079," ","")))</f>
        <v/>
      </c>
      <c r="K5079" s="10" t="str">
        <f aca="false">IF($A5079="","",$G5079&amp;"|"&amp;$J5079)</f>
        <v/>
      </c>
      <c r="L5079" s="10" t="str">
        <f aca="false">IF($A5079="","",ROW()-2)</f>
        <v/>
      </c>
      <c r="M5079" s="10" t="str">
        <f aca="false">IF($A5079="","",ROW())</f>
        <v/>
      </c>
    </row>
    <row r="5080" customFormat="false" ht="15" hidden="false" customHeight="true" outlineLevel="0" collapsed="false">
      <c r="A5080" s="8"/>
      <c r="B5080" s="8"/>
      <c r="C5080" s="8"/>
      <c r="D5080" s="8"/>
      <c r="E5080" s="8"/>
      <c r="F5080" s="8"/>
      <c r="G5080" s="10" t="str">
        <f aca="false">IF($A5080="","",UPPER(SUBSTITUTE(SUBSTITUTE(SUBSTITUTE(SUBSTITUTE($A5080," ",""),"(주)",""),"주식회사",""),"㈜","")))</f>
        <v/>
      </c>
      <c r="H5080" s="10" t="str">
        <f aca="false">IF($B5080="","",SUBSTITUTE(SUBSTITUTE(SUBSTITUTE($B5080,"-","")," ",""),".",""))</f>
        <v/>
      </c>
      <c r="I5080" s="10" t="str">
        <f aca="false">IF($D5080="","",SUBSTITUTE(SUBSTITUTE(SUBSTITUTE($D5080,"-","")," ",""),".",""))</f>
        <v/>
      </c>
      <c r="J5080" s="10" t="str">
        <f aca="false">IF($E5080="","",UPPER(SUBSTITUTE($E5080," ","")))</f>
        <v/>
      </c>
      <c r="K5080" s="10" t="str">
        <f aca="false">IF($A5080="","",$G5080&amp;"|"&amp;$J5080)</f>
        <v/>
      </c>
      <c r="L5080" s="10" t="str">
        <f aca="false">IF($A5080="","",ROW()-2)</f>
        <v/>
      </c>
      <c r="M5080" s="10" t="str">
        <f aca="false">IF($A5080="","",ROW())</f>
        <v/>
      </c>
    </row>
    <row r="5081" customFormat="false" ht="15" hidden="false" customHeight="true" outlineLevel="0" collapsed="false">
      <c r="A5081" s="8"/>
      <c r="B5081" s="8"/>
      <c r="C5081" s="8"/>
      <c r="D5081" s="8"/>
      <c r="E5081" s="8"/>
      <c r="F5081" s="8"/>
      <c r="G5081" s="10" t="str">
        <f aca="false">IF($A5081="","",UPPER(SUBSTITUTE(SUBSTITUTE(SUBSTITUTE(SUBSTITUTE($A5081," ",""),"(주)",""),"주식회사",""),"㈜","")))</f>
        <v/>
      </c>
      <c r="H5081" s="10" t="str">
        <f aca="false">IF($B5081="","",SUBSTITUTE(SUBSTITUTE(SUBSTITUTE($B5081,"-","")," ",""),".",""))</f>
        <v/>
      </c>
      <c r="I5081" s="10" t="str">
        <f aca="false">IF($D5081="","",SUBSTITUTE(SUBSTITUTE(SUBSTITUTE($D5081,"-","")," ",""),".",""))</f>
        <v/>
      </c>
      <c r="J5081" s="10" t="str">
        <f aca="false">IF($E5081="","",UPPER(SUBSTITUTE($E5081," ","")))</f>
        <v/>
      </c>
      <c r="K5081" s="10" t="str">
        <f aca="false">IF($A5081="","",$G5081&amp;"|"&amp;$J5081)</f>
        <v/>
      </c>
      <c r="L5081" s="10" t="str">
        <f aca="false">IF($A5081="","",ROW()-2)</f>
        <v/>
      </c>
      <c r="M5081" s="10" t="str">
        <f aca="false">IF($A5081="","",ROW())</f>
        <v/>
      </c>
    </row>
    <row r="5082" customFormat="false" ht="15" hidden="false" customHeight="true" outlineLevel="0" collapsed="false">
      <c r="A5082" s="8"/>
      <c r="B5082" s="8"/>
      <c r="C5082" s="8"/>
      <c r="D5082" s="8"/>
      <c r="E5082" s="8"/>
      <c r="F5082" s="8"/>
      <c r="G5082" s="10" t="str">
        <f aca="false">IF($A5082="","",UPPER(SUBSTITUTE(SUBSTITUTE(SUBSTITUTE(SUBSTITUTE($A5082," ",""),"(주)",""),"주식회사",""),"㈜","")))</f>
        <v/>
      </c>
      <c r="H5082" s="10" t="str">
        <f aca="false">IF($B5082="","",SUBSTITUTE(SUBSTITUTE(SUBSTITUTE($B5082,"-","")," ",""),".",""))</f>
        <v/>
      </c>
      <c r="I5082" s="10" t="str">
        <f aca="false">IF($D5082="","",SUBSTITUTE(SUBSTITUTE(SUBSTITUTE($D5082,"-","")," ",""),".",""))</f>
        <v/>
      </c>
      <c r="J5082" s="10" t="str">
        <f aca="false">IF($E5082="","",UPPER(SUBSTITUTE($E5082," ","")))</f>
        <v/>
      </c>
      <c r="K5082" s="10" t="str">
        <f aca="false">IF($A5082="","",$G5082&amp;"|"&amp;$J5082)</f>
        <v/>
      </c>
      <c r="L5082" s="10" t="str">
        <f aca="false">IF($A5082="","",ROW()-2)</f>
        <v/>
      </c>
      <c r="M5082" s="10" t="str">
        <f aca="false">IF($A5082="","",ROW())</f>
        <v/>
      </c>
    </row>
    <row r="5083" customFormat="false" ht="15" hidden="false" customHeight="true" outlineLevel="0" collapsed="false">
      <c r="A5083" s="8"/>
      <c r="B5083" s="8"/>
      <c r="C5083" s="8"/>
      <c r="D5083" s="8"/>
      <c r="E5083" s="8"/>
      <c r="F5083" s="8"/>
      <c r="G5083" s="10" t="str">
        <f aca="false">IF($A5083="","",UPPER(SUBSTITUTE(SUBSTITUTE(SUBSTITUTE(SUBSTITUTE($A5083," ",""),"(주)",""),"주식회사",""),"㈜","")))</f>
        <v/>
      </c>
      <c r="H5083" s="10" t="str">
        <f aca="false">IF($B5083="","",SUBSTITUTE(SUBSTITUTE(SUBSTITUTE($B5083,"-","")," ",""),".",""))</f>
        <v/>
      </c>
      <c r="I5083" s="10" t="str">
        <f aca="false">IF($D5083="","",SUBSTITUTE(SUBSTITUTE(SUBSTITUTE($D5083,"-","")," ",""),".",""))</f>
        <v/>
      </c>
      <c r="J5083" s="10" t="str">
        <f aca="false">IF($E5083="","",UPPER(SUBSTITUTE($E5083," ","")))</f>
        <v/>
      </c>
      <c r="K5083" s="10" t="str">
        <f aca="false">IF($A5083="","",$G5083&amp;"|"&amp;$J5083)</f>
        <v/>
      </c>
      <c r="L5083" s="10" t="str">
        <f aca="false">IF($A5083="","",ROW()-2)</f>
        <v/>
      </c>
      <c r="M5083" s="10" t="str">
        <f aca="false">IF($A5083="","",ROW())</f>
        <v/>
      </c>
    </row>
    <row r="5084" customFormat="false" ht="15" hidden="false" customHeight="true" outlineLevel="0" collapsed="false">
      <c r="A5084" s="8"/>
      <c r="B5084" s="8"/>
      <c r="C5084" s="8"/>
      <c r="D5084" s="8"/>
      <c r="E5084" s="8"/>
      <c r="F5084" s="8"/>
      <c r="G5084" s="10" t="str">
        <f aca="false">IF($A5084="","",UPPER(SUBSTITUTE(SUBSTITUTE(SUBSTITUTE(SUBSTITUTE($A5084," ",""),"(주)",""),"주식회사",""),"㈜","")))</f>
        <v/>
      </c>
      <c r="H5084" s="10" t="str">
        <f aca="false">IF($B5084="","",SUBSTITUTE(SUBSTITUTE(SUBSTITUTE($B5084,"-","")," ",""),".",""))</f>
        <v/>
      </c>
      <c r="I5084" s="10" t="str">
        <f aca="false">IF($D5084="","",SUBSTITUTE(SUBSTITUTE(SUBSTITUTE($D5084,"-","")," ",""),".",""))</f>
        <v/>
      </c>
      <c r="J5084" s="10" t="str">
        <f aca="false">IF($E5084="","",UPPER(SUBSTITUTE($E5084," ","")))</f>
        <v/>
      </c>
      <c r="K5084" s="10" t="str">
        <f aca="false">IF($A5084="","",$G5084&amp;"|"&amp;$J5084)</f>
        <v/>
      </c>
      <c r="L5084" s="10" t="str">
        <f aca="false">IF($A5084="","",ROW()-2)</f>
        <v/>
      </c>
      <c r="M5084" s="10" t="str">
        <f aca="false">IF($A5084="","",ROW())</f>
        <v/>
      </c>
    </row>
    <row r="5085" customFormat="false" ht="15" hidden="false" customHeight="true" outlineLevel="0" collapsed="false">
      <c r="A5085" s="8"/>
      <c r="B5085" s="8"/>
      <c r="C5085" s="8"/>
      <c r="D5085" s="8"/>
      <c r="E5085" s="8"/>
      <c r="F5085" s="8"/>
      <c r="G5085" s="10" t="str">
        <f aca="false">IF($A5085="","",UPPER(SUBSTITUTE(SUBSTITUTE(SUBSTITUTE(SUBSTITUTE($A5085," ",""),"(주)",""),"주식회사",""),"㈜","")))</f>
        <v/>
      </c>
      <c r="H5085" s="10" t="str">
        <f aca="false">IF($B5085="","",SUBSTITUTE(SUBSTITUTE(SUBSTITUTE($B5085,"-","")," ",""),".",""))</f>
        <v/>
      </c>
      <c r="I5085" s="10" t="str">
        <f aca="false">IF($D5085="","",SUBSTITUTE(SUBSTITUTE(SUBSTITUTE($D5085,"-","")," ",""),".",""))</f>
        <v/>
      </c>
      <c r="J5085" s="10" t="str">
        <f aca="false">IF($E5085="","",UPPER(SUBSTITUTE($E5085," ","")))</f>
        <v/>
      </c>
      <c r="K5085" s="10" t="str">
        <f aca="false">IF($A5085="","",$G5085&amp;"|"&amp;$J5085)</f>
        <v/>
      </c>
      <c r="L5085" s="10" t="str">
        <f aca="false">IF($A5085="","",ROW()-2)</f>
        <v/>
      </c>
      <c r="M5085" s="10" t="str">
        <f aca="false">IF($A5085="","",ROW())</f>
        <v/>
      </c>
    </row>
    <row r="5086" customFormat="false" ht="15" hidden="false" customHeight="true" outlineLevel="0" collapsed="false">
      <c r="A5086" s="8"/>
      <c r="B5086" s="8"/>
      <c r="C5086" s="8"/>
      <c r="D5086" s="8"/>
      <c r="E5086" s="8"/>
      <c r="F5086" s="8"/>
      <c r="G5086" s="10" t="str">
        <f aca="false">IF($A5086="","",UPPER(SUBSTITUTE(SUBSTITUTE(SUBSTITUTE(SUBSTITUTE($A5086," ",""),"(주)",""),"주식회사",""),"㈜","")))</f>
        <v/>
      </c>
      <c r="H5086" s="10" t="str">
        <f aca="false">IF($B5086="","",SUBSTITUTE(SUBSTITUTE(SUBSTITUTE($B5086,"-","")," ",""),".",""))</f>
        <v/>
      </c>
      <c r="I5086" s="10" t="str">
        <f aca="false">IF($D5086="","",SUBSTITUTE(SUBSTITUTE(SUBSTITUTE($D5086,"-","")," ",""),".",""))</f>
        <v/>
      </c>
      <c r="J5086" s="10" t="str">
        <f aca="false">IF($E5086="","",UPPER(SUBSTITUTE($E5086," ","")))</f>
        <v/>
      </c>
      <c r="K5086" s="10" t="str">
        <f aca="false">IF($A5086="","",$G5086&amp;"|"&amp;$J5086)</f>
        <v/>
      </c>
      <c r="L5086" s="10" t="str">
        <f aca="false">IF($A5086="","",ROW()-2)</f>
        <v/>
      </c>
      <c r="M5086" s="10" t="str">
        <f aca="false">IF($A5086="","",ROW())</f>
        <v/>
      </c>
    </row>
    <row r="5087" customFormat="false" ht="15" hidden="false" customHeight="true" outlineLevel="0" collapsed="false">
      <c r="A5087" s="8"/>
      <c r="B5087" s="8"/>
      <c r="C5087" s="8"/>
      <c r="D5087" s="8"/>
      <c r="E5087" s="8"/>
      <c r="F5087" s="8"/>
      <c r="G5087" s="10" t="str">
        <f aca="false">IF($A5087="","",UPPER(SUBSTITUTE(SUBSTITUTE(SUBSTITUTE(SUBSTITUTE($A5087," ",""),"(주)",""),"주식회사",""),"㈜","")))</f>
        <v/>
      </c>
      <c r="H5087" s="10" t="str">
        <f aca="false">IF($B5087="","",SUBSTITUTE(SUBSTITUTE(SUBSTITUTE($B5087,"-","")," ",""),".",""))</f>
        <v/>
      </c>
      <c r="I5087" s="10" t="str">
        <f aca="false">IF($D5087="","",SUBSTITUTE(SUBSTITUTE(SUBSTITUTE($D5087,"-","")," ",""),".",""))</f>
        <v/>
      </c>
      <c r="J5087" s="10" t="str">
        <f aca="false">IF($E5087="","",UPPER(SUBSTITUTE($E5087," ","")))</f>
        <v/>
      </c>
      <c r="K5087" s="10" t="str">
        <f aca="false">IF($A5087="","",$G5087&amp;"|"&amp;$J5087)</f>
        <v/>
      </c>
      <c r="L5087" s="10" t="str">
        <f aca="false">IF($A5087="","",ROW()-2)</f>
        <v/>
      </c>
      <c r="M5087" s="10" t="str">
        <f aca="false">IF($A5087="","",ROW())</f>
        <v/>
      </c>
    </row>
    <row r="5088" customFormat="false" ht="15" hidden="false" customHeight="true" outlineLevel="0" collapsed="false">
      <c r="A5088" s="8"/>
      <c r="B5088" s="8"/>
      <c r="C5088" s="8"/>
      <c r="D5088" s="8"/>
      <c r="E5088" s="8"/>
      <c r="F5088" s="8"/>
      <c r="G5088" s="10" t="str">
        <f aca="false">IF($A5088="","",UPPER(SUBSTITUTE(SUBSTITUTE(SUBSTITUTE(SUBSTITUTE($A5088," ",""),"(주)",""),"주식회사",""),"㈜","")))</f>
        <v/>
      </c>
      <c r="H5088" s="10" t="str">
        <f aca="false">IF($B5088="","",SUBSTITUTE(SUBSTITUTE(SUBSTITUTE($B5088,"-","")," ",""),".",""))</f>
        <v/>
      </c>
      <c r="I5088" s="10" t="str">
        <f aca="false">IF($D5088="","",SUBSTITUTE(SUBSTITUTE(SUBSTITUTE($D5088,"-","")," ",""),".",""))</f>
        <v/>
      </c>
      <c r="J5088" s="10" t="str">
        <f aca="false">IF($E5088="","",UPPER(SUBSTITUTE($E5088," ","")))</f>
        <v/>
      </c>
      <c r="K5088" s="10" t="str">
        <f aca="false">IF($A5088="","",$G5088&amp;"|"&amp;$J5088)</f>
        <v/>
      </c>
      <c r="L5088" s="10" t="str">
        <f aca="false">IF($A5088="","",ROW()-2)</f>
        <v/>
      </c>
      <c r="M5088" s="10" t="str">
        <f aca="false">IF($A5088="","",ROW())</f>
        <v/>
      </c>
    </row>
    <row r="5089" customFormat="false" ht="15" hidden="false" customHeight="true" outlineLevel="0" collapsed="false">
      <c r="A5089" s="8"/>
      <c r="B5089" s="8"/>
      <c r="C5089" s="8"/>
      <c r="D5089" s="8"/>
      <c r="E5089" s="8"/>
      <c r="F5089" s="8"/>
      <c r="G5089" s="10" t="str">
        <f aca="false">IF($A5089="","",UPPER(SUBSTITUTE(SUBSTITUTE(SUBSTITUTE(SUBSTITUTE($A5089," ",""),"(주)",""),"주식회사",""),"㈜","")))</f>
        <v/>
      </c>
      <c r="H5089" s="10" t="str">
        <f aca="false">IF($B5089="","",SUBSTITUTE(SUBSTITUTE(SUBSTITUTE($B5089,"-","")," ",""),".",""))</f>
        <v/>
      </c>
      <c r="I5089" s="10" t="str">
        <f aca="false">IF($D5089="","",SUBSTITUTE(SUBSTITUTE(SUBSTITUTE($D5089,"-","")," ",""),".",""))</f>
        <v/>
      </c>
      <c r="J5089" s="10" t="str">
        <f aca="false">IF($E5089="","",UPPER(SUBSTITUTE($E5089," ","")))</f>
        <v/>
      </c>
      <c r="K5089" s="10" t="str">
        <f aca="false">IF($A5089="","",$G5089&amp;"|"&amp;$J5089)</f>
        <v/>
      </c>
      <c r="L5089" s="10" t="str">
        <f aca="false">IF($A5089="","",ROW()-2)</f>
        <v/>
      </c>
      <c r="M5089" s="10" t="str">
        <f aca="false">IF($A5089="","",ROW())</f>
        <v/>
      </c>
    </row>
    <row r="5090" customFormat="false" ht="15" hidden="false" customHeight="true" outlineLevel="0" collapsed="false">
      <c r="A5090" s="8"/>
      <c r="B5090" s="8"/>
      <c r="C5090" s="8"/>
      <c r="D5090" s="8"/>
      <c r="E5090" s="8"/>
      <c r="F5090" s="8"/>
      <c r="G5090" s="10" t="str">
        <f aca="false">IF($A5090="","",UPPER(SUBSTITUTE(SUBSTITUTE(SUBSTITUTE(SUBSTITUTE($A5090," ",""),"(주)",""),"주식회사",""),"㈜","")))</f>
        <v/>
      </c>
      <c r="H5090" s="10" t="str">
        <f aca="false">IF($B5090="","",SUBSTITUTE(SUBSTITUTE(SUBSTITUTE($B5090,"-","")," ",""),".",""))</f>
        <v/>
      </c>
      <c r="I5090" s="10" t="str">
        <f aca="false">IF($D5090="","",SUBSTITUTE(SUBSTITUTE(SUBSTITUTE($D5090,"-","")," ",""),".",""))</f>
        <v/>
      </c>
      <c r="J5090" s="10" t="str">
        <f aca="false">IF($E5090="","",UPPER(SUBSTITUTE($E5090," ","")))</f>
        <v/>
      </c>
      <c r="K5090" s="10" t="str">
        <f aca="false">IF($A5090="","",$G5090&amp;"|"&amp;$J5090)</f>
        <v/>
      </c>
      <c r="L5090" s="10" t="str">
        <f aca="false">IF($A5090="","",ROW()-2)</f>
        <v/>
      </c>
      <c r="M5090" s="10" t="str">
        <f aca="false">IF($A5090="","",ROW())</f>
        <v/>
      </c>
    </row>
    <row r="5091" customFormat="false" ht="15" hidden="false" customHeight="true" outlineLevel="0" collapsed="false">
      <c r="A5091" s="8"/>
      <c r="B5091" s="8"/>
      <c r="C5091" s="8"/>
      <c r="D5091" s="8"/>
      <c r="E5091" s="8"/>
      <c r="F5091" s="8"/>
      <c r="G5091" s="10" t="str">
        <f aca="false">IF($A5091="","",UPPER(SUBSTITUTE(SUBSTITUTE(SUBSTITUTE(SUBSTITUTE($A5091," ",""),"(주)",""),"주식회사",""),"㈜","")))</f>
        <v/>
      </c>
      <c r="H5091" s="10" t="str">
        <f aca="false">IF($B5091="","",SUBSTITUTE(SUBSTITUTE(SUBSTITUTE($B5091,"-","")," ",""),".",""))</f>
        <v/>
      </c>
      <c r="I5091" s="10" t="str">
        <f aca="false">IF($D5091="","",SUBSTITUTE(SUBSTITUTE(SUBSTITUTE($D5091,"-","")," ",""),".",""))</f>
        <v/>
      </c>
      <c r="J5091" s="10" t="str">
        <f aca="false">IF($E5091="","",UPPER(SUBSTITUTE($E5091," ","")))</f>
        <v/>
      </c>
      <c r="K5091" s="10" t="str">
        <f aca="false">IF($A5091="","",$G5091&amp;"|"&amp;$J5091)</f>
        <v/>
      </c>
      <c r="L5091" s="10" t="str">
        <f aca="false">IF($A5091="","",ROW()-2)</f>
        <v/>
      </c>
      <c r="M5091" s="10" t="str">
        <f aca="false">IF($A5091="","",ROW())</f>
        <v/>
      </c>
    </row>
    <row r="5092" customFormat="false" ht="15" hidden="false" customHeight="true" outlineLevel="0" collapsed="false">
      <c r="A5092" s="8"/>
      <c r="B5092" s="8"/>
      <c r="C5092" s="8"/>
      <c r="D5092" s="8"/>
      <c r="E5092" s="8"/>
      <c r="F5092" s="8"/>
      <c r="G5092" s="10" t="str">
        <f aca="false">IF($A5092="","",UPPER(SUBSTITUTE(SUBSTITUTE(SUBSTITUTE(SUBSTITUTE($A5092," ",""),"(주)",""),"주식회사",""),"㈜","")))</f>
        <v/>
      </c>
      <c r="H5092" s="10" t="str">
        <f aca="false">IF($B5092="","",SUBSTITUTE(SUBSTITUTE(SUBSTITUTE($B5092,"-","")," ",""),".",""))</f>
        <v/>
      </c>
      <c r="I5092" s="10" t="str">
        <f aca="false">IF($D5092="","",SUBSTITUTE(SUBSTITUTE(SUBSTITUTE($D5092,"-","")," ",""),".",""))</f>
        <v/>
      </c>
      <c r="J5092" s="10" t="str">
        <f aca="false">IF($E5092="","",UPPER(SUBSTITUTE($E5092," ","")))</f>
        <v/>
      </c>
      <c r="K5092" s="10" t="str">
        <f aca="false">IF($A5092="","",$G5092&amp;"|"&amp;$J5092)</f>
        <v/>
      </c>
      <c r="L5092" s="10" t="str">
        <f aca="false">IF($A5092="","",ROW()-2)</f>
        <v/>
      </c>
      <c r="M5092" s="10" t="str">
        <f aca="false">IF($A5092="","",ROW())</f>
        <v/>
      </c>
    </row>
    <row r="5093" customFormat="false" ht="15" hidden="false" customHeight="true" outlineLevel="0" collapsed="false">
      <c r="A5093" s="8"/>
      <c r="B5093" s="8"/>
      <c r="C5093" s="8"/>
      <c r="D5093" s="8"/>
      <c r="E5093" s="8"/>
      <c r="F5093" s="8"/>
      <c r="G5093" s="10" t="str">
        <f aca="false">IF($A5093="","",UPPER(SUBSTITUTE(SUBSTITUTE(SUBSTITUTE(SUBSTITUTE($A5093," ",""),"(주)",""),"주식회사",""),"㈜","")))</f>
        <v/>
      </c>
      <c r="H5093" s="10" t="str">
        <f aca="false">IF($B5093="","",SUBSTITUTE(SUBSTITUTE(SUBSTITUTE($B5093,"-","")," ",""),".",""))</f>
        <v/>
      </c>
      <c r="I5093" s="10" t="str">
        <f aca="false">IF($D5093="","",SUBSTITUTE(SUBSTITUTE(SUBSTITUTE($D5093,"-","")," ",""),".",""))</f>
        <v/>
      </c>
      <c r="J5093" s="10" t="str">
        <f aca="false">IF($E5093="","",UPPER(SUBSTITUTE($E5093," ","")))</f>
        <v/>
      </c>
      <c r="K5093" s="10" t="str">
        <f aca="false">IF($A5093="","",$G5093&amp;"|"&amp;$J5093)</f>
        <v/>
      </c>
      <c r="L5093" s="10" t="str">
        <f aca="false">IF($A5093="","",ROW()-2)</f>
        <v/>
      </c>
      <c r="M5093" s="10" t="str">
        <f aca="false">IF($A5093="","",ROW())</f>
        <v/>
      </c>
    </row>
    <row r="5094" customFormat="false" ht="15" hidden="false" customHeight="true" outlineLevel="0" collapsed="false">
      <c r="A5094" s="8"/>
      <c r="B5094" s="8"/>
      <c r="C5094" s="8"/>
      <c r="D5094" s="8"/>
      <c r="E5094" s="8"/>
      <c r="F5094" s="8"/>
      <c r="G5094" s="10" t="str">
        <f aca="false">IF($A5094="","",UPPER(SUBSTITUTE(SUBSTITUTE(SUBSTITUTE(SUBSTITUTE($A5094," ",""),"(주)",""),"주식회사",""),"㈜","")))</f>
        <v/>
      </c>
      <c r="H5094" s="10" t="str">
        <f aca="false">IF($B5094="","",SUBSTITUTE(SUBSTITUTE(SUBSTITUTE($B5094,"-","")," ",""),".",""))</f>
        <v/>
      </c>
      <c r="I5094" s="10" t="str">
        <f aca="false">IF($D5094="","",SUBSTITUTE(SUBSTITUTE(SUBSTITUTE($D5094,"-","")," ",""),".",""))</f>
        <v/>
      </c>
      <c r="J5094" s="10" t="str">
        <f aca="false">IF($E5094="","",UPPER(SUBSTITUTE($E5094," ","")))</f>
        <v/>
      </c>
      <c r="K5094" s="10" t="str">
        <f aca="false">IF($A5094="","",$G5094&amp;"|"&amp;$J5094)</f>
        <v/>
      </c>
      <c r="L5094" s="10" t="str">
        <f aca="false">IF($A5094="","",ROW()-2)</f>
        <v/>
      </c>
      <c r="M5094" s="10" t="str">
        <f aca="false">IF($A5094="","",ROW())</f>
        <v/>
      </c>
    </row>
    <row r="5095" customFormat="false" ht="15" hidden="false" customHeight="true" outlineLevel="0" collapsed="false">
      <c r="A5095" s="8"/>
      <c r="B5095" s="8"/>
      <c r="C5095" s="8"/>
      <c r="D5095" s="8"/>
      <c r="E5095" s="8"/>
      <c r="F5095" s="8"/>
      <c r="G5095" s="10" t="str">
        <f aca="false">IF($A5095="","",UPPER(SUBSTITUTE(SUBSTITUTE(SUBSTITUTE(SUBSTITUTE($A5095," ",""),"(주)",""),"주식회사",""),"㈜","")))</f>
        <v/>
      </c>
      <c r="H5095" s="10" t="str">
        <f aca="false">IF($B5095="","",SUBSTITUTE(SUBSTITUTE(SUBSTITUTE($B5095,"-","")," ",""),".",""))</f>
        <v/>
      </c>
      <c r="I5095" s="10" t="str">
        <f aca="false">IF($D5095="","",SUBSTITUTE(SUBSTITUTE(SUBSTITUTE($D5095,"-","")," ",""),".",""))</f>
        <v/>
      </c>
      <c r="J5095" s="10" t="str">
        <f aca="false">IF($E5095="","",UPPER(SUBSTITUTE($E5095," ","")))</f>
        <v/>
      </c>
      <c r="K5095" s="10" t="str">
        <f aca="false">IF($A5095="","",$G5095&amp;"|"&amp;$J5095)</f>
        <v/>
      </c>
      <c r="L5095" s="10" t="str">
        <f aca="false">IF($A5095="","",ROW()-2)</f>
        <v/>
      </c>
      <c r="M5095" s="10" t="str">
        <f aca="false">IF($A5095="","",ROW())</f>
        <v/>
      </c>
    </row>
    <row r="5096" customFormat="false" ht="15" hidden="false" customHeight="true" outlineLevel="0" collapsed="false">
      <c r="A5096" s="8"/>
      <c r="B5096" s="8"/>
      <c r="C5096" s="8"/>
      <c r="D5096" s="8"/>
      <c r="E5096" s="8"/>
      <c r="F5096" s="8"/>
      <c r="G5096" s="10" t="str">
        <f aca="false">IF($A5096="","",UPPER(SUBSTITUTE(SUBSTITUTE(SUBSTITUTE(SUBSTITUTE($A5096," ",""),"(주)",""),"주식회사",""),"㈜","")))</f>
        <v/>
      </c>
      <c r="H5096" s="10" t="str">
        <f aca="false">IF($B5096="","",SUBSTITUTE(SUBSTITUTE(SUBSTITUTE($B5096,"-","")," ",""),".",""))</f>
        <v/>
      </c>
      <c r="I5096" s="10" t="str">
        <f aca="false">IF($D5096="","",SUBSTITUTE(SUBSTITUTE(SUBSTITUTE($D5096,"-","")," ",""),".",""))</f>
        <v/>
      </c>
      <c r="J5096" s="10" t="str">
        <f aca="false">IF($E5096="","",UPPER(SUBSTITUTE($E5096," ","")))</f>
        <v/>
      </c>
      <c r="K5096" s="10" t="str">
        <f aca="false">IF($A5096="","",$G5096&amp;"|"&amp;$J5096)</f>
        <v/>
      </c>
      <c r="L5096" s="10" t="str">
        <f aca="false">IF($A5096="","",ROW()-2)</f>
        <v/>
      </c>
      <c r="M5096" s="10" t="str">
        <f aca="false">IF($A5096="","",ROW())</f>
        <v/>
      </c>
    </row>
    <row r="5097" customFormat="false" ht="15" hidden="false" customHeight="true" outlineLevel="0" collapsed="false">
      <c r="A5097" s="8"/>
      <c r="B5097" s="8"/>
      <c r="C5097" s="8"/>
      <c r="D5097" s="8"/>
      <c r="E5097" s="8"/>
      <c r="F5097" s="8"/>
      <c r="G5097" s="10" t="str">
        <f aca="false">IF($A5097="","",UPPER(SUBSTITUTE(SUBSTITUTE(SUBSTITUTE(SUBSTITUTE($A5097," ",""),"(주)",""),"주식회사",""),"㈜","")))</f>
        <v/>
      </c>
      <c r="H5097" s="10" t="str">
        <f aca="false">IF($B5097="","",SUBSTITUTE(SUBSTITUTE(SUBSTITUTE($B5097,"-","")," ",""),".",""))</f>
        <v/>
      </c>
      <c r="I5097" s="10" t="str">
        <f aca="false">IF($D5097="","",SUBSTITUTE(SUBSTITUTE(SUBSTITUTE($D5097,"-","")," ",""),".",""))</f>
        <v/>
      </c>
      <c r="J5097" s="10" t="str">
        <f aca="false">IF($E5097="","",UPPER(SUBSTITUTE($E5097," ","")))</f>
        <v/>
      </c>
      <c r="K5097" s="10" t="str">
        <f aca="false">IF($A5097="","",$G5097&amp;"|"&amp;$J5097)</f>
        <v/>
      </c>
      <c r="L5097" s="10" t="str">
        <f aca="false">IF($A5097="","",ROW()-2)</f>
        <v/>
      </c>
      <c r="M5097" s="10" t="str">
        <f aca="false">IF($A5097="","",ROW())</f>
        <v/>
      </c>
    </row>
    <row r="5098" customFormat="false" ht="15" hidden="false" customHeight="true" outlineLevel="0" collapsed="false">
      <c r="A5098" s="8"/>
      <c r="B5098" s="8"/>
      <c r="C5098" s="8"/>
      <c r="D5098" s="8"/>
      <c r="E5098" s="8"/>
      <c r="F5098" s="8"/>
      <c r="G5098" s="10" t="str">
        <f aca="false">IF($A5098="","",UPPER(SUBSTITUTE(SUBSTITUTE(SUBSTITUTE(SUBSTITUTE($A5098," ",""),"(주)",""),"주식회사",""),"㈜","")))</f>
        <v/>
      </c>
      <c r="H5098" s="10" t="str">
        <f aca="false">IF($B5098="","",SUBSTITUTE(SUBSTITUTE(SUBSTITUTE($B5098,"-","")," ",""),".",""))</f>
        <v/>
      </c>
      <c r="I5098" s="10" t="str">
        <f aca="false">IF($D5098="","",SUBSTITUTE(SUBSTITUTE(SUBSTITUTE($D5098,"-","")," ",""),".",""))</f>
        <v/>
      </c>
      <c r="J5098" s="10" t="str">
        <f aca="false">IF($E5098="","",UPPER(SUBSTITUTE($E5098," ","")))</f>
        <v/>
      </c>
      <c r="K5098" s="10" t="str">
        <f aca="false">IF($A5098="","",$G5098&amp;"|"&amp;$J5098)</f>
        <v/>
      </c>
      <c r="L5098" s="10" t="str">
        <f aca="false">IF($A5098="","",ROW()-2)</f>
        <v/>
      </c>
      <c r="M5098" s="10" t="str">
        <f aca="false">IF($A5098="","",ROW())</f>
        <v/>
      </c>
    </row>
    <row r="5099" customFormat="false" ht="15" hidden="false" customHeight="true" outlineLevel="0" collapsed="false">
      <c r="A5099" s="8"/>
      <c r="B5099" s="8"/>
      <c r="C5099" s="8"/>
      <c r="D5099" s="8"/>
      <c r="E5099" s="8"/>
      <c r="F5099" s="8"/>
      <c r="G5099" s="10" t="str">
        <f aca="false">IF($A5099="","",UPPER(SUBSTITUTE(SUBSTITUTE(SUBSTITUTE(SUBSTITUTE($A5099," ",""),"(주)",""),"주식회사",""),"㈜","")))</f>
        <v/>
      </c>
      <c r="H5099" s="10" t="str">
        <f aca="false">IF($B5099="","",SUBSTITUTE(SUBSTITUTE(SUBSTITUTE($B5099,"-","")," ",""),".",""))</f>
        <v/>
      </c>
      <c r="I5099" s="10" t="str">
        <f aca="false">IF($D5099="","",SUBSTITUTE(SUBSTITUTE(SUBSTITUTE($D5099,"-","")," ",""),".",""))</f>
        <v/>
      </c>
      <c r="J5099" s="10" t="str">
        <f aca="false">IF($E5099="","",UPPER(SUBSTITUTE($E5099," ","")))</f>
        <v/>
      </c>
      <c r="K5099" s="10" t="str">
        <f aca="false">IF($A5099="","",$G5099&amp;"|"&amp;$J5099)</f>
        <v/>
      </c>
      <c r="L5099" s="10" t="str">
        <f aca="false">IF($A5099="","",ROW()-2)</f>
        <v/>
      </c>
      <c r="M5099" s="10" t="str">
        <f aca="false">IF($A5099="","",ROW())</f>
        <v/>
      </c>
    </row>
    <row r="5100" customFormat="false" ht="15" hidden="false" customHeight="true" outlineLevel="0" collapsed="false">
      <c r="A5100" s="8"/>
      <c r="B5100" s="8"/>
      <c r="C5100" s="8"/>
      <c r="D5100" s="8"/>
      <c r="E5100" s="8"/>
      <c r="F5100" s="8"/>
      <c r="G5100" s="10" t="str">
        <f aca="false">IF($A5100="","",UPPER(SUBSTITUTE(SUBSTITUTE(SUBSTITUTE(SUBSTITUTE($A5100," ",""),"(주)",""),"주식회사",""),"㈜","")))</f>
        <v/>
      </c>
      <c r="H5100" s="10" t="str">
        <f aca="false">IF($B5100="","",SUBSTITUTE(SUBSTITUTE(SUBSTITUTE($B5100,"-","")," ",""),".",""))</f>
        <v/>
      </c>
      <c r="I5100" s="10" t="str">
        <f aca="false">IF($D5100="","",SUBSTITUTE(SUBSTITUTE(SUBSTITUTE($D5100,"-","")," ",""),".",""))</f>
        <v/>
      </c>
      <c r="J5100" s="10" t="str">
        <f aca="false">IF($E5100="","",UPPER(SUBSTITUTE($E5100," ","")))</f>
        <v/>
      </c>
      <c r="K5100" s="10" t="str">
        <f aca="false">IF($A5100="","",$G5100&amp;"|"&amp;$J5100)</f>
        <v/>
      </c>
      <c r="L5100" s="10" t="str">
        <f aca="false">IF($A5100="","",ROW()-2)</f>
        <v/>
      </c>
      <c r="M5100" s="10" t="str">
        <f aca="false">IF($A5100="","",ROW())</f>
        <v/>
      </c>
    </row>
    <row r="5101" customFormat="false" ht="15" hidden="false" customHeight="true" outlineLevel="0" collapsed="false">
      <c r="A5101" s="8"/>
      <c r="B5101" s="8"/>
      <c r="C5101" s="8"/>
      <c r="D5101" s="8"/>
      <c r="E5101" s="8"/>
      <c r="F5101" s="8"/>
      <c r="G5101" s="10" t="str">
        <f aca="false">IF($A5101="","",UPPER(SUBSTITUTE(SUBSTITUTE(SUBSTITUTE(SUBSTITUTE($A5101," ",""),"(주)",""),"주식회사",""),"㈜","")))</f>
        <v/>
      </c>
      <c r="H5101" s="10" t="str">
        <f aca="false">IF($B5101="","",SUBSTITUTE(SUBSTITUTE(SUBSTITUTE($B5101,"-","")," ",""),".",""))</f>
        <v/>
      </c>
      <c r="I5101" s="10" t="str">
        <f aca="false">IF($D5101="","",SUBSTITUTE(SUBSTITUTE(SUBSTITUTE($D5101,"-","")," ",""),".",""))</f>
        <v/>
      </c>
      <c r="J5101" s="10" t="str">
        <f aca="false">IF($E5101="","",UPPER(SUBSTITUTE($E5101," ","")))</f>
        <v/>
      </c>
      <c r="K5101" s="10" t="str">
        <f aca="false">IF($A5101="","",$G5101&amp;"|"&amp;$J5101)</f>
        <v/>
      </c>
      <c r="L5101" s="10" t="str">
        <f aca="false">IF($A5101="","",ROW()-2)</f>
        <v/>
      </c>
      <c r="M5101" s="10" t="str">
        <f aca="false">IF($A5101="","",ROW())</f>
        <v/>
      </c>
    </row>
    <row r="5102" customFormat="false" ht="15" hidden="false" customHeight="true" outlineLevel="0" collapsed="false">
      <c r="A5102" s="8"/>
      <c r="B5102" s="8"/>
      <c r="C5102" s="8"/>
      <c r="D5102" s="8"/>
      <c r="E5102" s="8"/>
      <c r="F5102" s="8"/>
      <c r="G5102" s="10" t="str">
        <f aca="false">IF($A5102="","",UPPER(SUBSTITUTE(SUBSTITUTE(SUBSTITUTE(SUBSTITUTE($A5102," ",""),"(주)",""),"주식회사",""),"㈜","")))</f>
        <v/>
      </c>
      <c r="H5102" s="10" t="str">
        <f aca="false">IF($B5102="","",SUBSTITUTE(SUBSTITUTE(SUBSTITUTE($B5102,"-","")," ",""),".",""))</f>
        <v/>
      </c>
      <c r="I5102" s="10" t="str">
        <f aca="false">IF($D5102="","",SUBSTITUTE(SUBSTITUTE(SUBSTITUTE($D5102,"-","")," ",""),".",""))</f>
        <v/>
      </c>
      <c r="J5102" s="10" t="str">
        <f aca="false">IF($E5102="","",UPPER(SUBSTITUTE($E5102," ","")))</f>
        <v/>
      </c>
      <c r="K5102" s="10" t="str">
        <f aca="false">IF($A5102="","",$G5102&amp;"|"&amp;$J5102)</f>
        <v/>
      </c>
      <c r="L5102" s="10" t="str">
        <f aca="false">IF($A5102="","",ROW()-2)</f>
        <v/>
      </c>
      <c r="M5102" s="10" t="str">
        <f aca="false">IF($A5102="","",ROW())</f>
        <v/>
      </c>
    </row>
    <row r="5103" customFormat="false" ht="15" hidden="false" customHeight="true" outlineLevel="0" collapsed="false">
      <c r="A5103" s="8"/>
      <c r="B5103" s="8"/>
      <c r="C5103" s="8"/>
      <c r="D5103" s="8"/>
      <c r="E5103" s="8"/>
      <c r="F5103" s="8"/>
      <c r="G5103" s="10" t="str">
        <f aca="false">IF($A5103="","",UPPER(SUBSTITUTE(SUBSTITUTE(SUBSTITUTE(SUBSTITUTE($A5103," ",""),"(주)",""),"주식회사",""),"㈜","")))</f>
        <v/>
      </c>
      <c r="H5103" s="10" t="str">
        <f aca="false">IF($B5103="","",SUBSTITUTE(SUBSTITUTE(SUBSTITUTE($B5103,"-","")," ",""),".",""))</f>
        <v/>
      </c>
      <c r="I5103" s="10" t="str">
        <f aca="false">IF($D5103="","",SUBSTITUTE(SUBSTITUTE(SUBSTITUTE($D5103,"-","")," ",""),".",""))</f>
        <v/>
      </c>
      <c r="J5103" s="10" t="str">
        <f aca="false">IF($E5103="","",UPPER(SUBSTITUTE($E5103," ","")))</f>
        <v/>
      </c>
      <c r="K5103" s="10" t="str">
        <f aca="false">IF($A5103="","",$G5103&amp;"|"&amp;$J5103)</f>
        <v/>
      </c>
      <c r="L5103" s="10" t="str">
        <f aca="false">IF($A5103="","",ROW()-2)</f>
        <v/>
      </c>
      <c r="M5103" s="10" t="str">
        <f aca="false">IF($A5103="","",ROW())</f>
        <v/>
      </c>
    </row>
    <row r="5104" customFormat="false" ht="15" hidden="false" customHeight="true" outlineLevel="0" collapsed="false">
      <c r="A5104" s="8"/>
      <c r="B5104" s="8"/>
      <c r="C5104" s="8"/>
      <c r="D5104" s="8"/>
      <c r="E5104" s="8"/>
      <c r="F5104" s="8"/>
      <c r="G5104" s="10" t="str">
        <f aca="false">IF($A5104="","",UPPER(SUBSTITUTE(SUBSTITUTE(SUBSTITUTE(SUBSTITUTE($A5104," ",""),"(주)",""),"주식회사",""),"㈜","")))</f>
        <v/>
      </c>
      <c r="H5104" s="10" t="str">
        <f aca="false">IF($B5104="","",SUBSTITUTE(SUBSTITUTE(SUBSTITUTE($B5104,"-","")," ",""),".",""))</f>
        <v/>
      </c>
      <c r="I5104" s="10" t="str">
        <f aca="false">IF($D5104="","",SUBSTITUTE(SUBSTITUTE(SUBSTITUTE($D5104,"-","")," ",""),".",""))</f>
        <v/>
      </c>
      <c r="J5104" s="10" t="str">
        <f aca="false">IF($E5104="","",UPPER(SUBSTITUTE($E5104," ","")))</f>
        <v/>
      </c>
      <c r="K5104" s="10" t="str">
        <f aca="false">IF($A5104="","",$G5104&amp;"|"&amp;$J5104)</f>
        <v/>
      </c>
      <c r="L5104" s="10" t="str">
        <f aca="false">IF($A5104="","",ROW()-2)</f>
        <v/>
      </c>
      <c r="M5104" s="10" t="str">
        <f aca="false">IF($A5104="","",ROW())</f>
        <v/>
      </c>
    </row>
    <row r="5105" customFormat="false" ht="15" hidden="false" customHeight="true" outlineLevel="0" collapsed="false">
      <c r="A5105" s="8"/>
      <c r="B5105" s="8"/>
      <c r="C5105" s="8"/>
      <c r="D5105" s="8"/>
      <c r="E5105" s="8"/>
      <c r="F5105" s="8"/>
      <c r="G5105" s="10" t="str">
        <f aca="false">IF($A5105="","",UPPER(SUBSTITUTE(SUBSTITUTE(SUBSTITUTE(SUBSTITUTE($A5105," ",""),"(주)",""),"주식회사",""),"㈜","")))</f>
        <v/>
      </c>
      <c r="H5105" s="10" t="str">
        <f aca="false">IF($B5105="","",SUBSTITUTE(SUBSTITUTE(SUBSTITUTE($B5105,"-","")," ",""),".",""))</f>
        <v/>
      </c>
      <c r="I5105" s="10" t="str">
        <f aca="false">IF($D5105="","",SUBSTITUTE(SUBSTITUTE(SUBSTITUTE($D5105,"-","")," ",""),".",""))</f>
        <v/>
      </c>
      <c r="J5105" s="10" t="str">
        <f aca="false">IF($E5105="","",UPPER(SUBSTITUTE($E5105," ","")))</f>
        <v/>
      </c>
      <c r="K5105" s="10" t="str">
        <f aca="false">IF($A5105="","",$G5105&amp;"|"&amp;$J5105)</f>
        <v/>
      </c>
      <c r="L5105" s="10" t="str">
        <f aca="false">IF($A5105="","",ROW()-2)</f>
        <v/>
      </c>
      <c r="M5105" s="10" t="str">
        <f aca="false">IF($A5105="","",ROW())</f>
        <v/>
      </c>
    </row>
    <row r="5106" customFormat="false" ht="15" hidden="false" customHeight="true" outlineLevel="0" collapsed="false">
      <c r="A5106" s="8"/>
      <c r="B5106" s="8"/>
      <c r="C5106" s="8"/>
      <c r="D5106" s="8"/>
      <c r="E5106" s="8"/>
      <c r="F5106" s="8"/>
      <c r="G5106" s="10" t="str">
        <f aca="false">IF($A5106="","",UPPER(SUBSTITUTE(SUBSTITUTE(SUBSTITUTE(SUBSTITUTE($A5106," ",""),"(주)",""),"주식회사",""),"㈜","")))</f>
        <v/>
      </c>
      <c r="H5106" s="10" t="str">
        <f aca="false">IF($B5106="","",SUBSTITUTE(SUBSTITUTE(SUBSTITUTE($B5106,"-","")," ",""),".",""))</f>
        <v/>
      </c>
      <c r="I5106" s="10" t="str">
        <f aca="false">IF($D5106="","",SUBSTITUTE(SUBSTITUTE(SUBSTITUTE($D5106,"-","")," ",""),".",""))</f>
        <v/>
      </c>
      <c r="J5106" s="10" t="str">
        <f aca="false">IF($E5106="","",UPPER(SUBSTITUTE($E5106," ","")))</f>
        <v/>
      </c>
      <c r="K5106" s="10" t="str">
        <f aca="false">IF($A5106="","",$G5106&amp;"|"&amp;$J5106)</f>
        <v/>
      </c>
      <c r="L5106" s="10" t="str">
        <f aca="false">IF($A5106="","",ROW()-2)</f>
        <v/>
      </c>
      <c r="M5106" s="10" t="str">
        <f aca="false">IF($A5106="","",ROW())</f>
        <v/>
      </c>
    </row>
    <row r="5107" customFormat="false" ht="15" hidden="false" customHeight="true" outlineLevel="0" collapsed="false">
      <c r="A5107" s="8"/>
      <c r="B5107" s="8"/>
      <c r="C5107" s="8"/>
      <c r="D5107" s="8"/>
      <c r="E5107" s="8"/>
      <c r="F5107" s="8"/>
      <c r="G5107" s="10" t="str">
        <f aca="false">IF($A5107="","",UPPER(SUBSTITUTE(SUBSTITUTE(SUBSTITUTE(SUBSTITUTE($A5107," ",""),"(주)",""),"주식회사",""),"㈜","")))</f>
        <v/>
      </c>
      <c r="H5107" s="10" t="str">
        <f aca="false">IF($B5107="","",SUBSTITUTE(SUBSTITUTE(SUBSTITUTE($B5107,"-","")," ",""),".",""))</f>
        <v/>
      </c>
      <c r="I5107" s="10" t="str">
        <f aca="false">IF($D5107="","",SUBSTITUTE(SUBSTITUTE(SUBSTITUTE($D5107,"-","")," ",""),".",""))</f>
        <v/>
      </c>
      <c r="J5107" s="10" t="str">
        <f aca="false">IF($E5107="","",UPPER(SUBSTITUTE($E5107," ","")))</f>
        <v/>
      </c>
      <c r="K5107" s="10" t="str">
        <f aca="false">IF($A5107="","",$G5107&amp;"|"&amp;$J5107)</f>
        <v/>
      </c>
      <c r="L5107" s="10" t="str">
        <f aca="false">IF($A5107="","",ROW()-2)</f>
        <v/>
      </c>
      <c r="M5107" s="10" t="str">
        <f aca="false">IF($A5107="","",ROW())</f>
        <v/>
      </c>
    </row>
    <row r="5108" customFormat="false" ht="15" hidden="false" customHeight="true" outlineLevel="0" collapsed="false">
      <c r="A5108" s="8"/>
      <c r="B5108" s="8"/>
      <c r="C5108" s="8"/>
      <c r="D5108" s="8"/>
      <c r="E5108" s="8"/>
      <c r="F5108" s="8"/>
      <c r="G5108" s="10" t="str">
        <f aca="false">IF($A5108="","",UPPER(SUBSTITUTE(SUBSTITUTE(SUBSTITUTE(SUBSTITUTE($A5108," ",""),"(주)",""),"주식회사",""),"㈜","")))</f>
        <v/>
      </c>
      <c r="H5108" s="10" t="str">
        <f aca="false">IF($B5108="","",SUBSTITUTE(SUBSTITUTE(SUBSTITUTE($B5108,"-","")," ",""),".",""))</f>
        <v/>
      </c>
      <c r="I5108" s="10" t="str">
        <f aca="false">IF($D5108="","",SUBSTITUTE(SUBSTITUTE(SUBSTITUTE($D5108,"-","")," ",""),".",""))</f>
        <v/>
      </c>
      <c r="J5108" s="10" t="str">
        <f aca="false">IF($E5108="","",UPPER(SUBSTITUTE($E5108," ","")))</f>
        <v/>
      </c>
      <c r="K5108" s="10" t="str">
        <f aca="false">IF($A5108="","",$G5108&amp;"|"&amp;$J5108)</f>
        <v/>
      </c>
      <c r="L5108" s="10" t="str">
        <f aca="false">IF($A5108="","",ROW()-2)</f>
        <v/>
      </c>
      <c r="M5108" s="10" t="str">
        <f aca="false">IF($A5108="","",ROW())</f>
        <v/>
      </c>
    </row>
    <row r="5109" customFormat="false" ht="15" hidden="false" customHeight="true" outlineLevel="0" collapsed="false">
      <c r="A5109" s="8"/>
      <c r="B5109" s="8"/>
      <c r="C5109" s="8"/>
      <c r="D5109" s="8"/>
      <c r="E5109" s="8"/>
      <c r="F5109" s="8"/>
      <c r="G5109" s="10" t="str">
        <f aca="false">IF($A5109="","",UPPER(SUBSTITUTE(SUBSTITUTE(SUBSTITUTE(SUBSTITUTE($A5109," ",""),"(주)",""),"주식회사",""),"㈜","")))</f>
        <v/>
      </c>
      <c r="H5109" s="10" t="str">
        <f aca="false">IF($B5109="","",SUBSTITUTE(SUBSTITUTE(SUBSTITUTE($B5109,"-","")," ",""),".",""))</f>
        <v/>
      </c>
      <c r="I5109" s="10" t="str">
        <f aca="false">IF($D5109="","",SUBSTITUTE(SUBSTITUTE(SUBSTITUTE($D5109,"-","")," ",""),".",""))</f>
        <v/>
      </c>
      <c r="J5109" s="10" t="str">
        <f aca="false">IF($E5109="","",UPPER(SUBSTITUTE($E5109," ","")))</f>
        <v/>
      </c>
      <c r="K5109" s="10" t="str">
        <f aca="false">IF($A5109="","",$G5109&amp;"|"&amp;$J5109)</f>
        <v/>
      </c>
      <c r="L5109" s="10" t="str">
        <f aca="false">IF($A5109="","",ROW()-2)</f>
        <v/>
      </c>
      <c r="M5109" s="10" t="str">
        <f aca="false">IF($A5109="","",ROW())</f>
        <v/>
      </c>
    </row>
    <row r="5110" customFormat="false" ht="15" hidden="false" customHeight="true" outlineLevel="0" collapsed="false">
      <c r="A5110" s="8"/>
      <c r="B5110" s="8"/>
      <c r="C5110" s="8"/>
      <c r="D5110" s="8"/>
      <c r="E5110" s="8"/>
      <c r="F5110" s="8"/>
      <c r="G5110" s="10" t="str">
        <f aca="false">IF($A5110="","",UPPER(SUBSTITUTE(SUBSTITUTE(SUBSTITUTE(SUBSTITUTE($A5110," ",""),"(주)",""),"주식회사",""),"㈜","")))</f>
        <v/>
      </c>
      <c r="H5110" s="10" t="str">
        <f aca="false">IF($B5110="","",SUBSTITUTE(SUBSTITUTE(SUBSTITUTE($B5110,"-","")," ",""),".",""))</f>
        <v/>
      </c>
      <c r="I5110" s="10" t="str">
        <f aca="false">IF($D5110="","",SUBSTITUTE(SUBSTITUTE(SUBSTITUTE($D5110,"-","")," ",""),".",""))</f>
        <v/>
      </c>
      <c r="J5110" s="10" t="str">
        <f aca="false">IF($E5110="","",UPPER(SUBSTITUTE($E5110," ","")))</f>
        <v/>
      </c>
      <c r="K5110" s="10" t="str">
        <f aca="false">IF($A5110="","",$G5110&amp;"|"&amp;$J5110)</f>
        <v/>
      </c>
      <c r="L5110" s="10" t="str">
        <f aca="false">IF($A5110="","",ROW()-2)</f>
        <v/>
      </c>
      <c r="M5110" s="10" t="str">
        <f aca="false">IF($A5110="","",ROW())</f>
        <v/>
      </c>
    </row>
    <row r="5111" customFormat="false" ht="15" hidden="false" customHeight="true" outlineLevel="0" collapsed="false">
      <c r="A5111" s="8"/>
      <c r="B5111" s="8"/>
      <c r="C5111" s="8"/>
      <c r="D5111" s="8"/>
      <c r="E5111" s="8"/>
      <c r="F5111" s="8"/>
      <c r="G5111" s="10" t="str">
        <f aca="false">IF($A5111="","",UPPER(SUBSTITUTE(SUBSTITUTE(SUBSTITUTE(SUBSTITUTE($A5111," ",""),"(주)",""),"주식회사",""),"㈜","")))</f>
        <v/>
      </c>
      <c r="H5111" s="10" t="str">
        <f aca="false">IF($B5111="","",SUBSTITUTE(SUBSTITUTE(SUBSTITUTE($B5111,"-","")," ",""),".",""))</f>
        <v/>
      </c>
      <c r="I5111" s="10" t="str">
        <f aca="false">IF($D5111="","",SUBSTITUTE(SUBSTITUTE(SUBSTITUTE($D5111,"-","")," ",""),".",""))</f>
        <v/>
      </c>
      <c r="J5111" s="10" t="str">
        <f aca="false">IF($E5111="","",UPPER(SUBSTITUTE($E5111," ","")))</f>
        <v/>
      </c>
      <c r="K5111" s="10" t="str">
        <f aca="false">IF($A5111="","",$G5111&amp;"|"&amp;$J5111)</f>
        <v/>
      </c>
      <c r="L5111" s="10" t="str">
        <f aca="false">IF($A5111="","",ROW()-2)</f>
        <v/>
      </c>
      <c r="M5111" s="10" t="str">
        <f aca="false">IF($A5111="","",ROW())</f>
        <v/>
      </c>
    </row>
    <row r="5112" customFormat="false" ht="15" hidden="false" customHeight="true" outlineLevel="0" collapsed="false">
      <c r="A5112" s="8"/>
      <c r="B5112" s="8"/>
      <c r="C5112" s="8"/>
      <c r="D5112" s="8"/>
      <c r="E5112" s="8"/>
      <c r="F5112" s="8"/>
      <c r="G5112" s="10" t="str">
        <f aca="false">IF($A5112="","",UPPER(SUBSTITUTE(SUBSTITUTE(SUBSTITUTE(SUBSTITUTE($A5112," ",""),"(주)",""),"주식회사",""),"㈜","")))</f>
        <v/>
      </c>
      <c r="H5112" s="10" t="str">
        <f aca="false">IF($B5112="","",SUBSTITUTE(SUBSTITUTE(SUBSTITUTE($B5112,"-","")," ",""),".",""))</f>
        <v/>
      </c>
      <c r="I5112" s="10" t="str">
        <f aca="false">IF($D5112="","",SUBSTITUTE(SUBSTITUTE(SUBSTITUTE($D5112,"-","")," ",""),".",""))</f>
        <v/>
      </c>
      <c r="J5112" s="10" t="str">
        <f aca="false">IF($E5112="","",UPPER(SUBSTITUTE($E5112," ","")))</f>
        <v/>
      </c>
      <c r="K5112" s="10" t="str">
        <f aca="false">IF($A5112="","",$G5112&amp;"|"&amp;$J5112)</f>
        <v/>
      </c>
      <c r="L5112" s="10" t="str">
        <f aca="false">IF($A5112="","",ROW()-2)</f>
        <v/>
      </c>
      <c r="M5112" s="10" t="str">
        <f aca="false">IF($A5112="","",ROW())</f>
        <v/>
      </c>
    </row>
    <row r="5113" customFormat="false" ht="15" hidden="false" customHeight="true" outlineLevel="0" collapsed="false">
      <c r="A5113" s="8"/>
      <c r="B5113" s="8"/>
      <c r="C5113" s="8"/>
      <c r="D5113" s="8"/>
      <c r="E5113" s="8"/>
      <c r="F5113" s="8"/>
      <c r="G5113" s="10" t="str">
        <f aca="false">IF($A5113="","",UPPER(SUBSTITUTE(SUBSTITUTE(SUBSTITUTE(SUBSTITUTE($A5113," ",""),"(주)",""),"주식회사",""),"㈜","")))</f>
        <v/>
      </c>
      <c r="H5113" s="10" t="str">
        <f aca="false">IF($B5113="","",SUBSTITUTE(SUBSTITUTE(SUBSTITUTE($B5113,"-","")," ",""),".",""))</f>
        <v/>
      </c>
      <c r="I5113" s="10" t="str">
        <f aca="false">IF($D5113="","",SUBSTITUTE(SUBSTITUTE(SUBSTITUTE($D5113,"-","")," ",""),".",""))</f>
        <v/>
      </c>
      <c r="J5113" s="10" t="str">
        <f aca="false">IF($E5113="","",UPPER(SUBSTITUTE($E5113," ","")))</f>
        <v/>
      </c>
      <c r="K5113" s="10" t="str">
        <f aca="false">IF($A5113="","",$G5113&amp;"|"&amp;$J5113)</f>
        <v/>
      </c>
      <c r="L5113" s="10" t="str">
        <f aca="false">IF($A5113="","",ROW()-2)</f>
        <v/>
      </c>
      <c r="M5113" s="10" t="str">
        <f aca="false">IF($A5113="","",ROW())</f>
        <v/>
      </c>
    </row>
    <row r="5114" customFormat="false" ht="15" hidden="false" customHeight="true" outlineLevel="0" collapsed="false">
      <c r="A5114" s="8"/>
      <c r="B5114" s="8"/>
      <c r="C5114" s="8"/>
      <c r="D5114" s="8"/>
      <c r="E5114" s="8"/>
      <c r="F5114" s="8"/>
      <c r="G5114" s="10" t="str">
        <f aca="false">IF($A5114="","",UPPER(SUBSTITUTE(SUBSTITUTE(SUBSTITUTE(SUBSTITUTE($A5114," ",""),"(주)",""),"주식회사",""),"㈜","")))</f>
        <v/>
      </c>
      <c r="H5114" s="10" t="str">
        <f aca="false">IF($B5114="","",SUBSTITUTE(SUBSTITUTE(SUBSTITUTE($B5114,"-","")," ",""),".",""))</f>
        <v/>
      </c>
      <c r="I5114" s="10" t="str">
        <f aca="false">IF($D5114="","",SUBSTITUTE(SUBSTITUTE(SUBSTITUTE($D5114,"-","")," ",""),".",""))</f>
        <v/>
      </c>
      <c r="J5114" s="10" t="str">
        <f aca="false">IF($E5114="","",UPPER(SUBSTITUTE($E5114," ","")))</f>
        <v/>
      </c>
      <c r="K5114" s="10" t="str">
        <f aca="false">IF($A5114="","",$G5114&amp;"|"&amp;$J5114)</f>
        <v/>
      </c>
      <c r="L5114" s="10" t="str">
        <f aca="false">IF($A5114="","",ROW()-2)</f>
        <v/>
      </c>
      <c r="M5114" s="10" t="str">
        <f aca="false">IF($A5114="","",ROW())</f>
        <v/>
      </c>
    </row>
    <row r="5115" customFormat="false" ht="15" hidden="false" customHeight="true" outlineLevel="0" collapsed="false">
      <c r="A5115" s="8"/>
      <c r="B5115" s="8"/>
      <c r="C5115" s="8"/>
      <c r="D5115" s="8"/>
      <c r="E5115" s="8"/>
      <c r="F5115" s="8"/>
      <c r="G5115" s="10" t="str">
        <f aca="false">IF($A5115="","",UPPER(SUBSTITUTE(SUBSTITUTE(SUBSTITUTE(SUBSTITUTE($A5115," ",""),"(주)",""),"주식회사",""),"㈜","")))</f>
        <v/>
      </c>
      <c r="H5115" s="10" t="str">
        <f aca="false">IF($B5115="","",SUBSTITUTE(SUBSTITUTE(SUBSTITUTE($B5115,"-","")," ",""),".",""))</f>
        <v/>
      </c>
      <c r="I5115" s="10" t="str">
        <f aca="false">IF($D5115="","",SUBSTITUTE(SUBSTITUTE(SUBSTITUTE($D5115,"-","")," ",""),".",""))</f>
        <v/>
      </c>
      <c r="J5115" s="10" t="str">
        <f aca="false">IF($E5115="","",UPPER(SUBSTITUTE($E5115," ","")))</f>
        <v/>
      </c>
      <c r="K5115" s="10" t="str">
        <f aca="false">IF($A5115="","",$G5115&amp;"|"&amp;$J5115)</f>
        <v/>
      </c>
      <c r="L5115" s="10" t="str">
        <f aca="false">IF($A5115="","",ROW()-2)</f>
        <v/>
      </c>
      <c r="M5115" s="10" t="str">
        <f aca="false">IF($A5115="","",ROW())</f>
        <v/>
      </c>
    </row>
    <row r="5116" customFormat="false" ht="15" hidden="false" customHeight="true" outlineLevel="0" collapsed="false">
      <c r="A5116" s="8"/>
      <c r="B5116" s="8"/>
      <c r="C5116" s="8"/>
      <c r="D5116" s="8"/>
      <c r="E5116" s="8"/>
      <c r="F5116" s="8"/>
      <c r="G5116" s="10" t="str">
        <f aca="false">IF($A5116="","",UPPER(SUBSTITUTE(SUBSTITUTE(SUBSTITUTE(SUBSTITUTE($A5116," ",""),"(주)",""),"주식회사",""),"㈜","")))</f>
        <v/>
      </c>
      <c r="H5116" s="10" t="str">
        <f aca="false">IF($B5116="","",SUBSTITUTE(SUBSTITUTE(SUBSTITUTE($B5116,"-","")," ",""),".",""))</f>
        <v/>
      </c>
      <c r="I5116" s="10" t="str">
        <f aca="false">IF($D5116="","",SUBSTITUTE(SUBSTITUTE(SUBSTITUTE($D5116,"-","")," ",""),".",""))</f>
        <v/>
      </c>
      <c r="J5116" s="10" t="str">
        <f aca="false">IF($E5116="","",UPPER(SUBSTITUTE($E5116," ","")))</f>
        <v/>
      </c>
      <c r="K5116" s="10" t="str">
        <f aca="false">IF($A5116="","",$G5116&amp;"|"&amp;$J5116)</f>
        <v/>
      </c>
      <c r="L5116" s="10" t="str">
        <f aca="false">IF($A5116="","",ROW()-2)</f>
        <v/>
      </c>
      <c r="M5116" s="10" t="str">
        <f aca="false">IF($A5116="","",ROW())</f>
        <v/>
      </c>
    </row>
    <row r="5117" customFormat="false" ht="15" hidden="false" customHeight="true" outlineLevel="0" collapsed="false">
      <c r="A5117" s="8"/>
      <c r="B5117" s="8"/>
      <c r="C5117" s="8"/>
      <c r="D5117" s="8"/>
      <c r="E5117" s="8"/>
      <c r="F5117" s="8"/>
      <c r="G5117" s="10" t="str">
        <f aca="false">IF($A5117="","",UPPER(SUBSTITUTE(SUBSTITUTE(SUBSTITUTE(SUBSTITUTE($A5117," ",""),"(주)",""),"주식회사",""),"㈜","")))</f>
        <v/>
      </c>
      <c r="H5117" s="10" t="str">
        <f aca="false">IF($B5117="","",SUBSTITUTE(SUBSTITUTE(SUBSTITUTE($B5117,"-","")," ",""),".",""))</f>
        <v/>
      </c>
      <c r="I5117" s="10" t="str">
        <f aca="false">IF($D5117="","",SUBSTITUTE(SUBSTITUTE(SUBSTITUTE($D5117,"-","")," ",""),".",""))</f>
        <v/>
      </c>
      <c r="J5117" s="10" t="str">
        <f aca="false">IF($E5117="","",UPPER(SUBSTITUTE($E5117," ","")))</f>
        <v/>
      </c>
      <c r="K5117" s="10" t="str">
        <f aca="false">IF($A5117="","",$G5117&amp;"|"&amp;$J5117)</f>
        <v/>
      </c>
      <c r="L5117" s="10" t="str">
        <f aca="false">IF($A5117="","",ROW()-2)</f>
        <v/>
      </c>
      <c r="M5117" s="10" t="str">
        <f aca="false">IF($A5117="","",ROW())</f>
        <v/>
      </c>
    </row>
    <row r="5118" customFormat="false" ht="15" hidden="false" customHeight="true" outlineLevel="0" collapsed="false">
      <c r="A5118" s="8"/>
      <c r="B5118" s="8"/>
      <c r="C5118" s="8"/>
      <c r="D5118" s="8"/>
      <c r="E5118" s="8"/>
      <c r="F5118" s="8"/>
      <c r="G5118" s="10" t="str">
        <f aca="false">IF($A5118="","",UPPER(SUBSTITUTE(SUBSTITUTE(SUBSTITUTE(SUBSTITUTE($A5118," ",""),"(주)",""),"주식회사",""),"㈜","")))</f>
        <v/>
      </c>
      <c r="H5118" s="10" t="str">
        <f aca="false">IF($B5118="","",SUBSTITUTE(SUBSTITUTE(SUBSTITUTE($B5118,"-","")," ",""),".",""))</f>
        <v/>
      </c>
      <c r="I5118" s="10" t="str">
        <f aca="false">IF($D5118="","",SUBSTITUTE(SUBSTITUTE(SUBSTITUTE($D5118,"-","")," ",""),".",""))</f>
        <v/>
      </c>
      <c r="J5118" s="10" t="str">
        <f aca="false">IF($E5118="","",UPPER(SUBSTITUTE($E5118," ","")))</f>
        <v/>
      </c>
      <c r="K5118" s="10" t="str">
        <f aca="false">IF($A5118="","",$G5118&amp;"|"&amp;$J5118)</f>
        <v/>
      </c>
      <c r="L5118" s="10" t="str">
        <f aca="false">IF($A5118="","",ROW()-2)</f>
        <v/>
      </c>
      <c r="M5118" s="10" t="str">
        <f aca="false">IF($A5118="","",ROW())</f>
        <v/>
      </c>
    </row>
    <row r="5119" customFormat="false" ht="15" hidden="false" customHeight="true" outlineLevel="0" collapsed="false">
      <c r="A5119" s="8"/>
      <c r="B5119" s="8"/>
      <c r="C5119" s="8"/>
      <c r="D5119" s="8"/>
      <c r="E5119" s="8"/>
      <c r="F5119" s="8"/>
      <c r="G5119" s="10" t="str">
        <f aca="false">IF($A5119="","",UPPER(SUBSTITUTE(SUBSTITUTE(SUBSTITUTE(SUBSTITUTE($A5119," ",""),"(주)",""),"주식회사",""),"㈜","")))</f>
        <v/>
      </c>
      <c r="H5119" s="10" t="str">
        <f aca="false">IF($B5119="","",SUBSTITUTE(SUBSTITUTE(SUBSTITUTE($B5119,"-","")," ",""),".",""))</f>
        <v/>
      </c>
      <c r="I5119" s="10" t="str">
        <f aca="false">IF($D5119="","",SUBSTITUTE(SUBSTITUTE(SUBSTITUTE($D5119,"-","")," ",""),".",""))</f>
        <v/>
      </c>
      <c r="J5119" s="10" t="str">
        <f aca="false">IF($E5119="","",UPPER(SUBSTITUTE($E5119," ","")))</f>
        <v/>
      </c>
      <c r="K5119" s="10" t="str">
        <f aca="false">IF($A5119="","",$G5119&amp;"|"&amp;$J5119)</f>
        <v/>
      </c>
      <c r="L5119" s="10" t="str">
        <f aca="false">IF($A5119="","",ROW()-2)</f>
        <v/>
      </c>
      <c r="M5119" s="10" t="str">
        <f aca="false">IF($A5119="","",ROW())</f>
        <v/>
      </c>
    </row>
    <row r="5120" customFormat="false" ht="15" hidden="false" customHeight="true" outlineLevel="0" collapsed="false">
      <c r="A5120" s="8"/>
      <c r="B5120" s="8"/>
      <c r="C5120" s="8"/>
      <c r="D5120" s="8"/>
      <c r="E5120" s="8"/>
      <c r="F5120" s="8"/>
      <c r="G5120" s="10" t="str">
        <f aca="false">IF($A5120="","",UPPER(SUBSTITUTE(SUBSTITUTE(SUBSTITUTE(SUBSTITUTE($A5120," ",""),"(주)",""),"주식회사",""),"㈜","")))</f>
        <v/>
      </c>
      <c r="H5120" s="10" t="str">
        <f aca="false">IF($B5120="","",SUBSTITUTE(SUBSTITUTE(SUBSTITUTE($B5120,"-","")," ",""),".",""))</f>
        <v/>
      </c>
      <c r="I5120" s="10" t="str">
        <f aca="false">IF($D5120="","",SUBSTITUTE(SUBSTITUTE(SUBSTITUTE($D5120,"-","")," ",""),".",""))</f>
        <v/>
      </c>
      <c r="J5120" s="10" t="str">
        <f aca="false">IF($E5120="","",UPPER(SUBSTITUTE($E5120," ","")))</f>
        <v/>
      </c>
      <c r="K5120" s="10" t="str">
        <f aca="false">IF($A5120="","",$G5120&amp;"|"&amp;$J5120)</f>
        <v/>
      </c>
      <c r="L5120" s="10" t="str">
        <f aca="false">IF($A5120="","",ROW()-2)</f>
        <v/>
      </c>
      <c r="M5120" s="10" t="str">
        <f aca="false">IF($A5120="","",ROW())</f>
        <v/>
      </c>
    </row>
    <row r="5121" customFormat="false" ht="15" hidden="false" customHeight="true" outlineLevel="0" collapsed="false">
      <c r="A5121" s="8"/>
      <c r="B5121" s="8"/>
      <c r="C5121" s="8"/>
      <c r="D5121" s="8"/>
      <c r="E5121" s="8"/>
      <c r="F5121" s="8"/>
      <c r="G5121" s="10" t="str">
        <f aca="false">IF($A5121="","",UPPER(SUBSTITUTE(SUBSTITUTE(SUBSTITUTE(SUBSTITUTE($A5121," ",""),"(주)",""),"주식회사",""),"㈜","")))</f>
        <v/>
      </c>
      <c r="H5121" s="10" t="str">
        <f aca="false">IF($B5121="","",SUBSTITUTE(SUBSTITUTE(SUBSTITUTE($B5121,"-","")," ",""),".",""))</f>
        <v/>
      </c>
      <c r="I5121" s="10" t="str">
        <f aca="false">IF($D5121="","",SUBSTITUTE(SUBSTITUTE(SUBSTITUTE($D5121,"-","")," ",""),".",""))</f>
        <v/>
      </c>
      <c r="J5121" s="10" t="str">
        <f aca="false">IF($E5121="","",UPPER(SUBSTITUTE($E5121," ","")))</f>
        <v/>
      </c>
      <c r="K5121" s="10" t="str">
        <f aca="false">IF($A5121="","",$G5121&amp;"|"&amp;$J5121)</f>
        <v/>
      </c>
      <c r="L5121" s="10" t="str">
        <f aca="false">IF($A5121="","",ROW()-2)</f>
        <v/>
      </c>
      <c r="M5121" s="10" t="str">
        <f aca="false">IF($A5121="","",ROW())</f>
        <v/>
      </c>
    </row>
    <row r="5122" customFormat="false" ht="15" hidden="false" customHeight="true" outlineLevel="0" collapsed="false">
      <c r="A5122" s="8"/>
      <c r="B5122" s="8"/>
      <c r="C5122" s="8"/>
      <c r="D5122" s="8"/>
      <c r="E5122" s="8"/>
      <c r="F5122" s="8"/>
      <c r="G5122" s="10" t="str">
        <f aca="false">IF($A5122="","",UPPER(SUBSTITUTE(SUBSTITUTE(SUBSTITUTE(SUBSTITUTE($A5122," ",""),"(주)",""),"주식회사",""),"㈜","")))</f>
        <v/>
      </c>
      <c r="H5122" s="10" t="str">
        <f aca="false">IF($B5122="","",SUBSTITUTE(SUBSTITUTE(SUBSTITUTE($B5122,"-","")," ",""),".",""))</f>
        <v/>
      </c>
      <c r="I5122" s="10" t="str">
        <f aca="false">IF($D5122="","",SUBSTITUTE(SUBSTITUTE(SUBSTITUTE($D5122,"-","")," ",""),".",""))</f>
        <v/>
      </c>
      <c r="J5122" s="10" t="str">
        <f aca="false">IF($E5122="","",UPPER(SUBSTITUTE($E5122," ","")))</f>
        <v/>
      </c>
      <c r="K5122" s="10" t="str">
        <f aca="false">IF($A5122="","",$G5122&amp;"|"&amp;$J5122)</f>
        <v/>
      </c>
      <c r="L5122" s="10" t="str">
        <f aca="false">IF($A5122="","",ROW()-2)</f>
        <v/>
      </c>
      <c r="M5122" s="10" t="str">
        <f aca="false">IF($A5122="","",ROW())</f>
        <v/>
      </c>
    </row>
    <row r="5123" customFormat="false" ht="15" hidden="false" customHeight="true" outlineLevel="0" collapsed="false">
      <c r="A5123" s="8"/>
      <c r="B5123" s="8"/>
      <c r="C5123" s="8"/>
      <c r="D5123" s="8"/>
      <c r="E5123" s="8"/>
      <c r="F5123" s="8"/>
      <c r="G5123" s="10" t="str">
        <f aca="false">IF($A5123="","",UPPER(SUBSTITUTE(SUBSTITUTE(SUBSTITUTE(SUBSTITUTE($A5123," ",""),"(주)",""),"주식회사",""),"㈜","")))</f>
        <v/>
      </c>
      <c r="H5123" s="10" t="str">
        <f aca="false">IF($B5123="","",SUBSTITUTE(SUBSTITUTE(SUBSTITUTE($B5123,"-","")," ",""),".",""))</f>
        <v/>
      </c>
      <c r="I5123" s="10" t="str">
        <f aca="false">IF($D5123="","",SUBSTITUTE(SUBSTITUTE(SUBSTITUTE($D5123,"-","")," ",""),".",""))</f>
        <v/>
      </c>
      <c r="J5123" s="10" t="str">
        <f aca="false">IF($E5123="","",UPPER(SUBSTITUTE($E5123," ","")))</f>
        <v/>
      </c>
      <c r="K5123" s="10" t="str">
        <f aca="false">IF($A5123="","",$G5123&amp;"|"&amp;$J5123)</f>
        <v/>
      </c>
      <c r="L5123" s="10" t="str">
        <f aca="false">IF($A5123="","",ROW()-2)</f>
        <v/>
      </c>
      <c r="M5123" s="10" t="str">
        <f aca="false">IF($A5123="","",ROW())</f>
        <v/>
      </c>
    </row>
    <row r="5124" customFormat="false" ht="15" hidden="false" customHeight="true" outlineLevel="0" collapsed="false">
      <c r="A5124" s="8"/>
      <c r="B5124" s="8"/>
      <c r="C5124" s="8"/>
      <c r="D5124" s="8"/>
      <c r="E5124" s="8"/>
      <c r="F5124" s="8"/>
      <c r="G5124" s="10" t="str">
        <f aca="false">IF($A5124="","",UPPER(SUBSTITUTE(SUBSTITUTE(SUBSTITUTE(SUBSTITUTE($A5124," ",""),"(주)",""),"주식회사",""),"㈜","")))</f>
        <v/>
      </c>
      <c r="H5124" s="10" t="str">
        <f aca="false">IF($B5124="","",SUBSTITUTE(SUBSTITUTE(SUBSTITUTE($B5124,"-","")," ",""),".",""))</f>
        <v/>
      </c>
      <c r="I5124" s="10" t="str">
        <f aca="false">IF($D5124="","",SUBSTITUTE(SUBSTITUTE(SUBSTITUTE($D5124,"-","")," ",""),".",""))</f>
        <v/>
      </c>
      <c r="J5124" s="10" t="str">
        <f aca="false">IF($E5124="","",UPPER(SUBSTITUTE($E5124," ","")))</f>
        <v/>
      </c>
      <c r="K5124" s="10" t="str">
        <f aca="false">IF($A5124="","",$G5124&amp;"|"&amp;$J5124)</f>
        <v/>
      </c>
      <c r="L5124" s="10" t="str">
        <f aca="false">IF($A5124="","",ROW()-2)</f>
        <v/>
      </c>
      <c r="M5124" s="10" t="str">
        <f aca="false">IF($A5124="","",ROW())</f>
        <v/>
      </c>
    </row>
    <row r="5125" customFormat="false" ht="15" hidden="false" customHeight="true" outlineLevel="0" collapsed="false">
      <c r="A5125" s="8"/>
      <c r="B5125" s="8"/>
      <c r="C5125" s="8"/>
      <c r="D5125" s="8"/>
      <c r="E5125" s="8"/>
      <c r="F5125" s="8"/>
      <c r="G5125" s="10" t="str">
        <f aca="false">IF($A5125="","",UPPER(SUBSTITUTE(SUBSTITUTE(SUBSTITUTE(SUBSTITUTE($A5125," ",""),"(주)",""),"주식회사",""),"㈜","")))</f>
        <v/>
      </c>
      <c r="H5125" s="10" t="str">
        <f aca="false">IF($B5125="","",SUBSTITUTE(SUBSTITUTE(SUBSTITUTE($B5125,"-","")," ",""),".",""))</f>
        <v/>
      </c>
      <c r="I5125" s="10" t="str">
        <f aca="false">IF($D5125="","",SUBSTITUTE(SUBSTITUTE(SUBSTITUTE($D5125,"-","")," ",""),".",""))</f>
        <v/>
      </c>
      <c r="J5125" s="10" t="str">
        <f aca="false">IF($E5125="","",UPPER(SUBSTITUTE($E5125," ","")))</f>
        <v/>
      </c>
      <c r="K5125" s="10" t="str">
        <f aca="false">IF($A5125="","",$G5125&amp;"|"&amp;$J5125)</f>
        <v/>
      </c>
      <c r="L5125" s="10" t="str">
        <f aca="false">IF($A5125="","",ROW()-2)</f>
        <v/>
      </c>
      <c r="M5125" s="10" t="str">
        <f aca="false">IF($A5125="","",ROW())</f>
        <v/>
      </c>
    </row>
    <row r="5126" customFormat="false" ht="15" hidden="false" customHeight="true" outlineLevel="0" collapsed="false">
      <c r="A5126" s="8"/>
      <c r="B5126" s="8"/>
      <c r="C5126" s="8"/>
      <c r="D5126" s="8"/>
      <c r="E5126" s="8"/>
      <c r="F5126" s="8"/>
      <c r="G5126" s="10" t="str">
        <f aca="false">IF($A5126="","",UPPER(SUBSTITUTE(SUBSTITUTE(SUBSTITUTE(SUBSTITUTE($A5126," ",""),"(주)",""),"주식회사",""),"㈜","")))</f>
        <v/>
      </c>
      <c r="H5126" s="10" t="str">
        <f aca="false">IF($B5126="","",SUBSTITUTE(SUBSTITUTE(SUBSTITUTE($B5126,"-","")," ",""),".",""))</f>
        <v/>
      </c>
      <c r="I5126" s="10" t="str">
        <f aca="false">IF($D5126="","",SUBSTITUTE(SUBSTITUTE(SUBSTITUTE($D5126,"-","")," ",""),".",""))</f>
        <v/>
      </c>
      <c r="J5126" s="10" t="str">
        <f aca="false">IF($E5126="","",UPPER(SUBSTITUTE($E5126," ","")))</f>
        <v/>
      </c>
      <c r="K5126" s="10" t="str">
        <f aca="false">IF($A5126="","",$G5126&amp;"|"&amp;$J5126)</f>
        <v/>
      </c>
      <c r="L5126" s="10" t="str">
        <f aca="false">IF($A5126="","",ROW()-2)</f>
        <v/>
      </c>
      <c r="M5126" s="10" t="str">
        <f aca="false">IF($A5126="","",ROW())</f>
        <v/>
      </c>
    </row>
    <row r="5127" customFormat="false" ht="15" hidden="false" customHeight="true" outlineLevel="0" collapsed="false">
      <c r="A5127" s="8"/>
      <c r="B5127" s="8"/>
      <c r="C5127" s="8"/>
      <c r="D5127" s="8"/>
      <c r="E5127" s="8"/>
      <c r="F5127" s="8"/>
      <c r="G5127" s="10" t="str">
        <f aca="false">IF($A5127="","",UPPER(SUBSTITUTE(SUBSTITUTE(SUBSTITUTE(SUBSTITUTE($A5127," ",""),"(주)",""),"주식회사",""),"㈜","")))</f>
        <v/>
      </c>
      <c r="H5127" s="10" t="str">
        <f aca="false">IF($B5127="","",SUBSTITUTE(SUBSTITUTE(SUBSTITUTE($B5127,"-","")," ",""),".",""))</f>
        <v/>
      </c>
      <c r="I5127" s="10" t="str">
        <f aca="false">IF($D5127="","",SUBSTITUTE(SUBSTITUTE(SUBSTITUTE($D5127,"-","")," ",""),".",""))</f>
        <v/>
      </c>
      <c r="J5127" s="10" t="str">
        <f aca="false">IF($E5127="","",UPPER(SUBSTITUTE($E5127," ","")))</f>
        <v/>
      </c>
      <c r="K5127" s="10" t="str">
        <f aca="false">IF($A5127="","",$G5127&amp;"|"&amp;$J5127)</f>
        <v/>
      </c>
      <c r="L5127" s="10" t="str">
        <f aca="false">IF($A5127="","",ROW()-2)</f>
        <v/>
      </c>
      <c r="M5127" s="10" t="str">
        <f aca="false">IF($A5127="","",ROW())</f>
        <v/>
      </c>
    </row>
    <row r="5128" customFormat="false" ht="15" hidden="false" customHeight="true" outlineLevel="0" collapsed="false">
      <c r="A5128" s="8"/>
      <c r="B5128" s="8"/>
      <c r="C5128" s="8"/>
      <c r="D5128" s="8"/>
      <c r="E5128" s="8"/>
      <c r="F5128" s="8"/>
      <c r="G5128" s="10" t="str">
        <f aca="false">IF($A5128="","",UPPER(SUBSTITUTE(SUBSTITUTE(SUBSTITUTE(SUBSTITUTE($A5128," ",""),"(주)",""),"주식회사",""),"㈜","")))</f>
        <v/>
      </c>
      <c r="H5128" s="10" t="str">
        <f aca="false">IF($B5128="","",SUBSTITUTE(SUBSTITUTE(SUBSTITUTE($B5128,"-","")," ",""),".",""))</f>
        <v/>
      </c>
      <c r="I5128" s="10" t="str">
        <f aca="false">IF($D5128="","",SUBSTITUTE(SUBSTITUTE(SUBSTITUTE($D5128,"-","")," ",""),".",""))</f>
        <v/>
      </c>
      <c r="J5128" s="10" t="str">
        <f aca="false">IF($E5128="","",UPPER(SUBSTITUTE($E5128," ","")))</f>
        <v/>
      </c>
      <c r="K5128" s="10" t="str">
        <f aca="false">IF($A5128="","",$G5128&amp;"|"&amp;$J5128)</f>
        <v/>
      </c>
      <c r="L5128" s="10" t="str">
        <f aca="false">IF($A5128="","",ROW()-2)</f>
        <v/>
      </c>
      <c r="M5128" s="10" t="str">
        <f aca="false">IF($A5128="","",ROW())</f>
        <v/>
      </c>
    </row>
    <row r="5129" customFormat="false" ht="15" hidden="false" customHeight="true" outlineLevel="0" collapsed="false">
      <c r="A5129" s="8"/>
      <c r="B5129" s="8"/>
      <c r="C5129" s="8"/>
      <c r="D5129" s="8"/>
      <c r="E5129" s="8"/>
      <c r="F5129" s="8"/>
      <c r="G5129" s="10" t="str">
        <f aca="false">IF($A5129="","",UPPER(SUBSTITUTE(SUBSTITUTE(SUBSTITUTE(SUBSTITUTE($A5129," ",""),"(주)",""),"주식회사",""),"㈜","")))</f>
        <v/>
      </c>
      <c r="H5129" s="10" t="str">
        <f aca="false">IF($B5129="","",SUBSTITUTE(SUBSTITUTE(SUBSTITUTE($B5129,"-","")," ",""),".",""))</f>
        <v/>
      </c>
      <c r="I5129" s="10" t="str">
        <f aca="false">IF($D5129="","",SUBSTITUTE(SUBSTITUTE(SUBSTITUTE($D5129,"-","")," ",""),".",""))</f>
        <v/>
      </c>
      <c r="J5129" s="10" t="str">
        <f aca="false">IF($E5129="","",UPPER(SUBSTITUTE($E5129," ","")))</f>
        <v/>
      </c>
      <c r="K5129" s="10" t="str">
        <f aca="false">IF($A5129="","",$G5129&amp;"|"&amp;$J5129)</f>
        <v/>
      </c>
      <c r="L5129" s="10" t="str">
        <f aca="false">IF($A5129="","",ROW()-2)</f>
        <v/>
      </c>
      <c r="M5129" s="10" t="str">
        <f aca="false">IF($A5129="","",ROW())</f>
        <v/>
      </c>
    </row>
    <row r="5130" customFormat="false" ht="15" hidden="false" customHeight="true" outlineLevel="0" collapsed="false">
      <c r="A5130" s="8"/>
      <c r="B5130" s="8"/>
      <c r="C5130" s="8"/>
      <c r="D5130" s="8"/>
      <c r="E5130" s="8"/>
      <c r="F5130" s="8"/>
      <c r="G5130" s="10" t="str">
        <f aca="false">IF($A5130="","",UPPER(SUBSTITUTE(SUBSTITUTE(SUBSTITUTE(SUBSTITUTE($A5130," ",""),"(주)",""),"주식회사",""),"㈜","")))</f>
        <v/>
      </c>
      <c r="H5130" s="10" t="str">
        <f aca="false">IF($B5130="","",SUBSTITUTE(SUBSTITUTE(SUBSTITUTE($B5130,"-","")," ",""),".",""))</f>
        <v/>
      </c>
      <c r="I5130" s="10" t="str">
        <f aca="false">IF($D5130="","",SUBSTITUTE(SUBSTITUTE(SUBSTITUTE($D5130,"-","")," ",""),".",""))</f>
        <v/>
      </c>
      <c r="J5130" s="10" t="str">
        <f aca="false">IF($E5130="","",UPPER(SUBSTITUTE($E5130," ","")))</f>
        <v/>
      </c>
      <c r="K5130" s="10" t="str">
        <f aca="false">IF($A5130="","",$G5130&amp;"|"&amp;$J5130)</f>
        <v/>
      </c>
      <c r="L5130" s="10" t="str">
        <f aca="false">IF($A5130="","",ROW()-2)</f>
        <v/>
      </c>
      <c r="M5130" s="10" t="str">
        <f aca="false">IF($A5130="","",ROW())</f>
        <v/>
      </c>
    </row>
    <row r="5131" customFormat="false" ht="15" hidden="false" customHeight="true" outlineLevel="0" collapsed="false">
      <c r="A5131" s="8"/>
      <c r="B5131" s="8"/>
      <c r="C5131" s="8"/>
      <c r="D5131" s="8"/>
      <c r="E5131" s="8"/>
      <c r="F5131" s="8"/>
      <c r="G5131" s="10" t="str">
        <f aca="false">IF($A5131="","",UPPER(SUBSTITUTE(SUBSTITUTE(SUBSTITUTE(SUBSTITUTE($A5131," ",""),"(주)",""),"주식회사",""),"㈜","")))</f>
        <v/>
      </c>
      <c r="H5131" s="10" t="str">
        <f aca="false">IF($B5131="","",SUBSTITUTE(SUBSTITUTE(SUBSTITUTE($B5131,"-","")," ",""),".",""))</f>
        <v/>
      </c>
      <c r="I5131" s="10" t="str">
        <f aca="false">IF($D5131="","",SUBSTITUTE(SUBSTITUTE(SUBSTITUTE($D5131,"-","")," ",""),".",""))</f>
        <v/>
      </c>
      <c r="J5131" s="10" t="str">
        <f aca="false">IF($E5131="","",UPPER(SUBSTITUTE($E5131," ","")))</f>
        <v/>
      </c>
      <c r="K5131" s="10" t="str">
        <f aca="false">IF($A5131="","",$G5131&amp;"|"&amp;$J5131)</f>
        <v/>
      </c>
      <c r="L5131" s="10" t="str">
        <f aca="false">IF($A5131="","",ROW()-2)</f>
        <v/>
      </c>
      <c r="M5131" s="10" t="str">
        <f aca="false">IF($A5131="","",ROW())</f>
        <v/>
      </c>
    </row>
    <row r="5132" customFormat="false" ht="15" hidden="false" customHeight="true" outlineLevel="0" collapsed="false">
      <c r="A5132" s="8"/>
      <c r="B5132" s="8"/>
      <c r="C5132" s="8"/>
      <c r="D5132" s="8"/>
      <c r="E5132" s="8"/>
      <c r="F5132" s="8"/>
      <c r="G5132" s="10" t="str">
        <f aca="false">IF($A5132="","",UPPER(SUBSTITUTE(SUBSTITUTE(SUBSTITUTE(SUBSTITUTE($A5132," ",""),"(주)",""),"주식회사",""),"㈜","")))</f>
        <v/>
      </c>
      <c r="H5132" s="10" t="str">
        <f aca="false">IF($B5132="","",SUBSTITUTE(SUBSTITUTE(SUBSTITUTE($B5132,"-","")," ",""),".",""))</f>
        <v/>
      </c>
      <c r="I5132" s="10" t="str">
        <f aca="false">IF($D5132="","",SUBSTITUTE(SUBSTITUTE(SUBSTITUTE($D5132,"-","")," ",""),".",""))</f>
        <v/>
      </c>
      <c r="J5132" s="10" t="str">
        <f aca="false">IF($E5132="","",UPPER(SUBSTITUTE($E5132," ","")))</f>
        <v/>
      </c>
      <c r="K5132" s="10" t="str">
        <f aca="false">IF($A5132="","",$G5132&amp;"|"&amp;$J5132)</f>
        <v/>
      </c>
      <c r="L5132" s="10" t="str">
        <f aca="false">IF($A5132="","",ROW()-2)</f>
        <v/>
      </c>
      <c r="M5132" s="10" t="str">
        <f aca="false">IF($A5132="","",ROW())</f>
        <v/>
      </c>
    </row>
    <row r="5133" customFormat="false" ht="15" hidden="false" customHeight="true" outlineLevel="0" collapsed="false">
      <c r="A5133" s="8"/>
      <c r="B5133" s="8"/>
      <c r="C5133" s="8"/>
      <c r="D5133" s="8"/>
      <c r="E5133" s="8"/>
      <c r="F5133" s="8"/>
      <c r="G5133" s="10" t="str">
        <f aca="false">IF($A5133="","",UPPER(SUBSTITUTE(SUBSTITUTE(SUBSTITUTE(SUBSTITUTE($A5133," ",""),"(주)",""),"주식회사",""),"㈜","")))</f>
        <v/>
      </c>
      <c r="H5133" s="10" t="str">
        <f aca="false">IF($B5133="","",SUBSTITUTE(SUBSTITUTE(SUBSTITUTE($B5133,"-","")," ",""),".",""))</f>
        <v/>
      </c>
      <c r="I5133" s="10" t="str">
        <f aca="false">IF($D5133="","",SUBSTITUTE(SUBSTITUTE(SUBSTITUTE($D5133,"-","")," ",""),".",""))</f>
        <v/>
      </c>
      <c r="J5133" s="10" t="str">
        <f aca="false">IF($E5133="","",UPPER(SUBSTITUTE($E5133," ","")))</f>
        <v/>
      </c>
      <c r="K5133" s="10" t="str">
        <f aca="false">IF($A5133="","",$G5133&amp;"|"&amp;$J5133)</f>
        <v/>
      </c>
      <c r="L5133" s="10" t="str">
        <f aca="false">IF($A5133="","",ROW()-2)</f>
        <v/>
      </c>
      <c r="M5133" s="10" t="str">
        <f aca="false">IF($A5133="","",ROW())</f>
        <v/>
      </c>
    </row>
    <row r="5134" customFormat="false" ht="15" hidden="false" customHeight="true" outlineLevel="0" collapsed="false">
      <c r="A5134" s="8"/>
      <c r="B5134" s="8"/>
      <c r="C5134" s="8"/>
      <c r="D5134" s="8"/>
      <c r="E5134" s="8"/>
      <c r="F5134" s="8"/>
      <c r="G5134" s="10" t="str">
        <f aca="false">IF($A5134="","",UPPER(SUBSTITUTE(SUBSTITUTE(SUBSTITUTE(SUBSTITUTE($A5134," ",""),"(주)",""),"주식회사",""),"㈜","")))</f>
        <v/>
      </c>
      <c r="H5134" s="10" t="str">
        <f aca="false">IF($B5134="","",SUBSTITUTE(SUBSTITUTE(SUBSTITUTE($B5134,"-","")," ",""),".",""))</f>
        <v/>
      </c>
      <c r="I5134" s="10" t="str">
        <f aca="false">IF($D5134="","",SUBSTITUTE(SUBSTITUTE(SUBSTITUTE($D5134,"-","")," ",""),".",""))</f>
        <v/>
      </c>
      <c r="J5134" s="10" t="str">
        <f aca="false">IF($E5134="","",UPPER(SUBSTITUTE($E5134," ","")))</f>
        <v/>
      </c>
      <c r="K5134" s="10" t="str">
        <f aca="false">IF($A5134="","",$G5134&amp;"|"&amp;$J5134)</f>
        <v/>
      </c>
      <c r="L5134" s="10" t="str">
        <f aca="false">IF($A5134="","",ROW()-2)</f>
        <v/>
      </c>
      <c r="M5134" s="10" t="str">
        <f aca="false">IF($A5134="","",ROW())</f>
        <v/>
      </c>
    </row>
    <row r="5135" customFormat="false" ht="15" hidden="false" customHeight="true" outlineLevel="0" collapsed="false">
      <c r="A5135" s="8"/>
      <c r="B5135" s="8"/>
      <c r="C5135" s="8"/>
      <c r="D5135" s="8"/>
      <c r="E5135" s="8"/>
      <c r="F5135" s="8"/>
      <c r="G5135" s="10" t="str">
        <f aca="false">IF($A5135="","",UPPER(SUBSTITUTE(SUBSTITUTE(SUBSTITUTE(SUBSTITUTE($A5135," ",""),"(주)",""),"주식회사",""),"㈜","")))</f>
        <v/>
      </c>
      <c r="H5135" s="10" t="str">
        <f aca="false">IF($B5135="","",SUBSTITUTE(SUBSTITUTE(SUBSTITUTE($B5135,"-","")," ",""),".",""))</f>
        <v/>
      </c>
      <c r="I5135" s="10" t="str">
        <f aca="false">IF($D5135="","",SUBSTITUTE(SUBSTITUTE(SUBSTITUTE($D5135,"-","")," ",""),".",""))</f>
        <v/>
      </c>
      <c r="J5135" s="10" t="str">
        <f aca="false">IF($E5135="","",UPPER(SUBSTITUTE($E5135," ","")))</f>
        <v/>
      </c>
      <c r="K5135" s="10" t="str">
        <f aca="false">IF($A5135="","",$G5135&amp;"|"&amp;$J5135)</f>
        <v/>
      </c>
      <c r="L5135" s="10" t="str">
        <f aca="false">IF($A5135="","",ROW()-2)</f>
        <v/>
      </c>
      <c r="M5135" s="10" t="str">
        <f aca="false">IF($A5135="","",ROW())</f>
        <v/>
      </c>
    </row>
    <row r="5136" customFormat="false" ht="15" hidden="false" customHeight="true" outlineLevel="0" collapsed="false">
      <c r="A5136" s="8"/>
      <c r="B5136" s="8"/>
      <c r="C5136" s="8"/>
      <c r="D5136" s="8"/>
      <c r="E5136" s="8"/>
      <c r="F5136" s="8"/>
      <c r="G5136" s="10" t="str">
        <f aca="false">IF($A5136="","",UPPER(SUBSTITUTE(SUBSTITUTE(SUBSTITUTE(SUBSTITUTE($A5136," ",""),"(주)",""),"주식회사",""),"㈜","")))</f>
        <v/>
      </c>
      <c r="H5136" s="10" t="str">
        <f aca="false">IF($B5136="","",SUBSTITUTE(SUBSTITUTE(SUBSTITUTE($B5136,"-","")," ",""),".",""))</f>
        <v/>
      </c>
      <c r="I5136" s="10" t="str">
        <f aca="false">IF($D5136="","",SUBSTITUTE(SUBSTITUTE(SUBSTITUTE($D5136,"-","")," ",""),".",""))</f>
        <v/>
      </c>
      <c r="J5136" s="10" t="str">
        <f aca="false">IF($E5136="","",UPPER(SUBSTITUTE($E5136," ","")))</f>
        <v/>
      </c>
      <c r="K5136" s="10" t="str">
        <f aca="false">IF($A5136="","",$G5136&amp;"|"&amp;$J5136)</f>
        <v/>
      </c>
      <c r="L5136" s="10" t="str">
        <f aca="false">IF($A5136="","",ROW()-2)</f>
        <v/>
      </c>
      <c r="M5136" s="10" t="str">
        <f aca="false">IF($A5136="","",ROW())</f>
        <v/>
      </c>
    </row>
    <row r="5137" customFormat="false" ht="15" hidden="false" customHeight="true" outlineLevel="0" collapsed="false">
      <c r="A5137" s="8"/>
      <c r="B5137" s="8"/>
      <c r="C5137" s="8"/>
      <c r="D5137" s="8"/>
      <c r="E5137" s="8"/>
      <c r="F5137" s="8"/>
      <c r="G5137" s="10" t="str">
        <f aca="false">IF($A5137="","",UPPER(SUBSTITUTE(SUBSTITUTE(SUBSTITUTE(SUBSTITUTE($A5137," ",""),"(주)",""),"주식회사",""),"㈜","")))</f>
        <v/>
      </c>
      <c r="H5137" s="10" t="str">
        <f aca="false">IF($B5137="","",SUBSTITUTE(SUBSTITUTE(SUBSTITUTE($B5137,"-","")," ",""),".",""))</f>
        <v/>
      </c>
      <c r="I5137" s="10" t="str">
        <f aca="false">IF($D5137="","",SUBSTITUTE(SUBSTITUTE(SUBSTITUTE($D5137,"-","")," ",""),".",""))</f>
        <v/>
      </c>
      <c r="J5137" s="10" t="str">
        <f aca="false">IF($E5137="","",UPPER(SUBSTITUTE($E5137," ","")))</f>
        <v/>
      </c>
      <c r="K5137" s="10" t="str">
        <f aca="false">IF($A5137="","",$G5137&amp;"|"&amp;$J5137)</f>
        <v/>
      </c>
      <c r="L5137" s="10" t="str">
        <f aca="false">IF($A5137="","",ROW()-2)</f>
        <v/>
      </c>
      <c r="M5137" s="10" t="str">
        <f aca="false">IF($A5137="","",ROW())</f>
        <v/>
      </c>
    </row>
    <row r="5138" customFormat="false" ht="15" hidden="false" customHeight="true" outlineLevel="0" collapsed="false">
      <c r="A5138" s="8"/>
      <c r="B5138" s="8"/>
      <c r="C5138" s="8"/>
      <c r="D5138" s="8"/>
      <c r="E5138" s="8"/>
      <c r="F5138" s="8"/>
      <c r="G5138" s="10" t="str">
        <f aca="false">IF($A5138="","",UPPER(SUBSTITUTE(SUBSTITUTE(SUBSTITUTE(SUBSTITUTE($A5138," ",""),"(주)",""),"주식회사",""),"㈜","")))</f>
        <v/>
      </c>
      <c r="H5138" s="10" t="str">
        <f aca="false">IF($B5138="","",SUBSTITUTE(SUBSTITUTE(SUBSTITUTE($B5138,"-","")," ",""),".",""))</f>
        <v/>
      </c>
      <c r="I5138" s="10" t="str">
        <f aca="false">IF($D5138="","",SUBSTITUTE(SUBSTITUTE(SUBSTITUTE($D5138,"-","")," ",""),".",""))</f>
        <v/>
      </c>
      <c r="J5138" s="10" t="str">
        <f aca="false">IF($E5138="","",UPPER(SUBSTITUTE($E5138," ","")))</f>
        <v/>
      </c>
      <c r="K5138" s="10" t="str">
        <f aca="false">IF($A5138="","",$G5138&amp;"|"&amp;$J5138)</f>
        <v/>
      </c>
      <c r="L5138" s="10" t="str">
        <f aca="false">IF($A5138="","",ROW()-2)</f>
        <v/>
      </c>
      <c r="M5138" s="10" t="str">
        <f aca="false">IF($A5138="","",ROW())</f>
        <v/>
      </c>
    </row>
    <row r="5139" customFormat="false" ht="15" hidden="false" customHeight="true" outlineLevel="0" collapsed="false">
      <c r="A5139" s="8"/>
      <c r="B5139" s="8"/>
      <c r="C5139" s="8"/>
      <c r="D5139" s="8"/>
      <c r="E5139" s="8"/>
      <c r="F5139" s="8"/>
      <c r="G5139" s="10" t="str">
        <f aca="false">IF($A5139="","",UPPER(SUBSTITUTE(SUBSTITUTE(SUBSTITUTE(SUBSTITUTE($A5139," ",""),"(주)",""),"주식회사",""),"㈜","")))</f>
        <v/>
      </c>
      <c r="H5139" s="10" t="str">
        <f aca="false">IF($B5139="","",SUBSTITUTE(SUBSTITUTE(SUBSTITUTE($B5139,"-","")," ",""),".",""))</f>
        <v/>
      </c>
      <c r="I5139" s="10" t="str">
        <f aca="false">IF($D5139="","",SUBSTITUTE(SUBSTITUTE(SUBSTITUTE($D5139,"-","")," ",""),".",""))</f>
        <v/>
      </c>
      <c r="J5139" s="10" t="str">
        <f aca="false">IF($E5139="","",UPPER(SUBSTITUTE($E5139," ","")))</f>
        <v/>
      </c>
      <c r="K5139" s="10" t="str">
        <f aca="false">IF($A5139="","",$G5139&amp;"|"&amp;$J5139)</f>
        <v/>
      </c>
      <c r="L5139" s="10" t="str">
        <f aca="false">IF($A5139="","",ROW()-2)</f>
        <v/>
      </c>
      <c r="M5139" s="10" t="str">
        <f aca="false">IF($A5139="","",ROW())</f>
        <v/>
      </c>
    </row>
    <row r="5140" customFormat="false" ht="15" hidden="false" customHeight="true" outlineLevel="0" collapsed="false">
      <c r="A5140" s="8"/>
      <c r="B5140" s="8"/>
      <c r="C5140" s="8"/>
      <c r="D5140" s="8"/>
      <c r="E5140" s="8"/>
      <c r="F5140" s="8"/>
      <c r="G5140" s="10" t="str">
        <f aca="false">IF($A5140="","",UPPER(SUBSTITUTE(SUBSTITUTE(SUBSTITUTE(SUBSTITUTE($A5140," ",""),"(주)",""),"주식회사",""),"㈜","")))</f>
        <v/>
      </c>
      <c r="H5140" s="10" t="str">
        <f aca="false">IF($B5140="","",SUBSTITUTE(SUBSTITUTE(SUBSTITUTE($B5140,"-","")," ",""),".",""))</f>
        <v/>
      </c>
      <c r="I5140" s="10" t="str">
        <f aca="false">IF($D5140="","",SUBSTITUTE(SUBSTITUTE(SUBSTITUTE($D5140,"-","")," ",""),".",""))</f>
        <v/>
      </c>
      <c r="J5140" s="10" t="str">
        <f aca="false">IF($E5140="","",UPPER(SUBSTITUTE($E5140," ","")))</f>
        <v/>
      </c>
      <c r="K5140" s="10" t="str">
        <f aca="false">IF($A5140="","",$G5140&amp;"|"&amp;$J5140)</f>
        <v/>
      </c>
      <c r="L5140" s="10" t="str">
        <f aca="false">IF($A5140="","",ROW()-2)</f>
        <v/>
      </c>
      <c r="M5140" s="10" t="str">
        <f aca="false">IF($A5140="","",ROW())</f>
        <v/>
      </c>
    </row>
    <row r="5141" customFormat="false" ht="15" hidden="false" customHeight="true" outlineLevel="0" collapsed="false">
      <c r="A5141" s="8"/>
      <c r="B5141" s="8"/>
      <c r="C5141" s="8"/>
      <c r="D5141" s="8"/>
      <c r="E5141" s="8"/>
      <c r="F5141" s="8"/>
      <c r="G5141" s="10" t="str">
        <f aca="false">IF($A5141="","",UPPER(SUBSTITUTE(SUBSTITUTE(SUBSTITUTE(SUBSTITUTE($A5141," ",""),"(주)",""),"주식회사",""),"㈜","")))</f>
        <v/>
      </c>
      <c r="H5141" s="10" t="str">
        <f aca="false">IF($B5141="","",SUBSTITUTE(SUBSTITUTE(SUBSTITUTE($B5141,"-","")," ",""),".",""))</f>
        <v/>
      </c>
      <c r="I5141" s="10" t="str">
        <f aca="false">IF($D5141="","",SUBSTITUTE(SUBSTITUTE(SUBSTITUTE($D5141,"-","")," ",""),".",""))</f>
        <v/>
      </c>
      <c r="J5141" s="10" t="str">
        <f aca="false">IF($E5141="","",UPPER(SUBSTITUTE($E5141," ","")))</f>
        <v/>
      </c>
      <c r="K5141" s="10" t="str">
        <f aca="false">IF($A5141="","",$G5141&amp;"|"&amp;$J5141)</f>
        <v/>
      </c>
      <c r="L5141" s="10" t="str">
        <f aca="false">IF($A5141="","",ROW()-2)</f>
        <v/>
      </c>
      <c r="M5141" s="10" t="str">
        <f aca="false">IF($A5141="","",ROW())</f>
        <v/>
      </c>
    </row>
    <row r="5142" customFormat="false" ht="15" hidden="false" customHeight="true" outlineLevel="0" collapsed="false">
      <c r="A5142" s="8"/>
      <c r="B5142" s="8"/>
      <c r="C5142" s="8"/>
      <c r="D5142" s="8"/>
      <c r="E5142" s="8"/>
      <c r="F5142" s="8"/>
      <c r="G5142" s="10" t="str">
        <f aca="false">IF($A5142="","",UPPER(SUBSTITUTE(SUBSTITUTE(SUBSTITUTE(SUBSTITUTE($A5142," ",""),"(주)",""),"주식회사",""),"㈜","")))</f>
        <v/>
      </c>
      <c r="H5142" s="10" t="str">
        <f aca="false">IF($B5142="","",SUBSTITUTE(SUBSTITUTE(SUBSTITUTE($B5142,"-","")," ",""),".",""))</f>
        <v/>
      </c>
      <c r="I5142" s="10" t="str">
        <f aca="false">IF($D5142="","",SUBSTITUTE(SUBSTITUTE(SUBSTITUTE($D5142,"-","")," ",""),".",""))</f>
        <v/>
      </c>
      <c r="J5142" s="10" t="str">
        <f aca="false">IF($E5142="","",UPPER(SUBSTITUTE($E5142," ","")))</f>
        <v/>
      </c>
      <c r="K5142" s="10" t="str">
        <f aca="false">IF($A5142="","",$G5142&amp;"|"&amp;$J5142)</f>
        <v/>
      </c>
      <c r="L5142" s="10" t="str">
        <f aca="false">IF($A5142="","",ROW()-2)</f>
        <v/>
      </c>
      <c r="M5142" s="10" t="str">
        <f aca="false">IF($A5142="","",ROW())</f>
        <v/>
      </c>
    </row>
    <row r="5143" customFormat="false" ht="15" hidden="false" customHeight="true" outlineLevel="0" collapsed="false">
      <c r="A5143" s="8"/>
      <c r="B5143" s="8"/>
      <c r="C5143" s="8"/>
      <c r="D5143" s="8"/>
      <c r="E5143" s="8"/>
      <c r="F5143" s="8"/>
      <c r="G5143" s="10" t="str">
        <f aca="false">IF($A5143="","",UPPER(SUBSTITUTE(SUBSTITUTE(SUBSTITUTE(SUBSTITUTE($A5143," ",""),"(주)",""),"주식회사",""),"㈜","")))</f>
        <v/>
      </c>
      <c r="H5143" s="10" t="str">
        <f aca="false">IF($B5143="","",SUBSTITUTE(SUBSTITUTE(SUBSTITUTE($B5143,"-","")," ",""),".",""))</f>
        <v/>
      </c>
      <c r="I5143" s="10" t="str">
        <f aca="false">IF($D5143="","",SUBSTITUTE(SUBSTITUTE(SUBSTITUTE($D5143,"-","")," ",""),".",""))</f>
        <v/>
      </c>
      <c r="J5143" s="10" t="str">
        <f aca="false">IF($E5143="","",UPPER(SUBSTITUTE($E5143," ","")))</f>
        <v/>
      </c>
      <c r="K5143" s="10" t="str">
        <f aca="false">IF($A5143="","",$G5143&amp;"|"&amp;$J5143)</f>
        <v/>
      </c>
      <c r="L5143" s="10" t="str">
        <f aca="false">IF($A5143="","",ROW()-2)</f>
        <v/>
      </c>
      <c r="M5143" s="10" t="str">
        <f aca="false">IF($A5143="","",ROW())</f>
        <v/>
      </c>
    </row>
    <row r="5144" customFormat="false" ht="15" hidden="false" customHeight="true" outlineLevel="0" collapsed="false">
      <c r="A5144" s="8"/>
      <c r="B5144" s="8"/>
      <c r="C5144" s="8"/>
      <c r="D5144" s="8"/>
      <c r="E5144" s="8"/>
      <c r="F5144" s="8"/>
      <c r="G5144" s="10" t="str">
        <f aca="false">IF($A5144="","",UPPER(SUBSTITUTE(SUBSTITUTE(SUBSTITUTE(SUBSTITUTE($A5144," ",""),"(주)",""),"주식회사",""),"㈜","")))</f>
        <v/>
      </c>
      <c r="H5144" s="10" t="str">
        <f aca="false">IF($B5144="","",SUBSTITUTE(SUBSTITUTE(SUBSTITUTE($B5144,"-","")," ",""),".",""))</f>
        <v/>
      </c>
      <c r="I5144" s="10" t="str">
        <f aca="false">IF($D5144="","",SUBSTITUTE(SUBSTITUTE(SUBSTITUTE($D5144,"-","")," ",""),".",""))</f>
        <v/>
      </c>
      <c r="J5144" s="10" t="str">
        <f aca="false">IF($E5144="","",UPPER(SUBSTITUTE($E5144," ","")))</f>
        <v/>
      </c>
      <c r="K5144" s="10" t="str">
        <f aca="false">IF($A5144="","",$G5144&amp;"|"&amp;$J5144)</f>
        <v/>
      </c>
      <c r="L5144" s="10" t="str">
        <f aca="false">IF($A5144="","",ROW()-2)</f>
        <v/>
      </c>
      <c r="M5144" s="10" t="str">
        <f aca="false">IF($A5144="","",ROW())</f>
        <v/>
      </c>
    </row>
    <row r="5145" customFormat="false" ht="15" hidden="false" customHeight="true" outlineLevel="0" collapsed="false">
      <c r="A5145" s="8"/>
      <c r="B5145" s="8"/>
      <c r="C5145" s="8"/>
      <c r="D5145" s="8"/>
      <c r="E5145" s="8"/>
      <c r="F5145" s="8"/>
      <c r="G5145" s="10" t="str">
        <f aca="false">IF($A5145="","",UPPER(SUBSTITUTE(SUBSTITUTE(SUBSTITUTE(SUBSTITUTE($A5145," ",""),"(주)",""),"주식회사",""),"㈜","")))</f>
        <v/>
      </c>
      <c r="H5145" s="10" t="str">
        <f aca="false">IF($B5145="","",SUBSTITUTE(SUBSTITUTE(SUBSTITUTE($B5145,"-","")," ",""),".",""))</f>
        <v/>
      </c>
      <c r="I5145" s="10" t="str">
        <f aca="false">IF($D5145="","",SUBSTITUTE(SUBSTITUTE(SUBSTITUTE($D5145,"-","")," ",""),".",""))</f>
        <v/>
      </c>
      <c r="J5145" s="10" t="str">
        <f aca="false">IF($E5145="","",UPPER(SUBSTITUTE($E5145," ","")))</f>
        <v/>
      </c>
      <c r="K5145" s="10" t="str">
        <f aca="false">IF($A5145="","",$G5145&amp;"|"&amp;$J5145)</f>
        <v/>
      </c>
      <c r="L5145" s="10" t="str">
        <f aca="false">IF($A5145="","",ROW()-2)</f>
        <v/>
      </c>
      <c r="M5145" s="10" t="str">
        <f aca="false">IF($A5145="","",ROW())</f>
        <v/>
      </c>
    </row>
    <row r="5146" customFormat="false" ht="15" hidden="false" customHeight="true" outlineLevel="0" collapsed="false">
      <c r="A5146" s="8"/>
      <c r="B5146" s="8"/>
      <c r="C5146" s="8"/>
      <c r="D5146" s="8"/>
      <c r="E5146" s="8"/>
      <c r="F5146" s="8"/>
      <c r="G5146" s="10" t="str">
        <f aca="false">IF($A5146="","",UPPER(SUBSTITUTE(SUBSTITUTE(SUBSTITUTE(SUBSTITUTE($A5146," ",""),"(주)",""),"주식회사",""),"㈜","")))</f>
        <v/>
      </c>
      <c r="H5146" s="10" t="str">
        <f aca="false">IF($B5146="","",SUBSTITUTE(SUBSTITUTE(SUBSTITUTE($B5146,"-","")," ",""),".",""))</f>
        <v/>
      </c>
      <c r="I5146" s="10" t="str">
        <f aca="false">IF($D5146="","",SUBSTITUTE(SUBSTITUTE(SUBSTITUTE($D5146,"-","")," ",""),".",""))</f>
        <v/>
      </c>
      <c r="J5146" s="10" t="str">
        <f aca="false">IF($E5146="","",UPPER(SUBSTITUTE($E5146," ","")))</f>
        <v/>
      </c>
      <c r="K5146" s="10" t="str">
        <f aca="false">IF($A5146="","",$G5146&amp;"|"&amp;$J5146)</f>
        <v/>
      </c>
      <c r="L5146" s="10" t="str">
        <f aca="false">IF($A5146="","",ROW()-2)</f>
        <v/>
      </c>
      <c r="M5146" s="10" t="str">
        <f aca="false">IF($A5146="","",ROW())</f>
        <v/>
      </c>
    </row>
    <row r="5147" customFormat="false" ht="15" hidden="false" customHeight="true" outlineLevel="0" collapsed="false">
      <c r="A5147" s="8"/>
      <c r="B5147" s="8"/>
      <c r="C5147" s="8"/>
      <c r="D5147" s="8"/>
      <c r="E5147" s="8"/>
      <c r="F5147" s="8"/>
      <c r="G5147" s="10" t="str">
        <f aca="false">IF($A5147="","",UPPER(SUBSTITUTE(SUBSTITUTE(SUBSTITUTE(SUBSTITUTE($A5147," ",""),"(주)",""),"주식회사",""),"㈜","")))</f>
        <v/>
      </c>
      <c r="H5147" s="10" t="str">
        <f aca="false">IF($B5147="","",SUBSTITUTE(SUBSTITUTE(SUBSTITUTE($B5147,"-","")," ",""),".",""))</f>
        <v/>
      </c>
      <c r="I5147" s="10" t="str">
        <f aca="false">IF($D5147="","",SUBSTITUTE(SUBSTITUTE(SUBSTITUTE($D5147,"-","")," ",""),".",""))</f>
        <v/>
      </c>
      <c r="J5147" s="10" t="str">
        <f aca="false">IF($E5147="","",UPPER(SUBSTITUTE($E5147," ","")))</f>
        <v/>
      </c>
      <c r="K5147" s="10" t="str">
        <f aca="false">IF($A5147="","",$G5147&amp;"|"&amp;$J5147)</f>
        <v/>
      </c>
      <c r="L5147" s="10" t="str">
        <f aca="false">IF($A5147="","",ROW()-2)</f>
        <v/>
      </c>
      <c r="M5147" s="10" t="str">
        <f aca="false">IF($A5147="","",ROW())</f>
        <v/>
      </c>
    </row>
    <row r="5148" customFormat="false" ht="15" hidden="false" customHeight="true" outlineLevel="0" collapsed="false">
      <c r="A5148" s="8"/>
      <c r="B5148" s="8"/>
      <c r="C5148" s="8"/>
      <c r="D5148" s="8"/>
      <c r="E5148" s="8"/>
      <c r="F5148" s="8"/>
      <c r="G5148" s="10" t="str">
        <f aca="false">IF($A5148="","",UPPER(SUBSTITUTE(SUBSTITUTE(SUBSTITUTE(SUBSTITUTE($A5148," ",""),"(주)",""),"주식회사",""),"㈜","")))</f>
        <v/>
      </c>
      <c r="H5148" s="10" t="str">
        <f aca="false">IF($B5148="","",SUBSTITUTE(SUBSTITUTE(SUBSTITUTE($B5148,"-","")," ",""),".",""))</f>
        <v/>
      </c>
      <c r="I5148" s="10" t="str">
        <f aca="false">IF($D5148="","",SUBSTITUTE(SUBSTITUTE(SUBSTITUTE($D5148,"-","")," ",""),".",""))</f>
        <v/>
      </c>
      <c r="J5148" s="10" t="str">
        <f aca="false">IF($E5148="","",UPPER(SUBSTITUTE($E5148," ","")))</f>
        <v/>
      </c>
      <c r="K5148" s="10" t="str">
        <f aca="false">IF($A5148="","",$G5148&amp;"|"&amp;$J5148)</f>
        <v/>
      </c>
      <c r="L5148" s="10" t="str">
        <f aca="false">IF($A5148="","",ROW()-2)</f>
        <v/>
      </c>
      <c r="M5148" s="10" t="str">
        <f aca="false">IF($A5148="","",ROW())</f>
        <v/>
      </c>
    </row>
    <row r="5149" customFormat="false" ht="15" hidden="false" customHeight="true" outlineLevel="0" collapsed="false">
      <c r="A5149" s="8"/>
      <c r="B5149" s="8"/>
      <c r="C5149" s="8"/>
      <c r="D5149" s="8"/>
      <c r="E5149" s="8"/>
      <c r="F5149" s="8"/>
      <c r="G5149" s="10" t="str">
        <f aca="false">IF($A5149="","",UPPER(SUBSTITUTE(SUBSTITUTE(SUBSTITUTE(SUBSTITUTE($A5149," ",""),"(주)",""),"주식회사",""),"㈜","")))</f>
        <v/>
      </c>
      <c r="H5149" s="10" t="str">
        <f aca="false">IF($B5149="","",SUBSTITUTE(SUBSTITUTE(SUBSTITUTE($B5149,"-","")," ",""),".",""))</f>
        <v/>
      </c>
      <c r="I5149" s="10" t="str">
        <f aca="false">IF($D5149="","",SUBSTITUTE(SUBSTITUTE(SUBSTITUTE($D5149,"-","")," ",""),".",""))</f>
        <v/>
      </c>
      <c r="J5149" s="10" t="str">
        <f aca="false">IF($E5149="","",UPPER(SUBSTITUTE($E5149," ","")))</f>
        <v/>
      </c>
      <c r="K5149" s="10" t="str">
        <f aca="false">IF($A5149="","",$G5149&amp;"|"&amp;$J5149)</f>
        <v/>
      </c>
      <c r="L5149" s="10" t="str">
        <f aca="false">IF($A5149="","",ROW()-2)</f>
        <v/>
      </c>
      <c r="M5149" s="10" t="str">
        <f aca="false">IF($A5149="","",ROW())</f>
        <v/>
      </c>
    </row>
    <row r="5150" customFormat="false" ht="15" hidden="false" customHeight="true" outlineLevel="0" collapsed="false">
      <c r="A5150" s="8"/>
      <c r="B5150" s="8"/>
      <c r="C5150" s="8"/>
      <c r="D5150" s="8"/>
      <c r="E5150" s="8"/>
      <c r="F5150" s="8"/>
      <c r="G5150" s="10" t="str">
        <f aca="false">IF($A5150="","",UPPER(SUBSTITUTE(SUBSTITUTE(SUBSTITUTE(SUBSTITUTE($A5150," ",""),"(주)",""),"주식회사",""),"㈜","")))</f>
        <v/>
      </c>
      <c r="H5150" s="10" t="str">
        <f aca="false">IF($B5150="","",SUBSTITUTE(SUBSTITUTE(SUBSTITUTE($B5150,"-","")," ",""),".",""))</f>
        <v/>
      </c>
      <c r="I5150" s="10" t="str">
        <f aca="false">IF($D5150="","",SUBSTITUTE(SUBSTITUTE(SUBSTITUTE($D5150,"-","")," ",""),".",""))</f>
        <v/>
      </c>
      <c r="J5150" s="10" t="str">
        <f aca="false">IF($E5150="","",UPPER(SUBSTITUTE($E5150," ","")))</f>
        <v/>
      </c>
      <c r="K5150" s="10" t="str">
        <f aca="false">IF($A5150="","",$G5150&amp;"|"&amp;$J5150)</f>
        <v/>
      </c>
      <c r="L5150" s="10" t="str">
        <f aca="false">IF($A5150="","",ROW()-2)</f>
        <v/>
      </c>
      <c r="M5150" s="10" t="str">
        <f aca="false">IF($A5150="","",ROW())</f>
        <v/>
      </c>
    </row>
    <row r="5151" customFormat="false" ht="15" hidden="false" customHeight="true" outlineLevel="0" collapsed="false">
      <c r="A5151" s="8"/>
      <c r="B5151" s="8"/>
      <c r="C5151" s="8"/>
      <c r="D5151" s="8"/>
      <c r="E5151" s="8"/>
      <c r="F5151" s="8"/>
      <c r="G5151" s="10" t="str">
        <f aca="false">IF($A5151="","",UPPER(SUBSTITUTE(SUBSTITUTE(SUBSTITUTE(SUBSTITUTE($A5151," ",""),"(주)",""),"주식회사",""),"㈜","")))</f>
        <v/>
      </c>
      <c r="H5151" s="10" t="str">
        <f aca="false">IF($B5151="","",SUBSTITUTE(SUBSTITUTE(SUBSTITUTE($B5151,"-","")," ",""),".",""))</f>
        <v/>
      </c>
      <c r="I5151" s="10" t="str">
        <f aca="false">IF($D5151="","",SUBSTITUTE(SUBSTITUTE(SUBSTITUTE($D5151,"-","")," ",""),".",""))</f>
        <v/>
      </c>
      <c r="J5151" s="10" t="str">
        <f aca="false">IF($E5151="","",UPPER(SUBSTITUTE($E5151," ","")))</f>
        <v/>
      </c>
      <c r="K5151" s="10" t="str">
        <f aca="false">IF($A5151="","",$G5151&amp;"|"&amp;$J5151)</f>
        <v/>
      </c>
      <c r="L5151" s="10" t="str">
        <f aca="false">IF($A5151="","",ROW()-2)</f>
        <v/>
      </c>
      <c r="M5151" s="10" t="str">
        <f aca="false">IF($A5151="","",ROW())</f>
        <v/>
      </c>
    </row>
    <row r="5152" customFormat="false" ht="15" hidden="false" customHeight="true" outlineLevel="0" collapsed="false">
      <c r="A5152" s="8"/>
      <c r="B5152" s="8"/>
      <c r="C5152" s="8"/>
      <c r="D5152" s="8"/>
      <c r="E5152" s="8"/>
      <c r="F5152" s="8"/>
      <c r="G5152" s="10" t="str">
        <f aca="false">IF($A5152="","",UPPER(SUBSTITUTE(SUBSTITUTE(SUBSTITUTE(SUBSTITUTE($A5152," ",""),"(주)",""),"주식회사",""),"㈜","")))</f>
        <v/>
      </c>
      <c r="H5152" s="10" t="str">
        <f aca="false">IF($B5152="","",SUBSTITUTE(SUBSTITUTE(SUBSTITUTE($B5152,"-","")," ",""),".",""))</f>
        <v/>
      </c>
      <c r="I5152" s="10" t="str">
        <f aca="false">IF($D5152="","",SUBSTITUTE(SUBSTITUTE(SUBSTITUTE($D5152,"-","")," ",""),".",""))</f>
        <v/>
      </c>
      <c r="J5152" s="10" t="str">
        <f aca="false">IF($E5152="","",UPPER(SUBSTITUTE($E5152," ","")))</f>
        <v/>
      </c>
      <c r="K5152" s="10" t="str">
        <f aca="false">IF($A5152="","",$G5152&amp;"|"&amp;$J5152)</f>
        <v/>
      </c>
      <c r="L5152" s="10" t="str">
        <f aca="false">IF($A5152="","",ROW()-2)</f>
        <v/>
      </c>
      <c r="M5152" s="10" t="str">
        <f aca="false">IF($A5152="","",ROW())</f>
        <v/>
      </c>
    </row>
    <row r="5153" customFormat="false" ht="15" hidden="false" customHeight="true" outlineLevel="0" collapsed="false">
      <c r="A5153" s="8"/>
      <c r="B5153" s="8"/>
      <c r="C5153" s="8"/>
      <c r="D5153" s="8"/>
      <c r="E5153" s="8"/>
      <c r="F5153" s="8"/>
      <c r="G5153" s="10" t="str">
        <f aca="false">IF($A5153="","",UPPER(SUBSTITUTE(SUBSTITUTE(SUBSTITUTE(SUBSTITUTE($A5153," ",""),"(주)",""),"주식회사",""),"㈜","")))</f>
        <v/>
      </c>
      <c r="H5153" s="10" t="str">
        <f aca="false">IF($B5153="","",SUBSTITUTE(SUBSTITUTE(SUBSTITUTE($B5153,"-","")," ",""),".",""))</f>
        <v/>
      </c>
      <c r="I5153" s="10" t="str">
        <f aca="false">IF($D5153="","",SUBSTITUTE(SUBSTITUTE(SUBSTITUTE($D5153,"-","")," ",""),".",""))</f>
        <v/>
      </c>
      <c r="J5153" s="10" t="str">
        <f aca="false">IF($E5153="","",UPPER(SUBSTITUTE($E5153," ","")))</f>
        <v/>
      </c>
      <c r="K5153" s="10" t="str">
        <f aca="false">IF($A5153="","",$G5153&amp;"|"&amp;$J5153)</f>
        <v/>
      </c>
      <c r="L5153" s="10" t="str">
        <f aca="false">IF($A5153="","",ROW()-2)</f>
        <v/>
      </c>
      <c r="M5153" s="10" t="str">
        <f aca="false">IF($A5153="","",ROW())</f>
        <v/>
      </c>
    </row>
    <row r="5154" customFormat="false" ht="15" hidden="false" customHeight="true" outlineLevel="0" collapsed="false">
      <c r="A5154" s="8"/>
      <c r="B5154" s="8"/>
      <c r="C5154" s="8"/>
      <c r="D5154" s="8"/>
      <c r="E5154" s="8"/>
      <c r="F5154" s="8"/>
      <c r="G5154" s="10" t="str">
        <f aca="false">IF($A5154="","",UPPER(SUBSTITUTE(SUBSTITUTE(SUBSTITUTE(SUBSTITUTE($A5154," ",""),"(주)",""),"주식회사",""),"㈜","")))</f>
        <v/>
      </c>
      <c r="H5154" s="10" t="str">
        <f aca="false">IF($B5154="","",SUBSTITUTE(SUBSTITUTE(SUBSTITUTE($B5154,"-","")," ",""),".",""))</f>
        <v/>
      </c>
      <c r="I5154" s="10" t="str">
        <f aca="false">IF($D5154="","",SUBSTITUTE(SUBSTITUTE(SUBSTITUTE($D5154,"-","")," ",""),".",""))</f>
        <v/>
      </c>
      <c r="J5154" s="10" t="str">
        <f aca="false">IF($E5154="","",UPPER(SUBSTITUTE($E5154," ","")))</f>
        <v/>
      </c>
      <c r="K5154" s="10" t="str">
        <f aca="false">IF($A5154="","",$G5154&amp;"|"&amp;$J5154)</f>
        <v/>
      </c>
      <c r="L5154" s="10" t="str">
        <f aca="false">IF($A5154="","",ROW()-2)</f>
        <v/>
      </c>
      <c r="M5154" s="10" t="str">
        <f aca="false">IF($A5154="","",ROW())</f>
        <v/>
      </c>
    </row>
    <row r="5155" customFormat="false" ht="15" hidden="false" customHeight="true" outlineLevel="0" collapsed="false">
      <c r="A5155" s="8"/>
      <c r="B5155" s="8"/>
      <c r="C5155" s="8"/>
      <c r="D5155" s="8"/>
      <c r="E5155" s="8"/>
      <c r="F5155" s="8"/>
      <c r="G5155" s="10" t="str">
        <f aca="false">IF($A5155="","",UPPER(SUBSTITUTE(SUBSTITUTE(SUBSTITUTE(SUBSTITUTE($A5155," ",""),"(주)",""),"주식회사",""),"㈜","")))</f>
        <v/>
      </c>
      <c r="H5155" s="10" t="str">
        <f aca="false">IF($B5155="","",SUBSTITUTE(SUBSTITUTE(SUBSTITUTE($B5155,"-","")," ",""),".",""))</f>
        <v/>
      </c>
      <c r="I5155" s="10" t="str">
        <f aca="false">IF($D5155="","",SUBSTITUTE(SUBSTITUTE(SUBSTITUTE($D5155,"-","")," ",""),".",""))</f>
        <v/>
      </c>
      <c r="J5155" s="10" t="str">
        <f aca="false">IF($E5155="","",UPPER(SUBSTITUTE($E5155," ","")))</f>
        <v/>
      </c>
      <c r="K5155" s="10" t="str">
        <f aca="false">IF($A5155="","",$G5155&amp;"|"&amp;$J5155)</f>
        <v/>
      </c>
      <c r="L5155" s="10" t="str">
        <f aca="false">IF($A5155="","",ROW()-2)</f>
        <v/>
      </c>
      <c r="M5155" s="10" t="str">
        <f aca="false">IF($A5155="","",ROW())</f>
        <v/>
      </c>
    </row>
    <row r="5156" customFormat="false" ht="15" hidden="false" customHeight="true" outlineLevel="0" collapsed="false">
      <c r="A5156" s="8"/>
      <c r="B5156" s="8"/>
      <c r="C5156" s="8"/>
      <c r="D5156" s="8"/>
      <c r="E5156" s="8"/>
      <c r="F5156" s="8"/>
      <c r="G5156" s="10" t="str">
        <f aca="false">IF($A5156="","",UPPER(SUBSTITUTE(SUBSTITUTE(SUBSTITUTE(SUBSTITUTE($A5156," ",""),"(주)",""),"주식회사",""),"㈜","")))</f>
        <v/>
      </c>
      <c r="H5156" s="10" t="str">
        <f aca="false">IF($B5156="","",SUBSTITUTE(SUBSTITUTE(SUBSTITUTE($B5156,"-","")," ",""),".",""))</f>
        <v/>
      </c>
      <c r="I5156" s="10" t="str">
        <f aca="false">IF($D5156="","",SUBSTITUTE(SUBSTITUTE(SUBSTITUTE($D5156,"-","")," ",""),".",""))</f>
        <v/>
      </c>
      <c r="J5156" s="10" t="str">
        <f aca="false">IF($E5156="","",UPPER(SUBSTITUTE($E5156," ","")))</f>
        <v/>
      </c>
      <c r="K5156" s="10" t="str">
        <f aca="false">IF($A5156="","",$G5156&amp;"|"&amp;$J5156)</f>
        <v/>
      </c>
      <c r="L5156" s="10" t="str">
        <f aca="false">IF($A5156="","",ROW()-2)</f>
        <v/>
      </c>
      <c r="M5156" s="10" t="str">
        <f aca="false">IF($A5156="","",ROW())</f>
        <v/>
      </c>
    </row>
    <row r="5157" customFormat="false" ht="15" hidden="false" customHeight="true" outlineLevel="0" collapsed="false">
      <c r="A5157" s="8"/>
      <c r="B5157" s="8"/>
      <c r="C5157" s="8"/>
      <c r="D5157" s="8"/>
      <c r="E5157" s="8"/>
      <c r="F5157" s="8"/>
      <c r="G5157" s="10" t="str">
        <f aca="false">IF($A5157="","",UPPER(SUBSTITUTE(SUBSTITUTE(SUBSTITUTE(SUBSTITUTE($A5157," ",""),"(주)",""),"주식회사",""),"㈜","")))</f>
        <v/>
      </c>
      <c r="H5157" s="10" t="str">
        <f aca="false">IF($B5157="","",SUBSTITUTE(SUBSTITUTE(SUBSTITUTE($B5157,"-","")," ",""),".",""))</f>
        <v/>
      </c>
      <c r="I5157" s="10" t="str">
        <f aca="false">IF($D5157="","",SUBSTITUTE(SUBSTITUTE(SUBSTITUTE($D5157,"-","")," ",""),".",""))</f>
        <v/>
      </c>
      <c r="J5157" s="10" t="str">
        <f aca="false">IF($E5157="","",UPPER(SUBSTITUTE($E5157," ","")))</f>
        <v/>
      </c>
      <c r="K5157" s="10" t="str">
        <f aca="false">IF($A5157="","",$G5157&amp;"|"&amp;$J5157)</f>
        <v/>
      </c>
      <c r="L5157" s="10" t="str">
        <f aca="false">IF($A5157="","",ROW()-2)</f>
        <v/>
      </c>
      <c r="M5157" s="10" t="str">
        <f aca="false">IF($A5157="","",ROW())</f>
        <v/>
      </c>
    </row>
    <row r="5158" customFormat="false" ht="15" hidden="false" customHeight="true" outlineLevel="0" collapsed="false">
      <c r="A5158" s="8"/>
      <c r="B5158" s="8"/>
      <c r="C5158" s="8"/>
      <c r="D5158" s="8"/>
      <c r="E5158" s="8"/>
      <c r="F5158" s="8"/>
      <c r="G5158" s="10" t="str">
        <f aca="false">IF($A5158="","",UPPER(SUBSTITUTE(SUBSTITUTE(SUBSTITUTE(SUBSTITUTE($A5158," ",""),"(주)",""),"주식회사",""),"㈜","")))</f>
        <v/>
      </c>
      <c r="H5158" s="10" t="str">
        <f aca="false">IF($B5158="","",SUBSTITUTE(SUBSTITUTE(SUBSTITUTE($B5158,"-","")," ",""),".",""))</f>
        <v/>
      </c>
      <c r="I5158" s="10" t="str">
        <f aca="false">IF($D5158="","",SUBSTITUTE(SUBSTITUTE(SUBSTITUTE($D5158,"-","")," ",""),".",""))</f>
        <v/>
      </c>
      <c r="J5158" s="10" t="str">
        <f aca="false">IF($E5158="","",UPPER(SUBSTITUTE($E5158," ","")))</f>
        <v/>
      </c>
      <c r="K5158" s="10" t="str">
        <f aca="false">IF($A5158="","",$G5158&amp;"|"&amp;$J5158)</f>
        <v/>
      </c>
      <c r="L5158" s="10" t="str">
        <f aca="false">IF($A5158="","",ROW()-2)</f>
        <v/>
      </c>
      <c r="M5158" s="10" t="str">
        <f aca="false">IF($A5158="","",ROW())</f>
        <v/>
      </c>
    </row>
    <row r="5159" customFormat="false" ht="15" hidden="false" customHeight="true" outlineLevel="0" collapsed="false">
      <c r="A5159" s="8"/>
      <c r="B5159" s="8"/>
      <c r="C5159" s="8"/>
      <c r="D5159" s="8"/>
      <c r="E5159" s="8"/>
      <c r="F5159" s="8"/>
      <c r="G5159" s="10" t="str">
        <f aca="false">IF($A5159="","",UPPER(SUBSTITUTE(SUBSTITUTE(SUBSTITUTE(SUBSTITUTE($A5159," ",""),"(주)",""),"주식회사",""),"㈜","")))</f>
        <v/>
      </c>
      <c r="H5159" s="10" t="str">
        <f aca="false">IF($B5159="","",SUBSTITUTE(SUBSTITUTE(SUBSTITUTE($B5159,"-","")," ",""),".",""))</f>
        <v/>
      </c>
      <c r="I5159" s="10" t="str">
        <f aca="false">IF($D5159="","",SUBSTITUTE(SUBSTITUTE(SUBSTITUTE($D5159,"-","")," ",""),".",""))</f>
        <v/>
      </c>
      <c r="J5159" s="10" t="str">
        <f aca="false">IF($E5159="","",UPPER(SUBSTITUTE($E5159," ","")))</f>
        <v/>
      </c>
      <c r="K5159" s="10" t="str">
        <f aca="false">IF($A5159="","",$G5159&amp;"|"&amp;$J5159)</f>
        <v/>
      </c>
      <c r="L5159" s="10" t="str">
        <f aca="false">IF($A5159="","",ROW()-2)</f>
        <v/>
      </c>
      <c r="M5159" s="10" t="str">
        <f aca="false">IF($A5159="","",ROW())</f>
        <v/>
      </c>
    </row>
    <row r="5160" customFormat="false" ht="15" hidden="false" customHeight="true" outlineLevel="0" collapsed="false">
      <c r="A5160" s="8"/>
      <c r="B5160" s="8"/>
      <c r="C5160" s="8"/>
      <c r="D5160" s="8"/>
      <c r="E5160" s="8"/>
      <c r="F5160" s="8"/>
      <c r="G5160" s="10" t="str">
        <f aca="false">IF($A5160="","",UPPER(SUBSTITUTE(SUBSTITUTE(SUBSTITUTE(SUBSTITUTE($A5160," ",""),"(주)",""),"주식회사",""),"㈜","")))</f>
        <v/>
      </c>
      <c r="H5160" s="10" t="str">
        <f aca="false">IF($B5160="","",SUBSTITUTE(SUBSTITUTE(SUBSTITUTE($B5160,"-","")," ",""),".",""))</f>
        <v/>
      </c>
      <c r="I5160" s="10" t="str">
        <f aca="false">IF($D5160="","",SUBSTITUTE(SUBSTITUTE(SUBSTITUTE($D5160,"-","")," ",""),".",""))</f>
        <v/>
      </c>
      <c r="J5160" s="10" t="str">
        <f aca="false">IF($E5160="","",UPPER(SUBSTITUTE($E5160," ","")))</f>
        <v/>
      </c>
      <c r="K5160" s="10" t="str">
        <f aca="false">IF($A5160="","",$G5160&amp;"|"&amp;$J5160)</f>
        <v/>
      </c>
      <c r="L5160" s="10" t="str">
        <f aca="false">IF($A5160="","",ROW()-2)</f>
        <v/>
      </c>
      <c r="M5160" s="10" t="str">
        <f aca="false">IF($A5160="","",ROW())</f>
        <v/>
      </c>
    </row>
    <row r="5161" customFormat="false" ht="15" hidden="false" customHeight="true" outlineLevel="0" collapsed="false">
      <c r="A5161" s="8"/>
      <c r="B5161" s="8"/>
      <c r="C5161" s="8"/>
      <c r="D5161" s="8"/>
      <c r="E5161" s="8"/>
      <c r="F5161" s="8"/>
      <c r="G5161" s="10" t="str">
        <f aca="false">IF($A5161="","",UPPER(SUBSTITUTE(SUBSTITUTE(SUBSTITUTE(SUBSTITUTE($A5161," ",""),"(주)",""),"주식회사",""),"㈜","")))</f>
        <v/>
      </c>
      <c r="H5161" s="10" t="str">
        <f aca="false">IF($B5161="","",SUBSTITUTE(SUBSTITUTE(SUBSTITUTE($B5161,"-","")," ",""),".",""))</f>
        <v/>
      </c>
      <c r="I5161" s="10" t="str">
        <f aca="false">IF($D5161="","",SUBSTITUTE(SUBSTITUTE(SUBSTITUTE($D5161,"-","")," ",""),".",""))</f>
        <v/>
      </c>
      <c r="J5161" s="10" t="str">
        <f aca="false">IF($E5161="","",UPPER(SUBSTITUTE($E5161," ","")))</f>
        <v/>
      </c>
      <c r="K5161" s="10" t="str">
        <f aca="false">IF($A5161="","",$G5161&amp;"|"&amp;$J5161)</f>
        <v/>
      </c>
      <c r="L5161" s="10" t="str">
        <f aca="false">IF($A5161="","",ROW()-2)</f>
        <v/>
      </c>
      <c r="M5161" s="10" t="str">
        <f aca="false">IF($A5161="","",ROW())</f>
        <v/>
      </c>
    </row>
    <row r="5162" customFormat="false" ht="15" hidden="false" customHeight="true" outlineLevel="0" collapsed="false">
      <c r="A5162" s="8"/>
      <c r="B5162" s="8"/>
      <c r="C5162" s="8"/>
      <c r="D5162" s="8"/>
      <c r="E5162" s="8"/>
      <c r="F5162" s="8"/>
      <c r="G5162" s="10" t="str">
        <f aca="false">IF($A5162="","",UPPER(SUBSTITUTE(SUBSTITUTE(SUBSTITUTE(SUBSTITUTE($A5162," ",""),"(주)",""),"주식회사",""),"㈜","")))</f>
        <v/>
      </c>
      <c r="H5162" s="10" t="str">
        <f aca="false">IF($B5162="","",SUBSTITUTE(SUBSTITUTE(SUBSTITUTE($B5162,"-","")," ",""),".",""))</f>
        <v/>
      </c>
      <c r="I5162" s="10" t="str">
        <f aca="false">IF($D5162="","",SUBSTITUTE(SUBSTITUTE(SUBSTITUTE($D5162,"-","")," ",""),".",""))</f>
        <v/>
      </c>
      <c r="J5162" s="10" t="str">
        <f aca="false">IF($E5162="","",UPPER(SUBSTITUTE($E5162," ","")))</f>
        <v/>
      </c>
      <c r="K5162" s="10" t="str">
        <f aca="false">IF($A5162="","",$G5162&amp;"|"&amp;$J5162)</f>
        <v/>
      </c>
      <c r="L5162" s="10" t="str">
        <f aca="false">IF($A5162="","",ROW()-2)</f>
        <v/>
      </c>
      <c r="M5162" s="10" t="str">
        <f aca="false">IF($A5162="","",ROW())</f>
        <v/>
      </c>
    </row>
    <row r="5163" customFormat="false" ht="15" hidden="false" customHeight="true" outlineLevel="0" collapsed="false">
      <c r="A5163" s="8"/>
      <c r="B5163" s="8"/>
      <c r="C5163" s="8"/>
      <c r="D5163" s="8"/>
      <c r="E5163" s="8"/>
      <c r="F5163" s="8"/>
      <c r="G5163" s="10" t="str">
        <f aca="false">IF($A5163="","",UPPER(SUBSTITUTE(SUBSTITUTE(SUBSTITUTE(SUBSTITUTE($A5163," ",""),"(주)",""),"주식회사",""),"㈜","")))</f>
        <v/>
      </c>
      <c r="H5163" s="10" t="str">
        <f aca="false">IF($B5163="","",SUBSTITUTE(SUBSTITUTE(SUBSTITUTE($B5163,"-","")," ",""),".",""))</f>
        <v/>
      </c>
      <c r="I5163" s="10" t="str">
        <f aca="false">IF($D5163="","",SUBSTITUTE(SUBSTITUTE(SUBSTITUTE($D5163,"-","")," ",""),".",""))</f>
        <v/>
      </c>
      <c r="J5163" s="10" t="str">
        <f aca="false">IF($E5163="","",UPPER(SUBSTITUTE($E5163," ","")))</f>
        <v/>
      </c>
      <c r="K5163" s="10" t="str">
        <f aca="false">IF($A5163="","",$G5163&amp;"|"&amp;$J5163)</f>
        <v/>
      </c>
      <c r="L5163" s="10" t="str">
        <f aca="false">IF($A5163="","",ROW()-2)</f>
        <v/>
      </c>
      <c r="M5163" s="10" t="str">
        <f aca="false">IF($A5163="","",ROW())</f>
        <v/>
      </c>
    </row>
    <row r="5164" customFormat="false" ht="15" hidden="false" customHeight="true" outlineLevel="0" collapsed="false">
      <c r="A5164" s="8"/>
      <c r="B5164" s="8"/>
      <c r="C5164" s="8"/>
      <c r="D5164" s="8"/>
      <c r="E5164" s="8"/>
      <c r="F5164" s="8"/>
      <c r="G5164" s="10" t="str">
        <f aca="false">IF($A5164="","",UPPER(SUBSTITUTE(SUBSTITUTE(SUBSTITUTE(SUBSTITUTE($A5164," ",""),"(주)",""),"주식회사",""),"㈜","")))</f>
        <v/>
      </c>
      <c r="H5164" s="10" t="str">
        <f aca="false">IF($B5164="","",SUBSTITUTE(SUBSTITUTE(SUBSTITUTE($B5164,"-","")," ",""),".",""))</f>
        <v/>
      </c>
      <c r="I5164" s="10" t="str">
        <f aca="false">IF($D5164="","",SUBSTITUTE(SUBSTITUTE(SUBSTITUTE($D5164,"-","")," ",""),".",""))</f>
        <v/>
      </c>
      <c r="J5164" s="10" t="str">
        <f aca="false">IF($E5164="","",UPPER(SUBSTITUTE($E5164," ","")))</f>
        <v/>
      </c>
      <c r="K5164" s="10" t="str">
        <f aca="false">IF($A5164="","",$G5164&amp;"|"&amp;$J5164)</f>
        <v/>
      </c>
      <c r="L5164" s="10" t="str">
        <f aca="false">IF($A5164="","",ROW()-2)</f>
        <v/>
      </c>
      <c r="M5164" s="10" t="str">
        <f aca="false">IF($A5164="","",ROW())</f>
        <v/>
      </c>
    </row>
    <row r="5165" customFormat="false" ht="15" hidden="false" customHeight="true" outlineLevel="0" collapsed="false">
      <c r="A5165" s="8"/>
      <c r="B5165" s="8"/>
      <c r="C5165" s="8"/>
      <c r="D5165" s="8"/>
      <c r="E5165" s="8"/>
      <c r="F5165" s="8"/>
      <c r="G5165" s="10" t="str">
        <f aca="false">IF($A5165="","",UPPER(SUBSTITUTE(SUBSTITUTE(SUBSTITUTE(SUBSTITUTE($A5165," ",""),"(주)",""),"주식회사",""),"㈜","")))</f>
        <v/>
      </c>
      <c r="H5165" s="10" t="str">
        <f aca="false">IF($B5165="","",SUBSTITUTE(SUBSTITUTE(SUBSTITUTE($B5165,"-","")," ",""),".",""))</f>
        <v/>
      </c>
      <c r="I5165" s="10" t="str">
        <f aca="false">IF($D5165="","",SUBSTITUTE(SUBSTITUTE(SUBSTITUTE($D5165,"-","")," ",""),".",""))</f>
        <v/>
      </c>
      <c r="J5165" s="10" t="str">
        <f aca="false">IF($E5165="","",UPPER(SUBSTITUTE($E5165," ","")))</f>
        <v/>
      </c>
      <c r="K5165" s="10" t="str">
        <f aca="false">IF($A5165="","",$G5165&amp;"|"&amp;$J5165)</f>
        <v/>
      </c>
      <c r="L5165" s="10" t="str">
        <f aca="false">IF($A5165="","",ROW()-2)</f>
        <v/>
      </c>
      <c r="M5165" s="10" t="str">
        <f aca="false">IF($A5165="","",ROW())</f>
        <v/>
      </c>
    </row>
    <row r="5166" customFormat="false" ht="15" hidden="false" customHeight="true" outlineLevel="0" collapsed="false">
      <c r="A5166" s="8"/>
      <c r="B5166" s="8"/>
      <c r="C5166" s="8"/>
      <c r="D5166" s="8"/>
      <c r="E5166" s="8"/>
      <c r="F5166" s="8"/>
      <c r="G5166" s="10" t="str">
        <f aca="false">IF($A5166="","",UPPER(SUBSTITUTE(SUBSTITUTE(SUBSTITUTE(SUBSTITUTE($A5166," ",""),"(주)",""),"주식회사",""),"㈜","")))</f>
        <v/>
      </c>
      <c r="H5166" s="10" t="str">
        <f aca="false">IF($B5166="","",SUBSTITUTE(SUBSTITUTE(SUBSTITUTE($B5166,"-","")," ",""),".",""))</f>
        <v/>
      </c>
      <c r="I5166" s="10" t="str">
        <f aca="false">IF($D5166="","",SUBSTITUTE(SUBSTITUTE(SUBSTITUTE($D5166,"-","")," ",""),".",""))</f>
        <v/>
      </c>
      <c r="J5166" s="10" t="str">
        <f aca="false">IF($E5166="","",UPPER(SUBSTITUTE($E5166," ","")))</f>
        <v/>
      </c>
      <c r="K5166" s="10" t="str">
        <f aca="false">IF($A5166="","",$G5166&amp;"|"&amp;$J5166)</f>
        <v/>
      </c>
      <c r="L5166" s="10" t="str">
        <f aca="false">IF($A5166="","",ROW()-2)</f>
        <v/>
      </c>
      <c r="M5166" s="10" t="str">
        <f aca="false">IF($A5166="","",ROW())</f>
        <v/>
      </c>
    </row>
    <row r="5167" customFormat="false" ht="15" hidden="false" customHeight="true" outlineLevel="0" collapsed="false">
      <c r="A5167" s="8"/>
      <c r="B5167" s="8"/>
      <c r="C5167" s="8"/>
      <c r="D5167" s="8"/>
      <c r="E5167" s="8"/>
      <c r="F5167" s="8"/>
      <c r="G5167" s="10" t="str">
        <f aca="false">IF($A5167="","",UPPER(SUBSTITUTE(SUBSTITUTE(SUBSTITUTE(SUBSTITUTE($A5167," ",""),"(주)",""),"주식회사",""),"㈜","")))</f>
        <v/>
      </c>
      <c r="H5167" s="10" t="str">
        <f aca="false">IF($B5167="","",SUBSTITUTE(SUBSTITUTE(SUBSTITUTE($B5167,"-","")," ",""),".",""))</f>
        <v/>
      </c>
      <c r="I5167" s="10" t="str">
        <f aca="false">IF($D5167="","",SUBSTITUTE(SUBSTITUTE(SUBSTITUTE($D5167,"-","")," ",""),".",""))</f>
        <v/>
      </c>
      <c r="J5167" s="10" t="str">
        <f aca="false">IF($E5167="","",UPPER(SUBSTITUTE($E5167," ","")))</f>
        <v/>
      </c>
      <c r="K5167" s="10" t="str">
        <f aca="false">IF($A5167="","",$G5167&amp;"|"&amp;$J5167)</f>
        <v/>
      </c>
      <c r="L5167" s="10" t="str">
        <f aca="false">IF($A5167="","",ROW()-2)</f>
        <v/>
      </c>
      <c r="M5167" s="10" t="str">
        <f aca="false">IF($A5167="","",ROW())</f>
        <v/>
      </c>
    </row>
    <row r="5168" customFormat="false" ht="15" hidden="false" customHeight="true" outlineLevel="0" collapsed="false">
      <c r="A5168" s="8"/>
      <c r="B5168" s="8"/>
      <c r="C5168" s="8"/>
      <c r="D5168" s="8"/>
      <c r="E5168" s="8"/>
      <c r="F5168" s="8"/>
      <c r="G5168" s="10" t="str">
        <f aca="false">IF($A5168="","",UPPER(SUBSTITUTE(SUBSTITUTE(SUBSTITUTE(SUBSTITUTE($A5168," ",""),"(주)",""),"주식회사",""),"㈜","")))</f>
        <v/>
      </c>
      <c r="H5168" s="10" t="str">
        <f aca="false">IF($B5168="","",SUBSTITUTE(SUBSTITUTE(SUBSTITUTE($B5168,"-","")," ",""),".",""))</f>
        <v/>
      </c>
      <c r="I5168" s="10" t="str">
        <f aca="false">IF($D5168="","",SUBSTITUTE(SUBSTITUTE(SUBSTITUTE($D5168,"-","")," ",""),".",""))</f>
        <v/>
      </c>
      <c r="J5168" s="10" t="str">
        <f aca="false">IF($E5168="","",UPPER(SUBSTITUTE($E5168," ","")))</f>
        <v/>
      </c>
      <c r="K5168" s="10" t="str">
        <f aca="false">IF($A5168="","",$G5168&amp;"|"&amp;$J5168)</f>
        <v/>
      </c>
      <c r="L5168" s="10" t="str">
        <f aca="false">IF($A5168="","",ROW()-2)</f>
        <v/>
      </c>
      <c r="M5168" s="10" t="str">
        <f aca="false">IF($A5168="","",ROW())</f>
        <v/>
      </c>
    </row>
    <row r="5169" customFormat="false" ht="15" hidden="false" customHeight="true" outlineLevel="0" collapsed="false">
      <c r="A5169" s="8"/>
      <c r="B5169" s="8"/>
      <c r="C5169" s="8"/>
      <c r="D5169" s="8"/>
      <c r="E5169" s="8"/>
      <c r="F5169" s="8"/>
      <c r="G5169" s="10" t="str">
        <f aca="false">IF($A5169="","",UPPER(SUBSTITUTE(SUBSTITUTE(SUBSTITUTE(SUBSTITUTE($A5169," ",""),"(주)",""),"주식회사",""),"㈜","")))</f>
        <v/>
      </c>
      <c r="H5169" s="10" t="str">
        <f aca="false">IF($B5169="","",SUBSTITUTE(SUBSTITUTE(SUBSTITUTE($B5169,"-","")," ",""),".",""))</f>
        <v/>
      </c>
      <c r="I5169" s="10" t="str">
        <f aca="false">IF($D5169="","",SUBSTITUTE(SUBSTITUTE(SUBSTITUTE($D5169,"-","")," ",""),".",""))</f>
        <v/>
      </c>
      <c r="J5169" s="10" t="str">
        <f aca="false">IF($E5169="","",UPPER(SUBSTITUTE($E5169," ","")))</f>
        <v/>
      </c>
      <c r="K5169" s="10" t="str">
        <f aca="false">IF($A5169="","",$G5169&amp;"|"&amp;$J5169)</f>
        <v/>
      </c>
      <c r="L5169" s="10" t="str">
        <f aca="false">IF($A5169="","",ROW()-2)</f>
        <v/>
      </c>
      <c r="M5169" s="10" t="str">
        <f aca="false">IF($A5169="","",ROW())</f>
        <v/>
      </c>
    </row>
    <row r="5170" customFormat="false" ht="15" hidden="false" customHeight="true" outlineLevel="0" collapsed="false">
      <c r="A5170" s="8"/>
      <c r="B5170" s="8"/>
      <c r="C5170" s="8"/>
      <c r="D5170" s="8"/>
      <c r="E5170" s="8"/>
      <c r="F5170" s="8"/>
      <c r="G5170" s="10" t="str">
        <f aca="false">IF($A5170="","",UPPER(SUBSTITUTE(SUBSTITUTE(SUBSTITUTE(SUBSTITUTE($A5170," ",""),"(주)",""),"주식회사",""),"㈜","")))</f>
        <v/>
      </c>
      <c r="H5170" s="10" t="str">
        <f aca="false">IF($B5170="","",SUBSTITUTE(SUBSTITUTE(SUBSTITUTE($B5170,"-","")," ",""),".",""))</f>
        <v/>
      </c>
      <c r="I5170" s="10" t="str">
        <f aca="false">IF($D5170="","",SUBSTITUTE(SUBSTITUTE(SUBSTITUTE($D5170,"-","")," ",""),".",""))</f>
        <v/>
      </c>
      <c r="J5170" s="10" t="str">
        <f aca="false">IF($E5170="","",UPPER(SUBSTITUTE($E5170," ","")))</f>
        <v/>
      </c>
      <c r="K5170" s="10" t="str">
        <f aca="false">IF($A5170="","",$G5170&amp;"|"&amp;$J5170)</f>
        <v/>
      </c>
      <c r="L5170" s="10" t="str">
        <f aca="false">IF($A5170="","",ROW()-2)</f>
        <v/>
      </c>
      <c r="M5170" s="10" t="str">
        <f aca="false">IF($A5170="","",ROW())</f>
        <v/>
      </c>
    </row>
    <row r="5171" customFormat="false" ht="15" hidden="false" customHeight="true" outlineLevel="0" collapsed="false">
      <c r="A5171" s="8"/>
      <c r="B5171" s="8"/>
      <c r="C5171" s="8"/>
      <c r="D5171" s="8"/>
      <c r="E5171" s="8"/>
      <c r="F5171" s="8"/>
      <c r="G5171" s="10" t="str">
        <f aca="false">IF($A5171="","",UPPER(SUBSTITUTE(SUBSTITUTE(SUBSTITUTE(SUBSTITUTE($A5171," ",""),"(주)",""),"주식회사",""),"㈜","")))</f>
        <v/>
      </c>
      <c r="H5171" s="10" t="str">
        <f aca="false">IF($B5171="","",SUBSTITUTE(SUBSTITUTE(SUBSTITUTE($B5171,"-","")," ",""),".",""))</f>
        <v/>
      </c>
      <c r="I5171" s="10" t="str">
        <f aca="false">IF($D5171="","",SUBSTITUTE(SUBSTITUTE(SUBSTITUTE($D5171,"-","")," ",""),".",""))</f>
        <v/>
      </c>
      <c r="J5171" s="10" t="str">
        <f aca="false">IF($E5171="","",UPPER(SUBSTITUTE($E5171," ","")))</f>
        <v/>
      </c>
      <c r="K5171" s="10" t="str">
        <f aca="false">IF($A5171="","",$G5171&amp;"|"&amp;$J5171)</f>
        <v/>
      </c>
      <c r="L5171" s="10" t="str">
        <f aca="false">IF($A5171="","",ROW()-2)</f>
        <v/>
      </c>
      <c r="M5171" s="10" t="str">
        <f aca="false">IF($A5171="","",ROW())</f>
        <v/>
      </c>
    </row>
    <row r="5172" customFormat="false" ht="15" hidden="false" customHeight="true" outlineLevel="0" collapsed="false">
      <c r="A5172" s="8"/>
      <c r="B5172" s="8"/>
      <c r="C5172" s="8"/>
      <c r="D5172" s="8"/>
      <c r="E5172" s="8"/>
      <c r="F5172" s="8"/>
      <c r="G5172" s="10" t="str">
        <f aca="false">IF($A5172="","",UPPER(SUBSTITUTE(SUBSTITUTE(SUBSTITUTE(SUBSTITUTE($A5172," ",""),"(주)",""),"주식회사",""),"㈜","")))</f>
        <v/>
      </c>
      <c r="H5172" s="10" t="str">
        <f aca="false">IF($B5172="","",SUBSTITUTE(SUBSTITUTE(SUBSTITUTE($B5172,"-","")," ",""),".",""))</f>
        <v/>
      </c>
      <c r="I5172" s="10" t="str">
        <f aca="false">IF($D5172="","",SUBSTITUTE(SUBSTITUTE(SUBSTITUTE($D5172,"-","")," ",""),".",""))</f>
        <v/>
      </c>
      <c r="J5172" s="10" t="str">
        <f aca="false">IF($E5172="","",UPPER(SUBSTITUTE($E5172," ","")))</f>
        <v/>
      </c>
      <c r="K5172" s="10" t="str">
        <f aca="false">IF($A5172="","",$G5172&amp;"|"&amp;$J5172)</f>
        <v/>
      </c>
      <c r="L5172" s="10" t="str">
        <f aca="false">IF($A5172="","",ROW()-2)</f>
        <v/>
      </c>
      <c r="M5172" s="10" t="str">
        <f aca="false">IF($A5172="","",ROW())</f>
        <v/>
      </c>
    </row>
    <row r="5173" customFormat="false" ht="15" hidden="false" customHeight="true" outlineLevel="0" collapsed="false">
      <c r="A5173" s="8"/>
      <c r="B5173" s="8"/>
      <c r="C5173" s="8"/>
      <c r="D5173" s="8"/>
      <c r="E5173" s="8"/>
      <c r="F5173" s="8"/>
      <c r="G5173" s="10" t="str">
        <f aca="false">IF($A5173="","",UPPER(SUBSTITUTE(SUBSTITUTE(SUBSTITUTE(SUBSTITUTE($A5173," ",""),"(주)",""),"주식회사",""),"㈜","")))</f>
        <v/>
      </c>
      <c r="H5173" s="10" t="str">
        <f aca="false">IF($B5173="","",SUBSTITUTE(SUBSTITUTE(SUBSTITUTE($B5173,"-","")," ",""),".",""))</f>
        <v/>
      </c>
      <c r="I5173" s="10" t="str">
        <f aca="false">IF($D5173="","",SUBSTITUTE(SUBSTITUTE(SUBSTITUTE($D5173,"-","")," ",""),".",""))</f>
        <v/>
      </c>
      <c r="J5173" s="10" t="str">
        <f aca="false">IF($E5173="","",UPPER(SUBSTITUTE($E5173," ","")))</f>
        <v/>
      </c>
      <c r="K5173" s="10" t="str">
        <f aca="false">IF($A5173="","",$G5173&amp;"|"&amp;$J5173)</f>
        <v/>
      </c>
      <c r="L5173" s="10" t="str">
        <f aca="false">IF($A5173="","",ROW()-2)</f>
        <v/>
      </c>
      <c r="M5173" s="10" t="str">
        <f aca="false">IF($A5173="","",ROW())</f>
        <v/>
      </c>
    </row>
    <row r="5174" customFormat="false" ht="15" hidden="false" customHeight="true" outlineLevel="0" collapsed="false">
      <c r="A5174" s="8"/>
      <c r="B5174" s="8"/>
      <c r="C5174" s="8"/>
      <c r="D5174" s="8"/>
      <c r="E5174" s="8"/>
      <c r="F5174" s="8"/>
      <c r="G5174" s="10" t="str">
        <f aca="false">IF($A5174="","",UPPER(SUBSTITUTE(SUBSTITUTE(SUBSTITUTE(SUBSTITUTE($A5174," ",""),"(주)",""),"주식회사",""),"㈜","")))</f>
        <v/>
      </c>
      <c r="H5174" s="10" t="str">
        <f aca="false">IF($B5174="","",SUBSTITUTE(SUBSTITUTE(SUBSTITUTE($B5174,"-","")," ",""),".",""))</f>
        <v/>
      </c>
      <c r="I5174" s="10" t="str">
        <f aca="false">IF($D5174="","",SUBSTITUTE(SUBSTITUTE(SUBSTITUTE($D5174,"-","")," ",""),".",""))</f>
        <v/>
      </c>
      <c r="J5174" s="10" t="str">
        <f aca="false">IF($E5174="","",UPPER(SUBSTITUTE($E5174," ","")))</f>
        <v/>
      </c>
      <c r="K5174" s="10" t="str">
        <f aca="false">IF($A5174="","",$G5174&amp;"|"&amp;$J5174)</f>
        <v/>
      </c>
      <c r="L5174" s="10" t="str">
        <f aca="false">IF($A5174="","",ROW()-2)</f>
        <v/>
      </c>
      <c r="M5174" s="10" t="str">
        <f aca="false">IF($A5174="","",ROW())</f>
        <v/>
      </c>
    </row>
    <row r="5175" customFormat="false" ht="15" hidden="false" customHeight="true" outlineLevel="0" collapsed="false">
      <c r="A5175" s="8"/>
      <c r="B5175" s="8"/>
      <c r="C5175" s="8"/>
      <c r="D5175" s="8"/>
      <c r="E5175" s="8"/>
      <c r="F5175" s="8"/>
      <c r="G5175" s="10" t="str">
        <f aca="false">IF($A5175="","",UPPER(SUBSTITUTE(SUBSTITUTE(SUBSTITUTE(SUBSTITUTE($A5175," ",""),"(주)",""),"주식회사",""),"㈜","")))</f>
        <v/>
      </c>
      <c r="H5175" s="10" t="str">
        <f aca="false">IF($B5175="","",SUBSTITUTE(SUBSTITUTE(SUBSTITUTE($B5175,"-","")," ",""),".",""))</f>
        <v/>
      </c>
      <c r="I5175" s="10" t="str">
        <f aca="false">IF($D5175="","",SUBSTITUTE(SUBSTITUTE(SUBSTITUTE($D5175,"-","")," ",""),".",""))</f>
        <v/>
      </c>
      <c r="J5175" s="10" t="str">
        <f aca="false">IF($E5175="","",UPPER(SUBSTITUTE($E5175," ","")))</f>
        <v/>
      </c>
      <c r="K5175" s="10" t="str">
        <f aca="false">IF($A5175="","",$G5175&amp;"|"&amp;$J5175)</f>
        <v/>
      </c>
      <c r="L5175" s="10" t="str">
        <f aca="false">IF($A5175="","",ROW()-2)</f>
        <v/>
      </c>
      <c r="M5175" s="10" t="str">
        <f aca="false">IF($A5175="","",ROW())</f>
        <v/>
      </c>
    </row>
    <row r="5176" customFormat="false" ht="15" hidden="false" customHeight="true" outlineLevel="0" collapsed="false">
      <c r="A5176" s="8"/>
      <c r="B5176" s="8"/>
      <c r="C5176" s="8"/>
      <c r="D5176" s="8"/>
      <c r="E5176" s="8"/>
      <c r="F5176" s="8"/>
      <c r="G5176" s="10" t="str">
        <f aca="false">IF($A5176="","",UPPER(SUBSTITUTE(SUBSTITUTE(SUBSTITUTE(SUBSTITUTE($A5176," ",""),"(주)",""),"주식회사",""),"㈜","")))</f>
        <v/>
      </c>
      <c r="H5176" s="10" t="str">
        <f aca="false">IF($B5176="","",SUBSTITUTE(SUBSTITUTE(SUBSTITUTE($B5176,"-","")," ",""),".",""))</f>
        <v/>
      </c>
      <c r="I5176" s="10" t="str">
        <f aca="false">IF($D5176="","",SUBSTITUTE(SUBSTITUTE(SUBSTITUTE($D5176,"-","")," ",""),".",""))</f>
        <v/>
      </c>
      <c r="J5176" s="10" t="str">
        <f aca="false">IF($E5176="","",UPPER(SUBSTITUTE($E5176," ","")))</f>
        <v/>
      </c>
      <c r="K5176" s="10" t="str">
        <f aca="false">IF($A5176="","",$G5176&amp;"|"&amp;$J5176)</f>
        <v/>
      </c>
      <c r="L5176" s="10" t="str">
        <f aca="false">IF($A5176="","",ROW()-2)</f>
        <v/>
      </c>
      <c r="M5176" s="10" t="str">
        <f aca="false">IF($A5176="","",ROW())</f>
        <v/>
      </c>
    </row>
    <row r="5177" customFormat="false" ht="15" hidden="false" customHeight="true" outlineLevel="0" collapsed="false">
      <c r="A5177" s="8"/>
      <c r="B5177" s="8"/>
      <c r="C5177" s="8"/>
      <c r="D5177" s="8"/>
      <c r="E5177" s="8"/>
      <c r="F5177" s="8"/>
      <c r="G5177" s="10" t="str">
        <f aca="false">IF($A5177="","",UPPER(SUBSTITUTE(SUBSTITUTE(SUBSTITUTE(SUBSTITUTE($A5177," ",""),"(주)",""),"주식회사",""),"㈜","")))</f>
        <v/>
      </c>
      <c r="H5177" s="10" t="str">
        <f aca="false">IF($B5177="","",SUBSTITUTE(SUBSTITUTE(SUBSTITUTE($B5177,"-","")," ",""),".",""))</f>
        <v/>
      </c>
      <c r="I5177" s="10" t="str">
        <f aca="false">IF($D5177="","",SUBSTITUTE(SUBSTITUTE(SUBSTITUTE($D5177,"-","")," ",""),".",""))</f>
        <v/>
      </c>
      <c r="J5177" s="10" t="str">
        <f aca="false">IF($E5177="","",UPPER(SUBSTITUTE($E5177," ","")))</f>
        <v/>
      </c>
      <c r="K5177" s="10" t="str">
        <f aca="false">IF($A5177="","",$G5177&amp;"|"&amp;$J5177)</f>
        <v/>
      </c>
      <c r="L5177" s="10" t="str">
        <f aca="false">IF($A5177="","",ROW()-2)</f>
        <v/>
      </c>
      <c r="M5177" s="10" t="str">
        <f aca="false">IF($A5177="","",ROW())</f>
        <v/>
      </c>
    </row>
    <row r="5178" customFormat="false" ht="15" hidden="false" customHeight="true" outlineLevel="0" collapsed="false">
      <c r="A5178" s="8"/>
      <c r="B5178" s="8"/>
      <c r="C5178" s="8"/>
      <c r="D5178" s="8"/>
      <c r="E5178" s="8"/>
      <c r="F5178" s="8"/>
      <c r="G5178" s="10" t="str">
        <f aca="false">IF($A5178="","",UPPER(SUBSTITUTE(SUBSTITUTE(SUBSTITUTE(SUBSTITUTE($A5178," ",""),"(주)",""),"주식회사",""),"㈜","")))</f>
        <v/>
      </c>
      <c r="H5178" s="10" t="str">
        <f aca="false">IF($B5178="","",SUBSTITUTE(SUBSTITUTE(SUBSTITUTE($B5178,"-","")," ",""),".",""))</f>
        <v/>
      </c>
      <c r="I5178" s="10" t="str">
        <f aca="false">IF($D5178="","",SUBSTITUTE(SUBSTITUTE(SUBSTITUTE($D5178,"-","")," ",""),".",""))</f>
        <v/>
      </c>
      <c r="J5178" s="10" t="str">
        <f aca="false">IF($E5178="","",UPPER(SUBSTITUTE($E5178," ","")))</f>
        <v/>
      </c>
      <c r="K5178" s="10" t="str">
        <f aca="false">IF($A5178="","",$G5178&amp;"|"&amp;$J5178)</f>
        <v/>
      </c>
      <c r="L5178" s="10" t="str">
        <f aca="false">IF($A5178="","",ROW()-2)</f>
        <v/>
      </c>
      <c r="M5178" s="10" t="str">
        <f aca="false">IF($A5178="","",ROW())</f>
        <v/>
      </c>
    </row>
    <row r="5179" customFormat="false" ht="15" hidden="false" customHeight="true" outlineLevel="0" collapsed="false">
      <c r="A5179" s="8"/>
      <c r="B5179" s="8"/>
      <c r="C5179" s="8"/>
      <c r="D5179" s="8"/>
      <c r="E5179" s="8"/>
      <c r="F5179" s="8"/>
      <c r="G5179" s="10" t="str">
        <f aca="false">IF($A5179="","",UPPER(SUBSTITUTE(SUBSTITUTE(SUBSTITUTE(SUBSTITUTE($A5179," ",""),"(주)",""),"주식회사",""),"㈜","")))</f>
        <v/>
      </c>
      <c r="H5179" s="10" t="str">
        <f aca="false">IF($B5179="","",SUBSTITUTE(SUBSTITUTE(SUBSTITUTE($B5179,"-","")," ",""),".",""))</f>
        <v/>
      </c>
      <c r="I5179" s="10" t="str">
        <f aca="false">IF($D5179="","",SUBSTITUTE(SUBSTITUTE(SUBSTITUTE($D5179,"-","")," ",""),".",""))</f>
        <v/>
      </c>
      <c r="J5179" s="10" t="str">
        <f aca="false">IF($E5179="","",UPPER(SUBSTITUTE($E5179," ","")))</f>
        <v/>
      </c>
      <c r="K5179" s="10" t="str">
        <f aca="false">IF($A5179="","",$G5179&amp;"|"&amp;$J5179)</f>
        <v/>
      </c>
      <c r="L5179" s="10" t="str">
        <f aca="false">IF($A5179="","",ROW()-2)</f>
        <v/>
      </c>
      <c r="M5179" s="10" t="str">
        <f aca="false">IF($A5179="","",ROW())</f>
        <v/>
      </c>
    </row>
    <row r="5180" customFormat="false" ht="15" hidden="false" customHeight="true" outlineLevel="0" collapsed="false">
      <c r="A5180" s="8"/>
      <c r="B5180" s="8"/>
      <c r="C5180" s="8"/>
      <c r="D5180" s="8"/>
      <c r="E5180" s="8"/>
      <c r="F5180" s="8"/>
      <c r="G5180" s="10" t="str">
        <f aca="false">IF($A5180="","",UPPER(SUBSTITUTE(SUBSTITUTE(SUBSTITUTE(SUBSTITUTE($A5180," ",""),"(주)",""),"주식회사",""),"㈜","")))</f>
        <v/>
      </c>
      <c r="H5180" s="10" t="str">
        <f aca="false">IF($B5180="","",SUBSTITUTE(SUBSTITUTE(SUBSTITUTE($B5180,"-","")," ",""),".",""))</f>
        <v/>
      </c>
      <c r="I5180" s="10" t="str">
        <f aca="false">IF($D5180="","",SUBSTITUTE(SUBSTITUTE(SUBSTITUTE($D5180,"-","")," ",""),".",""))</f>
        <v/>
      </c>
      <c r="J5180" s="10" t="str">
        <f aca="false">IF($E5180="","",UPPER(SUBSTITUTE($E5180," ","")))</f>
        <v/>
      </c>
      <c r="K5180" s="10" t="str">
        <f aca="false">IF($A5180="","",$G5180&amp;"|"&amp;$J5180)</f>
        <v/>
      </c>
      <c r="L5180" s="10" t="str">
        <f aca="false">IF($A5180="","",ROW()-2)</f>
        <v/>
      </c>
      <c r="M5180" s="10" t="str">
        <f aca="false">IF($A5180="","",ROW())</f>
        <v/>
      </c>
    </row>
    <row r="5181" customFormat="false" ht="15" hidden="false" customHeight="true" outlineLevel="0" collapsed="false">
      <c r="A5181" s="8"/>
      <c r="B5181" s="8"/>
      <c r="C5181" s="8"/>
      <c r="D5181" s="8"/>
      <c r="E5181" s="8"/>
      <c r="F5181" s="8"/>
      <c r="G5181" s="10" t="str">
        <f aca="false">IF($A5181="","",UPPER(SUBSTITUTE(SUBSTITUTE(SUBSTITUTE(SUBSTITUTE($A5181," ",""),"(주)",""),"주식회사",""),"㈜","")))</f>
        <v/>
      </c>
      <c r="H5181" s="10" t="str">
        <f aca="false">IF($B5181="","",SUBSTITUTE(SUBSTITUTE(SUBSTITUTE($B5181,"-","")," ",""),".",""))</f>
        <v/>
      </c>
      <c r="I5181" s="10" t="str">
        <f aca="false">IF($D5181="","",SUBSTITUTE(SUBSTITUTE(SUBSTITUTE($D5181,"-","")," ",""),".",""))</f>
        <v/>
      </c>
      <c r="J5181" s="10" t="str">
        <f aca="false">IF($E5181="","",UPPER(SUBSTITUTE($E5181," ","")))</f>
        <v/>
      </c>
      <c r="K5181" s="10" t="str">
        <f aca="false">IF($A5181="","",$G5181&amp;"|"&amp;$J5181)</f>
        <v/>
      </c>
      <c r="L5181" s="10" t="str">
        <f aca="false">IF($A5181="","",ROW()-2)</f>
        <v/>
      </c>
      <c r="M5181" s="10" t="str">
        <f aca="false">IF($A5181="","",ROW())</f>
        <v/>
      </c>
    </row>
    <row r="5182" customFormat="false" ht="15" hidden="false" customHeight="true" outlineLevel="0" collapsed="false">
      <c r="A5182" s="8"/>
      <c r="B5182" s="8"/>
      <c r="C5182" s="8"/>
      <c r="D5182" s="8"/>
      <c r="E5182" s="8"/>
      <c r="F5182" s="8"/>
      <c r="G5182" s="10" t="str">
        <f aca="false">IF($A5182="","",UPPER(SUBSTITUTE(SUBSTITUTE(SUBSTITUTE(SUBSTITUTE($A5182," ",""),"(주)",""),"주식회사",""),"㈜","")))</f>
        <v/>
      </c>
      <c r="H5182" s="10" t="str">
        <f aca="false">IF($B5182="","",SUBSTITUTE(SUBSTITUTE(SUBSTITUTE($B5182,"-","")," ",""),".",""))</f>
        <v/>
      </c>
      <c r="I5182" s="10" t="str">
        <f aca="false">IF($D5182="","",SUBSTITUTE(SUBSTITUTE(SUBSTITUTE($D5182,"-","")," ",""),".",""))</f>
        <v/>
      </c>
      <c r="J5182" s="10" t="str">
        <f aca="false">IF($E5182="","",UPPER(SUBSTITUTE($E5182," ","")))</f>
        <v/>
      </c>
      <c r="K5182" s="10" t="str">
        <f aca="false">IF($A5182="","",$G5182&amp;"|"&amp;$J5182)</f>
        <v/>
      </c>
      <c r="L5182" s="10" t="str">
        <f aca="false">IF($A5182="","",ROW()-2)</f>
        <v/>
      </c>
      <c r="M5182" s="10" t="str">
        <f aca="false">IF($A5182="","",ROW())</f>
        <v/>
      </c>
    </row>
    <row r="5183" customFormat="false" ht="15" hidden="false" customHeight="true" outlineLevel="0" collapsed="false">
      <c r="A5183" s="8"/>
      <c r="B5183" s="8"/>
      <c r="C5183" s="8"/>
      <c r="D5183" s="8"/>
      <c r="E5183" s="8"/>
      <c r="F5183" s="8"/>
      <c r="G5183" s="10" t="str">
        <f aca="false">IF($A5183="","",UPPER(SUBSTITUTE(SUBSTITUTE(SUBSTITUTE(SUBSTITUTE($A5183," ",""),"(주)",""),"주식회사",""),"㈜","")))</f>
        <v/>
      </c>
      <c r="H5183" s="10" t="str">
        <f aca="false">IF($B5183="","",SUBSTITUTE(SUBSTITUTE(SUBSTITUTE($B5183,"-","")," ",""),".",""))</f>
        <v/>
      </c>
      <c r="I5183" s="10" t="str">
        <f aca="false">IF($D5183="","",SUBSTITUTE(SUBSTITUTE(SUBSTITUTE($D5183,"-","")," ",""),".",""))</f>
        <v/>
      </c>
      <c r="J5183" s="10" t="str">
        <f aca="false">IF($E5183="","",UPPER(SUBSTITUTE($E5183," ","")))</f>
        <v/>
      </c>
      <c r="K5183" s="10" t="str">
        <f aca="false">IF($A5183="","",$G5183&amp;"|"&amp;$J5183)</f>
        <v/>
      </c>
      <c r="L5183" s="10" t="str">
        <f aca="false">IF($A5183="","",ROW()-2)</f>
        <v/>
      </c>
      <c r="M5183" s="10" t="str">
        <f aca="false">IF($A5183="","",ROW())</f>
        <v/>
      </c>
    </row>
    <row r="5184" customFormat="false" ht="15" hidden="false" customHeight="true" outlineLevel="0" collapsed="false">
      <c r="A5184" s="8"/>
      <c r="B5184" s="8"/>
      <c r="C5184" s="8"/>
      <c r="D5184" s="8"/>
      <c r="E5184" s="8"/>
      <c r="F5184" s="8"/>
      <c r="G5184" s="10" t="str">
        <f aca="false">IF($A5184="","",UPPER(SUBSTITUTE(SUBSTITUTE(SUBSTITUTE(SUBSTITUTE($A5184," ",""),"(주)",""),"주식회사",""),"㈜","")))</f>
        <v/>
      </c>
      <c r="H5184" s="10" t="str">
        <f aca="false">IF($B5184="","",SUBSTITUTE(SUBSTITUTE(SUBSTITUTE($B5184,"-","")," ",""),".",""))</f>
        <v/>
      </c>
      <c r="I5184" s="10" t="str">
        <f aca="false">IF($D5184="","",SUBSTITUTE(SUBSTITUTE(SUBSTITUTE($D5184,"-","")," ",""),".",""))</f>
        <v/>
      </c>
      <c r="J5184" s="10" t="str">
        <f aca="false">IF($E5184="","",UPPER(SUBSTITUTE($E5184," ","")))</f>
        <v/>
      </c>
      <c r="K5184" s="10" t="str">
        <f aca="false">IF($A5184="","",$G5184&amp;"|"&amp;$J5184)</f>
        <v/>
      </c>
      <c r="L5184" s="10" t="str">
        <f aca="false">IF($A5184="","",ROW()-2)</f>
        <v/>
      </c>
      <c r="M5184" s="10" t="str">
        <f aca="false">IF($A5184="","",ROW())</f>
        <v/>
      </c>
    </row>
    <row r="5185" customFormat="false" ht="15" hidden="false" customHeight="true" outlineLevel="0" collapsed="false">
      <c r="A5185" s="8"/>
      <c r="B5185" s="8"/>
      <c r="C5185" s="8"/>
      <c r="D5185" s="8"/>
      <c r="E5185" s="8"/>
      <c r="F5185" s="8"/>
      <c r="G5185" s="10" t="str">
        <f aca="false">IF($A5185="","",UPPER(SUBSTITUTE(SUBSTITUTE(SUBSTITUTE(SUBSTITUTE($A5185," ",""),"(주)",""),"주식회사",""),"㈜","")))</f>
        <v/>
      </c>
      <c r="H5185" s="10" t="str">
        <f aca="false">IF($B5185="","",SUBSTITUTE(SUBSTITUTE(SUBSTITUTE($B5185,"-","")," ",""),".",""))</f>
        <v/>
      </c>
      <c r="I5185" s="10" t="str">
        <f aca="false">IF($D5185="","",SUBSTITUTE(SUBSTITUTE(SUBSTITUTE($D5185,"-","")," ",""),".",""))</f>
        <v/>
      </c>
      <c r="J5185" s="10" t="str">
        <f aca="false">IF($E5185="","",UPPER(SUBSTITUTE($E5185," ","")))</f>
        <v/>
      </c>
      <c r="K5185" s="10" t="str">
        <f aca="false">IF($A5185="","",$G5185&amp;"|"&amp;$J5185)</f>
        <v/>
      </c>
      <c r="L5185" s="10" t="str">
        <f aca="false">IF($A5185="","",ROW()-2)</f>
        <v/>
      </c>
      <c r="M5185" s="10" t="str">
        <f aca="false">IF($A5185="","",ROW())</f>
        <v/>
      </c>
    </row>
    <row r="5186" customFormat="false" ht="15" hidden="false" customHeight="true" outlineLevel="0" collapsed="false">
      <c r="A5186" s="8"/>
      <c r="B5186" s="8"/>
      <c r="C5186" s="8"/>
      <c r="D5186" s="8"/>
      <c r="E5186" s="8"/>
      <c r="F5186" s="8"/>
      <c r="G5186" s="10" t="str">
        <f aca="false">IF($A5186="","",UPPER(SUBSTITUTE(SUBSTITUTE(SUBSTITUTE(SUBSTITUTE($A5186," ",""),"(주)",""),"주식회사",""),"㈜","")))</f>
        <v/>
      </c>
      <c r="H5186" s="10" t="str">
        <f aca="false">IF($B5186="","",SUBSTITUTE(SUBSTITUTE(SUBSTITUTE($B5186,"-","")," ",""),".",""))</f>
        <v/>
      </c>
      <c r="I5186" s="10" t="str">
        <f aca="false">IF($D5186="","",SUBSTITUTE(SUBSTITUTE(SUBSTITUTE($D5186,"-","")," ",""),".",""))</f>
        <v/>
      </c>
      <c r="J5186" s="10" t="str">
        <f aca="false">IF($E5186="","",UPPER(SUBSTITUTE($E5186," ","")))</f>
        <v/>
      </c>
      <c r="K5186" s="10" t="str">
        <f aca="false">IF($A5186="","",$G5186&amp;"|"&amp;$J5186)</f>
        <v/>
      </c>
      <c r="L5186" s="10" t="str">
        <f aca="false">IF($A5186="","",ROW()-2)</f>
        <v/>
      </c>
      <c r="M5186" s="10" t="str">
        <f aca="false">IF($A5186="","",ROW())</f>
        <v/>
      </c>
    </row>
    <row r="5187" customFormat="false" ht="15" hidden="false" customHeight="true" outlineLevel="0" collapsed="false">
      <c r="A5187" s="8"/>
      <c r="B5187" s="8"/>
      <c r="C5187" s="8"/>
      <c r="D5187" s="8"/>
      <c r="E5187" s="8"/>
      <c r="F5187" s="8"/>
      <c r="G5187" s="10" t="str">
        <f aca="false">IF($A5187="","",UPPER(SUBSTITUTE(SUBSTITUTE(SUBSTITUTE(SUBSTITUTE($A5187," ",""),"(주)",""),"주식회사",""),"㈜","")))</f>
        <v/>
      </c>
      <c r="H5187" s="10" t="str">
        <f aca="false">IF($B5187="","",SUBSTITUTE(SUBSTITUTE(SUBSTITUTE($B5187,"-","")," ",""),".",""))</f>
        <v/>
      </c>
      <c r="I5187" s="10" t="str">
        <f aca="false">IF($D5187="","",SUBSTITUTE(SUBSTITUTE(SUBSTITUTE($D5187,"-","")," ",""),".",""))</f>
        <v/>
      </c>
      <c r="J5187" s="10" t="str">
        <f aca="false">IF($E5187="","",UPPER(SUBSTITUTE($E5187," ","")))</f>
        <v/>
      </c>
      <c r="K5187" s="10" t="str">
        <f aca="false">IF($A5187="","",$G5187&amp;"|"&amp;$J5187)</f>
        <v/>
      </c>
      <c r="L5187" s="10" t="str">
        <f aca="false">IF($A5187="","",ROW()-2)</f>
        <v/>
      </c>
      <c r="M5187" s="10" t="str">
        <f aca="false">IF($A5187="","",ROW())</f>
        <v/>
      </c>
    </row>
    <row r="5188" customFormat="false" ht="15" hidden="false" customHeight="true" outlineLevel="0" collapsed="false">
      <c r="A5188" s="8"/>
      <c r="B5188" s="8"/>
      <c r="C5188" s="8"/>
      <c r="D5188" s="8"/>
      <c r="E5188" s="8"/>
      <c r="F5188" s="8"/>
      <c r="G5188" s="10" t="str">
        <f aca="false">IF($A5188="","",UPPER(SUBSTITUTE(SUBSTITUTE(SUBSTITUTE(SUBSTITUTE($A5188," ",""),"(주)",""),"주식회사",""),"㈜","")))</f>
        <v/>
      </c>
      <c r="H5188" s="10" t="str">
        <f aca="false">IF($B5188="","",SUBSTITUTE(SUBSTITUTE(SUBSTITUTE($B5188,"-","")," ",""),".",""))</f>
        <v/>
      </c>
      <c r="I5188" s="10" t="str">
        <f aca="false">IF($D5188="","",SUBSTITUTE(SUBSTITUTE(SUBSTITUTE($D5188,"-","")," ",""),".",""))</f>
        <v/>
      </c>
      <c r="J5188" s="10" t="str">
        <f aca="false">IF($E5188="","",UPPER(SUBSTITUTE($E5188," ","")))</f>
        <v/>
      </c>
      <c r="K5188" s="10" t="str">
        <f aca="false">IF($A5188="","",$G5188&amp;"|"&amp;$J5188)</f>
        <v/>
      </c>
      <c r="L5188" s="10" t="str">
        <f aca="false">IF($A5188="","",ROW()-2)</f>
        <v/>
      </c>
      <c r="M5188" s="10" t="str">
        <f aca="false">IF($A5188="","",ROW())</f>
        <v/>
      </c>
    </row>
    <row r="5189" customFormat="false" ht="15" hidden="false" customHeight="true" outlineLevel="0" collapsed="false">
      <c r="A5189" s="8"/>
      <c r="B5189" s="8"/>
      <c r="C5189" s="8"/>
      <c r="D5189" s="8"/>
      <c r="E5189" s="8"/>
      <c r="F5189" s="8"/>
      <c r="G5189" s="10" t="str">
        <f aca="false">IF($A5189="","",UPPER(SUBSTITUTE(SUBSTITUTE(SUBSTITUTE(SUBSTITUTE($A5189," ",""),"(주)",""),"주식회사",""),"㈜","")))</f>
        <v/>
      </c>
      <c r="H5189" s="10" t="str">
        <f aca="false">IF($B5189="","",SUBSTITUTE(SUBSTITUTE(SUBSTITUTE($B5189,"-","")," ",""),".",""))</f>
        <v/>
      </c>
      <c r="I5189" s="10" t="str">
        <f aca="false">IF($D5189="","",SUBSTITUTE(SUBSTITUTE(SUBSTITUTE($D5189,"-","")," ",""),".",""))</f>
        <v/>
      </c>
      <c r="J5189" s="10" t="str">
        <f aca="false">IF($E5189="","",UPPER(SUBSTITUTE($E5189," ","")))</f>
        <v/>
      </c>
      <c r="K5189" s="10" t="str">
        <f aca="false">IF($A5189="","",$G5189&amp;"|"&amp;$J5189)</f>
        <v/>
      </c>
      <c r="L5189" s="10" t="str">
        <f aca="false">IF($A5189="","",ROW()-2)</f>
        <v/>
      </c>
      <c r="M5189" s="10" t="str">
        <f aca="false">IF($A5189="","",ROW())</f>
        <v/>
      </c>
    </row>
    <row r="5190" customFormat="false" ht="15" hidden="false" customHeight="true" outlineLevel="0" collapsed="false">
      <c r="A5190" s="8"/>
      <c r="B5190" s="8"/>
      <c r="C5190" s="8"/>
      <c r="D5190" s="8"/>
      <c r="E5190" s="8"/>
      <c r="F5190" s="8"/>
      <c r="G5190" s="10" t="str">
        <f aca="false">IF($A5190="","",UPPER(SUBSTITUTE(SUBSTITUTE(SUBSTITUTE(SUBSTITUTE($A5190," ",""),"(주)",""),"주식회사",""),"㈜","")))</f>
        <v/>
      </c>
      <c r="H5190" s="10" t="str">
        <f aca="false">IF($B5190="","",SUBSTITUTE(SUBSTITUTE(SUBSTITUTE($B5190,"-","")," ",""),".",""))</f>
        <v/>
      </c>
      <c r="I5190" s="10" t="str">
        <f aca="false">IF($D5190="","",SUBSTITUTE(SUBSTITUTE(SUBSTITUTE($D5190,"-","")," ",""),".",""))</f>
        <v/>
      </c>
      <c r="J5190" s="10" t="str">
        <f aca="false">IF($E5190="","",UPPER(SUBSTITUTE($E5190," ","")))</f>
        <v/>
      </c>
      <c r="K5190" s="10" t="str">
        <f aca="false">IF($A5190="","",$G5190&amp;"|"&amp;$J5190)</f>
        <v/>
      </c>
      <c r="L5190" s="10" t="str">
        <f aca="false">IF($A5190="","",ROW()-2)</f>
        <v/>
      </c>
      <c r="M5190" s="10" t="str">
        <f aca="false">IF($A5190="","",ROW())</f>
        <v/>
      </c>
    </row>
    <row r="5191" customFormat="false" ht="15" hidden="false" customHeight="true" outlineLevel="0" collapsed="false">
      <c r="A5191" s="8"/>
      <c r="B5191" s="8"/>
      <c r="C5191" s="8"/>
      <c r="D5191" s="8"/>
      <c r="E5191" s="8"/>
      <c r="F5191" s="8"/>
      <c r="G5191" s="10" t="str">
        <f aca="false">IF($A5191="","",UPPER(SUBSTITUTE(SUBSTITUTE(SUBSTITUTE(SUBSTITUTE($A5191," ",""),"(주)",""),"주식회사",""),"㈜","")))</f>
        <v/>
      </c>
      <c r="H5191" s="10" t="str">
        <f aca="false">IF($B5191="","",SUBSTITUTE(SUBSTITUTE(SUBSTITUTE($B5191,"-","")," ",""),".",""))</f>
        <v/>
      </c>
      <c r="I5191" s="10" t="str">
        <f aca="false">IF($D5191="","",SUBSTITUTE(SUBSTITUTE(SUBSTITUTE($D5191,"-","")," ",""),".",""))</f>
        <v/>
      </c>
      <c r="J5191" s="10" t="str">
        <f aca="false">IF($E5191="","",UPPER(SUBSTITUTE($E5191," ","")))</f>
        <v/>
      </c>
      <c r="K5191" s="10" t="str">
        <f aca="false">IF($A5191="","",$G5191&amp;"|"&amp;$J5191)</f>
        <v/>
      </c>
      <c r="L5191" s="10" t="str">
        <f aca="false">IF($A5191="","",ROW()-2)</f>
        <v/>
      </c>
      <c r="M5191" s="10" t="str">
        <f aca="false">IF($A5191="","",ROW())</f>
        <v/>
      </c>
    </row>
    <row r="5192" customFormat="false" ht="15" hidden="false" customHeight="true" outlineLevel="0" collapsed="false">
      <c r="A5192" s="8"/>
      <c r="B5192" s="8"/>
      <c r="C5192" s="8"/>
      <c r="D5192" s="8"/>
      <c r="E5192" s="8"/>
      <c r="F5192" s="8"/>
      <c r="G5192" s="10" t="str">
        <f aca="false">IF($A5192="","",UPPER(SUBSTITUTE(SUBSTITUTE(SUBSTITUTE(SUBSTITUTE($A5192," ",""),"(주)",""),"주식회사",""),"㈜","")))</f>
        <v/>
      </c>
      <c r="H5192" s="10" t="str">
        <f aca="false">IF($B5192="","",SUBSTITUTE(SUBSTITUTE(SUBSTITUTE($B5192,"-","")," ",""),".",""))</f>
        <v/>
      </c>
      <c r="I5192" s="10" t="str">
        <f aca="false">IF($D5192="","",SUBSTITUTE(SUBSTITUTE(SUBSTITUTE($D5192,"-","")," ",""),".",""))</f>
        <v/>
      </c>
      <c r="J5192" s="10" t="str">
        <f aca="false">IF($E5192="","",UPPER(SUBSTITUTE($E5192," ","")))</f>
        <v/>
      </c>
      <c r="K5192" s="10" t="str">
        <f aca="false">IF($A5192="","",$G5192&amp;"|"&amp;$J5192)</f>
        <v/>
      </c>
      <c r="L5192" s="10" t="str">
        <f aca="false">IF($A5192="","",ROW()-2)</f>
        <v/>
      </c>
      <c r="M5192" s="10" t="str">
        <f aca="false">IF($A5192="","",ROW())</f>
        <v/>
      </c>
    </row>
    <row r="5193" customFormat="false" ht="15" hidden="false" customHeight="true" outlineLevel="0" collapsed="false">
      <c r="A5193" s="8"/>
      <c r="B5193" s="8"/>
      <c r="C5193" s="8"/>
      <c r="D5193" s="8"/>
      <c r="E5193" s="8"/>
      <c r="F5193" s="8"/>
      <c r="G5193" s="10" t="str">
        <f aca="false">IF($A5193="","",UPPER(SUBSTITUTE(SUBSTITUTE(SUBSTITUTE(SUBSTITUTE($A5193," ",""),"(주)",""),"주식회사",""),"㈜","")))</f>
        <v/>
      </c>
      <c r="H5193" s="10" t="str">
        <f aca="false">IF($B5193="","",SUBSTITUTE(SUBSTITUTE(SUBSTITUTE($B5193,"-","")," ",""),".",""))</f>
        <v/>
      </c>
      <c r="I5193" s="10" t="str">
        <f aca="false">IF($D5193="","",SUBSTITUTE(SUBSTITUTE(SUBSTITUTE($D5193,"-","")," ",""),".",""))</f>
        <v/>
      </c>
      <c r="J5193" s="10" t="str">
        <f aca="false">IF($E5193="","",UPPER(SUBSTITUTE($E5193," ","")))</f>
        <v/>
      </c>
      <c r="K5193" s="10" t="str">
        <f aca="false">IF($A5193="","",$G5193&amp;"|"&amp;$J5193)</f>
        <v/>
      </c>
      <c r="L5193" s="10" t="str">
        <f aca="false">IF($A5193="","",ROW()-2)</f>
        <v/>
      </c>
      <c r="M5193" s="10" t="str">
        <f aca="false">IF($A5193="","",ROW())</f>
        <v/>
      </c>
    </row>
    <row r="5194" customFormat="false" ht="15" hidden="false" customHeight="true" outlineLevel="0" collapsed="false">
      <c r="A5194" s="8"/>
      <c r="B5194" s="8"/>
      <c r="C5194" s="8"/>
      <c r="D5194" s="8"/>
      <c r="E5194" s="8"/>
      <c r="F5194" s="8"/>
      <c r="G5194" s="10" t="str">
        <f aca="false">IF($A5194="","",UPPER(SUBSTITUTE(SUBSTITUTE(SUBSTITUTE(SUBSTITUTE($A5194," ",""),"(주)",""),"주식회사",""),"㈜","")))</f>
        <v/>
      </c>
      <c r="H5194" s="10" t="str">
        <f aca="false">IF($B5194="","",SUBSTITUTE(SUBSTITUTE(SUBSTITUTE($B5194,"-","")," ",""),".",""))</f>
        <v/>
      </c>
      <c r="I5194" s="10" t="str">
        <f aca="false">IF($D5194="","",SUBSTITUTE(SUBSTITUTE(SUBSTITUTE($D5194,"-","")," ",""),".",""))</f>
        <v/>
      </c>
      <c r="J5194" s="10" t="str">
        <f aca="false">IF($E5194="","",UPPER(SUBSTITUTE($E5194," ","")))</f>
        <v/>
      </c>
      <c r="K5194" s="10" t="str">
        <f aca="false">IF($A5194="","",$G5194&amp;"|"&amp;$J5194)</f>
        <v/>
      </c>
      <c r="L5194" s="10" t="str">
        <f aca="false">IF($A5194="","",ROW()-2)</f>
        <v/>
      </c>
      <c r="M5194" s="10" t="str">
        <f aca="false">IF($A5194="","",ROW())</f>
        <v/>
      </c>
    </row>
    <row r="5195" customFormat="false" ht="15" hidden="false" customHeight="true" outlineLevel="0" collapsed="false">
      <c r="A5195" s="8"/>
      <c r="B5195" s="8"/>
      <c r="C5195" s="8"/>
      <c r="D5195" s="8"/>
      <c r="E5195" s="8"/>
      <c r="F5195" s="8"/>
      <c r="G5195" s="10" t="str">
        <f aca="false">IF($A5195="","",UPPER(SUBSTITUTE(SUBSTITUTE(SUBSTITUTE(SUBSTITUTE($A5195," ",""),"(주)",""),"주식회사",""),"㈜","")))</f>
        <v/>
      </c>
      <c r="H5195" s="10" t="str">
        <f aca="false">IF($B5195="","",SUBSTITUTE(SUBSTITUTE(SUBSTITUTE($B5195,"-","")," ",""),".",""))</f>
        <v/>
      </c>
      <c r="I5195" s="10" t="str">
        <f aca="false">IF($D5195="","",SUBSTITUTE(SUBSTITUTE(SUBSTITUTE($D5195,"-","")," ",""),".",""))</f>
        <v/>
      </c>
      <c r="J5195" s="10" t="str">
        <f aca="false">IF($E5195="","",UPPER(SUBSTITUTE($E5195," ","")))</f>
        <v/>
      </c>
      <c r="K5195" s="10" t="str">
        <f aca="false">IF($A5195="","",$G5195&amp;"|"&amp;$J5195)</f>
        <v/>
      </c>
      <c r="L5195" s="10" t="str">
        <f aca="false">IF($A5195="","",ROW()-2)</f>
        <v/>
      </c>
      <c r="M5195" s="10" t="str">
        <f aca="false">IF($A5195="","",ROW())</f>
        <v/>
      </c>
    </row>
    <row r="5196" customFormat="false" ht="15" hidden="false" customHeight="true" outlineLevel="0" collapsed="false">
      <c r="A5196" s="8"/>
      <c r="B5196" s="8"/>
      <c r="C5196" s="8"/>
      <c r="D5196" s="8"/>
      <c r="E5196" s="8"/>
      <c r="F5196" s="8"/>
      <c r="G5196" s="10" t="str">
        <f aca="false">IF($A5196="","",UPPER(SUBSTITUTE(SUBSTITUTE(SUBSTITUTE(SUBSTITUTE($A5196," ",""),"(주)",""),"주식회사",""),"㈜","")))</f>
        <v/>
      </c>
      <c r="H5196" s="10" t="str">
        <f aca="false">IF($B5196="","",SUBSTITUTE(SUBSTITUTE(SUBSTITUTE($B5196,"-","")," ",""),".",""))</f>
        <v/>
      </c>
      <c r="I5196" s="10" t="str">
        <f aca="false">IF($D5196="","",SUBSTITUTE(SUBSTITUTE(SUBSTITUTE($D5196,"-","")," ",""),".",""))</f>
        <v/>
      </c>
      <c r="J5196" s="10" t="str">
        <f aca="false">IF($E5196="","",UPPER(SUBSTITUTE($E5196," ","")))</f>
        <v/>
      </c>
      <c r="K5196" s="10" t="str">
        <f aca="false">IF($A5196="","",$G5196&amp;"|"&amp;$J5196)</f>
        <v/>
      </c>
      <c r="L5196" s="10" t="str">
        <f aca="false">IF($A5196="","",ROW()-2)</f>
        <v/>
      </c>
      <c r="M5196" s="10" t="str">
        <f aca="false">IF($A5196="","",ROW())</f>
        <v/>
      </c>
    </row>
    <row r="5197" customFormat="false" ht="15" hidden="false" customHeight="true" outlineLevel="0" collapsed="false">
      <c r="A5197" s="8"/>
      <c r="B5197" s="8"/>
      <c r="C5197" s="8"/>
      <c r="D5197" s="8"/>
      <c r="E5197" s="8"/>
      <c r="F5197" s="8"/>
      <c r="G5197" s="10" t="str">
        <f aca="false">IF($A5197="","",UPPER(SUBSTITUTE(SUBSTITUTE(SUBSTITUTE(SUBSTITUTE($A5197," ",""),"(주)",""),"주식회사",""),"㈜","")))</f>
        <v/>
      </c>
      <c r="H5197" s="10" t="str">
        <f aca="false">IF($B5197="","",SUBSTITUTE(SUBSTITUTE(SUBSTITUTE($B5197,"-","")," ",""),".",""))</f>
        <v/>
      </c>
      <c r="I5197" s="10" t="str">
        <f aca="false">IF($D5197="","",SUBSTITUTE(SUBSTITUTE(SUBSTITUTE($D5197,"-","")," ",""),".",""))</f>
        <v/>
      </c>
      <c r="J5197" s="10" t="str">
        <f aca="false">IF($E5197="","",UPPER(SUBSTITUTE($E5197," ","")))</f>
        <v/>
      </c>
      <c r="K5197" s="10" t="str">
        <f aca="false">IF($A5197="","",$G5197&amp;"|"&amp;$J5197)</f>
        <v/>
      </c>
      <c r="L5197" s="10" t="str">
        <f aca="false">IF($A5197="","",ROW()-2)</f>
        <v/>
      </c>
      <c r="M5197" s="10" t="str">
        <f aca="false">IF($A5197="","",ROW())</f>
        <v/>
      </c>
    </row>
    <row r="5198" customFormat="false" ht="15" hidden="false" customHeight="true" outlineLevel="0" collapsed="false">
      <c r="A5198" s="8"/>
      <c r="B5198" s="8"/>
      <c r="C5198" s="8"/>
      <c r="D5198" s="8"/>
      <c r="E5198" s="8"/>
      <c r="F5198" s="8"/>
      <c r="G5198" s="10" t="str">
        <f aca="false">IF($A5198="","",UPPER(SUBSTITUTE(SUBSTITUTE(SUBSTITUTE(SUBSTITUTE($A5198," ",""),"(주)",""),"주식회사",""),"㈜","")))</f>
        <v/>
      </c>
      <c r="H5198" s="10" t="str">
        <f aca="false">IF($B5198="","",SUBSTITUTE(SUBSTITUTE(SUBSTITUTE($B5198,"-","")," ",""),".",""))</f>
        <v/>
      </c>
      <c r="I5198" s="10" t="str">
        <f aca="false">IF($D5198="","",SUBSTITUTE(SUBSTITUTE(SUBSTITUTE($D5198,"-","")," ",""),".",""))</f>
        <v/>
      </c>
      <c r="J5198" s="10" t="str">
        <f aca="false">IF($E5198="","",UPPER(SUBSTITUTE($E5198," ","")))</f>
        <v/>
      </c>
      <c r="K5198" s="10" t="str">
        <f aca="false">IF($A5198="","",$G5198&amp;"|"&amp;$J5198)</f>
        <v/>
      </c>
      <c r="L5198" s="10" t="str">
        <f aca="false">IF($A5198="","",ROW()-2)</f>
        <v/>
      </c>
      <c r="M5198" s="10" t="str">
        <f aca="false">IF($A5198="","",ROW())</f>
        <v/>
      </c>
    </row>
    <row r="5199" customFormat="false" ht="15" hidden="false" customHeight="true" outlineLevel="0" collapsed="false">
      <c r="A5199" s="8"/>
      <c r="B5199" s="8"/>
      <c r="C5199" s="8"/>
      <c r="D5199" s="8"/>
      <c r="E5199" s="8"/>
      <c r="F5199" s="8"/>
      <c r="G5199" s="10" t="str">
        <f aca="false">IF($A5199="","",UPPER(SUBSTITUTE(SUBSTITUTE(SUBSTITUTE(SUBSTITUTE($A5199," ",""),"(주)",""),"주식회사",""),"㈜","")))</f>
        <v/>
      </c>
      <c r="H5199" s="10" t="str">
        <f aca="false">IF($B5199="","",SUBSTITUTE(SUBSTITUTE(SUBSTITUTE($B5199,"-","")," ",""),".",""))</f>
        <v/>
      </c>
      <c r="I5199" s="10" t="str">
        <f aca="false">IF($D5199="","",SUBSTITUTE(SUBSTITUTE(SUBSTITUTE($D5199,"-","")," ",""),".",""))</f>
        <v/>
      </c>
      <c r="J5199" s="10" t="str">
        <f aca="false">IF($E5199="","",UPPER(SUBSTITUTE($E5199," ","")))</f>
        <v/>
      </c>
      <c r="K5199" s="10" t="str">
        <f aca="false">IF($A5199="","",$G5199&amp;"|"&amp;$J5199)</f>
        <v/>
      </c>
      <c r="L5199" s="10" t="str">
        <f aca="false">IF($A5199="","",ROW()-2)</f>
        <v/>
      </c>
      <c r="M5199" s="10" t="str">
        <f aca="false">IF($A5199="","",ROW())</f>
        <v/>
      </c>
    </row>
    <row r="5200" customFormat="false" ht="15" hidden="false" customHeight="true" outlineLevel="0" collapsed="false">
      <c r="A5200" s="8"/>
      <c r="B5200" s="8"/>
      <c r="C5200" s="8"/>
      <c r="D5200" s="8"/>
      <c r="E5200" s="8"/>
      <c r="F5200" s="8"/>
      <c r="G5200" s="10" t="str">
        <f aca="false">IF($A5200="","",UPPER(SUBSTITUTE(SUBSTITUTE(SUBSTITUTE(SUBSTITUTE($A5200," ",""),"(주)",""),"주식회사",""),"㈜","")))</f>
        <v/>
      </c>
      <c r="H5200" s="10" t="str">
        <f aca="false">IF($B5200="","",SUBSTITUTE(SUBSTITUTE(SUBSTITUTE($B5200,"-","")," ",""),".",""))</f>
        <v/>
      </c>
      <c r="I5200" s="10" t="str">
        <f aca="false">IF($D5200="","",SUBSTITUTE(SUBSTITUTE(SUBSTITUTE($D5200,"-","")," ",""),".",""))</f>
        <v/>
      </c>
      <c r="J5200" s="10" t="str">
        <f aca="false">IF($E5200="","",UPPER(SUBSTITUTE($E5200," ","")))</f>
        <v/>
      </c>
      <c r="K5200" s="10" t="str">
        <f aca="false">IF($A5200="","",$G5200&amp;"|"&amp;$J5200)</f>
        <v/>
      </c>
      <c r="L5200" s="10" t="str">
        <f aca="false">IF($A5200="","",ROW()-2)</f>
        <v/>
      </c>
      <c r="M5200" s="10" t="str">
        <f aca="false">IF($A5200="","",ROW())</f>
        <v/>
      </c>
    </row>
    <row r="5201" customFormat="false" ht="15" hidden="false" customHeight="true" outlineLevel="0" collapsed="false">
      <c r="A5201" s="8"/>
      <c r="B5201" s="8"/>
      <c r="C5201" s="8"/>
      <c r="D5201" s="8"/>
      <c r="E5201" s="8"/>
      <c r="F5201" s="8"/>
      <c r="G5201" s="10" t="str">
        <f aca="false">IF($A5201="","",UPPER(SUBSTITUTE(SUBSTITUTE(SUBSTITUTE(SUBSTITUTE($A5201," ",""),"(주)",""),"주식회사",""),"㈜","")))</f>
        <v/>
      </c>
      <c r="H5201" s="10" t="str">
        <f aca="false">IF($B5201="","",SUBSTITUTE(SUBSTITUTE(SUBSTITUTE($B5201,"-","")," ",""),".",""))</f>
        <v/>
      </c>
      <c r="I5201" s="10" t="str">
        <f aca="false">IF($D5201="","",SUBSTITUTE(SUBSTITUTE(SUBSTITUTE($D5201,"-","")," ",""),".",""))</f>
        <v/>
      </c>
      <c r="J5201" s="10" t="str">
        <f aca="false">IF($E5201="","",UPPER(SUBSTITUTE($E5201," ","")))</f>
        <v/>
      </c>
      <c r="K5201" s="10" t="str">
        <f aca="false">IF($A5201="","",$G5201&amp;"|"&amp;$J5201)</f>
        <v/>
      </c>
      <c r="L5201" s="10" t="str">
        <f aca="false">IF($A5201="","",ROW()-2)</f>
        <v/>
      </c>
      <c r="M5201" s="10" t="str">
        <f aca="false">IF($A5201="","",ROW())</f>
        <v/>
      </c>
    </row>
    <row r="5202" customFormat="false" ht="15" hidden="false" customHeight="true" outlineLevel="0" collapsed="false">
      <c r="A5202" s="8"/>
      <c r="B5202" s="8"/>
      <c r="C5202" s="8"/>
      <c r="D5202" s="8"/>
      <c r="E5202" s="8"/>
      <c r="F5202" s="8"/>
      <c r="G5202" s="10" t="str">
        <f aca="false">IF($A5202="","",UPPER(SUBSTITUTE(SUBSTITUTE(SUBSTITUTE(SUBSTITUTE($A5202," ",""),"(주)",""),"주식회사",""),"㈜","")))</f>
        <v/>
      </c>
      <c r="H5202" s="10" t="str">
        <f aca="false">IF($B5202="","",SUBSTITUTE(SUBSTITUTE(SUBSTITUTE($B5202,"-","")," ",""),".",""))</f>
        <v/>
      </c>
      <c r="I5202" s="10" t="str">
        <f aca="false">IF($D5202="","",SUBSTITUTE(SUBSTITUTE(SUBSTITUTE($D5202,"-","")," ",""),".",""))</f>
        <v/>
      </c>
      <c r="J5202" s="10" t="str">
        <f aca="false">IF($E5202="","",UPPER(SUBSTITUTE($E5202," ","")))</f>
        <v/>
      </c>
      <c r="K5202" s="10" t="str">
        <f aca="false">IF($A5202="","",$G5202&amp;"|"&amp;$J5202)</f>
        <v/>
      </c>
      <c r="L5202" s="10" t="str">
        <f aca="false">IF($A5202="","",ROW()-2)</f>
        <v/>
      </c>
      <c r="M5202" s="10" t="str">
        <f aca="false">IF($A5202="","",ROW())</f>
        <v/>
      </c>
    </row>
    <row r="5203" customFormat="false" ht="15" hidden="false" customHeight="true" outlineLevel="0" collapsed="false">
      <c r="A5203" s="8"/>
      <c r="B5203" s="8"/>
      <c r="C5203" s="8"/>
      <c r="D5203" s="8"/>
      <c r="E5203" s="8"/>
      <c r="F5203" s="8"/>
      <c r="G5203" s="10" t="str">
        <f aca="false">IF($A5203="","",UPPER(SUBSTITUTE(SUBSTITUTE(SUBSTITUTE(SUBSTITUTE($A5203," ",""),"(주)",""),"주식회사",""),"㈜","")))</f>
        <v/>
      </c>
      <c r="H5203" s="10" t="str">
        <f aca="false">IF($B5203="","",SUBSTITUTE(SUBSTITUTE(SUBSTITUTE($B5203,"-","")," ",""),".",""))</f>
        <v/>
      </c>
      <c r="I5203" s="10" t="str">
        <f aca="false">IF($D5203="","",SUBSTITUTE(SUBSTITUTE(SUBSTITUTE($D5203,"-","")," ",""),".",""))</f>
        <v/>
      </c>
      <c r="J5203" s="10" t="str">
        <f aca="false">IF($E5203="","",UPPER(SUBSTITUTE($E5203," ","")))</f>
        <v/>
      </c>
      <c r="K5203" s="10" t="str">
        <f aca="false">IF($A5203="","",$G5203&amp;"|"&amp;$J5203)</f>
        <v/>
      </c>
      <c r="L5203" s="10" t="str">
        <f aca="false">IF($A5203="","",ROW()-2)</f>
        <v/>
      </c>
      <c r="M5203" s="10" t="str">
        <f aca="false">IF($A5203="","",ROW())</f>
        <v/>
      </c>
    </row>
    <row r="5204" customFormat="false" ht="15" hidden="false" customHeight="true" outlineLevel="0" collapsed="false">
      <c r="A5204" s="8"/>
      <c r="B5204" s="8"/>
      <c r="C5204" s="8"/>
      <c r="D5204" s="8"/>
      <c r="E5204" s="8"/>
      <c r="F5204" s="8"/>
      <c r="G5204" s="10" t="str">
        <f aca="false">IF($A5204="","",UPPER(SUBSTITUTE(SUBSTITUTE(SUBSTITUTE(SUBSTITUTE($A5204," ",""),"(주)",""),"주식회사",""),"㈜","")))</f>
        <v/>
      </c>
      <c r="H5204" s="10" t="str">
        <f aca="false">IF($B5204="","",SUBSTITUTE(SUBSTITUTE(SUBSTITUTE($B5204,"-","")," ",""),".",""))</f>
        <v/>
      </c>
      <c r="I5204" s="10" t="str">
        <f aca="false">IF($D5204="","",SUBSTITUTE(SUBSTITUTE(SUBSTITUTE($D5204,"-","")," ",""),".",""))</f>
        <v/>
      </c>
      <c r="J5204" s="10" t="str">
        <f aca="false">IF($E5204="","",UPPER(SUBSTITUTE($E5204," ","")))</f>
        <v/>
      </c>
      <c r="K5204" s="10" t="str">
        <f aca="false">IF($A5204="","",$G5204&amp;"|"&amp;$J5204)</f>
        <v/>
      </c>
      <c r="L5204" s="10" t="str">
        <f aca="false">IF($A5204="","",ROW()-2)</f>
        <v/>
      </c>
      <c r="M5204" s="10" t="str">
        <f aca="false">IF($A5204="","",ROW())</f>
        <v/>
      </c>
    </row>
    <row r="5205" customFormat="false" ht="15" hidden="false" customHeight="true" outlineLevel="0" collapsed="false">
      <c r="A5205" s="8"/>
      <c r="B5205" s="8"/>
      <c r="C5205" s="8"/>
      <c r="D5205" s="8"/>
      <c r="E5205" s="8"/>
      <c r="F5205" s="8"/>
      <c r="G5205" s="10" t="str">
        <f aca="false">IF($A5205="","",UPPER(SUBSTITUTE(SUBSTITUTE(SUBSTITUTE(SUBSTITUTE($A5205," ",""),"(주)",""),"주식회사",""),"㈜","")))</f>
        <v/>
      </c>
      <c r="H5205" s="10" t="str">
        <f aca="false">IF($B5205="","",SUBSTITUTE(SUBSTITUTE(SUBSTITUTE($B5205,"-","")," ",""),".",""))</f>
        <v/>
      </c>
      <c r="I5205" s="10" t="str">
        <f aca="false">IF($D5205="","",SUBSTITUTE(SUBSTITUTE(SUBSTITUTE($D5205,"-","")," ",""),".",""))</f>
        <v/>
      </c>
      <c r="J5205" s="10" t="str">
        <f aca="false">IF($E5205="","",UPPER(SUBSTITUTE($E5205," ","")))</f>
        <v/>
      </c>
      <c r="K5205" s="10" t="str">
        <f aca="false">IF($A5205="","",$G5205&amp;"|"&amp;$J5205)</f>
        <v/>
      </c>
      <c r="L5205" s="10" t="str">
        <f aca="false">IF($A5205="","",ROW()-2)</f>
        <v/>
      </c>
      <c r="M5205" s="10" t="str">
        <f aca="false">IF($A5205="","",ROW())</f>
        <v/>
      </c>
    </row>
    <row r="5206" customFormat="false" ht="15" hidden="false" customHeight="true" outlineLevel="0" collapsed="false">
      <c r="A5206" s="8"/>
      <c r="B5206" s="8"/>
      <c r="C5206" s="8"/>
      <c r="D5206" s="8"/>
      <c r="E5206" s="8"/>
      <c r="F5206" s="8"/>
      <c r="G5206" s="10" t="str">
        <f aca="false">IF($A5206="","",UPPER(SUBSTITUTE(SUBSTITUTE(SUBSTITUTE(SUBSTITUTE($A5206," ",""),"(주)",""),"주식회사",""),"㈜","")))</f>
        <v/>
      </c>
      <c r="H5206" s="10" t="str">
        <f aca="false">IF($B5206="","",SUBSTITUTE(SUBSTITUTE(SUBSTITUTE($B5206,"-","")," ",""),".",""))</f>
        <v/>
      </c>
      <c r="I5206" s="10" t="str">
        <f aca="false">IF($D5206="","",SUBSTITUTE(SUBSTITUTE(SUBSTITUTE($D5206,"-","")," ",""),".",""))</f>
        <v/>
      </c>
      <c r="J5206" s="10" t="str">
        <f aca="false">IF($E5206="","",UPPER(SUBSTITUTE($E5206," ","")))</f>
        <v/>
      </c>
      <c r="K5206" s="10" t="str">
        <f aca="false">IF($A5206="","",$G5206&amp;"|"&amp;$J5206)</f>
        <v/>
      </c>
      <c r="L5206" s="10" t="str">
        <f aca="false">IF($A5206="","",ROW()-2)</f>
        <v/>
      </c>
      <c r="M5206" s="10" t="str">
        <f aca="false">IF($A5206="","",ROW())</f>
        <v/>
      </c>
    </row>
    <row r="5207" customFormat="false" ht="15" hidden="false" customHeight="true" outlineLevel="0" collapsed="false">
      <c r="A5207" s="8"/>
      <c r="B5207" s="8"/>
      <c r="C5207" s="8"/>
      <c r="D5207" s="8"/>
      <c r="E5207" s="8"/>
      <c r="F5207" s="8"/>
      <c r="G5207" s="10" t="str">
        <f aca="false">IF($A5207="","",UPPER(SUBSTITUTE(SUBSTITUTE(SUBSTITUTE(SUBSTITUTE($A5207," ",""),"(주)",""),"주식회사",""),"㈜","")))</f>
        <v/>
      </c>
      <c r="H5207" s="10" t="str">
        <f aca="false">IF($B5207="","",SUBSTITUTE(SUBSTITUTE(SUBSTITUTE($B5207,"-","")," ",""),".",""))</f>
        <v/>
      </c>
      <c r="I5207" s="10" t="str">
        <f aca="false">IF($D5207="","",SUBSTITUTE(SUBSTITUTE(SUBSTITUTE($D5207,"-","")," ",""),".",""))</f>
        <v/>
      </c>
      <c r="J5207" s="10" t="str">
        <f aca="false">IF($E5207="","",UPPER(SUBSTITUTE($E5207," ","")))</f>
        <v/>
      </c>
      <c r="K5207" s="10" t="str">
        <f aca="false">IF($A5207="","",$G5207&amp;"|"&amp;$J5207)</f>
        <v/>
      </c>
      <c r="L5207" s="10" t="str">
        <f aca="false">IF($A5207="","",ROW()-2)</f>
        <v/>
      </c>
      <c r="M5207" s="10" t="str">
        <f aca="false">IF($A5207="","",ROW())</f>
        <v/>
      </c>
    </row>
    <row r="5208" customFormat="false" ht="15" hidden="false" customHeight="true" outlineLevel="0" collapsed="false">
      <c r="A5208" s="8"/>
      <c r="B5208" s="8"/>
      <c r="C5208" s="8"/>
      <c r="D5208" s="8"/>
      <c r="E5208" s="8"/>
      <c r="F5208" s="8"/>
      <c r="G5208" s="10" t="str">
        <f aca="false">IF($A5208="","",UPPER(SUBSTITUTE(SUBSTITUTE(SUBSTITUTE(SUBSTITUTE($A5208," ",""),"(주)",""),"주식회사",""),"㈜","")))</f>
        <v/>
      </c>
      <c r="H5208" s="10" t="str">
        <f aca="false">IF($B5208="","",SUBSTITUTE(SUBSTITUTE(SUBSTITUTE($B5208,"-","")," ",""),".",""))</f>
        <v/>
      </c>
      <c r="I5208" s="10" t="str">
        <f aca="false">IF($D5208="","",SUBSTITUTE(SUBSTITUTE(SUBSTITUTE($D5208,"-","")," ",""),".",""))</f>
        <v/>
      </c>
      <c r="J5208" s="10" t="str">
        <f aca="false">IF($E5208="","",UPPER(SUBSTITUTE($E5208," ","")))</f>
        <v/>
      </c>
      <c r="K5208" s="10" t="str">
        <f aca="false">IF($A5208="","",$G5208&amp;"|"&amp;$J5208)</f>
        <v/>
      </c>
      <c r="L5208" s="10" t="str">
        <f aca="false">IF($A5208="","",ROW()-2)</f>
        <v/>
      </c>
      <c r="M5208" s="10" t="str">
        <f aca="false">IF($A5208="","",ROW())</f>
        <v/>
      </c>
    </row>
    <row r="5209" customFormat="false" ht="15" hidden="false" customHeight="true" outlineLevel="0" collapsed="false">
      <c r="A5209" s="8"/>
      <c r="B5209" s="8"/>
      <c r="C5209" s="8"/>
      <c r="D5209" s="8"/>
      <c r="E5209" s="8"/>
      <c r="F5209" s="8"/>
      <c r="G5209" s="10" t="str">
        <f aca="false">IF($A5209="","",UPPER(SUBSTITUTE(SUBSTITUTE(SUBSTITUTE(SUBSTITUTE($A5209," ",""),"(주)",""),"주식회사",""),"㈜","")))</f>
        <v/>
      </c>
      <c r="H5209" s="10" t="str">
        <f aca="false">IF($B5209="","",SUBSTITUTE(SUBSTITUTE(SUBSTITUTE($B5209,"-","")," ",""),".",""))</f>
        <v/>
      </c>
      <c r="I5209" s="10" t="str">
        <f aca="false">IF($D5209="","",SUBSTITUTE(SUBSTITUTE(SUBSTITUTE($D5209,"-","")," ",""),".",""))</f>
        <v/>
      </c>
      <c r="J5209" s="10" t="str">
        <f aca="false">IF($E5209="","",UPPER(SUBSTITUTE($E5209," ","")))</f>
        <v/>
      </c>
      <c r="K5209" s="10" t="str">
        <f aca="false">IF($A5209="","",$G5209&amp;"|"&amp;$J5209)</f>
        <v/>
      </c>
      <c r="L5209" s="10" t="str">
        <f aca="false">IF($A5209="","",ROW()-2)</f>
        <v/>
      </c>
      <c r="M5209" s="10" t="str">
        <f aca="false">IF($A5209="","",ROW())</f>
        <v/>
      </c>
    </row>
    <row r="5210" customFormat="false" ht="15" hidden="false" customHeight="true" outlineLevel="0" collapsed="false">
      <c r="A5210" s="8"/>
      <c r="B5210" s="8"/>
      <c r="C5210" s="8"/>
      <c r="D5210" s="8"/>
      <c r="E5210" s="8"/>
      <c r="F5210" s="8"/>
      <c r="G5210" s="10" t="str">
        <f aca="false">IF($A5210="","",UPPER(SUBSTITUTE(SUBSTITUTE(SUBSTITUTE(SUBSTITUTE($A5210," ",""),"(주)",""),"주식회사",""),"㈜","")))</f>
        <v/>
      </c>
      <c r="H5210" s="10" t="str">
        <f aca="false">IF($B5210="","",SUBSTITUTE(SUBSTITUTE(SUBSTITUTE($B5210,"-","")," ",""),".",""))</f>
        <v/>
      </c>
      <c r="I5210" s="10" t="str">
        <f aca="false">IF($D5210="","",SUBSTITUTE(SUBSTITUTE(SUBSTITUTE($D5210,"-","")," ",""),".",""))</f>
        <v/>
      </c>
      <c r="J5210" s="10" t="str">
        <f aca="false">IF($E5210="","",UPPER(SUBSTITUTE($E5210," ","")))</f>
        <v/>
      </c>
      <c r="K5210" s="10" t="str">
        <f aca="false">IF($A5210="","",$G5210&amp;"|"&amp;$J5210)</f>
        <v/>
      </c>
      <c r="L5210" s="10" t="str">
        <f aca="false">IF($A5210="","",ROW()-2)</f>
        <v/>
      </c>
      <c r="M5210" s="10" t="str">
        <f aca="false">IF($A5210="","",ROW())</f>
        <v/>
      </c>
    </row>
    <row r="5211" customFormat="false" ht="15" hidden="false" customHeight="true" outlineLevel="0" collapsed="false">
      <c r="A5211" s="8"/>
      <c r="B5211" s="8"/>
      <c r="C5211" s="8"/>
      <c r="D5211" s="8"/>
      <c r="E5211" s="8"/>
      <c r="F5211" s="8"/>
      <c r="G5211" s="10" t="str">
        <f aca="false">IF($A5211="","",UPPER(SUBSTITUTE(SUBSTITUTE(SUBSTITUTE(SUBSTITUTE($A5211," ",""),"(주)",""),"주식회사",""),"㈜","")))</f>
        <v/>
      </c>
      <c r="H5211" s="10" t="str">
        <f aca="false">IF($B5211="","",SUBSTITUTE(SUBSTITUTE(SUBSTITUTE($B5211,"-","")," ",""),".",""))</f>
        <v/>
      </c>
      <c r="I5211" s="10" t="str">
        <f aca="false">IF($D5211="","",SUBSTITUTE(SUBSTITUTE(SUBSTITUTE($D5211,"-","")," ",""),".",""))</f>
        <v/>
      </c>
      <c r="J5211" s="10" t="str">
        <f aca="false">IF($E5211="","",UPPER(SUBSTITUTE($E5211," ","")))</f>
        <v/>
      </c>
      <c r="K5211" s="10" t="str">
        <f aca="false">IF($A5211="","",$G5211&amp;"|"&amp;$J5211)</f>
        <v/>
      </c>
      <c r="L5211" s="10" t="str">
        <f aca="false">IF($A5211="","",ROW()-2)</f>
        <v/>
      </c>
      <c r="M5211" s="10" t="str">
        <f aca="false">IF($A5211="","",ROW())</f>
        <v/>
      </c>
    </row>
    <row r="5212" customFormat="false" ht="15" hidden="false" customHeight="true" outlineLevel="0" collapsed="false">
      <c r="A5212" s="8"/>
      <c r="B5212" s="8"/>
      <c r="C5212" s="8"/>
      <c r="D5212" s="8"/>
      <c r="E5212" s="8"/>
      <c r="F5212" s="8"/>
      <c r="G5212" s="10" t="str">
        <f aca="false">IF($A5212="","",UPPER(SUBSTITUTE(SUBSTITUTE(SUBSTITUTE(SUBSTITUTE($A5212," ",""),"(주)",""),"주식회사",""),"㈜","")))</f>
        <v/>
      </c>
      <c r="H5212" s="10" t="str">
        <f aca="false">IF($B5212="","",SUBSTITUTE(SUBSTITUTE(SUBSTITUTE($B5212,"-","")," ",""),".",""))</f>
        <v/>
      </c>
      <c r="I5212" s="10" t="str">
        <f aca="false">IF($D5212="","",SUBSTITUTE(SUBSTITUTE(SUBSTITUTE($D5212,"-","")," ",""),".",""))</f>
        <v/>
      </c>
      <c r="J5212" s="10" t="str">
        <f aca="false">IF($E5212="","",UPPER(SUBSTITUTE($E5212," ","")))</f>
        <v/>
      </c>
      <c r="K5212" s="10" t="str">
        <f aca="false">IF($A5212="","",$G5212&amp;"|"&amp;$J5212)</f>
        <v/>
      </c>
      <c r="L5212" s="10" t="str">
        <f aca="false">IF($A5212="","",ROW()-2)</f>
        <v/>
      </c>
      <c r="M5212" s="10" t="str">
        <f aca="false">IF($A5212="","",ROW())</f>
        <v/>
      </c>
    </row>
    <row r="5213" customFormat="false" ht="15" hidden="false" customHeight="true" outlineLevel="0" collapsed="false">
      <c r="A5213" s="8"/>
      <c r="B5213" s="8"/>
      <c r="C5213" s="8"/>
      <c r="D5213" s="8"/>
      <c r="E5213" s="8"/>
      <c r="F5213" s="8"/>
      <c r="G5213" s="10" t="str">
        <f aca="false">IF($A5213="","",UPPER(SUBSTITUTE(SUBSTITUTE(SUBSTITUTE(SUBSTITUTE($A5213," ",""),"(주)",""),"주식회사",""),"㈜","")))</f>
        <v/>
      </c>
      <c r="H5213" s="10" t="str">
        <f aca="false">IF($B5213="","",SUBSTITUTE(SUBSTITUTE(SUBSTITUTE($B5213,"-","")," ",""),".",""))</f>
        <v/>
      </c>
      <c r="I5213" s="10" t="str">
        <f aca="false">IF($D5213="","",SUBSTITUTE(SUBSTITUTE(SUBSTITUTE($D5213,"-","")," ",""),".",""))</f>
        <v/>
      </c>
      <c r="J5213" s="10" t="str">
        <f aca="false">IF($E5213="","",UPPER(SUBSTITUTE($E5213," ","")))</f>
        <v/>
      </c>
      <c r="K5213" s="10" t="str">
        <f aca="false">IF($A5213="","",$G5213&amp;"|"&amp;$J5213)</f>
        <v/>
      </c>
      <c r="L5213" s="10" t="str">
        <f aca="false">IF($A5213="","",ROW()-2)</f>
        <v/>
      </c>
      <c r="M5213" s="10" t="str">
        <f aca="false">IF($A5213="","",ROW())</f>
        <v/>
      </c>
    </row>
    <row r="5214" customFormat="false" ht="15" hidden="false" customHeight="true" outlineLevel="0" collapsed="false">
      <c r="A5214" s="8"/>
      <c r="B5214" s="8"/>
      <c r="C5214" s="8"/>
      <c r="D5214" s="8"/>
      <c r="E5214" s="8"/>
      <c r="F5214" s="8"/>
      <c r="G5214" s="10" t="str">
        <f aca="false">IF($A5214="","",UPPER(SUBSTITUTE(SUBSTITUTE(SUBSTITUTE(SUBSTITUTE($A5214," ",""),"(주)",""),"주식회사",""),"㈜","")))</f>
        <v/>
      </c>
      <c r="H5214" s="10" t="str">
        <f aca="false">IF($B5214="","",SUBSTITUTE(SUBSTITUTE(SUBSTITUTE($B5214,"-","")," ",""),".",""))</f>
        <v/>
      </c>
      <c r="I5214" s="10" t="str">
        <f aca="false">IF($D5214="","",SUBSTITUTE(SUBSTITUTE(SUBSTITUTE($D5214,"-","")," ",""),".",""))</f>
        <v/>
      </c>
      <c r="J5214" s="10" t="str">
        <f aca="false">IF($E5214="","",UPPER(SUBSTITUTE($E5214," ","")))</f>
        <v/>
      </c>
      <c r="K5214" s="10" t="str">
        <f aca="false">IF($A5214="","",$G5214&amp;"|"&amp;$J5214)</f>
        <v/>
      </c>
      <c r="L5214" s="10" t="str">
        <f aca="false">IF($A5214="","",ROW()-2)</f>
        <v/>
      </c>
      <c r="M5214" s="10" t="str">
        <f aca="false">IF($A5214="","",ROW())</f>
        <v/>
      </c>
    </row>
    <row r="5215" customFormat="false" ht="15" hidden="false" customHeight="true" outlineLevel="0" collapsed="false">
      <c r="A5215" s="8"/>
      <c r="B5215" s="8"/>
      <c r="C5215" s="8"/>
      <c r="D5215" s="8"/>
      <c r="E5215" s="8"/>
      <c r="F5215" s="8"/>
      <c r="G5215" s="10" t="str">
        <f aca="false">IF($A5215="","",UPPER(SUBSTITUTE(SUBSTITUTE(SUBSTITUTE(SUBSTITUTE($A5215," ",""),"(주)",""),"주식회사",""),"㈜","")))</f>
        <v/>
      </c>
      <c r="H5215" s="10" t="str">
        <f aca="false">IF($B5215="","",SUBSTITUTE(SUBSTITUTE(SUBSTITUTE($B5215,"-","")," ",""),".",""))</f>
        <v/>
      </c>
      <c r="I5215" s="10" t="str">
        <f aca="false">IF($D5215="","",SUBSTITUTE(SUBSTITUTE(SUBSTITUTE($D5215,"-","")," ",""),".",""))</f>
        <v/>
      </c>
      <c r="J5215" s="10" t="str">
        <f aca="false">IF($E5215="","",UPPER(SUBSTITUTE($E5215," ","")))</f>
        <v/>
      </c>
      <c r="K5215" s="10" t="str">
        <f aca="false">IF($A5215="","",$G5215&amp;"|"&amp;$J5215)</f>
        <v/>
      </c>
      <c r="L5215" s="10" t="str">
        <f aca="false">IF($A5215="","",ROW()-2)</f>
        <v/>
      </c>
      <c r="M5215" s="10" t="str">
        <f aca="false">IF($A5215="","",ROW())</f>
        <v/>
      </c>
    </row>
    <row r="5216" customFormat="false" ht="15" hidden="false" customHeight="true" outlineLevel="0" collapsed="false">
      <c r="A5216" s="8"/>
      <c r="B5216" s="8"/>
      <c r="C5216" s="8"/>
      <c r="D5216" s="8"/>
      <c r="E5216" s="8"/>
      <c r="F5216" s="8"/>
      <c r="G5216" s="10" t="str">
        <f aca="false">IF($A5216="","",UPPER(SUBSTITUTE(SUBSTITUTE(SUBSTITUTE(SUBSTITUTE($A5216," ",""),"(주)",""),"주식회사",""),"㈜","")))</f>
        <v/>
      </c>
      <c r="H5216" s="10" t="str">
        <f aca="false">IF($B5216="","",SUBSTITUTE(SUBSTITUTE(SUBSTITUTE($B5216,"-","")," ",""),".",""))</f>
        <v/>
      </c>
      <c r="I5216" s="10" t="str">
        <f aca="false">IF($D5216="","",SUBSTITUTE(SUBSTITUTE(SUBSTITUTE($D5216,"-","")," ",""),".",""))</f>
        <v/>
      </c>
      <c r="J5216" s="10" t="str">
        <f aca="false">IF($E5216="","",UPPER(SUBSTITUTE($E5216," ","")))</f>
        <v/>
      </c>
      <c r="K5216" s="10" t="str">
        <f aca="false">IF($A5216="","",$G5216&amp;"|"&amp;$J5216)</f>
        <v/>
      </c>
      <c r="L5216" s="10" t="str">
        <f aca="false">IF($A5216="","",ROW()-2)</f>
        <v/>
      </c>
      <c r="M5216" s="10" t="str">
        <f aca="false">IF($A5216="","",ROW())</f>
        <v/>
      </c>
    </row>
    <row r="5217" customFormat="false" ht="15" hidden="false" customHeight="true" outlineLevel="0" collapsed="false">
      <c r="A5217" s="8"/>
      <c r="B5217" s="8"/>
      <c r="C5217" s="8"/>
      <c r="D5217" s="8"/>
      <c r="E5217" s="8"/>
      <c r="F5217" s="8"/>
      <c r="G5217" s="10" t="str">
        <f aca="false">IF($A5217="","",UPPER(SUBSTITUTE(SUBSTITUTE(SUBSTITUTE(SUBSTITUTE($A5217," ",""),"(주)",""),"주식회사",""),"㈜","")))</f>
        <v/>
      </c>
      <c r="H5217" s="10" t="str">
        <f aca="false">IF($B5217="","",SUBSTITUTE(SUBSTITUTE(SUBSTITUTE($B5217,"-","")," ",""),".",""))</f>
        <v/>
      </c>
      <c r="I5217" s="10" t="str">
        <f aca="false">IF($D5217="","",SUBSTITUTE(SUBSTITUTE(SUBSTITUTE($D5217,"-","")," ",""),".",""))</f>
        <v/>
      </c>
      <c r="J5217" s="10" t="str">
        <f aca="false">IF($E5217="","",UPPER(SUBSTITUTE($E5217," ","")))</f>
        <v/>
      </c>
      <c r="K5217" s="10" t="str">
        <f aca="false">IF($A5217="","",$G5217&amp;"|"&amp;$J5217)</f>
        <v/>
      </c>
      <c r="L5217" s="10" t="str">
        <f aca="false">IF($A5217="","",ROW()-2)</f>
        <v/>
      </c>
      <c r="M5217" s="10" t="str">
        <f aca="false">IF($A5217="","",ROW())</f>
        <v/>
      </c>
    </row>
    <row r="5218" customFormat="false" ht="15" hidden="false" customHeight="true" outlineLevel="0" collapsed="false">
      <c r="A5218" s="8"/>
      <c r="B5218" s="8"/>
      <c r="C5218" s="8"/>
      <c r="D5218" s="8"/>
      <c r="E5218" s="8"/>
      <c r="F5218" s="8"/>
      <c r="G5218" s="10" t="str">
        <f aca="false">IF($A5218="","",UPPER(SUBSTITUTE(SUBSTITUTE(SUBSTITUTE(SUBSTITUTE($A5218," ",""),"(주)",""),"주식회사",""),"㈜","")))</f>
        <v/>
      </c>
      <c r="H5218" s="10" t="str">
        <f aca="false">IF($B5218="","",SUBSTITUTE(SUBSTITUTE(SUBSTITUTE($B5218,"-","")," ",""),".",""))</f>
        <v/>
      </c>
      <c r="I5218" s="10" t="str">
        <f aca="false">IF($D5218="","",SUBSTITUTE(SUBSTITUTE(SUBSTITUTE($D5218,"-","")," ",""),".",""))</f>
        <v/>
      </c>
      <c r="J5218" s="10" t="str">
        <f aca="false">IF($E5218="","",UPPER(SUBSTITUTE($E5218," ","")))</f>
        <v/>
      </c>
      <c r="K5218" s="10" t="str">
        <f aca="false">IF($A5218="","",$G5218&amp;"|"&amp;$J5218)</f>
        <v/>
      </c>
      <c r="L5218" s="10" t="str">
        <f aca="false">IF($A5218="","",ROW()-2)</f>
        <v/>
      </c>
      <c r="M5218" s="10" t="str">
        <f aca="false">IF($A5218="","",ROW())</f>
        <v/>
      </c>
    </row>
    <row r="5219" customFormat="false" ht="15" hidden="false" customHeight="true" outlineLevel="0" collapsed="false">
      <c r="A5219" s="8"/>
      <c r="B5219" s="8"/>
      <c r="C5219" s="8"/>
      <c r="D5219" s="8"/>
      <c r="E5219" s="8"/>
      <c r="F5219" s="8"/>
      <c r="G5219" s="10" t="str">
        <f aca="false">IF($A5219="","",UPPER(SUBSTITUTE(SUBSTITUTE(SUBSTITUTE(SUBSTITUTE($A5219," ",""),"(주)",""),"주식회사",""),"㈜","")))</f>
        <v/>
      </c>
      <c r="H5219" s="10" t="str">
        <f aca="false">IF($B5219="","",SUBSTITUTE(SUBSTITUTE(SUBSTITUTE($B5219,"-","")," ",""),".",""))</f>
        <v/>
      </c>
      <c r="I5219" s="10" t="str">
        <f aca="false">IF($D5219="","",SUBSTITUTE(SUBSTITUTE(SUBSTITUTE($D5219,"-","")," ",""),".",""))</f>
        <v/>
      </c>
      <c r="J5219" s="10" t="str">
        <f aca="false">IF($E5219="","",UPPER(SUBSTITUTE($E5219," ","")))</f>
        <v/>
      </c>
      <c r="K5219" s="10" t="str">
        <f aca="false">IF($A5219="","",$G5219&amp;"|"&amp;$J5219)</f>
        <v/>
      </c>
      <c r="L5219" s="10" t="str">
        <f aca="false">IF($A5219="","",ROW()-2)</f>
        <v/>
      </c>
      <c r="M5219" s="10" t="str">
        <f aca="false">IF($A5219="","",ROW())</f>
        <v/>
      </c>
    </row>
    <row r="5220" customFormat="false" ht="15" hidden="false" customHeight="true" outlineLevel="0" collapsed="false">
      <c r="A5220" s="8"/>
      <c r="B5220" s="8"/>
      <c r="C5220" s="8"/>
      <c r="D5220" s="8"/>
      <c r="E5220" s="8"/>
      <c r="F5220" s="8"/>
      <c r="G5220" s="10" t="str">
        <f aca="false">IF($A5220="","",UPPER(SUBSTITUTE(SUBSTITUTE(SUBSTITUTE(SUBSTITUTE($A5220," ",""),"(주)",""),"주식회사",""),"㈜","")))</f>
        <v/>
      </c>
      <c r="H5220" s="10" t="str">
        <f aca="false">IF($B5220="","",SUBSTITUTE(SUBSTITUTE(SUBSTITUTE($B5220,"-","")," ",""),".",""))</f>
        <v/>
      </c>
      <c r="I5220" s="10" t="str">
        <f aca="false">IF($D5220="","",SUBSTITUTE(SUBSTITUTE(SUBSTITUTE($D5220,"-","")," ",""),".",""))</f>
        <v/>
      </c>
      <c r="J5220" s="10" t="str">
        <f aca="false">IF($E5220="","",UPPER(SUBSTITUTE($E5220," ","")))</f>
        <v/>
      </c>
      <c r="K5220" s="10" t="str">
        <f aca="false">IF($A5220="","",$G5220&amp;"|"&amp;$J5220)</f>
        <v/>
      </c>
      <c r="L5220" s="10" t="str">
        <f aca="false">IF($A5220="","",ROW()-2)</f>
        <v/>
      </c>
      <c r="M5220" s="10" t="str">
        <f aca="false">IF($A5220="","",ROW())</f>
        <v/>
      </c>
    </row>
    <row r="5221" customFormat="false" ht="15" hidden="false" customHeight="true" outlineLevel="0" collapsed="false">
      <c r="A5221" s="8"/>
      <c r="B5221" s="8"/>
      <c r="C5221" s="8"/>
      <c r="D5221" s="8"/>
      <c r="E5221" s="8"/>
      <c r="F5221" s="8"/>
      <c r="G5221" s="10" t="str">
        <f aca="false">IF($A5221="","",UPPER(SUBSTITUTE(SUBSTITUTE(SUBSTITUTE(SUBSTITUTE($A5221," ",""),"(주)",""),"주식회사",""),"㈜","")))</f>
        <v/>
      </c>
      <c r="H5221" s="10" t="str">
        <f aca="false">IF($B5221="","",SUBSTITUTE(SUBSTITUTE(SUBSTITUTE($B5221,"-","")," ",""),".",""))</f>
        <v/>
      </c>
      <c r="I5221" s="10" t="str">
        <f aca="false">IF($D5221="","",SUBSTITUTE(SUBSTITUTE(SUBSTITUTE($D5221,"-","")," ",""),".",""))</f>
        <v/>
      </c>
      <c r="J5221" s="10" t="str">
        <f aca="false">IF($E5221="","",UPPER(SUBSTITUTE($E5221," ","")))</f>
        <v/>
      </c>
      <c r="K5221" s="10" t="str">
        <f aca="false">IF($A5221="","",$G5221&amp;"|"&amp;$J5221)</f>
        <v/>
      </c>
      <c r="L5221" s="10" t="str">
        <f aca="false">IF($A5221="","",ROW()-2)</f>
        <v/>
      </c>
      <c r="M5221" s="10" t="str">
        <f aca="false">IF($A5221="","",ROW())</f>
        <v/>
      </c>
    </row>
    <row r="5222" customFormat="false" ht="15" hidden="false" customHeight="true" outlineLevel="0" collapsed="false">
      <c r="A5222" s="8"/>
      <c r="B5222" s="8"/>
      <c r="C5222" s="8"/>
      <c r="D5222" s="8"/>
      <c r="E5222" s="8"/>
      <c r="F5222" s="8"/>
      <c r="G5222" s="10" t="str">
        <f aca="false">IF($A5222="","",UPPER(SUBSTITUTE(SUBSTITUTE(SUBSTITUTE(SUBSTITUTE($A5222," ",""),"(주)",""),"주식회사",""),"㈜","")))</f>
        <v/>
      </c>
      <c r="H5222" s="10" t="str">
        <f aca="false">IF($B5222="","",SUBSTITUTE(SUBSTITUTE(SUBSTITUTE($B5222,"-","")," ",""),".",""))</f>
        <v/>
      </c>
      <c r="I5222" s="10" t="str">
        <f aca="false">IF($D5222="","",SUBSTITUTE(SUBSTITUTE(SUBSTITUTE($D5222,"-","")," ",""),".",""))</f>
        <v/>
      </c>
      <c r="J5222" s="10" t="str">
        <f aca="false">IF($E5222="","",UPPER(SUBSTITUTE($E5222," ","")))</f>
        <v/>
      </c>
      <c r="K5222" s="10" t="str">
        <f aca="false">IF($A5222="","",$G5222&amp;"|"&amp;$J5222)</f>
        <v/>
      </c>
      <c r="L5222" s="10" t="str">
        <f aca="false">IF($A5222="","",ROW()-2)</f>
        <v/>
      </c>
      <c r="M5222" s="10" t="str">
        <f aca="false">IF($A5222="","",ROW())</f>
        <v/>
      </c>
    </row>
    <row r="5223" customFormat="false" ht="15" hidden="false" customHeight="true" outlineLevel="0" collapsed="false">
      <c r="A5223" s="8"/>
      <c r="B5223" s="8"/>
      <c r="C5223" s="8"/>
      <c r="D5223" s="8"/>
      <c r="E5223" s="8"/>
      <c r="F5223" s="8"/>
      <c r="G5223" s="10" t="str">
        <f aca="false">IF($A5223="","",UPPER(SUBSTITUTE(SUBSTITUTE(SUBSTITUTE(SUBSTITUTE($A5223," ",""),"(주)",""),"주식회사",""),"㈜","")))</f>
        <v/>
      </c>
      <c r="H5223" s="10" t="str">
        <f aca="false">IF($B5223="","",SUBSTITUTE(SUBSTITUTE(SUBSTITUTE($B5223,"-","")," ",""),".",""))</f>
        <v/>
      </c>
      <c r="I5223" s="10" t="str">
        <f aca="false">IF($D5223="","",SUBSTITUTE(SUBSTITUTE(SUBSTITUTE($D5223,"-","")," ",""),".",""))</f>
        <v/>
      </c>
      <c r="J5223" s="10" t="str">
        <f aca="false">IF($E5223="","",UPPER(SUBSTITUTE($E5223," ","")))</f>
        <v/>
      </c>
      <c r="K5223" s="10" t="str">
        <f aca="false">IF($A5223="","",$G5223&amp;"|"&amp;$J5223)</f>
        <v/>
      </c>
      <c r="L5223" s="10" t="str">
        <f aca="false">IF($A5223="","",ROW()-2)</f>
        <v/>
      </c>
      <c r="M5223" s="10" t="str">
        <f aca="false">IF($A5223="","",ROW())</f>
        <v/>
      </c>
    </row>
    <row r="5224" customFormat="false" ht="15" hidden="false" customHeight="true" outlineLevel="0" collapsed="false">
      <c r="A5224" s="8"/>
      <c r="B5224" s="8"/>
      <c r="C5224" s="8"/>
      <c r="D5224" s="8"/>
      <c r="E5224" s="8"/>
      <c r="F5224" s="8"/>
      <c r="G5224" s="10" t="str">
        <f aca="false">IF($A5224="","",UPPER(SUBSTITUTE(SUBSTITUTE(SUBSTITUTE(SUBSTITUTE($A5224," ",""),"(주)",""),"주식회사",""),"㈜","")))</f>
        <v/>
      </c>
      <c r="H5224" s="10" t="str">
        <f aca="false">IF($B5224="","",SUBSTITUTE(SUBSTITUTE(SUBSTITUTE($B5224,"-","")," ",""),".",""))</f>
        <v/>
      </c>
      <c r="I5224" s="10" t="str">
        <f aca="false">IF($D5224="","",SUBSTITUTE(SUBSTITUTE(SUBSTITUTE($D5224,"-","")," ",""),".",""))</f>
        <v/>
      </c>
      <c r="J5224" s="10" t="str">
        <f aca="false">IF($E5224="","",UPPER(SUBSTITUTE($E5224," ","")))</f>
        <v/>
      </c>
      <c r="K5224" s="10" t="str">
        <f aca="false">IF($A5224="","",$G5224&amp;"|"&amp;$J5224)</f>
        <v/>
      </c>
      <c r="L5224" s="10" t="str">
        <f aca="false">IF($A5224="","",ROW()-2)</f>
        <v/>
      </c>
      <c r="M5224" s="10" t="str">
        <f aca="false">IF($A5224="","",ROW())</f>
        <v/>
      </c>
    </row>
    <row r="5225" customFormat="false" ht="15" hidden="false" customHeight="true" outlineLevel="0" collapsed="false">
      <c r="A5225" s="8"/>
      <c r="B5225" s="8"/>
      <c r="C5225" s="8"/>
      <c r="D5225" s="8"/>
      <c r="E5225" s="8"/>
      <c r="F5225" s="8"/>
      <c r="G5225" s="10" t="str">
        <f aca="false">IF($A5225="","",UPPER(SUBSTITUTE(SUBSTITUTE(SUBSTITUTE(SUBSTITUTE($A5225," ",""),"(주)",""),"주식회사",""),"㈜","")))</f>
        <v/>
      </c>
      <c r="H5225" s="10" t="str">
        <f aca="false">IF($B5225="","",SUBSTITUTE(SUBSTITUTE(SUBSTITUTE($B5225,"-","")," ",""),".",""))</f>
        <v/>
      </c>
      <c r="I5225" s="10" t="str">
        <f aca="false">IF($D5225="","",SUBSTITUTE(SUBSTITUTE(SUBSTITUTE($D5225,"-","")," ",""),".",""))</f>
        <v/>
      </c>
      <c r="J5225" s="10" t="str">
        <f aca="false">IF($E5225="","",UPPER(SUBSTITUTE($E5225," ","")))</f>
        <v/>
      </c>
      <c r="K5225" s="10" t="str">
        <f aca="false">IF($A5225="","",$G5225&amp;"|"&amp;$J5225)</f>
        <v/>
      </c>
      <c r="L5225" s="10" t="str">
        <f aca="false">IF($A5225="","",ROW()-2)</f>
        <v/>
      </c>
      <c r="M5225" s="10" t="str">
        <f aca="false">IF($A5225="","",ROW())</f>
        <v/>
      </c>
    </row>
    <row r="5226" customFormat="false" ht="15" hidden="false" customHeight="true" outlineLevel="0" collapsed="false">
      <c r="A5226" s="8"/>
      <c r="B5226" s="8"/>
      <c r="C5226" s="8"/>
      <c r="D5226" s="8"/>
      <c r="E5226" s="8"/>
      <c r="F5226" s="8"/>
      <c r="G5226" s="10" t="str">
        <f aca="false">IF($A5226="","",UPPER(SUBSTITUTE(SUBSTITUTE(SUBSTITUTE(SUBSTITUTE($A5226," ",""),"(주)",""),"주식회사",""),"㈜","")))</f>
        <v/>
      </c>
      <c r="H5226" s="10" t="str">
        <f aca="false">IF($B5226="","",SUBSTITUTE(SUBSTITUTE(SUBSTITUTE($B5226,"-","")," ",""),".",""))</f>
        <v/>
      </c>
      <c r="I5226" s="10" t="str">
        <f aca="false">IF($D5226="","",SUBSTITUTE(SUBSTITUTE(SUBSTITUTE($D5226,"-","")," ",""),".",""))</f>
        <v/>
      </c>
      <c r="J5226" s="10" t="str">
        <f aca="false">IF($E5226="","",UPPER(SUBSTITUTE($E5226," ","")))</f>
        <v/>
      </c>
      <c r="K5226" s="10" t="str">
        <f aca="false">IF($A5226="","",$G5226&amp;"|"&amp;$J5226)</f>
        <v/>
      </c>
      <c r="L5226" s="10" t="str">
        <f aca="false">IF($A5226="","",ROW()-2)</f>
        <v/>
      </c>
      <c r="M5226" s="10" t="str">
        <f aca="false">IF($A5226="","",ROW())</f>
        <v/>
      </c>
    </row>
    <row r="5227" customFormat="false" ht="15" hidden="false" customHeight="true" outlineLevel="0" collapsed="false">
      <c r="A5227" s="8"/>
      <c r="B5227" s="8"/>
      <c r="C5227" s="8"/>
      <c r="D5227" s="8"/>
      <c r="E5227" s="8"/>
      <c r="F5227" s="8"/>
      <c r="G5227" s="10" t="str">
        <f aca="false">IF($A5227="","",UPPER(SUBSTITUTE(SUBSTITUTE(SUBSTITUTE(SUBSTITUTE($A5227," ",""),"(주)",""),"주식회사",""),"㈜","")))</f>
        <v/>
      </c>
      <c r="H5227" s="10" t="str">
        <f aca="false">IF($B5227="","",SUBSTITUTE(SUBSTITUTE(SUBSTITUTE($B5227,"-","")," ",""),".",""))</f>
        <v/>
      </c>
      <c r="I5227" s="10" t="str">
        <f aca="false">IF($D5227="","",SUBSTITUTE(SUBSTITUTE(SUBSTITUTE($D5227,"-","")," ",""),".",""))</f>
        <v/>
      </c>
      <c r="J5227" s="10" t="str">
        <f aca="false">IF($E5227="","",UPPER(SUBSTITUTE($E5227," ","")))</f>
        <v/>
      </c>
      <c r="K5227" s="10" t="str">
        <f aca="false">IF($A5227="","",$G5227&amp;"|"&amp;$J5227)</f>
        <v/>
      </c>
      <c r="L5227" s="10" t="str">
        <f aca="false">IF($A5227="","",ROW()-2)</f>
        <v/>
      </c>
      <c r="M5227" s="10" t="str">
        <f aca="false">IF($A5227="","",ROW())</f>
        <v/>
      </c>
    </row>
    <row r="5228" customFormat="false" ht="15" hidden="false" customHeight="true" outlineLevel="0" collapsed="false">
      <c r="A5228" s="8"/>
      <c r="B5228" s="8"/>
      <c r="C5228" s="8"/>
      <c r="D5228" s="8"/>
      <c r="E5228" s="8"/>
      <c r="F5228" s="8"/>
      <c r="G5228" s="10" t="str">
        <f aca="false">IF($A5228="","",UPPER(SUBSTITUTE(SUBSTITUTE(SUBSTITUTE(SUBSTITUTE($A5228," ",""),"(주)",""),"주식회사",""),"㈜","")))</f>
        <v/>
      </c>
      <c r="H5228" s="10" t="str">
        <f aca="false">IF($B5228="","",SUBSTITUTE(SUBSTITUTE(SUBSTITUTE($B5228,"-","")," ",""),".",""))</f>
        <v/>
      </c>
      <c r="I5228" s="10" t="str">
        <f aca="false">IF($D5228="","",SUBSTITUTE(SUBSTITUTE(SUBSTITUTE($D5228,"-","")," ",""),".",""))</f>
        <v/>
      </c>
      <c r="J5228" s="10" t="str">
        <f aca="false">IF($E5228="","",UPPER(SUBSTITUTE($E5228," ","")))</f>
        <v/>
      </c>
      <c r="K5228" s="10" t="str">
        <f aca="false">IF($A5228="","",$G5228&amp;"|"&amp;$J5228)</f>
        <v/>
      </c>
      <c r="L5228" s="10" t="str">
        <f aca="false">IF($A5228="","",ROW()-2)</f>
        <v/>
      </c>
      <c r="M5228" s="10" t="str">
        <f aca="false">IF($A5228="","",ROW())</f>
        <v/>
      </c>
    </row>
    <row r="5229" customFormat="false" ht="15" hidden="false" customHeight="true" outlineLevel="0" collapsed="false">
      <c r="A5229" s="8"/>
      <c r="B5229" s="8"/>
      <c r="C5229" s="8"/>
      <c r="D5229" s="8"/>
      <c r="E5229" s="8"/>
      <c r="F5229" s="8"/>
      <c r="G5229" s="10" t="str">
        <f aca="false">IF($A5229="","",UPPER(SUBSTITUTE(SUBSTITUTE(SUBSTITUTE(SUBSTITUTE($A5229," ",""),"(주)",""),"주식회사",""),"㈜","")))</f>
        <v/>
      </c>
      <c r="H5229" s="10" t="str">
        <f aca="false">IF($B5229="","",SUBSTITUTE(SUBSTITUTE(SUBSTITUTE($B5229,"-","")," ",""),".",""))</f>
        <v/>
      </c>
      <c r="I5229" s="10" t="str">
        <f aca="false">IF($D5229="","",SUBSTITUTE(SUBSTITUTE(SUBSTITUTE($D5229,"-","")," ",""),".",""))</f>
        <v/>
      </c>
      <c r="J5229" s="10" t="str">
        <f aca="false">IF($E5229="","",UPPER(SUBSTITUTE($E5229," ","")))</f>
        <v/>
      </c>
      <c r="K5229" s="10" t="str">
        <f aca="false">IF($A5229="","",$G5229&amp;"|"&amp;$J5229)</f>
        <v/>
      </c>
      <c r="L5229" s="10" t="str">
        <f aca="false">IF($A5229="","",ROW()-2)</f>
        <v/>
      </c>
      <c r="M5229" s="10" t="str">
        <f aca="false">IF($A5229="","",ROW())</f>
        <v/>
      </c>
    </row>
    <row r="5230" customFormat="false" ht="15" hidden="false" customHeight="true" outlineLevel="0" collapsed="false">
      <c r="A5230" s="8"/>
      <c r="B5230" s="8"/>
      <c r="C5230" s="8"/>
      <c r="D5230" s="8"/>
      <c r="E5230" s="8"/>
      <c r="F5230" s="8"/>
      <c r="G5230" s="10" t="str">
        <f aca="false">IF($A5230="","",UPPER(SUBSTITUTE(SUBSTITUTE(SUBSTITUTE(SUBSTITUTE($A5230," ",""),"(주)",""),"주식회사",""),"㈜","")))</f>
        <v/>
      </c>
      <c r="H5230" s="10" t="str">
        <f aca="false">IF($B5230="","",SUBSTITUTE(SUBSTITUTE(SUBSTITUTE($B5230,"-","")," ",""),".",""))</f>
        <v/>
      </c>
      <c r="I5230" s="10" t="str">
        <f aca="false">IF($D5230="","",SUBSTITUTE(SUBSTITUTE(SUBSTITUTE($D5230,"-","")," ",""),".",""))</f>
        <v/>
      </c>
      <c r="J5230" s="10" t="str">
        <f aca="false">IF($E5230="","",UPPER(SUBSTITUTE($E5230," ","")))</f>
        <v/>
      </c>
      <c r="K5230" s="10" t="str">
        <f aca="false">IF($A5230="","",$G5230&amp;"|"&amp;$J5230)</f>
        <v/>
      </c>
      <c r="L5230" s="10" t="str">
        <f aca="false">IF($A5230="","",ROW()-2)</f>
        <v/>
      </c>
      <c r="M5230" s="10" t="str">
        <f aca="false">IF($A5230="","",ROW())</f>
        <v/>
      </c>
    </row>
    <row r="5231" customFormat="false" ht="15" hidden="false" customHeight="true" outlineLevel="0" collapsed="false">
      <c r="A5231" s="8"/>
      <c r="B5231" s="8"/>
      <c r="C5231" s="8"/>
      <c r="D5231" s="8"/>
      <c r="E5231" s="8"/>
      <c r="F5231" s="8"/>
      <c r="G5231" s="10" t="str">
        <f aca="false">IF($A5231="","",UPPER(SUBSTITUTE(SUBSTITUTE(SUBSTITUTE(SUBSTITUTE($A5231," ",""),"(주)",""),"주식회사",""),"㈜","")))</f>
        <v/>
      </c>
      <c r="H5231" s="10" t="str">
        <f aca="false">IF($B5231="","",SUBSTITUTE(SUBSTITUTE(SUBSTITUTE($B5231,"-","")," ",""),".",""))</f>
        <v/>
      </c>
      <c r="I5231" s="10" t="str">
        <f aca="false">IF($D5231="","",SUBSTITUTE(SUBSTITUTE(SUBSTITUTE($D5231,"-","")," ",""),".",""))</f>
        <v/>
      </c>
      <c r="J5231" s="10" t="str">
        <f aca="false">IF($E5231="","",UPPER(SUBSTITUTE($E5231," ","")))</f>
        <v/>
      </c>
      <c r="K5231" s="10" t="str">
        <f aca="false">IF($A5231="","",$G5231&amp;"|"&amp;$J5231)</f>
        <v/>
      </c>
      <c r="L5231" s="10" t="str">
        <f aca="false">IF($A5231="","",ROW()-2)</f>
        <v/>
      </c>
      <c r="M5231" s="10" t="str">
        <f aca="false">IF($A5231="","",ROW())</f>
        <v/>
      </c>
    </row>
    <row r="5232" customFormat="false" ht="15" hidden="false" customHeight="true" outlineLevel="0" collapsed="false">
      <c r="A5232" s="8"/>
      <c r="B5232" s="8"/>
      <c r="C5232" s="8"/>
      <c r="D5232" s="8"/>
      <c r="E5232" s="8"/>
      <c r="F5232" s="8"/>
      <c r="G5232" s="10" t="str">
        <f aca="false">IF($A5232="","",UPPER(SUBSTITUTE(SUBSTITUTE(SUBSTITUTE(SUBSTITUTE($A5232," ",""),"(주)",""),"주식회사",""),"㈜","")))</f>
        <v/>
      </c>
      <c r="H5232" s="10" t="str">
        <f aca="false">IF($B5232="","",SUBSTITUTE(SUBSTITUTE(SUBSTITUTE($B5232,"-","")," ",""),".",""))</f>
        <v/>
      </c>
      <c r="I5232" s="10" t="str">
        <f aca="false">IF($D5232="","",SUBSTITUTE(SUBSTITUTE(SUBSTITUTE($D5232,"-","")," ",""),".",""))</f>
        <v/>
      </c>
      <c r="J5232" s="10" t="str">
        <f aca="false">IF($E5232="","",UPPER(SUBSTITUTE($E5232," ","")))</f>
        <v/>
      </c>
      <c r="K5232" s="10" t="str">
        <f aca="false">IF($A5232="","",$G5232&amp;"|"&amp;$J5232)</f>
        <v/>
      </c>
      <c r="L5232" s="10" t="str">
        <f aca="false">IF($A5232="","",ROW()-2)</f>
        <v/>
      </c>
      <c r="M5232" s="10" t="str">
        <f aca="false">IF($A5232="","",ROW())</f>
        <v/>
      </c>
    </row>
    <row r="5233" customFormat="false" ht="15" hidden="false" customHeight="true" outlineLevel="0" collapsed="false">
      <c r="A5233" s="8"/>
      <c r="B5233" s="8"/>
      <c r="C5233" s="8"/>
      <c r="D5233" s="8"/>
      <c r="E5233" s="8"/>
      <c r="F5233" s="8"/>
      <c r="G5233" s="10" t="str">
        <f aca="false">IF($A5233="","",UPPER(SUBSTITUTE(SUBSTITUTE(SUBSTITUTE(SUBSTITUTE($A5233," ",""),"(주)",""),"주식회사",""),"㈜","")))</f>
        <v/>
      </c>
      <c r="H5233" s="10" t="str">
        <f aca="false">IF($B5233="","",SUBSTITUTE(SUBSTITUTE(SUBSTITUTE($B5233,"-","")," ",""),".",""))</f>
        <v/>
      </c>
      <c r="I5233" s="10" t="str">
        <f aca="false">IF($D5233="","",SUBSTITUTE(SUBSTITUTE(SUBSTITUTE($D5233,"-","")," ",""),".",""))</f>
        <v/>
      </c>
      <c r="J5233" s="10" t="str">
        <f aca="false">IF($E5233="","",UPPER(SUBSTITUTE($E5233," ","")))</f>
        <v/>
      </c>
      <c r="K5233" s="10" t="str">
        <f aca="false">IF($A5233="","",$G5233&amp;"|"&amp;$J5233)</f>
        <v/>
      </c>
      <c r="L5233" s="10" t="str">
        <f aca="false">IF($A5233="","",ROW()-2)</f>
        <v/>
      </c>
      <c r="M5233" s="10" t="str">
        <f aca="false">IF($A5233="","",ROW())</f>
        <v/>
      </c>
    </row>
    <row r="5234" customFormat="false" ht="15" hidden="false" customHeight="true" outlineLevel="0" collapsed="false">
      <c r="A5234" s="8"/>
      <c r="B5234" s="8"/>
      <c r="C5234" s="8"/>
      <c r="D5234" s="8"/>
      <c r="E5234" s="8"/>
      <c r="F5234" s="8"/>
      <c r="G5234" s="10" t="str">
        <f aca="false">IF($A5234="","",UPPER(SUBSTITUTE(SUBSTITUTE(SUBSTITUTE(SUBSTITUTE($A5234," ",""),"(주)",""),"주식회사",""),"㈜","")))</f>
        <v/>
      </c>
      <c r="H5234" s="10" t="str">
        <f aca="false">IF($B5234="","",SUBSTITUTE(SUBSTITUTE(SUBSTITUTE($B5234,"-","")," ",""),".",""))</f>
        <v/>
      </c>
      <c r="I5234" s="10" t="str">
        <f aca="false">IF($D5234="","",SUBSTITUTE(SUBSTITUTE(SUBSTITUTE($D5234,"-","")," ",""),".",""))</f>
        <v/>
      </c>
      <c r="J5234" s="10" t="str">
        <f aca="false">IF($E5234="","",UPPER(SUBSTITUTE($E5234," ","")))</f>
        <v/>
      </c>
      <c r="K5234" s="10" t="str">
        <f aca="false">IF($A5234="","",$G5234&amp;"|"&amp;$J5234)</f>
        <v/>
      </c>
      <c r="L5234" s="10" t="str">
        <f aca="false">IF($A5234="","",ROW()-2)</f>
        <v/>
      </c>
      <c r="M5234" s="10" t="str">
        <f aca="false">IF($A5234="","",ROW())</f>
        <v/>
      </c>
    </row>
    <row r="5235" customFormat="false" ht="15" hidden="false" customHeight="true" outlineLevel="0" collapsed="false">
      <c r="A5235" s="8"/>
      <c r="B5235" s="8"/>
      <c r="C5235" s="8"/>
      <c r="D5235" s="8"/>
      <c r="E5235" s="8"/>
      <c r="F5235" s="8"/>
      <c r="G5235" s="10" t="str">
        <f aca="false">IF($A5235="","",UPPER(SUBSTITUTE(SUBSTITUTE(SUBSTITUTE(SUBSTITUTE($A5235," ",""),"(주)",""),"주식회사",""),"㈜","")))</f>
        <v/>
      </c>
      <c r="H5235" s="10" t="str">
        <f aca="false">IF($B5235="","",SUBSTITUTE(SUBSTITUTE(SUBSTITUTE($B5235,"-","")," ",""),".",""))</f>
        <v/>
      </c>
      <c r="I5235" s="10" t="str">
        <f aca="false">IF($D5235="","",SUBSTITUTE(SUBSTITUTE(SUBSTITUTE($D5235,"-","")," ",""),".",""))</f>
        <v/>
      </c>
      <c r="J5235" s="10" t="str">
        <f aca="false">IF($E5235="","",UPPER(SUBSTITUTE($E5235," ","")))</f>
        <v/>
      </c>
      <c r="K5235" s="10" t="str">
        <f aca="false">IF($A5235="","",$G5235&amp;"|"&amp;$J5235)</f>
        <v/>
      </c>
      <c r="L5235" s="10" t="str">
        <f aca="false">IF($A5235="","",ROW()-2)</f>
        <v/>
      </c>
      <c r="M5235" s="10" t="str">
        <f aca="false">IF($A5235="","",ROW())</f>
        <v/>
      </c>
    </row>
    <row r="5236" customFormat="false" ht="15" hidden="false" customHeight="true" outlineLevel="0" collapsed="false">
      <c r="A5236" s="8"/>
      <c r="B5236" s="8"/>
      <c r="C5236" s="8"/>
      <c r="D5236" s="8"/>
      <c r="E5236" s="8"/>
      <c r="F5236" s="8"/>
      <c r="G5236" s="10" t="str">
        <f aca="false">IF($A5236="","",UPPER(SUBSTITUTE(SUBSTITUTE(SUBSTITUTE(SUBSTITUTE($A5236," ",""),"(주)",""),"주식회사",""),"㈜","")))</f>
        <v/>
      </c>
      <c r="H5236" s="10" t="str">
        <f aca="false">IF($B5236="","",SUBSTITUTE(SUBSTITUTE(SUBSTITUTE($B5236,"-","")," ",""),".",""))</f>
        <v/>
      </c>
      <c r="I5236" s="10" t="str">
        <f aca="false">IF($D5236="","",SUBSTITUTE(SUBSTITUTE(SUBSTITUTE($D5236,"-","")," ",""),".",""))</f>
        <v/>
      </c>
      <c r="J5236" s="10" t="str">
        <f aca="false">IF($E5236="","",UPPER(SUBSTITUTE($E5236," ","")))</f>
        <v/>
      </c>
      <c r="K5236" s="10" t="str">
        <f aca="false">IF($A5236="","",$G5236&amp;"|"&amp;$J5236)</f>
        <v/>
      </c>
      <c r="L5236" s="10" t="str">
        <f aca="false">IF($A5236="","",ROW()-2)</f>
        <v/>
      </c>
      <c r="M5236" s="10" t="str">
        <f aca="false">IF($A5236="","",ROW())</f>
        <v/>
      </c>
    </row>
    <row r="5237" customFormat="false" ht="15" hidden="false" customHeight="true" outlineLevel="0" collapsed="false">
      <c r="A5237" s="8"/>
      <c r="B5237" s="8"/>
      <c r="C5237" s="8"/>
      <c r="D5237" s="8"/>
      <c r="E5237" s="8"/>
      <c r="F5237" s="8"/>
      <c r="G5237" s="10" t="str">
        <f aca="false">IF($A5237="","",UPPER(SUBSTITUTE(SUBSTITUTE(SUBSTITUTE(SUBSTITUTE($A5237," ",""),"(주)",""),"주식회사",""),"㈜","")))</f>
        <v/>
      </c>
      <c r="H5237" s="10" t="str">
        <f aca="false">IF($B5237="","",SUBSTITUTE(SUBSTITUTE(SUBSTITUTE($B5237,"-","")," ",""),".",""))</f>
        <v/>
      </c>
      <c r="I5237" s="10" t="str">
        <f aca="false">IF($D5237="","",SUBSTITUTE(SUBSTITUTE(SUBSTITUTE($D5237,"-","")," ",""),".",""))</f>
        <v/>
      </c>
      <c r="J5237" s="10" t="str">
        <f aca="false">IF($E5237="","",UPPER(SUBSTITUTE($E5237," ","")))</f>
        <v/>
      </c>
      <c r="K5237" s="10" t="str">
        <f aca="false">IF($A5237="","",$G5237&amp;"|"&amp;$J5237)</f>
        <v/>
      </c>
      <c r="L5237" s="10" t="str">
        <f aca="false">IF($A5237="","",ROW()-2)</f>
        <v/>
      </c>
      <c r="M5237" s="10" t="str">
        <f aca="false">IF($A5237="","",ROW())</f>
        <v/>
      </c>
    </row>
    <row r="5238" customFormat="false" ht="15" hidden="false" customHeight="true" outlineLevel="0" collapsed="false">
      <c r="A5238" s="8"/>
      <c r="B5238" s="8"/>
      <c r="C5238" s="8"/>
      <c r="D5238" s="8"/>
      <c r="E5238" s="8"/>
      <c r="F5238" s="8"/>
      <c r="G5238" s="10" t="str">
        <f aca="false">IF($A5238="","",UPPER(SUBSTITUTE(SUBSTITUTE(SUBSTITUTE(SUBSTITUTE($A5238," ",""),"(주)",""),"주식회사",""),"㈜","")))</f>
        <v/>
      </c>
      <c r="H5238" s="10" t="str">
        <f aca="false">IF($B5238="","",SUBSTITUTE(SUBSTITUTE(SUBSTITUTE($B5238,"-","")," ",""),".",""))</f>
        <v/>
      </c>
      <c r="I5238" s="10" t="str">
        <f aca="false">IF($D5238="","",SUBSTITUTE(SUBSTITUTE(SUBSTITUTE($D5238,"-","")," ",""),".",""))</f>
        <v/>
      </c>
      <c r="J5238" s="10" t="str">
        <f aca="false">IF($E5238="","",UPPER(SUBSTITUTE($E5238," ","")))</f>
        <v/>
      </c>
      <c r="K5238" s="10" t="str">
        <f aca="false">IF($A5238="","",$G5238&amp;"|"&amp;$J5238)</f>
        <v/>
      </c>
      <c r="L5238" s="10" t="str">
        <f aca="false">IF($A5238="","",ROW()-2)</f>
        <v/>
      </c>
      <c r="M5238" s="10" t="str">
        <f aca="false">IF($A5238="","",ROW())</f>
        <v/>
      </c>
    </row>
    <row r="5239" customFormat="false" ht="15" hidden="false" customHeight="true" outlineLevel="0" collapsed="false">
      <c r="A5239" s="8"/>
      <c r="B5239" s="8"/>
      <c r="C5239" s="8"/>
      <c r="D5239" s="8"/>
      <c r="E5239" s="8"/>
      <c r="F5239" s="8"/>
      <c r="G5239" s="10" t="str">
        <f aca="false">IF($A5239="","",UPPER(SUBSTITUTE(SUBSTITUTE(SUBSTITUTE(SUBSTITUTE($A5239," ",""),"(주)",""),"주식회사",""),"㈜","")))</f>
        <v/>
      </c>
      <c r="H5239" s="10" t="str">
        <f aca="false">IF($B5239="","",SUBSTITUTE(SUBSTITUTE(SUBSTITUTE($B5239,"-","")," ",""),".",""))</f>
        <v/>
      </c>
      <c r="I5239" s="10" t="str">
        <f aca="false">IF($D5239="","",SUBSTITUTE(SUBSTITUTE(SUBSTITUTE($D5239,"-","")," ",""),".",""))</f>
        <v/>
      </c>
      <c r="J5239" s="10" t="str">
        <f aca="false">IF($E5239="","",UPPER(SUBSTITUTE($E5239," ","")))</f>
        <v/>
      </c>
      <c r="K5239" s="10" t="str">
        <f aca="false">IF($A5239="","",$G5239&amp;"|"&amp;$J5239)</f>
        <v/>
      </c>
      <c r="L5239" s="10" t="str">
        <f aca="false">IF($A5239="","",ROW()-2)</f>
        <v/>
      </c>
      <c r="M5239" s="10" t="str">
        <f aca="false">IF($A5239="","",ROW())</f>
        <v/>
      </c>
    </row>
    <row r="5240" customFormat="false" ht="15" hidden="false" customHeight="true" outlineLevel="0" collapsed="false">
      <c r="A5240" s="8"/>
      <c r="B5240" s="8"/>
      <c r="C5240" s="8"/>
      <c r="D5240" s="8"/>
      <c r="E5240" s="8"/>
      <c r="F5240" s="8"/>
      <c r="G5240" s="10" t="str">
        <f aca="false">IF($A5240="","",UPPER(SUBSTITUTE(SUBSTITUTE(SUBSTITUTE(SUBSTITUTE($A5240," ",""),"(주)",""),"주식회사",""),"㈜","")))</f>
        <v/>
      </c>
      <c r="H5240" s="10" t="str">
        <f aca="false">IF($B5240="","",SUBSTITUTE(SUBSTITUTE(SUBSTITUTE($B5240,"-","")," ",""),".",""))</f>
        <v/>
      </c>
      <c r="I5240" s="10" t="str">
        <f aca="false">IF($D5240="","",SUBSTITUTE(SUBSTITUTE(SUBSTITUTE($D5240,"-","")," ",""),".",""))</f>
        <v/>
      </c>
      <c r="J5240" s="10" t="str">
        <f aca="false">IF($E5240="","",UPPER(SUBSTITUTE($E5240," ","")))</f>
        <v/>
      </c>
      <c r="K5240" s="10" t="str">
        <f aca="false">IF($A5240="","",$G5240&amp;"|"&amp;$J5240)</f>
        <v/>
      </c>
      <c r="L5240" s="10" t="str">
        <f aca="false">IF($A5240="","",ROW()-2)</f>
        <v/>
      </c>
      <c r="M5240" s="10" t="str">
        <f aca="false">IF($A5240="","",ROW())</f>
        <v/>
      </c>
    </row>
    <row r="5241" customFormat="false" ht="15" hidden="false" customHeight="true" outlineLevel="0" collapsed="false">
      <c r="A5241" s="8"/>
      <c r="B5241" s="8"/>
      <c r="C5241" s="8"/>
      <c r="D5241" s="8"/>
      <c r="E5241" s="8"/>
      <c r="F5241" s="8"/>
      <c r="G5241" s="10" t="str">
        <f aca="false">IF($A5241="","",UPPER(SUBSTITUTE(SUBSTITUTE(SUBSTITUTE(SUBSTITUTE($A5241," ",""),"(주)",""),"주식회사",""),"㈜","")))</f>
        <v/>
      </c>
      <c r="H5241" s="10" t="str">
        <f aca="false">IF($B5241="","",SUBSTITUTE(SUBSTITUTE(SUBSTITUTE($B5241,"-","")," ",""),".",""))</f>
        <v/>
      </c>
      <c r="I5241" s="10" t="str">
        <f aca="false">IF($D5241="","",SUBSTITUTE(SUBSTITUTE(SUBSTITUTE($D5241,"-","")," ",""),".",""))</f>
        <v/>
      </c>
      <c r="J5241" s="10" t="str">
        <f aca="false">IF($E5241="","",UPPER(SUBSTITUTE($E5241," ","")))</f>
        <v/>
      </c>
      <c r="K5241" s="10" t="str">
        <f aca="false">IF($A5241="","",$G5241&amp;"|"&amp;$J5241)</f>
        <v/>
      </c>
      <c r="L5241" s="10" t="str">
        <f aca="false">IF($A5241="","",ROW()-2)</f>
        <v/>
      </c>
      <c r="M5241" s="10" t="str">
        <f aca="false">IF($A5241="","",ROW())</f>
        <v/>
      </c>
    </row>
    <row r="5242" customFormat="false" ht="15" hidden="false" customHeight="true" outlineLevel="0" collapsed="false">
      <c r="A5242" s="8"/>
      <c r="B5242" s="8"/>
      <c r="C5242" s="8"/>
      <c r="D5242" s="8"/>
      <c r="E5242" s="8"/>
      <c r="F5242" s="8"/>
      <c r="G5242" s="10" t="str">
        <f aca="false">IF($A5242="","",UPPER(SUBSTITUTE(SUBSTITUTE(SUBSTITUTE(SUBSTITUTE($A5242," ",""),"(주)",""),"주식회사",""),"㈜","")))</f>
        <v/>
      </c>
      <c r="H5242" s="10" t="str">
        <f aca="false">IF($B5242="","",SUBSTITUTE(SUBSTITUTE(SUBSTITUTE($B5242,"-","")," ",""),".",""))</f>
        <v/>
      </c>
      <c r="I5242" s="10" t="str">
        <f aca="false">IF($D5242="","",SUBSTITUTE(SUBSTITUTE(SUBSTITUTE($D5242,"-","")," ",""),".",""))</f>
        <v/>
      </c>
      <c r="J5242" s="10" t="str">
        <f aca="false">IF($E5242="","",UPPER(SUBSTITUTE($E5242," ","")))</f>
        <v/>
      </c>
      <c r="K5242" s="10" t="str">
        <f aca="false">IF($A5242="","",$G5242&amp;"|"&amp;$J5242)</f>
        <v/>
      </c>
      <c r="L5242" s="10" t="str">
        <f aca="false">IF($A5242="","",ROW()-2)</f>
        <v/>
      </c>
      <c r="M5242" s="10" t="str">
        <f aca="false">IF($A5242="","",ROW())</f>
        <v/>
      </c>
    </row>
    <row r="5243" customFormat="false" ht="15" hidden="false" customHeight="true" outlineLevel="0" collapsed="false">
      <c r="A5243" s="8"/>
      <c r="B5243" s="8"/>
      <c r="C5243" s="8"/>
      <c r="D5243" s="8"/>
      <c r="E5243" s="8"/>
      <c r="F5243" s="8"/>
      <c r="G5243" s="10" t="str">
        <f aca="false">IF($A5243="","",UPPER(SUBSTITUTE(SUBSTITUTE(SUBSTITUTE(SUBSTITUTE($A5243," ",""),"(주)",""),"주식회사",""),"㈜","")))</f>
        <v/>
      </c>
      <c r="H5243" s="10" t="str">
        <f aca="false">IF($B5243="","",SUBSTITUTE(SUBSTITUTE(SUBSTITUTE($B5243,"-","")," ",""),".",""))</f>
        <v/>
      </c>
      <c r="I5243" s="10" t="str">
        <f aca="false">IF($D5243="","",SUBSTITUTE(SUBSTITUTE(SUBSTITUTE($D5243,"-","")," ",""),".",""))</f>
        <v/>
      </c>
      <c r="J5243" s="10" t="str">
        <f aca="false">IF($E5243="","",UPPER(SUBSTITUTE($E5243," ","")))</f>
        <v/>
      </c>
      <c r="K5243" s="10" t="str">
        <f aca="false">IF($A5243="","",$G5243&amp;"|"&amp;$J5243)</f>
        <v/>
      </c>
      <c r="L5243" s="10" t="str">
        <f aca="false">IF($A5243="","",ROW()-2)</f>
        <v/>
      </c>
      <c r="M5243" s="10" t="str">
        <f aca="false">IF($A5243="","",ROW())</f>
        <v/>
      </c>
    </row>
    <row r="5244" customFormat="false" ht="15" hidden="false" customHeight="true" outlineLevel="0" collapsed="false">
      <c r="A5244" s="8"/>
      <c r="B5244" s="8"/>
      <c r="C5244" s="8"/>
      <c r="D5244" s="8"/>
      <c r="E5244" s="8"/>
      <c r="F5244" s="8"/>
      <c r="G5244" s="10" t="str">
        <f aca="false">IF($A5244="","",UPPER(SUBSTITUTE(SUBSTITUTE(SUBSTITUTE(SUBSTITUTE($A5244," ",""),"(주)",""),"주식회사",""),"㈜","")))</f>
        <v/>
      </c>
      <c r="H5244" s="10" t="str">
        <f aca="false">IF($B5244="","",SUBSTITUTE(SUBSTITUTE(SUBSTITUTE($B5244,"-","")," ",""),".",""))</f>
        <v/>
      </c>
      <c r="I5244" s="10" t="str">
        <f aca="false">IF($D5244="","",SUBSTITUTE(SUBSTITUTE(SUBSTITUTE($D5244,"-","")," ",""),".",""))</f>
        <v/>
      </c>
      <c r="J5244" s="10" t="str">
        <f aca="false">IF($E5244="","",UPPER(SUBSTITUTE($E5244," ","")))</f>
        <v/>
      </c>
      <c r="K5244" s="10" t="str">
        <f aca="false">IF($A5244="","",$G5244&amp;"|"&amp;$J5244)</f>
        <v/>
      </c>
      <c r="L5244" s="10" t="str">
        <f aca="false">IF($A5244="","",ROW()-2)</f>
        <v/>
      </c>
      <c r="M5244" s="10" t="str">
        <f aca="false">IF($A5244="","",ROW())</f>
        <v/>
      </c>
    </row>
    <row r="5245" customFormat="false" ht="15" hidden="false" customHeight="true" outlineLevel="0" collapsed="false">
      <c r="A5245" s="8"/>
      <c r="B5245" s="8"/>
      <c r="C5245" s="8"/>
      <c r="D5245" s="8"/>
      <c r="E5245" s="8"/>
      <c r="F5245" s="8"/>
      <c r="G5245" s="10" t="str">
        <f aca="false">IF($A5245="","",UPPER(SUBSTITUTE(SUBSTITUTE(SUBSTITUTE(SUBSTITUTE($A5245," ",""),"(주)",""),"주식회사",""),"㈜","")))</f>
        <v/>
      </c>
      <c r="H5245" s="10" t="str">
        <f aca="false">IF($B5245="","",SUBSTITUTE(SUBSTITUTE(SUBSTITUTE($B5245,"-","")," ",""),".",""))</f>
        <v/>
      </c>
      <c r="I5245" s="10" t="str">
        <f aca="false">IF($D5245="","",SUBSTITUTE(SUBSTITUTE(SUBSTITUTE($D5245,"-","")," ",""),".",""))</f>
        <v/>
      </c>
      <c r="J5245" s="10" t="str">
        <f aca="false">IF($E5245="","",UPPER(SUBSTITUTE($E5245," ","")))</f>
        <v/>
      </c>
      <c r="K5245" s="10" t="str">
        <f aca="false">IF($A5245="","",$G5245&amp;"|"&amp;$J5245)</f>
        <v/>
      </c>
      <c r="L5245" s="10" t="str">
        <f aca="false">IF($A5245="","",ROW()-2)</f>
        <v/>
      </c>
      <c r="M5245" s="10" t="str">
        <f aca="false">IF($A5245="","",ROW())</f>
        <v/>
      </c>
    </row>
    <row r="5246" customFormat="false" ht="15" hidden="false" customHeight="true" outlineLevel="0" collapsed="false">
      <c r="A5246" s="8"/>
      <c r="B5246" s="8"/>
      <c r="C5246" s="8"/>
      <c r="D5246" s="8"/>
      <c r="E5246" s="8"/>
      <c r="F5246" s="8"/>
      <c r="G5246" s="10" t="str">
        <f aca="false">IF($A5246="","",UPPER(SUBSTITUTE(SUBSTITUTE(SUBSTITUTE(SUBSTITUTE($A5246," ",""),"(주)",""),"주식회사",""),"㈜","")))</f>
        <v/>
      </c>
      <c r="H5246" s="10" t="str">
        <f aca="false">IF($B5246="","",SUBSTITUTE(SUBSTITUTE(SUBSTITUTE($B5246,"-","")," ",""),".",""))</f>
        <v/>
      </c>
      <c r="I5246" s="10" t="str">
        <f aca="false">IF($D5246="","",SUBSTITUTE(SUBSTITUTE(SUBSTITUTE($D5246,"-","")," ",""),".",""))</f>
        <v/>
      </c>
      <c r="J5246" s="10" t="str">
        <f aca="false">IF($E5246="","",UPPER(SUBSTITUTE($E5246," ","")))</f>
        <v/>
      </c>
      <c r="K5246" s="10" t="str">
        <f aca="false">IF($A5246="","",$G5246&amp;"|"&amp;$J5246)</f>
        <v/>
      </c>
      <c r="L5246" s="10" t="str">
        <f aca="false">IF($A5246="","",ROW()-2)</f>
        <v/>
      </c>
      <c r="M5246" s="10" t="str">
        <f aca="false">IF($A5246="","",ROW())</f>
        <v/>
      </c>
    </row>
    <row r="5247" customFormat="false" ht="15" hidden="false" customHeight="true" outlineLevel="0" collapsed="false">
      <c r="A5247" s="8"/>
      <c r="B5247" s="8"/>
      <c r="C5247" s="8"/>
      <c r="D5247" s="8"/>
      <c r="E5247" s="8"/>
      <c r="F5247" s="8"/>
      <c r="G5247" s="10" t="str">
        <f aca="false">IF($A5247="","",UPPER(SUBSTITUTE(SUBSTITUTE(SUBSTITUTE(SUBSTITUTE($A5247," ",""),"(주)",""),"주식회사",""),"㈜","")))</f>
        <v/>
      </c>
      <c r="H5247" s="10" t="str">
        <f aca="false">IF($B5247="","",SUBSTITUTE(SUBSTITUTE(SUBSTITUTE($B5247,"-","")," ",""),".",""))</f>
        <v/>
      </c>
      <c r="I5247" s="10" t="str">
        <f aca="false">IF($D5247="","",SUBSTITUTE(SUBSTITUTE(SUBSTITUTE($D5247,"-","")," ",""),".",""))</f>
        <v/>
      </c>
      <c r="J5247" s="10" t="str">
        <f aca="false">IF($E5247="","",UPPER(SUBSTITUTE($E5247," ","")))</f>
        <v/>
      </c>
      <c r="K5247" s="10" t="str">
        <f aca="false">IF($A5247="","",$G5247&amp;"|"&amp;$J5247)</f>
        <v/>
      </c>
      <c r="L5247" s="10" t="str">
        <f aca="false">IF($A5247="","",ROW()-2)</f>
        <v/>
      </c>
      <c r="M5247" s="10" t="str">
        <f aca="false">IF($A5247="","",ROW())</f>
        <v/>
      </c>
    </row>
    <row r="5248" customFormat="false" ht="15" hidden="false" customHeight="true" outlineLevel="0" collapsed="false">
      <c r="A5248" s="8"/>
      <c r="B5248" s="8"/>
      <c r="C5248" s="8"/>
      <c r="D5248" s="8"/>
      <c r="E5248" s="8"/>
      <c r="F5248" s="8"/>
      <c r="G5248" s="10" t="str">
        <f aca="false">IF($A5248="","",UPPER(SUBSTITUTE(SUBSTITUTE(SUBSTITUTE(SUBSTITUTE($A5248," ",""),"(주)",""),"주식회사",""),"㈜","")))</f>
        <v/>
      </c>
      <c r="H5248" s="10" t="str">
        <f aca="false">IF($B5248="","",SUBSTITUTE(SUBSTITUTE(SUBSTITUTE($B5248,"-","")," ",""),".",""))</f>
        <v/>
      </c>
      <c r="I5248" s="10" t="str">
        <f aca="false">IF($D5248="","",SUBSTITUTE(SUBSTITUTE(SUBSTITUTE($D5248,"-","")," ",""),".",""))</f>
        <v/>
      </c>
      <c r="J5248" s="10" t="str">
        <f aca="false">IF($E5248="","",UPPER(SUBSTITUTE($E5248," ","")))</f>
        <v/>
      </c>
      <c r="K5248" s="10" t="str">
        <f aca="false">IF($A5248="","",$G5248&amp;"|"&amp;$J5248)</f>
        <v/>
      </c>
      <c r="L5248" s="10" t="str">
        <f aca="false">IF($A5248="","",ROW()-2)</f>
        <v/>
      </c>
      <c r="M5248" s="10" t="str">
        <f aca="false">IF($A5248="","",ROW())</f>
        <v/>
      </c>
    </row>
    <row r="5249" customFormat="false" ht="15" hidden="false" customHeight="true" outlineLevel="0" collapsed="false">
      <c r="A5249" s="8"/>
      <c r="B5249" s="8"/>
      <c r="C5249" s="8"/>
      <c r="D5249" s="8"/>
      <c r="E5249" s="8"/>
      <c r="F5249" s="8"/>
      <c r="G5249" s="10" t="str">
        <f aca="false">IF($A5249="","",UPPER(SUBSTITUTE(SUBSTITUTE(SUBSTITUTE(SUBSTITUTE($A5249," ",""),"(주)",""),"주식회사",""),"㈜","")))</f>
        <v/>
      </c>
      <c r="H5249" s="10" t="str">
        <f aca="false">IF($B5249="","",SUBSTITUTE(SUBSTITUTE(SUBSTITUTE($B5249,"-","")," ",""),".",""))</f>
        <v/>
      </c>
      <c r="I5249" s="10" t="str">
        <f aca="false">IF($D5249="","",SUBSTITUTE(SUBSTITUTE(SUBSTITUTE($D5249,"-","")," ",""),".",""))</f>
        <v/>
      </c>
      <c r="J5249" s="10" t="str">
        <f aca="false">IF($E5249="","",UPPER(SUBSTITUTE($E5249," ","")))</f>
        <v/>
      </c>
      <c r="K5249" s="10" t="str">
        <f aca="false">IF($A5249="","",$G5249&amp;"|"&amp;$J5249)</f>
        <v/>
      </c>
      <c r="L5249" s="10" t="str">
        <f aca="false">IF($A5249="","",ROW()-2)</f>
        <v/>
      </c>
      <c r="M5249" s="10" t="str">
        <f aca="false">IF($A5249="","",ROW())</f>
        <v/>
      </c>
    </row>
    <row r="5250" customFormat="false" ht="15" hidden="false" customHeight="true" outlineLevel="0" collapsed="false">
      <c r="A5250" s="8"/>
      <c r="B5250" s="8"/>
      <c r="C5250" s="8"/>
      <c r="D5250" s="8"/>
      <c r="E5250" s="8"/>
      <c r="F5250" s="8"/>
      <c r="G5250" s="10" t="str">
        <f aca="false">IF($A5250="","",UPPER(SUBSTITUTE(SUBSTITUTE(SUBSTITUTE(SUBSTITUTE($A5250," ",""),"(주)",""),"주식회사",""),"㈜","")))</f>
        <v/>
      </c>
      <c r="H5250" s="10" t="str">
        <f aca="false">IF($B5250="","",SUBSTITUTE(SUBSTITUTE(SUBSTITUTE($B5250,"-","")," ",""),".",""))</f>
        <v/>
      </c>
      <c r="I5250" s="10" t="str">
        <f aca="false">IF($D5250="","",SUBSTITUTE(SUBSTITUTE(SUBSTITUTE($D5250,"-","")," ",""),".",""))</f>
        <v/>
      </c>
      <c r="J5250" s="10" t="str">
        <f aca="false">IF($E5250="","",UPPER(SUBSTITUTE($E5250," ","")))</f>
        <v/>
      </c>
      <c r="K5250" s="10" t="str">
        <f aca="false">IF($A5250="","",$G5250&amp;"|"&amp;$J5250)</f>
        <v/>
      </c>
      <c r="L5250" s="10" t="str">
        <f aca="false">IF($A5250="","",ROW()-2)</f>
        <v/>
      </c>
      <c r="M5250" s="10" t="str">
        <f aca="false">IF($A5250="","",ROW())</f>
        <v/>
      </c>
    </row>
    <row r="5251" customFormat="false" ht="15" hidden="false" customHeight="true" outlineLevel="0" collapsed="false">
      <c r="A5251" s="8"/>
      <c r="B5251" s="8"/>
      <c r="C5251" s="8"/>
      <c r="D5251" s="8"/>
      <c r="E5251" s="8"/>
      <c r="F5251" s="8"/>
      <c r="G5251" s="10" t="str">
        <f aca="false">IF($A5251="","",UPPER(SUBSTITUTE(SUBSTITUTE(SUBSTITUTE(SUBSTITUTE($A5251," ",""),"(주)",""),"주식회사",""),"㈜","")))</f>
        <v/>
      </c>
      <c r="H5251" s="10" t="str">
        <f aca="false">IF($B5251="","",SUBSTITUTE(SUBSTITUTE(SUBSTITUTE($B5251,"-","")," ",""),".",""))</f>
        <v/>
      </c>
      <c r="I5251" s="10" t="str">
        <f aca="false">IF($D5251="","",SUBSTITUTE(SUBSTITUTE(SUBSTITUTE($D5251,"-","")," ",""),".",""))</f>
        <v/>
      </c>
      <c r="J5251" s="10" t="str">
        <f aca="false">IF($E5251="","",UPPER(SUBSTITUTE($E5251," ","")))</f>
        <v/>
      </c>
      <c r="K5251" s="10" t="str">
        <f aca="false">IF($A5251="","",$G5251&amp;"|"&amp;$J5251)</f>
        <v/>
      </c>
      <c r="L5251" s="10" t="str">
        <f aca="false">IF($A5251="","",ROW()-2)</f>
        <v/>
      </c>
      <c r="M5251" s="10" t="str">
        <f aca="false">IF($A5251="","",ROW())</f>
        <v/>
      </c>
    </row>
    <row r="5252" customFormat="false" ht="15" hidden="false" customHeight="true" outlineLevel="0" collapsed="false">
      <c r="A5252" s="8"/>
      <c r="B5252" s="8"/>
      <c r="C5252" s="8"/>
      <c r="D5252" s="8"/>
      <c r="E5252" s="8"/>
      <c r="F5252" s="8"/>
      <c r="G5252" s="10" t="str">
        <f aca="false">IF($A5252="","",UPPER(SUBSTITUTE(SUBSTITUTE(SUBSTITUTE(SUBSTITUTE($A5252," ",""),"(주)",""),"주식회사",""),"㈜","")))</f>
        <v/>
      </c>
      <c r="H5252" s="10" t="str">
        <f aca="false">IF($B5252="","",SUBSTITUTE(SUBSTITUTE(SUBSTITUTE($B5252,"-","")," ",""),".",""))</f>
        <v/>
      </c>
      <c r="I5252" s="10" t="str">
        <f aca="false">IF($D5252="","",SUBSTITUTE(SUBSTITUTE(SUBSTITUTE($D5252,"-","")," ",""),".",""))</f>
        <v/>
      </c>
      <c r="J5252" s="10" t="str">
        <f aca="false">IF($E5252="","",UPPER(SUBSTITUTE($E5252," ","")))</f>
        <v/>
      </c>
      <c r="K5252" s="10" t="str">
        <f aca="false">IF($A5252="","",$G5252&amp;"|"&amp;$J5252)</f>
        <v/>
      </c>
      <c r="L5252" s="10" t="str">
        <f aca="false">IF($A5252="","",ROW()-2)</f>
        <v/>
      </c>
      <c r="M5252" s="10" t="str">
        <f aca="false">IF($A5252="","",ROW())</f>
        <v/>
      </c>
    </row>
    <row r="5253" customFormat="false" ht="15" hidden="false" customHeight="true" outlineLevel="0" collapsed="false">
      <c r="A5253" s="8"/>
      <c r="B5253" s="8"/>
      <c r="C5253" s="8"/>
      <c r="D5253" s="8"/>
      <c r="E5253" s="8"/>
      <c r="F5253" s="8"/>
      <c r="G5253" s="10" t="str">
        <f aca="false">IF($A5253="","",UPPER(SUBSTITUTE(SUBSTITUTE(SUBSTITUTE(SUBSTITUTE($A5253," ",""),"(주)",""),"주식회사",""),"㈜","")))</f>
        <v/>
      </c>
      <c r="H5253" s="10" t="str">
        <f aca="false">IF($B5253="","",SUBSTITUTE(SUBSTITUTE(SUBSTITUTE($B5253,"-","")," ",""),".",""))</f>
        <v/>
      </c>
      <c r="I5253" s="10" t="str">
        <f aca="false">IF($D5253="","",SUBSTITUTE(SUBSTITUTE(SUBSTITUTE($D5253,"-","")," ",""),".",""))</f>
        <v/>
      </c>
      <c r="J5253" s="10" t="str">
        <f aca="false">IF($E5253="","",UPPER(SUBSTITUTE($E5253," ","")))</f>
        <v/>
      </c>
      <c r="K5253" s="10" t="str">
        <f aca="false">IF($A5253="","",$G5253&amp;"|"&amp;$J5253)</f>
        <v/>
      </c>
      <c r="L5253" s="10" t="str">
        <f aca="false">IF($A5253="","",ROW()-2)</f>
        <v/>
      </c>
      <c r="M5253" s="10" t="str">
        <f aca="false">IF($A5253="","",ROW())</f>
        <v/>
      </c>
    </row>
    <row r="5254" customFormat="false" ht="15" hidden="false" customHeight="true" outlineLevel="0" collapsed="false">
      <c r="A5254" s="8"/>
      <c r="B5254" s="8"/>
      <c r="C5254" s="8"/>
      <c r="D5254" s="8"/>
      <c r="E5254" s="8"/>
      <c r="F5254" s="8"/>
      <c r="G5254" s="10" t="str">
        <f aca="false">IF($A5254="","",UPPER(SUBSTITUTE(SUBSTITUTE(SUBSTITUTE(SUBSTITUTE($A5254," ",""),"(주)",""),"주식회사",""),"㈜","")))</f>
        <v/>
      </c>
      <c r="H5254" s="10" t="str">
        <f aca="false">IF($B5254="","",SUBSTITUTE(SUBSTITUTE(SUBSTITUTE($B5254,"-","")," ",""),".",""))</f>
        <v/>
      </c>
      <c r="I5254" s="10" t="str">
        <f aca="false">IF($D5254="","",SUBSTITUTE(SUBSTITUTE(SUBSTITUTE($D5254,"-","")," ",""),".",""))</f>
        <v/>
      </c>
      <c r="J5254" s="10" t="str">
        <f aca="false">IF($E5254="","",UPPER(SUBSTITUTE($E5254," ","")))</f>
        <v/>
      </c>
      <c r="K5254" s="10" t="str">
        <f aca="false">IF($A5254="","",$G5254&amp;"|"&amp;$J5254)</f>
        <v/>
      </c>
      <c r="L5254" s="10" t="str">
        <f aca="false">IF($A5254="","",ROW()-2)</f>
        <v/>
      </c>
      <c r="M5254" s="10" t="str">
        <f aca="false">IF($A5254="","",ROW())</f>
        <v/>
      </c>
    </row>
    <row r="5255" customFormat="false" ht="15" hidden="false" customHeight="true" outlineLevel="0" collapsed="false">
      <c r="A5255" s="8"/>
      <c r="B5255" s="8"/>
      <c r="C5255" s="8"/>
      <c r="D5255" s="8"/>
      <c r="E5255" s="8"/>
      <c r="F5255" s="8"/>
      <c r="G5255" s="10" t="str">
        <f aca="false">IF($A5255="","",UPPER(SUBSTITUTE(SUBSTITUTE(SUBSTITUTE(SUBSTITUTE($A5255," ",""),"(주)",""),"주식회사",""),"㈜","")))</f>
        <v/>
      </c>
      <c r="H5255" s="10" t="str">
        <f aca="false">IF($B5255="","",SUBSTITUTE(SUBSTITUTE(SUBSTITUTE($B5255,"-","")," ",""),".",""))</f>
        <v/>
      </c>
      <c r="I5255" s="10" t="str">
        <f aca="false">IF($D5255="","",SUBSTITUTE(SUBSTITUTE(SUBSTITUTE($D5255,"-","")," ",""),".",""))</f>
        <v/>
      </c>
      <c r="J5255" s="10" t="str">
        <f aca="false">IF($E5255="","",UPPER(SUBSTITUTE($E5255," ","")))</f>
        <v/>
      </c>
      <c r="K5255" s="10" t="str">
        <f aca="false">IF($A5255="","",$G5255&amp;"|"&amp;$J5255)</f>
        <v/>
      </c>
      <c r="L5255" s="10" t="str">
        <f aca="false">IF($A5255="","",ROW()-2)</f>
        <v/>
      </c>
      <c r="M5255" s="10" t="str">
        <f aca="false">IF($A5255="","",ROW())</f>
        <v/>
      </c>
    </row>
    <row r="5256" customFormat="false" ht="15" hidden="false" customHeight="true" outlineLevel="0" collapsed="false">
      <c r="A5256" s="8"/>
      <c r="B5256" s="8"/>
      <c r="C5256" s="8"/>
      <c r="D5256" s="8"/>
      <c r="E5256" s="8"/>
      <c r="F5256" s="8"/>
      <c r="G5256" s="10" t="str">
        <f aca="false">IF($A5256="","",UPPER(SUBSTITUTE(SUBSTITUTE(SUBSTITUTE(SUBSTITUTE($A5256," ",""),"(주)",""),"주식회사",""),"㈜","")))</f>
        <v/>
      </c>
      <c r="H5256" s="10" t="str">
        <f aca="false">IF($B5256="","",SUBSTITUTE(SUBSTITUTE(SUBSTITUTE($B5256,"-","")," ",""),".",""))</f>
        <v/>
      </c>
      <c r="I5256" s="10" t="str">
        <f aca="false">IF($D5256="","",SUBSTITUTE(SUBSTITUTE(SUBSTITUTE($D5256,"-","")," ",""),".",""))</f>
        <v/>
      </c>
      <c r="J5256" s="10" t="str">
        <f aca="false">IF($E5256="","",UPPER(SUBSTITUTE($E5256," ","")))</f>
        <v/>
      </c>
      <c r="K5256" s="10" t="str">
        <f aca="false">IF($A5256="","",$G5256&amp;"|"&amp;$J5256)</f>
        <v/>
      </c>
      <c r="L5256" s="10" t="str">
        <f aca="false">IF($A5256="","",ROW()-2)</f>
        <v/>
      </c>
      <c r="M5256" s="10" t="str">
        <f aca="false">IF($A5256="","",ROW())</f>
        <v/>
      </c>
    </row>
    <row r="5257" customFormat="false" ht="15" hidden="false" customHeight="true" outlineLevel="0" collapsed="false">
      <c r="A5257" s="8"/>
      <c r="B5257" s="8"/>
      <c r="C5257" s="8"/>
      <c r="D5257" s="8"/>
      <c r="E5257" s="8"/>
      <c r="F5257" s="8"/>
      <c r="G5257" s="10" t="str">
        <f aca="false">IF($A5257="","",UPPER(SUBSTITUTE(SUBSTITUTE(SUBSTITUTE(SUBSTITUTE($A5257," ",""),"(주)",""),"주식회사",""),"㈜","")))</f>
        <v/>
      </c>
      <c r="H5257" s="10" t="str">
        <f aca="false">IF($B5257="","",SUBSTITUTE(SUBSTITUTE(SUBSTITUTE($B5257,"-","")," ",""),".",""))</f>
        <v/>
      </c>
      <c r="I5257" s="10" t="str">
        <f aca="false">IF($D5257="","",SUBSTITUTE(SUBSTITUTE(SUBSTITUTE($D5257,"-","")," ",""),".",""))</f>
        <v/>
      </c>
      <c r="J5257" s="10" t="str">
        <f aca="false">IF($E5257="","",UPPER(SUBSTITUTE($E5257," ","")))</f>
        <v/>
      </c>
      <c r="K5257" s="10" t="str">
        <f aca="false">IF($A5257="","",$G5257&amp;"|"&amp;$J5257)</f>
        <v/>
      </c>
      <c r="L5257" s="10" t="str">
        <f aca="false">IF($A5257="","",ROW()-2)</f>
        <v/>
      </c>
      <c r="M5257" s="10" t="str">
        <f aca="false">IF($A5257="","",ROW())</f>
        <v/>
      </c>
    </row>
    <row r="5258" customFormat="false" ht="15" hidden="false" customHeight="true" outlineLevel="0" collapsed="false">
      <c r="A5258" s="8"/>
      <c r="B5258" s="8"/>
      <c r="C5258" s="8"/>
      <c r="D5258" s="8"/>
      <c r="E5258" s="8"/>
      <c r="F5258" s="8"/>
      <c r="G5258" s="10" t="str">
        <f aca="false">IF($A5258="","",UPPER(SUBSTITUTE(SUBSTITUTE(SUBSTITUTE(SUBSTITUTE($A5258," ",""),"(주)",""),"주식회사",""),"㈜","")))</f>
        <v/>
      </c>
      <c r="H5258" s="10" t="str">
        <f aca="false">IF($B5258="","",SUBSTITUTE(SUBSTITUTE(SUBSTITUTE($B5258,"-","")," ",""),".",""))</f>
        <v/>
      </c>
      <c r="I5258" s="10" t="str">
        <f aca="false">IF($D5258="","",SUBSTITUTE(SUBSTITUTE(SUBSTITUTE($D5258,"-","")," ",""),".",""))</f>
        <v/>
      </c>
      <c r="J5258" s="10" t="str">
        <f aca="false">IF($E5258="","",UPPER(SUBSTITUTE($E5258," ","")))</f>
        <v/>
      </c>
      <c r="K5258" s="10" t="str">
        <f aca="false">IF($A5258="","",$G5258&amp;"|"&amp;$J5258)</f>
        <v/>
      </c>
      <c r="L5258" s="10" t="str">
        <f aca="false">IF($A5258="","",ROW()-2)</f>
        <v/>
      </c>
      <c r="M5258" s="10" t="str">
        <f aca="false">IF($A5258="","",ROW())</f>
        <v/>
      </c>
    </row>
    <row r="5259" customFormat="false" ht="15" hidden="false" customHeight="true" outlineLevel="0" collapsed="false">
      <c r="A5259" s="8"/>
      <c r="B5259" s="8"/>
      <c r="C5259" s="8"/>
      <c r="D5259" s="8"/>
      <c r="E5259" s="8"/>
      <c r="F5259" s="8"/>
      <c r="G5259" s="10" t="str">
        <f aca="false">IF($A5259="","",UPPER(SUBSTITUTE(SUBSTITUTE(SUBSTITUTE(SUBSTITUTE($A5259," ",""),"(주)",""),"주식회사",""),"㈜","")))</f>
        <v/>
      </c>
      <c r="H5259" s="10" t="str">
        <f aca="false">IF($B5259="","",SUBSTITUTE(SUBSTITUTE(SUBSTITUTE($B5259,"-","")," ",""),".",""))</f>
        <v/>
      </c>
      <c r="I5259" s="10" t="str">
        <f aca="false">IF($D5259="","",SUBSTITUTE(SUBSTITUTE(SUBSTITUTE($D5259,"-","")," ",""),".",""))</f>
        <v/>
      </c>
      <c r="J5259" s="10" t="str">
        <f aca="false">IF($E5259="","",UPPER(SUBSTITUTE($E5259," ","")))</f>
        <v/>
      </c>
      <c r="K5259" s="10" t="str">
        <f aca="false">IF($A5259="","",$G5259&amp;"|"&amp;$J5259)</f>
        <v/>
      </c>
      <c r="L5259" s="10" t="str">
        <f aca="false">IF($A5259="","",ROW()-2)</f>
        <v/>
      </c>
      <c r="M5259" s="10" t="str">
        <f aca="false">IF($A5259="","",ROW())</f>
        <v/>
      </c>
    </row>
    <row r="5260" customFormat="false" ht="15" hidden="false" customHeight="true" outlineLevel="0" collapsed="false">
      <c r="A5260" s="8"/>
      <c r="B5260" s="8"/>
      <c r="C5260" s="8"/>
      <c r="D5260" s="8"/>
      <c r="E5260" s="8"/>
      <c r="F5260" s="8"/>
      <c r="G5260" s="10" t="str">
        <f aca="false">IF($A5260="","",UPPER(SUBSTITUTE(SUBSTITUTE(SUBSTITUTE(SUBSTITUTE($A5260," ",""),"(주)",""),"주식회사",""),"㈜","")))</f>
        <v/>
      </c>
      <c r="H5260" s="10" t="str">
        <f aca="false">IF($B5260="","",SUBSTITUTE(SUBSTITUTE(SUBSTITUTE($B5260,"-","")," ",""),".",""))</f>
        <v/>
      </c>
      <c r="I5260" s="10" t="str">
        <f aca="false">IF($D5260="","",SUBSTITUTE(SUBSTITUTE(SUBSTITUTE($D5260,"-","")," ",""),".",""))</f>
        <v/>
      </c>
      <c r="J5260" s="10" t="str">
        <f aca="false">IF($E5260="","",UPPER(SUBSTITUTE($E5260," ","")))</f>
        <v/>
      </c>
      <c r="K5260" s="10" t="str">
        <f aca="false">IF($A5260="","",$G5260&amp;"|"&amp;$J5260)</f>
        <v/>
      </c>
      <c r="L5260" s="10" t="str">
        <f aca="false">IF($A5260="","",ROW()-2)</f>
        <v/>
      </c>
      <c r="M5260" s="10" t="str">
        <f aca="false">IF($A5260="","",ROW())</f>
        <v/>
      </c>
    </row>
    <row r="5261" customFormat="false" ht="15" hidden="false" customHeight="true" outlineLevel="0" collapsed="false">
      <c r="A5261" s="8"/>
      <c r="B5261" s="8"/>
      <c r="C5261" s="8"/>
      <c r="D5261" s="8"/>
      <c r="E5261" s="8"/>
      <c r="F5261" s="8"/>
      <c r="G5261" s="10" t="str">
        <f aca="false">IF($A5261="","",UPPER(SUBSTITUTE(SUBSTITUTE(SUBSTITUTE(SUBSTITUTE($A5261," ",""),"(주)",""),"주식회사",""),"㈜","")))</f>
        <v/>
      </c>
      <c r="H5261" s="10" t="str">
        <f aca="false">IF($B5261="","",SUBSTITUTE(SUBSTITUTE(SUBSTITUTE($B5261,"-","")," ",""),".",""))</f>
        <v/>
      </c>
      <c r="I5261" s="10" t="str">
        <f aca="false">IF($D5261="","",SUBSTITUTE(SUBSTITUTE(SUBSTITUTE($D5261,"-","")," ",""),".",""))</f>
        <v/>
      </c>
      <c r="J5261" s="10" t="str">
        <f aca="false">IF($E5261="","",UPPER(SUBSTITUTE($E5261," ","")))</f>
        <v/>
      </c>
      <c r="K5261" s="10" t="str">
        <f aca="false">IF($A5261="","",$G5261&amp;"|"&amp;$J5261)</f>
        <v/>
      </c>
      <c r="L5261" s="10" t="str">
        <f aca="false">IF($A5261="","",ROW()-2)</f>
        <v/>
      </c>
      <c r="M5261" s="10" t="str">
        <f aca="false">IF($A5261="","",ROW())</f>
        <v/>
      </c>
    </row>
    <row r="5262" customFormat="false" ht="15" hidden="false" customHeight="true" outlineLevel="0" collapsed="false">
      <c r="A5262" s="8"/>
      <c r="B5262" s="8"/>
      <c r="C5262" s="8"/>
      <c r="D5262" s="8"/>
      <c r="E5262" s="8"/>
      <c r="F5262" s="8"/>
      <c r="G5262" s="10" t="str">
        <f aca="false">IF($A5262="","",UPPER(SUBSTITUTE(SUBSTITUTE(SUBSTITUTE(SUBSTITUTE($A5262," ",""),"(주)",""),"주식회사",""),"㈜","")))</f>
        <v/>
      </c>
      <c r="H5262" s="10" t="str">
        <f aca="false">IF($B5262="","",SUBSTITUTE(SUBSTITUTE(SUBSTITUTE($B5262,"-","")," ",""),".",""))</f>
        <v/>
      </c>
      <c r="I5262" s="10" t="str">
        <f aca="false">IF($D5262="","",SUBSTITUTE(SUBSTITUTE(SUBSTITUTE($D5262,"-","")," ",""),".",""))</f>
        <v/>
      </c>
      <c r="J5262" s="10" t="str">
        <f aca="false">IF($E5262="","",UPPER(SUBSTITUTE($E5262," ","")))</f>
        <v/>
      </c>
      <c r="K5262" s="10" t="str">
        <f aca="false">IF($A5262="","",$G5262&amp;"|"&amp;$J5262)</f>
        <v/>
      </c>
      <c r="L5262" s="10" t="str">
        <f aca="false">IF($A5262="","",ROW()-2)</f>
        <v/>
      </c>
      <c r="M5262" s="10" t="str">
        <f aca="false">IF($A5262="","",ROW())</f>
        <v/>
      </c>
    </row>
    <row r="5263" customFormat="false" ht="15" hidden="false" customHeight="true" outlineLevel="0" collapsed="false">
      <c r="A5263" s="8"/>
      <c r="B5263" s="8"/>
      <c r="C5263" s="8"/>
      <c r="D5263" s="8"/>
      <c r="E5263" s="8"/>
      <c r="F5263" s="8"/>
      <c r="G5263" s="10" t="str">
        <f aca="false">IF($A5263="","",UPPER(SUBSTITUTE(SUBSTITUTE(SUBSTITUTE(SUBSTITUTE($A5263," ",""),"(주)",""),"주식회사",""),"㈜","")))</f>
        <v/>
      </c>
      <c r="H5263" s="10" t="str">
        <f aca="false">IF($B5263="","",SUBSTITUTE(SUBSTITUTE(SUBSTITUTE($B5263,"-","")," ",""),".",""))</f>
        <v/>
      </c>
      <c r="I5263" s="10" t="str">
        <f aca="false">IF($D5263="","",SUBSTITUTE(SUBSTITUTE(SUBSTITUTE($D5263,"-","")," ",""),".",""))</f>
        <v/>
      </c>
      <c r="J5263" s="10" t="str">
        <f aca="false">IF($E5263="","",UPPER(SUBSTITUTE($E5263," ","")))</f>
        <v/>
      </c>
      <c r="K5263" s="10" t="str">
        <f aca="false">IF($A5263="","",$G5263&amp;"|"&amp;$J5263)</f>
        <v/>
      </c>
      <c r="L5263" s="10" t="str">
        <f aca="false">IF($A5263="","",ROW()-2)</f>
        <v/>
      </c>
      <c r="M5263" s="10" t="str">
        <f aca="false">IF($A5263="","",ROW())</f>
        <v/>
      </c>
    </row>
    <row r="5264" customFormat="false" ht="15" hidden="false" customHeight="true" outlineLevel="0" collapsed="false">
      <c r="A5264" s="8"/>
      <c r="B5264" s="8"/>
      <c r="C5264" s="8"/>
      <c r="D5264" s="8"/>
      <c r="E5264" s="8"/>
      <c r="F5264" s="8"/>
      <c r="G5264" s="10" t="str">
        <f aca="false">IF($A5264="","",UPPER(SUBSTITUTE(SUBSTITUTE(SUBSTITUTE(SUBSTITUTE($A5264," ",""),"(주)",""),"주식회사",""),"㈜","")))</f>
        <v/>
      </c>
      <c r="H5264" s="10" t="str">
        <f aca="false">IF($B5264="","",SUBSTITUTE(SUBSTITUTE(SUBSTITUTE($B5264,"-","")," ",""),".",""))</f>
        <v/>
      </c>
      <c r="I5264" s="10" t="str">
        <f aca="false">IF($D5264="","",SUBSTITUTE(SUBSTITUTE(SUBSTITUTE($D5264,"-","")," ",""),".",""))</f>
        <v/>
      </c>
      <c r="J5264" s="10" t="str">
        <f aca="false">IF($E5264="","",UPPER(SUBSTITUTE($E5264," ","")))</f>
        <v/>
      </c>
      <c r="K5264" s="10" t="str">
        <f aca="false">IF($A5264="","",$G5264&amp;"|"&amp;$J5264)</f>
        <v/>
      </c>
      <c r="L5264" s="10" t="str">
        <f aca="false">IF($A5264="","",ROW()-2)</f>
        <v/>
      </c>
      <c r="M5264" s="10" t="str">
        <f aca="false">IF($A5264="","",ROW())</f>
        <v/>
      </c>
    </row>
    <row r="5265" customFormat="false" ht="15" hidden="false" customHeight="true" outlineLevel="0" collapsed="false">
      <c r="A5265" s="8"/>
      <c r="B5265" s="8"/>
      <c r="C5265" s="8"/>
      <c r="D5265" s="8"/>
      <c r="E5265" s="8"/>
      <c r="F5265" s="8"/>
      <c r="G5265" s="10" t="str">
        <f aca="false">IF($A5265="","",UPPER(SUBSTITUTE(SUBSTITUTE(SUBSTITUTE(SUBSTITUTE($A5265," ",""),"(주)",""),"주식회사",""),"㈜","")))</f>
        <v/>
      </c>
      <c r="H5265" s="10" t="str">
        <f aca="false">IF($B5265="","",SUBSTITUTE(SUBSTITUTE(SUBSTITUTE($B5265,"-","")," ",""),".",""))</f>
        <v/>
      </c>
      <c r="I5265" s="10" t="str">
        <f aca="false">IF($D5265="","",SUBSTITUTE(SUBSTITUTE(SUBSTITUTE($D5265,"-","")," ",""),".",""))</f>
        <v/>
      </c>
      <c r="J5265" s="10" t="str">
        <f aca="false">IF($E5265="","",UPPER(SUBSTITUTE($E5265," ","")))</f>
        <v/>
      </c>
      <c r="K5265" s="10" t="str">
        <f aca="false">IF($A5265="","",$G5265&amp;"|"&amp;$J5265)</f>
        <v/>
      </c>
      <c r="L5265" s="10" t="str">
        <f aca="false">IF($A5265="","",ROW()-2)</f>
        <v/>
      </c>
      <c r="M5265" s="10" t="str">
        <f aca="false">IF($A5265="","",ROW())</f>
        <v/>
      </c>
    </row>
    <row r="5266" customFormat="false" ht="15" hidden="false" customHeight="true" outlineLevel="0" collapsed="false">
      <c r="A5266" s="8"/>
      <c r="B5266" s="8"/>
      <c r="C5266" s="8"/>
      <c r="D5266" s="8"/>
      <c r="E5266" s="8"/>
      <c r="F5266" s="8"/>
      <c r="G5266" s="10" t="str">
        <f aca="false">IF($A5266="","",UPPER(SUBSTITUTE(SUBSTITUTE(SUBSTITUTE(SUBSTITUTE($A5266," ",""),"(주)",""),"주식회사",""),"㈜","")))</f>
        <v/>
      </c>
      <c r="H5266" s="10" t="str">
        <f aca="false">IF($B5266="","",SUBSTITUTE(SUBSTITUTE(SUBSTITUTE($B5266,"-","")," ",""),".",""))</f>
        <v/>
      </c>
      <c r="I5266" s="10" t="str">
        <f aca="false">IF($D5266="","",SUBSTITUTE(SUBSTITUTE(SUBSTITUTE($D5266,"-","")," ",""),".",""))</f>
        <v/>
      </c>
      <c r="J5266" s="10" t="str">
        <f aca="false">IF($E5266="","",UPPER(SUBSTITUTE($E5266," ","")))</f>
        <v/>
      </c>
      <c r="K5266" s="10" t="str">
        <f aca="false">IF($A5266="","",$G5266&amp;"|"&amp;$J5266)</f>
        <v/>
      </c>
      <c r="L5266" s="10" t="str">
        <f aca="false">IF($A5266="","",ROW()-2)</f>
        <v/>
      </c>
      <c r="M5266" s="10" t="str">
        <f aca="false">IF($A5266="","",ROW())</f>
        <v/>
      </c>
    </row>
    <row r="5267" customFormat="false" ht="15" hidden="false" customHeight="true" outlineLevel="0" collapsed="false">
      <c r="A5267" s="8"/>
      <c r="B5267" s="8"/>
      <c r="C5267" s="8"/>
      <c r="D5267" s="8"/>
      <c r="E5267" s="8"/>
      <c r="F5267" s="8"/>
      <c r="G5267" s="10" t="str">
        <f aca="false">IF($A5267="","",UPPER(SUBSTITUTE(SUBSTITUTE(SUBSTITUTE(SUBSTITUTE($A5267," ",""),"(주)",""),"주식회사",""),"㈜","")))</f>
        <v/>
      </c>
      <c r="H5267" s="10" t="str">
        <f aca="false">IF($B5267="","",SUBSTITUTE(SUBSTITUTE(SUBSTITUTE($B5267,"-","")," ",""),".",""))</f>
        <v/>
      </c>
      <c r="I5267" s="10" t="str">
        <f aca="false">IF($D5267="","",SUBSTITUTE(SUBSTITUTE(SUBSTITUTE($D5267,"-","")," ",""),".",""))</f>
        <v/>
      </c>
      <c r="J5267" s="10" t="str">
        <f aca="false">IF($E5267="","",UPPER(SUBSTITUTE($E5267," ","")))</f>
        <v/>
      </c>
      <c r="K5267" s="10" t="str">
        <f aca="false">IF($A5267="","",$G5267&amp;"|"&amp;$J5267)</f>
        <v/>
      </c>
      <c r="L5267" s="10" t="str">
        <f aca="false">IF($A5267="","",ROW()-2)</f>
        <v/>
      </c>
      <c r="M5267" s="10" t="str">
        <f aca="false">IF($A5267="","",ROW())</f>
        <v/>
      </c>
    </row>
    <row r="5268" customFormat="false" ht="15" hidden="false" customHeight="true" outlineLevel="0" collapsed="false">
      <c r="A5268" s="8"/>
      <c r="B5268" s="8"/>
      <c r="C5268" s="8"/>
      <c r="D5268" s="8"/>
      <c r="E5268" s="8"/>
      <c r="F5268" s="8"/>
      <c r="G5268" s="10" t="str">
        <f aca="false">IF($A5268="","",UPPER(SUBSTITUTE(SUBSTITUTE(SUBSTITUTE(SUBSTITUTE($A5268," ",""),"(주)",""),"주식회사",""),"㈜","")))</f>
        <v/>
      </c>
      <c r="H5268" s="10" t="str">
        <f aca="false">IF($B5268="","",SUBSTITUTE(SUBSTITUTE(SUBSTITUTE($B5268,"-","")," ",""),".",""))</f>
        <v/>
      </c>
      <c r="I5268" s="10" t="str">
        <f aca="false">IF($D5268="","",SUBSTITUTE(SUBSTITUTE(SUBSTITUTE($D5268,"-","")," ",""),".",""))</f>
        <v/>
      </c>
      <c r="J5268" s="10" t="str">
        <f aca="false">IF($E5268="","",UPPER(SUBSTITUTE($E5268," ","")))</f>
        <v/>
      </c>
      <c r="K5268" s="10" t="str">
        <f aca="false">IF($A5268="","",$G5268&amp;"|"&amp;$J5268)</f>
        <v/>
      </c>
      <c r="L5268" s="10" t="str">
        <f aca="false">IF($A5268="","",ROW()-2)</f>
        <v/>
      </c>
      <c r="M5268" s="10" t="str">
        <f aca="false">IF($A5268="","",ROW())</f>
        <v/>
      </c>
    </row>
    <row r="5269" customFormat="false" ht="15" hidden="false" customHeight="true" outlineLevel="0" collapsed="false">
      <c r="A5269" s="8"/>
      <c r="B5269" s="8"/>
      <c r="C5269" s="8"/>
      <c r="D5269" s="8"/>
      <c r="E5269" s="8"/>
      <c r="F5269" s="8"/>
      <c r="G5269" s="10" t="str">
        <f aca="false">IF($A5269="","",UPPER(SUBSTITUTE(SUBSTITUTE(SUBSTITUTE(SUBSTITUTE($A5269," ",""),"(주)",""),"주식회사",""),"㈜","")))</f>
        <v/>
      </c>
      <c r="H5269" s="10" t="str">
        <f aca="false">IF($B5269="","",SUBSTITUTE(SUBSTITUTE(SUBSTITUTE($B5269,"-","")," ",""),".",""))</f>
        <v/>
      </c>
      <c r="I5269" s="10" t="str">
        <f aca="false">IF($D5269="","",SUBSTITUTE(SUBSTITUTE(SUBSTITUTE($D5269,"-","")," ",""),".",""))</f>
        <v/>
      </c>
      <c r="J5269" s="10" t="str">
        <f aca="false">IF($E5269="","",UPPER(SUBSTITUTE($E5269," ","")))</f>
        <v/>
      </c>
      <c r="K5269" s="10" t="str">
        <f aca="false">IF($A5269="","",$G5269&amp;"|"&amp;$J5269)</f>
        <v/>
      </c>
      <c r="L5269" s="10" t="str">
        <f aca="false">IF($A5269="","",ROW()-2)</f>
        <v/>
      </c>
      <c r="M5269" s="10" t="str">
        <f aca="false">IF($A5269="","",ROW())</f>
        <v/>
      </c>
    </row>
    <row r="5270" customFormat="false" ht="15" hidden="false" customHeight="true" outlineLevel="0" collapsed="false">
      <c r="A5270" s="8"/>
      <c r="B5270" s="8"/>
      <c r="C5270" s="8"/>
      <c r="D5270" s="8"/>
      <c r="E5270" s="8"/>
      <c r="F5270" s="8"/>
      <c r="G5270" s="10" t="str">
        <f aca="false">IF($A5270="","",UPPER(SUBSTITUTE(SUBSTITUTE(SUBSTITUTE(SUBSTITUTE($A5270," ",""),"(주)",""),"주식회사",""),"㈜","")))</f>
        <v/>
      </c>
      <c r="H5270" s="10" t="str">
        <f aca="false">IF($B5270="","",SUBSTITUTE(SUBSTITUTE(SUBSTITUTE($B5270,"-","")," ",""),".",""))</f>
        <v/>
      </c>
      <c r="I5270" s="10" t="str">
        <f aca="false">IF($D5270="","",SUBSTITUTE(SUBSTITUTE(SUBSTITUTE($D5270,"-","")," ",""),".",""))</f>
        <v/>
      </c>
      <c r="J5270" s="10" t="str">
        <f aca="false">IF($E5270="","",UPPER(SUBSTITUTE($E5270," ","")))</f>
        <v/>
      </c>
      <c r="K5270" s="10" t="str">
        <f aca="false">IF($A5270="","",$G5270&amp;"|"&amp;$J5270)</f>
        <v/>
      </c>
      <c r="L5270" s="10" t="str">
        <f aca="false">IF($A5270="","",ROW()-2)</f>
        <v/>
      </c>
      <c r="M5270" s="10" t="str">
        <f aca="false">IF($A5270="","",ROW())</f>
        <v/>
      </c>
    </row>
    <row r="5271" customFormat="false" ht="15" hidden="false" customHeight="true" outlineLevel="0" collapsed="false">
      <c r="A5271" s="8"/>
      <c r="B5271" s="8"/>
      <c r="C5271" s="8"/>
      <c r="D5271" s="8"/>
      <c r="E5271" s="8"/>
      <c r="F5271" s="8"/>
      <c r="G5271" s="10" t="str">
        <f aca="false">IF($A5271="","",UPPER(SUBSTITUTE(SUBSTITUTE(SUBSTITUTE(SUBSTITUTE($A5271," ",""),"(주)",""),"주식회사",""),"㈜","")))</f>
        <v/>
      </c>
      <c r="H5271" s="10" t="str">
        <f aca="false">IF($B5271="","",SUBSTITUTE(SUBSTITUTE(SUBSTITUTE($B5271,"-","")," ",""),".",""))</f>
        <v/>
      </c>
      <c r="I5271" s="10" t="str">
        <f aca="false">IF($D5271="","",SUBSTITUTE(SUBSTITUTE(SUBSTITUTE($D5271,"-","")," ",""),".",""))</f>
        <v/>
      </c>
      <c r="J5271" s="10" t="str">
        <f aca="false">IF($E5271="","",UPPER(SUBSTITUTE($E5271," ","")))</f>
        <v/>
      </c>
      <c r="K5271" s="10" t="str">
        <f aca="false">IF($A5271="","",$G5271&amp;"|"&amp;$J5271)</f>
        <v/>
      </c>
      <c r="L5271" s="10" t="str">
        <f aca="false">IF($A5271="","",ROW()-2)</f>
        <v/>
      </c>
      <c r="M5271" s="10" t="str">
        <f aca="false">IF($A5271="","",ROW())</f>
        <v/>
      </c>
    </row>
    <row r="5272" customFormat="false" ht="15" hidden="false" customHeight="true" outlineLevel="0" collapsed="false">
      <c r="A5272" s="8"/>
      <c r="B5272" s="8"/>
      <c r="C5272" s="8"/>
      <c r="D5272" s="8"/>
      <c r="E5272" s="8"/>
      <c r="F5272" s="8"/>
      <c r="G5272" s="10" t="str">
        <f aca="false">IF($A5272="","",UPPER(SUBSTITUTE(SUBSTITUTE(SUBSTITUTE(SUBSTITUTE($A5272," ",""),"(주)",""),"주식회사",""),"㈜","")))</f>
        <v/>
      </c>
      <c r="H5272" s="10" t="str">
        <f aca="false">IF($B5272="","",SUBSTITUTE(SUBSTITUTE(SUBSTITUTE($B5272,"-","")," ",""),".",""))</f>
        <v/>
      </c>
      <c r="I5272" s="10" t="str">
        <f aca="false">IF($D5272="","",SUBSTITUTE(SUBSTITUTE(SUBSTITUTE($D5272,"-","")," ",""),".",""))</f>
        <v/>
      </c>
      <c r="J5272" s="10" t="str">
        <f aca="false">IF($E5272="","",UPPER(SUBSTITUTE($E5272," ","")))</f>
        <v/>
      </c>
      <c r="K5272" s="10" t="str">
        <f aca="false">IF($A5272="","",$G5272&amp;"|"&amp;$J5272)</f>
        <v/>
      </c>
      <c r="L5272" s="10" t="str">
        <f aca="false">IF($A5272="","",ROW()-2)</f>
        <v/>
      </c>
      <c r="M5272" s="10" t="str">
        <f aca="false">IF($A5272="","",ROW())</f>
        <v/>
      </c>
    </row>
    <row r="5273" customFormat="false" ht="15" hidden="false" customHeight="true" outlineLevel="0" collapsed="false">
      <c r="A5273" s="8"/>
      <c r="B5273" s="8"/>
      <c r="C5273" s="8"/>
      <c r="D5273" s="8"/>
      <c r="E5273" s="8"/>
      <c r="F5273" s="8"/>
      <c r="G5273" s="10" t="str">
        <f aca="false">IF($A5273="","",UPPER(SUBSTITUTE(SUBSTITUTE(SUBSTITUTE(SUBSTITUTE($A5273," ",""),"(주)",""),"주식회사",""),"㈜","")))</f>
        <v/>
      </c>
      <c r="H5273" s="10" t="str">
        <f aca="false">IF($B5273="","",SUBSTITUTE(SUBSTITUTE(SUBSTITUTE($B5273,"-","")," ",""),".",""))</f>
        <v/>
      </c>
      <c r="I5273" s="10" t="str">
        <f aca="false">IF($D5273="","",SUBSTITUTE(SUBSTITUTE(SUBSTITUTE($D5273,"-","")," ",""),".",""))</f>
        <v/>
      </c>
      <c r="J5273" s="10" t="str">
        <f aca="false">IF($E5273="","",UPPER(SUBSTITUTE($E5273," ","")))</f>
        <v/>
      </c>
      <c r="K5273" s="10" t="str">
        <f aca="false">IF($A5273="","",$G5273&amp;"|"&amp;$J5273)</f>
        <v/>
      </c>
      <c r="L5273" s="10" t="str">
        <f aca="false">IF($A5273="","",ROW()-2)</f>
        <v/>
      </c>
      <c r="M5273" s="10" t="str">
        <f aca="false">IF($A5273="","",ROW())</f>
        <v/>
      </c>
    </row>
    <row r="5274" customFormat="false" ht="15" hidden="false" customHeight="true" outlineLevel="0" collapsed="false">
      <c r="A5274" s="8"/>
      <c r="B5274" s="8"/>
      <c r="C5274" s="8"/>
      <c r="D5274" s="8"/>
      <c r="E5274" s="8"/>
      <c r="F5274" s="8"/>
      <c r="G5274" s="10" t="str">
        <f aca="false">IF($A5274="","",UPPER(SUBSTITUTE(SUBSTITUTE(SUBSTITUTE(SUBSTITUTE($A5274," ",""),"(주)",""),"주식회사",""),"㈜","")))</f>
        <v/>
      </c>
      <c r="H5274" s="10" t="str">
        <f aca="false">IF($B5274="","",SUBSTITUTE(SUBSTITUTE(SUBSTITUTE($B5274,"-","")," ",""),".",""))</f>
        <v/>
      </c>
      <c r="I5274" s="10" t="str">
        <f aca="false">IF($D5274="","",SUBSTITUTE(SUBSTITUTE(SUBSTITUTE($D5274,"-","")," ",""),".",""))</f>
        <v/>
      </c>
      <c r="J5274" s="10" t="str">
        <f aca="false">IF($E5274="","",UPPER(SUBSTITUTE($E5274," ","")))</f>
        <v/>
      </c>
      <c r="K5274" s="10" t="str">
        <f aca="false">IF($A5274="","",$G5274&amp;"|"&amp;$J5274)</f>
        <v/>
      </c>
      <c r="L5274" s="10" t="str">
        <f aca="false">IF($A5274="","",ROW()-2)</f>
        <v/>
      </c>
      <c r="M5274" s="10" t="str">
        <f aca="false">IF($A5274="","",ROW())</f>
        <v/>
      </c>
    </row>
    <row r="5275" customFormat="false" ht="15" hidden="false" customHeight="true" outlineLevel="0" collapsed="false">
      <c r="A5275" s="8"/>
      <c r="B5275" s="8"/>
      <c r="C5275" s="8"/>
      <c r="D5275" s="8"/>
      <c r="E5275" s="8"/>
      <c r="F5275" s="8"/>
      <c r="G5275" s="10" t="str">
        <f aca="false">IF($A5275="","",UPPER(SUBSTITUTE(SUBSTITUTE(SUBSTITUTE(SUBSTITUTE($A5275," ",""),"(주)",""),"주식회사",""),"㈜","")))</f>
        <v/>
      </c>
      <c r="H5275" s="10" t="str">
        <f aca="false">IF($B5275="","",SUBSTITUTE(SUBSTITUTE(SUBSTITUTE($B5275,"-","")," ",""),".",""))</f>
        <v/>
      </c>
      <c r="I5275" s="10" t="str">
        <f aca="false">IF($D5275="","",SUBSTITUTE(SUBSTITUTE(SUBSTITUTE($D5275,"-","")," ",""),".",""))</f>
        <v/>
      </c>
      <c r="J5275" s="10" t="str">
        <f aca="false">IF($E5275="","",UPPER(SUBSTITUTE($E5275," ","")))</f>
        <v/>
      </c>
      <c r="K5275" s="10" t="str">
        <f aca="false">IF($A5275="","",$G5275&amp;"|"&amp;$J5275)</f>
        <v/>
      </c>
      <c r="L5275" s="10" t="str">
        <f aca="false">IF($A5275="","",ROW()-2)</f>
        <v/>
      </c>
      <c r="M5275" s="10" t="str">
        <f aca="false">IF($A5275="","",ROW())</f>
        <v/>
      </c>
    </row>
    <row r="5276" customFormat="false" ht="15" hidden="false" customHeight="true" outlineLevel="0" collapsed="false">
      <c r="A5276" s="8"/>
      <c r="B5276" s="8"/>
      <c r="C5276" s="8"/>
      <c r="D5276" s="8"/>
      <c r="E5276" s="8"/>
      <c r="F5276" s="8"/>
      <c r="G5276" s="10" t="str">
        <f aca="false">IF($A5276="","",UPPER(SUBSTITUTE(SUBSTITUTE(SUBSTITUTE(SUBSTITUTE($A5276," ",""),"(주)",""),"주식회사",""),"㈜","")))</f>
        <v/>
      </c>
      <c r="H5276" s="10" t="str">
        <f aca="false">IF($B5276="","",SUBSTITUTE(SUBSTITUTE(SUBSTITUTE($B5276,"-","")," ",""),".",""))</f>
        <v/>
      </c>
      <c r="I5276" s="10" t="str">
        <f aca="false">IF($D5276="","",SUBSTITUTE(SUBSTITUTE(SUBSTITUTE($D5276,"-","")," ",""),".",""))</f>
        <v/>
      </c>
      <c r="J5276" s="10" t="str">
        <f aca="false">IF($E5276="","",UPPER(SUBSTITUTE($E5276," ","")))</f>
        <v/>
      </c>
      <c r="K5276" s="10" t="str">
        <f aca="false">IF($A5276="","",$G5276&amp;"|"&amp;$J5276)</f>
        <v/>
      </c>
      <c r="L5276" s="10" t="str">
        <f aca="false">IF($A5276="","",ROW()-2)</f>
        <v/>
      </c>
      <c r="M5276" s="10" t="str">
        <f aca="false">IF($A5276="","",ROW())</f>
        <v/>
      </c>
    </row>
    <row r="5277" customFormat="false" ht="15" hidden="false" customHeight="true" outlineLevel="0" collapsed="false">
      <c r="A5277" s="8"/>
      <c r="B5277" s="8"/>
      <c r="C5277" s="8"/>
      <c r="D5277" s="8"/>
      <c r="E5277" s="8"/>
      <c r="F5277" s="8"/>
      <c r="G5277" s="10" t="str">
        <f aca="false">IF($A5277="","",UPPER(SUBSTITUTE(SUBSTITUTE(SUBSTITUTE(SUBSTITUTE($A5277," ",""),"(주)",""),"주식회사",""),"㈜","")))</f>
        <v/>
      </c>
      <c r="H5277" s="10" t="str">
        <f aca="false">IF($B5277="","",SUBSTITUTE(SUBSTITUTE(SUBSTITUTE($B5277,"-","")," ",""),".",""))</f>
        <v/>
      </c>
      <c r="I5277" s="10" t="str">
        <f aca="false">IF($D5277="","",SUBSTITUTE(SUBSTITUTE(SUBSTITUTE($D5277,"-","")," ",""),".",""))</f>
        <v/>
      </c>
      <c r="J5277" s="10" t="str">
        <f aca="false">IF($E5277="","",UPPER(SUBSTITUTE($E5277," ","")))</f>
        <v/>
      </c>
      <c r="K5277" s="10" t="str">
        <f aca="false">IF($A5277="","",$G5277&amp;"|"&amp;$J5277)</f>
        <v/>
      </c>
      <c r="L5277" s="10" t="str">
        <f aca="false">IF($A5277="","",ROW()-2)</f>
        <v/>
      </c>
      <c r="M5277" s="10" t="str">
        <f aca="false">IF($A5277="","",ROW())</f>
        <v/>
      </c>
    </row>
    <row r="5278" customFormat="false" ht="15" hidden="false" customHeight="true" outlineLevel="0" collapsed="false">
      <c r="A5278" s="8"/>
      <c r="B5278" s="8"/>
      <c r="C5278" s="8"/>
      <c r="D5278" s="8"/>
      <c r="E5278" s="8"/>
      <c r="F5278" s="8"/>
      <c r="G5278" s="10" t="str">
        <f aca="false">IF($A5278="","",UPPER(SUBSTITUTE(SUBSTITUTE(SUBSTITUTE(SUBSTITUTE($A5278," ",""),"(주)",""),"주식회사",""),"㈜","")))</f>
        <v/>
      </c>
      <c r="H5278" s="10" t="str">
        <f aca="false">IF($B5278="","",SUBSTITUTE(SUBSTITUTE(SUBSTITUTE($B5278,"-","")," ",""),".",""))</f>
        <v/>
      </c>
      <c r="I5278" s="10" t="str">
        <f aca="false">IF($D5278="","",SUBSTITUTE(SUBSTITUTE(SUBSTITUTE($D5278,"-","")," ",""),".",""))</f>
        <v/>
      </c>
      <c r="J5278" s="10" t="str">
        <f aca="false">IF($E5278="","",UPPER(SUBSTITUTE($E5278," ","")))</f>
        <v/>
      </c>
      <c r="K5278" s="10" t="str">
        <f aca="false">IF($A5278="","",$G5278&amp;"|"&amp;$J5278)</f>
        <v/>
      </c>
      <c r="L5278" s="10" t="str">
        <f aca="false">IF($A5278="","",ROW()-2)</f>
        <v/>
      </c>
      <c r="M5278" s="10" t="str">
        <f aca="false">IF($A5278="","",ROW())</f>
        <v/>
      </c>
    </row>
    <row r="5279" customFormat="false" ht="15" hidden="false" customHeight="true" outlineLevel="0" collapsed="false">
      <c r="A5279" s="8"/>
      <c r="B5279" s="8"/>
      <c r="C5279" s="8"/>
      <c r="D5279" s="8"/>
      <c r="E5279" s="8"/>
      <c r="F5279" s="8"/>
      <c r="G5279" s="10" t="str">
        <f aca="false">IF($A5279="","",UPPER(SUBSTITUTE(SUBSTITUTE(SUBSTITUTE(SUBSTITUTE($A5279," ",""),"(주)",""),"주식회사",""),"㈜","")))</f>
        <v/>
      </c>
      <c r="H5279" s="10" t="str">
        <f aca="false">IF($B5279="","",SUBSTITUTE(SUBSTITUTE(SUBSTITUTE($B5279,"-","")," ",""),".",""))</f>
        <v/>
      </c>
      <c r="I5279" s="10" t="str">
        <f aca="false">IF($D5279="","",SUBSTITUTE(SUBSTITUTE(SUBSTITUTE($D5279,"-","")," ",""),".",""))</f>
        <v/>
      </c>
      <c r="J5279" s="10" t="str">
        <f aca="false">IF($E5279="","",UPPER(SUBSTITUTE($E5279," ","")))</f>
        <v/>
      </c>
      <c r="K5279" s="10" t="str">
        <f aca="false">IF($A5279="","",$G5279&amp;"|"&amp;$J5279)</f>
        <v/>
      </c>
      <c r="L5279" s="10" t="str">
        <f aca="false">IF($A5279="","",ROW()-2)</f>
        <v/>
      </c>
      <c r="M5279" s="10" t="str">
        <f aca="false">IF($A5279="","",ROW())</f>
        <v/>
      </c>
    </row>
    <row r="5280" customFormat="false" ht="15" hidden="false" customHeight="true" outlineLevel="0" collapsed="false">
      <c r="A5280" s="8"/>
      <c r="B5280" s="8"/>
      <c r="C5280" s="8"/>
      <c r="D5280" s="8"/>
      <c r="E5280" s="8"/>
      <c r="F5280" s="8"/>
      <c r="G5280" s="10" t="str">
        <f aca="false">IF($A5280="","",UPPER(SUBSTITUTE(SUBSTITUTE(SUBSTITUTE(SUBSTITUTE($A5280," ",""),"(주)",""),"주식회사",""),"㈜","")))</f>
        <v/>
      </c>
      <c r="H5280" s="10" t="str">
        <f aca="false">IF($B5280="","",SUBSTITUTE(SUBSTITUTE(SUBSTITUTE($B5280,"-","")," ",""),".",""))</f>
        <v/>
      </c>
      <c r="I5280" s="10" t="str">
        <f aca="false">IF($D5280="","",SUBSTITUTE(SUBSTITUTE(SUBSTITUTE($D5280,"-","")," ",""),".",""))</f>
        <v/>
      </c>
      <c r="J5280" s="10" t="str">
        <f aca="false">IF($E5280="","",UPPER(SUBSTITUTE($E5280," ","")))</f>
        <v/>
      </c>
      <c r="K5280" s="10" t="str">
        <f aca="false">IF($A5280="","",$G5280&amp;"|"&amp;$J5280)</f>
        <v/>
      </c>
      <c r="L5280" s="10" t="str">
        <f aca="false">IF($A5280="","",ROW()-2)</f>
        <v/>
      </c>
      <c r="M5280" s="10" t="str">
        <f aca="false">IF($A5280="","",ROW())</f>
        <v/>
      </c>
    </row>
    <row r="5281" customFormat="false" ht="15" hidden="false" customHeight="true" outlineLevel="0" collapsed="false">
      <c r="A5281" s="8"/>
      <c r="B5281" s="8"/>
      <c r="C5281" s="8"/>
      <c r="D5281" s="8"/>
      <c r="E5281" s="8"/>
      <c r="F5281" s="8"/>
      <c r="G5281" s="10" t="str">
        <f aca="false">IF($A5281="","",UPPER(SUBSTITUTE(SUBSTITUTE(SUBSTITUTE(SUBSTITUTE($A5281," ",""),"(주)",""),"주식회사",""),"㈜","")))</f>
        <v/>
      </c>
      <c r="H5281" s="10" t="str">
        <f aca="false">IF($B5281="","",SUBSTITUTE(SUBSTITUTE(SUBSTITUTE($B5281,"-","")," ",""),".",""))</f>
        <v/>
      </c>
      <c r="I5281" s="10" t="str">
        <f aca="false">IF($D5281="","",SUBSTITUTE(SUBSTITUTE(SUBSTITUTE($D5281,"-","")," ",""),".",""))</f>
        <v/>
      </c>
      <c r="J5281" s="10" t="str">
        <f aca="false">IF($E5281="","",UPPER(SUBSTITUTE($E5281," ","")))</f>
        <v/>
      </c>
      <c r="K5281" s="10" t="str">
        <f aca="false">IF($A5281="","",$G5281&amp;"|"&amp;$J5281)</f>
        <v/>
      </c>
      <c r="L5281" s="10" t="str">
        <f aca="false">IF($A5281="","",ROW()-2)</f>
        <v/>
      </c>
      <c r="M5281" s="10" t="str">
        <f aca="false">IF($A5281="","",ROW())</f>
        <v/>
      </c>
    </row>
    <row r="5282" customFormat="false" ht="15" hidden="false" customHeight="true" outlineLevel="0" collapsed="false">
      <c r="A5282" s="8"/>
      <c r="B5282" s="8"/>
      <c r="C5282" s="8"/>
      <c r="D5282" s="8"/>
      <c r="E5282" s="8"/>
      <c r="F5282" s="8"/>
      <c r="G5282" s="10" t="str">
        <f aca="false">IF($A5282="","",UPPER(SUBSTITUTE(SUBSTITUTE(SUBSTITUTE(SUBSTITUTE($A5282," ",""),"(주)",""),"주식회사",""),"㈜","")))</f>
        <v/>
      </c>
      <c r="H5282" s="10" t="str">
        <f aca="false">IF($B5282="","",SUBSTITUTE(SUBSTITUTE(SUBSTITUTE($B5282,"-","")," ",""),".",""))</f>
        <v/>
      </c>
      <c r="I5282" s="10" t="str">
        <f aca="false">IF($D5282="","",SUBSTITUTE(SUBSTITUTE(SUBSTITUTE($D5282,"-","")," ",""),".",""))</f>
        <v/>
      </c>
      <c r="J5282" s="10" t="str">
        <f aca="false">IF($E5282="","",UPPER(SUBSTITUTE($E5282," ","")))</f>
        <v/>
      </c>
      <c r="K5282" s="10" t="str">
        <f aca="false">IF($A5282="","",$G5282&amp;"|"&amp;$J5282)</f>
        <v/>
      </c>
      <c r="L5282" s="10" t="str">
        <f aca="false">IF($A5282="","",ROW()-2)</f>
        <v/>
      </c>
      <c r="M5282" s="10" t="str">
        <f aca="false">IF($A5282="","",ROW())</f>
        <v/>
      </c>
    </row>
    <row r="5283" customFormat="false" ht="15" hidden="false" customHeight="true" outlineLevel="0" collapsed="false">
      <c r="A5283" s="8"/>
      <c r="B5283" s="8"/>
      <c r="C5283" s="8"/>
      <c r="D5283" s="8"/>
      <c r="E5283" s="8"/>
      <c r="F5283" s="8"/>
      <c r="G5283" s="10" t="str">
        <f aca="false">IF($A5283="","",UPPER(SUBSTITUTE(SUBSTITUTE(SUBSTITUTE(SUBSTITUTE($A5283," ",""),"(주)",""),"주식회사",""),"㈜","")))</f>
        <v/>
      </c>
      <c r="H5283" s="10" t="str">
        <f aca="false">IF($B5283="","",SUBSTITUTE(SUBSTITUTE(SUBSTITUTE($B5283,"-","")," ",""),".",""))</f>
        <v/>
      </c>
      <c r="I5283" s="10" t="str">
        <f aca="false">IF($D5283="","",SUBSTITUTE(SUBSTITUTE(SUBSTITUTE($D5283,"-","")," ",""),".",""))</f>
        <v/>
      </c>
      <c r="J5283" s="10" t="str">
        <f aca="false">IF($E5283="","",UPPER(SUBSTITUTE($E5283," ","")))</f>
        <v/>
      </c>
      <c r="K5283" s="10" t="str">
        <f aca="false">IF($A5283="","",$G5283&amp;"|"&amp;$J5283)</f>
        <v/>
      </c>
      <c r="L5283" s="10" t="str">
        <f aca="false">IF($A5283="","",ROW()-2)</f>
        <v/>
      </c>
      <c r="M5283" s="10" t="str">
        <f aca="false">IF($A5283="","",ROW())</f>
        <v/>
      </c>
    </row>
    <row r="5284" customFormat="false" ht="15" hidden="false" customHeight="true" outlineLevel="0" collapsed="false">
      <c r="A5284" s="8"/>
      <c r="B5284" s="8"/>
      <c r="C5284" s="8"/>
      <c r="D5284" s="8"/>
      <c r="E5284" s="8"/>
      <c r="F5284" s="8"/>
      <c r="G5284" s="10" t="str">
        <f aca="false">IF($A5284="","",UPPER(SUBSTITUTE(SUBSTITUTE(SUBSTITUTE(SUBSTITUTE($A5284," ",""),"(주)",""),"주식회사",""),"㈜","")))</f>
        <v/>
      </c>
      <c r="H5284" s="10" t="str">
        <f aca="false">IF($B5284="","",SUBSTITUTE(SUBSTITUTE(SUBSTITUTE($B5284,"-","")," ",""),".",""))</f>
        <v/>
      </c>
      <c r="I5284" s="10" t="str">
        <f aca="false">IF($D5284="","",SUBSTITUTE(SUBSTITUTE(SUBSTITUTE($D5284,"-","")," ",""),".",""))</f>
        <v/>
      </c>
      <c r="J5284" s="10" t="str">
        <f aca="false">IF($E5284="","",UPPER(SUBSTITUTE($E5284," ","")))</f>
        <v/>
      </c>
      <c r="K5284" s="10" t="str">
        <f aca="false">IF($A5284="","",$G5284&amp;"|"&amp;$J5284)</f>
        <v/>
      </c>
      <c r="L5284" s="10" t="str">
        <f aca="false">IF($A5284="","",ROW()-2)</f>
        <v/>
      </c>
      <c r="M5284" s="10" t="str">
        <f aca="false">IF($A5284="","",ROW())</f>
        <v/>
      </c>
    </row>
    <row r="5285" customFormat="false" ht="15" hidden="false" customHeight="true" outlineLevel="0" collapsed="false">
      <c r="A5285" s="8"/>
      <c r="B5285" s="8"/>
      <c r="C5285" s="8"/>
      <c r="D5285" s="8"/>
      <c r="E5285" s="8"/>
      <c r="F5285" s="8"/>
      <c r="G5285" s="10" t="str">
        <f aca="false">IF($A5285="","",UPPER(SUBSTITUTE(SUBSTITUTE(SUBSTITUTE(SUBSTITUTE($A5285," ",""),"(주)",""),"주식회사",""),"㈜","")))</f>
        <v/>
      </c>
      <c r="H5285" s="10" t="str">
        <f aca="false">IF($B5285="","",SUBSTITUTE(SUBSTITUTE(SUBSTITUTE($B5285,"-","")," ",""),".",""))</f>
        <v/>
      </c>
      <c r="I5285" s="10" t="str">
        <f aca="false">IF($D5285="","",SUBSTITUTE(SUBSTITUTE(SUBSTITUTE($D5285,"-","")," ",""),".",""))</f>
        <v/>
      </c>
      <c r="J5285" s="10" t="str">
        <f aca="false">IF($E5285="","",UPPER(SUBSTITUTE($E5285," ","")))</f>
        <v/>
      </c>
      <c r="K5285" s="10" t="str">
        <f aca="false">IF($A5285="","",$G5285&amp;"|"&amp;$J5285)</f>
        <v/>
      </c>
      <c r="L5285" s="10" t="str">
        <f aca="false">IF($A5285="","",ROW()-2)</f>
        <v/>
      </c>
      <c r="M5285" s="10" t="str">
        <f aca="false">IF($A5285="","",ROW())</f>
        <v/>
      </c>
    </row>
    <row r="5286" customFormat="false" ht="15" hidden="false" customHeight="true" outlineLevel="0" collapsed="false">
      <c r="A5286" s="8"/>
      <c r="B5286" s="8"/>
      <c r="C5286" s="8"/>
      <c r="D5286" s="8"/>
      <c r="E5286" s="8"/>
      <c r="F5286" s="8"/>
      <c r="G5286" s="10" t="str">
        <f aca="false">IF($A5286="","",UPPER(SUBSTITUTE(SUBSTITUTE(SUBSTITUTE(SUBSTITUTE($A5286," ",""),"(주)",""),"주식회사",""),"㈜","")))</f>
        <v/>
      </c>
      <c r="H5286" s="10" t="str">
        <f aca="false">IF($B5286="","",SUBSTITUTE(SUBSTITUTE(SUBSTITUTE($B5286,"-","")," ",""),".",""))</f>
        <v/>
      </c>
      <c r="I5286" s="10" t="str">
        <f aca="false">IF($D5286="","",SUBSTITUTE(SUBSTITUTE(SUBSTITUTE($D5286,"-","")," ",""),".",""))</f>
        <v/>
      </c>
      <c r="J5286" s="10" t="str">
        <f aca="false">IF($E5286="","",UPPER(SUBSTITUTE($E5286," ","")))</f>
        <v/>
      </c>
      <c r="K5286" s="10" t="str">
        <f aca="false">IF($A5286="","",$G5286&amp;"|"&amp;$J5286)</f>
        <v/>
      </c>
      <c r="L5286" s="10" t="str">
        <f aca="false">IF($A5286="","",ROW()-2)</f>
        <v/>
      </c>
      <c r="M5286" s="10" t="str">
        <f aca="false">IF($A5286="","",ROW())</f>
        <v/>
      </c>
    </row>
    <row r="5287" customFormat="false" ht="15" hidden="false" customHeight="true" outlineLevel="0" collapsed="false">
      <c r="A5287" s="8"/>
      <c r="B5287" s="8"/>
      <c r="C5287" s="8"/>
      <c r="D5287" s="8"/>
      <c r="E5287" s="8"/>
      <c r="F5287" s="8"/>
      <c r="G5287" s="10" t="str">
        <f aca="false">IF($A5287="","",UPPER(SUBSTITUTE(SUBSTITUTE(SUBSTITUTE(SUBSTITUTE($A5287," ",""),"(주)",""),"주식회사",""),"㈜","")))</f>
        <v/>
      </c>
      <c r="H5287" s="10" t="str">
        <f aca="false">IF($B5287="","",SUBSTITUTE(SUBSTITUTE(SUBSTITUTE($B5287,"-","")," ",""),".",""))</f>
        <v/>
      </c>
      <c r="I5287" s="10" t="str">
        <f aca="false">IF($D5287="","",SUBSTITUTE(SUBSTITUTE(SUBSTITUTE($D5287,"-","")," ",""),".",""))</f>
        <v/>
      </c>
      <c r="J5287" s="10" t="str">
        <f aca="false">IF($E5287="","",UPPER(SUBSTITUTE($E5287," ","")))</f>
        <v/>
      </c>
      <c r="K5287" s="10" t="str">
        <f aca="false">IF($A5287="","",$G5287&amp;"|"&amp;$J5287)</f>
        <v/>
      </c>
      <c r="L5287" s="10" t="str">
        <f aca="false">IF($A5287="","",ROW()-2)</f>
        <v/>
      </c>
      <c r="M5287" s="10" t="str">
        <f aca="false">IF($A5287="","",ROW())</f>
        <v/>
      </c>
    </row>
    <row r="5288" customFormat="false" ht="15" hidden="false" customHeight="true" outlineLevel="0" collapsed="false">
      <c r="A5288" s="8"/>
      <c r="B5288" s="8"/>
      <c r="C5288" s="8"/>
      <c r="D5288" s="8"/>
      <c r="E5288" s="8"/>
      <c r="F5288" s="8"/>
      <c r="G5288" s="10" t="str">
        <f aca="false">IF($A5288="","",UPPER(SUBSTITUTE(SUBSTITUTE(SUBSTITUTE(SUBSTITUTE($A5288," ",""),"(주)",""),"주식회사",""),"㈜","")))</f>
        <v/>
      </c>
      <c r="H5288" s="10" t="str">
        <f aca="false">IF($B5288="","",SUBSTITUTE(SUBSTITUTE(SUBSTITUTE($B5288,"-","")," ",""),".",""))</f>
        <v/>
      </c>
      <c r="I5288" s="10" t="str">
        <f aca="false">IF($D5288="","",SUBSTITUTE(SUBSTITUTE(SUBSTITUTE($D5288,"-","")," ",""),".",""))</f>
        <v/>
      </c>
      <c r="J5288" s="10" t="str">
        <f aca="false">IF($E5288="","",UPPER(SUBSTITUTE($E5288," ","")))</f>
        <v/>
      </c>
      <c r="K5288" s="10" t="str">
        <f aca="false">IF($A5288="","",$G5288&amp;"|"&amp;$J5288)</f>
        <v/>
      </c>
      <c r="L5288" s="10" t="str">
        <f aca="false">IF($A5288="","",ROW()-2)</f>
        <v/>
      </c>
      <c r="M5288" s="10" t="str">
        <f aca="false">IF($A5288="","",ROW())</f>
        <v/>
      </c>
    </row>
    <row r="5289" customFormat="false" ht="15" hidden="false" customHeight="true" outlineLevel="0" collapsed="false">
      <c r="A5289" s="8"/>
      <c r="B5289" s="8"/>
      <c r="C5289" s="8"/>
      <c r="D5289" s="8"/>
      <c r="E5289" s="8"/>
      <c r="F5289" s="8"/>
      <c r="G5289" s="10" t="str">
        <f aca="false">IF($A5289="","",UPPER(SUBSTITUTE(SUBSTITUTE(SUBSTITUTE(SUBSTITUTE($A5289," ",""),"(주)",""),"주식회사",""),"㈜","")))</f>
        <v/>
      </c>
      <c r="H5289" s="10" t="str">
        <f aca="false">IF($B5289="","",SUBSTITUTE(SUBSTITUTE(SUBSTITUTE($B5289,"-","")," ",""),".",""))</f>
        <v/>
      </c>
      <c r="I5289" s="10" t="str">
        <f aca="false">IF($D5289="","",SUBSTITUTE(SUBSTITUTE(SUBSTITUTE($D5289,"-","")," ",""),".",""))</f>
        <v/>
      </c>
      <c r="J5289" s="10" t="str">
        <f aca="false">IF($E5289="","",UPPER(SUBSTITUTE($E5289," ","")))</f>
        <v/>
      </c>
      <c r="K5289" s="10" t="str">
        <f aca="false">IF($A5289="","",$G5289&amp;"|"&amp;$J5289)</f>
        <v/>
      </c>
      <c r="L5289" s="10" t="str">
        <f aca="false">IF($A5289="","",ROW()-2)</f>
        <v/>
      </c>
      <c r="M5289" s="10" t="str">
        <f aca="false">IF($A5289="","",ROW())</f>
        <v/>
      </c>
    </row>
    <row r="5290" customFormat="false" ht="15" hidden="false" customHeight="true" outlineLevel="0" collapsed="false">
      <c r="A5290" s="8"/>
      <c r="B5290" s="8"/>
      <c r="C5290" s="8"/>
      <c r="D5290" s="8"/>
      <c r="E5290" s="8"/>
      <c r="F5290" s="8"/>
      <c r="G5290" s="10" t="str">
        <f aca="false">IF($A5290="","",UPPER(SUBSTITUTE(SUBSTITUTE(SUBSTITUTE(SUBSTITUTE($A5290," ",""),"(주)",""),"주식회사",""),"㈜","")))</f>
        <v/>
      </c>
      <c r="H5290" s="10" t="str">
        <f aca="false">IF($B5290="","",SUBSTITUTE(SUBSTITUTE(SUBSTITUTE($B5290,"-","")," ",""),".",""))</f>
        <v/>
      </c>
      <c r="I5290" s="10" t="str">
        <f aca="false">IF($D5290="","",SUBSTITUTE(SUBSTITUTE(SUBSTITUTE($D5290,"-","")," ",""),".",""))</f>
        <v/>
      </c>
      <c r="J5290" s="10" t="str">
        <f aca="false">IF($E5290="","",UPPER(SUBSTITUTE($E5290," ","")))</f>
        <v/>
      </c>
      <c r="K5290" s="10" t="str">
        <f aca="false">IF($A5290="","",$G5290&amp;"|"&amp;$J5290)</f>
        <v/>
      </c>
      <c r="L5290" s="10" t="str">
        <f aca="false">IF($A5290="","",ROW()-2)</f>
        <v/>
      </c>
      <c r="M5290" s="10" t="str">
        <f aca="false">IF($A5290="","",ROW())</f>
        <v/>
      </c>
    </row>
    <row r="5291" customFormat="false" ht="15" hidden="false" customHeight="true" outlineLevel="0" collapsed="false">
      <c r="A5291" s="8"/>
      <c r="B5291" s="8"/>
      <c r="C5291" s="8"/>
      <c r="D5291" s="8"/>
      <c r="E5291" s="8"/>
      <c r="F5291" s="8"/>
      <c r="G5291" s="10" t="str">
        <f aca="false">IF($A5291="","",UPPER(SUBSTITUTE(SUBSTITUTE(SUBSTITUTE(SUBSTITUTE($A5291," ",""),"(주)",""),"주식회사",""),"㈜","")))</f>
        <v/>
      </c>
      <c r="H5291" s="10" t="str">
        <f aca="false">IF($B5291="","",SUBSTITUTE(SUBSTITUTE(SUBSTITUTE($B5291,"-","")," ",""),".",""))</f>
        <v/>
      </c>
      <c r="I5291" s="10" t="str">
        <f aca="false">IF($D5291="","",SUBSTITUTE(SUBSTITUTE(SUBSTITUTE($D5291,"-","")," ",""),".",""))</f>
        <v/>
      </c>
      <c r="J5291" s="10" t="str">
        <f aca="false">IF($E5291="","",UPPER(SUBSTITUTE($E5291," ","")))</f>
        <v/>
      </c>
      <c r="K5291" s="10" t="str">
        <f aca="false">IF($A5291="","",$G5291&amp;"|"&amp;$J5291)</f>
        <v/>
      </c>
      <c r="L5291" s="10" t="str">
        <f aca="false">IF($A5291="","",ROW()-2)</f>
        <v/>
      </c>
      <c r="M5291" s="10" t="str">
        <f aca="false">IF($A5291="","",ROW())</f>
        <v/>
      </c>
    </row>
    <row r="5292" customFormat="false" ht="15" hidden="false" customHeight="true" outlineLevel="0" collapsed="false">
      <c r="A5292" s="8"/>
      <c r="B5292" s="8"/>
      <c r="C5292" s="8"/>
      <c r="D5292" s="8"/>
      <c r="E5292" s="8"/>
      <c r="F5292" s="8"/>
      <c r="G5292" s="10" t="str">
        <f aca="false">IF($A5292="","",UPPER(SUBSTITUTE(SUBSTITUTE(SUBSTITUTE(SUBSTITUTE($A5292," ",""),"(주)",""),"주식회사",""),"㈜","")))</f>
        <v/>
      </c>
      <c r="H5292" s="10" t="str">
        <f aca="false">IF($B5292="","",SUBSTITUTE(SUBSTITUTE(SUBSTITUTE($B5292,"-","")," ",""),".",""))</f>
        <v/>
      </c>
      <c r="I5292" s="10" t="str">
        <f aca="false">IF($D5292="","",SUBSTITUTE(SUBSTITUTE(SUBSTITUTE($D5292,"-","")," ",""),".",""))</f>
        <v/>
      </c>
      <c r="J5292" s="10" t="str">
        <f aca="false">IF($E5292="","",UPPER(SUBSTITUTE($E5292," ","")))</f>
        <v/>
      </c>
      <c r="K5292" s="10" t="str">
        <f aca="false">IF($A5292="","",$G5292&amp;"|"&amp;$J5292)</f>
        <v/>
      </c>
      <c r="L5292" s="10" t="str">
        <f aca="false">IF($A5292="","",ROW()-2)</f>
        <v/>
      </c>
      <c r="M5292" s="10" t="str">
        <f aca="false">IF($A5292="","",ROW())</f>
        <v/>
      </c>
    </row>
    <row r="5293" customFormat="false" ht="15" hidden="false" customHeight="true" outlineLevel="0" collapsed="false">
      <c r="A5293" s="8"/>
      <c r="B5293" s="8"/>
      <c r="C5293" s="8"/>
      <c r="D5293" s="8"/>
      <c r="E5293" s="8"/>
      <c r="F5293" s="8"/>
      <c r="G5293" s="10" t="str">
        <f aca="false">IF($A5293="","",UPPER(SUBSTITUTE(SUBSTITUTE(SUBSTITUTE(SUBSTITUTE($A5293," ",""),"(주)",""),"주식회사",""),"㈜","")))</f>
        <v/>
      </c>
      <c r="H5293" s="10" t="str">
        <f aca="false">IF($B5293="","",SUBSTITUTE(SUBSTITUTE(SUBSTITUTE($B5293,"-","")," ",""),".",""))</f>
        <v/>
      </c>
      <c r="I5293" s="10" t="str">
        <f aca="false">IF($D5293="","",SUBSTITUTE(SUBSTITUTE(SUBSTITUTE($D5293,"-","")," ",""),".",""))</f>
        <v/>
      </c>
      <c r="J5293" s="10" t="str">
        <f aca="false">IF($E5293="","",UPPER(SUBSTITUTE($E5293," ","")))</f>
        <v/>
      </c>
      <c r="K5293" s="10" t="str">
        <f aca="false">IF($A5293="","",$G5293&amp;"|"&amp;$J5293)</f>
        <v/>
      </c>
      <c r="L5293" s="10" t="str">
        <f aca="false">IF($A5293="","",ROW()-2)</f>
        <v/>
      </c>
      <c r="M5293" s="10" t="str">
        <f aca="false">IF($A5293="","",ROW())</f>
        <v/>
      </c>
    </row>
    <row r="5294" customFormat="false" ht="15" hidden="false" customHeight="true" outlineLevel="0" collapsed="false">
      <c r="A5294" s="8"/>
      <c r="B5294" s="8"/>
      <c r="C5294" s="8"/>
      <c r="D5294" s="8"/>
      <c r="E5294" s="8"/>
      <c r="F5294" s="8"/>
      <c r="G5294" s="10" t="str">
        <f aca="false">IF($A5294="","",UPPER(SUBSTITUTE(SUBSTITUTE(SUBSTITUTE(SUBSTITUTE($A5294," ",""),"(주)",""),"주식회사",""),"㈜","")))</f>
        <v/>
      </c>
      <c r="H5294" s="10" t="str">
        <f aca="false">IF($B5294="","",SUBSTITUTE(SUBSTITUTE(SUBSTITUTE($B5294,"-","")," ",""),".",""))</f>
        <v/>
      </c>
      <c r="I5294" s="10" t="str">
        <f aca="false">IF($D5294="","",SUBSTITUTE(SUBSTITUTE(SUBSTITUTE($D5294,"-","")," ",""),".",""))</f>
        <v/>
      </c>
      <c r="J5294" s="10" t="str">
        <f aca="false">IF($E5294="","",UPPER(SUBSTITUTE($E5294," ","")))</f>
        <v/>
      </c>
      <c r="K5294" s="10" t="str">
        <f aca="false">IF($A5294="","",$G5294&amp;"|"&amp;$J5294)</f>
        <v/>
      </c>
      <c r="L5294" s="10" t="str">
        <f aca="false">IF($A5294="","",ROW()-2)</f>
        <v/>
      </c>
      <c r="M5294" s="10" t="str">
        <f aca="false">IF($A5294="","",ROW())</f>
        <v/>
      </c>
    </row>
    <row r="5295" customFormat="false" ht="15" hidden="false" customHeight="true" outlineLevel="0" collapsed="false">
      <c r="A5295" s="8"/>
      <c r="B5295" s="8"/>
      <c r="C5295" s="8"/>
      <c r="D5295" s="8"/>
      <c r="E5295" s="8"/>
      <c r="F5295" s="8"/>
      <c r="G5295" s="10" t="str">
        <f aca="false">IF($A5295="","",UPPER(SUBSTITUTE(SUBSTITUTE(SUBSTITUTE(SUBSTITUTE($A5295," ",""),"(주)",""),"주식회사",""),"㈜","")))</f>
        <v/>
      </c>
      <c r="H5295" s="10" t="str">
        <f aca="false">IF($B5295="","",SUBSTITUTE(SUBSTITUTE(SUBSTITUTE($B5295,"-","")," ",""),".",""))</f>
        <v/>
      </c>
      <c r="I5295" s="10" t="str">
        <f aca="false">IF($D5295="","",SUBSTITUTE(SUBSTITUTE(SUBSTITUTE($D5295,"-","")," ",""),".",""))</f>
        <v/>
      </c>
      <c r="J5295" s="10" t="str">
        <f aca="false">IF($E5295="","",UPPER(SUBSTITUTE($E5295," ","")))</f>
        <v/>
      </c>
      <c r="K5295" s="10" t="str">
        <f aca="false">IF($A5295="","",$G5295&amp;"|"&amp;$J5295)</f>
        <v/>
      </c>
      <c r="L5295" s="10" t="str">
        <f aca="false">IF($A5295="","",ROW()-2)</f>
        <v/>
      </c>
      <c r="M5295" s="10" t="str">
        <f aca="false">IF($A5295="","",ROW())</f>
        <v/>
      </c>
    </row>
    <row r="5296" customFormat="false" ht="15" hidden="false" customHeight="true" outlineLevel="0" collapsed="false">
      <c r="A5296" s="8"/>
      <c r="B5296" s="8"/>
      <c r="C5296" s="8"/>
      <c r="D5296" s="8"/>
      <c r="E5296" s="8"/>
      <c r="F5296" s="8"/>
      <c r="G5296" s="10" t="str">
        <f aca="false">IF($A5296="","",UPPER(SUBSTITUTE(SUBSTITUTE(SUBSTITUTE(SUBSTITUTE($A5296," ",""),"(주)",""),"주식회사",""),"㈜","")))</f>
        <v/>
      </c>
      <c r="H5296" s="10" t="str">
        <f aca="false">IF($B5296="","",SUBSTITUTE(SUBSTITUTE(SUBSTITUTE($B5296,"-","")," ",""),".",""))</f>
        <v/>
      </c>
      <c r="I5296" s="10" t="str">
        <f aca="false">IF($D5296="","",SUBSTITUTE(SUBSTITUTE(SUBSTITUTE($D5296,"-","")," ",""),".",""))</f>
        <v/>
      </c>
      <c r="J5296" s="10" t="str">
        <f aca="false">IF($E5296="","",UPPER(SUBSTITUTE($E5296," ","")))</f>
        <v/>
      </c>
      <c r="K5296" s="10" t="str">
        <f aca="false">IF($A5296="","",$G5296&amp;"|"&amp;$J5296)</f>
        <v/>
      </c>
      <c r="L5296" s="10" t="str">
        <f aca="false">IF($A5296="","",ROW()-2)</f>
        <v/>
      </c>
      <c r="M5296" s="10" t="str">
        <f aca="false">IF($A5296="","",ROW())</f>
        <v/>
      </c>
    </row>
    <row r="5297" customFormat="false" ht="15" hidden="false" customHeight="true" outlineLevel="0" collapsed="false">
      <c r="A5297" s="8"/>
      <c r="B5297" s="8"/>
      <c r="C5297" s="8"/>
      <c r="D5297" s="8"/>
      <c r="E5297" s="8"/>
      <c r="F5297" s="8"/>
      <c r="G5297" s="10" t="str">
        <f aca="false">IF($A5297="","",UPPER(SUBSTITUTE(SUBSTITUTE(SUBSTITUTE(SUBSTITUTE($A5297," ",""),"(주)",""),"주식회사",""),"㈜","")))</f>
        <v/>
      </c>
      <c r="H5297" s="10" t="str">
        <f aca="false">IF($B5297="","",SUBSTITUTE(SUBSTITUTE(SUBSTITUTE($B5297,"-","")," ",""),".",""))</f>
        <v/>
      </c>
      <c r="I5297" s="10" t="str">
        <f aca="false">IF($D5297="","",SUBSTITUTE(SUBSTITUTE(SUBSTITUTE($D5297,"-","")," ",""),".",""))</f>
        <v/>
      </c>
      <c r="J5297" s="10" t="str">
        <f aca="false">IF($E5297="","",UPPER(SUBSTITUTE($E5297," ","")))</f>
        <v/>
      </c>
      <c r="K5297" s="10" t="str">
        <f aca="false">IF($A5297="","",$G5297&amp;"|"&amp;$J5297)</f>
        <v/>
      </c>
      <c r="L5297" s="10" t="str">
        <f aca="false">IF($A5297="","",ROW()-2)</f>
        <v/>
      </c>
      <c r="M5297" s="10" t="str">
        <f aca="false">IF($A5297="","",ROW())</f>
        <v/>
      </c>
    </row>
    <row r="5298" customFormat="false" ht="15" hidden="false" customHeight="true" outlineLevel="0" collapsed="false">
      <c r="A5298" s="8"/>
      <c r="B5298" s="8"/>
      <c r="C5298" s="8"/>
      <c r="D5298" s="8"/>
      <c r="E5298" s="8"/>
      <c r="F5298" s="8"/>
      <c r="G5298" s="10" t="str">
        <f aca="false">IF($A5298="","",UPPER(SUBSTITUTE(SUBSTITUTE(SUBSTITUTE(SUBSTITUTE($A5298," ",""),"(주)",""),"주식회사",""),"㈜","")))</f>
        <v/>
      </c>
      <c r="H5298" s="10" t="str">
        <f aca="false">IF($B5298="","",SUBSTITUTE(SUBSTITUTE(SUBSTITUTE($B5298,"-","")," ",""),".",""))</f>
        <v/>
      </c>
      <c r="I5298" s="10" t="str">
        <f aca="false">IF($D5298="","",SUBSTITUTE(SUBSTITUTE(SUBSTITUTE($D5298,"-","")," ",""),".",""))</f>
        <v/>
      </c>
      <c r="J5298" s="10" t="str">
        <f aca="false">IF($E5298="","",UPPER(SUBSTITUTE($E5298," ","")))</f>
        <v/>
      </c>
      <c r="K5298" s="10" t="str">
        <f aca="false">IF($A5298="","",$G5298&amp;"|"&amp;$J5298)</f>
        <v/>
      </c>
      <c r="L5298" s="10" t="str">
        <f aca="false">IF($A5298="","",ROW()-2)</f>
        <v/>
      </c>
      <c r="M5298" s="10" t="str">
        <f aca="false">IF($A5298="","",ROW())</f>
        <v/>
      </c>
    </row>
    <row r="5299" customFormat="false" ht="15" hidden="false" customHeight="true" outlineLevel="0" collapsed="false">
      <c r="A5299" s="8"/>
      <c r="B5299" s="8"/>
      <c r="C5299" s="8"/>
      <c r="D5299" s="8"/>
      <c r="E5299" s="8"/>
      <c r="F5299" s="8"/>
      <c r="G5299" s="10" t="str">
        <f aca="false">IF($A5299="","",UPPER(SUBSTITUTE(SUBSTITUTE(SUBSTITUTE(SUBSTITUTE($A5299," ",""),"(주)",""),"주식회사",""),"㈜","")))</f>
        <v/>
      </c>
      <c r="H5299" s="10" t="str">
        <f aca="false">IF($B5299="","",SUBSTITUTE(SUBSTITUTE(SUBSTITUTE($B5299,"-","")," ",""),".",""))</f>
        <v/>
      </c>
      <c r="I5299" s="10" t="str">
        <f aca="false">IF($D5299="","",SUBSTITUTE(SUBSTITUTE(SUBSTITUTE($D5299,"-","")," ",""),".",""))</f>
        <v/>
      </c>
      <c r="J5299" s="10" t="str">
        <f aca="false">IF($E5299="","",UPPER(SUBSTITUTE($E5299," ","")))</f>
        <v/>
      </c>
      <c r="K5299" s="10" t="str">
        <f aca="false">IF($A5299="","",$G5299&amp;"|"&amp;$J5299)</f>
        <v/>
      </c>
      <c r="L5299" s="10" t="str">
        <f aca="false">IF($A5299="","",ROW()-2)</f>
        <v/>
      </c>
      <c r="M5299" s="10" t="str">
        <f aca="false">IF($A5299="","",ROW())</f>
        <v/>
      </c>
    </row>
    <row r="5300" customFormat="false" ht="15" hidden="false" customHeight="true" outlineLevel="0" collapsed="false">
      <c r="A5300" s="8"/>
      <c r="B5300" s="8"/>
      <c r="C5300" s="8"/>
      <c r="D5300" s="8"/>
      <c r="E5300" s="8"/>
      <c r="F5300" s="8"/>
      <c r="G5300" s="10" t="str">
        <f aca="false">IF($A5300="","",UPPER(SUBSTITUTE(SUBSTITUTE(SUBSTITUTE(SUBSTITUTE($A5300," ",""),"(주)",""),"주식회사",""),"㈜","")))</f>
        <v/>
      </c>
      <c r="H5300" s="10" t="str">
        <f aca="false">IF($B5300="","",SUBSTITUTE(SUBSTITUTE(SUBSTITUTE($B5300,"-","")," ",""),".",""))</f>
        <v/>
      </c>
      <c r="I5300" s="10" t="str">
        <f aca="false">IF($D5300="","",SUBSTITUTE(SUBSTITUTE(SUBSTITUTE($D5300,"-","")," ",""),".",""))</f>
        <v/>
      </c>
      <c r="J5300" s="10" t="str">
        <f aca="false">IF($E5300="","",UPPER(SUBSTITUTE($E5300," ","")))</f>
        <v/>
      </c>
      <c r="K5300" s="10" t="str">
        <f aca="false">IF($A5300="","",$G5300&amp;"|"&amp;$J5300)</f>
        <v/>
      </c>
      <c r="L5300" s="10" t="str">
        <f aca="false">IF($A5300="","",ROW()-2)</f>
        <v/>
      </c>
      <c r="M5300" s="10" t="str">
        <f aca="false">IF($A5300="","",ROW())</f>
        <v/>
      </c>
    </row>
    <row r="5301" customFormat="false" ht="15" hidden="false" customHeight="true" outlineLevel="0" collapsed="false">
      <c r="A5301" s="8"/>
      <c r="B5301" s="8"/>
      <c r="C5301" s="8"/>
      <c r="D5301" s="8"/>
      <c r="E5301" s="8"/>
      <c r="F5301" s="8"/>
      <c r="G5301" s="10" t="str">
        <f aca="false">IF($A5301="","",UPPER(SUBSTITUTE(SUBSTITUTE(SUBSTITUTE(SUBSTITUTE($A5301," ",""),"(주)",""),"주식회사",""),"㈜","")))</f>
        <v/>
      </c>
      <c r="H5301" s="10" t="str">
        <f aca="false">IF($B5301="","",SUBSTITUTE(SUBSTITUTE(SUBSTITUTE($B5301,"-","")," ",""),".",""))</f>
        <v/>
      </c>
      <c r="I5301" s="10" t="str">
        <f aca="false">IF($D5301="","",SUBSTITUTE(SUBSTITUTE(SUBSTITUTE($D5301,"-","")," ",""),".",""))</f>
        <v/>
      </c>
      <c r="J5301" s="10" t="str">
        <f aca="false">IF($E5301="","",UPPER(SUBSTITUTE($E5301," ","")))</f>
        <v/>
      </c>
      <c r="K5301" s="10" t="str">
        <f aca="false">IF($A5301="","",$G5301&amp;"|"&amp;$J5301)</f>
        <v/>
      </c>
      <c r="L5301" s="10" t="str">
        <f aca="false">IF($A5301="","",ROW()-2)</f>
        <v/>
      </c>
      <c r="M5301" s="10" t="str">
        <f aca="false">IF($A5301="","",ROW())</f>
        <v/>
      </c>
    </row>
    <row r="5302" customFormat="false" ht="15" hidden="false" customHeight="true" outlineLevel="0" collapsed="false">
      <c r="A5302" s="8"/>
      <c r="B5302" s="8"/>
      <c r="C5302" s="8"/>
      <c r="D5302" s="8"/>
      <c r="E5302" s="8"/>
      <c r="F5302" s="8"/>
      <c r="G5302" s="10" t="str">
        <f aca="false">IF($A5302="","",UPPER(SUBSTITUTE(SUBSTITUTE(SUBSTITUTE(SUBSTITUTE($A5302," ",""),"(주)",""),"주식회사",""),"㈜","")))</f>
        <v/>
      </c>
      <c r="H5302" s="10" t="str">
        <f aca="false">IF($B5302="","",SUBSTITUTE(SUBSTITUTE(SUBSTITUTE($B5302,"-","")," ",""),".",""))</f>
        <v/>
      </c>
      <c r="I5302" s="10" t="str">
        <f aca="false">IF($D5302="","",SUBSTITUTE(SUBSTITUTE(SUBSTITUTE($D5302,"-","")," ",""),".",""))</f>
        <v/>
      </c>
      <c r="J5302" s="10" t="str">
        <f aca="false">IF($E5302="","",UPPER(SUBSTITUTE($E5302," ","")))</f>
        <v/>
      </c>
      <c r="K5302" s="10" t="str">
        <f aca="false">IF($A5302="","",$G5302&amp;"|"&amp;$J5302)</f>
        <v/>
      </c>
      <c r="L5302" s="10" t="str">
        <f aca="false">IF($A5302="","",ROW()-2)</f>
        <v/>
      </c>
      <c r="M5302" s="10" t="str">
        <f aca="false">IF($A5302="","",ROW())</f>
        <v/>
      </c>
    </row>
    <row r="5303" customFormat="false" ht="15" hidden="false" customHeight="true" outlineLevel="0" collapsed="false">
      <c r="A5303" s="8"/>
      <c r="B5303" s="8"/>
      <c r="C5303" s="8"/>
      <c r="D5303" s="8"/>
      <c r="E5303" s="8"/>
      <c r="F5303" s="8"/>
      <c r="G5303" s="10" t="str">
        <f aca="false">IF($A5303="","",UPPER(SUBSTITUTE(SUBSTITUTE(SUBSTITUTE(SUBSTITUTE($A5303," ",""),"(주)",""),"주식회사",""),"㈜","")))</f>
        <v/>
      </c>
      <c r="H5303" s="10" t="str">
        <f aca="false">IF($B5303="","",SUBSTITUTE(SUBSTITUTE(SUBSTITUTE($B5303,"-","")," ",""),".",""))</f>
        <v/>
      </c>
      <c r="I5303" s="10" t="str">
        <f aca="false">IF($D5303="","",SUBSTITUTE(SUBSTITUTE(SUBSTITUTE($D5303,"-","")," ",""),".",""))</f>
        <v/>
      </c>
      <c r="J5303" s="10" t="str">
        <f aca="false">IF($E5303="","",UPPER(SUBSTITUTE($E5303," ","")))</f>
        <v/>
      </c>
      <c r="K5303" s="10" t="str">
        <f aca="false">IF($A5303="","",$G5303&amp;"|"&amp;$J5303)</f>
        <v/>
      </c>
      <c r="L5303" s="10" t="str">
        <f aca="false">IF($A5303="","",ROW()-2)</f>
        <v/>
      </c>
      <c r="M5303" s="10" t="str">
        <f aca="false">IF($A5303="","",ROW())</f>
        <v/>
      </c>
    </row>
    <row r="5304" customFormat="false" ht="15" hidden="false" customHeight="true" outlineLevel="0" collapsed="false">
      <c r="A5304" s="8"/>
      <c r="B5304" s="8"/>
      <c r="C5304" s="8"/>
      <c r="D5304" s="8"/>
      <c r="E5304" s="8"/>
      <c r="F5304" s="8"/>
      <c r="G5304" s="10" t="str">
        <f aca="false">IF($A5304="","",UPPER(SUBSTITUTE(SUBSTITUTE(SUBSTITUTE(SUBSTITUTE($A5304," ",""),"(주)",""),"주식회사",""),"㈜","")))</f>
        <v/>
      </c>
      <c r="H5304" s="10" t="str">
        <f aca="false">IF($B5304="","",SUBSTITUTE(SUBSTITUTE(SUBSTITUTE($B5304,"-","")," ",""),".",""))</f>
        <v/>
      </c>
      <c r="I5304" s="10" t="str">
        <f aca="false">IF($D5304="","",SUBSTITUTE(SUBSTITUTE(SUBSTITUTE($D5304,"-","")," ",""),".",""))</f>
        <v/>
      </c>
      <c r="J5304" s="10" t="str">
        <f aca="false">IF($E5304="","",UPPER(SUBSTITUTE($E5304," ","")))</f>
        <v/>
      </c>
      <c r="K5304" s="10" t="str">
        <f aca="false">IF($A5304="","",$G5304&amp;"|"&amp;$J5304)</f>
        <v/>
      </c>
      <c r="L5304" s="10" t="str">
        <f aca="false">IF($A5304="","",ROW()-2)</f>
        <v/>
      </c>
      <c r="M5304" s="10" t="str">
        <f aca="false">IF($A5304="","",ROW())</f>
        <v/>
      </c>
    </row>
    <row r="5305" customFormat="false" ht="15" hidden="false" customHeight="true" outlineLevel="0" collapsed="false">
      <c r="A5305" s="8"/>
      <c r="B5305" s="8"/>
      <c r="C5305" s="8"/>
      <c r="D5305" s="8"/>
      <c r="E5305" s="8"/>
      <c r="F5305" s="8"/>
      <c r="G5305" s="10" t="str">
        <f aca="false">IF($A5305="","",UPPER(SUBSTITUTE(SUBSTITUTE(SUBSTITUTE(SUBSTITUTE($A5305," ",""),"(주)",""),"주식회사",""),"㈜","")))</f>
        <v/>
      </c>
      <c r="H5305" s="10" t="str">
        <f aca="false">IF($B5305="","",SUBSTITUTE(SUBSTITUTE(SUBSTITUTE($B5305,"-","")," ",""),".",""))</f>
        <v/>
      </c>
      <c r="I5305" s="10" t="str">
        <f aca="false">IF($D5305="","",SUBSTITUTE(SUBSTITUTE(SUBSTITUTE($D5305,"-","")," ",""),".",""))</f>
        <v/>
      </c>
      <c r="J5305" s="10" t="str">
        <f aca="false">IF($E5305="","",UPPER(SUBSTITUTE($E5305," ","")))</f>
        <v/>
      </c>
      <c r="K5305" s="10" t="str">
        <f aca="false">IF($A5305="","",$G5305&amp;"|"&amp;$J5305)</f>
        <v/>
      </c>
      <c r="L5305" s="10" t="str">
        <f aca="false">IF($A5305="","",ROW()-2)</f>
        <v/>
      </c>
      <c r="M5305" s="10" t="str">
        <f aca="false">IF($A5305="","",ROW())</f>
        <v/>
      </c>
    </row>
    <row r="5306" customFormat="false" ht="15" hidden="false" customHeight="true" outlineLevel="0" collapsed="false">
      <c r="A5306" s="8"/>
      <c r="B5306" s="8"/>
      <c r="C5306" s="8"/>
      <c r="D5306" s="8"/>
      <c r="E5306" s="8"/>
      <c r="F5306" s="8"/>
      <c r="G5306" s="10" t="str">
        <f aca="false">IF($A5306="","",UPPER(SUBSTITUTE(SUBSTITUTE(SUBSTITUTE(SUBSTITUTE($A5306," ",""),"(주)",""),"주식회사",""),"㈜","")))</f>
        <v/>
      </c>
      <c r="H5306" s="10" t="str">
        <f aca="false">IF($B5306="","",SUBSTITUTE(SUBSTITUTE(SUBSTITUTE($B5306,"-","")," ",""),".",""))</f>
        <v/>
      </c>
      <c r="I5306" s="10" t="str">
        <f aca="false">IF($D5306="","",SUBSTITUTE(SUBSTITUTE(SUBSTITUTE($D5306,"-","")," ",""),".",""))</f>
        <v/>
      </c>
      <c r="J5306" s="10" t="str">
        <f aca="false">IF($E5306="","",UPPER(SUBSTITUTE($E5306," ","")))</f>
        <v/>
      </c>
      <c r="K5306" s="10" t="str">
        <f aca="false">IF($A5306="","",$G5306&amp;"|"&amp;$J5306)</f>
        <v/>
      </c>
      <c r="L5306" s="10" t="str">
        <f aca="false">IF($A5306="","",ROW()-2)</f>
        <v/>
      </c>
      <c r="M5306" s="10" t="str">
        <f aca="false">IF($A5306="","",ROW())</f>
        <v/>
      </c>
    </row>
    <row r="5307" customFormat="false" ht="15" hidden="false" customHeight="true" outlineLevel="0" collapsed="false">
      <c r="A5307" s="8"/>
      <c r="B5307" s="8"/>
      <c r="C5307" s="8"/>
      <c r="D5307" s="8"/>
      <c r="E5307" s="8"/>
      <c r="F5307" s="8"/>
      <c r="G5307" s="10" t="str">
        <f aca="false">IF($A5307="","",UPPER(SUBSTITUTE(SUBSTITUTE(SUBSTITUTE(SUBSTITUTE($A5307," ",""),"(주)",""),"주식회사",""),"㈜","")))</f>
        <v/>
      </c>
      <c r="H5307" s="10" t="str">
        <f aca="false">IF($B5307="","",SUBSTITUTE(SUBSTITUTE(SUBSTITUTE($B5307,"-","")," ",""),".",""))</f>
        <v/>
      </c>
      <c r="I5307" s="10" t="str">
        <f aca="false">IF($D5307="","",SUBSTITUTE(SUBSTITUTE(SUBSTITUTE($D5307,"-","")," ",""),".",""))</f>
        <v/>
      </c>
      <c r="J5307" s="10" t="str">
        <f aca="false">IF($E5307="","",UPPER(SUBSTITUTE($E5307," ","")))</f>
        <v/>
      </c>
      <c r="K5307" s="10" t="str">
        <f aca="false">IF($A5307="","",$G5307&amp;"|"&amp;$J5307)</f>
        <v/>
      </c>
      <c r="L5307" s="10" t="str">
        <f aca="false">IF($A5307="","",ROW()-2)</f>
        <v/>
      </c>
      <c r="M5307" s="10" t="str">
        <f aca="false">IF($A5307="","",ROW())</f>
        <v/>
      </c>
    </row>
    <row r="5308" customFormat="false" ht="15" hidden="false" customHeight="true" outlineLevel="0" collapsed="false">
      <c r="A5308" s="8"/>
      <c r="B5308" s="8"/>
      <c r="C5308" s="8"/>
      <c r="D5308" s="8"/>
      <c r="E5308" s="8"/>
      <c r="F5308" s="8"/>
      <c r="G5308" s="10" t="str">
        <f aca="false">IF($A5308="","",UPPER(SUBSTITUTE(SUBSTITUTE(SUBSTITUTE(SUBSTITUTE($A5308," ",""),"(주)",""),"주식회사",""),"㈜","")))</f>
        <v/>
      </c>
      <c r="H5308" s="10" t="str">
        <f aca="false">IF($B5308="","",SUBSTITUTE(SUBSTITUTE(SUBSTITUTE($B5308,"-","")," ",""),".",""))</f>
        <v/>
      </c>
      <c r="I5308" s="10" t="str">
        <f aca="false">IF($D5308="","",SUBSTITUTE(SUBSTITUTE(SUBSTITUTE($D5308,"-","")," ",""),".",""))</f>
        <v/>
      </c>
      <c r="J5308" s="10" t="str">
        <f aca="false">IF($E5308="","",UPPER(SUBSTITUTE($E5308," ","")))</f>
        <v/>
      </c>
      <c r="K5308" s="10" t="str">
        <f aca="false">IF($A5308="","",$G5308&amp;"|"&amp;$J5308)</f>
        <v/>
      </c>
      <c r="L5308" s="10" t="str">
        <f aca="false">IF($A5308="","",ROW()-2)</f>
        <v/>
      </c>
      <c r="M5308" s="10" t="str">
        <f aca="false">IF($A5308="","",ROW())</f>
        <v/>
      </c>
    </row>
    <row r="5309" customFormat="false" ht="15" hidden="false" customHeight="true" outlineLevel="0" collapsed="false">
      <c r="A5309" s="8"/>
      <c r="B5309" s="8"/>
      <c r="C5309" s="8"/>
      <c r="D5309" s="8"/>
      <c r="E5309" s="8"/>
      <c r="F5309" s="8"/>
      <c r="G5309" s="10" t="str">
        <f aca="false">IF($A5309="","",UPPER(SUBSTITUTE(SUBSTITUTE(SUBSTITUTE(SUBSTITUTE($A5309," ",""),"(주)",""),"주식회사",""),"㈜","")))</f>
        <v/>
      </c>
      <c r="H5309" s="10" t="str">
        <f aca="false">IF($B5309="","",SUBSTITUTE(SUBSTITUTE(SUBSTITUTE($B5309,"-","")," ",""),".",""))</f>
        <v/>
      </c>
      <c r="I5309" s="10" t="str">
        <f aca="false">IF($D5309="","",SUBSTITUTE(SUBSTITUTE(SUBSTITUTE($D5309,"-","")," ",""),".",""))</f>
        <v/>
      </c>
      <c r="J5309" s="10" t="str">
        <f aca="false">IF($E5309="","",UPPER(SUBSTITUTE($E5309," ","")))</f>
        <v/>
      </c>
      <c r="K5309" s="10" t="str">
        <f aca="false">IF($A5309="","",$G5309&amp;"|"&amp;$J5309)</f>
        <v/>
      </c>
      <c r="L5309" s="10" t="str">
        <f aca="false">IF($A5309="","",ROW()-2)</f>
        <v/>
      </c>
      <c r="M5309" s="10" t="str">
        <f aca="false">IF($A5309="","",ROW())</f>
        <v/>
      </c>
    </row>
    <row r="5310" customFormat="false" ht="15" hidden="false" customHeight="true" outlineLevel="0" collapsed="false">
      <c r="A5310" s="8"/>
      <c r="B5310" s="8"/>
      <c r="C5310" s="8"/>
      <c r="D5310" s="8"/>
      <c r="E5310" s="8"/>
      <c r="F5310" s="8"/>
      <c r="G5310" s="10" t="str">
        <f aca="false">IF($A5310="","",UPPER(SUBSTITUTE(SUBSTITUTE(SUBSTITUTE(SUBSTITUTE($A5310," ",""),"(주)",""),"주식회사",""),"㈜","")))</f>
        <v/>
      </c>
      <c r="H5310" s="10" t="str">
        <f aca="false">IF($B5310="","",SUBSTITUTE(SUBSTITUTE(SUBSTITUTE($B5310,"-","")," ",""),".",""))</f>
        <v/>
      </c>
      <c r="I5310" s="10" t="str">
        <f aca="false">IF($D5310="","",SUBSTITUTE(SUBSTITUTE(SUBSTITUTE($D5310,"-","")," ",""),".",""))</f>
        <v/>
      </c>
      <c r="J5310" s="10" t="str">
        <f aca="false">IF($E5310="","",UPPER(SUBSTITUTE($E5310," ","")))</f>
        <v/>
      </c>
      <c r="K5310" s="10" t="str">
        <f aca="false">IF($A5310="","",$G5310&amp;"|"&amp;$J5310)</f>
        <v/>
      </c>
      <c r="L5310" s="10" t="str">
        <f aca="false">IF($A5310="","",ROW()-2)</f>
        <v/>
      </c>
      <c r="M5310" s="10" t="str">
        <f aca="false">IF($A5310="","",ROW())</f>
        <v/>
      </c>
    </row>
    <row r="5311" customFormat="false" ht="15" hidden="false" customHeight="true" outlineLevel="0" collapsed="false">
      <c r="A5311" s="8"/>
      <c r="B5311" s="8"/>
      <c r="C5311" s="8"/>
      <c r="D5311" s="8"/>
      <c r="E5311" s="8"/>
      <c r="F5311" s="8"/>
      <c r="G5311" s="10" t="str">
        <f aca="false">IF($A5311="","",UPPER(SUBSTITUTE(SUBSTITUTE(SUBSTITUTE(SUBSTITUTE($A5311," ",""),"(주)",""),"주식회사",""),"㈜","")))</f>
        <v/>
      </c>
      <c r="H5311" s="10" t="str">
        <f aca="false">IF($B5311="","",SUBSTITUTE(SUBSTITUTE(SUBSTITUTE($B5311,"-","")," ",""),".",""))</f>
        <v/>
      </c>
      <c r="I5311" s="10" t="str">
        <f aca="false">IF($D5311="","",SUBSTITUTE(SUBSTITUTE(SUBSTITUTE($D5311,"-","")," ",""),".",""))</f>
        <v/>
      </c>
      <c r="J5311" s="10" t="str">
        <f aca="false">IF($E5311="","",UPPER(SUBSTITUTE($E5311," ","")))</f>
        <v/>
      </c>
      <c r="K5311" s="10" t="str">
        <f aca="false">IF($A5311="","",$G5311&amp;"|"&amp;$J5311)</f>
        <v/>
      </c>
      <c r="L5311" s="10" t="str">
        <f aca="false">IF($A5311="","",ROW()-2)</f>
        <v/>
      </c>
      <c r="M5311" s="10" t="str">
        <f aca="false">IF($A5311="","",ROW())</f>
        <v/>
      </c>
    </row>
    <row r="5312" customFormat="false" ht="15" hidden="false" customHeight="true" outlineLevel="0" collapsed="false">
      <c r="A5312" s="8"/>
      <c r="B5312" s="8"/>
      <c r="C5312" s="8"/>
      <c r="D5312" s="8"/>
      <c r="E5312" s="8"/>
      <c r="F5312" s="8"/>
      <c r="G5312" s="10" t="str">
        <f aca="false">IF($A5312="","",UPPER(SUBSTITUTE(SUBSTITUTE(SUBSTITUTE(SUBSTITUTE($A5312," ",""),"(주)",""),"주식회사",""),"㈜","")))</f>
        <v/>
      </c>
      <c r="H5312" s="10" t="str">
        <f aca="false">IF($B5312="","",SUBSTITUTE(SUBSTITUTE(SUBSTITUTE($B5312,"-","")," ",""),".",""))</f>
        <v/>
      </c>
      <c r="I5312" s="10" t="str">
        <f aca="false">IF($D5312="","",SUBSTITUTE(SUBSTITUTE(SUBSTITUTE($D5312,"-","")," ",""),".",""))</f>
        <v/>
      </c>
      <c r="J5312" s="10" t="str">
        <f aca="false">IF($E5312="","",UPPER(SUBSTITUTE($E5312," ","")))</f>
        <v/>
      </c>
      <c r="K5312" s="10" t="str">
        <f aca="false">IF($A5312="","",$G5312&amp;"|"&amp;$J5312)</f>
        <v/>
      </c>
      <c r="L5312" s="10" t="str">
        <f aca="false">IF($A5312="","",ROW()-2)</f>
        <v/>
      </c>
      <c r="M5312" s="10" t="str">
        <f aca="false">IF($A5312="","",ROW())</f>
        <v/>
      </c>
    </row>
    <row r="5313" customFormat="false" ht="15" hidden="false" customHeight="true" outlineLevel="0" collapsed="false">
      <c r="A5313" s="8"/>
      <c r="B5313" s="8"/>
      <c r="C5313" s="8"/>
      <c r="D5313" s="8"/>
      <c r="E5313" s="8"/>
      <c r="F5313" s="8"/>
      <c r="G5313" s="10" t="str">
        <f aca="false">IF($A5313="","",UPPER(SUBSTITUTE(SUBSTITUTE(SUBSTITUTE(SUBSTITUTE($A5313," ",""),"(주)",""),"주식회사",""),"㈜","")))</f>
        <v/>
      </c>
      <c r="H5313" s="10" t="str">
        <f aca="false">IF($B5313="","",SUBSTITUTE(SUBSTITUTE(SUBSTITUTE($B5313,"-","")," ",""),".",""))</f>
        <v/>
      </c>
      <c r="I5313" s="10" t="str">
        <f aca="false">IF($D5313="","",SUBSTITUTE(SUBSTITUTE(SUBSTITUTE($D5313,"-","")," ",""),".",""))</f>
        <v/>
      </c>
      <c r="J5313" s="10" t="str">
        <f aca="false">IF($E5313="","",UPPER(SUBSTITUTE($E5313," ","")))</f>
        <v/>
      </c>
      <c r="K5313" s="10" t="str">
        <f aca="false">IF($A5313="","",$G5313&amp;"|"&amp;$J5313)</f>
        <v/>
      </c>
      <c r="L5313" s="10" t="str">
        <f aca="false">IF($A5313="","",ROW()-2)</f>
        <v/>
      </c>
      <c r="M5313" s="10" t="str">
        <f aca="false">IF($A5313="","",ROW())</f>
        <v/>
      </c>
    </row>
    <row r="5314" customFormat="false" ht="15" hidden="false" customHeight="true" outlineLevel="0" collapsed="false">
      <c r="A5314" s="8"/>
      <c r="B5314" s="8"/>
      <c r="C5314" s="8"/>
      <c r="D5314" s="8"/>
      <c r="E5314" s="8"/>
      <c r="F5314" s="8"/>
      <c r="G5314" s="10" t="str">
        <f aca="false">IF($A5314="","",UPPER(SUBSTITUTE(SUBSTITUTE(SUBSTITUTE(SUBSTITUTE($A5314," ",""),"(주)",""),"주식회사",""),"㈜","")))</f>
        <v/>
      </c>
      <c r="H5314" s="10" t="str">
        <f aca="false">IF($B5314="","",SUBSTITUTE(SUBSTITUTE(SUBSTITUTE($B5314,"-","")," ",""),".",""))</f>
        <v/>
      </c>
      <c r="I5314" s="10" t="str">
        <f aca="false">IF($D5314="","",SUBSTITUTE(SUBSTITUTE(SUBSTITUTE($D5314,"-","")," ",""),".",""))</f>
        <v/>
      </c>
      <c r="J5314" s="10" t="str">
        <f aca="false">IF($E5314="","",UPPER(SUBSTITUTE($E5314," ","")))</f>
        <v/>
      </c>
      <c r="K5314" s="10" t="str">
        <f aca="false">IF($A5314="","",$G5314&amp;"|"&amp;$J5314)</f>
        <v/>
      </c>
      <c r="L5314" s="10" t="str">
        <f aca="false">IF($A5314="","",ROW()-2)</f>
        <v/>
      </c>
      <c r="M5314" s="10" t="str">
        <f aca="false">IF($A5314="","",ROW())</f>
        <v/>
      </c>
    </row>
    <row r="5315" customFormat="false" ht="15" hidden="false" customHeight="true" outlineLevel="0" collapsed="false">
      <c r="A5315" s="8"/>
      <c r="B5315" s="8"/>
      <c r="C5315" s="8"/>
      <c r="D5315" s="8"/>
      <c r="E5315" s="8"/>
      <c r="F5315" s="8"/>
      <c r="G5315" s="10" t="str">
        <f aca="false">IF($A5315="","",UPPER(SUBSTITUTE(SUBSTITUTE(SUBSTITUTE(SUBSTITUTE($A5315," ",""),"(주)",""),"주식회사",""),"㈜","")))</f>
        <v/>
      </c>
      <c r="H5315" s="10" t="str">
        <f aca="false">IF($B5315="","",SUBSTITUTE(SUBSTITUTE(SUBSTITUTE($B5315,"-","")," ",""),".",""))</f>
        <v/>
      </c>
      <c r="I5315" s="10" t="str">
        <f aca="false">IF($D5315="","",SUBSTITUTE(SUBSTITUTE(SUBSTITUTE($D5315,"-","")," ",""),".",""))</f>
        <v/>
      </c>
      <c r="J5315" s="10" t="str">
        <f aca="false">IF($E5315="","",UPPER(SUBSTITUTE($E5315," ","")))</f>
        <v/>
      </c>
      <c r="K5315" s="10" t="str">
        <f aca="false">IF($A5315="","",$G5315&amp;"|"&amp;$J5315)</f>
        <v/>
      </c>
      <c r="L5315" s="10" t="str">
        <f aca="false">IF($A5315="","",ROW()-2)</f>
        <v/>
      </c>
      <c r="M5315" s="10" t="str">
        <f aca="false">IF($A5315="","",ROW())</f>
        <v/>
      </c>
    </row>
    <row r="5316" customFormat="false" ht="15" hidden="false" customHeight="true" outlineLevel="0" collapsed="false">
      <c r="A5316" s="8"/>
      <c r="B5316" s="8"/>
      <c r="C5316" s="8"/>
      <c r="D5316" s="8"/>
      <c r="E5316" s="8"/>
      <c r="F5316" s="8"/>
      <c r="G5316" s="10" t="str">
        <f aca="false">IF($A5316="","",UPPER(SUBSTITUTE(SUBSTITUTE(SUBSTITUTE(SUBSTITUTE($A5316," ",""),"(주)",""),"주식회사",""),"㈜","")))</f>
        <v/>
      </c>
      <c r="H5316" s="10" t="str">
        <f aca="false">IF($B5316="","",SUBSTITUTE(SUBSTITUTE(SUBSTITUTE($B5316,"-","")," ",""),".",""))</f>
        <v/>
      </c>
      <c r="I5316" s="10" t="str">
        <f aca="false">IF($D5316="","",SUBSTITUTE(SUBSTITUTE(SUBSTITUTE($D5316,"-","")," ",""),".",""))</f>
        <v/>
      </c>
      <c r="J5316" s="10" t="str">
        <f aca="false">IF($E5316="","",UPPER(SUBSTITUTE($E5316," ","")))</f>
        <v/>
      </c>
      <c r="K5316" s="10" t="str">
        <f aca="false">IF($A5316="","",$G5316&amp;"|"&amp;$J5316)</f>
        <v/>
      </c>
      <c r="L5316" s="10" t="str">
        <f aca="false">IF($A5316="","",ROW()-2)</f>
        <v/>
      </c>
      <c r="M5316" s="10" t="str">
        <f aca="false">IF($A5316="","",ROW())</f>
        <v/>
      </c>
    </row>
    <row r="5317" customFormat="false" ht="15" hidden="false" customHeight="true" outlineLevel="0" collapsed="false">
      <c r="A5317" s="8"/>
      <c r="B5317" s="8"/>
      <c r="C5317" s="8"/>
      <c r="D5317" s="8"/>
      <c r="E5317" s="8"/>
      <c r="F5317" s="8"/>
      <c r="G5317" s="10" t="str">
        <f aca="false">IF($A5317="","",UPPER(SUBSTITUTE(SUBSTITUTE(SUBSTITUTE(SUBSTITUTE($A5317," ",""),"(주)",""),"주식회사",""),"㈜","")))</f>
        <v/>
      </c>
      <c r="H5317" s="10" t="str">
        <f aca="false">IF($B5317="","",SUBSTITUTE(SUBSTITUTE(SUBSTITUTE($B5317,"-","")," ",""),".",""))</f>
        <v/>
      </c>
      <c r="I5317" s="10" t="str">
        <f aca="false">IF($D5317="","",SUBSTITUTE(SUBSTITUTE(SUBSTITUTE($D5317,"-","")," ",""),".",""))</f>
        <v/>
      </c>
      <c r="J5317" s="10" t="str">
        <f aca="false">IF($E5317="","",UPPER(SUBSTITUTE($E5317," ","")))</f>
        <v/>
      </c>
      <c r="K5317" s="10" t="str">
        <f aca="false">IF($A5317="","",$G5317&amp;"|"&amp;$J5317)</f>
        <v/>
      </c>
      <c r="L5317" s="10" t="str">
        <f aca="false">IF($A5317="","",ROW()-2)</f>
        <v/>
      </c>
      <c r="M5317" s="10" t="str">
        <f aca="false">IF($A5317="","",ROW())</f>
        <v/>
      </c>
    </row>
    <row r="5318" customFormat="false" ht="15" hidden="false" customHeight="true" outlineLevel="0" collapsed="false">
      <c r="A5318" s="8"/>
      <c r="B5318" s="8"/>
      <c r="C5318" s="8"/>
      <c r="D5318" s="8"/>
      <c r="E5318" s="8"/>
      <c r="F5318" s="8"/>
      <c r="G5318" s="10" t="str">
        <f aca="false">IF($A5318="","",UPPER(SUBSTITUTE(SUBSTITUTE(SUBSTITUTE(SUBSTITUTE($A5318," ",""),"(주)",""),"주식회사",""),"㈜","")))</f>
        <v/>
      </c>
      <c r="H5318" s="10" t="str">
        <f aca="false">IF($B5318="","",SUBSTITUTE(SUBSTITUTE(SUBSTITUTE($B5318,"-","")," ",""),".",""))</f>
        <v/>
      </c>
      <c r="I5318" s="10" t="str">
        <f aca="false">IF($D5318="","",SUBSTITUTE(SUBSTITUTE(SUBSTITUTE($D5318,"-","")," ",""),".",""))</f>
        <v/>
      </c>
      <c r="J5318" s="10" t="str">
        <f aca="false">IF($E5318="","",UPPER(SUBSTITUTE($E5318," ","")))</f>
        <v/>
      </c>
      <c r="K5318" s="10" t="str">
        <f aca="false">IF($A5318="","",$G5318&amp;"|"&amp;$J5318)</f>
        <v/>
      </c>
      <c r="L5318" s="10" t="str">
        <f aca="false">IF($A5318="","",ROW()-2)</f>
        <v/>
      </c>
      <c r="M5318" s="10" t="str">
        <f aca="false">IF($A5318="","",ROW())</f>
        <v/>
      </c>
    </row>
    <row r="5319" customFormat="false" ht="15" hidden="false" customHeight="true" outlineLevel="0" collapsed="false">
      <c r="A5319" s="8"/>
      <c r="B5319" s="8"/>
      <c r="C5319" s="8"/>
      <c r="D5319" s="8"/>
      <c r="E5319" s="8"/>
      <c r="F5319" s="8"/>
      <c r="G5319" s="10" t="str">
        <f aca="false">IF($A5319="","",UPPER(SUBSTITUTE(SUBSTITUTE(SUBSTITUTE(SUBSTITUTE($A5319," ",""),"(주)",""),"주식회사",""),"㈜","")))</f>
        <v/>
      </c>
      <c r="H5319" s="10" t="str">
        <f aca="false">IF($B5319="","",SUBSTITUTE(SUBSTITUTE(SUBSTITUTE($B5319,"-","")," ",""),".",""))</f>
        <v/>
      </c>
      <c r="I5319" s="10" t="str">
        <f aca="false">IF($D5319="","",SUBSTITUTE(SUBSTITUTE(SUBSTITUTE($D5319,"-","")," ",""),".",""))</f>
        <v/>
      </c>
      <c r="J5319" s="10" t="str">
        <f aca="false">IF($E5319="","",UPPER(SUBSTITUTE($E5319," ","")))</f>
        <v/>
      </c>
      <c r="K5319" s="10" t="str">
        <f aca="false">IF($A5319="","",$G5319&amp;"|"&amp;$J5319)</f>
        <v/>
      </c>
      <c r="L5319" s="10" t="str">
        <f aca="false">IF($A5319="","",ROW()-2)</f>
        <v/>
      </c>
      <c r="M5319" s="10" t="str">
        <f aca="false">IF($A5319="","",ROW())</f>
        <v/>
      </c>
    </row>
    <row r="5320" customFormat="false" ht="15" hidden="false" customHeight="true" outlineLevel="0" collapsed="false">
      <c r="A5320" s="8"/>
      <c r="B5320" s="8"/>
      <c r="C5320" s="8"/>
      <c r="D5320" s="8"/>
      <c r="E5320" s="8"/>
      <c r="F5320" s="8"/>
      <c r="G5320" s="10" t="str">
        <f aca="false">IF($A5320="","",UPPER(SUBSTITUTE(SUBSTITUTE(SUBSTITUTE(SUBSTITUTE($A5320," ",""),"(주)",""),"주식회사",""),"㈜","")))</f>
        <v/>
      </c>
      <c r="H5320" s="10" t="str">
        <f aca="false">IF($B5320="","",SUBSTITUTE(SUBSTITUTE(SUBSTITUTE($B5320,"-","")," ",""),".",""))</f>
        <v/>
      </c>
      <c r="I5320" s="10" t="str">
        <f aca="false">IF($D5320="","",SUBSTITUTE(SUBSTITUTE(SUBSTITUTE($D5320,"-","")," ",""),".",""))</f>
        <v/>
      </c>
      <c r="J5320" s="10" t="str">
        <f aca="false">IF($E5320="","",UPPER(SUBSTITUTE($E5320," ","")))</f>
        <v/>
      </c>
      <c r="K5320" s="10" t="str">
        <f aca="false">IF($A5320="","",$G5320&amp;"|"&amp;$J5320)</f>
        <v/>
      </c>
      <c r="L5320" s="10" t="str">
        <f aca="false">IF($A5320="","",ROW()-2)</f>
        <v/>
      </c>
      <c r="M5320" s="10" t="str">
        <f aca="false">IF($A5320="","",ROW())</f>
        <v/>
      </c>
    </row>
    <row r="5321" customFormat="false" ht="15" hidden="false" customHeight="true" outlineLevel="0" collapsed="false">
      <c r="A5321" s="8"/>
      <c r="B5321" s="8"/>
      <c r="C5321" s="8"/>
      <c r="D5321" s="8"/>
      <c r="E5321" s="8"/>
      <c r="F5321" s="8"/>
      <c r="G5321" s="10" t="str">
        <f aca="false">IF($A5321="","",UPPER(SUBSTITUTE(SUBSTITUTE(SUBSTITUTE(SUBSTITUTE($A5321," ",""),"(주)",""),"주식회사",""),"㈜","")))</f>
        <v/>
      </c>
      <c r="H5321" s="10" t="str">
        <f aca="false">IF($B5321="","",SUBSTITUTE(SUBSTITUTE(SUBSTITUTE($B5321,"-","")," ",""),".",""))</f>
        <v/>
      </c>
      <c r="I5321" s="10" t="str">
        <f aca="false">IF($D5321="","",SUBSTITUTE(SUBSTITUTE(SUBSTITUTE($D5321,"-","")," ",""),".",""))</f>
        <v/>
      </c>
      <c r="J5321" s="10" t="str">
        <f aca="false">IF($E5321="","",UPPER(SUBSTITUTE($E5321," ","")))</f>
        <v/>
      </c>
      <c r="K5321" s="10" t="str">
        <f aca="false">IF($A5321="","",$G5321&amp;"|"&amp;$J5321)</f>
        <v/>
      </c>
      <c r="L5321" s="10" t="str">
        <f aca="false">IF($A5321="","",ROW()-2)</f>
        <v/>
      </c>
      <c r="M5321" s="10" t="str">
        <f aca="false">IF($A5321="","",ROW())</f>
        <v/>
      </c>
    </row>
    <row r="5322" customFormat="false" ht="15" hidden="false" customHeight="true" outlineLevel="0" collapsed="false">
      <c r="A5322" s="8"/>
      <c r="B5322" s="8"/>
      <c r="C5322" s="8"/>
      <c r="D5322" s="8"/>
      <c r="E5322" s="8"/>
      <c r="F5322" s="8"/>
      <c r="G5322" s="10" t="str">
        <f aca="false">IF($A5322="","",UPPER(SUBSTITUTE(SUBSTITUTE(SUBSTITUTE(SUBSTITUTE($A5322," ",""),"(주)",""),"주식회사",""),"㈜","")))</f>
        <v/>
      </c>
      <c r="H5322" s="10" t="str">
        <f aca="false">IF($B5322="","",SUBSTITUTE(SUBSTITUTE(SUBSTITUTE($B5322,"-","")," ",""),".",""))</f>
        <v/>
      </c>
      <c r="I5322" s="10" t="str">
        <f aca="false">IF($D5322="","",SUBSTITUTE(SUBSTITUTE(SUBSTITUTE($D5322,"-","")," ",""),".",""))</f>
        <v/>
      </c>
      <c r="J5322" s="10" t="str">
        <f aca="false">IF($E5322="","",UPPER(SUBSTITUTE($E5322," ","")))</f>
        <v/>
      </c>
      <c r="K5322" s="10" t="str">
        <f aca="false">IF($A5322="","",$G5322&amp;"|"&amp;$J5322)</f>
        <v/>
      </c>
      <c r="L5322" s="10" t="str">
        <f aca="false">IF($A5322="","",ROW()-2)</f>
        <v/>
      </c>
      <c r="M5322" s="10" t="str">
        <f aca="false">IF($A5322="","",ROW())</f>
        <v/>
      </c>
    </row>
    <row r="5323" customFormat="false" ht="15" hidden="false" customHeight="true" outlineLevel="0" collapsed="false">
      <c r="A5323" s="8"/>
      <c r="B5323" s="8"/>
      <c r="C5323" s="8"/>
      <c r="D5323" s="8"/>
      <c r="E5323" s="8"/>
      <c r="F5323" s="8"/>
      <c r="G5323" s="10" t="str">
        <f aca="false">IF($A5323="","",UPPER(SUBSTITUTE(SUBSTITUTE(SUBSTITUTE(SUBSTITUTE($A5323," ",""),"(주)",""),"주식회사",""),"㈜","")))</f>
        <v/>
      </c>
      <c r="H5323" s="10" t="str">
        <f aca="false">IF($B5323="","",SUBSTITUTE(SUBSTITUTE(SUBSTITUTE($B5323,"-","")," ",""),".",""))</f>
        <v/>
      </c>
      <c r="I5323" s="10" t="str">
        <f aca="false">IF($D5323="","",SUBSTITUTE(SUBSTITUTE(SUBSTITUTE($D5323,"-","")," ",""),".",""))</f>
        <v/>
      </c>
      <c r="J5323" s="10" t="str">
        <f aca="false">IF($E5323="","",UPPER(SUBSTITUTE($E5323," ","")))</f>
        <v/>
      </c>
      <c r="K5323" s="10" t="str">
        <f aca="false">IF($A5323="","",$G5323&amp;"|"&amp;$J5323)</f>
        <v/>
      </c>
      <c r="L5323" s="10" t="str">
        <f aca="false">IF($A5323="","",ROW()-2)</f>
        <v/>
      </c>
      <c r="M5323" s="10" t="str">
        <f aca="false">IF($A5323="","",ROW())</f>
        <v/>
      </c>
    </row>
    <row r="5324" customFormat="false" ht="15" hidden="false" customHeight="true" outlineLevel="0" collapsed="false">
      <c r="A5324" s="8"/>
      <c r="B5324" s="8"/>
      <c r="C5324" s="8"/>
      <c r="D5324" s="8"/>
      <c r="E5324" s="8"/>
      <c r="F5324" s="8"/>
      <c r="G5324" s="10" t="str">
        <f aca="false">IF($A5324="","",UPPER(SUBSTITUTE(SUBSTITUTE(SUBSTITUTE(SUBSTITUTE($A5324," ",""),"(주)",""),"주식회사",""),"㈜","")))</f>
        <v/>
      </c>
      <c r="H5324" s="10" t="str">
        <f aca="false">IF($B5324="","",SUBSTITUTE(SUBSTITUTE(SUBSTITUTE($B5324,"-","")," ",""),".",""))</f>
        <v/>
      </c>
      <c r="I5324" s="10" t="str">
        <f aca="false">IF($D5324="","",SUBSTITUTE(SUBSTITUTE(SUBSTITUTE($D5324,"-","")," ",""),".",""))</f>
        <v/>
      </c>
      <c r="J5324" s="10" t="str">
        <f aca="false">IF($E5324="","",UPPER(SUBSTITUTE($E5324," ","")))</f>
        <v/>
      </c>
      <c r="K5324" s="10" t="str">
        <f aca="false">IF($A5324="","",$G5324&amp;"|"&amp;$J5324)</f>
        <v/>
      </c>
      <c r="L5324" s="10" t="str">
        <f aca="false">IF($A5324="","",ROW()-2)</f>
        <v/>
      </c>
      <c r="M5324" s="10" t="str">
        <f aca="false">IF($A5324="","",ROW())</f>
        <v/>
      </c>
    </row>
    <row r="5325" customFormat="false" ht="15" hidden="false" customHeight="true" outlineLevel="0" collapsed="false">
      <c r="A5325" s="8"/>
      <c r="B5325" s="8"/>
      <c r="C5325" s="8"/>
      <c r="D5325" s="8"/>
      <c r="E5325" s="8"/>
      <c r="F5325" s="8"/>
      <c r="G5325" s="10" t="str">
        <f aca="false">IF($A5325="","",UPPER(SUBSTITUTE(SUBSTITUTE(SUBSTITUTE(SUBSTITUTE($A5325," ",""),"(주)",""),"주식회사",""),"㈜","")))</f>
        <v/>
      </c>
      <c r="H5325" s="10" t="str">
        <f aca="false">IF($B5325="","",SUBSTITUTE(SUBSTITUTE(SUBSTITUTE($B5325,"-","")," ",""),".",""))</f>
        <v/>
      </c>
      <c r="I5325" s="10" t="str">
        <f aca="false">IF($D5325="","",SUBSTITUTE(SUBSTITUTE(SUBSTITUTE($D5325,"-","")," ",""),".",""))</f>
        <v/>
      </c>
      <c r="J5325" s="10" t="str">
        <f aca="false">IF($E5325="","",UPPER(SUBSTITUTE($E5325," ","")))</f>
        <v/>
      </c>
      <c r="K5325" s="10" t="str">
        <f aca="false">IF($A5325="","",$G5325&amp;"|"&amp;$J5325)</f>
        <v/>
      </c>
      <c r="L5325" s="10" t="str">
        <f aca="false">IF($A5325="","",ROW()-2)</f>
        <v/>
      </c>
      <c r="M5325" s="10" t="str">
        <f aca="false">IF($A5325="","",ROW())</f>
        <v/>
      </c>
    </row>
    <row r="5326" customFormat="false" ht="15" hidden="false" customHeight="true" outlineLevel="0" collapsed="false">
      <c r="A5326" s="8"/>
      <c r="B5326" s="8"/>
      <c r="C5326" s="8"/>
      <c r="D5326" s="8"/>
      <c r="E5326" s="8"/>
      <c r="F5326" s="8"/>
      <c r="G5326" s="10" t="str">
        <f aca="false">IF($A5326="","",UPPER(SUBSTITUTE(SUBSTITUTE(SUBSTITUTE(SUBSTITUTE($A5326," ",""),"(주)",""),"주식회사",""),"㈜","")))</f>
        <v/>
      </c>
      <c r="H5326" s="10" t="str">
        <f aca="false">IF($B5326="","",SUBSTITUTE(SUBSTITUTE(SUBSTITUTE($B5326,"-","")," ",""),".",""))</f>
        <v/>
      </c>
      <c r="I5326" s="10" t="str">
        <f aca="false">IF($D5326="","",SUBSTITUTE(SUBSTITUTE(SUBSTITUTE($D5326,"-","")," ",""),".",""))</f>
        <v/>
      </c>
      <c r="J5326" s="10" t="str">
        <f aca="false">IF($E5326="","",UPPER(SUBSTITUTE($E5326," ","")))</f>
        <v/>
      </c>
      <c r="K5326" s="10" t="str">
        <f aca="false">IF($A5326="","",$G5326&amp;"|"&amp;$J5326)</f>
        <v/>
      </c>
      <c r="L5326" s="10" t="str">
        <f aca="false">IF($A5326="","",ROW()-2)</f>
        <v/>
      </c>
      <c r="M5326" s="10" t="str">
        <f aca="false">IF($A5326="","",ROW())</f>
        <v/>
      </c>
    </row>
    <row r="5327" customFormat="false" ht="15" hidden="false" customHeight="true" outlineLevel="0" collapsed="false">
      <c r="A5327" s="8"/>
      <c r="B5327" s="8"/>
      <c r="C5327" s="8"/>
      <c r="D5327" s="8"/>
      <c r="E5327" s="8"/>
      <c r="F5327" s="8"/>
      <c r="G5327" s="10" t="str">
        <f aca="false">IF($A5327="","",UPPER(SUBSTITUTE(SUBSTITUTE(SUBSTITUTE(SUBSTITUTE($A5327," ",""),"(주)",""),"주식회사",""),"㈜","")))</f>
        <v/>
      </c>
      <c r="H5327" s="10" t="str">
        <f aca="false">IF($B5327="","",SUBSTITUTE(SUBSTITUTE(SUBSTITUTE($B5327,"-","")," ",""),".",""))</f>
        <v/>
      </c>
      <c r="I5327" s="10" t="str">
        <f aca="false">IF($D5327="","",SUBSTITUTE(SUBSTITUTE(SUBSTITUTE($D5327,"-","")," ",""),".",""))</f>
        <v/>
      </c>
      <c r="J5327" s="10" t="str">
        <f aca="false">IF($E5327="","",UPPER(SUBSTITUTE($E5327," ","")))</f>
        <v/>
      </c>
      <c r="K5327" s="10" t="str">
        <f aca="false">IF($A5327="","",$G5327&amp;"|"&amp;$J5327)</f>
        <v/>
      </c>
      <c r="L5327" s="10" t="str">
        <f aca="false">IF($A5327="","",ROW()-2)</f>
        <v/>
      </c>
      <c r="M5327" s="10" t="str">
        <f aca="false">IF($A5327="","",ROW())</f>
        <v/>
      </c>
    </row>
    <row r="5328" customFormat="false" ht="15" hidden="false" customHeight="true" outlineLevel="0" collapsed="false">
      <c r="A5328" s="8"/>
      <c r="B5328" s="8"/>
      <c r="C5328" s="8"/>
      <c r="D5328" s="8"/>
      <c r="E5328" s="8"/>
      <c r="F5328" s="8"/>
      <c r="G5328" s="10" t="str">
        <f aca="false">IF($A5328="","",UPPER(SUBSTITUTE(SUBSTITUTE(SUBSTITUTE(SUBSTITUTE($A5328," ",""),"(주)",""),"주식회사",""),"㈜","")))</f>
        <v/>
      </c>
      <c r="H5328" s="10" t="str">
        <f aca="false">IF($B5328="","",SUBSTITUTE(SUBSTITUTE(SUBSTITUTE($B5328,"-","")," ",""),".",""))</f>
        <v/>
      </c>
      <c r="I5328" s="10" t="str">
        <f aca="false">IF($D5328="","",SUBSTITUTE(SUBSTITUTE(SUBSTITUTE($D5328,"-","")," ",""),".",""))</f>
        <v/>
      </c>
      <c r="J5328" s="10" t="str">
        <f aca="false">IF($E5328="","",UPPER(SUBSTITUTE($E5328," ","")))</f>
        <v/>
      </c>
      <c r="K5328" s="10" t="str">
        <f aca="false">IF($A5328="","",$G5328&amp;"|"&amp;$J5328)</f>
        <v/>
      </c>
      <c r="L5328" s="10" t="str">
        <f aca="false">IF($A5328="","",ROW()-2)</f>
        <v/>
      </c>
      <c r="M5328" s="10" t="str">
        <f aca="false">IF($A5328="","",ROW())</f>
        <v/>
      </c>
    </row>
    <row r="5329" customFormat="false" ht="15" hidden="false" customHeight="true" outlineLevel="0" collapsed="false">
      <c r="A5329" s="8"/>
      <c r="B5329" s="8"/>
      <c r="C5329" s="8"/>
      <c r="D5329" s="8"/>
      <c r="E5329" s="8"/>
      <c r="F5329" s="8"/>
      <c r="G5329" s="10" t="str">
        <f aca="false">IF($A5329="","",UPPER(SUBSTITUTE(SUBSTITUTE(SUBSTITUTE(SUBSTITUTE($A5329," ",""),"(주)",""),"주식회사",""),"㈜","")))</f>
        <v/>
      </c>
      <c r="H5329" s="10" t="str">
        <f aca="false">IF($B5329="","",SUBSTITUTE(SUBSTITUTE(SUBSTITUTE($B5329,"-","")," ",""),".",""))</f>
        <v/>
      </c>
      <c r="I5329" s="10" t="str">
        <f aca="false">IF($D5329="","",SUBSTITUTE(SUBSTITUTE(SUBSTITUTE($D5329,"-","")," ",""),".",""))</f>
        <v/>
      </c>
      <c r="J5329" s="10" t="str">
        <f aca="false">IF($E5329="","",UPPER(SUBSTITUTE($E5329," ","")))</f>
        <v/>
      </c>
      <c r="K5329" s="10" t="str">
        <f aca="false">IF($A5329="","",$G5329&amp;"|"&amp;$J5329)</f>
        <v/>
      </c>
      <c r="L5329" s="10" t="str">
        <f aca="false">IF($A5329="","",ROW()-2)</f>
        <v/>
      </c>
      <c r="M5329" s="10" t="str">
        <f aca="false">IF($A5329="","",ROW())</f>
        <v/>
      </c>
    </row>
    <row r="5330" customFormat="false" ht="15" hidden="false" customHeight="true" outlineLevel="0" collapsed="false">
      <c r="A5330" s="8"/>
      <c r="B5330" s="8"/>
      <c r="C5330" s="8"/>
      <c r="D5330" s="8"/>
      <c r="E5330" s="8"/>
      <c r="F5330" s="8"/>
      <c r="G5330" s="10" t="str">
        <f aca="false">IF($A5330="","",UPPER(SUBSTITUTE(SUBSTITUTE(SUBSTITUTE(SUBSTITUTE($A5330," ",""),"(주)",""),"주식회사",""),"㈜","")))</f>
        <v/>
      </c>
      <c r="H5330" s="10" t="str">
        <f aca="false">IF($B5330="","",SUBSTITUTE(SUBSTITUTE(SUBSTITUTE($B5330,"-","")," ",""),".",""))</f>
        <v/>
      </c>
      <c r="I5330" s="10" t="str">
        <f aca="false">IF($D5330="","",SUBSTITUTE(SUBSTITUTE(SUBSTITUTE($D5330,"-","")," ",""),".",""))</f>
        <v/>
      </c>
      <c r="J5330" s="10" t="str">
        <f aca="false">IF($E5330="","",UPPER(SUBSTITUTE($E5330," ","")))</f>
        <v/>
      </c>
      <c r="K5330" s="10" t="str">
        <f aca="false">IF($A5330="","",$G5330&amp;"|"&amp;$J5330)</f>
        <v/>
      </c>
      <c r="L5330" s="10" t="str">
        <f aca="false">IF($A5330="","",ROW()-2)</f>
        <v/>
      </c>
      <c r="M5330" s="10" t="str">
        <f aca="false">IF($A5330="","",ROW())</f>
        <v/>
      </c>
    </row>
    <row r="5331" customFormat="false" ht="15" hidden="false" customHeight="true" outlineLevel="0" collapsed="false">
      <c r="A5331" s="8"/>
      <c r="B5331" s="8"/>
      <c r="C5331" s="8"/>
      <c r="D5331" s="8"/>
      <c r="E5331" s="8"/>
      <c r="F5331" s="8"/>
      <c r="G5331" s="10" t="str">
        <f aca="false">IF($A5331="","",UPPER(SUBSTITUTE(SUBSTITUTE(SUBSTITUTE(SUBSTITUTE($A5331," ",""),"(주)",""),"주식회사",""),"㈜","")))</f>
        <v/>
      </c>
      <c r="H5331" s="10" t="str">
        <f aca="false">IF($B5331="","",SUBSTITUTE(SUBSTITUTE(SUBSTITUTE($B5331,"-","")," ",""),".",""))</f>
        <v/>
      </c>
      <c r="I5331" s="10" t="str">
        <f aca="false">IF($D5331="","",SUBSTITUTE(SUBSTITUTE(SUBSTITUTE($D5331,"-","")," ",""),".",""))</f>
        <v/>
      </c>
      <c r="J5331" s="10" t="str">
        <f aca="false">IF($E5331="","",UPPER(SUBSTITUTE($E5331," ","")))</f>
        <v/>
      </c>
      <c r="K5331" s="10" t="str">
        <f aca="false">IF($A5331="","",$G5331&amp;"|"&amp;$J5331)</f>
        <v/>
      </c>
      <c r="L5331" s="10" t="str">
        <f aca="false">IF($A5331="","",ROW()-2)</f>
        <v/>
      </c>
      <c r="M5331" s="10" t="str">
        <f aca="false">IF($A5331="","",ROW())</f>
        <v/>
      </c>
    </row>
    <row r="5332" customFormat="false" ht="15" hidden="false" customHeight="true" outlineLevel="0" collapsed="false">
      <c r="A5332" s="8"/>
      <c r="B5332" s="8"/>
      <c r="C5332" s="8"/>
      <c r="D5332" s="8"/>
      <c r="E5332" s="8"/>
      <c r="F5332" s="8"/>
      <c r="G5332" s="10" t="str">
        <f aca="false">IF($A5332="","",UPPER(SUBSTITUTE(SUBSTITUTE(SUBSTITUTE(SUBSTITUTE($A5332," ",""),"(주)",""),"주식회사",""),"㈜","")))</f>
        <v/>
      </c>
      <c r="H5332" s="10" t="str">
        <f aca="false">IF($B5332="","",SUBSTITUTE(SUBSTITUTE(SUBSTITUTE($B5332,"-","")," ",""),".",""))</f>
        <v/>
      </c>
      <c r="I5332" s="10" t="str">
        <f aca="false">IF($D5332="","",SUBSTITUTE(SUBSTITUTE(SUBSTITUTE($D5332,"-","")," ",""),".",""))</f>
        <v/>
      </c>
      <c r="J5332" s="10" t="str">
        <f aca="false">IF($E5332="","",UPPER(SUBSTITUTE($E5332," ","")))</f>
        <v/>
      </c>
      <c r="K5332" s="10" t="str">
        <f aca="false">IF($A5332="","",$G5332&amp;"|"&amp;$J5332)</f>
        <v/>
      </c>
      <c r="L5332" s="10" t="str">
        <f aca="false">IF($A5332="","",ROW()-2)</f>
        <v/>
      </c>
      <c r="M5332" s="10" t="str">
        <f aca="false">IF($A5332="","",ROW())</f>
        <v/>
      </c>
    </row>
    <row r="5333" customFormat="false" ht="15" hidden="false" customHeight="true" outlineLevel="0" collapsed="false">
      <c r="A5333" s="8"/>
      <c r="B5333" s="8"/>
      <c r="C5333" s="8"/>
      <c r="D5333" s="8"/>
      <c r="E5333" s="8"/>
      <c r="F5333" s="8"/>
      <c r="G5333" s="10" t="str">
        <f aca="false">IF($A5333="","",UPPER(SUBSTITUTE(SUBSTITUTE(SUBSTITUTE(SUBSTITUTE($A5333," ",""),"(주)",""),"주식회사",""),"㈜","")))</f>
        <v/>
      </c>
      <c r="H5333" s="10" t="str">
        <f aca="false">IF($B5333="","",SUBSTITUTE(SUBSTITUTE(SUBSTITUTE($B5333,"-","")," ",""),".",""))</f>
        <v/>
      </c>
      <c r="I5333" s="10" t="str">
        <f aca="false">IF($D5333="","",SUBSTITUTE(SUBSTITUTE(SUBSTITUTE($D5333,"-","")," ",""),".",""))</f>
        <v/>
      </c>
      <c r="J5333" s="10" t="str">
        <f aca="false">IF($E5333="","",UPPER(SUBSTITUTE($E5333," ","")))</f>
        <v/>
      </c>
      <c r="K5333" s="10" t="str">
        <f aca="false">IF($A5333="","",$G5333&amp;"|"&amp;$J5333)</f>
        <v/>
      </c>
      <c r="L5333" s="10" t="str">
        <f aca="false">IF($A5333="","",ROW()-2)</f>
        <v/>
      </c>
      <c r="M5333" s="10" t="str">
        <f aca="false">IF($A5333="","",ROW())</f>
        <v/>
      </c>
    </row>
    <row r="5334" customFormat="false" ht="15" hidden="false" customHeight="true" outlineLevel="0" collapsed="false">
      <c r="A5334" s="8"/>
      <c r="B5334" s="8"/>
      <c r="C5334" s="8"/>
      <c r="D5334" s="8"/>
      <c r="E5334" s="8"/>
      <c r="F5334" s="8"/>
      <c r="G5334" s="10" t="str">
        <f aca="false">IF($A5334="","",UPPER(SUBSTITUTE(SUBSTITUTE(SUBSTITUTE(SUBSTITUTE($A5334," ",""),"(주)",""),"주식회사",""),"㈜","")))</f>
        <v/>
      </c>
      <c r="H5334" s="10" t="str">
        <f aca="false">IF($B5334="","",SUBSTITUTE(SUBSTITUTE(SUBSTITUTE($B5334,"-","")," ",""),".",""))</f>
        <v/>
      </c>
      <c r="I5334" s="10" t="str">
        <f aca="false">IF($D5334="","",SUBSTITUTE(SUBSTITUTE(SUBSTITUTE($D5334,"-","")," ",""),".",""))</f>
        <v/>
      </c>
      <c r="J5334" s="10" t="str">
        <f aca="false">IF($E5334="","",UPPER(SUBSTITUTE($E5334," ","")))</f>
        <v/>
      </c>
      <c r="K5334" s="10" t="str">
        <f aca="false">IF($A5334="","",$G5334&amp;"|"&amp;$J5334)</f>
        <v/>
      </c>
      <c r="L5334" s="10" t="str">
        <f aca="false">IF($A5334="","",ROW()-2)</f>
        <v/>
      </c>
      <c r="M5334" s="10" t="str">
        <f aca="false">IF($A5334="","",ROW())</f>
        <v/>
      </c>
    </row>
    <row r="5335" customFormat="false" ht="15" hidden="false" customHeight="true" outlineLevel="0" collapsed="false">
      <c r="A5335" s="8"/>
      <c r="B5335" s="8"/>
      <c r="C5335" s="8"/>
      <c r="D5335" s="8"/>
      <c r="E5335" s="8"/>
      <c r="F5335" s="8"/>
      <c r="G5335" s="10" t="str">
        <f aca="false">IF($A5335="","",UPPER(SUBSTITUTE(SUBSTITUTE(SUBSTITUTE(SUBSTITUTE($A5335," ",""),"(주)",""),"주식회사",""),"㈜","")))</f>
        <v/>
      </c>
      <c r="H5335" s="10" t="str">
        <f aca="false">IF($B5335="","",SUBSTITUTE(SUBSTITUTE(SUBSTITUTE($B5335,"-","")," ",""),".",""))</f>
        <v/>
      </c>
      <c r="I5335" s="10" t="str">
        <f aca="false">IF($D5335="","",SUBSTITUTE(SUBSTITUTE(SUBSTITUTE($D5335,"-","")," ",""),".",""))</f>
        <v/>
      </c>
      <c r="J5335" s="10" t="str">
        <f aca="false">IF($E5335="","",UPPER(SUBSTITUTE($E5335," ","")))</f>
        <v/>
      </c>
      <c r="K5335" s="10" t="str">
        <f aca="false">IF($A5335="","",$G5335&amp;"|"&amp;$J5335)</f>
        <v/>
      </c>
      <c r="L5335" s="10" t="str">
        <f aca="false">IF($A5335="","",ROW()-2)</f>
        <v/>
      </c>
      <c r="M5335" s="10" t="str">
        <f aca="false">IF($A5335="","",ROW())</f>
        <v/>
      </c>
    </row>
    <row r="5336" customFormat="false" ht="15" hidden="false" customHeight="true" outlineLevel="0" collapsed="false">
      <c r="A5336" s="8"/>
      <c r="B5336" s="8"/>
      <c r="C5336" s="8"/>
      <c r="D5336" s="8"/>
      <c r="E5336" s="8"/>
      <c r="F5336" s="8"/>
      <c r="G5336" s="10" t="str">
        <f aca="false">IF($A5336="","",UPPER(SUBSTITUTE(SUBSTITUTE(SUBSTITUTE(SUBSTITUTE($A5336," ",""),"(주)",""),"주식회사",""),"㈜","")))</f>
        <v/>
      </c>
      <c r="H5336" s="10" t="str">
        <f aca="false">IF($B5336="","",SUBSTITUTE(SUBSTITUTE(SUBSTITUTE($B5336,"-","")," ",""),".",""))</f>
        <v/>
      </c>
      <c r="I5336" s="10" t="str">
        <f aca="false">IF($D5336="","",SUBSTITUTE(SUBSTITUTE(SUBSTITUTE($D5336,"-","")," ",""),".",""))</f>
        <v/>
      </c>
      <c r="J5336" s="10" t="str">
        <f aca="false">IF($E5336="","",UPPER(SUBSTITUTE($E5336," ","")))</f>
        <v/>
      </c>
      <c r="K5336" s="10" t="str">
        <f aca="false">IF($A5336="","",$G5336&amp;"|"&amp;$J5336)</f>
        <v/>
      </c>
      <c r="L5336" s="10" t="str">
        <f aca="false">IF($A5336="","",ROW()-2)</f>
        <v/>
      </c>
      <c r="M5336" s="10" t="str">
        <f aca="false">IF($A5336="","",ROW())</f>
        <v/>
      </c>
    </row>
    <row r="5337" customFormat="false" ht="15" hidden="false" customHeight="true" outlineLevel="0" collapsed="false">
      <c r="A5337" s="8"/>
      <c r="B5337" s="8"/>
      <c r="C5337" s="8"/>
      <c r="D5337" s="8"/>
      <c r="E5337" s="8"/>
      <c r="F5337" s="8"/>
      <c r="G5337" s="10" t="str">
        <f aca="false">IF($A5337="","",UPPER(SUBSTITUTE(SUBSTITUTE(SUBSTITUTE(SUBSTITUTE($A5337," ",""),"(주)",""),"주식회사",""),"㈜","")))</f>
        <v/>
      </c>
      <c r="H5337" s="10" t="str">
        <f aca="false">IF($B5337="","",SUBSTITUTE(SUBSTITUTE(SUBSTITUTE($B5337,"-","")," ",""),".",""))</f>
        <v/>
      </c>
      <c r="I5337" s="10" t="str">
        <f aca="false">IF($D5337="","",SUBSTITUTE(SUBSTITUTE(SUBSTITUTE($D5337,"-","")," ",""),".",""))</f>
        <v/>
      </c>
      <c r="J5337" s="10" t="str">
        <f aca="false">IF($E5337="","",UPPER(SUBSTITUTE($E5337," ","")))</f>
        <v/>
      </c>
      <c r="K5337" s="10" t="str">
        <f aca="false">IF($A5337="","",$G5337&amp;"|"&amp;$J5337)</f>
        <v/>
      </c>
      <c r="L5337" s="10" t="str">
        <f aca="false">IF($A5337="","",ROW()-2)</f>
        <v/>
      </c>
      <c r="M5337" s="10" t="str">
        <f aca="false">IF($A5337="","",ROW())</f>
        <v/>
      </c>
    </row>
    <row r="5338" customFormat="false" ht="15" hidden="false" customHeight="true" outlineLevel="0" collapsed="false">
      <c r="A5338" s="8"/>
      <c r="B5338" s="8"/>
      <c r="C5338" s="8"/>
      <c r="D5338" s="8"/>
      <c r="E5338" s="8"/>
      <c r="F5338" s="8"/>
      <c r="G5338" s="10" t="str">
        <f aca="false">IF($A5338="","",UPPER(SUBSTITUTE(SUBSTITUTE(SUBSTITUTE(SUBSTITUTE($A5338," ",""),"(주)",""),"주식회사",""),"㈜","")))</f>
        <v/>
      </c>
      <c r="H5338" s="10" t="str">
        <f aca="false">IF($B5338="","",SUBSTITUTE(SUBSTITUTE(SUBSTITUTE($B5338,"-","")," ",""),".",""))</f>
        <v/>
      </c>
      <c r="I5338" s="10" t="str">
        <f aca="false">IF($D5338="","",SUBSTITUTE(SUBSTITUTE(SUBSTITUTE($D5338,"-","")," ",""),".",""))</f>
        <v/>
      </c>
      <c r="J5338" s="10" t="str">
        <f aca="false">IF($E5338="","",UPPER(SUBSTITUTE($E5338," ","")))</f>
        <v/>
      </c>
      <c r="K5338" s="10" t="str">
        <f aca="false">IF($A5338="","",$G5338&amp;"|"&amp;$J5338)</f>
        <v/>
      </c>
      <c r="L5338" s="10" t="str">
        <f aca="false">IF($A5338="","",ROW()-2)</f>
        <v/>
      </c>
      <c r="M5338" s="10" t="str">
        <f aca="false">IF($A5338="","",ROW())</f>
        <v/>
      </c>
    </row>
    <row r="5339" customFormat="false" ht="15" hidden="false" customHeight="true" outlineLevel="0" collapsed="false">
      <c r="A5339" s="8"/>
      <c r="B5339" s="8"/>
      <c r="C5339" s="8"/>
      <c r="D5339" s="8"/>
      <c r="E5339" s="8"/>
      <c r="F5339" s="8"/>
      <c r="G5339" s="10" t="str">
        <f aca="false">IF($A5339="","",UPPER(SUBSTITUTE(SUBSTITUTE(SUBSTITUTE(SUBSTITUTE($A5339," ",""),"(주)",""),"주식회사",""),"㈜","")))</f>
        <v/>
      </c>
      <c r="H5339" s="10" t="str">
        <f aca="false">IF($B5339="","",SUBSTITUTE(SUBSTITUTE(SUBSTITUTE($B5339,"-","")," ",""),".",""))</f>
        <v/>
      </c>
      <c r="I5339" s="10" t="str">
        <f aca="false">IF($D5339="","",SUBSTITUTE(SUBSTITUTE(SUBSTITUTE($D5339,"-","")," ",""),".",""))</f>
        <v/>
      </c>
      <c r="J5339" s="10" t="str">
        <f aca="false">IF($E5339="","",UPPER(SUBSTITUTE($E5339," ","")))</f>
        <v/>
      </c>
      <c r="K5339" s="10" t="str">
        <f aca="false">IF($A5339="","",$G5339&amp;"|"&amp;$J5339)</f>
        <v/>
      </c>
      <c r="L5339" s="10" t="str">
        <f aca="false">IF($A5339="","",ROW()-2)</f>
        <v/>
      </c>
      <c r="M5339" s="10" t="str">
        <f aca="false">IF($A5339="","",ROW())</f>
        <v/>
      </c>
    </row>
    <row r="5340" customFormat="false" ht="15" hidden="false" customHeight="true" outlineLevel="0" collapsed="false">
      <c r="A5340" s="8"/>
      <c r="B5340" s="8"/>
      <c r="C5340" s="8"/>
      <c r="D5340" s="8"/>
      <c r="E5340" s="8"/>
      <c r="F5340" s="8"/>
      <c r="G5340" s="10" t="str">
        <f aca="false">IF($A5340="","",UPPER(SUBSTITUTE(SUBSTITUTE(SUBSTITUTE(SUBSTITUTE($A5340," ",""),"(주)",""),"주식회사",""),"㈜","")))</f>
        <v/>
      </c>
      <c r="H5340" s="10" t="str">
        <f aca="false">IF($B5340="","",SUBSTITUTE(SUBSTITUTE(SUBSTITUTE($B5340,"-","")," ",""),".",""))</f>
        <v/>
      </c>
      <c r="I5340" s="10" t="str">
        <f aca="false">IF($D5340="","",SUBSTITUTE(SUBSTITUTE(SUBSTITUTE($D5340,"-","")," ",""),".",""))</f>
        <v/>
      </c>
      <c r="J5340" s="10" t="str">
        <f aca="false">IF($E5340="","",UPPER(SUBSTITUTE($E5340," ","")))</f>
        <v/>
      </c>
      <c r="K5340" s="10" t="str">
        <f aca="false">IF($A5340="","",$G5340&amp;"|"&amp;$J5340)</f>
        <v/>
      </c>
      <c r="L5340" s="10" t="str">
        <f aca="false">IF($A5340="","",ROW()-2)</f>
        <v/>
      </c>
      <c r="M5340" s="10" t="str">
        <f aca="false">IF($A5340="","",ROW())</f>
        <v/>
      </c>
    </row>
    <row r="5341" customFormat="false" ht="15" hidden="false" customHeight="true" outlineLevel="0" collapsed="false">
      <c r="A5341" s="8"/>
      <c r="B5341" s="8"/>
      <c r="C5341" s="8"/>
      <c r="D5341" s="8"/>
      <c r="E5341" s="8"/>
      <c r="F5341" s="8"/>
      <c r="G5341" s="10" t="str">
        <f aca="false">IF($A5341="","",UPPER(SUBSTITUTE(SUBSTITUTE(SUBSTITUTE(SUBSTITUTE($A5341," ",""),"(주)",""),"주식회사",""),"㈜","")))</f>
        <v/>
      </c>
      <c r="H5341" s="10" t="str">
        <f aca="false">IF($B5341="","",SUBSTITUTE(SUBSTITUTE(SUBSTITUTE($B5341,"-","")," ",""),".",""))</f>
        <v/>
      </c>
      <c r="I5341" s="10" t="str">
        <f aca="false">IF($D5341="","",SUBSTITUTE(SUBSTITUTE(SUBSTITUTE($D5341,"-","")," ",""),".",""))</f>
        <v/>
      </c>
      <c r="J5341" s="10" t="str">
        <f aca="false">IF($E5341="","",UPPER(SUBSTITUTE($E5341," ","")))</f>
        <v/>
      </c>
      <c r="K5341" s="10" t="str">
        <f aca="false">IF($A5341="","",$G5341&amp;"|"&amp;$J5341)</f>
        <v/>
      </c>
      <c r="L5341" s="10" t="str">
        <f aca="false">IF($A5341="","",ROW()-2)</f>
        <v/>
      </c>
      <c r="M5341" s="10" t="str">
        <f aca="false">IF($A5341="","",ROW())</f>
        <v/>
      </c>
    </row>
    <row r="5342" customFormat="false" ht="15" hidden="false" customHeight="true" outlineLevel="0" collapsed="false">
      <c r="A5342" s="8"/>
      <c r="B5342" s="8"/>
      <c r="C5342" s="8"/>
      <c r="D5342" s="8"/>
      <c r="E5342" s="8"/>
      <c r="F5342" s="8"/>
      <c r="G5342" s="10" t="str">
        <f aca="false">IF($A5342="","",UPPER(SUBSTITUTE(SUBSTITUTE(SUBSTITUTE(SUBSTITUTE($A5342," ",""),"(주)",""),"주식회사",""),"㈜","")))</f>
        <v/>
      </c>
      <c r="H5342" s="10" t="str">
        <f aca="false">IF($B5342="","",SUBSTITUTE(SUBSTITUTE(SUBSTITUTE($B5342,"-","")," ",""),".",""))</f>
        <v/>
      </c>
      <c r="I5342" s="10" t="str">
        <f aca="false">IF($D5342="","",SUBSTITUTE(SUBSTITUTE(SUBSTITUTE($D5342,"-","")," ",""),".",""))</f>
        <v/>
      </c>
      <c r="J5342" s="10" t="str">
        <f aca="false">IF($E5342="","",UPPER(SUBSTITUTE($E5342," ","")))</f>
        <v/>
      </c>
      <c r="K5342" s="10" t="str">
        <f aca="false">IF($A5342="","",$G5342&amp;"|"&amp;$J5342)</f>
        <v/>
      </c>
      <c r="L5342" s="10" t="str">
        <f aca="false">IF($A5342="","",ROW()-2)</f>
        <v/>
      </c>
      <c r="M5342" s="10" t="str">
        <f aca="false">IF($A5342="","",ROW())</f>
        <v/>
      </c>
    </row>
    <row r="5343" customFormat="false" ht="15" hidden="false" customHeight="true" outlineLevel="0" collapsed="false">
      <c r="A5343" s="8"/>
      <c r="B5343" s="8"/>
      <c r="C5343" s="8"/>
      <c r="D5343" s="8"/>
      <c r="E5343" s="8"/>
      <c r="F5343" s="8"/>
      <c r="G5343" s="10" t="str">
        <f aca="false">IF($A5343="","",UPPER(SUBSTITUTE(SUBSTITUTE(SUBSTITUTE(SUBSTITUTE($A5343," ",""),"(주)",""),"주식회사",""),"㈜","")))</f>
        <v/>
      </c>
      <c r="H5343" s="10" t="str">
        <f aca="false">IF($B5343="","",SUBSTITUTE(SUBSTITUTE(SUBSTITUTE($B5343,"-","")," ",""),".",""))</f>
        <v/>
      </c>
      <c r="I5343" s="10" t="str">
        <f aca="false">IF($D5343="","",SUBSTITUTE(SUBSTITUTE(SUBSTITUTE($D5343,"-","")," ",""),".",""))</f>
        <v/>
      </c>
      <c r="J5343" s="10" t="str">
        <f aca="false">IF($E5343="","",UPPER(SUBSTITUTE($E5343," ","")))</f>
        <v/>
      </c>
      <c r="K5343" s="10" t="str">
        <f aca="false">IF($A5343="","",$G5343&amp;"|"&amp;$J5343)</f>
        <v/>
      </c>
      <c r="L5343" s="10" t="str">
        <f aca="false">IF($A5343="","",ROW()-2)</f>
        <v/>
      </c>
      <c r="M5343" s="10" t="str">
        <f aca="false">IF($A5343="","",ROW())</f>
        <v/>
      </c>
    </row>
    <row r="5344" customFormat="false" ht="15" hidden="false" customHeight="true" outlineLevel="0" collapsed="false">
      <c r="A5344" s="8"/>
      <c r="B5344" s="8"/>
      <c r="C5344" s="8"/>
      <c r="D5344" s="8"/>
      <c r="E5344" s="8"/>
      <c r="F5344" s="8"/>
      <c r="G5344" s="10" t="str">
        <f aca="false">IF($A5344="","",UPPER(SUBSTITUTE(SUBSTITUTE(SUBSTITUTE(SUBSTITUTE($A5344," ",""),"(주)",""),"주식회사",""),"㈜","")))</f>
        <v/>
      </c>
      <c r="H5344" s="10" t="str">
        <f aca="false">IF($B5344="","",SUBSTITUTE(SUBSTITUTE(SUBSTITUTE($B5344,"-","")," ",""),".",""))</f>
        <v/>
      </c>
      <c r="I5344" s="10" t="str">
        <f aca="false">IF($D5344="","",SUBSTITUTE(SUBSTITUTE(SUBSTITUTE($D5344,"-","")," ",""),".",""))</f>
        <v/>
      </c>
      <c r="J5344" s="10" t="str">
        <f aca="false">IF($E5344="","",UPPER(SUBSTITUTE($E5344," ","")))</f>
        <v/>
      </c>
      <c r="K5344" s="10" t="str">
        <f aca="false">IF($A5344="","",$G5344&amp;"|"&amp;$J5344)</f>
        <v/>
      </c>
      <c r="L5344" s="10" t="str">
        <f aca="false">IF($A5344="","",ROW()-2)</f>
        <v/>
      </c>
      <c r="M5344" s="10" t="str">
        <f aca="false">IF($A5344="","",ROW())</f>
        <v/>
      </c>
    </row>
    <row r="5345" customFormat="false" ht="15" hidden="false" customHeight="true" outlineLevel="0" collapsed="false">
      <c r="A5345" s="8"/>
      <c r="B5345" s="8"/>
      <c r="C5345" s="8"/>
      <c r="D5345" s="8"/>
      <c r="E5345" s="8"/>
      <c r="F5345" s="8"/>
      <c r="G5345" s="10" t="str">
        <f aca="false">IF($A5345="","",UPPER(SUBSTITUTE(SUBSTITUTE(SUBSTITUTE(SUBSTITUTE($A5345," ",""),"(주)",""),"주식회사",""),"㈜","")))</f>
        <v/>
      </c>
      <c r="H5345" s="10" t="str">
        <f aca="false">IF($B5345="","",SUBSTITUTE(SUBSTITUTE(SUBSTITUTE($B5345,"-","")," ",""),".",""))</f>
        <v/>
      </c>
      <c r="I5345" s="10" t="str">
        <f aca="false">IF($D5345="","",SUBSTITUTE(SUBSTITUTE(SUBSTITUTE($D5345,"-","")," ",""),".",""))</f>
        <v/>
      </c>
      <c r="J5345" s="10" t="str">
        <f aca="false">IF($E5345="","",UPPER(SUBSTITUTE($E5345," ","")))</f>
        <v/>
      </c>
      <c r="K5345" s="10" t="str">
        <f aca="false">IF($A5345="","",$G5345&amp;"|"&amp;$J5345)</f>
        <v/>
      </c>
      <c r="L5345" s="10" t="str">
        <f aca="false">IF($A5345="","",ROW()-2)</f>
        <v/>
      </c>
      <c r="M5345" s="10" t="str">
        <f aca="false">IF($A5345="","",ROW())</f>
        <v/>
      </c>
    </row>
    <row r="5346" customFormat="false" ht="15" hidden="false" customHeight="true" outlineLevel="0" collapsed="false">
      <c r="A5346" s="8"/>
      <c r="B5346" s="8"/>
      <c r="C5346" s="8"/>
      <c r="D5346" s="8"/>
      <c r="E5346" s="8"/>
      <c r="F5346" s="8"/>
      <c r="G5346" s="10" t="str">
        <f aca="false">IF($A5346="","",UPPER(SUBSTITUTE(SUBSTITUTE(SUBSTITUTE(SUBSTITUTE($A5346," ",""),"(주)",""),"주식회사",""),"㈜","")))</f>
        <v/>
      </c>
      <c r="H5346" s="10" t="str">
        <f aca="false">IF($B5346="","",SUBSTITUTE(SUBSTITUTE(SUBSTITUTE($B5346,"-","")," ",""),".",""))</f>
        <v/>
      </c>
      <c r="I5346" s="10" t="str">
        <f aca="false">IF($D5346="","",SUBSTITUTE(SUBSTITUTE(SUBSTITUTE($D5346,"-","")," ",""),".",""))</f>
        <v/>
      </c>
      <c r="J5346" s="10" t="str">
        <f aca="false">IF($E5346="","",UPPER(SUBSTITUTE($E5346," ","")))</f>
        <v/>
      </c>
      <c r="K5346" s="10" t="str">
        <f aca="false">IF($A5346="","",$G5346&amp;"|"&amp;$J5346)</f>
        <v/>
      </c>
      <c r="L5346" s="10" t="str">
        <f aca="false">IF($A5346="","",ROW()-2)</f>
        <v/>
      </c>
      <c r="M5346" s="10" t="str">
        <f aca="false">IF($A5346="","",ROW())</f>
        <v/>
      </c>
    </row>
    <row r="5347" customFormat="false" ht="15" hidden="false" customHeight="true" outlineLevel="0" collapsed="false">
      <c r="A5347" s="8"/>
      <c r="B5347" s="8"/>
      <c r="C5347" s="8"/>
      <c r="D5347" s="8"/>
      <c r="E5347" s="8"/>
      <c r="F5347" s="8"/>
      <c r="G5347" s="10" t="str">
        <f aca="false">IF($A5347="","",UPPER(SUBSTITUTE(SUBSTITUTE(SUBSTITUTE(SUBSTITUTE($A5347," ",""),"(주)",""),"주식회사",""),"㈜","")))</f>
        <v/>
      </c>
      <c r="H5347" s="10" t="str">
        <f aca="false">IF($B5347="","",SUBSTITUTE(SUBSTITUTE(SUBSTITUTE($B5347,"-","")," ",""),".",""))</f>
        <v/>
      </c>
      <c r="I5347" s="10" t="str">
        <f aca="false">IF($D5347="","",SUBSTITUTE(SUBSTITUTE(SUBSTITUTE($D5347,"-","")," ",""),".",""))</f>
        <v/>
      </c>
      <c r="J5347" s="10" t="str">
        <f aca="false">IF($E5347="","",UPPER(SUBSTITUTE($E5347," ","")))</f>
        <v/>
      </c>
      <c r="K5347" s="10" t="str">
        <f aca="false">IF($A5347="","",$G5347&amp;"|"&amp;$J5347)</f>
        <v/>
      </c>
      <c r="L5347" s="10" t="str">
        <f aca="false">IF($A5347="","",ROW()-2)</f>
        <v/>
      </c>
      <c r="M5347" s="10" t="str">
        <f aca="false">IF($A5347="","",ROW())</f>
        <v/>
      </c>
    </row>
    <row r="5348" customFormat="false" ht="15" hidden="false" customHeight="true" outlineLevel="0" collapsed="false">
      <c r="A5348" s="8"/>
      <c r="B5348" s="8"/>
      <c r="C5348" s="8"/>
      <c r="D5348" s="8"/>
      <c r="E5348" s="8"/>
      <c r="F5348" s="8"/>
      <c r="G5348" s="10" t="str">
        <f aca="false">IF($A5348="","",UPPER(SUBSTITUTE(SUBSTITUTE(SUBSTITUTE(SUBSTITUTE($A5348," ",""),"(주)",""),"주식회사",""),"㈜","")))</f>
        <v/>
      </c>
      <c r="H5348" s="10" t="str">
        <f aca="false">IF($B5348="","",SUBSTITUTE(SUBSTITUTE(SUBSTITUTE($B5348,"-","")," ",""),".",""))</f>
        <v/>
      </c>
      <c r="I5348" s="10" t="str">
        <f aca="false">IF($D5348="","",SUBSTITUTE(SUBSTITUTE(SUBSTITUTE($D5348,"-","")," ",""),".",""))</f>
        <v/>
      </c>
      <c r="J5348" s="10" t="str">
        <f aca="false">IF($E5348="","",UPPER(SUBSTITUTE($E5348," ","")))</f>
        <v/>
      </c>
      <c r="K5348" s="10" t="str">
        <f aca="false">IF($A5348="","",$G5348&amp;"|"&amp;$J5348)</f>
        <v/>
      </c>
      <c r="L5348" s="10" t="str">
        <f aca="false">IF($A5348="","",ROW()-2)</f>
        <v/>
      </c>
      <c r="M5348" s="10" t="str">
        <f aca="false">IF($A5348="","",ROW())</f>
        <v/>
      </c>
    </row>
    <row r="5349" customFormat="false" ht="15" hidden="false" customHeight="true" outlineLevel="0" collapsed="false">
      <c r="A5349" s="8"/>
      <c r="B5349" s="8"/>
      <c r="C5349" s="8"/>
      <c r="D5349" s="8"/>
      <c r="E5349" s="8"/>
      <c r="F5349" s="8"/>
      <c r="G5349" s="10" t="str">
        <f aca="false">IF($A5349="","",UPPER(SUBSTITUTE(SUBSTITUTE(SUBSTITUTE(SUBSTITUTE($A5349," ",""),"(주)",""),"주식회사",""),"㈜","")))</f>
        <v/>
      </c>
      <c r="H5349" s="10" t="str">
        <f aca="false">IF($B5349="","",SUBSTITUTE(SUBSTITUTE(SUBSTITUTE($B5349,"-","")," ",""),".",""))</f>
        <v/>
      </c>
      <c r="I5349" s="10" t="str">
        <f aca="false">IF($D5349="","",SUBSTITUTE(SUBSTITUTE(SUBSTITUTE($D5349,"-","")," ",""),".",""))</f>
        <v/>
      </c>
      <c r="J5349" s="10" t="str">
        <f aca="false">IF($E5349="","",UPPER(SUBSTITUTE($E5349," ","")))</f>
        <v/>
      </c>
      <c r="K5349" s="10" t="str">
        <f aca="false">IF($A5349="","",$G5349&amp;"|"&amp;$J5349)</f>
        <v/>
      </c>
      <c r="L5349" s="10" t="str">
        <f aca="false">IF($A5349="","",ROW()-2)</f>
        <v/>
      </c>
      <c r="M5349" s="10" t="str">
        <f aca="false">IF($A5349="","",ROW())</f>
        <v/>
      </c>
    </row>
    <row r="5350" customFormat="false" ht="15" hidden="false" customHeight="true" outlineLevel="0" collapsed="false">
      <c r="A5350" s="8"/>
      <c r="B5350" s="8"/>
      <c r="C5350" s="8"/>
      <c r="D5350" s="8"/>
      <c r="E5350" s="8"/>
      <c r="F5350" s="8"/>
      <c r="G5350" s="10" t="str">
        <f aca="false">IF($A5350="","",UPPER(SUBSTITUTE(SUBSTITUTE(SUBSTITUTE(SUBSTITUTE($A5350," ",""),"(주)",""),"주식회사",""),"㈜","")))</f>
        <v/>
      </c>
      <c r="H5350" s="10" t="str">
        <f aca="false">IF($B5350="","",SUBSTITUTE(SUBSTITUTE(SUBSTITUTE($B5350,"-","")," ",""),".",""))</f>
        <v/>
      </c>
      <c r="I5350" s="10" t="str">
        <f aca="false">IF($D5350="","",SUBSTITUTE(SUBSTITUTE(SUBSTITUTE($D5350,"-","")," ",""),".",""))</f>
        <v/>
      </c>
      <c r="J5350" s="10" t="str">
        <f aca="false">IF($E5350="","",UPPER(SUBSTITUTE($E5350," ","")))</f>
        <v/>
      </c>
      <c r="K5350" s="10" t="str">
        <f aca="false">IF($A5350="","",$G5350&amp;"|"&amp;$J5350)</f>
        <v/>
      </c>
      <c r="L5350" s="10" t="str">
        <f aca="false">IF($A5350="","",ROW()-2)</f>
        <v/>
      </c>
      <c r="M5350" s="10" t="str">
        <f aca="false">IF($A5350="","",ROW())</f>
        <v/>
      </c>
    </row>
    <row r="5351" customFormat="false" ht="15" hidden="false" customHeight="true" outlineLevel="0" collapsed="false">
      <c r="A5351" s="8"/>
      <c r="B5351" s="8"/>
      <c r="C5351" s="8"/>
      <c r="D5351" s="8"/>
      <c r="E5351" s="8"/>
      <c r="F5351" s="8"/>
      <c r="G5351" s="10" t="str">
        <f aca="false">IF($A5351="","",UPPER(SUBSTITUTE(SUBSTITUTE(SUBSTITUTE(SUBSTITUTE($A5351," ",""),"(주)",""),"주식회사",""),"㈜","")))</f>
        <v/>
      </c>
      <c r="H5351" s="10" t="str">
        <f aca="false">IF($B5351="","",SUBSTITUTE(SUBSTITUTE(SUBSTITUTE($B5351,"-","")," ",""),".",""))</f>
        <v/>
      </c>
      <c r="I5351" s="10" t="str">
        <f aca="false">IF($D5351="","",SUBSTITUTE(SUBSTITUTE(SUBSTITUTE($D5351,"-","")," ",""),".",""))</f>
        <v/>
      </c>
      <c r="J5351" s="10" t="str">
        <f aca="false">IF($E5351="","",UPPER(SUBSTITUTE($E5351," ","")))</f>
        <v/>
      </c>
      <c r="K5351" s="10" t="str">
        <f aca="false">IF($A5351="","",$G5351&amp;"|"&amp;$J5351)</f>
        <v/>
      </c>
      <c r="L5351" s="10" t="str">
        <f aca="false">IF($A5351="","",ROW()-2)</f>
        <v/>
      </c>
      <c r="M5351" s="10" t="str">
        <f aca="false">IF($A5351="","",ROW())</f>
        <v/>
      </c>
    </row>
    <row r="5352" customFormat="false" ht="15" hidden="false" customHeight="true" outlineLevel="0" collapsed="false">
      <c r="A5352" s="8"/>
      <c r="B5352" s="8"/>
      <c r="C5352" s="8"/>
      <c r="D5352" s="8"/>
      <c r="E5352" s="8"/>
      <c r="F5352" s="8"/>
      <c r="G5352" s="10" t="str">
        <f aca="false">IF($A5352="","",UPPER(SUBSTITUTE(SUBSTITUTE(SUBSTITUTE(SUBSTITUTE($A5352," ",""),"(주)",""),"주식회사",""),"㈜","")))</f>
        <v/>
      </c>
      <c r="H5352" s="10" t="str">
        <f aca="false">IF($B5352="","",SUBSTITUTE(SUBSTITUTE(SUBSTITUTE($B5352,"-","")," ",""),".",""))</f>
        <v/>
      </c>
      <c r="I5352" s="10" t="str">
        <f aca="false">IF($D5352="","",SUBSTITUTE(SUBSTITUTE(SUBSTITUTE($D5352,"-","")," ",""),".",""))</f>
        <v/>
      </c>
      <c r="J5352" s="10" t="str">
        <f aca="false">IF($E5352="","",UPPER(SUBSTITUTE($E5352," ","")))</f>
        <v/>
      </c>
      <c r="K5352" s="10" t="str">
        <f aca="false">IF($A5352="","",$G5352&amp;"|"&amp;$J5352)</f>
        <v/>
      </c>
      <c r="L5352" s="10" t="str">
        <f aca="false">IF($A5352="","",ROW()-2)</f>
        <v/>
      </c>
      <c r="M5352" s="10" t="str">
        <f aca="false">IF($A5352="","",ROW())</f>
        <v/>
      </c>
    </row>
    <row r="5353" customFormat="false" ht="15" hidden="false" customHeight="true" outlineLevel="0" collapsed="false">
      <c r="A5353" s="8"/>
      <c r="B5353" s="8"/>
      <c r="C5353" s="8"/>
      <c r="D5353" s="8"/>
      <c r="E5353" s="8"/>
      <c r="F5353" s="8"/>
      <c r="G5353" s="10" t="str">
        <f aca="false">IF($A5353="","",UPPER(SUBSTITUTE(SUBSTITUTE(SUBSTITUTE(SUBSTITUTE($A5353," ",""),"(주)",""),"주식회사",""),"㈜","")))</f>
        <v/>
      </c>
      <c r="H5353" s="10" t="str">
        <f aca="false">IF($B5353="","",SUBSTITUTE(SUBSTITUTE(SUBSTITUTE($B5353,"-","")," ",""),".",""))</f>
        <v/>
      </c>
      <c r="I5353" s="10" t="str">
        <f aca="false">IF($D5353="","",SUBSTITUTE(SUBSTITUTE(SUBSTITUTE($D5353,"-","")," ",""),".",""))</f>
        <v/>
      </c>
      <c r="J5353" s="10" t="str">
        <f aca="false">IF($E5353="","",UPPER(SUBSTITUTE($E5353," ","")))</f>
        <v/>
      </c>
      <c r="K5353" s="10" t="str">
        <f aca="false">IF($A5353="","",$G5353&amp;"|"&amp;$J5353)</f>
        <v/>
      </c>
      <c r="L5353" s="10" t="str">
        <f aca="false">IF($A5353="","",ROW()-2)</f>
        <v/>
      </c>
      <c r="M5353" s="10" t="str">
        <f aca="false">IF($A5353="","",ROW())</f>
        <v/>
      </c>
    </row>
    <row r="5354" customFormat="false" ht="15" hidden="false" customHeight="true" outlineLevel="0" collapsed="false">
      <c r="A5354" s="8"/>
      <c r="B5354" s="8"/>
      <c r="C5354" s="8"/>
      <c r="D5354" s="8"/>
      <c r="E5354" s="8"/>
      <c r="F5354" s="8"/>
      <c r="G5354" s="10" t="str">
        <f aca="false">IF($A5354="","",UPPER(SUBSTITUTE(SUBSTITUTE(SUBSTITUTE(SUBSTITUTE($A5354," ",""),"(주)",""),"주식회사",""),"㈜","")))</f>
        <v/>
      </c>
      <c r="H5354" s="10" t="str">
        <f aca="false">IF($B5354="","",SUBSTITUTE(SUBSTITUTE(SUBSTITUTE($B5354,"-","")," ",""),".",""))</f>
        <v/>
      </c>
      <c r="I5354" s="10" t="str">
        <f aca="false">IF($D5354="","",SUBSTITUTE(SUBSTITUTE(SUBSTITUTE($D5354,"-","")," ",""),".",""))</f>
        <v/>
      </c>
      <c r="J5354" s="10" t="str">
        <f aca="false">IF($E5354="","",UPPER(SUBSTITUTE($E5354," ","")))</f>
        <v/>
      </c>
      <c r="K5354" s="10" t="str">
        <f aca="false">IF($A5354="","",$G5354&amp;"|"&amp;$J5354)</f>
        <v/>
      </c>
      <c r="L5354" s="10" t="str">
        <f aca="false">IF($A5354="","",ROW()-2)</f>
        <v/>
      </c>
      <c r="M5354" s="10" t="str">
        <f aca="false">IF($A5354="","",ROW())</f>
        <v/>
      </c>
    </row>
    <row r="5355" customFormat="false" ht="15" hidden="false" customHeight="true" outlineLevel="0" collapsed="false">
      <c r="A5355" s="8"/>
      <c r="B5355" s="8"/>
      <c r="C5355" s="8"/>
      <c r="D5355" s="8"/>
      <c r="E5355" s="8"/>
      <c r="F5355" s="8"/>
      <c r="G5355" s="10" t="str">
        <f aca="false">IF($A5355="","",UPPER(SUBSTITUTE(SUBSTITUTE(SUBSTITUTE(SUBSTITUTE($A5355," ",""),"(주)",""),"주식회사",""),"㈜","")))</f>
        <v/>
      </c>
      <c r="H5355" s="10" t="str">
        <f aca="false">IF($B5355="","",SUBSTITUTE(SUBSTITUTE(SUBSTITUTE($B5355,"-","")," ",""),".",""))</f>
        <v/>
      </c>
      <c r="I5355" s="10" t="str">
        <f aca="false">IF($D5355="","",SUBSTITUTE(SUBSTITUTE(SUBSTITUTE($D5355,"-","")," ",""),".",""))</f>
        <v/>
      </c>
      <c r="J5355" s="10" t="str">
        <f aca="false">IF($E5355="","",UPPER(SUBSTITUTE($E5355," ","")))</f>
        <v/>
      </c>
      <c r="K5355" s="10" t="str">
        <f aca="false">IF($A5355="","",$G5355&amp;"|"&amp;$J5355)</f>
        <v/>
      </c>
      <c r="L5355" s="10" t="str">
        <f aca="false">IF($A5355="","",ROW()-2)</f>
        <v/>
      </c>
      <c r="M5355" s="10" t="str">
        <f aca="false">IF($A5355="","",ROW())</f>
        <v/>
      </c>
    </row>
    <row r="5356" customFormat="false" ht="15" hidden="false" customHeight="true" outlineLevel="0" collapsed="false">
      <c r="A5356" s="8"/>
      <c r="B5356" s="8"/>
      <c r="C5356" s="8"/>
      <c r="D5356" s="8"/>
      <c r="E5356" s="8"/>
      <c r="F5356" s="8"/>
      <c r="G5356" s="10" t="str">
        <f aca="false">IF($A5356="","",UPPER(SUBSTITUTE(SUBSTITUTE(SUBSTITUTE(SUBSTITUTE($A5356," ",""),"(주)",""),"주식회사",""),"㈜","")))</f>
        <v/>
      </c>
      <c r="H5356" s="10" t="str">
        <f aca="false">IF($B5356="","",SUBSTITUTE(SUBSTITUTE(SUBSTITUTE($B5356,"-","")," ",""),".",""))</f>
        <v/>
      </c>
      <c r="I5356" s="10" t="str">
        <f aca="false">IF($D5356="","",SUBSTITUTE(SUBSTITUTE(SUBSTITUTE($D5356,"-","")," ",""),".",""))</f>
        <v/>
      </c>
      <c r="J5356" s="10" t="str">
        <f aca="false">IF($E5356="","",UPPER(SUBSTITUTE($E5356," ","")))</f>
        <v/>
      </c>
      <c r="K5356" s="10" t="str">
        <f aca="false">IF($A5356="","",$G5356&amp;"|"&amp;$J5356)</f>
        <v/>
      </c>
      <c r="L5356" s="10" t="str">
        <f aca="false">IF($A5356="","",ROW()-2)</f>
        <v/>
      </c>
      <c r="M5356" s="10" t="str">
        <f aca="false">IF($A5356="","",ROW())</f>
        <v/>
      </c>
    </row>
    <row r="5357" customFormat="false" ht="15" hidden="false" customHeight="true" outlineLevel="0" collapsed="false">
      <c r="A5357" s="8"/>
      <c r="B5357" s="8"/>
      <c r="C5357" s="8"/>
      <c r="D5357" s="8"/>
      <c r="E5357" s="8"/>
      <c r="F5357" s="8"/>
      <c r="G5357" s="10" t="str">
        <f aca="false">IF($A5357="","",UPPER(SUBSTITUTE(SUBSTITUTE(SUBSTITUTE(SUBSTITUTE($A5357," ",""),"(주)",""),"주식회사",""),"㈜","")))</f>
        <v/>
      </c>
      <c r="H5357" s="10" t="str">
        <f aca="false">IF($B5357="","",SUBSTITUTE(SUBSTITUTE(SUBSTITUTE($B5357,"-","")," ",""),".",""))</f>
        <v/>
      </c>
      <c r="I5357" s="10" t="str">
        <f aca="false">IF($D5357="","",SUBSTITUTE(SUBSTITUTE(SUBSTITUTE($D5357,"-","")," ",""),".",""))</f>
        <v/>
      </c>
      <c r="J5357" s="10" t="str">
        <f aca="false">IF($E5357="","",UPPER(SUBSTITUTE($E5357," ","")))</f>
        <v/>
      </c>
      <c r="K5357" s="10" t="str">
        <f aca="false">IF($A5357="","",$G5357&amp;"|"&amp;$J5357)</f>
        <v/>
      </c>
      <c r="L5357" s="10" t="str">
        <f aca="false">IF($A5357="","",ROW()-2)</f>
        <v/>
      </c>
      <c r="M5357" s="10" t="str">
        <f aca="false">IF($A5357="","",ROW())</f>
        <v/>
      </c>
    </row>
    <row r="5358" customFormat="false" ht="15" hidden="false" customHeight="true" outlineLevel="0" collapsed="false">
      <c r="A5358" s="8"/>
      <c r="B5358" s="8"/>
      <c r="C5358" s="8"/>
      <c r="D5358" s="8"/>
      <c r="E5358" s="8"/>
      <c r="F5358" s="8"/>
      <c r="G5358" s="10" t="str">
        <f aca="false">IF($A5358="","",UPPER(SUBSTITUTE(SUBSTITUTE(SUBSTITUTE(SUBSTITUTE($A5358," ",""),"(주)",""),"주식회사",""),"㈜","")))</f>
        <v/>
      </c>
      <c r="H5358" s="10" t="str">
        <f aca="false">IF($B5358="","",SUBSTITUTE(SUBSTITUTE(SUBSTITUTE($B5358,"-","")," ",""),".",""))</f>
        <v/>
      </c>
      <c r="I5358" s="10" t="str">
        <f aca="false">IF($D5358="","",SUBSTITUTE(SUBSTITUTE(SUBSTITUTE($D5358,"-","")," ",""),".",""))</f>
        <v/>
      </c>
      <c r="J5358" s="10" t="str">
        <f aca="false">IF($E5358="","",UPPER(SUBSTITUTE($E5358," ","")))</f>
        <v/>
      </c>
      <c r="K5358" s="10" t="str">
        <f aca="false">IF($A5358="","",$G5358&amp;"|"&amp;$J5358)</f>
        <v/>
      </c>
      <c r="L5358" s="10" t="str">
        <f aca="false">IF($A5358="","",ROW()-2)</f>
        <v/>
      </c>
      <c r="M5358" s="10" t="str">
        <f aca="false">IF($A5358="","",ROW())</f>
        <v/>
      </c>
    </row>
    <row r="5359" customFormat="false" ht="15" hidden="false" customHeight="true" outlineLevel="0" collapsed="false">
      <c r="A5359" s="8"/>
      <c r="B5359" s="8"/>
      <c r="C5359" s="8"/>
      <c r="D5359" s="8"/>
      <c r="E5359" s="8"/>
      <c r="F5359" s="8"/>
      <c r="G5359" s="10" t="str">
        <f aca="false">IF($A5359="","",UPPER(SUBSTITUTE(SUBSTITUTE(SUBSTITUTE(SUBSTITUTE($A5359," ",""),"(주)",""),"주식회사",""),"㈜","")))</f>
        <v/>
      </c>
      <c r="H5359" s="10" t="str">
        <f aca="false">IF($B5359="","",SUBSTITUTE(SUBSTITUTE(SUBSTITUTE($B5359,"-","")," ",""),".",""))</f>
        <v/>
      </c>
      <c r="I5359" s="10" t="str">
        <f aca="false">IF($D5359="","",SUBSTITUTE(SUBSTITUTE(SUBSTITUTE($D5359,"-","")," ",""),".",""))</f>
        <v/>
      </c>
      <c r="J5359" s="10" t="str">
        <f aca="false">IF($E5359="","",UPPER(SUBSTITUTE($E5359," ","")))</f>
        <v/>
      </c>
      <c r="K5359" s="10" t="str">
        <f aca="false">IF($A5359="","",$G5359&amp;"|"&amp;$J5359)</f>
        <v/>
      </c>
      <c r="L5359" s="10" t="str">
        <f aca="false">IF($A5359="","",ROW()-2)</f>
        <v/>
      </c>
      <c r="M5359" s="10" t="str">
        <f aca="false">IF($A5359="","",ROW())</f>
        <v/>
      </c>
    </row>
    <row r="5360" customFormat="false" ht="15" hidden="false" customHeight="true" outlineLevel="0" collapsed="false">
      <c r="A5360" s="8"/>
      <c r="B5360" s="8"/>
      <c r="C5360" s="8"/>
      <c r="D5360" s="8"/>
      <c r="E5360" s="8"/>
      <c r="F5360" s="8"/>
      <c r="G5360" s="10" t="str">
        <f aca="false">IF($A5360="","",UPPER(SUBSTITUTE(SUBSTITUTE(SUBSTITUTE(SUBSTITUTE($A5360," ",""),"(주)",""),"주식회사",""),"㈜","")))</f>
        <v/>
      </c>
      <c r="H5360" s="10" t="str">
        <f aca="false">IF($B5360="","",SUBSTITUTE(SUBSTITUTE(SUBSTITUTE($B5360,"-","")," ",""),".",""))</f>
        <v/>
      </c>
      <c r="I5360" s="10" t="str">
        <f aca="false">IF($D5360="","",SUBSTITUTE(SUBSTITUTE(SUBSTITUTE($D5360,"-","")," ",""),".",""))</f>
        <v/>
      </c>
      <c r="J5360" s="10" t="str">
        <f aca="false">IF($E5360="","",UPPER(SUBSTITUTE($E5360," ","")))</f>
        <v/>
      </c>
      <c r="K5360" s="10" t="str">
        <f aca="false">IF($A5360="","",$G5360&amp;"|"&amp;$J5360)</f>
        <v/>
      </c>
      <c r="L5360" s="10" t="str">
        <f aca="false">IF($A5360="","",ROW()-2)</f>
        <v/>
      </c>
      <c r="M5360" s="10" t="str">
        <f aca="false">IF($A5360="","",ROW())</f>
        <v/>
      </c>
    </row>
    <row r="5361" customFormat="false" ht="15" hidden="false" customHeight="true" outlineLevel="0" collapsed="false">
      <c r="A5361" s="8"/>
      <c r="B5361" s="8"/>
      <c r="C5361" s="8"/>
      <c r="D5361" s="8"/>
      <c r="E5361" s="8"/>
      <c r="F5361" s="8"/>
      <c r="G5361" s="10" t="str">
        <f aca="false">IF($A5361="","",UPPER(SUBSTITUTE(SUBSTITUTE(SUBSTITUTE(SUBSTITUTE($A5361," ",""),"(주)",""),"주식회사",""),"㈜","")))</f>
        <v/>
      </c>
      <c r="H5361" s="10" t="str">
        <f aca="false">IF($B5361="","",SUBSTITUTE(SUBSTITUTE(SUBSTITUTE($B5361,"-","")," ",""),".",""))</f>
        <v/>
      </c>
      <c r="I5361" s="10" t="str">
        <f aca="false">IF($D5361="","",SUBSTITUTE(SUBSTITUTE(SUBSTITUTE($D5361,"-","")," ",""),".",""))</f>
        <v/>
      </c>
      <c r="J5361" s="10" t="str">
        <f aca="false">IF($E5361="","",UPPER(SUBSTITUTE($E5361," ","")))</f>
        <v/>
      </c>
      <c r="K5361" s="10" t="str">
        <f aca="false">IF($A5361="","",$G5361&amp;"|"&amp;$J5361)</f>
        <v/>
      </c>
      <c r="L5361" s="10" t="str">
        <f aca="false">IF($A5361="","",ROW()-2)</f>
        <v/>
      </c>
      <c r="M5361" s="10" t="str">
        <f aca="false">IF($A5361="","",ROW())</f>
        <v/>
      </c>
    </row>
    <row r="5362" customFormat="false" ht="15" hidden="false" customHeight="true" outlineLevel="0" collapsed="false">
      <c r="A5362" s="8"/>
      <c r="B5362" s="8"/>
      <c r="C5362" s="8"/>
      <c r="D5362" s="8"/>
      <c r="E5362" s="8"/>
      <c r="F5362" s="8"/>
      <c r="G5362" s="10" t="str">
        <f aca="false">IF($A5362="","",UPPER(SUBSTITUTE(SUBSTITUTE(SUBSTITUTE(SUBSTITUTE($A5362," ",""),"(주)",""),"주식회사",""),"㈜","")))</f>
        <v/>
      </c>
      <c r="H5362" s="10" t="str">
        <f aca="false">IF($B5362="","",SUBSTITUTE(SUBSTITUTE(SUBSTITUTE($B5362,"-","")," ",""),".",""))</f>
        <v/>
      </c>
      <c r="I5362" s="10" t="str">
        <f aca="false">IF($D5362="","",SUBSTITUTE(SUBSTITUTE(SUBSTITUTE($D5362,"-","")," ",""),".",""))</f>
        <v/>
      </c>
      <c r="J5362" s="10" t="str">
        <f aca="false">IF($E5362="","",UPPER(SUBSTITUTE($E5362," ","")))</f>
        <v/>
      </c>
      <c r="K5362" s="10" t="str">
        <f aca="false">IF($A5362="","",$G5362&amp;"|"&amp;$J5362)</f>
        <v/>
      </c>
      <c r="L5362" s="10" t="str">
        <f aca="false">IF($A5362="","",ROW()-2)</f>
        <v/>
      </c>
      <c r="M5362" s="10" t="str">
        <f aca="false">IF($A5362="","",ROW())</f>
        <v/>
      </c>
    </row>
    <row r="5363" customFormat="false" ht="15" hidden="false" customHeight="true" outlineLevel="0" collapsed="false">
      <c r="A5363" s="8"/>
      <c r="B5363" s="8"/>
      <c r="C5363" s="8"/>
      <c r="D5363" s="8"/>
      <c r="E5363" s="8"/>
      <c r="F5363" s="8"/>
      <c r="G5363" s="10" t="str">
        <f aca="false">IF($A5363="","",UPPER(SUBSTITUTE(SUBSTITUTE(SUBSTITUTE(SUBSTITUTE($A5363," ",""),"(주)",""),"주식회사",""),"㈜","")))</f>
        <v/>
      </c>
      <c r="H5363" s="10" t="str">
        <f aca="false">IF($B5363="","",SUBSTITUTE(SUBSTITUTE(SUBSTITUTE($B5363,"-","")," ",""),".",""))</f>
        <v/>
      </c>
      <c r="I5363" s="10" t="str">
        <f aca="false">IF($D5363="","",SUBSTITUTE(SUBSTITUTE(SUBSTITUTE($D5363,"-","")," ",""),".",""))</f>
        <v/>
      </c>
      <c r="J5363" s="10" t="str">
        <f aca="false">IF($E5363="","",UPPER(SUBSTITUTE($E5363," ","")))</f>
        <v/>
      </c>
      <c r="K5363" s="10" t="str">
        <f aca="false">IF($A5363="","",$G5363&amp;"|"&amp;$J5363)</f>
        <v/>
      </c>
      <c r="L5363" s="10" t="str">
        <f aca="false">IF($A5363="","",ROW()-2)</f>
        <v/>
      </c>
      <c r="M5363" s="10" t="str">
        <f aca="false">IF($A5363="","",ROW())</f>
        <v/>
      </c>
    </row>
    <row r="5364" customFormat="false" ht="15" hidden="false" customHeight="true" outlineLevel="0" collapsed="false">
      <c r="A5364" s="8"/>
      <c r="B5364" s="8"/>
      <c r="C5364" s="8"/>
      <c r="D5364" s="8"/>
      <c r="E5364" s="8"/>
      <c r="F5364" s="8"/>
      <c r="G5364" s="10" t="str">
        <f aca="false">IF($A5364="","",UPPER(SUBSTITUTE(SUBSTITUTE(SUBSTITUTE(SUBSTITUTE($A5364," ",""),"(주)",""),"주식회사",""),"㈜","")))</f>
        <v/>
      </c>
      <c r="H5364" s="10" t="str">
        <f aca="false">IF($B5364="","",SUBSTITUTE(SUBSTITUTE(SUBSTITUTE($B5364,"-","")," ",""),".",""))</f>
        <v/>
      </c>
      <c r="I5364" s="10" t="str">
        <f aca="false">IF($D5364="","",SUBSTITUTE(SUBSTITUTE(SUBSTITUTE($D5364,"-","")," ",""),".",""))</f>
        <v/>
      </c>
      <c r="J5364" s="10" t="str">
        <f aca="false">IF($E5364="","",UPPER(SUBSTITUTE($E5364," ","")))</f>
        <v/>
      </c>
      <c r="K5364" s="10" t="str">
        <f aca="false">IF($A5364="","",$G5364&amp;"|"&amp;$J5364)</f>
        <v/>
      </c>
      <c r="L5364" s="10" t="str">
        <f aca="false">IF($A5364="","",ROW()-2)</f>
        <v/>
      </c>
      <c r="M5364" s="10" t="str">
        <f aca="false">IF($A5364="","",ROW())</f>
        <v/>
      </c>
    </row>
    <row r="5365" customFormat="false" ht="15" hidden="false" customHeight="true" outlineLevel="0" collapsed="false">
      <c r="A5365" s="8"/>
      <c r="B5365" s="8"/>
      <c r="C5365" s="8"/>
      <c r="D5365" s="8"/>
      <c r="E5365" s="8"/>
      <c r="F5365" s="8"/>
      <c r="G5365" s="10" t="str">
        <f aca="false">IF($A5365="","",UPPER(SUBSTITUTE(SUBSTITUTE(SUBSTITUTE(SUBSTITUTE($A5365," ",""),"(주)",""),"주식회사",""),"㈜","")))</f>
        <v/>
      </c>
      <c r="H5365" s="10" t="str">
        <f aca="false">IF($B5365="","",SUBSTITUTE(SUBSTITUTE(SUBSTITUTE($B5365,"-","")," ",""),".",""))</f>
        <v/>
      </c>
      <c r="I5365" s="10" t="str">
        <f aca="false">IF($D5365="","",SUBSTITUTE(SUBSTITUTE(SUBSTITUTE($D5365,"-","")," ",""),".",""))</f>
        <v/>
      </c>
      <c r="J5365" s="10" t="str">
        <f aca="false">IF($E5365="","",UPPER(SUBSTITUTE($E5365," ","")))</f>
        <v/>
      </c>
      <c r="K5365" s="10" t="str">
        <f aca="false">IF($A5365="","",$G5365&amp;"|"&amp;$J5365)</f>
        <v/>
      </c>
      <c r="L5365" s="10" t="str">
        <f aca="false">IF($A5365="","",ROW()-2)</f>
        <v/>
      </c>
      <c r="M5365" s="10" t="str">
        <f aca="false">IF($A5365="","",ROW())</f>
        <v/>
      </c>
    </row>
    <row r="5366" customFormat="false" ht="15" hidden="false" customHeight="true" outlineLevel="0" collapsed="false">
      <c r="A5366" s="8"/>
      <c r="B5366" s="8"/>
      <c r="C5366" s="8"/>
      <c r="D5366" s="8"/>
      <c r="E5366" s="8"/>
      <c r="F5366" s="8"/>
      <c r="G5366" s="10" t="str">
        <f aca="false">IF($A5366="","",UPPER(SUBSTITUTE(SUBSTITUTE(SUBSTITUTE(SUBSTITUTE($A5366," ",""),"(주)",""),"주식회사",""),"㈜","")))</f>
        <v/>
      </c>
      <c r="H5366" s="10" t="str">
        <f aca="false">IF($B5366="","",SUBSTITUTE(SUBSTITUTE(SUBSTITUTE($B5366,"-","")," ",""),".",""))</f>
        <v/>
      </c>
      <c r="I5366" s="10" t="str">
        <f aca="false">IF($D5366="","",SUBSTITUTE(SUBSTITUTE(SUBSTITUTE($D5366,"-","")," ",""),".",""))</f>
        <v/>
      </c>
      <c r="J5366" s="10" t="str">
        <f aca="false">IF($E5366="","",UPPER(SUBSTITUTE($E5366," ","")))</f>
        <v/>
      </c>
      <c r="K5366" s="10" t="str">
        <f aca="false">IF($A5366="","",$G5366&amp;"|"&amp;$J5366)</f>
        <v/>
      </c>
      <c r="L5366" s="10" t="str">
        <f aca="false">IF($A5366="","",ROW()-2)</f>
        <v/>
      </c>
      <c r="M5366" s="10" t="str">
        <f aca="false">IF($A5366="","",ROW())</f>
        <v/>
      </c>
    </row>
    <row r="5367" customFormat="false" ht="15" hidden="false" customHeight="true" outlineLevel="0" collapsed="false">
      <c r="A5367" s="8"/>
      <c r="B5367" s="8"/>
      <c r="C5367" s="8"/>
      <c r="D5367" s="8"/>
      <c r="E5367" s="8"/>
      <c r="F5367" s="8"/>
      <c r="G5367" s="10" t="str">
        <f aca="false">IF($A5367="","",UPPER(SUBSTITUTE(SUBSTITUTE(SUBSTITUTE(SUBSTITUTE($A5367," ",""),"(주)",""),"주식회사",""),"㈜","")))</f>
        <v/>
      </c>
      <c r="H5367" s="10" t="str">
        <f aca="false">IF($B5367="","",SUBSTITUTE(SUBSTITUTE(SUBSTITUTE($B5367,"-","")," ",""),".",""))</f>
        <v/>
      </c>
      <c r="I5367" s="10" t="str">
        <f aca="false">IF($D5367="","",SUBSTITUTE(SUBSTITUTE(SUBSTITUTE($D5367,"-","")," ",""),".",""))</f>
        <v/>
      </c>
      <c r="J5367" s="10" t="str">
        <f aca="false">IF($E5367="","",UPPER(SUBSTITUTE($E5367," ","")))</f>
        <v/>
      </c>
      <c r="K5367" s="10" t="str">
        <f aca="false">IF($A5367="","",$G5367&amp;"|"&amp;$J5367)</f>
        <v/>
      </c>
      <c r="L5367" s="10" t="str">
        <f aca="false">IF($A5367="","",ROW()-2)</f>
        <v/>
      </c>
      <c r="M5367" s="10" t="str">
        <f aca="false">IF($A5367="","",ROW())</f>
        <v/>
      </c>
    </row>
    <row r="5368" customFormat="false" ht="15" hidden="false" customHeight="true" outlineLevel="0" collapsed="false">
      <c r="A5368" s="8"/>
      <c r="B5368" s="8"/>
      <c r="C5368" s="8"/>
      <c r="D5368" s="8"/>
      <c r="E5368" s="8"/>
      <c r="F5368" s="8"/>
      <c r="G5368" s="10" t="str">
        <f aca="false">IF($A5368="","",UPPER(SUBSTITUTE(SUBSTITUTE(SUBSTITUTE(SUBSTITUTE($A5368," ",""),"(주)",""),"주식회사",""),"㈜","")))</f>
        <v/>
      </c>
      <c r="H5368" s="10" t="str">
        <f aca="false">IF($B5368="","",SUBSTITUTE(SUBSTITUTE(SUBSTITUTE($B5368,"-","")," ",""),".",""))</f>
        <v/>
      </c>
      <c r="I5368" s="10" t="str">
        <f aca="false">IF($D5368="","",SUBSTITUTE(SUBSTITUTE(SUBSTITUTE($D5368,"-","")," ",""),".",""))</f>
        <v/>
      </c>
      <c r="J5368" s="10" t="str">
        <f aca="false">IF($E5368="","",UPPER(SUBSTITUTE($E5368," ","")))</f>
        <v/>
      </c>
      <c r="K5368" s="10" t="str">
        <f aca="false">IF($A5368="","",$G5368&amp;"|"&amp;$J5368)</f>
        <v/>
      </c>
      <c r="L5368" s="10" t="str">
        <f aca="false">IF($A5368="","",ROW()-2)</f>
        <v/>
      </c>
      <c r="M5368" s="10" t="str">
        <f aca="false">IF($A5368="","",ROW())</f>
        <v/>
      </c>
    </row>
    <row r="5369" customFormat="false" ht="15" hidden="false" customHeight="true" outlineLevel="0" collapsed="false">
      <c r="A5369" s="8"/>
      <c r="B5369" s="8"/>
      <c r="C5369" s="8"/>
      <c r="D5369" s="8"/>
      <c r="E5369" s="8"/>
      <c r="F5369" s="8"/>
      <c r="G5369" s="10" t="str">
        <f aca="false">IF($A5369="","",UPPER(SUBSTITUTE(SUBSTITUTE(SUBSTITUTE(SUBSTITUTE($A5369," ",""),"(주)",""),"주식회사",""),"㈜","")))</f>
        <v/>
      </c>
      <c r="H5369" s="10" t="str">
        <f aca="false">IF($B5369="","",SUBSTITUTE(SUBSTITUTE(SUBSTITUTE($B5369,"-","")," ",""),".",""))</f>
        <v/>
      </c>
      <c r="I5369" s="10" t="str">
        <f aca="false">IF($D5369="","",SUBSTITUTE(SUBSTITUTE(SUBSTITUTE($D5369,"-","")," ",""),".",""))</f>
        <v/>
      </c>
      <c r="J5369" s="10" t="str">
        <f aca="false">IF($E5369="","",UPPER(SUBSTITUTE($E5369," ","")))</f>
        <v/>
      </c>
      <c r="K5369" s="10" t="str">
        <f aca="false">IF($A5369="","",$G5369&amp;"|"&amp;$J5369)</f>
        <v/>
      </c>
      <c r="L5369" s="10" t="str">
        <f aca="false">IF($A5369="","",ROW()-2)</f>
        <v/>
      </c>
      <c r="M5369" s="10" t="str">
        <f aca="false">IF($A5369="","",ROW())</f>
        <v/>
      </c>
    </row>
    <row r="5370" customFormat="false" ht="15" hidden="false" customHeight="true" outlineLevel="0" collapsed="false">
      <c r="A5370" s="8"/>
      <c r="B5370" s="8"/>
      <c r="C5370" s="8"/>
      <c r="D5370" s="8"/>
      <c r="E5370" s="8"/>
      <c r="F5370" s="8"/>
      <c r="G5370" s="10" t="str">
        <f aca="false">IF($A5370="","",UPPER(SUBSTITUTE(SUBSTITUTE(SUBSTITUTE(SUBSTITUTE($A5370," ",""),"(주)",""),"주식회사",""),"㈜","")))</f>
        <v/>
      </c>
      <c r="H5370" s="10" t="str">
        <f aca="false">IF($B5370="","",SUBSTITUTE(SUBSTITUTE(SUBSTITUTE($B5370,"-","")," ",""),".",""))</f>
        <v/>
      </c>
      <c r="I5370" s="10" t="str">
        <f aca="false">IF($D5370="","",SUBSTITUTE(SUBSTITUTE(SUBSTITUTE($D5370,"-","")," ",""),".",""))</f>
        <v/>
      </c>
      <c r="J5370" s="10" t="str">
        <f aca="false">IF($E5370="","",UPPER(SUBSTITUTE($E5370," ","")))</f>
        <v/>
      </c>
      <c r="K5370" s="10" t="str">
        <f aca="false">IF($A5370="","",$G5370&amp;"|"&amp;$J5370)</f>
        <v/>
      </c>
      <c r="L5370" s="10" t="str">
        <f aca="false">IF($A5370="","",ROW()-2)</f>
        <v/>
      </c>
      <c r="M5370" s="10" t="str">
        <f aca="false">IF($A5370="","",ROW())</f>
        <v/>
      </c>
    </row>
    <row r="5371" customFormat="false" ht="15" hidden="false" customHeight="true" outlineLevel="0" collapsed="false">
      <c r="A5371" s="8"/>
      <c r="B5371" s="8"/>
      <c r="C5371" s="8"/>
      <c r="D5371" s="8"/>
      <c r="E5371" s="8"/>
      <c r="F5371" s="8"/>
      <c r="G5371" s="10" t="str">
        <f aca="false">IF($A5371="","",UPPER(SUBSTITUTE(SUBSTITUTE(SUBSTITUTE(SUBSTITUTE($A5371," ",""),"(주)",""),"주식회사",""),"㈜","")))</f>
        <v/>
      </c>
      <c r="H5371" s="10" t="str">
        <f aca="false">IF($B5371="","",SUBSTITUTE(SUBSTITUTE(SUBSTITUTE($B5371,"-","")," ",""),".",""))</f>
        <v/>
      </c>
      <c r="I5371" s="10" t="str">
        <f aca="false">IF($D5371="","",SUBSTITUTE(SUBSTITUTE(SUBSTITUTE($D5371,"-","")," ",""),".",""))</f>
        <v/>
      </c>
      <c r="J5371" s="10" t="str">
        <f aca="false">IF($E5371="","",UPPER(SUBSTITUTE($E5371," ","")))</f>
        <v/>
      </c>
      <c r="K5371" s="10" t="str">
        <f aca="false">IF($A5371="","",$G5371&amp;"|"&amp;$J5371)</f>
        <v/>
      </c>
      <c r="L5371" s="10" t="str">
        <f aca="false">IF($A5371="","",ROW()-2)</f>
        <v/>
      </c>
      <c r="M5371" s="10" t="str">
        <f aca="false">IF($A5371="","",ROW())</f>
        <v/>
      </c>
    </row>
    <row r="5372" customFormat="false" ht="15" hidden="false" customHeight="true" outlineLevel="0" collapsed="false">
      <c r="A5372" s="8"/>
      <c r="B5372" s="8"/>
      <c r="C5372" s="8"/>
      <c r="D5372" s="8"/>
      <c r="E5372" s="8"/>
      <c r="F5372" s="8"/>
      <c r="G5372" s="10" t="str">
        <f aca="false">IF($A5372="","",UPPER(SUBSTITUTE(SUBSTITUTE(SUBSTITUTE(SUBSTITUTE($A5372," ",""),"(주)",""),"주식회사",""),"㈜","")))</f>
        <v/>
      </c>
      <c r="H5372" s="10" t="str">
        <f aca="false">IF($B5372="","",SUBSTITUTE(SUBSTITUTE(SUBSTITUTE($B5372,"-","")," ",""),".",""))</f>
        <v/>
      </c>
      <c r="I5372" s="10" t="str">
        <f aca="false">IF($D5372="","",SUBSTITUTE(SUBSTITUTE(SUBSTITUTE($D5372,"-","")," ",""),".",""))</f>
        <v/>
      </c>
      <c r="J5372" s="10" t="str">
        <f aca="false">IF($E5372="","",UPPER(SUBSTITUTE($E5372," ","")))</f>
        <v/>
      </c>
      <c r="K5372" s="10" t="str">
        <f aca="false">IF($A5372="","",$G5372&amp;"|"&amp;$J5372)</f>
        <v/>
      </c>
      <c r="L5372" s="10" t="str">
        <f aca="false">IF($A5372="","",ROW()-2)</f>
        <v/>
      </c>
      <c r="M5372" s="10" t="str">
        <f aca="false">IF($A5372="","",ROW())</f>
        <v/>
      </c>
    </row>
    <row r="5373" customFormat="false" ht="15" hidden="false" customHeight="true" outlineLevel="0" collapsed="false">
      <c r="A5373" s="8"/>
      <c r="B5373" s="8"/>
      <c r="C5373" s="8"/>
      <c r="D5373" s="8"/>
      <c r="E5373" s="8"/>
      <c r="F5373" s="8"/>
      <c r="G5373" s="10" t="str">
        <f aca="false">IF($A5373="","",UPPER(SUBSTITUTE(SUBSTITUTE(SUBSTITUTE(SUBSTITUTE($A5373," ",""),"(주)",""),"주식회사",""),"㈜","")))</f>
        <v/>
      </c>
      <c r="H5373" s="10" t="str">
        <f aca="false">IF($B5373="","",SUBSTITUTE(SUBSTITUTE(SUBSTITUTE($B5373,"-","")," ",""),".",""))</f>
        <v/>
      </c>
      <c r="I5373" s="10" t="str">
        <f aca="false">IF($D5373="","",SUBSTITUTE(SUBSTITUTE(SUBSTITUTE($D5373,"-","")," ",""),".",""))</f>
        <v/>
      </c>
      <c r="J5373" s="10" t="str">
        <f aca="false">IF($E5373="","",UPPER(SUBSTITUTE($E5373," ","")))</f>
        <v/>
      </c>
      <c r="K5373" s="10" t="str">
        <f aca="false">IF($A5373="","",$G5373&amp;"|"&amp;$J5373)</f>
        <v/>
      </c>
      <c r="L5373" s="10" t="str">
        <f aca="false">IF($A5373="","",ROW()-2)</f>
        <v/>
      </c>
      <c r="M5373" s="10" t="str">
        <f aca="false">IF($A5373="","",ROW())</f>
        <v/>
      </c>
    </row>
    <row r="5374" customFormat="false" ht="15" hidden="false" customHeight="true" outlineLevel="0" collapsed="false">
      <c r="A5374" s="8"/>
      <c r="B5374" s="8"/>
      <c r="C5374" s="8"/>
      <c r="D5374" s="8"/>
      <c r="E5374" s="8"/>
      <c r="F5374" s="8"/>
      <c r="G5374" s="10" t="str">
        <f aca="false">IF($A5374="","",UPPER(SUBSTITUTE(SUBSTITUTE(SUBSTITUTE(SUBSTITUTE($A5374," ",""),"(주)",""),"주식회사",""),"㈜","")))</f>
        <v/>
      </c>
      <c r="H5374" s="10" t="str">
        <f aca="false">IF($B5374="","",SUBSTITUTE(SUBSTITUTE(SUBSTITUTE($B5374,"-","")," ",""),".",""))</f>
        <v/>
      </c>
      <c r="I5374" s="10" t="str">
        <f aca="false">IF($D5374="","",SUBSTITUTE(SUBSTITUTE(SUBSTITUTE($D5374,"-","")," ",""),".",""))</f>
        <v/>
      </c>
      <c r="J5374" s="10" t="str">
        <f aca="false">IF($E5374="","",UPPER(SUBSTITUTE($E5374," ","")))</f>
        <v/>
      </c>
      <c r="K5374" s="10" t="str">
        <f aca="false">IF($A5374="","",$G5374&amp;"|"&amp;$J5374)</f>
        <v/>
      </c>
      <c r="L5374" s="10" t="str">
        <f aca="false">IF($A5374="","",ROW()-2)</f>
        <v/>
      </c>
      <c r="M5374" s="10" t="str">
        <f aca="false">IF($A5374="","",ROW())</f>
        <v/>
      </c>
    </row>
    <row r="5375" customFormat="false" ht="15" hidden="false" customHeight="true" outlineLevel="0" collapsed="false">
      <c r="A5375" s="8"/>
      <c r="B5375" s="8"/>
      <c r="C5375" s="8"/>
      <c r="D5375" s="8"/>
      <c r="E5375" s="8"/>
      <c r="F5375" s="8"/>
      <c r="G5375" s="10" t="str">
        <f aca="false">IF($A5375="","",UPPER(SUBSTITUTE(SUBSTITUTE(SUBSTITUTE(SUBSTITUTE($A5375," ",""),"(주)",""),"주식회사",""),"㈜","")))</f>
        <v/>
      </c>
      <c r="H5375" s="10" t="str">
        <f aca="false">IF($B5375="","",SUBSTITUTE(SUBSTITUTE(SUBSTITUTE($B5375,"-","")," ",""),".",""))</f>
        <v/>
      </c>
      <c r="I5375" s="10" t="str">
        <f aca="false">IF($D5375="","",SUBSTITUTE(SUBSTITUTE(SUBSTITUTE($D5375,"-","")," ",""),".",""))</f>
        <v/>
      </c>
      <c r="J5375" s="10" t="str">
        <f aca="false">IF($E5375="","",UPPER(SUBSTITUTE($E5375," ","")))</f>
        <v/>
      </c>
      <c r="K5375" s="10" t="str">
        <f aca="false">IF($A5375="","",$G5375&amp;"|"&amp;$J5375)</f>
        <v/>
      </c>
      <c r="L5375" s="10" t="str">
        <f aca="false">IF($A5375="","",ROW()-2)</f>
        <v/>
      </c>
      <c r="M5375" s="10" t="str">
        <f aca="false">IF($A5375="","",ROW())</f>
        <v/>
      </c>
    </row>
    <row r="5376" customFormat="false" ht="15" hidden="false" customHeight="true" outlineLevel="0" collapsed="false">
      <c r="A5376" s="8"/>
      <c r="B5376" s="8"/>
      <c r="C5376" s="8"/>
      <c r="D5376" s="8"/>
      <c r="E5376" s="8"/>
      <c r="F5376" s="8"/>
      <c r="G5376" s="10" t="str">
        <f aca="false">IF($A5376="","",UPPER(SUBSTITUTE(SUBSTITUTE(SUBSTITUTE(SUBSTITUTE($A5376," ",""),"(주)",""),"주식회사",""),"㈜","")))</f>
        <v/>
      </c>
      <c r="H5376" s="10" t="str">
        <f aca="false">IF($B5376="","",SUBSTITUTE(SUBSTITUTE(SUBSTITUTE($B5376,"-","")," ",""),".",""))</f>
        <v/>
      </c>
      <c r="I5376" s="10" t="str">
        <f aca="false">IF($D5376="","",SUBSTITUTE(SUBSTITUTE(SUBSTITUTE($D5376,"-","")," ",""),".",""))</f>
        <v/>
      </c>
      <c r="J5376" s="10" t="str">
        <f aca="false">IF($E5376="","",UPPER(SUBSTITUTE($E5376," ","")))</f>
        <v/>
      </c>
      <c r="K5376" s="10" t="str">
        <f aca="false">IF($A5376="","",$G5376&amp;"|"&amp;$J5376)</f>
        <v/>
      </c>
      <c r="L5376" s="10" t="str">
        <f aca="false">IF($A5376="","",ROW()-2)</f>
        <v/>
      </c>
      <c r="M5376" s="10" t="str">
        <f aca="false">IF($A5376="","",ROW())</f>
        <v/>
      </c>
    </row>
    <row r="5377" customFormat="false" ht="15" hidden="false" customHeight="true" outlineLevel="0" collapsed="false">
      <c r="A5377" s="8"/>
      <c r="B5377" s="8"/>
      <c r="C5377" s="8"/>
      <c r="D5377" s="8"/>
      <c r="E5377" s="8"/>
      <c r="F5377" s="8"/>
      <c r="G5377" s="10" t="str">
        <f aca="false">IF($A5377="","",UPPER(SUBSTITUTE(SUBSTITUTE(SUBSTITUTE(SUBSTITUTE($A5377," ",""),"(주)",""),"주식회사",""),"㈜","")))</f>
        <v/>
      </c>
      <c r="H5377" s="10" t="str">
        <f aca="false">IF($B5377="","",SUBSTITUTE(SUBSTITUTE(SUBSTITUTE($B5377,"-","")," ",""),".",""))</f>
        <v/>
      </c>
      <c r="I5377" s="10" t="str">
        <f aca="false">IF($D5377="","",SUBSTITUTE(SUBSTITUTE(SUBSTITUTE($D5377,"-","")," ",""),".",""))</f>
        <v/>
      </c>
      <c r="J5377" s="10" t="str">
        <f aca="false">IF($E5377="","",UPPER(SUBSTITUTE($E5377," ","")))</f>
        <v/>
      </c>
      <c r="K5377" s="10" t="str">
        <f aca="false">IF($A5377="","",$G5377&amp;"|"&amp;$J5377)</f>
        <v/>
      </c>
      <c r="L5377" s="10" t="str">
        <f aca="false">IF($A5377="","",ROW()-2)</f>
        <v/>
      </c>
      <c r="M5377" s="10" t="str">
        <f aca="false">IF($A5377="","",ROW())</f>
        <v/>
      </c>
    </row>
    <row r="5378" customFormat="false" ht="15" hidden="false" customHeight="true" outlineLevel="0" collapsed="false">
      <c r="A5378" s="8"/>
      <c r="B5378" s="8"/>
      <c r="C5378" s="8"/>
      <c r="D5378" s="8"/>
      <c r="E5378" s="8"/>
      <c r="F5378" s="8"/>
      <c r="G5378" s="10" t="str">
        <f aca="false">IF($A5378="","",UPPER(SUBSTITUTE(SUBSTITUTE(SUBSTITUTE(SUBSTITUTE($A5378," ",""),"(주)",""),"주식회사",""),"㈜","")))</f>
        <v/>
      </c>
      <c r="H5378" s="10" t="str">
        <f aca="false">IF($B5378="","",SUBSTITUTE(SUBSTITUTE(SUBSTITUTE($B5378,"-","")," ",""),".",""))</f>
        <v/>
      </c>
      <c r="I5378" s="10" t="str">
        <f aca="false">IF($D5378="","",SUBSTITUTE(SUBSTITUTE(SUBSTITUTE($D5378,"-","")," ",""),".",""))</f>
        <v/>
      </c>
      <c r="J5378" s="10" t="str">
        <f aca="false">IF($E5378="","",UPPER(SUBSTITUTE($E5378," ","")))</f>
        <v/>
      </c>
      <c r="K5378" s="10" t="str">
        <f aca="false">IF($A5378="","",$G5378&amp;"|"&amp;$J5378)</f>
        <v/>
      </c>
      <c r="L5378" s="10" t="str">
        <f aca="false">IF($A5378="","",ROW()-2)</f>
        <v/>
      </c>
      <c r="M5378" s="10" t="str">
        <f aca="false">IF($A5378="","",ROW())</f>
        <v/>
      </c>
    </row>
    <row r="5379" customFormat="false" ht="15" hidden="false" customHeight="true" outlineLevel="0" collapsed="false">
      <c r="A5379" s="8"/>
      <c r="B5379" s="8"/>
      <c r="C5379" s="8"/>
      <c r="D5379" s="8"/>
      <c r="E5379" s="8"/>
      <c r="F5379" s="8"/>
      <c r="G5379" s="10" t="str">
        <f aca="false">IF($A5379="","",UPPER(SUBSTITUTE(SUBSTITUTE(SUBSTITUTE(SUBSTITUTE($A5379," ",""),"(주)",""),"주식회사",""),"㈜","")))</f>
        <v/>
      </c>
      <c r="H5379" s="10" t="str">
        <f aca="false">IF($B5379="","",SUBSTITUTE(SUBSTITUTE(SUBSTITUTE($B5379,"-","")," ",""),".",""))</f>
        <v/>
      </c>
      <c r="I5379" s="10" t="str">
        <f aca="false">IF($D5379="","",SUBSTITUTE(SUBSTITUTE(SUBSTITUTE($D5379,"-","")," ",""),".",""))</f>
        <v/>
      </c>
      <c r="J5379" s="10" t="str">
        <f aca="false">IF($E5379="","",UPPER(SUBSTITUTE($E5379," ","")))</f>
        <v/>
      </c>
      <c r="K5379" s="10" t="str">
        <f aca="false">IF($A5379="","",$G5379&amp;"|"&amp;$J5379)</f>
        <v/>
      </c>
      <c r="L5379" s="10" t="str">
        <f aca="false">IF($A5379="","",ROW()-2)</f>
        <v/>
      </c>
      <c r="M5379" s="10" t="str">
        <f aca="false">IF($A5379="","",ROW())</f>
        <v/>
      </c>
    </row>
    <row r="5380" customFormat="false" ht="15" hidden="false" customHeight="true" outlineLevel="0" collapsed="false">
      <c r="A5380" s="8"/>
      <c r="B5380" s="8"/>
      <c r="C5380" s="8"/>
      <c r="D5380" s="8"/>
      <c r="E5380" s="8"/>
      <c r="F5380" s="8"/>
      <c r="G5380" s="10" t="str">
        <f aca="false">IF($A5380="","",UPPER(SUBSTITUTE(SUBSTITUTE(SUBSTITUTE(SUBSTITUTE($A5380," ",""),"(주)",""),"주식회사",""),"㈜","")))</f>
        <v/>
      </c>
      <c r="H5380" s="10" t="str">
        <f aca="false">IF($B5380="","",SUBSTITUTE(SUBSTITUTE(SUBSTITUTE($B5380,"-","")," ",""),".",""))</f>
        <v/>
      </c>
      <c r="I5380" s="10" t="str">
        <f aca="false">IF($D5380="","",SUBSTITUTE(SUBSTITUTE(SUBSTITUTE($D5380,"-","")," ",""),".",""))</f>
        <v/>
      </c>
      <c r="J5380" s="10" t="str">
        <f aca="false">IF($E5380="","",UPPER(SUBSTITUTE($E5380," ","")))</f>
        <v/>
      </c>
      <c r="K5380" s="10" t="str">
        <f aca="false">IF($A5380="","",$G5380&amp;"|"&amp;$J5380)</f>
        <v/>
      </c>
      <c r="L5380" s="10" t="str">
        <f aca="false">IF($A5380="","",ROW()-2)</f>
        <v/>
      </c>
      <c r="M5380" s="10" t="str">
        <f aca="false">IF($A5380="","",ROW())</f>
        <v/>
      </c>
    </row>
    <row r="5381" customFormat="false" ht="15" hidden="false" customHeight="true" outlineLevel="0" collapsed="false">
      <c r="A5381" s="8"/>
      <c r="B5381" s="8"/>
      <c r="C5381" s="8"/>
      <c r="D5381" s="8"/>
      <c r="E5381" s="8"/>
      <c r="F5381" s="8"/>
      <c r="G5381" s="10" t="str">
        <f aca="false">IF($A5381="","",UPPER(SUBSTITUTE(SUBSTITUTE(SUBSTITUTE(SUBSTITUTE($A5381," ",""),"(주)",""),"주식회사",""),"㈜","")))</f>
        <v/>
      </c>
      <c r="H5381" s="10" t="str">
        <f aca="false">IF($B5381="","",SUBSTITUTE(SUBSTITUTE(SUBSTITUTE($B5381,"-","")," ",""),".",""))</f>
        <v/>
      </c>
      <c r="I5381" s="10" t="str">
        <f aca="false">IF($D5381="","",SUBSTITUTE(SUBSTITUTE(SUBSTITUTE($D5381,"-","")," ",""),".",""))</f>
        <v/>
      </c>
      <c r="J5381" s="10" t="str">
        <f aca="false">IF($E5381="","",UPPER(SUBSTITUTE($E5381," ","")))</f>
        <v/>
      </c>
      <c r="K5381" s="10" t="str">
        <f aca="false">IF($A5381="","",$G5381&amp;"|"&amp;$J5381)</f>
        <v/>
      </c>
      <c r="L5381" s="10" t="str">
        <f aca="false">IF($A5381="","",ROW()-2)</f>
        <v/>
      </c>
      <c r="M5381" s="10" t="str">
        <f aca="false">IF($A5381="","",ROW())</f>
        <v/>
      </c>
    </row>
    <row r="5382" customFormat="false" ht="15" hidden="false" customHeight="true" outlineLevel="0" collapsed="false">
      <c r="A5382" s="8"/>
      <c r="B5382" s="8"/>
      <c r="C5382" s="8"/>
      <c r="D5382" s="8"/>
      <c r="E5382" s="8"/>
      <c r="F5382" s="8"/>
      <c r="G5382" s="10" t="str">
        <f aca="false">IF($A5382="","",UPPER(SUBSTITUTE(SUBSTITUTE(SUBSTITUTE(SUBSTITUTE($A5382," ",""),"(주)",""),"주식회사",""),"㈜","")))</f>
        <v/>
      </c>
      <c r="H5382" s="10" t="str">
        <f aca="false">IF($B5382="","",SUBSTITUTE(SUBSTITUTE(SUBSTITUTE($B5382,"-","")," ",""),".",""))</f>
        <v/>
      </c>
      <c r="I5382" s="10" t="str">
        <f aca="false">IF($D5382="","",SUBSTITUTE(SUBSTITUTE(SUBSTITUTE($D5382,"-","")," ",""),".",""))</f>
        <v/>
      </c>
      <c r="J5382" s="10" t="str">
        <f aca="false">IF($E5382="","",UPPER(SUBSTITUTE($E5382," ","")))</f>
        <v/>
      </c>
      <c r="K5382" s="10" t="str">
        <f aca="false">IF($A5382="","",$G5382&amp;"|"&amp;$J5382)</f>
        <v/>
      </c>
      <c r="L5382" s="10" t="str">
        <f aca="false">IF($A5382="","",ROW()-2)</f>
        <v/>
      </c>
      <c r="M5382" s="10" t="str">
        <f aca="false">IF($A5382="","",ROW())</f>
        <v/>
      </c>
    </row>
    <row r="5383" customFormat="false" ht="15" hidden="false" customHeight="true" outlineLevel="0" collapsed="false">
      <c r="A5383" s="8"/>
      <c r="B5383" s="8"/>
      <c r="C5383" s="8"/>
      <c r="D5383" s="8"/>
      <c r="E5383" s="8"/>
      <c r="F5383" s="8"/>
      <c r="G5383" s="10" t="str">
        <f aca="false">IF($A5383="","",UPPER(SUBSTITUTE(SUBSTITUTE(SUBSTITUTE(SUBSTITUTE($A5383," ",""),"(주)",""),"주식회사",""),"㈜","")))</f>
        <v/>
      </c>
      <c r="H5383" s="10" t="str">
        <f aca="false">IF($B5383="","",SUBSTITUTE(SUBSTITUTE(SUBSTITUTE($B5383,"-","")," ",""),".",""))</f>
        <v/>
      </c>
      <c r="I5383" s="10" t="str">
        <f aca="false">IF($D5383="","",SUBSTITUTE(SUBSTITUTE(SUBSTITUTE($D5383,"-","")," ",""),".",""))</f>
        <v/>
      </c>
      <c r="J5383" s="10" t="str">
        <f aca="false">IF($E5383="","",UPPER(SUBSTITUTE($E5383," ","")))</f>
        <v/>
      </c>
      <c r="K5383" s="10" t="str">
        <f aca="false">IF($A5383="","",$G5383&amp;"|"&amp;$J5383)</f>
        <v/>
      </c>
      <c r="L5383" s="10" t="str">
        <f aca="false">IF($A5383="","",ROW()-2)</f>
        <v/>
      </c>
      <c r="M5383" s="10" t="str">
        <f aca="false">IF($A5383="","",ROW())</f>
        <v/>
      </c>
    </row>
    <row r="5384" customFormat="false" ht="15" hidden="false" customHeight="true" outlineLevel="0" collapsed="false">
      <c r="A5384" s="8"/>
      <c r="B5384" s="8"/>
      <c r="C5384" s="8"/>
      <c r="D5384" s="8"/>
      <c r="E5384" s="8"/>
      <c r="F5384" s="8"/>
      <c r="G5384" s="10" t="str">
        <f aca="false">IF($A5384="","",UPPER(SUBSTITUTE(SUBSTITUTE(SUBSTITUTE(SUBSTITUTE($A5384," ",""),"(주)",""),"주식회사",""),"㈜","")))</f>
        <v/>
      </c>
      <c r="H5384" s="10" t="str">
        <f aca="false">IF($B5384="","",SUBSTITUTE(SUBSTITUTE(SUBSTITUTE($B5384,"-","")," ",""),".",""))</f>
        <v/>
      </c>
      <c r="I5384" s="10" t="str">
        <f aca="false">IF($D5384="","",SUBSTITUTE(SUBSTITUTE(SUBSTITUTE($D5384,"-","")," ",""),".",""))</f>
        <v/>
      </c>
      <c r="J5384" s="10" t="str">
        <f aca="false">IF($E5384="","",UPPER(SUBSTITUTE($E5384," ","")))</f>
        <v/>
      </c>
      <c r="K5384" s="10" t="str">
        <f aca="false">IF($A5384="","",$G5384&amp;"|"&amp;$J5384)</f>
        <v/>
      </c>
      <c r="L5384" s="10" t="str">
        <f aca="false">IF($A5384="","",ROW()-2)</f>
        <v/>
      </c>
      <c r="M5384" s="10" t="str">
        <f aca="false">IF($A5384="","",ROW())</f>
        <v/>
      </c>
    </row>
    <row r="5385" customFormat="false" ht="15" hidden="false" customHeight="true" outlineLevel="0" collapsed="false">
      <c r="A5385" s="8"/>
      <c r="B5385" s="8"/>
      <c r="C5385" s="8"/>
      <c r="D5385" s="8"/>
      <c r="E5385" s="8"/>
      <c r="F5385" s="8"/>
      <c r="G5385" s="10" t="str">
        <f aca="false">IF($A5385="","",UPPER(SUBSTITUTE(SUBSTITUTE(SUBSTITUTE(SUBSTITUTE($A5385," ",""),"(주)",""),"주식회사",""),"㈜","")))</f>
        <v/>
      </c>
      <c r="H5385" s="10" t="str">
        <f aca="false">IF($B5385="","",SUBSTITUTE(SUBSTITUTE(SUBSTITUTE($B5385,"-","")," ",""),".",""))</f>
        <v/>
      </c>
      <c r="I5385" s="10" t="str">
        <f aca="false">IF($D5385="","",SUBSTITUTE(SUBSTITUTE(SUBSTITUTE($D5385,"-","")," ",""),".",""))</f>
        <v/>
      </c>
      <c r="J5385" s="10" t="str">
        <f aca="false">IF($E5385="","",UPPER(SUBSTITUTE($E5385," ","")))</f>
        <v/>
      </c>
      <c r="K5385" s="10" t="str">
        <f aca="false">IF($A5385="","",$G5385&amp;"|"&amp;$J5385)</f>
        <v/>
      </c>
      <c r="L5385" s="10" t="str">
        <f aca="false">IF($A5385="","",ROW()-2)</f>
        <v/>
      </c>
      <c r="M5385" s="10" t="str">
        <f aca="false">IF($A5385="","",ROW())</f>
        <v/>
      </c>
    </row>
    <row r="5386" customFormat="false" ht="15" hidden="false" customHeight="true" outlineLevel="0" collapsed="false">
      <c r="A5386" s="8"/>
      <c r="B5386" s="8"/>
      <c r="C5386" s="8"/>
      <c r="D5386" s="8"/>
      <c r="E5386" s="8"/>
      <c r="F5386" s="8"/>
      <c r="G5386" s="10" t="str">
        <f aca="false">IF($A5386="","",UPPER(SUBSTITUTE(SUBSTITUTE(SUBSTITUTE(SUBSTITUTE($A5386," ",""),"(주)",""),"주식회사",""),"㈜","")))</f>
        <v/>
      </c>
      <c r="H5386" s="10" t="str">
        <f aca="false">IF($B5386="","",SUBSTITUTE(SUBSTITUTE(SUBSTITUTE($B5386,"-","")," ",""),".",""))</f>
        <v/>
      </c>
      <c r="I5386" s="10" t="str">
        <f aca="false">IF($D5386="","",SUBSTITUTE(SUBSTITUTE(SUBSTITUTE($D5386,"-","")," ",""),".",""))</f>
        <v/>
      </c>
      <c r="J5386" s="10" t="str">
        <f aca="false">IF($E5386="","",UPPER(SUBSTITUTE($E5386," ","")))</f>
        <v/>
      </c>
      <c r="K5386" s="10" t="str">
        <f aca="false">IF($A5386="","",$G5386&amp;"|"&amp;$J5386)</f>
        <v/>
      </c>
      <c r="L5386" s="10" t="str">
        <f aca="false">IF($A5386="","",ROW()-2)</f>
        <v/>
      </c>
      <c r="M5386" s="10" t="str">
        <f aca="false">IF($A5386="","",ROW())</f>
        <v/>
      </c>
    </row>
    <row r="5387" customFormat="false" ht="15" hidden="false" customHeight="true" outlineLevel="0" collapsed="false">
      <c r="A5387" s="8"/>
      <c r="B5387" s="8"/>
      <c r="C5387" s="8"/>
      <c r="D5387" s="8"/>
      <c r="E5387" s="8"/>
      <c r="F5387" s="8"/>
      <c r="G5387" s="10" t="str">
        <f aca="false">IF($A5387="","",UPPER(SUBSTITUTE(SUBSTITUTE(SUBSTITUTE(SUBSTITUTE($A5387," ",""),"(주)",""),"주식회사",""),"㈜","")))</f>
        <v/>
      </c>
      <c r="H5387" s="10" t="str">
        <f aca="false">IF($B5387="","",SUBSTITUTE(SUBSTITUTE(SUBSTITUTE($B5387,"-","")," ",""),".",""))</f>
        <v/>
      </c>
      <c r="I5387" s="10" t="str">
        <f aca="false">IF($D5387="","",SUBSTITUTE(SUBSTITUTE(SUBSTITUTE($D5387,"-","")," ",""),".",""))</f>
        <v/>
      </c>
      <c r="J5387" s="10" t="str">
        <f aca="false">IF($E5387="","",UPPER(SUBSTITUTE($E5387," ","")))</f>
        <v/>
      </c>
      <c r="K5387" s="10" t="str">
        <f aca="false">IF($A5387="","",$G5387&amp;"|"&amp;$J5387)</f>
        <v/>
      </c>
      <c r="L5387" s="10" t="str">
        <f aca="false">IF($A5387="","",ROW()-2)</f>
        <v/>
      </c>
      <c r="M5387" s="10" t="str">
        <f aca="false">IF($A5387="","",ROW())</f>
        <v/>
      </c>
    </row>
    <row r="5388" customFormat="false" ht="15" hidden="false" customHeight="true" outlineLevel="0" collapsed="false">
      <c r="A5388" s="8"/>
      <c r="B5388" s="8"/>
      <c r="C5388" s="8"/>
      <c r="D5388" s="8"/>
      <c r="E5388" s="8"/>
      <c r="F5388" s="8"/>
      <c r="G5388" s="10" t="str">
        <f aca="false">IF($A5388="","",UPPER(SUBSTITUTE(SUBSTITUTE(SUBSTITUTE(SUBSTITUTE($A5388," ",""),"(주)",""),"주식회사",""),"㈜","")))</f>
        <v/>
      </c>
      <c r="H5388" s="10" t="str">
        <f aca="false">IF($B5388="","",SUBSTITUTE(SUBSTITUTE(SUBSTITUTE($B5388,"-","")," ",""),".",""))</f>
        <v/>
      </c>
      <c r="I5388" s="10" t="str">
        <f aca="false">IF($D5388="","",SUBSTITUTE(SUBSTITUTE(SUBSTITUTE($D5388,"-","")," ",""),".",""))</f>
        <v/>
      </c>
      <c r="J5388" s="10" t="str">
        <f aca="false">IF($E5388="","",UPPER(SUBSTITUTE($E5388," ","")))</f>
        <v/>
      </c>
      <c r="K5388" s="10" t="str">
        <f aca="false">IF($A5388="","",$G5388&amp;"|"&amp;$J5388)</f>
        <v/>
      </c>
      <c r="L5388" s="10" t="str">
        <f aca="false">IF($A5388="","",ROW()-2)</f>
        <v/>
      </c>
      <c r="M5388" s="10" t="str">
        <f aca="false">IF($A5388="","",ROW())</f>
        <v/>
      </c>
    </row>
    <row r="5389" customFormat="false" ht="15" hidden="false" customHeight="true" outlineLevel="0" collapsed="false">
      <c r="A5389" s="8"/>
      <c r="B5389" s="8"/>
      <c r="C5389" s="8"/>
      <c r="D5389" s="8"/>
      <c r="E5389" s="8"/>
      <c r="F5389" s="8"/>
      <c r="G5389" s="10" t="str">
        <f aca="false">IF($A5389="","",UPPER(SUBSTITUTE(SUBSTITUTE(SUBSTITUTE(SUBSTITUTE($A5389," ",""),"(주)",""),"주식회사",""),"㈜","")))</f>
        <v/>
      </c>
      <c r="H5389" s="10" t="str">
        <f aca="false">IF($B5389="","",SUBSTITUTE(SUBSTITUTE(SUBSTITUTE($B5389,"-","")," ",""),".",""))</f>
        <v/>
      </c>
      <c r="I5389" s="10" t="str">
        <f aca="false">IF($D5389="","",SUBSTITUTE(SUBSTITUTE(SUBSTITUTE($D5389,"-","")," ",""),".",""))</f>
        <v/>
      </c>
      <c r="J5389" s="10" t="str">
        <f aca="false">IF($E5389="","",UPPER(SUBSTITUTE($E5389," ","")))</f>
        <v/>
      </c>
      <c r="K5389" s="10" t="str">
        <f aca="false">IF($A5389="","",$G5389&amp;"|"&amp;$J5389)</f>
        <v/>
      </c>
      <c r="L5389" s="10" t="str">
        <f aca="false">IF($A5389="","",ROW()-2)</f>
        <v/>
      </c>
      <c r="M5389" s="10" t="str">
        <f aca="false">IF($A5389="","",ROW())</f>
        <v/>
      </c>
    </row>
    <row r="5390" customFormat="false" ht="15" hidden="false" customHeight="true" outlineLevel="0" collapsed="false">
      <c r="A5390" s="8"/>
      <c r="B5390" s="8"/>
      <c r="C5390" s="8"/>
      <c r="D5390" s="8"/>
      <c r="E5390" s="8"/>
      <c r="F5390" s="8"/>
      <c r="G5390" s="10" t="str">
        <f aca="false">IF($A5390="","",UPPER(SUBSTITUTE(SUBSTITUTE(SUBSTITUTE(SUBSTITUTE($A5390," ",""),"(주)",""),"주식회사",""),"㈜","")))</f>
        <v/>
      </c>
      <c r="H5390" s="10" t="str">
        <f aca="false">IF($B5390="","",SUBSTITUTE(SUBSTITUTE(SUBSTITUTE($B5390,"-","")," ",""),".",""))</f>
        <v/>
      </c>
      <c r="I5390" s="10" t="str">
        <f aca="false">IF($D5390="","",SUBSTITUTE(SUBSTITUTE(SUBSTITUTE($D5390,"-","")," ",""),".",""))</f>
        <v/>
      </c>
      <c r="J5390" s="10" t="str">
        <f aca="false">IF($E5390="","",UPPER(SUBSTITUTE($E5390," ","")))</f>
        <v/>
      </c>
      <c r="K5390" s="10" t="str">
        <f aca="false">IF($A5390="","",$G5390&amp;"|"&amp;$J5390)</f>
        <v/>
      </c>
      <c r="L5390" s="10" t="str">
        <f aca="false">IF($A5390="","",ROW()-2)</f>
        <v/>
      </c>
      <c r="M5390" s="10" t="str">
        <f aca="false">IF($A5390="","",ROW())</f>
        <v/>
      </c>
    </row>
    <row r="5391" customFormat="false" ht="15" hidden="false" customHeight="true" outlineLevel="0" collapsed="false">
      <c r="A5391" s="8"/>
      <c r="B5391" s="8"/>
      <c r="C5391" s="8"/>
      <c r="D5391" s="8"/>
      <c r="E5391" s="8"/>
      <c r="F5391" s="8"/>
      <c r="G5391" s="10" t="str">
        <f aca="false">IF($A5391="","",UPPER(SUBSTITUTE(SUBSTITUTE(SUBSTITUTE(SUBSTITUTE($A5391," ",""),"(주)",""),"주식회사",""),"㈜","")))</f>
        <v/>
      </c>
      <c r="H5391" s="10" t="str">
        <f aca="false">IF($B5391="","",SUBSTITUTE(SUBSTITUTE(SUBSTITUTE($B5391,"-","")," ",""),".",""))</f>
        <v/>
      </c>
      <c r="I5391" s="10" t="str">
        <f aca="false">IF($D5391="","",SUBSTITUTE(SUBSTITUTE(SUBSTITUTE($D5391,"-","")," ",""),".",""))</f>
        <v/>
      </c>
      <c r="J5391" s="10" t="str">
        <f aca="false">IF($E5391="","",UPPER(SUBSTITUTE($E5391," ","")))</f>
        <v/>
      </c>
      <c r="K5391" s="10" t="str">
        <f aca="false">IF($A5391="","",$G5391&amp;"|"&amp;$J5391)</f>
        <v/>
      </c>
      <c r="L5391" s="10" t="str">
        <f aca="false">IF($A5391="","",ROW()-2)</f>
        <v/>
      </c>
      <c r="M5391" s="10" t="str">
        <f aca="false">IF($A5391="","",ROW())</f>
        <v/>
      </c>
    </row>
    <row r="5392" customFormat="false" ht="15" hidden="false" customHeight="true" outlineLevel="0" collapsed="false">
      <c r="A5392" s="8"/>
      <c r="B5392" s="8"/>
      <c r="C5392" s="8"/>
      <c r="D5392" s="8"/>
      <c r="E5392" s="8"/>
      <c r="F5392" s="8"/>
      <c r="G5392" s="10" t="str">
        <f aca="false">IF($A5392="","",UPPER(SUBSTITUTE(SUBSTITUTE(SUBSTITUTE(SUBSTITUTE($A5392," ",""),"(주)",""),"주식회사",""),"㈜","")))</f>
        <v/>
      </c>
      <c r="H5392" s="10" t="str">
        <f aca="false">IF($B5392="","",SUBSTITUTE(SUBSTITUTE(SUBSTITUTE($B5392,"-","")," ",""),".",""))</f>
        <v/>
      </c>
      <c r="I5392" s="10" t="str">
        <f aca="false">IF($D5392="","",SUBSTITUTE(SUBSTITUTE(SUBSTITUTE($D5392,"-","")," ",""),".",""))</f>
        <v/>
      </c>
      <c r="J5392" s="10" t="str">
        <f aca="false">IF($E5392="","",UPPER(SUBSTITUTE($E5392," ","")))</f>
        <v/>
      </c>
      <c r="K5392" s="10" t="str">
        <f aca="false">IF($A5392="","",$G5392&amp;"|"&amp;$J5392)</f>
        <v/>
      </c>
      <c r="L5392" s="10" t="str">
        <f aca="false">IF($A5392="","",ROW()-2)</f>
        <v/>
      </c>
      <c r="M5392" s="10" t="str">
        <f aca="false">IF($A5392="","",ROW())</f>
        <v/>
      </c>
    </row>
    <row r="5393" customFormat="false" ht="15" hidden="false" customHeight="true" outlineLevel="0" collapsed="false">
      <c r="A5393" s="8"/>
      <c r="B5393" s="8"/>
      <c r="C5393" s="8"/>
      <c r="D5393" s="8"/>
      <c r="E5393" s="8"/>
      <c r="F5393" s="8"/>
      <c r="G5393" s="10" t="str">
        <f aca="false">IF($A5393="","",UPPER(SUBSTITUTE(SUBSTITUTE(SUBSTITUTE(SUBSTITUTE($A5393," ",""),"(주)",""),"주식회사",""),"㈜","")))</f>
        <v/>
      </c>
      <c r="H5393" s="10" t="str">
        <f aca="false">IF($B5393="","",SUBSTITUTE(SUBSTITUTE(SUBSTITUTE($B5393,"-","")," ",""),".",""))</f>
        <v/>
      </c>
      <c r="I5393" s="10" t="str">
        <f aca="false">IF($D5393="","",SUBSTITUTE(SUBSTITUTE(SUBSTITUTE($D5393,"-","")," ",""),".",""))</f>
        <v/>
      </c>
      <c r="J5393" s="10" t="str">
        <f aca="false">IF($E5393="","",UPPER(SUBSTITUTE($E5393," ","")))</f>
        <v/>
      </c>
      <c r="K5393" s="10" t="str">
        <f aca="false">IF($A5393="","",$G5393&amp;"|"&amp;$J5393)</f>
        <v/>
      </c>
      <c r="L5393" s="10" t="str">
        <f aca="false">IF($A5393="","",ROW()-2)</f>
        <v/>
      </c>
      <c r="M5393" s="10" t="str">
        <f aca="false">IF($A5393="","",ROW())</f>
        <v/>
      </c>
    </row>
    <row r="5394" customFormat="false" ht="15" hidden="false" customHeight="true" outlineLevel="0" collapsed="false">
      <c r="A5394" s="8"/>
      <c r="B5394" s="8"/>
      <c r="C5394" s="8"/>
      <c r="D5394" s="8"/>
      <c r="E5394" s="8"/>
      <c r="F5394" s="8"/>
      <c r="G5394" s="10" t="str">
        <f aca="false">IF($A5394="","",UPPER(SUBSTITUTE(SUBSTITUTE(SUBSTITUTE(SUBSTITUTE($A5394," ",""),"(주)",""),"주식회사",""),"㈜","")))</f>
        <v/>
      </c>
      <c r="H5394" s="10" t="str">
        <f aca="false">IF($B5394="","",SUBSTITUTE(SUBSTITUTE(SUBSTITUTE($B5394,"-","")," ",""),".",""))</f>
        <v/>
      </c>
      <c r="I5394" s="10" t="str">
        <f aca="false">IF($D5394="","",SUBSTITUTE(SUBSTITUTE(SUBSTITUTE($D5394,"-","")," ",""),".",""))</f>
        <v/>
      </c>
      <c r="J5394" s="10" t="str">
        <f aca="false">IF($E5394="","",UPPER(SUBSTITUTE($E5394," ","")))</f>
        <v/>
      </c>
      <c r="K5394" s="10" t="str">
        <f aca="false">IF($A5394="","",$G5394&amp;"|"&amp;$J5394)</f>
        <v/>
      </c>
      <c r="L5394" s="10" t="str">
        <f aca="false">IF($A5394="","",ROW()-2)</f>
        <v/>
      </c>
      <c r="M5394" s="10" t="str">
        <f aca="false">IF($A5394="","",ROW())</f>
        <v/>
      </c>
    </row>
    <row r="5395" customFormat="false" ht="15" hidden="false" customHeight="true" outlineLevel="0" collapsed="false">
      <c r="A5395" s="8"/>
      <c r="B5395" s="8"/>
      <c r="C5395" s="8"/>
      <c r="D5395" s="8"/>
      <c r="E5395" s="8"/>
      <c r="F5395" s="8"/>
      <c r="G5395" s="10" t="str">
        <f aca="false">IF($A5395="","",UPPER(SUBSTITUTE(SUBSTITUTE(SUBSTITUTE(SUBSTITUTE($A5395," ",""),"(주)",""),"주식회사",""),"㈜","")))</f>
        <v/>
      </c>
      <c r="H5395" s="10" t="str">
        <f aca="false">IF($B5395="","",SUBSTITUTE(SUBSTITUTE(SUBSTITUTE($B5395,"-","")," ",""),".",""))</f>
        <v/>
      </c>
      <c r="I5395" s="10" t="str">
        <f aca="false">IF($D5395="","",SUBSTITUTE(SUBSTITUTE(SUBSTITUTE($D5395,"-","")," ",""),".",""))</f>
        <v/>
      </c>
      <c r="J5395" s="10" t="str">
        <f aca="false">IF($E5395="","",UPPER(SUBSTITUTE($E5395," ","")))</f>
        <v/>
      </c>
      <c r="K5395" s="10" t="str">
        <f aca="false">IF($A5395="","",$G5395&amp;"|"&amp;$J5395)</f>
        <v/>
      </c>
      <c r="L5395" s="10" t="str">
        <f aca="false">IF($A5395="","",ROW()-2)</f>
        <v/>
      </c>
      <c r="M5395" s="10" t="str">
        <f aca="false">IF($A5395="","",ROW())</f>
        <v/>
      </c>
    </row>
    <row r="5396" customFormat="false" ht="15" hidden="false" customHeight="true" outlineLevel="0" collapsed="false">
      <c r="A5396" s="8"/>
      <c r="B5396" s="8"/>
      <c r="C5396" s="8"/>
      <c r="D5396" s="8"/>
      <c r="E5396" s="8"/>
      <c r="F5396" s="8"/>
      <c r="G5396" s="10" t="str">
        <f aca="false">IF($A5396="","",UPPER(SUBSTITUTE(SUBSTITUTE(SUBSTITUTE(SUBSTITUTE($A5396," ",""),"(주)",""),"주식회사",""),"㈜","")))</f>
        <v/>
      </c>
      <c r="H5396" s="10" t="str">
        <f aca="false">IF($B5396="","",SUBSTITUTE(SUBSTITUTE(SUBSTITUTE($B5396,"-","")," ",""),".",""))</f>
        <v/>
      </c>
      <c r="I5396" s="10" t="str">
        <f aca="false">IF($D5396="","",SUBSTITUTE(SUBSTITUTE(SUBSTITUTE($D5396,"-","")," ",""),".",""))</f>
        <v/>
      </c>
      <c r="J5396" s="10" t="str">
        <f aca="false">IF($E5396="","",UPPER(SUBSTITUTE($E5396," ","")))</f>
        <v/>
      </c>
      <c r="K5396" s="10" t="str">
        <f aca="false">IF($A5396="","",$G5396&amp;"|"&amp;$J5396)</f>
        <v/>
      </c>
      <c r="L5396" s="10" t="str">
        <f aca="false">IF($A5396="","",ROW()-2)</f>
        <v/>
      </c>
      <c r="M5396" s="10" t="str">
        <f aca="false">IF($A5396="","",ROW())</f>
        <v/>
      </c>
    </row>
    <row r="5397" customFormat="false" ht="15" hidden="false" customHeight="true" outlineLevel="0" collapsed="false">
      <c r="A5397" s="8"/>
      <c r="B5397" s="8"/>
      <c r="C5397" s="8"/>
      <c r="D5397" s="8"/>
      <c r="E5397" s="8"/>
      <c r="F5397" s="8"/>
      <c r="G5397" s="10" t="str">
        <f aca="false">IF($A5397="","",UPPER(SUBSTITUTE(SUBSTITUTE(SUBSTITUTE(SUBSTITUTE($A5397," ",""),"(주)",""),"주식회사",""),"㈜","")))</f>
        <v/>
      </c>
      <c r="H5397" s="10" t="str">
        <f aca="false">IF($B5397="","",SUBSTITUTE(SUBSTITUTE(SUBSTITUTE($B5397,"-","")," ",""),".",""))</f>
        <v/>
      </c>
      <c r="I5397" s="10" t="str">
        <f aca="false">IF($D5397="","",SUBSTITUTE(SUBSTITUTE(SUBSTITUTE($D5397,"-","")," ",""),".",""))</f>
        <v/>
      </c>
      <c r="J5397" s="10" t="str">
        <f aca="false">IF($E5397="","",UPPER(SUBSTITUTE($E5397," ","")))</f>
        <v/>
      </c>
      <c r="K5397" s="10" t="str">
        <f aca="false">IF($A5397="","",$G5397&amp;"|"&amp;$J5397)</f>
        <v/>
      </c>
      <c r="L5397" s="10" t="str">
        <f aca="false">IF($A5397="","",ROW()-2)</f>
        <v/>
      </c>
      <c r="M5397" s="10" t="str">
        <f aca="false">IF($A5397="","",ROW())</f>
        <v/>
      </c>
    </row>
    <row r="5398" customFormat="false" ht="15" hidden="false" customHeight="true" outlineLevel="0" collapsed="false">
      <c r="A5398" s="8"/>
      <c r="B5398" s="8"/>
      <c r="C5398" s="8"/>
      <c r="D5398" s="8"/>
      <c r="E5398" s="8"/>
      <c r="F5398" s="8"/>
      <c r="G5398" s="10" t="str">
        <f aca="false">IF($A5398="","",UPPER(SUBSTITUTE(SUBSTITUTE(SUBSTITUTE(SUBSTITUTE($A5398," ",""),"(주)",""),"주식회사",""),"㈜","")))</f>
        <v/>
      </c>
      <c r="H5398" s="10" t="str">
        <f aca="false">IF($B5398="","",SUBSTITUTE(SUBSTITUTE(SUBSTITUTE($B5398,"-","")," ",""),".",""))</f>
        <v/>
      </c>
      <c r="I5398" s="10" t="str">
        <f aca="false">IF($D5398="","",SUBSTITUTE(SUBSTITUTE(SUBSTITUTE($D5398,"-","")," ",""),".",""))</f>
        <v/>
      </c>
      <c r="J5398" s="10" t="str">
        <f aca="false">IF($E5398="","",UPPER(SUBSTITUTE($E5398," ","")))</f>
        <v/>
      </c>
      <c r="K5398" s="10" t="str">
        <f aca="false">IF($A5398="","",$G5398&amp;"|"&amp;$J5398)</f>
        <v/>
      </c>
      <c r="L5398" s="10" t="str">
        <f aca="false">IF($A5398="","",ROW()-2)</f>
        <v/>
      </c>
      <c r="M5398" s="10" t="str">
        <f aca="false">IF($A5398="","",ROW())</f>
        <v/>
      </c>
    </row>
    <row r="5399" customFormat="false" ht="15" hidden="false" customHeight="true" outlineLevel="0" collapsed="false">
      <c r="A5399" s="8"/>
      <c r="B5399" s="8"/>
      <c r="C5399" s="8"/>
      <c r="D5399" s="8"/>
      <c r="E5399" s="8"/>
      <c r="F5399" s="8"/>
      <c r="G5399" s="10" t="str">
        <f aca="false">IF($A5399="","",UPPER(SUBSTITUTE(SUBSTITUTE(SUBSTITUTE(SUBSTITUTE($A5399," ",""),"(주)",""),"주식회사",""),"㈜","")))</f>
        <v/>
      </c>
      <c r="H5399" s="10" t="str">
        <f aca="false">IF($B5399="","",SUBSTITUTE(SUBSTITUTE(SUBSTITUTE($B5399,"-","")," ",""),".",""))</f>
        <v/>
      </c>
      <c r="I5399" s="10" t="str">
        <f aca="false">IF($D5399="","",SUBSTITUTE(SUBSTITUTE(SUBSTITUTE($D5399,"-","")," ",""),".",""))</f>
        <v/>
      </c>
      <c r="J5399" s="10" t="str">
        <f aca="false">IF($E5399="","",UPPER(SUBSTITUTE($E5399," ","")))</f>
        <v/>
      </c>
      <c r="K5399" s="10" t="str">
        <f aca="false">IF($A5399="","",$G5399&amp;"|"&amp;$J5399)</f>
        <v/>
      </c>
      <c r="L5399" s="10" t="str">
        <f aca="false">IF($A5399="","",ROW()-2)</f>
        <v/>
      </c>
      <c r="M5399" s="10" t="str">
        <f aca="false">IF($A5399="","",ROW())</f>
        <v/>
      </c>
    </row>
    <row r="5400" customFormat="false" ht="15" hidden="false" customHeight="true" outlineLevel="0" collapsed="false">
      <c r="A5400" s="8"/>
      <c r="B5400" s="8"/>
      <c r="C5400" s="8"/>
      <c r="D5400" s="8"/>
      <c r="E5400" s="8"/>
      <c r="F5400" s="8"/>
      <c r="G5400" s="10" t="str">
        <f aca="false">IF($A5400="","",UPPER(SUBSTITUTE(SUBSTITUTE(SUBSTITUTE(SUBSTITUTE($A5400," ",""),"(주)",""),"주식회사",""),"㈜","")))</f>
        <v/>
      </c>
      <c r="H5400" s="10" t="str">
        <f aca="false">IF($B5400="","",SUBSTITUTE(SUBSTITUTE(SUBSTITUTE($B5400,"-","")," ",""),".",""))</f>
        <v/>
      </c>
      <c r="I5400" s="10" t="str">
        <f aca="false">IF($D5400="","",SUBSTITUTE(SUBSTITUTE(SUBSTITUTE($D5400,"-","")," ",""),".",""))</f>
        <v/>
      </c>
      <c r="J5400" s="10" t="str">
        <f aca="false">IF($E5400="","",UPPER(SUBSTITUTE($E5400," ","")))</f>
        <v/>
      </c>
      <c r="K5400" s="10" t="str">
        <f aca="false">IF($A5400="","",$G5400&amp;"|"&amp;$J5400)</f>
        <v/>
      </c>
      <c r="L5400" s="10" t="str">
        <f aca="false">IF($A5400="","",ROW()-2)</f>
        <v/>
      </c>
      <c r="M5400" s="10" t="str">
        <f aca="false">IF($A5400="","",ROW())</f>
        <v/>
      </c>
    </row>
    <row r="5401" customFormat="false" ht="15" hidden="false" customHeight="true" outlineLevel="0" collapsed="false">
      <c r="A5401" s="8"/>
      <c r="B5401" s="8"/>
      <c r="C5401" s="8"/>
      <c r="D5401" s="8"/>
      <c r="E5401" s="8"/>
      <c r="F5401" s="8"/>
      <c r="G5401" s="10" t="str">
        <f aca="false">IF($A5401="","",UPPER(SUBSTITUTE(SUBSTITUTE(SUBSTITUTE(SUBSTITUTE($A5401," ",""),"(주)",""),"주식회사",""),"㈜","")))</f>
        <v/>
      </c>
      <c r="H5401" s="10" t="str">
        <f aca="false">IF($B5401="","",SUBSTITUTE(SUBSTITUTE(SUBSTITUTE($B5401,"-","")," ",""),".",""))</f>
        <v/>
      </c>
      <c r="I5401" s="10" t="str">
        <f aca="false">IF($D5401="","",SUBSTITUTE(SUBSTITUTE(SUBSTITUTE($D5401,"-","")," ",""),".",""))</f>
        <v/>
      </c>
      <c r="J5401" s="10" t="str">
        <f aca="false">IF($E5401="","",UPPER(SUBSTITUTE($E5401," ","")))</f>
        <v/>
      </c>
      <c r="K5401" s="10" t="str">
        <f aca="false">IF($A5401="","",$G5401&amp;"|"&amp;$J5401)</f>
        <v/>
      </c>
      <c r="L5401" s="10" t="str">
        <f aca="false">IF($A5401="","",ROW()-2)</f>
        <v/>
      </c>
      <c r="M5401" s="10" t="str">
        <f aca="false">IF($A5401="","",ROW())</f>
        <v/>
      </c>
    </row>
    <row r="5402" customFormat="false" ht="15" hidden="false" customHeight="true" outlineLevel="0" collapsed="false">
      <c r="A5402" s="8"/>
      <c r="B5402" s="8"/>
      <c r="C5402" s="8"/>
      <c r="D5402" s="8"/>
      <c r="E5402" s="8"/>
      <c r="F5402" s="8"/>
      <c r="G5402" s="10" t="str">
        <f aca="false">IF($A5402="","",UPPER(SUBSTITUTE(SUBSTITUTE(SUBSTITUTE(SUBSTITUTE($A5402," ",""),"(주)",""),"주식회사",""),"㈜","")))</f>
        <v/>
      </c>
      <c r="H5402" s="10" t="str">
        <f aca="false">IF($B5402="","",SUBSTITUTE(SUBSTITUTE(SUBSTITUTE($B5402,"-","")," ",""),".",""))</f>
        <v/>
      </c>
      <c r="I5402" s="10" t="str">
        <f aca="false">IF($D5402="","",SUBSTITUTE(SUBSTITUTE(SUBSTITUTE($D5402,"-","")," ",""),".",""))</f>
        <v/>
      </c>
      <c r="J5402" s="10" t="str">
        <f aca="false">IF($E5402="","",UPPER(SUBSTITUTE($E5402," ","")))</f>
        <v/>
      </c>
      <c r="K5402" s="10" t="str">
        <f aca="false">IF($A5402="","",$G5402&amp;"|"&amp;$J5402)</f>
        <v/>
      </c>
      <c r="L5402" s="10" t="str">
        <f aca="false">IF($A5402="","",ROW()-2)</f>
        <v/>
      </c>
      <c r="M5402" s="10" t="str">
        <f aca="false">IF($A5402="","",ROW())</f>
        <v/>
      </c>
    </row>
    <row r="5403" customFormat="false" ht="15" hidden="false" customHeight="true" outlineLevel="0" collapsed="false">
      <c r="A5403" s="8"/>
      <c r="B5403" s="8"/>
      <c r="C5403" s="8"/>
      <c r="D5403" s="8"/>
      <c r="E5403" s="8"/>
      <c r="F5403" s="8"/>
      <c r="G5403" s="10" t="str">
        <f aca="false">IF($A5403="","",UPPER(SUBSTITUTE(SUBSTITUTE(SUBSTITUTE(SUBSTITUTE($A5403," ",""),"(주)",""),"주식회사",""),"㈜","")))</f>
        <v/>
      </c>
      <c r="H5403" s="10" t="str">
        <f aca="false">IF($B5403="","",SUBSTITUTE(SUBSTITUTE(SUBSTITUTE($B5403,"-","")," ",""),".",""))</f>
        <v/>
      </c>
      <c r="I5403" s="10" t="str">
        <f aca="false">IF($D5403="","",SUBSTITUTE(SUBSTITUTE(SUBSTITUTE($D5403,"-","")," ",""),".",""))</f>
        <v/>
      </c>
      <c r="J5403" s="10" t="str">
        <f aca="false">IF($E5403="","",UPPER(SUBSTITUTE($E5403," ","")))</f>
        <v/>
      </c>
      <c r="K5403" s="10" t="str">
        <f aca="false">IF($A5403="","",$G5403&amp;"|"&amp;$J5403)</f>
        <v/>
      </c>
      <c r="L5403" s="10" t="str">
        <f aca="false">IF($A5403="","",ROW()-2)</f>
        <v/>
      </c>
      <c r="M5403" s="10" t="str">
        <f aca="false">IF($A5403="","",ROW())</f>
        <v/>
      </c>
    </row>
    <row r="5404" customFormat="false" ht="15" hidden="false" customHeight="true" outlineLevel="0" collapsed="false">
      <c r="A5404" s="8"/>
      <c r="B5404" s="8"/>
      <c r="C5404" s="8"/>
      <c r="D5404" s="8"/>
      <c r="E5404" s="8"/>
      <c r="F5404" s="8"/>
      <c r="G5404" s="10" t="str">
        <f aca="false">IF($A5404="","",UPPER(SUBSTITUTE(SUBSTITUTE(SUBSTITUTE(SUBSTITUTE($A5404," ",""),"(주)",""),"주식회사",""),"㈜","")))</f>
        <v/>
      </c>
      <c r="H5404" s="10" t="str">
        <f aca="false">IF($B5404="","",SUBSTITUTE(SUBSTITUTE(SUBSTITUTE($B5404,"-","")," ",""),".",""))</f>
        <v/>
      </c>
      <c r="I5404" s="10" t="str">
        <f aca="false">IF($D5404="","",SUBSTITUTE(SUBSTITUTE(SUBSTITUTE($D5404,"-","")," ",""),".",""))</f>
        <v/>
      </c>
      <c r="J5404" s="10" t="str">
        <f aca="false">IF($E5404="","",UPPER(SUBSTITUTE($E5404," ","")))</f>
        <v/>
      </c>
      <c r="K5404" s="10" t="str">
        <f aca="false">IF($A5404="","",$G5404&amp;"|"&amp;$J5404)</f>
        <v/>
      </c>
      <c r="L5404" s="10" t="str">
        <f aca="false">IF($A5404="","",ROW()-2)</f>
        <v/>
      </c>
      <c r="M5404" s="10" t="str">
        <f aca="false">IF($A5404="","",ROW())</f>
        <v/>
      </c>
    </row>
    <row r="5405" customFormat="false" ht="15" hidden="false" customHeight="true" outlineLevel="0" collapsed="false">
      <c r="A5405" s="8"/>
      <c r="B5405" s="8"/>
      <c r="C5405" s="8"/>
      <c r="D5405" s="8"/>
      <c r="E5405" s="8"/>
      <c r="F5405" s="8"/>
      <c r="G5405" s="10" t="str">
        <f aca="false">IF($A5405="","",UPPER(SUBSTITUTE(SUBSTITUTE(SUBSTITUTE(SUBSTITUTE($A5405," ",""),"(주)",""),"주식회사",""),"㈜","")))</f>
        <v/>
      </c>
      <c r="H5405" s="10" t="str">
        <f aca="false">IF($B5405="","",SUBSTITUTE(SUBSTITUTE(SUBSTITUTE($B5405,"-","")," ",""),".",""))</f>
        <v/>
      </c>
      <c r="I5405" s="10" t="str">
        <f aca="false">IF($D5405="","",SUBSTITUTE(SUBSTITUTE(SUBSTITUTE($D5405,"-","")," ",""),".",""))</f>
        <v/>
      </c>
      <c r="J5405" s="10" t="str">
        <f aca="false">IF($E5405="","",UPPER(SUBSTITUTE($E5405," ","")))</f>
        <v/>
      </c>
      <c r="K5405" s="10" t="str">
        <f aca="false">IF($A5405="","",$G5405&amp;"|"&amp;$J5405)</f>
        <v/>
      </c>
      <c r="L5405" s="10" t="str">
        <f aca="false">IF($A5405="","",ROW()-2)</f>
        <v/>
      </c>
      <c r="M5405" s="10" t="str">
        <f aca="false">IF($A5405="","",ROW())</f>
        <v/>
      </c>
    </row>
    <row r="5406" customFormat="false" ht="15" hidden="false" customHeight="true" outlineLevel="0" collapsed="false">
      <c r="A5406" s="8"/>
      <c r="B5406" s="8"/>
      <c r="C5406" s="8"/>
      <c r="D5406" s="8"/>
      <c r="E5406" s="8"/>
      <c r="F5406" s="8"/>
      <c r="G5406" s="10" t="str">
        <f aca="false">IF($A5406="","",UPPER(SUBSTITUTE(SUBSTITUTE(SUBSTITUTE(SUBSTITUTE($A5406," ",""),"(주)",""),"주식회사",""),"㈜","")))</f>
        <v/>
      </c>
      <c r="H5406" s="10" t="str">
        <f aca="false">IF($B5406="","",SUBSTITUTE(SUBSTITUTE(SUBSTITUTE($B5406,"-","")," ",""),".",""))</f>
        <v/>
      </c>
      <c r="I5406" s="10" t="str">
        <f aca="false">IF($D5406="","",SUBSTITUTE(SUBSTITUTE(SUBSTITUTE($D5406,"-","")," ",""),".",""))</f>
        <v/>
      </c>
      <c r="J5406" s="10" t="str">
        <f aca="false">IF($E5406="","",UPPER(SUBSTITUTE($E5406," ","")))</f>
        <v/>
      </c>
      <c r="K5406" s="10" t="str">
        <f aca="false">IF($A5406="","",$G5406&amp;"|"&amp;$J5406)</f>
        <v/>
      </c>
      <c r="L5406" s="10" t="str">
        <f aca="false">IF($A5406="","",ROW()-2)</f>
        <v/>
      </c>
      <c r="M5406" s="10" t="str">
        <f aca="false">IF($A5406="","",ROW())</f>
        <v/>
      </c>
    </row>
    <row r="5407" customFormat="false" ht="15" hidden="false" customHeight="true" outlineLevel="0" collapsed="false">
      <c r="A5407" s="8"/>
      <c r="B5407" s="8"/>
      <c r="C5407" s="8"/>
      <c r="D5407" s="8"/>
      <c r="E5407" s="8"/>
      <c r="F5407" s="8"/>
      <c r="G5407" s="10" t="str">
        <f aca="false">IF($A5407="","",UPPER(SUBSTITUTE(SUBSTITUTE(SUBSTITUTE(SUBSTITUTE($A5407," ",""),"(주)",""),"주식회사",""),"㈜","")))</f>
        <v/>
      </c>
      <c r="H5407" s="10" t="str">
        <f aca="false">IF($B5407="","",SUBSTITUTE(SUBSTITUTE(SUBSTITUTE($B5407,"-","")," ",""),".",""))</f>
        <v/>
      </c>
      <c r="I5407" s="10" t="str">
        <f aca="false">IF($D5407="","",SUBSTITUTE(SUBSTITUTE(SUBSTITUTE($D5407,"-","")," ",""),".",""))</f>
        <v/>
      </c>
      <c r="J5407" s="10" t="str">
        <f aca="false">IF($E5407="","",UPPER(SUBSTITUTE($E5407," ","")))</f>
        <v/>
      </c>
      <c r="K5407" s="10" t="str">
        <f aca="false">IF($A5407="","",$G5407&amp;"|"&amp;$J5407)</f>
        <v/>
      </c>
      <c r="L5407" s="10" t="str">
        <f aca="false">IF($A5407="","",ROW()-2)</f>
        <v/>
      </c>
      <c r="M5407" s="10" t="str">
        <f aca="false">IF($A5407="","",ROW())</f>
        <v/>
      </c>
    </row>
    <row r="5408" customFormat="false" ht="15" hidden="false" customHeight="true" outlineLevel="0" collapsed="false">
      <c r="A5408" s="8"/>
      <c r="B5408" s="8"/>
      <c r="C5408" s="8"/>
      <c r="D5408" s="8"/>
      <c r="E5408" s="8"/>
      <c r="F5408" s="8"/>
      <c r="G5408" s="10" t="str">
        <f aca="false">IF($A5408="","",UPPER(SUBSTITUTE(SUBSTITUTE(SUBSTITUTE(SUBSTITUTE($A5408," ",""),"(주)",""),"주식회사",""),"㈜","")))</f>
        <v/>
      </c>
      <c r="H5408" s="10" t="str">
        <f aca="false">IF($B5408="","",SUBSTITUTE(SUBSTITUTE(SUBSTITUTE($B5408,"-","")," ",""),".",""))</f>
        <v/>
      </c>
      <c r="I5408" s="10" t="str">
        <f aca="false">IF($D5408="","",SUBSTITUTE(SUBSTITUTE(SUBSTITUTE($D5408,"-","")," ",""),".",""))</f>
        <v/>
      </c>
      <c r="J5408" s="10" t="str">
        <f aca="false">IF($E5408="","",UPPER(SUBSTITUTE($E5408," ","")))</f>
        <v/>
      </c>
      <c r="K5408" s="10" t="str">
        <f aca="false">IF($A5408="","",$G5408&amp;"|"&amp;$J5408)</f>
        <v/>
      </c>
      <c r="L5408" s="10" t="str">
        <f aca="false">IF($A5408="","",ROW()-2)</f>
        <v/>
      </c>
      <c r="M5408" s="10" t="str">
        <f aca="false">IF($A5408="","",ROW())</f>
        <v/>
      </c>
    </row>
    <row r="5409" customFormat="false" ht="15" hidden="false" customHeight="true" outlineLevel="0" collapsed="false">
      <c r="A5409" s="8"/>
      <c r="B5409" s="8"/>
      <c r="C5409" s="8"/>
      <c r="D5409" s="8"/>
      <c r="E5409" s="8"/>
      <c r="F5409" s="8"/>
      <c r="G5409" s="10" t="str">
        <f aca="false">IF($A5409="","",UPPER(SUBSTITUTE(SUBSTITUTE(SUBSTITUTE(SUBSTITUTE($A5409," ",""),"(주)",""),"주식회사",""),"㈜","")))</f>
        <v/>
      </c>
      <c r="H5409" s="10" t="str">
        <f aca="false">IF($B5409="","",SUBSTITUTE(SUBSTITUTE(SUBSTITUTE($B5409,"-","")," ",""),".",""))</f>
        <v/>
      </c>
      <c r="I5409" s="10" t="str">
        <f aca="false">IF($D5409="","",SUBSTITUTE(SUBSTITUTE(SUBSTITUTE($D5409,"-","")," ",""),".",""))</f>
        <v/>
      </c>
      <c r="J5409" s="10" t="str">
        <f aca="false">IF($E5409="","",UPPER(SUBSTITUTE($E5409," ","")))</f>
        <v/>
      </c>
      <c r="K5409" s="10" t="str">
        <f aca="false">IF($A5409="","",$G5409&amp;"|"&amp;$J5409)</f>
        <v/>
      </c>
      <c r="L5409" s="10" t="str">
        <f aca="false">IF($A5409="","",ROW()-2)</f>
        <v/>
      </c>
      <c r="M5409" s="10" t="str">
        <f aca="false">IF($A5409="","",ROW())</f>
        <v/>
      </c>
    </row>
    <row r="5410" customFormat="false" ht="15" hidden="false" customHeight="true" outlineLevel="0" collapsed="false">
      <c r="A5410" s="8"/>
      <c r="B5410" s="8"/>
      <c r="C5410" s="8"/>
      <c r="D5410" s="8"/>
      <c r="E5410" s="8"/>
      <c r="F5410" s="8"/>
      <c r="G5410" s="10" t="str">
        <f aca="false">IF($A5410="","",UPPER(SUBSTITUTE(SUBSTITUTE(SUBSTITUTE(SUBSTITUTE($A5410," ",""),"(주)",""),"주식회사",""),"㈜","")))</f>
        <v/>
      </c>
      <c r="H5410" s="10" t="str">
        <f aca="false">IF($B5410="","",SUBSTITUTE(SUBSTITUTE(SUBSTITUTE($B5410,"-","")," ",""),".",""))</f>
        <v/>
      </c>
      <c r="I5410" s="10" t="str">
        <f aca="false">IF($D5410="","",SUBSTITUTE(SUBSTITUTE(SUBSTITUTE($D5410,"-","")," ",""),".",""))</f>
        <v/>
      </c>
      <c r="J5410" s="10" t="str">
        <f aca="false">IF($E5410="","",UPPER(SUBSTITUTE($E5410," ","")))</f>
        <v/>
      </c>
      <c r="K5410" s="10" t="str">
        <f aca="false">IF($A5410="","",$G5410&amp;"|"&amp;$J5410)</f>
        <v/>
      </c>
      <c r="L5410" s="10" t="str">
        <f aca="false">IF($A5410="","",ROW()-2)</f>
        <v/>
      </c>
      <c r="M5410" s="10" t="str">
        <f aca="false">IF($A5410="","",ROW())</f>
        <v/>
      </c>
    </row>
    <row r="5411" customFormat="false" ht="15" hidden="false" customHeight="true" outlineLevel="0" collapsed="false">
      <c r="A5411" s="8"/>
      <c r="B5411" s="8"/>
      <c r="C5411" s="8"/>
      <c r="D5411" s="8"/>
      <c r="E5411" s="8"/>
      <c r="F5411" s="8"/>
      <c r="G5411" s="10" t="str">
        <f aca="false">IF($A5411="","",UPPER(SUBSTITUTE(SUBSTITUTE(SUBSTITUTE(SUBSTITUTE($A5411," ",""),"(주)",""),"주식회사",""),"㈜","")))</f>
        <v/>
      </c>
      <c r="H5411" s="10" t="str">
        <f aca="false">IF($B5411="","",SUBSTITUTE(SUBSTITUTE(SUBSTITUTE($B5411,"-","")," ",""),".",""))</f>
        <v/>
      </c>
      <c r="I5411" s="10" t="str">
        <f aca="false">IF($D5411="","",SUBSTITUTE(SUBSTITUTE(SUBSTITUTE($D5411,"-","")," ",""),".",""))</f>
        <v/>
      </c>
      <c r="J5411" s="10" t="str">
        <f aca="false">IF($E5411="","",UPPER(SUBSTITUTE($E5411," ","")))</f>
        <v/>
      </c>
      <c r="K5411" s="10" t="str">
        <f aca="false">IF($A5411="","",$G5411&amp;"|"&amp;$J5411)</f>
        <v/>
      </c>
      <c r="L5411" s="10" t="str">
        <f aca="false">IF($A5411="","",ROW()-2)</f>
        <v/>
      </c>
      <c r="M5411" s="10" t="str">
        <f aca="false">IF($A5411="","",ROW())</f>
        <v/>
      </c>
    </row>
    <row r="5412" customFormat="false" ht="15" hidden="false" customHeight="true" outlineLevel="0" collapsed="false">
      <c r="A5412" s="8"/>
      <c r="B5412" s="8"/>
      <c r="C5412" s="8"/>
      <c r="D5412" s="8"/>
      <c r="E5412" s="8"/>
      <c r="F5412" s="8"/>
      <c r="G5412" s="10" t="str">
        <f aca="false">IF($A5412="","",UPPER(SUBSTITUTE(SUBSTITUTE(SUBSTITUTE(SUBSTITUTE($A5412," ",""),"(주)",""),"주식회사",""),"㈜","")))</f>
        <v/>
      </c>
      <c r="H5412" s="10" t="str">
        <f aca="false">IF($B5412="","",SUBSTITUTE(SUBSTITUTE(SUBSTITUTE($B5412,"-","")," ",""),".",""))</f>
        <v/>
      </c>
      <c r="I5412" s="10" t="str">
        <f aca="false">IF($D5412="","",SUBSTITUTE(SUBSTITUTE(SUBSTITUTE($D5412,"-","")," ",""),".",""))</f>
        <v/>
      </c>
      <c r="J5412" s="10" t="str">
        <f aca="false">IF($E5412="","",UPPER(SUBSTITUTE($E5412," ","")))</f>
        <v/>
      </c>
      <c r="K5412" s="10" t="str">
        <f aca="false">IF($A5412="","",$G5412&amp;"|"&amp;$J5412)</f>
        <v/>
      </c>
      <c r="L5412" s="10" t="str">
        <f aca="false">IF($A5412="","",ROW()-2)</f>
        <v/>
      </c>
      <c r="M5412" s="10" t="str">
        <f aca="false">IF($A5412="","",ROW())</f>
        <v/>
      </c>
    </row>
    <row r="5413" customFormat="false" ht="15" hidden="false" customHeight="true" outlineLevel="0" collapsed="false">
      <c r="A5413" s="8"/>
      <c r="B5413" s="8"/>
      <c r="C5413" s="8"/>
      <c r="D5413" s="8"/>
      <c r="E5413" s="8"/>
      <c r="F5413" s="8"/>
      <c r="G5413" s="10" t="str">
        <f aca="false">IF($A5413="","",UPPER(SUBSTITUTE(SUBSTITUTE(SUBSTITUTE(SUBSTITUTE($A5413," ",""),"(주)",""),"주식회사",""),"㈜","")))</f>
        <v/>
      </c>
      <c r="H5413" s="10" t="str">
        <f aca="false">IF($B5413="","",SUBSTITUTE(SUBSTITUTE(SUBSTITUTE($B5413,"-","")," ",""),".",""))</f>
        <v/>
      </c>
      <c r="I5413" s="10" t="str">
        <f aca="false">IF($D5413="","",SUBSTITUTE(SUBSTITUTE(SUBSTITUTE($D5413,"-","")," ",""),".",""))</f>
        <v/>
      </c>
      <c r="J5413" s="10" t="str">
        <f aca="false">IF($E5413="","",UPPER(SUBSTITUTE($E5413," ","")))</f>
        <v/>
      </c>
      <c r="K5413" s="10" t="str">
        <f aca="false">IF($A5413="","",$G5413&amp;"|"&amp;$J5413)</f>
        <v/>
      </c>
      <c r="L5413" s="10" t="str">
        <f aca="false">IF($A5413="","",ROW()-2)</f>
        <v/>
      </c>
      <c r="M5413" s="10" t="str">
        <f aca="false">IF($A5413="","",ROW())</f>
        <v/>
      </c>
    </row>
    <row r="5414" customFormat="false" ht="15" hidden="false" customHeight="true" outlineLevel="0" collapsed="false">
      <c r="A5414" s="8"/>
      <c r="B5414" s="8"/>
      <c r="C5414" s="8"/>
      <c r="D5414" s="8"/>
      <c r="E5414" s="8"/>
      <c r="F5414" s="8"/>
      <c r="G5414" s="10" t="str">
        <f aca="false">IF($A5414="","",UPPER(SUBSTITUTE(SUBSTITUTE(SUBSTITUTE(SUBSTITUTE($A5414," ",""),"(주)",""),"주식회사",""),"㈜","")))</f>
        <v/>
      </c>
      <c r="H5414" s="10" t="str">
        <f aca="false">IF($B5414="","",SUBSTITUTE(SUBSTITUTE(SUBSTITUTE($B5414,"-","")," ",""),".",""))</f>
        <v/>
      </c>
      <c r="I5414" s="10" t="str">
        <f aca="false">IF($D5414="","",SUBSTITUTE(SUBSTITUTE(SUBSTITUTE($D5414,"-","")," ",""),".",""))</f>
        <v/>
      </c>
      <c r="J5414" s="10" t="str">
        <f aca="false">IF($E5414="","",UPPER(SUBSTITUTE($E5414," ","")))</f>
        <v/>
      </c>
      <c r="K5414" s="10" t="str">
        <f aca="false">IF($A5414="","",$G5414&amp;"|"&amp;$J5414)</f>
        <v/>
      </c>
      <c r="L5414" s="10" t="str">
        <f aca="false">IF($A5414="","",ROW()-2)</f>
        <v/>
      </c>
      <c r="M5414" s="10" t="str">
        <f aca="false">IF($A5414="","",ROW())</f>
        <v/>
      </c>
    </row>
    <row r="5415" customFormat="false" ht="15" hidden="false" customHeight="true" outlineLevel="0" collapsed="false">
      <c r="A5415" s="8"/>
      <c r="B5415" s="8"/>
      <c r="C5415" s="8"/>
      <c r="D5415" s="8"/>
      <c r="E5415" s="8"/>
      <c r="F5415" s="8"/>
      <c r="G5415" s="10" t="str">
        <f aca="false">IF($A5415="","",UPPER(SUBSTITUTE(SUBSTITUTE(SUBSTITUTE(SUBSTITUTE($A5415," ",""),"(주)",""),"주식회사",""),"㈜","")))</f>
        <v/>
      </c>
      <c r="H5415" s="10" t="str">
        <f aca="false">IF($B5415="","",SUBSTITUTE(SUBSTITUTE(SUBSTITUTE($B5415,"-","")," ",""),".",""))</f>
        <v/>
      </c>
      <c r="I5415" s="10" t="str">
        <f aca="false">IF($D5415="","",SUBSTITUTE(SUBSTITUTE(SUBSTITUTE($D5415,"-","")," ",""),".",""))</f>
        <v/>
      </c>
      <c r="J5415" s="10" t="str">
        <f aca="false">IF($E5415="","",UPPER(SUBSTITUTE($E5415," ","")))</f>
        <v/>
      </c>
      <c r="K5415" s="10" t="str">
        <f aca="false">IF($A5415="","",$G5415&amp;"|"&amp;$J5415)</f>
        <v/>
      </c>
      <c r="L5415" s="10" t="str">
        <f aca="false">IF($A5415="","",ROW()-2)</f>
        <v/>
      </c>
      <c r="M5415" s="10" t="str">
        <f aca="false">IF($A5415="","",ROW())</f>
        <v/>
      </c>
    </row>
    <row r="5416" customFormat="false" ht="15" hidden="false" customHeight="true" outlineLevel="0" collapsed="false">
      <c r="A5416" s="8"/>
      <c r="B5416" s="8"/>
      <c r="C5416" s="8"/>
      <c r="D5416" s="8"/>
      <c r="E5416" s="8"/>
      <c r="F5416" s="8"/>
      <c r="G5416" s="10" t="str">
        <f aca="false">IF($A5416="","",UPPER(SUBSTITUTE(SUBSTITUTE(SUBSTITUTE(SUBSTITUTE($A5416," ",""),"(주)",""),"주식회사",""),"㈜","")))</f>
        <v/>
      </c>
      <c r="H5416" s="10" t="str">
        <f aca="false">IF($B5416="","",SUBSTITUTE(SUBSTITUTE(SUBSTITUTE($B5416,"-","")," ",""),".",""))</f>
        <v/>
      </c>
      <c r="I5416" s="10" t="str">
        <f aca="false">IF($D5416="","",SUBSTITUTE(SUBSTITUTE(SUBSTITUTE($D5416,"-","")," ",""),".",""))</f>
        <v/>
      </c>
      <c r="J5416" s="10" t="str">
        <f aca="false">IF($E5416="","",UPPER(SUBSTITUTE($E5416," ","")))</f>
        <v/>
      </c>
      <c r="K5416" s="10" t="str">
        <f aca="false">IF($A5416="","",$G5416&amp;"|"&amp;$J5416)</f>
        <v/>
      </c>
      <c r="L5416" s="10" t="str">
        <f aca="false">IF($A5416="","",ROW()-2)</f>
        <v/>
      </c>
      <c r="M5416" s="10" t="str">
        <f aca="false">IF($A5416="","",ROW())</f>
        <v/>
      </c>
    </row>
    <row r="5417" customFormat="false" ht="15" hidden="false" customHeight="true" outlineLevel="0" collapsed="false">
      <c r="A5417" s="8"/>
      <c r="B5417" s="8"/>
      <c r="C5417" s="8"/>
      <c r="D5417" s="8"/>
      <c r="E5417" s="8"/>
      <c r="F5417" s="8"/>
      <c r="G5417" s="10" t="str">
        <f aca="false">IF($A5417="","",UPPER(SUBSTITUTE(SUBSTITUTE(SUBSTITUTE(SUBSTITUTE($A5417," ",""),"(주)",""),"주식회사",""),"㈜","")))</f>
        <v/>
      </c>
      <c r="H5417" s="10" t="str">
        <f aca="false">IF($B5417="","",SUBSTITUTE(SUBSTITUTE(SUBSTITUTE($B5417,"-","")," ",""),".",""))</f>
        <v/>
      </c>
      <c r="I5417" s="10" t="str">
        <f aca="false">IF($D5417="","",SUBSTITUTE(SUBSTITUTE(SUBSTITUTE($D5417,"-","")," ",""),".",""))</f>
        <v/>
      </c>
      <c r="J5417" s="10" t="str">
        <f aca="false">IF($E5417="","",UPPER(SUBSTITUTE($E5417," ","")))</f>
        <v/>
      </c>
      <c r="K5417" s="10" t="str">
        <f aca="false">IF($A5417="","",$G5417&amp;"|"&amp;$J5417)</f>
        <v/>
      </c>
      <c r="L5417" s="10" t="str">
        <f aca="false">IF($A5417="","",ROW()-2)</f>
        <v/>
      </c>
      <c r="M5417" s="10" t="str">
        <f aca="false">IF($A5417="","",ROW())</f>
        <v/>
      </c>
    </row>
    <row r="5418" customFormat="false" ht="15" hidden="false" customHeight="true" outlineLevel="0" collapsed="false">
      <c r="A5418" s="8"/>
      <c r="B5418" s="8"/>
      <c r="C5418" s="8"/>
      <c r="D5418" s="8"/>
      <c r="E5418" s="8"/>
      <c r="F5418" s="8"/>
      <c r="G5418" s="10" t="str">
        <f aca="false">IF($A5418="","",UPPER(SUBSTITUTE(SUBSTITUTE(SUBSTITUTE(SUBSTITUTE($A5418," ",""),"(주)",""),"주식회사",""),"㈜","")))</f>
        <v/>
      </c>
      <c r="H5418" s="10" t="str">
        <f aca="false">IF($B5418="","",SUBSTITUTE(SUBSTITUTE(SUBSTITUTE($B5418,"-","")," ",""),".",""))</f>
        <v/>
      </c>
      <c r="I5418" s="10" t="str">
        <f aca="false">IF($D5418="","",SUBSTITUTE(SUBSTITUTE(SUBSTITUTE($D5418,"-","")," ",""),".",""))</f>
        <v/>
      </c>
      <c r="J5418" s="10" t="str">
        <f aca="false">IF($E5418="","",UPPER(SUBSTITUTE($E5418," ","")))</f>
        <v/>
      </c>
      <c r="K5418" s="10" t="str">
        <f aca="false">IF($A5418="","",$G5418&amp;"|"&amp;$J5418)</f>
        <v/>
      </c>
      <c r="L5418" s="10" t="str">
        <f aca="false">IF($A5418="","",ROW()-2)</f>
        <v/>
      </c>
      <c r="M5418" s="10" t="str">
        <f aca="false">IF($A5418="","",ROW())</f>
        <v/>
      </c>
    </row>
    <row r="5419" customFormat="false" ht="15" hidden="false" customHeight="true" outlineLevel="0" collapsed="false">
      <c r="A5419" s="8"/>
      <c r="B5419" s="8"/>
      <c r="C5419" s="8"/>
      <c r="D5419" s="8"/>
      <c r="E5419" s="8"/>
      <c r="F5419" s="8"/>
      <c r="G5419" s="10" t="str">
        <f aca="false">IF($A5419="","",UPPER(SUBSTITUTE(SUBSTITUTE(SUBSTITUTE(SUBSTITUTE($A5419," ",""),"(주)",""),"주식회사",""),"㈜","")))</f>
        <v/>
      </c>
      <c r="H5419" s="10" t="str">
        <f aca="false">IF($B5419="","",SUBSTITUTE(SUBSTITUTE(SUBSTITUTE($B5419,"-","")," ",""),".",""))</f>
        <v/>
      </c>
      <c r="I5419" s="10" t="str">
        <f aca="false">IF($D5419="","",SUBSTITUTE(SUBSTITUTE(SUBSTITUTE($D5419,"-","")," ",""),".",""))</f>
        <v/>
      </c>
      <c r="J5419" s="10" t="str">
        <f aca="false">IF($E5419="","",UPPER(SUBSTITUTE($E5419," ","")))</f>
        <v/>
      </c>
      <c r="K5419" s="10" t="str">
        <f aca="false">IF($A5419="","",$G5419&amp;"|"&amp;$J5419)</f>
        <v/>
      </c>
      <c r="L5419" s="10" t="str">
        <f aca="false">IF($A5419="","",ROW()-2)</f>
        <v/>
      </c>
      <c r="M5419" s="10" t="str">
        <f aca="false">IF($A5419="","",ROW())</f>
        <v/>
      </c>
    </row>
    <row r="5420" customFormat="false" ht="15" hidden="false" customHeight="true" outlineLevel="0" collapsed="false">
      <c r="A5420" s="8"/>
      <c r="B5420" s="8"/>
      <c r="C5420" s="8"/>
      <c r="D5420" s="8"/>
      <c r="E5420" s="8"/>
      <c r="F5420" s="8"/>
      <c r="G5420" s="10" t="str">
        <f aca="false">IF($A5420="","",UPPER(SUBSTITUTE(SUBSTITUTE(SUBSTITUTE(SUBSTITUTE($A5420," ",""),"(주)",""),"주식회사",""),"㈜","")))</f>
        <v/>
      </c>
      <c r="H5420" s="10" t="str">
        <f aca="false">IF($B5420="","",SUBSTITUTE(SUBSTITUTE(SUBSTITUTE($B5420,"-","")," ",""),".",""))</f>
        <v/>
      </c>
      <c r="I5420" s="10" t="str">
        <f aca="false">IF($D5420="","",SUBSTITUTE(SUBSTITUTE(SUBSTITUTE($D5420,"-","")," ",""),".",""))</f>
        <v/>
      </c>
      <c r="J5420" s="10" t="str">
        <f aca="false">IF($E5420="","",UPPER(SUBSTITUTE($E5420," ","")))</f>
        <v/>
      </c>
      <c r="K5420" s="10" t="str">
        <f aca="false">IF($A5420="","",$G5420&amp;"|"&amp;$J5420)</f>
        <v/>
      </c>
      <c r="L5420" s="10" t="str">
        <f aca="false">IF($A5420="","",ROW()-2)</f>
        <v/>
      </c>
      <c r="M5420" s="10" t="str">
        <f aca="false">IF($A5420="","",ROW())</f>
        <v/>
      </c>
    </row>
    <row r="5421" customFormat="false" ht="15" hidden="false" customHeight="true" outlineLevel="0" collapsed="false">
      <c r="A5421" s="8"/>
      <c r="B5421" s="8"/>
      <c r="C5421" s="8"/>
      <c r="D5421" s="8"/>
      <c r="E5421" s="8"/>
      <c r="F5421" s="8"/>
      <c r="G5421" s="10" t="str">
        <f aca="false">IF($A5421="","",UPPER(SUBSTITUTE(SUBSTITUTE(SUBSTITUTE(SUBSTITUTE($A5421," ",""),"(주)",""),"주식회사",""),"㈜","")))</f>
        <v/>
      </c>
      <c r="H5421" s="10" t="str">
        <f aca="false">IF($B5421="","",SUBSTITUTE(SUBSTITUTE(SUBSTITUTE($B5421,"-","")," ",""),".",""))</f>
        <v/>
      </c>
      <c r="I5421" s="10" t="str">
        <f aca="false">IF($D5421="","",SUBSTITUTE(SUBSTITUTE(SUBSTITUTE($D5421,"-","")," ",""),".",""))</f>
        <v/>
      </c>
      <c r="J5421" s="10" t="str">
        <f aca="false">IF($E5421="","",UPPER(SUBSTITUTE($E5421," ","")))</f>
        <v/>
      </c>
      <c r="K5421" s="10" t="str">
        <f aca="false">IF($A5421="","",$G5421&amp;"|"&amp;$J5421)</f>
        <v/>
      </c>
      <c r="L5421" s="10" t="str">
        <f aca="false">IF($A5421="","",ROW()-2)</f>
        <v/>
      </c>
      <c r="M5421" s="10" t="str">
        <f aca="false">IF($A5421="","",ROW())</f>
        <v/>
      </c>
    </row>
    <row r="5422" customFormat="false" ht="15" hidden="false" customHeight="true" outlineLevel="0" collapsed="false">
      <c r="A5422" s="8"/>
      <c r="B5422" s="8"/>
      <c r="C5422" s="8"/>
      <c r="D5422" s="8"/>
      <c r="E5422" s="8"/>
      <c r="F5422" s="8"/>
      <c r="G5422" s="10" t="str">
        <f aca="false">IF($A5422="","",UPPER(SUBSTITUTE(SUBSTITUTE(SUBSTITUTE(SUBSTITUTE($A5422," ",""),"(주)",""),"주식회사",""),"㈜","")))</f>
        <v/>
      </c>
      <c r="H5422" s="10" t="str">
        <f aca="false">IF($B5422="","",SUBSTITUTE(SUBSTITUTE(SUBSTITUTE($B5422,"-","")," ",""),".",""))</f>
        <v/>
      </c>
      <c r="I5422" s="10" t="str">
        <f aca="false">IF($D5422="","",SUBSTITUTE(SUBSTITUTE(SUBSTITUTE($D5422,"-","")," ",""),".",""))</f>
        <v/>
      </c>
      <c r="J5422" s="10" t="str">
        <f aca="false">IF($E5422="","",UPPER(SUBSTITUTE($E5422," ","")))</f>
        <v/>
      </c>
      <c r="K5422" s="10" t="str">
        <f aca="false">IF($A5422="","",$G5422&amp;"|"&amp;$J5422)</f>
        <v/>
      </c>
      <c r="L5422" s="10" t="str">
        <f aca="false">IF($A5422="","",ROW()-2)</f>
        <v/>
      </c>
      <c r="M5422" s="10" t="str">
        <f aca="false">IF($A5422="","",ROW())</f>
        <v/>
      </c>
    </row>
    <row r="5423" customFormat="false" ht="15" hidden="false" customHeight="true" outlineLevel="0" collapsed="false">
      <c r="A5423" s="8"/>
      <c r="B5423" s="8"/>
      <c r="C5423" s="8"/>
      <c r="D5423" s="8"/>
      <c r="E5423" s="8"/>
      <c r="F5423" s="8"/>
      <c r="G5423" s="10" t="str">
        <f aca="false">IF($A5423="","",UPPER(SUBSTITUTE(SUBSTITUTE(SUBSTITUTE(SUBSTITUTE($A5423," ",""),"(주)",""),"주식회사",""),"㈜","")))</f>
        <v/>
      </c>
      <c r="H5423" s="10" t="str">
        <f aca="false">IF($B5423="","",SUBSTITUTE(SUBSTITUTE(SUBSTITUTE($B5423,"-","")," ",""),".",""))</f>
        <v/>
      </c>
      <c r="I5423" s="10" t="str">
        <f aca="false">IF($D5423="","",SUBSTITUTE(SUBSTITUTE(SUBSTITUTE($D5423,"-","")," ",""),".",""))</f>
        <v/>
      </c>
      <c r="J5423" s="10" t="str">
        <f aca="false">IF($E5423="","",UPPER(SUBSTITUTE($E5423," ","")))</f>
        <v/>
      </c>
      <c r="K5423" s="10" t="str">
        <f aca="false">IF($A5423="","",$G5423&amp;"|"&amp;$J5423)</f>
        <v/>
      </c>
      <c r="L5423" s="10" t="str">
        <f aca="false">IF($A5423="","",ROW()-2)</f>
        <v/>
      </c>
      <c r="M5423" s="10" t="str">
        <f aca="false">IF($A5423="","",ROW())</f>
        <v/>
      </c>
    </row>
    <row r="5424" customFormat="false" ht="15" hidden="false" customHeight="true" outlineLevel="0" collapsed="false">
      <c r="A5424" s="8"/>
      <c r="B5424" s="8"/>
      <c r="C5424" s="8"/>
      <c r="D5424" s="8"/>
      <c r="E5424" s="8"/>
      <c r="F5424" s="8"/>
      <c r="G5424" s="10" t="str">
        <f aca="false">IF($A5424="","",UPPER(SUBSTITUTE(SUBSTITUTE(SUBSTITUTE(SUBSTITUTE($A5424," ",""),"(주)",""),"주식회사",""),"㈜","")))</f>
        <v/>
      </c>
      <c r="H5424" s="10" t="str">
        <f aca="false">IF($B5424="","",SUBSTITUTE(SUBSTITUTE(SUBSTITUTE($B5424,"-","")," ",""),".",""))</f>
        <v/>
      </c>
      <c r="I5424" s="10" t="str">
        <f aca="false">IF($D5424="","",SUBSTITUTE(SUBSTITUTE(SUBSTITUTE($D5424,"-","")," ",""),".",""))</f>
        <v/>
      </c>
      <c r="J5424" s="10" t="str">
        <f aca="false">IF($E5424="","",UPPER(SUBSTITUTE($E5424," ","")))</f>
        <v/>
      </c>
      <c r="K5424" s="10" t="str">
        <f aca="false">IF($A5424="","",$G5424&amp;"|"&amp;$J5424)</f>
        <v/>
      </c>
      <c r="L5424" s="10" t="str">
        <f aca="false">IF($A5424="","",ROW()-2)</f>
        <v/>
      </c>
      <c r="M5424" s="10" t="str">
        <f aca="false">IF($A5424="","",ROW())</f>
        <v/>
      </c>
    </row>
    <row r="5425" customFormat="false" ht="15" hidden="false" customHeight="true" outlineLevel="0" collapsed="false">
      <c r="A5425" s="8"/>
      <c r="B5425" s="8"/>
      <c r="C5425" s="8"/>
      <c r="D5425" s="8"/>
      <c r="E5425" s="8"/>
      <c r="F5425" s="8"/>
      <c r="G5425" s="10" t="str">
        <f aca="false">IF($A5425="","",UPPER(SUBSTITUTE(SUBSTITUTE(SUBSTITUTE(SUBSTITUTE($A5425," ",""),"(주)",""),"주식회사",""),"㈜","")))</f>
        <v/>
      </c>
      <c r="H5425" s="10" t="str">
        <f aca="false">IF($B5425="","",SUBSTITUTE(SUBSTITUTE(SUBSTITUTE($B5425,"-","")," ",""),".",""))</f>
        <v/>
      </c>
      <c r="I5425" s="10" t="str">
        <f aca="false">IF($D5425="","",SUBSTITUTE(SUBSTITUTE(SUBSTITUTE($D5425,"-","")," ",""),".",""))</f>
        <v/>
      </c>
      <c r="J5425" s="10" t="str">
        <f aca="false">IF($E5425="","",UPPER(SUBSTITUTE($E5425," ","")))</f>
        <v/>
      </c>
      <c r="K5425" s="10" t="str">
        <f aca="false">IF($A5425="","",$G5425&amp;"|"&amp;$J5425)</f>
        <v/>
      </c>
      <c r="L5425" s="10" t="str">
        <f aca="false">IF($A5425="","",ROW()-2)</f>
        <v/>
      </c>
      <c r="M5425" s="10" t="str">
        <f aca="false">IF($A5425="","",ROW())</f>
        <v/>
      </c>
    </row>
    <row r="5426" customFormat="false" ht="15" hidden="false" customHeight="true" outlineLevel="0" collapsed="false">
      <c r="A5426" s="8"/>
      <c r="B5426" s="8"/>
      <c r="C5426" s="8"/>
      <c r="D5426" s="8"/>
      <c r="E5426" s="8"/>
      <c r="F5426" s="8"/>
      <c r="G5426" s="10" t="str">
        <f aca="false">IF($A5426="","",UPPER(SUBSTITUTE(SUBSTITUTE(SUBSTITUTE(SUBSTITUTE($A5426," ",""),"(주)",""),"주식회사",""),"㈜","")))</f>
        <v/>
      </c>
      <c r="H5426" s="10" t="str">
        <f aca="false">IF($B5426="","",SUBSTITUTE(SUBSTITUTE(SUBSTITUTE($B5426,"-","")," ",""),".",""))</f>
        <v/>
      </c>
      <c r="I5426" s="10" t="str">
        <f aca="false">IF($D5426="","",SUBSTITUTE(SUBSTITUTE(SUBSTITUTE($D5426,"-","")," ",""),".",""))</f>
        <v/>
      </c>
      <c r="J5426" s="10" t="str">
        <f aca="false">IF($E5426="","",UPPER(SUBSTITUTE($E5426," ","")))</f>
        <v/>
      </c>
      <c r="K5426" s="10" t="str">
        <f aca="false">IF($A5426="","",$G5426&amp;"|"&amp;$J5426)</f>
        <v/>
      </c>
      <c r="L5426" s="10" t="str">
        <f aca="false">IF($A5426="","",ROW()-2)</f>
        <v/>
      </c>
      <c r="M5426" s="10" t="str">
        <f aca="false">IF($A5426="","",ROW())</f>
        <v/>
      </c>
    </row>
    <row r="5427" customFormat="false" ht="15" hidden="false" customHeight="true" outlineLevel="0" collapsed="false">
      <c r="A5427" s="8"/>
      <c r="B5427" s="8"/>
      <c r="C5427" s="8"/>
      <c r="D5427" s="8"/>
      <c r="E5427" s="8"/>
      <c r="F5427" s="8"/>
      <c r="G5427" s="10" t="str">
        <f aca="false">IF($A5427="","",UPPER(SUBSTITUTE(SUBSTITUTE(SUBSTITUTE(SUBSTITUTE($A5427," ",""),"(주)",""),"주식회사",""),"㈜","")))</f>
        <v/>
      </c>
      <c r="H5427" s="10" t="str">
        <f aca="false">IF($B5427="","",SUBSTITUTE(SUBSTITUTE(SUBSTITUTE($B5427,"-","")," ",""),".",""))</f>
        <v/>
      </c>
      <c r="I5427" s="10" t="str">
        <f aca="false">IF($D5427="","",SUBSTITUTE(SUBSTITUTE(SUBSTITUTE($D5427,"-","")," ",""),".",""))</f>
        <v/>
      </c>
      <c r="J5427" s="10" t="str">
        <f aca="false">IF($E5427="","",UPPER(SUBSTITUTE($E5427," ","")))</f>
        <v/>
      </c>
      <c r="K5427" s="10" t="str">
        <f aca="false">IF($A5427="","",$G5427&amp;"|"&amp;$J5427)</f>
        <v/>
      </c>
      <c r="L5427" s="10" t="str">
        <f aca="false">IF($A5427="","",ROW()-2)</f>
        <v/>
      </c>
      <c r="M5427" s="10" t="str">
        <f aca="false">IF($A5427="","",ROW())</f>
        <v/>
      </c>
    </row>
    <row r="5428" customFormat="false" ht="15" hidden="false" customHeight="true" outlineLevel="0" collapsed="false">
      <c r="A5428" s="8"/>
      <c r="B5428" s="8"/>
      <c r="C5428" s="8"/>
      <c r="D5428" s="8"/>
      <c r="E5428" s="8"/>
      <c r="F5428" s="8"/>
      <c r="G5428" s="10" t="str">
        <f aca="false">IF($A5428="","",UPPER(SUBSTITUTE(SUBSTITUTE(SUBSTITUTE(SUBSTITUTE($A5428," ",""),"(주)",""),"주식회사",""),"㈜","")))</f>
        <v/>
      </c>
      <c r="H5428" s="10" t="str">
        <f aca="false">IF($B5428="","",SUBSTITUTE(SUBSTITUTE(SUBSTITUTE($B5428,"-","")," ",""),".",""))</f>
        <v/>
      </c>
      <c r="I5428" s="10" t="str">
        <f aca="false">IF($D5428="","",SUBSTITUTE(SUBSTITUTE(SUBSTITUTE($D5428,"-","")," ",""),".",""))</f>
        <v/>
      </c>
      <c r="J5428" s="10" t="str">
        <f aca="false">IF($E5428="","",UPPER(SUBSTITUTE($E5428," ","")))</f>
        <v/>
      </c>
      <c r="K5428" s="10" t="str">
        <f aca="false">IF($A5428="","",$G5428&amp;"|"&amp;$J5428)</f>
        <v/>
      </c>
      <c r="L5428" s="10" t="str">
        <f aca="false">IF($A5428="","",ROW()-2)</f>
        <v/>
      </c>
      <c r="M5428" s="10" t="str">
        <f aca="false">IF($A5428="","",ROW())</f>
        <v/>
      </c>
    </row>
    <row r="5429" customFormat="false" ht="15" hidden="false" customHeight="true" outlineLevel="0" collapsed="false">
      <c r="A5429" s="8"/>
      <c r="B5429" s="8"/>
      <c r="C5429" s="8"/>
      <c r="D5429" s="8"/>
      <c r="E5429" s="8"/>
      <c r="F5429" s="8"/>
      <c r="G5429" s="10" t="str">
        <f aca="false">IF($A5429="","",UPPER(SUBSTITUTE(SUBSTITUTE(SUBSTITUTE(SUBSTITUTE($A5429," ",""),"(주)",""),"주식회사",""),"㈜","")))</f>
        <v/>
      </c>
      <c r="H5429" s="10" t="str">
        <f aca="false">IF($B5429="","",SUBSTITUTE(SUBSTITUTE(SUBSTITUTE($B5429,"-","")," ",""),".",""))</f>
        <v/>
      </c>
      <c r="I5429" s="10" t="str">
        <f aca="false">IF($D5429="","",SUBSTITUTE(SUBSTITUTE(SUBSTITUTE($D5429,"-","")," ",""),".",""))</f>
        <v/>
      </c>
      <c r="J5429" s="10" t="str">
        <f aca="false">IF($E5429="","",UPPER(SUBSTITUTE($E5429," ","")))</f>
        <v/>
      </c>
      <c r="K5429" s="10" t="str">
        <f aca="false">IF($A5429="","",$G5429&amp;"|"&amp;$J5429)</f>
        <v/>
      </c>
      <c r="L5429" s="10" t="str">
        <f aca="false">IF($A5429="","",ROW()-2)</f>
        <v/>
      </c>
      <c r="M5429" s="10" t="str">
        <f aca="false">IF($A5429="","",ROW())</f>
        <v/>
      </c>
    </row>
    <row r="5430" customFormat="false" ht="15" hidden="false" customHeight="true" outlineLevel="0" collapsed="false">
      <c r="A5430" s="8"/>
      <c r="B5430" s="8"/>
      <c r="C5430" s="8"/>
      <c r="D5430" s="8"/>
      <c r="E5430" s="8"/>
      <c r="F5430" s="8"/>
      <c r="G5430" s="10" t="str">
        <f aca="false">IF($A5430="","",UPPER(SUBSTITUTE(SUBSTITUTE(SUBSTITUTE(SUBSTITUTE($A5430," ",""),"(주)",""),"주식회사",""),"㈜","")))</f>
        <v/>
      </c>
      <c r="H5430" s="10" t="str">
        <f aca="false">IF($B5430="","",SUBSTITUTE(SUBSTITUTE(SUBSTITUTE($B5430,"-","")," ",""),".",""))</f>
        <v/>
      </c>
      <c r="I5430" s="10" t="str">
        <f aca="false">IF($D5430="","",SUBSTITUTE(SUBSTITUTE(SUBSTITUTE($D5430,"-","")," ",""),".",""))</f>
        <v/>
      </c>
      <c r="J5430" s="10" t="str">
        <f aca="false">IF($E5430="","",UPPER(SUBSTITUTE($E5430," ","")))</f>
        <v/>
      </c>
      <c r="K5430" s="10" t="str">
        <f aca="false">IF($A5430="","",$G5430&amp;"|"&amp;$J5430)</f>
        <v/>
      </c>
      <c r="L5430" s="10" t="str">
        <f aca="false">IF($A5430="","",ROW()-2)</f>
        <v/>
      </c>
      <c r="M5430" s="10" t="str">
        <f aca="false">IF($A5430="","",ROW())</f>
        <v/>
      </c>
    </row>
    <row r="5431" customFormat="false" ht="15" hidden="false" customHeight="true" outlineLevel="0" collapsed="false">
      <c r="A5431" s="8"/>
      <c r="B5431" s="8"/>
      <c r="C5431" s="8"/>
      <c r="D5431" s="8"/>
      <c r="E5431" s="8"/>
      <c r="F5431" s="8"/>
      <c r="G5431" s="10" t="str">
        <f aca="false">IF($A5431="","",UPPER(SUBSTITUTE(SUBSTITUTE(SUBSTITUTE(SUBSTITUTE($A5431," ",""),"(주)",""),"주식회사",""),"㈜","")))</f>
        <v/>
      </c>
      <c r="H5431" s="10" t="str">
        <f aca="false">IF($B5431="","",SUBSTITUTE(SUBSTITUTE(SUBSTITUTE($B5431,"-","")," ",""),".",""))</f>
        <v/>
      </c>
      <c r="I5431" s="10" t="str">
        <f aca="false">IF($D5431="","",SUBSTITUTE(SUBSTITUTE(SUBSTITUTE($D5431,"-","")," ",""),".",""))</f>
        <v/>
      </c>
      <c r="J5431" s="10" t="str">
        <f aca="false">IF($E5431="","",UPPER(SUBSTITUTE($E5431," ","")))</f>
        <v/>
      </c>
      <c r="K5431" s="10" t="str">
        <f aca="false">IF($A5431="","",$G5431&amp;"|"&amp;$J5431)</f>
        <v/>
      </c>
      <c r="L5431" s="10" t="str">
        <f aca="false">IF($A5431="","",ROW()-2)</f>
        <v/>
      </c>
      <c r="M5431" s="10" t="str">
        <f aca="false">IF($A5431="","",ROW())</f>
        <v/>
      </c>
    </row>
    <row r="5432" customFormat="false" ht="15" hidden="false" customHeight="true" outlineLevel="0" collapsed="false">
      <c r="A5432" s="8"/>
      <c r="B5432" s="8"/>
      <c r="C5432" s="8"/>
      <c r="D5432" s="8"/>
      <c r="E5432" s="8"/>
      <c r="F5432" s="8"/>
      <c r="G5432" s="10" t="str">
        <f aca="false">IF($A5432="","",UPPER(SUBSTITUTE(SUBSTITUTE(SUBSTITUTE(SUBSTITUTE($A5432," ",""),"(주)",""),"주식회사",""),"㈜","")))</f>
        <v/>
      </c>
      <c r="H5432" s="10" t="str">
        <f aca="false">IF($B5432="","",SUBSTITUTE(SUBSTITUTE(SUBSTITUTE($B5432,"-","")," ",""),".",""))</f>
        <v/>
      </c>
      <c r="I5432" s="10" t="str">
        <f aca="false">IF($D5432="","",SUBSTITUTE(SUBSTITUTE(SUBSTITUTE($D5432,"-","")," ",""),".",""))</f>
        <v/>
      </c>
      <c r="J5432" s="10" t="str">
        <f aca="false">IF($E5432="","",UPPER(SUBSTITUTE($E5432," ","")))</f>
        <v/>
      </c>
      <c r="K5432" s="10" t="str">
        <f aca="false">IF($A5432="","",$G5432&amp;"|"&amp;$J5432)</f>
        <v/>
      </c>
      <c r="L5432" s="10" t="str">
        <f aca="false">IF($A5432="","",ROW()-2)</f>
        <v/>
      </c>
      <c r="M5432" s="10" t="str">
        <f aca="false">IF($A5432="","",ROW())</f>
        <v/>
      </c>
    </row>
    <row r="5433" customFormat="false" ht="15" hidden="false" customHeight="true" outlineLevel="0" collapsed="false">
      <c r="A5433" s="8"/>
      <c r="B5433" s="8"/>
      <c r="C5433" s="8"/>
      <c r="D5433" s="8"/>
      <c r="E5433" s="8"/>
      <c r="F5433" s="8"/>
      <c r="G5433" s="10" t="str">
        <f aca="false">IF($A5433="","",UPPER(SUBSTITUTE(SUBSTITUTE(SUBSTITUTE(SUBSTITUTE($A5433," ",""),"(주)",""),"주식회사",""),"㈜","")))</f>
        <v/>
      </c>
      <c r="H5433" s="10" t="str">
        <f aca="false">IF($B5433="","",SUBSTITUTE(SUBSTITUTE(SUBSTITUTE($B5433,"-","")," ",""),".",""))</f>
        <v/>
      </c>
      <c r="I5433" s="10" t="str">
        <f aca="false">IF($D5433="","",SUBSTITUTE(SUBSTITUTE(SUBSTITUTE($D5433,"-","")," ",""),".",""))</f>
        <v/>
      </c>
      <c r="J5433" s="10" t="str">
        <f aca="false">IF($E5433="","",UPPER(SUBSTITUTE($E5433," ","")))</f>
        <v/>
      </c>
      <c r="K5433" s="10" t="str">
        <f aca="false">IF($A5433="","",$G5433&amp;"|"&amp;$J5433)</f>
        <v/>
      </c>
      <c r="L5433" s="10" t="str">
        <f aca="false">IF($A5433="","",ROW()-2)</f>
        <v/>
      </c>
      <c r="M5433" s="10" t="str">
        <f aca="false">IF($A5433="","",ROW())</f>
        <v/>
      </c>
    </row>
    <row r="5434" customFormat="false" ht="15" hidden="false" customHeight="true" outlineLevel="0" collapsed="false">
      <c r="A5434" s="8"/>
      <c r="B5434" s="8"/>
      <c r="C5434" s="8"/>
      <c r="D5434" s="8"/>
      <c r="E5434" s="8"/>
      <c r="F5434" s="8"/>
      <c r="G5434" s="10" t="str">
        <f aca="false">IF($A5434="","",UPPER(SUBSTITUTE(SUBSTITUTE(SUBSTITUTE(SUBSTITUTE($A5434," ",""),"(주)",""),"주식회사",""),"㈜","")))</f>
        <v/>
      </c>
      <c r="H5434" s="10" t="str">
        <f aca="false">IF($B5434="","",SUBSTITUTE(SUBSTITUTE(SUBSTITUTE($B5434,"-","")," ",""),".",""))</f>
        <v/>
      </c>
      <c r="I5434" s="10" t="str">
        <f aca="false">IF($D5434="","",SUBSTITUTE(SUBSTITUTE(SUBSTITUTE($D5434,"-","")," ",""),".",""))</f>
        <v/>
      </c>
      <c r="J5434" s="10" t="str">
        <f aca="false">IF($E5434="","",UPPER(SUBSTITUTE($E5434," ","")))</f>
        <v/>
      </c>
      <c r="K5434" s="10" t="str">
        <f aca="false">IF($A5434="","",$G5434&amp;"|"&amp;$J5434)</f>
        <v/>
      </c>
      <c r="L5434" s="10" t="str">
        <f aca="false">IF($A5434="","",ROW()-2)</f>
        <v/>
      </c>
      <c r="M5434" s="10" t="str">
        <f aca="false">IF($A5434="","",ROW())</f>
        <v/>
      </c>
    </row>
    <row r="5435" customFormat="false" ht="15" hidden="false" customHeight="true" outlineLevel="0" collapsed="false">
      <c r="A5435" s="8"/>
      <c r="B5435" s="8"/>
      <c r="C5435" s="8"/>
      <c r="D5435" s="8"/>
      <c r="E5435" s="8"/>
      <c r="F5435" s="8"/>
      <c r="G5435" s="10" t="str">
        <f aca="false">IF($A5435="","",UPPER(SUBSTITUTE(SUBSTITUTE(SUBSTITUTE(SUBSTITUTE($A5435," ",""),"(주)",""),"주식회사",""),"㈜","")))</f>
        <v/>
      </c>
      <c r="H5435" s="10" t="str">
        <f aca="false">IF($B5435="","",SUBSTITUTE(SUBSTITUTE(SUBSTITUTE($B5435,"-","")," ",""),".",""))</f>
        <v/>
      </c>
      <c r="I5435" s="10" t="str">
        <f aca="false">IF($D5435="","",SUBSTITUTE(SUBSTITUTE(SUBSTITUTE($D5435,"-","")," ",""),".",""))</f>
        <v/>
      </c>
      <c r="J5435" s="10" t="str">
        <f aca="false">IF($E5435="","",UPPER(SUBSTITUTE($E5435," ","")))</f>
        <v/>
      </c>
      <c r="K5435" s="10" t="str">
        <f aca="false">IF($A5435="","",$G5435&amp;"|"&amp;$J5435)</f>
        <v/>
      </c>
      <c r="L5435" s="10" t="str">
        <f aca="false">IF($A5435="","",ROW()-2)</f>
        <v/>
      </c>
      <c r="M5435" s="10" t="str">
        <f aca="false">IF($A5435="","",ROW())</f>
        <v/>
      </c>
    </row>
    <row r="5436" customFormat="false" ht="15" hidden="false" customHeight="true" outlineLevel="0" collapsed="false">
      <c r="A5436" s="8"/>
      <c r="B5436" s="8"/>
      <c r="C5436" s="8"/>
      <c r="D5436" s="8"/>
      <c r="E5436" s="8"/>
      <c r="F5436" s="8"/>
      <c r="G5436" s="10" t="str">
        <f aca="false">IF($A5436="","",UPPER(SUBSTITUTE(SUBSTITUTE(SUBSTITUTE(SUBSTITUTE($A5436," ",""),"(주)",""),"주식회사",""),"㈜","")))</f>
        <v/>
      </c>
      <c r="H5436" s="10" t="str">
        <f aca="false">IF($B5436="","",SUBSTITUTE(SUBSTITUTE(SUBSTITUTE($B5436,"-","")," ",""),".",""))</f>
        <v/>
      </c>
      <c r="I5436" s="10" t="str">
        <f aca="false">IF($D5436="","",SUBSTITUTE(SUBSTITUTE(SUBSTITUTE($D5436,"-","")," ",""),".",""))</f>
        <v/>
      </c>
      <c r="J5436" s="10" t="str">
        <f aca="false">IF($E5436="","",UPPER(SUBSTITUTE($E5436," ","")))</f>
        <v/>
      </c>
      <c r="K5436" s="10" t="str">
        <f aca="false">IF($A5436="","",$G5436&amp;"|"&amp;$J5436)</f>
        <v/>
      </c>
      <c r="L5436" s="10" t="str">
        <f aca="false">IF($A5436="","",ROW()-2)</f>
        <v/>
      </c>
      <c r="M5436" s="10" t="str">
        <f aca="false">IF($A5436="","",ROW())</f>
        <v/>
      </c>
    </row>
    <row r="5437" customFormat="false" ht="15" hidden="false" customHeight="true" outlineLevel="0" collapsed="false">
      <c r="A5437" s="8"/>
      <c r="B5437" s="8"/>
      <c r="C5437" s="8"/>
      <c r="D5437" s="8"/>
      <c r="E5437" s="8"/>
      <c r="F5437" s="8"/>
      <c r="G5437" s="10" t="str">
        <f aca="false">IF($A5437="","",UPPER(SUBSTITUTE(SUBSTITUTE(SUBSTITUTE(SUBSTITUTE($A5437," ",""),"(주)",""),"주식회사",""),"㈜","")))</f>
        <v/>
      </c>
      <c r="H5437" s="10" t="str">
        <f aca="false">IF($B5437="","",SUBSTITUTE(SUBSTITUTE(SUBSTITUTE($B5437,"-","")," ",""),".",""))</f>
        <v/>
      </c>
      <c r="I5437" s="10" t="str">
        <f aca="false">IF($D5437="","",SUBSTITUTE(SUBSTITUTE(SUBSTITUTE($D5437,"-","")," ",""),".",""))</f>
        <v/>
      </c>
      <c r="J5437" s="10" t="str">
        <f aca="false">IF($E5437="","",UPPER(SUBSTITUTE($E5437," ","")))</f>
        <v/>
      </c>
      <c r="K5437" s="10" t="str">
        <f aca="false">IF($A5437="","",$G5437&amp;"|"&amp;$J5437)</f>
        <v/>
      </c>
      <c r="L5437" s="10" t="str">
        <f aca="false">IF($A5437="","",ROW()-2)</f>
        <v/>
      </c>
      <c r="M5437" s="10" t="str">
        <f aca="false">IF($A5437="","",ROW())</f>
        <v/>
      </c>
    </row>
    <row r="5438" customFormat="false" ht="15" hidden="false" customHeight="true" outlineLevel="0" collapsed="false">
      <c r="A5438" s="8"/>
      <c r="B5438" s="8"/>
      <c r="C5438" s="8"/>
      <c r="D5438" s="8"/>
      <c r="E5438" s="8"/>
      <c r="F5438" s="8"/>
      <c r="G5438" s="10" t="str">
        <f aca="false">IF($A5438="","",UPPER(SUBSTITUTE(SUBSTITUTE(SUBSTITUTE(SUBSTITUTE($A5438," ",""),"(주)",""),"주식회사",""),"㈜","")))</f>
        <v/>
      </c>
      <c r="H5438" s="10" t="str">
        <f aca="false">IF($B5438="","",SUBSTITUTE(SUBSTITUTE(SUBSTITUTE($B5438,"-","")," ",""),".",""))</f>
        <v/>
      </c>
      <c r="I5438" s="10" t="str">
        <f aca="false">IF($D5438="","",SUBSTITUTE(SUBSTITUTE(SUBSTITUTE($D5438,"-","")," ",""),".",""))</f>
        <v/>
      </c>
      <c r="J5438" s="10" t="str">
        <f aca="false">IF($E5438="","",UPPER(SUBSTITUTE($E5438," ","")))</f>
        <v/>
      </c>
      <c r="K5438" s="10" t="str">
        <f aca="false">IF($A5438="","",$G5438&amp;"|"&amp;$J5438)</f>
        <v/>
      </c>
      <c r="L5438" s="10" t="str">
        <f aca="false">IF($A5438="","",ROW()-2)</f>
        <v/>
      </c>
      <c r="M5438" s="10" t="str">
        <f aca="false">IF($A5438="","",ROW())</f>
        <v/>
      </c>
    </row>
    <row r="5439" customFormat="false" ht="15" hidden="false" customHeight="true" outlineLevel="0" collapsed="false">
      <c r="A5439" s="8"/>
      <c r="B5439" s="8"/>
      <c r="C5439" s="8"/>
      <c r="D5439" s="8"/>
      <c r="E5439" s="8"/>
      <c r="F5439" s="8"/>
      <c r="G5439" s="10" t="str">
        <f aca="false">IF($A5439="","",UPPER(SUBSTITUTE(SUBSTITUTE(SUBSTITUTE(SUBSTITUTE($A5439," ",""),"(주)",""),"주식회사",""),"㈜","")))</f>
        <v/>
      </c>
      <c r="H5439" s="10" t="str">
        <f aca="false">IF($B5439="","",SUBSTITUTE(SUBSTITUTE(SUBSTITUTE($B5439,"-","")," ",""),".",""))</f>
        <v/>
      </c>
      <c r="I5439" s="10" t="str">
        <f aca="false">IF($D5439="","",SUBSTITUTE(SUBSTITUTE(SUBSTITUTE($D5439,"-","")," ",""),".",""))</f>
        <v/>
      </c>
      <c r="J5439" s="10" t="str">
        <f aca="false">IF($E5439="","",UPPER(SUBSTITUTE($E5439," ","")))</f>
        <v/>
      </c>
      <c r="K5439" s="10" t="str">
        <f aca="false">IF($A5439="","",$G5439&amp;"|"&amp;$J5439)</f>
        <v/>
      </c>
      <c r="L5439" s="10" t="str">
        <f aca="false">IF($A5439="","",ROW()-2)</f>
        <v/>
      </c>
      <c r="M5439" s="10" t="str">
        <f aca="false">IF($A5439="","",ROW())</f>
        <v/>
      </c>
    </row>
    <row r="5440" customFormat="false" ht="15" hidden="false" customHeight="true" outlineLevel="0" collapsed="false">
      <c r="A5440" s="8"/>
      <c r="B5440" s="8"/>
      <c r="C5440" s="8"/>
      <c r="D5440" s="8"/>
      <c r="E5440" s="8"/>
      <c r="F5440" s="8"/>
      <c r="G5440" s="10" t="str">
        <f aca="false">IF($A5440="","",UPPER(SUBSTITUTE(SUBSTITUTE(SUBSTITUTE(SUBSTITUTE($A5440," ",""),"(주)",""),"주식회사",""),"㈜","")))</f>
        <v/>
      </c>
      <c r="H5440" s="10" t="str">
        <f aca="false">IF($B5440="","",SUBSTITUTE(SUBSTITUTE(SUBSTITUTE($B5440,"-","")," ",""),".",""))</f>
        <v/>
      </c>
      <c r="I5440" s="10" t="str">
        <f aca="false">IF($D5440="","",SUBSTITUTE(SUBSTITUTE(SUBSTITUTE($D5440,"-","")," ",""),".",""))</f>
        <v/>
      </c>
      <c r="J5440" s="10" t="str">
        <f aca="false">IF($E5440="","",UPPER(SUBSTITUTE($E5440," ","")))</f>
        <v/>
      </c>
      <c r="K5440" s="10" t="str">
        <f aca="false">IF($A5440="","",$G5440&amp;"|"&amp;$J5440)</f>
        <v/>
      </c>
      <c r="L5440" s="10" t="str">
        <f aca="false">IF($A5440="","",ROW()-2)</f>
        <v/>
      </c>
      <c r="M5440" s="10" t="str">
        <f aca="false">IF($A5440="","",ROW())</f>
        <v/>
      </c>
    </row>
    <row r="5441" customFormat="false" ht="15" hidden="false" customHeight="true" outlineLevel="0" collapsed="false">
      <c r="A5441" s="8"/>
      <c r="B5441" s="8"/>
      <c r="C5441" s="8"/>
      <c r="D5441" s="8"/>
      <c r="E5441" s="8"/>
      <c r="F5441" s="8"/>
      <c r="G5441" s="10" t="str">
        <f aca="false">IF($A5441="","",UPPER(SUBSTITUTE(SUBSTITUTE(SUBSTITUTE(SUBSTITUTE($A5441," ",""),"(주)",""),"주식회사",""),"㈜","")))</f>
        <v/>
      </c>
      <c r="H5441" s="10" t="str">
        <f aca="false">IF($B5441="","",SUBSTITUTE(SUBSTITUTE(SUBSTITUTE($B5441,"-","")," ",""),".",""))</f>
        <v/>
      </c>
      <c r="I5441" s="10" t="str">
        <f aca="false">IF($D5441="","",SUBSTITUTE(SUBSTITUTE(SUBSTITUTE($D5441,"-","")," ",""),".",""))</f>
        <v/>
      </c>
      <c r="J5441" s="10" t="str">
        <f aca="false">IF($E5441="","",UPPER(SUBSTITUTE($E5441," ","")))</f>
        <v/>
      </c>
      <c r="K5441" s="10" t="str">
        <f aca="false">IF($A5441="","",$G5441&amp;"|"&amp;$J5441)</f>
        <v/>
      </c>
      <c r="L5441" s="10" t="str">
        <f aca="false">IF($A5441="","",ROW()-2)</f>
        <v/>
      </c>
      <c r="M5441" s="10" t="str">
        <f aca="false">IF($A5441="","",ROW())</f>
        <v/>
      </c>
    </row>
    <row r="5442" customFormat="false" ht="15" hidden="false" customHeight="true" outlineLevel="0" collapsed="false">
      <c r="A5442" s="8"/>
      <c r="B5442" s="8"/>
      <c r="C5442" s="8"/>
      <c r="D5442" s="8"/>
      <c r="E5442" s="8"/>
      <c r="F5442" s="8"/>
      <c r="G5442" s="10" t="str">
        <f aca="false">IF($A5442="","",UPPER(SUBSTITUTE(SUBSTITUTE(SUBSTITUTE(SUBSTITUTE($A5442," ",""),"(주)",""),"주식회사",""),"㈜","")))</f>
        <v/>
      </c>
      <c r="H5442" s="10" t="str">
        <f aca="false">IF($B5442="","",SUBSTITUTE(SUBSTITUTE(SUBSTITUTE($B5442,"-","")," ",""),".",""))</f>
        <v/>
      </c>
      <c r="I5442" s="10" t="str">
        <f aca="false">IF($D5442="","",SUBSTITUTE(SUBSTITUTE(SUBSTITUTE($D5442,"-","")," ",""),".",""))</f>
        <v/>
      </c>
      <c r="J5442" s="10" t="str">
        <f aca="false">IF($E5442="","",UPPER(SUBSTITUTE($E5442," ","")))</f>
        <v/>
      </c>
      <c r="K5442" s="10" t="str">
        <f aca="false">IF($A5442="","",$G5442&amp;"|"&amp;$J5442)</f>
        <v/>
      </c>
      <c r="L5442" s="10" t="str">
        <f aca="false">IF($A5442="","",ROW()-2)</f>
        <v/>
      </c>
      <c r="M5442" s="10" t="str">
        <f aca="false">IF($A5442="","",ROW())</f>
        <v/>
      </c>
    </row>
    <row r="5443" customFormat="false" ht="15" hidden="false" customHeight="true" outlineLevel="0" collapsed="false">
      <c r="A5443" s="8"/>
      <c r="B5443" s="8"/>
      <c r="C5443" s="8"/>
      <c r="D5443" s="8"/>
      <c r="E5443" s="8"/>
      <c r="F5443" s="8"/>
      <c r="G5443" s="10" t="str">
        <f aca="false">IF($A5443="","",UPPER(SUBSTITUTE(SUBSTITUTE(SUBSTITUTE(SUBSTITUTE($A5443," ",""),"(주)",""),"주식회사",""),"㈜","")))</f>
        <v/>
      </c>
      <c r="H5443" s="10" t="str">
        <f aca="false">IF($B5443="","",SUBSTITUTE(SUBSTITUTE(SUBSTITUTE($B5443,"-","")," ",""),".",""))</f>
        <v/>
      </c>
      <c r="I5443" s="10" t="str">
        <f aca="false">IF($D5443="","",SUBSTITUTE(SUBSTITUTE(SUBSTITUTE($D5443,"-","")," ",""),".",""))</f>
        <v/>
      </c>
      <c r="J5443" s="10" t="str">
        <f aca="false">IF($E5443="","",UPPER(SUBSTITUTE($E5443," ","")))</f>
        <v/>
      </c>
      <c r="K5443" s="10" t="str">
        <f aca="false">IF($A5443="","",$G5443&amp;"|"&amp;$J5443)</f>
        <v/>
      </c>
      <c r="L5443" s="10" t="str">
        <f aca="false">IF($A5443="","",ROW()-2)</f>
        <v/>
      </c>
      <c r="M5443" s="10" t="str">
        <f aca="false">IF($A5443="","",ROW())</f>
        <v/>
      </c>
    </row>
    <row r="5444" customFormat="false" ht="15" hidden="false" customHeight="true" outlineLevel="0" collapsed="false">
      <c r="A5444" s="8"/>
      <c r="B5444" s="8"/>
      <c r="C5444" s="8"/>
      <c r="D5444" s="8"/>
      <c r="E5444" s="8"/>
      <c r="F5444" s="8"/>
      <c r="G5444" s="10" t="str">
        <f aca="false">IF($A5444="","",UPPER(SUBSTITUTE(SUBSTITUTE(SUBSTITUTE(SUBSTITUTE($A5444," ",""),"(주)",""),"주식회사",""),"㈜","")))</f>
        <v/>
      </c>
      <c r="H5444" s="10" t="str">
        <f aca="false">IF($B5444="","",SUBSTITUTE(SUBSTITUTE(SUBSTITUTE($B5444,"-","")," ",""),".",""))</f>
        <v/>
      </c>
      <c r="I5444" s="10" t="str">
        <f aca="false">IF($D5444="","",SUBSTITUTE(SUBSTITUTE(SUBSTITUTE($D5444,"-","")," ",""),".",""))</f>
        <v/>
      </c>
      <c r="J5444" s="10" t="str">
        <f aca="false">IF($E5444="","",UPPER(SUBSTITUTE($E5444," ","")))</f>
        <v/>
      </c>
      <c r="K5444" s="10" t="str">
        <f aca="false">IF($A5444="","",$G5444&amp;"|"&amp;$J5444)</f>
        <v/>
      </c>
      <c r="L5444" s="10" t="str">
        <f aca="false">IF($A5444="","",ROW()-2)</f>
        <v/>
      </c>
      <c r="M5444" s="10" t="str">
        <f aca="false">IF($A5444="","",ROW())</f>
        <v/>
      </c>
    </row>
    <row r="5445" customFormat="false" ht="15" hidden="false" customHeight="true" outlineLevel="0" collapsed="false">
      <c r="A5445" s="8"/>
      <c r="B5445" s="8"/>
      <c r="C5445" s="8"/>
      <c r="D5445" s="8"/>
      <c r="E5445" s="8"/>
      <c r="F5445" s="8"/>
      <c r="G5445" s="10" t="str">
        <f aca="false">IF($A5445="","",UPPER(SUBSTITUTE(SUBSTITUTE(SUBSTITUTE(SUBSTITUTE($A5445," ",""),"(주)",""),"주식회사",""),"㈜","")))</f>
        <v/>
      </c>
      <c r="H5445" s="10" t="str">
        <f aca="false">IF($B5445="","",SUBSTITUTE(SUBSTITUTE(SUBSTITUTE($B5445,"-","")," ",""),".",""))</f>
        <v/>
      </c>
      <c r="I5445" s="10" t="str">
        <f aca="false">IF($D5445="","",SUBSTITUTE(SUBSTITUTE(SUBSTITUTE($D5445,"-","")," ",""),".",""))</f>
        <v/>
      </c>
      <c r="J5445" s="10" t="str">
        <f aca="false">IF($E5445="","",UPPER(SUBSTITUTE($E5445," ","")))</f>
        <v/>
      </c>
      <c r="K5445" s="10" t="str">
        <f aca="false">IF($A5445="","",$G5445&amp;"|"&amp;$J5445)</f>
        <v/>
      </c>
      <c r="L5445" s="10" t="str">
        <f aca="false">IF($A5445="","",ROW()-2)</f>
        <v/>
      </c>
      <c r="M5445" s="10" t="str">
        <f aca="false">IF($A5445="","",ROW())</f>
        <v/>
      </c>
    </row>
    <row r="5446" customFormat="false" ht="15" hidden="false" customHeight="true" outlineLevel="0" collapsed="false">
      <c r="A5446" s="8"/>
      <c r="B5446" s="8"/>
      <c r="C5446" s="8"/>
      <c r="D5446" s="8"/>
      <c r="E5446" s="8"/>
      <c r="F5446" s="8"/>
      <c r="G5446" s="10" t="str">
        <f aca="false">IF($A5446="","",UPPER(SUBSTITUTE(SUBSTITUTE(SUBSTITUTE(SUBSTITUTE($A5446," ",""),"(주)",""),"주식회사",""),"㈜","")))</f>
        <v/>
      </c>
      <c r="H5446" s="10" t="str">
        <f aca="false">IF($B5446="","",SUBSTITUTE(SUBSTITUTE(SUBSTITUTE($B5446,"-","")," ",""),".",""))</f>
        <v/>
      </c>
      <c r="I5446" s="10" t="str">
        <f aca="false">IF($D5446="","",SUBSTITUTE(SUBSTITUTE(SUBSTITUTE($D5446,"-","")," ",""),".",""))</f>
        <v/>
      </c>
      <c r="J5446" s="10" t="str">
        <f aca="false">IF($E5446="","",UPPER(SUBSTITUTE($E5446," ","")))</f>
        <v/>
      </c>
      <c r="K5446" s="10" t="str">
        <f aca="false">IF($A5446="","",$G5446&amp;"|"&amp;$J5446)</f>
        <v/>
      </c>
      <c r="L5446" s="10" t="str">
        <f aca="false">IF($A5446="","",ROW()-2)</f>
        <v/>
      </c>
      <c r="M5446" s="10" t="str">
        <f aca="false">IF($A5446="","",ROW())</f>
        <v/>
      </c>
    </row>
    <row r="5447" customFormat="false" ht="15" hidden="false" customHeight="true" outlineLevel="0" collapsed="false">
      <c r="A5447" s="8"/>
      <c r="B5447" s="8"/>
      <c r="C5447" s="8"/>
      <c r="D5447" s="8"/>
      <c r="E5447" s="8"/>
      <c r="F5447" s="8"/>
      <c r="G5447" s="10" t="str">
        <f aca="false">IF($A5447="","",UPPER(SUBSTITUTE(SUBSTITUTE(SUBSTITUTE(SUBSTITUTE($A5447," ",""),"(주)",""),"주식회사",""),"㈜","")))</f>
        <v/>
      </c>
      <c r="H5447" s="10" t="str">
        <f aca="false">IF($B5447="","",SUBSTITUTE(SUBSTITUTE(SUBSTITUTE($B5447,"-","")," ",""),".",""))</f>
        <v/>
      </c>
      <c r="I5447" s="10" t="str">
        <f aca="false">IF($D5447="","",SUBSTITUTE(SUBSTITUTE(SUBSTITUTE($D5447,"-","")," ",""),".",""))</f>
        <v/>
      </c>
      <c r="J5447" s="10" t="str">
        <f aca="false">IF($E5447="","",UPPER(SUBSTITUTE($E5447," ","")))</f>
        <v/>
      </c>
      <c r="K5447" s="10" t="str">
        <f aca="false">IF($A5447="","",$G5447&amp;"|"&amp;$J5447)</f>
        <v/>
      </c>
      <c r="L5447" s="10" t="str">
        <f aca="false">IF($A5447="","",ROW()-2)</f>
        <v/>
      </c>
      <c r="M5447" s="10" t="str">
        <f aca="false">IF($A5447="","",ROW())</f>
        <v/>
      </c>
    </row>
    <row r="5448" customFormat="false" ht="15" hidden="false" customHeight="true" outlineLevel="0" collapsed="false">
      <c r="A5448" s="8"/>
      <c r="B5448" s="8"/>
      <c r="C5448" s="8"/>
      <c r="D5448" s="8"/>
      <c r="E5448" s="8"/>
      <c r="F5448" s="8"/>
      <c r="G5448" s="10" t="str">
        <f aca="false">IF($A5448="","",UPPER(SUBSTITUTE(SUBSTITUTE(SUBSTITUTE(SUBSTITUTE($A5448," ",""),"(주)",""),"주식회사",""),"㈜","")))</f>
        <v/>
      </c>
      <c r="H5448" s="10" t="str">
        <f aca="false">IF($B5448="","",SUBSTITUTE(SUBSTITUTE(SUBSTITUTE($B5448,"-","")," ",""),".",""))</f>
        <v/>
      </c>
      <c r="I5448" s="10" t="str">
        <f aca="false">IF($D5448="","",SUBSTITUTE(SUBSTITUTE(SUBSTITUTE($D5448,"-","")," ",""),".",""))</f>
        <v/>
      </c>
      <c r="J5448" s="10" t="str">
        <f aca="false">IF($E5448="","",UPPER(SUBSTITUTE($E5448," ","")))</f>
        <v/>
      </c>
      <c r="K5448" s="10" t="str">
        <f aca="false">IF($A5448="","",$G5448&amp;"|"&amp;$J5448)</f>
        <v/>
      </c>
      <c r="L5448" s="10" t="str">
        <f aca="false">IF($A5448="","",ROW()-2)</f>
        <v/>
      </c>
      <c r="M5448" s="10" t="str">
        <f aca="false">IF($A5448="","",ROW())</f>
        <v/>
      </c>
    </row>
    <row r="5449" customFormat="false" ht="15" hidden="false" customHeight="true" outlineLevel="0" collapsed="false">
      <c r="A5449" s="8"/>
      <c r="B5449" s="8"/>
      <c r="C5449" s="8"/>
      <c r="D5449" s="8"/>
      <c r="E5449" s="8"/>
      <c r="F5449" s="8"/>
      <c r="G5449" s="10" t="str">
        <f aca="false">IF($A5449="","",UPPER(SUBSTITUTE(SUBSTITUTE(SUBSTITUTE(SUBSTITUTE($A5449," ",""),"(주)",""),"주식회사",""),"㈜","")))</f>
        <v/>
      </c>
      <c r="H5449" s="10" t="str">
        <f aca="false">IF($B5449="","",SUBSTITUTE(SUBSTITUTE(SUBSTITUTE($B5449,"-","")," ",""),".",""))</f>
        <v/>
      </c>
      <c r="I5449" s="10" t="str">
        <f aca="false">IF($D5449="","",SUBSTITUTE(SUBSTITUTE(SUBSTITUTE($D5449,"-","")," ",""),".",""))</f>
        <v/>
      </c>
      <c r="J5449" s="10" t="str">
        <f aca="false">IF($E5449="","",UPPER(SUBSTITUTE($E5449," ","")))</f>
        <v/>
      </c>
      <c r="K5449" s="10" t="str">
        <f aca="false">IF($A5449="","",$G5449&amp;"|"&amp;$J5449)</f>
        <v/>
      </c>
      <c r="L5449" s="10" t="str">
        <f aca="false">IF($A5449="","",ROW()-2)</f>
        <v/>
      </c>
      <c r="M5449" s="10" t="str">
        <f aca="false">IF($A5449="","",ROW())</f>
        <v/>
      </c>
    </row>
    <row r="5450" customFormat="false" ht="15" hidden="false" customHeight="true" outlineLevel="0" collapsed="false">
      <c r="A5450" s="8"/>
      <c r="B5450" s="8"/>
      <c r="C5450" s="8"/>
      <c r="D5450" s="8"/>
      <c r="E5450" s="8"/>
      <c r="F5450" s="8"/>
      <c r="G5450" s="10" t="str">
        <f aca="false">IF($A5450="","",UPPER(SUBSTITUTE(SUBSTITUTE(SUBSTITUTE(SUBSTITUTE($A5450," ",""),"(주)",""),"주식회사",""),"㈜","")))</f>
        <v/>
      </c>
      <c r="H5450" s="10" t="str">
        <f aca="false">IF($B5450="","",SUBSTITUTE(SUBSTITUTE(SUBSTITUTE($B5450,"-","")," ",""),".",""))</f>
        <v/>
      </c>
      <c r="I5450" s="10" t="str">
        <f aca="false">IF($D5450="","",SUBSTITUTE(SUBSTITUTE(SUBSTITUTE($D5450,"-","")," ",""),".",""))</f>
        <v/>
      </c>
      <c r="J5450" s="10" t="str">
        <f aca="false">IF($E5450="","",UPPER(SUBSTITUTE($E5450," ","")))</f>
        <v/>
      </c>
      <c r="K5450" s="10" t="str">
        <f aca="false">IF($A5450="","",$G5450&amp;"|"&amp;$J5450)</f>
        <v/>
      </c>
      <c r="L5450" s="10" t="str">
        <f aca="false">IF($A5450="","",ROW()-2)</f>
        <v/>
      </c>
      <c r="M5450" s="10" t="str">
        <f aca="false">IF($A5450="","",ROW())</f>
        <v/>
      </c>
    </row>
    <row r="5451" customFormat="false" ht="15" hidden="false" customHeight="true" outlineLevel="0" collapsed="false">
      <c r="A5451" s="8"/>
      <c r="B5451" s="8"/>
      <c r="C5451" s="8"/>
      <c r="D5451" s="8"/>
      <c r="E5451" s="8"/>
      <c r="F5451" s="8"/>
      <c r="G5451" s="10" t="str">
        <f aca="false">IF($A5451="","",UPPER(SUBSTITUTE(SUBSTITUTE(SUBSTITUTE(SUBSTITUTE($A5451," ",""),"(주)",""),"주식회사",""),"㈜","")))</f>
        <v/>
      </c>
      <c r="H5451" s="10" t="str">
        <f aca="false">IF($B5451="","",SUBSTITUTE(SUBSTITUTE(SUBSTITUTE($B5451,"-","")," ",""),".",""))</f>
        <v/>
      </c>
      <c r="I5451" s="10" t="str">
        <f aca="false">IF($D5451="","",SUBSTITUTE(SUBSTITUTE(SUBSTITUTE($D5451,"-","")," ",""),".",""))</f>
        <v/>
      </c>
      <c r="J5451" s="10" t="str">
        <f aca="false">IF($E5451="","",UPPER(SUBSTITUTE($E5451," ","")))</f>
        <v/>
      </c>
      <c r="K5451" s="10" t="str">
        <f aca="false">IF($A5451="","",$G5451&amp;"|"&amp;$J5451)</f>
        <v/>
      </c>
      <c r="L5451" s="10" t="str">
        <f aca="false">IF($A5451="","",ROW()-2)</f>
        <v/>
      </c>
      <c r="M5451" s="10" t="str">
        <f aca="false">IF($A5451="","",ROW())</f>
        <v/>
      </c>
    </row>
    <row r="5452" customFormat="false" ht="15" hidden="false" customHeight="true" outlineLevel="0" collapsed="false">
      <c r="A5452" s="8"/>
      <c r="B5452" s="8"/>
      <c r="C5452" s="8"/>
      <c r="D5452" s="8"/>
      <c r="E5452" s="8"/>
      <c r="F5452" s="8"/>
      <c r="G5452" s="10" t="str">
        <f aca="false">IF($A5452="","",UPPER(SUBSTITUTE(SUBSTITUTE(SUBSTITUTE(SUBSTITUTE($A5452," ",""),"(주)",""),"주식회사",""),"㈜","")))</f>
        <v/>
      </c>
      <c r="H5452" s="10" t="str">
        <f aca="false">IF($B5452="","",SUBSTITUTE(SUBSTITUTE(SUBSTITUTE($B5452,"-","")," ",""),".",""))</f>
        <v/>
      </c>
      <c r="I5452" s="10" t="str">
        <f aca="false">IF($D5452="","",SUBSTITUTE(SUBSTITUTE(SUBSTITUTE($D5452,"-","")," ",""),".",""))</f>
        <v/>
      </c>
      <c r="J5452" s="10" t="str">
        <f aca="false">IF($E5452="","",UPPER(SUBSTITUTE($E5452," ","")))</f>
        <v/>
      </c>
      <c r="K5452" s="10" t="str">
        <f aca="false">IF($A5452="","",$G5452&amp;"|"&amp;$J5452)</f>
        <v/>
      </c>
      <c r="L5452" s="10" t="str">
        <f aca="false">IF($A5452="","",ROW()-2)</f>
        <v/>
      </c>
      <c r="M5452" s="10" t="str">
        <f aca="false">IF($A5452="","",ROW())</f>
        <v/>
      </c>
    </row>
    <row r="5453" customFormat="false" ht="15" hidden="false" customHeight="true" outlineLevel="0" collapsed="false">
      <c r="A5453" s="8"/>
      <c r="B5453" s="8"/>
      <c r="C5453" s="8"/>
      <c r="D5453" s="8"/>
      <c r="E5453" s="8"/>
      <c r="F5453" s="8"/>
      <c r="G5453" s="10" t="str">
        <f aca="false">IF($A5453="","",UPPER(SUBSTITUTE(SUBSTITUTE(SUBSTITUTE(SUBSTITUTE($A5453," ",""),"(주)",""),"주식회사",""),"㈜","")))</f>
        <v/>
      </c>
      <c r="H5453" s="10" t="str">
        <f aca="false">IF($B5453="","",SUBSTITUTE(SUBSTITUTE(SUBSTITUTE($B5453,"-","")," ",""),".",""))</f>
        <v/>
      </c>
      <c r="I5453" s="10" t="str">
        <f aca="false">IF($D5453="","",SUBSTITUTE(SUBSTITUTE(SUBSTITUTE($D5453,"-","")," ",""),".",""))</f>
        <v/>
      </c>
      <c r="J5453" s="10" t="str">
        <f aca="false">IF($E5453="","",UPPER(SUBSTITUTE($E5453," ","")))</f>
        <v/>
      </c>
      <c r="K5453" s="10" t="str">
        <f aca="false">IF($A5453="","",$G5453&amp;"|"&amp;$J5453)</f>
        <v/>
      </c>
      <c r="L5453" s="10" t="str">
        <f aca="false">IF($A5453="","",ROW()-2)</f>
        <v/>
      </c>
      <c r="M5453" s="10" t="str">
        <f aca="false">IF($A5453="","",ROW())</f>
        <v/>
      </c>
    </row>
    <row r="5454" customFormat="false" ht="15" hidden="false" customHeight="true" outlineLevel="0" collapsed="false">
      <c r="A5454" s="8"/>
      <c r="B5454" s="8"/>
      <c r="C5454" s="8"/>
      <c r="D5454" s="8"/>
      <c r="E5454" s="8"/>
      <c r="F5454" s="8"/>
      <c r="G5454" s="10" t="str">
        <f aca="false">IF($A5454="","",UPPER(SUBSTITUTE(SUBSTITUTE(SUBSTITUTE(SUBSTITUTE($A5454," ",""),"(주)",""),"주식회사",""),"㈜","")))</f>
        <v/>
      </c>
      <c r="H5454" s="10" t="str">
        <f aca="false">IF($B5454="","",SUBSTITUTE(SUBSTITUTE(SUBSTITUTE($B5454,"-","")," ",""),".",""))</f>
        <v/>
      </c>
      <c r="I5454" s="10" t="str">
        <f aca="false">IF($D5454="","",SUBSTITUTE(SUBSTITUTE(SUBSTITUTE($D5454,"-","")," ",""),".",""))</f>
        <v/>
      </c>
      <c r="J5454" s="10" t="str">
        <f aca="false">IF($E5454="","",UPPER(SUBSTITUTE($E5454," ","")))</f>
        <v/>
      </c>
      <c r="K5454" s="10" t="str">
        <f aca="false">IF($A5454="","",$G5454&amp;"|"&amp;$J5454)</f>
        <v/>
      </c>
      <c r="L5454" s="10" t="str">
        <f aca="false">IF($A5454="","",ROW()-2)</f>
        <v/>
      </c>
      <c r="M5454" s="10" t="str">
        <f aca="false">IF($A5454="","",ROW())</f>
        <v/>
      </c>
    </row>
    <row r="5455" customFormat="false" ht="15" hidden="false" customHeight="true" outlineLevel="0" collapsed="false">
      <c r="A5455" s="8"/>
      <c r="B5455" s="8"/>
      <c r="C5455" s="8"/>
      <c r="D5455" s="8"/>
      <c r="E5455" s="8"/>
      <c r="F5455" s="8"/>
      <c r="G5455" s="10" t="str">
        <f aca="false">IF($A5455="","",UPPER(SUBSTITUTE(SUBSTITUTE(SUBSTITUTE(SUBSTITUTE($A5455," ",""),"(주)",""),"주식회사",""),"㈜","")))</f>
        <v/>
      </c>
      <c r="H5455" s="10" t="str">
        <f aca="false">IF($B5455="","",SUBSTITUTE(SUBSTITUTE(SUBSTITUTE($B5455,"-","")," ",""),".",""))</f>
        <v/>
      </c>
      <c r="I5455" s="10" t="str">
        <f aca="false">IF($D5455="","",SUBSTITUTE(SUBSTITUTE(SUBSTITUTE($D5455,"-","")," ",""),".",""))</f>
        <v/>
      </c>
      <c r="J5455" s="10" t="str">
        <f aca="false">IF($E5455="","",UPPER(SUBSTITUTE($E5455," ","")))</f>
        <v/>
      </c>
      <c r="K5455" s="10" t="str">
        <f aca="false">IF($A5455="","",$G5455&amp;"|"&amp;$J5455)</f>
        <v/>
      </c>
      <c r="L5455" s="10" t="str">
        <f aca="false">IF($A5455="","",ROW()-2)</f>
        <v/>
      </c>
      <c r="M5455" s="10" t="str">
        <f aca="false">IF($A5455="","",ROW())</f>
        <v/>
      </c>
    </row>
    <row r="5456" customFormat="false" ht="15" hidden="false" customHeight="true" outlineLevel="0" collapsed="false">
      <c r="A5456" s="8"/>
      <c r="B5456" s="8"/>
      <c r="C5456" s="8"/>
      <c r="D5456" s="8"/>
      <c r="E5456" s="8"/>
      <c r="F5456" s="8"/>
      <c r="G5456" s="10" t="str">
        <f aca="false">IF($A5456="","",UPPER(SUBSTITUTE(SUBSTITUTE(SUBSTITUTE(SUBSTITUTE($A5456," ",""),"(주)",""),"주식회사",""),"㈜","")))</f>
        <v/>
      </c>
      <c r="H5456" s="10" t="str">
        <f aca="false">IF($B5456="","",SUBSTITUTE(SUBSTITUTE(SUBSTITUTE($B5456,"-","")," ",""),".",""))</f>
        <v/>
      </c>
      <c r="I5456" s="10" t="str">
        <f aca="false">IF($D5456="","",SUBSTITUTE(SUBSTITUTE(SUBSTITUTE($D5456,"-","")," ",""),".",""))</f>
        <v/>
      </c>
      <c r="J5456" s="10" t="str">
        <f aca="false">IF($E5456="","",UPPER(SUBSTITUTE($E5456," ","")))</f>
        <v/>
      </c>
      <c r="K5456" s="10" t="str">
        <f aca="false">IF($A5456="","",$G5456&amp;"|"&amp;$J5456)</f>
        <v/>
      </c>
      <c r="L5456" s="10" t="str">
        <f aca="false">IF($A5456="","",ROW()-2)</f>
        <v/>
      </c>
      <c r="M5456" s="10" t="str">
        <f aca="false">IF($A5456="","",ROW())</f>
        <v/>
      </c>
    </row>
    <row r="5457" customFormat="false" ht="15" hidden="false" customHeight="true" outlineLevel="0" collapsed="false">
      <c r="A5457" s="8"/>
      <c r="B5457" s="8"/>
      <c r="C5457" s="8"/>
      <c r="D5457" s="8"/>
      <c r="E5457" s="8"/>
      <c r="F5457" s="8"/>
      <c r="G5457" s="10" t="str">
        <f aca="false">IF($A5457="","",UPPER(SUBSTITUTE(SUBSTITUTE(SUBSTITUTE(SUBSTITUTE($A5457," ",""),"(주)",""),"주식회사",""),"㈜","")))</f>
        <v/>
      </c>
      <c r="H5457" s="10" t="str">
        <f aca="false">IF($B5457="","",SUBSTITUTE(SUBSTITUTE(SUBSTITUTE($B5457,"-","")," ",""),".",""))</f>
        <v/>
      </c>
      <c r="I5457" s="10" t="str">
        <f aca="false">IF($D5457="","",SUBSTITUTE(SUBSTITUTE(SUBSTITUTE($D5457,"-","")," ",""),".",""))</f>
        <v/>
      </c>
      <c r="J5457" s="10" t="str">
        <f aca="false">IF($E5457="","",UPPER(SUBSTITUTE($E5457," ","")))</f>
        <v/>
      </c>
      <c r="K5457" s="10" t="str">
        <f aca="false">IF($A5457="","",$G5457&amp;"|"&amp;$J5457)</f>
        <v/>
      </c>
      <c r="L5457" s="10" t="str">
        <f aca="false">IF($A5457="","",ROW()-2)</f>
        <v/>
      </c>
      <c r="M5457" s="10" t="str">
        <f aca="false">IF($A5457="","",ROW())</f>
        <v/>
      </c>
    </row>
    <row r="5458" customFormat="false" ht="15" hidden="false" customHeight="true" outlineLevel="0" collapsed="false">
      <c r="A5458" s="8"/>
      <c r="B5458" s="8"/>
      <c r="C5458" s="8"/>
      <c r="D5458" s="8"/>
      <c r="E5458" s="8"/>
      <c r="F5458" s="8"/>
      <c r="G5458" s="10" t="str">
        <f aca="false">IF($A5458="","",UPPER(SUBSTITUTE(SUBSTITUTE(SUBSTITUTE(SUBSTITUTE($A5458," ",""),"(주)",""),"주식회사",""),"㈜","")))</f>
        <v/>
      </c>
      <c r="H5458" s="10" t="str">
        <f aca="false">IF($B5458="","",SUBSTITUTE(SUBSTITUTE(SUBSTITUTE($B5458,"-","")," ",""),".",""))</f>
        <v/>
      </c>
      <c r="I5458" s="10" t="str">
        <f aca="false">IF($D5458="","",SUBSTITUTE(SUBSTITUTE(SUBSTITUTE($D5458,"-","")," ",""),".",""))</f>
        <v/>
      </c>
      <c r="J5458" s="10" t="str">
        <f aca="false">IF($E5458="","",UPPER(SUBSTITUTE($E5458," ","")))</f>
        <v/>
      </c>
      <c r="K5458" s="10" t="str">
        <f aca="false">IF($A5458="","",$G5458&amp;"|"&amp;$J5458)</f>
        <v/>
      </c>
      <c r="L5458" s="10" t="str">
        <f aca="false">IF($A5458="","",ROW()-2)</f>
        <v/>
      </c>
      <c r="M5458" s="10" t="str">
        <f aca="false">IF($A5458="","",ROW())</f>
        <v/>
      </c>
    </row>
    <row r="5459" customFormat="false" ht="15" hidden="false" customHeight="true" outlineLevel="0" collapsed="false">
      <c r="A5459" s="8"/>
      <c r="B5459" s="8"/>
      <c r="C5459" s="8"/>
      <c r="D5459" s="8"/>
      <c r="E5459" s="8"/>
      <c r="F5459" s="8"/>
      <c r="G5459" s="10" t="str">
        <f aca="false">IF($A5459="","",UPPER(SUBSTITUTE(SUBSTITUTE(SUBSTITUTE(SUBSTITUTE($A5459," ",""),"(주)",""),"주식회사",""),"㈜","")))</f>
        <v/>
      </c>
      <c r="H5459" s="10" t="str">
        <f aca="false">IF($B5459="","",SUBSTITUTE(SUBSTITUTE(SUBSTITUTE($B5459,"-","")," ",""),".",""))</f>
        <v/>
      </c>
      <c r="I5459" s="10" t="str">
        <f aca="false">IF($D5459="","",SUBSTITUTE(SUBSTITUTE(SUBSTITUTE($D5459,"-","")," ",""),".",""))</f>
        <v/>
      </c>
      <c r="J5459" s="10" t="str">
        <f aca="false">IF($E5459="","",UPPER(SUBSTITUTE($E5459," ","")))</f>
        <v/>
      </c>
      <c r="K5459" s="10" t="str">
        <f aca="false">IF($A5459="","",$G5459&amp;"|"&amp;$J5459)</f>
        <v/>
      </c>
      <c r="L5459" s="10" t="str">
        <f aca="false">IF($A5459="","",ROW()-2)</f>
        <v/>
      </c>
      <c r="M5459" s="10" t="str">
        <f aca="false">IF($A5459="","",ROW())</f>
        <v/>
      </c>
    </row>
    <row r="5460" customFormat="false" ht="15" hidden="false" customHeight="true" outlineLevel="0" collapsed="false">
      <c r="A5460" s="8"/>
      <c r="B5460" s="8"/>
      <c r="C5460" s="8"/>
      <c r="D5460" s="8"/>
      <c r="E5460" s="8"/>
      <c r="F5460" s="8"/>
      <c r="G5460" s="10" t="str">
        <f aca="false">IF($A5460="","",UPPER(SUBSTITUTE(SUBSTITUTE(SUBSTITUTE(SUBSTITUTE($A5460," ",""),"(주)",""),"주식회사",""),"㈜","")))</f>
        <v/>
      </c>
      <c r="H5460" s="10" t="str">
        <f aca="false">IF($B5460="","",SUBSTITUTE(SUBSTITUTE(SUBSTITUTE($B5460,"-","")," ",""),".",""))</f>
        <v/>
      </c>
      <c r="I5460" s="10" t="str">
        <f aca="false">IF($D5460="","",SUBSTITUTE(SUBSTITUTE(SUBSTITUTE($D5460,"-","")," ",""),".",""))</f>
        <v/>
      </c>
      <c r="J5460" s="10" t="str">
        <f aca="false">IF($E5460="","",UPPER(SUBSTITUTE($E5460," ","")))</f>
        <v/>
      </c>
      <c r="K5460" s="10" t="str">
        <f aca="false">IF($A5460="","",$G5460&amp;"|"&amp;$J5460)</f>
        <v/>
      </c>
      <c r="L5460" s="10" t="str">
        <f aca="false">IF($A5460="","",ROW()-2)</f>
        <v/>
      </c>
      <c r="M5460" s="10" t="str">
        <f aca="false">IF($A5460="","",ROW())</f>
        <v/>
      </c>
    </row>
    <row r="5461" customFormat="false" ht="15" hidden="false" customHeight="true" outlineLevel="0" collapsed="false">
      <c r="A5461" s="8"/>
      <c r="B5461" s="8"/>
      <c r="C5461" s="8"/>
      <c r="D5461" s="8"/>
      <c r="E5461" s="8"/>
      <c r="F5461" s="8"/>
      <c r="G5461" s="10" t="str">
        <f aca="false">IF($A5461="","",UPPER(SUBSTITUTE(SUBSTITUTE(SUBSTITUTE(SUBSTITUTE($A5461," ",""),"(주)",""),"주식회사",""),"㈜","")))</f>
        <v/>
      </c>
      <c r="H5461" s="10" t="str">
        <f aca="false">IF($B5461="","",SUBSTITUTE(SUBSTITUTE(SUBSTITUTE($B5461,"-","")," ",""),".",""))</f>
        <v/>
      </c>
      <c r="I5461" s="10" t="str">
        <f aca="false">IF($D5461="","",SUBSTITUTE(SUBSTITUTE(SUBSTITUTE($D5461,"-","")," ",""),".",""))</f>
        <v/>
      </c>
      <c r="J5461" s="10" t="str">
        <f aca="false">IF($E5461="","",UPPER(SUBSTITUTE($E5461," ","")))</f>
        <v/>
      </c>
      <c r="K5461" s="10" t="str">
        <f aca="false">IF($A5461="","",$G5461&amp;"|"&amp;$J5461)</f>
        <v/>
      </c>
      <c r="L5461" s="10" t="str">
        <f aca="false">IF($A5461="","",ROW()-2)</f>
        <v/>
      </c>
      <c r="M5461" s="10" t="str">
        <f aca="false">IF($A5461="","",ROW())</f>
        <v/>
      </c>
    </row>
    <row r="5462" customFormat="false" ht="15" hidden="false" customHeight="true" outlineLevel="0" collapsed="false">
      <c r="A5462" s="8"/>
      <c r="B5462" s="8"/>
      <c r="C5462" s="8"/>
      <c r="D5462" s="8"/>
      <c r="E5462" s="8"/>
      <c r="F5462" s="8"/>
      <c r="G5462" s="10" t="str">
        <f aca="false">IF($A5462="","",UPPER(SUBSTITUTE(SUBSTITUTE(SUBSTITUTE(SUBSTITUTE($A5462," ",""),"(주)",""),"주식회사",""),"㈜","")))</f>
        <v/>
      </c>
      <c r="H5462" s="10" t="str">
        <f aca="false">IF($B5462="","",SUBSTITUTE(SUBSTITUTE(SUBSTITUTE($B5462,"-","")," ",""),".",""))</f>
        <v/>
      </c>
      <c r="I5462" s="10" t="str">
        <f aca="false">IF($D5462="","",SUBSTITUTE(SUBSTITUTE(SUBSTITUTE($D5462,"-","")," ",""),".",""))</f>
        <v/>
      </c>
      <c r="J5462" s="10" t="str">
        <f aca="false">IF($E5462="","",UPPER(SUBSTITUTE($E5462," ","")))</f>
        <v/>
      </c>
      <c r="K5462" s="10" t="str">
        <f aca="false">IF($A5462="","",$G5462&amp;"|"&amp;$J5462)</f>
        <v/>
      </c>
      <c r="L5462" s="10" t="str">
        <f aca="false">IF($A5462="","",ROW()-2)</f>
        <v/>
      </c>
      <c r="M5462" s="10" t="str">
        <f aca="false">IF($A5462="","",ROW())</f>
        <v/>
      </c>
    </row>
    <row r="5463" customFormat="false" ht="15" hidden="false" customHeight="true" outlineLevel="0" collapsed="false">
      <c r="A5463" s="8"/>
      <c r="B5463" s="8"/>
      <c r="C5463" s="8"/>
      <c r="D5463" s="8"/>
      <c r="E5463" s="8"/>
      <c r="F5463" s="8"/>
      <c r="G5463" s="10" t="str">
        <f aca="false">IF($A5463="","",UPPER(SUBSTITUTE(SUBSTITUTE(SUBSTITUTE(SUBSTITUTE($A5463," ",""),"(주)",""),"주식회사",""),"㈜","")))</f>
        <v/>
      </c>
      <c r="H5463" s="10" t="str">
        <f aca="false">IF($B5463="","",SUBSTITUTE(SUBSTITUTE(SUBSTITUTE($B5463,"-","")," ",""),".",""))</f>
        <v/>
      </c>
      <c r="I5463" s="10" t="str">
        <f aca="false">IF($D5463="","",SUBSTITUTE(SUBSTITUTE(SUBSTITUTE($D5463,"-","")," ",""),".",""))</f>
        <v/>
      </c>
      <c r="J5463" s="10" t="str">
        <f aca="false">IF($E5463="","",UPPER(SUBSTITUTE($E5463," ","")))</f>
        <v/>
      </c>
      <c r="K5463" s="10" t="str">
        <f aca="false">IF($A5463="","",$G5463&amp;"|"&amp;$J5463)</f>
        <v/>
      </c>
      <c r="L5463" s="10" t="str">
        <f aca="false">IF($A5463="","",ROW()-2)</f>
        <v/>
      </c>
      <c r="M5463" s="10" t="str">
        <f aca="false">IF($A5463="","",ROW())</f>
        <v/>
      </c>
    </row>
    <row r="5464" customFormat="false" ht="15" hidden="false" customHeight="true" outlineLevel="0" collapsed="false">
      <c r="A5464" s="8"/>
      <c r="B5464" s="8"/>
      <c r="C5464" s="8"/>
      <c r="D5464" s="8"/>
      <c r="E5464" s="8"/>
      <c r="F5464" s="8"/>
      <c r="G5464" s="10" t="str">
        <f aca="false">IF($A5464="","",UPPER(SUBSTITUTE(SUBSTITUTE(SUBSTITUTE(SUBSTITUTE($A5464," ",""),"(주)",""),"주식회사",""),"㈜","")))</f>
        <v/>
      </c>
      <c r="H5464" s="10" t="str">
        <f aca="false">IF($B5464="","",SUBSTITUTE(SUBSTITUTE(SUBSTITUTE($B5464,"-","")," ",""),".",""))</f>
        <v/>
      </c>
      <c r="I5464" s="10" t="str">
        <f aca="false">IF($D5464="","",SUBSTITUTE(SUBSTITUTE(SUBSTITUTE($D5464,"-","")," ",""),".",""))</f>
        <v/>
      </c>
      <c r="J5464" s="10" t="str">
        <f aca="false">IF($E5464="","",UPPER(SUBSTITUTE($E5464," ","")))</f>
        <v/>
      </c>
      <c r="K5464" s="10" t="str">
        <f aca="false">IF($A5464="","",$G5464&amp;"|"&amp;$J5464)</f>
        <v/>
      </c>
      <c r="L5464" s="10" t="str">
        <f aca="false">IF($A5464="","",ROW()-2)</f>
        <v/>
      </c>
      <c r="M5464" s="10" t="str">
        <f aca="false">IF($A5464="","",ROW())</f>
        <v/>
      </c>
    </row>
    <row r="5465" customFormat="false" ht="15" hidden="false" customHeight="true" outlineLevel="0" collapsed="false">
      <c r="A5465" s="8"/>
      <c r="B5465" s="8"/>
      <c r="C5465" s="8"/>
      <c r="D5465" s="8"/>
      <c r="E5465" s="8"/>
      <c r="F5465" s="8"/>
      <c r="G5465" s="10" t="str">
        <f aca="false">IF($A5465="","",UPPER(SUBSTITUTE(SUBSTITUTE(SUBSTITUTE(SUBSTITUTE($A5465," ",""),"(주)",""),"주식회사",""),"㈜","")))</f>
        <v/>
      </c>
      <c r="H5465" s="10" t="str">
        <f aca="false">IF($B5465="","",SUBSTITUTE(SUBSTITUTE(SUBSTITUTE($B5465,"-","")," ",""),".",""))</f>
        <v/>
      </c>
      <c r="I5465" s="10" t="str">
        <f aca="false">IF($D5465="","",SUBSTITUTE(SUBSTITUTE(SUBSTITUTE($D5465,"-","")," ",""),".",""))</f>
        <v/>
      </c>
      <c r="J5465" s="10" t="str">
        <f aca="false">IF($E5465="","",UPPER(SUBSTITUTE($E5465," ","")))</f>
        <v/>
      </c>
      <c r="K5465" s="10" t="str">
        <f aca="false">IF($A5465="","",$G5465&amp;"|"&amp;$J5465)</f>
        <v/>
      </c>
      <c r="L5465" s="10" t="str">
        <f aca="false">IF($A5465="","",ROW()-2)</f>
        <v/>
      </c>
      <c r="M5465" s="10" t="str">
        <f aca="false">IF($A5465="","",ROW())</f>
        <v/>
      </c>
    </row>
    <row r="5466" customFormat="false" ht="15" hidden="false" customHeight="true" outlineLevel="0" collapsed="false">
      <c r="A5466" s="8"/>
      <c r="B5466" s="8"/>
      <c r="C5466" s="8"/>
      <c r="D5466" s="8"/>
      <c r="E5466" s="8"/>
      <c r="F5466" s="8"/>
      <c r="G5466" s="10" t="str">
        <f aca="false">IF($A5466="","",UPPER(SUBSTITUTE(SUBSTITUTE(SUBSTITUTE(SUBSTITUTE($A5466," ",""),"(주)",""),"주식회사",""),"㈜","")))</f>
        <v/>
      </c>
      <c r="H5466" s="10" t="str">
        <f aca="false">IF($B5466="","",SUBSTITUTE(SUBSTITUTE(SUBSTITUTE($B5466,"-","")," ",""),".",""))</f>
        <v/>
      </c>
      <c r="I5466" s="10" t="str">
        <f aca="false">IF($D5466="","",SUBSTITUTE(SUBSTITUTE(SUBSTITUTE($D5466,"-","")," ",""),".",""))</f>
        <v/>
      </c>
      <c r="J5466" s="10" t="str">
        <f aca="false">IF($E5466="","",UPPER(SUBSTITUTE($E5466," ","")))</f>
        <v/>
      </c>
      <c r="K5466" s="10" t="str">
        <f aca="false">IF($A5466="","",$G5466&amp;"|"&amp;$J5466)</f>
        <v/>
      </c>
      <c r="L5466" s="10" t="str">
        <f aca="false">IF($A5466="","",ROW()-2)</f>
        <v/>
      </c>
      <c r="M5466" s="10" t="str">
        <f aca="false">IF($A5466="","",ROW())</f>
        <v/>
      </c>
    </row>
    <row r="5467" customFormat="false" ht="15" hidden="false" customHeight="true" outlineLevel="0" collapsed="false">
      <c r="A5467" s="8"/>
      <c r="B5467" s="8"/>
      <c r="C5467" s="8"/>
      <c r="D5467" s="8"/>
      <c r="E5467" s="8"/>
      <c r="F5467" s="8"/>
      <c r="G5467" s="10" t="str">
        <f aca="false">IF($A5467="","",UPPER(SUBSTITUTE(SUBSTITUTE(SUBSTITUTE(SUBSTITUTE($A5467," ",""),"(주)",""),"주식회사",""),"㈜","")))</f>
        <v/>
      </c>
      <c r="H5467" s="10" t="str">
        <f aca="false">IF($B5467="","",SUBSTITUTE(SUBSTITUTE(SUBSTITUTE($B5467,"-","")," ",""),".",""))</f>
        <v/>
      </c>
      <c r="I5467" s="10" t="str">
        <f aca="false">IF($D5467="","",SUBSTITUTE(SUBSTITUTE(SUBSTITUTE($D5467,"-","")," ",""),".",""))</f>
        <v/>
      </c>
      <c r="J5467" s="10" t="str">
        <f aca="false">IF($E5467="","",UPPER(SUBSTITUTE($E5467," ","")))</f>
        <v/>
      </c>
      <c r="K5467" s="10" t="str">
        <f aca="false">IF($A5467="","",$G5467&amp;"|"&amp;$J5467)</f>
        <v/>
      </c>
      <c r="L5467" s="10" t="str">
        <f aca="false">IF($A5467="","",ROW()-2)</f>
        <v/>
      </c>
      <c r="M5467" s="10" t="str">
        <f aca="false">IF($A5467="","",ROW())</f>
        <v/>
      </c>
    </row>
    <row r="5468" customFormat="false" ht="15" hidden="false" customHeight="true" outlineLevel="0" collapsed="false">
      <c r="A5468" s="8"/>
      <c r="B5468" s="8"/>
      <c r="C5468" s="8"/>
      <c r="D5468" s="8"/>
      <c r="E5468" s="8"/>
      <c r="F5468" s="8"/>
      <c r="G5468" s="10" t="str">
        <f aca="false">IF($A5468="","",UPPER(SUBSTITUTE(SUBSTITUTE(SUBSTITUTE(SUBSTITUTE($A5468," ",""),"(주)",""),"주식회사",""),"㈜","")))</f>
        <v/>
      </c>
      <c r="H5468" s="10" t="str">
        <f aca="false">IF($B5468="","",SUBSTITUTE(SUBSTITUTE(SUBSTITUTE($B5468,"-","")," ",""),".",""))</f>
        <v/>
      </c>
      <c r="I5468" s="10" t="str">
        <f aca="false">IF($D5468="","",SUBSTITUTE(SUBSTITUTE(SUBSTITUTE($D5468,"-","")," ",""),".",""))</f>
        <v/>
      </c>
      <c r="J5468" s="10" t="str">
        <f aca="false">IF($E5468="","",UPPER(SUBSTITUTE($E5468," ","")))</f>
        <v/>
      </c>
      <c r="K5468" s="10" t="str">
        <f aca="false">IF($A5468="","",$G5468&amp;"|"&amp;$J5468)</f>
        <v/>
      </c>
      <c r="L5468" s="10" t="str">
        <f aca="false">IF($A5468="","",ROW()-2)</f>
        <v/>
      </c>
      <c r="M5468" s="10" t="str">
        <f aca="false">IF($A5468="","",ROW())</f>
        <v/>
      </c>
    </row>
    <row r="5469" customFormat="false" ht="15" hidden="false" customHeight="true" outlineLevel="0" collapsed="false">
      <c r="A5469" s="8"/>
      <c r="B5469" s="8"/>
      <c r="C5469" s="8"/>
      <c r="D5469" s="8"/>
      <c r="E5469" s="8"/>
      <c r="F5469" s="8"/>
      <c r="G5469" s="10" t="str">
        <f aca="false">IF($A5469="","",UPPER(SUBSTITUTE(SUBSTITUTE(SUBSTITUTE(SUBSTITUTE($A5469," ",""),"(주)",""),"주식회사",""),"㈜","")))</f>
        <v/>
      </c>
      <c r="H5469" s="10" t="str">
        <f aca="false">IF($B5469="","",SUBSTITUTE(SUBSTITUTE(SUBSTITUTE($B5469,"-","")," ",""),".",""))</f>
        <v/>
      </c>
      <c r="I5469" s="10" t="str">
        <f aca="false">IF($D5469="","",SUBSTITUTE(SUBSTITUTE(SUBSTITUTE($D5469,"-","")," ",""),".",""))</f>
        <v/>
      </c>
      <c r="J5469" s="10" t="str">
        <f aca="false">IF($E5469="","",UPPER(SUBSTITUTE($E5469," ","")))</f>
        <v/>
      </c>
      <c r="K5469" s="10" t="str">
        <f aca="false">IF($A5469="","",$G5469&amp;"|"&amp;$J5469)</f>
        <v/>
      </c>
      <c r="L5469" s="10" t="str">
        <f aca="false">IF($A5469="","",ROW()-2)</f>
        <v/>
      </c>
      <c r="M5469" s="10" t="str">
        <f aca="false">IF($A5469="","",ROW())</f>
        <v/>
      </c>
    </row>
    <row r="5470" customFormat="false" ht="15" hidden="false" customHeight="true" outlineLevel="0" collapsed="false">
      <c r="A5470" s="8"/>
      <c r="B5470" s="8"/>
      <c r="C5470" s="8"/>
      <c r="D5470" s="8"/>
      <c r="E5470" s="8"/>
      <c r="F5470" s="8"/>
      <c r="G5470" s="10" t="str">
        <f aca="false">IF($A5470="","",UPPER(SUBSTITUTE(SUBSTITUTE(SUBSTITUTE(SUBSTITUTE($A5470," ",""),"(주)",""),"주식회사",""),"㈜","")))</f>
        <v/>
      </c>
      <c r="H5470" s="10" t="str">
        <f aca="false">IF($B5470="","",SUBSTITUTE(SUBSTITUTE(SUBSTITUTE($B5470,"-","")," ",""),".",""))</f>
        <v/>
      </c>
      <c r="I5470" s="10" t="str">
        <f aca="false">IF($D5470="","",SUBSTITUTE(SUBSTITUTE(SUBSTITUTE($D5470,"-","")," ",""),".",""))</f>
        <v/>
      </c>
      <c r="J5470" s="10" t="str">
        <f aca="false">IF($E5470="","",UPPER(SUBSTITUTE($E5470," ","")))</f>
        <v/>
      </c>
      <c r="K5470" s="10" t="str">
        <f aca="false">IF($A5470="","",$G5470&amp;"|"&amp;$J5470)</f>
        <v/>
      </c>
      <c r="L5470" s="10" t="str">
        <f aca="false">IF($A5470="","",ROW()-2)</f>
        <v/>
      </c>
      <c r="M5470" s="10" t="str">
        <f aca="false">IF($A5470="","",ROW())</f>
        <v/>
      </c>
    </row>
    <row r="5471" customFormat="false" ht="15" hidden="false" customHeight="true" outlineLevel="0" collapsed="false">
      <c r="A5471" s="8"/>
      <c r="B5471" s="8"/>
      <c r="C5471" s="8"/>
      <c r="D5471" s="8"/>
      <c r="E5471" s="8"/>
      <c r="F5471" s="8"/>
      <c r="G5471" s="10" t="str">
        <f aca="false">IF($A5471="","",UPPER(SUBSTITUTE(SUBSTITUTE(SUBSTITUTE(SUBSTITUTE($A5471," ",""),"(주)",""),"주식회사",""),"㈜","")))</f>
        <v/>
      </c>
      <c r="H5471" s="10" t="str">
        <f aca="false">IF($B5471="","",SUBSTITUTE(SUBSTITUTE(SUBSTITUTE($B5471,"-","")," ",""),".",""))</f>
        <v/>
      </c>
      <c r="I5471" s="10" t="str">
        <f aca="false">IF($D5471="","",SUBSTITUTE(SUBSTITUTE(SUBSTITUTE($D5471,"-","")," ",""),".",""))</f>
        <v/>
      </c>
      <c r="J5471" s="10" t="str">
        <f aca="false">IF($E5471="","",UPPER(SUBSTITUTE($E5471," ","")))</f>
        <v/>
      </c>
      <c r="K5471" s="10" t="str">
        <f aca="false">IF($A5471="","",$G5471&amp;"|"&amp;$J5471)</f>
        <v/>
      </c>
      <c r="L5471" s="10" t="str">
        <f aca="false">IF($A5471="","",ROW()-2)</f>
        <v/>
      </c>
      <c r="M5471" s="10" t="str">
        <f aca="false">IF($A5471="","",ROW())</f>
        <v/>
      </c>
    </row>
    <row r="5472" customFormat="false" ht="15" hidden="false" customHeight="true" outlineLevel="0" collapsed="false">
      <c r="A5472" s="8"/>
      <c r="B5472" s="8"/>
      <c r="C5472" s="8"/>
      <c r="D5472" s="8"/>
      <c r="E5472" s="8"/>
      <c r="F5472" s="8"/>
      <c r="G5472" s="10" t="str">
        <f aca="false">IF($A5472="","",UPPER(SUBSTITUTE(SUBSTITUTE(SUBSTITUTE(SUBSTITUTE($A5472," ",""),"(주)",""),"주식회사",""),"㈜","")))</f>
        <v/>
      </c>
      <c r="H5472" s="10" t="str">
        <f aca="false">IF($B5472="","",SUBSTITUTE(SUBSTITUTE(SUBSTITUTE($B5472,"-","")," ",""),".",""))</f>
        <v/>
      </c>
      <c r="I5472" s="10" t="str">
        <f aca="false">IF($D5472="","",SUBSTITUTE(SUBSTITUTE(SUBSTITUTE($D5472,"-","")," ",""),".",""))</f>
        <v/>
      </c>
      <c r="J5472" s="10" t="str">
        <f aca="false">IF($E5472="","",UPPER(SUBSTITUTE($E5472," ","")))</f>
        <v/>
      </c>
      <c r="K5472" s="10" t="str">
        <f aca="false">IF($A5472="","",$G5472&amp;"|"&amp;$J5472)</f>
        <v/>
      </c>
      <c r="L5472" s="10" t="str">
        <f aca="false">IF($A5472="","",ROW()-2)</f>
        <v/>
      </c>
      <c r="M5472" s="10" t="str">
        <f aca="false">IF($A5472="","",ROW())</f>
        <v/>
      </c>
    </row>
    <row r="5473" customFormat="false" ht="15" hidden="false" customHeight="true" outlineLevel="0" collapsed="false">
      <c r="A5473" s="8"/>
      <c r="B5473" s="8"/>
      <c r="C5473" s="8"/>
      <c r="D5473" s="8"/>
      <c r="E5473" s="8"/>
      <c r="F5473" s="8"/>
      <c r="G5473" s="10" t="str">
        <f aca="false">IF($A5473="","",UPPER(SUBSTITUTE(SUBSTITUTE(SUBSTITUTE(SUBSTITUTE($A5473," ",""),"(주)",""),"주식회사",""),"㈜","")))</f>
        <v/>
      </c>
      <c r="H5473" s="10" t="str">
        <f aca="false">IF($B5473="","",SUBSTITUTE(SUBSTITUTE(SUBSTITUTE($B5473,"-","")," ",""),".",""))</f>
        <v/>
      </c>
      <c r="I5473" s="10" t="str">
        <f aca="false">IF($D5473="","",SUBSTITUTE(SUBSTITUTE(SUBSTITUTE($D5473,"-","")," ",""),".",""))</f>
        <v/>
      </c>
      <c r="J5473" s="10" t="str">
        <f aca="false">IF($E5473="","",UPPER(SUBSTITUTE($E5473," ","")))</f>
        <v/>
      </c>
      <c r="K5473" s="10" t="str">
        <f aca="false">IF($A5473="","",$G5473&amp;"|"&amp;$J5473)</f>
        <v/>
      </c>
      <c r="L5473" s="10" t="str">
        <f aca="false">IF($A5473="","",ROW()-2)</f>
        <v/>
      </c>
      <c r="M5473" s="10" t="str">
        <f aca="false">IF($A5473="","",ROW())</f>
        <v/>
      </c>
    </row>
    <row r="5474" customFormat="false" ht="15" hidden="false" customHeight="true" outlineLevel="0" collapsed="false">
      <c r="A5474" s="8"/>
      <c r="B5474" s="8"/>
      <c r="C5474" s="8"/>
      <c r="D5474" s="8"/>
      <c r="E5474" s="8"/>
      <c r="F5474" s="8"/>
      <c r="G5474" s="10" t="str">
        <f aca="false">IF($A5474="","",UPPER(SUBSTITUTE(SUBSTITUTE(SUBSTITUTE(SUBSTITUTE($A5474," ",""),"(주)",""),"주식회사",""),"㈜","")))</f>
        <v/>
      </c>
      <c r="H5474" s="10" t="str">
        <f aca="false">IF($B5474="","",SUBSTITUTE(SUBSTITUTE(SUBSTITUTE($B5474,"-","")," ",""),".",""))</f>
        <v/>
      </c>
      <c r="I5474" s="10" t="str">
        <f aca="false">IF($D5474="","",SUBSTITUTE(SUBSTITUTE(SUBSTITUTE($D5474,"-","")," ",""),".",""))</f>
        <v/>
      </c>
      <c r="J5474" s="10" t="str">
        <f aca="false">IF($E5474="","",UPPER(SUBSTITUTE($E5474," ","")))</f>
        <v/>
      </c>
      <c r="K5474" s="10" t="str">
        <f aca="false">IF($A5474="","",$G5474&amp;"|"&amp;$J5474)</f>
        <v/>
      </c>
      <c r="L5474" s="10" t="str">
        <f aca="false">IF($A5474="","",ROW()-2)</f>
        <v/>
      </c>
      <c r="M5474" s="10" t="str">
        <f aca="false">IF($A5474="","",ROW())</f>
        <v/>
      </c>
    </row>
    <row r="5475" customFormat="false" ht="15" hidden="false" customHeight="true" outlineLevel="0" collapsed="false">
      <c r="A5475" s="8"/>
      <c r="B5475" s="8"/>
      <c r="C5475" s="8"/>
      <c r="D5475" s="8"/>
      <c r="E5475" s="8"/>
      <c r="F5475" s="8"/>
      <c r="G5475" s="10" t="str">
        <f aca="false">IF($A5475="","",UPPER(SUBSTITUTE(SUBSTITUTE(SUBSTITUTE(SUBSTITUTE($A5475," ",""),"(주)",""),"주식회사",""),"㈜","")))</f>
        <v/>
      </c>
      <c r="H5475" s="10" t="str">
        <f aca="false">IF($B5475="","",SUBSTITUTE(SUBSTITUTE(SUBSTITUTE($B5475,"-","")," ",""),".",""))</f>
        <v/>
      </c>
      <c r="I5475" s="10" t="str">
        <f aca="false">IF($D5475="","",SUBSTITUTE(SUBSTITUTE(SUBSTITUTE($D5475,"-","")," ",""),".",""))</f>
        <v/>
      </c>
      <c r="J5475" s="10" t="str">
        <f aca="false">IF($E5475="","",UPPER(SUBSTITUTE($E5475," ","")))</f>
        <v/>
      </c>
      <c r="K5475" s="10" t="str">
        <f aca="false">IF($A5475="","",$G5475&amp;"|"&amp;$J5475)</f>
        <v/>
      </c>
      <c r="L5475" s="10" t="str">
        <f aca="false">IF($A5475="","",ROW()-2)</f>
        <v/>
      </c>
      <c r="M5475" s="10" t="str">
        <f aca="false">IF($A5475="","",ROW())</f>
        <v/>
      </c>
    </row>
    <row r="5476" customFormat="false" ht="15" hidden="false" customHeight="true" outlineLevel="0" collapsed="false">
      <c r="A5476" s="8"/>
      <c r="B5476" s="8"/>
      <c r="C5476" s="8"/>
      <c r="D5476" s="8"/>
      <c r="E5476" s="8"/>
      <c r="F5476" s="8"/>
      <c r="G5476" s="10" t="str">
        <f aca="false">IF($A5476="","",UPPER(SUBSTITUTE(SUBSTITUTE(SUBSTITUTE(SUBSTITUTE($A5476," ",""),"(주)",""),"주식회사",""),"㈜","")))</f>
        <v/>
      </c>
      <c r="H5476" s="10" t="str">
        <f aca="false">IF($B5476="","",SUBSTITUTE(SUBSTITUTE(SUBSTITUTE($B5476,"-","")," ",""),".",""))</f>
        <v/>
      </c>
      <c r="I5476" s="10" t="str">
        <f aca="false">IF($D5476="","",SUBSTITUTE(SUBSTITUTE(SUBSTITUTE($D5476,"-","")," ",""),".",""))</f>
        <v/>
      </c>
      <c r="J5476" s="10" t="str">
        <f aca="false">IF($E5476="","",UPPER(SUBSTITUTE($E5476," ","")))</f>
        <v/>
      </c>
      <c r="K5476" s="10" t="str">
        <f aca="false">IF($A5476="","",$G5476&amp;"|"&amp;$J5476)</f>
        <v/>
      </c>
      <c r="L5476" s="10" t="str">
        <f aca="false">IF($A5476="","",ROW()-2)</f>
        <v/>
      </c>
      <c r="M5476" s="10" t="str">
        <f aca="false">IF($A5476="","",ROW())</f>
        <v/>
      </c>
    </row>
    <row r="5477" customFormat="false" ht="15" hidden="false" customHeight="true" outlineLevel="0" collapsed="false">
      <c r="A5477" s="8"/>
      <c r="B5477" s="8"/>
      <c r="C5477" s="8"/>
      <c r="D5477" s="8"/>
      <c r="E5477" s="8"/>
      <c r="F5477" s="8"/>
      <c r="G5477" s="10" t="str">
        <f aca="false">IF($A5477="","",UPPER(SUBSTITUTE(SUBSTITUTE(SUBSTITUTE(SUBSTITUTE($A5477," ",""),"(주)",""),"주식회사",""),"㈜","")))</f>
        <v/>
      </c>
      <c r="H5477" s="10" t="str">
        <f aca="false">IF($B5477="","",SUBSTITUTE(SUBSTITUTE(SUBSTITUTE($B5477,"-","")," ",""),".",""))</f>
        <v/>
      </c>
      <c r="I5477" s="10" t="str">
        <f aca="false">IF($D5477="","",SUBSTITUTE(SUBSTITUTE(SUBSTITUTE($D5477,"-","")," ",""),".",""))</f>
        <v/>
      </c>
      <c r="J5477" s="10" t="str">
        <f aca="false">IF($E5477="","",UPPER(SUBSTITUTE($E5477," ","")))</f>
        <v/>
      </c>
      <c r="K5477" s="10" t="str">
        <f aca="false">IF($A5477="","",$G5477&amp;"|"&amp;$J5477)</f>
        <v/>
      </c>
      <c r="L5477" s="10" t="str">
        <f aca="false">IF($A5477="","",ROW()-2)</f>
        <v/>
      </c>
      <c r="M5477" s="10" t="str">
        <f aca="false">IF($A5477="","",ROW())</f>
        <v/>
      </c>
    </row>
    <row r="5478" customFormat="false" ht="15" hidden="false" customHeight="true" outlineLevel="0" collapsed="false">
      <c r="A5478" s="8"/>
      <c r="B5478" s="8"/>
      <c r="C5478" s="8"/>
      <c r="D5478" s="8"/>
      <c r="E5478" s="8"/>
      <c r="F5478" s="8"/>
      <c r="G5478" s="10" t="str">
        <f aca="false">IF($A5478="","",UPPER(SUBSTITUTE(SUBSTITUTE(SUBSTITUTE(SUBSTITUTE($A5478," ",""),"(주)",""),"주식회사",""),"㈜","")))</f>
        <v/>
      </c>
      <c r="H5478" s="10" t="str">
        <f aca="false">IF($B5478="","",SUBSTITUTE(SUBSTITUTE(SUBSTITUTE($B5478,"-","")," ",""),".",""))</f>
        <v/>
      </c>
      <c r="I5478" s="10" t="str">
        <f aca="false">IF($D5478="","",SUBSTITUTE(SUBSTITUTE(SUBSTITUTE($D5478,"-","")," ",""),".",""))</f>
        <v/>
      </c>
      <c r="J5478" s="10" t="str">
        <f aca="false">IF($E5478="","",UPPER(SUBSTITUTE($E5478," ","")))</f>
        <v/>
      </c>
      <c r="K5478" s="10" t="str">
        <f aca="false">IF($A5478="","",$G5478&amp;"|"&amp;$J5478)</f>
        <v/>
      </c>
      <c r="L5478" s="10" t="str">
        <f aca="false">IF($A5478="","",ROW()-2)</f>
        <v/>
      </c>
      <c r="M5478" s="10" t="str">
        <f aca="false">IF($A5478="","",ROW())</f>
        <v/>
      </c>
    </row>
    <row r="5479" customFormat="false" ht="15" hidden="false" customHeight="true" outlineLevel="0" collapsed="false">
      <c r="A5479" s="8"/>
      <c r="B5479" s="8"/>
      <c r="C5479" s="8"/>
      <c r="D5479" s="8"/>
      <c r="E5479" s="8"/>
      <c r="F5479" s="8"/>
      <c r="G5479" s="10" t="str">
        <f aca="false">IF($A5479="","",UPPER(SUBSTITUTE(SUBSTITUTE(SUBSTITUTE(SUBSTITUTE($A5479," ",""),"(주)",""),"주식회사",""),"㈜","")))</f>
        <v/>
      </c>
      <c r="H5479" s="10" t="str">
        <f aca="false">IF($B5479="","",SUBSTITUTE(SUBSTITUTE(SUBSTITUTE($B5479,"-","")," ",""),".",""))</f>
        <v/>
      </c>
      <c r="I5479" s="10" t="str">
        <f aca="false">IF($D5479="","",SUBSTITUTE(SUBSTITUTE(SUBSTITUTE($D5479,"-","")," ",""),".",""))</f>
        <v/>
      </c>
      <c r="J5479" s="10" t="str">
        <f aca="false">IF($E5479="","",UPPER(SUBSTITUTE($E5479," ","")))</f>
        <v/>
      </c>
      <c r="K5479" s="10" t="str">
        <f aca="false">IF($A5479="","",$G5479&amp;"|"&amp;$J5479)</f>
        <v/>
      </c>
      <c r="L5479" s="10" t="str">
        <f aca="false">IF($A5479="","",ROW()-2)</f>
        <v/>
      </c>
      <c r="M5479" s="10" t="str">
        <f aca="false">IF($A5479="","",ROW())</f>
        <v/>
      </c>
    </row>
    <row r="5480" customFormat="false" ht="15" hidden="false" customHeight="true" outlineLevel="0" collapsed="false">
      <c r="A5480" s="8"/>
      <c r="B5480" s="8"/>
      <c r="C5480" s="8"/>
      <c r="D5480" s="8"/>
      <c r="E5480" s="8"/>
      <c r="F5480" s="8"/>
      <c r="G5480" s="10" t="str">
        <f aca="false">IF($A5480="","",UPPER(SUBSTITUTE(SUBSTITUTE(SUBSTITUTE(SUBSTITUTE($A5480," ",""),"(주)",""),"주식회사",""),"㈜","")))</f>
        <v/>
      </c>
      <c r="H5480" s="10" t="str">
        <f aca="false">IF($B5480="","",SUBSTITUTE(SUBSTITUTE(SUBSTITUTE($B5480,"-","")," ",""),".",""))</f>
        <v/>
      </c>
      <c r="I5480" s="10" t="str">
        <f aca="false">IF($D5480="","",SUBSTITUTE(SUBSTITUTE(SUBSTITUTE($D5480,"-","")," ",""),".",""))</f>
        <v/>
      </c>
      <c r="J5480" s="10" t="str">
        <f aca="false">IF($E5480="","",UPPER(SUBSTITUTE($E5480," ","")))</f>
        <v/>
      </c>
      <c r="K5480" s="10" t="str">
        <f aca="false">IF($A5480="","",$G5480&amp;"|"&amp;$J5480)</f>
        <v/>
      </c>
      <c r="L5480" s="10" t="str">
        <f aca="false">IF($A5480="","",ROW()-2)</f>
        <v/>
      </c>
      <c r="M5480" s="10" t="str">
        <f aca="false">IF($A5480="","",ROW())</f>
        <v/>
      </c>
    </row>
    <row r="5481" customFormat="false" ht="15" hidden="false" customHeight="true" outlineLevel="0" collapsed="false">
      <c r="A5481" s="8"/>
      <c r="B5481" s="8"/>
      <c r="C5481" s="8"/>
      <c r="D5481" s="8"/>
      <c r="E5481" s="8"/>
      <c r="F5481" s="8"/>
      <c r="G5481" s="10" t="str">
        <f aca="false">IF($A5481="","",UPPER(SUBSTITUTE(SUBSTITUTE(SUBSTITUTE(SUBSTITUTE($A5481," ",""),"(주)",""),"주식회사",""),"㈜","")))</f>
        <v/>
      </c>
      <c r="H5481" s="10" t="str">
        <f aca="false">IF($B5481="","",SUBSTITUTE(SUBSTITUTE(SUBSTITUTE($B5481,"-","")," ",""),".",""))</f>
        <v/>
      </c>
      <c r="I5481" s="10" t="str">
        <f aca="false">IF($D5481="","",SUBSTITUTE(SUBSTITUTE(SUBSTITUTE($D5481,"-","")," ",""),".",""))</f>
        <v/>
      </c>
      <c r="J5481" s="10" t="str">
        <f aca="false">IF($E5481="","",UPPER(SUBSTITUTE($E5481," ","")))</f>
        <v/>
      </c>
      <c r="K5481" s="10" t="str">
        <f aca="false">IF($A5481="","",$G5481&amp;"|"&amp;$J5481)</f>
        <v/>
      </c>
      <c r="L5481" s="10" t="str">
        <f aca="false">IF($A5481="","",ROW()-2)</f>
        <v/>
      </c>
      <c r="M5481" s="10" t="str">
        <f aca="false">IF($A5481="","",ROW())</f>
        <v/>
      </c>
    </row>
    <row r="5482" customFormat="false" ht="15" hidden="false" customHeight="true" outlineLevel="0" collapsed="false">
      <c r="A5482" s="8"/>
      <c r="B5482" s="8"/>
      <c r="C5482" s="8"/>
      <c r="D5482" s="8"/>
      <c r="E5482" s="8"/>
      <c r="F5482" s="8"/>
      <c r="G5482" s="10" t="str">
        <f aca="false">IF($A5482="","",UPPER(SUBSTITUTE(SUBSTITUTE(SUBSTITUTE(SUBSTITUTE($A5482," ",""),"(주)",""),"주식회사",""),"㈜","")))</f>
        <v/>
      </c>
      <c r="H5482" s="10" t="str">
        <f aca="false">IF($B5482="","",SUBSTITUTE(SUBSTITUTE(SUBSTITUTE($B5482,"-","")," ",""),".",""))</f>
        <v/>
      </c>
      <c r="I5482" s="10" t="str">
        <f aca="false">IF($D5482="","",SUBSTITUTE(SUBSTITUTE(SUBSTITUTE($D5482,"-","")," ",""),".",""))</f>
        <v/>
      </c>
      <c r="J5482" s="10" t="str">
        <f aca="false">IF($E5482="","",UPPER(SUBSTITUTE($E5482," ","")))</f>
        <v/>
      </c>
      <c r="K5482" s="10" t="str">
        <f aca="false">IF($A5482="","",$G5482&amp;"|"&amp;$J5482)</f>
        <v/>
      </c>
      <c r="L5482" s="10" t="str">
        <f aca="false">IF($A5482="","",ROW()-2)</f>
        <v/>
      </c>
      <c r="M5482" s="10" t="str">
        <f aca="false">IF($A5482="","",ROW())</f>
        <v/>
      </c>
    </row>
    <row r="5483" customFormat="false" ht="15" hidden="false" customHeight="true" outlineLevel="0" collapsed="false">
      <c r="A5483" s="8"/>
      <c r="B5483" s="8"/>
      <c r="C5483" s="8"/>
      <c r="D5483" s="8"/>
      <c r="E5483" s="8"/>
      <c r="F5483" s="8"/>
      <c r="G5483" s="10" t="str">
        <f aca="false">IF($A5483="","",UPPER(SUBSTITUTE(SUBSTITUTE(SUBSTITUTE(SUBSTITUTE($A5483," ",""),"(주)",""),"주식회사",""),"㈜","")))</f>
        <v/>
      </c>
      <c r="H5483" s="10" t="str">
        <f aca="false">IF($B5483="","",SUBSTITUTE(SUBSTITUTE(SUBSTITUTE($B5483,"-","")," ",""),".",""))</f>
        <v/>
      </c>
      <c r="I5483" s="10" t="str">
        <f aca="false">IF($D5483="","",SUBSTITUTE(SUBSTITUTE(SUBSTITUTE($D5483,"-","")," ",""),".",""))</f>
        <v/>
      </c>
      <c r="J5483" s="10" t="str">
        <f aca="false">IF($E5483="","",UPPER(SUBSTITUTE($E5483," ","")))</f>
        <v/>
      </c>
      <c r="K5483" s="10" t="str">
        <f aca="false">IF($A5483="","",$G5483&amp;"|"&amp;$J5483)</f>
        <v/>
      </c>
      <c r="L5483" s="10" t="str">
        <f aca="false">IF($A5483="","",ROW()-2)</f>
        <v/>
      </c>
      <c r="M5483" s="10" t="str">
        <f aca="false">IF($A5483="","",ROW())</f>
        <v/>
      </c>
    </row>
    <row r="5484" customFormat="false" ht="15" hidden="false" customHeight="true" outlineLevel="0" collapsed="false">
      <c r="A5484" s="8"/>
      <c r="B5484" s="8"/>
      <c r="C5484" s="8"/>
      <c r="D5484" s="8"/>
      <c r="E5484" s="8"/>
      <c r="F5484" s="8"/>
      <c r="G5484" s="10" t="str">
        <f aca="false">IF($A5484="","",UPPER(SUBSTITUTE(SUBSTITUTE(SUBSTITUTE(SUBSTITUTE($A5484," ",""),"(주)",""),"주식회사",""),"㈜","")))</f>
        <v/>
      </c>
      <c r="H5484" s="10" t="str">
        <f aca="false">IF($B5484="","",SUBSTITUTE(SUBSTITUTE(SUBSTITUTE($B5484,"-","")," ",""),".",""))</f>
        <v/>
      </c>
      <c r="I5484" s="10" t="str">
        <f aca="false">IF($D5484="","",SUBSTITUTE(SUBSTITUTE(SUBSTITUTE($D5484,"-","")," ",""),".",""))</f>
        <v/>
      </c>
      <c r="J5484" s="10" t="str">
        <f aca="false">IF($E5484="","",UPPER(SUBSTITUTE($E5484," ","")))</f>
        <v/>
      </c>
      <c r="K5484" s="10" t="str">
        <f aca="false">IF($A5484="","",$G5484&amp;"|"&amp;$J5484)</f>
        <v/>
      </c>
      <c r="L5484" s="10" t="str">
        <f aca="false">IF($A5484="","",ROW()-2)</f>
        <v/>
      </c>
      <c r="M5484" s="10" t="str">
        <f aca="false">IF($A5484="","",ROW())</f>
        <v/>
      </c>
    </row>
    <row r="5485" customFormat="false" ht="15" hidden="false" customHeight="true" outlineLevel="0" collapsed="false">
      <c r="A5485" s="8"/>
      <c r="B5485" s="8"/>
      <c r="C5485" s="8"/>
      <c r="D5485" s="8"/>
      <c r="E5485" s="8"/>
      <c r="F5485" s="8"/>
      <c r="G5485" s="10" t="str">
        <f aca="false">IF($A5485="","",UPPER(SUBSTITUTE(SUBSTITUTE(SUBSTITUTE(SUBSTITUTE($A5485," ",""),"(주)",""),"주식회사",""),"㈜","")))</f>
        <v/>
      </c>
      <c r="H5485" s="10" t="str">
        <f aca="false">IF($B5485="","",SUBSTITUTE(SUBSTITUTE(SUBSTITUTE($B5485,"-","")," ",""),".",""))</f>
        <v/>
      </c>
      <c r="I5485" s="10" t="str">
        <f aca="false">IF($D5485="","",SUBSTITUTE(SUBSTITUTE(SUBSTITUTE($D5485,"-","")," ",""),".",""))</f>
        <v/>
      </c>
      <c r="J5485" s="10" t="str">
        <f aca="false">IF($E5485="","",UPPER(SUBSTITUTE($E5485," ","")))</f>
        <v/>
      </c>
      <c r="K5485" s="10" t="str">
        <f aca="false">IF($A5485="","",$G5485&amp;"|"&amp;$J5485)</f>
        <v/>
      </c>
      <c r="L5485" s="10" t="str">
        <f aca="false">IF($A5485="","",ROW()-2)</f>
        <v/>
      </c>
      <c r="M5485" s="10" t="str">
        <f aca="false">IF($A5485="","",ROW())</f>
        <v/>
      </c>
    </row>
    <row r="5486" customFormat="false" ht="15" hidden="false" customHeight="true" outlineLevel="0" collapsed="false">
      <c r="A5486" s="8"/>
      <c r="B5486" s="8"/>
      <c r="C5486" s="8"/>
      <c r="D5486" s="8"/>
      <c r="E5486" s="8"/>
      <c r="F5486" s="8"/>
      <c r="G5486" s="10" t="str">
        <f aca="false">IF($A5486="","",UPPER(SUBSTITUTE(SUBSTITUTE(SUBSTITUTE(SUBSTITUTE($A5486," ",""),"(주)",""),"주식회사",""),"㈜","")))</f>
        <v/>
      </c>
      <c r="H5486" s="10" t="str">
        <f aca="false">IF($B5486="","",SUBSTITUTE(SUBSTITUTE(SUBSTITUTE($B5486,"-","")," ",""),".",""))</f>
        <v/>
      </c>
      <c r="I5486" s="10" t="str">
        <f aca="false">IF($D5486="","",SUBSTITUTE(SUBSTITUTE(SUBSTITUTE($D5486,"-","")," ",""),".",""))</f>
        <v/>
      </c>
      <c r="J5486" s="10" t="str">
        <f aca="false">IF($E5486="","",UPPER(SUBSTITUTE($E5486," ","")))</f>
        <v/>
      </c>
      <c r="K5486" s="10" t="str">
        <f aca="false">IF($A5486="","",$G5486&amp;"|"&amp;$J5486)</f>
        <v/>
      </c>
      <c r="L5486" s="10" t="str">
        <f aca="false">IF($A5486="","",ROW()-2)</f>
        <v/>
      </c>
      <c r="M5486" s="10" t="str">
        <f aca="false">IF($A5486="","",ROW())</f>
        <v/>
      </c>
    </row>
    <row r="5487" customFormat="false" ht="15" hidden="false" customHeight="true" outlineLevel="0" collapsed="false">
      <c r="A5487" s="8"/>
      <c r="B5487" s="8"/>
      <c r="C5487" s="8"/>
      <c r="D5487" s="8"/>
      <c r="E5487" s="8"/>
      <c r="F5487" s="8"/>
      <c r="G5487" s="10" t="str">
        <f aca="false">IF($A5487="","",UPPER(SUBSTITUTE(SUBSTITUTE(SUBSTITUTE(SUBSTITUTE($A5487," ",""),"(주)",""),"주식회사",""),"㈜","")))</f>
        <v/>
      </c>
      <c r="H5487" s="10" t="str">
        <f aca="false">IF($B5487="","",SUBSTITUTE(SUBSTITUTE(SUBSTITUTE($B5487,"-","")," ",""),".",""))</f>
        <v/>
      </c>
      <c r="I5487" s="10" t="str">
        <f aca="false">IF($D5487="","",SUBSTITUTE(SUBSTITUTE(SUBSTITUTE($D5487,"-","")," ",""),".",""))</f>
        <v/>
      </c>
      <c r="J5487" s="10" t="str">
        <f aca="false">IF($E5487="","",UPPER(SUBSTITUTE($E5487," ","")))</f>
        <v/>
      </c>
      <c r="K5487" s="10" t="str">
        <f aca="false">IF($A5487="","",$G5487&amp;"|"&amp;$J5487)</f>
        <v/>
      </c>
      <c r="L5487" s="10" t="str">
        <f aca="false">IF($A5487="","",ROW()-2)</f>
        <v/>
      </c>
      <c r="M5487" s="10" t="str">
        <f aca="false">IF($A5487="","",ROW())</f>
        <v/>
      </c>
    </row>
    <row r="5488" customFormat="false" ht="15" hidden="false" customHeight="true" outlineLevel="0" collapsed="false">
      <c r="A5488" s="8"/>
      <c r="B5488" s="8"/>
      <c r="C5488" s="8"/>
      <c r="D5488" s="8"/>
      <c r="E5488" s="8"/>
      <c r="F5488" s="8"/>
      <c r="G5488" s="10" t="str">
        <f aca="false">IF($A5488="","",UPPER(SUBSTITUTE(SUBSTITUTE(SUBSTITUTE(SUBSTITUTE($A5488," ",""),"(주)",""),"주식회사",""),"㈜","")))</f>
        <v/>
      </c>
      <c r="H5488" s="10" t="str">
        <f aca="false">IF($B5488="","",SUBSTITUTE(SUBSTITUTE(SUBSTITUTE($B5488,"-","")," ",""),".",""))</f>
        <v/>
      </c>
      <c r="I5488" s="10" t="str">
        <f aca="false">IF($D5488="","",SUBSTITUTE(SUBSTITUTE(SUBSTITUTE($D5488,"-","")," ",""),".",""))</f>
        <v/>
      </c>
      <c r="J5488" s="10" t="str">
        <f aca="false">IF($E5488="","",UPPER(SUBSTITUTE($E5488," ","")))</f>
        <v/>
      </c>
      <c r="K5488" s="10" t="str">
        <f aca="false">IF($A5488="","",$G5488&amp;"|"&amp;$J5488)</f>
        <v/>
      </c>
      <c r="L5488" s="10" t="str">
        <f aca="false">IF($A5488="","",ROW()-2)</f>
        <v/>
      </c>
      <c r="M5488" s="10" t="str">
        <f aca="false">IF($A5488="","",ROW())</f>
        <v/>
      </c>
    </row>
    <row r="5489" customFormat="false" ht="15" hidden="false" customHeight="true" outlineLevel="0" collapsed="false">
      <c r="A5489" s="8"/>
      <c r="B5489" s="8"/>
      <c r="C5489" s="8"/>
      <c r="D5489" s="8"/>
      <c r="E5489" s="8"/>
      <c r="F5489" s="8"/>
      <c r="G5489" s="10" t="str">
        <f aca="false">IF($A5489="","",UPPER(SUBSTITUTE(SUBSTITUTE(SUBSTITUTE(SUBSTITUTE($A5489," ",""),"(주)",""),"주식회사",""),"㈜","")))</f>
        <v/>
      </c>
      <c r="H5489" s="10" t="str">
        <f aca="false">IF($B5489="","",SUBSTITUTE(SUBSTITUTE(SUBSTITUTE($B5489,"-","")," ",""),".",""))</f>
        <v/>
      </c>
      <c r="I5489" s="10" t="str">
        <f aca="false">IF($D5489="","",SUBSTITUTE(SUBSTITUTE(SUBSTITUTE($D5489,"-","")," ",""),".",""))</f>
        <v/>
      </c>
      <c r="J5489" s="10" t="str">
        <f aca="false">IF($E5489="","",UPPER(SUBSTITUTE($E5489," ","")))</f>
        <v/>
      </c>
      <c r="K5489" s="10" t="str">
        <f aca="false">IF($A5489="","",$G5489&amp;"|"&amp;$J5489)</f>
        <v/>
      </c>
      <c r="L5489" s="10" t="str">
        <f aca="false">IF($A5489="","",ROW()-2)</f>
        <v/>
      </c>
      <c r="M5489" s="10" t="str">
        <f aca="false">IF($A5489="","",ROW())</f>
        <v/>
      </c>
    </row>
    <row r="5490" customFormat="false" ht="15" hidden="false" customHeight="true" outlineLevel="0" collapsed="false">
      <c r="A5490" s="8"/>
      <c r="B5490" s="8"/>
      <c r="C5490" s="8"/>
      <c r="D5490" s="8"/>
      <c r="E5490" s="8"/>
      <c r="F5490" s="8"/>
      <c r="G5490" s="10" t="str">
        <f aca="false">IF($A5490="","",UPPER(SUBSTITUTE(SUBSTITUTE(SUBSTITUTE(SUBSTITUTE($A5490," ",""),"(주)",""),"주식회사",""),"㈜","")))</f>
        <v/>
      </c>
      <c r="H5490" s="10" t="str">
        <f aca="false">IF($B5490="","",SUBSTITUTE(SUBSTITUTE(SUBSTITUTE($B5490,"-","")," ",""),".",""))</f>
        <v/>
      </c>
      <c r="I5490" s="10" t="str">
        <f aca="false">IF($D5490="","",SUBSTITUTE(SUBSTITUTE(SUBSTITUTE($D5490,"-","")," ",""),".",""))</f>
        <v/>
      </c>
      <c r="J5490" s="10" t="str">
        <f aca="false">IF($E5490="","",UPPER(SUBSTITUTE($E5490," ","")))</f>
        <v/>
      </c>
      <c r="K5490" s="10" t="str">
        <f aca="false">IF($A5490="","",$G5490&amp;"|"&amp;$J5490)</f>
        <v/>
      </c>
      <c r="L5490" s="10" t="str">
        <f aca="false">IF($A5490="","",ROW()-2)</f>
        <v/>
      </c>
      <c r="M5490" s="10" t="str">
        <f aca="false">IF($A5490="","",ROW())</f>
        <v/>
      </c>
    </row>
    <row r="5491" customFormat="false" ht="15" hidden="false" customHeight="true" outlineLevel="0" collapsed="false">
      <c r="A5491" s="8"/>
      <c r="B5491" s="8"/>
      <c r="C5491" s="8"/>
      <c r="D5491" s="8"/>
      <c r="E5491" s="8"/>
      <c r="F5491" s="8"/>
      <c r="G5491" s="10" t="str">
        <f aca="false">IF($A5491="","",UPPER(SUBSTITUTE(SUBSTITUTE(SUBSTITUTE(SUBSTITUTE($A5491," ",""),"(주)",""),"주식회사",""),"㈜","")))</f>
        <v/>
      </c>
      <c r="H5491" s="10" t="str">
        <f aca="false">IF($B5491="","",SUBSTITUTE(SUBSTITUTE(SUBSTITUTE($B5491,"-","")," ",""),".",""))</f>
        <v/>
      </c>
      <c r="I5491" s="10" t="str">
        <f aca="false">IF($D5491="","",SUBSTITUTE(SUBSTITUTE(SUBSTITUTE($D5491,"-","")," ",""),".",""))</f>
        <v/>
      </c>
      <c r="J5491" s="10" t="str">
        <f aca="false">IF($E5491="","",UPPER(SUBSTITUTE($E5491," ","")))</f>
        <v/>
      </c>
      <c r="K5491" s="10" t="str">
        <f aca="false">IF($A5491="","",$G5491&amp;"|"&amp;$J5491)</f>
        <v/>
      </c>
      <c r="L5491" s="10" t="str">
        <f aca="false">IF($A5491="","",ROW()-2)</f>
        <v/>
      </c>
      <c r="M5491" s="10" t="str">
        <f aca="false">IF($A5491="","",ROW())</f>
        <v/>
      </c>
    </row>
    <row r="5492" customFormat="false" ht="15" hidden="false" customHeight="true" outlineLevel="0" collapsed="false">
      <c r="A5492" s="8"/>
      <c r="B5492" s="8"/>
      <c r="C5492" s="8"/>
      <c r="D5492" s="8"/>
      <c r="E5492" s="8"/>
      <c r="F5492" s="8"/>
      <c r="G5492" s="10" t="str">
        <f aca="false">IF($A5492="","",UPPER(SUBSTITUTE(SUBSTITUTE(SUBSTITUTE(SUBSTITUTE($A5492," ",""),"(주)",""),"주식회사",""),"㈜","")))</f>
        <v/>
      </c>
      <c r="H5492" s="10" t="str">
        <f aca="false">IF($B5492="","",SUBSTITUTE(SUBSTITUTE(SUBSTITUTE($B5492,"-","")," ",""),".",""))</f>
        <v/>
      </c>
      <c r="I5492" s="10" t="str">
        <f aca="false">IF($D5492="","",SUBSTITUTE(SUBSTITUTE(SUBSTITUTE($D5492,"-","")," ",""),".",""))</f>
        <v/>
      </c>
      <c r="J5492" s="10" t="str">
        <f aca="false">IF($E5492="","",UPPER(SUBSTITUTE($E5492," ","")))</f>
        <v/>
      </c>
      <c r="K5492" s="10" t="str">
        <f aca="false">IF($A5492="","",$G5492&amp;"|"&amp;$J5492)</f>
        <v/>
      </c>
      <c r="L5492" s="10" t="str">
        <f aca="false">IF($A5492="","",ROW()-2)</f>
        <v/>
      </c>
      <c r="M5492" s="10" t="str">
        <f aca="false">IF($A5492="","",ROW())</f>
        <v/>
      </c>
    </row>
    <row r="5493" customFormat="false" ht="15" hidden="false" customHeight="true" outlineLevel="0" collapsed="false">
      <c r="A5493" s="8"/>
      <c r="B5493" s="8"/>
      <c r="C5493" s="8"/>
      <c r="D5493" s="8"/>
      <c r="E5493" s="8"/>
      <c r="F5493" s="8"/>
      <c r="G5493" s="10" t="str">
        <f aca="false">IF($A5493="","",UPPER(SUBSTITUTE(SUBSTITUTE(SUBSTITUTE(SUBSTITUTE($A5493," ",""),"(주)",""),"주식회사",""),"㈜","")))</f>
        <v/>
      </c>
      <c r="H5493" s="10" t="str">
        <f aca="false">IF($B5493="","",SUBSTITUTE(SUBSTITUTE(SUBSTITUTE($B5493,"-","")," ",""),".",""))</f>
        <v/>
      </c>
      <c r="I5493" s="10" t="str">
        <f aca="false">IF($D5493="","",SUBSTITUTE(SUBSTITUTE(SUBSTITUTE($D5493,"-","")," ",""),".",""))</f>
        <v/>
      </c>
      <c r="J5493" s="10" t="str">
        <f aca="false">IF($E5493="","",UPPER(SUBSTITUTE($E5493," ","")))</f>
        <v/>
      </c>
      <c r="K5493" s="10" t="str">
        <f aca="false">IF($A5493="","",$G5493&amp;"|"&amp;$J5493)</f>
        <v/>
      </c>
      <c r="L5493" s="10" t="str">
        <f aca="false">IF($A5493="","",ROW()-2)</f>
        <v/>
      </c>
      <c r="M5493" s="10" t="str">
        <f aca="false">IF($A5493="","",ROW())</f>
        <v/>
      </c>
    </row>
    <row r="5494" customFormat="false" ht="15" hidden="false" customHeight="true" outlineLevel="0" collapsed="false">
      <c r="A5494" s="8"/>
      <c r="B5494" s="8"/>
      <c r="C5494" s="8"/>
      <c r="D5494" s="8"/>
      <c r="E5494" s="8"/>
      <c r="F5494" s="8"/>
      <c r="G5494" s="10" t="str">
        <f aca="false">IF($A5494="","",UPPER(SUBSTITUTE(SUBSTITUTE(SUBSTITUTE(SUBSTITUTE($A5494," ",""),"(주)",""),"주식회사",""),"㈜","")))</f>
        <v/>
      </c>
      <c r="H5494" s="10" t="str">
        <f aca="false">IF($B5494="","",SUBSTITUTE(SUBSTITUTE(SUBSTITUTE($B5494,"-","")," ",""),".",""))</f>
        <v/>
      </c>
      <c r="I5494" s="10" t="str">
        <f aca="false">IF($D5494="","",SUBSTITUTE(SUBSTITUTE(SUBSTITUTE($D5494,"-","")," ",""),".",""))</f>
        <v/>
      </c>
      <c r="J5494" s="10" t="str">
        <f aca="false">IF($E5494="","",UPPER(SUBSTITUTE($E5494," ","")))</f>
        <v/>
      </c>
      <c r="K5494" s="10" t="str">
        <f aca="false">IF($A5494="","",$G5494&amp;"|"&amp;$J5494)</f>
        <v/>
      </c>
      <c r="L5494" s="10" t="str">
        <f aca="false">IF($A5494="","",ROW()-2)</f>
        <v/>
      </c>
      <c r="M5494" s="10" t="str">
        <f aca="false">IF($A5494="","",ROW())</f>
        <v/>
      </c>
    </row>
    <row r="5495" customFormat="false" ht="15" hidden="false" customHeight="true" outlineLevel="0" collapsed="false">
      <c r="A5495" s="8"/>
      <c r="B5495" s="8"/>
      <c r="C5495" s="8"/>
      <c r="D5495" s="8"/>
      <c r="E5495" s="8"/>
      <c r="F5495" s="8"/>
      <c r="G5495" s="10" t="str">
        <f aca="false">IF($A5495="","",UPPER(SUBSTITUTE(SUBSTITUTE(SUBSTITUTE(SUBSTITUTE($A5495," ",""),"(주)",""),"주식회사",""),"㈜","")))</f>
        <v/>
      </c>
      <c r="H5495" s="10" t="str">
        <f aca="false">IF($B5495="","",SUBSTITUTE(SUBSTITUTE(SUBSTITUTE($B5495,"-","")," ",""),".",""))</f>
        <v/>
      </c>
      <c r="I5495" s="10" t="str">
        <f aca="false">IF($D5495="","",SUBSTITUTE(SUBSTITUTE(SUBSTITUTE($D5495,"-","")," ",""),".",""))</f>
        <v/>
      </c>
      <c r="J5495" s="10" t="str">
        <f aca="false">IF($E5495="","",UPPER(SUBSTITUTE($E5495," ","")))</f>
        <v/>
      </c>
      <c r="K5495" s="10" t="str">
        <f aca="false">IF($A5495="","",$G5495&amp;"|"&amp;$J5495)</f>
        <v/>
      </c>
      <c r="L5495" s="10" t="str">
        <f aca="false">IF($A5495="","",ROW()-2)</f>
        <v/>
      </c>
      <c r="M5495" s="10" t="str">
        <f aca="false">IF($A5495="","",ROW())</f>
        <v/>
      </c>
    </row>
    <row r="5496" customFormat="false" ht="15" hidden="false" customHeight="true" outlineLevel="0" collapsed="false">
      <c r="A5496" s="8"/>
      <c r="B5496" s="8"/>
      <c r="C5496" s="8"/>
      <c r="D5496" s="8"/>
      <c r="E5496" s="8"/>
      <c r="F5496" s="8"/>
      <c r="G5496" s="10" t="str">
        <f aca="false">IF($A5496="","",UPPER(SUBSTITUTE(SUBSTITUTE(SUBSTITUTE(SUBSTITUTE($A5496," ",""),"(주)",""),"주식회사",""),"㈜","")))</f>
        <v/>
      </c>
      <c r="H5496" s="10" t="str">
        <f aca="false">IF($B5496="","",SUBSTITUTE(SUBSTITUTE(SUBSTITUTE($B5496,"-","")," ",""),".",""))</f>
        <v/>
      </c>
      <c r="I5496" s="10" t="str">
        <f aca="false">IF($D5496="","",SUBSTITUTE(SUBSTITUTE(SUBSTITUTE($D5496,"-","")," ",""),".",""))</f>
        <v/>
      </c>
      <c r="J5496" s="10" t="str">
        <f aca="false">IF($E5496="","",UPPER(SUBSTITUTE($E5496," ","")))</f>
        <v/>
      </c>
      <c r="K5496" s="10" t="str">
        <f aca="false">IF($A5496="","",$G5496&amp;"|"&amp;$J5496)</f>
        <v/>
      </c>
      <c r="L5496" s="10" t="str">
        <f aca="false">IF($A5496="","",ROW()-2)</f>
        <v/>
      </c>
      <c r="M5496" s="10" t="str">
        <f aca="false">IF($A5496="","",ROW())</f>
        <v/>
      </c>
    </row>
    <row r="5497" customFormat="false" ht="15" hidden="false" customHeight="true" outlineLevel="0" collapsed="false">
      <c r="A5497" s="8"/>
      <c r="B5497" s="8"/>
      <c r="C5497" s="8"/>
      <c r="D5497" s="8"/>
      <c r="E5497" s="8"/>
      <c r="F5497" s="8"/>
      <c r="G5497" s="10" t="str">
        <f aca="false">IF($A5497="","",UPPER(SUBSTITUTE(SUBSTITUTE(SUBSTITUTE(SUBSTITUTE($A5497," ",""),"(주)",""),"주식회사",""),"㈜","")))</f>
        <v/>
      </c>
      <c r="H5497" s="10" t="str">
        <f aca="false">IF($B5497="","",SUBSTITUTE(SUBSTITUTE(SUBSTITUTE($B5497,"-","")," ",""),".",""))</f>
        <v/>
      </c>
      <c r="I5497" s="10" t="str">
        <f aca="false">IF($D5497="","",SUBSTITUTE(SUBSTITUTE(SUBSTITUTE($D5497,"-","")," ",""),".",""))</f>
        <v/>
      </c>
      <c r="J5497" s="10" t="str">
        <f aca="false">IF($E5497="","",UPPER(SUBSTITUTE($E5497," ","")))</f>
        <v/>
      </c>
      <c r="K5497" s="10" t="str">
        <f aca="false">IF($A5497="","",$G5497&amp;"|"&amp;$J5497)</f>
        <v/>
      </c>
      <c r="L5497" s="10" t="str">
        <f aca="false">IF($A5497="","",ROW()-2)</f>
        <v/>
      </c>
      <c r="M5497" s="10" t="str">
        <f aca="false">IF($A5497="","",ROW())</f>
        <v/>
      </c>
    </row>
    <row r="5498" customFormat="false" ht="15" hidden="false" customHeight="true" outlineLevel="0" collapsed="false">
      <c r="A5498" s="8"/>
      <c r="B5498" s="8"/>
      <c r="C5498" s="8"/>
      <c r="D5498" s="8"/>
      <c r="E5498" s="8"/>
      <c r="F5498" s="8"/>
      <c r="G5498" s="10" t="str">
        <f aca="false">IF($A5498="","",UPPER(SUBSTITUTE(SUBSTITUTE(SUBSTITUTE(SUBSTITUTE($A5498," ",""),"(주)",""),"주식회사",""),"㈜","")))</f>
        <v/>
      </c>
      <c r="H5498" s="10" t="str">
        <f aca="false">IF($B5498="","",SUBSTITUTE(SUBSTITUTE(SUBSTITUTE($B5498,"-","")," ",""),".",""))</f>
        <v/>
      </c>
      <c r="I5498" s="10" t="str">
        <f aca="false">IF($D5498="","",SUBSTITUTE(SUBSTITUTE(SUBSTITUTE($D5498,"-","")," ",""),".",""))</f>
        <v/>
      </c>
      <c r="J5498" s="10" t="str">
        <f aca="false">IF($E5498="","",UPPER(SUBSTITUTE($E5498," ","")))</f>
        <v/>
      </c>
      <c r="K5498" s="10" t="str">
        <f aca="false">IF($A5498="","",$G5498&amp;"|"&amp;$J5498)</f>
        <v/>
      </c>
      <c r="L5498" s="10" t="str">
        <f aca="false">IF($A5498="","",ROW()-2)</f>
        <v/>
      </c>
      <c r="M5498" s="10" t="str">
        <f aca="false">IF($A5498="","",ROW())</f>
        <v/>
      </c>
    </row>
    <row r="5499" customFormat="false" ht="15" hidden="false" customHeight="true" outlineLevel="0" collapsed="false">
      <c r="A5499" s="8"/>
      <c r="B5499" s="8"/>
      <c r="C5499" s="8"/>
      <c r="D5499" s="8"/>
      <c r="E5499" s="8"/>
      <c r="F5499" s="8"/>
      <c r="G5499" s="10" t="str">
        <f aca="false">IF($A5499="","",UPPER(SUBSTITUTE(SUBSTITUTE(SUBSTITUTE(SUBSTITUTE($A5499," ",""),"(주)",""),"주식회사",""),"㈜","")))</f>
        <v/>
      </c>
      <c r="H5499" s="10" t="str">
        <f aca="false">IF($B5499="","",SUBSTITUTE(SUBSTITUTE(SUBSTITUTE($B5499,"-","")," ",""),".",""))</f>
        <v/>
      </c>
      <c r="I5499" s="10" t="str">
        <f aca="false">IF($D5499="","",SUBSTITUTE(SUBSTITUTE(SUBSTITUTE($D5499,"-","")," ",""),".",""))</f>
        <v/>
      </c>
      <c r="J5499" s="10" t="str">
        <f aca="false">IF($E5499="","",UPPER(SUBSTITUTE($E5499," ","")))</f>
        <v/>
      </c>
      <c r="K5499" s="10" t="str">
        <f aca="false">IF($A5499="","",$G5499&amp;"|"&amp;$J5499)</f>
        <v/>
      </c>
      <c r="L5499" s="10" t="str">
        <f aca="false">IF($A5499="","",ROW()-2)</f>
        <v/>
      </c>
      <c r="M5499" s="10" t="str">
        <f aca="false">IF($A5499="","",ROW())</f>
        <v/>
      </c>
    </row>
    <row r="5500" customFormat="false" ht="15" hidden="false" customHeight="true" outlineLevel="0" collapsed="false">
      <c r="A5500" s="8"/>
      <c r="B5500" s="8"/>
      <c r="C5500" s="8"/>
      <c r="D5500" s="8"/>
      <c r="E5500" s="8"/>
      <c r="F5500" s="8"/>
      <c r="G5500" s="10" t="str">
        <f aca="false">IF($A5500="","",UPPER(SUBSTITUTE(SUBSTITUTE(SUBSTITUTE(SUBSTITUTE($A5500," ",""),"(주)",""),"주식회사",""),"㈜","")))</f>
        <v/>
      </c>
      <c r="H5500" s="10" t="str">
        <f aca="false">IF($B5500="","",SUBSTITUTE(SUBSTITUTE(SUBSTITUTE($B5500,"-","")," ",""),".",""))</f>
        <v/>
      </c>
      <c r="I5500" s="10" t="str">
        <f aca="false">IF($D5500="","",SUBSTITUTE(SUBSTITUTE(SUBSTITUTE($D5500,"-","")," ",""),".",""))</f>
        <v/>
      </c>
      <c r="J5500" s="10" t="str">
        <f aca="false">IF($E5500="","",UPPER(SUBSTITUTE($E5500," ","")))</f>
        <v/>
      </c>
      <c r="K5500" s="10" t="str">
        <f aca="false">IF($A5500="","",$G5500&amp;"|"&amp;$J5500)</f>
        <v/>
      </c>
      <c r="L5500" s="10" t="str">
        <f aca="false">IF($A5500="","",ROW()-2)</f>
        <v/>
      </c>
      <c r="M5500" s="10" t="str">
        <f aca="false">IF($A5500="","",ROW())</f>
        <v/>
      </c>
    </row>
    <row r="5501" customFormat="false" ht="15" hidden="false" customHeight="true" outlineLevel="0" collapsed="false">
      <c r="A5501" s="8"/>
      <c r="B5501" s="8"/>
      <c r="C5501" s="8"/>
      <c r="D5501" s="8"/>
      <c r="E5501" s="8"/>
      <c r="F5501" s="8"/>
      <c r="G5501" s="10" t="str">
        <f aca="false">IF($A5501="","",UPPER(SUBSTITUTE(SUBSTITUTE(SUBSTITUTE(SUBSTITUTE($A5501," ",""),"(주)",""),"주식회사",""),"㈜","")))</f>
        <v/>
      </c>
      <c r="H5501" s="10" t="str">
        <f aca="false">IF($B5501="","",SUBSTITUTE(SUBSTITUTE(SUBSTITUTE($B5501,"-","")," ",""),".",""))</f>
        <v/>
      </c>
      <c r="I5501" s="10" t="str">
        <f aca="false">IF($D5501="","",SUBSTITUTE(SUBSTITUTE(SUBSTITUTE($D5501,"-","")," ",""),".",""))</f>
        <v/>
      </c>
      <c r="J5501" s="10" t="str">
        <f aca="false">IF($E5501="","",UPPER(SUBSTITUTE($E5501," ","")))</f>
        <v/>
      </c>
      <c r="K5501" s="10" t="str">
        <f aca="false">IF($A5501="","",$G5501&amp;"|"&amp;$J5501)</f>
        <v/>
      </c>
      <c r="L5501" s="10" t="str">
        <f aca="false">IF($A5501="","",ROW()-2)</f>
        <v/>
      </c>
      <c r="M5501" s="10" t="str">
        <f aca="false">IF($A5501="","",ROW())</f>
        <v/>
      </c>
    </row>
    <row r="5502" customFormat="false" ht="15" hidden="false" customHeight="true" outlineLevel="0" collapsed="false">
      <c r="A5502" s="8"/>
      <c r="B5502" s="8"/>
      <c r="C5502" s="8"/>
      <c r="D5502" s="8"/>
      <c r="E5502" s="8"/>
      <c r="F5502" s="8"/>
      <c r="G5502" s="10" t="str">
        <f aca="false">IF($A5502="","",UPPER(SUBSTITUTE(SUBSTITUTE(SUBSTITUTE(SUBSTITUTE($A5502," ",""),"(주)",""),"주식회사",""),"㈜","")))</f>
        <v/>
      </c>
      <c r="H5502" s="10" t="str">
        <f aca="false">IF($B5502="","",SUBSTITUTE(SUBSTITUTE(SUBSTITUTE($B5502,"-","")," ",""),".",""))</f>
        <v/>
      </c>
      <c r="I5502" s="10" t="str">
        <f aca="false">IF($D5502="","",SUBSTITUTE(SUBSTITUTE(SUBSTITUTE($D5502,"-","")," ",""),".",""))</f>
        <v/>
      </c>
      <c r="J5502" s="10" t="str">
        <f aca="false">IF($E5502="","",UPPER(SUBSTITUTE($E5502," ","")))</f>
        <v/>
      </c>
      <c r="K5502" s="10" t="str">
        <f aca="false">IF($A5502="","",$G5502&amp;"|"&amp;$J5502)</f>
        <v/>
      </c>
      <c r="L5502" s="10" t="str">
        <f aca="false">IF($A5502="","",ROW()-2)</f>
        <v/>
      </c>
      <c r="M5502" s="10" t="str">
        <f aca="false">IF($A5502="","",ROW())</f>
        <v/>
      </c>
    </row>
    <row r="5503" customFormat="false" ht="15" hidden="false" customHeight="true" outlineLevel="0" collapsed="false">
      <c r="A5503" s="8"/>
      <c r="B5503" s="8"/>
      <c r="C5503" s="8"/>
      <c r="D5503" s="8"/>
      <c r="E5503" s="8"/>
      <c r="F5503" s="8"/>
      <c r="G5503" s="10" t="str">
        <f aca="false">IF($A5503="","",UPPER(SUBSTITUTE(SUBSTITUTE(SUBSTITUTE(SUBSTITUTE($A5503," ",""),"(주)",""),"주식회사",""),"㈜","")))</f>
        <v/>
      </c>
      <c r="H5503" s="10" t="str">
        <f aca="false">IF($B5503="","",SUBSTITUTE(SUBSTITUTE(SUBSTITUTE($B5503,"-","")," ",""),".",""))</f>
        <v/>
      </c>
      <c r="I5503" s="10" t="str">
        <f aca="false">IF($D5503="","",SUBSTITUTE(SUBSTITUTE(SUBSTITUTE($D5503,"-","")," ",""),".",""))</f>
        <v/>
      </c>
      <c r="J5503" s="10" t="str">
        <f aca="false">IF($E5503="","",UPPER(SUBSTITUTE($E5503," ","")))</f>
        <v/>
      </c>
      <c r="K5503" s="10" t="str">
        <f aca="false">IF($A5503="","",$G5503&amp;"|"&amp;$J5503)</f>
        <v/>
      </c>
      <c r="L5503" s="10" t="str">
        <f aca="false">IF($A5503="","",ROW()-2)</f>
        <v/>
      </c>
      <c r="M5503" s="10" t="str">
        <f aca="false">IF($A5503="","",ROW())</f>
        <v/>
      </c>
    </row>
    <row r="5504" customFormat="false" ht="15" hidden="false" customHeight="true" outlineLevel="0" collapsed="false">
      <c r="A5504" s="8"/>
      <c r="B5504" s="8"/>
      <c r="C5504" s="8"/>
      <c r="D5504" s="8"/>
      <c r="E5504" s="8"/>
      <c r="F5504" s="8"/>
      <c r="G5504" s="10" t="str">
        <f aca="false">IF($A5504="","",UPPER(SUBSTITUTE(SUBSTITUTE(SUBSTITUTE(SUBSTITUTE($A5504," ",""),"(주)",""),"주식회사",""),"㈜","")))</f>
        <v/>
      </c>
      <c r="H5504" s="10" t="str">
        <f aca="false">IF($B5504="","",SUBSTITUTE(SUBSTITUTE(SUBSTITUTE($B5504,"-","")," ",""),".",""))</f>
        <v/>
      </c>
      <c r="I5504" s="10" t="str">
        <f aca="false">IF($D5504="","",SUBSTITUTE(SUBSTITUTE(SUBSTITUTE($D5504,"-","")," ",""),".",""))</f>
        <v/>
      </c>
      <c r="J5504" s="10" t="str">
        <f aca="false">IF($E5504="","",UPPER(SUBSTITUTE($E5504," ","")))</f>
        <v/>
      </c>
      <c r="K5504" s="10" t="str">
        <f aca="false">IF($A5504="","",$G5504&amp;"|"&amp;$J5504)</f>
        <v/>
      </c>
      <c r="L5504" s="10" t="str">
        <f aca="false">IF($A5504="","",ROW()-2)</f>
        <v/>
      </c>
      <c r="M5504" s="10" t="str">
        <f aca="false">IF($A5504="","",ROW())</f>
        <v/>
      </c>
    </row>
    <row r="5505" customFormat="false" ht="15" hidden="false" customHeight="true" outlineLevel="0" collapsed="false">
      <c r="A5505" s="8"/>
      <c r="B5505" s="8"/>
      <c r="C5505" s="8"/>
      <c r="D5505" s="8"/>
      <c r="E5505" s="8"/>
      <c r="F5505" s="8"/>
      <c r="G5505" s="10" t="str">
        <f aca="false">IF($A5505="","",UPPER(SUBSTITUTE(SUBSTITUTE(SUBSTITUTE(SUBSTITUTE($A5505," ",""),"(주)",""),"주식회사",""),"㈜","")))</f>
        <v/>
      </c>
      <c r="H5505" s="10" t="str">
        <f aca="false">IF($B5505="","",SUBSTITUTE(SUBSTITUTE(SUBSTITUTE($B5505,"-","")," ",""),".",""))</f>
        <v/>
      </c>
      <c r="I5505" s="10" t="str">
        <f aca="false">IF($D5505="","",SUBSTITUTE(SUBSTITUTE(SUBSTITUTE($D5505,"-","")," ",""),".",""))</f>
        <v/>
      </c>
      <c r="J5505" s="10" t="str">
        <f aca="false">IF($E5505="","",UPPER(SUBSTITUTE($E5505," ","")))</f>
        <v/>
      </c>
      <c r="K5505" s="10" t="str">
        <f aca="false">IF($A5505="","",$G5505&amp;"|"&amp;$J5505)</f>
        <v/>
      </c>
      <c r="L5505" s="10" t="str">
        <f aca="false">IF($A5505="","",ROW()-2)</f>
        <v/>
      </c>
      <c r="M5505" s="10" t="str">
        <f aca="false">IF($A5505="","",ROW())</f>
        <v/>
      </c>
    </row>
    <row r="5506" customFormat="false" ht="15" hidden="false" customHeight="true" outlineLevel="0" collapsed="false">
      <c r="A5506" s="8"/>
      <c r="B5506" s="8"/>
      <c r="C5506" s="8"/>
      <c r="D5506" s="8"/>
      <c r="E5506" s="8"/>
      <c r="F5506" s="8"/>
      <c r="G5506" s="10" t="str">
        <f aca="false">IF($A5506="","",UPPER(SUBSTITUTE(SUBSTITUTE(SUBSTITUTE(SUBSTITUTE($A5506," ",""),"(주)",""),"주식회사",""),"㈜","")))</f>
        <v/>
      </c>
      <c r="H5506" s="10" t="str">
        <f aca="false">IF($B5506="","",SUBSTITUTE(SUBSTITUTE(SUBSTITUTE($B5506,"-","")," ",""),".",""))</f>
        <v/>
      </c>
      <c r="I5506" s="10" t="str">
        <f aca="false">IF($D5506="","",SUBSTITUTE(SUBSTITUTE(SUBSTITUTE($D5506,"-","")," ",""),".",""))</f>
        <v/>
      </c>
      <c r="J5506" s="10" t="str">
        <f aca="false">IF($E5506="","",UPPER(SUBSTITUTE($E5506," ","")))</f>
        <v/>
      </c>
      <c r="K5506" s="10" t="str">
        <f aca="false">IF($A5506="","",$G5506&amp;"|"&amp;$J5506)</f>
        <v/>
      </c>
      <c r="L5506" s="10" t="str">
        <f aca="false">IF($A5506="","",ROW()-2)</f>
        <v/>
      </c>
      <c r="M5506" s="10" t="str">
        <f aca="false">IF($A5506="","",ROW())</f>
        <v/>
      </c>
    </row>
    <row r="5507" customFormat="false" ht="15" hidden="false" customHeight="true" outlineLevel="0" collapsed="false">
      <c r="A5507" s="8"/>
      <c r="B5507" s="8"/>
      <c r="C5507" s="8"/>
      <c r="D5507" s="8"/>
      <c r="E5507" s="8"/>
      <c r="F5507" s="8"/>
      <c r="G5507" s="10" t="str">
        <f aca="false">IF($A5507="","",UPPER(SUBSTITUTE(SUBSTITUTE(SUBSTITUTE(SUBSTITUTE($A5507," ",""),"(주)",""),"주식회사",""),"㈜","")))</f>
        <v/>
      </c>
      <c r="H5507" s="10" t="str">
        <f aca="false">IF($B5507="","",SUBSTITUTE(SUBSTITUTE(SUBSTITUTE($B5507,"-","")," ",""),".",""))</f>
        <v/>
      </c>
      <c r="I5507" s="10" t="str">
        <f aca="false">IF($D5507="","",SUBSTITUTE(SUBSTITUTE(SUBSTITUTE($D5507,"-","")," ",""),".",""))</f>
        <v/>
      </c>
      <c r="J5507" s="10" t="str">
        <f aca="false">IF($E5507="","",UPPER(SUBSTITUTE($E5507," ","")))</f>
        <v/>
      </c>
      <c r="K5507" s="10" t="str">
        <f aca="false">IF($A5507="","",$G5507&amp;"|"&amp;$J5507)</f>
        <v/>
      </c>
      <c r="L5507" s="10" t="str">
        <f aca="false">IF($A5507="","",ROW()-2)</f>
        <v/>
      </c>
      <c r="M5507" s="10" t="str">
        <f aca="false">IF($A5507="","",ROW())</f>
        <v/>
      </c>
    </row>
    <row r="5508" customFormat="false" ht="15" hidden="false" customHeight="true" outlineLevel="0" collapsed="false">
      <c r="A5508" s="8"/>
      <c r="B5508" s="8"/>
      <c r="C5508" s="8"/>
      <c r="D5508" s="8"/>
      <c r="E5508" s="8"/>
      <c r="F5508" s="8"/>
      <c r="G5508" s="10" t="str">
        <f aca="false">IF($A5508="","",UPPER(SUBSTITUTE(SUBSTITUTE(SUBSTITUTE(SUBSTITUTE($A5508," ",""),"(주)",""),"주식회사",""),"㈜","")))</f>
        <v/>
      </c>
      <c r="H5508" s="10" t="str">
        <f aca="false">IF($B5508="","",SUBSTITUTE(SUBSTITUTE(SUBSTITUTE($B5508,"-","")," ",""),".",""))</f>
        <v/>
      </c>
      <c r="I5508" s="10" t="str">
        <f aca="false">IF($D5508="","",SUBSTITUTE(SUBSTITUTE(SUBSTITUTE($D5508,"-","")," ",""),".",""))</f>
        <v/>
      </c>
      <c r="J5508" s="10" t="str">
        <f aca="false">IF($E5508="","",UPPER(SUBSTITUTE($E5508," ","")))</f>
        <v/>
      </c>
      <c r="K5508" s="10" t="str">
        <f aca="false">IF($A5508="","",$G5508&amp;"|"&amp;$J5508)</f>
        <v/>
      </c>
      <c r="L5508" s="10" t="str">
        <f aca="false">IF($A5508="","",ROW()-2)</f>
        <v/>
      </c>
      <c r="M5508" s="10" t="str">
        <f aca="false">IF($A5508="","",ROW())</f>
        <v/>
      </c>
    </row>
    <row r="5509" customFormat="false" ht="15" hidden="false" customHeight="true" outlineLevel="0" collapsed="false">
      <c r="A5509" s="8"/>
      <c r="B5509" s="8"/>
      <c r="C5509" s="8"/>
      <c r="D5509" s="8"/>
      <c r="E5509" s="8"/>
      <c r="F5509" s="8"/>
      <c r="G5509" s="10" t="str">
        <f aca="false">IF($A5509="","",UPPER(SUBSTITUTE(SUBSTITUTE(SUBSTITUTE(SUBSTITUTE($A5509," ",""),"(주)",""),"주식회사",""),"㈜","")))</f>
        <v/>
      </c>
      <c r="H5509" s="10" t="str">
        <f aca="false">IF($B5509="","",SUBSTITUTE(SUBSTITUTE(SUBSTITUTE($B5509,"-","")," ",""),".",""))</f>
        <v/>
      </c>
      <c r="I5509" s="10" t="str">
        <f aca="false">IF($D5509="","",SUBSTITUTE(SUBSTITUTE(SUBSTITUTE($D5509,"-","")," ",""),".",""))</f>
        <v/>
      </c>
      <c r="J5509" s="10" t="str">
        <f aca="false">IF($E5509="","",UPPER(SUBSTITUTE($E5509," ","")))</f>
        <v/>
      </c>
      <c r="K5509" s="10" t="str">
        <f aca="false">IF($A5509="","",$G5509&amp;"|"&amp;$J5509)</f>
        <v/>
      </c>
      <c r="L5509" s="10" t="str">
        <f aca="false">IF($A5509="","",ROW()-2)</f>
        <v/>
      </c>
      <c r="M5509" s="10" t="str">
        <f aca="false">IF($A5509="","",ROW())</f>
        <v/>
      </c>
    </row>
    <row r="5510" customFormat="false" ht="15" hidden="false" customHeight="true" outlineLevel="0" collapsed="false">
      <c r="A5510" s="8"/>
      <c r="B5510" s="8"/>
      <c r="C5510" s="8"/>
      <c r="D5510" s="8"/>
      <c r="E5510" s="8"/>
      <c r="F5510" s="8"/>
      <c r="G5510" s="10" t="str">
        <f aca="false">IF($A5510="","",UPPER(SUBSTITUTE(SUBSTITUTE(SUBSTITUTE(SUBSTITUTE($A5510," ",""),"(주)",""),"주식회사",""),"㈜","")))</f>
        <v/>
      </c>
      <c r="H5510" s="10" t="str">
        <f aca="false">IF($B5510="","",SUBSTITUTE(SUBSTITUTE(SUBSTITUTE($B5510,"-","")," ",""),".",""))</f>
        <v/>
      </c>
      <c r="I5510" s="10" t="str">
        <f aca="false">IF($D5510="","",SUBSTITUTE(SUBSTITUTE(SUBSTITUTE($D5510,"-","")," ",""),".",""))</f>
        <v/>
      </c>
      <c r="J5510" s="10" t="str">
        <f aca="false">IF($E5510="","",UPPER(SUBSTITUTE($E5510," ","")))</f>
        <v/>
      </c>
      <c r="K5510" s="10" t="str">
        <f aca="false">IF($A5510="","",$G5510&amp;"|"&amp;$J5510)</f>
        <v/>
      </c>
      <c r="L5510" s="10" t="str">
        <f aca="false">IF($A5510="","",ROW()-2)</f>
        <v/>
      </c>
      <c r="M5510" s="10" t="str">
        <f aca="false">IF($A5510="","",ROW())</f>
        <v/>
      </c>
    </row>
    <row r="5511" customFormat="false" ht="15" hidden="false" customHeight="true" outlineLevel="0" collapsed="false">
      <c r="A5511" s="8"/>
      <c r="B5511" s="8"/>
      <c r="C5511" s="8"/>
      <c r="D5511" s="8"/>
      <c r="E5511" s="8"/>
      <c r="F5511" s="8"/>
      <c r="G5511" s="10" t="str">
        <f aca="false">IF($A5511="","",UPPER(SUBSTITUTE(SUBSTITUTE(SUBSTITUTE(SUBSTITUTE($A5511," ",""),"(주)",""),"주식회사",""),"㈜","")))</f>
        <v/>
      </c>
      <c r="H5511" s="10" t="str">
        <f aca="false">IF($B5511="","",SUBSTITUTE(SUBSTITUTE(SUBSTITUTE($B5511,"-","")," ",""),".",""))</f>
        <v/>
      </c>
      <c r="I5511" s="10" t="str">
        <f aca="false">IF($D5511="","",SUBSTITUTE(SUBSTITUTE(SUBSTITUTE($D5511,"-","")," ",""),".",""))</f>
        <v/>
      </c>
      <c r="J5511" s="10" t="str">
        <f aca="false">IF($E5511="","",UPPER(SUBSTITUTE($E5511," ","")))</f>
        <v/>
      </c>
      <c r="K5511" s="10" t="str">
        <f aca="false">IF($A5511="","",$G5511&amp;"|"&amp;$J5511)</f>
        <v/>
      </c>
      <c r="L5511" s="10" t="str">
        <f aca="false">IF($A5511="","",ROW()-2)</f>
        <v/>
      </c>
      <c r="M5511" s="10" t="str">
        <f aca="false">IF($A5511="","",ROW())</f>
        <v/>
      </c>
    </row>
    <row r="5512" customFormat="false" ht="15" hidden="false" customHeight="true" outlineLevel="0" collapsed="false">
      <c r="A5512" s="8"/>
      <c r="B5512" s="8"/>
      <c r="C5512" s="8"/>
      <c r="D5512" s="8"/>
      <c r="E5512" s="8"/>
      <c r="F5512" s="8"/>
      <c r="G5512" s="10" t="str">
        <f aca="false">IF($A5512="","",UPPER(SUBSTITUTE(SUBSTITUTE(SUBSTITUTE(SUBSTITUTE($A5512," ",""),"(주)",""),"주식회사",""),"㈜","")))</f>
        <v/>
      </c>
      <c r="H5512" s="10" t="str">
        <f aca="false">IF($B5512="","",SUBSTITUTE(SUBSTITUTE(SUBSTITUTE($B5512,"-","")," ",""),".",""))</f>
        <v/>
      </c>
      <c r="I5512" s="10" t="str">
        <f aca="false">IF($D5512="","",SUBSTITUTE(SUBSTITUTE(SUBSTITUTE($D5512,"-","")," ",""),".",""))</f>
        <v/>
      </c>
      <c r="J5512" s="10" t="str">
        <f aca="false">IF($E5512="","",UPPER(SUBSTITUTE($E5512," ","")))</f>
        <v/>
      </c>
      <c r="K5512" s="10" t="str">
        <f aca="false">IF($A5512="","",$G5512&amp;"|"&amp;$J5512)</f>
        <v/>
      </c>
      <c r="L5512" s="10" t="str">
        <f aca="false">IF($A5512="","",ROW()-2)</f>
        <v/>
      </c>
      <c r="M5512" s="10" t="str">
        <f aca="false">IF($A5512="","",ROW())</f>
        <v/>
      </c>
    </row>
    <row r="5513" customFormat="false" ht="15" hidden="false" customHeight="true" outlineLevel="0" collapsed="false">
      <c r="A5513" s="8"/>
      <c r="B5513" s="8"/>
      <c r="C5513" s="8"/>
      <c r="D5513" s="8"/>
      <c r="E5513" s="8"/>
      <c r="F5513" s="8"/>
      <c r="G5513" s="10" t="str">
        <f aca="false">IF($A5513="","",UPPER(SUBSTITUTE(SUBSTITUTE(SUBSTITUTE(SUBSTITUTE($A5513," ",""),"(주)",""),"주식회사",""),"㈜","")))</f>
        <v/>
      </c>
      <c r="H5513" s="10" t="str">
        <f aca="false">IF($B5513="","",SUBSTITUTE(SUBSTITUTE(SUBSTITUTE($B5513,"-","")," ",""),".",""))</f>
        <v/>
      </c>
      <c r="I5513" s="10" t="str">
        <f aca="false">IF($D5513="","",SUBSTITUTE(SUBSTITUTE(SUBSTITUTE($D5513,"-","")," ",""),".",""))</f>
        <v/>
      </c>
      <c r="J5513" s="10" t="str">
        <f aca="false">IF($E5513="","",UPPER(SUBSTITUTE($E5513," ","")))</f>
        <v/>
      </c>
      <c r="K5513" s="10" t="str">
        <f aca="false">IF($A5513="","",$G5513&amp;"|"&amp;$J5513)</f>
        <v/>
      </c>
      <c r="L5513" s="10" t="str">
        <f aca="false">IF($A5513="","",ROW()-2)</f>
        <v/>
      </c>
      <c r="M5513" s="10" t="str">
        <f aca="false">IF($A5513="","",ROW())</f>
        <v/>
      </c>
    </row>
    <row r="5514" customFormat="false" ht="15" hidden="false" customHeight="true" outlineLevel="0" collapsed="false">
      <c r="A5514" s="8"/>
      <c r="B5514" s="8"/>
      <c r="C5514" s="8"/>
      <c r="D5514" s="8"/>
      <c r="E5514" s="8"/>
      <c r="F5514" s="8"/>
      <c r="G5514" s="10" t="str">
        <f aca="false">IF($A5514="","",UPPER(SUBSTITUTE(SUBSTITUTE(SUBSTITUTE(SUBSTITUTE($A5514," ",""),"(주)",""),"주식회사",""),"㈜","")))</f>
        <v/>
      </c>
      <c r="H5514" s="10" t="str">
        <f aca="false">IF($B5514="","",SUBSTITUTE(SUBSTITUTE(SUBSTITUTE($B5514,"-","")," ",""),".",""))</f>
        <v/>
      </c>
      <c r="I5514" s="10" t="str">
        <f aca="false">IF($D5514="","",SUBSTITUTE(SUBSTITUTE(SUBSTITUTE($D5514,"-","")," ",""),".",""))</f>
        <v/>
      </c>
      <c r="J5514" s="10" t="str">
        <f aca="false">IF($E5514="","",UPPER(SUBSTITUTE($E5514," ","")))</f>
        <v/>
      </c>
      <c r="K5514" s="10" t="str">
        <f aca="false">IF($A5514="","",$G5514&amp;"|"&amp;$J5514)</f>
        <v/>
      </c>
      <c r="L5514" s="10" t="str">
        <f aca="false">IF($A5514="","",ROW()-2)</f>
        <v/>
      </c>
      <c r="M5514" s="10" t="str">
        <f aca="false">IF($A5514="","",ROW())</f>
        <v/>
      </c>
    </row>
    <row r="5515" customFormat="false" ht="15" hidden="false" customHeight="true" outlineLevel="0" collapsed="false">
      <c r="A5515" s="8"/>
      <c r="B5515" s="8"/>
      <c r="C5515" s="8"/>
      <c r="D5515" s="8"/>
      <c r="E5515" s="8"/>
      <c r="F5515" s="8"/>
      <c r="G5515" s="10" t="str">
        <f aca="false">IF($A5515="","",UPPER(SUBSTITUTE(SUBSTITUTE(SUBSTITUTE(SUBSTITUTE($A5515," ",""),"(주)",""),"주식회사",""),"㈜","")))</f>
        <v/>
      </c>
      <c r="H5515" s="10" t="str">
        <f aca="false">IF($B5515="","",SUBSTITUTE(SUBSTITUTE(SUBSTITUTE($B5515,"-","")," ",""),".",""))</f>
        <v/>
      </c>
      <c r="I5515" s="10" t="str">
        <f aca="false">IF($D5515="","",SUBSTITUTE(SUBSTITUTE(SUBSTITUTE($D5515,"-","")," ",""),".",""))</f>
        <v/>
      </c>
      <c r="J5515" s="10" t="str">
        <f aca="false">IF($E5515="","",UPPER(SUBSTITUTE($E5515," ","")))</f>
        <v/>
      </c>
      <c r="K5515" s="10" t="str">
        <f aca="false">IF($A5515="","",$G5515&amp;"|"&amp;$J5515)</f>
        <v/>
      </c>
      <c r="L5515" s="10" t="str">
        <f aca="false">IF($A5515="","",ROW()-2)</f>
        <v/>
      </c>
      <c r="M5515" s="10" t="str">
        <f aca="false">IF($A5515="","",ROW())</f>
        <v/>
      </c>
    </row>
    <row r="5516" customFormat="false" ht="15" hidden="false" customHeight="true" outlineLevel="0" collapsed="false">
      <c r="A5516" s="8"/>
      <c r="B5516" s="8"/>
      <c r="C5516" s="8"/>
      <c r="D5516" s="8"/>
      <c r="E5516" s="8"/>
      <c r="F5516" s="8"/>
      <c r="G5516" s="10" t="str">
        <f aca="false">IF($A5516="","",UPPER(SUBSTITUTE(SUBSTITUTE(SUBSTITUTE(SUBSTITUTE($A5516," ",""),"(주)",""),"주식회사",""),"㈜","")))</f>
        <v/>
      </c>
      <c r="H5516" s="10" t="str">
        <f aca="false">IF($B5516="","",SUBSTITUTE(SUBSTITUTE(SUBSTITUTE($B5516,"-","")," ",""),".",""))</f>
        <v/>
      </c>
      <c r="I5516" s="10" t="str">
        <f aca="false">IF($D5516="","",SUBSTITUTE(SUBSTITUTE(SUBSTITUTE($D5516,"-","")," ",""),".",""))</f>
        <v/>
      </c>
      <c r="J5516" s="10" t="str">
        <f aca="false">IF($E5516="","",UPPER(SUBSTITUTE($E5516," ","")))</f>
        <v/>
      </c>
      <c r="K5516" s="10" t="str">
        <f aca="false">IF($A5516="","",$G5516&amp;"|"&amp;$J5516)</f>
        <v/>
      </c>
      <c r="L5516" s="10" t="str">
        <f aca="false">IF($A5516="","",ROW()-2)</f>
        <v/>
      </c>
      <c r="M5516" s="10" t="str">
        <f aca="false">IF($A5516="","",ROW())</f>
        <v/>
      </c>
    </row>
    <row r="5517" customFormat="false" ht="15" hidden="false" customHeight="true" outlineLevel="0" collapsed="false">
      <c r="A5517" s="8"/>
      <c r="B5517" s="8"/>
      <c r="C5517" s="8"/>
      <c r="D5517" s="8"/>
      <c r="E5517" s="8"/>
      <c r="F5517" s="8"/>
      <c r="G5517" s="10" t="str">
        <f aca="false">IF($A5517="","",UPPER(SUBSTITUTE(SUBSTITUTE(SUBSTITUTE(SUBSTITUTE($A5517," ",""),"(주)",""),"주식회사",""),"㈜","")))</f>
        <v/>
      </c>
      <c r="H5517" s="10" t="str">
        <f aca="false">IF($B5517="","",SUBSTITUTE(SUBSTITUTE(SUBSTITUTE($B5517,"-","")," ",""),".",""))</f>
        <v/>
      </c>
      <c r="I5517" s="10" t="str">
        <f aca="false">IF($D5517="","",SUBSTITUTE(SUBSTITUTE(SUBSTITUTE($D5517,"-","")," ",""),".",""))</f>
        <v/>
      </c>
      <c r="J5517" s="10" t="str">
        <f aca="false">IF($E5517="","",UPPER(SUBSTITUTE($E5517," ","")))</f>
        <v/>
      </c>
      <c r="K5517" s="10" t="str">
        <f aca="false">IF($A5517="","",$G5517&amp;"|"&amp;$J5517)</f>
        <v/>
      </c>
      <c r="L5517" s="10" t="str">
        <f aca="false">IF($A5517="","",ROW()-2)</f>
        <v/>
      </c>
      <c r="M5517" s="10" t="str">
        <f aca="false">IF($A5517="","",ROW())</f>
        <v/>
      </c>
    </row>
    <row r="5518" customFormat="false" ht="15" hidden="false" customHeight="true" outlineLevel="0" collapsed="false">
      <c r="A5518" s="8"/>
      <c r="B5518" s="8"/>
      <c r="C5518" s="8"/>
      <c r="D5518" s="8"/>
      <c r="E5518" s="8"/>
      <c r="F5518" s="8"/>
      <c r="G5518" s="10" t="str">
        <f aca="false">IF($A5518="","",UPPER(SUBSTITUTE(SUBSTITUTE(SUBSTITUTE(SUBSTITUTE($A5518," ",""),"(주)",""),"주식회사",""),"㈜","")))</f>
        <v/>
      </c>
      <c r="H5518" s="10" t="str">
        <f aca="false">IF($B5518="","",SUBSTITUTE(SUBSTITUTE(SUBSTITUTE($B5518,"-","")," ",""),".",""))</f>
        <v/>
      </c>
      <c r="I5518" s="10" t="str">
        <f aca="false">IF($D5518="","",SUBSTITUTE(SUBSTITUTE(SUBSTITUTE($D5518,"-","")," ",""),".",""))</f>
        <v/>
      </c>
      <c r="J5518" s="10" t="str">
        <f aca="false">IF($E5518="","",UPPER(SUBSTITUTE($E5518," ","")))</f>
        <v/>
      </c>
      <c r="K5518" s="10" t="str">
        <f aca="false">IF($A5518="","",$G5518&amp;"|"&amp;$J5518)</f>
        <v/>
      </c>
      <c r="L5518" s="10" t="str">
        <f aca="false">IF($A5518="","",ROW()-2)</f>
        <v/>
      </c>
      <c r="M5518" s="10" t="str">
        <f aca="false">IF($A5518="","",ROW())</f>
        <v/>
      </c>
    </row>
    <row r="5519" customFormat="false" ht="15" hidden="false" customHeight="true" outlineLevel="0" collapsed="false">
      <c r="A5519" s="8"/>
      <c r="B5519" s="8"/>
      <c r="C5519" s="8"/>
      <c r="D5519" s="8"/>
      <c r="E5519" s="8"/>
      <c r="F5519" s="8"/>
      <c r="G5519" s="10" t="str">
        <f aca="false">IF($A5519="","",UPPER(SUBSTITUTE(SUBSTITUTE(SUBSTITUTE(SUBSTITUTE($A5519," ",""),"(주)",""),"주식회사",""),"㈜","")))</f>
        <v/>
      </c>
      <c r="H5519" s="10" t="str">
        <f aca="false">IF($B5519="","",SUBSTITUTE(SUBSTITUTE(SUBSTITUTE($B5519,"-","")," ",""),".",""))</f>
        <v/>
      </c>
      <c r="I5519" s="10" t="str">
        <f aca="false">IF($D5519="","",SUBSTITUTE(SUBSTITUTE(SUBSTITUTE($D5519,"-","")," ",""),".",""))</f>
        <v/>
      </c>
      <c r="J5519" s="10" t="str">
        <f aca="false">IF($E5519="","",UPPER(SUBSTITUTE($E5519," ","")))</f>
        <v/>
      </c>
      <c r="K5519" s="10" t="str">
        <f aca="false">IF($A5519="","",$G5519&amp;"|"&amp;$J5519)</f>
        <v/>
      </c>
      <c r="L5519" s="10" t="str">
        <f aca="false">IF($A5519="","",ROW()-2)</f>
        <v/>
      </c>
      <c r="M5519" s="10" t="str">
        <f aca="false">IF($A5519="","",ROW())</f>
        <v/>
      </c>
    </row>
    <row r="5520" customFormat="false" ht="15" hidden="false" customHeight="true" outlineLevel="0" collapsed="false">
      <c r="A5520" s="8"/>
      <c r="B5520" s="8"/>
      <c r="C5520" s="8"/>
      <c r="D5520" s="8"/>
      <c r="E5520" s="8"/>
      <c r="F5520" s="8"/>
      <c r="G5520" s="10" t="str">
        <f aca="false">IF($A5520="","",UPPER(SUBSTITUTE(SUBSTITUTE(SUBSTITUTE(SUBSTITUTE($A5520," ",""),"(주)",""),"주식회사",""),"㈜","")))</f>
        <v/>
      </c>
      <c r="H5520" s="10" t="str">
        <f aca="false">IF($B5520="","",SUBSTITUTE(SUBSTITUTE(SUBSTITUTE($B5520,"-","")," ",""),".",""))</f>
        <v/>
      </c>
      <c r="I5520" s="10" t="str">
        <f aca="false">IF($D5520="","",SUBSTITUTE(SUBSTITUTE(SUBSTITUTE($D5520,"-","")," ",""),".",""))</f>
        <v/>
      </c>
      <c r="J5520" s="10" t="str">
        <f aca="false">IF($E5520="","",UPPER(SUBSTITUTE($E5520," ","")))</f>
        <v/>
      </c>
      <c r="K5520" s="10" t="str">
        <f aca="false">IF($A5520="","",$G5520&amp;"|"&amp;$J5520)</f>
        <v/>
      </c>
      <c r="L5520" s="10" t="str">
        <f aca="false">IF($A5520="","",ROW()-2)</f>
        <v/>
      </c>
      <c r="M5520" s="10" t="str">
        <f aca="false">IF($A5520="","",ROW())</f>
        <v/>
      </c>
    </row>
    <row r="5521" customFormat="false" ht="15" hidden="false" customHeight="true" outlineLevel="0" collapsed="false">
      <c r="A5521" s="8"/>
      <c r="B5521" s="8"/>
      <c r="C5521" s="8"/>
      <c r="D5521" s="8"/>
      <c r="E5521" s="8"/>
      <c r="F5521" s="8"/>
      <c r="G5521" s="10" t="str">
        <f aca="false">IF($A5521="","",UPPER(SUBSTITUTE(SUBSTITUTE(SUBSTITUTE(SUBSTITUTE($A5521," ",""),"(주)",""),"주식회사",""),"㈜","")))</f>
        <v/>
      </c>
      <c r="H5521" s="10" t="str">
        <f aca="false">IF($B5521="","",SUBSTITUTE(SUBSTITUTE(SUBSTITUTE($B5521,"-","")," ",""),".",""))</f>
        <v/>
      </c>
      <c r="I5521" s="10" t="str">
        <f aca="false">IF($D5521="","",SUBSTITUTE(SUBSTITUTE(SUBSTITUTE($D5521,"-","")," ",""),".",""))</f>
        <v/>
      </c>
      <c r="J5521" s="10" t="str">
        <f aca="false">IF($E5521="","",UPPER(SUBSTITUTE($E5521," ","")))</f>
        <v/>
      </c>
      <c r="K5521" s="10" t="str">
        <f aca="false">IF($A5521="","",$G5521&amp;"|"&amp;$J5521)</f>
        <v/>
      </c>
      <c r="L5521" s="10" t="str">
        <f aca="false">IF($A5521="","",ROW()-2)</f>
        <v/>
      </c>
      <c r="M5521" s="10" t="str">
        <f aca="false">IF($A5521="","",ROW())</f>
        <v/>
      </c>
    </row>
    <row r="5522" customFormat="false" ht="15" hidden="false" customHeight="true" outlineLevel="0" collapsed="false">
      <c r="A5522" s="8"/>
      <c r="B5522" s="8"/>
      <c r="C5522" s="8"/>
      <c r="D5522" s="8"/>
      <c r="E5522" s="8"/>
      <c r="F5522" s="8"/>
      <c r="G5522" s="10" t="str">
        <f aca="false">IF($A5522="","",UPPER(SUBSTITUTE(SUBSTITUTE(SUBSTITUTE(SUBSTITUTE($A5522," ",""),"(주)",""),"주식회사",""),"㈜","")))</f>
        <v/>
      </c>
      <c r="H5522" s="10" t="str">
        <f aca="false">IF($B5522="","",SUBSTITUTE(SUBSTITUTE(SUBSTITUTE($B5522,"-","")," ",""),".",""))</f>
        <v/>
      </c>
      <c r="I5522" s="10" t="str">
        <f aca="false">IF($D5522="","",SUBSTITUTE(SUBSTITUTE(SUBSTITUTE($D5522,"-","")," ",""),".",""))</f>
        <v/>
      </c>
      <c r="J5522" s="10" t="str">
        <f aca="false">IF($E5522="","",UPPER(SUBSTITUTE($E5522," ","")))</f>
        <v/>
      </c>
      <c r="K5522" s="10" t="str">
        <f aca="false">IF($A5522="","",$G5522&amp;"|"&amp;$J5522)</f>
        <v/>
      </c>
      <c r="L5522" s="10" t="str">
        <f aca="false">IF($A5522="","",ROW()-2)</f>
        <v/>
      </c>
      <c r="M5522" s="10" t="str">
        <f aca="false">IF($A5522="","",ROW())</f>
        <v/>
      </c>
    </row>
    <row r="5523" customFormat="false" ht="15" hidden="false" customHeight="true" outlineLevel="0" collapsed="false">
      <c r="A5523" s="8"/>
      <c r="B5523" s="8"/>
      <c r="C5523" s="8"/>
      <c r="D5523" s="8"/>
      <c r="E5523" s="8"/>
      <c r="F5523" s="8"/>
      <c r="G5523" s="10" t="str">
        <f aca="false">IF($A5523="","",UPPER(SUBSTITUTE(SUBSTITUTE(SUBSTITUTE(SUBSTITUTE($A5523," ",""),"(주)",""),"주식회사",""),"㈜","")))</f>
        <v/>
      </c>
      <c r="H5523" s="10" t="str">
        <f aca="false">IF($B5523="","",SUBSTITUTE(SUBSTITUTE(SUBSTITUTE($B5523,"-","")," ",""),".",""))</f>
        <v/>
      </c>
      <c r="I5523" s="10" t="str">
        <f aca="false">IF($D5523="","",SUBSTITUTE(SUBSTITUTE(SUBSTITUTE($D5523,"-","")," ",""),".",""))</f>
        <v/>
      </c>
      <c r="J5523" s="10" t="str">
        <f aca="false">IF($E5523="","",UPPER(SUBSTITUTE($E5523," ","")))</f>
        <v/>
      </c>
      <c r="K5523" s="10" t="str">
        <f aca="false">IF($A5523="","",$G5523&amp;"|"&amp;$J5523)</f>
        <v/>
      </c>
      <c r="L5523" s="10" t="str">
        <f aca="false">IF($A5523="","",ROW()-2)</f>
        <v/>
      </c>
      <c r="M5523" s="10" t="str">
        <f aca="false">IF($A5523="","",ROW())</f>
        <v/>
      </c>
    </row>
    <row r="5524" customFormat="false" ht="15" hidden="false" customHeight="true" outlineLevel="0" collapsed="false">
      <c r="A5524" s="8"/>
      <c r="B5524" s="8"/>
      <c r="C5524" s="8"/>
      <c r="D5524" s="8"/>
      <c r="E5524" s="8"/>
      <c r="F5524" s="8"/>
      <c r="G5524" s="10" t="str">
        <f aca="false">IF($A5524="","",UPPER(SUBSTITUTE(SUBSTITUTE(SUBSTITUTE(SUBSTITUTE($A5524," ",""),"(주)",""),"주식회사",""),"㈜","")))</f>
        <v/>
      </c>
      <c r="H5524" s="10" t="str">
        <f aca="false">IF($B5524="","",SUBSTITUTE(SUBSTITUTE(SUBSTITUTE($B5524,"-","")," ",""),".",""))</f>
        <v/>
      </c>
      <c r="I5524" s="10" t="str">
        <f aca="false">IF($D5524="","",SUBSTITUTE(SUBSTITUTE(SUBSTITUTE($D5524,"-","")," ",""),".",""))</f>
        <v/>
      </c>
      <c r="J5524" s="10" t="str">
        <f aca="false">IF($E5524="","",UPPER(SUBSTITUTE($E5524," ","")))</f>
        <v/>
      </c>
      <c r="K5524" s="10" t="str">
        <f aca="false">IF($A5524="","",$G5524&amp;"|"&amp;$J5524)</f>
        <v/>
      </c>
      <c r="L5524" s="10" t="str">
        <f aca="false">IF($A5524="","",ROW()-2)</f>
        <v/>
      </c>
      <c r="M5524" s="10" t="str">
        <f aca="false">IF($A5524="","",ROW())</f>
        <v/>
      </c>
    </row>
    <row r="5525" customFormat="false" ht="15" hidden="false" customHeight="true" outlineLevel="0" collapsed="false">
      <c r="A5525" s="8"/>
      <c r="B5525" s="8"/>
      <c r="C5525" s="8"/>
      <c r="D5525" s="8"/>
      <c r="E5525" s="8"/>
      <c r="F5525" s="8"/>
      <c r="G5525" s="10" t="str">
        <f aca="false">IF($A5525="","",UPPER(SUBSTITUTE(SUBSTITUTE(SUBSTITUTE(SUBSTITUTE($A5525," ",""),"(주)",""),"주식회사",""),"㈜","")))</f>
        <v/>
      </c>
      <c r="H5525" s="10" t="str">
        <f aca="false">IF($B5525="","",SUBSTITUTE(SUBSTITUTE(SUBSTITUTE($B5525,"-","")," ",""),".",""))</f>
        <v/>
      </c>
      <c r="I5525" s="10" t="str">
        <f aca="false">IF($D5525="","",SUBSTITUTE(SUBSTITUTE(SUBSTITUTE($D5525,"-","")," ",""),".",""))</f>
        <v/>
      </c>
      <c r="J5525" s="10" t="str">
        <f aca="false">IF($E5525="","",UPPER(SUBSTITUTE($E5525," ","")))</f>
        <v/>
      </c>
      <c r="K5525" s="10" t="str">
        <f aca="false">IF($A5525="","",$G5525&amp;"|"&amp;$J5525)</f>
        <v/>
      </c>
      <c r="L5525" s="10" t="str">
        <f aca="false">IF($A5525="","",ROW()-2)</f>
        <v/>
      </c>
      <c r="M5525" s="10" t="str">
        <f aca="false">IF($A5525="","",ROW())</f>
        <v/>
      </c>
    </row>
    <row r="5526" customFormat="false" ht="15" hidden="false" customHeight="true" outlineLevel="0" collapsed="false">
      <c r="A5526" s="8"/>
      <c r="B5526" s="8"/>
      <c r="C5526" s="8"/>
      <c r="D5526" s="8"/>
      <c r="E5526" s="8"/>
      <c r="F5526" s="8"/>
      <c r="G5526" s="10" t="str">
        <f aca="false">IF($A5526="","",UPPER(SUBSTITUTE(SUBSTITUTE(SUBSTITUTE(SUBSTITUTE($A5526," ",""),"(주)",""),"주식회사",""),"㈜","")))</f>
        <v/>
      </c>
      <c r="H5526" s="10" t="str">
        <f aca="false">IF($B5526="","",SUBSTITUTE(SUBSTITUTE(SUBSTITUTE($B5526,"-","")," ",""),".",""))</f>
        <v/>
      </c>
      <c r="I5526" s="10" t="str">
        <f aca="false">IF($D5526="","",SUBSTITUTE(SUBSTITUTE(SUBSTITUTE($D5526,"-","")," ",""),".",""))</f>
        <v/>
      </c>
      <c r="J5526" s="10" t="str">
        <f aca="false">IF($E5526="","",UPPER(SUBSTITUTE($E5526," ","")))</f>
        <v/>
      </c>
      <c r="K5526" s="10" t="str">
        <f aca="false">IF($A5526="","",$G5526&amp;"|"&amp;$J5526)</f>
        <v/>
      </c>
      <c r="L5526" s="10" t="str">
        <f aca="false">IF($A5526="","",ROW()-2)</f>
        <v/>
      </c>
      <c r="M5526" s="10" t="str">
        <f aca="false">IF($A5526="","",ROW())</f>
        <v/>
      </c>
    </row>
    <row r="5527" customFormat="false" ht="15" hidden="false" customHeight="true" outlineLevel="0" collapsed="false">
      <c r="A5527" s="8"/>
      <c r="B5527" s="8"/>
      <c r="C5527" s="8"/>
      <c r="D5527" s="8"/>
      <c r="E5527" s="8"/>
      <c r="F5527" s="8"/>
      <c r="G5527" s="10" t="str">
        <f aca="false">IF($A5527="","",UPPER(SUBSTITUTE(SUBSTITUTE(SUBSTITUTE(SUBSTITUTE($A5527," ",""),"(주)",""),"주식회사",""),"㈜","")))</f>
        <v/>
      </c>
      <c r="H5527" s="10" t="str">
        <f aca="false">IF($B5527="","",SUBSTITUTE(SUBSTITUTE(SUBSTITUTE($B5527,"-","")," ",""),".",""))</f>
        <v/>
      </c>
      <c r="I5527" s="10" t="str">
        <f aca="false">IF($D5527="","",SUBSTITUTE(SUBSTITUTE(SUBSTITUTE($D5527,"-","")," ",""),".",""))</f>
        <v/>
      </c>
      <c r="J5527" s="10" t="str">
        <f aca="false">IF($E5527="","",UPPER(SUBSTITUTE($E5527," ","")))</f>
        <v/>
      </c>
      <c r="K5527" s="10" t="str">
        <f aca="false">IF($A5527="","",$G5527&amp;"|"&amp;$J5527)</f>
        <v/>
      </c>
      <c r="L5527" s="10" t="str">
        <f aca="false">IF($A5527="","",ROW()-2)</f>
        <v/>
      </c>
      <c r="M5527" s="10" t="str">
        <f aca="false">IF($A5527="","",ROW())</f>
        <v/>
      </c>
    </row>
    <row r="5528" customFormat="false" ht="15" hidden="false" customHeight="true" outlineLevel="0" collapsed="false">
      <c r="A5528" s="8"/>
      <c r="B5528" s="8"/>
      <c r="C5528" s="8"/>
      <c r="D5528" s="8"/>
      <c r="E5528" s="8"/>
      <c r="F5528" s="8"/>
      <c r="G5528" s="10" t="str">
        <f aca="false">IF($A5528="","",UPPER(SUBSTITUTE(SUBSTITUTE(SUBSTITUTE(SUBSTITUTE($A5528," ",""),"(주)",""),"주식회사",""),"㈜","")))</f>
        <v/>
      </c>
      <c r="H5528" s="10" t="str">
        <f aca="false">IF($B5528="","",SUBSTITUTE(SUBSTITUTE(SUBSTITUTE($B5528,"-","")," ",""),".",""))</f>
        <v/>
      </c>
      <c r="I5528" s="10" t="str">
        <f aca="false">IF($D5528="","",SUBSTITUTE(SUBSTITUTE(SUBSTITUTE($D5528,"-","")," ",""),".",""))</f>
        <v/>
      </c>
      <c r="J5528" s="10" t="str">
        <f aca="false">IF($E5528="","",UPPER(SUBSTITUTE($E5528," ","")))</f>
        <v/>
      </c>
      <c r="K5528" s="10" t="str">
        <f aca="false">IF($A5528="","",$G5528&amp;"|"&amp;$J5528)</f>
        <v/>
      </c>
      <c r="L5528" s="10" t="str">
        <f aca="false">IF($A5528="","",ROW()-2)</f>
        <v/>
      </c>
      <c r="M5528" s="10" t="str">
        <f aca="false">IF($A5528="","",ROW())</f>
        <v/>
      </c>
    </row>
    <row r="5529" customFormat="false" ht="15" hidden="false" customHeight="true" outlineLevel="0" collapsed="false">
      <c r="A5529" s="8"/>
      <c r="B5529" s="8"/>
      <c r="C5529" s="8"/>
      <c r="D5529" s="8"/>
      <c r="E5529" s="8"/>
      <c r="F5529" s="8"/>
      <c r="G5529" s="10" t="str">
        <f aca="false">IF($A5529="","",UPPER(SUBSTITUTE(SUBSTITUTE(SUBSTITUTE(SUBSTITUTE($A5529," ",""),"(주)",""),"주식회사",""),"㈜","")))</f>
        <v/>
      </c>
      <c r="H5529" s="10" t="str">
        <f aca="false">IF($B5529="","",SUBSTITUTE(SUBSTITUTE(SUBSTITUTE($B5529,"-","")," ",""),".",""))</f>
        <v/>
      </c>
      <c r="I5529" s="10" t="str">
        <f aca="false">IF($D5529="","",SUBSTITUTE(SUBSTITUTE(SUBSTITUTE($D5529,"-","")," ",""),".",""))</f>
        <v/>
      </c>
      <c r="J5529" s="10" t="str">
        <f aca="false">IF($E5529="","",UPPER(SUBSTITUTE($E5529," ","")))</f>
        <v/>
      </c>
      <c r="K5529" s="10" t="str">
        <f aca="false">IF($A5529="","",$G5529&amp;"|"&amp;$J5529)</f>
        <v/>
      </c>
      <c r="L5529" s="10" t="str">
        <f aca="false">IF($A5529="","",ROW()-2)</f>
        <v/>
      </c>
      <c r="M5529" s="10" t="str">
        <f aca="false">IF($A5529="","",ROW())</f>
        <v/>
      </c>
    </row>
    <row r="5530" customFormat="false" ht="15" hidden="false" customHeight="true" outlineLevel="0" collapsed="false">
      <c r="A5530" s="8"/>
      <c r="B5530" s="8"/>
      <c r="C5530" s="8"/>
      <c r="D5530" s="8"/>
      <c r="E5530" s="8"/>
      <c r="F5530" s="8"/>
      <c r="G5530" s="10" t="str">
        <f aca="false">IF($A5530="","",UPPER(SUBSTITUTE(SUBSTITUTE(SUBSTITUTE(SUBSTITUTE($A5530," ",""),"(주)",""),"주식회사",""),"㈜","")))</f>
        <v/>
      </c>
      <c r="H5530" s="10" t="str">
        <f aca="false">IF($B5530="","",SUBSTITUTE(SUBSTITUTE(SUBSTITUTE($B5530,"-","")," ",""),".",""))</f>
        <v/>
      </c>
      <c r="I5530" s="10" t="str">
        <f aca="false">IF($D5530="","",SUBSTITUTE(SUBSTITUTE(SUBSTITUTE($D5530,"-","")," ",""),".",""))</f>
        <v/>
      </c>
      <c r="J5530" s="10" t="str">
        <f aca="false">IF($E5530="","",UPPER(SUBSTITUTE($E5530," ","")))</f>
        <v/>
      </c>
      <c r="K5530" s="10" t="str">
        <f aca="false">IF($A5530="","",$G5530&amp;"|"&amp;$J5530)</f>
        <v/>
      </c>
      <c r="L5530" s="10" t="str">
        <f aca="false">IF($A5530="","",ROW()-2)</f>
        <v/>
      </c>
      <c r="M5530" s="10" t="str">
        <f aca="false">IF($A5530="","",ROW())</f>
        <v/>
      </c>
    </row>
    <row r="5531" customFormat="false" ht="15" hidden="false" customHeight="true" outlineLevel="0" collapsed="false">
      <c r="A5531" s="8"/>
      <c r="B5531" s="8"/>
      <c r="C5531" s="8"/>
      <c r="D5531" s="8"/>
      <c r="E5531" s="8"/>
      <c r="F5531" s="8"/>
      <c r="G5531" s="10" t="str">
        <f aca="false">IF($A5531="","",UPPER(SUBSTITUTE(SUBSTITUTE(SUBSTITUTE(SUBSTITUTE($A5531," ",""),"(주)",""),"주식회사",""),"㈜","")))</f>
        <v/>
      </c>
      <c r="H5531" s="10" t="str">
        <f aca="false">IF($B5531="","",SUBSTITUTE(SUBSTITUTE(SUBSTITUTE($B5531,"-","")," ",""),".",""))</f>
        <v/>
      </c>
      <c r="I5531" s="10" t="str">
        <f aca="false">IF($D5531="","",SUBSTITUTE(SUBSTITUTE(SUBSTITUTE($D5531,"-","")," ",""),".",""))</f>
        <v/>
      </c>
      <c r="J5531" s="10" t="str">
        <f aca="false">IF($E5531="","",UPPER(SUBSTITUTE($E5531," ","")))</f>
        <v/>
      </c>
      <c r="K5531" s="10" t="str">
        <f aca="false">IF($A5531="","",$G5531&amp;"|"&amp;$J5531)</f>
        <v/>
      </c>
      <c r="L5531" s="10" t="str">
        <f aca="false">IF($A5531="","",ROW()-2)</f>
        <v/>
      </c>
      <c r="M5531" s="10" t="str">
        <f aca="false">IF($A5531="","",ROW())</f>
        <v/>
      </c>
    </row>
    <row r="5532" customFormat="false" ht="15" hidden="false" customHeight="true" outlineLevel="0" collapsed="false">
      <c r="A5532" s="8"/>
      <c r="B5532" s="8"/>
      <c r="C5532" s="8"/>
      <c r="D5532" s="8"/>
      <c r="E5532" s="8"/>
      <c r="F5532" s="8"/>
      <c r="G5532" s="10" t="str">
        <f aca="false">IF($A5532="","",UPPER(SUBSTITUTE(SUBSTITUTE(SUBSTITUTE(SUBSTITUTE($A5532," ",""),"(주)",""),"주식회사",""),"㈜","")))</f>
        <v/>
      </c>
      <c r="H5532" s="10" t="str">
        <f aca="false">IF($B5532="","",SUBSTITUTE(SUBSTITUTE(SUBSTITUTE($B5532,"-","")," ",""),".",""))</f>
        <v/>
      </c>
      <c r="I5532" s="10" t="str">
        <f aca="false">IF($D5532="","",SUBSTITUTE(SUBSTITUTE(SUBSTITUTE($D5532,"-","")," ",""),".",""))</f>
        <v/>
      </c>
      <c r="J5532" s="10" t="str">
        <f aca="false">IF($E5532="","",UPPER(SUBSTITUTE($E5532," ","")))</f>
        <v/>
      </c>
      <c r="K5532" s="10" t="str">
        <f aca="false">IF($A5532="","",$G5532&amp;"|"&amp;$J5532)</f>
        <v/>
      </c>
      <c r="L5532" s="10" t="str">
        <f aca="false">IF($A5532="","",ROW()-2)</f>
        <v/>
      </c>
      <c r="M5532" s="10" t="str">
        <f aca="false">IF($A5532="","",ROW())</f>
        <v/>
      </c>
    </row>
    <row r="5533" customFormat="false" ht="15" hidden="false" customHeight="true" outlineLevel="0" collapsed="false">
      <c r="A5533" s="8"/>
      <c r="B5533" s="8"/>
      <c r="C5533" s="8"/>
      <c r="D5533" s="8"/>
      <c r="E5533" s="8"/>
      <c r="F5533" s="8"/>
      <c r="G5533" s="10" t="str">
        <f aca="false">IF($A5533="","",UPPER(SUBSTITUTE(SUBSTITUTE(SUBSTITUTE(SUBSTITUTE($A5533," ",""),"(주)",""),"주식회사",""),"㈜","")))</f>
        <v/>
      </c>
      <c r="H5533" s="10" t="str">
        <f aca="false">IF($B5533="","",SUBSTITUTE(SUBSTITUTE(SUBSTITUTE($B5533,"-","")," ",""),".",""))</f>
        <v/>
      </c>
      <c r="I5533" s="10" t="str">
        <f aca="false">IF($D5533="","",SUBSTITUTE(SUBSTITUTE(SUBSTITUTE($D5533,"-","")," ",""),".",""))</f>
        <v/>
      </c>
      <c r="J5533" s="10" t="str">
        <f aca="false">IF($E5533="","",UPPER(SUBSTITUTE($E5533," ","")))</f>
        <v/>
      </c>
      <c r="K5533" s="10" t="str">
        <f aca="false">IF($A5533="","",$G5533&amp;"|"&amp;$J5533)</f>
        <v/>
      </c>
      <c r="L5533" s="10" t="str">
        <f aca="false">IF($A5533="","",ROW()-2)</f>
        <v/>
      </c>
      <c r="M5533" s="10" t="str">
        <f aca="false">IF($A5533="","",ROW())</f>
        <v/>
      </c>
    </row>
    <row r="5534" customFormat="false" ht="15" hidden="false" customHeight="true" outlineLevel="0" collapsed="false">
      <c r="A5534" s="8"/>
      <c r="B5534" s="8"/>
      <c r="C5534" s="8"/>
      <c r="D5534" s="8"/>
      <c r="E5534" s="8"/>
      <c r="F5534" s="8"/>
      <c r="G5534" s="10" t="str">
        <f aca="false">IF($A5534="","",UPPER(SUBSTITUTE(SUBSTITUTE(SUBSTITUTE(SUBSTITUTE($A5534," ",""),"(주)",""),"주식회사",""),"㈜","")))</f>
        <v/>
      </c>
      <c r="H5534" s="10" t="str">
        <f aca="false">IF($B5534="","",SUBSTITUTE(SUBSTITUTE(SUBSTITUTE($B5534,"-","")," ",""),".",""))</f>
        <v/>
      </c>
      <c r="I5534" s="10" t="str">
        <f aca="false">IF($D5534="","",SUBSTITUTE(SUBSTITUTE(SUBSTITUTE($D5534,"-","")," ",""),".",""))</f>
        <v/>
      </c>
      <c r="J5534" s="10" t="str">
        <f aca="false">IF($E5534="","",UPPER(SUBSTITUTE($E5534," ","")))</f>
        <v/>
      </c>
      <c r="K5534" s="10" t="str">
        <f aca="false">IF($A5534="","",$G5534&amp;"|"&amp;$J5534)</f>
        <v/>
      </c>
      <c r="L5534" s="10" t="str">
        <f aca="false">IF($A5534="","",ROW()-2)</f>
        <v/>
      </c>
      <c r="M5534" s="10" t="str">
        <f aca="false">IF($A5534="","",ROW())</f>
        <v/>
      </c>
    </row>
    <row r="5535" customFormat="false" ht="15" hidden="false" customHeight="true" outlineLevel="0" collapsed="false">
      <c r="A5535" s="8"/>
      <c r="B5535" s="8"/>
      <c r="C5535" s="8"/>
      <c r="D5535" s="8"/>
      <c r="E5535" s="8"/>
      <c r="F5535" s="8"/>
      <c r="G5535" s="10" t="str">
        <f aca="false">IF($A5535="","",UPPER(SUBSTITUTE(SUBSTITUTE(SUBSTITUTE(SUBSTITUTE($A5535," ",""),"(주)",""),"주식회사",""),"㈜","")))</f>
        <v/>
      </c>
      <c r="H5535" s="10" t="str">
        <f aca="false">IF($B5535="","",SUBSTITUTE(SUBSTITUTE(SUBSTITUTE($B5535,"-","")," ",""),".",""))</f>
        <v/>
      </c>
      <c r="I5535" s="10" t="str">
        <f aca="false">IF($D5535="","",SUBSTITUTE(SUBSTITUTE(SUBSTITUTE($D5535,"-","")," ",""),".",""))</f>
        <v/>
      </c>
      <c r="J5535" s="10" t="str">
        <f aca="false">IF($E5535="","",UPPER(SUBSTITUTE($E5535," ","")))</f>
        <v/>
      </c>
      <c r="K5535" s="10" t="str">
        <f aca="false">IF($A5535="","",$G5535&amp;"|"&amp;$J5535)</f>
        <v/>
      </c>
      <c r="L5535" s="10" t="str">
        <f aca="false">IF($A5535="","",ROW()-2)</f>
        <v/>
      </c>
      <c r="M5535" s="10" t="str">
        <f aca="false">IF($A5535="","",ROW())</f>
        <v/>
      </c>
    </row>
    <row r="5536" customFormat="false" ht="15" hidden="false" customHeight="true" outlineLevel="0" collapsed="false">
      <c r="A5536" s="8"/>
      <c r="B5536" s="8"/>
      <c r="C5536" s="8"/>
      <c r="D5536" s="8"/>
      <c r="E5536" s="8"/>
      <c r="F5536" s="8"/>
      <c r="G5536" s="10" t="str">
        <f aca="false">IF($A5536="","",UPPER(SUBSTITUTE(SUBSTITUTE(SUBSTITUTE(SUBSTITUTE($A5536," ",""),"(주)",""),"주식회사",""),"㈜","")))</f>
        <v/>
      </c>
      <c r="H5536" s="10" t="str">
        <f aca="false">IF($B5536="","",SUBSTITUTE(SUBSTITUTE(SUBSTITUTE($B5536,"-","")," ",""),".",""))</f>
        <v/>
      </c>
      <c r="I5536" s="10" t="str">
        <f aca="false">IF($D5536="","",SUBSTITUTE(SUBSTITUTE(SUBSTITUTE($D5536,"-","")," ",""),".",""))</f>
        <v/>
      </c>
      <c r="J5536" s="10" t="str">
        <f aca="false">IF($E5536="","",UPPER(SUBSTITUTE($E5536," ","")))</f>
        <v/>
      </c>
      <c r="K5536" s="10" t="str">
        <f aca="false">IF($A5536="","",$G5536&amp;"|"&amp;$J5536)</f>
        <v/>
      </c>
      <c r="L5536" s="10" t="str">
        <f aca="false">IF($A5536="","",ROW()-2)</f>
        <v/>
      </c>
      <c r="M5536" s="10" t="str">
        <f aca="false">IF($A5536="","",ROW())</f>
        <v/>
      </c>
    </row>
    <row r="5537" customFormat="false" ht="15" hidden="false" customHeight="true" outlineLevel="0" collapsed="false">
      <c r="A5537" s="8"/>
      <c r="B5537" s="8"/>
      <c r="C5537" s="8"/>
      <c r="D5537" s="8"/>
      <c r="E5537" s="8"/>
      <c r="F5537" s="8"/>
      <c r="G5537" s="10" t="str">
        <f aca="false">IF($A5537="","",UPPER(SUBSTITUTE(SUBSTITUTE(SUBSTITUTE(SUBSTITUTE($A5537," ",""),"(주)",""),"주식회사",""),"㈜","")))</f>
        <v/>
      </c>
      <c r="H5537" s="10" t="str">
        <f aca="false">IF($B5537="","",SUBSTITUTE(SUBSTITUTE(SUBSTITUTE($B5537,"-","")," ",""),".",""))</f>
        <v/>
      </c>
      <c r="I5537" s="10" t="str">
        <f aca="false">IF($D5537="","",SUBSTITUTE(SUBSTITUTE(SUBSTITUTE($D5537,"-","")," ",""),".",""))</f>
        <v/>
      </c>
      <c r="J5537" s="10" t="str">
        <f aca="false">IF($E5537="","",UPPER(SUBSTITUTE($E5537," ","")))</f>
        <v/>
      </c>
      <c r="K5537" s="10" t="str">
        <f aca="false">IF($A5537="","",$G5537&amp;"|"&amp;$J5537)</f>
        <v/>
      </c>
      <c r="L5537" s="10" t="str">
        <f aca="false">IF($A5537="","",ROW()-2)</f>
        <v/>
      </c>
      <c r="M5537" s="10" t="str">
        <f aca="false">IF($A5537="","",ROW())</f>
        <v/>
      </c>
    </row>
    <row r="5538" customFormat="false" ht="15" hidden="false" customHeight="true" outlineLevel="0" collapsed="false">
      <c r="A5538" s="8"/>
      <c r="B5538" s="8"/>
      <c r="C5538" s="8"/>
      <c r="D5538" s="8"/>
      <c r="E5538" s="8"/>
      <c r="F5538" s="8"/>
      <c r="G5538" s="10" t="str">
        <f aca="false">IF($A5538="","",UPPER(SUBSTITUTE(SUBSTITUTE(SUBSTITUTE(SUBSTITUTE($A5538," ",""),"(주)",""),"주식회사",""),"㈜","")))</f>
        <v/>
      </c>
      <c r="H5538" s="10" t="str">
        <f aca="false">IF($B5538="","",SUBSTITUTE(SUBSTITUTE(SUBSTITUTE($B5538,"-","")," ",""),".",""))</f>
        <v/>
      </c>
      <c r="I5538" s="10" t="str">
        <f aca="false">IF($D5538="","",SUBSTITUTE(SUBSTITUTE(SUBSTITUTE($D5538,"-","")," ",""),".",""))</f>
        <v/>
      </c>
      <c r="J5538" s="10" t="str">
        <f aca="false">IF($E5538="","",UPPER(SUBSTITUTE($E5538," ","")))</f>
        <v/>
      </c>
      <c r="K5538" s="10" t="str">
        <f aca="false">IF($A5538="","",$G5538&amp;"|"&amp;$J5538)</f>
        <v/>
      </c>
      <c r="L5538" s="10" t="str">
        <f aca="false">IF($A5538="","",ROW()-2)</f>
        <v/>
      </c>
      <c r="M5538" s="10" t="str">
        <f aca="false">IF($A5538="","",ROW())</f>
        <v/>
      </c>
    </row>
    <row r="5539" customFormat="false" ht="15" hidden="false" customHeight="true" outlineLevel="0" collapsed="false">
      <c r="A5539" s="8"/>
      <c r="B5539" s="8"/>
      <c r="C5539" s="8"/>
      <c r="D5539" s="8"/>
      <c r="E5539" s="8"/>
      <c r="F5539" s="8"/>
      <c r="G5539" s="10" t="str">
        <f aca="false">IF($A5539="","",UPPER(SUBSTITUTE(SUBSTITUTE(SUBSTITUTE(SUBSTITUTE($A5539," ",""),"(주)",""),"주식회사",""),"㈜","")))</f>
        <v/>
      </c>
      <c r="H5539" s="10" t="str">
        <f aca="false">IF($B5539="","",SUBSTITUTE(SUBSTITUTE(SUBSTITUTE($B5539,"-","")," ",""),".",""))</f>
        <v/>
      </c>
      <c r="I5539" s="10" t="str">
        <f aca="false">IF($D5539="","",SUBSTITUTE(SUBSTITUTE(SUBSTITUTE($D5539,"-","")," ",""),".",""))</f>
        <v/>
      </c>
      <c r="J5539" s="10" t="str">
        <f aca="false">IF($E5539="","",UPPER(SUBSTITUTE($E5539," ","")))</f>
        <v/>
      </c>
      <c r="K5539" s="10" t="str">
        <f aca="false">IF($A5539="","",$G5539&amp;"|"&amp;$J5539)</f>
        <v/>
      </c>
      <c r="L5539" s="10" t="str">
        <f aca="false">IF($A5539="","",ROW()-2)</f>
        <v/>
      </c>
      <c r="M5539" s="10" t="str">
        <f aca="false">IF($A5539="","",ROW())</f>
        <v/>
      </c>
    </row>
    <row r="5540" customFormat="false" ht="15" hidden="false" customHeight="true" outlineLevel="0" collapsed="false">
      <c r="A5540" s="8"/>
      <c r="B5540" s="8"/>
      <c r="C5540" s="8"/>
      <c r="D5540" s="8"/>
      <c r="E5540" s="8"/>
      <c r="F5540" s="8"/>
      <c r="G5540" s="10" t="str">
        <f aca="false">IF($A5540="","",UPPER(SUBSTITUTE(SUBSTITUTE(SUBSTITUTE(SUBSTITUTE($A5540," ",""),"(주)",""),"주식회사",""),"㈜","")))</f>
        <v/>
      </c>
      <c r="H5540" s="10" t="str">
        <f aca="false">IF($B5540="","",SUBSTITUTE(SUBSTITUTE(SUBSTITUTE($B5540,"-","")," ",""),".",""))</f>
        <v/>
      </c>
      <c r="I5540" s="10" t="str">
        <f aca="false">IF($D5540="","",SUBSTITUTE(SUBSTITUTE(SUBSTITUTE($D5540,"-","")," ",""),".",""))</f>
        <v/>
      </c>
      <c r="J5540" s="10" t="str">
        <f aca="false">IF($E5540="","",UPPER(SUBSTITUTE($E5540," ","")))</f>
        <v/>
      </c>
      <c r="K5540" s="10" t="str">
        <f aca="false">IF($A5540="","",$G5540&amp;"|"&amp;$J5540)</f>
        <v/>
      </c>
      <c r="L5540" s="10" t="str">
        <f aca="false">IF($A5540="","",ROW()-2)</f>
        <v/>
      </c>
      <c r="M5540" s="10" t="str">
        <f aca="false">IF($A5540="","",ROW())</f>
        <v/>
      </c>
    </row>
    <row r="5541" customFormat="false" ht="15" hidden="false" customHeight="true" outlineLevel="0" collapsed="false">
      <c r="A5541" s="8"/>
      <c r="B5541" s="8"/>
      <c r="C5541" s="8"/>
      <c r="D5541" s="8"/>
      <c r="E5541" s="8"/>
      <c r="F5541" s="8"/>
      <c r="G5541" s="10" t="str">
        <f aca="false">IF($A5541="","",UPPER(SUBSTITUTE(SUBSTITUTE(SUBSTITUTE(SUBSTITUTE($A5541," ",""),"(주)",""),"주식회사",""),"㈜","")))</f>
        <v/>
      </c>
      <c r="H5541" s="10" t="str">
        <f aca="false">IF($B5541="","",SUBSTITUTE(SUBSTITUTE(SUBSTITUTE($B5541,"-","")," ",""),".",""))</f>
        <v/>
      </c>
      <c r="I5541" s="10" t="str">
        <f aca="false">IF($D5541="","",SUBSTITUTE(SUBSTITUTE(SUBSTITUTE($D5541,"-","")," ",""),".",""))</f>
        <v/>
      </c>
      <c r="J5541" s="10" t="str">
        <f aca="false">IF($E5541="","",UPPER(SUBSTITUTE($E5541," ","")))</f>
        <v/>
      </c>
      <c r="K5541" s="10" t="str">
        <f aca="false">IF($A5541="","",$G5541&amp;"|"&amp;$J5541)</f>
        <v/>
      </c>
      <c r="L5541" s="10" t="str">
        <f aca="false">IF($A5541="","",ROW()-2)</f>
        <v/>
      </c>
      <c r="M5541" s="10" t="str">
        <f aca="false">IF($A5541="","",ROW())</f>
        <v/>
      </c>
    </row>
    <row r="5542" customFormat="false" ht="15" hidden="false" customHeight="true" outlineLevel="0" collapsed="false">
      <c r="A5542" s="8"/>
      <c r="B5542" s="8"/>
      <c r="C5542" s="8"/>
      <c r="D5542" s="8"/>
      <c r="E5542" s="8"/>
      <c r="F5542" s="8"/>
      <c r="G5542" s="10" t="str">
        <f aca="false">IF($A5542="","",UPPER(SUBSTITUTE(SUBSTITUTE(SUBSTITUTE(SUBSTITUTE($A5542," ",""),"(주)",""),"주식회사",""),"㈜","")))</f>
        <v/>
      </c>
      <c r="H5542" s="10" t="str">
        <f aca="false">IF($B5542="","",SUBSTITUTE(SUBSTITUTE(SUBSTITUTE($B5542,"-","")," ",""),".",""))</f>
        <v/>
      </c>
      <c r="I5542" s="10" t="str">
        <f aca="false">IF($D5542="","",SUBSTITUTE(SUBSTITUTE(SUBSTITUTE($D5542,"-","")," ",""),".",""))</f>
        <v/>
      </c>
      <c r="J5542" s="10" t="str">
        <f aca="false">IF($E5542="","",UPPER(SUBSTITUTE($E5542," ","")))</f>
        <v/>
      </c>
      <c r="K5542" s="10" t="str">
        <f aca="false">IF($A5542="","",$G5542&amp;"|"&amp;$J5542)</f>
        <v/>
      </c>
      <c r="L5542" s="10" t="str">
        <f aca="false">IF($A5542="","",ROW()-2)</f>
        <v/>
      </c>
      <c r="M5542" s="10" t="str">
        <f aca="false">IF($A5542="","",ROW())</f>
        <v/>
      </c>
    </row>
    <row r="5543" customFormat="false" ht="15" hidden="false" customHeight="true" outlineLevel="0" collapsed="false">
      <c r="A5543" s="8"/>
      <c r="B5543" s="8"/>
      <c r="C5543" s="8"/>
      <c r="D5543" s="8"/>
      <c r="E5543" s="8"/>
      <c r="F5543" s="8"/>
      <c r="G5543" s="10" t="str">
        <f aca="false">IF($A5543="","",UPPER(SUBSTITUTE(SUBSTITUTE(SUBSTITUTE(SUBSTITUTE($A5543," ",""),"(주)",""),"주식회사",""),"㈜","")))</f>
        <v/>
      </c>
      <c r="H5543" s="10" t="str">
        <f aca="false">IF($B5543="","",SUBSTITUTE(SUBSTITUTE(SUBSTITUTE($B5543,"-","")," ",""),".",""))</f>
        <v/>
      </c>
      <c r="I5543" s="10" t="str">
        <f aca="false">IF($D5543="","",SUBSTITUTE(SUBSTITUTE(SUBSTITUTE($D5543,"-","")," ",""),".",""))</f>
        <v/>
      </c>
      <c r="J5543" s="10" t="str">
        <f aca="false">IF($E5543="","",UPPER(SUBSTITUTE($E5543," ","")))</f>
        <v/>
      </c>
      <c r="K5543" s="10" t="str">
        <f aca="false">IF($A5543="","",$G5543&amp;"|"&amp;$J5543)</f>
        <v/>
      </c>
      <c r="L5543" s="10" t="str">
        <f aca="false">IF($A5543="","",ROW()-2)</f>
        <v/>
      </c>
      <c r="M5543" s="10" t="str">
        <f aca="false">IF($A5543="","",ROW())</f>
        <v/>
      </c>
    </row>
    <row r="5544" customFormat="false" ht="15" hidden="false" customHeight="true" outlineLevel="0" collapsed="false">
      <c r="A5544" s="8"/>
      <c r="B5544" s="8"/>
      <c r="C5544" s="8"/>
      <c r="D5544" s="8"/>
      <c r="E5544" s="8"/>
      <c r="F5544" s="8"/>
      <c r="G5544" s="10" t="str">
        <f aca="false">IF($A5544="","",UPPER(SUBSTITUTE(SUBSTITUTE(SUBSTITUTE(SUBSTITUTE($A5544," ",""),"(주)",""),"주식회사",""),"㈜","")))</f>
        <v/>
      </c>
      <c r="H5544" s="10" t="str">
        <f aca="false">IF($B5544="","",SUBSTITUTE(SUBSTITUTE(SUBSTITUTE($B5544,"-","")," ",""),".",""))</f>
        <v/>
      </c>
      <c r="I5544" s="10" t="str">
        <f aca="false">IF($D5544="","",SUBSTITUTE(SUBSTITUTE(SUBSTITUTE($D5544,"-","")," ",""),".",""))</f>
        <v/>
      </c>
      <c r="J5544" s="10" t="str">
        <f aca="false">IF($E5544="","",UPPER(SUBSTITUTE($E5544," ","")))</f>
        <v/>
      </c>
      <c r="K5544" s="10" t="str">
        <f aca="false">IF($A5544="","",$G5544&amp;"|"&amp;$J5544)</f>
        <v/>
      </c>
      <c r="L5544" s="10" t="str">
        <f aca="false">IF($A5544="","",ROW()-2)</f>
        <v/>
      </c>
      <c r="M5544" s="10" t="str">
        <f aca="false">IF($A5544="","",ROW())</f>
        <v/>
      </c>
    </row>
    <row r="5545" customFormat="false" ht="15" hidden="false" customHeight="true" outlineLevel="0" collapsed="false">
      <c r="A5545" s="8"/>
      <c r="B5545" s="8"/>
      <c r="C5545" s="8"/>
      <c r="D5545" s="8"/>
      <c r="E5545" s="8"/>
      <c r="F5545" s="8"/>
      <c r="G5545" s="10" t="str">
        <f aca="false">IF($A5545="","",UPPER(SUBSTITUTE(SUBSTITUTE(SUBSTITUTE(SUBSTITUTE($A5545," ",""),"(주)",""),"주식회사",""),"㈜","")))</f>
        <v/>
      </c>
      <c r="H5545" s="10" t="str">
        <f aca="false">IF($B5545="","",SUBSTITUTE(SUBSTITUTE(SUBSTITUTE($B5545,"-","")," ",""),".",""))</f>
        <v/>
      </c>
      <c r="I5545" s="10" t="str">
        <f aca="false">IF($D5545="","",SUBSTITUTE(SUBSTITUTE(SUBSTITUTE($D5545,"-","")," ",""),".",""))</f>
        <v/>
      </c>
      <c r="J5545" s="10" t="str">
        <f aca="false">IF($E5545="","",UPPER(SUBSTITUTE($E5545," ","")))</f>
        <v/>
      </c>
      <c r="K5545" s="10" t="str">
        <f aca="false">IF($A5545="","",$G5545&amp;"|"&amp;$J5545)</f>
        <v/>
      </c>
      <c r="L5545" s="10" t="str">
        <f aca="false">IF($A5545="","",ROW()-2)</f>
        <v/>
      </c>
      <c r="M5545" s="10" t="str">
        <f aca="false">IF($A5545="","",ROW())</f>
        <v/>
      </c>
    </row>
    <row r="5546" customFormat="false" ht="15" hidden="false" customHeight="true" outlineLevel="0" collapsed="false">
      <c r="A5546" s="8"/>
      <c r="B5546" s="8"/>
      <c r="C5546" s="8"/>
      <c r="D5546" s="8"/>
      <c r="E5546" s="8"/>
      <c r="F5546" s="8"/>
      <c r="G5546" s="10" t="str">
        <f aca="false">IF($A5546="","",UPPER(SUBSTITUTE(SUBSTITUTE(SUBSTITUTE(SUBSTITUTE($A5546," ",""),"(주)",""),"주식회사",""),"㈜","")))</f>
        <v/>
      </c>
      <c r="H5546" s="10" t="str">
        <f aca="false">IF($B5546="","",SUBSTITUTE(SUBSTITUTE(SUBSTITUTE($B5546,"-","")," ",""),".",""))</f>
        <v/>
      </c>
      <c r="I5546" s="10" t="str">
        <f aca="false">IF($D5546="","",SUBSTITUTE(SUBSTITUTE(SUBSTITUTE($D5546,"-","")," ",""),".",""))</f>
        <v/>
      </c>
      <c r="J5546" s="10" t="str">
        <f aca="false">IF($E5546="","",UPPER(SUBSTITUTE($E5546," ","")))</f>
        <v/>
      </c>
      <c r="K5546" s="10" t="str">
        <f aca="false">IF($A5546="","",$G5546&amp;"|"&amp;$J5546)</f>
        <v/>
      </c>
      <c r="L5546" s="10" t="str">
        <f aca="false">IF($A5546="","",ROW()-2)</f>
        <v/>
      </c>
      <c r="M5546" s="10" t="str">
        <f aca="false">IF($A5546="","",ROW())</f>
        <v/>
      </c>
    </row>
    <row r="5547" customFormat="false" ht="15" hidden="false" customHeight="true" outlineLevel="0" collapsed="false">
      <c r="A5547" s="8"/>
      <c r="B5547" s="8"/>
      <c r="C5547" s="8"/>
      <c r="D5547" s="8"/>
      <c r="E5547" s="8"/>
      <c r="F5547" s="8"/>
      <c r="G5547" s="10" t="str">
        <f aca="false">IF($A5547="","",UPPER(SUBSTITUTE(SUBSTITUTE(SUBSTITUTE(SUBSTITUTE($A5547," ",""),"(주)",""),"주식회사",""),"㈜","")))</f>
        <v/>
      </c>
      <c r="H5547" s="10" t="str">
        <f aca="false">IF($B5547="","",SUBSTITUTE(SUBSTITUTE(SUBSTITUTE($B5547,"-","")," ",""),".",""))</f>
        <v/>
      </c>
      <c r="I5547" s="10" t="str">
        <f aca="false">IF($D5547="","",SUBSTITUTE(SUBSTITUTE(SUBSTITUTE($D5547,"-","")," ",""),".",""))</f>
        <v/>
      </c>
      <c r="J5547" s="10" t="str">
        <f aca="false">IF($E5547="","",UPPER(SUBSTITUTE($E5547," ","")))</f>
        <v/>
      </c>
      <c r="K5547" s="10" t="str">
        <f aca="false">IF($A5547="","",$G5547&amp;"|"&amp;$J5547)</f>
        <v/>
      </c>
      <c r="L5547" s="10" t="str">
        <f aca="false">IF($A5547="","",ROW()-2)</f>
        <v/>
      </c>
      <c r="M5547" s="10" t="str">
        <f aca="false">IF($A5547="","",ROW())</f>
        <v/>
      </c>
    </row>
    <row r="5548" customFormat="false" ht="15" hidden="false" customHeight="true" outlineLevel="0" collapsed="false">
      <c r="A5548" s="8"/>
      <c r="B5548" s="8"/>
      <c r="C5548" s="8"/>
      <c r="D5548" s="8"/>
      <c r="E5548" s="8"/>
      <c r="F5548" s="8"/>
      <c r="G5548" s="10" t="str">
        <f aca="false">IF($A5548="","",UPPER(SUBSTITUTE(SUBSTITUTE(SUBSTITUTE(SUBSTITUTE($A5548," ",""),"(주)",""),"주식회사",""),"㈜","")))</f>
        <v/>
      </c>
      <c r="H5548" s="10" t="str">
        <f aca="false">IF($B5548="","",SUBSTITUTE(SUBSTITUTE(SUBSTITUTE($B5548,"-","")," ",""),".",""))</f>
        <v/>
      </c>
      <c r="I5548" s="10" t="str">
        <f aca="false">IF($D5548="","",SUBSTITUTE(SUBSTITUTE(SUBSTITUTE($D5548,"-","")," ",""),".",""))</f>
        <v/>
      </c>
      <c r="J5548" s="10" t="str">
        <f aca="false">IF($E5548="","",UPPER(SUBSTITUTE($E5548," ","")))</f>
        <v/>
      </c>
      <c r="K5548" s="10" t="str">
        <f aca="false">IF($A5548="","",$G5548&amp;"|"&amp;$J5548)</f>
        <v/>
      </c>
      <c r="L5548" s="10" t="str">
        <f aca="false">IF($A5548="","",ROW()-2)</f>
        <v/>
      </c>
      <c r="M5548" s="10" t="str">
        <f aca="false">IF($A5548="","",ROW())</f>
        <v/>
      </c>
    </row>
    <row r="5549" customFormat="false" ht="15" hidden="false" customHeight="true" outlineLevel="0" collapsed="false">
      <c r="A5549" s="8"/>
      <c r="B5549" s="8"/>
      <c r="C5549" s="8"/>
      <c r="D5549" s="8"/>
      <c r="E5549" s="8"/>
      <c r="F5549" s="8"/>
      <c r="G5549" s="10" t="str">
        <f aca="false">IF($A5549="","",UPPER(SUBSTITUTE(SUBSTITUTE(SUBSTITUTE(SUBSTITUTE($A5549," ",""),"(주)",""),"주식회사",""),"㈜","")))</f>
        <v/>
      </c>
      <c r="H5549" s="10" t="str">
        <f aca="false">IF($B5549="","",SUBSTITUTE(SUBSTITUTE(SUBSTITUTE($B5549,"-","")," ",""),".",""))</f>
        <v/>
      </c>
      <c r="I5549" s="10" t="str">
        <f aca="false">IF($D5549="","",SUBSTITUTE(SUBSTITUTE(SUBSTITUTE($D5549,"-","")," ",""),".",""))</f>
        <v/>
      </c>
      <c r="J5549" s="10" t="str">
        <f aca="false">IF($E5549="","",UPPER(SUBSTITUTE($E5549," ","")))</f>
        <v/>
      </c>
      <c r="K5549" s="10" t="str">
        <f aca="false">IF($A5549="","",$G5549&amp;"|"&amp;$J5549)</f>
        <v/>
      </c>
      <c r="L5549" s="10" t="str">
        <f aca="false">IF($A5549="","",ROW()-2)</f>
        <v/>
      </c>
      <c r="M5549" s="10" t="str">
        <f aca="false">IF($A5549="","",ROW())</f>
        <v/>
      </c>
    </row>
    <row r="5550" customFormat="false" ht="15" hidden="false" customHeight="true" outlineLevel="0" collapsed="false">
      <c r="A5550" s="8"/>
      <c r="B5550" s="8"/>
      <c r="C5550" s="8"/>
      <c r="D5550" s="8"/>
      <c r="E5550" s="8"/>
      <c r="F5550" s="8"/>
      <c r="G5550" s="10" t="str">
        <f aca="false">IF($A5550="","",UPPER(SUBSTITUTE(SUBSTITUTE(SUBSTITUTE(SUBSTITUTE($A5550," ",""),"(주)",""),"주식회사",""),"㈜","")))</f>
        <v/>
      </c>
      <c r="H5550" s="10" t="str">
        <f aca="false">IF($B5550="","",SUBSTITUTE(SUBSTITUTE(SUBSTITUTE($B5550,"-","")," ",""),".",""))</f>
        <v/>
      </c>
      <c r="I5550" s="10" t="str">
        <f aca="false">IF($D5550="","",SUBSTITUTE(SUBSTITUTE(SUBSTITUTE($D5550,"-","")," ",""),".",""))</f>
        <v/>
      </c>
      <c r="J5550" s="10" t="str">
        <f aca="false">IF($E5550="","",UPPER(SUBSTITUTE($E5550," ","")))</f>
        <v/>
      </c>
      <c r="K5550" s="10" t="str">
        <f aca="false">IF($A5550="","",$G5550&amp;"|"&amp;$J5550)</f>
        <v/>
      </c>
      <c r="L5550" s="10" t="str">
        <f aca="false">IF($A5550="","",ROW()-2)</f>
        <v/>
      </c>
      <c r="M5550" s="10" t="str">
        <f aca="false">IF($A5550="","",ROW())</f>
        <v/>
      </c>
    </row>
    <row r="5551" customFormat="false" ht="15" hidden="false" customHeight="true" outlineLevel="0" collapsed="false">
      <c r="A5551" s="8"/>
      <c r="B5551" s="8"/>
      <c r="C5551" s="8"/>
      <c r="D5551" s="8"/>
      <c r="E5551" s="8"/>
      <c r="F5551" s="8"/>
      <c r="G5551" s="10" t="str">
        <f aca="false">IF($A5551="","",UPPER(SUBSTITUTE(SUBSTITUTE(SUBSTITUTE(SUBSTITUTE($A5551," ",""),"(주)",""),"주식회사",""),"㈜","")))</f>
        <v/>
      </c>
      <c r="H5551" s="10" t="str">
        <f aca="false">IF($B5551="","",SUBSTITUTE(SUBSTITUTE(SUBSTITUTE($B5551,"-","")," ",""),".",""))</f>
        <v/>
      </c>
      <c r="I5551" s="10" t="str">
        <f aca="false">IF($D5551="","",SUBSTITUTE(SUBSTITUTE(SUBSTITUTE($D5551,"-","")," ",""),".",""))</f>
        <v/>
      </c>
      <c r="J5551" s="10" t="str">
        <f aca="false">IF($E5551="","",UPPER(SUBSTITUTE($E5551," ","")))</f>
        <v/>
      </c>
      <c r="K5551" s="10" t="str">
        <f aca="false">IF($A5551="","",$G5551&amp;"|"&amp;$J5551)</f>
        <v/>
      </c>
      <c r="L5551" s="10" t="str">
        <f aca="false">IF($A5551="","",ROW()-2)</f>
        <v/>
      </c>
      <c r="M5551" s="10" t="str">
        <f aca="false">IF($A5551="","",ROW())</f>
        <v/>
      </c>
    </row>
    <row r="5552" customFormat="false" ht="15" hidden="false" customHeight="true" outlineLevel="0" collapsed="false">
      <c r="A5552" s="8"/>
      <c r="B5552" s="8"/>
      <c r="C5552" s="8"/>
      <c r="D5552" s="8"/>
      <c r="E5552" s="8"/>
      <c r="F5552" s="8"/>
      <c r="G5552" s="10" t="str">
        <f aca="false">IF($A5552="","",UPPER(SUBSTITUTE(SUBSTITUTE(SUBSTITUTE(SUBSTITUTE($A5552," ",""),"(주)",""),"주식회사",""),"㈜","")))</f>
        <v/>
      </c>
      <c r="H5552" s="10" t="str">
        <f aca="false">IF($B5552="","",SUBSTITUTE(SUBSTITUTE(SUBSTITUTE($B5552,"-","")," ",""),".",""))</f>
        <v/>
      </c>
      <c r="I5552" s="10" t="str">
        <f aca="false">IF($D5552="","",SUBSTITUTE(SUBSTITUTE(SUBSTITUTE($D5552,"-","")," ",""),".",""))</f>
        <v/>
      </c>
      <c r="J5552" s="10" t="str">
        <f aca="false">IF($E5552="","",UPPER(SUBSTITUTE($E5552," ","")))</f>
        <v/>
      </c>
      <c r="K5552" s="10" t="str">
        <f aca="false">IF($A5552="","",$G5552&amp;"|"&amp;$J5552)</f>
        <v/>
      </c>
      <c r="L5552" s="10" t="str">
        <f aca="false">IF($A5552="","",ROW()-2)</f>
        <v/>
      </c>
      <c r="M5552" s="10" t="str">
        <f aca="false">IF($A5552="","",ROW())</f>
        <v/>
      </c>
    </row>
    <row r="5553" customFormat="false" ht="15" hidden="false" customHeight="true" outlineLevel="0" collapsed="false">
      <c r="A5553" s="8"/>
      <c r="B5553" s="8"/>
      <c r="C5553" s="8"/>
      <c r="D5553" s="8"/>
      <c r="E5553" s="8"/>
      <c r="F5553" s="8"/>
      <c r="G5553" s="10" t="str">
        <f aca="false">IF($A5553="","",UPPER(SUBSTITUTE(SUBSTITUTE(SUBSTITUTE(SUBSTITUTE($A5553," ",""),"(주)",""),"주식회사",""),"㈜","")))</f>
        <v/>
      </c>
      <c r="H5553" s="10" t="str">
        <f aca="false">IF($B5553="","",SUBSTITUTE(SUBSTITUTE(SUBSTITUTE($B5553,"-","")," ",""),".",""))</f>
        <v/>
      </c>
      <c r="I5553" s="10" t="str">
        <f aca="false">IF($D5553="","",SUBSTITUTE(SUBSTITUTE(SUBSTITUTE($D5553,"-","")," ",""),".",""))</f>
        <v/>
      </c>
      <c r="J5553" s="10" t="str">
        <f aca="false">IF($E5553="","",UPPER(SUBSTITUTE($E5553," ","")))</f>
        <v/>
      </c>
      <c r="K5553" s="10" t="str">
        <f aca="false">IF($A5553="","",$G5553&amp;"|"&amp;$J5553)</f>
        <v/>
      </c>
      <c r="L5553" s="10" t="str">
        <f aca="false">IF($A5553="","",ROW()-2)</f>
        <v/>
      </c>
      <c r="M5553" s="10" t="str">
        <f aca="false">IF($A5553="","",ROW())</f>
        <v/>
      </c>
    </row>
    <row r="5554" customFormat="false" ht="15" hidden="false" customHeight="true" outlineLevel="0" collapsed="false">
      <c r="A5554" s="8"/>
      <c r="B5554" s="8"/>
      <c r="C5554" s="8"/>
      <c r="D5554" s="8"/>
      <c r="E5554" s="8"/>
      <c r="F5554" s="8"/>
      <c r="G5554" s="10" t="str">
        <f aca="false">IF($A5554="","",UPPER(SUBSTITUTE(SUBSTITUTE(SUBSTITUTE(SUBSTITUTE($A5554," ",""),"(주)",""),"주식회사",""),"㈜","")))</f>
        <v/>
      </c>
      <c r="H5554" s="10" t="str">
        <f aca="false">IF($B5554="","",SUBSTITUTE(SUBSTITUTE(SUBSTITUTE($B5554,"-","")," ",""),".",""))</f>
        <v/>
      </c>
      <c r="I5554" s="10" t="str">
        <f aca="false">IF($D5554="","",SUBSTITUTE(SUBSTITUTE(SUBSTITUTE($D5554,"-","")," ",""),".",""))</f>
        <v/>
      </c>
      <c r="J5554" s="10" t="str">
        <f aca="false">IF($E5554="","",UPPER(SUBSTITUTE($E5554," ","")))</f>
        <v/>
      </c>
      <c r="K5554" s="10" t="str">
        <f aca="false">IF($A5554="","",$G5554&amp;"|"&amp;$J5554)</f>
        <v/>
      </c>
      <c r="L5554" s="10" t="str">
        <f aca="false">IF($A5554="","",ROW()-2)</f>
        <v/>
      </c>
      <c r="M5554" s="10" t="str">
        <f aca="false">IF($A5554="","",ROW())</f>
        <v/>
      </c>
    </row>
    <row r="5555" customFormat="false" ht="15" hidden="false" customHeight="true" outlineLevel="0" collapsed="false">
      <c r="A5555" s="8"/>
      <c r="B5555" s="8"/>
      <c r="C5555" s="8"/>
      <c r="D5555" s="8"/>
      <c r="E5555" s="8"/>
      <c r="F5555" s="8"/>
      <c r="G5555" s="10" t="str">
        <f aca="false">IF($A5555="","",UPPER(SUBSTITUTE(SUBSTITUTE(SUBSTITUTE(SUBSTITUTE($A5555," ",""),"(주)",""),"주식회사",""),"㈜","")))</f>
        <v/>
      </c>
      <c r="H5555" s="10" t="str">
        <f aca="false">IF($B5555="","",SUBSTITUTE(SUBSTITUTE(SUBSTITUTE($B5555,"-","")," ",""),".",""))</f>
        <v/>
      </c>
      <c r="I5555" s="10" t="str">
        <f aca="false">IF($D5555="","",SUBSTITUTE(SUBSTITUTE(SUBSTITUTE($D5555,"-","")," ",""),".",""))</f>
        <v/>
      </c>
      <c r="J5555" s="10" t="str">
        <f aca="false">IF($E5555="","",UPPER(SUBSTITUTE($E5555," ","")))</f>
        <v/>
      </c>
      <c r="K5555" s="10" t="str">
        <f aca="false">IF($A5555="","",$G5555&amp;"|"&amp;$J5555)</f>
        <v/>
      </c>
      <c r="L5555" s="10" t="str">
        <f aca="false">IF($A5555="","",ROW()-2)</f>
        <v/>
      </c>
      <c r="M5555" s="10" t="str">
        <f aca="false">IF($A5555="","",ROW())</f>
        <v/>
      </c>
    </row>
    <row r="5556" customFormat="false" ht="15" hidden="false" customHeight="true" outlineLevel="0" collapsed="false">
      <c r="A5556" s="8"/>
      <c r="B5556" s="8"/>
      <c r="C5556" s="8"/>
      <c r="D5556" s="8"/>
      <c r="E5556" s="8"/>
      <c r="F5556" s="8"/>
      <c r="G5556" s="10" t="str">
        <f aca="false">IF($A5556="","",UPPER(SUBSTITUTE(SUBSTITUTE(SUBSTITUTE(SUBSTITUTE($A5556," ",""),"(주)",""),"주식회사",""),"㈜","")))</f>
        <v/>
      </c>
      <c r="H5556" s="10" t="str">
        <f aca="false">IF($B5556="","",SUBSTITUTE(SUBSTITUTE(SUBSTITUTE($B5556,"-","")," ",""),".",""))</f>
        <v/>
      </c>
      <c r="I5556" s="10" t="str">
        <f aca="false">IF($D5556="","",SUBSTITUTE(SUBSTITUTE(SUBSTITUTE($D5556,"-","")," ",""),".",""))</f>
        <v/>
      </c>
      <c r="J5556" s="10" t="str">
        <f aca="false">IF($E5556="","",UPPER(SUBSTITUTE($E5556," ","")))</f>
        <v/>
      </c>
      <c r="K5556" s="10" t="str">
        <f aca="false">IF($A5556="","",$G5556&amp;"|"&amp;$J5556)</f>
        <v/>
      </c>
      <c r="L5556" s="10" t="str">
        <f aca="false">IF($A5556="","",ROW()-2)</f>
        <v/>
      </c>
      <c r="M5556" s="10" t="str">
        <f aca="false">IF($A5556="","",ROW())</f>
        <v/>
      </c>
    </row>
    <row r="5557" customFormat="false" ht="15" hidden="false" customHeight="true" outlineLevel="0" collapsed="false">
      <c r="A5557" s="8"/>
      <c r="B5557" s="8"/>
      <c r="C5557" s="8"/>
      <c r="D5557" s="8"/>
      <c r="E5557" s="8"/>
      <c r="F5557" s="8"/>
      <c r="G5557" s="10" t="str">
        <f aca="false">IF($A5557="","",UPPER(SUBSTITUTE(SUBSTITUTE(SUBSTITUTE(SUBSTITUTE($A5557," ",""),"(주)",""),"주식회사",""),"㈜","")))</f>
        <v/>
      </c>
      <c r="H5557" s="10" t="str">
        <f aca="false">IF($B5557="","",SUBSTITUTE(SUBSTITUTE(SUBSTITUTE($B5557,"-","")," ",""),".",""))</f>
        <v/>
      </c>
      <c r="I5557" s="10" t="str">
        <f aca="false">IF($D5557="","",SUBSTITUTE(SUBSTITUTE(SUBSTITUTE($D5557,"-","")," ",""),".",""))</f>
        <v/>
      </c>
      <c r="J5557" s="10" t="str">
        <f aca="false">IF($E5557="","",UPPER(SUBSTITUTE($E5557," ","")))</f>
        <v/>
      </c>
      <c r="K5557" s="10" t="str">
        <f aca="false">IF($A5557="","",$G5557&amp;"|"&amp;$J5557)</f>
        <v/>
      </c>
      <c r="L5557" s="10" t="str">
        <f aca="false">IF($A5557="","",ROW()-2)</f>
        <v/>
      </c>
      <c r="M5557" s="10" t="str">
        <f aca="false">IF($A5557="","",ROW())</f>
        <v/>
      </c>
    </row>
    <row r="5558" customFormat="false" ht="15" hidden="false" customHeight="true" outlineLevel="0" collapsed="false">
      <c r="A5558" s="8"/>
      <c r="B5558" s="8"/>
      <c r="C5558" s="8"/>
      <c r="D5558" s="8"/>
      <c r="E5558" s="8"/>
      <c r="F5558" s="8"/>
      <c r="G5558" s="10" t="str">
        <f aca="false">IF($A5558="","",UPPER(SUBSTITUTE(SUBSTITUTE(SUBSTITUTE(SUBSTITUTE($A5558," ",""),"(주)",""),"주식회사",""),"㈜","")))</f>
        <v/>
      </c>
      <c r="H5558" s="10" t="str">
        <f aca="false">IF($B5558="","",SUBSTITUTE(SUBSTITUTE(SUBSTITUTE($B5558,"-","")," ",""),".",""))</f>
        <v/>
      </c>
      <c r="I5558" s="10" t="str">
        <f aca="false">IF($D5558="","",SUBSTITUTE(SUBSTITUTE(SUBSTITUTE($D5558,"-","")," ",""),".",""))</f>
        <v/>
      </c>
      <c r="J5558" s="10" t="str">
        <f aca="false">IF($E5558="","",UPPER(SUBSTITUTE($E5558," ","")))</f>
        <v/>
      </c>
      <c r="K5558" s="10" t="str">
        <f aca="false">IF($A5558="","",$G5558&amp;"|"&amp;$J5558)</f>
        <v/>
      </c>
      <c r="L5558" s="10" t="str">
        <f aca="false">IF($A5558="","",ROW()-2)</f>
        <v/>
      </c>
      <c r="M5558" s="10" t="str">
        <f aca="false">IF($A5558="","",ROW())</f>
        <v/>
      </c>
    </row>
    <row r="5559" customFormat="false" ht="15" hidden="false" customHeight="true" outlineLevel="0" collapsed="false">
      <c r="A5559" s="8"/>
      <c r="B5559" s="8"/>
      <c r="C5559" s="8"/>
      <c r="D5559" s="8"/>
      <c r="E5559" s="8"/>
      <c r="F5559" s="8"/>
      <c r="G5559" s="10" t="str">
        <f aca="false">IF($A5559="","",UPPER(SUBSTITUTE(SUBSTITUTE(SUBSTITUTE(SUBSTITUTE($A5559," ",""),"(주)",""),"주식회사",""),"㈜","")))</f>
        <v/>
      </c>
      <c r="H5559" s="10" t="str">
        <f aca="false">IF($B5559="","",SUBSTITUTE(SUBSTITUTE(SUBSTITUTE($B5559,"-","")," ",""),".",""))</f>
        <v/>
      </c>
      <c r="I5559" s="10" t="str">
        <f aca="false">IF($D5559="","",SUBSTITUTE(SUBSTITUTE(SUBSTITUTE($D5559,"-","")," ",""),".",""))</f>
        <v/>
      </c>
      <c r="J5559" s="10" t="str">
        <f aca="false">IF($E5559="","",UPPER(SUBSTITUTE($E5559," ","")))</f>
        <v/>
      </c>
      <c r="K5559" s="10" t="str">
        <f aca="false">IF($A5559="","",$G5559&amp;"|"&amp;$J5559)</f>
        <v/>
      </c>
      <c r="L5559" s="10" t="str">
        <f aca="false">IF($A5559="","",ROW()-2)</f>
        <v/>
      </c>
      <c r="M5559" s="10" t="str">
        <f aca="false">IF($A5559="","",ROW())</f>
        <v/>
      </c>
    </row>
    <row r="5560" customFormat="false" ht="15" hidden="false" customHeight="true" outlineLevel="0" collapsed="false">
      <c r="A5560" s="8"/>
      <c r="B5560" s="8"/>
      <c r="C5560" s="8"/>
      <c r="D5560" s="8"/>
      <c r="E5560" s="8"/>
      <c r="F5560" s="8"/>
      <c r="G5560" s="10" t="str">
        <f aca="false">IF($A5560="","",UPPER(SUBSTITUTE(SUBSTITUTE(SUBSTITUTE(SUBSTITUTE($A5560," ",""),"(주)",""),"주식회사",""),"㈜","")))</f>
        <v/>
      </c>
      <c r="H5560" s="10" t="str">
        <f aca="false">IF($B5560="","",SUBSTITUTE(SUBSTITUTE(SUBSTITUTE($B5560,"-","")," ",""),".",""))</f>
        <v/>
      </c>
      <c r="I5560" s="10" t="str">
        <f aca="false">IF($D5560="","",SUBSTITUTE(SUBSTITUTE(SUBSTITUTE($D5560,"-","")," ",""),".",""))</f>
        <v/>
      </c>
      <c r="J5560" s="10" t="str">
        <f aca="false">IF($E5560="","",UPPER(SUBSTITUTE($E5560," ","")))</f>
        <v/>
      </c>
      <c r="K5560" s="10" t="str">
        <f aca="false">IF($A5560="","",$G5560&amp;"|"&amp;$J5560)</f>
        <v/>
      </c>
      <c r="L5560" s="10" t="str">
        <f aca="false">IF($A5560="","",ROW()-2)</f>
        <v/>
      </c>
      <c r="M5560" s="10" t="str">
        <f aca="false">IF($A5560="","",ROW())</f>
        <v/>
      </c>
    </row>
    <row r="5561" customFormat="false" ht="15" hidden="false" customHeight="true" outlineLevel="0" collapsed="false">
      <c r="A5561" s="8"/>
      <c r="B5561" s="8"/>
      <c r="C5561" s="8"/>
      <c r="D5561" s="8"/>
      <c r="E5561" s="8"/>
      <c r="F5561" s="8"/>
      <c r="G5561" s="10" t="str">
        <f aca="false">IF($A5561="","",UPPER(SUBSTITUTE(SUBSTITUTE(SUBSTITUTE(SUBSTITUTE($A5561," ",""),"(주)",""),"주식회사",""),"㈜","")))</f>
        <v/>
      </c>
      <c r="H5561" s="10" t="str">
        <f aca="false">IF($B5561="","",SUBSTITUTE(SUBSTITUTE(SUBSTITUTE($B5561,"-","")," ",""),".",""))</f>
        <v/>
      </c>
      <c r="I5561" s="10" t="str">
        <f aca="false">IF($D5561="","",SUBSTITUTE(SUBSTITUTE(SUBSTITUTE($D5561,"-","")," ",""),".",""))</f>
        <v/>
      </c>
      <c r="J5561" s="10" t="str">
        <f aca="false">IF($E5561="","",UPPER(SUBSTITUTE($E5561," ","")))</f>
        <v/>
      </c>
      <c r="K5561" s="10" t="str">
        <f aca="false">IF($A5561="","",$G5561&amp;"|"&amp;$J5561)</f>
        <v/>
      </c>
      <c r="L5561" s="10" t="str">
        <f aca="false">IF($A5561="","",ROW()-2)</f>
        <v/>
      </c>
      <c r="M5561" s="10" t="str">
        <f aca="false">IF($A5561="","",ROW())</f>
        <v/>
      </c>
    </row>
    <row r="5562" customFormat="false" ht="15" hidden="false" customHeight="true" outlineLevel="0" collapsed="false">
      <c r="A5562" s="8"/>
      <c r="B5562" s="8"/>
      <c r="C5562" s="8"/>
      <c r="D5562" s="8"/>
      <c r="E5562" s="8"/>
      <c r="F5562" s="8"/>
      <c r="G5562" s="10" t="str">
        <f aca="false">IF($A5562="","",UPPER(SUBSTITUTE(SUBSTITUTE(SUBSTITUTE(SUBSTITUTE($A5562," ",""),"(주)",""),"주식회사",""),"㈜","")))</f>
        <v/>
      </c>
      <c r="H5562" s="10" t="str">
        <f aca="false">IF($B5562="","",SUBSTITUTE(SUBSTITUTE(SUBSTITUTE($B5562,"-","")," ",""),".",""))</f>
        <v/>
      </c>
      <c r="I5562" s="10" t="str">
        <f aca="false">IF($D5562="","",SUBSTITUTE(SUBSTITUTE(SUBSTITUTE($D5562,"-","")," ",""),".",""))</f>
        <v/>
      </c>
      <c r="J5562" s="10" t="str">
        <f aca="false">IF($E5562="","",UPPER(SUBSTITUTE($E5562," ","")))</f>
        <v/>
      </c>
      <c r="K5562" s="10" t="str">
        <f aca="false">IF($A5562="","",$G5562&amp;"|"&amp;$J5562)</f>
        <v/>
      </c>
      <c r="L5562" s="10" t="str">
        <f aca="false">IF($A5562="","",ROW()-2)</f>
        <v/>
      </c>
      <c r="M5562" s="10" t="str">
        <f aca="false">IF($A5562="","",ROW())</f>
        <v/>
      </c>
    </row>
    <row r="5563" customFormat="false" ht="15" hidden="false" customHeight="true" outlineLevel="0" collapsed="false">
      <c r="A5563" s="8"/>
      <c r="B5563" s="8"/>
      <c r="C5563" s="8"/>
      <c r="D5563" s="8"/>
      <c r="E5563" s="8"/>
      <c r="F5563" s="8"/>
      <c r="G5563" s="10" t="str">
        <f aca="false">IF($A5563="","",UPPER(SUBSTITUTE(SUBSTITUTE(SUBSTITUTE(SUBSTITUTE($A5563," ",""),"(주)",""),"주식회사",""),"㈜","")))</f>
        <v/>
      </c>
      <c r="H5563" s="10" t="str">
        <f aca="false">IF($B5563="","",SUBSTITUTE(SUBSTITUTE(SUBSTITUTE($B5563,"-","")," ",""),".",""))</f>
        <v/>
      </c>
      <c r="I5563" s="10" t="str">
        <f aca="false">IF($D5563="","",SUBSTITUTE(SUBSTITUTE(SUBSTITUTE($D5563,"-","")," ",""),".",""))</f>
        <v/>
      </c>
      <c r="J5563" s="10" t="str">
        <f aca="false">IF($E5563="","",UPPER(SUBSTITUTE($E5563," ","")))</f>
        <v/>
      </c>
      <c r="K5563" s="10" t="str">
        <f aca="false">IF($A5563="","",$G5563&amp;"|"&amp;$J5563)</f>
        <v/>
      </c>
      <c r="L5563" s="10" t="str">
        <f aca="false">IF($A5563="","",ROW()-2)</f>
        <v/>
      </c>
      <c r="M5563" s="10" t="str">
        <f aca="false">IF($A5563="","",ROW())</f>
        <v/>
      </c>
    </row>
    <row r="5564" customFormat="false" ht="15" hidden="false" customHeight="true" outlineLevel="0" collapsed="false">
      <c r="A5564" s="8"/>
      <c r="B5564" s="8"/>
      <c r="C5564" s="8"/>
      <c r="D5564" s="8"/>
      <c r="E5564" s="8"/>
      <c r="F5564" s="8"/>
      <c r="G5564" s="10" t="str">
        <f aca="false">IF($A5564="","",UPPER(SUBSTITUTE(SUBSTITUTE(SUBSTITUTE(SUBSTITUTE($A5564," ",""),"(주)",""),"주식회사",""),"㈜","")))</f>
        <v/>
      </c>
      <c r="H5564" s="10" t="str">
        <f aca="false">IF($B5564="","",SUBSTITUTE(SUBSTITUTE(SUBSTITUTE($B5564,"-","")," ",""),".",""))</f>
        <v/>
      </c>
      <c r="I5564" s="10" t="str">
        <f aca="false">IF($D5564="","",SUBSTITUTE(SUBSTITUTE(SUBSTITUTE($D5564,"-","")," ",""),".",""))</f>
        <v/>
      </c>
      <c r="J5564" s="10" t="str">
        <f aca="false">IF($E5564="","",UPPER(SUBSTITUTE($E5564," ","")))</f>
        <v/>
      </c>
      <c r="K5564" s="10" t="str">
        <f aca="false">IF($A5564="","",$G5564&amp;"|"&amp;$J5564)</f>
        <v/>
      </c>
      <c r="L5564" s="10" t="str">
        <f aca="false">IF($A5564="","",ROW()-2)</f>
        <v/>
      </c>
      <c r="M5564" s="10" t="str">
        <f aca="false">IF($A5564="","",ROW())</f>
        <v/>
      </c>
    </row>
    <row r="5565" customFormat="false" ht="15" hidden="false" customHeight="true" outlineLevel="0" collapsed="false">
      <c r="A5565" s="8"/>
      <c r="B5565" s="8"/>
      <c r="C5565" s="8"/>
      <c r="D5565" s="8"/>
      <c r="E5565" s="8"/>
      <c r="F5565" s="8"/>
      <c r="G5565" s="10" t="str">
        <f aca="false">IF($A5565="","",UPPER(SUBSTITUTE(SUBSTITUTE(SUBSTITUTE(SUBSTITUTE($A5565," ",""),"(주)",""),"주식회사",""),"㈜","")))</f>
        <v/>
      </c>
      <c r="H5565" s="10" t="str">
        <f aca="false">IF($B5565="","",SUBSTITUTE(SUBSTITUTE(SUBSTITUTE($B5565,"-","")," ",""),".",""))</f>
        <v/>
      </c>
      <c r="I5565" s="10" t="str">
        <f aca="false">IF($D5565="","",SUBSTITUTE(SUBSTITUTE(SUBSTITUTE($D5565,"-","")," ",""),".",""))</f>
        <v/>
      </c>
      <c r="J5565" s="10" t="str">
        <f aca="false">IF($E5565="","",UPPER(SUBSTITUTE($E5565," ","")))</f>
        <v/>
      </c>
      <c r="K5565" s="10" t="str">
        <f aca="false">IF($A5565="","",$G5565&amp;"|"&amp;$J5565)</f>
        <v/>
      </c>
      <c r="L5565" s="10" t="str">
        <f aca="false">IF($A5565="","",ROW()-2)</f>
        <v/>
      </c>
      <c r="M5565" s="10" t="str">
        <f aca="false">IF($A5565="","",ROW())</f>
        <v/>
      </c>
    </row>
    <row r="5566" customFormat="false" ht="15" hidden="false" customHeight="true" outlineLevel="0" collapsed="false">
      <c r="A5566" s="8"/>
      <c r="B5566" s="8"/>
      <c r="C5566" s="8"/>
      <c r="D5566" s="8"/>
      <c r="E5566" s="8"/>
      <c r="F5566" s="8"/>
      <c r="G5566" s="10" t="str">
        <f aca="false">IF($A5566="","",UPPER(SUBSTITUTE(SUBSTITUTE(SUBSTITUTE(SUBSTITUTE($A5566," ",""),"(주)",""),"주식회사",""),"㈜","")))</f>
        <v/>
      </c>
      <c r="H5566" s="10" t="str">
        <f aca="false">IF($B5566="","",SUBSTITUTE(SUBSTITUTE(SUBSTITUTE($B5566,"-","")," ",""),".",""))</f>
        <v/>
      </c>
      <c r="I5566" s="10" t="str">
        <f aca="false">IF($D5566="","",SUBSTITUTE(SUBSTITUTE(SUBSTITUTE($D5566,"-","")," ",""),".",""))</f>
        <v/>
      </c>
      <c r="J5566" s="10" t="str">
        <f aca="false">IF($E5566="","",UPPER(SUBSTITUTE($E5566," ","")))</f>
        <v/>
      </c>
      <c r="K5566" s="10" t="str">
        <f aca="false">IF($A5566="","",$G5566&amp;"|"&amp;$J5566)</f>
        <v/>
      </c>
      <c r="L5566" s="10" t="str">
        <f aca="false">IF($A5566="","",ROW()-2)</f>
        <v/>
      </c>
      <c r="M5566" s="10" t="str">
        <f aca="false">IF($A5566="","",ROW())</f>
        <v/>
      </c>
    </row>
    <row r="5567" customFormat="false" ht="15" hidden="false" customHeight="true" outlineLevel="0" collapsed="false">
      <c r="A5567" s="8"/>
      <c r="B5567" s="8"/>
      <c r="C5567" s="8"/>
      <c r="D5567" s="8"/>
      <c r="E5567" s="8"/>
      <c r="F5567" s="8"/>
      <c r="G5567" s="10" t="str">
        <f aca="false">IF($A5567="","",UPPER(SUBSTITUTE(SUBSTITUTE(SUBSTITUTE(SUBSTITUTE($A5567," ",""),"(주)",""),"주식회사",""),"㈜","")))</f>
        <v/>
      </c>
      <c r="H5567" s="10" t="str">
        <f aca="false">IF($B5567="","",SUBSTITUTE(SUBSTITUTE(SUBSTITUTE($B5567,"-","")," ",""),".",""))</f>
        <v/>
      </c>
      <c r="I5567" s="10" t="str">
        <f aca="false">IF($D5567="","",SUBSTITUTE(SUBSTITUTE(SUBSTITUTE($D5567,"-","")," ",""),".",""))</f>
        <v/>
      </c>
      <c r="J5567" s="10" t="str">
        <f aca="false">IF($E5567="","",UPPER(SUBSTITUTE($E5567," ","")))</f>
        <v/>
      </c>
      <c r="K5567" s="10" t="str">
        <f aca="false">IF($A5567="","",$G5567&amp;"|"&amp;$J5567)</f>
        <v/>
      </c>
      <c r="L5567" s="10" t="str">
        <f aca="false">IF($A5567="","",ROW()-2)</f>
        <v/>
      </c>
      <c r="M5567" s="10" t="str">
        <f aca="false">IF($A5567="","",ROW())</f>
        <v/>
      </c>
    </row>
    <row r="5568" customFormat="false" ht="15" hidden="false" customHeight="true" outlineLevel="0" collapsed="false">
      <c r="A5568" s="8"/>
      <c r="B5568" s="8"/>
      <c r="C5568" s="8"/>
      <c r="D5568" s="8"/>
      <c r="E5568" s="8"/>
      <c r="F5568" s="8"/>
      <c r="G5568" s="10" t="str">
        <f aca="false">IF($A5568="","",UPPER(SUBSTITUTE(SUBSTITUTE(SUBSTITUTE(SUBSTITUTE($A5568," ",""),"(주)",""),"주식회사",""),"㈜","")))</f>
        <v/>
      </c>
      <c r="H5568" s="10" t="str">
        <f aca="false">IF($B5568="","",SUBSTITUTE(SUBSTITUTE(SUBSTITUTE($B5568,"-","")," ",""),".",""))</f>
        <v/>
      </c>
      <c r="I5568" s="10" t="str">
        <f aca="false">IF($D5568="","",SUBSTITUTE(SUBSTITUTE(SUBSTITUTE($D5568,"-","")," ",""),".",""))</f>
        <v/>
      </c>
      <c r="J5568" s="10" t="str">
        <f aca="false">IF($E5568="","",UPPER(SUBSTITUTE($E5568," ","")))</f>
        <v/>
      </c>
      <c r="K5568" s="10" t="str">
        <f aca="false">IF($A5568="","",$G5568&amp;"|"&amp;$J5568)</f>
        <v/>
      </c>
      <c r="L5568" s="10" t="str">
        <f aca="false">IF($A5568="","",ROW()-2)</f>
        <v/>
      </c>
      <c r="M5568" s="10" t="str">
        <f aca="false">IF($A5568="","",ROW())</f>
        <v/>
      </c>
    </row>
    <row r="5569" customFormat="false" ht="15" hidden="false" customHeight="true" outlineLevel="0" collapsed="false">
      <c r="A5569" s="8"/>
      <c r="B5569" s="8"/>
      <c r="C5569" s="8"/>
      <c r="D5569" s="8"/>
      <c r="E5569" s="8"/>
      <c r="F5569" s="8"/>
      <c r="G5569" s="10" t="str">
        <f aca="false">IF($A5569="","",UPPER(SUBSTITUTE(SUBSTITUTE(SUBSTITUTE(SUBSTITUTE($A5569," ",""),"(주)",""),"주식회사",""),"㈜","")))</f>
        <v/>
      </c>
      <c r="H5569" s="10" t="str">
        <f aca="false">IF($B5569="","",SUBSTITUTE(SUBSTITUTE(SUBSTITUTE($B5569,"-","")," ",""),".",""))</f>
        <v/>
      </c>
      <c r="I5569" s="10" t="str">
        <f aca="false">IF($D5569="","",SUBSTITUTE(SUBSTITUTE(SUBSTITUTE($D5569,"-","")," ",""),".",""))</f>
        <v/>
      </c>
      <c r="J5569" s="10" t="str">
        <f aca="false">IF($E5569="","",UPPER(SUBSTITUTE($E5569," ","")))</f>
        <v/>
      </c>
      <c r="K5569" s="10" t="str">
        <f aca="false">IF($A5569="","",$G5569&amp;"|"&amp;$J5569)</f>
        <v/>
      </c>
      <c r="L5569" s="10" t="str">
        <f aca="false">IF($A5569="","",ROW()-2)</f>
        <v/>
      </c>
      <c r="M5569" s="10" t="str">
        <f aca="false">IF($A5569="","",ROW())</f>
        <v/>
      </c>
    </row>
    <row r="5570" customFormat="false" ht="15" hidden="false" customHeight="true" outlineLevel="0" collapsed="false">
      <c r="A5570" s="8"/>
      <c r="B5570" s="8"/>
      <c r="C5570" s="8"/>
      <c r="D5570" s="8"/>
      <c r="E5570" s="8"/>
      <c r="F5570" s="8"/>
      <c r="G5570" s="10" t="str">
        <f aca="false">IF($A5570="","",UPPER(SUBSTITUTE(SUBSTITUTE(SUBSTITUTE(SUBSTITUTE($A5570," ",""),"(주)",""),"주식회사",""),"㈜","")))</f>
        <v/>
      </c>
      <c r="H5570" s="10" t="str">
        <f aca="false">IF($B5570="","",SUBSTITUTE(SUBSTITUTE(SUBSTITUTE($B5570,"-","")," ",""),".",""))</f>
        <v/>
      </c>
      <c r="I5570" s="10" t="str">
        <f aca="false">IF($D5570="","",SUBSTITUTE(SUBSTITUTE(SUBSTITUTE($D5570,"-","")," ",""),".",""))</f>
        <v/>
      </c>
      <c r="J5570" s="10" t="str">
        <f aca="false">IF($E5570="","",UPPER(SUBSTITUTE($E5570," ","")))</f>
        <v/>
      </c>
      <c r="K5570" s="10" t="str">
        <f aca="false">IF($A5570="","",$G5570&amp;"|"&amp;$J5570)</f>
        <v/>
      </c>
      <c r="L5570" s="10" t="str">
        <f aca="false">IF($A5570="","",ROW()-2)</f>
        <v/>
      </c>
      <c r="M5570" s="10" t="str">
        <f aca="false">IF($A5570="","",ROW())</f>
        <v/>
      </c>
    </row>
    <row r="5571" customFormat="false" ht="15" hidden="false" customHeight="true" outlineLevel="0" collapsed="false">
      <c r="A5571" s="8"/>
      <c r="B5571" s="8"/>
      <c r="C5571" s="8"/>
      <c r="D5571" s="8"/>
      <c r="E5571" s="8"/>
      <c r="F5571" s="8"/>
      <c r="G5571" s="10" t="str">
        <f aca="false">IF($A5571="","",UPPER(SUBSTITUTE(SUBSTITUTE(SUBSTITUTE(SUBSTITUTE($A5571," ",""),"(주)",""),"주식회사",""),"㈜","")))</f>
        <v/>
      </c>
      <c r="H5571" s="10" t="str">
        <f aca="false">IF($B5571="","",SUBSTITUTE(SUBSTITUTE(SUBSTITUTE($B5571,"-","")," ",""),".",""))</f>
        <v/>
      </c>
      <c r="I5571" s="10" t="str">
        <f aca="false">IF($D5571="","",SUBSTITUTE(SUBSTITUTE(SUBSTITUTE($D5571,"-","")," ",""),".",""))</f>
        <v/>
      </c>
      <c r="J5571" s="10" t="str">
        <f aca="false">IF($E5571="","",UPPER(SUBSTITUTE($E5571," ","")))</f>
        <v/>
      </c>
      <c r="K5571" s="10" t="str">
        <f aca="false">IF($A5571="","",$G5571&amp;"|"&amp;$J5571)</f>
        <v/>
      </c>
      <c r="L5571" s="10" t="str">
        <f aca="false">IF($A5571="","",ROW()-2)</f>
        <v/>
      </c>
      <c r="M5571" s="10" t="str">
        <f aca="false">IF($A5571="","",ROW())</f>
        <v/>
      </c>
    </row>
    <row r="5572" customFormat="false" ht="15" hidden="false" customHeight="true" outlineLevel="0" collapsed="false">
      <c r="A5572" s="8"/>
      <c r="B5572" s="8"/>
      <c r="C5572" s="8"/>
      <c r="D5572" s="8"/>
      <c r="E5572" s="8"/>
      <c r="F5572" s="8"/>
      <c r="G5572" s="10" t="str">
        <f aca="false">IF($A5572="","",UPPER(SUBSTITUTE(SUBSTITUTE(SUBSTITUTE(SUBSTITUTE($A5572," ",""),"(주)",""),"주식회사",""),"㈜","")))</f>
        <v/>
      </c>
      <c r="H5572" s="10" t="str">
        <f aca="false">IF($B5572="","",SUBSTITUTE(SUBSTITUTE(SUBSTITUTE($B5572,"-","")," ",""),".",""))</f>
        <v/>
      </c>
      <c r="I5572" s="10" t="str">
        <f aca="false">IF($D5572="","",SUBSTITUTE(SUBSTITUTE(SUBSTITUTE($D5572,"-","")," ",""),".",""))</f>
        <v/>
      </c>
      <c r="J5572" s="10" t="str">
        <f aca="false">IF($E5572="","",UPPER(SUBSTITUTE($E5572," ","")))</f>
        <v/>
      </c>
      <c r="K5572" s="10" t="str">
        <f aca="false">IF($A5572="","",$G5572&amp;"|"&amp;$J5572)</f>
        <v/>
      </c>
      <c r="L5572" s="10" t="str">
        <f aca="false">IF($A5572="","",ROW()-2)</f>
        <v/>
      </c>
      <c r="M5572" s="10" t="str">
        <f aca="false">IF($A5572="","",ROW())</f>
        <v/>
      </c>
    </row>
    <row r="5573" customFormat="false" ht="15" hidden="false" customHeight="true" outlineLevel="0" collapsed="false">
      <c r="A5573" s="8"/>
      <c r="B5573" s="8"/>
      <c r="C5573" s="8"/>
      <c r="D5573" s="8"/>
      <c r="E5573" s="8"/>
      <c r="F5573" s="8"/>
      <c r="G5573" s="10" t="str">
        <f aca="false">IF($A5573="","",UPPER(SUBSTITUTE(SUBSTITUTE(SUBSTITUTE(SUBSTITUTE($A5573," ",""),"(주)",""),"주식회사",""),"㈜","")))</f>
        <v/>
      </c>
      <c r="H5573" s="10" t="str">
        <f aca="false">IF($B5573="","",SUBSTITUTE(SUBSTITUTE(SUBSTITUTE($B5573,"-","")," ",""),".",""))</f>
        <v/>
      </c>
      <c r="I5573" s="10" t="str">
        <f aca="false">IF($D5573="","",SUBSTITUTE(SUBSTITUTE(SUBSTITUTE($D5573,"-","")," ",""),".",""))</f>
        <v/>
      </c>
      <c r="J5573" s="10" t="str">
        <f aca="false">IF($E5573="","",UPPER(SUBSTITUTE($E5573," ","")))</f>
        <v/>
      </c>
      <c r="K5573" s="10" t="str">
        <f aca="false">IF($A5573="","",$G5573&amp;"|"&amp;$J5573)</f>
        <v/>
      </c>
      <c r="L5573" s="10" t="str">
        <f aca="false">IF($A5573="","",ROW()-2)</f>
        <v/>
      </c>
      <c r="M5573" s="10" t="str">
        <f aca="false">IF($A5573="","",ROW())</f>
        <v/>
      </c>
    </row>
    <row r="5574" customFormat="false" ht="15" hidden="false" customHeight="true" outlineLevel="0" collapsed="false">
      <c r="A5574" s="8"/>
      <c r="B5574" s="8"/>
      <c r="C5574" s="8"/>
      <c r="D5574" s="8"/>
      <c r="E5574" s="8"/>
      <c r="F5574" s="8"/>
      <c r="G5574" s="10" t="str">
        <f aca="false">IF($A5574="","",UPPER(SUBSTITUTE(SUBSTITUTE(SUBSTITUTE(SUBSTITUTE($A5574," ",""),"(주)",""),"주식회사",""),"㈜","")))</f>
        <v/>
      </c>
      <c r="H5574" s="10" t="str">
        <f aca="false">IF($B5574="","",SUBSTITUTE(SUBSTITUTE(SUBSTITUTE($B5574,"-","")," ",""),".",""))</f>
        <v/>
      </c>
      <c r="I5574" s="10" t="str">
        <f aca="false">IF($D5574="","",SUBSTITUTE(SUBSTITUTE(SUBSTITUTE($D5574,"-","")," ",""),".",""))</f>
        <v/>
      </c>
      <c r="J5574" s="10" t="str">
        <f aca="false">IF($E5574="","",UPPER(SUBSTITUTE($E5574," ","")))</f>
        <v/>
      </c>
      <c r="K5574" s="10" t="str">
        <f aca="false">IF($A5574="","",$G5574&amp;"|"&amp;$J5574)</f>
        <v/>
      </c>
      <c r="L5574" s="10" t="str">
        <f aca="false">IF($A5574="","",ROW()-2)</f>
        <v/>
      </c>
      <c r="M5574" s="10" t="str">
        <f aca="false">IF($A5574="","",ROW())</f>
        <v/>
      </c>
    </row>
    <row r="5575" customFormat="false" ht="15" hidden="false" customHeight="true" outlineLevel="0" collapsed="false">
      <c r="A5575" s="8"/>
      <c r="B5575" s="8"/>
      <c r="C5575" s="8"/>
      <c r="D5575" s="8"/>
      <c r="E5575" s="8"/>
      <c r="F5575" s="8"/>
      <c r="G5575" s="10" t="str">
        <f aca="false">IF($A5575="","",UPPER(SUBSTITUTE(SUBSTITUTE(SUBSTITUTE(SUBSTITUTE($A5575," ",""),"(주)",""),"주식회사",""),"㈜","")))</f>
        <v/>
      </c>
      <c r="H5575" s="10" t="str">
        <f aca="false">IF($B5575="","",SUBSTITUTE(SUBSTITUTE(SUBSTITUTE($B5575,"-","")," ",""),".",""))</f>
        <v/>
      </c>
      <c r="I5575" s="10" t="str">
        <f aca="false">IF($D5575="","",SUBSTITUTE(SUBSTITUTE(SUBSTITUTE($D5575,"-","")," ",""),".",""))</f>
        <v/>
      </c>
      <c r="J5575" s="10" t="str">
        <f aca="false">IF($E5575="","",UPPER(SUBSTITUTE($E5575," ","")))</f>
        <v/>
      </c>
      <c r="K5575" s="10" t="str">
        <f aca="false">IF($A5575="","",$G5575&amp;"|"&amp;$J5575)</f>
        <v/>
      </c>
      <c r="L5575" s="10" t="str">
        <f aca="false">IF($A5575="","",ROW()-2)</f>
        <v/>
      </c>
      <c r="M5575" s="10" t="str">
        <f aca="false">IF($A5575="","",ROW())</f>
        <v/>
      </c>
    </row>
    <row r="5576" customFormat="false" ht="15" hidden="false" customHeight="true" outlineLevel="0" collapsed="false">
      <c r="A5576" s="8"/>
      <c r="B5576" s="8"/>
      <c r="C5576" s="8"/>
      <c r="D5576" s="8"/>
      <c r="E5576" s="8"/>
      <c r="F5576" s="8"/>
      <c r="G5576" s="10" t="str">
        <f aca="false">IF($A5576="","",UPPER(SUBSTITUTE(SUBSTITUTE(SUBSTITUTE(SUBSTITUTE($A5576," ",""),"(주)",""),"주식회사",""),"㈜","")))</f>
        <v/>
      </c>
      <c r="H5576" s="10" t="str">
        <f aca="false">IF($B5576="","",SUBSTITUTE(SUBSTITUTE(SUBSTITUTE($B5576,"-","")," ",""),".",""))</f>
        <v/>
      </c>
      <c r="I5576" s="10" t="str">
        <f aca="false">IF($D5576="","",SUBSTITUTE(SUBSTITUTE(SUBSTITUTE($D5576,"-","")," ",""),".",""))</f>
        <v/>
      </c>
      <c r="J5576" s="10" t="str">
        <f aca="false">IF($E5576="","",UPPER(SUBSTITUTE($E5576," ","")))</f>
        <v/>
      </c>
      <c r="K5576" s="10" t="str">
        <f aca="false">IF($A5576="","",$G5576&amp;"|"&amp;$J5576)</f>
        <v/>
      </c>
      <c r="L5576" s="10" t="str">
        <f aca="false">IF($A5576="","",ROW()-2)</f>
        <v/>
      </c>
      <c r="M5576" s="10" t="str">
        <f aca="false">IF($A5576="","",ROW())</f>
        <v/>
      </c>
    </row>
    <row r="5577" customFormat="false" ht="15" hidden="false" customHeight="true" outlineLevel="0" collapsed="false">
      <c r="A5577" s="8"/>
      <c r="B5577" s="8"/>
      <c r="C5577" s="8"/>
      <c r="D5577" s="8"/>
      <c r="E5577" s="8"/>
      <c r="F5577" s="8"/>
      <c r="G5577" s="10" t="str">
        <f aca="false">IF($A5577="","",UPPER(SUBSTITUTE(SUBSTITUTE(SUBSTITUTE(SUBSTITUTE($A5577," ",""),"(주)",""),"주식회사",""),"㈜","")))</f>
        <v/>
      </c>
      <c r="H5577" s="10" t="str">
        <f aca="false">IF($B5577="","",SUBSTITUTE(SUBSTITUTE(SUBSTITUTE($B5577,"-","")," ",""),".",""))</f>
        <v/>
      </c>
      <c r="I5577" s="10" t="str">
        <f aca="false">IF($D5577="","",SUBSTITUTE(SUBSTITUTE(SUBSTITUTE($D5577,"-","")," ",""),".",""))</f>
        <v/>
      </c>
      <c r="J5577" s="10" t="str">
        <f aca="false">IF($E5577="","",UPPER(SUBSTITUTE($E5577," ","")))</f>
        <v/>
      </c>
      <c r="K5577" s="10" t="str">
        <f aca="false">IF($A5577="","",$G5577&amp;"|"&amp;$J5577)</f>
        <v/>
      </c>
      <c r="L5577" s="10" t="str">
        <f aca="false">IF($A5577="","",ROW()-2)</f>
        <v/>
      </c>
      <c r="M5577" s="10" t="str">
        <f aca="false">IF($A5577="","",ROW())</f>
        <v/>
      </c>
    </row>
    <row r="5578" customFormat="false" ht="15" hidden="false" customHeight="true" outlineLevel="0" collapsed="false">
      <c r="A5578" s="8"/>
      <c r="B5578" s="8"/>
      <c r="C5578" s="8"/>
      <c r="D5578" s="8"/>
      <c r="E5578" s="8"/>
      <c r="F5578" s="8"/>
      <c r="G5578" s="10" t="str">
        <f aca="false">IF($A5578="","",UPPER(SUBSTITUTE(SUBSTITUTE(SUBSTITUTE(SUBSTITUTE($A5578," ",""),"(주)",""),"주식회사",""),"㈜","")))</f>
        <v/>
      </c>
      <c r="H5578" s="10" t="str">
        <f aca="false">IF($B5578="","",SUBSTITUTE(SUBSTITUTE(SUBSTITUTE($B5578,"-","")," ",""),".",""))</f>
        <v/>
      </c>
      <c r="I5578" s="10" t="str">
        <f aca="false">IF($D5578="","",SUBSTITUTE(SUBSTITUTE(SUBSTITUTE($D5578,"-","")," ",""),".",""))</f>
        <v/>
      </c>
      <c r="J5578" s="10" t="str">
        <f aca="false">IF($E5578="","",UPPER(SUBSTITUTE($E5578," ","")))</f>
        <v/>
      </c>
      <c r="K5578" s="10" t="str">
        <f aca="false">IF($A5578="","",$G5578&amp;"|"&amp;$J5578)</f>
        <v/>
      </c>
      <c r="L5578" s="10" t="str">
        <f aca="false">IF($A5578="","",ROW()-2)</f>
        <v/>
      </c>
      <c r="M5578" s="10" t="str">
        <f aca="false">IF($A5578="","",ROW())</f>
        <v/>
      </c>
    </row>
    <row r="5579" customFormat="false" ht="15" hidden="false" customHeight="true" outlineLevel="0" collapsed="false">
      <c r="A5579" s="8"/>
      <c r="B5579" s="8"/>
      <c r="C5579" s="8"/>
      <c r="D5579" s="8"/>
      <c r="E5579" s="8"/>
      <c r="F5579" s="8"/>
      <c r="G5579" s="10" t="str">
        <f aca="false">IF($A5579="","",UPPER(SUBSTITUTE(SUBSTITUTE(SUBSTITUTE(SUBSTITUTE($A5579," ",""),"(주)",""),"주식회사",""),"㈜","")))</f>
        <v/>
      </c>
      <c r="H5579" s="10" t="str">
        <f aca="false">IF($B5579="","",SUBSTITUTE(SUBSTITUTE(SUBSTITUTE($B5579,"-","")," ",""),".",""))</f>
        <v/>
      </c>
      <c r="I5579" s="10" t="str">
        <f aca="false">IF($D5579="","",SUBSTITUTE(SUBSTITUTE(SUBSTITUTE($D5579,"-","")," ",""),".",""))</f>
        <v/>
      </c>
      <c r="J5579" s="10" t="str">
        <f aca="false">IF($E5579="","",UPPER(SUBSTITUTE($E5579," ","")))</f>
        <v/>
      </c>
      <c r="K5579" s="10" t="str">
        <f aca="false">IF($A5579="","",$G5579&amp;"|"&amp;$J5579)</f>
        <v/>
      </c>
      <c r="L5579" s="10" t="str">
        <f aca="false">IF($A5579="","",ROW()-2)</f>
        <v/>
      </c>
      <c r="M5579" s="10" t="str">
        <f aca="false">IF($A5579="","",ROW())</f>
        <v/>
      </c>
    </row>
    <row r="5580" customFormat="false" ht="15" hidden="false" customHeight="true" outlineLevel="0" collapsed="false">
      <c r="A5580" s="8"/>
      <c r="B5580" s="8"/>
      <c r="C5580" s="8"/>
      <c r="D5580" s="8"/>
      <c r="E5580" s="8"/>
      <c r="F5580" s="8"/>
      <c r="G5580" s="10" t="str">
        <f aca="false">IF($A5580="","",UPPER(SUBSTITUTE(SUBSTITUTE(SUBSTITUTE(SUBSTITUTE($A5580," ",""),"(주)",""),"주식회사",""),"㈜","")))</f>
        <v/>
      </c>
      <c r="H5580" s="10" t="str">
        <f aca="false">IF($B5580="","",SUBSTITUTE(SUBSTITUTE(SUBSTITUTE($B5580,"-","")," ",""),".",""))</f>
        <v/>
      </c>
      <c r="I5580" s="10" t="str">
        <f aca="false">IF($D5580="","",SUBSTITUTE(SUBSTITUTE(SUBSTITUTE($D5580,"-","")," ",""),".",""))</f>
        <v/>
      </c>
      <c r="J5580" s="10" t="str">
        <f aca="false">IF($E5580="","",UPPER(SUBSTITUTE($E5580," ","")))</f>
        <v/>
      </c>
      <c r="K5580" s="10" t="str">
        <f aca="false">IF($A5580="","",$G5580&amp;"|"&amp;$J5580)</f>
        <v/>
      </c>
      <c r="L5580" s="10" t="str">
        <f aca="false">IF($A5580="","",ROW()-2)</f>
        <v/>
      </c>
      <c r="M5580" s="10" t="str">
        <f aca="false">IF($A5580="","",ROW())</f>
        <v/>
      </c>
    </row>
    <row r="5581" customFormat="false" ht="15" hidden="false" customHeight="true" outlineLevel="0" collapsed="false">
      <c r="A5581" s="8"/>
      <c r="B5581" s="8"/>
      <c r="C5581" s="8"/>
      <c r="D5581" s="8"/>
      <c r="E5581" s="8"/>
      <c r="F5581" s="8"/>
      <c r="G5581" s="10" t="str">
        <f aca="false">IF($A5581="","",UPPER(SUBSTITUTE(SUBSTITUTE(SUBSTITUTE(SUBSTITUTE($A5581," ",""),"(주)",""),"주식회사",""),"㈜","")))</f>
        <v/>
      </c>
      <c r="H5581" s="10" t="str">
        <f aca="false">IF($B5581="","",SUBSTITUTE(SUBSTITUTE(SUBSTITUTE($B5581,"-","")," ",""),".",""))</f>
        <v/>
      </c>
      <c r="I5581" s="10" t="str">
        <f aca="false">IF($D5581="","",SUBSTITUTE(SUBSTITUTE(SUBSTITUTE($D5581,"-","")," ",""),".",""))</f>
        <v/>
      </c>
      <c r="J5581" s="10" t="str">
        <f aca="false">IF($E5581="","",UPPER(SUBSTITUTE($E5581," ","")))</f>
        <v/>
      </c>
      <c r="K5581" s="10" t="str">
        <f aca="false">IF($A5581="","",$G5581&amp;"|"&amp;$J5581)</f>
        <v/>
      </c>
      <c r="L5581" s="10" t="str">
        <f aca="false">IF($A5581="","",ROW()-2)</f>
        <v/>
      </c>
      <c r="M5581" s="10" t="str">
        <f aca="false">IF($A5581="","",ROW())</f>
        <v/>
      </c>
    </row>
    <row r="5582" customFormat="false" ht="15" hidden="false" customHeight="true" outlineLevel="0" collapsed="false">
      <c r="A5582" s="8"/>
      <c r="B5582" s="8"/>
      <c r="C5582" s="8"/>
      <c r="D5582" s="8"/>
      <c r="E5582" s="8"/>
      <c r="F5582" s="8"/>
      <c r="G5582" s="10" t="str">
        <f aca="false">IF($A5582="","",UPPER(SUBSTITUTE(SUBSTITUTE(SUBSTITUTE(SUBSTITUTE($A5582," ",""),"(주)",""),"주식회사",""),"㈜","")))</f>
        <v/>
      </c>
      <c r="H5582" s="10" t="str">
        <f aca="false">IF($B5582="","",SUBSTITUTE(SUBSTITUTE(SUBSTITUTE($B5582,"-","")," ",""),".",""))</f>
        <v/>
      </c>
      <c r="I5582" s="10" t="str">
        <f aca="false">IF($D5582="","",SUBSTITUTE(SUBSTITUTE(SUBSTITUTE($D5582,"-","")," ",""),".",""))</f>
        <v/>
      </c>
      <c r="J5582" s="10" t="str">
        <f aca="false">IF($E5582="","",UPPER(SUBSTITUTE($E5582," ","")))</f>
        <v/>
      </c>
      <c r="K5582" s="10" t="str">
        <f aca="false">IF($A5582="","",$G5582&amp;"|"&amp;$J5582)</f>
        <v/>
      </c>
      <c r="L5582" s="10" t="str">
        <f aca="false">IF($A5582="","",ROW()-2)</f>
        <v/>
      </c>
      <c r="M5582" s="10" t="str">
        <f aca="false">IF($A5582="","",ROW())</f>
        <v/>
      </c>
    </row>
    <row r="5583" customFormat="false" ht="15" hidden="false" customHeight="true" outlineLevel="0" collapsed="false">
      <c r="A5583" s="8"/>
      <c r="B5583" s="8"/>
      <c r="C5583" s="8"/>
      <c r="D5583" s="8"/>
      <c r="E5583" s="8"/>
      <c r="F5583" s="8"/>
      <c r="G5583" s="10" t="str">
        <f aca="false">IF($A5583="","",UPPER(SUBSTITUTE(SUBSTITUTE(SUBSTITUTE(SUBSTITUTE($A5583," ",""),"(주)",""),"주식회사",""),"㈜","")))</f>
        <v/>
      </c>
      <c r="H5583" s="10" t="str">
        <f aca="false">IF($B5583="","",SUBSTITUTE(SUBSTITUTE(SUBSTITUTE($B5583,"-","")," ",""),".",""))</f>
        <v/>
      </c>
      <c r="I5583" s="10" t="str">
        <f aca="false">IF($D5583="","",SUBSTITUTE(SUBSTITUTE(SUBSTITUTE($D5583,"-","")," ",""),".",""))</f>
        <v/>
      </c>
      <c r="J5583" s="10" t="str">
        <f aca="false">IF($E5583="","",UPPER(SUBSTITUTE($E5583," ","")))</f>
        <v/>
      </c>
      <c r="K5583" s="10" t="str">
        <f aca="false">IF($A5583="","",$G5583&amp;"|"&amp;$J5583)</f>
        <v/>
      </c>
      <c r="L5583" s="10" t="str">
        <f aca="false">IF($A5583="","",ROW()-2)</f>
        <v/>
      </c>
      <c r="M5583" s="10" t="str">
        <f aca="false">IF($A5583="","",ROW())</f>
        <v/>
      </c>
    </row>
    <row r="5584" customFormat="false" ht="15" hidden="false" customHeight="true" outlineLevel="0" collapsed="false">
      <c r="A5584" s="8"/>
      <c r="B5584" s="8"/>
      <c r="C5584" s="8"/>
      <c r="D5584" s="8"/>
      <c r="E5584" s="8"/>
      <c r="F5584" s="8"/>
      <c r="G5584" s="10" t="str">
        <f aca="false">IF($A5584="","",UPPER(SUBSTITUTE(SUBSTITUTE(SUBSTITUTE(SUBSTITUTE($A5584," ",""),"(주)",""),"주식회사",""),"㈜","")))</f>
        <v/>
      </c>
      <c r="H5584" s="10" t="str">
        <f aca="false">IF($B5584="","",SUBSTITUTE(SUBSTITUTE(SUBSTITUTE($B5584,"-","")," ",""),".",""))</f>
        <v/>
      </c>
      <c r="I5584" s="10" t="str">
        <f aca="false">IF($D5584="","",SUBSTITUTE(SUBSTITUTE(SUBSTITUTE($D5584,"-","")," ",""),".",""))</f>
        <v/>
      </c>
      <c r="J5584" s="10" t="str">
        <f aca="false">IF($E5584="","",UPPER(SUBSTITUTE($E5584," ","")))</f>
        <v/>
      </c>
      <c r="K5584" s="10" t="str">
        <f aca="false">IF($A5584="","",$G5584&amp;"|"&amp;$J5584)</f>
        <v/>
      </c>
      <c r="L5584" s="10" t="str">
        <f aca="false">IF($A5584="","",ROW()-2)</f>
        <v/>
      </c>
      <c r="M5584" s="10" t="str">
        <f aca="false">IF($A5584="","",ROW())</f>
        <v/>
      </c>
    </row>
    <row r="5585" customFormat="false" ht="15" hidden="false" customHeight="true" outlineLevel="0" collapsed="false">
      <c r="A5585" s="8"/>
      <c r="B5585" s="8"/>
      <c r="C5585" s="8"/>
      <c r="D5585" s="8"/>
      <c r="E5585" s="8"/>
      <c r="F5585" s="8"/>
      <c r="G5585" s="10" t="str">
        <f aca="false">IF($A5585="","",UPPER(SUBSTITUTE(SUBSTITUTE(SUBSTITUTE(SUBSTITUTE($A5585," ",""),"(주)",""),"주식회사",""),"㈜","")))</f>
        <v/>
      </c>
      <c r="H5585" s="10" t="str">
        <f aca="false">IF($B5585="","",SUBSTITUTE(SUBSTITUTE(SUBSTITUTE($B5585,"-","")," ",""),".",""))</f>
        <v/>
      </c>
      <c r="I5585" s="10" t="str">
        <f aca="false">IF($D5585="","",SUBSTITUTE(SUBSTITUTE(SUBSTITUTE($D5585,"-","")," ",""),".",""))</f>
        <v/>
      </c>
      <c r="J5585" s="10" t="str">
        <f aca="false">IF($E5585="","",UPPER(SUBSTITUTE($E5585," ","")))</f>
        <v/>
      </c>
      <c r="K5585" s="10" t="str">
        <f aca="false">IF($A5585="","",$G5585&amp;"|"&amp;$J5585)</f>
        <v/>
      </c>
      <c r="L5585" s="10" t="str">
        <f aca="false">IF($A5585="","",ROW()-2)</f>
        <v/>
      </c>
      <c r="M5585" s="10" t="str">
        <f aca="false">IF($A5585="","",ROW())</f>
        <v/>
      </c>
    </row>
    <row r="5586" customFormat="false" ht="15" hidden="false" customHeight="true" outlineLevel="0" collapsed="false">
      <c r="A5586" s="8"/>
      <c r="B5586" s="8"/>
      <c r="C5586" s="8"/>
      <c r="D5586" s="8"/>
      <c r="E5586" s="8"/>
      <c r="F5586" s="8"/>
      <c r="G5586" s="10" t="str">
        <f aca="false">IF($A5586="","",UPPER(SUBSTITUTE(SUBSTITUTE(SUBSTITUTE(SUBSTITUTE($A5586," ",""),"(주)",""),"주식회사",""),"㈜","")))</f>
        <v/>
      </c>
      <c r="H5586" s="10" t="str">
        <f aca="false">IF($B5586="","",SUBSTITUTE(SUBSTITUTE(SUBSTITUTE($B5586,"-","")," ",""),".",""))</f>
        <v/>
      </c>
      <c r="I5586" s="10" t="str">
        <f aca="false">IF($D5586="","",SUBSTITUTE(SUBSTITUTE(SUBSTITUTE($D5586,"-","")," ",""),".",""))</f>
        <v/>
      </c>
      <c r="J5586" s="10" t="str">
        <f aca="false">IF($E5586="","",UPPER(SUBSTITUTE($E5586," ","")))</f>
        <v/>
      </c>
      <c r="K5586" s="10" t="str">
        <f aca="false">IF($A5586="","",$G5586&amp;"|"&amp;$J5586)</f>
        <v/>
      </c>
      <c r="L5586" s="10" t="str">
        <f aca="false">IF($A5586="","",ROW()-2)</f>
        <v/>
      </c>
      <c r="M5586" s="10" t="str">
        <f aca="false">IF($A5586="","",ROW())</f>
        <v/>
      </c>
    </row>
    <row r="5587" customFormat="false" ht="15" hidden="false" customHeight="true" outlineLevel="0" collapsed="false">
      <c r="A5587" s="8"/>
      <c r="B5587" s="8"/>
      <c r="C5587" s="8"/>
      <c r="D5587" s="8"/>
      <c r="E5587" s="8"/>
      <c r="F5587" s="8"/>
      <c r="G5587" s="10" t="str">
        <f aca="false">IF($A5587="","",UPPER(SUBSTITUTE(SUBSTITUTE(SUBSTITUTE(SUBSTITUTE($A5587," ",""),"(주)",""),"주식회사",""),"㈜","")))</f>
        <v/>
      </c>
      <c r="H5587" s="10" t="str">
        <f aca="false">IF($B5587="","",SUBSTITUTE(SUBSTITUTE(SUBSTITUTE($B5587,"-","")," ",""),".",""))</f>
        <v/>
      </c>
      <c r="I5587" s="10" t="str">
        <f aca="false">IF($D5587="","",SUBSTITUTE(SUBSTITUTE(SUBSTITUTE($D5587,"-","")," ",""),".",""))</f>
        <v/>
      </c>
      <c r="J5587" s="10" t="str">
        <f aca="false">IF($E5587="","",UPPER(SUBSTITUTE($E5587," ","")))</f>
        <v/>
      </c>
      <c r="K5587" s="10" t="str">
        <f aca="false">IF($A5587="","",$G5587&amp;"|"&amp;$J5587)</f>
        <v/>
      </c>
      <c r="L5587" s="10" t="str">
        <f aca="false">IF($A5587="","",ROW()-2)</f>
        <v/>
      </c>
      <c r="M5587" s="10" t="str">
        <f aca="false">IF($A5587="","",ROW())</f>
        <v/>
      </c>
    </row>
    <row r="5588" customFormat="false" ht="15" hidden="false" customHeight="true" outlineLevel="0" collapsed="false">
      <c r="A5588" s="8"/>
      <c r="B5588" s="8"/>
      <c r="C5588" s="8"/>
      <c r="D5588" s="8"/>
      <c r="E5588" s="8"/>
      <c r="F5588" s="8"/>
      <c r="G5588" s="10" t="str">
        <f aca="false">IF($A5588="","",UPPER(SUBSTITUTE(SUBSTITUTE(SUBSTITUTE(SUBSTITUTE($A5588," ",""),"(주)",""),"주식회사",""),"㈜","")))</f>
        <v/>
      </c>
      <c r="H5588" s="10" t="str">
        <f aca="false">IF($B5588="","",SUBSTITUTE(SUBSTITUTE(SUBSTITUTE($B5588,"-","")," ",""),".",""))</f>
        <v/>
      </c>
      <c r="I5588" s="10" t="str">
        <f aca="false">IF($D5588="","",SUBSTITUTE(SUBSTITUTE(SUBSTITUTE($D5588,"-","")," ",""),".",""))</f>
        <v/>
      </c>
      <c r="J5588" s="10" t="str">
        <f aca="false">IF($E5588="","",UPPER(SUBSTITUTE($E5588," ","")))</f>
        <v/>
      </c>
      <c r="K5588" s="10" t="str">
        <f aca="false">IF($A5588="","",$G5588&amp;"|"&amp;$J5588)</f>
        <v/>
      </c>
      <c r="L5588" s="10" t="str">
        <f aca="false">IF($A5588="","",ROW()-2)</f>
        <v/>
      </c>
      <c r="M5588" s="10" t="str">
        <f aca="false">IF($A5588="","",ROW())</f>
        <v/>
      </c>
    </row>
    <row r="5589" customFormat="false" ht="15" hidden="false" customHeight="true" outlineLevel="0" collapsed="false">
      <c r="A5589" s="8"/>
      <c r="B5589" s="8"/>
      <c r="C5589" s="8"/>
      <c r="D5589" s="8"/>
      <c r="E5589" s="8"/>
      <c r="F5589" s="8"/>
      <c r="G5589" s="10" t="str">
        <f aca="false">IF($A5589="","",UPPER(SUBSTITUTE(SUBSTITUTE(SUBSTITUTE(SUBSTITUTE($A5589," ",""),"(주)",""),"주식회사",""),"㈜","")))</f>
        <v/>
      </c>
      <c r="H5589" s="10" t="str">
        <f aca="false">IF($B5589="","",SUBSTITUTE(SUBSTITUTE(SUBSTITUTE($B5589,"-","")," ",""),".",""))</f>
        <v/>
      </c>
      <c r="I5589" s="10" t="str">
        <f aca="false">IF($D5589="","",SUBSTITUTE(SUBSTITUTE(SUBSTITUTE($D5589,"-","")," ",""),".",""))</f>
        <v/>
      </c>
      <c r="J5589" s="10" t="str">
        <f aca="false">IF($E5589="","",UPPER(SUBSTITUTE($E5589," ","")))</f>
        <v/>
      </c>
      <c r="K5589" s="10" t="str">
        <f aca="false">IF($A5589="","",$G5589&amp;"|"&amp;$J5589)</f>
        <v/>
      </c>
      <c r="L5589" s="10" t="str">
        <f aca="false">IF($A5589="","",ROW()-2)</f>
        <v/>
      </c>
      <c r="M5589" s="10" t="str">
        <f aca="false">IF($A5589="","",ROW())</f>
        <v/>
      </c>
    </row>
    <row r="5590" customFormat="false" ht="15" hidden="false" customHeight="true" outlineLevel="0" collapsed="false">
      <c r="A5590" s="8"/>
      <c r="B5590" s="8"/>
      <c r="C5590" s="8"/>
      <c r="D5590" s="8"/>
      <c r="E5590" s="8"/>
      <c r="F5590" s="8"/>
      <c r="G5590" s="10" t="str">
        <f aca="false">IF($A5590="","",UPPER(SUBSTITUTE(SUBSTITUTE(SUBSTITUTE(SUBSTITUTE($A5590," ",""),"(주)",""),"주식회사",""),"㈜","")))</f>
        <v/>
      </c>
      <c r="H5590" s="10" t="str">
        <f aca="false">IF($B5590="","",SUBSTITUTE(SUBSTITUTE(SUBSTITUTE($B5590,"-","")," ",""),".",""))</f>
        <v/>
      </c>
      <c r="I5590" s="10" t="str">
        <f aca="false">IF($D5590="","",SUBSTITUTE(SUBSTITUTE(SUBSTITUTE($D5590,"-","")," ",""),".",""))</f>
        <v/>
      </c>
      <c r="J5590" s="10" t="str">
        <f aca="false">IF($E5590="","",UPPER(SUBSTITUTE($E5590," ","")))</f>
        <v/>
      </c>
      <c r="K5590" s="10" t="str">
        <f aca="false">IF($A5590="","",$G5590&amp;"|"&amp;$J5590)</f>
        <v/>
      </c>
      <c r="L5590" s="10" t="str">
        <f aca="false">IF($A5590="","",ROW()-2)</f>
        <v/>
      </c>
      <c r="M5590" s="10" t="str">
        <f aca="false">IF($A5590="","",ROW())</f>
        <v/>
      </c>
    </row>
    <row r="5591" customFormat="false" ht="15" hidden="false" customHeight="true" outlineLevel="0" collapsed="false">
      <c r="A5591" s="8"/>
      <c r="B5591" s="8"/>
      <c r="C5591" s="8"/>
      <c r="D5591" s="8"/>
      <c r="E5591" s="8"/>
      <c r="F5591" s="8"/>
      <c r="G5591" s="10" t="str">
        <f aca="false">IF($A5591="","",UPPER(SUBSTITUTE(SUBSTITUTE(SUBSTITUTE(SUBSTITUTE($A5591," ",""),"(주)",""),"주식회사",""),"㈜","")))</f>
        <v/>
      </c>
      <c r="H5591" s="10" t="str">
        <f aca="false">IF($B5591="","",SUBSTITUTE(SUBSTITUTE(SUBSTITUTE($B5591,"-","")," ",""),".",""))</f>
        <v/>
      </c>
      <c r="I5591" s="10" t="str">
        <f aca="false">IF($D5591="","",SUBSTITUTE(SUBSTITUTE(SUBSTITUTE($D5591,"-","")," ",""),".",""))</f>
        <v/>
      </c>
      <c r="J5591" s="10" t="str">
        <f aca="false">IF($E5591="","",UPPER(SUBSTITUTE($E5591," ","")))</f>
        <v/>
      </c>
      <c r="K5591" s="10" t="str">
        <f aca="false">IF($A5591="","",$G5591&amp;"|"&amp;$J5591)</f>
        <v/>
      </c>
      <c r="L5591" s="10" t="str">
        <f aca="false">IF($A5591="","",ROW()-2)</f>
        <v/>
      </c>
      <c r="M5591" s="10" t="str">
        <f aca="false">IF($A5591="","",ROW())</f>
        <v/>
      </c>
    </row>
    <row r="5592" customFormat="false" ht="15" hidden="false" customHeight="true" outlineLevel="0" collapsed="false">
      <c r="A5592" s="8"/>
      <c r="B5592" s="8"/>
      <c r="C5592" s="8"/>
      <c r="D5592" s="8"/>
      <c r="E5592" s="8"/>
      <c r="F5592" s="8"/>
      <c r="G5592" s="10" t="str">
        <f aca="false">IF($A5592="","",UPPER(SUBSTITUTE(SUBSTITUTE(SUBSTITUTE(SUBSTITUTE($A5592," ",""),"(주)",""),"주식회사",""),"㈜","")))</f>
        <v/>
      </c>
      <c r="H5592" s="10" t="str">
        <f aca="false">IF($B5592="","",SUBSTITUTE(SUBSTITUTE(SUBSTITUTE($B5592,"-","")," ",""),".",""))</f>
        <v/>
      </c>
      <c r="I5592" s="10" t="str">
        <f aca="false">IF($D5592="","",SUBSTITUTE(SUBSTITUTE(SUBSTITUTE($D5592,"-","")," ",""),".",""))</f>
        <v/>
      </c>
      <c r="J5592" s="10" t="str">
        <f aca="false">IF($E5592="","",UPPER(SUBSTITUTE($E5592," ","")))</f>
        <v/>
      </c>
      <c r="K5592" s="10" t="str">
        <f aca="false">IF($A5592="","",$G5592&amp;"|"&amp;$J5592)</f>
        <v/>
      </c>
      <c r="L5592" s="10" t="str">
        <f aca="false">IF($A5592="","",ROW()-2)</f>
        <v/>
      </c>
      <c r="M5592" s="10" t="str">
        <f aca="false">IF($A5592="","",ROW())</f>
        <v/>
      </c>
    </row>
    <row r="5593" customFormat="false" ht="15" hidden="false" customHeight="true" outlineLevel="0" collapsed="false">
      <c r="A5593" s="8"/>
      <c r="B5593" s="8"/>
      <c r="C5593" s="8"/>
      <c r="D5593" s="8"/>
      <c r="E5593" s="8"/>
      <c r="F5593" s="8"/>
      <c r="G5593" s="10" t="str">
        <f aca="false">IF($A5593="","",UPPER(SUBSTITUTE(SUBSTITUTE(SUBSTITUTE(SUBSTITUTE($A5593," ",""),"(주)",""),"주식회사",""),"㈜","")))</f>
        <v/>
      </c>
      <c r="H5593" s="10" t="str">
        <f aca="false">IF($B5593="","",SUBSTITUTE(SUBSTITUTE(SUBSTITUTE($B5593,"-","")," ",""),".",""))</f>
        <v/>
      </c>
      <c r="I5593" s="10" t="str">
        <f aca="false">IF($D5593="","",SUBSTITUTE(SUBSTITUTE(SUBSTITUTE($D5593,"-","")," ",""),".",""))</f>
        <v/>
      </c>
      <c r="J5593" s="10" t="str">
        <f aca="false">IF($E5593="","",UPPER(SUBSTITUTE($E5593," ","")))</f>
        <v/>
      </c>
      <c r="K5593" s="10" t="str">
        <f aca="false">IF($A5593="","",$G5593&amp;"|"&amp;$J5593)</f>
        <v/>
      </c>
      <c r="L5593" s="10" t="str">
        <f aca="false">IF($A5593="","",ROW()-2)</f>
        <v/>
      </c>
      <c r="M5593" s="10" t="str">
        <f aca="false">IF($A5593="","",ROW())</f>
        <v/>
      </c>
    </row>
    <row r="5594" customFormat="false" ht="15" hidden="false" customHeight="true" outlineLevel="0" collapsed="false">
      <c r="A5594" s="8"/>
      <c r="B5594" s="8"/>
      <c r="C5594" s="8"/>
      <c r="D5594" s="8"/>
      <c r="E5594" s="8"/>
      <c r="F5594" s="8"/>
      <c r="G5594" s="10" t="str">
        <f aca="false">IF($A5594="","",UPPER(SUBSTITUTE(SUBSTITUTE(SUBSTITUTE(SUBSTITUTE($A5594," ",""),"(주)",""),"주식회사",""),"㈜","")))</f>
        <v/>
      </c>
      <c r="H5594" s="10" t="str">
        <f aca="false">IF($B5594="","",SUBSTITUTE(SUBSTITUTE(SUBSTITUTE($B5594,"-","")," ",""),".",""))</f>
        <v/>
      </c>
      <c r="I5594" s="10" t="str">
        <f aca="false">IF($D5594="","",SUBSTITUTE(SUBSTITUTE(SUBSTITUTE($D5594,"-","")," ",""),".",""))</f>
        <v/>
      </c>
      <c r="J5594" s="10" t="str">
        <f aca="false">IF($E5594="","",UPPER(SUBSTITUTE($E5594," ","")))</f>
        <v/>
      </c>
      <c r="K5594" s="10" t="str">
        <f aca="false">IF($A5594="","",$G5594&amp;"|"&amp;$J5594)</f>
        <v/>
      </c>
      <c r="L5594" s="10" t="str">
        <f aca="false">IF($A5594="","",ROW()-2)</f>
        <v/>
      </c>
      <c r="M5594" s="10" t="str">
        <f aca="false">IF($A5594="","",ROW())</f>
        <v/>
      </c>
    </row>
    <row r="5595" customFormat="false" ht="15" hidden="false" customHeight="true" outlineLevel="0" collapsed="false">
      <c r="A5595" s="8"/>
      <c r="B5595" s="8"/>
      <c r="C5595" s="8"/>
      <c r="D5595" s="8"/>
      <c r="E5595" s="8"/>
      <c r="F5595" s="8"/>
      <c r="G5595" s="10" t="str">
        <f aca="false">IF($A5595="","",UPPER(SUBSTITUTE(SUBSTITUTE(SUBSTITUTE(SUBSTITUTE($A5595," ",""),"(주)",""),"주식회사",""),"㈜","")))</f>
        <v/>
      </c>
      <c r="H5595" s="10" t="str">
        <f aca="false">IF($B5595="","",SUBSTITUTE(SUBSTITUTE(SUBSTITUTE($B5595,"-","")," ",""),".",""))</f>
        <v/>
      </c>
      <c r="I5595" s="10" t="str">
        <f aca="false">IF($D5595="","",SUBSTITUTE(SUBSTITUTE(SUBSTITUTE($D5595,"-","")," ",""),".",""))</f>
        <v/>
      </c>
      <c r="J5595" s="10" t="str">
        <f aca="false">IF($E5595="","",UPPER(SUBSTITUTE($E5595," ","")))</f>
        <v/>
      </c>
      <c r="K5595" s="10" t="str">
        <f aca="false">IF($A5595="","",$G5595&amp;"|"&amp;$J5595)</f>
        <v/>
      </c>
      <c r="L5595" s="10" t="str">
        <f aca="false">IF($A5595="","",ROW()-2)</f>
        <v/>
      </c>
      <c r="M5595" s="10" t="str">
        <f aca="false">IF($A5595="","",ROW())</f>
        <v/>
      </c>
    </row>
    <row r="5596" customFormat="false" ht="15" hidden="false" customHeight="true" outlineLevel="0" collapsed="false">
      <c r="A5596" s="8"/>
      <c r="B5596" s="8"/>
      <c r="C5596" s="8"/>
      <c r="D5596" s="8"/>
      <c r="E5596" s="8"/>
      <c r="F5596" s="8"/>
      <c r="G5596" s="10" t="str">
        <f aca="false">IF($A5596="","",UPPER(SUBSTITUTE(SUBSTITUTE(SUBSTITUTE(SUBSTITUTE($A5596," ",""),"(주)",""),"주식회사",""),"㈜","")))</f>
        <v/>
      </c>
      <c r="H5596" s="10" t="str">
        <f aca="false">IF($B5596="","",SUBSTITUTE(SUBSTITUTE(SUBSTITUTE($B5596,"-","")," ",""),".",""))</f>
        <v/>
      </c>
      <c r="I5596" s="10" t="str">
        <f aca="false">IF($D5596="","",SUBSTITUTE(SUBSTITUTE(SUBSTITUTE($D5596,"-","")," ",""),".",""))</f>
        <v/>
      </c>
      <c r="J5596" s="10" t="str">
        <f aca="false">IF($E5596="","",UPPER(SUBSTITUTE($E5596," ","")))</f>
        <v/>
      </c>
      <c r="K5596" s="10" t="str">
        <f aca="false">IF($A5596="","",$G5596&amp;"|"&amp;$J5596)</f>
        <v/>
      </c>
      <c r="L5596" s="10" t="str">
        <f aca="false">IF($A5596="","",ROW()-2)</f>
        <v/>
      </c>
      <c r="M5596" s="10" t="str">
        <f aca="false">IF($A5596="","",ROW())</f>
        <v/>
      </c>
    </row>
    <row r="5597" customFormat="false" ht="15" hidden="false" customHeight="true" outlineLevel="0" collapsed="false">
      <c r="A5597" s="8"/>
      <c r="B5597" s="8"/>
      <c r="C5597" s="8"/>
      <c r="D5597" s="8"/>
      <c r="E5597" s="8"/>
      <c r="F5597" s="8"/>
      <c r="G5597" s="10" t="str">
        <f aca="false">IF($A5597="","",UPPER(SUBSTITUTE(SUBSTITUTE(SUBSTITUTE(SUBSTITUTE($A5597," ",""),"(주)",""),"주식회사",""),"㈜","")))</f>
        <v/>
      </c>
      <c r="H5597" s="10" t="str">
        <f aca="false">IF($B5597="","",SUBSTITUTE(SUBSTITUTE(SUBSTITUTE($B5597,"-","")," ",""),".",""))</f>
        <v/>
      </c>
      <c r="I5597" s="10" t="str">
        <f aca="false">IF($D5597="","",SUBSTITUTE(SUBSTITUTE(SUBSTITUTE($D5597,"-","")," ",""),".",""))</f>
        <v/>
      </c>
      <c r="J5597" s="10" t="str">
        <f aca="false">IF($E5597="","",UPPER(SUBSTITUTE($E5597," ","")))</f>
        <v/>
      </c>
      <c r="K5597" s="10" t="str">
        <f aca="false">IF($A5597="","",$G5597&amp;"|"&amp;$J5597)</f>
        <v/>
      </c>
      <c r="L5597" s="10" t="str">
        <f aca="false">IF($A5597="","",ROW()-2)</f>
        <v/>
      </c>
      <c r="M5597" s="10" t="str">
        <f aca="false">IF($A5597="","",ROW())</f>
        <v/>
      </c>
    </row>
    <row r="5598" customFormat="false" ht="15" hidden="false" customHeight="true" outlineLevel="0" collapsed="false">
      <c r="A5598" s="8"/>
      <c r="B5598" s="8"/>
      <c r="C5598" s="8"/>
      <c r="D5598" s="8"/>
      <c r="E5598" s="8"/>
      <c r="F5598" s="8"/>
      <c r="G5598" s="10" t="str">
        <f aca="false">IF($A5598="","",UPPER(SUBSTITUTE(SUBSTITUTE(SUBSTITUTE(SUBSTITUTE($A5598," ",""),"(주)",""),"주식회사",""),"㈜","")))</f>
        <v/>
      </c>
      <c r="H5598" s="10" t="str">
        <f aca="false">IF($B5598="","",SUBSTITUTE(SUBSTITUTE(SUBSTITUTE($B5598,"-","")," ",""),".",""))</f>
        <v/>
      </c>
      <c r="I5598" s="10" t="str">
        <f aca="false">IF($D5598="","",SUBSTITUTE(SUBSTITUTE(SUBSTITUTE($D5598,"-","")," ",""),".",""))</f>
        <v/>
      </c>
      <c r="J5598" s="10" t="str">
        <f aca="false">IF($E5598="","",UPPER(SUBSTITUTE($E5598," ","")))</f>
        <v/>
      </c>
      <c r="K5598" s="10" t="str">
        <f aca="false">IF($A5598="","",$G5598&amp;"|"&amp;$J5598)</f>
        <v/>
      </c>
      <c r="L5598" s="10" t="str">
        <f aca="false">IF($A5598="","",ROW()-2)</f>
        <v/>
      </c>
      <c r="M5598" s="10" t="str">
        <f aca="false">IF($A5598="","",ROW())</f>
        <v/>
      </c>
    </row>
    <row r="5599" customFormat="false" ht="15" hidden="false" customHeight="true" outlineLevel="0" collapsed="false">
      <c r="A5599" s="8"/>
      <c r="B5599" s="8"/>
      <c r="C5599" s="8"/>
      <c r="D5599" s="8"/>
      <c r="E5599" s="8"/>
      <c r="F5599" s="8"/>
      <c r="G5599" s="10" t="str">
        <f aca="false">IF($A5599="","",UPPER(SUBSTITUTE(SUBSTITUTE(SUBSTITUTE(SUBSTITUTE($A5599," ",""),"(주)",""),"주식회사",""),"㈜","")))</f>
        <v/>
      </c>
      <c r="H5599" s="10" t="str">
        <f aca="false">IF($B5599="","",SUBSTITUTE(SUBSTITUTE(SUBSTITUTE($B5599,"-","")," ",""),".",""))</f>
        <v/>
      </c>
      <c r="I5599" s="10" t="str">
        <f aca="false">IF($D5599="","",SUBSTITUTE(SUBSTITUTE(SUBSTITUTE($D5599,"-","")," ",""),".",""))</f>
        <v/>
      </c>
      <c r="J5599" s="10" t="str">
        <f aca="false">IF($E5599="","",UPPER(SUBSTITUTE($E5599," ","")))</f>
        <v/>
      </c>
      <c r="K5599" s="10" t="str">
        <f aca="false">IF($A5599="","",$G5599&amp;"|"&amp;$J5599)</f>
        <v/>
      </c>
      <c r="L5599" s="10" t="str">
        <f aca="false">IF($A5599="","",ROW()-2)</f>
        <v/>
      </c>
      <c r="M5599" s="10" t="str">
        <f aca="false">IF($A5599="","",ROW())</f>
        <v/>
      </c>
    </row>
    <row r="5600" customFormat="false" ht="15" hidden="false" customHeight="true" outlineLevel="0" collapsed="false">
      <c r="A5600" s="8"/>
      <c r="B5600" s="8"/>
      <c r="C5600" s="8"/>
      <c r="D5600" s="8"/>
      <c r="E5600" s="8"/>
      <c r="F5600" s="8"/>
      <c r="G5600" s="10" t="str">
        <f aca="false">IF($A5600="","",UPPER(SUBSTITUTE(SUBSTITUTE(SUBSTITUTE(SUBSTITUTE($A5600," ",""),"(주)",""),"주식회사",""),"㈜","")))</f>
        <v/>
      </c>
      <c r="H5600" s="10" t="str">
        <f aca="false">IF($B5600="","",SUBSTITUTE(SUBSTITUTE(SUBSTITUTE($B5600,"-","")," ",""),".",""))</f>
        <v/>
      </c>
      <c r="I5600" s="10" t="str">
        <f aca="false">IF($D5600="","",SUBSTITUTE(SUBSTITUTE(SUBSTITUTE($D5600,"-","")," ",""),".",""))</f>
        <v/>
      </c>
      <c r="J5600" s="10" t="str">
        <f aca="false">IF($E5600="","",UPPER(SUBSTITUTE($E5600," ","")))</f>
        <v/>
      </c>
      <c r="K5600" s="10" t="str">
        <f aca="false">IF($A5600="","",$G5600&amp;"|"&amp;$J5600)</f>
        <v/>
      </c>
      <c r="L5600" s="10" t="str">
        <f aca="false">IF($A5600="","",ROW()-2)</f>
        <v/>
      </c>
      <c r="M5600" s="10" t="str">
        <f aca="false">IF($A5600="","",ROW())</f>
        <v/>
      </c>
    </row>
    <row r="5601" customFormat="false" ht="15" hidden="false" customHeight="true" outlineLevel="0" collapsed="false">
      <c r="A5601" s="8"/>
      <c r="B5601" s="8"/>
      <c r="C5601" s="8"/>
      <c r="D5601" s="8"/>
      <c r="E5601" s="8"/>
      <c r="F5601" s="8"/>
      <c r="G5601" s="10" t="str">
        <f aca="false">IF($A5601="","",UPPER(SUBSTITUTE(SUBSTITUTE(SUBSTITUTE(SUBSTITUTE($A5601," ",""),"(주)",""),"주식회사",""),"㈜","")))</f>
        <v/>
      </c>
      <c r="H5601" s="10" t="str">
        <f aca="false">IF($B5601="","",SUBSTITUTE(SUBSTITUTE(SUBSTITUTE($B5601,"-","")," ",""),".",""))</f>
        <v/>
      </c>
      <c r="I5601" s="10" t="str">
        <f aca="false">IF($D5601="","",SUBSTITUTE(SUBSTITUTE(SUBSTITUTE($D5601,"-","")," ",""),".",""))</f>
        <v/>
      </c>
      <c r="J5601" s="10" t="str">
        <f aca="false">IF($E5601="","",UPPER(SUBSTITUTE($E5601," ","")))</f>
        <v/>
      </c>
      <c r="K5601" s="10" t="str">
        <f aca="false">IF($A5601="","",$G5601&amp;"|"&amp;$J5601)</f>
        <v/>
      </c>
      <c r="L5601" s="10" t="str">
        <f aca="false">IF($A5601="","",ROW()-2)</f>
        <v/>
      </c>
      <c r="M5601" s="10" t="str">
        <f aca="false">IF($A5601="","",ROW())</f>
        <v/>
      </c>
    </row>
    <row r="5602" customFormat="false" ht="15" hidden="false" customHeight="true" outlineLevel="0" collapsed="false">
      <c r="A5602" s="8"/>
      <c r="B5602" s="8"/>
      <c r="C5602" s="8"/>
      <c r="D5602" s="8"/>
      <c r="E5602" s="8"/>
      <c r="F5602" s="8"/>
      <c r="G5602" s="10" t="str">
        <f aca="false">IF($A5602="","",UPPER(SUBSTITUTE(SUBSTITUTE(SUBSTITUTE(SUBSTITUTE($A5602," ",""),"(주)",""),"주식회사",""),"㈜","")))</f>
        <v/>
      </c>
      <c r="H5602" s="10" t="str">
        <f aca="false">IF($B5602="","",SUBSTITUTE(SUBSTITUTE(SUBSTITUTE($B5602,"-","")," ",""),".",""))</f>
        <v/>
      </c>
      <c r="I5602" s="10" t="str">
        <f aca="false">IF($D5602="","",SUBSTITUTE(SUBSTITUTE(SUBSTITUTE($D5602,"-","")," ",""),".",""))</f>
        <v/>
      </c>
      <c r="J5602" s="10" t="str">
        <f aca="false">IF($E5602="","",UPPER(SUBSTITUTE($E5602," ","")))</f>
        <v/>
      </c>
      <c r="K5602" s="10" t="str">
        <f aca="false">IF($A5602="","",$G5602&amp;"|"&amp;$J5602)</f>
        <v/>
      </c>
      <c r="L5602" s="10" t="str">
        <f aca="false">IF($A5602="","",ROW()-2)</f>
        <v/>
      </c>
      <c r="M5602" s="10" t="str">
        <f aca="false">IF($A5602="","",ROW())</f>
        <v/>
      </c>
    </row>
    <row r="5603" customFormat="false" ht="15" hidden="false" customHeight="true" outlineLevel="0" collapsed="false">
      <c r="A5603" s="8"/>
      <c r="B5603" s="8"/>
      <c r="C5603" s="8"/>
      <c r="D5603" s="8"/>
      <c r="E5603" s="8"/>
      <c r="F5603" s="8"/>
      <c r="G5603" s="10" t="str">
        <f aca="false">IF($A5603="","",UPPER(SUBSTITUTE(SUBSTITUTE(SUBSTITUTE(SUBSTITUTE($A5603," ",""),"(주)",""),"주식회사",""),"㈜","")))</f>
        <v/>
      </c>
      <c r="H5603" s="10" t="str">
        <f aca="false">IF($B5603="","",SUBSTITUTE(SUBSTITUTE(SUBSTITUTE($B5603,"-","")," ",""),".",""))</f>
        <v/>
      </c>
      <c r="I5603" s="10" t="str">
        <f aca="false">IF($D5603="","",SUBSTITUTE(SUBSTITUTE(SUBSTITUTE($D5603,"-","")," ",""),".",""))</f>
        <v/>
      </c>
      <c r="J5603" s="10" t="str">
        <f aca="false">IF($E5603="","",UPPER(SUBSTITUTE($E5603," ","")))</f>
        <v/>
      </c>
      <c r="K5603" s="10" t="str">
        <f aca="false">IF($A5603="","",$G5603&amp;"|"&amp;$J5603)</f>
        <v/>
      </c>
      <c r="L5603" s="10" t="str">
        <f aca="false">IF($A5603="","",ROW()-2)</f>
        <v/>
      </c>
      <c r="M5603" s="10" t="str">
        <f aca="false">IF($A5603="","",ROW())</f>
        <v/>
      </c>
    </row>
    <row r="5604" customFormat="false" ht="15" hidden="false" customHeight="true" outlineLevel="0" collapsed="false">
      <c r="A5604" s="8"/>
      <c r="B5604" s="8"/>
      <c r="C5604" s="8"/>
      <c r="D5604" s="8"/>
      <c r="E5604" s="8"/>
      <c r="F5604" s="8"/>
      <c r="G5604" s="10" t="str">
        <f aca="false">IF($A5604="","",UPPER(SUBSTITUTE(SUBSTITUTE(SUBSTITUTE(SUBSTITUTE($A5604," ",""),"(주)",""),"주식회사",""),"㈜","")))</f>
        <v/>
      </c>
      <c r="H5604" s="10" t="str">
        <f aca="false">IF($B5604="","",SUBSTITUTE(SUBSTITUTE(SUBSTITUTE($B5604,"-","")," ",""),".",""))</f>
        <v/>
      </c>
      <c r="I5604" s="10" t="str">
        <f aca="false">IF($D5604="","",SUBSTITUTE(SUBSTITUTE(SUBSTITUTE($D5604,"-","")," ",""),".",""))</f>
        <v/>
      </c>
      <c r="J5604" s="10" t="str">
        <f aca="false">IF($E5604="","",UPPER(SUBSTITUTE($E5604," ","")))</f>
        <v/>
      </c>
      <c r="K5604" s="10" t="str">
        <f aca="false">IF($A5604="","",$G5604&amp;"|"&amp;$J5604)</f>
        <v/>
      </c>
      <c r="L5604" s="10" t="str">
        <f aca="false">IF($A5604="","",ROW()-2)</f>
        <v/>
      </c>
      <c r="M5604" s="10" t="str">
        <f aca="false">IF($A5604="","",ROW())</f>
        <v/>
      </c>
    </row>
    <row r="5605" customFormat="false" ht="15" hidden="false" customHeight="true" outlineLevel="0" collapsed="false">
      <c r="A5605" s="8"/>
      <c r="B5605" s="8"/>
      <c r="C5605" s="8"/>
      <c r="D5605" s="8"/>
      <c r="E5605" s="8"/>
      <c r="F5605" s="8"/>
      <c r="G5605" s="10" t="str">
        <f aca="false">IF($A5605="","",UPPER(SUBSTITUTE(SUBSTITUTE(SUBSTITUTE(SUBSTITUTE($A5605," ",""),"(주)",""),"주식회사",""),"㈜","")))</f>
        <v/>
      </c>
      <c r="H5605" s="10" t="str">
        <f aca="false">IF($B5605="","",SUBSTITUTE(SUBSTITUTE(SUBSTITUTE($B5605,"-","")," ",""),".",""))</f>
        <v/>
      </c>
      <c r="I5605" s="10" t="str">
        <f aca="false">IF($D5605="","",SUBSTITUTE(SUBSTITUTE(SUBSTITUTE($D5605,"-","")," ",""),".",""))</f>
        <v/>
      </c>
      <c r="J5605" s="10" t="str">
        <f aca="false">IF($E5605="","",UPPER(SUBSTITUTE($E5605," ","")))</f>
        <v/>
      </c>
      <c r="K5605" s="10" t="str">
        <f aca="false">IF($A5605="","",$G5605&amp;"|"&amp;$J5605)</f>
        <v/>
      </c>
      <c r="L5605" s="10" t="str">
        <f aca="false">IF($A5605="","",ROW()-2)</f>
        <v/>
      </c>
      <c r="M5605" s="10" t="str">
        <f aca="false">IF($A5605="","",ROW())</f>
        <v/>
      </c>
    </row>
    <row r="5606" customFormat="false" ht="15" hidden="false" customHeight="true" outlineLevel="0" collapsed="false">
      <c r="A5606" s="8"/>
      <c r="B5606" s="8"/>
      <c r="C5606" s="8"/>
      <c r="D5606" s="8"/>
      <c r="E5606" s="8"/>
      <c r="F5606" s="8"/>
      <c r="G5606" s="10" t="str">
        <f aca="false">IF($A5606="","",UPPER(SUBSTITUTE(SUBSTITUTE(SUBSTITUTE(SUBSTITUTE($A5606," ",""),"(주)",""),"주식회사",""),"㈜","")))</f>
        <v/>
      </c>
      <c r="H5606" s="10" t="str">
        <f aca="false">IF($B5606="","",SUBSTITUTE(SUBSTITUTE(SUBSTITUTE($B5606,"-","")," ",""),".",""))</f>
        <v/>
      </c>
      <c r="I5606" s="10" t="str">
        <f aca="false">IF($D5606="","",SUBSTITUTE(SUBSTITUTE(SUBSTITUTE($D5606,"-","")," ",""),".",""))</f>
        <v/>
      </c>
      <c r="J5606" s="10" t="str">
        <f aca="false">IF($E5606="","",UPPER(SUBSTITUTE($E5606," ","")))</f>
        <v/>
      </c>
      <c r="K5606" s="10" t="str">
        <f aca="false">IF($A5606="","",$G5606&amp;"|"&amp;$J5606)</f>
        <v/>
      </c>
      <c r="L5606" s="10" t="str">
        <f aca="false">IF($A5606="","",ROW()-2)</f>
        <v/>
      </c>
      <c r="M5606" s="10" t="str">
        <f aca="false">IF($A5606="","",ROW())</f>
        <v/>
      </c>
    </row>
    <row r="5607" customFormat="false" ht="15" hidden="false" customHeight="true" outlineLevel="0" collapsed="false">
      <c r="A5607" s="8"/>
      <c r="B5607" s="8"/>
      <c r="C5607" s="8"/>
      <c r="D5607" s="8"/>
      <c r="E5607" s="8"/>
      <c r="F5607" s="8"/>
      <c r="G5607" s="10" t="str">
        <f aca="false">IF($A5607="","",UPPER(SUBSTITUTE(SUBSTITUTE(SUBSTITUTE(SUBSTITUTE($A5607," ",""),"(주)",""),"주식회사",""),"㈜","")))</f>
        <v/>
      </c>
      <c r="H5607" s="10" t="str">
        <f aca="false">IF($B5607="","",SUBSTITUTE(SUBSTITUTE(SUBSTITUTE($B5607,"-","")," ",""),".",""))</f>
        <v/>
      </c>
      <c r="I5607" s="10" t="str">
        <f aca="false">IF($D5607="","",SUBSTITUTE(SUBSTITUTE(SUBSTITUTE($D5607,"-","")," ",""),".",""))</f>
        <v/>
      </c>
      <c r="J5607" s="10" t="str">
        <f aca="false">IF($E5607="","",UPPER(SUBSTITUTE($E5607," ","")))</f>
        <v/>
      </c>
      <c r="K5607" s="10" t="str">
        <f aca="false">IF($A5607="","",$G5607&amp;"|"&amp;$J5607)</f>
        <v/>
      </c>
      <c r="L5607" s="10" t="str">
        <f aca="false">IF($A5607="","",ROW()-2)</f>
        <v/>
      </c>
      <c r="M5607" s="10" t="str">
        <f aca="false">IF($A5607="","",ROW())</f>
        <v/>
      </c>
    </row>
    <row r="5608" customFormat="false" ht="15" hidden="false" customHeight="true" outlineLevel="0" collapsed="false">
      <c r="A5608" s="8"/>
      <c r="B5608" s="8"/>
      <c r="C5608" s="8"/>
      <c r="D5608" s="8"/>
      <c r="E5608" s="8"/>
      <c r="F5608" s="8"/>
      <c r="G5608" s="10" t="str">
        <f aca="false">IF($A5608="","",UPPER(SUBSTITUTE(SUBSTITUTE(SUBSTITUTE(SUBSTITUTE($A5608," ",""),"(주)",""),"주식회사",""),"㈜","")))</f>
        <v/>
      </c>
      <c r="H5608" s="10" t="str">
        <f aca="false">IF($B5608="","",SUBSTITUTE(SUBSTITUTE(SUBSTITUTE($B5608,"-","")," ",""),".",""))</f>
        <v/>
      </c>
      <c r="I5608" s="10" t="str">
        <f aca="false">IF($D5608="","",SUBSTITUTE(SUBSTITUTE(SUBSTITUTE($D5608,"-","")," ",""),".",""))</f>
        <v/>
      </c>
      <c r="J5608" s="10" t="str">
        <f aca="false">IF($E5608="","",UPPER(SUBSTITUTE($E5608," ","")))</f>
        <v/>
      </c>
      <c r="K5608" s="10" t="str">
        <f aca="false">IF($A5608="","",$G5608&amp;"|"&amp;$J5608)</f>
        <v/>
      </c>
      <c r="L5608" s="10" t="str">
        <f aca="false">IF($A5608="","",ROW()-2)</f>
        <v/>
      </c>
      <c r="M5608" s="10" t="str">
        <f aca="false">IF($A5608="","",ROW())</f>
        <v/>
      </c>
    </row>
    <row r="5609" customFormat="false" ht="15" hidden="false" customHeight="true" outlineLevel="0" collapsed="false">
      <c r="A5609" s="8"/>
      <c r="B5609" s="8"/>
      <c r="C5609" s="8"/>
      <c r="D5609" s="8"/>
      <c r="E5609" s="8"/>
      <c r="F5609" s="8"/>
      <c r="G5609" s="10" t="str">
        <f aca="false">IF($A5609="","",UPPER(SUBSTITUTE(SUBSTITUTE(SUBSTITUTE(SUBSTITUTE($A5609," ",""),"(주)",""),"주식회사",""),"㈜","")))</f>
        <v/>
      </c>
      <c r="H5609" s="10" t="str">
        <f aca="false">IF($B5609="","",SUBSTITUTE(SUBSTITUTE(SUBSTITUTE($B5609,"-","")," ",""),".",""))</f>
        <v/>
      </c>
      <c r="I5609" s="10" t="str">
        <f aca="false">IF($D5609="","",SUBSTITUTE(SUBSTITUTE(SUBSTITUTE($D5609,"-","")," ",""),".",""))</f>
        <v/>
      </c>
      <c r="J5609" s="10" t="str">
        <f aca="false">IF($E5609="","",UPPER(SUBSTITUTE($E5609," ","")))</f>
        <v/>
      </c>
      <c r="K5609" s="10" t="str">
        <f aca="false">IF($A5609="","",$G5609&amp;"|"&amp;$J5609)</f>
        <v/>
      </c>
      <c r="L5609" s="10" t="str">
        <f aca="false">IF($A5609="","",ROW()-2)</f>
        <v/>
      </c>
      <c r="M5609" s="10" t="str">
        <f aca="false">IF($A5609="","",ROW())</f>
        <v/>
      </c>
    </row>
    <row r="5610" customFormat="false" ht="15" hidden="false" customHeight="true" outlineLevel="0" collapsed="false">
      <c r="A5610" s="8"/>
      <c r="B5610" s="8"/>
      <c r="C5610" s="8"/>
      <c r="D5610" s="8"/>
      <c r="E5610" s="8"/>
      <c r="F5610" s="8"/>
      <c r="G5610" s="10" t="str">
        <f aca="false">IF($A5610="","",UPPER(SUBSTITUTE(SUBSTITUTE(SUBSTITUTE(SUBSTITUTE($A5610," ",""),"(주)",""),"주식회사",""),"㈜","")))</f>
        <v/>
      </c>
      <c r="H5610" s="10" t="str">
        <f aca="false">IF($B5610="","",SUBSTITUTE(SUBSTITUTE(SUBSTITUTE($B5610,"-","")," ",""),".",""))</f>
        <v/>
      </c>
      <c r="I5610" s="10" t="str">
        <f aca="false">IF($D5610="","",SUBSTITUTE(SUBSTITUTE(SUBSTITUTE($D5610,"-","")," ",""),".",""))</f>
        <v/>
      </c>
      <c r="J5610" s="10" t="str">
        <f aca="false">IF($E5610="","",UPPER(SUBSTITUTE($E5610," ","")))</f>
        <v/>
      </c>
      <c r="K5610" s="10" t="str">
        <f aca="false">IF($A5610="","",$G5610&amp;"|"&amp;$J5610)</f>
        <v/>
      </c>
      <c r="L5610" s="10" t="str">
        <f aca="false">IF($A5610="","",ROW()-2)</f>
        <v/>
      </c>
      <c r="M5610" s="10" t="str">
        <f aca="false">IF($A5610="","",ROW())</f>
        <v/>
      </c>
    </row>
    <row r="5611" customFormat="false" ht="15" hidden="false" customHeight="true" outlineLevel="0" collapsed="false">
      <c r="A5611" s="8"/>
      <c r="B5611" s="8"/>
      <c r="C5611" s="8"/>
      <c r="D5611" s="8"/>
      <c r="E5611" s="8"/>
      <c r="F5611" s="8"/>
      <c r="G5611" s="10" t="str">
        <f aca="false">IF($A5611="","",UPPER(SUBSTITUTE(SUBSTITUTE(SUBSTITUTE(SUBSTITUTE($A5611," ",""),"(주)",""),"주식회사",""),"㈜","")))</f>
        <v/>
      </c>
      <c r="H5611" s="10" t="str">
        <f aca="false">IF($B5611="","",SUBSTITUTE(SUBSTITUTE(SUBSTITUTE($B5611,"-","")," ",""),".",""))</f>
        <v/>
      </c>
      <c r="I5611" s="10" t="str">
        <f aca="false">IF($D5611="","",SUBSTITUTE(SUBSTITUTE(SUBSTITUTE($D5611,"-","")," ",""),".",""))</f>
        <v/>
      </c>
      <c r="J5611" s="10" t="str">
        <f aca="false">IF($E5611="","",UPPER(SUBSTITUTE($E5611," ","")))</f>
        <v/>
      </c>
      <c r="K5611" s="10" t="str">
        <f aca="false">IF($A5611="","",$G5611&amp;"|"&amp;$J5611)</f>
        <v/>
      </c>
      <c r="L5611" s="10" t="str">
        <f aca="false">IF($A5611="","",ROW()-2)</f>
        <v/>
      </c>
      <c r="M5611" s="10" t="str">
        <f aca="false">IF($A5611="","",ROW())</f>
        <v/>
      </c>
    </row>
    <row r="5612" customFormat="false" ht="15" hidden="false" customHeight="true" outlineLevel="0" collapsed="false">
      <c r="A5612" s="8"/>
      <c r="B5612" s="8"/>
      <c r="C5612" s="8"/>
      <c r="D5612" s="8"/>
      <c r="E5612" s="8"/>
      <c r="F5612" s="8"/>
      <c r="G5612" s="10" t="str">
        <f aca="false">IF($A5612="","",UPPER(SUBSTITUTE(SUBSTITUTE(SUBSTITUTE(SUBSTITUTE($A5612," ",""),"(주)",""),"주식회사",""),"㈜","")))</f>
        <v/>
      </c>
      <c r="H5612" s="10" t="str">
        <f aca="false">IF($B5612="","",SUBSTITUTE(SUBSTITUTE(SUBSTITUTE($B5612,"-","")," ",""),".",""))</f>
        <v/>
      </c>
      <c r="I5612" s="10" t="str">
        <f aca="false">IF($D5612="","",SUBSTITUTE(SUBSTITUTE(SUBSTITUTE($D5612,"-","")," ",""),".",""))</f>
        <v/>
      </c>
      <c r="J5612" s="10" t="str">
        <f aca="false">IF($E5612="","",UPPER(SUBSTITUTE($E5612," ","")))</f>
        <v/>
      </c>
      <c r="K5612" s="10" t="str">
        <f aca="false">IF($A5612="","",$G5612&amp;"|"&amp;$J5612)</f>
        <v/>
      </c>
      <c r="L5612" s="10" t="str">
        <f aca="false">IF($A5612="","",ROW()-2)</f>
        <v/>
      </c>
      <c r="M5612" s="10" t="str">
        <f aca="false">IF($A5612="","",ROW())</f>
        <v/>
      </c>
    </row>
    <row r="5613" customFormat="false" ht="15" hidden="false" customHeight="true" outlineLevel="0" collapsed="false">
      <c r="A5613" s="8"/>
      <c r="B5613" s="8"/>
      <c r="C5613" s="8"/>
      <c r="D5613" s="8"/>
      <c r="E5613" s="8"/>
      <c r="F5613" s="8"/>
      <c r="G5613" s="10" t="str">
        <f aca="false">IF($A5613="","",UPPER(SUBSTITUTE(SUBSTITUTE(SUBSTITUTE(SUBSTITUTE($A5613," ",""),"(주)",""),"주식회사",""),"㈜","")))</f>
        <v/>
      </c>
      <c r="H5613" s="10" t="str">
        <f aca="false">IF($B5613="","",SUBSTITUTE(SUBSTITUTE(SUBSTITUTE($B5613,"-","")," ",""),".",""))</f>
        <v/>
      </c>
      <c r="I5613" s="10" t="str">
        <f aca="false">IF($D5613="","",SUBSTITUTE(SUBSTITUTE(SUBSTITUTE($D5613,"-","")," ",""),".",""))</f>
        <v/>
      </c>
      <c r="J5613" s="10" t="str">
        <f aca="false">IF($E5613="","",UPPER(SUBSTITUTE($E5613," ","")))</f>
        <v/>
      </c>
      <c r="K5613" s="10" t="str">
        <f aca="false">IF($A5613="","",$G5613&amp;"|"&amp;$J5613)</f>
        <v/>
      </c>
      <c r="L5613" s="10" t="str">
        <f aca="false">IF($A5613="","",ROW()-2)</f>
        <v/>
      </c>
      <c r="M5613" s="10" t="str">
        <f aca="false">IF($A5613="","",ROW())</f>
        <v/>
      </c>
    </row>
    <row r="5614" customFormat="false" ht="15" hidden="false" customHeight="true" outlineLevel="0" collapsed="false">
      <c r="A5614" s="8"/>
      <c r="B5614" s="8"/>
      <c r="C5614" s="8"/>
      <c r="D5614" s="8"/>
      <c r="E5614" s="8"/>
      <c r="F5614" s="8"/>
      <c r="G5614" s="10" t="str">
        <f aca="false">IF($A5614="","",UPPER(SUBSTITUTE(SUBSTITUTE(SUBSTITUTE(SUBSTITUTE($A5614," ",""),"(주)",""),"주식회사",""),"㈜","")))</f>
        <v/>
      </c>
      <c r="H5614" s="10" t="str">
        <f aca="false">IF($B5614="","",SUBSTITUTE(SUBSTITUTE(SUBSTITUTE($B5614,"-","")," ",""),".",""))</f>
        <v/>
      </c>
      <c r="I5614" s="10" t="str">
        <f aca="false">IF($D5614="","",SUBSTITUTE(SUBSTITUTE(SUBSTITUTE($D5614,"-","")," ",""),".",""))</f>
        <v/>
      </c>
      <c r="J5614" s="10" t="str">
        <f aca="false">IF($E5614="","",UPPER(SUBSTITUTE($E5614," ","")))</f>
        <v/>
      </c>
      <c r="K5614" s="10" t="str">
        <f aca="false">IF($A5614="","",$G5614&amp;"|"&amp;$J5614)</f>
        <v/>
      </c>
      <c r="L5614" s="10" t="str">
        <f aca="false">IF($A5614="","",ROW()-2)</f>
        <v/>
      </c>
      <c r="M5614" s="10" t="str">
        <f aca="false">IF($A5614="","",ROW())</f>
        <v/>
      </c>
    </row>
    <row r="5615" customFormat="false" ht="15" hidden="false" customHeight="true" outlineLevel="0" collapsed="false">
      <c r="A5615" s="8"/>
      <c r="B5615" s="8"/>
      <c r="C5615" s="8"/>
      <c r="D5615" s="8"/>
      <c r="E5615" s="8"/>
      <c r="F5615" s="8"/>
      <c r="G5615" s="10" t="str">
        <f aca="false">IF($A5615="","",UPPER(SUBSTITUTE(SUBSTITUTE(SUBSTITUTE(SUBSTITUTE($A5615," ",""),"(주)",""),"주식회사",""),"㈜","")))</f>
        <v/>
      </c>
      <c r="H5615" s="10" t="str">
        <f aca="false">IF($B5615="","",SUBSTITUTE(SUBSTITUTE(SUBSTITUTE($B5615,"-","")," ",""),".",""))</f>
        <v/>
      </c>
      <c r="I5615" s="10" t="str">
        <f aca="false">IF($D5615="","",SUBSTITUTE(SUBSTITUTE(SUBSTITUTE($D5615,"-","")," ",""),".",""))</f>
        <v/>
      </c>
      <c r="J5615" s="10" t="str">
        <f aca="false">IF($E5615="","",UPPER(SUBSTITUTE($E5615," ","")))</f>
        <v/>
      </c>
      <c r="K5615" s="10" t="str">
        <f aca="false">IF($A5615="","",$G5615&amp;"|"&amp;$J5615)</f>
        <v/>
      </c>
      <c r="L5615" s="10" t="str">
        <f aca="false">IF($A5615="","",ROW()-2)</f>
        <v/>
      </c>
      <c r="M5615" s="10" t="str">
        <f aca="false">IF($A5615="","",ROW())</f>
        <v/>
      </c>
    </row>
    <row r="5616" customFormat="false" ht="15" hidden="false" customHeight="true" outlineLevel="0" collapsed="false">
      <c r="A5616" s="8"/>
      <c r="B5616" s="8"/>
      <c r="C5616" s="8"/>
      <c r="D5616" s="8"/>
      <c r="E5616" s="8"/>
      <c r="F5616" s="8"/>
      <c r="G5616" s="10" t="str">
        <f aca="false">IF($A5616="","",UPPER(SUBSTITUTE(SUBSTITUTE(SUBSTITUTE(SUBSTITUTE($A5616," ",""),"(주)",""),"주식회사",""),"㈜","")))</f>
        <v/>
      </c>
      <c r="H5616" s="10" t="str">
        <f aca="false">IF($B5616="","",SUBSTITUTE(SUBSTITUTE(SUBSTITUTE($B5616,"-","")," ",""),".",""))</f>
        <v/>
      </c>
      <c r="I5616" s="10" t="str">
        <f aca="false">IF($D5616="","",SUBSTITUTE(SUBSTITUTE(SUBSTITUTE($D5616,"-","")," ",""),".",""))</f>
        <v/>
      </c>
      <c r="J5616" s="10" t="str">
        <f aca="false">IF($E5616="","",UPPER(SUBSTITUTE($E5616," ","")))</f>
        <v/>
      </c>
      <c r="K5616" s="10" t="str">
        <f aca="false">IF($A5616="","",$G5616&amp;"|"&amp;$J5616)</f>
        <v/>
      </c>
      <c r="L5616" s="10" t="str">
        <f aca="false">IF($A5616="","",ROW()-2)</f>
        <v/>
      </c>
      <c r="M5616" s="10" t="str">
        <f aca="false">IF($A5616="","",ROW())</f>
        <v/>
      </c>
    </row>
    <row r="5617" customFormat="false" ht="15" hidden="false" customHeight="true" outlineLevel="0" collapsed="false">
      <c r="A5617" s="8"/>
      <c r="B5617" s="8"/>
      <c r="C5617" s="8"/>
      <c r="D5617" s="8"/>
      <c r="E5617" s="8"/>
      <c r="F5617" s="8"/>
      <c r="G5617" s="10" t="str">
        <f aca="false">IF($A5617="","",UPPER(SUBSTITUTE(SUBSTITUTE(SUBSTITUTE(SUBSTITUTE($A5617," ",""),"(주)",""),"주식회사",""),"㈜","")))</f>
        <v/>
      </c>
      <c r="H5617" s="10" t="str">
        <f aca="false">IF($B5617="","",SUBSTITUTE(SUBSTITUTE(SUBSTITUTE($B5617,"-","")," ",""),".",""))</f>
        <v/>
      </c>
      <c r="I5617" s="10" t="str">
        <f aca="false">IF($D5617="","",SUBSTITUTE(SUBSTITUTE(SUBSTITUTE($D5617,"-","")," ",""),".",""))</f>
        <v/>
      </c>
      <c r="J5617" s="10" t="str">
        <f aca="false">IF($E5617="","",UPPER(SUBSTITUTE($E5617," ","")))</f>
        <v/>
      </c>
      <c r="K5617" s="10" t="str">
        <f aca="false">IF($A5617="","",$G5617&amp;"|"&amp;$J5617)</f>
        <v/>
      </c>
      <c r="L5617" s="10" t="str">
        <f aca="false">IF($A5617="","",ROW()-2)</f>
        <v/>
      </c>
      <c r="M5617" s="10" t="str">
        <f aca="false">IF($A5617="","",ROW())</f>
        <v/>
      </c>
    </row>
    <row r="5618" customFormat="false" ht="15" hidden="false" customHeight="true" outlineLevel="0" collapsed="false">
      <c r="A5618" s="8"/>
      <c r="B5618" s="8"/>
      <c r="C5618" s="8"/>
      <c r="D5618" s="8"/>
      <c r="E5618" s="8"/>
      <c r="F5618" s="8"/>
      <c r="G5618" s="10" t="str">
        <f aca="false">IF($A5618="","",UPPER(SUBSTITUTE(SUBSTITUTE(SUBSTITUTE(SUBSTITUTE($A5618," ",""),"(주)",""),"주식회사",""),"㈜","")))</f>
        <v/>
      </c>
      <c r="H5618" s="10" t="str">
        <f aca="false">IF($B5618="","",SUBSTITUTE(SUBSTITUTE(SUBSTITUTE($B5618,"-","")," ",""),".",""))</f>
        <v/>
      </c>
      <c r="I5618" s="10" t="str">
        <f aca="false">IF($D5618="","",SUBSTITUTE(SUBSTITUTE(SUBSTITUTE($D5618,"-","")," ",""),".",""))</f>
        <v/>
      </c>
      <c r="J5618" s="10" t="str">
        <f aca="false">IF($E5618="","",UPPER(SUBSTITUTE($E5618," ","")))</f>
        <v/>
      </c>
      <c r="K5618" s="10" t="str">
        <f aca="false">IF($A5618="","",$G5618&amp;"|"&amp;$J5618)</f>
        <v/>
      </c>
      <c r="L5618" s="10" t="str">
        <f aca="false">IF($A5618="","",ROW()-2)</f>
        <v/>
      </c>
      <c r="M5618" s="10" t="str">
        <f aca="false">IF($A5618="","",ROW())</f>
        <v/>
      </c>
    </row>
    <row r="5619" customFormat="false" ht="15" hidden="false" customHeight="true" outlineLevel="0" collapsed="false">
      <c r="A5619" s="8"/>
      <c r="B5619" s="8"/>
      <c r="C5619" s="8"/>
      <c r="D5619" s="8"/>
      <c r="E5619" s="8"/>
      <c r="F5619" s="8"/>
      <c r="G5619" s="10" t="str">
        <f aca="false">IF($A5619="","",UPPER(SUBSTITUTE(SUBSTITUTE(SUBSTITUTE(SUBSTITUTE($A5619," ",""),"(주)",""),"주식회사",""),"㈜","")))</f>
        <v/>
      </c>
      <c r="H5619" s="10" t="str">
        <f aca="false">IF($B5619="","",SUBSTITUTE(SUBSTITUTE(SUBSTITUTE($B5619,"-","")," ",""),".",""))</f>
        <v/>
      </c>
      <c r="I5619" s="10" t="str">
        <f aca="false">IF($D5619="","",SUBSTITUTE(SUBSTITUTE(SUBSTITUTE($D5619,"-","")," ",""),".",""))</f>
        <v/>
      </c>
      <c r="J5619" s="10" t="str">
        <f aca="false">IF($E5619="","",UPPER(SUBSTITUTE($E5619," ","")))</f>
        <v/>
      </c>
      <c r="K5619" s="10" t="str">
        <f aca="false">IF($A5619="","",$G5619&amp;"|"&amp;$J5619)</f>
        <v/>
      </c>
      <c r="L5619" s="10" t="str">
        <f aca="false">IF($A5619="","",ROW()-2)</f>
        <v/>
      </c>
      <c r="M5619" s="10" t="str">
        <f aca="false">IF($A5619="","",ROW())</f>
        <v/>
      </c>
    </row>
    <row r="5620" customFormat="false" ht="15" hidden="false" customHeight="true" outlineLevel="0" collapsed="false">
      <c r="A5620" s="8"/>
      <c r="B5620" s="8"/>
      <c r="C5620" s="8"/>
      <c r="D5620" s="8"/>
      <c r="E5620" s="8"/>
      <c r="F5620" s="8"/>
      <c r="G5620" s="10" t="str">
        <f aca="false">IF($A5620="","",UPPER(SUBSTITUTE(SUBSTITUTE(SUBSTITUTE(SUBSTITUTE($A5620," ",""),"(주)",""),"주식회사",""),"㈜","")))</f>
        <v/>
      </c>
      <c r="H5620" s="10" t="str">
        <f aca="false">IF($B5620="","",SUBSTITUTE(SUBSTITUTE(SUBSTITUTE($B5620,"-","")," ",""),".",""))</f>
        <v/>
      </c>
      <c r="I5620" s="10" t="str">
        <f aca="false">IF($D5620="","",SUBSTITUTE(SUBSTITUTE(SUBSTITUTE($D5620,"-","")," ",""),".",""))</f>
        <v/>
      </c>
      <c r="J5620" s="10" t="str">
        <f aca="false">IF($E5620="","",UPPER(SUBSTITUTE($E5620," ","")))</f>
        <v/>
      </c>
      <c r="K5620" s="10" t="str">
        <f aca="false">IF($A5620="","",$G5620&amp;"|"&amp;$J5620)</f>
        <v/>
      </c>
      <c r="L5620" s="10" t="str">
        <f aca="false">IF($A5620="","",ROW()-2)</f>
        <v/>
      </c>
      <c r="M5620" s="10" t="str">
        <f aca="false">IF($A5620="","",ROW())</f>
        <v/>
      </c>
    </row>
    <row r="5621" customFormat="false" ht="15" hidden="false" customHeight="true" outlineLevel="0" collapsed="false">
      <c r="A5621" s="8"/>
      <c r="B5621" s="8"/>
      <c r="C5621" s="8"/>
      <c r="D5621" s="8"/>
      <c r="E5621" s="8"/>
      <c r="F5621" s="8"/>
      <c r="G5621" s="10" t="str">
        <f aca="false">IF($A5621="","",UPPER(SUBSTITUTE(SUBSTITUTE(SUBSTITUTE(SUBSTITUTE($A5621," ",""),"(주)",""),"주식회사",""),"㈜","")))</f>
        <v/>
      </c>
      <c r="H5621" s="10" t="str">
        <f aca="false">IF($B5621="","",SUBSTITUTE(SUBSTITUTE(SUBSTITUTE($B5621,"-","")," ",""),".",""))</f>
        <v/>
      </c>
      <c r="I5621" s="10" t="str">
        <f aca="false">IF($D5621="","",SUBSTITUTE(SUBSTITUTE(SUBSTITUTE($D5621,"-","")," ",""),".",""))</f>
        <v/>
      </c>
      <c r="J5621" s="10" t="str">
        <f aca="false">IF($E5621="","",UPPER(SUBSTITUTE($E5621," ","")))</f>
        <v/>
      </c>
      <c r="K5621" s="10" t="str">
        <f aca="false">IF($A5621="","",$G5621&amp;"|"&amp;$J5621)</f>
        <v/>
      </c>
      <c r="L5621" s="10" t="str">
        <f aca="false">IF($A5621="","",ROW()-2)</f>
        <v/>
      </c>
      <c r="M5621" s="10" t="str">
        <f aca="false">IF($A5621="","",ROW())</f>
        <v/>
      </c>
    </row>
    <row r="5622" customFormat="false" ht="15" hidden="false" customHeight="true" outlineLevel="0" collapsed="false">
      <c r="A5622" s="8"/>
      <c r="B5622" s="8"/>
      <c r="C5622" s="8"/>
      <c r="D5622" s="8"/>
      <c r="E5622" s="8"/>
      <c r="F5622" s="8"/>
      <c r="G5622" s="10" t="str">
        <f aca="false">IF($A5622="","",UPPER(SUBSTITUTE(SUBSTITUTE(SUBSTITUTE(SUBSTITUTE($A5622," ",""),"(주)",""),"주식회사",""),"㈜","")))</f>
        <v/>
      </c>
      <c r="H5622" s="10" t="str">
        <f aca="false">IF($B5622="","",SUBSTITUTE(SUBSTITUTE(SUBSTITUTE($B5622,"-","")," ",""),".",""))</f>
        <v/>
      </c>
      <c r="I5622" s="10" t="str">
        <f aca="false">IF($D5622="","",SUBSTITUTE(SUBSTITUTE(SUBSTITUTE($D5622,"-","")," ",""),".",""))</f>
        <v/>
      </c>
      <c r="J5622" s="10" t="str">
        <f aca="false">IF($E5622="","",UPPER(SUBSTITUTE($E5622," ","")))</f>
        <v/>
      </c>
      <c r="K5622" s="10" t="str">
        <f aca="false">IF($A5622="","",$G5622&amp;"|"&amp;$J5622)</f>
        <v/>
      </c>
      <c r="L5622" s="10" t="str">
        <f aca="false">IF($A5622="","",ROW()-2)</f>
        <v/>
      </c>
      <c r="M5622" s="10" t="str">
        <f aca="false">IF($A5622="","",ROW())</f>
        <v/>
      </c>
    </row>
    <row r="5623" customFormat="false" ht="15" hidden="false" customHeight="true" outlineLevel="0" collapsed="false">
      <c r="A5623" s="8"/>
      <c r="B5623" s="8"/>
      <c r="C5623" s="8"/>
      <c r="D5623" s="8"/>
      <c r="E5623" s="8"/>
      <c r="F5623" s="8"/>
      <c r="G5623" s="10" t="str">
        <f aca="false">IF($A5623="","",UPPER(SUBSTITUTE(SUBSTITUTE(SUBSTITUTE(SUBSTITUTE($A5623," ",""),"(주)",""),"주식회사",""),"㈜","")))</f>
        <v/>
      </c>
      <c r="H5623" s="10" t="str">
        <f aca="false">IF($B5623="","",SUBSTITUTE(SUBSTITUTE(SUBSTITUTE($B5623,"-","")," ",""),".",""))</f>
        <v/>
      </c>
      <c r="I5623" s="10" t="str">
        <f aca="false">IF($D5623="","",SUBSTITUTE(SUBSTITUTE(SUBSTITUTE($D5623,"-","")," ",""),".",""))</f>
        <v/>
      </c>
      <c r="J5623" s="10" t="str">
        <f aca="false">IF($E5623="","",UPPER(SUBSTITUTE($E5623," ","")))</f>
        <v/>
      </c>
      <c r="K5623" s="10" t="str">
        <f aca="false">IF($A5623="","",$G5623&amp;"|"&amp;$J5623)</f>
        <v/>
      </c>
      <c r="L5623" s="10" t="str">
        <f aca="false">IF($A5623="","",ROW()-2)</f>
        <v/>
      </c>
      <c r="M5623" s="10" t="str">
        <f aca="false">IF($A5623="","",ROW())</f>
        <v/>
      </c>
    </row>
    <row r="5624" customFormat="false" ht="15" hidden="false" customHeight="true" outlineLevel="0" collapsed="false">
      <c r="A5624" s="8"/>
      <c r="B5624" s="8"/>
      <c r="C5624" s="8"/>
      <c r="D5624" s="8"/>
      <c r="E5624" s="8"/>
      <c r="F5624" s="8"/>
      <c r="G5624" s="10" t="str">
        <f aca="false">IF($A5624="","",UPPER(SUBSTITUTE(SUBSTITUTE(SUBSTITUTE(SUBSTITUTE($A5624," ",""),"(주)",""),"주식회사",""),"㈜","")))</f>
        <v/>
      </c>
      <c r="H5624" s="10" t="str">
        <f aca="false">IF($B5624="","",SUBSTITUTE(SUBSTITUTE(SUBSTITUTE($B5624,"-","")," ",""),".",""))</f>
        <v/>
      </c>
      <c r="I5624" s="10" t="str">
        <f aca="false">IF($D5624="","",SUBSTITUTE(SUBSTITUTE(SUBSTITUTE($D5624,"-","")," ",""),".",""))</f>
        <v/>
      </c>
      <c r="J5624" s="10" t="str">
        <f aca="false">IF($E5624="","",UPPER(SUBSTITUTE($E5624," ","")))</f>
        <v/>
      </c>
      <c r="K5624" s="10" t="str">
        <f aca="false">IF($A5624="","",$G5624&amp;"|"&amp;$J5624)</f>
        <v/>
      </c>
      <c r="L5624" s="10" t="str">
        <f aca="false">IF($A5624="","",ROW()-2)</f>
        <v/>
      </c>
      <c r="M5624" s="10" t="str">
        <f aca="false">IF($A5624="","",ROW())</f>
        <v/>
      </c>
    </row>
    <row r="5625" customFormat="false" ht="15" hidden="false" customHeight="true" outlineLevel="0" collapsed="false">
      <c r="A5625" s="8"/>
      <c r="B5625" s="8"/>
      <c r="C5625" s="8"/>
      <c r="D5625" s="8"/>
      <c r="E5625" s="8"/>
      <c r="F5625" s="8"/>
      <c r="G5625" s="10" t="str">
        <f aca="false">IF($A5625="","",UPPER(SUBSTITUTE(SUBSTITUTE(SUBSTITUTE(SUBSTITUTE($A5625," ",""),"(주)",""),"주식회사",""),"㈜","")))</f>
        <v/>
      </c>
      <c r="H5625" s="10" t="str">
        <f aca="false">IF($B5625="","",SUBSTITUTE(SUBSTITUTE(SUBSTITUTE($B5625,"-","")," ",""),".",""))</f>
        <v/>
      </c>
      <c r="I5625" s="10" t="str">
        <f aca="false">IF($D5625="","",SUBSTITUTE(SUBSTITUTE(SUBSTITUTE($D5625,"-","")," ",""),".",""))</f>
        <v/>
      </c>
      <c r="J5625" s="10" t="str">
        <f aca="false">IF($E5625="","",UPPER(SUBSTITUTE($E5625," ","")))</f>
        <v/>
      </c>
      <c r="K5625" s="10" t="str">
        <f aca="false">IF($A5625="","",$G5625&amp;"|"&amp;$J5625)</f>
        <v/>
      </c>
      <c r="L5625" s="10" t="str">
        <f aca="false">IF($A5625="","",ROW()-2)</f>
        <v/>
      </c>
      <c r="M5625" s="10" t="str">
        <f aca="false">IF($A5625="","",ROW())</f>
        <v/>
      </c>
    </row>
    <row r="5626" customFormat="false" ht="15" hidden="false" customHeight="true" outlineLevel="0" collapsed="false">
      <c r="A5626" s="8"/>
      <c r="B5626" s="8"/>
      <c r="C5626" s="8"/>
      <c r="D5626" s="8"/>
      <c r="E5626" s="8"/>
      <c r="F5626" s="8"/>
      <c r="G5626" s="10" t="str">
        <f aca="false">IF($A5626="","",UPPER(SUBSTITUTE(SUBSTITUTE(SUBSTITUTE(SUBSTITUTE($A5626," ",""),"(주)",""),"주식회사",""),"㈜","")))</f>
        <v/>
      </c>
      <c r="H5626" s="10" t="str">
        <f aca="false">IF($B5626="","",SUBSTITUTE(SUBSTITUTE(SUBSTITUTE($B5626,"-","")," ",""),".",""))</f>
        <v/>
      </c>
      <c r="I5626" s="10" t="str">
        <f aca="false">IF($D5626="","",SUBSTITUTE(SUBSTITUTE(SUBSTITUTE($D5626,"-","")," ",""),".",""))</f>
        <v/>
      </c>
      <c r="J5626" s="10" t="str">
        <f aca="false">IF($E5626="","",UPPER(SUBSTITUTE($E5626," ","")))</f>
        <v/>
      </c>
      <c r="K5626" s="10" t="str">
        <f aca="false">IF($A5626="","",$G5626&amp;"|"&amp;$J5626)</f>
        <v/>
      </c>
      <c r="L5626" s="10" t="str">
        <f aca="false">IF($A5626="","",ROW()-2)</f>
        <v/>
      </c>
      <c r="M5626" s="10" t="str">
        <f aca="false">IF($A5626="","",ROW())</f>
        <v/>
      </c>
    </row>
    <row r="5627" customFormat="false" ht="15" hidden="false" customHeight="true" outlineLevel="0" collapsed="false">
      <c r="A5627" s="8"/>
      <c r="B5627" s="8"/>
      <c r="C5627" s="8"/>
      <c r="D5627" s="8"/>
      <c r="E5627" s="8"/>
      <c r="F5627" s="8"/>
      <c r="G5627" s="10" t="str">
        <f aca="false">IF($A5627="","",UPPER(SUBSTITUTE(SUBSTITUTE(SUBSTITUTE(SUBSTITUTE($A5627," ",""),"(주)",""),"주식회사",""),"㈜","")))</f>
        <v/>
      </c>
      <c r="H5627" s="10" t="str">
        <f aca="false">IF($B5627="","",SUBSTITUTE(SUBSTITUTE(SUBSTITUTE($B5627,"-","")," ",""),".",""))</f>
        <v/>
      </c>
      <c r="I5627" s="10" t="str">
        <f aca="false">IF($D5627="","",SUBSTITUTE(SUBSTITUTE(SUBSTITUTE($D5627,"-","")," ",""),".",""))</f>
        <v/>
      </c>
      <c r="J5627" s="10" t="str">
        <f aca="false">IF($E5627="","",UPPER(SUBSTITUTE($E5627," ","")))</f>
        <v/>
      </c>
      <c r="K5627" s="10" t="str">
        <f aca="false">IF($A5627="","",$G5627&amp;"|"&amp;$J5627)</f>
        <v/>
      </c>
      <c r="L5627" s="10" t="str">
        <f aca="false">IF($A5627="","",ROW()-2)</f>
        <v/>
      </c>
      <c r="M5627" s="10" t="str">
        <f aca="false">IF($A5627="","",ROW())</f>
        <v/>
      </c>
    </row>
    <row r="5628" customFormat="false" ht="15" hidden="false" customHeight="true" outlineLevel="0" collapsed="false">
      <c r="A5628" s="8"/>
      <c r="B5628" s="8"/>
      <c r="C5628" s="8"/>
      <c r="D5628" s="8"/>
      <c r="E5628" s="8"/>
      <c r="F5628" s="8"/>
      <c r="G5628" s="10" t="str">
        <f aca="false">IF($A5628="","",UPPER(SUBSTITUTE(SUBSTITUTE(SUBSTITUTE(SUBSTITUTE($A5628," ",""),"(주)",""),"주식회사",""),"㈜","")))</f>
        <v/>
      </c>
      <c r="H5628" s="10" t="str">
        <f aca="false">IF($B5628="","",SUBSTITUTE(SUBSTITUTE(SUBSTITUTE($B5628,"-","")," ",""),".",""))</f>
        <v/>
      </c>
      <c r="I5628" s="10" t="str">
        <f aca="false">IF($D5628="","",SUBSTITUTE(SUBSTITUTE(SUBSTITUTE($D5628,"-","")," ",""),".",""))</f>
        <v/>
      </c>
      <c r="J5628" s="10" t="str">
        <f aca="false">IF($E5628="","",UPPER(SUBSTITUTE($E5628," ","")))</f>
        <v/>
      </c>
      <c r="K5628" s="10" t="str">
        <f aca="false">IF($A5628="","",$G5628&amp;"|"&amp;$J5628)</f>
        <v/>
      </c>
      <c r="L5628" s="10" t="str">
        <f aca="false">IF($A5628="","",ROW()-2)</f>
        <v/>
      </c>
      <c r="M5628" s="10" t="str">
        <f aca="false">IF($A5628="","",ROW())</f>
        <v/>
      </c>
    </row>
    <row r="5629" customFormat="false" ht="15" hidden="false" customHeight="true" outlineLevel="0" collapsed="false">
      <c r="A5629" s="8"/>
      <c r="B5629" s="8"/>
      <c r="C5629" s="8"/>
      <c r="D5629" s="8"/>
      <c r="E5629" s="8"/>
      <c r="F5629" s="8"/>
      <c r="G5629" s="10" t="str">
        <f aca="false">IF($A5629="","",UPPER(SUBSTITUTE(SUBSTITUTE(SUBSTITUTE(SUBSTITUTE($A5629," ",""),"(주)",""),"주식회사",""),"㈜","")))</f>
        <v/>
      </c>
      <c r="H5629" s="10" t="str">
        <f aca="false">IF($B5629="","",SUBSTITUTE(SUBSTITUTE(SUBSTITUTE($B5629,"-","")," ",""),".",""))</f>
        <v/>
      </c>
      <c r="I5629" s="10" t="str">
        <f aca="false">IF($D5629="","",SUBSTITUTE(SUBSTITUTE(SUBSTITUTE($D5629,"-","")," ",""),".",""))</f>
        <v/>
      </c>
      <c r="J5629" s="10" t="str">
        <f aca="false">IF($E5629="","",UPPER(SUBSTITUTE($E5629," ","")))</f>
        <v/>
      </c>
      <c r="K5629" s="10" t="str">
        <f aca="false">IF($A5629="","",$G5629&amp;"|"&amp;$J5629)</f>
        <v/>
      </c>
      <c r="L5629" s="10" t="str">
        <f aca="false">IF($A5629="","",ROW()-2)</f>
        <v/>
      </c>
      <c r="M5629" s="10" t="str">
        <f aca="false">IF($A5629="","",ROW())</f>
        <v/>
      </c>
    </row>
    <row r="5630" customFormat="false" ht="15" hidden="false" customHeight="true" outlineLevel="0" collapsed="false">
      <c r="A5630" s="8"/>
      <c r="B5630" s="8"/>
      <c r="C5630" s="8"/>
      <c r="D5630" s="8"/>
      <c r="E5630" s="8"/>
      <c r="F5630" s="8"/>
      <c r="G5630" s="10" t="str">
        <f aca="false">IF($A5630="","",UPPER(SUBSTITUTE(SUBSTITUTE(SUBSTITUTE(SUBSTITUTE($A5630," ",""),"(주)",""),"주식회사",""),"㈜","")))</f>
        <v/>
      </c>
      <c r="H5630" s="10" t="str">
        <f aca="false">IF($B5630="","",SUBSTITUTE(SUBSTITUTE(SUBSTITUTE($B5630,"-","")," ",""),".",""))</f>
        <v/>
      </c>
      <c r="I5630" s="10" t="str">
        <f aca="false">IF($D5630="","",SUBSTITUTE(SUBSTITUTE(SUBSTITUTE($D5630,"-","")," ",""),".",""))</f>
        <v/>
      </c>
      <c r="J5630" s="10" t="str">
        <f aca="false">IF($E5630="","",UPPER(SUBSTITUTE($E5630," ","")))</f>
        <v/>
      </c>
      <c r="K5630" s="10" t="str">
        <f aca="false">IF($A5630="","",$G5630&amp;"|"&amp;$J5630)</f>
        <v/>
      </c>
      <c r="L5630" s="10" t="str">
        <f aca="false">IF($A5630="","",ROW()-2)</f>
        <v/>
      </c>
      <c r="M5630" s="10" t="str">
        <f aca="false">IF($A5630="","",ROW())</f>
        <v/>
      </c>
    </row>
    <row r="5631" customFormat="false" ht="15" hidden="false" customHeight="true" outlineLevel="0" collapsed="false">
      <c r="A5631" s="8"/>
      <c r="B5631" s="8"/>
      <c r="C5631" s="8"/>
      <c r="D5631" s="8"/>
      <c r="E5631" s="8"/>
      <c r="F5631" s="8"/>
      <c r="G5631" s="10" t="str">
        <f aca="false">IF($A5631="","",UPPER(SUBSTITUTE(SUBSTITUTE(SUBSTITUTE(SUBSTITUTE($A5631," ",""),"(주)",""),"주식회사",""),"㈜","")))</f>
        <v/>
      </c>
      <c r="H5631" s="10" t="str">
        <f aca="false">IF($B5631="","",SUBSTITUTE(SUBSTITUTE(SUBSTITUTE($B5631,"-","")," ",""),".",""))</f>
        <v/>
      </c>
      <c r="I5631" s="10" t="str">
        <f aca="false">IF($D5631="","",SUBSTITUTE(SUBSTITUTE(SUBSTITUTE($D5631,"-","")," ",""),".",""))</f>
        <v/>
      </c>
      <c r="J5631" s="10" t="str">
        <f aca="false">IF($E5631="","",UPPER(SUBSTITUTE($E5631," ","")))</f>
        <v/>
      </c>
      <c r="K5631" s="10" t="str">
        <f aca="false">IF($A5631="","",$G5631&amp;"|"&amp;$J5631)</f>
        <v/>
      </c>
      <c r="L5631" s="10" t="str">
        <f aca="false">IF($A5631="","",ROW()-2)</f>
        <v/>
      </c>
      <c r="M5631" s="10" t="str">
        <f aca="false">IF($A5631="","",ROW())</f>
        <v/>
      </c>
    </row>
    <row r="5632" customFormat="false" ht="15" hidden="false" customHeight="true" outlineLevel="0" collapsed="false">
      <c r="A5632" s="8"/>
      <c r="B5632" s="8"/>
      <c r="C5632" s="8"/>
      <c r="D5632" s="8"/>
      <c r="E5632" s="8"/>
      <c r="F5632" s="8"/>
      <c r="G5632" s="10" t="str">
        <f aca="false">IF($A5632="","",UPPER(SUBSTITUTE(SUBSTITUTE(SUBSTITUTE(SUBSTITUTE($A5632," ",""),"(주)",""),"주식회사",""),"㈜","")))</f>
        <v/>
      </c>
      <c r="H5632" s="10" t="str">
        <f aca="false">IF($B5632="","",SUBSTITUTE(SUBSTITUTE(SUBSTITUTE($B5632,"-","")," ",""),".",""))</f>
        <v/>
      </c>
      <c r="I5632" s="10" t="str">
        <f aca="false">IF($D5632="","",SUBSTITUTE(SUBSTITUTE(SUBSTITUTE($D5632,"-","")," ",""),".",""))</f>
        <v/>
      </c>
      <c r="J5632" s="10" t="str">
        <f aca="false">IF($E5632="","",UPPER(SUBSTITUTE($E5632," ","")))</f>
        <v/>
      </c>
      <c r="K5632" s="10" t="str">
        <f aca="false">IF($A5632="","",$G5632&amp;"|"&amp;$J5632)</f>
        <v/>
      </c>
      <c r="L5632" s="10" t="str">
        <f aca="false">IF($A5632="","",ROW()-2)</f>
        <v/>
      </c>
      <c r="M5632" s="10" t="str">
        <f aca="false">IF($A5632="","",ROW())</f>
        <v/>
      </c>
    </row>
    <row r="5633" customFormat="false" ht="15" hidden="false" customHeight="true" outlineLevel="0" collapsed="false">
      <c r="A5633" s="8"/>
      <c r="B5633" s="8"/>
      <c r="C5633" s="8"/>
      <c r="D5633" s="8"/>
      <c r="E5633" s="8"/>
      <c r="F5633" s="8"/>
      <c r="G5633" s="10" t="str">
        <f aca="false">IF($A5633="","",UPPER(SUBSTITUTE(SUBSTITUTE(SUBSTITUTE(SUBSTITUTE($A5633," ",""),"(주)",""),"주식회사",""),"㈜","")))</f>
        <v/>
      </c>
      <c r="H5633" s="10" t="str">
        <f aca="false">IF($B5633="","",SUBSTITUTE(SUBSTITUTE(SUBSTITUTE($B5633,"-","")," ",""),".",""))</f>
        <v/>
      </c>
      <c r="I5633" s="10" t="str">
        <f aca="false">IF($D5633="","",SUBSTITUTE(SUBSTITUTE(SUBSTITUTE($D5633,"-","")," ",""),".",""))</f>
        <v/>
      </c>
      <c r="J5633" s="10" t="str">
        <f aca="false">IF($E5633="","",UPPER(SUBSTITUTE($E5633," ","")))</f>
        <v/>
      </c>
      <c r="K5633" s="10" t="str">
        <f aca="false">IF($A5633="","",$G5633&amp;"|"&amp;$J5633)</f>
        <v/>
      </c>
      <c r="L5633" s="10" t="str">
        <f aca="false">IF($A5633="","",ROW()-2)</f>
        <v/>
      </c>
      <c r="M5633" s="10" t="str">
        <f aca="false">IF($A5633="","",ROW())</f>
        <v/>
      </c>
    </row>
    <row r="5634" customFormat="false" ht="15" hidden="false" customHeight="true" outlineLevel="0" collapsed="false">
      <c r="A5634" s="8"/>
      <c r="B5634" s="8"/>
      <c r="C5634" s="8"/>
      <c r="D5634" s="8"/>
      <c r="E5634" s="8"/>
      <c r="F5634" s="8"/>
      <c r="G5634" s="10" t="str">
        <f aca="false">IF($A5634="","",UPPER(SUBSTITUTE(SUBSTITUTE(SUBSTITUTE(SUBSTITUTE($A5634," ",""),"(주)",""),"주식회사",""),"㈜","")))</f>
        <v/>
      </c>
      <c r="H5634" s="10" t="str">
        <f aca="false">IF($B5634="","",SUBSTITUTE(SUBSTITUTE(SUBSTITUTE($B5634,"-","")," ",""),".",""))</f>
        <v/>
      </c>
      <c r="I5634" s="10" t="str">
        <f aca="false">IF($D5634="","",SUBSTITUTE(SUBSTITUTE(SUBSTITUTE($D5634,"-","")," ",""),".",""))</f>
        <v/>
      </c>
      <c r="J5634" s="10" t="str">
        <f aca="false">IF($E5634="","",UPPER(SUBSTITUTE($E5634," ","")))</f>
        <v/>
      </c>
      <c r="K5634" s="10" t="str">
        <f aca="false">IF($A5634="","",$G5634&amp;"|"&amp;$J5634)</f>
        <v/>
      </c>
      <c r="L5634" s="10" t="str">
        <f aca="false">IF($A5634="","",ROW()-2)</f>
        <v/>
      </c>
      <c r="M5634" s="10" t="str">
        <f aca="false">IF($A5634="","",ROW())</f>
        <v/>
      </c>
    </row>
    <row r="5635" customFormat="false" ht="15" hidden="false" customHeight="true" outlineLevel="0" collapsed="false">
      <c r="A5635" s="8"/>
      <c r="B5635" s="8"/>
      <c r="C5635" s="8"/>
      <c r="D5635" s="8"/>
      <c r="E5635" s="8"/>
      <c r="F5635" s="8"/>
      <c r="G5635" s="10" t="str">
        <f aca="false">IF($A5635="","",UPPER(SUBSTITUTE(SUBSTITUTE(SUBSTITUTE(SUBSTITUTE($A5635," ",""),"(주)",""),"주식회사",""),"㈜","")))</f>
        <v/>
      </c>
      <c r="H5635" s="10" t="str">
        <f aca="false">IF($B5635="","",SUBSTITUTE(SUBSTITUTE(SUBSTITUTE($B5635,"-","")," ",""),".",""))</f>
        <v/>
      </c>
      <c r="I5635" s="10" t="str">
        <f aca="false">IF($D5635="","",SUBSTITUTE(SUBSTITUTE(SUBSTITUTE($D5635,"-","")," ",""),".",""))</f>
        <v/>
      </c>
      <c r="J5635" s="10" t="str">
        <f aca="false">IF($E5635="","",UPPER(SUBSTITUTE($E5635," ","")))</f>
        <v/>
      </c>
      <c r="K5635" s="10" t="str">
        <f aca="false">IF($A5635="","",$G5635&amp;"|"&amp;$J5635)</f>
        <v/>
      </c>
      <c r="L5635" s="10" t="str">
        <f aca="false">IF($A5635="","",ROW()-2)</f>
        <v/>
      </c>
      <c r="M5635" s="10" t="str">
        <f aca="false">IF($A5635="","",ROW())</f>
        <v/>
      </c>
    </row>
    <row r="5636" customFormat="false" ht="15" hidden="false" customHeight="true" outlineLevel="0" collapsed="false">
      <c r="A5636" s="8"/>
      <c r="B5636" s="8"/>
      <c r="C5636" s="8"/>
      <c r="D5636" s="8"/>
      <c r="E5636" s="8"/>
      <c r="F5636" s="8"/>
      <c r="G5636" s="10" t="str">
        <f aca="false">IF($A5636="","",UPPER(SUBSTITUTE(SUBSTITUTE(SUBSTITUTE(SUBSTITUTE($A5636," ",""),"(주)",""),"주식회사",""),"㈜","")))</f>
        <v/>
      </c>
      <c r="H5636" s="10" t="str">
        <f aca="false">IF($B5636="","",SUBSTITUTE(SUBSTITUTE(SUBSTITUTE($B5636,"-","")," ",""),".",""))</f>
        <v/>
      </c>
      <c r="I5636" s="10" t="str">
        <f aca="false">IF($D5636="","",SUBSTITUTE(SUBSTITUTE(SUBSTITUTE($D5636,"-","")," ",""),".",""))</f>
        <v/>
      </c>
      <c r="J5636" s="10" t="str">
        <f aca="false">IF($E5636="","",UPPER(SUBSTITUTE($E5636," ","")))</f>
        <v/>
      </c>
      <c r="K5636" s="10" t="str">
        <f aca="false">IF($A5636="","",$G5636&amp;"|"&amp;$J5636)</f>
        <v/>
      </c>
      <c r="L5636" s="10" t="str">
        <f aca="false">IF($A5636="","",ROW()-2)</f>
        <v/>
      </c>
      <c r="M5636" s="10" t="str">
        <f aca="false">IF($A5636="","",ROW())</f>
        <v/>
      </c>
    </row>
    <row r="5637" customFormat="false" ht="15" hidden="false" customHeight="true" outlineLevel="0" collapsed="false">
      <c r="A5637" s="8"/>
      <c r="B5637" s="8"/>
      <c r="C5637" s="8"/>
      <c r="D5637" s="8"/>
      <c r="E5637" s="8"/>
      <c r="F5637" s="8"/>
      <c r="G5637" s="10" t="str">
        <f aca="false">IF($A5637="","",UPPER(SUBSTITUTE(SUBSTITUTE(SUBSTITUTE(SUBSTITUTE($A5637," ",""),"(주)",""),"주식회사",""),"㈜","")))</f>
        <v/>
      </c>
      <c r="H5637" s="10" t="str">
        <f aca="false">IF($B5637="","",SUBSTITUTE(SUBSTITUTE(SUBSTITUTE($B5637,"-","")," ",""),".",""))</f>
        <v/>
      </c>
      <c r="I5637" s="10" t="str">
        <f aca="false">IF($D5637="","",SUBSTITUTE(SUBSTITUTE(SUBSTITUTE($D5637,"-","")," ",""),".",""))</f>
        <v/>
      </c>
      <c r="J5637" s="10" t="str">
        <f aca="false">IF($E5637="","",UPPER(SUBSTITUTE($E5637," ","")))</f>
        <v/>
      </c>
      <c r="K5637" s="10" t="str">
        <f aca="false">IF($A5637="","",$G5637&amp;"|"&amp;$J5637)</f>
        <v/>
      </c>
      <c r="L5637" s="10" t="str">
        <f aca="false">IF($A5637="","",ROW()-2)</f>
        <v/>
      </c>
      <c r="M5637" s="10" t="str">
        <f aca="false">IF($A5637="","",ROW())</f>
        <v/>
      </c>
    </row>
    <row r="5638" customFormat="false" ht="15" hidden="false" customHeight="true" outlineLevel="0" collapsed="false">
      <c r="A5638" s="8"/>
      <c r="B5638" s="8"/>
      <c r="C5638" s="8"/>
      <c r="D5638" s="8"/>
      <c r="E5638" s="8"/>
      <c r="F5638" s="8"/>
      <c r="G5638" s="10" t="str">
        <f aca="false">IF($A5638="","",UPPER(SUBSTITUTE(SUBSTITUTE(SUBSTITUTE(SUBSTITUTE($A5638," ",""),"(주)",""),"주식회사",""),"㈜","")))</f>
        <v/>
      </c>
      <c r="H5638" s="10" t="str">
        <f aca="false">IF($B5638="","",SUBSTITUTE(SUBSTITUTE(SUBSTITUTE($B5638,"-","")," ",""),".",""))</f>
        <v/>
      </c>
      <c r="I5638" s="10" t="str">
        <f aca="false">IF($D5638="","",SUBSTITUTE(SUBSTITUTE(SUBSTITUTE($D5638,"-","")," ",""),".",""))</f>
        <v/>
      </c>
      <c r="J5638" s="10" t="str">
        <f aca="false">IF($E5638="","",UPPER(SUBSTITUTE($E5638," ","")))</f>
        <v/>
      </c>
      <c r="K5638" s="10" t="str">
        <f aca="false">IF($A5638="","",$G5638&amp;"|"&amp;$J5638)</f>
        <v/>
      </c>
      <c r="L5638" s="10" t="str">
        <f aca="false">IF($A5638="","",ROW()-2)</f>
        <v/>
      </c>
      <c r="M5638" s="10" t="str">
        <f aca="false">IF($A5638="","",ROW())</f>
        <v/>
      </c>
    </row>
    <row r="5639" customFormat="false" ht="15" hidden="false" customHeight="true" outlineLevel="0" collapsed="false">
      <c r="A5639" s="8"/>
      <c r="B5639" s="8"/>
      <c r="C5639" s="8"/>
      <c r="D5639" s="8"/>
      <c r="E5639" s="8"/>
      <c r="F5639" s="8"/>
      <c r="G5639" s="10" t="str">
        <f aca="false">IF($A5639="","",UPPER(SUBSTITUTE(SUBSTITUTE(SUBSTITUTE(SUBSTITUTE($A5639," ",""),"(주)",""),"주식회사",""),"㈜","")))</f>
        <v/>
      </c>
      <c r="H5639" s="10" t="str">
        <f aca="false">IF($B5639="","",SUBSTITUTE(SUBSTITUTE(SUBSTITUTE($B5639,"-","")," ",""),".",""))</f>
        <v/>
      </c>
      <c r="I5639" s="10" t="str">
        <f aca="false">IF($D5639="","",SUBSTITUTE(SUBSTITUTE(SUBSTITUTE($D5639,"-","")," ",""),".",""))</f>
        <v/>
      </c>
      <c r="J5639" s="10" t="str">
        <f aca="false">IF($E5639="","",UPPER(SUBSTITUTE($E5639," ","")))</f>
        <v/>
      </c>
      <c r="K5639" s="10" t="str">
        <f aca="false">IF($A5639="","",$G5639&amp;"|"&amp;$J5639)</f>
        <v/>
      </c>
      <c r="L5639" s="10" t="str">
        <f aca="false">IF($A5639="","",ROW()-2)</f>
        <v/>
      </c>
      <c r="M5639" s="10" t="str">
        <f aca="false">IF($A5639="","",ROW())</f>
        <v/>
      </c>
    </row>
    <row r="5640" customFormat="false" ht="15" hidden="false" customHeight="true" outlineLevel="0" collapsed="false">
      <c r="A5640" s="8"/>
      <c r="B5640" s="8"/>
      <c r="C5640" s="8"/>
      <c r="D5640" s="8"/>
      <c r="E5640" s="8"/>
      <c r="F5640" s="8"/>
      <c r="G5640" s="10" t="str">
        <f aca="false">IF($A5640="","",UPPER(SUBSTITUTE(SUBSTITUTE(SUBSTITUTE(SUBSTITUTE($A5640," ",""),"(주)",""),"주식회사",""),"㈜","")))</f>
        <v/>
      </c>
      <c r="H5640" s="10" t="str">
        <f aca="false">IF($B5640="","",SUBSTITUTE(SUBSTITUTE(SUBSTITUTE($B5640,"-","")," ",""),".",""))</f>
        <v/>
      </c>
      <c r="I5640" s="10" t="str">
        <f aca="false">IF($D5640="","",SUBSTITUTE(SUBSTITUTE(SUBSTITUTE($D5640,"-","")," ",""),".",""))</f>
        <v/>
      </c>
      <c r="J5640" s="10" t="str">
        <f aca="false">IF($E5640="","",UPPER(SUBSTITUTE($E5640," ","")))</f>
        <v/>
      </c>
      <c r="K5640" s="10" t="str">
        <f aca="false">IF($A5640="","",$G5640&amp;"|"&amp;$J5640)</f>
        <v/>
      </c>
      <c r="L5640" s="10" t="str">
        <f aca="false">IF($A5640="","",ROW()-2)</f>
        <v/>
      </c>
      <c r="M5640" s="10" t="str">
        <f aca="false">IF($A5640="","",ROW())</f>
        <v/>
      </c>
    </row>
    <row r="5641" customFormat="false" ht="15" hidden="false" customHeight="true" outlineLevel="0" collapsed="false">
      <c r="A5641" s="8"/>
      <c r="B5641" s="8"/>
      <c r="C5641" s="8"/>
      <c r="D5641" s="8"/>
      <c r="E5641" s="8"/>
      <c r="F5641" s="8"/>
      <c r="G5641" s="10" t="str">
        <f aca="false">IF($A5641="","",UPPER(SUBSTITUTE(SUBSTITUTE(SUBSTITUTE(SUBSTITUTE($A5641," ",""),"(주)",""),"주식회사",""),"㈜","")))</f>
        <v/>
      </c>
      <c r="H5641" s="10" t="str">
        <f aca="false">IF($B5641="","",SUBSTITUTE(SUBSTITUTE(SUBSTITUTE($B5641,"-","")," ",""),".",""))</f>
        <v/>
      </c>
      <c r="I5641" s="10" t="str">
        <f aca="false">IF($D5641="","",SUBSTITUTE(SUBSTITUTE(SUBSTITUTE($D5641,"-","")," ",""),".",""))</f>
        <v/>
      </c>
      <c r="J5641" s="10" t="str">
        <f aca="false">IF($E5641="","",UPPER(SUBSTITUTE($E5641," ","")))</f>
        <v/>
      </c>
      <c r="K5641" s="10" t="str">
        <f aca="false">IF($A5641="","",$G5641&amp;"|"&amp;$J5641)</f>
        <v/>
      </c>
      <c r="L5641" s="10" t="str">
        <f aca="false">IF($A5641="","",ROW()-2)</f>
        <v/>
      </c>
      <c r="M5641" s="10" t="str">
        <f aca="false">IF($A5641="","",ROW())</f>
        <v/>
      </c>
    </row>
    <row r="5642" customFormat="false" ht="15" hidden="false" customHeight="true" outlineLevel="0" collapsed="false">
      <c r="A5642" s="8"/>
      <c r="B5642" s="8"/>
      <c r="C5642" s="8"/>
      <c r="D5642" s="8"/>
      <c r="E5642" s="8"/>
      <c r="F5642" s="8"/>
      <c r="G5642" s="10" t="str">
        <f aca="false">IF($A5642="","",UPPER(SUBSTITUTE(SUBSTITUTE(SUBSTITUTE(SUBSTITUTE($A5642," ",""),"(주)",""),"주식회사",""),"㈜","")))</f>
        <v/>
      </c>
      <c r="H5642" s="10" t="str">
        <f aca="false">IF($B5642="","",SUBSTITUTE(SUBSTITUTE(SUBSTITUTE($B5642,"-","")," ",""),".",""))</f>
        <v/>
      </c>
      <c r="I5642" s="10" t="str">
        <f aca="false">IF($D5642="","",SUBSTITUTE(SUBSTITUTE(SUBSTITUTE($D5642,"-","")," ",""),".",""))</f>
        <v/>
      </c>
      <c r="J5642" s="10" t="str">
        <f aca="false">IF($E5642="","",UPPER(SUBSTITUTE($E5642," ","")))</f>
        <v/>
      </c>
      <c r="K5642" s="10" t="str">
        <f aca="false">IF($A5642="","",$G5642&amp;"|"&amp;$J5642)</f>
        <v/>
      </c>
      <c r="L5642" s="10" t="str">
        <f aca="false">IF($A5642="","",ROW()-2)</f>
        <v/>
      </c>
      <c r="M5642" s="10" t="str">
        <f aca="false">IF($A5642="","",ROW())</f>
        <v/>
      </c>
    </row>
    <row r="5643" customFormat="false" ht="15" hidden="false" customHeight="true" outlineLevel="0" collapsed="false">
      <c r="A5643" s="8"/>
      <c r="B5643" s="8"/>
      <c r="C5643" s="8"/>
      <c r="D5643" s="8"/>
      <c r="E5643" s="8"/>
      <c r="F5643" s="8"/>
      <c r="G5643" s="10" t="str">
        <f aca="false">IF($A5643="","",UPPER(SUBSTITUTE(SUBSTITUTE(SUBSTITUTE(SUBSTITUTE($A5643," ",""),"(주)",""),"주식회사",""),"㈜","")))</f>
        <v/>
      </c>
      <c r="H5643" s="10" t="str">
        <f aca="false">IF($B5643="","",SUBSTITUTE(SUBSTITUTE(SUBSTITUTE($B5643,"-","")," ",""),".",""))</f>
        <v/>
      </c>
      <c r="I5643" s="10" t="str">
        <f aca="false">IF($D5643="","",SUBSTITUTE(SUBSTITUTE(SUBSTITUTE($D5643,"-","")," ",""),".",""))</f>
        <v/>
      </c>
      <c r="J5643" s="10" t="str">
        <f aca="false">IF($E5643="","",UPPER(SUBSTITUTE($E5643," ","")))</f>
        <v/>
      </c>
      <c r="K5643" s="10" t="str">
        <f aca="false">IF($A5643="","",$G5643&amp;"|"&amp;$J5643)</f>
        <v/>
      </c>
      <c r="L5643" s="10" t="str">
        <f aca="false">IF($A5643="","",ROW()-2)</f>
        <v/>
      </c>
      <c r="M5643" s="10" t="str">
        <f aca="false">IF($A5643="","",ROW())</f>
        <v/>
      </c>
    </row>
    <row r="5644" customFormat="false" ht="15" hidden="false" customHeight="true" outlineLevel="0" collapsed="false">
      <c r="A5644" s="8"/>
      <c r="B5644" s="8"/>
      <c r="C5644" s="8"/>
      <c r="D5644" s="8"/>
      <c r="E5644" s="8"/>
      <c r="F5644" s="8"/>
      <c r="G5644" s="10" t="str">
        <f aca="false">IF($A5644="","",UPPER(SUBSTITUTE(SUBSTITUTE(SUBSTITUTE(SUBSTITUTE($A5644," ",""),"(주)",""),"주식회사",""),"㈜","")))</f>
        <v/>
      </c>
      <c r="H5644" s="10" t="str">
        <f aca="false">IF($B5644="","",SUBSTITUTE(SUBSTITUTE(SUBSTITUTE($B5644,"-","")," ",""),".",""))</f>
        <v/>
      </c>
      <c r="I5644" s="10" t="str">
        <f aca="false">IF($D5644="","",SUBSTITUTE(SUBSTITUTE(SUBSTITUTE($D5644,"-","")," ",""),".",""))</f>
        <v/>
      </c>
      <c r="J5644" s="10" t="str">
        <f aca="false">IF($E5644="","",UPPER(SUBSTITUTE($E5644," ","")))</f>
        <v/>
      </c>
      <c r="K5644" s="10" t="str">
        <f aca="false">IF($A5644="","",$G5644&amp;"|"&amp;$J5644)</f>
        <v/>
      </c>
      <c r="L5644" s="10" t="str">
        <f aca="false">IF($A5644="","",ROW()-2)</f>
        <v/>
      </c>
      <c r="M5644" s="10" t="str">
        <f aca="false">IF($A5644="","",ROW())</f>
        <v/>
      </c>
    </row>
    <row r="5645" customFormat="false" ht="15" hidden="false" customHeight="true" outlineLevel="0" collapsed="false">
      <c r="A5645" s="8"/>
      <c r="B5645" s="8"/>
      <c r="C5645" s="8"/>
      <c r="D5645" s="8"/>
      <c r="E5645" s="8"/>
      <c r="F5645" s="8"/>
      <c r="G5645" s="10" t="str">
        <f aca="false">IF($A5645="","",UPPER(SUBSTITUTE(SUBSTITUTE(SUBSTITUTE(SUBSTITUTE($A5645," ",""),"(주)",""),"주식회사",""),"㈜","")))</f>
        <v/>
      </c>
      <c r="H5645" s="10" t="str">
        <f aca="false">IF($B5645="","",SUBSTITUTE(SUBSTITUTE(SUBSTITUTE($B5645,"-","")," ",""),".",""))</f>
        <v/>
      </c>
      <c r="I5645" s="10" t="str">
        <f aca="false">IF($D5645="","",SUBSTITUTE(SUBSTITUTE(SUBSTITUTE($D5645,"-","")," ",""),".",""))</f>
        <v/>
      </c>
      <c r="J5645" s="10" t="str">
        <f aca="false">IF($E5645="","",UPPER(SUBSTITUTE($E5645," ","")))</f>
        <v/>
      </c>
      <c r="K5645" s="10" t="str">
        <f aca="false">IF($A5645="","",$G5645&amp;"|"&amp;$J5645)</f>
        <v/>
      </c>
      <c r="L5645" s="10" t="str">
        <f aca="false">IF($A5645="","",ROW()-2)</f>
        <v/>
      </c>
      <c r="M5645" s="10" t="str">
        <f aca="false">IF($A5645="","",ROW())</f>
        <v/>
      </c>
    </row>
    <row r="5646" customFormat="false" ht="15" hidden="false" customHeight="true" outlineLevel="0" collapsed="false">
      <c r="A5646" s="8"/>
      <c r="B5646" s="8"/>
      <c r="C5646" s="8"/>
      <c r="D5646" s="8"/>
      <c r="E5646" s="8"/>
      <c r="F5646" s="8"/>
      <c r="G5646" s="10" t="str">
        <f aca="false">IF($A5646="","",UPPER(SUBSTITUTE(SUBSTITUTE(SUBSTITUTE(SUBSTITUTE($A5646," ",""),"(주)",""),"주식회사",""),"㈜","")))</f>
        <v/>
      </c>
      <c r="H5646" s="10" t="str">
        <f aca="false">IF($B5646="","",SUBSTITUTE(SUBSTITUTE(SUBSTITUTE($B5646,"-","")," ",""),".",""))</f>
        <v/>
      </c>
      <c r="I5646" s="10" t="str">
        <f aca="false">IF($D5646="","",SUBSTITUTE(SUBSTITUTE(SUBSTITUTE($D5646,"-","")," ",""),".",""))</f>
        <v/>
      </c>
      <c r="J5646" s="10" t="str">
        <f aca="false">IF($E5646="","",UPPER(SUBSTITUTE($E5646," ","")))</f>
        <v/>
      </c>
      <c r="K5646" s="10" t="str">
        <f aca="false">IF($A5646="","",$G5646&amp;"|"&amp;$J5646)</f>
        <v/>
      </c>
      <c r="L5646" s="10" t="str">
        <f aca="false">IF($A5646="","",ROW()-2)</f>
        <v/>
      </c>
      <c r="M5646" s="10" t="str">
        <f aca="false">IF($A5646="","",ROW())</f>
        <v/>
      </c>
    </row>
    <row r="5647" customFormat="false" ht="15" hidden="false" customHeight="true" outlineLevel="0" collapsed="false">
      <c r="A5647" s="8"/>
      <c r="B5647" s="8"/>
      <c r="C5647" s="8"/>
      <c r="D5647" s="8"/>
      <c r="E5647" s="8"/>
      <c r="F5647" s="8"/>
      <c r="G5647" s="10" t="str">
        <f aca="false">IF($A5647="","",UPPER(SUBSTITUTE(SUBSTITUTE(SUBSTITUTE(SUBSTITUTE($A5647," ",""),"(주)",""),"주식회사",""),"㈜","")))</f>
        <v/>
      </c>
      <c r="H5647" s="10" t="str">
        <f aca="false">IF($B5647="","",SUBSTITUTE(SUBSTITUTE(SUBSTITUTE($B5647,"-","")," ",""),".",""))</f>
        <v/>
      </c>
      <c r="I5647" s="10" t="str">
        <f aca="false">IF($D5647="","",SUBSTITUTE(SUBSTITUTE(SUBSTITUTE($D5647,"-","")," ",""),".",""))</f>
        <v/>
      </c>
      <c r="J5647" s="10" t="str">
        <f aca="false">IF($E5647="","",UPPER(SUBSTITUTE($E5647," ","")))</f>
        <v/>
      </c>
      <c r="K5647" s="10" t="str">
        <f aca="false">IF($A5647="","",$G5647&amp;"|"&amp;$J5647)</f>
        <v/>
      </c>
      <c r="L5647" s="10" t="str">
        <f aca="false">IF($A5647="","",ROW()-2)</f>
        <v/>
      </c>
      <c r="M5647" s="10" t="str">
        <f aca="false">IF($A5647="","",ROW())</f>
        <v/>
      </c>
    </row>
    <row r="5648" customFormat="false" ht="15" hidden="false" customHeight="true" outlineLevel="0" collapsed="false">
      <c r="A5648" s="8"/>
      <c r="B5648" s="8"/>
      <c r="C5648" s="8"/>
      <c r="D5648" s="8"/>
      <c r="E5648" s="8"/>
      <c r="F5648" s="8"/>
      <c r="G5648" s="10" t="str">
        <f aca="false">IF($A5648="","",UPPER(SUBSTITUTE(SUBSTITUTE(SUBSTITUTE(SUBSTITUTE($A5648," ",""),"(주)",""),"주식회사",""),"㈜","")))</f>
        <v/>
      </c>
      <c r="H5648" s="10" t="str">
        <f aca="false">IF($B5648="","",SUBSTITUTE(SUBSTITUTE(SUBSTITUTE($B5648,"-","")," ",""),".",""))</f>
        <v/>
      </c>
      <c r="I5648" s="10" t="str">
        <f aca="false">IF($D5648="","",SUBSTITUTE(SUBSTITUTE(SUBSTITUTE($D5648,"-","")," ",""),".",""))</f>
        <v/>
      </c>
      <c r="J5648" s="10" t="str">
        <f aca="false">IF($E5648="","",UPPER(SUBSTITUTE($E5648," ","")))</f>
        <v/>
      </c>
      <c r="K5648" s="10" t="str">
        <f aca="false">IF($A5648="","",$G5648&amp;"|"&amp;$J5648)</f>
        <v/>
      </c>
      <c r="L5648" s="10" t="str">
        <f aca="false">IF($A5648="","",ROW()-2)</f>
        <v/>
      </c>
      <c r="M5648" s="10" t="str">
        <f aca="false">IF($A5648="","",ROW())</f>
        <v/>
      </c>
    </row>
    <row r="5649" customFormat="false" ht="15" hidden="false" customHeight="true" outlineLevel="0" collapsed="false">
      <c r="A5649" s="8"/>
      <c r="B5649" s="8"/>
      <c r="C5649" s="8"/>
      <c r="D5649" s="8"/>
      <c r="E5649" s="8"/>
      <c r="F5649" s="8"/>
      <c r="G5649" s="10" t="str">
        <f aca="false">IF($A5649="","",UPPER(SUBSTITUTE(SUBSTITUTE(SUBSTITUTE(SUBSTITUTE($A5649," ",""),"(주)",""),"주식회사",""),"㈜","")))</f>
        <v/>
      </c>
      <c r="H5649" s="10" t="str">
        <f aca="false">IF($B5649="","",SUBSTITUTE(SUBSTITUTE(SUBSTITUTE($B5649,"-","")," ",""),".",""))</f>
        <v/>
      </c>
      <c r="I5649" s="10" t="str">
        <f aca="false">IF($D5649="","",SUBSTITUTE(SUBSTITUTE(SUBSTITUTE($D5649,"-","")," ",""),".",""))</f>
        <v/>
      </c>
      <c r="J5649" s="10" t="str">
        <f aca="false">IF($E5649="","",UPPER(SUBSTITUTE($E5649," ","")))</f>
        <v/>
      </c>
      <c r="K5649" s="10" t="str">
        <f aca="false">IF($A5649="","",$G5649&amp;"|"&amp;$J5649)</f>
        <v/>
      </c>
      <c r="L5649" s="10" t="str">
        <f aca="false">IF($A5649="","",ROW()-2)</f>
        <v/>
      </c>
      <c r="M5649" s="10" t="str">
        <f aca="false">IF($A5649="","",ROW())</f>
        <v/>
      </c>
    </row>
    <row r="5650" customFormat="false" ht="15" hidden="false" customHeight="true" outlineLevel="0" collapsed="false">
      <c r="A5650" s="8"/>
      <c r="B5650" s="8"/>
      <c r="C5650" s="8"/>
      <c r="D5650" s="8"/>
      <c r="E5650" s="8"/>
      <c r="F5650" s="8"/>
      <c r="G5650" s="10" t="str">
        <f aca="false">IF($A5650="","",UPPER(SUBSTITUTE(SUBSTITUTE(SUBSTITUTE(SUBSTITUTE($A5650," ",""),"(주)",""),"주식회사",""),"㈜","")))</f>
        <v/>
      </c>
      <c r="H5650" s="10" t="str">
        <f aca="false">IF($B5650="","",SUBSTITUTE(SUBSTITUTE(SUBSTITUTE($B5650,"-","")," ",""),".",""))</f>
        <v/>
      </c>
      <c r="I5650" s="10" t="str">
        <f aca="false">IF($D5650="","",SUBSTITUTE(SUBSTITUTE(SUBSTITUTE($D5650,"-","")," ",""),".",""))</f>
        <v/>
      </c>
      <c r="J5650" s="10" t="str">
        <f aca="false">IF($E5650="","",UPPER(SUBSTITUTE($E5650," ","")))</f>
        <v/>
      </c>
      <c r="K5650" s="10" t="str">
        <f aca="false">IF($A5650="","",$G5650&amp;"|"&amp;$J5650)</f>
        <v/>
      </c>
      <c r="L5650" s="10" t="str">
        <f aca="false">IF($A5650="","",ROW()-2)</f>
        <v/>
      </c>
      <c r="M5650" s="10" t="str">
        <f aca="false">IF($A5650="","",ROW())</f>
        <v/>
      </c>
    </row>
    <row r="5651" customFormat="false" ht="15" hidden="false" customHeight="true" outlineLevel="0" collapsed="false">
      <c r="A5651" s="8"/>
      <c r="B5651" s="8"/>
      <c r="C5651" s="8"/>
      <c r="D5651" s="8"/>
      <c r="E5651" s="8"/>
      <c r="F5651" s="8"/>
      <c r="G5651" s="10" t="str">
        <f aca="false">IF($A5651="","",UPPER(SUBSTITUTE(SUBSTITUTE(SUBSTITUTE(SUBSTITUTE($A5651," ",""),"(주)",""),"주식회사",""),"㈜","")))</f>
        <v/>
      </c>
      <c r="H5651" s="10" t="str">
        <f aca="false">IF($B5651="","",SUBSTITUTE(SUBSTITUTE(SUBSTITUTE($B5651,"-","")," ",""),".",""))</f>
        <v/>
      </c>
      <c r="I5651" s="10" t="str">
        <f aca="false">IF($D5651="","",SUBSTITUTE(SUBSTITUTE(SUBSTITUTE($D5651,"-","")," ",""),".",""))</f>
        <v/>
      </c>
      <c r="J5651" s="10" t="str">
        <f aca="false">IF($E5651="","",UPPER(SUBSTITUTE($E5651," ","")))</f>
        <v/>
      </c>
      <c r="K5651" s="10" t="str">
        <f aca="false">IF($A5651="","",$G5651&amp;"|"&amp;$J5651)</f>
        <v/>
      </c>
      <c r="L5651" s="10" t="str">
        <f aca="false">IF($A5651="","",ROW()-2)</f>
        <v/>
      </c>
      <c r="M5651" s="10" t="str">
        <f aca="false">IF($A5651="","",ROW())</f>
        <v/>
      </c>
    </row>
    <row r="5652" customFormat="false" ht="15" hidden="false" customHeight="true" outlineLevel="0" collapsed="false">
      <c r="A5652" s="8"/>
      <c r="B5652" s="8"/>
      <c r="C5652" s="8"/>
      <c r="D5652" s="8"/>
      <c r="E5652" s="8"/>
      <c r="F5652" s="8"/>
      <c r="G5652" s="10" t="str">
        <f aca="false">IF($A5652="","",UPPER(SUBSTITUTE(SUBSTITUTE(SUBSTITUTE(SUBSTITUTE($A5652," ",""),"(주)",""),"주식회사",""),"㈜","")))</f>
        <v/>
      </c>
      <c r="H5652" s="10" t="str">
        <f aca="false">IF($B5652="","",SUBSTITUTE(SUBSTITUTE(SUBSTITUTE($B5652,"-","")," ",""),".",""))</f>
        <v/>
      </c>
      <c r="I5652" s="10" t="str">
        <f aca="false">IF($D5652="","",SUBSTITUTE(SUBSTITUTE(SUBSTITUTE($D5652,"-","")," ",""),".",""))</f>
        <v/>
      </c>
      <c r="J5652" s="10" t="str">
        <f aca="false">IF($E5652="","",UPPER(SUBSTITUTE($E5652," ","")))</f>
        <v/>
      </c>
      <c r="K5652" s="10" t="str">
        <f aca="false">IF($A5652="","",$G5652&amp;"|"&amp;$J5652)</f>
        <v/>
      </c>
      <c r="L5652" s="10" t="str">
        <f aca="false">IF($A5652="","",ROW()-2)</f>
        <v/>
      </c>
      <c r="M5652" s="10" t="str">
        <f aca="false">IF($A5652="","",ROW())</f>
        <v/>
      </c>
    </row>
    <row r="5653" customFormat="false" ht="15" hidden="false" customHeight="true" outlineLevel="0" collapsed="false">
      <c r="A5653" s="8"/>
      <c r="B5653" s="8"/>
      <c r="C5653" s="8"/>
      <c r="D5653" s="8"/>
      <c r="E5653" s="8"/>
      <c r="F5653" s="8"/>
      <c r="G5653" s="10" t="str">
        <f aca="false">IF($A5653="","",UPPER(SUBSTITUTE(SUBSTITUTE(SUBSTITUTE(SUBSTITUTE($A5653," ",""),"(주)",""),"주식회사",""),"㈜","")))</f>
        <v/>
      </c>
      <c r="H5653" s="10" t="str">
        <f aca="false">IF($B5653="","",SUBSTITUTE(SUBSTITUTE(SUBSTITUTE($B5653,"-","")," ",""),".",""))</f>
        <v/>
      </c>
      <c r="I5653" s="10" t="str">
        <f aca="false">IF($D5653="","",SUBSTITUTE(SUBSTITUTE(SUBSTITUTE($D5653,"-","")," ",""),".",""))</f>
        <v/>
      </c>
      <c r="J5653" s="10" t="str">
        <f aca="false">IF($E5653="","",UPPER(SUBSTITUTE($E5653," ","")))</f>
        <v/>
      </c>
      <c r="K5653" s="10" t="str">
        <f aca="false">IF($A5653="","",$G5653&amp;"|"&amp;$J5653)</f>
        <v/>
      </c>
      <c r="L5653" s="10" t="str">
        <f aca="false">IF($A5653="","",ROW()-2)</f>
        <v/>
      </c>
      <c r="M5653" s="10" t="str">
        <f aca="false">IF($A5653="","",ROW())</f>
        <v/>
      </c>
    </row>
    <row r="5654" customFormat="false" ht="15" hidden="false" customHeight="true" outlineLevel="0" collapsed="false">
      <c r="A5654" s="8"/>
      <c r="B5654" s="8"/>
      <c r="C5654" s="8"/>
      <c r="D5654" s="8"/>
      <c r="E5654" s="8"/>
      <c r="F5654" s="8"/>
      <c r="G5654" s="10" t="str">
        <f aca="false">IF($A5654="","",UPPER(SUBSTITUTE(SUBSTITUTE(SUBSTITUTE(SUBSTITUTE($A5654," ",""),"(주)",""),"주식회사",""),"㈜","")))</f>
        <v/>
      </c>
      <c r="H5654" s="10" t="str">
        <f aca="false">IF($B5654="","",SUBSTITUTE(SUBSTITUTE(SUBSTITUTE($B5654,"-","")," ",""),".",""))</f>
        <v/>
      </c>
      <c r="I5654" s="10" t="str">
        <f aca="false">IF($D5654="","",SUBSTITUTE(SUBSTITUTE(SUBSTITUTE($D5654,"-","")," ",""),".",""))</f>
        <v/>
      </c>
      <c r="J5654" s="10" t="str">
        <f aca="false">IF($E5654="","",UPPER(SUBSTITUTE($E5654," ","")))</f>
        <v/>
      </c>
      <c r="K5654" s="10" t="str">
        <f aca="false">IF($A5654="","",$G5654&amp;"|"&amp;$J5654)</f>
        <v/>
      </c>
      <c r="L5654" s="10" t="str">
        <f aca="false">IF($A5654="","",ROW()-2)</f>
        <v/>
      </c>
      <c r="M5654" s="10" t="str">
        <f aca="false">IF($A5654="","",ROW())</f>
        <v/>
      </c>
    </row>
    <row r="5655" customFormat="false" ht="15" hidden="false" customHeight="true" outlineLevel="0" collapsed="false">
      <c r="A5655" s="8"/>
      <c r="B5655" s="8"/>
      <c r="C5655" s="8"/>
      <c r="D5655" s="8"/>
      <c r="E5655" s="8"/>
      <c r="F5655" s="8"/>
      <c r="G5655" s="10" t="str">
        <f aca="false">IF($A5655="","",UPPER(SUBSTITUTE(SUBSTITUTE(SUBSTITUTE(SUBSTITUTE($A5655," ",""),"(주)",""),"주식회사",""),"㈜","")))</f>
        <v/>
      </c>
      <c r="H5655" s="10" t="str">
        <f aca="false">IF($B5655="","",SUBSTITUTE(SUBSTITUTE(SUBSTITUTE($B5655,"-","")," ",""),".",""))</f>
        <v/>
      </c>
      <c r="I5655" s="10" t="str">
        <f aca="false">IF($D5655="","",SUBSTITUTE(SUBSTITUTE(SUBSTITUTE($D5655,"-","")," ",""),".",""))</f>
        <v/>
      </c>
      <c r="J5655" s="10" t="str">
        <f aca="false">IF($E5655="","",UPPER(SUBSTITUTE($E5655," ","")))</f>
        <v/>
      </c>
      <c r="K5655" s="10" t="str">
        <f aca="false">IF($A5655="","",$G5655&amp;"|"&amp;$J5655)</f>
        <v/>
      </c>
      <c r="L5655" s="10" t="str">
        <f aca="false">IF($A5655="","",ROW()-2)</f>
        <v/>
      </c>
      <c r="M5655" s="10" t="str">
        <f aca="false">IF($A5655="","",ROW())</f>
        <v/>
      </c>
    </row>
    <row r="5656" customFormat="false" ht="15" hidden="false" customHeight="true" outlineLevel="0" collapsed="false">
      <c r="A5656" s="8"/>
      <c r="B5656" s="8"/>
      <c r="C5656" s="8"/>
      <c r="D5656" s="8"/>
      <c r="E5656" s="8"/>
      <c r="F5656" s="8"/>
      <c r="G5656" s="10" t="str">
        <f aca="false">IF($A5656="","",UPPER(SUBSTITUTE(SUBSTITUTE(SUBSTITUTE(SUBSTITUTE($A5656," ",""),"(주)",""),"주식회사",""),"㈜","")))</f>
        <v/>
      </c>
      <c r="H5656" s="10" t="str">
        <f aca="false">IF($B5656="","",SUBSTITUTE(SUBSTITUTE(SUBSTITUTE($B5656,"-","")," ",""),".",""))</f>
        <v/>
      </c>
      <c r="I5656" s="10" t="str">
        <f aca="false">IF($D5656="","",SUBSTITUTE(SUBSTITUTE(SUBSTITUTE($D5656,"-","")," ",""),".",""))</f>
        <v/>
      </c>
      <c r="J5656" s="10" t="str">
        <f aca="false">IF($E5656="","",UPPER(SUBSTITUTE($E5656," ","")))</f>
        <v/>
      </c>
      <c r="K5656" s="10" t="str">
        <f aca="false">IF($A5656="","",$G5656&amp;"|"&amp;$J5656)</f>
        <v/>
      </c>
      <c r="L5656" s="10" t="str">
        <f aca="false">IF($A5656="","",ROW()-2)</f>
        <v/>
      </c>
      <c r="M5656" s="10" t="str">
        <f aca="false">IF($A5656="","",ROW())</f>
        <v/>
      </c>
    </row>
    <row r="5657" customFormat="false" ht="15" hidden="false" customHeight="true" outlineLevel="0" collapsed="false">
      <c r="A5657" s="8"/>
      <c r="B5657" s="8"/>
      <c r="C5657" s="8"/>
      <c r="D5657" s="8"/>
      <c r="E5657" s="8"/>
      <c r="F5657" s="8"/>
      <c r="G5657" s="10" t="str">
        <f aca="false">IF($A5657="","",UPPER(SUBSTITUTE(SUBSTITUTE(SUBSTITUTE(SUBSTITUTE($A5657," ",""),"(주)",""),"주식회사",""),"㈜","")))</f>
        <v/>
      </c>
      <c r="H5657" s="10" t="str">
        <f aca="false">IF($B5657="","",SUBSTITUTE(SUBSTITUTE(SUBSTITUTE($B5657,"-","")," ",""),".",""))</f>
        <v/>
      </c>
      <c r="I5657" s="10" t="str">
        <f aca="false">IF($D5657="","",SUBSTITUTE(SUBSTITUTE(SUBSTITUTE($D5657,"-","")," ",""),".",""))</f>
        <v/>
      </c>
      <c r="J5657" s="10" t="str">
        <f aca="false">IF($E5657="","",UPPER(SUBSTITUTE($E5657," ","")))</f>
        <v/>
      </c>
      <c r="K5657" s="10" t="str">
        <f aca="false">IF($A5657="","",$G5657&amp;"|"&amp;$J5657)</f>
        <v/>
      </c>
      <c r="L5657" s="10" t="str">
        <f aca="false">IF($A5657="","",ROW()-2)</f>
        <v/>
      </c>
      <c r="M5657" s="10" t="str">
        <f aca="false">IF($A5657="","",ROW())</f>
        <v/>
      </c>
    </row>
    <row r="5658" customFormat="false" ht="15" hidden="false" customHeight="true" outlineLevel="0" collapsed="false">
      <c r="A5658" s="8"/>
      <c r="B5658" s="8"/>
      <c r="C5658" s="8"/>
      <c r="D5658" s="8"/>
      <c r="E5658" s="8"/>
      <c r="F5658" s="8"/>
      <c r="G5658" s="10" t="str">
        <f aca="false">IF($A5658="","",UPPER(SUBSTITUTE(SUBSTITUTE(SUBSTITUTE(SUBSTITUTE($A5658," ",""),"(주)",""),"주식회사",""),"㈜","")))</f>
        <v/>
      </c>
      <c r="H5658" s="10" t="str">
        <f aca="false">IF($B5658="","",SUBSTITUTE(SUBSTITUTE(SUBSTITUTE($B5658,"-","")," ",""),".",""))</f>
        <v/>
      </c>
      <c r="I5658" s="10" t="str">
        <f aca="false">IF($D5658="","",SUBSTITUTE(SUBSTITUTE(SUBSTITUTE($D5658,"-","")," ",""),".",""))</f>
        <v/>
      </c>
      <c r="J5658" s="10" t="str">
        <f aca="false">IF($E5658="","",UPPER(SUBSTITUTE($E5658," ","")))</f>
        <v/>
      </c>
      <c r="K5658" s="10" t="str">
        <f aca="false">IF($A5658="","",$G5658&amp;"|"&amp;$J5658)</f>
        <v/>
      </c>
      <c r="L5658" s="10" t="str">
        <f aca="false">IF($A5658="","",ROW()-2)</f>
        <v/>
      </c>
      <c r="M5658" s="10" t="str">
        <f aca="false">IF($A5658="","",ROW())</f>
        <v/>
      </c>
    </row>
    <row r="5659" customFormat="false" ht="15" hidden="false" customHeight="true" outlineLevel="0" collapsed="false">
      <c r="A5659" s="8"/>
      <c r="B5659" s="8"/>
      <c r="C5659" s="8"/>
      <c r="D5659" s="8"/>
      <c r="E5659" s="8"/>
      <c r="F5659" s="8"/>
      <c r="G5659" s="10" t="str">
        <f aca="false">IF($A5659="","",UPPER(SUBSTITUTE(SUBSTITUTE(SUBSTITUTE(SUBSTITUTE($A5659," ",""),"(주)",""),"주식회사",""),"㈜","")))</f>
        <v/>
      </c>
      <c r="H5659" s="10" t="str">
        <f aca="false">IF($B5659="","",SUBSTITUTE(SUBSTITUTE(SUBSTITUTE($B5659,"-","")," ",""),".",""))</f>
        <v/>
      </c>
      <c r="I5659" s="10" t="str">
        <f aca="false">IF($D5659="","",SUBSTITUTE(SUBSTITUTE(SUBSTITUTE($D5659,"-","")," ",""),".",""))</f>
        <v/>
      </c>
      <c r="J5659" s="10" t="str">
        <f aca="false">IF($E5659="","",UPPER(SUBSTITUTE($E5659," ","")))</f>
        <v/>
      </c>
      <c r="K5659" s="10" t="str">
        <f aca="false">IF($A5659="","",$G5659&amp;"|"&amp;$J5659)</f>
        <v/>
      </c>
      <c r="L5659" s="10" t="str">
        <f aca="false">IF($A5659="","",ROW()-2)</f>
        <v/>
      </c>
      <c r="M5659" s="10" t="str">
        <f aca="false">IF($A5659="","",ROW())</f>
        <v/>
      </c>
    </row>
    <row r="5660" customFormat="false" ht="15" hidden="false" customHeight="true" outlineLevel="0" collapsed="false">
      <c r="A5660" s="8"/>
      <c r="B5660" s="8"/>
      <c r="C5660" s="8"/>
      <c r="D5660" s="8"/>
      <c r="E5660" s="8"/>
      <c r="F5660" s="8"/>
      <c r="G5660" s="10" t="str">
        <f aca="false">IF($A5660="","",UPPER(SUBSTITUTE(SUBSTITUTE(SUBSTITUTE(SUBSTITUTE($A5660," ",""),"(주)",""),"주식회사",""),"㈜","")))</f>
        <v/>
      </c>
      <c r="H5660" s="10" t="str">
        <f aca="false">IF($B5660="","",SUBSTITUTE(SUBSTITUTE(SUBSTITUTE($B5660,"-","")," ",""),".",""))</f>
        <v/>
      </c>
      <c r="I5660" s="10" t="str">
        <f aca="false">IF($D5660="","",SUBSTITUTE(SUBSTITUTE(SUBSTITUTE($D5660,"-","")," ",""),".",""))</f>
        <v/>
      </c>
      <c r="J5660" s="10" t="str">
        <f aca="false">IF($E5660="","",UPPER(SUBSTITUTE($E5660," ","")))</f>
        <v/>
      </c>
      <c r="K5660" s="10" t="str">
        <f aca="false">IF($A5660="","",$G5660&amp;"|"&amp;$J5660)</f>
        <v/>
      </c>
      <c r="L5660" s="10" t="str">
        <f aca="false">IF($A5660="","",ROW()-2)</f>
        <v/>
      </c>
      <c r="M5660" s="10" t="str">
        <f aca="false">IF($A5660="","",ROW())</f>
        <v/>
      </c>
    </row>
    <row r="5661" customFormat="false" ht="15" hidden="false" customHeight="true" outlineLevel="0" collapsed="false">
      <c r="A5661" s="8"/>
      <c r="B5661" s="8"/>
      <c r="C5661" s="8"/>
      <c r="D5661" s="8"/>
      <c r="E5661" s="8"/>
      <c r="F5661" s="8"/>
      <c r="G5661" s="10" t="str">
        <f aca="false">IF($A5661="","",UPPER(SUBSTITUTE(SUBSTITUTE(SUBSTITUTE(SUBSTITUTE($A5661," ",""),"(주)",""),"주식회사",""),"㈜","")))</f>
        <v/>
      </c>
      <c r="H5661" s="10" t="str">
        <f aca="false">IF($B5661="","",SUBSTITUTE(SUBSTITUTE(SUBSTITUTE($B5661,"-","")," ",""),".",""))</f>
        <v/>
      </c>
      <c r="I5661" s="10" t="str">
        <f aca="false">IF($D5661="","",SUBSTITUTE(SUBSTITUTE(SUBSTITUTE($D5661,"-","")," ",""),".",""))</f>
        <v/>
      </c>
      <c r="J5661" s="10" t="str">
        <f aca="false">IF($E5661="","",UPPER(SUBSTITUTE($E5661," ","")))</f>
        <v/>
      </c>
      <c r="K5661" s="10" t="str">
        <f aca="false">IF($A5661="","",$G5661&amp;"|"&amp;$J5661)</f>
        <v/>
      </c>
      <c r="L5661" s="10" t="str">
        <f aca="false">IF($A5661="","",ROW()-2)</f>
        <v/>
      </c>
      <c r="M5661" s="10" t="str">
        <f aca="false">IF($A5661="","",ROW())</f>
        <v/>
      </c>
    </row>
    <row r="5662" customFormat="false" ht="15" hidden="false" customHeight="true" outlineLevel="0" collapsed="false">
      <c r="A5662" s="8"/>
      <c r="B5662" s="8"/>
      <c r="C5662" s="8"/>
      <c r="D5662" s="8"/>
      <c r="E5662" s="8"/>
      <c r="F5662" s="8"/>
      <c r="G5662" s="10" t="str">
        <f aca="false">IF($A5662="","",UPPER(SUBSTITUTE(SUBSTITUTE(SUBSTITUTE(SUBSTITUTE($A5662," ",""),"(주)",""),"주식회사",""),"㈜","")))</f>
        <v/>
      </c>
      <c r="H5662" s="10" t="str">
        <f aca="false">IF($B5662="","",SUBSTITUTE(SUBSTITUTE(SUBSTITUTE($B5662,"-","")," ",""),".",""))</f>
        <v/>
      </c>
      <c r="I5662" s="10" t="str">
        <f aca="false">IF($D5662="","",SUBSTITUTE(SUBSTITUTE(SUBSTITUTE($D5662,"-","")," ",""),".",""))</f>
        <v/>
      </c>
      <c r="J5662" s="10" t="str">
        <f aca="false">IF($E5662="","",UPPER(SUBSTITUTE($E5662," ","")))</f>
        <v/>
      </c>
      <c r="K5662" s="10" t="str">
        <f aca="false">IF($A5662="","",$G5662&amp;"|"&amp;$J5662)</f>
        <v/>
      </c>
      <c r="L5662" s="10" t="str">
        <f aca="false">IF($A5662="","",ROW()-2)</f>
        <v/>
      </c>
      <c r="M5662" s="10" t="str">
        <f aca="false">IF($A5662="","",ROW())</f>
        <v/>
      </c>
    </row>
    <row r="5663" customFormat="false" ht="15" hidden="false" customHeight="true" outlineLevel="0" collapsed="false">
      <c r="A5663" s="8"/>
      <c r="B5663" s="8"/>
      <c r="C5663" s="8"/>
      <c r="D5663" s="8"/>
      <c r="E5663" s="8"/>
      <c r="F5663" s="8"/>
      <c r="G5663" s="10" t="str">
        <f aca="false">IF($A5663="","",UPPER(SUBSTITUTE(SUBSTITUTE(SUBSTITUTE(SUBSTITUTE($A5663," ",""),"(주)",""),"주식회사",""),"㈜","")))</f>
        <v/>
      </c>
      <c r="H5663" s="10" t="str">
        <f aca="false">IF($B5663="","",SUBSTITUTE(SUBSTITUTE(SUBSTITUTE($B5663,"-","")," ",""),".",""))</f>
        <v/>
      </c>
      <c r="I5663" s="10" t="str">
        <f aca="false">IF($D5663="","",SUBSTITUTE(SUBSTITUTE(SUBSTITUTE($D5663,"-","")," ",""),".",""))</f>
        <v/>
      </c>
      <c r="J5663" s="10" t="str">
        <f aca="false">IF($E5663="","",UPPER(SUBSTITUTE($E5663," ","")))</f>
        <v/>
      </c>
      <c r="K5663" s="10" t="str">
        <f aca="false">IF($A5663="","",$G5663&amp;"|"&amp;$J5663)</f>
        <v/>
      </c>
      <c r="L5663" s="10" t="str">
        <f aca="false">IF($A5663="","",ROW()-2)</f>
        <v/>
      </c>
      <c r="M5663" s="10" t="str">
        <f aca="false">IF($A5663="","",ROW())</f>
        <v/>
      </c>
    </row>
    <row r="5664" customFormat="false" ht="15" hidden="false" customHeight="true" outlineLevel="0" collapsed="false">
      <c r="A5664" s="8"/>
      <c r="B5664" s="8"/>
      <c r="C5664" s="8"/>
      <c r="D5664" s="8"/>
      <c r="E5664" s="8"/>
      <c r="F5664" s="8"/>
      <c r="G5664" s="10" t="str">
        <f aca="false">IF($A5664="","",UPPER(SUBSTITUTE(SUBSTITUTE(SUBSTITUTE(SUBSTITUTE($A5664," ",""),"(주)",""),"주식회사",""),"㈜","")))</f>
        <v/>
      </c>
      <c r="H5664" s="10" t="str">
        <f aca="false">IF($B5664="","",SUBSTITUTE(SUBSTITUTE(SUBSTITUTE($B5664,"-","")," ",""),".",""))</f>
        <v/>
      </c>
      <c r="I5664" s="10" t="str">
        <f aca="false">IF($D5664="","",SUBSTITUTE(SUBSTITUTE(SUBSTITUTE($D5664,"-","")," ",""),".",""))</f>
        <v/>
      </c>
      <c r="J5664" s="10" t="str">
        <f aca="false">IF($E5664="","",UPPER(SUBSTITUTE($E5664," ","")))</f>
        <v/>
      </c>
      <c r="K5664" s="10" t="str">
        <f aca="false">IF($A5664="","",$G5664&amp;"|"&amp;$J5664)</f>
        <v/>
      </c>
      <c r="L5664" s="10" t="str">
        <f aca="false">IF($A5664="","",ROW()-2)</f>
        <v/>
      </c>
      <c r="M5664" s="10" t="str">
        <f aca="false">IF($A5664="","",ROW())</f>
        <v/>
      </c>
    </row>
    <row r="5665" customFormat="false" ht="15" hidden="false" customHeight="true" outlineLevel="0" collapsed="false">
      <c r="A5665" s="8"/>
      <c r="B5665" s="8"/>
      <c r="C5665" s="8"/>
      <c r="D5665" s="8"/>
      <c r="E5665" s="8"/>
      <c r="F5665" s="8"/>
      <c r="G5665" s="10" t="str">
        <f aca="false">IF($A5665="","",UPPER(SUBSTITUTE(SUBSTITUTE(SUBSTITUTE(SUBSTITUTE($A5665," ",""),"(주)",""),"주식회사",""),"㈜","")))</f>
        <v/>
      </c>
      <c r="H5665" s="10" t="str">
        <f aca="false">IF($B5665="","",SUBSTITUTE(SUBSTITUTE(SUBSTITUTE($B5665,"-","")," ",""),".",""))</f>
        <v/>
      </c>
      <c r="I5665" s="10" t="str">
        <f aca="false">IF($D5665="","",SUBSTITUTE(SUBSTITUTE(SUBSTITUTE($D5665,"-","")," ",""),".",""))</f>
        <v/>
      </c>
      <c r="J5665" s="10" t="str">
        <f aca="false">IF($E5665="","",UPPER(SUBSTITUTE($E5665," ","")))</f>
        <v/>
      </c>
      <c r="K5665" s="10" t="str">
        <f aca="false">IF($A5665="","",$G5665&amp;"|"&amp;$J5665)</f>
        <v/>
      </c>
      <c r="L5665" s="10" t="str">
        <f aca="false">IF($A5665="","",ROW()-2)</f>
        <v/>
      </c>
      <c r="M5665" s="10" t="str">
        <f aca="false">IF($A5665="","",ROW())</f>
        <v/>
      </c>
    </row>
    <row r="5666" customFormat="false" ht="15" hidden="false" customHeight="true" outlineLevel="0" collapsed="false">
      <c r="A5666" s="8"/>
      <c r="B5666" s="8"/>
      <c r="C5666" s="8"/>
      <c r="D5666" s="8"/>
      <c r="E5666" s="8"/>
      <c r="F5666" s="8"/>
      <c r="G5666" s="10" t="str">
        <f aca="false">IF($A5666="","",UPPER(SUBSTITUTE(SUBSTITUTE(SUBSTITUTE(SUBSTITUTE($A5666," ",""),"(주)",""),"주식회사",""),"㈜","")))</f>
        <v/>
      </c>
      <c r="H5666" s="10" t="str">
        <f aca="false">IF($B5666="","",SUBSTITUTE(SUBSTITUTE(SUBSTITUTE($B5666,"-","")," ",""),".",""))</f>
        <v/>
      </c>
      <c r="I5666" s="10" t="str">
        <f aca="false">IF($D5666="","",SUBSTITUTE(SUBSTITUTE(SUBSTITUTE($D5666,"-","")," ",""),".",""))</f>
        <v/>
      </c>
      <c r="J5666" s="10" t="str">
        <f aca="false">IF($E5666="","",UPPER(SUBSTITUTE($E5666," ","")))</f>
        <v/>
      </c>
      <c r="K5666" s="10" t="str">
        <f aca="false">IF($A5666="","",$G5666&amp;"|"&amp;$J5666)</f>
        <v/>
      </c>
      <c r="L5666" s="10" t="str">
        <f aca="false">IF($A5666="","",ROW()-2)</f>
        <v/>
      </c>
      <c r="M5666" s="10" t="str">
        <f aca="false">IF($A5666="","",ROW())</f>
        <v/>
      </c>
    </row>
    <row r="5667" customFormat="false" ht="15" hidden="false" customHeight="true" outlineLevel="0" collapsed="false">
      <c r="A5667" s="8"/>
      <c r="B5667" s="8"/>
      <c r="C5667" s="8"/>
      <c r="D5667" s="8"/>
      <c r="E5667" s="8"/>
      <c r="F5667" s="8"/>
      <c r="G5667" s="10" t="str">
        <f aca="false">IF($A5667="","",UPPER(SUBSTITUTE(SUBSTITUTE(SUBSTITUTE(SUBSTITUTE($A5667," ",""),"(주)",""),"주식회사",""),"㈜","")))</f>
        <v/>
      </c>
      <c r="H5667" s="10" t="str">
        <f aca="false">IF($B5667="","",SUBSTITUTE(SUBSTITUTE(SUBSTITUTE($B5667,"-","")," ",""),".",""))</f>
        <v/>
      </c>
      <c r="I5667" s="10" t="str">
        <f aca="false">IF($D5667="","",SUBSTITUTE(SUBSTITUTE(SUBSTITUTE($D5667,"-","")," ",""),".",""))</f>
        <v/>
      </c>
      <c r="J5667" s="10" t="str">
        <f aca="false">IF($E5667="","",UPPER(SUBSTITUTE($E5667," ","")))</f>
        <v/>
      </c>
      <c r="K5667" s="10" t="str">
        <f aca="false">IF($A5667="","",$G5667&amp;"|"&amp;$J5667)</f>
        <v/>
      </c>
      <c r="L5667" s="10" t="str">
        <f aca="false">IF($A5667="","",ROW()-2)</f>
        <v/>
      </c>
      <c r="M5667" s="10" t="str">
        <f aca="false">IF($A5667="","",ROW())</f>
        <v/>
      </c>
    </row>
    <row r="5668" customFormat="false" ht="15" hidden="false" customHeight="true" outlineLevel="0" collapsed="false">
      <c r="A5668" s="8"/>
      <c r="B5668" s="8"/>
      <c r="C5668" s="8"/>
      <c r="D5668" s="8"/>
      <c r="E5668" s="8"/>
      <c r="F5668" s="8"/>
      <c r="G5668" s="10" t="str">
        <f aca="false">IF($A5668="","",UPPER(SUBSTITUTE(SUBSTITUTE(SUBSTITUTE(SUBSTITUTE($A5668," ",""),"(주)",""),"주식회사",""),"㈜","")))</f>
        <v/>
      </c>
      <c r="H5668" s="10" t="str">
        <f aca="false">IF($B5668="","",SUBSTITUTE(SUBSTITUTE(SUBSTITUTE($B5668,"-","")," ",""),".",""))</f>
        <v/>
      </c>
      <c r="I5668" s="10" t="str">
        <f aca="false">IF($D5668="","",SUBSTITUTE(SUBSTITUTE(SUBSTITUTE($D5668,"-","")," ",""),".",""))</f>
        <v/>
      </c>
      <c r="J5668" s="10" t="str">
        <f aca="false">IF($E5668="","",UPPER(SUBSTITUTE($E5668," ","")))</f>
        <v/>
      </c>
      <c r="K5668" s="10" t="str">
        <f aca="false">IF($A5668="","",$G5668&amp;"|"&amp;$J5668)</f>
        <v/>
      </c>
      <c r="L5668" s="10" t="str">
        <f aca="false">IF($A5668="","",ROW()-2)</f>
        <v/>
      </c>
      <c r="M5668" s="10" t="str">
        <f aca="false">IF($A5668="","",ROW())</f>
        <v/>
      </c>
    </row>
    <row r="5669" customFormat="false" ht="15" hidden="false" customHeight="true" outlineLevel="0" collapsed="false">
      <c r="A5669" s="8"/>
      <c r="B5669" s="8"/>
      <c r="C5669" s="8"/>
      <c r="D5669" s="8"/>
      <c r="E5669" s="8"/>
      <c r="F5669" s="8"/>
      <c r="G5669" s="10" t="str">
        <f aca="false">IF($A5669="","",UPPER(SUBSTITUTE(SUBSTITUTE(SUBSTITUTE(SUBSTITUTE($A5669," ",""),"(주)",""),"주식회사",""),"㈜","")))</f>
        <v/>
      </c>
      <c r="H5669" s="10" t="str">
        <f aca="false">IF($B5669="","",SUBSTITUTE(SUBSTITUTE(SUBSTITUTE($B5669,"-","")," ",""),".",""))</f>
        <v/>
      </c>
      <c r="I5669" s="10" t="str">
        <f aca="false">IF($D5669="","",SUBSTITUTE(SUBSTITUTE(SUBSTITUTE($D5669,"-","")," ",""),".",""))</f>
        <v/>
      </c>
      <c r="J5669" s="10" t="str">
        <f aca="false">IF($E5669="","",UPPER(SUBSTITUTE($E5669," ","")))</f>
        <v/>
      </c>
      <c r="K5669" s="10" t="str">
        <f aca="false">IF($A5669="","",$G5669&amp;"|"&amp;$J5669)</f>
        <v/>
      </c>
      <c r="L5669" s="10" t="str">
        <f aca="false">IF($A5669="","",ROW()-2)</f>
        <v/>
      </c>
      <c r="M5669" s="10" t="str">
        <f aca="false">IF($A5669="","",ROW())</f>
        <v/>
      </c>
    </row>
    <row r="5670" customFormat="false" ht="15" hidden="false" customHeight="true" outlineLevel="0" collapsed="false">
      <c r="A5670" s="8"/>
      <c r="B5670" s="8"/>
      <c r="C5670" s="8"/>
      <c r="D5670" s="8"/>
      <c r="E5670" s="8"/>
      <c r="F5670" s="8"/>
      <c r="G5670" s="10" t="str">
        <f aca="false">IF($A5670="","",UPPER(SUBSTITUTE(SUBSTITUTE(SUBSTITUTE(SUBSTITUTE($A5670," ",""),"(주)",""),"주식회사",""),"㈜","")))</f>
        <v/>
      </c>
      <c r="H5670" s="10" t="str">
        <f aca="false">IF($B5670="","",SUBSTITUTE(SUBSTITUTE(SUBSTITUTE($B5670,"-","")," ",""),".",""))</f>
        <v/>
      </c>
      <c r="I5670" s="10" t="str">
        <f aca="false">IF($D5670="","",SUBSTITUTE(SUBSTITUTE(SUBSTITUTE($D5670,"-","")," ",""),".",""))</f>
        <v/>
      </c>
      <c r="J5670" s="10" t="str">
        <f aca="false">IF($E5670="","",UPPER(SUBSTITUTE($E5670," ","")))</f>
        <v/>
      </c>
      <c r="K5670" s="10" t="str">
        <f aca="false">IF($A5670="","",$G5670&amp;"|"&amp;$J5670)</f>
        <v/>
      </c>
      <c r="L5670" s="10" t="str">
        <f aca="false">IF($A5670="","",ROW()-2)</f>
        <v/>
      </c>
      <c r="M5670" s="10" t="str">
        <f aca="false">IF($A5670="","",ROW())</f>
        <v/>
      </c>
    </row>
    <row r="5671" customFormat="false" ht="15" hidden="false" customHeight="true" outlineLevel="0" collapsed="false">
      <c r="A5671" s="8"/>
      <c r="B5671" s="8"/>
      <c r="C5671" s="8"/>
      <c r="D5671" s="8"/>
      <c r="E5671" s="8"/>
      <c r="F5671" s="8"/>
      <c r="G5671" s="10" t="str">
        <f aca="false">IF($A5671="","",UPPER(SUBSTITUTE(SUBSTITUTE(SUBSTITUTE(SUBSTITUTE($A5671," ",""),"(주)",""),"주식회사",""),"㈜","")))</f>
        <v/>
      </c>
      <c r="H5671" s="10" t="str">
        <f aca="false">IF($B5671="","",SUBSTITUTE(SUBSTITUTE(SUBSTITUTE($B5671,"-","")," ",""),".",""))</f>
        <v/>
      </c>
      <c r="I5671" s="10" t="str">
        <f aca="false">IF($D5671="","",SUBSTITUTE(SUBSTITUTE(SUBSTITUTE($D5671,"-","")," ",""),".",""))</f>
        <v/>
      </c>
      <c r="J5671" s="10" t="str">
        <f aca="false">IF($E5671="","",UPPER(SUBSTITUTE($E5671," ","")))</f>
        <v/>
      </c>
      <c r="K5671" s="10" t="str">
        <f aca="false">IF($A5671="","",$G5671&amp;"|"&amp;$J5671)</f>
        <v/>
      </c>
      <c r="L5671" s="10" t="str">
        <f aca="false">IF($A5671="","",ROW()-2)</f>
        <v/>
      </c>
      <c r="M5671" s="10" t="str">
        <f aca="false">IF($A5671="","",ROW())</f>
        <v/>
      </c>
    </row>
    <row r="5672" customFormat="false" ht="15" hidden="false" customHeight="true" outlineLevel="0" collapsed="false">
      <c r="A5672" s="8"/>
      <c r="B5672" s="8"/>
      <c r="C5672" s="8"/>
      <c r="D5672" s="8"/>
      <c r="E5672" s="8"/>
      <c r="F5672" s="8"/>
      <c r="G5672" s="10" t="str">
        <f aca="false">IF($A5672="","",UPPER(SUBSTITUTE(SUBSTITUTE(SUBSTITUTE(SUBSTITUTE($A5672," ",""),"(주)",""),"주식회사",""),"㈜","")))</f>
        <v/>
      </c>
      <c r="H5672" s="10" t="str">
        <f aca="false">IF($B5672="","",SUBSTITUTE(SUBSTITUTE(SUBSTITUTE($B5672,"-","")," ",""),".",""))</f>
        <v/>
      </c>
      <c r="I5672" s="10" t="str">
        <f aca="false">IF($D5672="","",SUBSTITUTE(SUBSTITUTE(SUBSTITUTE($D5672,"-","")," ",""),".",""))</f>
        <v/>
      </c>
      <c r="J5672" s="10" t="str">
        <f aca="false">IF($E5672="","",UPPER(SUBSTITUTE($E5672," ","")))</f>
        <v/>
      </c>
      <c r="K5672" s="10" t="str">
        <f aca="false">IF($A5672="","",$G5672&amp;"|"&amp;$J5672)</f>
        <v/>
      </c>
      <c r="L5672" s="10" t="str">
        <f aca="false">IF($A5672="","",ROW()-2)</f>
        <v/>
      </c>
      <c r="M5672" s="10" t="str">
        <f aca="false">IF($A5672="","",ROW())</f>
        <v/>
      </c>
    </row>
    <row r="5673" customFormat="false" ht="15" hidden="false" customHeight="true" outlineLevel="0" collapsed="false">
      <c r="A5673" s="8"/>
      <c r="B5673" s="8"/>
      <c r="C5673" s="8"/>
      <c r="D5673" s="8"/>
      <c r="E5673" s="8"/>
      <c r="F5673" s="8"/>
      <c r="G5673" s="10" t="str">
        <f aca="false">IF($A5673="","",UPPER(SUBSTITUTE(SUBSTITUTE(SUBSTITUTE(SUBSTITUTE($A5673," ",""),"(주)",""),"주식회사",""),"㈜","")))</f>
        <v/>
      </c>
      <c r="H5673" s="10" t="str">
        <f aca="false">IF($B5673="","",SUBSTITUTE(SUBSTITUTE(SUBSTITUTE($B5673,"-","")," ",""),".",""))</f>
        <v/>
      </c>
      <c r="I5673" s="10" t="str">
        <f aca="false">IF($D5673="","",SUBSTITUTE(SUBSTITUTE(SUBSTITUTE($D5673,"-","")," ",""),".",""))</f>
        <v/>
      </c>
      <c r="J5673" s="10" t="str">
        <f aca="false">IF($E5673="","",UPPER(SUBSTITUTE($E5673," ","")))</f>
        <v/>
      </c>
      <c r="K5673" s="10" t="str">
        <f aca="false">IF($A5673="","",$G5673&amp;"|"&amp;$J5673)</f>
        <v/>
      </c>
      <c r="L5673" s="10" t="str">
        <f aca="false">IF($A5673="","",ROW()-2)</f>
        <v/>
      </c>
      <c r="M5673" s="10" t="str">
        <f aca="false">IF($A5673="","",ROW())</f>
        <v/>
      </c>
    </row>
    <row r="5674" customFormat="false" ht="15" hidden="false" customHeight="true" outlineLevel="0" collapsed="false">
      <c r="A5674" s="8"/>
      <c r="B5674" s="8"/>
      <c r="C5674" s="8"/>
      <c r="D5674" s="8"/>
      <c r="E5674" s="8"/>
      <c r="F5674" s="8"/>
      <c r="G5674" s="10" t="str">
        <f aca="false">IF($A5674="","",UPPER(SUBSTITUTE(SUBSTITUTE(SUBSTITUTE(SUBSTITUTE($A5674," ",""),"(주)",""),"주식회사",""),"㈜","")))</f>
        <v/>
      </c>
      <c r="H5674" s="10" t="str">
        <f aca="false">IF($B5674="","",SUBSTITUTE(SUBSTITUTE(SUBSTITUTE($B5674,"-","")," ",""),".",""))</f>
        <v/>
      </c>
      <c r="I5674" s="10" t="str">
        <f aca="false">IF($D5674="","",SUBSTITUTE(SUBSTITUTE(SUBSTITUTE($D5674,"-","")," ",""),".",""))</f>
        <v/>
      </c>
      <c r="J5674" s="10" t="str">
        <f aca="false">IF($E5674="","",UPPER(SUBSTITUTE($E5674," ","")))</f>
        <v/>
      </c>
      <c r="K5674" s="10" t="str">
        <f aca="false">IF($A5674="","",$G5674&amp;"|"&amp;$J5674)</f>
        <v/>
      </c>
      <c r="L5674" s="10" t="str">
        <f aca="false">IF($A5674="","",ROW()-2)</f>
        <v/>
      </c>
      <c r="M5674" s="10" t="str">
        <f aca="false">IF($A5674="","",ROW())</f>
        <v/>
      </c>
    </row>
    <row r="5675" customFormat="false" ht="15" hidden="false" customHeight="true" outlineLevel="0" collapsed="false">
      <c r="A5675" s="8"/>
      <c r="B5675" s="8"/>
      <c r="C5675" s="8"/>
      <c r="D5675" s="8"/>
      <c r="E5675" s="8"/>
      <c r="F5675" s="8"/>
      <c r="G5675" s="10" t="str">
        <f aca="false">IF($A5675="","",UPPER(SUBSTITUTE(SUBSTITUTE(SUBSTITUTE(SUBSTITUTE($A5675," ",""),"(주)",""),"주식회사",""),"㈜","")))</f>
        <v/>
      </c>
      <c r="H5675" s="10" t="str">
        <f aca="false">IF($B5675="","",SUBSTITUTE(SUBSTITUTE(SUBSTITUTE($B5675,"-","")," ",""),".",""))</f>
        <v/>
      </c>
      <c r="I5675" s="10" t="str">
        <f aca="false">IF($D5675="","",SUBSTITUTE(SUBSTITUTE(SUBSTITUTE($D5675,"-","")," ",""),".",""))</f>
        <v/>
      </c>
      <c r="J5675" s="10" t="str">
        <f aca="false">IF($E5675="","",UPPER(SUBSTITUTE($E5675," ","")))</f>
        <v/>
      </c>
      <c r="K5675" s="10" t="str">
        <f aca="false">IF($A5675="","",$G5675&amp;"|"&amp;$J5675)</f>
        <v/>
      </c>
      <c r="L5675" s="10" t="str">
        <f aca="false">IF($A5675="","",ROW()-2)</f>
        <v/>
      </c>
      <c r="M5675" s="10" t="str">
        <f aca="false">IF($A5675="","",ROW())</f>
        <v/>
      </c>
    </row>
    <row r="5676" customFormat="false" ht="15" hidden="false" customHeight="true" outlineLevel="0" collapsed="false">
      <c r="A5676" s="8"/>
      <c r="B5676" s="8"/>
      <c r="C5676" s="8"/>
      <c r="D5676" s="8"/>
      <c r="E5676" s="8"/>
      <c r="F5676" s="8"/>
      <c r="G5676" s="10" t="str">
        <f aca="false">IF($A5676="","",UPPER(SUBSTITUTE(SUBSTITUTE(SUBSTITUTE(SUBSTITUTE($A5676," ",""),"(주)",""),"주식회사",""),"㈜","")))</f>
        <v/>
      </c>
      <c r="H5676" s="10" t="str">
        <f aca="false">IF($B5676="","",SUBSTITUTE(SUBSTITUTE(SUBSTITUTE($B5676,"-","")," ",""),".",""))</f>
        <v/>
      </c>
      <c r="I5676" s="10" t="str">
        <f aca="false">IF($D5676="","",SUBSTITUTE(SUBSTITUTE(SUBSTITUTE($D5676,"-","")," ",""),".",""))</f>
        <v/>
      </c>
      <c r="J5676" s="10" t="str">
        <f aca="false">IF($E5676="","",UPPER(SUBSTITUTE($E5676," ","")))</f>
        <v/>
      </c>
      <c r="K5676" s="10" t="str">
        <f aca="false">IF($A5676="","",$G5676&amp;"|"&amp;$J5676)</f>
        <v/>
      </c>
      <c r="L5676" s="10" t="str">
        <f aca="false">IF($A5676="","",ROW()-2)</f>
        <v/>
      </c>
      <c r="M5676" s="10" t="str">
        <f aca="false">IF($A5676="","",ROW())</f>
        <v/>
      </c>
    </row>
    <row r="5677" customFormat="false" ht="15" hidden="false" customHeight="true" outlineLevel="0" collapsed="false">
      <c r="A5677" s="8"/>
      <c r="B5677" s="8"/>
      <c r="C5677" s="8"/>
      <c r="D5677" s="8"/>
      <c r="E5677" s="8"/>
      <c r="F5677" s="8"/>
      <c r="G5677" s="10" t="str">
        <f aca="false">IF($A5677="","",UPPER(SUBSTITUTE(SUBSTITUTE(SUBSTITUTE(SUBSTITUTE($A5677," ",""),"(주)",""),"주식회사",""),"㈜","")))</f>
        <v/>
      </c>
      <c r="H5677" s="10" t="str">
        <f aca="false">IF($B5677="","",SUBSTITUTE(SUBSTITUTE(SUBSTITUTE($B5677,"-","")," ",""),".",""))</f>
        <v/>
      </c>
      <c r="I5677" s="10" t="str">
        <f aca="false">IF($D5677="","",SUBSTITUTE(SUBSTITUTE(SUBSTITUTE($D5677,"-","")," ",""),".",""))</f>
        <v/>
      </c>
      <c r="J5677" s="10" t="str">
        <f aca="false">IF($E5677="","",UPPER(SUBSTITUTE($E5677," ","")))</f>
        <v/>
      </c>
      <c r="K5677" s="10" t="str">
        <f aca="false">IF($A5677="","",$G5677&amp;"|"&amp;$J5677)</f>
        <v/>
      </c>
      <c r="L5677" s="10" t="str">
        <f aca="false">IF($A5677="","",ROW()-2)</f>
        <v/>
      </c>
      <c r="M5677" s="10" t="str">
        <f aca="false">IF($A5677="","",ROW())</f>
        <v/>
      </c>
    </row>
    <row r="5678" customFormat="false" ht="15" hidden="false" customHeight="true" outlineLevel="0" collapsed="false">
      <c r="A5678" s="8"/>
      <c r="B5678" s="8"/>
      <c r="C5678" s="8"/>
      <c r="D5678" s="8"/>
      <c r="E5678" s="8"/>
      <c r="F5678" s="8"/>
      <c r="G5678" s="10" t="str">
        <f aca="false">IF($A5678="","",UPPER(SUBSTITUTE(SUBSTITUTE(SUBSTITUTE(SUBSTITUTE($A5678," ",""),"(주)",""),"주식회사",""),"㈜","")))</f>
        <v/>
      </c>
      <c r="H5678" s="10" t="str">
        <f aca="false">IF($B5678="","",SUBSTITUTE(SUBSTITUTE(SUBSTITUTE($B5678,"-","")," ",""),".",""))</f>
        <v/>
      </c>
      <c r="I5678" s="10" t="str">
        <f aca="false">IF($D5678="","",SUBSTITUTE(SUBSTITUTE(SUBSTITUTE($D5678,"-","")," ",""),".",""))</f>
        <v/>
      </c>
      <c r="J5678" s="10" t="str">
        <f aca="false">IF($E5678="","",UPPER(SUBSTITUTE($E5678," ","")))</f>
        <v/>
      </c>
      <c r="K5678" s="10" t="str">
        <f aca="false">IF($A5678="","",$G5678&amp;"|"&amp;$J5678)</f>
        <v/>
      </c>
      <c r="L5678" s="10" t="str">
        <f aca="false">IF($A5678="","",ROW()-2)</f>
        <v/>
      </c>
      <c r="M5678" s="10" t="str">
        <f aca="false">IF($A5678="","",ROW())</f>
        <v/>
      </c>
    </row>
    <row r="5679" customFormat="false" ht="15" hidden="false" customHeight="true" outlineLevel="0" collapsed="false">
      <c r="A5679" s="8"/>
      <c r="B5679" s="8"/>
      <c r="C5679" s="8"/>
      <c r="D5679" s="8"/>
      <c r="E5679" s="8"/>
      <c r="F5679" s="8"/>
      <c r="G5679" s="10" t="str">
        <f aca="false">IF($A5679="","",UPPER(SUBSTITUTE(SUBSTITUTE(SUBSTITUTE(SUBSTITUTE($A5679," ",""),"(주)",""),"주식회사",""),"㈜","")))</f>
        <v/>
      </c>
      <c r="H5679" s="10" t="str">
        <f aca="false">IF($B5679="","",SUBSTITUTE(SUBSTITUTE(SUBSTITUTE($B5679,"-","")," ",""),".",""))</f>
        <v/>
      </c>
      <c r="I5679" s="10" t="str">
        <f aca="false">IF($D5679="","",SUBSTITUTE(SUBSTITUTE(SUBSTITUTE($D5679,"-","")," ",""),".",""))</f>
        <v/>
      </c>
      <c r="J5679" s="10" t="str">
        <f aca="false">IF($E5679="","",UPPER(SUBSTITUTE($E5679," ","")))</f>
        <v/>
      </c>
      <c r="K5679" s="10" t="str">
        <f aca="false">IF($A5679="","",$G5679&amp;"|"&amp;$J5679)</f>
        <v/>
      </c>
      <c r="L5679" s="10" t="str">
        <f aca="false">IF($A5679="","",ROW()-2)</f>
        <v/>
      </c>
      <c r="M5679" s="10" t="str">
        <f aca="false">IF($A5679="","",ROW())</f>
        <v/>
      </c>
    </row>
    <row r="5680" customFormat="false" ht="15" hidden="false" customHeight="true" outlineLevel="0" collapsed="false">
      <c r="A5680" s="8"/>
      <c r="B5680" s="8"/>
      <c r="C5680" s="8"/>
      <c r="D5680" s="8"/>
      <c r="E5680" s="8"/>
      <c r="F5680" s="8"/>
      <c r="G5680" s="10" t="str">
        <f aca="false">IF($A5680="","",UPPER(SUBSTITUTE(SUBSTITUTE(SUBSTITUTE(SUBSTITUTE($A5680," ",""),"(주)",""),"주식회사",""),"㈜","")))</f>
        <v/>
      </c>
      <c r="H5680" s="10" t="str">
        <f aca="false">IF($B5680="","",SUBSTITUTE(SUBSTITUTE(SUBSTITUTE($B5680,"-","")," ",""),".",""))</f>
        <v/>
      </c>
      <c r="I5680" s="10" t="str">
        <f aca="false">IF($D5680="","",SUBSTITUTE(SUBSTITUTE(SUBSTITUTE($D5680,"-","")," ",""),".",""))</f>
        <v/>
      </c>
      <c r="J5680" s="10" t="str">
        <f aca="false">IF($E5680="","",UPPER(SUBSTITUTE($E5680," ","")))</f>
        <v/>
      </c>
      <c r="K5680" s="10" t="str">
        <f aca="false">IF($A5680="","",$G5680&amp;"|"&amp;$J5680)</f>
        <v/>
      </c>
      <c r="L5680" s="10" t="str">
        <f aca="false">IF($A5680="","",ROW()-2)</f>
        <v/>
      </c>
      <c r="M5680" s="10" t="str">
        <f aca="false">IF($A5680="","",ROW())</f>
        <v/>
      </c>
    </row>
    <row r="5681" customFormat="false" ht="15" hidden="false" customHeight="true" outlineLevel="0" collapsed="false">
      <c r="A5681" s="8"/>
      <c r="B5681" s="8"/>
      <c r="C5681" s="8"/>
      <c r="D5681" s="8"/>
      <c r="E5681" s="8"/>
      <c r="F5681" s="8"/>
      <c r="G5681" s="10" t="str">
        <f aca="false">IF($A5681="","",UPPER(SUBSTITUTE(SUBSTITUTE(SUBSTITUTE(SUBSTITUTE($A5681," ",""),"(주)",""),"주식회사",""),"㈜","")))</f>
        <v/>
      </c>
      <c r="H5681" s="10" t="str">
        <f aca="false">IF($B5681="","",SUBSTITUTE(SUBSTITUTE(SUBSTITUTE($B5681,"-","")," ",""),".",""))</f>
        <v/>
      </c>
      <c r="I5681" s="10" t="str">
        <f aca="false">IF($D5681="","",SUBSTITUTE(SUBSTITUTE(SUBSTITUTE($D5681,"-","")," ",""),".",""))</f>
        <v/>
      </c>
      <c r="J5681" s="10" t="str">
        <f aca="false">IF($E5681="","",UPPER(SUBSTITUTE($E5681," ","")))</f>
        <v/>
      </c>
      <c r="K5681" s="10" t="str">
        <f aca="false">IF($A5681="","",$G5681&amp;"|"&amp;$J5681)</f>
        <v/>
      </c>
      <c r="L5681" s="10" t="str">
        <f aca="false">IF($A5681="","",ROW()-2)</f>
        <v/>
      </c>
      <c r="M5681" s="10" t="str">
        <f aca="false">IF($A5681="","",ROW())</f>
        <v/>
      </c>
    </row>
    <row r="5682" customFormat="false" ht="15" hidden="false" customHeight="true" outlineLevel="0" collapsed="false">
      <c r="A5682" s="8"/>
      <c r="B5682" s="8"/>
      <c r="C5682" s="8"/>
      <c r="D5682" s="8"/>
      <c r="E5682" s="8"/>
      <c r="F5682" s="8"/>
      <c r="G5682" s="10" t="str">
        <f aca="false">IF($A5682="","",UPPER(SUBSTITUTE(SUBSTITUTE(SUBSTITUTE(SUBSTITUTE($A5682," ",""),"(주)",""),"주식회사",""),"㈜","")))</f>
        <v/>
      </c>
      <c r="H5682" s="10" t="str">
        <f aca="false">IF($B5682="","",SUBSTITUTE(SUBSTITUTE(SUBSTITUTE($B5682,"-","")," ",""),".",""))</f>
        <v/>
      </c>
      <c r="I5682" s="10" t="str">
        <f aca="false">IF($D5682="","",SUBSTITUTE(SUBSTITUTE(SUBSTITUTE($D5682,"-","")," ",""),".",""))</f>
        <v/>
      </c>
      <c r="J5682" s="10" t="str">
        <f aca="false">IF($E5682="","",UPPER(SUBSTITUTE($E5682," ","")))</f>
        <v/>
      </c>
      <c r="K5682" s="10" t="str">
        <f aca="false">IF($A5682="","",$G5682&amp;"|"&amp;$J5682)</f>
        <v/>
      </c>
      <c r="L5682" s="10" t="str">
        <f aca="false">IF($A5682="","",ROW()-2)</f>
        <v/>
      </c>
      <c r="M5682" s="10" t="str">
        <f aca="false">IF($A5682="","",ROW())</f>
        <v/>
      </c>
    </row>
    <row r="5683" customFormat="false" ht="15" hidden="false" customHeight="true" outlineLevel="0" collapsed="false">
      <c r="A5683" s="8"/>
      <c r="B5683" s="8"/>
      <c r="C5683" s="8"/>
      <c r="D5683" s="8"/>
      <c r="E5683" s="8"/>
      <c r="F5683" s="8"/>
      <c r="G5683" s="10" t="str">
        <f aca="false">IF($A5683="","",UPPER(SUBSTITUTE(SUBSTITUTE(SUBSTITUTE(SUBSTITUTE($A5683," ",""),"(주)",""),"주식회사",""),"㈜","")))</f>
        <v/>
      </c>
      <c r="H5683" s="10" t="str">
        <f aca="false">IF($B5683="","",SUBSTITUTE(SUBSTITUTE(SUBSTITUTE($B5683,"-","")," ",""),".",""))</f>
        <v/>
      </c>
      <c r="I5683" s="10" t="str">
        <f aca="false">IF($D5683="","",SUBSTITUTE(SUBSTITUTE(SUBSTITUTE($D5683,"-","")," ",""),".",""))</f>
        <v/>
      </c>
      <c r="J5683" s="10" t="str">
        <f aca="false">IF($E5683="","",UPPER(SUBSTITUTE($E5683," ","")))</f>
        <v/>
      </c>
      <c r="K5683" s="10" t="str">
        <f aca="false">IF($A5683="","",$G5683&amp;"|"&amp;$J5683)</f>
        <v/>
      </c>
      <c r="L5683" s="10" t="str">
        <f aca="false">IF($A5683="","",ROW()-2)</f>
        <v/>
      </c>
      <c r="M5683" s="10" t="str">
        <f aca="false">IF($A5683="","",ROW())</f>
        <v/>
      </c>
    </row>
    <row r="5684" customFormat="false" ht="15" hidden="false" customHeight="true" outlineLevel="0" collapsed="false">
      <c r="A5684" s="8"/>
      <c r="B5684" s="8"/>
      <c r="C5684" s="8"/>
      <c r="D5684" s="8"/>
      <c r="E5684" s="8"/>
      <c r="F5684" s="8"/>
      <c r="G5684" s="10" t="str">
        <f aca="false">IF($A5684="","",UPPER(SUBSTITUTE(SUBSTITUTE(SUBSTITUTE(SUBSTITUTE($A5684," ",""),"(주)",""),"주식회사",""),"㈜","")))</f>
        <v/>
      </c>
      <c r="H5684" s="10" t="str">
        <f aca="false">IF($B5684="","",SUBSTITUTE(SUBSTITUTE(SUBSTITUTE($B5684,"-","")," ",""),".",""))</f>
        <v/>
      </c>
      <c r="I5684" s="10" t="str">
        <f aca="false">IF($D5684="","",SUBSTITUTE(SUBSTITUTE(SUBSTITUTE($D5684,"-","")," ",""),".",""))</f>
        <v/>
      </c>
      <c r="J5684" s="10" t="str">
        <f aca="false">IF($E5684="","",UPPER(SUBSTITUTE($E5684," ","")))</f>
        <v/>
      </c>
      <c r="K5684" s="10" t="str">
        <f aca="false">IF($A5684="","",$G5684&amp;"|"&amp;$J5684)</f>
        <v/>
      </c>
      <c r="L5684" s="10" t="str">
        <f aca="false">IF($A5684="","",ROW()-2)</f>
        <v/>
      </c>
      <c r="M5684" s="10" t="str">
        <f aca="false">IF($A5684="","",ROW())</f>
        <v/>
      </c>
    </row>
    <row r="5685" customFormat="false" ht="15" hidden="false" customHeight="true" outlineLevel="0" collapsed="false">
      <c r="A5685" s="8"/>
      <c r="B5685" s="8"/>
      <c r="C5685" s="8"/>
      <c r="D5685" s="8"/>
      <c r="E5685" s="8"/>
      <c r="F5685" s="8"/>
      <c r="G5685" s="10" t="str">
        <f aca="false">IF($A5685="","",UPPER(SUBSTITUTE(SUBSTITUTE(SUBSTITUTE(SUBSTITUTE($A5685," ",""),"(주)",""),"주식회사",""),"㈜","")))</f>
        <v/>
      </c>
      <c r="H5685" s="10" t="str">
        <f aca="false">IF($B5685="","",SUBSTITUTE(SUBSTITUTE(SUBSTITUTE($B5685,"-","")," ",""),".",""))</f>
        <v/>
      </c>
      <c r="I5685" s="10" t="str">
        <f aca="false">IF($D5685="","",SUBSTITUTE(SUBSTITUTE(SUBSTITUTE($D5685,"-","")," ",""),".",""))</f>
        <v/>
      </c>
      <c r="J5685" s="10" t="str">
        <f aca="false">IF($E5685="","",UPPER(SUBSTITUTE($E5685," ","")))</f>
        <v/>
      </c>
      <c r="K5685" s="10" t="str">
        <f aca="false">IF($A5685="","",$G5685&amp;"|"&amp;$J5685)</f>
        <v/>
      </c>
      <c r="L5685" s="10" t="str">
        <f aca="false">IF($A5685="","",ROW()-2)</f>
        <v/>
      </c>
      <c r="M5685" s="10" t="str">
        <f aca="false">IF($A5685="","",ROW())</f>
        <v/>
      </c>
    </row>
    <row r="5686" customFormat="false" ht="15" hidden="false" customHeight="true" outlineLevel="0" collapsed="false">
      <c r="A5686" s="8"/>
      <c r="B5686" s="8"/>
      <c r="C5686" s="8"/>
      <c r="D5686" s="8"/>
      <c r="E5686" s="8"/>
      <c r="F5686" s="8"/>
      <c r="G5686" s="10" t="str">
        <f aca="false">IF($A5686="","",UPPER(SUBSTITUTE(SUBSTITUTE(SUBSTITUTE(SUBSTITUTE($A5686," ",""),"(주)",""),"주식회사",""),"㈜","")))</f>
        <v/>
      </c>
      <c r="H5686" s="10" t="str">
        <f aca="false">IF($B5686="","",SUBSTITUTE(SUBSTITUTE(SUBSTITUTE($B5686,"-","")," ",""),".",""))</f>
        <v/>
      </c>
      <c r="I5686" s="10" t="str">
        <f aca="false">IF($D5686="","",SUBSTITUTE(SUBSTITUTE(SUBSTITUTE($D5686,"-","")," ",""),".",""))</f>
        <v/>
      </c>
      <c r="J5686" s="10" t="str">
        <f aca="false">IF($E5686="","",UPPER(SUBSTITUTE($E5686," ","")))</f>
        <v/>
      </c>
      <c r="K5686" s="10" t="str">
        <f aca="false">IF($A5686="","",$G5686&amp;"|"&amp;$J5686)</f>
        <v/>
      </c>
      <c r="L5686" s="10" t="str">
        <f aca="false">IF($A5686="","",ROW()-2)</f>
        <v/>
      </c>
      <c r="M5686" s="10" t="str">
        <f aca="false">IF($A5686="","",ROW())</f>
        <v/>
      </c>
    </row>
    <row r="5687" customFormat="false" ht="15" hidden="false" customHeight="true" outlineLevel="0" collapsed="false">
      <c r="A5687" s="8"/>
      <c r="B5687" s="8"/>
      <c r="C5687" s="8"/>
      <c r="D5687" s="8"/>
      <c r="E5687" s="8"/>
      <c r="F5687" s="8"/>
      <c r="G5687" s="10" t="str">
        <f aca="false">IF($A5687="","",UPPER(SUBSTITUTE(SUBSTITUTE(SUBSTITUTE(SUBSTITUTE($A5687," ",""),"(주)",""),"주식회사",""),"㈜","")))</f>
        <v/>
      </c>
      <c r="H5687" s="10" t="str">
        <f aca="false">IF($B5687="","",SUBSTITUTE(SUBSTITUTE(SUBSTITUTE($B5687,"-","")," ",""),".",""))</f>
        <v/>
      </c>
      <c r="I5687" s="10" t="str">
        <f aca="false">IF($D5687="","",SUBSTITUTE(SUBSTITUTE(SUBSTITUTE($D5687,"-","")," ",""),".",""))</f>
        <v/>
      </c>
      <c r="J5687" s="10" t="str">
        <f aca="false">IF($E5687="","",UPPER(SUBSTITUTE($E5687," ","")))</f>
        <v/>
      </c>
      <c r="K5687" s="10" t="str">
        <f aca="false">IF($A5687="","",$G5687&amp;"|"&amp;$J5687)</f>
        <v/>
      </c>
      <c r="L5687" s="10" t="str">
        <f aca="false">IF($A5687="","",ROW()-2)</f>
        <v/>
      </c>
      <c r="M5687" s="10" t="str">
        <f aca="false">IF($A5687="","",ROW())</f>
        <v/>
      </c>
    </row>
    <row r="5688" customFormat="false" ht="15" hidden="false" customHeight="true" outlineLevel="0" collapsed="false">
      <c r="A5688" s="8"/>
      <c r="B5688" s="8"/>
      <c r="C5688" s="8"/>
      <c r="D5688" s="8"/>
      <c r="E5688" s="8"/>
      <c r="F5688" s="8"/>
      <c r="G5688" s="10" t="str">
        <f aca="false">IF($A5688="","",UPPER(SUBSTITUTE(SUBSTITUTE(SUBSTITUTE(SUBSTITUTE($A5688," ",""),"(주)",""),"주식회사",""),"㈜","")))</f>
        <v/>
      </c>
      <c r="H5688" s="10" t="str">
        <f aca="false">IF($B5688="","",SUBSTITUTE(SUBSTITUTE(SUBSTITUTE($B5688,"-","")," ",""),".",""))</f>
        <v/>
      </c>
      <c r="I5688" s="10" t="str">
        <f aca="false">IF($D5688="","",SUBSTITUTE(SUBSTITUTE(SUBSTITUTE($D5688,"-","")," ",""),".",""))</f>
        <v/>
      </c>
      <c r="J5688" s="10" t="str">
        <f aca="false">IF($E5688="","",UPPER(SUBSTITUTE($E5688," ","")))</f>
        <v/>
      </c>
      <c r="K5688" s="10" t="str">
        <f aca="false">IF($A5688="","",$G5688&amp;"|"&amp;$J5688)</f>
        <v/>
      </c>
      <c r="L5688" s="10" t="str">
        <f aca="false">IF($A5688="","",ROW()-2)</f>
        <v/>
      </c>
      <c r="M5688" s="10" t="str">
        <f aca="false">IF($A5688="","",ROW())</f>
        <v/>
      </c>
    </row>
    <row r="5689" customFormat="false" ht="15" hidden="false" customHeight="true" outlineLevel="0" collapsed="false">
      <c r="A5689" s="8"/>
      <c r="B5689" s="8"/>
      <c r="C5689" s="8"/>
      <c r="D5689" s="8"/>
      <c r="E5689" s="8"/>
      <c r="F5689" s="8"/>
      <c r="G5689" s="10" t="str">
        <f aca="false">IF($A5689="","",UPPER(SUBSTITUTE(SUBSTITUTE(SUBSTITUTE(SUBSTITUTE($A5689," ",""),"(주)",""),"주식회사",""),"㈜","")))</f>
        <v/>
      </c>
      <c r="H5689" s="10" t="str">
        <f aca="false">IF($B5689="","",SUBSTITUTE(SUBSTITUTE(SUBSTITUTE($B5689,"-","")," ",""),".",""))</f>
        <v/>
      </c>
      <c r="I5689" s="10" t="str">
        <f aca="false">IF($D5689="","",SUBSTITUTE(SUBSTITUTE(SUBSTITUTE($D5689,"-","")," ",""),".",""))</f>
        <v/>
      </c>
      <c r="J5689" s="10" t="str">
        <f aca="false">IF($E5689="","",UPPER(SUBSTITUTE($E5689," ","")))</f>
        <v/>
      </c>
      <c r="K5689" s="10" t="str">
        <f aca="false">IF($A5689="","",$G5689&amp;"|"&amp;$J5689)</f>
        <v/>
      </c>
      <c r="L5689" s="10" t="str">
        <f aca="false">IF($A5689="","",ROW()-2)</f>
        <v/>
      </c>
      <c r="M5689" s="10" t="str">
        <f aca="false">IF($A5689="","",ROW())</f>
        <v/>
      </c>
    </row>
    <row r="5690" customFormat="false" ht="15" hidden="false" customHeight="true" outlineLevel="0" collapsed="false">
      <c r="A5690" s="8"/>
      <c r="B5690" s="8"/>
      <c r="C5690" s="8"/>
      <c r="D5690" s="8"/>
      <c r="E5690" s="8"/>
      <c r="F5690" s="8"/>
      <c r="G5690" s="10" t="str">
        <f aca="false">IF($A5690="","",UPPER(SUBSTITUTE(SUBSTITUTE(SUBSTITUTE(SUBSTITUTE($A5690," ",""),"(주)",""),"주식회사",""),"㈜","")))</f>
        <v/>
      </c>
      <c r="H5690" s="10" t="str">
        <f aca="false">IF($B5690="","",SUBSTITUTE(SUBSTITUTE(SUBSTITUTE($B5690,"-","")," ",""),".",""))</f>
        <v/>
      </c>
      <c r="I5690" s="10" t="str">
        <f aca="false">IF($D5690="","",SUBSTITUTE(SUBSTITUTE(SUBSTITUTE($D5690,"-","")," ",""),".",""))</f>
        <v/>
      </c>
      <c r="J5690" s="10" t="str">
        <f aca="false">IF($E5690="","",UPPER(SUBSTITUTE($E5690," ","")))</f>
        <v/>
      </c>
      <c r="K5690" s="10" t="str">
        <f aca="false">IF($A5690="","",$G5690&amp;"|"&amp;$J5690)</f>
        <v/>
      </c>
      <c r="L5690" s="10" t="str">
        <f aca="false">IF($A5690="","",ROW()-2)</f>
        <v/>
      </c>
      <c r="M5690" s="10" t="str">
        <f aca="false">IF($A5690="","",ROW())</f>
        <v/>
      </c>
    </row>
    <row r="5691" customFormat="false" ht="15" hidden="false" customHeight="true" outlineLevel="0" collapsed="false">
      <c r="A5691" s="8"/>
      <c r="B5691" s="8"/>
      <c r="C5691" s="8"/>
      <c r="D5691" s="8"/>
      <c r="E5691" s="8"/>
      <c r="F5691" s="8"/>
      <c r="G5691" s="10" t="str">
        <f aca="false">IF($A5691="","",UPPER(SUBSTITUTE(SUBSTITUTE(SUBSTITUTE(SUBSTITUTE($A5691," ",""),"(주)",""),"주식회사",""),"㈜","")))</f>
        <v/>
      </c>
      <c r="H5691" s="10" t="str">
        <f aca="false">IF($B5691="","",SUBSTITUTE(SUBSTITUTE(SUBSTITUTE($B5691,"-","")," ",""),".",""))</f>
        <v/>
      </c>
      <c r="I5691" s="10" t="str">
        <f aca="false">IF($D5691="","",SUBSTITUTE(SUBSTITUTE(SUBSTITUTE($D5691,"-","")," ",""),".",""))</f>
        <v/>
      </c>
      <c r="J5691" s="10" t="str">
        <f aca="false">IF($E5691="","",UPPER(SUBSTITUTE($E5691," ","")))</f>
        <v/>
      </c>
      <c r="K5691" s="10" t="str">
        <f aca="false">IF($A5691="","",$G5691&amp;"|"&amp;$J5691)</f>
        <v/>
      </c>
      <c r="L5691" s="10" t="str">
        <f aca="false">IF($A5691="","",ROW()-2)</f>
        <v/>
      </c>
      <c r="M5691" s="10" t="str">
        <f aca="false">IF($A5691="","",ROW())</f>
        <v/>
      </c>
    </row>
    <row r="5692" customFormat="false" ht="15" hidden="false" customHeight="true" outlineLevel="0" collapsed="false">
      <c r="A5692" s="8"/>
      <c r="B5692" s="8"/>
      <c r="C5692" s="8"/>
      <c r="D5692" s="8"/>
      <c r="E5692" s="8"/>
      <c r="F5692" s="8"/>
      <c r="G5692" s="10" t="str">
        <f aca="false">IF($A5692="","",UPPER(SUBSTITUTE(SUBSTITUTE(SUBSTITUTE(SUBSTITUTE($A5692," ",""),"(주)",""),"주식회사",""),"㈜","")))</f>
        <v/>
      </c>
      <c r="H5692" s="10" t="str">
        <f aca="false">IF($B5692="","",SUBSTITUTE(SUBSTITUTE(SUBSTITUTE($B5692,"-","")," ",""),".",""))</f>
        <v/>
      </c>
      <c r="I5692" s="10" t="str">
        <f aca="false">IF($D5692="","",SUBSTITUTE(SUBSTITUTE(SUBSTITUTE($D5692,"-","")," ",""),".",""))</f>
        <v/>
      </c>
      <c r="J5692" s="10" t="str">
        <f aca="false">IF($E5692="","",UPPER(SUBSTITUTE($E5692," ","")))</f>
        <v/>
      </c>
      <c r="K5692" s="10" t="str">
        <f aca="false">IF($A5692="","",$G5692&amp;"|"&amp;$J5692)</f>
        <v/>
      </c>
      <c r="L5692" s="10" t="str">
        <f aca="false">IF($A5692="","",ROW()-2)</f>
        <v/>
      </c>
      <c r="M5692" s="10" t="str">
        <f aca="false">IF($A5692="","",ROW())</f>
        <v/>
      </c>
    </row>
    <row r="5693" customFormat="false" ht="15" hidden="false" customHeight="true" outlineLevel="0" collapsed="false">
      <c r="A5693" s="8"/>
      <c r="B5693" s="8"/>
      <c r="C5693" s="8"/>
      <c r="D5693" s="8"/>
      <c r="E5693" s="8"/>
      <c r="F5693" s="8"/>
      <c r="G5693" s="10" t="str">
        <f aca="false">IF($A5693="","",UPPER(SUBSTITUTE(SUBSTITUTE(SUBSTITUTE(SUBSTITUTE($A5693," ",""),"(주)",""),"주식회사",""),"㈜","")))</f>
        <v/>
      </c>
      <c r="H5693" s="10" t="str">
        <f aca="false">IF($B5693="","",SUBSTITUTE(SUBSTITUTE(SUBSTITUTE($B5693,"-","")," ",""),".",""))</f>
        <v/>
      </c>
      <c r="I5693" s="10" t="str">
        <f aca="false">IF($D5693="","",SUBSTITUTE(SUBSTITUTE(SUBSTITUTE($D5693,"-","")," ",""),".",""))</f>
        <v/>
      </c>
      <c r="J5693" s="10" t="str">
        <f aca="false">IF($E5693="","",UPPER(SUBSTITUTE($E5693," ","")))</f>
        <v/>
      </c>
      <c r="K5693" s="10" t="str">
        <f aca="false">IF($A5693="","",$G5693&amp;"|"&amp;$J5693)</f>
        <v/>
      </c>
      <c r="L5693" s="10" t="str">
        <f aca="false">IF($A5693="","",ROW()-2)</f>
        <v/>
      </c>
      <c r="M5693" s="10" t="str">
        <f aca="false">IF($A5693="","",ROW())</f>
        <v/>
      </c>
    </row>
    <row r="5694" customFormat="false" ht="15" hidden="false" customHeight="true" outlineLevel="0" collapsed="false">
      <c r="A5694" s="8"/>
      <c r="B5694" s="8"/>
      <c r="C5694" s="8"/>
      <c r="D5694" s="8"/>
      <c r="E5694" s="8"/>
      <c r="F5694" s="8"/>
      <c r="G5694" s="10" t="str">
        <f aca="false">IF($A5694="","",UPPER(SUBSTITUTE(SUBSTITUTE(SUBSTITUTE(SUBSTITUTE($A5694," ",""),"(주)",""),"주식회사",""),"㈜","")))</f>
        <v/>
      </c>
      <c r="H5694" s="10" t="str">
        <f aca="false">IF($B5694="","",SUBSTITUTE(SUBSTITUTE(SUBSTITUTE($B5694,"-","")," ",""),".",""))</f>
        <v/>
      </c>
      <c r="I5694" s="10" t="str">
        <f aca="false">IF($D5694="","",SUBSTITUTE(SUBSTITUTE(SUBSTITUTE($D5694,"-","")," ",""),".",""))</f>
        <v/>
      </c>
      <c r="J5694" s="10" t="str">
        <f aca="false">IF($E5694="","",UPPER(SUBSTITUTE($E5694," ","")))</f>
        <v/>
      </c>
      <c r="K5694" s="10" t="str">
        <f aca="false">IF($A5694="","",$G5694&amp;"|"&amp;$J5694)</f>
        <v/>
      </c>
      <c r="L5694" s="10" t="str">
        <f aca="false">IF($A5694="","",ROW()-2)</f>
        <v/>
      </c>
      <c r="M5694" s="10" t="str">
        <f aca="false">IF($A5694="","",ROW())</f>
        <v/>
      </c>
    </row>
    <row r="5695" customFormat="false" ht="15" hidden="false" customHeight="true" outlineLevel="0" collapsed="false">
      <c r="A5695" s="8"/>
      <c r="B5695" s="8"/>
      <c r="C5695" s="8"/>
      <c r="D5695" s="8"/>
      <c r="E5695" s="8"/>
      <c r="F5695" s="8"/>
      <c r="G5695" s="10" t="str">
        <f aca="false">IF($A5695="","",UPPER(SUBSTITUTE(SUBSTITUTE(SUBSTITUTE(SUBSTITUTE($A5695," ",""),"(주)",""),"주식회사",""),"㈜","")))</f>
        <v/>
      </c>
      <c r="H5695" s="10" t="str">
        <f aca="false">IF($B5695="","",SUBSTITUTE(SUBSTITUTE(SUBSTITUTE($B5695,"-","")," ",""),".",""))</f>
        <v/>
      </c>
      <c r="I5695" s="10" t="str">
        <f aca="false">IF($D5695="","",SUBSTITUTE(SUBSTITUTE(SUBSTITUTE($D5695,"-","")," ",""),".",""))</f>
        <v/>
      </c>
      <c r="J5695" s="10" t="str">
        <f aca="false">IF($E5695="","",UPPER(SUBSTITUTE($E5695," ","")))</f>
        <v/>
      </c>
      <c r="K5695" s="10" t="str">
        <f aca="false">IF($A5695="","",$G5695&amp;"|"&amp;$J5695)</f>
        <v/>
      </c>
      <c r="L5695" s="10" t="str">
        <f aca="false">IF($A5695="","",ROW()-2)</f>
        <v/>
      </c>
      <c r="M5695" s="10" t="str">
        <f aca="false">IF($A5695="","",ROW())</f>
        <v/>
      </c>
    </row>
    <row r="5696" customFormat="false" ht="15" hidden="false" customHeight="true" outlineLevel="0" collapsed="false">
      <c r="A5696" s="8"/>
      <c r="B5696" s="8"/>
      <c r="C5696" s="8"/>
      <c r="D5696" s="8"/>
      <c r="E5696" s="8"/>
      <c r="F5696" s="8"/>
      <c r="G5696" s="10" t="str">
        <f aca="false">IF($A5696="","",UPPER(SUBSTITUTE(SUBSTITUTE(SUBSTITUTE(SUBSTITUTE($A5696," ",""),"(주)",""),"주식회사",""),"㈜","")))</f>
        <v/>
      </c>
      <c r="H5696" s="10" t="str">
        <f aca="false">IF($B5696="","",SUBSTITUTE(SUBSTITUTE(SUBSTITUTE($B5696,"-","")," ",""),".",""))</f>
        <v/>
      </c>
      <c r="I5696" s="10" t="str">
        <f aca="false">IF($D5696="","",SUBSTITUTE(SUBSTITUTE(SUBSTITUTE($D5696,"-","")," ",""),".",""))</f>
        <v/>
      </c>
      <c r="J5696" s="10" t="str">
        <f aca="false">IF($E5696="","",UPPER(SUBSTITUTE($E5696," ","")))</f>
        <v/>
      </c>
      <c r="K5696" s="10" t="str">
        <f aca="false">IF($A5696="","",$G5696&amp;"|"&amp;$J5696)</f>
        <v/>
      </c>
      <c r="L5696" s="10" t="str">
        <f aca="false">IF($A5696="","",ROW()-2)</f>
        <v/>
      </c>
      <c r="M5696" s="10" t="str">
        <f aca="false">IF($A5696="","",ROW())</f>
        <v/>
      </c>
    </row>
    <row r="5697" customFormat="false" ht="15" hidden="false" customHeight="true" outlineLevel="0" collapsed="false">
      <c r="A5697" s="8"/>
      <c r="B5697" s="8"/>
      <c r="C5697" s="8"/>
      <c r="D5697" s="8"/>
      <c r="E5697" s="8"/>
      <c r="F5697" s="8"/>
      <c r="G5697" s="10" t="str">
        <f aca="false">IF($A5697="","",UPPER(SUBSTITUTE(SUBSTITUTE(SUBSTITUTE(SUBSTITUTE($A5697," ",""),"(주)",""),"주식회사",""),"㈜","")))</f>
        <v/>
      </c>
      <c r="H5697" s="10" t="str">
        <f aca="false">IF($B5697="","",SUBSTITUTE(SUBSTITUTE(SUBSTITUTE($B5697,"-","")," ",""),".",""))</f>
        <v/>
      </c>
      <c r="I5697" s="10" t="str">
        <f aca="false">IF($D5697="","",SUBSTITUTE(SUBSTITUTE(SUBSTITUTE($D5697,"-","")," ",""),".",""))</f>
        <v/>
      </c>
      <c r="J5697" s="10" t="str">
        <f aca="false">IF($E5697="","",UPPER(SUBSTITUTE($E5697," ","")))</f>
        <v/>
      </c>
      <c r="K5697" s="10" t="str">
        <f aca="false">IF($A5697="","",$G5697&amp;"|"&amp;$J5697)</f>
        <v/>
      </c>
      <c r="L5697" s="10" t="str">
        <f aca="false">IF($A5697="","",ROW()-2)</f>
        <v/>
      </c>
      <c r="M5697" s="10" t="str">
        <f aca="false">IF($A5697="","",ROW())</f>
        <v/>
      </c>
    </row>
    <row r="5698" customFormat="false" ht="15" hidden="false" customHeight="true" outlineLevel="0" collapsed="false">
      <c r="A5698" s="8"/>
      <c r="B5698" s="8"/>
      <c r="C5698" s="8"/>
      <c r="D5698" s="8"/>
      <c r="E5698" s="8"/>
      <c r="F5698" s="8"/>
      <c r="G5698" s="10" t="str">
        <f aca="false">IF($A5698="","",UPPER(SUBSTITUTE(SUBSTITUTE(SUBSTITUTE(SUBSTITUTE($A5698," ",""),"(주)",""),"주식회사",""),"㈜","")))</f>
        <v/>
      </c>
      <c r="H5698" s="10" t="str">
        <f aca="false">IF($B5698="","",SUBSTITUTE(SUBSTITUTE(SUBSTITUTE($B5698,"-","")," ",""),".",""))</f>
        <v/>
      </c>
      <c r="I5698" s="10" t="str">
        <f aca="false">IF($D5698="","",SUBSTITUTE(SUBSTITUTE(SUBSTITUTE($D5698,"-","")," ",""),".",""))</f>
        <v/>
      </c>
      <c r="J5698" s="10" t="str">
        <f aca="false">IF($E5698="","",UPPER(SUBSTITUTE($E5698," ","")))</f>
        <v/>
      </c>
      <c r="K5698" s="10" t="str">
        <f aca="false">IF($A5698="","",$G5698&amp;"|"&amp;$J5698)</f>
        <v/>
      </c>
      <c r="L5698" s="10" t="str">
        <f aca="false">IF($A5698="","",ROW()-2)</f>
        <v/>
      </c>
      <c r="M5698" s="10" t="str">
        <f aca="false">IF($A5698="","",ROW())</f>
        <v/>
      </c>
    </row>
    <row r="5699" customFormat="false" ht="15" hidden="false" customHeight="true" outlineLevel="0" collapsed="false">
      <c r="A5699" s="8"/>
      <c r="B5699" s="8"/>
      <c r="C5699" s="8"/>
      <c r="D5699" s="8"/>
      <c r="E5699" s="8"/>
      <c r="F5699" s="8"/>
      <c r="G5699" s="10" t="str">
        <f aca="false">IF($A5699="","",UPPER(SUBSTITUTE(SUBSTITUTE(SUBSTITUTE(SUBSTITUTE($A5699," ",""),"(주)",""),"주식회사",""),"㈜","")))</f>
        <v/>
      </c>
      <c r="H5699" s="10" t="str">
        <f aca="false">IF($B5699="","",SUBSTITUTE(SUBSTITUTE(SUBSTITUTE($B5699,"-","")," ",""),".",""))</f>
        <v/>
      </c>
      <c r="I5699" s="10" t="str">
        <f aca="false">IF($D5699="","",SUBSTITUTE(SUBSTITUTE(SUBSTITUTE($D5699,"-","")," ",""),".",""))</f>
        <v/>
      </c>
      <c r="J5699" s="10" t="str">
        <f aca="false">IF($E5699="","",UPPER(SUBSTITUTE($E5699," ","")))</f>
        <v/>
      </c>
      <c r="K5699" s="10" t="str">
        <f aca="false">IF($A5699="","",$G5699&amp;"|"&amp;$J5699)</f>
        <v/>
      </c>
      <c r="L5699" s="10" t="str">
        <f aca="false">IF($A5699="","",ROW()-2)</f>
        <v/>
      </c>
      <c r="M5699" s="10" t="str">
        <f aca="false">IF($A5699="","",ROW())</f>
        <v/>
      </c>
    </row>
    <row r="5700" customFormat="false" ht="15" hidden="false" customHeight="true" outlineLevel="0" collapsed="false">
      <c r="A5700" s="8"/>
      <c r="B5700" s="8"/>
      <c r="C5700" s="8"/>
      <c r="D5700" s="8"/>
      <c r="E5700" s="8"/>
      <c r="F5700" s="8"/>
      <c r="G5700" s="10" t="str">
        <f aca="false">IF($A5700="","",UPPER(SUBSTITUTE(SUBSTITUTE(SUBSTITUTE(SUBSTITUTE($A5700," ",""),"(주)",""),"주식회사",""),"㈜","")))</f>
        <v/>
      </c>
      <c r="H5700" s="10" t="str">
        <f aca="false">IF($B5700="","",SUBSTITUTE(SUBSTITUTE(SUBSTITUTE($B5700,"-","")," ",""),".",""))</f>
        <v/>
      </c>
      <c r="I5700" s="10" t="str">
        <f aca="false">IF($D5700="","",SUBSTITUTE(SUBSTITUTE(SUBSTITUTE($D5700,"-","")," ",""),".",""))</f>
        <v/>
      </c>
      <c r="J5700" s="10" t="str">
        <f aca="false">IF($E5700="","",UPPER(SUBSTITUTE($E5700," ","")))</f>
        <v/>
      </c>
      <c r="K5700" s="10" t="str">
        <f aca="false">IF($A5700="","",$G5700&amp;"|"&amp;$J5700)</f>
        <v/>
      </c>
      <c r="L5700" s="10" t="str">
        <f aca="false">IF($A5700="","",ROW()-2)</f>
        <v/>
      </c>
      <c r="M5700" s="10" t="str">
        <f aca="false">IF($A5700="","",ROW())</f>
        <v/>
      </c>
    </row>
    <row r="5701" customFormat="false" ht="15" hidden="false" customHeight="true" outlineLevel="0" collapsed="false">
      <c r="A5701" s="8"/>
      <c r="B5701" s="8"/>
      <c r="C5701" s="8"/>
      <c r="D5701" s="8"/>
      <c r="E5701" s="8"/>
      <c r="F5701" s="8"/>
      <c r="G5701" s="10" t="str">
        <f aca="false">IF($A5701="","",UPPER(SUBSTITUTE(SUBSTITUTE(SUBSTITUTE(SUBSTITUTE($A5701," ",""),"(주)",""),"주식회사",""),"㈜","")))</f>
        <v/>
      </c>
      <c r="H5701" s="10" t="str">
        <f aca="false">IF($B5701="","",SUBSTITUTE(SUBSTITUTE(SUBSTITUTE($B5701,"-","")," ",""),".",""))</f>
        <v/>
      </c>
      <c r="I5701" s="10" t="str">
        <f aca="false">IF($D5701="","",SUBSTITUTE(SUBSTITUTE(SUBSTITUTE($D5701,"-","")," ",""),".",""))</f>
        <v/>
      </c>
      <c r="J5701" s="10" t="str">
        <f aca="false">IF($E5701="","",UPPER(SUBSTITUTE($E5701," ","")))</f>
        <v/>
      </c>
      <c r="K5701" s="10" t="str">
        <f aca="false">IF($A5701="","",$G5701&amp;"|"&amp;$J5701)</f>
        <v/>
      </c>
      <c r="L5701" s="10" t="str">
        <f aca="false">IF($A5701="","",ROW()-2)</f>
        <v/>
      </c>
      <c r="M5701" s="10" t="str">
        <f aca="false">IF($A5701="","",ROW())</f>
        <v/>
      </c>
    </row>
    <row r="5702" customFormat="false" ht="15" hidden="false" customHeight="true" outlineLevel="0" collapsed="false">
      <c r="A5702" s="8"/>
      <c r="B5702" s="8"/>
      <c r="C5702" s="8"/>
      <c r="D5702" s="8"/>
      <c r="E5702" s="8"/>
      <c r="F5702" s="8"/>
      <c r="G5702" s="10" t="str">
        <f aca="false">IF($A5702="","",UPPER(SUBSTITUTE(SUBSTITUTE(SUBSTITUTE(SUBSTITUTE($A5702," ",""),"(주)",""),"주식회사",""),"㈜","")))</f>
        <v/>
      </c>
      <c r="H5702" s="10" t="str">
        <f aca="false">IF($B5702="","",SUBSTITUTE(SUBSTITUTE(SUBSTITUTE($B5702,"-","")," ",""),".",""))</f>
        <v/>
      </c>
      <c r="I5702" s="10" t="str">
        <f aca="false">IF($D5702="","",SUBSTITUTE(SUBSTITUTE(SUBSTITUTE($D5702,"-","")," ",""),".",""))</f>
        <v/>
      </c>
      <c r="J5702" s="10" t="str">
        <f aca="false">IF($E5702="","",UPPER(SUBSTITUTE($E5702," ","")))</f>
        <v/>
      </c>
      <c r="K5702" s="10" t="str">
        <f aca="false">IF($A5702="","",$G5702&amp;"|"&amp;$J5702)</f>
        <v/>
      </c>
      <c r="L5702" s="10" t="str">
        <f aca="false">IF($A5702="","",ROW()-2)</f>
        <v/>
      </c>
      <c r="M5702" s="10" t="str">
        <f aca="false">IF($A5702="","",ROW())</f>
        <v/>
      </c>
    </row>
    <row r="5703" customFormat="false" ht="15" hidden="false" customHeight="true" outlineLevel="0" collapsed="false">
      <c r="A5703" s="8"/>
      <c r="B5703" s="8"/>
      <c r="C5703" s="8"/>
      <c r="D5703" s="8"/>
      <c r="E5703" s="8"/>
      <c r="F5703" s="8"/>
      <c r="G5703" s="10" t="str">
        <f aca="false">IF($A5703="","",UPPER(SUBSTITUTE(SUBSTITUTE(SUBSTITUTE(SUBSTITUTE($A5703," ",""),"(주)",""),"주식회사",""),"㈜","")))</f>
        <v/>
      </c>
      <c r="H5703" s="10" t="str">
        <f aca="false">IF($B5703="","",SUBSTITUTE(SUBSTITUTE(SUBSTITUTE($B5703,"-","")," ",""),".",""))</f>
        <v/>
      </c>
      <c r="I5703" s="10" t="str">
        <f aca="false">IF($D5703="","",SUBSTITUTE(SUBSTITUTE(SUBSTITUTE($D5703,"-","")," ",""),".",""))</f>
        <v/>
      </c>
      <c r="J5703" s="10" t="str">
        <f aca="false">IF($E5703="","",UPPER(SUBSTITUTE($E5703," ","")))</f>
        <v/>
      </c>
      <c r="K5703" s="10" t="str">
        <f aca="false">IF($A5703="","",$G5703&amp;"|"&amp;$J5703)</f>
        <v/>
      </c>
      <c r="L5703" s="10" t="str">
        <f aca="false">IF($A5703="","",ROW()-2)</f>
        <v/>
      </c>
      <c r="M5703" s="10" t="str">
        <f aca="false">IF($A5703="","",ROW())</f>
        <v/>
      </c>
    </row>
    <row r="5704" customFormat="false" ht="15" hidden="false" customHeight="true" outlineLevel="0" collapsed="false">
      <c r="A5704" s="8"/>
      <c r="B5704" s="8"/>
      <c r="C5704" s="8"/>
      <c r="D5704" s="8"/>
      <c r="E5704" s="8"/>
      <c r="F5704" s="8"/>
      <c r="G5704" s="10" t="str">
        <f aca="false">IF($A5704="","",UPPER(SUBSTITUTE(SUBSTITUTE(SUBSTITUTE(SUBSTITUTE($A5704," ",""),"(주)",""),"주식회사",""),"㈜","")))</f>
        <v/>
      </c>
      <c r="H5704" s="10" t="str">
        <f aca="false">IF($B5704="","",SUBSTITUTE(SUBSTITUTE(SUBSTITUTE($B5704,"-","")," ",""),".",""))</f>
        <v/>
      </c>
      <c r="I5704" s="10" t="str">
        <f aca="false">IF($D5704="","",SUBSTITUTE(SUBSTITUTE(SUBSTITUTE($D5704,"-","")," ",""),".",""))</f>
        <v/>
      </c>
      <c r="J5704" s="10" t="str">
        <f aca="false">IF($E5704="","",UPPER(SUBSTITUTE($E5704," ","")))</f>
        <v/>
      </c>
      <c r="K5704" s="10" t="str">
        <f aca="false">IF($A5704="","",$G5704&amp;"|"&amp;$J5704)</f>
        <v/>
      </c>
      <c r="L5704" s="10" t="str">
        <f aca="false">IF($A5704="","",ROW()-2)</f>
        <v/>
      </c>
      <c r="M5704" s="10" t="str">
        <f aca="false">IF($A5704="","",ROW())</f>
        <v/>
      </c>
    </row>
    <row r="5705" customFormat="false" ht="15" hidden="false" customHeight="true" outlineLevel="0" collapsed="false">
      <c r="A5705" s="8"/>
      <c r="B5705" s="8"/>
      <c r="C5705" s="8"/>
      <c r="D5705" s="8"/>
      <c r="E5705" s="8"/>
      <c r="F5705" s="8"/>
      <c r="G5705" s="10" t="str">
        <f aca="false">IF($A5705="","",UPPER(SUBSTITUTE(SUBSTITUTE(SUBSTITUTE(SUBSTITUTE($A5705," ",""),"(주)",""),"주식회사",""),"㈜","")))</f>
        <v/>
      </c>
      <c r="H5705" s="10" t="str">
        <f aca="false">IF($B5705="","",SUBSTITUTE(SUBSTITUTE(SUBSTITUTE($B5705,"-","")," ",""),".",""))</f>
        <v/>
      </c>
      <c r="I5705" s="10" t="str">
        <f aca="false">IF($D5705="","",SUBSTITUTE(SUBSTITUTE(SUBSTITUTE($D5705,"-","")," ",""),".",""))</f>
        <v/>
      </c>
      <c r="J5705" s="10" t="str">
        <f aca="false">IF($E5705="","",UPPER(SUBSTITUTE($E5705," ","")))</f>
        <v/>
      </c>
      <c r="K5705" s="10" t="str">
        <f aca="false">IF($A5705="","",$G5705&amp;"|"&amp;$J5705)</f>
        <v/>
      </c>
      <c r="L5705" s="10" t="str">
        <f aca="false">IF($A5705="","",ROW()-2)</f>
        <v/>
      </c>
      <c r="M5705" s="10" t="str">
        <f aca="false">IF($A5705="","",ROW())</f>
        <v/>
      </c>
    </row>
    <row r="5706" customFormat="false" ht="15" hidden="false" customHeight="true" outlineLevel="0" collapsed="false">
      <c r="A5706" s="8"/>
      <c r="B5706" s="8"/>
      <c r="C5706" s="8"/>
      <c r="D5706" s="8"/>
      <c r="E5706" s="8"/>
      <c r="F5706" s="8"/>
      <c r="G5706" s="10" t="str">
        <f aca="false">IF($A5706="","",UPPER(SUBSTITUTE(SUBSTITUTE(SUBSTITUTE(SUBSTITUTE($A5706," ",""),"(주)",""),"주식회사",""),"㈜","")))</f>
        <v/>
      </c>
      <c r="H5706" s="10" t="str">
        <f aca="false">IF($B5706="","",SUBSTITUTE(SUBSTITUTE(SUBSTITUTE($B5706,"-","")," ",""),".",""))</f>
        <v/>
      </c>
      <c r="I5706" s="10" t="str">
        <f aca="false">IF($D5706="","",SUBSTITUTE(SUBSTITUTE(SUBSTITUTE($D5706,"-","")," ",""),".",""))</f>
        <v/>
      </c>
      <c r="J5706" s="10" t="str">
        <f aca="false">IF($E5706="","",UPPER(SUBSTITUTE($E5706," ","")))</f>
        <v/>
      </c>
      <c r="K5706" s="10" t="str">
        <f aca="false">IF($A5706="","",$G5706&amp;"|"&amp;$J5706)</f>
        <v/>
      </c>
      <c r="L5706" s="10" t="str">
        <f aca="false">IF($A5706="","",ROW()-2)</f>
        <v/>
      </c>
      <c r="M5706" s="10" t="str">
        <f aca="false">IF($A5706="","",ROW())</f>
        <v/>
      </c>
    </row>
    <row r="5707" customFormat="false" ht="15" hidden="false" customHeight="true" outlineLevel="0" collapsed="false">
      <c r="A5707" s="8"/>
      <c r="B5707" s="8"/>
      <c r="C5707" s="8"/>
      <c r="D5707" s="8"/>
      <c r="E5707" s="8"/>
      <c r="F5707" s="8"/>
      <c r="G5707" s="10" t="str">
        <f aca="false">IF($A5707="","",UPPER(SUBSTITUTE(SUBSTITUTE(SUBSTITUTE(SUBSTITUTE($A5707," ",""),"(주)",""),"주식회사",""),"㈜","")))</f>
        <v/>
      </c>
      <c r="H5707" s="10" t="str">
        <f aca="false">IF($B5707="","",SUBSTITUTE(SUBSTITUTE(SUBSTITUTE($B5707,"-","")," ",""),".",""))</f>
        <v/>
      </c>
      <c r="I5707" s="10" t="str">
        <f aca="false">IF($D5707="","",SUBSTITUTE(SUBSTITUTE(SUBSTITUTE($D5707,"-","")," ",""),".",""))</f>
        <v/>
      </c>
      <c r="J5707" s="10" t="str">
        <f aca="false">IF($E5707="","",UPPER(SUBSTITUTE($E5707," ","")))</f>
        <v/>
      </c>
      <c r="K5707" s="10" t="str">
        <f aca="false">IF($A5707="","",$G5707&amp;"|"&amp;$J5707)</f>
        <v/>
      </c>
      <c r="L5707" s="10" t="str">
        <f aca="false">IF($A5707="","",ROW()-2)</f>
        <v/>
      </c>
      <c r="M5707" s="10" t="str">
        <f aca="false">IF($A5707="","",ROW())</f>
        <v/>
      </c>
    </row>
    <row r="5708" customFormat="false" ht="15" hidden="false" customHeight="true" outlineLevel="0" collapsed="false">
      <c r="A5708" s="8"/>
      <c r="B5708" s="8"/>
      <c r="C5708" s="8"/>
      <c r="D5708" s="8"/>
      <c r="E5708" s="8"/>
      <c r="F5708" s="8"/>
      <c r="G5708" s="10" t="str">
        <f aca="false">IF($A5708="","",UPPER(SUBSTITUTE(SUBSTITUTE(SUBSTITUTE(SUBSTITUTE($A5708," ",""),"(주)",""),"주식회사",""),"㈜","")))</f>
        <v/>
      </c>
      <c r="H5708" s="10" t="str">
        <f aca="false">IF($B5708="","",SUBSTITUTE(SUBSTITUTE(SUBSTITUTE($B5708,"-","")," ",""),".",""))</f>
        <v/>
      </c>
      <c r="I5708" s="10" t="str">
        <f aca="false">IF($D5708="","",SUBSTITUTE(SUBSTITUTE(SUBSTITUTE($D5708,"-","")," ",""),".",""))</f>
        <v/>
      </c>
      <c r="J5708" s="10" t="str">
        <f aca="false">IF($E5708="","",UPPER(SUBSTITUTE($E5708," ","")))</f>
        <v/>
      </c>
      <c r="K5708" s="10" t="str">
        <f aca="false">IF($A5708="","",$G5708&amp;"|"&amp;$J5708)</f>
        <v/>
      </c>
      <c r="L5708" s="10" t="str">
        <f aca="false">IF($A5708="","",ROW()-2)</f>
        <v/>
      </c>
      <c r="M5708" s="10" t="str">
        <f aca="false">IF($A5708="","",ROW())</f>
        <v/>
      </c>
    </row>
    <row r="5709" customFormat="false" ht="15" hidden="false" customHeight="true" outlineLevel="0" collapsed="false">
      <c r="A5709" s="8"/>
      <c r="B5709" s="8"/>
      <c r="C5709" s="8"/>
      <c r="D5709" s="8"/>
      <c r="E5709" s="8"/>
      <c r="F5709" s="8"/>
      <c r="G5709" s="10" t="str">
        <f aca="false">IF($A5709="","",UPPER(SUBSTITUTE(SUBSTITUTE(SUBSTITUTE(SUBSTITUTE($A5709," ",""),"(주)",""),"주식회사",""),"㈜","")))</f>
        <v/>
      </c>
      <c r="H5709" s="10" t="str">
        <f aca="false">IF($B5709="","",SUBSTITUTE(SUBSTITUTE(SUBSTITUTE($B5709,"-","")," ",""),".",""))</f>
        <v/>
      </c>
      <c r="I5709" s="10" t="str">
        <f aca="false">IF($D5709="","",SUBSTITUTE(SUBSTITUTE(SUBSTITUTE($D5709,"-","")," ",""),".",""))</f>
        <v/>
      </c>
      <c r="J5709" s="10" t="str">
        <f aca="false">IF($E5709="","",UPPER(SUBSTITUTE($E5709," ","")))</f>
        <v/>
      </c>
      <c r="K5709" s="10" t="str">
        <f aca="false">IF($A5709="","",$G5709&amp;"|"&amp;$J5709)</f>
        <v/>
      </c>
      <c r="L5709" s="10" t="str">
        <f aca="false">IF($A5709="","",ROW()-2)</f>
        <v/>
      </c>
      <c r="M5709" s="10" t="str">
        <f aca="false">IF($A5709="","",ROW())</f>
        <v/>
      </c>
    </row>
    <row r="5710" customFormat="false" ht="15" hidden="false" customHeight="true" outlineLevel="0" collapsed="false">
      <c r="A5710" s="8"/>
      <c r="B5710" s="8"/>
      <c r="C5710" s="8"/>
      <c r="D5710" s="8"/>
      <c r="E5710" s="8"/>
      <c r="F5710" s="8"/>
      <c r="G5710" s="10" t="str">
        <f aca="false">IF($A5710="","",UPPER(SUBSTITUTE(SUBSTITUTE(SUBSTITUTE(SUBSTITUTE($A5710," ",""),"(주)",""),"주식회사",""),"㈜","")))</f>
        <v/>
      </c>
      <c r="H5710" s="10" t="str">
        <f aca="false">IF($B5710="","",SUBSTITUTE(SUBSTITUTE(SUBSTITUTE($B5710,"-","")," ",""),".",""))</f>
        <v/>
      </c>
      <c r="I5710" s="10" t="str">
        <f aca="false">IF($D5710="","",SUBSTITUTE(SUBSTITUTE(SUBSTITUTE($D5710,"-","")," ",""),".",""))</f>
        <v/>
      </c>
      <c r="J5710" s="10" t="str">
        <f aca="false">IF($E5710="","",UPPER(SUBSTITUTE($E5710," ","")))</f>
        <v/>
      </c>
      <c r="K5710" s="10" t="str">
        <f aca="false">IF($A5710="","",$G5710&amp;"|"&amp;$J5710)</f>
        <v/>
      </c>
      <c r="L5710" s="10" t="str">
        <f aca="false">IF($A5710="","",ROW()-2)</f>
        <v/>
      </c>
      <c r="M5710" s="10" t="str">
        <f aca="false">IF($A5710="","",ROW())</f>
        <v/>
      </c>
    </row>
    <row r="5711" customFormat="false" ht="15" hidden="false" customHeight="true" outlineLevel="0" collapsed="false">
      <c r="A5711" s="8"/>
      <c r="B5711" s="8"/>
      <c r="C5711" s="8"/>
      <c r="D5711" s="8"/>
      <c r="E5711" s="8"/>
      <c r="F5711" s="8"/>
      <c r="G5711" s="10" t="str">
        <f aca="false">IF($A5711="","",UPPER(SUBSTITUTE(SUBSTITUTE(SUBSTITUTE(SUBSTITUTE($A5711," ",""),"(주)",""),"주식회사",""),"㈜","")))</f>
        <v/>
      </c>
      <c r="H5711" s="10" t="str">
        <f aca="false">IF($B5711="","",SUBSTITUTE(SUBSTITUTE(SUBSTITUTE($B5711,"-","")," ",""),".",""))</f>
        <v/>
      </c>
      <c r="I5711" s="10" t="str">
        <f aca="false">IF($D5711="","",SUBSTITUTE(SUBSTITUTE(SUBSTITUTE($D5711,"-","")," ",""),".",""))</f>
        <v/>
      </c>
      <c r="J5711" s="10" t="str">
        <f aca="false">IF($E5711="","",UPPER(SUBSTITUTE($E5711," ","")))</f>
        <v/>
      </c>
      <c r="K5711" s="10" t="str">
        <f aca="false">IF($A5711="","",$G5711&amp;"|"&amp;$J5711)</f>
        <v/>
      </c>
      <c r="L5711" s="10" t="str">
        <f aca="false">IF($A5711="","",ROW()-2)</f>
        <v/>
      </c>
      <c r="M5711" s="10" t="str">
        <f aca="false">IF($A5711="","",ROW())</f>
        <v/>
      </c>
    </row>
    <row r="5712" customFormat="false" ht="15" hidden="false" customHeight="true" outlineLevel="0" collapsed="false">
      <c r="A5712" s="8"/>
      <c r="B5712" s="8"/>
      <c r="C5712" s="8"/>
      <c r="D5712" s="8"/>
      <c r="E5712" s="8"/>
      <c r="F5712" s="8"/>
      <c r="G5712" s="10" t="str">
        <f aca="false">IF($A5712="","",UPPER(SUBSTITUTE(SUBSTITUTE(SUBSTITUTE(SUBSTITUTE($A5712," ",""),"(주)",""),"주식회사",""),"㈜","")))</f>
        <v/>
      </c>
      <c r="H5712" s="10" t="str">
        <f aca="false">IF($B5712="","",SUBSTITUTE(SUBSTITUTE(SUBSTITUTE($B5712,"-","")," ",""),".",""))</f>
        <v/>
      </c>
      <c r="I5712" s="10" t="str">
        <f aca="false">IF($D5712="","",SUBSTITUTE(SUBSTITUTE(SUBSTITUTE($D5712,"-","")," ",""),".",""))</f>
        <v/>
      </c>
      <c r="J5712" s="10" t="str">
        <f aca="false">IF($E5712="","",UPPER(SUBSTITUTE($E5712," ","")))</f>
        <v/>
      </c>
      <c r="K5712" s="10" t="str">
        <f aca="false">IF($A5712="","",$G5712&amp;"|"&amp;$J5712)</f>
        <v/>
      </c>
      <c r="L5712" s="10" t="str">
        <f aca="false">IF($A5712="","",ROW()-2)</f>
        <v/>
      </c>
      <c r="M5712" s="10" t="str">
        <f aca="false">IF($A5712="","",ROW())</f>
        <v/>
      </c>
    </row>
    <row r="5713" customFormat="false" ht="15" hidden="false" customHeight="true" outlineLevel="0" collapsed="false">
      <c r="A5713" s="8"/>
      <c r="B5713" s="8"/>
      <c r="C5713" s="8"/>
      <c r="D5713" s="8"/>
      <c r="E5713" s="8"/>
      <c r="F5713" s="8"/>
      <c r="G5713" s="10" t="str">
        <f aca="false">IF($A5713="","",UPPER(SUBSTITUTE(SUBSTITUTE(SUBSTITUTE(SUBSTITUTE($A5713," ",""),"(주)",""),"주식회사",""),"㈜","")))</f>
        <v/>
      </c>
      <c r="H5713" s="10" t="str">
        <f aca="false">IF($B5713="","",SUBSTITUTE(SUBSTITUTE(SUBSTITUTE($B5713,"-","")," ",""),".",""))</f>
        <v/>
      </c>
      <c r="I5713" s="10" t="str">
        <f aca="false">IF($D5713="","",SUBSTITUTE(SUBSTITUTE(SUBSTITUTE($D5713,"-","")," ",""),".",""))</f>
        <v/>
      </c>
      <c r="J5713" s="10" t="str">
        <f aca="false">IF($E5713="","",UPPER(SUBSTITUTE($E5713," ","")))</f>
        <v/>
      </c>
      <c r="K5713" s="10" t="str">
        <f aca="false">IF($A5713="","",$G5713&amp;"|"&amp;$J5713)</f>
        <v/>
      </c>
      <c r="L5713" s="10" t="str">
        <f aca="false">IF($A5713="","",ROW()-2)</f>
        <v/>
      </c>
      <c r="M5713" s="10" t="str">
        <f aca="false">IF($A5713="","",ROW())</f>
        <v/>
      </c>
    </row>
    <row r="5714" customFormat="false" ht="15" hidden="false" customHeight="true" outlineLevel="0" collapsed="false">
      <c r="A5714" s="8"/>
      <c r="B5714" s="8"/>
      <c r="C5714" s="8"/>
      <c r="D5714" s="8"/>
      <c r="E5714" s="8"/>
      <c r="F5714" s="8"/>
      <c r="G5714" s="10" t="str">
        <f aca="false">IF($A5714="","",UPPER(SUBSTITUTE(SUBSTITUTE(SUBSTITUTE(SUBSTITUTE($A5714," ",""),"(주)",""),"주식회사",""),"㈜","")))</f>
        <v/>
      </c>
      <c r="H5714" s="10" t="str">
        <f aca="false">IF($B5714="","",SUBSTITUTE(SUBSTITUTE(SUBSTITUTE($B5714,"-","")," ",""),".",""))</f>
        <v/>
      </c>
      <c r="I5714" s="10" t="str">
        <f aca="false">IF($D5714="","",SUBSTITUTE(SUBSTITUTE(SUBSTITUTE($D5714,"-","")," ",""),".",""))</f>
        <v/>
      </c>
      <c r="J5714" s="10" t="str">
        <f aca="false">IF($E5714="","",UPPER(SUBSTITUTE($E5714," ","")))</f>
        <v/>
      </c>
      <c r="K5714" s="10" t="str">
        <f aca="false">IF($A5714="","",$G5714&amp;"|"&amp;$J5714)</f>
        <v/>
      </c>
      <c r="L5714" s="10" t="str">
        <f aca="false">IF($A5714="","",ROW()-2)</f>
        <v/>
      </c>
      <c r="M5714" s="10" t="str">
        <f aca="false">IF($A5714="","",ROW())</f>
        <v/>
      </c>
    </row>
    <row r="5715" customFormat="false" ht="15" hidden="false" customHeight="true" outlineLevel="0" collapsed="false">
      <c r="A5715" s="8"/>
      <c r="B5715" s="8"/>
      <c r="C5715" s="8"/>
      <c r="D5715" s="8"/>
      <c r="E5715" s="8"/>
      <c r="F5715" s="8"/>
      <c r="G5715" s="10" t="str">
        <f aca="false">IF($A5715="","",UPPER(SUBSTITUTE(SUBSTITUTE(SUBSTITUTE(SUBSTITUTE($A5715," ",""),"(주)",""),"주식회사",""),"㈜","")))</f>
        <v/>
      </c>
      <c r="H5715" s="10" t="str">
        <f aca="false">IF($B5715="","",SUBSTITUTE(SUBSTITUTE(SUBSTITUTE($B5715,"-","")," ",""),".",""))</f>
        <v/>
      </c>
      <c r="I5715" s="10" t="str">
        <f aca="false">IF($D5715="","",SUBSTITUTE(SUBSTITUTE(SUBSTITUTE($D5715,"-","")," ",""),".",""))</f>
        <v/>
      </c>
      <c r="J5715" s="10" t="str">
        <f aca="false">IF($E5715="","",UPPER(SUBSTITUTE($E5715," ","")))</f>
        <v/>
      </c>
      <c r="K5715" s="10" t="str">
        <f aca="false">IF($A5715="","",$G5715&amp;"|"&amp;$J5715)</f>
        <v/>
      </c>
      <c r="L5715" s="10" t="str">
        <f aca="false">IF($A5715="","",ROW()-2)</f>
        <v/>
      </c>
      <c r="M5715" s="10" t="str">
        <f aca="false">IF($A5715="","",ROW())</f>
        <v/>
      </c>
    </row>
    <row r="5716" customFormat="false" ht="15" hidden="false" customHeight="true" outlineLevel="0" collapsed="false">
      <c r="A5716" s="8"/>
      <c r="B5716" s="8"/>
      <c r="C5716" s="8"/>
      <c r="D5716" s="8"/>
      <c r="E5716" s="8"/>
      <c r="F5716" s="8"/>
      <c r="G5716" s="10" t="str">
        <f aca="false">IF($A5716="","",UPPER(SUBSTITUTE(SUBSTITUTE(SUBSTITUTE(SUBSTITUTE($A5716," ",""),"(주)",""),"주식회사",""),"㈜","")))</f>
        <v/>
      </c>
      <c r="H5716" s="10" t="str">
        <f aca="false">IF($B5716="","",SUBSTITUTE(SUBSTITUTE(SUBSTITUTE($B5716,"-","")," ",""),".",""))</f>
        <v/>
      </c>
      <c r="I5716" s="10" t="str">
        <f aca="false">IF($D5716="","",SUBSTITUTE(SUBSTITUTE(SUBSTITUTE($D5716,"-","")," ",""),".",""))</f>
        <v/>
      </c>
      <c r="J5716" s="10" t="str">
        <f aca="false">IF($E5716="","",UPPER(SUBSTITUTE($E5716," ","")))</f>
        <v/>
      </c>
      <c r="K5716" s="10" t="str">
        <f aca="false">IF($A5716="","",$G5716&amp;"|"&amp;$J5716)</f>
        <v/>
      </c>
      <c r="L5716" s="10" t="str">
        <f aca="false">IF($A5716="","",ROW()-2)</f>
        <v/>
      </c>
      <c r="M5716" s="10" t="str">
        <f aca="false">IF($A5716="","",ROW())</f>
        <v/>
      </c>
    </row>
    <row r="5717" customFormat="false" ht="15" hidden="false" customHeight="true" outlineLevel="0" collapsed="false">
      <c r="A5717" s="8"/>
      <c r="B5717" s="8"/>
      <c r="C5717" s="8"/>
      <c r="D5717" s="8"/>
      <c r="E5717" s="8"/>
      <c r="F5717" s="8"/>
      <c r="G5717" s="10" t="str">
        <f aca="false">IF($A5717="","",UPPER(SUBSTITUTE(SUBSTITUTE(SUBSTITUTE(SUBSTITUTE($A5717," ",""),"(주)",""),"주식회사",""),"㈜","")))</f>
        <v/>
      </c>
      <c r="H5717" s="10" t="str">
        <f aca="false">IF($B5717="","",SUBSTITUTE(SUBSTITUTE(SUBSTITUTE($B5717,"-","")," ",""),".",""))</f>
        <v/>
      </c>
      <c r="I5717" s="10" t="str">
        <f aca="false">IF($D5717="","",SUBSTITUTE(SUBSTITUTE(SUBSTITUTE($D5717,"-","")," ",""),".",""))</f>
        <v/>
      </c>
      <c r="J5717" s="10" t="str">
        <f aca="false">IF($E5717="","",UPPER(SUBSTITUTE($E5717," ","")))</f>
        <v/>
      </c>
      <c r="K5717" s="10" t="str">
        <f aca="false">IF($A5717="","",$G5717&amp;"|"&amp;$J5717)</f>
        <v/>
      </c>
      <c r="L5717" s="10" t="str">
        <f aca="false">IF($A5717="","",ROW()-2)</f>
        <v/>
      </c>
      <c r="M5717" s="10" t="str">
        <f aca="false">IF($A5717="","",ROW())</f>
        <v/>
      </c>
    </row>
    <row r="5718" customFormat="false" ht="15" hidden="false" customHeight="true" outlineLevel="0" collapsed="false">
      <c r="A5718" s="8"/>
      <c r="B5718" s="8"/>
      <c r="C5718" s="8"/>
      <c r="D5718" s="8"/>
      <c r="E5718" s="8"/>
      <c r="F5718" s="8"/>
      <c r="G5718" s="10" t="str">
        <f aca="false">IF($A5718="","",UPPER(SUBSTITUTE(SUBSTITUTE(SUBSTITUTE(SUBSTITUTE($A5718," ",""),"(주)",""),"주식회사",""),"㈜","")))</f>
        <v/>
      </c>
      <c r="H5718" s="10" t="str">
        <f aca="false">IF($B5718="","",SUBSTITUTE(SUBSTITUTE(SUBSTITUTE($B5718,"-","")," ",""),".",""))</f>
        <v/>
      </c>
      <c r="I5718" s="10" t="str">
        <f aca="false">IF($D5718="","",SUBSTITUTE(SUBSTITUTE(SUBSTITUTE($D5718,"-","")," ",""),".",""))</f>
        <v/>
      </c>
      <c r="J5718" s="10" t="str">
        <f aca="false">IF($E5718="","",UPPER(SUBSTITUTE($E5718," ","")))</f>
        <v/>
      </c>
      <c r="K5718" s="10" t="str">
        <f aca="false">IF($A5718="","",$G5718&amp;"|"&amp;$J5718)</f>
        <v/>
      </c>
      <c r="L5718" s="10" t="str">
        <f aca="false">IF($A5718="","",ROW()-2)</f>
        <v/>
      </c>
      <c r="M5718" s="10" t="str">
        <f aca="false">IF($A5718="","",ROW())</f>
        <v/>
      </c>
    </row>
    <row r="5719" customFormat="false" ht="15" hidden="false" customHeight="true" outlineLevel="0" collapsed="false">
      <c r="A5719" s="8"/>
      <c r="B5719" s="8"/>
      <c r="C5719" s="8"/>
      <c r="D5719" s="8"/>
      <c r="E5719" s="8"/>
      <c r="F5719" s="8"/>
      <c r="G5719" s="10" t="str">
        <f aca="false">IF($A5719="","",UPPER(SUBSTITUTE(SUBSTITUTE(SUBSTITUTE(SUBSTITUTE($A5719," ",""),"(주)",""),"주식회사",""),"㈜","")))</f>
        <v/>
      </c>
      <c r="H5719" s="10" t="str">
        <f aca="false">IF($B5719="","",SUBSTITUTE(SUBSTITUTE(SUBSTITUTE($B5719,"-","")," ",""),".",""))</f>
        <v/>
      </c>
      <c r="I5719" s="10" t="str">
        <f aca="false">IF($D5719="","",SUBSTITUTE(SUBSTITUTE(SUBSTITUTE($D5719,"-","")," ",""),".",""))</f>
        <v/>
      </c>
      <c r="J5719" s="10" t="str">
        <f aca="false">IF($E5719="","",UPPER(SUBSTITUTE($E5719," ","")))</f>
        <v/>
      </c>
      <c r="K5719" s="10" t="str">
        <f aca="false">IF($A5719="","",$G5719&amp;"|"&amp;$J5719)</f>
        <v/>
      </c>
      <c r="L5719" s="10" t="str">
        <f aca="false">IF($A5719="","",ROW()-2)</f>
        <v/>
      </c>
      <c r="M5719" s="10" t="str">
        <f aca="false">IF($A5719="","",ROW())</f>
        <v/>
      </c>
    </row>
    <row r="5720" customFormat="false" ht="15" hidden="false" customHeight="true" outlineLevel="0" collapsed="false">
      <c r="A5720" s="8"/>
      <c r="B5720" s="8"/>
      <c r="C5720" s="8"/>
      <c r="D5720" s="8"/>
      <c r="E5720" s="8"/>
      <c r="F5720" s="8"/>
      <c r="G5720" s="10" t="str">
        <f aca="false">IF($A5720="","",UPPER(SUBSTITUTE(SUBSTITUTE(SUBSTITUTE(SUBSTITUTE($A5720," ",""),"(주)",""),"주식회사",""),"㈜","")))</f>
        <v/>
      </c>
      <c r="H5720" s="10" t="str">
        <f aca="false">IF($B5720="","",SUBSTITUTE(SUBSTITUTE(SUBSTITUTE($B5720,"-","")," ",""),".",""))</f>
        <v/>
      </c>
      <c r="I5720" s="10" t="str">
        <f aca="false">IF($D5720="","",SUBSTITUTE(SUBSTITUTE(SUBSTITUTE($D5720,"-","")," ",""),".",""))</f>
        <v/>
      </c>
      <c r="J5720" s="10" t="str">
        <f aca="false">IF($E5720="","",UPPER(SUBSTITUTE($E5720," ","")))</f>
        <v/>
      </c>
      <c r="K5720" s="10" t="str">
        <f aca="false">IF($A5720="","",$G5720&amp;"|"&amp;$J5720)</f>
        <v/>
      </c>
      <c r="L5720" s="10" t="str">
        <f aca="false">IF($A5720="","",ROW()-2)</f>
        <v/>
      </c>
      <c r="M5720" s="10" t="str">
        <f aca="false">IF($A5720="","",ROW())</f>
        <v/>
      </c>
    </row>
    <row r="5721" customFormat="false" ht="15" hidden="false" customHeight="true" outlineLevel="0" collapsed="false">
      <c r="A5721" s="8"/>
      <c r="B5721" s="8"/>
      <c r="C5721" s="8"/>
      <c r="D5721" s="8"/>
      <c r="E5721" s="8"/>
      <c r="F5721" s="8"/>
      <c r="G5721" s="10" t="str">
        <f aca="false">IF($A5721="","",UPPER(SUBSTITUTE(SUBSTITUTE(SUBSTITUTE(SUBSTITUTE($A5721," ",""),"(주)",""),"주식회사",""),"㈜","")))</f>
        <v/>
      </c>
      <c r="H5721" s="10" t="str">
        <f aca="false">IF($B5721="","",SUBSTITUTE(SUBSTITUTE(SUBSTITUTE($B5721,"-","")," ",""),".",""))</f>
        <v/>
      </c>
      <c r="I5721" s="10" t="str">
        <f aca="false">IF($D5721="","",SUBSTITUTE(SUBSTITUTE(SUBSTITUTE($D5721,"-","")," ",""),".",""))</f>
        <v/>
      </c>
      <c r="J5721" s="10" t="str">
        <f aca="false">IF($E5721="","",UPPER(SUBSTITUTE($E5721," ","")))</f>
        <v/>
      </c>
      <c r="K5721" s="10" t="str">
        <f aca="false">IF($A5721="","",$G5721&amp;"|"&amp;$J5721)</f>
        <v/>
      </c>
      <c r="L5721" s="10" t="str">
        <f aca="false">IF($A5721="","",ROW()-2)</f>
        <v/>
      </c>
      <c r="M5721" s="10" t="str">
        <f aca="false">IF($A5721="","",ROW())</f>
        <v/>
      </c>
    </row>
    <row r="5722" customFormat="false" ht="15" hidden="false" customHeight="true" outlineLevel="0" collapsed="false">
      <c r="A5722" s="8"/>
      <c r="B5722" s="8"/>
      <c r="C5722" s="8"/>
      <c r="D5722" s="8"/>
      <c r="E5722" s="8"/>
      <c r="F5722" s="8"/>
      <c r="G5722" s="10" t="str">
        <f aca="false">IF($A5722="","",UPPER(SUBSTITUTE(SUBSTITUTE(SUBSTITUTE(SUBSTITUTE($A5722," ",""),"(주)",""),"주식회사",""),"㈜","")))</f>
        <v/>
      </c>
      <c r="H5722" s="10" t="str">
        <f aca="false">IF($B5722="","",SUBSTITUTE(SUBSTITUTE(SUBSTITUTE($B5722,"-","")," ",""),".",""))</f>
        <v/>
      </c>
      <c r="I5722" s="10" t="str">
        <f aca="false">IF($D5722="","",SUBSTITUTE(SUBSTITUTE(SUBSTITUTE($D5722,"-","")," ",""),".",""))</f>
        <v/>
      </c>
      <c r="J5722" s="10" t="str">
        <f aca="false">IF($E5722="","",UPPER(SUBSTITUTE($E5722," ","")))</f>
        <v/>
      </c>
      <c r="K5722" s="10" t="str">
        <f aca="false">IF($A5722="","",$G5722&amp;"|"&amp;$J5722)</f>
        <v/>
      </c>
      <c r="L5722" s="10" t="str">
        <f aca="false">IF($A5722="","",ROW()-2)</f>
        <v/>
      </c>
      <c r="M5722" s="10" t="str">
        <f aca="false">IF($A5722="","",ROW())</f>
        <v/>
      </c>
    </row>
    <row r="5723" customFormat="false" ht="15" hidden="false" customHeight="true" outlineLevel="0" collapsed="false">
      <c r="A5723" s="8"/>
      <c r="B5723" s="8"/>
      <c r="C5723" s="8"/>
      <c r="D5723" s="8"/>
      <c r="E5723" s="8"/>
      <c r="F5723" s="8"/>
      <c r="G5723" s="10" t="str">
        <f aca="false">IF($A5723="","",UPPER(SUBSTITUTE(SUBSTITUTE(SUBSTITUTE(SUBSTITUTE($A5723," ",""),"(주)",""),"주식회사",""),"㈜","")))</f>
        <v/>
      </c>
      <c r="H5723" s="10" t="str">
        <f aca="false">IF($B5723="","",SUBSTITUTE(SUBSTITUTE(SUBSTITUTE($B5723,"-","")," ",""),".",""))</f>
        <v/>
      </c>
      <c r="I5723" s="10" t="str">
        <f aca="false">IF($D5723="","",SUBSTITUTE(SUBSTITUTE(SUBSTITUTE($D5723,"-","")," ",""),".",""))</f>
        <v/>
      </c>
      <c r="J5723" s="10" t="str">
        <f aca="false">IF($E5723="","",UPPER(SUBSTITUTE($E5723," ","")))</f>
        <v/>
      </c>
      <c r="K5723" s="10" t="str">
        <f aca="false">IF($A5723="","",$G5723&amp;"|"&amp;$J5723)</f>
        <v/>
      </c>
      <c r="L5723" s="10" t="str">
        <f aca="false">IF($A5723="","",ROW()-2)</f>
        <v/>
      </c>
      <c r="M5723" s="10" t="str">
        <f aca="false">IF($A5723="","",ROW())</f>
        <v/>
      </c>
    </row>
    <row r="5724" customFormat="false" ht="15" hidden="false" customHeight="true" outlineLevel="0" collapsed="false">
      <c r="A5724" s="8"/>
      <c r="B5724" s="8"/>
      <c r="C5724" s="8"/>
      <c r="D5724" s="8"/>
      <c r="E5724" s="8"/>
      <c r="F5724" s="8"/>
      <c r="G5724" s="10" t="str">
        <f aca="false">IF($A5724="","",UPPER(SUBSTITUTE(SUBSTITUTE(SUBSTITUTE(SUBSTITUTE($A5724," ",""),"(주)",""),"주식회사",""),"㈜","")))</f>
        <v/>
      </c>
      <c r="H5724" s="10" t="str">
        <f aca="false">IF($B5724="","",SUBSTITUTE(SUBSTITUTE(SUBSTITUTE($B5724,"-","")," ",""),".",""))</f>
        <v/>
      </c>
      <c r="I5724" s="10" t="str">
        <f aca="false">IF($D5724="","",SUBSTITUTE(SUBSTITUTE(SUBSTITUTE($D5724,"-","")," ",""),".",""))</f>
        <v/>
      </c>
      <c r="J5724" s="10" t="str">
        <f aca="false">IF($E5724="","",UPPER(SUBSTITUTE($E5724," ","")))</f>
        <v/>
      </c>
      <c r="K5724" s="10" t="str">
        <f aca="false">IF($A5724="","",$G5724&amp;"|"&amp;$J5724)</f>
        <v/>
      </c>
      <c r="L5724" s="10" t="str">
        <f aca="false">IF($A5724="","",ROW()-2)</f>
        <v/>
      </c>
      <c r="M5724" s="10" t="str">
        <f aca="false">IF($A5724="","",ROW())</f>
        <v/>
      </c>
    </row>
    <row r="5725" customFormat="false" ht="15" hidden="false" customHeight="true" outlineLevel="0" collapsed="false">
      <c r="A5725" s="8"/>
      <c r="B5725" s="8"/>
      <c r="C5725" s="8"/>
      <c r="D5725" s="8"/>
      <c r="E5725" s="8"/>
      <c r="F5725" s="8"/>
      <c r="G5725" s="10" t="str">
        <f aca="false">IF($A5725="","",UPPER(SUBSTITUTE(SUBSTITUTE(SUBSTITUTE(SUBSTITUTE($A5725," ",""),"(주)",""),"주식회사",""),"㈜","")))</f>
        <v/>
      </c>
      <c r="H5725" s="10" t="str">
        <f aca="false">IF($B5725="","",SUBSTITUTE(SUBSTITUTE(SUBSTITUTE($B5725,"-","")," ",""),".",""))</f>
        <v/>
      </c>
      <c r="I5725" s="10" t="str">
        <f aca="false">IF($D5725="","",SUBSTITUTE(SUBSTITUTE(SUBSTITUTE($D5725,"-","")," ",""),".",""))</f>
        <v/>
      </c>
      <c r="J5725" s="10" t="str">
        <f aca="false">IF($E5725="","",UPPER(SUBSTITUTE($E5725," ","")))</f>
        <v/>
      </c>
      <c r="K5725" s="10" t="str">
        <f aca="false">IF($A5725="","",$G5725&amp;"|"&amp;$J5725)</f>
        <v/>
      </c>
      <c r="L5725" s="10" t="str">
        <f aca="false">IF($A5725="","",ROW()-2)</f>
        <v/>
      </c>
      <c r="M5725" s="10" t="str">
        <f aca="false">IF($A5725="","",ROW())</f>
        <v/>
      </c>
    </row>
    <row r="5726" customFormat="false" ht="15" hidden="false" customHeight="true" outlineLevel="0" collapsed="false">
      <c r="A5726" s="8"/>
      <c r="B5726" s="8"/>
      <c r="C5726" s="8"/>
      <c r="D5726" s="8"/>
      <c r="E5726" s="8"/>
      <c r="F5726" s="8"/>
      <c r="G5726" s="10" t="str">
        <f aca="false">IF($A5726="","",UPPER(SUBSTITUTE(SUBSTITUTE(SUBSTITUTE(SUBSTITUTE($A5726," ",""),"(주)",""),"주식회사",""),"㈜","")))</f>
        <v/>
      </c>
      <c r="H5726" s="10" t="str">
        <f aca="false">IF($B5726="","",SUBSTITUTE(SUBSTITUTE(SUBSTITUTE($B5726,"-","")," ",""),".",""))</f>
        <v/>
      </c>
      <c r="I5726" s="10" t="str">
        <f aca="false">IF($D5726="","",SUBSTITUTE(SUBSTITUTE(SUBSTITUTE($D5726,"-","")," ",""),".",""))</f>
        <v/>
      </c>
      <c r="J5726" s="10" t="str">
        <f aca="false">IF($E5726="","",UPPER(SUBSTITUTE($E5726," ","")))</f>
        <v/>
      </c>
      <c r="K5726" s="10" t="str">
        <f aca="false">IF($A5726="","",$G5726&amp;"|"&amp;$J5726)</f>
        <v/>
      </c>
      <c r="L5726" s="10" t="str">
        <f aca="false">IF($A5726="","",ROW()-2)</f>
        <v/>
      </c>
      <c r="M5726" s="10" t="str">
        <f aca="false">IF($A5726="","",ROW())</f>
        <v/>
      </c>
    </row>
    <row r="5727" customFormat="false" ht="15" hidden="false" customHeight="true" outlineLevel="0" collapsed="false">
      <c r="A5727" s="8"/>
      <c r="B5727" s="8"/>
      <c r="C5727" s="8"/>
      <c r="D5727" s="8"/>
      <c r="E5727" s="8"/>
      <c r="F5727" s="8"/>
      <c r="G5727" s="10" t="str">
        <f aca="false">IF($A5727="","",UPPER(SUBSTITUTE(SUBSTITUTE(SUBSTITUTE(SUBSTITUTE($A5727," ",""),"(주)",""),"주식회사",""),"㈜","")))</f>
        <v/>
      </c>
      <c r="H5727" s="10" t="str">
        <f aca="false">IF($B5727="","",SUBSTITUTE(SUBSTITUTE(SUBSTITUTE($B5727,"-","")," ",""),".",""))</f>
        <v/>
      </c>
      <c r="I5727" s="10" t="str">
        <f aca="false">IF($D5727="","",SUBSTITUTE(SUBSTITUTE(SUBSTITUTE($D5727,"-","")," ",""),".",""))</f>
        <v/>
      </c>
      <c r="J5727" s="10" t="str">
        <f aca="false">IF($E5727="","",UPPER(SUBSTITUTE($E5727," ","")))</f>
        <v/>
      </c>
      <c r="K5727" s="10" t="str">
        <f aca="false">IF($A5727="","",$G5727&amp;"|"&amp;$J5727)</f>
        <v/>
      </c>
      <c r="L5727" s="10" t="str">
        <f aca="false">IF($A5727="","",ROW()-2)</f>
        <v/>
      </c>
      <c r="M5727" s="10" t="str">
        <f aca="false">IF($A5727="","",ROW())</f>
        <v/>
      </c>
    </row>
    <row r="5728" customFormat="false" ht="15" hidden="false" customHeight="true" outlineLevel="0" collapsed="false">
      <c r="A5728" s="8"/>
      <c r="B5728" s="8"/>
      <c r="C5728" s="8"/>
      <c r="D5728" s="8"/>
      <c r="E5728" s="8"/>
      <c r="F5728" s="8"/>
      <c r="G5728" s="10" t="str">
        <f aca="false">IF($A5728="","",UPPER(SUBSTITUTE(SUBSTITUTE(SUBSTITUTE(SUBSTITUTE($A5728," ",""),"(주)",""),"주식회사",""),"㈜","")))</f>
        <v/>
      </c>
      <c r="H5728" s="10" t="str">
        <f aca="false">IF($B5728="","",SUBSTITUTE(SUBSTITUTE(SUBSTITUTE($B5728,"-","")," ",""),".",""))</f>
        <v/>
      </c>
      <c r="I5728" s="10" t="str">
        <f aca="false">IF($D5728="","",SUBSTITUTE(SUBSTITUTE(SUBSTITUTE($D5728,"-","")," ",""),".",""))</f>
        <v/>
      </c>
      <c r="J5728" s="10" t="str">
        <f aca="false">IF($E5728="","",UPPER(SUBSTITUTE($E5728," ","")))</f>
        <v/>
      </c>
      <c r="K5728" s="10" t="str">
        <f aca="false">IF($A5728="","",$G5728&amp;"|"&amp;$J5728)</f>
        <v/>
      </c>
      <c r="L5728" s="10" t="str">
        <f aca="false">IF($A5728="","",ROW()-2)</f>
        <v/>
      </c>
      <c r="M5728" s="10" t="str">
        <f aca="false">IF($A5728="","",ROW())</f>
        <v/>
      </c>
    </row>
    <row r="5729" customFormat="false" ht="15" hidden="false" customHeight="true" outlineLevel="0" collapsed="false">
      <c r="A5729" s="8"/>
      <c r="B5729" s="8"/>
      <c r="C5729" s="8"/>
      <c r="D5729" s="8"/>
      <c r="E5729" s="8"/>
      <c r="F5729" s="8"/>
      <c r="G5729" s="10" t="str">
        <f aca="false">IF($A5729="","",UPPER(SUBSTITUTE(SUBSTITUTE(SUBSTITUTE(SUBSTITUTE($A5729," ",""),"(주)",""),"주식회사",""),"㈜","")))</f>
        <v/>
      </c>
      <c r="H5729" s="10" t="str">
        <f aca="false">IF($B5729="","",SUBSTITUTE(SUBSTITUTE(SUBSTITUTE($B5729,"-","")," ",""),".",""))</f>
        <v/>
      </c>
      <c r="I5729" s="10" t="str">
        <f aca="false">IF($D5729="","",SUBSTITUTE(SUBSTITUTE(SUBSTITUTE($D5729,"-","")," ",""),".",""))</f>
        <v/>
      </c>
      <c r="J5729" s="10" t="str">
        <f aca="false">IF($E5729="","",UPPER(SUBSTITUTE($E5729," ","")))</f>
        <v/>
      </c>
      <c r="K5729" s="10" t="str">
        <f aca="false">IF($A5729="","",$G5729&amp;"|"&amp;$J5729)</f>
        <v/>
      </c>
      <c r="L5729" s="10" t="str">
        <f aca="false">IF($A5729="","",ROW()-2)</f>
        <v/>
      </c>
      <c r="M5729" s="10" t="str">
        <f aca="false">IF($A5729="","",ROW())</f>
        <v/>
      </c>
    </row>
    <row r="5730" customFormat="false" ht="15" hidden="false" customHeight="true" outlineLevel="0" collapsed="false">
      <c r="A5730" s="8"/>
      <c r="B5730" s="8"/>
      <c r="C5730" s="8"/>
      <c r="D5730" s="8"/>
      <c r="E5730" s="8"/>
      <c r="F5730" s="8"/>
      <c r="G5730" s="10" t="str">
        <f aca="false">IF($A5730="","",UPPER(SUBSTITUTE(SUBSTITUTE(SUBSTITUTE(SUBSTITUTE($A5730," ",""),"(주)",""),"주식회사",""),"㈜","")))</f>
        <v/>
      </c>
      <c r="H5730" s="10" t="str">
        <f aca="false">IF($B5730="","",SUBSTITUTE(SUBSTITUTE(SUBSTITUTE($B5730,"-","")," ",""),".",""))</f>
        <v/>
      </c>
      <c r="I5730" s="10" t="str">
        <f aca="false">IF($D5730="","",SUBSTITUTE(SUBSTITUTE(SUBSTITUTE($D5730,"-","")," ",""),".",""))</f>
        <v/>
      </c>
      <c r="J5730" s="10" t="str">
        <f aca="false">IF($E5730="","",UPPER(SUBSTITUTE($E5730," ","")))</f>
        <v/>
      </c>
      <c r="K5730" s="10" t="str">
        <f aca="false">IF($A5730="","",$G5730&amp;"|"&amp;$J5730)</f>
        <v/>
      </c>
      <c r="L5730" s="10" t="str">
        <f aca="false">IF($A5730="","",ROW()-2)</f>
        <v/>
      </c>
      <c r="M5730" s="10" t="str">
        <f aca="false">IF($A5730="","",ROW())</f>
        <v/>
      </c>
    </row>
    <row r="5731" customFormat="false" ht="15" hidden="false" customHeight="true" outlineLevel="0" collapsed="false">
      <c r="A5731" s="8"/>
      <c r="B5731" s="8"/>
      <c r="C5731" s="8"/>
      <c r="D5731" s="8"/>
      <c r="E5731" s="8"/>
      <c r="F5731" s="8"/>
      <c r="G5731" s="10" t="str">
        <f aca="false">IF($A5731="","",UPPER(SUBSTITUTE(SUBSTITUTE(SUBSTITUTE(SUBSTITUTE($A5731," ",""),"(주)",""),"주식회사",""),"㈜","")))</f>
        <v/>
      </c>
      <c r="H5731" s="10" t="str">
        <f aca="false">IF($B5731="","",SUBSTITUTE(SUBSTITUTE(SUBSTITUTE($B5731,"-","")," ",""),".",""))</f>
        <v/>
      </c>
      <c r="I5731" s="10" t="str">
        <f aca="false">IF($D5731="","",SUBSTITUTE(SUBSTITUTE(SUBSTITUTE($D5731,"-","")," ",""),".",""))</f>
        <v/>
      </c>
      <c r="J5731" s="10" t="str">
        <f aca="false">IF($E5731="","",UPPER(SUBSTITUTE($E5731," ","")))</f>
        <v/>
      </c>
      <c r="K5731" s="10" t="str">
        <f aca="false">IF($A5731="","",$G5731&amp;"|"&amp;$J5731)</f>
        <v/>
      </c>
      <c r="L5731" s="10" t="str">
        <f aca="false">IF($A5731="","",ROW()-2)</f>
        <v/>
      </c>
      <c r="M5731" s="10" t="str">
        <f aca="false">IF($A5731="","",ROW())</f>
        <v/>
      </c>
    </row>
    <row r="5732" customFormat="false" ht="15" hidden="false" customHeight="true" outlineLevel="0" collapsed="false">
      <c r="A5732" s="8"/>
      <c r="B5732" s="8"/>
      <c r="C5732" s="8"/>
      <c r="D5732" s="8"/>
      <c r="E5732" s="8"/>
      <c r="F5732" s="8"/>
      <c r="G5732" s="10" t="str">
        <f aca="false">IF($A5732="","",UPPER(SUBSTITUTE(SUBSTITUTE(SUBSTITUTE(SUBSTITUTE($A5732," ",""),"(주)",""),"주식회사",""),"㈜","")))</f>
        <v/>
      </c>
      <c r="H5732" s="10" t="str">
        <f aca="false">IF($B5732="","",SUBSTITUTE(SUBSTITUTE(SUBSTITUTE($B5732,"-","")," ",""),".",""))</f>
        <v/>
      </c>
      <c r="I5732" s="10" t="str">
        <f aca="false">IF($D5732="","",SUBSTITUTE(SUBSTITUTE(SUBSTITUTE($D5732,"-","")," ",""),".",""))</f>
        <v/>
      </c>
      <c r="J5732" s="10" t="str">
        <f aca="false">IF($E5732="","",UPPER(SUBSTITUTE($E5732," ","")))</f>
        <v/>
      </c>
      <c r="K5732" s="10" t="str">
        <f aca="false">IF($A5732="","",$G5732&amp;"|"&amp;$J5732)</f>
        <v/>
      </c>
      <c r="L5732" s="10" t="str">
        <f aca="false">IF($A5732="","",ROW()-2)</f>
        <v/>
      </c>
      <c r="M5732" s="10" t="str">
        <f aca="false">IF($A5732="","",ROW())</f>
        <v/>
      </c>
    </row>
    <row r="5733" customFormat="false" ht="15" hidden="false" customHeight="true" outlineLevel="0" collapsed="false">
      <c r="A5733" s="8"/>
      <c r="B5733" s="8"/>
      <c r="C5733" s="8"/>
      <c r="D5733" s="8"/>
      <c r="E5733" s="8"/>
      <c r="F5733" s="8"/>
      <c r="G5733" s="10" t="str">
        <f aca="false">IF($A5733="","",UPPER(SUBSTITUTE(SUBSTITUTE(SUBSTITUTE(SUBSTITUTE($A5733," ",""),"(주)",""),"주식회사",""),"㈜","")))</f>
        <v/>
      </c>
      <c r="H5733" s="10" t="str">
        <f aca="false">IF($B5733="","",SUBSTITUTE(SUBSTITUTE(SUBSTITUTE($B5733,"-","")," ",""),".",""))</f>
        <v/>
      </c>
      <c r="I5733" s="10" t="str">
        <f aca="false">IF($D5733="","",SUBSTITUTE(SUBSTITUTE(SUBSTITUTE($D5733,"-","")," ",""),".",""))</f>
        <v/>
      </c>
      <c r="J5733" s="10" t="str">
        <f aca="false">IF($E5733="","",UPPER(SUBSTITUTE($E5733," ","")))</f>
        <v/>
      </c>
      <c r="K5733" s="10" t="str">
        <f aca="false">IF($A5733="","",$G5733&amp;"|"&amp;$J5733)</f>
        <v/>
      </c>
      <c r="L5733" s="10" t="str">
        <f aca="false">IF($A5733="","",ROW()-2)</f>
        <v/>
      </c>
      <c r="M5733" s="10" t="str">
        <f aca="false">IF($A5733="","",ROW())</f>
        <v/>
      </c>
    </row>
    <row r="5734" customFormat="false" ht="15" hidden="false" customHeight="true" outlineLevel="0" collapsed="false">
      <c r="A5734" s="8"/>
      <c r="B5734" s="8"/>
      <c r="C5734" s="8"/>
      <c r="D5734" s="8"/>
      <c r="E5734" s="8"/>
      <c r="F5734" s="8"/>
      <c r="G5734" s="10" t="str">
        <f aca="false">IF($A5734="","",UPPER(SUBSTITUTE(SUBSTITUTE(SUBSTITUTE(SUBSTITUTE($A5734," ",""),"(주)",""),"주식회사",""),"㈜","")))</f>
        <v/>
      </c>
      <c r="H5734" s="10" t="str">
        <f aca="false">IF($B5734="","",SUBSTITUTE(SUBSTITUTE(SUBSTITUTE($B5734,"-","")," ",""),".",""))</f>
        <v/>
      </c>
      <c r="I5734" s="10" t="str">
        <f aca="false">IF($D5734="","",SUBSTITUTE(SUBSTITUTE(SUBSTITUTE($D5734,"-","")," ",""),".",""))</f>
        <v/>
      </c>
      <c r="J5734" s="10" t="str">
        <f aca="false">IF($E5734="","",UPPER(SUBSTITUTE($E5734," ","")))</f>
        <v/>
      </c>
      <c r="K5734" s="10" t="str">
        <f aca="false">IF($A5734="","",$G5734&amp;"|"&amp;$J5734)</f>
        <v/>
      </c>
      <c r="L5734" s="10" t="str">
        <f aca="false">IF($A5734="","",ROW()-2)</f>
        <v/>
      </c>
      <c r="M5734" s="10" t="str">
        <f aca="false">IF($A5734="","",ROW())</f>
        <v/>
      </c>
    </row>
    <row r="5735" customFormat="false" ht="15" hidden="false" customHeight="true" outlineLevel="0" collapsed="false">
      <c r="A5735" s="8"/>
      <c r="B5735" s="8"/>
      <c r="C5735" s="8"/>
      <c r="D5735" s="8"/>
      <c r="E5735" s="8"/>
      <c r="F5735" s="8"/>
      <c r="G5735" s="10" t="str">
        <f aca="false">IF($A5735="","",UPPER(SUBSTITUTE(SUBSTITUTE(SUBSTITUTE(SUBSTITUTE($A5735," ",""),"(주)",""),"주식회사",""),"㈜","")))</f>
        <v/>
      </c>
      <c r="H5735" s="10" t="str">
        <f aca="false">IF($B5735="","",SUBSTITUTE(SUBSTITUTE(SUBSTITUTE($B5735,"-","")," ",""),".",""))</f>
        <v/>
      </c>
      <c r="I5735" s="10" t="str">
        <f aca="false">IF($D5735="","",SUBSTITUTE(SUBSTITUTE(SUBSTITUTE($D5735,"-","")," ",""),".",""))</f>
        <v/>
      </c>
      <c r="J5735" s="10" t="str">
        <f aca="false">IF($E5735="","",UPPER(SUBSTITUTE($E5735," ","")))</f>
        <v/>
      </c>
      <c r="K5735" s="10" t="str">
        <f aca="false">IF($A5735="","",$G5735&amp;"|"&amp;$J5735)</f>
        <v/>
      </c>
      <c r="L5735" s="10" t="str">
        <f aca="false">IF($A5735="","",ROW()-2)</f>
        <v/>
      </c>
      <c r="M5735" s="10" t="str">
        <f aca="false">IF($A5735="","",ROW())</f>
        <v/>
      </c>
    </row>
    <row r="5736" customFormat="false" ht="15" hidden="false" customHeight="true" outlineLevel="0" collapsed="false">
      <c r="A5736" s="8"/>
      <c r="B5736" s="8"/>
      <c r="C5736" s="8"/>
      <c r="D5736" s="8"/>
      <c r="E5736" s="8"/>
      <c r="F5736" s="8"/>
      <c r="G5736" s="10" t="str">
        <f aca="false">IF($A5736="","",UPPER(SUBSTITUTE(SUBSTITUTE(SUBSTITUTE(SUBSTITUTE($A5736," ",""),"(주)",""),"주식회사",""),"㈜","")))</f>
        <v/>
      </c>
      <c r="H5736" s="10" t="str">
        <f aca="false">IF($B5736="","",SUBSTITUTE(SUBSTITUTE(SUBSTITUTE($B5736,"-","")," ",""),".",""))</f>
        <v/>
      </c>
      <c r="I5736" s="10" t="str">
        <f aca="false">IF($D5736="","",SUBSTITUTE(SUBSTITUTE(SUBSTITUTE($D5736,"-","")," ",""),".",""))</f>
        <v/>
      </c>
      <c r="J5736" s="10" t="str">
        <f aca="false">IF($E5736="","",UPPER(SUBSTITUTE($E5736," ","")))</f>
        <v/>
      </c>
      <c r="K5736" s="10" t="str">
        <f aca="false">IF($A5736="","",$G5736&amp;"|"&amp;$J5736)</f>
        <v/>
      </c>
      <c r="L5736" s="10" t="str">
        <f aca="false">IF($A5736="","",ROW()-2)</f>
        <v/>
      </c>
      <c r="M5736" s="10" t="str">
        <f aca="false">IF($A5736="","",ROW())</f>
        <v/>
      </c>
    </row>
    <row r="5737" customFormat="false" ht="15" hidden="false" customHeight="true" outlineLevel="0" collapsed="false">
      <c r="A5737" s="8"/>
      <c r="B5737" s="8"/>
      <c r="C5737" s="8"/>
      <c r="D5737" s="8"/>
      <c r="E5737" s="8"/>
      <c r="F5737" s="8"/>
      <c r="G5737" s="10" t="str">
        <f aca="false">IF($A5737="","",UPPER(SUBSTITUTE(SUBSTITUTE(SUBSTITUTE(SUBSTITUTE($A5737," ",""),"(주)",""),"주식회사",""),"㈜","")))</f>
        <v/>
      </c>
      <c r="H5737" s="10" t="str">
        <f aca="false">IF($B5737="","",SUBSTITUTE(SUBSTITUTE(SUBSTITUTE($B5737,"-","")," ",""),".",""))</f>
        <v/>
      </c>
      <c r="I5737" s="10" t="str">
        <f aca="false">IF($D5737="","",SUBSTITUTE(SUBSTITUTE(SUBSTITUTE($D5737,"-","")," ",""),".",""))</f>
        <v/>
      </c>
      <c r="J5737" s="10" t="str">
        <f aca="false">IF($E5737="","",UPPER(SUBSTITUTE($E5737," ","")))</f>
        <v/>
      </c>
      <c r="K5737" s="10" t="str">
        <f aca="false">IF($A5737="","",$G5737&amp;"|"&amp;$J5737)</f>
        <v/>
      </c>
      <c r="L5737" s="10" t="str">
        <f aca="false">IF($A5737="","",ROW()-2)</f>
        <v/>
      </c>
      <c r="M5737" s="10" t="str">
        <f aca="false">IF($A5737="","",ROW())</f>
        <v/>
      </c>
    </row>
    <row r="5738" customFormat="false" ht="15" hidden="false" customHeight="true" outlineLevel="0" collapsed="false">
      <c r="A5738" s="8"/>
      <c r="B5738" s="8"/>
      <c r="C5738" s="8"/>
      <c r="D5738" s="8"/>
      <c r="E5738" s="8"/>
      <c r="F5738" s="8"/>
      <c r="G5738" s="10" t="str">
        <f aca="false">IF($A5738="","",UPPER(SUBSTITUTE(SUBSTITUTE(SUBSTITUTE(SUBSTITUTE($A5738," ",""),"(주)",""),"주식회사",""),"㈜","")))</f>
        <v/>
      </c>
      <c r="H5738" s="10" t="str">
        <f aca="false">IF($B5738="","",SUBSTITUTE(SUBSTITUTE(SUBSTITUTE($B5738,"-","")," ",""),".",""))</f>
        <v/>
      </c>
      <c r="I5738" s="10" t="str">
        <f aca="false">IF($D5738="","",SUBSTITUTE(SUBSTITUTE(SUBSTITUTE($D5738,"-","")," ",""),".",""))</f>
        <v/>
      </c>
      <c r="J5738" s="10" t="str">
        <f aca="false">IF($E5738="","",UPPER(SUBSTITUTE($E5738," ","")))</f>
        <v/>
      </c>
      <c r="K5738" s="10" t="str">
        <f aca="false">IF($A5738="","",$G5738&amp;"|"&amp;$J5738)</f>
        <v/>
      </c>
      <c r="L5738" s="10" t="str">
        <f aca="false">IF($A5738="","",ROW()-2)</f>
        <v/>
      </c>
      <c r="M5738" s="10" t="str">
        <f aca="false">IF($A5738="","",ROW())</f>
        <v/>
      </c>
    </row>
    <row r="5739" customFormat="false" ht="15" hidden="false" customHeight="true" outlineLevel="0" collapsed="false">
      <c r="A5739" s="8"/>
      <c r="B5739" s="8"/>
      <c r="C5739" s="8"/>
      <c r="D5739" s="8"/>
      <c r="E5739" s="8"/>
      <c r="F5739" s="8"/>
      <c r="G5739" s="10" t="str">
        <f aca="false">IF($A5739="","",UPPER(SUBSTITUTE(SUBSTITUTE(SUBSTITUTE(SUBSTITUTE($A5739," ",""),"(주)",""),"주식회사",""),"㈜","")))</f>
        <v/>
      </c>
      <c r="H5739" s="10" t="str">
        <f aca="false">IF($B5739="","",SUBSTITUTE(SUBSTITUTE(SUBSTITUTE($B5739,"-","")," ",""),".",""))</f>
        <v/>
      </c>
      <c r="I5739" s="10" t="str">
        <f aca="false">IF($D5739="","",SUBSTITUTE(SUBSTITUTE(SUBSTITUTE($D5739,"-","")," ",""),".",""))</f>
        <v/>
      </c>
      <c r="J5739" s="10" t="str">
        <f aca="false">IF($E5739="","",UPPER(SUBSTITUTE($E5739," ","")))</f>
        <v/>
      </c>
      <c r="K5739" s="10" t="str">
        <f aca="false">IF($A5739="","",$G5739&amp;"|"&amp;$J5739)</f>
        <v/>
      </c>
      <c r="L5739" s="10" t="str">
        <f aca="false">IF($A5739="","",ROW()-2)</f>
        <v/>
      </c>
      <c r="M5739" s="10" t="str">
        <f aca="false">IF($A5739="","",ROW())</f>
        <v/>
      </c>
    </row>
    <row r="5740" customFormat="false" ht="15" hidden="false" customHeight="true" outlineLevel="0" collapsed="false">
      <c r="A5740" s="8"/>
      <c r="B5740" s="8"/>
      <c r="C5740" s="8"/>
      <c r="D5740" s="8"/>
      <c r="E5740" s="8"/>
      <c r="F5740" s="8"/>
      <c r="G5740" s="10" t="str">
        <f aca="false">IF($A5740="","",UPPER(SUBSTITUTE(SUBSTITUTE(SUBSTITUTE(SUBSTITUTE($A5740," ",""),"(주)",""),"주식회사",""),"㈜","")))</f>
        <v/>
      </c>
      <c r="H5740" s="10" t="str">
        <f aca="false">IF($B5740="","",SUBSTITUTE(SUBSTITUTE(SUBSTITUTE($B5740,"-","")," ",""),".",""))</f>
        <v/>
      </c>
      <c r="I5740" s="10" t="str">
        <f aca="false">IF($D5740="","",SUBSTITUTE(SUBSTITUTE(SUBSTITUTE($D5740,"-","")," ",""),".",""))</f>
        <v/>
      </c>
      <c r="J5740" s="10" t="str">
        <f aca="false">IF($E5740="","",UPPER(SUBSTITUTE($E5740," ","")))</f>
        <v/>
      </c>
      <c r="K5740" s="10" t="str">
        <f aca="false">IF($A5740="","",$G5740&amp;"|"&amp;$J5740)</f>
        <v/>
      </c>
      <c r="L5740" s="10" t="str">
        <f aca="false">IF($A5740="","",ROW()-2)</f>
        <v/>
      </c>
      <c r="M5740" s="10" t="str">
        <f aca="false">IF($A5740="","",ROW())</f>
        <v/>
      </c>
    </row>
    <row r="5741" customFormat="false" ht="15" hidden="false" customHeight="true" outlineLevel="0" collapsed="false">
      <c r="A5741" s="8"/>
      <c r="B5741" s="8"/>
      <c r="C5741" s="8"/>
      <c r="D5741" s="8"/>
      <c r="E5741" s="8"/>
      <c r="F5741" s="8"/>
      <c r="G5741" s="10" t="str">
        <f aca="false">IF($A5741="","",UPPER(SUBSTITUTE(SUBSTITUTE(SUBSTITUTE(SUBSTITUTE($A5741," ",""),"(주)",""),"주식회사",""),"㈜","")))</f>
        <v/>
      </c>
      <c r="H5741" s="10" t="str">
        <f aca="false">IF($B5741="","",SUBSTITUTE(SUBSTITUTE(SUBSTITUTE($B5741,"-","")," ",""),".",""))</f>
        <v/>
      </c>
      <c r="I5741" s="10" t="str">
        <f aca="false">IF($D5741="","",SUBSTITUTE(SUBSTITUTE(SUBSTITUTE($D5741,"-","")," ",""),".",""))</f>
        <v/>
      </c>
      <c r="J5741" s="10" t="str">
        <f aca="false">IF($E5741="","",UPPER(SUBSTITUTE($E5741," ","")))</f>
        <v/>
      </c>
      <c r="K5741" s="10" t="str">
        <f aca="false">IF($A5741="","",$G5741&amp;"|"&amp;$J5741)</f>
        <v/>
      </c>
      <c r="L5741" s="10" t="str">
        <f aca="false">IF($A5741="","",ROW()-2)</f>
        <v/>
      </c>
      <c r="M5741" s="10" t="str">
        <f aca="false">IF($A5741="","",ROW())</f>
        <v/>
      </c>
    </row>
    <row r="5742" customFormat="false" ht="15" hidden="false" customHeight="true" outlineLevel="0" collapsed="false">
      <c r="A5742" s="8"/>
      <c r="B5742" s="8"/>
      <c r="C5742" s="8"/>
      <c r="D5742" s="8"/>
      <c r="E5742" s="8"/>
      <c r="F5742" s="8"/>
      <c r="G5742" s="10" t="str">
        <f aca="false">IF($A5742="","",UPPER(SUBSTITUTE(SUBSTITUTE(SUBSTITUTE(SUBSTITUTE($A5742," ",""),"(주)",""),"주식회사",""),"㈜","")))</f>
        <v/>
      </c>
      <c r="H5742" s="10" t="str">
        <f aca="false">IF($B5742="","",SUBSTITUTE(SUBSTITUTE(SUBSTITUTE($B5742,"-","")," ",""),".",""))</f>
        <v/>
      </c>
      <c r="I5742" s="10" t="str">
        <f aca="false">IF($D5742="","",SUBSTITUTE(SUBSTITUTE(SUBSTITUTE($D5742,"-","")," ",""),".",""))</f>
        <v/>
      </c>
      <c r="J5742" s="10" t="str">
        <f aca="false">IF($E5742="","",UPPER(SUBSTITUTE($E5742," ","")))</f>
        <v/>
      </c>
      <c r="K5742" s="10" t="str">
        <f aca="false">IF($A5742="","",$G5742&amp;"|"&amp;$J5742)</f>
        <v/>
      </c>
      <c r="L5742" s="10" t="str">
        <f aca="false">IF($A5742="","",ROW()-2)</f>
        <v/>
      </c>
      <c r="M5742" s="10" t="str">
        <f aca="false">IF($A5742="","",ROW())</f>
        <v/>
      </c>
    </row>
    <row r="5743" customFormat="false" ht="15" hidden="false" customHeight="true" outlineLevel="0" collapsed="false">
      <c r="A5743" s="8"/>
      <c r="B5743" s="8"/>
      <c r="C5743" s="8"/>
      <c r="D5743" s="8"/>
      <c r="E5743" s="8"/>
      <c r="F5743" s="8"/>
      <c r="G5743" s="10" t="str">
        <f aca="false">IF($A5743="","",UPPER(SUBSTITUTE(SUBSTITUTE(SUBSTITUTE(SUBSTITUTE($A5743," ",""),"(주)",""),"주식회사",""),"㈜","")))</f>
        <v/>
      </c>
      <c r="H5743" s="10" t="str">
        <f aca="false">IF($B5743="","",SUBSTITUTE(SUBSTITUTE(SUBSTITUTE($B5743,"-","")," ",""),".",""))</f>
        <v/>
      </c>
      <c r="I5743" s="10" t="str">
        <f aca="false">IF($D5743="","",SUBSTITUTE(SUBSTITUTE(SUBSTITUTE($D5743,"-","")," ",""),".",""))</f>
        <v/>
      </c>
      <c r="J5743" s="10" t="str">
        <f aca="false">IF($E5743="","",UPPER(SUBSTITUTE($E5743," ","")))</f>
        <v/>
      </c>
      <c r="K5743" s="10" t="str">
        <f aca="false">IF($A5743="","",$G5743&amp;"|"&amp;$J5743)</f>
        <v/>
      </c>
      <c r="L5743" s="10" t="str">
        <f aca="false">IF($A5743="","",ROW()-2)</f>
        <v/>
      </c>
      <c r="M5743" s="10" t="str">
        <f aca="false">IF($A5743="","",ROW())</f>
        <v/>
      </c>
    </row>
    <row r="5744" customFormat="false" ht="15" hidden="false" customHeight="true" outlineLevel="0" collapsed="false">
      <c r="A5744" s="8"/>
      <c r="B5744" s="8"/>
      <c r="C5744" s="8"/>
      <c r="D5744" s="8"/>
      <c r="E5744" s="8"/>
      <c r="F5744" s="8"/>
      <c r="G5744" s="10" t="str">
        <f aca="false">IF($A5744="","",UPPER(SUBSTITUTE(SUBSTITUTE(SUBSTITUTE(SUBSTITUTE($A5744," ",""),"(주)",""),"주식회사",""),"㈜","")))</f>
        <v/>
      </c>
      <c r="H5744" s="10" t="str">
        <f aca="false">IF($B5744="","",SUBSTITUTE(SUBSTITUTE(SUBSTITUTE($B5744,"-","")," ",""),".",""))</f>
        <v/>
      </c>
      <c r="I5744" s="10" t="str">
        <f aca="false">IF($D5744="","",SUBSTITUTE(SUBSTITUTE(SUBSTITUTE($D5744,"-","")," ",""),".",""))</f>
        <v/>
      </c>
      <c r="J5744" s="10" t="str">
        <f aca="false">IF($E5744="","",UPPER(SUBSTITUTE($E5744," ","")))</f>
        <v/>
      </c>
      <c r="K5744" s="10" t="str">
        <f aca="false">IF($A5744="","",$G5744&amp;"|"&amp;$J5744)</f>
        <v/>
      </c>
      <c r="L5744" s="10" t="str">
        <f aca="false">IF($A5744="","",ROW()-2)</f>
        <v/>
      </c>
      <c r="M5744" s="10" t="str">
        <f aca="false">IF($A5744="","",ROW())</f>
        <v/>
      </c>
    </row>
    <row r="5745" customFormat="false" ht="15" hidden="false" customHeight="true" outlineLevel="0" collapsed="false">
      <c r="A5745" s="8"/>
      <c r="B5745" s="8"/>
      <c r="C5745" s="8"/>
      <c r="D5745" s="8"/>
      <c r="E5745" s="8"/>
      <c r="F5745" s="8"/>
      <c r="G5745" s="10" t="str">
        <f aca="false">IF($A5745="","",UPPER(SUBSTITUTE(SUBSTITUTE(SUBSTITUTE(SUBSTITUTE($A5745," ",""),"(주)",""),"주식회사",""),"㈜","")))</f>
        <v/>
      </c>
      <c r="H5745" s="10" t="str">
        <f aca="false">IF($B5745="","",SUBSTITUTE(SUBSTITUTE(SUBSTITUTE($B5745,"-","")," ",""),".",""))</f>
        <v/>
      </c>
      <c r="I5745" s="10" t="str">
        <f aca="false">IF($D5745="","",SUBSTITUTE(SUBSTITUTE(SUBSTITUTE($D5745,"-","")," ",""),".",""))</f>
        <v/>
      </c>
      <c r="J5745" s="10" t="str">
        <f aca="false">IF($E5745="","",UPPER(SUBSTITUTE($E5745," ","")))</f>
        <v/>
      </c>
      <c r="K5745" s="10" t="str">
        <f aca="false">IF($A5745="","",$G5745&amp;"|"&amp;$J5745)</f>
        <v/>
      </c>
      <c r="L5745" s="10" t="str">
        <f aca="false">IF($A5745="","",ROW()-2)</f>
        <v/>
      </c>
      <c r="M5745" s="10" t="str">
        <f aca="false">IF($A5745="","",ROW())</f>
        <v/>
      </c>
    </row>
    <row r="5746" customFormat="false" ht="15" hidden="false" customHeight="true" outlineLevel="0" collapsed="false">
      <c r="A5746" s="8"/>
      <c r="B5746" s="8"/>
      <c r="C5746" s="8"/>
      <c r="D5746" s="8"/>
      <c r="E5746" s="8"/>
      <c r="F5746" s="8"/>
      <c r="G5746" s="10" t="str">
        <f aca="false">IF($A5746="","",UPPER(SUBSTITUTE(SUBSTITUTE(SUBSTITUTE(SUBSTITUTE($A5746," ",""),"(주)",""),"주식회사",""),"㈜","")))</f>
        <v/>
      </c>
      <c r="H5746" s="10" t="str">
        <f aca="false">IF($B5746="","",SUBSTITUTE(SUBSTITUTE(SUBSTITUTE($B5746,"-","")," ",""),".",""))</f>
        <v/>
      </c>
      <c r="I5746" s="10" t="str">
        <f aca="false">IF($D5746="","",SUBSTITUTE(SUBSTITUTE(SUBSTITUTE($D5746,"-","")," ",""),".",""))</f>
        <v/>
      </c>
      <c r="J5746" s="10" t="str">
        <f aca="false">IF($E5746="","",UPPER(SUBSTITUTE($E5746," ","")))</f>
        <v/>
      </c>
      <c r="K5746" s="10" t="str">
        <f aca="false">IF($A5746="","",$G5746&amp;"|"&amp;$J5746)</f>
        <v/>
      </c>
      <c r="L5746" s="10" t="str">
        <f aca="false">IF($A5746="","",ROW()-2)</f>
        <v/>
      </c>
      <c r="M5746" s="10" t="str">
        <f aca="false">IF($A5746="","",ROW())</f>
        <v/>
      </c>
    </row>
    <row r="5747" customFormat="false" ht="15" hidden="false" customHeight="true" outlineLevel="0" collapsed="false">
      <c r="A5747" s="8"/>
      <c r="B5747" s="8"/>
      <c r="C5747" s="8"/>
      <c r="D5747" s="8"/>
      <c r="E5747" s="8"/>
      <c r="F5747" s="8"/>
      <c r="G5747" s="10" t="str">
        <f aca="false">IF($A5747="","",UPPER(SUBSTITUTE(SUBSTITUTE(SUBSTITUTE(SUBSTITUTE($A5747," ",""),"(주)",""),"주식회사",""),"㈜","")))</f>
        <v/>
      </c>
      <c r="H5747" s="10" t="str">
        <f aca="false">IF($B5747="","",SUBSTITUTE(SUBSTITUTE(SUBSTITUTE($B5747,"-","")," ",""),".",""))</f>
        <v/>
      </c>
      <c r="I5747" s="10" t="str">
        <f aca="false">IF($D5747="","",SUBSTITUTE(SUBSTITUTE(SUBSTITUTE($D5747,"-","")," ",""),".",""))</f>
        <v/>
      </c>
      <c r="J5747" s="10" t="str">
        <f aca="false">IF($E5747="","",UPPER(SUBSTITUTE($E5747," ","")))</f>
        <v/>
      </c>
      <c r="K5747" s="10" t="str">
        <f aca="false">IF($A5747="","",$G5747&amp;"|"&amp;$J5747)</f>
        <v/>
      </c>
      <c r="L5747" s="10" t="str">
        <f aca="false">IF($A5747="","",ROW()-2)</f>
        <v/>
      </c>
      <c r="M5747" s="10" t="str">
        <f aca="false">IF($A5747="","",ROW())</f>
        <v/>
      </c>
    </row>
    <row r="5748" customFormat="false" ht="15" hidden="false" customHeight="true" outlineLevel="0" collapsed="false">
      <c r="A5748" s="8"/>
      <c r="B5748" s="8"/>
      <c r="C5748" s="8"/>
      <c r="D5748" s="8"/>
      <c r="E5748" s="8"/>
      <c r="F5748" s="8"/>
      <c r="G5748" s="10" t="str">
        <f aca="false">IF($A5748="","",UPPER(SUBSTITUTE(SUBSTITUTE(SUBSTITUTE(SUBSTITUTE($A5748," ",""),"(주)",""),"주식회사",""),"㈜","")))</f>
        <v/>
      </c>
      <c r="H5748" s="10" t="str">
        <f aca="false">IF($B5748="","",SUBSTITUTE(SUBSTITUTE(SUBSTITUTE($B5748,"-","")," ",""),".",""))</f>
        <v/>
      </c>
      <c r="I5748" s="10" t="str">
        <f aca="false">IF($D5748="","",SUBSTITUTE(SUBSTITUTE(SUBSTITUTE($D5748,"-","")," ",""),".",""))</f>
        <v/>
      </c>
      <c r="J5748" s="10" t="str">
        <f aca="false">IF($E5748="","",UPPER(SUBSTITUTE($E5748," ","")))</f>
        <v/>
      </c>
      <c r="K5748" s="10" t="str">
        <f aca="false">IF($A5748="","",$G5748&amp;"|"&amp;$J5748)</f>
        <v/>
      </c>
      <c r="L5748" s="10" t="str">
        <f aca="false">IF($A5748="","",ROW()-2)</f>
        <v/>
      </c>
      <c r="M5748" s="10" t="str">
        <f aca="false">IF($A5748="","",ROW())</f>
        <v/>
      </c>
    </row>
    <row r="5749" customFormat="false" ht="15" hidden="false" customHeight="true" outlineLevel="0" collapsed="false">
      <c r="A5749" s="8"/>
      <c r="B5749" s="8"/>
      <c r="C5749" s="8"/>
      <c r="D5749" s="8"/>
      <c r="E5749" s="8"/>
      <c r="F5749" s="8"/>
      <c r="G5749" s="10" t="str">
        <f aca="false">IF($A5749="","",UPPER(SUBSTITUTE(SUBSTITUTE(SUBSTITUTE(SUBSTITUTE($A5749," ",""),"(주)",""),"주식회사",""),"㈜","")))</f>
        <v/>
      </c>
      <c r="H5749" s="10" t="str">
        <f aca="false">IF($B5749="","",SUBSTITUTE(SUBSTITUTE(SUBSTITUTE($B5749,"-","")," ",""),".",""))</f>
        <v/>
      </c>
      <c r="I5749" s="10" t="str">
        <f aca="false">IF($D5749="","",SUBSTITUTE(SUBSTITUTE(SUBSTITUTE($D5749,"-","")," ",""),".",""))</f>
        <v/>
      </c>
      <c r="J5749" s="10" t="str">
        <f aca="false">IF($E5749="","",UPPER(SUBSTITUTE($E5749," ","")))</f>
        <v/>
      </c>
      <c r="K5749" s="10" t="str">
        <f aca="false">IF($A5749="","",$G5749&amp;"|"&amp;$J5749)</f>
        <v/>
      </c>
      <c r="L5749" s="10" t="str">
        <f aca="false">IF($A5749="","",ROW()-2)</f>
        <v/>
      </c>
      <c r="M5749" s="10" t="str">
        <f aca="false">IF($A5749="","",ROW())</f>
        <v/>
      </c>
    </row>
    <row r="5750" customFormat="false" ht="15" hidden="false" customHeight="true" outlineLevel="0" collapsed="false">
      <c r="A5750" s="8"/>
      <c r="B5750" s="8"/>
      <c r="C5750" s="8"/>
      <c r="D5750" s="8"/>
      <c r="E5750" s="8"/>
      <c r="F5750" s="8"/>
      <c r="G5750" s="10" t="str">
        <f aca="false">IF($A5750="","",UPPER(SUBSTITUTE(SUBSTITUTE(SUBSTITUTE(SUBSTITUTE($A5750," ",""),"(주)",""),"주식회사",""),"㈜","")))</f>
        <v/>
      </c>
      <c r="H5750" s="10" t="str">
        <f aca="false">IF($B5750="","",SUBSTITUTE(SUBSTITUTE(SUBSTITUTE($B5750,"-","")," ",""),".",""))</f>
        <v/>
      </c>
      <c r="I5750" s="10" t="str">
        <f aca="false">IF($D5750="","",SUBSTITUTE(SUBSTITUTE(SUBSTITUTE($D5750,"-","")," ",""),".",""))</f>
        <v/>
      </c>
      <c r="J5750" s="10" t="str">
        <f aca="false">IF($E5750="","",UPPER(SUBSTITUTE($E5750," ","")))</f>
        <v/>
      </c>
      <c r="K5750" s="10" t="str">
        <f aca="false">IF($A5750="","",$G5750&amp;"|"&amp;$J5750)</f>
        <v/>
      </c>
      <c r="L5750" s="10" t="str">
        <f aca="false">IF($A5750="","",ROW()-2)</f>
        <v/>
      </c>
      <c r="M5750" s="10" t="str">
        <f aca="false">IF($A5750="","",ROW())</f>
        <v/>
      </c>
    </row>
    <row r="5751" customFormat="false" ht="15" hidden="false" customHeight="true" outlineLevel="0" collapsed="false">
      <c r="A5751" s="8"/>
      <c r="B5751" s="8"/>
      <c r="C5751" s="8"/>
      <c r="D5751" s="8"/>
      <c r="E5751" s="8"/>
      <c r="F5751" s="8"/>
      <c r="G5751" s="10" t="str">
        <f aca="false">IF($A5751="","",UPPER(SUBSTITUTE(SUBSTITUTE(SUBSTITUTE(SUBSTITUTE($A5751," ",""),"(주)",""),"주식회사",""),"㈜","")))</f>
        <v/>
      </c>
      <c r="H5751" s="10" t="str">
        <f aca="false">IF($B5751="","",SUBSTITUTE(SUBSTITUTE(SUBSTITUTE($B5751,"-","")," ",""),".",""))</f>
        <v/>
      </c>
      <c r="I5751" s="10" t="str">
        <f aca="false">IF($D5751="","",SUBSTITUTE(SUBSTITUTE(SUBSTITUTE($D5751,"-","")," ",""),".",""))</f>
        <v/>
      </c>
      <c r="J5751" s="10" t="str">
        <f aca="false">IF($E5751="","",UPPER(SUBSTITUTE($E5751," ","")))</f>
        <v/>
      </c>
      <c r="K5751" s="10" t="str">
        <f aca="false">IF($A5751="","",$G5751&amp;"|"&amp;$J5751)</f>
        <v/>
      </c>
      <c r="L5751" s="10" t="str">
        <f aca="false">IF($A5751="","",ROW()-2)</f>
        <v/>
      </c>
      <c r="M5751" s="10" t="str">
        <f aca="false">IF($A5751="","",ROW())</f>
        <v/>
      </c>
    </row>
    <row r="5752" customFormat="false" ht="15" hidden="false" customHeight="true" outlineLevel="0" collapsed="false">
      <c r="A5752" s="8"/>
      <c r="B5752" s="8"/>
      <c r="C5752" s="8"/>
      <c r="D5752" s="8"/>
      <c r="E5752" s="8"/>
      <c r="F5752" s="8"/>
      <c r="G5752" s="10" t="str">
        <f aca="false">IF($A5752="","",UPPER(SUBSTITUTE(SUBSTITUTE(SUBSTITUTE(SUBSTITUTE($A5752," ",""),"(주)",""),"주식회사",""),"㈜","")))</f>
        <v/>
      </c>
      <c r="H5752" s="10" t="str">
        <f aca="false">IF($B5752="","",SUBSTITUTE(SUBSTITUTE(SUBSTITUTE($B5752,"-","")," ",""),".",""))</f>
        <v/>
      </c>
      <c r="I5752" s="10" t="str">
        <f aca="false">IF($D5752="","",SUBSTITUTE(SUBSTITUTE(SUBSTITUTE($D5752,"-","")," ",""),".",""))</f>
        <v/>
      </c>
      <c r="J5752" s="10" t="str">
        <f aca="false">IF($E5752="","",UPPER(SUBSTITUTE($E5752," ","")))</f>
        <v/>
      </c>
      <c r="K5752" s="10" t="str">
        <f aca="false">IF($A5752="","",$G5752&amp;"|"&amp;$J5752)</f>
        <v/>
      </c>
      <c r="L5752" s="10" t="str">
        <f aca="false">IF($A5752="","",ROW()-2)</f>
        <v/>
      </c>
      <c r="M5752" s="10" t="str">
        <f aca="false">IF($A5752="","",ROW())</f>
        <v/>
      </c>
    </row>
    <row r="5753" customFormat="false" ht="15" hidden="false" customHeight="true" outlineLevel="0" collapsed="false">
      <c r="A5753" s="8"/>
      <c r="B5753" s="8"/>
      <c r="C5753" s="8"/>
      <c r="D5753" s="8"/>
      <c r="E5753" s="8"/>
      <c r="F5753" s="8"/>
      <c r="G5753" s="10" t="str">
        <f aca="false">IF($A5753="","",UPPER(SUBSTITUTE(SUBSTITUTE(SUBSTITUTE(SUBSTITUTE($A5753," ",""),"(주)",""),"주식회사",""),"㈜","")))</f>
        <v/>
      </c>
      <c r="H5753" s="10" t="str">
        <f aca="false">IF($B5753="","",SUBSTITUTE(SUBSTITUTE(SUBSTITUTE($B5753,"-","")," ",""),".",""))</f>
        <v/>
      </c>
      <c r="I5753" s="10" t="str">
        <f aca="false">IF($D5753="","",SUBSTITUTE(SUBSTITUTE(SUBSTITUTE($D5753,"-","")," ",""),".",""))</f>
        <v/>
      </c>
      <c r="J5753" s="10" t="str">
        <f aca="false">IF($E5753="","",UPPER(SUBSTITUTE($E5753," ","")))</f>
        <v/>
      </c>
      <c r="K5753" s="10" t="str">
        <f aca="false">IF($A5753="","",$G5753&amp;"|"&amp;$J5753)</f>
        <v/>
      </c>
      <c r="L5753" s="10" t="str">
        <f aca="false">IF($A5753="","",ROW()-2)</f>
        <v/>
      </c>
      <c r="M5753" s="10" t="str">
        <f aca="false">IF($A5753="","",ROW())</f>
        <v/>
      </c>
    </row>
    <row r="5754" customFormat="false" ht="15" hidden="false" customHeight="true" outlineLevel="0" collapsed="false">
      <c r="A5754" s="8"/>
      <c r="B5754" s="8"/>
      <c r="C5754" s="8"/>
      <c r="D5754" s="8"/>
      <c r="E5754" s="8"/>
      <c r="F5754" s="8"/>
      <c r="G5754" s="10" t="str">
        <f aca="false">IF($A5754="","",UPPER(SUBSTITUTE(SUBSTITUTE(SUBSTITUTE(SUBSTITUTE($A5754," ",""),"(주)",""),"주식회사",""),"㈜","")))</f>
        <v/>
      </c>
      <c r="H5754" s="10" t="str">
        <f aca="false">IF($B5754="","",SUBSTITUTE(SUBSTITUTE(SUBSTITUTE($B5754,"-","")," ",""),".",""))</f>
        <v/>
      </c>
      <c r="I5754" s="10" t="str">
        <f aca="false">IF($D5754="","",SUBSTITUTE(SUBSTITUTE(SUBSTITUTE($D5754,"-","")," ",""),".",""))</f>
        <v/>
      </c>
      <c r="J5754" s="10" t="str">
        <f aca="false">IF($E5754="","",UPPER(SUBSTITUTE($E5754," ","")))</f>
        <v/>
      </c>
      <c r="K5754" s="10" t="str">
        <f aca="false">IF($A5754="","",$G5754&amp;"|"&amp;$J5754)</f>
        <v/>
      </c>
      <c r="L5754" s="10" t="str">
        <f aca="false">IF($A5754="","",ROW()-2)</f>
        <v/>
      </c>
      <c r="M5754" s="10" t="str">
        <f aca="false">IF($A5754="","",ROW())</f>
        <v/>
      </c>
    </row>
    <row r="5755" customFormat="false" ht="15" hidden="false" customHeight="true" outlineLevel="0" collapsed="false">
      <c r="A5755" s="8"/>
      <c r="B5755" s="8"/>
      <c r="C5755" s="8"/>
      <c r="D5755" s="8"/>
      <c r="E5755" s="8"/>
      <c r="F5755" s="8"/>
      <c r="G5755" s="10" t="str">
        <f aca="false">IF($A5755="","",UPPER(SUBSTITUTE(SUBSTITUTE(SUBSTITUTE(SUBSTITUTE($A5755," ",""),"(주)",""),"주식회사",""),"㈜","")))</f>
        <v/>
      </c>
      <c r="H5755" s="10" t="str">
        <f aca="false">IF($B5755="","",SUBSTITUTE(SUBSTITUTE(SUBSTITUTE($B5755,"-","")," ",""),".",""))</f>
        <v/>
      </c>
      <c r="I5755" s="10" t="str">
        <f aca="false">IF($D5755="","",SUBSTITUTE(SUBSTITUTE(SUBSTITUTE($D5755,"-","")," ",""),".",""))</f>
        <v/>
      </c>
      <c r="J5755" s="10" t="str">
        <f aca="false">IF($E5755="","",UPPER(SUBSTITUTE($E5755," ","")))</f>
        <v/>
      </c>
      <c r="K5755" s="10" t="str">
        <f aca="false">IF($A5755="","",$G5755&amp;"|"&amp;$J5755)</f>
        <v/>
      </c>
      <c r="L5755" s="10" t="str">
        <f aca="false">IF($A5755="","",ROW()-2)</f>
        <v/>
      </c>
      <c r="M5755" s="10" t="str">
        <f aca="false">IF($A5755="","",ROW())</f>
        <v/>
      </c>
    </row>
    <row r="5756" customFormat="false" ht="15" hidden="false" customHeight="true" outlineLevel="0" collapsed="false">
      <c r="A5756" s="8"/>
      <c r="B5756" s="8"/>
      <c r="C5756" s="8"/>
      <c r="D5756" s="8"/>
      <c r="E5756" s="8"/>
      <c r="F5756" s="8"/>
      <c r="G5756" s="10" t="str">
        <f aca="false">IF($A5756="","",UPPER(SUBSTITUTE(SUBSTITUTE(SUBSTITUTE(SUBSTITUTE($A5756," ",""),"(주)",""),"주식회사",""),"㈜","")))</f>
        <v/>
      </c>
      <c r="H5756" s="10" t="str">
        <f aca="false">IF($B5756="","",SUBSTITUTE(SUBSTITUTE(SUBSTITUTE($B5756,"-","")," ",""),".",""))</f>
        <v/>
      </c>
      <c r="I5756" s="10" t="str">
        <f aca="false">IF($D5756="","",SUBSTITUTE(SUBSTITUTE(SUBSTITUTE($D5756,"-","")," ",""),".",""))</f>
        <v/>
      </c>
      <c r="J5756" s="10" t="str">
        <f aca="false">IF($E5756="","",UPPER(SUBSTITUTE($E5756," ","")))</f>
        <v/>
      </c>
      <c r="K5756" s="10" t="str">
        <f aca="false">IF($A5756="","",$G5756&amp;"|"&amp;$J5756)</f>
        <v/>
      </c>
      <c r="L5756" s="10" t="str">
        <f aca="false">IF($A5756="","",ROW()-2)</f>
        <v/>
      </c>
      <c r="M5756" s="10" t="str">
        <f aca="false">IF($A5756="","",ROW())</f>
        <v/>
      </c>
    </row>
    <row r="5757" customFormat="false" ht="15" hidden="false" customHeight="true" outlineLevel="0" collapsed="false">
      <c r="A5757" s="8"/>
      <c r="B5757" s="8"/>
      <c r="C5757" s="8"/>
      <c r="D5757" s="8"/>
      <c r="E5757" s="8"/>
      <c r="F5757" s="8"/>
      <c r="G5757" s="10" t="str">
        <f aca="false">IF($A5757="","",UPPER(SUBSTITUTE(SUBSTITUTE(SUBSTITUTE(SUBSTITUTE($A5757," ",""),"(주)",""),"주식회사",""),"㈜","")))</f>
        <v/>
      </c>
      <c r="H5757" s="10" t="str">
        <f aca="false">IF($B5757="","",SUBSTITUTE(SUBSTITUTE(SUBSTITUTE($B5757,"-","")," ",""),".",""))</f>
        <v/>
      </c>
      <c r="I5757" s="10" t="str">
        <f aca="false">IF($D5757="","",SUBSTITUTE(SUBSTITUTE(SUBSTITUTE($D5757,"-","")," ",""),".",""))</f>
        <v/>
      </c>
      <c r="J5757" s="10" t="str">
        <f aca="false">IF($E5757="","",UPPER(SUBSTITUTE($E5757," ","")))</f>
        <v/>
      </c>
      <c r="K5757" s="10" t="str">
        <f aca="false">IF($A5757="","",$G5757&amp;"|"&amp;$J5757)</f>
        <v/>
      </c>
      <c r="L5757" s="10" t="str">
        <f aca="false">IF($A5757="","",ROW()-2)</f>
        <v/>
      </c>
      <c r="M5757" s="10" t="str">
        <f aca="false">IF($A5757="","",ROW())</f>
        <v/>
      </c>
    </row>
    <row r="5758" customFormat="false" ht="15" hidden="false" customHeight="true" outlineLevel="0" collapsed="false">
      <c r="A5758" s="8"/>
      <c r="B5758" s="8"/>
      <c r="C5758" s="8"/>
      <c r="D5758" s="8"/>
      <c r="E5758" s="8"/>
      <c r="F5758" s="8"/>
      <c r="G5758" s="10" t="str">
        <f aca="false">IF($A5758="","",UPPER(SUBSTITUTE(SUBSTITUTE(SUBSTITUTE(SUBSTITUTE($A5758," ",""),"(주)",""),"주식회사",""),"㈜","")))</f>
        <v/>
      </c>
      <c r="H5758" s="10" t="str">
        <f aca="false">IF($B5758="","",SUBSTITUTE(SUBSTITUTE(SUBSTITUTE($B5758,"-","")," ",""),".",""))</f>
        <v/>
      </c>
      <c r="I5758" s="10" t="str">
        <f aca="false">IF($D5758="","",SUBSTITUTE(SUBSTITUTE(SUBSTITUTE($D5758,"-","")," ",""),".",""))</f>
        <v/>
      </c>
      <c r="J5758" s="10" t="str">
        <f aca="false">IF($E5758="","",UPPER(SUBSTITUTE($E5758," ","")))</f>
        <v/>
      </c>
      <c r="K5758" s="10" t="str">
        <f aca="false">IF($A5758="","",$G5758&amp;"|"&amp;$J5758)</f>
        <v/>
      </c>
      <c r="L5758" s="10" t="str">
        <f aca="false">IF($A5758="","",ROW()-2)</f>
        <v/>
      </c>
      <c r="M5758" s="10" t="str">
        <f aca="false">IF($A5758="","",ROW())</f>
        <v/>
      </c>
    </row>
    <row r="5759" customFormat="false" ht="15" hidden="false" customHeight="true" outlineLevel="0" collapsed="false">
      <c r="A5759" s="8"/>
      <c r="B5759" s="8"/>
      <c r="C5759" s="8"/>
      <c r="D5759" s="8"/>
      <c r="E5759" s="8"/>
      <c r="F5759" s="8"/>
      <c r="G5759" s="10" t="str">
        <f aca="false">IF($A5759="","",UPPER(SUBSTITUTE(SUBSTITUTE(SUBSTITUTE(SUBSTITUTE($A5759," ",""),"(주)",""),"주식회사",""),"㈜","")))</f>
        <v/>
      </c>
      <c r="H5759" s="10" t="str">
        <f aca="false">IF($B5759="","",SUBSTITUTE(SUBSTITUTE(SUBSTITUTE($B5759,"-","")," ",""),".",""))</f>
        <v/>
      </c>
      <c r="I5759" s="10" t="str">
        <f aca="false">IF($D5759="","",SUBSTITUTE(SUBSTITUTE(SUBSTITUTE($D5759,"-","")," ",""),".",""))</f>
        <v/>
      </c>
      <c r="J5759" s="10" t="str">
        <f aca="false">IF($E5759="","",UPPER(SUBSTITUTE($E5759," ","")))</f>
        <v/>
      </c>
      <c r="K5759" s="10" t="str">
        <f aca="false">IF($A5759="","",$G5759&amp;"|"&amp;$J5759)</f>
        <v/>
      </c>
      <c r="L5759" s="10" t="str">
        <f aca="false">IF($A5759="","",ROW()-2)</f>
        <v/>
      </c>
      <c r="M5759" s="10" t="str">
        <f aca="false">IF($A5759="","",ROW())</f>
        <v/>
      </c>
    </row>
    <row r="5760" customFormat="false" ht="15" hidden="false" customHeight="true" outlineLevel="0" collapsed="false">
      <c r="A5760" s="8"/>
      <c r="B5760" s="8"/>
      <c r="C5760" s="8"/>
      <c r="D5760" s="8"/>
      <c r="E5760" s="8"/>
      <c r="F5760" s="8"/>
      <c r="G5760" s="10" t="str">
        <f aca="false">IF($A5760="","",UPPER(SUBSTITUTE(SUBSTITUTE(SUBSTITUTE(SUBSTITUTE($A5760," ",""),"(주)",""),"주식회사",""),"㈜","")))</f>
        <v/>
      </c>
      <c r="H5760" s="10" t="str">
        <f aca="false">IF($B5760="","",SUBSTITUTE(SUBSTITUTE(SUBSTITUTE($B5760,"-","")," ",""),".",""))</f>
        <v/>
      </c>
      <c r="I5760" s="10" t="str">
        <f aca="false">IF($D5760="","",SUBSTITUTE(SUBSTITUTE(SUBSTITUTE($D5760,"-","")," ",""),".",""))</f>
        <v/>
      </c>
      <c r="J5760" s="10" t="str">
        <f aca="false">IF($E5760="","",UPPER(SUBSTITUTE($E5760," ","")))</f>
        <v/>
      </c>
      <c r="K5760" s="10" t="str">
        <f aca="false">IF($A5760="","",$G5760&amp;"|"&amp;$J5760)</f>
        <v/>
      </c>
      <c r="L5760" s="10" t="str">
        <f aca="false">IF($A5760="","",ROW()-2)</f>
        <v/>
      </c>
      <c r="M5760" s="10" t="str">
        <f aca="false">IF($A5760="","",ROW())</f>
        <v/>
      </c>
    </row>
    <row r="5761" customFormat="false" ht="15" hidden="false" customHeight="true" outlineLevel="0" collapsed="false">
      <c r="A5761" s="8"/>
      <c r="B5761" s="8"/>
      <c r="C5761" s="8"/>
      <c r="D5761" s="8"/>
      <c r="E5761" s="8"/>
      <c r="F5761" s="8"/>
      <c r="G5761" s="10" t="str">
        <f aca="false">IF($A5761="","",UPPER(SUBSTITUTE(SUBSTITUTE(SUBSTITUTE(SUBSTITUTE($A5761," ",""),"(주)",""),"주식회사",""),"㈜","")))</f>
        <v/>
      </c>
      <c r="H5761" s="10" t="str">
        <f aca="false">IF($B5761="","",SUBSTITUTE(SUBSTITUTE(SUBSTITUTE($B5761,"-","")," ",""),".",""))</f>
        <v/>
      </c>
      <c r="I5761" s="10" t="str">
        <f aca="false">IF($D5761="","",SUBSTITUTE(SUBSTITUTE(SUBSTITUTE($D5761,"-","")," ",""),".",""))</f>
        <v/>
      </c>
      <c r="J5761" s="10" t="str">
        <f aca="false">IF($E5761="","",UPPER(SUBSTITUTE($E5761," ","")))</f>
        <v/>
      </c>
      <c r="K5761" s="10" t="str">
        <f aca="false">IF($A5761="","",$G5761&amp;"|"&amp;$J5761)</f>
        <v/>
      </c>
      <c r="L5761" s="10" t="str">
        <f aca="false">IF($A5761="","",ROW()-2)</f>
        <v/>
      </c>
      <c r="M5761" s="10" t="str">
        <f aca="false">IF($A5761="","",ROW())</f>
        <v/>
      </c>
    </row>
    <row r="5762" customFormat="false" ht="15" hidden="false" customHeight="true" outlineLevel="0" collapsed="false">
      <c r="A5762" s="8"/>
      <c r="B5762" s="8"/>
      <c r="C5762" s="8"/>
      <c r="D5762" s="8"/>
      <c r="E5762" s="8"/>
      <c r="F5762" s="8"/>
      <c r="G5762" s="10" t="str">
        <f aca="false">IF($A5762="","",UPPER(SUBSTITUTE(SUBSTITUTE(SUBSTITUTE(SUBSTITUTE($A5762," ",""),"(주)",""),"주식회사",""),"㈜","")))</f>
        <v/>
      </c>
      <c r="H5762" s="10" t="str">
        <f aca="false">IF($B5762="","",SUBSTITUTE(SUBSTITUTE(SUBSTITUTE($B5762,"-","")," ",""),".",""))</f>
        <v/>
      </c>
      <c r="I5762" s="10" t="str">
        <f aca="false">IF($D5762="","",SUBSTITUTE(SUBSTITUTE(SUBSTITUTE($D5762,"-","")," ",""),".",""))</f>
        <v/>
      </c>
      <c r="J5762" s="10" t="str">
        <f aca="false">IF($E5762="","",UPPER(SUBSTITUTE($E5762," ","")))</f>
        <v/>
      </c>
      <c r="K5762" s="10" t="str">
        <f aca="false">IF($A5762="","",$G5762&amp;"|"&amp;$J5762)</f>
        <v/>
      </c>
      <c r="L5762" s="10" t="str">
        <f aca="false">IF($A5762="","",ROW()-2)</f>
        <v/>
      </c>
      <c r="M5762" s="10" t="str">
        <f aca="false">IF($A5762="","",ROW())</f>
        <v/>
      </c>
    </row>
    <row r="5763" customFormat="false" ht="15" hidden="false" customHeight="true" outlineLevel="0" collapsed="false">
      <c r="A5763" s="8"/>
      <c r="B5763" s="8"/>
      <c r="C5763" s="8"/>
      <c r="D5763" s="8"/>
      <c r="E5763" s="8"/>
      <c r="F5763" s="8"/>
      <c r="G5763" s="10" t="str">
        <f aca="false">IF($A5763="","",UPPER(SUBSTITUTE(SUBSTITUTE(SUBSTITUTE(SUBSTITUTE($A5763," ",""),"(주)",""),"주식회사",""),"㈜","")))</f>
        <v/>
      </c>
      <c r="H5763" s="10" t="str">
        <f aca="false">IF($B5763="","",SUBSTITUTE(SUBSTITUTE(SUBSTITUTE($B5763,"-","")," ",""),".",""))</f>
        <v/>
      </c>
      <c r="I5763" s="10" t="str">
        <f aca="false">IF($D5763="","",SUBSTITUTE(SUBSTITUTE(SUBSTITUTE($D5763,"-","")," ",""),".",""))</f>
        <v/>
      </c>
      <c r="J5763" s="10" t="str">
        <f aca="false">IF($E5763="","",UPPER(SUBSTITUTE($E5763," ","")))</f>
        <v/>
      </c>
      <c r="K5763" s="10" t="str">
        <f aca="false">IF($A5763="","",$G5763&amp;"|"&amp;$J5763)</f>
        <v/>
      </c>
      <c r="L5763" s="10" t="str">
        <f aca="false">IF($A5763="","",ROW()-2)</f>
        <v/>
      </c>
      <c r="M5763" s="10" t="str">
        <f aca="false">IF($A5763="","",ROW())</f>
        <v/>
      </c>
    </row>
    <row r="5764" customFormat="false" ht="15" hidden="false" customHeight="true" outlineLevel="0" collapsed="false">
      <c r="A5764" s="8"/>
      <c r="B5764" s="8"/>
      <c r="C5764" s="8"/>
      <c r="D5764" s="8"/>
      <c r="E5764" s="8"/>
      <c r="F5764" s="8"/>
      <c r="G5764" s="10" t="str">
        <f aca="false">IF($A5764="","",UPPER(SUBSTITUTE(SUBSTITUTE(SUBSTITUTE(SUBSTITUTE($A5764," ",""),"(주)",""),"주식회사",""),"㈜","")))</f>
        <v/>
      </c>
      <c r="H5764" s="10" t="str">
        <f aca="false">IF($B5764="","",SUBSTITUTE(SUBSTITUTE(SUBSTITUTE($B5764,"-","")," ",""),".",""))</f>
        <v/>
      </c>
      <c r="I5764" s="10" t="str">
        <f aca="false">IF($D5764="","",SUBSTITUTE(SUBSTITUTE(SUBSTITUTE($D5764,"-","")," ",""),".",""))</f>
        <v/>
      </c>
      <c r="J5764" s="10" t="str">
        <f aca="false">IF($E5764="","",UPPER(SUBSTITUTE($E5764," ","")))</f>
        <v/>
      </c>
      <c r="K5764" s="10" t="str">
        <f aca="false">IF($A5764="","",$G5764&amp;"|"&amp;$J5764)</f>
        <v/>
      </c>
      <c r="L5764" s="10" t="str">
        <f aca="false">IF($A5764="","",ROW()-2)</f>
        <v/>
      </c>
      <c r="M5764" s="10" t="str">
        <f aca="false">IF($A5764="","",ROW())</f>
        <v/>
      </c>
    </row>
    <row r="5765" customFormat="false" ht="15" hidden="false" customHeight="true" outlineLevel="0" collapsed="false">
      <c r="A5765" s="8"/>
      <c r="B5765" s="8"/>
      <c r="C5765" s="8"/>
      <c r="D5765" s="8"/>
      <c r="E5765" s="8"/>
      <c r="F5765" s="8"/>
      <c r="G5765" s="10" t="str">
        <f aca="false">IF($A5765="","",UPPER(SUBSTITUTE(SUBSTITUTE(SUBSTITUTE(SUBSTITUTE($A5765," ",""),"(주)",""),"주식회사",""),"㈜","")))</f>
        <v/>
      </c>
      <c r="H5765" s="10" t="str">
        <f aca="false">IF($B5765="","",SUBSTITUTE(SUBSTITUTE(SUBSTITUTE($B5765,"-","")," ",""),".",""))</f>
        <v/>
      </c>
      <c r="I5765" s="10" t="str">
        <f aca="false">IF($D5765="","",SUBSTITUTE(SUBSTITUTE(SUBSTITUTE($D5765,"-","")," ",""),".",""))</f>
        <v/>
      </c>
      <c r="J5765" s="10" t="str">
        <f aca="false">IF($E5765="","",UPPER(SUBSTITUTE($E5765," ","")))</f>
        <v/>
      </c>
      <c r="K5765" s="10" t="str">
        <f aca="false">IF($A5765="","",$G5765&amp;"|"&amp;$J5765)</f>
        <v/>
      </c>
      <c r="L5765" s="10" t="str">
        <f aca="false">IF($A5765="","",ROW()-2)</f>
        <v/>
      </c>
      <c r="M5765" s="10" t="str">
        <f aca="false">IF($A5765="","",ROW())</f>
        <v/>
      </c>
    </row>
    <row r="5766" customFormat="false" ht="15" hidden="false" customHeight="true" outlineLevel="0" collapsed="false">
      <c r="A5766" s="8"/>
      <c r="B5766" s="8"/>
      <c r="C5766" s="8"/>
      <c r="D5766" s="8"/>
      <c r="E5766" s="8"/>
      <c r="F5766" s="8"/>
      <c r="G5766" s="10" t="str">
        <f aca="false">IF($A5766="","",UPPER(SUBSTITUTE(SUBSTITUTE(SUBSTITUTE(SUBSTITUTE($A5766," ",""),"(주)",""),"주식회사",""),"㈜","")))</f>
        <v/>
      </c>
      <c r="H5766" s="10" t="str">
        <f aca="false">IF($B5766="","",SUBSTITUTE(SUBSTITUTE(SUBSTITUTE($B5766,"-","")," ",""),".",""))</f>
        <v/>
      </c>
      <c r="I5766" s="10" t="str">
        <f aca="false">IF($D5766="","",SUBSTITUTE(SUBSTITUTE(SUBSTITUTE($D5766,"-","")," ",""),".",""))</f>
        <v/>
      </c>
      <c r="J5766" s="10" t="str">
        <f aca="false">IF($E5766="","",UPPER(SUBSTITUTE($E5766," ","")))</f>
        <v/>
      </c>
      <c r="K5766" s="10" t="str">
        <f aca="false">IF($A5766="","",$G5766&amp;"|"&amp;$J5766)</f>
        <v/>
      </c>
      <c r="L5766" s="10" t="str">
        <f aca="false">IF($A5766="","",ROW()-2)</f>
        <v/>
      </c>
      <c r="M5766" s="10" t="str">
        <f aca="false">IF($A5766="","",ROW())</f>
        <v/>
      </c>
    </row>
    <row r="5767" customFormat="false" ht="15" hidden="false" customHeight="true" outlineLevel="0" collapsed="false">
      <c r="A5767" s="8"/>
      <c r="B5767" s="8"/>
      <c r="C5767" s="8"/>
      <c r="D5767" s="8"/>
      <c r="E5767" s="8"/>
      <c r="F5767" s="8"/>
      <c r="G5767" s="10" t="str">
        <f aca="false">IF($A5767="","",UPPER(SUBSTITUTE(SUBSTITUTE(SUBSTITUTE(SUBSTITUTE($A5767," ",""),"(주)",""),"주식회사",""),"㈜","")))</f>
        <v/>
      </c>
      <c r="H5767" s="10" t="str">
        <f aca="false">IF($B5767="","",SUBSTITUTE(SUBSTITUTE(SUBSTITUTE($B5767,"-","")," ",""),".",""))</f>
        <v/>
      </c>
      <c r="I5767" s="10" t="str">
        <f aca="false">IF($D5767="","",SUBSTITUTE(SUBSTITUTE(SUBSTITUTE($D5767,"-","")," ",""),".",""))</f>
        <v/>
      </c>
      <c r="J5767" s="10" t="str">
        <f aca="false">IF($E5767="","",UPPER(SUBSTITUTE($E5767," ","")))</f>
        <v/>
      </c>
      <c r="K5767" s="10" t="str">
        <f aca="false">IF($A5767="","",$G5767&amp;"|"&amp;$J5767)</f>
        <v/>
      </c>
      <c r="L5767" s="10" t="str">
        <f aca="false">IF($A5767="","",ROW()-2)</f>
        <v/>
      </c>
      <c r="M5767" s="10" t="str">
        <f aca="false">IF($A5767="","",ROW())</f>
        <v/>
      </c>
    </row>
    <row r="5768" customFormat="false" ht="15" hidden="false" customHeight="true" outlineLevel="0" collapsed="false">
      <c r="A5768" s="8"/>
      <c r="B5768" s="8"/>
      <c r="C5768" s="8"/>
      <c r="D5768" s="8"/>
      <c r="E5768" s="8"/>
      <c r="F5768" s="8"/>
      <c r="G5768" s="10" t="str">
        <f aca="false">IF($A5768="","",UPPER(SUBSTITUTE(SUBSTITUTE(SUBSTITUTE(SUBSTITUTE($A5768," ",""),"(주)",""),"주식회사",""),"㈜","")))</f>
        <v/>
      </c>
      <c r="H5768" s="10" t="str">
        <f aca="false">IF($B5768="","",SUBSTITUTE(SUBSTITUTE(SUBSTITUTE($B5768,"-","")," ",""),".",""))</f>
        <v/>
      </c>
      <c r="I5768" s="10" t="str">
        <f aca="false">IF($D5768="","",SUBSTITUTE(SUBSTITUTE(SUBSTITUTE($D5768,"-","")," ",""),".",""))</f>
        <v/>
      </c>
      <c r="J5768" s="10" t="str">
        <f aca="false">IF($E5768="","",UPPER(SUBSTITUTE($E5768," ","")))</f>
        <v/>
      </c>
      <c r="K5768" s="10" t="str">
        <f aca="false">IF($A5768="","",$G5768&amp;"|"&amp;$J5768)</f>
        <v/>
      </c>
      <c r="L5768" s="10" t="str">
        <f aca="false">IF($A5768="","",ROW()-2)</f>
        <v/>
      </c>
      <c r="M5768" s="10" t="str">
        <f aca="false">IF($A5768="","",ROW())</f>
        <v/>
      </c>
    </row>
    <row r="5769" customFormat="false" ht="15" hidden="false" customHeight="true" outlineLevel="0" collapsed="false">
      <c r="A5769" s="8"/>
      <c r="B5769" s="8"/>
      <c r="C5769" s="8"/>
      <c r="D5769" s="8"/>
      <c r="E5769" s="8"/>
      <c r="F5769" s="8"/>
      <c r="G5769" s="10" t="str">
        <f aca="false">IF($A5769="","",UPPER(SUBSTITUTE(SUBSTITUTE(SUBSTITUTE(SUBSTITUTE($A5769," ",""),"(주)",""),"주식회사",""),"㈜","")))</f>
        <v/>
      </c>
      <c r="H5769" s="10" t="str">
        <f aca="false">IF($B5769="","",SUBSTITUTE(SUBSTITUTE(SUBSTITUTE($B5769,"-","")," ",""),".",""))</f>
        <v/>
      </c>
      <c r="I5769" s="10" t="str">
        <f aca="false">IF($D5769="","",SUBSTITUTE(SUBSTITUTE(SUBSTITUTE($D5769,"-","")," ",""),".",""))</f>
        <v/>
      </c>
      <c r="J5769" s="10" t="str">
        <f aca="false">IF($E5769="","",UPPER(SUBSTITUTE($E5769," ","")))</f>
        <v/>
      </c>
      <c r="K5769" s="10" t="str">
        <f aca="false">IF($A5769="","",$G5769&amp;"|"&amp;$J5769)</f>
        <v/>
      </c>
      <c r="L5769" s="10" t="str">
        <f aca="false">IF($A5769="","",ROW()-2)</f>
        <v/>
      </c>
      <c r="M5769" s="10" t="str">
        <f aca="false">IF($A5769="","",ROW())</f>
        <v/>
      </c>
    </row>
    <row r="5770" customFormat="false" ht="15" hidden="false" customHeight="true" outlineLevel="0" collapsed="false">
      <c r="A5770" s="8"/>
      <c r="B5770" s="8"/>
      <c r="C5770" s="8"/>
      <c r="D5770" s="8"/>
      <c r="E5770" s="8"/>
      <c r="F5770" s="8"/>
      <c r="G5770" s="10" t="str">
        <f aca="false">IF($A5770="","",UPPER(SUBSTITUTE(SUBSTITUTE(SUBSTITUTE(SUBSTITUTE($A5770," ",""),"(주)",""),"주식회사",""),"㈜","")))</f>
        <v/>
      </c>
      <c r="H5770" s="10" t="str">
        <f aca="false">IF($B5770="","",SUBSTITUTE(SUBSTITUTE(SUBSTITUTE($B5770,"-","")," ",""),".",""))</f>
        <v/>
      </c>
      <c r="I5770" s="10" t="str">
        <f aca="false">IF($D5770="","",SUBSTITUTE(SUBSTITUTE(SUBSTITUTE($D5770,"-","")," ",""),".",""))</f>
        <v/>
      </c>
      <c r="J5770" s="10" t="str">
        <f aca="false">IF($E5770="","",UPPER(SUBSTITUTE($E5770," ","")))</f>
        <v/>
      </c>
      <c r="K5770" s="10" t="str">
        <f aca="false">IF($A5770="","",$G5770&amp;"|"&amp;$J5770)</f>
        <v/>
      </c>
      <c r="L5770" s="10" t="str">
        <f aca="false">IF($A5770="","",ROW()-2)</f>
        <v/>
      </c>
      <c r="M5770" s="10" t="str">
        <f aca="false">IF($A5770="","",ROW())</f>
        <v/>
      </c>
    </row>
    <row r="5771" customFormat="false" ht="15" hidden="false" customHeight="true" outlineLevel="0" collapsed="false">
      <c r="A5771" s="8"/>
      <c r="B5771" s="8"/>
      <c r="C5771" s="8"/>
      <c r="D5771" s="8"/>
      <c r="E5771" s="8"/>
      <c r="F5771" s="8"/>
      <c r="G5771" s="10" t="str">
        <f aca="false">IF($A5771="","",UPPER(SUBSTITUTE(SUBSTITUTE(SUBSTITUTE(SUBSTITUTE($A5771," ",""),"(주)",""),"주식회사",""),"㈜","")))</f>
        <v/>
      </c>
      <c r="H5771" s="10" t="str">
        <f aca="false">IF($B5771="","",SUBSTITUTE(SUBSTITUTE(SUBSTITUTE($B5771,"-","")," ",""),".",""))</f>
        <v/>
      </c>
      <c r="I5771" s="10" t="str">
        <f aca="false">IF($D5771="","",SUBSTITUTE(SUBSTITUTE(SUBSTITUTE($D5771,"-","")," ",""),".",""))</f>
        <v/>
      </c>
      <c r="J5771" s="10" t="str">
        <f aca="false">IF($E5771="","",UPPER(SUBSTITUTE($E5771," ","")))</f>
        <v/>
      </c>
      <c r="K5771" s="10" t="str">
        <f aca="false">IF($A5771="","",$G5771&amp;"|"&amp;$J5771)</f>
        <v/>
      </c>
      <c r="L5771" s="10" t="str">
        <f aca="false">IF($A5771="","",ROW()-2)</f>
        <v/>
      </c>
      <c r="M5771" s="10" t="str">
        <f aca="false">IF($A5771="","",ROW())</f>
        <v/>
      </c>
    </row>
    <row r="5772" customFormat="false" ht="15" hidden="false" customHeight="true" outlineLevel="0" collapsed="false">
      <c r="A5772" s="8"/>
      <c r="B5772" s="8"/>
      <c r="C5772" s="8"/>
      <c r="D5772" s="8"/>
      <c r="E5772" s="8"/>
      <c r="F5772" s="8"/>
      <c r="G5772" s="10" t="str">
        <f aca="false">IF($A5772="","",UPPER(SUBSTITUTE(SUBSTITUTE(SUBSTITUTE(SUBSTITUTE($A5772," ",""),"(주)",""),"주식회사",""),"㈜","")))</f>
        <v/>
      </c>
      <c r="H5772" s="10" t="str">
        <f aca="false">IF($B5772="","",SUBSTITUTE(SUBSTITUTE(SUBSTITUTE($B5772,"-","")," ",""),".",""))</f>
        <v/>
      </c>
      <c r="I5772" s="10" t="str">
        <f aca="false">IF($D5772="","",SUBSTITUTE(SUBSTITUTE(SUBSTITUTE($D5772,"-","")," ",""),".",""))</f>
        <v/>
      </c>
      <c r="J5772" s="10" t="str">
        <f aca="false">IF($E5772="","",UPPER(SUBSTITUTE($E5772," ","")))</f>
        <v/>
      </c>
      <c r="K5772" s="10" t="str">
        <f aca="false">IF($A5772="","",$G5772&amp;"|"&amp;$J5772)</f>
        <v/>
      </c>
      <c r="L5772" s="10" t="str">
        <f aca="false">IF($A5772="","",ROW()-2)</f>
        <v/>
      </c>
      <c r="M5772" s="10" t="str">
        <f aca="false">IF($A5772="","",ROW())</f>
        <v/>
      </c>
    </row>
    <row r="5773" customFormat="false" ht="15" hidden="false" customHeight="true" outlineLevel="0" collapsed="false">
      <c r="A5773" s="8"/>
      <c r="B5773" s="8"/>
      <c r="C5773" s="8"/>
      <c r="D5773" s="8"/>
      <c r="E5773" s="8"/>
      <c r="F5773" s="8"/>
      <c r="G5773" s="10" t="str">
        <f aca="false">IF($A5773="","",UPPER(SUBSTITUTE(SUBSTITUTE(SUBSTITUTE(SUBSTITUTE($A5773," ",""),"(주)",""),"주식회사",""),"㈜","")))</f>
        <v/>
      </c>
      <c r="H5773" s="10" t="str">
        <f aca="false">IF($B5773="","",SUBSTITUTE(SUBSTITUTE(SUBSTITUTE($B5773,"-","")," ",""),".",""))</f>
        <v/>
      </c>
      <c r="I5773" s="10" t="str">
        <f aca="false">IF($D5773="","",SUBSTITUTE(SUBSTITUTE(SUBSTITUTE($D5773,"-","")," ",""),".",""))</f>
        <v/>
      </c>
      <c r="J5773" s="10" t="str">
        <f aca="false">IF($E5773="","",UPPER(SUBSTITUTE($E5773," ","")))</f>
        <v/>
      </c>
      <c r="K5773" s="10" t="str">
        <f aca="false">IF($A5773="","",$G5773&amp;"|"&amp;$J5773)</f>
        <v/>
      </c>
      <c r="L5773" s="10" t="str">
        <f aca="false">IF($A5773="","",ROW()-2)</f>
        <v/>
      </c>
      <c r="M5773" s="10" t="str">
        <f aca="false">IF($A5773="","",ROW())</f>
        <v/>
      </c>
    </row>
    <row r="5774" customFormat="false" ht="15" hidden="false" customHeight="true" outlineLevel="0" collapsed="false">
      <c r="A5774" s="8"/>
      <c r="B5774" s="8"/>
      <c r="C5774" s="8"/>
      <c r="D5774" s="8"/>
      <c r="E5774" s="8"/>
      <c r="F5774" s="8"/>
      <c r="G5774" s="10" t="str">
        <f aca="false">IF($A5774="","",UPPER(SUBSTITUTE(SUBSTITUTE(SUBSTITUTE(SUBSTITUTE($A5774," ",""),"(주)",""),"주식회사",""),"㈜","")))</f>
        <v/>
      </c>
      <c r="H5774" s="10" t="str">
        <f aca="false">IF($B5774="","",SUBSTITUTE(SUBSTITUTE(SUBSTITUTE($B5774,"-","")," ",""),".",""))</f>
        <v/>
      </c>
      <c r="I5774" s="10" t="str">
        <f aca="false">IF($D5774="","",SUBSTITUTE(SUBSTITUTE(SUBSTITUTE($D5774,"-","")," ",""),".",""))</f>
        <v/>
      </c>
      <c r="J5774" s="10" t="str">
        <f aca="false">IF($E5774="","",UPPER(SUBSTITUTE($E5774," ","")))</f>
        <v/>
      </c>
      <c r="K5774" s="10" t="str">
        <f aca="false">IF($A5774="","",$G5774&amp;"|"&amp;$J5774)</f>
        <v/>
      </c>
      <c r="L5774" s="10" t="str">
        <f aca="false">IF($A5774="","",ROW()-2)</f>
        <v/>
      </c>
      <c r="M5774" s="10" t="str">
        <f aca="false">IF($A5774="","",ROW())</f>
        <v/>
      </c>
    </row>
    <row r="5775" customFormat="false" ht="15" hidden="false" customHeight="true" outlineLevel="0" collapsed="false">
      <c r="A5775" s="8"/>
      <c r="B5775" s="8"/>
      <c r="C5775" s="8"/>
      <c r="D5775" s="8"/>
      <c r="E5775" s="8"/>
      <c r="F5775" s="8"/>
      <c r="G5775" s="10" t="str">
        <f aca="false">IF($A5775="","",UPPER(SUBSTITUTE(SUBSTITUTE(SUBSTITUTE(SUBSTITUTE($A5775," ",""),"(주)",""),"주식회사",""),"㈜","")))</f>
        <v/>
      </c>
      <c r="H5775" s="10" t="str">
        <f aca="false">IF($B5775="","",SUBSTITUTE(SUBSTITUTE(SUBSTITUTE($B5775,"-","")," ",""),".",""))</f>
        <v/>
      </c>
      <c r="I5775" s="10" t="str">
        <f aca="false">IF($D5775="","",SUBSTITUTE(SUBSTITUTE(SUBSTITUTE($D5775,"-","")," ",""),".",""))</f>
        <v/>
      </c>
      <c r="J5775" s="10" t="str">
        <f aca="false">IF($E5775="","",UPPER(SUBSTITUTE($E5775," ","")))</f>
        <v/>
      </c>
      <c r="K5775" s="10" t="str">
        <f aca="false">IF($A5775="","",$G5775&amp;"|"&amp;$J5775)</f>
        <v/>
      </c>
      <c r="L5775" s="10" t="str">
        <f aca="false">IF($A5775="","",ROW()-2)</f>
        <v/>
      </c>
      <c r="M5775" s="10" t="str">
        <f aca="false">IF($A5775="","",ROW())</f>
        <v/>
      </c>
    </row>
    <row r="5776" customFormat="false" ht="15" hidden="false" customHeight="true" outlineLevel="0" collapsed="false">
      <c r="A5776" s="8"/>
      <c r="B5776" s="8"/>
      <c r="C5776" s="8"/>
      <c r="D5776" s="8"/>
      <c r="E5776" s="8"/>
      <c r="F5776" s="8"/>
      <c r="G5776" s="10" t="str">
        <f aca="false">IF($A5776="","",UPPER(SUBSTITUTE(SUBSTITUTE(SUBSTITUTE(SUBSTITUTE($A5776," ",""),"(주)",""),"주식회사",""),"㈜","")))</f>
        <v/>
      </c>
      <c r="H5776" s="10" t="str">
        <f aca="false">IF($B5776="","",SUBSTITUTE(SUBSTITUTE(SUBSTITUTE($B5776,"-","")," ",""),".",""))</f>
        <v/>
      </c>
      <c r="I5776" s="10" t="str">
        <f aca="false">IF($D5776="","",SUBSTITUTE(SUBSTITUTE(SUBSTITUTE($D5776,"-","")," ",""),".",""))</f>
        <v/>
      </c>
      <c r="J5776" s="10" t="str">
        <f aca="false">IF($E5776="","",UPPER(SUBSTITUTE($E5776," ","")))</f>
        <v/>
      </c>
      <c r="K5776" s="10" t="str">
        <f aca="false">IF($A5776="","",$G5776&amp;"|"&amp;$J5776)</f>
        <v/>
      </c>
      <c r="L5776" s="10" t="str">
        <f aca="false">IF($A5776="","",ROW()-2)</f>
        <v/>
      </c>
      <c r="M5776" s="10" t="str">
        <f aca="false">IF($A5776="","",ROW())</f>
        <v/>
      </c>
    </row>
    <row r="5777" customFormat="false" ht="15" hidden="false" customHeight="true" outlineLevel="0" collapsed="false">
      <c r="A5777" s="8"/>
      <c r="B5777" s="8"/>
      <c r="C5777" s="8"/>
      <c r="D5777" s="8"/>
      <c r="E5777" s="8"/>
      <c r="F5777" s="8"/>
      <c r="G5777" s="10" t="str">
        <f aca="false">IF($A5777="","",UPPER(SUBSTITUTE(SUBSTITUTE(SUBSTITUTE(SUBSTITUTE($A5777," ",""),"(주)",""),"주식회사",""),"㈜","")))</f>
        <v/>
      </c>
      <c r="H5777" s="10" t="str">
        <f aca="false">IF($B5777="","",SUBSTITUTE(SUBSTITUTE(SUBSTITUTE($B5777,"-","")," ",""),".",""))</f>
        <v/>
      </c>
      <c r="I5777" s="10" t="str">
        <f aca="false">IF($D5777="","",SUBSTITUTE(SUBSTITUTE(SUBSTITUTE($D5777,"-","")," ",""),".",""))</f>
        <v/>
      </c>
      <c r="J5777" s="10" t="str">
        <f aca="false">IF($E5777="","",UPPER(SUBSTITUTE($E5777," ","")))</f>
        <v/>
      </c>
      <c r="K5777" s="10" t="str">
        <f aca="false">IF($A5777="","",$G5777&amp;"|"&amp;$J5777)</f>
        <v/>
      </c>
      <c r="L5777" s="10" t="str">
        <f aca="false">IF($A5777="","",ROW()-2)</f>
        <v/>
      </c>
      <c r="M5777" s="10" t="str">
        <f aca="false">IF($A5777="","",ROW())</f>
        <v/>
      </c>
    </row>
    <row r="5778" customFormat="false" ht="15" hidden="false" customHeight="true" outlineLevel="0" collapsed="false">
      <c r="A5778" s="8"/>
      <c r="B5778" s="8"/>
      <c r="C5778" s="8"/>
      <c r="D5778" s="8"/>
      <c r="E5778" s="8"/>
      <c r="F5778" s="8"/>
      <c r="G5778" s="10" t="str">
        <f aca="false">IF($A5778="","",UPPER(SUBSTITUTE(SUBSTITUTE(SUBSTITUTE(SUBSTITUTE($A5778," ",""),"(주)",""),"주식회사",""),"㈜","")))</f>
        <v/>
      </c>
      <c r="H5778" s="10" t="str">
        <f aca="false">IF($B5778="","",SUBSTITUTE(SUBSTITUTE(SUBSTITUTE($B5778,"-","")," ",""),".",""))</f>
        <v/>
      </c>
      <c r="I5778" s="10" t="str">
        <f aca="false">IF($D5778="","",SUBSTITUTE(SUBSTITUTE(SUBSTITUTE($D5778,"-","")," ",""),".",""))</f>
        <v/>
      </c>
      <c r="J5778" s="10" t="str">
        <f aca="false">IF($E5778="","",UPPER(SUBSTITUTE($E5778," ","")))</f>
        <v/>
      </c>
      <c r="K5778" s="10" t="str">
        <f aca="false">IF($A5778="","",$G5778&amp;"|"&amp;$J5778)</f>
        <v/>
      </c>
      <c r="L5778" s="10" t="str">
        <f aca="false">IF($A5778="","",ROW()-2)</f>
        <v/>
      </c>
      <c r="M5778" s="10" t="str">
        <f aca="false">IF($A5778="","",ROW())</f>
        <v/>
      </c>
    </row>
    <row r="5779" customFormat="false" ht="15" hidden="false" customHeight="true" outlineLevel="0" collapsed="false">
      <c r="A5779" s="8"/>
      <c r="B5779" s="8"/>
      <c r="C5779" s="8"/>
      <c r="D5779" s="8"/>
      <c r="E5779" s="8"/>
      <c r="F5779" s="8"/>
      <c r="G5779" s="10" t="str">
        <f aca="false">IF($A5779="","",UPPER(SUBSTITUTE(SUBSTITUTE(SUBSTITUTE(SUBSTITUTE($A5779," ",""),"(주)",""),"주식회사",""),"㈜","")))</f>
        <v/>
      </c>
      <c r="H5779" s="10" t="str">
        <f aca="false">IF($B5779="","",SUBSTITUTE(SUBSTITUTE(SUBSTITUTE($B5779,"-","")," ",""),".",""))</f>
        <v/>
      </c>
      <c r="I5779" s="10" t="str">
        <f aca="false">IF($D5779="","",SUBSTITUTE(SUBSTITUTE(SUBSTITUTE($D5779,"-","")," ",""),".",""))</f>
        <v/>
      </c>
      <c r="J5779" s="10" t="str">
        <f aca="false">IF($E5779="","",UPPER(SUBSTITUTE($E5779," ","")))</f>
        <v/>
      </c>
      <c r="K5779" s="10" t="str">
        <f aca="false">IF($A5779="","",$G5779&amp;"|"&amp;$J5779)</f>
        <v/>
      </c>
      <c r="L5779" s="10" t="str">
        <f aca="false">IF($A5779="","",ROW()-2)</f>
        <v/>
      </c>
      <c r="M5779" s="10" t="str">
        <f aca="false">IF($A5779="","",ROW())</f>
        <v/>
      </c>
    </row>
    <row r="5780" customFormat="false" ht="15" hidden="false" customHeight="true" outlineLevel="0" collapsed="false">
      <c r="A5780" s="8"/>
      <c r="B5780" s="8"/>
      <c r="C5780" s="8"/>
      <c r="D5780" s="8"/>
      <c r="E5780" s="8"/>
      <c r="F5780" s="8"/>
      <c r="G5780" s="10" t="str">
        <f aca="false">IF($A5780="","",UPPER(SUBSTITUTE(SUBSTITUTE(SUBSTITUTE(SUBSTITUTE($A5780," ",""),"(주)",""),"주식회사",""),"㈜","")))</f>
        <v/>
      </c>
      <c r="H5780" s="10" t="str">
        <f aca="false">IF($B5780="","",SUBSTITUTE(SUBSTITUTE(SUBSTITUTE($B5780,"-","")," ",""),".",""))</f>
        <v/>
      </c>
      <c r="I5780" s="10" t="str">
        <f aca="false">IF($D5780="","",SUBSTITUTE(SUBSTITUTE(SUBSTITUTE($D5780,"-","")," ",""),".",""))</f>
        <v/>
      </c>
      <c r="J5780" s="10" t="str">
        <f aca="false">IF($E5780="","",UPPER(SUBSTITUTE($E5780," ","")))</f>
        <v/>
      </c>
      <c r="K5780" s="10" t="str">
        <f aca="false">IF($A5780="","",$G5780&amp;"|"&amp;$J5780)</f>
        <v/>
      </c>
      <c r="L5780" s="10" t="str">
        <f aca="false">IF($A5780="","",ROW()-2)</f>
        <v/>
      </c>
      <c r="M5780" s="10" t="str">
        <f aca="false">IF($A5780="","",ROW())</f>
        <v/>
      </c>
    </row>
    <row r="5781" customFormat="false" ht="15" hidden="false" customHeight="true" outlineLevel="0" collapsed="false">
      <c r="A5781" s="8"/>
      <c r="B5781" s="8"/>
      <c r="C5781" s="8"/>
      <c r="D5781" s="8"/>
      <c r="E5781" s="8"/>
      <c r="F5781" s="8"/>
      <c r="G5781" s="10" t="str">
        <f aca="false">IF($A5781="","",UPPER(SUBSTITUTE(SUBSTITUTE(SUBSTITUTE(SUBSTITUTE($A5781," ",""),"(주)",""),"주식회사",""),"㈜","")))</f>
        <v/>
      </c>
      <c r="H5781" s="10" t="str">
        <f aca="false">IF($B5781="","",SUBSTITUTE(SUBSTITUTE(SUBSTITUTE($B5781,"-","")," ",""),".",""))</f>
        <v/>
      </c>
      <c r="I5781" s="10" t="str">
        <f aca="false">IF($D5781="","",SUBSTITUTE(SUBSTITUTE(SUBSTITUTE($D5781,"-","")," ",""),".",""))</f>
        <v/>
      </c>
      <c r="J5781" s="10" t="str">
        <f aca="false">IF($E5781="","",UPPER(SUBSTITUTE($E5781," ","")))</f>
        <v/>
      </c>
      <c r="K5781" s="10" t="str">
        <f aca="false">IF($A5781="","",$G5781&amp;"|"&amp;$J5781)</f>
        <v/>
      </c>
      <c r="L5781" s="10" t="str">
        <f aca="false">IF($A5781="","",ROW()-2)</f>
        <v/>
      </c>
      <c r="M5781" s="10" t="str">
        <f aca="false">IF($A5781="","",ROW())</f>
        <v/>
      </c>
    </row>
    <row r="5782" customFormat="false" ht="15" hidden="false" customHeight="true" outlineLevel="0" collapsed="false">
      <c r="A5782" s="8"/>
      <c r="B5782" s="8"/>
      <c r="C5782" s="8"/>
      <c r="D5782" s="8"/>
      <c r="E5782" s="8"/>
      <c r="F5782" s="8"/>
      <c r="G5782" s="10" t="str">
        <f aca="false">IF($A5782="","",UPPER(SUBSTITUTE(SUBSTITUTE(SUBSTITUTE(SUBSTITUTE($A5782," ",""),"(주)",""),"주식회사",""),"㈜","")))</f>
        <v/>
      </c>
      <c r="H5782" s="10" t="str">
        <f aca="false">IF($B5782="","",SUBSTITUTE(SUBSTITUTE(SUBSTITUTE($B5782,"-","")," ",""),".",""))</f>
        <v/>
      </c>
      <c r="I5782" s="10" t="str">
        <f aca="false">IF($D5782="","",SUBSTITUTE(SUBSTITUTE(SUBSTITUTE($D5782,"-","")," ",""),".",""))</f>
        <v/>
      </c>
      <c r="J5782" s="10" t="str">
        <f aca="false">IF($E5782="","",UPPER(SUBSTITUTE($E5782," ","")))</f>
        <v/>
      </c>
      <c r="K5782" s="10" t="str">
        <f aca="false">IF($A5782="","",$G5782&amp;"|"&amp;$J5782)</f>
        <v/>
      </c>
      <c r="L5782" s="10" t="str">
        <f aca="false">IF($A5782="","",ROW()-2)</f>
        <v/>
      </c>
      <c r="M5782" s="10" t="str">
        <f aca="false">IF($A5782="","",ROW())</f>
        <v/>
      </c>
    </row>
    <row r="5783" customFormat="false" ht="15" hidden="false" customHeight="true" outlineLevel="0" collapsed="false">
      <c r="A5783" s="8"/>
      <c r="B5783" s="8"/>
      <c r="C5783" s="8"/>
      <c r="D5783" s="8"/>
      <c r="E5783" s="8"/>
      <c r="F5783" s="8"/>
      <c r="G5783" s="10" t="str">
        <f aca="false">IF($A5783="","",UPPER(SUBSTITUTE(SUBSTITUTE(SUBSTITUTE(SUBSTITUTE($A5783," ",""),"(주)",""),"주식회사",""),"㈜","")))</f>
        <v/>
      </c>
      <c r="H5783" s="10" t="str">
        <f aca="false">IF($B5783="","",SUBSTITUTE(SUBSTITUTE(SUBSTITUTE($B5783,"-","")," ",""),".",""))</f>
        <v/>
      </c>
      <c r="I5783" s="10" t="str">
        <f aca="false">IF($D5783="","",SUBSTITUTE(SUBSTITUTE(SUBSTITUTE($D5783,"-","")," ",""),".",""))</f>
        <v/>
      </c>
      <c r="J5783" s="10" t="str">
        <f aca="false">IF($E5783="","",UPPER(SUBSTITUTE($E5783," ","")))</f>
        <v/>
      </c>
      <c r="K5783" s="10" t="str">
        <f aca="false">IF($A5783="","",$G5783&amp;"|"&amp;$J5783)</f>
        <v/>
      </c>
      <c r="L5783" s="10" t="str">
        <f aca="false">IF($A5783="","",ROW()-2)</f>
        <v/>
      </c>
      <c r="M5783" s="10" t="str">
        <f aca="false">IF($A5783="","",ROW())</f>
        <v/>
      </c>
    </row>
    <row r="5784" customFormat="false" ht="15" hidden="false" customHeight="true" outlineLevel="0" collapsed="false">
      <c r="A5784" s="8"/>
      <c r="B5784" s="8"/>
      <c r="C5784" s="8"/>
      <c r="D5784" s="8"/>
      <c r="E5784" s="8"/>
      <c r="F5784" s="8"/>
      <c r="G5784" s="10" t="str">
        <f aca="false">IF($A5784="","",UPPER(SUBSTITUTE(SUBSTITUTE(SUBSTITUTE(SUBSTITUTE($A5784," ",""),"(주)",""),"주식회사",""),"㈜","")))</f>
        <v/>
      </c>
      <c r="H5784" s="10" t="str">
        <f aca="false">IF($B5784="","",SUBSTITUTE(SUBSTITUTE(SUBSTITUTE($B5784,"-","")," ",""),".",""))</f>
        <v/>
      </c>
      <c r="I5784" s="10" t="str">
        <f aca="false">IF($D5784="","",SUBSTITUTE(SUBSTITUTE(SUBSTITUTE($D5784,"-","")," ",""),".",""))</f>
        <v/>
      </c>
      <c r="J5784" s="10" t="str">
        <f aca="false">IF($E5784="","",UPPER(SUBSTITUTE($E5784," ","")))</f>
        <v/>
      </c>
      <c r="K5784" s="10" t="str">
        <f aca="false">IF($A5784="","",$G5784&amp;"|"&amp;$J5784)</f>
        <v/>
      </c>
      <c r="L5784" s="10" t="str">
        <f aca="false">IF($A5784="","",ROW()-2)</f>
        <v/>
      </c>
      <c r="M5784" s="10" t="str">
        <f aca="false">IF($A5784="","",ROW())</f>
        <v/>
      </c>
    </row>
    <row r="5785" customFormat="false" ht="15" hidden="false" customHeight="true" outlineLevel="0" collapsed="false">
      <c r="A5785" s="8"/>
      <c r="B5785" s="8"/>
      <c r="C5785" s="8"/>
      <c r="D5785" s="8"/>
      <c r="E5785" s="8"/>
      <c r="F5785" s="8"/>
      <c r="G5785" s="10" t="str">
        <f aca="false">IF($A5785="","",UPPER(SUBSTITUTE(SUBSTITUTE(SUBSTITUTE(SUBSTITUTE($A5785," ",""),"(주)",""),"주식회사",""),"㈜","")))</f>
        <v/>
      </c>
      <c r="H5785" s="10" t="str">
        <f aca="false">IF($B5785="","",SUBSTITUTE(SUBSTITUTE(SUBSTITUTE($B5785,"-","")," ",""),".",""))</f>
        <v/>
      </c>
      <c r="I5785" s="10" t="str">
        <f aca="false">IF($D5785="","",SUBSTITUTE(SUBSTITUTE(SUBSTITUTE($D5785,"-","")," ",""),".",""))</f>
        <v/>
      </c>
      <c r="J5785" s="10" t="str">
        <f aca="false">IF($E5785="","",UPPER(SUBSTITUTE($E5785," ","")))</f>
        <v/>
      </c>
      <c r="K5785" s="10" t="str">
        <f aca="false">IF($A5785="","",$G5785&amp;"|"&amp;$J5785)</f>
        <v/>
      </c>
      <c r="L5785" s="10" t="str">
        <f aca="false">IF($A5785="","",ROW()-2)</f>
        <v/>
      </c>
      <c r="M5785" s="10" t="str">
        <f aca="false">IF($A5785="","",ROW())</f>
        <v/>
      </c>
    </row>
    <row r="5786" customFormat="false" ht="15" hidden="false" customHeight="true" outlineLevel="0" collapsed="false">
      <c r="A5786" s="8"/>
      <c r="B5786" s="8"/>
      <c r="C5786" s="8"/>
      <c r="D5786" s="8"/>
      <c r="E5786" s="8"/>
      <c r="F5786" s="8"/>
      <c r="G5786" s="10" t="str">
        <f aca="false">IF($A5786="","",UPPER(SUBSTITUTE(SUBSTITUTE(SUBSTITUTE(SUBSTITUTE($A5786," ",""),"(주)",""),"주식회사",""),"㈜","")))</f>
        <v/>
      </c>
      <c r="H5786" s="10" t="str">
        <f aca="false">IF($B5786="","",SUBSTITUTE(SUBSTITUTE(SUBSTITUTE($B5786,"-","")," ",""),".",""))</f>
        <v/>
      </c>
      <c r="I5786" s="10" t="str">
        <f aca="false">IF($D5786="","",SUBSTITUTE(SUBSTITUTE(SUBSTITUTE($D5786,"-","")," ",""),".",""))</f>
        <v/>
      </c>
      <c r="J5786" s="10" t="str">
        <f aca="false">IF($E5786="","",UPPER(SUBSTITUTE($E5786," ","")))</f>
        <v/>
      </c>
      <c r="K5786" s="10" t="str">
        <f aca="false">IF($A5786="","",$G5786&amp;"|"&amp;$J5786)</f>
        <v/>
      </c>
      <c r="L5786" s="10" t="str">
        <f aca="false">IF($A5786="","",ROW()-2)</f>
        <v/>
      </c>
      <c r="M5786" s="10" t="str">
        <f aca="false">IF($A5786="","",ROW())</f>
        <v/>
      </c>
    </row>
    <row r="5787" customFormat="false" ht="15" hidden="false" customHeight="true" outlineLevel="0" collapsed="false">
      <c r="A5787" s="8"/>
      <c r="B5787" s="8"/>
      <c r="C5787" s="8"/>
      <c r="D5787" s="8"/>
      <c r="E5787" s="8"/>
      <c r="F5787" s="8"/>
      <c r="G5787" s="10" t="str">
        <f aca="false">IF($A5787="","",UPPER(SUBSTITUTE(SUBSTITUTE(SUBSTITUTE(SUBSTITUTE($A5787," ",""),"(주)",""),"주식회사",""),"㈜","")))</f>
        <v/>
      </c>
      <c r="H5787" s="10" t="str">
        <f aca="false">IF($B5787="","",SUBSTITUTE(SUBSTITUTE(SUBSTITUTE($B5787,"-","")," ",""),".",""))</f>
        <v/>
      </c>
      <c r="I5787" s="10" t="str">
        <f aca="false">IF($D5787="","",SUBSTITUTE(SUBSTITUTE(SUBSTITUTE($D5787,"-","")," ",""),".",""))</f>
        <v/>
      </c>
      <c r="J5787" s="10" t="str">
        <f aca="false">IF($E5787="","",UPPER(SUBSTITUTE($E5787," ","")))</f>
        <v/>
      </c>
      <c r="K5787" s="10" t="str">
        <f aca="false">IF($A5787="","",$G5787&amp;"|"&amp;$J5787)</f>
        <v/>
      </c>
      <c r="L5787" s="10" t="str">
        <f aca="false">IF($A5787="","",ROW()-2)</f>
        <v/>
      </c>
      <c r="M5787" s="10" t="str">
        <f aca="false">IF($A5787="","",ROW())</f>
        <v/>
      </c>
    </row>
    <row r="5788" customFormat="false" ht="15" hidden="false" customHeight="true" outlineLevel="0" collapsed="false">
      <c r="A5788" s="8"/>
      <c r="B5788" s="8"/>
      <c r="C5788" s="8"/>
      <c r="D5788" s="8"/>
      <c r="E5788" s="8"/>
      <c r="F5788" s="8"/>
      <c r="G5788" s="10" t="str">
        <f aca="false">IF($A5788="","",UPPER(SUBSTITUTE(SUBSTITUTE(SUBSTITUTE(SUBSTITUTE($A5788," ",""),"(주)",""),"주식회사",""),"㈜","")))</f>
        <v/>
      </c>
      <c r="H5788" s="10" t="str">
        <f aca="false">IF($B5788="","",SUBSTITUTE(SUBSTITUTE(SUBSTITUTE($B5788,"-","")," ",""),".",""))</f>
        <v/>
      </c>
      <c r="I5788" s="10" t="str">
        <f aca="false">IF($D5788="","",SUBSTITUTE(SUBSTITUTE(SUBSTITUTE($D5788,"-","")," ",""),".",""))</f>
        <v/>
      </c>
      <c r="J5788" s="10" t="str">
        <f aca="false">IF($E5788="","",UPPER(SUBSTITUTE($E5788," ","")))</f>
        <v/>
      </c>
      <c r="K5788" s="10" t="str">
        <f aca="false">IF($A5788="","",$G5788&amp;"|"&amp;$J5788)</f>
        <v/>
      </c>
      <c r="L5788" s="10" t="str">
        <f aca="false">IF($A5788="","",ROW()-2)</f>
        <v/>
      </c>
      <c r="M5788" s="10" t="str">
        <f aca="false">IF($A5788="","",ROW())</f>
        <v/>
      </c>
    </row>
    <row r="5789" customFormat="false" ht="15" hidden="false" customHeight="true" outlineLevel="0" collapsed="false">
      <c r="A5789" s="8"/>
      <c r="B5789" s="8"/>
      <c r="C5789" s="8"/>
      <c r="D5789" s="8"/>
      <c r="E5789" s="8"/>
      <c r="F5789" s="8"/>
      <c r="G5789" s="10" t="str">
        <f aca="false">IF($A5789="","",UPPER(SUBSTITUTE(SUBSTITUTE(SUBSTITUTE(SUBSTITUTE($A5789," ",""),"(주)",""),"주식회사",""),"㈜","")))</f>
        <v/>
      </c>
      <c r="H5789" s="10" t="str">
        <f aca="false">IF($B5789="","",SUBSTITUTE(SUBSTITUTE(SUBSTITUTE($B5789,"-","")," ",""),".",""))</f>
        <v/>
      </c>
      <c r="I5789" s="10" t="str">
        <f aca="false">IF($D5789="","",SUBSTITUTE(SUBSTITUTE(SUBSTITUTE($D5789,"-","")," ",""),".",""))</f>
        <v/>
      </c>
      <c r="J5789" s="10" t="str">
        <f aca="false">IF($E5789="","",UPPER(SUBSTITUTE($E5789," ","")))</f>
        <v/>
      </c>
      <c r="K5789" s="10" t="str">
        <f aca="false">IF($A5789="","",$G5789&amp;"|"&amp;$J5789)</f>
        <v/>
      </c>
      <c r="L5789" s="10" t="str">
        <f aca="false">IF($A5789="","",ROW()-2)</f>
        <v/>
      </c>
      <c r="M5789" s="10" t="str">
        <f aca="false">IF($A5789="","",ROW())</f>
        <v/>
      </c>
    </row>
    <row r="5790" customFormat="false" ht="15" hidden="false" customHeight="true" outlineLevel="0" collapsed="false">
      <c r="A5790" s="8"/>
      <c r="B5790" s="8"/>
      <c r="C5790" s="8"/>
      <c r="D5790" s="8"/>
      <c r="E5790" s="8"/>
      <c r="F5790" s="8"/>
      <c r="G5790" s="10" t="str">
        <f aca="false">IF($A5790="","",UPPER(SUBSTITUTE(SUBSTITUTE(SUBSTITUTE(SUBSTITUTE($A5790," ",""),"(주)",""),"주식회사",""),"㈜","")))</f>
        <v/>
      </c>
      <c r="H5790" s="10" t="str">
        <f aca="false">IF($B5790="","",SUBSTITUTE(SUBSTITUTE(SUBSTITUTE($B5790,"-","")," ",""),".",""))</f>
        <v/>
      </c>
      <c r="I5790" s="10" t="str">
        <f aca="false">IF($D5790="","",SUBSTITUTE(SUBSTITUTE(SUBSTITUTE($D5790,"-","")," ",""),".",""))</f>
        <v/>
      </c>
      <c r="J5790" s="10" t="str">
        <f aca="false">IF($E5790="","",UPPER(SUBSTITUTE($E5790," ","")))</f>
        <v/>
      </c>
      <c r="K5790" s="10" t="str">
        <f aca="false">IF($A5790="","",$G5790&amp;"|"&amp;$J5790)</f>
        <v/>
      </c>
      <c r="L5790" s="10" t="str">
        <f aca="false">IF($A5790="","",ROW()-2)</f>
        <v/>
      </c>
      <c r="M5790" s="10" t="str">
        <f aca="false">IF($A5790="","",ROW())</f>
        <v/>
      </c>
    </row>
    <row r="5791" customFormat="false" ht="15" hidden="false" customHeight="true" outlineLevel="0" collapsed="false">
      <c r="A5791" s="8"/>
      <c r="B5791" s="8"/>
      <c r="C5791" s="8"/>
      <c r="D5791" s="8"/>
      <c r="E5791" s="8"/>
      <c r="F5791" s="8"/>
      <c r="G5791" s="10" t="str">
        <f aca="false">IF($A5791="","",UPPER(SUBSTITUTE(SUBSTITUTE(SUBSTITUTE(SUBSTITUTE($A5791," ",""),"(주)",""),"주식회사",""),"㈜","")))</f>
        <v/>
      </c>
      <c r="H5791" s="10" t="str">
        <f aca="false">IF($B5791="","",SUBSTITUTE(SUBSTITUTE(SUBSTITUTE($B5791,"-","")," ",""),".",""))</f>
        <v/>
      </c>
      <c r="I5791" s="10" t="str">
        <f aca="false">IF($D5791="","",SUBSTITUTE(SUBSTITUTE(SUBSTITUTE($D5791,"-","")," ",""),".",""))</f>
        <v/>
      </c>
      <c r="J5791" s="10" t="str">
        <f aca="false">IF($E5791="","",UPPER(SUBSTITUTE($E5791," ","")))</f>
        <v/>
      </c>
      <c r="K5791" s="10" t="str">
        <f aca="false">IF($A5791="","",$G5791&amp;"|"&amp;$J5791)</f>
        <v/>
      </c>
      <c r="L5791" s="10" t="str">
        <f aca="false">IF($A5791="","",ROW()-2)</f>
        <v/>
      </c>
      <c r="M5791" s="10" t="str">
        <f aca="false">IF($A5791="","",ROW())</f>
        <v/>
      </c>
    </row>
    <row r="5792" customFormat="false" ht="15" hidden="false" customHeight="true" outlineLevel="0" collapsed="false">
      <c r="A5792" s="8"/>
      <c r="B5792" s="8"/>
      <c r="C5792" s="8"/>
      <c r="D5792" s="8"/>
      <c r="E5792" s="8"/>
      <c r="F5792" s="8"/>
      <c r="G5792" s="10" t="str">
        <f aca="false">IF($A5792="","",UPPER(SUBSTITUTE(SUBSTITUTE(SUBSTITUTE(SUBSTITUTE($A5792," ",""),"(주)",""),"주식회사",""),"㈜","")))</f>
        <v/>
      </c>
      <c r="H5792" s="10" t="str">
        <f aca="false">IF($B5792="","",SUBSTITUTE(SUBSTITUTE(SUBSTITUTE($B5792,"-","")," ",""),".",""))</f>
        <v/>
      </c>
      <c r="I5792" s="10" t="str">
        <f aca="false">IF($D5792="","",SUBSTITUTE(SUBSTITUTE(SUBSTITUTE($D5792,"-","")," ",""),".",""))</f>
        <v/>
      </c>
      <c r="J5792" s="10" t="str">
        <f aca="false">IF($E5792="","",UPPER(SUBSTITUTE($E5792," ","")))</f>
        <v/>
      </c>
      <c r="K5792" s="10" t="str">
        <f aca="false">IF($A5792="","",$G5792&amp;"|"&amp;$J5792)</f>
        <v/>
      </c>
      <c r="L5792" s="10" t="str">
        <f aca="false">IF($A5792="","",ROW()-2)</f>
        <v/>
      </c>
      <c r="M5792" s="10" t="str">
        <f aca="false">IF($A5792="","",ROW())</f>
        <v/>
      </c>
    </row>
    <row r="5793" customFormat="false" ht="15" hidden="false" customHeight="true" outlineLevel="0" collapsed="false">
      <c r="A5793" s="8"/>
      <c r="B5793" s="8"/>
      <c r="C5793" s="8"/>
      <c r="D5793" s="8"/>
      <c r="E5793" s="8"/>
      <c r="F5793" s="8"/>
      <c r="G5793" s="10" t="str">
        <f aca="false">IF($A5793="","",UPPER(SUBSTITUTE(SUBSTITUTE(SUBSTITUTE(SUBSTITUTE($A5793," ",""),"(주)",""),"주식회사",""),"㈜","")))</f>
        <v/>
      </c>
      <c r="H5793" s="10" t="str">
        <f aca="false">IF($B5793="","",SUBSTITUTE(SUBSTITUTE(SUBSTITUTE($B5793,"-","")," ",""),".",""))</f>
        <v/>
      </c>
      <c r="I5793" s="10" t="str">
        <f aca="false">IF($D5793="","",SUBSTITUTE(SUBSTITUTE(SUBSTITUTE($D5793,"-","")," ",""),".",""))</f>
        <v/>
      </c>
      <c r="J5793" s="10" t="str">
        <f aca="false">IF($E5793="","",UPPER(SUBSTITUTE($E5793," ","")))</f>
        <v/>
      </c>
      <c r="K5793" s="10" t="str">
        <f aca="false">IF($A5793="","",$G5793&amp;"|"&amp;$J5793)</f>
        <v/>
      </c>
      <c r="L5793" s="10" t="str">
        <f aca="false">IF($A5793="","",ROW()-2)</f>
        <v/>
      </c>
      <c r="M5793" s="10" t="str">
        <f aca="false">IF($A5793="","",ROW())</f>
        <v/>
      </c>
    </row>
    <row r="5794" customFormat="false" ht="15" hidden="false" customHeight="true" outlineLevel="0" collapsed="false">
      <c r="A5794" s="8"/>
      <c r="B5794" s="8"/>
      <c r="C5794" s="8"/>
      <c r="D5794" s="8"/>
      <c r="E5794" s="8"/>
      <c r="F5794" s="8"/>
      <c r="G5794" s="10" t="str">
        <f aca="false">IF($A5794="","",UPPER(SUBSTITUTE(SUBSTITUTE(SUBSTITUTE(SUBSTITUTE($A5794," ",""),"(주)",""),"주식회사",""),"㈜","")))</f>
        <v/>
      </c>
      <c r="H5794" s="10" t="str">
        <f aca="false">IF($B5794="","",SUBSTITUTE(SUBSTITUTE(SUBSTITUTE($B5794,"-","")," ",""),".",""))</f>
        <v/>
      </c>
      <c r="I5794" s="10" t="str">
        <f aca="false">IF($D5794="","",SUBSTITUTE(SUBSTITUTE(SUBSTITUTE($D5794,"-","")," ",""),".",""))</f>
        <v/>
      </c>
      <c r="J5794" s="10" t="str">
        <f aca="false">IF($E5794="","",UPPER(SUBSTITUTE($E5794," ","")))</f>
        <v/>
      </c>
      <c r="K5794" s="10" t="str">
        <f aca="false">IF($A5794="","",$G5794&amp;"|"&amp;$J5794)</f>
        <v/>
      </c>
      <c r="L5794" s="10" t="str">
        <f aca="false">IF($A5794="","",ROW()-2)</f>
        <v/>
      </c>
      <c r="M5794" s="10" t="str">
        <f aca="false">IF($A5794="","",ROW())</f>
        <v/>
      </c>
    </row>
    <row r="5795" customFormat="false" ht="15" hidden="false" customHeight="true" outlineLevel="0" collapsed="false">
      <c r="A5795" s="8"/>
      <c r="B5795" s="8"/>
      <c r="C5795" s="8"/>
      <c r="D5795" s="8"/>
      <c r="E5795" s="8"/>
      <c r="F5795" s="8"/>
      <c r="G5795" s="10" t="str">
        <f aca="false">IF($A5795="","",UPPER(SUBSTITUTE(SUBSTITUTE(SUBSTITUTE(SUBSTITUTE($A5795," ",""),"(주)",""),"주식회사",""),"㈜","")))</f>
        <v/>
      </c>
      <c r="H5795" s="10" t="str">
        <f aca="false">IF($B5795="","",SUBSTITUTE(SUBSTITUTE(SUBSTITUTE($B5795,"-","")," ",""),".",""))</f>
        <v/>
      </c>
      <c r="I5795" s="10" t="str">
        <f aca="false">IF($D5795="","",SUBSTITUTE(SUBSTITUTE(SUBSTITUTE($D5795,"-","")," ",""),".",""))</f>
        <v/>
      </c>
      <c r="J5795" s="10" t="str">
        <f aca="false">IF($E5795="","",UPPER(SUBSTITUTE($E5795," ","")))</f>
        <v/>
      </c>
      <c r="K5795" s="10" t="str">
        <f aca="false">IF($A5795="","",$G5795&amp;"|"&amp;$J5795)</f>
        <v/>
      </c>
      <c r="L5795" s="10" t="str">
        <f aca="false">IF($A5795="","",ROW()-2)</f>
        <v/>
      </c>
      <c r="M5795" s="10" t="str">
        <f aca="false">IF($A5795="","",ROW())</f>
        <v/>
      </c>
    </row>
    <row r="5796" customFormat="false" ht="15" hidden="false" customHeight="true" outlineLevel="0" collapsed="false">
      <c r="A5796" s="8"/>
      <c r="B5796" s="8"/>
      <c r="C5796" s="8"/>
      <c r="D5796" s="8"/>
      <c r="E5796" s="8"/>
      <c r="F5796" s="8"/>
      <c r="G5796" s="10" t="str">
        <f aca="false">IF($A5796="","",UPPER(SUBSTITUTE(SUBSTITUTE(SUBSTITUTE(SUBSTITUTE($A5796," ",""),"(주)",""),"주식회사",""),"㈜","")))</f>
        <v/>
      </c>
      <c r="H5796" s="10" t="str">
        <f aca="false">IF($B5796="","",SUBSTITUTE(SUBSTITUTE(SUBSTITUTE($B5796,"-","")," ",""),".",""))</f>
        <v/>
      </c>
      <c r="I5796" s="10" t="str">
        <f aca="false">IF($D5796="","",SUBSTITUTE(SUBSTITUTE(SUBSTITUTE($D5796,"-","")," ",""),".",""))</f>
        <v/>
      </c>
      <c r="J5796" s="10" t="str">
        <f aca="false">IF($E5796="","",UPPER(SUBSTITUTE($E5796," ","")))</f>
        <v/>
      </c>
      <c r="K5796" s="10" t="str">
        <f aca="false">IF($A5796="","",$G5796&amp;"|"&amp;$J5796)</f>
        <v/>
      </c>
      <c r="L5796" s="10" t="str">
        <f aca="false">IF($A5796="","",ROW()-2)</f>
        <v/>
      </c>
      <c r="M5796" s="10" t="str">
        <f aca="false">IF($A5796="","",ROW())</f>
        <v/>
      </c>
    </row>
    <row r="5797" customFormat="false" ht="15" hidden="false" customHeight="true" outlineLevel="0" collapsed="false">
      <c r="A5797" s="8"/>
      <c r="B5797" s="8"/>
      <c r="C5797" s="8"/>
      <c r="D5797" s="8"/>
      <c r="E5797" s="8"/>
      <c r="F5797" s="8"/>
      <c r="G5797" s="10" t="str">
        <f aca="false">IF($A5797="","",UPPER(SUBSTITUTE(SUBSTITUTE(SUBSTITUTE(SUBSTITUTE($A5797," ",""),"(주)",""),"주식회사",""),"㈜","")))</f>
        <v/>
      </c>
      <c r="H5797" s="10" t="str">
        <f aca="false">IF($B5797="","",SUBSTITUTE(SUBSTITUTE(SUBSTITUTE($B5797,"-","")," ",""),".",""))</f>
        <v/>
      </c>
      <c r="I5797" s="10" t="str">
        <f aca="false">IF($D5797="","",SUBSTITUTE(SUBSTITUTE(SUBSTITUTE($D5797,"-","")," ",""),".",""))</f>
        <v/>
      </c>
      <c r="J5797" s="10" t="str">
        <f aca="false">IF($E5797="","",UPPER(SUBSTITUTE($E5797," ","")))</f>
        <v/>
      </c>
      <c r="K5797" s="10" t="str">
        <f aca="false">IF($A5797="","",$G5797&amp;"|"&amp;$J5797)</f>
        <v/>
      </c>
      <c r="L5797" s="10" t="str">
        <f aca="false">IF($A5797="","",ROW()-2)</f>
        <v/>
      </c>
      <c r="M5797" s="10" t="str">
        <f aca="false">IF($A5797="","",ROW())</f>
        <v/>
      </c>
    </row>
    <row r="5798" customFormat="false" ht="15" hidden="false" customHeight="true" outlineLevel="0" collapsed="false">
      <c r="A5798" s="8"/>
      <c r="B5798" s="8"/>
      <c r="C5798" s="8"/>
      <c r="D5798" s="8"/>
      <c r="E5798" s="8"/>
      <c r="F5798" s="8"/>
      <c r="G5798" s="10" t="str">
        <f aca="false">IF($A5798="","",UPPER(SUBSTITUTE(SUBSTITUTE(SUBSTITUTE(SUBSTITUTE($A5798," ",""),"(주)",""),"주식회사",""),"㈜","")))</f>
        <v/>
      </c>
      <c r="H5798" s="10" t="str">
        <f aca="false">IF($B5798="","",SUBSTITUTE(SUBSTITUTE(SUBSTITUTE($B5798,"-","")," ",""),".",""))</f>
        <v/>
      </c>
      <c r="I5798" s="10" t="str">
        <f aca="false">IF($D5798="","",SUBSTITUTE(SUBSTITUTE(SUBSTITUTE($D5798,"-","")," ",""),".",""))</f>
        <v/>
      </c>
      <c r="J5798" s="10" t="str">
        <f aca="false">IF($E5798="","",UPPER(SUBSTITUTE($E5798," ","")))</f>
        <v/>
      </c>
      <c r="K5798" s="10" t="str">
        <f aca="false">IF($A5798="","",$G5798&amp;"|"&amp;$J5798)</f>
        <v/>
      </c>
      <c r="L5798" s="10" t="str">
        <f aca="false">IF($A5798="","",ROW()-2)</f>
        <v/>
      </c>
      <c r="M5798" s="10" t="str">
        <f aca="false">IF($A5798="","",ROW())</f>
        <v/>
      </c>
    </row>
    <row r="5799" customFormat="false" ht="15" hidden="false" customHeight="true" outlineLevel="0" collapsed="false">
      <c r="A5799" s="8"/>
      <c r="B5799" s="8"/>
      <c r="C5799" s="8"/>
      <c r="D5799" s="8"/>
      <c r="E5799" s="8"/>
      <c r="F5799" s="8"/>
      <c r="G5799" s="10" t="str">
        <f aca="false">IF($A5799="","",UPPER(SUBSTITUTE(SUBSTITUTE(SUBSTITUTE(SUBSTITUTE($A5799," ",""),"(주)",""),"주식회사",""),"㈜","")))</f>
        <v/>
      </c>
      <c r="H5799" s="10" t="str">
        <f aca="false">IF($B5799="","",SUBSTITUTE(SUBSTITUTE(SUBSTITUTE($B5799,"-","")," ",""),".",""))</f>
        <v/>
      </c>
      <c r="I5799" s="10" t="str">
        <f aca="false">IF($D5799="","",SUBSTITUTE(SUBSTITUTE(SUBSTITUTE($D5799,"-","")," ",""),".",""))</f>
        <v/>
      </c>
      <c r="J5799" s="10" t="str">
        <f aca="false">IF($E5799="","",UPPER(SUBSTITUTE($E5799," ","")))</f>
        <v/>
      </c>
      <c r="K5799" s="10" t="str">
        <f aca="false">IF($A5799="","",$G5799&amp;"|"&amp;$J5799)</f>
        <v/>
      </c>
      <c r="L5799" s="10" t="str">
        <f aca="false">IF($A5799="","",ROW()-2)</f>
        <v/>
      </c>
      <c r="M5799" s="10" t="str">
        <f aca="false">IF($A5799="","",ROW())</f>
        <v/>
      </c>
    </row>
    <row r="5800" customFormat="false" ht="15" hidden="false" customHeight="true" outlineLevel="0" collapsed="false">
      <c r="A5800" s="8"/>
      <c r="B5800" s="8"/>
      <c r="C5800" s="8"/>
      <c r="D5800" s="8"/>
      <c r="E5800" s="8"/>
      <c r="F5800" s="8"/>
      <c r="G5800" s="10" t="str">
        <f aca="false">IF($A5800="","",UPPER(SUBSTITUTE(SUBSTITUTE(SUBSTITUTE(SUBSTITUTE($A5800," ",""),"(주)",""),"주식회사",""),"㈜","")))</f>
        <v/>
      </c>
      <c r="H5800" s="10" t="str">
        <f aca="false">IF($B5800="","",SUBSTITUTE(SUBSTITUTE(SUBSTITUTE($B5800,"-","")," ",""),".",""))</f>
        <v/>
      </c>
      <c r="I5800" s="10" t="str">
        <f aca="false">IF($D5800="","",SUBSTITUTE(SUBSTITUTE(SUBSTITUTE($D5800,"-","")," ",""),".",""))</f>
        <v/>
      </c>
      <c r="J5800" s="10" t="str">
        <f aca="false">IF($E5800="","",UPPER(SUBSTITUTE($E5800," ","")))</f>
        <v/>
      </c>
      <c r="K5800" s="10" t="str">
        <f aca="false">IF($A5800="","",$G5800&amp;"|"&amp;$J5800)</f>
        <v/>
      </c>
      <c r="L5800" s="10" t="str">
        <f aca="false">IF($A5800="","",ROW()-2)</f>
        <v/>
      </c>
      <c r="M5800" s="10" t="str">
        <f aca="false">IF($A5800="","",ROW())</f>
        <v/>
      </c>
    </row>
    <row r="5801" customFormat="false" ht="15" hidden="false" customHeight="true" outlineLevel="0" collapsed="false">
      <c r="A5801" s="8"/>
      <c r="B5801" s="8"/>
      <c r="C5801" s="8"/>
      <c r="D5801" s="8"/>
      <c r="E5801" s="8"/>
      <c r="F5801" s="8"/>
      <c r="G5801" s="10" t="str">
        <f aca="false">IF($A5801="","",UPPER(SUBSTITUTE(SUBSTITUTE(SUBSTITUTE(SUBSTITUTE($A5801," ",""),"(주)",""),"주식회사",""),"㈜","")))</f>
        <v/>
      </c>
      <c r="H5801" s="10" t="str">
        <f aca="false">IF($B5801="","",SUBSTITUTE(SUBSTITUTE(SUBSTITUTE($B5801,"-","")," ",""),".",""))</f>
        <v/>
      </c>
      <c r="I5801" s="10" t="str">
        <f aca="false">IF($D5801="","",SUBSTITUTE(SUBSTITUTE(SUBSTITUTE($D5801,"-","")," ",""),".",""))</f>
        <v/>
      </c>
      <c r="J5801" s="10" t="str">
        <f aca="false">IF($E5801="","",UPPER(SUBSTITUTE($E5801," ","")))</f>
        <v/>
      </c>
      <c r="K5801" s="10" t="str">
        <f aca="false">IF($A5801="","",$G5801&amp;"|"&amp;$J5801)</f>
        <v/>
      </c>
      <c r="L5801" s="10" t="str">
        <f aca="false">IF($A5801="","",ROW()-2)</f>
        <v/>
      </c>
      <c r="M5801" s="10" t="str">
        <f aca="false">IF($A5801="","",ROW())</f>
        <v/>
      </c>
    </row>
    <row r="5802" customFormat="false" ht="15" hidden="false" customHeight="true" outlineLevel="0" collapsed="false">
      <c r="A5802" s="8"/>
      <c r="B5802" s="8"/>
      <c r="C5802" s="8"/>
      <c r="D5802" s="8"/>
      <c r="E5802" s="8"/>
      <c r="F5802" s="8"/>
      <c r="G5802" s="10" t="str">
        <f aca="false">IF($A5802="","",UPPER(SUBSTITUTE(SUBSTITUTE(SUBSTITUTE(SUBSTITUTE($A5802," ",""),"(주)",""),"주식회사",""),"㈜","")))</f>
        <v/>
      </c>
      <c r="H5802" s="10" t="str">
        <f aca="false">IF($B5802="","",SUBSTITUTE(SUBSTITUTE(SUBSTITUTE($B5802,"-","")," ",""),".",""))</f>
        <v/>
      </c>
      <c r="I5802" s="10" t="str">
        <f aca="false">IF($D5802="","",SUBSTITUTE(SUBSTITUTE(SUBSTITUTE($D5802,"-","")," ",""),".",""))</f>
        <v/>
      </c>
      <c r="J5802" s="10" t="str">
        <f aca="false">IF($E5802="","",UPPER(SUBSTITUTE($E5802," ","")))</f>
        <v/>
      </c>
      <c r="K5802" s="10" t="str">
        <f aca="false">IF($A5802="","",$G5802&amp;"|"&amp;$J5802)</f>
        <v/>
      </c>
      <c r="L5802" s="10" t="str">
        <f aca="false">IF($A5802="","",ROW()-2)</f>
        <v/>
      </c>
      <c r="M5802" s="10" t="str">
        <f aca="false">IF($A5802="","",ROW())</f>
        <v/>
      </c>
    </row>
    <row r="5803" customFormat="false" ht="15" hidden="false" customHeight="true" outlineLevel="0" collapsed="false">
      <c r="A5803" s="8"/>
      <c r="B5803" s="8"/>
      <c r="C5803" s="8"/>
      <c r="D5803" s="8"/>
      <c r="E5803" s="8"/>
      <c r="F5803" s="8"/>
      <c r="G5803" s="10" t="str">
        <f aca="false">IF($A5803="","",UPPER(SUBSTITUTE(SUBSTITUTE(SUBSTITUTE(SUBSTITUTE($A5803," ",""),"(주)",""),"주식회사",""),"㈜","")))</f>
        <v/>
      </c>
      <c r="H5803" s="10" t="str">
        <f aca="false">IF($B5803="","",SUBSTITUTE(SUBSTITUTE(SUBSTITUTE($B5803,"-","")," ",""),".",""))</f>
        <v/>
      </c>
      <c r="I5803" s="10" t="str">
        <f aca="false">IF($D5803="","",SUBSTITUTE(SUBSTITUTE(SUBSTITUTE($D5803,"-","")," ",""),".",""))</f>
        <v/>
      </c>
      <c r="J5803" s="10" t="str">
        <f aca="false">IF($E5803="","",UPPER(SUBSTITUTE($E5803," ","")))</f>
        <v/>
      </c>
      <c r="K5803" s="10" t="str">
        <f aca="false">IF($A5803="","",$G5803&amp;"|"&amp;$J5803)</f>
        <v/>
      </c>
      <c r="L5803" s="10" t="str">
        <f aca="false">IF($A5803="","",ROW()-2)</f>
        <v/>
      </c>
      <c r="M5803" s="10" t="str">
        <f aca="false">IF($A5803="","",ROW())</f>
        <v/>
      </c>
    </row>
    <row r="5804" customFormat="false" ht="15" hidden="false" customHeight="true" outlineLevel="0" collapsed="false">
      <c r="A5804" s="8"/>
      <c r="B5804" s="8"/>
      <c r="C5804" s="8"/>
      <c r="D5804" s="8"/>
      <c r="E5804" s="8"/>
      <c r="F5804" s="8"/>
      <c r="G5804" s="10" t="str">
        <f aca="false">IF($A5804="","",UPPER(SUBSTITUTE(SUBSTITUTE(SUBSTITUTE(SUBSTITUTE($A5804," ",""),"(주)",""),"주식회사",""),"㈜","")))</f>
        <v/>
      </c>
      <c r="H5804" s="10" t="str">
        <f aca="false">IF($B5804="","",SUBSTITUTE(SUBSTITUTE(SUBSTITUTE($B5804,"-","")," ",""),".",""))</f>
        <v/>
      </c>
      <c r="I5804" s="10" t="str">
        <f aca="false">IF($D5804="","",SUBSTITUTE(SUBSTITUTE(SUBSTITUTE($D5804,"-","")," ",""),".",""))</f>
        <v/>
      </c>
      <c r="J5804" s="10" t="str">
        <f aca="false">IF($E5804="","",UPPER(SUBSTITUTE($E5804," ","")))</f>
        <v/>
      </c>
      <c r="K5804" s="10" t="str">
        <f aca="false">IF($A5804="","",$G5804&amp;"|"&amp;$J5804)</f>
        <v/>
      </c>
      <c r="L5804" s="10" t="str">
        <f aca="false">IF($A5804="","",ROW()-2)</f>
        <v/>
      </c>
      <c r="M5804" s="10" t="str">
        <f aca="false">IF($A5804="","",ROW())</f>
        <v/>
      </c>
    </row>
    <row r="5805" customFormat="false" ht="15" hidden="false" customHeight="true" outlineLevel="0" collapsed="false">
      <c r="A5805" s="8"/>
      <c r="B5805" s="8"/>
      <c r="C5805" s="8"/>
      <c r="D5805" s="8"/>
      <c r="E5805" s="8"/>
      <c r="F5805" s="8"/>
      <c r="G5805" s="10" t="str">
        <f aca="false">IF($A5805="","",UPPER(SUBSTITUTE(SUBSTITUTE(SUBSTITUTE(SUBSTITUTE($A5805," ",""),"(주)",""),"주식회사",""),"㈜","")))</f>
        <v/>
      </c>
      <c r="H5805" s="10" t="str">
        <f aca="false">IF($B5805="","",SUBSTITUTE(SUBSTITUTE(SUBSTITUTE($B5805,"-","")," ",""),".",""))</f>
        <v/>
      </c>
      <c r="I5805" s="10" t="str">
        <f aca="false">IF($D5805="","",SUBSTITUTE(SUBSTITUTE(SUBSTITUTE($D5805,"-","")," ",""),".",""))</f>
        <v/>
      </c>
      <c r="J5805" s="10" t="str">
        <f aca="false">IF($E5805="","",UPPER(SUBSTITUTE($E5805," ","")))</f>
        <v/>
      </c>
      <c r="K5805" s="10" t="str">
        <f aca="false">IF($A5805="","",$G5805&amp;"|"&amp;$J5805)</f>
        <v/>
      </c>
      <c r="L5805" s="10" t="str">
        <f aca="false">IF($A5805="","",ROW()-2)</f>
        <v/>
      </c>
      <c r="M5805" s="10" t="str">
        <f aca="false">IF($A5805="","",ROW())</f>
        <v/>
      </c>
    </row>
    <row r="5806" customFormat="false" ht="15" hidden="false" customHeight="true" outlineLevel="0" collapsed="false">
      <c r="A5806" s="8"/>
      <c r="B5806" s="8"/>
      <c r="C5806" s="8"/>
      <c r="D5806" s="8"/>
      <c r="E5806" s="8"/>
      <c r="F5806" s="8"/>
      <c r="G5806" s="10" t="str">
        <f aca="false">IF($A5806="","",UPPER(SUBSTITUTE(SUBSTITUTE(SUBSTITUTE(SUBSTITUTE($A5806," ",""),"(주)",""),"주식회사",""),"㈜","")))</f>
        <v/>
      </c>
      <c r="H5806" s="10" t="str">
        <f aca="false">IF($B5806="","",SUBSTITUTE(SUBSTITUTE(SUBSTITUTE($B5806,"-","")," ",""),".",""))</f>
        <v/>
      </c>
      <c r="I5806" s="10" t="str">
        <f aca="false">IF($D5806="","",SUBSTITUTE(SUBSTITUTE(SUBSTITUTE($D5806,"-","")," ",""),".",""))</f>
        <v/>
      </c>
      <c r="J5806" s="10" t="str">
        <f aca="false">IF($E5806="","",UPPER(SUBSTITUTE($E5806," ","")))</f>
        <v/>
      </c>
      <c r="K5806" s="10" t="str">
        <f aca="false">IF($A5806="","",$G5806&amp;"|"&amp;$J5806)</f>
        <v/>
      </c>
      <c r="L5806" s="10" t="str">
        <f aca="false">IF($A5806="","",ROW()-2)</f>
        <v/>
      </c>
      <c r="M5806" s="10" t="str">
        <f aca="false">IF($A5806="","",ROW())</f>
        <v/>
      </c>
    </row>
    <row r="5807" customFormat="false" ht="15" hidden="false" customHeight="true" outlineLevel="0" collapsed="false">
      <c r="A5807" s="8"/>
      <c r="B5807" s="8"/>
      <c r="C5807" s="8"/>
      <c r="D5807" s="8"/>
      <c r="E5807" s="8"/>
      <c r="F5807" s="8"/>
      <c r="G5807" s="10" t="str">
        <f aca="false">IF($A5807="","",UPPER(SUBSTITUTE(SUBSTITUTE(SUBSTITUTE(SUBSTITUTE($A5807," ",""),"(주)",""),"주식회사",""),"㈜","")))</f>
        <v/>
      </c>
      <c r="H5807" s="10" t="str">
        <f aca="false">IF($B5807="","",SUBSTITUTE(SUBSTITUTE(SUBSTITUTE($B5807,"-","")," ",""),".",""))</f>
        <v/>
      </c>
      <c r="I5807" s="10" t="str">
        <f aca="false">IF($D5807="","",SUBSTITUTE(SUBSTITUTE(SUBSTITUTE($D5807,"-","")," ",""),".",""))</f>
        <v/>
      </c>
      <c r="J5807" s="10" t="str">
        <f aca="false">IF($E5807="","",UPPER(SUBSTITUTE($E5807," ","")))</f>
        <v/>
      </c>
      <c r="K5807" s="10" t="str">
        <f aca="false">IF($A5807="","",$G5807&amp;"|"&amp;$J5807)</f>
        <v/>
      </c>
      <c r="L5807" s="10" t="str">
        <f aca="false">IF($A5807="","",ROW()-2)</f>
        <v/>
      </c>
      <c r="M5807" s="10" t="str">
        <f aca="false">IF($A5807="","",ROW())</f>
        <v/>
      </c>
    </row>
    <row r="5808" customFormat="false" ht="15" hidden="false" customHeight="true" outlineLevel="0" collapsed="false">
      <c r="A5808" s="8"/>
      <c r="B5808" s="8"/>
      <c r="C5808" s="8"/>
      <c r="D5808" s="8"/>
      <c r="E5808" s="8"/>
      <c r="F5808" s="8"/>
      <c r="G5808" s="10" t="str">
        <f aca="false">IF($A5808="","",UPPER(SUBSTITUTE(SUBSTITUTE(SUBSTITUTE(SUBSTITUTE($A5808," ",""),"(주)",""),"주식회사",""),"㈜","")))</f>
        <v/>
      </c>
      <c r="H5808" s="10" t="str">
        <f aca="false">IF($B5808="","",SUBSTITUTE(SUBSTITUTE(SUBSTITUTE($B5808,"-","")," ",""),".",""))</f>
        <v/>
      </c>
      <c r="I5808" s="10" t="str">
        <f aca="false">IF($D5808="","",SUBSTITUTE(SUBSTITUTE(SUBSTITUTE($D5808,"-","")," ",""),".",""))</f>
        <v/>
      </c>
      <c r="J5808" s="10" t="str">
        <f aca="false">IF($E5808="","",UPPER(SUBSTITUTE($E5808," ","")))</f>
        <v/>
      </c>
      <c r="K5808" s="10" t="str">
        <f aca="false">IF($A5808="","",$G5808&amp;"|"&amp;$J5808)</f>
        <v/>
      </c>
      <c r="L5808" s="10" t="str">
        <f aca="false">IF($A5808="","",ROW()-2)</f>
        <v/>
      </c>
      <c r="M5808" s="10" t="str">
        <f aca="false">IF($A5808="","",ROW())</f>
        <v/>
      </c>
    </row>
    <row r="5809" customFormat="false" ht="15" hidden="false" customHeight="true" outlineLevel="0" collapsed="false">
      <c r="A5809" s="8"/>
      <c r="B5809" s="8"/>
      <c r="C5809" s="8"/>
      <c r="D5809" s="8"/>
      <c r="E5809" s="8"/>
      <c r="F5809" s="8"/>
      <c r="G5809" s="10" t="str">
        <f aca="false">IF($A5809="","",UPPER(SUBSTITUTE(SUBSTITUTE(SUBSTITUTE(SUBSTITUTE($A5809," ",""),"(주)",""),"주식회사",""),"㈜","")))</f>
        <v/>
      </c>
      <c r="H5809" s="10" t="str">
        <f aca="false">IF($B5809="","",SUBSTITUTE(SUBSTITUTE(SUBSTITUTE($B5809,"-","")," ",""),".",""))</f>
        <v/>
      </c>
      <c r="I5809" s="10" t="str">
        <f aca="false">IF($D5809="","",SUBSTITUTE(SUBSTITUTE(SUBSTITUTE($D5809,"-","")," ",""),".",""))</f>
        <v/>
      </c>
      <c r="J5809" s="10" t="str">
        <f aca="false">IF($E5809="","",UPPER(SUBSTITUTE($E5809," ","")))</f>
        <v/>
      </c>
      <c r="K5809" s="10" t="str">
        <f aca="false">IF($A5809="","",$G5809&amp;"|"&amp;$J5809)</f>
        <v/>
      </c>
      <c r="L5809" s="10" t="str">
        <f aca="false">IF($A5809="","",ROW()-2)</f>
        <v/>
      </c>
      <c r="M5809" s="10" t="str">
        <f aca="false">IF($A5809="","",ROW())</f>
        <v/>
      </c>
    </row>
    <row r="5810" customFormat="false" ht="15" hidden="false" customHeight="true" outlineLevel="0" collapsed="false">
      <c r="A5810" s="8"/>
      <c r="B5810" s="8"/>
      <c r="C5810" s="8"/>
      <c r="D5810" s="8"/>
      <c r="E5810" s="8"/>
      <c r="F5810" s="8"/>
      <c r="G5810" s="10" t="str">
        <f aca="false">IF($A5810="","",UPPER(SUBSTITUTE(SUBSTITUTE(SUBSTITUTE(SUBSTITUTE($A5810," ",""),"(주)",""),"주식회사",""),"㈜","")))</f>
        <v/>
      </c>
      <c r="H5810" s="10" t="str">
        <f aca="false">IF($B5810="","",SUBSTITUTE(SUBSTITUTE(SUBSTITUTE($B5810,"-","")," ",""),".",""))</f>
        <v/>
      </c>
      <c r="I5810" s="10" t="str">
        <f aca="false">IF($D5810="","",SUBSTITUTE(SUBSTITUTE(SUBSTITUTE($D5810,"-","")," ",""),".",""))</f>
        <v/>
      </c>
      <c r="J5810" s="10" t="str">
        <f aca="false">IF($E5810="","",UPPER(SUBSTITUTE($E5810," ","")))</f>
        <v/>
      </c>
      <c r="K5810" s="10" t="str">
        <f aca="false">IF($A5810="","",$G5810&amp;"|"&amp;$J5810)</f>
        <v/>
      </c>
      <c r="L5810" s="10" t="str">
        <f aca="false">IF($A5810="","",ROW()-2)</f>
        <v/>
      </c>
      <c r="M5810" s="10" t="str">
        <f aca="false">IF($A5810="","",ROW())</f>
        <v/>
      </c>
    </row>
    <row r="5811" customFormat="false" ht="15" hidden="false" customHeight="true" outlineLevel="0" collapsed="false">
      <c r="A5811" s="8"/>
      <c r="B5811" s="8"/>
      <c r="C5811" s="8"/>
      <c r="D5811" s="8"/>
      <c r="E5811" s="8"/>
      <c r="F5811" s="8"/>
      <c r="G5811" s="10" t="str">
        <f aca="false">IF($A5811="","",UPPER(SUBSTITUTE(SUBSTITUTE(SUBSTITUTE(SUBSTITUTE($A5811," ",""),"(주)",""),"주식회사",""),"㈜","")))</f>
        <v/>
      </c>
      <c r="H5811" s="10" t="str">
        <f aca="false">IF($B5811="","",SUBSTITUTE(SUBSTITUTE(SUBSTITUTE($B5811,"-","")," ",""),".",""))</f>
        <v/>
      </c>
      <c r="I5811" s="10" t="str">
        <f aca="false">IF($D5811="","",SUBSTITUTE(SUBSTITUTE(SUBSTITUTE($D5811,"-","")," ",""),".",""))</f>
        <v/>
      </c>
      <c r="J5811" s="10" t="str">
        <f aca="false">IF($E5811="","",UPPER(SUBSTITUTE($E5811," ","")))</f>
        <v/>
      </c>
      <c r="K5811" s="10" t="str">
        <f aca="false">IF($A5811="","",$G5811&amp;"|"&amp;$J5811)</f>
        <v/>
      </c>
      <c r="L5811" s="10" t="str">
        <f aca="false">IF($A5811="","",ROW()-2)</f>
        <v/>
      </c>
      <c r="M5811" s="10" t="str">
        <f aca="false">IF($A5811="","",ROW())</f>
        <v/>
      </c>
    </row>
    <row r="5812" customFormat="false" ht="15" hidden="false" customHeight="true" outlineLevel="0" collapsed="false">
      <c r="A5812" s="8"/>
      <c r="B5812" s="8"/>
      <c r="C5812" s="8"/>
      <c r="D5812" s="8"/>
      <c r="E5812" s="8"/>
      <c r="F5812" s="8"/>
      <c r="G5812" s="10" t="str">
        <f aca="false">IF($A5812="","",UPPER(SUBSTITUTE(SUBSTITUTE(SUBSTITUTE(SUBSTITUTE($A5812," ",""),"(주)",""),"주식회사",""),"㈜","")))</f>
        <v/>
      </c>
      <c r="H5812" s="10" t="str">
        <f aca="false">IF($B5812="","",SUBSTITUTE(SUBSTITUTE(SUBSTITUTE($B5812,"-","")," ",""),".",""))</f>
        <v/>
      </c>
      <c r="I5812" s="10" t="str">
        <f aca="false">IF($D5812="","",SUBSTITUTE(SUBSTITUTE(SUBSTITUTE($D5812,"-","")," ",""),".",""))</f>
        <v/>
      </c>
      <c r="J5812" s="10" t="str">
        <f aca="false">IF($E5812="","",UPPER(SUBSTITUTE($E5812," ","")))</f>
        <v/>
      </c>
      <c r="K5812" s="10" t="str">
        <f aca="false">IF($A5812="","",$G5812&amp;"|"&amp;$J5812)</f>
        <v/>
      </c>
      <c r="L5812" s="10" t="str">
        <f aca="false">IF($A5812="","",ROW()-2)</f>
        <v/>
      </c>
      <c r="M5812" s="10" t="str">
        <f aca="false">IF($A5812="","",ROW())</f>
        <v/>
      </c>
    </row>
    <row r="5813" customFormat="false" ht="15" hidden="false" customHeight="true" outlineLevel="0" collapsed="false">
      <c r="A5813" s="8"/>
      <c r="B5813" s="8"/>
      <c r="C5813" s="8"/>
      <c r="D5813" s="8"/>
      <c r="E5813" s="8"/>
      <c r="F5813" s="8"/>
      <c r="G5813" s="10" t="str">
        <f aca="false">IF($A5813="","",UPPER(SUBSTITUTE(SUBSTITUTE(SUBSTITUTE(SUBSTITUTE($A5813," ",""),"(주)",""),"주식회사",""),"㈜","")))</f>
        <v/>
      </c>
      <c r="H5813" s="10" t="str">
        <f aca="false">IF($B5813="","",SUBSTITUTE(SUBSTITUTE(SUBSTITUTE($B5813,"-","")," ",""),".",""))</f>
        <v/>
      </c>
      <c r="I5813" s="10" t="str">
        <f aca="false">IF($D5813="","",SUBSTITUTE(SUBSTITUTE(SUBSTITUTE($D5813,"-","")," ",""),".",""))</f>
        <v/>
      </c>
      <c r="J5813" s="10" t="str">
        <f aca="false">IF($E5813="","",UPPER(SUBSTITUTE($E5813," ","")))</f>
        <v/>
      </c>
      <c r="K5813" s="10" t="str">
        <f aca="false">IF($A5813="","",$G5813&amp;"|"&amp;$J5813)</f>
        <v/>
      </c>
      <c r="L5813" s="10" t="str">
        <f aca="false">IF($A5813="","",ROW()-2)</f>
        <v/>
      </c>
      <c r="M5813" s="10" t="str">
        <f aca="false">IF($A5813="","",ROW())</f>
        <v/>
      </c>
    </row>
    <row r="5814" customFormat="false" ht="15" hidden="false" customHeight="true" outlineLevel="0" collapsed="false">
      <c r="A5814" s="8"/>
      <c r="B5814" s="8"/>
      <c r="C5814" s="8"/>
      <c r="D5814" s="8"/>
      <c r="E5814" s="8"/>
      <c r="F5814" s="8"/>
      <c r="G5814" s="10" t="str">
        <f aca="false">IF($A5814="","",UPPER(SUBSTITUTE(SUBSTITUTE(SUBSTITUTE(SUBSTITUTE($A5814," ",""),"(주)",""),"주식회사",""),"㈜","")))</f>
        <v/>
      </c>
      <c r="H5814" s="10" t="str">
        <f aca="false">IF($B5814="","",SUBSTITUTE(SUBSTITUTE(SUBSTITUTE($B5814,"-","")," ",""),".",""))</f>
        <v/>
      </c>
      <c r="I5814" s="10" t="str">
        <f aca="false">IF($D5814="","",SUBSTITUTE(SUBSTITUTE(SUBSTITUTE($D5814,"-","")," ",""),".",""))</f>
        <v/>
      </c>
      <c r="J5814" s="10" t="str">
        <f aca="false">IF($E5814="","",UPPER(SUBSTITUTE($E5814," ","")))</f>
        <v/>
      </c>
      <c r="K5814" s="10" t="str">
        <f aca="false">IF($A5814="","",$G5814&amp;"|"&amp;$J5814)</f>
        <v/>
      </c>
      <c r="L5814" s="10" t="str">
        <f aca="false">IF($A5814="","",ROW()-2)</f>
        <v/>
      </c>
      <c r="M5814" s="10" t="str">
        <f aca="false">IF($A5814="","",ROW())</f>
        <v/>
      </c>
    </row>
    <row r="5815" customFormat="false" ht="15" hidden="false" customHeight="true" outlineLevel="0" collapsed="false">
      <c r="A5815" s="8"/>
      <c r="B5815" s="8"/>
      <c r="C5815" s="8"/>
      <c r="D5815" s="8"/>
      <c r="E5815" s="8"/>
      <c r="F5815" s="8"/>
      <c r="G5815" s="10" t="str">
        <f aca="false">IF($A5815="","",UPPER(SUBSTITUTE(SUBSTITUTE(SUBSTITUTE(SUBSTITUTE($A5815," ",""),"(주)",""),"주식회사",""),"㈜","")))</f>
        <v/>
      </c>
      <c r="H5815" s="10" t="str">
        <f aca="false">IF($B5815="","",SUBSTITUTE(SUBSTITUTE(SUBSTITUTE($B5815,"-","")," ",""),".",""))</f>
        <v/>
      </c>
      <c r="I5815" s="10" t="str">
        <f aca="false">IF($D5815="","",SUBSTITUTE(SUBSTITUTE(SUBSTITUTE($D5815,"-","")," ",""),".",""))</f>
        <v/>
      </c>
      <c r="J5815" s="10" t="str">
        <f aca="false">IF($E5815="","",UPPER(SUBSTITUTE($E5815," ","")))</f>
        <v/>
      </c>
      <c r="K5815" s="10" t="str">
        <f aca="false">IF($A5815="","",$G5815&amp;"|"&amp;$J5815)</f>
        <v/>
      </c>
      <c r="L5815" s="10" t="str">
        <f aca="false">IF($A5815="","",ROW()-2)</f>
        <v/>
      </c>
      <c r="M5815" s="10" t="str">
        <f aca="false">IF($A5815="","",ROW())</f>
        <v/>
      </c>
    </row>
    <row r="5816" customFormat="false" ht="15" hidden="false" customHeight="true" outlineLevel="0" collapsed="false">
      <c r="A5816" s="8"/>
      <c r="B5816" s="8"/>
      <c r="C5816" s="8"/>
      <c r="D5816" s="8"/>
      <c r="E5816" s="8"/>
      <c r="F5816" s="8"/>
      <c r="G5816" s="10" t="str">
        <f aca="false">IF($A5816="","",UPPER(SUBSTITUTE(SUBSTITUTE(SUBSTITUTE(SUBSTITUTE($A5816," ",""),"(주)",""),"주식회사",""),"㈜","")))</f>
        <v/>
      </c>
      <c r="H5816" s="10" t="str">
        <f aca="false">IF($B5816="","",SUBSTITUTE(SUBSTITUTE(SUBSTITUTE($B5816,"-","")," ",""),".",""))</f>
        <v/>
      </c>
      <c r="I5816" s="10" t="str">
        <f aca="false">IF($D5816="","",SUBSTITUTE(SUBSTITUTE(SUBSTITUTE($D5816,"-","")," ",""),".",""))</f>
        <v/>
      </c>
      <c r="J5816" s="10" t="str">
        <f aca="false">IF($E5816="","",UPPER(SUBSTITUTE($E5816," ","")))</f>
        <v/>
      </c>
      <c r="K5816" s="10" t="str">
        <f aca="false">IF($A5816="","",$G5816&amp;"|"&amp;$J5816)</f>
        <v/>
      </c>
      <c r="L5816" s="10" t="str">
        <f aca="false">IF($A5816="","",ROW()-2)</f>
        <v/>
      </c>
      <c r="M5816" s="10" t="str">
        <f aca="false">IF($A5816="","",ROW())</f>
        <v/>
      </c>
    </row>
    <row r="5817" customFormat="false" ht="15" hidden="false" customHeight="true" outlineLevel="0" collapsed="false">
      <c r="A5817" s="8"/>
      <c r="B5817" s="8"/>
      <c r="C5817" s="8"/>
      <c r="D5817" s="8"/>
      <c r="E5817" s="8"/>
      <c r="F5817" s="8"/>
      <c r="G5817" s="10" t="str">
        <f aca="false">IF($A5817="","",UPPER(SUBSTITUTE(SUBSTITUTE(SUBSTITUTE(SUBSTITUTE($A5817," ",""),"(주)",""),"주식회사",""),"㈜","")))</f>
        <v/>
      </c>
      <c r="H5817" s="10" t="str">
        <f aca="false">IF($B5817="","",SUBSTITUTE(SUBSTITUTE(SUBSTITUTE($B5817,"-","")," ",""),".",""))</f>
        <v/>
      </c>
      <c r="I5817" s="10" t="str">
        <f aca="false">IF($D5817="","",SUBSTITUTE(SUBSTITUTE(SUBSTITUTE($D5817,"-","")," ",""),".",""))</f>
        <v/>
      </c>
      <c r="J5817" s="10" t="str">
        <f aca="false">IF($E5817="","",UPPER(SUBSTITUTE($E5817," ","")))</f>
        <v/>
      </c>
      <c r="K5817" s="10" t="str">
        <f aca="false">IF($A5817="","",$G5817&amp;"|"&amp;$J5817)</f>
        <v/>
      </c>
      <c r="L5817" s="10" t="str">
        <f aca="false">IF($A5817="","",ROW()-2)</f>
        <v/>
      </c>
      <c r="M5817" s="10" t="str">
        <f aca="false">IF($A5817="","",ROW())</f>
        <v/>
      </c>
    </row>
    <row r="5818" customFormat="false" ht="15" hidden="false" customHeight="true" outlineLevel="0" collapsed="false">
      <c r="A5818" s="8"/>
      <c r="B5818" s="8"/>
      <c r="C5818" s="8"/>
      <c r="D5818" s="8"/>
      <c r="E5818" s="8"/>
      <c r="F5818" s="8"/>
      <c r="G5818" s="10" t="str">
        <f aca="false">IF($A5818="","",UPPER(SUBSTITUTE(SUBSTITUTE(SUBSTITUTE(SUBSTITUTE($A5818," ",""),"(주)",""),"주식회사",""),"㈜","")))</f>
        <v/>
      </c>
      <c r="H5818" s="10" t="str">
        <f aca="false">IF($B5818="","",SUBSTITUTE(SUBSTITUTE(SUBSTITUTE($B5818,"-","")," ",""),".",""))</f>
        <v/>
      </c>
      <c r="I5818" s="10" t="str">
        <f aca="false">IF($D5818="","",SUBSTITUTE(SUBSTITUTE(SUBSTITUTE($D5818,"-","")," ",""),".",""))</f>
        <v/>
      </c>
      <c r="J5818" s="10" t="str">
        <f aca="false">IF($E5818="","",UPPER(SUBSTITUTE($E5818," ","")))</f>
        <v/>
      </c>
      <c r="K5818" s="10" t="str">
        <f aca="false">IF($A5818="","",$G5818&amp;"|"&amp;$J5818)</f>
        <v/>
      </c>
      <c r="L5818" s="10" t="str">
        <f aca="false">IF($A5818="","",ROW()-2)</f>
        <v/>
      </c>
      <c r="M5818" s="10" t="str">
        <f aca="false">IF($A5818="","",ROW())</f>
        <v/>
      </c>
    </row>
    <row r="5819" customFormat="false" ht="15" hidden="false" customHeight="true" outlineLevel="0" collapsed="false">
      <c r="A5819" s="8"/>
      <c r="B5819" s="8"/>
      <c r="C5819" s="8"/>
      <c r="D5819" s="8"/>
      <c r="E5819" s="8"/>
      <c r="F5819" s="8"/>
      <c r="G5819" s="10" t="str">
        <f aca="false">IF($A5819="","",UPPER(SUBSTITUTE(SUBSTITUTE(SUBSTITUTE(SUBSTITUTE($A5819," ",""),"(주)",""),"주식회사",""),"㈜","")))</f>
        <v/>
      </c>
      <c r="H5819" s="10" t="str">
        <f aca="false">IF($B5819="","",SUBSTITUTE(SUBSTITUTE(SUBSTITUTE($B5819,"-","")," ",""),".",""))</f>
        <v/>
      </c>
      <c r="I5819" s="10" t="str">
        <f aca="false">IF($D5819="","",SUBSTITUTE(SUBSTITUTE(SUBSTITUTE($D5819,"-","")," ",""),".",""))</f>
        <v/>
      </c>
      <c r="J5819" s="10" t="str">
        <f aca="false">IF($E5819="","",UPPER(SUBSTITUTE($E5819," ","")))</f>
        <v/>
      </c>
      <c r="K5819" s="10" t="str">
        <f aca="false">IF($A5819="","",$G5819&amp;"|"&amp;$J5819)</f>
        <v/>
      </c>
      <c r="L5819" s="10" t="str">
        <f aca="false">IF($A5819="","",ROW()-2)</f>
        <v/>
      </c>
      <c r="M5819" s="10" t="str">
        <f aca="false">IF($A5819="","",ROW())</f>
        <v/>
      </c>
    </row>
    <row r="5820" customFormat="false" ht="15" hidden="false" customHeight="true" outlineLevel="0" collapsed="false">
      <c r="A5820" s="8"/>
      <c r="B5820" s="8"/>
      <c r="C5820" s="8"/>
      <c r="D5820" s="8"/>
      <c r="E5820" s="8"/>
      <c r="F5820" s="8"/>
      <c r="G5820" s="10" t="str">
        <f aca="false">IF($A5820="","",UPPER(SUBSTITUTE(SUBSTITUTE(SUBSTITUTE(SUBSTITUTE($A5820," ",""),"(주)",""),"주식회사",""),"㈜","")))</f>
        <v/>
      </c>
      <c r="H5820" s="10" t="str">
        <f aca="false">IF($B5820="","",SUBSTITUTE(SUBSTITUTE(SUBSTITUTE($B5820,"-","")," ",""),".",""))</f>
        <v/>
      </c>
      <c r="I5820" s="10" t="str">
        <f aca="false">IF($D5820="","",SUBSTITUTE(SUBSTITUTE(SUBSTITUTE($D5820,"-","")," ",""),".",""))</f>
        <v/>
      </c>
      <c r="J5820" s="10" t="str">
        <f aca="false">IF($E5820="","",UPPER(SUBSTITUTE($E5820," ","")))</f>
        <v/>
      </c>
      <c r="K5820" s="10" t="str">
        <f aca="false">IF($A5820="","",$G5820&amp;"|"&amp;$J5820)</f>
        <v/>
      </c>
      <c r="L5820" s="10" t="str">
        <f aca="false">IF($A5820="","",ROW()-2)</f>
        <v/>
      </c>
      <c r="M5820" s="10" t="str">
        <f aca="false">IF($A5820="","",ROW())</f>
        <v/>
      </c>
    </row>
    <row r="5821" customFormat="false" ht="15" hidden="false" customHeight="true" outlineLevel="0" collapsed="false">
      <c r="A5821" s="8"/>
      <c r="B5821" s="8"/>
      <c r="C5821" s="8"/>
      <c r="D5821" s="8"/>
      <c r="E5821" s="8"/>
      <c r="F5821" s="8"/>
      <c r="G5821" s="10" t="str">
        <f aca="false">IF($A5821="","",UPPER(SUBSTITUTE(SUBSTITUTE(SUBSTITUTE(SUBSTITUTE($A5821," ",""),"(주)",""),"주식회사",""),"㈜","")))</f>
        <v/>
      </c>
      <c r="H5821" s="10" t="str">
        <f aca="false">IF($B5821="","",SUBSTITUTE(SUBSTITUTE(SUBSTITUTE($B5821,"-","")," ",""),".",""))</f>
        <v/>
      </c>
      <c r="I5821" s="10" t="str">
        <f aca="false">IF($D5821="","",SUBSTITUTE(SUBSTITUTE(SUBSTITUTE($D5821,"-","")," ",""),".",""))</f>
        <v/>
      </c>
      <c r="J5821" s="10" t="str">
        <f aca="false">IF($E5821="","",UPPER(SUBSTITUTE($E5821," ","")))</f>
        <v/>
      </c>
      <c r="K5821" s="10" t="str">
        <f aca="false">IF($A5821="","",$G5821&amp;"|"&amp;$J5821)</f>
        <v/>
      </c>
      <c r="L5821" s="10" t="str">
        <f aca="false">IF($A5821="","",ROW()-2)</f>
        <v/>
      </c>
      <c r="M5821" s="10" t="str">
        <f aca="false">IF($A5821="","",ROW())</f>
        <v/>
      </c>
    </row>
    <row r="5822" customFormat="false" ht="15" hidden="false" customHeight="true" outlineLevel="0" collapsed="false">
      <c r="A5822" s="8"/>
      <c r="B5822" s="8"/>
      <c r="C5822" s="8"/>
      <c r="D5822" s="8"/>
      <c r="E5822" s="8"/>
      <c r="F5822" s="8"/>
      <c r="G5822" s="10" t="str">
        <f aca="false">IF($A5822="","",UPPER(SUBSTITUTE(SUBSTITUTE(SUBSTITUTE(SUBSTITUTE($A5822," ",""),"(주)",""),"주식회사",""),"㈜","")))</f>
        <v/>
      </c>
      <c r="H5822" s="10" t="str">
        <f aca="false">IF($B5822="","",SUBSTITUTE(SUBSTITUTE(SUBSTITUTE($B5822,"-","")," ",""),".",""))</f>
        <v/>
      </c>
      <c r="I5822" s="10" t="str">
        <f aca="false">IF($D5822="","",SUBSTITUTE(SUBSTITUTE(SUBSTITUTE($D5822,"-","")," ",""),".",""))</f>
        <v/>
      </c>
      <c r="J5822" s="10" t="str">
        <f aca="false">IF($E5822="","",UPPER(SUBSTITUTE($E5822," ","")))</f>
        <v/>
      </c>
      <c r="K5822" s="10" t="str">
        <f aca="false">IF($A5822="","",$G5822&amp;"|"&amp;$J5822)</f>
        <v/>
      </c>
      <c r="L5822" s="10" t="str">
        <f aca="false">IF($A5822="","",ROW()-2)</f>
        <v/>
      </c>
      <c r="M5822" s="10" t="str">
        <f aca="false">IF($A5822="","",ROW())</f>
        <v/>
      </c>
    </row>
    <row r="5823" customFormat="false" ht="15" hidden="false" customHeight="true" outlineLevel="0" collapsed="false">
      <c r="A5823" s="8"/>
      <c r="B5823" s="8"/>
      <c r="C5823" s="8"/>
      <c r="D5823" s="8"/>
      <c r="E5823" s="8"/>
      <c r="F5823" s="8"/>
      <c r="G5823" s="10" t="str">
        <f aca="false">IF($A5823="","",UPPER(SUBSTITUTE(SUBSTITUTE(SUBSTITUTE(SUBSTITUTE($A5823," ",""),"(주)",""),"주식회사",""),"㈜","")))</f>
        <v/>
      </c>
      <c r="H5823" s="10" t="str">
        <f aca="false">IF($B5823="","",SUBSTITUTE(SUBSTITUTE(SUBSTITUTE($B5823,"-","")," ",""),".",""))</f>
        <v/>
      </c>
      <c r="I5823" s="10" t="str">
        <f aca="false">IF($D5823="","",SUBSTITUTE(SUBSTITUTE(SUBSTITUTE($D5823,"-","")," ",""),".",""))</f>
        <v/>
      </c>
      <c r="J5823" s="10" t="str">
        <f aca="false">IF($E5823="","",UPPER(SUBSTITUTE($E5823," ","")))</f>
        <v/>
      </c>
      <c r="K5823" s="10" t="str">
        <f aca="false">IF($A5823="","",$G5823&amp;"|"&amp;$J5823)</f>
        <v/>
      </c>
      <c r="L5823" s="10" t="str">
        <f aca="false">IF($A5823="","",ROW()-2)</f>
        <v/>
      </c>
      <c r="M5823" s="10" t="str">
        <f aca="false">IF($A5823="","",ROW())</f>
        <v/>
      </c>
    </row>
    <row r="5824" customFormat="false" ht="15" hidden="false" customHeight="true" outlineLevel="0" collapsed="false">
      <c r="A5824" s="8"/>
      <c r="B5824" s="8"/>
      <c r="C5824" s="8"/>
      <c r="D5824" s="8"/>
      <c r="E5824" s="8"/>
      <c r="F5824" s="8"/>
      <c r="G5824" s="10" t="str">
        <f aca="false">IF($A5824="","",UPPER(SUBSTITUTE(SUBSTITUTE(SUBSTITUTE(SUBSTITUTE($A5824," ",""),"(주)",""),"주식회사",""),"㈜","")))</f>
        <v/>
      </c>
      <c r="H5824" s="10" t="str">
        <f aca="false">IF($B5824="","",SUBSTITUTE(SUBSTITUTE(SUBSTITUTE($B5824,"-","")," ",""),".",""))</f>
        <v/>
      </c>
      <c r="I5824" s="10" t="str">
        <f aca="false">IF($D5824="","",SUBSTITUTE(SUBSTITUTE(SUBSTITUTE($D5824,"-","")," ",""),".",""))</f>
        <v/>
      </c>
      <c r="J5824" s="10" t="str">
        <f aca="false">IF($E5824="","",UPPER(SUBSTITUTE($E5824," ","")))</f>
        <v/>
      </c>
      <c r="K5824" s="10" t="str">
        <f aca="false">IF($A5824="","",$G5824&amp;"|"&amp;$J5824)</f>
        <v/>
      </c>
      <c r="L5824" s="10" t="str">
        <f aca="false">IF($A5824="","",ROW()-2)</f>
        <v/>
      </c>
      <c r="M5824" s="10" t="str">
        <f aca="false">IF($A5824="","",ROW())</f>
        <v/>
      </c>
    </row>
    <row r="5825" customFormat="false" ht="15" hidden="false" customHeight="true" outlineLevel="0" collapsed="false">
      <c r="A5825" s="8"/>
      <c r="B5825" s="8"/>
      <c r="C5825" s="8"/>
      <c r="D5825" s="8"/>
      <c r="E5825" s="8"/>
      <c r="F5825" s="8"/>
      <c r="G5825" s="10" t="str">
        <f aca="false">IF($A5825="","",UPPER(SUBSTITUTE(SUBSTITUTE(SUBSTITUTE(SUBSTITUTE($A5825," ",""),"(주)",""),"주식회사",""),"㈜","")))</f>
        <v/>
      </c>
      <c r="H5825" s="10" t="str">
        <f aca="false">IF($B5825="","",SUBSTITUTE(SUBSTITUTE(SUBSTITUTE($B5825,"-","")," ",""),".",""))</f>
        <v/>
      </c>
      <c r="I5825" s="10" t="str">
        <f aca="false">IF($D5825="","",SUBSTITUTE(SUBSTITUTE(SUBSTITUTE($D5825,"-","")," ",""),".",""))</f>
        <v/>
      </c>
      <c r="J5825" s="10" t="str">
        <f aca="false">IF($E5825="","",UPPER(SUBSTITUTE($E5825," ","")))</f>
        <v/>
      </c>
      <c r="K5825" s="10" t="str">
        <f aca="false">IF($A5825="","",$G5825&amp;"|"&amp;$J5825)</f>
        <v/>
      </c>
      <c r="L5825" s="10" t="str">
        <f aca="false">IF($A5825="","",ROW()-2)</f>
        <v/>
      </c>
      <c r="M5825" s="10" t="str">
        <f aca="false">IF($A5825="","",ROW())</f>
        <v/>
      </c>
    </row>
    <row r="5826" customFormat="false" ht="15" hidden="false" customHeight="true" outlineLevel="0" collapsed="false">
      <c r="A5826" s="8"/>
      <c r="B5826" s="8"/>
      <c r="C5826" s="8"/>
      <c r="D5826" s="8"/>
      <c r="E5826" s="8"/>
      <c r="F5826" s="8"/>
      <c r="G5826" s="10" t="str">
        <f aca="false">IF($A5826="","",UPPER(SUBSTITUTE(SUBSTITUTE(SUBSTITUTE(SUBSTITUTE($A5826," ",""),"(주)",""),"주식회사",""),"㈜","")))</f>
        <v/>
      </c>
      <c r="H5826" s="10" t="str">
        <f aca="false">IF($B5826="","",SUBSTITUTE(SUBSTITUTE(SUBSTITUTE($B5826,"-","")," ",""),".",""))</f>
        <v/>
      </c>
      <c r="I5826" s="10" t="str">
        <f aca="false">IF($D5826="","",SUBSTITUTE(SUBSTITUTE(SUBSTITUTE($D5826,"-","")," ",""),".",""))</f>
        <v/>
      </c>
      <c r="J5826" s="10" t="str">
        <f aca="false">IF($E5826="","",UPPER(SUBSTITUTE($E5826," ","")))</f>
        <v/>
      </c>
      <c r="K5826" s="10" t="str">
        <f aca="false">IF($A5826="","",$G5826&amp;"|"&amp;$J5826)</f>
        <v/>
      </c>
      <c r="L5826" s="10" t="str">
        <f aca="false">IF($A5826="","",ROW()-2)</f>
        <v/>
      </c>
      <c r="M5826" s="10" t="str">
        <f aca="false">IF($A5826="","",ROW())</f>
        <v/>
      </c>
    </row>
    <row r="5827" customFormat="false" ht="15" hidden="false" customHeight="true" outlineLevel="0" collapsed="false">
      <c r="A5827" s="8"/>
      <c r="B5827" s="8"/>
      <c r="C5827" s="8"/>
      <c r="D5827" s="8"/>
      <c r="E5827" s="8"/>
      <c r="F5827" s="8"/>
      <c r="G5827" s="10" t="str">
        <f aca="false">IF($A5827="","",UPPER(SUBSTITUTE(SUBSTITUTE(SUBSTITUTE(SUBSTITUTE($A5827," ",""),"(주)",""),"주식회사",""),"㈜","")))</f>
        <v/>
      </c>
      <c r="H5827" s="10" t="str">
        <f aca="false">IF($B5827="","",SUBSTITUTE(SUBSTITUTE(SUBSTITUTE($B5827,"-","")," ",""),".",""))</f>
        <v/>
      </c>
      <c r="I5827" s="10" t="str">
        <f aca="false">IF($D5827="","",SUBSTITUTE(SUBSTITUTE(SUBSTITUTE($D5827,"-","")," ",""),".",""))</f>
        <v/>
      </c>
      <c r="J5827" s="10" t="str">
        <f aca="false">IF($E5827="","",UPPER(SUBSTITUTE($E5827," ","")))</f>
        <v/>
      </c>
      <c r="K5827" s="10" t="str">
        <f aca="false">IF($A5827="","",$G5827&amp;"|"&amp;$J5827)</f>
        <v/>
      </c>
      <c r="L5827" s="10" t="str">
        <f aca="false">IF($A5827="","",ROW()-2)</f>
        <v/>
      </c>
      <c r="M5827" s="10" t="str">
        <f aca="false">IF($A5827="","",ROW())</f>
        <v/>
      </c>
    </row>
    <row r="5828" customFormat="false" ht="15" hidden="false" customHeight="true" outlineLevel="0" collapsed="false">
      <c r="A5828" s="8"/>
      <c r="B5828" s="8"/>
      <c r="C5828" s="8"/>
      <c r="D5828" s="8"/>
      <c r="E5828" s="8"/>
      <c r="F5828" s="8"/>
      <c r="G5828" s="10" t="str">
        <f aca="false">IF($A5828="","",UPPER(SUBSTITUTE(SUBSTITUTE(SUBSTITUTE(SUBSTITUTE($A5828," ",""),"(주)",""),"주식회사",""),"㈜","")))</f>
        <v/>
      </c>
      <c r="H5828" s="10" t="str">
        <f aca="false">IF($B5828="","",SUBSTITUTE(SUBSTITUTE(SUBSTITUTE($B5828,"-","")," ",""),".",""))</f>
        <v/>
      </c>
      <c r="I5828" s="10" t="str">
        <f aca="false">IF($D5828="","",SUBSTITUTE(SUBSTITUTE(SUBSTITUTE($D5828,"-","")," ",""),".",""))</f>
        <v/>
      </c>
      <c r="J5828" s="10" t="str">
        <f aca="false">IF($E5828="","",UPPER(SUBSTITUTE($E5828," ","")))</f>
        <v/>
      </c>
      <c r="K5828" s="10" t="str">
        <f aca="false">IF($A5828="","",$G5828&amp;"|"&amp;$J5828)</f>
        <v/>
      </c>
      <c r="L5828" s="10" t="str">
        <f aca="false">IF($A5828="","",ROW()-2)</f>
        <v/>
      </c>
      <c r="M5828" s="10" t="str">
        <f aca="false">IF($A5828="","",ROW())</f>
        <v/>
      </c>
    </row>
    <row r="5829" customFormat="false" ht="15" hidden="false" customHeight="true" outlineLevel="0" collapsed="false">
      <c r="A5829" s="8"/>
      <c r="B5829" s="8"/>
      <c r="C5829" s="8"/>
      <c r="D5829" s="8"/>
      <c r="E5829" s="8"/>
      <c r="F5829" s="8"/>
      <c r="G5829" s="10" t="str">
        <f aca="false">IF($A5829="","",UPPER(SUBSTITUTE(SUBSTITUTE(SUBSTITUTE(SUBSTITUTE($A5829," ",""),"(주)",""),"주식회사",""),"㈜","")))</f>
        <v/>
      </c>
      <c r="H5829" s="10" t="str">
        <f aca="false">IF($B5829="","",SUBSTITUTE(SUBSTITUTE(SUBSTITUTE($B5829,"-","")," ",""),".",""))</f>
        <v/>
      </c>
      <c r="I5829" s="10" t="str">
        <f aca="false">IF($D5829="","",SUBSTITUTE(SUBSTITUTE(SUBSTITUTE($D5829,"-","")," ",""),".",""))</f>
        <v/>
      </c>
      <c r="J5829" s="10" t="str">
        <f aca="false">IF($E5829="","",UPPER(SUBSTITUTE($E5829," ","")))</f>
        <v/>
      </c>
      <c r="K5829" s="10" t="str">
        <f aca="false">IF($A5829="","",$G5829&amp;"|"&amp;$J5829)</f>
        <v/>
      </c>
      <c r="L5829" s="10" t="str">
        <f aca="false">IF($A5829="","",ROW()-2)</f>
        <v/>
      </c>
      <c r="M5829" s="10" t="str">
        <f aca="false">IF($A5829="","",ROW())</f>
        <v/>
      </c>
    </row>
    <row r="5830" customFormat="false" ht="15" hidden="false" customHeight="true" outlineLevel="0" collapsed="false">
      <c r="A5830" s="8"/>
      <c r="B5830" s="8"/>
      <c r="C5830" s="8"/>
      <c r="D5830" s="8"/>
      <c r="E5830" s="8"/>
      <c r="F5830" s="8"/>
      <c r="G5830" s="10" t="str">
        <f aca="false">IF($A5830="","",UPPER(SUBSTITUTE(SUBSTITUTE(SUBSTITUTE(SUBSTITUTE($A5830," ",""),"(주)",""),"주식회사",""),"㈜","")))</f>
        <v/>
      </c>
      <c r="H5830" s="10" t="str">
        <f aca="false">IF($B5830="","",SUBSTITUTE(SUBSTITUTE(SUBSTITUTE($B5830,"-","")," ",""),".",""))</f>
        <v/>
      </c>
      <c r="I5830" s="10" t="str">
        <f aca="false">IF($D5830="","",SUBSTITUTE(SUBSTITUTE(SUBSTITUTE($D5830,"-","")," ",""),".",""))</f>
        <v/>
      </c>
      <c r="J5830" s="10" t="str">
        <f aca="false">IF($E5830="","",UPPER(SUBSTITUTE($E5830," ","")))</f>
        <v/>
      </c>
      <c r="K5830" s="10" t="str">
        <f aca="false">IF($A5830="","",$G5830&amp;"|"&amp;$J5830)</f>
        <v/>
      </c>
      <c r="L5830" s="10" t="str">
        <f aca="false">IF($A5830="","",ROW()-2)</f>
        <v/>
      </c>
      <c r="M5830" s="10" t="str">
        <f aca="false">IF($A5830="","",ROW())</f>
        <v/>
      </c>
    </row>
    <row r="5831" customFormat="false" ht="15" hidden="false" customHeight="true" outlineLevel="0" collapsed="false">
      <c r="A5831" s="8"/>
      <c r="B5831" s="8"/>
      <c r="C5831" s="8"/>
      <c r="D5831" s="8"/>
      <c r="E5831" s="8"/>
      <c r="F5831" s="8"/>
      <c r="G5831" s="10" t="str">
        <f aca="false">IF($A5831="","",UPPER(SUBSTITUTE(SUBSTITUTE(SUBSTITUTE(SUBSTITUTE($A5831," ",""),"(주)",""),"주식회사",""),"㈜","")))</f>
        <v/>
      </c>
      <c r="H5831" s="10" t="str">
        <f aca="false">IF($B5831="","",SUBSTITUTE(SUBSTITUTE(SUBSTITUTE($B5831,"-","")," ",""),".",""))</f>
        <v/>
      </c>
      <c r="I5831" s="10" t="str">
        <f aca="false">IF($D5831="","",SUBSTITUTE(SUBSTITUTE(SUBSTITUTE($D5831,"-","")," ",""),".",""))</f>
        <v/>
      </c>
      <c r="J5831" s="10" t="str">
        <f aca="false">IF($E5831="","",UPPER(SUBSTITUTE($E5831," ","")))</f>
        <v/>
      </c>
      <c r="K5831" s="10" t="str">
        <f aca="false">IF($A5831="","",$G5831&amp;"|"&amp;$J5831)</f>
        <v/>
      </c>
      <c r="L5831" s="10" t="str">
        <f aca="false">IF($A5831="","",ROW()-2)</f>
        <v/>
      </c>
      <c r="M5831" s="10" t="str">
        <f aca="false">IF($A5831="","",ROW())</f>
        <v/>
      </c>
    </row>
    <row r="5832" customFormat="false" ht="15" hidden="false" customHeight="true" outlineLevel="0" collapsed="false">
      <c r="A5832" s="8"/>
      <c r="B5832" s="8"/>
      <c r="C5832" s="8"/>
      <c r="D5832" s="8"/>
      <c r="E5832" s="8"/>
      <c r="F5832" s="8"/>
      <c r="G5832" s="10" t="str">
        <f aca="false">IF($A5832="","",UPPER(SUBSTITUTE(SUBSTITUTE(SUBSTITUTE(SUBSTITUTE($A5832," ",""),"(주)",""),"주식회사",""),"㈜","")))</f>
        <v/>
      </c>
      <c r="H5832" s="10" t="str">
        <f aca="false">IF($B5832="","",SUBSTITUTE(SUBSTITUTE(SUBSTITUTE($B5832,"-","")," ",""),".",""))</f>
        <v/>
      </c>
      <c r="I5832" s="10" t="str">
        <f aca="false">IF($D5832="","",SUBSTITUTE(SUBSTITUTE(SUBSTITUTE($D5832,"-","")," ",""),".",""))</f>
        <v/>
      </c>
      <c r="J5832" s="10" t="str">
        <f aca="false">IF($E5832="","",UPPER(SUBSTITUTE($E5832," ","")))</f>
        <v/>
      </c>
      <c r="K5832" s="10" t="str">
        <f aca="false">IF($A5832="","",$G5832&amp;"|"&amp;$J5832)</f>
        <v/>
      </c>
      <c r="L5832" s="10" t="str">
        <f aca="false">IF($A5832="","",ROW()-2)</f>
        <v/>
      </c>
      <c r="M5832" s="10" t="str">
        <f aca="false">IF($A5832="","",ROW())</f>
        <v/>
      </c>
    </row>
    <row r="5833" customFormat="false" ht="15" hidden="false" customHeight="true" outlineLevel="0" collapsed="false">
      <c r="A5833" s="8"/>
      <c r="B5833" s="8"/>
      <c r="C5833" s="8"/>
      <c r="D5833" s="8"/>
      <c r="E5833" s="8"/>
      <c r="F5833" s="8"/>
      <c r="G5833" s="10" t="str">
        <f aca="false">IF($A5833="","",UPPER(SUBSTITUTE(SUBSTITUTE(SUBSTITUTE(SUBSTITUTE($A5833," ",""),"(주)",""),"주식회사",""),"㈜","")))</f>
        <v/>
      </c>
      <c r="H5833" s="10" t="str">
        <f aca="false">IF($B5833="","",SUBSTITUTE(SUBSTITUTE(SUBSTITUTE($B5833,"-","")," ",""),".",""))</f>
        <v/>
      </c>
      <c r="I5833" s="10" t="str">
        <f aca="false">IF($D5833="","",SUBSTITUTE(SUBSTITUTE(SUBSTITUTE($D5833,"-","")," ",""),".",""))</f>
        <v/>
      </c>
      <c r="J5833" s="10" t="str">
        <f aca="false">IF($E5833="","",UPPER(SUBSTITUTE($E5833," ","")))</f>
        <v/>
      </c>
      <c r="K5833" s="10" t="str">
        <f aca="false">IF($A5833="","",$G5833&amp;"|"&amp;$J5833)</f>
        <v/>
      </c>
      <c r="L5833" s="10" t="str">
        <f aca="false">IF($A5833="","",ROW()-2)</f>
        <v/>
      </c>
      <c r="M5833" s="10" t="str">
        <f aca="false">IF($A5833="","",ROW())</f>
        <v/>
      </c>
    </row>
    <row r="5834" customFormat="false" ht="15" hidden="false" customHeight="true" outlineLevel="0" collapsed="false">
      <c r="A5834" s="8"/>
      <c r="B5834" s="8"/>
      <c r="C5834" s="8"/>
      <c r="D5834" s="8"/>
      <c r="E5834" s="8"/>
      <c r="F5834" s="8"/>
      <c r="G5834" s="10" t="str">
        <f aca="false">IF($A5834="","",UPPER(SUBSTITUTE(SUBSTITUTE(SUBSTITUTE(SUBSTITUTE($A5834," ",""),"(주)",""),"주식회사",""),"㈜","")))</f>
        <v/>
      </c>
      <c r="H5834" s="10" t="str">
        <f aca="false">IF($B5834="","",SUBSTITUTE(SUBSTITUTE(SUBSTITUTE($B5834,"-","")," ",""),".",""))</f>
        <v/>
      </c>
      <c r="I5834" s="10" t="str">
        <f aca="false">IF($D5834="","",SUBSTITUTE(SUBSTITUTE(SUBSTITUTE($D5834,"-","")," ",""),".",""))</f>
        <v/>
      </c>
      <c r="J5834" s="10" t="str">
        <f aca="false">IF($E5834="","",UPPER(SUBSTITUTE($E5834," ","")))</f>
        <v/>
      </c>
      <c r="K5834" s="10" t="str">
        <f aca="false">IF($A5834="","",$G5834&amp;"|"&amp;$J5834)</f>
        <v/>
      </c>
      <c r="L5834" s="10" t="str">
        <f aca="false">IF($A5834="","",ROW()-2)</f>
        <v/>
      </c>
      <c r="M5834" s="10" t="str">
        <f aca="false">IF($A5834="","",ROW())</f>
        <v/>
      </c>
    </row>
    <row r="5835" customFormat="false" ht="15" hidden="false" customHeight="true" outlineLevel="0" collapsed="false">
      <c r="A5835" s="8"/>
      <c r="B5835" s="8"/>
      <c r="C5835" s="8"/>
      <c r="D5835" s="8"/>
      <c r="E5835" s="8"/>
      <c r="F5835" s="8"/>
      <c r="G5835" s="10" t="str">
        <f aca="false">IF($A5835="","",UPPER(SUBSTITUTE(SUBSTITUTE(SUBSTITUTE(SUBSTITUTE($A5835," ",""),"(주)",""),"주식회사",""),"㈜","")))</f>
        <v/>
      </c>
      <c r="H5835" s="10" t="str">
        <f aca="false">IF($B5835="","",SUBSTITUTE(SUBSTITUTE(SUBSTITUTE($B5835,"-","")," ",""),".",""))</f>
        <v/>
      </c>
      <c r="I5835" s="10" t="str">
        <f aca="false">IF($D5835="","",SUBSTITUTE(SUBSTITUTE(SUBSTITUTE($D5835,"-","")," ",""),".",""))</f>
        <v/>
      </c>
      <c r="J5835" s="10" t="str">
        <f aca="false">IF($E5835="","",UPPER(SUBSTITUTE($E5835," ","")))</f>
        <v/>
      </c>
      <c r="K5835" s="10" t="str">
        <f aca="false">IF($A5835="","",$G5835&amp;"|"&amp;$J5835)</f>
        <v/>
      </c>
      <c r="L5835" s="10" t="str">
        <f aca="false">IF($A5835="","",ROW()-2)</f>
        <v/>
      </c>
      <c r="M5835" s="10" t="str">
        <f aca="false">IF($A5835="","",ROW())</f>
        <v/>
      </c>
    </row>
    <row r="5836" customFormat="false" ht="15" hidden="false" customHeight="true" outlineLevel="0" collapsed="false">
      <c r="A5836" s="8"/>
      <c r="B5836" s="8"/>
      <c r="C5836" s="8"/>
      <c r="D5836" s="8"/>
      <c r="E5836" s="8"/>
      <c r="F5836" s="8"/>
      <c r="G5836" s="10" t="str">
        <f aca="false">IF($A5836="","",UPPER(SUBSTITUTE(SUBSTITUTE(SUBSTITUTE(SUBSTITUTE($A5836," ",""),"(주)",""),"주식회사",""),"㈜","")))</f>
        <v/>
      </c>
      <c r="H5836" s="10" t="str">
        <f aca="false">IF($B5836="","",SUBSTITUTE(SUBSTITUTE(SUBSTITUTE($B5836,"-","")," ",""),".",""))</f>
        <v/>
      </c>
      <c r="I5836" s="10" t="str">
        <f aca="false">IF($D5836="","",SUBSTITUTE(SUBSTITUTE(SUBSTITUTE($D5836,"-","")," ",""),".",""))</f>
        <v/>
      </c>
      <c r="J5836" s="10" t="str">
        <f aca="false">IF($E5836="","",UPPER(SUBSTITUTE($E5836," ","")))</f>
        <v/>
      </c>
      <c r="K5836" s="10" t="str">
        <f aca="false">IF($A5836="","",$G5836&amp;"|"&amp;$J5836)</f>
        <v/>
      </c>
      <c r="L5836" s="10" t="str">
        <f aca="false">IF($A5836="","",ROW()-2)</f>
        <v/>
      </c>
      <c r="M5836" s="10" t="str">
        <f aca="false">IF($A5836="","",ROW())</f>
        <v/>
      </c>
    </row>
    <row r="5837" customFormat="false" ht="15" hidden="false" customHeight="true" outlineLevel="0" collapsed="false">
      <c r="A5837" s="8"/>
      <c r="B5837" s="8"/>
      <c r="C5837" s="8"/>
      <c r="D5837" s="8"/>
      <c r="E5837" s="8"/>
      <c r="F5837" s="8"/>
      <c r="G5837" s="10" t="str">
        <f aca="false">IF($A5837="","",UPPER(SUBSTITUTE(SUBSTITUTE(SUBSTITUTE(SUBSTITUTE($A5837," ",""),"(주)",""),"주식회사",""),"㈜","")))</f>
        <v/>
      </c>
      <c r="H5837" s="10" t="str">
        <f aca="false">IF($B5837="","",SUBSTITUTE(SUBSTITUTE(SUBSTITUTE($B5837,"-","")," ",""),".",""))</f>
        <v/>
      </c>
      <c r="I5837" s="10" t="str">
        <f aca="false">IF($D5837="","",SUBSTITUTE(SUBSTITUTE(SUBSTITUTE($D5837,"-","")," ",""),".",""))</f>
        <v/>
      </c>
      <c r="J5837" s="10" t="str">
        <f aca="false">IF($E5837="","",UPPER(SUBSTITUTE($E5837," ","")))</f>
        <v/>
      </c>
      <c r="K5837" s="10" t="str">
        <f aca="false">IF($A5837="","",$G5837&amp;"|"&amp;$J5837)</f>
        <v/>
      </c>
      <c r="L5837" s="10" t="str">
        <f aca="false">IF($A5837="","",ROW()-2)</f>
        <v/>
      </c>
      <c r="M5837" s="10" t="str">
        <f aca="false">IF($A5837="","",ROW())</f>
        <v/>
      </c>
    </row>
    <row r="5838" customFormat="false" ht="15" hidden="false" customHeight="true" outlineLevel="0" collapsed="false">
      <c r="A5838" s="8"/>
      <c r="B5838" s="8"/>
      <c r="C5838" s="8"/>
      <c r="D5838" s="8"/>
      <c r="E5838" s="8"/>
      <c r="F5838" s="8"/>
      <c r="G5838" s="10" t="str">
        <f aca="false">IF($A5838="","",UPPER(SUBSTITUTE(SUBSTITUTE(SUBSTITUTE(SUBSTITUTE($A5838," ",""),"(주)",""),"주식회사",""),"㈜","")))</f>
        <v/>
      </c>
      <c r="H5838" s="10" t="str">
        <f aca="false">IF($B5838="","",SUBSTITUTE(SUBSTITUTE(SUBSTITUTE($B5838,"-","")," ",""),".",""))</f>
        <v/>
      </c>
      <c r="I5838" s="10" t="str">
        <f aca="false">IF($D5838="","",SUBSTITUTE(SUBSTITUTE(SUBSTITUTE($D5838,"-","")," ",""),".",""))</f>
        <v/>
      </c>
      <c r="J5838" s="10" t="str">
        <f aca="false">IF($E5838="","",UPPER(SUBSTITUTE($E5838," ","")))</f>
        <v/>
      </c>
      <c r="K5838" s="10" t="str">
        <f aca="false">IF($A5838="","",$G5838&amp;"|"&amp;$J5838)</f>
        <v/>
      </c>
      <c r="L5838" s="10" t="str">
        <f aca="false">IF($A5838="","",ROW()-2)</f>
        <v/>
      </c>
      <c r="M5838" s="10" t="str">
        <f aca="false">IF($A5838="","",ROW())</f>
        <v/>
      </c>
    </row>
    <row r="5839" customFormat="false" ht="15" hidden="false" customHeight="true" outlineLevel="0" collapsed="false">
      <c r="A5839" s="8"/>
      <c r="B5839" s="8"/>
      <c r="C5839" s="8"/>
      <c r="D5839" s="8"/>
      <c r="E5839" s="8"/>
      <c r="F5839" s="8"/>
      <c r="G5839" s="10" t="str">
        <f aca="false">IF($A5839="","",UPPER(SUBSTITUTE(SUBSTITUTE(SUBSTITUTE(SUBSTITUTE($A5839," ",""),"(주)",""),"주식회사",""),"㈜","")))</f>
        <v/>
      </c>
      <c r="H5839" s="10" t="str">
        <f aca="false">IF($B5839="","",SUBSTITUTE(SUBSTITUTE(SUBSTITUTE($B5839,"-","")," ",""),".",""))</f>
        <v/>
      </c>
      <c r="I5839" s="10" t="str">
        <f aca="false">IF($D5839="","",SUBSTITUTE(SUBSTITUTE(SUBSTITUTE($D5839,"-","")," ",""),".",""))</f>
        <v/>
      </c>
      <c r="J5839" s="10" t="str">
        <f aca="false">IF($E5839="","",UPPER(SUBSTITUTE($E5839," ","")))</f>
        <v/>
      </c>
      <c r="K5839" s="10" t="str">
        <f aca="false">IF($A5839="","",$G5839&amp;"|"&amp;$J5839)</f>
        <v/>
      </c>
      <c r="L5839" s="10" t="str">
        <f aca="false">IF($A5839="","",ROW()-2)</f>
        <v/>
      </c>
      <c r="M5839" s="10" t="str">
        <f aca="false">IF($A5839="","",ROW())</f>
        <v/>
      </c>
    </row>
    <row r="5840" customFormat="false" ht="15" hidden="false" customHeight="true" outlineLevel="0" collapsed="false">
      <c r="A5840" s="8"/>
      <c r="B5840" s="8"/>
      <c r="C5840" s="8"/>
      <c r="D5840" s="8"/>
      <c r="E5840" s="8"/>
      <c r="F5840" s="8"/>
      <c r="G5840" s="10" t="str">
        <f aca="false">IF($A5840="","",UPPER(SUBSTITUTE(SUBSTITUTE(SUBSTITUTE(SUBSTITUTE($A5840," ",""),"(주)",""),"주식회사",""),"㈜","")))</f>
        <v/>
      </c>
      <c r="H5840" s="10" t="str">
        <f aca="false">IF($B5840="","",SUBSTITUTE(SUBSTITUTE(SUBSTITUTE($B5840,"-","")," ",""),".",""))</f>
        <v/>
      </c>
      <c r="I5840" s="10" t="str">
        <f aca="false">IF($D5840="","",SUBSTITUTE(SUBSTITUTE(SUBSTITUTE($D5840,"-","")," ",""),".",""))</f>
        <v/>
      </c>
      <c r="J5840" s="10" t="str">
        <f aca="false">IF($E5840="","",UPPER(SUBSTITUTE($E5840," ","")))</f>
        <v/>
      </c>
      <c r="K5840" s="10" t="str">
        <f aca="false">IF($A5840="","",$G5840&amp;"|"&amp;$J5840)</f>
        <v/>
      </c>
      <c r="L5840" s="10" t="str">
        <f aca="false">IF($A5840="","",ROW()-2)</f>
        <v/>
      </c>
      <c r="M5840" s="10" t="str">
        <f aca="false">IF($A5840="","",ROW())</f>
        <v/>
      </c>
    </row>
    <row r="5841" customFormat="false" ht="15" hidden="false" customHeight="true" outlineLevel="0" collapsed="false">
      <c r="A5841" s="8"/>
      <c r="B5841" s="8"/>
      <c r="C5841" s="8"/>
      <c r="D5841" s="8"/>
      <c r="E5841" s="8"/>
      <c r="F5841" s="8"/>
      <c r="G5841" s="10" t="str">
        <f aca="false">IF($A5841="","",UPPER(SUBSTITUTE(SUBSTITUTE(SUBSTITUTE(SUBSTITUTE($A5841," ",""),"(주)",""),"주식회사",""),"㈜","")))</f>
        <v/>
      </c>
      <c r="H5841" s="10" t="str">
        <f aca="false">IF($B5841="","",SUBSTITUTE(SUBSTITUTE(SUBSTITUTE($B5841,"-","")," ",""),".",""))</f>
        <v/>
      </c>
      <c r="I5841" s="10" t="str">
        <f aca="false">IF($D5841="","",SUBSTITUTE(SUBSTITUTE(SUBSTITUTE($D5841,"-","")," ",""),".",""))</f>
        <v/>
      </c>
      <c r="J5841" s="10" t="str">
        <f aca="false">IF($E5841="","",UPPER(SUBSTITUTE($E5841," ","")))</f>
        <v/>
      </c>
      <c r="K5841" s="10" t="str">
        <f aca="false">IF($A5841="","",$G5841&amp;"|"&amp;$J5841)</f>
        <v/>
      </c>
      <c r="L5841" s="10" t="str">
        <f aca="false">IF($A5841="","",ROW()-2)</f>
        <v/>
      </c>
      <c r="M5841" s="10" t="str">
        <f aca="false">IF($A5841="","",ROW())</f>
        <v/>
      </c>
    </row>
    <row r="5842" customFormat="false" ht="15" hidden="false" customHeight="true" outlineLevel="0" collapsed="false">
      <c r="A5842" s="8"/>
      <c r="B5842" s="8"/>
      <c r="C5842" s="8"/>
      <c r="D5842" s="8"/>
      <c r="E5842" s="8"/>
      <c r="F5842" s="8"/>
      <c r="G5842" s="10" t="str">
        <f aca="false">IF($A5842="","",UPPER(SUBSTITUTE(SUBSTITUTE(SUBSTITUTE(SUBSTITUTE($A5842," ",""),"(주)",""),"주식회사",""),"㈜","")))</f>
        <v/>
      </c>
      <c r="H5842" s="10" t="str">
        <f aca="false">IF($B5842="","",SUBSTITUTE(SUBSTITUTE(SUBSTITUTE($B5842,"-","")," ",""),".",""))</f>
        <v/>
      </c>
      <c r="I5842" s="10" t="str">
        <f aca="false">IF($D5842="","",SUBSTITUTE(SUBSTITUTE(SUBSTITUTE($D5842,"-","")," ",""),".",""))</f>
        <v/>
      </c>
      <c r="J5842" s="10" t="str">
        <f aca="false">IF($E5842="","",UPPER(SUBSTITUTE($E5842," ","")))</f>
        <v/>
      </c>
      <c r="K5842" s="10" t="str">
        <f aca="false">IF($A5842="","",$G5842&amp;"|"&amp;$J5842)</f>
        <v/>
      </c>
      <c r="L5842" s="10" t="str">
        <f aca="false">IF($A5842="","",ROW()-2)</f>
        <v/>
      </c>
      <c r="M5842" s="10" t="str">
        <f aca="false">IF($A5842="","",ROW())</f>
        <v/>
      </c>
    </row>
    <row r="5843" customFormat="false" ht="15" hidden="false" customHeight="true" outlineLevel="0" collapsed="false">
      <c r="A5843" s="8"/>
      <c r="B5843" s="8"/>
      <c r="C5843" s="8"/>
      <c r="D5843" s="8"/>
      <c r="E5843" s="8"/>
      <c r="F5843" s="8"/>
      <c r="G5843" s="10" t="str">
        <f aca="false">IF($A5843="","",UPPER(SUBSTITUTE(SUBSTITUTE(SUBSTITUTE(SUBSTITUTE($A5843," ",""),"(주)",""),"주식회사",""),"㈜","")))</f>
        <v/>
      </c>
      <c r="H5843" s="10" t="str">
        <f aca="false">IF($B5843="","",SUBSTITUTE(SUBSTITUTE(SUBSTITUTE($B5843,"-","")," ",""),".",""))</f>
        <v/>
      </c>
      <c r="I5843" s="10" t="str">
        <f aca="false">IF($D5843="","",SUBSTITUTE(SUBSTITUTE(SUBSTITUTE($D5843,"-","")," ",""),".",""))</f>
        <v/>
      </c>
      <c r="J5843" s="10" t="str">
        <f aca="false">IF($E5843="","",UPPER(SUBSTITUTE($E5843," ","")))</f>
        <v/>
      </c>
      <c r="K5843" s="10" t="str">
        <f aca="false">IF($A5843="","",$G5843&amp;"|"&amp;$J5843)</f>
        <v/>
      </c>
      <c r="L5843" s="10" t="str">
        <f aca="false">IF($A5843="","",ROW()-2)</f>
        <v/>
      </c>
      <c r="M5843" s="10" t="str">
        <f aca="false">IF($A5843="","",ROW())</f>
        <v/>
      </c>
    </row>
    <row r="5844" customFormat="false" ht="15" hidden="false" customHeight="true" outlineLevel="0" collapsed="false">
      <c r="A5844" s="8"/>
      <c r="B5844" s="8"/>
      <c r="C5844" s="8"/>
      <c r="D5844" s="8"/>
      <c r="E5844" s="8"/>
      <c r="F5844" s="8"/>
      <c r="G5844" s="10" t="str">
        <f aca="false">IF($A5844="","",UPPER(SUBSTITUTE(SUBSTITUTE(SUBSTITUTE(SUBSTITUTE($A5844," ",""),"(주)",""),"주식회사",""),"㈜","")))</f>
        <v/>
      </c>
      <c r="H5844" s="10" t="str">
        <f aca="false">IF($B5844="","",SUBSTITUTE(SUBSTITUTE(SUBSTITUTE($B5844,"-","")," ",""),".",""))</f>
        <v/>
      </c>
      <c r="I5844" s="10" t="str">
        <f aca="false">IF($D5844="","",SUBSTITUTE(SUBSTITUTE(SUBSTITUTE($D5844,"-","")," ",""),".",""))</f>
        <v/>
      </c>
      <c r="J5844" s="10" t="str">
        <f aca="false">IF($E5844="","",UPPER(SUBSTITUTE($E5844," ","")))</f>
        <v/>
      </c>
      <c r="K5844" s="10" t="str">
        <f aca="false">IF($A5844="","",$G5844&amp;"|"&amp;$J5844)</f>
        <v/>
      </c>
      <c r="L5844" s="10" t="str">
        <f aca="false">IF($A5844="","",ROW()-2)</f>
        <v/>
      </c>
      <c r="M5844" s="10" t="str">
        <f aca="false">IF($A5844="","",ROW())</f>
        <v/>
      </c>
    </row>
    <row r="5845" customFormat="false" ht="15" hidden="false" customHeight="true" outlineLevel="0" collapsed="false">
      <c r="A5845" s="8"/>
      <c r="B5845" s="8"/>
      <c r="C5845" s="8"/>
      <c r="D5845" s="8"/>
      <c r="E5845" s="8"/>
      <c r="F5845" s="8"/>
      <c r="G5845" s="10" t="str">
        <f aca="false">IF($A5845="","",UPPER(SUBSTITUTE(SUBSTITUTE(SUBSTITUTE(SUBSTITUTE($A5845," ",""),"(주)",""),"주식회사",""),"㈜","")))</f>
        <v/>
      </c>
      <c r="H5845" s="10" t="str">
        <f aca="false">IF($B5845="","",SUBSTITUTE(SUBSTITUTE(SUBSTITUTE($B5845,"-","")," ",""),".",""))</f>
        <v/>
      </c>
      <c r="I5845" s="10" t="str">
        <f aca="false">IF($D5845="","",SUBSTITUTE(SUBSTITUTE(SUBSTITUTE($D5845,"-","")," ",""),".",""))</f>
        <v/>
      </c>
      <c r="J5845" s="10" t="str">
        <f aca="false">IF($E5845="","",UPPER(SUBSTITUTE($E5845," ","")))</f>
        <v/>
      </c>
      <c r="K5845" s="10" t="str">
        <f aca="false">IF($A5845="","",$G5845&amp;"|"&amp;$J5845)</f>
        <v/>
      </c>
      <c r="L5845" s="10" t="str">
        <f aca="false">IF($A5845="","",ROW()-2)</f>
        <v/>
      </c>
      <c r="M5845" s="10" t="str">
        <f aca="false">IF($A5845="","",ROW())</f>
        <v/>
      </c>
    </row>
    <row r="5846" customFormat="false" ht="15" hidden="false" customHeight="true" outlineLevel="0" collapsed="false">
      <c r="A5846" s="8"/>
      <c r="B5846" s="8"/>
      <c r="C5846" s="8"/>
      <c r="D5846" s="8"/>
      <c r="E5846" s="8"/>
      <c r="F5846" s="8"/>
      <c r="G5846" s="10" t="str">
        <f aca="false">IF($A5846="","",UPPER(SUBSTITUTE(SUBSTITUTE(SUBSTITUTE(SUBSTITUTE($A5846," ",""),"(주)",""),"주식회사",""),"㈜","")))</f>
        <v/>
      </c>
      <c r="H5846" s="10" t="str">
        <f aca="false">IF($B5846="","",SUBSTITUTE(SUBSTITUTE(SUBSTITUTE($B5846,"-","")," ",""),".",""))</f>
        <v/>
      </c>
      <c r="I5846" s="10" t="str">
        <f aca="false">IF($D5846="","",SUBSTITUTE(SUBSTITUTE(SUBSTITUTE($D5846,"-","")," ",""),".",""))</f>
        <v/>
      </c>
      <c r="J5846" s="10" t="str">
        <f aca="false">IF($E5846="","",UPPER(SUBSTITUTE($E5846," ","")))</f>
        <v/>
      </c>
      <c r="K5846" s="10" t="str">
        <f aca="false">IF($A5846="","",$G5846&amp;"|"&amp;$J5846)</f>
        <v/>
      </c>
      <c r="L5846" s="10" t="str">
        <f aca="false">IF($A5846="","",ROW()-2)</f>
        <v/>
      </c>
      <c r="M5846" s="10" t="str">
        <f aca="false">IF($A5846="","",ROW())</f>
        <v/>
      </c>
    </row>
    <row r="5847" customFormat="false" ht="15" hidden="false" customHeight="true" outlineLevel="0" collapsed="false">
      <c r="A5847" s="8"/>
      <c r="B5847" s="8"/>
      <c r="C5847" s="8"/>
      <c r="D5847" s="8"/>
      <c r="E5847" s="8"/>
      <c r="F5847" s="8"/>
      <c r="G5847" s="10" t="str">
        <f aca="false">IF($A5847="","",UPPER(SUBSTITUTE(SUBSTITUTE(SUBSTITUTE(SUBSTITUTE($A5847," ",""),"(주)",""),"주식회사",""),"㈜","")))</f>
        <v/>
      </c>
      <c r="H5847" s="10" t="str">
        <f aca="false">IF($B5847="","",SUBSTITUTE(SUBSTITUTE(SUBSTITUTE($B5847,"-","")," ",""),".",""))</f>
        <v/>
      </c>
      <c r="I5847" s="10" t="str">
        <f aca="false">IF($D5847="","",SUBSTITUTE(SUBSTITUTE(SUBSTITUTE($D5847,"-","")," ",""),".",""))</f>
        <v/>
      </c>
      <c r="J5847" s="10" t="str">
        <f aca="false">IF($E5847="","",UPPER(SUBSTITUTE($E5847," ","")))</f>
        <v/>
      </c>
      <c r="K5847" s="10" t="str">
        <f aca="false">IF($A5847="","",$G5847&amp;"|"&amp;$J5847)</f>
        <v/>
      </c>
      <c r="L5847" s="10" t="str">
        <f aca="false">IF($A5847="","",ROW()-2)</f>
        <v/>
      </c>
      <c r="M5847" s="10" t="str">
        <f aca="false">IF($A5847="","",ROW())</f>
        <v/>
      </c>
    </row>
    <row r="5848" customFormat="false" ht="15" hidden="false" customHeight="true" outlineLevel="0" collapsed="false">
      <c r="A5848" s="8"/>
      <c r="B5848" s="8"/>
      <c r="C5848" s="8"/>
      <c r="D5848" s="8"/>
      <c r="E5848" s="8"/>
      <c r="F5848" s="8"/>
      <c r="G5848" s="10" t="str">
        <f aca="false">IF($A5848="","",UPPER(SUBSTITUTE(SUBSTITUTE(SUBSTITUTE(SUBSTITUTE($A5848," ",""),"(주)",""),"주식회사",""),"㈜","")))</f>
        <v/>
      </c>
      <c r="H5848" s="10" t="str">
        <f aca="false">IF($B5848="","",SUBSTITUTE(SUBSTITUTE(SUBSTITUTE($B5848,"-","")," ",""),".",""))</f>
        <v/>
      </c>
      <c r="I5848" s="10" t="str">
        <f aca="false">IF($D5848="","",SUBSTITUTE(SUBSTITUTE(SUBSTITUTE($D5848,"-","")," ",""),".",""))</f>
        <v/>
      </c>
      <c r="J5848" s="10" t="str">
        <f aca="false">IF($E5848="","",UPPER(SUBSTITUTE($E5848," ","")))</f>
        <v/>
      </c>
      <c r="K5848" s="10" t="str">
        <f aca="false">IF($A5848="","",$G5848&amp;"|"&amp;$J5848)</f>
        <v/>
      </c>
      <c r="L5848" s="10" t="str">
        <f aca="false">IF($A5848="","",ROW()-2)</f>
        <v/>
      </c>
      <c r="M5848" s="10" t="str">
        <f aca="false">IF($A5848="","",ROW())</f>
        <v/>
      </c>
    </row>
    <row r="5849" customFormat="false" ht="15" hidden="false" customHeight="true" outlineLevel="0" collapsed="false">
      <c r="A5849" s="8"/>
      <c r="B5849" s="8"/>
      <c r="C5849" s="8"/>
      <c r="D5849" s="8"/>
      <c r="E5849" s="8"/>
      <c r="F5849" s="8"/>
      <c r="G5849" s="10" t="str">
        <f aca="false">IF($A5849="","",UPPER(SUBSTITUTE(SUBSTITUTE(SUBSTITUTE(SUBSTITUTE($A5849," ",""),"(주)",""),"주식회사",""),"㈜","")))</f>
        <v/>
      </c>
      <c r="H5849" s="10" t="str">
        <f aca="false">IF($B5849="","",SUBSTITUTE(SUBSTITUTE(SUBSTITUTE($B5849,"-","")," ",""),".",""))</f>
        <v/>
      </c>
      <c r="I5849" s="10" t="str">
        <f aca="false">IF($D5849="","",SUBSTITUTE(SUBSTITUTE(SUBSTITUTE($D5849,"-","")," ",""),".",""))</f>
        <v/>
      </c>
      <c r="J5849" s="10" t="str">
        <f aca="false">IF($E5849="","",UPPER(SUBSTITUTE($E5849," ","")))</f>
        <v/>
      </c>
      <c r="K5849" s="10" t="str">
        <f aca="false">IF($A5849="","",$G5849&amp;"|"&amp;$J5849)</f>
        <v/>
      </c>
      <c r="L5849" s="10" t="str">
        <f aca="false">IF($A5849="","",ROW()-2)</f>
        <v/>
      </c>
      <c r="M5849" s="10" t="str">
        <f aca="false">IF($A5849="","",ROW())</f>
        <v/>
      </c>
    </row>
    <row r="5850" customFormat="false" ht="15" hidden="false" customHeight="true" outlineLevel="0" collapsed="false">
      <c r="A5850" s="8"/>
      <c r="B5850" s="8"/>
      <c r="C5850" s="8"/>
      <c r="D5850" s="8"/>
      <c r="E5850" s="8"/>
      <c r="F5850" s="8"/>
      <c r="G5850" s="10" t="str">
        <f aca="false">IF($A5850="","",UPPER(SUBSTITUTE(SUBSTITUTE(SUBSTITUTE(SUBSTITUTE($A5850," ",""),"(주)",""),"주식회사",""),"㈜","")))</f>
        <v/>
      </c>
      <c r="H5850" s="10" t="str">
        <f aca="false">IF($B5850="","",SUBSTITUTE(SUBSTITUTE(SUBSTITUTE($B5850,"-","")," ",""),".",""))</f>
        <v/>
      </c>
      <c r="I5850" s="10" t="str">
        <f aca="false">IF($D5850="","",SUBSTITUTE(SUBSTITUTE(SUBSTITUTE($D5850,"-","")," ",""),".",""))</f>
        <v/>
      </c>
      <c r="J5850" s="10" t="str">
        <f aca="false">IF($E5850="","",UPPER(SUBSTITUTE($E5850," ","")))</f>
        <v/>
      </c>
      <c r="K5850" s="10" t="str">
        <f aca="false">IF($A5850="","",$G5850&amp;"|"&amp;$J5850)</f>
        <v/>
      </c>
      <c r="L5850" s="10" t="str">
        <f aca="false">IF($A5850="","",ROW()-2)</f>
        <v/>
      </c>
      <c r="M5850" s="10" t="str">
        <f aca="false">IF($A5850="","",ROW())</f>
        <v/>
      </c>
    </row>
    <row r="5851" customFormat="false" ht="15" hidden="false" customHeight="true" outlineLevel="0" collapsed="false">
      <c r="A5851" s="8"/>
      <c r="B5851" s="8"/>
      <c r="C5851" s="8"/>
      <c r="D5851" s="8"/>
      <c r="E5851" s="8"/>
      <c r="F5851" s="8"/>
      <c r="G5851" s="10" t="str">
        <f aca="false">IF($A5851="","",UPPER(SUBSTITUTE(SUBSTITUTE(SUBSTITUTE(SUBSTITUTE($A5851," ",""),"(주)",""),"주식회사",""),"㈜","")))</f>
        <v/>
      </c>
      <c r="H5851" s="10" t="str">
        <f aca="false">IF($B5851="","",SUBSTITUTE(SUBSTITUTE(SUBSTITUTE($B5851,"-","")," ",""),".",""))</f>
        <v/>
      </c>
      <c r="I5851" s="10" t="str">
        <f aca="false">IF($D5851="","",SUBSTITUTE(SUBSTITUTE(SUBSTITUTE($D5851,"-","")," ",""),".",""))</f>
        <v/>
      </c>
      <c r="J5851" s="10" t="str">
        <f aca="false">IF($E5851="","",UPPER(SUBSTITUTE($E5851," ","")))</f>
        <v/>
      </c>
      <c r="K5851" s="10" t="str">
        <f aca="false">IF($A5851="","",$G5851&amp;"|"&amp;$J5851)</f>
        <v/>
      </c>
      <c r="L5851" s="10" t="str">
        <f aca="false">IF($A5851="","",ROW()-2)</f>
        <v/>
      </c>
      <c r="M5851" s="10" t="str">
        <f aca="false">IF($A5851="","",ROW())</f>
        <v/>
      </c>
    </row>
    <row r="5852" customFormat="false" ht="15" hidden="false" customHeight="true" outlineLevel="0" collapsed="false">
      <c r="A5852" s="8"/>
      <c r="B5852" s="8"/>
      <c r="C5852" s="8"/>
      <c r="D5852" s="8"/>
      <c r="E5852" s="8"/>
      <c r="F5852" s="8"/>
      <c r="G5852" s="10" t="str">
        <f aca="false">IF($A5852="","",UPPER(SUBSTITUTE(SUBSTITUTE(SUBSTITUTE(SUBSTITUTE($A5852," ",""),"(주)",""),"주식회사",""),"㈜","")))</f>
        <v/>
      </c>
      <c r="H5852" s="10" t="str">
        <f aca="false">IF($B5852="","",SUBSTITUTE(SUBSTITUTE(SUBSTITUTE($B5852,"-","")," ",""),".",""))</f>
        <v/>
      </c>
      <c r="I5852" s="10" t="str">
        <f aca="false">IF($D5852="","",SUBSTITUTE(SUBSTITUTE(SUBSTITUTE($D5852,"-","")," ",""),".",""))</f>
        <v/>
      </c>
      <c r="J5852" s="10" t="str">
        <f aca="false">IF($E5852="","",UPPER(SUBSTITUTE($E5852," ","")))</f>
        <v/>
      </c>
      <c r="K5852" s="10" t="str">
        <f aca="false">IF($A5852="","",$G5852&amp;"|"&amp;$J5852)</f>
        <v/>
      </c>
      <c r="L5852" s="10" t="str">
        <f aca="false">IF($A5852="","",ROW()-2)</f>
        <v/>
      </c>
      <c r="M5852" s="10" t="str">
        <f aca="false">IF($A5852="","",ROW())</f>
        <v/>
      </c>
    </row>
    <row r="5853" customFormat="false" ht="15" hidden="false" customHeight="true" outlineLevel="0" collapsed="false">
      <c r="A5853" s="8"/>
      <c r="B5853" s="8"/>
      <c r="C5853" s="8"/>
      <c r="D5853" s="8"/>
      <c r="E5853" s="8"/>
      <c r="F5853" s="8"/>
      <c r="G5853" s="10" t="str">
        <f aca="false">IF($A5853="","",UPPER(SUBSTITUTE(SUBSTITUTE(SUBSTITUTE(SUBSTITUTE($A5853," ",""),"(주)",""),"주식회사",""),"㈜","")))</f>
        <v/>
      </c>
      <c r="H5853" s="10" t="str">
        <f aca="false">IF($B5853="","",SUBSTITUTE(SUBSTITUTE(SUBSTITUTE($B5853,"-","")," ",""),".",""))</f>
        <v/>
      </c>
      <c r="I5853" s="10" t="str">
        <f aca="false">IF($D5853="","",SUBSTITUTE(SUBSTITUTE(SUBSTITUTE($D5853,"-","")," ",""),".",""))</f>
        <v/>
      </c>
      <c r="J5853" s="10" t="str">
        <f aca="false">IF($E5853="","",UPPER(SUBSTITUTE($E5853," ","")))</f>
        <v/>
      </c>
      <c r="K5853" s="10" t="str">
        <f aca="false">IF($A5853="","",$G5853&amp;"|"&amp;$J5853)</f>
        <v/>
      </c>
      <c r="L5853" s="10" t="str">
        <f aca="false">IF($A5853="","",ROW()-2)</f>
        <v/>
      </c>
      <c r="M5853" s="10" t="str">
        <f aca="false">IF($A5853="","",ROW())</f>
        <v/>
      </c>
    </row>
    <row r="5854" customFormat="false" ht="15" hidden="false" customHeight="true" outlineLevel="0" collapsed="false">
      <c r="A5854" s="8"/>
      <c r="B5854" s="8"/>
      <c r="C5854" s="8"/>
      <c r="D5854" s="8"/>
      <c r="E5854" s="8"/>
      <c r="F5854" s="8"/>
      <c r="G5854" s="10" t="str">
        <f aca="false">IF($A5854="","",UPPER(SUBSTITUTE(SUBSTITUTE(SUBSTITUTE(SUBSTITUTE($A5854," ",""),"(주)",""),"주식회사",""),"㈜","")))</f>
        <v/>
      </c>
      <c r="H5854" s="10" t="str">
        <f aca="false">IF($B5854="","",SUBSTITUTE(SUBSTITUTE(SUBSTITUTE($B5854,"-","")," ",""),".",""))</f>
        <v/>
      </c>
      <c r="I5854" s="10" t="str">
        <f aca="false">IF($D5854="","",SUBSTITUTE(SUBSTITUTE(SUBSTITUTE($D5854,"-","")," ",""),".",""))</f>
        <v/>
      </c>
      <c r="J5854" s="10" t="str">
        <f aca="false">IF($E5854="","",UPPER(SUBSTITUTE($E5854," ","")))</f>
        <v/>
      </c>
      <c r="K5854" s="10" t="str">
        <f aca="false">IF($A5854="","",$G5854&amp;"|"&amp;$J5854)</f>
        <v/>
      </c>
      <c r="L5854" s="10" t="str">
        <f aca="false">IF($A5854="","",ROW()-2)</f>
        <v/>
      </c>
      <c r="M5854" s="10" t="str">
        <f aca="false">IF($A5854="","",ROW())</f>
        <v/>
      </c>
    </row>
    <row r="5855" customFormat="false" ht="15" hidden="false" customHeight="true" outlineLevel="0" collapsed="false">
      <c r="A5855" s="8"/>
      <c r="B5855" s="8"/>
      <c r="C5855" s="8"/>
      <c r="D5855" s="8"/>
      <c r="E5855" s="8"/>
      <c r="F5855" s="8"/>
      <c r="G5855" s="10" t="str">
        <f aca="false">IF($A5855="","",UPPER(SUBSTITUTE(SUBSTITUTE(SUBSTITUTE(SUBSTITUTE($A5855," ",""),"(주)",""),"주식회사",""),"㈜","")))</f>
        <v/>
      </c>
      <c r="H5855" s="10" t="str">
        <f aca="false">IF($B5855="","",SUBSTITUTE(SUBSTITUTE(SUBSTITUTE($B5855,"-","")," ",""),".",""))</f>
        <v/>
      </c>
      <c r="I5855" s="10" t="str">
        <f aca="false">IF($D5855="","",SUBSTITUTE(SUBSTITUTE(SUBSTITUTE($D5855,"-","")," ",""),".",""))</f>
        <v/>
      </c>
      <c r="J5855" s="10" t="str">
        <f aca="false">IF($E5855="","",UPPER(SUBSTITUTE($E5855," ","")))</f>
        <v/>
      </c>
      <c r="K5855" s="10" t="str">
        <f aca="false">IF($A5855="","",$G5855&amp;"|"&amp;$J5855)</f>
        <v/>
      </c>
      <c r="L5855" s="10" t="str">
        <f aca="false">IF($A5855="","",ROW()-2)</f>
        <v/>
      </c>
      <c r="M5855" s="10" t="str">
        <f aca="false">IF($A5855="","",ROW())</f>
        <v/>
      </c>
    </row>
    <row r="5856" customFormat="false" ht="15" hidden="false" customHeight="true" outlineLevel="0" collapsed="false">
      <c r="A5856" s="8"/>
      <c r="B5856" s="8"/>
      <c r="C5856" s="8"/>
      <c r="D5856" s="8"/>
      <c r="E5856" s="8"/>
      <c r="F5856" s="8"/>
      <c r="G5856" s="10" t="str">
        <f aca="false">IF($A5856="","",UPPER(SUBSTITUTE(SUBSTITUTE(SUBSTITUTE(SUBSTITUTE($A5856," ",""),"(주)",""),"주식회사",""),"㈜","")))</f>
        <v/>
      </c>
      <c r="H5856" s="10" t="str">
        <f aca="false">IF($B5856="","",SUBSTITUTE(SUBSTITUTE(SUBSTITUTE($B5856,"-","")," ",""),".",""))</f>
        <v/>
      </c>
      <c r="I5856" s="10" t="str">
        <f aca="false">IF($D5856="","",SUBSTITUTE(SUBSTITUTE(SUBSTITUTE($D5856,"-","")," ",""),".",""))</f>
        <v/>
      </c>
      <c r="J5856" s="10" t="str">
        <f aca="false">IF($E5856="","",UPPER(SUBSTITUTE($E5856," ","")))</f>
        <v/>
      </c>
      <c r="K5856" s="10" t="str">
        <f aca="false">IF($A5856="","",$G5856&amp;"|"&amp;$J5856)</f>
        <v/>
      </c>
      <c r="L5856" s="10" t="str">
        <f aca="false">IF($A5856="","",ROW()-2)</f>
        <v/>
      </c>
      <c r="M5856" s="10" t="str">
        <f aca="false">IF($A5856="","",ROW())</f>
        <v/>
      </c>
    </row>
    <row r="5857" customFormat="false" ht="15" hidden="false" customHeight="true" outlineLevel="0" collapsed="false">
      <c r="A5857" s="8"/>
      <c r="B5857" s="8"/>
      <c r="C5857" s="8"/>
      <c r="D5857" s="8"/>
      <c r="E5857" s="8"/>
      <c r="F5857" s="8"/>
      <c r="G5857" s="10" t="str">
        <f aca="false">IF($A5857="","",UPPER(SUBSTITUTE(SUBSTITUTE(SUBSTITUTE(SUBSTITUTE($A5857," ",""),"(주)",""),"주식회사",""),"㈜","")))</f>
        <v/>
      </c>
      <c r="H5857" s="10" t="str">
        <f aca="false">IF($B5857="","",SUBSTITUTE(SUBSTITUTE(SUBSTITUTE($B5857,"-","")," ",""),".",""))</f>
        <v/>
      </c>
      <c r="I5857" s="10" t="str">
        <f aca="false">IF($D5857="","",SUBSTITUTE(SUBSTITUTE(SUBSTITUTE($D5857,"-","")," ",""),".",""))</f>
        <v/>
      </c>
      <c r="J5857" s="10" t="str">
        <f aca="false">IF($E5857="","",UPPER(SUBSTITUTE($E5857," ","")))</f>
        <v/>
      </c>
      <c r="K5857" s="10" t="str">
        <f aca="false">IF($A5857="","",$G5857&amp;"|"&amp;$J5857)</f>
        <v/>
      </c>
      <c r="L5857" s="10" t="str">
        <f aca="false">IF($A5857="","",ROW()-2)</f>
        <v/>
      </c>
      <c r="M5857" s="10" t="str">
        <f aca="false">IF($A5857="","",ROW())</f>
        <v/>
      </c>
    </row>
    <row r="5858" customFormat="false" ht="15" hidden="false" customHeight="true" outlineLevel="0" collapsed="false">
      <c r="A5858" s="8"/>
      <c r="B5858" s="8"/>
      <c r="C5858" s="8"/>
      <c r="D5858" s="8"/>
      <c r="E5858" s="8"/>
      <c r="F5858" s="8"/>
      <c r="G5858" s="10" t="str">
        <f aca="false">IF($A5858="","",UPPER(SUBSTITUTE(SUBSTITUTE(SUBSTITUTE(SUBSTITUTE($A5858," ",""),"(주)",""),"주식회사",""),"㈜","")))</f>
        <v/>
      </c>
      <c r="H5858" s="10" t="str">
        <f aca="false">IF($B5858="","",SUBSTITUTE(SUBSTITUTE(SUBSTITUTE($B5858,"-","")," ",""),".",""))</f>
        <v/>
      </c>
      <c r="I5858" s="10" t="str">
        <f aca="false">IF($D5858="","",SUBSTITUTE(SUBSTITUTE(SUBSTITUTE($D5858,"-","")," ",""),".",""))</f>
        <v/>
      </c>
      <c r="J5858" s="10" t="str">
        <f aca="false">IF($E5858="","",UPPER(SUBSTITUTE($E5858," ","")))</f>
        <v/>
      </c>
      <c r="K5858" s="10" t="str">
        <f aca="false">IF($A5858="","",$G5858&amp;"|"&amp;$J5858)</f>
        <v/>
      </c>
      <c r="L5858" s="10" t="str">
        <f aca="false">IF($A5858="","",ROW()-2)</f>
        <v/>
      </c>
      <c r="M5858" s="10" t="str">
        <f aca="false">IF($A5858="","",ROW())</f>
        <v/>
      </c>
    </row>
    <row r="5859" customFormat="false" ht="15" hidden="false" customHeight="true" outlineLevel="0" collapsed="false">
      <c r="A5859" s="8"/>
      <c r="B5859" s="8"/>
      <c r="C5859" s="8"/>
      <c r="D5859" s="8"/>
      <c r="E5859" s="8"/>
      <c r="F5859" s="8"/>
      <c r="G5859" s="10" t="str">
        <f aca="false">IF($A5859="","",UPPER(SUBSTITUTE(SUBSTITUTE(SUBSTITUTE(SUBSTITUTE($A5859," ",""),"(주)",""),"주식회사",""),"㈜","")))</f>
        <v/>
      </c>
      <c r="H5859" s="10" t="str">
        <f aca="false">IF($B5859="","",SUBSTITUTE(SUBSTITUTE(SUBSTITUTE($B5859,"-","")," ",""),".",""))</f>
        <v/>
      </c>
      <c r="I5859" s="10" t="str">
        <f aca="false">IF($D5859="","",SUBSTITUTE(SUBSTITUTE(SUBSTITUTE($D5859,"-","")," ",""),".",""))</f>
        <v/>
      </c>
      <c r="J5859" s="10" t="str">
        <f aca="false">IF($E5859="","",UPPER(SUBSTITUTE($E5859," ","")))</f>
        <v/>
      </c>
      <c r="K5859" s="10" t="str">
        <f aca="false">IF($A5859="","",$G5859&amp;"|"&amp;$J5859)</f>
        <v/>
      </c>
      <c r="L5859" s="10" t="str">
        <f aca="false">IF($A5859="","",ROW()-2)</f>
        <v/>
      </c>
      <c r="M5859" s="10" t="str">
        <f aca="false">IF($A5859="","",ROW())</f>
        <v/>
      </c>
    </row>
    <row r="5860" customFormat="false" ht="15" hidden="false" customHeight="true" outlineLevel="0" collapsed="false">
      <c r="A5860" s="8"/>
      <c r="B5860" s="8"/>
      <c r="C5860" s="8"/>
      <c r="D5860" s="8"/>
      <c r="E5860" s="8"/>
      <c r="F5860" s="8"/>
      <c r="G5860" s="10" t="str">
        <f aca="false">IF($A5860="","",UPPER(SUBSTITUTE(SUBSTITUTE(SUBSTITUTE(SUBSTITUTE($A5860," ",""),"(주)",""),"주식회사",""),"㈜","")))</f>
        <v/>
      </c>
      <c r="H5860" s="10" t="str">
        <f aca="false">IF($B5860="","",SUBSTITUTE(SUBSTITUTE(SUBSTITUTE($B5860,"-","")," ",""),".",""))</f>
        <v/>
      </c>
      <c r="I5860" s="10" t="str">
        <f aca="false">IF($D5860="","",SUBSTITUTE(SUBSTITUTE(SUBSTITUTE($D5860,"-","")," ",""),".",""))</f>
        <v/>
      </c>
      <c r="J5860" s="10" t="str">
        <f aca="false">IF($E5860="","",UPPER(SUBSTITUTE($E5860," ","")))</f>
        <v/>
      </c>
      <c r="K5860" s="10" t="str">
        <f aca="false">IF($A5860="","",$G5860&amp;"|"&amp;$J5860)</f>
        <v/>
      </c>
      <c r="L5860" s="10" t="str">
        <f aca="false">IF($A5860="","",ROW()-2)</f>
        <v/>
      </c>
      <c r="M5860" s="10" t="str">
        <f aca="false">IF($A5860="","",ROW())</f>
        <v/>
      </c>
    </row>
    <row r="5861" customFormat="false" ht="15" hidden="false" customHeight="true" outlineLevel="0" collapsed="false">
      <c r="A5861" s="8"/>
      <c r="B5861" s="8"/>
      <c r="C5861" s="8"/>
      <c r="D5861" s="8"/>
      <c r="E5861" s="8"/>
      <c r="F5861" s="8"/>
      <c r="G5861" s="10" t="str">
        <f aca="false">IF($A5861="","",UPPER(SUBSTITUTE(SUBSTITUTE(SUBSTITUTE(SUBSTITUTE($A5861," ",""),"(주)",""),"주식회사",""),"㈜","")))</f>
        <v/>
      </c>
      <c r="H5861" s="10" t="str">
        <f aca="false">IF($B5861="","",SUBSTITUTE(SUBSTITUTE(SUBSTITUTE($B5861,"-","")," ",""),".",""))</f>
        <v/>
      </c>
      <c r="I5861" s="10" t="str">
        <f aca="false">IF($D5861="","",SUBSTITUTE(SUBSTITUTE(SUBSTITUTE($D5861,"-","")," ",""),".",""))</f>
        <v/>
      </c>
      <c r="J5861" s="10" t="str">
        <f aca="false">IF($E5861="","",UPPER(SUBSTITUTE($E5861," ","")))</f>
        <v/>
      </c>
      <c r="K5861" s="10" t="str">
        <f aca="false">IF($A5861="","",$G5861&amp;"|"&amp;$J5861)</f>
        <v/>
      </c>
      <c r="L5861" s="10" t="str">
        <f aca="false">IF($A5861="","",ROW()-2)</f>
        <v/>
      </c>
      <c r="M5861" s="10" t="str">
        <f aca="false">IF($A5861="","",ROW())</f>
        <v/>
      </c>
    </row>
    <row r="5862" customFormat="false" ht="15" hidden="false" customHeight="true" outlineLevel="0" collapsed="false">
      <c r="A5862" s="8"/>
      <c r="B5862" s="8"/>
      <c r="C5862" s="8"/>
      <c r="D5862" s="8"/>
      <c r="E5862" s="8"/>
      <c r="F5862" s="8"/>
      <c r="G5862" s="10" t="str">
        <f aca="false">IF($A5862="","",UPPER(SUBSTITUTE(SUBSTITUTE(SUBSTITUTE(SUBSTITUTE($A5862," ",""),"(주)",""),"주식회사",""),"㈜","")))</f>
        <v/>
      </c>
      <c r="H5862" s="10" t="str">
        <f aca="false">IF($B5862="","",SUBSTITUTE(SUBSTITUTE(SUBSTITUTE($B5862,"-","")," ",""),".",""))</f>
        <v/>
      </c>
      <c r="I5862" s="10" t="str">
        <f aca="false">IF($D5862="","",SUBSTITUTE(SUBSTITUTE(SUBSTITUTE($D5862,"-","")," ",""),".",""))</f>
        <v/>
      </c>
      <c r="J5862" s="10" t="str">
        <f aca="false">IF($E5862="","",UPPER(SUBSTITUTE($E5862," ","")))</f>
        <v/>
      </c>
      <c r="K5862" s="10" t="str">
        <f aca="false">IF($A5862="","",$G5862&amp;"|"&amp;$J5862)</f>
        <v/>
      </c>
      <c r="L5862" s="10" t="str">
        <f aca="false">IF($A5862="","",ROW()-2)</f>
        <v/>
      </c>
      <c r="M5862" s="10" t="str">
        <f aca="false">IF($A5862="","",ROW())</f>
        <v/>
      </c>
    </row>
    <row r="5863" customFormat="false" ht="15" hidden="false" customHeight="true" outlineLevel="0" collapsed="false">
      <c r="A5863" s="8"/>
      <c r="B5863" s="8"/>
      <c r="C5863" s="8"/>
      <c r="D5863" s="8"/>
      <c r="E5863" s="8"/>
      <c r="F5863" s="8"/>
      <c r="G5863" s="10" t="str">
        <f aca="false">IF($A5863="","",UPPER(SUBSTITUTE(SUBSTITUTE(SUBSTITUTE(SUBSTITUTE($A5863," ",""),"(주)",""),"주식회사",""),"㈜","")))</f>
        <v/>
      </c>
      <c r="H5863" s="10" t="str">
        <f aca="false">IF($B5863="","",SUBSTITUTE(SUBSTITUTE(SUBSTITUTE($B5863,"-","")," ",""),".",""))</f>
        <v/>
      </c>
      <c r="I5863" s="10" t="str">
        <f aca="false">IF($D5863="","",SUBSTITUTE(SUBSTITUTE(SUBSTITUTE($D5863,"-","")," ",""),".",""))</f>
        <v/>
      </c>
      <c r="J5863" s="10" t="str">
        <f aca="false">IF($E5863="","",UPPER(SUBSTITUTE($E5863," ","")))</f>
        <v/>
      </c>
      <c r="K5863" s="10" t="str">
        <f aca="false">IF($A5863="","",$G5863&amp;"|"&amp;$J5863)</f>
        <v/>
      </c>
      <c r="L5863" s="10" t="str">
        <f aca="false">IF($A5863="","",ROW()-2)</f>
        <v/>
      </c>
      <c r="M5863" s="10" t="str">
        <f aca="false">IF($A5863="","",ROW())</f>
        <v/>
      </c>
    </row>
    <row r="5864" customFormat="false" ht="15" hidden="false" customHeight="true" outlineLevel="0" collapsed="false">
      <c r="A5864" s="8"/>
      <c r="B5864" s="8"/>
      <c r="C5864" s="8"/>
      <c r="D5864" s="8"/>
      <c r="E5864" s="8"/>
      <c r="F5864" s="8"/>
      <c r="G5864" s="10" t="str">
        <f aca="false">IF($A5864="","",UPPER(SUBSTITUTE(SUBSTITUTE(SUBSTITUTE(SUBSTITUTE($A5864," ",""),"(주)",""),"주식회사",""),"㈜","")))</f>
        <v/>
      </c>
      <c r="H5864" s="10" t="str">
        <f aca="false">IF($B5864="","",SUBSTITUTE(SUBSTITUTE(SUBSTITUTE($B5864,"-","")," ",""),".",""))</f>
        <v/>
      </c>
      <c r="I5864" s="10" t="str">
        <f aca="false">IF($D5864="","",SUBSTITUTE(SUBSTITUTE(SUBSTITUTE($D5864,"-","")," ",""),".",""))</f>
        <v/>
      </c>
      <c r="J5864" s="10" t="str">
        <f aca="false">IF($E5864="","",UPPER(SUBSTITUTE($E5864," ","")))</f>
        <v/>
      </c>
      <c r="K5864" s="10" t="str">
        <f aca="false">IF($A5864="","",$G5864&amp;"|"&amp;$J5864)</f>
        <v/>
      </c>
      <c r="L5864" s="10" t="str">
        <f aca="false">IF($A5864="","",ROW()-2)</f>
        <v/>
      </c>
      <c r="M5864" s="10" t="str">
        <f aca="false">IF($A5864="","",ROW())</f>
        <v/>
      </c>
    </row>
    <row r="5865" customFormat="false" ht="15" hidden="false" customHeight="true" outlineLevel="0" collapsed="false">
      <c r="A5865" s="8"/>
      <c r="B5865" s="8"/>
      <c r="C5865" s="8"/>
      <c r="D5865" s="8"/>
      <c r="E5865" s="8"/>
      <c r="F5865" s="8"/>
      <c r="G5865" s="10" t="str">
        <f aca="false">IF($A5865="","",UPPER(SUBSTITUTE(SUBSTITUTE(SUBSTITUTE(SUBSTITUTE($A5865," ",""),"(주)",""),"주식회사",""),"㈜","")))</f>
        <v/>
      </c>
      <c r="H5865" s="10" t="str">
        <f aca="false">IF($B5865="","",SUBSTITUTE(SUBSTITUTE(SUBSTITUTE($B5865,"-","")," ",""),".",""))</f>
        <v/>
      </c>
      <c r="I5865" s="10" t="str">
        <f aca="false">IF($D5865="","",SUBSTITUTE(SUBSTITUTE(SUBSTITUTE($D5865,"-","")," ",""),".",""))</f>
        <v/>
      </c>
      <c r="J5865" s="10" t="str">
        <f aca="false">IF($E5865="","",UPPER(SUBSTITUTE($E5865," ","")))</f>
        <v/>
      </c>
      <c r="K5865" s="10" t="str">
        <f aca="false">IF($A5865="","",$G5865&amp;"|"&amp;$J5865)</f>
        <v/>
      </c>
      <c r="L5865" s="10" t="str">
        <f aca="false">IF($A5865="","",ROW()-2)</f>
        <v/>
      </c>
      <c r="M5865" s="10" t="str">
        <f aca="false">IF($A5865="","",ROW())</f>
        <v/>
      </c>
    </row>
    <row r="5866" customFormat="false" ht="15" hidden="false" customHeight="true" outlineLevel="0" collapsed="false">
      <c r="A5866" s="8"/>
      <c r="B5866" s="8"/>
      <c r="C5866" s="8"/>
      <c r="D5866" s="8"/>
      <c r="E5866" s="8"/>
      <c r="F5866" s="8"/>
      <c r="G5866" s="10" t="str">
        <f aca="false">IF($A5866="","",UPPER(SUBSTITUTE(SUBSTITUTE(SUBSTITUTE(SUBSTITUTE($A5866," ",""),"(주)",""),"주식회사",""),"㈜","")))</f>
        <v/>
      </c>
      <c r="H5866" s="10" t="str">
        <f aca="false">IF($B5866="","",SUBSTITUTE(SUBSTITUTE(SUBSTITUTE($B5866,"-","")," ",""),".",""))</f>
        <v/>
      </c>
      <c r="I5866" s="10" t="str">
        <f aca="false">IF($D5866="","",SUBSTITUTE(SUBSTITUTE(SUBSTITUTE($D5866,"-","")," ",""),".",""))</f>
        <v/>
      </c>
      <c r="J5866" s="10" t="str">
        <f aca="false">IF($E5866="","",UPPER(SUBSTITUTE($E5866," ","")))</f>
        <v/>
      </c>
      <c r="K5866" s="10" t="str">
        <f aca="false">IF($A5866="","",$G5866&amp;"|"&amp;$J5866)</f>
        <v/>
      </c>
      <c r="L5866" s="10" t="str">
        <f aca="false">IF($A5866="","",ROW()-2)</f>
        <v/>
      </c>
      <c r="M5866" s="10" t="str">
        <f aca="false">IF($A5866="","",ROW())</f>
        <v/>
      </c>
    </row>
    <row r="5867" customFormat="false" ht="15" hidden="false" customHeight="true" outlineLevel="0" collapsed="false">
      <c r="A5867" s="8"/>
      <c r="B5867" s="8"/>
      <c r="C5867" s="8"/>
      <c r="D5867" s="8"/>
      <c r="E5867" s="8"/>
      <c r="F5867" s="8"/>
      <c r="G5867" s="10" t="str">
        <f aca="false">IF($A5867="","",UPPER(SUBSTITUTE(SUBSTITUTE(SUBSTITUTE(SUBSTITUTE($A5867," ",""),"(주)",""),"주식회사",""),"㈜","")))</f>
        <v/>
      </c>
      <c r="H5867" s="10" t="str">
        <f aca="false">IF($B5867="","",SUBSTITUTE(SUBSTITUTE(SUBSTITUTE($B5867,"-","")," ",""),".",""))</f>
        <v/>
      </c>
      <c r="I5867" s="10" t="str">
        <f aca="false">IF($D5867="","",SUBSTITUTE(SUBSTITUTE(SUBSTITUTE($D5867,"-","")," ",""),".",""))</f>
        <v/>
      </c>
      <c r="J5867" s="10" t="str">
        <f aca="false">IF($E5867="","",UPPER(SUBSTITUTE($E5867," ","")))</f>
        <v/>
      </c>
      <c r="K5867" s="10" t="str">
        <f aca="false">IF($A5867="","",$G5867&amp;"|"&amp;$J5867)</f>
        <v/>
      </c>
      <c r="L5867" s="10" t="str">
        <f aca="false">IF($A5867="","",ROW()-2)</f>
        <v/>
      </c>
      <c r="M5867" s="10" t="str">
        <f aca="false">IF($A5867="","",ROW())</f>
        <v/>
      </c>
    </row>
    <row r="5868" customFormat="false" ht="15" hidden="false" customHeight="true" outlineLevel="0" collapsed="false">
      <c r="A5868" s="8"/>
      <c r="B5868" s="8"/>
      <c r="C5868" s="8"/>
      <c r="D5868" s="8"/>
      <c r="E5868" s="8"/>
      <c r="F5868" s="8"/>
      <c r="G5868" s="10" t="str">
        <f aca="false">IF($A5868="","",UPPER(SUBSTITUTE(SUBSTITUTE(SUBSTITUTE(SUBSTITUTE($A5868," ",""),"(주)",""),"주식회사",""),"㈜","")))</f>
        <v/>
      </c>
      <c r="H5868" s="10" t="str">
        <f aca="false">IF($B5868="","",SUBSTITUTE(SUBSTITUTE(SUBSTITUTE($B5868,"-","")," ",""),".",""))</f>
        <v/>
      </c>
      <c r="I5868" s="10" t="str">
        <f aca="false">IF($D5868="","",SUBSTITUTE(SUBSTITUTE(SUBSTITUTE($D5868,"-","")," ",""),".",""))</f>
        <v/>
      </c>
      <c r="J5868" s="10" t="str">
        <f aca="false">IF($E5868="","",UPPER(SUBSTITUTE($E5868," ","")))</f>
        <v/>
      </c>
      <c r="K5868" s="10" t="str">
        <f aca="false">IF($A5868="","",$G5868&amp;"|"&amp;$J5868)</f>
        <v/>
      </c>
      <c r="L5868" s="10" t="str">
        <f aca="false">IF($A5868="","",ROW()-2)</f>
        <v/>
      </c>
      <c r="M5868" s="10" t="str">
        <f aca="false">IF($A5868="","",ROW())</f>
        <v/>
      </c>
    </row>
    <row r="5869" customFormat="false" ht="15" hidden="false" customHeight="true" outlineLevel="0" collapsed="false">
      <c r="A5869" s="8"/>
      <c r="B5869" s="8"/>
      <c r="C5869" s="8"/>
      <c r="D5869" s="8"/>
      <c r="E5869" s="8"/>
      <c r="F5869" s="8"/>
      <c r="G5869" s="10" t="str">
        <f aca="false">IF($A5869="","",UPPER(SUBSTITUTE(SUBSTITUTE(SUBSTITUTE(SUBSTITUTE($A5869," ",""),"(주)",""),"주식회사",""),"㈜","")))</f>
        <v/>
      </c>
      <c r="H5869" s="10" t="str">
        <f aca="false">IF($B5869="","",SUBSTITUTE(SUBSTITUTE(SUBSTITUTE($B5869,"-","")," ",""),".",""))</f>
        <v/>
      </c>
      <c r="I5869" s="10" t="str">
        <f aca="false">IF($D5869="","",SUBSTITUTE(SUBSTITUTE(SUBSTITUTE($D5869,"-","")," ",""),".",""))</f>
        <v/>
      </c>
      <c r="J5869" s="10" t="str">
        <f aca="false">IF($E5869="","",UPPER(SUBSTITUTE($E5869," ","")))</f>
        <v/>
      </c>
      <c r="K5869" s="10" t="str">
        <f aca="false">IF($A5869="","",$G5869&amp;"|"&amp;$J5869)</f>
        <v/>
      </c>
      <c r="L5869" s="10" t="str">
        <f aca="false">IF($A5869="","",ROW()-2)</f>
        <v/>
      </c>
      <c r="M5869" s="10" t="str">
        <f aca="false">IF($A5869="","",ROW())</f>
        <v/>
      </c>
    </row>
    <row r="5870" customFormat="false" ht="15" hidden="false" customHeight="true" outlineLevel="0" collapsed="false">
      <c r="A5870" s="8"/>
      <c r="B5870" s="8"/>
      <c r="C5870" s="8"/>
      <c r="D5870" s="8"/>
      <c r="E5870" s="8"/>
      <c r="F5870" s="8"/>
      <c r="G5870" s="10" t="str">
        <f aca="false">IF($A5870="","",UPPER(SUBSTITUTE(SUBSTITUTE(SUBSTITUTE(SUBSTITUTE($A5870," ",""),"(주)",""),"주식회사",""),"㈜","")))</f>
        <v/>
      </c>
      <c r="H5870" s="10" t="str">
        <f aca="false">IF($B5870="","",SUBSTITUTE(SUBSTITUTE(SUBSTITUTE($B5870,"-","")," ",""),".",""))</f>
        <v/>
      </c>
      <c r="I5870" s="10" t="str">
        <f aca="false">IF($D5870="","",SUBSTITUTE(SUBSTITUTE(SUBSTITUTE($D5870,"-","")," ",""),".",""))</f>
        <v/>
      </c>
      <c r="J5870" s="10" t="str">
        <f aca="false">IF($E5870="","",UPPER(SUBSTITUTE($E5870," ","")))</f>
        <v/>
      </c>
      <c r="K5870" s="10" t="str">
        <f aca="false">IF($A5870="","",$G5870&amp;"|"&amp;$J5870)</f>
        <v/>
      </c>
      <c r="L5870" s="10" t="str">
        <f aca="false">IF($A5870="","",ROW()-2)</f>
        <v/>
      </c>
      <c r="M5870" s="10" t="str">
        <f aca="false">IF($A5870="","",ROW())</f>
        <v/>
      </c>
    </row>
    <row r="5871" customFormat="false" ht="15" hidden="false" customHeight="true" outlineLevel="0" collapsed="false">
      <c r="A5871" s="8"/>
      <c r="B5871" s="8"/>
      <c r="C5871" s="8"/>
      <c r="D5871" s="8"/>
      <c r="E5871" s="8"/>
      <c r="F5871" s="8"/>
      <c r="G5871" s="10" t="str">
        <f aca="false">IF($A5871="","",UPPER(SUBSTITUTE(SUBSTITUTE(SUBSTITUTE(SUBSTITUTE($A5871," ",""),"(주)",""),"주식회사",""),"㈜","")))</f>
        <v/>
      </c>
      <c r="H5871" s="10" t="str">
        <f aca="false">IF($B5871="","",SUBSTITUTE(SUBSTITUTE(SUBSTITUTE($B5871,"-","")," ",""),".",""))</f>
        <v/>
      </c>
      <c r="I5871" s="10" t="str">
        <f aca="false">IF($D5871="","",SUBSTITUTE(SUBSTITUTE(SUBSTITUTE($D5871,"-","")," ",""),".",""))</f>
        <v/>
      </c>
      <c r="J5871" s="10" t="str">
        <f aca="false">IF($E5871="","",UPPER(SUBSTITUTE($E5871," ","")))</f>
        <v/>
      </c>
      <c r="K5871" s="10" t="str">
        <f aca="false">IF($A5871="","",$G5871&amp;"|"&amp;$J5871)</f>
        <v/>
      </c>
      <c r="L5871" s="10" t="str">
        <f aca="false">IF($A5871="","",ROW()-2)</f>
        <v/>
      </c>
      <c r="M5871" s="10" t="str">
        <f aca="false">IF($A5871="","",ROW())</f>
        <v/>
      </c>
    </row>
    <row r="5872" customFormat="false" ht="15" hidden="false" customHeight="true" outlineLevel="0" collapsed="false">
      <c r="A5872" s="8"/>
      <c r="B5872" s="8"/>
      <c r="C5872" s="8"/>
      <c r="D5872" s="8"/>
      <c r="E5872" s="8"/>
      <c r="F5872" s="8"/>
      <c r="G5872" s="10" t="str">
        <f aca="false">IF($A5872="","",UPPER(SUBSTITUTE(SUBSTITUTE(SUBSTITUTE(SUBSTITUTE($A5872," ",""),"(주)",""),"주식회사",""),"㈜","")))</f>
        <v/>
      </c>
      <c r="H5872" s="10" t="str">
        <f aca="false">IF($B5872="","",SUBSTITUTE(SUBSTITUTE(SUBSTITUTE($B5872,"-","")," ",""),".",""))</f>
        <v/>
      </c>
      <c r="I5872" s="10" t="str">
        <f aca="false">IF($D5872="","",SUBSTITUTE(SUBSTITUTE(SUBSTITUTE($D5872,"-","")," ",""),".",""))</f>
        <v/>
      </c>
      <c r="J5872" s="10" t="str">
        <f aca="false">IF($E5872="","",UPPER(SUBSTITUTE($E5872," ","")))</f>
        <v/>
      </c>
      <c r="K5872" s="10" t="str">
        <f aca="false">IF($A5872="","",$G5872&amp;"|"&amp;$J5872)</f>
        <v/>
      </c>
      <c r="L5872" s="10" t="str">
        <f aca="false">IF($A5872="","",ROW()-2)</f>
        <v/>
      </c>
      <c r="M5872" s="10" t="str">
        <f aca="false">IF($A5872="","",ROW())</f>
        <v/>
      </c>
    </row>
    <row r="5873" customFormat="false" ht="15" hidden="false" customHeight="true" outlineLevel="0" collapsed="false">
      <c r="A5873" s="8"/>
      <c r="B5873" s="8"/>
      <c r="C5873" s="8"/>
      <c r="D5873" s="8"/>
      <c r="E5873" s="8"/>
      <c r="F5873" s="8"/>
      <c r="G5873" s="10" t="str">
        <f aca="false">IF($A5873="","",UPPER(SUBSTITUTE(SUBSTITUTE(SUBSTITUTE(SUBSTITUTE($A5873," ",""),"(주)",""),"주식회사",""),"㈜","")))</f>
        <v/>
      </c>
      <c r="H5873" s="10" t="str">
        <f aca="false">IF($B5873="","",SUBSTITUTE(SUBSTITUTE(SUBSTITUTE($B5873,"-","")," ",""),".",""))</f>
        <v/>
      </c>
      <c r="I5873" s="10" t="str">
        <f aca="false">IF($D5873="","",SUBSTITUTE(SUBSTITUTE(SUBSTITUTE($D5873,"-","")," ",""),".",""))</f>
        <v/>
      </c>
      <c r="J5873" s="10" t="str">
        <f aca="false">IF($E5873="","",UPPER(SUBSTITUTE($E5873," ","")))</f>
        <v/>
      </c>
      <c r="K5873" s="10" t="str">
        <f aca="false">IF($A5873="","",$G5873&amp;"|"&amp;$J5873)</f>
        <v/>
      </c>
      <c r="L5873" s="10" t="str">
        <f aca="false">IF($A5873="","",ROW()-2)</f>
        <v/>
      </c>
      <c r="M5873" s="10" t="str">
        <f aca="false">IF($A5873="","",ROW())</f>
        <v/>
      </c>
    </row>
    <row r="5874" customFormat="false" ht="15" hidden="false" customHeight="true" outlineLevel="0" collapsed="false">
      <c r="A5874" s="8"/>
      <c r="B5874" s="8"/>
      <c r="C5874" s="8"/>
      <c r="D5874" s="8"/>
      <c r="E5874" s="8"/>
      <c r="F5874" s="8"/>
      <c r="G5874" s="10" t="str">
        <f aca="false">IF($A5874="","",UPPER(SUBSTITUTE(SUBSTITUTE(SUBSTITUTE(SUBSTITUTE($A5874," ",""),"(주)",""),"주식회사",""),"㈜","")))</f>
        <v/>
      </c>
      <c r="H5874" s="10" t="str">
        <f aca="false">IF($B5874="","",SUBSTITUTE(SUBSTITUTE(SUBSTITUTE($B5874,"-","")," ",""),".",""))</f>
        <v/>
      </c>
      <c r="I5874" s="10" t="str">
        <f aca="false">IF($D5874="","",SUBSTITUTE(SUBSTITUTE(SUBSTITUTE($D5874,"-","")," ",""),".",""))</f>
        <v/>
      </c>
      <c r="J5874" s="10" t="str">
        <f aca="false">IF($E5874="","",UPPER(SUBSTITUTE($E5874," ","")))</f>
        <v/>
      </c>
      <c r="K5874" s="10" t="str">
        <f aca="false">IF($A5874="","",$G5874&amp;"|"&amp;$J5874)</f>
        <v/>
      </c>
      <c r="L5874" s="10" t="str">
        <f aca="false">IF($A5874="","",ROW()-2)</f>
        <v/>
      </c>
      <c r="M5874" s="10" t="str">
        <f aca="false">IF($A5874="","",ROW())</f>
        <v/>
      </c>
    </row>
    <row r="5875" customFormat="false" ht="15" hidden="false" customHeight="true" outlineLevel="0" collapsed="false">
      <c r="A5875" s="8"/>
      <c r="B5875" s="8"/>
      <c r="C5875" s="8"/>
      <c r="D5875" s="8"/>
      <c r="E5875" s="8"/>
      <c r="F5875" s="8"/>
      <c r="G5875" s="10" t="str">
        <f aca="false">IF($A5875="","",UPPER(SUBSTITUTE(SUBSTITUTE(SUBSTITUTE(SUBSTITUTE($A5875," ",""),"(주)",""),"주식회사",""),"㈜","")))</f>
        <v/>
      </c>
      <c r="H5875" s="10" t="str">
        <f aca="false">IF($B5875="","",SUBSTITUTE(SUBSTITUTE(SUBSTITUTE($B5875,"-","")," ",""),".",""))</f>
        <v/>
      </c>
      <c r="I5875" s="10" t="str">
        <f aca="false">IF($D5875="","",SUBSTITUTE(SUBSTITUTE(SUBSTITUTE($D5875,"-","")," ",""),".",""))</f>
        <v/>
      </c>
      <c r="J5875" s="10" t="str">
        <f aca="false">IF($E5875="","",UPPER(SUBSTITUTE($E5875," ","")))</f>
        <v/>
      </c>
      <c r="K5875" s="10" t="str">
        <f aca="false">IF($A5875="","",$G5875&amp;"|"&amp;$J5875)</f>
        <v/>
      </c>
      <c r="L5875" s="10" t="str">
        <f aca="false">IF($A5875="","",ROW()-2)</f>
        <v/>
      </c>
      <c r="M5875" s="10" t="str">
        <f aca="false">IF($A5875="","",ROW())</f>
        <v/>
      </c>
    </row>
    <row r="5876" customFormat="false" ht="15" hidden="false" customHeight="true" outlineLevel="0" collapsed="false">
      <c r="A5876" s="8"/>
      <c r="B5876" s="8"/>
      <c r="C5876" s="8"/>
      <c r="D5876" s="8"/>
      <c r="E5876" s="8"/>
      <c r="F5876" s="8"/>
      <c r="G5876" s="10" t="str">
        <f aca="false">IF($A5876="","",UPPER(SUBSTITUTE(SUBSTITUTE(SUBSTITUTE(SUBSTITUTE($A5876," ",""),"(주)",""),"주식회사",""),"㈜","")))</f>
        <v/>
      </c>
      <c r="H5876" s="10" t="str">
        <f aca="false">IF($B5876="","",SUBSTITUTE(SUBSTITUTE(SUBSTITUTE($B5876,"-","")," ",""),".",""))</f>
        <v/>
      </c>
      <c r="I5876" s="10" t="str">
        <f aca="false">IF($D5876="","",SUBSTITUTE(SUBSTITUTE(SUBSTITUTE($D5876,"-","")," ",""),".",""))</f>
        <v/>
      </c>
      <c r="J5876" s="10" t="str">
        <f aca="false">IF($E5876="","",UPPER(SUBSTITUTE($E5876," ","")))</f>
        <v/>
      </c>
      <c r="K5876" s="10" t="str">
        <f aca="false">IF($A5876="","",$G5876&amp;"|"&amp;$J5876)</f>
        <v/>
      </c>
      <c r="L5876" s="10" t="str">
        <f aca="false">IF($A5876="","",ROW()-2)</f>
        <v/>
      </c>
      <c r="M5876" s="10" t="str">
        <f aca="false">IF($A5876="","",ROW())</f>
        <v/>
      </c>
    </row>
    <row r="5877" customFormat="false" ht="15" hidden="false" customHeight="true" outlineLevel="0" collapsed="false">
      <c r="A5877" s="8"/>
      <c r="B5877" s="8"/>
      <c r="C5877" s="8"/>
      <c r="D5877" s="8"/>
      <c r="E5877" s="8"/>
      <c r="F5877" s="8"/>
      <c r="G5877" s="10" t="str">
        <f aca="false">IF($A5877="","",UPPER(SUBSTITUTE(SUBSTITUTE(SUBSTITUTE(SUBSTITUTE($A5877," ",""),"(주)",""),"주식회사",""),"㈜","")))</f>
        <v/>
      </c>
      <c r="H5877" s="10" t="str">
        <f aca="false">IF($B5877="","",SUBSTITUTE(SUBSTITUTE(SUBSTITUTE($B5877,"-","")," ",""),".",""))</f>
        <v/>
      </c>
      <c r="I5877" s="10" t="str">
        <f aca="false">IF($D5877="","",SUBSTITUTE(SUBSTITUTE(SUBSTITUTE($D5877,"-","")," ",""),".",""))</f>
        <v/>
      </c>
      <c r="J5877" s="10" t="str">
        <f aca="false">IF($E5877="","",UPPER(SUBSTITUTE($E5877," ","")))</f>
        <v/>
      </c>
      <c r="K5877" s="10" t="str">
        <f aca="false">IF($A5877="","",$G5877&amp;"|"&amp;$J5877)</f>
        <v/>
      </c>
      <c r="L5877" s="10" t="str">
        <f aca="false">IF($A5877="","",ROW()-2)</f>
        <v/>
      </c>
      <c r="M5877" s="10" t="str">
        <f aca="false">IF($A5877="","",ROW())</f>
        <v/>
      </c>
    </row>
    <row r="5878" customFormat="false" ht="15" hidden="false" customHeight="true" outlineLevel="0" collapsed="false">
      <c r="A5878" s="8"/>
      <c r="B5878" s="8"/>
      <c r="C5878" s="8"/>
      <c r="D5878" s="8"/>
      <c r="E5878" s="8"/>
      <c r="F5878" s="8"/>
      <c r="G5878" s="10" t="str">
        <f aca="false">IF($A5878="","",UPPER(SUBSTITUTE(SUBSTITUTE(SUBSTITUTE(SUBSTITUTE($A5878," ",""),"(주)",""),"주식회사",""),"㈜","")))</f>
        <v/>
      </c>
      <c r="H5878" s="10" t="str">
        <f aca="false">IF($B5878="","",SUBSTITUTE(SUBSTITUTE(SUBSTITUTE($B5878,"-","")," ",""),".",""))</f>
        <v/>
      </c>
      <c r="I5878" s="10" t="str">
        <f aca="false">IF($D5878="","",SUBSTITUTE(SUBSTITUTE(SUBSTITUTE($D5878,"-","")," ",""),".",""))</f>
        <v/>
      </c>
      <c r="J5878" s="10" t="str">
        <f aca="false">IF($E5878="","",UPPER(SUBSTITUTE($E5878," ","")))</f>
        <v/>
      </c>
      <c r="K5878" s="10" t="str">
        <f aca="false">IF($A5878="","",$G5878&amp;"|"&amp;$J5878)</f>
        <v/>
      </c>
      <c r="L5878" s="10" t="str">
        <f aca="false">IF($A5878="","",ROW()-2)</f>
        <v/>
      </c>
      <c r="M5878" s="10" t="str">
        <f aca="false">IF($A5878="","",ROW())</f>
        <v/>
      </c>
    </row>
    <row r="5879" customFormat="false" ht="15" hidden="false" customHeight="true" outlineLevel="0" collapsed="false">
      <c r="A5879" s="8"/>
      <c r="B5879" s="8"/>
      <c r="C5879" s="8"/>
      <c r="D5879" s="8"/>
      <c r="E5879" s="8"/>
      <c r="F5879" s="8"/>
      <c r="G5879" s="10" t="str">
        <f aca="false">IF($A5879="","",UPPER(SUBSTITUTE(SUBSTITUTE(SUBSTITUTE(SUBSTITUTE($A5879," ",""),"(주)",""),"주식회사",""),"㈜","")))</f>
        <v/>
      </c>
      <c r="H5879" s="10" t="str">
        <f aca="false">IF($B5879="","",SUBSTITUTE(SUBSTITUTE(SUBSTITUTE($B5879,"-","")," ",""),".",""))</f>
        <v/>
      </c>
      <c r="I5879" s="10" t="str">
        <f aca="false">IF($D5879="","",SUBSTITUTE(SUBSTITUTE(SUBSTITUTE($D5879,"-","")," ",""),".",""))</f>
        <v/>
      </c>
      <c r="J5879" s="10" t="str">
        <f aca="false">IF($E5879="","",UPPER(SUBSTITUTE($E5879," ","")))</f>
        <v/>
      </c>
      <c r="K5879" s="10" t="str">
        <f aca="false">IF($A5879="","",$G5879&amp;"|"&amp;$J5879)</f>
        <v/>
      </c>
      <c r="L5879" s="10" t="str">
        <f aca="false">IF($A5879="","",ROW()-2)</f>
        <v/>
      </c>
      <c r="M5879" s="10" t="str">
        <f aca="false">IF($A5879="","",ROW())</f>
        <v/>
      </c>
    </row>
    <row r="5880" customFormat="false" ht="15" hidden="false" customHeight="true" outlineLevel="0" collapsed="false">
      <c r="A5880" s="8"/>
      <c r="B5880" s="8"/>
      <c r="C5880" s="8"/>
      <c r="D5880" s="8"/>
      <c r="E5880" s="8"/>
      <c r="F5880" s="8"/>
      <c r="G5880" s="10" t="str">
        <f aca="false">IF($A5880="","",UPPER(SUBSTITUTE(SUBSTITUTE(SUBSTITUTE(SUBSTITUTE($A5880," ",""),"(주)",""),"주식회사",""),"㈜","")))</f>
        <v/>
      </c>
      <c r="H5880" s="10" t="str">
        <f aca="false">IF($B5880="","",SUBSTITUTE(SUBSTITUTE(SUBSTITUTE($B5880,"-","")," ",""),".",""))</f>
        <v/>
      </c>
      <c r="I5880" s="10" t="str">
        <f aca="false">IF($D5880="","",SUBSTITUTE(SUBSTITUTE(SUBSTITUTE($D5880,"-","")," ",""),".",""))</f>
        <v/>
      </c>
      <c r="J5880" s="10" t="str">
        <f aca="false">IF($E5880="","",UPPER(SUBSTITUTE($E5880," ","")))</f>
        <v/>
      </c>
      <c r="K5880" s="10" t="str">
        <f aca="false">IF($A5880="","",$G5880&amp;"|"&amp;$J5880)</f>
        <v/>
      </c>
      <c r="L5880" s="10" t="str">
        <f aca="false">IF($A5880="","",ROW()-2)</f>
        <v/>
      </c>
      <c r="M5880" s="10" t="str">
        <f aca="false">IF($A5880="","",ROW())</f>
        <v/>
      </c>
    </row>
    <row r="5881" customFormat="false" ht="15" hidden="false" customHeight="true" outlineLevel="0" collapsed="false">
      <c r="A5881" s="8"/>
      <c r="B5881" s="8"/>
      <c r="C5881" s="8"/>
      <c r="D5881" s="8"/>
      <c r="E5881" s="8"/>
      <c r="F5881" s="8"/>
      <c r="G5881" s="10" t="str">
        <f aca="false">IF($A5881="","",UPPER(SUBSTITUTE(SUBSTITUTE(SUBSTITUTE(SUBSTITUTE($A5881," ",""),"(주)",""),"주식회사",""),"㈜","")))</f>
        <v/>
      </c>
      <c r="H5881" s="10" t="str">
        <f aca="false">IF($B5881="","",SUBSTITUTE(SUBSTITUTE(SUBSTITUTE($B5881,"-","")," ",""),".",""))</f>
        <v/>
      </c>
      <c r="I5881" s="10" t="str">
        <f aca="false">IF($D5881="","",SUBSTITUTE(SUBSTITUTE(SUBSTITUTE($D5881,"-","")," ",""),".",""))</f>
        <v/>
      </c>
      <c r="J5881" s="10" t="str">
        <f aca="false">IF($E5881="","",UPPER(SUBSTITUTE($E5881," ","")))</f>
        <v/>
      </c>
      <c r="K5881" s="10" t="str">
        <f aca="false">IF($A5881="","",$G5881&amp;"|"&amp;$J5881)</f>
        <v/>
      </c>
      <c r="L5881" s="10" t="str">
        <f aca="false">IF($A5881="","",ROW()-2)</f>
        <v/>
      </c>
      <c r="M5881" s="10" t="str">
        <f aca="false">IF($A5881="","",ROW())</f>
        <v/>
      </c>
    </row>
    <row r="5882" customFormat="false" ht="15" hidden="false" customHeight="true" outlineLevel="0" collapsed="false">
      <c r="A5882" s="8"/>
      <c r="B5882" s="8"/>
      <c r="C5882" s="8"/>
      <c r="D5882" s="8"/>
      <c r="E5882" s="8"/>
      <c r="F5882" s="8"/>
      <c r="G5882" s="10" t="str">
        <f aca="false">IF($A5882="","",UPPER(SUBSTITUTE(SUBSTITUTE(SUBSTITUTE(SUBSTITUTE($A5882," ",""),"(주)",""),"주식회사",""),"㈜","")))</f>
        <v/>
      </c>
      <c r="H5882" s="10" t="str">
        <f aca="false">IF($B5882="","",SUBSTITUTE(SUBSTITUTE(SUBSTITUTE($B5882,"-","")," ",""),".",""))</f>
        <v/>
      </c>
      <c r="I5882" s="10" t="str">
        <f aca="false">IF($D5882="","",SUBSTITUTE(SUBSTITUTE(SUBSTITUTE($D5882,"-","")," ",""),".",""))</f>
        <v/>
      </c>
      <c r="J5882" s="10" t="str">
        <f aca="false">IF($E5882="","",UPPER(SUBSTITUTE($E5882," ","")))</f>
        <v/>
      </c>
      <c r="K5882" s="10" t="str">
        <f aca="false">IF($A5882="","",$G5882&amp;"|"&amp;$J5882)</f>
        <v/>
      </c>
      <c r="L5882" s="10" t="str">
        <f aca="false">IF($A5882="","",ROW()-2)</f>
        <v/>
      </c>
      <c r="M5882" s="10" t="str">
        <f aca="false">IF($A5882="","",ROW())</f>
        <v/>
      </c>
    </row>
    <row r="5883" customFormat="false" ht="15" hidden="false" customHeight="true" outlineLevel="0" collapsed="false">
      <c r="A5883" s="8"/>
      <c r="B5883" s="8"/>
      <c r="C5883" s="8"/>
      <c r="D5883" s="8"/>
      <c r="E5883" s="8"/>
      <c r="F5883" s="8"/>
      <c r="G5883" s="10" t="str">
        <f aca="false">IF($A5883="","",UPPER(SUBSTITUTE(SUBSTITUTE(SUBSTITUTE(SUBSTITUTE($A5883," ",""),"(주)",""),"주식회사",""),"㈜","")))</f>
        <v/>
      </c>
      <c r="H5883" s="10" t="str">
        <f aca="false">IF($B5883="","",SUBSTITUTE(SUBSTITUTE(SUBSTITUTE($B5883,"-","")," ",""),".",""))</f>
        <v/>
      </c>
      <c r="I5883" s="10" t="str">
        <f aca="false">IF($D5883="","",SUBSTITUTE(SUBSTITUTE(SUBSTITUTE($D5883,"-","")," ",""),".",""))</f>
        <v/>
      </c>
      <c r="J5883" s="10" t="str">
        <f aca="false">IF($E5883="","",UPPER(SUBSTITUTE($E5883," ","")))</f>
        <v/>
      </c>
      <c r="K5883" s="10" t="str">
        <f aca="false">IF($A5883="","",$G5883&amp;"|"&amp;$J5883)</f>
        <v/>
      </c>
      <c r="L5883" s="10" t="str">
        <f aca="false">IF($A5883="","",ROW()-2)</f>
        <v/>
      </c>
      <c r="M5883" s="10" t="str">
        <f aca="false">IF($A5883="","",ROW())</f>
        <v/>
      </c>
    </row>
    <row r="5884" customFormat="false" ht="15" hidden="false" customHeight="true" outlineLevel="0" collapsed="false">
      <c r="A5884" s="8"/>
      <c r="B5884" s="8"/>
      <c r="C5884" s="8"/>
      <c r="D5884" s="8"/>
      <c r="E5884" s="8"/>
      <c r="F5884" s="8"/>
      <c r="G5884" s="10" t="str">
        <f aca="false">IF($A5884="","",UPPER(SUBSTITUTE(SUBSTITUTE(SUBSTITUTE(SUBSTITUTE($A5884," ",""),"(주)",""),"주식회사",""),"㈜","")))</f>
        <v/>
      </c>
      <c r="H5884" s="10" t="str">
        <f aca="false">IF($B5884="","",SUBSTITUTE(SUBSTITUTE(SUBSTITUTE($B5884,"-","")," ",""),".",""))</f>
        <v/>
      </c>
      <c r="I5884" s="10" t="str">
        <f aca="false">IF($D5884="","",SUBSTITUTE(SUBSTITUTE(SUBSTITUTE($D5884,"-","")," ",""),".",""))</f>
        <v/>
      </c>
      <c r="J5884" s="10" t="str">
        <f aca="false">IF($E5884="","",UPPER(SUBSTITUTE($E5884," ","")))</f>
        <v/>
      </c>
      <c r="K5884" s="10" t="str">
        <f aca="false">IF($A5884="","",$G5884&amp;"|"&amp;$J5884)</f>
        <v/>
      </c>
      <c r="L5884" s="10" t="str">
        <f aca="false">IF($A5884="","",ROW()-2)</f>
        <v/>
      </c>
      <c r="M5884" s="10" t="str">
        <f aca="false">IF($A5884="","",ROW())</f>
        <v/>
      </c>
    </row>
    <row r="5885" customFormat="false" ht="15" hidden="false" customHeight="true" outlineLevel="0" collapsed="false">
      <c r="A5885" s="8"/>
      <c r="B5885" s="8"/>
      <c r="C5885" s="8"/>
      <c r="D5885" s="8"/>
      <c r="E5885" s="8"/>
      <c r="F5885" s="8"/>
      <c r="G5885" s="10" t="str">
        <f aca="false">IF($A5885="","",UPPER(SUBSTITUTE(SUBSTITUTE(SUBSTITUTE(SUBSTITUTE($A5885," ",""),"(주)",""),"주식회사",""),"㈜","")))</f>
        <v/>
      </c>
      <c r="H5885" s="10" t="str">
        <f aca="false">IF($B5885="","",SUBSTITUTE(SUBSTITUTE(SUBSTITUTE($B5885,"-","")," ",""),".",""))</f>
        <v/>
      </c>
      <c r="I5885" s="10" t="str">
        <f aca="false">IF($D5885="","",SUBSTITUTE(SUBSTITUTE(SUBSTITUTE($D5885,"-","")," ",""),".",""))</f>
        <v/>
      </c>
      <c r="J5885" s="10" t="str">
        <f aca="false">IF($E5885="","",UPPER(SUBSTITUTE($E5885," ","")))</f>
        <v/>
      </c>
      <c r="K5885" s="10" t="str">
        <f aca="false">IF($A5885="","",$G5885&amp;"|"&amp;$J5885)</f>
        <v/>
      </c>
      <c r="L5885" s="10" t="str">
        <f aca="false">IF($A5885="","",ROW()-2)</f>
        <v/>
      </c>
      <c r="M5885" s="10" t="str">
        <f aca="false">IF($A5885="","",ROW())</f>
        <v/>
      </c>
    </row>
    <row r="5886" customFormat="false" ht="15" hidden="false" customHeight="true" outlineLevel="0" collapsed="false">
      <c r="A5886" s="8"/>
      <c r="B5886" s="8"/>
      <c r="C5886" s="8"/>
      <c r="D5886" s="8"/>
      <c r="E5886" s="8"/>
      <c r="F5886" s="8"/>
      <c r="G5886" s="10" t="str">
        <f aca="false">IF($A5886="","",UPPER(SUBSTITUTE(SUBSTITUTE(SUBSTITUTE(SUBSTITUTE($A5886," ",""),"(주)",""),"주식회사",""),"㈜","")))</f>
        <v/>
      </c>
      <c r="H5886" s="10" t="str">
        <f aca="false">IF($B5886="","",SUBSTITUTE(SUBSTITUTE(SUBSTITUTE($B5886,"-","")," ",""),".",""))</f>
        <v/>
      </c>
      <c r="I5886" s="10" t="str">
        <f aca="false">IF($D5886="","",SUBSTITUTE(SUBSTITUTE(SUBSTITUTE($D5886,"-","")," ",""),".",""))</f>
        <v/>
      </c>
      <c r="J5886" s="10" t="str">
        <f aca="false">IF($E5886="","",UPPER(SUBSTITUTE($E5886," ","")))</f>
        <v/>
      </c>
      <c r="K5886" s="10" t="str">
        <f aca="false">IF($A5886="","",$G5886&amp;"|"&amp;$J5886)</f>
        <v/>
      </c>
      <c r="L5886" s="10" t="str">
        <f aca="false">IF($A5886="","",ROW()-2)</f>
        <v/>
      </c>
      <c r="M5886" s="10" t="str">
        <f aca="false">IF($A5886="","",ROW())</f>
        <v/>
      </c>
    </row>
    <row r="5887" customFormat="false" ht="15" hidden="false" customHeight="true" outlineLevel="0" collapsed="false">
      <c r="A5887" s="8"/>
      <c r="B5887" s="8"/>
      <c r="C5887" s="8"/>
      <c r="D5887" s="8"/>
      <c r="E5887" s="8"/>
      <c r="F5887" s="8"/>
      <c r="G5887" s="10" t="str">
        <f aca="false">IF($A5887="","",UPPER(SUBSTITUTE(SUBSTITUTE(SUBSTITUTE(SUBSTITUTE($A5887," ",""),"(주)",""),"주식회사",""),"㈜","")))</f>
        <v/>
      </c>
      <c r="H5887" s="10" t="str">
        <f aca="false">IF($B5887="","",SUBSTITUTE(SUBSTITUTE(SUBSTITUTE($B5887,"-","")," ",""),".",""))</f>
        <v/>
      </c>
      <c r="I5887" s="10" t="str">
        <f aca="false">IF($D5887="","",SUBSTITUTE(SUBSTITUTE(SUBSTITUTE($D5887,"-","")," ",""),".",""))</f>
        <v/>
      </c>
      <c r="J5887" s="10" t="str">
        <f aca="false">IF($E5887="","",UPPER(SUBSTITUTE($E5887," ","")))</f>
        <v/>
      </c>
      <c r="K5887" s="10" t="str">
        <f aca="false">IF($A5887="","",$G5887&amp;"|"&amp;$J5887)</f>
        <v/>
      </c>
      <c r="L5887" s="10" t="str">
        <f aca="false">IF($A5887="","",ROW()-2)</f>
        <v/>
      </c>
      <c r="M5887" s="10" t="str">
        <f aca="false">IF($A5887="","",ROW())</f>
        <v/>
      </c>
    </row>
    <row r="5888" customFormat="false" ht="15" hidden="false" customHeight="true" outlineLevel="0" collapsed="false">
      <c r="A5888" s="8"/>
      <c r="B5888" s="8"/>
      <c r="C5888" s="8"/>
      <c r="D5888" s="8"/>
      <c r="E5888" s="8"/>
      <c r="F5888" s="8"/>
      <c r="G5888" s="10" t="str">
        <f aca="false">IF($A5888="","",UPPER(SUBSTITUTE(SUBSTITUTE(SUBSTITUTE(SUBSTITUTE($A5888," ",""),"(주)",""),"주식회사",""),"㈜","")))</f>
        <v/>
      </c>
      <c r="H5888" s="10" t="str">
        <f aca="false">IF($B5888="","",SUBSTITUTE(SUBSTITUTE(SUBSTITUTE($B5888,"-","")," ",""),".",""))</f>
        <v/>
      </c>
      <c r="I5888" s="10" t="str">
        <f aca="false">IF($D5888="","",SUBSTITUTE(SUBSTITUTE(SUBSTITUTE($D5888,"-","")," ",""),".",""))</f>
        <v/>
      </c>
      <c r="J5888" s="10" t="str">
        <f aca="false">IF($E5888="","",UPPER(SUBSTITUTE($E5888," ","")))</f>
        <v/>
      </c>
      <c r="K5888" s="10" t="str">
        <f aca="false">IF($A5888="","",$G5888&amp;"|"&amp;$J5888)</f>
        <v/>
      </c>
      <c r="L5888" s="10" t="str">
        <f aca="false">IF($A5888="","",ROW()-2)</f>
        <v/>
      </c>
      <c r="M5888" s="10" t="str">
        <f aca="false">IF($A5888="","",ROW())</f>
        <v/>
      </c>
    </row>
    <row r="5889" customFormat="false" ht="15" hidden="false" customHeight="true" outlineLevel="0" collapsed="false">
      <c r="A5889" s="8"/>
      <c r="B5889" s="8"/>
      <c r="C5889" s="8"/>
      <c r="D5889" s="8"/>
      <c r="E5889" s="8"/>
      <c r="F5889" s="8"/>
      <c r="G5889" s="10" t="str">
        <f aca="false">IF($A5889="","",UPPER(SUBSTITUTE(SUBSTITUTE(SUBSTITUTE(SUBSTITUTE($A5889," ",""),"(주)",""),"주식회사",""),"㈜","")))</f>
        <v/>
      </c>
      <c r="H5889" s="10" t="str">
        <f aca="false">IF($B5889="","",SUBSTITUTE(SUBSTITUTE(SUBSTITUTE($B5889,"-","")," ",""),".",""))</f>
        <v/>
      </c>
      <c r="I5889" s="10" t="str">
        <f aca="false">IF($D5889="","",SUBSTITUTE(SUBSTITUTE(SUBSTITUTE($D5889,"-","")," ",""),".",""))</f>
        <v/>
      </c>
      <c r="J5889" s="10" t="str">
        <f aca="false">IF($E5889="","",UPPER(SUBSTITUTE($E5889," ","")))</f>
        <v/>
      </c>
      <c r="K5889" s="10" t="str">
        <f aca="false">IF($A5889="","",$G5889&amp;"|"&amp;$J5889)</f>
        <v/>
      </c>
      <c r="L5889" s="10" t="str">
        <f aca="false">IF($A5889="","",ROW()-2)</f>
        <v/>
      </c>
      <c r="M5889" s="10" t="str">
        <f aca="false">IF($A5889="","",ROW())</f>
        <v/>
      </c>
    </row>
    <row r="5890" customFormat="false" ht="15" hidden="false" customHeight="true" outlineLevel="0" collapsed="false">
      <c r="A5890" s="8"/>
      <c r="B5890" s="8"/>
      <c r="C5890" s="8"/>
      <c r="D5890" s="8"/>
      <c r="E5890" s="8"/>
      <c r="F5890" s="8"/>
      <c r="G5890" s="10" t="str">
        <f aca="false">IF($A5890="","",UPPER(SUBSTITUTE(SUBSTITUTE(SUBSTITUTE(SUBSTITUTE($A5890," ",""),"(주)",""),"주식회사",""),"㈜","")))</f>
        <v/>
      </c>
      <c r="H5890" s="10" t="str">
        <f aca="false">IF($B5890="","",SUBSTITUTE(SUBSTITUTE(SUBSTITUTE($B5890,"-","")," ",""),".",""))</f>
        <v/>
      </c>
      <c r="I5890" s="10" t="str">
        <f aca="false">IF($D5890="","",SUBSTITUTE(SUBSTITUTE(SUBSTITUTE($D5890,"-","")," ",""),".",""))</f>
        <v/>
      </c>
      <c r="J5890" s="10" t="str">
        <f aca="false">IF($E5890="","",UPPER(SUBSTITUTE($E5890," ","")))</f>
        <v/>
      </c>
      <c r="K5890" s="10" t="str">
        <f aca="false">IF($A5890="","",$G5890&amp;"|"&amp;$J5890)</f>
        <v/>
      </c>
      <c r="L5890" s="10" t="str">
        <f aca="false">IF($A5890="","",ROW()-2)</f>
        <v/>
      </c>
      <c r="M5890" s="10" t="str">
        <f aca="false">IF($A5890="","",ROW())</f>
        <v/>
      </c>
    </row>
    <row r="5891" customFormat="false" ht="15" hidden="false" customHeight="true" outlineLevel="0" collapsed="false">
      <c r="A5891" s="8"/>
      <c r="B5891" s="8"/>
      <c r="C5891" s="8"/>
      <c r="D5891" s="8"/>
      <c r="E5891" s="8"/>
      <c r="F5891" s="8"/>
      <c r="G5891" s="10" t="str">
        <f aca="false">IF($A5891="","",UPPER(SUBSTITUTE(SUBSTITUTE(SUBSTITUTE(SUBSTITUTE($A5891," ",""),"(주)",""),"주식회사",""),"㈜","")))</f>
        <v/>
      </c>
      <c r="H5891" s="10" t="str">
        <f aca="false">IF($B5891="","",SUBSTITUTE(SUBSTITUTE(SUBSTITUTE($B5891,"-","")," ",""),".",""))</f>
        <v/>
      </c>
      <c r="I5891" s="10" t="str">
        <f aca="false">IF($D5891="","",SUBSTITUTE(SUBSTITUTE(SUBSTITUTE($D5891,"-","")," ",""),".",""))</f>
        <v/>
      </c>
      <c r="J5891" s="10" t="str">
        <f aca="false">IF($E5891="","",UPPER(SUBSTITUTE($E5891," ","")))</f>
        <v/>
      </c>
      <c r="K5891" s="10" t="str">
        <f aca="false">IF($A5891="","",$G5891&amp;"|"&amp;$J5891)</f>
        <v/>
      </c>
      <c r="L5891" s="10" t="str">
        <f aca="false">IF($A5891="","",ROW()-2)</f>
        <v/>
      </c>
      <c r="M5891" s="10" t="str">
        <f aca="false">IF($A5891="","",ROW())</f>
        <v/>
      </c>
    </row>
    <row r="5892" customFormat="false" ht="15" hidden="false" customHeight="true" outlineLevel="0" collapsed="false">
      <c r="A5892" s="8"/>
      <c r="B5892" s="8"/>
      <c r="C5892" s="8"/>
      <c r="D5892" s="8"/>
      <c r="E5892" s="8"/>
      <c r="F5892" s="8"/>
      <c r="G5892" s="10" t="str">
        <f aca="false">IF($A5892="","",UPPER(SUBSTITUTE(SUBSTITUTE(SUBSTITUTE(SUBSTITUTE($A5892," ",""),"(주)",""),"주식회사",""),"㈜","")))</f>
        <v/>
      </c>
      <c r="H5892" s="10" t="str">
        <f aca="false">IF($B5892="","",SUBSTITUTE(SUBSTITUTE(SUBSTITUTE($B5892,"-","")," ",""),".",""))</f>
        <v/>
      </c>
      <c r="I5892" s="10" t="str">
        <f aca="false">IF($D5892="","",SUBSTITUTE(SUBSTITUTE(SUBSTITUTE($D5892,"-","")," ",""),".",""))</f>
        <v/>
      </c>
      <c r="J5892" s="10" t="str">
        <f aca="false">IF($E5892="","",UPPER(SUBSTITUTE($E5892," ","")))</f>
        <v/>
      </c>
      <c r="K5892" s="10" t="str">
        <f aca="false">IF($A5892="","",$G5892&amp;"|"&amp;$J5892)</f>
        <v/>
      </c>
      <c r="L5892" s="10" t="str">
        <f aca="false">IF($A5892="","",ROW()-2)</f>
        <v/>
      </c>
      <c r="M5892" s="10" t="str">
        <f aca="false">IF($A5892="","",ROW())</f>
        <v/>
      </c>
    </row>
    <row r="5893" customFormat="false" ht="15" hidden="false" customHeight="true" outlineLevel="0" collapsed="false">
      <c r="A5893" s="8"/>
      <c r="B5893" s="8"/>
      <c r="C5893" s="8"/>
      <c r="D5893" s="8"/>
      <c r="E5893" s="8"/>
      <c r="F5893" s="8"/>
      <c r="G5893" s="10" t="str">
        <f aca="false">IF($A5893="","",UPPER(SUBSTITUTE(SUBSTITUTE(SUBSTITUTE(SUBSTITUTE($A5893," ",""),"(주)",""),"주식회사",""),"㈜","")))</f>
        <v/>
      </c>
      <c r="H5893" s="10" t="str">
        <f aca="false">IF($B5893="","",SUBSTITUTE(SUBSTITUTE(SUBSTITUTE($B5893,"-","")," ",""),".",""))</f>
        <v/>
      </c>
      <c r="I5893" s="10" t="str">
        <f aca="false">IF($D5893="","",SUBSTITUTE(SUBSTITUTE(SUBSTITUTE($D5893,"-","")," ",""),".",""))</f>
        <v/>
      </c>
      <c r="J5893" s="10" t="str">
        <f aca="false">IF($E5893="","",UPPER(SUBSTITUTE($E5893," ","")))</f>
        <v/>
      </c>
      <c r="K5893" s="10" t="str">
        <f aca="false">IF($A5893="","",$G5893&amp;"|"&amp;$J5893)</f>
        <v/>
      </c>
      <c r="L5893" s="10" t="str">
        <f aca="false">IF($A5893="","",ROW()-2)</f>
        <v/>
      </c>
      <c r="M5893" s="10" t="str">
        <f aca="false">IF($A5893="","",ROW())</f>
        <v/>
      </c>
    </row>
    <row r="5894" customFormat="false" ht="15" hidden="false" customHeight="true" outlineLevel="0" collapsed="false">
      <c r="A5894" s="8"/>
      <c r="B5894" s="8"/>
      <c r="C5894" s="8"/>
      <c r="D5894" s="8"/>
      <c r="E5894" s="8"/>
      <c r="F5894" s="8"/>
      <c r="G5894" s="10" t="str">
        <f aca="false">IF($A5894="","",UPPER(SUBSTITUTE(SUBSTITUTE(SUBSTITUTE(SUBSTITUTE($A5894," ",""),"(주)",""),"주식회사",""),"㈜","")))</f>
        <v/>
      </c>
      <c r="H5894" s="10" t="str">
        <f aca="false">IF($B5894="","",SUBSTITUTE(SUBSTITUTE(SUBSTITUTE($B5894,"-","")," ",""),".",""))</f>
        <v/>
      </c>
      <c r="I5894" s="10" t="str">
        <f aca="false">IF($D5894="","",SUBSTITUTE(SUBSTITUTE(SUBSTITUTE($D5894,"-","")," ",""),".",""))</f>
        <v/>
      </c>
      <c r="J5894" s="10" t="str">
        <f aca="false">IF($E5894="","",UPPER(SUBSTITUTE($E5894," ","")))</f>
        <v/>
      </c>
      <c r="K5894" s="10" t="str">
        <f aca="false">IF($A5894="","",$G5894&amp;"|"&amp;$J5894)</f>
        <v/>
      </c>
      <c r="L5894" s="10" t="str">
        <f aca="false">IF($A5894="","",ROW()-2)</f>
        <v/>
      </c>
      <c r="M5894" s="10" t="str">
        <f aca="false">IF($A5894="","",ROW())</f>
        <v/>
      </c>
    </row>
    <row r="5895" customFormat="false" ht="15" hidden="false" customHeight="true" outlineLevel="0" collapsed="false">
      <c r="A5895" s="8"/>
      <c r="B5895" s="8"/>
      <c r="C5895" s="8"/>
      <c r="D5895" s="8"/>
      <c r="E5895" s="8"/>
      <c r="F5895" s="8"/>
      <c r="G5895" s="10" t="str">
        <f aca="false">IF($A5895="","",UPPER(SUBSTITUTE(SUBSTITUTE(SUBSTITUTE(SUBSTITUTE($A5895," ",""),"(주)",""),"주식회사",""),"㈜","")))</f>
        <v/>
      </c>
      <c r="H5895" s="10" t="str">
        <f aca="false">IF($B5895="","",SUBSTITUTE(SUBSTITUTE(SUBSTITUTE($B5895,"-","")," ",""),".",""))</f>
        <v/>
      </c>
      <c r="I5895" s="10" t="str">
        <f aca="false">IF($D5895="","",SUBSTITUTE(SUBSTITUTE(SUBSTITUTE($D5895,"-","")," ",""),".",""))</f>
        <v/>
      </c>
      <c r="J5895" s="10" t="str">
        <f aca="false">IF($E5895="","",UPPER(SUBSTITUTE($E5895," ","")))</f>
        <v/>
      </c>
      <c r="K5895" s="10" t="str">
        <f aca="false">IF($A5895="","",$G5895&amp;"|"&amp;$J5895)</f>
        <v/>
      </c>
      <c r="L5895" s="10" t="str">
        <f aca="false">IF($A5895="","",ROW()-2)</f>
        <v/>
      </c>
      <c r="M5895" s="10" t="str">
        <f aca="false">IF($A5895="","",ROW())</f>
        <v/>
      </c>
    </row>
    <row r="5896" customFormat="false" ht="15" hidden="false" customHeight="true" outlineLevel="0" collapsed="false">
      <c r="A5896" s="8"/>
      <c r="B5896" s="8"/>
      <c r="C5896" s="8"/>
      <c r="D5896" s="8"/>
      <c r="E5896" s="8"/>
      <c r="F5896" s="8"/>
      <c r="G5896" s="10" t="str">
        <f aca="false">IF($A5896="","",UPPER(SUBSTITUTE(SUBSTITUTE(SUBSTITUTE(SUBSTITUTE($A5896," ",""),"(주)",""),"주식회사",""),"㈜","")))</f>
        <v/>
      </c>
      <c r="H5896" s="10" t="str">
        <f aca="false">IF($B5896="","",SUBSTITUTE(SUBSTITUTE(SUBSTITUTE($B5896,"-","")," ",""),".",""))</f>
        <v/>
      </c>
      <c r="I5896" s="10" t="str">
        <f aca="false">IF($D5896="","",SUBSTITUTE(SUBSTITUTE(SUBSTITUTE($D5896,"-","")," ",""),".",""))</f>
        <v/>
      </c>
      <c r="J5896" s="10" t="str">
        <f aca="false">IF($E5896="","",UPPER(SUBSTITUTE($E5896," ","")))</f>
        <v/>
      </c>
      <c r="K5896" s="10" t="str">
        <f aca="false">IF($A5896="","",$G5896&amp;"|"&amp;$J5896)</f>
        <v/>
      </c>
      <c r="L5896" s="10" t="str">
        <f aca="false">IF($A5896="","",ROW()-2)</f>
        <v/>
      </c>
      <c r="M5896" s="10" t="str">
        <f aca="false">IF($A5896="","",ROW())</f>
        <v/>
      </c>
    </row>
    <row r="5897" customFormat="false" ht="15" hidden="false" customHeight="true" outlineLevel="0" collapsed="false">
      <c r="A5897" s="8"/>
      <c r="B5897" s="8"/>
      <c r="C5897" s="8"/>
      <c r="D5897" s="8"/>
      <c r="E5897" s="8"/>
      <c r="F5897" s="8"/>
      <c r="G5897" s="10" t="str">
        <f aca="false">IF($A5897="","",UPPER(SUBSTITUTE(SUBSTITUTE(SUBSTITUTE(SUBSTITUTE($A5897," ",""),"(주)",""),"주식회사",""),"㈜","")))</f>
        <v/>
      </c>
      <c r="H5897" s="10" t="str">
        <f aca="false">IF($B5897="","",SUBSTITUTE(SUBSTITUTE(SUBSTITUTE($B5897,"-","")," ",""),".",""))</f>
        <v/>
      </c>
      <c r="I5897" s="10" t="str">
        <f aca="false">IF($D5897="","",SUBSTITUTE(SUBSTITUTE(SUBSTITUTE($D5897,"-","")," ",""),".",""))</f>
        <v/>
      </c>
      <c r="J5897" s="10" t="str">
        <f aca="false">IF($E5897="","",UPPER(SUBSTITUTE($E5897," ","")))</f>
        <v/>
      </c>
      <c r="K5897" s="10" t="str">
        <f aca="false">IF($A5897="","",$G5897&amp;"|"&amp;$J5897)</f>
        <v/>
      </c>
      <c r="L5897" s="10" t="str">
        <f aca="false">IF($A5897="","",ROW()-2)</f>
        <v/>
      </c>
      <c r="M5897" s="10" t="str">
        <f aca="false">IF($A5897="","",ROW())</f>
        <v/>
      </c>
    </row>
    <row r="5898" customFormat="false" ht="15" hidden="false" customHeight="true" outlineLevel="0" collapsed="false">
      <c r="A5898" s="8"/>
      <c r="B5898" s="8"/>
      <c r="C5898" s="8"/>
      <c r="D5898" s="8"/>
      <c r="E5898" s="8"/>
      <c r="F5898" s="8"/>
      <c r="G5898" s="10" t="str">
        <f aca="false">IF($A5898="","",UPPER(SUBSTITUTE(SUBSTITUTE(SUBSTITUTE(SUBSTITUTE($A5898," ",""),"(주)",""),"주식회사",""),"㈜","")))</f>
        <v/>
      </c>
      <c r="H5898" s="10" t="str">
        <f aca="false">IF($B5898="","",SUBSTITUTE(SUBSTITUTE(SUBSTITUTE($B5898,"-","")," ",""),".",""))</f>
        <v/>
      </c>
      <c r="I5898" s="10" t="str">
        <f aca="false">IF($D5898="","",SUBSTITUTE(SUBSTITUTE(SUBSTITUTE($D5898,"-","")," ",""),".",""))</f>
        <v/>
      </c>
      <c r="J5898" s="10" t="str">
        <f aca="false">IF($E5898="","",UPPER(SUBSTITUTE($E5898," ","")))</f>
        <v/>
      </c>
      <c r="K5898" s="10" t="str">
        <f aca="false">IF($A5898="","",$G5898&amp;"|"&amp;$J5898)</f>
        <v/>
      </c>
      <c r="L5898" s="10" t="str">
        <f aca="false">IF($A5898="","",ROW()-2)</f>
        <v/>
      </c>
      <c r="M5898" s="10" t="str">
        <f aca="false">IF($A5898="","",ROW())</f>
        <v/>
      </c>
    </row>
    <row r="5899" customFormat="false" ht="15" hidden="false" customHeight="true" outlineLevel="0" collapsed="false">
      <c r="A5899" s="8"/>
      <c r="B5899" s="8"/>
      <c r="C5899" s="8"/>
      <c r="D5899" s="8"/>
      <c r="E5899" s="8"/>
      <c r="F5899" s="8"/>
      <c r="G5899" s="10" t="str">
        <f aca="false">IF($A5899="","",UPPER(SUBSTITUTE(SUBSTITUTE(SUBSTITUTE(SUBSTITUTE($A5899," ",""),"(주)",""),"주식회사",""),"㈜","")))</f>
        <v/>
      </c>
      <c r="H5899" s="10" t="str">
        <f aca="false">IF($B5899="","",SUBSTITUTE(SUBSTITUTE(SUBSTITUTE($B5899,"-","")," ",""),".",""))</f>
        <v/>
      </c>
      <c r="I5899" s="10" t="str">
        <f aca="false">IF($D5899="","",SUBSTITUTE(SUBSTITUTE(SUBSTITUTE($D5899,"-","")," ",""),".",""))</f>
        <v/>
      </c>
      <c r="J5899" s="10" t="str">
        <f aca="false">IF($E5899="","",UPPER(SUBSTITUTE($E5899," ","")))</f>
        <v/>
      </c>
      <c r="K5899" s="10" t="str">
        <f aca="false">IF($A5899="","",$G5899&amp;"|"&amp;$J5899)</f>
        <v/>
      </c>
      <c r="L5899" s="10" t="str">
        <f aca="false">IF($A5899="","",ROW()-2)</f>
        <v/>
      </c>
      <c r="M5899" s="10" t="str">
        <f aca="false">IF($A5899="","",ROW())</f>
        <v/>
      </c>
    </row>
    <row r="5900" customFormat="false" ht="15" hidden="false" customHeight="true" outlineLevel="0" collapsed="false">
      <c r="A5900" s="8"/>
      <c r="B5900" s="8"/>
      <c r="C5900" s="8"/>
      <c r="D5900" s="8"/>
      <c r="E5900" s="8"/>
      <c r="F5900" s="8"/>
      <c r="G5900" s="10" t="str">
        <f aca="false">IF($A5900="","",UPPER(SUBSTITUTE(SUBSTITUTE(SUBSTITUTE(SUBSTITUTE($A5900," ",""),"(주)",""),"주식회사",""),"㈜","")))</f>
        <v/>
      </c>
      <c r="H5900" s="10" t="str">
        <f aca="false">IF($B5900="","",SUBSTITUTE(SUBSTITUTE(SUBSTITUTE($B5900,"-","")," ",""),".",""))</f>
        <v/>
      </c>
      <c r="I5900" s="10" t="str">
        <f aca="false">IF($D5900="","",SUBSTITUTE(SUBSTITUTE(SUBSTITUTE($D5900,"-","")," ",""),".",""))</f>
        <v/>
      </c>
      <c r="J5900" s="10" t="str">
        <f aca="false">IF($E5900="","",UPPER(SUBSTITUTE($E5900," ","")))</f>
        <v/>
      </c>
      <c r="K5900" s="10" t="str">
        <f aca="false">IF($A5900="","",$G5900&amp;"|"&amp;$J5900)</f>
        <v/>
      </c>
      <c r="L5900" s="10" t="str">
        <f aca="false">IF($A5900="","",ROW()-2)</f>
        <v/>
      </c>
      <c r="M5900" s="10" t="str">
        <f aca="false">IF($A5900="","",ROW())</f>
        <v/>
      </c>
    </row>
    <row r="5901" customFormat="false" ht="15" hidden="false" customHeight="true" outlineLevel="0" collapsed="false">
      <c r="A5901" s="8"/>
      <c r="B5901" s="8"/>
      <c r="C5901" s="8"/>
      <c r="D5901" s="8"/>
      <c r="E5901" s="8"/>
      <c r="F5901" s="8"/>
      <c r="G5901" s="10" t="str">
        <f aca="false">IF($A5901="","",UPPER(SUBSTITUTE(SUBSTITUTE(SUBSTITUTE(SUBSTITUTE($A5901," ",""),"(주)",""),"주식회사",""),"㈜","")))</f>
        <v/>
      </c>
      <c r="H5901" s="10" t="str">
        <f aca="false">IF($B5901="","",SUBSTITUTE(SUBSTITUTE(SUBSTITUTE($B5901,"-","")," ",""),".",""))</f>
        <v/>
      </c>
      <c r="I5901" s="10" t="str">
        <f aca="false">IF($D5901="","",SUBSTITUTE(SUBSTITUTE(SUBSTITUTE($D5901,"-","")," ",""),".",""))</f>
        <v/>
      </c>
      <c r="J5901" s="10" t="str">
        <f aca="false">IF($E5901="","",UPPER(SUBSTITUTE($E5901," ","")))</f>
        <v/>
      </c>
      <c r="K5901" s="10" t="str">
        <f aca="false">IF($A5901="","",$G5901&amp;"|"&amp;$J5901)</f>
        <v/>
      </c>
      <c r="L5901" s="10" t="str">
        <f aca="false">IF($A5901="","",ROW()-2)</f>
        <v/>
      </c>
      <c r="M5901" s="10" t="str">
        <f aca="false">IF($A5901="","",ROW())</f>
        <v/>
      </c>
    </row>
    <row r="5902" customFormat="false" ht="15" hidden="false" customHeight="true" outlineLevel="0" collapsed="false">
      <c r="A5902" s="8"/>
      <c r="B5902" s="8"/>
      <c r="C5902" s="8"/>
      <c r="D5902" s="8"/>
      <c r="E5902" s="8"/>
      <c r="F5902" s="8"/>
      <c r="G5902" s="10" t="str">
        <f aca="false">IF($A5902="","",UPPER(SUBSTITUTE(SUBSTITUTE(SUBSTITUTE(SUBSTITUTE($A5902," ",""),"(주)",""),"주식회사",""),"㈜","")))</f>
        <v/>
      </c>
      <c r="H5902" s="10" t="str">
        <f aca="false">IF($B5902="","",SUBSTITUTE(SUBSTITUTE(SUBSTITUTE($B5902,"-","")," ",""),".",""))</f>
        <v/>
      </c>
      <c r="I5902" s="10" t="str">
        <f aca="false">IF($D5902="","",SUBSTITUTE(SUBSTITUTE(SUBSTITUTE($D5902,"-","")," ",""),".",""))</f>
        <v/>
      </c>
      <c r="J5902" s="10" t="str">
        <f aca="false">IF($E5902="","",UPPER(SUBSTITUTE($E5902," ","")))</f>
        <v/>
      </c>
      <c r="K5902" s="10" t="str">
        <f aca="false">IF($A5902="","",$G5902&amp;"|"&amp;$J5902)</f>
        <v/>
      </c>
      <c r="L5902" s="10" t="str">
        <f aca="false">IF($A5902="","",ROW()-2)</f>
        <v/>
      </c>
      <c r="M5902" s="10" t="str">
        <f aca="false">IF($A5902="","",ROW())</f>
        <v/>
      </c>
    </row>
    <row r="5903" customFormat="false" ht="15" hidden="false" customHeight="true" outlineLevel="0" collapsed="false">
      <c r="A5903" s="8"/>
      <c r="B5903" s="8"/>
      <c r="C5903" s="8"/>
      <c r="D5903" s="8"/>
      <c r="E5903" s="8"/>
      <c r="F5903" s="8"/>
      <c r="G5903" s="10" t="str">
        <f aca="false">IF($A5903="","",UPPER(SUBSTITUTE(SUBSTITUTE(SUBSTITUTE(SUBSTITUTE($A5903," ",""),"(주)",""),"주식회사",""),"㈜","")))</f>
        <v/>
      </c>
      <c r="H5903" s="10" t="str">
        <f aca="false">IF($B5903="","",SUBSTITUTE(SUBSTITUTE(SUBSTITUTE($B5903,"-","")," ",""),".",""))</f>
        <v/>
      </c>
      <c r="I5903" s="10" t="str">
        <f aca="false">IF($D5903="","",SUBSTITUTE(SUBSTITUTE(SUBSTITUTE($D5903,"-","")," ",""),".",""))</f>
        <v/>
      </c>
      <c r="J5903" s="10" t="str">
        <f aca="false">IF($E5903="","",UPPER(SUBSTITUTE($E5903," ","")))</f>
        <v/>
      </c>
      <c r="K5903" s="10" t="str">
        <f aca="false">IF($A5903="","",$G5903&amp;"|"&amp;$J5903)</f>
        <v/>
      </c>
      <c r="L5903" s="10" t="str">
        <f aca="false">IF($A5903="","",ROW()-2)</f>
        <v/>
      </c>
      <c r="M5903" s="10" t="str">
        <f aca="false">IF($A5903="","",ROW())</f>
        <v/>
      </c>
    </row>
    <row r="5904" customFormat="false" ht="15" hidden="false" customHeight="true" outlineLevel="0" collapsed="false">
      <c r="A5904" s="8"/>
      <c r="B5904" s="8"/>
      <c r="C5904" s="8"/>
      <c r="D5904" s="8"/>
      <c r="E5904" s="8"/>
      <c r="F5904" s="8"/>
      <c r="G5904" s="10" t="str">
        <f aca="false">IF($A5904="","",UPPER(SUBSTITUTE(SUBSTITUTE(SUBSTITUTE(SUBSTITUTE($A5904," ",""),"(주)",""),"주식회사",""),"㈜","")))</f>
        <v/>
      </c>
      <c r="H5904" s="10" t="str">
        <f aca="false">IF($B5904="","",SUBSTITUTE(SUBSTITUTE(SUBSTITUTE($B5904,"-","")," ",""),".",""))</f>
        <v/>
      </c>
      <c r="I5904" s="10" t="str">
        <f aca="false">IF($D5904="","",SUBSTITUTE(SUBSTITUTE(SUBSTITUTE($D5904,"-","")," ",""),".",""))</f>
        <v/>
      </c>
      <c r="J5904" s="10" t="str">
        <f aca="false">IF($E5904="","",UPPER(SUBSTITUTE($E5904," ","")))</f>
        <v/>
      </c>
      <c r="K5904" s="10" t="str">
        <f aca="false">IF($A5904="","",$G5904&amp;"|"&amp;$J5904)</f>
        <v/>
      </c>
      <c r="L5904" s="10" t="str">
        <f aca="false">IF($A5904="","",ROW()-2)</f>
        <v/>
      </c>
      <c r="M5904" s="10" t="str">
        <f aca="false">IF($A5904="","",ROW())</f>
        <v/>
      </c>
    </row>
    <row r="5905" customFormat="false" ht="15" hidden="false" customHeight="true" outlineLevel="0" collapsed="false">
      <c r="A5905" s="8"/>
      <c r="B5905" s="8"/>
      <c r="C5905" s="8"/>
      <c r="D5905" s="8"/>
      <c r="E5905" s="8"/>
      <c r="F5905" s="8"/>
      <c r="G5905" s="10" t="str">
        <f aca="false">IF($A5905="","",UPPER(SUBSTITUTE(SUBSTITUTE(SUBSTITUTE(SUBSTITUTE($A5905," ",""),"(주)",""),"주식회사",""),"㈜","")))</f>
        <v/>
      </c>
      <c r="H5905" s="10" t="str">
        <f aca="false">IF($B5905="","",SUBSTITUTE(SUBSTITUTE(SUBSTITUTE($B5905,"-","")," ",""),".",""))</f>
        <v/>
      </c>
      <c r="I5905" s="10" t="str">
        <f aca="false">IF($D5905="","",SUBSTITUTE(SUBSTITUTE(SUBSTITUTE($D5905,"-","")," ",""),".",""))</f>
        <v/>
      </c>
      <c r="J5905" s="10" t="str">
        <f aca="false">IF($E5905="","",UPPER(SUBSTITUTE($E5905," ","")))</f>
        <v/>
      </c>
      <c r="K5905" s="10" t="str">
        <f aca="false">IF($A5905="","",$G5905&amp;"|"&amp;$J5905)</f>
        <v/>
      </c>
      <c r="L5905" s="10" t="str">
        <f aca="false">IF($A5905="","",ROW()-2)</f>
        <v/>
      </c>
      <c r="M5905" s="10" t="str">
        <f aca="false">IF($A5905="","",ROW())</f>
        <v/>
      </c>
    </row>
    <row r="5906" customFormat="false" ht="15" hidden="false" customHeight="true" outlineLevel="0" collapsed="false">
      <c r="A5906" s="8"/>
      <c r="B5906" s="8"/>
      <c r="C5906" s="8"/>
      <c r="D5906" s="8"/>
      <c r="E5906" s="8"/>
      <c r="F5906" s="8"/>
      <c r="G5906" s="10" t="str">
        <f aca="false">IF($A5906="","",UPPER(SUBSTITUTE(SUBSTITUTE(SUBSTITUTE(SUBSTITUTE($A5906," ",""),"(주)",""),"주식회사",""),"㈜","")))</f>
        <v/>
      </c>
      <c r="H5906" s="10" t="str">
        <f aca="false">IF($B5906="","",SUBSTITUTE(SUBSTITUTE(SUBSTITUTE($B5906,"-","")," ",""),".",""))</f>
        <v/>
      </c>
      <c r="I5906" s="10" t="str">
        <f aca="false">IF($D5906="","",SUBSTITUTE(SUBSTITUTE(SUBSTITUTE($D5906,"-","")," ",""),".",""))</f>
        <v/>
      </c>
      <c r="J5906" s="10" t="str">
        <f aca="false">IF($E5906="","",UPPER(SUBSTITUTE($E5906," ","")))</f>
        <v/>
      </c>
      <c r="K5906" s="10" t="str">
        <f aca="false">IF($A5906="","",$G5906&amp;"|"&amp;$J5906)</f>
        <v/>
      </c>
      <c r="L5906" s="10" t="str">
        <f aca="false">IF($A5906="","",ROW()-2)</f>
        <v/>
      </c>
      <c r="M5906" s="10" t="str">
        <f aca="false">IF($A5906="","",ROW())</f>
        <v/>
      </c>
    </row>
    <row r="5907" customFormat="false" ht="15" hidden="false" customHeight="true" outlineLevel="0" collapsed="false">
      <c r="A5907" s="8"/>
      <c r="B5907" s="8"/>
      <c r="C5907" s="8"/>
      <c r="D5907" s="8"/>
      <c r="E5907" s="8"/>
      <c r="F5907" s="8"/>
      <c r="G5907" s="10" t="str">
        <f aca="false">IF($A5907="","",UPPER(SUBSTITUTE(SUBSTITUTE(SUBSTITUTE(SUBSTITUTE($A5907," ",""),"(주)",""),"주식회사",""),"㈜","")))</f>
        <v/>
      </c>
      <c r="H5907" s="10" t="str">
        <f aca="false">IF($B5907="","",SUBSTITUTE(SUBSTITUTE(SUBSTITUTE($B5907,"-","")," ",""),".",""))</f>
        <v/>
      </c>
      <c r="I5907" s="10" t="str">
        <f aca="false">IF($D5907="","",SUBSTITUTE(SUBSTITUTE(SUBSTITUTE($D5907,"-","")," ",""),".",""))</f>
        <v/>
      </c>
      <c r="J5907" s="10" t="str">
        <f aca="false">IF($E5907="","",UPPER(SUBSTITUTE($E5907," ","")))</f>
        <v/>
      </c>
      <c r="K5907" s="10" t="str">
        <f aca="false">IF($A5907="","",$G5907&amp;"|"&amp;$J5907)</f>
        <v/>
      </c>
      <c r="L5907" s="10" t="str">
        <f aca="false">IF($A5907="","",ROW()-2)</f>
        <v/>
      </c>
      <c r="M5907" s="10" t="str">
        <f aca="false">IF($A5907="","",ROW())</f>
        <v/>
      </c>
    </row>
    <row r="5908" customFormat="false" ht="15" hidden="false" customHeight="true" outlineLevel="0" collapsed="false">
      <c r="A5908" s="8"/>
      <c r="B5908" s="8"/>
      <c r="C5908" s="8"/>
      <c r="D5908" s="8"/>
      <c r="E5908" s="8"/>
      <c r="F5908" s="8"/>
      <c r="G5908" s="10" t="str">
        <f aca="false">IF($A5908="","",UPPER(SUBSTITUTE(SUBSTITUTE(SUBSTITUTE(SUBSTITUTE($A5908," ",""),"(주)",""),"주식회사",""),"㈜","")))</f>
        <v/>
      </c>
      <c r="H5908" s="10" t="str">
        <f aca="false">IF($B5908="","",SUBSTITUTE(SUBSTITUTE(SUBSTITUTE($B5908,"-","")," ",""),".",""))</f>
        <v/>
      </c>
      <c r="I5908" s="10" t="str">
        <f aca="false">IF($D5908="","",SUBSTITUTE(SUBSTITUTE(SUBSTITUTE($D5908,"-","")," ",""),".",""))</f>
        <v/>
      </c>
      <c r="J5908" s="10" t="str">
        <f aca="false">IF($E5908="","",UPPER(SUBSTITUTE($E5908," ","")))</f>
        <v/>
      </c>
      <c r="K5908" s="10" t="str">
        <f aca="false">IF($A5908="","",$G5908&amp;"|"&amp;$J5908)</f>
        <v/>
      </c>
      <c r="L5908" s="10" t="str">
        <f aca="false">IF($A5908="","",ROW()-2)</f>
        <v/>
      </c>
      <c r="M5908" s="10" t="str">
        <f aca="false">IF($A5908="","",ROW())</f>
        <v/>
      </c>
    </row>
    <row r="5909" customFormat="false" ht="15" hidden="false" customHeight="true" outlineLevel="0" collapsed="false">
      <c r="A5909" s="8"/>
      <c r="B5909" s="8"/>
      <c r="C5909" s="8"/>
      <c r="D5909" s="8"/>
      <c r="E5909" s="8"/>
      <c r="F5909" s="8"/>
      <c r="G5909" s="10" t="str">
        <f aca="false">IF($A5909="","",UPPER(SUBSTITUTE(SUBSTITUTE(SUBSTITUTE(SUBSTITUTE($A5909," ",""),"(주)",""),"주식회사",""),"㈜","")))</f>
        <v/>
      </c>
      <c r="H5909" s="10" t="str">
        <f aca="false">IF($B5909="","",SUBSTITUTE(SUBSTITUTE(SUBSTITUTE($B5909,"-","")," ",""),".",""))</f>
        <v/>
      </c>
      <c r="I5909" s="10" t="str">
        <f aca="false">IF($D5909="","",SUBSTITUTE(SUBSTITUTE(SUBSTITUTE($D5909,"-","")," ",""),".",""))</f>
        <v/>
      </c>
      <c r="J5909" s="10" t="str">
        <f aca="false">IF($E5909="","",UPPER(SUBSTITUTE($E5909," ","")))</f>
        <v/>
      </c>
      <c r="K5909" s="10" t="str">
        <f aca="false">IF($A5909="","",$G5909&amp;"|"&amp;$J5909)</f>
        <v/>
      </c>
      <c r="L5909" s="10" t="str">
        <f aca="false">IF($A5909="","",ROW()-2)</f>
        <v/>
      </c>
      <c r="M5909" s="10" t="str">
        <f aca="false">IF($A5909="","",ROW())</f>
        <v/>
      </c>
    </row>
    <row r="5910" customFormat="false" ht="15" hidden="false" customHeight="true" outlineLevel="0" collapsed="false">
      <c r="A5910" s="8"/>
      <c r="B5910" s="8"/>
      <c r="C5910" s="8"/>
      <c r="D5910" s="8"/>
      <c r="E5910" s="8"/>
      <c r="F5910" s="8"/>
      <c r="G5910" s="10" t="str">
        <f aca="false">IF($A5910="","",UPPER(SUBSTITUTE(SUBSTITUTE(SUBSTITUTE(SUBSTITUTE($A5910," ",""),"(주)",""),"주식회사",""),"㈜","")))</f>
        <v/>
      </c>
      <c r="H5910" s="10" t="str">
        <f aca="false">IF($B5910="","",SUBSTITUTE(SUBSTITUTE(SUBSTITUTE($B5910,"-","")," ",""),".",""))</f>
        <v/>
      </c>
      <c r="I5910" s="10" t="str">
        <f aca="false">IF($D5910="","",SUBSTITUTE(SUBSTITUTE(SUBSTITUTE($D5910,"-","")," ",""),".",""))</f>
        <v/>
      </c>
      <c r="J5910" s="10" t="str">
        <f aca="false">IF($E5910="","",UPPER(SUBSTITUTE($E5910," ","")))</f>
        <v/>
      </c>
      <c r="K5910" s="10" t="str">
        <f aca="false">IF($A5910="","",$G5910&amp;"|"&amp;$J5910)</f>
        <v/>
      </c>
      <c r="L5910" s="10" t="str">
        <f aca="false">IF($A5910="","",ROW()-2)</f>
        <v/>
      </c>
      <c r="M5910" s="10" t="str">
        <f aca="false">IF($A5910="","",ROW())</f>
        <v/>
      </c>
    </row>
    <row r="5911" customFormat="false" ht="15" hidden="false" customHeight="true" outlineLevel="0" collapsed="false">
      <c r="A5911" s="8"/>
      <c r="B5911" s="8"/>
      <c r="C5911" s="8"/>
      <c r="D5911" s="8"/>
      <c r="E5911" s="8"/>
      <c r="F5911" s="8"/>
      <c r="G5911" s="10" t="str">
        <f aca="false">IF($A5911="","",UPPER(SUBSTITUTE(SUBSTITUTE(SUBSTITUTE(SUBSTITUTE($A5911," ",""),"(주)",""),"주식회사",""),"㈜","")))</f>
        <v/>
      </c>
      <c r="H5911" s="10" t="str">
        <f aca="false">IF($B5911="","",SUBSTITUTE(SUBSTITUTE(SUBSTITUTE($B5911,"-","")," ",""),".",""))</f>
        <v/>
      </c>
      <c r="I5911" s="10" t="str">
        <f aca="false">IF($D5911="","",SUBSTITUTE(SUBSTITUTE(SUBSTITUTE($D5911,"-","")," ",""),".",""))</f>
        <v/>
      </c>
      <c r="J5911" s="10" t="str">
        <f aca="false">IF($E5911="","",UPPER(SUBSTITUTE($E5911," ","")))</f>
        <v/>
      </c>
      <c r="K5911" s="10" t="str">
        <f aca="false">IF($A5911="","",$G5911&amp;"|"&amp;$J5911)</f>
        <v/>
      </c>
      <c r="L5911" s="10" t="str">
        <f aca="false">IF($A5911="","",ROW()-2)</f>
        <v/>
      </c>
      <c r="M5911" s="10" t="str">
        <f aca="false">IF($A5911="","",ROW())</f>
        <v/>
      </c>
    </row>
    <row r="5912" customFormat="false" ht="15" hidden="false" customHeight="true" outlineLevel="0" collapsed="false">
      <c r="A5912" s="8"/>
      <c r="B5912" s="8"/>
      <c r="C5912" s="8"/>
      <c r="D5912" s="8"/>
      <c r="E5912" s="8"/>
      <c r="F5912" s="8"/>
      <c r="G5912" s="10" t="str">
        <f aca="false">IF($A5912="","",UPPER(SUBSTITUTE(SUBSTITUTE(SUBSTITUTE(SUBSTITUTE($A5912," ",""),"(주)",""),"주식회사",""),"㈜","")))</f>
        <v/>
      </c>
      <c r="H5912" s="10" t="str">
        <f aca="false">IF($B5912="","",SUBSTITUTE(SUBSTITUTE(SUBSTITUTE($B5912,"-","")," ",""),".",""))</f>
        <v/>
      </c>
      <c r="I5912" s="10" t="str">
        <f aca="false">IF($D5912="","",SUBSTITUTE(SUBSTITUTE(SUBSTITUTE($D5912,"-","")," ",""),".",""))</f>
        <v/>
      </c>
      <c r="J5912" s="10" t="str">
        <f aca="false">IF($E5912="","",UPPER(SUBSTITUTE($E5912," ","")))</f>
        <v/>
      </c>
      <c r="K5912" s="10" t="str">
        <f aca="false">IF($A5912="","",$G5912&amp;"|"&amp;$J5912)</f>
        <v/>
      </c>
      <c r="L5912" s="10" t="str">
        <f aca="false">IF($A5912="","",ROW()-2)</f>
        <v/>
      </c>
      <c r="M5912" s="10" t="str">
        <f aca="false">IF($A5912="","",ROW())</f>
        <v/>
      </c>
    </row>
    <row r="5913" customFormat="false" ht="15" hidden="false" customHeight="true" outlineLevel="0" collapsed="false">
      <c r="A5913" s="8"/>
      <c r="B5913" s="8"/>
      <c r="C5913" s="8"/>
      <c r="D5913" s="8"/>
      <c r="E5913" s="8"/>
      <c r="F5913" s="8"/>
      <c r="G5913" s="10" t="str">
        <f aca="false">IF($A5913="","",UPPER(SUBSTITUTE(SUBSTITUTE(SUBSTITUTE(SUBSTITUTE($A5913," ",""),"(주)",""),"주식회사",""),"㈜","")))</f>
        <v/>
      </c>
      <c r="H5913" s="10" t="str">
        <f aca="false">IF($B5913="","",SUBSTITUTE(SUBSTITUTE(SUBSTITUTE($B5913,"-","")," ",""),".",""))</f>
        <v/>
      </c>
      <c r="I5913" s="10" t="str">
        <f aca="false">IF($D5913="","",SUBSTITUTE(SUBSTITUTE(SUBSTITUTE($D5913,"-","")," ",""),".",""))</f>
        <v/>
      </c>
      <c r="J5913" s="10" t="str">
        <f aca="false">IF($E5913="","",UPPER(SUBSTITUTE($E5913," ","")))</f>
        <v/>
      </c>
      <c r="K5913" s="10" t="str">
        <f aca="false">IF($A5913="","",$G5913&amp;"|"&amp;$J5913)</f>
        <v/>
      </c>
      <c r="L5913" s="10" t="str">
        <f aca="false">IF($A5913="","",ROW()-2)</f>
        <v/>
      </c>
      <c r="M5913" s="10" t="str">
        <f aca="false">IF($A5913="","",ROW())</f>
        <v/>
      </c>
    </row>
    <row r="5914" customFormat="false" ht="15" hidden="false" customHeight="true" outlineLevel="0" collapsed="false">
      <c r="A5914" s="8"/>
      <c r="B5914" s="8"/>
      <c r="C5914" s="8"/>
      <c r="D5914" s="8"/>
      <c r="E5914" s="8"/>
      <c r="F5914" s="8"/>
      <c r="G5914" s="10" t="str">
        <f aca="false">IF($A5914="","",UPPER(SUBSTITUTE(SUBSTITUTE(SUBSTITUTE(SUBSTITUTE($A5914," ",""),"(주)",""),"주식회사",""),"㈜","")))</f>
        <v/>
      </c>
      <c r="H5914" s="10" t="str">
        <f aca="false">IF($B5914="","",SUBSTITUTE(SUBSTITUTE(SUBSTITUTE($B5914,"-","")," ",""),".",""))</f>
        <v/>
      </c>
      <c r="I5914" s="10" t="str">
        <f aca="false">IF($D5914="","",SUBSTITUTE(SUBSTITUTE(SUBSTITUTE($D5914,"-","")," ",""),".",""))</f>
        <v/>
      </c>
      <c r="J5914" s="10" t="str">
        <f aca="false">IF($E5914="","",UPPER(SUBSTITUTE($E5914," ","")))</f>
        <v/>
      </c>
      <c r="K5914" s="10" t="str">
        <f aca="false">IF($A5914="","",$G5914&amp;"|"&amp;$J5914)</f>
        <v/>
      </c>
      <c r="L5914" s="10" t="str">
        <f aca="false">IF($A5914="","",ROW()-2)</f>
        <v/>
      </c>
      <c r="M5914" s="10" t="str">
        <f aca="false">IF($A5914="","",ROW())</f>
        <v/>
      </c>
    </row>
    <row r="5915" customFormat="false" ht="15" hidden="false" customHeight="true" outlineLevel="0" collapsed="false">
      <c r="A5915" s="8"/>
      <c r="B5915" s="8"/>
      <c r="C5915" s="8"/>
      <c r="D5915" s="8"/>
      <c r="E5915" s="8"/>
      <c r="F5915" s="8"/>
      <c r="G5915" s="10" t="str">
        <f aca="false">IF($A5915="","",UPPER(SUBSTITUTE(SUBSTITUTE(SUBSTITUTE(SUBSTITUTE($A5915," ",""),"(주)",""),"주식회사",""),"㈜","")))</f>
        <v/>
      </c>
      <c r="H5915" s="10" t="str">
        <f aca="false">IF($B5915="","",SUBSTITUTE(SUBSTITUTE(SUBSTITUTE($B5915,"-","")," ",""),".",""))</f>
        <v/>
      </c>
      <c r="I5915" s="10" t="str">
        <f aca="false">IF($D5915="","",SUBSTITUTE(SUBSTITUTE(SUBSTITUTE($D5915,"-","")," ",""),".",""))</f>
        <v/>
      </c>
      <c r="J5915" s="10" t="str">
        <f aca="false">IF($E5915="","",UPPER(SUBSTITUTE($E5915," ","")))</f>
        <v/>
      </c>
      <c r="K5915" s="10" t="str">
        <f aca="false">IF($A5915="","",$G5915&amp;"|"&amp;$J5915)</f>
        <v/>
      </c>
      <c r="L5915" s="10" t="str">
        <f aca="false">IF($A5915="","",ROW()-2)</f>
        <v/>
      </c>
      <c r="M5915" s="10" t="str">
        <f aca="false">IF($A5915="","",ROW())</f>
        <v/>
      </c>
    </row>
    <row r="5916" customFormat="false" ht="15" hidden="false" customHeight="true" outlineLevel="0" collapsed="false">
      <c r="A5916" s="8"/>
      <c r="B5916" s="8"/>
      <c r="C5916" s="8"/>
      <c r="D5916" s="8"/>
      <c r="E5916" s="8"/>
      <c r="F5916" s="8"/>
      <c r="G5916" s="10" t="str">
        <f aca="false">IF($A5916="","",UPPER(SUBSTITUTE(SUBSTITUTE(SUBSTITUTE(SUBSTITUTE($A5916," ",""),"(주)",""),"주식회사",""),"㈜","")))</f>
        <v/>
      </c>
      <c r="H5916" s="10" t="str">
        <f aca="false">IF($B5916="","",SUBSTITUTE(SUBSTITUTE(SUBSTITUTE($B5916,"-","")," ",""),".",""))</f>
        <v/>
      </c>
      <c r="I5916" s="10" t="str">
        <f aca="false">IF($D5916="","",SUBSTITUTE(SUBSTITUTE(SUBSTITUTE($D5916,"-","")," ",""),".",""))</f>
        <v/>
      </c>
      <c r="J5916" s="10" t="str">
        <f aca="false">IF($E5916="","",UPPER(SUBSTITUTE($E5916," ","")))</f>
        <v/>
      </c>
      <c r="K5916" s="10" t="str">
        <f aca="false">IF($A5916="","",$G5916&amp;"|"&amp;$J5916)</f>
        <v/>
      </c>
      <c r="L5916" s="10" t="str">
        <f aca="false">IF($A5916="","",ROW()-2)</f>
        <v/>
      </c>
      <c r="M5916" s="10" t="str">
        <f aca="false">IF($A5916="","",ROW())</f>
        <v/>
      </c>
    </row>
    <row r="5917" customFormat="false" ht="15" hidden="false" customHeight="true" outlineLevel="0" collapsed="false">
      <c r="A5917" s="8"/>
      <c r="B5917" s="8"/>
      <c r="C5917" s="8"/>
      <c r="D5917" s="8"/>
      <c r="E5917" s="8"/>
      <c r="F5917" s="8"/>
      <c r="G5917" s="10" t="str">
        <f aca="false">IF($A5917="","",UPPER(SUBSTITUTE(SUBSTITUTE(SUBSTITUTE(SUBSTITUTE($A5917," ",""),"(주)",""),"주식회사",""),"㈜","")))</f>
        <v/>
      </c>
      <c r="H5917" s="10" t="str">
        <f aca="false">IF($B5917="","",SUBSTITUTE(SUBSTITUTE(SUBSTITUTE($B5917,"-","")," ",""),".",""))</f>
        <v/>
      </c>
      <c r="I5917" s="10" t="str">
        <f aca="false">IF($D5917="","",SUBSTITUTE(SUBSTITUTE(SUBSTITUTE($D5917,"-","")," ",""),".",""))</f>
        <v/>
      </c>
      <c r="J5917" s="10" t="str">
        <f aca="false">IF($E5917="","",UPPER(SUBSTITUTE($E5917," ","")))</f>
        <v/>
      </c>
      <c r="K5917" s="10" t="str">
        <f aca="false">IF($A5917="","",$G5917&amp;"|"&amp;$J5917)</f>
        <v/>
      </c>
      <c r="L5917" s="10" t="str">
        <f aca="false">IF($A5917="","",ROW()-2)</f>
        <v/>
      </c>
      <c r="M5917" s="10" t="str">
        <f aca="false">IF($A5917="","",ROW())</f>
        <v/>
      </c>
    </row>
    <row r="5918" customFormat="false" ht="15" hidden="false" customHeight="true" outlineLevel="0" collapsed="false">
      <c r="A5918" s="8"/>
      <c r="B5918" s="8"/>
      <c r="C5918" s="8"/>
      <c r="D5918" s="8"/>
      <c r="E5918" s="8"/>
      <c r="F5918" s="8"/>
      <c r="G5918" s="10" t="str">
        <f aca="false">IF($A5918="","",UPPER(SUBSTITUTE(SUBSTITUTE(SUBSTITUTE(SUBSTITUTE($A5918," ",""),"(주)",""),"주식회사",""),"㈜","")))</f>
        <v/>
      </c>
      <c r="H5918" s="10" t="str">
        <f aca="false">IF($B5918="","",SUBSTITUTE(SUBSTITUTE(SUBSTITUTE($B5918,"-","")," ",""),".",""))</f>
        <v/>
      </c>
      <c r="I5918" s="10" t="str">
        <f aca="false">IF($D5918="","",SUBSTITUTE(SUBSTITUTE(SUBSTITUTE($D5918,"-","")," ",""),".",""))</f>
        <v/>
      </c>
      <c r="J5918" s="10" t="str">
        <f aca="false">IF($E5918="","",UPPER(SUBSTITUTE($E5918," ","")))</f>
        <v/>
      </c>
      <c r="K5918" s="10" t="str">
        <f aca="false">IF($A5918="","",$G5918&amp;"|"&amp;$J5918)</f>
        <v/>
      </c>
      <c r="L5918" s="10" t="str">
        <f aca="false">IF($A5918="","",ROW()-2)</f>
        <v/>
      </c>
      <c r="M5918" s="10" t="str">
        <f aca="false">IF($A5918="","",ROW())</f>
        <v/>
      </c>
    </row>
    <row r="5919" customFormat="false" ht="15" hidden="false" customHeight="true" outlineLevel="0" collapsed="false">
      <c r="A5919" s="8"/>
      <c r="B5919" s="8"/>
      <c r="C5919" s="8"/>
      <c r="D5919" s="8"/>
      <c r="E5919" s="8"/>
      <c r="F5919" s="8"/>
      <c r="G5919" s="10" t="str">
        <f aca="false">IF($A5919="","",UPPER(SUBSTITUTE(SUBSTITUTE(SUBSTITUTE(SUBSTITUTE($A5919," ",""),"(주)",""),"주식회사",""),"㈜","")))</f>
        <v/>
      </c>
      <c r="H5919" s="10" t="str">
        <f aca="false">IF($B5919="","",SUBSTITUTE(SUBSTITUTE(SUBSTITUTE($B5919,"-","")," ",""),".",""))</f>
        <v/>
      </c>
      <c r="I5919" s="10" t="str">
        <f aca="false">IF($D5919="","",SUBSTITUTE(SUBSTITUTE(SUBSTITUTE($D5919,"-","")," ",""),".",""))</f>
        <v/>
      </c>
      <c r="J5919" s="10" t="str">
        <f aca="false">IF($E5919="","",UPPER(SUBSTITUTE($E5919," ","")))</f>
        <v/>
      </c>
      <c r="K5919" s="10" t="str">
        <f aca="false">IF($A5919="","",$G5919&amp;"|"&amp;$J5919)</f>
        <v/>
      </c>
      <c r="L5919" s="10" t="str">
        <f aca="false">IF($A5919="","",ROW()-2)</f>
        <v/>
      </c>
      <c r="M5919" s="10" t="str">
        <f aca="false">IF($A5919="","",ROW())</f>
        <v/>
      </c>
    </row>
    <row r="5920" customFormat="false" ht="15" hidden="false" customHeight="true" outlineLevel="0" collapsed="false">
      <c r="A5920" s="8"/>
      <c r="B5920" s="8"/>
      <c r="C5920" s="8"/>
      <c r="D5920" s="8"/>
      <c r="E5920" s="8"/>
      <c r="F5920" s="8"/>
      <c r="G5920" s="10" t="str">
        <f aca="false">IF($A5920="","",UPPER(SUBSTITUTE(SUBSTITUTE(SUBSTITUTE(SUBSTITUTE($A5920," ",""),"(주)",""),"주식회사",""),"㈜","")))</f>
        <v/>
      </c>
      <c r="H5920" s="10" t="str">
        <f aca="false">IF($B5920="","",SUBSTITUTE(SUBSTITUTE(SUBSTITUTE($B5920,"-","")," ",""),".",""))</f>
        <v/>
      </c>
      <c r="I5920" s="10" t="str">
        <f aca="false">IF($D5920="","",SUBSTITUTE(SUBSTITUTE(SUBSTITUTE($D5920,"-","")," ",""),".",""))</f>
        <v/>
      </c>
      <c r="J5920" s="10" t="str">
        <f aca="false">IF($E5920="","",UPPER(SUBSTITUTE($E5920," ","")))</f>
        <v/>
      </c>
      <c r="K5920" s="10" t="str">
        <f aca="false">IF($A5920="","",$G5920&amp;"|"&amp;$J5920)</f>
        <v/>
      </c>
      <c r="L5920" s="10" t="str">
        <f aca="false">IF($A5920="","",ROW()-2)</f>
        <v/>
      </c>
      <c r="M5920" s="10" t="str">
        <f aca="false">IF($A5920="","",ROW())</f>
        <v/>
      </c>
    </row>
    <row r="5921" customFormat="false" ht="15" hidden="false" customHeight="true" outlineLevel="0" collapsed="false">
      <c r="A5921" s="8"/>
      <c r="B5921" s="8"/>
      <c r="C5921" s="8"/>
      <c r="D5921" s="8"/>
      <c r="E5921" s="8"/>
      <c r="F5921" s="8"/>
      <c r="G5921" s="10" t="str">
        <f aca="false">IF($A5921="","",UPPER(SUBSTITUTE(SUBSTITUTE(SUBSTITUTE(SUBSTITUTE($A5921," ",""),"(주)",""),"주식회사",""),"㈜","")))</f>
        <v/>
      </c>
      <c r="H5921" s="10" t="str">
        <f aca="false">IF($B5921="","",SUBSTITUTE(SUBSTITUTE(SUBSTITUTE($B5921,"-","")," ",""),".",""))</f>
        <v/>
      </c>
      <c r="I5921" s="10" t="str">
        <f aca="false">IF($D5921="","",SUBSTITUTE(SUBSTITUTE(SUBSTITUTE($D5921,"-","")," ",""),".",""))</f>
        <v/>
      </c>
      <c r="J5921" s="10" t="str">
        <f aca="false">IF($E5921="","",UPPER(SUBSTITUTE($E5921," ","")))</f>
        <v/>
      </c>
      <c r="K5921" s="10" t="str">
        <f aca="false">IF($A5921="","",$G5921&amp;"|"&amp;$J5921)</f>
        <v/>
      </c>
      <c r="L5921" s="10" t="str">
        <f aca="false">IF($A5921="","",ROW()-2)</f>
        <v/>
      </c>
      <c r="M5921" s="10" t="str">
        <f aca="false">IF($A5921="","",ROW())</f>
        <v/>
      </c>
    </row>
    <row r="5922" customFormat="false" ht="15" hidden="false" customHeight="true" outlineLevel="0" collapsed="false">
      <c r="A5922" s="8"/>
      <c r="B5922" s="8"/>
      <c r="C5922" s="8"/>
      <c r="D5922" s="8"/>
      <c r="E5922" s="8"/>
      <c r="F5922" s="8"/>
      <c r="G5922" s="10" t="str">
        <f aca="false">IF($A5922="","",UPPER(SUBSTITUTE(SUBSTITUTE(SUBSTITUTE(SUBSTITUTE($A5922," ",""),"(주)",""),"주식회사",""),"㈜","")))</f>
        <v/>
      </c>
      <c r="H5922" s="10" t="str">
        <f aca="false">IF($B5922="","",SUBSTITUTE(SUBSTITUTE(SUBSTITUTE($B5922,"-","")," ",""),".",""))</f>
        <v/>
      </c>
      <c r="I5922" s="10" t="str">
        <f aca="false">IF($D5922="","",SUBSTITUTE(SUBSTITUTE(SUBSTITUTE($D5922,"-","")," ",""),".",""))</f>
        <v/>
      </c>
      <c r="J5922" s="10" t="str">
        <f aca="false">IF($E5922="","",UPPER(SUBSTITUTE($E5922," ","")))</f>
        <v/>
      </c>
      <c r="K5922" s="10" t="str">
        <f aca="false">IF($A5922="","",$G5922&amp;"|"&amp;$J5922)</f>
        <v/>
      </c>
      <c r="L5922" s="10" t="str">
        <f aca="false">IF($A5922="","",ROW()-2)</f>
        <v/>
      </c>
      <c r="M5922" s="10" t="str">
        <f aca="false">IF($A5922="","",ROW())</f>
        <v/>
      </c>
    </row>
    <row r="5923" customFormat="false" ht="15" hidden="false" customHeight="true" outlineLevel="0" collapsed="false">
      <c r="A5923" s="8"/>
      <c r="B5923" s="8"/>
      <c r="C5923" s="8"/>
      <c r="D5923" s="8"/>
      <c r="E5923" s="8"/>
      <c r="F5923" s="8"/>
      <c r="G5923" s="10" t="str">
        <f aca="false">IF($A5923="","",UPPER(SUBSTITUTE(SUBSTITUTE(SUBSTITUTE(SUBSTITUTE($A5923," ",""),"(주)",""),"주식회사",""),"㈜","")))</f>
        <v/>
      </c>
      <c r="H5923" s="10" t="str">
        <f aca="false">IF($B5923="","",SUBSTITUTE(SUBSTITUTE(SUBSTITUTE($B5923,"-","")," ",""),".",""))</f>
        <v/>
      </c>
      <c r="I5923" s="10" t="str">
        <f aca="false">IF($D5923="","",SUBSTITUTE(SUBSTITUTE(SUBSTITUTE($D5923,"-","")," ",""),".",""))</f>
        <v/>
      </c>
      <c r="J5923" s="10" t="str">
        <f aca="false">IF($E5923="","",UPPER(SUBSTITUTE($E5923," ","")))</f>
        <v/>
      </c>
      <c r="K5923" s="10" t="str">
        <f aca="false">IF($A5923="","",$G5923&amp;"|"&amp;$J5923)</f>
        <v/>
      </c>
      <c r="L5923" s="10" t="str">
        <f aca="false">IF($A5923="","",ROW()-2)</f>
        <v/>
      </c>
      <c r="M5923" s="10" t="str">
        <f aca="false">IF($A5923="","",ROW())</f>
        <v/>
      </c>
    </row>
    <row r="5924" customFormat="false" ht="15" hidden="false" customHeight="true" outlineLevel="0" collapsed="false">
      <c r="A5924" s="8"/>
      <c r="B5924" s="8"/>
      <c r="C5924" s="8"/>
      <c r="D5924" s="8"/>
      <c r="E5924" s="8"/>
      <c r="F5924" s="8"/>
      <c r="G5924" s="10" t="str">
        <f aca="false">IF($A5924="","",UPPER(SUBSTITUTE(SUBSTITUTE(SUBSTITUTE(SUBSTITUTE($A5924," ",""),"(주)",""),"주식회사",""),"㈜","")))</f>
        <v/>
      </c>
      <c r="H5924" s="10" t="str">
        <f aca="false">IF($B5924="","",SUBSTITUTE(SUBSTITUTE(SUBSTITUTE($B5924,"-","")," ",""),".",""))</f>
        <v/>
      </c>
      <c r="I5924" s="10" t="str">
        <f aca="false">IF($D5924="","",SUBSTITUTE(SUBSTITUTE(SUBSTITUTE($D5924,"-","")," ",""),".",""))</f>
        <v/>
      </c>
      <c r="J5924" s="10" t="str">
        <f aca="false">IF($E5924="","",UPPER(SUBSTITUTE($E5924," ","")))</f>
        <v/>
      </c>
      <c r="K5924" s="10" t="str">
        <f aca="false">IF($A5924="","",$G5924&amp;"|"&amp;$J5924)</f>
        <v/>
      </c>
      <c r="L5924" s="10" t="str">
        <f aca="false">IF($A5924="","",ROW()-2)</f>
        <v/>
      </c>
      <c r="M5924" s="10" t="str">
        <f aca="false">IF($A5924="","",ROW())</f>
        <v/>
      </c>
    </row>
    <row r="5925" customFormat="false" ht="15" hidden="false" customHeight="true" outlineLevel="0" collapsed="false">
      <c r="A5925" s="8"/>
      <c r="B5925" s="8"/>
      <c r="C5925" s="8"/>
      <c r="D5925" s="8"/>
      <c r="E5925" s="8"/>
      <c r="F5925" s="8"/>
      <c r="G5925" s="10" t="str">
        <f aca="false">IF($A5925="","",UPPER(SUBSTITUTE(SUBSTITUTE(SUBSTITUTE(SUBSTITUTE($A5925," ",""),"(주)",""),"주식회사",""),"㈜","")))</f>
        <v/>
      </c>
      <c r="H5925" s="10" t="str">
        <f aca="false">IF($B5925="","",SUBSTITUTE(SUBSTITUTE(SUBSTITUTE($B5925,"-","")," ",""),".",""))</f>
        <v/>
      </c>
      <c r="I5925" s="10" t="str">
        <f aca="false">IF($D5925="","",SUBSTITUTE(SUBSTITUTE(SUBSTITUTE($D5925,"-","")," ",""),".",""))</f>
        <v/>
      </c>
      <c r="J5925" s="10" t="str">
        <f aca="false">IF($E5925="","",UPPER(SUBSTITUTE($E5925," ","")))</f>
        <v/>
      </c>
      <c r="K5925" s="10" t="str">
        <f aca="false">IF($A5925="","",$G5925&amp;"|"&amp;$J5925)</f>
        <v/>
      </c>
      <c r="L5925" s="10" t="str">
        <f aca="false">IF($A5925="","",ROW()-2)</f>
        <v/>
      </c>
      <c r="M5925" s="10" t="str">
        <f aca="false">IF($A5925="","",ROW())</f>
        <v/>
      </c>
    </row>
    <row r="5926" customFormat="false" ht="15" hidden="false" customHeight="true" outlineLevel="0" collapsed="false">
      <c r="A5926" s="8"/>
      <c r="B5926" s="8"/>
      <c r="C5926" s="8"/>
      <c r="D5926" s="8"/>
      <c r="E5926" s="8"/>
      <c r="F5926" s="8"/>
      <c r="G5926" s="10" t="str">
        <f aca="false">IF($A5926="","",UPPER(SUBSTITUTE(SUBSTITUTE(SUBSTITUTE(SUBSTITUTE($A5926," ",""),"(주)",""),"주식회사",""),"㈜","")))</f>
        <v/>
      </c>
      <c r="H5926" s="10" t="str">
        <f aca="false">IF($B5926="","",SUBSTITUTE(SUBSTITUTE(SUBSTITUTE($B5926,"-","")," ",""),".",""))</f>
        <v/>
      </c>
      <c r="I5926" s="10" t="str">
        <f aca="false">IF($D5926="","",SUBSTITUTE(SUBSTITUTE(SUBSTITUTE($D5926,"-","")," ",""),".",""))</f>
        <v/>
      </c>
      <c r="J5926" s="10" t="str">
        <f aca="false">IF($E5926="","",UPPER(SUBSTITUTE($E5926," ","")))</f>
        <v/>
      </c>
      <c r="K5926" s="10" t="str">
        <f aca="false">IF($A5926="","",$G5926&amp;"|"&amp;$J5926)</f>
        <v/>
      </c>
      <c r="L5926" s="10" t="str">
        <f aca="false">IF($A5926="","",ROW()-2)</f>
        <v/>
      </c>
      <c r="M5926" s="10" t="str">
        <f aca="false">IF($A5926="","",ROW())</f>
        <v/>
      </c>
    </row>
    <row r="5927" customFormat="false" ht="15" hidden="false" customHeight="true" outlineLevel="0" collapsed="false">
      <c r="A5927" s="8"/>
      <c r="B5927" s="8"/>
      <c r="C5927" s="8"/>
      <c r="D5927" s="8"/>
      <c r="E5927" s="8"/>
      <c r="F5927" s="8"/>
      <c r="G5927" s="10" t="str">
        <f aca="false">IF($A5927="","",UPPER(SUBSTITUTE(SUBSTITUTE(SUBSTITUTE(SUBSTITUTE($A5927," ",""),"(주)",""),"주식회사",""),"㈜","")))</f>
        <v/>
      </c>
      <c r="H5927" s="10" t="str">
        <f aca="false">IF($B5927="","",SUBSTITUTE(SUBSTITUTE(SUBSTITUTE($B5927,"-","")," ",""),".",""))</f>
        <v/>
      </c>
      <c r="I5927" s="10" t="str">
        <f aca="false">IF($D5927="","",SUBSTITUTE(SUBSTITUTE(SUBSTITUTE($D5927,"-","")," ",""),".",""))</f>
        <v/>
      </c>
      <c r="J5927" s="10" t="str">
        <f aca="false">IF($E5927="","",UPPER(SUBSTITUTE($E5927," ","")))</f>
        <v/>
      </c>
      <c r="K5927" s="10" t="str">
        <f aca="false">IF($A5927="","",$G5927&amp;"|"&amp;$J5927)</f>
        <v/>
      </c>
      <c r="L5927" s="10" t="str">
        <f aca="false">IF($A5927="","",ROW()-2)</f>
        <v/>
      </c>
      <c r="M5927" s="10" t="str">
        <f aca="false">IF($A5927="","",ROW())</f>
        <v/>
      </c>
    </row>
    <row r="5928" customFormat="false" ht="15" hidden="false" customHeight="true" outlineLevel="0" collapsed="false">
      <c r="A5928" s="8"/>
      <c r="B5928" s="8"/>
      <c r="C5928" s="8"/>
      <c r="D5928" s="8"/>
      <c r="E5928" s="8"/>
      <c r="F5928" s="8"/>
      <c r="G5928" s="10" t="str">
        <f aca="false">IF($A5928="","",UPPER(SUBSTITUTE(SUBSTITUTE(SUBSTITUTE(SUBSTITUTE($A5928," ",""),"(주)",""),"주식회사",""),"㈜","")))</f>
        <v/>
      </c>
      <c r="H5928" s="10" t="str">
        <f aca="false">IF($B5928="","",SUBSTITUTE(SUBSTITUTE(SUBSTITUTE($B5928,"-","")," ",""),".",""))</f>
        <v/>
      </c>
      <c r="I5928" s="10" t="str">
        <f aca="false">IF($D5928="","",SUBSTITUTE(SUBSTITUTE(SUBSTITUTE($D5928,"-","")," ",""),".",""))</f>
        <v/>
      </c>
      <c r="J5928" s="10" t="str">
        <f aca="false">IF($E5928="","",UPPER(SUBSTITUTE($E5928," ","")))</f>
        <v/>
      </c>
      <c r="K5928" s="10" t="str">
        <f aca="false">IF($A5928="","",$G5928&amp;"|"&amp;$J5928)</f>
        <v/>
      </c>
      <c r="L5928" s="10" t="str">
        <f aca="false">IF($A5928="","",ROW()-2)</f>
        <v/>
      </c>
      <c r="M5928" s="10" t="str">
        <f aca="false">IF($A5928="","",ROW())</f>
        <v/>
      </c>
    </row>
    <row r="5929" customFormat="false" ht="15" hidden="false" customHeight="true" outlineLevel="0" collapsed="false">
      <c r="A5929" s="8"/>
      <c r="B5929" s="8"/>
      <c r="C5929" s="8"/>
      <c r="D5929" s="8"/>
      <c r="E5929" s="8"/>
      <c r="F5929" s="8"/>
      <c r="G5929" s="10" t="str">
        <f aca="false">IF($A5929="","",UPPER(SUBSTITUTE(SUBSTITUTE(SUBSTITUTE(SUBSTITUTE($A5929," ",""),"(주)",""),"주식회사",""),"㈜","")))</f>
        <v/>
      </c>
      <c r="H5929" s="10" t="str">
        <f aca="false">IF($B5929="","",SUBSTITUTE(SUBSTITUTE(SUBSTITUTE($B5929,"-","")," ",""),".",""))</f>
        <v/>
      </c>
      <c r="I5929" s="10" t="str">
        <f aca="false">IF($D5929="","",SUBSTITUTE(SUBSTITUTE(SUBSTITUTE($D5929,"-","")," ",""),".",""))</f>
        <v/>
      </c>
      <c r="J5929" s="10" t="str">
        <f aca="false">IF($E5929="","",UPPER(SUBSTITUTE($E5929," ","")))</f>
        <v/>
      </c>
      <c r="K5929" s="10" t="str">
        <f aca="false">IF($A5929="","",$G5929&amp;"|"&amp;$J5929)</f>
        <v/>
      </c>
      <c r="L5929" s="10" t="str">
        <f aca="false">IF($A5929="","",ROW()-2)</f>
        <v/>
      </c>
      <c r="M5929" s="10" t="str">
        <f aca="false">IF($A5929="","",ROW())</f>
        <v/>
      </c>
    </row>
    <row r="5930" customFormat="false" ht="15" hidden="false" customHeight="true" outlineLevel="0" collapsed="false">
      <c r="A5930" s="8"/>
      <c r="B5930" s="8"/>
      <c r="C5930" s="8"/>
      <c r="D5930" s="8"/>
      <c r="E5930" s="8"/>
      <c r="F5930" s="8"/>
      <c r="G5930" s="10" t="str">
        <f aca="false">IF($A5930="","",UPPER(SUBSTITUTE(SUBSTITUTE(SUBSTITUTE(SUBSTITUTE($A5930," ",""),"(주)",""),"주식회사",""),"㈜","")))</f>
        <v/>
      </c>
      <c r="H5930" s="10" t="str">
        <f aca="false">IF($B5930="","",SUBSTITUTE(SUBSTITUTE(SUBSTITUTE($B5930,"-","")," ",""),".",""))</f>
        <v/>
      </c>
      <c r="I5930" s="10" t="str">
        <f aca="false">IF($D5930="","",SUBSTITUTE(SUBSTITUTE(SUBSTITUTE($D5930,"-","")," ",""),".",""))</f>
        <v/>
      </c>
      <c r="J5930" s="10" t="str">
        <f aca="false">IF($E5930="","",UPPER(SUBSTITUTE($E5930," ","")))</f>
        <v/>
      </c>
      <c r="K5930" s="10" t="str">
        <f aca="false">IF($A5930="","",$G5930&amp;"|"&amp;$J5930)</f>
        <v/>
      </c>
      <c r="L5930" s="10" t="str">
        <f aca="false">IF($A5930="","",ROW()-2)</f>
        <v/>
      </c>
      <c r="M5930" s="10" t="str">
        <f aca="false">IF($A5930="","",ROW())</f>
        <v/>
      </c>
    </row>
    <row r="5931" customFormat="false" ht="15" hidden="false" customHeight="true" outlineLevel="0" collapsed="false">
      <c r="A5931" s="8"/>
      <c r="B5931" s="8"/>
      <c r="C5931" s="8"/>
      <c r="D5931" s="8"/>
      <c r="E5931" s="8"/>
      <c r="F5931" s="8"/>
      <c r="G5931" s="10" t="str">
        <f aca="false">IF($A5931="","",UPPER(SUBSTITUTE(SUBSTITUTE(SUBSTITUTE(SUBSTITUTE($A5931," ",""),"(주)",""),"주식회사",""),"㈜","")))</f>
        <v/>
      </c>
      <c r="H5931" s="10" t="str">
        <f aca="false">IF($B5931="","",SUBSTITUTE(SUBSTITUTE(SUBSTITUTE($B5931,"-","")," ",""),".",""))</f>
        <v/>
      </c>
      <c r="I5931" s="10" t="str">
        <f aca="false">IF($D5931="","",SUBSTITUTE(SUBSTITUTE(SUBSTITUTE($D5931,"-","")," ",""),".",""))</f>
        <v/>
      </c>
      <c r="J5931" s="10" t="str">
        <f aca="false">IF($E5931="","",UPPER(SUBSTITUTE($E5931," ","")))</f>
        <v/>
      </c>
      <c r="K5931" s="10" t="str">
        <f aca="false">IF($A5931="","",$G5931&amp;"|"&amp;$J5931)</f>
        <v/>
      </c>
      <c r="L5931" s="10" t="str">
        <f aca="false">IF($A5931="","",ROW()-2)</f>
        <v/>
      </c>
      <c r="M5931" s="10" t="str">
        <f aca="false">IF($A5931="","",ROW())</f>
        <v/>
      </c>
    </row>
    <row r="5932" customFormat="false" ht="15" hidden="false" customHeight="true" outlineLevel="0" collapsed="false">
      <c r="A5932" s="8"/>
      <c r="B5932" s="8"/>
      <c r="C5932" s="8"/>
      <c r="D5932" s="8"/>
      <c r="E5932" s="8"/>
      <c r="F5932" s="8"/>
      <c r="G5932" s="10" t="str">
        <f aca="false">IF($A5932="","",UPPER(SUBSTITUTE(SUBSTITUTE(SUBSTITUTE(SUBSTITUTE($A5932," ",""),"(주)",""),"주식회사",""),"㈜","")))</f>
        <v/>
      </c>
      <c r="H5932" s="10" t="str">
        <f aca="false">IF($B5932="","",SUBSTITUTE(SUBSTITUTE(SUBSTITUTE($B5932,"-","")," ",""),".",""))</f>
        <v/>
      </c>
      <c r="I5932" s="10" t="str">
        <f aca="false">IF($D5932="","",SUBSTITUTE(SUBSTITUTE(SUBSTITUTE($D5932,"-","")," ",""),".",""))</f>
        <v/>
      </c>
      <c r="J5932" s="10" t="str">
        <f aca="false">IF($E5932="","",UPPER(SUBSTITUTE($E5932," ","")))</f>
        <v/>
      </c>
      <c r="K5932" s="10" t="str">
        <f aca="false">IF($A5932="","",$G5932&amp;"|"&amp;$J5932)</f>
        <v/>
      </c>
      <c r="L5932" s="10" t="str">
        <f aca="false">IF($A5932="","",ROW()-2)</f>
        <v/>
      </c>
      <c r="M5932" s="10" t="str">
        <f aca="false">IF($A5932="","",ROW())</f>
        <v/>
      </c>
    </row>
    <row r="5933" customFormat="false" ht="15" hidden="false" customHeight="true" outlineLevel="0" collapsed="false">
      <c r="A5933" s="8"/>
      <c r="B5933" s="8"/>
      <c r="C5933" s="8"/>
      <c r="D5933" s="8"/>
      <c r="E5933" s="8"/>
      <c r="F5933" s="8"/>
      <c r="G5933" s="10" t="str">
        <f aca="false">IF($A5933="","",UPPER(SUBSTITUTE(SUBSTITUTE(SUBSTITUTE(SUBSTITUTE($A5933," ",""),"(주)",""),"주식회사",""),"㈜","")))</f>
        <v/>
      </c>
      <c r="H5933" s="10" t="str">
        <f aca="false">IF($B5933="","",SUBSTITUTE(SUBSTITUTE(SUBSTITUTE($B5933,"-","")," ",""),".",""))</f>
        <v/>
      </c>
      <c r="I5933" s="10" t="str">
        <f aca="false">IF($D5933="","",SUBSTITUTE(SUBSTITUTE(SUBSTITUTE($D5933,"-","")," ",""),".",""))</f>
        <v/>
      </c>
      <c r="J5933" s="10" t="str">
        <f aca="false">IF($E5933="","",UPPER(SUBSTITUTE($E5933," ","")))</f>
        <v/>
      </c>
      <c r="K5933" s="10" t="str">
        <f aca="false">IF($A5933="","",$G5933&amp;"|"&amp;$J5933)</f>
        <v/>
      </c>
      <c r="L5933" s="10" t="str">
        <f aca="false">IF($A5933="","",ROW()-2)</f>
        <v/>
      </c>
      <c r="M5933" s="10" t="str">
        <f aca="false">IF($A5933="","",ROW())</f>
        <v/>
      </c>
    </row>
    <row r="5934" customFormat="false" ht="15" hidden="false" customHeight="true" outlineLevel="0" collapsed="false">
      <c r="A5934" s="8"/>
      <c r="B5934" s="8"/>
      <c r="C5934" s="8"/>
      <c r="D5934" s="8"/>
      <c r="E5934" s="8"/>
      <c r="F5934" s="8"/>
      <c r="G5934" s="10" t="str">
        <f aca="false">IF($A5934="","",UPPER(SUBSTITUTE(SUBSTITUTE(SUBSTITUTE(SUBSTITUTE($A5934," ",""),"(주)",""),"주식회사",""),"㈜","")))</f>
        <v/>
      </c>
      <c r="H5934" s="10" t="str">
        <f aca="false">IF($B5934="","",SUBSTITUTE(SUBSTITUTE(SUBSTITUTE($B5934,"-","")," ",""),".",""))</f>
        <v/>
      </c>
      <c r="I5934" s="10" t="str">
        <f aca="false">IF($D5934="","",SUBSTITUTE(SUBSTITUTE(SUBSTITUTE($D5934,"-","")," ",""),".",""))</f>
        <v/>
      </c>
      <c r="J5934" s="10" t="str">
        <f aca="false">IF($E5934="","",UPPER(SUBSTITUTE($E5934," ","")))</f>
        <v/>
      </c>
      <c r="K5934" s="10" t="str">
        <f aca="false">IF($A5934="","",$G5934&amp;"|"&amp;$J5934)</f>
        <v/>
      </c>
      <c r="L5934" s="10" t="str">
        <f aca="false">IF($A5934="","",ROW()-2)</f>
        <v/>
      </c>
      <c r="M5934" s="10" t="str">
        <f aca="false">IF($A5934="","",ROW())</f>
        <v/>
      </c>
    </row>
    <row r="5935" customFormat="false" ht="15" hidden="false" customHeight="true" outlineLevel="0" collapsed="false">
      <c r="A5935" s="8"/>
      <c r="B5935" s="8"/>
      <c r="C5935" s="8"/>
      <c r="D5935" s="8"/>
      <c r="E5935" s="8"/>
      <c r="F5935" s="8"/>
      <c r="G5935" s="10" t="str">
        <f aca="false">IF($A5935="","",UPPER(SUBSTITUTE(SUBSTITUTE(SUBSTITUTE(SUBSTITUTE($A5935," ",""),"(주)",""),"주식회사",""),"㈜","")))</f>
        <v/>
      </c>
      <c r="H5935" s="10" t="str">
        <f aca="false">IF($B5935="","",SUBSTITUTE(SUBSTITUTE(SUBSTITUTE($B5935,"-","")," ",""),".",""))</f>
        <v/>
      </c>
      <c r="I5935" s="10" t="str">
        <f aca="false">IF($D5935="","",SUBSTITUTE(SUBSTITUTE(SUBSTITUTE($D5935,"-","")," ",""),".",""))</f>
        <v/>
      </c>
      <c r="J5935" s="10" t="str">
        <f aca="false">IF($E5935="","",UPPER(SUBSTITUTE($E5935," ","")))</f>
        <v/>
      </c>
      <c r="K5935" s="10" t="str">
        <f aca="false">IF($A5935="","",$G5935&amp;"|"&amp;$J5935)</f>
        <v/>
      </c>
      <c r="L5935" s="10" t="str">
        <f aca="false">IF($A5935="","",ROW()-2)</f>
        <v/>
      </c>
      <c r="M5935" s="10" t="str">
        <f aca="false">IF($A5935="","",ROW())</f>
        <v/>
      </c>
    </row>
    <row r="5936" customFormat="false" ht="15" hidden="false" customHeight="true" outlineLevel="0" collapsed="false">
      <c r="A5936" s="8"/>
      <c r="B5936" s="8"/>
      <c r="C5936" s="8"/>
      <c r="D5936" s="8"/>
      <c r="E5936" s="8"/>
      <c r="F5936" s="8"/>
      <c r="G5936" s="10" t="str">
        <f aca="false">IF($A5936="","",UPPER(SUBSTITUTE(SUBSTITUTE(SUBSTITUTE(SUBSTITUTE($A5936," ",""),"(주)",""),"주식회사",""),"㈜","")))</f>
        <v/>
      </c>
      <c r="H5936" s="10" t="str">
        <f aca="false">IF($B5936="","",SUBSTITUTE(SUBSTITUTE(SUBSTITUTE($B5936,"-","")," ",""),".",""))</f>
        <v/>
      </c>
      <c r="I5936" s="10" t="str">
        <f aca="false">IF($D5936="","",SUBSTITUTE(SUBSTITUTE(SUBSTITUTE($D5936,"-","")," ",""),".",""))</f>
        <v/>
      </c>
      <c r="J5936" s="10" t="str">
        <f aca="false">IF($E5936="","",UPPER(SUBSTITUTE($E5936," ","")))</f>
        <v/>
      </c>
      <c r="K5936" s="10" t="str">
        <f aca="false">IF($A5936="","",$G5936&amp;"|"&amp;$J5936)</f>
        <v/>
      </c>
      <c r="L5936" s="10" t="str">
        <f aca="false">IF($A5936="","",ROW()-2)</f>
        <v/>
      </c>
      <c r="M5936" s="10" t="str">
        <f aca="false">IF($A5936="","",ROW())</f>
        <v/>
      </c>
    </row>
    <row r="5937" customFormat="false" ht="15" hidden="false" customHeight="true" outlineLevel="0" collapsed="false">
      <c r="A5937" s="8"/>
      <c r="B5937" s="8"/>
      <c r="C5937" s="8"/>
      <c r="D5937" s="8"/>
      <c r="E5937" s="8"/>
      <c r="F5937" s="8"/>
      <c r="G5937" s="10" t="str">
        <f aca="false">IF($A5937="","",UPPER(SUBSTITUTE(SUBSTITUTE(SUBSTITUTE(SUBSTITUTE($A5937," ",""),"(주)",""),"주식회사",""),"㈜","")))</f>
        <v/>
      </c>
      <c r="H5937" s="10" t="str">
        <f aca="false">IF($B5937="","",SUBSTITUTE(SUBSTITUTE(SUBSTITUTE($B5937,"-","")," ",""),".",""))</f>
        <v/>
      </c>
      <c r="I5937" s="10" t="str">
        <f aca="false">IF($D5937="","",SUBSTITUTE(SUBSTITUTE(SUBSTITUTE($D5937,"-","")," ",""),".",""))</f>
        <v/>
      </c>
      <c r="J5937" s="10" t="str">
        <f aca="false">IF($E5937="","",UPPER(SUBSTITUTE($E5937," ","")))</f>
        <v/>
      </c>
      <c r="K5937" s="10" t="str">
        <f aca="false">IF($A5937="","",$G5937&amp;"|"&amp;$J5937)</f>
        <v/>
      </c>
      <c r="L5937" s="10" t="str">
        <f aca="false">IF($A5937="","",ROW()-2)</f>
        <v/>
      </c>
      <c r="M5937" s="10" t="str">
        <f aca="false">IF($A5937="","",ROW())</f>
        <v/>
      </c>
    </row>
    <row r="5938" customFormat="false" ht="15" hidden="false" customHeight="true" outlineLevel="0" collapsed="false">
      <c r="A5938" s="8"/>
      <c r="B5938" s="8"/>
      <c r="C5938" s="8"/>
      <c r="D5938" s="8"/>
      <c r="E5938" s="8"/>
      <c r="F5938" s="8"/>
      <c r="G5938" s="10" t="str">
        <f aca="false">IF($A5938="","",UPPER(SUBSTITUTE(SUBSTITUTE(SUBSTITUTE(SUBSTITUTE($A5938," ",""),"(주)",""),"주식회사",""),"㈜","")))</f>
        <v/>
      </c>
      <c r="H5938" s="10" t="str">
        <f aca="false">IF($B5938="","",SUBSTITUTE(SUBSTITUTE(SUBSTITUTE($B5938,"-","")," ",""),".",""))</f>
        <v/>
      </c>
      <c r="I5938" s="10" t="str">
        <f aca="false">IF($D5938="","",SUBSTITUTE(SUBSTITUTE(SUBSTITUTE($D5938,"-","")," ",""),".",""))</f>
        <v/>
      </c>
      <c r="J5938" s="10" t="str">
        <f aca="false">IF($E5938="","",UPPER(SUBSTITUTE($E5938," ","")))</f>
        <v/>
      </c>
      <c r="K5938" s="10" t="str">
        <f aca="false">IF($A5938="","",$G5938&amp;"|"&amp;$J5938)</f>
        <v/>
      </c>
      <c r="L5938" s="10" t="str">
        <f aca="false">IF($A5938="","",ROW()-2)</f>
        <v/>
      </c>
      <c r="M5938" s="10" t="str">
        <f aca="false">IF($A5938="","",ROW())</f>
        <v/>
      </c>
    </row>
    <row r="5939" customFormat="false" ht="15" hidden="false" customHeight="true" outlineLevel="0" collapsed="false">
      <c r="A5939" s="8"/>
      <c r="B5939" s="8"/>
      <c r="C5939" s="8"/>
      <c r="D5939" s="8"/>
      <c r="E5939" s="8"/>
      <c r="F5939" s="8"/>
      <c r="G5939" s="10" t="str">
        <f aca="false">IF($A5939="","",UPPER(SUBSTITUTE(SUBSTITUTE(SUBSTITUTE(SUBSTITUTE($A5939," ",""),"(주)",""),"주식회사",""),"㈜","")))</f>
        <v/>
      </c>
      <c r="H5939" s="10" t="str">
        <f aca="false">IF($B5939="","",SUBSTITUTE(SUBSTITUTE(SUBSTITUTE($B5939,"-","")," ",""),".",""))</f>
        <v/>
      </c>
      <c r="I5939" s="10" t="str">
        <f aca="false">IF($D5939="","",SUBSTITUTE(SUBSTITUTE(SUBSTITUTE($D5939,"-","")," ",""),".",""))</f>
        <v/>
      </c>
      <c r="J5939" s="10" t="str">
        <f aca="false">IF($E5939="","",UPPER(SUBSTITUTE($E5939," ","")))</f>
        <v/>
      </c>
      <c r="K5939" s="10" t="str">
        <f aca="false">IF($A5939="","",$G5939&amp;"|"&amp;$J5939)</f>
        <v/>
      </c>
      <c r="L5939" s="10" t="str">
        <f aca="false">IF($A5939="","",ROW()-2)</f>
        <v/>
      </c>
      <c r="M5939" s="10" t="str">
        <f aca="false">IF($A5939="","",ROW())</f>
        <v/>
      </c>
    </row>
    <row r="5940" customFormat="false" ht="15" hidden="false" customHeight="true" outlineLevel="0" collapsed="false">
      <c r="A5940" s="8"/>
      <c r="B5940" s="8"/>
      <c r="C5940" s="8"/>
      <c r="D5940" s="8"/>
      <c r="E5940" s="8"/>
      <c r="F5940" s="8"/>
      <c r="G5940" s="10" t="str">
        <f aca="false">IF($A5940="","",UPPER(SUBSTITUTE(SUBSTITUTE(SUBSTITUTE(SUBSTITUTE($A5940," ",""),"(주)",""),"주식회사",""),"㈜","")))</f>
        <v/>
      </c>
      <c r="H5940" s="10" t="str">
        <f aca="false">IF($B5940="","",SUBSTITUTE(SUBSTITUTE(SUBSTITUTE($B5940,"-","")," ",""),".",""))</f>
        <v/>
      </c>
      <c r="I5940" s="10" t="str">
        <f aca="false">IF($D5940="","",SUBSTITUTE(SUBSTITUTE(SUBSTITUTE($D5940,"-","")," ",""),".",""))</f>
        <v/>
      </c>
      <c r="J5940" s="10" t="str">
        <f aca="false">IF($E5940="","",UPPER(SUBSTITUTE($E5940," ","")))</f>
        <v/>
      </c>
      <c r="K5940" s="10" t="str">
        <f aca="false">IF($A5940="","",$G5940&amp;"|"&amp;$J5940)</f>
        <v/>
      </c>
      <c r="L5940" s="10" t="str">
        <f aca="false">IF($A5940="","",ROW()-2)</f>
        <v/>
      </c>
      <c r="M5940" s="10" t="str">
        <f aca="false">IF($A5940="","",ROW())</f>
        <v/>
      </c>
    </row>
    <row r="5941" customFormat="false" ht="15" hidden="false" customHeight="true" outlineLevel="0" collapsed="false">
      <c r="A5941" s="8"/>
      <c r="B5941" s="8"/>
      <c r="C5941" s="8"/>
      <c r="D5941" s="8"/>
      <c r="E5941" s="8"/>
      <c r="F5941" s="8"/>
      <c r="G5941" s="10" t="str">
        <f aca="false">IF($A5941="","",UPPER(SUBSTITUTE(SUBSTITUTE(SUBSTITUTE(SUBSTITUTE($A5941," ",""),"(주)",""),"주식회사",""),"㈜","")))</f>
        <v/>
      </c>
      <c r="H5941" s="10" t="str">
        <f aca="false">IF($B5941="","",SUBSTITUTE(SUBSTITUTE(SUBSTITUTE($B5941,"-","")," ",""),".",""))</f>
        <v/>
      </c>
      <c r="I5941" s="10" t="str">
        <f aca="false">IF($D5941="","",SUBSTITUTE(SUBSTITUTE(SUBSTITUTE($D5941,"-","")," ",""),".",""))</f>
        <v/>
      </c>
      <c r="J5941" s="10" t="str">
        <f aca="false">IF($E5941="","",UPPER(SUBSTITUTE($E5941," ","")))</f>
        <v/>
      </c>
      <c r="K5941" s="10" t="str">
        <f aca="false">IF($A5941="","",$G5941&amp;"|"&amp;$J5941)</f>
        <v/>
      </c>
      <c r="L5941" s="10" t="str">
        <f aca="false">IF($A5941="","",ROW()-2)</f>
        <v/>
      </c>
      <c r="M5941" s="10" t="str">
        <f aca="false">IF($A5941="","",ROW())</f>
        <v/>
      </c>
    </row>
    <row r="5942" customFormat="false" ht="15" hidden="false" customHeight="true" outlineLevel="0" collapsed="false">
      <c r="A5942" s="8"/>
      <c r="B5942" s="8"/>
      <c r="C5942" s="8"/>
      <c r="D5942" s="8"/>
      <c r="E5942" s="8"/>
      <c r="F5942" s="8"/>
      <c r="G5942" s="10" t="str">
        <f aca="false">IF($A5942="","",UPPER(SUBSTITUTE(SUBSTITUTE(SUBSTITUTE(SUBSTITUTE($A5942," ",""),"(주)",""),"주식회사",""),"㈜","")))</f>
        <v/>
      </c>
      <c r="H5942" s="10" t="str">
        <f aca="false">IF($B5942="","",SUBSTITUTE(SUBSTITUTE(SUBSTITUTE($B5942,"-","")," ",""),".",""))</f>
        <v/>
      </c>
      <c r="I5942" s="10" t="str">
        <f aca="false">IF($D5942="","",SUBSTITUTE(SUBSTITUTE(SUBSTITUTE($D5942,"-","")," ",""),".",""))</f>
        <v/>
      </c>
      <c r="J5942" s="10" t="str">
        <f aca="false">IF($E5942="","",UPPER(SUBSTITUTE($E5942," ","")))</f>
        <v/>
      </c>
      <c r="K5942" s="10" t="str">
        <f aca="false">IF($A5942="","",$G5942&amp;"|"&amp;$J5942)</f>
        <v/>
      </c>
      <c r="L5942" s="10" t="str">
        <f aca="false">IF($A5942="","",ROW()-2)</f>
        <v/>
      </c>
      <c r="M5942" s="10" t="str">
        <f aca="false">IF($A5942="","",ROW())</f>
        <v/>
      </c>
    </row>
    <row r="5943" customFormat="false" ht="15" hidden="false" customHeight="true" outlineLevel="0" collapsed="false">
      <c r="A5943" s="8"/>
      <c r="B5943" s="8"/>
      <c r="C5943" s="8"/>
      <c r="D5943" s="8"/>
      <c r="E5943" s="8"/>
      <c r="F5943" s="8"/>
      <c r="G5943" s="10" t="str">
        <f aca="false">IF($A5943="","",UPPER(SUBSTITUTE(SUBSTITUTE(SUBSTITUTE(SUBSTITUTE($A5943," ",""),"(주)",""),"주식회사",""),"㈜","")))</f>
        <v/>
      </c>
      <c r="H5943" s="10" t="str">
        <f aca="false">IF($B5943="","",SUBSTITUTE(SUBSTITUTE(SUBSTITUTE($B5943,"-","")," ",""),".",""))</f>
        <v/>
      </c>
      <c r="I5943" s="10" t="str">
        <f aca="false">IF($D5943="","",SUBSTITUTE(SUBSTITUTE(SUBSTITUTE($D5943,"-","")," ",""),".",""))</f>
        <v/>
      </c>
      <c r="J5943" s="10" t="str">
        <f aca="false">IF($E5943="","",UPPER(SUBSTITUTE($E5943," ","")))</f>
        <v/>
      </c>
      <c r="K5943" s="10" t="str">
        <f aca="false">IF($A5943="","",$G5943&amp;"|"&amp;$J5943)</f>
        <v/>
      </c>
      <c r="L5943" s="10" t="str">
        <f aca="false">IF($A5943="","",ROW()-2)</f>
        <v/>
      </c>
      <c r="M5943" s="10" t="str">
        <f aca="false">IF($A5943="","",ROW())</f>
        <v/>
      </c>
    </row>
    <row r="5944" customFormat="false" ht="15" hidden="false" customHeight="true" outlineLevel="0" collapsed="false">
      <c r="A5944" s="8"/>
      <c r="B5944" s="8"/>
      <c r="C5944" s="8"/>
      <c r="D5944" s="8"/>
      <c r="E5944" s="8"/>
      <c r="F5944" s="8"/>
      <c r="G5944" s="10" t="str">
        <f aca="false">IF($A5944="","",UPPER(SUBSTITUTE(SUBSTITUTE(SUBSTITUTE(SUBSTITUTE($A5944," ",""),"(주)",""),"주식회사",""),"㈜","")))</f>
        <v/>
      </c>
      <c r="H5944" s="10" t="str">
        <f aca="false">IF($B5944="","",SUBSTITUTE(SUBSTITUTE(SUBSTITUTE($B5944,"-","")," ",""),".",""))</f>
        <v/>
      </c>
      <c r="I5944" s="10" t="str">
        <f aca="false">IF($D5944="","",SUBSTITUTE(SUBSTITUTE(SUBSTITUTE($D5944,"-","")," ",""),".",""))</f>
        <v/>
      </c>
      <c r="J5944" s="10" t="str">
        <f aca="false">IF($E5944="","",UPPER(SUBSTITUTE($E5944," ","")))</f>
        <v/>
      </c>
      <c r="K5944" s="10" t="str">
        <f aca="false">IF($A5944="","",$G5944&amp;"|"&amp;$J5944)</f>
        <v/>
      </c>
      <c r="L5944" s="10" t="str">
        <f aca="false">IF($A5944="","",ROW()-2)</f>
        <v/>
      </c>
      <c r="M5944" s="10" t="str">
        <f aca="false">IF($A5944="","",ROW())</f>
        <v/>
      </c>
    </row>
    <row r="5945" customFormat="false" ht="15" hidden="false" customHeight="true" outlineLevel="0" collapsed="false">
      <c r="A5945" s="8"/>
      <c r="B5945" s="8"/>
      <c r="C5945" s="8"/>
      <c r="D5945" s="8"/>
      <c r="E5945" s="8"/>
      <c r="F5945" s="8"/>
      <c r="G5945" s="10" t="str">
        <f aca="false">IF($A5945="","",UPPER(SUBSTITUTE(SUBSTITUTE(SUBSTITUTE(SUBSTITUTE($A5945," ",""),"(주)",""),"주식회사",""),"㈜","")))</f>
        <v/>
      </c>
      <c r="H5945" s="10" t="str">
        <f aca="false">IF($B5945="","",SUBSTITUTE(SUBSTITUTE(SUBSTITUTE($B5945,"-","")," ",""),".",""))</f>
        <v/>
      </c>
      <c r="I5945" s="10" t="str">
        <f aca="false">IF($D5945="","",SUBSTITUTE(SUBSTITUTE(SUBSTITUTE($D5945,"-","")," ",""),".",""))</f>
        <v/>
      </c>
      <c r="J5945" s="10" t="str">
        <f aca="false">IF($E5945="","",UPPER(SUBSTITUTE($E5945," ","")))</f>
        <v/>
      </c>
      <c r="K5945" s="10" t="str">
        <f aca="false">IF($A5945="","",$G5945&amp;"|"&amp;$J5945)</f>
        <v/>
      </c>
      <c r="L5945" s="10" t="str">
        <f aca="false">IF($A5945="","",ROW()-2)</f>
        <v/>
      </c>
      <c r="M5945" s="10" t="str">
        <f aca="false">IF($A5945="","",ROW())</f>
        <v/>
      </c>
    </row>
    <row r="5946" customFormat="false" ht="15" hidden="false" customHeight="true" outlineLevel="0" collapsed="false">
      <c r="A5946" s="8"/>
      <c r="B5946" s="8"/>
      <c r="C5946" s="8"/>
      <c r="D5946" s="8"/>
      <c r="E5946" s="8"/>
      <c r="F5946" s="8"/>
      <c r="G5946" s="10" t="str">
        <f aca="false">IF($A5946="","",UPPER(SUBSTITUTE(SUBSTITUTE(SUBSTITUTE(SUBSTITUTE($A5946," ",""),"(주)",""),"주식회사",""),"㈜","")))</f>
        <v/>
      </c>
      <c r="H5946" s="10" t="str">
        <f aca="false">IF($B5946="","",SUBSTITUTE(SUBSTITUTE(SUBSTITUTE($B5946,"-","")," ",""),".",""))</f>
        <v/>
      </c>
      <c r="I5946" s="10" t="str">
        <f aca="false">IF($D5946="","",SUBSTITUTE(SUBSTITUTE(SUBSTITUTE($D5946,"-","")," ",""),".",""))</f>
        <v/>
      </c>
      <c r="J5946" s="10" t="str">
        <f aca="false">IF($E5946="","",UPPER(SUBSTITUTE($E5946," ","")))</f>
        <v/>
      </c>
      <c r="K5946" s="10" t="str">
        <f aca="false">IF($A5946="","",$G5946&amp;"|"&amp;$J5946)</f>
        <v/>
      </c>
      <c r="L5946" s="10" t="str">
        <f aca="false">IF($A5946="","",ROW()-2)</f>
        <v/>
      </c>
      <c r="M5946" s="10" t="str">
        <f aca="false">IF($A5946="","",ROW())</f>
        <v/>
      </c>
    </row>
    <row r="5947" customFormat="false" ht="15" hidden="false" customHeight="true" outlineLevel="0" collapsed="false">
      <c r="A5947" s="8"/>
      <c r="B5947" s="8"/>
      <c r="C5947" s="8"/>
      <c r="D5947" s="8"/>
      <c r="E5947" s="8"/>
      <c r="F5947" s="8"/>
      <c r="G5947" s="10" t="str">
        <f aca="false">IF($A5947="","",UPPER(SUBSTITUTE(SUBSTITUTE(SUBSTITUTE(SUBSTITUTE($A5947," ",""),"(주)",""),"주식회사",""),"㈜","")))</f>
        <v/>
      </c>
      <c r="H5947" s="10" t="str">
        <f aca="false">IF($B5947="","",SUBSTITUTE(SUBSTITUTE(SUBSTITUTE($B5947,"-","")," ",""),".",""))</f>
        <v/>
      </c>
      <c r="I5947" s="10" t="str">
        <f aca="false">IF($D5947="","",SUBSTITUTE(SUBSTITUTE(SUBSTITUTE($D5947,"-","")," ",""),".",""))</f>
        <v/>
      </c>
      <c r="J5947" s="10" t="str">
        <f aca="false">IF($E5947="","",UPPER(SUBSTITUTE($E5947," ","")))</f>
        <v/>
      </c>
      <c r="K5947" s="10" t="str">
        <f aca="false">IF($A5947="","",$G5947&amp;"|"&amp;$J5947)</f>
        <v/>
      </c>
      <c r="L5947" s="10" t="str">
        <f aca="false">IF($A5947="","",ROW()-2)</f>
        <v/>
      </c>
      <c r="M5947" s="10" t="str">
        <f aca="false">IF($A5947="","",ROW())</f>
        <v/>
      </c>
    </row>
    <row r="5948" customFormat="false" ht="15" hidden="false" customHeight="true" outlineLevel="0" collapsed="false">
      <c r="A5948" s="8"/>
      <c r="B5948" s="8"/>
      <c r="C5948" s="8"/>
      <c r="D5948" s="8"/>
      <c r="E5948" s="8"/>
      <c r="F5948" s="8"/>
      <c r="G5948" s="10" t="str">
        <f aca="false">IF($A5948="","",UPPER(SUBSTITUTE(SUBSTITUTE(SUBSTITUTE(SUBSTITUTE($A5948," ",""),"(주)",""),"주식회사",""),"㈜","")))</f>
        <v/>
      </c>
      <c r="H5948" s="10" t="str">
        <f aca="false">IF($B5948="","",SUBSTITUTE(SUBSTITUTE(SUBSTITUTE($B5948,"-","")," ",""),".",""))</f>
        <v/>
      </c>
      <c r="I5948" s="10" t="str">
        <f aca="false">IF($D5948="","",SUBSTITUTE(SUBSTITUTE(SUBSTITUTE($D5948,"-","")," ",""),".",""))</f>
        <v/>
      </c>
      <c r="J5948" s="10" t="str">
        <f aca="false">IF($E5948="","",UPPER(SUBSTITUTE($E5948," ","")))</f>
        <v/>
      </c>
      <c r="K5948" s="10" t="str">
        <f aca="false">IF($A5948="","",$G5948&amp;"|"&amp;$J5948)</f>
        <v/>
      </c>
      <c r="L5948" s="10" t="str">
        <f aca="false">IF($A5948="","",ROW()-2)</f>
        <v/>
      </c>
      <c r="M5948" s="10" t="str">
        <f aca="false">IF($A5948="","",ROW())</f>
        <v/>
      </c>
    </row>
    <row r="5949" customFormat="false" ht="15" hidden="false" customHeight="true" outlineLevel="0" collapsed="false">
      <c r="A5949" s="8"/>
      <c r="B5949" s="8"/>
      <c r="C5949" s="8"/>
      <c r="D5949" s="8"/>
      <c r="E5949" s="8"/>
      <c r="F5949" s="8"/>
      <c r="G5949" s="10" t="str">
        <f aca="false">IF($A5949="","",UPPER(SUBSTITUTE(SUBSTITUTE(SUBSTITUTE(SUBSTITUTE($A5949," ",""),"(주)",""),"주식회사",""),"㈜","")))</f>
        <v/>
      </c>
      <c r="H5949" s="10" t="str">
        <f aca="false">IF($B5949="","",SUBSTITUTE(SUBSTITUTE(SUBSTITUTE($B5949,"-","")," ",""),".",""))</f>
        <v/>
      </c>
      <c r="I5949" s="10" t="str">
        <f aca="false">IF($D5949="","",SUBSTITUTE(SUBSTITUTE(SUBSTITUTE($D5949,"-","")," ",""),".",""))</f>
        <v/>
      </c>
      <c r="J5949" s="10" t="str">
        <f aca="false">IF($E5949="","",UPPER(SUBSTITUTE($E5949," ","")))</f>
        <v/>
      </c>
      <c r="K5949" s="10" t="str">
        <f aca="false">IF($A5949="","",$G5949&amp;"|"&amp;$J5949)</f>
        <v/>
      </c>
      <c r="L5949" s="10" t="str">
        <f aca="false">IF($A5949="","",ROW()-2)</f>
        <v/>
      </c>
      <c r="M5949" s="10" t="str">
        <f aca="false">IF($A5949="","",ROW())</f>
        <v/>
      </c>
    </row>
    <row r="5950" customFormat="false" ht="15" hidden="false" customHeight="true" outlineLevel="0" collapsed="false">
      <c r="A5950" s="8"/>
      <c r="B5950" s="8"/>
      <c r="C5950" s="8"/>
      <c r="D5950" s="8"/>
      <c r="E5950" s="8"/>
      <c r="F5950" s="8"/>
      <c r="G5950" s="10" t="str">
        <f aca="false">IF($A5950="","",UPPER(SUBSTITUTE(SUBSTITUTE(SUBSTITUTE(SUBSTITUTE($A5950," ",""),"(주)",""),"주식회사",""),"㈜","")))</f>
        <v/>
      </c>
      <c r="H5950" s="10" t="str">
        <f aca="false">IF($B5950="","",SUBSTITUTE(SUBSTITUTE(SUBSTITUTE($B5950,"-","")," ",""),".",""))</f>
        <v/>
      </c>
      <c r="I5950" s="10" t="str">
        <f aca="false">IF($D5950="","",SUBSTITUTE(SUBSTITUTE(SUBSTITUTE($D5950,"-","")," ",""),".",""))</f>
        <v/>
      </c>
      <c r="J5950" s="10" t="str">
        <f aca="false">IF($E5950="","",UPPER(SUBSTITUTE($E5950," ","")))</f>
        <v/>
      </c>
      <c r="K5950" s="10" t="str">
        <f aca="false">IF($A5950="","",$G5950&amp;"|"&amp;$J5950)</f>
        <v/>
      </c>
      <c r="L5950" s="10" t="str">
        <f aca="false">IF($A5950="","",ROW()-2)</f>
        <v/>
      </c>
      <c r="M5950" s="10" t="str">
        <f aca="false">IF($A5950="","",ROW())</f>
        <v/>
      </c>
    </row>
    <row r="5951" customFormat="false" ht="15" hidden="false" customHeight="true" outlineLevel="0" collapsed="false">
      <c r="A5951" s="8"/>
      <c r="B5951" s="8"/>
      <c r="C5951" s="8"/>
      <c r="D5951" s="8"/>
      <c r="E5951" s="8"/>
      <c r="F5951" s="8"/>
      <c r="G5951" s="10" t="str">
        <f aca="false">IF($A5951="","",UPPER(SUBSTITUTE(SUBSTITUTE(SUBSTITUTE(SUBSTITUTE($A5951," ",""),"(주)",""),"주식회사",""),"㈜","")))</f>
        <v/>
      </c>
      <c r="H5951" s="10" t="str">
        <f aca="false">IF($B5951="","",SUBSTITUTE(SUBSTITUTE(SUBSTITUTE($B5951,"-","")," ",""),".",""))</f>
        <v/>
      </c>
      <c r="I5951" s="10" t="str">
        <f aca="false">IF($D5951="","",SUBSTITUTE(SUBSTITUTE(SUBSTITUTE($D5951,"-","")," ",""),".",""))</f>
        <v/>
      </c>
      <c r="J5951" s="10" t="str">
        <f aca="false">IF($E5951="","",UPPER(SUBSTITUTE($E5951," ","")))</f>
        <v/>
      </c>
      <c r="K5951" s="10" t="str">
        <f aca="false">IF($A5951="","",$G5951&amp;"|"&amp;$J5951)</f>
        <v/>
      </c>
      <c r="L5951" s="10" t="str">
        <f aca="false">IF($A5951="","",ROW()-2)</f>
        <v/>
      </c>
      <c r="M5951" s="10" t="str">
        <f aca="false">IF($A5951="","",ROW())</f>
        <v/>
      </c>
    </row>
    <row r="5952" customFormat="false" ht="15" hidden="false" customHeight="true" outlineLevel="0" collapsed="false">
      <c r="A5952" s="8"/>
      <c r="B5952" s="8"/>
      <c r="C5952" s="8"/>
      <c r="D5952" s="8"/>
      <c r="E5952" s="8"/>
      <c r="F5952" s="8"/>
      <c r="G5952" s="10" t="str">
        <f aca="false">IF($A5952="","",UPPER(SUBSTITUTE(SUBSTITUTE(SUBSTITUTE(SUBSTITUTE($A5952," ",""),"(주)",""),"주식회사",""),"㈜","")))</f>
        <v/>
      </c>
      <c r="H5952" s="10" t="str">
        <f aca="false">IF($B5952="","",SUBSTITUTE(SUBSTITUTE(SUBSTITUTE($B5952,"-","")," ",""),".",""))</f>
        <v/>
      </c>
      <c r="I5952" s="10" t="str">
        <f aca="false">IF($D5952="","",SUBSTITUTE(SUBSTITUTE(SUBSTITUTE($D5952,"-","")," ",""),".",""))</f>
        <v/>
      </c>
      <c r="J5952" s="10" t="str">
        <f aca="false">IF($E5952="","",UPPER(SUBSTITUTE($E5952," ","")))</f>
        <v/>
      </c>
      <c r="K5952" s="10" t="str">
        <f aca="false">IF($A5952="","",$G5952&amp;"|"&amp;$J5952)</f>
        <v/>
      </c>
      <c r="L5952" s="10" t="str">
        <f aca="false">IF($A5952="","",ROW()-2)</f>
        <v/>
      </c>
      <c r="M5952" s="10" t="str">
        <f aca="false">IF($A5952="","",ROW())</f>
        <v/>
      </c>
    </row>
    <row r="5953" customFormat="false" ht="15" hidden="false" customHeight="true" outlineLevel="0" collapsed="false">
      <c r="A5953" s="8"/>
      <c r="B5953" s="8"/>
      <c r="C5953" s="8"/>
      <c r="D5953" s="8"/>
      <c r="E5953" s="8"/>
      <c r="F5953" s="8"/>
      <c r="G5953" s="10" t="str">
        <f aca="false">IF($A5953="","",UPPER(SUBSTITUTE(SUBSTITUTE(SUBSTITUTE(SUBSTITUTE($A5953," ",""),"(주)",""),"주식회사",""),"㈜","")))</f>
        <v/>
      </c>
      <c r="H5953" s="10" t="str">
        <f aca="false">IF($B5953="","",SUBSTITUTE(SUBSTITUTE(SUBSTITUTE($B5953,"-","")," ",""),".",""))</f>
        <v/>
      </c>
      <c r="I5953" s="10" t="str">
        <f aca="false">IF($D5953="","",SUBSTITUTE(SUBSTITUTE(SUBSTITUTE($D5953,"-","")," ",""),".",""))</f>
        <v/>
      </c>
      <c r="J5953" s="10" t="str">
        <f aca="false">IF($E5953="","",UPPER(SUBSTITUTE($E5953," ","")))</f>
        <v/>
      </c>
      <c r="K5953" s="10" t="str">
        <f aca="false">IF($A5953="","",$G5953&amp;"|"&amp;$J5953)</f>
        <v/>
      </c>
      <c r="L5953" s="10" t="str">
        <f aca="false">IF($A5953="","",ROW()-2)</f>
        <v/>
      </c>
      <c r="M5953" s="10" t="str">
        <f aca="false">IF($A5953="","",ROW())</f>
        <v/>
      </c>
    </row>
    <row r="5954" customFormat="false" ht="15" hidden="false" customHeight="true" outlineLevel="0" collapsed="false">
      <c r="A5954" s="8"/>
      <c r="B5954" s="8"/>
      <c r="C5954" s="8"/>
      <c r="D5954" s="8"/>
      <c r="E5954" s="8"/>
      <c r="F5954" s="8"/>
      <c r="G5954" s="10" t="str">
        <f aca="false">IF($A5954="","",UPPER(SUBSTITUTE(SUBSTITUTE(SUBSTITUTE(SUBSTITUTE($A5954," ",""),"(주)",""),"주식회사",""),"㈜","")))</f>
        <v/>
      </c>
      <c r="H5954" s="10" t="str">
        <f aca="false">IF($B5954="","",SUBSTITUTE(SUBSTITUTE(SUBSTITUTE($B5954,"-","")," ",""),".",""))</f>
        <v/>
      </c>
      <c r="I5954" s="10" t="str">
        <f aca="false">IF($D5954="","",SUBSTITUTE(SUBSTITUTE(SUBSTITUTE($D5954,"-","")," ",""),".",""))</f>
        <v/>
      </c>
      <c r="J5954" s="10" t="str">
        <f aca="false">IF($E5954="","",UPPER(SUBSTITUTE($E5954," ","")))</f>
        <v/>
      </c>
      <c r="K5954" s="10" t="str">
        <f aca="false">IF($A5954="","",$G5954&amp;"|"&amp;$J5954)</f>
        <v/>
      </c>
      <c r="L5954" s="10" t="str">
        <f aca="false">IF($A5954="","",ROW()-2)</f>
        <v/>
      </c>
      <c r="M5954" s="10" t="str">
        <f aca="false">IF($A5954="","",ROW())</f>
        <v/>
      </c>
    </row>
    <row r="5955" customFormat="false" ht="15" hidden="false" customHeight="true" outlineLevel="0" collapsed="false">
      <c r="A5955" s="8"/>
      <c r="B5955" s="8"/>
      <c r="C5955" s="8"/>
      <c r="D5955" s="8"/>
      <c r="E5955" s="8"/>
      <c r="F5955" s="8"/>
      <c r="G5955" s="10" t="str">
        <f aca="false">IF($A5955="","",UPPER(SUBSTITUTE(SUBSTITUTE(SUBSTITUTE(SUBSTITUTE($A5955," ",""),"(주)",""),"주식회사",""),"㈜","")))</f>
        <v/>
      </c>
      <c r="H5955" s="10" t="str">
        <f aca="false">IF($B5955="","",SUBSTITUTE(SUBSTITUTE(SUBSTITUTE($B5955,"-","")," ",""),".",""))</f>
        <v/>
      </c>
      <c r="I5955" s="10" t="str">
        <f aca="false">IF($D5955="","",SUBSTITUTE(SUBSTITUTE(SUBSTITUTE($D5955,"-","")," ",""),".",""))</f>
        <v/>
      </c>
      <c r="J5955" s="10" t="str">
        <f aca="false">IF($E5955="","",UPPER(SUBSTITUTE($E5955," ","")))</f>
        <v/>
      </c>
      <c r="K5955" s="10" t="str">
        <f aca="false">IF($A5955="","",$G5955&amp;"|"&amp;$J5955)</f>
        <v/>
      </c>
      <c r="L5955" s="10" t="str">
        <f aca="false">IF($A5955="","",ROW()-2)</f>
        <v/>
      </c>
      <c r="M5955" s="10" t="str">
        <f aca="false">IF($A5955="","",ROW())</f>
        <v/>
      </c>
    </row>
    <row r="5956" customFormat="false" ht="15" hidden="false" customHeight="true" outlineLevel="0" collapsed="false">
      <c r="A5956" s="8"/>
      <c r="B5956" s="8"/>
      <c r="C5956" s="8"/>
      <c r="D5956" s="8"/>
      <c r="E5956" s="8"/>
      <c r="F5956" s="8"/>
      <c r="G5956" s="10" t="str">
        <f aca="false">IF($A5956="","",UPPER(SUBSTITUTE(SUBSTITUTE(SUBSTITUTE(SUBSTITUTE($A5956," ",""),"(주)",""),"주식회사",""),"㈜","")))</f>
        <v/>
      </c>
      <c r="H5956" s="10" t="str">
        <f aca="false">IF($B5956="","",SUBSTITUTE(SUBSTITUTE(SUBSTITUTE($B5956,"-","")," ",""),".",""))</f>
        <v/>
      </c>
      <c r="I5956" s="10" t="str">
        <f aca="false">IF($D5956="","",SUBSTITUTE(SUBSTITUTE(SUBSTITUTE($D5956,"-","")," ",""),".",""))</f>
        <v/>
      </c>
      <c r="J5956" s="10" t="str">
        <f aca="false">IF($E5956="","",UPPER(SUBSTITUTE($E5956," ","")))</f>
        <v/>
      </c>
      <c r="K5956" s="10" t="str">
        <f aca="false">IF($A5956="","",$G5956&amp;"|"&amp;$J5956)</f>
        <v/>
      </c>
      <c r="L5956" s="10" t="str">
        <f aca="false">IF($A5956="","",ROW()-2)</f>
        <v/>
      </c>
      <c r="M5956" s="10" t="str">
        <f aca="false">IF($A5956="","",ROW())</f>
        <v/>
      </c>
    </row>
    <row r="5957" customFormat="false" ht="15" hidden="false" customHeight="true" outlineLevel="0" collapsed="false">
      <c r="A5957" s="8"/>
      <c r="B5957" s="8"/>
      <c r="C5957" s="8"/>
      <c r="D5957" s="8"/>
      <c r="E5957" s="8"/>
      <c r="F5957" s="8"/>
      <c r="G5957" s="10" t="str">
        <f aca="false">IF($A5957="","",UPPER(SUBSTITUTE(SUBSTITUTE(SUBSTITUTE(SUBSTITUTE($A5957," ",""),"(주)",""),"주식회사",""),"㈜","")))</f>
        <v/>
      </c>
      <c r="H5957" s="10" t="str">
        <f aca="false">IF($B5957="","",SUBSTITUTE(SUBSTITUTE(SUBSTITUTE($B5957,"-","")," ",""),".",""))</f>
        <v/>
      </c>
      <c r="I5957" s="10" t="str">
        <f aca="false">IF($D5957="","",SUBSTITUTE(SUBSTITUTE(SUBSTITUTE($D5957,"-","")," ",""),".",""))</f>
        <v/>
      </c>
      <c r="J5957" s="10" t="str">
        <f aca="false">IF($E5957="","",UPPER(SUBSTITUTE($E5957," ","")))</f>
        <v/>
      </c>
      <c r="K5957" s="10" t="str">
        <f aca="false">IF($A5957="","",$G5957&amp;"|"&amp;$J5957)</f>
        <v/>
      </c>
      <c r="L5957" s="10" t="str">
        <f aca="false">IF($A5957="","",ROW()-2)</f>
        <v/>
      </c>
      <c r="M5957" s="10" t="str">
        <f aca="false">IF($A5957="","",ROW())</f>
        <v/>
      </c>
    </row>
    <row r="5958" customFormat="false" ht="15" hidden="false" customHeight="true" outlineLevel="0" collapsed="false">
      <c r="A5958" s="8"/>
      <c r="B5958" s="8"/>
      <c r="C5958" s="8"/>
      <c r="D5958" s="8"/>
      <c r="E5958" s="8"/>
      <c r="F5958" s="8"/>
      <c r="G5958" s="10" t="str">
        <f aca="false">IF($A5958="","",UPPER(SUBSTITUTE(SUBSTITUTE(SUBSTITUTE(SUBSTITUTE($A5958," ",""),"(주)",""),"주식회사",""),"㈜","")))</f>
        <v/>
      </c>
      <c r="H5958" s="10" t="str">
        <f aca="false">IF($B5958="","",SUBSTITUTE(SUBSTITUTE(SUBSTITUTE($B5958,"-","")," ",""),".",""))</f>
        <v/>
      </c>
      <c r="I5958" s="10" t="str">
        <f aca="false">IF($D5958="","",SUBSTITUTE(SUBSTITUTE(SUBSTITUTE($D5958,"-","")," ",""),".",""))</f>
        <v/>
      </c>
      <c r="J5958" s="10" t="str">
        <f aca="false">IF($E5958="","",UPPER(SUBSTITUTE($E5958," ","")))</f>
        <v/>
      </c>
      <c r="K5958" s="10" t="str">
        <f aca="false">IF($A5958="","",$G5958&amp;"|"&amp;$J5958)</f>
        <v/>
      </c>
      <c r="L5958" s="10" t="str">
        <f aca="false">IF($A5958="","",ROW()-2)</f>
        <v/>
      </c>
      <c r="M5958" s="10" t="str">
        <f aca="false">IF($A5958="","",ROW())</f>
        <v/>
      </c>
    </row>
    <row r="5959" customFormat="false" ht="15" hidden="false" customHeight="true" outlineLevel="0" collapsed="false">
      <c r="A5959" s="8"/>
      <c r="B5959" s="8"/>
      <c r="C5959" s="8"/>
      <c r="D5959" s="8"/>
      <c r="E5959" s="8"/>
      <c r="F5959" s="8"/>
      <c r="G5959" s="10" t="str">
        <f aca="false">IF($A5959="","",UPPER(SUBSTITUTE(SUBSTITUTE(SUBSTITUTE(SUBSTITUTE($A5959," ",""),"(주)",""),"주식회사",""),"㈜","")))</f>
        <v/>
      </c>
      <c r="H5959" s="10" t="str">
        <f aca="false">IF($B5959="","",SUBSTITUTE(SUBSTITUTE(SUBSTITUTE($B5959,"-","")," ",""),".",""))</f>
        <v/>
      </c>
      <c r="I5959" s="10" t="str">
        <f aca="false">IF($D5959="","",SUBSTITUTE(SUBSTITUTE(SUBSTITUTE($D5959,"-","")," ",""),".",""))</f>
        <v/>
      </c>
      <c r="J5959" s="10" t="str">
        <f aca="false">IF($E5959="","",UPPER(SUBSTITUTE($E5959," ","")))</f>
        <v/>
      </c>
      <c r="K5959" s="10" t="str">
        <f aca="false">IF($A5959="","",$G5959&amp;"|"&amp;$J5959)</f>
        <v/>
      </c>
      <c r="L5959" s="10" t="str">
        <f aca="false">IF($A5959="","",ROW()-2)</f>
        <v/>
      </c>
      <c r="M5959" s="10" t="str">
        <f aca="false">IF($A5959="","",ROW())</f>
        <v/>
      </c>
    </row>
    <row r="5960" customFormat="false" ht="15" hidden="false" customHeight="true" outlineLevel="0" collapsed="false">
      <c r="A5960" s="8"/>
      <c r="B5960" s="8"/>
      <c r="C5960" s="8"/>
      <c r="D5960" s="8"/>
      <c r="E5960" s="8"/>
      <c r="F5960" s="8"/>
      <c r="G5960" s="10" t="str">
        <f aca="false">IF($A5960="","",UPPER(SUBSTITUTE(SUBSTITUTE(SUBSTITUTE(SUBSTITUTE($A5960," ",""),"(주)",""),"주식회사",""),"㈜","")))</f>
        <v/>
      </c>
      <c r="H5960" s="10" t="str">
        <f aca="false">IF($B5960="","",SUBSTITUTE(SUBSTITUTE(SUBSTITUTE($B5960,"-","")," ",""),".",""))</f>
        <v/>
      </c>
      <c r="I5960" s="10" t="str">
        <f aca="false">IF($D5960="","",SUBSTITUTE(SUBSTITUTE(SUBSTITUTE($D5960,"-","")," ",""),".",""))</f>
        <v/>
      </c>
      <c r="J5960" s="10" t="str">
        <f aca="false">IF($E5960="","",UPPER(SUBSTITUTE($E5960," ","")))</f>
        <v/>
      </c>
      <c r="K5960" s="10" t="str">
        <f aca="false">IF($A5960="","",$G5960&amp;"|"&amp;$J5960)</f>
        <v/>
      </c>
      <c r="L5960" s="10" t="str">
        <f aca="false">IF($A5960="","",ROW()-2)</f>
        <v/>
      </c>
      <c r="M5960" s="10" t="str">
        <f aca="false">IF($A5960="","",ROW())</f>
        <v/>
      </c>
    </row>
    <row r="5961" customFormat="false" ht="15" hidden="false" customHeight="true" outlineLevel="0" collapsed="false">
      <c r="A5961" s="8"/>
      <c r="B5961" s="8"/>
      <c r="C5961" s="8"/>
      <c r="D5961" s="8"/>
      <c r="E5961" s="8"/>
      <c r="F5961" s="8"/>
      <c r="G5961" s="10" t="str">
        <f aca="false">IF($A5961="","",UPPER(SUBSTITUTE(SUBSTITUTE(SUBSTITUTE(SUBSTITUTE($A5961," ",""),"(주)",""),"주식회사",""),"㈜","")))</f>
        <v/>
      </c>
      <c r="H5961" s="10" t="str">
        <f aca="false">IF($B5961="","",SUBSTITUTE(SUBSTITUTE(SUBSTITUTE($B5961,"-","")," ",""),".",""))</f>
        <v/>
      </c>
      <c r="I5961" s="10" t="str">
        <f aca="false">IF($D5961="","",SUBSTITUTE(SUBSTITUTE(SUBSTITUTE($D5961,"-","")," ",""),".",""))</f>
        <v/>
      </c>
      <c r="J5961" s="10" t="str">
        <f aca="false">IF($E5961="","",UPPER(SUBSTITUTE($E5961," ","")))</f>
        <v/>
      </c>
      <c r="K5961" s="10" t="str">
        <f aca="false">IF($A5961="","",$G5961&amp;"|"&amp;$J5961)</f>
        <v/>
      </c>
      <c r="L5961" s="10" t="str">
        <f aca="false">IF($A5961="","",ROW()-2)</f>
        <v/>
      </c>
      <c r="M5961" s="10" t="str">
        <f aca="false">IF($A5961="","",ROW())</f>
        <v/>
      </c>
    </row>
    <row r="5962" customFormat="false" ht="15" hidden="false" customHeight="true" outlineLevel="0" collapsed="false">
      <c r="A5962" s="8"/>
      <c r="B5962" s="8"/>
      <c r="C5962" s="8"/>
      <c r="D5962" s="8"/>
      <c r="E5962" s="8"/>
      <c r="F5962" s="8"/>
      <c r="G5962" s="10" t="str">
        <f aca="false">IF($A5962="","",UPPER(SUBSTITUTE(SUBSTITUTE(SUBSTITUTE(SUBSTITUTE($A5962," ",""),"(주)",""),"주식회사",""),"㈜","")))</f>
        <v/>
      </c>
      <c r="H5962" s="10" t="str">
        <f aca="false">IF($B5962="","",SUBSTITUTE(SUBSTITUTE(SUBSTITUTE($B5962,"-","")," ",""),".",""))</f>
        <v/>
      </c>
      <c r="I5962" s="10" t="str">
        <f aca="false">IF($D5962="","",SUBSTITUTE(SUBSTITUTE(SUBSTITUTE($D5962,"-","")," ",""),".",""))</f>
        <v/>
      </c>
      <c r="J5962" s="10" t="str">
        <f aca="false">IF($E5962="","",UPPER(SUBSTITUTE($E5962," ","")))</f>
        <v/>
      </c>
      <c r="K5962" s="10" t="str">
        <f aca="false">IF($A5962="","",$G5962&amp;"|"&amp;$J5962)</f>
        <v/>
      </c>
      <c r="L5962" s="10" t="str">
        <f aca="false">IF($A5962="","",ROW()-2)</f>
        <v/>
      </c>
      <c r="M5962" s="10" t="str">
        <f aca="false">IF($A5962="","",ROW())</f>
        <v/>
      </c>
    </row>
    <row r="5963" customFormat="false" ht="15" hidden="false" customHeight="true" outlineLevel="0" collapsed="false">
      <c r="A5963" s="8"/>
      <c r="B5963" s="8"/>
      <c r="C5963" s="8"/>
      <c r="D5963" s="8"/>
      <c r="E5963" s="8"/>
      <c r="F5963" s="8"/>
      <c r="G5963" s="10" t="str">
        <f aca="false">IF($A5963="","",UPPER(SUBSTITUTE(SUBSTITUTE(SUBSTITUTE(SUBSTITUTE($A5963," ",""),"(주)",""),"주식회사",""),"㈜","")))</f>
        <v/>
      </c>
      <c r="H5963" s="10" t="str">
        <f aca="false">IF($B5963="","",SUBSTITUTE(SUBSTITUTE(SUBSTITUTE($B5963,"-","")," ",""),".",""))</f>
        <v/>
      </c>
      <c r="I5963" s="10" t="str">
        <f aca="false">IF($D5963="","",SUBSTITUTE(SUBSTITUTE(SUBSTITUTE($D5963,"-","")," ",""),".",""))</f>
        <v/>
      </c>
      <c r="J5963" s="10" t="str">
        <f aca="false">IF($E5963="","",UPPER(SUBSTITUTE($E5963," ","")))</f>
        <v/>
      </c>
      <c r="K5963" s="10" t="str">
        <f aca="false">IF($A5963="","",$G5963&amp;"|"&amp;$J5963)</f>
        <v/>
      </c>
      <c r="L5963" s="10" t="str">
        <f aca="false">IF($A5963="","",ROW()-2)</f>
        <v/>
      </c>
      <c r="M5963" s="10" t="str">
        <f aca="false">IF($A5963="","",ROW())</f>
        <v/>
      </c>
    </row>
    <row r="5964" customFormat="false" ht="15" hidden="false" customHeight="true" outlineLevel="0" collapsed="false">
      <c r="A5964" s="8"/>
      <c r="B5964" s="8"/>
      <c r="C5964" s="8"/>
      <c r="D5964" s="8"/>
      <c r="E5964" s="8"/>
      <c r="F5964" s="8"/>
      <c r="G5964" s="10" t="str">
        <f aca="false">IF($A5964="","",UPPER(SUBSTITUTE(SUBSTITUTE(SUBSTITUTE(SUBSTITUTE($A5964," ",""),"(주)",""),"주식회사",""),"㈜","")))</f>
        <v/>
      </c>
      <c r="H5964" s="10" t="str">
        <f aca="false">IF($B5964="","",SUBSTITUTE(SUBSTITUTE(SUBSTITUTE($B5964,"-","")," ",""),".",""))</f>
        <v/>
      </c>
      <c r="I5964" s="10" t="str">
        <f aca="false">IF($D5964="","",SUBSTITUTE(SUBSTITUTE(SUBSTITUTE($D5964,"-","")," ",""),".",""))</f>
        <v/>
      </c>
      <c r="J5964" s="10" t="str">
        <f aca="false">IF($E5964="","",UPPER(SUBSTITUTE($E5964," ","")))</f>
        <v/>
      </c>
      <c r="K5964" s="10" t="str">
        <f aca="false">IF($A5964="","",$G5964&amp;"|"&amp;$J5964)</f>
        <v/>
      </c>
      <c r="L5964" s="10" t="str">
        <f aca="false">IF($A5964="","",ROW()-2)</f>
        <v/>
      </c>
      <c r="M5964" s="10" t="str">
        <f aca="false">IF($A5964="","",ROW())</f>
        <v/>
      </c>
    </row>
    <row r="5965" customFormat="false" ht="15" hidden="false" customHeight="true" outlineLevel="0" collapsed="false">
      <c r="A5965" s="8"/>
      <c r="B5965" s="8"/>
      <c r="C5965" s="8"/>
      <c r="D5965" s="8"/>
      <c r="E5965" s="8"/>
      <c r="F5965" s="8"/>
      <c r="G5965" s="10" t="str">
        <f aca="false">IF($A5965="","",UPPER(SUBSTITUTE(SUBSTITUTE(SUBSTITUTE(SUBSTITUTE($A5965," ",""),"(주)",""),"주식회사",""),"㈜","")))</f>
        <v/>
      </c>
      <c r="H5965" s="10" t="str">
        <f aca="false">IF($B5965="","",SUBSTITUTE(SUBSTITUTE(SUBSTITUTE($B5965,"-","")," ",""),".",""))</f>
        <v/>
      </c>
      <c r="I5965" s="10" t="str">
        <f aca="false">IF($D5965="","",SUBSTITUTE(SUBSTITUTE(SUBSTITUTE($D5965,"-","")," ",""),".",""))</f>
        <v/>
      </c>
      <c r="J5965" s="10" t="str">
        <f aca="false">IF($E5965="","",UPPER(SUBSTITUTE($E5965," ","")))</f>
        <v/>
      </c>
      <c r="K5965" s="10" t="str">
        <f aca="false">IF($A5965="","",$G5965&amp;"|"&amp;$J5965)</f>
        <v/>
      </c>
      <c r="L5965" s="10" t="str">
        <f aca="false">IF($A5965="","",ROW()-2)</f>
        <v/>
      </c>
      <c r="M5965" s="10" t="str">
        <f aca="false">IF($A5965="","",ROW())</f>
        <v/>
      </c>
    </row>
    <row r="5966" customFormat="false" ht="15" hidden="false" customHeight="true" outlineLevel="0" collapsed="false">
      <c r="A5966" s="8"/>
      <c r="B5966" s="8"/>
      <c r="C5966" s="8"/>
      <c r="D5966" s="8"/>
      <c r="E5966" s="8"/>
      <c r="F5966" s="8"/>
      <c r="G5966" s="10" t="str">
        <f aca="false">IF($A5966="","",UPPER(SUBSTITUTE(SUBSTITUTE(SUBSTITUTE(SUBSTITUTE($A5966," ",""),"(주)",""),"주식회사",""),"㈜","")))</f>
        <v/>
      </c>
      <c r="H5966" s="10" t="str">
        <f aca="false">IF($B5966="","",SUBSTITUTE(SUBSTITUTE(SUBSTITUTE($B5966,"-","")," ",""),".",""))</f>
        <v/>
      </c>
      <c r="I5966" s="10" t="str">
        <f aca="false">IF($D5966="","",SUBSTITUTE(SUBSTITUTE(SUBSTITUTE($D5966,"-","")," ",""),".",""))</f>
        <v/>
      </c>
      <c r="J5966" s="10" t="str">
        <f aca="false">IF($E5966="","",UPPER(SUBSTITUTE($E5966," ","")))</f>
        <v/>
      </c>
      <c r="K5966" s="10" t="str">
        <f aca="false">IF($A5966="","",$G5966&amp;"|"&amp;$J5966)</f>
        <v/>
      </c>
      <c r="L5966" s="10" t="str">
        <f aca="false">IF($A5966="","",ROW()-2)</f>
        <v/>
      </c>
      <c r="M5966" s="10" t="str">
        <f aca="false">IF($A5966="","",ROW())</f>
        <v/>
      </c>
    </row>
    <row r="5967" customFormat="false" ht="15" hidden="false" customHeight="true" outlineLevel="0" collapsed="false">
      <c r="A5967" s="8"/>
      <c r="B5967" s="8"/>
      <c r="C5967" s="8"/>
      <c r="D5967" s="8"/>
      <c r="E5967" s="8"/>
      <c r="F5967" s="8"/>
      <c r="G5967" s="10" t="str">
        <f aca="false">IF($A5967="","",UPPER(SUBSTITUTE(SUBSTITUTE(SUBSTITUTE(SUBSTITUTE($A5967," ",""),"(주)",""),"주식회사",""),"㈜","")))</f>
        <v/>
      </c>
      <c r="H5967" s="10" t="str">
        <f aca="false">IF($B5967="","",SUBSTITUTE(SUBSTITUTE(SUBSTITUTE($B5967,"-","")," ",""),".",""))</f>
        <v/>
      </c>
      <c r="I5967" s="10" t="str">
        <f aca="false">IF($D5967="","",SUBSTITUTE(SUBSTITUTE(SUBSTITUTE($D5967,"-","")," ",""),".",""))</f>
        <v/>
      </c>
      <c r="J5967" s="10" t="str">
        <f aca="false">IF($E5967="","",UPPER(SUBSTITUTE($E5967," ","")))</f>
        <v/>
      </c>
      <c r="K5967" s="10" t="str">
        <f aca="false">IF($A5967="","",$G5967&amp;"|"&amp;$J5967)</f>
        <v/>
      </c>
      <c r="L5967" s="10" t="str">
        <f aca="false">IF($A5967="","",ROW()-2)</f>
        <v/>
      </c>
      <c r="M5967" s="10" t="str">
        <f aca="false">IF($A5967="","",ROW())</f>
        <v/>
      </c>
    </row>
    <row r="5968" customFormat="false" ht="15" hidden="false" customHeight="true" outlineLevel="0" collapsed="false">
      <c r="A5968" s="8"/>
      <c r="B5968" s="8"/>
      <c r="C5968" s="8"/>
      <c r="D5968" s="8"/>
      <c r="E5968" s="8"/>
      <c r="F5968" s="8"/>
      <c r="G5968" s="10" t="str">
        <f aca="false">IF($A5968="","",UPPER(SUBSTITUTE(SUBSTITUTE(SUBSTITUTE(SUBSTITUTE($A5968," ",""),"(주)",""),"주식회사",""),"㈜","")))</f>
        <v/>
      </c>
      <c r="H5968" s="10" t="str">
        <f aca="false">IF($B5968="","",SUBSTITUTE(SUBSTITUTE(SUBSTITUTE($B5968,"-","")," ",""),".",""))</f>
        <v/>
      </c>
      <c r="I5968" s="10" t="str">
        <f aca="false">IF($D5968="","",SUBSTITUTE(SUBSTITUTE(SUBSTITUTE($D5968,"-","")," ",""),".",""))</f>
        <v/>
      </c>
      <c r="J5968" s="10" t="str">
        <f aca="false">IF($E5968="","",UPPER(SUBSTITUTE($E5968," ","")))</f>
        <v/>
      </c>
      <c r="K5968" s="10" t="str">
        <f aca="false">IF($A5968="","",$G5968&amp;"|"&amp;$J5968)</f>
        <v/>
      </c>
      <c r="L5968" s="10" t="str">
        <f aca="false">IF($A5968="","",ROW()-2)</f>
        <v/>
      </c>
      <c r="M5968" s="10" t="str">
        <f aca="false">IF($A5968="","",ROW())</f>
        <v/>
      </c>
    </row>
    <row r="5969" customFormat="false" ht="15" hidden="false" customHeight="true" outlineLevel="0" collapsed="false">
      <c r="A5969" s="8"/>
      <c r="B5969" s="8"/>
      <c r="C5969" s="8"/>
      <c r="D5969" s="8"/>
      <c r="E5969" s="8"/>
      <c r="F5969" s="8"/>
      <c r="G5969" s="10" t="str">
        <f aca="false">IF($A5969="","",UPPER(SUBSTITUTE(SUBSTITUTE(SUBSTITUTE(SUBSTITUTE($A5969," ",""),"(주)",""),"주식회사",""),"㈜","")))</f>
        <v/>
      </c>
      <c r="H5969" s="10" t="str">
        <f aca="false">IF($B5969="","",SUBSTITUTE(SUBSTITUTE(SUBSTITUTE($B5969,"-","")," ",""),".",""))</f>
        <v/>
      </c>
      <c r="I5969" s="10" t="str">
        <f aca="false">IF($D5969="","",SUBSTITUTE(SUBSTITUTE(SUBSTITUTE($D5969,"-","")," ",""),".",""))</f>
        <v/>
      </c>
      <c r="J5969" s="10" t="str">
        <f aca="false">IF($E5969="","",UPPER(SUBSTITUTE($E5969," ","")))</f>
        <v/>
      </c>
      <c r="K5969" s="10" t="str">
        <f aca="false">IF($A5969="","",$G5969&amp;"|"&amp;$J5969)</f>
        <v/>
      </c>
      <c r="L5969" s="10" t="str">
        <f aca="false">IF($A5969="","",ROW()-2)</f>
        <v/>
      </c>
      <c r="M5969" s="10" t="str">
        <f aca="false">IF($A5969="","",ROW())</f>
        <v/>
      </c>
    </row>
    <row r="5970" customFormat="false" ht="15" hidden="false" customHeight="true" outlineLevel="0" collapsed="false">
      <c r="A5970" s="8"/>
      <c r="B5970" s="8"/>
      <c r="C5970" s="8"/>
      <c r="D5970" s="8"/>
      <c r="E5970" s="8"/>
      <c r="F5970" s="8"/>
      <c r="G5970" s="10" t="str">
        <f aca="false">IF($A5970="","",UPPER(SUBSTITUTE(SUBSTITUTE(SUBSTITUTE(SUBSTITUTE($A5970," ",""),"(주)",""),"주식회사",""),"㈜","")))</f>
        <v/>
      </c>
      <c r="H5970" s="10" t="str">
        <f aca="false">IF($B5970="","",SUBSTITUTE(SUBSTITUTE(SUBSTITUTE($B5970,"-","")," ",""),".",""))</f>
        <v/>
      </c>
      <c r="I5970" s="10" t="str">
        <f aca="false">IF($D5970="","",SUBSTITUTE(SUBSTITUTE(SUBSTITUTE($D5970,"-","")," ",""),".",""))</f>
        <v/>
      </c>
      <c r="J5970" s="10" t="str">
        <f aca="false">IF($E5970="","",UPPER(SUBSTITUTE($E5970," ","")))</f>
        <v/>
      </c>
      <c r="K5970" s="10" t="str">
        <f aca="false">IF($A5970="","",$G5970&amp;"|"&amp;$J5970)</f>
        <v/>
      </c>
      <c r="L5970" s="10" t="str">
        <f aca="false">IF($A5970="","",ROW()-2)</f>
        <v/>
      </c>
      <c r="M5970" s="10" t="str">
        <f aca="false">IF($A5970="","",ROW())</f>
        <v/>
      </c>
    </row>
    <row r="5971" customFormat="false" ht="15" hidden="false" customHeight="true" outlineLevel="0" collapsed="false">
      <c r="A5971" s="8"/>
      <c r="B5971" s="8"/>
      <c r="C5971" s="8"/>
      <c r="D5971" s="8"/>
      <c r="E5971" s="8"/>
      <c r="F5971" s="8"/>
      <c r="G5971" s="10" t="str">
        <f aca="false">IF($A5971="","",UPPER(SUBSTITUTE(SUBSTITUTE(SUBSTITUTE(SUBSTITUTE($A5971," ",""),"(주)",""),"주식회사",""),"㈜","")))</f>
        <v/>
      </c>
      <c r="H5971" s="10" t="str">
        <f aca="false">IF($B5971="","",SUBSTITUTE(SUBSTITUTE(SUBSTITUTE($B5971,"-","")," ",""),".",""))</f>
        <v/>
      </c>
      <c r="I5971" s="10" t="str">
        <f aca="false">IF($D5971="","",SUBSTITUTE(SUBSTITUTE(SUBSTITUTE($D5971,"-","")," ",""),".",""))</f>
        <v/>
      </c>
      <c r="J5971" s="10" t="str">
        <f aca="false">IF($E5971="","",UPPER(SUBSTITUTE($E5971," ","")))</f>
        <v/>
      </c>
      <c r="K5971" s="10" t="str">
        <f aca="false">IF($A5971="","",$G5971&amp;"|"&amp;$J5971)</f>
        <v/>
      </c>
      <c r="L5971" s="10" t="str">
        <f aca="false">IF($A5971="","",ROW()-2)</f>
        <v/>
      </c>
      <c r="M5971" s="10" t="str">
        <f aca="false">IF($A5971="","",ROW())</f>
        <v/>
      </c>
    </row>
    <row r="5972" customFormat="false" ht="15" hidden="false" customHeight="true" outlineLevel="0" collapsed="false">
      <c r="A5972" s="8"/>
      <c r="B5972" s="8"/>
      <c r="C5972" s="8"/>
      <c r="D5972" s="8"/>
      <c r="E5972" s="8"/>
      <c r="F5972" s="8"/>
      <c r="G5972" s="10" t="str">
        <f aca="false">IF($A5972="","",UPPER(SUBSTITUTE(SUBSTITUTE(SUBSTITUTE(SUBSTITUTE($A5972," ",""),"(주)",""),"주식회사",""),"㈜","")))</f>
        <v/>
      </c>
      <c r="H5972" s="10" t="str">
        <f aca="false">IF($B5972="","",SUBSTITUTE(SUBSTITUTE(SUBSTITUTE($B5972,"-","")," ",""),".",""))</f>
        <v/>
      </c>
      <c r="I5972" s="10" t="str">
        <f aca="false">IF($D5972="","",SUBSTITUTE(SUBSTITUTE(SUBSTITUTE($D5972,"-","")," ",""),".",""))</f>
        <v/>
      </c>
      <c r="J5972" s="10" t="str">
        <f aca="false">IF($E5972="","",UPPER(SUBSTITUTE($E5972," ","")))</f>
        <v/>
      </c>
      <c r="K5972" s="10" t="str">
        <f aca="false">IF($A5972="","",$G5972&amp;"|"&amp;$J5972)</f>
        <v/>
      </c>
      <c r="L5972" s="10" t="str">
        <f aca="false">IF($A5972="","",ROW()-2)</f>
        <v/>
      </c>
      <c r="M5972" s="10" t="str">
        <f aca="false">IF($A5972="","",ROW())</f>
        <v/>
      </c>
    </row>
    <row r="5973" customFormat="false" ht="15" hidden="false" customHeight="true" outlineLevel="0" collapsed="false">
      <c r="A5973" s="8"/>
      <c r="B5973" s="8"/>
      <c r="C5973" s="8"/>
      <c r="D5973" s="8"/>
      <c r="E5973" s="8"/>
      <c r="F5973" s="8"/>
      <c r="G5973" s="10" t="str">
        <f aca="false">IF($A5973="","",UPPER(SUBSTITUTE(SUBSTITUTE(SUBSTITUTE(SUBSTITUTE($A5973," ",""),"(주)",""),"주식회사",""),"㈜","")))</f>
        <v/>
      </c>
      <c r="H5973" s="10" t="str">
        <f aca="false">IF($B5973="","",SUBSTITUTE(SUBSTITUTE(SUBSTITUTE($B5973,"-","")," ",""),".",""))</f>
        <v/>
      </c>
      <c r="I5973" s="10" t="str">
        <f aca="false">IF($D5973="","",SUBSTITUTE(SUBSTITUTE(SUBSTITUTE($D5973,"-","")," ",""),".",""))</f>
        <v/>
      </c>
      <c r="J5973" s="10" t="str">
        <f aca="false">IF($E5973="","",UPPER(SUBSTITUTE($E5973," ","")))</f>
        <v/>
      </c>
      <c r="K5973" s="10" t="str">
        <f aca="false">IF($A5973="","",$G5973&amp;"|"&amp;$J5973)</f>
        <v/>
      </c>
      <c r="L5973" s="10" t="str">
        <f aca="false">IF($A5973="","",ROW()-2)</f>
        <v/>
      </c>
      <c r="M5973" s="10" t="str">
        <f aca="false">IF($A5973="","",ROW())</f>
        <v/>
      </c>
    </row>
    <row r="5974" customFormat="false" ht="15" hidden="false" customHeight="true" outlineLevel="0" collapsed="false">
      <c r="A5974" s="8"/>
      <c r="B5974" s="8"/>
      <c r="C5974" s="8"/>
      <c r="D5974" s="8"/>
      <c r="E5974" s="8"/>
      <c r="F5974" s="8"/>
      <c r="G5974" s="10" t="str">
        <f aca="false">IF($A5974="","",UPPER(SUBSTITUTE(SUBSTITUTE(SUBSTITUTE(SUBSTITUTE($A5974," ",""),"(주)",""),"주식회사",""),"㈜","")))</f>
        <v/>
      </c>
      <c r="H5974" s="10" t="str">
        <f aca="false">IF($B5974="","",SUBSTITUTE(SUBSTITUTE(SUBSTITUTE($B5974,"-","")," ",""),".",""))</f>
        <v/>
      </c>
      <c r="I5974" s="10" t="str">
        <f aca="false">IF($D5974="","",SUBSTITUTE(SUBSTITUTE(SUBSTITUTE($D5974,"-","")," ",""),".",""))</f>
        <v/>
      </c>
      <c r="J5974" s="10" t="str">
        <f aca="false">IF($E5974="","",UPPER(SUBSTITUTE($E5974," ","")))</f>
        <v/>
      </c>
      <c r="K5974" s="10" t="str">
        <f aca="false">IF($A5974="","",$G5974&amp;"|"&amp;$J5974)</f>
        <v/>
      </c>
      <c r="L5974" s="10" t="str">
        <f aca="false">IF($A5974="","",ROW()-2)</f>
        <v/>
      </c>
      <c r="M5974" s="10" t="str">
        <f aca="false">IF($A5974="","",ROW())</f>
        <v/>
      </c>
    </row>
    <row r="5975" customFormat="false" ht="15" hidden="false" customHeight="true" outlineLevel="0" collapsed="false">
      <c r="A5975" s="8"/>
      <c r="B5975" s="8"/>
      <c r="C5975" s="8"/>
      <c r="D5975" s="8"/>
      <c r="E5975" s="8"/>
      <c r="F5975" s="8"/>
      <c r="G5975" s="10" t="str">
        <f aca="false">IF($A5975="","",UPPER(SUBSTITUTE(SUBSTITUTE(SUBSTITUTE(SUBSTITUTE($A5975," ",""),"(주)",""),"주식회사",""),"㈜","")))</f>
        <v/>
      </c>
      <c r="H5975" s="10" t="str">
        <f aca="false">IF($B5975="","",SUBSTITUTE(SUBSTITUTE(SUBSTITUTE($B5975,"-","")," ",""),".",""))</f>
        <v/>
      </c>
      <c r="I5975" s="10" t="str">
        <f aca="false">IF($D5975="","",SUBSTITUTE(SUBSTITUTE(SUBSTITUTE($D5975,"-","")," ",""),".",""))</f>
        <v/>
      </c>
      <c r="J5975" s="10" t="str">
        <f aca="false">IF($E5975="","",UPPER(SUBSTITUTE($E5975," ","")))</f>
        <v/>
      </c>
      <c r="K5975" s="10" t="str">
        <f aca="false">IF($A5975="","",$G5975&amp;"|"&amp;$J5975)</f>
        <v/>
      </c>
      <c r="L5975" s="10" t="str">
        <f aca="false">IF($A5975="","",ROW()-2)</f>
        <v/>
      </c>
      <c r="M5975" s="10" t="str">
        <f aca="false">IF($A5975="","",ROW())</f>
        <v/>
      </c>
    </row>
    <row r="5976" customFormat="false" ht="15" hidden="false" customHeight="true" outlineLevel="0" collapsed="false">
      <c r="A5976" s="8"/>
      <c r="B5976" s="8"/>
      <c r="C5976" s="8"/>
      <c r="D5976" s="8"/>
      <c r="E5976" s="8"/>
      <c r="F5976" s="8"/>
      <c r="G5976" s="10" t="str">
        <f aca="false">IF($A5976="","",UPPER(SUBSTITUTE(SUBSTITUTE(SUBSTITUTE(SUBSTITUTE($A5976," ",""),"(주)",""),"주식회사",""),"㈜","")))</f>
        <v/>
      </c>
      <c r="H5976" s="10" t="str">
        <f aca="false">IF($B5976="","",SUBSTITUTE(SUBSTITUTE(SUBSTITUTE($B5976,"-","")," ",""),".",""))</f>
        <v/>
      </c>
      <c r="I5976" s="10" t="str">
        <f aca="false">IF($D5976="","",SUBSTITUTE(SUBSTITUTE(SUBSTITUTE($D5976,"-","")," ",""),".",""))</f>
        <v/>
      </c>
      <c r="J5976" s="10" t="str">
        <f aca="false">IF($E5976="","",UPPER(SUBSTITUTE($E5976," ","")))</f>
        <v/>
      </c>
      <c r="K5976" s="10" t="str">
        <f aca="false">IF($A5976="","",$G5976&amp;"|"&amp;$J5976)</f>
        <v/>
      </c>
      <c r="L5976" s="10" t="str">
        <f aca="false">IF($A5976="","",ROW()-2)</f>
        <v/>
      </c>
      <c r="M5976" s="10" t="str">
        <f aca="false">IF($A5976="","",ROW())</f>
        <v/>
      </c>
    </row>
    <row r="5977" customFormat="false" ht="15" hidden="false" customHeight="true" outlineLevel="0" collapsed="false">
      <c r="A5977" s="8"/>
      <c r="B5977" s="8"/>
      <c r="C5977" s="8"/>
      <c r="D5977" s="8"/>
      <c r="E5977" s="8"/>
      <c r="F5977" s="8"/>
      <c r="G5977" s="10" t="str">
        <f aca="false">IF($A5977="","",UPPER(SUBSTITUTE(SUBSTITUTE(SUBSTITUTE(SUBSTITUTE($A5977," ",""),"(주)",""),"주식회사",""),"㈜","")))</f>
        <v/>
      </c>
      <c r="H5977" s="10" t="str">
        <f aca="false">IF($B5977="","",SUBSTITUTE(SUBSTITUTE(SUBSTITUTE($B5977,"-","")," ",""),".",""))</f>
        <v/>
      </c>
      <c r="I5977" s="10" t="str">
        <f aca="false">IF($D5977="","",SUBSTITUTE(SUBSTITUTE(SUBSTITUTE($D5977,"-","")," ",""),".",""))</f>
        <v/>
      </c>
      <c r="J5977" s="10" t="str">
        <f aca="false">IF($E5977="","",UPPER(SUBSTITUTE($E5977," ","")))</f>
        <v/>
      </c>
      <c r="K5977" s="10" t="str">
        <f aca="false">IF($A5977="","",$G5977&amp;"|"&amp;$J5977)</f>
        <v/>
      </c>
      <c r="L5977" s="10" t="str">
        <f aca="false">IF($A5977="","",ROW()-2)</f>
        <v/>
      </c>
      <c r="M5977" s="10" t="str">
        <f aca="false">IF($A5977="","",ROW())</f>
        <v/>
      </c>
    </row>
    <row r="5978" customFormat="false" ht="15" hidden="false" customHeight="true" outlineLevel="0" collapsed="false">
      <c r="A5978" s="8"/>
      <c r="B5978" s="8"/>
      <c r="C5978" s="8"/>
      <c r="D5978" s="8"/>
      <c r="E5978" s="8"/>
      <c r="F5978" s="8"/>
      <c r="G5978" s="10" t="str">
        <f aca="false">IF($A5978="","",UPPER(SUBSTITUTE(SUBSTITUTE(SUBSTITUTE(SUBSTITUTE($A5978," ",""),"(주)",""),"주식회사",""),"㈜","")))</f>
        <v/>
      </c>
      <c r="H5978" s="10" t="str">
        <f aca="false">IF($B5978="","",SUBSTITUTE(SUBSTITUTE(SUBSTITUTE($B5978,"-","")," ",""),".",""))</f>
        <v/>
      </c>
      <c r="I5978" s="10" t="str">
        <f aca="false">IF($D5978="","",SUBSTITUTE(SUBSTITUTE(SUBSTITUTE($D5978,"-","")," ",""),".",""))</f>
        <v/>
      </c>
      <c r="J5978" s="10" t="str">
        <f aca="false">IF($E5978="","",UPPER(SUBSTITUTE($E5978," ","")))</f>
        <v/>
      </c>
      <c r="K5978" s="10" t="str">
        <f aca="false">IF($A5978="","",$G5978&amp;"|"&amp;$J5978)</f>
        <v/>
      </c>
      <c r="L5978" s="10" t="str">
        <f aca="false">IF($A5978="","",ROW()-2)</f>
        <v/>
      </c>
      <c r="M5978" s="10" t="str">
        <f aca="false">IF($A5978="","",ROW())</f>
        <v/>
      </c>
    </row>
    <row r="5979" customFormat="false" ht="15" hidden="false" customHeight="true" outlineLevel="0" collapsed="false">
      <c r="A5979" s="8"/>
      <c r="B5979" s="8"/>
      <c r="C5979" s="8"/>
      <c r="D5979" s="8"/>
      <c r="E5979" s="8"/>
      <c r="F5979" s="8"/>
      <c r="G5979" s="10" t="str">
        <f aca="false">IF($A5979="","",UPPER(SUBSTITUTE(SUBSTITUTE(SUBSTITUTE(SUBSTITUTE($A5979," ",""),"(주)",""),"주식회사",""),"㈜","")))</f>
        <v/>
      </c>
      <c r="H5979" s="10" t="str">
        <f aca="false">IF($B5979="","",SUBSTITUTE(SUBSTITUTE(SUBSTITUTE($B5979,"-","")," ",""),".",""))</f>
        <v/>
      </c>
      <c r="I5979" s="10" t="str">
        <f aca="false">IF($D5979="","",SUBSTITUTE(SUBSTITUTE(SUBSTITUTE($D5979,"-","")," ",""),".",""))</f>
        <v/>
      </c>
      <c r="J5979" s="10" t="str">
        <f aca="false">IF($E5979="","",UPPER(SUBSTITUTE($E5979," ","")))</f>
        <v/>
      </c>
      <c r="K5979" s="10" t="str">
        <f aca="false">IF($A5979="","",$G5979&amp;"|"&amp;$J5979)</f>
        <v/>
      </c>
      <c r="L5979" s="10" t="str">
        <f aca="false">IF($A5979="","",ROW()-2)</f>
        <v/>
      </c>
      <c r="M5979" s="10" t="str">
        <f aca="false">IF($A5979="","",ROW())</f>
        <v/>
      </c>
    </row>
    <row r="5980" customFormat="false" ht="15" hidden="false" customHeight="true" outlineLevel="0" collapsed="false">
      <c r="A5980" s="8"/>
      <c r="B5980" s="8"/>
      <c r="C5980" s="8"/>
      <c r="D5980" s="8"/>
      <c r="E5980" s="8"/>
      <c r="F5980" s="8"/>
      <c r="G5980" s="10" t="str">
        <f aca="false">IF($A5980="","",UPPER(SUBSTITUTE(SUBSTITUTE(SUBSTITUTE(SUBSTITUTE($A5980," ",""),"(주)",""),"주식회사",""),"㈜","")))</f>
        <v/>
      </c>
      <c r="H5980" s="10" t="str">
        <f aca="false">IF($B5980="","",SUBSTITUTE(SUBSTITUTE(SUBSTITUTE($B5980,"-","")," ",""),".",""))</f>
        <v/>
      </c>
      <c r="I5980" s="10" t="str">
        <f aca="false">IF($D5980="","",SUBSTITUTE(SUBSTITUTE(SUBSTITUTE($D5980,"-","")," ",""),".",""))</f>
        <v/>
      </c>
      <c r="J5980" s="10" t="str">
        <f aca="false">IF($E5980="","",UPPER(SUBSTITUTE($E5980," ","")))</f>
        <v/>
      </c>
      <c r="K5980" s="10" t="str">
        <f aca="false">IF($A5980="","",$G5980&amp;"|"&amp;$J5980)</f>
        <v/>
      </c>
      <c r="L5980" s="10" t="str">
        <f aca="false">IF($A5980="","",ROW()-2)</f>
        <v/>
      </c>
      <c r="M5980" s="10" t="str">
        <f aca="false">IF($A5980="","",ROW())</f>
        <v/>
      </c>
    </row>
    <row r="5981" customFormat="false" ht="15" hidden="false" customHeight="true" outlineLevel="0" collapsed="false">
      <c r="A5981" s="8"/>
      <c r="B5981" s="8"/>
      <c r="C5981" s="8"/>
      <c r="D5981" s="8"/>
      <c r="E5981" s="8"/>
      <c r="F5981" s="8"/>
      <c r="G5981" s="10" t="str">
        <f aca="false">IF($A5981="","",UPPER(SUBSTITUTE(SUBSTITUTE(SUBSTITUTE(SUBSTITUTE($A5981," ",""),"(주)",""),"주식회사",""),"㈜","")))</f>
        <v/>
      </c>
      <c r="H5981" s="10" t="str">
        <f aca="false">IF($B5981="","",SUBSTITUTE(SUBSTITUTE(SUBSTITUTE($B5981,"-","")," ",""),".",""))</f>
        <v/>
      </c>
      <c r="I5981" s="10" t="str">
        <f aca="false">IF($D5981="","",SUBSTITUTE(SUBSTITUTE(SUBSTITUTE($D5981,"-","")," ",""),".",""))</f>
        <v/>
      </c>
      <c r="J5981" s="10" t="str">
        <f aca="false">IF($E5981="","",UPPER(SUBSTITUTE($E5981," ","")))</f>
        <v/>
      </c>
      <c r="K5981" s="10" t="str">
        <f aca="false">IF($A5981="","",$G5981&amp;"|"&amp;$J5981)</f>
        <v/>
      </c>
      <c r="L5981" s="10" t="str">
        <f aca="false">IF($A5981="","",ROW()-2)</f>
        <v/>
      </c>
      <c r="M5981" s="10" t="str">
        <f aca="false">IF($A5981="","",ROW())</f>
        <v/>
      </c>
    </row>
    <row r="5982" customFormat="false" ht="15" hidden="false" customHeight="true" outlineLevel="0" collapsed="false">
      <c r="A5982" s="8"/>
      <c r="B5982" s="8"/>
      <c r="C5982" s="8"/>
      <c r="D5982" s="8"/>
      <c r="E5982" s="8"/>
      <c r="F5982" s="8"/>
      <c r="G5982" s="10" t="str">
        <f aca="false">IF($A5982="","",UPPER(SUBSTITUTE(SUBSTITUTE(SUBSTITUTE(SUBSTITUTE($A5982," ",""),"(주)",""),"주식회사",""),"㈜","")))</f>
        <v/>
      </c>
      <c r="H5982" s="10" t="str">
        <f aca="false">IF($B5982="","",SUBSTITUTE(SUBSTITUTE(SUBSTITUTE($B5982,"-","")," ",""),".",""))</f>
        <v/>
      </c>
      <c r="I5982" s="10" t="str">
        <f aca="false">IF($D5982="","",SUBSTITUTE(SUBSTITUTE(SUBSTITUTE($D5982,"-","")," ",""),".",""))</f>
        <v/>
      </c>
      <c r="J5982" s="10" t="str">
        <f aca="false">IF($E5982="","",UPPER(SUBSTITUTE($E5982," ","")))</f>
        <v/>
      </c>
      <c r="K5982" s="10" t="str">
        <f aca="false">IF($A5982="","",$G5982&amp;"|"&amp;$J5982)</f>
        <v/>
      </c>
      <c r="L5982" s="10" t="str">
        <f aca="false">IF($A5982="","",ROW()-2)</f>
        <v/>
      </c>
      <c r="M5982" s="10" t="str">
        <f aca="false">IF($A5982="","",ROW())</f>
        <v/>
      </c>
    </row>
    <row r="5983" customFormat="false" ht="15" hidden="false" customHeight="true" outlineLevel="0" collapsed="false">
      <c r="A5983" s="8"/>
      <c r="B5983" s="8"/>
      <c r="C5983" s="8"/>
      <c r="D5983" s="8"/>
      <c r="E5983" s="8"/>
      <c r="F5983" s="8"/>
      <c r="G5983" s="10" t="str">
        <f aca="false">IF($A5983="","",UPPER(SUBSTITUTE(SUBSTITUTE(SUBSTITUTE(SUBSTITUTE($A5983," ",""),"(주)",""),"주식회사",""),"㈜","")))</f>
        <v/>
      </c>
      <c r="H5983" s="10" t="str">
        <f aca="false">IF($B5983="","",SUBSTITUTE(SUBSTITUTE(SUBSTITUTE($B5983,"-","")," ",""),".",""))</f>
        <v/>
      </c>
      <c r="I5983" s="10" t="str">
        <f aca="false">IF($D5983="","",SUBSTITUTE(SUBSTITUTE(SUBSTITUTE($D5983,"-","")," ",""),".",""))</f>
        <v/>
      </c>
      <c r="J5983" s="10" t="str">
        <f aca="false">IF($E5983="","",UPPER(SUBSTITUTE($E5983," ","")))</f>
        <v/>
      </c>
      <c r="K5983" s="10" t="str">
        <f aca="false">IF($A5983="","",$G5983&amp;"|"&amp;$J5983)</f>
        <v/>
      </c>
      <c r="L5983" s="10" t="str">
        <f aca="false">IF($A5983="","",ROW()-2)</f>
        <v/>
      </c>
      <c r="M5983" s="10" t="str">
        <f aca="false">IF($A5983="","",ROW())</f>
        <v/>
      </c>
    </row>
    <row r="5984" customFormat="false" ht="15" hidden="false" customHeight="true" outlineLevel="0" collapsed="false">
      <c r="A5984" s="8"/>
      <c r="B5984" s="8"/>
      <c r="C5984" s="8"/>
      <c r="D5984" s="8"/>
      <c r="E5984" s="8"/>
      <c r="F5984" s="8"/>
      <c r="G5984" s="10" t="str">
        <f aca="false">IF($A5984="","",UPPER(SUBSTITUTE(SUBSTITUTE(SUBSTITUTE(SUBSTITUTE($A5984," ",""),"(주)",""),"주식회사",""),"㈜","")))</f>
        <v/>
      </c>
      <c r="H5984" s="10" t="str">
        <f aca="false">IF($B5984="","",SUBSTITUTE(SUBSTITUTE(SUBSTITUTE($B5984,"-","")," ",""),".",""))</f>
        <v/>
      </c>
      <c r="I5984" s="10" t="str">
        <f aca="false">IF($D5984="","",SUBSTITUTE(SUBSTITUTE(SUBSTITUTE($D5984,"-","")," ",""),".",""))</f>
        <v/>
      </c>
      <c r="J5984" s="10" t="str">
        <f aca="false">IF($E5984="","",UPPER(SUBSTITUTE($E5984," ","")))</f>
        <v/>
      </c>
      <c r="K5984" s="10" t="str">
        <f aca="false">IF($A5984="","",$G5984&amp;"|"&amp;$J5984)</f>
        <v/>
      </c>
      <c r="L5984" s="10" t="str">
        <f aca="false">IF($A5984="","",ROW()-2)</f>
        <v/>
      </c>
      <c r="M5984" s="10" t="str">
        <f aca="false">IF($A5984="","",ROW())</f>
        <v/>
      </c>
    </row>
    <row r="5985" customFormat="false" ht="15" hidden="false" customHeight="true" outlineLevel="0" collapsed="false">
      <c r="A5985" s="8"/>
      <c r="B5985" s="8"/>
      <c r="C5985" s="8"/>
      <c r="D5985" s="8"/>
      <c r="E5985" s="8"/>
      <c r="F5985" s="8"/>
      <c r="G5985" s="10" t="str">
        <f aca="false">IF($A5985="","",UPPER(SUBSTITUTE(SUBSTITUTE(SUBSTITUTE(SUBSTITUTE($A5985," ",""),"(주)",""),"주식회사",""),"㈜","")))</f>
        <v/>
      </c>
      <c r="H5985" s="10" t="str">
        <f aca="false">IF($B5985="","",SUBSTITUTE(SUBSTITUTE(SUBSTITUTE($B5985,"-","")," ",""),".",""))</f>
        <v/>
      </c>
      <c r="I5985" s="10" t="str">
        <f aca="false">IF($D5985="","",SUBSTITUTE(SUBSTITUTE(SUBSTITUTE($D5985,"-","")," ",""),".",""))</f>
        <v/>
      </c>
      <c r="J5985" s="10" t="str">
        <f aca="false">IF($E5985="","",UPPER(SUBSTITUTE($E5985," ","")))</f>
        <v/>
      </c>
      <c r="K5985" s="10" t="str">
        <f aca="false">IF($A5985="","",$G5985&amp;"|"&amp;$J5985)</f>
        <v/>
      </c>
      <c r="L5985" s="10" t="str">
        <f aca="false">IF($A5985="","",ROW()-2)</f>
        <v/>
      </c>
      <c r="M5985" s="10" t="str">
        <f aca="false">IF($A5985="","",ROW())</f>
        <v/>
      </c>
    </row>
    <row r="5986" customFormat="false" ht="15" hidden="false" customHeight="true" outlineLevel="0" collapsed="false">
      <c r="A5986" s="8"/>
      <c r="B5986" s="8"/>
      <c r="C5986" s="8"/>
      <c r="D5986" s="8"/>
      <c r="E5986" s="8"/>
      <c r="F5986" s="8"/>
      <c r="G5986" s="10" t="str">
        <f aca="false">IF($A5986="","",UPPER(SUBSTITUTE(SUBSTITUTE(SUBSTITUTE(SUBSTITUTE($A5986," ",""),"(주)",""),"주식회사",""),"㈜","")))</f>
        <v/>
      </c>
      <c r="H5986" s="10" t="str">
        <f aca="false">IF($B5986="","",SUBSTITUTE(SUBSTITUTE(SUBSTITUTE($B5986,"-","")," ",""),".",""))</f>
        <v/>
      </c>
      <c r="I5986" s="10" t="str">
        <f aca="false">IF($D5986="","",SUBSTITUTE(SUBSTITUTE(SUBSTITUTE($D5986,"-","")," ",""),".",""))</f>
        <v/>
      </c>
      <c r="J5986" s="10" t="str">
        <f aca="false">IF($E5986="","",UPPER(SUBSTITUTE($E5986," ","")))</f>
        <v/>
      </c>
      <c r="K5986" s="10" t="str">
        <f aca="false">IF($A5986="","",$G5986&amp;"|"&amp;$J5986)</f>
        <v/>
      </c>
      <c r="L5986" s="10" t="str">
        <f aca="false">IF($A5986="","",ROW()-2)</f>
        <v/>
      </c>
      <c r="M5986" s="10" t="str">
        <f aca="false">IF($A5986="","",ROW())</f>
        <v/>
      </c>
    </row>
    <row r="5987" customFormat="false" ht="15" hidden="false" customHeight="true" outlineLevel="0" collapsed="false">
      <c r="A5987" s="8"/>
      <c r="B5987" s="8"/>
      <c r="C5987" s="8"/>
      <c r="D5987" s="8"/>
      <c r="E5987" s="8"/>
      <c r="F5987" s="8"/>
      <c r="G5987" s="10" t="str">
        <f aca="false">IF($A5987="","",UPPER(SUBSTITUTE(SUBSTITUTE(SUBSTITUTE(SUBSTITUTE($A5987," ",""),"(주)",""),"주식회사",""),"㈜","")))</f>
        <v/>
      </c>
      <c r="H5987" s="10" t="str">
        <f aca="false">IF($B5987="","",SUBSTITUTE(SUBSTITUTE(SUBSTITUTE($B5987,"-","")," ",""),".",""))</f>
        <v/>
      </c>
      <c r="I5987" s="10" t="str">
        <f aca="false">IF($D5987="","",SUBSTITUTE(SUBSTITUTE(SUBSTITUTE($D5987,"-","")," ",""),".",""))</f>
        <v/>
      </c>
      <c r="J5987" s="10" t="str">
        <f aca="false">IF($E5987="","",UPPER(SUBSTITUTE($E5987," ","")))</f>
        <v/>
      </c>
      <c r="K5987" s="10" t="str">
        <f aca="false">IF($A5987="","",$G5987&amp;"|"&amp;$J5987)</f>
        <v/>
      </c>
      <c r="L5987" s="10" t="str">
        <f aca="false">IF($A5987="","",ROW()-2)</f>
        <v/>
      </c>
      <c r="M5987" s="10" t="str">
        <f aca="false">IF($A5987="","",ROW())</f>
        <v/>
      </c>
    </row>
    <row r="5988" customFormat="false" ht="15" hidden="false" customHeight="true" outlineLevel="0" collapsed="false">
      <c r="A5988" s="8"/>
      <c r="B5988" s="8"/>
      <c r="C5988" s="8"/>
      <c r="D5988" s="8"/>
      <c r="E5988" s="8"/>
      <c r="F5988" s="8"/>
      <c r="G5988" s="10" t="str">
        <f aca="false">IF($A5988="","",UPPER(SUBSTITUTE(SUBSTITUTE(SUBSTITUTE(SUBSTITUTE($A5988," ",""),"(주)",""),"주식회사",""),"㈜","")))</f>
        <v/>
      </c>
      <c r="H5988" s="10" t="str">
        <f aca="false">IF($B5988="","",SUBSTITUTE(SUBSTITUTE(SUBSTITUTE($B5988,"-","")," ",""),".",""))</f>
        <v/>
      </c>
      <c r="I5988" s="10" t="str">
        <f aca="false">IF($D5988="","",SUBSTITUTE(SUBSTITUTE(SUBSTITUTE($D5988,"-","")," ",""),".",""))</f>
        <v/>
      </c>
      <c r="J5988" s="10" t="str">
        <f aca="false">IF($E5988="","",UPPER(SUBSTITUTE($E5988," ","")))</f>
        <v/>
      </c>
      <c r="K5988" s="10" t="str">
        <f aca="false">IF($A5988="","",$G5988&amp;"|"&amp;$J5988)</f>
        <v/>
      </c>
      <c r="L5988" s="10" t="str">
        <f aca="false">IF($A5988="","",ROW()-2)</f>
        <v/>
      </c>
      <c r="M5988" s="10" t="str">
        <f aca="false">IF($A5988="","",ROW())</f>
        <v/>
      </c>
    </row>
    <row r="5989" customFormat="false" ht="15" hidden="false" customHeight="true" outlineLevel="0" collapsed="false">
      <c r="A5989" s="8"/>
      <c r="B5989" s="8"/>
      <c r="C5989" s="8"/>
      <c r="D5989" s="8"/>
      <c r="E5989" s="8"/>
      <c r="F5989" s="8"/>
      <c r="G5989" s="10" t="str">
        <f aca="false">IF($A5989="","",UPPER(SUBSTITUTE(SUBSTITUTE(SUBSTITUTE(SUBSTITUTE($A5989," ",""),"(주)",""),"주식회사",""),"㈜","")))</f>
        <v/>
      </c>
      <c r="H5989" s="10" t="str">
        <f aca="false">IF($B5989="","",SUBSTITUTE(SUBSTITUTE(SUBSTITUTE($B5989,"-","")," ",""),".",""))</f>
        <v/>
      </c>
      <c r="I5989" s="10" t="str">
        <f aca="false">IF($D5989="","",SUBSTITUTE(SUBSTITUTE(SUBSTITUTE($D5989,"-","")," ",""),".",""))</f>
        <v/>
      </c>
      <c r="J5989" s="10" t="str">
        <f aca="false">IF($E5989="","",UPPER(SUBSTITUTE($E5989," ","")))</f>
        <v/>
      </c>
      <c r="K5989" s="10" t="str">
        <f aca="false">IF($A5989="","",$G5989&amp;"|"&amp;$J5989)</f>
        <v/>
      </c>
      <c r="L5989" s="10" t="str">
        <f aca="false">IF($A5989="","",ROW()-2)</f>
        <v/>
      </c>
      <c r="M5989" s="10" t="str">
        <f aca="false">IF($A5989="","",ROW())</f>
        <v/>
      </c>
    </row>
    <row r="5990" customFormat="false" ht="15" hidden="false" customHeight="true" outlineLevel="0" collapsed="false">
      <c r="A5990" s="8"/>
      <c r="B5990" s="8"/>
      <c r="C5990" s="8"/>
      <c r="D5990" s="8"/>
      <c r="E5990" s="8"/>
      <c r="F5990" s="8"/>
      <c r="G5990" s="10" t="str">
        <f aca="false">IF($A5990="","",UPPER(SUBSTITUTE(SUBSTITUTE(SUBSTITUTE(SUBSTITUTE($A5990," ",""),"(주)",""),"주식회사",""),"㈜","")))</f>
        <v/>
      </c>
      <c r="H5990" s="10" t="str">
        <f aca="false">IF($B5990="","",SUBSTITUTE(SUBSTITUTE(SUBSTITUTE($B5990,"-","")," ",""),".",""))</f>
        <v/>
      </c>
      <c r="I5990" s="10" t="str">
        <f aca="false">IF($D5990="","",SUBSTITUTE(SUBSTITUTE(SUBSTITUTE($D5990,"-","")," ",""),".",""))</f>
        <v/>
      </c>
      <c r="J5990" s="10" t="str">
        <f aca="false">IF($E5990="","",UPPER(SUBSTITUTE($E5990," ","")))</f>
        <v/>
      </c>
      <c r="K5990" s="10" t="str">
        <f aca="false">IF($A5990="","",$G5990&amp;"|"&amp;$J5990)</f>
        <v/>
      </c>
      <c r="L5990" s="10" t="str">
        <f aca="false">IF($A5990="","",ROW()-2)</f>
        <v/>
      </c>
      <c r="M5990" s="10" t="str">
        <f aca="false">IF($A5990="","",ROW())</f>
        <v/>
      </c>
    </row>
    <row r="5991" customFormat="false" ht="15" hidden="false" customHeight="true" outlineLevel="0" collapsed="false">
      <c r="A5991" s="8"/>
      <c r="B5991" s="8"/>
      <c r="C5991" s="8"/>
      <c r="D5991" s="8"/>
      <c r="E5991" s="8"/>
      <c r="F5991" s="8"/>
      <c r="G5991" s="10" t="str">
        <f aca="false">IF($A5991="","",UPPER(SUBSTITUTE(SUBSTITUTE(SUBSTITUTE(SUBSTITUTE($A5991," ",""),"(주)",""),"주식회사",""),"㈜","")))</f>
        <v/>
      </c>
      <c r="H5991" s="10" t="str">
        <f aca="false">IF($B5991="","",SUBSTITUTE(SUBSTITUTE(SUBSTITUTE($B5991,"-","")," ",""),".",""))</f>
        <v/>
      </c>
      <c r="I5991" s="10" t="str">
        <f aca="false">IF($D5991="","",SUBSTITUTE(SUBSTITUTE(SUBSTITUTE($D5991,"-","")," ",""),".",""))</f>
        <v/>
      </c>
      <c r="J5991" s="10" t="str">
        <f aca="false">IF($E5991="","",UPPER(SUBSTITUTE($E5991," ","")))</f>
        <v/>
      </c>
      <c r="K5991" s="10" t="str">
        <f aca="false">IF($A5991="","",$G5991&amp;"|"&amp;$J5991)</f>
        <v/>
      </c>
      <c r="L5991" s="10" t="str">
        <f aca="false">IF($A5991="","",ROW()-2)</f>
        <v/>
      </c>
      <c r="M5991" s="10" t="str">
        <f aca="false">IF($A5991="","",ROW())</f>
        <v/>
      </c>
    </row>
    <row r="5992" customFormat="false" ht="15" hidden="false" customHeight="true" outlineLevel="0" collapsed="false">
      <c r="A5992" s="8"/>
      <c r="B5992" s="8"/>
      <c r="C5992" s="8"/>
      <c r="D5992" s="8"/>
      <c r="E5992" s="8"/>
      <c r="F5992" s="8"/>
      <c r="G5992" s="10" t="str">
        <f aca="false">IF($A5992="","",UPPER(SUBSTITUTE(SUBSTITUTE(SUBSTITUTE(SUBSTITUTE($A5992," ",""),"(주)",""),"주식회사",""),"㈜","")))</f>
        <v/>
      </c>
      <c r="H5992" s="10" t="str">
        <f aca="false">IF($B5992="","",SUBSTITUTE(SUBSTITUTE(SUBSTITUTE($B5992,"-","")," ",""),".",""))</f>
        <v/>
      </c>
      <c r="I5992" s="10" t="str">
        <f aca="false">IF($D5992="","",SUBSTITUTE(SUBSTITUTE(SUBSTITUTE($D5992,"-","")," ",""),".",""))</f>
        <v/>
      </c>
      <c r="J5992" s="10" t="str">
        <f aca="false">IF($E5992="","",UPPER(SUBSTITUTE($E5992," ","")))</f>
        <v/>
      </c>
      <c r="K5992" s="10" t="str">
        <f aca="false">IF($A5992="","",$G5992&amp;"|"&amp;$J5992)</f>
        <v/>
      </c>
      <c r="L5992" s="10" t="str">
        <f aca="false">IF($A5992="","",ROW()-2)</f>
        <v/>
      </c>
      <c r="M5992" s="10" t="str">
        <f aca="false">IF($A5992="","",ROW())</f>
        <v/>
      </c>
    </row>
    <row r="5993" customFormat="false" ht="15" hidden="false" customHeight="true" outlineLevel="0" collapsed="false">
      <c r="A5993" s="8"/>
      <c r="B5993" s="8"/>
      <c r="C5993" s="8"/>
      <c r="D5993" s="8"/>
      <c r="E5993" s="8"/>
      <c r="F5993" s="8"/>
      <c r="G5993" s="10" t="str">
        <f aca="false">IF($A5993="","",UPPER(SUBSTITUTE(SUBSTITUTE(SUBSTITUTE(SUBSTITUTE($A5993," ",""),"(주)",""),"주식회사",""),"㈜","")))</f>
        <v/>
      </c>
      <c r="H5993" s="10" t="str">
        <f aca="false">IF($B5993="","",SUBSTITUTE(SUBSTITUTE(SUBSTITUTE($B5993,"-","")," ",""),".",""))</f>
        <v/>
      </c>
      <c r="I5993" s="10" t="str">
        <f aca="false">IF($D5993="","",SUBSTITUTE(SUBSTITUTE(SUBSTITUTE($D5993,"-","")," ",""),".",""))</f>
        <v/>
      </c>
      <c r="J5993" s="10" t="str">
        <f aca="false">IF($E5993="","",UPPER(SUBSTITUTE($E5993," ","")))</f>
        <v/>
      </c>
      <c r="K5993" s="10" t="str">
        <f aca="false">IF($A5993="","",$G5993&amp;"|"&amp;$J5993)</f>
        <v/>
      </c>
      <c r="L5993" s="10" t="str">
        <f aca="false">IF($A5993="","",ROW()-2)</f>
        <v/>
      </c>
      <c r="M5993" s="10" t="str">
        <f aca="false">IF($A5993="","",ROW())</f>
        <v/>
      </c>
    </row>
    <row r="5994" customFormat="false" ht="15" hidden="false" customHeight="true" outlineLevel="0" collapsed="false">
      <c r="A5994" s="8"/>
      <c r="B5994" s="8"/>
      <c r="C5994" s="8"/>
      <c r="D5994" s="8"/>
      <c r="E5994" s="8"/>
      <c r="F5994" s="8"/>
      <c r="G5994" s="10" t="str">
        <f aca="false">IF($A5994="","",UPPER(SUBSTITUTE(SUBSTITUTE(SUBSTITUTE(SUBSTITUTE($A5994," ",""),"(주)",""),"주식회사",""),"㈜","")))</f>
        <v/>
      </c>
      <c r="H5994" s="10" t="str">
        <f aca="false">IF($B5994="","",SUBSTITUTE(SUBSTITUTE(SUBSTITUTE($B5994,"-","")," ",""),".",""))</f>
        <v/>
      </c>
      <c r="I5994" s="10" t="str">
        <f aca="false">IF($D5994="","",SUBSTITUTE(SUBSTITUTE(SUBSTITUTE($D5994,"-","")," ",""),".",""))</f>
        <v/>
      </c>
      <c r="J5994" s="10" t="str">
        <f aca="false">IF($E5994="","",UPPER(SUBSTITUTE($E5994," ","")))</f>
        <v/>
      </c>
      <c r="K5994" s="10" t="str">
        <f aca="false">IF($A5994="","",$G5994&amp;"|"&amp;$J5994)</f>
        <v/>
      </c>
      <c r="L5994" s="10" t="str">
        <f aca="false">IF($A5994="","",ROW()-2)</f>
        <v/>
      </c>
      <c r="M5994" s="10" t="str">
        <f aca="false">IF($A5994="","",ROW())</f>
        <v/>
      </c>
    </row>
    <row r="5995" customFormat="false" ht="15" hidden="false" customHeight="true" outlineLevel="0" collapsed="false">
      <c r="A5995" s="8"/>
      <c r="B5995" s="8"/>
      <c r="C5995" s="8"/>
      <c r="D5995" s="8"/>
      <c r="E5995" s="8"/>
      <c r="F5995" s="8"/>
      <c r="G5995" s="10" t="str">
        <f aca="false">IF($A5995="","",UPPER(SUBSTITUTE(SUBSTITUTE(SUBSTITUTE(SUBSTITUTE($A5995," ",""),"(주)",""),"주식회사",""),"㈜","")))</f>
        <v/>
      </c>
      <c r="H5995" s="10" t="str">
        <f aca="false">IF($B5995="","",SUBSTITUTE(SUBSTITUTE(SUBSTITUTE($B5995,"-","")," ",""),".",""))</f>
        <v/>
      </c>
      <c r="I5995" s="10" t="str">
        <f aca="false">IF($D5995="","",SUBSTITUTE(SUBSTITUTE(SUBSTITUTE($D5995,"-","")," ",""),".",""))</f>
        <v/>
      </c>
      <c r="J5995" s="10" t="str">
        <f aca="false">IF($E5995="","",UPPER(SUBSTITUTE($E5995," ","")))</f>
        <v/>
      </c>
      <c r="K5995" s="10" t="str">
        <f aca="false">IF($A5995="","",$G5995&amp;"|"&amp;$J5995)</f>
        <v/>
      </c>
      <c r="L5995" s="10" t="str">
        <f aca="false">IF($A5995="","",ROW()-2)</f>
        <v/>
      </c>
      <c r="M5995" s="10" t="str">
        <f aca="false">IF($A5995="","",ROW())</f>
        <v/>
      </c>
    </row>
    <row r="5996" customFormat="false" ht="15" hidden="false" customHeight="true" outlineLevel="0" collapsed="false">
      <c r="A5996" s="8"/>
      <c r="B5996" s="8"/>
      <c r="C5996" s="8"/>
      <c r="D5996" s="8"/>
      <c r="E5996" s="8"/>
      <c r="F5996" s="8"/>
      <c r="G5996" s="10" t="str">
        <f aca="false">IF($A5996="","",UPPER(SUBSTITUTE(SUBSTITUTE(SUBSTITUTE(SUBSTITUTE($A5996," ",""),"(주)",""),"주식회사",""),"㈜","")))</f>
        <v/>
      </c>
      <c r="H5996" s="10" t="str">
        <f aca="false">IF($B5996="","",SUBSTITUTE(SUBSTITUTE(SUBSTITUTE($B5996,"-","")," ",""),".",""))</f>
        <v/>
      </c>
      <c r="I5996" s="10" t="str">
        <f aca="false">IF($D5996="","",SUBSTITUTE(SUBSTITUTE(SUBSTITUTE($D5996,"-","")," ",""),".",""))</f>
        <v/>
      </c>
      <c r="J5996" s="10" t="str">
        <f aca="false">IF($E5996="","",UPPER(SUBSTITUTE($E5996," ","")))</f>
        <v/>
      </c>
      <c r="K5996" s="10" t="str">
        <f aca="false">IF($A5996="","",$G5996&amp;"|"&amp;$J5996)</f>
        <v/>
      </c>
      <c r="L5996" s="10" t="str">
        <f aca="false">IF($A5996="","",ROW()-2)</f>
        <v/>
      </c>
      <c r="M5996" s="10" t="str">
        <f aca="false">IF($A5996="","",ROW())</f>
        <v/>
      </c>
    </row>
    <row r="5997" customFormat="false" ht="15" hidden="false" customHeight="true" outlineLevel="0" collapsed="false">
      <c r="A5997" s="8"/>
      <c r="B5997" s="8"/>
      <c r="C5997" s="8"/>
      <c r="D5997" s="8"/>
      <c r="E5997" s="8"/>
      <c r="F5997" s="8"/>
      <c r="G5997" s="10" t="str">
        <f aca="false">IF($A5997="","",UPPER(SUBSTITUTE(SUBSTITUTE(SUBSTITUTE(SUBSTITUTE($A5997," ",""),"(주)",""),"주식회사",""),"㈜","")))</f>
        <v/>
      </c>
      <c r="H5997" s="10" t="str">
        <f aca="false">IF($B5997="","",SUBSTITUTE(SUBSTITUTE(SUBSTITUTE($B5997,"-","")," ",""),".",""))</f>
        <v/>
      </c>
      <c r="I5997" s="10" t="str">
        <f aca="false">IF($D5997="","",SUBSTITUTE(SUBSTITUTE(SUBSTITUTE($D5997,"-","")," ",""),".",""))</f>
        <v/>
      </c>
      <c r="J5997" s="10" t="str">
        <f aca="false">IF($E5997="","",UPPER(SUBSTITUTE($E5997," ","")))</f>
        <v/>
      </c>
      <c r="K5997" s="10" t="str">
        <f aca="false">IF($A5997="","",$G5997&amp;"|"&amp;$J5997)</f>
        <v/>
      </c>
      <c r="L5997" s="10" t="str">
        <f aca="false">IF($A5997="","",ROW()-2)</f>
        <v/>
      </c>
      <c r="M5997" s="10" t="str">
        <f aca="false">IF($A5997="","",ROW())</f>
        <v/>
      </c>
    </row>
    <row r="5998" customFormat="false" ht="15" hidden="false" customHeight="true" outlineLevel="0" collapsed="false">
      <c r="A5998" s="8"/>
      <c r="B5998" s="8"/>
      <c r="C5998" s="8"/>
      <c r="D5998" s="8"/>
      <c r="E5998" s="8"/>
      <c r="F5998" s="8"/>
      <c r="G5998" s="10" t="str">
        <f aca="false">IF($A5998="","",UPPER(SUBSTITUTE(SUBSTITUTE(SUBSTITUTE(SUBSTITUTE($A5998," ",""),"(주)",""),"주식회사",""),"㈜","")))</f>
        <v/>
      </c>
      <c r="H5998" s="10" t="str">
        <f aca="false">IF($B5998="","",SUBSTITUTE(SUBSTITUTE(SUBSTITUTE($B5998,"-","")," ",""),".",""))</f>
        <v/>
      </c>
      <c r="I5998" s="10" t="str">
        <f aca="false">IF($D5998="","",SUBSTITUTE(SUBSTITUTE(SUBSTITUTE($D5998,"-","")," ",""),".",""))</f>
        <v/>
      </c>
      <c r="J5998" s="10" t="str">
        <f aca="false">IF($E5998="","",UPPER(SUBSTITUTE($E5998," ","")))</f>
        <v/>
      </c>
      <c r="K5998" s="10" t="str">
        <f aca="false">IF($A5998="","",$G5998&amp;"|"&amp;$J5998)</f>
        <v/>
      </c>
      <c r="L5998" s="10" t="str">
        <f aca="false">IF($A5998="","",ROW()-2)</f>
        <v/>
      </c>
      <c r="M5998" s="10" t="str">
        <f aca="false">IF($A5998="","",ROW())</f>
        <v/>
      </c>
    </row>
    <row r="5999" customFormat="false" ht="15" hidden="false" customHeight="true" outlineLevel="0" collapsed="false">
      <c r="A5999" s="8"/>
      <c r="B5999" s="8"/>
      <c r="C5999" s="8"/>
      <c r="D5999" s="8"/>
      <c r="E5999" s="8"/>
      <c r="F5999" s="8"/>
      <c r="G5999" s="10" t="str">
        <f aca="false">IF($A5999="","",UPPER(SUBSTITUTE(SUBSTITUTE(SUBSTITUTE(SUBSTITUTE($A5999," ",""),"(주)",""),"주식회사",""),"㈜","")))</f>
        <v/>
      </c>
      <c r="H5999" s="10" t="str">
        <f aca="false">IF($B5999="","",SUBSTITUTE(SUBSTITUTE(SUBSTITUTE($B5999,"-","")," ",""),".",""))</f>
        <v/>
      </c>
      <c r="I5999" s="10" t="str">
        <f aca="false">IF($D5999="","",SUBSTITUTE(SUBSTITUTE(SUBSTITUTE($D5999,"-","")," ",""),".",""))</f>
        <v/>
      </c>
      <c r="J5999" s="10" t="str">
        <f aca="false">IF($E5999="","",UPPER(SUBSTITUTE($E5999," ","")))</f>
        <v/>
      </c>
      <c r="K5999" s="10" t="str">
        <f aca="false">IF($A5999="","",$G5999&amp;"|"&amp;$J5999)</f>
        <v/>
      </c>
      <c r="L5999" s="10" t="str">
        <f aca="false">IF($A5999="","",ROW()-2)</f>
        <v/>
      </c>
      <c r="M5999" s="10" t="str">
        <f aca="false">IF($A5999="","",ROW())</f>
        <v/>
      </c>
    </row>
    <row r="6000" customFormat="false" ht="15" hidden="false" customHeight="true" outlineLevel="0" collapsed="false">
      <c r="A6000" s="8"/>
      <c r="B6000" s="8"/>
      <c r="C6000" s="8"/>
      <c r="D6000" s="8"/>
      <c r="E6000" s="8"/>
      <c r="F6000" s="8"/>
      <c r="G6000" s="10" t="str">
        <f aca="false">IF($A6000="","",UPPER(SUBSTITUTE(SUBSTITUTE(SUBSTITUTE(SUBSTITUTE($A6000," ",""),"(주)",""),"주식회사",""),"㈜","")))</f>
        <v/>
      </c>
      <c r="H6000" s="10" t="str">
        <f aca="false">IF($B6000="","",SUBSTITUTE(SUBSTITUTE(SUBSTITUTE($B6000,"-","")," ",""),".",""))</f>
        <v/>
      </c>
      <c r="I6000" s="10" t="str">
        <f aca="false">IF($D6000="","",SUBSTITUTE(SUBSTITUTE(SUBSTITUTE($D6000,"-","")," ",""),".",""))</f>
        <v/>
      </c>
      <c r="J6000" s="10" t="str">
        <f aca="false">IF($E6000="","",UPPER(SUBSTITUTE($E6000," ","")))</f>
        <v/>
      </c>
      <c r="K6000" s="10" t="str">
        <f aca="false">IF($A6000="","",$G6000&amp;"|"&amp;$J6000)</f>
        <v/>
      </c>
      <c r="L6000" s="10" t="str">
        <f aca="false">IF($A6000="","",ROW()-2)</f>
        <v/>
      </c>
      <c r="M6000" s="10" t="str">
        <f aca="false">IF($A6000="","",ROW())</f>
        <v/>
      </c>
    </row>
    <row r="6001" customFormat="false" ht="15" hidden="false" customHeight="true" outlineLevel="0" collapsed="false">
      <c r="A6001" s="8"/>
      <c r="B6001" s="8"/>
      <c r="C6001" s="8"/>
      <c r="D6001" s="8"/>
      <c r="E6001" s="8"/>
      <c r="F6001" s="8"/>
      <c r="G6001" s="10" t="str">
        <f aca="false">IF($A6001="","",UPPER(SUBSTITUTE(SUBSTITUTE(SUBSTITUTE(SUBSTITUTE($A6001," ",""),"(주)",""),"주식회사",""),"㈜","")))</f>
        <v/>
      </c>
      <c r="H6001" s="10" t="str">
        <f aca="false">IF($B6001="","",SUBSTITUTE(SUBSTITUTE(SUBSTITUTE($B6001,"-","")," ",""),".",""))</f>
        <v/>
      </c>
      <c r="I6001" s="10" t="str">
        <f aca="false">IF($D6001="","",SUBSTITUTE(SUBSTITUTE(SUBSTITUTE($D6001,"-","")," ",""),".",""))</f>
        <v/>
      </c>
      <c r="J6001" s="10" t="str">
        <f aca="false">IF($E6001="","",UPPER(SUBSTITUTE($E6001," ","")))</f>
        <v/>
      </c>
      <c r="K6001" s="10" t="str">
        <f aca="false">IF($A6001="","",$G6001&amp;"|"&amp;$J6001)</f>
        <v/>
      </c>
      <c r="L6001" s="10" t="str">
        <f aca="false">IF($A6001="","",ROW()-2)</f>
        <v/>
      </c>
      <c r="M6001" s="10" t="str">
        <f aca="false">IF($A6001="","",ROW())</f>
        <v/>
      </c>
    </row>
    <row r="6002" customFormat="false" ht="15" hidden="false" customHeight="true" outlineLevel="0" collapsed="false">
      <c r="A6002" s="8"/>
      <c r="B6002" s="8"/>
      <c r="C6002" s="8"/>
      <c r="D6002" s="8"/>
      <c r="E6002" s="8"/>
      <c r="F6002" s="8"/>
      <c r="G6002" s="10" t="str">
        <f aca="false">IF($A6002="","",UPPER(SUBSTITUTE(SUBSTITUTE(SUBSTITUTE(SUBSTITUTE($A6002," ",""),"(주)",""),"주식회사",""),"㈜","")))</f>
        <v/>
      </c>
      <c r="H6002" s="10" t="str">
        <f aca="false">IF($B6002="","",SUBSTITUTE(SUBSTITUTE(SUBSTITUTE($B6002,"-","")," ",""),".",""))</f>
        <v/>
      </c>
      <c r="I6002" s="10" t="str">
        <f aca="false">IF($D6002="","",SUBSTITUTE(SUBSTITUTE(SUBSTITUTE($D6002,"-","")," ",""),".",""))</f>
        <v/>
      </c>
      <c r="J6002" s="10" t="str">
        <f aca="false">IF($E6002="","",UPPER(SUBSTITUTE($E6002," ","")))</f>
        <v/>
      </c>
      <c r="K6002" s="10" t="str">
        <f aca="false">IF($A6002="","",$G6002&amp;"|"&amp;$J6002)</f>
        <v/>
      </c>
      <c r="L6002" s="10" t="str">
        <f aca="false">IF($A6002="","",ROW()-2)</f>
        <v/>
      </c>
      <c r="M6002" s="10" t="str">
        <f aca="false">IF($A6002="","",ROW())</f>
        <v/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4" min="3" style="1" width="17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10" min="10" style="1" width="14"/>
  </cols>
  <sheetData>
    <row r="1" customFormat="false" ht="25.5" hidden="false" customHeight="true" outlineLevel="0" collapsed="false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16</v>
      </c>
      <c r="B2" s="5" t="s">
        <v>59</v>
      </c>
    </row>
    <row r="3" customFormat="false" ht="15" hidden="false" customHeight="true" outlineLevel="0" collapsed="false">
      <c r="A3" s="6" t="s">
        <v>60</v>
      </c>
      <c r="B3" s="6" t="s">
        <v>23</v>
      </c>
      <c r="C3" s="6" t="s">
        <v>24</v>
      </c>
      <c r="D3" s="6" t="s">
        <v>26</v>
      </c>
      <c r="E3" s="6" t="s">
        <v>61</v>
      </c>
      <c r="F3" s="6" t="s">
        <v>62</v>
      </c>
      <c r="G3" s="6" t="s">
        <v>63</v>
      </c>
      <c r="H3" s="6" t="s">
        <v>64</v>
      </c>
      <c r="I3" s="6" t="s">
        <v>65</v>
      </c>
      <c r="J3" s="6" t="s">
        <v>66</v>
      </c>
    </row>
    <row r="4" customFormat="false" ht="15" hidden="false" customHeight="true" outlineLevel="0" collapsed="false">
      <c r="A4" s="11" t="n">
        <f aca="false">IF(원본명단!$A3="","",1)</f>
        <v>1</v>
      </c>
      <c r="B4" s="12" t="str">
        <f aca="false">IF($A4="","",원본명단!$A3)</f>
        <v>(주)가나상사</v>
      </c>
      <c r="C4" s="12" t="str">
        <f aca="false">IF($A4="","",원본명단!$B3)</f>
        <v>123-45-67890</v>
      </c>
      <c r="D4" s="12" t="str">
        <f aca="false">IF($A4="","",원본명단!$D3)</f>
        <v>010-1111-2222</v>
      </c>
      <c r="E4" s="11" t="n">
        <f aca="false">IF($A4="","",IF(원본명단!$H3="",0,COUNTIF(원본명단!$H$3:$H$6002,원본명단!$H3)))</f>
        <v>2</v>
      </c>
      <c r="F4" s="11" t="n">
        <f aca="false">IF($A4="","",IF(원본명단!$I3="",0,COUNTIF(원본명단!$I$3:$I$6002,원본명단!$I3)))</f>
        <v>2</v>
      </c>
      <c r="G4" s="11" t="n">
        <f aca="false">IF($A4="","",IF(원본명단!$K3="",0,COUNTIF(원본명단!$K$3:$K$6002,원본명단!$K3)))</f>
        <v>2</v>
      </c>
      <c r="H4" s="11" t="str">
        <f aca="false">IF($A4="","",IF(MAX($E4,$F4,$G4)&gt;1,"중복","-"))</f>
        <v>중복</v>
      </c>
      <c r="I4" s="11" t="str">
        <f aca="false">IF($A4="","",IF($H4="-","-",IF(AND(IF(원본명단!$H3="",TRUE(),COUNTIF(원본명단!$H$3:$H3,원본명단!$H3)=1),IF(원본명단!$I3="",TRUE(),COUNTIF(원본명단!$I$3:$I3,원본명단!$I3)=1),IF(원본명단!$K3="",TRUE(),COUNTIF(원본명단!$K$3:$K3,원본명단!$K3)=1)),"첫 건","중복 건")))</f>
        <v>첫 건</v>
      </c>
      <c r="J4" s="11" t="str">
        <f aca="false">IF($A4="","",IF($H4="-","유지",IF($I4="첫 건","유지","확인 필요")))</f>
        <v>유지</v>
      </c>
    </row>
    <row r="5" customFormat="false" ht="15" hidden="false" customHeight="true" outlineLevel="0" collapsed="false">
      <c r="A5" s="11" t="n">
        <f aca="false">IF(원본명단!$A4="","",2)</f>
        <v>2</v>
      </c>
      <c r="B5" s="12" t="str">
        <f aca="false">IF($A5="","",원본명단!$A4)</f>
        <v>가나상사</v>
      </c>
      <c r="C5" s="12" t="str">
        <f aca="false">IF($A5="","",원본명단!$B4)</f>
        <v>1234567890</v>
      </c>
      <c r="D5" s="12" t="str">
        <f aca="false">IF($A5="","",원본명단!$D4)</f>
        <v>01011112222</v>
      </c>
      <c r="E5" s="11" t="n">
        <f aca="false">IF($A5="","",IF(원본명단!$H4="",0,COUNTIF(원본명단!$H$3:$H$6002,원본명단!$H4)))</f>
        <v>2</v>
      </c>
      <c r="F5" s="11" t="n">
        <f aca="false">IF($A5="","",IF(원본명단!$I4="",0,COUNTIF(원본명단!$I$3:$I$6002,원본명단!$I4)))</f>
        <v>2</v>
      </c>
      <c r="G5" s="11" t="n">
        <f aca="false">IF($A5="","",IF(원본명단!$K4="",0,COUNTIF(원본명단!$K$3:$K$6002,원본명단!$K4)))</f>
        <v>2</v>
      </c>
      <c r="H5" s="11" t="str">
        <f aca="false">IF($A5="","",IF(MAX($E5,$F5,$G5)&gt;1,"중복","-"))</f>
        <v>중복</v>
      </c>
      <c r="I5" s="11" t="str">
        <f aca="false">IF($A5="","",IF($H5="-","-",IF(AND(IF(원본명단!$H4="",TRUE(),COUNTIF(원본명단!$H$3:$H4,원본명단!$H4)=1),IF(원본명단!$I4="",TRUE(),COUNTIF(원본명단!$I$3:$I4,원본명단!$I4)=1),IF(원본명단!$K4="",TRUE(),COUNTIF(원본명단!$K$3:$K4,원본명단!$K4)=1)),"첫 건","중복 건")))</f>
        <v>중복 건</v>
      </c>
      <c r="J5" s="11" t="str">
        <f aca="false">IF($A5="","",IF($H5="-","유지",IF($I5="첫 건","유지","확인 필요")))</f>
        <v>확인 필요</v>
      </c>
    </row>
    <row r="6" customFormat="false" ht="15" hidden="false" customHeight="true" outlineLevel="0" collapsed="false">
      <c r="A6" s="11" t="n">
        <f aca="false">IF(원본명단!$A5="","",3)</f>
        <v>3</v>
      </c>
      <c r="B6" s="12" t="str">
        <f aca="false">IF($A6="","",원본명단!$A5)</f>
        <v>다라유통</v>
      </c>
      <c r="C6" s="12" t="str">
        <f aca="false">IF($A6="","",원본명단!$B5)</f>
        <v>222-22-22222</v>
      </c>
      <c r="D6" s="12" t="str">
        <f aca="false">IF($A6="","",원본명단!$D5)</f>
        <v>031-222-3333</v>
      </c>
      <c r="E6" s="11" t="n">
        <f aca="false">IF($A6="","",IF(원본명단!$H5="",0,COUNTIF(원본명단!$H$3:$H$6002,원본명단!$H5)))</f>
        <v>1</v>
      </c>
      <c r="F6" s="11" t="n">
        <f aca="false">IF($A6="","",IF(원본명단!$I5="",0,COUNTIF(원본명단!$I$3:$I$6002,원본명단!$I5)))</f>
        <v>1</v>
      </c>
      <c r="G6" s="11" t="n">
        <f aca="false">IF($A6="","",IF(원본명단!$K5="",0,COUNTIF(원본명단!$K$3:$K$6002,원본명단!$K5)))</f>
        <v>1</v>
      </c>
      <c r="H6" s="11" t="str">
        <f aca="false">IF($A6="","",IF(MAX($E6,$F6,$G6)&gt;1,"중복","-"))</f>
        <v>-</v>
      </c>
      <c r="I6" s="11" t="str">
        <f aca="false">IF($A6="","",IF($H6="-","-",IF(AND(IF(원본명단!$H5="",TRUE(),COUNTIF(원본명단!$H$3:$H5,원본명단!$H5)=1),IF(원본명단!$I5="",TRUE(),COUNTIF(원본명단!$I$3:$I5,원본명단!$I5)=1),IF(원본명단!$K5="",TRUE(),COUNTIF(원본명단!$K$3:$K5,원본명단!$K5)=1)),"첫 건","중복 건")))</f>
        <v>-</v>
      </c>
      <c r="J6" s="11" t="str">
        <f aca="false">IF($A6="","",IF($H6="-","유지",IF($I6="첫 건","유지","확인 필요")))</f>
        <v>유지</v>
      </c>
    </row>
    <row r="7" customFormat="false" ht="15" hidden="false" customHeight="true" outlineLevel="0" collapsed="false">
      <c r="A7" s="11" t="n">
        <f aca="false">IF(원본명단!$A6="","",4)</f>
        <v>4</v>
      </c>
      <c r="B7" s="12" t="str">
        <f aca="false">IF($A7="","",원본명단!$A6)</f>
        <v>마바물산 주식회사</v>
      </c>
      <c r="C7" s="12" t="str">
        <f aca="false">IF($A7="","",원본명단!$B6)</f>
        <v>333-33-33333</v>
      </c>
      <c r="D7" s="12" t="str">
        <f aca="false">IF($A7="","",원본명단!$D6)</f>
        <v>02-333-4444</v>
      </c>
      <c r="E7" s="11" t="n">
        <f aca="false">IF($A7="","",IF(원본명단!$H6="",0,COUNTIF(원본명단!$H$3:$H$6002,원본명단!$H6)))</f>
        <v>2</v>
      </c>
      <c r="F7" s="11" t="n">
        <f aca="false">IF($A7="","",IF(원본명단!$I6="",0,COUNTIF(원본명단!$I$3:$I$6002,원본명단!$I6)))</f>
        <v>1</v>
      </c>
      <c r="G7" s="11" t="n">
        <f aca="false">IF($A7="","",IF(원본명단!$K6="",0,COUNTIF(원본명단!$K$3:$K$6002,원본명단!$K6)))</f>
        <v>2</v>
      </c>
      <c r="H7" s="11" t="str">
        <f aca="false">IF($A7="","",IF(MAX($E7,$F7,$G7)&gt;1,"중복","-"))</f>
        <v>중복</v>
      </c>
      <c r="I7" s="11" t="str">
        <f aca="false">IF($A7="","",IF($H7="-","-",IF(AND(IF(원본명단!$H6="",TRUE(),COUNTIF(원본명단!$H$3:$H6,원본명단!$H6)=1),IF(원본명단!$I6="",TRUE(),COUNTIF(원본명단!$I$3:$I6,원본명단!$I6)=1),IF(원본명단!$K6="",TRUE(),COUNTIF(원본명단!$K$3:$K6,원본명단!$K6)=1)),"첫 건","중복 건")))</f>
        <v>첫 건</v>
      </c>
      <c r="J7" s="11" t="str">
        <f aca="false">IF($A7="","",IF($H7="-","유지",IF($I7="첫 건","유지","확인 필요")))</f>
        <v>유지</v>
      </c>
    </row>
    <row r="8" customFormat="false" ht="15" hidden="false" customHeight="true" outlineLevel="0" collapsed="false">
      <c r="A8" s="11" t="n">
        <f aca="false">IF(원본명단!$A7="","",5)</f>
        <v>5</v>
      </c>
      <c r="B8" s="12" t="str">
        <f aca="false">IF($A8="","",원본명단!$A7)</f>
        <v>마바물산</v>
      </c>
      <c r="C8" s="12" t="str">
        <f aca="false">IF($A8="","",원본명단!$B7)</f>
        <v>333-33-33333</v>
      </c>
      <c r="D8" s="12" t="str">
        <f aca="false">IF($A8="","",원본명단!$D7)</f>
        <v>051-999-8888</v>
      </c>
      <c r="E8" s="11" t="n">
        <f aca="false">IF($A8="","",IF(원본명단!$H7="",0,COUNTIF(원본명단!$H$3:$H$6002,원본명단!$H7)))</f>
        <v>2</v>
      </c>
      <c r="F8" s="11" t="n">
        <f aca="false">IF($A8="","",IF(원본명단!$I7="",0,COUNTIF(원본명단!$I$3:$I$6002,원본명단!$I7)))</f>
        <v>1</v>
      </c>
      <c r="G8" s="11" t="n">
        <f aca="false">IF($A8="","",IF(원본명단!$K7="",0,COUNTIF(원본명단!$K$3:$K$6002,원본명단!$K7)))</f>
        <v>2</v>
      </c>
      <c r="H8" s="11" t="str">
        <f aca="false">IF($A8="","",IF(MAX($E8,$F8,$G8)&gt;1,"중복","-"))</f>
        <v>중복</v>
      </c>
      <c r="I8" s="11" t="str">
        <f aca="false">IF($A8="","",IF($H8="-","-",IF(AND(IF(원본명단!$H7="",TRUE(),COUNTIF(원본명단!$H$3:$H7,원본명단!$H7)=1),IF(원본명단!$I7="",TRUE(),COUNTIF(원본명단!$I$3:$I7,원본명단!$I7)=1),IF(원본명단!$K7="",TRUE(),COUNTIF(원본명단!$K$3:$K7,원본명단!$K7)=1)),"첫 건","중복 건")))</f>
        <v>중복 건</v>
      </c>
      <c r="J8" s="11" t="str">
        <f aca="false">IF($A8="","",IF($H8="-","유지",IF($I8="첫 건","유지","확인 필요")))</f>
        <v>확인 필요</v>
      </c>
    </row>
    <row r="9" customFormat="false" ht="15" hidden="false" customHeight="true" outlineLevel="0" collapsed="false">
      <c r="A9" s="11" t="str">
        <f aca="false">IF(원본명단!$A8="","",6)</f>
        <v/>
      </c>
      <c r="B9" s="12" t="str">
        <f aca="false">IF($A9="","",원본명단!$A8)</f>
        <v/>
      </c>
      <c r="C9" s="12" t="str">
        <f aca="false">IF($A9="","",원본명단!$B8)</f>
        <v/>
      </c>
      <c r="D9" s="12" t="str">
        <f aca="false">IF($A9="","",원본명단!$D8)</f>
        <v/>
      </c>
      <c r="E9" s="11" t="str">
        <f aca="false">IF($A9="","",IF(원본명단!$H8="",0,COUNTIF(원본명단!$H$3:$H$6002,원본명단!$H8)))</f>
        <v/>
      </c>
      <c r="F9" s="11" t="str">
        <f aca="false">IF($A9="","",IF(원본명단!$I8="",0,COUNTIF(원본명단!$I$3:$I$6002,원본명단!$I8)))</f>
        <v/>
      </c>
      <c r="G9" s="11" t="str">
        <f aca="false">IF($A9="","",IF(원본명단!$K8="",0,COUNTIF(원본명단!$K$3:$K$6002,원본명단!$K8)))</f>
        <v/>
      </c>
      <c r="H9" s="11" t="str">
        <f aca="false">IF($A9="","",IF(MAX($E9,$F9,$G9)&gt;1,"중복","-"))</f>
        <v/>
      </c>
      <c r="I9" s="11" t="str">
        <f aca="false">IF($A9="","",IF($H9="-","-",IF(AND(IF(원본명단!$H8="",TRUE(),COUNTIF(원본명단!$H$3:$H8,원본명단!$H8)=1),IF(원본명단!$I8="",TRUE(),COUNTIF(원본명단!$I$3:$I8,원본명단!$I8)=1),IF(원본명단!$K8="",TRUE(),COUNTIF(원본명단!$K$3:$K8,원본명단!$K8)=1)),"첫 건","중복 건")))</f>
        <v/>
      </c>
      <c r="J9" s="11" t="str">
        <f aca="false">IF($A9="","",IF($H9="-","유지",IF($I9="첫 건","유지","확인 필요")))</f>
        <v/>
      </c>
    </row>
    <row r="10" customFormat="false" ht="15" hidden="false" customHeight="true" outlineLevel="0" collapsed="false">
      <c r="A10" s="11" t="str">
        <f aca="false">IF(원본명단!$A9="","",7)</f>
        <v/>
      </c>
      <c r="B10" s="12" t="str">
        <f aca="false">IF($A10="","",원본명단!$A9)</f>
        <v/>
      </c>
      <c r="C10" s="12" t="str">
        <f aca="false">IF($A10="","",원본명단!$B9)</f>
        <v/>
      </c>
      <c r="D10" s="12" t="str">
        <f aca="false">IF($A10="","",원본명단!$D9)</f>
        <v/>
      </c>
      <c r="E10" s="11" t="str">
        <f aca="false">IF($A10="","",IF(원본명단!$H9="",0,COUNTIF(원본명단!$H$3:$H$6002,원본명단!$H9)))</f>
        <v/>
      </c>
      <c r="F10" s="11" t="str">
        <f aca="false">IF($A10="","",IF(원본명단!$I9="",0,COUNTIF(원본명단!$I$3:$I$6002,원본명단!$I9)))</f>
        <v/>
      </c>
      <c r="G10" s="11" t="str">
        <f aca="false">IF($A10="","",IF(원본명단!$K9="",0,COUNTIF(원본명단!$K$3:$K$6002,원본명단!$K9)))</f>
        <v/>
      </c>
      <c r="H10" s="11" t="str">
        <f aca="false">IF($A10="","",IF(MAX($E10,$F10,$G10)&gt;1,"중복","-"))</f>
        <v/>
      </c>
      <c r="I10" s="11" t="str">
        <f aca="false">IF($A10="","",IF($H10="-","-",IF(AND(IF(원본명단!$H9="",TRUE(),COUNTIF(원본명단!$H$3:$H9,원본명단!$H9)=1),IF(원본명단!$I9="",TRUE(),COUNTIF(원본명단!$I$3:$I9,원본명단!$I9)=1),IF(원본명단!$K9="",TRUE(),COUNTIF(원본명단!$K$3:$K9,원본명단!$K9)=1)),"첫 건","중복 건")))</f>
        <v/>
      </c>
      <c r="J10" s="11" t="str">
        <f aca="false">IF($A10="","",IF($H10="-","유지",IF($I10="첫 건","유지","확인 필요")))</f>
        <v/>
      </c>
    </row>
    <row r="11" customFormat="false" ht="15" hidden="false" customHeight="true" outlineLevel="0" collapsed="false">
      <c r="A11" s="11" t="str">
        <f aca="false">IF(원본명단!$A10="","",8)</f>
        <v/>
      </c>
      <c r="B11" s="12" t="str">
        <f aca="false">IF($A11="","",원본명단!$A10)</f>
        <v/>
      </c>
      <c r="C11" s="12" t="str">
        <f aca="false">IF($A11="","",원본명단!$B10)</f>
        <v/>
      </c>
      <c r="D11" s="12" t="str">
        <f aca="false">IF($A11="","",원본명단!$D10)</f>
        <v/>
      </c>
      <c r="E11" s="11" t="str">
        <f aca="false">IF($A11="","",IF(원본명단!$H10="",0,COUNTIF(원본명단!$H$3:$H$6002,원본명단!$H10)))</f>
        <v/>
      </c>
      <c r="F11" s="11" t="str">
        <f aca="false">IF($A11="","",IF(원본명단!$I10="",0,COUNTIF(원본명단!$I$3:$I$6002,원본명단!$I10)))</f>
        <v/>
      </c>
      <c r="G11" s="11" t="str">
        <f aca="false">IF($A11="","",IF(원본명단!$K10="",0,COUNTIF(원본명단!$K$3:$K$6002,원본명단!$K10)))</f>
        <v/>
      </c>
      <c r="H11" s="11" t="str">
        <f aca="false">IF($A11="","",IF(MAX($E11,$F11,$G11)&gt;1,"중복","-"))</f>
        <v/>
      </c>
      <c r="I11" s="11" t="str">
        <f aca="false">IF($A11="","",IF($H11="-","-",IF(AND(IF(원본명단!$H10="",TRUE(),COUNTIF(원본명단!$H$3:$H10,원본명단!$H10)=1),IF(원본명단!$I10="",TRUE(),COUNTIF(원본명단!$I$3:$I10,원본명단!$I10)=1),IF(원본명단!$K10="",TRUE(),COUNTIF(원본명단!$K$3:$K10,원본명단!$K10)=1)),"첫 건","중복 건")))</f>
        <v/>
      </c>
      <c r="J11" s="11" t="str">
        <f aca="false">IF($A11="","",IF($H11="-","유지",IF($I11="첫 건","유지","확인 필요")))</f>
        <v/>
      </c>
    </row>
    <row r="12" customFormat="false" ht="15" hidden="false" customHeight="true" outlineLevel="0" collapsed="false">
      <c r="A12" s="11" t="str">
        <f aca="false">IF(원본명단!$A11="","",9)</f>
        <v/>
      </c>
      <c r="B12" s="12" t="str">
        <f aca="false">IF($A12="","",원본명단!$A11)</f>
        <v/>
      </c>
      <c r="C12" s="12" t="str">
        <f aca="false">IF($A12="","",원본명단!$B11)</f>
        <v/>
      </c>
      <c r="D12" s="12" t="str">
        <f aca="false">IF($A12="","",원본명단!$D11)</f>
        <v/>
      </c>
      <c r="E12" s="11" t="str">
        <f aca="false">IF($A12="","",IF(원본명단!$H11="",0,COUNTIF(원본명단!$H$3:$H$6002,원본명단!$H11)))</f>
        <v/>
      </c>
      <c r="F12" s="11" t="str">
        <f aca="false">IF($A12="","",IF(원본명단!$I11="",0,COUNTIF(원본명단!$I$3:$I$6002,원본명단!$I11)))</f>
        <v/>
      </c>
      <c r="G12" s="11" t="str">
        <f aca="false">IF($A12="","",IF(원본명단!$K11="",0,COUNTIF(원본명단!$K$3:$K$6002,원본명단!$K11)))</f>
        <v/>
      </c>
      <c r="H12" s="11" t="str">
        <f aca="false">IF($A12="","",IF(MAX($E12,$F12,$G12)&gt;1,"중복","-"))</f>
        <v/>
      </c>
      <c r="I12" s="11" t="str">
        <f aca="false">IF($A12="","",IF($H12="-","-",IF(AND(IF(원본명단!$H11="",TRUE(),COUNTIF(원본명단!$H$3:$H11,원본명단!$H11)=1),IF(원본명단!$I11="",TRUE(),COUNTIF(원본명단!$I$3:$I11,원본명단!$I11)=1),IF(원본명단!$K11="",TRUE(),COUNTIF(원본명단!$K$3:$K11,원본명단!$K11)=1)),"첫 건","중복 건")))</f>
        <v/>
      </c>
      <c r="J12" s="11" t="str">
        <f aca="false">IF($A12="","",IF($H12="-","유지",IF($I12="첫 건","유지","확인 필요")))</f>
        <v/>
      </c>
    </row>
    <row r="13" customFormat="false" ht="15" hidden="false" customHeight="true" outlineLevel="0" collapsed="false">
      <c r="A13" s="11" t="str">
        <f aca="false">IF(원본명단!$A12="","",10)</f>
        <v/>
      </c>
      <c r="B13" s="12" t="str">
        <f aca="false">IF($A13="","",원본명단!$A12)</f>
        <v/>
      </c>
      <c r="C13" s="12" t="str">
        <f aca="false">IF($A13="","",원본명단!$B12)</f>
        <v/>
      </c>
      <c r="D13" s="12" t="str">
        <f aca="false">IF($A13="","",원본명단!$D12)</f>
        <v/>
      </c>
      <c r="E13" s="11" t="str">
        <f aca="false">IF($A13="","",IF(원본명단!$H12="",0,COUNTIF(원본명단!$H$3:$H$6002,원본명단!$H12)))</f>
        <v/>
      </c>
      <c r="F13" s="11" t="str">
        <f aca="false">IF($A13="","",IF(원본명단!$I12="",0,COUNTIF(원본명단!$I$3:$I$6002,원본명단!$I12)))</f>
        <v/>
      </c>
      <c r="G13" s="11" t="str">
        <f aca="false">IF($A13="","",IF(원본명단!$K12="",0,COUNTIF(원본명단!$K$3:$K$6002,원본명단!$K12)))</f>
        <v/>
      </c>
      <c r="H13" s="11" t="str">
        <f aca="false">IF($A13="","",IF(MAX($E13,$F13,$G13)&gt;1,"중복","-"))</f>
        <v/>
      </c>
      <c r="I13" s="11" t="str">
        <f aca="false">IF($A13="","",IF($H13="-","-",IF(AND(IF(원본명단!$H12="",TRUE(),COUNTIF(원본명단!$H$3:$H12,원본명단!$H12)=1),IF(원본명단!$I12="",TRUE(),COUNTIF(원본명단!$I$3:$I12,원본명단!$I12)=1),IF(원본명단!$K12="",TRUE(),COUNTIF(원본명단!$K$3:$K12,원본명단!$K12)=1)),"첫 건","중복 건")))</f>
        <v/>
      </c>
      <c r="J13" s="11" t="str">
        <f aca="false">IF($A13="","",IF($H13="-","유지",IF($I13="첫 건","유지","확인 필요")))</f>
        <v/>
      </c>
    </row>
    <row r="14" customFormat="false" ht="15" hidden="false" customHeight="true" outlineLevel="0" collapsed="false">
      <c r="A14" s="11" t="str">
        <f aca="false">IF(원본명단!$A13="","",11)</f>
        <v/>
      </c>
      <c r="B14" s="12" t="str">
        <f aca="false">IF($A14="","",원본명단!$A13)</f>
        <v/>
      </c>
      <c r="C14" s="12" t="str">
        <f aca="false">IF($A14="","",원본명단!$B13)</f>
        <v/>
      </c>
      <c r="D14" s="12" t="str">
        <f aca="false">IF($A14="","",원본명단!$D13)</f>
        <v/>
      </c>
      <c r="E14" s="11" t="str">
        <f aca="false">IF($A14="","",IF(원본명단!$H13="",0,COUNTIF(원본명단!$H$3:$H$6002,원본명단!$H13)))</f>
        <v/>
      </c>
      <c r="F14" s="11" t="str">
        <f aca="false">IF($A14="","",IF(원본명단!$I13="",0,COUNTIF(원본명단!$I$3:$I$6002,원본명단!$I13)))</f>
        <v/>
      </c>
      <c r="G14" s="11" t="str">
        <f aca="false">IF($A14="","",IF(원본명단!$K13="",0,COUNTIF(원본명단!$K$3:$K$6002,원본명단!$K13)))</f>
        <v/>
      </c>
      <c r="H14" s="11" t="str">
        <f aca="false">IF($A14="","",IF(MAX($E14,$F14,$G14)&gt;1,"중복","-"))</f>
        <v/>
      </c>
      <c r="I14" s="11" t="str">
        <f aca="false">IF($A14="","",IF($H14="-","-",IF(AND(IF(원본명단!$H13="",TRUE(),COUNTIF(원본명단!$H$3:$H13,원본명단!$H13)=1),IF(원본명단!$I13="",TRUE(),COUNTIF(원본명단!$I$3:$I13,원본명단!$I13)=1),IF(원본명단!$K13="",TRUE(),COUNTIF(원본명단!$K$3:$K13,원본명단!$K13)=1)),"첫 건","중복 건")))</f>
        <v/>
      </c>
      <c r="J14" s="11" t="str">
        <f aca="false">IF($A14="","",IF($H14="-","유지",IF($I14="첫 건","유지","확인 필요")))</f>
        <v/>
      </c>
    </row>
    <row r="15" customFormat="false" ht="15" hidden="false" customHeight="true" outlineLevel="0" collapsed="false">
      <c r="A15" s="11" t="str">
        <f aca="false">IF(원본명단!$A14="","",12)</f>
        <v/>
      </c>
      <c r="B15" s="12" t="str">
        <f aca="false">IF($A15="","",원본명단!$A14)</f>
        <v/>
      </c>
      <c r="C15" s="12" t="str">
        <f aca="false">IF($A15="","",원본명단!$B14)</f>
        <v/>
      </c>
      <c r="D15" s="12" t="str">
        <f aca="false">IF($A15="","",원본명단!$D14)</f>
        <v/>
      </c>
      <c r="E15" s="11" t="str">
        <f aca="false">IF($A15="","",IF(원본명단!$H14="",0,COUNTIF(원본명단!$H$3:$H$6002,원본명단!$H14)))</f>
        <v/>
      </c>
      <c r="F15" s="11" t="str">
        <f aca="false">IF($A15="","",IF(원본명단!$I14="",0,COUNTIF(원본명단!$I$3:$I$6002,원본명단!$I14)))</f>
        <v/>
      </c>
      <c r="G15" s="11" t="str">
        <f aca="false">IF($A15="","",IF(원본명단!$K14="",0,COUNTIF(원본명단!$K$3:$K$6002,원본명단!$K14)))</f>
        <v/>
      </c>
      <c r="H15" s="11" t="str">
        <f aca="false">IF($A15="","",IF(MAX($E15,$F15,$G15)&gt;1,"중복","-"))</f>
        <v/>
      </c>
      <c r="I15" s="11" t="str">
        <f aca="false">IF($A15="","",IF($H15="-","-",IF(AND(IF(원본명단!$H14="",TRUE(),COUNTIF(원본명단!$H$3:$H14,원본명단!$H14)=1),IF(원본명단!$I14="",TRUE(),COUNTIF(원본명단!$I$3:$I14,원본명단!$I14)=1),IF(원본명단!$K14="",TRUE(),COUNTIF(원본명단!$K$3:$K14,원본명단!$K14)=1)),"첫 건","중복 건")))</f>
        <v/>
      </c>
      <c r="J15" s="11" t="str">
        <f aca="false">IF($A15="","",IF($H15="-","유지",IF($I15="첫 건","유지","확인 필요")))</f>
        <v/>
      </c>
    </row>
    <row r="16" customFormat="false" ht="15" hidden="false" customHeight="true" outlineLevel="0" collapsed="false">
      <c r="A16" s="11" t="str">
        <f aca="false">IF(원본명단!$A15="","",13)</f>
        <v/>
      </c>
      <c r="B16" s="12" t="str">
        <f aca="false">IF($A16="","",원본명단!$A15)</f>
        <v/>
      </c>
      <c r="C16" s="12" t="str">
        <f aca="false">IF($A16="","",원본명단!$B15)</f>
        <v/>
      </c>
      <c r="D16" s="12" t="str">
        <f aca="false">IF($A16="","",원본명단!$D15)</f>
        <v/>
      </c>
      <c r="E16" s="11" t="str">
        <f aca="false">IF($A16="","",IF(원본명단!$H15="",0,COUNTIF(원본명단!$H$3:$H$6002,원본명단!$H15)))</f>
        <v/>
      </c>
      <c r="F16" s="11" t="str">
        <f aca="false">IF($A16="","",IF(원본명단!$I15="",0,COUNTIF(원본명단!$I$3:$I$6002,원본명단!$I15)))</f>
        <v/>
      </c>
      <c r="G16" s="11" t="str">
        <f aca="false">IF($A16="","",IF(원본명단!$K15="",0,COUNTIF(원본명단!$K$3:$K$6002,원본명단!$K15)))</f>
        <v/>
      </c>
      <c r="H16" s="11" t="str">
        <f aca="false">IF($A16="","",IF(MAX($E16,$F16,$G16)&gt;1,"중복","-"))</f>
        <v/>
      </c>
      <c r="I16" s="11" t="str">
        <f aca="false">IF($A16="","",IF($H16="-","-",IF(AND(IF(원본명단!$H15="",TRUE(),COUNTIF(원본명단!$H$3:$H15,원본명단!$H15)=1),IF(원본명단!$I15="",TRUE(),COUNTIF(원본명단!$I$3:$I15,원본명단!$I15)=1),IF(원본명단!$K15="",TRUE(),COUNTIF(원본명단!$K$3:$K15,원본명단!$K15)=1)),"첫 건","중복 건")))</f>
        <v/>
      </c>
      <c r="J16" s="11" t="str">
        <f aca="false">IF($A16="","",IF($H16="-","유지",IF($I16="첫 건","유지","확인 필요")))</f>
        <v/>
      </c>
    </row>
    <row r="17" customFormat="false" ht="15" hidden="false" customHeight="true" outlineLevel="0" collapsed="false">
      <c r="A17" s="11" t="str">
        <f aca="false">IF(원본명단!$A16="","",14)</f>
        <v/>
      </c>
      <c r="B17" s="12" t="str">
        <f aca="false">IF($A17="","",원본명단!$A16)</f>
        <v/>
      </c>
      <c r="C17" s="12" t="str">
        <f aca="false">IF($A17="","",원본명단!$B16)</f>
        <v/>
      </c>
      <c r="D17" s="12" t="str">
        <f aca="false">IF($A17="","",원본명단!$D16)</f>
        <v/>
      </c>
      <c r="E17" s="11" t="str">
        <f aca="false">IF($A17="","",IF(원본명단!$H16="",0,COUNTIF(원본명단!$H$3:$H$6002,원본명단!$H16)))</f>
        <v/>
      </c>
      <c r="F17" s="11" t="str">
        <f aca="false">IF($A17="","",IF(원본명단!$I16="",0,COUNTIF(원본명단!$I$3:$I$6002,원본명단!$I16)))</f>
        <v/>
      </c>
      <c r="G17" s="11" t="str">
        <f aca="false">IF($A17="","",IF(원본명단!$K16="",0,COUNTIF(원본명단!$K$3:$K$6002,원본명단!$K16)))</f>
        <v/>
      </c>
      <c r="H17" s="11" t="str">
        <f aca="false">IF($A17="","",IF(MAX($E17,$F17,$G17)&gt;1,"중복","-"))</f>
        <v/>
      </c>
      <c r="I17" s="11" t="str">
        <f aca="false">IF($A17="","",IF($H17="-","-",IF(AND(IF(원본명단!$H16="",TRUE(),COUNTIF(원본명단!$H$3:$H16,원본명단!$H16)=1),IF(원본명단!$I16="",TRUE(),COUNTIF(원본명단!$I$3:$I16,원본명단!$I16)=1),IF(원본명단!$K16="",TRUE(),COUNTIF(원본명단!$K$3:$K16,원본명단!$K16)=1)),"첫 건","중복 건")))</f>
        <v/>
      </c>
      <c r="J17" s="11" t="str">
        <f aca="false">IF($A17="","",IF($H17="-","유지",IF($I17="첫 건","유지","확인 필요")))</f>
        <v/>
      </c>
    </row>
    <row r="18" customFormat="false" ht="15" hidden="false" customHeight="true" outlineLevel="0" collapsed="false">
      <c r="A18" s="11" t="str">
        <f aca="false">IF(원본명단!$A17="","",15)</f>
        <v/>
      </c>
      <c r="B18" s="12" t="str">
        <f aca="false">IF($A18="","",원본명단!$A17)</f>
        <v/>
      </c>
      <c r="C18" s="12" t="str">
        <f aca="false">IF($A18="","",원본명단!$B17)</f>
        <v/>
      </c>
      <c r="D18" s="12" t="str">
        <f aca="false">IF($A18="","",원본명단!$D17)</f>
        <v/>
      </c>
      <c r="E18" s="11" t="str">
        <f aca="false">IF($A18="","",IF(원본명단!$H17="",0,COUNTIF(원본명단!$H$3:$H$6002,원본명단!$H17)))</f>
        <v/>
      </c>
      <c r="F18" s="11" t="str">
        <f aca="false">IF($A18="","",IF(원본명단!$I17="",0,COUNTIF(원본명단!$I$3:$I$6002,원본명단!$I17)))</f>
        <v/>
      </c>
      <c r="G18" s="11" t="str">
        <f aca="false">IF($A18="","",IF(원본명단!$K17="",0,COUNTIF(원본명단!$K$3:$K$6002,원본명단!$K17)))</f>
        <v/>
      </c>
      <c r="H18" s="11" t="str">
        <f aca="false">IF($A18="","",IF(MAX($E18,$F18,$G18)&gt;1,"중복","-"))</f>
        <v/>
      </c>
      <c r="I18" s="11" t="str">
        <f aca="false">IF($A18="","",IF($H18="-","-",IF(AND(IF(원본명단!$H17="",TRUE(),COUNTIF(원본명단!$H$3:$H17,원본명단!$H17)=1),IF(원본명단!$I17="",TRUE(),COUNTIF(원본명단!$I$3:$I17,원본명단!$I17)=1),IF(원본명단!$K17="",TRUE(),COUNTIF(원본명단!$K$3:$K17,원본명단!$K17)=1)),"첫 건","중복 건")))</f>
        <v/>
      </c>
      <c r="J18" s="11" t="str">
        <f aca="false">IF($A18="","",IF($H18="-","유지",IF($I18="첫 건","유지","확인 필요")))</f>
        <v/>
      </c>
    </row>
    <row r="19" customFormat="false" ht="15" hidden="false" customHeight="true" outlineLevel="0" collapsed="false">
      <c r="A19" s="11" t="str">
        <f aca="false">IF(원본명단!$A18="","",16)</f>
        <v/>
      </c>
      <c r="B19" s="12" t="str">
        <f aca="false">IF($A19="","",원본명단!$A18)</f>
        <v/>
      </c>
      <c r="C19" s="12" t="str">
        <f aca="false">IF($A19="","",원본명단!$B18)</f>
        <v/>
      </c>
      <c r="D19" s="12" t="str">
        <f aca="false">IF($A19="","",원본명단!$D18)</f>
        <v/>
      </c>
      <c r="E19" s="11" t="str">
        <f aca="false">IF($A19="","",IF(원본명단!$H18="",0,COUNTIF(원본명단!$H$3:$H$6002,원본명단!$H18)))</f>
        <v/>
      </c>
      <c r="F19" s="11" t="str">
        <f aca="false">IF($A19="","",IF(원본명단!$I18="",0,COUNTIF(원본명단!$I$3:$I$6002,원본명단!$I18)))</f>
        <v/>
      </c>
      <c r="G19" s="11" t="str">
        <f aca="false">IF($A19="","",IF(원본명단!$K18="",0,COUNTIF(원본명단!$K$3:$K$6002,원본명단!$K18)))</f>
        <v/>
      </c>
      <c r="H19" s="11" t="str">
        <f aca="false">IF($A19="","",IF(MAX($E19,$F19,$G19)&gt;1,"중복","-"))</f>
        <v/>
      </c>
      <c r="I19" s="11" t="str">
        <f aca="false">IF($A19="","",IF($H19="-","-",IF(AND(IF(원본명단!$H18="",TRUE(),COUNTIF(원본명단!$H$3:$H18,원본명단!$H18)=1),IF(원본명단!$I18="",TRUE(),COUNTIF(원본명단!$I$3:$I18,원본명단!$I18)=1),IF(원본명단!$K18="",TRUE(),COUNTIF(원본명단!$K$3:$K18,원본명단!$K18)=1)),"첫 건","중복 건")))</f>
        <v/>
      </c>
      <c r="J19" s="11" t="str">
        <f aca="false">IF($A19="","",IF($H19="-","유지",IF($I19="첫 건","유지","확인 필요")))</f>
        <v/>
      </c>
    </row>
    <row r="20" customFormat="false" ht="15" hidden="false" customHeight="true" outlineLevel="0" collapsed="false">
      <c r="A20" s="11" t="str">
        <f aca="false">IF(원본명단!$A19="","",17)</f>
        <v/>
      </c>
      <c r="B20" s="12" t="str">
        <f aca="false">IF($A20="","",원본명단!$A19)</f>
        <v/>
      </c>
      <c r="C20" s="12" t="str">
        <f aca="false">IF($A20="","",원본명단!$B19)</f>
        <v/>
      </c>
      <c r="D20" s="12" t="str">
        <f aca="false">IF($A20="","",원본명단!$D19)</f>
        <v/>
      </c>
      <c r="E20" s="11" t="str">
        <f aca="false">IF($A20="","",IF(원본명단!$H19="",0,COUNTIF(원본명단!$H$3:$H$6002,원본명단!$H19)))</f>
        <v/>
      </c>
      <c r="F20" s="11" t="str">
        <f aca="false">IF($A20="","",IF(원본명단!$I19="",0,COUNTIF(원본명단!$I$3:$I$6002,원본명단!$I19)))</f>
        <v/>
      </c>
      <c r="G20" s="11" t="str">
        <f aca="false">IF($A20="","",IF(원본명단!$K19="",0,COUNTIF(원본명단!$K$3:$K$6002,원본명단!$K19)))</f>
        <v/>
      </c>
      <c r="H20" s="11" t="str">
        <f aca="false">IF($A20="","",IF(MAX($E20,$F20,$G20)&gt;1,"중복","-"))</f>
        <v/>
      </c>
      <c r="I20" s="11" t="str">
        <f aca="false">IF($A20="","",IF($H20="-","-",IF(AND(IF(원본명단!$H19="",TRUE(),COUNTIF(원본명단!$H$3:$H19,원본명단!$H19)=1),IF(원본명단!$I19="",TRUE(),COUNTIF(원본명단!$I$3:$I19,원본명단!$I19)=1),IF(원본명단!$K19="",TRUE(),COUNTIF(원본명단!$K$3:$K19,원본명단!$K19)=1)),"첫 건","중복 건")))</f>
        <v/>
      </c>
      <c r="J20" s="11" t="str">
        <f aca="false">IF($A20="","",IF($H20="-","유지",IF($I20="첫 건","유지","확인 필요")))</f>
        <v/>
      </c>
    </row>
    <row r="21" customFormat="false" ht="15" hidden="false" customHeight="true" outlineLevel="0" collapsed="false">
      <c r="A21" s="11" t="str">
        <f aca="false">IF(원본명단!$A20="","",18)</f>
        <v/>
      </c>
      <c r="B21" s="12" t="str">
        <f aca="false">IF($A21="","",원본명단!$A20)</f>
        <v/>
      </c>
      <c r="C21" s="12" t="str">
        <f aca="false">IF($A21="","",원본명단!$B20)</f>
        <v/>
      </c>
      <c r="D21" s="12" t="str">
        <f aca="false">IF($A21="","",원본명단!$D20)</f>
        <v/>
      </c>
      <c r="E21" s="11" t="str">
        <f aca="false">IF($A21="","",IF(원본명단!$H20="",0,COUNTIF(원본명단!$H$3:$H$6002,원본명단!$H20)))</f>
        <v/>
      </c>
      <c r="F21" s="11" t="str">
        <f aca="false">IF($A21="","",IF(원본명단!$I20="",0,COUNTIF(원본명단!$I$3:$I$6002,원본명단!$I20)))</f>
        <v/>
      </c>
      <c r="G21" s="11" t="str">
        <f aca="false">IF($A21="","",IF(원본명단!$K20="",0,COUNTIF(원본명단!$K$3:$K$6002,원본명단!$K20)))</f>
        <v/>
      </c>
      <c r="H21" s="11" t="str">
        <f aca="false">IF($A21="","",IF(MAX($E21,$F21,$G21)&gt;1,"중복","-"))</f>
        <v/>
      </c>
      <c r="I21" s="11" t="str">
        <f aca="false">IF($A21="","",IF($H21="-","-",IF(AND(IF(원본명단!$H20="",TRUE(),COUNTIF(원본명단!$H$3:$H20,원본명단!$H20)=1),IF(원본명단!$I20="",TRUE(),COUNTIF(원본명단!$I$3:$I20,원본명단!$I20)=1),IF(원본명단!$K20="",TRUE(),COUNTIF(원본명단!$K$3:$K20,원본명단!$K20)=1)),"첫 건","중복 건")))</f>
        <v/>
      </c>
      <c r="J21" s="11" t="str">
        <f aca="false">IF($A21="","",IF($H21="-","유지",IF($I21="첫 건","유지","확인 필요")))</f>
        <v/>
      </c>
    </row>
    <row r="22" customFormat="false" ht="15" hidden="false" customHeight="true" outlineLevel="0" collapsed="false">
      <c r="A22" s="11" t="str">
        <f aca="false">IF(원본명단!$A21="","",19)</f>
        <v/>
      </c>
      <c r="B22" s="12" t="str">
        <f aca="false">IF($A22="","",원본명단!$A21)</f>
        <v/>
      </c>
      <c r="C22" s="12" t="str">
        <f aca="false">IF($A22="","",원본명단!$B21)</f>
        <v/>
      </c>
      <c r="D22" s="12" t="str">
        <f aca="false">IF($A22="","",원본명단!$D21)</f>
        <v/>
      </c>
      <c r="E22" s="11" t="str">
        <f aca="false">IF($A22="","",IF(원본명단!$H21="",0,COUNTIF(원본명단!$H$3:$H$6002,원본명단!$H21)))</f>
        <v/>
      </c>
      <c r="F22" s="11" t="str">
        <f aca="false">IF($A22="","",IF(원본명단!$I21="",0,COUNTIF(원본명단!$I$3:$I$6002,원본명단!$I21)))</f>
        <v/>
      </c>
      <c r="G22" s="11" t="str">
        <f aca="false">IF($A22="","",IF(원본명단!$K21="",0,COUNTIF(원본명단!$K$3:$K$6002,원본명단!$K21)))</f>
        <v/>
      </c>
      <c r="H22" s="11" t="str">
        <f aca="false">IF($A22="","",IF(MAX($E22,$F22,$G22)&gt;1,"중복","-"))</f>
        <v/>
      </c>
      <c r="I22" s="11" t="str">
        <f aca="false">IF($A22="","",IF($H22="-","-",IF(AND(IF(원본명단!$H21="",TRUE(),COUNTIF(원본명단!$H$3:$H21,원본명단!$H21)=1),IF(원본명단!$I21="",TRUE(),COUNTIF(원본명단!$I$3:$I21,원본명단!$I21)=1),IF(원본명단!$K21="",TRUE(),COUNTIF(원본명단!$K$3:$K21,원본명단!$K21)=1)),"첫 건","중복 건")))</f>
        <v/>
      </c>
      <c r="J22" s="11" t="str">
        <f aca="false">IF($A22="","",IF($H22="-","유지",IF($I22="첫 건","유지","확인 필요")))</f>
        <v/>
      </c>
    </row>
    <row r="23" customFormat="false" ht="15" hidden="false" customHeight="true" outlineLevel="0" collapsed="false">
      <c r="A23" s="11" t="str">
        <f aca="false">IF(원본명단!$A22="","",20)</f>
        <v/>
      </c>
      <c r="B23" s="12" t="str">
        <f aca="false">IF($A23="","",원본명단!$A22)</f>
        <v/>
      </c>
      <c r="C23" s="12" t="str">
        <f aca="false">IF($A23="","",원본명단!$B22)</f>
        <v/>
      </c>
      <c r="D23" s="12" t="str">
        <f aca="false">IF($A23="","",원본명단!$D22)</f>
        <v/>
      </c>
      <c r="E23" s="11" t="str">
        <f aca="false">IF($A23="","",IF(원본명단!$H22="",0,COUNTIF(원본명단!$H$3:$H$6002,원본명단!$H22)))</f>
        <v/>
      </c>
      <c r="F23" s="11" t="str">
        <f aca="false">IF($A23="","",IF(원본명단!$I22="",0,COUNTIF(원본명단!$I$3:$I$6002,원본명단!$I22)))</f>
        <v/>
      </c>
      <c r="G23" s="11" t="str">
        <f aca="false">IF($A23="","",IF(원본명단!$K22="",0,COUNTIF(원본명단!$K$3:$K$6002,원본명단!$K22)))</f>
        <v/>
      </c>
      <c r="H23" s="11" t="str">
        <f aca="false">IF($A23="","",IF(MAX($E23,$F23,$G23)&gt;1,"중복","-"))</f>
        <v/>
      </c>
      <c r="I23" s="11" t="str">
        <f aca="false">IF($A23="","",IF($H23="-","-",IF(AND(IF(원본명단!$H22="",TRUE(),COUNTIF(원본명단!$H$3:$H22,원본명단!$H22)=1),IF(원본명단!$I22="",TRUE(),COUNTIF(원본명단!$I$3:$I22,원본명단!$I22)=1),IF(원본명단!$K22="",TRUE(),COUNTIF(원본명단!$K$3:$K22,원본명단!$K22)=1)),"첫 건","중복 건")))</f>
        <v/>
      </c>
      <c r="J23" s="11" t="str">
        <f aca="false">IF($A23="","",IF($H23="-","유지",IF($I23="첫 건","유지","확인 필요")))</f>
        <v/>
      </c>
    </row>
    <row r="24" customFormat="false" ht="15" hidden="false" customHeight="true" outlineLevel="0" collapsed="false">
      <c r="A24" s="11" t="str">
        <f aca="false">IF(원본명단!$A23="","",21)</f>
        <v/>
      </c>
      <c r="B24" s="12" t="str">
        <f aca="false">IF($A24="","",원본명단!$A23)</f>
        <v/>
      </c>
      <c r="C24" s="12" t="str">
        <f aca="false">IF($A24="","",원본명단!$B23)</f>
        <v/>
      </c>
      <c r="D24" s="12" t="str">
        <f aca="false">IF($A24="","",원본명단!$D23)</f>
        <v/>
      </c>
      <c r="E24" s="11" t="str">
        <f aca="false">IF($A24="","",IF(원본명단!$H23="",0,COUNTIF(원본명단!$H$3:$H$6002,원본명단!$H23)))</f>
        <v/>
      </c>
      <c r="F24" s="11" t="str">
        <f aca="false">IF($A24="","",IF(원본명단!$I23="",0,COUNTIF(원본명단!$I$3:$I$6002,원본명단!$I23)))</f>
        <v/>
      </c>
      <c r="G24" s="11" t="str">
        <f aca="false">IF($A24="","",IF(원본명단!$K23="",0,COUNTIF(원본명단!$K$3:$K$6002,원본명단!$K23)))</f>
        <v/>
      </c>
      <c r="H24" s="11" t="str">
        <f aca="false">IF($A24="","",IF(MAX($E24,$F24,$G24)&gt;1,"중복","-"))</f>
        <v/>
      </c>
      <c r="I24" s="11" t="str">
        <f aca="false">IF($A24="","",IF($H24="-","-",IF(AND(IF(원본명단!$H23="",TRUE(),COUNTIF(원본명단!$H$3:$H23,원본명단!$H23)=1),IF(원본명단!$I23="",TRUE(),COUNTIF(원본명단!$I$3:$I23,원본명단!$I23)=1),IF(원본명단!$K23="",TRUE(),COUNTIF(원본명단!$K$3:$K23,원본명단!$K23)=1)),"첫 건","중복 건")))</f>
        <v/>
      </c>
      <c r="J24" s="11" t="str">
        <f aca="false">IF($A24="","",IF($H24="-","유지",IF($I24="첫 건","유지","확인 필요")))</f>
        <v/>
      </c>
    </row>
    <row r="25" customFormat="false" ht="15" hidden="false" customHeight="true" outlineLevel="0" collapsed="false">
      <c r="A25" s="11" t="str">
        <f aca="false">IF(원본명단!$A24="","",22)</f>
        <v/>
      </c>
      <c r="B25" s="12" t="str">
        <f aca="false">IF($A25="","",원본명단!$A24)</f>
        <v/>
      </c>
      <c r="C25" s="12" t="str">
        <f aca="false">IF($A25="","",원본명단!$B24)</f>
        <v/>
      </c>
      <c r="D25" s="12" t="str">
        <f aca="false">IF($A25="","",원본명단!$D24)</f>
        <v/>
      </c>
      <c r="E25" s="11" t="str">
        <f aca="false">IF($A25="","",IF(원본명단!$H24="",0,COUNTIF(원본명단!$H$3:$H$6002,원본명단!$H24)))</f>
        <v/>
      </c>
      <c r="F25" s="11" t="str">
        <f aca="false">IF($A25="","",IF(원본명단!$I24="",0,COUNTIF(원본명단!$I$3:$I$6002,원본명단!$I24)))</f>
        <v/>
      </c>
      <c r="G25" s="11" t="str">
        <f aca="false">IF($A25="","",IF(원본명단!$K24="",0,COUNTIF(원본명단!$K$3:$K$6002,원본명단!$K24)))</f>
        <v/>
      </c>
      <c r="H25" s="11" t="str">
        <f aca="false">IF($A25="","",IF(MAX($E25,$F25,$G25)&gt;1,"중복","-"))</f>
        <v/>
      </c>
      <c r="I25" s="11" t="str">
        <f aca="false">IF($A25="","",IF($H25="-","-",IF(AND(IF(원본명단!$H24="",TRUE(),COUNTIF(원본명단!$H$3:$H24,원본명단!$H24)=1),IF(원본명단!$I24="",TRUE(),COUNTIF(원본명단!$I$3:$I24,원본명단!$I24)=1),IF(원본명단!$K24="",TRUE(),COUNTIF(원본명단!$K$3:$K24,원본명단!$K24)=1)),"첫 건","중복 건")))</f>
        <v/>
      </c>
      <c r="J25" s="11" t="str">
        <f aca="false">IF($A25="","",IF($H25="-","유지",IF($I25="첫 건","유지","확인 필요")))</f>
        <v/>
      </c>
    </row>
    <row r="26" customFormat="false" ht="15" hidden="false" customHeight="true" outlineLevel="0" collapsed="false">
      <c r="A26" s="11" t="str">
        <f aca="false">IF(원본명단!$A25="","",23)</f>
        <v/>
      </c>
      <c r="B26" s="12" t="str">
        <f aca="false">IF($A26="","",원본명단!$A25)</f>
        <v/>
      </c>
      <c r="C26" s="12" t="str">
        <f aca="false">IF($A26="","",원본명단!$B25)</f>
        <v/>
      </c>
      <c r="D26" s="12" t="str">
        <f aca="false">IF($A26="","",원본명단!$D25)</f>
        <v/>
      </c>
      <c r="E26" s="11" t="str">
        <f aca="false">IF($A26="","",IF(원본명단!$H25="",0,COUNTIF(원본명단!$H$3:$H$6002,원본명단!$H25)))</f>
        <v/>
      </c>
      <c r="F26" s="11" t="str">
        <f aca="false">IF($A26="","",IF(원본명단!$I25="",0,COUNTIF(원본명단!$I$3:$I$6002,원본명단!$I25)))</f>
        <v/>
      </c>
      <c r="G26" s="11" t="str">
        <f aca="false">IF($A26="","",IF(원본명단!$K25="",0,COUNTIF(원본명단!$K$3:$K$6002,원본명단!$K25)))</f>
        <v/>
      </c>
      <c r="H26" s="11" t="str">
        <f aca="false">IF($A26="","",IF(MAX($E26,$F26,$G26)&gt;1,"중복","-"))</f>
        <v/>
      </c>
      <c r="I26" s="11" t="str">
        <f aca="false">IF($A26="","",IF($H26="-","-",IF(AND(IF(원본명단!$H25="",TRUE(),COUNTIF(원본명단!$H$3:$H25,원본명단!$H25)=1),IF(원본명단!$I25="",TRUE(),COUNTIF(원본명단!$I$3:$I25,원본명단!$I25)=1),IF(원본명단!$K25="",TRUE(),COUNTIF(원본명단!$K$3:$K25,원본명단!$K25)=1)),"첫 건","중복 건")))</f>
        <v/>
      </c>
      <c r="J26" s="11" t="str">
        <f aca="false">IF($A26="","",IF($H26="-","유지",IF($I26="첫 건","유지","확인 필요")))</f>
        <v/>
      </c>
    </row>
    <row r="27" customFormat="false" ht="15" hidden="false" customHeight="true" outlineLevel="0" collapsed="false">
      <c r="A27" s="11" t="str">
        <f aca="false">IF(원본명단!$A26="","",24)</f>
        <v/>
      </c>
      <c r="B27" s="12" t="str">
        <f aca="false">IF($A27="","",원본명단!$A26)</f>
        <v/>
      </c>
      <c r="C27" s="12" t="str">
        <f aca="false">IF($A27="","",원본명단!$B26)</f>
        <v/>
      </c>
      <c r="D27" s="12" t="str">
        <f aca="false">IF($A27="","",원본명단!$D26)</f>
        <v/>
      </c>
      <c r="E27" s="11" t="str">
        <f aca="false">IF($A27="","",IF(원본명단!$H26="",0,COUNTIF(원본명단!$H$3:$H$6002,원본명단!$H26)))</f>
        <v/>
      </c>
      <c r="F27" s="11" t="str">
        <f aca="false">IF($A27="","",IF(원본명단!$I26="",0,COUNTIF(원본명단!$I$3:$I$6002,원본명단!$I26)))</f>
        <v/>
      </c>
      <c r="G27" s="11" t="str">
        <f aca="false">IF($A27="","",IF(원본명단!$K26="",0,COUNTIF(원본명단!$K$3:$K$6002,원본명단!$K26)))</f>
        <v/>
      </c>
      <c r="H27" s="11" t="str">
        <f aca="false">IF($A27="","",IF(MAX($E27,$F27,$G27)&gt;1,"중복","-"))</f>
        <v/>
      </c>
      <c r="I27" s="11" t="str">
        <f aca="false">IF($A27="","",IF($H27="-","-",IF(AND(IF(원본명단!$H26="",TRUE(),COUNTIF(원본명단!$H$3:$H26,원본명단!$H26)=1),IF(원본명단!$I26="",TRUE(),COUNTIF(원본명단!$I$3:$I26,원본명단!$I26)=1),IF(원본명단!$K26="",TRUE(),COUNTIF(원본명단!$K$3:$K26,원본명단!$K26)=1)),"첫 건","중복 건")))</f>
        <v/>
      </c>
      <c r="J27" s="11" t="str">
        <f aca="false">IF($A27="","",IF($H27="-","유지",IF($I27="첫 건","유지","확인 필요")))</f>
        <v/>
      </c>
    </row>
    <row r="28" customFormat="false" ht="15" hidden="false" customHeight="true" outlineLevel="0" collapsed="false">
      <c r="A28" s="11" t="str">
        <f aca="false">IF(원본명단!$A27="","",25)</f>
        <v/>
      </c>
      <c r="B28" s="12" t="str">
        <f aca="false">IF($A28="","",원본명단!$A27)</f>
        <v/>
      </c>
      <c r="C28" s="12" t="str">
        <f aca="false">IF($A28="","",원본명단!$B27)</f>
        <v/>
      </c>
      <c r="D28" s="12" t="str">
        <f aca="false">IF($A28="","",원본명단!$D27)</f>
        <v/>
      </c>
      <c r="E28" s="11" t="str">
        <f aca="false">IF($A28="","",IF(원본명단!$H27="",0,COUNTIF(원본명단!$H$3:$H$6002,원본명단!$H27)))</f>
        <v/>
      </c>
      <c r="F28" s="11" t="str">
        <f aca="false">IF($A28="","",IF(원본명단!$I27="",0,COUNTIF(원본명단!$I$3:$I$6002,원본명단!$I27)))</f>
        <v/>
      </c>
      <c r="G28" s="11" t="str">
        <f aca="false">IF($A28="","",IF(원본명단!$K27="",0,COUNTIF(원본명단!$K$3:$K$6002,원본명단!$K27)))</f>
        <v/>
      </c>
      <c r="H28" s="11" t="str">
        <f aca="false">IF($A28="","",IF(MAX($E28,$F28,$G28)&gt;1,"중복","-"))</f>
        <v/>
      </c>
      <c r="I28" s="11" t="str">
        <f aca="false">IF($A28="","",IF($H28="-","-",IF(AND(IF(원본명단!$H27="",TRUE(),COUNTIF(원본명단!$H$3:$H27,원본명단!$H27)=1),IF(원본명단!$I27="",TRUE(),COUNTIF(원본명단!$I$3:$I27,원본명단!$I27)=1),IF(원본명단!$K27="",TRUE(),COUNTIF(원본명단!$K$3:$K27,원본명단!$K27)=1)),"첫 건","중복 건")))</f>
        <v/>
      </c>
      <c r="J28" s="11" t="str">
        <f aca="false">IF($A28="","",IF($H28="-","유지",IF($I28="첫 건","유지","확인 필요")))</f>
        <v/>
      </c>
    </row>
    <row r="29" customFormat="false" ht="15" hidden="false" customHeight="true" outlineLevel="0" collapsed="false">
      <c r="A29" s="11" t="str">
        <f aca="false">IF(원본명단!$A28="","",26)</f>
        <v/>
      </c>
      <c r="B29" s="12" t="str">
        <f aca="false">IF($A29="","",원본명단!$A28)</f>
        <v/>
      </c>
      <c r="C29" s="12" t="str">
        <f aca="false">IF($A29="","",원본명단!$B28)</f>
        <v/>
      </c>
      <c r="D29" s="12" t="str">
        <f aca="false">IF($A29="","",원본명단!$D28)</f>
        <v/>
      </c>
      <c r="E29" s="11" t="str">
        <f aca="false">IF($A29="","",IF(원본명단!$H28="",0,COUNTIF(원본명단!$H$3:$H$6002,원본명단!$H28)))</f>
        <v/>
      </c>
      <c r="F29" s="11" t="str">
        <f aca="false">IF($A29="","",IF(원본명단!$I28="",0,COUNTIF(원본명단!$I$3:$I$6002,원본명단!$I28)))</f>
        <v/>
      </c>
      <c r="G29" s="11" t="str">
        <f aca="false">IF($A29="","",IF(원본명단!$K28="",0,COUNTIF(원본명단!$K$3:$K$6002,원본명단!$K28)))</f>
        <v/>
      </c>
      <c r="H29" s="11" t="str">
        <f aca="false">IF($A29="","",IF(MAX($E29,$F29,$G29)&gt;1,"중복","-"))</f>
        <v/>
      </c>
      <c r="I29" s="11" t="str">
        <f aca="false">IF($A29="","",IF($H29="-","-",IF(AND(IF(원본명단!$H28="",TRUE(),COUNTIF(원본명단!$H$3:$H28,원본명단!$H28)=1),IF(원본명단!$I28="",TRUE(),COUNTIF(원본명단!$I$3:$I28,원본명단!$I28)=1),IF(원본명단!$K28="",TRUE(),COUNTIF(원본명단!$K$3:$K28,원본명단!$K28)=1)),"첫 건","중복 건")))</f>
        <v/>
      </c>
      <c r="J29" s="11" t="str">
        <f aca="false">IF($A29="","",IF($H29="-","유지",IF($I29="첫 건","유지","확인 필요")))</f>
        <v/>
      </c>
    </row>
    <row r="30" customFormat="false" ht="15" hidden="false" customHeight="true" outlineLevel="0" collapsed="false">
      <c r="A30" s="11" t="str">
        <f aca="false">IF(원본명단!$A29="","",27)</f>
        <v/>
      </c>
      <c r="B30" s="12" t="str">
        <f aca="false">IF($A30="","",원본명단!$A29)</f>
        <v/>
      </c>
      <c r="C30" s="12" t="str">
        <f aca="false">IF($A30="","",원본명단!$B29)</f>
        <v/>
      </c>
      <c r="D30" s="12" t="str">
        <f aca="false">IF($A30="","",원본명단!$D29)</f>
        <v/>
      </c>
      <c r="E30" s="11" t="str">
        <f aca="false">IF($A30="","",IF(원본명단!$H29="",0,COUNTIF(원본명단!$H$3:$H$6002,원본명단!$H29)))</f>
        <v/>
      </c>
      <c r="F30" s="11" t="str">
        <f aca="false">IF($A30="","",IF(원본명단!$I29="",0,COUNTIF(원본명단!$I$3:$I$6002,원본명단!$I29)))</f>
        <v/>
      </c>
      <c r="G30" s="11" t="str">
        <f aca="false">IF($A30="","",IF(원본명단!$K29="",0,COUNTIF(원본명단!$K$3:$K$6002,원본명단!$K29)))</f>
        <v/>
      </c>
      <c r="H30" s="11" t="str">
        <f aca="false">IF($A30="","",IF(MAX($E30,$F30,$G30)&gt;1,"중복","-"))</f>
        <v/>
      </c>
      <c r="I30" s="11" t="str">
        <f aca="false">IF($A30="","",IF($H30="-","-",IF(AND(IF(원본명단!$H29="",TRUE(),COUNTIF(원본명단!$H$3:$H29,원본명단!$H29)=1),IF(원본명단!$I29="",TRUE(),COUNTIF(원본명단!$I$3:$I29,원본명단!$I29)=1),IF(원본명단!$K29="",TRUE(),COUNTIF(원본명단!$K$3:$K29,원본명단!$K29)=1)),"첫 건","중복 건")))</f>
        <v/>
      </c>
      <c r="J30" s="11" t="str">
        <f aca="false">IF($A30="","",IF($H30="-","유지",IF($I30="첫 건","유지","확인 필요")))</f>
        <v/>
      </c>
    </row>
    <row r="31" customFormat="false" ht="15" hidden="false" customHeight="true" outlineLevel="0" collapsed="false">
      <c r="A31" s="11" t="str">
        <f aca="false">IF(원본명단!$A30="","",28)</f>
        <v/>
      </c>
      <c r="B31" s="12" t="str">
        <f aca="false">IF($A31="","",원본명단!$A30)</f>
        <v/>
      </c>
      <c r="C31" s="12" t="str">
        <f aca="false">IF($A31="","",원본명단!$B30)</f>
        <v/>
      </c>
      <c r="D31" s="12" t="str">
        <f aca="false">IF($A31="","",원본명단!$D30)</f>
        <v/>
      </c>
      <c r="E31" s="11" t="str">
        <f aca="false">IF($A31="","",IF(원본명단!$H30="",0,COUNTIF(원본명단!$H$3:$H$6002,원본명단!$H30)))</f>
        <v/>
      </c>
      <c r="F31" s="11" t="str">
        <f aca="false">IF($A31="","",IF(원본명단!$I30="",0,COUNTIF(원본명단!$I$3:$I$6002,원본명단!$I30)))</f>
        <v/>
      </c>
      <c r="G31" s="11" t="str">
        <f aca="false">IF($A31="","",IF(원본명단!$K30="",0,COUNTIF(원본명단!$K$3:$K$6002,원본명단!$K30)))</f>
        <v/>
      </c>
      <c r="H31" s="11" t="str">
        <f aca="false">IF($A31="","",IF(MAX($E31,$F31,$G31)&gt;1,"중복","-"))</f>
        <v/>
      </c>
      <c r="I31" s="11" t="str">
        <f aca="false">IF($A31="","",IF($H31="-","-",IF(AND(IF(원본명단!$H30="",TRUE(),COUNTIF(원본명단!$H$3:$H30,원본명단!$H30)=1),IF(원본명단!$I30="",TRUE(),COUNTIF(원본명단!$I$3:$I30,원본명단!$I30)=1),IF(원본명단!$K30="",TRUE(),COUNTIF(원본명단!$K$3:$K30,원본명단!$K30)=1)),"첫 건","중복 건")))</f>
        <v/>
      </c>
      <c r="J31" s="11" t="str">
        <f aca="false">IF($A31="","",IF($H31="-","유지",IF($I31="첫 건","유지","확인 필요")))</f>
        <v/>
      </c>
    </row>
    <row r="32" customFormat="false" ht="15" hidden="false" customHeight="true" outlineLevel="0" collapsed="false">
      <c r="A32" s="11" t="str">
        <f aca="false">IF(원본명단!$A31="","",29)</f>
        <v/>
      </c>
      <c r="B32" s="12" t="str">
        <f aca="false">IF($A32="","",원본명단!$A31)</f>
        <v/>
      </c>
      <c r="C32" s="12" t="str">
        <f aca="false">IF($A32="","",원본명단!$B31)</f>
        <v/>
      </c>
      <c r="D32" s="12" t="str">
        <f aca="false">IF($A32="","",원본명단!$D31)</f>
        <v/>
      </c>
      <c r="E32" s="11" t="str">
        <f aca="false">IF($A32="","",IF(원본명단!$H31="",0,COUNTIF(원본명단!$H$3:$H$6002,원본명단!$H31)))</f>
        <v/>
      </c>
      <c r="F32" s="11" t="str">
        <f aca="false">IF($A32="","",IF(원본명단!$I31="",0,COUNTIF(원본명단!$I$3:$I$6002,원본명단!$I31)))</f>
        <v/>
      </c>
      <c r="G32" s="11" t="str">
        <f aca="false">IF($A32="","",IF(원본명단!$K31="",0,COUNTIF(원본명단!$K$3:$K$6002,원본명단!$K31)))</f>
        <v/>
      </c>
      <c r="H32" s="11" t="str">
        <f aca="false">IF($A32="","",IF(MAX($E32,$F32,$G32)&gt;1,"중복","-"))</f>
        <v/>
      </c>
      <c r="I32" s="11" t="str">
        <f aca="false">IF($A32="","",IF($H32="-","-",IF(AND(IF(원본명단!$H31="",TRUE(),COUNTIF(원본명단!$H$3:$H31,원본명단!$H31)=1),IF(원본명단!$I31="",TRUE(),COUNTIF(원본명단!$I$3:$I31,원본명단!$I31)=1),IF(원본명단!$K31="",TRUE(),COUNTIF(원본명단!$K$3:$K31,원본명단!$K31)=1)),"첫 건","중복 건")))</f>
        <v/>
      </c>
      <c r="J32" s="11" t="str">
        <f aca="false">IF($A32="","",IF($H32="-","유지",IF($I32="첫 건","유지","확인 필요")))</f>
        <v/>
      </c>
    </row>
    <row r="33" customFormat="false" ht="15" hidden="false" customHeight="true" outlineLevel="0" collapsed="false">
      <c r="A33" s="11" t="str">
        <f aca="false">IF(원본명단!$A32="","",30)</f>
        <v/>
      </c>
      <c r="B33" s="12" t="str">
        <f aca="false">IF($A33="","",원본명단!$A32)</f>
        <v/>
      </c>
      <c r="C33" s="12" t="str">
        <f aca="false">IF($A33="","",원본명단!$B32)</f>
        <v/>
      </c>
      <c r="D33" s="12" t="str">
        <f aca="false">IF($A33="","",원본명단!$D32)</f>
        <v/>
      </c>
      <c r="E33" s="11" t="str">
        <f aca="false">IF($A33="","",IF(원본명단!$H32="",0,COUNTIF(원본명단!$H$3:$H$6002,원본명단!$H32)))</f>
        <v/>
      </c>
      <c r="F33" s="11" t="str">
        <f aca="false">IF($A33="","",IF(원본명단!$I32="",0,COUNTIF(원본명단!$I$3:$I$6002,원본명단!$I32)))</f>
        <v/>
      </c>
      <c r="G33" s="11" t="str">
        <f aca="false">IF($A33="","",IF(원본명단!$K32="",0,COUNTIF(원본명단!$K$3:$K$6002,원본명단!$K32)))</f>
        <v/>
      </c>
      <c r="H33" s="11" t="str">
        <f aca="false">IF($A33="","",IF(MAX($E33,$F33,$G33)&gt;1,"중복","-"))</f>
        <v/>
      </c>
      <c r="I33" s="11" t="str">
        <f aca="false">IF($A33="","",IF($H33="-","-",IF(AND(IF(원본명단!$H32="",TRUE(),COUNTIF(원본명단!$H$3:$H32,원본명단!$H32)=1),IF(원본명단!$I32="",TRUE(),COUNTIF(원본명단!$I$3:$I32,원본명단!$I32)=1),IF(원본명단!$K32="",TRUE(),COUNTIF(원본명단!$K$3:$K32,원본명단!$K32)=1)),"첫 건","중복 건")))</f>
        <v/>
      </c>
      <c r="J33" s="11" t="str">
        <f aca="false">IF($A33="","",IF($H33="-","유지",IF($I33="첫 건","유지","확인 필요")))</f>
        <v/>
      </c>
    </row>
    <row r="34" customFormat="false" ht="15" hidden="false" customHeight="true" outlineLevel="0" collapsed="false">
      <c r="A34" s="11" t="str">
        <f aca="false">IF(원본명단!$A33="","",31)</f>
        <v/>
      </c>
      <c r="B34" s="12" t="str">
        <f aca="false">IF($A34="","",원본명단!$A33)</f>
        <v/>
      </c>
      <c r="C34" s="12" t="str">
        <f aca="false">IF($A34="","",원본명단!$B33)</f>
        <v/>
      </c>
      <c r="D34" s="12" t="str">
        <f aca="false">IF($A34="","",원본명단!$D33)</f>
        <v/>
      </c>
      <c r="E34" s="11" t="str">
        <f aca="false">IF($A34="","",IF(원본명단!$H33="",0,COUNTIF(원본명단!$H$3:$H$6002,원본명단!$H33)))</f>
        <v/>
      </c>
      <c r="F34" s="11" t="str">
        <f aca="false">IF($A34="","",IF(원본명단!$I33="",0,COUNTIF(원본명단!$I$3:$I$6002,원본명단!$I33)))</f>
        <v/>
      </c>
      <c r="G34" s="11" t="str">
        <f aca="false">IF($A34="","",IF(원본명단!$K33="",0,COUNTIF(원본명단!$K$3:$K$6002,원본명단!$K33)))</f>
        <v/>
      </c>
      <c r="H34" s="11" t="str">
        <f aca="false">IF($A34="","",IF(MAX($E34,$F34,$G34)&gt;1,"중복","-"))</f>
        <v/>
      </c>
      <c r="I34" s="11" t="str">
        <f aca="false">IF($A34="","",IF($H34="-","-",IF(AND(IF(원본명단!$H33="",TRUE(),COUNTIF(원본명단!$H$3:$H33,원본명단!$H33)=1),IF(원본명단!$I33="",TRUE(),COUNTIF(원본명단!$I$3:$I33,원본명단!$I33)=1),IF(원본명단!$K33="",TRUE(),COUNTIF(원본명단!$K$3:$K33,원본명단!$K33)=1)),"첫 건","중복 건")))</f>
        <v/>
      </c>
      <c r="J34" s="11" t="str">
        <f aca="false">IF($A34="","",IF($H34="-","유지",IF($I34="첫 건","유지","확인 필요")))</f>
        <v/>
      </c>
    </row>
    <row r="35" customFormat="false" ht="15" hidden="false" customHeight="true" outlineLevel="0" collapsed="false">
      <c r="A35" s="11" t="str">
        <f aca="false">IF(원본명단!$A34="","",32)</f>
        <v/>
      </c>
      <c r="B35" s="12" t="str">
        <f aca="false">IF($A35="","",원본명단!$A34)</f>
        <v/>
      </c>
      <c r="C35" s="12" t="str">
        <f aca="false">IF($A35="","",원본명단!$B34)</f>
        <v/>
      </c>
      <c r="D35" s="12" t="str">
        <f aca="false">IF($A35="","",원본명단!$D34)</f>
        <v/>
      </c>
      <c r="E35" s="11" t="str">
        <f aca="false">IF($A35="","",IF(원본명단!$H34="",0,COUNTIF(원본명단!$H$3:$H$6002,원본명단!$H34)))</f>
        <v/>
      </c>
      <c r="F35" s="11" t="str">
        <f aca="false">IF($A35="","",IF(원본명단!$I34="",0,COUNTIF(원본명단!$I$3:$I$6002,원본명단!$I34)))</f>
        <v/>
      </c>
      <c r="G35" s="11" t="str">
        <f aca="false">IF($A35="","",IF(원본명단!$K34="",0,COUNTIF(원본명단!$K$3:$K$6002,원본명단!$K34)))</f>
        <v/>
      </c>
      <c r="H35" s="11" t="str">
        <f aca="false">IF($A35="","",IF(MAX($E35,$F35,$G35)&gt;1,"중복","-"))</f>
        <v/>
      </c>
      <c r="I35" s="11" t="str">
        <f aca="false">IF($A35="","",IF($H35="-","-",IF(AND(IF(원본명단!$H34="",TRUE(),COUNTIF(원본명단!$H$3:$H34,원본명단!$H34)=1),IF(원본명단!$I34="",TRUE(),COUNTIF(원본명단!$I$3:$I34,원본명단!$I34)=1),IF(원본명단!$K34="",TRUE(),COUNTIF(원본명단!$K$3:$K34,원본명단!$K34)=1)),"첫 건","중복 건")))</f>
        <v/>
      </c>
      <c r="J35" s="11" t="str">
        <f aca="false">IF($A35="","",IF($H35="-","유지",IF($I35="첫 건","유지","확인 필요")))</f>
        <v/>
      </c>
    </row>
    <row r="36" customFormat="false" ht="15" hidden="false" customHeight="true" outlineLevel="0" collapsed="false">
      <c r="A36" s="11" t="str">
        <f aca="false">IF(원본명단!$A35="","",33)</f>
        <v/>
      </c>
      <c r="B36" s="12" t="str">
        <f aca="false">IF($A36="","",원본명단!$A35)</f>
        <v/>
      </c>
      <c r="C36" s="12" t="str">
        <f aca="false">IF($A36="","",원본명단!$B35)</f>
        <v/>
      </c>
      <c r="D36" s="12" t="str">
        <f aca="false">IF($A36="","",원본명단!$D35)</f>
        <v/>
      </c>
      <c r="E36" s="11" t="str">
        <f aca="false">IF($A36="","",IF(원본명단!$H35="",0,COUNTIF(원본명단!$H$3:$H$6002,원본명단!$H35)))</f>
        <v/>
      </c>
      <c r="F36" s="11" t="str">
        <f aca="false">IF($A36="","",IF(원본명단!$I35="",0,COUNTIF(원본명단!$I$3:$I$6002,원본명단!$I35)))</f>
        <v/>
      </c>
      <c r="G36" s="11" t="str">
        <f aca="false">IF($A36="","",IF(원본명단!$K35="",0,COUNTIF(원본명단!$K$3:$K$6002,원본명단!$K35)))</f>
        <v/>
      </c>
      <c r="H36" s="11" t="str">
        <f aca="false">IF($A36="","",IF(MAX($E36,$F36,$G36)&gt;1,"중복","-"))</f>
        <v/>
      </c>
      <c r="I36" s="11" t="str">
        <f aca="false">IF($A36="","",IF($H36="-","-",IF(AND(IF(원본명단!$H35="",TRUE(),COUNTIF(원본명단!$H$3:$H35,원본명단!$H35)=1),IF(원본명단!$I35="",TRUE(),COUNTIF(원본명단!$I$3:$I35,원본명단!$I35)=1),IF(원본명단!$K35="",TRUE(),COUNTIF(원본명단!$K$3:$K35,원본명단!$K35)=1)),"첫 건","중복 건")))</f>
        <v/>
      </c>
      <c r="J36" s="11" t="str">
        <f aca="false">IF($A36="","",IF($H36="-","유지",IF($I36="첫 건","유지","확인 필요")))</f>
        <v/>
      </c>
    </row>
    <row r="37" customFormat="false" ht="15" hidden="false" customHeight="true" outlineLevel="0" collapsed="false">
      <c r="A37" s="11" t="str">
        <f aca="false">IF(원본명단!$A36="","",34)</f>
        <v/>
      </c>
      <c r="B37" s="12" t="str">
        <f aca="false">IF($A37="","",원본명단!$A36)</f>
        <v/>
      </c>
      <c r="C37" s="12" t="str">
        <f aca="false">IF($A37="","",원본명단!$B36)</f>
        <v/>
      </c>
      <c r="D37" s="12" t="str">
        <f aca="false">IF($A37="","",원본명단!$D36)</f>
        <v/>
      </c>
      <c r="E37" s="11" t="str">
        <f aca="false">IF($A37="","",IF(원본명단!$H36="",0,COUNTIF(원본명단!$H$3:$H$6002,원본명단!$H36)))</f>
        <v/>
      </c>
      <c r="F37" s="11" t="str">
        <f aca="false">IF($A37="","",IF(원본명단!$I36="",0,COUNTIF(원본명단!$I$3:$I$6002,원본명단!$I36)))</f>
        <v/>
      </c>
      <c r="G37" s="11" t="str">
        <f aca="false">IF($A37="","",IF(원본명단!$K36="",0,COUNTIF(원본명단!$K$3:$K$6002,원본명단!$K36)))</f>
        <v/>
      </c>
      <c r="H37" s="11" t="str">
        <f aca="false">IF($A37="","",IF(MAX($E37,$F37,$G37)&gt;1,"중복","-"))</f>
        <v/>
      </c>
      <c r="I37" s="11" t="str">
        <f aca="false">IF($A37="","",IF($H37="-","-",IF(AND(IF(원본명단!$H36="",TRUE(),COUNTIF(원본명단!$H$3:$H36,원본명단!$H36)=1),IF(원본명단!$I36="",TRUE(),COUNTIF(원본명단!$I$3:$I36,원본명단!$I36)=1),IF(원본명단!$K36="",TRUE(),COUNTIF(원본명단!$K$3:$K36,원본명단!$K36)=1)),"첫 건","중복 건")))</f>
        <v/>
      </c>
      <c r="J37" s="11" t="str">
        <f aca="false">IF($A37="","",IF($H37="-","유지",IF($I37="첫 건","유지","확인 필요")))</f>
        <v/>
      </c>
    </row>
    <row r="38" customFormat="false" ht="15" hidden="false" customHeight="true" outlineLevel="0" collapsed="false">
      <c r="A38" s="11" t="str">
        <f aca="false">IF(원본명단!$A37="","",35)</f>
        <v/>
      </c>
      <c r="B38" s="12" t="str">
        <f aca="false">IF($A38="","",원본명단!$A37)</f>
        <v/>
      </c>
      <c r="C38" s="12" t="str">
        <f aca="false">IF($A38="","",원본명단!$B37)</f>
        <v/>
      </c>
      <c r="D38" s="12" t="str">
        <f aca="false">IF($A38="","",원본명단!$D37)</f>
        <v/>
      </c>
      <c r="E38" s="11" t="str">
        <f aca="false">IF($A38="","",IF(원본명단!$H37="",0,COUNTIF(원본명단!$H$3:$H$6002,원본명단!$H37)))</f>
        <v/>
      </c>
      <c r="F38" s="11" t="str">
        <f aca="false">IF($A38="","",IF(원본명단!$I37="",0,COUNTIF(원본명단!$I$3:$I$6002,원본명단!$I37)))</f>
        <v/>
      </c>
      <c r="G38" s="11" t="str">
        <f aca="false">IF($A38="","",IF(원본명단!$K37="",0,COUNTIF(원본명단!$K$3:$K$6002,원본명단!$K37)))</f>
        <v/>
      </c>
      <c r="H38" s="11" t="str">
        <f aca="false">IF($A38="","",IF(MAX($E38,$F38,$G38)&gt;1,"중복","-"))</f>
        <v/>
      </c>
      <c r="I38" s="11" t="str">
        <f aca="false">IF($A38="","",IF($H38="-","-",IF(AND(IF(원본명단!$H37="",TRUE(),COUNTIF(원본명단!$H$3:$H37,원본명단!$H37)=1),IF(원본명단!$I37="",TRUE(),COUNTIF(원본명단!$I$3:$I37,원본명단!$I37)=1),IF(원본명단!$K37="",TRUE(),COUNTIF(원본명단!$K$3:$K37,원본명단!$K37)=1)),"첫 건","중복 건")))</f>
        <v/>
      </c>
      <c r="J38" s="11" t="str">
        <f aca="false">IF($A38="","",IF($H38="-","유지",IF($I38="첫 건","유지","확인 필요")))</f>
        <v/>
      </c>
    </row>
    <row r="39" customFormat="false" ht="15" hidden="false" customHeight="true" outlineLevel="0" collapsed="false">
      <c r="A39" s="11" t="str">
        <f aca="false">IF(원본명단!$A38="","",36)</f>
        <v/>
      </c>
      <c r="B39" s="12" t="str">
        <f aca="false">IF($A39="","",원본명단!$A38)</f>
        <v/>
      </c>
      <c r="C39" s="12" t="str">
        <f aca="false">IF($A39="","",원본명단!$B38)</f>
        <v/>
      </c>
      <c r="D39" s="12" t="str">
        <f aca="false">IF($A39="","",원본명단!$D38)</f>
        <v/>
      </c>
      <c r="E39" s="11" t="str">
        <f aca="false">IF($A39="","",IF(원본명단!$H38="",0,COUNTIF(원본명단!$H$3:$H$6002,원본명단!$H38)))</f>
        <v/>
      </c>
      <c r="F39" s="11" t="str">
        <f aca="false">IF($A39="","",IF(원본명단!$I38="",0,COUNTIF(원본명단!$I$3:$I$6002,원본명단!$I38)))</f>
        <v/>
      </c>
      <c r="G39" s="11" t="str">
        <f aca="false">IF($A39="","",IF(원본명단!$K38="",0,COUNTIF(원본명단!$K$3:$K$6002,원본명단!$K38)))</f>
        <v/>
      </c>
      <c r="H39" s="11" t="str">
        <f aca="false">IF($A39="","",IF(MAX($E39,$F39,$G39)&gt;1,"중복","-"))</f>
        <v/>
      </c>
      <c r="I39" s="11" t="str">
        <f aca="false">IF($A39="","",IF($H39="-","-",IF(AND(IF(원본명단!$H38="",TRUE(),COUNTIF(원본명단!$H$3:$H38,원본명단!$H38)=1),IF(원본명단!$I38="",TRUE(),COUNTIF(원본명단!$I$3:$I38,원본명단!$I38)=1),IF(원본명단!$K38="",TRUE(),COUNTIF(원본명단!$K$3:$K38,원본명단!$K38)=1)),"첫 건","중복 건")))</f>
        <v/>
      </c>
      <c r="J39" s="11" t="str">
        <f aca="false">IF($A39="","",IF($H39="-","유지",IF($I39="첫 건","유지","확인 필요")))</f>
        <v/>
      </c>
    </row>
    <row r="40" customFormat="false" ht="15" hidden="false" customHeight="true" outlineLevel="0" collapsed="false">
      <c r="A40" s="11" t="str">
        <f aca="false">IF(원본명단!$A39="","",37)</f>
        <v/>
      </c>
      <c r="B40" s="12" t="str">
        <f aca="false">IF($A40="","",원본명단!$A39)</f>
        <v/>
      </c>
      <c r="C40" s="12" t="str">
        <f aca="false">IF($A40="","",원본명단!$B39)</f>
        <v/>
      </c>
      <c r="D40" s="12" t="str">
        <f aca="false">IF($A40="","",원본명단!$D39)</f>
        <v/>
      </c>
      <c r="E40" s="11" t="str">
        <f aca="false">IF($A40="","",IF(원본명단!$H39="",0,COUNTIF(원본명단!$H$3:$H$6002,원본명단!$H39)))</f>
        <v/>
      </c>
      <c r="F40" s="11" t="str">
        <f aca="false">IF($A40="","",IF(원본명단!$I39="",0,COUNTIF(원본명단!$I$3:$I$6002,원본명단!$I39)))</f>
        <v/>
      </c>
      <c r="G40" s="11" t="str">
        <f aca="false">IF($A40="","",IF(원본명단!$K39="",0,COUNTIF(원본명단!$K$3:$K$6002,원본명단!$K39)))</f>
        <v/>
      </c>
      <c r="H40" s="11" t="str">
        <f aca="false">IF($A40="","",IF(MAX($E40,$F40,$G40)&gt;1,"중복","-"))</f>
        <v/>
      </c>
      <c r="I40" s="11" t="str">
        <f aca="false">IF($A40="","",IF($H40="-","-",IF(AND(IF(원본명단!$H39="",TRUE(),COUNTIF(원본명단!$H$3:$H39,원본명단!$H39)=1),IF(원본명단!$I39="",TRUE(),COUNTIF(원본명단!$I$3:$I39,원본명단!$I39)=1),IF(원본명단!$K39="",TRUE(),COUNTIF(원본명단!$K$3:$K39,원본명단!$K39)=1)),"첫 건","중복 건")))</f>
        <v/>
      </c>
      <c r="J40" s="11" t="str">
        <f aca="false">IF($A40="","",IF($H40="-","유지",IF($I40="첫 건","유지","확인 필요")))</f>
        <v/>
      </c>
    </row>
    <row r="41" customFormat="false" ht="15" hidden="false" customHeight="true" outlineLevel="0" collapsed="false">
      <c r="A41" s="11" t="str">
        <f aca="false">IF(원본명단!$A40="","",38)</f>
        <v/>
      </c>
      <c r="B41" s="12" t="str">
        <f aca="false">IF($A41="","",원본명단!$A40)</f>
        <v/>
      </c>
      <c r="C41" s="12" t="str">
        <f aca="false">IF($A41="","",원본명단!$B40)</f>
        <v/>
      </c>
      <c r="D41" s="12" t="str">
        <f aca="false">IF($A41="","",원본명단!$D40)</f>
        <v/>
      </c>
      <c r="E41" s="11" t="str">
        <f aca="false">IF($A41="","",IF(원본명단!$H40="",0,COUNTIF(원본명단!$H$3:$H$6002,원본명단!$H40)))</f>
        <v/>
      </c>
      <c r="F41" s="11" t="str">
        <f aca="false">IF($A41="","",IF(원본명단!$I40="",0,COUNTIF(원본명단!$I$3:$I$6002,원본명단!$I40)))</f>
        <v/>
      </c>
      <c r="G41" s="11" t="str">
        <f aca="false">IF($A41="","",IF(원본명단!$K40="",0,COUNTIF(원본명단!$K$3:$K$6002,원본명단!$K40)))</f>
        <v/>
      </c>
      <c r="H41" s="11" t="str">
        <f aca="false">IF($A41="","",IF(MAX($E41,$F41,$G41)&gt;1,"중복","-"))</f>
        <v/>
      </c>
      <c r="I41" s="11" t="str">
        <f aca="false">IF($A41="","",IF($H41="-","-",IF(AND(IF(원본명단!$H40="",TRUE(),COUNTIF(원본명단!$H$3:$H40,원본명단!$H40)=1),IF(원본명단!$I40="",TRUE(),COUNTIF(원본명단!$I$3:$I40,원본명단!$I40)=1),IF(원본명단!$K40="",TRUE(),COUNTIF(원본명단!$K$3:$K40,원본명단!$K40)=1)),"첫 건","중복 건")))</f>
        <v/>
      </c>
      <c r="J41" s="11" t="str">
        <f aca="false">IF($A41="","",IF($H41="-","유지",IF($I41="첫 건","유지","확인 필요")))</f>
        <v/>
      </c>
    </row>
    <row r="42" customFormat="false" ht="15" hidden="false" customHeight="true" outlineLevel="0" collapsed="false">
      <c r="A42" s="11" t="str">
        <f aca="false">IF(원본명단!$A41="","",39)</f>
        <v/>
      </c>
      <c r="B42" s="12" t="str">
        <f aca="false">IF($A42="","",원본명단!$A41)</f>
        <v/>
      </c>
      <c r="C42" s="12" t="str">
        <f aca="false">IF($A42="","",원본명단!$B41)</f>
        <v/>
      </c>
      <c r="D42" s="12" t="str">
        <f aca="false">IF($A42="","",원본명단!$D41)</f>
        <v/>
      </c>
      <c r="E42" s="11" t="str">
        <f aca="false">IF($A42="","",IF(원본명단!$H41="",0,COUNTIF(원본명단!$H$3:$H$6002,원본명단!$H41)))</f>
        <v/>
      </c>
      <c r="F42" s="11" t="str">
        <f aca="false">IF($A42="","",IF(원본명단!$I41="",0,COUNTIF(원본명단!$I$3:$I$6002,원본명단!$I41)))</f>
        <v/>
      </c>
      <c r="G42" s="11" t="str">
        <f aca="false">IF($A42="","",IF(원본명단!$K41="",0,COUNTIF(원본명단!$K$3:$K$6002,원본명단!$K41)))</f>
        <v/>
      </c>
      <c r="H42" s="11" t="str">
        <f aca="false">IF($A42="","",IF(MAX($E42,$F42,$G42)&gt;1,"중복","-"))</f>
        <v/>
      </c>
      <c r="I42" s="11" t="str">
        <f aca="false">IF($A42="","",IF($H42="-","-",IF(AND(IF(원본명단!$H41="",TRUE(),COUNTIF(원본명단!$H$3:$H41,원본명단!$H41)=1),IF(원본명단!$I41="",TRUE(),COUNTIF(원본명단!$I$3:$I41,원본명단!$I41)=1),IF(원본명단!$K41="",TRUE(),COUNTIF(원본명단!$K$3:$K41,원본명단!$K41)=1)),"첫 건","중복 건")))</f>
        <v/>
      </c>
      <c r="J42" s="11" t="str">
        <f aca="false">IF($A42="","",IF($H42="-","유지",IF($I42="첫 건","유지","확인 필요")))</f>
        <v/>
      </c>
    </row>
    <row r="43" customFormat="false" ht="15" hidden="false" customHeight="true" outlineLevel="0" collapsed="false">
      <c r="A43" s="11" t="str">
        <f aca="false">IF(원본명단!$A42="","",40)</f>
        <v/>
      </c>
      <c r="B43" s="12" t="str">
        <f aca="false">IF($A43="","",원본명단!$A42)</f>
        <v/>
      </c>
      <c r="C43" s="12" t="str">
        <f aca="false">IF($A43="","",원본명단!$B42)</f>
        <v/>
      </c>
      <c r="D43" s="12" t="str">
        <f aca="false">IF($A43="","",원본명단!$D42)</f>
        <v/>
      </c>
      <c r="E43" s="11" t="str">
        <f aca="false">IF($A43="","",IF(원본명단!$H42="",0,COUNTIF(원본명단!$H$3:$H$6002,원본명단!$H42)))</f>
        <v/>
      </c>
      <c r="F43" s="11" t="str">
        <f aca="false">IF($A43="","",IF(원본명단!$I42="",0,COUNTIF(원본명단!$I$3:$I$6002,원본명단!$I42)))</f>
        <v/>
      </c>
      <c r="G43" s="11" t="str">
        <f aca="false">IF($A43="","",IF(원본명단!$K42="",0,COUNTIF(원본명단!$K$3:$K$6002,원본명단!$K42)))</f>
        <v/>
      </c>
      <c r="H43" s="11" t="str">
        <f aca="false">IF($A43="","",IF(MAX($E43,$F43,$G43)&gt;1,"중복","-"))</f>
        <v/>
      </c>
      <c r="I43" s="11" t="str">
        <f aca="false">IF($A43="","",IF($H43="-","-",IF(AND(IF(원본명단!$H42="",TRUE(),COUNTIF(원본명단!$H$3:$H42,원본명단!$H42)=1),IF(원본명단!$I42="",TRUE(),COUNTIF(원본명단!$I$3:$I42,원본명단!$I42)=1),IF(원본명단!$K42="",TRUE(),COUNTIF(원본명단!$K$3:$K42,원본명단!$K42)=1)),"첫 건","중복 건")))</f>
        <v/>
      </c>
      <c r="J43" s="11" t="str">
        <f aca="false">IF($A43="","",IF($H43="-","유지",IF($I43="첫 건","유지","확인 필요")))</f>
        <v/>
      </c>
    </row>
    <row r="44" customFormat="false" ht="15" hidden="false" customHeight="true" outlineLevel="0" collapsed="false">
      <c r="A44" s="11" t="str">
        <f aca="false">IF(원본명단!$A43="","",41)</f>
        <v/>
      </c>
      <c r="B44" s="12" t="str">
        <f aca="false">IF($A44="","",원본명단!$A43)</f>
        <v/>
      </c>
      <c r="C44" s="12" t="str">
        <f aca="false">IF($A44="","",원본명단!$B43)</f>
        <v/>
      </c>
      <c r="D44" s="12" t="str">
        <f aca="false">IF($A44="","",원본명단!$D43)</f>
        <v/>
      </c>
      <c r="E44" s="11" t="str">
        <f aca="false">IF($A44="","",IF(원본명단!$H43="",0,COUNTIF(원본명단!$H$3:$H$6002,원본명단!$H43)))</f>
        <v/>
      </c>
      <c r="F44" s="11" t="str">
        <f aca="false">IF($A44="","",IF(원본명단!$I43="",0,COUNTIF(원본명단!$I$3:$I$6002,원본명단!$I43)))</f>
        <v/>
      </c>
      <c r="G44" s="11" t="str">
        <f aca="false">IF($A44="","",IF(원본명단!$K43="",0,COUNTIF(원본명단!$K$3:$K$6002,원본명단!$K43)))</f>
        <v/>
      </c>
      <c r="H44" s="11" t="str">
        <f aca="false">IF($A44="","",IF(MAX($E44,$F44,$G44)&gt;1,"중복","-"))</f>
        <v/>
      </c>
      <c r="I44" s="11" t="str">
        <f aca="false">IF($A44="","",IF($H44="-","-",IF(AND(IF(원본명단!$H43="",TRUE(),COUNTIF(원본명단!$H$3:$H43,원본명단!$H43)=1),IF(원본명단!$I43="",TRUE(),COUNTIF(원본명단!$I$3:$I43,원본명단!$I43)=1),IF(원본명단!$K43="",TRUE(),COUNTIF(원본명단!$K$3:$K43,원본명단!$K43)=1)),"첫 건","중복 건")))</f>
        <v/>
      </c>
      <c r="J44" s="11" t="str">
        <f aca="false">IF($A44="","",IF($H44="-","유지",IF($I44="첫 건","유지","확인 필요")))</f>
        <v/>
      </c>
    </row>
    <row r="45" customFormat="false" ht="15" hidden="false" customHeight="true" outlineLevel="0" collapsed="false">
      <c r="A45" s="11" t="str">
        <f aca="false">IF(원본명단!$A44="","",42)</f>
        <v/>
      </c>
      <c r="B45" s="12" t="str">
        <f aca="false">IF($A45="","",원본명단!$A44)</f>
        <v/>
      </c>
      <c r="C45" s="12" t="str">
        <f aca="false">IF($A45="","",원본명단!$B44)</f>
        <v/>
      </c>
      <c r="D45" s="12" t="str">
        <f aca="false">IF($A45="","",원본명단!$D44)</f>
        <v/>
      </c>
      <c r="E45" s="11" t="str">
        <f aca="false">IF($A45="","",IF(원본명단!$H44="",0,COUNTIF(원본명단!$H$3:$H$6002,원본명단!$H44)))</f>
        <v/>
      </c>
      <c r="F45" s="11" t="str">
        <f aca="false">IF($A45="","",IF(원본명단!$I44="",0,COUNTIF(원본명단!$I$3:$I$6002,원본명단!$I44)))</f>
        <v/>
      </c>
      <c r="G45" s="11" t="str">
        <f aca="false">IF($A45="","",IF(원본명단!$K44="",0,COUNTIF(원본명단!$K$3:$K$6002,원본명단!$K44)))</f>
        <v/>
      </c>
      <c r="H45" s="11" t="str">
        <f aca="false">IF($A45="","",IF(MAX($E45,$F45,$G45)&gt;1,"중복","-"))</f>
        <v/>
      </c>
      <c r="I45" s="11" t="str">
        <f aca="false">IF($A45="","",IF($H45="-","-",IF(AND(IF(원본명단!$H44="",TRUE(),COUNTIF(원본명단!$H$3:$H44,원본명단!$H44)=1),IF(원본명단!$I44="",TRUE(),COUNTIF(원본명단!$I$3:$I44,원본명단!$I44)=1),IF(원본명단!$K44="",TRUE(),COUNTIF(원본명단!$K$3:$K44,원본명단!$K44)=1)),"첫 건","중복 건")))</f>
        <v/>
      </c>
      <c r="J45" s="11" t="str">
        <f aca="false">IF($A45="","",IF($H45="-","유지",IF($I45="첫 건","유지","확인 필요")))</f>
        <v/>
      </c>
    </row>
    <row r="46" customFormat="false" ht="15" hidden="false" customHeight="true" outlineLevel="0" collapsed="false">
      <c r="A46" s="11" t="str">
        <f aca="false">IF(원본명단!$A45="","",43)</f>
        <v/>
      </c>
      <c r="B46" s="12" t="str">
        <f aca="false">IF($A46="","",원본명단!$A45)</f>
        <v/>
      </c>
      <c r="C46" s="12" t="str">
        <f aca="false">IF($A46="","",원본명단!$B45)</f>
        <v/>
      </c>
      <c r="D46" s="12" t="str">
        <f aca="false">IF($A46="","",원본명단!$D45)</f>
        <v/>
      </c>
      <c r="E46" s="11" t="str">
        <f aca="false">IF($A46="","",IF(원본명단!$H45="",0,COUNTIF(원본명단!$H$3:$H$6002,원본명단!$H45)))</f>
        <v/>
      </c>
      <c r="F46" s="11" t="str">
        <f aca="false">IF($A46="","",IF(원본명단!$I45="",0,COUNTIF(원본명단!$I$3:$I$6002,원본명단!$I45)))</f>
        <v/>
      </c>
      <c r="G46" s="11" t="str">
        <f aca="false">IF($A46="","",IF(원본명단!$K45="",0,COUNTIF(원본명단!$K$3:$K$6002,원본명단!$K45)))</f>
        <v/>
      </c>
      <c r="H46" s="11" t="str">
        <f aca="false">IF($A46="","",IF(MAX($E46,$F46,$G46)&gt;1,"중복","-"))</f>
        <v/>
      </c>
      <c r="I46" s="11" t="str">
        <f aca="false">IF($A46="","",IF($H46="-","-",IF(AND(IF(원본명단!$H45="",TRUE(),COUNTIF(원본명단!$H$3:$H45,원본명단!$H45)=1),IF(원본명단!$I45="",TRUE(),COUNTIF(원본명단!$I$3:$I45,원본명단!$I45)=1),IF(원본명단!$K45="",TRUE(),COUNTIF(원본명단!$K$3:$K45,원본명단!$K45)=1)),"첫 건","중복 건")))</f>
        <v/>
      </c>
      <c r="J46" s="11" t="str">
        <f aca="false">IF($A46="","",IF($H46="-","유지",IF($I46="첫 건","유지","확인 필요")))</f>
        <v/>
      </c>
    </row>
    <row r="47" customFormat="false" ht="15" hidden="false" customHeight="true" outlineLevel="0" collapsed="false">
      <c r="A47" s="11" t="str">
        <f aca="false">IF(원본명단!$A46="","",44)</f>
        <v/>
      </c>
      <c r="B47" s="12" t="str">
        <f aca="false">IF($A47="","",원본명단!$A46)</f>
        <v/>
      </c>
      <c r="C47" s="12" t="str">
        <f aca="false">IF($A47="","",원본명단!$B46)</f>
        <v/>
      </c>
      <c r="D47" s="12" t="str">
        <f aca="false">IF($A47="","",원본명단!$D46)</f>
        <v/>
      </c>
      <c r="E47" s="11" t="str">
        <f aca="false">IF($A47="","",IF(원본명단!$H46="",0,COUNTIF(원본명단!$H$3:$H$6002,원본명단!$H46)))</f>
        <v/>
      </c>
      <c r="F47" s="11" t="str">
        <f aca="false">IF($A47="","",IF(원본명단!$I46="",0,COUNTIF(원본명단!$I$3:$I$6002,원본명단!$I46)))</f>
        <v/>
      </c>
      <c r="G47" s="11" t="str">
        <f aca="false">IF($A47="","",IF(원본명단!$K46="",0,COUNTIF(원본명단!$K$3:$K$6002,원본명단!$K46)))</f>
        <v/>
      </c>
      <c r="H47" s="11" t="str">
        <f aca="false">IF($A47="","",IF(MAX($E47,$F47,$G47)&gt;1,"중복","-"))</f>
        <v/>
      </c>
      <c r="I47" s="11" t="str">
        <f aca="false">IF($A47="","",IF($H47="-","-",IF(AND(IF(원본명단!$H46="",TRUE(),COUNTIF(원본명단!$H$3:$H46,원본명단!$H46)=1),IF(원본명단!$I46="",TRUE(),COUNTIF(원본명단!$I$3:$I46,원본명단!$I46)=1),IF(원본명단!$K46="",TRUE(),COUNTIF(원본명단!$K$3:$K46,원본명단!$K46)=1)),"첫 건","중복 건")))</f>
        <v/>
      </c>
      <c r="J47" s="11" t="str">
        <f aca="false">IF($A47="","",IF($H47="-","유지",IF($I47="첫 건","유지","확인 필요")))</f>
        <v/>
      </c>
    </row>
    <row r="48" customFormat="false" ht="15" hidden="false" customHeight="true" outlineLevel="0" collapsed="false">
      <c r="A48" s="11" t="str">
        <f aca="false">IF(원본명단!$A47="","",45)</f>
        <v/>
      </c>
      <c r="B48" s="12" t="str">
        <f aca="false">IF($A48="","",원본명단!$A47)</f>
        <v/>
      </c>
      <c r="C48" s="12" t="str">
        <f aca="false">IF($A48="","",원본명단!$B47)</f>
        <v/>
      </c>
      <c r="D48" s="12" t="str">
        <f aca="false">IF($A48="","",원본명단!$D47)</f>
        <v/>
      </c>
      <c r="E48" s="11" t="str">
        <f aca="false">IF($A48="","",IF(원본명단!$H47="",0,COUNTIF(원본명단!$H$3:$H$6002,원본명단!$H47)))</f>
        <v/>
      </c>
      <c r="F48" s="11" t="str">
        <f aca="false">IF($A48="","",IF(원본명단!$I47="",0,COUNTIF(원본명단!$I$3:$I$6002,원본명단!$I47)))</f>
        <v/>
      </c>
      <c r="G48" s="11" t="str">
        <f aca="false">IF($A48="","",IF(원본명단!$K47="",0,COUNTIF(원본명단!$K$3:$K$6002,원본명단!$K47)))</f>
        <v/>
      </c>
      <c r="H48" s="11" t="str">
        <f aca="false">IF($A48="","",IF(MAX($E48,$F48,$G48)&gt;1,"중복","-"))</f>
        <v/>
      </c>
      <c r="I48" s="11" t="str">
        <f aca="false">IF($A48="","",IF($H48="-","-",IF(AND(IF(원본명단!$H47="",TRUE(),COUNTIF(원본명단!$H$3:$H47,원본명단!$H47)=1),IF(원본명단!$I47="",TRUE(),COUNTIF(원본명단!$I$3:$I47,원본명단!$I47)=1),IF(원본명단!$K47="",TRUE(),COUNTIF(원본명단!$K$3:$K47,원본명단!$K47)=1)),"첫 건","중복 건")))</f>
        <v/>
      </c>
      <c r="J48" s="11" t="str">
        <f aca="false">IF($A48="","",IF($H48="-","유지",IF($I48="첫 건","유지","확인 필요")))</f>
        <v/>
      </c>
    </row>
    <row r="49" customFormat="false" ht="15" hidden="false" customHeight="true" outlineLevel="0" collapsed="false">
      <c r="A49" s="11" t="str">
        <f aca="false">IF(원본명단!$A48="","",46)</f>
        <v/>
      </c>
      <c r="B49" s="12" t="str">
        <f aca="false">IF($A49="","",원본명단!$A48)</f>
        <v/>
      </c>
      <c r="C49" s="12" t="str">
        <f aca="false">IF($A49="","",원본명단!$B48)</f>
        <v/>
      </c>
      <c r="D49" s="12" t="str">
        <f aca="false">IF($A49="","",원본명단!$D48)</f>
        <v/>
      </c>
      <c r="E49" s="11" t="str">
        <f aca="false">IF($A49="","",IF(원본명단!$H48="",0,COUNTIF(원본명단!$H$3:$H$6002,원본명단!$H48)))</f>
        <v/>
      </c>
      <c r="F49" s="11" t="str">
        <f aca="false">IF($A49="","",IF(원본명단!$I48="",0,COUNTIF(원본명단!$I$3:$I$6002,원본명단!$I48)))</f>
        <v/>
      </c>
      <c r="G49" s="11" t="str">
        <f aca="false">IF($A49="","",IF(원본명단!$K48="",0,COUNTIF(원본명단!$K$3:$K$6002,원본명단!$K48)))</f>
        <v/>
      </c>
      <c r="H49" s="11" t="str">
        <f aca="false">IF($A49="","",IF(MAX($E49,$F49,$G49)&gt;1,"중복","-"))</f>
        <v/>
      </c>
      <c r="I49" s="11" t="str">
        <f aca="false">IF($A49="","",IF($H49="-","-",IF(AND(IF(원본명단!$H48="",TRUE(),COUNTIF(원본명단!$H$3:$H48,원본명단!$H48)=1),IF(원본명단!$I48="",TRUE(),COUNTIF(원본명단!$I$3:$I48,원본명단!$I48)=1),IF(원본명단!$K48="",TRUE(),COUNTIF(원본명단!$K$3:$K48,원본명단!$K48)=1)),"첫 건","중복 건")))</f>
        <v/>
      </c>
      <c r="J49" s="11" t="str">
        <f aca="false">IF($A49="","",IF($H49="-","유지",IF($I49="첫 건","유지","확인 필요")))</f>
        <v/>
      </c>
    </row>
    <row r="50" customFormat="false" ht="15" hidden="false" customHeight="true" outlineLevel="0" collapsed="false">
      <c r="A50" s="11" t="str">
        <f aca="false">IF(원본명단!$A49="","",47)</f>
        <v/>
      </c>
      <c r="B50" s="12" t="str">
        <f aca="false">IF($A50="","",원본명단!$A49)</f>
        <v/>
      </c>
      <c r="C50" s="12" t="str">
        <f aca="false">IF($A50="","",원본명단!$B49)</f>
        <v/>
      </c>
      <c r="D50" s="12" t="str">
        <f aca="false">IF($A50="","",원본명단!$D49)</f>
        <v/>
      </c>
      <c r="E50" s="11" t="str">
        <f aca="false">IF($A50="","",IF(원본명단!$H49="",0,COUNTIF(원본명단!$H$3:$H$6002,원본명단!$H49)))</f>
        <v/>
      </c>
      <c r="F50" s="11" t="str">
        <f aca="false">IF($A50="","",IF(원본명단!$I49="",0,COUNTIF(원본명단!$I$3:$I$6002,원본명단!$I49)))</f>
        <v/>
      </c>
      <c r="G50" s="11" t="str">
        <f aca="false">IF($A50="","",IF(원본명단!$K49="",0,COUNTIF(원본명단!$K$3:$K$6002,원본명단!$K49)))</f>
        <v/>
      </c>
      <c r="H50" s="11" t="str">
        <f aca="false">IF($A50="","",IF(MAX($E50,$F50,$G50)&gt;1,"중복","-"))</f>
        <v/>
      </c>
      <c r="I50" s="11" t="str">
        <f aca="false">IF($A50="","",IF($H50="-","-",IF(AND(IF(원본명단!$H49="",TRUE(),COUNTIF(원본명단!$H$3:$H49,원본명단!$H49)=1),IF(원본명단!$I49="",TRUE(),COUNTIF(원본명단!$I$3:$I49,원본명단!$I49)=1),IF(원본명단!$K49="",TRUE(),COUNTIF(원본명단!$K$3:$K49,원본명단!$K49)=1)),"첫 건","중복 건")))</f>
        <v/>
      </c>
      <c r="J50" s="11" t="str">
        <f aca="false">IF($A50="","",IF($H50="-","유지",IF($I50="첫 건","유지","확인 필요")))</f>
        <v/>
      </c>
    </row>
    <row r="51" customFormat="false" ht="15" hidden="false" customHeight="true" outlineLevel="0" collapsed="false">
      <c r="A51" s="11" t="str">
        <f aca="false">IF(원본명단!$A50="","",48)</f>
        <v/>
      </c>
      <c r="B51" s="12" t="str">
        <f aca="false">IF($A51="","",원본명단!$A50)</f>
        <v/>
      </c>
      <c r="C51" s="12" t="str">
        <f aca="false">IF($A51="","",원본명단!$B50)</f>
        <v/>
      </c>
      <c r="D51" s="12" t="str">
        <f aca="false">IF($A51="","",원본명단!$D50)</f>
        <v/>
      </c>
      <c r="E51" s="11" t="str">
        <f aca="false">IF($A51="","",IF(원본명단!$H50="",0,COUNTIF(원본명단!$H$3:$H$6002,원본명단!$H50)))</f>
        <v/>
      </c>
      <c r="F51" s="11" t="str">
        <f aca="false">IF($A51="","",IF(원본명단!$I50="",0,COUNTIF(원본명단!$I$3:$I$6002,원본명단!$I50)))</f>
        <v/>
      </c>
      <c r="G51" s="11" t="str">
        <f aca="false">IF($A51="","",IF(원본명단!$K50="",0,COUNTIF(원본명단!$K$3:$K$6002,원본명단!$K50)))</f>
        <v/>
      </c>
      <c r="H51" s="11" t="str">
        <f aca="false">IF($A51="","",IF(MAX($E51,$F51,$G51)&gt;1,"중복","-"))</f>
        <v/>
      </c>
      <c r="I51" s="11" t="str">
        <f aca="false">IF($A51="","",IF($H51="-","-",IF(AND(IF(원본명단!$H50="",TRUE(),COUNTIF(원본명단!$H$3:$H50,원본명단!$H50)=1),IF(원본명단!$I50="",TRUE(),COUNTIF(원본명단!$I$3:$I50,원본명단!$I50)=1),IF(원본명단!$K50="",TRUE(),COUNTIF(원본명단!$K$3:$K50,원본명단!$K50)=1)),"첫 건","중복 건")))</f>
        <v/>
      </c>
      <c r="J51" s="11" t="str">
        <f aca="false">IF($A51="","",IF($H51="-","유지",IF($I51="첫 건","유지","확인 필요")))</f>
        <v/>
      </c>
    </row>
    <row r="52" customFormat="false" ht="15" hidden="false" customHeight="true" outlineLevel="0" collapsed="false">
      <c r="A52" s="11" t="str">
        <f aca="false">IF(원본명단!$A51="","",49)</f>
        <v/>
      </c>
      <c r="B52" s="12" t="str">
        <f aca="false">IF($A52="","",원본명단!$A51)</f>
        <v/>
      </c>
      <c r="C52" s="12" t="str">
        <f aca="false">IF($A52="","",원본명단!$B51)</f>
        <v/>
      </c>
      <c r="D52" s="12" t="str">
        <f aca="false">IF($A52="","",원본명단!$D51)</f>
        <v/>
      </c>
      <c r="E52" s="11" t="str">
        <f aca="false">IF($A52="","",IF(원본명단!$H51="",0,COUNTIF(원본명단!$H$3:$H$6002,원본명단!$H51)))</f>
        <v/>
      </c>
      <c r="F52" s="11" t="str">
        <f aca="false">IF($A52="","",IF(원본명단!$I51="",0,COUNTIF(원본명단!$I$3:$I$6002,원본명단!$I51)))</f>
        <v/>
      </c>
      <c r="G52" s="11" t="str">
        <f aca="false">IF($A52="","",IF(원본명단!$K51="",0,COUNTIF(원본명단!$K$3:$K$6002,원본명단!$K51)))</f>
        <v/>
      </c>
      <c r="H52" s="11" t="str">
        <f aca="false">IF($A52="","",IF(MAX($E52,$F52,$G52)&gt;1,"중복","-"))</f>
        <v/>
      </c>
      <c r="I52" s="11" t="str">
        <f aca="false">IF($A52="","",IF($H52="-","-",IF(AND(IF(원본명단!$H51="",TRUE(),COUNTIF(원본명단!$H$3:$H51,원본명단!$H51)=1),IF(원본명단!$I51="",TRUE(),COUNTIF(원본명단!$I$3:$I51,원본명단!$I51)=1),IF(원본명단!$K51="",TRUE(),COUNTIF(원본명단!$K$3:$K51,원본명단!$K51)=1)),"첫 건","중복 건")))</f>
        <v/>
      </c>
      <c r="J52" s="11" t="str">
        <f aca="false">IF($A52="","",IF($H52="-","유지",IF($I52="첫 건","유지","확인 필요")))</f>
        <v/>
      </c>
    </row>
    <row r="53" customFormat="false" ht="15" hidden="false" customHeight="true" outlineLevel="0" collapsed="false">
      <c r="A53" s="11" t="str">
        <f aca="false">IF(원본명단!$A52="","",50)</f>
        <v/>
      </c>
      <c r="B53" s="12" t="str">
        <f aca="false">IF($A53="","",원본명단!$A52)</f>
        <v/>
      </c>
      <c r="C53" s="12" t="str">
        <f aca="false">IF($A53="","",원본명단!$B52)</f>
        <v/>
      </c>
      <c r="D53" s="12" t="str">
        <f aca="false">IF($A53="","",원본명단!$D52)</f>
        <v/>
      </c>
      <c r="E53" s="11" t="str">
        <f aca="false">IF($A53="","",IF(원본명단!$H52="",0,COUNTIF(원본명단!$H$3:$H$6002,원본명단!$H52)))</f>
        <v/>
      </c>
      <c r="F53" s="11" t="str">
        <f aca="false">IF($A53="","",IF(원본명단!$I52="",0,COUNTIF(원본명단!$I$3:$I$6002,원본명단!$I52)))</f>
        <v/>
      </c>
      <c r="G53" s="11" t="str">
        <f aca="false">IF($A53="","",IF(원본명단!$K52="",0,COUNTIF(원본명단!$K$3:$K$6002,원본명단!$K52)))</f>
        <v/>
      </c>
      <c r="H53" s="11" t="str">
        <f aca="false">IF($A53="","",IF(MAX($E53,$F53,$G53)&gt;1,"중복","-"))</f>
        <v/>
      </c>
      <c r="I53" s="11" t="str">
        <f aca="false">IF($A53="","",IF($H53="-","-",IF(AND(IF(원본명단!$H52="",TRUE(),COUNTIF(원본명단!$H$3:$H52,원본명단!$H52)=1),IF(원본명단!$I52="",TRUE(),COUNTIF(원본명단!$I$3:$I52,원본명단!$I52)=1),IF(원본명단!$K52="",TRUE(),COUNTIF(원본명단!$K$3:$K52,원본명단!$K52)=1)),"첫 건","중복 건")))</f>
        <v/>
      </c>
      <c r="J53" s="11" t="str">
        <f aca="false">IF($A53="","",IF($H53="-","유지",IF($I53="첫 건","유지","확인 필요")))</f>
        <v/>
      </c>
    </row>
    <row r="54" customFormat="false" ht="15" hidden="false" customHeight="true" outlineLevel="0" collapsed="false">
      <c r="A54" s="11" t="str">
        <f aca="false">IF(원본명단!$A53="","",51)</f>
        <v/>
      </c>
      <c r="B54" s="12" t="str">
        <f aca="false">IF($A54="","",원본명단!$A53)</f>
        <v/>
      </c>
      <c r="C54" s="12" t="str">
        <f aca="false">IF($A54="","",원본명단!$B53)</f>
        <v/>
      </c>
      <c r="D54" s="12" t="str">
        <f aca="false">IF($A54="","",원본명단!$D53)</f>
        <v/>
      </c>
      <c r="E54" s="11" t="str">
        <f aca="false">IF($A54="","",IF(원본명단!$H53="",0,COUNTIF(원본명단!$H$3:$H$6002,원본명단!$H53)))</f>
        <v/>
      </c>
      <c r="F54" s="11" t="str">
        <f aca="false">IF($A54="","",IF(원본명단!$I53="",0,COUNTIF(원본명단!$I$3:$I$6002,원본명단!$I53)))</f>
        <v/>
      </c>
      <c r="G54" s="11" t="str">
        <f aca="false">IF($A54="","",IF(원본명단!$K53="",0,COUNTIF(원본명단!$K$3:$K$6002,원본명단!$K53)))</f>
        <v/>
      </c>
      <c r="H54" s="11" t="str">
        <f aca="false">IF($A54="","",IF(MAX($E54,$F54,$G54)&gt;1,"중복","-"))</f>
        <v/>
      </c>
      <c r="I54" s="11" t="str">
        <f aca="false">IF($A54="","",IF($H54="-","-",IF(AND(IF(원본명단!$H53="",TRUE(),COUNTIF(원본명단!$H$3:$H53,원본명단!$H53)=1),IF(원본명단!$I53="",TRUE(),COUNTIF(원본명단!$I$3:$I53,원본명단!$I53)=1),IF(원본명단!$K53="",TRUE(),COUNTIF(원본명단!$K$3:$K53,원본명단!$K53)=1)),"첫 건","중복 건")))</f>
        <v/>
      </c>
      <c r="J54" s="11" t="str">
        <f aca="false">IF($A54="","",IF($H54="-","유지",IF($I54="첫 건","유지","확인 필요")))</f>
        <v/>
      </c>
    </row>
    <row r="55" customFormat="false" ht="15" hidden="false" customHeight="true" outlineLevel="0" collapsed="false">
      <c r="A55" s="11" t="str">
        <f aca="false">IF(원본명단!$A54="","",52)</f>
        <v/>
      </c>
      <c r="B55" s="12" t="str">
        <f aca="false">IF($A55="","",원본명단!$A54)</f>
        <v/>
      </c>
      <c r="C55" s="12" t="str">
        <f aca="false">IF($A55="","",원본명단!$B54)</f>
        <v/>
      </c>
      <c r="D55" s="12" t="str">
        <f aca="false">IF($A55="","",원본명단!$D54)</f>
        <v/>
      </c>
      <c r="E55" s="11" t="str">
        <f aca="false">IF($A55="","",IF(원본명단!$H54="",0,COUNTIF(원본명단!$H$3:$H$6002,원본명단!$H54)))</f>
        <v/>
      </c>
      <c r="F55" s="11" t="str">
        <f aca="false">IF($A55="","",IF(원본명단!$I54="",0,COUNTIF(원본명단!$I$3:$I$6002,원본명단!$I54)))</f>
        <v/>
      </c>
      <c r="G55" s="11" t="str">
        <f aca="false">IF($A55="","",IF(원본명단!$K54="",0,COUNTIF(원본명단!$K$3:$K$6002,원본명단!$K54)))</f>
        <v/>
      </c>
      <c r="H55" s="11" t="str">
        <f aca="false">IF($A55="","",IF(MAX($E55,$F55,$G55)&gt;1,"중복","-"))</f>
        <v/>
      </c>
      <c r="I55" s="11" t="str">
        <f aca="false">IF($A55="","",IF($H55="-","-",IF(AND(IF(원본명단!$H54="",TRUE(),COUNTIF(원본명단!$H$3:$H54,원본명단!$H54)=1),IF(원본명단!$I54="",TRUE(),COUNTIF(원본명단!$I$3:$I54,원본명단!$I54)=1),IF(원본명단!$K54="",TRUE(),COUNTIF(원본명단!$K$3:$K54,원본명단!$K54)=1)),"첫 건","중복 건")))</f>
        <v/>
      </c>
      <c r="J55" s="11" t="str">
        <f aca="false">IF($A55="","",IF($H55="-","유지",IF($I55="첫 건","유지","확인 필요")))</f>
        <v/>
      </c>
    </row>
    <row r="56" customFormat="false" ht="15" hidden="false" customHeight="true" outlineLevel="0" collapsed="false">
      <c r="A56" s="11" t="str">
        <f aca="false">IF(원본명단!$A55="","",53)</f>
        <v/>
      </c>
      <c r="B56" s="12" t="str">
        <f aca="false">IF($A56="","",원본명단!$A55)</f>
        <v/>
      </c>
      <c r="C56" s="12" t="str">
        <f aca="false">IF($A56="","",원본명단!$B55)</f>
        <v/>
      </c>
      <c r="D56" s="12" t="str">
        <f aca="false">IF($A56="","",원본명단!$D55)</f>
        <v/>
      </c>
      <c r="E56" s="11" t="str">
        <f aca="false">IF($A56="","",IF(원본명단!$H55="",0,COUNTIF(원본명단!$H$3:$H$6002,원본명단!$H55)))</f>
        <v/>
      </c>
      <c r="F56" s="11" t="str">
        <f aca="false">IF($A56="","",IF(원본명단!$I55="",0,COUNTIF(원본명단!$I$3:$I$6002,원본명단!$I55)))</f>
        <v/>
      </c>
      <c r="G56" s="11" t="str">
        <f aca="false">IF($A56="","",IF(원본명단!$K55="",0,COUNTIF(원본명단!$K$3:$K$6002,원본명단!$K55)))</f>
        <v/>
      </c>
      <c r="H56" s="11" t="str">
        <f aca="false">IF($A56="","",IF(MAX($E56,$F56,$G56)&gt;1,"중복","-"))</f>
        <v/>
      </c>
      <c r="I56" s="11" t="str">
        <f aca="false">IF($A56="","",IF($H56="-","-",IF(AND(IF(원본명단!$H55="",TRUE(),COUNTIF(원본명단!$H$3:$H55,원본명단!$H55)=1),IF(원본명단!$I55="",TRUE(),COUNTIF(원본명단!$I$3:$I55,원본명단!$I55)=1),IF(원본명단!$K55="",TRUE(),COUNTIF(원본명단!$K$3:$K55,원본명단!$K55)=1)),"첫 건","중복 건")))</f>
        <v/>
      </c>
      <c r="J56" s="11" t="str">
        <f aca="false">IF($A56="","",IF($H56="-","유지",IF($I56="첫 건","유지","확인 필요")))</f>
        <v/>
      </c>
    </row>
    <row r="57" customFormat="false" ht="15" hidden="false" customHeight="true" outlineLevel="0" collapsed="false">
      <c r="A57" s="11" t="str">
        <f aca="false">IF(원본명단!$A56="","",54)</f>
        <v/>
      </c>
      <c r="B57" s="12" t="str">
        <f aca="false">IF($A57="","",원본명단!$A56)</f>
        <v/>
      </c>
      <c r="C57" s="12" t="str">
        <f aca="false">IF($A57="","",원본명단!$B56)</f>
        <v/>
      </c>
      <c r="D57" s="12" t="str">
        <f aca="false">IF($A57="","",원본명단!$D56)</f>
        <v/>
      </c>
      <c r="E57" s="11" t="str">
        <f aca="false">IF($A57="","",IF(원본명단!$H56="",0,COUNTIF(원본명단!$H$3:$H$6002,원본명단!$H56)))</f>
        <v/>
      </c>
      <c r="F57" s="11" t="str">
        <f aca="false">IF($A57="","",IF(원본명단!$I56="",0,COUNTIF(원본명단!$I$3:$I$6002,원본명단!$I56)))</f>
        <v/>
      </c>
      <c r="G57" s="11" t="str">
        <f aca="false">IF($A57="","",IF(원본명단!$K56="",0,COUNTIF(원본명단!$K$3:$K$6002,원본명단!$K56)))</f>
        <v/>
      </c>
      <c r="H57" s="11" t="str">
        <f aca="false">IF($A57="","",IF(MAX($E57,$F57,$G57)&gt;1,"중복","-"))</f>
        <v/>
      </c>
      <c r="I57" s="11" t="str">
        <f aca="false">IF($A57="","",IF($H57="-","-",IF(AND(IF(원본명단!$H56="",TRUE(),COUNTIF(원본명단!$H$3:$H56,원본명단!$H56)=1),IF(원본명단!$I56="",TRUE(),COUNTIF(원본명단!$I$3:$I56,원본명단!$I56)=1),IF(원본명단!$K56="",TRUE(),COUNTIF(원본명단!$K$3:$K56,원본명단!$K56)=1)),"첫 건","중복 건")))</f>
        <v/>
      </c>
      <c r="J57" s="11" t="str">
        <f aca="false">IF($A57="","",IF($H57="-","유지",IF($I57="첫 건","유지","확인 필요")))</f>
        <v/>
      </c>
    </row>
    <row r="58" customFormat="false" ht="15" hidden="false" customHeight="true" outlineLevel="0" collapsed="false">
      <c r="A58" s="11" t="str">
        <f aca="false">IF(원본명단!$A57="","",55)</f>
        <v/>
      </c>
      <c r="B58" s="12" t="str">
        <f aca="false">IF($A58="","",원본명단!$A57)</f>
        <v/>
      </c>
      <c r="C58" s="12" t="str">
        <f aca="false">IF($A58="","",원본명단!$B57)</f>
        <v/>
      </c>
      <c r="D58" s="12" t="str">
        <f aca="false">IF($A58="","",원본명단!$D57)</f>
        <v/>
      </c>
      <c r="E58" s="11" t="str">
        <f aca="false">IF($A58="","",IF(원본명단!$H57="",0,COUNTIF(원본명단!$H$3:$H$6002,원본명단!$H57)))</f>
        <v/>
      </c>
      <c r="F58" s="11" t="str">
        <f aca="false">IF($A58="","",IF(원본명단!$I57="",0,COUNTIF(원본명단!$I$3:$I$6002,원본명단!$I57)))</f>
        <v/>
      </c>
      <c r="G58" s="11" t="str">
        <f aca="false">IF($A58="","",IF(원본명단!$K57="",0,COUNTIF(원본명단!$K$3:$K$6002,원본명단!$K57)))</f>
        <v/>
      </c>
      <c r="H58" s="11" t="str">
        <f aca="false">IF($A58="","",IF(MAX($E58,$F58,$G58)&gt;1,"중복","-"))</f>
        <v/>
      </c>
      <c r="I58" s="11" t="str">
        <f aca="false">IF($A58="","",IF($H58="-","-",IF(AND(IF(원본명단!$H57="",TRUE(),COUNTIF(원본명단!$H$3:$H57,원본명단!$H57)=1),IF(원본명단!$I57="",TRUE(),COUNTIF(원본명단!$I$3:$I57,원본명단!$I57)=1),IF(원본명단!$K57="",TRUE(),COUNTIF(원본명단!$K$3:$K57,원본명단!$K57)=1)),"첫 건","중복 건")))</f>
        <v/>
      </c>
      <c r="J58" s="11" t="str">
        <f aca="false">IF($A58="","",IF($H58="-","유지",IF($I58="첫 건","유지","확인 필요")))</f>
        <v/>
      </c>
    </row>
    <row r="59" customFormat="false" ht="15" hidden="false" customHeight="true" outlineLevel="0" collapsed="false">
      <c r="A59" s="11" t="str">
        <f aca="false">IF(원본명단!$A58="","",56)</f>
        <v/>
      </c>
      <c r="B59" s="12" t="str">
        <f aca="false">IF($A59="","",원본명단!$A58)</f>
        <v/>
      </c>
      <c r="C59" s="12" t="str">
        <f aca="false">IF($A59="","",원본명단!$B58)</f>
        <v/>
      </c>
      <c r="D59" s="12" t="str">
        <f aca="false">IF($A59="","",원본명단!$D58)</f>
        <v/>
      </c>
      <c r="E59" s="11" t="str">
        <f aca="false">IF($A59="","",IF(원본명단!$H58="",0,COUNTIF(원본명단!$H$3:$H$6002,원본명단!$H58)))</f>
        <v/>
      </c>
      <c r="F59" s="11" t="str">
        <f aca="false">IF($A59="","",IF(원본명단!$I58="",0,COUNTIF(원본명단!$I$3:$I$6002,원본명단!$I58)))</f>
        <v/>
      </c>
      <c r="G59" s="11" t="str">
        <f aca="false">IF($A59="","",IF(원본명단!$K58="",0,COUNTIF(원본명단!$K$3:$K$6002,원본명단!$K58)))</f>
        <v/>
      </c>
      <c r="H59" s="11" t="str">
        <f aca="false">IF($A59="","",IF(MAX($E59,$F59,$G59)&gt;1,"중복","-"))</f>
        <v/>
      </c>
      <c r="I59" s="11" t="str">
        <f aca="false">IF($A59="","",IF($H59="-","-",IF(AND(IF(원본명단!$H58="",TRUE(),COUNTIF(원본명단!$H$3:$H58,원본명단!$H58)=1),IF(원본명단!$I58="",TRUE(),COUNTIF(원본명단!$I$3:$I58,원본명단!$I58)=1),IF(원본명단!$K58="",TRUE(),COUNTIF(원본명단!$K$3:$K58,원본명단!$K58)=1)),"첫 건","중복 건")))</f>
        <v/>
      </c>
      <c r="J59" s="11" t="str">
        <f aca="false">IF($A59="","",IF($H59="-","유지",IF($I59="첫 건","유지","확인 필요")))</f>
        <v/>
      </c>
    </row>
    <row r="60" customFormat="false" ht="15" hidden="false" customHeight="true" outlineLevel="0" collapsed="false">
      <c r="A60" s="11" t="str">
        <f aca="false">IF(원본명단!$A59="","",57)</f>
        <v/>
      </c>
      <c r="B60" s="12" t="str">
        <f aca="false">IF($A60="","",원본명단!$A59)</f>
        <v/>
      </c>
      <c r="C60" s="12" t="str">
        <f aca="false">IF($A60="","",원본명단!$B59)</f>
        <v/>
      </c>
      <c r="D60" s="12" t="str">
        <f aca="false">IF($A60="","",원본명단!$D59)</f>
        <v/>
      </c>
      <c r="E60" s="11" t="str">
        <f aca="false">IF($A60="","",IF(원본명단!$H59="",0,COUNTIF(원본명단!$H$3:$H$6002,원본명단!$H59)))</f>
        <v/>
      </c>
      <c r="F60" s="11" t="str">
        <f aca="false">IF($A60="","",IF(원본명단!$I59="",0,COUNTIF(원본명단!$I$3:$I$6002,원본명단!$I59)))</f>
        <v/>
      </c>
      <c r="G60" s="11" t="str">
        <f aca="false">IF($A60="","",IF(원본명단!$K59="",0,COUNTIF(원본명단!$K$3:$K$6002,원본명단!$K59)))</f>
        <v/>
      </c>
      <c r="H60" s="11" t="str">
        <f aca="false">IF($A60="","",IF(MAX($E60,$F60,$G60)&gt;1,"중복","-"))</f>
        <v/>
      </c>
      <c r="I60" s="11" t="str">
        <f aca="false">IF($A60="","",IF($H60="-","-",IF(AND(IF(원본명단!$H59="",TRUE(),COUNTIF(원본명단!$H$3:$H59,원본명단!$H59)=1),IF(원본명단!$I59="",TRUE(),COUNTIF(원본명단!$I$3:$I59,원본명단!$I59)=1),IF(원본명단!$K59="",TRUE(),COUNTIF(원본명단!$K$3:$K59,원본명단!$K59)=1)),"첫 건","중복 건")))</f>
        <v/>
      </c>
      <c r="J60" s="11" t="str">
        <f aca="false">IF($A60="","",IF($H60="-","유지",IF($I60="첫 건","유지","확인 필요")))</f>
        <v/>
      </c>
    </row>
    <row r="61" customFormat="false" ht="15" hidden="false" customHeight="true" outlineLevel="0" collapsed="false">
      <c r="A61" s="11" t="str">
        <f aca="false">IF(원본명단!$A60="","",58)</f>
        <v/>
      </c>
      <c r="B61" s="12" t="str">
        <f aca="false">IF($A61="","",원본명단!$A60)</f>
        <v/>
      </c>
      <c r="C61" s="12" t="str">
        <f aca="false">IF($A61="","",원본명단!$B60)</f>
        <v/>
      </c>
      <c r="D61" s="12" t="str">
        <f aca="false">IF($A61="","",원본명단!$D60)</f>
        <v/>
      </c>
      <c r="E61" s="11" t="str">
        <f aca="false">IF($A61="","",IF(원본명단!$H60="",0,COUNTIF(원본명단!$H$3:$H$6002,원본명단!$H60)))</f>
        <v/>
      </c>
      <c r="F61" s="11" t="str">
        <f aca="false">IF($A61="","",IF(원본명단!$I60="",0,COUNTIF(원본명단!$I$3:$I$6002,원본명단!$I60)))</f>
        <v/>
      </c>
      <c r="G61" s="11" t="str">
        <f aca="false">IF($A61="","",IF(원본명단!$K60="",0,COUNTIF(원본명단!$K$3:$K$6002,원본명단!$K60)))</f>
        <v/>
      </c>
      <c r="H61" s="11" t="str">
        <f aca="false">IF($A61="","",IF(MAX($E61,$F61,$G61)&gt;1,"중복","-"))</f>
        <v/>
      </c>
      <c r="I61" s="11" t="str">
        <f aca="false">IF($A61="","",IF($H61="-","-",IF(AND(IF(원본명단!$H60="",TRUE(),COUNTIF(원본명단!$H$3:$H60,원본명단!$H60)=1),IF(원본명단!$I60="",TRUE(),COUNTIF(원본명단!$I$3:$I60,원본명단!$I60)=1),IF(원본명단!$K60="",TRUE(),COUNTIF(원본명단!$K$3:$K60,원본명단!$K60)=1)),"첫 건","중복 건")))</f>
        <v/>
      </c>
      <c r="J61" s="11" t="str">
        <f aca="false">IF($A61="","",IF($H61="-","유지",IF($I61="첫 건","유지","확인 필요")))</f>
        <v/>
      </c>
    </row>
    <row r="62" customFormat="false" ht="15" hidden="false" customHeight="true" outlineLevel="0" collapsed="false">
      <c r="A62" s="11" t="str">
        <f aca="false">IF(원본명단!$A61="","",59)</f>
        <v/>
      </c>
      <c r="B62" s="12" t="str">
        <f aca="false">IF($A62="","",원본명단!$A61)</f>
        <v/>
      </c>
      <c r="C62" s="12" t="str">
        <f aca="false">IF($A62="","",원본명단!$B61)</f>
        <v/>
      </c>
      <c r="D62" s="12" t="str">
        <f aca="false">IF($A62="","",원본명단!$D61)</f>
        <v/>
      </c>
      <c r="E62" s="11" t="str">
        <f aca="false">IF($A62="","",IF(원본명단!$H61="",0,COUNTIF(원본명단!$H$3:$H$6002,원본명단!$H61)))</f>
        <v/>
      </c>
      <c r="F62" s="11" t="str">
        <f aca="false">IF($A62="","",IF(원본명단!$I61="",0,COUNTIF(원본명단!$I$3:$I$6002,원본명단!$I61)))</f>
        <v/>
      </c>
      <c r="G62" s="11" t="str">
        <f aca="false">IF($A62="","",IF(원본명단!$K61="",0,COUNTIF(원본명단!$K$3:$K$6002,원본명단!$K61)))</f>
        <v/>
      </c>
      <c r="H62" s="11" t="str">
        <f aca="false">IF($A62="","",IF(MAX($E62,$F62,$G62)&gt;1,"중복","-"))</f>
        <v/>
      </c>
      <c r="I62" s="11" t="str">
        <f aca="false">IF($A62="","",IF($H62="-","-",IF(AND(IF(원본명단!$H61="",TRUE(),COUNTIF(원본명단!$H$3:$H61,원본명단!$H61)=1),IF(원본명단!$I61="",TRUE(),COUNTIF(원본명단!$I$3:$I61,원본명단!$I61)=1),IF(원본명단!$K61="",TRUE(),COUNTIF(원본명단!$K$3:$K61,원본명단!$K61)=1)),"첫 건","중복 건")))</f>
        <v/>
      </c>
      <c r="J62" s="11" t="str">
        <f aca="false">IF($A62="","",IF($H62="-","유지",IF($I62="첫 건","유지","확인 필요")))</f>
        <v/>
      </c>
    </row>
    <row r="63" customFormat="false" ht="15" hidden="false" customHeight="true" outlineLevel="0" collapsed="false">
      <c r="A63" s="11" t="str">
        <f aca="false">IF(원본명단!$A62="","",60)</f>
        <v/>
      </c>
      <c r="B63" s="12" t="str">
        <f aca="false">IF($A63="","",원본명단!$A62)</f>
        <v/>
      </c>
      <c r="C63" s="12" t="str">
        <f aca="false">IF($A63="","",원본명단!$B62)</f>
        <v/>
      </c>
      <c r="D63" s="12" t="str">
        <f aca="false">IF($A63="","",원본명단!$D62)</f>
        <v/>
      </c>
      <c r="E63" s="11" t="str">
        <f aca="false">IF($A63="","",IF(원본명단!$H62="",0,COUNTIF(원본명단!$H$3:$H$6002,원본명단!$H62)))</f>
        <v/>
      </c>
      <c r="F63" s="11" t="str">
        <f aca="false">IF($A63="","",IF(원본명단!$I62="",0,COUNTIF(원본명단!$I$3:$I$6002,원본명단!$I62)))</f>
        <v/>
      </c>
      <c r="G63" s="11" t="str">
        <f aca="false">IF($A63="","",IF(원본명단!$K62="",0,COUNTIF(원본명단!$K$3:$K$6002,원본명단!$K62)))</f>
        <v/>
      </c>
      <c r="H63" s="11" t="str">
        <f aca="false">IF($A63="","",IF(MAX($E63,$F63,$G63)&gt;1,"중복","-"))</f>
        <v/>
      </c>
      <c r="I63" s="11" t="str">
        <f aca="false">IF($A63="","",IF($H63="-","-",IF(AND(IF(원본명단!$H62="",TRUE(),COUNTIF(원본명단!$H$3:$H62,원본명단!$H62)=1),IF(원본명단!$I62="",TRUE(),COUNTIF(원본명단!$I$3:$I62,원본명단!$I62)=1),IF(원본명단!$K62="",TRUE(),COUNTIF(원본명단!$K$3:$K62,원본명단!$K62)=1)),"첫 건","중복 건")))</f>
        <v/>
      </c>
      <c r="J63" s="11" t="str">
        <f aca="false">IF($A63="","",IF($H63="-","유지",IF($I63="첫 건","유지","확인 필요")))</f>
        <v/>
      </c>
    </row>
    <row r="64" customFormat="false" ht="15" hidden="false" customHeight="true" outlineLevel="0" collapsed="false">
      <c r="A64" s="11" t="str">
        <f aca="false">IF(원본명단!$A63="","",61)</f>
        <v/>
      </c>
      <c r="B64" s="12" t="str">
        <f aca="false">IF($A64="","",원본명단!$A63)</f>
        <v/>
      </c>
      <c r="C64" s="12" t="str">
        <f aca="false">IF($A64="","",원본명단!$B63)</f>
        <v/>
      </c>
      <c r="D64" s="12" t="str">
        <f aca="false">IF($A64="","",원본명단!$D63)</f>
        <v/>
      </c>
      <c r="E64" s="11" t="str">
        <f aca="false">IF($A64="","",IF(원본명단!$H63="",0,COUNTIF(원본명단!$H$3:$H$6002,원본명단!$H63)))</f>
        <v/>
      </c>
      <c r="F64" s="11" t="str">
        <f aca="false">IF($A64="","",IF(원본명단!$I63="",0,COUNTIF(원본명단!$I$3:$I$6002,원본명단!$I63)))</f>
        <v/>
      </c>
      <c r="G64" s="11" t="str">
        <f aca="false">IF($A64="","",IF(원본명단!$K63="",0,COUNTIF(원본명단!$K$3:$K$6002,원본명단!$K63)))</f>
        <v/>
      </c>
      <c r="H64" s="11" t="str">
        <f aca="false">IF($A64="","",IF(MAX($E64,$F64,$G64)&gt;1,"중복","-"))</f>
        <v/>
      </c>
      <c r="I64" s="11" t="str">
        <f aca="false">IF($A64="","",IF($H64="-","-",IF(AND(IF(원본명단!$H63="",TRUE(),COUNTIF(원본명단!$H$3:$H63,원본명단!$H63)=1),IF(원본명단!$I63="",TRUE(),COUNTIF(원본명단!$I$3:$I63,원본명단!$I63)=1),IF(원본명단!$K63="",TRUE(),COUNTIF(원본명단!$K$3:$K63,원본명단!$K63)=1)),"첫 건","중복 건")))</f>
        <v/>
      </c>
      <c r="J64" s="11" t="str">
        <f aca="false">IF($A64="","",IF($H64="-","유지",IF($I64="첫 건","유지","확인 필요")))</f>
        <v/>
      </c>
    </row>
    <row r="65" customFormat="false" ht="15" hidden="false" customHeight="true" outlineLevel="0" collapsed="false">
      <c r="A65" s="11" t="str">
        <f aca="false">IF(원본명단!$A64="","",62)</f>
        <v/>
      </c>
      <c r="B65" s="12" t="str">
        <f aca="false">IF($A65="","",원본명단!$A64)</f>
        <v/>
      </c>
      <c r="C65" s="12" t="str">
        <f aca="false">IF($A65="","",원본명단!$B64)</f>
        <v/>
      </c>
      <c r="D65" s="12" t="str">
        <f aca="false">IF($A65="","",원본명단!$D64)</f>
        <v/>
      </c>
      <c r="E65" s="11" t="str">
        <f aca="false">IF($A65="","",IF(원본명단!$H64="",0,COUNTIF(원본명단!$H$3:$H$6002,원본명단!$H64)))</f>
        <v/>
      </c>
      <c r="F65" s="11" t="str">
        <f aca="false">IF($A65="","",IF(원본명단!$I64="",0,COUNTIF(원본명단!$I$3:$I$6002,원본명단!$I64)))</f>
        <v/>
      </c>
      <c r="G65" s="11" t="str">
        <f aca="false">IF($A65="","",IF(원본명단!$K64="",0,COUNTIF(원본명단!$K$3:$K$6002,원본명단!$K64)))</f>
        <v/>
      </c>
      <c r="H65" s="11" t="str">
        <f aca="false">IF($A65="","",IF(MAX($E65,$F65,$G65)&gt;1,"중복","-"))</f>
        <v/>
      </c>
      <c r="I65" s="11" t="str">
        <f aca="false">IF($A65="","",IF($H65="-","-",IF(AND(IF(원본명단!$H64="",TRUE(),COUNTIF(원본명단!$H$3:$H64,원본명단!$H64)=1),IF(원본명단!$I64="",TRUE(),COUNTIF(원본명단!$I$3:$I64,원본명단!$I64)=1),IF(원본명단!$K64="",TRUE(),COUNTIF(원본명단!$K$3:$K64,원본명단!$K64)=1)),"첫 건","중복 건")))</f>
        <v/>
      </c>
      <c r="J65" s="11" t="str">
        <f aca="false">IF($A65="","",IF($H65="-","유지",IF($I65="첫 건","유지","확인 필요")))</f>
        <v/>
      </c>
    </row>
    <row r="66" customFormat="false" ht="15" hidden="false" customHeight="true" outlineLevel="0" collapsed="false">
      <c r="A66" s="11" t="str">
        <f aca="false">IF(원본명단!$A65="","",63)</f>
        <v/>
      </c>
      <c r="B66" s="12" t="str">
        <f aca="false">IF($A66="","",원본명단!$A65)</f>
        <v/>
      </c>
      <c r="C66" s="12" t="str">
        <f aca="false">IF($A66="","",원본명단!$B65)</f>
        <v/>
      </c>
      <c r="D66" s="12" t="str">
        <f aca="false">IF($A66="","",원본명단!$D65)</f>
        <v/>
      </c>
      <c r="E66" s="11" t="str">
        <f aca="false">IF($A66="","",IF(원본명단!$H65="",0,COUNTIF(원본명단!$H$3:$H$6002,원본명단!$H65)))</f>
        <v/>
      </c>
      <c r="F66" s="11" t="str">
        <f aca="false">IF($A66="","",IF(원본명단!$I65="",0,COUNTIF(원본명단!$I$3:$I$6002,원본명단!$I65)))</f>
        <v/>
      </c>
      <c r="G66" s="11" t="str">
        <f aca="false">IF($A66="","",IF(원본명단!$K65="",0,COUNTIF(원본명단!$K$3:$K$6002,원본명단!$K65)))</f>
        <v/>
      </c>
      <c r="H66" s="11" t="str">
        <f aca="false">IF($A66="","",IF(MAX($E66,$F66,$G66)&gt;1,"중복","-"))</f>
        <v/>
      </c>
      <c r="I66" s="11" t="str">
        <f aca="false">IF($A66="","",IF($H66="-","-",IF(AND(IF(원본명단!$H65="",TRUE(),COUNTIF(원본명단!$H$3:$H65,원본명단!$H65)=1),IF(원본명단!$I65="",TRUE(),COUNTIF(원본명단!$I$3:$I65,원본명단!$I65)=1),IF(원본명단!$K65="",TRUE(),COUNTIF(원본명단!$K$3:$K65,원본명단!$K65)=1)),"첫 건","중복 건")))</f>
        <v/>
      </c>
      <c r="J66" s="11" t="str">
        <f aca="false">IF($A66="","",IF($H66="-","유지",IF($I66="첫 건","유지","확인 필요")))</f>
        <v/>
      </c>
    </row>
    <row r="67" customFormat="false" ht="15" hidden="false" customHeight="true" outlineLevel="0" collapsed="false">
      <c r="A67" s="11" t="str">
        <f aca="false">IF(원본명단!$A66="","",64)</f>
        <v/>
      </c>
      <c r="B67" s="12" t="str">
        <f aca="false">IF($A67="","",원본명단!$A66)</f>
        <v/>
      </c>
      <c r="C67" s="12" t="str">
        <f aca="false">IF($A67="","",원본명단!$B66)</f>
        <v/>
      </c>
      <c r="D67" s="12" t="str">
        <f aca="false">IF($A67="","",원본명단!$D66)</f>
        <v/>
      </c>
      <c r="E67" s="11" t="str">
        <f aca="false">IF($A67="","",IF(원본명단!$H66="",0,COUNTIF(원본명단!$H$3:$H$6002,원본명단!$H66)))</f>
        <v/>
      </c>
      <c r="F67" s="11" t="str">
        <f aca="false">IF($A67="","",IF(원본명단!$I66="",0,COUNTIF(원본명단!$I$3:$I$6002,원본명단!$I66)))</f>
        <v/>
      </c>
      <c r="G67" s="11" t="str">
        <f aca="false">IF($A67="","",IF(원본명단!$K66="",0,COUNTIF(원본명단!$K$3:$K$6002,원본명단!$K66)))</f>
        <v/>
      </c>
      <c r="H67" s="11" t="str">
        <f aca="false">IF($A67="","",IF(MAX($E67,$F67,$G67)&gt;1,"중복","-"))</f>
        <v/>
      </c>
      <c r="I67" s="11" t="str">
        <f aca="false">IF($A67="","",IF($H67="-","-",IF(AND(IF(원본명단!$H66="",TRUE(),COUNTIF(원본명단!$H$3:$H66,원본명단!$H66)=1),IF(원본명단!$I66="",TRUE(),COUNTIF(원본명단!$I$3:$I66,원본명단!$I66)=1),IF(원본명단!$K66="",TRUE(),COUNTIF(원본명단!$K$3:$K66,원본명단!$K66)=1)),"첫 건","중복 건")))</f>
        <v/>
      </c>
      <c r="J67" s="11" t="str">
        <f aca="false">IF($A67="","",IF($H67="-","유지",IF($I67="첫 건","유지","확인 필요")))</f>
        <v/>
      </c>
    </row>
    <row r="68" customFormat="false" ht="15" hidden="false" customHeight="true" outlineLevel="0" collapsed="false">
      <c r="A68" s="11" t="str">
        <f aca="false">IF(원본명단!$A67="","",65)</f>
        <v/>
      </c>
      <c r="B68" s="12" t="str">
        <f aca="false">IF($A68="","",원본명단!$A67)</f>
        <v/>
      </c>
      <c r="C68" s="12" t="str">
        <f aca="false">IF($A68="","",원본명단!$B67)</f>
        <v/>
      </c>
      <c r="D68" s="12" t="str">
        <f aca="false">IF($A68="","",원본명단!$D67)</f>
        <v/>
      </c>
      <c r="E68" s="11" t="str">
        <f aca="false">IF($A68="","",IF(원본명단!$H67="",0,COUNTIF(원본명단!$H$3:$H$6002,원본명단!$H67)))</f>
        <v/>
      </c>
      <c r="F68" s="11" t="str">
        <f aca="false">IF($A68="","",IF(원본명단!$I67="",0,COUNTIF(원본명단!$I$3:$I$6002,원본명단!$I67)))</f>
        <v/>
      </c>
      <c r="G68" s="11" t="str">
        <f aca="false">IF($A68="","",IF(원본명단!$K67="",0,COUNTIF(원본명단!$K$3:$K$6002,원본명단!$K67)))</f>
        <v/>
      </c>
      <c r="H68" s="11" t="str">
        <f aca="false">IF($A68="","",IF(MAX($E68,$F68,$G68)&gt;1,"중복","-"))</f>
        <v/>
      </c>
      <c r="I68" s="11" t="str">
        <f aca="false">IF($A68="","",IF($H68="-","-",IF(AND(IF(원본명단!$H67="",TRUE(),COUNTIF(원본명단!$H$3:$H67,원본명단!$H67)=1),IF(원본명단!$I67="",TRUE(),COUNTIF(원본명단!$I$3:$I67,원본명단!$I67)=1),IF(원본명단!$K67="",TRUE(),COUNTIF(원본명단!$K$3:$K67,원본명단!$K67)=1)),"첫 건","중복 건")))</f>
        <v/>
      </c>
      <c r="J68" s="11" t="str">
        <f aca="false">IF($A68="","",IF($H68="-","유지",IF($I68="첫 건","유지","확인 필요")))</f>
        <v/>
      </c>
    </row>
    <row r="69" customFormat="false" ht="15" hidden="false" customHeight="true" outlineLevel="0" collapsed="false">
      <c r="A69" s="11" t="str">
        <f aca="false">IF(원본명단!$A68="","",66)</f>
        <v/>
      </c>
      <c r="B69" s="12" t="str">
        <f aca="false">IF($A69="","",원본명단!$A68)</f>
        <v/>
      </c>
      <c r="C69" s="12" t="str">
        <f aca="false">IF($A69="","",원본명단!$B68)</f>
        <v/>
      </c>
      <c r="D69" s="12" t="str">
        <f aca="false">IF($A69="","",원본명단!$D68)</f>
        <v/>
      </c>
      <c r="E69" s="11" t="str">
        <f aca="false">IF($A69="","",IF(원본명단!$H68="",0,COUNTIF(원본명단!$H$3:$H$6002,원본명단!$H68)))</f>
        <v/>
      </c>
      <c r="F69" s="11" t="str">
        <f aca="false">IF($A69="","",IF(원본명단!$I68="",0,COUNTIF(원본명단!$I$3:$I$6002,원본명단!$I68)))</f>
        <v/>
      </c>
      <c r="G69" s="11" t="str">
        <f aca="false">IF($A69="","",IF(원본명단!$K68="",0,COUNTIF(원본명단!$K$3:$K$6002,원본명단!$K68)))</f>
        <v/>
      </c>
      <c r="H69" s="11" t="str">
        <f aca="false">IF($A69="","",IF(MAX($E69,$F69,$G69)&gt;1,"중복","-"))</f>
        <v/>
      </c>
      <c r="I69" s="11" t="str">
        <f aca="false">IF($A69="","",IF($H69="-","-",IF(AND(IF(원본명단!$H68="",TRUE(),COUNTIF(원본명단!$H$3:$H68,원본명단!$H68)=1),IF(원본명단!$I68="",TRUE(),COUNTIF(원본명단!$I$3:$I68,원본명단!$I68)=1),IF(원본명단!$K68="",TRUE(),COUNTIF(원본명단!$K$3:$K68,원본명단!$K68)=1)),"첫 건","중복 건")))</f>
        <v/>
      </c>
      <c r="J69" s="11" t="str">
        <f aca="false">IF($A69="","",IF($H69="-","유지",IF($I69="첫 건","유지","확인 필요")))</f>
        <v/>
      </c>
    </row>
    <row r="70" customFormat="false" ht="15" hidden="false" customHeight="true" outlineLevel="0" collapsed="false">
      <c r="A70" s="11" t="str">
        <f aca="false">IF(원본명단!$A69="","",67)</f>
        <v/>
      </c>
      <c r="B70" s="12" t="str">
        <f aca="false">IF($A70="","",원본명단!$A69)</f>
        <v/>
      </c>
      <c r="C70" s="12" t="str">
        <f aca="false">IF($A70="","",원본명단!$B69)</f>
        <v/>
      </c>
      <c r="D70" s="12" t="str">
        <f aca="false">IF($A70="","",원본명단!$D69)</f>
        <v/>
      </c>
      <c r="E70" s="11" t="str">
        <f aca="false">IF($A70="","",IF(원본명단!$H69="",0,COUNTIF(원본명단!$H$3:$H$6002,원본명단!$H69)))</f>
        <v/>
      </c>
      <c r="F70" s="11" t="str">
        <f aca="false">IF($A70="","",IF(원본명단!$I69="",0,COUNTIF(원본명단!$I$3:$I$6002,원본명단!$I69)))</f>
        <v/>
      </c>
      <c r="G70" s="11" t="str">
        <f aca="false">IF($A70="","",IF(원본명단!$K69="",0,COUNTIF(원본명단!$K$3:$K$6002,원본명단!$K69)))</f>
        <v/>
      </c>
      <c r="H70" s="11" t="str">
        <f aca="false">IF($A70="","",IF(MAX($E70,$F70,$G70)&gt;1,"중복","-"))</f>
        <v/>
      </c>
      <c r="I70" s="11" t="str">
        <f aca="false">IF($A70="","",IF($H70="-","-",IF(AND(IF(원본명단!$H69="",TRUE(),COUNTIF(원본명단!$H$3:$H69,원본명단!$H69)=1),IF(원본명단!$I69="",TRUE(),COUNTIF(원본명단!$I$3:$I69,원본명단!$I69)=1),IF(원본명단!$K69="",TRUE(),COUNTIF(원본명단!$K$3:$K69,원본명단!$K69)=1)),"첫 건","중복 건")))</f>
        <v/>
      </c>
      <c r="J70" s="11" t="str">
        <f aca="false">IF($A70="","",IF($H70="-","유지",IF($I70="첫 건","유지","확인 필요")))</f>
        <v/>
      </c>
    </row>
    <row r="71" customFormat="false" ht="15" hidden="false" customHeight="true" outlineLevel="0" collapsed="false">
      <c r="A71" s="11" t="str">
        <f aca="false">IF(원본명단!$A70="","",68)</f>
        <v/>
      </c>
      <c r="B71" s="12" t="str">
        <f aca="false">IF($A71="","",원본명단!$A70)</f>
        <v/>
      </c>
      <c r="C71" s="12" t="str">
        <f aca="false">IF($A71="","",원본명단!$B70)</f>
        <v/>
      </c>
      <c r="D71" s="12" t="str">
        <f aca="false">IF($A71="","",원본명단!$D70)</f>
        <v/>
      </c>
      <c r="E71" s="11" t="str">
        <f aca="false">IF($A71="","",IF(원본명단!$H70="",0,COUNTIF(원본명단!$H$3:$H$6002,원본명단!$H70)))</f>
        <v/>
      </c>
      <c r="F71" s="11" t="str">
        <f aca="false">IF($A71="","",IF(원본명단!$I70="",0,COUNTIF(원본명단!$I$3:$I$6002,원본명단!$I70)))</f>
        <v/>
      </c>
      <c r="G71" s="11" t="str">
        <f aca="false">IF($A71="","",IF(원본명단!$K70="",0,COUNTIF(원본명단!$K$3:$K$6002,원본명단!$K70)))</f>
        <v/>
      </c>
      <c r="H71" s="11" t="str">
        <f aca="false">IF($A71="","",IF(MAX($E71,$F71,$G71)&gt;1,"중복","-"))</f>
        <v/>
      </c>
      <c r="I71" s="11" t="str">
        <f aca="false">IF($A71="","",IF($H71="-","-",IF(AND(IF(원본명단!$H70="",TRUE(),COUNTIF(원본명단!$H$3:$H70,원본명단!$H70)=1),IF(원본명단!$I70="",TRUE(),COUNTIF(원본명단!$I$3:$I70,원본명단!$I70)=1),IF(원본명단!$K70="",TRUE(),COUNTIF(원본명단!$K$3:$K70,원본명단!$K70)=1)),"첫 건","중복 건")))</f>
        <v/>
      </c>
      <c r="J71" s="11" t="str">
        <f aca="false">IF($A71="","",IF($H71="-","유지",IF($I71="첫 건","유지","확인 필요")))</f>
        <v/>
      </c>
    </row>
    <row r="72" customFormat="false" ht="15" hidden="false" customHeight="true" outlineLevel="0" collapsed="false">
      <c r="A72" s="11" t="str">
        <f aca="false">IF(원본명단!$A71="","",69)</f>
        <v/>
      </c>
      <c r="B72" s="12" t="str">
        <f aca="false">IF($A72="","",원본명단!$A71)</f>
        <v/>
      </c>
      <c r="C72" s="12" t="str">
        <f aca="false">IF($A72="","",원본명단!$B71)</f>
        <v/>
      </c>
      <c r="D72" s="12" t="str">
        <f aca="false">IF($A72="","",원본명단!$D71)</f>
        <v/>
      </c>
      <c r="E72" s="11" t="str">
        <f aca="false">IF($A72="","",IF(원본명단!$H71="",0,COUNTIF(원본명단!$H$3:$H$6002,원본명단!$H71)))</f>
        <v/>
      </c>
      <c r="F72" s="11" t="str">
        <f aca="false">IF($A72="","",IF(원본명단!$I71="",0,COUNTIF(원본명단!$I$3:$I$6002,원본명단!$I71)))</f>
        <v/>
      </c>
      <c r="G72" s="11" t="str">
        <f aca="false">IF($A72="","",IF(원본명단!$K71="",0,COUNTIF(원본명단!$K$3:$K$6002,원본명단!$K71)))</f>
        <v/>
      </c>
      <c r="H72" s="11" t="str">
        <f aca="false">IF($A72="","",IF(MAX($E72,$F72,$G72)&gt;1,"중복","-"))</f>
        <v/>
      </c>
      <c r="I72" s="11" t="str">
        <f aca="false">IF($A72="","",IF($H72="-","-",IF(AND(IF(원본명단!$H71="",TRUE(),COUNTIF(원본명단!$H$3:$H71,원본명단!$H71)=1),IF(원본명단!$I71="",TRUE(),COUNTIF(원본명단!$I$3:$I71,원본명단!$I71)=1),IF(원본명단!$K71="",TRUE(),COUNTIF(원본명단!$K$3:$K71,원본명단!$K71)=1)),"첫 건","중복 건")))</f>
        <v/>
      </c>
      <c r="J72" s="11" t="str">
        <f aca="false">IF($A72="","",IF($H72="-","유지",IF($I72="첫 건","유지","확인 필요")))</f>
        <v/>
      </c>
    </row>
    <row r="73" customFormat="false" ht="15" hidden="false" customHeight="true" outlineLevel="0" collapsed="false">
      <c r="A73" s="11" t="str">
        <f aca="false">IF(원본명단!$A72="","",70)</f>
        <v/>
      </c>
      <c r="B73" s="12" t="str">
        <f aca="false">IF($A73="","",원본명단!$A72)</f>
        <v/>
      </c>
      <c r="C73" s="12" t="str">
        <f aca="false">IF($A73="","",원본명단!$B72)</f>
        <v/>
      </c>
      <c r="D73" s="12" t="str">
        <f aca="false">IF($A73="","",원본명단!$D72)</f>
        <v/>
      </c>
      <c r="E73" s="11" t="str">
        <f aca="false">IF($A73="","",IF(원본명단!$H72="",0,COUNTIF(원본명단!$H$3:$H$6002,원본명단!$H72)))</f>
        <v/>
      </c>
      <c r="F73" s="11" t="str">
        <f aca="false">IF($A73="","",IF(원본명단!$I72="",0,COUNTIF(원본명단!$I$3:$I$6002,원본명단!$I72)))</f>
        <v/>
      </c>
      <c r="G73" s="11" t="str">
        <f aca="false">IF($A73="","",IF(원본명단!$K72="",0,COUNTIF(원본명단!$K$3:$K$6002,원본명단!$K72)))</f>
        <v/>
      </c>
      <c r="H73" s="11" t="str">
        <f aca="false">IF($A73="","",IF(MAX($E73,$F73,$G73)&gt;1,"중복","-"))</f>
        <v/>
      </c>
      <c r="I73" s="11" t="str">
        <f aca="false">IF($A73="","",IF($H73="-","-",IF(AND(IF(원본명단!$H72="",TRUE(),COUNTIF(원본명단!$H$3:$H72,원본명단!$H72)=1),IF(원본명단!$I72="",TRUE(),COUNTIF(원본명단!$I$3:$I72,원본명단!$I72)=1),IF(원본명단!$K72="",TRUE(),COUNTIF(원본명단!$K$3:$K72,원본명단!$K72)=1)),"첫 건","중복 건")))</f>
        <v/>
      </c>
      <c r="J73" s="11" t="str">
        <f aca="false">IF($A73="","",IF($H73="-","유지",IF($I73="첫 건","유지","확인 필요")))</f>
        <v/>
      </c>
    </row>
    <row r="74" customFormat="false" ht="15" hidden="false" customHeight="true" outlineLevel="0" collapsed="false">
      <c r="A74" s="11" t="str">
        <f aca="false">IF(원본명단!$A73="","",71)</f>
        <v/>
      </c>
      <c r="B74" s="12" t="str">
        <f aca="false">IF($A74="","",원본명단!$A73)</f>
        <v/>
      </c>
      <c r="C74" s="12" t="str">
        <f aca="false">IF($A74="","",원본명단!$B73)</f>
        <v/>
      </c>
      <c r="D74" s="12" t="str">
        <f aca="false">IF($A74="","",원본명단!$D73)</f>
        <v/>
      </c>
      <c r="E74" s="11" t="str">
        <f aca="false">IF($A74="","",IF(원본명단!$H73="",0,COUNTIF(원본명단!$H$3:$H$6002,원본명단!$H73)))</f>
        <v/>
      </c>
      <c r="F74" s="11" t="str">
        <f aca="false">IF($A74="","",IF(원본명단!$I73="",0,COUNTIF(원본명단!$I$3:$I$6002,원본명단!$I73)))</f>
        <v/>
      </c>
      <c r="G74" s="11" t="str">
        <f aca="false">IF($A74="","",IF(원본명단!$K73="",0,COUNTIF(원본명단!$K$3:$K$6002,원본명단!$K73)))</f>
        <v/>
      </c>
      <c r="H74" s="11" t="str">
        <f aca="false">IF($A74="","",IF(MAX($E74,$F74,$G74)&gt;1,"중복","-"))</f>
        <v/>
      </c>
      <c r="I74" s="11" t="str">
        <f aca="false">IF($A74="","",IF($H74="-","-",IF(AND(IF(원본명단!$H73="",TRUE(),COUNTIF(원본명단!$H$3:$H73,원본명단!$H73)=1),IF(원본명단!$I73="",TRUE(),COUNTIF(원본명단!$I$3:$I73,원본명단!$I73)=1),IF(원본명단!$K73="",TRUE(),COUNTIF(원본명단!$K$3:$K73,원본명단!$K73)=1)),"첫 건","중복 건")))</f>
        <v/>
      </c>
      <c r="J74" s="11" t="str">
        <f aca="false">IF($A74="","",IF($H74="-","유지",IF($I74="첫 건","유지","확인 필요")))</f>
        <v/>
      </c>
    </row>
    <row r="75" customFormat="false" ht="15" hidden="false" customHeight="true" outlineLevel="0" collapsed="false">
      <c r="A75" s="11" t="str">
        <f aca="false">IF(원본명단!$A74="","",72)</f>
        <v/>
      </c>
      <c r="B75" s="12" t="str">
        <f aca="false">IF($A75="","",원본명단!$A74)</f>
        <v/>
      </c>
      <c r="C75" s="12" t="str">
        <f aca="false">IF($A75="","",원본명단!$B74)</f>
        <v/>
      </c>
      <c r="D75" s="12" t="str">
        <f aca="false">IF($A75="","",원본명단!$D74)</f>
        <v/>
      </c>
      <c r="E75" s="11" t="str">
        <f aca="false">IF($A75="","",IF(원본명단!$H74="",0,COUNTIF(원본명단!$H$3:$H$6002,원본명단!$H74)))</f>
        <v/>
      </c>
      <c r="F75" s="11" t="str">
        <f aca="false">IF($A75="","",IF(원본명단!$I74="",0,COUNTIF(원본명단!$I$3:$I$6002,원본명단!$I74)))</f>
        <v/>
      </c>
      <c r="G75" s="11" t="str">
        <f aca="false">IF($A75="","",IF(원본명단!$K74="",0,COUNTIF(원본명단!$K$3:$K$6002,원본명단!$K74)))</f>
        <v/>
      </c>
      <c r="H75" s="11" t="str">
        <f aca="false">IF($A75="","",IF(MAX($E75,$F75,$G75)&gt;1,"중복","-"))</f>
        <v/>
      </c>
      <c r="I75" s="11" t="str">
        <f aca="false">IF($A75="","",IF($H75="-","-",IF(AND(IF(원본명단!$H74="",TRUE(),COUNTIF(원본명단!$H$3:$H74,원본명단!$H74)=1),IF(원본명단!$I74="",TRUE(),COUNTIF(원본명단!$I$3:$I74,원본명단!$I74)=1),IF(원본명단!$K74="",TRUE(),COUNTIF(원본명단!$K$3:$K74,원본명단!$K74)=1)),"첫 건","중복 건")))</f>
        <v/>
      </c>
      <c r="J75" s="11" t="str">
        <f aca="false">IF($A75="","",IF($H75="-","유지",IF($I75="첫 건","유지","확인 필요")))</f>
        <v/>
      </c>
    </row>
    <row r="76" customFormat="false" ht="15" hidden="false" customHeight="true" outlineLevel="0" collapsed="false">
      <c r="A76" s="11" t="str">
        <f aca="false">IF(원본명단!$A75="","",73)</f>
        <v/>
      </c>
      <c r="B76" s="12" t="str">
        <f aca="false">IF($A76="","",원본명단!$A75)</f>
        <v/>
      </c>
      <c r="C76" s="12" t="str">
        <f aca="false">IF($A76="","",원본명단!$B75)</f>
        <v/>
      </c>
      <c r="D76" s="12" t="str">
        <f aca="false">IF($A76="","",원본명단!$D75)</f>
        <v/>
      </c>
      <c r="E76" s="11" t="str">
        <f aca="false">IF($A76="","",IF(원본명단!$H75="",0,COUNTIF(원본명단!$H$3:$H$6002,원본명단!$H75)))</f>
        <v/>
      </c>
      <c r="F76" s="11" t="str">
        <f aca="false">IF($A76="","",IF(원본명단!$I75="",0,COUNTIF(원본명단!$I$3:$I$6002,원본명단!$I75)))</f>
        <v/>
      </c>
      <c r="G76" s="11" t="str">
        <f aca="false">IF($A76="","",IF(원본명단!$K75="",0,COUNTIF(원본명단!$K$3:$K$6002,원본명단!$K75)))</f>
        <v/>
      </c>
      <c r="H76" s="11" t="str">
        <f aca="false">IF($A76="","",IF(MAX($E76,$F76,$G76)&gt;1,"중복","-"))</f>
        <v/>
      </c>
      <c r="I76" s="11" t="str">
        <f aca="false">IF($A76="","",IF($H76="-","-",IF(AND(IF(원본명단!$H75="",TRUE(),COUNTIF(원본명단!$H$3:$H75,원본명단!$H75)=1),IF(원본명단!$I75="",TRUE(),COUNTIF(원본명단!$I$3:$I75,원본명단!$I75)=1),IF(원본명단!$K75="",TRUE(),COUNTIF(원본명단!$K$3:$K75,원본명단!$K75)=1)),"첫 건","중복 건")))</f>
        <v/>
      </c>
      <c r="J76" s="11" t="str">
        <f aca="false">IF($A76="","",IF($H76="-","유지",IF($I76="첫 건","유지","확인 필요")))</f>
        <v/>
      </c>
    </row>
    <row r="77" customFormat="false" ht="15" hidden="false" customHeight="true" outlineLevel="0" collapsed="false">
      <c r="A77" s="11" t="str">
        <f aca="false">IF(원본명단!$A76="","",74)</f>
        <v/>
      </c>
      <c r="B77" s="12" t="str">
        <f aca="false">IF($A77="","",원본명단!$A76)</f>
        <v/>
      </c>
      <c r="C77" s="12" t="str">
        <f aca="false">IF($A77="","",원본명단!$B76)</f>
        <v/>
      </c>
      <c r="D77" s="12" t="str">
        <f aca="false">IF($A77="","",원본명단!$D76)</f>
        <v/>
      </c>
      <c r="E77" s="11" t="str">
        <f aca="false">IF($A77="","",IF(원본명단!$H76="",0,COUNTIF(원본명단!$H$3:$H$6002,원본명단!$H76)))</f>
        <v/>
      </c>
      <c r="F77" s="11" t="str">
        <f aca="false">IF($A77="","",IF(원본명단!$I76="",0,COUNTIF(원본명단!$I$3:$I$6002,원본명단!$I76)))</f>
        <v/>
      </c>
      <c r="G77" s="11" t="str">
        <f aca="false">IF($A77="","",IF(원본명단!$K76="",0,COUNTIF(원본명단!$K$3:$K$6002,원본명단!$K76)))</f>
        <v/>
      </c>
      <c r="H77" s="11" t="str">
        <f aca="false">IF($A77="","",IF(MAX($E77,$F77,$G77)&gt;1,"중복","-"))</f>
        <v/>
      </c>
      <c r="I77" s="11" t="str">
        <f aca="false">IF($A77="","",IF($H77="-","-",IF(AND(IF(원본명단!$H76="",TRUE(),COUNTIF(원본명단!$H$3:$H76,원본명단!$H76)=1),IF(원본명단!$I76="",TRUE(),COUNTIF(원본명단!$I$3:$I76,원본명단!$I76)=1),IF(원본명단!$K76="",TRUE(),COUNTIF(원본명단!$K$3:$K76,원본명단!$K76)=1)),"첫 건","중복 건")))</f>
        <v/>
      </c>
      <c r="J77" s="11" t="str">
        <f aca="false">IF($A77="","",IF($H77="-","유지",IF($I77="첫 건","유지","확인 필요")))</f>
        <v/>
      </c>
    </row>
    <row r="78" customFormat="false" ht="15" hidden="false" customHeight="true" outlineLevel="0" collapsed="false">
      <c r="A78" s="11" t="str">
        <f aca="false">IF(원본명단!$A77="","",75)</f>
        <v/>
      </c>
      <c r="B78" s="12" t="str">
        <f aca="false">IF($A78="","",원본명단!$A77)</f>
        <v/>
      </c>
      <c r="C78" s="12" t="str">
        <f aca="false">IF($A78="","",원본명단!$B77)</f>
        <v/>
      </c>
      <c r="D78" s="12" t="str">
        <f aca="false">IF($A78="","",원본명단!$D77)</f>
        <v/>
      </c>
      <c r="E78" s="11" t="str">
        <f aca="false">IF($A78="","",IF(원본명단!$H77="",0,COUNTIF(원본명단!$H$3:$H$6002,원본명단!$H77)))</f>
        <v/>
      </c>
      <c r="F78" s="11" t="str">
        <f aca="false">IF($A78="","",IF(원본명단!$I77="",0,COUNTIF(원본명단!$I$3:$I$6002,원본명단!$I77)))</f>
        <v/>
      </c>
      <c r="G78" s="11" t="str">
        <f aca="false">IF($A78="","",IF(원본명단!$K77="",0,COUNTIF(원본명단!$K$3:$K$6002,원본명단!$K77)))</f>
        <v/>
      </c>
      <c r="H78" s="11" t="str">
        <f aca="false">IF($A78="","",IF(MAX($E78,$F78,$G78)&gt;1,"중복","-"))</f>
        <v/>
      </c>
      <c r="I78" s="11" t="str">
        <f aca="false">IF($A78="","",IF($H78="-","-",IF(AND(IF(원본명단!$H77="",TRUE(),COUNTIF(원본명단!$H$3:$H77,원본명단!$H77)=1),IF(원본명단!$I77="",TRUE(),COUNTIF(원본명단!$I$3:$I77,원본명단!$I77)=1),IF(원본명단!$K77="",TRUE(),COUNTIF(원본명단!$K$3:$K77,원본명단!$K77)=1)),"첫 건","중복 건")))</f>
        <v/>
      </c>
      <c r="J78" s="11" t="str">
        <f aca="false">IF($A78="","",IF($H78="-","유지",IF($I78="첫 건","유지","확인 필요")))</f>
        <v/>
      </c>
    </row>
    <row r="79" customFormat="false" ht="15" hidden="false" customHeight="true" outlineLevel="0" collapsed="false">
      <c r="A79" s="11" t="str">
        <f aca="false">IF(원본명단!$A78="","",76)</f>
        <v/>
      </c>
      <c r="B79" s="12" t="str">
        <f aca="false">IF($A79="","",원본명단!$A78)</f>
        <v/>
      </c>
      <c r="C79" s="12" t="str">
        <f aca="false">IF($A79="","",원본명단!$B78)</f>
        <v/>
      </c>
      <c r="D79" s="12" t="str">
        <f aca="false">IF($A79="","",원본명단!$D78)</f>
        <v/>
      </c>
      <c r="E79" s="11" t="str">
        <f aca="false">IF($A79="","",IF(원본명단!$H78="",0,COUNTIF(원본명단!$H$3:$H$6002,원본명단!$H78)))</f>
        <v/>
      </c>
      <c r="F79" s="11" t="str">
        <f aca="false">IF($A79="","",IF(원본명단!$I78="",0,COUNTIF(원본명단!$I$3:$I$6002,원본명단!$I78)))</f>
        <v/>
      </c>
      <c r="G79" s="11" t="str">
        <f aca="false">IF($A79="","",IF(원본명단!$K78="",0,COUNTIF(원본명단!$K$3:$K$6002,원본명단!$K78)))</f>
        <v/>
      </c>
      <c r="H79" s="11" t="str">
        <f aca="false">IF($A79="","",IF(MAX($E79,$F79,$G79)&gt;1,"중복","-"))</f>
        <v/>
      </c>
      <c r="I79" s="11" t="str">
        <f aca="false">IF($A79="","",IF($H79="-","-",IF(AND(IF(원본명단!$H78="",TRUE(),COUNTIF(원본명단!$H$3:$H78,원본명단!$H78)=1),IF(원본명단!$I78="",TRUE(),COUNTIF(원본명단!$I$3:$I78,원본명단!$I78)=1),IF(원본명단!$K78="",TRUE(),COUNTIF(원본명단!$K$3:$K78,원본명단!$K78)=1)),"첫 건","중복 건")))</f>
        <v/>
      </c>
      <c r="J79" s="11" t="str">
        <f aca="false">IF($A79="","",IF($H79="-","유지",IF($I79="첫 건","유지","확인 필요")))</f>
        <v/>
      </c>
    </row>
    <row r="80" customFormat="false" ht="15" hidden="false" customHeight="true" outlineLevel="0" collapsed="false">
      <c r="A80" s="11" t="str">
        <f aca="false">IF(원본명단!$A79="","",77)</f>
        <v/>
      </c>
      <c r="B80" s="12" t="str">
        <f aca="false">IF($A80="","",원본명단!$A79)</f>
        <v/>
      </c>
      <c r="C80" s="12" t="str">
        <f aca="false">IF($A80="","",원본명단!$B79)</f>
        <v/>
      </c>
      <c r="D80" s="12" t="str">
        <f aca="false">IF($A80="","",원본명단!$D79)</f>
        <v/>
      </c>
      <c r="E80" s="11" t="str">
        <f aca="false">IF($A80="","",IF(원본명단!$H79="",0,COUNTIF(원본명단!$H$3:$H$6002,원본명단!$H79)))</f>
        <v/>
      </c>
      <c r="F80" s="11" t="str">
        <f aca="false">IF($A80="","",IF(원본명단!$I79="",0,COUNTIF(원본명단!$I$3:$I$6002,원본명단!$I79)))</f>
        <v/>
      </c>
      <c r="G80" s="11" t="str">
        <f aca="false">IF($A80="","",IF(원본명단!$K79="",0,COUNTIF(원본명단!$K$3:$K$6002,원본명단!$K79)))</f>
        <v/>
      </c>
      <c r="H80" s="11" t="str">
        <f aca="false">IF($A80="","",IF(MAX($E80,$F80,$G80)&gt;1,"중복","-"))</f>
        <v/>
      </c>
      <c r="I80" s="11" t="str">
        <f aca="false">IF($A80="","",IF($H80="-","-",IF(AND(IF(원본명단!$H79="",TRUE(),COUNTIF(원본명단!$H$3:$H79,원본명단!$H79)=1),IF(원본명단!$I79="",TRUE(),COUNTIF(원본명단!$I$3:$I79,원본명단!$I79)=1),IF(원본명단!$K79="",TRUE(),COUNTIF(원본명단!$K$3:$K79,원본명단!$K79)=1)),"첫 건","중복 건")))</f>
        <v/>
      </c>
      <c r="J80" s="11" t="str">
        <f aca="false">IF($A80="","",IF($H80="-","유지",IF($I80="첫 건","유지","확인 필요")))</f>
        <v/>
      </c>
    </row>
    <row r="81" customFormat="false" ht="15" hidden="false" customHeight="true" outlineLevel="0" collapsed="false">
      <c r="A81" s="11" t="str">
        <f aca="false">IF(원본명단!$A80="","",78)</f>
        <v/>
      </c>
      <c r="B81" s="12" t="str">
        <f aca="false">IF($A81="","",원본명단!$A80)</f>
        <v/>
      </c>
      <c r="C81" s="12" t="str">
        <f aca="false">IF($A81="","",원본명단!$B80)</f>
        <v/>
      </c>
      <c r="D81" s="12" t="str">
        <f aca="false">IF($A81="","",원본명단!$D80)</f>
        <v/>
      </c>
      <c r="E81" s="11" t="str">
        <f aca="false">IF($A81="","",IF(원본명단!$H80="",0,COUNTIF(원본명단!$H$3:$H$6002,원본명단!$H80)))</f>
        <v/>
      </c>
      <c r="F81" s="11" t="str">
        <f aca="false">IF($A81="","",IF(원본명단!$I80="",0,COUNTIF(원본명단!$I$3:$I$6002,원본명단!$I80)))</f>
        <v/>
      </c>
      <c r="G81" s="11" t="str">
        <f aca="false">IF($A81="","",IF(원본명단!$K80="",0,COUNTIF(원본명단!$K$3:$K$6002,원본명단!$K80)))</f>
        <v/>
      </c>
      <c r="H81" s="11" t="str">
        <f aca="false">IF($A81="","",IF(MAX($E81,$F81,$G81)&gt;1,"중복","-"))</f>
        <v/>
      </c>
      <c r="I81" s="11" t="str">
        <f aca="false">IF($A81="","",IF($H81="-","-",IF(AND(IF(원본명단!$H80="",TRUE(),COUNTIF(원본명단!$H$3:$H80,원본명단!$H80)=1),IF(원본명단!$I80="",TRUE(),COUNTIF(원본명단!$I$3:$I80,원본명단!$I80)=1),IF(원본명단!$K80="",TRUE(),COUNTIF(원본명단!$K$3:$K80,원본명단!$K80)=1)),"첫 건","중복 건")))</f>
        <v/>
      </c>
      <c r="J81" s="11" t="str">
        <f aca="false">IF($A81="","",IF($H81="-","유지",IF($I81="첫 건","유지","확인 필요")))</f>
        <v/>
      </c>
    </row>
    <row r="82" customFormat="false" ht="15" hidden="false" customHeight="true" outlineLevel="0" collapsed="false">
      <c r="A82" s="11" t="str">
        <f aca="false">IF(원본명단!$A81="","",79)</f>
        <v/>
      </c>
      <c r="B82" s="12" t="str">
        <f aca="false">IF($A82="","",원본명단!$A81)</f>
        <v/>
      </c>
      <c r="C82" s="12" t="str">
        <f aca="false">IF($A82="","",원본명단!$B81)</f>
        <v/>
      </c>
      <c r="D82" s="12" t="str">
        <f aca="false">IF($A82="","",원본명단!$D81)</f>
        <v/>
      </c>
      <c r="E82" s="11" t="str">
        <f aca="false">IF($A82="","",IF(원본명단!$H81="",0,COUNTIF(원본명단!$H$3:$H$6002,원본명단!$H81)))</f>
        <v/>
      </c>
      <c r="F82" s="11" t="str">
        <f aca="false">IF($A82="","",IF(원본명단!$I81="",0,COUNTIF(원본명단!$I$3:$I$6002,원본명단!$I81)))</f>
        <v/>
      </c>
      <c r="G82" s="11" t="str">
        <f aca="false">IF($A82="","",IF(원본명단!$K81="",0,COUNTIF(원본명단!$K$3:$K$6002,원본명단!$K81)))</f>
        <v/>
      </c>
      <c r="H82" s="11" t="str">
        <f aca="false">IF($A82="","",IF(MAX($E82,$F82,$G82)&gt;1,"중복","-"))</f>
        <v/>
      </c>
      <c r="I82" s="11" t="str">
        <f aca="false">IF($A82="","",IF($H82="-","-",IF(AND(IF(원본명단!$H81="",TRUE(),COUNTIF(원본명단!$H$3:$H81,원본명단!$H81)=1),IF(원본명단!$I81="",TRUE(),COUNTIF(원본명단!$I$3:$I81,원본명단!$I81)=1),IF(원본명단!$K81="",TRUE(),COUNTIF(원본명단!$K$3:$K81,원본명단!$K81)=1)),"첫 건","중복 건")))</f>
        <v/>
      </c>
      <c r="J82" s="11" t="str">
        <f aca="false">IF($A82="","",IF($H82="-","유지",IF($I82="첫 건","유지","확인 필요")))</f>
        <v/>
      </c>
    </row>
    <row r="83" customFormat="false" ht="15" hidden="false" customHeight="true" outlineLevel="0" collapsed="false">
      <c r="A83" s="11" t="str">
        <f aca="false">IF(원본명단!$A82="","",80)</f>
        <v/>
      </c>
      <c r="B83" s="12" t="str">
        <f aca="false">IF($A83="","",원본명단!$A82)</f>
        <v/>
      </c>
      <c r="C83" s="12" t="str">
        <f aca="false">IF($A83="","",원본명단!$B82)</f>
        <v/>
      </c>
      <c r="D83" s="12" t="str">
        <f aca="false">IF($A83="","",원본명단!$D82)</f>
        <v/>
      </c>
      <c r="E83" s="11" t="str">
        <f aca="false">IF($A83="","",IF(원본명단!$H82="",0,COUNTIF(원본명단!$H$3:$H$6002,원본명단!$H82)))</f>
        <v/>
      </c>
      <c r="F83" s="11" t="str">
        <f aca="false">IF($A83="","",IF(원본명단!$I82="",0,COUNTIF(원본명단!$I$3:$I$6002,원본명단!$I82)))</f>
        <v/>
      </c>
      <c r="G83" s="11" t="str">
        <f aca="false">IF($A83="","",IF(원본명단!$K82="",0,COUNTIF(원본명단!$K$3:$K$6002,원본명단!$K82)))</f>
        <v/>
      </c>
      <c r="H83" s="11" t="str">
        <f aca="false">IF($A83="","",IF(MAX($E83,$F83,$G83)&gt;1,"중복","-"))</f>
        <v/>
      </c>
      <c r="I83" s="11" t="str">
        <f aca="false">IF($A83="","",IF($H83="-","-",IF(AND(IF(원본명단!$H82="",TRUE(),COUNTIF(원본명단!$H$3:$H82,원본명단!$H82)=1),IF(원본명단!$I82="",TRUE(),COUNTIF(원본명단!$I$3:$I82,원본명단!$I82)=1),IF(원본명단!$K82="",TRUE(),COUNTIF(원본명단!$K$3:$K82,원본명단!$K82)=1)),"첫 건","중복 건")))</f>
        <v/>
      </c>
      <c r="J83" s="11" t="str">
        <f aca="false">IF($A83="","",IF($H83="-","유지",IF($I83="첫 건","유지","확인 필요")))</f>
        <v/>
      </c>
    </row>
    <row r="84" customFormat="false" ht="15" hidden="false" customHeight="true" outlineLevel="0" collapsed="false">
      <c r="A84" s="11" t="str">
        <f aca="false">IF(원본명단!$A83="","",81)</f>
        <v/>
      </c>
      <c r="B84" s="12" t="str">
        <f aca="false">IF($A84="","",원본명단!$A83)</f>
        <v/>
      </c>
      <c r="C84" s="12" t="str">
        <f aca="false">IF($A84="","",원본명단!$B83)</f>
        <v/>
      </c>
      <c r="D84" s="12" t="str">
        <f aca="false">IF($A84="","",원본명단!$D83)</f>
        <v/>
      </c>
      <c r="E84" s="11" t="str">
        <f aca="false">IF($A84="","",IF(원본명단!$H83="",0,COUNTIF(원본명단!$H$3:$H$6002,원본명단!$H83)))</f>
        <v/>
      </c>
      <c r="F84" s="11" t="str">
        <f aca="false">IF($A84="","",IF(원본명단!$I83="",0,COUNTIF(원본명단!$I$3:$I$6002,원본명단!$I83)))</f>
        <v/>
      </c>
      <c r="G84" s="11" t="str">
        <f aca="false">IF($A84="","",IF(원본명단!$K83="",0,COUNTIF(원본명단!$K$3:$K$6002,원본명단!$K83)))</f>
        <v/>
      </c>
      <c r="H84" s="11" t="str">
        <f aca="false">IF($A84="","",IF(MAX($E84,$F84,$G84)&gt;1,"중복","-"))</f>
        <v/>
      </c>
      <c r="I84" s="11" t="str">
        <f aca="false">IF($A84="","",IF($H84="-","-",IF(AND(IF(원본명단!$H83="",TRUE(),COUNTIF(원본명단!$H$3:$H83,원본명단!$H83)=1),IF(원본명단!$I83="",TRUE(),COUNTIF(원본명단!$I$3:$I83,원본명단!$I83)=1),IF(원본명단!$K83="",TRUE(),COUNTIF(원본명단!$K$3:$K83,원본명단!$K83)=1)),"첫 건","중복 건")))</f>
        <v/>
      </c>
      <c r="J84" s="11" t="str">
        <f aca="false">IF($A84="","",IF($H84="-","유지",IF($I84="첫 건","유지","확인 필요")))</f>
        <v/>
      </c>
    </row>
    <row r="85" customFormat="false" ht="15" hidden="false" customHeight="true" outlineLevel="0" collapsed="false">
      <c r="A85" s="11" t="str">
        <f aca="false">IF(원본명단!$A84="","",82)</f>
        <v/>
      </c>
      <c r="B85" s="12" t="str">
        <f aca="false">IF($A85="","",원본명단!$A84)</f>
        <v/>
      </c>
      <c r="C85" s="12" t="str">
        <f aca="false">IF($A85="","",원본명단!$B84)</f>
        <v/>
      </c>
      <c r="D85" s="12" t="str">
        <f aca="false">IF($A85="","",원본명단!$D84)</f>
        <v/>
      </c>
      <c r="E85" s="11" t="str">
        <f aca="false">IF($A85="","",IF(원본명단!$H84="",0,COUNTIF(원본명단!$H$3:$H$6002,원본명단!$H84)))</f>
        <v/>
      </c>
      <c r="F85" s="11" t="str">
        <f aca="false">IF($A85="","",IF(원본명단!$I84="",0,COUNTIF(원본명단!$I$3:$I$6002,원본명단!$I84)))</f>
        <v/>
      </c>
      <c r="G85" s="11" t="str">
        <f aca="false">IF($A85="","",IF(원본명단!$K84="",0,COUNTIF(원본명단!$K$3:$K$6002,원본명단!$K84)))</f>
        <v/>
      </c>
      <c r="H85" s="11" t="str">
        <f aca="false">IF($A85="","",IF(MAX($E85,$F85,$G85)&gt;1,"중복","-"))</f>
        <v/>
      </c>
      <c r="I85" s="11" t="str">
        <f aca="false">IF($A85="","",IF($H85="-","-",IF(AND(IF(원본명단!$H84="",TRUE(),COUNTIF(원본명단!$H$3:$H84,원본명단!$H84)=1),IF(원본명단!$I84="",TRUE(),COUNTIF(원본명단!$I$3:$I84,원본명단!$I84)=1),IF(원본명단!$K84="",TRUE(),COUNTIF(원본명단!$K$3:$K84,원본명단!$K84)=1)),"첫 건","중복 건")))</f>
        <v/>
      </c>
      <c r="J85" s="11" t="str">
        <f aca="false">IF($A85="","",IF($H85="-","유지",IF($I85="첫 건","유지","확인 필요")))</f>
        <v/>
      </c>
    </row>
    <row r="86" customFormat="false" ht="15" hidden="false" customHeight="true" outlineLevel="0" collapsed="false">
      <c r="A86" s="11" t="str">
        <f aca="false">IF(원본명단!$A85="","",83)</f>
        <v/>
      </c>
      <c r="B86" s="12" t="str">
        <f aca="false">IF($A86="","",원본명단!$A85)</f>
        <v/>
      </c>
      <c r="C86" s="12" t="str">
        <f aca="false">IF($A86="","",원본명단!$B85)</f>
        <v/>
      </c>
      <c r="D86" s="12" t="str">
        <f aca="false">IF($A86="","",원본명단!$D85)</f>
        <v/>
      </c>
      <c r="E86" s="11" t="str">
        <f aca="false">IF($A86="","",IF(원본명단!$H85="",0,COUNTIF(원본명단!$H$3:$H$6002,원본명단!$H85)))</f>
        <v/>
      </c>
      <c r="F86" s="11" t="str">
        <f aca="false">IF($A86="","",IF(원본명단!$I85="",0,COUNTIF(원본명단!$I$3:$I$6002,원본명단!$I85)))</f>
        <v/>
      </c>
      <c r="G86" s="11" t="str">
        <f aca="false">IF($A86="","",IF(원본명단!$K85="",0,COUNTIF(원본명단!$K$3:$K$6002,원본명단!$K85)))</f>
        <v/>
      </c>
      <c r="H86" s="11" t="str">
        <f aca="false">IF($A86="","",IF(MAX($E86,$F86,$G86)&gt;1,"중복","-"))</f>
        <v/>
      </c>
      <c r="I86" s="11" t="str">
        <f aca="false">IF($A86="","",IF($H86="-","-",IF(AND(IF(원본명단!$H85="",TRUE(),COUNTIF(원본명단!$H$3:$H85,원본명단!$H85)=1),IF(원본명단!$I85="",TRUE(),COUNTIF(원본명단!$I$3:$I85,원본명단!$I85)=1),IF(원본명단!$K85="",TRUE(),COUNTIF(원본명단!$K$3:$K85,원본명단!$K85)=1)),"첫 건","중복 건")))</f>
        <v/>
      </c>
      <c r="J86" s="11" t="str">
        <f aca="false">IF($A86="","",IF($H86="-","유지",IF($I86="첫 건","유지","확인 필요")))</f>
        <v/>
      </c>
    </row>
    <row r="87" customFormat="false" ht="15" hidden="false" customHeight="true" outlineLevel="0" collapsed="false">
      <c r="A87" s="11" t="str">
        <f aca="false">IF(원본명단!$A86="","",84)</f>
        <v/>
      </c>
      <c r="B87" s="12" t="str">
        <f aca="false">IF($A87="","",원본명단!$A86)</f>
        <v/>
      </c>
      <c r="C87" s="12" t="str">
        <f aca="false">IF($A87="","",원본명단!$B86)</f>
        <v/>
      </c>
      <c r="D87" s="12" t="str">
        <f aca="false">IF($A87="","",원본명단!$D86)</f>
        <v/>
      </c>
      <c r="E87" s="11" t="str">
        <f aca="false">IF($A87="","",IF(원본명단!$H86="",0,COUNTIF(원본명단!$H$3:$H$6002,원본명단!$H86)))</f>
        <v/>
      </c>
      <c r="F87" s="11" t="str">
        <f aca="false">IF($A87="","",IF(원본명단!$I86="",0,COUNTIF(원본명단!$I$3:$I$6002,원본명단!$I86)))</f>
        <v/>
      </c>
      <c r="G87" s="11" t="str">
        <f aca="false">IF($A87="","",IF(원본명단!$K86="",0,COUNTIF(원본명단!$K$3:$K$6002,원본명단!$K86)))</f>
        <v/>
      </c>
      <c r="H87" s="11" t="str">
        <f aca="false">IF($A87="","",IF(MAX($E87,$F87,$G87)&gt;1,"중복","-"))</f>
        <v/>
      </c>
      <c r="I87" s="11" t="str">
        <f aca="false">IF($A87="","",IF($H87="-","-",IF(AND(IF(원본명단!$H86="",TRUE(),COUNTIF(원본명단!$H$3:$H86,원본명단!$H86)=1),IF(원본명단!$I86="",TRUE(),COUNTIF(원본명단!$I$3:$I86,원본명단!$I86)=1),IF(원본명단!$K86="",TRUE(),COUNTIF(원본명단!$K$3:$K86,원본명단!$K86)=1)),"첫 건","중복 건")))</f>
        <v/>
      </c>
      <c r="J87" s="11" t="str">
        <f aca="false">IF($A87="","",IF($H87="-","유지",IF($I87="첫 건","유지","확인 필요")))</f>
        <v/>
      </c>
    </row>
    <row r="88" customFormat="false" ht="15" hidden="false" customHeight="true" outlineLevel="0" collapsed="false">
      <c r="A88" s="11" t="str">
        <f aca="false">IF(원본명단!$A87="","",85)</f>
        <v/>
      </c>
      <c r="B88" s="12" t="str">
        <f aca="false">IF($A88="","",원본명단!$A87)</f>
        <v/>
      </c>
      <c r="C88" s="12" t="str">
        <f aca="false">IF($A88="","",원본명단!$B87)</f>
        <v/>
      </c>
      <c r="D88" s="12" t="str">
        <f aca="false">IF($A88="","",원본명단!$D87)</f>
        <v/>
      </c>
      <c r="E88" s="11" t="str">
        <f aca="false">IF($A88="","",IF(원본명단!$H87="",0,COUNTIF(원본명단!$H$3:$H$6002,원본명단!$H87)))</f>
        <v/>
      </c>
      <c r="F88" s="11" t="str">
        <f aca="false">IF($A88="","",IF(원본명단!$I87="",0,COUNTIF(원본명단!$I$3:$I$6002,원본명단!$I87)))</f>
        <v/>
      </c>
      <c r="G88" s="11" t="str">
        <f aca="false">IF($A88="","",IF(원본명단!$K87="",0,COUNTIF(원본명단!$K$3:$K$6002,원본명단!$K87)))</f>
        <v/>
      </c>
      <c r="H88" s="11" t="str">
        <f aca="false">IF($A88="","",IF(MAX($E88,$F88,$G88)&gt;1,"중복","-"))</f>
        <v/>
      </c>
      <c r="I88" s="11" t="str">
        <f aca="false">IF($A88="","",IF($H88="-","-",IF(AND(IF(원본명단!$H87="",TRUE(),COUNTIF(원본명단!$H$3:$H87,원본명단!$H87)=1),IF(원본명단!$I87="",TRUE(),COUNTIF(원본명단!$I$3:$I87,원본명단!$I87)=1),IF(원본명단!$K87="",TRUE(),COUNTIF(원본명단!$K$3:$K87,원본명단!$K87)=1)),"첫 건","중복 건")))</f>
        <v/>
      </c>
      <c r="J88" s="11" t="str">
        <f aca="false">IF($A88="","",IF($H88="-","유지",IF($I88="첫 건","유지","확인 필요")))</f>
        <v/>
      </c>
    </row>
    <row r="89" customFormat="false" ht="15" hidden="false" customHeight="true" outlineLevel="0" collapsed="false">
      <c r="A89" s="11" t="str">
        <f aca="false">IF(원본명단!$A88="","",86)</f>
        <v/>
      </c>
      <c r="B89" s="12" t="str">
        <f aca="false">IF($A89="","",원본명단!$A88)</f>
        <v/>
      </c>
      <c r="C89" s="12" t="str">
        <f aca="false">IF($A89="","",원본명단!$B88)</f>
        <v/>
      </c>
      <c r="D89" s="12" t="str">
        <f aca="false">IF($A89="","",원본명단!$D88)</f>
        <v/>
      </c>
      <c r="E89" s="11" t="str">
        <f aca="false">IF($A89="","",IF(원본명단!$H88="",0,COUNTIF(원본명단!$H$3:$H$6002,원본명단!$H88)))</f>
        <v/>
      </c>
      <c r="F89" s="11" t="str">
        <f aca="false">IF($A89="","",IF(원본명단!$I88="",0,COUNTIF(원본명단!$I$3:$I$6002,원본명단!$I88)))</f>
        <v/>
      </c>
      <c r="G89" s="11" t="str">
        <f aca="false">IF($A89="","",IF(원본명단!$K88="",0,COUNTIF(원본명단!$K$3:$K$6002,원본명단!$K88)))</f>
        <v/>
      </c>
      <c r="H89" s="11" t="str">
        <f aca="false">IF($A89="","",IF(MAX($E89,$F89,$G89)&gt;1,"중복","-"))</f>
        <v/>
      </c>
      <c r="I89" s="11" t="str">
        <f aca="false">IF($A89="","",IF($H89="-","-",IF(AND(IF(원본명단!$H88="",TRUE(),COUNTIF(원본명단!$H$3:$H88,원본명단!$H88)=1),IF(원본명단!$I88="",TRUE(),COUNTIF(원본명단!$I$3:$I88,원본명단!$I88)=1),IF(원본명단!$K88="",TRUE(),COUNTIF(원본명단!$K$3:$K88,원본명단!$K88)=1)),"첫 건","중복 건")))</f>
        <v/>
      </c>
      <c r="J89" s="11" t="str">
        <f aca="false">IF($A89="","",IF($H89="-","유지",IF($I89="첫 건","유지","확인 필요")))</f>
        <v/>
      </c>
    </row>
    <row r="90" customFormat="false" ht="15" hidden="false" customHeight="true" outlineLevel="0" collapsed="false">
      <c r="A90" s="11" t="str">
        <f aca="false">IF(원본명단!$A89="","",87)</f>
        <v/>
      </c>
      <c r="B90" s="12" t="str">
        <f aca="false">IF($A90="","",원본명단!$A89)</f>
        <v/>
      </c>
      <c r="C90" s="12" t="str">
        <f aca="false">IF($A90="","",원본명단!$B89)</f>
        <v/>
      </c>
      <c r="D90" s="12" t="str">
        <f aca="false">IF($A90="","",원본명단!$D89)</f>
        <v/>
      </c>
      <c r="E90" s="11" t="str">
        <f aca="false">IF($A90="","",IF(원본명단!$H89="",0,COUNTIF(원본명단!$H$3:$H$6002,원본명단!$H89)))</f>
        <v/>
      </c>
      <c r="F90" s="11" t="str">
        <f aca="false">IF($A90="","",IF(원본명단!$I89="",0,COUNTIF(원본명단!$I$3:$I$6002,원본명단!$I89)))</f>
        <v/>
      </c>
      <c r="G90" s="11" t="str">
        <f aca="false">IF($A90="","",IF(원본명단!$K89="",0,COUNTIF(원본명단!$K$3:$K$6002,원본명단!$K89)))</f>
        <v/>
      </c>
      <c r="H90" s="11" t="str">
        <f aca="false">IF($A90="","",IF(MAX($E90,$F90,$G90)&gt;1,"중복","-"))</f>
        <v/>
      </c>
      <c r="I90" s="11" t="str">
        <f aca="false">IF($A90="","",IF($H90="-","-",IF(AND(IF(원본명단!$H89="",TRUE(),COUNTIF(원본명단!$H$3:$H89,원본명단!$H89)=1),IF(원본명단!$I89="",TRUE(),COUNTIF(원본명단!$I$3:$I89,원본명단!$I89)=1),IF(원본명단!$K89="",TRUE(),COUNTIF(원본명단!$K$3:$K89,원본명단!$K89)=1)),"첫 건","중복 건")))</f>
        <v/>
      </c>
      <c r="J90" s="11" t="str">
        <f aca="false">IF($A90="","",IF($H90="-","유지",IF($I90="첫 건","유지","확인 필요")))</f>
        <v/>
      </c>
    </row>
    <row r="91" customFormat="false" ht="15" hidden="false" customHeight="true" outlineLevel="0" collapsed="false">
      <c r="A91" s="11" t="str">
        <f aca="false">IF(원본명단!$A90="","",88)</f>
        <v/>
      </c>
      <c r="B91" s="12" t="str">
        <f aca="false">IF($A91="","",원본명단!$A90)</f>
        <v/>
      </c>
      <c r="C91" s="12" t="str">
        <f aca="false">IF($A91="","",원본명단!$B90)</f>
        <v/>
      </c>
      <c r="D91" s="12" t="str">
        <f aca="false">IF($A91="","",원본명단!$D90)</f>
        <v/>
      </c>
      <c r="E91" s="11" t="str">
        <f aca="false">IF($A91="","",IF(원본명단!$H90="",0,COUNTIF(원본명단!$H$3:$H$6002,원본명단!$H90)))</f>
        <v/>
      </c>
      <c r="F91" s="11" t="str">
        <f aca="false">IF($A91="","",IF(원본명단!$I90="",0,COUNTIF(원본명단!$I$3:$I$6002,원본명단!$I90)))</f>
        <v/>
      </c>
      <c r="G91" s="11" t="str">
        <f aca="false">IF($A91="","",IF(원본명단!$K90="",0,COUNTIF(원본명단!$K$3:$K$6002,원본명단!$K90)))</f>
        <v/>
      </c>
      <c r="H91" s="11" t="str">
        <f aca="false">IF($A91="","",IF(MAX($E91,$F91,$G91)&gt;1,"중복","-"))</f>
        <v/>
      </c>
      <c r="I91" s="11" t="str">
        <f aca="false">IF($A91="","",IF($H91="-","-",IF(AND(IF(원본명단!$H90="",TRUE(),COUNTIF(원본명단!$H$3:$H90,원본명단!$H90)=1),IF(원본명단!$I90="",TRUE(),COUNTIF(원본명단!$I$3:$I90,원본명단!$I90)=1),IF(원본명단!$K90="",TRUE(),COUNTIF(원본명단!$K$3:$K90,원본명단!$K90)=1)),"첫 건","중복 건")))</f>
        <v/>
      </c>
      <c r="J91" s="11" t="str">
        <f aca="false">IF($A91="","",IF($H91="-","유지",IF($I91="첫 건","유지","확인 필요")))</f>
        <v/>
      </c>
    </row>
    <row r="92" customFormat="false" ht="15" hidden="false" customHeight="true" outlineLevel="0" collapsed="false">
      <c r="A92" s="11" t="str">
        <f aca="false">IF(원본명단!$A91="","",89)</f>
        <v/>
      </c>
      <c r="B92" s="12" t="str">
        <f aca="false">IF($A92="","",원본명단!$A91)</f>
        <v/>
      </c>
      <c r="C92" s="12" t="str">
        <f aca="false">IF($A92="","",원본명단!$B91)</f>
        <v/>
      </c>
      <c r="D92" s="12" t="str">
        <f aca="false">IF($A92="","",원본명단!$D91)</f>
        <v/>
      </c>
      <c r="E92" s="11" t="str">
        <f aca="false">IF($A92="","",IF(원본명단!$H91="",0,COUNTIF(원본명단!$H$3:$H$6002,원본명단!$H91)))</f>
        <v/>
      </c>
      <c r="F92" s="11" t="str">
        <f aca="false">IF($A92="","",IF(원본명단!$I91="",0,COUNTIF(원본명단!$I$3:$I$6002,원본명단!$I91)))</f>
        <v/>
      </c>
      <c r="G92" s="11" t="str">
        <f aca="false">IF($A92="","",IF(원본명단!$K91="",0,COUNTIF(원본명단!$K$3:$K$6002,원본명단!$K91)))</f>
        <v/>
      </c>
      <c r="H92" s="11" t="str">
        <f aca="false">IF($A92="","",IF(MAX($E92,$F92,$G92)&gt;1,"중복","-"))</f>
        <v/>
      </c>
      <c r="I92" s="11" t="str">
        <f aca="false">IF($A92="","",IF($H92="-","-",IF(AND(IF(원본명단!$H91="",TRUE(),COUNTIF(원본명단!$H$3:$H91,원본명단!$H91)=1),IF(원본명단!$I91="",TRUE(),COUNTIF(원본명단!$I$3:$I91,원본명단!$I91)=1),IF(원본명단!$K91="",TRUE(),COUNTIF(원본명단!$K$3:$K91,원본명단!$K91)=1)),"첫 건","중복 건")))</f>
        <v/>
      </c>
      <c r="J92" s="11" t="str">
        <f aca="false">IF($A92="","",IF($H92="-","유지",IF($I92="첫 건","유지","확인 필요")))</f>
        <v/>
      </c>
    </row>
    <row r="93" customFormat="false" ht="15" hidden="false" customHeight="true" outlineLevel="0" collapsed="false">
      <c r="A93" s="11" t="str">
        <f aca="false">IF(원본명단!$A92="","",90)</f>
        <v/>
      </c>
      <c r="B93" s="12" t="str">
        <f aca="false">IF($A93="","",원본명단!$A92)</f>
        <v/>
      </c>
      <c r="C93" s="12" t="str">
        <f aca="false">IF($A93="","",원본명단!$B92)</f>
        <v/>
      </c>
      <c r="D93" s="12" t="str">
        <f aca="false">IF($A93="","",원본명단!$D92)</f>
        <v/>
      </c>
      <c r="E93" s="11" t="str">
        <f aca="false">IF($A93="","",IF(원본명단!$H92="",0,COUNTIF(원본명단!$H$3:$H$6002,원본명단!$H92)))</f>
        <v/>
      </c>
      <c r="F93" s="11" t="str">
        <f aca="false">IF($A93="","",IF(원본명단!$I92="",0,COUNTIF(원본명단!$I$3:$I$6002,원본명단!$I92)))</f>
        <v/>
      </c>
      <c r="G93" s="11" t="str">
        <f aca="false">IF($A93="","",IF(원본명단!$K92="",0,COUNTIF(원본명단!$K$3:$K$6002,원본명단!$K92)))</f>
        <v/>
      </c>
      <c r="H93" s="11" t="str">
        <f aca="false">IF($A93="","",IF(MAX($E93,$F93,$G93)&gt;1,"중복","-"))</f>
        <v/>
      </c>
      <c r="I93" s="11" t="str">
        <f aca="false">IF($A93="","",IF($H93="-","-",IF(AND(IF(원본명단!$H92="",TRUE(),COUNTIF(원본명단!$H$3:$H92,원본명단!$H92)=1),IF(원본명단!$I92="",TRUE(),COUNTIF(원본명단!$I$3:$I92,원본명단!$I92)=1),IF(원본명단!$K92="",TRUE(),COUNTIF(원본명단!$K$3:$K92,원본명단!$K92)=1)),"첫 건","중복 건")))</f>
        <v/>
      </c>
      <c r="J93" s="11" t="str">
        <f aca="false">IF($A93="","",IF($H93="-","유지",IF($I93="첫 건","유지","확인 필요")))</f>
        <v/>
      </c>
    </row>
    <row r="94" customFormat="false" ht="15" hidden="false" customHeight="true" outlineLevel="0" collapsed="false">
      <c r="A94" s="11" t="str">
        <f aca="false">IF(원본명단!$A93="","",91)</f>
        <v/>
      </c>
      <c r="B94" s="12" t="str">
        <f aca="false">IF($A94="","",원본명단!$A93)</f>
        <v/>
      </c>
      <c r="C94" s="12" t="str">
        <f aca="false">IF($A94="","",원본명단!$B93)</f>
        <v/>
      </c>
      <c r="D94" s="12" t="str">
        <f aca="false">IF($A94="","",원본명단!$D93)</f>
        <v/>
      </c>
      <c r="E94" s="11" t="str">
        <f aca="false">IF($A94="","",IF(원본명단!$H93="",0,COUNTIF(원본명단!$H$3:$H$6002,원본명단!$H93)))</f>
        <v/>
      </c>
      <c r="F94" s="11" t="str">
        <f aca="false">IF($A94="","",IF(원본명단!$I93="",0,COUNTIF(원본명단!$I$3:$I$6002,원본명단!$I93)))</f>
        <v/>
      </c>
      <c r="G94" s="11" t="str">
        <f aca="false">IF($A94="","",IF(원본명단!$K93="",0,COUNTIF(원본명단!$K$3:$K$6002,원본명단!$K93)))</f>
        <v/>
      </c>
      <c r="H94" s="11" t="str">
        <f aca="false">IF($A94="","",IF(MAX($E94,$F94,$G94)&gt;1,"중복","-"))</f>
        <v/>
      </c>
      <c r="I94" s="11" t="str">
        <f aca="false">IF($A94="","",IF($H94="-","-",IF(AND(IF(원본명단!$H93="",TRUE(),COUNTIF(원본명단!$H$3:$H93,원본명단!$H93)=1),IF(원본명단!$I93="",TRUE(),COUNTIF(원본명단!$I$3:$I93,원본명단!$I93)=1),IF(원본명단!$K93="",TRUE(),COUNTIF(원본명단!$K$3:$K93,원본명단!$K93)=1)),"첫 건","중복 건")))</f>
        <v/>
      </c>
      <c r="J94" s="11" t="str">
        <f aca="false">IF($A94="","",IF($H94="-","유지",IF($I94="첫 건","유지","확인 필요")))</f>
        <v/>
      </c>
    </row>
    <row r="95" customFormat="false" ht="15" hidden="false" customHeight="true" outlineLevel="0" collapsed="false">
      <c r="A95" s="11" t="str">
        <f aca="false">IF(원본명단!$A94="","",92)</f>
        <v/>
      </c>
      <c r="B95" s="12" t="str">
        <f aca="false">IF($A95="","",원본명단!$A94)</f>
        <v/>
      </c>
      <c r="C95" s="12" t="str">
        <f aca="false">IF($A95="","",원본명단!$B94)</f>
        <v/>
      </c>
      <c r="D95" s="12" t="str">
        <f aca="false">IF($A95="","",원본명단!$D94)</f>
        <v/>
      </c>
      <c r="E95" s="11" t="str">
        <f aca="false">IF($A95="","",IF(원본명단!$H94="",0,COUNTIF(원본명단!$H$3:$H$6002,원본명단!$H94)))</f>
        <v/>
      </c>
      <c r="F95" s="11" t="str">
        <f aca="false">IF($A95="","",IF(원본명단!$I94="",0,COUNTIF(원본명단!$I$3:$I$6002,원본명단!$I94)))</f>
        <v/>
      </c>
      <c r="G95" s="11" t="str">
        <f aca="false">IF($A95="","",IF(원본명단!$K94="",0,COUNTIF(원본명단!$K$3:$K$6002,원본명단!$K94)))</f>
        <v/>
      </c>
      <c r="H95" s="11" t="str">
        <f aca="false">IF($A95="","",IF(MAX($E95,$F95,$G95)&gt;1,"중복","-"))</f>
        <v/>
      </c>
      <c r="I95" s="11" t="str">
        <f aca="false">IF($A95="","",IF($H95="-","-",IF(AND(IF(원본명단!$H94="",TRUE(),COUNTIF(원본명단!$H$3:$H94,원본명단!$H94)=1),IF(원본명단!$I94="",TRUE(),COUNTIF(원본명단!$I$3:$I94,원본명단!$I94)=1),IF(원본명단!$K94="",TRUE(),COUNTIF(원본명단!$K$3:$K94,원본명단!$K94)=1)),"첫 건","중복 건")))</f>
        <v/>
      </c>
      <c r="J95" s="11" t="str">
        <f aca="false">IF($A95="","",IF($H95="-","유지",IF($I95="첫 건","유지","확인 필요")))</f>
        <v/>
      </c>
    </row>
    <row r="96" customFormat="false" ht="15" hidden="false" customHeight="true" outlineLevel="0" collapsed="false">
      <c r="A96" s="11" t="str">
        <f aca="false">IF(원본명단!$A95="","",93)</f>
        <v/>
      </c>
      <c r="B96" s="12" t="str">
        <f aca="false">IF($A96="","",원본명단!$A95)</f>
        <v/>
      </c>
      <c r="C96" s="12" t="str">
        <f aca="false">IF($A96="","",원본명단!$B95)</f>
        <v/>
      </c>
      <c r="D96" s="12" t="str">
        <f aca="false">IF($A96="","",원본명단!$D95)</f>
        <v/>
      </c>
      <c r="E96" s="11" t="str">
        <f aca="false">IF($A96="","",IF(원본명단!$H95="",0,COUNTIF(원본명단!$H$3:$H$6002,원본명단!$H95)))</f>
        <v/>
      </c>
      <c r="F96" s="11" t="str">
        <f aca="false">IF($A96="","",IF(원본명단!$I95="",0,COUNTIF(원본명단!$I$3:$I$6002,원본명단!$I95)))</f>
        <v/>
      </c>
      <c r="G96" s="11" t="str">
        <f aca="false">IF($A96="","",IF(원본명단!$K95="",0,COUNTIF(원본명단!$K$3:$K$6002,원본명단!$K95)))</f>
        <v/>
      </c>
      <c r="H96" s="11" t="str">
        <f aca="false">IF($A96="","",IF(MAX($E96,$F96,$G96)&gt;1,"중복","-"))</f>
        <v/>
      </c>
      <c r="I96" s="11" t="str">
        <f aca="false">IF($A96="","",IF($H96="-","-",IF(AND(IF(원본명단!$H95="",TRUE(),COUNTIF(원본명단!$H$3:$H95,원본명단!$H95)=1),IF(원본명단!$I95="",TRUE(),COUNTIF(원본명단!$I$3:$I95,원본명단!$I95)=1),IF(원본명단!$K95="",TRUE(),COUNTIF(원본명단!$K$3:$K95,원본명단!$K95)=1)),"첫 건","중복 건")))</f>
        <v/>
      </c>
      <c r="J96" s="11" t="str">
        <f aca="false">IF($A96="","",IF($H96="-","유지",IF($I96="첫 건","유지","확인 필요")))</f>
        <v/>
      </c>
    </row>
    <row r="97" customFormat="false" ht="15" hidden="false" customHeight="true" outlineLevel="0" collapsed="false">
      <c r="A97" s="11" t="str">
        <f aca="false">IF(원본명단!$A96="","",94)</f>
        <v/>
      </c>
      <c r="B97" s="12" t="str">
        <f aca="false">IF($A97="","",원본명단!$A96)</f>
        <v/>
      </c>
      <c r="C97" s="12" t="str">
        <f aca="false">IF($A97="","",원본명단!$B96)</f>
        <v/>
      </c>
      <c r="D97" s="12" t="str">
        <f aca="false">IF($A97="","",원본명단!$D96)</f>
        <v/>
      </c>
      <c r="E97" s="11" t="str">
        <f aca="false">IF($A97="","",IF(원본명단!$H96="",0,COUNTIF(원본명단!$H$3:$H$6002,원본명단!$H96)))</f>
        <v/>
      </c>
      <c r="F97" s="11" t="str">
        <f aca="false">IF($A97="","",IF(원본명단!$I96="",0,COUNTIF(원본명단!$I$3:$I$6002,원본명단!$I96)))</f>
        <v/>
      </c>
      <c r="G97" s="11" t="str">
        <f aca="false">IF($A97="","",IF(원본명단!$K96="",0,COUNTIF(원본명단!$K$3:$K$6002,원본명단!$K96)))</f>
        <v/>
      </c>
      <c r="H97" s="11" t="str">
        <f aca="false">IF($A97="","",IF(MAX($E97,$F97,$G97)&gt;1,"중복","-"))</f>
        <v/>
      </c>
      <c r="I97" s="11" t="str">
        <f aca="false">IF($A97="","",IF($H97="-","-",IF(AND(IF(원본명단!$H96="",TRUE(),COUNTIF(원본명단!$H$3:$H96,원본명단!$H96)=1),IF(원본명단!$I96="",TRUE(),COUNTIF(원본명단!$I$3:$I96,원본명단!$I96)=1),IF(원본명단!$K96="",TRUE(),COUNTIF(원본명단!$K$3:$K96,원본명단!$K96)=1)),"첫 건","중복 건")))</f>
        <v/>
      </c>
      <c r="J97" s="11" t="str">
        <f aca="false">IF($A97="","",IF($H97="-","유지",IF($I97="첫 건","유지","확인 필요")))</f>
        <v/>
      </c>
    </row>
    <row r="98" customFormat="false" ht="15" hidden="false" customHeight="true" outlineLevel="0" collapsed="false">
      <c r="A98" s="11" t="str">
        <f aca="false">IF(원본명단!$A97="","",95)</f>
        <v/>
      </c>
      <c r="B98" s="12" t="str">
        <f aca="false">IF($A98="","",원본명단!$A97)</f>
        <v/>
      </c>
      <c r="C98" s="12" t="str">
        <f aca="false">IF($A98="","",원본명단!$B97)</f>
        <v/>
      </c>
      <c r="D98" s="12" t="str">
        <f aca="false">IF($A98="","",원본명단!$D97)</f>
        <v/>
      </c>
      <c r="E98" s="11" t="str">
        <f aca="false">IF($A98="","",IF(원본명단!$H97="",0,COUNTIF(원본명단!$H$3:$H$6002,원본명단!$H97)))</f>
        <v/>
      </c>
      <c r="F98" s="11" t="str">
        <f aca="false">IF($A98="","",IF(원본명단!$I97="",0,COUNTIF(원본명단!$I$3:$I$6002,원본명단!$I97)))</f>
        <v/>
      </c>
      <c r="G98" s="11" t="str">
        <f aca="false">IF($A98="","",IF(원본명단!$K97="",0,COUNTIF(원본명단!$K$3:$K$6002,원본명단!$K97)))</f>
        <v/>
      </c>
      <c r="H98" s="11" t="str">
        <f aca="false">IF($A98="","",IF(MAX($E98,$F98,$G98)&gt;1,"중복","-"))</f>
        <v/>
      </c>
      <c r="I98" s="11" t="str">
        <f aca="false">IF($A98="","",IF($H98="-","-",IF(AND(IF(원본명단!$H97="",TRUE(),COUNTIF(원본명단!$H$3:$H97,원본명단!$H97)=1),IF(원본명단!$I97="",TRUE(),COUNTIF(원본명단!$I$3:$I97,원본명단!$I97)=1),IF(원본명단!$K97="",TRUE(),COUNTIF(원본명단!$K$3:$K97,원본명단!$K97)=1)),"첫 건","중복 건")))</f>
        <v/>
      </c>
      <c r="J98" s="11" t="str">
        <f aca="false">IF($A98="","",IF($H98="-","유지",IF($I98="첫 건","유지","확인 필요")))</f>
        <v/>
      </c>
    </row>
    <row r="99" customFormat="false" ht="15" hidden="false" customHeight="true" outlineLevel="0" collapsed="false">
      <c r="A99" s="11" t="str">
        <f aca="false">IF(원본명단!$A98="","",96)</f>
        <v/>
      </c>
      <c r="B99" s="12" t="str">
        <f aca="false">IF($A99="","",원본명단!$A98)</f>
        <v/>
      </c>
      <c r="C99" s="12" t="str">
        <f aca="false">IF($A99="","",원본명단!$B98)</f>
        <v/>
      </c>
      <c r="D99" s="12" t="str">
        <f aca="false">IF($A99="","",원본명단!$D98)</f>
        <v/>
      </c>
      <c r="E99" s="11" t="str">
        <f aca="false">IF($A99="","",IF(원본명단!$H98="",0,COUNTIF(원본명단!$H$3:$H$6002,원본명단!$H98)))</f>
        <v/>
      </c>
      <c r="F99" s="11" t="str">
        <f aca="false">IF($A99="","",IF(원본명단!$I98="",0,COUNTIF(원본명단!$I$3:$I$6002,원본명단!$I98)))</f>
        <v/>
      </c>
      <c r="G99" s="11" t="str">
        <f aca="false">IF($A99="","",IF(원본명단!$K98="",0,COUNTIF(원본명단!$K$3:$K$6002,원본명단!$K98)))</f>
        <v/>
      </c>
      <c r="H99" s="11" t="str">
        <f aca="false">IF($A99="","",IF(MAX($E99,$F99,$G99)&gt;1,"중복","-"))</f>
        <v/>
      </c>
      <c r="I99" s="11" t="str">
        <f aca="false">IF($A99="","",IF($H99="-","-",IF(AND(IF(원본명단!$H98="",TRUE(),COUNTIF(원본명단!$H$3:$H98,원본명단!$H98)=1),IF(원본명단!$I98="",TRUE(),COUNTIF(원본명단!$I$3:$I98,원본명단!$I98)=1),IF(원본명단!$K98="",TRUE(),COUNTIF(원본명단!$K$3:$K98,원본명단!$K98)=1)),"첫 건","중복 건")))</f>
        <v/>
      </c>
      <c r="J99" s="11" t="str">
        <f aca="false">IF($A99="","",IF($H99="-","유지",IF($I99="첫 건","유지","확인 필요")))</f>
        <v/>
      </c>
    </row>
    <row r="100" customFormat="false" ht="15" hidden="false" customHeight="true" outlineLevel="0" collapsed="false">
      <c r="A100" s="11" t="str">
        <f aca="false">IF(원본명단!$A99="","",97)</f>
        <v/>
      </c>
      <c r="B100" s="12" t="str">
        <f aca="false">IF($A100="","",원본명단!$A99)</f>
        <v/>
      </c>
      <c r="C100" s="12" t="str">
        <f aca="false">IF($A100="","",원본명단!$B99)</f>
        <v/>
      </c>
      <c r="D100" s="12" t="str">
        <f aca="false">IF($A100="","",원본명단!$D99)</f>
        <v/>
      </c>
      <c r="E100" s="11" t="str">
        <f aca="false">IF($A100="","",IF(원본명단!$H99="",0,COUNTIF(원본명단!$H$3:$H$6002,원본명단!$H99)))</f>
        <v/>
      </c>
      <c r="F100" s="11" t="str">
        <f aca="false">IF($A100="","",IF(원본명단!$I99="",0,COUNTIF(원본명단!$I$3:$I$6002,원본명단!$I99)))</f>
        <v/>
      </c>
      <c r="G100" s="11" t="str">
        <f aca="false">IF($A100="","",IF(원본명단!$K99="",0,COUNTIF(원본명단!$K$3:$K$6002,원본명단!$K99)))</f>
        <v/>
      </c>
      <c r="H100" s="11" t="str">
        <f aca="false">IF($A100="","",IF(MAX($E100,$F100,$G100)&gt;1,"중복","-"))</f>
        <v/>
      </c>
      <c r="I100" s="11" t="str">
        <f aca="false">IF($A100="","",IF($H100="-","-",IF(AND(IF(원본명단!$H99="",TRUE(),COUNTIF(원본명단!$H$3:$H99,원본명단!$H99)=1),IF(원본명단!$I99="",TRUE(),COUNTIF(원본명단!$I$3:$I99,원본명단!$I99)=1),IF(원본명단!$K99="",TRUE(),COUNTIF(원본명단!$K$3:$K99,원본명단!$K99)=1)),"첫 건","중복 건")))</f>
        <v/>
      </c>
      <c r="J100" s="11" t="str">
        <f aca="false">IF($A100="","",IF($H100="-","유지",IF($I100="첫 건","유지","확인 필요")))</f>
        <v/>
      </c>
    </row>
    <row r="101" customFormat="false" ht="15" hidden="false" customHeight="true" outlineLevel="0" collapsed="false">
      <c r="A101" s="11" t="str">
        <f aca="false">IF(원본명단!$A100="","",98)</f>
        <v/>
      </c>
      <c r="B101" s="12" t="str">
        <f aca="false">IF($A101="","",원본명단!$A100)</f>
        <v/>
      </c>
      <c r="C101" s="12" t="str">
        <f aca="false">IF($A101="","",원본명단!$B100)</f>
        <v/>
      </c>
      <c r="D101" s="12" t="str">
        <f aca="false">IF($A101="","",원본명단!$D100)</f>
        <v/>
      </c>
      <c r="E101" s="11" t="str">
        <f aca="false">IF($A101="","",IF(원본명단!$H100="",0,COUNTIF(원본명단!$H$3:$H$6002,원본명단!$H100)))</f>
        <v/>
      </c>
      <c r="F101" s="11" t="str">
        <f aca="false">IF($A101="","",IF(원본명단!$I100="",0,COUNTIF(원본명단!$I$3:$I$6002,원본명단!$I100)))</f>
        <v/>
      </c>
      <c r="G101" s="11" t="str">
        <f aca="false">IF($A101="","",IF(원본명단!$K100="",0,COUNTIF(원본명단!$K$3:$K$6002,원본명단!$K100)))</f>
        <v/>
      </c>
      <c r="H101" s="11" t="str">
        <f aca="false">IF($A101="","",IF(MAX($E101,$F101,$G101)&gt;1,"중복","-"))</f>
        <v/>
      </c>
      <c r="I101" s="11" t="str">
        <f aca="false">IF($A101="","",IF($H101="-","-",IF(AND(IF(원본명단!$H100="",TRUE(),COUNTIF(원본명단!$H$3:$H100,원본명단!$H100)=1),IF(원본명단!$I100="",TRUE(),COUNTIF(원본명단!$I$3:$I100,원본명단!$I100)=1),IF(원본명단!$K100="",TRUE(),COUNTIF(원본명단!$K$3:$K100,원본명단!$K100)=1)),"첫 건","중복 건")))</f>
        <v/>
      </c>
      <c r="J101" s="11" t="str">
        <f aca="false">IF($A101="","",IF($H101="-","유지",IF($I101="첫 건","유지","확인 필요")))</f>
        <v/>
      </c>
    </row>
    <row r="102" customFormat="false" ht="15" hidden="false" customHeight="true" outlineLevel="0" collapsed="false">
      <c r="A102" s="11" t="str">
        <f aca="false">IF(원본명단!$A101="","",99)</f>
        <v/>
      </c>
      <c r="B102" s="12" t="str">
        <f aca="false">IF($A102="","",원본명단!$A101)</f>
        <v/>
      </c>
      <c r="C102" s="12" t="str">
        <f aca="false">IF($A102="","",원본명단!$B101)</f>
        <v/>
      </c>
      <c r="D102" s="12" t="str">
        <f aca="false">IF($A102="","",원본명단!$D101)</f>
        <v/>
      </c>
      <c r="E102" s="11" t="str">
        <f aca="false">IF($A102="","",IF(원본명단!$H101="",0,COUNTIF(원본명단!$H$3:$H$6002,원본명단!$H101)))</f>
        <v/>
      </c>
      <c r="F102" s="11" t="str">
        <f aca="false">IF($A102="","",IF(원본명단!$I101="",0,COUNTIF(원본명단!$I$3:$I$6002,원본명단!$I101)))</f>
        <v/>
      </c>
      <c r="G102" s="11" t="str">
        <f aca="false">IF($A102="","",IF(원본명단!$K101="",0,COUNTIF(원본명단!$K$3:$K$6002,원본명단!$K101)))</f>
        <v/>
      </c>
      <c r="H102" s="11" t="str">
        <f aca="false">IF($A102="","",IF(MAX($E102,$F102,$G102)&gt;1,"중복","-"))</f>
        <v/>
      </c>
      <c r="I102" s="11" t="str">
        <f aca="false">IF($A102="","",IF($H102="-","-",IF(AND(IF(원본명단!$H101="",TRUE(),COUNTIF(원본명단!$H$3:$H101,원본명단!$H101)=1),IF(원본명단!$I101="",TRUE(),COUNTIF(원본명단!$I$3:$I101,원본명단!$I101)=1),IF(원본명단!$K101="",TRUE(),COUNTIF(원본명단!$K$3:$K101,원본명단!$K101)=1)),"첫 건","중복 건")))</f>
        <v/>
      </c>
      <c r="J102" s="11" t="str">
        <f aca="false">IF($A102="","",IF($H102="-","유지",IF($I102="첫 건","유지","확인 필요")))</f>
        <v/>
      </c>
    </row>
    <row r="103" customFormat="false" ht="15" hidden="false" customHeight="true" outlineLevel="0" collapsed="false">
      <c r="A103" s="11" t="str">
        <f aca="false">IF(원본명단!$A102="","",100)</f>
        <v/>
      </c>
      <c r="B103" s="12" t="str">
        <f aca="false">IF($A103="","",원본명단!$A102)</f>
        <v/>
      </c>
      <c r="C103" s="12" t="str">
        <f aca="false">IF($A103="","",원본명단!$B102)</f>
        <v/>
      </c>
      <c r="D103" s="12" t="str">
        <f aca="false">IF($A103="","",원본명단!$D102)</f>
        <v/>
      </c>
      <c r="E103" s="11" t="str">
        <f aca="false">IF($A103="","",IF(원본명단!$H102="",0,COUNTIF(원본명단!$H$3:$H$6002,원본명단!$H102)))</f>
        <v/>
      </c>
      <c r="F103" s="11" t="str">
        <f aca="false">IF($A103="","",IF(원본명단!$I102="",0,COUNTIF(원본명단!$I$3:$I$6002,원본명단!$I102)))</f>
        <v/>
      </c>
      <c r="G103" s="11" t="str">
        <f aca="false">IF($A103="","",IF(원본명단!$K102="",0,COUNTIF(원본명단!$K$3:$K$6002,원본명단!$K102)))</f>
        <v/>
      </c>
      <c r="H103" s="11" t="str">
        <f aca="false">IF($A103="","",IF(MAX($E103,$F103,$G103)&gt;1,"중복","-"))</f>
        <v/>
      </c>
      <c r="I103" s="11" t="str">
        <f aca="false">IF($A103="","",IF($H103="-","-",IF(AND(IF(원본명단!$H102="",TRUE(),COUNTIF(원본명단!$H$3:$H102,원본명단!$H102)=1),IF(원본명단!$I102="",TRUE(),COUNTIF(원본명단!$I$3:$I102,원본명단!$I102)=1),IF(원본명단!$K102="",TRUE(),COUNTIF(원본명단!$K$3:$K102,원본명단!$K102)=1)),"첫 건","중복 건")))</f>
        <v/>
      </c>
      <c r="J103" s="11" t="str">
        <f aca="false">IF($A103="","",IF($H103="-","유지",IF($I103="첫 건","유지","확인 필요")))</f>
        <v/>
      </c>
    </row>
    <row r="104" customFormat="false" ht="15" hidden="false" customHeight="true" outlineLevel="0" collapsed="false">
      <c r="A104" s="11" t="str">
        <f aca="false">IF(원본명단!$A103="","",101)</f>
        <v/>
      </c>
      <c r="B104" s="12" t="str">
        <f aca="false">IF($A104="","",원본명단!$A103)</f>
        <v/>
      </c>
      <c r="C104" s="12" t="str">
        <f aca="false">IF($A104="","",원본명단!$B103)</f>
        <v/>
      </c>
      <c r="D104" s="12" t="str">
        <f aca="false">IF($A104="","",원본명단!$D103)</f>
        <v/>
      </c>
      <c r="E104" s="11" t="str">
        <f aca="false">IF($A104="","",IF(원본명단!$H103="",0,COUNTIF(원본명단!$H$3:$H$6002,원본명단!$H103)))</f>
        <v/>
      </c>
      <c r="F104" s="11" t="str">
        <f aca="false">IF($A104="","",IF(원본명단!$I103="",0,COUNTIF(원본명단!$I$3:$I$6002,원본명단!$I103)))</f>
        <v/>
      </c>
      <c r="G104" s="11" t="str">
        <f aca="false">IF($A104="","",IF(원본명단!$K103="",0,COUNTIF(원본명단!$K$3:$K$6002,원본명단!$K103)))</f>
        <v/>
      </c>
      <c r="H104" s="11" t="str">
        <f aca="false">IF($A104="","",IF(MAX($E104,$F104,$G104)&gt;1,"중복","-"))</f>
        <v/>
      </c>
      <c r="I104" s="11" t="str">
        <f aca="false">IF($A104="","",IF($H104="-","-",IF(AND(IF(원본명단!$H103="",TRUE(),COUNTIF(원본명단!$H$3:$H103,원본명단!$H103)=1),IF(원본명단!$I103="",TRUE(),COUNTIF(원본명단!$I$3:$I103,원본명단!$I103)=1),IF(원본명단!$K103="",TRUE(),COUNTIF(원본명단!$K$3:$K103,원본명단!$K103)=1)),"첫 건","중복 건")))</f>
        <v/>
      </c>
      <c r="J104" s="11" t="str">
        <f aca="false">IF($A104="","",IF($H104="-","유지",IF($I104="첫 건","유지","확인 필요")))</f>
        <v/>
      </c>
    </row>
    <row r="105" customFormat="false" ht="15" hidden="false" customHeight="true" outlineLevel="0" collapsed="false">
      <c r="A105" s="11" t="str">
        <f aca="false">IF(원본명단!$A104="","",102)</f>
        <v/>
      </c>
      <c r="B105" s="12" t="str">
        <f aca="false">IF($A105="","",원본명단!$A104)</f>
        <v/>
      </c>
      <c r="C105" s="12" t="str">
        <f aca="false">IF($A105="","",원본명단!$B104)</f>
        <v/>
      </c>
      <c r="D105" s="12" t="str">
        <f aca="false">IF($A105="","",원본명단!$D104)</f>
        <v/>
      </c>
      <c r="E105" s="11" t="str">
        <f aca="false">IF($A105="","",IF(원본명단!$H104="",0,COUNTIF(원본명단!$H$3:$H$6002,원본명단!$H104)))</f>
        <v/>
      </c>
      <c r="F105" s="11" t="str">
        <f aca="false">IF($A105="","",IF(원본명단!$I104="",0,COUNTIF(원본명단!$I$3:$I$6002,원본명단!$I104)))</f>
        <v/>
      </c>
      <c r="G105" s="11" t="str">
        <f aca="false">IF($A105="","",IF(원본명단!$K104="",0,COUNTIF(원본명단!$K$3:$K$6002,원본명단!$K104)))</f>
        <v/>
      </c>
      <c r="H105" s="11" t="str">
        <f aca="false">IF($A105="","",IF(MAX($E105,$F105,$G105)&gt;1,"중복","-"))</f>
        <v/>
      </c>
      <c r="I105" s="11" t="str">
        <f aca="false">IF($A105="","",IF($H105="-","-",IF(AND(IF(원본명단!$H104="",TRUE(),COUNTIF(원본명단!$H$3:$H104,원본명단!$H104)=1),IF(원본명단!$I104="",TRUE(),COUNTIF(원본명단!$I$3:$I104,원본명단!$I104)=1),IF(원본명단!$K104="",TRUE(),COUNTIF(원본명단!$K$3:$K104,원본명단!$K104)=1)),"첫 건","중복 건")))</f>
        <v/>
      </c>
      <c r="J105" s="11" t="str">
        <f aca="false">IF($A105="","",IF($H105="-","유지",IF($I105="첫 건","유지","확인 필요")))</f>
        <v/>
      </c>
    </row>
    <row r="106" customFormat="false" ht="15" hidden="false" customHeight="true" outlineLevel="0" collapsed="false">
      <c r="A106" s="11" t="str">
        <f aca="false">IF(원본명단!$A105="","",103)</f>
        <v/>
      </c>
      <c r="B106" s="12" t="str">
        <f aca="false">IF($A106="","",원본명단!$A105)</f>
        <v/>
      </c>
      <c r="C106" s="12" t="str">
        <f aca="false">IF($A106="","",원본명단!$B105)</f>
        <v/>
      </c>
      <c r="D106" s="12" t="str">
        <f aca="false">IF($A106="","",원본명단!$D105)</f>
        <v/>
      </c>
      <c r="E106" s="11" t="str">
        <f aca="false">IF($A106="","",IF(원본명단!$H105="",0,COUNTIF(원본명단!$H$3:$H$6002,원본명단!$H105)))</f>
        <v/>
      </c>
      <c r="F106" s="11" t="str">
        <f aca="false">IF($A106="","",IF(원본명단!$I105="",0,COUNTIF(원본명단!$I$3:$I$6002,원본명단!$I105)))</f>
        <v/>
      </c>
      <c r="G106" s="11" t="str">
        <f aca="false">IF($A106="","",IF(원본명단!$K105="",0,COUNTIF(원본명단!$K$3:$K$6002,원본명단!$K105)))</f>
        <v/>
      </c>
      <c r="H106" s="11" t="str">
        <f aca="false">IF($A106="","",IF(MAX($E106,$F106,$G106)&gt;1,"중복","-"))</f>
        <v/>
      </c>
      <c r="I106" s="11" t="str">
        <f aca="false">IF($A106="","",IF($H106="-","-",IF(AND(IF(원본명단!$H105="",TRUE(),COUNTIF(원본명단!$H$3:$H105,원본명단!$H105)=1),IF(원본명단!$I105="",TRUE(),COUNTIF(원본명단!$I$3:$I105,원본명단!$I105)=1),IF(원본명단!$K105="",TRUE(),COUNTIF(원본명단!$K$3:$K105,원본명단!$K105)=1)),"첫 건","중복 건")))</f>
        <v/>
      </c>
      <c r="J106" s="11" t="str">
        <f aca="false">IF($A106="","",IF($H106="-","유지",IF($I106="첫 건","유지","확인 필요")))</f>
        <v/>
      </c>
    </row>
    <row r="107" customFormat="false" ht="15" hidden="false" customHeight="true" outlineLevel="0" collapsed="false">
      <c r="A107" s="11" t="str">
        <f aca="false">IF(원본명단!$A106="","",104)</f>
        <v/>
      </c>
      <c r="B107" s="12" t="str">
        <f aca="false">IF($A107="","",원본명단!$A106)</f>
        <v/>
      </c>
      <c r="C107" s="12" t="str">
        <f aca="false">IF($A107="","",원본명단!$B106)</f>
        <v/>
      </c>
      <c r="D107" s="12" t="str">
        <f aca="false">IF($A107="","",원본명단!$D106)</f>
        <v/>
      </c>
      <c r="E107" s="11" t="str">
        <f aca="false">IF($A107="","",IF(원본명단!$H106="",0,COUNTIF(원본명단!$H$3:$H$6002,원본명단!$H106)))</f>
        <v/>
      </c>
      <c r="F107" s="11" t="str">
        <f aca="false">IF($A107="","",IF(원본명단!$I106="",0,COUNTIF(원본명단!$I$3:$I$6002,원본명단!$I106)))</f>
        <v/>
      </c>
      <c r="G107" s="11" t="str">
        <f aca="false">IF($A107="","",IF(원본명단!$K106="",0,COUNTIF(원본명단!$K$3:$K$6002,원본명단!$K106)))</f>
        <v/>
      </c>
      <c r="H107" s="11" t="str">
        <f aca="false">IF($A107="","",IF(MAX($E107,$F107,$G107)&gt;1,"중복","-"))</f>
        <v/>
      </c>
      <c r="I107" s="11" t="str">
        <f aca="false">IF($A107="","",IF($H107="-","-",IF(AND(IF(원본명단!$H106="",TRUE(),COUNTIF(원본명단!$H$3:$H106,원본명단!$H106)=1),IF(원본명단!$I106="",TRUE(),COUNTIF(원본명단!$I$3:$I106,원본명단!$I106)=1),IF(원본명단!$K106="",TRUE(),COUNTIF(원본명단!$K$3:$K106,원본명단!$K106)=1)),"첫 건","중복 건")))</f>
        <v/>
      </c>
      <c r="J107" s="11" t="str">
        <f aca="false">IF($A107="","",IF($H107="-","유지",IF($I107="첫 건","유지","확인 필요")))</f>
        <v/>
      </c>
    </row>
    <row r="108" customFormat="false" ht="15" hidden="false" customHeight="true" outlineLevel="0" collapsed="false">
      <c r="A108" s="11" t="str">
        <f aca="false">IF(원본명단!$A107="","",105)</f>
        <v/>
      </c>
      <c r="B108" s="12" t="str">
        <f aca="false">IF($A108="","",원본명단!$A107)</f>
        <v/>
      </c>
      <c r="C108" s="12" t="str">
        <f aca="false">IF($A108="","",원본명단!$B107)</f>
        <v/>
      </c>
      <c r="D108" s="12" t="str">
        <f aca="false">IF($A108="","",원본명단!$D107)</f>
        <v/>
      </c>
      <c r="E108" s="11" t="str">
        <f aca="false">IF($A108="","",IF(원본명단!$H107="",0,COUNTIF(원본명단!$H$3:$H$6002,원본명단!$H107)))</f>
        <v/>
      </c>
      <c r="F108" s="11" t="str">
        <f aca="false">IF($A108="","",IF(원본명단!$I107="",0,COUNTIF(원본명단!$I$3:$I$6002,원본명단!$I107)))</f>
        <v/>
      </c>
      <c r="G108" s="11" t="str">
        <f aca="false">IF($A108="","",IF(원본명단!$K107="",0,COUNTIF(원본명단!$K$3:$K$6002,원본명단!$K107)))</f>
        <v/>
      </c>
      <c r="H108" s="11" t="str">
        <f aca="false">IF($A108="","",IF(MAX($E108,$F108,$G108)&gt;1,"중복","-"))</f>
        <v/>
      </c>
      <c r="I108" s="11" t="str">
        <f aca="false">IF($A108="","",IF($H108="-","-",IF(AND(IF(원본명단!$H107="",TRUE(),COUNTIF(원본명단!$H$3:$H107,원본명단!$H107)=1),IF(원본명단!$I107="",TRUE(),COUNTIF(원본명단!$I$3:$I107,원본명단!$I107)=1),IF(원본명단!$K107="",TRUE(),COUNTIF(원본명단!$K$3:$K107,원본명단!$K107)=1)),"첫 건","중복 건")))</f>
        <v/>
      </c>
      <c r="J108" s="11" t="str">
        <f aca="false">IF($A108="","",IF($H108="-","유지",IF($I108="첫 건","유지","확인 필요")))</f>
        <v/>
      </c>
    </row>
    <row r="109" customFormat="false" ht="15" hidden="false" customHeight="true" outlineLevel="0" collapsed="false">
      <c r="A109" s="11" t="str">
        <f aca="false">IF(원본명단!$A108="","",106)</f>
        <v/>
      </c>
      <c r="B109" s="12" t="str">
        <f aca="false">IF($A109="","",원본명단!$A108)</f>
        <v/>
      </c>
      <c r="C109" s="12" t="str">
        <f aca="false">IF($A109="","",원본명단!$B108)</f>
        <v/>
      </c>
      <c r="D109" s="12" t="str">
        <f aca="false">IF($A109="","",원본명단!$D108)</f>
        <v/>
      </c>
      <c r="E109" s="11" t="str">
        <f aca="false">IF($A109="","",IF(원본명단!$H108="",0,COUNTIF(원본명단!$H$3:$H$6002,원본명단!$H108)))</f>
        <v/>
      </c>
      <c r="F109" s="11" t="str">
        <f aca="false">IF($A109="","",IF(원본명단!$I108="",0,COUNTIF(원본명단!$I$3:$I$6002,원본명단!$I108)))</f>
        <v/>
      </c>
      <c r="G109" s="11" t="str">
        <f aca="false">IF($A109="","",IF(원본명단!$K108="",0,COUNTIF(원본명단!$K$3:$K$6002,원본명단!$K108)))</f>
        <v/>
      </c>
      <c r="H109" s="11" t="str">
        <f aca="false">IF($A109="","",IF(MAX($E109,$F109,$G109)&gt;1,"중복","-"))</f>
        <v/>
      </c>
      <c r="I109" s="11" t="str">
        <f aca="false">IF($A109="","",IF($H109="-","-",IF(AND(IF(원본명단!$H108="",TRUE(),COUNTIF(원본명단!$H$3:$H108,원본명단!$H108)=1),IF(원본명단!$I108="",TRUE(),COUNTIF(원본명단!$I$3:$I108,원본명단!$I108)=1),IF(원본명단!$K108="",TRUE(),COUNTIF(원본명단!$K$3:$K108,원본명단!$K108)=1)),"첫 건","중복 건")))</f>
        <v/>
      </c>
      <c r="J109" s="11" t="str">
        <f aca="false">IF($A109="","",IF($H109="-","유지",IF($I109="첫 건","유지","확인 필요")))</f>
        <v/>
      </c>
    </row>
    <row r="110" customFormat="false" ht="15" hidden="false" customHeight="true" outlineLevel="0" collapsed="false">
      <c r="A110" s="11" t="str">
        <f aca="false">IF(원본명단!$A109="","",107)</f>
        <v/>
      </c>
      <c r="B110" s="12" t="str">
        <f aca="false">IF($A110="","",원본명단!$A109)</f>
        <v/>
      </c>
      <c r="C110" s="12" t="str">
        <f aca="false">IF($A110="","",원본명단!$B109)</f>
        <v/>
      </c>
      <c r="D110" s="12" t="str">
        <f aca="false">IF($A110="","",원본명단!$D109)</f>
        <v/>
      </c>
      <c r="E110" s="11" t="str">
        <f aca="false">IF($A110="","",IF(원본명단!$H109="",0,COUNTIF(원본명단!$H$3:$H$6002,원본명단!$H109)))</f>
        <v/>
      </c>
      <c r="F110" s="11" t="str">
        <f aca="false">IF($A110="","",IF(원본명단!$I109="",0,COUNTIF(원본명단!$I$3:$I$6002,원본명단!$I109)))</f>
        <v/>
      </c>
      <c r="G110" s="11" t="str">
        <f aca="false">IF($A110="","",IF(원본명단!$K109="",0,COUNTIF(원본명단!$K$3:$K$6002,원본명단!$K109)))</f>
        <v/>
      </c>
      <c r="H110" s="11" t="str">
        <f aca="false">IF($A110="","",IF(MAX($E110,$F110,$G110)&gt;1,"중복","-"))</f>
        <v/>
      </c>
      <c r="I110" s="11" t="str">
        <f aca="false">IF($A110="","",IF($H110="-","-",IF(AND(IF(원본명단!$H109="",TRUE(),COUNTIF(원본명단!$H$3:$H109,원본명단!$H109)=1),IF(원본명단!$I109="",TRUE(),COUNTIF(원본명단!$I$3:$I109,원본명단!$I109)=1),IF(원본명단!$K109="",TRUE(),COUNTIF(원본명단!$K$3:$K109,원본명단!$K109)=1)),"첫 건","중복 건")))</f>
        <v/>
      </c>
      <c r="J110" s="11" t="str">
        <f aca="false">IF($A110="","",IF($H110="-","유지",IF($I110="첫 건","유지","확인 필요")))</f>
        <v/>
      </c>
    </row>
    <row r="111" customFormat="false" ht="15" hidden="false" customHeight="true" outlineLevel="0" collapsed="false">
      <c r="A111" s="11" t="str">
        <f aca="false">IF(원본명단!$A110="","",108)</f>
        <v/>
      </c>
      <c r="B111" s="12" t="str">
        <f aca="false">IF($A111="","",원본명단!$A110)</f>
        <v/>
      </c>
      <c r="C111" s="12" t="str">
        <f aca="false">IF($A111="","",원본명단!$B110)</f>
        <v/>
      </c>
      <c r="D111" s="12" t="str">
        <f aca="false">IF($A111="","",원본명단!$D110)</f>
        <v/>
      </c>
      <c r="E111" s="11" t="str">
        <f aca="false">IF($A111="","",IF(원본명단!$H110="",0,COUNTIF(원본명단!$H$3:$H$6002,원본명단!$H110)))</f>
        <v/>
      </c>
      <c r="F111" s="11" t="str">
        <f aca="false">IF($A111="","",IF(원본명단!$I110="",0,COUNTIF(원본명단!$I$3:$I$6002,원본명단!$I110)))</f>
        <v/>
      </c>
      <c r="G111" s="11" t="str">
        <f aca="false">IF($A111="","",IF(원본명단!$K110="",0,COUNTIF(원본명단!$K$3:$K$6002,원본명단!$K110)))</f>
        <v/>
      </c>
      <c r="H111" s="11" t="str">
        <f aca="false">IF($A111="","",IF(MAX($E111,$F111,$G111)&gt;1,"중복","-"))</f>
        <v/>
      </c>
      <c r="I111" s="11" t="str">
        <f aca="false">IF($A111="","",IF($H111="-","-",IF(AND(IF(원본명단!$H110="",TRUE(),COUNTIF(원본명단!$H$3:$H110,원본명단!$H110)=1),IF(원본명단!$I110="",TRUE(),COUNTIF(원본명단!$I$3:$I110,원본명단!$I110)=1),IF(원본명단!$K110="",TRUE(),COUNTIF(원본명단!$K$3:$K110,원본명단!$K110)=1)),"첫 건","중복 건")))</f>
        <v/>
      </c>
      <c r="J111" s="11" t="str">
        <f aca="false">IF($A111="","",IF($H111="-","유지",IF($I111="첫 건","유지","확인 필요")))</f>
        <v/>
      </c>
    </row>
    <row r="112" customFormat="false" ht="15" hidden="false" customHeight="true" outlineLevel="0" collapsed="false">
      <c r="A112" s="11" t="str">
        <f aca="false">IF(원본명단!$A111="","",109)</f>
        <v/>
      </c>
      <c r="B112" s="12" t="str">
        <f aca="false">IF($A112="","",원본명단!$A111)</f>
        <v/>
      </c>
      <c r="C112" s="12" t="str">
        <f aca="false">IF($A112="","",원본명단!$B111)</f>
        <v/>
      </c>
      <c r="D112" s="12" t="str">
        <f aca="false">IF($A112="","",원본명단!$D111)</f>
        <v/>
      </c>
      <c r="E112" s="11" t="str">
        <f aca="false">IF($A112="","",IF(원본명단!$H111="",0,COUNTIF(원본명단!$H$3:$H$6002,원본명단!$H111)))</f>
        <v/>
      </c>
      <c r="F112" s="11" t="str">
        <f aca="false">IF($A112="","",IF(원본명단!$I111="",0,COUNTIF(원본명단!$I$3:$I$6002,원본명단!$I111)))</f>
        <v/>
      </c>
      <c r="G112" s="11" t="str">
        <f aca="false">IF($A112="","",IF(원본명단!$K111="",0,COUNTIF(원본명단!$K$3:$K$6002,원본명단!$K111)))</f>
        <v/>
      </c>
      <c r="H112" s="11" t="str">
        <f aca="false">IF($A112="","",IF(MAX($E112,$F112,$G112)&gt;1,"중복","-"))</f>
        <v/>
      </c>
      <c r="I112" s="11" t="str">
        <f aca="false">IF($A112="","",IF($H112="-","-",IF(AND(IF(원본명단!$H111="",TRUE(),COUNTIF(원본명단!$H$3:$H111,원본명단!$H111)=1),IF(원본명단!$I111="",TRUE(),COUNTIF(원본명단!$I$3:$I111,원본명단!$I111)=1),IF(원본명단!$K111="",TRUE(),COUNTIF(원본명단!$K$3:$K111,원본명단!$K111)=1)),"첫 건","중복 건")))</f>
        <v/>
      </c>
      <c r="J112" s="11" t="str">
        <f aca="false">IF($A112="","",IF($H112="-","유지",IF($I112="첫 건","유지","확인 필요")))</f>
        <v/>
      </c>
    </row>
    <row r="113" customFormat="false" ht="15" hidden="false" customHeight="true" outlineLevel="0" collapsed="false">
      <c r="A113" s="11" t="str">
        <f aca="false">IF(원본명단!$A112="","",110)</f>
        <v/>
      </c>
      <c r="B113" s="12" t="str">
        <f aca="false">IF($A113="","",원본명단!$A112)</f>
        <v/>
      </c>
      <c r="C113" s="12" t="str">
        <f aca="false">IF($A113="","",원본명단!$B112)</f>
        <v/>
      </c>
      <c r="D113" s="12" t="str">
        <f aca="false">IF($A113="","",원본명단!$D112)</f>
        <v/>
      </c>
      <c r="E113" s="11" t="str">
        <f aca="false">IF($A113="","",IF(원본명단!$H112="",0,COUNTIF(원본명단!$H$3:$H$6002,원본명단!$H112)))</f>
        <v/>
      </c>
      <c r="F113" s="11" t="str">
        <f aca="false">IF($A113="","",IF(원본명단!$I112="",0,COUNTIF(원본명단!$I$3:$I$6002,원본명단!$I112)))</f>
        <v/>
      </c>
      <c r="G113" s="11" t="str">
        <f aca="false">IF($A113="","",IF(원본명단!$K112="",0,COUNTIF(원본명단!$K$3:$K$6002,원본명단!$K112)))</f>
        <v/>
      </c>
      <c r="H113" s="11" t="str">
        <f aca="false">IF($A113="","",IF(MAX($E113,$F113,$G113)&gt;1,"중복","-"))</f>
        <v/>
      </c>
      <c r="I113" s="11" t="str">
        <f aca="false">IF($A113="","",IF($H113="-","-",IF(AND(IF(원본명단!$H112="",TRUE(),COUNTIF(원본명단!$H$3:$H112,원본명단!$H112)=1),IF(원본명단!$I112="",TRUE(),COUNTIF(원본명단!$I$3:$I112,원본명단!$I112)=1),IF(원본명단!$K112="",TRUE(),COUNTIF(원본명단!$K$3:$K112,원본명단!$K112)=1)),"첫 건","중복 건")))</f>
        <v/>
      </c>
      <c r="J113" s="11" t="str">
        <f aca="false">IF($A113="","",IF($H113="-","유지",IF($I113="첫 건","유지","확인 필요")))</f>
        <v/>
      </c>
    </row>
    <row r="114" customFormat="false" ht="15" hidden="false" customHeight="true" outlineLevel="0" collapsed="false">
      <c r="A114" s="11" t="str">
        <f aca="false">IF(원본명단!$A113="","",111)</f>
        <v/>
      </c>
      <c r="B114" s="12" t="str">
        <f aca="false">IF($A114="","",원본명단!$A113)</f>
        <v/>
      </c>
      <c r="C114" s="12" t="str">
        <f aca="false">IF($A114="","",원본명단!$B113)</f>
        <v/>
      </c>
      <c r="D114" s="12" t="str">
        <f aca="false">IF($A114="","",원본명단!$D113)</f>
        <v/>
      </c>
      <c r="E114" s="11" t="str">
        <f aca="false">IF($A114="","",IF(원본명단!$H113="",0,COUNTIF(원본명단!$H$3:$H$6002,원본명단!$H113)))</f>
        <v/>
      </c>
      <c r="F114" s="11" t="str">
        <f aca="false">IF($A114="","",IF(원본명단!$I113="",0,COUNTIF(원본명단!$I$3:$I$6002,원본명단!$I113)))</f>
        <v/>
      </c>
      <c r="G114" s="11" t="str">
        <f aca="false">IF($A114="","",IF(원본명단!$K113="",0,COUNTIF(원본명단!$K$3:$K$6002,원본명단!$K113)))</f>
        <v/>
      </c>
      <c r="H114" s="11" t="str">
        <f aca="false">IF($A114="","",IF(MAX($E114,$F114,$G114)&gt;1,"중복","-"))</f>
        <v/>
      </c>
      <c r="I114" s="11" t="str">
        <f aca="false">IF($A114="","",IF($H114="-","-",IF(AND(IF(원본명단!$H113="",TRUE(),COUNTIF(원본명단!$H$3:$H113,원본명단!$H113)=1),IF(원본명단!$I113="",TRUE(),COUNTIF(원본명단!$I$3:$I113,원본명단!$I113)=1),IF(원본명단!$K113="",TRUE(),COUNTIF(원본명단!$K$3:$K113,원본명단!$K113)=1)),"첫 건","중복 건")))</f>
        <v/>
      </c>
      <c r="J114" s="11" t="str">
        <f aca="false">IF($A114="","",IF($H114="-","유지",IF($I114="첫 건","유지","확인 필요")))</f>
        <v/>
      </c>
    </row>
    <row r="115" customFormat="false" ht="15" hidden="false" customHeight="true" outlineLevel="0" collapsed="false">
      <c r="A115" s="11" t="str">
        <f aca="false">IF(원본명단!$A114="","",112)</f>
        <v/>
      </c>
      <c r="B115" s="12" t="str">
        <f aca="false">IF($A115="","",원본명단!$A114)</f>
        <v/>
      </c>
      <c r="C115" s="12" t="str">
        <f aca="false">IF($A115="","",원본명단!$B114)</f>
        <v/>
      </c>
      <c r="D115" s="12" t="str">
        <f aca="false">IF($A115="","",원본명단!$D114)</f>
        <v/>
      </c>
      <c r="E115" s="11" t="str">
        <f aca="false">IF($A115="","",IF(원본명단!$H114="",0,COUNTIF(원본명단!$H$3:$H$6002,원본명단!$H114)))</f>
        <v/>
      </c>
      <c r="F115" s="11" t="str">
        <f aca="false">IF($A115="","",IF(원본명단!$I114="",0,COUNTIF(원본명단!$I$3:$I$6002,원본명단!$I114)))</f>
        <v/>
      </c>
      <c r="G115" s="11" t="str">
        <f aca="false">IF($A115="","",IF(원본명단!$K114="",0,COUNTIF(원본명단!$K$3:$K$6002,원본명단!$K114)))</f>
        <v/>
      </c>
      <c r="H115" s="11" t="str">
        <f aca="false">IF($A115="","",IF(MAX($E115,$F115,$G115)&gt;1,"중복","-"))</f>
        <v/>
      </c>
      <c r="I115" s="11" t="str">
        <f aca="false">IF($A115="","",IF($H115="-","-",IF(AND(IF(원본명단!$H114="",TRUE(),COUNTIF(원본명단!$H$3:$H114,원본명단!$H114)=1),IF(원본명단!$I114="",TRUE(),COUNTIF(원본명단!$I$3:$I114,원본명단!$I114)=1),IF(원본명단!$K114="",TRUE(),COUNTIF(원본명단!$K$3:$K114,원본명단!$K114)=1)),"첫 건","중복 건")))</f>
        <v/>
      </c>
      <c r="J115" s="11" t="str">
        <f aca="false">IF($A115="","",IF($H115="-","유지",IF($I115="첫 건","유지","확인 필요")))</f>
        <v/>
      </c>
    </row>
    <row r="116" customFormat="false" ht="15" hidden="false" customHeight="true" outlineLevel="0" collapsed="false">
      <c r="A116" s="11" t="str">
        <f aca="false">IF(원본명단!$A115="","",113)</f>
        <v/>
      </c>
      <c r="B116" s="12" t="str">
        <f aca="false">IF($A116="","",원본명단!$A115)</f>
        <v/>
      </c>
      <c r="C116" s="12" t="str">
        <f aca="false">IF($A116="","",원본명단!$B115)</f>
        <v/>
      </c>
      <c r="D116" s="12" t="str">
        <f aca="false">IF($A116="","",원본명단!$D115)</f>
        <v/>
      </c>
      <c r="E116" s="11" t="str">
        <f aca="false">IF($A116="","",IF(원본명단!$H115="",0,COUNTIF(원본명단!$H$3:$H$6002,원본명단!$H115)))</f>
        <v/>
      </c>
      <c r="F116" s="11" t="str">
        <f aca="false">IF($A116="","",IF(원본명단!$I115="",0,COUNTIF(원본명단!$I$3:$I$6002,원본명단!$I115)))</f>
        <v/>
      </c>
      <c r="G116" s="11" t="str">
        <f aca="false">IF($A116="","",IF(원본명단!$K115="",0,COUNTIF(원본명단!$K$3:$K$6002,원본명단!$K115)))</f>
        <v/>
      </c>
      <c r="H116" s="11" t="str">
        <f aca="false">IF($A116="","",IF(MAX($E116,$F116,$G116)&gt;1,"중복","-"))</f>
        <v/>
      </c>
      <c r="I116" s="11" t="str">
        <f aca="false">IF($A116="","",IF($H116="-","-",IF(AND(IF(원본명단!$H115="",TRUE(),COUNTIF(원본명단!$H$3:$H115,원본명단!$H115)=1),IF(원본명단!$I115="",TRUE(),COUNTIF(원본명단!$I$3:$I115,원본명단!$I115)=1),IF(원본명단!$K115="",TRUE(),COUNTIF(원본명단!$K$3:$K115,원본명단!$K115)=1)),"첫 건","중복 건")))</f>
        <v/>
      </c>
      <c r="J116" s="11" t="str">
        <f aca="false">IF($A116="","",IF($H116="-","유지",IF($I116="첫 건","유지","확인 필요")))</f>
        <v/>
      </c>
    </row>
    <row r="117" customFormat="false" ht="15" hidden="false" customHeight="true" outlineLevel="0" collapsed="false">
      <c r="A117" s="11" t="str">
        <f aca="false">IF(원본명단!$A116="","",114)</f>
        <v/>
      </c>
      <c r="B117" s="12" t="str">
        <f aca="false">IF($A117="","",원본명단!$A116)</f>
        <v/>
      </c>
      <c r="C117" s="12" t="str">
        <f aca="false">IF($A117="","",원본명단!$B116)</f>
        <v/>
      </c>
      <c r="D117" s="12" t="str">
        <f aca="false">IF($A117="","",원본명단!$D116)</f>
        <v/>
      </c>
      <c r="E117" s="11" t="str">
        <f aca="false">IF($A117="","",IF(원본명단!$H116="",0,COUNTIF(원본명단!$H$3:$H$6002,원본명단!$H116)))</f>
        <v/>
      </c>
      <c r="F117" s="11" t="str">
        <f aca="false">IF($A117="","",IF(원본명단!$I116="",0,COUNTIF(원본명단!$I$3:$I$6002,원본명단!$I116)))</f>
        <v/>
      </c>
      <c r="G117" s="11" t="str">
        <f aca="false">IF($A117="","",IF(원본명단!$K116="",0,COUNTIF(원본명단!$K$3:$K$6002,원본명단!$K116)))</f>
        <v/>
      </c>
      <c r="H117" s="11" t="str">
        <f aca="false">IF($A117="","",IF(MAX($E117,$F117,$G117)&gt;1,"중복","-"))</f>
        <v/>
      </c>
      <c r="I117" s="11" t="str">
        <f aca="false">IF($A117="","",IF($H117="-","-",IF(AND(IF(원본명단!$H116="",TRUE(),COUNTIF(원본명단!$H$3:$H116,원본명단!$H116)=1),IF(원본명단!$I116="",TRUE(),COUNTIF(원본명단!$I$3:$I116,원본명단!$I116)=1),IF(원본명단!$K116="",TRUE(),COUNTIF(원본명단!$K$3:$K116,원본명단!$K116)=1)),"첫 건","중복 건")))</f>
        <v/>
      </c>
      <c r="J117" s="11" t="str">
        <f aca="false">IF($A117="","",IF($H117="-","유지",IF($I117="첫 건","유지","확인 필요")))</f>
        <v/>
      </c>
    </row>
    <row r="118" customFormat="false" ht="15" hidden="false" customHeight="true" outlineLevel="0" collapsed="false">
      <c r="A118" s="11" t="str">
        <f aca="false">IF(원본명단!$A117="","",115)</f>
        <v/>
      </c>
      <c r="B118" s="12" t="str">
        <f aca="false">IF($A118="","",원본명단!$A117)</f>
        <v/>
      </c>
      <c r="C118" s="12" t="str">
        <f aca="false">IF($A118="","",원본명단!$B117)</f>
        <v/>
      </c>
      <c r="D118" s="12" t="str">
        <f aca="false">IF($A118="","",원본명단!$D117)</f>
        <v/>
      </c>
      <c r="E118" s="11" t="str">
        <f aca="false">IF($A118="","",IF(원본명단!$H117="",0,COUNTIF(원본명단!$H$3:$H$6002,원본명단!$H117)))</f>
        <v/>
      </c>
      <c r="F118" s="11" t="str">
        <f aca="false">IF($A118="","",IF(원본명단!$I117="",0,COUNTIF(원본명단!$I$3:$I$6002,원본명단!$I117)))</f>
        <v/>
      </c>
      <c r="G118" s="11" t="str">
        <f aca="false">IF($A118="","",IF(원본명단!$K117="",0,COUNTIF(원본명단!$K$3:$K$6002,원본명단!$K117)))</f>
        <v/>
      </c>
      <c r="H118" s="11" t="str">
        <f aca="false">IF($A118="","",IF(MAX($E118,$F118,$G118)&gt;1,"중복","-"))</f>
        <v/>
      </c>
      <c r="I118" s="11" t="str">
        <f aca="false">IF($A118="","",IF($H118="-","-",IF(AND(IF(원본명단!$H117="",TRUE(),COUNTIF(원본명단!$H$3:$H117,원본명단!$H117)=1),IF(원본명단!$I117="",TRUE(),COUNTIF(원본명단!$I$3:$I117,원본명단!$I117)=1),IF(원본명단!$K117="",TRUE(),COUNTIF(원본명단!$K$3:$K117,원본명단!$K117)=1)),"첫 건","중복 건")))</f>
        <v/>
      </c>
      <c r="J118" s="11" t="str">
        <f aca="false">IF($A118="","",IF($H118="-","유지",IF($I118="첫 건","유지","확인 필요")))</f>
        <v/>
      </c>
    </row>
    <row r="119" customFormat="false" ht="15" hidden="false" customHeight="true" outlineLevel="0" collapsed="false">
      <c r="A119" s="11" t="str">
        <f aca="false">IF(원본명단!$A118="","",116)</f>
        <v/>
      </c>
      <c r="B119" s="12" t="str">
        <f aca="false">IF($A119="","",원본명단!$A118)</f>
        <v/>
      </c>
      <c r="C119" s="12" t="str">
        <f aca="false">IF($A119="","",원본명단!$B118)</f>
        <v/>
      </c>
      <c r="D119" s="12" t="str">
        <f aca="false">IF($A119="","",원본명단!$D118)</f>
        <v/>
      </c>
      <c r="E119" s="11" t="str">
        <f aca="false">IF($A119="","",IF(원본명단!$H118="",0,COUNTIF(원본명단!$H$3:$H$6002,원본명단!$H118)))</f>
        <v/>
      </c>
      <c r="F119" s="11" t="str">
        <f aca="false">IF($A119="","",IF(원본명단!$I118="",0,COUNTIF(원본명단!$I$3:$I$6002,원본명단!$I118)))</f>
        <v/>
      </c>
      <c r="G119" s="11" t="str">
        <f aca="false">IF($A119="","",IF(원본명단!$K118="",0,COUNTIF(원본명단!$K$3:$K$6002,원본명단!$K118)))</f>
        <v/>
      </c>
      <c r="H119" s="11" t="str">
        <f aca="false">IF($A119="","",IF(MAX($E119,$F119,$G119)&gt;1,"중복","-"))</f>
        <v/>
      </c>
      <c r="I119" s="11" t="str">
        <f aca="false">IF($A119="","",IF($H119="-","-",IF(AND(IF(원본명단!$H118="",TRUE(),COUNTIF(원본명단!$H$3:$H118,원본명단!$H118)=1),IF(원본명단!$I118="",TRUE(),COUNTIF(원본명단!$I$3:$I118,원본명단!$I118)=1),IF(원본명단!$K118="",TRUE(),COUNTIF(원본명단!$K$3:$K118,원본명단!$K118)=1)),"첫 건","중복 건")))</f>
        <v/>
      </c>
      <c r="J119" s="11" t="str">
        <f aca="false">IF($A119="","",IF($H119="-","유지",IF($I119="첫 건","유지","확인 필요")))</f>
        <v/>
      </c>
    </row>
    <row r="120" customFormat="false" ht="15" hidden="false" customHeight="true" outlineLevel="0" collapsed="false">
      <c r="A120" s="11" t="str">
        <f aca="false">IF(원본명단!$A119="","",117)</f>
        <v/>
      </c>
      <c r="B120" s="12" t="str">
        <f aca="false">IF($A120="","",원본명단!$A119)</f>
        <v/>
      </c>
      <c r="C120" s="12" t="str">
        <f aca="false">IF($A120="","",원본명단!$B119)</f>
        <v/>
      </c>
      <c r="D120" s="12" t="str">
        <f aca="false">IF($A120="","",원본명단!$D119)</f>
        <v/>
      </c>
      <c r="E120" s="11" t="str">
        <f aca="false">IF($A120="","",IF(원본명단!$H119="",0,COUNTIF(원본명단!$H$3:$H$6002,원본명단!$H119)))</f>
        <v/>
      </c>
      <c r="F120" s="11" t="str">
        <f aca="false">IF($A120="","",IF(원본명단!$I119="",0,COUNTIF(원본명단!$I$3:$I$6002,원본명단!$I119)))</f>
        <v/>
      </c>
      <c r="G120" s="11" t="str">
        <f aca="false">IF($A120="","",IF(원본명단!$K119="",0,COUNTIF(원본명단!$K$3:$K$6002,원본명단!$K119)))</f>
        <v/>
      </c>
      <c r="H120" s="11" t="str">
        <f aca="false">IF($A120="","",IF(MAX($E120,$F120,$G120)&gt;1,"중복","-"))</f>
        <v/>
      </c>
      <c r="I120" s="11" t="str">
        <f aca="false">IF($A120="","",IF($H120="-","-",IF(AND(IF(원본명단!$H119="",TRUE(),COUNTIF(원본명단!$H$3:$H119,원본명단!$H119)=1),IF(원본명단!$I119="",TRUE(),COUNTIF(원본명단!$I$3:$I119,원본명단!$I119)=1),IF(원본명단!$K119="",TRUE(),COUNTIF(원본명단!$K$3:$K119,원본명단!$K119)=1)),"첫 건","중복 건")))</f>
        <v/>
      </c>
      <c r="J120" s="11" t="str">
        <f aca="false">IF($A120="","",IF($H120="-","유지",IF($I120="첫 건","유지","확인 필요")))</f>
        <v/>
      </c>
    </row>
    <row r="121" customFormat="false" ht="15" hidden="false" customHeight="true" outlineLevel="0" collapsed="false">
      <c r="A121" s="11" t="str">
        <f aca="false">IF(원본명단!$A120="","",118)</f>
        <v/>
      </c>
      <c r="B121" s="12" t="str">
        <f aca="false">IF($A121="","",원본명단!$A120)</f>
        <v/>
      </c>
      <c r="C121" s="12" t="str">
        <f aca="false">IF($A121="","",원본명단!$B120)</f>
        <v/>
      </c>
      <c r="D121" s="12" t="str">
        <f aca="false">IF($A121="","",원본명단!$D120)</f>
        <v/>
      </c>
      <c r="E121" s="11" t="str">
        <f aca="false">IF($A121="","",IF(원본명단!$H120="",0,COUNTIF(원본명단!$H$3:$H$6002,원본명단!$H120)))</f>
        <v/>
      </c>
      <c r="F121" s="11" t="str">
        <f aca="false">IF($A121="","",IF(원본명단!$I120="",0,COUNTIF(원본명단!$I$3:$I$6002,원본명단!$I120)))</f>
        <v/>
      </c>
      <c r="G121" s="11" t="str">
        <f aca="false">IF($A121="","",IF(원본명단!$K120="",0,COUNTIF(원본명단!$K$3:$K$6002,원본명단!$K120)))</f>
        <v/>
      </c>
      <c r="H121" s="11" t="str">
        <f aca="false">IF($A121="","",IF(MAX($E121,$F121,$G121)&gt;1,"중복","-"))</f>
        <v/>
      </c>
      <c r="I121" s="11" t="str">
        <f aca="false">IF($A121="","",IF($H121="-","-",IF(AND(IF(원본명단!$H120="",TRUE(),COUNTIF(원본명단!$H$3:$H120,원본명단!$H120)=1),IF(원본명단!$I120="",TRUE(),COUNTIF(원본명단!$I$3:$I120,원본명단!$I120)=1),IF(원본명단!$K120="",TRUE(),COUNTIF(원본명단!$K$3:$K120,원본명단!$K120)=1)),"첫 건","중복 건")))</f>
        <v/>
      </c>
      <c r="J121" s="11" t="str">
        <f aca="false">IF($A121="","",IF($H121="-","유지",IF($I121="첫 건","유지","확인 필요")))</f>
        <v/>
      </c>
    </row>
    <row r="122" customFormat="false" ht="15" hidden="false" customHeight="true" outlineLevel="0" collapsed="false">
      <c r="A122" s="11" t="str">
        <f aca="false">IF(원본명단!$A121="","",119)</f>
        <v/>
      </c>
      <c r="B122" s="12" t="str">
        <f aca="false">IF($A122="","",원본명단!$A121)</f>
        <v/>
      </c>
      <c r="C122" s="12" t="str">
        <f aca="false">IF($A122="","",원본명단!$B121)</f>
        <v/>
      </c>
      <c r="D122" s="12" t="str">
        <f aca="false">IF($A122="","",원본명단!$D121)</f>
        <v/>
      </c>
      <c r="E122" s="11" t="str">
        <f aca="false">IF($A122="","",IF(원본명단!$H121="",0,COUNTIF(원본명단!$H$3:$H$6002,원본명단!$H121)))</f>
        <v/>
      </c>
      <c r="F122" s="11" t="str">
        <f aca="false">IF($A122="","",IF(원본명단!$I121="",0,COUNTIF(원본명단!$I$3:$I$6002,원본명단!$I121)))</f>
        <v/>
      </c>
      <c r="G122" s="11" t="str">
        <f aca="false">IF($A122="","",IF(원본명단!$K121="",0,COUNTIF(원본명단!$K$3:$K$6002,원본명단!$K121)))</f>
        <v/>
      </c>
      <c r="H122" s="11" t="str">
        <f aca="false">IF($A122="","",IF(MAX($E122,$F122,$G122)&gt;1,"중복","-"))</f>
        <v/>
      </c>
      <c r="I122" s="11" t="str">
        <f aca="false">IF($A122="","",IF($H122="-","-",IF(AND(IF(원본명단!$H121="",TRUE(),COUNTIF(원본명단!$H$3:$H121,원본명단!$H121)=1),IF(원본명단!$I121="",TRUE(),COUNTIF(원본명단!$I$3:$I121,원본명단!$I121)=1),IF(원본명단!$K121="",TRUE(),COUNTIF(원본명단!$K$3:$K121,원본명단!$K121)=1)),"첫 건","중복 건")))</f>
        <v/>
      </c>
      <c r="J122" s="11" t="str">
        <f aca="false">IF($A122="","",IF($H122="-","유지",IF($I122="첫 건","유지","확인 필요")))</f>
        <v/>
      </c>
    </row>
    <row r="123" customFormat="false" ht="15" hidden="false" customHeight="true" outlineLevel="0" collapsed="false">
      <c r="A123" s="11" t="str">
        <f aca="false">IF(원본명단!$A122="","",120)</f>
        <v/>
      </c>
      <c r="B123" s="12" t="str">
        <f aca="false">IF($A123="","",원본명단!$A122)</f>
        <v/>
      </c>
      <c r="C123" s="12" t="str">
        <f aca="false">IF($A123="","",원본명단!$B122)</f>
        <v/>
      </c>
      <c r="D123" s="12" t="str">
        <f aca="false">IF($A123="","",원본명단!$D122)</f>
        <v/>
      </c>
      <c r="E123" s="11" t="str">
        <f aca="false">IF($A123="","",IF(원본명단!$H122="",0,COUNTIF(원본명단!$H$3:$H$6002,원본명단!$H122)))</f>
        <v/>
      </c>
      <c r="F123" s="11" t="str">
        <f aca="false">IF($A123="","",IF(원본명단!$I122="",0,COUNTIF(원본명단!$I$3:$I$6002,원본명단!$I122)))</f>
        <v/>
      </c>
      <c r="G123" s="11" t="str">
        <f aca="false">IF($A123="","",IF(원본명단!$K122="",0,COUNTIF(원본명단!$K$3:$K$6002,원본명단!$K122)))</f>
        <v/>
      </c>
      <c r="H123" s="11" t="str">
        <f aca="false">IF($A123="","",IF(MAX($E123,$F123,$G123)&gt;1,"중복","-"))</f>
        <v/>
      </c>
      <c r="I123" s="11" t="str">
        <f aca="false">IF($A123="","",IF($H123="-","-",IF(AND(IF(원본명단!$H122="",TRUE(),COUNTIF(원본명단!$H$3:$H122,원본명단!$H122)=1),IF(원본명단!$I122="",TRUE(),COUNTIF(원본명단!$I$3:$I122,원본명단!$I122)=1),IF(원본명단!$K122="",TRUE(),COUNTIF(원본명단!$K$3:$K122,원본명단!$K122)=1)),"첫 건","중복 건")))</f>
        <v/>
      </c>
      <c r="J123" s="11" t="str">
        <f aca="false">IF($A123="","",IF($H123="-","유지",IF($I123="첫 건","유지","확인 필요")))</f>
        <v/>
      </c>
    </row>
    <row r="124" customFormat="false" ht="15" hidden="false" customHeight="true" outlineLevel="0" collapsed="false">
      <c r="A124" s="11" t="str">
        <f aca="false">IF(원본명단!$A123="","",121)</f>
        <v/>
      </c>
      <c r="B124" s="12" t="str">
        <f aca="false">IF($A124="","",원본명단!$A123)</f>
        <v/>
      </c>
      <c r="C124" s="12" t="str">
        <f aca="false">IF($A124="","",원본명단!$B123)</f>
        <v/>
      </c>
      <c r="D124" s="12" t="str">
        <f aca="false">IF($A124="","",원본명단!$D123)</f>
        <v/>
      </c>
      <c r="E124" s="11" t="str">
        <f aca="false">IF($A124="","",IF(원본명단!$H123="",0,COUNTIF(원본명단!$H$3:$H$6002,원본명단!$H123)))</f>
        <v/>
      </c>
      <c r="F124" s="11" t="str">
        <f aca="false">IF($A124="","",IF(원본명단!$I123="",0,COUNTIF(원본명단!$I$3:$I$6002,원본명단!$I123)))</f>
        <v/>
      </c>
      <c r="G124" s="11" t="str">
        <f aca="false">IF($A124="","",IF(원본명단!$K123="",0,COUNTIF(원본명단!$K$3:$K$6002,원본명단!$K123)))</f>
        <v/>
      </c>
      <c r="H124" s="11" t="str">
        <f aca="false">IF($A124="","",IF(MAX($E124,$F124,$G124)&gt;1,"중복","-"))</f>
        <v/>
      </c>
      <c r="I124" s="11" t="str">
        <f aca="false">IF($A124="","",IF($H124="-","-",IF(AND(IF(원본명단!$H123="",TRUE(),COUNTIF(원본명단!$H$3:$H123,원본명단!$H123)=1),IF(원본명단!$I123="",TRUE(),COUNTIF(원본명단!$I$3:$I123,원본명단!$I123)=1),IF(원본명단!$K123="",TRUE(),COUNTIF(원본명단!$K$3:$K123,원본명단!$K123)=1)),"첫 건","중복 건")))</f>
        <v/>
      </c>
      <c r="J124" s="11" t="str">
        <f aca="false">IF($A124="","",IF($H124="-","유지",IF($I124="첫 건","유지","확인 필요")))</f>
        <v/>
      </c>
    </row>
    <row r="125" customFormat="false" ht="15" hidden="false" customHeight="true" outlineLevel="0" collapsed="false">
      <c r="A125" s="11" t="str">
        <f aca="false">IF(원본명단!$A124="","",122)</f>
        <v/>
      </c>
      <c r="B125" s="12" t="str">
        <f aca="false">IF($A125="","",원본명단!$A124)</f>
        <v/>
      </c>
      <c r="C125" s="12" t="str">
        <f aca="false">IF($A125="","",원본명단!$B124)</f>
        <v/>
      </c>
      <c r="D125" s="12" t="str">
        <f aca="false">IF($A125="","",원본명단!$D124)</f>
        <v/>
      </c>
      <c r="E125" s="11" t="str">
        <f aca="false">IF($A125="","",IF(원본명단!$H124="",0,COUNTIF(원본명단!$H$3:$H$6002,원본명단!$H124)))</f>
        <v/>
      </c>
      <c r="F125" s="11" t="str">
        <f aca="false">IF($A125="","",IF(원본명단!$I124="",0,COUNTIF(원본명단!$I$3:$I$6002,원본명단!$I124)))</f>
        <v/>
      </c>
      <c r="G125" s="11" t="str">
        <f aca="false">IF($A125="","",IF(원본명단!$K124="",0,COUNTIF(원본명단!$K$3:$K$6002,원본명단!$K124)))</f>
        <v/>
      </c>
      <c r="H125" s="11" t="str">
        <f aca="false">IF($A125="","",IF(MAX($E125,$F125,$G125)&gt;1,"중복","-"))</f>
        <v/>
      </c>
      <c r="I125" s="11" t="str">
        <f aca="false">IF($A125="","",IF($H125="-","-",IF(AND(IF(원본명단!$H124="",TRUE(),COUNTIF(원본명단!$H$3:$H124,원본명단!$H124)=1),IF(원본명단!$I124="",TRUE(),COUNTIF(원본명단!$I$3:$I124,원본명단!$I124)=1),IF(원본명단!$K124="",TRUE(),COUNTIF(원본명단!$K$3:$K124,원본명단!$K124)=1)),"첫 건","중복 건")))</f>
        <v/>
      </c>
      <c r="J125" s="11" t="str">
        <f aca="false">IF($A125="","",IF($H125="-","유지",IF($I125="첫 건","유지","확인 필요")))</f>
        <v/>
      </c>
    </row>
    <row r="126" customFormat="false" ht="15" hidden="false" customHeight="true" outlineLevel="0" collapsed="false">
      <c r="A126" s="11" t="str">
        <f aca="false">IF(원본명단!$A125="","",123)</f>
        <v/>
      </c>
      <c r="B126" s="12" t="str">
        <f aca="false">IF($A126="","",원본명단!$A125)</f>
        <v/>
      </c>
      <c r="C126" s="12" t="str">
        <f aca="false">IF($A126="","",원본명단!$B125)</f>
        <v/>
      </c>
      <c r="D126" s="12" t="str">
        <f aca="false">IF($A126="","",원본명단!$D125)</f>
        <v/>
      </c>
      <c r="E126" s="11" t="str">
        <f aca="false">IF($A126="","",IF(원본명단!$H125="",0,COUNTIF(원본명단!$H$3:$H$6002,원본명단!$H125)))</f>
        <v/>
      </c>
      <c r="F126" s="11" t="str">
        <f aca="false">IF($A126="","",IF(원본명단!$I125="",0,COUNTIF(원본명단!$I$3:$I$6002,원본명단!$I125)))</f>
        <v/>
      </c>
      <c r="G126" s="11" t="str">
        <f aca="false">IF($A126="","",IF(원본명단!$K125="",0,COUNTIF(원본명단!$K$3:$K$6002,원본명단!$K125)))</f>
        <v/>
      </c>
      <c r="H126" s="11" t="str">
        <f aca="false">IF($A126="","",IF(MAX($E126,$F126,$G126)&gt;1,"중복","-"))</f>
        <v/>
      </c>
      <c r="I126" s="11" t="str">
        <f aca="false">IF($A126="","",IF($H126="-","-",IF(AND(IF(원본명단!$H125="",TRUE(),COUNTIF(원본명단!$H$3:$H125,원본명단!$H125)=1),IF(원본명단!$I125="",TRUE(),COUNTIF(원본명단!$I$3:$I125,원본명단!$I125)=1),IF(원본명단!$K125="",TRUE(),COUNTIF(원본명단!$K$3:$K125,원본명단!$K125)=1)),"첫 건","중복 건")))</f>
        <v/>
      </c>
      <c r="J126" s="11" t="str">
        <f aca="false">IF($A126="","",IF($H126="-","유지",IF($I126="첫 건","유지","확인 필요")))</f>
        <v/>
      </c>
    </row>
    <row r="127" customFormat="false" ht="15" hidden="false" customHeight="true" outlineLevel="0" collapsed="false">
      <c r="A127" s="11" t="str">
        <f aca="false">IF(원본명단!$A126="","",124)</f>
        <v/>
      </c>
      <c r="B127" s="12" t="str">
        <f aca="false">IF($A127="","",원본명단!$A126)</f>
        <v/>
      </c>
      <c r="C127" s="12" t="str">
        <f aca="false">IF($A127="","",원본명단!$B126)</f>
        <v/>
      </c>
      <c r="D127" s="12" t="str">
        <f aca="false">IF($A127="","",원본명단!$D126)</f>
        <v/>
      </c>
      <c r="E127" s="11" t="str">
        <f aca="false">IF($A127="","",IF(원본명단!$H126="",0,COUNTIF(원본명단!$H$3:$H$6002,원본명단!$H126)))</f>
        <v/>
      </c>
      <c r="F127" s="11" t="str">
        <f aca="false">IF($A127="","",IF(원본명단!$I126="",0,COUNTIF(원본명단!$I$3:$I$6002,원본명단!$I126)))</f>
        <v/>
      </c>
      <c r="G127" s="11" t="str">
        <f aca="false">IF($A127="","",IF(원본명단!$K126="",0,COUNTIF(원본명단!$K$3:$K$6002,원본명단!$K126)))</f>
        <v/>
      </c>
      <c r="H127" s="11" t="str">
        <f aca="false">IF($A127="","",IF(MAX($E127,$F127,$G127)&gt;1,"중복","-"))</f>
        <v/>
      </c>
      <c r="I127" s="11" t="str">
        <f aca="false">IF($A127="","",IF($H127="-","-",IF(AND(IF(원본명단!$H126="",TRUE(),COUNTIF(원본명단!$H$3:$H126,원본명단!$H126)=1),IF(원본명단!$I126="",TRUE(),COUNTIF(원본명단!$I$3:$I126,원본명단!$I126)=1),IF(원본명단!$K126="",TRUE(),COUNTIF(원본명단!$K$3:$K126,원본명단!$K126)=1)),"첫 건","중복 건")))</f>
        <v/>
      </c>
      <c r="J127" s="11" t="str">
        <f aca="false">IF($A127="","",IF($H127="-","유지",IF($I127="첫 건","유지","확인 필요")))</f>
        <v/>
      </c>
    </row>
    <row r="128" customFormat="false" ht="15" hidden="false" customHeight="true" outlineLevel="0" collapsed="false">
      <c r="A128" s="11" t="str">
        <f aca="false">IF(원본명단!$A127="","",125)</f>
        <v/>
      </c>
      <c r="B128" s="12" t="str">
        <f aca="false">IF($A128="","",원본명단!$A127)</f>
        <v/>
      </c>
      <c r="C128" s="12" t="str">
        <f aca="false">IF($A128="","",원본명단!$B127)</f>
        <v/>
      </c>
      <c r="D128" s="12" t="str">
        <f aca="false">IF($A128="","",원본명단!$D127)</f>
        <v/>
      </c>
      <c r="E128" s="11" t="str">
        <f aca="false">IF($A128="","",IF(원본명단!$H127="",0,COUNTIF(원본명단!$H$3:$H$6002,원본명단!$H127)))</f>
        <v/>
      </c>
      <c r="F128" s="11" t="str">
        <f aca="false">IF($A128="","",IF(원본명단!$I127="",0,COUNTIF(원본명단!$I$3:$I$6002,원본명단!$I127)))</f>
        <v/>
      </c>
      <c r="G128" s="11" t="str">
        <f aca="false">IF($A128="","",IF(원본명단!$K127="",0,COUNTIF(원본명단!$K$3:$K$6002,원본명단!$K127)))</f>
        <v/>
      </c>
      <c r="H128" s="11" t="str">
        <f aca="false">IF($A128="","",IF(MAX($E128,$F128,$G128)&gt;1,"중복","-"))</f>
        <v/>
      </c>
      <c r="I128" s="11" t="str">
        <f aca="false">IF($A128="","",IF($H128="-","-",IF(AND(IF(원본명단!$H127="",TRUE(),COUNTIF(원본명단!$H$3:$H127,원본명단!$H127)=1),IF(원본명단!$I127="",TRUE(),COUNTIF(원본명단!$I$3:$I127,원본명단!$I127)=1),IF(원본명단!$K127="",TRUE(),COUNTIF(원본명단!$K$3:$K127,원본명단!$K127)=1)),"첫 건","중복 건")))</f>
        <v/>
      </c>
      <c r="J128" s="11" t="str">
        <f aca="false">IF($A128="","",IF($H128="-","유지",IF($I128="첫 건","유지","확인 필요")))</f>
        <v/>
      </c>
    </row>
    <row r="129" customFormat="false" ht="15" hidden="false" customHeight="true" outlineLevel="0" collapsed="false">
      <c r="A129" s="11" t="str">
        <f aca="false">IF(원본명단!$A128="","",126)</f>
        <v/>
      </c>
      <c r="B129" s="12" t="str">
        <f aca="false">IF($A129="","",원본명단!$A128)</f>
        <v/>
      </c>
      <c r="C129" s="12" t="str">
        <f aca="false">IF($A129="","",원본명단!$B128)</f>
        <v/>
      </c>
      <c r="D129" s="12" t="str">
        <f aca="false">IF($A129="","",원본명단!$D128)</f>
        <v/>
      </c>
      <c r="E129" s="11" t="str">
        <f aca="false">IF($A129="","",IF(원본명단!$H128="",0,COUNTIF(원본명단!$H$3:$H$6002,원본명단!$H128)))</f>
        <v/>
      </c>
      <c r="F129" s="11" t="str">
        <f aca="false">IF($A129="","",IF(원본명단!$I128="",0,COUNTIF(원본명단!$I$3:$I$6002,원본명단!$I128)))</f>
        <v/>
      </c>
      <c r="G129" s="11" t="str">
        <f aca="false">IF($A129="","",IF(원본명단!$K128="",0,COUNTIF(원본명단!$K$3:$K$6002,원본명단!$K128)))</f>
        <v/>
      </c>
      <c r="H129" s="11" t="str">
        <f aca="false">IF($A129="","",IF(MAX($E129,$F129,$G129)&gt;1,"중복","-"))</f>
        <v/>
      </c>
      <c r="I129" s="11" t="str">
        <f aca="false">IF($A129="","",IF($H129="-","-",IF(AND(IF(원본명단!$H128="",TRUE(),COUNTIF(원본명단!$H$3:$H128,원본명단!$H128)=1),IF(원본명단!$I128="",TRUE(),COUNTIF(원본명단!$I$3:$I128,원본명단!$I128)=1),IF(원본명단!$K128="",TRUE(),COUNTIF(원본명단!$K$3:$K128,원본명단!$K128)=1)),"첫 건","중복 건")))</f>
        <v/>
      </c>
      <c r="J129" s="11" t="str">
        <f aca="false">IF($A129="","",IF($H129="-","유지",IF($I129="첫 건","유지","확인 필요")))</f>
        <v/>
      </c>
    </row>
    <row r="130" customFormat="false" ht="15" hidden="false" customHeight="true" outlineLevel="0" collapsed="false">
      <c r="A130" s="11" t="str">
        <f aca="false">IF(원본명단!$A129="","",127)</f>
        <v/>
      </c>
      <c r="B130" s="12" t="str">
        <f aca="false">IF($A130="","",원본명단!$A129)</f>
        <v/>
      </c>
      <c r="C130" s="12" t="str">
        <f aca="false">IF($A130="","",원본명단!$B129)</f>
        <v/>
      </c>
      <c r="D130" s="12" t="str">
        <f aca="false">IF($A130="","",원본명단!$D129)</f>
        <v/>
      </c>
      <c r="E130" s="11" t="str">
        <f aca="false">IF($A130="","",IF(원본명단!$H129="",0,COUNTIF(원본명단!$H$3:$H$6002,원본명단!$H129)))</f>
        <v/>
      </c>
      <c r="F130" s="11" t="str">
        <f aca="false">IF($A130="","",IF(원본명단!$I129="",0,COUNTIF(원본명단!$I$3:$I$6002,원본명단!$I129)))</f>
        <v/>
      </c>
      <c r="G130" s="11" t="str">
        <f aca="false">IF($A130="","",IF(원본명단!$K129="",0,COUNTIF(원본명단!$K$3:$K$6002,원본명단!$K129)))</f>
        <v/>
      </c>
      <c r="H130" s="11" t="str">
        <f aca="false">IF($A130="","",IF(MAX($E130,$F130,$G130)&gt;1,"중복","-"))</f>
        <v/>
      </c>
      <c r="I130" s="11" t="str">
        <f aca="false">IF($A130="","",IF($H130="-","-",IF(AND(IF(원본명단!$H129="",TRUE(),COUNTIF(원본명단!$H$3:$H129,원본명단!$H129)=1),IF(원본명단!$I129="",TRUE(),COUNTIF(원본명단!$I$3:$I129,원본명단!$I129)=1),IF(원본명단!$K129="",TRUE(),COUNTIF(원본명단!$K$3:$K129,원본명단!$K129)=1)),"첫 건","중복 건")))</f>
        <v/>
      </c>
      <c r="J130" s="11" t="str">
        <f aca="false">IF($A130="","",IF($H130="-","유지",IF($I130="첫 건","유지","확인 필요")))</f>
        <v/>
      </c>
    </row>
    <row r="131" customFormat="false" ht="15" hidden="false" customHeight="true" outlineLevel="0" collapsed="false">
      <c r="A131" s="11" t="str">
        <f aca="false">IF(원본명단!$A130="","",128)</f>
        <v/>
      </c>
      <c r="B131" s="12" t="str">
        <f aca="false">IF($A131="","",원본명단!$A130)</f>
        <v/>
      </c>
      <c r="C131" s="12" t="str">
        <f aca="false">IF($A131="","",원본명단!$B130)</f>
        <v/>
      </c>
      <c r="D131" s="12" t="str">
        <f aca="false">IF($A131="","",원본명단!$D130)</f>
        <v/>
      </c>
      <c r="E131" s="11" t="str">
        <f aca="false">IF($A131="","",IF(원본명단!$H130="",0,COUNTIF(원본명단!$H$3:$H$6002,원본명단!$H130)))</f>
        <v/>
      </c>
      <c r="F131" s="11" t="str">
        <f aca="false">IF($A131="","",IF(원본명단!$I130="",0,COUNTIF(원본명단!$I$3:$I$6002,원본명단!$I130)))</f>
        <v/>
      </c>
      <c r="G131" s="11" t="str">
        <f aca="false">IF($A131="","",IF(원본명단!$K130="",0,COUNTIF(원본명단!$K$3:$K$6002,원본명단!$K130)))</f>
        <v/>
      </c>
      <c r="H131" s="11" t="str">
        <f aca="false">IF($A131="","",IF(MAX($E131,$F131,$G131)&gt;1,"중복","-"))</f>
        <v/>
      </c>
      <c r="I131" s="11" t="str">
        <f aca="false">IF($A131="","",IF($H131="-","-",IF(AND(IF(원본명단!$H130="",TRUE(),COUNTIF(원본명단!$H$3:$H130,원본명단!$H130)=1),IF(원본명단!$I130="",TRUE(),COUNTIF(원본명단!$I$3:$I130,원본명단!$I130)=1),IF(원본명단!$K130="",TRUE(),COUNTIF(원본명단!$K$3:$K130,원본명단!$K130)=1)),"첫 건","중복 건")))</f>
        <v/>
      </c>
      <c r="J131" s="11" t="str">
        <f aca="false">IF($A131="","",IF($H131="-","유지",IF($I131="첫 건","유지","확인 필요")))</f>
        <v/>
      </c>
    </row>
    <row r="132" customFormat="false" ht="15" hidden="false" customHeight="true" outlineLevel="0" collapsed="false">
      <c r="A132" s="11" t="str">
        <f aca="false">IF(원본명단!$A131="","",129)</f>
        <v/>
      </c>
      <c r="B132" s="12" t="str">
        <f aca="false">IF($A132="","",원본명단!$A131)</f>
        <v/>
      </c>
      <c r="C132" s="12" t="str">
        <f aca="false">IF($A132="","",원본명단!$B131)</f>
        <v/>
      </c>
      <c r="D132" s="12" t="str">
        <f aca="false">IF($A132="","",원본명단!$D131)</f>
        <v/>
      </c>
      <c r="E132" s="11" t="str">
        <f aca="false">IF($A132="","",IF(원본명단!$H131="",0,COUNTIF(원본명단!$H$3:$H$6002,원본명단!$H131)))</f>
        <v/>
      </c>
      <c r="F132" s="11" t="str">
        <f aca="false">IF($A132="","",IF(원본명단!$I131="",0,COUNTIF(원본명단!$I$3:$I$6002,원본명단!$I131)))</f>
        <v/>
      </c>
      <c r="G132" s="11" t="str">
        <f aca="false">IF($A132="","",IF(원본명단!$K131="",0,COUNTIF(원본명단!$K$3:$K$6002,원본명단!$K131)))</f>
        <v/>
      </c>
      <c r="H132" s="11" t="str">
        <f aca="false">IF($A132="","",IF(MAX($E132,$F132,$G132)&gt;1,"중복","-"))</f>
        <v/>
      </c>
      <c r="I132" s="11" t="str">
        <f aca="false">IF($A132="","",IF($H132="-","-",IF(AND(IF(원본명단!$H131="",TRUE(),COUNTIF(원본명단!$H$3:$H131,원본명단!$H131)=1),IF(원본명단!$I131="",TRUE(),COUNTIF(원본명단!$I$3:$I131,원본명단!$I131)=1),IF(원본명단!$K131="",TRUE(),COUNTIF(원본명단!$K$3:$K131,원본명단!$K131)=1)),"첫 건","중복 건")))</f>
        <v/>
      </c>
      <c r="J132" s="11" t="str">
        <f aca="false">IF($A132="","",IF($H132="-","유지",IF($I132="첫 건","유지","확인 필요")))</f>
        <v/>
      </c>
    </row>
    <row r="133" customFormat="false" ht="15" hidden="false" customHeight="true" outlineLevel="0" collapsed="false">
      <c r="A133" s="11" t="str">
        <f aca="false">IF(원본명단!$A132="","",130)</f>
        <v/>
      </c>
      <c r="B133" s="12" t="str">
        <f aca="false">IF($A133="","",원본명단!$A132)</f>
        <v/>
      </c>
      <c r="C133" s="12" t="str">
        <f aca="false">IF($A133="","",원본명단!$B132)</f>
        <v/>
      </c>
      <c r="D133" s="12" t="str">
        <f aca="false">IF($A133="","",원본명단!$D132)</f>
        <v/>
      </c>
      <c r="E133" s="11" t="str">
        <f aca="false">IF($A133="","",IF(원본명단!$H132="",0,COUNTIF(원본명단!$H$3:$H$6002,원본명단!$H132)))</f>
        <v/>
      </c>
      <c r="F133" s="11" t="str">
        <f aca="false">IF($A133="","",IF(원본명단!$I132="",0,COUNTIF(원본명단!$I$3:$I$6002,원본명단!$I132)))</f>
        <v/>
      </c>
      <c r="G133" s="11" t="str">
        <f aca="false">IF($A133="","",IF(원본명단!$K132="",0,COUNTIF(원본명단!$K$3:$K$6002,원본명단!$K132)))</f>
        <v/>
      </c>
      <c r="H133" s="11" t="str">
        <f aca="false">IF($A133="","",IF(MAX($E133,$F133,$G133)&gt;1,"중복","-"))</f>
        <v/>
      </c>
      <c r="I133" s="11" t="str">
        <f aca="false">IF($A133="","",IF($H133="-","-",IF(AND(IF(원본명단!$H132="",TRUE(),COUNTIF(원본명단!$H$3:$H132,원본명단!$H132)=1),IF(원본명단!$I132="",TRUE(),COUNTIF(원본명단!$I$3:$I132,원본명단!$I132)=1),IF(원본명단!$K132="",TRUE(),COUNTIF(원본명단!$K$3:$K132,원본명단!$K132)=1)),"첫 건","중복 건")))</f>
        <v/>
      </c>
      <c r="J133" s="11" t="str">
        <f aca="false">IF($A133="","",IF($H133="-","유지",IF($I133="첫 건","유지","확인 필요")))</f>
        <v/>
      </c>
    </row>
    <row r="134" customFormat="false" ht="15" hidden="false" customHeight="true" outlineLevel="0" collapsed="false">
      <c r="A134" s="11" t="str">
        <f aca="false">IF(원본명단!$A133="","",131)</f>
        <v/>
      </c>
      <c r="B134" s="12" t="str">
        <f aca="false">IF($A134="","",원본명단!$A133)</f>
        <v/>
      </c>
      <c r="C134" s="12" t="str">
        <f aca="false">IF($A134="","",원본명단!$B133)</f>
        <v/>
      </c>
      <c r="D134" s="12" t="str">
        <f aca="false">IF($A134="","",원본명단!$D133)</f>
        <v/>
      </c>
      <c r="E134" s="11" t="str">
        <f aca="false">IF($A134="","",IF(원본명단!$H133="",0,COUNTIF(원본명단!$H$3:$H$6002,원본명단!$H133)))</f>
        <v/>
      </c>
      <c r="F134" s="11" t="str">
        <f aca="false">IF($A134="","",IF(원본명단!$I133="",0,COUNTIF(원본명단!$I$3:$I$6002,원본명단!$I133)))</f>
        <v/>
      </c>
      <c r="G134" s="11" t="str">
        <f aca="false">IF($A134="","",IF(원본명단!$K133="",0,COUNTIF(원본명단!$K$3:$K$6002,원본명단!$K133)))</f>
        <v/>
      </c>
      <c r="H134" s="11" t="str">
        <f aca="false">IF($A134="","",IF(MAX($E134,$F134,$G134)&gt;1,"중복","-"))</f>
        <v/>
      </c>
      <c r="I134" s="11" t="str">
        <f aca="false">IF($A134="","",IF($H134="-","-",IF(AND(IF(원본명단!$H133="",TRUE(),COUNTIF(원본명단!$H$3:$H133,원본명단!$H133)=1),IF(원본명단!$I133="",TRUE(),COUNTIF(원본명단!$I$3:$I133,원본명단!$I133)=1),IF(원본명단!$K133="",TRUE(),COUNTIF(원본명단!$K$3:$K133,원본명단!$K133)=1)),"첫 건","중복 건")))</f>
        <v/>
      </c>
      <c r="J134" s="11" t="str">
        <f aca="false">IF($A134="","",IF($H134="-","유지",IF($I134="첫 건","유지","확인 필요")))</f>
        <v/>
      </c>
    </row>
    <row r="135" customFormat="false" ht="15" hidden="false" customHeight="true" outlineLevel="0" collapsed="false">
      <c r="A135" s="11" t="str">
        <f aca="false">IF(원본명단!$A134="","",132)</f>
        <v/>
      </c>
      <c r="B135" s="12" t="str">
        <f aca="false">IF($A135="","",원본명단!$A134)</f>
        <v/>
      </c>
      <c r="C135" s="12" t="str">
        <f aca="false">IF($A135="","",원본명단!$B134)</f>
        <v/>
      </c>
      <c r="D135" s="12" t="str">
        <f aca="false">IF($A135="","",원본명단!$D134)</f>
        <v/>
      </c>
      <c r="E135" s="11" t="str">
        <f aca="false">IF($A135="","",IF(원본명단!$H134="",0,COUNTIF(원본명단!$H$3:$H$6002,원본명단!$H134)))</f>
        <v/>
      </c>
      <c r="F135" s="11" t="str">
        <f aca="false">IF($A135="","",IF(원본명단!$I134="",0,COUNTIF(원본명단!$I$3:$I$6002,원본명단!$I134)))</f>
        <v/>
      </c>
      <c r="G135" s="11" t="str">
        <f aca="false">IF($A135="","",IF(원본명단!$K134="",0,COUNTIF(원본명단!$K$3:$K$6002,원본명단!$K134)))</f>
        <v/>
      </c>
      <c r="H135" s="11" t="str">
        <f aca="false">IF($A135="","",IF(MAX($E135,$F135,$G135)&gt;1,"중복","-"))</f>
        <v/>
      </c>
      <c r="I135" s="11" t="str">
        <f aca="false">IF($A135="","",IF($H135="-","-",IF(AND(IF(원본명단!$H134="",TRUE(),COUNTIF(원본명단!$H$3:$H134,원본명단!$H134)=1),IF(원본명단!$I134="",TRUE(),COUNTIF(원본명단!$I$3:$I134,원본명단!$I134)=1),IF(원본명단!$K134="",TRUE(),COUNTIF(원본명단!$K$3:$K134,원본명단!$K134)=1)),"첫 건","중복 건")))</f>
        <v/>
      </c>
      <c r="J135" s="11" t="str">
        <f aca="false">IF($A135="","",IF($H135="-","유지",IF($I135="첫 건","유지","확인 필요")))</f>
        <v/>
      </c>
    </row>
    <row r="136" customFormat="false" ht="15" hidden="false" customHeight="true" outlineLevel="0" collapsed="false">
      <c r="A136" s="11" t="str">
        <f aca="false">IF(원본명단!$A135="","",133)</f>
        <v/>
      </c>
      <c r="B136" s="12" t="str">
        <f aca="false">IF($A136="","",원본명단!$A135)</f>
        <v/>
      </c>
      <c r="C136" s="12" t="str">
        <f aca="false">IF($A136="","",원본명단!$B135)</f>
        <v/>
      </c>
      <c r="D136" s="12" t="str">
        <f aca="false">IF($A136="","",원본명단!$D135)</f>
        <v/>
      </c>
      <c r="E136" s="11" t="str">
        <f aca="false">IF($A136="","",IF(원본명단!$H135="",0,COUNTIF(원본명단!$H$3:$H$6002,원본명단!$H135)))</f>
        <v/>
      </c>
      <c r="F136" s="11" t="str">
        <f aca="false">IF($A136="","",IF(원본명단!$I135="",0,COUNTIF(원본명단!$I$3:$I$6002,원본명단!$I135)))</f>
        <v/>
      </c>
      <c r="G136" s="11" t="str">
        <f aca="false">IF($A136="","",IF(원본명단!$K135="",0,COUNTIF(원본명단!$K$3:$K$6002,원본명단!$K135)))</f>
        <v/>
      </c>
      <c r="H136" s="11" t="str">
        <f aca="false">IF($A136="","",IF(MAX($E136,$F136,$G136)&gt;1,"중복","-"))</f>
        <v/>
      </c>
      <c r="I136" s="11" t="str">
        <f aca="false">IF($A136="","",IF($H136="-","-",IF(AND(IF(원본명단!$H135="",TRUE(),COUNTIF(원본명단!$H$3:$H135,원본명단!$H135)=1),IF(원본명단!$I135="",TRUE(),COUNTIF(원본명단!$I$3:$I135,원본명단!$I135)=1),IF(원본명단!$K135="",TRUE(),COUNTIF(원본명단!$K$3:$K135,원본명단!$K135)=1)),"첫 건","중복 건")))</f>
        <v/>
      </c>
      <c r="J136" s="11" t="str">
        <f aca="false">IF($A136="","",IF($H136="-","유지",IF($I136="첫 건","유지","확인 필요")))</f>
        <v/>
      </c>
    </row>
    <row r="137" customFormat="false" ht="15" hidden="false" customHeight="true" outlineLevel="0" collapsed="false">
      <c r="A137" s="11" t="str">
        <f aca="false">IF(원본명단!$A136="","",134)</f>
        <v/>
      </c>
      <c r="B137" s="12" t="str">
        <f aca="false">IF($A137="","",원본명단!$A136)</f>
        <v/>
      </c>
      <c r="C137" s="12" t="str">
        <f aca="false">IF($A137="","",원본명단!$B136)</f>
        <v/>
      </c>
      <c r="D137" s="12" t="str">
        <f aca="false">IF($A137="","",원본명단!$D136)</f>
        <v/>
      </c>
      <c r="E137" s="11" t="str">
        <f aca="false">IF($A137="","",IF(원본명단!$H136="",0,COUNTIF(원본명단!$H$3:$H$6002,원본명단!$H136)))</f>
        <v/>
      </c>
      <c r="F137" s="11" t="str">
        <f aca="false">IF($A137="","",IF(원본명단!$I136="",0,COUNTIF(원본명단!$I$3:$I$6002,원본명단!$I136)))</f>
        <v/>
      </c>
      <c r="G137" s="11" t="str">
        <f aca="false">IF($A137="","",IF(원본명단!$K136="",0,COUNTIF(원본명단!$K$3:$K$6002,원본명단!$K136)))</f>
        <v/>
      </c>
      <c r="H137" s="11" t="str">
        <f aca="false">IF($A137="","",IF(MAX($E137,$F137,$G137)&gt;1,"중복","-"))</f>
        <v/>
      </c>
      <c r="I137" s="11" t="str">
        <f aca="false">IF($A137="","",IF($H137="-","-",IF(AND(IF(원본명단!$H136="",TRUE(),COUNTIF(원본명단!$H$3:$H136,원본명단!$H136)=1),IF(원본명단!$I136="",TRUE(),COUNTIF(원본명단!$I$3:$I136,원본명단!$I136)=1),IF(원본명단!$K136="",TRUE(),COUNTIF(원본명단!$K$3:$K136,원본명단!$K136)=1)),"첫 건","중복 건")))</f>
        <v/>
      </c>
      <c r="J137" s="11" t="str">
        <f aca="false">IF($A137="","",IF($H137="-","유지",IF($I137="첫 건","유지","확인 필요")))</f>
        <v/>
      </c>
    </row>
    <row r="138" customFormat="false" ht="15" hidden="false" customHeight="true" outlineLevel="0" collapsed="false">
      <c r="A138" s="11" t="str">
        <f aca="false">IF(원본명단!$A137="","",135)</f>
        <v/>
      </c>
      <c r="B138" s="12" t="str">
        <f aca="false">IF($A138="","",원본명단!$A137)</f>
        <v/>
      </c>
      <c r="C138" s="12" t="str">
        <f aca="false">IF($A138="","",원본명단!$B137)</f>
        <v/>
      </c>
      <c r="D138" s="12" t="str">
        <f aca="false">IF($A138="","",원본명단!$D137)</f>
        <v/>
      </c>
      <c r="E138" s="11" t="str">
        <f aca="false">IF($A138="","",IF(원본명단!$H137="",0,COUNTIF(원본명단!$H$3:$H$6002,원본명단!$H137)))</f>
        <v/>
      </c>
      <c r="F138" s="11" t="str">
        <f aca="false">IF($A138="","",IF(원본명단!$I137="",0,COUNTIF(원본명단!$I$3:$I$6002,원본명단!$I137)))</f>
        <v/>
      </c>
      <c r="G138" s="11" t="str">
        <f aca="false">IF($A138="","",IF(원본명단!$K137="",0,COUNTIF(원본명단!$K$3:$K$6002,원본명단!$K137)))</f>
        <v/>
      </c>
      <c r="H138" s="11" t="str">
        <f aca="false">IF($A138="","",IF(MAX($E138,$F138,$G138)&gt;1,"중복","-"))</f>
        <v/>
      </c>
      <c r="I138" s="11" t="str">
        <f aca="false">IF($A138="","",IF($H138="-","-",IF(AND(IF(원본명단!$H137="",TRUE(),COUNTIF(원본명단!$H$3:$H137,원본명단!$H137)=1),IF(원본명단!$I137="",TRUE(),COUNTIF(원본명단!$I$3:$I137,원본명단!$I137)=1),IF(원본명단!$K137="",TRUE(),COUNTIF(원본명단!$K$3:$K137,원본명단!$K137)=1)),"첫 건","중복 건")))</f>
        <v/>
      </c>
      <c r="J138" s="11" t="str">
        <f aca="false">IF($A138="","",IF($H138="-","유지",IF($I138="첫 건","유지","확인 필요")))</f>
        <v/>
      </c>
    </row>
    <row r="139" customFormat="false" ht="15" hidden="false" customHeight="true" outlineLevel="0" collapsed="false">
      <c r="A139" s="11" t="str">
        <f aca="false">IF(원본명단!$A138="","",136)</f>
        <v/>
      </c>
      <c r="B139" s="12" t="str">
        <f aca="false">IF($A139="","",원본명단!$A138)</f>
        <v/>
      </c>
      <c r="C139" s="12" t="str">
        <f aca="false">IF($A139="","",원본명단!$B138)</f>
        <v/>
      </c>
      <c r="D139" s="12" t="str">
        <f aca="false">IF($A139="","",원본명단!$D138)</f>
        <v/>
      </c>
      <c r="E139" s="11" t="str">
        <f aca="false">IF($A139="","",IF(원본명단!$H138="",0,COUNTIF(원본명단!$H$3:$H$6002,원본명단!$H138)))</f>
        <v/>
      </c>
      <c r="F139" s="11" t="str">
        <f aca="false">IF($A139="","",IF(원본명단!$I138="",0,COUNTIF(원본명단!$I$3:$I$6002,원본명단!$I138)))</f>
        <v/>
      </c>
      <c r="G139" s="11" t="str">
        <f aca="false">IF($A139="","",IF(원본명단!$K138="",0,COUNTIF(원본명단!$K$3:$K$6002,원본명단!$K138)))</f>
        <v/>
      </c>
      <c r="H139" s="11" t="str">
        <f aca="false">IF($A139="","",IF(MAX($E139,$F139,$G139)&gt;1,"중복","-"))</f>
        <v/>
      </c>
      <c r="I139" s="11" t="str">
        <f aca="false">IF($A139="","",IF($H139="-","-",IF(AND(IF(원본명단!$H138="",TRUE(),COUNTIF(원본명단!$H$3:$H138,원본명단!$H138)=1),IF(원본명단!$I138="",TRUE(),COUNTIF(원본명단!$I$3:$I138,원본명단!$I138)=1),IF(원본명단!$K138="",TRUE(),COUNTIF(원본명단!$K$3:$K138,원본명단!$K138)=1)),"첫 건","중복 건")))</f>
        <v/>
      </c>
      <c r="J139" s="11" t="str">
        <f aca="false">IF($A139="","",IF($H139="-","유지",IF($I139="첫 건","유지","확인 필요")))</f>
        <v/>
      </c>
    </row>
    <row r="140" customFormat="false" ht="15" hidden="false" customHeight="true" outlineLevel="0" collapsed="false">
      <c r="A140" s="11" t="str">
        <f aca="false">IF(원본명단!$A139="","",137)</f>
        <v/>
      </c>
      <c r="B140" s="12" t="str">
        <f aca="false">IF($A140="","",원본명단!$A139)</f>
        <v/>
      </c>
      <c r="C140" s="12" t="str">
        <f aca="false">IF($A140="","",원본명단!$B139)</f>
        <v/>
      </c>
      <c r="D140" s="12" t="str">
        <f aca="false">IF($A140="","",원본명단!$D139)</f>
        <v/>
      </c>
      <c r="E140" s="11" t="str">
        <f aca="false">IF($A140="","",IF(원본명단!$H139="",0,COUNTIF(원본명단!$H$3:$H$6002,원본명단!$H139)))</f>
        <v/>
      </c>
      <c r="F140" s="11" t="str">
        <f aca="false">IF($A140="","",IF(원본명단!$I139="",0,COUNTIF(원본명단!$I$3:$I$6002,원본명단!$I139)))</f>
        <v/>
      </c>
      <c r="G140" s="11" t="str">
        <f aca="false">IF($A140="","",IF(원본명단!$K139="",0,COUNTIF(원본명단!$K$3:$K$6002,원본명단!$K139)))</f>
        <v/>
      </c>
      <c r="H140" s="11" t="str">
        <f aca="false">IF($A140="","",IF(MAX($E140,$F140,$G140)&gt;1,"중복","-"))</f>
        <v/>
      </c>
      <c r="I140" s="11" t="str">
        <f aca="false">IF($A140="","",IF($H140="-","-",IF(AND(IF(원본명단!$H139="",TRUE(),COUNTIF(원본명단!$H$3:$H139,원본명단!$H139)=1),IF(원본명단!$I139="",TRUE(),COUNTIF(원본명단!$I$3:$I139,원본명단!$I139)=1),IF(원본명단!$K139="",TRUE(),COUNTIF(원본명단!$K$3:$K139,원본명단!$K139)=1)),"첫 건","중복 건")))</f>
        <v/>
      </c>
      <c r="J140" s="11" t="str">
        <f aca="false">IF($A140="","",IF($H140="-","유지",IF($I140="첫 건","유지","확인 필요")))</f>
        <v/>
      </c>
    </row>
    <row r="141" customFormat="false" ht="15" hidden="false" customHeight="true" outlineLevel="0" collapsed="false">
      <c r="A141" s="11" t="str">
        <f aca="false">IF(원본명단!$A140="","",138)</f>
        <v/>
      </c>
      <c r="B141" s="12" t="str">
        <f aca="false">IF($A141="","",원본명단!$A140)</f>
        <v/>
      </c>
      <c r="C141" s="12" t="str">
        <f aca="false">IF($A141="","",원본명단!$B140)</f>
        <v/>
      </c>
      <c r="D141" s="12" t="str">
        <f aca="false">IF($A141="","",원본명단!$D140)</f>
        <v/>
      </c>
      <c r="E141" s="11" t="str">
        <f aca="false">IF($A141="","",IF(원본명단!$H140="",0,COUNTIF(원본명단!$H$3:$H$6002,원본명단!$H140)))</f>
        <v/>
      </c>
      <c r="F141" s="11" t="str">
        <f aca="false">IF($A141="","",IF(원본명단!$I140="",0,COUNTIF(원본명단!$I$3:$I$6002,원본명단!$I140)))</f>
        <v/>
      </c>
      <c r="G141" s="11" t="str">
        <f aca="false">IF($A141="","",IF(원본명단!$K140="",0,COUNTIF(원본명단!$K$3:$K$6002,원본명단!$K140)))</f>
        <v/>
      </c>
      <c r="H141" s="11" t="str">
        <f aca="false">IF($A141="","",IF(MAX($E141,$F141,$G141)&gt;1,"중복","-"))</f>
        <v/>
      </c>
      <c r="I141" s="11" t="str">
        <f aca="false">IF($A141="","",IF($H141="-","-",IF(AND(IF(원본명단!$H140="",TRUE(),COUNTIF(원본명단!$H$3:$H140,원본명단!$H140)=1),IF(원본명단!$I140="",TRUE(),COUNTIF(원본명단!$I$3:$I140,원본명단!$I140)=1),IF(원본명단!$K140="",TRUE(),COUNTIF(원본명단!$K$3:$K140,원본명단!$K140)=1)),"첫 건","중복 건")))</f>
        <v/>
      </c>
      <c r="J141" s="11" t="str">
        <f aca="false">IF($A141="","",IF($H141="-","유지",IF($I141="첫 건","유지","확인 필요")))</f>
        <v/>
      </c>
    </row>
    <row r="142" customFormat="false" ht="15" hidden="false" customHeight="true" outlineLevel="0" collapsed="false">
      <c r="A142" s="11" t="str">
        <f aca="false">IF(원본명단!$A141="","",139)</f>
        <v/>
      </c>
      <c r="B142" s="12" t="str">
        <f aca="false">IF($A142="","",원본명단!$A141)</f>
        <v/>
      </c>
      <c r="C142" s="12" t="str">
        <f aca="false">IF($A142="","",원본명단!$B141)</f>
        <v/>
      </c>
      <c r="D142" s="12" t="str">
        <f aca="false">IF($A142="","",원본명단!$D141)</f>
        <v/>
      </c>
      <c r="E142" s="11" t="str">
        <f aca="false">IF($A142="","",IF(원본명단!$H141="",0,COUNTIF(원본명단!$H$3:$H$6002,원본명단!$H141)))</f>
        <v/>
      </c>
      <c r="F142" s="11" t="str">
        <f aca="false">IF($A142="","",IF(원본명단!$I141="",0,COUNTIF(원본명단!$I$3:$I$6002,원본명단!$I141)))</f>
        <v/>
      </c>
      <c r="G142" s="11" t="str">
        <f aca="false">IF($A142="","",IF(원본명단!$K141="",0,COUNTIF(원본명단!$K$3:$K$6002,원본명단!$K141)))</f>
        <v/>
      </c>
      <c r="H142" s="11" t="str">
        <f aca="false">IF($A142="","",IF(MAX($E142,$F142,$G142)&gt;1,"중복","-"))</f>
        <v/>
      </c>
      <c r="I142" s="11" t="str">
        <f aca="false">IF($A142="","",IF($H142="-","-",IF(AND(IF(원본명단!$H141="",TRUE(),COUNTIF(원본명단!$H$3:$H141,원본명단!$H141)=1),IF(원본명단!$I141="",TRUE(),COUNTIF(원본명단!$I$3:$I141,원본명단!$I141)=1),IF(원본명단!$K141="",TRUE(),COUNTIF(원본명단!$K$3:$K141,원본명단!$K141)=1)),"첫 건","중복 건")))</f>
        <v/>
      </c>
      <c r="J142" s="11" t="str">
        <f aca="false">IF($A142="","",IF($H142="-","유지",IF($I142="첫 건","유지","확인 필요")))</f>
        <v/>
      </c>
    </row>
    <row r="143" customFormat="false" ht="15" hidden="false" customHeight="true" outlineLevel="0" collapsed="false">
      <c r="A143" s="11" t="str">
        <f aca="false">IF(원본명단!$A142="","",140)</f>
        <v/>
      </c>
      <c r="B143" s="12" t="str">
        <f aca="false">IF($A143="","",원본명단!$A142)</f>
        <v/>
      </c>
      <c r="C143" s="12" t="str">
        <f aca="false">IF($A143="","",원본명단!$B142)</f>
        <v/>
      </c>
      <c r="D143" s="12" t="str">
        <f aca="false">IF($A143="","",원본명단!$D142)</f>
        <v/>
      </c>
      <c r="E143" s="11" t="str">
        <f aca="false">IF($A143="","",IF(원본명단!$H142="",0,COUNTIF(원본명단!$H$3:$H$6002,원본명단!$H142)))</f>
        <v/>
      </c>
      <c r="F143" s="11" t="str">
        <f aca="false">IF($A143="","",IF(원본명단!$I142="",0,COUNTIF(원본명단!$I$3:$I$6002,원본명단!$I142)))</f>
        <v/>
      </c>
      <c r="G143" s="11" t="str">
        <f aca="false">IF($A143="","",IF(원본명단!$K142="",0,COUNTIF(원본명단!$K$3:$K$6002,원본명단!$K142)))</f>
        <v/>
      </c>
      <c r="H143" s="11" t="str">
        <f aca="false">IF($A143="","",IF(MAX($E143,$F143,$G143)&gt;1,"중복","-"))</f>
        <v/>
      </c>
      <c r="I143" s="11" t="str">
        <f aca="false">IF($A143="","",IF($H143="-","-",IF(AND(IF(원본명단!$H142="",TRUE(),COUNTIF(원본명단!$H$3:$H142,원본명단!$H142)=1),IF(원본명단!$I142="",TRUE(),COUNTIF(원본명단!$I$3:$I142,원본명단!$I142)=1),IF(원본명단!$K142="",TRUE(),COUNTIF(원본명단!$K$3:$K142,원본명단!$K142)=1)),"첫 건","중복 건")))</f>
        <v/>
      </c>
      <c r="J143" s="11" t="str">
        <f aca="false">IF($A143="","",IF($H143="-","유지",IF($I143="첫 건","유지","확인 필요")))</f>
        <v/>
      </c>
    </row>
    <row r="144" customFormat="false" ht="15" hidden="false" customHeight="true" outlineLevel="0" collapsed="false">
      <c r="A144" s="11" t="str">
        <f aca="false">IF(원본명단!$A143="","",141)</f>
        <v/>
      </c>
      <c r="B144" s="12" t="str">
        <f aca="false">IF($A144="","",원본명단!$A143)</f>
        <v/>
      </c>
      <c r="C144" s="12" t="str">
        <f aca="false">IF($A144="","",원본명단!$B143)</f>
        <v/>
      </c>
      <c r="D144" s="12" t="str">
        <f aca="false">IF($A144="","",원본명단!$D143)</f>
        <v/>
      </c>
      <c r="E144" s="11" t="str">
        <f aca="false">IF($A144="","",IF(원본명단!$H143="",0,COUNTIF(원본명단!$H$3:$H$6002,원본명단!$H143)))</f>
        <v/>
      </c>
      <c r="F144" s="11" t="str">
        <f aca="false">IF($A144="","",IF(원본명단!$I143="",0,COUNTIF(원본명단!$I$3:$I$6002,원본명단!$I143)))</f>
        <v/>
      </c>
      <c r="G144" s="11" t="str">
        <f aca="false">IF($A144="","",IF(원본명단!$K143="",0,COUNTIF(원본명단!$K$3:$K$6002,원본명단!$K143)))</f>
        <v/>
      </c>
      <c r="H144" s="11" t="str">
        <f aca="false">IF($A144="","",IF(MAX($E144,$F144,$G144)&gt;1,"중복","-"))</f>
        <v/>
      </c>
      <c r="I144" s="11" t="str">
        <f aca="false">IF($A144="","",IF($H144="-","-",IF(AND(IF(원본명단!$H143="",TRUE(),COUNTIF(원본명단!$H$3:$H143,원본명단!$H143)=1),IF(원본명단!$I143="",TRUE(),COUNTIF(원본명단!$I$3:$I143,원본명단!$I143)=1),IF(원본명단!$K143="",TRUE(),COUNTIF(원본명단!$K$3:$K143,원본명단!$K143)=1)),"첫 건","중복 건")))</f>
        <v/>
      </c>
      <c r="J144" s="11" t="str">
        <f aca="false">IF($A144="","",IF($H144="-","유지",IF($I144="첫 건","유지","확인 필요")))</f>
        <v/>
      </c>
    </row>
    <row r="145" customFormat="false" ht="15" hidden="false" customHeight="true" outlineLevel="0" collapsed="false">
      <c r="A145" s="11" t="str">
        <f aca="false">IF(원본명단!$A144="","",142)</f>
        <v/>
      </c>
      <c r="B145" s="12" t="str">
        <f aca="false">IF($A145="","",원본명단!$A144)</f>
        <v/>
      </c>
      <c r="C145" s="12" t="str">
        <f aca="false">IF($A145="","",원본명단!$B144)</f>
        <v/>
      </c>
      <c r="D145" s="12" t="str">
        <f aca="false">IF($A145="","",원본명단!$D144)</f>
        <v/>
      </c>
      <c r="E145" s="11" t="str">
        <f aca="false">IF($A145="","",IF(원본명단!$H144="",0,COUNTIF(원본명단!$H$3:$H$6002,원본명단!$H144)))</f>
        <v/>
      </c>
      <c r="F145" s="11" t="str">
        <f aca="false">IF($A145="","",IF(원본명단!$I144="",0,COUNTIF(원본명단!$I$3:$I$6002,원본명단!$I144)))</f>
        <v/>
      </c>
      <c r="G145" s="11" t="str">
        <f aca="false">IF($A145="","",IF(원본명단!$K144="",0,COUNTIF(원본명단!$K$3:$K$6002,원본명단!$K144)))</f>
        <v/>
      </c>
      <c r="H145" s="11" t="str">
        <f aca="false">IF($A145="","",IF(MAX($E145,$F145,$G145)&gt;1,"중복","-"))</f>
        <v/>
      </c>
      <c r="I145" s="11" t="str">
        <f aca="false">IF($A145="","",IF($H145="-","-",IF(AND(IF(원본명단!$H144="",TRUE(),COUNTIF(원본명단!$H$3:$H144,원본명단!$H144)=1),IF(원본명단!$I144="",TRUE(),COUNTIF(원본명단!$I$3:$I144,원본명단!$I144)=1),IF(원본명단!$K144="",TRUE(),COUNTIF(원본명단!$K$3:$K144,원본명단!$K144)=1)),"첫 건","중복 건")))</f>
        <v/>
      </c>
      <c r="J145" s="11" t="str">
        <f aca="false">IF($A145="","",IF($H145="-","유지",IF($I145="첫 건","유지","확인 필요")))</f>
        <v/>
      </c>
    </row>
    <row r="146" customFormat="false" ht="15" hidden="false" customHeight="true" outlineLevel="0" collapsed="false">
      <c r="A146" s="11" t="str">
        <f aca="false">IF(원본명단!$A145="","",143)</f>
        <v/>
      </c>
      <c r="B146" s="12" t="str">
        <f aca="false">IF($A146="","",원본명단!$A145)</f>
        <v/>
      </c>
      <c r="C146" s="12" t="str">
        <f aca="false">IF($A146="","",원본명단!$B145)</f>
        <v/>
      </c>
      <c r="D146" s="12" t="str">
        <f aca="false">IF($A146="","",원본명단!$D145)</f>
        <v/>
      </c>
      <c r="E146" s="11" t="str">
        <f aca="false">IF($A146="","",IF(원본명단!$H145="",0,COUNTIF(원본명단!$H$3:$H$6002,원본명단!$H145)))</f>
        <v/>
      </c>
      <c r="F146" s="11" t="str">
        <f aca="false">IF($A146="","",IF(원본명단!$I145="",0,COUNTIF(원본명단!$I$3:$I$6002,원본명단!$I145)))</f>
        <v/>
      </c>
      <c r="G146" s="11" t="str">
        <f aca="false">IF($A146="","",IF(원본명단!$K145="",0,COUNTIF(원본명단!$K$3:$K$6002,원본명단!$K145)))</f>
        <v/>
      </c>
      <c r="H146" s="11" t="str">
        <f aca="false">IF($A146="","",IF(MAX($E146,$F146,$G146)&gt;1,"중복","-"))</f>
        <v/>
      </c>
      <c r="I146" s="11" t="str">
        <f aca="false">IF($A146="","",IF($H146="-","-",IF(AND(IF(원본명단!$H145="",TRUE(),COUNTIF(원본명단!$H$3:$H145,원본명단!$H145)=1),IF(원본명단!$I145="",TRUE(),COUNTIF(원본명단!$I$3:$I145,원본명단!$I145)=1),IF(원본명단!$K145="",TRUE(),COUNTIF(원본명단!$K$3:$K145,원본명단!$K145)=1)),"첫 건","중복 건")))</f>
        <v/>
      </c>
      <c r="J146" s="11" t="str">
        <f aca="false">IF($A146="","",IF($H146="-","유지",IF($I146="첫 건","유지","확인 필요")))</f>
        <v/>
      </c>
    </row>
    <row r="147" customFormat="false" ht="15" hidden="false" customHeight="true" outlineLevel="0" collapsed="false">
      <c r="A147" s="11" t="str">
        <f aca="false">IF(원본명단!$A146="","",144)</f>
        <v/>
      </c>
      <c r="B147" s="12" t="str">
        <f aca="false">IF($A147="","",원본명단!$A146)</f>
        <v/>
      </c>
      <c r="C147" s="12" t="str">
        <f aca="false">IF($A147="","",원본명단!$B146)</f>
        <v/>
      </c>
      <c r="D147" s="12" t="str">
        <f aca="false">IF($A147="","",원본명단!$D146)</f>
        <v/>
      </c>
      <c r="E147" s="11" t="str">
        <f aca="false">IF($A147="","",IF(원본명단!$H146="",0,COUNTIF(원본명단!$H$3:$H$6002,원본명단!$H146)))</f>
        <v/>
      </c>
      <c r="F147" s="11" t="str">
        <f aca="false">IF($A147="","",IF(원본명단!$I146="",0,COUNTIF(원본명단!$I$3:$I$6002,원본명단!$I146)))</f>
        <v/>
      </c>
      <c r="G147" s="11" t="str">
        <f aca="false">IF($A147="","",IF(원본명단!$K146="",0,COUNTIF(원본명단!$K$3:$K$6002,원본명단!$K146)))</f>
        <v/>
      </c>
      <c r="H147" s="11" t="str">
        <f aca="false">IF($A147="","",IF(MAX($E147,$F147,$G147)&gt;1,"중복","-"))</f>
        <v/>
      </c>
      <c r="I147" s="11" t="str">
        <f aca="false">IF($A147="","",IF($H147="-","-",IF(AND(IF(원본명단!$H146="",TRUE(),COUNTIF(원본명단!$H$3:$H146,원본명단!$H146)=1),IF(원본명단!$I146="",TRUE(),COUNTIF(원본명단!$I$3:$I146,원본명단!$I146)=1),IF(원본명단!$K146="",TRUE(),COUNTIF(원본명단!$K$3:$K146,원본명단!$K146)=1)),"첫 건","중복 건")))</f>
        <v/>
      </c>
      <c r="J147" s="11" t="str">
        <f aca="false">IF($A147="","",IF($H147="-","유지",IF($I147="첫 건","유지","확인 필요")))</f>
        <v/>
      </c>
    </row>
    <row r="148" customFormat="false" ht="15" hidden="false" customHeight="true" outlineLevel="0" collapsed="false">
      <c r="A148" s="11" t="str">
        <f aca="false">IF(원본명단!$A147="","",145)</f>
        <v/>
      </c>
      <c r="B148" s="12" t="str">
        <f aca="false">IF($A148="","",원본명단!$A147)</f>
        <v/>
      </c>
      <c r="C148" s="12" t="str">
        <f aca="false">IF($A148="","",원본명단!$B147)</f>
        <v/>
      </c>
      <c r="D148" s="12" t="str">
        <f aca="false">IF($A148="","",원본명단!$D147)</f>
        <v/>
      </c>
      <c r="E148" s="11" t="str">
        <f aca="false">IF($A148="","",IF(원본명단!$H147="",0,COUNTIF(원본명단!$H$3:$H$6002,원본명단!$H147)))</f>
        <v/>
      </c>
      <c r="F148" s="11" t="str">
        <f aca="false">IF($A148="","",IF(원본명단!$I147="",0,COUNTIF(원본명단!$I$3:$I$6002,원본명단!$I147)))</f>
        <v/>
      </c>
      <c r="G148" s="11" t="str">
        <f aca="false">IF($A148="","",IF(원본명단!$K147="",0,COUNTIF(원본명단!$K$3:$K$6002,원본명단!$K147)))</f>
        <v/>
      </c>
      <c r="H148" s="11" t="str">
        <f aca="false">IF($A148="","",IF(MAX($E148,$F148,$G148)&gt;1,"중복","-"))</f>
        <v/>
      </c>
      <c r="I148" s="11" t="str">
        <f aca="false">IF($A148="","",IF($H148="-","-",IF(AND(IF(원본명단!$H147="",TRUE(),COUNTIF(원본명단!$H$3:$H147,원본명단!$H147)=1),IF(원본명단!$I147="",TRUE(),COUNTIF(원본명단!$I$3:$I147,원본명단!$I147)=1),IF(원본명단!$K147="",TRUE(),COUNTIF(원본명단!$K$3:$K147,원본명단!$K147)=1)),"첫 건","중복 건")))</f>
        <v/>
      </c>
      <c r="J148" s="11" t="str">
        <f aca="false">IF($A148="","",IF($H148="-","유지",IF($I148="첫 건","유지","확인 필요")))</f>
        <v/>
      </c>
    </row>
    <row r="149" customFormat="false" ht="15" hidden="false" customHeight="true" outlineLevel="0" collapsed="false">
      <c r="A149" s="11" t="str">
        <f aca="false">IF(원본명단!$A148="","",146)</f>
        <v/>
      </c>
      <c r="B149" s="12" t="str">
        <f aca="false">IF($A149="","",원본명단!$A148)</f>
        <v/>
      </c>
      <c r="C149" s="12" t="str">
        <f aca="false">IF($A149="","",원본명단!$B148)</f>
        <v/>
      </c>
      <c r="D149" s="12" t="str">
        <f aca="false">IF($A149="","",원본명단!$D148)</f>
        <v/>
      </c>
      <c r="E149" s="11" t="str">
        <f aca="false">IF($A149="","",IF(원본명단!$H148="",0,COUNTIF(원본명단!$H$3:$H$6002,원본명단!$H148)))</f>
        <v/>
      </c>
      <c r="F149" s="11" t="str">
        <f aca="false">IF($A149="","",IF(원본명단!$I148="",0,COUNTIF(원본명단!$I$3:$I$6002,원본명단!$I148)))</f>
        <v/>
      </c>
      <c r="G149" s="11" t="str">
        <f aca="false">IF($A149="","",IF(원본명단!$K148="",0,COUNTIF(원본명단!$K$3:$K$6002,원본명단!$K148)))</f>
        <v/>
      </c>
      <c r="H149" s="11" t="str">
        <f aca="false">IF($A149="","",IF(MAX($E149,$F149,$G149)&gt;1,"중복","-"))</f>
        <v/>
      </c>
      <c r="I149" s="11" t="str">
        <f aca="false">IF($A149="","",IF($H149="-","-",IF(AND(IF(원본명단!$H148="",TRUE(),COUNTIF(원본명단!$H$3:$H148,원본명단!$H148)=1),IF(원본명단!$I148="",TRUE(),COUNTIF(원본명단!$I$3:$I148,원본명단!$I148)=1),IF(원본명단!$K148="",TRUE(),COUNTIF(원본명단!$K$3:$K148,원본명단!$K148)=1)),"첫 건","중복 건")))</f>
        <v/>
      </c>
      <c r="J149" s="11" t="str">
        <f aca="false">IF($A149="","",IF($H149="-","유지",IF($I149="첫 건","유지","확인 필요")))</f>
        <v/>
      </c>
    </row>
    <row r="150" customFormat="false" ht="15" hidden="false" customHeight="true" outlineLevel="0" collapsed="false">
      <c r="A150" s="11" t="str">
        <f aca="false">IF(원본명단!$A149="","",147)</f>
        <v/>
      </c>
      <c r="B150" s="12" t="str">
        <f aca="false">IF($A150="","",원본명단!$A149)</f>
        <v/>
      </c>
      <c r="C150" s="12" t="str">
        <f aca="false">IF($A150="","",원본명단!$B149)</f>
        <v/>
      </c>
      <c r="D150" s="12" t="str">
        <f aca="false">IF($A150="","",원본명단!$D149)</f>
        <v/>
      </c>
      <c r="E150" s="11" t="str">
        <f aca="false">IF($A150="","",IF(원본명단!$H149="",0,COUNTIF(원본명단!$H$3:$H$6002,원본명단!$H149)))</f>
        <v/>
      </c>
      <c r="F150" s="11" t="str">
        <f aca="false">IF($A150="","",IF(원본명단!$I149="",0,COUNTIF(원본명단!$I$3:$I$6002,원본명단!$I149)))</f>
        <v/>
      </c>
      <c r="G150" s="11" t="str">
        <f aca="false">IF($A150="","",IF(원본명단!$K149="",0,COUNTIF(원본명단!$K$3:$K$6002,원본명단!$K149)))</f>
        <v/>
      </c>
      <c r="H150" s="11" t="str">
        <f aca="false">IF($A150="","",IF(MAX($E150,$F150,$G150)&gt;1,"중복","-"))</f>
        <v/>
      </c>
      <c r="I150" s="11" t="str">
        <f aca="false">IF($A150="","",IF($H150="-","-",IF(AND(IF(원본명단!$H149="",TRUE(),COUNTIF(원본명단!$H$3:$H149,원본명단!$H149)=1),IF(원본명단!$I149="",TRUE(),COUNTIF(원본명단!$I$3:$I149,원본명단!$I149)=1),IF(원본명단!$K149="",TRUE(),COUNTIF(원본명단!$K$3:$K149,원본명단!$K149)=1)),"첫 건","중복 건")))</f>
        <v/>
      </c>
      <c r="J150" s="11" t="str">
        <f aca="false">IF($A150="","",IF($H150="-","유지",IF($I150="첫 건","유지","확인 필요")))</f>
        <v/>
      </c>
    </row>
    <row r="151" customFormat="false" ht="15" hidden="false" customHeight="true" outlineLevel="0" collapsed="false">
      <c r="A151" s="11" t="str">
        <f aca="false">IF(원본명단!$A150="","",148)</f>
        <v/>
      </c>
      <c r="B151" s="12" t="str">
        <f aca="false">IF($A151="","",원본명단!$A150)</f>
        <v/>
      </c>
      <c r="C151" s="12" t="str">
        <f aca="false">IF($A151="","",원본명단!$B150)</f>
        <v/>
      </c>
      <c r="D151" s="12" t="str">
        <f aca="false">IF($A151="","",원본명단!$D150)</f>
        <v/>
      </c>
      <c r="E151" s="11" t="str">
        <f aca="false">IF($A151="","",IF(원본명단!$H150="",0,COUNTIF(원본명단!$H$3:$H$6002,원본명단!$H150)))</f>
        <v/>
      </c>
      <c r="F151" s="11" t="str">
        <f aca="false">IF($A151="","",IF(원본명단!$I150="",0,COUNTIF(원본명단!$I$3:$I$6002,원본명단!$I150)))</f>
        <v/>
      </c>
      <c r="G151" s="11" t="str">
        <f aca="false">IF($A151="","",IF(원본명단!$K150="",0,COUNTIF(원본명단!$K$3:$K$6002,원본명단!$K150)))</f>
        <v/>
      </c>
      <c r="H151" s="11" t="str">
        <f aca="false">IF($A151="","",IF(MAX($E151,$F151,$G151)&gt;1,"중복","-"))</f>
        <v/>
      </c>
      <c r="I151" s="11" t="str">
        <f aca="false">IF($A151="","",IF($H151="-","-",IF(AND(IF(원본명단!$H150="",TRUE(),COUNTIF(원본명단!$H$3:$H150,원본명단!$H150)=1),IF(원본명단!$I150="",TRUE(),COUNTIF(원본명단!$I$3:$I150,원본명단!$I150)=1),IF(원본명단!$K150="",TRUE(),COUNTIF(원본명단!$K$3:$K150,원본명단!$K150)=1)),"첫 건","중복 건")))</f>
        <v/>
      </c>
      <c r="J151" s="11" t="str">
        <f aca="false">IF($A151="","",IF($H151="-","유지",IF($I151="첫 건","유지","확인 필요")))</f>
        <v/>
      </c>
    </row>
    <row r="152" customFormat="false" ht="15" hidden="false" customHeight="true" outlineLevel="0" collapsed="false">
      <c r="A152" s="11" t="str">
        <f aca="false">IF(원본명단!$A151="","",149)</f>
        <v/>
      </c>
      <c r="B152" s="12" t="str">
        <f aca="false">IF($A152="","",원본명단!$A151)</f>
        <v/>
      </c>
      <c r="C152" s="12" t="str">
        <f aca="false">IF($A152="","",원본명단!$B151)</f>
        <v/>
      </c>
      <c r="D152" s="12" t="str">
        <f aca="false">IF($A152="","",원본명단!$D151)</f>
        <v/>
      </c>
      <c r="E152" s="11" t="str">
        <f aca="false">IF($A152="","",IF(원본명단!$H151="",0,COUNTIF(원본명단!$H$3:$H$6002,원본명단!$H151)))</f>
        <v/>
      </c>
      <c r="F152" s="11" t="str">
        <f aca="false">IF($A152="","",IF(원본명단!$I151="",0,COUNTIF(원본명단!$I$3:$I$6002,원본명단!$I151)))</f>
        <v/>
      </c>
      <c r="G152" s="11" t="str">
        <f aca="false">IF($A152="","",IF(원본명단!$K151="",0,COUNTIF(원본명단!$K$3:$K$6002,원본명단!$K151)))</f>
        <v/>
      </c>
      <c r="H152" s="11" t="str">
        <f aca="false">IF($A152="","",IF(MAX($E152,$F152,$G152)&gt;1,"중복","-"))</f>
        <v/>
      </c>
      <c r="I152" s="11" t="str">
        <f aca="false">IF($A152="","",IF($H152="-","-",IF(AND(IF(원본명단!$H151="",TRUE(),COUNTIF(원본명단!$H$3:$H151,원본명단!$H151)=1),IF(원본명단!$I151="",TRUE(),COUNTIF(원본명단!$I$3:$I151,원본명단!$I151)=1),IF(원본명단!$K151="",TRUE(),COUNTIF(원본명단!$K$3:$K151,원본명단!$K151)=1)),"첫 건","중복 건")))</f>
        <v/>
      </c>
      <c r="J152" s="11" t="str">
        <f aca="false">IF($A152="","",IF($H152="-","유지",IF($I152="첫 건","유지","확인 필요")))</f>
        <v/>
      </c>
    </row>
    <row r="153" customFormat="false" ht="15" hidden="false" customHeight="true" outlineLevel="0" collapsed="false">
      <c r="A153" s="11" t="str">
        <f aca="false">IF(원본명단!$A152="","",150)</f>
        <v/>
      </c>
      <c r="B153" s="12" t="str">
        <f aca="false">IF($A153="","",원본명단!$A152)</f>
        <v/>
      </c>
      <c r="C153" s="12" t="str">
        <f aca="false">IF($A153="","",원본명단!$B152)</f>
        <v/>
      </c>
      <c r="D153" s="12" t="str">
        <f aca="false">IF($A153="","",원본명단!$D152)</f>
        <v/>
      </c>
      <c r="E153" s="11" t="str">
        <f aca="false">IF($A153="","",IF(원본명단!$H152="",0,COUNTIF(원본명단!$H$3:$H$6002,원본명단!$H152)))</f>
        <v/>
      </c>
      <c r="F153" s="11" t="str">
        <f aca="false">IF($A153="","",IF(원본명단!$I152="",0,COUNTIF(원본명단!$I$3:$I$6002,원본명단!$I152)))</f>
        <v/>
      </c>
      <c r="G153" s="11" t="str">
        <f aca="false">IF($A153="","",IF(원본명단!$K152="",0,COUNTIF(원본명단!$K$3:$K$6002,원본명단!$K152)))</f>
        <v/>
      </c>
      <c r="H153" s="11" t="str">
        <f aca="false">IF($A153="","",IF(MAX($E153,$F153,$G153)&gt;1,"중복","-"))</f>
        <v/>
      </c>
      <c r="I153" s="11" t="str">
        <f aca="false">IF($A153="","",IF($H153="-","-",IF(AND(IF(원본명단!$H152="",TRUE(),COUNTIF(원본명단!$H$3:$H152,원본명단!$H152)=1),IF(원본명단!$I152="",TRUE(),COUNTIF(원본명단!$I$3:$I152,원본명단!$I152)=1),IF(원본명단!$K152="",TRUE(),COUNTIF(원본명단!$K$3:$K152,원본명단!$K152)=1)),"첫 건","중복 건")))</f>
        <v/>
      </c>
      <c r="J153" s="11" t="str">
        <f aca="false">IF($A153="","",IF($H153="-","유지",IF($I153="첫 건","유지","확인 필요")))</f>
        <v/>
      </c>
    </row>
    <row r="154" customFormat="false" ht="15" hidden="false" customHeight="true" outlineLevel="0" collapsed="false">
      <c r="A154" s="11" t="str">
        <f aca="false">IF(원본명단!$A153="","",151)</f>
        <v/>
      </c>
      <c r="B154" s="12" t="str">
        <f aca="false">IF($A154="","",원본명단!$A153)</f>
        <v/>
      </c>
      <c r="C154" s="12" t="str">
        <f aca="false">IF($A154="","",원본명단!$B153)</f>
        <v/>
      </c>
      <c r="D154" s="12" t="str">
        <f aca="false">IF($A154="","",원본명단!$D153)</f>
        <v/>
      </c>
      <c r="E154" s="11" t="str">
        <f aca="false">IF($A154="","",IF(원본명단!$H153="",0,COUNTIF(원본명단!$H$3:$H$6002,원본명단!$H153)))</f>
        <v/>
      </c>
      <c r="F154" s="11" t="str">
        <f aca="false">IF($A154="","",IF(원본명단!$I153="",0,COUNTIF(원본명단!$I$3:$I$6002,원본명단!$I153)))</f>
        <v/>
      </c>
      <c r="G154" s="11" t="str">
        <f aca="false">IF($A154="","",IF(원본명단!$K153="",0,COUNTIF(원본명단!$K$3:$K$6002,원본명단!$K153)))</f>
        <v/>
      </c>
      <c r="H154" s="11" t="str">
        <f aca="false">IF($A154="","",IF(MAX($E154,$F154,$G154)&gt;1,"중복","-"))</f>
        <v/>
      </c>
      <c r="I154" s="11" t="str">
        <f aca="false">IF($A154="","",IF($H154="-","-",IF(AND(IF(원본명단!$H153="",TRUE(),COUNTIF(원본명단!$H$3:$H153,원본명단!$H153)=1),IF(원본명단!$I153="",TRUE(),COUNTIF(원본명단!$I$3:$I153,원본명단!$I153)=1),IF(원본명단!$K153="",TRUE(),COUNTIF(원본명단!$K$3:$K153,원본명단!$K153)=1)),"첫 건","중복 건")))</f>
        <v/>
      </c>
      <c r="J154" s="11" t="str">
        <f aca="false">IF($A154="","",IF($H154="-","유지",IF($I154="첫 건","유지","확인 필요")))</f>
        <v/>
      </c>
    </row>
    <row r="155" customFormat="false" ht="15" hidden="false" customHeight="true" outlineLevel="0" collapsed="false">
      <c r="A155" s="11" t="str">
        <f aca="false">IF(원본명단!$A154="","",152)</f>
        <v/>
      </c>
      <c r="B155" s="12" t="str">
        <f aca="false">IF($A155="","",원본명단!$A154)</f>
        <v/>
      </c>
      <c r="C155" s="12" t="str">
        <f aca="false">IF($A155="","",원본명단!$B154)</f>
        <v/>
      </c>
      <c r="D155" s="12" t="str">
        <f aca="false">IF($A155="","",원본명단!$D154)</f>
        <v/>
      </c>
      <c r="E155" s="11" t="str">
        <f aca="false">IF($A155="","",IF(원본명단!$H154="",0,COUNTIF(원본명단!$H$3:$H$6002,원본명단!$H154)))</f>
        <v/>
      </c>
      <c r="F155" s="11" t="str">
        <f aca="false">IF($A155="","",IF(원본명단!$I154="",0,COUNTIF(원본명단!$I$3:$I$6002,원본명단!$I154)))</f>
        <v/>
      </c>
      <c r="G155" s="11" t="str">
        <f aca="false">IF($A155="","",IF(원본명단!$K154="",0,COUNTIF(원본명단!$K$3:$K$6002,원본명단!$K154)))</f>
        <v/>
      </c>
      <c r="H155" s="11" t="str">
        <f aca="false">IF($A155="","",IF(MAX($E155,$F155,$G155)&gt;1,"중복","-"))</f>
        <v/>
      </c>
      <c r="I155" s="11" t="str">
        <f aca="false">IF($A155="","",IF($H155="-","-",IF(AND(IF(원본명단!$H154="",TRUE(),COUNTIF(원본명단!$H$3:$H154,원본명단!$H154)=1),IF(원본명단!$I154="",TRUE(),COUNTIF(원본명단!$I$3:$I154,원본명단!$I154)=1),IF(원본명단!$K154="",TRUE(),COUNTIF(원본명단!$K$3:$K154,원본명단!$K154)=1)),"첫 건","중복 건")))</f>
        <v/>
      </c>
      <c r="J155" s="11" t="str">
        <f aca="false">IF($A155="","",IF($H155="-","유지",IF($I155="첫 건","유지","확인 필요")))</f>
        <v/>
      </c>
    </row>
    <row r="156" customFormat="false" ht="15" hidden="false" customHeight="true" outlineLevel="0" collapsed="false">
      <c r="A156" s="11" t="str">
        <f aca="false">IF(원본명단!$A155="","",153)</f>
        <v/>
      </c>
      <c r="B156" s="12" t="str">
        <f aca="false">IF($A156="","",원본명단!$A155)</f>
        <v/>
      </c>
      <c r="C156" s="12" t="str">
        <f aca="false">IF($A156="","",원본명단!$B155)</f>
        <v/>
      </c>
      <c r="D156" s="12" t="str">
        <f aca="false">IF($A156="","",원본명단!$D155)</f>
        <v/>
      </c>
      <c r="E156" s="11" t="str">
        <f aca="false">IF($A156="","",IF(원본명단!$H155="",0,COUNTIF(원본명단!$H$3:$H$6002,원본명단!$H155)))</f>
        <v/>
      </c>
      <c r="F156" s="11" t="str">
        <f aca="false">IF($A156="","",IF(원본명단!$I155="",0,COUNTIF(원본명단!$I$3:$I$6002,원본명단!$I155)))</f>
        <v/>
      </c>
      <c r="G156" s="11" t="str">
        <f aca="false">IF($A156="","",IF(원본명단!$K155="",0,COUNTIF(원본명단!$K$3:$K$6002,원본명단!$K155)))</f>
        <v/>
      </c>
      <c r="H156" s="11" t="str">
        <f aca="false">IF($A156="","",IF(MAX($E156,$F156,$G156)&gt;1,"중복","-"))</f>
        <v/>
      </c>
      <c r="I156" s="11" t="str">
        <f aca="false">IF($A156="","",IF($H156="-","-",IF(AND(IF(원본명단!$H155="",TRUE(),COUNTIF(원본명단!$H$3:$H155,원본명단!$H155)=1),IF(원본명단!$I155="",TRUE(),COUNTIF(원본명단!$I$3:$I155,원본명단!$I155)=1),IF(원본명단!$K155="",TRUE(),COUNTIF(원본명단!$K$3:$K155,원본명단!$K155)=1)),"첫 건","중복 건")))</f>
        <v/>
      </c>
      <c r="J156" s="11" t="str">
        <f aca="false">IF($A156="","",IF($H156="-","유지",IF($I156="첫 건","유지","확인 필요")))</f>
        <v/>
      </c>
    </row>
    <row r="157" customFormat="false" ht="15" hidden="false" customHeight="true" outlineLevel="0" collapsed="false">
      <c r="A157" s="11" t="str">
        <f aca="false">IF(원본명단!$A156="","",154)</f>
        <v/>
      </c>
      <c r="B157" s="12" t="str">
        <f aca="false">IF($A157="","",원본명단!$A156)</f>
        <v/>
      </c>
      <c r="C157" s="12" t="str">
        <f aca="false">IF($A157="","",원본명단!$B156)</f>
        <v/>
      </c>
      <c r="D157" s="12" t="str">
        <f aca="false">IF($A157="","",원본명단!$D156)</f>
        <v/>
      </c>
      <c r="E157" s="11" t="str">
        <f aca="false">IF($A157="","",IF(원본명단!$H156="",0,COUNTIF(원본명단!$H$3:$H$6002,원본명단!$H156)))</f>
        <v/>
      </c>
      <c r="F157" s="11" t="str">
        <f aca="false">IF($A157="","",IF(원본명단!$I156="",0,COUNTIF(원본명단!$I$3:$I$6002,원본명단!$I156)))</f>
        <v/>
      </c>
      <c r="G157" s="11" t="str">
        <f aca="false">IF($A157="","",IF(원본명단!$K156="",0,COUNTIF(원본명단!$K$3:$K$6002,원본명단!$K156)))</f>
        <v/>
      </c>
      <c r="H157" s="11" t="str">
        <f aca="false">IF($A157="","",IF(MAX($E157,$F157,$G157)&gt;1,"중복","-"))</f>
        <v/>
      </c>
      <c r="I157" s="11" t="str">
        <f aca="false">IF($A157="","",IF($H157="-","-",IF(AND(IF(원본명단!$H156="",TRUE(),COUNTIF(원본명단!$H$3:$H156,원본명단!$H156)=1),IF(원본명단!$I156="",TRUE(),COUNTIF(원본명단!$I$3:$I156,원본명단!$I156)=1),IF(원본명단!$K156="",TRUE(),COUNTIF(원본명단!$K$3:$K156,원본명단!$K156)=1)),"첫 건","중복 건")))</f>
        <v/>
      </c>
      <c r="J157" s="11" t="str">
        <f aca="false">IF($A157="","",IF($H157="-","유지",IF($I157="첫 건","유지","확인 필요")))</f>
        <v/>
      </c>
    </row>
    <row r="158" customFormat="false" ht="15" hidden="false" customHeight="true" outlineLevel="0" collapsed="false">
      <c r="A158" s="11" t="str">
        <f aca="false">IF(원본명단!$A157="","",155)</f>
        <v/>
      </c>
      <c r="B158" s="12" t="str">
        <f aca="false">IF($A158="","",원본명단!$A157)</f>
        <v/>
      </c>
      <c r="C158" s="12" t="str">
        <f aca="false">IF($A158="","",원본명단!$B157)</f>
        <v/>
      </c>
      <c r="D158" s="12" t="str">
        <f aca="false">IF($A158="","",원본명단!$D157)</f>
        <v/>
      </c>
      <c r="E158" s="11" t="str">
        <f aca="false">IF($A158="","",IF(원본명단!$H157="",0,COUNTIF(원본명단!$H$3:$H$6002,원본명단!$H157)))</f>
        <v/>
      </c>
      <c r="F158" s="11" t="str">
        <f aca="false">IF($A158="","",IF(원본명단!$I157="",0,COUNTIF(원본명단!$I$3:$I$6002,원본명단!$I157)))</f>
        <v/>
      </c>
      <c r="G158" s="11" t="str">
        <f aca="false">IF($A158="","",IF(원본명단!$K157="",0,COUNTIF(원본명단!$K$3:$K$6002,원본명단!$K157)))</f>
        <v/>
      </c>
      <c r="H158" s="11" t="str">
        <f aca="false">IF($A158="","",IF(MAX($E158,$F158,$G158)&gt;1,"중복","-"))</f>
        <v/>
      </c>
      <c r="I158" s="11" t="str">
        <f aca="false">IF($A158="","",IF($H158="-","-",IF(AND(IF(원본명단!$H157="",TRUE(),COUNTIF(원본명단!$H$3:$H157,원본명단!$H157)=1),IF(원본명단!$I157="",TRUE(),COUNTIF(원본명단!$I$3:$I157,원본명단!$I157)=1),IF(원본명단!$K157="",TRUE(),COUNTIF(원본명단!$K$3:$K157,원본명단!$K157)=1)),"첫 건","중복 건")))</f>
        <v/>
      </c>
      <c r="J158" s="11" t="str">
        <f aca="false">IF($A158="","",IF($H158="-","유지",IF($I158="첫 건","유지","확인 필요")))</f>
        <v/>
      </c>
    </row>
    <row r="159" customFormat="false" ht="15" hidden="false" customHeight="true" outlineLevel="0" collapsed="false">
      <c r="A159" s="11" t="str">
        <f aca="false">IF(원본명단!$A158="","",156)</f>
        <v/>
      </c>
      <c r="B159" s="12" t="str">
        <f aca="false">IF($A159="","",원본명단!$A158)</f>
        <v/>
      </c>
      <c r="C159" s="12" t="str">
        <f aca="false">IF($A159="","",원본명단!$B158)</f>
        <v/>
      </c>
      <c r="D159" s="12" t="str">
        <f aca="false">IF($A159="","",원본명단!$D158)</f>
        <v/>
      </c>
      <c r="E159" s="11" t="str">
        <f aca="false">IF($A159="","",IF(원본명단!$H158="",0,COUNTIF(원본명단!$H$3:$H$6002,원본명단!$H158)))</f>
        <v/>
      </c>
      <c r="F159" s="11" t="str">
        <f aca="false">IF($A159="","",IF(원본명단!$I158="",0,COUNTIF(원본명단!$I$3:$I$6002,원본명단!$I158)))</f>
        <v/>
      </c>
      <c r="G159" s="11" t="str">
        <f aca="false">IF($A159="","",IF(원본명단!$K158="",0,COUNTIF(원본명단!$K$3:$K$6002,원본명단!$K158)))</f>
        <v/>
      </c>
      <c r="H159" s="11" t="str">
        <f aca="false">IF($A159="","",IF(MAX($E159,$F159,$G159)&gt;1,"중복","-"))</f>
        <v/>
      </c>
      <c r="I159" s="11" t="str">
        <f aca="false">IF($A159="","",IF($H159="-","-",IF(AND(IF(원본명단!$H158="",TRUE(),COUNTIF(원본명단!$H$3:$H158,원본명단!$H158)=1),IF(원본명단!$I158="",TRUE(),COUNTIF(원본명단!$I$3:$I158,원본명단!$I158)=1),IF(원본명단!$K158="",TRUE(),COUNTIF(원본명단!$K$3:$K158,원본명단!$K158)=1)),"첫 건","중복 건")))</f>
        <v/>
      </c>
      <c r="J159" s="11" t="str">
        <f aca="false">IF($A159="","",IF($H159="-","유지",IF($I159="첫 건","유지","확인 필요")))</f>
        <v/>
      </c>
    </row>
    <row r="160" customFormat="false" ht="15" hidden="false" customHeight="true" outlineLevel="0" collapsed="false">
      <c r="A160" s="11" t="str">
        <f aca="false">IF(원본명단!$A159="","",157)</f>
        <v/>
      </c>
      <c r="B160" s="12" t="str">
        <f aca="false">IF($A160="","",원본명단!$A159)</f>
        <v/>
      </c>
      <c r="C160" s="12" t="str">
        <f aca="false">IF($A160="","",원본명단!$B159)</f>
        <v/>
      </c>
      <c r="D160" s="12" t="str">
        <f aca="false">IF($A160="","",원본명단!$D159)</f>
        <v/>
      </c>
      <c r="E160" s="11" t="str">
        <f aca="false">IF($A160="","",IF(원본명단!$H159="",0,COUNTIF(원본명단!$H$3:$H$6002,원본명단!$H159)))</f>
        <v/>
      </c>
      <c r="F160" s="11" t="str">
        <f aca="false">IF($A160="","",IF(원본명단!$I159="",0,COUNTIF(원본명단!$I$3:$I$6002,원본명단!$I159)))</f>
        <v/>
      </c>
      <c r="G160" s="11" t="str">
        <f aca="false">IF($A160="","",IF(원본명단!$K159="",0,COUNTIF(원본명단!$K$3:$K$6002,원본명단!$K159)))</f>
        <v/>
      </c>
      <c r="H160" s="11" t="str">
        <f aca="false">IF($A160="","",IF(MAX($E160,$F160,$G160)&gt;1,"중복","-"))</f>
        <v/>
      </c>
      <c r="I160" s="11" t="str">
        <f aca="false">IF($A160="","",IF($H160="-","-",IF(AND(IF(원본명단!$H159="",TRUE(),COUNTIF(원본명단!$H$3:$H159,원본명단!$H159)=1),IF(원본명단!$I159="",TRUE(),COUNTIF(원본명단!$I$3:$I159,원본명단!$I159)=1),IF(원본명단!$K159="",TRUE(),COUNTIF(원본명단!$K$3:$K159,원본명단!$K159)=1)),"첫 건","중복 건")))</f>
        <v/>
      </c>
      <c r="J160" s="11" t="str">
        <f aca="false">IF($A160="","",IF($H160="-","유지",IF($I160="첫 건","유지","확인 필요")))</f>
        <v/>
      </c>
    </row>
    <row r="161" customFormat="false" ht="15" hidden="false" customHeight="true" outlineLevel="0" collapsed="false">
      <c r="A161" s="11" t="str">
        <f aca="false">IF(원본명단!$A160="","",158)</f>
        <v/>
      </c>
      <c r="B161" s="12" t="str">
        <f aca="false">IF($A161="","",원본명단!$A160)</f>
        <v/>
      </c>
      <c r="C161" s="12" t="str">
        <f aca="false">IF($A161="","",원본명단!$B160)</f>
        <v/>
      </c>
      <c r="D161" s="12" t="str">
        <f aca="false">IF($A161="","",원본명단!$D160)</f>
        <v/>
      </c>
      <c r="E161" s="11" t="str">
        <f aca="false">IF($A161="","",IF(원본명단!$H160="",0,COUNTIF(원본명단!$H$3:$H$6002,원본명단!$H160)))</f>
        <v/>
      </c>
      <c r="F161" s="11" t="str">
        <f aca="false">IF($A161="","",IF(원본명단!$I160="",0,COUNTIF(원본명단!$I$3:$I$6002,원본명단!$I160)))</f>
        <v/>
      </c>
      <c r="G161" s="11" t="str">
        <f aca="false">IF($A161="","",IF(원본명단!$K160="",0,COUNTIF(원본명단!$K$3:$K$6002,원본명단!$K160)))</f>
        <v/>
      </c>
      <c r="H161" s="11" t="str">
        <f aca="false">IF($A161="","",IF(MAX($E161,$F161,$G161)&gt;1,"중복","-"))</f>
        <v/>
      </c>
      <c r="I161" s="11" t="str">
        <f aca="false">IF($A161="","",IF($H161="-","-",IF(AND(IF(원본명단!$H160="",TRUE(),COUNTIF(원본명단!$H$3:$H160,원본명단!$H160)=1),IF(원본명단!$I160="",TRUE(),COUNTIF(원본명단!$I$3:$I160,원본명단!$I160)=1),IF(원본명단!$K160="",TRUE(),COUNTIF(원본명단!$K$3:$K160,원본명단!$K160)=1)),"첫 건","중복 건")))</f>
        <v/>
      </c>
      <c r="J161" s="11" t="str">
        <f aca="false">IF($A161="","",IF($H161="-","유지",IF($I161="첫 건","유지","확인 필요")))</f>
        <v/>
      </c>
    </row>
    <row r="162" customFormat="false" ht="15" hidden="false" customHeight="true" outlineLevel="0" collapsed="false">
      <c r="A162" s="11" t="str">
        <f aca="false">IF(원본명단!$A161="","",159)</f>
        <v/>
      </c>
      <c r="B162" s="12" t="str">
        <f aca="false">IF($A162="","",원본명단!$A161)</f>
        <v/>
      </c>
      <c r="C162" s="12" t="str">
        <f aca="false">IF($A162="","",원본명단!$B161)</f>
        <v/>
      </c>
      <c r="D162" s="12" t="str">
        <f aca="false">IF($A162="","",원본명단!$D161)</f>
        <v/>
      </c>
      <c r="E162" s="11" t="str">
        <f aca="false">IF($A162="","",IF(원본명단!$H161="",0,COUNTIF(원본명단!$H$3:$H$6002,원본명단!$H161)))</f>
        <v/>
      </c>
      <c r="F162" s="11" t="str">
        <f aca="false">IF($A162="","",IF(원본명단!$I161="",0,COUNTIF(원본명단!$I$3:$I$6002,원본명단!$I161)))</f>
        <v/>
      </c>
      <c r="G162" s="11" t="str">
        <f aca="false">IF($A162="","",IF(원본명단!$K161="",0,COUNTIF(원본명단!$K$3:$K$6002,원본명단!$K161)))</f>
        <v/>
      </c>
      <c r="H162" s="11" t="str">
        <f aca="false">IF($A162="","",IF(MAX($E162,$F162,$G162)&gt;1,"중복","-"))</f>
        <v/>
      </c>
      <c r="I162" s="11" t="str">
        <f aca="false">IF($A162="","",IF($H162="-","-",IF(AND(IF(원본명단!$H161="",TRUE(),COUNTIF(원본명단!$H$3:$H161,원본명단!$H161)=1),IF(원본명단!$I161="",TRUE(),COUNTIF(원본명단!$I$3:$I161,원본명단!$I161)=1),IF(원본명단!$K161="",TRUE(),COUNTIF(원본명단!$K$3:$K161,원본명단!$K161)=1)),"첫 건","중복 건")))</f>
        <v/>
      </c>
      <c r="J162" s="11" t="str">
        <f aca="false">IF($A162="","",IF($H162="-","유지",IF($I162="첫 건","유지","확인 필요")))</f>
        <v/>
      </c>
    </row>
    <row r="163" customFormat="false" ht="15" hidden="false" customHeight="true" outlineLevel="0" collapsed="false">
      <c r="A163" s="11" t="str">
        <f aca="false">IF(원본명단!$A162="","",160)</f>
        <v/>
      </c>
      <c r="B163" s="12" t="str">
        <f aca="false">IF($A163="","",원본명단!$A162)</f>
        <v/>
      </c>
      <c r="C163" s="12" t="str">
        <f aca="false">IF($A163="","",원본명단!$B162)</f>
        <v/>
      </c>
      <c r="D163" s="12" t="str">
        <f aca="false">IF($A163="","",원본명단!$D162)</f>
        <v/>
      </c>
      <c r="E163" s="11" t="str">
        <f aca="false">IF($A163="","",IF(원본명단!$H162="",0,COUNTIF(원본명단!$H$3:$H$6002,원본명단!$H162)))</f>
        <v/>
      </c>
      <c r="F163" s="11" t="str">
        <f aca="false">IF($A163="","",IF(원본명단!$I162="",0,COUNTIF(원본명단!$I$3:$I$6002,원본명단!$I162)))</f>
        <v/>
      </c>
      <c r="G163" s="11" t="str">
        <f aca="false">IF($A163="","",IF(원본명단!$K162="",0,COUNTIF(원본명단!$K$3:$K$6002,원본명단!$K162)))</f>
        <v/>
      </c>
      <c r="H163" s="11" t="str">
        <f aca="false">IF($A163="","",IF(MAX($E163,$F163,$G163)&gt;1,"중복","-"))</f>
        <v/>
      </c>
      <c r="I163" s="11" t="str">
        <f aca="false">IF($A163="","",IF($H163="-","-",IF(AND(IF(원본명단!$H162="",TRUE(),COUNTIF(원본명단!$H$3:$H162,원본명단!$H162)=1),IF(원본명단!$I162="",TRUE(),COUNTIF(원본명단!$I$3:$I162,원본명단!$I162)=1),IF(원본명단!$K162="",TRUE(),COUNTIF(원본명단!$K$3:$K162,원본명단!$K162)=1)),"첫 건","중복 건")))</f>
        <v/>
      </c>
      <c r="J163" s="11" t="str">
        <f aca="false">IF($A163="","",IF($H163="-","유지",IF($I163="첫 건","유지","확인 필요")))</f>
        <v/>
      </c>
    </row>
    <row r="164" customFormat="false" ht="15" hidden="false" customHeight="true" outlineLevel="0" collapsed="false">
      <c r="A164" s="11" t="str">
        <f aca="false">IF(원본명단!$A163="","",161)</f>
        <v/>
      </c>
      <c r="B164" s="12" t="str">
        <f aca="false">IF($A164="","",원본명단!$A163)</f>
        <v/>
      </c>
      <c r="C164" s="12" t="str">
        <f aca="false">IF($A164="","",원본명단!$B163)</f>
        <v/>
      </c>
      <c r="D164" s="12" t="str">
        <f aca="false">IF($A164="","",원본명단!$D163)</f>
        <v/>
      </c>
      <c r="E164" s="11" t="str">
        <f aca="false">IF($A164="","",IF(원본명단!$H163="",0,COUNTIF(원본명단!$H$3:$H$6002,원본명단!$H163)))</f>
        <v/>
      </c>
      <c r="F164" s="11" t="str">
        <f aca="false">IF($A164="","",IF(원본명단!$I163="",0,COUNTIF(원본명단!$I$3:$I$6002,원본명단!$I163)))</f>
        <v/>
      </c>
      <c r="G164" s="11" t="str">
        <f aca="false">IF($A164="","",IF(원본명단!$K163="",0,COUNTIF(원본명단!$K$3:$K$6002,원본명단!$K163)))</f>
        <v/>
      </c>
      <c r="H164" s="11" t="str">
        <f aca="false">IF($A164="","",IF(MAX($E164,$F164,$G164)&gt;1,"중복","-"))</f>
        <v/>
      </c>
      <c r="I164" s="11" t="str">
        <f aca="false">IF($A164="","",IF($H164="-","-",IF(AND(IF(원본명단!$H163="",TRUE(),COUNTIF(원본명단!$H$3:$H163,원본명단!$H163)=1),IF(원본명단!$I163="",TRUE(),COUNTIF(원본명단!$I$3:$I163,원본명단!$I163)=1),IF(원본명단!$K163="",TRUE(),COUNTIF(원본명단!$K$3:$K163,원본명단!$K163)=1)),"첫 건","중복 건")))</f>
        <v/>
      </c>
      <c r="J164" s="11" t="str">
        <f aca="false">IF($A164="","",IF($H164="-","유지",IF($I164="첫 건","유지","확인 필요")))</f>
        <v/>
      </c>
    </row>
    <row r="165" customFormat="false" ht="15" hidden="false" customHeight="true" outlineLevel="0" collapsed="false">
      <c r="A165" s="11" t="str">
        <f aca="false">IF(원본명단!$A164="","",162)</f>
        <v/>
      </c>
      <c r="B165" s="12" t="str">
        <f aca="false">IF($A165="","",원본명단!$A164)</f>
        <v/>
      </c>
      <c r="C165" s="12" t="str">
        <f aca="false">IF($A165="","",원본명단!$B164)</f>
        <v/>
      </c>
      <c r="D165" s="12" t="str">
        <f aca="false">IF($A165="","",원본명단!$D164)</f>
        <v/>
      </c>
      <c r="E165" s="11" t="str">
        <f aca="false">IF($A165="","",IF(원본명단!$H164="",0,COUNTIF(원본명단!$H$3:$H$6002,원본명단!$H164)))</f>
        <v/>
      </c>
      <c r="F165" s="11" t="str">
        <f aca="false">IF($A165="","",IF(원본명단!$I164="",0,COUNTIF(원본명단!$I$3:$I$6002,원본명단!$I164)))</f>
        <v/>
      </c>
      <c r="G165" s="11" t="str">
        <f aca="false">IF($A165="","",IF(원본명단!$K164="",0,COUNTIF(원본명단!$K$3:$K$6002,원본명단!$K164)))</f>
        <v/>
      </c>
      <c r="H165" s="11" t="str">
        <f aca="false">IF($A165="","",IF(MAX($E165,$F165,$G165)&gt;1,"중복","-"))</f>
        <v/>
      </c>
      <c r="I165" s="11" t="str">
        <f aca="false">IF($A165="","",IF($H165="-","-",IF(AND(IF(원본명단!$H164="",TRUE(),COUNTIF(원본명단!$H$3:$H164,원본명단!$H164)=1),IF(원본명단!$I164="",TRUE(),COUNTIF(원본명단!$I$3:$I164,원본명단!$I164)=1),IF(원본명단!$K164="",TRUE(),COUNTIF(원본명단!$K$3:$K164,원본명단!$K164)=1)),"첫 건","중복 건")))</f>
        <v/>
      </c>
      <c r="J165" s="11" t="str">
        <f aca="false">IF($A165="","",IF($H165="-","유지",IF($I165="첫 건","유지","확인 필요")))</f>
        <v/>
      </c>
    </row>
    <row r="166" customFormat="false" ht="15" hidden="false" customHeight="true" outlineLevel="0" collapsed="false">
      <c r="A166" s="11" t="str">
        <f aca="false">IF(원본명단!$A165="","",163)</f>
        <v/>
      </c>
      <c r="B166" s="12" t="str">
        <f aca="false">IF($A166="","",원본명단!$A165)</f>
        <v/>
      </c>
      <c r="C166" s="12" t="str">
        <f aca="false">IF($A166="","",원본명단!$B165)</f>
        <v/>
      </c>
      <c r="D166" s="12" t="str">
        <f aca="false">IF($A166="","",원본명단!$D165)</f>
        <v/>
      </c>
      <c r="E166" s="11" t="str">
        <f aca="false">IF($A166="","",IF(원본명단!$H165="",0,COUNTIF(원본명단!$H$3:$H$6002,원본명단!$H165)))</f>
        <v/>
      </c>
      <c r="F166" s="11" t="str">
        <f aca="false">IF($A166="","",IF(원본명단!$I165="",0,COUNTIF(원본명단!$I$3:$I$6002,원본명단!$I165)))</f>
        <v/>
      </c>
      <c r="G166" s="11" t="str">
        <f aca="false">IF($A166="","",IF(원본명단!$K165="",0,COUNTIF(원본명단!$K$3:$K$6002,원본명단!$K165)))</f>
        <v/>
      </c>
      <c r="H166" s="11" t="str">
        <f aca="false">IF($A166="","",IF(MAX($E166,$F166,$G166)&gt;1,"중복","-"))</f>
        <v/>
      </c>
      <c r="I166" s="11" t="str">
        <f aca="false">IF($A166="","",IF($H166="-","-",IF(AND(IF(원본명단!$H165="",TRUE(),COUNTIF(원본명단!$H$3:$H165,원본명단!$H165)=1),IF(원본명단!$I165="",TRUE(),COUNTIF(원본명단!$I$3:$I165,원본명단!$I165)=1),IF(원본명단!$K165="",TRUE(),COUNTIF(원본명단!$K$3:$K165,원본명단!$K165)=1)),"첫 건","중복 건")))</f>
        <v/>
      </c>
      <c r="J166" s="11" t="str">
        <f aca="false">IF($A166="","",IF($H166="-","유지",IF($I166="첫 건","유지","확인 필요")))</f>
        <v/>
      </c>
    </row>
    <row r="167" customFormat="false" ht="15" hidden="false" customHeight="true" outlineLevel="0" collapsed="false">
      <c r="A167" s="11" t="str">
        <f aca="false">IF(원본명단!$A166="","",164)</f>
        <v/>
      </c>
      <c r="B167" s="12" t="str">
        <f aca="false">IF($A167="","",원본명단!$A166)</f>
        <v/>
      </c>
      <c r="C167" s="12" t="str">
        <f aca="false">IF($A167="","",원본명단!$B166)</f>
        <v/>
      </c>
      <c r="D167" s="12" t="str">
        <f aca="false">IF($A167="","",원본명단!$D166)</f>
        <v/>
      </c>
      <c r="E167" s="11" t="str">
        <f aca="false">IF($A167="","",IF(원본명단!$H166="",0,COUNTIF(원본명단!$H$3:$H$6002,원본명단!$H166)))</f>
        <v/>
      </c>
      <c r="F167" s="11" t="str">
        <f aca="false">IF($A167="","",IF(원본명단!$I166="",0,COUNTIF(원본명단!$I$3:$I$6002,원본명단!$I166)))</f>
        <v/>
      </c>
      <c r="G167" s="11" t="str">
        <f aca="false">IF($A167="","",IF(원본명단!$K166="",0,COUNTIF(원본명단!$K$3:$K$6002,원본명단!$K166)))</f>
        <v/>
      </c>
      <c r="H167" s="11" t="str">
        <f aca="false">IF($A167="","",IF(MAX($E167,$F167,$G167)&gt;1,"중복","-"))</f>
        <v/>
      </c>
      <c r="I167" s="11" t="str">
        <f aca="false">IF($A167="","",IF($H167="-","-",IF(AND(IF(원본명단!$H166="",TRUE(),COUNTIF(원본명단!$H$3:$H166,원본명단!$H166)=1),IF(원본명단!$I166="",TRUE(),COUNTIF(원본명단!$I$3:$I166,원본명단!$I166)=1),IF(원본명단!$K166="",TRUE(),COUNTIF(원본명단!$K$3:$K166,원본명단!$K166)=1)),"첫 건","중복 건")))</f>
        <v/>
      </c>
      <c r="J167" s="11" t="str">
        <f aca="false">IF($A167="","",IF($H167="-","유지",IF($I167="첫 건","유지","확인 필요")))</f>
        <v/>
      </c>
    </row>
    <row r="168" customFormat="false" ht="15" hidden="false" customHeight="true" outlineLevel="0" collapsed="false">
      <c r="A168" s="11" t="str">
        <f aca="false">IF(원본명단!$A167="","",165)</f>
        <v/>
      </c>
      <c r="B168" s="12" t="str">
        <f aca="false">IF($A168="","",원본명단!$A167)</f>
        <v/>
      </c>
      <c r="C168" s="12" t="str">
        <f aca="false">IF($A168="","",원본명단!$B167)</f>
        <v/>
      </c>
      <c r="D168" s="12" t="str">
        <f aca="false">IF($A168="","",원본명단!$D167)</f>
        <v/>
      </c>
      <c r="E168" s="11" t="str">
        <f aca="false">IF($A168="","",IF(원본명단!$H167="",0,COUNTIF(원본명단!$H$3:$H$6002,원본명단!$H167)))</f>
        <v/>
      </c>
      <c r="F168" s="11" t="str">
        <f aca="false">IF($A168="","",IF(원본명단!$I167="",0,COUNTIF(원본명단!$I$3:$I$6002,원본명단!$I167)))</f>
        <v/>
      </c>
      <c r="G168" s="11" t="str">
        <f aca="false">IF($A168="","",IF(원본명단!$K167="",0,COUNTIF(원본명단!$K$3:$K$6002,원본명단!$K167)))</f>
        <v/>
      </c>
      <c r="H168" s="11" t="str">
        <f aca="false">IF($A168="","",IF(MAX($E168,$F168,$G168)&gt;1,"중복","-"))</f>
        <v/>
      </c>
      <c r="I168" s="11" t="str">
        <f aca="false">IF($A168="","",IF($H168="-","-",IF(AND(IF(원본명단!$H167="",TRUE(),COUNTIF(원본명단!$H$3:$H167,원본명단!$H167)=1),IF(원본명단!$I167="",TRUE(),COUNTIF(원본명단!$I$3:$I167,원본명단!$I167)=1),IF(원본명단!$K167="",TRUE(),COUNTIF(원본명단!$K$3:$K167,원본명단!$K167)=1)),"첫 건","중복 건")))</f>
        <v/>
      </c>
      <c r="J168" s="11" t="str">
        <f aca="false">IF($A168="","",IF($H168="-","유지",IF($I168="첫 건","유지","확인 필요")))</f>
        <v/>
      </c>
    </row>
    <row r="169" customFormat="false" ht="15" hidden="false" customHeight="true" outlineLevel="0" collapsed="false">
      <c r="A169" s="11" t="str">
        <f aca="false">IF(원본명단!$A168="","",166)</f>
        <v/>
      </c>
      <c r="B169" s="12" t="str">
        <f aca="false">IF($A169="","",원본명단!$A168)</f>
        <v/>
      </c>
      <c r="C169" s="12" t="str">
        <f aca="false">IF($A169="","",원본명단!$B168)</f>
        <v/>
      </c>
      <c r="D169" s="12" t="str">
        <f aca="false">IF($A169="","",원본명단!$D168)</f>
        <v/>
      </c>
      <c r="E169" s="11" t="str">
        <f aca="false">IF($A169="","",IF(원본명단!$H168="",0,COUNTIF(원본명단!$H$3:$H$6002,원본명단!$H168)))</f>
        <v/>
      </c>
      <c r="F169" s="11" t="str">
        <f aca="false">IF($A169="","",IF(원본명단!$I168="",0,COUNTIF(원본명단!$I$3:$I$6002,원본명단!$I168)))</f>
        <v/>
      </c>
      <c r="G169" s="11" t="str">
        <f aca="false">IF($A169="","",IF(원본명단!$K168="",0,COUNTIF(원본명단!$K$3:$K$6002,원본명단!$K168)))</f>
        <v/>
      </c>
      <c r="H169" s="11" t="str">
        <f aca="false">IF($A169="","",IF(MAX($E169,$F169,$G169)&gt;1,"중복","-"))</f>
        <v/>
      </c>
      <c r="I169" s="11" t="str">
        <f aca="false">IF($A169="","",IF($H169="-","-",IF(AND(IF(원본명단!$H168="",TRUE(),COUNTIF(원본명단!$H$3:$H168,원본명단!$H168)=1),IF(원본명단!$I168="",TRUE(),COUNTIF(원본명단!$I$3:$I168,원본명단!$I168)=1),IF(원본명단!$K168="",TRUE(),COUNTIF(원본명단!$K$3:$K168,원본명단!$K168)=1)),"첫 건","중복 건")))</f>
        <v/>
      </c>
      <c r="J169" s="11" t="str">
        <f aca="false">IF($A169="","",IF($H169="-","유지",IF($I169="첫 건","유지","확인 필요")))</f>
        <v/>
      </c>
    </row>
    <row r="170" customFormat="false" ht="15" hidden="false" customHeight="true" outlineLevel="0" collapsed="false">
      <c r="A170" s="11" t="str">
        <f aca="false">IF(원본명단!$A169="","",167)</f>
        <v/>
      </c>
      <c r="B170" s="12" t="str">
        <f aca="false">IF($A170="","",원본명단!$A169)</f>
        <v/>
      </c>
      <c r="C170" s="12" t="str">
        <f aca="false">IF($A170="","",원본명단!$B169)</f>
        <v/>
      </c>
      <c r="D170" s="12" t="str">
        <f aca="false">IF($A170="","",원본명단!$D169)</f>
        <v/>
      </c>
      <c r="E170" s="11" t="str">
        <f aca="false">IF($A170="","",IF(원본명단!$H169="",0,COUNTIF(원본명단!$H$3:$H$6002,원본명단!$H169)))</f>
        <v/>
      </c>
      <c r="F170" s="11" t="str">
        <f aca="false">IF($A170="","",IF(원본명단!$I169="",0,COUNTIF(원본명단!$I$3:$I$6002,원본명단!$I169)))</f>
        <v/>
      </c>
      <c r="G170" s="11" t="str">
        <f aca="false">IF($A170="","",IF(원본명단!$K169="",0,COUNTIF(원본명단!$K$3:$K$6002,원본명단!$K169)))</f>
        <v/>
      </c>
      <c r="H170" s="11" t="str">
        <f aca="false">IF($A170="","",IF(MAX($E170,$F170,$G170)&gt;1,"중복","-"))</f>
        <v/>
      </c>
      <c r="I170" s="11" t="str">
        <f aca="false">IF($A170="","",IF($H170="-","-",IF(AND(IF(원본명단!$H169="",TRUE(),COUNTIF(원본명단!$H$3:$H169,원본명단!$H169)=1),IF(원본명단!$I169="",TRUE(),COUNTIF(원본명단!$I$3:$I169,원본명단!$I169)=1),IF(원본명단!$K169="",TRUE(),COUNTIF(원본명단!$K$3:$K169,원본명단!$K169)=1)),"첫 건","중복 건")))</f>
        <v/>
      </c>
      <c r="J170" s="11" t="str">
        <f aca="false">IF($A170="","",IF($H170="-","유지",IF($I170="첫 건","유지","확인 필요")))</f>
        <v/>
      </c>
    </row>
    <row r="171" customFormat="false" ht="15" hidden="false" customHeight="true" outlineLevel="0" collapsed="false">
      <c r="A171" s="11" t="str">
        <f aca="false">IF(원본명단!$A170="","",168)</f>
        <v/>
      </c>
      <c r="B171" s="12" t="str">
        <f aca="false">IF($A171="","",원본명단!$A170)</f>
        <v/>
      </c>
      <c r="C171" s="12" t="str">
        <f aca="false">IF($A171="","",원본명단!$B170)</f>
        <v/>
      </c>
      <c r="D171" s="12" t="str">
        <f aca="false">IF($A171="","",원본명단!$D170)</f>
        <v/>
      </c>
      <c r="E171" s="11" t="str">
        <f aca="false">IF($A171="","",IF(원본명단!$H170="",0,COUNTIF(원본명단!$H$3:$H$6002,원본명단!$H170)))</f>
        <v/>
      </c>
      <c r="F171" s="11" t="str">
        <f aca="false">IF($A171="","",IF(원본명단!$I170="",0,COUNTIF(원본명단!$I$3:$I$6002,원본명단!$I170)))</f>
        <v/>
      </c>
      <c r="G171" s="11" t="str">
        <f aca="false">IF($A171="","",IF(원본명단!$K170="",0,COUNTIF(원본명단!$K$3:$K$6002,원본명단!$K170)))</f>
        <v/>
      </c>
      <c r="H171" s="11" t="str">
        <f aca="false">IF($A171="","",IF(MAX($E171,$F171,$G171)&gt;1,"중복","-"))</f>
        <v/>
      </c>
      <c r="I171" s="11" t="str">
        <f aca="false">IF($A171="","",IF($H171="-","-",IF(AND(IF(원본명단!$H170="",TRUE(),COUNTIF(원본명단!$H$3:$H170,원본명단!$H170)=1),IF(원본명단!$I170="",TRUE(),COUNTIF(원본명단!$I$3:$I170,원본명단!$I170)=1),IF(원본명단!$K170="",TRUE(),COUNTIF(원본명단!$K$3:$K170,원본명단!$K170)=1)),"첫 건","중복 건")))</f>
        <v/>
      </c>
      <c r="J171" s="11" t="str">
        <f aca="false">IF($A171="","",IF($H171="-","유지",IF($I171="첫 건","유지","확인 필요")))</f>
        <v/>
      </c>
    </row>
    <row r="172" customFormat="false" ht="15" hidden="false" customHeight="true" outlineLevel="0" collapsed="false">
      <c r="A172" s="11" t="str">
        <f aca="false">IF(원본명단!$A171="","",169)</f>
        <v/>
      </c>
      <c r="B172" s="12" t="str">
        <f aca="false">IF($A172="","",원본명단!$A171)</f>
        <v/>
      </c>
      <c r="C172" s="12" t="str">
        <f aca="false">IF($A172="","",원본명단!$B171)</f>
        <v/>
      </c>
      <c r="D172" s="12" t="str">
        <f aca="false">IF($A172="","",원본명단!$D171)</f>
        <v/>
      </c>
      <c r="E172" s="11" t="str">
        <f aca="false">IF($A172="","",IF(원본명단!$H171="",0,COUNTIF(원본명단!$H$3:$H$6002,원본명단!$H171)))</f>
        <v/>
      </c>
      <c r="F172" s="11" t="str">
        <f aca="false">IF($A172="","",IF(원본명단!$I171="",0,COUNTIF(원본명단!$I$3:$I$6002,원본명단!$I171)))</f>
        <v/>
      </c>
      <c r="G172" s="11" t="str">
        <f aca="false">IF($A172="","",IF(원본명단!$K171="",0,COUNTIF(원본명단!$K$3:$K$6002,원본명단!$K171)))</f>
        <v/>
      </c>
      <c r="H172" s="11" t="str">
        <f aca="false">IF($A172="","",IF(MAX($E172,$F172,$G172)&gt;1,"중복","-"))</f>
        <v/>
      </c>
      <c r="I172" s="11" t="str">
        <f aca="false">IF($A172="","",IF($H172="-","-",IF(AND(IF(원본명단!$H171="",TRUE(),COUNTIF(원본명단!$H$3:$H171,원본명단!$H171)=1),IF(원본명단!$I171="",TRUE(),COUNTIF(원본명단!$I$3:$I171,원본명단!$I171)=1),IF(원본명단!$K171="",TRUE(),COUNTIF(원본명단!$K$3:$K171,원본명단!$K171)=1)),"첫 건","중복 건")))</f>
        <v/>
      </c>
      <c r="J172" s="11" t="str">
        <f aca="false">IF($A172="","",IF($H172="-","유지",IF($I172="첫 건","유지","확인 필요")))</f>
        <v/>
      </c>
    </row>
    <row r="173" customFormat="false" ht="15" hidden="false" customHeight="true" outlineLevel="0" collapsed="false">
      <c r="A173" s="11" t="str">
        <f aca="false">IF(원본명단!$A172="","",170)</f>
        <v/>
      </c>
      <c r="B173" s="12" t="str">
        <f aca="false">IF($A173="","",원본명단!$A172)</f>
        <v/>
      </c>
      <c r="C173" s="12" t="str">
        <f aca="false">IF($A173="","",원본명단!$B172)</f>
        <v/>
      </c>
      <c r="D173" s="12" t="str">
        <f aca="false">IF($A173="","",원본명단!$D172)</f>
        <v/>
      </c>
      <c r="E173" s="11" t="str">
        <f aca="false">IF($A173="","",IF(원본명단!$H172="",0,COUNTIF(원본명단!$H$3:$H$6002,원본명단!$H172)))</f>
        <v/>
      </c>
      <c r="F173" s="11" t="str">
        <f aca="false">IF($A173="","",IF(원본명단!$I172="",0,COUNTIF(원본명단!$I$3:$I$6002,원본명단!$I172)))</f>
        <v/>
      </c>
      <c r="G173" s="11" t="str">
        <f aca="false">IF($A173="","",IF(원본명단!$K172="",0,COUNTIF(원본명단!$K$3:$K$6002,원본명단!$K172)))</f>
        <v/>
      </c>
      <c r="H173" s="11" t="str">
        <f aca="false">IF($A173="","",IF(MAX($E173,$F173,$G173)&gt;1,"중복","-"))</f>
        <v/>
      </c>
      <c r="I173" s="11" t="str">
        <f aca="false">IF($A173="","",IF($H173="-","-",IF(AND(IF(원본명단!$H172="",TRUE(),COUNTIF(원본명단!$H$3:$H172,원본명단!$H172)=1),IF(원본명단!$I172="",TRUE(),COUNTIF(원본명단!$I$3:$I172,원본명단!$I172)=1),IF(원본명단!$K172="",TRUE(),COUNTIF(원본명단!$K$3:$K172,원본명단!$K172)=1)),"첫 건","중복 건")))</f>
        <v/>
      </c>
      <c r="J173" s="11" t="str">
        <f aca="false">IF($A173="","",IF($H173="-","유지",IF($I173="첫 건","유지","확인 필요")))</f>
        <v/>
      </c>
    </row>
    <row r="174" customFormat="false" ht="15" hidden="false" customHeight="true" outlineLevel="0" collapsed="false">
      <c r="A174" s="11" t="str">
        <f aca="false">IF(원본명단!$A173="","",171)</f>
        <v/>
      </c>
      <c r="B174" s="12" t="str">
        <f aca="false">IF($A174="","",원본명단!$A173)</f>
        <v/>
      </c>
      <c r="C174" s="12" t="str">
        <f aca="false">IF($A174="","",원본명단!$B173)</f>
        <v/>
      </c>
      <c r="D174" s="12" t="str">
        <f aca="false">IF($A174="","",원본명단!$D173)</f>
        <v/>
      </c>
      <c r="E174" s="11" t="str">
        <f aca="false">IF($A174="","",IF(원본명단!$H173="",0,COUNTIF(원본명단!$H$3:$H$6002,원본명단!$H173)))</f>
        <v/>
      </c>
      <c r="F174" s="11" t="str">
        <f aca="false">IF($A174="","",IF(원본명단!$I173="",0,COUNTIF(원본명단!$I$3:$I$6002,원본명단!$I173)))</f>
        <v/>
      </c>
      <c r="G174" s="11" t="str">
        <f aca="false">IF($A174="","",IF(원본명단!$K173="",0,COUNTIF(원본명단!$K$3:$K$6002,원본명단!$K173)))</f>
        <v/>
      </c>
      <c r="H174" s="11" t="str">
        <f aca="false">IF($A174="","",IF(MAX($E174,$F174,$G174)&gt;1,"중복","-"))</f>
        <v/>
      </c>
      <c r="I174" s="11" t="str">
        <f aca="false">IF($A174="","",IF($H174="-","-",IF(AND(IF(원본명단!$H173="",TRUE(),COUNTIF(원본명단!$H$3:$H173,원본명단!$H173)=1),IF(원본명단!$I173="",TRUE(),COUNTIF(원본명단!$I$3:$I173,원본명단!$I173)=1),IF(원본명단!$K173="",TRUE(),COUNTIF(원본명단!$K$3:$K173,원본명단!$K173)=1)),"첫 건","중복 건")))</f>
        <v/>
      </c>
      <c r="J174" s="11" t="str">
        <f aca="false">IF($A174="","",IF($H174="-","유지",IF($I174="첫 건","유지","확인 필요")))</f>
        <v/>
      </c>
    </row>
    <row r="175" customFormat="false" ht="15" hidden="false" customHeight="true" outlineLevel="0" collapsed="false">
      <c r="A175" s="11" t="str">
        <f aca="false">IF(원본명단!$A174="","",172)</f>
        <v/>
      </c>
      <c r="B175" s="12" t="str">
        <f aca="false">IF($A175="","",원본명단!$A174)</f>
        <v/>
      </c>
      <c r="C175" s="12" t="str">
        <f aca="false">IF($A175="","",원본명단!$B174)</f>
        <v/>
      </c>
      <c r="D175" s="12" t="str">
        <f aca="false">IF($A175="","",원본명단!$D174)</f>
        <v/>
      </c>
      <c r="E175" s="11" t="str">
        <f aca="false">IF($A175="","",IF(원본명단!$H174="",0,COUNTIF(원본명단!$H$3:$H$6002,원본명단!$H174)))</f>
        <v/>
      </c>
      <c r="F175" s="11" t="str">
        <f aca="false">IF($A175="","",IF(원본명단!$I174="",0,COUNTIF(원본명단!$I$3:$I$6002,원본명단!$I174)))</f>
        <v/>
      </c>
      <c r="G175" s="11" t="str">
        <f aca="false">IF($A175="","",IF(원본명단!$K174="",0,COUNTIF(원본명단!$K$3:$K$6002,원본명단!$K174)))</f>
        <v/>
      </c>
      <c r="H175" s="11" t="str">
        <f aca="false">IF($A175="","",IF(MAX($E175,$F175,$G175)&gt;1,"중복","-"))</f>
        <v/>
      </c>
      <c r="I175" s="11" t="str">
        <f aca="false">IF($A175="","",IF($H175="-","-",IF(AND(IF(원본명단!$H174="",TRUE(),COUNTIF(원본명단!$H$3:$H174,원본명단!$H174)=1),IF(원본명단!$I174="",TRUE(),COUNTIF(원본명단!$I$3:$I174,원본명단!$I174)=1),IF(원본명단!$K174="",TRUE(),COUNTIF(원본명단!$K$3:$K174,원본명단!$K174)=1)),"첫 건","중복 건")))</f>
        <v/>
      </c>
      <c r="J175" s="11" t="str">
        <f aca="false">IF($A175="","",IF($H175="-","유지",IF($I175="첫 건","유지","확인 필요")))</f>
        <v/>
      </c>
    </row>
    <row r="176" customFormat="false" ht="15" hidden="false" customHeight="true" outlineLevel="0" collapsed="false">
      <c r="A176" s="11" t="str">
        <f aca="false">IF(원본명단!$A175="","",173)</f>
        <v/>
      </c>
      <c r="B176" s="12" t="str">
        <f aca="false">IF($A176="","",원본명단!$A175)</f>
        <v/>
      </c>
      <c r="C176" s="12" t="str">
        <f aca="false">IF($A176="","",원본명단!$B175)</f>
        <v/>
      </c>
      <c r="D176" s="12" t="str">
        <f aca="false">IF($A176="","",원본명단!$D175)</f>
        <v/>
      </c>
      <c r="E176" s="11" t="str">
        <f aca="false">IF($A176="","",IF(원본명단!$H175="",0,COUNTIF(원본명단!$H$3:$H$6002,원본명단!$H175)))</f>
        <v/>
      </c>
      <c r="F176" s="11" t="str">
        <f aca="false">IF($A176="","",IF(원본명단!$I175="",0,COUNTIF(원본명단!$I$3:$I$6002,원본명단!$I175)))</f>
        <v/>
      </c>
      <c r="G176" s="11" t="str">
        <f aca="false">IF($A176="","",IF(원본명단!$K175="",0,COUNTIF(원본명단!$K$3:$K$6002,원본명단!$K175)))</f>
        <v/>
      </c>
      <c r="H176" s="11" t="str">
        <f aca="false">IF($A176="","",IF(MAX($E176,$F176,$G176)&gt;1,"중복","-"))</f>
        <v/>
      </c>
      <c r="I176" s="11" t="str">
        <f aca="false">IF($A176="","",IF($H176="-","-",IF(AND(IF(원본명단!$H175="",TRUE(),COUNTIF(원본명단!$H$3:$H175,원본명단!$H175)=1),IF(원본명단!$I175="",TRUE(),COUNTIF(원본명단!$I$3:$I175,원본명단!$I175)=1),IF(원본명단!$K175="",TRUE(),COUNTIF(원본명단!$K$3:$K175,원본명단!$K175)=1)),"첫 건","중복 건")))</f>
        <v/>
      </c>
      <c r="J176" s="11" t="str">
        <f aca="false">IF($A176="","",IF($H176="-","유지",IF($I176="첫 건","유지","확인 필요")))</f>
        <v/>
      </c>
    </row>
    <row r="177" customFormat="false" ht="15" hidden="false" customHeight="true" outlineLevel="0" collapsed="false">
      <c r="A177" s="11" t="str">
        <f aca="false">IF(원본명단!$A176="","",174)</f>
        <v/>
      </c>
      <c r="B177" s="12" t="str">
        <f aca="false">IF($A177="","",원본명단!$A176)</f>
        <v/>
      </c>
      <c r="C177" s="12" t="str">
        <f aca="false">IF($A177="","",원본명단!$B176)</f>
        <v/>
      </c>
      <c r="D177" s="12" t="str">
        <f aca="false">IF($A177="","",원본명단!$D176)</f>
        <v/>
      </c>
      <c r="E177" s="11" t="str">
        <f aca="false">IF($A177="","",IF(원본명단!$H176="",0,COUNTIF(원본명단!$H$3:$H$6002,원본명단!$H176)))</f>
        <v/>
      </c>
      <c r="F177" s="11" t="str">
        <f aca="false">IF($A177="","",IF(원본명단!$I176="",0,COUNTIF(원본명단!$I$3:$I$6002,원본명단!$I176)))</f>
        <v/>
      </c>
      <c r="G177" s="11" t="str">
        <f aca="false">IF($A177="","",IF(원본명단!$K176="",0,COUNTIF(원본명단!$K$3:$K$6002,원본명단!$K176)))</f>
        <v/>
      </c>
      <c r="H177" s="11" t="str">
        <f aca="false">IF($A177="","",IF(MAX($E177,$F177,$G177)&gt;1,"중복","-"))</f>
        <v/>
      </c>
      <c r="I177" s="11" t="str">
        <f aca="false">IF($A177="","",IF($H177="-","-",IF(AND(IF(원본명단!$H176="",TRUE(),COUNTIF(원본명단!$H$3:$H176,원본명단!$H176)=1),IF(원본명단!$I176="",TRUE(),COUNTIF(원본명단!$I$3:$I176,원본명단!$I176)=1),IF(원본명단!$K176="",TRUE(),COUNTIF(원본명단!$K$3:$K176,원본명단!$K176)=1)),"첫 건","중복 건")))</f>
        <v/>
      </c>
      <c r="J177" s="11" t="str">
        <f aca="false">IF($A177="","",IF($H177="-","유지",IF($I177="첫 건","유지","확인 필요")))</f>
        <v/>
      </c>
    </row>
    <row r="178" customFormat="false" ht="15" hidden="false" customHeight="true" outlineLevel="0" collapsed="false">
      <c r="A178" s="11" t="str">
        <f aca="false">IF(원본명단!$A177="","",175)</f>
        <v/>
      </c>
      <c r="B178" s="12" t="str">
        <f aca="false">IF($A178="","",원본명단!$A177)</f>
        <v/>
      </c>
      <c r="C178" s="12" t="str">
        <f aca="false">IF($A178="","",원본명단!$B177)</f>
        <v/>
      </c>
      <c r="D178" s="12" t="str">
        <f aca="false">IF($A178="","",원본명단!$D177)</f>
        <v/>
      </c>
      <c r="E178" s="11" t="str">
        <f aca="false">IF($A178="","",IF(원본명단!$H177="",0,COUNTIF(원본명단!$H$3:$H$6002,원본명단!$H177)))</f>
        <v/>
      </c>
      <c r="F178" s="11" t="str">
        <f aca="false">IF($A178="","",IF(원본명단!$I177="",0,COUNTIF(원본명단!$I$3:$I$6002,원본명단!$I177)))</f>
        <v/>
      </c>
      <c r="G178" s="11" t="str">
        <f aca="false">IF($A178="","",IF(원본명단!$K177="",0,COUNTIF(원본명단!$K$3:$K$6002,원본명단!$K177)))</f>
        <v/>
      </c>
      <c r="H178" s="11" t="str">
        <f aca="false">IF($A178="","",IF(MAX($E178,$F178,$G178)&gt;1,"중복","-"))</f>
        <v/>
      </c>
      <c r="I178" s="11" t="str">
        <f aca="false">IF($A178="","",IF($H178="-","-",IF(AND(IF(원본명단!$H177="",TRUE(),COUNTIF(원본명단!$H$3:$H177,원본명단!$H177)=1),IF(원본명단!$I177="",TRUE(),COUNTIF(원본명단!$I$3:$I177,원본명단!$I177)=1),IF(원본명단!$K177="",TRUE(),COUNTIF(원본명단!$K$3:$K177,원본명단!$K177)=1)),"첫 건","중복 건")))</f>
        <v/>
      </c>
      <c r="J178" s="11" t="str">
        <f aca="false">IF($A178="","",IF($H178="-","유지",IF($I178="첫 건","유지","확인 필요")))</f>
        <v/>
      </c>
    </row>
    <row r="179" customFormat="false" ht="15" hidden="false" customHeight="true" outlineLevel="0" collapsed="false">
      <c r="A179" s="11" t="str">
        <f aca="false">IF(원본명단!$A178="","",176)</f>
        <v/>
      </c>
      <c r="B179" s="12" t="str">
        <f aca="false">IF($A179="","",원본명단!$A178)</f>
        <v/>
      </c>
      <c r="C179" s="12" t="str">
        <f aca="false">IF($A179="","",원본명단!$B178)</f>
        <v/>
      </c>
      <c r="D179" s="12" t="str">
        <f aca="false">IF($A179="","",원본명단!$D178)</f>
        <v/>
      </c>
      <c r="E179" s="11" t="str">
        <f aca="false">IF($A179="","",IF(원본명단!$H178="",0,COUNTIF(원본명단!$H$3:$H$6002,원본명단!$H178)))</f>
        <v/>
      </c>
      <c r="F179" s="11" t="str">
        <f aca="false">IF($A179="","",IF(원본명단!$I178="",0,COUNTIF(원본명단!$I$3:$I$6002,원본명단!$I178)))</f>
        <v/>
      </c>
      <c r="G179" s="11" t="str">
        <f aca="false">IF($A179="","",IF(원본명단!$K178="",0,COUNTIF(원본명단!$K$3:$K$6002,원본명단!$K178)))</f>
        <v/>
      </c>
      <c r="H179" s="11" t="str">
        <f aca="false">IF($A179="","",IF(MAX($E179,$F179,$G179)&gt;1,"중복","-"))</f>
        <v/>
      </c>
      <c r="I179" s="11" t="str">
        <f aca="false">IF($A179="","",IF($H179="-","-",IF(AND(IF(원본명단!$H178="",TRUE(),COUNTIF(원본명단!$H$3:$H178,원본명단!$H178)=1),IF(원본명단!$I178="",TRUE(),COUNTIF(원본명단!$I$3:$I178,원본명단!$I178)=1),IF(원본명단!$K178="",TRUE(),COUNTIF(원본명단!$K$3:$K178,원본명단!$K178)=1)),"첫 건","중복 건")))</f>
        <v/>
      </c>
      <c r="J179" s="11" t="str">
        <f aca="false">IF($A179="","",IF($H179="-","유지",IF($I179="첫 건","유지","확인 필요")))</f>
        <v/>
      </c>
    </row>
    <row r="180" customFormat="false" ht="15" hidden="false" customHeight="true" outlineLevel="0" collapsed="false">
      <c r="A180" s="11" t="str">
        <f aca="false">IF(원본명단!$A179="","",177)</f>
        <v/>
      </c>
      <c r="B180" s="12" t="str">
        <f aca="false">IF($A180="","",원본명단!$A179)</f>
        <v/>
      </c>
      <c r="C180" s="12" t="str">
        <f aca="false">IF($A180="","",원본명단!$B179)</f>
        <v/>
      </c>
      <c r="D180" s="12" t="str">
        <f aca="false">IF($A180="","",원본명단!$D179)</f>
        <v/>
      </c>
      <c r="E180" s="11" t="str">
        <f aca="false">IF($A180="","",IF(원본명단!$H179="",0,COUNTIF(원본명단!$H$3:$H$6002,원본명단!$H179)))</f>
        <v/>
      </c>
      <c r="F180" s="11" t="str">
        <f aca="false">IF($A180="","",IF(원본명단!$I179="",0,COUNTIF(원본명단!$I$3:$I$6002,원본명단!$I179)))</f>
        <v/>
      </c>
      <c r="G180" s="11" t="str">
        <f aca="false">IF($A180="","",IF(원본명단!$K179="",0,COUNTIF(원본명단!$K$3:$K$6002,원본명단!$K179)))</f>
        <v/>
      </c>
      <c r="H180" s="11" t="str">
        <f aca="false">IF($A180="","",IF(MAX($E180,$F180,$G180)&gt;1,"중복","-"))</f>
        <v/>
      </c>
      <c r="I180" s="11" t="str">
        <f aca="false">IF($A180="","",IF($H180="-","-",IF(AND(IF(원본명단!$H179="",TRUE(),COUNTIF(원본명단!$H$3:$H179,원본명단!$H179)=1),IF(원본명단!$I179="",TRUE(),COUNTIF(원본명단!$I$3:$I179,원본명단!$I179)=1),IF(원본명단!$K179="",TRUE(),COUNTIF(원본명단!$K$3:$K179,원본명단!$K179)=1)),"첫 건","중복 건")))</f>
        <v/>
      </c>
      <c r="J180" s="11" t="str">
        <f aca="false">IF($A180="","",IF($H180="-","유지",IF($I180="첫 건","유지","확인 필요")))</f>
        <v/>
      </c>
    </row>
    <row r="181" customFormat="false" ht="15" hidden="false" customHeight="true" outlineLevel="0" collapsed="false">
      <c r="A181" s="11" t="str">
        <f aca="false">IF(원본명단!$A180="","",178)</f>
        <v/>
      </c>
      <c r="B181" s="12" t="str">
        <f aca="false">IF($A181="","",원본명단!$A180)</f>
        <v/>
      </c>
      <c r="C181" s="12" t="str">
        <f aca="false">IF($A181="","",원본명단!$B180)</f>
        <v/>
      </c>
      <c r="D181" s="12" t="str">
        <f aca="false">IF($A181="","",원본명단!$D180)</f>
        <v/>
      </c>
      <c r="E181" s="11" t="str">
        <f aca="false">IF($A181="","",IF(원본명단!$H180="",0,COUNTIF(원본명단!$H$3:$H$6002,원본명단!$H180)))</f>
        <v/>
      </c>
      <c r="F181" s="11" t="str">
        <f aca="false">IF($A181="","",IF(원본명단!$I180="",0,COUNTIF(원본명단!$I$3:$I$6002,원본명단!$I180)))</f>
        <v/>
      </c>
      <c r="G181" s="11" t="str">
        <f aca="false">IF($A181="","",IF(원본명단!$K180="",0,COUNTIF(원본명단!$K$3:$K$6002,원본명단!$K180)))</f>
        <v/>
      </c>
      <c r="H181" s="11" t="str">
        <f aca="false">IF($A181="","",IF(MAX($E181,$F181,$G181)&gt;1,"중복","-"))</f>
        <v/>
      </c>
      <c r="I181" s="11" t="str">
        <f aca="false">IF($A181="","",IF($H181="-","-",IF(AND(IF(원본명단!$H180="",TRUE(),COUNTIF(원본명단!$H$3:$H180,원본명단!$H180)=1),IF(원본명단!$I180="",TRUE(),COUNTIF(원본명단!$I$3:$I180,원본명단!$I180)=1),IF(원본명단!$K180="",TRUE(),COUNTIF(원본명단!$K$3:$K180,원본명단!$K180)=1)),"첫 건","중복 건")))</f>
        <v/>
      </c>
      <c r="J181" s="11" t="str">
        <f aca="false">IF($A181="","",IF($H181="-","유지",IF($I181="첫 건","유지","확인 필요")))</f>
        <v/>
      </c>
    </row>
    <row r="182" customFormat="false" ht="15" hidden="false" customHeight="true" outlineLevel="0" collapsed="false">
      <c r="A182" s="11" t="str">
        <f aca="false">IF(원본명단!$A181="","",179)</f>
        <v/>
      </c>
      <c r="B182" s="12" t="str">
        <f aca="false">IF($A182="","",원본명단!$A181)</f>
        <v/>
      </c>
      <c r="C182" s="12" t="str">
        <f aca="false">IF($A182="","",원본명단!$B181)</f>
        <v/>
      </c>
      <c r="D182" s="12" t="str">
        <f aca="false">IF($A182="","",원본명단!$D181)</f>
        <v/>
      </c>
      <c r="E182" s="11" t="str">
        <f aca="false">IF($A182="","",IF(원본명단!$H181="",0,COUNTIF(원본명단!$H$3:$H$6002,원본명단!$H181)))</f>
        <v/>
      </c>
      <c r="F182" s="11" t="str">
        <f aca="false">IF($A182="","",IF(원본명단!$I181="",0,COUNTIF(원본명단!$I$3:$I$6002,원본명단!$I181)))</f>
        <v/>
      </c>
      <c r="G182" s="11" t="str">
        <f aca="false">IF($A182="","",IF(원본명단!$K181="",0,COUNTIF(원본명단!$K$3:$K$6002,원본명단!$K181)))</f>
        <v/>
      </c>
      <c r="H182" s="11" t="str">
        <f aca="false">IF($A182="","",IF(MAX($E182,$F182,$G182)&gt;1,"중복","-"))</f>
        <v/>
      </c>
      <c r="I182" s="11" t="str">
        <f aca="false">IF($A182="","",IF($H182="-","-",IF(AND(IF(원본명단!$H181="",TRUE(),COUNTIF(원본명단!$H$3:$H181,원본명단!$H181)=1),IF(원본명단!$I181="",TRUE(),COUNTIF(원본명단!$I$3:$I181,원본명단!$I181)=1),IF(원본명단!$K181="",TRUE(),COUNTIF(원본명단!$K$3:$K181,원본명단!$K181)=1)),"첫 건","중복 건")))</f>
        <v/>
      </c>
      <c r="J182" s="11" t="str">
        <f aca="false">IF($A182="","",IF($H182="-","유지",IF($I182="첫 건","유지","확인 필요")))</f>
        <v/>
      </c>
    </row>
    <row r="183" customFormat="false" ht="15" hidden="false" customHeight="true" outlineLevel="0" collapsed="false">
      <c r="A183" s="11" t="str">
        <f aca="false">IF(원본명단!$A182="","",180)</f>
        <v/>
      </c>
      <c r="B183" s="12" t="str">
        <f aca="false">IF($A183="","",원본명단!$A182)</f>
        <v/>
      </c>
      <c r="C183" s="12" t="str">
        <f aca="false">IF($A183="","",원본명단!$B182)</f>
        <v/>
      </c>
      <c r="D183" s="12" t="str">
        <f aca="false">IF($A183="","",원본명단!$D182)</f>
        <v/>
      </c>
      <c r="E183" s="11" t="str">
        <f aca="false">IF($A183="","",IF(원본명단!$H182="",0,COUNTIF(원본명단!$H$3:$H$6002,원본명단!$H182)))</f>
        <v/>
      </c>
      <c r="F183" s="11" t="str">
        <f aca="false">IF($A183="","",IF(원본명단!$I182="",0,COUNTIF(원본명단!$I$3:$I$6002,원본명단!$I182)))</f>
        <v/>
      </c>
      <c r="G183" s="11" t="str">
        <f aca="false">IF($A183="","",IF(원본명단!$K182="",0,COUNTIF(원본명단!$K$3:$K$6002,원본명단!$K182)))</f>
        <v/>
      </c>
      <c r="H183" s="11" t="str">
        <f aca="false">IF($A183="","",IF(MAX($E183,$F183,$G183)&gt;1,"중복","-"))</f>
        <v/>
      </c>
      <c r="I183" s="11" t="str">
        <f aca="false">IF($A183="","",IF($H183="-","-",IF(AND(IF(원본명단!$H182="",TRUE(),COUNTIF(원본명단!$H$3:$H182,원본명단!$H182)=1),IF(원본명단!$I182="",TRUE(),COUNTIF(원본명단!$I$3:$I182,원본명단!$I182)=1),IF(원본명단!$K182="",TRUE(),COUNTIF(원본명단!$K$3:$K182,원본명단!$K182)=1)),"첫 건","중복 건")))</f>
        <v/>
      </c>
      <c r="J183" s="11" t="str">
        <f aca="false">IF($A183="","",IF($H183="-","유지",IF($I183="첫 건","유지","확인 필요")))</f>
        <v/>
      </c>
    </row>
    <row r="184" customFormat="false" ht="15" hidden="false" customHeight="true" outlineLevel="0" collapsed="false">
      <c r="A184" s="11" t="str">
        <f aca="false">IF(원본명단!$A183="","",181)</f>
        <v/>
      </c>
      <c r="B184" s="12" t="str">
        <f aca="false">IF($A184="","",원본명단!$A183)</f>
        <v/>
      </c>
      <c r="C184" s="12" t="str">
        <f aca="false">IF($A184="","",원본명단!$B183)</f>
        <v/>
      </c>
      <c r="D184" s="12" t="str">
        <f aca="false">IF($A184="","",원본명단!$D183)</f>
        <v/>
      </c>
      <c r="E184" s="11" t="str">
        <f aca="false">IF($A184="","",IF(원본명단!$H183="",0,COUNTIF(원본명단!$H$3:$H$6002,원본명단!$H183)))</f>
        <v/>
      </c>
      <c r="F184" s="11" t="str">
        <f aca="false">IF($A184="","",IF(원본명단!$I183="",0,COUNTIF(원본명단!$I$3:$I$6002,원본명단!$I183)))</f>
        <v/>
      </c>
      <c r="G184" s="11" t="str">
        <f aca="false">IF($A184="","",IF(원본명단!$K183="",0,COUNTIF(원본명단!$K$3:$K$6002,원본명단!$K183)))</f>
        <v/>
      </c>
      <c r="H184" s="11" t="str">
        <f aca="false">IF($A184="","",IF(MAX($E184,$F184,$G184)&gt;1,"중복","-"))</f>
        <v/>
      </c>
      <c r="I184" s="11" t="str">
        <f aca="false">IF($A184="","",IF($H184="-","-",IF(AND(IF(원본명단!$H183="",TRUE(),COUNTIF(원본명단!$H$3:$H183,원본명단!$H183)=1),IF(원본명단!$I183="",TRUE(),COUNTIF(원본명단!$I$3:$I183,원본명단!$I183)=1),IF(원본명단!$K183="",TRUE(),COUNTIF(원본명단!$K$3:$K183,원본명단!$K183)=1)),"첫 건","중복 건")))</f>
        <v/>
      </c>
      <c r="J184" s="11" t="str">
        <f aca="false">IF($A184="","",IF($H184="-","유지",IF($I184="첫 건","유지","확인 필요")))</f>
        <v/>
      </c>
    </row>
    <row r="185" customFormat="false" ht="15" hidden="false" customHeight="true" outlineLevel="0" collapsed="false">
      <c r="A185" s="11" t="str">
        <f aca="false">IF(원본명단!$A184="","",182)</f>
        <v/>
      </c>
      <c r="B185" s="12" t="str">
        <f aca="false">IF($A185="","",원본명단!$A184)</f>
        <v/>
      </c>
      <c r="C185" s="12" t="str">
        <f aca="false">IF($A185="","",원본명단!$B184)</f>
        <v/>
      </c>
      <c r="D185" s="12" t="str">
        <f aca="false">IF($A185="","",원본명단!$D184)</f>
        <v/>
      </c>
      <c r="E185" s="11" t="str">
        <f aca="false">IF($A185="","",IF(원본명단!$H184="",0,COUNTIF(원본명단!$H$3:$H$6002,원본명단!$H184)))</f>
        <v/>
      </c>
      <c r="F185" s="11" t="str">
        <f aca="false">IF($A185="","",IF(원본명단!$I184="",0,COUNTIF(원본명단!$I$3:$I$6002,원본명단!$I184)))</f>
        <v/>
      </c>
      <c r="G185" s="11" t="str">
        <f aca="false">IF($A185="","",IF(원본명단!$K184="",0,COUNTIF(원본명단!$K$3:$K$6002,원본명단!$K184)))</f>
        <v/>
      </c>
      <c r="H185" s="11" t="str">
        <f aca="false">IF($A185="","",IF(MAX($E185,$F185,$G185)&gt;1,"중복","-"))</f>
        <v/>
      </c>
      <c r="I185" s="11" t="str">
        <f aca="false">IF($A185="","",IF($H185="-","-",IF(AND(IF(원본명단!$H184="",TRUE(),COUNTIF(원본명단!$H$3:$H184,원본명단!$H184)=1),IF(원본명단!$I184="",TRUE(),COUNTIF(원본명단!$I$3:$I184,원본명단!$I184)=1),IF(원본명단!$K184="",TRUE(),COUNTIF(원본명단!$K$3:$K184,원본명단!$K184)=1)),"첫 건","중복 건")))</f>
        <v/>
      </c>
      <c r="J185" s="11" t="str">
        <f aca="false">IF($A185="","",IF($H185="-","유지",IF($I185="첫 건","유지","확인 필요")))</f>
        <v/>
      </c>
    </row>
    <row r="186" customFormat="false" ht="15" hidden="false" customHeight="true" outlineLevel="0" collapsed="false">
      <c r="A186" s="11" t="str">
        <f aca="false">IF(원본명단!$A185="","",183)</f>
        <v/>
      </c>
      <c r="B186" s="12" t="str">
        <f aca="false">IF($A186="","",원본명단!$A185)</f>
        <v/>
      </c>
      <c r="C186" s="12" t="str">
        <f aca="false">IF($A186="","",원본명단!$B185)</f>
        <v/>
      </c>
      <c r="D186" s="12" t="str">
        <f aca="false">IF($A186="","",원본명단!$D185)</f>
        <v/>
      </c>
      <c r="E186" s="11" t="str">
        <f aca="false">IF($A186="","",IF(원본명단!$H185="",0,COUNTIF(원본명단!$H$3:$H$6002,원본명단!$H185)))</f>
        <v/>
      </c>
      <c r="F186" s="11" t="str">
        <f aca="false">IF($A186="","",IF(원본명단!$I185="",0,COUNTIF(원본명단!$I$3:$I$6002,원본명단!$I185)))</f>
        <v/>
      </c>
      <c r="G186" s="11" t="str">
        <f aca="false">IF($A186="","",IF(원본명단!$K185="",0,COUNTIF(원본명단!$K$3:$K$6002,원본명단!$K185)))</f>
        <v/>
      </c>
      <c r="H186" s="11" t="str">
        <f aca="false">IF($A186="","",IF(MAX($E186,$F186,$G186)&gt;1,"중복","-"))</f>
        <v/>
      </c>
      <c r="I186" s="11" t="str">
        <f aca="false">IF($A186="","",IF($H186="-","-",IF(AND(IF(원본명단!$H185="",TRUE(),COUNTIF(원본명단!$H$3:$H185,원본명단!$H185)=1),IF(원본명단!$I185="",TRUE(),COUNTIF(원본명단!$I$3:$I185,원본명단!$I185)=1),IF(원본명단!$K185="",TRUE(),COUNTIF(원본명단!$K$3:$K185,원본명단!$K185)=1)),"첫 건","중복 건")))</f>
        <v/>
      </c>
      <c r="J186" s="11" t="str">
        <f aca="false">IF($A186="","",IF($H186="-","유지",IF($I186="첫 건","유지","확인 필요")))</f>
        <v/>
      </c>
    </row>
    <row r="187" customFormat="false" ht="15" hidden="false" customHeight="true" outlineLevel="0" collapsed="false">
      <c r="A187" s="11" t="str">
        <f aca="false">IF(원본명단!$A186="","",184)</f>
        <v/>
      </c>
      <c r="B187" s="12" t="str">
        <f aca="false">IF($A187="","",원본명단!$A186)</f>
        <v/>
      </c>
      <c r="C187" s="12" t="str">
        <f aca="false">IF($A187="","",원본명단!$B186)</f>
        <v/>
      </c>
      <c r="D187" s="12" t="str">
        <f aca="false">IF($A187="","",원본명단!$D186)</f>
        <v/>
      </c>
      <c r="E187" s="11" t="str">
        <f aca="false">IF($A187="","",IF(원본명단!$H186="",0,COUNTIF(원본명단!$H$3:$H$6002,원본명단!$H186)))</f>
        <v/>
      </c>
      <c r="F187" s="11" t="str">
        <f aca="false">IF($A187="","",IF(원본명단!$I186="",0,COUNTIF(원본명단!$I$3:$I$6002,원본명단!$I186)))</f>
        <v/>
      </c>
      <c r="G187" s="11" t="str">
        <f aca="false">IF($A187="","",IF(원본명단!$K186="",0,COUNTIF(원본명단!$K$3:$K$6002,원본명단!$K186)))</f>
        <v/>
      </c>
      <c r="H187" s="11" t="str">
        <f aca="false">IF($A187="","",IF(MAX($E187,$F187,$G187)&gt;1,"중복","-"))</f>
        <v/>
      </c>
      <c r="I187" s="11" t="str">
        <f aca="false">IF($A187="","",IF($H187="-","-",IF(AND(IF(원본명단!$H186="",TRUE(),COUNTIF(원본명단!$H$3:$H186,원본명단!$H186)=1),IF(원본명단!$I186="",TRUE(),COUNTIF(원본명단!$I$3:$I186,원본명단!$I186)=1),IF(원본명단!$K186="",TRUE(),COUNTIF(원본명단!$K$3:$K186,원본명단!$K186)=1)),"첫 건","중복 건")))</f>
        <v/>
      </c>
      <c r="J187" s="11" t="str">
        <f aca="false">IF($A187="","",IF($H187="-","유지",IF($I187="첫 건","유지","확인 필요")))</f>
        <v/>
      </c>
    </row>
    <row r="188" customFormat="false" ht="15" hidden="false" customHeight="true" outlineLevel="0" collapsed="false">
      <c r="A188" s="11" t="str">
        <f aca="false">IF(원본명단!$A187="","",185)</f>
        <v/>
      </c>
      <c r="B188" s="12" t="str">
        <f aca="false">IF($A188="","",원본명단!$A187)</f>
        <v/>
      </c>
      <c r="C188" s="12" t="str">
        <f aca="false">IF($A188="","",원본명단!$B187)</f>
        <v/>
      </c>
      <c r="D188" s="12" t="str">
        <f aca="false">IF($A188="","",원본명단!$D187)</f>
        <v/>
      </c>
      <c r="E188" s="11" t="str">
        <f aca="false">IF($A188="","",IF(원본명단!$H187="",0,COUNTIF(원본명단!$H$3:$H$6002,원본명단!$H187)))</f>
        <v/>
      </c>
      <c r="F188" s="11" t="str">
        <f aca="false">IF($A188="","",IF(원본명단!$I187="",0,COUNTIF(원본명단!$I$3:$I$6002,원본명단!$I187)))</f>
        <v/>
      </c>
      <c r="G188" s="11" t="str">
        <f aca="false">IF($A188="","",IF(원본명단!$K187="",0,COUNTIF(원본명단!$K$3:$K$6002,원본명단!$K187)))</f>
        <v/>
      </c>
      <c r="H188" s="11" t="str">
        <f aca="false">IF($A188="","",IF(MAX($E188,$F188,$G188)&gt;1,"중복","-"))</f>
        <v/>
      </c>
      <c r="I188" s="11" t="str">
        <f aca="false">IF($A188="","",IF($H188="-","-",IF(AND(IF(원본명단!$H187="",TRUE(),COUNTIF(원본명단!$H$3:$H187,원본명단!$H187)=1),IF(원본명단!$I187="",TRUE(),COUNTIF(원본명단!$I$3:$I187,원본명단!$I187)=1),IF(원본명단!$K187="",TRUE(),COUNTIF(원본명단!$K$3:$K187,원본명단!$K187)=1)),"첫 건","중복 건")))</f>
        <v/>
      </c>
      <c r="J188" s="11" t="str">
        <f aca="false">IF($A188="","",IF($H188="-","유지",IF($I188="첫 건","유지","확인 필요")))</f>
        <v/>
      </c>
    </row>
    <row r="189" customFormat="false" ht="15" hidden="false" customHeight="true" outlineLevel="0" collapsed="false">
      <c r="A189" s="11" t="str">
        <f aca="false">IF(원본명단!$A188="","",186)</f>
        <v/>
      </c>
      <c r="B189" s="12" t="str">
        <f aca="false">IF($A189="","",원본명단!$A188)</f>
        <v/>
      </c>
      <c r="C189" s="12" t="str">
        <f aca="false">IF($A189="","",원본명단!$B188)</f>
        <v/>
      </c>
      <c r="D189" s="12" t="str">
        <f aca="false">IF($A189="","",원본명단!$D188)</f>
        <v/>
      </c>
      <c r="E189" s="11" t="str">
        <f aca="false">IF($A189="","",IF(원본명단!$H188="",0,COUNTIF(원본명단!$H$3:$H$6002,원본명단!$H188)))</f>
        <v/>
      </c>
      <c r="F189" s="11" t="str">
        <f aca="false">IF($A189="","",IF(원본명단!$I188="",0,COUNTIF(원본명단!$I$3:$I$6002,원본명단!$I188)))</f>
        <v/>
      </c>
      <c r="G189" s="11" t="str">
        <f aca="false">IF($A189="","",IF(원본명단!$K188="",0,COUNTIF(원본명단!$K$3:$K$6002,원본명단!$K188)))</f>
        <v/>
      </c>
      <c r="H189" s="11" t="str">
        <f aca="false">IF($A189="","",IF(MAX($E189,$F189,$G189)&gt;1,"중복","-"))</f>
        <v/>
      </c>
      <c r="I189" s="11" t="str">
        <f aca="false">IF($A189="","",IF($H189="-","-",IF(AND(IF(원본명단!$H188="",TRUE(),COUNTIF(원본명단!$H$3:$H188,원본명단!$H188)=1),IF(원본명단!$I188="",TRUE(),COUNTIF(원본명단!$I$3:$I188,원본명단!$I188)=1),IF(원본명단!$K188="",TRUE(),COUNTIF(원본명단!$K$3:$K188,원본명단!$K188)=1)),"첫 건","중복 건")))</f>
        <v/>
      </c>
      <c r="J189" s="11" t="str">
        <f aca="false">IF($A189="","",IF($H189="-","유지",IF($I189="첫 건","유지","확인 필요")))</f>
        <v/>
      </c>
    </row>
    <row r="190" customFormat="false" ht="15" hidden="false" customHeight="true" outlineLevel="0" collapsed="false">
      <c r="A190" s="11" t="str">
        <f aca="false">IF(원본명단!$A189="","",187)</f>
        <v/>
      </c>
      <c r="B190" s="12" t="str">
        <f aca="false">IF($A190="","",원본명단!$A189)</f>
        <v/>
      </c>
      <c r="C190" s="12" t="str">
        <f aca="false">IF($A190="","",원본명단!$B189)</f>
        <v/>
      </c>
      <c r="D190" s="12" t="str">
        <f aca="false">IF($A190="","",원본명단!$D189)</f>
        <v/>
      </c>
      <c r="E190" s="11" t="str">
        <f aca="false">IF($A190="","",IF(원본명단!$H189="",0,COUNTIF(원본명단!$H$3:$H$6002,원본명단!$H189)))</f>
        <v/>
      </c>
      <c r="F190" s="11" t="str">
        <f aca="false">IF($A190="","",IF(원본명단!$I189="",0,COUNTIF(원본명단!$I$3:$I$6002,원본명단!$I189)))</f>
        <v/>
      </c>
      <c r="G190" s="11" t="str">
        <f aca="false">IF($A190="","",IF(원본명단!$K189="",0,COUNTIF(원본명단!$K$3:$K$6002,원본명단!$K189)))</f>
        <v/>
      </c>
      <c r="H190" s="11" t="str">
        <f aca="false">IF($A190="","",IF(MAX($E190,$F190,$G190)&gt;1,"중복","-"))</f>
        <v/>
      </c>
      <c r="I190" s="11" t="str">
        <f aca="false">IF($A190="","",IF($H190="-","-",IF(AND(IF(원본명단!$H189="",TRUE(),COUNTIF(원본명단!$H$3:$H189,원본명단!$H189)=1),IF(원본명단!$I189="",TRUE(),COUNTIF(원본명단!$I$3:$I189,원본명단!$I189)=1),IF(원본명단!$K189="",TRUE(),COUNTIF(원본명단!$K$3:$K189,원본명단!$K189)=1)),"첫 건","중복 건")))</f>
        <v/>
      </c>
      <c r="J190" s="11" t="str">
        <f aca="false">IF($A190="","",IF($H190="-","유지",IF($I190="첫 건","유지","확인 필요")))</f>
        <v/>
      </c>
    </row>
    <row r="191" customFormat="false" ht="15" hidden="false" customHeight="true" outlineLevel="0" collapsed="false">
      <c r="A191" s="11" t="str">
        <f aca="false">IF(원본명단!$A190="","",188)</f>
        <v/>
      </c>
      <c r="B191" s="12" t="str">
        <f aca="false">IF($A191="","",원본명단!$A190)</f>
        <v/>
      </c>
      <c r="C191" s="12" t="str">
        <f aca="false">IF($A191="","",원본명단!$B190)</f>
        <v/>
      </c>
      <c r="D191" s="12" t="str">
        <f aca="false">IF($A191="","",원본명단!$D190)</f>
        <v/>
      </c>
      <c r="E191" s="11" t="str">
        <f aca="false">IF($A191="","",IF(원본명단!$H190="",0,COUNTIF(원본명단!$H$3:$H$6002,원본명단!$H190)))</f>
        <v/>
      </c>
      <c r="F191" s="11" t="str">
        <f aca="false">IF($A191="","",IF(원본명단!$I190="",0,COUNTIF(원본명단!$I$3:$I$6002,원본명단!$I190)))</f>
        <v/>
      </c>
      <c r="G191" s="11" t="str">
        <f aca="false">IF($A191="","",IF(원본명단!$K190="",0,COUNTIF(원본명단!$K$3:$K$6002,원본명단!$K190)))</f>
        <v/>
      </c>
      <c r="H191" s="11" t="str">
        <f aca="false">IF($A191="","",IF(MAX($E191,$F191,$G191)&gt;1,"중복","-"))</f>
        <v/>
      </c>
      <c r="I191" s="11" t="str">
        <f aca="false">IF($A191="","",IF($H191="-","-",IF(AND(IF(원본명단!$H190="",TRUE(),COUNTIF(원본명단!$H$3:$H190,원본명단!$H190)=1),IF(원본명단!$I190="",TRUE(),COUNTIF(원본명단!$I$3:$I190,원본명단!$I190)=1),IF(원본명단!$K190="",TRUE(),COUNTIF(원본명단!$K$3:$K190,원본명단!$K190)=1)),"첫 건","중복 건")))</f>
        <v/>
      </c>
      <c r="J191" s="11" t="str">
        <f aca="false">IF($A191="","",IF($H191="-","유지",IF($I191="첫 건","유지","확인 필요")))</f>
        <v/>
      </c>
    </row>
    <row r="192" customFormat="false" ht="15" hidden="false" customHeight="true" outlineLevel="0" collapsed="false">
      <c r="A192" s="11" t="str">
        <f aca="false">IF(원본명단!$A191="","",189)</f>
        <v/>
      </c>
      <c r="B192" s="12" t="str">
        <f aca="false">IF($A192="","",원본명단!$A191)</f>
        <v/>
      </c>
      <c r="C192" s="12" t="str">
        <f aca="false">IF($A192="","",원본명단!$B191)</f>
        <v/>
      </c>
      <c r="D192" s="12" t="str">
        <f aca="false">IF($A192="","",원본명단!$D191)</f>
        <v/>
      </c>
      <c r="E192" s="11" t="str">
        <f aca="false">IF($A192="","",IF(원본명단!$H191="",0,COUNTIF(원본명단!$H$3:$H$6002,원본명단!$H191)))</f>
        <v/>
      </c>
      <c r="F192" s="11" t="str">
        <f aca="false">IF($A192="","",IF(원본명단!$I191="",0,COUNTIF(원본명단!$I$3:$I$6002,원본명단!$I191)))</f>
        <v/>
      </c>
      <c r="G192" s="11" t="str">
        <f aca="false">IF($A192="","",IF(원본명단!$K191="",0,COUNTIF(원본명단!$K$3:$K$6002,원본명단!$K191)))</f>
        <v/>
      </c>
      <c r="H192" s="11" t="str">
        <f aca="false">IF($A192="","",IF(MAX($E192,$F192,$G192)&gt;1,"중복","-"))</f>
        <v/>
      </c>
      <c r="I192" s="11" t="str">
        <f aca="false">IF($A192="","",IF($H192="-","-",IF(AND(IF(원본명단!$H191="",TRUE(),COUNTIF(원본명단!$H$3:$H191,원본명단!$H191)=1),IF(원본명단!$I191="",TRUE(),COUNTIF(원본명단!$I$3:$I191,원본명단!$I191)=1),IF(원본명단!$K191="",TRUE(),COUNTIF(원본명단!$K$3:$K191,원본명단!$K191)=1)),"첫 건","중복 건")))</f>
        <v/>
      </c>
      <c r="J192" s="11" t="str">
        <f aca="false">IF($A192="","",IF($H192="-","유지",IF($I192="첫 건","유지","확인 필요")))</f>
        <v/>
      </c>
    </row>
    <row r="193" customFormat="false" ht="15" hidden="false" customHeight="true" outlineLevel="0" collapsed="false">
      <c r="A193" s="11" t="str">
        <f aca="false">IF(원본명단!$A192="","",190)</f>
        <v/>
      </c>
      <c r="B193" s="12" t="str">
        <f aca="false">IF($A193="","",원본명단!$A192)</f>
        <v/>
      </c>
      <c r="C193" s="12" t="str">
        <f aca="false">IF($A193="","",원본명단!$B192)</f>
        <v/>
      </c>
      <c r="D193" s="12" t="str">
        <f aca="false">IF($A193="","",원본명단!$D192)</f>
        <v/>
      </c>
      <c r="E193" s="11" t="str">
        <f aca="false">IF($A193="","",IF(원본명단!$H192="",0,COUNTIF(원본명단!$H$3:$H$6002,원본명단!$H192)))</f>
        <v/>
      </c>
      <c r="F193" s="11" t="str">
        <f aca="false">IF($A193="","",IF(원본명단!$I192="",0,COUNTIF(원본명단!$I$3:$I$6002,원본명단!$I192)))</f>
        <v/>
      </c>
      <c r="G193" s="11" t="str">
        <f aca="false">IF($A193="","",IF(원본명단!$K192="",0,COUNTIF(원본명단!$K$3:$K$6002,원본명단!$K192)))</f>
        <v/>
      </c>
      <c r="H193" s="11" t="str">
        <f aca="false">IF($A193="","",IF(MAX($E193,$F193,$G193)&gt;1,"중복","-"))</f>
        <v/>
      </c>
      <c r="I193" s="11" t="str">
        <f aca="false">IF($A193="","",IF($H193="-","-",IF(AND(IF(원본명단!$H192="",TRUE(),COUNTIF(원본명단!$H$3:$H192,원본명단!$H192)=1),IF(원본명단!$I192="",TRUE(),COUNTIF(원본명단!$I$3:$I192,원본명단!$I192)=1),IF(원본명단!$K192="",TRUE(),COUNTIF(원본명단!$K$3:$K192,원본명단!$K192)=1)),"첫 건","중복 건")))</f>
        <v/>
      </c>
      <c r="J193" s="11" t="str">
        <f aca="false">IF($A193="","",IF($H193="-","유지",IF($I193="첫 건","유지","확인 필요")))</f>
        <v/>
      </c>
    </row>
    <row r="194" customFormat="false" ht="15" hidden="false" customHeight="true" outlineLevel="0" collapsed="false">
      <c r="A194" s="11" t="str">
        <f aca="false">IF(원본명단!$A193="","",191)</f>
        <v/>
      </c>
      <c r="B194" s="12" t="str">
        <f aca="false">IF($A194="","",원본명단!$A193)</f>
        <v/>
      </c>
      <c r="C194" s="12" t="str">
        <f aca="false">IF($A194="","",원본명단!$B193)</f>
        <v/>
      </c>
      <c r="D194" s="12" t="str">
        <f aca="false">IF($A194="","",원본명단!$D193)</f>
        <v/>
      </c>
      <c r="E194" s="11" t="str">
        <f aca="false">IF($A194="","",IF(원본명단!$H193="",0,COUNTIF(원본명단!$H$3:$H$6002,원본명단!$H193)))</f>
        <v/>
      </c>
      <c r="F194" s="11" t="str">
        <f aca="false">IF($A194="","",IF(원본명단!$I193="",0,COUNTIF(원본명단!$I$3:$I$6002,원본명단!$I193)))</f>
        <v/>
      </c>
      <c r="G194" s="11" t="str">
        <f aca="false">IF($A194="","",IF(원본명단!$K193="",0,COUNTIF(원본명단!$K$3:$K$6002,원본명단!$K193)))</f>
        <v/>
      </c>
      <c r="H194" s="11" t="str">
        <f aca="false">IF($A194="","",IF(MAX($E194,$F194,$G194)&gt;1,"중복","-"))</f>
        <v/>
      </c>
      <c r="I194" s="11" t="str">
        <f aca="false">IF($A194="","",IF($H194="-","-",IF(AND(IF(원본명단!$H193="",TRUE(),COUNTIF(원본명단!$H$3:$H193,원본명단!$H193)=1),IF(원본명단!$I193="",TRUE(),COUNTIF(원본명단!$I$3:$I193,원본명단!$I193)=1),IF(원본명단!$K193="",TRUE(),COUNTIF(원본명단!$K$3:$K193,원본명단!$K193)=1)),"첫 건","중복 건")))</f>
        <v/>
      </c>
      <c r="J194" s="11" t="str">
        <f aca="false">IF($A194="","",IF($H194="-","유지",IF($I194="첫 건","유지","확인 필요")))</f>
        <v/>
      </c>
    </row>
    <row r="195" customFormat="false" ht="15" hidden="false" customHeight="true" outlineLevel="0" collapsed="false">
      <c r="A195" s="11" t="str">
        <f aca="false">IF(원본명단!$A194="","",192)</f>
        <v/>
      </c>
      <c r="B195" s="12" t="str">
        <f aca="false">IF($A195="","",원본명단!$A194)</f>
        <v/>
      </c>
      <c r="C195" s="12" t="str">
        <f aca="false">IF($A195="","",원본명단!$B194)</f>
        <v/>
      </c>
      <c r="D195" s="12" t="str">
        <f aca="false">IF($A195="","",원본명단!$D194)</f>
        <v/>
      </c>
      <c r="E195" s="11" t="str">
        <f aca="false">IF($A195="","",IF(원본명단!$H194="",0,COUNTIF(원본명단!$H$3:$H$6002,원본명단!$H194)))</f>
        <v/>
      </c>
      <c r="F195" s="11" t="str">
        <f aca="false">IF($A195="","",IF(원본명단!$I194="",0,COUNTIF(원본명단!$I$3:$I$6002,원본명단!$I194)))</f>
        <v/>
      </c>
      <c r="G195" s="11" t="str">
        <f aca="false">IF($A195="","",IF(원본명단!$K194="",0,COUNTIF(원본명단!$K$3:$K$6002,원본명단!$K194)))</f>
        <v/>
      </c>
      <c r="H195" s="11" t="str">
        <f aca="false">IF($A195="","",IF(MAX($E195,$F195,$G195)&gt;1,"중복","-"))</f>
        <v/>
      </c>
      <c r="I195" s="11" t="str">
        <f aca="false">IF($A195="","",IF($H195="-","-",IF(AND(IF(원본명단!$H194="",TRUE(),COUNTIF(원본명단!$H$3:$H194,원본명단!$H194)=1),IF(원본명단!$I194="",TRUE(),COUNTIF(원본명단!$I$3:$I194,원본명단!$I194)=1),IF(원본명단!$K194="",TRUE(),COUNTIF(원본명단!$K$3:$K194,원본명단!$K194)=1)),"첫 건","중복 건")))</f>
        <v/>
      </c>
      <c r="J195" s="11" t="str">
        <f aca="false">IF($A195="","",IF($H195="-","유지",IF($I195="첫 건","유지","확인 필요")))</f>
        <v/>
      </c>
    </row>
    <row r="196" customFormat="false" ht="15" hidden="false" customHeight="true" outlineLevel="0" collapsed="false">
      <c r="A196" s="11" t="str">
        <f aca="false">IF(원본명단!$A195="","",193)</f>
        <v/>
      </c>
      <c r="B196" s="12" t="str">
        <f aca="false">IF($A196="","",원본명단!$A195)</f>
        <v/>
      </c>
      <c r="C196" s="12" t="str">
        <f aca="false">IF($A196="","",원본명단!$B195)</f>
        <v/>
      </c>
      <c r="D196" s="12" t="str">
        <f aca="false">IF($A196="","",원본명단!$D195)</f>
        <v/>
      </c>
      <c r="E196" s="11" t="str">
        <f aca="false">IF($A196="","",IF(원본명단!$H195="",0,COUNTIF(원본명단!$H$3:$H$6002,원본명단!$H195)))</f>
        <v/>
      </c>
      <c r="F196" s="11" t="str">
        <f aca="false">IF($A196="","",IF(원본명단!$I195="",0,COUNTIF(원본명단!$I$3:$I$6002,원본명단!$I195)))</f>
        <v/>
      </c>
      <c r="G196" s="11" t="str">
        <f aca="false">IF($A196="","",IF(원본명단!$K195="",0,COUNTIF(원본명단!$K$3:$K$6002,원본명단!$K195)))</f>
        <v/>
      </c>
      <c r="H196" s="11" t="str">
        <f aca="false">IF($A196="","",IF(MAX($E196,$F196,$G196)&gt;1,"중복","-"))</f>
        <v/>
      </c>
      <c r="I196" s="11" t="str">
        <f aca="false">IF($A196="","",IF($H196="-","-",IF(AND(IF(원본명단!$H195="",TRUE(),COUNTIF(원본명단!$H$3:$H195,원본명단!$H195)=1),IF(원본명단!$I195="",TRUE(),COUNTIF(원본명단!$I$3:$I195,원본명단!$I195)=1),IF(원본명단!$K195="",TRUE(),COUNTIF(원본명단!$K$3:$K195,원본명단!$K195)=1)),"첫 건","중복 건")))</f>
        <v/>
      </c>
      <c r="J196" s="11" t="str">
        <f aca="false">IF($A196="","",IF($H196="-","유지",IF($I196="첫 건","유지","확인 필요")))</f>
        <v/>
      </c>
    </row>
    <row r="197" customFormat="false" ht="15" hidden="false" customHeight="true" outlineLevel="0" collapsed="false">
      <c r="A197" s="11" t="str">
        <f aca="false">IF(원본명단!$A196="","",194)</f>
        <v/>
      </c>
      <c r="B197" s="12" t="str">
        <f aca="false">IF($A197="","",원본명단!$A196)</f>
        <v/>
      </c>
      <c r="C197" s="12" t="str">
        <f aca="false">IF($A197="","",원본명단!$B196)</f>
        <v/>
      </c>
      <c r="D197" s="12" t="str">
        <f aca="false">IF($A197="","",원본명단!$D196)</f>
        <v/>
      </c>
      <c r="E197" s="11" t="str">
        <f aca="false">IF($A197="","",IF(원본명단!$H196="",0,COUNTIF(원본명단!$H$3:$H$6002,원본명단!$H196)))</f>
        <v/>
      </c>
      <c r="F197" s="11" t="str">
        <f aca="false">IF($A197="","",IF(원본명단!$I196="",0,COUNTIF(원본명단!$I$3:$I$6002,원본명단!$I196)))</f>
        <v/>
      </c>
      <c r="G197" s="11" t="str">
        <f aca="false">IF($A197="","",IF(원본명단!$K196="",0,COUNTIF(원본명단!$K$3:$K$6002,원본명단!$K196)))</f>
        <v/>
      </c>
      <c r="H197" s="11" t="str">
        <f aca="false">IF($A197="","",IF(MAX($E197,$F197,$G197)&gt;1,"중복","-"))</f>
        <v/>
      </c>
      <c r="I197" s="11" t="str">
        <f aca="false">IF($A197="","",IF($H197="-","-",IF(AND(IF(원본명단!$H196="",TRUE(),COUNTIF(원본명단!$H$3:$H196,원본명단!$H196)=1),IF(원본명단!$I196="",TRUE(),COUNTIF(원본명단!$I$3:$I196,원본명단!$I196)=1),IF(원본명단!$K196="",TRUE(),COUNTIF(원본명단!$K$3:$K196,원본명단!$K196)=1)),"첫 건","중복 건")))</f>
        <v/>
      </c>
      <c r="J197" s="11" t="str">
        <f aca="false">IF($A197="","",IF($H197="-","유지",IF($I197="첫 건","유지","확인 필요")))</f>
        <v/>
      </c>
    </row>
    <row r="198" customFormat="false" ht="15" hidden="false" customHeight="true" outlineLevel="0" collapsed="false">
      <c r="A198" s="11" t="str">
        <f aca="false">IF(원본명단!$A197="","",195)</f>
        <v/>
      </c>
      <c r="B198" s="12" t="str">
        <f aca="false">IF($A198="","",원본명단!$A197)</f>
        <v/>
      </c>
      <c r="C198" s="12" t="str">
        <f aca="false">IF($A198="","",원본명단!$B197)</f>
        <v/>
      </c>
      <c r="D198" s="12" t="str">
        <f aca="false">IF($A198="","",원본명단!$D197)</f>
        <v/>
      </c>
      <c r="E198" s="11" t="str">
        <f aca="false">IF($A198="","",IF(원본명단!$H197="",0,COUNTIF(원본명단!$H$3:$H$6002,원본명단!$H197)))</f>
        <v/>
      </c>
      <c r="F198" s="11" t="str">
        <f aca="false">IF($A198="","",IF(원본명단!$I197="",0,COUNTIF(원본명단!$I$3:$I$6002,원본명단!$I197)))</f>
        <v/>
      </c>
      <c r="G198" s="11" t="str">
        <f aca="false">IF($A198="","",IF(원본명단!$K197="",0,COUNTIF(원본명단!$K$3:$K$6002,원본명단!$K197)))</f>
        <v/>
      </c>
      <c r="H198" s="11" t="str">
        <f aca="false">IF($A198="","",IF(MAX($E198,$F198,$G198)&gt;1,"중복","-"))</f>
        <v/>
      </c>
      <c r="I198" s="11" t="str">
        <f aca="false">IF($A198="","",IF($H198="-","-",IF(AND(IF(원본명단!$H197="",TRUE(),COUNTIF(원본명단!$H$3:$H197,원본명단!$H197)=1),IF(원본명단!$I197="",TRUE(),COUNTIF(원본명단!$I$3:$I197,원본명단!$I197)=1),IF(원본명단!$K197="",TRUE(),COUNTIF(원본명단!$K$3:$K197,원본명단!$K197)=1)),"첫 건","중복 건")))</f>
        <v/>
      </c>
      <c r="J198" s="11" t="str">
        <f aca="false">IF($A198="","",IF($H198="-","유지",IF($I198="첫 건","유지","확인 필요")))</f>
        <v/>
      </c>
    </row>
    <row r="199" customFormat="false" ht="15" hidden="false" customHeight="true" outlineLevel="0" collapsed="false">
      <c r="A199" s="11" t="str">
        <f aca="false">IF(원본명단!$A198="","",196)</f>
        <v/>
      </c>
      <c r="B199" s="12" t="str">
        <f aca="false">IF($A199="","",원본명단!$A198)</f>
        <v/>
      </c>
      <c r="C199" s="12" t="str">
        <f aca="false">IF($A199="","",원본명단!$B198)</f>
        <v/>
      </c>
      <c r="D199" s="12" t="str">
        <f aca="false">IF($A199="","",원본명단!$D198)</f>
        <v/>
      </c>
      <c r="E199" s="11" t="str">
        <f aca="false">IF($A199="","",IF(원본명단!$H198="",0,COUNTIF(원본명단!$H$3:$H$6002,원본명단!$H198)))</f>
        <v/>
      </c>
      <c r="F199" s="11" t="str">
        <f aca="false">IF($A199="","",IF(원본명단!$I198="",0,COUNTIF(원본명단!$I$3:$I$6002,원본명단!$I198)))</f>
        <v/>
      </c>
      <c r="G199" s="11" t="str">
        <f aca="false">IF($A199="","",IF(원본명단!$K198="",0,COUNTIF(원본명단!$K$3:$K$6002,원본명단!$K198)))</f>
        <v/>
      </c>
      <c r="H199" s="11" t="str">
        <f aca="false">IF($A199="","",IF(MAX($E199,$F199,$G199)&gt;1,"중복","-"))</f>
        <v/>
      </c>
      <c r="I199" s="11" t="str">
        <f aca="false">IF($A199="","",IF($H199="-","-",IF(AND(IF(원본명단!$H198="",TRUE(),COUNTIF(원본명단!$H$3:$H198,원본명단!$H198)=1),IF(원본명단!$I198="",TRUE(),COUNTIF(원본명단!$I$3:$I198,원본명단!$I198)=1),IF(원본명단!$K198="",TRUE(),COUNTIF(원본명단!$K$3:$K198,원본명단!$K198)=1)),"첫 건","중복 건")))</f>
        <v/>
      </c>
      <c r="J199" s="11" t="str">
        <f aca="false">IF($A199="","",IF($H199="-","유지",IF($I199="첫 건","유지","확인 필요")))</f>
        <v/>
      </c>
    </row>
    <row r="200" customFormat="false" ht="15" hidden="false" customHeight="true" outlineLevel="0" collapsed="false">
      <c r="A200" s="11" t="str">
        <f aca="false">IF(원본명단!$A199="","",197)</f>
        <v/>
      </c>
      <c r="B200" s="12" t="str">
        <f aca="false">IF($A200="","",원본명단!$A199)</f>
        <v/>
      </c>
      <c r="C200" s="12" t="str">
        <f aca="false">IF($A200="","",원본명단!$B199)</f>
        <v/>
      </c>
      <c r="D200" s="12" t="str">
        <f aca="false">IF($A200="","",원본명단!$D199)</f>
        <v/>
      </c>
      <c r="E200" s="11" t="str">
        <f aca="false">IF($A200="","",IF(원본명단!$H199="",0,COUNTIF(원본명단!$H$3:$H$6002,원본명단!$H199)))</f>
        <v/>
      </c>
      <c r="F200" s="11" t="str">
        <f aca="false">IF($A200="","",IF(원본명단!$I199="",0,COUNTIF(원본명단!$I$3:$I$6002,원본명단!$I199)))</f>
        <v/>
      </c>
      <c r="G200" s="11" t="str">
        <f aca="false">IF($A200="","",IF(원본명단!$K199="",0,COUNTIF(원본명단!$K$3:$K$6002,원본명단!$K199)))</f>
        <v/>
      </c>
      <c r="H200" s="11" t="str">
        <f aca="false">IF($A200="","",IF(MAX($E200,$F200,$G200)&gt;1,"중복","-"))</f>
        <v/>
      </c>
      <c r="I200" s="11" t="str">
        <f aca="false">IF($A200="","",IF($H200="-","-",IF(AND(IF(원본명단!$H199="",TRUE(),COUNTIF(원본명단!$H$3:$H199,원본명단!$H199)=1),IF(원본명단!$I199="",TRUE(),COUNTIF(원본명단!$I$3:$I199,원본명단!$I199)=1),IF(원본명단!$K199="",TRUE(),COUNTIF(원본명단!$K$3:$K199,원본명단!$K199)=1)),"첫 건","중복 건")))</f>
        <v/>
      </c>
      <c r="J200" s="11" t="str">
        <f aca="false">IF($A200="","",IF($H200="-","유지",IF($I200="첫 건","유지","확인 필요")))</f>
        <v/>
      </c>
    </row>
    <row r="201" customFormat="false" ht="15" hidden="false" customHeight="true" outlineLevel="0" collapsed="false">
      <c r="A201" s="11" t="str">
        <f aca="false">IF(원본명단!$A200="","",198)</f>
        <v/>
      </c>
      <c r="B201" s="12" t="str">
        <f aca="false">IF($A201="","",원본명단!$A200)</f>
        <v/>
      </c>
      <c r="C201" s="12" t="str">
        <f aca="false">IF($A201="","",원본명단!$B200)</f>
        <v/>
      </c>
      <c r="D201" s="12" t="str">
        <f aca="false">IF($A201="","",원본명단!$D200)</f>
        <v/>
      </c>
      <c r="E201" s="11" t="str">
        <f aca="false">IF($A201="","",IF(원본명단!$H200="",0,COUNTIF(원본명단!$H$3:$H$6002,원본명단!$H200)))</f>
        <v/>
      </c>
      <c r="F201" s="11" t="str">
        <f aca="false">IF($A201="","",IF(원본명단!$I200="",0,COUNTIF(원본명단!$I$3:$I$6002,원본명단!$I200)))</f>
        <v/>
      </c>
      <c r="G201" s="11" t="str">
        <f aca="false">IF($A201="","",IF(원본명단!$K200="",0,COUNTIF(원본명단!$K$3:$K$6002,원본명단!$K200)))</f>
        <v/>
      </c>
      <c r="H201" s="11" t="str">
        <f aca="false">IF($A201="","",IF(MAX($E201,$F201,$G201)&gt;1,"중복","-"))</f>
        <v/>
      </c>
      <c r="I201" s="11" t="str">
        <f aca="false">IF($A201="","",IF($H201="-","-",IF(AND(IF(원본명단!$H200="",TRUE(),COUNTIF(원본명단!$H$3:$H200,원본명단!$H200)=1),IF(원본명단!$I200="",TRUE(),COUNTIF(원본명단!$I$3:$I200,원본명단!$I200)=1),IF(원본명단!$K200="",TRUE(),COUNTIF(원본명단!$K$3:$K200,원본명단!$K200)=1)),"첫 건","중복 건")))</f>
        <v/>
      </c>
      <c r="J201" s="11" t="str">
        <f aca="false">IF($A201="","",IF($H201="-","유지",IF($I201="첫 건","유지","확인 필요")))</f>
        <v/>
      </c>
    </row>
    <row r="202" customFormat="false" ht="15" hidden="false" customHeight="true" outlineLevel="0" collapsed="false">
      <c r="A202" s="11" t="str">
        <f aca="false">IF(원본명단!$A201="","",199)</f>
        <v/>
      </c>
      <c r="B202" s="12" t="str">
        <f aca="false">IF($A202="","",원본명단!$A201)</f>
        <v/>
      </c>
      <c r="C202" s="12" t="str">
        <f aca="false">IF($A202="","",원본명단!$B201)</f>
        <v/>
      </c>
      <c r="D202" s="12" t="str">
        <f aca="false">IF($A202="","",원본명단!$D201)</f>
        <v/>
      </c>
      <c r="E202" s="11" t="str">
        <f aca="false">IF($A202="","",IF(원본명단!$H201="",0,COUNTIF(원본명단!$H$3:$H$6002,원본명단!$H201)))</f>
        <v/>
      </c>
      <c r="F202" s="11" t="str">
        <f aca="false">IF($A202="","",IF(원본명단!$I201="",0,COUNTIF(원본명단!$I$3:$I$6002,원본명단!$I201)))</f>
        <v/>
      </c>
      <c r="G202" s="11" t="str">
        <f aca="false">IF($A202="","",IF(원본명단!$K201="",0,COUNTIF(원본명단!$K$3:$K$6002,원본명단!$K201)))</f>
        <v/>
      </c>
      <c r="H202" s="11" t="str">
        <f aca="false">IF($A202="","",IF(MAX($E202,$F202,$G202)&gt;1,"중복","-"))</f>
        <v/>
      </c>
      <c r="I202" s="11" t="str">
        <f aca="false">IF($A202="","",IF($H202="-","-",IF(AND(IF(원본명단!$H201="",TRUE(),COUNTIF(원본명단!$H$3:$H201,원본명단!$H201)=1),IF(원본명단!$I201="",TRUE(),COUNTIF(원본명단!$I$3:$I201,원본명단!$I201)=1),IF(원본명단!$K201="",TRUE(),COUNTIF(원본명단!$K$3:$K201,원본명단!$K201)=1)),"첫 건","중복 건")))</f>
        <v/>
      </c>
      <c r="J202" s="11" t="str">
        <f aca="false">IF($A202="","",IF($H202="-","유지",IF($I202="첫 건","유지","확인 필요")))</f>
        <v/>
      </c>
    </row>
    <row r="203" customFormat="false" ht="15" hidden="false" customHeight="true" outlineLevel="0" collapsed="false">
      <c r="A203" s="11" t="str">
        <f aca="false">IF(원본명단!$A202="","",200)</f>
        <v/>
      </c>
      <c r="B203" s="12" t="str">
        <f aca="false">IF($A203="","",원본명단!$A202)</f>
        <v/>
      </c>
      <c r="C203" s="12" t="str">
        <f aca="false">IF($A203="","",원본명단!$B202)</f>
        <v/>
      </c>
      <c r="D203" s="12" t="str">
        <f aca="false">IF($A203="","",원본명단!$D202)</f>
        <v/>
      </c>
      <c r="E203" s="11" t="str">
        <f aca="false">IF($A203="","",IF(원본명단!$H202="",0,COUNTIF(원본명단!$H$3:$H$6002,원본명단!$H202)))</f>
        <v/>
      </c>
      <c r="F203" s="11" t="str">
        <f aca="false">IF($A203="","",IF(원본명단!$I202="",0,COUNTIF(원본명단!$I$3:$I$6002,원본명단!$I202)))</f>
        <v/>
      </c>
      <c r="G203" s="11" t="str">
        <f aca="false">IF($A203="","",IF(원본명단!$K202="",0,COUNTIF(원본명단!$K$3:$K$6002,원본명단!$K202)))</f>
        <v/>
      </c>
      <c r="H203" s="11" t="str">
        <f aca="false">IF($A203="","",IF(MAX($E203,$F203,$G203)&gt;1,"중복","-"))</f>
        <v/>
      </c>
      <c r="I203" s="11" t="str">
        <f aca="false">IF($A203="","",IF($H203="-","-",IF(AND(IF(원본명단!$H202="",TRUE(),COUNTIF(원본명단!$H$3:$H202,원본명단!$H202)=1),IF(원본명단!$I202="",TRUE(),COUNTIF(원본명단!$I$3:$I202,원본명단!$I202)=1),IF(원본명단!$K202="",TRUE(),COUNTIF(원본명단!$K$3:$K202,원본명단!$K202)=1)),"첫 건","중복 건")))</f>
        <v/>
      </c>
      <c r="J203" s="11" t="str">
        <f aca="false">IF($A203="","",IF($H203="-","유지",IF($I203="첫 건","유지","확인 필요")))</f>
        <v/>
      </c>
    </row>
    <row r="204" customFormat="false" ht="15" hidden="false" customHeight="true" outlineLevel="0" collapsed="false">
      <c r="A204" s="11" t="str">
        <f aca="false">IF(원본명단!$A203="","",201)</f>
        <v/>
      </c>
      <c r="B204" s="12" t="str">
        <f aca="false">IF($A204="","",원본명단!$A203)</f>
        <v/>
      </c>
      <c r="C204" s="12" t="str">
        <f aca="false">IF($A204="","",원본명단!$B203)</f>
        <v/>
      </c>
      <c r="D204" s="12" t="str">
        <f aca="false">IF($A204="","",원본명단!$D203)</f>
        <v/>
      </c>
      <c r="E204" s="11" t="str">
        <f aca="false">IF($A204="","",IF(원본명단!$H203="",0,COUNTIF(원본명단!$H$3:$H$6002,원본명단!$H203)))</f>
        <v/>
      </c>
      <c r="F204" s="11" t="str">
        <f aca="false">IF($A204="","",IF(원본명단!$I203="",0,COUNTIF(원본명단!$I$3:$I$6002,원본명단!$I203)))</f>
        <v/>
      </c>
      <c r="G204" s="11" t="str">
        <f aca="false">IF($A204="","",IF(원본명단!$K203="",0,COUNTIF(원본명단!$K$3:$K$6002,원본명단!$K203)))</f>
        <v/>
      </c>
      <c r="H204" s="11" t="str">
        <f aca="false">IF($A204="","",IF(MAX($E204,$F204,$G204)&gt;1,"중복","-"))</f>
        <v/>
      </c>
      <c r="I204" s="11" t="str">
        <f aca="false">IF($A204="","",IF($H204="-","-",IF(AND(IF(원본명단!$H203="",TRUE(),COUNTIF(원본명단!$H$3:$H203,원본명단!$H203)=1),IF(원본명단!$I203="",TRUE(),COUNTIF(원본명단!$I$3:$I203,원본명단!$I203)=1),IF(원본명단!$K203="",TRUE(),COUNTIF(원본명단!$K$3:$K203,원본명단!$K203)=1)),"첫 건","중복 건")))</f>
        <v/>
      </c>
      <c r="J204" s="11" t="str">
        <f aca="false">IF($A204="","",IF($H204="-","유지",IF($I204="첫 건","유지","확인 필요")))</f>
        <v/>
      </c>
    </row>
    <row r="205" customFormat="false" ht="15" hidden="false" customHeight="true" outlineLevel="0" collapsed="false">
      <c r="A205" s="11" t="str">
        <f aca="false">IF(원본명단!$A204="","",202)</f>
        <v/>
      </c>
      <c r="B205" s="12" t="str">
        <f aca="false">IF($A205="","",원본명단!$A204)</f>
        <v/>
      </c>
      <c r="C205" s="12" t="str">
        <f aca="false">IF($A205="","",원본명단!$B204)</f>
        <v/>
      </c>
      <c r="D205" s="12" t="str">
        <f aca="false">IF($A205="","",원본명단!$D204)</f>
        <v/>
      </c>
      <c r="E205" s="11" t="str">
        <f aca="false">IF($A205="","",IF(원본명단!$H204="",0,COUNTIF(원본명단!$H$3:$H$6002,원본명단!$H204)))</f>
        <v/>
      </c>
      <c r="F205" s="11" t="str">
        <f aca="false">IF($A205="","",IF(원본명단!$I204="",0,COUNTIF(원본명단!$I$3:$I$6002,원본명단!$I204)))</f>
        <v/>
      </c>
      <c r="G205" s="11" t="str">
        <f aca="false">IF($A205="","",IF(원본명단!$K204="",0,COUNTIF(원본명단!$K$3:$K$6002,원본명단!$K204)))</f>
        <v/>
      </c>
      <c r="H205" s="11" t="str">
        <f aca="false">IF($A205="","",IF(MAX($E205,$F205,$G205)&gt;1,"중복","-"))</f>
        <v/>
      </c>
      <c r="I205" s="11" t="str">
        <f aca="false">IF($A205="","",IF($H205="-","-",IF(AND(IF(원본명단!$H204="",TRUE(),COUNTIF(원본명단!$H$3:$H204,원본명단!$H204)=1),IF(원본명단!$I204="",TRUE(),COUNTIF(원본명단!$I$3:$I204,원본명단!$I204)=1),IF(원본명단!$K204="",TRUE(),COUNTIF(원본명단!$K$3:$K204,원본명단!$K204)=1)),"첫 건","중복 건")))</f>
        <v/>
      </c>
      <c r="J205" s="11" t="str">
        <f aca="false">IF($A205="","",IF($H205="-","유지",IF($I205="첫 건","유지","확인 필요")))</f>
        <v/>
      </c>
    </row>
    <row r="206" customFormat="false" ht="15" hidden="false" customHeight="true" outlineLevel="0" collapsed="false">
      <c r="A206" s="11" t="str">
        <f aca="false">IF(원본명단!$A205="","",203)</f>
        <v/>
      </c>
      <c r="B206" s="12" t="str">
        <f aca="false">IF($A206="","",원본명단!$A205)</f>
        <v/>
      </c>
      <c r="C206" s="12" t="str">
        <f aca="false">IF($A206="","",원본명단!$B205)</f>
        <v/>
      </c>
      <c r="D206" s="12" t="str">
        <f aca="false">IF($A206="","",원본명단!$D205)</f>
        <v/>
      </c>
      <c r="E206" s="11" t="str">
        <f aca="false">IF($A206="","",IF(원본명단!$H205="",0,COUNTIF(원본명단!$H$3:$H$6002,원본명단!$H205)))</f>
        <v/>
      </c>
      <c r="F206" s="11" t="str">
        <f aca="false">IF($A206="","",IF(원본명단!$I205="",0,COUNTIF(원본명단!$I$3:$I$6002,원본명단!$I205)))</f>
        <v/>
      </c>
      <c r="G206" s="11" t="str">
        <f aca="false">IF($A206="","",IF(원본명단!$K205="",0,COUNTIF(원본명단!$K$3:$K$6002,원본명단!$K205)))</f>
        <v/>
      </c>
      <c r="H206" s="11" t="str">
        <f aca="false">IF($A206="","",IF(MAX($E206,$F206,$G206)&gt;1,"중복","-"))</f>
        <v/>
      </c>
      <c r="I206" s="11" t="str">
        <f aca="false">IF($A206="","",IF($H206="-","-",IF(AND(IF(원본명단!$H205="",TRUE(),COUNTIF(원본명단!$H$3:$H205,원본명단!$H205)=1),IF(원본명단!$I205="",TRUE(),COUNTIF(원본명단!$I$3:$I205,원본명단!$I205)=1),IF(원본명단!$K205="",TRUE(),COUNTIF(원본명단!$K$3:$K205,원본명단!$K205)=1)),"첫 건","중복 건")))</f>
        <v/>
      </c>
      <c r="J206" s="11" t="str">
        <f aca="false">IF($A206="","",IF($H206="-","유지",IF($I206="첫 건","유지","확인 필요")))</f>
        <v/>
      </c>
    </row>
    <row r="207" customFormat="false" ht="15" hidden="false" customHeight="true" outlineLevel="0" collapsed="false">
      <c r="A207" s="11" t="str">
        <f aca="false">IF(원본명단!$A206="","",204)</f>
        <v/>
      </c>
      <c r="B207" s="12" t="str">
        <f aca="false">IF($A207="","",원본명단!$A206)</f>
        <v/>
      </c>
      <c r="C207" s="12" t="str">
        <f aca="false">IF($A207="","",원본명단!$B206)</f>
        <v/>
      </c>
      <c r="D207" s="12" t="str">
        <f aca="false">IF($A207="","",원본명단!$D206)</f>
        <v/>
      </c>
      <c r="E207" s="11" t="str">
        <f aca="false">IF($A207="","",IF(원본명단!$H206="",0,COUNTIF(원본명단!$H$3:$H$6002,원본명단!$H206)))</f>
        <v/>
      </c>
      <c r="F207" s="11" t="str">
        <f aca="false">IF($A207="","",IF(원본명단!$I206="",0,COUNTIF(원본명단!$I$3:$I$6002,원본명단!$I206)))</f>
        <v/>
      </c>
      <c r="G207" s="11" t="str">
        <f aca="false">IF($A207="","",IF(원본명단!$K206="",0,COUNTIF(원본명단!$K$3:$K$6002,원본명단!$K206)))</f>
        <v/>
      </c>
      <c r="H207" s="11" t="str">
        <f aca="false">IF($A207="","",IF(MAX($E207,$F207,$G207)&gt;1,"중복","-"))</f>
        <v/>
      </c>
      <c r="I207" s="11" t="str">
        <f aca="false">IF($A207="","",IF($H207="-","-",IF(AND(IF(원본명단!$H206="",TRUE(),COUNTIF(원본명단!$H$3:$H206,원본명단!$H206)=1),IF(원본명단!$I206="",TRUE(),COUNTIF(원본명단!$I$3:$I206,원본명단!$I206)=1),IF(원본명단!$K206="",TRUE(),COUNTIF(원본명단!$K$3:$K206,원본명단!$K206)=1)),"첫 건","중복 건")))</f>
        <v/>
      </c>
      <c r="J207" s="11" t="str">
        <f aca="false">IF($A207="","",IF($H207="-","유지",IF($I207="첫 건","유지","확인 필요")))</f>
        <v/>
      </c>
    </row>
    <row r="208" customFormat="false" ht="15" hidden="false" customHeight="true" outlineLevel="0" collapsed="false">
      <c r="A208" s="11" t="str">
        <f aca="false">IF(원본명단!$A207="","",205)</f>
        <v/>
      </c>
      <c r="B208" s="12" t="str">
        <f aca="false">IF($A208="","",원본명단!$A207)</f>
        <v/>
      </c>
      <c r="C208" s="12" t="str">
        <f aca="false">IF($A208="","",원본명단!$B207)</f>
        <v/>
      </c>
      <c r="D208" s="12" t="str">
        <f aca="false">IF($A208="","",원본명단!$D207)</f>
        <v/>
      </c>
      <c r="E208" s="11" t="str">
        <f aca="false">IF($A208="","",IF(원본명단!$H207="",0,COUNTIF(원본명단!$H$3:$H$6002,원본명단!$H207)))</f>
        <v/>
      </c>
      <c r="F208" s="11" t="str">
        <f aca="false">IF($A208="","",IF(원본명단!$I207="",0,COUNTIF(원본명단!$I$3:$I$6002,원본명단!$I207)))</f>
        <v/>
      </c>
      <c r="G208" s="11" t="str">
        <f aca="false">IF($A208="","",IF(원본명단!$K207="",0,COUNTIF(원본명단!$K$3:$K$6002,원본명단!$K207)))</f>
        <v/>
      </c>
      <c r="H208" s="11" t="str">
        <f aca="false">IF($A208="","",IF(MAX($E208,$F208,$G208)&gt;1,"중복","-"))</f>
        <v/>
      </c>
      <c r="I208" s="11" t="str">
        <f aca="false">IF($A208="","",IF($H208="-","-",IF(AND(IF(원본명단!$H207="",TRUE(),COUNTIF(원본명단!$H$3:$H207,원본명단!$H207)=1),IF(원본명단!$I207="",TRUE(),COUNTIF(원본명단!$I$3:$I207,원본명단!$I207)=1),IF(원본명단!$K207="",TRUE(),COUNTIF(원본명단!$K$3:$K207,원본명단!$K207)=1)),"첫 건","중복 건")))</f>
        <v/>
      </c>
      <c r="J208" s="11" t="str">
        <f aca="false">IF($A208="","",IF($H208="-","유지",IF($I208="첫 건","유지","확인 필요")))</f>
        <v/>
      </c>
    </row>
    <row r="209" customFormat="false" ht="15" hidden="false" customHeight="true" outlineLevel="0" collapsed="false">
      <c r="A209" s="11" t="str">
        <f aca="false">IF(원본명단!$A208="","",206)</f>
        <v/>
      </c>
      <c r="B209" s="12" t="str">
        <f aca="false">IF($A209="","",원본명단!$A208)</f>
        <v/>
      </c>
      <c r="C209" s="12" t="str">
        <f aca="false">IF($A209="","",원본명단!$B208)</f>
        <v/>
      </c>
      <c r="D209" s="12" t="str">
        <f aca="false">IF($A209="","",원본명단!$D208)</f>
        <v/>
      </c>
      <c r="E209" s="11" t="str">
        <f aca="false">IF($A209="","",IF(원본명단!$H208="",0,COUNTIF(원본명단!$H$3:$H$6002,원본명단!$H208)))</f>
        <v/>
      </c>
      <c r="F209" s="11" t="str">
        <f aca="false">IF($A209="","",IF(원본명단!$I208="",0,COUNTIF(원본명단!$I$3:$I$6002,원본명단!$I208)))</f>
        <v/>
      </c>
      <c r="G209" s="11" t="str">
        <f aca="false">IF($A209="","",IF(원본명단!$K208="",0,COUNTIF(원본명단!$K$3:$K$6002,원본명단!$K208)))</f>
        <v/>
      </c>
      <c r="H209" s="11" t="str">
        <f aca="false">IF($A209="","",IF(MAX($E209,$F209,$G209)&gt;1,"중복","-"))</f>
        <v/>
      </c>
      <c r="I209" s="11" t="str">
        <f aca="false">IF($A209="","",IF($H209="-","-",IF(AND(IF(원본명단!$H208="",TRUE(),COUNTIF(원본명단!$H$3:$H208,원본명단!$H208)=1),IF(원본명단!$I208="",TRUE(),COUNTIF(원본명단!$I$3:$I208,원본명단!$I208)=1),IF(원본명단!$K208="",TRUE(),COUNTIF(원본명단!$K$3:$K208,원본명단!$K208)=1)),"첫 건","중복 건")))</f>
        <v/>
      </c>
      <c r="J209" s="11" t="str">
        <f aca="false">IF($A209="","",IF($H209="-","유지",IF($I209="첫 건","유지","확인 필요")))</f>
        <v/>
      </c>
    </row>
    <row r="210" customFormat="false" ht="15" hidden="false" customHeight="true" outlineLevel="0" collapsed="false">
      <c r="A210" s="11" t="str">
        <f aca="false">IF(원본명단!$A209="","",207)</f>
        <v/>
      </c>
      <c r="B210" s="12" t="str">
        <f aca="false">IF($A210="","",원본명단!$A209)</f>
        <v/>
      </c>
      <c r="C210" s="12" t="str">
        <f aca="false">IF($A210="","",원본명단!$B209)</f>
        <v/>
      </c>
      <c r="D210" s="12" t="str">
        <f aca="false">IF($A210="","",원본명단!$D209)</f>
        <v/>
      </c>
      <c r="E210" s="11" t="str">
        <f aca="false">IF($A210="","",IF(원본명단!$H209="",0,COUNTIF(원본명단!$H$3:$H$6002,원본명단!$H209)))</f>
        <v/>
      </c>
      <c r="F210" s="11" t="str">
        <f aca="false">IF($A210="","",IF(원본명단!$I209="",0,COUNTIF(원본명단!$I$3:$I$6002,원본명단!$I209)))</f>
        <v/>
      </c>
      <c r="G210" s="11" t="str">
        <f aca="false">IF($A210="","",IF(원본명단!$K209="",0,COUNTIF(원본명단!$K$3:$K$6002,원본명단!$K209)))</f>
        <v/>
      </c>
      <c r="H210" s="11" t="str">
        <f aca="false">IF($A210="","",IF(MAX($E210,$F210,$G210)&gt;1,"중복","-"))</f>
        <v/>
      </c>
      <c r="I210" s="11" t="str">
        <f aca="false">IF($A210="","",IF($H210="-","-",IF(AND(IF(원본명단!$H209="",TRUE(),COUNTIF(원본명단!$H$3:$H209,원본명단!$H209)=1),IF(원본명단!$I209="",TRUE(),COUNTIF(원본명단!$I$3:$I209,원본명단!$I209)=1),IF(원본명단!$K209="",TRUE(),COUNTIF(원본명단!$K$3:$K209,원본명단!$K209)=1)),"첫 건","중복 건")))</f>
        <v/>
      </c>
      <c r="J210" s="11" t="str">
        <f aca="false">IF($A210="","",IF($H210="-","유지",IF($I210="첫 건","유지","확인 필요")))</f>
        <v/>
      </c>
    </row>
    <row r="211" customFormat="false" ht="15" hidden="false" customHeight="true" outlineLevel="0" collapsed="false">
      <c r="A211" s="11" t="str">
        <f aca="false">IF(원본명단!$A210="","",208)</f>
        <v/>
      </c>
      <c r="B211" s="12" t="str">
        <f aca="false">IF($A211="","",원본명단!$A210)</f>
        <v/>
      </c>
      <c r="C211" s="12" t="str">
        <f aca="false">IF($A211="","",원본명단!$B210)</f>
        <v/>
      </c>
      <c r="D211" s="12" t="str">
        <f aca="false">IF($A211="","",원본명단!$D210)</f>
        <v/>
      </c>
      <c r="E211" s="11" t="str">
        <f aca="false">IF($A211="","",IF(원본명단!$H210="",0,COUNTIF(원본명단!$H$3:$H$6002,원본명단!$H210)))</f>
        <v/>
      </c>
      <c r="F211" s="11" t="str">
        <f aca="false">IF($A211="","",IF(원본명단!$I210="",0,COUNTIF(원본명단!$I$3:$I$6002,원본명단!$I210)))</f>
        <v/>
      </c>
      <c r="G211" s="11" t="str">
        <f aca="false">IF($A211="","",IF(원본명단!$K210="",0,COUNTIF(원본명단!$K$3:$K$6002,원본명단!$K210)))</f>
        <v/>
      </c>
      <c r="H211" s="11" t="str">
        <f aca="false">IF($A211="","",IF(MAX($E211,$F211,$G211)&gt;1,"중복","-"))</f>
        <v/>
      </c>
      <c r="I211" s="11" t="str">
        <f aca="false">IF($A211="","",IF($H211="-","-",IF(AND(IF(원본명단!$H210="",TRUE(),COUNTIF(원본명단!$H$3:$H210,원본명단!$H210)=1),IF(원본명단!$I210="",TRUE(),COUNTIF(원본명단!$I$3:$I210,원본명단!$I210)=1),IF(원본명단!$K210="",TRUE(),COUNTIF(원본명단!$K$3:$K210,원본명단!$K210)=1)),"첫 건","중복 건")))</f>
        <v/>
      </c>
      <c r="J211" s="11" t="str">
        <f aca="false">IF($A211="","",IF($H211="-","유지",IF($I211="첫 건","유지","확인 필요")))</f>
        <v/>
      </c>
    </row>
    <row r="212" customFormat="false" ht="15" hidden="false" customHeight="true" outlineLevel="0" collapsed="false">
      <c r="A212" s="11" t="str">
        <f aca="false">IF(원본명단!$A211="","",209)</f>
        <v/>
      </c>
      <c r="B212" s="12" t="str">
        <f aca="false">IF($A212="","",원본명단!$A211)</f>
        <v/>
      </c>
      <c r="C212" s="12" t="str">
        <f aca="false">IF($A212="","",원본명단!$B211)</f>
        <v/>
      </c>
      <c r="D212" s="12" t="str">
        <f aca="false">IF($A212="","",원본명단!$D211)</f>
        <v/>
      </c>
      <c r="E212" s="11" t="str">
        <f aca="false">IF($A212="","",IF(원본명단!$H211="",0,COUNTIF(원본명단!$H$3:$H$6002,원본명단!$H211)))</f>
        <v/>
      </c>
      <c r="F212" s="11" t="str">
        <f aca="false">IF($A212="","",IF(원본명단!$I211="",0,COUNTIF(원본명단!$I$3:$I$6002,원본명단!$I211)))</f>
        <v/>
      </c>
      <c r="G212" s="11" t="str">
        <f aca="false">IF($A212="","",IF(원본명단!$K211="",0,COUNTIF(원본명단!$K$3:$K$6002,원본명단!$K211)))</f>
        <v/>
      </c>
      <c r="H212" s="11" t="str">
        <f aca="false">IF($A212="","",IF(MAX($E212,$F212,$G212)&gt;1,"중복","-"))</f>
        <v/>
      </c>
      <c r="I212" s="11" t="str">
        <f aca="false">IF($A212="","",IF($H212="-","-",IF(AND(IF(원본명단!$H211="",TRUE(),COUNTIF(원본명단!$H$3:$H211,원본명단!$H211)=1),IF(원본명단!$I211="",TRUE(),COUNTIF(원본명단!$I$3:$I211,원본명단!$I211)=1),IF(원본명단!$K211="",TRUE(),COUNTIF(원본명단!$K$3:$K211,원본명단!$K211)=1)),"첫 건","중복 건")))</f>
        <v/>
      </c>
      <c r="J212" s="11" t="str">
        <f aca="false">IF($A212="","",IF($H212="-","유지",IF($I212="첫 건","유지","확인 필요")))</f>
        <v/>
      </c>
    </row>
    <row r="213" customFormat="false" ht="15" hidden="false" customHeight="true" outlineLevel="0" collapsed="false">
      <c r="A213" s="11" t="str">
        <f aca="false">IF(원본명단!$A212="","",210)</f>
        <v/>
      </c>
      <c r="B213" s="12" t="str">
        <f aca="false">IF($A213="","",원본명단!$A212)</f>
        <v/>
      </c>
      <c r="C213" s="12" t="str">
        <f aca="false">IF($A213="","",원본명단!$B212)</f>
        <v/>
      </c>
      <c r="D213" s="12" t="str">
        <f aca="false">IF($A213="","",원본명단!$D212)</f>
        <v/>
      </c>
      <c r="E213" s="11" t="str">
        <f aca="false">IF($A213="","",IF(원본명단!$H212="",0,COUNTIF(원본명단!$H$3:$H$6002,원본명단!$H212)))</f>
        <v/>
      </c>
      <c r="F213" s="11" t="str">
        <f aca="false">IF($A213="","",IF(원본명단!$I212="",0,COUNTIF(원본명단!$I$3:$I$6002,원본명단!$I212)))</f>
        <v/>
      </c>
      <c r="G213" s="11" t="str">
        <f aca="false">IF($A213="","",IF(원본명단!$K212="",0,COUNTIF(원본명단!$K$3:$K$6002,원본명단!$K212)))</f>
        <v/>
      </c>
      <c r="H213" s="11" t="str">
        <f aca="false">IF($A213="","",IF(MAX($E213,$F213,$G213)&gt;1,"중복","-"))</f>
        <v/>
      </c>
      <c r="I213" s="11" t="str">
        <f aca="false">IF($A213="","",IF($H213="-","-",IF(AND(IF(원본명단!$H212="",TRUE(),COUNTIF(원본명단!$H$3:$H212,원본명단!$H212)=1),IF(원본명단!$I212="",TRUE(),COUNTIF(원본명단!$I$3:$I212,원본명단!$I212)=1),IF(원본명단!$K212="",TRUE(),COUNTIF(원본명단!$K$3:$K212,원본명단!$K212)=1)),"첫 건","중복 건")))</f>
        <v/>
      </c>
      <c r="J213" s="11" t="str">
        <f aca="false">IF($A213="","",IF($H213="-","유지",IF($I213="첫 건","유지","확인 필요")))</f>
        <v/>
      </c>
    </row>
    <row r="214" customFormat="false" ht="15" hidden="false" customHeight="true" outlineLevel="0" collapsed="false">
      <c r="A214" s="11" t="str">
        <f aca="false">IF(원본명단!$A213="","",211)</f>
        <v/>
      </c>
      <c r="B214" s="12" t="str">
        <f aca="false">IF($A214="","",원본명단!$A213)</f>
        <v/>
      </c>
      <c r="C214" s="12" t="str">
        <f aca="false">IF($A214="","",원본명단!$B213)</f>
        <v/>
      </c>
      <c r="D214" s="12" t="str">
        <f aca="false">IF($A214="","",원본명단!$D213)</f>
        <v/>
      </c>
      <c r="E214" s="11" t="str">
        <f aca="false">IF($A214="","",IF(원본명단!$H213="",0,COUNTIF(원본명단!$H$3:$H$6002,원본명단!$H213)))</f>
        <v/>
      </c>
      <c r="F214" s="11" t="str">
        <f aca="false">IF($A214="","",IF(원본명단!$I213="",0,COUNTIF(원본명단!$I$3:$I$6002,원본명단!$I213)))</f>
        <v/>
      </c>
      <c r="G214" s="11" t="str">
        <f aca="false">IF($A214="","",IF(원본명단!$K213="",0,COUNTIF(원본명단!$K$3:$K$6002,원본명단!$K213)))</f>
        <v/>
      </c>
      <c r="H214" s="11" t="str">
        <f aca="false">IF($A214="","",IF(MAX($E214,$F214,$G214)&gt;1,"중복","-"))</f>
        <v/>
      </c>
      <c r="I214" s="11" t="str">
        <f aca="false">IF($A214="","",IF($H214="-","-",IF(AND(IF(원본명단!$H213="",TRUE(),COUNTIF(원본명단!$H$3:$H213,원본명단!$H213)=1),IF(원본명단!$I213="",TRUE(),COUNTIF(원본명단!$I$3:$I213,원본명단!$I213)=1),IF(원본명단!$K213="",TRUE(),COUNTIF(원본명단!$K$3:$K213,원본명단!$K213)=1)),"첫 건","중복 건")))</f>
        <v/>
      </c>
      <c r="J214" s="11" t="str">
        <f aca="false">IF($A214="","",IF($H214="-","유지",IF($I214="첫 건","유지","확인 필요")))</f>
        <v/>
      </c>
    </row>
    <row r="215" customFormat="false" ht="15" hidden="false" customHeight="true" outlineLevel="0" collapsed="false">
      <c r="A215" s="11" t="str">
        <f aca="false">IF(원본명단!$A214="","",212)</f>
        <v/>
      </c>
      <c r="B215" s="12" t="str">
        <f aca="false">IF($A215="","",원본명단!$A214)</f>
        <v/>
      </c>
      <c r="C215" s="12" t="str">
        <f aca="false">IF($A215="","",원본명단!$B214)</f>
        <v/>
      </c>
      <c r="D215" s="12" t="str">
        <f aca="false">IF($A215="","",원본명단!$D214)</f>
        <v/>
      </c>
      <c r="E215" s="11" t="str">
        <f aca="false">IF($A215="","",IF(원본명단!$H214="",0,COUNTIF(원본명단!$H$3:$H$6002,원본명단!$H214)))</f>
        <v/>
      </c>
      <c r="F215" s="11" t="str">
        <f aca="false">IF($A215="","",IF(원본명단!$I214="",0,COUNTIF(원본명단!$I$3:$I$6002,원본명단!$I214)))</f>
        <v/>
      </c>
      <c r="G215" s="11" t="str">
        <f aca="false">IF($A215="","",IF(원본명단!$K214="",0,COUNTIF(원본명단!$K$3:$K$6002,원본명단!$K214)))</f>
        <v/>
      </c>
      <c r="H215" s="11" t="str">
        <f aca="false">IF($A215="","",IF(MAX($E215,$F215,$G215)&gt;1,"중복","-"))</f>
        <v/>
      </c>
      <c r="I215" s="11" t="str">
        <f aca="false">IF($A215="","",IF($H215="-","-",IF(AND(IF(원본명단!$H214="",TRUE(),COUNTIF(원본명단!$H$3:$H214,원본명단!$H214)=1),IF(원본명단!$I214="",TRUE(),COUNTIF(원본명단!$I$3:$I214,원본명단!$I214)=1),IF(원본명단!$K214="",TRUE(),COUNTIF(원본명단!$K$3:$K214,원본명단!$K214)=1)),"첫 건","중복 건")))</f>
        <v/>
      </c>
      <c r="J215" s="11" t="str">
        <f aca="false">IF($A215="","",IF($H215="-","유지",IF($I215="첫 건","유지","확인 필요")))</f>
        <v/>
      </c>
    </row>
    <row r="216" customFormat="false" ht="15" hidden="false" customHeight="true" outlineLevel="0" collapsed="false">
      <c r="A216" s="11" t="str">
        <f aca="false">IF(원본명단!$A215="","",213)</f>
        <v/>
      </c>
      <c r="B216" s="12" t="str">
        <f aca="false">IF($A216="","",원본명단!$A215)</f>
        <v/>
      </c>
      <c r="C216" s="12" t="str">
        <f aca="false">IF($A216="","",원본명단!$B215)</f>
        <v/>
      </c>
      <c r="D216" s="12" t="str">
        <f aca="false">IF($A216="","",원본명단!$D215)</f>
        <v/>
      </c>
      <c r="E216" s="11" t="str">
        <f aca="false">IF($A216="","",IF(원본명단!$H215="",0,COUNTIF(원본명단!$H$3:$H$6002,원본명단!$H215)))</f>
        <v/>
      </c>
      <c r="F216" s="11" t="str">
        <f aca="false">IF($A216="","",IF(원본명단!$I215="",0,COUNTIF(원본명단!$I$3:$I$6002,원본명단!$I215)))</f>
        <v/>
      </c>
      <c r="G216" s="11" t="str">
        <f aca="false">IF($A216="","",IF(원본명단!$K215="",0,COUNTIF(원본명단!$K$3:$K$6002,원본명단!$K215)))</f>
        <v/>
      </c>
      <c r="H216" s="11" t="str">
        <f aca="false">IF($A216="","",IF(MAX($E216,$F216,$G216)&gt;1,"중복","-"))</f>
        <v/>
      </c>
      <c r="I216" s="11" t="str">
        <f aca="false">IF($A216="","",IF($H216="-","-",IF(AND(IF(원본명단!$H215="",TRUE(),COUNTIF(원본명단!$H$3:$H215,원본명단!$H215)=1),IF(원본명단!$I215="",TRUE(),COUNTIF(원본명단!$I$3:$I215,원본명단!$I215)=1),IF(원본명단!$K215="",TRUE(),COUNTIF(원본명단!$K$3:$K215,원본명단!$K215)=1)),"첫 건","중복 건")))</f>
        <v/>
      </c>
      <c r="J216" s="11" t="str">
        <f aca="false">IF($A216="","",IF($H216="-","유지",IF($I216="첫 건","유지","확인 필요")))</f>
        <v/>
      </c>
    </row>
    <row r="217" customFormat="false" ht="15" hidden="false" customHeight="true" outlineLevel="0" collapsed="false">
      <c r="A217" s="11" t="str">
        <f aca="false">IF(원본명단!$A216="","",214)</f>
        <v/>
      </c>
      <c r="B217" s="12" t="str">
        <f aca="false">IF($A217="","",원본명단!$A216)</f>
        <v/>
      </c>
      <c r="C217" s="12" t="str">
        <f aca="false">IF($A217="","",원본명단!$B216)</f>
        <v/>
      </c>
      <c r="D217" s="12" t="str">
        <f aca="false">IF($A217="","",원본명단!$D216)</f>
        <v/>
      </c>
      <c r="E217" s="11" t="str">
        <f aca="false">IF($A217="","",IF(원본명단!$H216="",0,COUNTIF(원본명단!$H$3:$H$6002,원본명단!$H216)))</f>
        <v/>
      </c>
      <c r="F217" s="11" t="str">
        <f aca="false">IF($A217="","",IF(원본명단!$I216="",0,COUNTIF(원본명단!$I$3:$I$6002,원본명단!$I216)))</f>
        <v/>
      </c>
      <c r="G217" s="11" t="str">
        <f aca="false">IF($A217="","",IF(원본명단!$K216="",0,COUNTIF(원본명단!$K$3:$K$6002,원본명단!$K216)))</f>
        <v/>
      </c>
      <c r="H217" s="11" t="str">
        <f aca="false">IF($A217="","",IF(MAX($E217,$F217,$G217)&gt;1,"중복","-"))</f>
        <v/>
      </c>
      <c r="I217" s="11" t="str">
        <f aca="false">IF($A217="","",IF($H217="-","-",IF(AND(IF(원본명단!$H216="",TRUE(),COUNTIF(원본명단!$H$3:$H216,원본명단!$H216)=1),IF(원본명단!$I216="",TRUE(),COUNTIF(원본명단!$I$3:$I216,원본명단!$I216)=1),IF(원본명단!$K216="",TRUE(),COUNTIF(원본명단!$K$3:$K216,원본명단!$K216)=1)),"첫 건","중복 건")))</f>
        <v/>
      </c>
      <c r="J217" s="11" t="str">
        <f aca="false">IF($A217="","",IF($H217="-","유지",IF($I217="첫 건","유지","확인 필요")))</f>
        <v/>
      </c>
    </row>
    <row r="218" customFormat="false" ht="15" hidden="false" customHeight="true" outlineLevel="0" collapsed="false">
      <c r="A218" s="11" t="str">
        <f aca="false">IF(원본명단!$A217="","",215)</f>
        <v/>
      </c>
      <c r="B218" s="12" t="str">
        <f aca="false">IF($A218="","",원본명단!$A217)</f>
        <v/>
      </c>
      <c r="C218" s="12" t="str">
        <f aca="false">IF($A218="","",원본명단!$B217)</f>
        <v/>
      </c>
      <c r="D218" s="12" t="str">
        <f aca="false">IF($A218="","",원본명단!$D217)</f>
        <v/>
      </c>
      <c r="E218" s="11" t="str">
        <f aca="false">IF($A218="","",IF(원본명단!$H217="",0,COUNTIF(원본명단!$H$3:$H$6002,원본명단!$H217)))</f>
        <v/>
      </c>
      <c r="F218" s="11" t="str">
        <f aca="false">IF($A218="","",IF(원본명단!$I217="",0,COUNTIF(원본명단!$I$3:$I$6002,원본명단!$I217)))</f>
        <v/>
      </c>
      <c r="G218" s="11" t="str">
        <f aca="false">IF($A218="","",IF(원본명단!$K217="",0,COUNTIF(원본명단!$K$3:$K$6002,원본명단!$K217)))</f>
        <v/>
      </c>
      <c r="H218" s="11" t="str">
        <f aca="false">IF($A218="","",IF(MAX($E218,$F218,$G218)&gt;1,"중복","-"))</f>
        <v/>
      </c>
      <c r="I218" s="11" t="str">
        <f aca="false">IF($A218="","",IF($H218="-","-",IF(AND(IF(원본명단!$H217="",TRUE(),COUNTIF(원본명단!$H$3:$H217,원본명단!$H217)=1),IF(원본명단!$I217="",TRUE(),COUNTIF(원본명단!$I$3:$I217,원본명단!$I217)=1),IF(원본명단!$K217="",TRUE(),COUNTIF(원본명단!$K$3:$K217,원본명단!$K217)=1)),"첫 건","중복 건")))</f>
        <v/>
      </c>
      <c r="J218" s="11" t="str">
        <f aca="false">IF($A218="","",IF($H218="-","유지",IF($I218="첫 건","유지","확인 필요")))</f>
        <v/>
      </c>
    </row>
    <row r="219" customFormat="false" ht="15" hidden="false" customHeight="true" outlineLevel="0" collapsed="false">
      <c r="A219" s="11" t="str">
        <f aca="false">IF(원본명단!$A218="","",216)</f>
        <v/>
      </c>
      <c r="B219" s="12" t="str">
        <f aca="false">IF($A219="","",원본명단!$A218)</f>
        <v/>
      </c>
      <c r="C219" s="12" t="str">
        <f aca="false">IF($A219="","",원본명단!$B218)</f>
        <v/>
      </c>
      <c r="D219" s="12" t="str">
        <f aca="false">IF($A219="","",원본명단!$D218)</f>
        <v/>
      </c>
      <c r="E219" s="11" t="str">
        <f aca="false">IF($A219="","",IF(원본명단!$H218="",0,COUNTIF(원본명단!$H$3:$H$6002,원본명단!$H218)))</f>
        <v/>
      </c>
      <c r="F219" s="11" t="str">
        <f aca="false">IF($A219="","",IF(원본명단!$I218="",0,COUNTIF(원본명단!$I$3:$I$6002,원본명단!$I218)))</f>
        <v/>
      </c>
      <c r="G219" s="11" t="str">
        <f aca="false">IF($A219="","",IF(원본명단!$K218="",0,COUNTIF(원본명단!$K$3:$K$6002,원본명단!$K218)))</f>
        <v/>
      </c>
      <c r="H219" s="11" t="str">
        <f aca="false">IF($A219="","",IF(MAX($E219,$F219,$G219)&gt;1,"중복","-"))</f>
        <v/>
      </c>
      <c r="I219" s="11" t="str">
        <f aca="false">IF($A219="","",IF($H219="-","-",IF(AND(IF(원본명단!$H218="",TRUE(),COUNTIF(원본명단!$H$3:$H218,원본명단!$H218)=1),IF(원본명단!$I218="",TRUE(),COUNTIF(원본명단!$I$3:$I218,원본명단!$I218)=1),IF(원본명단!$K218="",TRUE(),COUNTIF(원본명단!$K$3:$K218,원본명단!$K218)=1)),"첫 건","중복 건")))</f>
        <v/>
      </c>
      <c r="J219" s="11" t="str">
        <f aca="false">IF($A219="","",IF($H219="-","유지",IF($I219="첫 건","유지","확인 필요")))</f>
        <v/>
      </c>
    </row>
    <row r="220" customFormat="false" ht="15" hidden="false" customHeight="true" outlineLevel="0" collapsed="false">
      <c r="A220" s="11" t="str">
        <f aca="false">IF(원본명단!$A219="","",217)</f>
        <v/>
      </c>
      <c r="B220" s="12" t="str">
        <f aca="false">IF($A220="","",원본명단!$A219)</f>
        <v/>
      </c>
      <c r="C220" s="12" t="str">
        <f aca="false">IF($A220="","",원본명단!$B219)</f>
        <v/>
      </c>
      <c r="D220" s="12" t="str">
        <f aca="false">IF($A220="","",원본명단!$D219)</f>
        <v/>
      </c>
      <c r="E220" s="11" t="str">
        <f aca="false">IF($A220="","",IF(원본명단!$H219="",0,COUNTIF(원본명단!$H$3:$H$6002,원본명단!$H219)))</f>
        <v/>
      </c>
      <c r="F220" s="11" t="str">
        <f aca="false">IF($A220="","",IF(원본명단!$I219="",0,COUNTIF(원본명단!$I$3:$I$6002,원본명단!$I219)))</f>
        <v/>
      </c>
      <c r="G220" s="11" t="str">
        <f aca="false">IF($A220="","",IF(원본명단!$K219="",0,COUNTIF(원본명단!$K$3:$K$6002,원본명단!$K219)))</f>
        <v/>
      </c>
      <c r="H220" s="11" t="str">
        <f aca="false">IF($A220="","",IF(MAX($E220,$F220,$G220)&gt;1,"중복","-"))</f>
        <v/>
      </c>
      <c r="I220" s="11" t="str">
        <f aca="false">IF($A220="","",IF($H220="-","-",IF(AND(IF(원본명단!$H219="",TRUE(),COUNTIF(원본명단!$H$3:$H219,원본명단!$H219)=1),IF(원본명단!$I219="",TRUE(),COUNTIF(원본명단!$I$3:$I219,원본명단!$I219)=1),IF(원본명단!$K219="",TRUE(),COUNTIF(원본명단!$K$3:$K219,원본명단!$K219)=1)),"첫 건","중복 건")))</f>
        <v/>
      </c>
      <c r="J220" s="11" t="str">
        <f aca="false">IF($A220="","",IF($H220="-","유지",IF($I220="첫 건","유지","확인 필요")))</f>
        <v/>
      </c>
    </row>
    <row r="221" customFormat="false" ht="15" hidden="false" customHeight="true" outlineLevel="0" collapsed="false">
      <c r="A221" s="11" t="str">
        <f aca="false">IF(원본명단!$A220="","",218)</f>
        <v/>
      </c>
      <c r="B221" s="12" t="str">
        <f aca="false">IF($A221="","",원본명단!$A220)</f>
        <v/>
      </c>
      <c r="C221" s="12" t="str">
        <f aca="false">IF($A221="","",원본명단!$B220)</f>
        <v/>
      </c>
      <c r="D221" s="12" t="str">
        <f aca="false">IF($A221="","",원본명단!$D220)</f>
        <v/>
      </c>
      <c r="E221" s="11" t="str">
        <f aca="false">IF($A221="","",IF(원본명단!$H220="",0,COUNTIF(원본명단!$H$3:$H$6002,원본명단!$H220)))</f>
        <v/>
      </c>
      <c r="F221" s="11" t="str">
        <f aca="false">IF($A221="","",IF(원본명단!$I220="",0,COUNTIF(원본명단!$I$3:$I$6002,원본명단!$I220)))</f>
        <v/>
      </c>
      <c r="G221" s="11" t="str">
        <f aca="false">IF($A221="","",IF(원본명단!$K220="",0,COUNTIF(원본명단!$K$3:$K$6002,원본명단!$K220)))</f>
        <v/>
      </c>
      <c r="H221" s="11" t="str">
        <f aca="false">IF($A221="","",IF(MAX($E221,$F221,$G221)&gt;1,"중복","-"))</f>
        <v/>
      </c>
      <c r="I221" s="11" t="str">
        <f aca="false">IF($A221="","",IF($H221="-","-",IF(AND(IF(원본명단!$H220="",TRUE(),COUNTIF(원본명단!$H$3:$H220,원본명단!$H220)=1),IF(원본명단!$I220="",TRUE(),COUNTIF(원본명단!$I$3:$I220,원본명단!$I220)=1),IF(원본명단!$K220="",TRUE(),COUNTIF(원본명단!$K$3:$K220,원본명단!$K220)=1)),"첫 건","중복 건")))</f>
        <v/>
      </c>
      <c r="J221" s="11" t="str">
        <f aca="false">IF($A221="","",IF($H221="-","유지",IF($I221="첫 건","유지","확인 필요")))</f>
        <v/>
      </c>
    </row>
    <row r="222" customFormat="false" ht="15" hidden="false" customHeight="true" outlineLevel="0" collapsed="false">
      <c r="A222" s="11" t="str">
        <f aca="false">IF(원본명단!$A221="","",219)</f>
        <v/>
      </c>
      <c r="B222" s="12" t="str">
        <f aca="false">IF($A222="","",원본명단!$A221)</f>
        <v/>
      </c>
      <c r="C222" s="12" t="str">
        <f aca="false">IF($A222="","",원본명단!$B221)</f>
        <v/>
      </c>
      <c r="D222" s="12" t="str">
        <f aca="false">IF($A222="","",원본명단!$D221)</f>
        <v/>
      </c>
      <c r="E222" s="11" t="str">
        <f aca="false">IF($A222="","",IF(원본명단!$H221="",0,COUNTIF(원본명단!$H$3:$H$6002,원본명단!$H221)))</f>
        <v/>
      </c>
      <c r="F222" s="11" t="str">
        <f aca="false">IF($A222="","",IF(원본명단!$I221="",0,COUNTIF(원본명단!$I$3:$I$6002,원본명단!$I221)))</f>
        <v/>
      </c>
      <c r="G222" s="11" t="str">
        <f aca="false">IF($A222="","",IF(원본명단!$K221="",0,COUNTIF(원본명단!$K$3:$K$6002,원본명단!$K221)))</f>
        <v/>
      </c>
      <c r="H222" s="11" t="str">
        <f aca="false">IF($A222="","",IF(MAX($E222,$F222,$G222)&gt;1,"중복","-"))</f>
        <v/>
      </c>
      <c r="I222" s="11" t="str">
        <f aca="false">IF($A222="","",IF($H222="-","-",IF(AND(IF(원본명단!$H221="",TRUE(),COUNTIF(원본명단!$H$3:$H221,원본명단!$H221)=1),IF(원본명단!$I221="",TRUE(),COUNTIF(원본명단!$I$3:$I221,원본명단!$I221)=1),IF(원본명단!$K221="",TRUE(),COUNTIF(원본명단!$K$3:$K221,원본명단!$K221)=1)),"첫 건","중복 건")))</f>
        <v/>
      </c>
      <c r="J222" s="11" t="str">
        <f aca="false">IF($A222="","",IF($H222="-","유지",IF($I222="첫 건","유지","확인 필요")))</f>
        <v/>
      </c>
    </row>
    <row r="223" customFormat="false" ht="15" hidden="false" customHeight="true" outlineLevel="0" collapsed="false">
      <c r="A223" s="11" t="str">
        <f aca="false">IF(원본명단!$A222="","",220)</f>
        <v/>
      </c>
      <c r="B223" s="12" t="str">
        <f aca="false">IF($A223="","",원본명단!$A222)</f>
        <v/>
      </c>
      <c r="C223" s="12" t="str">
        <f aca="false">IF($A223="","",원본명단!$B222)</f>
        <v/>
      </c>
      <c r="D223" s="12" t="str">
        <f aca="false">IF($A223="","",원본명단!$D222)</f>
        <v/>
      </c>
      <c r="E223" s="11" t="str">
        <f aca="false">IF($A223="","",IF(원본명단!$H222="",0,COUNTIF(원본명단!$H$3:$H$6002,원본명단!$H222)))</f>
        <v/>
      </c>
      <c r="F223" s="11" t="str">
        <f aca="false">IF($A223="","",IF(원본명단!$I222="",0,COUNTIF(원본명단!$I$3:$I$6002,원본명단!$I222)))</f>
        <v/>
      </c>
      <c r="G223" s="11" t="str">
        <f aca="false">IF($A223="","",IF(원본명단!$K222="",0,COUNTIF(원본명단!$K$3:$K$6002,원본명단!$K222)))</f>
        <v/>
      </c>
      <c r="H223" s="11" t="str">
        <f aca="false">IF($A223="","",IF(MAX($E223,$F223,$G223)&gt;1,"중복","-"))</f>
        <v/>
      </c>
      <c r="I223" s="11" t="str">
        <f aca="false">IF($A223="","",IF($H223="-","-",IF(AND(IF(원본명단!$H222="",TRUE(),COUNTIF(원본명단!$H$3:$H222,원본명단!$H222)=1),IF(원본명단!$I222="",TRUE(),COUNTIF(원본명단!$I$3:$I222,원본명단!$I222)=1),IF(원본명단!$K222="",TRUE(),COUNTIF(원본명단!$K$3:$K222,원본명단!$K222)=1)),"첫 건","중복 건")))</f>
        <v/>
      </c>
      <c r="J223" s="11" t="str">
        <f aca="false">IF($A223="","",IF($H223="-","유지",IF($I223="첫 건","유지","확인 필요")))</f>
        <v/>
      </c>
    </row>
    <row r="224" customFormat="false" ht="15" hidden="false" customHeight="true" outlineLevel="0" collapsed="false">
      <c r="A224" s="11" t="str">
        <f aca="false">IF(원본명단!$A223="","",221)</f>
        <v/>
      </c>
      <c r="B224" s="12" t="str">
        <f aca="false">IF($A224="","",원본명단!$A223)</f>
        <v/>
      </c>
      <c r="C224" s="12" t="str">
        <f aca="false">IF($A224="","",원본명단!$B223)</f>
        <v/>
      </c>
      <c r="D224" s="12" t="str">
        <f aca="false">IF($A224="","",원본명단!$D223)</f>
        <v/>
      </c>
      <c r="E224" s="11" t="str">
        <f aca="false">IF($A224="","",IF(원본명단!$H223="",0,COUNTIF(원본명단!$H$3:$H$6002,원본명단!$H223)))</f>
        <v/>
      </c>
      <c r="F224" s="11" t="str">
        <f aca="false">IF($A224="","",IF(원본명단!$I223="",0,COUNTIF(원본명단!$I$3:$I$6002,원본명단!$I223)))</f>
        <v/>
      </c>
      <c r="G224" s="11" t="str">
        <f aca="false">IF($A224="","",IF(원본명단!$K223="",0,COUNTIF(원본명단!$K$3:$K$6002,원본명단!$K223)))</f>
        <v/>
      </c>
      <c r="H224" s="11" t="str">
        <f aca="false">IF($A224="","",IF(MAX($E224,$F224,$G224)&gt;1,"중복","-"))</f>
        <v/>
      </c>
      <c r="I224" s="11" t="str">
        <f aca="false">IF($A224="","",IF($H224="-","-",IF(AND(IF(원본명단!$H223="",TRUE(),COUNTIF(원본명단!$H$3:$H223,원본명단!$H223)=1),IF(원본명단!$I223="",TRUE(),COUNTIF(원본명단!$I$3:$I223,원본명단!$I223)=1),IF(원본명단!$K223="",TRUE(),COUNTIF(원본명단!$K$3:$K223,원본명단!$K223)=1)),"첫 건","중복 건")))</f>
        <v/>
      </c>
      <c r="J224" s="11" t="str">
        <f aca="false">IF($A224="","",IF($H224="-","유지",IF($I224="첫 건","유지","확인 필요")))</f>
        <v/>
      </c>
    </row>
    <row r="225" customFormat="false" ht="15" hidden="false" customHeight="true" outlineLevel="0" collapsed="false">
      <c r="A225" s="11" t="str">
        <f aca="false">IF(원본명단!$A224="","",222)</f>
        <v/>
      </c>
      <c r="B225" s="12" t="str">
        <f aca="false">IF($A225="","",원본명단!$A224)</f>
        <v/>
      </c>
      <c r="C225" s="12" t="str">
        <f aca="false">IF($A225="","",원본명단!$B224)</f>
        <v/>
      </c>
      <c r="D225" s="12" t="str">
        <f aca="false">IF($A225="","",원본명단!$D224)</f>
        <v/>
      </c>
      <c r="E225" s="11" t="str">
        <f aca="false">IF($A225="","",IF(원본명단!$H224="",0,COUNTIF(원본명단!$H$3:$H$6002,원본명단!$H224)))</f>
        <v/>
      </c>
      <c r="F225" s="11" t="str">
        <f aca="false">IF($A225="","",IF(원본명단!$I224="",0,COUNTIF(원본명단!$I$3:$I$6002,원본명단!$I224)))</f>
        <v/>
      </c>
      <c r="G225" s="11" t="str">
        <f aca="false">IF($A225="","",IF(원본명단!$K224="",0,COUNTIF(원본명단!$K$3:$K$6002,원본명단!$K224)))</f>
        <v/>
      </c>
      <c r="H225" s="11" t="str">
        <f aca="false">IF($A225="","",IF(MAX($E225,$F225,$G225)&gt;1,"중복","-"))</f>
        <v/>
      </c>
      <c r="I225" s="11" t="str">
        <f aca="false">IF($A225="","",IF($H225="-","-",IF(AND(IF(원본명단!$H224="",TRUE(),COUNTIF(원본명단!$H$3:$H224,원본명단!$H224)=1),IF(원본명단!$I224="",TRUE(),COUNTIF(원본명단!$I$3:$I224,원본명단!$I224)=1),IF(원본명단!$K224="",TRUE(),COUNTIF(원본명단!$K$3:$K224,원본명단!$K224)=1)),"첫 건","중복 건")))</f>
        <v/>
      </c>
      <c r="J225" s="11" t="str">
        <f aca="false">IF($A225="","",IF($H225="-","유지",IF($I225="첫 건","유지","확인 필요")))</f>
        <v/>
      </c>
    </row>
    <row r="226" customFormat="false" ht="15" hidden="false" customHeight="true" outlineLevel="0" collapsed="false">
      <c r="A226" s="11" t="str">
        <f aca="false">IF(원본명단!$A225="","",223)</f>
        <v/>
      </c>
      <c r="B226" s="12" t="str">
        <f aca="false">IF($A226="","",원본명단!$A225)</f>
        <v/>
      </c>
      <c r="C226" s="12" t="str">
        <f aca="false">IF($A226="","",원본명단!$B225)</f>
        <v/>
      </c>
      <c r="D226" s="12" t="str">
        <f aca="false">IF($A226="","",원본명단!$D225)</f>
        <v/>
      </c>
      <c r="E226" s="11" t="str">
        <f aca="false">IF($A226="","",IF(원본명단!$H225="",0,COUNTIF(원본명단!$H$3:$H$6002,원본명단!$H225)))</f>
        <v/>
      </c>
      <c r="F226" s="11" t="str">
        <f aca="false">IF($A226="","",IF(원본명단!$I225="",0,COUNTIF(원본명단!$I$3:$I$6002,원본명단!$I225)))</f>
        <v/>
      </c>
      <c r="G226" s="11" t="str">
        <f aca="false">IF($A226="","",IF(원본명단!$K225="",0,COUNTIF(원본명단!$K$3:$K$6002,원본명단!$K225)))</f>
        <v/>
      </c>
      <c r="H226" s="11" t="str">
        <f aca="false">IF($A226="","",IF(MAX($E226,$F226,$G226)&gt;1,"중복","-"))</f>
        <v/>
      </c>
      <c r="I226" s="11" t="str">
        <f aca="false">IF($A226="","",IF($H226="-","-",IF(AND(IF(원본명단!$H225="",TRUE(),COUNTIF(원본명단!$H$3:$H225,원본명단!$H225)=1),IF(원본명단!$I225="",TRUE(),COUNTIF(원본명단!$I$3:$I225,원본명단!$I225)=1),IF(원본명단!$K225="",TRUE(),COUNTIF(원본명단!$K$3:$K225,원본명단!$K225)=1)),"첫 건","중복 건")))</f>
        <v/>
      </c>
      <c r="J226" s="11" t="str">
        <f aca="false">IF($A226="","",IF($H226="-","유지",IF($I226="첫 건","유지","확인 필요")))</f>
        <v/>
      </c>
    </row>
    <row r="227" customFormat="false" ht="15" hidden="false" customHeight="true" outlineLevel="0" collapsed="false">
      <c r="A227" s="11" t="str">
        <f aca="false">IF(원본명단!$A226="","",224)</f>
        <v/>
      </c>
      <c r="B227" s="12" t="str">
        <f aca="false">IF($A227="","",원본명단!$A226)</f>
        <v/>
      </c>
      <c r="C227" s="12" t="str">
        <f aca="false">IF($A227="","",원본명단!$B226)</f>
        <v/>
      </c>
      <c r="D227" s="12" t="str">
        <f aca="false">IF($A227="","",원본명단!$D226)</f>
        <v/>
      </c>
      <c r="E227" s="11" t="str">
        <f aca="false">IF($A227="","",IF(원본명단!$H226="",0,COUNTIF(원본명단!$H$3:$H$6002,원본명단!$H226)))</f>
        <v/>
      </c>
      <c r="F227" s="11" t="str">
        <f aca="false">IF($A227="","",IF(원본명단!$I226="",0,COUNTIF(원본명단!$I$3:$I$6002,원본명단!$I226)))</f>
        <v/>
      </c>
      <c r="G227" s="11" t="str">
        <f aca="false">IF($A227="","",IF(원본명단!$K226="",0,COUNTIF(원본명단!$K$3:$K$6002,원본명단!$K226)))</f>
        <v/>
      </c>
      <c r="H227" s="11" t="str">
        <f aca="false">IF($A227="","",IF(MAX($E227,$F227,$G227)&gt;1,"중복","-"))</f>
        <v/>
      </c>
      <c r="I227" s="11" t="str">
        <f aca="false">IF($A227="","",IF($H227="-","-",IF(AND(IF(원본명단!$H226="",TRUE(),COUNTIF(원본명단!$H$3:$H226,원본명단!$H226)=1),IF(원본명단!$I226="",TRUE(),COUNTIF(원본명단!$I$3:$I226,원본명단!$I226)=1),IF(원본명단!$K226="",TRUE(),COUNTIF(원본명단!$K$3:$K226,원본명단!$K226)=1)),"첫 건","중복 건")))</f>
        <v/>
      </c>
      <c r="J227" s="11" t="str">
        <f aca="false">IF($A227="","",IF($H227="-","유지",IF($I227="첫 건","유지","확인 필요")))</f>
        <v/>
      </c>
    </row>
    <row r="228" customFormat="false" ht="15" hidden="false" customHeight="true" outlineLevel="0" collapsed="false">
      <c r="A228" s="11" t="str">
        <f aca="false">IF(원본명단!$A227="","",225)</f>
        <v/>
      </c>
      <c r="B228" s="12" t="str">
        <f aca="false">IF($A228="","",원본명단!$A227)</f>
        <v/>
      </c>
      <c r="C228" s="12" t="str">
        <f aca="false">IF($A228="","",원본명단!$B227)</f>
        <v/>
      </c>
      <c r="D228" s="12" t="str">
        <f aca="false">IF($A228="","",원본명단!$D227)</f>
        <v/>
      </c>
      <c r="E228" s="11" t="str">
        <f aca="false">IF($A228="","",IF(원본명단!$H227="",0,COUNTIF(원본명단!$H$3:$H$6002,원본명단!$H227)))</f>
        <v/>
      </c>
      <c r="F228" s="11" t="str">
        <f aca="false">IF($A228="","",IF(원본명단!$I227="",0,COUNTIF(원본명단!$I$3:$I$6002,원본명단!$I227)))</f>
        <v/>
      </c>
      <c r="G228" s="11" t="str">
        <f aca="false">IF($A228="","",IF(원본명단!$K227="",0,COUNTIF(원본명단!$K$3:$K$6002,원본명단!$K227)))</f>
        <v/>
      </c>
      <c r="H228" s="11" t="str">
        <f aca="false">IF($A228="","",IF(MAX($E228,$F228,$G228)&gt;1,"중복","-"))</f>
        <v/>
      </c>
      <c r="I228" s="11" t="str">
        <f aca="false">IF($A228="","",IF($H228="-","-",IF(AND(IF(원본명단!$H227="",TRUE(),COUNTIF(원본명단!$H$3:$H227,원본명단!$H227)=1),IF(원본명단!$I227="",TRUE(),COUNTIF(원본명단!$I$3:$I227,원본명단!$I227)=1),IF(원본명단!$K227="",TRUE(),COUNTIF(원본명단!$K$3:$K227,원본명단!$K227)=1)),"첫 건","중복 건")))</f>
        <v/>
      </c>
      <c r="J228" s="11" t="str">
        <f aca="false">IF($A228="","",IF($H228="-","유지",IF($I228="첫 건","유지","확인 필요")))</f>
        <v/>
      </c>
    </row>
    <row r="229" customFormat="false" ht="15" hidden="false" customHeight="true" outlineLevel="0" collapsed="false">
      <c r="A229" s="11" t="str">
        <f aca="false">IF(원본명단!$A228="","",226)</f>
        <v/>
      </c>
      <c r="B229" s="12" t="str">
        <f aca="false">IF($A229="","",원본명단!$A228)</f>
        <v/>
      </c>
      <c r="C229" s="12" t="str">
        <f aca="false">IF($A229="","",원본명단!$B228)</f>
        <v/>
      </c>
      <c r="D229" s="12" t="str">
        <f aca="false">IF($A229="","",원본명단!$D228)</f>
        <v/>
      </c>
      <c r="E229" s="11" t="str">
        <f aca="false">IF($A229="","",IF(원본명단!$H228="",0,COUNTIF(원본명단!$H$3:$H$6002,원본명단!$H228)))</f>
        <v/>
      </c>
      <c r="F229" s="11" t="str">
        <f aca="false">IF($A229="","",IF(원본명단!$I228="",0,COUNTIF(원본명단!$I$3:$I$6002,원본명단!$I228)))</f>
        <v/>
      </c>
      <c r="G229" s="11" t="str">
        <f aca="false">IF($A229="","",IF(원본명단!$K228="",0,COUNTIF(원본명단!$K$3:$K$6002,원본명단!$K228)))</f>
        <v/>
      </c>
      <c r="H229" s="11" t="str">
        <f aca="false">IF($A229="","",IF(MAX($E229,$F229,$G229)&gt;1,"중복","-"))</f>
        <v/>
      </c>
      <c r="I229" s="11" t="str">
        <f aca="false">IF($A229="","",IF($H229="-","-",IF(AND(IF(원본명단!$H228="",TRUE(),COUNTIF(원본명단!$H$3:$H228,원본명단!$H228)=1),IF(원본명단!$I228="",TRUE(),COUNTIF(원본명단!$I$3:$I228,원본명단!$I228)=1),IF(원본명단!$K228="",TRUE(),COUNTIF(원본명단!$K$3:$K228,원본명단!$K228)=1)),"첫 건","중복 건")))</f>
        <v/>
      </c>
      <c r="J229" s="11" t="str">
        <f aca="false">IF($A229="","",IF($H229="-","유지",IF($I229="첫 건","유지","확인 필요")))</f>
        <v/>
      </c>
    </row>
    <row r="230" customFormat="false" ht="15" hidden="false" customHeight="true" outlineLevel="0" collapsed="false">
      <c r="A230" s="11" t="str">
        <f aca="false">IF(원본명단!$A229="","",227)</f>
        <v/>
      </c>
      <c r="B230" s="12" t="str">
        <f aca="false">IF($A230="","",원본명단!$A229)</f>
        <v/>
      </c>
      <c r="C230" s="12" t="str">
        <f aca="false">IF($A230="","",원본명단!$B229)</f>
        <v/>
      </c>
      <c r="D230" s="12" t="str">
        <f aca="false">IF($A230="","",원본명단!$D229)</f>
        <v/>
      </c>
      <c r="E230" s="11" t="str">
        <f aca="false">IF($A230="","",IF(원본명단!$H229="",0,COUNTIF(원본명단!$H$3:$H$6002,원본명단!$H229)))</f>
        <v/>
      </c>
      <c r="F230" s="11" t="str">
        <f aca="false">IF($A230="","",IF(원본명단!$I229="",0,COUNTIF(원본명단!$I$3:$I$6002,원본명단!$I229)))</f>
        <v/>
      </c>
      <c r="G230" s="11" t="str">
        <f aca="false">IF($A230="","",IF(원본명단!$K229="",0,COUNTIF(원본명단!$K$3:$K$6002,원본명단!$K229)))</f>
        <v/>
      </c>
      <c r="H230" s="11" t="str">
        <f aca="false">IF($A230="","",IF(MAX($E230,$F230,$G230)&gt;1,"중복","-"))</f>
        <v/>
      </c>
      <c r="I230" s="11" t="str">
        <f aca="false">IF($A230="","",IF($H230="-","-",IF(AND(IF(원본명단!$H229="",TRUE(),COUNTIF(원본명단!$H$3:$H229,원본명단!$H229)=1),IF(원본명단!$I229="",TRUE(),COUNTIF(원본명단!$I$3:$I229,원본명단!$I229)=1),IF(원본명단!$K229="",TRUE(),COUNTIF(원본명단!$K$3:$K229,원본명단!$K229)=1)),"첫 건","중복 건")))</f>
        <v/>
      </c>
      <c r="J230" s="11" t="str">
        <f aca="false">IF($A230="","",IF($H230="-","유지",IF($I230="첫 건","유지","확인 필요")))</f>
        <v/>
      </c>
    </row>
    <row r="231" customFormat="false" ht="15" hidden="false" customHeight="true" outlineLevel="0" collapsed="false">
      <c r="A231" s="11" t="str">
        <f aca="false">IF(원본명단!$A230="","",228)</f>
        <v/>
      </c>
      <c r="B231" s="12" t="str">
        <f aca="false">IF($A231="","",원본명단!$A230)</f>
        <v/>
      </c>
      <c r="C231" s="12" t="str">
        <f aca="false">IF($A231="","",원본명단!$B230)</f>
        <v/>
      </c>
      <c r="D231" s="12" t="str">
        <f aca="false">IF($A231="","",원본명단!$D230)</f>
        <v/>
      </c>
      <c r="E231" s="11" t="str">
        <f aca="false">IF($A231="","",IF(원본명단!$H230="",0,COUNTIF(원본명단!$H$3:$H$6002,원본명단!$H230)))</f>
        <v/>
      </c>
      <c r="F231" s="11" t="str">
        <f aca="false">IF($A231="","",IF(원본명단!$I230="",0,COUNTIF(원본명단!$I$3:$I$6002,원본명단!$I230)))</f>
        <v/>
      </c>
      <c r="G231" s="11" t="str">
        <f aca="false">IF($A231="","",IF(원본명단!$K230="",0,COUNTIF(원본명단!$K$3:$K$6002,원본명단!$K230)))</f>
        <v/>
      </c>
      <c r="H231" s="11" t="str">
        <f aca="false">IF($A231="","",IF(MAX($E231,$F231,$G231)&gt;1,"중복","-"))</f>
        <v/>
      </c>
      <c r="I231" s="11" t="str">
        <f aca="false">IF($A231="","",IF($H231="-","-",IF(AND(IF(원본명단!$H230="",TRUE(),COUNTIF(원본명단!$H$3:$H230,원본명단!$H230)=1),IF(원본명단!$I230="",TRUE(),COUNTIF(원본명단!$I$3:$I230,원본명단!$I230)=1),IF(원본명단!$K230="",TRUE(),COUNTIF(원본명단!$K$3:$K230,원본명단!$K230)=1)),"첫 건","중복 건")))</f>
        <v/>
      </c>
      <c r="J231" s="11" t="str">
        <f aca="false">IF($A231="","",IF($H231="-","유지",IF($I231="첫 건","유지","확인 필요")))</f>
        <v/>
      </c>
    </row>
    <row r="232" customFormat="false" ht="15" hidden="false" customHeight="true" outlineLevel="0" collapsed="false">
      <c r="A232" s="11" t="str">
        <f aca="false">IF(원본명단!$A231="","",229)</f>
        <v/>
      </c>
      <c r="B232" s="12" t="str">
        <f aca="false">IF($A232="","",원본명단!$A231)</f>
        <v/>
      </c>
      <c r="C232" s="12" t="str">
        <f aca="false">IF($A232="","",원본명단!$B231)</f>
        <v/>
      </c>
      <c r="D232" s="12" t="str">
        <f aca="false">IF($A232="","",원본명단!$D231)</f>
        <v/>
      </c>
      <c r="E232" s="11" t="str">
        <f aca="false">IF($A232="","",IF(원본명단!$H231="",0,COUNTIF(원본명단!$H$3:$H$6002,원본명단!$H231)))</f>
        <v/>
      </c>
      <c r="F232" s="11" t="str">
        <f aca="false">IF($A232="","",IF(원본명단!$I231="",0,COUNTIF(원본명단!$I$3:$I$6002,원본명단!$I231)))</f>
        <v/>
      </c>
      <c r="G232" s="11" t="str">
        <f aca="false">IF($A232="","",IF(원본명단!$K231="",0,COUNTIF(원본명단!$K$3:$K$6002,원본명단!$K231)))</f>
        <v/>
      </c>
      <c r="H232" s="11" t="str">
        <f aca="false">IF($A232="","",IF(MAX($E232,$F232,$G232)&gt;1,"중복","-"))</f>
        <v/>
      </c>
      <c r="I232" s="11" t="str">
        <f aca="false">IF($A232="","",IF($H232="-","-",IF(AND(IF(원본명단!$H231="",TRUE(),COUNTIF(원본명단!$H$3:$H231,원본명단!$H231)=1),IF(원본명단!$I231="",TRUE(),COUNTIF(원본명단!$I$3:$I231,원본명단!$I231)=1),IF(원본명단!$K231="",TRUE(),COUNTIF(원본명단!$K$3:$K231,원본명단!$K231)=1)),"첫 건","중복 건")))</f>
        <v/>
      </c>
      <c r="J232" s="11" t="str">
        <f aca="false">IF($A232="","",IF($H232="-","유지",IF($I232="첫 건","유지","확인 필요")))</f>
        <v/>
      </c>
    </row>
    <row r="233" customFormat="false" ht="15" hidden="false" customHeight="true" outlineLevel="0" collapsed="false">
      <c r="A233" s="11" t="str">
        <f aca="false">IF(원본명단!$A232="","",230)</f>
        <v/>
      </c>
      <c r="B233" s="12" t="str">
        <f aca="false">IF($A233="","",원본명단!$A232)</f>
        <v/>
      </c>
      <c r="C233" s="12" t="str">
        <f aca="false">IF($A233="","",원본명단!$B232)</f>
        <v/>
      </c>
      <c r="D233" s="12" t="str">
        <f aca="false">IF($A233="","",원본명단!$D232)</f>
        <v/>
      </c>
      <c r="E233" s="11" t="str">
        <f aca="false">IF($A233="","",IF(원본명단!$H232="",0,COUNTIF(원본명단!$H$3:$H$6002,원본명단!$H232)))</f>
        <v/>
      </c>
      <c r="F233" s="11" t="str">
        <f aca="false">IF($A233="","",IF(원본명단!$I232="",0,COUNTIF(원본명단!$I$3:$I$6002,원본명단!$I232)))</f>
        <v/>
      </c>
      <c r="G233" s="11" t="str">
        <f aca="false">IF($A233="","",IF(원본명단!$K232="",0,COUNTIF(원본명단!$K$3:$K$6002,원본명단!$K232)))</f>
        <v/>
      </c>
      <c r="H233" s="11" t="str">
        <f aca="false">IF($A233="","",IF(MAX($E233,$F233,$G233)&gt;1,"중복","-"))</f>
        <v/>
      </c>
      <c r="I233" s="11" t="str">
        <f aca="false">IF($A233="","",IF($H233="-","-",IF(AND(IF(원본명단!$H232="",TRUE(),COUNTIF(원본명단!$H$3:$H232,원본명단!$H232)=1),IF(원본명단!$I232="",TRUE(),COUNTIF(원본명단!$I$3:$I232,원본명단!$I232)=1),IF(원본명단!$K232="",TRUE(),COUNTIF(원본명단!$K$3:$K232,원본명단!$K232)=1)),"첫 건","중복 건")))</f>
        <v/>
      </c>
      <c r="J233" s="11" t="str">
        <f aca="false">IF($A233="","",IF($H233="-","유지",IF($I233="첫 건","유지","확인 필요")))</f>
        <v/>
      </c>
    </row>
    <row r="234" customFormat="false" ht="15" hidden="false" customHeight="true" outlineLevel="0" collapsed="false">
      <c r="A234" s="11" t="str">
        <f aca="false">IF(원본명단!$A233="","",231)</f>
        <v/>
      </c>
      <c r="B234" s="12" t="str">
        <f aca="false">IF($A234="","",원본명단!$A233)</f>
        <v/>
      </c>
      <c r="C234" s="12" t="str">
        <f aca="false">IF($A234="","",원본명단!$B233)</f>
        <v/>
      </c>
      <c r="D234" s="12" t="str">
        <f aca="false">IF($A234="","",원본명단!$D233)</f>
        <v/>
      </c>
      <c r="E234" s="11" t="str">
        <f aca="false">IF($A234="","",IF(원본명단!$H233="",0,COUNTIF(원본명단!$H$3:$H$6002,원본명단!$H233)))</f>
        <v/>
      </c>
      <c r="F234" s="11" t="str">
        <f aca="false">IF($A234="","",IF(원본명단!$I233="",0,COUNTIF(원본명단!$I$3:$I$6002,원본명단!$I233)))</f>
        <v/>
      </c>
      <c r="G234" s="11" t="str">
        <f aca="false">IF($A234="","",IF(원본명단!$K233="",0,COUNTIF(원본명단!$K$3:$K$6002,원본명단!$K233)))</f>
        <v/>
      </c>
      <c r="H234" s="11" t="str">
        <f aca="false">IF($A234="","",IF(MAX($E234,$F234,$G234)&gt;1,"중복","-"))</f>
        <v/>
      </c>
      <c r="I234" s="11" t="str">
        <f aca="false">IF($A234="","",IF($H234="-","-",IF(AND(IF(원본명단!$H233="",TRUE(),COUNTIF(원본명단!$H$3:$H233,원본명단!$H233)=1),IF(원본명단!$I233="",TRUE(),COUNTIF(원본명단!$I$3:$I233,원본명단!$I233)=1),IF(원본명단!$K233="",TRUE(),COUNTIF(원본명단!$K$3:$K233,원본명단!$K233)=1)),"첫 건","중복 건")))</f>
        <v/>
      </c>
      <c r="J234" s="11" t="str">
        <f aca="false">IF($A234="","",IF($H234="-","유지",IF($I234="첫 건","유지","확인 필요")))</f>
        <v/>
      </c>
    </row>
    <row r="235" customFormat="false" ht="15" hidden="false" customHeight="true" outlineLevel="0" collapsed="false">
      <c r="A235" s="11" t="str">
        <f aca="false">IF(원본명단!$A234="","",232)</f>
        <v/>
      </c>
      <c r="B235" s="12" t="str">
        <f aca="false">IF($A235="","",원본명단!$A234)</f>
        <v/>
      </c>
      <c r="C235" s="12" t="str">
        <f aca="false">IF($A235="","",원본명단!$B234)</f>
        <v/>
      </c>
      <c r="D235" s="12" t="str">
        <f aca="false">IF($A235="","",원본명단!$D234)</f>
        <v/>
      </c>
      <c r="E235" s="11" t="str">
        <f aca="false">IF($A235="","",IF(원본명단!$H234="",0,COUNTIF(원본명단!$H$3:$H$6002,원본명단!$H234)))</f>
        <v/>
      </c>
      <c r="F235" s="11" t="str">
        <f aca="false">IF($A235="","",IF(원본명단!$I234="",0,COUNTIF(원본명단!$I$3:$I$6002,원본명단!$I234)))</f>
        <v/>
      </c>
      <c r="G235" s="11" t="str">
        <f aca="false">IF($A235="","",IF(원본명단!$K234="",0,COUNTIF(원본명단!$K$3:$K$6002,원본명단!$K234)))</f>
        <v/>
      </c>
      <c r="H235" s="11" t="str">
        <f aca="false">IF($A235="","",IF(MAX($E235,$F235,$G235)&gt;1,"중복","-"))</f>
        <v/>
      </c>
      <c r="I235" s="11" t="str">
        <f aca="false">IF($A235="","",IF($H235="-","-",IF(AND(IF(원본명단!$H234="",TRUE(),COUNTIF(원본명단!$H$3:$H234,원본명단!$H234)=1),IF(원본명단!$I234="",TRUE(),COUNTIF(원본명단!$I$3:$I234,원본명단!$I234)=1),IF(원본명단!$K234="",TRUE(),COUNTIF(원본명단!$K$3:$K234,원본명단!$K234)=1)),"첫 건","중복 건")))</f>
        <v/>
      </c>
      <c r="J235" s="11" t="str">
        <f aca="false">IF($A235="","",IF($H235="-","유지",IF($I235="첫 건","유지","확인 필요")))</f>
        <v/>
      </c>
    </row>
    <row r="236" customFormat="false" ht="15" hidden="false" customHeight="true" outlineLevel="0" collapsed="false">
      <c r="A236" s="11" t="str">
        <f aca="false">IF(원본명단!$A235="","",233)</f>
        <v/>
      </c>
      <c r="B236" s="12" t="str">
        <f aca="false">IF($A236="","",원본명단!$A235)</f>
        <v/>
      </c>
      <c r="C236" s="12" t="str">
        <f aca="false">IF($A236="","",원본명단!$B235)</f>
        <v/>
      </c>
      <c r="D236" s="12" t="str">
        <f aca="false">IF($A236="","",원본명단!$D235)</f>
        <v/>
      </c>
      <c r="E236" s="11" t="str">
        <f aca="false">IF($A236="","",IF(원본명단!$H235="",0,COUNTIF(원본명단!$H$3:$H$6002,원본명단!$H235)))</f>
        <v/>
      </c>
      <c r="F236" s="11" t="str">
        <f aca="false">IF($A236="","",IF(원본명단!$I235="",0,COUNTIF(원본명단!$I$3:$I$6002,원본명단!$I235)))</f>
        <v/>
      </c>
      <c r="G236" s="11" t="str">
        <f aca="false">IF($A236="","",IF(원본명단!$K235="",0,COUNTIF(원본명단!$K$3:$K$6002,원본명단!$K235)))</f>
        <v/>
      </c>
      <c r="H236" s="11" t="str">
        <f aca="false">IF($A236="","",IF(MAX($E236,$F236,$G236)&gt;1,"중복","-"))</f>
        <v/>
      </c>
      <c r="I236" s="11" t="str">
        <f aca="false">IF($A236="","",IF($H236="-","-",IF(AND(IF(원본명단!$H235="",TRUE(),COUNTIF(원본명단!$H$3:$H235,원본명단!$H235)=1),IF(원본명단!$I235="",TRUE(),COUNTIF(원본명단!$I$3:$I235,원본명단!$I235)=1),IF(원본명단!$K235="",TRUE(),COUNTIF(원본명단!$K$3:$K235,원본명단!$K235)=1)),"첫 건","중복 건")))</f>
        <v/>
      </c>
      <c r="J236" s="11" t="str">
        <f aca="false">IF($A236="","",IF($H236="-","유지",IF($I236="첫 건","유지","확인 필요")))</f>
        <v/>
      </c>
    </row>
    <row r="237" customFormat="false" ht="15" hidden="false" customHeight="true" outlineLevel="0" collapsed="false">
      <c r="A237" s="11" t="str">
        <f aca="false">IF(원본명단!$A236="","",234)</f>
        <v/>
      </c>
      <c r="B237" s="12" t="str">
        <f aca="false">IF($A237="","",원본명단!$A236)</f>
        <v/>
      </c>
      <c r="C237" s="12" t="str">
        <f aca="false">IF($A237="","",원본명단!$B236)</f>
        <v/>
      </c>
      <c r="D237" s="12" t="str">
        <f aca="false">IF($A237="","",원본명단!$D236)</f>
        <v/>
      </c>
      <c r="E237" s="11" t="str">
        <f aca="false">IF($A237="","",IF(원본명단!$H236="",0,COUNTIF(원본명단!$H$3:$H$6002,원본명단!$H236)))</f>
        <v/>
      </c>
      <c r="F237" s="11" t="str">
        <f aca="false">IF($A237="","",IF(원본명단!$I236="",0,COUNTIF(원본명단!$I$3:$I$6002,원본명단!$I236)))</f>
        <v/>
      </c>
      <c r="G237" s="11" t="str">
        <f aca="false">IF($A237="","",IF(원본명단!$K236="",0,COUNTIF(원본명단!$K$3:$K$6002,원본명단!$K236)))</f>
        <v/>
      </c>
      <c r="H237" s="11" t="str">
        <f aca="false">IF($A237="","",IF(MAX($E237,$F237,$G237)&gt;1,"중복","-"))</f>
        <v/>
      </c>
      <c r="I237" s="11" t="str">
        <f aca="false">IF($A237="","",IF($H237="-","-",IF(AND(IF(원본명단!$H236="",TRUE(),COUNTIF(원본명단!$H$3:$H236,원본명단!$H236)=1),IF(원본명단!$I236="",TRUE(),COUNTIF(원본명단!$I$3:$I236,원본명단!$I236)=1),IF(원본명단!$K236="",TRUE(),COUNTIF(원본명단!$K$3:$K236,원본명단!$K236)=1)),"첫 건","중복 건")))</f>
        <v/>
      </c>
      <c r="J237" s="11" t="str">
        <f aca="false">IF($A237="","",IF($H237="-","유지",IF($I237="첫 건","유지","확인 필요")))</f>
        <v/>
      </c>
    </row>
    <row r="238" customFormat="false" ht="15" hidden="false" customHeight="true" outlineLevel="0" collapsed="false">
      <c r="A238" s="11" t="str">
        <f aca="false">IF(원본명단!$A237="","",235)</f>
        <v/>
      </c>
      <c r="B238" s="12" t="str">
        <f aca="false">IF($A238="","",원본명단!$A237)</f>
        <v/>
      </c>
      <c r="C238" s="12" t="str">
        <f aca="false">IF($A238="","",원본명단!$B237)</f>
        <v/>
      </c>
      <c r="D238" s="12" t="str">
        <f aca="false">IF($A238="","",원본명단!$D237)</f>
        <v/>
      </c>
      <c r="E238" s="11" t="str">
        <f aca="false">IF($A238="","",IF(원본명단!$H237="",0,COUNTIF(원본명단!$H$3:$H$6002,원본명단!$H237)))</f>
        <v/>
      </c>
      <c r="F238" s="11" t="str">
        <f aca="false">IF($A238="","",IF(원본명단!$I237="",0,COUNTIF(원본명단!$I$3:$I$6002,원본명단!$I237)))</f>
        <v/>
      </c>
      <c r="G238" s="11" t="str">
        <f aca="false">IF($A238="","",IF(원본명단!$K237="",0,COUNTIF(원본명단!$K$3:$K$6002,원본명단!$K237)))</f>
        <v/>
      </c>
      <c r="H238" s="11" t="str">
        <f aca="false">IF($A238="","",IF(MAX($E238,$F238,$G238)&gt;1,"중복","-"))</f>
        <v/>
      </c>
      <c r="I238" s="11" t="str">
        <f aca="false">IF($A238="","",IF($H238="-","-",IF(AND(IF(원본명단!$H237="",TRUE(),COUNTIF(원본명단!$H$3:$H237,원본명단!$H237)=1),IF(원본명단!$I237="",TRUE(),COUNTIF(원본명단!$I$3:$I237,원본명단!$I237)=1),IF(원본명단!$K237="",TRUE(),COUNTIF(원본명단!$K$3:$K237,원본명단!$K237)=1)),"첫 건","중복 건")))</f>
        <v/>
      </c>
      <c r="J238" s="11" t="str">
        <f aca="false">IF($A238="","",IF($H238="-","유지",IF($I238="첫 건","유지","확인 필요")))</f>
        <v/>
      </c>
    </row>
    <row r="239" customFormat="false" ht="15" hidden="false" customHeight="true" outlineLevel="0" collapsed="false">
      <c r="A239" s="11" t="str">
        <f aca="false">IF(원본명단!$A238="","",236)</f>
        <v/>
      </c>
      <c r="B239" s="12" t="str">
        <f aca="false">IF($A239="","",원본명단!$A238)</f>
        <v/>
      </c>
      <c r="C239" s="12" t="str">
        <f aca="false">IF($A239="","",원본명단!$B238)</f>
        <v/>
      </c>
      <c r="D239" s="12" t="str">
        <f aca="false">IF($A239="","",원본명단!$D238)</f>
        <v/>
      </c>
      <c r="E239" s="11" t="str">
        <f aca="false">IF($A239="","",IF(원본명단!$H238="",0,COUNTIF(원본명단!$H$3:$H$6002,원본명단!$H238)))</f>
        <v/>
      </c>
      <c r="F239" s="11" t="str">
        <f aca="false">IF($A239="","",IF(원본명단!$I238="",0,COUNTIF(원본명단!$I$3:$I$6002,원본명단!$I238)))</f>
        <v/>
      </c>
      <c r="G239" s="11" t="str">
        <f aca="false">IF($A239="","",IF(원본명단!$K238="",0,COUNTIF(원본명단!$K$3:$K$6002,원본명단!$K238)))</f>
        <v/>
      </c>
      <c r="H239" s="11" t="str">
        <f aca="false">IF($A239="","",IF(MAX($E239,$F239,$G239)&gt;1,"중복","-"))</f>
        <v/>
      </c>
      <c r="I239" s="11" t="str">
        <f aca="false">IF($A239="","",IF($H239="-","-",IF(AND(IF(원본명단!$H238="",TRUE(),COUNTIF(원본명단!$H$3:$H238,원본명단!$H238)=1),IF(원본명단!$I238="",TRUE(),COUNTIF(원본명단!$I$3:$I238,원본명단!$I238)=1),IF(원본명단!$K238="",TRUE(),COUNTIF(원본명단!$K$3:$K238,원본명단!$K238)=1)),"첫 건","중복 건")))</f>
        <v/>
      </c>
      <c r="J239" s="11" t="str">
        <f aca="false">IF($A239="","",IF($H239="-","유지",IF($I239="첫 건","유지","확인 필요")))</f>
        <v/>
      </c>
    </row>
    <row r="240" customFormat="false" ht="15" hidden="false" customHeight="true" outlineLevel="0" collapsed="false">
      <c r="A240" s="11" t="str">
        <f aca="false">IF(원본명단!$A239="","",237)</f>
        <v/>
      </c>
      <c r="B240" s="12" t="str">
        <f aca="false">IF($A240="","",원본명단!$A239)</f>
        <v/>
      </c>
      <c r="C240" s="12" t="str">
        <f aca="false">IF($A240="","",원본명단!$B239)</f>
        <v/>
      </c>
      <c r="D240" s="12" t="str">
        <f aca="false">IF($A240="","",원본명단!$D239)</f>
        <v/>
      </c>
      <c r="E240" s="11" t="str">
        <f aca="false">IF($A240="","",IF(원본명단!$H239="",0,COUNTIF(원본명단!$H$3:$H$6002,원본명단!$H239)))</f>
        <v/>
      </c>
      <c r="F240" s="11" t="str">
        <f aca="false">IF($A240="","",IF(원본명단!$I239="",0,COUNTIF(원본명단!$I$3:$I$6002,원본명단!$I239)))</f>
        <v/>
      </c>
      <c r="G240" s="11" t="str">
        <f aca="false">IF($A240="","",IF(원본명단!$K239="",0,COUNTIF(원본명단!$K$3:$K$6002,원본명단!$K239)))</f>
        <v/>
      </c>
      <c r="H240" s="11" t="str">
        <f aca="false">IF($A240="","",IF(MAX($E240,$F240,$G240)&gt;1,"중복","-"))</f>
        <v/>
      </c>
      <c r="I240" s="11" t="str">
        <f aca="false">IF($A240="","",IF($H240="-","-",IF(AND(IF(원본명단!$H239="",TRUE(),COUNTIF(원본명단!$H$3:$H239,원본명단!$H239)=1),IF(원본명단!$I239="",TRUE(),COUNTIF(원본명단!$I$3:$I239,원본명단!$I239)=1),IF(원본명단!$K239="",TRUE(),COUNTIF(원본명단!$K$3:$K239,원본명단!$K239)=1)),"첫 건","중복 건")))</f>
        <v/>
      </c>
      <c r="J240" s="11" t="str">
        <f aca="false">IF($A240="","",IF($H240="-","유지",IF($I240="첫 건","유지","확인 필요")))</f>
        <v/>
      </c>
    </row>
    <row r="241" customFormat="false" ht="15" hidden="false" customHeight="true" outlineLevel="0" collapsed="false">
      <c r="A241" s="11" t="str">
        <f aca="false">IF(원본명단!$A240="","",238)</f>
        <v/>
      </c>
      <c r="B241" s="12" t="str">
        <f aca="false">IF($A241="","",원본명단!$A240)</f>
        <v/>
      </c>
      <c r="C241" s="12" t="str">
        <f aca="false">IF($A241="","",원본명단!$B240)</f>
        <v/>
      </c>
      <c r="D241" s="12" t="str">
        <f aca="false">IF($A241="","",원본명단!$D240)</f>
        <v/>
      </c>
      <c r="E241" s="11" t="str">
        <f aca="false">IF($A241="","",IF(원본명단!$H240="",0,COUNTIF(원본명단!$H$3:$H$6002,원본명단!$H240)))</f>
        <v/>
      </c>
      <c r="F241" s="11" t="str">
        <f aca="false">IF($A241="","",IF(원본명단!$I240="",0,COUNTIF(원본명단!$I$3:$I$6002,원본명단!$I240)))</f>
        <v/>
      </c>
      <c r="G241" s="11" t="str">
        <f aca="false">IF($A241="","",IF(원본명단!$K240="",0,COUNTIF(원본명단!$K$3:$K$6002,원본명단!$K240)))</f>
        <v/>
      </c>
      <c r="H241" s="11" t="str">
        <f aca="false">IF($A241="","",IF(MAX($E241,$F241,$G241)&gt;1,"중복","-"))</f>
        <v/>
      </c>
      <c r="I241" s="11" t="str">
        <f aca="false">IF($A241="","",IF($H241="-","-",IF(AND(IF(원본명단!$H240="",TRUE(),COUNTIF(원본명단!$H$3:$H240,원본명단!$H240)=1),IF(원본명단!$I240="",TRUE(),COUNTIF(원본명단!$I$3:$I240,원본명단!$I240)=1),IF(원본명단!$K240="",TRUE(),COUNTIF(원본명단!$K$3:$K240,원본명단!$K240)=1)),"첫 건","중복 건")))</f>
        <v/>
      </c>
      <c r="J241" s="11" t="str">
        <f aca="false">IF($A241="","",IF($H241="-","유지",IF($I241="첫 건","유지","확인 필요")))</f>
        <v/>
      </c>
    </row>
    <row r="242" customFormat="false" ht="15" hidden="false" customHeight="true" outlineLevel="0" collapsed="false">
      <c r="A242" s="11" t="str">
        <f aca="false">IF(원본명단!$A241="","",239)</f>
        <v/>
      </c>
      <c r="B242" s="12" t="str">
        <f aca="false">IF($A242="","",원본명단!$A241)</f>
        <v/>
      </c>
      <c r="C242" s="12" t="str">
        <f aca="false">IF($A242="","",원본명단!$B241)</f>
        <v/>
      </c>
      <c r="D242" s="12" t="str">
        <f aca="false">IF($A242="","",원본명단!$D241)</f>
        <v/>
      </c>
      <c r="E242" s="11" t="str">
        <f aca="false">IF($A242="","",IF(원본명단!$H241="",0,COUNTIF(원본명단!$H$3:$H$6002,원본명단!$H241)))</f>
        <v/>
      </c>
      <c r="F242" s="11" t="str">
        <f aca="false">IF($A242="","",IF(원본명단!$I241="",0,COUNTIF(원본명단!$I$3:$I$6002,원본명단!$I241)))</f>
        <v/>
      </c>
      <c r="G242" s="11" t="str">
        <f aca="false">IF($A242="","",IF(원본명단!$K241="",0,COUNTIF(원본명단!$K$3:$K$6002,원본명단!$K241)))</f>
        <v/>
      </c>
      <c r="H242" s="11" t="str">
        <f aca="false">IF($A242="","",IF(MAX($E242,$F242,$G242)&gt;1,"중복","-"))</f>
        <v/>
      </c>
      <c r="I242" s="11" t="str">
        <f aca="false">IF($A242="","",IF($H242="-","-",IF(AND(IF(원본명단!$H241="",TRUE(),COUNTIF(원본명단!$H$3:$H241,원본명단!$H241)=1),IF(원본명단!$I241="",TRUE(),COUNTIF(원본명단!$I$3:$I241,원본명단!$I241)=1),IF(원본명단!$K241="",TRUE(),COUNTIF(원본명단!$K$3:$K241,원본명단!$K241)=1)),"첫 건","중복 건")))</f>
        <v/>
      </c>
      <c r="J242" s="11" t="str">
        <f aca="false">IF($A242="","",IF($H242="-","유지",IF($I242="첫 건","유지","확인 필요")))</f>
        <v/>
      </c>
    </row>
    <row r="243" customFormat="false" ht="15" hidden="false" customHeight="true" outlineLevel="0" collapsed="false">
      <c r="A243" s="11" t="str">
        <f aca="false">IF(원본명단!$A242="","",240)</f>
        <v/>
      </c>
      <c r="B243" s="12" t="str">
        <f aca="false">IF($A243="","",원본명단!$A242)</f>
        <v/>
      </c>
      <c r="C243" s="12" t="str">
        <f aca="false">IF($A243="","",원본명단!$B242)</f>
        <v/>
      </c>
      <c r="D243" s="12" t="str">
        <f aca="false">IF($A243="","",원본명단!$D242)</f>
        <v/>
      </c>
      <c r="E243" s="11" t="str">
        <f aca="false">IF($A243="","",IF(원본명단!$H242="",0,COUNTIF(원본명단!$H$3:$H$6002,원본명단!$H242)))</f>
        <v/>
      </c>
      <c r="F243" s="11" t="str">
        <f aca="false">IF($A243="","",IF(원본명단!$I242="",0,COUNTIF(원본명단!$I$3:$I$6002,원본명단!$I242)))</f>
        <v/>
      </c>
      <c r="G243" s="11" t="str">
        <f aca="false">IF($A243="","",IF(원본명단!$K242="",0,COUNTIF(원본명단!$K$3:$K$6002,원본명단!$K242)))</f>
        <v/>
      </c>
      <c r="H243" s="11" t="str">
        <f aca="false">IF($A243="","",IF(MAX($E243,$F243,$G243)&gt;1,"중복","-"))</f>
        <v/>
      </c>
      <c r="I243" s="11" t="str">
        <f aca="false">IF($A243="","",IF($H243="-","-",IF(AND(IF(원본명단!$H242="",TRUE(),COUNTIF(원본명단!$H$3:$H242,원본명단!$H242)=1),IF(원본명단!$I242="",TRUE(),COUNTIF(원본명단!$I$3:$I242,원본명단!$I242)=1),IF(원본명단!$K242="",TRUE(),COUNTIF(원본명단!$K$3:$K242,원본명단!$K242)=1)),"첫 건","중복 건")))</f>
        <v/>
      </c>
      <c r="J243" s="11" t="str">
        <f aca="false">IF($A243="","",IF($H243="-","유지",IF($I243="첫 건","유지","확인 필요")))</f>
        <v/>
      </c>
    </row>
    <row r="244" customFormat="false" ht="15" hidden="false" customHeight="true" outlineLevel="0" collapsed="false">
      <c r="A244" s="11" t="str">
        <f aca="false">IF(원본명단!$A243="","",241)</f>
        <v/>
      </c>
      <c r="B244" s="12" t="str">
        <f aca="false">IF($A244="","",원본명단!$A243)</f>
        <v/>
      </c>
      <c r="C244" s="12" t="str">
        <f aca="false">IF($A244="","",원본명단!$B243)</f>
        <v/>
      </c>
      <c r="D244" s="12" t="str">
        <f aca="false">IF($A244="","",원본명단!$D243)</f>
        <v/>
      </c>
      <c r="E244" s="11" t="str">
        <f aca="false">IF($A244="","",IF(원본명단!$H243="",0,COUNTIF(원본명단!$H$3:$H$6002,원본명단!$H243)))</f>
        <v/>
      </c>
      <c r="F244" s="11" t="str">
        <f aca="false">IF($A244="","",IF(원본명단!$I243="",0,COUNTIF(원본명단!$I$3:$I$6002,원본명단!$I243)))</f>
        <v/>
      </c>
      <c r="G244" s="11" t="str">
        <f aca="false">IF($A244="","",IF(원본명단!$K243="",0,COUNTIF(원본명단!$K$3:$K$6002,원본명단!$K243)))</f>
        <v/>
      </c>
      <c r="H244" s="11" t="str">
        <f aca="false">IF($A244="","",IF(MAX($E244,$F244,$G244)&gt;1,"중복","-"))</f>
        <v/>
      </c>
      <c r="I244" s="11" t="str">
        <f aca="false">IF($A244="","",IF($H244="-","-",IF(AND(IF(원본명단!$H243="",TRUE(),COUNTIF(원본명단!$H$3:$H243,원본명단!$H243)=1),IF(원본명단!$I243="",TRUE(),COUNTIF(원본명단!$I$3:$I243,원본명단!$I243)=1),IF(원본명단!$K243="",TRUE(),COUNTIF(원본명단!$K$3:$K243,원본명단!$K243)=1)),"첫 건","중복 건")))</f>
        <v/>
      </c>
      <c r="J244" s="11" t="str">
        <f aca="false">IF($A244="","",IF($H244="-","유지",IF($I244="첫 건","유지","확인 필요")))</f>
        <v/>
      </c>
    </row>
    <row r="245" customFormat="false" ht="15" hidden="false" customHeight="true" outlineLevel="0" collapsed="false">
      <c r="A245" s="11" t="str">
        <f aca="false">IF(원본명단!$A244="","",242)</f>
        <v/>
      </c>
      <c r="B245" s="12" t="str">
        <f aca="false">IF($A245="","",원본명단!$A244)</f>
        <v/>
      </c>
      <c r="C245" s="12" t="str">
        <f aca="false">IF($A245="","",원본명단!$B244)</f>
        <v/>
      </c>
      <c r="D245" s="12" t="str">
        <f aca="false">IF($A245="","",원본명단!$D244)</f>
        <v/>
      </c>
      <c r="E245" s="11" t="str">
        <f aca="false">IF($A245="","",IF(원본명단!$H244="",0,COUNTIF(원본명단!$H$3:$H$6002,원본명단!$H244)))</f>
        <v/>
      </c>
      <c r="F245" s="11" t="str">
        <f aca="false">IF($A245="","",IF(원본명단!$I244="",0,COUNTIF(원본명단!$I$3:$I$6002,원본명단!$I244)))</f>
        <v/>
      </c>
      <c r="G245" s="11" t="str">
        <f aca="false">IF($A245="","",IF(원본명단!$K244="",0,COUNTIF(원본명단!$K$3:$K$6002,원본명단!$K244)))</f>
        <v/>
      </c>
      <c r="H245" s="11" t="str">
        <f aca="false">IF($A245="","",IF(MAX($E245,$F245,$G245)&gt;1,"중복","-"))</f>
        <v/>
      </c>
      <c r="I245" s="11" t="str">
        <f aca="false">IF($A245="","",IF($H245="-","-",IF(AND(IF(원본명단!$H244="",TRUE(),COUNTIF(원본명단!$H$3:$H244,원본명단!$H244)=1),IF(원본명단!$I244="",TRUE(),COUNTIF(원본명단!$I$3:$I244,원본명단!$I244)=1),IF(원본명단!$K244="",TRUE(),COUNTIF(원본명단!$K$3:$K244,원본명단!$K244)=1)),"첫 건","중복 건")))</f>
        <v/>
      </c>
      <c r="J245" s="11" t="str">
        <f aca="false">IF($A245="","",IF($H245="-","유지",IF($I245="첫 건","유지","확인 필요")))</f>
        <v/>
      </c>
    </row>
    <row r="246" customFormat="false" ht="15" hidden="false" customHeight="true" outlineLevel="0" collapsed="false">
      <c r="A246" s="11" t="str">
        <f aca="false">IF(원본명단!$A245="","",243)</f>
        <v/>
      </c>
      <c r="B246" s="12" t="str">
        <f aca="false">IF($A246="","",원본명단!$A245)</f>
        <v/>
      </c>
      <c r="C246" s="12" t="str">
        <f aca="false">IF($A246="","",원본명단!$B245)</f>
        <v/>
      </c>
      <c r="D246" s="12" t="str">
        <f aca="false">IF($A246="","",원본명단!$D245)</f>
        <v/>
      </c>
      <c r="E246" s="11" t="str">
        <f aca="false">IF($A246="","",IF(원본명단!$H245="",0,COUNTIF(원본명단!$H$3:$H$6002,원본명단!$H245)))</f>
        <v/>
      </c>
      <c r="F246" s="11" t="str">
        <f aca="false">IF($A246="","",IF(원본명단!$I245="",0,COUNTIF(원본명단!$I$3:$I$6002,원본명단!$I245)))</f>
        <v/>
      </c>
      <c r="G246" s="11" t="str">
        <f aca="false">IF($A246="","",IF(원본명단!$K245="",0,COUNTIF(원본명단!$K$3:$K$6002,원본명단!$K245)))</f>
        <v/>
      </c>
      <c r="H246" s="11" t="str">
        <f aca="false">IF($A246="","",IF(MAX($E246,$F246,$G246)&gt;1,"중복","-"))</f>
        <v/>
      </c>
      <c r="I246" s="11" t="str">
        <f aca="false">IF($A246="","",IF($H246="-","-",IF(AND(IF(원본명단!$H245="",TRUE(),COUNTIF(원본명단!$H$3:$H245,원본명단!$H245)=1),IF(원본명단!$I245="",TRUE(),COUNTIF(원본명단!$I$3:$I245,원본명단!$I245)=1),IF(원본명단!$K245="",TRUE(),COUNTIF(원본명단!$K$3:$K245,원본명단!$K245)=1)),"첫 건","중복 건")))</f>
        <v/>
      </c>
      <c r="J246" s="11" t="str">
        <f aca="false">IF($A246="","",IF($H246="-","유지",IF($I246="첫 건","유지","확인 필요")))</f>
        <v/>
      </c>
    </row>
    <row r="247" customFormat="false" ht="15" hidden="false" customHeight="true" outlineLevel="0" collapsed="false">
      <c r="A247" s="11" t="str">
        <f aca="false">IF(원본명단!$A246="","",244)</f>
        <v/>
      </c>
      <c r="B247" s="12" t="str">
        <f aca="false">IF($A247="","",원본명단!$A246)</f>
        <v/>
      </c>
      <c r="C247" s="12" t="str">
        <f aca="false">IF($A247="","",원본명단!$B246)</f>
        <v/>
      </c>
      <c r="D247" s="12" t="str">
        <f aca="false">IF($A247="","",원본명단!$D246)</f>
        <v/>
      </c>
      <c r="E247" s="11" t="str">
        <f aca="false">IF($A247="","",IF(원본명단!$H246="",0,COUNTIF(원본명단!$H$3:$H$6002,원본명단!$H246)))</f>
        <v/>
      </c>
      <c r="F247" s="11" t="str">
        <f aca="false">IF($A247="","",IF(원본명단!$I246="",0,COUNTIF(원본명단!$I$3:$I$6002,원본명단!$I246)))</f>
        <v/>
      </c>
      <c r="G247" s="11" t="str">
        <f aca="false">IF($A247="","",IF(원본명단!$K246="",0,COUNTIF(원본명단!$K$3:$K$6002,원본명단!$K246)))</f>
        <v/>
      </c>
      <c r="H247" s="11" t="str">
        <f aca="false">IF($A247="","",IF(MAX($E247,$F247,$G247)&gt;1,"중복","-"))</f>
        <v/>
      </c>
      <c r="I247" s="11" t="str">
        <f aca="false">IF($A247="","",IF($H247="-","-",IF(AND(IF(원본명단!$H246="",TRUE(),COUNTIF(원본명단!$H$3:$H246,원본명단!$H246)=1),IF(원본명단!$I246="",TRUE(),COUNTIF(원본명단!$I$3:$I246,원본명단!$I246)=1),IF(원본명단!$K246="",TRUE(),COUNTIF(원본명단!$K$3:$K246,원본명단!$K246)=1)),"첫 건","중복 건")))</f>
        <v/>
      </c>
      <c r="J247" s="11" t="str">
        <f aca="false">IF($A247="","",IF($H247="-","유지",IF($I247="첫 건","유지","확인 필요")))</f>
        <v/>
      </c>
    </row>
    <row r="248" customFormat="false" ht="15" hidden="false" customHeight="true" outlineLevel="0" collapsed="false">
      <c r="A248" s="11" t="str">
        <f aca="false">IF(원본명단!$A247="","",245)</f>
        <v/>
      </c>
      <c r="B248" s="12" t="str">
        <f aca="false">IF($A248="","",원본명단!$A247)</f>
        <v/>
      </c>
      <c r="C248" s="12" t="str">
        <f aca="false">IF($A248="","",원본명단!$B247)</f>
        <v/>
      </c>
      <c r="D248" s="12" t="str">
        <f aca="false">IF($A248="","",원본명단!$D247)</f>
        <v/>
      </c>
      <c r="E248" s="11" t="str">
        <f aca="false">IF($A248="","",IF(원본명단!$H247="",0,COUNTIF(원본명단!$H$3:$H$6002,원본명단!$H247)))</f>
        <v/>
      </c>
      <c r="F248" s="11" t="str">
        <f aca="false">IF($A248="","",IF(원본명단!$I247="",0,COUNTIF(원본명단!$I$3:$I$6002,원본명단!$I247)))</f>
        <v/>
      </c>
      <c r="G248" s="11" t="str">
        <f aca="false">IF($A248="","",IF(원본명단!$K247="",0,COUNTIF(원본명단!$K$3:$K$6002,원본명단!$K247)))</f>
        <v/>
      </c>
      <c r="H248" s="11" t="str">
        <f aca="false">IF($A248="","",IF(MAX($E248,$F248,$G248)&gt;1,"중복","-"))</f>
        <v/>
      </c>
      <c r="I248" s="11" t="str">
        <f aca="false">IF($A248="","",IF($H248="-","-",IF(AND(IF(원본명단!$H247="",TRUE(),COUNTIF(원본명단!$H$3:$H247,원본명단!$H247)=1),IF(원본명단!$I247="",TRUE(),COUNTIF(원본명단!$I$3:$I247,원본명단!$I247)=1),IF(원본명단!$K247="",TRUE(),COUNTIF(원본명단!$K$3:$K247,원본명단!$K247)=1)),"첫 건","중복 건")))</f>
        <v/>
      </c>
      <c r="J248" s="11" t="str">
        <f aca="false">IF($A248="","",IF($H248="-","유지",IF($I248="첫 건","유지","확인 필요")))</f>
        <v/>
      </c>
    </row>
    <row r="249" customFormat="false" ht="15" hidden="false" customHeight="true" outlineLevel="0" collapsed="false">
      <c r="A249" s="11" t="str">
        <f aca="false">IF(원본명단!$A248="","",246)</f>
        <v/>
      </c>
      <c r="B249" s="12" t="str">
        <f aca="false">IF($A249="","",원본명단!$A248)</f>
        <v/>
      </c>
      <c r="C249" s="12" t="str">
        <f aca="false">IF($A249="","",원본명단!$B248)</f>
        <v/>
      </c>
      <c r="D249" s="12" t="str">
        <f aca="false">IF($A249="","",원본명단!$D248)</f>
        <v/>
      </c>
      <c r="E249" s="11" t="str">
        <f aca="false">IF($A249="","",IF(원본명단!$H248="",0,COUNTIF(원본명단!$H$3:$H$6002,원본명단!$H248)))</f>
        <v/>
      </c>
      <c r="F249" s="11" t="str">
        <f aca="false">IF($A249="","",IF(원본명단!$I248="",0,COUNTIF(원본명단!$I$3:$I$6002,원본명단!$I248)))</f>
        <v/>
      </c>
      <c r="G249" s="11" t="str">
        <f aca="false">IF($A249="","",IF(원본명단!$K248="",0,COUNTIF(원본명단!$K$3:$K$6002,원본명단!$K248)))</f>
        <v/>
      </c>
      <c r="H249" s="11" t="str">
        <f aca="false">IF($A249="","",IF(MAX($E249,$F249,$G249)&gt;1,"중복","-"))</f>
        <v/>
      </c>
      <c r="I249" s="11" t="str">
        <f aca="false">IF($A249="","",IF($H249="-","-",IF(AND(IF(원본명단!$H248="",TRUE(),COUNTIF(원본명단!$H$3:$H248,원본명단!$H248)=1),IF(원본명단!$I248="",TRUE(),COUNTIF(원본명단!$I$3:$I248,원본명단!$I248)=1),IF(원본명단!$K248="",TRUE(),COUNTIF(원본명단!$K$3:$K248,원본명단!$K248)=1)),"첫 건","중복 건")))</f>
        <v/>
      </c>
      <c r="J249" s="11" t="str">
        <f aca="false">IF($A249="","",IF($H249="-","유지",IF($I249="첫 건","유지","확인 필요")))</f>
        <v/>
      </c>
    </row>
    <row r="250" customFormat="false" ht="15" hidden="false" customHeight="true" outlineLevel="0" collapsed="false">
      <c r="A250" s="11" t="str">
        <f aca="false">IF(원본명단!$A249="","",247)</f>
        <v/>
      </c>
      <c r="B250" s="12" t="str">
        <f aca="false">IF($A250="","",원본명단!$A249)</f>
        <v/>
      </c>
      <c r="C250" s="12" t="str">
        <f aca="false">IF($A250="","",원본명단!$B249)</f>
        <v/>
      </c>
      <c r="D250" s="12" t="str">
        <f aca="false">IF($A250="","",원본명단!$D249)</f>
        <v/>
      </c>
      <c r="E250" s="11" t="str">
        <f aca="false">IF($A250="","",IF(원본명단!$H249="",0,COUNTIF(원본명단!$H$3:$H$6002,원본명단!$H249)))</f>
        <v/>
      </c>
      <c r="F250" s="11" t="str">
        <f aca="false">IF($A250="","",IF(원본명단!$I249="",0,COUNTIF(원본명단!$I$3:$I$6002,원본명단!$I249)))</f>
        <v/>
      </c>
      <c r="G250" s="11" t="str">
        <f aca="false">IF($A250="","",IF(원본명단!$K249="",0,COUNTIF(원본명단!$K$3:$K$6002,원본명단!$K249)))</f>
        <v/>
      </c>
      <c r="H250" s="11" t="str">
        <f aca="false">IF($A250="","",IF(MAX($E250,$F250,$G250)&gt;1,"중복","-"))</f>
        <v/>
      </c>
      <c r="I250" s="11" t="str">
        <f aca="false">IF($A250="","",IF($H250="-","-",IF(AND(IF(원본명단!$H249="",TRUE(),COUNTIF(원본명단!$H$3:$H249,원본명단!$H249)=1),IF(원본명단!$I249="",TRUE(),COUNTIF(원본명단!$I$3:$I249,원본명단!$I249)=1),IF(원본명단!$K249="",TRUE(),COUNTIF(원본명단!$K$3:$K249,원본명단!$K249)=1)),"첫 건","중복 건")))</f>
        <v/>
      </c>
      <c r="J250" s="11" t="str">
        <f aca="false">IF($A250="","",IF($H250="-","유지",IF($I250="첫 건","유지","확인 필요")))</f>
        <v/>
      </c>
    </row>
    <row r="251" customFormat="false" ht="15" hidden="false" customHeight="true" outlineLevel="0" collapsed="false">
      <c r="A251" s="11" t="str">
        <f aca="false">IF(원본명단!$A250="","",248)</f>
        <v/>
      </c>
      <c r="B251" s="12" t="str">
        <f aca="false">IF($A251="","",원본명단!$A250)</f>
        <v/>
      </c>
      <c r="C251" s="12" t="str">
        <f aca="false">IF($A251="","",원본명단!$B250)</f>
        <v/>
      </c>
      <c r="D251" s="12" t="str">
        <f aca="false">IF($A251="","",원본명단!$D250)</f>
        <v/>
      </c>
      <c r="E251" s="11" t="str">
        <f aca="false">IF($A251="","",IF(원본명단!$H250="",0,COUNTIF(원본명단!$H$3:$H$6002,원본명단!$H250)))</f>
        <v/>
      </c>
      <c r="F251" s="11" t="str">
        <f aca="false">IF($A251="","",IF(원본명단!$I250="",0,COUNTIF(원본명단!$I$3:$I$6002,원본명단!$I250)))</f>
        <v/>
      </c>
      <c r="G251" s="11" t="str">
        <f aca="false">IF($A251="","",IF(원본명단!$K250="",0,COUNTIF(원본명단!$K$3:$K$6002,원본명단!$K250)))</f>
        <v/>
      </c>
      <c r="H251" s="11" t="str">
        <f aca="false">IF($A251="","",IF(MAX($E251,$F251,$G251)&gt;1,"중복","-"))</f>
        <v/>
      </c>
      <c r="I251" s="11" t="str">
        <f aca="false">IF($A251="","",IF($H251="-","-",IF(AND(IF(원본명단!$H250="",TRUE(),COUNTIF(원본명단!$H$3:$H250,원본명단!$H250)=1),IF(원본명단!$I250="",TRUE(),COUNTIF(원본명단!$I$3:$I250,원본명단!$I250)=1),IF(원본명단!$K250="",TRUE(),COUNTIF(원본명단!$K$3:$K250,원본명단!$K250)=1)),"첫 건","중복 건")))</f>
        <v/>
      </c>
      <c r="J251" s="11" t="str">
        <f aca="false">IF($A251="","",IF($H251="-","유지",IF($I251="첫 건","유지","확인 필요")))</f>
        <v/>
      </c>
    </row>
    <row r="252" customFormat="false" ht="15" hidden="false" customHeight="true" outlineLevel="0" collapsed="false">
      <c r="A252" s="11" t="str">
        <f aca="false">IF(원본명단!$A251="","",249)</f>
        <v/>
      </c>
      <c r="B252" s="12" t="str">
        <f aca="false">IF($A252="","",원본명단!$A251)</f>
        <v/>
      </c>
      <c r="C252" s="12" t="str">
        <f aca="false">IF($A252="","",원본명단!$B251)</f>
        <v/>
      </c>
      <c r="D252" s="12" t="str">
        <f aca="false">IF($A252="","",원본명단!$D251)</f>
        <v/>
      </c>
      <c r="E252" s="11" t="str">
        <f aca="false">IF($A252="","",IF(원본명단!$H251="",0,COUNTIF(원본명단!$H$3:$H$6002,원본명단!$H251)))</f>
        <v/>
      </c>
      <c r="F252" s="11" t="str">
        <f aca="false">IF($A252="","",IF(원본명단!$I251="",0,COUNTIF(원본명단!$I$3:$I$6002,원본명단!$I251)))</f>
        <v/>
      </c>
      <c r="G252" s="11" t="str">
        <f aca="false">IF($A252="","",IF(원본명단!$K251="",0,COUNTIF(원본명단!$K$3:$K$6002,원본명단!$K251)))</f>
        <v/>
      </c>
      <c r="H252" s="11" t="str">
        <f aca="false">IF($A252="","",IF(MAX($E252,$F252,$G252)&gt;1,"중복","-"))</f>
        <v/>
      </c>
      <c r="I252" s="11" t="str">
        <f aca="false">IF($A252="","",IF($H252="-","-",IF(AND(IF(원본명단!$H251="",TRUE(),COUNTIF(원본명단!$H$3:$H251,원본명단!$H251)=1),IF(원본명단!$I251="",TRUE(),COUNTIF(원본명단!$I$3:$I251,원본명단!$I251)=1),IF(원본명단!$K251="",TRUE(),COUNTIF(원본명단!$K$3:$K251,원본명단!$K251)=1)),"첫 건","중복 건")))</f>
        <v/>
      </c>
      <c r="J252" s="11" t="str">
        <f aca="false">IF($A252="","",IF($H252="-","유지",IF($I252="첫 건","유지","확인 필요")))</f>
        <v/>
      </c>
    </row>
    <row r="253" customFormat="false" ht="15" hidden="false" customHeight="true" outlineLevel="0" collapsed="false">
      <c r="A253" s="11" t="str">
        <f aca="false">IF(원본명단!$A252="","",250)</f>
        <v/>
      </c>
      <c r="B253" s="12" t="str">
        <f aca="false">IF($A253="","",원본명단!$A252)</f>
        <v/>
      </c>
      <c r="C253" s="12" t="str">
        <f aca="false">IF($A253="","",원본명단!$B252)</f>
        <v/>
      </c>
      <c r="D253" s="12" t="str">
        <f aca="false">IF($A253="","",원본명단!$D252)</f>
        <v/>
      </c>
      <c r="E253" s="11" t="str">
        <f aca="false">IF($A253="","",IF(원본명단!$H252="",0,COUNTIF(원본명단!$H$3:$H$6002,원본명단!$H252)))</f>
        <v/>
      </c>
      <c r="F253" s="11" t="str">
        <f aca="false">IF($A253="","",IF(원본명단!$I252="",0,COUNTIF(원본명단!$I$3:$I$6002,원본명단!$I252)))</f>
        <v/>
      </c>
      <c r="G253" s="11" t="str">
        <f aca="false">IF($A253="","",IF(원본명단!$K252="",0,COUNTIF(원본명단!$K$3:$K$6002,원본명단!$K252)))</f>
        <v/>
      </c>
      <c r="H253" s="11" t="str">
        <f aca="false">IF($A253="","",IF(MAX($E253,$F253,$G253)&gt;1,"중복","-"))</f>
        <v/>
      </c>
      <c r="I253" s="11" t="str">
        <f aca="false">IF($A253="","",IF($H253="-","-",IF(AND(IF(원본명단!$H252="",TRUE(),COUNTIF(원본명단!$H$3:$H252,원본명단!$H252)=1),IF(원본명단!$I252="",TRUE(),COUNTIF(원본명단!$I$3:$I252,원본명단!$I252)=1),IF(원본명단!$K252="",TRUE(),COUNTIF(원본명단!$K$3:$K252,원본명단!$K252)=1)),"첫 건","중복 건")))</f>
        <v/>
      </c>
      <c r="J253" s="11" t="str">
        <f aca="false">IF($A253="","",IF($H253="-","유지",IF($I253="첫 건","유지","확인 필요")))</f>
        <v/>
      </c>
    </row>
    <row r="254" customFormat="false" ht="15" hidden="false" customHeight="true" outlineLevel="0" collapsed="false">
      <c r="A254" s="11" t="str">
        <f aca="false">IF(원본명단!$A253="","",251)</f>
        <v/>
      </c>
      <c r="B254" s="12" t="str">
        <f aca="false">IF($A254="","",원본명단!$A253)</f>
        <v/>
      </c>
      <c r="C254" s="12" t="str">
        <f aca="false">IF($A254="","",원본명단!$B253)</f>
        <v/>
      </c>
      <c r="D254" s="12" t="str">
        <f aca="false">IF($A254="","",원본명단!$D253)</f>
        <v/>
      </c>
      <c r="E254" s="11" t="str">
        <f aca="false">IF($A254="","",IF(원본명단!$H253="",0,COUNTIF(원본명단!$H$3:$H$6002,원본명단!$H253)))</f>
        <v/>
      </c>
      <c r="F254" s="11" t="str">
        <f aca="false">IF($A254="","",IF(원본명단!$I253="",0,COUNTIF(원본명단!$I$3:$I$6002,원본명단!$I253)))</f>
        <v/>
      </c>
      <c r="G254" s="11" t="str">
        <f aca="false">IF($A254="","",IF(원본명단!$K253="",0,COUNTIF(원본명단!$K$3:$K$6002,원본명단!$K253)))</f>
        <v/>
      </c>
      <c r="H254" s="11" t="str">
        <f aca="false">IF($A254="","",IF(MAX($E254,$F254,$G254)&gt;1,"중복","-"))</f>
        <v/>
      </c>
      <c r="I254" s="11" t="str">
        <f aca="false">IF($A254="","",IF($H254="-","-",IF(AND(IF(원본명단!$H253="",TRUE(),COUNTIF(원본명단!$H$3:$H253,원본명단!$H253)=1),IF(원본명단!$I253="",TRUE(),COUNTIF(원본명단!$I$3:$I253,원본명단!$I253)=1),IF(원본명단!$K253="",TRUE(),COUNTIF(원본명단!$K$3:$K253,원본명단!$K253)=1)),"첫 건","중복 건")))</f>
        <v/>
      </c>
      <c r="J254" s="11" t="str">
        <f aca="false">IF($A254="","",IF($H254="-","유지",IF($I254="첫 건","유지","확인 필요")))</f>
        <v/>
      </c>
    </row>
    <row r="255" customFormat="false" ht="15" hidden="false" customHeight="true" outlineLevel="0" collapsed="false">
      <c r="A255" s="11" t="str">
        <f aca="false">IF(원본명단!$A254="","",252)</f>
        <v/>
      </c>
      <c r="B255" s="12" t="str">
        <f aca="false">IF($A255="","",원본명단!$A254)</f>
        <v/>
      </c>
      <c r="C255" s="12" t="str">
        <f aca="false">IF($A255="","",원본명단!$B254)</f>
        <v/>
      </c>
      <c r="D255" s="12" t="str">
        <f aca="false">IF($A255="","",원본명단!$D254)</f>
        <v/>
      </c>
      <c r="E255" s="11" t="str">
        <f aca="false">IF($A255="","",IF(원본명단!$H254="",0,COUNTIF(원본명단!$H$3:$H$6002,원본명단!$H254)))</f>
        <v/>
      </c>
      <c r="F255" s="11" t="str">
        <f aca="false">IF($A255="","",IF(원본명단!$I254="",0,COUNTIF(원본명단!$I$3:$I$6002,원본명단!$I254)))</f>
        <v/>
      </c>
      <c r="G255" s="11" t="str">
        <f aca="false">IF($A255="","",IF(원본명단!$K254="",0,COUNTIF(원본명단!$K$3:$K$6002,원본명단!$K254)))</f>
        <v/>
      </c>
      <c r="H255" s="11" t="str">
        <f aca="false">IF($A255="","",IF(MAX($E255,$F255,$G255)&gt;1,"중복","-"))</f>
        <v/>
      </c>
      <c r="I255" s="11" t="str">
        <f aca="false">IF($A255="","",IF($H255="-","-",IF(AND(IF(원본명단!$H254="",TRUE(),COUNTIF(원본명단!$H$3:$H254,원본명단!$H254)=1),IF(원본명단!$I254="",TRUE(),COUNTIF(원본명단!$I$3:$I254,원본명단!$I254)=1),IF(원본명단!$K254="",TRUE(),COUNTIF(원본명단!$K$3:$K254,원본명단!$K254)=1)),"첫 건","중복 건")))</f>
        <v/>
      </c>
      <c r="J255" s="11" t="str">
        <f aca="false">IF($A255="","",IF($H255="-","유지",IF($I255="첫 건","유지","확인 필요")))</f>
        <v/>
      </c>
    </row>
    <row r="256" customFormat="false" ht="15" hidden="false" customHeight="true" outlineLevel="0" collapsed="false">
      <c r="A256" s="11" t="str">
        <f aca="false">IF(원본명단!$A255="","",253)</f>
        <v/>
      </c>
      <c r="B256" s="12" t="str">
        <f aca="false">IF($A256="","",원본명단!$A255)</f>
        <v/>
      </c>
      <c r="C256" s="12" t="str">
        <f aca="false">IF($A256="","",원본명단!$B255)</f>
        <v/>
      </c>
      <c r="D256" s="12" t="str">
        <f aca="false">IF($A256="","",원본명단!$D255)</f>
        <v/>
      </c>
      <c r="E256" s="11" t="str">
        <f aca="false">IF($A256="","",IF(원본명단!$H255="",0,COUNTIF(원본명단!$H$3:$H$6002,원본명단!$H255)))</f>
        <v/>
      </c>
      <c r="F256" s="11" t="str">
        <f aca="false">IF($A256="","",IF(원본명단!$I255="",0,COUNTIF(원본명단!$I$3:$I$6002,원본명단!$I255)))</f>
        <v/>
      </c>
      <c r="G256" s="11" t="str">
        <f aca="false">IF($A256="","",IF(원본명단!$K255="",0,COUNTIF(원본명단!$K$3:$K$6002,원본명단!$K255)))</f>
        <v/>
      </c>
      <c r="H256" s="11" t="str">
        <f aca="false">IF($A256="","",IF(MAX($E256,$F256,$G256)&gt;1,"중복","-"))</f>
        <v/>
      </c>
      <c r="I256" s="11" t="str">
        <f aca="false">IF($A256="","",IF($H256="-","-",IF(AND(IF(원본명단!$H255="",TRUE(),COUNTIF(원본명단!$H$3:$H255,원본명단!$H255)=1),IF(원본명단!$I255="",TRUE(),COUNTIF(원본명단!$I$3:$I255,원본명단!$I255)=1),IF(원본명단!$K255="",TRUE(),COUNTIF(원본명단!$K$3:$K255,원본명단!$K255)=1)),"첫 건","중복 건")))</f>
        <v/>
      </c>
      <c r="J256" s="11" t="str">
        <f aca="false">IF($A256="","",IF($H256="-","유지",IF($I256="첫 건","유지","확인 필요")))</f>
        <v/>
      </c>
    </row>
    <row r="257" customFormat="false" ht="15" hidden="false" customHeight="true" outlineLevel="0" collapsed="false">
      <c r="A257" s="11" t="str">
        <f aca="false">IF(원본명단!$A256="","",254)</f>
        <v/>
      </c>
      <c r="B257" s="12" t="str">
        <f aca="false">IF($A257="","",원본명단!$A256)</f>
        <v/>
      </c>
      <c r="C257" s="12" t="str">
        <f aca="false">IF($A257="","",원본명단!$B256)</f>
        <v/>
      </c>
      <c r="D257" s="12" t="str">
        <f aca="false">IF($A257="","",원본명단!$D256)</f>
        <v/>
      </c>
      <c r="E257" s="11" t="str">
        <f aca="false">IF($A257="","",IF(원본명단!$H256="",0,COUNTIF(원본명단!$H$3:$H$6002,원본명단!$H256)))</f>
        <v/>
      </c>
      <c r="F257" s="11" t="str">
        <f aca="false">IF($A257="","",IF(원본명단!$I256="",0,COUNTIF(원본명단!$I$3:$I$6002,원본명단!$I256)))</f>
        <v/>
      </c>
      <c r="G257" s="11" t="str">
        <f aca="false">IF($A257="","",IF(원본명단!$K256="",0,COUNTIF(원본명단!$K$3:$K$6002,원본명단!$K256)))</f>
        <v/>
      </c>
      <c r="H257" s="11" t="str">
        <f aca="false">IF($A257="","",IF(MAX($E257,$F257,$G257)&gt;1,"중복","-"))</f>
        <v/>
      </c>
      <c r="I257" s="11" t="str">
        <f aca="false">IF($A257="","",IF($H257="-","-",IF(AND(IF(원본명단!$H256="",TRUE(),COUNTIF(원본명단!$H$3:$H256,원본명단!$H256)=1),IF(원본명단!$I256="",TRUE(),COUNTIF(원본명단!$I$3:$I256,원본명단!$I256)=1),IF(원본명단!$K256="",TRUE(),COUNTIF(원본명단!$K$3:$K256,원본명단!$K256)=1)),"첫 건","중복 건")))</f>
        <v/>
      </c>
      <c r="J257" s="11" t="str">
        <f aca="false">IF($A257="","",IF($H257="-","유지",IF($I257="첫 건","유지","확인 필요")))</f>
        <v/>
      </c>
    </row>
    <row r="258" customFormat="false" ht="15" hidden="false" customHeight="true" outlineLevel="0" collapsed="false">
      <c r="A258" s="11" t="str">
        <f aca="false">IF(원본명단!$A257="","",255)</f>
        <v/>
      </c>
      <c r="B258" s="12" t="str">
        <f aca="false">IF($A258="","",원본명단!$A257)</f>
        <v/>
      </c>
      <c r="C258" s="12" t="str">
        <f aca="false">IF($A258="","",원본명단!$B257)</f>
        <v/>
      </c>
      <c r="D258" s="12" t="str">
        <f aca="false">IF($A258="","",원본명단!$D257)</f>
        <v/>
      </c>
      <c r="E258" s="11" t="str">
        <f aca="false">IF($A258="","",IF(원본명단!$H257="",0,COUNTIF(원본명단!$H$3:$H$6002,원본명단!$H257)))</f>
        <v/>
      </c>
      <c r="F258" s="11" t="str">
        <f aca="false">IF($A258="","",IF(원본명단!$I257="",0,COUNTIF(원본명단!$I$3:$I$6002,원본명단!$I257)))</f>
        <v/>
      </c>
      <c r="G258" s="11" t="str">
        <f aca="false">IF($A258="","",IF(원본명단!$K257="",0,COUNTIF(원본명단!$K$3:$K$6002,원본명단!$K257)))</f>
        <v/>
      </c>
      <c r="H258" s="11" t="str">
        <f aca="false">IF($A258="","",IF(MAX($E258,$F258,$G258)&gt;1,"중복","-"))</f>
        <v/>
      </c>
      <c r="I258" s="11" t="str">
        <f aca="false">IF($A258="","",IF($H258="-","-",IF(AND(IF(원본명단!$H257="",TRUE(),COUNTIF(원본명단!$H$3:$H257,원본명단!$H257)=1),IF(원본명단!$I257="",TRUE(),COUNTIF(원본명단!$I$3:$I257,원본명단!$I257)=1),IF(원본명단!$K257="",TRUE(),COUNTIF(원본명단!$K$3:$K257,원본명단!$K257)=1)),"첫 건","중복 건")))</f>
        <v/>
      </c>
      <c r="J258" s="11" t="str">
        <f aca="false">IF($A258="","",IF($H258="-","유지",IF($I258="첫 건","유지","확인 필요")))</f>
        <v/>
      </c>
    </row>
    <row r="259" customFormat="false" ht="15" hidden="false" customHeight="true" outlineLevel="0" collapsed="false">
      <c r="A259" s="11" t="str">
        <f aca="false">IF(원본명단!$A258="","",256)</f>
        <v/>
      </c>
      <c r="B259" s="12" t="str">
        <f aca="false">IF($A259="","",원본명단!$A258)</f>
        <v/>
      </c>
      <c r="C259" s="12" t="str">
        <f aca="false">IF($A259="","",원본명단!$B258)</f>
        <v/>
      </c>
      <c r="D259" s="12" t="str">
        <f aca="false">IF($A259="","",원본명단!$D258)</f>
        <v/>
      </c>
      <c r="E259" s="11" t="str">
        <f aca="false">IF($A259="","",IF(원본명단!$H258="",0,COUNTIF(원본명단!$H$3:$H$6002,원본명단!$H258)))</f>
        <v/>
      </c>
      <c r="F259" s="11" t="str">
        <f aca="false">IF($A259="","",IF(원본명단!$I258="",0,COUNTIF(원본명단!$I$3:$I$6002,원본명단!$I258)))</f>
        <v/>
      </c>
      <c r="G259" s="11" t="str">
        <f aca="false">IF($A259="","",IF(원본명단!$K258="",0,COUNTIF(원본명단!$K$3:$K$6002,원본명단!$K258)))</f>
        <v/>
      </c>
      <c r="H259" s="11" t="str">
        <f aca="false">IF($A259="","",IF(MAX($E259,$F259,$G259)&gt;1,"중복","-"))</f>
        <v/>
      </c>
      <c r="I259" s="11" t="str">
        <f aca="false">IF($A259="","",IF($H259="-","-",IF(AND(IF(원본명단!$H258="",TRUE(),COUNTIF(원본명단!$H$3:$H258,원본명단!$H258)=1),IF(원본명단!$I258="",TRUE(),COUNTIF(원본명단!$I$3:$I258,원본명단!$I258)=1),IF(원본명단!$K258="",TRUE(),COUNTIF(원본명단!$K$3:$K258,원본명단!$K258)=1)),"첫 건","중복 건")))</f>
        <v/>
      </c>
      <c r="J259" s="11" t="str">
        <f aca="false">IF($A259="","",IF($H259="-","유지",IF($I259="첫 건","유지","확인 필요")))</f>
        <v/>
      </c>
    </row>
    <row r="260" customFormat="false" ht="15" hidden="false" customHeight="true" outlineLevel="0" collapsed="false">
      <c r="A260" s="11" t="str">
        <f aca="false">IF(원본명단!$A259="","",257)</f>
        <v/>
      </c>
      <c r="B260" s="12" t="str">
        <f aca="false">IF($A260="","",원본명단!$A259)</f>
        <v/>
      </c>
      <c r="C260" s="12" t="str">
        <f aca="false">IF($A260="","",원본명단!$B259)</f>
        <v/>
      </c>
      <c r="D260" s="12" t="str">
        <f aca="false">IF($A260="","",원본명단!$D259)</f>
        <v/>
      </c>
      <c r="E260" s="11" t="str">
        <f aca="false">IF($A260="","",IF(원본명단!$H259="",0,COUNTIF(원본명단!$H$3:$H$6002,원본명단!$H259)))</f>
        <v/>
      </c>
      <c r="F260" s="11" t="str">
        <f aca="false">IF($A260="","",IF(원본명단!$I259="",0,COUNTIF(원본명단!$I$3:$I$6002,원본명단!$I259)))</f>
        <v/>
      </c>
      <c r="G260" s="11" t="str">
        <f aca="false">IF($A260="","",IF(원본명단!$K259="",0,COUNTIF(원본명단!$K$3:$K$6002,원본명단!$K259)))</f>
        <v/>
      </c>
      <c r="H260" s="11" t="str">
        <f aca="false">IF($A260="","",IF(MAX($E260,$F260,$G260)&gt;1,"중복","-"))</f>
        <v/>
      </c>
      <c r="I260" s="11" t="str">
        <f aca="false">IF($A260="","",IF($H260="-","-",IF(AND(IF(원본명단!$H259="",TRUE(),COUNTIF(원본명단!$H$3:$H259,원본명단!$H259)=1),IF(원본명단!$I259="",TRUE(),COUNTIF(원본명단!$I$3:$I259,원본명단!$I259)=1),IF(원본명단!$K259="",TRUE(),COUNTIF(원본명단!$K$3:$K259,원본명단!$K259)=1)),"첫 건","중복 건")))</f>
        <v/>
      </c>
      <c r="J260" s="11" t="str">
        <f aca="false">IF($A260="","",IF($H260="-","유지",IF($I260="첫 건","유지","확인 필요")))</f>
        <v/>
      </c>
    </row>
    <row r="261" customFormat="false" ht="15" hidden="false" customHeight="true" outlineLevel="0" collapsed="false">
      <c r="A261" s="11" t="str">
        <f aca="false">IF(원본명단!$A260="","",258)</f>
        <v/>
      </c>
      <c r="B261" s="12" t="str">
        <f aca="false">IF($A261="","",원본명단!$A260)</f>
        <v/>
      </c>
      <c r="C261" s="12" t="str">
        <f aca="false">IF($A261="","",원본명단!$B260)</f>
        <v/>
      </c>
      <c r="D261" s="12" t="str">
        <f aca="false">IF($A261="","",원본명단!$D260)</f>
        <v/>
      </c>
      <c r="E261" s="11" t="str">
        <f aca="false">IF($A261="","",IF(원본명단!$H260="",0,COUNTIF(원본명단!$H$3:$H$6002,원본명단!$H260)))</f>
        <v/>
      </c>
      <c r="F261" s="11" t="str">
        <f aca="false">IF($A261="","",IF(원본명단!$I260="",0,COUNTIF(원본명단!$I$3:$I$6002,원본명단!$I260)))</f>
        <v/>
      </c>
      <c r="G261" s="11" t="str">
        <f aca="false">IF($A261="","",IF(원본명단!$K260="",0,COUNTIF(원본명단!$K$3:$K$6002,원본명단!$K260)))</f>
        <v/>
      </c>
      <c r="H261" s="11" t="str">
        <f aca="false">IF($A261="","",IF(MAX($E261,$F261,$G261)&gt;1,"중복","-"))</f>
        <v/>
      </c>
      <c r="I261" s="11" t="str">
        <f aca="false">IF($A261="","",IF($H261="-","-",IF(AND(IF(원본명단!$H260="",TRUE(),COUNTIF(원본명단!$H$3:$H260,원본명단!$H260)=1),IF(원본명단!$I260="",TRUE(),COUNTIF(원본명단!$I$3:$I260,원본명단!$I260)=1),IF(원본명단!$K260="",TRUE(),COUNTIF(원본명단!$K$3:$K260,원본명단!$K260)=1)),"첫 건","중복 건")))</f>
        <v/>
      </c>
      <c r="J261" s="11" t="str">
        <f aca="false">IF($A261="","",IF($H261="-","유지",IF($I261="첫 건","유지","확인 필요")))</f>
        <v/>
      </c>
    </row>
    <row r="262" customFormat="false" ht="15" hidden="false" customHeight="true" outlineLevel="0" collapsed="false">
      <c r="A262" s="11" t="str">
        <f aca="false">IF(원본명단!$A261="","",259)</f>
        <v/>
      </c>
      <c r="B262" s="12" t="str">
        <f aca="false">IF($A262="","",원본명단!$A261)</f>
        <v/>
      </c>
      <c r="C262" s="12" t="str">
        <f aca="false">IF($A262="","",원본명단!$B261)</f>
        <v/>
      </c>
      <c r="D262" s="12" t="str">
        <f aca="false">IF($A262="","",원본명단!$D261)</f>
        <v/>
      </c>
      <c r="E262" s="11" t="str">
        <f aca="false">IF($A262="","",IF(원본명단!$H261="",0,COUNTIF(원본명단!$H$3:$H$6002,원본명단!$H261)))</f>
        <v/>
      </c>
      <c r="F262" s="11" t="str">
        <f aca="false">IF($A262="","",IF(원본명단!$I261="",0,COUNTIF(원본명단!$I$3:$I$6002,원본명단!$I261)))</f>
        <v/>
      </c>
      <c r="G262" s="11" t="str">
        <f aca="false">IF($A262="","",IF(원본명단!$K261="",0,COUNTIF(원본명단!$K$3:$K$6002,원본명단!$K261)))</f>
        <v/>
      </c>
      <c r="H262" s="11" t="str">
        <f aca="false">IF($A262="","",IF(MAX($E262,$F262,$G262)&gt;1,"중복","-"))</f>
        <v/>
      </c>
      <c r="I262" s="11" t="str">
        <f aca="false">IF($A262="","",IF($H262="-","-",IF(AND(IF(원본명단!$H261="",TRUE(),COUNTIF(원본명단!$H$3:$H261,원본명단!$H261)=1),IF(원본명단!$I261="",TRUE(),COUNTIF(원본명단!$I$3:$I261,원본명단!$I261)=1),IF(원본명단!$K261="",TRUE(),COUNTIF(원본명단!$K$3:$K261,원본명단!$K261)=1)),"첫 건","중복 건")))</f>
        <v/>
      </c>
      <c r="J262" s="11" t="str">
        <f aca="false">IF($A262="","",IF($H262="-","유지",IF($I262="첫 건","유지","확인 필요")))</f>
        <v/>
      </c>
    </row>
    <row r="263" customFormat="false" ht="15" hidden="false" customHeight="true" outlineLevel="0" collapsed="false">
      <c r="A263" s="11" t="str">
        <f aca="false">IF(원본명단!$A262="","",260)</f>
        <v/>
      </c>
      <c r="B263" s="12" t="str">
        <f aca="false">IF($A263="","",원본명단!$A262)</f>
        <v/>
      </c>
      <c r="C263" s="12" t="str">
        <f aca="false">IF($A263="","",원본명단!$B262)</f>
        <v/>
      </c>
      <c r="D263" s="12" t="str">
        <f aca="false">IF($A263="","",원본명단!$D262)</f>
        <v/>
      </c>
      <c r="E263" s="11" t="str">
        <f aca="false">IF($A263="","",IF(원본명단!$H262="",0,COUNTIF(원본명단!$H$3:$H$6002,원본명단!$H262)))</f>
        <v/>
      </c>
      <c r="F263" s="11" t="str">
        <f aca="false">IF($A263="","",IF(원본명단!$I262="",0,COUNTIF(원본명단!$I$3:$I$6002,원본명단!$I262)))</f>
        <v/>
      </c>
      <c r="G263" s="11" t="str">
        <f aca="false">IF($A263="","",IF(원본명단!$K262="",0,COUNTIF(원본명단!$K$3:$K$6002,원본명단!$K262)))</f>
        <v/>
      </c>
      <c r="H263" s="11" t="str">
        <f aca="false">IF($A263="","",IF(MAX($E263,$F263,$G263)&gt;1,"중복","-"))</f>
        <v/>
      </c>
      <c r="I263" s="11" t="str">
        <f aca="false">IF($A263="","",IF($H263="-","-",IF(AND(IF(원본명단!$H262="",TRUE(),COUNTIF(원본명단!$H$3:$H262,원본명단!$H262)=1),IF(원본명단!$I262="",TRUE(),COUNTIF(원본명단!$I$3:$I262,원본명단!$I262)=1),IF(원본명단!$K262="",TRUE(),COUNTIF(원본명단!$K$3:$K262,원본명단!$K262)=1)),"첫 건","중복 건")))</f>
        <v/>
      </c>
      <c r="J263" s="11" t="str">
        <f aca="false">IF($A263="","",IF($H263="-","유지",IF($I263="첫 건","유지","확인 필요")))</f>
        <v/>
      </c>
    </row>
    <row r="264" customFormat="false" ht="15" hidden="false" customHeight="true" outlineLevel="0" collapsed="false">
      <c r="A264" s="11" t="str">
        <f aca="false">IF(원본명단!$A263="","",261)</f>
        <v/>
      </c>
      <c r="B264" s="12" t="str">
        <f aca="false">IF($A264="","",원본명단!$A263)</f>
        <v/>
      </c>
      <c r="C264" s="12" t="str">
        <f aca="false">IF($A264="","",원본명단!$B263)</f>
        <v/>
      </c>
      <c r="D264" s="12" t="str">
        <f aca="false">IF($A264="","",원본명단!$D263)</f>
        <v/>
      </c>
      <c r="E264" s="11" t="str">
        <f aca="false">IF($A264="","",IF(원본명단!$H263="",0,COUNTIF(원본명단!$H$3:$H$6002,원본명단!$H263)))</f>
        <v/>
      </c>
      <c r="F264" s="11" t="str">
        <f aca="false">IF($A264="","",IF(원본명단!$I263="",0,COUNTIF(원본명단!$I$3:$I$6002,원본명단!$I263)))</f>
        <v/>
      </c>
      <c r="G264" s="11" t="str">
        <f aca="false">IF($A264="","",IF(원본명단!$K263="",0,COUNTIF(원본명단!$K$3:$K$6002,원본명단!$K263)))</f>
        <v/>
      </c>
      <c r="H264" s="11" t="str">
        <f aca="false">IF($A264="","",IF(MAX($E264,$F264,$G264)&gt;1,"중복","-"))</f>
        <v/>
      </c>
      <c r="I264" s="11" t="str">
        <f aca="false">IF($A264="","",IF($H264="-","-",IF(AND(IF(원본명단!$H263="",TRUE(),COUNTIF(원본명단!$H$3:$H263,원본명단!$H263)=1),IF(원본명단!$I263="",TRUE(),COUNTIF(원본명단!$I$3:$I263,원본명단!$I263)=1),IF(원본명단!$K263="",TRUE(),COUNTIF(원본명단!$K$3:$K263,원본명단!$K263)=1)),"첫 건","중복 건")))</f>
        <v/>
      </c>
      <c r="J264" s="11" t="str">
        <f aca="false">IF($A264="","",IF($H264="-","유지",IF($I264="첫 건","유지","확인 필요")))</f>
        <v/>
      </c>
    </row>
    <row r="265" customFormat="false" ht="15" hidden="false" customHeight="true" outlineLevel="0" collapsed="false">
      <c r="A265" s="11" t="str">
        <f aca="false">IF(원본명단!$A264="","",262)</f>
        <v/>
      </c>
      <c r="B265" s="12" t="str">
        <f aca="false">IF($A265="","",원본명단!$A264)</f>
        <v/>
      </c>
      <c r="C265" s="12" t="str">
        <f aca="false">IF($A265="","",원본명단!$B264)</f>
        <v/>
      </c>
      <c r="D265" s="12" t="str">
        <f aca="false">IF($A265="","",원본명단!$D264)</f>
        <v/>
      </c>
      <c r="E265" s="11" t="str">
        <f aca="false">IF($A265="","",IF(원본명단!$H264="",0,COUNTIF(원본명단!$H$3:$H$6002,원본명단!$H264)))</f>
        <v/>
      </c>
      <c r="F265" s="11" t="str">
        <f aca="false">IF($A265="","",IF(원본명단!$I264="",0,COUNTIF(원본명단!$I$3:$I$6002,원본명단!$I264)))</f>
        <v/>
      </c>
      <c r="G265" s="11" t="str">
        <f aca="false">IF($A265="","",IF(원본명단!$K264="",0,COUNTIF(원본명단!$K$3:$K$6002,원본명단!$K264)))</f>
        <v/>
      </c>
      <c r="H265" s="11" t="str">
        <f aca="false">IF($A265="","",IF(MAX($E265,$F265,$G265)&gt;1,"중복","-"))</f>
        <v/>
      </c>
      <c r="I265" s="11" t="str">
        <f aca="false">IF($A265="","",IF($H265="-","-",IF(AND(IF(원본명단!$H264="",TRUE(),COUNTIF(원본명단!$H$3:$H264,원본명단!$H264)=1),IF(원본명단!$I264="",TRUE(),COUNTIF(원본명단!$I$3:$I264,원본명단!$I264)=1),IF(원본명단!$K264="",TRUE(),COUNTIF(원본명단!$K$3:$K264,원본명단!$K264)=1)),"첫 건","중복 건")))</f>
        <v/>
      </c>
      <c r="J265" s="11" t="str">
        <f aca="false">IF($A265="","",IF($H265="-","유지",IF($I265="첫 건","유지","확인 필요")))</f>
        <v/>
      </c>
    </row>
    <row r="266" customFormat="false" ht="15" hidden="false" customHeight="true" outlineLevel="0" collapsed="false">
      <c r="A266" s="11" t="str">
        <f aca="false">IF(원본명단!$A265="","",263)</f>
        <v/>
      </c>
      <c r="B266" s="12" t="str">
        <f aca="false">IF($A266="","",원본명단!$A265)</f>
        <v/>
      </c>
      <c r="C266" s="12" t="str">
        <f aca="false">IF($A266="","",원본명단!$B265)</f>
        <v/>
      </c>
      <c r="D266" s="12" t="str">
        <f aca="false">IF($A266="","",원본명단!$D265)</f>
        <v/>
      </c>
      <c r="E266" s="11" t="str">
        <f aca="false">IF($A266="","",IF(원본명단!$H265="",0,COUNTIF(원본명단!$H$3:$H$6002,원본명단!$H265)))</f>
        <v/>
      </c>
      <c r="F266" s="11" t="str">
        <f aca="false">IF($A266="","",IF(원본명단!$I265="",0,COUNTIF(원본명단!$I$3:$I$6002,원본명단!$I265)))</f>
        <v/>
      </c>
      <c r="G266" s="11" t="str">
        <f aca="false">IF($A266="","",IF(원본명단!$K265="",0,COUNTIF(원본명단!$K$3:$K$6002,원본명단!$K265)))</f>
        <v/>
      </c>
      <c r="H266" s="11" t="str">
        <f aca="false">IF($A266="","",IF(MAX($E266,$F266,$G266)&gt;1,"중복","-"))</f>
        <v/>
      </c>
      <c r="I266" s="11" t="str">
        <f aca="false">IF($A266="","",IF($H266="-","-",IF(AND(IF(원본명단!$H265="",TRUE(),COUNTIF(원본명단!$H$3:$H265,원본명단!$H265)=1),IF(원본명단!$I265="",TRUE(),COUNTIF(원본명단!$I$3:$I265,원본명단!$I265)=1),IF(원본명단!$K265="",TRUE(),COUNTIF(원본명단!$K$3:$K265,원본명단!$K265)=1)),"첫 건","중복 건")))</f>
        <v/>
      </c>
      <c r="J266" s="11" t="str">
        <f aca="false">IF($A266="","",IF($H266="-","유지",IF($I266="첫 건","유지","확인 필요")))</f>
        <v/>
      </c>
    </row>
    <row r="267" customFormat="false" ht="15" hidden="false" customHeight="true" outlineLevel="0" collapsed="false">
      <c r="A267" s="11" t="str">
        <f aca="false">IF(원본명단!$A266="","",264)</f>
        <v/>
      </c>
      <c r="B267" s="12" t="str">
        <f aca="false">IF($A267="","",원본명단!$A266)</f>
        <v/>
      </c>
      <c r="C267" s="12" t="str">
        <f aca="false">IF($A267="","",원본명단!$B266)</f>
        <v/>
      </c>
      <c r="D267" s="12" t="str">
        <f aca="false">IF($A267="","",원본명단!$D266)</f>
        <v/>
      </c>
      <c r="E267" s="11" t="str">
        <f aca="false">IF($A267="","",IF(원본명단!$H266="",0,COUNTIF(원본명단!$H$3:$H$6002,원본명단!$H266)))</f>
        <v/>
      </c>
      <c r="F267" s="11" t="str">
        <f aca="false">IF($A267="","",IF(원본명단!$I266="",0,COUNTIF(원본명단!$I$3:$I$6002,원본명단!$I266)))</f>
        <v/>
      </c>
      <c r="G267" s="11" t="str">
        <f aca="false">IF($A267="","",IF(원본명단!$K266="",0,COUNTIF(원본명단!$K$3:$K$6002,원본명단!$K266)))</f>
        <v/>
      </c>
      <c r="H267" s="11" t="str">
        <f aca="false">IF($A267="","",IF(MAX($E267,$F267,$G267)&gt;1,"중복","-"))</f>
        <v/>
      </c>
      <c r="I267" s="11" t="str">
        <f aca="false">IF($A267="","",IF($H267="-","-",IF(AND(IF(원본명단!$H266="",TRUE(),COUNTIF(원본명단!$H$3:$H266,원본명단!$H266)=1),IF(원본명단!$I266="",TRUE(),COUNTIF(원본명단!$I$3:$I266,원본명단!$I266)=1),IF(원본명단!$K266="",TRUE(),COUNTIF(원본명단!$K$3:$K266,원본명단!$K266)=1)),"첫 건","중복 건")))</f>
        <v/>
      </c>
      <c r="J267" s="11" t="str">
        <f aca="false">IF($A267="","",IF($H267="-","유지",IF($I267="첫 건","유지","확인 필요")))</f>
        <v/>
      </c>
    </row>
    <row r="268" customFormat="false" ht="15" hidden="false" customHeight="true" outlineLevel="0" collapsed="false">
      <c r="A268" s="11" t="str">
        <f aca="false">IF(원본명단!$A267="","",265)</f>
        <v/>
      </c>
      <c r="B268" s="12" t="str">
        <f aca="false">IF($A268="","",원본명단!$A267)</f>
        <v/>
      </c>
      <c r="C268" s="12" t="str">
        <f aca="false">IF($A268="","",원본명단!$B267)</f>
        <v/>
      </c>
      <c r="D268" s="12" t="str">
        <f aca="false">IF($A268="","",원본명단!$D267)</f>
        <v/>
      </c>
      <c r="E268" s="11" t="str">
        <f aca="false">IF($A268="","",IF(원본명단!$H267="",0,COUNTIF(원본명단!$H$3:$H$6002,원본명단!$H267)))</f>
        <v/>
      </c>
      <c r="F268" s="11" t="str">
        <f aca="false">IF($A268="","",IF(원본명단!$I267="",0,COUNTIF(원본명단!$I$3:$I$6002,원본명단!$I267)))</f>
        <v/>
      </c>
      <c r="G268" s="11" t="str">
        <f aca="false">IF($A268="","",IF(원본명단!$K267="",0,COUNTIF(원본명단!$K$3:$K$6002,원본명단!$K267)))</f>
        <v/>
      </c>
      <c r="H268" s="11" t="str">
        <f aca="false">IF($A268="","",IF(MAX($E268,$F268,$G268)&gt;1,"중복","-"))</f>
        <v/>
      </c>
      <c r="I268" s="11" t="str">
        <f aca="false">IF($A268="","",IF($H268="-","-",IF(AND(IF(원본명단!$H267="",TRUE(),COUNTIF(원본명단!$H$3:$H267,원본명단!$H267)=1),IF(원본명단!$I267="",TRUE(),COUNTIF(원본명단!$I$3:$I267,원본명단!$I267)=1),IF(원본명단!$K267="",TRUE(),COUNTIF(원본명단!$K$3:$K267,원본명단!$K267)=1)),"첫 건","중복 건")))</f>
        <v/>
      </c>
      <c r="J268" s="11" t="str">
        <f aca="false">IF($A268="","",IF($H268="-","유지",IF($I268="첫 건","유지","확인 필요")))</f>
        <v/>
      </c>
    </row>
    <row r="269" customFormat="false" ht="15" hidden="false" customHeight="true" outlineLevel="0" collapsed="false">
      <c r="A269" s="11" t="str">
        <f aca="false">IF(원본명단!$A268="","",266)</f>
        <v/>
      </c>
      <c r="B269" s="12" t="str">
        <f aca="false">IF($A269="","",원본명단!$A268)</f>
        <v/>
      </c>
      <c r="C269" s="12" t="str">
        <f aca="false">IF($A269="","",원본명단!$B268)</f>
        <v/>
      </c>
      <c r="D269" s="12" t="str">
        <f aca="false">IF($A269="","",원본명단!$D268)</f>
        <v/>
      </c>
      <c r="E269" s="11" t="str">
        <f aca="false">IF($A269="","",IF(원본명단!$H268="",0,COUNTIF(원본명단!$H$3:$H$6002,원본명단!$H268)))</f>
        <v/>
      </c>
      <c r="F269" s="11" t="str">
        <f aca="false">IF($A269="","",IF(원본명단!$I268="",0,COUNTIF(원본명단!$I$3:$I$6002,원본명단!$I268)))</f>
        <v/>
      </c>
      <c r="G269" s="11" t="str">
        <f aca="false">IF($A269="","",IF(원본명단!$K268="",0,COUNTIF(원본명단!$K$3:$K$6002,원본명단!$K268)))</f>
        <v/>
      </c>
      <c r="H269" s="11" t="str">
        <f aca="false">IF($A269="","",IF(MAX($E269,$F269,$G269)&gt;1,"중복","-"))</f>
        <v/>
      </c>
      <c r="I269" s="11" t="str">
        <f aca="false">IF($A269="","",IF($H269="-","-",IF(AND(IF(원본명단!$H268="",TRUE(),COUNTIF(원본명단!$H$3:$H268,원본명단!$H268)=1),IF(원본명단!$I268="",TRUE(),COUNTIF(원본명단!$I$3:$I268,원본명단!$I268)=1),IF(원본명단!$K268="",TRUE(),COUNTIF(원본명단!$K$3:$K268,원본명단!$K268)=1)),"첫 건","중복 건")))</f>
        <v/>
      </c>
      <c r="J269" s="11" t="str">
        <f aca="false">IF($A269="","",IF($H269="-","유지",IF($I269="첫 건","유지","확인 필요")))</f>
        <v/>
      </c>
    </row>
    <row r="270" customFormat="false" ht="15" hidden="false" customHeight="true" outlineLevel="0" collapsed="false">
      <c r="A270" s="11" t="str">
        <f aca="false">IF(원본명단!$A269="","",267)</f>
        <v/>
      </c>
      <c r="B270" s="12" t="str">
        <f aca="false">IF($A270="","",원본명단!$A269)</f>
        <v/>
      </c>
      <c r="C270" s="12" t="str">
        <f aca="false">IF($A270="","",원본명단!$B269)</f>
        <v/>
      </c>
      <c r="D270" s="12" t="str">
        <f aca="false">IF($A270="","",원본명단!$D269)</f>
        <v/>
      </c>
      <c r="E270" s="11" t="str">
        <f aca="false">IF($A270="","",IF(원본명단!$H269="",0,COUNTIF(원본명단!$H$3:$H$6002,원본명단!$H269)))</f>
        <v/>
      </c>
      <c r="F270" s="11" t="str">
        <f aca="false">IF($A270="","",IF(원본명단!$I269="",0,COUNTIF(원본명단!$I$3:$I$6002,원본명단!$I269)))</f>
        <v/>
      </c>
      <c r="G270" s="11" t="str">
        <f aca="false">IF($A270="","",IF(원본명단!$K269="",0,COUNTIF(원본명단!$K$3:$K$6002,원본명단!$K269)))</f>
        <v/>
      </c>
      <c r="H270" s="11" t="str">
        <f aca="false">IF($A270="","",IF(MAX($E270,$F270,$G270)&gt;1,"중복","-"))</f>
        <v/>
      </c>
      <c r="I270" s="11" t="str">
        <f aca="false">IF($A270="","",IF($H270="-","-",IF(AND(IF(원본명단!$H269="",TRUE(),COUNTIF(원본명단!$H$3:$H269,원본명단!$H269)=1),IF(원본명단!$I269="",TRUE(),COUNTIF(원본명단!$I$3:$I269,원본명단!$I269)=1),IF(원본명단!$K269="",TRUE(),COUNTIF(원본명단!$K$3:$K269,원본명단!$K269)=1)),"첫 건","중복 건")))</f>
        <v/>
      </c>
      <c r="J270" s="11" t="str">
        <f aca="false">IF($A270="","",IF($H270="-","유지",IF($I270="첫 건","유지","확인 필요")))</f>
        <v/>
      </c>
    </row>
    <row r="271" customFormat="false" ht="15" hidden="false" customHeight="true" outlineLevel="0" collapsed="false">
      <c r="A271" s="11" t="str">
        <f aca="false">IF(원본명단!$A270="","",268)</f>
        <v/>
      </c>
      <c r="B271" s="12" t="str">
        <f aca="false">IF($A271="","",원본명단!$A270)</f>
        <v/>
      </c>
      <c r="C271" s="12" t="str">
        <f aca="false">IF($A271="","",원본명단!$B270)</f>
        <v/>
      </c>
      <c r="D271" s="12" t="str">
        <f aca="false">IF($A271="","",원본명단!$D270)</f>
        <v/>
      </c>
      <c r="E271" s="11" t="str">
        <f aca="false">IF($A271="","",IF(원본명단!$H270="",0,COUNTIF(원본명단!$H$3:$H$6002,원본명단!$H270)))</f>
        <v/>
      </c>
      <c r="F271" s="11" t="str">
        <f aca="false">IF($A271="","",IF(원본명단!$I270="",0,COUNTIF(원본명단!$I$3:$I$6002,원본명단!$I270)))</f>
        <v/>
      </c>
      <c r="G271" s="11" t="str">
        <f aca="false">IF($A271="","",IF(원본명단!$K270="",0,COUNTIF(원본명단!$K$3:$K$6002,원본명단!$K270)))</f>
        <v/>
      </c>
      <c r="H271" s="11" t="str">
        <f aca="false">IF($A271="","",IF(MAX($E271,$F271,$G271)&gt;1,"중복","-"))</f>
        <v/>
      </c>
      <c r="I271" s="11" t="str">
        <f aca="false">IF($A271="","",IF($H271="-","-",IF(AND(IF(원본명단!$H270="",TRUE(),COUNTIF(원본명단!$H$3:$H270,원본명단!$H270)=1),IF(원본명단!$I270="",TRUE(),COUNTIF(원본명단!$I$3:$I270,원본명단!$I270)=1),IF(원본명단!$K270="",TRUE(),COUNTIF(원본명단!$K$3:$K270,원본명단!$K270)=1)),"첫 건","중복 건")))</f>
        <v/>
      </c>
      <c r="J271" s="11" t="str">
        <f aca="false">IF($A271="","",IF($H271="-","유지",IF($I271="첫 건","유지","확인 필요")))</f>
        <v/>
      </c>
    </row>
    <row r="272" customFormat="false" ht="15" hidden="false" customHeight="true" outlineLevel="0" collapsed="false">
      <c r="A272" s="11" t="str">
        <f aca="false">IF(원본명단!$A271="","",269)</f>
        <v/>
      </c>
      <c r="B272" s="12" t="str">
        <f aca="false">IF($A272="","",원본명단!$A271)</f>
        <v/>
      </c>
      <c r="C272" s="12" t="str">
        <f aca="false">IF($A272="","",원본명단!$B271)</f>
        <v/>
      </c>
      <c r="D272" s="12" t="str">
        <f aca="false">IF($A272="","",원본명단!$D271)</f>
        <v/>
      </c>
      <c r="E272" s="11" t="str">
        <f aca="false">IF($A272="","",IF(원본명단!$H271="",0,COUNTIF(원본명단!$H$3:$H$6002,원본명단!$H271)))</f>
        <v/>
      </c>
      <c r="F272" s="11" t="str">
        <f aca="false">IF($A272="","",IF(원본명단!$I271="",0,COUNTIF(원본명단!$I$3:$I$6002,원본명단!$I271)))</f>
        <v/>
      </c>
      <c r="G272" s="11" t="str">
        <f aca="false">IF($A272="","",IF(원본명단!$K271="",0,COUNTIF(원본명단!$K$3:$K$6002,원본명단!$K271)))</f>
        <v/>
      </c>
      <c r="H272" s="11" t="str">
        <f aca="false">IF($A272="","",IF(MAX($E272,$F272,$G272)&gt;1,"중복","-"))</f>
        <v/>
      </c>
      <c r="I272" s="11" t="str">
        <f aca="false">IF($A272="","",IF($H272="-","-",IF(AND(IF(원본명단!$H271="",TRUE(),COUNTIF(원본명단!$H$3:$H271,원본명단!$H271)=1),IF(원본명단!$I271="",TRUE(),COUNTIF(원본명단!$I$3:$I271,원본명단!$I271)=1),IF(원본명단!$K271="",TRUE(),COUNTIF(원본명단!$K$3:$K271,원본명단!$K271)=1)),"첫 건","중복 건")))</f>
        <v/>
      </c>
      <c r="J272" s="11" t="str">
        <f aca="false">IF($A272="","",IF($H272="-","유지",IF($I272="첫 건","유지","확인 필요")))</f>
        <v/>
      </c>
    </row>
    <row r="273" customFormat="false" ht="15" hidden="false" customHeight="true" outlineLevel="0" collapsed="false">
      <c r="A273" s="11" t="str">
        <f aca="false">IF(원본명단!$A272="","",270)</f>
        <v/>
      </c>
      <c r="B273" s="12" t="str">
        <f aca="false">IF($A273="","",원본명단!$A272)</f>
        <v/>
      </c>
      <c r="C273" s="12" t="str">
        <f aca="false">IF($A273="","",원본명단!$B272)</f>
        <v/>
      </c>
      <c r="D273" s="12" t="str">
        <f aca="false">IF($A273="","",원본명단!$D272)</f>
        <v/>
      </c>
      <c r="E273" s="11" t="str">
        <f aca="false">IF($A273="","",IF(원본명단!$H272="",0,COUNTIF(원본명단!$H$3:$H$6002,원본명단!$H272)))</f>
        <v/>
      </c>
      <c r="F273" s="11" t="str">
        <f aca="false">IF($A273="","",IF(원본명단!$I272="",0,COUNTIF(원본명단!$I$3:$I$6002,원본명단!$I272)))</f>
        <v/>
      </c>
      <c r="G273" s="11" t="str">
        <f aca="false">IF($A273="","",IF(원본명단!$K272="",0,COUNTIF(원본명단!$K$3:$K$6002,원본명단!$K272)))</f>
        <v/>
      </c>
      <c r="H273" s="11" t="str">
        <f aca="false">IF($A273="","",IF(MAX($E273,$F273,$G273)&gt;1,"중복","-"))</f>
        <v/>
      </c>
      <c r="I273" s="11" t="str">
        <f aca="false">IF($A273="","",IF($H273="-","-",IF(AND(IF(원본명단!$H272="",TRUE(),COUNTIF(원본명단!$H$3:$H272,원본명단!$H272)=1),IF(원본명단!$I272="",TRUE(),COUNTIF(원본명단!$I$3:$I272,원본명단!$I272)=1),IF(원본명단!$K272="",TRUE(),COUNTIF(원본명단!$K$3:$K272,원본명단!$K272)=1)),"첫 건","중복 건")))</f>
        <v/>
      </c>
      <c r="J273" s="11" t="str">
        <f aca="false">IF($A273="","",IF($H273="-","유지",IF($I273="첫 건","유지","확인 필요")))</f>
        <v/>
      </c>
    </row>
    <row r="274" customFormat="false" ht="15" hidden="false" customHeight="true" outlineLevel="0" collapsed="false">
      <c r="A274" s="11" t="str">
        <f aca="false">IF(원본명단!$A273="","",271)</f>
        <v/>
      </c>
      <c r="B274" s="12" t="str">
        <f aca="false">IF($A274="","",원본명단!$A273)</f>
        <v/>
      </c>
      <c r="C274" s="12" t="str">
        <f aca="false">IF($A274="","",원본명단!$B273)</f>
        <v/>
      </c>
      <c r="D274" s="12" t="str">
        <f aca="false">IF($A274="","",원본명단!$D273)</f>
        <v/>
      </c>
      <c r="E274" s="11" t="str">
        <f aca="false">IF($A274="","",IF(원본명단!$H273="",0,COUNTIF(원본명단!$H$3:$H$6002,원본명단!$H273)))</f>
        <v/>
      </c>
      <c r="F274" s="11" t="str">
        <f aca="false">IF($A274="","",IF(원본명단!$I273="",0,COUNTIF(원본명단!$I$3:$I$6002,원본명단!$I273)))</f>
        <v/>
      </c>
      <c r="G274" s="11" t="str">
        <f aca="false">IF($A274="","",IF(원본명단!$K273="",0,COUNTIF(원본명단!$K$3:$K$6002,원본명단!$K273)))</f>
        <v/>
      </c>
      <c r="H274" s="11" t="str">
        <f aca="false">IF($A274="","",IF(MAX($E274,$F274,$G274)&gt;1,"중복","-"))</f>
        <v/>
      </c>
      <c r="I274" s="11" t="str">
        <f aca="false">IF($A274="","",IF($H274="-","-",IF(AND(IF(원본명단!$H273="",TRUE(),COUNTIF(원본명단!$H$3:$H273,원본명단!$H273)=1),IF(원본명단!$I273="",TRUE(),COUNTIF(원본명단!$I$3:$I273,원본명단!$I273)=1),IF(원본명단!$K273="",TRUE(),COUNTIF(원본명단!$K$3:$K273,원본명단!$K273)=1)),"첫 건","중복 건")))</f>
        <v/>
      </c>
      <c r="J274" s="11" t="str">
        <f aca="false">IF($A274="","",IF($H274="-","유지",IF($I274="첫 건","유지","확인 필요")))</f>
        <v/>
      </c>
    </row>
    <row r="275" customFormat="false" ht="15" hidden="false" customHeight="true" outlineLevel="0" collapsed="false">
      <c r="A275" s="11" t="str">
        <f aca="false">IF(원본명단!$A274="","",272)</f>
        <v/>
      </c>
      <c r="B275" s="12" t="str">
        <f aca="false">IF($A275="","",원본명단!$A274)</f>
        <v/>
      </c>
      <c r="C275" s="12" t="str">
        <f aca="false">IF($A275="","",원본명단!$B274)</f>
        <v/>
      </c>
      <c r="D275" s="12" t="str">
        <f aca="false">IF($A275="","",원본명단!$D274)</f>
        <v/>
      </c>
      <c r="E275" s="11" t="str">
        <f aca="false">IF($A275="","",IF(원본명단!$H274="",0,COUNTIF(원본명단!$H$3:$H$6002,원본명단!$H274)))</f>
        <v/>
      </c>
      <c r="F275" s="11" t="str">
        <f aca="false">IF($A275="","",IF(원본명단!$I274="",0,COUNTIF(원본명단!$I$3:$I$6002,원본명단!$I274)))</f>
        <v/>
      </c>
      <c r="G275" s="11" t="str">
        <f aca="false">IF($A275="","",IF(원본명단!$K274="",0,COUNTIF(원본명단!$K$3:$K$6002,원본명단!$K274)))</f>
        <v/>
      </c>
      <c r="H275" s="11" t="str">
        <f aca="false">IF($A275="","",IF(MAX($E275,$F275,$G275)&gt;1,"중복","-"))</f>
        <v/>
      </c>
      <c r="I275" s="11" t="str">
        <f aca="false">IF($A275="","",IF($H275="-","-",IF(AND(IF(원본명단!$H274="",TRUE(),COUNTIF(원본명단!$H$3:$H274,원본명단!$H274)=1),IF(원본명단!$I274="",TRUE(),COUNTIF(원본명단!$I$3:$I274,원본명단!$I274)=1),IF(원본명단!$K274="",TRUE(),COUNTIF(원본명단!$K$3:$K274,원본명단!$K274)=1)),"첫 건","중복 건")))</f>
        <v/>
      </c>
      <c r="J275" s="11" t="str">
        <f aca="false">IF($A275="","",IF($H275="-","유지",IF($I275="첫 건","유지","확인 필요")))</f>
        <v/>
      </c>
    </row>
    <row r="276" customFormat="false" ht="15" hidden="false" customHeight="true" outlineLevel="0" collapsed="false">
      <c r="A276" s="11" t="str">
        <f aca="false">IF(원본명단!$A275="","",273)</f>
        <v/>
      </c>
      <c r="B276" s="12" t="str">
        <f aca="false">IF($A276="","",원본명단!$A275)</f>
        <v/>
      </c>
      <c r="C276" s="12" t="str">
        <f aca="false">IF($A276="","",원본명단!$B275)</f>
        <v/>
      </c>
      <c r="D276" s="12" t="str">
        <f aca="false">IF($A276="","",원본명단!$D275)</f>
        <v/>
      </c>
      <c r="E276" s="11" t="str">
        <f aca="false">IF($A276="","",IF(원본명단!$H275="",0,COUNTIF(원본명단!$H$3:$H$6002,원본명단!$H275)))</f>
        <v/>
      </c>
      <c r="F276" s="11" t="str">
        <f aca="false">IF($A276="","",IF(원본명단!$I275="",0,COUNTIF(원본명단!$I$3:$I$6002,원본명단!$I275)))</f>
        <v/>
      </c>
      <c r="G276" s="11" t="str">
        <f aca="false">IF($A276="","",IF(원본명단!$K275="",0,COUNTIF(원본명단!$K$3:$K$6002,원본명단!$K275)))</f>
        <v/>
      </c>
      <c r="H276" s="11" t="str">
        <f aca="false">IF($A276="","",IF(MAX($E276,$F276,$G276)&gt;1,"중복","-"))</f>
        <v/>
      </c>
      <c r="I276" s="11" t="str">
        <f aca="false">IF($A276="","",IF($H276="-","-",IF(AND(IF(원본명단!$H275="",TRUE(),COUNTIF(원본명단!$H$3:$H275,원본명단!$H275)=1),IF(원본명단!$I275="",TRUE(),COUNTIF(원본명단!$I$3:$I275,원본명단!$I275)=1),IF(원본명단!$K275="",TRUE(),COUNTIF(원본명단!$K$3:$K275,원본명단!$K275)=1)),"첫 건","중복 건")))</f>
        <v/>
      </c>
      <c r="J276" s="11" t="str">
        <f aca="false">IF($A276="","",IF($H276="-","유지",IF($I276="첫 건","유지","확인 필요")))</f>
        <v/>
      </c>
    </row>
    <row r="277" customFormat="false" ht="15" hidden="false" customHeight="true" outlineLevel="0" collapsed="false">
      <c r="A277" s="11" t="str">
        <f aca="false">IF(원본명단!$A276="","",274)</f>
        <v/>
      </c>
      <c r="B277" s="12" t="str">
        <f aca="false">IF($A277="","",원본명단!$A276)</f>
        <v/>
      </c>
      <c r="C277" s="12" t="str">
        <f aca="false">IF($A277="","",원본명단!$B276)</f>
        <v/>
      </c>
      <c r="D277" s="12" t="str">
        <f aca="false">IF($A277="","",원본명단!$D276)</f>
        <v/>
      </c>
      <c r="E277" s="11" t="str">
        <f aca="false">IF($A277="","",IF(원본명단!$H276="",0,COUNTIF(원본명단!$H$3:$H$6002,원본명단!$H276)))</f>
        <v/>
      </c>
      <c r="F277" s="11" t="str">
        <f aca="false">IF($A277="","",IF(원본명단!$I276="",0,COUNTIF(원본명단!$I$3:$I$6002,원본명단!$I276)))</f>
        <v/>
      </c>
      <c r="G277" s="11" t="str">
        <f aca="false">IF($A277="","",IF(원본명단!$K276="",0,COUNTIF(원본명단!$K$3:$K$6002,원본명단!$K276)))</f>
        <v/>
      </c>
      <c r="H277" s="11" t="str">
        <f aca="false">IF($A277="","",IF(MAX($E277,$F277,$G277)&gt;1,"중복","-"))</f>
        <v/>
      </c>
      <c r="I277" s="11" t="str">
        <f aca="false">IF($A277="","",IF($H277="-","-",IF(AND(IF(원본명단!$H276="",TRUE(),COUNTIF(원본명단!$H$3:$H276,원본명단!$H276)=1),IF(원본명단!$I276="",TRUE(),COUNTIF(원본명단!$I$3:$I276,원본명단!$I276)=1),IF(원본명단!$K276="",TRUE(),COUNTIF(원본명단!$K$3:$K276,원본명단!$K276)=1)),"첫 건","중복 건")))</f>
        <v/>
      </c>
      <c r="J277" s="11" t="str">
        <f aca="false">IF($A277="","",IF($H277="-","유지",IF($I277="첫 건","유지","확인 필요")))</f>
        <v/>
      </c>
    </row>
    <row r="278" customFormat="false" ht="15" hidden="false" customHeight="true" outlineLevel="0" collapsed="false">
      <c r="A278" s="11" t="str">
        <f aca="false">IF(원본명단!$A277="","",275)</f>
        <v/>
      </c>
      <c r="B278" s="12" t="str">
        <f aca="false">IF($A278="","",원본명단!$A277)</f>
        <v/>
      </c>
      <c r="C278" s="12" t="str">
        <f aca="false">IF($A278="","",원본명단!$B277)</f>
        <v/>
      </c>
      <c r="D278" s="12" t="str">
        <f aca="false">IF($A278="","",원본명단!$D277)</f>
        <v/>
      </c>
      <c r="E278" s="11" t="str">
        <f aca="false">IF($A278="","",IF(원본명단!$H277="",0,COUNTIF(원본명단!$H$3:$H$6002,원본명단!$H277)))</f>
        <v/>
      </c>
      <c r="F278" s="11" t="str">
        <f aca="false">IF($A278="","",IF(원본명단!$I277="",0,COUNTIF(원본명단!$I$3:$I$6002,원본명단!$I277)))</f>
        <v/>
      </c>
      <c r="G278" s="11" t="str">
        <f aca="false">IF($A278="","",IF(원본명단!$K277="",0,COUNTIF(원본명단!$K$3:$K$6002,원본명단!$K277)))</f>
        <v/>
      </c>
      <c r="H278" s="11" t="str">
        <f aca="false">IF($A278="","",IF(MAX($E278,$F278,$G278)&gt;1,"중복","-"))</f>
        <v/>
      </c>
      <c r="I278" s="11" t="str">
        <f aca="false">IF($A278="","",IF($H278="-","-",IF(AND(IF(원본명단!$H277="",TRUE(),COUNTIF(원본명단!$H$3:$H277,원본명단!$H277)=1),IF(원본명단!$I277="",TRUE(),COUNTIF(원본명단!$I$3:$I277,원본명단!$I277)=1),IF(원본명단!$K277="",TRUE(),COUNTIF(원본명단!$K$3:$K277,원본명단!$K277)=1)),"첫 건","중복 건")))</f>
        <v/>
      </c>
      <c r="J278" s="11" t="str">
        <f aca="false">IF($A278="","",IF($H278="-","유지",IF($I278="첫 건","유지","확인 필요")))</f>
        <v/>
      </c>
    </row>
    <row r="279" customFormat="false" ht="15" hidden="false" customHeight="true" outlineLevel="0" collapsed="false">
      <c r="A279" s="11" t="str">
        <f aca="false">IF(원본명단!$A278="","",276)</f>
        <v/>
      </c>
      <c r="B279" s="12" t="str">
        <f aca="false">IF($A279="","",원본명단!$A278)</f>
        <v/>
      </c>
      <c r="C279" s="12" t="str">
        <f aca="false">IF($A279="","",원본명단!$B278)</f>
        <v/>
      </c>
      <c r="D279" s="12" t="str">
        <f aca="false">IF($A279="","",원본명단!$D278)</f>
        <v/>
      </c>
      <c r="E279" s="11" t="str">
        <f aca="false">IF($A279="","",IF(원본명단!$H278="",0,COUNTIF(원본명단!$H$3:$H$6002,원본명단!$H278)))</f>
        <v/>
      </c>
      <c r="F279" s="11" t="str">
        <f aca="false">IF($A279="","",IF(원본명단!$I278="",0,COUNTIF(원본명단!$I$3:$I$6002,원본명단!$I278)))</f>
        <v/>
      </c>
      <c r="G279" s="11" t="str">
        <f aca="false">IF($A279="","",IF(원본명단!$K278="",0,COUNTIF(원본명단!$K$3:$K$6002,원본명단!$K278)))</f>
        <v/>
      </c>
      <c r="H279" s="11" t="str">
        <f aca="false">IF($A279="","",IF(MAX($E279,$F279,$G279)&gt;1,"중복","-"))</f>
        <v/>
      </c>
      <c r="I279" s="11" t="str">
        <f aca="false">IF($A279="","",IF($H279="-","-",IF(AND(IF(원본명단!$H278="",TRUE(),COUNTIF(원본명단!$H$3:$H278,원본명단!$H278)=1),IF(원본명단!$I278="",TRUE(),COUNTIF(원본명단!$I$3:$I278,원본명단!$I278)=1),IF(원본명단!$K278="",TRUE(),COUNTIF(원본명단!$K$3:$K278,원본명단!$K278)=1)),"첫 건","중복 건")))</f>
        <v/>
      </c>
      <c r="J279" s="11" t="str">
        <f aca="false">IF($A279="","",IF($H279="-","유지",IF($I279="첫 건","유지","확인 필요")))</f>
        <v/>
      </c>
    </row>
    <row r="280" customFormat="false" ht="15" hidden="false" customHeight="true" outlineLevel="0" collapsed="false">
      <c r="A280" s="11" t="str">
        <f aca="false">IF(원본명단!$A279="","",277)</f>
        <v/>
      </c>
      <c r="B280" s="12" t="str">
        <f aca="false">IF($A280="","",원본명단!$A279)</f>
        <v/>
      </c>
      <c r="C280" s="12" t="str">
        <f aca="false">IF($A280="","",원본명단!$B279)</f>
        <v/>
      </c>
      <c r="D280" s="12" t="str">
        <f aca="false">IF($A280="","",원본명단!$D279)</f>
        <v/>
      </c>
      <c r="E280" s="11" t="str">
        <f aca="false">IF($A280="","",IF(원본명단!$H279="",0,COUNTIF(원본명단!$H$3:$H$6002,원본명단!$H279)))</f>
        <v/>
      </c>
      <c r="F280" s="11" t="str">
        <f aca="false">IF($A280="","",IF(원본명단!$I279="",0,COUNTIF(원본명단!$I$3:$I$6002,원본명단!$I279)))</f>
        <v/>
      </c>
      <c r="G280" s="11" t="str">
        <f aca="false">IF($A280="","",IF(원본명단!$K279="",0,COUNTIF(원본명단!$K$3:$K$6002,원본명단!$K279)))</f>
        <v/>
      </c>
      <c r="H280" s="11" t="str">
        <f aca="false">IF($A280="","",IF(MAX($E280,$F280,$G280)&gt;1,"중복","-"))</f>
        <v/>
      </c>
      <c r="I280" s="11" t="str">
        <f aca="false">IF($A280="","",IF($H280="-","-",IF(AND(IF(원본명단!$H279="",TRUE(),COUNTIF(원본명단!$H$3:$H279,원본명단!$H279)=1),IF(원본명단!$I279="",TRUE(),COUNTIF(원본명단!$I$3:$I279,원본명단!$I279)=1),IF(원본명단!$K279="",TRUE(),COUNTIF(원본명단!$K$3:$K279,원본명단!$K279)=1)),"첫 건","중복 건")))</f>
        <v/>
      </c>
      <c r="J280" s="11" t="str">
        <f aca="false">IF($A280="","",IF($H280="-","유지",IF($I280="첫 건","유지","확인 필요")))</f>
        <v/>
      </c>
    </row>
    <row r="281" customFormat="false" ht="15" hidden="false" customHeight="true" outlineLevel="0" collapsed="false">
      <c r="A281" s="11" t="str">
        <f aca="false">IF(원본명단!$A280="","",278)</f>
        <v/>
      </c>
      <c r="B281" s="12" t="str">
        <f aca="false">IF($A281="","",원본명단!$A280)</f>
        <v/>
      </c>
      <c r="C281" s="12" t="str">
        <f aca="false">IF($A281="","",원본명단!$B280)</f>
        <v/>
      </c>
      <c r="D281" s="12" t="str">
        <f aca="false">IF($A281="","",원본명단!$D280)</f>
        <v/>
      </c>
      <c r="E281" s="11" t="str">
        <f aca="false">IF($A281="","",IF(원본명단!$H280="",0,COUNTIF(원본명단!$H$3:$H$6002,원본명단!$H280)))</f>
        <v/>
      </c>
      <c r="F281" s="11" t="str">
        <f aca="false">IF($A281="","",IF(원본명단!$I280="",0,COUNTIF(원본명단!$I$3:$I$6002,원본명단!$I280)))</f>
        <v/>
      </c>
      <c r="G281" s="11" t="str">
        <f aca="false">IF($A281="","",IF(원본명단!$K280="",0,COUNTIF(원본명단!$K$3:$K$6002,원본명단!$K280)))</f>
        <v/>
      </c>
      <c r="H281" s="11" t="str">
        <f aca="false">IF($A281="","",IF(MAX($E281,$F281,$G281)&gt;1,"중복","-"))</f>
        <v/>
      </c>
      <c r="I281" s="11" t="str">
        <f aca="false">IF($A281="","",IF($H281="-","-",IF(AND(IF(원본명단!$H280="",TRUE(),COUNTIF(원본명단!$H$3:$H280,원본명단!$H280)=1),IF(원본명단!$I280="",TRUE(),COUNTIF(원본명단!$I$3:$I280,원본명단!$I280)=1),IF(원본명단!$K280="",TRUE(),COUNTIF(원본명단!$K$3:$K280,원본명단!$K280)=1)),"첫 건","중복 건")))</f>
        <v/>
      </c>
      <c r="J281" s="11" t="str">
        <f aca="false">IF($A281="","",IF($H281="-","유지",IF($I281="첫 건","유지","확인 필요")))</f>
        <v/>
      </c>
    </row>
    <row r="282" customFormat="false" ht="15" hidden="false" customHeight="true" outlineLevel="0" collapsed="false">
      <c r="A282" s="11" t="str">
        <f aca="false">IF(원본명단!$A281="","",279)</f>
        <v/>
      </c>
      <c r="B282" s="12" t="str">
        <f aca="false">IF($A282="","",원본명단!$A281)</f>
        <v/>
      </c>
      <c r="C282" s="12" t="str">
        <f aca="false">IF($A282="","",원본명단!$B281)</f>
        <v/>
      </c>
      <c r="D282" s="12" t="str">
        <f aca="false">IF($A282="","",원본명단!$D281)</f>
        <v/>
      </c>
      <c r="E282" s="11" t="str">
        <f aca="false">IF($A282="","",IF(원본명단!$H281="",0,COUNTIF(원본명단!$H$3:$H$6002,원본명단!$H281)))</f>
        <v/>
      </c>
      <c r="F282" s="11" t="str">
        <f aca="false">IF($A282="","",IF(원본명단!$I281="",0,COUNTIF(원본명단!$I$3:$I$6002,원본명단!$I281)))</f>
        <v/>
      </c>
      <c r="G282" s="11" t="str">
        <f aca="false">IF($A282="","",IF(원본명단!$K281="",0,COUNTIF(원본명단!$K$3:$K$6002,원본명단!$K281)))</f>
        <v/>
      </c>
      <c r="H282" s="11" t="str">
        <f aca="false">IF($A282="","",IF(MAX($E282,$F282,$G282)&gt;1,"중복","-"))</f>
        <v/>
      </c>
      <c r="I282" s="11" t="str">
        <f aca="false">IF($A282="","",IF($H282="-","-",IF(AND(IF(원본명단!$H281="",TRUE(),COUNTIF(원본명단!$H$3:$H281,원본명단!$H281)=1),IF(원본명단!$I281="",TRUE(),COUNTIF(원본명단!$I$3:$I281,원본명단!$I281)=1),IF(원본명단!$K281="",TRUE(),COUNTIF(원본명단!$K$3:$K281,원본명단!$K281)=1)),"첫 건","중복 건")))</f>
        <v/>
      </c>
      <c r="J282" s="11" t="str">
        <f aca="false">IF($A282="","",IF($H282="-","유지",IF($I282="첫 건","유지","확인 필요")))</f>
        <v/>
      </c>
    </row>
    <row r="283" customFormat="false" ht="15" hidden="false" customHeight="true" outlineLevel="0" collapsed="false">
      <c r="A283" s="11" t="str">
        <f aca="false">IF(원본명단!$A282="","",280)</f>
        <v/>
      </c>
      <c r="B283" s="12" t="str">
        <f aca="false">IF($A283="","",원본명단!$A282)</f>
        <v/>
      </c>
      <c r="C283" s="12" t="str">
        <f aca="false">IF($A283="","",원본명단!$B282)</f>
        <v/>
      </c>
      <c r="D283" s="12" t="str">
        <f aca="false">IF($A283="","",원본명단!$D282)</f>
        <v/>
      </c>
      <c r="E283" s="11" t="str">
        <f aca="false">IF($A283="","",IF(원본명단!$H282="",0,COUNTIF(원본명단!$H$3:$H$6002,원본명단!$H282)))</f>
        <v/>
      </c>
      <c r="F283" s="11" t="str">
        <f aca="false">IF($A283="","",IF(원본명단!$I282="",0,COUNTIF(원본명단!$I$3:$I$6002,원본명단!$I282)))</f>
        <v/>
      </c>
      <c r="G283" s="11" t="str">
        <f aca="false">IF($A283="","",IF(원본명단!$K282="",0,COUNTIF(원본명단!$K$3:$K$6002,원본명단!$K282)))</f>
        <v/>
      </c>
      <c r="H283" s="11" t="str">
        <f aca="false">IF($A283="","",IF(MAX($E283,$F283,$G283)&gt;1,"중복","-"))</f>
        <v/>
      </c>
      <c r="I283" s="11" t="str">
        <f aca="false">IF($A283="","",IF($H283="-","-",IF(AND(IF(원본명단!$H282="",TRUE(),COUNTIF(원본명단!$H$3:$H282,원본명단!$H282)=1),IF(원본명단!$I282="",TRUE(),COUNTIF(원본명단!$I$3:$I282,원본명단!$I282)=1),IF(원본명단!$K282="",TRUE(),COUNTIF(원본명단!$K$3:$K282,원본명단!$K282)=1)),"첫 건","중복 건")))</f>
        <v/>
      </c>
      <c r="J283" s="11" t="str">
        <f aca="false">IF($A283="","",IF($H283="-","유지",IF($I283="첫 건","유지","확인 필요")))</f>
        <v/>
      </c>
    </row>
    <row r="284" customFormat="false" ht="15" hidden="false" customHeight="true" outlineLevel="0" collapsed="false">
      <c r="A284" s="11" t="str">
        <f aca="false">IF(원본명단!$A283="","",281)</f>
        <v/>
      </c>
      <c r="B284" s="12" t="str">
        <f aca="false">IF($A284="","",원본명단!$A283)</f>
        <v/>
      </c>
      <c r="C284" s="12" t="str">
        <f aca="false">IF($A284="","",원본명단!$B283)</f>
        <v/>
      </c>
      <c r="D284" s="12" t="str">
        <f aca="false">IF($A284="","",원본명단!$D283)</f>
        <v/>
      </c>
      <c r="E284" s="11" t="str">
        <f aca="false">IF($A284="","",IF(원본명단!$H283="",0,COUNTIF(원본명단!$H$3:$H$6002,원본명단!$H283)))</f>
        <v/>
      </c>
      <c r="F284" s="11" t="str">
        <f aca="false">IF($A284="","",IF(원본명단!$I283="",0,COUNTIF(원본명단!$I$3:$I$6002,원본명단!$I283)))</f>
        <v/>
      </c>
      <c r="G284" s="11" t="str">
        <f aca="false">IF($A284="","",IF(원본명단!$K283="",0,COUNTIF(원본명단!$K$3:$K$6002,원본명단!$K283)))</f>
        <v/>
      </c>
      <c r="H284" s="11" t="str">
        <f aca="false">IF($A284="","",IF(MAX($E284,$F284,$G284)&gt;1,"중복","-"))</f>
        <v/>
      </c>
      <c r="I284" s="11" t="str">
        <f aca="false">IF($A284="","",IF($H284="-","-",IF(AND(IF(원본명단!$H283="",TRUE(),COUNTIF(원본명단!$H$3:$H283,원본명단!$H283)=1),IF(원본명단!$I283="",TRUE(),COUNTIF(원본명단!$I$3:$I283,원본명단!$I283)=1),IF(원본명단!$K283="",TRUE(),COUNTIF(원본명단!$K$3:$K283,원본명단!$K283)=1)),"첫 건","중복 건")))</f>
        <v/>
      </c>
      <c r="J284" s="11" t="str">
        <f aca="false">IF($A284="","",IF($H284="-","유지",IF($I284="첫 건","유지","확인 필요")))</f>
        <v/>
      </c>
    </row>
    <row r="285" customFormat="false" ht="15" hidden="false" customHeight="true" outlineLevel="0" collapsed="false">
      <c r="A285" s="11" t="str">
        <f aca="false">IF(원본명단!$A284="","",282)</f>
        <v/>
      </c>
      <c r="B285" s="12" t="str">
        <f aca="false">IF($A285="","",원본명단!$A284)</f>
        <v/>
      </c>
      <c r="C285" s="12" t="str">
        <f aca="false">IF($A285="","",원본명단!$B284)</f>
        <v/>
      </c>
      <c r="D285" s="12" t="str">
        <f aca="false">IF($A285="","",원본명단!$D284)</f>
        <v/>
      </c>
      <c r="E285" s="11" t="str">
        <f aca="false">IF($A285="","",IF(원본명단!$H284="",0,COUNTIF(원본명단!$H$3:$H$6002,원본명단!$H284)))</f>
        <v/>
      </c>
      <c r="F285" s="11" t="str">
        <f aca="false">IF($A285="","",IF(원본명단!$I284="",0,COUNTIF(원본명단!$I$3:$I$6002,원본명단!$I284)))</f>
        <v/>
      </c>
      <c r="G285" s="11" t="str">
        <f aca="false">IF($A285="","",IF(원본명단!$K284="",0,COUNTIF(원본명단!$K$3:$K$6002,원본명단!$K284)))</f>
        <v/>
      </c>
      <c r="H285" s="11" t="str">
        <f aca="false">IF($A285="","",IF(MAX($E285,$F285,$G285)&gt;1,"중복","-"))</f>
        <v/>
      </c>
      <c r="I285" s="11" t="str">
        <f aca="false">IF($A285="","",IF($H285="-","-",IF(AND(IF(원본명단!$H284="",TRUE(),COUNTIF(원본명단!$H$3:$H284,원본명단!$H284)=1),IF(원본명단!$I284="",TRUE(),COUNTIF(원본명단!$I$3:$I284,원본명단!$I284)=1),IF(원본명단!$K284="",TRUE(),COUNTIF(원본명단!$K$3:$K284,원본명단!$K284)=1)),"첫 건","중복 건")))</f>
        <v/>
      </c>
      <c r="J285" s="11" t="str">
        <f aca="false">IF($A285="","",IF($H285="-","유지",IF($I285="첫 건","유지","확인 필요")))</f>
        <v/>
      </c>
    </row>
    <row r="286" customFormat="false" ht="15" hidden="false" customHeight="true" outlineLevel="0" collapsed="false">
      <c r="A286" s="11" t="str">
        <f aca="false">IF(원본명단!$A285="","",283)</f>
        <v/>
      </c>
      <c r="B286" s="12" t="str">
        <f aca="false">IF($A286="","",원본명단!$A285)</f>
        <v/>
      </c>
      <c r="C286" s="12" t="str">
        <f aca="false">IF($A286="","",원본명단!$B285)</f>
        <v/>
      </c>
      <c r="D286" s="12" t="str">
        <f aca="false">IF($A286="","",원본명단!$D285)</f>
        <v/>
      </c>
      <c r="E286" s="11" t="str">
        <f aca="false">IF($A286="","",IF(원본명단!$H285="",0,COUNTIF(원본명단!$H$3:$H$6002,원본명단!$H285)))</f>
        <v/>
      </c>
      <c r="F286" s="11" t="str">
        <f aca="false">IF($A286="","",IF(원본명단!$I285="",0,COUNTIF(원본명단!$I$3:$I$6002,원본명단!$I285)))</f>
        <v/>
      </c>
      <c r="G286" s="11" t="str">
        <f aca="false">IF($A286="","",IF(원본명단!$K285="",0,COUNTIF(원본명단!$K$3:$K$6002,원본명단!$K285)))</f>
        <v/>
      </c>
      <c r="H286" s="11" t="str">
        <f aca="false">IF($A286="","",IF(MAX($E286,$F286,$G286)&gt;1,"중복","-"))</f>
        <v/>
      </c>
      <c r="I286" s="11" t="str">
        <f aca="false">IF($A286="","",IF($H286="-","-",IF(AND(IF(원본명단!$H285="",TRUE(),COUNTIF(원본명단!$H$3:$H285,원본명단!$H285)=1),IF(원본명단!$I285="",TRUE(),COUNTIF(원본명단!$I$3:$I285,원본명단!$I285)=1),IF(원본명단!$K285="",TRUE(),COUNTIF(원본명단!$K$3:$K285,원본명단!$K285)=1)),"첫 건","중복 건")))</f>
        <v/>
      </c>
      <c r="J286" s="11" t="str">
        <f aca="false">IF($A286="","",IF($H286="-","유지",IF($I286="첫 건","유지","확인 필요")))</f>
        <v/>
      </c>
    </row>
    <row r="287" customFormat="false" ht="15" hidden="false" customHeight="true" outlineLevel="0" collapsed="false">
      <c r="A287" s="11" t="str">
        <f aca="false">IF(원본명단!$A286="","",284)</f>
        <v/>
      </c>
      <c r="B287" s="12" t="str">
        <f aca="false">IF($A287="","",원본명단!$A286)</f>
        <v/>
      </c>
      <c r="C287" s="12" t="str">
        <f aca="false">IF($A287="","",원본명단!$B286)</f>
        <v/>
      </c>
      <c r="D287" s="12" t="str">
        <f aca="false">IF($A287="","",원본명단!$D286)</f>
        <v/>
      </c>
      <c r="E287" s="11" t="str">
        <f aca="false">IF($A287="","",IF(원본명단!$H286="",0,COUNTIF(원본명단!$H$3:$H$6002,원본명단!$H286)))</f>
        <v/>
      </c>
      <c r="F287" s="11" t="str">
        <f aca="false">IF($A287="","",IF(원본명단!$I286="",0,COUNTIF(원본명단!$I$3:$I$6002,원본명단!$I286)))</f>
        <v/>
      </c>
      <c r="G287" s="11" t="str">
        <f aca="false">IF($A287="","",IF(원본명단!$K286="",0,COUNTIF(원본명단!$K$3:$K$6002,원본명단!$K286)))</f>
        <v/>
      </c>
      <c r="H287" s="11" t="str">
        <f aca="false">IF($A287="","",IF(MAX($E287,$F287,$G287)&gt;1,"중복","-"))</f>
        <v/>
      </c>
      <c r="I287" s="11" t="str">
        <f aca="false">IF($A287="","",IF($H287="-","-",IF(AND(IF(원본명단!$H286="",TRUE(),COUNTIF(원본명단!$H$3:$H286,원본명단!$H286)=1),IF(원본명단!$I286="",TRUE(),COUNTIF(원본명단!$I$3:$I286,원본명단!$I286)=1),IF(원본명단!$K286="",TRUE(),COUNTIF(원본명단!$K$3:$K286,원본명단!$K286)=1)),"첫 건","중복 건")))</f>
        <v/>
      </c>
      <c r="J287" s="11" t="str">
        <f aca="false">IF($A287="","",IF($H287="-","유지",IF($I287="첫 건","유지","확인 필요")))</f>
        <v/>
      </c>
    </row>
    <row r="288" customFormat="false" ht="15" hidden="false" customHeight="true" outlineLevel="0" collapsed="false">
      <c r="A288" s="11" t="str">
        <f aca="false">IF(원본명단!$A287="","",285)</f>
        <v/>
      </c>
      <c r="B288" s="12" t="str">
        <f aca="false">IF($A288="","",원본명단!$A287)</f>
        <v/>
      </c>
      <c r="C288" s="12" t="str">
        <f aca="false">IF($A288="","",원본명단!$B287)</f>
        <v/>
      </c>
      <c r="D288" s="12" t="str">
        <f aca="false">IF($A288="","",원본명단!$D287)</f>
        <v/>
      </c>
      <c r="E288" s="11" t="str">
        <f aca="false">IF($A288="","",IF(원본명단!$H287="",0,COUNTIF(원본명단!$H$3:$H$6002,원본명단!$H287)))</f>
        <v/>
      </c>
      <c r="F288" s="11" t="str">
        <f aca="false">IF($A288="","",IF(원본명단!$I287="",0,COUNTIF(원본명단!$I$3:$I$6002,원본명단!$I287)))</f>
        <v/>
      </c>
      <c r="G288" s="11" t="str">
        <f aca="false">IF($A288="","",IF(원본명단!$K287="",0,COUNTIF(원본명단!$K$3:$K$6002,원본명단!$K287)))</f>
        <v/>
      </c>
      <c r="H288" s="11" t="str">
        <f aca="false">IF($A288="","",IF(MAX($E288,$F288,$G288)&gt;1,"중복","-"))</f>
        <v/>
      </c>
      <c r="I288" s="11" t="str">
        <f aca="false">IF($A288="","",IF($H288="-","-",IF(AND(IF(원본명단!$H287="",TRUE(),COUNTIF(원본명단!$H$3:$H287,원본명단!$H287)=1),IF(원본명단!$I287="",TRUE(),COUNTIF(원본명단!$I$3:$I287,원본명단!$I287)=1),IF(원본명단!$K287="",TRUE(),COUNTIF(원본명단!$K$3:$K287,원본명단!$K287)=1)),"첫 건","중복 건")))</f>
        <v/>
      </c>
      <c r="J288" s="11" t="str">
        <f aca="false">IF($A288="","",IF($H288="-","유지",IF($I288="첫 건","유지","확인 필요")))</f>
        <v/>
      </c>
    </row>
    <row r="289" customFormat="false" ht="15" hidden="false" customHeight="true" outlineLevel="0" collapsed="false">
      <c r="A289" s="11" t="str">
        <f aca="false">IF(원본명단!$A288="","",286)</f>
        <v/>
      </c>
      <c r="B289" s="12" t="str">
        <f aca="false">IF($A289="","",원본명단!$A288)</f>
        <v/>
      </c>
      <c r="C289" s="12" t="str">
        <f aca="false">IF($A289="","",원본명단!$B288)</f>
        <v/>
      </c>
      <c r="D289" s="12" t="str">
        <f aca="false">IF($A289="","",원본명단!$D288)</f>
        <v/>
      </c>
      <c r="E289" s="11" t="str">
        <f aca="false">IF($A289="","",IF(원본명단!$H288="",0,COUNTIF(원본명단!$H$3:$H$6002,원본명단!$H288)))</f>
        <v/>
      </c>
      <c r="F289" s="11" t="str">
        <f aca="false">IF($A289="","",IF(원본명단!$I288="",0,COUNTIF(원본명단!$I$3:$I$6002,원본명단!$I288)))</f>
        <v/>
      </c>
      <c r="G289" s="11" t="str">
        <f aca="false">IF($A289="","",IF(원본명단!$K288="",0,COUNTIF(원본명단!$K$3:$K$6002,원본명단!$K288)))</f>
        <v/>
      </c>
      <c r="H289" s="11" t="str">
        <f aca="false">IF($A289="","",IF(MAX($E289,$F289,$G289)&gt;1,"중복","-"))</f>
        <v/>
      </c>
      <c r="I289" s="11" t="str">
        <f aca="false">IF($A289="","",IF($H289="-","-",IF(AND(IF(원본명단!$H288="",TRUE(),COUNTIF(원본명단!$H$3:$H288,원본명단!$H288)=1),IF(원본명단!$I288="",TRUE(),COUNTIF(원본명단!$I$3:$I288,원본명단!$I288)=1),IF(원본명단!$K288="",TRUE(),COUNTIF(원본명단!$K$3:$K288,원본명단!$K288)=1)),"첫 건","중복 건")))</f>
        <v/>
      </c>
      <c r="J289" s="11" t="str">
        <f aca="false">IF($A289="","",IF($H289="-","유지",IF($I289="첫 건","유지","확인 필요")))</f>
        <v/>
      </c>
    </row>
    <row r="290" customFormat="false" ht="15" hidden="false" customHeight="true" outlineLevel="0" collapsed="false">
      <c r="A290" s="11" t="str">
        <f aca="false">IF(원본명단!$A289="","",287)</f>
        <v/>
      </c>
      <c r="B290" s="12" t="str">
        <f aca="false">IF($A290="","",원본명단!$A289)</f>
        <v/>
      </c>
      <c r="C290" s="12" t="str">
        <f aca="false">IF($A290="","",원본명단!$B289)</f>
        <v/>
      </c>
      <c r="D290" s="12" t="str">
        <f aca="false">IF($A290="","",원본명단!$D289)</f>
        <v/>
      </c>
      <c r="E290" s="11" t="str">
        <f aca="false">IF($A290="","",IF(원본명단!$H289="",0,COUNTIF(원본명단!$H$3:$H$6002,원본명단!$H289)))</f>
        <v/>
      </c>
      <c r="F290" s="11" t="str">
        <f aca="false">IF($A290="","",IF(원본명단!$I289="",0,COUNTIF(원본명단!$I$3:$I$6002,원본명단!$I289)))</f>
        <v/>
      </c>
      <c r="G290" s="11" t="str">
        <f aca="false">IF($A290="","",IF(원본명단!$K289="",0,COUNTIF(원본명단!$K$3:$K$6002,원본명단!$K289)))</f>
        <v/>
      </c>
      <c r="H290" s="11" t="str">
        <f aca="false">IF($A290="","",IF(MAX($E290,$F290,$G290)&gt;1,"중복","-"))</f>
        <v/>
      </c>
      <c r="I290" s="11" t="str">
        <f aca="false">IF($A290="","",IF($H290="-","-",IF(AND(IF(원본명단!$H289="",TRUE(),COUNTIF(원본명단!$H$3:$H289,원본명단!$H289)=1),IF(원본명단!$I289="",TRUE(),COUNTIF(원본명단!$I$3:$I289,원본명단!$I289)=1),IF(원본명단!$K289="",TRUE(),COUNTIF(원본명단!$K$3:$K289,원본명단!$K289)=1)),"첫 건","중복 건")))</f>
        <v/>
      </c>
      <c r="J290" s="11" t="str">
        <f aca="false">IF($A290="","",IF($H290="-","유지",IF($I290="첫 건","유지","확인 필요")))</f>
        <v/>
      </c>
    </row>
    <row r="291" customFormat="false" ht="15" hidden="false" customHeight="true" outlineLevel="0" collapsed="false">
      <c r="A291" s="11" t="str">
        <f aca="false">IF(원본명단!$A290="","",288)</f>
        <v/>
      </c>
      <c r="B291" s="12" t="str">
        <f aca="false">IF($A291="","",원본명단!$A290)</f>
        <v/>
      </c>
      <c r="C291" s="12" t="str">
        <f aca="false">IF($A291="","",원본명단!$B290)</f>
        <v/>
      </c>
      <c r="D291" s="12" t="str">
        <f aca="false">IF($A291="","",원본명단!$D290)</f>
        <v/>
      </c>
      <c r="E291" s="11" t="str">
        <f aca="false">IF($A291="","",IF(원본명단!$H290="",0,COUNTIF(원본명단!$H$3:$H$6002,원본명단!$H290)))</f>
        <v/>
      </c>
      <c r="F291" s="11" t="str">
        <f aca="false">IF($A291="","",IF(원본명단!$I290="",0,COUNTIF(원본명단!$I$3:$I$6002,원본명단!$I290)))</f>
        <v/>
      </c>
      <c r="G291" s="11" t="str">
        <f aca="false">IF($A291="","",IF(원본명단!$K290="",0,COUNTIF(원본명단!$K$3:$K$6002,원본명단!$K290)))</f>
        <v/>
      </c>
      <c r="H291" s="11" t="str">
        <f aca="false">IF($A291="","",IF(MAX($E291,$F291,$G291)&gt;1,"중복","-"))</f>
        <v/>
      </c>
      <c r="I291" s="11" t="str">
        <f aca="false">IF($A291="","",IF($H291="-","-",IF(AND(IF(원본명단!$H290="",TRUE(),COUNTIF(원본명단!$H$3:$H290,원본명단!$H290)=1),IF(원본명단!$I290="",TRUE(),COUNTIF(원본명단!$I$3:$I290,원본명단!$I290)=1),IF(원본명단!$K290="",TRUE(),COUNTIF(원본명단!$K$3:$K290,원본명단!$K290)=1)),"첫 건","중복 건")))</f>
        <v/>
      </c>
      <c r="J291" s="11" t="str">
        <f aca="false">IF($A291="","",IF($H291="-","유지",IF($I291="첫 건","유지","확인 필요")))</f>
        <v/>
      </c>
    </row>
    <row r="292" customFormat="false" ht="15" hidden="false" customHeight="true" outlineLevel="0" collapsed="false">
      <c r="A292" s="11" t="str">
        <f aca="false">IF(원본명단!$A291="","",289)</f>
        <v/>
      </c>
      <c r="B292" s="12" t="str">
        <f aca="false">IF($A292="","",원본명단!$A291)</f>
        <v/>
      </c>
      <c r="C292" s="12" t="str">
        <f aca="false">IF($A292="","",원본명단!$B291)</f>
        <v/>
      </c>
      <c r="D292" s="12" t="str">
        <f aca="false">IF($A292="","",원본명단!$D291)</f>
        <v/>
      </c>
      <c r="E292" s="11" t="str">
        <f aca="false">IF($A292="","",IF(원본명단!$H291="",0,COUNTIF(원본명단!$H$3:$H$6002,원본명단!$H291)))</f>
        <v/>
      </c>
      <c r="F292" s="11" t="str">
        <f aca="false">IF($A292="","",IF(원본명단!$I291="",0,COUNTIF(원본명단!$I$3:$I$6002,원본명단!$I291)))</f>
        <v/>
      </c>
      <c r="G292" s="11" t="str">
        <f aca="false">IF($A292="","",IF(원본명단!$K291="",0,COUNTIF(원본명단!$K$3:$K$6002,원본명단!$K291)))</f>
        <v/>
      </c>
      <c r="H292" s="11" t="str">
        <f aca="false">IF($A292="","",IF(MAX($E292,$F292,$G292)&gt;1,"중복","-"))</f>
        <v/>
      </c>
      <c r="I292" s="11" t="str">
        <f aca="false">IF($A292="","",IF($H292="-","-",IF(AND(IF(원본명단!$H291="",TRUE(),COUNTIF(원본명단!$H$3:$H291,원본명단!$H291)=1),IF(원본명단!$I291="",TRUE(),COUNTIF(원본명단!$I$3:$I291,원본명단!$I291)=1),IF(원본명단!$K291="",TRUE(),COUNTIF(원본명단!$K$3:$K291,원본명단!$K291)=1)),"첫 건","중복 건")))</f>
        <v/>
      </c>
      <c r="J292" s="11" t="str">
        <f aca="false">IF($A292="","",IF($H292="-","유지",IF($I292="첫 건","유지","확인 필요")))</f>
        <v/>
      </c>
    </row>
    <row r="293" customFormat="false" ht="15" hidden="false" customHeight="true" outlineLevel="0" collapsed="false">
      <c r="A293" s="11" t="str">
        <f aca="false">IF(원본명단!$A292="","",290)</f>
        <v/>
      </c>
      <c r="B293" s="12" t="str">
        <f aca="false">IF($A293="","",원본명단!$A292)</f>
        <v/>
      </c>
      <c r="C293" s="12" t="str">
        <f aca="false">IF($A293="","",원본명단!$B292)</f>
        <v/>
      </c>
      <c r="D293" s="12" t="str">
        <f aca="false">IF($A293="","",원본명단!$D292)</f>
        <v/>
      </c>
      <c r="E293" s="11" t="str">
        <f aca="false">IF($A293="","",IF(원본명단!$H292="",0,COUNTIF(원본명단!$H$3:$H$6002,원본명단!$H292)))</f>
        <v/>
      </c>
      <c r="F293" s="11" t="str">
        <f aca="false">IF($A293="","",IF(원본명단!$I292="",0,COUNTIF(원본명단!$I$3:$I$6002,원본명단!$I292)))</f>
        <v/>
      </c>
      <c r="G293" s="11" t="str">
        <f aca="false">IF($A293="","",IF(원본명단!$K292="",0,COUNTIF(원본명단!$K$3:$K$6002,원본명단!$K292)))</f>
        <v/>
      </c>
      <c r="H293" s="11" t="str">
        <f aca="false">IF($A293="","",IF(MAX($E293,$F293,$G293)&gt;1,"중복","-"))</f>
        <v/>
      </c>
      <c r="I293" s="11" t="str">
        <f aca="false">IF($A293="","",IF($H293="-","-",IF(AND(IF(원본명단!$H292="",TRUE(),COUNTIF(원본명단!$H$3:$H292,원본명단!$H292)=1),IF(원본명단!$I292="",TRUE(),COUNTIF(원본명단!$I$3:$I292,원본명단!$I292)=1),IF(원본명단!$K292="",TRUE(),COUNTIF(원본명단!$K$3:$K292,원본명단!$K292)=1)),"첫 건","중복 건")))</f>
        <v/>
      </c>
      <c r="J293" s="11" t="str">
        <f aca="false">IF($A293="","",IF($H293="-","유지",IF($I293="첫 건","유지","확인 필요")))</f>
        <v/>
      </c>
    </row>
    <row r="294" customFormat="false" ht="15" hidden="false" customHeight="true" outlineLevel="0" collapsed="false">
      <c r="A294" s="11" t="str">
        <f aca="false">IF(원본명단!$A293="","",291)</f>
        <v/>
      </c>
      <c r="B294" s="12" t="str">
        <f aca="false">IF($A294="","",원본명단!$A293)</f>
        <v/>
      </c>
      <c r="C294" s="12" t="str">
        <f aca="false">IF($A294="","",원본명단!$B293)</f>
        <v/>
      </c>
      <c r="D294" s="12" t="str">
        <f aca="false">IF($A294="","",원본명단!$D293)</f>
        <v/>
      </c>
      <c r="E294" s="11" t="str">
        <f aca="false">IF($A294="","",IF(원본명단!$H293="",0,COUNTIF(원본명단!$H$3:$H$6002,원본명단!$H293)))</f>
        <v/>
      </c>
      <c r="F294" s="11" t="str">
        <f aca="false">IF($A294="","",IF(원본명단!$I293="",0,COUNTIF(원본명단!$I$3:$I$6002,원본명단!$I293)))</f>
        <v/>
      </c>
      <c r="G294" s="11" t="str">
        <f aca="false">IF($A294="","",IF(원본명단!$K293="",0,COUNTIF(원본명단!$K$3:$K$6002,원본명단!$K293)))</f>
        <v/>
      </c>
      <c r="H294" s="11" t="str">
        <f aca="false">IF($A294="","",IF(MAX($E294,$F294,$G294)&gt;1,"중복","-"))</f>
        <v/>
      </c>
      <c r="I294" s="11" t="str">
        <f aca="false">IF($A294="","",IF($H294="-","-",IF(AND(IF(원본명단!$H293="",TRUE(),COUNTIF(원본명단!$H$3:$H293,원본명단!$H293)=1),IF(원본명단!$I293="",TRUE(),COUNTIF(원본명단!$I$3:$I293,원본명단!$I293)=1),IF(원본명단!$K293="",TRUE(),COUNTIF(원본명단!$K$3:$K293,원본명단!$K293)=1)),"첫 건","중복 건")))</f>
        <v/>
      </c>
      <c r="J294" s="11" t="str">
        <f aca="false">IF($A294="","",IF($H294="-","유지",IF($I294="첫 건","유지","확인 필요")))</f>
        <v/>
      </c>
    </row>
    <row r="295" customFormat="false" ht="15" hidden="false" customHeight="true" outlineLevel="0" collapsed="false">
      <c r="A295" s="11" t="str">
        <f aca="false">IF(원본명단!$A294="","",292)</f>
        <v/>
      </c>
      <c r="B295" s="12" t="str">
        <f aca="false">IF($A295="","",원본명단!$A294)</f>
        <v/>
      </c>
      <c r="C295" s="12" t="str">
        <f aca="false">IF($A295="","",원본명단!$B294)</f>
        <v/>
      </c>
      <c r="D295" s="12" t="str">
        <f aca="false">IF($A295="","",원본명단!$D294)</f>
        <v/>
      </c>
      <c r="E295" s="11" t="str">
        <f aca="false">IF($A295="","",IF(원본명단!$H294="",0,COUNTIF(원본명단!$H$3:$H$6002,원본명단!$H294)))</f>
        <v/>
      </c>
      <c r="F295" s="11" t="str">
        <f aca="false">IF($A295="","",IF(원본명단!$I294="",0,COUNTIF(원본명단!$I$3:$I$6002,원본명단!$I294)))</f>
        <v/>
      </c>
      <c r="G295" s="11" t="str">
        <f aca="false">IF($A295="","",IF(원본명단!$K294="",0,COUNTIF(원본명단!$K$3:$K$6002,원본명단!$K294)))</f>
        <v/>
      </c>
      <c r="H295" s="11" t="str">
        <f aca="false">IF($A295="","",IF(MAX($E295,$F295,$G295)&gt;1,"중복","-"))</f>
        <v/>
      </c>
      <c r="I295" s="11" t="str">
        <f aca="false">IF($A295="","",IF($H295="-","-",IF(AND(IF(원본명단!$H294="",TRUE(),COUNTIF(원본명단!$H$3:$H294,원본명단!$H294)=1),IF(원본명단!$I294="",TRUE(),COUNTIF(원본명단!$I$3:$I294,원본명단!$I294)=1),IF(원본명단!$K294="",TRUE(),COUNTIF(원본명단!$K$3:$K294,원본명단!$K294)=1)),"첫 건","중복 건")))</f>
        <v/>
      </c>
      <c r="J295" s="11" t="str">
        <f aca="false">IF($A295="","",IF($H295="-","유지",IF($I295="첫 건","유지","확인 필요")))</f>
        <v/>
      </c>
    </row>
    <row r="296" customFormat="false" ht="15" hidden="false" customHeight="true" outlineLevel="0" collapsed="false">
      <c r="A296" s="11" t="str">
        <f aca="false">IF(원본명단!$A295="","",293)</f>
        <v/>
      </c>
      <c r="B296" s="12" t="str">
        <f aca="false">IF($A296="","",원본명단!$A295)</f>
        <v/>
      </c>
      <c r="C296" s="12" t="str">
        <f aca="false">IF($A296="","",원본명단!$B295)</f>
        <v/>
      </c>
      <c r="D296" s="12" t="str">
        <f aca="false">IF($A296="","",원본명단!$D295)</f>
        <v/>
      </c>
      <c r="E296" s="11" t="str">
        <f aca="false">IF($A296="","",IF(원본명단!$H295="",0,COUNTIF(원본명단!$H$3:$H$6002,원본명단!$H295)))</f>
        <v/>
      </c>
      <c r="F296" s="11" t="str">
        <f aca="false">IF($A296="","",IF(원본명단!$I295="",0,COUNTIF(원본명단!$I$3:$I$6002,원본명단!$I295)))</f>
        <v/>
      </c>
      <c r="G296" s="11" t="str">
        <f aca="false">IF($A296="","",IF(원본명단!$K295="",0,COUNTIF(원본명단!$K$3:$K$6002,원본명단!$K295)))</f>
        <v/>
      </c>
      <c r="H296" s="11" t="str">
        <f aca="false">IF($A296="","",IF(MAX($E296,$F296,$G296)&gt;1,"중복","-"))</f>
        <v/>
      </c>
      <c r="I296" s="11" t="str">
        <f aca="false">IF($A296="","",IF($H296="-","-",IF(AND(IF(원본명단!$H295="",TRUE(),COUNTIF(원본명단!$H$3:$H295,원본명단!$H295)=1),IF(원본명단!$I295="",TRUE(),COUNTIF(원본명단!$I$3:$I295,원본명단!$I295)=1),IF(원본명단!$K295="",TRUE(),COUNTIF(원본명단!$K$3:$K295,원본명단!$K295)=1)),"첫 건","중복 건")))</f>
        <v/>
      </c>
      <c r="J296" s="11" t="str">
        <f aca="false">IF($A296="","",IF($H296="-","유지",IF($I296="첫 건","유지","확인 필요")))</f>
        <v/>
      </c>
    </row>
    <row r="297" customFormat="false" ht="15" hidden="false" customHeight="true" outlineLevel="0" collapsed="false">
      <c r="A297" s="11" t="str">
        <f aca="false">IF(원본명단!$A296="","",294)</f>
        <v/>
      </c>
      <c r="B297" s="12" t="str">
        <f aca="false">IF($A297="","",원본명단!$A296)</f>
        <v/>
      </c>
      <c r="C297" s="12" t="str">
        <f aca="false">IF($A297="","",원본명단!$B296)</f>
        <v/>
      </c>
      <c r="D297" s="12" t="str">
        <f aca="false">IF($A297="","",원본명단!$D296)</f>
        <v/>
      </c>
      <c r="E297" s="11" t="str">
        <f aca="false">IF($A297="","",IF(원본명단!$H296="",0,COUNTIF(원본명단!$H$3:$H$6002,원본명단!$H296)))</f>
        <v/>
      </c>
      <c r="F297" s="11" t="str">
        <f aca="false">IF($A297="","",IF(원본명단!$I296="",0,COUNTIF(원본명단!$I$3:$I$6002,원본명단!$I296)))</f>
        <v/>
      </c>
      <c r="G297" s="11" t="str">
        <f aca="false">IF($A297="","",IF(원본명단!$K296="",0,COUNTIF(원본명단!$K$3:$K$6002,원본명단!$K296)))</f>
        <v/>
      </c>
      <c r="H297" s="11" t="str">
        <f aca="false">IF($A297="","",IF(MAX($E297,$F297,$G297)&gt;1,"중복","-"))</f>
        <v/>
      </c>
      <c r="I297" s="11" t="str">
        <f aca="false">IF($A297="","",IF($H297="-","-",IF(AND(IF(원본명단!$H296="",TRUE(),COUNTIF(원본명단!$H$3:$H296,원본명단!$H296)=1),IF(원본명단!$I296="",TRUE(),COUNTIF(원본명단!$I$3:$I296,원본명단!$I296)=1),IF(원본명단!$K296="",TRUE(),COUNTIF(원본명단!$K$3:$K296,원본명단!$K296)=1)),"첫 건","중복 건")))</f>
        <v/>
      </c>
      <c r="J297" s="11" t="str">
        <f aca="false">IF($A297="","",IF($H297="-","유지",IF($I297="첫 건","유지","확인 필요")))</f>
        <v/>
      </c>
    </row>
    <row r="298" customFormat="false" ht="15" hidden="false" customHeight="true" outlineLevel="0" collapsed="false">
      <c r="A298" s="11" t="str">
        <f aca="false">IF(원본명단!$A297="","",295)</f>
        <v/>
      </c>
      <c r="B298" s="12" t="str">
        <f aca="false">IF($A298="","",원본명단!$A297)</f>
        <v/>
      </c>
      <c r="C298" s="12" t="str">
        <f aca="false">IF($A298="","",원본명단!$B297)</f>
        <v/>
      </c>
      <c r="D298" s="12" t="str">
        <f aca="false">IF($A298="","",원본명단!$D297)</f>
        <v/>
      </c>
      <c r="E298" s="11" t="str">
        <f aca="false">IF($A298="","",IF(원본명단!$H297="",0,COUNTIF(원본명단!$H$3:$H$6002,원본명단!$H297)))</f>
        <v/>
      </c>
      <c r="F298" s="11" t="str">
        <f aca="false">IF($A298="","",IF(원본명단!$I297="",0,COUNTIF(원본명단!$I$3:$I$6002,원본명단!$I297)))</f>
        <v/>
      </c>
      <c r="G298" s="11" t="str">
        <f aca="false">IF($A298="","",IF(원본명단!$K297="",0,COUNTIF(원본명단!$K$3:$K$6002,원본명단!$K297)))</f>
        <v/>
      </c>
      <c r="H298" s="11" t="str">
        <f aca="false">IF($A298="","",IF(MAX($E298,$F298,$G298)&gt;1,"중복","-"))</f>
        <v/>
      </c>
      <c r="I298" s="11" t="str">
        <f aca="false">IF($A298="","",IF($H298="-","-",IF(AND(IF(원본명단!$H297="",TRUE(),COUNTIF(원본명단!$H$3:$H297,원본명단!$H297)=1),IF(원본명단!$I297="",TRUE(),COUNTIF(원본명단!$I$3:$I297,원본명단!$I297)=1),IF(원본명단!$K297="",TRUE(),COUNTIF(원본명단!$K$3:$K297,원본명단!$K297)=1)),"첫 건","중복 건")))</f>
        <v/>
      </c>
      <c r="J298" s="11" t="str">
        <f aca="false">IF($A298="","",IF($H298="-","유지",IF($I298="첫 건","유지","확인 필요")))</f>
        <v/>
      </c>
    </row>
    <row r="299" customFormat="false" ht="15" hidden="false" customHeight="true" outlineLevel="0" collapsed="false">
      <c r="A299" s="11" t="str">
        <f aca="false">IF(원본명단!$A298="","",296)</f>
        <v/>
      </c>
      <c r="B299" s="12" t="str">
        <f aca="false">IF($A299="","",원본명단!$A298)</f>
        <v/>
      </c>
      <c r="C299" s="12" t="str">
        <f aca="false">IF($A299="","",원본명단!$B298)</f>
        <v/>
      </c>
      <c r="D299" s="12" t="str">
        <f aca="false">IF($A299="","",원본명단!$D298)</f>
        <v/>
      </c>
      <c r="E299" s="11" t="str">
        <f aca="false">IF($A299="","",IF(원본명단!$H298="",0,COUNTIF(원본명단!$H$3:$H$6002,원본명단!$H298)))</f>
        <v/>
      </c>
      <c r="F299" s="11" t="str">
        <f aca="false">IF($A299="","",IF(원본명단!$I298="",0,COUNTIF(원본명단!$I$3:$I$6002,원본명단!$I298)))</f>
        <v/>
      </c>
      <c r="G299" s="11" t="str">
        <f aca="false">IF($A299="","",IF(원본명단!$K298="",0,COUNTIF(원본명단!$K$3:$K$6002,원본명단!$K298)))</f>
        <v/>
      </c>
      <c r="H299" s="11" t="str">
        <f aca="false">IF($A299="","",IF(MAX($E299,$F299,$G299)&gt;1,"중복","-"))</f>
        <v/>
      </c>
      <c r="I299" s="11" t="str">
        <f aca="false">IF($A299="","",IF($H299="-","-",IF(AND(IF(원본명단!$H298="",TRUE(),COUNTIF(원본명단!$H$3:$H298,원본명단!$H298)=1),IF(원본명단!$I298="",TRUE(),COUNTIF(원본명단!$I$3:$I298,원본명단!$I298)=1),IF(원본명단!$K298="",TRUE(),COUNTIF(원본명단!$K$3:$K298,원본명단!$K298)=1)),"첫 건","중복 건")))</f>
        <v/>
      </c>
      <c r="J299" s="11" t="str">
        <f aca="false">IF($A299="","",IF($H299="-","유지",IF($I299="첫 건","유지","확인 필요")))</f>
        <v/>
      </c>
    </row>
    <row r="300" customFormat="false" ht="15" hidden="false" customHeight="true" outlineLevel="0" collapsed="false">
      <c r="A300" s="11" t="str">
        <f aca="false">IF(원본명단!$A299="","",297)</f>
        <v/>
      </c>
      <c r="B300" s="12" t="str">
        <f aca="false">IF($A300="","",원본명단!$A299)</f>
        <v/>
      </c>
      <c r="C300" s="12" t="str">
        <f aca="false">IF($A300="","",원본명단!$B299)</f>
        <v/>
      </c>
      <c r="D300" s="12" t="str">
        <f aca="false">IF($A300="","",원본명단!$D299)</f>
        <v/>
      </c>
      <c r="E300" s="11" t="str">
        <f aca="false">IF($A300="","",IF(원본명단!$H299="",0,COUNTIF(원본명단!$H$3:$H$6002,원본명단!$H299)))</f>
        <v/>
      </c>
      <c r="F300" s="11" t="str">
        <f aca="false">IF($A300="","",IF(원본명단!$I299="",0,COUNTIF(원본명단!$I$3:$I$6002,원본명단!$I299)))</f>
        <v/>
      </c>
      <c r="G300" s="11" t="str">
        <f aca="false">IF($A300="","",IF(원본명단!$K299="",0,COUNTIF(원본명단!$K$3:$K$6002,원본명단!$K299)))</f>
        <v/>
      </c>
      <c r="H300" s="11" t="str">
        <f aca="false">IF($A300="","",IF(MAX($E300,$F300,$G300)&gt;1,"중복","-"))</f>
        <v/>
      </c>
      <c r="I300" s="11" t="str">
        <f aca="false">IF($A300="","",IF($H300="-","-",IF(AND(IF(원본명단!$H299="",TRUE(),COUNTIF(원본명단!$H$3:$H299,원본명단!$H299)=1),IF(원본명단!$I299="",TRUE(),COUNTIF(원본명단!$I$3:$I299,원본명단!$I299)=1),IF(원본명단!$K299="",TRUE(),COUNTIF(원본명단!$K$3:$K299,원본명단!$K299)=1)),"첫 건","중복 건")))</f>
        <v/>
      </c>
      <c r="J300" s="11" t="str">
        <f aca="false">IF($A300="","",IF($H300="-","유지",IF($I300="첫 건","유지","확인 필요")))</f>
        <v/>
      </c>
    </row>
    <row r="301" customFormat="false" ht="15" hidden="false" customHeight="true" outlineLevel="0" collapsed="false">
      <c r="A301" s="11" t="str">
        <f aca="false">IF(원본명단!$A300="","",298)</f>
        <v/>
      </c>
      <c r="B301" s="12" t="str">
        <f aca="false">IF($A301="","",원본명단!$A300)</f>
        <v/>
      </c>
      <c r="C301" s="12" t="str">
        <f aca="false">IF($A301="","",원본명단!$B300)</f>
        <v/>
      </c>
      <c r="D301" s="12" t="str">
        <f aca="false">IF($A301="","",원본명단!$D300)</f>
        <v/>
      </c>
      <c r="E301" s="11" t="str">
        <f aca="false">IF($A301="","",IF(원본명단!$H300="",0,COUNTIF(원본명단!$H$3:$H$6002,원본명단!$H300)))</f>
        <v/>
      </c>
      <c r="F301" s="11" t="str">
        <f aca="false">IF($A301="","",IF(원본명단!$I300="",0,COUNTIF(원본명단!$I$3:$I$6002,원본명단!$I300)))</f>
        <v/>
      </c>
      <c r="G301" s="11" t="str">
        <f aca="false">IF($A301="","",IF(원본명단!$K300="",0,COUNTIF(원본명단!$K$3:$K$6002,원본명단!$K300)))</f>
        <v/>
      </c>
      <c r="H301" s="11" t="str">
        <f aca="false">IF($A301="","",IF(MAX($E301,$F301,$G301)&gt;1,"중복","-"))</f>
        <v/>
      </c>
      <c r="I301" s="11" t="str">
        <f aca="false">IF($A301="","",IF($H301="-","-",IF(AND(IF(원본명단!$H300="",TRUE(),COUNTIF(원본명단!$H$3:$H300,원본명단!$H300)=1),IF(원본명단!$I300="",TRUE(),COUNTIF(원본명단!$I$3:$I300,원본명단!$I300)=1),IF(원본명단!$K300="",TRUE(),COUNTIF(원본명단!$K$3:$K300,원본명단!$K300)=1)),"첫 건","중복 건")))</f>
        <v/>
      </c>
      <c r="J301" s="11" t="str">
        <f aca="false">IF($A301="","",IF($H301="-","유지",IF($I301="첫 건","유지","확인 필요")))</f>
        <v/>
      </c>
    </row>
    <row r="302" customFormat="false" ht="15" hidden="false" customHeight="true" outlineLevel="0" collapsed="false">
      <c r="A302" s="11" t="str">
        <f aca="false">IF(원본명단!$A301="","",299)</f>
        <v/>
      </c>
      <c r="B302" s="12" t="str">
        <f aca="false">IF($A302="","",원본명단!$A301)</f>
        <v/>
      </c>
      <c r="C302" s="12" t="str">
        <f aca="false">IF($A302="","",원본명단!$B301)</f>
        <v/>
      </c>
      <c r="D302" s="12" t="str">
        <f aca="false">IF($A302="","",원본명단!$D301)</f>
        <v/>
      </c>
      <c r="E302" s="11" t="str">
        <f aca="false">IF($A302="","",IF(원본명단!$H301="",0,COUNTIF(원본명단!$H$3:$H$6002,원본명단!$H301)))</f>
        <v/>
      </c>
      <c r="F302" s="11" t="str">
        <f aca="false">IF($A302="","",IF(원본명단!$I301="",0,COUNTIF(원본명단!$I$3:$I$6002,원본명단!$I301)))</f>
        <v/>
      </c>
      <c r="G302" s="11" t="str">
        <f aca="false">IF($A302="","",IF(원본명단!$K301="",0,COUNTIF(원본명단!$K$3:$K$6002,원본명단!$K301)))</f>
        <v/>
      </c>
      <c r="H302" s="11" t="str">
        <f aca="false">IF($A302="","",IF(MAX($E302,$F302,$G302)&gt;1,"중복","-"))</f>
        <v/>
      </c>
      <c r="I302" s="11" t="str">
        <f aca="false">IF($A302="","",IF($H302="-","-",IF(AND(IF(원본명단!$H301="",TRUE(),COUNTIF(원본명단!$H$3:$H301,원본명단!$H301)=1),IF(원본명단!$I301="",TRUE(),COUNTIF(원본명단!$I$3:$I301,원본명단!$I301)=1),IF(원본명단!$K301="",TRUE(),COUNTIF(원본명단!$K$3:$K301,원본명단!$K301)=1)),"첫 건","중복 건")))</f>
        <v/>
      </c>
      <c r="J302" s="11" t="str">
        <f aca="false">IF($A302="","",IF($H302="-","유지",IF($I302="첫 건","유지","확인 필요")))</f>
        <v/>
      </c>
    </row>
    <row r="303" customFormat="false" ht="15" hidden="false" customHeight="true" outlineLevel="0" collapsed="false">
      <c r="A303" s="11" t="str">
        <f aca="false">IF(원본명단!$A302="","",300)</f>
        <v/>
      </c>
      <c r="B303" s="12" t="str">
        <f aca="false">IF($A303="","",원본명단!$A302)</f>
        <v/>
      </c>
      <c r="C303" s="12" t="str">
        <f aca="false">IF($A303="","",원본명단!$B302)</f>
        <v/>
      </c>
      <c r="D303" s="12" t="str">
        <f aca="false">IF($A303="","",원본명단!$D302)</f>
        <v/>
      </c>
      <c r="E303" s="11" t="str">
        <f aca="false">IF($A303="","",IF(원본명단!$H302="",0,COUNTIF(원본명단!$H$3:$H$6002,원본명단!$H302)))</f>
        <v/>
      </c>
      <c r="F303" s="11" t="str">
        <f aca="false">IF($A303="","",IF(원본명단!$I302="",0,COUNTIF(원본명단!$I$3:$I$6002,원본명단!$I302)))</f>
        <v/>
      </c>
      <c r="G303" s="11" t="str">
        <f aca="false">IF($A303="","",IF(원본명단!$K302="",0,COUNTIF(원본명단!$K$3:$K$6002,원본명단!$K302)))</f>
        <v/>
      </c>
      <c r="H303" s="11" t="str">
        <f aca="false">IF($A303="","",IF(MAX($E303,$F303,$G303)&gt;1,"중복","-"))</f>
        <v/>
      </c>
      <c r="I303" s="11" t="str">
        <f aca="false">IF($A303="","",IF($H303="-","-",IF(AND(IF(원본명단!$H302="",TRUE(),COUNTIF(원본명단!$H$3:$H302,원본명단!$H302)=1),IF(원본명단!$I302="",TRUE(),COUNTIF(원본명단!$I$3:$I302,원본명단!$I302)=1),IF(원본명단!$K302="",TRUE(),COUNTIF(원본명단!$K$3:$K302,원본명단!$K302)=1)),"첫 건","중복 건")))</f>
        <v/>
      </c>
      <c r="J303" s="11" t="str">
        <f aca="false">IF($A303="","",IF($H303="-","유지",IF($I303="첫 건","유지","확인 필요")))</f>
        <v/>
      </c>
    </row>
    <row r="304" customFormat="false" ht="15" hidden="false" customHeight="true" outlineLevel="0" collapsed="false">
      <c r="A304" s="11" t="str">
        <f aca="false">IF(원본명단!$A303="","",301)</f>
        <v/>
      </c>
      <c r="B304" s="12" t="str">
        <f aca="false">IF($A304="","",원본명단!$A303)</f>
        <v/>
      </c>
      <c r="C304" s="12" t="str">
        <f aca="false">IF($A304="","",원본명단!$B303)</f>
        <v/>
      </c>
      <c r="D304" s="12" t="str">
        <f aca="false">IF($A304="","",원본명단!$D303)</f>
        <v/>
      </c>
      <c r="E304" s="11" t="str">
        <f aca="false">IF($A304="","",IF(원본명단!$H303="",0,COUNTIF(원본명단!$H$3:$H$6002,원본명단!$H303)))</f>
        <v/>
      </c>
      <c r="F304" s="11" t="str">
        <f aca="false">IF($A304="","",IF(원본명단!$I303="",0,COUNTIF(원본명단!$I$3:$I$6002,원본명단!$I303)))</f>
        <v/>
      </c>
      <c r="G304" s="11" t="str">
        <f aca="false">IF($A304="","",IF(원본명단!$K303="",0,COUNTIF(원본명단!$K$3:$K$6002,원본명단!$K303)))</f>
        <v/>
      </c>
      <c r="H304" s="11" t="str">
        <f aca="false">IF($A304="","",IF(MAX($E304,$F304,$G304)&gt;1,"중복","-"))</f>
        <v/>
      </c>
      <c r="I304" s="11" t="str">
        <f aca="false">IF($A304="","",IF($H304="-","-",IF(AND(IF(원본명단!$H303="",TRUE(),COUNTIF(원본명단!$H$3:$H303,원본명단!$H303)=1),IF(원본명단!$I303="",TRUE(),COUNTIF(원본명단!$I$3:$I303,원본명단!$I303)=1),IF(원본명단!$K303="",TRUE(),COUNTIF(원본명단!$K$3:$K303,원본명단!$K303)=1)),"첫 건","중복 건")))</f>
        <v/>
      </c>
      <c r="J304" s="11" t="str">
        <f aca="false">IF($A304="","",IF($H304="-","유지",IF($I304="첫 건","유지","확인 필요")))</f>
        <v/>
      </c>
    </row>
    <row r="305" customFormat="false" ht="15" hidden="false" customHeight="true" outlineLevel="0" collapsed="false">
      <c r="A305" s="11" t="str">
        <f aca="false">IF(원본명단!$A304="","",302)</f>
        <v/>
      </c>
      <c r="B305" s="12" t="str">
        <f aca="false">IF($A305="","",원본명단!$A304)</f>
        <v/>
      </c>
      <c r="C305" s="12" t="str">
        <f aca="false">IF($A305="","",원본명단!$B304)</f>
        <v/>
      </c>
      <c r="D305" s="12" t="str">
        <f aca="false">IF($A305="","",원본명단!$D304)</f>
        <v/>
      </c>
      <c r="E305" s="11" t="str">
        <f aca="false">IF($A305="","",IF(원본명단!$H304="",0,COUNTIF(원본명단!$H$3:$H$6002,원본명단!$H304)))</f>
        <v/>
      </c>
      <c r="F305" s="11" t="str">
        <f aca="false">IF($A305="","",IF(원본명단!$I304="",0,COUNTIF(원본명단!$I$3:$I$6002,원본명단!$I304)))</f>
        <v/>
      </c>
      <c r="G305" s="11" t="str">
        <f aca="false">IF($A305="","",IF(원본명단!$K304="",0,COUNTIF(원본명단!$K$3:$K$6002,원본명단!$K304)))</f>
        <v/>
      </c>
      <c r="H305" s="11" t="str">
        <f aca="false">IF($A305="","",IF(MAX($E305,$F305,$G305)&gt;1,"중복","-"))</f>
        <v/>
      </c>
      <c r="I305" s="11" t="str">
        <f aca="false">IF($A305="","",IF($H305="-","-",IF(AND(IF(원본명단!$H304="",TRUE(),COUNTIF(원본명단!$H$3:$H304,원본명단!$H304)=1),IF(원본명단!$I304="",TRUE(),COUNTIF(원본명단!$I$3:$I304,원본명단!$I304)=1),IF(원본명단!$K304="",TRUE(),COUNTIF(원본명단!$K$3:$K304,원본명단!$K304)=1)),"첫 건","중복 건")))</f>
        <v/>
      </c>
      <c r="J305" s="11" t="str">
        <f aca="false">IF($A305="","",IF($H305="-","유지",IF($I305="첫 건","유지","확인 필요")))</f>
        <v/>
      </c>
    </row>
    <row r="306" customFormat="false" ht="15" hidden="false" customHeight="true" outlineLevel="0" collapsed="false">
      <c r="A306" s="11" t="str">
        <f aca="false">IF(원본명단!$A305="","",303)</f>
        <v/>
      </c>
      <c r="B306" s="12" t="str">
        <f aca="false">IF($A306="","",원본명단!$A305)</f>
        <v/>
      </c>
      <c r="C306" s="12" t="str">
        <f aca="false">IF($A306="","",원본명단!$B305)</f>
        <v/>
      </c>
      <c r="D306" s="12" t="str">
        <f aca="false">IF($A306="","",원본명단!$D305)</f>
        <v/>
      </c>
      <c r="E306" s="11" t="str">
        <f aca="false">IF($A306="","",IF(원본명단!$H305="",0,COUNTIF(원본명단!$H$3:$H$6002,원본명단!$H305)))</f>
        <v/>
      </c>
      <c r="F306" s="11" t="str">
        <f aca="false">IF($A306="","",IF(원본명단!$I305="",0,COUNTIF(원본명단!$I$3:$I$6002,원본명단!$I305)))</f>
        <v/>
      </c>
      <c r="G306" s="11" t="str">
        <f aca="false">IF($A306="","",IF(원본명단!$K305="",0,COUNTIF(원본명단!$K$3:$K$6002,원본명단!$K305)))</f>
        <v/>
      </c>
      <c r="H306" s="11" t="str">
        <f aca="false">IF($A306="","",IF(MAX($E306,$F306,$G306)&gt;1,"중복","-"))</f>
        <v/>
      </c>
      <c r="I306" s="11" t="str">
        <f aca="false">IF($A306="","",IF($H306="-","-",IF(AND(IF(원본명단!$H305="",TRUE(),COUNTIF(원본명단!$H$3:$H305,원본명단!$H305)=1),IF(원본명단!$I305="",TRUE(),COUNTIF(원본명단!$I$3:$I305,원본명단!$I305)=1),IF(원본명단!$K305="",TRUE(),COUNTIF(원본명단!$K$3:$K305,원본명단!$K305)=1)),"첫 건","중복 건")))</f>
        <v/>
      </c>
      <c r="J306" s="11" t="str">
        <f aca="false">IF($A306="","",IF($H306="-","유지",IF($I306="첫 건","유지","확인 필요")))</f>
        <v/>
      </c>
    </row>
    <row r="307" customFormat="false" ht="15" hidden="false" customHeight="true" outlineLevel="0" collapsed="false">
      <c r="A307" s="11" t="str">
        <f aca="false">IF(원본명단!$A306="","",304)</f>
        <v/>
      </c>
      <c r="B307" s="12" t="str">
        <f aca="false">IF($A307="","",원본명단!$A306)</f>
        <v/>
      </c>
      <c r="C307" s="12" t="str">
        <f aca="false">IF($A307="","",원본명단!$B306)</f>
        <v/>
      </c>
      <c r="D307" s="12" t="str">
        <f aca="false">IF($A307="","",원본명단!$D306)</f>
        <v/>
      </c>
      <c r="E307" s="11" t="str">
        <f aca="false">IF($A307="","",IF(원본명단!$H306="",0,COUNTIF(원본명단!$H$3:$H$6002,원본명단!$H306)))</f>
        <v/>
      </c>
      <c r="F307" s="11" t="str">
        <f aca="false">IF($A307="","",IF(원본명단!$I306="",0,COUNTIF(원본명단!$I$3:$I$6002,원본명단!$I306)))</f>
        <v/>
      </c>
      <c r="G307" s="11" t="str">
        <f aca="false">IF($A307="","",IF(원본명단!$K306="",0,COUNTIF(원본명단!$K$3:$K$6002,원본명단!$K306)))</f>
        <v/>
      </c>
      <c r="H307" s="11" t="str">
        <f aca="false">IF($A307="","",IF(MAX($E307,$F307,$G307)&gt;1,"중복","-"))</f>
        <v/>
      </c>
      <c r="I307" s="11" t="str">
        <f aca="false">IF($A307="","",IF($H307="-","-",IF(AND(IF(원본명단!$H306="",TRUE(),COUNTIF(원본명단!$H$3:$H306,원본명단!$H306)=1),IF(원본명단!$I306="",TRUE(),COUNTIF(원본명단!$I$3:$I306,원본명단!$I306)=1),IF(원본명단!$K306="",TRUE(),COUNTIF(원본명단!$K$3:$K306,원본명단!$K306)=1)),"첫 건","중복 건")))</f>
        <v/>
      </c>
      <c r="J307" s="11" t="str">
        <f aca="false">IF($A307="","",IF($H307="-","유지",IF($I307="첫 건","유지","확인 필요")))</f>
        <v/>
      </c>
    </row>
    <row r="308" customFormat="false" ht="15" hidden="false" customHeight="true" outlineLevel="0" collapsed="false">
      <c r="A308" s="11" t="str">
        <f aca="false">IF(원본명단!$A307="","",305)</f>
        <v/>
      </c>
      <c r="B308" s="12" t="str">
        <f aca="false">IF($A308="","",원본명단!$A307)</f>
        <v/>
      </c>
      <c r="C308" s="12" t="str">
        <f aca="false">IF($A308="","",원본명단!$B307)</f>
        <v/>
      </c>
      <c r="D308" s="12" t="str">
        <f aca="false">IF($A308="","",원본명단!$D307)</f>
        <v/>
      </c>
      <c r="E308" s="11" t="str">
        <f aca="false">IF($A308="","",IF(원본명단!$H307="",0,COUNTIF(원본명단!$H$3:$H$6002,원본명단!$H307)))</f>
        <v/>
      </c>
      <c r="F308" s="11" t="str">
        <f aca="false">IF($A308="","",IF(원본명단!$I307="",0,COUNTIF(원본명단!$I$3:$I$6002,원본명단!$I307)))</f>
        <v/>
      </c>
      <c r="G308" s="11" t="str">
        <f aca="false">IF($A308="","",IF(원본명단!$K307="",0,COUNTIF(원본명단!$K$3:$K$6002,원본명단!$K307)))</f>
        <v/>
      </c>
      <c r="H308" s="11" t="str">
        <f aca="false">IF($A308="","",IF(MAX($E308,$F308,$G308)&gt;1,"중복","-"))</f>
        <v/>
      </c>
      <c r="I308" s="11" t="str">
        <f aca="false">IF($A308="","",IF($H308="-","-",IF(AND(IF(원본명단!$H307="",TRUE(),COUNTIF(원본명단!$H$3:$H307,원본명단!$H307)=1),IF(원본명단!$I307="",TRUE(),COUNTIF(원본명단!$I$3:$I307,원본명단!$I307)=1),IF(원본명단!$K307="",TRUE(),COUNTIF(원본명단!$K$3:$K307,원본명단!$K307)=1)),"첫 건","중복 건")))</f>
        <v/>
      </c>
      <c r="J308" s="11" t="str">
        <f aca="false">IF($A308="","",IF($H308="-","유지",IF($I308="첫 건","유지","확인 필요")))</f>
        <v/>
      </c>
    </row>
    <row r="309" customFormat="false" ht="15" hidden="false" customHeight="true" outlineLevel="0" collapsed="false">
      <c r="A309" s="11" t="str">
        <f aca="false">IF(원본명단!$A308="","",306)</f>
        <v/>
      </c>
      <c r="B309" s="12" t="str">
        <f aca="false">IF($A309="","",원본명단!$A308)</f>
        <v/>
      </c>
      <c r="C309" s="12" t="str">
        <f aca="false">IF($A309="","",원본명단!$B308)</f>
        <v/>
      </c>
      <c r="D309" s="12" t="str">
        <f aca="false">IF($A309="","",원본명단!$D308)</f>
        <v/>
      </c>
      <c r="E309" s="11" t="str">
        <f aca="false">IF($A309="","",IF(원본명단!$H308="",0,COUNTIF(원본명단!$H$3:$H$6002,원본명단!$H308)))</f>
        <v/>
      </c>
      <c r="F309" s="11" t="str">
        <f aca="false">IF($A309="","",IF(원본명단!$I308="",0,COUNTIF(원본명단!$I$3:$I$6002,원본명단!$I308)))</f>
        <v/>
      </c>
      <c r="G309" s="11" t="str">
        <f aca="false">IF($A309="","",IF(원본명단!$K308="",0,COUNTIF(원본명단!$K$3:$K$6002,원본명단!$K308)))</f>
        <v/>
      </c>
      <c r="H309" s="11" t="str">
        <f aca="false">IF($A309="","",IF(MAX($E309,$F309,$G309)&gt;1,"중복","-"))</f>
        <v/>
      </c>
      <c r="I309" s="11" t="str">
        <f aca="false">IF($A309="","",IF($H309="-","-",IF(AND(IF(원본명단!$H308="",TRUE(),COUNTIF(원본명단!$H$3:$H308,원본명단!$H308)=1),IF(원본명단!$I308="",TRUE(),COUNTIF(원본명단!$I$3:$I308,원본명단!$I308)=1),IF(원본명단!$K308="",TRUE(),COUNTIF(원본명단!$K$3:$K308,원본명단!$K308)=1)),"첫 건","중복 건")))</f>
        <v/>
      </c>
      <c r="J309" s="11" t="str">
        <f aca="false">IF($A309="","",IF($H309="-","유지",IF($I309="첫 건","유지","확인 필요")))</f>
        <v/>
      </c>
    </row>
    <row r="310" customFormat="false" ht="15" hidden="false" customHeight="true" outlineLevel="0" collapsed="false">
      <c r="A310" s="11" t="str">
        <f aca="false">IF(원본명단!$A309="","",307)</f>
        <v/>
      </c>
      <c r="B310" s="12" t="str">
        <f aca="false">IF($A310="","",원본명단!$A309)</f>
        <v/>
      </c>
      <c r="C310" s="12" t="str">
        <f aca="false">IF($A310="","",원본명단!$B309)</f>
        <v/>
      </c>
      <c r="D310" s="12" t="str">
        <f aca="false">IF($A310="","",원본명단!$D309)</f>
        <v/>
      </c>
      <c r="E310" s="11" t="str">
        <f aca="false">IF($A310="","",IF(원본명단!$H309="",0,COUNTIF(원본명단!$H$3:$H$6002,원본명단!$H309)))</f>
        <v/>
      </c>
      <c r="F310" s="11" t="str">
        <f aca="false">IF($A310="","",IF(원본명단!$I309="",0,COUNTIF(원본명단!$I$3:$I$6002,원본명단!$I309)))</f>
        <v/>
      </c>
      <c r="G310" s="11" t="str">
        <f aca="false">IF($A310="","",IF(원본명단!$K309="",0,COUNTIF(원본명단!$K$3:$K$6002,원본명단!$K309)))</f>
        <v/>
      </c>
      <c r="H310" s="11" t="str">
        <f aca="false">IF($A310="","",IF(MAX($E310,$F310,$G310)&gt;1,"중복","-"))</f>
        <v/>
      </c>
      <c r="I310" s="11" t="str">
        <f aca="false">IF($A310="","",IF($H310="-","-",IF(AND(IF(원본명단!$H309="",TRUE(),COUNTIF(원본명단!$H$3:$H309,원본명단!$H309)=1),IF(원본명단!$I309="",TRUE(),COUNTIF(원본명단!$I$3:$I309,원본명단!$I309)=1),IF(원본명단!$K309="",TRUE(),COUNTIF(원본명단!$K$3:$K309,원본명단!$K309)=1)),"첫 건","중복 건")))</f>
        <v/>
      </c>
      <c r="J310" s="11" t="str">
        <f aca="false">IF($A310="","",IF($H310="-","유지",IF($I310="첫 건","유지","확인 필요")))</f>
        <v/>
      </c>
    </row>
    <row r="311" customFormat="false" ht="15" hidden="false" customHeight="true" outlineLevel="0" collapsed="false">
      <c r="A311" s="11" t="str">
        <f aca="false">IF(원본명단!$A310="","",308)</f>
        <v/>
      </c>
      <c r="B311" s="12" t="str">
        <f aca="false">IF($A311="","",원본명단!$A310)</f>
        <v/>
      </c>
      <c r="C311" s="12" t="str">
        <f aca="false">IF($A311="","",원본명단!$B310)</f>
        <v/>
      </c>
      <c r="D311" s="12" t="str">
        <f aca="false">IF($A311="","",원본명단!$D310)</f>
        <v/>
      </c>
      <c r="E311" s="11" t="str">
        <f aca="false">IF($A311="","",IF(원본명단!$H310="",0,COUNTIF(원본명단!$H$3:$H$6002,원본명단!$H310)))</f>
        <v/>
      </c>
      <c r="F311" s="11" t="str">
        <f aca="false">IF($A311="","",IF(원본명단!$I310="",0,COUNTIF(원본명단!$I$3:$I$6002,원본명단!$I310)))</f>
        <v/>
      </c>
      <c r="G311" s="11" t="str">
        <f aca="false">IF($A311="","",IF(원본명단!$K310="",0,COUNTIF(원본명단!$K$3:$K$6002,원본명단!$K310)))</f>
        <v/>
      </c>
      <c r="H311" s="11" t="str">
        <f aca="false">IF($A311="","",IF(MAX($E311,$F311,$G311)&gt;1,"중복","-"))</f>
        <v/>
      </c>
      <c r="I311" s="11" t="str">
        <f aca="false">IF($A311="","",IF($H311="-","-",IF(AND(IF(원본명단!$H310="",TRUE(),COUNTIF(원본명단!$H$3:$H310,원본명단!$H310)=1),IF(원본명단!$I310="",TRUE(),COUNTIF(원본명단!$I$3:$I310,원본명단!$I310)=1),IF(원본명단!$K310="",TRUE(),COUNTIF(원본명단!$K$3:$K310,원본명단!$K310)=1)),"첫 건","중복 건")))</f>
        <v/>
      </c>
      <c r="J311" s="11" t="str">
        <f aca="false">IF($A311="","",IF($H311="-","유지",IF($I311="첫 건","유지","확인 필요")))</f>
        <v/>
      </c>
    </row>
    <row r="312" customFormat="false" ht="15" hidden="false" customHeight="true" outlineLevel="0" collapsed="false">
      <c r="A312" s="11" t="str">
        <f aca="false">IF(원본명단!$A311="","",309)</f>
        <v/>
      </c>
      <c r="B312" s="12" t="str">
        <f aca="false">IF($A312="","",원본명단!$A311)</f>
        <v/>
      </c>
      <c r="C312" s="12" t="str">
        <f aca="false">IF($A312="","",원본명단!$B311)</f>
        <v/>
      </c>
      <c r="D312" s="12" t="str">
        <f aca="false">IF($A312="","",원본명단!$D311)</f>
        <v/>
      </c>
      <c r="E312" s="11" t="str">
        <f aca="false">IF($A312="","",IF(원본명단!$H311="",0,COUNTIF(원본명단!$H$3:$H$6002,원본명단!$H311)))</f>
        <v/>
      </c>
      <c r="F312" s="11" t="str">
        <f aca="false">IF($A312="","",IF(원본명단!$I311="",0,COUNTIF(원본명단!$I$3:$I$6002,원본명단!$I311)))</f>
        <v/>
      </c>
      <c r="G312" s="11" t="str">
        <f aca="false">IF($A312="","",IF(원본명단!$K311="",0,COUNTIF(원본명단!$K$3:$K$6002,원본명단!$K311)))</f>
        <v/>
      </c>
      <c r="H312" s="11" t="str">
        <f aca="false">IF($A312="","",IF(MAX($E312,$F312,$G312)&gt;1,"중복","-"))</f>
        <v/>
      </c>
      <c r="I312" s="11" t="str">
        <f aca="false">IF($A312="","",IF($H312="-","-",IF(AND(IF(원본명단!$H311="",TRUE(),COUNTIF(원본명단!$H$3:$H311,원본명단!$H311)=1),IF(원본명단!$I311="",TRUE(),COUNTIF(원본명단!$I$3:$I311,원본명단!$I311)=1),IF(원본명단!$K311="",TRUE(),COUNTIF(원본명단!$K$3:$K311,원본명단!$K311)=1)),"첫 건","중복 건")))</f>
        <v/>
      </c>
      <c r="J312" s="11" t="str">
        <f aca="false">IF($A312="","",IF($H312="-","유지",IF($I312="첫 건","유지","확인 필요")))</f>
        <v/>
      </c>
    </row>
    <row r="313" customFormat="false" ht="15" hidden="false" customHeight="true" outlineLevel="0" collapsed="false">
      <c r="A313" s="11" t="str">
        <f aca="false">IF(원본명단!$A312="","",310)</f>
        <v/>
      </c>
      <c r="B313" s="12" t="str">
        <f aca="false">IF($A313="","",원본명단!$A312)</f>
        <v/>
      </c>
      <c r="C313" s="12" t="str">
        <f aca="false">IF($A313="","",원본명단!$B312)</f>
        <v/>
      </c>
      <c r="D313" s="12" t="str">
        <f aca="false">IF($A313="","",원본명단!$D312)</f>
        <v/>
      </c>
      <c r="E313" s="11" t="str">
        <f aca="false">IF($A313="","",IF(원본명단!$H312="",0,COUNTIF(원본명단!$H$3:$H$6002,원본명단!$H312)))</f>
        <v/>
      </c>
      <c r="F313" s="11" t="str">
        <f aca="false">IF($A313="","",IF(원본명단!$I312="",0,COUNTIF(원본명단!$I$3:$I$6002,원본명단!$I312)))</f>
        <v/>
      </c>
      <c r="G313" s="11" t="str">
        <f aca="false">IF($A313="","",IF(원본명단!$K312="",0,COUNTIF(원본명단!$K$3:$K$6002,원본명단!$K312)))</f>
        <v/>
      </c>
      <c r="H313" s="11" t="str">
        <f aca="false">IF($A313="","",IF(MAX($E313,$F313,$G313)&gt;1,"중복","-"))</f>
        <v/>
      </c>
      <c r="I313" s="11" t="str">
        <f aca="false">IF($A313="","",IF($H313="-","-",IF(AND(IF(원본명단!$H312="",TRUE(),COUNTIF(원본명단!$H$3:$H312,원본명단!$H312)=1),IF(원본명단!$I312="",TRUE(),COUNTIF(원본명단!$I$3:$I312,원본명단!$I312)=1),IF(원본명단!$K312="",TRUE(),COUNTIF(원본명단!$K$3:$K312,원본명단!$K312)=1)),"첫 건","중복 건")))</f>
        <v/>
      </c>
      <c r="J313" s="11" t="str">
        <f aca="false">IF($A313="","",IF($H313="-","유지",IF($I313="첫 건","유지","확인 필요")))</f>
        <v/>
      </c>
    </row>
    <row r="314" customFormat="false" ht="15" hidden="false" customHeight="true" outlineLevel="0" collapsed="false">
      <c r="A314" s="11" t="str">
        <f aca="false">IF(원본명단!$A313="","",311)</f>
        <v/>
      </c>
      <c r="B314" s="12" t="str">
        <f aca="false">IF($A314="","",원본명단!$A313)</f>
        <v/>
      </c>
      <c r="C314" s="12" t="str">
        <f aca="false">IF($A314="","",원본명단!$B313)</f>
        <v/>
      </c>
      <c r="D314" s="12" t="str">
        <f aca="false">IF($A314="","",원본명단!$D313)</f>
        <v/>
      </c>
      <c r="E314" s="11" t="str">
        <f aca="false">IF($A314="","",IF(원본명단!$H313="",0,COUNTIF(원본명단!$H$3:$H$6002,원본명단!$H313)))</f>
        <v/>
      </c>
      <c r="F314" s="11" t="str">
        <f aca="false">IF($A314="","",IF(원본명단!$I313="",0,COUNTIF(원본명단!$I$3:$I$6002,원본명단!$I313)))</f>
        <v/>
      </c>
      <c r="G314" s="11" t="str">
        <f aca="false">IF($A314="","",IF(원본명단!$K313="",0,COUNTIF(원본명단!$K$3:$K$6002,원본명단!$K313)))</f>
        <v/>
      </c>
      <c r="H314" s="11" t="str">
        <f aca="false">IF($A314="","",IF(MAX($E314,$F314,$G314)&gt;1,"중복","-"))</f>
        <v/>
      </c>
      <c r="I314" s="11" t="str">
        <f aca="false">IF($A314="","",IF($H314="-","-",IF(AND(IF(원본명단!$H313="",TRUE(),COUNTIF(원본명단!$H$3:$H313,원본명단!$H313)=1),IF(원본명단!$I313="",TRUE(),COUNTIF(원본명단!$I$3:$I313,원본명단!$I313)=1),IF(원본명단!$K313="",TRUE(),COUNTIF(원본명단!$K$3:$K313,원본명단!$K313)=1)),"첫 건","중복 건")))</f>
        <v/>
      </c>
      <c r="J314" s="11" t="str">
        <f aca="false">IF($A314="","",IF($H314="-","유지",IF($I314="첫 건","유지","확인 필요")))</f>
        <v/>
      </c>
    </row>
    <row r="315" customFormat="false" ht="15" hidden="false" customHeight="true" outlineLevel="0" collapsed="false">
      <c r="A315" s="11" t="str">
        <f aca="false">IF(원본명단!$A314="","",312)</f>
        <v/>
      </c>
      <c r="B315" s="12" t="str">
        <f aca="false">IF($A315="","",원본명단!$A314)</f>
        <v/>
      </c>
      <c r="C315" s="12" t="str">
        <f aca="false">IF($A315="","",원본명단!$B314)</f>
        <v/>
      </c>
      <c r="D315" s="12" t="str">
        <f aca="false">IF($A315="","",원본명단!$D314)</f>
        <v/>
      </c>
      <c r="E315" s="11" t="str">
        <f aca="false">IF($A315="","",IF(원본명단!$H314="",0,COUNTIF(원본명단!$H$3:$H$6002,원본명단!$H314)))</f>
        <v/>
      </c>
      <c r="F315" s="11" t="str">
        <f aca="false">IF($A315="","",IF(원본명단!$I314="",0,COUNTIF(원본명단!$I$3:$I$6002,원본명단!$I314)))</f>
        <v/>
      </c>
      <c r="G315" s="11" t="str">
        <f aca="false">IF($A315="","",IF(원본명단!$K314="",0,COUNTIF(원본명단!$K$3:$K$6002,원본명단!$K314)))</f>
        <v/>
      </c>
      <c r="H315" s="11" t="str">
        <f aca="false">IF($A315="","",IF(MAX($E315,$F315,$G315)&gt;1,"중복","-"))</f>
        <v/>
      </c>
      <c r="I315" s="11" t="str">
        <f aca="false">IF($A315="","",IF($H315="-","-",IF(AND(IF(원본명단!$H314="",TRUE(),COUNTIF(원본명단!$H$3:$H314,원본명단!$H314)=1),IF(원본명단!$I314="",TRUE(),COUNTIF(원본명단!$I$3:$I314,원본명단!$I314)=1),IF(원본명단!$K314="",TRUE(),COUNTIF(원본명단!$K$3:$K314,원본명단!$K314)=1)),"첫 건","중복 건")))</f>
        <v/>
      </c>
      <c r="J315" s="11" t="str">
        <f aca="false">IF($A315="","",IF($H315="-","유지",IF($I315="첫 건","유지","확인 필요")))</f>
        <v/>
      </c>
    </row>
    <row r="316" customFormat="false" ht="15" hidden="false" customHeight="true" outlineLevel="0" collapsed="false">
      <c r="A316" s="11" t="str">
        <f aca="false">IF(원본명단!$A315="","",313)</f>
        <v/>
      </c>
      <c r="B316" s="12" t="str">
        <f aca="false">IF($A316="","",원본명단!$A315)</f>
        <v/>
      </c>
      <c r="C316" s="12" t="str">
        <f aca="false">IF($A316="","",원본명단!$B315)</f>
        <v/>
      </c>
      <c r="D316" s="12" t="str">
        <f aca="false">IF($A316="","",원본명단!$D315)</f>
        <v/>
      </c>
      <c r="E316" s="11" t="str">
        <f aca="false">IF($A316="","",IF(원본명단!$H315="",0,COUNTIF(원본명단!$H$3:$H$6002,원본명단!$H315)))</f>
        <v/>
      </c>
      <c r="F316" s="11" t="str">
        <f aca="false">IF($A316="","",IF(원본명단!$I315="",0,COUNTIF(원본명단!$I$3:$I$6002,원본명단!$I315)))</f>
        <v/>
      </c>
      <c r="G316" s="11" t="str">
        <f aca="false">IF($A316="","",IF(원본명단!$K315="",0,COUNTIF(원본명단!$K$3:$K$6002,원본명단!$K315)))</f>
        <v/>
      </c>
      <c r="H316" s="11" t="str">
        <f aca="false">IF($A316="","",IF(MAX($E316,$F316,$G316)&gt;1,"중복","-"))</f>
        <v/>
      </c>
      <c r="I316" s="11" t="str">
        <f aca="false">IF($A316="","",IF($H316="-","-",IF(AND(IF(원본명단!$H315="",TRUE(),COUNTIF(원본명단!$H$3:$H315,원본명단!$H315)=1),IF(원본명단!$I315="",TRUE(),COUNTIF(원본명단!$I$3:$I315,원본명단!$I315)=1),IF(원본명단!$K315="",TRUE(),COUNTIF(원본명단!$K$3:$K315,원본명단!$K315)=1)),"첫 건","중복 건")))</f>
        <v/>
      </c>
      <c r="J316" s="11" t="str">
        <f aca="false">IF($A316="","",IF($H316="-","유지",IF($I316="첫 건","유지","확인 필요")))</f>
        <v/>
      </c>
    </row>
    <row r="317" customFormat="false" ht="15" hidden="false" customHeight="true" outlineLevel="0" collapsed="false">
      <c r="A317" s="11" t="str">
        <f aca="false">IF(원본명단!$A316="","",314)</f>
        <v/>
      </c>
      <c r="B317" s="12" t="str">
        <f aca="false">IF($A317="","",원본명단!$A316)</f>
        <v/>
      </c>
      <c r="C317" s="12" t="str">
        <f aca="false">IF($A317="","",원본명단!$B316)</f>
        <v/>
      </c>
      <c r="D317" s="12" t="str">
        <f aca="false">IF($A317="","",원본명단!$D316)</f>
        <v/>
      </c>
      <c r="E317" s="11" t="str">
        <f aca="false">IF($A317="","",IF(원본명단!$H316="",0,COUNTIF(원본명단!$H$3:$H$6002,원본명단!$H316)))</f>
        <v/>
      </c>
      <c r="F317" s="11" t="str">
        <f aca="false">IF($A317="","",IF(원본명단!$I316="",0,COUNTIF(원본명단!$I$3:$I$6002,원본명단!$I316)))</f>
        <v/>
      </c>
      <c r="G317" s="11" t="str">
        <f aca="false">IF($A317="","",IF(원본명단!$K316="",0,COUNTIF(원본명단!$K$3:$K$6002,원본명단!$K316)))</f>
        <v/>
      </c>
      <c r="H317" s="11" t="str">
        <f aca="false">IF($A317="","",IF(MAX($E317,$F317,$G317)&gt;1,"중복","-"))</f>
        <v/>
      </c>
      <c r="I317" s="11" t="str">
        <f aca="false">IF($A317="","",IF($H317="-","-",IF(AND(IF(원본명단!$H316="",TRUE(),COUNTIF(원본명단!$H$3:$H316,원본명단!$H316)=1),IF(원본명단!$I316="",TRUE(),COUNTIF(원본명단!$I$3:$I316,원본명단!$I316)=1),IF(원본명단!$K316="",TRUE(),COUNTIF(원본명단!$K$3:$K316,원본명단!$K316)=1)),"첫 건","중복 건")))</f>
        <v/>
      </c>
      <c r="J317" s="11" t="str">
        <f aca="false">IF($A317="","",IF($H317="-","유지",IF($I317="첫 건","유지","확인 필요")))</f>
        <v/>
      </c>
    </row>
    <row r="318" customFormat="false" ht="15" hidden="false" customHeight="true" outlineLevel="0" collapsed="false">
      <c r="A318" s="11" t="str">
        <f aca="false">IF(원본명단!$A317="","",315)</f>
        <v/>
      </c>
      <c r="B318" s="12" t="str">
        <f aca="false">IF($A318="","",원본명단!$A317)</f>
        <v/>
      </c>
      <c r="C318" s="12" t="str">
        <f aca="false">IF($A318="","",원본명단!$B317)</f>
        <v/>
      </c>
      <c r="D318" s="12" t="str">
        <f aca="false">IF($A318="","",원본명단!$D317)</f>
        <v/>
      </c>
      <c r="E318" s="11" t="str">
        <f aca="false">IF($A318="","",IF(원본명단!$H317="",0,COUNTIF(원본명단!$H$3:$H$6002,원본명단!$H317)))</f>
        <v/>
      </c>
      <c r="F318" s="11" t="str">
        <f aca="false">IF($A318="","",IF(원본명단!$I317="",0,COUNTIF(원본명단!$I$3:$I$6002,원본명단!$I317)))</f>
        <v/>
      </c>
      <c r="G318" s="11" t="str">
        <f aca="false">IF($A318="","",IF(원본명단!$K317="",0,COUNTIF(원본명단!$K$3:$K$6002,원본명단!$K317)))</f>
        <v/>
      </c>
      <c r="H318" s="11" t="str">
        <f aca="false">IF($A318="","",IF(MAX($E318,$F318,$G318)&gt;1,"중복","-"))</f>
        <v/>
      </c>
      <c r="I318" s="11" t="str">
        <f aca="false">IF($A318="","",IF($H318="-","-",IF(AND(IF(원본명단!$H317="",TRUE(),COUNTIF(원본명단!$H$3:$H317,원본명단!$H317)=1),IF(원본명단!$I317="",TRUE(),COUNTIF(원본명단!$I$3:$I317,원본명단!$I317)=1),IF(원본명단!$K317="",TRUE(),COUNTIF(원본명단!$K$3:$K317,원본명단!$K317)=1)),"첫 건","중복 건")))</f>
        <v/>
      </c>
      <c r="J318" s="11" t="str">
        <f aca="false">IF($A318="","",IF($H318="-","유지",IF($I318="첫 건","유지","확인 필요")))</f>
        <v/>
      </c>
    </row>
    <row r="319" customFormat="false" ht="15" hidden="false" customHeight="true" outlineLevel="0" collapsed="false">
      <c r="A319" s="11" t="str">
        <f aca="false">IF(원본명단!$A318="","",316)</f>
        <v/>
      </c>
      <c r="B319" s="12" t="str">
        <f aca="false">IF($A319="","",원본명단!$A318)</f>
        <v/>
      </c>
      <c r="C319" s="12" t="str">
        <f aca="false">IF($A319="","",원본명단!$B318)</f>
        <v/>
      </c>
      <c r="D319" s="12" t="str">
        <f aca="false">IF($A319="","",원본명단!$D318)</f>
        <v/>
      </c>
      <c r="E319" s="11" t="str">
        <f aca="false">IF($A319="","",IF(원본명단!$H318="",0,COUNTIF(원본명단!$H$3:$H$6002,원본명단!$H318)))</f>
        <v/>
      </c>
      <c r="F319" s="11" t="str">
        <f aca="false">IF($A319="","",IF(원본명단!$I318="",0,COUNTIF(원본명단!$I$3:$I$6002,원본명단!$I318)))</f>
        <v/>
      </c>
      <c r="G319" s="11" t="str">
        <f aca="false">IF($A319="","",IF(원본명단!$K318="",0,COUNTIF(원본명단!$K$3:$K$6002,원본명단!$K318)))</f>
        <v/>
      </c>
      <c r="H319" s="11" t="str">
        <f aca="false">IF($A319="","",IF(MAX($E319,$F319,$G319)&gt;1,"중복","-"))</f>
        <v/>
      </c>
      <c r="I319" s="11" t="str">
        <f aca="false">IF($A319="","",IF($H319="-","-",IF(AND(IF(원본명단!$H318="",TRUE(),COUNTIF(원본명단!$H$3:$H318,원본명단!$H318)=1),IF(원본명단!$I318="",TRUE(),COUNTIF(원본명단!$I$3:$I318,원본명단!$I318)=1),IF(원본명단!$K318="",TRUE(),COUNTIF(원본명단!$K$3:$K318,원본명단!$K318)=1)),"첫 건","중복 건")))</f>
        <v/>
      </c>
      <c r="J319" s="11" t="str">
        <f aca="false">IF($A319="","",IF($H319="-","유지",IF($I319="첫 건","유지","확인 필요")))</f>
        <v/>
      </c>
    </row>
    <row r="320" customFormat="false" ht="15" hidden="false" customHeight="true" outlineLevel="0" collapsed="false">
      <c r="A320" s="11" t="str">
        <f aca="false">IF(원본명단!$A319="","",317)</f>
        <v/>
      </c>
      <c r="B320" s="12" t="str">
        <f aca="false">IF($A320="","",원본명단!$A319)</f>
        <v/>
      </c>
      <c r="C320" s="12" t="str">
        <f aca="false">IF($A320="","",원본명단!$B319)</f>
        <v/>
      </c>
      <c r="D320" s="12" t="str">
        <f aca="false">IF($A320="","",원본명단!$D319)</f>
        <v/>
      </c>
      <c r="E320" s="11" t="str">
        <f aca="false">IF($A320="","",IF(원본명단!$H319="",0,COUNTIF(원본명단!$H$3:$H$6002,원본명단!$H319)))</f>
        <v/>
      </c>
      <c r="F320" s="11" t="str">
        <f aca="false">IF($A320="","",IF(원본명단!$I319="",0,COUNTIF(원본명단!$I$3:$I$6002,원본명단!$I319)))</f>
        <v/>
      </c>
      <c r="G320" s="11" t="str">
        <f aca="false">IF($A320="","",IF(원본명단!$K319="",0,COUNTIF(원본명단!$K$3:$K$6002,원본명단!$K319)))</f>
        <v/>
      </c>
      <c r="H320" s="11" t="str">
        <f aca="false">IF($A320="","",IF(MAX($E320,$F320,$G320)&gt;1,"중복","-"))</f>
        <v/>
      </c>
      <c r="I320" s="11" t="str">
        <f aca="false">IF($A320="","",IF($H320="-","-",IF(AND(IF(원본명단!$H319="",TRUE(),COUNTIF(원본명단!$H$3:$H319,원본명단!$H319)=1),IF(원본명단!$I319="",TRUE(),COUNTIF(원본명단!$I$3:$I319,원본명단!$I319)=1),IF(원본명단!$K319="",TRUE(),COUNTIF(원본명단!$K$3:$K319,원본명단!$K319)=1)),"첫 건","중복 건")))</f>
        <v/>
      </c>
      <c r="J320" s="11" t="str">
        <f aca="false">IF($A320="","",IF($H320="-","유지",IF($I320="첫 건","유지","확인 필요")))</f>
        <v/>
      </c>
    </row>
    <row r="321" customFormat="false" ht="15" hidden="false" customHeight="true" outlineLevel="0" collapsed="false">
      <c r="A321" s="11" t="str">
        <f aca="false">IF(원본명단!$A320="","",318)</f>
        <v/>
      </c>
      <c r="B321" s="12" t="str">
        <f aca="false">IF($A321="","",원본명단!$A320)</f>
        <v/>
      </c>
      <c r="C321" s="12" t="str">
        <f aca="false">IF($A321="","",원본명단!$B320)</f>
        <v/>
      </c>
      <c r="D321" s="12" t="str">
        <f aca="false">IF($A321="","",원본명단!$D320)</f>
        <v/>
      </c>
      <c r="E321" s="11" t="str">
        <f aca="false">IF($A321="","",IF(원본명단!$H320="",0,COUNTIF(원본명단!$H$3:$H$6002,원본명단!$H320)))</f>
        <v/>
      </c>
      <c r="F321" s="11" t="str">
        <f aca="false">IF($A321="","",IF(원본명단!$I320="",0,COUNTIF(원본명단!$I$3:$I$6002,원본명단!$I320)))</f>
        <v/>
      </c>
      <c r="G321" s="11" t="str">
        <f aca="false">IF($A321="","",IF(원본명단!$K320="",0,COUNTIF(원본명단!$K$3:$K$6002,원본명단!$K320)))</f>
        <v/>
      </c>
      <c r="H321" s="11" t="str">
        <f aca="false">IF($A321="","",IF(MAX($E321,$F321,$G321)&gt;1,"중복","-"))</f>
        <v/>
      </c>
      <c r="I321" s="11" t="str">
        <f aca="false">IF($A321="","",IF($H321="-","-",IF(AND(IF(원본명단!$H320="",TRUE(),COUNTIF(원본명단!$H$3:$H320,원본명단!$H320)=1),IF(원본명단!$I320="",TRUE(),COUNTIF(원본명단!$I$3:$I320,원본명단!$I320)=1),IF(원본명단!$K320="",TRUE(),COUNTIF(원본명단!$K$3:$K320,원본명단!$K320)=1)),"첫 건","중복 건")))</f>
        <v/>
      </c>
      <c r="J321" s="11" t="str">
        <f aca="false">IF($A321="","",IF($H321="-","유지",IF($I321="첫 건","유지","확인 필요")))</f>
        <v/>
      </c>
    </row>
    <row r="322" customFormat="false" ht="15" hidden="false" customHeight="true" outlineLevel="0" collapsed="false">
      <c r="A322" s="11" t="str">
        <f aca="false">IF(원본명단!$A321="","",319)</f>
        <v/>
      </c>
      <c r="B322" s="12" t="str">
        <f aca="false">IF($A322="","",원본명단!$A321)</f>
        <v/>
      </c>
      <c r="C322" s="12" t="str">
        <f aca="false">IF($A322="","",원본명단!$B321)</f>
        <v/>
      </c>
      <c r="D322" s="12" t="str">
        <f aca="false">IF($A322="","",원본명단!$D321)</f>
        <v/>
      </c>
      <c r="E322" s="11" t="str">
        <f aca="false">IF($A322="","",IF(원본명단!$H321="",0,COUNTIF(원본명단!$H$3:$H$6002,원본명단!$H321)))</f>
        <v/>
      </c>
      <c r="F322" s="11" t="str">
        <f aca="false">IF($A322="","",IF(원본명단!$I321="",0,COUNTIF(원본명단!$I$3:$I$6002,원본명단!$I321)))</f>
        <v/>
      </c>
      <c r="G322" s="11" t="str">
        <f aca="false">IF($A322="","",IF(원본명단!$K321="",0,COUNTIF(원본명단!$K$3:$K$6002,원본명단!$K321)))</f>
        <v/>
      </c>
      <c r="H322" s="11" t="str">
        <f aca="false">IF($A322="","",IF(MAX($E322,$F322,$G322)&gt;1,"중복","-"))</f>
        <v/>
      </c>
      <c r="I322" s="11" t="str">
        <f aca="false">IF($A322="","",IF($H322="-","-",IF(AND(IF(원본명단!$H321="",TRUE(),COUNTIF(원본명단!$H$3:$H321,원본명단!$H321)=1),IF(원본명단!$I321="",TRUE(),COUNTIF(원본명단!$I$3:$I321,원본명단!$I321)=1),IF(원본명단!$K321="",TRUE(),COUNTIF(원본명단!$K$3:$K321,원본명단!$K321)=1)),"첫 건","중복 건")))</f>
        <v/>
      </c>
      <c r="J322" s="11" t="str">
        <f aca="false">IF($A322="","",IF($H322="-","유지",IF($I322="첫 건","유지","확인 필요")))</f>
        <v/>
      </c>
    </row>
    <row r="323" customFormat="false" ht="15" hidden="false" customHeight="true" outlineLevel="0" collapsed="false">
      <c r="A323" s="11" t="str">
        <f aca="false">IF(원본명단!$A322="","",320)</f>
        <v/>
      </c>
      <c r="B323" s="12" t="str">
        <f aca="false">IF($A323="","",원본명단!$A322)</f>
        <v/>
      </c>
      <c r="C323" s="12" t="str">
        <f aca="false">IF($A323="","",원본명단!$B322)</f>
        <v/>
      </c>
      <c r="D323" s="12" t="str">
        <f aca="false">IF($A323="","",원본명단!$D322)</f>
        <v/>
      </c>
      <c r="E323" s="11" t="str">
        <f aca="false">IF($A323="","",IF(원본명단!$H322="",0,COUNTIF(원본명단!$H$3:$H$6002,원본명단!$H322)))</f>
        <v/>
      </c>
      <c r="F323" s="11" t="str">
        <f aca="false">IF($A323="","",IF(원본명단!$I322="",0,COUNTIF(원본명단!$I$3:$I$6002,원본명단!$I322)))</f>
        <v/>
      </c>
      <c r="G323" s="11" t="str">
        <f aca="false">IF($A323="","",IF(원본명단!$K322="",0,COUNTIF(원본명단!$K$3:$K$6002,원본명단!$K322)))</f>
        <v/>
      </c>
      <c r="H323" s="11" t="str">
        <f aca="false">IF($A323="","",IF(MAX($E323,$F323,$G323)&gt;1,"중복","-"))</f>
        <v/>
      </c>
      <c r="I323" s="11" t="str">
        <f aca="false">IF($A323="","",IF($H323="-","-",IF(AND(IF(원본명단!$H322="",TRUE(),COUNTIF(원본명단!$H$3:$H322,원본명단!$H322)=1),IF(원본명단!$I322="",TRUE(),COUNTIF(원본명단!$I$3:$I322,원본명단!$I322)=1),IF(원본명단!$K322="",TRUE(),COUNTIF(원본명단!$K$3:$K322,원본명단!$K322)=1)),"첫 건","중복 건")))</f>
        <v/>
      </c>
      <c r="J323" s="11" t="str">
        <f aca="false">IF($A323="","",IF($H323="-","유지",IF($I323="첫 건","유지","확인 필요")))</f>
        <v/>
      </c>
    </row>
    <row r="324" customFormat="false" ht="15" hidden="false" customHeight="true" outlineLevel="0" collapsed="false">
      <c r="A324" s="11" t="str">
        <f aca="false">IF(원본명단!$A323="","",321)</f>
        <v/>
      </c>
      <c r="B324" s="12" t="str">
        <f aca="false">IF($A324="","",원본명단!$A323)</f>
        <v/>
      </c>
      <c r="C324" s="12" t="str">
        <f aca="false">IF($A324="","",원본명단!$B323)</f>
        <v/>
      </c>
      <c r="D324" s="12" t="str">
        <f aca="false">IF($A324="","",원본명단!$D323)</f>
        <v/>
      </c>
      <c r="E324" s="11" t="str">
        <f aca="false">IF($A324="","",IF(원본명단!$H323="",0,COUNTIF(원본명단!$H$3:$H$6002,원본명단!$H323)))</f>
        <v/>
      </c>
      <c r="F324" s="11" t="str">
        <f aca="false">IF($A324="","",IF(원본명단!$I323="",0,COUNTIF(원본명단!$I$3:$I$6002,원본명단!$I323)))</f>
        <v/>
      </c>
      <c r="G324" s="11" t="str">
        <f aca="false">IF($A324="","",IF(원본명단!$K323="",0,COUNTIF(원본명단!$K$3:$K$6002,원본명단!$K323)))</f>
        <v/>
      </c>
      <c r="H324" s="11" t="str">
        <f aca="false">IF($A324="","",IF(MAX($E324,$F324,$G324)&gt;1,"중복","-"))</f>
        <v/>
      </c>
      <c r="I324" s="11" t="str">
        <f aca="false">IF($A324="","",IF($H324="-","-",IF(AND(IF(원본명단!$H323="",TRUE(),COUNTIF(원본명단!$H$3:$H323,원본명단!$H323)=1),IF(원본명단!$I323="",TRUE(),COUNTIF(원본명단!$I$3:$I323,원본명단!$I323)=1),IF(원본명단!$K323="",TRUE(),COUNTIF(원본명단!$K$3:$K323,원본명단!$K323)=1)),"첫 건","중복 건")))</f>
        <v/>
      </c>
      <c r="J324" s="11" t="str">
        <f aca="false">IF($A324="","",IF($H324="-","유지",IF($I324="첫 건","유지","확인 필요")))</f>
        <v/>
      </c>
    </row>
    <row r="325" customFormat="false" ht="15" hidden="false" customHeight="true" outlineLevel="0" collapsed="false">
      <c r="A325" s="11" t="str">
        <f aca="false">IF(원본명단!$A324="","",322)</f>
        <v/>
      </c>
      <c r="B325" s="12" t="str">
        <f aca="false">IF($A325="","",원본명단!$A324)</f>
        <v/>
      </c>
      <c r="C325" s="12" t="str">
        <f aca="false">IF($A325="","",원본명단!$B324)</f>
        <v/>
      </c>
      <c r="D325" s="12" t="str">
        <f aca="false">IF($A325="","",원본명단!$D324)</f>
        <v/>
      </c>
      <c r="E325" s="11" t="str">
        <f aca="false">IF($A325="","",IF(원본명단!$H324="",0,COUNTIF(원본명단!$H$3:$H$6002,원본명단!$H324)))</f>
        <v/>
      </c>
      <c r="F325" s="11" t="str">
        <f aca="false">IF($A325="","",IF(원본명단!$I324="",0,COUNTIF(원본명단!$I$3:$I$6002,원본명단!$I324)))</f>
        <v/>
      </c>
      <c r="G325" s="11" t="str">
        <f aca="false">IF($A325="","",IF(원본명단!$K324="",0,COUNTIF(원본명단!$K$3:$K$6002,원본명단!$K324)))</f>
        <v/>
      </c>
      <c r="H325" s="11" t="str">
        <f aca="false">IF($A325="","",IF(MAX($E325,$F325,$G325)&gt;1,"중복","-"))</f>
        <v/>
      </c>
      <c r="I325" s="11" t="str">
        <f aca="false">IF($A325="","",IF($H325="-","-",IF(AND(IF(원본명단!$H324="",TRUE(),COUNTIF(원본명단!$H$3:$H324,원본명단!$H324)=1),IF(원본명단!$I324="",TRUE(),COUNTIF(원본명단!$I$3:$I324,원본명단!$I324)=1),IF(원본명단!$K324="",TRUE(),COUNTIF(원본명단!$K$3:$K324,원본명단!$K324)=1)),"첫 건","중복 건")))</f>
        <v/>
      </c>
      <c r="J325" s="11" t="str">
        <f aca="false">IF($A325="","",IF($H325="-","유지",IF($I325="첫 건","유지","확인 필요")))</f>
        <v/>
      </c>
    </row>
    <row r="326" customFormat="false" ht="15" hidden="false" customHeight="true" outlineLevel="0" collapsed="false">
      <c r="A326" s="11" t="str">
        <f aca="false">IF(원본명단!$A325="","",323)</f>
        <v/>
      </c>
      <c r="B326" s="12" t="str">
        <f aca="false">IF($A326="","",원본명단!$A325)</f>
        <v/>
      </c>
      <c r="C326" s="12" t="str">
        <f aca="false">IF($A326="","",원본명단!$B325)</f>
        <v/>
      </c>
      <c r="D326" s="12" t="str">
        <f aca="false">IF($A326="","",원본명단!$D325)</f>
        <v/>
      </c>
      <c r="E326" s="11" t="str">
        <f aca="false">IF($A326="","",IF(원본명단!$H325="",0,COUNTIF(원본명단!$H$3:$H$6002,원본명단!$H325)))</f>
        <v/>
      </c>
      <c r="F326" s="11" t="str">
        <f aca="false">IF($A326="","",IF(원본명단!$I325="",0,COUNTIF(원본명단!$I$3:$I$6002,원본명단!$I325)))</f>
        <v/>
      </c>
      <c r="G326" s="11" t="str">
        <f aca="false">IF($A326="","",IF(원본명단!$K325="",0,COUNTIF(원본명단!$K$3:$K$6002,원본명단!$K325)))</f>
        <v/>
      </c>
      <c r="H326" s="11" t="str">
        <f aca="false">IF($A326="","",IF(MAX($E326,$F326,$G326)&gt;1,"중복","-"))</f>
        <v/>
      </c>
      <c r="I326" s="11" t="str">
        <f aca="false">IF($A326="","",IF($H326="-","-",IF(AND(IF(원본명단!$H325="",TRUE(),COUNTIF(원본명단!$H$3:$H325,원본명단!$H325)=1),IF(원본명단!$I325="",TRUE(),COUNTIF(원본명단!$I$3:$I325,원본명단!$I325)=1),IF(원본명단!$K325="",TRUE(),COUNTIF(원본명단!$K$3:$K325,원본명단!$K325)=1)),"첫 건","중복 건")))</f>
        <v/>
      </c>
      <c r="J326" s="11" t="str">
        <f aca="false">IF($A326="","",IF($H326="-","유지",IF($I326="첫 건","유지","확인 필요")))</f>
        <v/>
      </c>
    </row>
    <row r="327" customFormat="false" ht="15" hidden="false" customHeight="true" outlineLevel="0" collapsed="false">
      <c r="A327" s="11" t="str">
        <f aca="false">IF(원본명단!$A326="","",324)</f>
        <v/>
      </c>
      <c r="B327" s="12" t="str">
        <f aca="false">IF($A327="","",원본명단!$A326)</f>
        <v/>
      </c>
      <c r="C327" s="12" t="str">
        <f aca="false">IF($A327="","",원본명단!$B326)</f>
        <v/>
      </c>
      <c r="D327" s="12" t="str">
        <f aca="false">IF($A327="","",원본명단!$D326)</f>
        <v/>
      </c>
      <c r="E327" s="11" t="str">
        <f aca="false">IF($A327="","",IF(원본명단!$H326="",0,COUNTIF(원본명단!$H$3:$H$6002,원본명단!$H326)))</f>
        <v/>
      </c>
      <c r="F327" s="11" t="str">
        <f aca="false">IF($A327="","",IF(원본명단!$I326="",0,COUNTIF(원본명단!$I$3:$I$6002,원본명단!$I326)))</f>
        <v/>
      </c>
      <c r="G327" s="11" t="str">
        <f aca="false">IF($A327="","",IF(원본명단!$K326="",0,COUNTIF(원본명단!$K$3:$K$6002,원본명단!$K326)))</f>
        <v/>
      </c>
      <c r="H327" s="11" t="str">
        <f aca="false">IF($A327="","",IF(MAX($E327,$F327,$G327)&gt;1,"중복","-"))</f>
        <v/>
      </c>
      <c r="I327" s="11" t="str">
        <f aca="false">IF($A327="","",IF($H327="-","-",IF(AND(IF(원본명단!$H326="",TRUE(),COUNTIF(원본명단!$H$3:$H326,원본명단!$H326)=1),IF(원본명단!$I326="",TRUE(),COUNTIF(원본명단!$I$3:$I326,원본명단!$I326)=1),IF(원본명단!$K326="",TRUE(),COUNTIF(원본명단!$K$3:$K326,원본명단!$K326)=1)),"첫 건","중복 건")))</f>
        <v/>
      </c>
      <c r="J327" s="11" t="str">
        <f aca="false">IF($A327="","",IF($H327="-","유지",IF($I327="첫 건","유지","확인 필요")))</f>
        <v/>
      </c>
    </row>
    <row r="328" customFormat="false" ht="15" hidden="false" customHeight="true" outlineLevel="0" collapsed="false">
      <c r="A328" s="11" t="str">
        <f aca="false">IF(원본명단!$A327="","",325)</f>
        <v/>
      </c>
      <c r="B328" s="12" t="str">
        <f aca="false">IF($A328="","",원본명단!$A327)</f>
        <v/>
      </c>
      <c r="C328" s="12" t="str">
        <f aca="false">IF($A328="","",원본명단!$B327)</f>
        <v/>
      </c>
      <c r="D328" s="12" t="str">
        <f aca="false">IF($A328="","",원본명단!$D327)</f>
        <v/>
      </c>
      <c r="E328" s="11" t="str">
        <f aca="false">IF($A328="","",IF(원본명단!$H327="",0,COUNTIF(원본명단!$H$3:$H$6002,원본명단!$H327)))</f>
        <v/>
      </c>
      <c r="F328" s="11" t="str">
        <f aca="false">IF($A328="","",IF(원본명단!$I327="",0,COUNTIF(원본명단!$I$3:$I$6002,원본명단!$I327)))</f>
        <v/>
      </c>
      <c r="G328" s="11" t="str">
        <f aca="false">IF($A328="","",IF(원본명단!$K327="",0,COUNTIF(원본명단!$K$3:$K$6002,원본명단!$K327)))</f>
        <v/>
      </c>
      <c r="H328" s="11" t="str">
        <f aca="false">IF($A328="","",IF(MAX($E328,$F328,$G328)&gt;1,"중복","-"))</f>
        <v/>
      </c>
      <c r="I328" s="11" t="str">
        <f aca="false">IF($A328="","",IF($H328="-","-",IF(AND(IF(원본명단!$H327="",TRUE(),COUNTIF(원본명단!$H$3:$H327,원본명단!$H327)=1),IF(원본명단!$I327="",TRUE(),COUNTIF(원본명단!$I$3:$I327,원본명단!$I327)=1),IF(원본명단!$K327="",TRUE(),COUNTIF(원본명단!$K$3:$K327,원본명단!$K327)=1)),"첫 건","중복 건")))</f>
        <v/>
      </c>
      <c r="J328" s="11" t="str">
        <f aca="false">IF($A328="","",IF($H328="-","유지",IF($I328="첫 건","유지","확인 필요")))</f>
        <v/>
      </c>
    </row>
    <row r="329" customFormat="false" ht="15" hidden="false" customHeight="true" outlineLevel="0" collapsed="false">
      <c r="A329" s="11" t="str">
        <f aca="false">IF(원본명단!$A328="","",326)</f>
        <v/>
      </c>
      <c r="B329" s="12" t="str">
        <f aca="false">IF($A329="","",원본명단!$A328)</f>
        <v/>
      </c>
      <c r="C329" s="12" t="str">
        <f aca="false">IF($A329="","",원본명단!$B328)</f>
        <v/>
      </c>
      <c r="D329" s="12" t="str">
        <f aca="false">IF($A329="","",원본명단!$D328)</f>
        <v/>
      </c>
      <c r="E329" s="11" t="str">
        <f aca="false">IF($A329="","",IF(원본명단!$H328="",0,COUNTIF(원본명단!$H$3:$H$6002,원본명단!$H328)))</f>
        <v/>
      </c>
      <c r="F329" s="11" t="str">
        <f aca="false">IF($A329="","",IF(원본명단!$I328="",0,COUNTIF(원본명단!$I$3:$I$6002,원본명단!$I328)))</f>
        <v/>
      </c>
      <c r="G329" s="11" t="str">
        <f aca="false">IF($A329="","",IF(원본명단!$K328="",0,COUNTIF(원본명단!$K$3:$K$6002,원본명단!$K328)))</f>
        <v/>
      </c>
      <c r="H329" s="11" t="str">
        <f aca="false">IF($A329="","",IF(MAX($E329,$F329,$G329)&gt;1,"중복","-"))</f>
        <v/>
      </c>
      <c r="I329" s="11" t="str">
        <f aca="false">IF($A329="","",IF($H329="-","-",IF(AND(IF(원본명단!$H328="",TRUE(),COUNTIF(원본명단!$H$3:$H328,원본명단!$H328)=1),IF(원본명단!$I328="",TRUE(),COUNTIF(원본명단!$I$3:$I328,원본명단!$I328)=1),IF(원본명단!$K328="",TRUE(),COUNTIF(원본명단!$K$3:$K328,원본명단!$K328)=1)),"첫 건","중복 건")))</f>
        <v/>
      </c>
      <c r="J329" s="11" t="str">
        <f aca="false">IF($A329="","",IF($H329="-","유지",IF($I329="첫 건","유지","확인 필요")))</f>
        <v/>
      </c>
    </row>
    <row r="330" customFormat="false" ht="15" hidden="false" customHeight="true" outlineLevel="0" collapsed="false">
      <c r="A330" s="11" t="str">
        <f aca="false">IF(원본명단!$A329="","",327)</f>
        <v/>
      </c>
      <c r="B330" s="12" t="str">
        <f aca="false">IF($A330="","",원본명단!$A329)</f>
        <v/>
      </c>
      <c r="C330" s="12" t="str">
        <f aca="false">IF($A330="","",원본명단!$B329)</f>
        <v/>
      </c>
      <c r="D330" s="12" t="str">
        <f aca="false">IF($A330="","",원본명단!$D329)</f>
        <v/>
      </c>
      <c r="E330" s="11" t="str">
        <f aca="false">IF($A330="","",IF(원본명단!$H329="",0,COUNTIF(원본명단!$H$3:$H$6002,원본명단!$H329)))</f>
        <v/>
      </c>
      <c r="F330" s="11" t="str">
        <f aca="false">IF($A330="","",IF(원본명단!$I329="",0,COUNTIF(원본명단!$I$3:$I$6002,원본명단!$I329)))</f>
        <v/>
      </c>
      <c r="G330" s="11" t="str">
        <f aca="false">IF($A330="","",IF(원본명단!$K329="",0,COUNTIF(원본명단!$K$3:$K$6002,원본명단!$K329)))</f>
        <v/>
      </c>
      <c r="H330" s="11" t="str">
        <f aca="false">IF($A330="","",IF(MAX($E330,$F330,$G330)&gt;1,"중복","-"))</f>
        <v/>
      </c>
      <c r="I330" s="11" t="str">
        <f aca="false">IF($A330="","",IF($H330="-","-",IF(AND(IF(원본명단!$H329="",TRUE(),COUNTIF(원본명단!$H$3:$H329,원본명단!$H329)=1),IF(원본명단!$I329="",TRUE(),COUNTIF(원본명단!$I$3:$I329,원본명단!$I329)=1),IF(원본명단!$K329="",TRUE(),COUNTIF(원본명단!$K$3:$K329,원본명단!$K329)=1)),"첫 건","중복 건")))</f>
        <v/>
      </c>
      <c r="J330" s="11" t="str">
        <f aca="false">IF($A330="","",IF($H330="-","유지",IF($I330="첫 건","유지","확인 필요")))</f>
        <v/>
      </c>
    </row>
    <row r="331" customFormat="false" ht="15" hidden="false" customHeight="true" outlineLevel="0" collapsed="false">
      <c r="A331" s="11" t="str">
        <f aca="false">IF(원본명단!$A330="","",328)</f>
        <v/>
      </c>
      <c r="B331" s="12" t="str">
        <f aca="false">IF($A331="","",원본명단!$A330)</f>
        <v/>
      </c>
      <c r="C331" s="12" t="str">
        <f aca="false">IF($A331="","",원본명단!$B330)</f>
        <v/>
      </c>
      <c r="D331" s="12" t="str">
        <f aca="false">IF($A331="","",원본명단!$D330)</f>
        <v/>
      </c>
      <c r="E331" s="11" t="str">
        <f aca="false">IF($A331="","",IF(원본명단!$H330="",0,COUNTIF(원본명단!$H$3:$H$6002,원본명단!$H330)))</f>
        <v/>
      </c>
      <c r="F331" s="11" t="str">
        <f aca="false">IF($A331="","",IF(원본명단!$I330="",0,COUNTIF(원본명단!$I$3:$I$6002,원본명단!$I330)))</f>
        <v/>
      </c>
      <c r="G331" s="11" t="str">
        <f aca="false">IF($A331="","",IF(원본명단!$K330="",0,COUNTIF(원본명단!$K$3:$K$6002,원본명단!$K330)))</f>
        <v/>
      </c>
      <c r="H331" s="11" t="str">
        <f aca="false">IF($A331="","",IF(MAX($E331,$F331,$G331)&gt;1,"중복","-"))</f>
        <v/>
      </c>
      <c r="I331" s="11" t="str">
        <f aca="false">IF($A331="","",IF($H331="-","-",IF(AND(IF(원본명단!$H330="",TRUE(),COUNTIF(원본명단!$H$3:$H330,원본명단!$H330)=1),IF(원본명단!$I330="",TRUE(),COUNTIF(원본명단!$I$3:$I330,원본명단!$I330)=1),IF(원본명단!$K330="",TRUE(),COUNTIF(원본명단!$K$3:$K330,원본명단!$K330)=1)),"첫 건","중복 건")))</f>
        <v/>
      </c>
      <c r="J331" s="11" t="str">
        <f aca="false">IF($A331="","",IF($H331="-","유지",IF($I331="첫 건","유지","확인 필요")))</f>
        <v/>
      </c>
    </row>
    <row r="332" customFormat="false" ht="15" hidden="false" customHeight="true" outlineLevel="0" collapsed="false">
      <c r="A332" s="11" t="str">
        <f aca="false">IF(원본명단!$A331="","",329)</f>
        <v/>
      </c>
      <c r="B332" s="12" t="str">
        <f aca="false">IF($A332="","",원본명단!$A331)</f>
        <v/>
      </c>
      <c r="C332" s="12" t="str">
        <f aca="false">IF($A332="","",원본명단!$B331)</f>
        <v/>
      </c>
      <c r="D332" s="12" t="str">
        <f aca="false">IF($A332="","",원본명단!$D331)</f>
        <v/>
      </c>
      <c r="E332" s="11" t="str">
        <f aca="false">IF($A332="","",IF(원본명단!$H331="",0,COUNTIF(원본명단!$H$3:$H$6002,원본명단!$H331)))</f>
        <v/>
      </c>
      <c r="F332" s="11" t="str">
        <f aca="false">IF($A332="","",IF(원본명단!$I331="",0,COUNTIF(원본명단!$I$3:$I$6002,원본명단!$I331)))</f>
        <v/>
      </c>
      <c r="G332" s="11" t="str">
        <f aca="false">IF($A332="","",IF(원본명단!$K331="",0,COUNTIF(원본명단!$K$3:$K$6002,원본명단!$K331)))</f>
        <v/>
      </c>
      <c r="H332" s="11" t="str">
        <f aca="false">IF($A332="","",IF(MAX($E332,$F332,$G332)&gt;1,"중복","-"))</f>
        <v/>
      </c>
      <c r="I332" s="11" t="str">
        <f aca="false">IF($A332="","",IF($H332="-","-",IF(AND(IF(원본명단!$H331="",TRUE(),COUNTIF(원본명단!$H$3:$H331,원본명단!$H331)=1),IF(원본명단!$I331="",TRUE(),COUNTIF(원본명단!$I$3:$I331,원본명단!$I331)=1),IF(원본명단!$K331="",TRUE(),COUNTIF(원본명단!$K$3:$K331,원본명단!$K331)=1)),"첫 건","중복 건")))</f>
        <v/>
      </c>
      <c r="J332" s="11" t="str">
        <f aca="false">IF($A332="","",IF($H332="-","유지",IF($I332="첫 건","유지","확인 필요")))</f>
        <v/>
      </c>
    </row>
    <row r="333" customFormat="false" ht="15" hidden="false" customHeight="true" outlineLevel="0" collapsed="false">
      <c r="A333" s="11" t="str">
        <f aca="false">IF(원본명단!$A332="","",330)</f>
        <v/>
      </c>
      <c r="B333" s="12" t="str">
        <f aca="false">IF($A333="","",원본명단!$A332)</f>
        <v/>
      </c>
      <c r="C333" s="12" t="str">
        <f aca="false">IF($A333="","",원본명단!$B332)</f>
        <v/>
      </c>
      <c r="D333" s="12" t="str">
        <f aca="false">IF($A333="","",원본명단!$D332)</f>
        <v/>
      </c>
      <c r="E333" s="11" t="str">
        <f aca="false">IF($A333="","",IF(원본명단!$H332="",0,COUNTIF(원본명단!$H$3:$H$6002,원본명단!$H332)))</f>
        <v/>
      </c>
      <c r="F333" s="11" t="str">
        <f aca="false">IF($A333="","",IF(원본명단!$I332="",0,COUNTIF(원본명단!$I$3:$I$6002,원본명단!$I332)))</f>
        <v/>
      </c>
      <c r="G333" s="11" t="str">
        <f aca="false">IF($A333="","",IF(원본명단!$K332="",0,COUNTIF(원본명단!$K$3:$K$6002,원본명단!$K332)))</f>
        <v/>
      </c>
      <c r="H333" s="11" t="str">
        <f aca="false">IF($A333="","",IF(MAX($E333,$F333,$G333)&gt;1,"중복","-"))</f>
        <v/>
      </c>
      <c r="I333" s="11" t="str">
        <f aca="false">IF($A333="","",IF($H333="-","-",IF(AND(IF(원본명단!$H332="",TRUE(),COUNTIF(원본명단!$H$3:$H332,원본명단!$H332)=1),IF(원본명단!$I332="",TRUE(),COUNTIF(원본명단!$I$3:$I332,원본명단!$I332)=1),IF(원본명단!$K332="",TRUE(),COUNTIF(원본명단!$K$3:$K332,원본명단!$K332)=1)),"첫 건","중복 건")))</f>
        <v/>
      </c>
      <c r="J333" s="11" t="str">
        <f aca="false">IF($A333="","",IF($H333="-","유지",IF($I333="첫 건","유지","확인 필요")))</f>
        <v/>
      </c>
    </row>
    <row r="334" customFormat="false" ht="15" hidden="false" customHeight="true" outlineLevel="0" collapsed="false">
      <c r="A334" s="11" t="str">
        <f aca="false">IF(원본명단!$A333="","",331)</f>
        <v/>
      </c>
      <c r="B334" s="12" t="str">
        <f aca="false">IF($A334="","",원본명단!$A333)</f>
        <v/>
      </c>
      <c r="C334" s="12" t="str">
        <f aca="false">IF($A334="","",원본명단!$B333)</f>
        <v/>
      </c>
      <c r="D334" s="12" t="str">
        <f aca="false">IF($A334="","",원본명단!$D333)</f>
        <v/>
      </c>
      <c r="E334" s="11" t="str">
        <f aca="false">IF($A334="","",IF(원본명단!$H333="",0,COUNTIF(원본명단!$H$3:$H$6002,원본명단!$H333)))</f>
        <v/>
      </c>
      <c r="F334" s="11" t="str">
        <f aca="false">IF($A334="","",IF(원본명단!$I333="",0,COUNTIF(원본명단!$I$3:$I$6002,원본명단!$I333)))</f>
        <v/>
      </c>
      <c r="G334" s="11" t="str">
        <f aca="false">IF($A334="","",IF(원본명단!$K333="",0,COUNTIF(원본명단!$K$3:$K$6002,원본명단!$K333)))</f>
        <v/>
      </c>
      <c r="H334" s="11" t="str">
        <f aca="false">IF($A334="","",IF(MAX($E334,$F334,$G334)&gt;1,"중복","-"))</f>
        <v/>
      </c>
      <c r="I334" s="11" t="str">
        <f aca="false">IF($A334="","",IF($H334="-","-",IF(AND(IF(원본명단!$H333="",TRUE(),COUNTIF(원본명단!$H$3:$H333,원본명단!$H333)=1),IF(원본명단!$I333="",TRUE(),COUNTIF(원본명단!$I$3:$I333,원본명단!$I333)=1),IF(원본명단!$K333="",TRUE(),COUNTIF(원본명단!$K$3:$K333,원본명단!$K333)=1)),"첫 건","중복 건")))</f>
        <v/>
      </c>
      <c r="J334" s="11" t="str">
        <f aca="false">IF($A334="","",IF($H334="-","유지",IF($I334="첫 건","유지","확인 필요")))</f>
        <v/>
      </c>
    </row>
    <row r="335" customFormat="false" ht="15" hidden="false" customHeight="true" outlineLevel="0" collapsed="false">
      <c r="A335" s="11" t="str">
        <f aca="false">IF(원본명단!$A334="","",332)</f>
        <v/>
      </c>
      <c r="B335" s="12" t="str">
        <f aca="false">IF($A335="","",원본명단!$A334)</f>
        <v/>
      </c>
      <c r="C335" s="12" t="str">
        <f aca="false">IF($A335="","",원본명단!$B334)</f>
        <v/>
      </c>
      <c r="D335" s="12" t="str">
        <f aca="false">IF($A335="","",원본명단!$D334)</f>
        <v/>
      </c>
      <c r="E335" s="11" t="str">
        <f aca="false">IF($A335="","",IF(원본명단!$H334="",0,COUNTIF(원본명단!$H$3:$H$6002,원본명단!$H334)))</f>
        <v/>
      </c>
      <c r="F335" s="11" t="str">
        <f aca="false">IF($A335="","",IF(원본명단!$I334="",0,COUNTIF(원본명단!$I$3:$I$6002,원본명단!$I334)))</f>
        <v/>
      </c>
      <c r="G335" s="11" t="str">
        <f aca="false">IF($A335="","",IF(원본명단!$K334="",0,COUNTIF(원본명단!$K$3:$K$6002,원본명단!$K334)))</f>
        <v/>
      </c>
      <c r="H335" s="11" t="str">
        <f aca="false">IF($A335="","",IF(MAX($E335,$F335,$G335)&gt;1,"중복","-"))</f>
        <v/>
      </c>
      <c r="I335" s="11" t="str">
        <f aca="false">IF($A335="","",IF($H335="-","-",IF(AND(IF(원본명단!$H334="",TRUE(),COUNTIF(원본명단!$H$3:$H334,원본명단!$H334)=1),IF(원본명단!$I334="",TRUE(),COUNTIF(원본명단!$I$3:$I334,원본명단!$I334)=1),IF(원본명단!$K334="",TRUE(),COUNTIF(원본명단!$K$3:$K334,원본명단!$K334)=1)),"첫 건","중복 건")))</f>
        <v/>
      </c>
      <c r="J335" s="11" t="str">
        <f aca="false">IF($A335="","",IF($H335="-","유지",IF($I335="첫 건","유지","확인 필요")))</f>
        <v/>
      </c>
    </row>
    <row r="336" customFormat="false" ht="15" hidden="false" customHeight="true" outlineLevel="0" collapsed="false">
      <c r="A336" s="11" t="str">
        <f aca="false">IF(원본명단!$A335="","",333)</f>
        <v/>
      </c>
      <c r="B336" s="12" t="str">
        <f aca="false">IF($A336="","",원본명단!$A335)</f>
        <v/>
      </c>
      <c r="C336" s="12" t="str">
        <f aca="false">IF($A336="","",원본명단!$B335)</f>
        <v/>
      </c>
      <c r="D336" s="12" t="str">
        <f aca="false">IF($A336="","",원본명단!$D335)</f>
        <v/>
      </c>
      <c r="E336" s="11" t="str">
        <f aca="false">IF($A336="","",IF(원본명단!$H335="",0,COUNTIF(원본명단!$H$3:$H$6002,원본명단!$H335)))</f>
        <v/>
      </c>
      <c r="F336" s="11" t="str">
        <f aca="false">IF($A336="","",IF(원본명단!$I335="",0,COUNTIF(원본명단!$I$3:$I$6002,원본명단!$I335)))</f>
        <v/>
      </c>
      <c r="G336" s="11" t="str">
        <f aca="false">IF($A336="","",IF(원본명단!$K335="",0,COUNTIF(원본명단!$K$3:$K$6002,원본명단!$K335)))</f>
        <v/>
      </c>
      <c r="H336" s="11" t="str">
        <f aca="false">IF($A336="","",IF(MAX($E336,$F336,$G336)&gt;1,"중복","-"))</f>
        <v/>
      </c>
      <c r="I336" s="11" t="str">
        <f aca="false">IF($A336="","",IF($H336="-","-",IF(AND(IF(원본명단!$H335="",TRUE(),COUNTIF(원본명단!$H$3:$H335,원본명단!$H335)=1),IF(원본명단!$I335="",TRUE(),COUNTIF(원본명단!$I$3:$I335,원본명단!$I335)=1),IF(원본명단!$K335="",TRUE(),COUNTIF(원본명단!$K$3:$K335,원본명단!$K335)=1)),"첫 건","중복 건")))</f>
        <v/>
      </c>
      <c r="J336" s="11" t="str">
        <f aca="false">IF($A336="","",IF($H336="-","유지",IF($I336="첫 건","유지","확인 필요")))</f>
        <v/>
      </c>
    </row>
    <row r="337" customFormat="false" ht="15" hidden="false" customHeight="true" outlineLevel="0" collapsed="false">
      <c r="A337" s="11" t="str">
        <f aca="false">IF(원본명단!$A336="","",334)</f>
        <v/>
      </c>
      <c r="B337" s="12" t="str">
        <f aca="false">IF($A337="","",원본명단!$A336)</f>
        <v/>
      </c>
      <c r="C337" s="12" t="str">
        <f aca="false">IF($A337="","",원본명단!$B336)</f>
        <v/>
      </c>
      <c r="D337" s="12" t="str">
        <f aca="false">IF($A337="","",원본명단!$D336)</f>
        <v/>
      </c>
      <c r="E337" s="11" t="str">
        <f aca="false">IF($A337="","",IF(원본명단!$H336="",0,COUNTIF(원본명단!$H$3:$H$6002,원본명단!$H336)))</f>
        <v/>
      </c>
      <c r="F337" s="11" t="str">
        <f aca="false">IF($A337="","",IF(원본명단!$I336="",0,COUNTIF(원본명단!$I$3:$I$6002,원본명단!$I336)))</f>
        <v/>
      </c>
      <c r="G337" s="11" t="str">
        <f aca="false">IF($A337="","",IF(원본명단!$K336="",0,COUNTIF(원본명단!$K$3:$K$6002,원본명단!$K336)))</f>
        <v/>
      </c>
      <c r="H337" s="11" t="str">
        <f aca="false">IF($A337="","",IF(MAX($E337,$F337,$G337)&gt;1,"중복","-"))</f>
        <v/>
      </c>
      <c r="I337" s="11" t="str">
        <f aca="false">IF($A337="","",IF($H337="-","-",IF(AND(IF(원본명단!$H336="",TRUE(),COUNTIF(원본명단!$H$3:$H336,원본명단!$H336)=1),IF(원본명단!$I336="",TRUE(),COUNTIF(원본명단!$I$3:$I336,원본명단!$I336)=1),IF(원본명단!$K336="",TRUE(),COUNTIF(원본명단!$K$3:$K336,원본명단!$K336)=1)),"첫 건","중복 건")))</f>
        <v/>
      </c>
      <c r="J337" s="11" t="str">
        <f aca="false">IF($A337="","",IF($H337="-","유지",IF($I337="첫 건","유지","확인 필요")))</f>
        <v/>
      </c>
    </row>
    <row r="338" customFormat="false" ht="15" hidden="false" customHeight="true" outlineLevel="0" collapsed="false">
      <c r="A338" s="11" t="str">
        <f aca="false">IF(원본명단!$A337="","",335)</f>
        <v/>
      </c>
      <c r="B338" s="12" t="str">
        <f aca="false">IF($A338="","",원본명단!$A337)</f>
        <v/>
      </c>
      <c r="C338" s="12" t="str">
        <f aca="false">IF($A338="","",원본명단!$B337)</f>
        <v/>
      </c>
      <c r="D338" s="12" t="str">
        <f aca="false">IF($A338="","",원본명단!$D337)</f>
        <v/>
      </c>
      <c r="E338" s="11" t="str">
        <f aca="false">IF($A338="","",IF(원본명단!$H337="",0,COUNTIF(원본명단!$H$3:$H$6002,원본명단!$H337)))</f>
        <v/>
      </c>
      <c r="F338" s="11" t="str">
        <f aca="false">IF($A338="","",IF(원본명단!$I337="",0,COUNTIF(원본명단!$I$3:$I$6002,원본명단!$I337)))</f>
        <v/>
      </c>
      <c r="G338" s="11" t="str">
        <f aca="false">IF($A338="","",IF(원본명단!$K337="",0,COUNTIF(원본명단!$K$3:$K$6002,원본명단!$K337)))</f>
        <v/>
      </c>
      <c r="H338" s="11" t="str">
        <f aca="false">IF($A338="","",IF(MAX($E338,$F338,$G338)&gt;1,"중복","-"))</f>
        <v/>
      </c>
      <c r="I338" s="11" t="str">
        <f aca="false">IF($A338="","",IF($H338="-","-",IF(AND(IF(원본명단!$H337="",TRUE(),COUNTIF(원본명단!$H$3:$H337,원본명단!$H337)=1),IF(원본명단!$I337="",TRUE(),COUNTIF(원본명단!$I$3:$I337,원본명단!$I337)=1),IF(원본명단!$K337="",TRUE(),COUNTIF(원본명단!$K$3:$K337,원본명단!$K337)=1)),"첫 건","중복 건")))</f>
        <v/>
      </c>
      <c r="J338" s="11" t="str">
        <f aca="false">IF($A338="","",IF($H338="-","유지",IF($I338="첫 건","유지","확인 필요")))</f>
        <v/>
      </c>
    </row>
    <row r="339" customFormat="false" ht="15" hidden="false" customHeight="true" outlineLevel="0" collapsed="false">
      <c r="A339" s="11" t="str">
        <f aca="false">IF(원본명단!$A338="","",336)</f>
        <v/>
      </c>
      <c r="B339" s="12" t="str">
        <f aca="false">IF($A339="","",원본명단!$A338)</f>
        <v/>
      </c>
      <c r="C339" s="12" t="str">
        <f aca="false">IF($A339="","",원본명단!$B338)</f>
        <v/>
      </c>
      <c r="D339" s="12" t="str">
        <f aca="false">IF($A339="","",원본명단!$D338)</f>
        <v/>
      </c>
      <c r="E339" s="11" t="str">
        <f aca="false">IF($A339="","",IF(원본명단!$H338="",0,COUNTIF(원본명단!$H$3:$H$6002,원본명단!$H338)))</f>
        <v/>
      </c>
      <c r="F339" s="11" t="str">
        <f aca="false">IF($A339="","",IF(원본명단!$I338="",0,COUNTIF(원본명단!$I$3:$I$6002,원본명단!$I338)))</f>
        <v/>
      </c>
      <c r="G339" s="11" t="str">
        <f aca="false">IF($A339="","",IF(원본명단!$K338="",0,COUNTIF(원본명단!$K$3:$K$6002,원본명단!$K338)))</f>
        <v/>
      </c>
      <c r="H339" s="11" t="str">
        <f aca="false">IF($A339="","",IF(MAX($E339,$F339,$G339)&gt;1,"중복","-"))</f>
        <v/>
      </c>
      <c r="I339" s="11" t="str">
        <f aca="false">IF($A339="","",IF($H339="-","-",IF(AND(IF(원본명단!$H338="",TRUE(),COUNTIF(원본명단!$H$3:$H338,원본명단!$H338)=1),IF(원본명단!$I338="",TRUE(),COUNTIF(원본명단!$I$3:$I338,원본명단!$I338)=1),IF(원본명단!$K338="",TRUE(),COUNTIF(원본명단!$K$3:$K338,원본명단!$K338)=1)),"첫 건","중복 건")))</f>
        <v/>
      </c>
      <c r="J339" s="11" t="str">
        <f aca="false">IF($A339="","",IF($H339="-","유지",IF($I339="첫 건","유지","확인 필요")))</f>
        <v/>
      </c>
    </row>
    <row r="340" customFormat="false" ht="15" hidden="false" customHeight="true" outlineLevel="0" collapsed="false">
      <c r="A340" s="11" t="str">
        <f aca="false">IF(원본명단!$A339="","",337)</f>
        <v/>
      </c>
      <c r="B340" s="12" t="str">
        <f aca="false">IF($A340="","",원본명단!$A339)</f>
        <v/>
      </c>
      <c r="C340" s="12" t="str">
        <f aca="false">IF($A340="","",원본명단!$B339)</f>
        <v/>
      </c>
      <c r="D340" s="12" t="str">
        <f aca="false">IF($A340="","",원본명단!$D339)</f>
        <v/>
      </c>
      <c r="E340" s="11" t="str">
        <f aca="false">IF($A340="","",IF(원본명단!$H339="",0,COUNTIF(원본명단!$H$3:$H$6002,원본명단!$H339)))</f>
        <v/>
      </c>
      <c r="F340" s="11" t="str">
        <f aca="false">IF($A340="","",IF(원본명단!$I339="",0,COUNTIF(원본명단!$I$3:$I$6002,원본명단!$I339)))</f>
        <v/>
      </c>
      <c r="G340" s="11" t="str">
        <f aca="false">IF($A340="","",IF(원본명단!$K339="",0,COUNTIF(원본명단!$K$3:$K$6002,원본명단!$K339)))</f>
        <v/>
      </c>
      <c r="H340" s="11" t="str">
        <f aca="false">IF($A340="","",IF(MAX($E340,$F340,$G340)&gt;1,"중복","-"))</f>
        <v/>
      </c>
      <c r="I340" s="11" t="str">
        <f aca="false">IF($A340="","",IF($H340="-","-",IF(AND(IF(원본명단!$H339="",TRUE(),COUNTIF(원본명단!$H$3:$H339,원본명단!$H339)=1),IF(원본명단!$I339="",TRUE(),COUNTIF(원본명단!$I$3:$I339,원본명단!$I339)=1),IF(원본명단!$K339="",TRUE(),COUNTIF(원본명단!$K$3:$K339,원본명단!$K339)=1)),"첫 건","중복 건")))</f>
        <v/>
      </c>
      <c r="J340" s="11" t="str">
        <f aca="false">IF($A340="","",IF($H340="-","유지",IF($I340="첫 건","유지","확인 필요")))</f>
        <v/>
      </c>
    </row>
    <row r="341" customFormat="false" ht="15" hidden="false" customHeight="true" outlineLevel="0" collapsed="false">
      <c r="A341" s="11" t="str">
        <f aca="false">IF(원본명단!$A340="","",338)</f>
        <v/>
      </c>
      <c r="B341" s="12" t="str">
        <f aca="false">IF($A341="","",원본명단!$A340)</f>
        <v/>
      </c>
      <c r="C341" s="12" t="str">
        <f aca="false">IF($A341="","",원본명단!$B340)</f>
        <v/>
      </c>
      <c r="D341" s="12" t="str">
        <f aca="false">IF($A341="","",원본명단!$D340)</f>
        <v/>
      </c>
      <c r="E341" s="11" t="str">
        <f aca="false">IF($A341="","",IF(원본명단!$H340="",0,COUNTIF(원본명단!$H$3:$H$6002,원본명단!$H340)))</f>
        <v/>
      </c>
      <c r="F341" s="11" t="str">
        <f aca="false">IF($A341="","",IF(원본명단!$I340="",0,COUNTIF(원본명단!$I$3:$I$6002,원본명단!$I340)))</f>
        <v/>
      </c>
      <c r="G341" s="11" t="str">
        <f aca="false">IF($A341="","",IF(원본명단!$K340="",0,COUNTIF(원본명단!$K$3:$K$6002,원본명단!$K340)))</f>
        <v/>
      </c>
      <c r="H341" s="11" t="str">
        <f aca="false">IF($A341="","",IF(MAX($E341,$F341,$G341)&gt;1,"중복","-"))</f>
        <v/>
      </c>
      <c r="I341" s="11" t="str">
        <f aca="false">IF($A341="","",IF($H341="-","-",IF(AND(IF(원본명단!$H340="",TRUE(),COUNTIF(원본명단!$H$3:$H340,원본명단!$H340)=1),IF(원본명단!$I340="",TRUE(),COUNTIF(원본명단!$I$3:$I340,원본명단!$I340)=1),IF(원본명단!$K340="",TRUE(),COUNTIF(원본명단!$K$3:$K340,원본명단!$K340)=1)),"첫 건","중복 건")))</f>
        <v/>
      </c>
      <c r="J341" s="11" t="str">
        <f aca="false">IF($A341="","",IF($H341="-","유지",IF($I341="첫 건","유지","확인 필요")))</f>
        <v/>
      </c>
    </row>
    <row r="342" customFormat="false" ht="15" hidden="false" customHeight="true" outlineLevel="0" collapsed="false">
      <c r="A342" s="11" t="str">
        <f aca="false">IF(원본명단!$A341="","",339)</f>
        <v/>
      </c>
      <c r="B342" s="12" t="str">
        <f aca="false">IF($A342="","",원본명단!$A341)</f>
        <v/>
      </c>
      <c r="C342" s="12" t="str">
        <f aca="false">IF($A342="","",원본명단!$B341)</f>
        <v/>
      </c>
      <c r="D342" s="12" t="str">
        <f aca="false">IF($A342="","",원본명단!$D341)</f>
        <v/>
      </c>
      <c r="E342" s="11" t="str">
        <f aca="false">IF($A342="","",IF(원본명단!$H341="",0,COUNTIF(원본명단!$H$3:$H$6002,원본명단!$H341)))</f>
        <v/>
      </c>
      <c r="F342" s="11" t="str">
        <f aca="false">IF($A342="","",IF(원본명단!$I341="",0,COUNTIF(원본명단!$I$3:$I$6002,원본명단!$I341)))</f>
        <v/>
      </c>
      <c r="G342" s="11" t="str">
        <f aca="false">IF($A342="","",IF(원본명단!$K341="",0,COUNTIF(원본명단!$K$3:$K$6002,원본명단!$K341)))</f>
        <v/>
      </c>
      <c r="H342" s="11" t="str">
        <f aca="false">IF($A342="","",IF(MAX($E342,$F342,$G342)&gt;1,"중복","-"))</f>
        <v/>
      </c>
      <c r="I342" s="11" t="str">
        <f aca="false">IF($A342="","",IF($H342="-","-",IF(AND(IF(원본명단!$H341="",TRUE(),COUNTIF(원본명단!$H$3:$H341,원본명단!$H341)=1),IF(원본명단!$I341="",TRUE(),COUNTIF(원본명단!$I$3:$I341,원본명단!$I341)=1),IF(원본명단!$K341="",TRUE(),COUNTIF(원본명단!$K$3:$K341,원본명단!$K341)=1)),"첫 건","중복 건")))</f>
        <v/>
      </c>
      <c r="J342" s="11" t="str">
        <f aca="false">IF($A342="","",IF($H342="-","유지",IF($I342="첫 건","유지","확인 필요")))</f>
        <v/>
      </c>
    </row>
    <row r="343" customFormat="false" ht="15" hidden="false" customHeight="true" outlineLevel="0" collapsed="false">
      <c r="A343" s="11" t="str">
        <f aca="false">IF(원본명단!$A342="","",340)</f>
        <v/>
      </c>
      <c r="B343" s="12" t="str">
        <f aca="false">IF($A343="","",원본명단!$A342)</f>
        <v/>
      </c>
      <c r="C343" s="12" t="str">
        <f aca="false">IF($A343="","",원본명단!$B342)</f>
        <v/>
      </c>
      <c r="D343" s="12" t="str">
        <f aca="false">IF($A343="","",원본명단!$D342)</f>
        <v/>
      </c>
      <c r="E343" s="11" t="str">
        <f aca="false">IF($A343="","",IF(원본명단!$H342="",0,COUNTIF(원본명단!$H$3:$H$6002,원본명단!$H342)))</f>
        <v/>
      </c>
      <c r="F343" s="11" t="str">
        <f aca="false">IF($A343="","",IF(원본명단!$I342="",0,COUNTIF(원본명단!$I$3:$I$6002,원본명단!$I342)))</f>
        <v/>
      </c>
      <c r="G343" s="11" t="str">
        <f aca="false">IF($A343="","",IF(원본명단!$K342="",0,COUNTIF(원본명단!$K$3:$K$6002,원본명단!$K342)))</f>
        <v/>
      </c>
      <c r="H343" s="11" t="str">
        <f aca="false">IF($A343="","",IF(MAX($E343,$F343,$G343)&gt;1,"중복","-"))</f>
        <v/>
      </c>
      <c r="I343" s="11" t="str">
        <f aca="false">IF($A343="","",IF($H343="-","-",IF(AND(IF(원본명단!$H342="",TRUE(),COUNTIF(원본명단!$H$3:$H342,원본명단!$H342)=1),IF(원본명단!$I342="",TRUE(),COUNTIF(원본명단!$I$3:$I342,원본명단!$I342)=1),IF(원본명단!$K342="",TRUE(),COUNTIF(원본명단!$K$3:$K342,원본명단!$K342)=1)),"첫 건","중복 건")))</f>
        <v/>
      </c>
      <c r="J343" s="11" t="str">
        <f aca="false">IF($A343="","",IF($H343="-","유지",IF($I343="첫 건","유지","확인 필요")))</f>
        <v/>
      </c>
    </row>
    <row r="344" customFormat="false" ht="15" hidden="false" customHeight="true" outlineLevel="0" collapsed="false">
      <c r="A344" s="11" t="str">
        <f aca="false">IF(원본명단!$A343="","",341)</f>
        <v/>
      </c>
      <c r="B344" s="12" t="str">
        <f aca="false">IF($A344="","",원본명단!$A343)</f>
        <v/>
      </c>
      <c r="C344" s="12" t="str">
        <f aca="false">IF($A344="","",원본명단!$B343)</f>
        <v/>
      </c>
      <c r="D344" s="12" t="str">
        <f aca="false">IF($A344="","",원본명단!$D343)</f>
        <v/>
      </c>
      <c r="E344" s="11" t="str">
        <f aca="false">IF($A344="","",IF(원본명단!$H343="",0,COUNTIF(원본명단!$H$3:$H$6002,원본명단!$H343)))</f>
        <v/>
      </c>
      <c r="F344" s="11" t="str">
        <f aca="false">IF($A344="","",IF(원본명단!$I343="",0,COUNTIF(원본명단!$I$3:$I$6002,원본명단!$I343)))</f>
        <v/>
      </c>
      <c r="G344" s="11" t="str">
        <f aca="false">IF($A344="","",IF(원본명단!$K343="",0,COUNTIF(원본명단!$K$3:$K$6002,원본명단!$K343)))</f>
        <v/>
      </c>
      <c r="H344" s="11" t="str">
        <f aca="false">IF($A344="","",IF(MAX($E344,$F344,$G344)&gt;1,"중복","-"))</f>
        <v/>
      </c>
      <c r="I344" s="11" t="str">
        <f aca="false">IF($A344="","",IF($H344="-","-",IF(AND(IF(원본명단!$H343="",TRUE(),COUNTIF(원본명단!$H$3:$H343,원본명단!$H343)=1),IF(원본명단!$I343="",TRUE(),COUNTIF(원본명단!$I$3:$I343,원본명단!$I343)=1),IF(원본명단!$K343="",TRUE(),COUNTIF(원본명단!$K$3:$K343,원본명단!$K343)=1)),"첫 건","중복 건")))</f>
        <v/>
      </c>
      <c r="J344" s="11" t="str">
        <f aca="false">IF($A344="","",IF($H344="-","유지",IF($I344="첫 건","유지","확인 필요")))</f>
        <v/>
      </c>
    </row>
    <row r="345" customFormat="false" ht="15" hidden="false" customHeight="true" outlineLevel="0" collapsed="false">
      <c r="A345" s="11" t="str">
        <f aca="false">IF(원본명단!$A344="","",342)</f>
        <v/>
      </c>
      <c r="B345" s="12" t="str">
        <f aca="false">IF($A345="","",원본명단!$A344)</f>
        <v/>
      </c>
      <c r="C345" s="12" t="str">
        <f aca="false">IF($A345="","",원본명단!$B344)</f>
        <v/>
      </c>
      <c r="D345" s="12" t="str">
        <f aca="false">IF($A345="","",원본명단!$D344)</f>
        <v/>
      </c>
      <c r="E345" s="11" t="str">
        <f aca="false">IF($A345="","",IF(원본명단!$H344="",0,COUNTIF(원본명단!$H$3:$H$6002,원본명단!$H344)))</f>
        <v/>
      </c>
      <c r="F345" s="11" t="str">
        <f aca="false">IF($A345="","",IF(원본명단!$I344="",0,COUNTIF(원본명단!$I$3:$I$6002,원본명단!$I344)))</f>
        <v/>
      </c>
      <c r="G345" s="11" t="str">
        <f aca="false">IF($A345="","",IF(원본명단!$K344="",0,COUNTIF(원본명단!$K$3:$K$6002,원본명단!$K344)))</f>
        <v/>
      </c>
      <c r="H345" s="11" t="str">
        <f aca="false">IF($A345="","",IF(MAX($E345,$F345,$G345)&gt;1,"중복","-"))</f>
        <v/>
      </c>
      <c r="I345" s="11" t="str">
        <f aca="false">IF($A345="","",IF($H345="-","-",IF(AND(IF(원본명단!$H344="",TRUE(),COUNTIF(원본명단!$H$3:$H344,원본명단!$H344)=1),IF(원본명단!$I344="",TRUE(),COUNTIF(원본명단!$I$3:$I344,원본명단!$I344)=1),IF(원본명단!$K344="",TRUE(),COUNTIF(원본명단!$K$3:$K344,원본명단!$K344)=1)),"첫 건","중복 건")))</f>
        <v/>
      </c>
      <c r="J345" s="11" t="str">
        <f aca="false">IF($A345="","",IF($H345="-","유지",IF($I345="첫 건","유지","확인 필요")))</f>
        <v/>
      </c>
    </row>
    <row r="346" customFormat="false" ht="15" hidden="false" customHeight="true" outlineLevel="0" collapsed="false">
      <c r="A346" s="11" t="str">
        <f aca="false">IF(원본명단!$A345="","",343)</f>
        <v/>
      </c>
      <c r="B346" s="12" t="str">
        <f aca="false">IF($A346="","",원본명단!$A345)</f>
        <v/>
      </c>
      <c r="C346" s="12" t="str">
        <f aca="false">IF($A346="","",원본명단!$B345)</f>
        <v/>
      </c>
      <c r="D346" s="12" t="str">
        <f aca="false">IF($A346="","",원본명단!$D345)</f>
        <v/>
      </c>
      <c r="E346" s="11" t="str">
        <f aca="false">IF($A346="","",IF(원본명단!$H345="",0,COUNTIF(원본명단!$H$3:$H$6002,원본명단!$H345)))</f>
        <v/>
      </c>
      <c r="F346" s="11" t="str">
        <f aca="false">IF($A346="","",IF(원본명단!$I345="",0,COUNTIF(원본명단!$I$3:$I$6002,원본명단!$I345)))</f>
        <v/>
      </c>
      <c r="G346" s="11" t="str">
        <f aca="false">IF($A346="","",IF(원본명단!$K345="",0,COUNTIF(원본명단!$K$3:$K$6002,원본명단!$K345)))</f>
        <v/>
      </c>
      <c r="H346" s="11" t="str">
        <f aca="false">IF($A346="","",IF(MAX($E346,$F346,$G346)&gt;1,"중복","-"))</f>
        <v/>
      </c>
      <c r="I346" s="11" t="str">
        <f aca="false">IF($A346="","",IF($H346="-","-",IF(AND(IF(원본명단!$H345="",TRUE(),COUNTIF(원본명단!$H$3:$H345,원본명단!$H345)=1),IF(원본명단!$I345="",TRUE(),COUNTIF(원본명단!$I$3:$I345,원본명단!$I345)=1),IF(원본명단!$K345="",TRUE(),COUNTIF(원본명단!$K$3:$K345,원본명단!$K345)=1)),"첫 건","중복 건")))</f>
        <v/>
      </c>
      <c r="J346" s="11" t="str">
        <f aca="false">IF($A346="","",IF($H346="-","유지",IF($I346="첫 건","유지","확인 필요")))</f>
        <v/>
      </c>
    </row>
    <row r="347" customFormat="false" ht="15" hidden="false" customHeight="true" outlineLevel="0" collapsed="false">
      <c r="A347" s="11" t="str">
        <f aca="false">IF(원본명단!$A346="","",344)</f>
        <v/>
      </c>
      <c r="B347" s="12" t="str">
        <f aca="false">IF($A347="","",원본명단!$A346)</f>
        <v/>
      </c>
      <c r="C347" s="12" t="str">
        <f aca="false">IF($A347="","",원본명단!$B346)</f>
        <v/>
      </c>
      <c r="D347" s="12" t="str">
        <f aca="false">IF($A347="","",원본명단!$D346)</f>
        <v/>
      </c>
      <c r="E347" s="11" t="str">
        <f aca="false">IF($A347="","",IF(원본명단!$H346="",0,COUNTIF(원본명단!$H$3:$H$6002,원본명단!$H346)))</f>
        <v/>
      </c>
      <c r="F347" s="11" t="str">
        <f aca="false">IF($A347="","",IF(원본명단!$I346="",0,COUNTIF(원본명단!$I$3:$I$6002,원본명단!$I346)))</f>
        <v/>
      </c>
      <c r="G347" s="11" t="str">
        <f aca="false">IF($A347="","",IF(원본명단!$K346="",0,COUNTIF(원본명단!$K$3:$K$6002,원본명단!$K346)))</f>
        <v/>
      </c>
      <c r="H347" s="11" t="str">
        <f aca="false">IF($A347="","",IF(MAX($E347,$F347,$G347)&gt;1,"중복","-"))</f>
        <v/>
      </c>
      <c r="I347" s="11" t="str">
        <f aca="false">IF($A347="","",IF($H347="-","-",IF(AND(IF(원본명단!$H346="",TRUE(),COUNTIF(원본명단!$H$3:$H346,원본명단!$H346)=1),IF(원본명단!$I346="",TRUE(),COUNTIF(원본명단!$I$3:$I346,원본명단!$I346)=1),IF(원본명단!$K346="",TRUE(),COUNTIF(원본명단!$K$3:$K346,원본명단!$K346)=1)),"첫 건","중복 건")))</f>
        <v/>
      </c>
      <c r="J347" s="11" t="str">
        <f aca="false">IF($A347="","",IF($H347="-","유지",IF($I347="첫 건","유지","확인 필요")))</f>
        <v/>
      </c>
    </row>
    <row r="348" customFormat="false" ht="15" hidden="false" customHeight="true" outlineLevel="0" collapsed="false">
      <c r="A348" s="11" t="str">
        <f aca="false">IF(원본명단!$A347="","",345)</f>
        <v/>
      </c>
      <c r="B348" s="12" t="str">
        <f aca="false">IF($A348="","",원본명단!$A347)</f>
        <v/>
      </c>
      <c r="C348" s="12" t="str">
        <f aca="false">IF($A348="","",원본명단!$B347)</f>
        <v/>
      </c>
      <c r="D348" s="12" t="str">
        <f aca="false">IF($A348="","",원본명단!$D347)</f>
        <v/>
      </c>
      <c r="E348" s="11" t="str">
        <f aca="false">IF($A348="","",IF(원본명단!$H347="",0,COUNTIF(원본명단!$H$3:$H$6002,원본명단!$H347)))</f>
        <v/>
      </c>
      <c r="F348" s="11" t="str">
        <f aca="false">IF($A348="","",IF(원본명단!$I347="",0,COUNTIF(원본명단!$I$3:$I$6002,원본명단!$I347)))</f>
        <v/>
      </c>
      <c r="G348" s="11" t="str">
        <f aca="false">IF($A348="","",IF(원본명단!$K347="",0,COUNTIF(원본명단!$K$3:$K$6002,원본명단!$K347)))</f>
        <v/>
      </c>
      <c r="H348" s="11" t="str">
        <f aca="false">IF($A348="","",IF(MAX($E348,$F348,$G348)&gt;1,"중복","-"))</f>
        <v/>
      </c>
      <c r="I348" s="11" t="str">
        <f aca="false">IF($A348="","",IF($H348="-","-",IF(AND(IF(원본명단!$H347="",TRUE(),COUNTIF(원본명단!$H$3:$H347,원본명단!$H347)=1),IF(원본명단!$I347="",TRUE(),COUNTIF(원본명단!$I$3:$I347,원본명단!$I347)=1),IF(원본명단!$K347="",TRUE(),COUNTIF(원본명단!$K$3:$K347,원본명단!$K347)=1)),"첫 건","중복 건")))</f>
        <v/>
      </c>
      <c r="J348" s="11" t="str">
        <f aca="false">IF($A348="","",IF($H348="-","유지",IF($I348="첫 건","유지","확인 필요")))</f>
        <v/>
      </c>
    </row>
    <row r="349" customFormat="false" ht="15" hidden="false" customHeight="true" outlineLevel="0" collapsed="false">
      <c r="A349" s="11" t="str">
        <f aca="false">IF(원본명단!$A348="","",346)</f>
        <v/>
      </c>
      <c r="B349" s="12" t="str">
        <f aca="false">IF($A349="","",원본명단!$A348)</f>
        <v/>
      </c>
      <c r="C349" s="12" t="str">
        <f aca="false">IF($A349="","",원본명단!$B348)</f>
        <v/>
      </c>
      <c r="D349" s="12" t="str">
        <f aca="false">IF($A349="","",원본명단!$D348)</f>
        <v/>
      </c>
      <c r="E349" s="11" t="str">
        <f aca="false">IF($A349="","",IF(원본명단!$H348="",0,COUNTIF(원본명단!$H$3:$H$6002,원본명단!$H348)))</f>
        <v/>
      </c>
      <c r="F349" s="11" t="str">
        <f aca="false">IF($A349="","",IF(원본명단!$I348="",0,COUNTIF(원본명단!$I$3:$I$6002,원본명단!$I348)))</f>
        <v/>
      </c>
      <c r="G349" s="11" t="str">
        <f aca="false">IF($A349="","",IF(원본명단!$K348="",0,COUNTIF(원본명단!$K$3:$K$6002,원본명단!$K348)))</f>
        <v/>
      </c>
      <c r="H349" s="11" t="str">
        <f aca="false">IF($A349="","",IF(MAX($E349,$F349,$G349)&gt;1,"중복","-"))</f>
        <v/>
      </c>
      <c r="I349" s="11" t="str">
        <f aca="false">IF($A349="","",IF($H349="-","-",IF(AND(IF(원본명단!$H348="",TRUE(),COUNTIF(원본명단!$H$3:$H348,원본명단!$H348)=1),IF(원본명단!$I348="",TRUE(),COUNTIF(원본명단!$I$3:$I348,원본명단!$I348)=1),IF(원본명단!$K348="",TRUE(),COUNTIF(원본명단!$K$3:$K348,원본명단!$K348)=1)),"첫 건","중복 건")))</f>
        <v/>
      </c>
      <c r="J349" s="11" t="str">
        <f aca="false">IF($A349="","",IF($H349="-","유지",IF($I349="첫 건","유지","확인 필요")))</f>
        <v/>
      </c>
    </row>
    <row r="350" customFormat="false" ht="15" hidden="false" customHeight="true" outlineLevel="0" collapsed="false">
      <c r="A350" s="11" t="str">
        <f aca="false">IF(원본명단!$A349="","",347)</f>
        <v/>
      </c>
      <c r="B350" s="12" t="str">
        <f aca="false">IF($A350="","",원본명단!$A349)</f>
        <v/>
      </c>
      <c r="C350" s="12" t="str">
        <f aca="false">IF($A350="","",원본명단!$B349)</f>
        <v/>
      </c>
      <c r="D350" s="12" t="str">
        <f aca="false">IF($A350="","",원본명단!$D349)</f>
        <v/>
      </c>
      <c r="E350" s="11" t="str">
        <f aca="false">IF($A350="","",IF(원본명단!$H349="",0,COUNTIF(원본명단!$H$3:$H$6002,원본명단!$H349)))</f>
        <v/>
      </c>
      <c r="F350" s="11" t="str">
        <f aca="false">IF($A350="","",IF(원본명단!$I349="",0,COUNTIF(원본명단!$I$3:$I$6002,원본명단!$I349)))</f>
        <v/>
      </c>
      <c r="G350" s="11" t="str">
        <f aca="false">IF($A350="","",IF(원본명단!$K349="",0,COUNTIF(원본명단!$K$3:$K$6002,원본명단!$K349)))</f>
        <v/>
      </c>
      <c r="H350" s="11" t="str">
        <f aca="false">IF($A350="","",IF(MAX($E350,$F350,$G350)&gt;1,"중복","-"))</f>
        <v/>
      </c>
      <c r="I350" s="11" t="str">
        <f aca="false">IF($A350="","",IF($H350="-","-",IF(AND(IF(원본명단!$H349="",TRUE(),COUNTIF(원본명단!$H$3:$H349,원본명단!$H349)=1),IF(원본명단!$I349="",TRUE(),COUNTIF(원본명단!$I$3:$I349,원본명단!$I349)=1),IF(원본명단!$K349="",TRUE(),COUNTIF(원본명단!$K$3:$K349,원본명단!$K349)=1)),"첫 건","중복 건")))</f>
        <v/>
      </c>
      <c r="J350" s="11" t="str">
        <f aca="false">IF($A350="","",IF($H350="-","유지",IF($I350="첫 건","유지","확인 필요")))</f>
        <v/>
      </c>
    </row>
    <row r="351" customFormat="false" ht="15" hidden="false" customHeight="true" outlineLevel="0" collapsed="false">
      <c r="A351" s="11" t="str">
        <f aca="false">IF(원본명단!$A350="","",348)</f>
        <v/>
      </c>
      <c r="B351" s="12" t="str">
        <f aca="false">IF($A351="","",원본명단!$A350)</f>
        <v/>
      </c>
      <c r="C351" s="12" t="str">
        <f aca="false">IF($A351="","",원본명단!$B350)</f>
        <v/>
      </c>
      <c r="D351" s="12" t="str">
        <f aca="false">IF($A351="","",원본명단!$D350)</f>
        <v/>
      </c>
      <c r="E351" s="11" t="str">
        <f aca="false">IF($A351="","",IF(원본명단!$H350="",0,COUNTIF(원본명단!$H$3:$H$6002,원본명단!$H350)))</f>
        <v/>
      </c>
      <c r="F351" s="11" t="str">
        <f aca="false">IF($A351="","",IF(원본명단!$I350="",0,COUNTIF(원본명단!$I$3:$I$6002,원본명단!$I350)))</f>
        <v/>
      </c>
      <c r="G351" s="11" t="str">
        <f aca="false">IF($A351="","",IF(원본명단!$K350="",0,COUNTIF(원본명단!$K$3:$K$6002,원본명단!$K350)))</f>
        <v/>
      </c>
      <c r="H351" s="11" t="str">
        <f aca="false">IF($A351="","",IF(MAX($E351,$F351,$G351)&gt;1,"중복","-"))</f>
        <v/>
      </c>
      <c r="I351" s="11" t="str">
        <f aca="false">IF($A351="","",IF($H351="-","-",IF(AND(IF(원본명단!$H350="",TRUE(),COUNTIF(원본명단!$H$3:$H350,원본명단!$H350)=1),IF(원본명단!$I350="",TRUE(),COUNTIF(원본명단!$I$3:$I350,원본명단!$I350)=1),IF(원본명단!$K350="",TRUE(),COUNTIF(원본명단!$K$3:$K350,원본명단!$K350)=1)),"첫 건","중복 건")))</f>
        <v/>
      </c>
      <c r="J351" s="11" t="str">
        <f aca="false">IF($A351="","",IF($H351="-","유지",IF($I351="첫 건","유지","확인 필요")))</f>
        <v/>
      </c>
    </row>
    <row r="352" customFormat="false" ht="15" hidden="false" customHeight="true" outlineLevel="0" collapsed="false">
      <c r="A352" s="11" t="str">
        <f aca="false">IF(원본명단!$A351="","",349)</f>
        <v/>
      </c>
      <c r="B352" s="12" t="str">
        <f aca="false">IF($A352="","",원본명단!$A351)</f>
        <v/>
      </c>
      <c r="C352" s="12" t="str">
        <f aca="false">IF($A352="","",원본명단!$B351)</f>
        <v/>
      </c>
      <c r="D352" s="12" t="str">
        <f aca="false">IF($A352="","",원본명단!$D351)</f>
        <v/>
      </c>
      <c r="E352" s="11" t="str">
        <f aca="false">IF($A352="","",IF(원본명단!$H351="",0,COUNTIF(원본명단!$H$3:$H$6002,원본명단!$H351)))</f>
        <v/>
      </c>
      <c r="F352" s="11" t="str">
        <f aca="false">IF($A352="","",IF(원본명단!$I351="",0,COUNTIF(원본명단!$I$3:$I$6002,원본명단!$I351)))</f>
        <v/>
      </c>
      <c r="G352" s="11" t="str">
        <f aca="false">IF($A352="","",IF(원본명단!$K351="",0,COUNTIF(원본명단!$K$3:$K$6002,원본명단!$K351)))</f>
        <v/>
      </c>
      <c r="H352" s="11" t="str">
        <f aca="false">IF($A352="","",IF(MAX($E352,$F352,$G352)&gt;1,"중복","-"))</f>
        <v/>
      </c>
      <c r="I352" s="11" t="str">
        <f aca="false">IF($A352="","",IF($H352="-","-",IF(AND(IF(원본명단!$H351="",TRUE(),COUNTIF(원본명단!$H$3:$H351,원본명단!$H351)=1),IF(원본명단!$I351="",TRUE(),COUNTIF(원본명단!$I$3:$I351,원본명단!$I351)=1),IF(원본명단!$K351="",TRUE(),COUNTIF(원본명단!$K$3:$K351,원본명단!$K351)=1)),"첫 건","중복 건")))</f>
        <v/>
      </c>
      <c r="J352" s="11" t="str">
        <f aca="false">IF($A352="","",IF($H352="-","유지",IF($I352="첫 건","유지","확인 필요")))</f>
        <v/>
      </c>
    </row>
    <row r="353" customFormat="false" ht="15" hidden="false" customHeight="true" outlineLevel="0" collapsed="false">
      <c r="A353" s="11" t="str">
        <f aca="false">IF(원본명단!$A352="","",350)</f>
        <v/>
      </c>
      <c r="B353" s="12" t="str">
        <f aca="false">IF($A353="","",원본명단!$A352)</f>
        <v/>
      </c>
      <c r="C353" s="12" t="str">
        <f aca="false">IF($A353="","",원본명단!$B352)</f>
        <v/>
      </c>
      <c r="D353" s="12" t="str">
        <f aca="false">IF($A353="","",원본명단!$D352)</f>
        <v/>
      </c>
      <c r="E353" s="11" t="str">
        <f aca="false">IF($A353="","",IF(원본명단!$H352="",0,COUNTIF(원본명단!$H$3:$H$6002,원본명단!$H352)))</f>
        <v/>
      </c>
      <c r="F353" s="11" t="str">
        <f aca="false">IF($A353="","",IF(원본명단!$I352="",0,COUNTIF(원본명단!$I$3:$I$6002,원본명단!$I352)))</f>
        <v/>
      </c>
      <c r="G353" s="11" t="str">
        <f aca="false">IF($A353="","",IF(원본명단!$K352="",0,COUNTIF(원본명단!$K$3:$K$6002,원본명단!$K352)))</f>
        <v/>
      </c>
      <c r="H353" s="11" t="str">
        <f aca="false">IF($A353="","",IF(MAX($E353,$F353,$G353)&gt;1,"중복","-"))</f>
        <v/>
      </c>
      <c r="I353" s="11" t="str">
        <f aca="false">IF($A353="","",IF($H353="-","-",IF(AND(IF(원본명단!$H352="",TRUE(),COUNTIF(원본명단!$H$3:$H352,원본명단!$H352)=1),IF(원본명단!$I352="",TRUE(),COUNTIF(원본명단!$I$3:$I352,원본명단!$I352)=1),IF(원본명단!$K352="",TRUE(),COUNTIF(원본명단!$K$3:$K352,원본명단!$K352)=1)),"첫 건","중복 건")))</f>
        <v/>
      </c>
      <c r="J353" s="11" t="str">
        <f aca="false">IF($A353="","",IF($H353="-","유지",IF($I353="첫 건","유지","확인 필요")))</f>
        <v/>
      </c>
    </row>
    <row r="354" customFormat="false" ht="15" hidden="false" customHeight="true" outlineLevel="0" collapsed="false">
      <c r="A354" s="11" t="str">
        <f aca="false">IF(원본명단!$A353="","",351)</f>
        <v/>
      </c>
      <c r="B354" s="12" t="str">
        <f aca="false">IF($A354="","",원본명단!$A353)</f>
        <v/>
      </c>
      <c r="C354" s="12" t="str">
        <f aca="false">IF($A354="","",원본명단!$B353)</f>
        <v/>
      </c>
      <c r="D354" s="12" t="str">
        <f aca="false">IF($A354="","",원본명단!$D353)</f>
        <v/>
      </c>
      <c r="E354" s="11" t="str">
        <f aca="false">IF($A354="","",IF(원본명단!$H353="",0,COUNTIF(원본명단!$H$3:$H$6002,원본명단!$H353)))</f>
        <v/>
      </c>
      <c r="F354" s="11" t="str">
        <f aca="false">IF($A354="","",IF(원본명단!$I353="",0,COUNTIF(원본명단!$I$3:$I$6002,원본명단!$I353)))</f>
        <v/>
      </c>
      <c r="G354" s="11" t="str">
        <f aca="false">IF($A354="","",IF(원본명단!$K353="",0,COUNTIF(원본명단!$K$3:$K$6002,원본명단!$K353)))</f>
        <v/>
      </c>
      <c r="H354" s="11" t="str">
        <f aca="false">IF($A354="","",IF(MAX($E354,$F354,$G354)&gt;1,"중복","-"))</f>
        <v/>
      </c>
      <c r="I354" s="11" t="str">
        <f aca="false">IF($A354="","",IF($H354="-","-",IF(AND(IF(원본명단!$H353="",TRUE(),COUNTIF(원본명단!$H$3:$H353,원본명단!$H353)=1),IF(원본명단!$I353="",TRUE(),COUNTIF(원본명단!$I$3:$I353,원본명단!$I353)=1),IF(원본명단!$K353="",TRUE(),COUNTIF(원본명단!$K$3:$K353,원본명단!$K353)=1)),"첫 건","중복 건")))</f>
        <v/>
      </c>
      <c r="J354" s="11" t="str">
        <f aca="false">IF($A354="","",IF($H354="-","유지",IF($I354="첫 건","유지","확인 필요")))</f>
        <v/>
      </c>
    </row>
    <row r="355" customFormat="false" ht="15" hidden="false" customHeight="true" outlineLevel="0" collapsed="false">
      <c r="A355" s="11" t="str">
        <f aca="false">IF(원본명단!$A354="","",352)</f>
        <v/>
      </c>
      <c r="B355" s="12" t="str">
        <f aca="false">IF($A355="","",원본명단!$A354)</f>
        <v/>
      </c>
      <c r="C355" s="12" t="str">
        <f aca="false">IF($A355="","",원본명단!$B354)</f>
        <v/>
      </c>
      <c r="D355" s="12" t="str">
        <f aca="false">IF($A355="","",원본명단!$D354)</f>
        <v/>
      </c>
      <c r="E355" s="11" t="str">
        <f aca="false">IF($A355="","",IF(원본명단!$H354="",0,COUNTIF(원본명단!$H$3:$H$6002,원본명단!$H354)))</f>
        <v/>
      </c>
      <c r="F355" s="11" t="str">
        <f aca="false">IF($A355="","",IF(원본명단!$I354="",0,COUNTIF(원본명단!$I$3:$I$6002,원본명단!$I354)))</f>
        <v/>
      </c>
      <c r="G355" s="11" t="str">
        <f aca="false">IF($A355="","",IF(원본명단!$K354="",0,COUNTIF(원본명단!$K$3:$K$6002,원본명단!$K354)))</f>
        <v/>
      </c>
      <c r="H355" s="11" t="str">
        <f aca="false">IF($A355="","",IF(MAX($E355,$F355,$G355)&gt;1,"중복","-"))</f>
        <v/>
      </c>
      <c r="I355" s="11" t="str">
        <f aca="false">IF($A355="","",IF($H355="-","-",IF(AND(IF(원본명단!$H354="",TRUE(),COUNTIF(원본명단!$H$3:$H354,원본명단!$H354)=1),IF(원본명단!$I354="",TRUE(),COUNTIF(원본명단!$I$3:$I354,원본명단!$I354)=1),IF(원본명단!$K354="",TRUE(),COUNTIF(원본명단!$K$3:$K354,원본명단!$K354)=1)),"첫 건","중복 건")))</f>
        <v/>
      </c>
      <c r="J355" s="11" t="str">
        <f aca="false">IF($A355="","",IF($H355="-","유지",IF($I355="첫 건","유지","확인 필요")))</f>
        <v/>
      </c>
    </row>
    <row r="356" customFormat="false" ht="15" hidden="false" customHeight="true" outlineLevel="0" collapsed="false">
      <c r="A356" s="11" t="str">
        <f aca="false">IF(원본명단!$A355="","",353)</f>
        <v/>
      </c>
      <c r="B356" s="12" t="str">
        <f aca="false">IF($A356="","",원본명단!$A355)</f>
        <v/>
      </c>
      <c r="C356" s="12" t="str">
        <f aca="false">IF($A356="","",원본명단!$B355)</f>
        <v/>
      </c>
      <c r="D356" s="12" t="str">
        <f aca="false">IF($A356="","",원본명단!$D355)</f>
        <v/>
      </c>
      <c r="E356" s="11" t="str">
        <f aca="false">IF($A356="","",IF(원본명단!$H355="",0,COUNTIF(원본명단!$H$3:$H$6002,원본명단!$H355)))</f>
        <v/>
      </c>
      <c r="F356" s="11" t="str">
        <f aca="false">IF($A356="","",IF(원본명단!$I355="",0,COUNTIF(원본명단!$I$3:$I$6002,원본명단!$I355)))</f>
        <v/>
      </c>
      <c r="G356" s="11" t="str">
        <f aca="false">IF($A356="","",IF(원본명단!$K355="",0,COUNTIF(원본명단!$K$3:$K$6002,원본명단!$K355)))</f>
        <v/>
      </c>
      <c r="H356" s="11" t="str">
        <f aca="false">IF($A356="","",IF(MAX($E356,$F356,$G356)&gt;1,"중복","-"))</f>
        <v/>
      </c>
      <c r="I356" s="11" t="str">
        <f aca="false">IF($A356="","",IF($H356="-","-",IF(AND(IF(원본명단!$H355="",TRUE(),COUNTIF(원본명단!$H$3:$H355,원본명단!$H355)=1),IF(원본명단!$I355="",TRUE(),COUNTIF(원본명단!$I$3:$I355,원본명단!$I355)=1),IF(원본명단!$K355="",TRUE(),COUNTIF(원본명단!$K$3:$K355,원본명단!$K355)=1)),"첫 건","중복 건")))</f>
        <v/>
      </c>
      <c r="J356" s="11" t="str">
        <f aca="false">IF($A356="","",IF($H356="-","유지",IF($I356="첫 건","유지","확인 필요")))</f>
        <v/>
      </c>
    </row>
    <row r="357" customFormat="false" ht="15" hidden="false" customHeight="true" outlineLevel="0" collapsed="false">
      <c r="A357" s="11" t="str">
        <f aca="false">IF(원본명단!$A356="","",354)</f>
        <v/>
      </c>
      <c r="B357" s="12" t="str">
        <f aca="false">IF($A357="","",원본명단!$A356)</f>
        <v/>
      </c>
      <c r="C357" s="12" t="str">
        <f aca="false">IF($A357="","",원본명단!$B356)</f>
        <v/>
      </c>
      <c r="D357" s="12" t="str">
        <f aca="false">IF($A357="","",원본명단!$D356)</f>
        <v/>
      </c>
      <c r="E357" s="11" t="str">
        <f aca="false">IF($A357="","",IF(원본명단!$H356="",0,COUNTIF(원본명단!$H$3:$H$6002,원본명단!$H356)))</f>
        <v/>
      </c>
      <c r="F357" s="11" t="str">
        <f aca="false">IF($A357="","",IF(원본명단!$I356="",0,COUNTIF(원본명단!$I$3:$I$6002,원본명단!$I356)))</f>
        <v/>
      </c>
      <c r="G357" s="11" t="str">
        <f aca="false">IF($A357="","",IF(원본명단!$K356="",0,COUNTIF(원본명단!$K$3:$K$6002,원본명단!$K356)))</f>
        <v/>
      </c>
      <c r="H357" s="11" t="str">
        <f aca="false">IF($A357="","",IF(MAX($E357,$F357,$G357)&gt;1,"중복","-"))</f>
        <v/>
      </c>
      <c r="I357" s="11" t="str">
        <f aca="false">IF($A357="","",IF($H357="-","-",IF(AND(IF(원본명단!$H356="",TRUE(),COUNTIF(원본명단!$H$3:$H356,원본명단!$H356)=1),IF(원본명단!$I356="",TRUE(),COUNTIF(원본명단!$I$3:$I356,원본명단!$I356)=1),IF(원본명단!$K356="",TRUE(),COUNTIF(원본명단!$K$3:$K356,원본명단!$K356)=1)),"첫 건","중복 건")))</f>
        <v/>
      </c>
      <c r="J357" s="11" t="str">
        <f aca="false">IF($A357="","",IF($H357="-","유지",IF($I357="첫 건","유지","확인 필요")))</f>
        <v/>
      </c>
    </row>
    <row r="358" customFormat="false" ht="15" hidden="false" customHeight="true" outlineLevel="0" collapsed="false">
      <c r="A358" s="11" t="str">
        <f aca="false">IF(원본명단!$A357="","",355)</f>
        <v/>
      </c>
      <c r="B358" s="12" t="str">
        <f aca="false">IF($A358="","",원본명단!$A357)</f>
        <v/>
      </c>
      <c r="C358" s="12" t="str">
        <f aca="false">IF($A358="","",원본명단!$B357)</f>
        <v/>
      </c>
      <c r="D358" s="12" t="str">
        <f aca="false">IF($A358="","",원본명단!$D357)</f>
        <v/>
      </c>
      <c r="E358" s="11" t="str">
        <f aca="false">IF($A358="","",IF(원본명단!$H357="",0,COUNTIF(원본명단!$H$3:$H$6002,원본명단!$H357)))</f>
        <v/>
      </c>
      <c r="F358" s="11" t="str">
        <f aca="false">IF($A358="","",IF(원본명단!$I357="",0,COUNTIF(원본명단!$I$3:$I$6002,원본명단!$I357)))</f>
        <v/>
      </c>
      <c r="G358" s="11" t="str">
        <f aca="false">IF($A358="","",IF(원본명단!$K357="",0,COUNTIF(원본명단!$K$3:$K$6002,원본명단!$K357)))</f>
        <v/>
      </c>
      <c r="H358" s="11" t="str">
        <f aca="false">IF($A358="","",IF(MAX($E358,$F358,$G358)&gt;1,"중복","-"))</f>
        <v/>
      </c>
      <c r="I358" s="11" t="str">
        <f aca="false">IF($A358="","",IF($H358="-","-",IF(AND(IF(원본명단!$H357="",TRUE(),COUNTIF(원본명단!$H$3:$H357,원본명단!$H357)=1),IF(원본명단!$I357="",TRUE(),COUNTIF(원본명단!$I$3:$I357,원본명단!$I357)=1),IF(원본명단!$K357="",TRUE(),COUNTIF(원본명단!$K$3:$K357,원본명단!$K357)=1)),"첫 건","중복 건")))</f>
        <v/>
      </c>
      <c r="J358" s="11" t="str">
        <f aca="false">IF($A358="","",IF($H358="-","유지",IF($I358="첫 건","유지","확인 필요")))</f>
        <v/>
      </c>
    </row>
    <row r="359" customFormat="false" ht="15" hidden="false" customHeight="true" outlineLevel="0" collapsed="false">
      <c r="A359" s="11" t="str">
        <f aca="false">IF(원본명단!$A358="","",356)</f>
        <v/>
      </c>
      <c r="B359" s="12" t="str">
        <f aca="false">IF($A359="","",원본명단!$A358)</f>
        <v/>
      </c>
      <c r="C359" s="12" t="str">
        <f aca="false">IF($A359="","",원본명단!$B358)</f>
        <v/>
      </c>
      <c r="D359" s="12" t="str">
        <f aca="false">IF($A359="","",원본명단!$D358)</f>
        <v/>
      </c>
      <c r="E359" s="11" t="str">
        <f aca="false">IF($A359="","",IF(원본명단!$H358="",0,COUNTIF(원본명단!$H$3:$H$6002,원본명단!$H358)))</f>
        <v/>
      </c>
      <c r="F359" s="11" t="str">
        <f aca="false">IF($A359="","",IF(원본명단!$I358="",0,COUNTIF(원본명단!$I$3:$I$6002,원본명단!$I358)))</f>
        <v/>
      </c>
      <c r="G359" s="11" t="str">
        <f aca="false">IF($A359="","",IF(원본명단!$K358="",0,COUNTIF(원본명단!$K$3:$K$6002,원본명단!$K358)))</f>
        <v/>
      </c>
      <c r="H359" s="11" t="str">
        <f aca="false">IF($A359="","",IF(MAX($E359,$F359,$G359)&gt;1,"중복","-"))</f>
        <v/>
      </c>
      <c r="I359" s="11" t="str">
        <f aca="false">IF($A359="","",IF($H359="-","-",IF(AND(IF(원본명단!$H358="",TRUE(),COUNTIF(원본명단!$H$3:$H358,원본명단!$H358)=1),IF(원본명단!$I358="",TRUE(),COUNTIF(원본명단!$I$3:$I358,원본명단!$I358)=1),IF(원본명단!$K358="",TRUE(),COUNTIF(원본명단!$K$3:$K358,원본명단!$K358)=1)),"첫 건","중복 건")))</f>
        <v/>
      </c>
      <c r="J359" s="11" t="str">
        <f aca="false">IF($A359="","",IF($H359="-","유지",IF($I359="첫 건","유지","확인 필요")))</f>
        <v/>
      </c>
    </row>
    <row r="360" customFormat="false" ht="15" hidden="false" customHeight="true" outlineLevel="0" collapsed="false">
      <c r="A360" s="11" t="str">
        <f aca="false">IF(원본명단!$A359="","",357)</f>
        <v/>
      </c>
      <c r="B360" s="12" t="str">
        <f aca="false">IF($A360="","",원본명단!$A359)</f>
        <v/>
      </c>
      <c r="C360" s="12" t="str">
        <f aca="false">IF($A360="","",원본명단!$B359)</f>
        <v/>
      </c>
      <c r="D360" s="12" t="str">
        <f aca="false">IF($A360="","",원본명단!$D359)</f>
        <v/>
      </c>
      <c r="E360" s="11" t="str">
        <f aca="false">IF($A360="","",IF(원본명단!$H359="",0,COUNTIF(원본명단!$H$3:$H$6002,원본명단!$H359)))</f>
        <v/>
      </c>
      <c r="F360" s="11" t="str">
        <f aca="false">IF($A360="","",IF(원본명단!$I359="",0,COUNTIF(원본명단!$I$3:$I$6002,원본명단!$I359)))</f>
        <v/>
      </c>
      <c r="G360" s="11" t="str">
        <f aca="false">IF($A360="","",IF(원본명단!$K359="",0,COUNTIF(원본명단!$K$3:$K$6002,원본명단!$K359)))</f>
        <v/>
      </c>
      <c r="H360" s="11" t="str">
        <f aca="false">IF($A360="","",IF(MAX($E360,$F360,$G360)&gt;1,"중복","-"))</f>
        <v/>
      </c>
      <c r="I360" s="11" t="str">
        <f aca="false">IF($A360="","",IF($H360="-","-",IF(AND(IF(원본명단!$H359="",TRUE(),COUNTIF(원본명단!$H$3:$H359,원본명단!$H359)=1),IF(원본명단!$I359="",TRUE(),COUNTIF(원본명단!$I$3:$I359,원본명단!$I359)=1),IF(원본명단!$K359="",TRUE(),COUNTIF(원본명단!$K$3:$K359,원본명단!$K359)=1)),"첫 건","중복 건")))</f>
        <v/>
      </c>
      <c r="J360" s="11" t="str">
        <f aca="false">IF($A360="","",IF($H360="-","유지",IF($I360="첫 건","유지","확인 필요")))</f>
        <v/>
      </c>
    </row>
    <row r="361" customFormat="false" ht="15" hidden="false" customHeight="true" outlineLevel="0" collapsed="false">
      <c r="A361" s="11" t="str">
        <f aca="false">IF(원본명단!$A360="","",358)</f>
        <v/>
      </c>
      <c r="B361" s="12" t="str">
        <f aca="false">IF($A361="","",원본명단!$A360)</f>
        <v/>
      </c>
      <c r="C361" s="12" t="str">
        <f aca="false">IF($A361="","",원본명단!$B360)</f>
        <v/>
      </c>
      <c r="D361" s="12" t="str">
        <f aca="false">IF($A361="","",원본명단!$D360)</f>
        <v/>
      </c>
      <c r="E361" s="11" t="str">
        <f aca="false">IF($A361="","",IF(원본명단!$H360="",0,COUNTIF(원본명단!$H$3:$H$6002,원본명단!$H360)))</f>
        <v/>
      </c>
      <c r="F361" s="11" t="str">
        <f aca="false">IF($A361="","",IF(원본명단!$I360="",0,COUNTIF(원본명단!$I$3:$I$6002,원본명단!$I360)))</f>
        <v/>
      </c>
      <c r="G361" s="11" t="str">
        <f aca="false">IF($A361="","",IF(원본명단!$K360="",0,COUNTIF(원본명단!$K$3:$K$6002,원본명단!$K360)))</f>
        <v/>
      </c>
      <c r="H361" s="11" t="str">
        <f aca="false">IF($A361="","",IF(MAX($E361,$F361,$G361)&gt;1,"중복","-"))</f>
        <v/>
      </c>
      <c r="I361" s="11" t="str">
        <f aca="false">IF($A361="","",IF($H361="-","-",IF(AND(IF(원본명단!$H360="",TRUE(),COUNTIF(원본명단!$H$3:$H360,원본명단!$H360)=1),IF(원본명단!$I360="",TRUE(),COUNTIF(원본명단!$I$3:$I360,원본명단!$I360)=1),IF(원본명단!$K360="",TRUE(),COUNTIF(원본명단!$K$3:$K360,원본명단!$K360)=1)),"첫 건","중복 건")))</f>
        <v/>
      </c>
      <c r="J361" s="11" t="str">
        <f aca="false">IF($A361="","",IF($H361="-","유지",IF($I361="첫 건","유지","확인 필요")))</f>
        <v/>
      </c>
    </row>
    <row r="362" customFormat="false" ht="15" hidden="false" customHeight="true" outlineLevel="0" collapsed="false">
      <c r="A362" s="11" t="str">
        <f aca="false">IF(원본명단!$A361="","",359)</f>
        <v/>
      </c>
      <c r="B362" s="12" t="str">
        <f aca="false">IF($A362="","",원본명단!$A361)</f>
        <v/>
      </c>
      <c r="C362" s="12" t="str">
        <f aca="false">IF($A362="","",원본명단!$B361)</f>
        <v/>
      </c>
      <c r="D362" s="12" t="str">
        <f aca="false">IF($A362="","",원본명단!$D361)</f>
        <v/>
      </c>
      <c r="E362" s="11" t="str">
        <f aca="false">IF($A362="","",IF(원본명단!$H361="",0,COUNTIF(원본명단!$H$3:$H$6002,원본명단!$H361)))</f>
        <v/>
      </c>
      <c r="F362" s="11" t="str">
        <f aca="false">IF($A362="","",IF(원본명단!$I361="",0,COUNTIF(원본명단!$I$3:$I$6002,원본명단!$I361)))</f>
        <v/>
      </c>
      <c r="G362" s="11" t="str">
        <f aca="false">IF($A362="","",IF(원본명단!$K361="",0,COUNTIF(원본명단!$K$3:$K$6002,원본명단!$K361)))</f>
        <v/>
      </c>
      <c r="H362" s="11" t="str">
        <f aca="false">IF($A362="","",IF(MAX($E362,$F362,$G362)&gt;1,"중복","-"))</f>
        <v/>
      </c>
      <c r="I362" s="11" t="str">
        <f aca="false">IF($A362="","",IF($H362="-","-",IF(AND(IF(원본명단!$H361="",TRUE(),COUNTIF(원본명단!$H$3:$H361,원본명단!$H361)=1),IF(원본명단!$I361="",TRUE(),COUNTIF(원본명단!$I$3:$I361,원본명단!$I361)=1),IF(원본명단!$K361="",TRUE(),COUNTIF(원본명단!$K$3:$K361,원본명단!$K361)=1)),"첫 건","중복 건")))</f>
        <v/>
      </c>
      <c r="J362" s="11" t="str">
        <f aca="false">IF($A362="","",IF($H362="-","유지",IF($I362="첫 건","유지","확인 필요")))</f>
        <v/>
      </c>
    </row>
    <row r="363" customFormat="false" ht="15" hidden="false" customHeight="true" outlineLevel="0" collapsed="false">
      <c r="A363" s="11" t="str">
        <f aca="false">IF(원본명단!$A362="","",360)</f>
        <v/>
      </c>
      <c r="B363" s="12" t="str">
        <f aca="false">IF($A363="","",원본명단!$A362)</f>
        <v/>
      </c>
      <c r="C363" s="12" t="str">
        <f aca="false">IF($A363="","",원본명단!$B362)</f>
        <v/>
      </c>
      <c r="D363" s="12" t="str">
        <f aca="false">IF($A363="","",원본명단!$D362)</f>
        <v/>
      </c>
      <c r="E363" s="11" t="str">
        <f aca="false">IF($A363="","",IF(원본명단!$H362="",0,COUNTIF(원본명단!$H$3:$H$6002,원본명단!$H362)))</f>
        <v/>
      </c>
      <c r="F363" s="11" t="str">
        <f aca="false">IF($A363="","",IF(원본명단!$I362="",0,COUNTIF(원본명단!$I$3:$I$6002,원본명단!$I362)))</f>
        <v/>
      </c>
      <c r="G363" s="11" t="str">
        <f aca="false">IF($A363="","",IF(원본명단!$K362="",0,COUNTIF(원본명단!$K$3:$K$6002,원본명단!$K362)))</f>
        <v/>
      </c>
      <c r="H363" s="11" t="str">
        <f aca="false">IF($A363="","",IF(MAX($E363,$F363,$G363)&gt;1,"중복","-"))</f>
        <v/>
      </c>
      <c r="I363" s="11" t="str">
        <f aca="false">IF($A363="","",IF($H363="-","-",IF(AND(IF(원본명단!$H362="",TRUE(),COUNTIF(원본명단!$H$3:$H362,원본명단!$H362)=1),IF(원본명단!$I362="",TRUE(),COUNTIF(원본명단!$I$3:$I362,원본명단!$I362)=1),IF(원본명단!$K362="",TRUE(),COUNTIF(원본명단!$K$3:$K362,원본명단!$K362)=1)),"첫 건","중복 건")))</f>
        <v/>
      </c>
      <c r="J363" s="11" t="str">
        <f aca="false">IF($A363="","",IF($H363="-","유지",IF($I363="첫 건","유지","확인 필요")))</f>
        <v/>
      </c>
    </row>
    <row r="364" customFormat="false" ht="15" hidden="false" customHeight="true" outlineLevel="0" collapsed="false">
      <c r="A364" s="11" t="str">
        <f aca="false">IF(원본명단!$A363="","",361)</f>
        <v/>
      </c>
      <c r="B364" s="12" t="str">
        <f aca="false">IF($A364="","",원본명단!$A363)</f>
        <v/>
      </c>
      <c r="C364" s="12" t="str">
        <f aca="false">IF($A364="","",원본명단!$B363)</f>
        <v/>
      </c>
      <c r="D364" s="12" t="str">
        <f aca="false">IF($A364="","",원본명단!$D363)</f>
        <v/>
      </c>
      <c r="E364" s="11" t="str">
        <f aca="false">IF($A364="","",IF(원본명단!$H363="",0,COUNTIF(원본명단!$H$3:$H$6002,원본명단!$H363)))</f>
        <v/>
      </c>
      <c r="F364" s="11" t="str">
        <f aca="false">IF($A364="","",IF(원본명단!$I363="",0,COUNTIF(원본명단!$I$3:$I$6002,원본명단!$I363)))</f>
        <v/>
      </c>
      <c r="G364" s="11" t="str">
        <f aca="false">IF($A364="","",IF(원본명단!$K363="",0,COUNTIF(원본명단!$K$3:$K$6002,원본명단!$K363)))</f>
        <v/>
      </c>
      <c r="H364" s="11" t="str">
        <f aca="false">IF($A364="","",IF(MAX($E364,$F364,$G364)&gt;1,"중복","-"))</f>
        <v/>
      </c>
      <c r="I364" s="11" t="str">
        <f aca="false">IF($A364="","",IF($H364="-","-",IF(AND(IF(원본명단!$H363="",TRUE(),COUNTIF(원본명단!$H$3:$H363,원본명단!$H363)=1),IF(원본명단!$I363="",TRUE(),COUNTIF(원본명단!$I$3:$I363,원본명단!$I363)=1),IF(원본명단!$K363="",TRUE(),COUNTIF(원본명단!$K$3:$K363,원본명단!$K363)=1)),"첫 건","중복 건")))</f>
        <v/>
      </c>
      <c r="J364" s="11" t="str">
        <f aca="false">IF($A364="","",IF($H364="-","유지",IF($I364="첫 건","유지","확인 필요")))</f>
        <v/>
      </c>
    </row>
    <row r="365" customFormat="false" ht="15" hidden="false" customHeight="true" outlineLevel="0" collapsed="false">
      <c r="A365" s="11" t="str">
        <f aca="false">IF(원본명단!$A364="","",362)</f>
        <v/>
      </c>
      <c r="B365" s="12" t="str">
        <f aca="false">IF($A365="","",원본명단!$A364)</f>
        <v/>
      </c>
      <c r="C365" s="12" t="str">
        <f aca="false">IF($A365="","",원본명단!$B364)</f>
        <v/>
      </c>
      <c r="D365" s="12" t="str">
        <f aca="false">IF($A365="","",원본명단!$D364)</f>
        <v/>
      </c>
      <c r="E365" s="11" t="str">
        <f aca="false">IF($A365="","",IF(원본명단!$H364="",0,COUNTIF(원본명단!$H$3:$H$6002,원본명단!$H364)))</f>
        <v/>
      </c>
      <c r="F365" s="11" t="str">
        <f aca="false">IF($A365="","",IF(원본명단!$I364="",0,COUNTIF(원본명단!$I$3:$I$6002,원본명단!$I364)))</f>
        <v/>
      </c>
      <c r="G365" s="11" t="str">
        <f aca="false">IF($A365="","",IF(원본명단!$K364="",0,COUNTIF(원본명단!$K$3:$K$6002,원본명단!$K364)))</f>
        <v/>
      </c>
      <c r="H365" s="11" t="str">
        <f aca="false">IF($A365="","",IF(MAX($E365,$F365,$G365)&gt;1,"중복","-"))</f>
        <v/>
      </c>
      <c r="I365" s="11" t="str">
        <f aca="false">IF($A365="","",IF($H365="-","-",IF(AND(IF(원본명단!$H364="",TRUE(),COUNTIF(원본명단!$H$3:$H364,원본명단!$H364)=1),IF(원본명단!$I364="",TRUE(),COUNTIF(원본명단!$I$3:$I364,원본명단!$I364)=1),IF(원본명단!$K364="",TRUE(),COUNTIF(원본명단!$K$3:$K364,원본명단!$K364)=1)),"첫 건","중복 건")))</f>
        <v/>
      </c>
      <c r="J365" s="11" t="str">
        <f aca="false">IF($A365="","",IF($H365="-","유지",IF($I365="첫 건","유지","확인 필요")))</f>
        <v/>
      </c>
    </row>
    <row r="366" customFormat="false" ht="15" hidden="false" customHeight="true" outlineLevel="0" collapsed="false">
      <c r="A366" s="11" t="str">
        <f aca="false">IF(원본명단!$A365="","",363)</f>
        <v/>
      </c>
      <c r="B366" s="12" t="str">
        <f aca="false">IF($A366="","",원본명단!$A365)</f>
        <v/>
      </c>
      <c r="C366" s="12" t="str">
        <f aca="false">IF($A366="","",원본명단!$B365)</f>
        <v/>
      </c>
      <c r="D366" s="12" t="str">
        <f aca="false">IF($A366="","",원본명단!$D365)</f>
        <v/>
      </c>
      <c r="E366" s="11" t="str">
        <f aca="false">IF($A366="","",IF(원본명단!$H365="",0,COUNTIF(원본명단!$H$3:$H$6002,원본명단!$H365)))</f>
        <v/>
      </c>
      <c r="F366" s="11" t="str">
        <f aca="false">IF($A366="","",IF(원본명단!$I365="",0,COUNTIF(원본명단!$I$3:$I$6002,원본명단!$I365)))</f>
        <v/>
      </c>
      <c r="G366" s="11" t="str">
        <f aca="false">IF($A366="","",IF(원본명단!$K365="",0,COUNTIF(원본명단!$K$3:$K$6002,원본명단!$K365)))</f>
        <v/>
      </c>
      <c r="H366" s="11" t="str">
        <f aca="false">IF($A366="","",IF(MAX($E366,$F366,$G366)&gt;1,"중복","-"))</f>
        <v/>
      </c>
      <c r="I366" s="11" t="str">
        <f aca="false">IF($A366="","",IF($H366="-","-",IF(AND(IF(원본명단!$H365="",TRUE(),COUNTIF(원본명단!$H$3:$H365,원본명단!$H365)=1),IF(원본명단!$I365="",TRUE(),COUNTIF(원본명단!$I$3:$I365,원본명단!$I365)=1),IF(원본명단!$K365="",TRUE(),COUNTIF(원본명단!$K$3:$K365,원본명단!$K365)=1)),"첫 건","중복 건")))</f>
        <v/>
      </c>
      <c r="J366" s="11" t="str">
        <f aca="false">IF($A366="","",IF($H366="-","유지",IF($I366="첫 건","유지","확인 필요")))</f>
        <v/>
      </c>
    </row>
    <row r="367" customFormat="false" ht="15" hidden="false" customHeight="true" outlineLevel="0" collapsed="false">
      <c r="A367" s="11" t="str">
        <f aca="false">IF(원본명단!$A366="","",364)</f>
        <v/>
      </c>
      <c r="B367" s="12" t="str">
        <f aca="false">IF($A367="","",원본명단!$A366)</f>
        <v/>
      </c>
      <c r="C367" s="12" t="str">
        <f aca="false">IF($A367="","",원본명단!$B366)</f>
        <v/>
      </c>
      <c r="D367" s="12" t="str">
        <f aca="false">IF($A367="","",원본명단!$D366)</f>
        <v/>
      </c>
      <c r="E367" s="11" t="str">
        <f aca="false">IF($A367="","",IF(원본명단!$H366="",0,COUNTIF(원본명단!$H$3:$H$6002,원본명단!$H366)))</f>
        <v/>
      </c>
      <c r="F367" s="11" t="str">
        <f aca="false">IF($A367="","",IF(원본명단!$I366="",0,COUNTIF(원본명단!$I$3:$I$6002,원본명단!$I366)))</f>
        <v/>
      </c>
      <c r="G367" s="11" t="str">
        <f aca="false">IF($A367="","",IF(원본명단!$K366="",0,COUNTIF(원본명단!$K$3:$K$6002,원본명단!$K366)))</f>
        <v/>
      </c>
      <c r="H367" s="11" t="str">
        <f aca="false">IF($A367="","",IF(MAX($E367,$F367,$G367)&gt;1,"중복","-"))</f>
        <v/>
      </c>
      <c r="I367" s="11" t="str">
        <f aca="false">IF($A367="","",IF($H367="-","-",IF(AND(IF(원본명단!$H366="",TRUE(),COUNTIF(원본명단!$H$3:$H366,원본명단!$H366)=1),IF(원본명단!$I366="",TRUE(),COUNTIF(원본명단!$I$3:$I366,원본명단!$I366)=1),IF(원본명단!$K366="",TRUE(),COUNTIF(원본명단!$K$3:$K366,원본명단!$K366)=1)),"첫 건","중복 건")))</f>
        <v/>
      </c>
      <c r="J367" s="11" t="str">
        <f aca="false">IF($A367="","",IF($H367="-","유지",IF($I367="첫 건","유지","확인 필요")))</f>
        <v/>
      </c>
    </row>
    <row r="368" customFormat="false" ht="15" hidden="false" customHeight="true" outlineLevel="0" collapsed="false">
      <c r="A368" s="11" t="str">
        <f aca="false">IF(원본명단!$A367="","",365)</f>
        <v/>
      </c>
      <c r="B368" s="12" t="str">
        <f aca="false">IF($A368="","",원본명단!$A367)</f>
        <v/>
      </c>
      <c r="C368" s="12" t="str">
        <f aca="false">IF($A368="","",원본명단!$B367)</f>
        <v/>
      </c>
      <c r="D368" s="12" t="str">
        <f aca="false">IF($A368="","",원본명단!$D367)</f>
        <v/>
      </c>
      <c r="E368" s="11" t="str">
        <f aca="false">IF($A368="","",IF(원본명단!$H367="",0,COUNTIF(원본명단!$H$3:$H$6002,원본명단!$H367)))</f>
        <v/>
      </c>
      <c r="F368" s="11" t="str">
        <f aca="false">IF($A368="","",IF(원본명단!$I367="",0,COUNTIF(원본명단!$I$3:$I$6002,원본명단!$I367)))</f>
        <v/>
      </c>
      <c r="G368" s="11" t="str">
        <f aca="false">IF($A368="","",IF(원본명단!$K367="",0,COUNTIF(원본명단!$K$3:$K$6002,원본명단!$K367)))</f>
        <v/>
      </c>
      <c r="H368" s="11" t="str">
        <f aca="false">IF($A368="","",IF(MAX($E368,$F368,$G368)&gt;1,"중복","-"))</f>
        <v/>
      </c>
      <c r="I368" s="11" t="str">
        <f aca="false">IF($A368="","",IF($H368="-","-",IF(AND(IF(원본명단!$H367="",TRUE(),COUNTIF(원본명단!$H$3:$H367,원본명단!$H367)=1),IF(원본명단!$I367="",TRUE(),COUNTIF(원본명단!$I$3:$I367,원본명단!$I367)=1),IF(원본명단!$K367="",TRUE(),COUNTIF(원본명단!$K$3:$K367,원본명단!$K367)=1)),"첫 건","중복 건")))</f>
        <v/>
      </c>
      <c r="J368" s="11" t="str">
        <f aca="false">IF($A368="","",IF($H368="-","유지",IF($I368="첫 건","유지","확인 필요")))</f>
        <v/>
      </c>
    </row>
    <row r="369" customFormat="false" ht="15" hidden="false" customHeight="true" outlineLevel="0" collapsed="false">
      <c r="A369" s="11" t="str">
        <f aca="false">IF(원본명단!$A368="","",366)</f>
        <v/>
      </c>
      <c r="B369" s="12" t="str">
        <f aca="false">IF($A369="","",원본명단!$A368)</f>
        <v/>
      </c>
      <c r="C369" s="12" t="str">
        <f aca="false">IF($A369="","",원본명단!$B368)</f>
        <v/>
      </c>
      <c r="D369" s="12" t="str">
        <f aca="false">IF($A369="","",원본명단!$D368)</f>
        <v/>
      </c>
      <c r="E369" s="11" t="str">
        <f aca="false">IF($A369="","",IF(원본명단!$H368="",0,COUNTIF(원본명단!$H$3:$H$6002,원본명단!$H368)))</f>
        <v/>
      </c>
      <c r="F369" s="11" t="str">
        <f aca="false">IF($A369="","",IF(원본명단!$I368="",0,COUNTIF(원본명단!$I$3:$I$6002,원본명단!$I368)))</f>
        <v/>
      </c>
      <c r="G369" s="11" t="str">
        <f aca="false">IF($A369="","",IF(원본명단!$K368="",0,COUNTIF(원본명단!$K$3:$K$6002,원본명단!$K368)))</f>
        <v/>
      </c>
      <c r="H369" s="11" t="str">
        <f aca="false">IF($A369="","",IF(MAX($E369,$F369,$G369)&gt;1,"중복","-"))</f>
        <v/>
      </c>
      <c r="I369" s="11" t="str">
        <f aca="false">IF($A369="","",IF($H369="-","-",IF(AND(IF(원본명단!$H368="",TRUE(),COUNTIF(원본명단!$H$3:$H368,원본명단!$H368)=1),IF(원본명단!$I368="",TRUE(),COUNTIF(원본명단!$I$3:$I368,원본명단!$I368)=1),IF(원본명단!$K368="",TRUE(),COUNTIF(원본명단!$K$3:$K368,원본명단!$K368)=1)),"첫 건","중복 건")))</f>
        <v/>
      </c>
      <c r="J369" s="11" t="str">
        <f aca="false">IF($A369="","",IF($H369="-","유지",IF($I369="첫 건","유지","확인 필요")))</f>
        <v/>
      </c>
    </row>
    <row r="370" customFormat="false" ht="15" hidden="false" customHeight="true" outlineLevel="0" collapsed="false">
      <c r="A370" s="11" t="str">
        <f aca="false">IF(원본명단!$A369="","",367)</f>
        <v/>
      </c>
      <c r="B370" s="12" t="str">
        <f aca="false">IF($A370="","",원본명단!$A369)</f>
        <v/>
      </c>
      <c r="C370" s="12" t="str">
        <f aca="false">IF($A370="","",원본명단!$B369)</f>
        <v/>
      </c>
      <c r="D370" s="12" t="str">
        <f aca="false">IF($A370="","",원본명단!$D369)</f>
        <v/>
      </c>
      <c r="E370" s="11" t="str">
        <f aca="false">IF($A370="","",IF(원본명단!$H369="",0,COUNTIF(원본명단!$H$3:$H$6002,원본명단!$H369)))</f>
        <v/>
      </c>
      <c r="F370" s="11" t="str">
        <f aca="false">IF($A370="","",IF(원본명단!$I369="",0,COUNTIF(원본명단!$I$3:$I$6002,원본명단!$I369)))</f>
        <v/>
      </c>
      <c r="G370" s="11" t="str">
        <f aca="false">IF($A370="","",IF(원본명단!$K369="",0,COUNTIF(원본명단!$K$3:$K$6002,원본명단!$K369)))</f>
        <v/>
      </c>
      <c r="H370" s="11" t="str">
        <f aca="false">IF($A370="","",IF(MAX($E370,$F370,$G370)&gt;1,"중복","-"))</f>
        <v/>
      </c>
      <c r="I370" s="11" t="str">
        <f aca="false">IF($A370="","",IF($H370="-","-",IF(AND(IF(원본명단!$H369="",TRUE(),COUNTIF(원본명단!$H$3:$H369,원본명단!$H369)=1),IF(원본명단!$I369="",TRUE(),COUNTIF(원본명단!$I$3:$I369,원본명단!$I369)=1),IF(원본명단!$K369="",TRUE(),COUNTIF(원본명단!$K$3:$K369,원본명단!$K369)=1)),"첫 건","중복 건")))</f>
        <v/>
      </c>
      <c r="J370" s="11" t="str">
        <f aca="false">IF($A370="","",IF($H370="-","유지",IF($I370="첫 건","유지","확인 필요")))</f>
        <v/>
      </c>
    </row>
    <row r="371" customFormat="false" ht="15" hidden="false" customHeight="true" outlineLevel="0" collapsed="false">
      <c r="A371" s="11" t="str">
        <f aca="false">IF(원본명단!$A370="","",368)</f>
        <v/>
      </c>
      <c r="B371" s="12" t="str">
        <f aca="false">IF($A371="","",원본명단!$A370)</f>
        <v/>
      </c>
      <c r="C371" s="12" t="str">
        <f aca="false">IF($A371="","",원본명단!$B370)</f>
        <v/>
      </c>
      <c r="D371" s="12" t="str">
        <f aca="false">IF($A371="","",원본명단!$D370)</f>
        <v/>
      </c>
      <c r="E371" s="11" t="str">
        <f aca="false">IF($A371="","",IF(원본명단!$H370="",0,COUNTIF(원본명단!$H$3:$H$6002,원본명단!$H370)))</f>
        <v/>
      </c>
      <c r="F371" s="11" t="str">
        <f aca="false">IF($A371="","",IF(원본명단!$I370="",0,COUNTIF(원본명단!$I$3:$I$6002,원본명단!$I370)))</f>
        <v/>
      </c>
      <c r="G371" s="11" t="str">
        <f aca="false">IF($A371="","",IF(원본명단!$K370="",0,COUNTIF(원본명단!$K$3:$K$6002,원본명단!$K370)))</f>
        <v/>
      </c>
      <c r="H371" s="11" t="str">
        <f aca="false">IF($A371="","",IF(MAX($E371,$F371,$G371)&gt;1,"중복","-"))</f>
        <v/>
      </c>
      <c r="I371" s="11" t="str">
        <f aca="false">IF($A371="","",IF($H371="-","-",IF(AND(IF(원본명단!$H370="",TRUE(),COUNTIF(원본명단!$H$3:$H370,원본명단!$H370)=1),IF(원본명단!$I370="",TRUE(),COUNTIF(원본명단!$I$3:$I370,원본명단!$I370)=1),IF(원본명단!$K370="",TRUE(),COUNTIF(원본명단!$K$3:$K370,원본명단!$K370)=1)),"첫 건","중복 건")))</f>
        <v/>
      </c>
      <c r="J371" s="11" t="str">
        <f aca="false">IF($A371="","",IF($H371="-","유지",IF($I371="첫 건","유지","확인 필요")))</f>
        <v/>
      </c>
    </row>
    <row r="372" customFormat="false" ht="15" hidden="false" customHeight="true" outlineLevel="0" collapsed="false">
      <c r="A372" s="11" t="str">
        <f aca="false">IF(원본명단!$A371="","",369)</f>
        <v/>
      </c>
      <c r="B372" s="12" t="str">
        <f aca="false">IF($A372="","",원본명단!$A371)</f>
        <v/>
      </c>
      <c r="C372" s="12" t="str">
        <f aca="false">IF($A372="","",원본명단!$B371)</f>
        <v/>
      </c>
      <c r="D372" s="12" t="str">
        <f aca="false">IF($A372="","",원본명단!$D371)</f>
        <v/>
      </c>
      <c r="E372" s="11" t="str">
        <f aca="false">IF($A372="","",IF(원본명단!$H371="",0,COUNTIF(원본명단!$H$3:$H$6002,원본명단!$H371)))</f>
        <v/>
      </c>
      <c r="F372" s="11" t="str">
        <f aca="false">IF($A372="","",IF(원본명단!$I371="",0,COUNTIF(원본명단!$I$3:$I$6002,원본명단!$I371)))</f>
        <v/>
      </c>
      <c r="G372" s="11" t="str">
        <f aca="false">IF($A372="","",IF(원본명단!$K371="",0,COUNTIF(원본명단!$K$3:$K$6002,원본명단!$K371)))</f>
        <v/>
      </c>
      <c r="H372" s="11" t="str">
        <f aca="false">IF($A372="","",IF(MAX($E372,$F372,$G372)&gt;1,"중복","-"))</f>
        <v/>
      </c>
      <c r="I372" s="11" t="str">
        <f aca="false">IF($A372="","",IF($H372="-","-",IF(AND(IF(원본명단!$H371="",TRUE(),COUNTIF(원본명단!$H$3:$H371,원본명단!$H371)=1),IF(원본명단!$I371="",TRUE(),COUNTIF(원본명단!$I$3:$I371,원본명단!$I371)=1),IF(원본명단!$K371="",TRUE(),COUNTIF(원본명단!$K$3:$K371,원본명단!$K371)=1)),"첫 건","중복 건")))</f>
        <v/>
      </c>
      <c r="J372" s="11" t="str">
        <f aca="false">IF($A372="","",IF($H372="-","유지",IF($I372="첫 건","유지","확인 필요")))</f>
        <v/>
      </c>
    </row>
    <row r="373" customFormat="false" ht="15" hidden="false" customHeight="true" outlineLevel="0" collapsed="false">
      <c r="A373" s="11" t="str">
        <f aca="false">IF(원본명단!$A372="","",370)</f>
        <v/>
      </c>
      <c r="B373" s="12" t="str">
        <f aca="false">IF($A373="","",원본명단!$A372)</f>
        <v/>
      </c>
      <c r="C373" s="12" t="str">
        <f aca="false">IF($A373="","",원본명단!$B372)</f>
        <v/>
      </c>
      <c r="D373" s="12" t="str">
        <f aca="false">IF($A373="","",원본명단!$D372)</f>
        <v/>
      </c>
      <c r="E373" s="11" t="str">
        <f aca="false">IF($A373="","",IF(원본명단!$H372="",0,COUNTIF(원본명단!$H$3:$H$6002,원본명단!$H372)))</f>
        <v/>
      </c>
      <c r="F373" s="11" t="str">
        <f aca="false">IF($A373="","",IF(원본명단!$I372="",0,COUNTIF(원본명단!$I$3:$I$6002,원본명단!$I372)))</f>
        <v/>
      </c>
      <c r="G373" s="11" t="str">
        <f aca="false">IF($A373="","",IF(원본명단!$K372="",0,COUNTIF(원본명단!$K$3:$K$6002,원본명단!$K372)))</f>
        <v/>
      </c>
      <c r="H373" s="11" t="str">
        <f aca="false">IF($A373="","",IF(MAX($E373,$F373,$G373)&gt;1,"중복","-"))</f>
        <v/>
      </c>
      <c r="I373" s="11" t="str">
        <f aca="false">IF($A373="","",IF($H373="-","-",IF(AND(IF(원본명단!$H372="",TRUE(),COUNTIF(원본명단!$H$3:$H372,원본명단!$H372)=1),IF(원본명단!$I372="",TRUE(),COUNTIF(원본명단!$I$3:$I372,원본명단!$I372)=1),IF(원본명단!$K372="",TRUE(),COUNTIF(원본명단!$K$3:$K372,원본명단!$K372)=1)),"첫 건","중복 건")))</f>
        <v/>
      </c>
      <c r="J373" s="11" t="str">
        <f aca="false">IF($A373="","",IF($H373="-","유지",IF($I373="첫 건","유지","확인 필요")))</f>
        <v/>
      </c>
    </row>
    <row r="374" customFormat="false" ht="15" hidden="false" customHeight="true" outlineLevel="0" collapsed="false">
      <c r="A374" s="11" t="str">
        <f aca="false">IF(원본명단!$A373="","",371)</f>
        <v/>
      </c>
      <c r="B374" s="12" t="str">
        <f aca="false">IF($A374="","",원본명단!$A373)</f>
        <v/>
      </c>
      <c r="C374" s="12" t="str">
        <f aca="false">IF($A374="","",원본명단!$B373)</f>
        <v/>
      </c>
      <c r="D374" s="12" t="str">
        <f aca="false">IF($A374="","",원본명단!$D373)</f>
        <v/>
      </c>
      <c r="E374" s="11" t="str">
        <f aca="false">IF($A374="","",IF(원본명단!$H373="",0,COUNTIF(원본명단!$H$3:$H$6002,원본명단!$H373)))</f>
        <v/>
      </c>
      <c r="F374" s="11" t="str">
        <f aca="false">IF($A374="","",IF(원본명단!$I373="",0,COUNTIF(원본명단!$I$3:$I$6002,원본명단!$I373)))</f>
        <v/>
      </c>
      <c r="G374" s="11" t="str">
        <f aca="false">IF($A374="","",IF(원본명단!$K373="",0,COUNTIF(원본명단!$K$3:$K$6002,원본명단!$K373)))</f>
        <v/>
      </c>
      <c r="H374" s="11" t="str">
        <f aca="false">IF($A374="","",IF(MAX($E374,$F374,$G374)&gt;1,"중복","-"))</f>
        <v/>
      </c>
      <c r="I374" s="11" t="str">
        <f aca="false">IF($A374="","",IF($H374="-","-",IF(AND(IF(원본명단!$H373="",TRUE(),COUNTIF(원본명단!$H$3:$H373,원본명단!$H373)=1),IF(원본명단!$I373="",TRUE(),COUNTIF(원본명단!$I$3:$I373,원본명단!$I373)=1),IF(원본명단!$K373="",TRUE(),COUNTIF(원본명단!$K$3:$K373,원본명단!$K373)=1)),"첫 건","중복 건")))</f>
        <v/>
      </c>
      <c r="J374" s="11" t="str">
        <f aca="false">IF($A374="","",IF($H374="-","유지",IF($I374="첫 건","유지","확인 필요")))</f>
        <v/>
      </c>
    </row>
    <row r="375" customFormat="false" ht="15" hidden="false" customHeight="true" outlineLevel="0" collapsed="false">
      <c r="A375" s="11" t="str">
        <f aca="false">IF(원본명단!$A374="","",372)</f>
        <v/>
      </c>
      <c r="B375" s="12" t="str">
        <f aca="false">IF($A375="","",원본명단!$A374)</f>
        <v/>
      </c>
      <c r="C375" s="12" t="str">
        <f aca="false">IF($A375="","",원본명단!$B374)</f>
        <v/>
      </c>
      <c r="D375" s="12" t="str">
        <f aca="false">IF($A375="","",원본명단!$D374)</f>
        <v/>
      </c>
      <c r="E375" s="11" t="str">
        <f aca="false">IF($A375="","",IF(원본명단!$H374="",0,COUNTIF(원본명단!$H$3:$H$6002,원본명단!$H374)))</f>
        <v/>
      </c>
      <c r="F375" s="11" t="str">
        <f aca="false">IF($A375="","",IF(원본명단!$I374="",0,COUNTIF(원본명단!$I$3:$I$6002,원본명단!$I374)))</f>
        <v/>
      </c>
      <c r="G375" s="11" t="str">
        <f aca="false">IF($A375="","",IF(원본명단!$K374="",0,COUNTIF(원본명단!$K$3:$K$6002,원본명단!$K374)))</f>
        <v/>
      </c>
      <c r="H375" s="11" t="str">
        <f aca="false">IF($A375="","",IF(MAX($E375,$F375,$G375)&gt;1,"중복","-"))</f>
        <v/>
      </c>
      <c r="I375" s="11" t="str">
        <f aca="false">IF($A375="","",IF($H375="-","-",IF(AND(IF(원본명단!$H374="",TRUE(),COUNTIF(원본명단!$H$3:$H374,원본명단!$H374)=1),IF(원본명단!$I374="",TRUE(),COUNTIF(원본명단!$I$3:$I374,원본명단!$I374)=1),IF(원본명단!$K374="",TRUE(),COUNTIF(원본명단!$K$3:$K374,원본명단!$K374)=1)),"첫 건","중복 건")))</f>
        <v/>
      </c>
      <c r="J375" s="11" t="str">
        <f aca="false">IF($A375="","",IF($H375="-","유지",IF($I375="첫 건","유지","확인 필요")))</f>
        <v/>
      </c>
    </row>
    <row r="376" customFormat="false" ht="15" hidden="false" customHeight="true" outlineLevel="0" collapsed="false">
      <c r="A376" s="11" t="str">
        <f aca="false">IF(원본명단!$A375="","",373)</f>
        <v/>
      </c>
      <c r="B376" s="12" t="str">
        <f aca="false">IF($A376="","",원본명단!$A375)</f>
        <v/>
      </c>
      <c r="C376" s="12" t="str">
        <f aca="false">IF($A376="","",원본명단!$B375)</f>
        <v/>
      </c>
      <c r="D376" s="12" t="str">
        <f aca="false">IF($A376="","",원본명단!$D375)</f>
        <v/>
      </c>
      <c r="E376" s="11" t="str">
        <f aca="false">IF($A376="","",IF(원본명단!$H375="",0,COUNTIF(원본명단!$H$3:$H$6002,원본명단!$H375)))</f>
        <v/>
      </c>
      <c r="F376" s="11" t="str">
        <f aca="false">IF($A376="","",IF(원본명단!$I375="",0,COUNTIF(원본명단!$I$3:$I$6002,원본명단!$I375)))</f>
        <v/>
      </c>
      <c r="G376" s="11" t="str">
        <f aca="false">IF($A376="","",IF(원본명단!$K375="",0,COUNTIF(원본명단!$K$3:$K$6002,원본명단!$K375)))</f>
        <v/>
      </c>
      <c r="H376" s="11" t="str">
        <f aca="false">IF($A376="","",IF(MAX($E376,$F376,$G376)&gt;1,"중복","-"))</f>
        <v/>
      </c>
      <c r="I376" s="11" t="str">
        <f aca="false">IF($A376="","",IF($H376="-","-",IF(AND(IF(원본명단!$H375="",TRUE(),COUNTIF(원본명단!$H$3:$H375,원본명단!$H375)=1),IF(원본명단!$I375="",TRUE(),COUNTIF(원본명단!$I$3:$I375,원본명단!$I375)=1),IF(원본명단!$K375="",TRUE(),COUNTIF(원본명단!$K$3:$K375,원본명단!$K375)=1)),"첫 건","중복 건")))</f>
        <v/>
      </c>
      <c r="J376" s="11" t="str">
        <f aca="false">IF($A376="","",IF($H376="-","유지",IF($I376="첫 건","유지","확인 필요")))</f>
        <v/>
      </c>
    </row>
    <row r="377" customFormat="false" ht="15" hidden="false" customHeight="true" outlineLevel="0" collapsed="false">
      <c r="A377" s="11" t="str">
        <f aca="false">IF(원본명단!$A376="","",374)</f>
        <v/>
      </c>
      <c r="B377" s="12" t="str">
        <f aca="false">IF($A377="","",원본명단!$A376)</f>
        <v/>
      </c>
      <c r="C377" s="12" t="str">
        <f aca="false">IF($A377="","",원본명단!$B376)</f>
        <v/>
      </c>
      <c r="D377" s="12" t="str">
        <f aca="false">IF($A377="","",원본명단!$D376)</f>
        <v/>
      </c>
      <c r="E377" s="11" t="str">
        <f aca="false">IF($A377="","",IF(원본명단!$H376="",0,COUNTIF(원본명단!$H$3:$H$6002,원본명단!$H376)))</f>
        <v/>
      </c>
      <c r="F377" s="11" t="str">
        <f aca="false">IF($A377="","",IF(원본명단!$I376="",0,COUNTIF(원본명단!$I$3:$I$6002,원본명단!$I376)))</f>
        <v/>
      </c>
      <c r="G377" s="11" t="str">
        <f aca="false">IF($A377="","",IF(원본명단!$K376="",0,COUNTIF(원본명단!$K$3:$K$6002,원본명단!$K376)))</f>
        <v/>
      </c>
      <c r="H377" s="11" t="str">
        <f aca="false">IF($A377="","",IF(MAX($E377,$F377,$G377)&gt;1,"중복","-"))</f>
        <v/>
      </c>
      <c r="I377" s="11" t="str">
        <f aca="false">IF($A377="","",IF($H377="-","-",IF(AND(IF(원본명단!$H376="",TRUE(),COUNTIF(원본명단!$H$3:$H376,원본명단!$H376)=1),IF(원본명단!$I376="",TRUE(),COUNTIF(원본명단!$I$3:$I376,원본명단!$I376)=1),IF(원본명단!$K376="",TRUE(),COUNTIF(원본명단!$K$3:$K376,원본명단!$K376)=1)),"첫 건","중복 건")))</f>
        <v/>
      </c>
      <c r="J377" s="11" t="str">
        <f aca="false">IF($A377="","",IF($H377="-","유지",IF($I377="첫 건","유지","확인 필요")))</f>
        <v/>
      </c>
    </row>
    <row r="378" customFormat="false" ht="15" hidden="false" customHeight="true" outlineLevel="0" collapsed="false">
      <c r="A378" s="11" t="str">
        <f aca="false">IF(원본명단!$A377="","",375)</f>
        <v/>
      </c>
      <c r="B378" s="12" t="str">
        <f aca="false">IF($A378="","",원본명단!$A377)</f>
        <v/>
      </c>
      <c r="C378" s="12" t="str">
        <f aca="false">IF($A378="","",원본명단!$B377)</f>
        <v/>
      </c>
      <c r="D378" s="12" t="str">
        <f aca="false">IF($A378="","",원본명단!$D377)</f>
        <v/>
      </c>
      <c r="E378" s="11" t="str">
        <f aca="false">IF($A378="","",IF(원본명단!$H377="",0,COUNTIF(원본명단!$H$3:$H$6002,원본명단!$H377)))</f>
        <v/>
      </c>
      <c r="F378" s="11" t="str">
        <f aca="false">IF($A378="","",IF(원본명단!$I377="",0,COUNTIF(원본명단!$I$3:$I$6002,원본명단!$I377)))</f>
        <v/>
      </c>
      <c r="G378" s="11" t="str">
        <f aca="false">IF($A378="","",IF(원본명단!$K377="",0,COUNTIF(원본명단!$K$3:$K$6002,원본명단!$K377)))</f>
        <v/>
      </c>
      <c r="H378" s="11" t="str">
        <f aca="false">IF($A378="","",IF(MAX($E378,$F378,$G378)&gt;1,"중복","-"))</f>
        <v/>
      </c>
      <c r="I378" s="11" t="str">
        <f aca="false">IF($A378="","",IF($H378="-","-",IF(AND(IF(원본명단!$H377="",TRUE(),COUNTIF(원본명단!$H$3:$H377,원본명단!$H377)=1),IF(원본명단!$I377="",TRUE(),COUNTIF(원본명단!$I$3:$I377,원본명단!$I377)=1),IF(원본명단!$K377="",TRUE(),COUNTIF(원본명단!$K$3:$K377,원본명단!$K377)=1)),"첫 건","중복 건")))</f>
        <v/>
      </c>
      <c r="J378" s="11" t="str">
        <f aca="false">IF($A378="","",IF($H378="-","유지",IF($I378="첫 건","유지","확인 필요")))</f>
        <v/>
      </c>
    </row>
    <row r="379" customFormat="false" ht="15" hidden="false" customHeight="true" outlineLevel="0" collapsed="false">
      <c r="A379" s="11" t="str">
        <f aca="false">IF(원본명단!$A378="","",376)</f>
        <v/>
      </c>
      <c r="B379" s="12" t="str">
        <f aca="false">IF($A379="","",원본명단!$A378)</f>
        <v/>
      </c>
      <c r="C379" s="12" t="str">
        <f aca="false">IF($A379="","",원본명단!$B378)</f>
        <v/>
      </c>
      <c r="D379" s="12" t="str">
        <f aca="false">IF($A379="","",원본명단!$D378)</f>
        <v/>
      </c>
      <c r="E379" s="11" t="str">
        <f aca="false">IF($A379="","",IF(원본명단!$H378="",0,COUNTIF(원본명단!$H$3:$H$6002,원본명단!$H378)))</f>
        <v/>
      </c>
      <c r="F379" s="11" t="str">
        <f aca="false">IF($A379="","",IF(원본명단!$I378="",0,COUNTIF(원본명단!$I$3:$I$6002,원본명단!$I378)))</f>
        <v/>
      </c>
      <c r="G379" s="11" t="str">
        <f aca="false">IF($A379="","",IF(원본명단!$K378="",0,COUNTIF(원본명단!$K$3:$K$6002,원본명단!$K378)))</f>
        <v/>
      </c>
      <c r="H379" s="11" t="str">
        <f aca="false">IF($A379="","",IF(MAX($E379,$F379,$G379)&gt;1,"중복","-"))</f>
        <v/>
      </c>
      <c r="I379" s="11" t="str">
        <f aca="false">IF($A379="","",IF($H379="-","-",IF(AND(IF(원본명단!$H378="",TRUE(),COUNTIF(원본명단!$H$3:$H378,원본명단!$H378)=1),IF(원본명단!$I378="",TRUE(),COUNTIF(원본명단!$I$3:$I378,원본명단!$I378)=1),IF(원본명단!$K378="",TRUE(),COUNTIF(원본명단!$K$3:$K378,원본명단!$K378)=1)),"첫 건","중복 건")))</f>
        <v/>
      </c>
      <c r="J379" s="11" t="str">
        <f aca="false">IF($A379="","",IF($H379="-","유지",IF($I379="첫 건","유지","확인 필요")))</f>
        <v/>
      </c>
    </row>
    <row r="380" customFormat="false" ht="15" hidden="false" customHeight="true" outlineLevel="0" collapsed="false">
      <c r="A380" s="11" t="str">
        <f aca="false">IF(원본명단!$A379="","",377)</f>
        <v/>
      </c>
      <c r="B380" s="12" t="str">
        <f aca="false">IF($A380="","",원본명단!$A379)</f>
        <v/>
      </c>
      <c r="C380" s="12" t="str">
        <f aca="false">IF($A380="","",원본명단!$B379)</f>
        <v/>
      </c>
      <c r="D380" s="12" t="str">
        <f aca="false">IF($A380="","",원본명단!$D379)</f>
        <v/>
      </c>
      <c r="E380" s="11" t="str">
        <f aca="false">IF($A380="","",IF(원본명단!$H379="",0,COUNTIF(원본명단!$H$3:$H$6002,원본명단!$H379)))</f>
        <v/>
      </c>
      <c r="F380" s="11" t="str">
        <f aca="false">IF($A380="","",IF(원본명단!$I379="",0,COUNTIF(원본명단!$I$3:$I$6002,원본명단!$I379)))</f>
        <v/>
      </c>
      <c r="G380" s="11" t="str">
        <f aca="false">IF($A380="","",IF(원본명단!$K379="",0,COUNTIF(원본명단!$K$3:$K$6002,원본명단!$K379)))</f>
        <v/>
      </c>
      <c r="H380" s="11" t="str">
        <f aca="false">IF($A380="","",IF(MAX($E380,$F380,$G380)&gt;1,"중복","-"))</f>
        <v/>
      </c>
      <c r="I380" s="11" t="str">
        <f aca="false">IF($A380="","",IF($H380="-","-",IF(AND(IF(원본명단!$H379="",TRUE(),COUNTIF(원본명단!$H$3:$H379,원본명단!$H379)=1),IF(원본명단!$I379="",TRUE(),COUNTIF(원본명단!$I$3:$I379,원본명단!$I379)=1),IF(원본명단!$K379="",TRUE(),COUNTIF(원본명단!$K$3:$K379,원본명단!$K379)=1)),"첫 건","중복 건")))</f>
        <v/>
      </c>
      <c r="J380" s="11" t="str">
        <f aca="false">IF($A380="","",IF($H380="-","유지",IF($I380="첫 건","유지","확인 필요")))</f>
        <v/>
      </c>
    </row>
    <row r="381" customFormat="false" ht="15" hidden="false" customHeight="true" outlineLevel="0" collapsed="false">
      <c r="A381" s="11" t="str">
        <f aca="false">IF(원본명단!$A380="","",378)</f>
        <v/>
      </c>
      <c r="B381" s="12" t="str">
        <f aca="false">IF($A381="","",원본명단!$A380)</f>
        <v/>
      </c>
      <c r="C381" s="12" t="str">
        <f aca="false">IF($A381="","",원본명단!$B380)</f>
        <v/>
      </c>
      <c r="D381" s="12" t="str">
        <f aca="false">IF($A381="","",원본명단!$D380)</f>
        <v/>
      </c>
      <c r="E381" s="11" t="str">
        <f aca="false">IF($A381="","",IF(원본명단!$H380="",0,COUNTIF(원본명단!$H$3:$H$6002,원본명단!$H380)))</f>
        <v/>
      </c>
      <c r="F381" s="11" t="str">
        <f aca="false">IF($A381="","",IF(원본명단!$I380="",0,COUNTIF(원본명단!$I$3:$I$6002,원본명단!$I380)))</f>
        <v/>
      </c>
      <c r="G381" s="11" t="str">
        <f aca="false">IF($A381="","",IF(원본명단!$K380="",0,COUNTIF(원본명단!$K$3:$K$6002,원본명단!$K380)))</f>
        <v/>
      </c>
      <c r="H381" s="11" t="str">
        <f aca="false">IF($A381="","",IF(MAX($E381,$F381,$G381)&gt;1,"중복","-"))</f>
        <v/>
      </c>
      <c r="I381" s="11" t="str">
        <f aca="false">IF($A381="","",IF($H381="-","-",IF(AND(IF(원본명단!$H380="",TRUE(),COUNTIF(원본명단!$H$3:$H380,원본명단!$H380)=1),IF(원본명단!$I380="",TRUE(),COUNTIF(원본명단!$I$3:$I380,원본명단!$I380)=1),IF(원본명단!$K380="",TRUE(),COUNTIF(원본명단!$K$3:$K380,원본명단!$K380)=1)),"첫 건","중복 건")))</f>
        <v/>
      </c>
      <c r="J381" s="11" t="str">
        <f aca="false">IF($A381="","",IF($H381="-","유지",IF($I381="첫 건","유지","확인 필요")))</f>
        <v/>
      </c>
    </row>
    <row r="382" customFormat="false" ht="15" hidden="false" customHeight="true" outlineLevel="0" collapsed="false">
      <c r="A382" s="11" t="str">
        <f aca="false">IF(원본명단!$A381="","",379)</f>
        <v/>
      </c>
      <c r="B382" s="12" t="str">
        <f aca="false">IF($A382="","",원본명단!$A381)</f>
        <v/>
      </c>
      <c r="C382" s="12" t="str">
        <f aca="false">IF($A382="","",원본명단!$B381)</f>
        <v/>
      </c>
      <c r="D382" s="12" t="str">
        <f aca="false">IF($A382="","",원본명단!$D381)</f>
        <v/>
      </c>
      <c r="E382" s="11" t="str">
        <f aca="false">IF($A382="","",IF(원본명단!$H381="",0,COUNTIF(원본명단!$H$3:$H$6002,원본명단!$H381)))</f>
        <v/>
      </c>
      <c r="F382" s="11" t="str">
        <f aca="false">IF($A382="","",IF(원본명단!$I381="",0,COUNTIF(원본명단!$I$3:$I$6002,원본명단!$I381)))</f>
        <v/>
      </c>
      <c r="G382" s="11" t="str">
        <f aca="false">IF($A382="","",IF(원본명단!$K381="",0,COUNTIF(원본명단!$K$3:$K$6002,원본명단!$K381)))</f>
        <v/>
      </c>
      <c r="H382" s="11" t="str">
        <f aca="false">IF($A382="","",IF(MAX($E382,$F382,$G382)&gt;1,"중복","-"))</f>
        <v/>
      </c>
      <c r="I382" s="11" t="str">
        <f aca="false">IF($A382="","",IF($H382="-","-",IF(AND(IF(원본명단!$H381="",TRUE(),COUNTIF(원본명단!$H$3:$H381,원본명단!$H381)=1),IF(원본명단!$I381="",TRUE(),COUNTIF(원본명단!$I$3:$I381,원본명단!$I381)=1),IF(원본명단!$K381="",TRUE(),COUNTIF(원본명단!$K$3:$K381,원본명단!$K381)=1)),"첫 건","중복 건")))</f>
        <v/>
      </c>
      <c r="J382" s="11" t="str">
        <f aca="false">IF($A382="","",IF($H382="-","유지",IF($I382="첫 건","유지","확인 필요")))</f>
        <v/>
      </c>
    </row>
    <row r="383" customFormat="false" ht="15" hidden="false" customHeight="true" outlineLevel="0" collapsed="false">
      <c r="A383" s="11" t="str">
        <f aca="false">IF(원본명단!$A382="","",380)</f>
        <v/>
      </c>
      <c r="B383" s="12" t="str">
        <f aca="false">IF($A383="","",원본명단!$A382)</f>
        <v/>
      </c>
      <c r="C383" s="12" t="str">
        <f aca="false">IF($A383="","",원본명단!$B382)</f>
        <v/>
      </c>
      <c r="D383" s="12" t="str">
        <f aca="false">IF($A383="","",원본명단!$D382)</f>
        <v/>
      </c>
      <c r="E383" s="11" t="str">
        <f aca="false">IF($A383="","",IF(원본명단!$H382="",0,COUNTIF(원본명단!$H$3:$H$6002,원본명단!$H382)))</f>
        <v/>
      </c>
      <c r="F383" s="11" t="str">
        <f aca="false">IF($A383="","",IF(원본명단!$I382="",0,COUNTIF(원본명단!$I$3:$I$6002,원본명단!$I382)))</f>
        <v/>
      </c>
      <c r="G383" s="11" t="str">
        <f aca="false">IF($A383="","",IF(원본명단!$K382="",0,COUNTIF(원본명단!$K$3:$K$6002,원본명단!$K382)))</f>
        <v/>
      </c>
      <c r="H383" s="11" t="str">
        <f aca="false">IF($A383="","",IF(MAX($E383,$F383,$G383)&gt;1,"중복","-"))</f>
        <v/>
      </c>
      <c r="I383" s="11" t="str">
        <f aca="false">IF($A383="","",IF($H383="-","-",IF(AND(IF(원본명단!$H382="",TRUE(),COUNTIF(원본명단!$H$3:$H382,원본명단!$H382)=1),IF(원본명단!$I382="",TRUE(),COUNTIF(원본명단!$I$3:$I382,원본명단!$I382)=1),IF(원본명단!$K382="",TRUE(),COUNTIF(원본명단!$K$3:$K382,원본명단!$K382)=1)),"첫 건","중복 건")))</f>
        <v/>
      </c>
      <c r="J383" s="11" t="str">
        <f aca="false">IF($A383="","",IF($H383="-","유지",IF($I383="첫 건","유지","확인 필요")))</f>
        <v/>
      </c>
    </row>
    <row r="384" customFormat="false" ht="15" hidden="false" customHeight="true" outlineLevel="0" collapsed="false">
      <c r="A384" s="11" t="str">
        <f aca="false">IF(원본명단!$A383="","",381)</f>
        <v/>
      </c>
      <c r="B384" s="12" t="str">
        <f aca="false">IF($A384="","",원본명단!$A383)</f>
        <v/>
      </c>
      <c r="C384" s="12" t="str">
        <f aca="false">IF($A384="","",원본명단!$B383)</f>
        <v/>
      </c>
      <c r="D384" s="12" t="str">
        <f aca="false">IF($A384="","",원본명단!$D383)</f>
        <v/>
      </c>
      <c r="E384" s="11" t="str">
        <f aca="false">IF($A384="","",IF(원본명단!$H383="",0,COUNTIF(원본명단!$H$3:$H$6002,원본명단!$H383)))</f>
        <v/>
      </c>
      <c r="F384" s="11" t="str">
        <f aca="false">IF($A384="","",IF(원본명단!$I383="",0,COUNTIF(원본명단!$I$3:$I$6002,원본명단!$I383)))</f>
        <v/>
      </c>
      <c r="G384" s="11" t="str">
        <f aca="false">IF($A384="","",IF(원본명단!$K383="",0,COUNTIF(원본명단!$K$3:$K$6002,원본명단!$K383)))</f>
        <v/>
      </c>
      <c r="H384" s="11" t="str">
        <f aca="false">IF($A384="","",IF(MAX($E384,$F384,$G384)&gt;1,"중복","-"))</f>
        <v/>
      </c>
      <c r="I384" s="11" t="str">
        <f aca="false">IF($A384="","",IF($H384="-","-",IF(AND(IF(원본명단!$H383="",TRUE(),COUNTIF(원본명단!$H$3:$H383,원본명단!$H383)=1),IF(원본명단!$I383="",TRUE(),COUNTIF(원본명단!$I$3:$I383,원본명단!$I383)=1),IF(원본명단!$K383="",TRUE(),COUNTIF(원본명단!$K$3:$K383,원본명단!$K383)=1)),"첫 건","중복 건")))</f>
        <v/>
      </c>
      <c r="J384" s="11" t="str">
        <f aca="false">IF($A384="","",IF($H384="-","유지",IF($I384="첫 건","유지","확인 필요")))</f>
        <v/>
      </c>
    </row>
    <row r="385" customFormat="false" ht="15" hidden="false" customHeight="true" outlineLevel="0" collapsed="false">
      <c r="A385" s="11" t="str">
        <f aca="false">IF(원본명단!$A384="","",382)</f>
        <v/>
      </c>
      <c r="B385" s="12" t="str">
        <f aca="false">IF($A385="","",원본명단!$A384)</f>
        <v/>
      </c>
      <c r="C385" s="12" t="str">
        <f aca="false">IF($A385="","",원본명단!$B384)</f>
        <v/>
      </c>
      <c r="D385" s="12" t="str">
        <f aca="false">IF($A385="","",원본명단!$D384)</f>
        <v/>
      </c>
      <c r="E385" s="11" t="str">
        <f aca="false">IF($A385="","",IF(원본명단!$H384="",0,COUNTIF(원본명단!$H$3:$H$6002,원본명단!$H384)))</f>
        <v/>
      </c>
      <c r="F385" s="11" t="str">
        <f aca="false">IF($A385="","",IF(원본명단!$I384="",0,COUNTIF(원본명단!$I$3:$I$6002,원본명단!$I384)))</f>
        <v/>
      </c>
      <c r="G385" s="11" t="str">
        <f aca="false">IF($A385="","",IF(원본명단!$K384="",0,COUNTIF(원본명단!$K$3:$K$6002,원본명단!$K384)))</f>
        <v/>
      </c>
      <c r="H385" s="11" t="str">
        <f aca="false">IF($A385="","",IF(MAX($E385,$F385,$G385)&gt;1,"중복","-"))</f>
        <v/>
      </c>
      <c r="I385" s="11" t="str">
        <f aca="false">IF($A385="","",IF($H385="-","-",IF(AND(IF(원본명단!$H384="",TRUE(),COUNTIF(원본명단!$H$3:$H384,원본명단!$H384)=1),IF(원본명단!$I384="",TRUE(),COUNTIF(원본명단!$I$3:$I384,원본명단!$I384)=1),IF(원본명단!$K384="",TRUE(),COUNTIF(원본명단!$K$3:$K384,원본명단!$K384)=1)),"첫 건","중복 건")))</f>
        <v/>
      </c>
      <c r="J385" s="11" t="str">
        <f aca="false">IF($A385="","",IF($H385="-","유지",IF($I385="첫 건","유지","확인 필요")))</f>
        <v/>
      </c>
    </row>
    <row r="386" customFormat="false" ht="15" hidden="false" customHeight="true" outlineLevel="0" collapsed="false">
      <c r="A386" s="11" t="str">
        <f aca="false">IF(원본명단!$A385="","",383)</f>
        <v/>
      </c>
      <c r="B386" s="12" t="str">
        <f aca="false">IF($A386="","",원본명단!$A385)</f>
        <v/>
      </c>
      <c r="C386" s="12" t="str">
        <f aca="false">IF($A386="","",원본명단!$B385)</f>
        <v/>
      </c>
      <c r="D386" s="12" t="str">
        <f aca="false">IF($A386="","",원본명단!$D385)</f>
        <v/>
      </c>
      <c r="E386" s="11" t="str">
        <f aca="false">IF($A386="","",IF(원본명단!$H385="",0,COUNTIF(원본명단!$H$3:$H$6002,원본명단!$H385)))</f>
        <v/>
      </c>
      <c r="F386" s="11" t="str">
        <f aca="false">IF($A386="","",IF(원본명단!$I385="",0,COUNTIF(원본명단!$I$3:$I$6002,원본명단!$I385)))</f>
        <v/>
      </c>
      <c r="G386" s="11" t="str">
        <f aca="false">IF($A386="","",IF(원본명단!$K385="",0,COUNTIF(원본명단!$K$3:$K$6002,원본명단!$K385)))</f>
        <v/>
      </c>
      <c r="H386" s="11" t="str">
        <f aca="false">IF($A386="","",IF(MAX($E386,$F386,$G386)&gt;1,"중복","-"))</f>
        <v/>
      </c>
      <c r="I386" s="11" t="str">
        <f aca="false">IF($A386="","",IF($H386="-","-",IF(AND(IF(원본명단!$H385="",TRUE(),COUNTIF(원본명단!$H$3:$H385,원본명단!$H385)=1),IF(원본명단!$I385="",TRUE(),COUNTIF(원본명단!$I$3:$I385,원본명단!$I385)=1),IF(원본명단!$K385="",TRUE(),COUNTIF(원본명단!$K$3:$K385,원본명단!$K385)=1)),"첫 건","중복 건")))</f>
        <v/>
      </c>
      <c r="J386" s="11" t="str">
        <f aca="false">IF($A386="","",IF($H386="-","유지",IF($I386="첫 건","유지","확인 필요")))</f>
        <v/>
      </c>
    </row>
    <row r="387" customFormat="false" ht="15" hidden="false" customHeight="true" outlineLevel="0" collapsed="false">
      <c r="A387" s="11" t="str">
        <f aca="false">IF(원본명단!$A386="","",384)</f>
        <v/>
      </c>
      <c r="B387" s="12" t="str">
        <f aca="false">IF($A387="","",원본명단!$A386)</f>
        <v/>
      </c>
      <c r="C387" s="12" t="str">
        <f aca="false">IF($A387="","",원본명단!$B386)</f>
        <v/>
      </c>
      <c r="D387" s="12" t="str">
        <f aca="false">IF($A387="","",원본명단!$D386)</f>
        <v/>
      </c>
      <c r="E387" s="11" t="str">
        <f aca="false">IF($A387="","",IF(원본명단!$H386="",0,COUNTIF(원본명단!$H$3:$H$6002,원본명단!$H386)))</f>
        <v/>
      </c>
      <c r="F387" s="11" t="str">
        <f aca="false">IF($A387="","",IF(원본명단!$I386="",0,COUNTIF(원본명단!$I$3:$I$6002,원본명단!$I386)))</f>
        <v/>
      </c>
      <c r="G387" s="11" t="str">
        <f aca="false">IF($A387="","",IF(원본명단!$K386="",0,COUNTIF(원본명단!$K$3:$K$6002,원본명단!$K386)))</f>
        <v/>
      </c>
      <c r="H387" s="11" t="str">
        <f aca="false">IF($A387="","",IF(MAX($E387,$F387,$G387)&gt;1,"중복","-"))</f>
        <v/>
      </c>
      <c r="I387" s="11" t="str">
        <f aca="false">IF($A387="","",IF($H387="-","-",IF(AND(IF(원본명단!$H386="",TRUE(),COUNTIF(원본명단!$H$3:$H386,원본명단!$H386)=1),IF(원본명단!$I386="",TRUE(),COUNTIF(원본명단!$I$3:$I386,원본명단!$I386)=1),IF(원본명단!$K386="",TRUE(),COUNTIF(원본명단!$K$3:$K386,원본명단!$K386)=1)),"첫 건","중복 건")))</f>
        <v/>
      </c>
      <c r="J387" s="11" t="str">
        <f aca="false">IF($A387="","",IF($H387="-","유지",IF($I387="첫 건","유지","확인 필요")))</f>
        <v/>
      </c>
    </row>
    <row r="388" customFormat="false" ht="15" hidden="false" customHeight="true" outlineLevel="0" collapsed="false">
      <c r="A388" s="11" t="str">
        <f aca="false">IF(원본명단!$A387="","",385)</f>
        <v/>
      </c>
      <c r="B388" s="12" t="str">
        <f aca="false">IF($A388="","",원본명단!$A387)</f>
        <v/>
      </c>
      <c r="C388" s="12" t="str">
        <f aca="false">IF($A388="","",원본명단!$B387)</f>
        <v/>
      </c>
      <c r="D388" s="12" t="str">
        <f aca="false">IF($A388="","",원본명단!$D387)</f>
        <v/>
      </c>
      <c r="E388" s="11" t="str">
        <f aca="false">IF($A388="","",IF(원본명단!$H387="",0,COUNTIF(원본명단!$H$3:$H$6002,원본명단!$H387)))</f>
        <v/>
      </c>
      <c r="F388" s="11" t="str">
        <f aca="false">IF($A388="","",IF(원본명단!$I387="",0,COUNTIF(원본명단!$I$3:$I$6002,원본명단!$I387)))</f>
        <v/>
      </c>
      <c r="G388" s="11" t="str">
        <f aca="false">IF($A388="","",IF(원본명단!$K387="",0,COUNTIF(원본명단!$K$3:$K$6002,원본명단!$K387)))</f>
        <v/>
      </c>
      <c r="H388" s="11" t="str">
        <f aca="false">IF($A388="","",IF(MAX($E388,$F388,$G388)&gt;1,"중복","-"))</f>
        <v/>
      </c>
      <c r="I388" s="11" t="str">
        <f aca="false">IF($A388="","",IF($H388="-","-",IF(AND(IF(원본명단!$H387="",TRUE(),COUNTIF(원본명단!$H$3:$H387,원본명단!$H387)=1),IF(원본명단!$I387="",TRUE(),COUNTIF(원본명단!$I$3:$I387,원본명단!$I387)=1),IF(원본명단!$K387="",TRUE(),COUNTIF(원본명단!$K$3:$K387,원본명단!$K387)=1)),"첫 건","중복 건")))</f>
        <v/>
      </c>
      <c r="J388" s="11" t="str">
        <f aca="false">IF($A388="","",IF($H388="-","유지",IF($I388="첫 건","유지","확인 필요")))</f>
        <v/>
      </c>
    </row>
    <row r="389" customFormat="false" ht="15" hidden="false" customHeight="true" outlineLevel="0" collapsed="false">
      <c r="A389" s="11" t="str">
        <f aca="false">IF(원본명단!$A388="","",386)</f>
        <v/>
      </c>
      <c r="B389" s="12" t="str">
        <f aca="false">IF($A389="","",원본명단!$A388)</f>
        <v/>
      </c>
      <c r="C389" s="12" t="str">
        <f aca="false">IF($A389="","",원본명단!$B388)</f>
        <v/>
      </c>
      <c r="D389" s="12" t="str">
        <f aca="false">IF($A389="","",원본명단!$D388)</f>
        <v/>
      </c>
      <c r="E389" s="11" t="str">
        <f aca="false">IF($A389="","",IF(원본명단!$H388="",0,COUNTIF(원본명단!$H$3:$H$6002,원본명단!$H388)))</f>
        <v/>
      </c>
      <c r="F389" s="11" t="str">
        <f aca="false">IF($A389="","",IF(원본명단!$I388="",0,COUNTIF(원본명단!$I$3:$I$6002,원본명단!$I388)))</f>
        <v/>
      </c>
      <c r="G389" s="11" t="str">
        <f aca="false">IF($A389="","",IF(원본명단!$K388="",0,COUNTIF(원본명단!$K$3:$K$6002,원본명단!$K388)))</f>
        <v/>
      </c>
      <c r="H389" s="11" t="str">
        <f aca="false">IF($A389="","",IF(MAX($E389,$F389,$G389)&gt;1,"중복","-"))</f>
        <v/>
      </c>
      <c r="I389" s="11" t="str">
        <f aca="false">IF($A389="","",IF($H389="-","-",IF(AND(IF(원본명단!$H388="",TRUE(),COUNTIF(원본명단!$H$3:$H388,원본명단!$H388)=1),IF(원본명단!$I388="",TRUE(),COUNTIF(원본명단!$I$3:$I388,원본명단!$I388)=1),IF(원본명단!$K388="",TRUE(),COUNTIF(원본명단!$K$3:$K388,원본명단!$K388)=1)),"첫 건","중복 건")))</f>
        <v/>
      </c>
      <c r="J389" s="11" t="str">
        <f aca="false">IF($A389="","",IF($H389="-","유지",IF($I389="첫 건","유지","확인 필요")))</f>
        <v/>
      </c>
    </row>
    <row r="390" customFormat="false" ht="15" hidden="false" customHeight="true" outlineLevel="0" collapsed="false">
      <c r="A390" s="11" t="str">
        <f aca="false">IF(원본명단!$A389="","",387)</f>
        <v/>
      </c>
      <c r="B390" s="12" t="str">
        <f aca="false">IF($A390="","",원본명단!$A389)</f>
        <v/>
      </c>
      <c r="C390" s="12" t="str">
        <f aca="false">IF($A390="","",원본명단!$B389)</f>
        <v/>
      </c>
      <c r="D390" s="12" t="str">
        <f aca="false">IF($A390="","",원본명단!$D389)</f>
        <v/>
      </c>
      <c r="E390" s="11" t="str">
        <f aca="false">IF($A390="","",IF(원본명단!$H389="",0,COUNTIF(원본명단!$H$3:$H$6002,원본명단!$H389)))</f>
        <v/>
      </c>
      <c r="F390" s="11" t="str">
        <f aca="false">IF($A390="","",IF(원본명단!$I389="",0,COUNTIF(원본명단!$I$3:$I$6002,원본명단!$I389)))</f>
        <v/>
      </c>
      <c r="G390" s="11" t="str">
        <f aca="false">IF($A390="","",IF(원본명단!$K389="",0,COUNTIF(원본명단!$K$3:$K$6002,원본명단!$K389)))</f>
        <v/>
      </c>
      <c r="H390" s="11" t="str">
        <f aca="false">IF($A390="","",IF(MAX($E390,$F390,$G390)&gt;1,"중복","-"))</f>
        <v/>
      </c>
      <c r="I390" s="11" t="str">
        <f aca="false">IF($A390="","",IF($H390="-","-",IF(AND(IF(원본명단!$H389="",TRUE(),COUNTIF(원본명단!$H$3:$H389,원본명단!$H389)=1),IF(원본명단!$I389="",TRUE(),COUNTIF(원본명단!$I$3:$I389,원본명단!$I389)=1),IF(원본명단!$K389="",TRUE(),COUNTIF(원본명단!$K$3:$K389,원본명단!$K389)=1)),"첫 건","중복 건")))</f>
        <v/>
      </c>
      <c r="J390" s="11" t="str">
        <f aca="false">IF($A390="","",IF($H390="-","유지",IF($I390="첫 건","유지","확인 필요")))</f>
        <v/>
      </c>
    </row>
    <row r="391" customFormat="false" ht="15" hidden="false" customHeight="true" outlineLevel="0" collapsed="false">
      <c r="A391" s="11" t="str">
        <f aca="false">IF(원본명단!$A390="","",388)</f>
        <v/>
      </c>
      <c r="B391" s="12" t="str">
        <f aca="false">IF($A391="","",원본명단!$A390)</f>
        <v/>
      </c>
      <c r="C391" s="12" t="str">
        <f aca="false">IF($A391="","",원본명단!$B390)</f>
        <v/>
      </c>
      <c r="D391" s="12" t="str">
        <f aca="false">IF($A391="","",원본명단!$D390)</f>
        <v/>
      </c>
      <c r="E391" s="11" t="str">
        <f aca="false">IF($A391="","",IF(원본명단!$H390="",0,COUNTIF(원본명단!$H$3:$H$6002,원본명단!$H390)))</f>
        <v/>
      </c>
      <c r="F391" s="11" t="str">
        <f aca="false">IF($A391="","",IF(원본명단!$I390="",0,COUNTIF(원본명단!$I$3:$I$6002,원본명단!$I390)))</f>
        <v/>
      </c>
      <c r="G391" s="11" t="str">
        <f aca="false">IF($A391="","",IF(원본명단!$K390="",0,COUNTIF(원본명단!$K$3:$K$6002,원본명단!$K390)))</f>
        <v/>
      </c>
      <c r="H391" s="11" t="str">
        <f aca="false">IF($A391="","",IF(MAX($E391,$F391,$G391)&gt;1,"중복","-"))</f>
        <v/>
      </c>
      <c r="I391" s="11" t="str">
        <f aca="false">IF($A391="","",IF($H391="-","-",IF(AND(IF(원본명단!$H390="",TRUE(),COUNTIF(원본명단!$H$3:$H390,원본명단!$H390)=1),IF(원본명단!$I390="",TRUE(),COUNTIF(원본명단!$I$3:$I390,원본명단!$I390)=1),IF(원본명단!$K390="",TRUE(),COUNTIF(원본명단!$K$3:$K390,원본명단!$K390)=1)),"첫 건","중복 건")))</f>
        <v/>
      </c>
      <c r="J391" s="11" t="str">
        <f aca="false">IF($A391="","",IF($H391="-","유지",IF($I391="첫 건","유지","확인 필요")))</f>
        <v/>
      </c>
    </row>
    <row r="392" customFormat="false" ht="15" hidden="false" customHeight="true" outlineLevel="0" collapsed="false">
      <c r="A392" s="11" t="str">
        <f aca="false">IF(원본명단!$A391="","",389)</f>
        <v/>
      </c>
      <c r="B392" s="12" t="str">
        <f aca="false">IF($A392="","",원본명단!$A391)</f>
        <v/>
      </c>
      <c r="C392" s="12" t="str">
        <f aca="false">IF($A392="","",원본명단!$B391)</f>
        <v/>
      </c>
      <c r="D392" s="12" t="str">
        <f aca="false">IF($A392="","",원본명단!$D391)</f>
        <v/>
      </c>
      <c r="E392" s="11" t="str">
        <f aca="false">IF($A392="","",IF(원본명단!$H391="",0,COUNTIF(원본명단!$H$3:$H$6002,원본명단!$H391)))</f>
        <v/>
      </c>
      <c r="F392" s="11" t="str">
        <f aca="false">IF($A392="","",IF(원본명단!$I391="",0,COUNTIF(원본명단!$I$3:$I$6002,원본명단!$I391)))</f>
        <v/>
      </c>
      <c r="G392" s="11" t="str">
        <f aca="false">IF($A392="","",IF(원본명단!$K391="",0,COUNTIF(원본명단!$K$3:$K$6002,원본명단!$K391)))</f>
        <v/>
      </c>
      <c r="H392" s="11" t="str">
        <f aca="false">IF($A392="","",IF(MAX($E392,$F392,$G392)&gt;1,"중복","-"))</f>
        <v/>
      </c>
      <c r="I392" s="11" t="str">
        <f aca="false">IF($A392="","",IF($H392="-","-",IF(AND(IF(원본명단!$H391="",TRUE(),COUNTIF(원본명단!$H$3:$H391,원본명단!$H391)=1),IF(원본명단!$I391="",TRUE(),COUNTIF(원본명단!$I$3:$I391,원본명단!$I391)=1),IF(원본명단!$K391="",TRUE(),COUNTIF(원본명단!$K$3:$K391,원본명단!$K391)=1)),"첫 건","중복 건")))</f>
        <v/>
      </c>
      <c r="J392" s="11" t="str">
        <f aca="false">IF($A392="","",IF($H392="-","유지",IF($I392="첫 건","유지","확인 필요")))</f>
        <v/>
      </c>
    </row>
    <row r="393" customFormat="false" ht="15" hidden="false" customHeight="true" outlineLevel="0" collapsed="false">
      <c r="A393" s="11" t="str">
        <f aca="false">IF(원본명단!$A392="","",390)</f>
        <v/>
      </c>
      <c r="B393" s="12" t="str">
        <f aca="false">IF($A393="","",원본명단!$A392)</f>
        <v/>
      </c>
      <c r="C393" s="12" t="str">
        <f aca="false">IF($A393="","",원본명단!$B392)</f>
        <v/>
      </c>
      <c r="D393" s="12" t="str">
        <f aca="false">IF($A393="","",원본명단!$D392)</f>
        <v/>
      </c>
      <c r="E393" s="11" t="str">
        <f aca="false">IF($A393="","",IF(원본명단!$H392="",0,COUNTIF(원본명단!$H$3:$H$6002,원본명단!$H392)))</f>
        <v/>
      </c>
      <c r="F393" s="11" t="str">
        <f aca="false">IF($A393="","",IF(원본명단!$I392="",0,COUNTIF(원본명단!$I$3:$I$6002,원본명단!$I392)))</f>
        <v/>
      </c>
      <c r="G393" s="11" t="str">
        <f aca="false">IF($A393="","",IF(원본명단!$K392="",0,COUNTIF(원본명단!$K$3:$K$6002,원본명단!$K392)))</f>
        <v/>
      </c>
      <c r="H393" s="11" t="str">
        <f aca="false">IF($A393="","",IF(MAX($E393,$F393,$G393)&gt;1,"중복","-"))</f>
        <v/>
      </c>
      <c r="I393" s="11" t="str">
        <f aca="false">IF($A393="","",IF($H393="-","-",IF(AND(IF(원본명단!$H392="",TRUE(),COUNTIF(원본명단!$H$3:$H392,원본명단!$H392)=1),IF(원본명단!$I392="",TRUE(),COUNTIF(원본명단!$I$3:$I392,원본명단!$I392)=1),IF(원본명단!$K392="",TRUE(),COUNTIF(원본명단!$K$3:$K392,원본명단!$K392)=1)),"첫 건","중복 건")))</f>
        <v/>
      </c>
      <c r="J393" s="11" t="str">
        <f aca="false">IF($A393="","",IF($H393="-","유지",IF($I393="첫 건","유지","확인 필요")))</f>
        <v/>
      </c>
    </row>
    <row r="394" customFormat="false" ht="15" hidden="false" customHeight="true" outlineLevel="0" collapsed="false">
      <c r="A394" s="11" t="str">
        <f aca="false">IF(원본명단!$A393="","",391)</f>
        <v/>
      </c>
      <c r="B394" s="12" t="str">
        <f aca="false">IF($A394="","",원본명단!$A393)</f>
        <v/>
      </c>
      <c r="C394" s="12" t="str">
        <f aca="false">IF($A394="","",원본명단!$B393)</f>
        <v/>
      </c>
      <c r="D394" s="12" t="str">
        <f aca="false">IF($A394="","",원본명단!$D393)</f>
        <v/>
      </c>
      <c r="E394" s="11" t="str">
        <f aca="false">IF($A394="","",IF(원본명단!$H393="",0,COUNTIF(원본명단!$H$3:$H$6002,원본명단!$H393)))</f>
        <v/>
      </c>
      <c r="F394" s="11" t="str">
        <f aca="false">IF($A394="","",IF(원본명단!$I393="",0,COUNTIF(원본명단!$I$3:$I$6002,원본명단!$I393)))</f>
        <v/>
      </c>
      <c r="G394" s="11" t="str">
        <f aca="false">IF($A394="","",IF(원본명단!$K393="",0,COUNTIF(원본명단!$K$3:$K$6002,원본명단!$K393)))</f>
        <v/>
      </c>
      <c r="H394" s="11" t="str">
        <f aca="false">IF($A394="","",IF(MAX($E394,$F394,$G394)&gt;1,"중복","-"))</f>
        <v/>
      </c>
      <c r="I394" s="11" t="str">
        <f aca="false">IF($A394="","",IF($H394="-","-",IF(AND(IF(원본명단!$H393="",TRUE(),COUNTIF(원본명단!$H$3:$H393,원본명단!$H393)=1),IF(원본명단!$I393="",TRUE(),COUNTIF(원본명단!$I$3:$I393,원본명단!$I393)=1),IF(원본명단!$K393="",TRUE(),COUNTIF(원본명단!$K$3:$K393,원본명단!$K393)=1)),"첫 건","중복 건")))</f>
        <v/>
      </c>
      <c r="J394" s="11" t="str">
        <f aca="false">IF($A394="","",IF($H394="-","유지",IF($I394="첫 건","유지","확인 필요")))</f>
        <v/>
      </c>
    </row>
    <row r="395" customFormat="false" ht="15" hidden="false" customHeight="true" outlineLevel="0" collapsed="false">
      <c r="A395" s="11" t="str">
        <f aca="false">IF(원본명단!$A394="","",392)</f>
        <v/>
      </c>
      <c r="B395" s="12" t="str">
        <f aca="false">IF($A395="","",원본명단!$A394)</f>
        <v/>
      </c>
      <c r="C395" s="12" t="str">
        <f aca="false">IF($A395="","",원본명단!$B394)</f>
        <v/>
      </c>
      <c r="D395" s="12" t="str">
        <f aca="false">IF($A395="","",원본명단!$D394)</f>
        <v/>
      </c>
      <c r="E395" s="11" t="str">
        <f aca="false">IF($A395="","",IF(원본명단!$H394="",0,COUNTIF(원본명단!$H$3:$H$6002,원본명단!$H394)))</f>
        <v/>
      </c>
      <c r="F395" s="11" t="str">
        <f aca="false">IF($A395="","",IF(원본명단!$I394="",0,COUNTIF(원본명단!$I$3:$I$6002,원본명단!$I394)))</f>
        <v/>
      </c>
      <c r="G395" s="11" t="str">
        <f aca="false">IF($A395="","",IF(원본명단!$K394="",0,COUNTIF(원본명단!$K$3:$K$6002,원본명단!$K394)))</f>
        <v/>
      </c>
      <c r="H395" s="11" t="str">
        <f aca="false">IF($A395="","",IF(MAX($E395,$F395,$G395)&gt;1,"중복","-"))</f>
        <v/>
      </c>
      <c r="I395" s="11" t="str">
        <f aca="false">IF($A395="","",IF($H395="-","-",IF(AND(IF(원본명단!$H394="",TRUE(),COUNTIF(원본명단!$H$3:$H394,원본명단!$H394)=1),IF(원본명단!$I394="",TRUE(),COUNTIF(원본명단!$I$3:$I394,원본명단!$I394)=1),IF(원본명단!$K394="",TRUE(),COUNTIF(원본명단!$K$3:$K394,원본명단!$K394)=1)),"첫 건","중복 건")))</f>
        <v/>
      </c>
      <c r="J395" s="11" t="str">
        <f aca="false">IF($A395="","",IF($H395="-","유지",IF($I395="첫 건","유지","확인 필요")))</f>
        <v/>
      </c>
    </row>
    <row r="396" customFormat="false" ht="15" hidden="false" customHeight="true" outlineLevel="0" collapsed="false">
      <c r="A396" s="11" t="str">
        <f aca="false">IF(원본명단!$A395="","",393)</f>
        <v/>
      </c>
      <c r="B396" s="12" t="str">
        <f aca="false">IF($A396="","",원본명단!$A395)</f>
        <v/>
      </c>
      <c r="C396" s="12" t="str">
        <f aca="false">IF($A396="","",원본명단!$B395)</f>
        <v/>
      </c>
      <c r="D396" s="12" t="str">
        <f aca="false">IF($A396="","",원본명단!$D395)</f>
        <v/>
      </c>
      <c r="E396" s="11" t="str">
        <f aca="false">IF($A396="","",IF(원본명단!$H395="",0,COUNTIF(원본명단!$H$3:$H$6002,원본명단!$H395)))</f>
        <v/>
      </c>
      <c r="F396" s="11" t="str">
        <f aca="false">IF($A396="","",IF(원본명단!$I395="",0,COUNTIF(원본명단!$I$3:$I$6002,원본명단!$I395)))</f>
        <v/>
      </c>
      <c r="G396" s="11" t="str">
        <f aca="false">IF($A396="","",IF(원본명단!$K395="",0,COUNTIF(원본명단!$K$3:$K$6002,원본명단!$K395)))</f>
        <v/>
      </c>
      <c r="H396" s="11" t="str">
        <f aca="false">IF($A396="","",IF(MAX($E396,$F396,$G396)&gt;1,"중복","-"))</f>
        <v/>
      </c>
      <c r="I396" s="11" t="str">
        <f aca="false">IF($A396="","",IF($H396="-","-",IF(AND(IF(원본명단!$H395="",TRUE(),COUNTIF(원본명단!$H$3:$H395,원본명단!$H395)=1),IF(원본명단!$I395="",TRUE(),COUNTIF(원본명단!$I$3:$I395,원본명단!$I395)=1),IF(원본명단!$K395="",TRUE(),COUNTIF(원본명단!$K$3:$K395,원본명단!$K395)=1)),"첫 건","중복 건")))</f>
        <v/>
      </c>
      <c r="J396" s="11" t="str">
        <f aca="false">IF($A396="","",IF($H396="-","유지",IF($I396="첫 건","유지","확인 필요")))</f>
        <v/>
      </c>
    </row>
    <row r="397" customFormat="false" ht="15" hidden="false" customHeight="true" outlineLevel="0" collapsed="false">
      <c r="A397" s="11" t="str">
        <f aca="false">IF(원본명단!$A396="","",394)</f>
        <v/>
      </c>
      <c r="B397" s="12" t="str">
        <f aca="false">IF($A397="","",원본명단!$A396)</f>
        <v/>
      </c>
      <c r="C397" s="12" t="str">
        <f aca="false">IF($A397="","",원본명단!$B396)</f>
        <v/>
      </c>
      <c r="D397" s="12" t="str">
        <f aca="false">IF($A397="","",원본명단!$D396)</f>
        <v/>
      </c>
      <c r="E397" s="11" t="str">
        <f aca="false">IF($A397="","",IF(원본명단!$H396="",0,COUNTIF(원본명단!$H$3:$H$6002,원본명단!$H396)))</f>
        <v/>
      </c>
      <c r="F397" s="11" t="str">
        <f aca="false">IF($A397="","",IF(원본명단!$I396="",0,COUNTIF(원본명단!$I$3:$I$6002,원본명단!$I396)))</f>
        <v/>
      </c>
      <c r="G397" s="11" t="str">
        <f aca="false">IF($A397="","",IF(원본명단!$K396="",0,COUNTIF(원본명단!$K$3:$K$6002,원본명단!$K396)))</f>
        <v/>
      </c>
      <c r="H397" s="11" t="str">
        <f aca="false">IF($A397="","",IF(MAX($E397,$F397,$G397)&gt;1,"중복","-"))</f>
        <v/>
      </c>
      <c r="I397" s="11" t="str">
        <f aca="false">IF($A397="","",IF($H397="-","-",IF(AND(IF(원본명단!$H396="",TRUE(),COUNTIF(원본명단!$H$3:$H396,원본명단!$H396)=1),IF(원본명단!$I396="",TRUE(),COUNTIF(원본명단!$I$3:$I396,원본명단!$I396)=1),IF(원본명단!$K396="",TRUE(),COUNTIF(원본명단!$K$3:$K396,원본명단!$K396)=1)),"첫 건","중복 건")))</f>
        <v/>
      </c>
      <c r="J397" s="11" t="str">
        <f aca="false">IF($A397="","",IF($H397="-","유지",IF($I397="첫 건","유지","확인 필요")))</f>
        <v/>
      </c>
    </row>
    <row r="398" customFormat="false" ht="15" hidden="false" customHeight="true" outlineLevel="0" collapsed="false">
      <c r="A398" s="11" t="str">
        <f aca="false">IF(원본명단!$A397="","",395)</f>
        <v/>
      </c>
      <c r="B398" s="12" t="str">
        <f aca="false">IF($A398="","",원본명단!$A397)</f>
        <v/>
      </c>
      <c r="C398" s="12" t="str">
        <f aca="false">IF($A398="","",원본명단!$B397)</f>
        <v/>
      </c>
      <c r="D398" s="12" t="str">
        <f aca="false">IF($A398="","",원본명단!$D397)</f>
        <v/>
      </c>
      <c r="E398" s="11" t="str">
        <f aca="false">IF($A398="","",IF(원본명단!$H397="",0,COUNTIF(원본명단!$H$3:$H$6002,원본명단!$H397)))</f>
        <v/>
      </c>
      <c r="F398" s="11" t="str">
        <f aca="false">IF($A398="","",IF(원본명단!$I397="",0,COUNTIF(원본명단!$I$3:$I$6002,원본명단!$I397)))</f>
        <v/>
      </c>
      <c r="G398" s="11" t="str">
        <f aca="false">IF($A398="","",IF(원본명단!$K397="",0,COUNTIF(원본명단!$K$3:$K$6002,원본명단!$K397)))</f>
        <v/>
      </c>
      <c r="H398" s="11" t="str">
        <f aca="false">IF($A398="","",IF(MAX($E398,$F398,$G398)&gt;1,"중복","-"))</f>
        <v/>
      </c>
      <c r="I398" s="11" t="str">
        <f aca="false">IF($A398="","",IF($H398="-","-",IF(AND(IF(원본명단!$H397="",TRUE(),COUNTIF(원본명단!$H$3:$H397,원본명단!$H397)=1),IF(원본명단!$I397="",TRUE(),COUNTIF(원본명단!$I$3:$I397,원본명단!$I397)=1),IF(원본명단!$K397="",TRUE(),COUNTIF(원본명단!$K$3:$K397,원본명단!$K397)=1)),"첫 건","중복 건")))</f>
        <v/>
      </c>
      <c r="J398" s="11" t="str">
        <f aca="false">IF($A398="","",IF($H398="-","유지",IF($I398="첫 건","유지","확인 필요")))</f>
        <v/>
      </c>
    </row>
    <row r="399" customFormat="false" ht="15" hidden="false" customHeight="true" outlineLevel="0" collapsed="false">
      <c r="A399" s="11" t="str">
        <f aca="false">IF(원본명단!$A398="","",396)</f>
        <v/>
      </c>
      <c r="B399" s="12" t="str">
        <f aca="false">IF($A399="","",원본명단!$A398)</f>
        <v/>
      </c>
      <c r="C399" s="12" t="str">
        <f aca="false">IF($A399="","",원본명단!$B398)</f>
        <v/>
      </c>
      <c r="D399" s="12" t="str">
        <f aca="false">IF($A399="","",원본명단!$D398)</f>
        <v/>
      </c>
      <c r="E399" s="11" t="str">
        <f aca="false">IF($A399="","",IF(원본명단!$H398="",0,COUNTIF(원본명단!$H$3:$H$6002,원본명단!$H398)))</f>
        <v/>
      </c>
      <c r="F399" s="11" t="str">
        <f aca="false">IF($A399="","",IF(원본명단!$I398="",0,COUNTIF(원본명단!$I$3:$I$6002,원본명단!$I398)))</f>
        <v/>
      </c>
      <c r="G399" s="11" t="str">
        <f aca="false">IF($A399="","",IF(원본명단!$K398="",0,COUNTIF(원본명단!$K$3:$K$6002,원본명단!$K398)))</f>
        <v/>
      </c>
      <c r="H399" s="11" t="str">
        <f aca="false">IF($A399="","",IF(MAX($E399,$F399,$G399)&gt;1,"중복","-"))</f>
        <v/>
      </c>
      <c r="I399" s="11" t="str">
        <f aca="false">IF($A399="","",IF($H399="-","-",IF(AND(IF(원본명단!$H398="",TRUE(),COUNTIF(원본명단!$H$3:$H398,원본명단!$H398)=1),IF(원본명단!$I398="",TRUE(),COUNTIF(원본명단!$I$3:$I398,원본명단!$I398)=1),IF(원본명단!$K398="",TRUE(),COUNTIF(원본명단!$K$3:$K398,원본명단!$K398)=1)),"첫 건","중복 건")))</f>
        <v/>
      </c>
      <c r="J399" s="11" t="str">
        <f aca="false">IF($A399="","",IF($H399="-","유지",IF($I399="첫 건","유지","확인 필요")))</f>
        <v/>
      </c>
    </row>
    <row r="400" customFormat="false" ht="15" hidden="false" customHeight="true" outlineLevel="0" collapsed="false">
      <c r="A400" s="11" t="str">
        <f aca="false">IF(원본명단!$A399="","",397)</f>
        <v/>
      </c>
      <c r="B400" s="12" t="str">
        <f aca="false">IF($A400="","",원본명단!$A399)</f>
        <v/>
      </c>
      <c r="C400" s="12" t="str">
        <f aca="false">IF($A400="","",원본명단!$B399)</f>
        <v/>
      </c>
      <c r="D400" s="12" t="str">
        <f aca="false">IF($A400="","",원본명단!$D399)</f>
        <v/>
      </c>
      <c r="E400" s="11" t="str">
        <f aca="false">IF($A400="","",IF(원본명단!$H399="",0,COUNTIF(원본명단!$H$3:$H$6002,원본명단!$H399)))</f>
        <v/>
      </c>
      <c r="F400" s="11" t="str">
        <f aca="false">IF($A400="","",IF(원본명단!$I399="",0,COUNTIF(원본명단!$I$3:$I$6002,원본명단!$I399)))</f>
        <v/>
      </c>
      <c r="G400" s="11" t="str">
        <f aca="false">IF($A400="","",IF(원본명단!$K399="",0,COUNTIF(원본명단!$K$3:$K$6002,원본명단!$K399)))</f>
        <v/>
      </c>
      <c r="H400" s="11" t="str">
        <f aca="false">IF($A400="","",IF(MAX($E400,$F400,$G400)&gt;1,"중복","-"))</f>
        <v/>
      </c>
      <c r="I400" s="11" t="str">
        <f aca="false">IF($A400="","",IF($H400="-","-",IF(AND(IF(원본명단!$H399="",TRUE(),COUNTIF(원본명단!$H$3:$H399,원본명단!$H399)=1),IF(원본명단!$I399="",TRUE(),COUNTIF(원본명단!$I$3:$I399,원본명단!$I399)=1),IF(원본명단!$K399="",TRUE(),COUNTIF(원본명단!$K$3:$K399,원본명단!$K399)=1)),"첫 건","중복 건")))</f>
        <v/>
      </c>
      <c r="J400" s="11" t="str">
        <f aca="false">IF($A400="","",IF($H400="-","유지",IF($I400="첫 건","유지","확인 필요")))</f>
        <v/>
      </c>
    </row>
    <row r="401" customFormat="false" ht="15" hidden="false" customHeight="true" outlineLevel="0" collapsed="false">
      <c r="A401" s="11" t="str">
        <f aca="false">IF(원본명단!$A400="","",398)</f>
        <v/>
      </c>
      <c r="B401" s="12" t="str">
        <f aca="false">IF($A401="","",원본명단!$A400)</f>
        <v/>
      </c>
      <c r="C401" s="12" t="str">
        <f aca="false">IF($A401="","",원본명단!$B400)</f>
        <v/>
      </c>
      <c r="D401" s="12" t="str">
        <f aca="false">IF($A401="","",원본명단!$D400)</f>
        <v/>
      </c>
      <c r="E401" s="11" t="str">
        <f aca="false">IF($A401="","",IF(원본명단!$H400="",0,COUNTIF(원본명단!$H$3:$H$6002,원본명단!$H400)))</f>
        <v/>
      </c>
      <c r="F401" s="11" t="str">
        <f aca="false">IF($A401="","",IF(원본명단!$I400="",0,COUNTIF(원본명단!$I$3:$I$6002,원본명단!$I400)))</f>
        <v/>
      </c>
      <c r="G401" s="11" t="str">
        <f aca="false">IF($A401="","",IF(원본명단!$K400="",0,COUNTIF(원본명단!$K$3:$K$6002,원본명단!$K400)))</f>
        <v/>
      </c>
      <c r="H401" s="11" t="str">
        <f aca="false">IF($A401="","",IF(MAX($E401,$F401,$G401)&gt;1,"중복","-"))</f>
        <v/>
      </c>
      <c r="I401" s="11" t="str">
        <f aca="false">IF($A401="","",IF($H401="-","-",IF(AND(IF(원본명단!$H400="",TRUE(),COUNTIF(원본명단!$H$3:$H400,원본명단!$H400)=1),IF(원본명단!$I400="",TRUE(),COUNTIF(원본명단!$I$3:$I400,원본명단!$I400)=1),IF(원본명단!$K400="",TRUE(),COUNTIF(원본명단!$K$3:$K400,원본명단!$K400)=1)),"첫 건","중복 건")))</f>
        <v/>
      </c>
      <c r="J401" s="11" t="str">
        <f aca="false">IF($A401="","",IF($H401="-","유지",IF($I401="첫 건","유지","확인 필요")))</f>
        <v/>
      </c>
    </row>
    <row r="402" customFormat="false" ht="15" hidden="false" customHeight="true" outlineLevel="0" collapsed="false">
      <c r="A402" s="11" t="str">
        <f aca="false">IF(원본명단!$A401="","",399)</f>
        <v/>
      </c>
      <c r="B402" s="12" t="str">
        <f aca="false">IF($A402="","",원본명단!$A401)</f>
        <v/>
      </c>
      <c r="C402" s="12" t="str">
        <f aca="false">IF($A402="","",원본명단!$B401)</f>
        <v/>
      </c>
      <c r="D402" s="12" t="str">
        <f aca="false">IF($A402="","",원본명단!$D401)</f>
        <v/>
      </c>
      <c r="E402" s="11" t="str">
        <f aca="false">IF($A402="","",IF(원본명단!$H401="",0,COUNTIF(원본명단!$H$3:$H$6002,원본명단!$H401)))</f>
        <v/>
      </c>
      <c r="F402" s="11" t="str">
        <f aca="false">IF($A402="","",IF(원본명단!$I401="",0,COUNTIF(원본명단!$I$3:$I$6002,원본명단!$I401)))</f>
        <v/>
      </c>
      <c r="G402" s="11" t="str">
        <f aca="false">IF($A402="","",IF(원본명단!$K401="",0,COUNTIF(원본명단!$K$3:$K$6002,원본명단!$K401)))</f>
        <v/>
      </c>
      <c r="H402" s="11" t="str">
        <f aca="false">IF($A402="","",IF(MAX($E402,$F402,$G402)&gt;1,"중복","-"))</f>
        <v/>
      </c>
      <c r="I402" s="11" t="str">
        <f aca="false">IF($A402="","",IF($H402="-","-",IF(AND(IF(원본명단!$H401="",TRUE(),COUNTIF(원본명단!$H$3:$H401,원본명단!$H401)=1),IF(원본명단!$I401="",TRUE(),COUNTIF(원본명단!$I$3:$I401,원본명단!$I401)=1),IF(원본명단!$K401="",TRUE(),COUNTIF(원본명단!$K$3:$K401,원본명단!$K401)=1)),"첫 건","중복 건")))</f>
        <v/>
      </c>
      <c r="J402" s="11" t="str">
        <f aca="false">IF($A402="","",IF($H402="-","유지",IF($I402="첫 건","유지","확인 필요")))</f>
        <v/>
      </c>
    </row>
    <row r="403" customFormat="false" ht="15" hidden="false" customHeight="true" outlineLevel="0" collapsed="false">
      <c r="A403" s="11" t="str">
        <f aca="false">IF(원본명단!$A402="","",400)</f>
        <v/>
      </c>
      <c r="B403" s="12" t="str">
        <f aca="false">IF($A403="","",원본명단!$A402)</f>
        <v/>
      </c>
      <c r="C403" s="12" t="str">
        <f aca="false">IF($A403="","",원본명단!$B402)</f>
        <v/>
      </c>
      <c r="D403" s="12" t="str">
        <f aca="false">IF($A403="","",원본명단!$D402)</f>
        <v/>
      </c>
      <c r="E403" s="11" t="str">
        <f aca="false">IF($A403="","",IF(원본명단!$H402="",0,COUNTIF(원본명단!$H$3:$H$6002,원본명단!$H402)))</f>
        <v/>
      </c>
      <c r="F403" s="11" t="str">
        <f aca="false">IF($A403="","",IF(원본명단!$I402="",0,COUNTIF(원본명단!$I$3:$I$6002,원본명단!$I402)))</f>
        <v/>
      </c>
      <c r="G403" s="11" t="str">
        <f aca="false">IF($A403="","",IF(원본명단!$K402="",0,COUNTIF(원본명단!$K$3:$K$6002,원본명단!$K402)))</f>
        <v/>
      </c>
      <c r="H403" s="11" t="str">
        <f aca="false">IF($A403="","",IF(MAX($E403,$F403,$G403)&gt;1,"중복","-"))</f>
        <v/>
      </c>
      <c r="I403" s="11" t="str">
        <f aca="false">IF($A403="","",IF($H403="-","-",IF(AND(IF(원본명단!$H402="",TRUE(),COUNTIF(원본명단!$H$3:$H402,원본명단!$H402)=1),IF(원본명단!$I402="",TRUE(),COUNTIF(원본명단!$I$3:$I402,원본명단!$I402)=1),IF(원본명단!$K402="",TRUE(),COUNTIF(원본명단!$K$3:$K402,원본명단!$K402)=1)),"첫 건","중복 건")))</f>
        <v/>
      </c>
      <c r="J403" s="11" t="str">
        <f aca="false">IF($A403="","",IF($H403="-","유지",IF($I403="첫 건","유지","확인 필요")))</f>
        <v/>
      </c>
    </row>
    <row r="404" customFormat="false" ht="15" hidden="false" customHeight="true" outlineLevel="0" collapsed="false">
      <c r="A404" s="11" t="str">
        <f aca="false">IF(원본명단!$A403="","",401)</f>
        <v/>
      </c>
      <c r="B404" s="12" t="str">
        <f aca="false">IF($A404="","",원본명단!$A403)</f>
        <v/>
      </c>
      <c r="C404" s="12" t="str">
        <f aca="false">IF($A404="","",원본명단!$B403)</f>
        <v/>
      </c>
      <c r="D404" s="12" t="str">
        <f aca="false">IF($A404="","",원본명단!$D403)</f>
        <v/>
      </c>
      <c r="E404" s="11" t="str">
        <f aca="false">IF($A404="","",IF(원본명단!$H403="",0,COUNTIF(원본명단!$H$3:$H$6002,원본명단!$H403)))</f>
        <v/>
      </c>
      <c r="F404" s="11" t="str">
        <f aca="false">IF($A404="","",IF(원본명단!$I403="",0,COUNTIF(원본명단!$I$3:$I$6002,원본명단!$I403)))</f>
        <v/>
      </c>
      <c r="G404" s="11" t="str">
        <f aca="false">IF($A404="","",IF(원본명단!$K403="",0,COUNTIF(원본명단!$K$3:$K$6002,원본명단!$K403)))</f>
        <v/>
      </c>
      <c r="H404" s="11" t="str">
        <f aca="false">IF($A404="","",IF(MAX($E404,$F404,$G404)&gt;1,"중복","-"))</f>
        <v/>
      </c>
      <c r="I404" s="11" t="str">
        <f aca="false">IF($A404="","",IF($H404="-","-",IF(AND(IF(원본명단!$H403="",TRUE(),COUNTIF(원본명단!$H$3:$H403,원본명단!$H403)=1),IF(원본명단!$I403="",TRUE(),COUNTIF(원본명단!$I$3:$I403,원본명단!$I403)=1),IF(원본명단!$K403="",TRUE(),COUNTIF(원본명단!$K$3:$K403,원본명단!$K403)=1)),"첫 건","중복 건")))</f>
        <v/>
      </c>
      <c r="J404" s="11" t="str">
        <f aca="false">IF($A404="","",IF($H404="-","유지",IF($I404="첫 건","유지","확인 필요")))</f>
        <v/>
      </c>
    </row>
    <row r="405" customFormat="false" ht="15" hidden="false" customHeight="true" outlineLevel="0" collapsed="false">
      <c r="A405" s="11" t="str">
        <f aca="false">IF(원본명단!$A404="","",402)</f>
        <v/>
      </c>
      <c r="B405" s="12" t="str">
        <f aca="false">IF($A405="","",원본명단!$A404)</f>
        <v/>
      </c>
      <c r="C405" s="12" t="str">
        <f aca="false">IF($A405="","",원본명단!$B404)</f>
        <v/>
      </c>
      <c r="D405" s="12" t="str">
        <f aca="false">IF($A405="","",원본명단!$D404)</f>
        <v/>
      </c>
      <c r="E405" s="11" t="str">
        <f aca="false">IF($A405="","",IF(원본명단!$H404="",0,COUNTIF(원본명단!$H$3:$H$6002,원본명단!$H404)))</f>
        <v/>
      </c>
      <c r="F405" s="11" t="str">
        <f aca="false">IF($A405="","",IF(원본명단!$I404="",0,COUNTIF(원본명단!$I$3:$I$6002,원본명단!$I404)))</f>
        <v/>
      </c>
      <c r="G405" s="11" t="str">
        <f aca="false">IF($A405="","",IF(원본명단!$K404="",0,COUNTIF(원본명단!$K$3:$K$6002,원본명단!$K404)))</f>
        <v/>
      </c>
      <c r="H405" s="11" t="str">
        <f aca="false">IF($A405="","",IF(MAX($E405,$F405,$G405)&gt;1,"중복","-"))</f>
        <v/>
      </c>
      <c r="I405" s="11" t="str">
        <f aca="false">IF($A405="","",IF($H405="-","-",IF(AND(IF(원본명단!$H404="",TRUE(),COUNTIF(원본명단!$H$3:$H404,원본명단!$H404)=1),IF(원본명단!$I404="",TRUE(),COUNTIF(원본명단!$I$3:$I404,원본명단!$I404)=1),IF(원본명단!$K404="",TRUE(),COUNTIF(원본명단!$K$3:$K404,원본명단!$K404)=1)),"첫 건","중복 건")))</f>
        <v/>
      </c>
      <c r="J405" s="11" t="str">
        <f aca="false">IF($A405="","",IF($H405="-","유지",IF($I405="첫 건","유지","확인 필요")))</f>
        <v/>
      </c>
    </row>
    <row r="406" customFormat="false" ht="15" hidden="false" customHeight="true" outlineLevel="0" collapsed="false">
      <c r="A406" s="11" t="str">
        <f aca="false">IF(원본명단!$A405="","",403)</f>
        <v/>
      </c>
      <c r="B406" s="12" t="str">
        <f aca="false">IF($A406="","",원본명단!$A405)</f>
        <v/>
      </c>
      <c r="C406" s="12" t="str">
        <f aca="false">IF($A406="","",원본명단!$B405)</f>
        <v/>
      </c>
      <c r="D406" s="12" t="str">
        <f aca="false">IF($A406="","",원본명단!$D405)</f>
        <v/>
      </c>
      <c r="E406" s="11" t="str">
        <f aca="false">IF($A406="","",IF(원본명단!$H405="",0,COUNTIF(원본명단!$H$3:$H$6002,원본명단!$H405)))</f>
        <v/>
      </c>
      <c r="F406" s="11" t="str">
        <f aca="false">IF($A406="","",IF(원본명단!$I405="",0,COUNTIF(원본명단!$I$3:$I$6002,원본명단!$I405)))</f>
        <v/>
      </c>
      <c r="G406" s="11" t="str">
        <f aca="false">IF($A406="","",IF(원본명단!$K405="",0,COUNTIF(원본명단!$K$3:$K$6002,원본명단!$K405)))</f>
        <v/>
      </c>
      <c r="H406" s="11" t="str">
        <f aca="false">IF($A406="","",IF(MAX($E406,$F406,$G406)&gt;1,"중복","-"))</f>
        <v/>
      </c>
      <c r="I406" s="11" t="str">
        <f aca="false">IF($A406="","",IF($H406="-","-",IF(AND(IF(원본명단!$H405="",TRUE(),COUNTIF(원본명단!$H$3:$H405,원본명단!$H405)=1),IF(원본명단!$I405="",TRUE(),COUNTIF(원본명단!$I$3:$I405,원본명단!$I405)=1),IF(원본명단!$K405="",TRUE(),COUNTIF(원본명단!$K$3:$K405,원본명단!$K405)=1)),"첫 건","중복 건")))</f>
        <v/>
      </c>
      <c r="J406" s="11" t="str">
        <f aca="false">IF($A406="","",IF($H406="-","유지",IF($I406="첫 건","유지","확인 필요")))</f>
        <v/>
      </c>
    </row>
    <row r="407" customFormat="false" ht="15" hidden="false" customHeight="true" outlineLevel="0" collapsed="false">
      <c r="A407" s="11" t="str">
        <f aca="false">IF(원본명단!$A406="","",404)</f>
        <v/>
      </c>
      <c r="B407" s="12" t="str">
        <f aca="false">IF($A407="","",원본명단!$A406)</f>
        <v/>
      </c>
      <c r="C407" s="12" t="str">
        <f aca="false">IF($A407="","",원본명단!$B406)</f>
        <v/>
      </c>
      <c r="D407" s="12" t="str">
        <f aca="false">IF($A407="","",원본명단!$D406)</f>
        <v/>
      </c>
      <c r="E407" s="11" t="str">
        <f aca="false">IF($A407="","",IF(원본명단!$H406="",0,COUNTIF(원본명단!$H$3:$H$6002,원본명단!$H406)))</f>
        <v/>
      </c>
      <c r="F407" s="11" t="str">
        <f aca="false">IF($A407="","",IF(원본명단!$I406="",0,COUNTIF(원본명단!$I$3:$I$6002,원본명단!$I406)))</f>
        <v/>
      </c>
      <c r="G407" s="11" t="str">
        <f aca="false">IF($A407="","",IF(원본명단!$K406="",0,COUNTIF(원본명단!$K$3:$K$6002,원본명단!$K406)))</f>
        <v/>
      </c>
      <c r="H407" s="11" t="str">
        <f aca="false">IF($A407="","",IF(MAX($E407,$F407,$G407)&gt;1,"중복","-"))</f>
        <v/>
      </c>
      <c r="I407" s="11" t="str">
        <f aca="false">IF($A407="","",IF($H407="-","-",IF(AND(IF(원본명단!$H406="",TRUE(),COUNTIF(원본명단!$H$3:$H406,원본명단!$H406)=1),IF(원본명단!$I406="",TRUE(),COUNTIF(원본명단!$I$3:$I406,원본명단!$I406)=1),IF(원본명단!$K406="",TRUE(),COUNTIF(원본명단!$K$3:$K406,원본명단!$K406)=1)),"첫 건","중복 건")))</f>
        <v/>
      </c>
      <c r="J407" s="11" t="str">
        <f aca="false">IF($A407="","",IF($H407="-","유지",IF($I407="첫 건","유지","확인 필요")))</f>
        <v/>
      </c>
    </row>
    <row r="408" customFormat="false" ht="15" hidden="false" customHeight="true" outlineLevel="0" collapsed="false">
      <c r="A408" s="11" t="str">
        <f aca="false">IF(원본명단!$A407="","",405)</f>
        <v/>
      </c>
      <c r="B408" s="12" t="str">
        <f aca="false">IF($A408="","",원본명단!$A407)</f>
        <v/>
      </c>
      <c r="C408" s="12" t="str">
        <f aca="false">IF($A408="","",원본명단!$B407)</f>
        <v/>
      </c>
      <c r="D408" s="12" t="str">
        <f aca="false">IF($A408="","",원본명단!$D407)</f>
        <v/>
      </c>
      <c r="E408" s="11" t="str">
        <f aca="false">IF($A408="","",IF(원본명단!$H407="",0,COUNTIF(원본명단!$H$3:$H$6002,원본명단!$H407)))</f>
        <v/>
      </c>
      <c r="F408" s="11" t="str">
        <f aca="false">IF($A408="","",IF(원본명단!$I407="",0,COUNTIF(원본명단!$I$3:$I$6002,원본명단!$I407)))</f>
        <v/>
      </c>
      <c r="G408" s="11" t="str">
        <f aca="false">IF($A408="","",IF(원본명단!$K407="",0,COUNTIF(원본명단!$K$3:$K$6002,원본명단!$K407)))</f>
        <v/>
      </c>
      <c r="H408" s="11" t="str">
        <f aca="false">IF($A408="","",IF(MAX($E408,$F408,$G408)&gt;1,"중복","-"))</f>
        <v/>
      </c>
      <c r="I408" s="11" t="str">
        <f aca="false">IF($A408="","",IF($H408="-","-",IF(AND(IF(원본명단!$H407="",TRUE(),COUNTIF(원본명단!$H$3:$H407,원본명단!$H407)=1),IF(원본명단!$I407="",TRUE(),COUNTIF(원본명단!$I$3:$I407,원본명단!$I407)=1),IF(원본명단!$K407="",TRUE(),COUNTIF(원본명단!$K$3:$K407,원본명단!$K407)=1)),"첫 건","중복 건")))</f>
        <v/>
      </c>
      <c r="J408" s="11" t="str">
        <f aca="false">IF($A408="","",IF($H408="-","유지",IF($I408="첫 건","유지","확인 필요")))</f>
        <v/>
      </c>
    </row>
    <row r="409" customFormat="false" ht="15" hidden="false" customHeight="true" outlineLevel="0" collapsed="false">
      <c r="A409" s="11" t="str">
        <f aca="false">IF(원본명단!$A408="","",406)</f>
        <v/>
      </c>
      <c r="B409" s="12" t="str">
        <f aca="false">IF($A409="","",원본명단!$A408)</f>
        <v/>
      </c>
      <c r="C409" s="12" t="str">
        <f aca="false">IF($A409="","",원본명단!$B408)</f>
        <v/>
      </c>
      <c r="D409" s="12" t="str">
        <f aca="false">IF($A409="","",원본명단!$D408)</f>
        <v/>
      </c>
      <c r="E409" s="11" t="str">
        <f aca="false">IF($A409="","",IF(원본명단!$H408="",0,COUNTIF(원본명단!$H$3:$H$6002,원본명단!$H408)))</f>
        <v/>
      </c>
      <c r="F409" s="11" t="str">
        <f aca="false">IF($A409="","",IF(원본명단!$I408="",0,COUNTIF(원본명단!$I$3:$I$6002,원본명단!$I408)))</f>
        <v/>
      </c>
      <c r="G409" s="11" t="str">
        <f aca="false">IF($A409="","",IF(원본명단!$K408="",0,COUNTIF(원본명단!$K$3:$K$6002,원본명단!$K408)))</f>
        <v/>
      </c>
      <c r="H409" s="11" t="str">
        <f aca="false">IF($A409="","",IF(MAX($E409,$F409,$G409)&gt;1,"중복","-"))</f>
        <v/>
      </c>
      <c r="I409" s="11" t="str">
        <f aca="false">IF($A409="","",IF($H409="-","-",IF(AND(IF(원본명단!$H408="",TRUE(),COUNTIF(원본명단!$H$3:$H408,원본명단!$H408)=1),IF(원본명단!$I408="",TRUE(),COUNTIF(원본명단!$I$3:$I408,원본명단!$I408)=1),IF(원본명단!$K408="",TRUE(),COUNTIF(원본명단!$K$3:$K408,원본명단!$K408)=1)),"첫 건","중복 건")))</f>
        <v/>
      </c>
      <c r="J409" s="11" t="str">
        <f aca="false">IF($A409="","",IF($H409="-","유지",IF($I409="첫 건","유지","확인 필요")))</f>
        <v/>
      </c>
    </row>
    <row r="410" customFormat="false" ht="15" hidden="false" customHeight="true" outlineLevel="0" collapsed="false">
      <c r="A410" s="11" t="str">
        <f aca="false">IF(원본명단!$A409="","",407)</f>
        <v/>
      </c>
      <c r="B410" s="12" t="str">
        <f aca="false">IF($A410="","",원본명단!$A409)</f>
        <v/>
      </c>
      <c r="C410" s="12" t="str">
        <f aca="false">IF($A410="","",원본명단!$B409)</f>
        <v/>
      </c>
      <c r="D410" s="12" t="str">
        <f aca="false">IF($A410="","",원본명단!$D409)</f>
        <v/>
      </c>
      <c r="E410" s="11" t="str">
        <f aca="false">IF($A410="","",IF(원본명단!$H409="",0,COUNTIF(원본명단!$H$3:$H$6002,원본명단!$H409)))</f>
        <v/>
      </c>
      <c r="F410" s="11" t="str">
        <f aca="false">IF($A410="","",IF(원본명단!$I409="",0,COUNTIF(원본명단!$I$3:$I$6002,원본명단!$I409)))</f>
        <v/>
      </c>
      <c r="G410" s="11" t="str">
        <f aca="false">IF($A410="","",IF(원본명단!$K409="",0,COUNTIF(원본명단!$K$3:$K$6002,원본명단!$K409)))</f>
        <v/>
      </c>
      <c r="H410" s="11" t="str">
        <f aca="false">IF($A410="","",IF(MAX($E410,$F410,$G410)&gt;1,"중복","-"))</f>
        <v/>
      </c>
      <c r="I410" s="11" t="str">
        <f aca="false">IF($A410="","",IF($H410="-","-",IF(AND(IF(원본명단!$H409="",TRUE(),COUNTIF(원본명단!$H$3:$H409,원본명단!$H409)=1),IF(원본명단!$I409="",TRUE(),COUNTIF(원본명단!$I$3:$I409,원본명단!$I409)=1),IF(원본명단!$K409="",TRUE(),COUNTIF(원본명단!$K$3:$K409,원본명단!$K409)=1)),"첫 건","중복 건")))</f>
        <v/>
      </c>
      <c r="J410" s="11" t="str">
        <f aca="false">IF($A410="","",IF($H410="-","유지",IF($I410="첫 건","유지","확인 필요")))</f>
        <v/>
      </c>
    </row>
    <row r="411" customFormat="false" ht="15" hidden="false" customHeight="true" outlineLevel="0" collapsed="false">
      <c r="A411" s="11" t="str">
        <f aca="false">IF(원본명단!$A410="","",408)</f>
        <v/>
      </c>
      <c r="B411" s="12" t="str">
        <f aca="false">IF($A411="","",원본명단!$A410)</f>
        <v/>
      </c>
      <c r="C411" s="12" t="str">
        <f aca="false">IF($A411="","",원본명단!$B410)</f>
        <v/>
      </c>
      <c r="D411" s="12" t="str">
        <f aca="false">IF($A411="","",원본명단!$D410)</f>
        <v/>
      </c>
      <c r="E411" s="11" t="str">
        <f aca="false">IF($A411="","",IF(원본명단!$H410="",0,COUNTIF(원본명단!$H$3:$H$6002,원본명단!$H410)))</f>
        <v/>
      </c>
      <c r="F411" s="11" t="str">
        <f aca="false">IF($A411="","",IF(원본명단!$I410="",0,COUNTIF(원본명단!$I$3:$I$6002,원본명단!$I410)))</f>
        <v/>
      </c>
      <c r="G411" s="11" t="str">
        <f aca="false">IF($A411="","",IF(원본명단!$K410="",0,COUNTIF(원본명단!$K$3:$K$6002,원본명단!$K410)))</f>
        <v/>
      </c>
      <c r="H411" s="11" t="str">
        <f aca="false">IF($A411="","",IF(MAX($E411,$F411,$G411)&gt;1,"중복","-"))</f>
        <v/>
      </c>
      <c r="I411" s="11" t="str">
        <f aca="false">IF($A411="","",IF($H411="-","-",IF(AND(IF(원본명단!$H410="",TRUE(),COUNTIF(원본명단!$H$3:$H410,원본명단!$H410)=1),IF(원본명단!$I410="",TRUE(),COUNTIF(원본명단!$I$3:$I410,원본명단!$I410)=1),IF(원본명단!$K410="",TRUE(),COUNTIF(원본명단!$K$3:$K410,원본명단!$K410)=1)),"첫 건","중복 건")))</f>
        <v/>
      </c>
      <c r="J411" s="11" t="str">
        <f aca="false">IF($A411="","",IF($H411="-","유지",IF($I411="첫 건","유지","확인 필요")))</f>
        <v/>
      </c>
    </row>
    <row r="412" customFormat="false" ht="15" hidden="false" customHeight="true" outlineLevel="0" collapsed="false">
      <c r="A412" s="11" t="str">
        <f aca="false">IF(원본명단!$A411="","",409)</f>
        <v/>
      </c>
      <c r="B412" s="12" t="str">
        <f aca="false">IF($A412="","",원본명단!$A411)</f>
        <v/>
      </c>
      <c r="C412" s="12" t="str">
        <f aca="false">IF($A412="","",원본명단!$B411)</f>
        <v/>
      </c>
      <c r="D412" s="12" t="str">
        <f aca="false">IF($A412="","",원본명단!$D411)</f>
        <v/>
      </c>
      <c r="E412" s="11" t="str">
        <f aca="false">IF($A412="","",IF(원본명단!$H411="",0,COUNTIF(원본명단!$H$3:$H$6002,원본명단!$H411)))</f>
        <v/>
      </c>
      <c r="F412" s="11" t="str">
        <f aca="false">IF($A412="","",IF(원본명단!$I411="",0,COUNTIF(원본명단!$I$3:$I$6002,원본명단!$I411)))</f>
        <v/>
      </c>
      <c r="G412" s="11" t="str">
        <f aca="false">IF($A412="","",IF(원본명단!$K411="",0,COUNTIF(원본명단!$K$3:$K$6002,원본명단!$K411)))</f>
        <v/>
      </c>
      <c r="H412" s="11" t="str">
        <f aca="false">IF($A412="","",IF(MAX($E412,$F412,$G412)&gt;1,"중복","-"))</f>
        <v/>
      </c>
      <c r="I412" s="11" t="str">
        <f aca="false">IF($A412="","",IF($H412="-","-",IF(AND(IF(원본명단!$H411="",TRUE(),COUNTIF(원본명단!$H$3:$H411,원본명단!$H411)=1),IF(원본명단!$I411="",TRUE(),COUNTIF(원본명단!$I$3:$I411,원본명단!$I411)=1),IF(원본명단!$K411="",TRUE(),COUNTIF(원본명단!$K$3:$K411,원본명단!$K411)=1)),"첫 건","중복 건")))</f>
        <v/>
      </c>
      <c r="J412" s="11" t="str">
        <f aca="false">IF($A412="","",IF($H412="-","유지",IF($I412="첫 건","유지","확인 필요")))</f>
        <v/>
      </c>
    </row>
    <row r="413" customFormat="false" ht="15" hidden="false" customHeight="true" outlineLevel="0" collapsed="false">
      <c r="A413" s="11" t="str">
        <f aca="false">IF(원본명단!$A412="","",410)</f>
        <v/>
      </c>
      <c r="B413" s="12" t="str">
        <f aca="false">IF($A413="","",원본명단!$A412)</f>
        <v/>
      </c>
      <c r="C413" s="12" t="str">
        <f aca="false">IF($A413="","",원본명단!$B412)</f>
        <v/>
      </c>
      <c r="D413" s="12" t="str">
        <f aca="false">IF($A413="","",원본명단!$D412)</f>
        <v/>
      </c>
      <c r="E413" s="11" t="str">
        <f aca="false">IF($A413="","",IF(원본명단!$H412="",0,COUNTIF(원본명단!$H$3:$H$6002,원본명단!$H412)))</f>
        <v/>
      </c>
      <c r="F413" s="11" t="str">
        <f aca="false">IF($A413="","",IF(원본명단!$I412="",0,COUNTIF(원본명단!$I$3:$I$6002,원본명단!$I412)))</f>
        <v/>
      </c>
      <c r="G413" s="11" t="str">
        <f aca="false">IF($A413="","",IF(원본명단!$K412="",0,COUNTIF(원본명단!$K$3:$K$6002,원본명단!$K412)))</f>
        <v/>
      </c>
      <c r="H413" s="11" t="str">
        <f aca="false">IF($A413="","",IF(MAX($E413,$F413,$G413)&gt;1,"중복","-"))</f>
        <v/>
      </c>
      <c r="I413" s="11" t="str">
        <f aca="false">IF($A413="","",IF($H413="-","-",IF(AND(IF(원본명단!$H412="",TRUE(),COUNTIF(원본명단!$H$3:$H412,원본명단!$H412)=1),IF(원본명단!$I412="",TRUE(),COUNTIF(원본명단!$I$3:$I412,원본명단!$I412)=1),IF(원본명단!$K412="",TRUE(),COUNTIF(원본명단!$K$3:$K412,원본명단!$K412)=1)),"첫 건","중복 건")))</f>
        <v/>
      </c>
      <c r="J413" s="11" t="str">
        <f aca="false">IF($A413="","",IF($H413="-","유지",IF($I413="첫 건","유지","확인 필요")))</f>
        <v/>
      </c>
    </row>
    <row r="414" customFormat="false" ht="15" hidden="false" customHeight="true" outlineLevel="0" collapsed="false">
      <c r="A414" s="11" t="str">
        <f aca="false">IF(원본명단!$A413="","",411)</f>
        <v/>
      </c>
      <c r="B414" s="12" t="str">
        <f aca="false">IF($A414="","",원본명단!$A413)</f>
        <v/>
      </c>
      <c r="C414" s="12" t="str">
        <f aca="false">IF($A414="","",원본명단!$B413)</f>
        <v/>
      </c>
      <c r="D414" s="12" t="str">
        <f aca="false">IF($A414="","",원본명단!$D413)</f>
        <v/>
      </c>
      <c r="E414" s="11" t="str">
        <f aca="false">IF($A414="","",IF(원본명단!$H413="",0,COUNTIF(원본명단!$H$3:$H$6002,원본명단!$H413)))</f>
        <v/>
      </c>
      <c r="F414" s="11" t="str">
        <f aca="false">IF($A414="","",IF(원본명단!$I413="",0,COUNTIF(원본명단!$I$3:$I$6002,원본명단!$I413)))</f>
        <v/>
      </c>
      <c r="G414" s="11" t="str">
        <f aca="false">IF($A414="","",IF(원본명단!$K413="",0,COUNTIF(원본명단!$K$3:$K$6002,원본명단!$K413)))</f>
        <v/>
      </c>
      <c r="H414" s="11" t="str">
        <f aca="false">IF($A414="","",IF(MAX($E414,$F414,$G414)&gt;1,"중복","-"))</f>
        <v/>
      </c>
      <c r="I414" s="11" t="str">
        <f aca="false">IF($A414="","",IF($H414="-","-",IF(AND(IF(원본명단!$H413="",TRUE(),COUNTIF(원본명단!$H$3:$H413,원본명단!$H413)=1),IF(원본명단!$I413="",TRUE(),COUNTIF(원본명단!$I$3:$I413,원본명단!$I413)=1),IF(원본명단!$K413="",TRUE(),COUNTIF(원본명단!$K$3:$K413,원본명단!$K413)=1)),"첫 건","중복 건")))</f>
        <v/>
      </c>
      <c r="J414" s="11" t="str">
        <f aca="false">IF($A414="","",IF($H414="-","유지",IF($I414="첫 건","유지","확인 필요")))</f>
        <v/>
      </c>
    </row>
    <row r="415" customFormat="false" ht="15" hidden="false" customHeight="true" outlineLevel="0" collapsed="false">
      <c r="A415" s="11" t="str">
        <f aca="false">IF(원본명단!$A414="","",412)</f>
        <v/>
      </c>
      <c r="B415" s="12" t="str">
        <f aca="false">IF($A415="","",원본명단!$A414)</f>
        <v/>
      </c>
      <c r="C415" s="12" t="str">
        <f aca="false">IF($A415="","",원본명단!$B414)</f>
        <v/>
      </c>
      <c r="D415" s="12" t="str">
        <f aca="false">IF($A415="","",원본명단!$D414)</f>
        <v/>
      </c>
      <c r="E415" s="11" t="str">
        <f aca="false">IF($A415="","",IF(원본명단!$H414="",0,COUNTIF(원본명단!$H$3:$H$6002,원본명단!$H414)))</f>
        <v/>
      </c>
      <c r="F415" s="11" t="str">
        <f aca="false">IF($A415="","",IF(원본명단!$I414="",0,COUNTIF(원본명단!$I$3:$I$6002,원본명단!$I414)))</f>
        <v/>
      </c>
      <c r="G415" s="11" t="str">
        <f aca="false">IF($A415="","",IF(원본명단!$K414="",0,COUNTIF(원본명단!$K$3:$K$6002,원본명단!$K414)))</f>
        <v/>
      </c>
      <c r="H415" s="11" t="str">
        <f aca="false">IF($A415="","",IF(MAX($E415,$F415,$G415)&gt;1,"중복","-"))</f>
        <v/>
      </c>
      <c r="I415" s="11" t="str">
        <f aca="false">IF($A415="","",IF($H415="-","-",IF(AND(IF(원본명단!$H414="",TRUE(),COUNTIF(원본명단!$H$3:$H414,원본명단!$H414)=1),IF(원본명단!$I414="",TRUE(),COUNTIF(원본명단!$I$3:$I414,원본명단!$I414)=1),IF(원본명단!$K414="",TRUE(),COUNTIF(원본명단!$K$3:$K414,원본명단!$K414)=1)),"첫 건","중복 건")))</f>
        <v/>
      </c>
      <c r="J415" s="11" t="str">
        <f aca="false">IF($A415="","",IF($H415="-","유지",IF($I415="첫 건","유지","확인 필요")))</f>
        <v/>
      </c>
    </row>
    <row r="416" customFormat="false" ht="15" hidden="false" customHeight="true" outlineLevel="0" collapsed="false">
      <c r="A416" s="11" t="str">
        <f aca="false">IF(원본명단!$A415="","",413)</f>
        <v/>
      </c>
      <c r="B416" s="12" t="str">
        <f aca="false">IF($A416="","",원본명단!$A415)</f>
        <v/>
      </c>
      <c r="C416" s="12" t="str">
        <f aca="false">IF($A416="","",원본명단!$B415)</f>
        <v/>
      </c>
      <c r="D416" s="12" t="str">
        <f aca="false">IF($A416="","",원본명단!$D415)</f>
        <v/>
      </c>
      <c r="E416" s="11" t="str">
        <f aca="false">IF($A416="","",IF(원본명단!$H415="",0,COUNTIF(원본명단!$H$3:$H$6002,원본명단!$H415)))</f>
        <v/>
      </c>
      <c r="F416" s="11" t="str">
        <f aca="false">IF($A416="","",IF(원본명단!$I415="",0,COUNTIF(원본명단!$I$3:$I$6002,원본명단!$I415)))</f>
        <v/>
      </c>
      <c r="G416" s="11" t="str">
        <f aca="false">IF($A416="","",IF(원본명단!$K415="",0,COUNTIF(원본명단!$K$3:$K$6002,원본명단!$K415)))</f>
        <v/>
      </c>
      <c r="H416" s="11" t="str">
        <f aca="false">IF($A416="","",IF(MAX($E416,$F416,$G416)&gt;1,"중복","-"))</f>
        <v/>
      </c>
      <c r="I416" s="11" t="str">
        <f aca="false">IF($A416="","",IF($H416="-","-",IF(AND(IF(원본명단!$H415="",TRUE(),COUNTIF(원본명단!$H$3:$H415,원본명단!$H415)=1),IF(원본명단!$I415="",TRUE(),COUNTIF(원본명단!$I$3:$I415,원본명단!$I415)=1),IF(원본명단!$K415="",TRUE(),COUNTIF(원본명단!$K$3:$K415,원본명단!$K415)=1)),"첫 건","중복 건")))</f>
        <v/>
      </c>
      <c r="J416" s="11" t="str">
        <f aca="false">IF($A416="","",IF($H416="-","유지",IF($I416="첫 건","유지","확인 필요")))</f>
        <v/>
      </c>
    </row>
    <row r="417" customFormat="false" ht="15" hidden="false" customHeight="true" outlineLevel="0" collapsed="false">
      <c r="A417" s="11" t="str">
        <f aca="false">IF(원본명단!$A416="","",414)</f>
        <v/>
      </c>
      <c r="B417" s="12" t="str">
        <f aca="false">IF($A417="","",원본명단!$A416)</f>
        <v/>
      </c>
      <c r="C417" s="12" t="str">
        <f aca="false">IF($A417="","",원본명단!$B416)</f>
        <v/>
      </c>
      <c r="D417" s="12" t="str">
        <f aca="false">IF($A417="","",원본명단!$D416)</f>
        <v/>
      </c>
      <c r="E417" s="11" t="str">
        <f aca="false">IF($A417="","",IF(원본명단!$H416="",0,COUNTIF(원본명단!$H$3:$H$6002,원본명단!$H416)))</f>
        <v/>
      </c>
      <c r="F417" s="11" t="str">
        <f aca="false">IF($A417="","",IF(원본명단!$I416="",0,COUNTIF(원본명단!$I$3:$I$6002,원본명단!$I416)))</f>
        <v/>
      </c>
      <c r="G417" s="11" t="str">
        <f aca="false">IF($A417="","",IF(원본명단!$K416="",0,COUNTIF(원본명단!$K$3:$K$6002,원본명단!$K416)))</f>
        <v/>
      </c>
      <c r="H417" s="11" t="str">
        <f aca="false">IF($A417="","",IF(MAX($E417,$F417,$G417)&gt;1,"중복","-"))</f>
        <v/>
      </c>
      <c r="I417" s="11" t="str">
        <f aca="false">IF($A417="","",IF($H417="-","-",IF(AND(IF(원본명단!$H416="",TRUE(),COUNTIF(원본명단!$H$3:$H416,원본명단!$H416)=1),IF(원본명단!$I416="",TRUE(),COUNTIF(원본명단!$I$3:$I416,원본명단!$I416)=1),IF(원본명단!$K416="",TRUE(),COUNTIF(원본명단!$K$3:$K416,원본명단!$K416)=1)),"첫 건","중복 건")))</f>
        <v/>
      </c>
      <c r="J417" s="11" t="str">
        <f aca="false">IF($A417="","",IF($H417="-","유지",IF($I417="첫 건","유지","확인 필요")))</f>
        <v/>
      </c>
    </row>
    <row r="418" customFormat="false" ht="15" hidden="false" customHeight="true" outlineLevel="0" collapsed="false">
      <c r="A418" s="11" t="str">
        <f aca="false">IF(원본명단!$A417="","",415)</f>
        <v/>
      </c>
      <c r="B418" s="12" t="str">
        <f aca="false">IF($A418="","",원본명단!$A417)</f>
        <v/>
      </c>
      <c r="C418" s="12" t="str">
        <f aca="false">IF($A418="","",원본명단!$B417)</f>
        <v/>
      </c>
      <c r="D418" s="12" t="str">
        <f aca="false">IF($A418="","",원본명단!$D417)</f>
        <v/>
      </c>
      <c r="E418" s="11" t="str">
        <f aca="false">IF($A418="","",IF(원본명단!$H417="",0,COUNTIF(원본명단!$H$3:$H$6002,원본명단!$H417)))</f>
        <v/>
      </c>
      <c r="F418" s="11" t="str">
        <f aca="false">IF($A418="","",IF(원본명단!$I417="",0,COUNTIF(원본명단!$I$3:$I$6002,원본명단!$I417)))</f>
        <v/>
      </c>
      <c r="G418" s="11" t="str">
        <f aca="false">IF($A418="","",IF(원본명단!$K417="",0,COUNTIF(원본명단!$K$3:$K$6002,원본명단!$K417)))</f>
        <v/>
      </c>
      <c r="H418" s="11" t="str">
        <f aca="false">IF($A418="","",IF(MAX($E418,$F418,$G418)&gt;1,"중복","-"))</f>
        <v/>
      </c>
      <c r="I418" s="11" t="str">
        <f aca="false">IF($A418="","",IF($H418="-","-",IF(AND(IF(원본명단!$H417="",TRUE(),COUNTIF(원본명단!$H$3:$H417,원본명단!$H417)=1),IF(원본명단!$I417="",TRUE(),COUNTIF(원본명단!$I$3:$I417,원본명단!$I417)=1),IF(원본명단!$K417="",TRUE(),COUNTIF(원본명단!$K$3:$K417,원본명단!$K417)=1)),"첫 건","중복 건")))</f>
        <v/>
      </c>
      <c r="J418" s="11" t="str">
        <f aca="false">IF($A418="","",IF($H418="-","유지",IF($I418="첫 건","유지","확인 필요")))</f>
        <v/>
      </c>
    </row>
    <row r="419" customFormat="false" ht="15" hidden="false" customHeight="true" outlineLevel="0" collapsed="false">
      <c r="A419" s="11" t="str">
        <f aca="false">IF(원본명단!$A418="","",416)</f>
        <v/>
      </c>
      <c r="B419" s="12" t="str">
        <f aca="false">IF($A419="","",원본명단!$A418)</f>
        <v/>
      </c>
      <c r="C419" s="12" t="str">
        <f aca="false">IF($A419="","",원본명단!$B418)</f>
        <v/>
      </c>
      <c r="D419" s="12" t="str">
        <f aca="false">IF($A419="","",원본명단!$D418)</f>
        <v/>
      </c>
      <c r="E419" s="11" t="str">
        <f aca="false">IF($A419="","",IF(원본명단!$H418="",0,COUNTIF(원본명단!$H$3:$H$6002,원본명단!$H418)))</f>
        <v/>
      </c>
      <c r="F419" s="11" t="str">
        <f aca="false">IF($A419="","",IF(원본명단!$I418="",0,COUNTIF(원본명단!$I$3:$I$6002,원본명단!$I418)))</f>
        <v/>
      </c>
      <c r="G419" s="11" t="str">
        <f aca="false">IF($A419="","",IF(원본명단!$K418="",0,COUNTIF(원본명단!$K$3:$K$6002,원본명단!$K418)))</f>
        <v/>
      </c>
      <c r="H419" s="11" t="str">
        <f aca="false">IF($A419="","",IF(MAX($E419,$F419,$G419)&gt;1,"중복","-"))</f>
        <v/>
      </c>
      <c r="I419" s="11" t="str">
        <f aca="false">IF($A419="","",IF($H419="-","-",IF(AND(IF(원본명단!$H418="",TRUE(),COUNTIF(원본명단!$H$3:$H418,원본명단!$H418)=1),IF(원본명단!$I418="",TRUE(),COUNTIF(원본명단!$I$3:$I418,원본명단!$I418)=1),IF(원본명단!$K418="",TRUE(),COUNTIF(원본명단!$K$3:$K418,원본명단!$K418)=1)),"첫 건","중복 건")))</f>
        <v/>
      </c>
      <c r="J419" s="11" t="str">
        <f aca="false">IF($A419="","",IF($H419="-","유지",IF($I419="첫 건","유지","확인 필요")))</f>
        <v/>
      </c>
    </row>
    <row r="420" customFormat="false" ht="15" hidden="false" customHeight="true" outlineLevel="0" collapsed="false">
      <c r="A420" s="11" t="str">
        <f aca="false">IF(원본명단!$A419="","",417)</f>
        <v/>
      </c>
      <c r="B420" s="12" t="str">
        <f aca="false">IF($A420="","",원본명단!$A419)</f>
        <v/>
      </c>
      <c r="C420" s="12" t="str">
        <f aca="false">IF($A420="","",원본명단!$B419)</f>
        <v/>
      </c>
      <c r="D420" s="12" t="str">
        <f aca="false">IF($A420="","",원본명단!$D419)</f>
        <v/>
      </c>
      <c r="E420" s="11" t="str">
        <f aca="false">IF($A420="","",IF(원본명단!$H419="",0,COUNTIF(원본명단!$H$3:$H$6002,원본명단!$H419)))</f>
        <v/>
      </c>
      <c r="F420" s="11" t="str">
        <f aca="false">IF($A420="","",IF(원본명단!$I419="",0,COUNTIF(원본명단!$I$3:$I$6002,원본명단!$I419)))</f>
        <v/>
      </c>
      <c r="G420" s="11" t="str">
        <f aca="false">IF($A420="","",IF(원본명단!$K419="",0,COUNTIF(원본명단!$K$3:$K$6002,원본명단!$K419)))</f>
        <v/>
      </c>
      <c r="H420" s="11" t="str">
        <f aca="false">IF($A420="","",IF(MAX($E420,$F420,$G420)&gt;1,"중복","-"))</f>
        <v/>
      </c>
      <c r="I420" s="11" t="str">
        <f aca="false">IF($A420="","",IF($H420="-","-",IF(AND(IF(원본명단!$H419="",TRUE(),COUNTIF(원본명단!$H$3:$H419,원본명단!$H419)=1),IF(원본명단!$I419="",TRUE(),COUNTIF(원본명단!$I$3:$I419,원본명단!$I419)=1),IF(원본명단!$K419="",TRUE(),COUNTIF(원본명단!$K$3:$K419,원본명단!$K419)=1)),"첫 건","중복 건")))</f>
        <v/>
      </c>
      <c r="J420" s="11" t="str">
        <f aca="false">IF($A420="","",IF($H420="-","유지",IF($I420="첫 건","유지","확인 필요")))</f>
        <v/>
      </c>
    </row>
    <row r="421" customFormat="false" ht="15" hidden="false" customHeight="true" outlineLevel="0" collapsed="false">
      <c r="A421" s="11" t="str">
        <f aca="false">IF(원본명단!$A420="","",418)</f>
        <v/>
      </c>
      <c r="B421" s="12" t="str">
        <f aca="false">IF($A421="","",원본명단!$A420)</f>
        <v/>
      </c>
      <c r="C421" s="12" t="str">
        <f aca="false">IF($A421="","",원본명단!$B420)</f>
        <v/>
      </c>
      <c r="D421" s="12" t="str">
        <f aca="false">IF($A421="","",원본명단!$D420)</f>
        <v/>
      </c>
      <c r="E421" s="11" t="str">
        <f aca="false">IF($A421="","",IF(원본명단!$H420="",0,COUNTIF(원본명단!$H$3:$H$6002,원본명단!$H420)))</f>
        <v/>
      </c>
      <c r="F421" s="11" t="str">
        <f aca="false">IF($A421="","",IF(원본명단!$I420="",0,COUNTIF(원본명단!$I$3:$I$6002,원본명단!$I420)))</f>
        <v/>
      </c>
      <c r="G421" s="11" t="str">
        <f aca="false">IF($A421="","",IF(원본명단!$K420="",0,COUNTIF(원본명단!$K$3:$K$6002,원본명단!$K420)))</f>
        <v/>
      </c>
      <c r="H421" s="11" t="str">
        <f aca="false">IF($A421="","",IF(MAX($E421,$F421,$G421)&gt;1,"중복","-"))</f>
        <v/>
      </c>
      <c r="I421" s="11" t="str">
        <f aca="false">IF($A421="","",IF($H421="-","-",IF(AND(IF(원본명단!$H420="",TRUE(),COUNTIF(원본명단!$H$3:$H420,원본명단!$H420)=1),IF(원본명단!$I420="",TRUE(),COUNTIF(원본명단!$I$3:$I420,원본명단!$I420)=1),IF(원본명단!$K420="",TRUE(),COUNTIF(원본명단!$K$3:$K420,원본명단!$K420)=1)),"첫 건","중복 건")))</f>
        <v/>
      </c>
      <c r="J421" s="11" t="str">
        <f aca="false">IF($A421="","",IF($H421="-","유지",IF($I421="첫 건","유지","확인 필요")))</f>
        <v/>
      </c>
    </row>
    <row r="422" customFormat="false" ht="15" hidden="false" customHeight="true" outlineLevel="0" collapsed="false">
      <c r="A422" s="11" t="str">
        <f aca="false">IF(원본명단!$A421="","",419)</f>
        <v/>
      </c>
      <c r="B422" s="12" t="str">
        <f aca="false">IF($A422="","",원본명단!$A421)</f>
        <v/>
      </c>
      <c r="C422" s="12" t="str">
        <f aca="false">IF($A422="","",원본명단!$B421)</f>
        <v/>
      </c>
      <c r="D422" s="12" t="str">
        <f aca="false">IF($A422="","",원본명단!$D421)</f>
        <v/>
      </c>
      <c r="E422" s="11" t="str">
        <f aca="false">IF($A422="","",IF(원본명단!$H421="",0,COUNTIF(원본명단!$H$3:$H$6002,원본명단!$H421)))</f>
        <v/>
      </c>
      <c r="F422" s="11" t="str">
        <f aca="false">IF($A422="","",IF(원본명단!$I421="",0,COUNTIF(원본명단!$I$3:$I$6002,원본명단!$I421)))</f>
        <v/>
      </c>
      <c r="G422" s="11" t="str">
        <f aca="false">IF($A422="","",IF(원본명단!$K421="",0,COUNTIF(원본명단!$K$3:$K$6002,원본명단!$K421)))</f>
        <v/>
      </c>
      <c r="H422" s="11" t="str">
        <f aca="false">IF($A422="","",IF(MAX($E422,$F422,$G422)&gt;1,"중복","-"))</f>
        <v/>
      </c>
      <c r="I422" s="11" t="str">
        <f aca="false">IF($A422="","",IF($H422="-","-",IF(AND(IF(원본명단!$H421="",TRUE(),COUNTIF(원본명단!$H$3:$H421,원본명단!$H421)=1),IF(원본명단!$I421="",TRUE(),COUNTIF(원본명단!$I$3:$I421,원본명단!$I421)=1),IF(원본명단!$K421="",TRUE(),COUNTIF(원본명단!$K$3:$K421,원본명단!$K421)=1)),"첫 건","중복 건")))</f>
        <v/>
      </c>
      <c r="J422" s="11" t="str">
        <f aca="false">IF($A422="","",IF($H422="-","유지",IF($I422="첫 건","유지","확인 필요")))</f>
        <v/>
      </c>
    </row>
    <row r="423" customFormat="false" ht="15" hidden="false" customHeight="true" outlineLevel="0" collapsed="false">
      <c r="A423" s="11" t="str">
        <f aca="false">IF(원본명단!$A422="","",420)</f>
        <v/>
      </c>
      <c r="B423" s="12" t="str">
        <f aca="false">IF($A423="","",원본명단!$A422)</f>
        <v/>
      </c>
      <c r="C423" s="12" t="str">
        <f aca="false">IF($A423="","",원본명단!$B422)</f>
        <v/>
      </c>
      <c r="D423" s="12" t="str">
        <f aca="false">IF($A423="","",원본명단!$D422)</f>
        <v/>
      </c>
      <c r="E423" s="11" t="str">
        <f aca="false">IF($A423="","",IF(원본명단!$H422="",0,COUNTIF(원본명단!$H$3:$H$6002,원본명단!$H422)))</f>
        <v/>
      </c>
      <c r="F423" s="11" t="str">
        <f aca="false">IF($A423="","",IF(원본명단!$I422="",0,COUNTIF(원본명단!$I$3:$I$6002,원본명단!$I422)))</f>
        <v/>
      </c>
      <c r="G423" s="11" t="str">
        <f aca="false">IF($A423="","",IF(원본명단!$K422="",0,COUNTIF(원본명단!$K$3:$K$6002,원본명단!$K422)))</f>
        <v/>
      </c>
      <c r="H423" s="11" t="str">
        <f aca="false">IF($A423="","",IF(MAX($E423,$F423,$G423)&gt;1,"중복","-"))</f>
        <v/>
      </c>
      <c r="I423" s="11" t="str">
        <f aca="false">IF($A423="","",IF($H423="-","-",IF(AND(IF(원본명단!$H422="",TRUE(),COUNTIF(원본명단!$H$3:$H422,원본명단!$H422)=1),IF(원본명단!$I422="",TRUE(),COUNTIF(원본명단!$I$3:$I422,원본명단!$I422)=1),IF(원본명단!$K422="",TRUE(),COUNTIF(원본명단!$K$3:$K422,원본명단!$K422)=1)),"첫 건","중복 건")))</f>
        <v/>
      </c>
      <c r="J423" s="11" t="str">
        <f aca="false">IF($A423="","",IF($H423="-","유지",IF($I423="첫 건","유지","확인 필요")))</f>
        <v/>
      </c>
    </row>
    <row r="424" customFormat="false" ht="15" hidden="false" customHeight="true" outlineLevel="0" collapsed="false">
      <c r="A424" s="11" t="str">
        <f aca="false">IF(원본명단!$A423="","",421)</f>
        <v/>
      </c>
      <c r="B424" s="12" t="str">
        <f aca="false">IF($A424="","",원본명단!$A423)</f>
        <v/>
      </c>
      <c r="C424" s="12" t="str">
        <f aca="false">IF($A424="","",원본명단!$B423)</f>
        <v/>
      </c>
      <c r="D424" s="12" t="str">
        <f aca="false">IF($A424="","",원본명단!$D423)</f>
        <v/>
      </c>
      <c r="E424" s="11" t="str">
        <f aca="false">IF($A424="","",IF(원본명단!$H423="",0,COUNTIF(원본명단!$H$3:$H$6002,원본명단!$H423)))</f>
        <v/>
      </c>
      <c r="F424" s="11" t="str">
        <f aca="false">IF($A424="","",IF(원본명단!$I423="",0,COUNTIF(원본명단!$I$3:$I$6002,원본명단!$I423)))</f>
        <v/>
      </c>
      <c r="G424" s="11" t="str">
        <f aca="false">IF($A424="","",IF(원본명단!$K423="",0,COUNTIF(원본명단!$K$3:$K$6002,원본명단!$K423)))</f>
        <v/>
      </c>
      <c r="H424" s="11" t="str">
        <f aca="false">IF($A424="","",IF(MAX($E424,$F424,$G424)&gt;1,"중복","-"))</f>
        <v/>
      </c>
      <c r="I424" s="11" t="str">
        <f aca="false">IF($A424="","",IF($H424="-","-",IF(AND(IF(원본명단!$H423="",TRUE(),COUNTIF(원본명단!$H$3:$H423,원본명단!$H423)=1),IF(원본명단!$I423="",TRUE(),COUNTIF(원본명단!$I$3:$I423,원본명단!$I423)=1),IF(원본명단!$K423="",TRUE(),COUNTIF(원본명단!$K$3:$K423,원본명단!$K423)=1)),"첫 건","중복 건")))</f>
        <v/>
      </c>
      <c r="J424" s="11" t="str">
        <f aca="false">IF($A424="","",IF($H424="-","유지",IF($I424="첫 건","유지","확인 필요")))</f>
        <v/>
      </c>
    </row>
    <row r="425" customFormat="false" ht="15" hidden="false" customHeight="true" outlineLevel="0" collapsed="false">
      <c r="A425" s="11" t="str">
        <f aca="false">IF(원본명단!$A424="","",422)</f>
        <v/>
      </c>
      <c r="B425" s="12" t="str">
        <f aca="false">IF($A425="","",원본명단!$A424)</f>
        <v/>
      </c>
      <c r="C425" s="12" t="str">
        <f aca="false">IF($A425="","",원본명단!$B424)</f>
        <v/>
      </c>
      <c r="D425" s="12" t="str">
        <f aca="false">IF($A425="","",원본명단!$D424)</f>
        <v/>
      </c>
      <c r="E425" s="11" t="str">
        <f aca="false">IF($A425="","",IF(원본명단!$H424="",0,COUNTIF(원본명단!$H$3:$H$6002,원본명단!$H424)))</f>
        <v/>
      </c>
      <c r="F425" s="11" t="str">
        <f aca="false">IF($A425="","",IF(원본명단!$I424="",0,COUNTIF(원본명단!$I$3:$I$6002,원본명단!$I424)))</f>
        <v/>
      </c>
      <c r="G425" s="11" t="str">
        <f aca="false">IF($A425="","",IF(원본명단!$K424="",0,COUNTIF(원본명단!$K$3:$K$6002,원본명단!$K424)))</f>
        <v/>
      </c>
      <c r="H425" s="11" t="str">
        <f aca="false">IF($A425="","",IF(MAX($E425,$F425,$G425)&gt;1,"중복","-"))</f>
        <v/>
      </c>
      <c r="I425" s="11" t="str">
        <f aca="false">IF($A425="","",IF($H425="-","-",IF(AND(IF(원본명단!$H424="",TRUE(),COUNTIF(원본명단!$H$3:$H424,원본명단!$H424)=1),IF(원본명단!$I424="",TRUE(),COUNTIF(원본명단!$I$3:$I424,원본명단!$I424)=1),IF(원본명단!$K424="",TRUE(),COUNTIF(원본명단!$K$3:$K424,원본명단!$K424)=1)),"첫 건","중복 건")))</f>
        <v/>
      </c>
      <c r="J425" s="11" t="str">
        <f aca="false">IF($A425="","",IF($H425="-","유지",IF($I425="첫 건","유지","확인 필요")))</f>
        <v/>
      </c>
    </row>
    <row r="426" customFormat="false" ht="15" hidden="false" customHeight="true" outlineLevel="0" collapsed="false">
      <c r="A426" s="11" t="str">
        <f aca="false">IF(원본명단!$A425="","",423)</f>
        <v/>
      </c>
      <c r="B426" s="12" t="str">
        <f aca="false">IF($A426="","",원본명단!$A425)</f>
        <v/>
      </c>
      <c r="C426" s="12" t="str">
        <f aca="false">IF($A426="","",원본명단!$B425)</f>
        <v/>
      </c>
      <c r="D426" s="12" t="str">
        <f aca="false">IF($A426="","",원본명단!$D425)</f>
        <v/>
      </c>
      <c r="E426" s="11" t="str">
        <f aca="false">IF($A426="","",IF(원본명단!$H425="",0,COUNTIF(원본명단!$H$3:$H$6002,원본명단!$H425)))</f>
        <v/>
      </c>
      <c r="F426" s="11" t="str">
        <f aca="false">IF($A426="","",IF(원본명단!$I425="",0,COUNTIF(원본명단!$I$3:$I$6002,원본명단!$I425)))</f>
        <v/>
      </c>
      <c r="G426" s="11" t="str">
        <f aca="false">IF($A426="","",IF(원본명단!$K425="",0,COUNTIF(원본명단!$K$3:$K$6002,원본명단!$K425)))</f>
        <v/>
      </c>
      <c r="H426" s="11" t="str">
        <f aca="false">IF($A426="","",IF(MAX($E426,$F426,$G426)&gt;1,"중복","-"))</f>
        <v/>
      </c>
      <c r="I426" s="11" t="str">
        <f aca="false">IF($A426="","",IF($H426="-","-",IF(AND(IF(원본명단!$H425="",TRUE(),COUNTIF(원본명단!$H$3:$H425,원본명단!$H425)=1),IF(원본명단!$I425="",TRUE(),COUNTIF(원본명단!$I$3:$I425,원본명단!$I425)=1),IF(원본명단!$K425="",TRUE(),COUNTIF(원본명단!$K$3:$K425,원본명단!$K425)=1)),"첫 건","중복 건")))</f>
        <v/>
      </c>
      <c r="J426" s="11" t="str">
        <f aca="false">IF($A426="","",IF($H426="-","유지",IF($I426="첫 건","유지","확인 필요")))</f>
        <v/>
      </c>
    </row>
    <row r="427" customFormat="false" ht="15" hidden="false" customHeight="true" outlineLevel="0" collapsed="false">
      <c r="A427" s="11" t="str">
        <f aca="false">IF(원본명단!$A426="","",424)</f>
        <v/>
      </c>
      <c r="B427" s="12" t="str">
        <f aca="false">IF($A427="","",원본명단!$A426)</f>
        <v/>
      </c>
      <c r="C427" s="12" t="str">
        <f aca="false">IF($A427="","",원본명단!$B426)</f>
        <v/>
      </c>
      <c r="D427" s="12" t="str">
        <f aca="false">IF($A427="","",원본명단!$D426)</f>
        <v/>
      </c>
      <c r="E427" s="11" t="str">
        <f aca="false">IF($A427="","",IF(원본명단!$H426="",0,COUNTIF(원본명단!$H$3:$H$6002,원본명단!$H426)))</f>
        <v/>
      </c>
      <c r="F427" s="11" t="str">
        <f aca="false">IF($A427="","",IF(원본명단!$I426="",0,COUNTIF(원본명단!$I$3:$I$6002,원본명단!$I426)))</f>
        <v/>
      </c>
      <c r="G427" s="11" t="str">
        <f aca="false">IF($A427="","",IF(원본명단!$K426="",0,COUNTIF(원본명단!$K$3:$K$6002,원본명단!$K426)))</f>
        <v/>
      </c>
      <c r="H427" s="11" t="str">
        <f aca="false">IF($A427="","",IF(MAX($E427,$F427,$G427)&gt;1,"중복","-"))</f>
        <v/>
      </c>
      <c r="I427" s="11" t="str">
        <f aca="false">IF($A427="","",IF($H427="-","-",IF(AND(IF(원본명단!$H426="",TRUE(),COUNTIF(원본명단!$H$3:$H426,원본명단!$H426)=1),IF(원본명단!$I426="",TRUE(),COUNTIF(원본명단!$I$3:$I426,원본명단!$I426)=1),IF(원본명단!$K426="",TRUE(),COUNTIF(원본명단!$K$3:$K426,원본명단!$K426)=1)),"첫 건","중복 건")))</f>
        <v/>
      </c>
      <c r="J427" s="11" t="str">
        <f aca="false">IF($A427="","",IF($H427="-","유지",IF($I427="첫 건","유지","확인 필요")))</f>
        <v/>
      </c>
    </row>
    <row r="428" customFormat="false" ht="15" hidden="false" customHeight="true" outlineLevel="0" collapsed="false">
      <c r="A428" s="11" t="str">
        <f aca="false">IF(원본명단!$A427="","",425)</f>
        <v/>
      </c>
      <c r="B428" s="12" t="str">
        <f aca="false">IF($A428="","",원본명단!$A427)</f>
        <v/>
      </c>
      <c r="C428" s="12" t="str">
        <f aca="false">IF($A428="","",원본명단!$B427)</f>
        <v/>
      </c>
      <c r="D428" s="12" t="str">
        <f aca="false">IF($A428="","",원본명단!$D427)</f>
        <v/>
      </c>
      <c r="E428" s="11" t="str">
        <f aca="false">IF($A428="","",IF(원본명단!$H427="",0,COUNTIF(원본명단!$H$3:$H$6002,원본명단!$H427)))</f>
        <v/>
      </c>
      <c r="F428" s="11" t="str">
        <f aca="false">IF($A428="","",IF(원본명단!$I427="",0,COUNTIF(원본명단!$I$3:$I$6002,원본명단!$I427)))</f>
        <v/>
      </c>
      <c r="G428" s="11" t="str">
        <f aca="false">IF($A428="","",IF(원본명단!$K427="",0,COUNTIF(원본명단!$K$3:$K$6002,원본명단!$K427)))</f>
        <v/>
      </c>
      <c r="H428" s="11" t="str">
        <f aca="false">IF($A428="","",IF(MAX($E428,$F428,$G428)&gt;1,"중복","-"))</f>
        <v/>
      </c>
      <c r="I428" s="11" t="str">
        <f aca="false">IF($A428="","",IF($H428="-","-",IF(AND(IF(원본명단!$H427="",TRUE(),COUNTIF(원본명단!$H$3:$H427,원본명단!$H427)=1),IF(원본명단!$I427="",TRUE(),COUNTIF(원본명단!$I$3:$I427,원본명단!$I427)=1),IF(원본명단!$K427="",TRUE(),COUNTIF(원본명단!$K$3:$K427,원본명단!$K427)=1)),"첫 건","중복 건")))</f>
        <v/>
      </c>
      <c r="J428" s="11" t="str">
        <f aca="false">IF($A428="","",IF($H428="-","유지",IF($I428="첫 건","유지","확인 필요")))</f>
        <v/>
      </c>
    </row>
    <row r="429" customFormat="false" ht="15" hidden="false" customHeight="true" outlineLevel="0" collapsed="false">
      <c r="A429" s="11" t="str">
        <f aca="false">IF(원본명단!$A428="","",426)</f>
        <v/>
      </c>
      <c r="B429" s="12" t="str">
        <f aca="false">IF($A429="","",원본명단!$A428)</f>
        <v/>
      </c>
      <c r="C429" s="12" t="str">
        <f aca="false">IF($A429="","",원본명단!$B428)</f>
        <v/>
      </c>
      <c r="D429" s="12" t="str">
        <f aca="false">IF($A429="","",원본명단!$D428)</f>
        <v/>
      </c>
      <c r="E429" s="11" t="str">
        <f aca="false">IF($A429="","",IF(원본명단!$H428="",0,COUNTIF(원본명단!$H$3:$H$6002,원본명단!$H428)))</f>
        <v/>
      </c>
      <c r="F429" s="11" t="str">
        <f aca="false">IF($A429="","",IF(원본명단!$I428="",0,COUNTIF(원본명단!$I$3:$I$6002,원본명단!$I428)))</f>
        <v/>
      </c>
      <c r="G429" s="11" t="str">
        <f aca="false">IF($A429="","",IF(원본명단!$K428="",0,COUNTIF(원본명단!$K$3:$K$6002,원본명단!$K428)))</f>
        <v/>
      </c>
      <c r="H429" s="11" t="str">
        <f aca="false">IF($A429="","",IF(MAX($E429,$F429,$G429)&gt;1,"중복","-"))</f>
        <v/>
      </c>
      <c r="I429" s="11" t="str">
        <f aca="false">IF($A429="","",IF($H429="-","-",IF(AND(IF(원본명단!$H428="",TRUE(),COUNTIF(원본명단!$H$3:$H428,원본명단!$H428)=1),IF(원본명단!$I428="",TRUE(),COUNTIF(원본명단!$I$3:$I428,원본명단!$I428)=1),IF(원본명단!$K428="",TRUE(),COUNTIF(원본명단!$K$3:$K428,원본명단!$K428)=1)),"첫 건","중복 건")))</f>
        <v/>
      </c>
      <c r="J429" s="11" t="str">
        <f aca="false">IF($A429="","",IF($H429="-","유지",IF($I429="첫 건","유지","확인 필요")))</f>
        <v/>
      </c>
    </row>
    <row r="430" customFormat="false" ht="15" hidden="false" customHeight="true" outlineLevel="0" collapsed="false">
      <c r="A430" s="11" t="str">
        <f aca="false">IF(원본명단!$A429="","",427)</f>
        <v/>
      </c>
      <c r="B430" s="12" t="str">
        <f aca="false">IF($A430="","",원본명단!$A429)</f>
        <v/>
      </c>
      <c r="C430" s="12" t="str">
        <f aca="false">IF($A430="","",원본명단!$B429)</f>
        <v/>
      </c>
      <c r="D430" s="12" t="str">
        <f aca="false">IF($A430="","",원본명단!$D429)</f>
        <v/>
      </c>
      <c r="E430" s="11" t="str">
        <f aca="false">IF($A430="","",IF(원본명단!$H429="",0,COUNTIF(원본명단!$H$3:$H$6002,원본명단!$H429)))</f>
        <v/>
      </c>
      <c r="F430" s="11" t="str">
        <f aca="false">IF($A430="","",IF(원본명단!$I429="",0,COUNTIF(원본명단!$I$3:$I$6002,원본명단!$I429)))</f>
        <v/>
      </c>
      <c r="G430" s="11" t="str">
        <f aca="false">IF($A430="","",IF(원본명단!$K429="",0,COUNTIF(원본명단!$K$3:$K$6002,원본명단!$K429)))</f>
        <v/>
      </c>
      <c r="H430" s="11" t="str">
        <f aca="false">IF($A430="","",IF(MAX($E430,$F430,$G430)&gt;1,"중복","-"))</f>
        <v/>
      </c>
      <c r="I430" s="11" t="str">
        <f aca="false">IF($A430="","",IF($H430="-","-",IF(AND(IF(원본명단!$H429="",TRUE(),COUNTIF(원본명단!$H$3:$H429,원본명단!$H429)=1),IF(원본명단!$I429="",TRUE(),COUNTIF(원본명단!$I$3:$I429,원본명단!$I429)=1),IF(원본명단!$K429="",TRUE(),COUNTIF(원본명단!$K$3:$K429,원본명단!$K429)=1)),"첫 건","중복 건")))</f>
        <v/>
      </c>
      <c r="J430" s="11" t="str">
        <f aca="false">IF($A430="","",IF($H430="-","유지",IF($I430="첫 건","유지","확인 필요")))</f>
        <v/>
      </c>
    </row>
    <row r="431" customFormat="false" ht="15" hidden="false" customHeight="true" outlineLevel="0" collapsed="false">
      <c r="A431" s="11" t="str">
        <f aca="false">IF(원본명단!$A430="","",428)</f>
        <v/>
      </c>
      <c r="B431" s="12" t="str">
        <f aca="false">IF($A431="","",원본명단!$A430)</f>
        <v/>
      </c>
      <c r="C431" s="12" t="str">
        <f aca="false">IF($A431="","",원본명단!$B430)</f>
        <v/>
      </c>
      <c r="D431" s="12" t="str">
        <f aca="false">IF($A431="","",원본명단!$D430)</f>
        <v/>
      </c>
      <c r="E431" s="11" t="str">
        <f aca="false">IF($A431="","",IF(원본명단!$H430="",0,COUNTIF(원본명단!$H$3:$H$6002,원본명단!$H430)))</f>
        <v/>
      </c>
      <c r="F431" s="11" t="str">
        <f aca="false">IF($A431="","",IF(원본명단!$I430="",0,COUNTIF(원본명단!$I$3:$I$6002,원본명단!$I430)))</f>
        <v/>
      </c>
      <c r="G431" s="11" t="str">
        <f aca="false">IF($A431="","",IF(원본명단!$K430="",0,COUNTIF(원본명단!$K$3:$K$6002,원본명단!$K430)))</f>
        <v/>
      </c>
      <c r="H431" s="11" t="str">
        <f aca="false">IF($A431="","",IF(MAX($E431,$F431,$G431)&gt;1,"중복","-"))</f>
        <v/>
      </c>
      <c r="I431" s="11" t="str">
        <f aca="false">IF($A431="","",IF($H431="-","-",IF(AND(IF(원본명단!$H430="",TRUE(),COUNTIF(원본명단!$H$3:$H430,원본명단!$H430)=1),IF(원본명단!$I430="",TRUE(),COUNTIF(원본명단!$I$3:$I430,원본명단!$I430)=1),IF(원본명단!$K430="",TRUE(),COUNTIF(원본명단!$K$3:$K430,원본명단!$K430)=1)),"첫 건","중복 건")))</f>
        <v/>
      </c>
      <c r="J431" s="11" t="str">
        <f aca="false">IF($A431="","",IF($H431="-","유지",IF($I431="첫 건","유지","확인 필요")))</f>
        <v/>
      </c>
    </row>
    <row r="432" customFormat="false" ht="15" hidden="false" customHeight="true" outlineLevel="0" collapsed="false">
      <c r="A432" s="11" t="str">
        <f aca="false">IF(원본명단!$A431="","",429)</f>
        <v/>
      </c>
      <c r="B432" s="12" t="str">
        <f aca="false">IF($A432="","",원본명단!$A431)</f>
        <v/>
      </c>
      <c r="C432" s="12" t="str">
        <f aca="false">IF($A432="","",원본명단!$B431)</f>
        <v/>
      </c>
      <c r="D432" s="12" t="str">
        <f aca="false">IF($A432="","",원본명단!$D431)</f>
        <v/>
      </c>
      <c r="E432" s="11" t="str">
        <f aca="false">IF($A432="","",IF(원본명단!$H431="",0,COUNTIF(원본명단!$H$3:$H$6002,원본명단!$H431)))</f>
        <v/>
      </c>
      <c r="F432" s="11" t="str">
        <f aca="false">IF($A432="","",IF(원본명단!$I431="",0,COUNTIF(원본명단!$I$3:$I$6002,원본명단!$I431)))</f>
        <v/>
      </c>
      <c r="G432" s="11" t="str">
        <f aca="false">IF($A432="","",IF(원본명단!$K431="",0,COUNTIF(원본명단!$K$3:$K$6002,원본명단!$K431)))</f>
        <v/>
      </c>
      <c r="H432" s="11" t="str">
        <f aca="false">IF($A432="","",IF(MAX($E432,$F432,$G432)&gt;1,"중복","-"))</f>
        <v/>
      </c>
      <c r="I432" s="11" t="str">
        <f aca="false">IF($A432="","",IF($H432="-","-",IF(AND(IF(원본명단!$H431="",TRUE(),COUNTIF(원본명단!$H$3:$H431,원본명단!$H431)=1),IF(원본명단!$I431="",TRUE(),COUNTIF(원본명단!$I$3:$I431,원본명단!$I431)=1),IF(원본명단!$K431="",TRUE(),COUNTIF(원본명단!$K$3:$K431,원본명단!$K431)=1)),"첫 건","중복 건")))</f>
        <v/>
      </c>
      <c r="J432" s="11" t="str">
        <f aca="false">IF($A432="","",IF($H432="-","유지",IF($I432="첫 건","유지","확인 필요")))</f>
        <v/>
      </c>
    </row>
    <row r="433" customFormat="false" ht="15" hidden="false" customHeight="true" outlineLevel="0" collapsed="false">
      <c r="A433" s="11" t="str">
        <f aca="false">IF(원본명단!$A432="","",430)</f>
        <v/>
      </c>
      <c r="B433" s="12" t="str">
        <f aca="false">IF($A433="","",원본명단!$A432)</f>
        <v/>
      </c>
      <c r="C433" s="12" t="str">
        <f aca="false">IF($A433="","",원본명단!$B432)</f>
        <v/>
      </c>
      <c r="D433" s="12" t="str">
        <f aca="false">IF($A433="","",원본명단!$D432)</f>
        <v/>
      </c>
      <c r="E433" s="11" t="str">
        <f aca="false">IF($A433="","",IF(원본명단!$H432="",0,COUNTIF(원본명단!$H$3:$H$6002,원본명단!$H432)))</f>
        <v/>
      </c>
      <c r="F433" s="11" t="str">
        <f aca="false">IF($A433="","",IF(원본명단!$I432="",0,COUNTIF(원본명단!$I$3:$I$6002,원본명단!$I432)))</f>
        <v/>
      </c>
      <c r="G433" s="11" t="str">
        <f aca="false">IF($A433="","",IF(원본명단!$K432="",0,COUNTIF(원본명단!$K$3:$K$6002,원본명단!$K432)))</f>
        <v/>
      </c>
      <c r="H433" s="11" t="str">
        <f aca="false">IF($A433="","",IF(MAX($E433,$F433,$G433)&gt;1,"중복","-"))</f>
        <v/>
      </c>
      <c r="I433" s="11" t="str">
        <f aca="false">IF($A433="","",IF($H433="-","-",IF(AND(IF(원본명단!$H432="",TRUE(),COUNTIF(원본명단!$H$3:$H432,원본명단!$H432)=1),IF(원본명단!$I432="",TRUE(),COUNTIF(원본명단!$I$3:$I432,원본명단!$I432)=1),IF(원본명단!$K432="",TRUE(),COUNTIF(원본명단!$K$3:$K432,원본명단!$K432)=1)),"첫 건","중복 건")))</f>
        <v/>
      </c>
      <c r="J433" s="11" t="str">
        <f aca="false">IF($A433="","",IF($H433="-","유지",IF($I433="첫 건","유지","확인 필요")))</f>
        <v/>
      </c>
    </row>
    <row r="434" customFormat="false" ht="15" hidden="false" customHeight="true" outlineLevel="0" collapsed="false">
      <c r="A434" s="11" t="str">
        <f aca="false">IF(원본명단!$A433="","",431)</f>
        <v/>
      </c>
      <c r="B434" s="12" t="str">
        <f aca="false">IF($A434="","",원본명단!$A433)</f>
        <v/>
      </c>
      <c r="C434" s="12" t="str">
        <f aca="false">IF($A434="","",원본명단!$B433)</f>
        <v/>
      </c>
      <c r="D434" s="12" t="str">
        <f aca="false">IF($A434="","",원본명단!$D433)</f>
        <v/>
      </c>
      <c r="E434" s="11" t="str">
        <f aca="false">IF($A434="","",IF(원본명단!$H433="",0,COUNTIF(원본명단!$H$3:$H$6002,원본명단!$H433)))</f>
        <v/>
      </c>
      <c r="F434" s="11" t="str">
        <f aca="false">IF($A434="","",IF(원본명단!$I433="",0,COUNTIF(원본명단!$I$3:$I$6002,원본명단!$I433)))</f>
        <v/>
      </c>
      <c r="G434" s="11" t="str">
        <f aca="false">IF($A434="","",IF(원본명단!$K433="",0,COUNTIF(원본명단!$K$3:$K$6002,원본명단!$K433)))</f>
        <v/>
      </c>
      <c r="H434" s="11" t="str">
        <f aca="false">IF($A434="","",IF(MAX($E434,$F434,$G434)&gt;1,"중복","-"))</f>
        <v/>
      </c>
      <c r="I434" s="11" t="str">
        <f aca="false">IF($A434="","",IF($H434="-","-",IF(AND(IF(원본명단!$H433="",TRUE(),COUNTIF(원본명단!$H$3:$H433,원본명단!$H433)=1),IF(원본명단!$I433="",TRUE(),COUNTIF(원본명단!$I$3:$I433,원본명단!$I433)=1),IF(원본명단!$K433="",TRUE(),COUNTIF(원본명단!$K$3:$K433,원본명단!$K433)=1)),"첫 건","중복 건")))</f>
        <v/>
      </c>
      <c r="J434" s="11" t="str">
        <f aca="false">IF($A434="","",IF($H434="-","유지",IF($I434="첫 건","유지","확인 필요")))</f>
        <v/>
      </c>
    </row>
    <row r="435" customFormat="false" ht="15" hidden="false" customHeight="true" outlineLevel="0" collapsed="false">
      <c r="A435" s="11" t="str">
        <f aca="false">IF(원본명단!$A434="","",432)</f>
        <v/>
      </c>
      <c r="B435" s="12" t="str">
        <f aca="false">IF($A435="","",원본명단!$A434)</f>
        <v/>
      </c>
      <c r="C435" s="12" t="str">
        <f aca="false">IF($A435="","",원본명단!$B434)</f>
        <v/>
      </c>
      <c r="D435" s="12" t="str">
        <f aca="false">IF($A435="","",원본명단!$D434)</f>
        <v/>
      </c>
      <c r="E435" s="11" t="str">
        <f aca="false">IF($A435="","",IF(원본명단!$H434="",0,COUNTIF(원본명단!$H$3:$H$6002,원본명단!$H434)))</f>
        <v/>
      </c>
      <c r="F435" s="11" t="str">
        <f aca="false">IF($A435="","",IF(원본명단!$I434="",0,COUNTIF(원본명단!$I$3:$I$6002,원본명단!$I434)))</f>
        <v/>
      </c>
      <c r="G435" s="11" t="str">
        <f aca="false">IF($A435="","",IF(원본명단!$K434="",0,COUNTIF(원본명단!$K$3:$K$6002,원본명단!$K434)))</f>
        <v/>
      </c>
      <c r="H435" s="11" t="str">
        <f aca="false">IF($A435="","",IF(MAX($E435,$F435,$G435)&gt;1,"중복","-"))</f>
        <v/>
      </c>
      <c r="I435" s="11" t="str">
        <f aca="false">IF($A435="","",IF($H435="-","-",IF(AND(IF(원본명단!$H434="",TRUE(),COUNTIF(원본명단!$H$3:$H434,원본명단!$H434)=1),IF(원본명단!$I434="",TRUE(),COUNTIF(원본명단!$I$3:$I434,원본명단!$I434)=1),IF(원본명단!$K434="",TRUE(),COUNTIF(원본명단!$K$3:$K434,원본명단!$K434)=1)),"첫 건","중복 건")))</f>
        <v/>
      </c>
      <c r="J435" s="11" t="str">
        <f aca="false">IF($A435="","",IF($H435="-","유지",IF($I435="첫 건","유지","확인 필요")))</f>
        <v/>
      </c>
    </row>
    <row r="436" customFormat="false" ht="15" hidden="false" customHeight="true" outlineLevel="0" collapsed="false">
      <c r="A436" s="11" t="str">
        <f aca="false">IF(원본명단!$A435="","",433)</f>
        <v/>
      </c>
      <c r="B436" s="12" t="str">
        <f aca="false">IF($A436="","",원본명단!$A435)</f>
        <v/>
      </c>
      <c r="C436" s="12" t="str">
        <f aca="false">IF($A436="","",원본명단!$B435)</f>
        <v/>
      </c>
      <c r="D436" s="12" t="str">
        <f aca="false">IF($A436="","",원본명단!$D435)</f>
        <v/>
      </c>
      <c r="E436" s="11" t="str">
        <f aca="false">IF($A436="","",IF(원본명단!$H435="",0,COUNTIF(원본명단!$H$3:$H$6002,원본명단!$H435)))</f>
        <v/>
      </c>
      <c r="F436" s="11" t="str">
        <f aca="false">IF($A436="","",IF(원본명단!$I435="",0,COUNTIF(원본명단!$I$3:$I$6002,원본명단!$I435)))</f>
        <v/>
      </c>
      <c r="G436" s="11" t="str">
        <f aca="false">IF($A436="","",IF(원본명단!$K435="",0,COUNTIF(원본명단!$K$3:$K$6002,원본명단!$K435)))</f>
        <v/>
      </c>
      <c r="H436" s="11" t="str">
        <f aca="false">IF($A436="","",IF(MAX($E436,$F436,$G436)&gt;1,"중복","-"))</f>
        <v/>
      </c>
      <c r="I436" s="11" t="str">
        <f aca="false">IF($A436="","",IF($H436="-","-",IF(AND(IF(원본명단!$H435="",TRUE(),COUNTIF(원본명단!$H$3:$H435,원본명단!$H435)=1),IF(원본명단!$I435="",TRUE(),COUNTIF(원본명단!$I$3:$I435,원본명단!$I435)=1),IF(원본명단!$K435="",TRUE(),COUNTIF(원본명단!$K$3:$K435,원본명단!$K435)=1)),"첫 건","중복 건")))</f>
        <v/>
      </c>
      <c r="J436" s="11" t="str">
        <f aca="false">IF($A436="","",IF($H436="-","유지",IF($I436="첫 건","유지","확인 필요")))</f>
        <v/>
      </c>
    </row>
    <row r="437" customFormat="false" ht="15" hidden="false" customHeight="true" outlineLevel="0" collapsed="false">
      <c r="A437" s="11" t="str">
        <f aca="false">IF(원본명단!$A436="","",434)</f>
        <v/>
      </c>
      <c r="B437" s="12" t="str">
        <f aca="false">IF($A437="","",원본명단!$A436)</f>
        <v/>
      </c>
      <c r="C437" s="12" t="str">
        <f aca="false">IF($A437="","",원본명단!$B436)</f>
        <v/>
      </c>
      <c r="D437" s="12" t="str">
        <f aca="false">IF($A437="","",원본명단!$D436)</f>
        <v/>
      </c>
      <c r="E437" s="11" t="str">
        <f aca="false">IF($A437="","",IF(원본명단!$H436="",0,COUNTIF(원본명단!$H$3:$H$6002,원본명단!$H436)))</f>
        <v/>
      </c>
      <c r="F437" s="11" t="str">
        <f aca="false">IF($A437="","",IF(원본명단!$I436="",0,COUNTIF(원본명단!$I$3:$I$6002,원본명단!$I436)))</f>
        <v/>
      </c>
      <c r="G437" s="11" t="str">
        <f aca="false">IF($A437="","",IF(원본명단!$K436="",0,COUNTIF(원본명단!$K$3:$K$6002,원본명단!$K436)))</f>
        <v/>
      </c>
      <c r="H437" s="11" t="str">
        <f aca="false">IF($A437="","",IF(MAX($E437,$F437,$G437)&gt;1,"중복","-"))</f>
        <v/>
      </c>
      <c r="I437" s="11" t="str">
        <f aca="false">IF($A437="","",IF($H437="-","-",IF(AND(IF(원본명단!$H436="",TRUE(),COUNTIF(원본명단!$H$3:$H436,원본명단!$H436)=1),IF(원본명단!$I436="",TRUE(),COUNTIF(원본명단!$I$3:$I436,원본명단!$I436)=1),IF(원본명단!$K436="",TRUE(),COUNTIF(원본명단!$K$3:$K436,원본명단!$K436)=1)),"첫 건","중복 건")))</f>
        <v/>
      </c>
      <c r="J437" s="11" t="str">
        <f aca="false">IF($A437="","",IF($H437="-","유지",IF($I437="첫 건","유지","확인 필요")))</f>
        <v/>
      </c>
    </row>
    <row r="438" customFormat="false" ht="15" hidden="false" customHeight="true" outlineLevel="0" collapsed="false">
      <c r="A438" s="11" t="str">
        <f aca="false">IF(원본명단!$A437="","",435)</f>
        <v/>
      </c>
      <c r="B438" s="12" t="str">
        <f aca="false">IF($A438="","",원본명단!$A437)</f>
        <v/>
      </c>
      <c r="C438" s="12" t="str">
        <f aca="false">IF($A438="","",원본명단!$B437)</f>
        <v/>
      </c>
      <c r="D438" s="12" t="str">
        <f aca="false">IF($A438="","",원본명단!$D437)</f>
        <v/>
      </c>
      <c r="E438" s="11" t="str">
        <f aca="false">IF($A438="","",IF(원본명단!$H437="",0,COUNTIF(원본명단!$H$3:$H$6002,원본명단!$H437)))</f>
        <v/>
      </c>
      <c r="F438" s="11" t="str">
        <f aca="false">IF($A438="","",IF(원본명단!$I437="",0,COUNTIF(원본명단!$I$3:$I$6002,원본명단!$I437)))</f>
        <v/>
      </c>
      <c r="G438" s="11" t="str">
        <f aca="false">IF($A438="","",IF(원본명단!$K437="",0,COUNTIF(원본명단!$K$3:$K$6002,원본명단!$K437)))</f>
        <v/>
      </c>
      <c r="H438" s="11" t="str">
        <f aca="false">IF($A438="","",IF(MAX($E438,$F438,$G438)&gt;1,"중복","-"))</f>
        <v/>
      </c>
      <c r="I438" s="11" t="str">
        <f aca="false">IF($A438="","",IF($H438="-","-",IF(AND(IF(원본명단!$H437="",TRUE(),COUNTIF(원본명단!$H$3:$H437,원본명단!$H437)=1),IF(원본명단!$I437="",TRUE(),COUNTIF(원본명단!$I$3:$I437,원본명단!$I437)=1),IF(원본명단!$K437="",TRUE(),COUNTIF(원본명단!$K$3:$K437,원본명단!$K437)=1)),"첫 건","중복 건")))</f>
        <v/>
      </c>
      <c r="J438" s="11" t="str">
        <f aca="false">IF($A438="","",IF($H438="-","유지",IF($I438="첫 건","유지","확인 필요")))</f>
        <v/>
      </c>
    </row>
    <row r="439" customFormat="false" ht="15" hidden="false" customHeight="true" outlineLevel="0" collapsed="false">
      <c r="A439" s="11" t="str">
        <f aca="false">IF(원본명단!$A438="","",436)</f>
        <v/>
      </c>
      <c r="B439" s="12" t="str">
        <f aca="false">IF($A439="","",원본명단!$A438)</f>
        <v/>
      </c>
      <c r="C439" s="12" t="str">
        <f aca="false">IF($A439="","",원본명단!$B438)</f>
        <v/>
      </c>
      <c r="D439" s="12" t="str">
        <f aca="false">IF($A439="","",원본명단!$D438)</f>
        <v/>
      </c>
      <c r="E439" s="11" t="str">
        <f aca="false">IF($A439="","",IF(원본명단!$H438="",0,COUNTIF(원본명단!$H$3:$H$6002,원본명단!$H438)))</f>
        <v/>
      </c>
      <c r="F439" s="11" t="str">
        <f aca="false">IF($A439="","",IF(원본명단!$I438="",0,COUNTIF(원본명단!$I$3:$I$6002,원본명단!$I438)))</f>
        <v/>
      </c>
      <c r="G439" s="11" t="str">
        <f aca="false">IF($A439="","",IF(원본명단!$K438="",0,COUNTIF(원본명단!$K$3:$K$6002,원본명단!$K438)))</f>
        <v/>
      </c>
      <c r="H439" s="11" t="str">
        <f aca="false">IF($A439="","",IF(MAX($E439,$F439,$G439)&gt;1,"중복","-"))</f>
        <v/>
      </c>
      <c r="I439" s="11" t="str">
        <f aca="false">IF($A439="","",IF($H439="-","-",IF(AND(IF(원본명단!$H438="",TRUE(),COUNTIF(원본명단!$H$3:$H438,원본명단!$H438)=1),IF(원본명단!$I438="",TRUE(),COUNTIF(원본명단!$I$3:$I438,원본명단!$I438)=1),IF(원본명단!$K438="",TRUE(),COUNTIF(원본명단!$K$3:$K438,원본명단!$K438)=1)),"첫 건","중복 건")))</f>
        <v/>
      </c>
      <c r="J439" s="11" t="str">
        <f aca="false">IF($A439="","",IF($H439="-","유지",IF($I439="첫 건","유지","확인 필요")))</f>
        <v/>
      </c>
    </row>
    <row r="440" customFormat="false" ht="15" hidden="false" customHeight="true" outlineLevel="0" collapsed="false">
      <c r="A440" s="11" t="str">
        <f aca="false">IF(원본명단!$A439="","",437)</f>
        <v/>
      </c>
      <c r="B440" s="12" t="str">
        <f aca="false">IF($A440="","",원본명단!$A439)</f>
        <v/>
      </c>
      <c r="C440" s="12" t="str">
        <f aca="false">IF($A440="","",원본명단!$B439)</f>
        <v/>
      </c>
      <c r="D440" s="12" t="str">
        <f aca="false">IF($A440="","",원본명단!$D439)</f>
        <v/>
      </c>
      <c r="E440" s="11" t="str">
        <f aca="false">IF($A440="","",IF(원본명단!$H439="",0,COUNTIF(원본명단!$H$3:$H$6002,원본명단!$H439)))</f>
        <v/>
      </c>
      <c r="F440" s="11" t="str">
        <f aca="false">IF($A440="","",IF(원본명단!$I439="",0,COUNTIF(원본명단!$I$3:$I$6002,원본명단!$I439)))</f>
        <v/>
      </c>
      <c r="G440" s="11" t="str">
        <f aca="false">IF($A440="","",IF(원본명단!$K439="",0,COUNTIF(원본명단!$K$3:$K$6002,원본명단!$K439)))</f>
        <v/>
      </c>
      <c r="H440" s="11" t="str">
        <f aca="false">IF($A440="","",IF(MAX($E440,$F440,$G440)&gt;1,"중복","-"))</f>
        <v/>
      </c>
      <c r="I440" s="11" t="str">
        <f aca="false">IF($A440="","",IF($H440="-","-",IF(AND(IF(원본명단!$H439="",TRUE(),COUNTIF(원본명단!$H$3:$H439,원본명단!$H439)=1),IF(원본명단!$I439="",TRUE(),COUNTIF(원본명단!$I$3:$I439,원본명단!$I439)=1),IF(원본명단!$K439="",TRUE(),COUNTIF(원본명단!$K$3:$K439,원본명단!$K439)=1)),"첫 건","중복 건")))</f>
        <v/>
      </c>
      <c r="J440" s="11" t="str">
        <f aca="false">IF($A440="","",IF($H440="-","유지",IF($I440="첫 건","유지","확인 필요")))</f>
        <v/>
      </c>
    </row>
    <row r="441" customFormat="false" ht="15" hidden="false" customHeight="true" outlineLevel="0" collapsed="false">
      <c r="A441" s="11" t="str">
        <f aca="false">IF(원본명단!$A440="","",438)</f>
        <v/>
      </c>
      <c r="B441" s="12" t="str">
        <f aca="false">IF($A441="","",원본명단!$A440)</f>
        <v/>
      </c>
      <c r="C441" s="12" t="str">
        <f aca="false">IF($A441="","",원본명단!$B440)</f>
        <v/>
      </c>
      <c r="D441" s="12" t="str">
        <f aca="false">IF($A441="","",원본명단!$D440)</f>
        <v/>
      </c>
      <c r="E441" s="11" t="str">
        <f aca="false">IF($A441="","",IF(원본명단!$H440="",0,COUNTIF(원본명단!$H$3:$H$6002,원본명단!$H440)))</f>
        <v/>
      </c>
      <c r="F441" s="11" t="str">
        <f aca="false">IF($A441="","",IF(원본명단!$I440="",0,COUNTIF(원본명단!$I$3:$I$6002,원본명단!$I440)))</f>
        <v/>
      </c>
      <c r="G441" s="11" t="str">
        <f aca="false">IF($A441="","",IF(원본명단!$K440="",0,COUNTIF(원본명단!$K$3:$K$6002,원본명단!$K440)))</f>
        <v/>
      </c>
      <c r="H441" s="11" t="str">
        <f aca="false">IF($A441="","",IF(MAX($E441,$F441,$G441)&gt;1,"중복","-"))</f>
        <v/>
      </c>
      <c r="I441" s="11" t="str">
        <f aca="false">IF($A441="","",IF($H441="-","-",IF(AND(IF(원본명단!$H440="",TRUE(),COUNTIF(원본명단!$H$3:$H440,원본명단!$H440)=1),IF(원본명단!$I440="",TRUE(),COUNTIF(원본명단!$I$3:$I440,원본명단!$I440)=1),IF(원본명단!$K440="",TRUE(),COUNTIF(원본명단!$K$3:$K440,원본명단!$K440)=1)),"첫 건","중복 건")))</f>
        <v/>
      </c>
      <c r="J441" s="11" t="str">
        <f aca="false">IF($A441="","",IF($H441="-","유지",IF($I441="첫 건","유지","확인 필요")))</f>
        <v/>
      </c>
    </row>
    <row r="442" customFormat="false" ht="15" hidden="false" customHeight="true" outlineLevel="0" collapsed="false">
      <c r="A442" s="11" t="str">
        <f aca="false">IF(원본명단!$A441="","",439)</f>
        <v/>
      </c>
      <c r="B442" s="12" t="str">
        <f aca="false">IF($A442="","",원본명단!$A441)</f>
        <v/>
      </c>
      <c r="C442" s="12" t="str">
        <f aca="false">IF($A442="","",원본명단!$B441)</f>
        <v/>
      </c>
      <c r="D442" s="12" t="str">
        <f aca="false">IF($A442="","",원본명단!$D441)</f>
        <v/>
      </c>
      <c r="E442" s="11" t="str">
        <f aca="false">IF($A442="","",IF(원본명단!$H441="",0,COUNTIF(원본명단!$H$3:$H$6002,원본명단!$H441)))</f>
        <v/>
      </c>
      <c r="F442" s="11" t="str">
        <f aca="false">IF($A442="","",IF(원본명단!$I441="",0,COUNTIF(원본명단!$I$3:$I$6002,원본명단!$I441)))</f>
        <v/>
      </c>
      <c r="G442" s="11" t="str">
        <f aca="false">IF($A442="","",IF(원본명단!$K441="",0,COUNTIF(원본명단!$K$3:$K$6002,원본명단!$K441)))</f>
        <v/>
      </c>
      <c r="H442" s="11" t="str">
        <f aca="false">IF($A442="","",IF(MAX($E442,$F442,$G442)&gt;1,"중복","-"))</f>
        <v/>
      </c>
      <c r="I442" s="11" t="str">
        <f aca="false">IF($A442="","",IF($H442="-","-",IF(AND(IF(원본명단!$H441="",TRUE(),COUNTIF(원본명단!$H$3:$H441,원본명단!$H441)=1),IF(원본명단!$I441="",TRUE(),COUNTIF(원본명단!$I$3:$I441,원본명단!$I441)=1),IF(원본명단!$K441="",TRUE(),COUNTIF(원본명단!$K$3:$K441,원본명단!$K441)=1)),"첫 건","중복 건")))</f>
        <v/>
      </c>
      <c r="J442" s="11" t="str">
        <f aca="false">IF($A442="","",IF($H442="-","유지",IF($I442="첫 건","유지","확인 필요")))</f>
        <v/>
      </c>
    </row>
    <row r="443" customFormat="false" ht="15" hidden="false" customHeight="true" outlineLevel="0" collapsed="false">
      <c r="A443" s="11" t="str">
        <f aca="false">IF(원본명단!$A442="","",440)</f>
        <v/>
      </c>
      <c r="B443" s="12" t="str">
        <f aca="false">IF($A443="","",원본명단!$A442)</f>
        <v/>
      </c>
      <c r="C443" s="12" t="str">
        <f aca="false">IF($A443="","",원본명단!$B442)</f>
        <v/>
      </c>
      <c r="D443" s="12" t="str">
        <f aca="false">IF($A443="","",원본명단!$D442)</f>
        <v/>
      </c>
      <c r="E443" s="11" t="str">
        <f aca="false">IF($A443="","",IF(원본명단!$H442="",0,COUNTIF(원본명단!$H$3:$H$6002,원본명단!$H442)))</f>
        <v/>
      </c>
      <c r="F443" s="11" t="str">
        <f aca="false">IF($A443="","",IF(원본명단!$I442="",0,COUNTIF(원본명단!$I$3:$I$6002,원본명단!$I442)))</f>
        <v/>
      </c>
      <c r="G443" s="11" t="str">
        <f aca="false">IF($A443="","",IF(원본명단!$K442="",0,COUNTIF(원본명단!$K$3:$K$6002,원본명단!$K442)))</f>
        <v/>
      </c>
      <c r="H443" s="11" t="str">
        <f aca="false">IF($A443="","",IF(MAX($E443,$F443,$G443)&gt;1,"중복","-"))</f>
        <v/>
      </c>
      <c r="I443" s="11" t="str">
        <f aca="false">IF($A443="","",IF($H443="-","-",IF(AND(IF(원본명단!$H442="",TRUE(),COUNTIF(원본명단!$H$3:$H442,원본명단!$H442)=1),IF(원본명단!$I442="",TRUE(),COUNTIF(원본명단!$I$3:$I442,원본명단!$I442)=1),IF(원본명단!$K442="",TRUE(),COUNTIF(원본명단!$K$3:$K442,원본명단!$K442)=1)),"첫 건","중복 건")))</f>
        <v/>
      </c>
      <c r="J443" s="11" t="str">
        <f aca="false">IF($A443="","",IF($H443="-","유지",IF($I443="첫 건","유지","확인 필요")))</f>
        <v/>
      </c>
    </row>
    <row r="444" customFormat="false" ht="15" hidden="false" customHeight="true" outlineLevel="0" collapsed="false">
      <c r="A444" s="11" t="str">
        <f aca="false">IF(원본명단!$A443="","",441)</f>
        <v/>
      </c>
      <c r="B444" s="12" t="str">
        <f aca="false">IF($A444="","",원본명단!$A443)</f>
        <v/>
      </c>
      <c r="C444" s="12" t="str">
        <f aca="false">IF($A444="","",원본명단!$B443)</f>
        <v/>
      </c>
      <c r="D444" s="12" t="str">
        <f aca="false">IF($A444="","",원본명단!$D443)</f>
        <v/>
      </c>
      <c r="E444" s="11" t="str">
        <f aca="false">IF($A444="","",IF(원본명단!$H443="",0,COUNTIF(원본명단!$H$3:$H$6002,원본명단!$H443)))</f>
        <v/>
      </c>
      <c r="F444" s="11" t="str">
        <f aca="false">IF($A444="","",IF(원본명단!$I443="",0,COUNTIF(원본명단!$I$3:$I$6002,원본명단!$I443)))</f>
        <v/>
      </c>
      <c r="G444" s="11" t="str">
        <f aca="false">IF($A444="","",IF(원본명단!$K443="",0,COUNTIF(원본명단!$K$3:$K$6002,원본명단!$K443)))</f>
        <v/>
      </c>
      <c r="H444" s="11" t="str">
        <f aca="false">IF($A444="","",IF(MAX($E444,$F444,$G444)&gt;1,"중복","-"))</f>
        <v/>
      </c>
      <c r="I444" s="11" t="str">
        <f aca="false">IF($A444="","",IF($H444="-","-",IF(AND(IF(원본명단!$H443="",TRUE(),COUNTIF(원본명단!$H$3:$H443,원본명단!$H443)=1),IF(원본명단!$I443="",TRUE(),COUNTIF(원본명단!$I$3:$I443,원본명단!$I443)=1),IF(원본명단!$K443="",TRUE(),COUNTIF(원본명단!$K$3:$K443,원본명단!$K443)=1)),"첫 건","중복 건")))</f>
        <v/>
      </c>
      <c r="J444" s="11" t="str">
        <f aca="false">IF($A444="","",IF($H444="-","유지",IF($I444="첫 건","유지","확인 필요")))</f>
        <v/>
      </c>
    </row>
    <row r="445" customFormat="false" ht="15" hidden="false" customHeight="true" outlineLevel="0" collapsed="false">
      <c r="A445" s="11" t="str">
        <f aca="false">IF(원본명단!$A444="","",442)</f>
        <v/>
      </c>
      <c r="B445" s="12" t="str">
        <f aca="false">IF($A445="","",원본명단!$A444)</f>
        <v/>
      </c>
      <c r="C445" s="12" t="str">
        <f aca="false">IF($A445="","",원본명단!$B444)</f>
        <v/>
      </c>
      <c r="D445" s="12" t="str">
        <f aca="false">IF($A445="","",원본명단!$D444)</f>
        <v/>
      </c>
      <c r="E445" s="11" t="str">
        <f aca="false">IF($A445="","",IF(원본명단!$H444="",0,COUNTIF(원본명단!$H$3:$H$6002,원본명단!$H444)))</f>
        <v/>
      </c>
      <c r="F445" s="11" t="str">
        <f aca="false">IF($A445="","",IF(원본명단!$I444="",0,COUNTIF(원본명단!$I$3:$I$6002,원본명단!$I444)))</f>
        <v/>
      </c>
      <c r="G445" s="11" t="str">
        <f aca="false">IF($A445="","",IF(원본명단!$K444="",0,COUNTIF(원본명단!$K$3:$K$6002,원본명단!$K444)))</f>
        <v/>
      </c>
      <c r="H445" s="11" t="str">
        <f aca="false">IF($A445="","",IF(MAX($E445,$F445,$G445)&gt;1,"중복","-"))</f>
        <v/>
      </c>
      <c r="I445" s="11" t="str">
        <f aca="false">IF($A445="","",IF($H445="-","-",IF(AND(IF(원본명단!$H444="",TRUE(),COUNTIF(원본명단!$H$3:$H444,원본명단!$H444)=1),IF(원본명단!$I444="",TRUE(),COUNTIF(원본명단!$I$3:$I444,원본명단!$I444)=1),IF(원본명단!$K444="",TRUE(),COUNTIF(원본명단!$K$3:$K444,원본명단!$K444)=1)),"첫 건","중복 건")))</f>
        <v/>
      </c>
      <c r="J445" s="11" t="str">
        <f aca="false">IF($A445="","",IF($H445="-","유지",IF($I445="첫 건","유지","확인 필요")))</f>
        <v/>
      </c>
    </row>
    <row r="446" customFormat="false" ht="15" hidden="false" customHeight="true" outlineLevel="0" collapsed="false">
      <c r="A446" s="11" t="str">
        <f aca="false">IF(원본명단!$A445="","",443)</f>
        <v/>
      </c>
      <c r="B446" s="12" t="str">
        <f aca="false">IF($A446="","",원본명단!$A445)</f>
        <v/>
      </c>
      <c r="C446" s="12" t="str">
        <f aca="false">IF($A446="","",원본명단!$B445)</f>
        <v/>
      </c>
      <c r="D446" s="12" t="str">
        <f aca="false">IF($A446="","",원본명단!$D445)</f>
        <v/>
      </c>
      <c r="E446" s="11" t="str">
        <f aca="false">IF($A446="","",IF(원본명단!$H445="",0,COUNTIF(원본명단!$H$3:$H$6002,원본명단!$H445)))</f>
        <v/>
      </c>
      <c r="F446" s="11" t="str">
        <f aca="false">IF($A446="","",IF(원본명단!$I445="",0,COUNTIF(원본명단!$I$3:$I$6002,원본명단!$I445)))</f>
        <v/>
      </c>
      <c r="G446" s="11" t="str">
        <f aca="false">IF($A446="","",IF(원본명단!$K445="",0,COUNTIF(원본명단!$K$3:$K$6002,원본명단!$K445)))</f>
        <v/>
      </c>
      <c r="H446" s="11" t="str">
        <f aca="false">IF($A446="","",IF(MAX($E446,$F446,$G446)&gt;1,"중복","-"))</f>
        <v/>
      </c>
      <c r="I446" s="11" t="str">
        <f aca="false">IF($A446="","",IF($H446="-","-",IF(AND(IF(원본명단!$H445="",TRUE(),COUNTIF(원본명단!$H$3:$H445,원본명단!$H445)=1),IF(원본명단!$I445="",TRUE(),COUNTIF(원본명단!$I$3:$I445,원본명단!$I445)=1),IF(원본명단!$K445="",TRUE(),COUNTIF(원본명단!$K$3:$K445,원본명단!$K445)=1)),"첫 건","중복 건")))</f>
        <v/>
      </c>
      <c r="J446" s="11" t="str">
        <f aca="false">IF($A446="","",IF($H446="-","유지",IF($I446="첫 건","유지","확인 필요")))</f>
        <v/>
      </c>
    </row>
    <row r="447" customFormat="false" ht="15" hidden="false" customHeight="true" outlineLevel="0" collapsed="false">
      <c r="A447" s="11" t="str">
        <f aca="false">IF(원본명단!$A446="","",444)</f>
        <v/>
      </c>
      <c r="B447" s="12" t="str">
        <f aca="false">IF($A447="","",원본명단!$A446)</f>
        <v/>
      </c>
      <c r="C447" s="12" t="str">
        <f aca="false">IF($A447="","",원본명단!$B446)</f>
        <v/>
      </c>
      <c r="D447" s="12" t="str">
        <f aca="false">IF($A447="","",원본명단!$D446)</f>
        <v/>
      </c>
      <c r="E447" s="11" t="str">
        <f aca="false">IF($A447="","",IF(원본명단!$H446="",0,COUNTIF(원본명단!$H$3:$H$6002,원본명단!$H446)))</f>
        <v/>
      </c>
      <c r="F447" s="11" t="str">
        <f aca="false">IF($A447="","",IF(원본명단!$I446="",0,COUNTIF(원본명단!$I$3:$I$6002,원본명단!$I446)))</f>
        <v/>
      </c>
      <c r="G447" s="11" t="str">
        <f aca="false">IF($A447="","",IF(원본명단!$K446="",0,COUNTIF(원본명단!$K$3:$K$6002,원본명단!$K446)))</f>
        <v/>
      </c>
      <c r="H447" s="11" t="str">
        <f aca="false">IF($A447="","",IF(MAX($E447,$F447,$G447)&gt;1,"중복","-"))</f>
        <v/>
      </c>
      <c r="I447" s="11" t="str">
        <f aca="false">IF($A447="","",IF($H447="-","-",IF(AND(IF(원본명단!$H446="",TRUE(),COUNTIF(원본명단!$H$3:$H446,원본명단!$H446)=1),IF(원본명단!$I446="",TRUE(),COUNTIF(원본명단!$I$3:$I446,원본명단!$I446)=1),IF(원본명단!$K446="",TRUE(),COUNTIF(원본명단!$K$3:$K446,원본명단!$K446)=1)),"첫 건","중복 건")))</f>
        <v/>
      </c>
      <c r="J447" s="11" t="str">
        <f aca="false">IF($A447="","",IF($H447="-","유지",IF($I447="첫 건","유지","확인 필요")))</f>
        <v/>
      </c>
    </row>
    <row r="448" customFormat="false" ht="15" hidden="false" customHeight="true" outlineLevel="0" collapsed="false">
      <c r="A448" s="11" t="str">
        <f aca="false">IF(원본명단!$A447="","",445)</f>
        <v/>
      </c>
      <c r="B448" s="12" t="str">
        <f aca="false">IF($A448="","",원본명단!$A447)</f>
        <v/>
      </c>
      <c r="C448" s="12" t="str">
        <f aca="false">IF($A448="","",원본명단!$B447)</f>
        <v/>
      </c>
      <c r="D448" s="12" t="str">
        <f aca="false">IF($A448="","",원본명단!$D447)</f>
        <v/>
      </c>
      <c r="E448" s="11" t="str">
        <f aca="false">IF($A448="","",IF(원본명단!$H447="",0,COUNTIF(원본명단!$H$3:$H$6002,원본명단!$H447)))</f>
        <v/>
      </c>
      <c r="F448" s="11" t="str">
        <f aca="false">IF($A448="","",IF(원본명단!$I447="",0,COUNTIF(원본명단!$I$3:$I$6002,원본명단!$I447)))</f>
        <v/>
      </c>
      <c r="G448" s="11" t="str">
        <f aca="false">IF($A448="","",IF(원본명단!$K447="",0,COUNTIF(원본명단!$K$3:$K$6002,원본명단!$K447)))</f>
        <v/>
      </c>
      <c r="H448" s="11" t="str">
        <f aca="false">IF($A448="","",IF(MAX($E448,$F448,$G448)&gt;1,"중복","-"))</f>
        <v/>
      </c>
      <c r="I448" s="11" t="str">
        <f aca="false">IF($A448="","",IF($H448="-","-",IF(AND(IF(원본명단!$H447="",TRUE(),COUNTIF(원본명단!$H$3:$H447,원본명단!$H447)=1),IF(원본명단!$I447="",TRUE(),COUNTIF(원본명단!$I$3:$I447,원본명단!$I447)=1),IF(원본명단!$K447="",TRUE(),COUNTIF(원본명단!$K$3:$K447,원본명단!$K447)=1)),"첫 건","중복 건")))</f>
        <v/>
      </c>
      <c r="J448" s="11" t="str">
        <f aca="false">IF($A448="","",IF($H448="-","유지",IF($I448="첫 건","유지","확인 필요")))</f>
        <v/>
      </c>
    </row>
    <row r="449" customFormat="false" ht="15" hidden="false" customHeight="true" outlineLevel="0" collapsed="false">
      <c r="A449" s="11" t="str">
        <f aca="false">IF(원본명단!$A448="","",446)</f>
        <v/>
      </c>
      <c r="B449" s="12" t="str">
        <f aca="false">IF($A449="","",원본명단!$A448)</f>
        <v/>
      </c>
      <c r="C449" s="12" t="str">
        <f aca="false">IF($A449="","",원본명단!$B448)</f>
        <v/>
      </c>
      <c r="D449" s="12" t="str">
        <f aca="false">IF($A449="","",원본명단!$D448)</f>
        <v/>
      </c>
      <c r="E449" s="11" t="str">
        <f aca="false">IF($A449="","",IF(원본명단!$H448="",0,COUNTIF(원본명단!$H$3:$H$6002,원본명단!$H448)))</f>
        <v/>
      </c>
      <c r="F449" s="11" t="str">
        <f aca="false">IF($A449="","",IF(원본명단!$I448="",0,COUNTIF(원본명단!$I$3:$I$6002,원본명단!$I448)))</f>
        <v/>
      </c>
      <c r="G449" s="11" t="str">
        <f aca="false">IF($A449="","",IF(원본명단!$K448="",0,COUNTIF(원본명단!$K$3:$K$6002,원본명단!$K448)))</f>
        <v/>
      </c>
      <c r="H449" s="11" t="str">
        <f aca="false">IF($A449="","",IF(MAX($E449,$F449,$G449)&gt;1,"중복","-"))</f>
        <v/>
      </c>
      <c r="I449" s="11" t="str">
        <f aca="false">IF($A449="","",IF($H449="-","-",IF(AND(IF(원본명단!$H448="",TRUE(),COUNTIF(원본명단!$H$3:$H448,원본명단!$H448)=1),IF(원본명단!$I448="",TRUE(),COUNTIF(원본명단!$I$3:$I448,원본명단!$I448)=1),IF(원본명단!$K448="",TRUE(),COUNTIF(원본명단!$K$3:$K448,원본명단!$K448)=1)),"첫 건","중복 건")))</f>
        <v/>
      </c>
      <c r="J449" s="11" t="str">
        <f aca="false">IF($A449="","",IF($H449="-","유지",IF($I449="첫 건","유지","확인 필요")))</f>
        <v/>
      </c>
    </row>
    <row r="450" customFormat="false" ht="15" hidden="false" customHeight="true" outlineLevel="0" collapsed="false">
      <c r="A450" s="11" t="str">
        <f aca="false">IF(원본명단!$A449="","",447)</f>
        <v/>
      </c>
      <c r="B450" s="12" t="str">
        <f aca="false">IF($A450="","",원본명단!$A449)</f>
        <v/>
      </c>
      <c r="C450" s="12" t="str">
        <f aca="false">IF($A450="","",원본명단!$B449)</f>
        <v/>
      </c>
      <c r="D450" s="12" t="str">
        <f aca="false">IF($A450="","",원본명단!$D449)</f>
        <v/>
      </c>
      <c r="E450" s="11" t="str">
        <f aca="false">IF($A450="","",IF(원본명단!$H449="",0,COUNTIF(원본명단!$H$3:$H$6002,원본명단!$H449)))</f>
        <v/>
      </c>
      <c r="F450" s="11" t="str">
        <f aca="false">IF($A450="","",IF(원본명단!$I449="",0,COUNTIF(원본명단!$I$3:$I$6002,원본명단!$I449)))</f>
        <v/>
      </c>
      <c r="G450" s="11" t="str">
        <f aca="false">IF($A450="","",IF(원본명단!$K449="",0,COUNTIF(원본명단!$K$3:$K$6002,원본명단!$K449)))</f>
        <v/>
      </c>
      <c r="H450" s="11" t="str">
        <f aca="false">IF($A450="","",IF(MAX($E450,$F450,$G450)&gt;1,"중복","-"))</f>
        <v/>
      </c>
      <c r="I450" s="11" t="str">
        <f aca="false">IF($A450="","",IF($H450="-","-",IF(AND(IF(원본명단!$H449="",TRUE(),COUNTIF(원본명단!$H$3:$H449,원본명단!$H449)=1),IF(원본명단!$I449="",TRUE(),COUNTIF(원본명단!$I$3:$I449,원본명단!$I449)=1),IF(원본명단!$K449="",TRUE(),COUNTIF(원본명단!$K$3:$K449,원본명단!$K449)=1)),"첫 건","중복 건")))</f>
        <v/>
      </c>
      <c r="J450" s="11" t="str">
        <f aca="false">IF($A450="","",IF($H450="-","유지",IF($I450="첫 건","유지","확인 필요")))</f>
        <v/>
      </c>
    </row>
    <row r="451" customFormat="false" ht="15" hidden="false" customHeight="true" outlineLevel="0" collapsed="false">
      <c r="A451" s="11" t="str">
        <f aca="false">IF(원본명단!$A450="","",448)</f>
        <v/>
      </c>
      <c r="B451" s="12" t="str">
        <f aca="false">IF($A451="","",원본명단!$A450)</f>
        <v/>
      </c>
      <c r="C451" s="12" t="str">
        <f aca="false">IF($A451="","",원본명단!$B450)</f>
        <v/>
      </c>
      <c r="D451" s="12" t="str">
        <f aca="false">IF($A451="","",원본명단!$D450)</f>
        <v/>
      </c>
      <c r="E451" s="11" t="str">
        <f aca="false">IF($A451="","",IF(원본명단!$H450="",0,COUNTIF(원본명단!$H$3:$H$6002,원본명단!$H450)))</f>
        <v/>
      </c>
      <c r="F451" s="11" t="str">
        <f aca="false">IF($A451="","",IF(원본명단!$I450="",0,COUNTIF(원본명단!$I$3:$I$6002,원본명단!$I450)))</f>
        <v/>
      </c>
      <c r="G451" s="11" t="str">
        <f aca="false">IF($A451="","",IF(원본명단!$K450="",0,COUNTIF(원본명단!$K$3:$K$6002,원본명단!$K450)))</f>
        <v/>
      </c>
      <c r="H451" s="11" t="str">
        <f aca="false">IF($A451="","",IF(MAX($E451,$F451,$G451)&gt;1,"중복","-"))</f>
        <v/>
      </c>
      <c r="I451" s="11" t="str">
        <f aca="false">IF($A451="","",IF($H451="-","-",IF(AND(IF(원본명단!$H450="",TRUE(),COUNTIF(원본명단!$H$3:$H450,원본명단!$H450)=1),IF(원본명단!$I450="",TRUE(),COUNTIF(원본명단!$I$3:$I450,원본명단!$I450)=1),IF(원본명단!$K450="",TRUE(),COUNTIF(원본명단!$K$3:$K450,원본명단!$K450)=1)),"첫 건","중복 건")))</f>
        <v/>
      </c>
      <c r="J451" s="11" t="str">
        <f aca="false">IF($A451="","",IF($H451="-","유지",IF($I451="첫 건","유지","확인 필요")))</f>
        <v/>
      </c>
    </row>
    <row r="452" customFormat="false" ht="15" hidden="false" customHeight="true" outlineLevel="0" collapsed="false">
      <c r="A452" s="11" t="str">
        <f aca="false">IF(원본명단!$A451="","",449)</f>
        <v/>
      </c>
      <c r="B452" s="12" t="str">
        <f aca="false">IF($A452="","",원본명단!$A451)</f>
        <v/>
      </c>
      <c r="C452" s="12" t="str">
        <f aca="false">IF($A452="","",원본명단!$B451)</f>
        <v/>
      </c>
      <c r="D452" s="12" t="str">
        <f aca="false">IF($A452="","",원본명단!$D451)</f>
        <v/>
      </c>
      <c r="E452" s="11" t="str">
        <f aca="false">IF($A452="","",IF(원본명단!$H451="",0,COUNTIF(원본명단!$H$3:$H$6002,원본명단!$H451)))</f>
        <v/>
      </c>
      <c r="F452" s="11" t="str">
        <f aca="false">IF($A452="","",IF(원본명단!$I451="",0,COUNTIF(원본명단!$I$3:$I$6002,원본명단!$I451)))</f>
        <v/>
      </c>
      <c r="G452" s="11" t="str">
        <f aca="false">IF($A452="","",IF(원본명단!$K451="",0,COUNTIF(원본명단!$K$3:$K$6002,원본명단!$K451)))</f>
        <v/>
      </c>
      <c r="H452" s="11" t="str">
        <f aca="false">IF($A452="","",IF(MAX($E452,$F452,$G452)&gt;1,"중복","-"))</f>
        <v/>
      </c>
      <c r="I452" s="11" t="str">
        <f aca="false">IF($A452="","",IF($H452="-","-",IF(AND(IF(원본명단!$H451="",TRUE(),COUNTIF(원본명단!$H$3:$H451,원본명단!$H451)=1),IF(원본명단!$I451="",TRUE(),COUNTIF(원본명단!$I$3:$I451,원본명단!$I451)=1),IF(원본명단!$K451="",TRUE(),COUNTIF(원본명단!$K$3:$K451,원본명단!$K451)=1)),"첫 건","중복 건")))</f>
        <v/>
      </c>
      <c r="J452" s="11" t="str">
        <f aca="false">IF($A452="","",IF($H452="-","유지",IF($I452="첫 건","유지","확인 필요")))</f>
        <v/>
      </c>
    </row>
    <row r="453" customFormat="false" ht="15" hidden="false" customHeight="true" outlineLevel="0" collapsed="false">
      <c r="A453" s="11" t="str">
        <f aca="false">IF(원본명단!$A452="","",450)</f>
        <v/>
      </c>
      <c r="B453" s="12" t="str">
        <f aca="false">IF($A453="","",원본명단!$A452)</f>
        <v/>
      </c>
      <c r="C453" s="12" t="str">
        <f aca="false">IF($A453="","",원본명단!$B452)</f>
        <v/>
      </c>
      <c r="D453" s="12" t="str">
        <f aca="false">IF($A453="","",원본명단!$D452)</f>
        <v/>
      </c>
      <c r="E453" s="11" t="str">
        <f aca="false">IF($A453="","",IF(원본명단!$H452="",0,COUNTIF(원본명단!$H$3:$H$6002,원본명단!$H452)))</f>
        <v/>
      </c>
      <c r="F453" s="11" t="str">
        <f aca="false">IF($A453="","",IF(원본명단!$I452="",0,COUNTIF(원본명단!$I$3:$I$6002,원본명단!$I452)))</f>
        <v/>
      </c>
      <c r="G453" s="11" t="str">
        <f aca="false">IF($A453="","",IF(원본명단!$K452="",0,COUNTIF(원본명단!$K$3:$K$6002,원본명단!$K452)))</f>
        <v/>
      </c>
      <c r="H453" s="11" t="str">
        <f aca="false">IF($A453="","",IF(MAX($E453,$F453,$G453)&gt;1,"중복","-"))</f>
        <v/>
      </c>
      <c r="I453" s="11" t="str">
        <f aca="false">IF($A453="","",IF($H453="-","-",IF(AND(IF(원본명단!$H452="",TRUE(),COUNTIF(원본명단!$H$3:$H452,원본명단!$H452)=1),IF(원본명단!$I452="",TRUE(),COUNTIF(원본명단!$I$3:$I452,원본명단!$I452)=1),IF(원본명단!$K452="",TRUE(),COUNTIF(원본명단!$K$3:$K452,원본명단!$K452)=1)),"첫 건","중복 건")))</f>
        <v/>
      </c>
      <c r="J453" s="11" t="str">
        <f aca="false">IF($A453="","",IF($H453="-","유지",IF($I453="첫 건","유지","확인 필요")))</f>
        <v/>
      </c>
    </row>
    <row r="454" customFormat="false" ht="15" hidden="false" customHeight="true" outlineLevel="0" collapsed="false">
      <c r="A454" s="11" t="str">
        <f aca="false">IF(원본명단!$A453="","",451)</f>
        <v/>
      </c>
      <c r="B454" s="12" t="str">
        <f aca="false">IF($A454="","",원본명단!$A453)</f>
        <v/>
      </c>
      <c r="C454" s="12" t="str">
        <f aca="false">IF($A454="","",원본명단!$B453)</f>
        <v/>
      </c>
      <c r="D454" s="12" t="str">
        <f aca="false">IF($A454="","",원본명단!$D453)</f>
        <v/>
      </c>
      <c r="E454" s="11" t="str">
        <f aca="false">IF($A454="","",IF(원본명단!$H453="",0,COUNTIF(원본명단!$H$3:$H$6002,원본명단!$H453)))</f>
        <v/>
      </c>
      <c r="F454" s="11" t="str">
        <f aca="false">IF($A454="","",IF(원본명단!$I453="",0,COUNTIF(원본명단!$I$3:$I$6002,원본명단!$I453)))</f>
        <v/>
      </c>
      <c r="G454" s="11" t="str">
        <f aca="false">IF($A454="","",IF(원본명단!$K453="",0,COUNTIF(원본명단!$K$3:$K$6002,원본명단!$K453)))</f>
        <v/>
      </c>
      <c r="H454" s="11" t="str">
        <f aca="false">IF($A454="","",IF(MAX($E454,$F454,$G454)&gt;1,"중복","-"))</f>
        <v/>
      </c>
      <c r="I454" s="11" t="str">
        <f aca="false">IF($A454="","",IF($H454="-","-",IF(AND(IF(원본명단!$H453="",TRUE(),COUNTIF(원본명단!$H$3:$H453,원본명단!$H453)=1),IF(원본명단!$I453="",TRUE(),COUNTIF(원본명단!$I$3:$I453,원본명단!$I453)=1),IF(원본명단!$K453="",TRUE(),COUNTIF(원본명단!$K$3:$K453,원본명단!$K453)=1)),"첫 건","중복 건")))</f>
        <v/>
      </c>
      <c r="J454" s="11" t="str">
        <f aca="false">IF($A454="","",IF($H454="-","유지",IF($I454="첫 건","유지","확인 필요")))</f>
        <v/>
      </c>
    </row>
    <row r="455" customFormat="false" ht="15" hidden="false" customHeight="true" outlineLevel="0" collapsed="false">
      <c r="A455" s="11" t="str">
        <f aca="false">IF(원본명단!$A454="","",452)</f>
        <v/>
      </c>
      <c r="B455" s="12" t="str">
        <f aca="false">IF($A455="","",원본명단!$A454)</f>
        <v/>
      </c>
      <c r="C455" s="12" t="str">
        <f aca="false">IF($A455="","",원본명단!$B454)</f>
        <v/>
      </c>
      <c r="D455" s="12" t="str">
        <f aca="false">IF($A455="","",원본명단!$D454)</f>
        <v/>
      </c>
      <c r="E455" s="11" t="str">
        <f aca="false">IF($A455="","",IF(원본명단!$H454="",0,COUNTIF(원본명단!$H$3:$H$6002,원본명단!$H454)))</f>
        <v/>
      </c>
      <c r="F455" s="11" t="str">
        <f aca="false">IF($A455="","",IF(원본명단!$I454="",0,COUNTIF(원본명단!$I$3:$I$6002,원본명단!$I454)))</f>
        <v/>
      </c>
      <c r="G455" s="11" t="str">
        <f aca="false">IF($A455="","",IF(원본명단!$K454="",0,COUNTIF(원본명단!$K$3:$K$6002,원본명단!$K454)))</f>
        <v/>
      </c>
      <c r="H455" s="11" t="str">
        <f aca="false">IF($A455="","",IF(MAX($E455,$F455,$G455)&gt;1,"중복","-"))</f>
        <v/>
      </c>
      <c r="I455" s="11" t="str">
        <f aca="false">IF($A455="","",IF($H455="-","-",IF(AND(IF(원본명단!$H454="",TRUE(),COUNTIF(원본명단!$H$3:$H454,원본명단!$H454)=1),IF(원본명단!$I454="",TRUE(),COUNTIF(원본명단!$I$3:$I454,원본명단!$I454)=1),IF(원본명단!$K454="",TRUE(),COUNTIF(원본명단!$K$3:$K454,원본명단!$K454)=1)),"첫 건","중복 건")))</f>
        <v/>
      </c>
      <c r="J455" s="11" t="str">
        <f aca="false">IF($A455="","",IF($H455="-","유지",IF($I455="첫 건","유지","확인 필요")))</f>
        <v/>
      </c>
    </row>
    <row r="456" customFormat="false" ht="15" hidden="false" customHeight="true" outlineLevel="0" collapsed="false">
      <c r="A456" s="11" t="str">
        <f aca="false">IF(원본명단!$A455="","",453)</f>
        <v/>
      </c>
      <c r="B456" s="12" t="str">
        <f aca="false">IF($A456="","",원본명단!$A455)</f>
        <v/>
      </c>
      <c r="C456" s="12" t="str">
        <f aca="false">IF($A456="","",원본명단!$B455)</f>
        <v/>
      </c>
      <c r="D456" s="12" t="str">
        <f aca="false">IF($A456="","",원본명단!$D455)</f>
        <v/>
      </c>
      <c r="E456" s="11" t="str">
        <f aca="false">IF($A456="","",IF(원본명단!$H455="",0,COUNTIF(원본명단!$H$3:$H$6002,원본명단!$H455)))</f>
        <v/>
      </c>
      <c r="F456" s="11" t="str">
        <f aca="false">IF($A456="","",IF(원본명단!$I455="",0,COUNTIF(원본명단!$I$3:$I$6002,원본명단!$I455)))</f>
        <v/>
      </c>
      <c r="G456" s="11" t="str">
        <f aca="false">IF($A456="","",IF(원본명단!$K455="",0,COUNTIF(원본명단!$K$3:$K$6002,원본명단!$K455)))</f>
        <v/>
      </c>
      <c r="H456" s="11" t="str">
        <f aca="false">IF($A456="","",IF(MAX($E456,$F456,$G456)&gt;1,"중복","-"))</f>
        <v/>
      </c>
      <c r="I456" s="11" t="str">
        <f aca="false">IF($A456="","",IF($H456="-","-",IF(AND(IF(원본명단!$H455="",TRUE(),COUNTIF(원본명단!$H$3:$H455,원본명단!$H455)=1),IF(원본명단!$I455="",TRUE(),COUNTIF(원본명단!$I$3:$I455,원본명단!$I455)=1),IF(원본명단!$K455="",TRUE(),COUNTIF(원본명단!$K$3:$K455,원본명단!$K455)=1)),"첫 건","중복 건")))</f>
        <v/>
      </c>
      <c r="J456" s="11" t="str">
        <f aca="false">IF($A456="","",IF($H456="-","유지",IF($I456="첫 건","유지","확인 필요")))</f>
        <v/>
      </c>
    </row>
    <row r="457" customFormat="false" ht="15" hidden="false" customHeight="true" outlineLevel="0" collapsed="false">
      <c r="A457" s="11" t="str">
        <f aca="false">IF(원본명단!$A456="","",454)</f>
        <v/>
      </c>
      <c r="B457" s="12" t="str">
        <f aca="false">IF($A457="","",원본명단!$A456)</f>
        <v/>
      </c>
      <c r="C457" s="12" t="str">
        <f aca="false">IF($A457="","",원본명단!$B456)</f>
        <v/>
      </c>
      <c r="D457" s="12" t="str">
        <f aca="false">IF($A457="","",원본명단!$D456)</f>
        <v/>
      </c>
      <c r="E457" s="11" t="str">
        <f aca="false">IF($A457="","",IF(원본명단!$H456="",0,COUNTIF(원본명단!$H$3:$H$6002,원본명단!$H456)))</f>
        <v/>
      </c>
      <c r="F457" s="11" t="str">
        <f aca="false">IF($A457="","",IF(원본명단!$I456="",0,COUNTIF(원본명단!$I$3:$I$6002,원본명단!$I456)))</f>
        <v/>
      </c>
      <c r="G457" s="11" t="str">
        <f aca="false">IF($A457="","",IF(원본명단!$K456="",0,COUNTIF(원본명단!$K$3:$K$6002,원본명단!$K456)))</f>
        <v/>
      </c>
      <c r="H457" s="11" t="str">
        <f aca="false">IF($A457="","",IF(MAX($E457,$F457,$G457)&gt;1,"중복","-"))</f>
        <v/>
      </c>
      <c r="I457" s="11" t="str">
        <f aca="false">IF($A457="","",IF($H457="-","-",IF(AND(IF(원본명단!$H456="",TRUE(),COUNTIF(원본명단!$H$3:$H456,원본명단!$H456)=1),IF(원본명단!$I456="",TRUE(),COUNTIF(원본명단!$I$3:$I456,원본명단!$I456)=1),IF(원본명단!$K456="",TRUE(),COUNTIF(원본명단!$K$3:$K456,원본명단!$K456)=1)),"첫 건","중복 건")))</f>
        <v/>
      </c>
      <c r="J457" s="11" t="str">
        <f aca="false">IF($A457="","",IF($H457="-","유지",IF($I457="첫 건","유지","확인 필요")))</f>
        <v/>
      </c>
    </row>
    <row r="458" customFormat="false" ht="15" hidden="false" customHeight="true" outlineLevel="0" collapsed="false">
      <c r="A458" s="11" t="str">
        <f aca="false">IF(원본명단!$A457="","",455)</f>
        <v/>
      </c>
      <c r="B458" s="12" t="str">
        <f aca="false">IF($A458="","",원본명단!$A457)</f>
        <v/>
      </c>
      <c r="C458" s="12" t="str">
        <f aca="false">IF($A458="","",원본명단!$B457)</f>
        <v/>
      </c>
      <c r="D458" s="12" t="str">
        <f aca="false">IF($A458="","",원본명단!$D457)</f>
        <v/>
      </c>
      <c r="E458" s="11" t="str">
        <f aca="false">IF($A458="","",IF(원본명단!$H457="",0,COUNTIF(원본명단!$H$3:$H$6002,원본명단!$H457)))</f>
        <v/>
      </c>
      <c r="F458" s="11" t="str">
        <f aca="false">IF($A458="","",IF(원본명단!$I457="",0,COUNTIF(원본명단!$I$3:$I$6002,원본명단!$I457)))</f>
        <v/>
      </c>
      <c r="G458" s="11" t="str">
        <f aca="false">IF($A458="","",IF(원본명단!$K457="",0,COUNTIF(원본명단!$K$3:$K$6002,원본명단!$K457)))</f>
        <v/>
      </c>
      <c r="H458" s="11" t="str">
        <f aca="false">IF($A458="","",IF(MAX($E458,$F458,$G458)&gt;1,"중복","-"))</f>
        <v/>
      </c>
      <c r="I458" s="11" t="str">
        <f aca="false">IF($A458="","",IF($H458="-","-",IF(AND(IF(원본명단!$H457="",TRUE(),COUNTIF(원본명단!$H$3:$H457,원본명단!$H457)=1),IF(원본명단!$I457="",TRUE(),COUNTIF(원본명단!$I$3:$I457,원본명단!$I457)=1),IF(원본명단!$K457="",TRUE(),COUNTIF(원본명단!$K$3:$K457,원본명단!$K457)=1)),"첫 건","중복 건")))</f>
        <v/>
      </c>
      <c r="J458" s="11" t="str">
        <f aca="false">IF($A458="","",IF($H458="-","유지",IF($I458="첫 건","유지","확인 필요")))</f>
        <v/>
      </c>
    </row>
    <row r="459" customFormat="false" ht="15" hidden="false" customHeight="true" outlineLevel="0" collapsed="false">
      <c r="A459" s="11" t="str">
        <f aca="false">IF(원본명단!$A458="","",456)</f>
        <v/>
      </c>
      <c r="B459" s="12" t="str">
        <f aca="false">IF($A459="","",원본명단!$A458)</f>
        <v/>
      </c>
      <c r="C459" s="12" t="str">
        <f aca="false">IF($A459="","",원본명단!$B458)</f>
        <v/>
      </c>
      <c r="D459" s="12" t="str">
        <f aca="false">IF($A459="","",원본명단!$D458)</f>
        <v/>
      </c>
      <c r="E459" s="11" t="str">
        <f aca="false">IF($A459="","",IF(원본명단!$H458="",0,COUNTIF(원본명단!$H$3:$H$6002,원본명단!$H458)))</f>
        <v/>
      </c>
      <c r="F459" s="11" t="str">
        <f aca="false">IF($A459="","",IF(원본명단!$I458="",0,COUNTIF(원본명단!$I$3:$I$6002,원본명단!$I458)))</f>
        <v/>
      </c>
      <c r="G459" s="11" t="str">
        <f aca="false">IF($A459="","",IF(원본명단!$K458="",0,COUNTIF(원본명단!$K$3:$K$6002,원본명단!$K458)))</f>
        <v/>
      </c>
      <c r="H459" s="11" t="str">
        <f aca="false">IF($A459="","",IF(MAX($E459,$F459,$G459)&gt;1,"중복","-"))</f>
        <v/>
      </c>
      <c r="I459" s="11" t="str">
        <f aca="false">IF($A459="","",IF($H459="-","-",IF(AND(IF(원본명단!$H458="",TRUE(),COUNTIF(원본명단!$H$3:$H458,원본명단!$H458)=1),IF(원본명단!$I458="",TRUE(),COUNTIF(원본명단!$I$3:$I458,원본명단!$I458)=1),IF(원본명단!$K458="",TRUE(),COUNTIF(원본명단!$K$3:$K458,원본명단!$K458)=1)),"첫 건","중복 건")))</f>
        <v/>
      </c>
      <c r="J459" s="11" t="str">
        <f aca="false">IF($A459="","",IF($H459="-","유지",IF($I459="첫 건","유지","확인 필요")))</f>
        <v/>
      </c>
    </row>
    <row r="460" customFormat="false" ht="15" hidden="false" customHeight="true" outlineLevel="0" collapsed="false">
      <c r="A460" s="11" t="str">
        <f aca="false">IF(원본명단!$A459="","",457)</f>
        <v/>
      </c>
      <c r="B460" s="12" t="str">
        <f aca="false">IF($A460="","",원본명단!$A459)</f>
        <v/>
      </c>
      <c r="C460" s="12" t="str">
        <f aca="false">IF($A460="","",원본명단!$B459)</f>
        <v/>
      </c>
      <c r="D460" s="12" t="str">
        <f aca="false">IF($A460="","",원본명단!$D459)</f>
        <v/>
      </c>
      <c r="E460" s="11" t="str">
        <f aca="false">IF($A460="","",IF(원본명단!$H459="",0,COUNTIF(원본명단!$H$3:$H$6002,원본명단!$H459)))</f>
        <v/>
      </c>
      <c r="F460" s="11" t="str">
        <f aca="false">IF($A460="","",IF(원본명단!$I459="",0,COUNTIF(원본명단!$I$3:$I$6002,원본명단!$I459)))</f>
        <v/>
      </c>
      <c r="G460" s="11" t="str">
        <f aca="false">IF($A460="","",IF(원본명단!$K459="",0,COUNTIF(원본명단!$K$3:$K$6002,원본명단!$K459)))</f>
        <v/>
      </c>
      <c r="H460" s="11" t="str">
        <f aca="false">IF($A460="","",IF(MAX($E460,$F460,$G460)&gt;1,"중복","-"))</f>
        <v/>
      </c>
      <c r="I460" s="11" t="str">
        <f aca="false">IF($A460="","",IF($H460="-","-",IF(AND(IF(원본명단!$H459="",TRUE(),COUNTIF(원본명단!$H$3:$H459,원본명단!$H459)=1),IF(원본명단!$I459="",TRUE(),COUNTIF(원본명단!$I$3:$I459,원본명단!$I459)=1),IF(원본명단!$K459="",TRUE(),COUNTIF(원본명단!$K$3:$K459,원본명단!$K459)=1)),"첫 건","중복 건")))</f>
        <v/>
      </c>
      <c r="J460" s="11" t="str">
        <f aca="false">IF($A460="","",IF($H460="-","유지",IF($I460="첫 건","유지","확인 필요")))</f>
        <v/>
      </c>
    </row>
    <row r="461" customFormat="false" ht="15" hidden="false" customHeight="true" outlineLevel="0" collapsed="false">
      <c r="A461" s="11" t="str">
        <f aca="false">IF(원본명단!$A460="","",458)</f>
        <v/>
      </c>
      <c r="B461" s="12" t="str">
        <f aca="false">IF($A461="","",원본명단!$A460)</f>
        <v/>
      </c>
      <c r="C461" s="12" t="str">
        <f aca="false">IF($A461="","",원본명단!$B460)</f>
        <v/>
      </c>
      <c r="D461" s="12" t="str">
        <f aca="false">IF($A461="","",원본명단!$D460)</f>
        <v/>
      </c>
      <c r="E461" s="11" t="str">
        <f aca="false">IF($A461="","",IF(원본명단!$H460="",0,COUNTIF(원본명단!$H$3:$H$6002,원본명단!$H460)))</f>
        <v/>
      </c>
      <c r="F461" s="11" t="str">
        <f aca="false">IF($A461="","",IF(원본명단!$I460="",0,COUNTIF(원본명단!$I$3:$I$6002,원본명단!$I460)))</f>
        <v/>
      </c>
      <c r="G461" s="11" t="str">
        <f aca="false">IF($A461="","",IF(원본명단!$K460="",0,COUNTIF(원본명단!$K$3:$K$6002,원본명단!$K460)))</f>
        <v/>
      </c>
      <c r="H461" s="11" t="str">
        <f aca="false">IF($A461="","",IF(MAX($E461,$F461,$G461)&gt;1,"중복","-"))</f>
        <v/>
      </c>
      <c r="I461" s="11" t="str">
        <f aca="false">IF($A461="","",IF($H461="-","-",IF(AND(IF(원본명단!$H460="",TRUE(),COUNTIF(원본명단!$H$3:$H460,원본명단!$H460)=1),IF(원본명단!$I460="",TRUE(),COUNTIF(원본명단!$I$3:$I460,원본명단!$I460)=1),IF(원본명단!$K460="",TRUE(),COUNTIF(원본명단!$K$3:$K460,원본명단!$K460)=1)),"첫 건","중복 건")))</f>
        <v/>
      </c>
      <c r="J461" s="11" t="str">
        <f aca="false">IF($A461="","",IF($H461="-","유지",IF($I461="첫 건","유지","확인 필요")))</f>
        <v/>
      </c>
    </row>
    <row r="462" customFormat="false" ht="15" hidden="false" customHeight="true" outlineLevel="0" collapsed="false">
      <c r="A462" s="11" t="str">
        <f aca="false">IF(원본명단!$A461="","",459)</f>
        <v/>
      </c>
      <c r="B462" s="12" t="str">
        <f aca="false">IF($A462="","",원본명단!$A461)</f>
        <v/>
      </c>
      <c r="C462" s="12" t="str">
        <f aca="false">IF($A462="","",원본명단!$B461)</f>
        <v/>
      </c>
      <c r="D462" s="12" t="str">
        <f aca="false">IF($A462="","",원본명단!$D461)</f>
        <v/>
      </c>
      <c r="E462" s="11" t="str">
        <f aca="false">IF($A462="","",IF(원본명단!$H461="",0,COUNTIF(원본명단!$H$3:$H$6002,원본명단!$H461)))</f>
        <v/>
      </c>
      <c r="F462" s="11" t="str">
        <f aca="false">IF($A462="","",IF(원본명단!$I461="",0,COUNTIF(원본명단!$I$3:$I$6002,원본명단!$I461)))</f>
        <v/>
      </c>
      <c r="G462" s="11" t="str">
        <f aca="false">IF($A462="","",IF(원본명단!$K461="",0,COUNTIF(원본명단!$K$3:$K$6002,원본명단!$K461)))</f>
        <v/>
      </c>
      <c r="H462" s="11" t="str">
        <f aca="false">IF($A462="","",IF(MAX($E462,$F462,$G462)&gt;1,"중복","-"))</f>
        <v/>
      </c>
      <c r="I462" s="11" t="str">
        <f aca="false">IF($A462="","",IF($H462="-","-",IF(AND(IF(원본명단!$H461="",TRUE(),COUNTIF(원본명단!$H$3:$H461,원본명단!$H461)=1),IF(원본명단!$I461="",TRUE(),COUNTIF(원본명단!$I$3:$I461,원본명단!$I461)=1),IF(원본명단!$K461="",TRUE(),COUNTIF(원본명단!$K$3:$K461,원본명단!$K461)=1)),"첫 건","중복 건")))</f>
        <v/>
      </c>
      <c r="J462" s="11" t="str">
        <f aca="false">IF($A462="","",IF($H462="-","유지",IF($I462="첫 건","유지","확인 필요")))</f>
        <v/>
      </c>
    </row>
    <row r="463" customFormat="false" ht="15" hidden="false" customHeight="true" outlineLevel="0" collapsed="false">
      <c r="A463" s="11" t="str">
        <f aca="false">IF(원본명단!$A462="","",460)</f>
        <v/>
      </c>
      <c r="B463" s="12" t="str">
        <f aca="false">IF($A463="","",원본명단!$A462)</f>
        <v/>
      </c>
      <c r="C463" s="12" t="str">
        <f aca="false">IF($A463="","",원본명단!$B462)</f>
        <v/>
      </c>
      <c r="D463" s="12" t="str">
        <f aca="false">IF($A463="","",원본명단!$D462)</f>
        <v/>
      </c>
      <c r="E463" s="11" t="str">
        <f aca="false">IF($A463="","",IF(원본명단!$H462="",0,COUNTIF(원본명단!$H$3:$H$6002,원본명단!$H462)))</f>
        <v/>
      </c>
      <c r="F463" s="11" t="str">
        <f aca="false">IF($A463="","",IF(원본명단!$I462="",0,COUNTIF(원본명단!$I$3:$I$6002,원본명단!$I462)))</f>
        <v/>
      </c>
      <c r="G463" s="11" t="str">
        <f aca="false">IF($A463="","",IF(원본명단!$K462="",0,COUNTIF(원본명단!$K$3:$K$6002,원본명단!$K462)))</f>
        <v/>
      </c>
      <c r="H463" s="11" t="str">
        <f aca="false">IF($A463="","",IF(MAX($E463,$F463,$G463)&gt;1,"중복","-"))</f>
        <v/>
      </c>
      <c r="I463" s="11" t="str">
        <f aca="false">IF($A463="","",IF($H463="-","-",IF(AND(IF(원본명단!$H462="",TRUE(),COUNTIF(원본명단!$H$3:$H462,원본명단!$H462)=1),IF(원본명단!$I462="",TRUE(),COUNTIF(원본명단!$I$3:$I462,원본명단!$I462)=1),IF(원본명단!$K462="",TRUE(),COUNTIF(원본명단!$K$3:$K462,원본명단!$K462)=1)),"첫 건","중복 건")))</f>
        <v/>
      </c>
      <c r="J463" s="11" t="str">
        <f aca="false">IF($A463="","",IF($H463="-","유지",IF($I463="첫 건","유지","확인 필요")))</f>
        <v/>
      </c>
    </row>
    <row r="464" customFormat="false" ht="15" hidden="false" customHeight="true" outlineLevel="0" collapsed="false">
      <c r="A464" s="11" t="str">
        <f aca="false">IF(원본명단!$A463="","",461)</f>
        <v/>
      </c>
      <c r="B464" s="12" t="str">
        <f aca="false">IF($A464="","",원본명단!$A463)</f>
        <v/>
      </c>
      <c r="C464" s="12" t="str">
        <f aca="false">IF($A464="","",원본명단!$B463)</f>
        <v/>
      </c>
      <c r="D464" s="12" t="str">
        <f aca="false">IF($A464="","",원본명단!$D463)</f>
        <v/>
      </c>
      <c r="E464" s="11" t="str">
        <f aca="false">IF($A464="","",IF(원본명단!$H463="",0,COUNTIF(원본명단!$H$3:$H$6002,원본명단!$H463)))</f>
        <v/>
      </c>
      <c r="F464" s="11" t="str">
        <f aca="false">IF($A464="","",IF(원본명단!$I463="",0,COUNTIF(원본명단!$I$3:$I$6002,원본명단!$I463)))</f>
        <v/>
      </c>
      <c r="G464" s="11" t="str">
        <f aca="false">IF($A464="","",IF(원본명단!$K463="",0,COUNTIF(원본명단!$K$3:$K$6002,원본명단!$K463)))</f>
        <v/>
      </c>
      <c r="H464" s="11" t="str">
        <f aca="false">IF($A464="","",IF(MAX($E464,$F464,$G464)&gt;1,"중복","-"))</f>
        <v/>
      </c>
      <c r="I464" s="11" t="str">
        <f aca="false">IF($A464="","",IF($H464="-","-",IF(AND(IF(원본명단!$H463="",TRUE(),COUNTIF(원본명단!$H$3:$H463,원본명단!$H463)=1),IF(원본명단!$I463="",TRUE(),COUNTIF(원본명단!$I$3:$I463,원본명단!$I463)=1),IF(원본명단!$K463="",TRUE(),COUNTIF(원본명단!$K$3:$K463,원본명단!$K463)=1)),"첫 건","중복 건")))</f>
        <v/>
      </c>
      <c r="J464" s="11" t="str">
        <f aca="false">IF($A464="","",IF($H464="-","유지",IF($I464="첫 건","유지","확인 필요")))</f>
        <v/>
      </c>
    </row>
    <row r="465" customFormat="false" ht="15" hidden="false" customHeight="true" outlineLevel="0" collapsed="false">
      <c r="A465" s="11" t="str">
        <f aca="false">IF(원본명단!$A464="","",462)</f>
        <v/>
      </c>
      <c r="B465" s="12" t="str">
        <f aca="false">IF($A465="","",원본명단!$A464)</f>
        <v/>
      </c>
      <c r="C465" s="12" t="str">
        <f aca="false">IF($A465="","",원본명단!$B464)</f>
        <v/>
      </c>
      <c r="D465" s="12" t="str">
        <f aca="false">IF($A465="","",원본명단!$D464)</f>
        <v/>
      </c>
      <c r="E465" s="11" t="str">
        <f aca="false">IF($A465="","",IF(원본명단!$H464="",0,COUNTIF(원본명단!$H$3:$H$6002,원본명단!$H464)))</f>
        <v/>
      </c>
      <c r="F465" s="11" t="str">
        <f aca="false">IF($A465="","",IF(원본명단!$I464="",0,COUNTIF(원본명단!$I$3:$I$6002,원본명단!$I464)))</f>
        <v/>
      </c>
      <c r="G465" s="11" t="str">
        <f aca="false">IF($A465="","",IF(원본명단!$K464="",0,COUNTIF(원본명단!$K$3:$K$6002,원본명단!$K464)))</f>
        <v/>
      </c>
      <c r="H465" s="11" t="str">
        <f aca="false">IF($A465="","",IF(MAX($E465,$F465,$G465)&gt;1,"중복","-"))</f>
        <v/>
      </c>
      <c r="I465" s="11" t="str">
        <f aca="false">IF($A465="","",IF($H465="-","-",IF(AND(IF(원본명단!$H464="",TRUE(),COUNTIF(원본명단!$H$3:$H464,원본명단!$H464)=1),IF(원본명단!$I464="",TRUE(),COUNTIF(원본명단!$I$3:$I464,원본명단!$I464)=1),IF(원본명단!$K464="",TRUE(),COUNTIF(원본명단!$K$3:$K464,원본명단!$K464)=1)),"첫 건","중복 건")))</f>
        <v/>
      </c>
      <c r="J465" s="11" t="str">
        <f aca="false">IF($A465="","",IF($H465="-","유지",IF($I465="첫 건","유지","확인 필요")))</f>
        <v/>
      </c>
    </row>
    <row r="466" customFormat="false" ht="15" hidden="false" customHeight="true" outlineLevel="0" collapsed="false">
      <c r="A466" s="11" t="str">
        <f aca="false">IF(원본명단!$A465="","",463)</f>
        <v/>
      </c>
      <c r="B466" s="12" t="str">
        <f aca="false">IF($A466="","",원본명단!$A465)</f>
        <v/>
      </c>
      <c r="C466" s="12" t="str">
        <f aca="false">IF($A466="","",원본명단!$B465)</f>
        <v/>
      </c>
      <c r="D466" s="12" t="str">
        <f aca="false">IF($A466="","",원본명단!$D465)</f>
        <v/>
      </c>
      <c r="E466" s="11" t="str">
        <f aca="false">IF($A466="","",IF(원본명단!$H465="",0,COUNTIF(원본명단!$H$3:$H$6002,원본명단!$H465)))</f>
        <v/>
      </c>
      <c r="F466" s="11" t="str">
        <f aca="false">IF($A466="","",IF(원본명단!$I465="",0,COUNTIF(원본명단!$I$3:$I$6002,원본명단!$I465)))</f>
        <v/>
      </c>
      <c r="G466" s="11" t="str">
        <f aca="false">IF($A466="","",IF(원본명단!$K465="",0,COUNTIF(원본명단!$K$3:$K$6002,원본명단!$K465)))</f>
        <v/>
      </c>
      <c r="H466" s="11" t="str">
        <f aca="false">IF($A466="","",IF(MAX($E466,$F466,$G466)&gt;1,"중복","-"))</f>
        <v/>
      </c>
      <c r="I466" s="11" t="str">
        <f aca="false">IF($A466="","",IF($H466="-","-",IF(AND(IF(원본명단!$H465="",TRUE(),COUNTIF(원본명단!$H$3:$H465,원본명단!$H465)=1),IF(원본명단!$I465="",TRUE(),COUNTIF(원본명단!$I$3:$I465,원본명단!$I465)=1),IF(원본명단!$K465="",TRUE(),COUNTIF(원본명단!$K$3:$K465,원본명단!$K465)=1)),"첫 건","중복 건")))</f>
        <v/>
      </c>
      <c r="J466" s="11" t="str">
        <f aca="false">IF($A466="","",IF($H466="-","유지",IF($I466="첫 건","유지","확인 필요")))</f>
        <v/>
      </c>
    </row>
    <row r="467" customFormat="false" ht="15" hidden="false" customHeight="true" outlineLevel="0" collapsed="false">
      <c r="A467" s="11" t="str">
        <f aca="false">IF(원본명단!$A466="","",464)</f>
        <v/>
      </c>
      <c r="B467" s="12" t="str">
        <f aca="false">IF($A467="","",원본명단!$A466)</f>
        <v/>
      </c>
      <c r="C467" s="12" t="str">
        <f aca="false">IF($A467="","",원본명단!$B466)</f>
        <v/>
      </c>
      <c r="D467" s="12" t="str">
        <f aca="false">IF($A467="","",원본명단!$D466)</f>
        <v/>
      </c>
      <c r="E467" s="11" t="str">
        <f aca="false">IF($A467="","",IF(원본명단!$H466="",0,COUNTIF(원본명단!$H$3:$H$6002,원본명단!$H466)))</f>
        <v/>
      </c>
      <c r="F467" s="11" t="str">
        <f aca="false">IF($A467="","",IF(원본명단!$I466="",0,COUNTIF(원본명단!$I$3:$I$6002,원본명단!$I466)))</f>
        <v/>
      </c>
      <c r="G467" s="11" t="str">
        <f aca="false">IF($A467="","",IF(원본명단!$K466="",0,COUNTIF(원본명단!$K$3:$K$6002,원본명단!$K466)))</f>
        <v/>
      </c>
      <c r="H467" s="11" t="str">
        <f aca="false">IF($A467="","",IF(MAX($E467,$F467,$G467)&gt;1,"중복","-"))</f>
        <v/>
      </c>
      <c r="I467" s="11" t="str">
        <f aca="false">IF($A467="","",IF($H467="-","-",IF(AND(IF(원본명단!$H466="",TRUE(),COUNTIF(원본명단!$H$3:$H466,원본명단!$H466)=1),IF(원본명단!$I466="",TRUE(),COUNTIF(원본명단!$I$3:$I466,원본명단!$I466)=1),IF(원본명단!$K466="",TRUE(),COUNTIF(원본명단!$K$3:$K466,원본명단!$K466)=1)),"첫 건","중복 건")))</f>
        <v/>
      </c>
      <c r="J467" s="11" t="str">
        <f aca="false">IF($A467="","",IF($H467="-","유지",IF($I467="첫 건","유지","확인 필요")))</f>
        <v/>
      </c>
    </row>
    <row r="468" customFormat="false" ht="15" hidden="false" customHeight="true" outlineLevel="0" collapsed="false">
      <c r="A468" s="11" t="str">
        <f aca="false">IF(원본명단!$A467="","",465)</f>
        <v/>
      </c>
      <c r="B468" s="12" t="str">
        <f aca="false">IF($A468="","",원본명단!$A467)</f>
        <v/>
      </c>
      <c r="C468" s="12" t="str">
        <f aca="false">IF($A468="","",원본명단!$B467)</f>
        <v/>
      </c>
      <c r="D468" s="12" t="str">
        <f aca="false">IF($A468="","",원본명단!$D467)</f>
        <v/>
      </c>
      <c r="E468" s="11" t="str">
        <f aca="false">IF($A468="","",IF(원본명단!$H467="",0,COUNTIF(원본명단!$H$3:$H$6002,원본명단!$H467)))</f>
        <v/>
      </c>
      <c r="F468" s="11" t="str">
        <f aca="false">IF($A468="","",IF(원본명단!$I467="",0,COUNTIF(원본명단!$I$3:$I$6002,원본명단!$I467)))</f>
        <v/>
      </c>
      <c r="G468" s="11" t="str">
        <f aca="false">IF($A468="","",IF(원본명단!$K467="",0,COUNTIF(원본명단!$K$3:$K$6002,원본명단!$K467)))</f>
        <v/>
      </c>
      <c r="H468" s="11" t="str">
        <f aca="false">IF($A468="","",IF(MAX($E468,$F468,$G468)&gt;1,"중복","-"))</f>
        <v/>
      </c>
      <c r="I468" s="11" t="str">
        <f aca="false">IF($A468="","",IF($H468="-","-",IF(AND(IF(원본명단!$H467="",TRUE(),COUNTIF(원본명단!$H$3:$H467,원본명단!$H467)=1),IF(원본명단!$I467="",TRUE(),COUNTIF(원본명단!$I$3:$I467,원본명단!$I467)=1),IF(원본명단!$K467="",TRUE(),COUNTIF(원본명단!$K$3:$K467,원본명단!$K467)=1)),"첫 건","중복 건")))</f>
        <v/>
      </c>
      <c r="J468" s="11" t="str">
        <f aca="false">IF($A468="","",IF($H468="-","유지",IF($I468="첫 건","유지","확인 필요")))</f>
        <v/>
      </c>
    </row>
    <row r="469" customFormat="false" ht="15" hidden="false" customHeight="true" outlineLevel="0" collapsed="false">
      <c r="A469" s="11" t="str">
        <f aca="false">IF(원본명단!$A468="","",466)</f>
        <v/>
      </c>
      <c r="B469" s="12" t="str">
        <f aca="false">IF($A469="","",원본명단!$A468)</f>
        <v/>
      </c>
      <c r="C469" s="12" t="str">
        <f aca="false">IF($A469="","",원본명단!$B468)</f>
        <v/>
      </c>
      <c r="D469" s="12" t="str">
        <f aca="false">IF($A469="","",원본명단!$D468)</f>
        <v/>
      </c>
      <c r="E469" s="11" t="str">
        <f aca="false">IF($A469="","",IF(원본명단!$H468="",0,COUNTIF(원본명단!$H$3:$H$6002,원본명단!$H468)))</f>
        <v/>
      </c>
      <c r="F469" s="11" t="str">
        <f aca="false">IF($A469="","",IF(원본명단!$I468="",0,COUNTIF(원본명단!$I$3:$I$6002,원본명단!$I468)))</f>
        <v/>
      </c>
      <c r="G469" s="11" t="str">
        <f aca="false">IF($A469="","",IF(원본명단!$K468="",0,COUNTIF(원본명단!$K$3:$K$6002,원본명단!$K468)))</f>
        <v/>
      </c>
      <c r="H469" s="11" t="str">
        <f aca="false">IF($A469="","",IF(MAX($E469,$F469,$G469)&gt;1,"중복","-"))</f>
        <v/>
      </c>
      <c r="I469" s="11" t="str">
        <f aca="false">IF($A469="","",IF($H469="-","-",IF(AND(IF(원본명단!$H468="",TRUE(),COUNTIF(원본명단!$H$3:$H468,원본명단!$H468)=1),IF(원본명단!$I468="",TRUE(),COUNTIF(원본명단!$I$3:$I468,원본명단!$I468)=1),IF(원본명단!$K468="",TRUE(),COUNTIF(원본명단!$K$3:$K468,원본명단!$K468)=1)),"첫 건","중복 건")))</f>
        <v/>
      </c>
      <c r="J469" s="11" t="str">
        <f aca="false">IF($A469="","",IF($H469="-","유지",IF($I469="첫 건","유지","확인 필요")))</f>
        <v/>
      </c>
    </row>
    <row r="470" customFormat="false" ht="15" hidden="false" customHeight="true" outlineLevel="0" collapsed="false">
      <c r="A470" s="11" t="str">
        <f aca="false">IF(원본명단!$A469="","",467)</f>
        <v/>
      </c>
      <c r="B470" s="12" t="str">
        <f aca="false">IF($A470="","",원본명단!$A469)</f>
        <v/>
      </c>
      <c r="C470" s="12" t="str">
        <f aca="false">IF($A470="","",원본명단!$B469)</f>
        <v/>
      </c>
      <c r="D470" s="12" t="str">
        <f aca="false">IF($A470="","",원본명단!$D469)</f>
        <v/>
      </c>
      <c r="E470" s="11" t="str">
        <f aca="false">IF($A470="","",IF(원본명단!$H469="",0,COUNTIF(원본명단!$H$3:$H$6002,원본명단!$H469)))</f>
        <v/>
      </c>
      <c r="F470" s="11" t="str">
        <f aca="false">IF($A470="","",IF(원본명단!$I469="",0,COUNTIF(원본명단!$I$3:$I$6002,원본명단!$I469)))</f>
        <v/>
      </c>
      <c r="G470" s="11" t="str">
        <f aca="false">IF($A470="","",IF(원본명단!$K469="",0,COUNTIF(원본명단!$K$3:$K$6002,원본명단!$K469)))</f>
        <v/>
      </c>
      <c r="H470" s="11" t="str">
        <f aca="false">IF($A470="","",IF(MAX($E470,$F470,$G470)&gt;1,"중복","-"))</f>
        <v/>
      </c>
      <c r="I470" s="11" t="str">
        <f aca="false">IF($A470="","",IF($H470="-","-",IF(AND(IF(원본명단!$H469="",TRUE(),COUNTIF(원본명단!$H$3:$H469,원본명단!$H469)=1),IF(원본명단!$I469="",TRUE(),COUNTIF(원본명단!$I$3:$I469,원본명단!$I469)=1),IF(원본명단!$K469="",TRUE(),COUNTIF(원본명단!$K$3:$K469,원본명단!$K469)=1)),"첫 건","중복 건")))</f>
        <v/>
      </c>
      <c r="J470" s="11" t="str">
        <f aca="false">IF($A470="","",IF($H470="-","유지",IF($I470="첫 건","유지","확인 필요")))</f>
        <v/>
      </c>
    </row>
    <row r="471" customFormat="false" ht="15" hidden="false" customHeight="true" outlineLevel="0" collapsed="false">
      <c r="A471" s="11" t="str">
        <f aca="false">IF(원본명단!$A470="","",468)</f>
        <v/>
      </c>
      <c r="B471" s="12" t="str">
        <f aca="false">IF($A471="","",원본명단!$A470)</f>
        <v/>
      </c>
      <c r="C471" s="12" t="str">
        <f aca="false">IF($A471="","",원본명단!$B470)</f>
        <v/>
      </c>
      <c r="D471" s="12" t="str">
        <f aca="false">IF($A471="","",원본명단!$D470)</f>
        <v/>
      </c>
      <c r="E471" s="11" t="str">
        <f aca="false">IF($A471="","",IF(원본명단!$H470="",0,COUNTIF(원본명단!$H$3:$H$6002,원본명단!$H470)))</f>
        <v/>
      </c>
      <c r="F471" s="11" t="str">
        <f aca="false">IF($A471="","",IF(원본명단!$I470="",0,COUNTIF(원본명단!$I$3:$I$6002,원본명단!$I470)))</f>
        <v/>
      </c>
      <c r="G471" s="11" t="str">
        <f aca="false">IF($A471="","",IF(원본명단!$K470="",0,COUNTIF(원본명단!$K$3:$K$6002,원본명단!$K470)))</f>
        <v/>
      </c>
      <c r="H471" s="11" t="str">
        <f aca="false">IF($A471="","",IF(MAX($E471,$F471,$G471)&gt;1,"중복","-"))</f>
        <v/>
      </c>
      <c r="I471" s="11" t="str">
        <f aca="false">IF($A471="","",IF($H471="-","-",IF(AND(IF(원본명단!$H470="",TRUE(),COUNTIF(원본명단!$H$3:$H470,원본명단!$H470)=1),IF(원본명단!$I470="",TRUE(),COUNTIF(원본명단!$I$3:$I470,원본명단!$I470)=1),IF(원본명단!$K470="",TRUE(),COUNTIF(원본명단!$K$3:$K470,원본명단!$K470)=1)),"첫 건","중복 건")))</f>
        <v/>
      </c>
      <c r="J471" s="11" t="str">
        <f aca="false">IF($A471="","",IF($H471="-","유지",IF($I471="첫 건","유지","확인 필요")))</f>
        <v/>
      </c>
    </row>
    <row r="472" customFormat="false" ht="15" hidden="false" customHeight="true" outlineLevel="0" collapsed="false">
      <c r="A472" s="11" t="str">
        <f aca="false">IF(원본명단!$A471="","",469)</f>
        <v/>
      </c>
      <c r="B472" s="12" t="str">
        <f aca="false">IF($A472="","",원본명단!$A471)</f>
        <v/>
      </c>
      <c r="C472" s="12" t="str">
        <f aca="false">IF($A472="","",원본명단!$B471)</f>
        <v/>
      </c>
      <c r="D472" s="12" t="str">
        <f aca="false">IF($A472="","",원본명단!$D471)</f>
        <v/>
      </c>
      <c r="E472" s="11" t="str">
        <f aca="false">IF($A472="","",IF(원본명단!$H471="",0,COUNTIF(원본명단!$H$3:$H$6002,원본명단!$H471)))</f>
        <v/>
      </c>
      <c r="F472" s="11" t="str">
        <f aca="false">IF($A472="","",IF(원본명단!$I471="",0,COUNTIF(원본명단!$I$3:$I$6002,원본명단!$I471)))</f>
        <v/>
      </c>
      <c r="G472" s="11" t="str">
        <f aca="false">IF($A472="","",IF(원본명단!$K471="",0,COUNTIF(원본명단!$K$3:$K$6002,원본명단!$K471)))</f>
        <v/>
      </c>
      <c r="H472" s="11" t="str">
        <f aca="false">IF($A472="","",IF(MAX($E472,$F472,$G472)&gt;1,"중복","-"))</f>
        <v/>
      </c>
      <c r="I472" s="11" t="str">
        <f aca="false">IF($A472="","",IF($H472="-","-",IF(AND(IF(원본명단!$H471="",TRUE(),COUNTIF(원본명단!$H$3:$H471,원본명단!$H471)=1),IF(원본명단!$I471="",TRUE(),COUNTIF(원본명단!$I$3:$I471,원본명단!$I471)=1),IF(원본명단!$K471="",TRUE(),COUNTIF(원본명단!$K$3:$K471,원본명단!$K471)=1)),"첫 건","중복 건")))</f>
        <v/>
      </c>
      <c r="J472" s="11" t="str">
        <f aca="false">IF($A472="","",IF($H472="-","유지",IF($I472="첫 건","유지","확인 필요")))</f>
        <v/>
      </c>
    </row>
    <row r="473" customFormat="false" ht="15" hidden="false" customHeight="true" outlineLevel="0" collapsed="false">
      <c r="A473" s="11" t="str">
        <f aca="false">IF(원본명단!$A472="","",470)</f>
        <v/>
      </c>
      <c r="B473" s="12" t="str">
        <f aca="false">IF($A473="","",원본명단!$A472)</f>
        <v/>
      </c>
      <c r="C473" s="12" t="str">
        <f aca="false">IF($A473="","",원본명단!$B472)</f>
        <v/>
      </c>
      <c r="D473" s="12" t="str">
        <f aca="false">IF($A473="","",원본명단!$D472)</f>
        <v/>
      </c>
      <c r="E473" s="11" t="str">
        <f aca="false">IF($A473="","",IF(원본명단!$H472="",0,COUNTIF(원본명단!$H$3:$H$6002,원본명단!$H472)))</f>
        <v/>
      </c>
      <c r="F473" s="11" t="str">
        <f aca="false">IF($A473="","",IF(원본명단!$I472="",0,COUNTIF(원본명단!$I$3:$I$6002,원본명단!$I472)))</f>
        <v/>
      </c>
      <c r="G473" s="11" t="str">
        <f aca="false">IF($A473="","",IF(원본명단!$K472="",0,COUNTIF(원본명단!$K$3:$K$6002,원본명단!$K472)))</f>
        <v/>
      </c>
      <c r="H473" s="11" t="str">
        <f aca="false">IF($A473="","",IF(MAX($E473,$F473,$G473)&gt;1,"중복","-"))</f>
        <v/>
      </c>
      <c r="I473" s="11" t="str">
        <f aca="false">IF($A473="","",IF($H473="-","-",IF(AND(IF(원본명단!$H472="",TRUE(),COUNTIF(원본명단!$H$3:$H472,원본명단!$H472)=1),IF(원본명단!$I472="",TRUE(),COUNTIF(원본명단!$I$3:$I472,원본명단!$I472)=1),IF(원본명단!$K472="",TRUE(),COUNTIF(원본명단!$K$3:$K472,원본명단!$K472)=1)),"첫 건","중복 건")))</f>
        <v/>
      </c>
      <c r="J473" s="11" t="str">
        <f aca="false">IF($A473="","",IF($H473="-","유지",IF($I473="첫 건","유지","확인 필요")))</f>
        <v/>
      </c>
    </row>
    <row r="474" customFormat="false" ht="15" hidden="false" customHeight="true" outlineLevel="0" collapsed="false">
      <c r="A474" s="11" t="str">
        <f aca="false">IF(원본명단!$A473="","",471)</f>
        <v/>
      </c>
      <c r="B474" s="12" t="str">
        <f aca="false">IF($A474="","",원본명단!$A473)</f>
        <v/>
      </c>
      <c r="C474" s="12" t="str">
        <f aca="false">IF($A474="","",원본명단!$B473)</f>
        <v/>
      </c>
      <c r="D474" s="12" t="str">
        <f aca="false">IF($A474="","",원본명단!$D473)</f>
        <v/>
      </c>
      <c r="E474" s="11" t="str">
        <f aca="false">IF($A474="","",IF(원본명단!$H473="",0,COUNTIF(원본명단!$H$3:$H$6002,원본명단!$H473)))</f>
        <v/>
      </c>
      <c r="F474" s="11" t="str">
        <f aca="false">IF($A474="","",IF(원본명단!$I473="",0,COUNTIF(원본명단!$I$3:$I$6002,원본명단!$I473)))</f>
        <v/>
      </c>
      <c r="G474" s="11" t="str">
        <f aca="false">IF($A474="","",IF(원본명단!$K473="",0,COUNTIF(원본명단!$K$3:$K$6002,원본명단!$K473)))</f>
        <v/>
      </c>
      <c r="H474" s="11" t="str">
        <f aca="false">IF($A474="","",IF(MAX($E474,$F474,$G474)&gt;1,"중복","-"))</f>
        <v/>
      </c>
      <c r="I474" s="11" t="str">
        <f aca="false">IF($A474="","",IF($H474="-","-",IF(AND(IF(원본명단!$H473="",TRUE(),COUNTIF(원본명단!$H$3:$H473,원본명단!$H473)=1),IF(원본명단!$I473="",TRUE(),COUNTIF(원본명단!$I$3:$I473,원본명단!$I473)=1),IF(원본명단!$K473="",TRUE(),COUNTIF(원본명단!$K$3:$K473,원본명단!$K473)=1)),"첫 건","중복 건")))</f>
        <v/>
      </c>
      <c r="J474" s="11" t="str">
        <f aca="false">IF($A474="","",IF($H474="-","유지",IF($I474="첫 건","유지","확인 필요")))</f>
        <v/>
      </c>
    </row>
    <row r="475" customFormat="false" ht="15" hidden="false" customHeight="true" outlineLevel="0" collapsed="false">
      <c r="A475" s="11" t="str">
        <f aca="false">IF(원본명단!$A474="","",472)</f>
        <v/>
      </c>
      <c r="B475" s="12" t="str">
        <f aca="false">IF($A475="","",원본명단!$A474)</f>
        <v/>
      </c>
      <c r="C475" s="12" t="str">
        <f aca="false">IF($A475="","",원본명단!$B474)</f>
        <v/>
      </c>
      <c r="D475" s="12" t="str">
        <f aca="false">IF($A475="","",원본명단!$D474)</f>
        <v/>
      </c>
      <c r="E475" s="11" t="str">
        <f aca="false">IF($A475="","",IF(원본명단!$H474="",0,COUNTIF(원본명단!$H$3:$H$6002,원본명단!$H474)))</f>
        <v/>
      </c>
      <c r="F475" s="11" t="str">
        <f aca="false">IF($A475="","",IF(원본명단!$I474="",0,COUNTIF(원본명단!$I$3:$I$6002,원본명단!$I474)))</f>
        <v/>
      </c>
      <c r="G475" s="11" t="str">
        <f aca="false">IF($A475="","",IF(원본명단!$K474="",0,COUNTIF(원본명단!$K$3:$K$6002,원본명단!$K474)))</f>
        <v/>
      </c>
      <c r="H475" s="11" t="str">
        <f aca="false">IF($A475="","",IF(MAX($E475,$F475,$G475)&gt;1,"중복","-"))</f>
        <v/>
      </c>
      <c r="I475" s="11" t="str">
        <f aca="false">IF($A475="","",IF($H475="-","-",IF(AND(IF(원본명단!$H474="",TRUE(),COUNTIF(원본명단!$H$3:$H474,원본명단!$H474)=1),IF(원본명단!$I474="",TRUE(),COUNTIF(원본명단!$I$3:$I474,원본명단!$I474)=1),IF(원본명단!$K474="",TRUE(),COUNTIF(원본명단!$K$3:$K474,원본명단!$K474)=1)),"첫 건","중복 건")))</f>
        <v/>
      </c>
      <c r="J475" s="11" t="str">
        <f aca="false">IF($A475="","",IF($H475="-","유지",IF($I475="첫 건","유지","확인 필요")))</f>
        <v/>
      </c>
    </row>
    <row r="476" customFormat="false" ht="15" hidden="false" customHeight="true" outlineLevel="0" collapsed="false">
      <c r="A476" s="11" t="str">
        <f aca="false">IF(원본명단!$A475="","",473)</f>
        <v/>
      </c>
      <c r="B476" s="12" t="str">
        <f aca="false">IF($A476="","",원본명단!$A475)</f>
        <v/>
      </c>
      <c r="C476" s="12" t="str">
        <f aca="false">IF($A476="","",원본명단!$B475)</f>
        <v/>
      </c>
      <c r="D476" s="12" t="str">
        <f aca="false">IF($A476="","",원본명단!$D475)</f>
        <v/>
      </c>
      <c r="E476" s="11" t="str">
        <f aca="false">IF($A476="","",IF(원본명단!$H475="",0,COUNTIF(원본명단!$H$3:$H$6002,원본명단!$H475)))</f>
        <v/>
      </c>
      <c r="F476" s="11" t="str">
        <f aca="false">IF($A476="","",IF(원본명단!$I475="",0,COUNTIF(원본명단!$I$3:$I$6002,원본명단!$I475)))</f>
        <v/>
      </c>
      <c r="G476" s="11" t="str">
        <f aca="false">IF($A476="","",IF(원본명단!$K475="",0,COUNTIF(원본명단!$K$3:$K$6002,원본명단!$K475)))</f>
        <v/>
      </c>
      <c r="H476" s="11" t="str">
        <f aca="false">IF($A476="","",IF(MAX($E476,$F476,$G476)&gt;1,"중복","-"))</f>
        <v/>
      </c>
      <c r="I476" s="11" t="str">
        <f aca="false">IF($A476="","",IF($H476="-","-",IF(AND(IF(원본명단!$H475="",TRUE(),COUNTIF(원본명단!$H$3:$H475,원본명단!$H475)=1),IF(원본명단!$I475="",TRUE(),COUNTIF(원본명단!$I$3:$I475,원본명단!$I475)=1),IF(원본명단!$K475="",TRUE(),COUNTIF(원본명단!$K$3:$K475,원본명단!$K475)=1)),"첫 건","중복 건")))</f>
        <v/>
      </c>
      <c r="J476" s="11" t="str">
        <f aca="false">IF($A476="","",IF($H476="-","유지",IF($I476="첫 건","유지","확인 필요")))</f>
        <v/>
      </c>
    </row>
    <row r="477" customFormat="false" ht="15" hidden="false" customHeight="true" outlineLevel="0" collapsed="false">
      <c r="A477" s="11" t="str">
        <f aca="false">IF(원본명단!$A476="","",474)</f>
        <v/>
      </c>
      <c r="B477" s="12" t="str">
        <f aca="false">IF($A477="","",원본명단!$A476)</f>
        <v/>
      </c>
      <c r="C477" s="12" t="str">
        <f aca="false">IF($A477="","",원본명단!$B476)</f>
        <v/>
      </c>
      <c r="D477" s="12" t="str">
        <f aca="false">IF($A477="","",원본명단!$D476)</f>
        <v/>
      </c>
      <c r="E477" s="11" t="str">
        <f aca="false">IF($A477="","",IF(원본명단!$H476="",0,COUNTIF(원본명단!$H$3:$H$6002,원본명단!$H476)))</f>
        <v/>
      </c>
      <c r="F477" s="11" t="str">
        <f aca="false">IF($A477="","",IF(원본명단!$I476="",0,COUNTIF(원본명단!$I$3:$I$6002,원본명단!$I476)))</f>
        <v/>
      </c>
      <c r="G477" s="11" t="str">
        <f aca="false">IF($A477="","",IF(원본명단!$K476="",0,COUNTIF(원본명단!$K$3:$K$6002,원본명단!$K476)))</f>
        <v/>
      </c>
      <c r="H477" s="11" t="str">
        <f aca="false">IF($A477="","",IF(MAX($E477,$F477,$G477)&gt;1,"중복","-"))</f>
        <v/>
      </c>
      <c r="I477" s="11" t="str">
        <f aca="false">IF($A477="","",IF($H477="-","-",IF(AND(IF(원본명단!$H476="",TRUE(),COUNTIF(원본명단!$H$3:$H476,원본명단!$H476)=1),IF(원본명단!$I476="",TRUE(),COUNTIF(원본명단!$I$3:$I476,원본명단!$I476)=1),IF(원본명단!$K476="",TRUE(),COUNTIF(원본명단!$K$3:$K476,원본명단!$K476)=1)),"첫 건","중복 건")))</f>
        <v/>
      </c>
      <c r="J477" s="11" t="str">
        <f aca="false">IF($A477="","",IF($H477="-","유지",IF($I477="첫 건","유지","확인 필요")))</f>
        <v/>
      </c>
    </row>
    <row r="478" customFormat="false" ht="15" hidden="false" customHeight="true" outlineLevel="0" collapsed="false">
      <c r="A478" s="11" t="str">
        <f aca="false">IF(원본명단!$A477="","",475)</f>
        <v/>
      </c>
      <c r="B478" s="12" t="str">
        <f aca="false">IF($A478="","",원본명단!$A477)</f>
        <v/>
      </c>
      <c r="C478" s="12" t="str">
        <f aca="false">IF($A478="","",원본명단!$B477)</f>
        <v/>
      </c>
      <c r="D478" s="12" t="str">
        <f aca="false">IF($A478="","",원본명단!$D477)</f>
        <v/>
      </c>
      <c r="E478" s="11" t="str">
        <f aca="false">IF($A478="","",IF(원본명단!$H477="",0,COUNTIF(원본명단!$H$3:$H$6002,원본명단!$H477)))</f>
        <v/>
      </c>
      <c r="F478" s="11" t="str">
        <f aca="false">IF($A478="","",IF(원본명단!$I477="",0,COUNTIF(원본명단!$I$3:$I$6002,원본명단!$I477)))</f>
        <v/>
      </c>
      <c r="G478" s="11" t="str">
        <f aca="false">IF($A478="","",IF(원본명단!$K477="",0,COUNTIF(원본명단!$K$3:$K$6002,원본명단!$K477)))</f>
        <v/>
      </c>
      <c r="H478" s="11" t="str">
        <f aca="false">IF($A478="","",IF(MAX($E478,$F478,$G478)&gt;1,"중복","-"))</f>
        <v/>
      </c>
      <c r="I478" s="11" t="str">
        <f aca="false">IF($A478="","",IF($H478="-","-",IF(AND(IF(원본명단!$H477="",TRUE(),COUNTIF(원본명단!$H$3:$H477,원본명단!$H477)=1),IF(원본명단!$I477="",TRUE(),COUNTIF(원본명단!$I$3:$I477,원본명단!$I477)=1),IF(원본명단!$K477="",TRUE(),COUNTIF(원본명단!$K$3:$K477,원본명단!$K477)=1)),"첫 건","중복 건")))</f>
        <v/>
      </c>
      <c r="J478" s="11" t="str">
        <f aca="false">IF($A478="","",IF($H478="-","유지",IF($I478="첫 건","유지","확인 필요")))</f>
        <v/>
      </c>
    </row>
    <row r="479" customFormat="false" ht="15" hidden="false" customHeight="true" outlineLevel="0" collapsed="false">
      <c r="A479" s="11" t="str">
        <f aca="false">IF(원본명단!$A478="","",476)</f>
        <v/>
      </c>
      <c r="B479" s="12" t="str">
        <f aca="false">IF($A479="","",원본명단!$A478)</f>
        <v/>
      </c>
      <c r="C479" s="12" t="str">
        <f aca="false">IF($A479="","",원본명단!$B478)</f>
        <v/>
      </c>
      <c r="D479" s="12" t="str">
        <f aca="false">IF($A479="","",원본명단!$D478)</f>
        <v/>
      </c>
      <c r="E479" s="11" t="str">
        <f aca="false">IF($A479="","",IF(원본명단!$H478="",0,COUNTIF(원본명단!$H$3:$H$6002,원본명단!$H478)))</f>
        <v/>
      </c>
      <c r="F479" s="11" t="str">
        <f aca="false">IF($A479="","",IF(원본명단!$I478="",0,COUNTIF(원본명단!$I$3:$I$6002,원본명단!$I478)))</f>
        <v/>
      </c>
      <c r="G479" s="11" t="str">
        <f aca="false">IF($A479="","",IF(원본명단!$K478="",0,COUNTIF(원본명단!$K$3:$K$6002,원본명단!$K478)))</f>
        <v/>
      </c>
      <c r="H479" s="11" t="str">
        <f aca="false">IF($A479="","",IF(MAX($E479,$F479,$G479)&gt;1,"중복","-"))</f>
        <v/>
      </c>
      <c r="I479" s="11" t="str">
        <f aca="false">IF($A479="","",IF($H479="-","-",IF(AND(IF(원본명단!$H478="",TRUE(),COUNTIF(원본명단!$H$3:$H478,원본명단!$H478)=1),IF(원본명단!$I478="",TRUE(),COUNTIF(원본명단!$I$3:$I478,원본명단!$I478)=1),IF(원본명단!$K478="",TRUE(),COUNTIF(원본명단!$K$3:$K478,원본명단!$K478)=1)),"첫 건","중복 건")))</f>
        <v/>
      </c>
      <c r="J479" s="11" t="str">
        <f aca="false">IF($A479="","",IF($H479="-","유지",IF($I479="첫 건","유지","확인 필요")))</f>
        <v/>
      </c>
    </row>
    <row r="480" customFormat="false" ht="15" hidden="false" customHeight="true" outlineLevel="0" collapsed="false">
      <c r="A480" s="11" t="str">
        <f aca="false">IF(원본명단!$A479="","",477)</f>
        <v/>
      </c>
      <c r="B480" s="12" t="str">
        <f aca="false">IF($A480="","",원본명단!$A479)</f>
        <v/>
      </c>
      <c r="C480" s="12" t="str">
        <f aca="false">IF($A480="","",원본명단!$B479)</f>
        <v/>
      </c>
      <c r="D480" s="12" t="str">
        <f aca="false">IF($A480="","",원본명단!$D479)</f>
        <v/>
      </c>
      <c r="E480" s="11" t="str">
        <f aca="false">IF($A480="","",IF(원본명단!$H479="",0,COUNTIF(원본명단!$H$3:$H$6002,원본명단!$H479)))</f>
        <v/>
      </c>
      <c r="F480" s="11" t="str">
        <f aca="false">IF($A480="","",IF(원본명단!$I479="",0,COUNTIF(원본명단!$I$3:$I$6002,원본명단!$I479)))</f>
        <v/>
      </c>
      <c r="G480" s="11" t="str">
        <f aca="false">IF($A480="","",IF(원본명단!$K479="",0,COUNTIF(원본명단!$K$3:$K$6002,원본명단!$K479)))</f>
        <v/>
      </c>
      <c r="H480" s="11" t="str">
        <f aca="false">IF($A480="","",IF(MAX($E480,$F480,$G480)&gt;1,"중복","-"))</f>
        <v/>
      </c>
      <c r="I480" s="11" t="str">
        <f aca="false">IF($A480="","",IF($H480="-","-",IF(AND(IF(원본명단!$H479="",TRUE(),COUNTIF(원본명단!$H$3:$H479,원본명단!$H479)=1),IF(원본명단!$I479="",TRUE(),COUNTIF(원본명단!$I$3:$I479,원본명단!$I479)=1),IF(원본명단!$K479="",TRUE(),COUNTIF(원본명단!$K$3:$K479,원본명단!$K479)=1)),"첫 건","중복 건")))</f>
        <v/>
      </c>
      <c r="J480" s="11" t="str">
        <f aca="false">IF($A480="","",IF($H480="-","유지",IF($I480="첫 건","유지","확인 필요")))</f>
        <v/>
      </c>
    </row>
    <row r="481" customFormat="false" ht="15" hidden="false" customHeight="true" outlineLevel="0" collapsed="false">
      <c r="A481" s="11" t="str">
        <f aca="false">IF(원본명단!$A480="","",478)</f>
        <v/>
      </c>
      <c r="B481" s="12" t="str">
        <f aca="false">IF($A481="","",원본명단!$A480)</f>
        <v/>
      </c>
      <c r="C481" s="12" t="str">
        <f aca="false">IF($A481="","",원본명단!$B480)</f>
        <v/>
      </c>
      <c r="D481" s="12" t="str">
        <f aca="false">IF($A481="","",원본명단!$D480)</f>
        <v/>
      </c>
      <c r="E481" s="11" t="str">
        <f aca="false">IF($A481="","",IF(원본명단!$H480="",0,COUNTIF(원본명단!$H$3:$H$6002,원본명단!$H480)))</f>
        <v/>
      </c>
      <c r="F481" s="11" t="str">
        <f aca="false">IF($A481="","",IF(원본명단!$I480="",0,COUNTIF(원본명단!$I$3:$I$6002,원본명단!$I480)))</f>
        <v/>
      </c>
      <c r="G481" s="11" t="str">
        <f aca="false">IF($A481="","",IF(원본명단!$K480="",0,COUNTIF(원본명단!$K$3:$K$6002,원본명단!$K480)))</f>
        <v/>
      </c>
      <c r="H481" s="11" t="str">
        <f aca="false">IF($A481="","",IF(MAX($E481,$F481,$G481)&gt;1,"중복","-"))</f>
        <v/>
      </c>
      <c r="I481" s="11" t="str">
        <f aca="false">IF($A481="","",IF($H481="-","-",IF(AND(IF(원본명단!$H480="",TRUE(),COUNTIF(원본명단!$H$3:$H480,원본명단!$H480)=1),IF(원본명단!$I480="",TRUE(),COUNTIF(원본명단!$I$3:$I480,원본명단!$I480)=1),IF(원본명단!$K480="",TRUE(),COUNTIF(원본명단!$K$3:$K480,원본명단!$K480)=1)),"첫 건","중복 건")))</f>
        <v/>
      </c>
      <c r="J481" s="11" t="str">
        <f aca="false">IF($A481="","",IF($H481="-","유지",IF($I481="첫 건","유지","확인 필요")))</f>
        <v/>
      </c>
    </row>
    <row r="482" customFormat="false" ht="15" hidden="false" customHeight="true" outlineLevel="0" collapsed="false">
      <c r="A482" s="11" t="str">
        <f aca="false">IF(원본명단!$A481="","",479)</f>
        <v/>
      </c>
      <c r="B482" s="12" t="str">
        <f aca="false">IF($A482="","",원본명단!$A481)</f>
        <v/>
      </c>
      <c r="C482" s="12" t="str">
        <f aca="false">IF($A482="","",원본명단!$B481)</f>
        <v/>
      </c>
      <c r="D482" s="12" t="str">
        <f aca="false">IF($A482="","",원본명단!$D481)</f>
        <v/>
      </c>
      <c r="E482" s="11" t="str">
        <f aca="false">IF($A482="","",IF(원본명단!$H481="",0,COUNTIF(원본명단!$H$3:$H$6002,원본명단!$H481)))</f>
        <v/>
      </c>
      <c r="F482" s="11" t="str">
        <f aca="false">IF($A482="","",IF(원본명단!$I481="",0,COUNTIF(원본명단!$I$3:$I$6002,원본명단!$I481)))</f>
        <v/>
      </c>
      <c r="G482" s="11" t="str">
        <f aca="false">IF($A482="","",IF(원본명단!$K481="",0,COUNTIF(원본명단!$K$3:$K$6002,원본명단!$K481)))</f>
        <v/>
      </c>
      <c r="H482" s="11" t="str">
        <f aca="false">IF($A482="","",IF(MAX($E482,$F482,$G482)&gt;1,"중복","-"))</f>
        <v/>
      </c>
      <c r="I482" s="11" t="str">
        <f aca="false">IF($A482="","",IF($H482="-","-",IF(AND(IF(원본명단!$H481="",TRUE(),COUNTIF(원본명단!$H$3:$H481,원본명단!$H481)=1),IF(원본명단!$I481="",TRUE(),COUNTIF(원본명단!$I$3:$I481,원본명단!$I481)=1),IF(원본명단!$K481="",TRUE(),COUNTIF(원본명단!$K$3:$K481,원본명단!$K481)=1)),"첫 건","중복 건")))</f>
        <v/>
      </c>
      <c r="J482" s="11" t="str">
        <f aca="false">IF($A482="","",IF($H482="-","유지",IF($I482="첫 건","유지","확인 필요")))</f>
        <v/>
      </c>
    </row>
    <row r="483" customFormat="false" ht="15" hidden="false" customHeight="true" outlineLevel="0" collapsed="false">
      <c r="A483" s="11" t="str">
        <f aca="false">IF(원본명단!$A482="","",480)</f>
        <v/>
      </c>
      <c r="B483" s="12" t="str">
        <f aca="false">IF($A483="","",원본명단!$A482)</f>
        <v/>
      </c>
      <c r="C483" s="12" t="str">
        <f aca="false">IF($A483="","",원본명단!$B482)</f>
        <v/>
      </c>
      <c r="D483" s="12" t="str">
        <f aca="false">IF($A483="","",원본명단!$D482)</f>
        <v/>
      </c>
      <c r="E483" s="11" t="str">
        <f aca="false">IF($A483="","",IF(원본명단!$H482="",0,COUNTIF(원본명단!$H$3:$H$6002,원본명단!$H482)))</f>
        <v/>
      </c>
      <c r="F483" s="11" t="str">
        <f aca="false">IF($A483="","",IF(원본명단!$I482="",0,COUNTIF(원본명단!$I$3:$I$6002,원본명단!$I482)))</f>
        <v/>
      </c>
      <c r="G483" s="11" t="str">
        <f aca="false">IF($A483="","",IF(원본명단!$K482="",0,COUNTIF(원본명단!$K$3:$K$6002,원본명단!$K482)))</f>
        <v/>
      </c>
      <c r="H483" s="11" t="str">
        <f aca="false">IF($A483="","",IF(MAX($E483,$F483,$G483)&gt;1,"중복","-"))</f>
        <v/>
      </c>
      <c r="I483" s="11" t="str">
        <f aca="false">IF($A483="","",IF($H483="-","-",IF(AND(IF(원본명단!$H482="",TRUE(),COUNTIF(원본명단!$H$3:$H482,원본명단!$H482)=1),IF(원본명단!$I482="",TRUE(),COUNTIF(원본명단!$I$3:$I482,원본명단!$I482)=1),IF(원본명단!$K482="",TRUE(),COUNTIF(원본명단!$K$3:$K482,원본명단!$K482)=1)),"첫 건","중복 건")))</f>
        <v/>
      </c>
      <c r="J483" s="11" t="str">
        <f aca="false">IF($A483="","",IF($H483="-","유지",IF($I483="첫 건","유지","확인 필요")))</f>
        <v/>
      </c>
    </row>
    <row r="484" customFormat="false" ht="15" hidden="false" customHeight="true" outlineLevel="0" collapsed="false">
      <c r="A484" s="11" t="str">
        <f aca="false">IF(원본명단!$A483="","",481)</f>
        <v/>
      </c>
      <c r="B484" s="12" t="str">
        <f aca="false">IF($A484="","",원본명단!$A483)</f>
        <v/>
      </c>
      <c r="C484" s="12" t="str">
        <f aca="false">IF($A484="","",원본명단!$B483)</f>
        <v/>
      </c>
      <c r="D484" s="12" t="str">
        <f aca="false">IF($A484="","",원본명단!$D483)</f>
        <v/>
      </c>
      <c r="E484" s="11" t="str">
        <f aca="false">IF($A484="","",IF(원본명단!$H483="",0,COUNTIF(원본명단!$H$3:$H$6002,원본명단!$H483)))</f>
        <v/>
      </c>
      <c r="F484" s="11" t="str">
        <f aca="false">IF($A484="","",IF(원본명단!$I483="",0,COUNTIF(원본명단!$I$3:$I$6002,원본명단!$I483)))</f>
        <v/>
      </c>
      <c r="G484" s="11" t="str">
        <f aca="false">IF($A484="","",IF(원본명단!$K483="",0,COUNTIF(원본명단!$K$3:$K$6002,원본명단!$K483)))</f>
        <v/>
      </c>
      <c r="H484" s="11" t="str">
        <f aca="false">IF($A484="","",IF(MAX($E484,$F484,$G484)&gt;1,"중복","-"))</f>
        <v/>
      </c>
      <c r="I484" s="11" t="str">
        <f aca="false">IF($A484="","",IF($H484="-","-",IF(AND(IF(원본명단!$H483="",TRUE(),COUNTIF(원본명단!$H$3:$H483,원본명단!$H483)=1),IF(원본명단!$I483="",TRUE(),COUNTIF(원본명단!$I$3:$I483,원본명단!$I483)=1),IF(원본명단!$K483="",TRUE(),COUNTIF(원본명단!$K$3:$K483,원본명단!$K483)=1)),"첫 건","중복 건")))</f>
        <v/>
      </c>
      <c r="J484" s="11" t="str">
        <f aca="false">IF($A484="","",IF($H484="-","유지",IF($I484="첫 건","유지","확인 필요")))</f>
        <v/>
      </c>
    </row>
    <row r="485" customFormat="false" ht="15" hidden="false" customHeight="true" outlineLevel="0" collapsed="false">
      <c r="A485" s="11" t="str">
        <f aca="false">IF(원본명단!$A484="","",482)</f>
        <v/>
      </c>
      <c r="B485" s="12" t="str">
        <f aca="false">IF($A485="","",원본명단!$A484)</f>
        <v/>
      </c>
      <c r="C485" s="12" t="str">
        <f aca="false">IF($A485="","",원본명단!$B484)</f>
        <v/>
      </c>
      <c r="D485" s="12" t="str">
        <f aca="false">IF($A485="","",원본명단!$D484)</f>
        <v/>
      </c>
      <c r="E485" s="11" t="str">
        <f aca="false">IF($A485="","",IF(원본명단!$H484="",0,COUNTIF(원본명단!$H$3:$H$6002,원본명단!$H484)))</f>
        <v/>
      </c>
      <c r="F485" s="11" t="str">
        <f aca="false">IF($A485="","",IF(원본명단!$I484="",0,COUNTIF(원본명단!$I$3:$I$6002,원본명단!$I484)))</f>
        <v/>
      </c>
      <c r="G485" s="11" t="str">
        <f aca="false">IF($A485="","",IF(원본명단!$K484="",0,COUNTIF(원본명단!$K$3:$K$6002,원본명단!$K484)))</f>
        <v/>
      </c>
      <c r="H485" s="11" t="str">
        <f aca="false">IF($A485="","",IF(MAX($E485,$F485,$G485)&gt;1,"중복","-"))</f>
        <v/>
      </c>
      <c r="I485" s="11" t="str">
        <f aca="false">IF($A485="","",IF($H485="-","-",IF(AND(IF(원본명단!$H484="",TRUE(),COUNTIF(원본명단!$H$3:$H484,원본명단!$H484)=1),IF(원본명단!$I484="",TRUE(),COUNTIF(원본명단!$I$3:$I484,원본명단!$I484)=1),IF(원본명단!$K484="",TRUE(),COUNTIF(원본명단!$K$3:$K484,원본명단!$K484)=1)),"첫 건","중복 건")))</f>
        <v/>
      </c>
      <c r="J485" s="11" t="str">
        <f aca="false">IF($A485="","",IF($H485="-","유지",IF($I485="첫 건","유지","확인 필요")))</f>
        <v/>
      </c>
    </row>
    <row r="486" customFormat="false" ht="15" hidden="false" customHeight="true" outlineLevel="0" collapsed="false">
      <c r="A486" s="11" t="str">
        <f aca="false">IF(원본명단!$A485="","",483)</f>
        <v/>
      </c>
      <c r="B486" s="12" t="str">
        <f aca="false">IF($A486="","",원본명단!$A485)</f>
        <v/>
      </c>
      <c r="C486" s="12" t="str">
        <f aca="false">IF($A486="","",원본명단!$B485)</f>
        <v/>
      </c>
      <c r="D486" s="12" t="str">
        <f aca="false">IF($A486="","",원본명단!$D485)</f>
        <v/>
      </c>
      <c r="E486" s="11" t="str">
        <f aca="false">IF($A486="","",IF(원본명단!$H485="",0,COUNTIF(원본명단!$H$3:$H$6002,원본명단!$H485)))</f>
        <v/>
      </c>
      <c r="F486" s="11" t="str">
        <f aca="false">IF($A486="","",IF(원본명단!$I485="",0,COUNTIF(원본명단!$I$3:$I$6002,원본명단!$I485)))</f>
        <v/>
      </c>
      <c r="G486" s="11" t="str">
        <f aca="false">IF($A486="","",IF(원본명단!$K485="",0,COUNTIF(원본명단!$K$3:$K$6002,원본명단!$K485)))</f>
        <v/>
      </c>
      <c r="H486" s="11" t="str">
        <f aca="false">IF($A486="","",IF(MAX($E486,$F486,$G486)&gt;1,"중복","-"))</f>
        <v/>
      </c>
      <c r="I486" s="11" t="str">
        <f aca="false">IF($A486="","",IF($H486="-","-",IF(AND(IF(원본명단!$H485="",TRUE(),COUNTIF(원본명단!$H$3:$H485,원본명단!$H485)=1),IF(원본명단!$I485="",TRUE(),COUNTIF(원본명단!$I$3:$I485,원본명단!$I485)=1),IF(원본명단!$K485="",TRUE(),COUNTIF(원본명단!$K$3:$K485,원본명단!$K485)=1)),"첫 건","중복 건")))</f>
        <v/>
      </c>
      <c r="J486" s="11" t="str">
        <f aca="false">IF($A486="","",IF($H486="-","유지",IF($I486="첫 건","유지","확인 필요")))</f>
        <v/>
      </c>
    </row>
    <row r="487" customFormat="false" ht="15" hidden="false" customHeight="true" outlineLevel="0" collapsed="false">
      <c r="A487" s="11" t="str">
        <f aca="false">IF(원본명단!$A486="","",484)</f>
        <v/>
      </c>
      <c r="B487" s="12" t="str">
        <f aca="false">IF($A487="","",원본명단!$A486)</f>
        <v/>
      </c>
      <c r="C487" s="12" t="str">
        <f aca="false">IF($A487="","",원본명단!$B486)</f>
        <v/>
      </c>
      <c r="D487" s="12" t="str">
        <f aca="false">IF($A487="","",원본명단!$D486)</f>
        <v/>
      </c>
      <c r="E487" s="11" t="str">
        <f aca="false">IF($A487="","",IF(원본명단!$H486="",0,COUNTIF(원본명단!$H$3:$H$6002,원본명단!$H486)))</f>
        <v/>
      </c>
      <c r="F487" s="11" t="str">
        <f aca="false">IF($A487="","",IF(원본명단!$I486="",0,COUNTIF(원본명단!$I$3:$I$6002,원본명단!$I486)))</f>
        <v/>
      </c>
      <c r="G487" s="11" t="str">
        <f aca="false">IF($A487="","",IF(원본명단!$K486="",0,COUNTIF(원본명단!$K$3:$K$6002,원본명단!$K486)))</f>
        <v/>
      </c>
      <c r="H487" s="11" t="str">
        <f aca="false">IF($A487="","",IF(MAX($E487,$F487,$G487)&gt;1,"중복","-"))</f>
        <v/>
      </c>
      <c r="I487" s="11" t="str">
        <f aca="false">IF($A487="","",IF($H487="-","-",IF(AND(IF(원본명단!$H486="",TRUE(),COUNTIF(원본명단!$H$3:$H486,원본명단!$H486)=1),IF(원본명단!$I486="",TRUE(),COUNTIF(원본명단!$I$3:$I486,원본명단!$I486)=1),IF(원본명단!$K486="",TRUE(),COUNTIF(원본명단!$K$3:$K486,원본명단!$K486)=1)),"첫 건","중복 건")))</f>
        <v/>
      </c>
      <c r="J487" s="11" t="str">
        <f aca="false">IF($A487="","",IF($H487="-","유지",IF($I487="첫 건","유지","확인 필요")))</f>
        <v/>
      </c>
    </row>
    <row r="488" customFormat="false" ht="15" hidden="false" customHeight="true" outlineLevel="0" collapsed="false">
      <c r="A488" s="11" t="str">
        <f aca="false">IF(원본명단!$A487="","",485)</f>
        <v/>
      </c>
      <c r="B488" s="12" t="str">
        <f aca="false">IF($A488="","",원본명단!$A487)</f>
        <v/>
      </c>
      <c r="C488" s="12" t="str">
        <f aca="false">IF($A488="","",원본명단!$B487)</f>
        <v/>
      </c>
      <c r="D488" s="12" t="str">
        <f aca="false">IF($A488="","",원본명단!$D487)</f>
        <v/>
      </c>
      <c r="E488" s="11" t="str">
        <f aca="false">IF($A488="","",IF(원본명단!$H487="",0,COUNTIF(원본명단!$H$3:$H$6002,원본명단!$H487)))</f>
        <v/>
      </c>
      <c r="F488" s="11" t="str">
        <f aca="false">IF($A488="","",IF(원본명단!$I487="",0,COUNTIF(원본명단!$I$3:$I$6002,원본명단!$I487)))</f>
        <v/>
      </c>
      <c r="G488" s="11" t="str">
        <f aca="false">IF($A488="","",IF(원본명단!$K487="",0,COUNTIF(원본명단!$K$3:$K$6002,원본명단!$K487)))</f>
        <v/>
      </c>
      <c r="H488" s="11" t="str">
        <f aca="false">IF($A488="","",IF(MAX($E488,$F488,$G488)&gt;1,"중복","-"))</f>
        <v/>
      </c>
      <c r="I488" s="11" t="str">
        <f aca="false">IF($A488="","",IF($H488="-","-",IF(AND(IF(원본명단!$H487="",TRUE(),COUNTIF(원본명단!$H$3:$H487,원본명단!$H487)=1),IF(원본명단!$I487="",TRUE(),COUNTIF(원본명단!$I$3:$I487,원본명단!$I487)=1),IF(원본명단!$K487="",TRUE(),COUNTIF(원본명단!$K$3:$K487,원본명단!$K487)=1)),"첫 건","중복 건")))</f>
        <v/>
      </c>
      <c r="J488" s="11" t="str">
        <f aca="false">IF($A488="","",IF($H488="-","유지",IF($I488="첫 건","유지","확인 필요")))</f>
        <v/>
      </c>
    </row>
    <row r="489" customFormat="false" ht="15" hidden="false" customHeight="true" outlineLevel="0" collapsed="false">
      <c r="A489" s="11" t="str">
        <f aca="false">IF(원본명단!$A488="","",486)</f>
        <v/>
      </c>
      <c r="B489" s="12" t="str">
        <f aca="false">IF($A489="","",원본명단!$A488)</f>
        <v/>
      </c>
      <c r="C489" s="12" t="str">
        <f aca="false">IF($A489="","",원본명단!$B488)</f>
        <v/>
      </c>
      <c r="D489" s="12" t="str">
        <f aca="false">IF($A489="","",원본명단!$D488)</f>
        <v/>
      </c>
      <c r="E489" s="11" t="str">
        <f aca="false">IF($A489="","",IF(원본명단!$H488="",0,COUNTIF(원본명단!$H$3:$H$6002,원본명단!$H488)))</f>
        <v/>
      </c>
      <c r="F489" s="11" t="str">
        <f aca="false">IF($A489="","",IF(원본명단!$I488="",0,COUNTIF(원본명단!$I$3:$I$6002,원본명단!$I488)))</f>
        <v/>
      </c>
      <c r="G489" s="11" t="str">
        <f aca="false">IF($A489="","",IF(원본명단!$K488="",0,COUNTIF(원본명단!$K$3:$K$6002,원본명단!$K488)))</f>
        <v/>
      </c>
      <c r="H489" s="11" t="str">
        <f aca="false">IF($A489="","",IF(MAX($E489,$F489,$G489)&gt;1,"중복","-"))</f>
        <v/>
      </c>
      <c r="I489" s="11" t="str">
        <f aca="false">IF($A489="","",IF($H489="-","-",IF(AND(IF(원본명단!$H488="",TRUE(),COUNTIF(원본명단!$H$3:$H488,원본명단!$H488)=1),IF(원본명단!$I488="",TRUE(),COUNTIF(원본명단!$I$3:$I488,원본명단!$I488)=1),IF(원본명단!$K488="",TRUE(),COUNTIF(원본명단!$K$3:$K488,원본명단!$K488)=1)),"첫 건","중복 건")))</f>
        <v/>
      </c>
      <c r="J489" s="11" t="str">
        <f aca="false">IF($A489="","",IF($H489="-","유지",IF($I489="첫 건","유지","확인 필요")))</f>
        <v/>
      </c>
    </row>
    <row r="490" customFormat="false" ht="15" hidden="false" customHeight="true" outlineLevel="0" collapsed="false">
      <c r="A490" s="11" t="str">
        <f aca="false">IF(원본명단!$A489="","",487)</f>
        <v/>
      </c>
      <c r="B490" s="12" t="str">
        <f aca="false">IF($A490="","",원본명단!$A489)</f>
        <v/>
      </c>
      <c r="C490" s="12" t="str">
        <f aca="false">IF($A490="","",원본명단!$B489)</f>
        <v/>
      </c>
      <c r="D490" s="12" t="str">
        <f aca="false">IF($A490="","",원본명단!$D489)</f>
        <v/>
      </c>
      <c r="E490" s="11" t="str">
        <f aca="false">IF($A490="","",IF(원본명단!$H489="",0,COUNTIF(원본명단!$H$3:$H$6002,원본명단!$H489)))</f>
        <v/>
      </c>
      <c r="F490" s="11" t="str">
        <f aca="false">IF($A490="","",IF(원본명단!$I489="",0,COUNTIF(원본명단!$I$3:$I$6002,원본명단!$I489)))</f>
        <v/>
      </c>
      <c r="G490" s="11" t="str">
        <f aca="false">IF($A490="","",IF(원본명단!$K489="",0,COUNTIF(원본명단!$K$3:$K$6002,원본명단!$K489)))</f>
        <v/>
      </c>
      <c r="H490" s="11" t="str">
        <f aca="false">IF($A490="","",IF(MAX($E490,$F490,$G490)&gt;1,"중복","-"))</f>
        <v/>
      </c>
      <c r="I490" s="11" t="str">
        <f aca="false">IF($A490="","",IF($H490="-","-",IF(AND(IF(원본명단!$H489="",TRUE(),COUNTIF(원본명단!$H$3:$H489,원본명단!$H489)=1),IF(원본명단!$I489="",TRUE(),COUNTIF(원본명단!$I$3:$I489,원본명단!$I489)=1),IF(원본명단!$K489="",TRUE(),COUNTIF(원본명단!$K$3:$K489,원본명단!$K489)=1)),"첫 건","중복 건")))</f>
        <v/>
      </c>
      <c r="J490" s="11" t="str">
        <f aca="false">IF($A490="","",IF($H490="-","유지",IF($I490="첫 건","유지","확인 필요")))</f>
        <v/>
      </c>
    </row>
    <row r="491" customFormat="false" ht="15" hidden="false" customHeight="true" outlineLevel="0" collapsed="false">
      <c r="A491" s="11" t="str">
        <f aca="false">IF(원본명단!$A490="","",488)</f>
        <v/>
      </c>
      <c r="B491" s="12" t="str">
        <f aca="false">IF($A491="","",원본명단!$A490)</f>
        <v/>
      </c>
      <c r="C491" s="12" t="str">
        <f aca="false">IF($A491="","",원본명단!$B490)</f>
        <v/>
      </c>
      <c r="D491" s="12" t="str">
        <f aca="false">IF($A491="","",원본명단!$D490)</f>
        <v/>
      </c>
      <c r="E491" s="11" t="str">
        <f aca="false">IF($A491="","",IF(원본명단!$H490="",0,COUNTIF(원본명단!$H$3:$H$6002,원본명단!$H490)))</f>
        <v/>
      </c>
      <c r="F491" s="11" t="str">
        <f aca="false">IF($A491="","",IF(원본명단!$I490="",0,COUNTIF(원본명단!$I$3:$I$6002,원본명단!$I490)))</f>
        <v/>
      </c>
      <c r="G491" s="11" t="str">
        <f aca="false">IF($A491="","",IF(원본명단!$K490="",0,COUNTIF(원본명단!$K$3:$K$6002,원본명단!$K490)))</f>
        <v/>
      </c>
      <c r="H491" s="11" t="str">
        <f aca="false">IF($A491="","",IF(MAX($E491,$F491,$G491)&gt;1,"중복","-"))</f>
        <v/>
      </c>
      <c r="I491" s="11" t="str">
        <f aca="false">IF($A491="","",IF($H491="-","-",IF(AND(IF(원본명단!$H490="",TRUE(),COUNTIF(원본명단!$H$3:$H490,원본명단!$H490)=1),IF(원본명단!$I490="",TRUE(),COUNTIF(원본명단!$I$3:$I490,원본명단!$I490)=1),IF(원본명단!$K490="",TRUE(),COUNTIF(원본명단!$K$3:$K490,원본명단!$K490)=1)),"첫 건","중복 건")))</f>
        <v/>
      </c>
      <c r="J491" s="11" t="str">
        <f aca="false">IF($A491="","",IF($H491="-","유지",IF($I491="첫 건","유지","확인 필요")))</f>
        <v/>
      </c>
    </row>
    <row r="492" customFormat="false" ht="15" hidden="false" customHeight="true" outlineLevel="0" collapsed="false">
      <c r="A492" s="11" t="str">
        <f aca="false">IF(원본명단!$A491="","",489)</f>
        <v/>
      </c>
      <c r="B492" s="12" t="str">
        <f aca="false">IF($A492="","",원본명단!$A491)</f>
        <v/>
      </c>
      <c r="C492" s="12" t="str">
        <f aca="false">IF($A492="","",원본명단!$B491)</f>
        <v/>
      </c>
      <c r="D492" s="12" t="str">
        <f aca="false">IF($A492="","",원본명단!$D491)</f>
        <v/>
      </c>
      <c r="E492" s="11" t="str">
        <f aca="false">IF($A492="","",IF(원본명단!$H491="",0,COUNTIF(원본명단!$H$3:$H$6002,원본명단!$H491)))</f>
        <v/>
      </c>
      <c r="F492" s="11" t="str">
        <f aca="false">IF($A492="","",IF(원본명단!$I491="",0,COUNTIF(원본명단!$I$3:$I$6002,원본명단!$I491)))</f>
        <v/>
      </c>
      <c r="G492" s="11" t="str">
        <f aca="false">IF($A492="","",IF(원본명단!$K491="",0,COUNTIF(원본명단!$K$3:$K$6002,원본명단!$K491)))</f>
        <v/>
      </c>
      <c r="H492" s="11" t="str">
        <f aca="false">IF($A492="","",IF(MAX($E492,$F492,$G492)&gt;1,"중복","-"))</f>
        <v/>
      </c>
      <c r="I492" s="11" t="str">
        <f aca="false">IF($A492="","",IF($H492="-","-",IF(AND(IF(원본명단!$H491="",TRUE(),COUNTIF(원본명단!$H$3:$H491,원본명단!$H491)=1),IF(원본명단!$I491="",TRUE(),COUNTIF(원본명단!$I$3:$I491,원본명단!$I491)=1),IF(원본명단!$K491="",TRUE(),COUNTIF(원본명단!$K$3:$K491,원본명단!$K491)=1)),"첫 건","중복 건")))</f>
        <v/>
      </c>
      <c r="J492" s="11" t="str">
        <f aca="false">IF($A492="","",IF($H492="-","유지",IF($I492="첫 건","유지","확인 필요")))</f>
        <v/>
      </c>
    </row>
    <row r="493" customFormat="false" ht="15" hidden="false" customHeight="true" outlineLevel="0" collapsed="false">
      <c r="A493" s="11" t="str">
        <f aca="false">IF(원본명단!$A492="","",490)</f>
        <v/>
      </c>
      <c r="B493" s="12" t="str">
        <f aca="false">IF($A493="","",원본명단!$A492)</f>
        <v/>
      </c>
      <c r="C493" s="12" t="str">
        <f aca="false">IF($A493="","",원본명단!$B492)</f>
        <v/>
      </c>
      <c r="D493" s="12" t="str">
        <f aca="false">IF($A493="","",원본명단!$D492)</f>
        <v/>
      </c>
      <c r="E493" s="11" t="str">
        <f aca="false">IF($A493="","",IF(원본명단!$H492="",0,COUNTIF(원본명단!$H$3:$H$6002,원본명단!$H492)))</f>
        <v/>
      </c>
      <c r="F493" s="11" t="str">
        <f aca="false">IF($A493="","",IF(원본명단!$I492="",0,COUNTIF(원본명단!$I$3:$I$6002,원본명단!$I492)))</f>
        <v/>
      </c>
      <c r="G493" s="11" t="str">
        <f aca="false">IF($A493="","",IF(원본명단!$K492="",0,COUNTIF(원본명단!$K$3:$K$6002,원본명단!$K492)))</f>
        <v/>
      </c>
      <c r="H493" s="11" t="str">
        <f aca="false">IF($A493="","",IF(MAX($E493,$F493,$G493)&gt;1,"중복","-"))</f>
        <v/>
      </c>
      <c r="I493" s="11" t="str">
        <f aca="false">IF($A493="","",IF($H493="-","-",IF(AND(IF(원본명단!$H492="",TRUE(),COUNTIF(원본명단!$H$3:$H492,원본명단!$H492)=1),IF(원본명단!$I492="",TRUE(),COUNTIF(원본명단!$I$3:$I492,원본명단!$I492)=1),IF(원본명단!$K492="",TRUE(),COUNTIF(원본명단!$K$3:$K492,원본명단!$K492)=1)),"첫 건","중복 건")))</f>
        <v/>
      </c>
      <c r="J493" s="11" t="str">
        <f aca="false">IF($A493="","",IF($H493="-","유지",IF($I493="첫 건","유지","확인 필요")))</f>
        <v/>
      </c>
    </row>
    <row r="494" customFormat="false" ht="15" hidden="false" customHeight="true" outlineLevel="0" collapsed="false">
      <c r="A494" s="11" t="str">
        <f aca="false">IF(원본명단!$A493="","",491)</f>
        <v/>
      </c>
      <c r="B494" s="12" t="str">
        <f aca="false">IF($A494="","",원본명단!$A493)</f>
        <v/>
      </c>
      <c r="C494" s="12" t="str">
        <f aca="false">IF($A494="","",원본명단!$B493)</f>
        <v/>
      </c>
      <c r="D494" s="12" t="str">
        <f aca="false">IF($A494="","",원본명단!$D493)</f>
        <v/>
      </c>
      <c r="E494" s="11" t="str">
        <f aca="false">IF($A494="","",IF(원본명단!$H493="",0,COUNTIF(원본명단!$H$3:$H$6002,원본명단!$H493)))</f>
        <v/>
      </c>
      <c r="F494" s="11" t="str">
        <f aca="false">IF($A494="","",IF(원본명단!$I493="",0,COUNTIF(원본명단!$I$3:$I$6002,원본명단!$I493)))</f>
        <v/>
      </c>
      <c r="G494" s="11" t="str">
        <f aca="false">IF($A494="","",IF(원본명단!$K493="",0,COUNTIF(원본명단!$K$3:$K$6002,원본명단!$K493)))</f>
        <v/>
      </c>
      <c r="H494" s="11" t="str">
        <f aca="false">IF($A494="","",IF(MAX($E494,$F494,$G494)&gt;1,"중복","-"))</f>
        <v/>
      </c>
      <c r="I494" s="11" t="str">
        <f aca="false">IF($A494="","",IF($H494="-","-",IF(AND(IF(원본명단!$H493="",TRUE(),COUNTIF(원본명단!$H$3:$H493,원본명단!$H493)=1),IF(원본명단!$I493="",TRUE(),COUNTIF(원본명단!$I$3:$I493,원본명단!$I493)=1),IF(원본명단!$K493="",TRUE(),COUNTIF(원본명단!$K$3:$K493,원본명단!$K493)=1)),"첫 건","중복 건")))</f>
        <v/>
      </c>
      <c r="J494" s="11" t="str">
        <f aca="false">IF($A494="","",IF($H494="-","유지",IF($I494="첫 건","유지","확인 필요")))</f>
        <v/>
      </c>
    </row>
    <row r="495" customFormat="false" ht="15" hidden="false" customHeight="true" outlineLevel="0" collapsed="false">
      <c r="A495" s="11" t="str">
        <f aca="false">IF(원본명단!$A494="","",492)</f>
        <v/>
      </c>
      <c r="B495" s="12" t="str">
        <f aca="false">IF($A495="","",원본명단!$A494)</f>
        <v/>
      </c>
      <c r="C495" s="12" t="str">
        <f aca="false">IF($A495="","",원본명단!$B494)</f>
        <v/>
      </c>
      <c r="D495" s="12" t="str">
        <f aca="false">IF($A495="","",원본명단!$D494)</f>
        <v/>
      </c>
      <c r="E495" s="11" t="str">
        <f aca="false">IF($A495="","",IF(원본명단!$H494="",0,COUNTIF(원본명단!$H$3:$H$6002,원본명단!$H494)))</f>
        <v/>
      </c>
      <c r="F495" s="11" t="str">
        <f aca="false">IF($A495="","",IF(원본명단!$I494="",0,COUNTIF(원본명단!$I$3:$I$6002,원본명단!$I494)))</f>
        <v/>
      </c>
      <c r="G495" s="11" t="str">
        <f aca="false">IF($A495="","",IF(원본명단!$K494="",0,COUNTIF(원본명단!$K$3:$K$6002,원본명단!$K494)))</f>
        <v/>
      </c>
      <c r="H495" s="11" t="str">
        <f aca="false">IF($A495="","",IF(MAX($E495,$F495,$G495)&gt;1,"중복","-"))</f>
        <v/>
      </c>
      <c r="I495" s="11" t="str">
        <f aca="false">IF($A495="","",IF($H495="-","-",IF(AND(IF(원본명단!$H494="",TRUE(),COUNTIF(원본명단!$H$3:$H494,원본명단!$H494)=1),IF(원본명단!$I494="",TRUE(),COUNTIF(원본명단!$I$3:$I494,원본명단!$I494)=1),IF(원본명단!$K494="",TRUE(),COUNTIF(원본명단!$K$3:$K494,원본명단!$K494)=1)),"첫 건","중복 건")))</f>
        <v/>
      </c>
      <c r="J495" s="11" t="str">
        <f aca="false">IF($A495="","",IF($H495="-","유지",IF($I495="첫 건","유지","확인 필요")))</f>
        <v/>
      </c>
    </row>
    <row r="496" customFormat="false" ht="15" hidden="false" customHeight="true" outlineLevel="0" collapsed="false">
      <c r="A496" s="11" t="str">
        <f aca="false">IF(원본명단!$A495="","",493)</f>
        <v/>
      </c>
      <c r="B496" s="12" t="str">
        <f aca="false">IF($A496="","",원본명단!$A495)</f>
        <v/>
      </c>
      <c r="C496" s="12" t="str">
        <f aca="false">IF($A496="","",원본명단!$B495)</f>
        <v/>
      </c>
      <c r="D496" s="12" t="str">
        <f aca="false">IF($A496="","",원본명단!$D495)</f>
        <v/>
      </c>
      <c r="E496" s="11" t="str">
        <f aca="false">IF($A496="","",IF(원본명단!$H495="",0,COUNTIF(원본명단!$H$3:$H$6002,원본명단!$H495)))</f>
        <v/>
      </c>
      <c r="F496" s="11" t="str">
        <f aca="false">IF($A496="","",IF(원본명단!$I495="",0,COUNTIF(원본명단!$I$3:$I$6002,원본명단!$I495)))</f>
        <v/>
      </c>
      <c r="G496" s="11" t="str">
        <f aca="false">IF($A496="","",IF(원본명단!$K495="",0,COUNTIF(원본명단!$K$3:$K$6002,원본명단!$K495)))</f>
        <v/>
      </c>
      <c r="H496" s="11" t="str">
        <f aca="false">IF($A496="","",IF(MAX($E496,$F496,$G496)&gt;1,"중복","-"))</f>
        <v/>
      </c>
      <c r="I496" s="11" t="str">
        <f aca="false">IF($A496="","",IF($H496="-","-",IF(AND(IF(원본명단!$H495="",TRUE(),COUNTIF(원본명단!$H$3:$H495,원본명단!$H495)=1),IF(원본명단!$I495="",TRUE(),COUNTIF(원본명단!$I$3:$I495,원본명단!$I495)=1),IF(원본명단!$K495="",TRUE(),COUNTIF(원본명단!$K$3:$K495,원본명단!$K495)=1)),"첫 건","중복 건")))</f>
        <v/>
      </c>
      <c r="J496" s="11" t="str">
        <f aca="false">IF($A496="","",IF($H496="-","유지",IF($I496="첫 건","유지","확인 필요")))</f>
        <v/>
      </c>
    </row>
    <row r="497" customFormat="false" ht="15" hidden="false" customHeight="true" outlineLevel="0" collapsed="false">
      <c r="A497" s="11" t="str">
        <f aca="false">IF(원본명단!$A496="","",494)</f>
        <v/>
      </c>
      <c r="B497" s="12" t="str">
        <f aca="false">IF($A497="","",원본명단!$A496)</f>
        <v/>
      </c>
      <c r="C497" s="12" t="str">
        <f aca="false">IF($A497="","",원본명단!$B496)</f>
        <v/>
      </c>
      <c r="D497" s="12" t="str">
        <f aca="false">IF($A497="","",원본명단!$D496)</f>
        <v/>
      </c>
      <c r="E497" s="11" t="str">
        <f aca="false">IF($A497="","",IF(원본명단!$H496="",0,COUNTIF(원본명단!$H$3:$H$6002,원본명단!$H496)))</f>
        <v/>
      </c>
      <c r="F497" s="11" t="str">
        <f aca="false">IF($A497="","",IF(원본명단!$I496="",0,COUNTIF(원본명단!$I$3:$I$6002,원본명단!$I496)))</f>
        <v/>
      </c>
      <c r="G497" s="11" t="str">
        <f aca="false">IF($A497="","",IF(원본명단!$K496="",0,COUNTIF(원본명단!$K$3:$K$6002,원본명단!$K496)))</f>
        <v/>
      </c>
      <c r="H497" s="11" t="str">
        <f aca="false">IF($A497="","",IF(MAX($E497,$F497,$G497)&gt;1,"중복","-"))</f>
        <v/>
      </c>
      <c r="I497" s="11" t="str">
        <f aca="false">IF($A497="","",IF($H497="-","-",IF(AND(IF(원본명단!$H496="",TRUE(),COUNTIF(원본명단!$H$3:$H496,원본명단!$H496)=1),IF(원본명단!$I496="",TRUE(),COUNTIF(원본명단!$I$3:$I496,원본명단!$I496)=1),IF(원본명단!$K496="",TRUE(),COUNTIF(원본명단!$K$3:$K496,원본명단!$K496)=1)),"첫 건","중복 건")))</f>
        <v/>
      </c>
      <c r="J497" s="11" t="str">
        <f aca="false">IF($A497="","",IF($H497="-","유지",IF($I497="첫 건","유지","확인 필요")))</f>
        <v/>
      </c>
    </row>
    <row r="498" customFormat="false" ht="15" hidden="false" customHeight="true" outlineLevel="0" collapsed="false">
      <c r="A498" s="11" t="str">
        <f aca="false">IF(원본명단!$A497="","",495)</f>
        <v/>
      </c>
      <c r="B498" s="12" t="str">
        <f aca="false">IF($A498="","",원본명단!$A497)</f>
        <v/>
      </c>
      <c r="C498" s="12" t="str">
        <f aca="false">IF($A498="","",원본명단!$B497)</f>
        <v/>
      </c>
      <c r="D498" s="12" t="str">
        <f aca="false">IF($A498="","",원본명단!$D497)</f>
        <v/>
      </c>
      <c r="E498" s="11" t="str">
        <f aca="false">IF($A498="","",IF(원본명단!$H497="",0,COUNTIF(원본명단!$H$3:$H$6002,원본명단!$H497)))</f>
        <v/>
      </c>
      <c r="F498" s="11" t="str">
        <f aca="false">IF($A498="","",IF(원본명단!$I497="",0,COUNTIF(원본명단!$I$3:$I$6002,원본명단!$I497)))</f>
        <v/>
      </c>
      <c r="G498" s="11" t="str">
        <f aca="false">IF($A498="","",IF(원본명단!$K497="",0,COUNTIF(원본명단!$K$3:$K$6002,원본명단!$K497)))</f>
        <v/>
      </c>
      <c r="H498" s="11" t="str">
        <f aca="false">IF($A498="","",IF(MAX($E498,$F498,$G498)&gt;1,"중복","-"))</f>
        <v/>
      </c>
      <c r="I498" s="11" t="str">
        <f aca="false">IF($A498="","",IF($H498="-","-",IF(AND(IF(원본명단!$H497="",TRUE(),COUNTIF(원본명단!$H$3:$H497,원본명단!$H497)=1),IF(원본명단!$I497="",TRUE(),COUNTIF(원본명단!$I$3:$I497,원본명단!$I497)=1),IF(원본명단!$K497="",TRUE(),COUNTIF(원본명단!$K$3:$K497,원본명단!$K497)=1)),"첫 건","중복 건")))</f>
        <v/>
      </c>
      <c r="J498" s="11" t="str">
        <f aca="false">IF($A498="","",IF($H498="-","유지",IF($I498="첫 건","유지","확인 필요")))</f>
        <v/>
      </c>
    </row>
    <row r="499" customFormat="false" ht="15" hidden="false" customHeight="true" outlineLevel="0" collapsed="false">
      <c r="A499" s="11" t="str">
        <f aca="false">IF(원본명단!$A498="","",496)</f>
        <v/>
      </c>
      <c r="B499" s="12" t="str">
        <f aca="false">IF($A499="","",원본명단!$A498)</f>
        <v/>
      </c>
      <c r="C499" s="12" t="str">
        <f aca="false">IF($A499="","",원본명단!$B498)</f>
        <v/>
      </c>
      <c r="D499" s="12" t="str">
        <f aca="false">IF($A499="","",원본명단!$D498)</f>
        <v/>
      </c>
      <c r="E499" s="11" t="str">
        <f aca="false">IF($A499="","",IF(원본명단!$H498="",0,COUNTIF(원본명단!$H$3:$H$6002,원본명단!$H498)))</f>
        <v/>
      </c>
      <c r="F499" s="11" t="str">
        <f aca="false">IF($A499="","",IF(원본명단!$I498="",0,COUNTIF(원본명단!$I$3:$I$6002,원본명단!$I498)))</f>
        <v/>
      </c>
      <c r="G499" s="11" t="str">
        <f aca="false">IF($A499="","",IF(원본명단!$K498="",0,COUNTIF(원본명단!$K$3:$K$6002,원본명단!$K498)))</f>
        <v/>
      </c>
      <c r="H499" s="11" t="str">
        <f aca="false">IF($A499="","",IF(MAX($E499,$F499,$G499)&gt;1,"중복","-"))</f>
        <v/>
      </c>
      <c r="I499" s="11" t="str">
        <f aca="false">IF($A499="","",IF($H499="-","-",IF(AND(IF(원본명단!$H498="",TRUE(),COUNTIF(원본명단!$H$3:$H498,원본명단!$H498)=1),IF(원본명단!$I498="",TRUE(),COUNTIF(원본명단!$I$3:$I498,원본명단!$I498)=1),IF(원본명단!$K498="",TRUE(),COUNTIF(원본명단!$K$3:$K498,원본명단!$K498)=1)),"첫 건","중복 건")))</f>
        <v/>
      </c>
      <c r="J499" s="11" t="str">
        <f aca="false">IF($A499="","",IF($H499="-","유지",IF($I499="첫 건","유지","확인 필요")))</f>
        <v/>
      </c>
    </row>
    <row r="500" customFormat="false" ht="15" hidden="false" customHeight="true" outlineLevel="0" collapsed="false">
      <c r="A500" s="11" t="str">
        <f aca="false">IF(원본명단!$A499="","",497)</f>
        <v/>
      </c>
      <c r="B500" s="12" t="str">
        <f aca="false">IF($A500="","",원본명단!$A499)</f>
        <v/>
      </c>
      <c r="C500" s="12" t="str">
        <f aca="false">IF($A500="","",원본명단!$B499)</f>
        <v/>
      </c>
      <c r="D500" s="12" t="str">
        <f aca="false">IF($A500="","",원본명단!$D499)</f>
        <v/>
      </c>
      <c r="E500" s="11" t="str">
        <f aca="false">IF($A500="","",IF(원본명단!$H499="",0,COUNTIF(원본명단!$H$3:$H$6002,원본명단!$H499)))</f>
        <v/>
      </c>
      <c r="F500" s="11" t="str">
        <f aca="false">IF($A500="","",IF(원본명단!$I499="",0,COUNTIF(원본명단!$I$3:$I$6002,원본명단!$I499)))</f>
        <v/>
      </c>
      <c r="G500" s="11" t="str">
        <f aca="false">IF($A500="","",IF(원본명단!$K499="",0,COUNTIF(원본명단!$K$3:$K$6002,원본명단!$K499)))</f>
        <v/>
      </c>
      <c r="H500" s="11" t="str">
        <f aca="false">IF($A500="","",IF(MAX($E500,$F500,$G500)&gt;1,"중복","-"))</f>
        <v/>
      </c>
      <c r="I500" s="11" t="str">
        <f aca="false">IF($A500="","",IF($H500="-","-",IF(AND(IF(원본명단!$H499="",TRUE(),COUNTIF(원본명단!$H$3:$H499,원본명단!$H499)=1),IF(원본명단!$I499="",TRUE(),COUNTIF(원본명단!$I$3:$I499,원본명단!$I499)=1),IF(원본명단!$K499="",TRUE(),COUNTIF(원본명단!$K$3:$K499,원본명단!$K499)=1)),"첫 건","중복 건")))</f>
        <v/>
      </c>
      <c r="J500" s="11" t="str">
        <f aca="false">IF($A500="","",IF($H500="-","유지",IF($I500="첫 건","유지","확인 필요")))</f>
        <v/>
      </c>
    </row>
    <row r="501" customFormat="false" ht="15" hidden="false" customHeight="true" outlineLevel="0" collapsed="false">
      <c r="A501" s="11" t="str">
        <f aca="false">IF(원본명단!$A500="","",498)</f>
        <v/>
      </c>
      <c r="B501" s="12" t="str">
        <f aca="false">IF($A501="","",원본명단!$A500)</f>
        <v/>
      </c>
      <c r="C501" s="12" t="str">
        <f aca="false">IF($A501="","",원본명단!$B500)</f>
        <v/>
      </c>
      <c r="D501" s="12" t="str">
        <f aca="false">IF($A501="","",원본명단!$D500)</f>
        <v/>
      </c>
      <c r="E501" s="11" t="str">
        <f aca="false">IF($A501="","",IF(원본명단!$H500="",0,COUNTIF(원본명단!$H$3:$H$6002,원본명단!$H500)))</f>
        <v/>
      </c>
      <c r="F501" s="11" t="str">
        <f aca="false">IF($A501="","",IF(원본명단!$I500="",0,COUNTIF(원본명단!$I$3:$I$6002,원본명단!$I500)))</f>
        <v/>
      </c>
      <c r="G501" s="11" t="str">
        <f aca="false">IF($A501="","",IF(원본명단!$K500="",0,COUNTIF(원본명단!$K$3:$K$6002,원본명단!$K500)))</f>
        <v/>
      </c>
      <c r="H501" s="11" t="str">
        <f aca="false">IF($A501="","",IF(MAX($E501,$F501,$G501)&gt;1,"중복","-"))</f>
        <v/>
      </c>
      <c r="I501" s="11" t="str">
        <f aca="false">IF($A501="","",IF($H501="-","-",IF(AND(IF(원본명단!$H500="",TRUE(),COUNTIF(원본명단!$H$3:$H500,원본명단!$H500)=1),IF(원본명단!$I500="",TRUE(),COUNTIF(원본명단!$I$3:$I500,원본명단!$I500)=1),IF(원본명단!$K500="",TRUE(),COUNTIF(원본명단!$K$3:$K500,원본명단!$K500)=1)),"첫 건","중복 건")))</f>
        <v/>
      </c>
      <c r="J501" s="11" t="str">
        <f aca="false">IF($A501="","",IF($H501="-","유지",IF($I501="첫 건","유지","확인 필요")))</f>
        <v/>
      </c>
    </row>
    <row r="502" customFormat="false" ht="15" hidden="false" customHeight="true" outlineLevel="0" collapsed="false">
      <c r="A502" s="11" t="str">
        <f aca="false">IF(원본명단!$A501="","",499)</f>
        <v/>
      </c>
      <c r="B502" s="12" t="str">
        <f aca="false">IF($A502="","",원본명단!$A501)</f>
        <v/>
      </c>
      <c r="C502" s="12" t="str">
        <f aca="false">IF($A502="","",원본명단!$B501)</f>
        <v/>
      </c>
      <c r="D502" s="12" t="str">
        <f aca="false">IF($A502="","",원본명단!$D501)</f>
        <v/>
      </c>
      <c r="E502" s="11" t="str">
        <f aca="false">IF($A502="","",IF(원본명단!$H501="",0,COUNTIF(원본명단!$H$3:$H$6002,원본명단!$H501)))</f>
        <v/>
      </c>
      <c r="F502" s="11" t="str">
        <f aca="false">IF($A502="","",IF(원본명단!$I501="",0,COUNTIF(원본명단!$I$3:$I$6002,원본명단!$I501)))</f>
        <v/>
      </c>
      <c r="G502" s="11" t="str">
        <f aca="false">IF($A502="","",IF(원본명단!$K501="",0,COUNTIF(원본명단!$K$3:$K$6002,원본명단!$K501)))</f>
        <v/>
      </c>
      <c r="H502" s="11" t="str">
        <f aca="false">IF($A502="","",IF(MAX($E502,$F502,$G502)&gt;1,"중복","-"))</f>
        <v/>
      </c>
      <c r="I502" s="11" t="str">
        <f aca="false">IF($A502="","",IF($H502="-","-",IF(AND(IF(원본명단!$H501="",TRUE(),COUNTIF(원본명단!$H$3:$H501,원본명단!$H501)=1),IF(원본명단!$I501="",TRUE(),COUNTIF(원본명단!$I$3:$I501,원본명단!$I501)=1),IF(원본명단!$K501="",TRUE(),COUNTIF(원본명단!$K$3:$K501,원본명단!$K501)=1)),"첫 건","중복 건")))</f>
        <v/>
      </c>
      <c r="J502" s="11" t="str">
        <f aca="false">IF($A502="","",IF($H502="-","유지",IF($I502="첫 건","유지","확인 필요")))</f>
        <v/>
      </c>
    </row>
    <row r="503" customFormat="false" ht="15" hidden="false" customHeight="true" outlineLevel="0" collapsed="false">
      <c r="A503" s="11" t="str">
        <f aca="false">IF(원본명단!$A502="","",500)</f>
        <v/>
      </c>
      <c r="B503" s="12" t="str">
        <f aca="false">IF($A503="","",원본명단!$A502)</f>
        <v/>
      </c>
      <c r="C503" s="12" t="str">
        <f aca="false">IF($A503="","",원본명단!$B502)</f>
        <v/>
      </c>
      <c r="D503" s="12" t="str">
        <f aca="false">IF($A503="","",원본명단!$D502)</f>
        <v/>
      </c>
      <c r="E503" s="11" t="str">
        <f aca="false">IF($A503="","",IF(원본명단!$H502="",0,COUNTIF(원본명단!$H$3:$H$6002,원본명단!$H502)))</f>
        <v/>
      </c>
      <c r="F503" s="11" t="str">
        <f aca="false">IF($A503="","",IF(원본명단!$I502="",0,COUNTIF(원본명단!$I$3:$I$6002,원본명단!$I502)))</f>
        <v/>
      </c>
      <c r="G503" s="11" t="str">
        <f aca="false">IF($A503="","",IF(원본명단!$K502="",0,COUNTIF(원본명단!$K$3:$K$6002,원본명단!$K502)))</f>
        <v/>
      </c>
      <c r="H503" s="11" t="str">
        <f aca="false">IF($A503="","",IF(MAX($E503,$F503,$G503)&gt;1,"중복","-"))</f>
        <v/>
      </c>
      <c r="I503" s="11" t="str">
        <f aca="false">IF($A503="","",IF($H503="-","-",IF(AND(IF(원본명단!$H502="",TRUE(),COUNTIF(원본명단!$H$3:$H502,원본명단!$H502)=1),IF(원본명단!$I502="",TRUE(),COUNTIF(원본명단!$I$3:$I502,원본명단!$I502)=1),IF(원본명단!$K502="",TRUE(),COUNTIF(원본명단!$K$3:$K502,원본명단!$K502)=1)),"첫 건","중복 건")))</f>
        <v/>
      </c>
      <c r="J503" s="11" t="str">
        <f aca="false">IF($A503="","",IF($H503="-","유지",IF($I503="첫 건","유지","확인 필요")))</f>
        <v/>
      </c>
    </row>
    <row r="504" customFormat="false" ht="15" hidden="false" customHeight="true" outlineLevel="0" collapsed="false">
      <c r="A504" s="11" t="str">
        <f aca="false">IF(원본명단!$A503="","",501)</f>
        <v/>
      </c>
      <c r="B504" s="12" t="str">
        <f aca="false">IF($A504="","",원본명단!$A503)</f>
        <v/>
      </c>
      <c r="C504" s="12" t="str">
        <f aca="false">IF($A504="","",원본명단!$B503)</f>
        <v/>
      </c>
      <c r="D504" s="12" t="str">
        <f aca="false">IF($A504="","",원본명단!$D503)</f>
        <v/>
      </c>
      <c r="E504" s="11" t="str">
        <f aca="false">IF($A504="","",IF(원본명단!$H503="",0,COUNTIF(원본명단!$H$3:$H$6002,원본명단!$H503)))</f>
        <v/>
      </c>
      <c r="F504" s="11" t="str">
        <f aca="false">IF($A504="","",IF(원본명단!$I503="",0,COUNTIF(원본명단!$I$3:$I$6002,원본명단!$I503)))</f>
        <v/>
      </c>
      <c r="G504" s="11" t="str">
        <f aca="false">IF($A504="","",IF(원본명단!$K503="",0,COUNTIF(원본명단!$K$3:$K$6002,원본명단!$K503)))</f>
        <v/>
      </c>
      <c r="H504" s="11" t="str">
        <f aca="false">IF($A504="","",IF(MAX($E504,$F504,$G504)&gt;1,"중복","-"))</f>
        <v/>
      </c>
      <c r="I504" s="11" t="str">
        <f aca="false">IF($A504="","",IF($H504="-","-",IF(AND(IF(원본명단!$H503="",TRUE(),COUNTIF(원본명단!$H$3:$H503,원본명단!$H503)=1),IF(원본명단!$I503="",TRUE(),COUNTIF(원본명단!$I$3:$I503,원본명단!$I503)=1),IF(원본명단!$K503="",TRUE(),COUNTIF(원본명단!$K$3:$K503,원본명단!$K503)=1)),"첫 건","중복 건")))</f>
        <v/>
      </c>
      <c r="J504" s="11" t="str">
        <f aca="false">IF($A504="","",IF($H504="-","유지",IF($I504="첫 건","유지","확인 필요")))</f>
        <v/>
      </c>
    </row>
    <row r="505" customFormat="false" ht="15" hidden="false" customHeight="true" outlineLevel="0" collapsed="false">
      <c r="A505" s="11" t="str">
        <f aca="false">IF(원본명단!$A504="","",502)</f>
        <v/>
      </c>
      <c r="B505" s="12" t="str">
        <f aca="false">IF($A505="","",원본명단!$A504)</f>
        <v/>
      </c>
      <c r="C505" s="12" t="str">
        <f aca="false">IF($A505="","",원본명단!$B504)</f>
        <v/>
      </c>
      <c r="D505" s="12" t="str">
        <f aca="false">IF($A505="","",원본명단!$D504)</f>
        <v/>
      </c>
      <c r="E505" s="11" t="str">
        <f aca="false">IF($A505="","",IF(원본명단!$H504="",0,COUNTIF(원본명단!$H$3:$H$6002,원본명단!$H504)))</f>
        <v/>
      </c>
      <c r="F505" s="11" t="str">
        <f aca="false">IF($A505="","",IF(원본명단!$I504="",0,COUNTIF(원본명단!$I$3:$I$6002,원본명단!$I504)))</f>
        <v/>
      </c>
      <c r="G505" s="11" t="str">
        <f aca="false">IF($A505="","",IF(원본명단!$K504="",0,COUNTIF(원본명단!$K$3:$K$6002,원본명단!$K504)))</f>
        <v/>
      </c>
      <c r="H505" s="11" t="str">
        <f aca="false">IF($A505="","",IF(MAX($E505,$F505,$G505)&gt;1,"중복","-"))</f>
        <v/>
      </c>
      <c r="I505" s="11" t="str">
        <f aca="false">IF($A505="","",IF($H505="-","-",IF(AND(IF(원본명단!$H504="",TRUE(),COUNTIF(원본명단!$H$3:$H504,원본명단!$H504)=1),IF(원본명단!$I504="",TRUE(),COUNTIF(원본명단!$I$3:$I504,원본명단!$I504)=1),IF(원본명단!$K504="",TRUE(),COUNTIF(원본명단!$K$3:$K504,원본명단!$K504)=1)),"첫 건","중복 건")))</f>
        <v/>
      </c>
      <c r="J505" s="11" t="str">
        <f aca="false">IF($A505="","",IF($H505="-","유지",IF($I505="첫 건","유지","확인 필요")))</f>
        <v/>
      </c>
    </row>
    <row r="506" customFormat="false" ht="15" hidden="false" customHeight="true" outlineLevel="0" collapsed="false">
      <c r="A506" s="11" t="str">
        <f aca="false">IF(원본명단!$A505="","",503)</f>
        <v/>
      </c>
      <c r="B506" s="12" t="str">
        <f aca="false">IF($A506="","",원본명단!$A505)</f>
        <v/>
      </c>
      <c r="C506" s="12" t="str">
        <f aca="false">IF($A506="","",원본명단!$B505)</f>
        <v/>
      </c>
      <c r="D506" s="12" t="str">
        <f aca="false">IF($A506="","",원본명단!$D505)</f>
        <v/>
      </c>
      <c r="E506" s="11" t="str">
        <f aca="false">IF($A506="","",IF(원본명단!$H505="",0,COUNTIF(원본명단!$H$3:$H$6002,원본명단!$H505)))</f>
        <v/>
      </c>
      <c r="F506" s="11" t="str">
        <f aca="false">IF($A506="","",IF(원본명단!$I505="",0,COUNTIF(원본명단!$I$3:$I$6002,원본명단!$I505)))</f>
        <v/>
      </c>
      <c r="G506" s="11" t="str">
        <f aca="false">IF($A506="","",IF(원본명단!$K505="",0,COUNTIF(원본명단!$K$3:$K$6002,원본명단!$K505)))</f>
        <v/>
      </c>
      <c r="H506" s="11" t="str">
        <f aca="false">IF($A506="","",IF(MAX($E506,$F506,$G506)&gt;1,"중복","-"))</f>
        <v/>
      </c>
      <c r="I506" s="11" t="str">
        <f aca="false">IF($A506="","",IF($H506="-","-",IF(AND(IF(원본명단!$H505="",TRUE(),COUNTIF(원본명단!$H$3:$H505,원본명단!$H505)=1),IF(원본명단!$I505="",TRUE(),COUNTIF(원본명단!$I$3:$I505,원본명단!$I505)=1),IF(원본명단!$K505="",TRUE(),COUNTIF(원본명단!$K$3:$K505,원본명단!$K505)=1)),"첫 건","중복 건")))</f>
        <v/>
      </c>
      <c r="J506" s="11" t="str">
        <f aca="false">IF($A506="","",IF($H506="-","유지",IF($I506="첫 건","유지","확인 필요")))</f>
        <v/>
      </c>
    </row>
    <row r="507" customFormat="false" ht="15" hidden="false" customHeight="true" outlineLevel="0" collapsed="false">
      <c r="A507" s="11" t="str">
        <f aca="false">IF(원본명단!$A506="","",504)</f>
        <v/>
      </c>
      <c r="B507" s="12" t="str">
        <f aca="false">IF($A507="","",원본명단!$A506)</f>
        <v/>
      </c>
      <c r="C507" s="12" t="str">
        <f aca="false">IF($A507="","",원본명단!$B506)</f>
        <v/>
      </c>
      <c r="D507" s="12" t="str">
        <f aca="false">IF($A507="","",원본명단!$D506)</f>
        <v/>
      </c>
      <c r="E507" s="11" t="str">
        <f aca="false">IF($A507="","",IF(원본명단!$H506="",0,COUNTIF(원본명단!$H$3:$H$6002,원본명단!$H506)))</f>
        <v/>
      </c>
      <c r="F507" s="11" t="str">
        <f aca="false">IF($A507="","",IF(원본명단!$I506="",0,COUNTIF(원본명단!$I$3:$I$6002,원본명단!$I506)))</f>
        <v/>
      </c>
      <c r="G507" s="11" t="str">
        <f aca="false">IF($A507="","",IF(원본명단!$K506="",0,COUNTIF(원본명단!$K$3:$K$6002,원본명단!$K506)))</f>
        <v/>
      </c>
      <c r="H507" s="11" t="str">
        <f aca="false">IF($A507="","",IF(MAX($E507,$F507,$G507)&gt;1,"중복","-"))</f>
        <v/>
      </c>
      <c r="I507" s="11" t="str">
        <f aca="false">IF($A507="","",IF($H507="-","-",IF(AND(IF(원본명단!$H506="",TRUE(),COUNTIF(원본명단!$H$3:$H506,원본명단!$H506)=1),IF(원본명단!$I506="",TRUE(),COUNTIF(원본명단!$I$3:$I506,원본명단!$I506)=1),IF(원본명단!$K506="",TRUE(),COUNTIF(원본명단!$K$3:$K506,원본명단!$K506)=1)),"첫 건","중복 건")))</f>
        <v/>
      </c>
      <c r="J507" s="11" t="str">
        <f aca="false">IF($A507="","",IF($H507="-","유지",IF($I507="첫 건","유지","확인 필요")))</f>
        <v/>
      </c>
    </row>
    <row r="508" customFormat="false" ht="15" hidden="false" customHeight="true" outlineLevel="0" collapsed="false">
      <c r="A508" s="11" t="str">
        <f aca="false">IF(원본명단!$A507="","",505)</f>
        <v/>
      </c>
      <c r="B508" s="12" t="str">
        <f aca="false">IF($A508="","",원본명단!$A507)</f>
        <v/>
      </c>
      <c r="C508" s="12" t="str">
        <f aca="false">IF($A508="","",원본명단!$B507)</f>
        <v/>
      </c>
      <c r="D508" s="12" t="str">
        <f aca="false">IF($A508="","",원본명단!$D507)</f>
        <v/>
      </c>
      <c r="E508" s="11" t="str">
        <f aca="false">IF($A508="","",IF(원본명단!$H507="",0,COUNTIF(원본명단!$H$3:$H$6002,원본명단!$H507)))</f>
        <v/>
      </c>
      <c r="F508" s="11" t="str">
        <f aca="false">IF($A508="","",IF(원본명단!$I507="",0,COUNTIF(원본명단!$I$3:$I$6002,원본명단!$I507)))</f>
        <v/>
      </c>
      <c r="G508" s="11" t="str">
        <f aca="false">IF($A508="","",IF(원본명단!$K507="",0,COUNTIF(원본명단!$K$3:$K$6002,원본명단!$K507)))</f>
        <v/>
      </c>
      <c r="H508" s="11" t="str">
        <f aca="false">IF($A508="","",IF(MAX($E508,$F508,$G508)&gt;1,"중복","-"))</f>
        <v/>
      </c>
      <c r="I508" s="11" t="str">
        <f aca="false">IF($A508="","",IF($H508="-","-",IF(AND(IF(원본명단!$H507="",TRUE(),COUNTIF(원본명단!$H$3:$H507,원본명단!$H507)=1),IF(원본명단!$I507="",TRUE(),COUNTIF(원본명단!$I$3:$I507,원본명단!$I507)=1),IF(원본명단!$K507="",TRUE(),COUNTIF(원본명단!$K$3:$K507,원본명단!$K507)=1)),"첫 건","중복 건")))</f>
        <v/>
      </c>
      <c r="J508" s="11" t="str">
        <f aca="false">IF($A508="","",IF($H508="-","유지",IF($I508="첫 건","유지","확인 필요")))</f>
        <v/>
      </c>
    </row>
    <row r="509" customFormat="false" ht="15" hidden="false" customHeight="true" outlineLevel="0" collapsed="false">
      <c r="A509" s="11" t="str">
        <f aca="false">IF(원본명단!$A508="","",506)</f>
        <v/>
      </c>
      <c r="B509" s="12" t="str">
        <f aca="false">IF($A509="","",원본명단!$A508)</f>
        <v/>
      </c>
      <c r="C509" s="12" t="str">
        <f aca="false">IF($A509="","",원본명단!$B508)</f>
        <v/>
      </c>
      <c r="D509" s="12" t="str">
        <f aca="false">IF($A509="","",원본명단!$D508)</f>
        <v/>
      </c>
      <c r="E509" s="11" t="str">
        <f aca="false">IF($A509="","",IF(원본명단!$H508="",0,COUNTIF(원본명단!$H$3:$H$6002,원본명단!$H508)))</f>
        <v/>
      </c>
      <c r="F509" s="11" t="str">
        <f aca="false">IF($A509="","",IF(원본명단!$I508="",0,COUNTIF(원본명단!$I$3:$I$6002,원본명단!$I508)))</f>
        <v/>
      </c>
      <c r="G509" s="11" t="str">
        <f aca="false">IF($A509="","",IF(원본명단!$K508="",0,COUNTIF(원본명단!$K$3:$K$6002,원본명단!$K508)))</f>
        <v/>
      </c>
      <c r="H509" s="11" t="str">
        <f aca="false">IF($A509="","",IF(MAX($E509,$F509,$G509)&gt;1,"중복","-"))</f>
        <v/>
      </c>
      <c r="I509" s="11" t="str">
        <f aca="false">IF($A509="","",IF($H509="-","-",IF(AND(IF(원본명단!$H508="",TRUE(),COUNTIF(원본명단!$H$3:$H508,원본명단!$H508)=1),IF(원본명단!$I508="",TRUE(),COUNTIF(원본명단!$I$3:$I508,원본명단!$I508)=1),IF(원본명단!$K508="",TRUE(),COUNTIF(원본명단!$K$3:$K508,원본명단!$K508)=1)),"첫 건","중복 건")))</f>
        <v/>
      </c>
      <c r="J509" s="11" t="str">
        <f aca="false">IF($A509="","",IF($H509="-","유지",IF($I509="첫 건","유지","확인 필요")))</f>
        <v/>
      </c>
    </row>
    <row r="510" customFormat="false" ht="15" hidden="false" customHeight="true" outlineLevel="0" collapsed="false">
      <c r="A510" s="11" t="str">
        <f aca="false">IF(원본명단!$A509="","",507)</f>
        <v/>
      </c>
      <c r="B510" s="12" t="str">
        <f aca="false">IF($A510="","",원본명단!$A509)</f>
        <v/>
      </c>
      <c r="C510" s="12" t="str">
        <f aca="false">IF($A510="","",원본명단!$B509)</f>
        <v/>
      </c>
      <c r="D510" s="12" t="str">
        <f aca="false">IF($A510="","",원본명단!$D509)</f>
        <v/>
      </c>
      <c r="E510" s="11" t="str">
        <f aca="false">IF($A510="","",IF(원본명단!$H509="",0,COUNTIF(원본명단!$H$3:$H$6002,원본명단!$H509)))</f>
        <v/>
      </c>
      <c r="F510" s="11" t="str">
        <f aca="false">IF($A510="","",IF(원본명단!$I509="",0,COUNTIF(원본명단!$I$3:$I$6002,원본명단!$I509)))</f>
        <v/>
      </c>
      <c r="G510" s="11" t="str">
        <f aca="false">IF($A510="","",IF(원본명단!$K509="",0,COUNTIF(원본명단!$K$3:$K$6002,원본명단!$K509)))</f>
        <v/>
      </c>
      <c r="H510" s="11" t="str">
        <f aca="false">IF($A510="","",IF(MAX($E510,$F510,$G510)&gt;1,"중복","-"))</f>
        <v/>
      </c>
      <c r="I510" s="11" t="str">
        <f aca="false">IF($A510="","",IF($H510="-","-",IF(AND(IF(원본명단!$H509="",TRUE(),COUNTIF(원본명단!$H$3:$H509,원본명단!$H509)=1),IF(원본명단!$I509="",TRUE(),COUNTIF(원본명단!$I$3:$I509,원본명단!$I509)=1),IF(원본명단!$K509="",TRUE(),COUNTIF(원본명단!$K$3:$K509,원본명단!$K509)=1)),"첫 건","중복 건")))</f>
        <v/>
      </c>
      <c r="J510" s="11" t="str">
        <f aca="false">IF($A510="","",IF($H510="-","유지",IF($I510="첫 건","유지","확인 필요")))</f>
        <v/>
      </c>
    </row>
    <row r="511" customFormat="false" ht="15" hidden="false" customHeight="true" outlineLevel="0" collapsed="false">
      <c r="A511" s="11" t="str">
        <f aca="false">IF(원본명단!$A510="","",508)</f>
        <v/>
      </c>
      <c r="B511" s="12" t="str">
        <f aca="false">IF($A511="","",원본명단!$A510)</f>
        <v/>
      </c>
      <c r="C511" s="12" t="str">
        <f aca="false">IF($A511="","",원본명단!$B510)</f>
        <v/>
      </c>
      <c r="D511" s="12" t="str">
        <f aca="false">IF($A511="","",원본명단!$D510)</f>
        <v/>
      </c>
      <c r="E511" s="11" t="str">
        <f aca="false">IF($A511="","",IF(원본명단!$H510="",0,COUNTIF(원본명단!$H$3:$H$6002,원본명단!$H510)))</f>
        <v/>
      </c>
      <c r="F511" s="11" t="str">
        <f aca="false">IF($A511="","",IF(원본명단!$I510="",0,COUNTIF(원본명단!$I$3:$I$6002,원본명단!$I510)))</f>
        <v/>
      </c>
      <c r="G511" s="11" t="str">
        <f aca="false">IF($A511="","",IF(원본명단!$K510="",0,COUNTIF(원본명단!$K$3:$K$6002,원본명단!$K510)))</f>
        <v/>
      </c>
      <c r="H511" s="11" t="str">
        <f aca="false">IF($A511="","",IF(MAX($E511,$F511,$G511)&gt;1,"중복","-"))</f>
        <v/>
      </c>
      <c r="I511" s="11" t="str">
        <f aca="false">IF($A511="","",IF($H511="-","-",IF(AND(IF(원본명단!$H510="",TRUE(),COUNTIF(원본명단!$H$3:$H510,원본명단!$H510)=1),IF(원본명단!$I510="",TRUE(),COUNTIF(원본명단!$I$3:$I510,원본명단!$I510)=1),IF(원본명단!$K510="",TRUE(),COUNTIF(원본명단!$K$3:$K510,원본명단!$K510)=1)),"첫 건","중복 건")))</f>
        <v/>
      </c>
      <c r="J511" s="11" t="str">
        <f aca="false">IF($A511="","",IF($H511="-","유지",IF($I511="첫 건","유지","확인 필요")))</f>
        <v/>
      </c>
    </row>
    <row r="512" customFormat="false" ht="15" hidden="false" customHeight="true" outlineLevel="0" collapsed="false">
      <c r="A512" s="11" t="str">
        <f aca="false">IF(원본명단!$A511="","",509)</f>
        <v/>
      </c>
      <c r="B512" s="12" t="str">
        <f aca="false">IF($A512="","",원본명단!$A511)</f>
        <v/>
      </c>
      <c r="C512" s="12" t="str">
        <f aca="false">IF($A512="","",원본명단!$B511)</f>
        <v/>
      </c>
      <c r="D512" s="12" t="str">
        <f aca="false">IF($A512="","",원본명단!$D511)</f>
        <v/>
      </c>
      <c r="E512" s="11" t="str">
        <f aca="false">IF($A512="","",IF(원본명단!$H511="",0,COUNTIF(원본명단!$H$3:$H$6002,원본명단!$H511)))</f>
        <v/>
      </c>
      <c r="F512" s="11" t="str">
        <f aca="false">IF($A512="","",IF(원본명단!$I511="",0,COUNTIF(원본명단!$I$3:$I$6002,원본명단!$I511)))</f>
        <v/>
      </c>
      <c r="G512" s="11" t="str">
        <f aca="false">IF($A512="","",IF(원본명단!$K511="",0,COUNTIF(원본명단!$K$3:$K$6002,원본명단!$K511)))</f>
        <v/>
      </c>
      <c r="H512" s="11" t="str">
        <f aca="false">IF($A512="","",IF(MAX($E512,$F512,$G512)&gt;1,"중복","-"))</f>
        <v/>
      </c>
      <c r="I512" s="11" t="str">
        <f aca="false">IF($A512="","",IF($H512="-","-",IF(AND(IF(원본명단!$H511="",TRUE(),COUNTIF(원본명단!$H$3:$H511,원본명단!$H511)=1),IF(원본명단!$I511="",TRUE(),COUNTIF(원본명단!$I$3:$I511,원본명단!$I511)=1),IF(원본명단!$K511="",TRUE(),COUNTIF(원본명단!$K$3:$K511,원본명단!$K511)=1)),"첫 건","중복 건")))</f>
        <v/>
      </c>
      <c r="J512" s="11" t="str">
        <f aca="false">IF($A512="","",IF($H512="-","유지",IF($I512="첫 건","유지","확인 필요")))</f>
        <v/>
      </c>
    </row>
    <row r="513" customFormat="false" ht="15" hidden="false" customHeight="true" outlineLevel="0" collapsed="false">
      <c r="A513" s="11" t="str">
        <f aca="false">IF(원본명단!$A512="","",510)</f>
        <v/>
      </c>
      <c r="B513" s="12" t="str">
        <f aca="false">IF($A513="","",원본명단!$A512)</f>
        <v/>
      </c>
      <c r="C513" s="12" t="str">
        <f aca="false">IF($A513="","",원본명단!$B512)</f>
        <v/>
      </c>
      <c r="D513" s="12" t="str">
        <f aca="false">IF($A513="","",원본명단!$D512)</f>
        <v/>
      </c>
      <c r="E513" s="11" t="str">
        <f aca="false">IF($A513="","",IF(원본명단!$H512="",0,COUNTIF(원본명단!$H$3:$H$6002,원본명단!$H512)))</f>
        <v/>
      </c>
      <c r="F513" s="11" t="str">
        <f aca="false">IF($A513="","",IF(원본명단!$I512="",0,COUNTIF(원본명단!$I$3:$I$6002,원본명단!$I512)))</f>
        <v/>
      </c>
      <c r="G513" s="11" t="str">
        <f aca="false">IF($A513="","",IF(원본명단!$K512="",0,COUNTIF(원본명단!$K$3:$K$6002,원본명단!$K512)))</f>
        <v/>
      </c>
      <c r="H513" s="11" t="str">
        <f aca="false">IF($A513="","",IF(MAX($E513,$F513,$G513)&gt;1,"중복","-"))</f>
        <v/>
      </c>
      <c r="I513" s="11" t="str">
        <f aca="false">IF($A513="","",IF($H513="-","-",IF(AND(IF(원본명단!$H512="",TRUE(),COUNTIF(원본명단!$H$3:$H512,원본명단!$H512)=1),IF(원본명단!$I512="",TRUE(),COUNTIF(원본명단!$I$3:$I512,원본명단!$I512)=1),IF(원본명단!$K512="",TRUE(),COUNTIF(원본명단!$K$3:$K512,원본명단!$K512)=1)),"첫 건","중복 건")))</f>
        <v/>
      </c>
      <c r="J513" s="11" t="str">
        <f aca="false">IF($A513="","",IF($H513="-","유지",IF($I513="첫 건","유지","확인 필요")))</f>
        <v/>
      </c>
    </row>
    <row r="514" customFormat="false" ht="15" hidden="false" customHeight="true" outlineLevel="0" collapsed="false">
      <c r="A514" s="11" t="str">
        <f aca="false">IF(원본명단!$A513="","",511)</f>
        <v/>
      </c>
      <c r="B514" s="12" t="str">
        <f aca="false">IF($A514="","",원본명단!$A513)</f>
        <v/>
      </c>
      <c r="C514" s="12" t="str">
        <f aca="false">IF($A514="","",원본명단!$B513)</f>
        <v/>
      </c>
      <c r="D514" s="12" t="str">
        <f aca="false">IF($A514="","",원본명단!$D513)</f>
        <v/>
      </c>
      <c r="E514" s="11" t="str">
        <f aca="false">IF($A514="","",IF(원본명단!$H513="",0,COUNTIF(원본명단!$H$3:$H$6002,원본명단!$H513)))</f>
        <v/>
      </c>
      <c r="F514" s="11" t="str">
        <f aca="false">IF($A514="","",IF(원본명단!$I513="",0,COUNTIF(원본명단!$I$3:$I$6002,원본명단!$I513)))</f>
        <v/>
      </c>
      <c r="G514" s="11" t="str">
        <f aca="false">IF($A514="","",IF(원본명단!$K513="",0,COUNTIF(원본명단!$K$3:$K$6002,원본명단!$K513)))</f>
        <v/>
      </c>
      <c r="H514" s="11" t="str">
        <f aca="false">IF($A514="","",IF(MAX($E514,$F514,$G514)&gt;1,"중복","-"))</f>
        <v/>
      </c>
      <c r="I514" s="11" t="str">
        <f aca="false">IF($A514="","",IF($H514="-","-",IF(AND(IF(원본명단!$H513="",TRUE(),COUNTIF(원본명단!$H$3:$H513,원본명단!$H513)=1),IF(원본명단!$I513="",TRUE(),COUNTIF(원본명단!$I$3:$I513,원본명단!$I513)=1),IF(원본명단!$K513="",TRUE(),COUNTIF(원본명단!$K$3:$K513,원본명단!$K513)=1)),"첫 건","중복 건")))</f>
        <v/>
      </c>
      <c r="J514" s="11" t="str">
        <f aca="false">IF($A514="","",IF($H514="-","유지",IF($I514="첫 건","유지","확인 필요")))</f>
        <v/>
      </c>
    </row>
    <row r="515" customFormat="false" ht="15" hidden="false" customHeight="true" outlineLevel="0" collapsed="false">
      <c r="A515" s="11" t="str">
        <f aca="false">IF(원본명단!$A514="","",512)</f>
        <v/>
      </c>
      <c r="B515" s="12" t="str">
        <f aca="false">IF($A515="","",원본명단!$A514)</f>
        <v/>
      </c>
      <c r="C515" s="12" t="str">
        <f aca="false">IF($A515="","",원본명단!$B514)</f>
        <v/>
      </c>
      <c r="D515" s="12" t="str">
        <f aca="false">IF($A515="","",원본명단!$D514)</f>
        <v/>
      </c>
      <c r="E515" s="11" t="str">
        <f aca="false">IF($A515="","",IF(원본명단!$H514="",0,COUNTIF(원본명단!$H$3:$H$6002,원본명단!$H514)))</f>
        <v/>
      </c>
      <c r="F515" s="11" t="str">
        <f aca="false">IF($A515="","",IF(원본명단!$I514="",0,COUNTIF(원본명단!$I$3:$I$6002,원본명단!$I514)))</f>
        <v/>
      </c>
      <c r="G515" s="11" t="str">
        <f aca="false">IF($A515="","",IF(원본명단!$K514="",0,COUNTIF(원본명단!$K$3:$K$6002,원본명단!$K514)))</f>
        <v/>
      </c>
      <c r="H515" s="11" t="str">
        <f aca="false">IF($A515="","",IF(MAX($E515,$F515,$G515)&gt;1,"중복","-"))</f>
        <v/>
      </c>
      <c r="I515" s="11" t="str">
        <f aca="false">IF($A515="","",IF($H515="-","-",IF(AND(IF(원본명단!$H514="",TRUE(),COUNTIF(원본명단!$H$3:$H514,원본명단!$H514)=1),IF(원본명단!$I514="",TRUE(),COUNTIF(원본명단!$I$3:$I514,원본명단!$I514)=1),IF(원본명단!$K514="",TRUE(),COUNTIF(원본명단!$K$3:$K514,원본명단!$K514)=1)),"첫 건","중복 건")))</f>
        <v/>
      </c>
      <c r="J515" s="11" t="str">
        <f aca="false">IF($A515="","",IF($H515="-","유지",IF($I515="첫 건","유지","확인 필요")))</f>
        <v/>
      </c>
    </row>
    <row r="516" customFormat="false" ht="15" hidden="false" customHeight="true" outlineLevel="0" collapsed="false">
      <c r="A516" s="11" t="str">
        <f aca="false">IF(원본명단!$A515="","",513)</f>
        <v/>
      </c>
      <c r="B516" s="12" t="str">
        <f aca="false">IF($A516="","",원본명단!$A515)</f>
        <v/>
      </c>
      <c r="C516" s="12" t="str">
        <f aca="false">IF($A516="","",원본명단!$B515)</f>
        <v/>
      </c>
      <c r="D516" s="12" t="str">
        <f aca="false">IF($A516="","",원본명단!$D515)</f>
        <v/>
      </c>
      <c r="E516" s="11" t="str">
        <f aca="false">IF($A516="","",IF(원본명단!$H515="",0,COUNTIF(원본명단!$H$3:$H$6002,원본명단!$H515)))</f>
        <v/>
      </c>
      <c r="F516" s="11" t="str">
        <f aca="false">IF($A516="","",IF(원본명단!$I515="",0,COUNTIF(원본명단!$I$3:$I$6002,원본명단!$I515)))</f>
        <v/>
      </c>
      <c r="G516" s="11" t="str">
        <f aca="false">IF($A516="","",IF(원본명단!$K515="",0,COUNTIF(원본명단!$K$3:$K$6002,원본명단!$K515)))</f>
        <v/>
      </c>
      <c r="H516" s="11" t="str">
        <f aca="false">IF($A516="","",IF(MAX($E516,$F516,$G516)&gt;1,"중복","-"))</f>
        <v/>
      </c>
      <c r="I516" s="11" t="str">
        <f aca="false">IF($A516="","",IF($H516="-","-",IF(AND(IF(원본명단!$H515="",TRUE(),COUNTIF(원본명단!$H$3:$H515,원본명단!$H515)=1),IF(원본명단!$I515="",TRUE(),COUNTIF(원본명단!$I$3:$I515,원본명단!$I515)=1),IF(원본명단!$K515="",TRUE(),COUNTIF(원본명단!$K$3:$K515,원본명단!$K515)=1)),"첫 건","중복 건")))</f>
        <v/>
      </c>
      <c r="J516" s="11" t="str">
        <f aca="false">IF($A516="","",IF($H516="-","유지",IF($I516="첫 건","유지","확인 필요")))</f>
        <v/>
      </c>
    </row>
    <row r="517" customFormat="false" ht="15" hidden="false" customHeight="true" outlineLevel="0" collapsed="false">
      <c r="A517" s="11" t="str">
        <f aca="false">IF(원본명단!$A516="","",514)</f>
        <v/>
      </c>
      <c r="B517" s="12" t="str">
        <f aca="false">IF($A517="","",원본명단!$A516)</f>
        <v/>
      </c>
      <c r="C517" s="12" t="str">
        <f aca="false">IF($A517="","",원본명단!$B516)</f>
        <v/>
      </c>
      <c r="D517" s="12" t="str">
        <f aca="false">IF($A517="","",원본명단!$D516)</f>
        <v/>
      </c>
      <c r="E517" s="11" t="str">
        <f aca="false">IF($A517="","",IF(원본명단!$H516="",0,COUNTIF(원본명단!$H$3:$H$6002,원본명단!$H516)))</f>
        <v/>
      </c>
      <c r="F517" s="11" t="str">
        <f aca="false">IF($A517="","",IF(원본명단!$I516="",0,COUNTIF(원본명단!$I$3:$I$6002,원본명단!$I516)))</f>
        <v/>
      </c>
      <c r="G517" s="11" t="str">
        <f aca="false">IF($A517="","",IF(원본명단!$K516="",0,COUNTIF(원본명단!$K$3:$K$6002,원본명단!$K516)))</f>
        <v/>
      </c>
      <c r="H517" s="11" t="str">
        <f aca="false">IF($A517="","",IF(MAX($E517,$F517,$G517)&gt;1,"중복","-"))</f>
        <v/>
      </c>
      <c r="I517" s="11" t="str">
        <f aca="false">IF($A517="","",IF($H517="-","-",IF(AND(IF(원본명단!$H516="",TRUE(),COUNTIF(원본명단!$H$3:$H516,원본명단!$H516)=1),IF(원본명단!$I516="",TRUE(),COUNTIF(원본명단!$I$3:$I516,원본명단!$I516)=1),IF(원본명단!$K516="",TRUE(),COUNTIF(원본명단!$K$3:$K516,원본명단!$K516)=1)),"첫 건","중복 건")))</f>
        <v/>
      </c>
      <c r="J517" s="11" t="str">
        <f aca="false">IF($A517="","",IF($H517="-","유지",IF($I517="첫 건","유지","확인 필요")))</f>
        <v/>
      </c>
    </row>
    <row r="518" customFormat="false" ht="15" hidden="false" customHeight="true" outlineLevel="0" collapsed="false">
      <c r="A518" s="11" t="str">
        <f aca="false">IF(원본명단!$A517="","",515)</f>
        <v/>
      </c>
      <c r="B518" s="12" t="str">
        <f aca="false">IF($A518="","",원본명단!$A517)</f>
        <v/>
      </c>
      <c r="C518" s="12" t="str">
        <f aca="false">IF($A518="","",원본명단!$B517)</f>
        <v/>
      </c>
      <c r="D518" s="12" t="str">
        <f aca="false">IF($A518="","",원본명단!$D517)</f>
        <v/>
      </c>
      <c r="E518" s="11" t="str">
        <f aca="false">IF($A518="","",IF(원본명단!$H517="",0,COUNTIF(원본명단!$H$3:$H$6002,원본명단!$H517)))</f>
        <v/>
      </c>
      <c r="F518" s="11" t="str">
        <f aca="false">IF($A518="","",IF(원본명단!$I517="",0,COUNTIF(원본명단!$I$3:$I$6002,원본명단!$I517)))</f>
        <v/>
      </c>
      <c r="G518" s="11" t="str">
        <f aca="false">IF($A518="","",IF(원본명단!$K517="",0,COUNTIF(원본명단!$K$3:$K$6002,원본명단!$K517)))</f>
        <v/>
      </c>
      <c r="H518" s="11" t="str">
        <f aca="false">IF($A518="","",IF(MAX($E518,$F518,$G518)&gt;1,"중복","-"))</f>
        <v/>
      </c>
      <c r="I518" s="11" t="str">
        <f aca="false">IF($A518="","",IF($H518="-","-",IF(AND(IF(원본명단!$H517="",TRUE(),COUNTIF(원본명단!$H$3:$H517,원본명단!$H517)=1),IF(원본명단!$I517="",TRUE(),COUNTIF(원본명단!$I$3:$I517,원본명단!$I517)=1),IF(원본명단!$K517="",TRUE(),COUNTIF(원본명단!$K$3:$K517,원본명단!$K517)=1)),"첫 건","중복 건")))</f>
        <v/>
      </c>
      <c r="J518" s="11" t="str">
        <f aca="false">IF($A518="","",IF($H518="-","유지",IF($I518="첫 건","유지","확인 필요")))</f>
        <v/>
      </c>
    </row>
    <row r="519" customFormat="false" ht="15" hidden="false" customHeight="true" outlineLevel="0" collapsed="false">
      <c r="A519" s="11" t="str">
        <f aca="false">IF(원본명단!$A518="","",516)</f>
        <v/>
      </c>
      <c r="B519" s="12" t="str">
        <f aca="false">IF($A519="","",원본명단!$A518)</f>
        <v/>
      </c>
      <c r="C519" s="12" t="str">
        <f aca="false">IF($A519="","",원본명단!$B518)</f>
        <v/>
      </c>
      <c r="D519" s="12" t="str">
        <f aca="false">IF($A519="","",원본명단!$D518)</f>
        <v/>
      </c>
      <c r="E519" s="11" t="str">
        <f aca="false">IF($A519="","",IF(원본명단!$H518="",0,COUNTIF(원본명단!$H$3:$H$6002,원본명단!$H518)))</f>
        <v/>
      </c>
      <c r="F519" s="11" t="str">
        <f aca="false">IF($A519="","",IF(원본명단!$I518="",0,COUNTIF(원본명단!$I$3:$I$6002,원본명단!$I518)))</f>
        <v/>
      </c>
      <c r="G519" s="11" t="str">
        <f aca="false">IF($A519="","",IF(원본명단!$K518="",0,COUNTIF(원본명단!$K$3:$K$6002,원본명단!$K518)))</f>
        <v/>
      </c>
      <c r="H519" s="11" t="str">
        <f aca="false">IF($A519="","",IF(MAX($E519,$F519,$G519)&gt;1,"중복","-"))</f>
        <v/>
      </c>
      <c r="I519" s="11" t="str">
        <f aca="false">IF($A519="","",IF($H519="-","-",IF(AND(IF(원본명단!$H518="",TRUE(),COUNTIF(원본명단!$H$3:$H518,원본명단!$H518)=1),IF(원본명단!$I518="",TRUE(),COUNTIF(원본명단!$I$3:$I518,원본명단!$I518)=1),IF(원본명단!$K518="",TRUE(),COUNTIF(원본명단!$K$3:$K518,원본명단!$K518)=1)),"첫 건","중복 건")))</f>
        <v/>
      </c>
      <c r="J519" s="11" t="str">
        <f aca="false">IF($A519="","",IF($H519="-","유지",IF($I519="첫 건","유지","확인 필요")))</f>
        <v/>
      </c>
    </row>
    <row r="520" customFormat="false" ht="15" hidden="false" customHeight="true" outlineLevel="0" collapsed="false">
      <c r="A520" s="11" t="str">
        <f aca="false">IF(원본명단!$A519="","",517)</f>
        <v/>
      </c>
      <c r="B520" s="12" t="str">
        <f aca="false">IF($A520="","",원본명단!$A519)</f>
        <v/>
      </c>
      <c r="C520" s="12" t="str">
        <f aca="false">IF($A520="","",원본명단!$B519)</f>
        <v/>
      </c>
      <c r="D520" s="12" t="str">
        <f aca="false">IF($A520="","",원본명단!$D519)</f>
        <v/>
      </c>
      <c r="E520" s="11" t="str">
        <f aca="false">IF($A520="","",IF(원본명단!$H519="",0,COUNTIF(원본명단!$H$3:$H$6002,원본명단!$H519)))</f>
        <v/>
      </c>
      <c r="F520" s="11" t="str">
        <f aca="false">IF($A520="","",IF(원본명단!$I519="",0,COUNTIF(원본명단!$I$3:$I$6002,원본명단!$I519)))</f>
        <v/>
      </c>
      <c r="G520" s="11" t="str">
        <f aca="false">IF($A520="","",IF(원본명단!$K519="",0,COUNTIF(원본명단!$K$3:$K$6002,원본명단!$K519)))</f>
        <v/>
      </c>
      <c r="H520" s="11" t="str">
        <f aca="false">IF($A520="","",IF(MAX($E520,$F520,$G520)&gt;1,"중복","-"))</f>
        <v/>
      </c>
      <c r="I520" s="11" t="str">
        <f aca="false">IF($A520="","",IF($H520="-","-",IF(AND(IF(원본명단!$H519="",TRUE(),COUNTIF(원본명단!$H$3:$H519,원본명단!$H519)=1),IF(원본명단!$I519="",TRUE(),COUNTIF(원본명단!$I$3:$I519,원본명단!$I519)=1),IF(원본명단!$K519="",TRUE(),COUNTIF(원본명단!$K$3:$K519,원본명단!$K519)=1)),"첫 건","중복 건")))</f>
        <v/>
      </c>
      <c r="J520" s="11" t="str">
        <f aca="false">IF($A520="","",IF($H520="-","유지",IF($I520="첫 건","유지","확인 필요")))</f>
        <v/>
      </c>
    </row>
    <row r="521" customFormat="false" ht="15" hidden="false" customHeight="true" outlineLevel="0" collapsed="false">
      <c r="A521" s="11" t="str">
        <f aca="false">IF(원본명단!$A520="","",518)</f>
        <v/>
      </c>
      <c r="B521" s="12" t="str">
        <f aca="false">IF($A521="","",원본명단!$A520)</f>
        <v/>
      </c>
      <c r="C521" s="12" t="str">
        <f aca="false">IF($A521="","",원본명단!$B520)</f>
        <v/>
      </c>
      <c r="D521" s="12" t="str">
        <f aca="false">IF($A521="","",원본명단!$D520)</f>
        <v/>
      </c>
      <c r="E521" s="11" t="str">
        <f aca="false">IF($A521="","",IF(원본명단!$H520="",0,COUNTIF(원본명단!$H$3:$H$6002,원본명단!$H520)))</f>
        <v/>
      </c>
      <c r="F521" s="11" t="str">
        <f aca="false">IF($A521="","",IF(원본명단!$I520="",0,COUNTIF(원본명단!$I$3:$I$6002,원본명단!$I520)))</f>
        <v/>
      </c>
      <c r="G521" s="11" t="str">
        <f aca="false">IF($A521="","",IF(원본명단!$K520="",0,COUNTIF(원본명단!$K$3:$K$6002,원본명단!$K520)))</f>
        <v/>
      </c>
      <c r="H521" s="11" t="str">
        <f aca="false">IF($A521="","",IF(MAX($E521,$F521,$G521)&gt;1,"중복","-"))</f>
        <v/>
      </c>
      <c r="I521" s="11" t="str">
        <f aca="false">IF($A521="","",IF($H521="-","-",IF(AND(IF(원본명단!$H520="",TRUE(),COUNTIF(원본명단!$H$3:$H520,원본명단!$H520)=1),IF(원본명단!$I520="",TRUE(),COUNTIF(원본명단!$I$3:$I520,원본명단!$I520)=1),IF(원본명단!$K520="",TRUE(),COUNTIF(원본명단!$K$3:$K520,원본명단!$K520)=1)),"첫 건","중복 건")))</f>
        <v/>
      </c>
      <c r="J521" s="11" t="str">
        <f aca="false">IF($A521="","",IF($H521="-","유지",IF($I521="첫 건","유지","확인 필요")))</f>
        <v/>
      </c>
    </row>
    <row r="522" customFormat="false" ht="15" hidden="false" customHeight="true" outlineLevel="0" collapsed="false">
      <c r="A522" s="11" t="str">
        <f aca="false">IF(원본명단!$A521="","",519)</f>
        <v/>
      </c>
      <c r="B522" s="12" t="str">
        <f aca="false">IF($A522="","",원본명단!$A521)</f>
        <v/>
      </c>
      <c r="C522" s="12" t="str">
        <f aca="false">IF($A522="","",원본명단!$B521)</f>
        <v/>
      </c>
      <c r="D522" s="12" t="str">
        <f aca="false">IF($A522="","",원본명단!$D521)</f>
        <v/>
      </c>
      <c r="E522" s="11" t="str">
        <f aca="false">IF($A522="","",IF(원본명단!$H521="",0,COUNTIF(원본명단!$H$3:$H$6002,원본명단!$H521)))</f>
        <v/>
      </c>
      <c r="F522" s="11" t="str">
        <f aca="false">IF($A522="","",IF(원본명단!$I521="",0,COUNTIF(원본명단!$I$3:$I$6002,원본명단!$I521)))</f>
        <v/>
      </c>
      <c r="G522" s="11" t="str">
        <f aca="false">IF($A522="","",IF(원본명단!$K521="",0,COUNTIF(원본명단!$K$3:$K$6002,원본명단!$K521)))</f>
        <v/>
      </c>
      <c r="H522" s="11" t="str">
        <f aca="false">IF($A522="","",IF(MAX($E522,$F522,$G522)&gt;1,"중복","-"))</f>
        <v/>
      </c>
      <c r="I522" s="11" t="str">
        <f aca="false">IF($A522="","",IF($H522="-","-",IF(AND(IF(원본명단!$H521="",TRUE(),COUNTIF(원본명단!$H$3:$H521,원본명단!$H521)=1),IF(원본명단!$I521="",TRUE(),COUNTIF(원본명단!$I$3:$I521,원본명단!$I521)=1),IF(원본명단!$K521="",TRUE(),COUNTIF(원본명단!$K$3:$K521,원본명단!$K521)=1)),"첫 건","중복 건")))</f>
        <v/>
      </c>
      <c r="J522" s="11" t="str">
        <f aca="false">IF($A522="","",IF($H522="-","유지",IF($I522="첫 건","유지","확인 필요")))</f>
        <v/>
      </c>
    </row>
    <row r="523" customFormat="false" ht="15" hidden="false" customHeight="true" outlineLevel="0" collapsed="false">
      <c r="A523" s="11" t="str">
        <f aca="false">IF(원본명단!$A522="","",520)</f>
        <v/>
      </c>
      <c r="B523" s="12" t="str">
        <f aca="false">IF($A523="","",원본명단!$A522)</f>
        <v/>
      </c>
      <c r="C523" s="12" t="str">
        <f aca="false">IF($A523="","",원본명단!$B522)</f>
        <v/>
      </c>
      <c r="D523" s="12" t="str">
        <f aca="false">IF($A523="","",원본명단!$D522)</f>
        <v/>
      </c>
      <c r="E523" s="11" t="str">
        <f aca="false">IF($A523="","",IF(원본명단!$H522="",0,COUNTIF(원본명단!$H$3:$H$6002,원본명단!$H522)))</f>
        <v/>
      </c>
      <c r="F523" s="11" t="str">
        <f aca="false">IF($A523="","",IF(원본명단!$I522="",0,COUNTIF(원본명단!$I$3:$I$6002,원본명단!$I522)))</f>
        <v/>
      </c>
      <c r="G523" s="11" t="str">
        <f aca="false">IF($A523="","",IF(원본명단!$K522="",0,COUNTIF(원본명단!$K$3:$K$6002,원본명단!$K522)))</f>
        <v/>
      </c>
      <c r="H523" s="11" t="str">
        <f aca="false">IF($A523="","",IF(MAX($E523,$F523,$G523)&gt;1,"중복","-"))</f>
        <v/>
      </c>
      <c r="I523" s="11" t="str">
        <f aca="false">IF($A523="","",IF($H523="-","-",IF(AND(IF(원본명단!$H522="",TRUE(),COUNTIF(원본명단!$H$3:$H522,원본명단!$H522)=1),IF(원본명단!$I522="",TRUE(),COUNTIF(원본명단!$I$3:$I522,원본명단!$I522)=1),IF(원본명단!$K522="",TRUE(),COUNTIF(원본명단!$K$3:$K522,원본명단!$K522)=1)),"첫 건","중복 건")))</f>
        <v/>
      </c>
      <c r="J523" s="11" t="str">
        <f aca="false">IF($A523="","",IF($H523="-","유지",IF($I523="첫 건","유지","확인 필요")))</f>
        <v/>
      </c>
    </row>
    <row r="524" customFormat="false" ht="15" hidden="false" customHeight="true" outlineLevel="0" collapsed="false">
      <c r="A524" s="11" t="str">
        <f aca="false">IF(원본명단!$A523="","",521)</f>
        <v/>
      </c>
      <c r="B524" s="12" t="str">
        <f aca="false">IF($A524="","",원본명단!$A523)</f>
        <v/>
      </c>
      <c r="C524" s="12" t="str">
        <f aca="false">IF($A524="","",원본명단!$B523)</f>
        <v/>
      </c>
      <c r="D524" s="12" t="str">
        <f aca="false">IF($A524="","",원본명단!$D523)</f>
        <v/>
      </c>
      <c r="E524" s="11" t="str">
        <f aca="false">IF($A524="","",IF(원본명단!$H523="",0,COUNTIF(원본명단!$H$3:$H$6002,원본명단!$H523)))</f>
        <v/>
      </c>
      <c r="F524" s="11" t="str">
        <f aca="false">IF($A524="","",IF(원본명단!$I523="",0,COUNTIF(원본명단!$I$3:$I$6002,원본명단!$I523)))</f>
        <v/>
      </c>
      <c r="G524" s="11" t="str">
        <f aca="false">IF($A524="","",IF(원본명단!$K523="",0,COUNTIF(원본명단!$K$3:$K$6002,원본명단!$K523)))</f>
        <v/>
      </c>
      <c r="H524" s="11" t="str">
        <f aca="false">IF($A524="","",IF(MAX($E524,$F524,$G524)&gt;1,"중복","-"))</f>
        <v/>
      </c>
      <c r="I524" s="11" t="str">
        <f aca="false">IF($A524="","",IF($H524="-","-",IF(AND(IF(원본명단!$H523="",TRUE(),COUNTIF(원본명단!$H$3:$H523,원본명단!$H523)=1),IF(원본명단!$I523="",TRUE(),COUNTIF(원본명단!$I$3:$I523,원본명단!$I523)=1),IF(원본명단!$K523="",TRUE(),COUNTIF(원본명단!$K$3:$K523,원본명단!$K523)=1)),"첫 건","중복 건")))</f>
        <v/>
      </c>
      <c r="J524" s="11" t="str">
        <f aca="false">IF($A524="","",IF($H524="-","유지",IF($I524="첫 건","유지","확인 필요")))</f>
        <v/>
      </c>
    </row>
    <row r="525" customFormat="false" ht="15" hidden="false" customHeight="true" outlineLevel="0" collapsed="false">
      <c r="A525" s="11" t="str">
        <f aca="false">IF(원본명단!$A524="","",522)</f>
        <v/>
      </c>
      <c r="B525" s="12" t="str">
        <f aca="false">IF($A525="","",원본명단!$A524)</f>
        <v/>
      </c>
      <c r="C525" s="12" t="str">
        <f aca="false">IF($A525="","",원본명단!$B524)</f>
        <v/>
      </c>
      <c r="D525" s="12" t="str">
        <f aca="false">IF($A525="","",원본명단!$D524)</f>
        <v/>
      </c>
      <c r="E525" s="11" t="str">
        <f aca="false">IF($A525="","",IF(원본명단!$H524="",0,COUNTIF(원본명단!$H$3:$H$6002,원본명단!$H524)))</f>
        <v/>
      </c>
      <c r="F525" s="11" t="str">
        <f aca="false">IF($A525="","",IF(원본명단!$I524="",0,COUNTIF(원본명단!$I$3:$I$6002,원본명단!$I524)))</f>
        <v/>
      </c>
      <c r="G525" s="11" t="str">
        <f aca="false">IF($A525="","",IF(원본명단!$K524="",0,COUNTIF(원본명단!$K$3:$K$6002,원본명단!$K524)))</f>
        <v/>
      </c>
      <c r="H525" s="11" t="str">
        <f aca="false">IF($A525="","",IF(MAX($E525,$F525,$G525)&gt;1,"중복","-"))</f>
        <v/>
      </c>
      <c r="I525" s="11" t="str">
        <f aca="false">IF($A525="","",IF($H525="-","-",IF(AND(IF(원본명단!$H524="",TRUE(),COUNTIF(원본명단!$H$3:$H524,원본명단!$H524)=1),IF(원본명단!$I524="",TRUE(),COUNTIF(원본명단!$I$3:$I524,원본명단!$I524)=1),IF(원본명단!$K524="",TRUE(),COUNTIF(원본명단!$K$3:$K524,원본명단!$K524)=1)),"첫 건","중복 건")))</f>
        <v/>
      </c>
      <c r="J525" s="11" t="str">
        <f aca="false">IF($A525="","",IF($H525="-","유지",IF($I525="첫 건","유지","확인 필요")))</f>
        <v/>
      </c>
    </row>
    <row r="526" customFormat="false" ht="15" hidden="false" customHeight="true" outlineLevel="0" collapsed="false">
      <c r="A526" s="11" t="str">
        <f aca="false">IF(원본명단!$A525="","",523)</f>
        <v/>
      </c>
      <c r="B526" s="12" t="str">
        <f aca="false">IF($A526="","",원본명단!$A525)</f>
        <v/>
      </c>
      <c r="C526" s="12" t="str">
        <f aca="false">IF($A526="","",원본명단!$B525)</f>
        <v/>
      </c>
      <c r="D526" s="12" t="str">
        <f aca="false">IF($A526="","",원본명단!$D525)</f>
        <v/>
      </c>
      <c r="E526" s="11" t="str">
        <f aca="false">IF($A526="","",IF(원본명단!$H525="",0,COUNTIF(원본명단!$H$3:$H$6002,원본명단!$H525)))</f>
        <v/>
      </c>
      <c r="F526" s="11" t="str">
        <f aca="false">IF($A526="","",IF(원본명단!$I525="",0,COUNTIF(원본명단!$I$3:$I$6002,원본명단!$I525)))</f>
        <v/>
      </c>
      <c r="G526" s="11" t="str">
        <f aca="false">IF($A526="","",IF(원본명단!$K525="",0,COUNTIF(원본명단!$K$3:$K$6002,원본명단!$K525)))</f>
        <v/>
      </c>
      <c r="H526" s="11" t="str">
        <f aca="false">IF($A526="","",IF(MAX($E526,$F526,$G526)&gt;1,"중복","-"))</f>
        <v/>
      </c>
      <c r="I526" s="11" t="str">
        <f aca="false">IF($A526="","",IF($H526="-","-",IF(AND(IF(원본명단!$H525="",TRUE(),COUNTIF(원본명단!$H$3:$H525,원본명단!$H525)=1),IF(원본명단!$I525="",TRUE(),COUNTIF(원본명단!$I$3:$I525,원본명단!$I525)=1),IF(원본명단!$K525="",TRUE(),COUNTIF(원본명단!$K$3:$K525,원본명단!$K525)=1)),"첫 건","중복 건")))</f>
        <v/>
      </c>
      <c r="J526" s="11" t="str">
        <f aca="false">IF($A526="","",IF($H526="-","유지",IF($I526="첫 건","유지","확인 필요")))</f>
        <v/>
      </c>
    </row>
    <row r="527" customFormat="false" ht="15" hidden="false" customHeight="true" outlineLevel="0" collapsed="false">
      <c r="A527" s="11" t="str">
        <f aca="false">IF(원본명단!$A526="","",524)</f>
        <v/>
      </c>
      <c r="B527" s="12" t="str">
        <f aca="false">IF($A527="","",원본명단!$A526)</f>
        <v/>
      </c>
      <c r="C527" s="12" t="str">
        <f aca="false">IF($A527="","",원본명단!$B526)</f>
        <v/>
      </c>
      <c r="D527" s="12" t="str">
        <f aca="false">IF($A527="","",원본명단!$D526)</f>
        <v/>
      </c>
      <c r="E527" s="11" t="str">
        <f aca="false">IF($A527="","",IF(원본명단!$H526="",0,COUNTIF(원본명단!$H$3:$H$6002,원본명단!$H526)))</f>
        <v/>
      </c>
      <c r="F527" s="11" t="str">
        <f aca="false">IF($A527="","",IF(원본명단!$I526="",0,COUNTIF(원본명단!$I$3:$I$6002,원본명단!$I526)))</f>
        <v/>
      </c>
      <c r="G527" s="11" t="str">
        <f aca="false">IF($A527="","",IF(원본명단!$K526="",0,COUNTIF(원본명단!$K$3:$K$6002,원본명단!$K526)))</f>
        <v/>
      </c>
      <c r="H527" s="11" t="str">
        <f aca="false">IF($A527="","",IF(MAX($E527,$F527,$G527)&gt;1,"중복","-"))</f>
        <v/>
      </c>
      <c r="I527" s="11" t="str">
        <f aca="false">IF($A527="","",IF($H527="-","-",IF(AND(IF(원본명단!$H526="",TRUE(),COUNTIF(원본명단!$H$3:$H526,원본명단!$H526)=1),IF(원본명단!$I526="",TRUE(),COUNTIF(원본명단!$I$3:$I526,원본명단!$I526)=1),IF(원본명단!$K526="",TRUE(),COUNTIF(원본명단!$K$3:$K526,원본명단!$K526)=1)),"첫 건","중복 건")))</f>
        <v/>
      </c>
      <c r="J527" s="11" t="str">
        <f aca="false">IF($A527="","",IF($H527="-","유지",IF($I527="첫 건","유지","확인 필요")))</f>
        <v/>
      </c>
    </row>
    <row r="528" customFormat="false" ht="15" hidden="false" customHeight="true" outlineLevel="0" collapsed="false">
      <c r="A528" s="11" t="str">
        <f aca="false">IF(원본명단!$A527="","",525)</f>
        <v/>
      </c>
      <c r="B528" s="12" t="str">
        <f aca="false">IF($A528="","",원본명단!$A527)</f>
        <v/>
      </c>
      <c r="C528" s="12" t="str">
        <f aca="false">IF($A528="","",원본명단!$B527)</f>
        <v/>
      </c>
      <c r="D528" s="12" t="str">
        <f aca="false">IF($A528="","",원본명단!$D527)</f>
        <v/>
      </c>
      <c r="E528" s="11" t="str">
        <f aca="false">IF($A528="","",IF(원본명단!$H527="",0,COUNTIF(원본명단!$H$3:$H$6002,원본명단!$H527)))</f>
        <v/>
      </c>
      <c r="F528" s="11" t="str">
        <f aca="false">IF($A528="","",IF(원본명단!$I527="",0,COUNTIF(원본명단!$I$3:$I$6002,원본명단!$I527)))</f>
        <v/>
      </c>
      <c r="G528" s="11" t="str">
        <f aca="false">IF($A528="","",IF(원본명단!$K527="",0,COUNTIF(원본명단!$K$3:$K$6002,원본명단!$K527)))</f>
        <v/>
      </c>
      <c r="H528" s="11" t="str">
        <f aca="false">IF($A528="","",IF(MAX($E528,$F528,$G528)&gt;1,"중복","-"))</f>
        <v/>
      </c>
      <c r="I528" s="11" t="str">
        <f aca="false">IF($A528="","",IF($H528="-","-",IF(AND(IF(원본명단!$H527="",TRUE(),COUNTIF(원본명단!$H$3:$H527,원본명단!$H527)=1),IF(원본명단!$I527="",TRUE(),COUNTIF(원본명단!$I$3:$I527,원본명단!$I527)=1),IF(원본명단!$K527="",TRUE(),COUNTIF(원본명단!$K$3:$K527,원본명단!$K527)=1)),"첫 건","중복 건")))</f>
        <v/>
      </c>
      <c r="J528" s="11" t="str">
        <f aca="false">IF($A528="","",IF($H528="-","유지",IF($I528="첫 건","유지","확인 필요")))</f>
        <v/>
      </c>
    </row>
    <row r="529" customFormat="false" ht="15" hidden="false" customHeight="true" outlineLevel="0" collapsed="false">
      <c r="A529" s="11" t="str">
        <f aca="false">IF(원본명단!$A528="","",526)</f>
        <v/>
      </c>
      <c r="B529" s="12" t="str">
        <f aca="false">IF($A529="","",원본명단!$A528)</f>
        <v/>
      </c>
      <c r="C529" s="12" t="str">
        <f aca="false">IF($A529="","",원본명단!$B528)</f>
        <v/>
      </c>
      <c r="D529" s="12" t="str">
        <f aca="false">IF($A529="","",원본명단!$D528)</f>
        <v/>
      </c>
      <c r="E529" s="11" t="str">
        <f aca="false">IF($A529="","",IF(원본명단!$H528="",0,COUNTIF(원본명단!$H$3:$H$6002,원본명단!$H528)))</f>
        <v/>
      </c>
      <c r="F529" s="11" t="str">
        <f aca="false">IF($A529="","",IF(원본명단!$I528="",0,COUNTIF(원본명단!$I$3:$I$6002,원본명단!$I528)))</f>
        <v/>
      </c>
      <c r="G529" s="11" t="str">
        <f aca="false">IF($A529="","",IF(원본명단!$K528="",0,COUNTIF(원본명단!$K$3:$K$6002,원본명단!$K528)))</f>
        <v/>
      </c>
      <c r="H529" s="11" t="str">
        <f aca="false">IF($A529="","",IF(MAX($E529,$F529,$G529)&gt;1,"중복","-"))</f>
        <v/>
      </c>
      <c r="I529" s="11" t="str">
        <f aca="false">IF($A529="","",IF($H529="-","-",IF(AND(IF(원본명단!$H528="",TRUE(),COUNTIF(원본명단!$H$3:$H528,원본명단!$H528)=1),IF(원본명단!$I528="",TRUE(),COUNTIF(원본명단!$I$3:$I528,원본명단!$I528)=1),IF(원본명단!$K528="",TRUE(),COUNTIF(원본명단!$K$3:$K528,원본명단!$K528)=1)),"첫 건","중복 건")))</f>
        <v/>
      </c>
      <c r="J529" s="11" t="str">
        <f aca="false">IF($A529="","",IF($H529="-","유지",IF($I529="첫 건","유지","확인 필요")))</f>
        <v/>
      </c>
    </row>
    <row r="530" customFormat="false" ht="15" hidden="false" customHeight="true" outlineLevel="0" collapsed="false">
      <c r="A530" s="11" t="str">
        <f aca="false">IF(원본명단!$A529="","",527)</f>
        <v/>
      </c>
      <c r="B530" s="12" t="str">
        <f aca="false">IF($A530="","",원본명단!$A529)</f>
        <v/>
      </c>
      <c r="C530" s="12" t="str">
        <f aca="false">IF($A530="","",원본명단!$B529)</f>
        <v/>
      </c>
      <c r="D530" s="12" t="str">
        <f aca="false">IF($A530="","",원본명단!$D529)</f>
        <v/>
      </c>
      <c r="E530" s="11" t="str">
        <f aca="false">IF($A530="","",IF(원본명단!$H529="",0,COUNTIF(원본명단!$H$3:$H$6002,원본명단!$H529)))</f>
        <v/>
      </c>
      <c r="F530" s="11" t="str">
        <f aca="false">IF($A530="","",IF(원본명단!$I529="",0,COUNTIF(원본명단!$I$3:$I$6002,원본명단!$I529)))</f>
        <v/>
      </c>
      <c r="G530" s="11" t="str">
        <f aca="false">IF($A530="","",IF(원본명단!$K529="",0,COUNTIF(원본명단!$K$3:$K$6002,원본명단!$K529)))</f>
        <v/>
      </c>
      <c r="H530" s="11" t="str">
        <f aca="false">IF($A530="","",IF(MAX($E530,$F530,$G530)&gt;1,"중복","-"))</f>
        <v/>
      </c>
      <c r="I530" s="11" t="str">
        <f aca="false">IF($A530="","",IF($H530="-","-",IF(AND(IF(원본명단!$H529="",TRUE(),COUNTIF(원본명단!$H$3:$H529,원본명단!$H529)=1),IF(원본명단!$I529="",TRUE(),COUNTIF(원본명단!$I$3:$I529,원본명단!$I529)=1),IF(원본명단!$K529="",TRUE(),COUNTIF(원본명단!$K$3:$K529,원본명단!$K529)=1)),"첫 건","중복 건")))</f>
        <v/>
      </c>
      <c r="J530" s="11" t="str">
        <f aca="false">IF($A530="","",IF($H530="-","유지",IF($I530="첫 건","유지","확인 필요")))</f>
        <v/>
      </c>
    </row>
    <row r="531" customFormat="false" ht="15" hidden="false" customHeight="true" outlineLevel="0" collapsed="false">
      <c r="A531" s="11" t="str">
        <f aca="false">IF(원본명단!$A530="","",528)</f>
        <v/>
      </c>
      <c r="B531" s="12" t="str">
        <f aca="false">IF($A531="","",원본명단!$A530)</f>
        <v/>
      </c>
      <c r="C531" s="12" t="str">
        <f aca="false">IF($A531="","",원본명단!$B530)</f>
        <v/>
      </c>
      <c r="D531" s="12" t="str">
        <f aca="false">IF($A531="","",원본명단!$D530)</f>
        <v/>
      </c>
      <c r="E531" s="11" t="str">
        <f aca="false">IF($A531="","",IF(원본명단!$H530="",0,COUNTIF(원본명단!$H$3:$H$6002,원본명단!$H530)))</f>
        <v/>
      </c>
      <c r="F531" s="11" t="str">
        <f aca="false">IF($A531="","",IF(원본명단!$I530="",0,COUNTIF(원본명단!$I$3:$I$6002,원본명단!$I530)))</f>
        <v/>
      </c>
      <c r="G531" s="11" t="str">
        <f aca="false">IF($A531="","",IF(원본명단!$K530="",0,COUNTIF(원본명단!$K$3:$K$6002,원본명단!$K530)))</f>
        <v/>
      </c>
      <c r="H531" s="11" t="str">
        <f aca="false">IF($A531="","",IF(MAX($E531,$F531,$G531)&gt;1,"중복","-"))</f>
        <v/>
      </c>
      <c r="I531" s="11" t="str">
        <f aca="false">IF($A531="","",IF($H531="-","-",IF(AND(IF(원본명단!$H530="",TRUE(),COUNTIF(원본명단!$H$3:$H530,원본명단!$H530)=1),IF(원본명단!$I530="",TRUE(),COUNTIF(원본명단!$I$3:$I530,원본명단!$I530)=1),IF(원본명단!$K530="",TRUE(),COUNTIF(원본명단!$K$3:$K530,원본명단!$K530)=1)),"첫 건","중복 건")))</f>
        <v/>
      </c>
      <c r="J531" s="11" t="str">
        <f aca="false">IF($A531="","",IF($H531="-","유지",IF($I531="첫 건","유지","확인 필요")))</f>
        <v/>
      </c>
    </row>
    <row r="532" customFormat="false" ht="15" hidden="false" customHeight="true" outlineLevel="0" collapsed="false">
      <c r="A532" s="11" t="str">
        <f aca="false">IF(원본명단!$A531="","",529)</f>
        <v/>
      </c>
      <c r="B532" s="12" t="str">
        <f aca="false">IF($A532="","",원본명단!$A531)</f>
        <v/>
      </c>
      <c r="C532" s="12" t="str">
        <f aca="false">IF($A532="","",원본명단!$B531)</f>
        <v/>
      </c>
      <c r="D532" s="12" t="str">
        <f aca="false">IF($A532="","",원본명단!$D531)</f>
        <v/>
      </c>
      <c r="E532" s="11" t="str">
        <f aca="false">IF($A532="","",IF(원본명단!$H531="",0,COUNTIF(원본명단!$H$3:$H$6002,원본명단!$H531)))</f>
        <v/>
      </c>
      <c r="F532" s="11" t="str">
        <f aca="false">IF($A532="","",IF(원본명단!$I531="",0,COUNTIF(원본명단!$I$3:$I$6002,원본명단!$I531)))</f>
        <v/>
      </c>
      <c r="G532" s="11" t="str">
        <f aca="false">IF($A532="","",IF(원본명단!$K531="",0,COUNTIF(원본명단!$K$3:$K$6002,원본명단!$K531)))</f>
        <v/>
      </c>
      <c r="H532" s="11" t="str">
        <f aca="false">IF($A532="","",IF(MAX($E532,$F532,$G532)&gt;1,"중복","-"))</f>
        <v/>
      </c>
      <c r="I532" s="11" t="str">
        <f aca="false">IF($A532="","",IF($H532="-","-",IF(AND(IF(원본명단!$H531="",TRUE(),COUNTIF(원본명단!$H$3:$H531,원본명단!$H531)=1),IF(원본명단!$I531="",TRUE(),COUNTIF(원본명단!$I$3:$I531,원본명단!$I531)=1),IF(원본명단!$K531="",TRUE(),COUNTIF(원본명단!$K$3:$K531,원본명단!$K531)=1)),"첫 건","중복 건")))</f>
        <v/>
      </c>
      <c r="J532" s="11" t="str">
        <f aca="false">IF($A532="","",IF($H532="-","유지",IF($I532="첫 건","유지","확인 필요")))</f>
        <v/>
      </c>
    </row>
    <row r="533" customFormat="false" ht="15" hidden="false" customHeight="true" outlineLevel="0" collapsed="false">
      <c r="A533" s="11" t="str">
        <f aca="false">IF(원본명단!$A532="","",530)</f>
        <v/>
      </c>
      <c r="B533" s="12" t="str">
        <f aca="false">IF($A533="","",원본명단!$A532)</f>
        <v/>
      </c>
      <c r="C533" s="12" t="str">
        <f aca="false">IF($A533="","",원본명단!$B532)</f>
        <v/>
      </c>
      <c r="D533" s="12" t="str">
        <f aca="false">IF($A533="","",원본명단!$D532)</f>
        <v/>
      </c>
      <c r="E533" s="11" t="str">
        <f aca="false">IF($A533="","",IF(원본명단!$H532="",0,COUNTIF(원본명단!$H$3:$H$6002,원본명단!$H532)))</f>
        <v/>
      </c>
      <c r="F533" s="11" t="str">
        <f aca="false">IF($A533="","",IF(원본명단!$I532="",0,COUNTIF(원본명단!$I$3:$I$6002,원본명단!$I532)))</f>
        <v/>
      </c>
      <c r="G533" s="11" t="str">
        <f aca="false">IF($A533="","",IF(원본명단!$K532="",0,COUNTIF(원본명단!$K$3:$K$6002,원본명단!$K532)))</f>
        <v/>
      </c>
      <c r="H533" s="11" t="str">
        <f aca="false">IF($A533="","",IF(MAX($E533,$F533,$G533)&gt;1,"중복","-"))</f>
        <v/>
      </c>
      <c r="I533" s="11" t="str">
        <f aca="false">IF($A533="","",IF($H533="-","-",IF(AND(IF(원본명단!$H532="",TRUE(),COUNTIF(원본명단!$H$3:$H532,원본명단!$H532)=1),IF(원본명단!$I532="",TRUE(),COUNTIF(원본명단!$I$3:$I532,원본명단!$I532)=1),IF(원본명단!$K532="",TRUE(),COUNTIF(원본명단!$K$3:$K532,원본명단!$K532)=1)),"첫 건","중복 건")))</f>
        <v/>
      </c>
      <c r="J533" s="11" t="str">
        <f aca="false">IF($A533="","",IF($H533="-","유지",IF($I533="첫 건","유지","확인 필요")))</f>
        <v/>
      </c>
    </row>
    <row r="534" customFormat="false" ht="15" hidden="false" customHeight="true" outlineLevel="0" collapsed="false">
      <c r="A534" s="11" t="str">
        <f aca="false">IF(원본명단!$A533="","",531)</f>
        <v/>
      </c>
      <c r="B534" s="12" t="str">
        <f aca="false">IF($A534="","",원본명단!$A533)</f>
        <v/>
      </c>
      <c r="C534" s="12" t="str">
        <f aca="false">IF($A534="","",원본명단!$B533)</f>
        <v/>
      </c>
      <c r="D534" s="12" t="str">
        <f aca="false">IF($A534="","",원본명단!$D533)</f>
        <v/>
      </c>
      <c r="E534" s="11" t="str">
        <f aca="false">IF($A534="","",IF(원본명단!$H533="",0,COUNTIF(원본명단!$H$3:$H$6002,원본명단!$H533)))</f>
        <v/>
      </c>
      <c r="F534" s="11" t="str">
        <f aca="false">IF($A534="","",IF(원본명단!$I533="",0,COUNTIF(원본명단!$I$3:$I$6002,원본명단!$I533)))</f>
        <v/>
      </c>
      <c r="G534" s="11" t="str">
        <f aca="false">IF($A534="","",IF(원본명단!$K533="",0,COUNTIF(원본명단!$K$3:$K$6002,원본명단!$K533)))</f>
        <v/>
      </c>
      <c r="H534" s="11" t="str">
        <f aca="false">IF($A534="","",IF(MAX($E534,$F534,$G534)&gt;1,"중복","-"))</f>
        <v/>
      </c>
      <c r="I534" s="11" t="str">
        <f aca="false">IF($A534="","",IF($H534="-","-",IF(AND(IF(원본명단!$H533="",TRUE(),COUNTIF(원본명단!$H$3:$H533,원본명단!$H533)=1),IF(원본명단!$I533="",TRUE(),COUNTIF(원본명단!$I$3:$I533,원본명단!$I533)=1),IF(원본명단!$K533="",TRUE(),COUNTIF(원본명단!$K$3:$K533,원본명단!$K533)=1)),"첫 건","중복 건")))</f>
        <v/>
      </c>
      <c r="J534" s="11" t="str">
        <f aca="false">IF($A534="","",IF($H534="-","유지",IF($I534="첫 건","유지","확인 필요")))</f>
        <v/>
      </c>
    </row>
    <row r="535" customFormat="false" ht="15" hidden="false" customHeight="true" outlineLevel="0" collapsed="false">
      <c r="A535" s="11" t="str">
        <f aca="false">IF(원본명단!$A534="","",532)</f>
        <v/>
      </c>
      <c r="B535" s="12" t="str">
        <f aca="false">IF($A535="","",원본명단!$A534)</f>
        <v/>
      </c>
      <c r="C535" s="12" t="str">
        <f aca="false">IF($A535="","",원본명단!$B534)</f>
        <v/>
      </c>
      <c r="D535" s="12" t="str">
        <f aca="false">IF($A535="","",원본명단!$D534)</f>
        <v/>
      </c>
      <c r="E535" s="11" t="str">
        <f aca="false">IF($A535="","",IF(원본명단!$H534="",0,COUNTIF(원본명단!$H$3:$H$6002,원본명단!$H534)))</f>
        <v/>
      </c>
      <c r="F535" s="11" t="str">
        <f aca="false">IF($A535="","",IF(원본명단!$I534="",0,COUNTIF(원본명단!$I$3:$I$6002,원본명단!$I534)))</f>
        <v/>
      </c>
      <c r="G535" s="11" t="str">
        <f aca="false">IF($A535="","",IF(원본명단!$K534="",0,COUNTIF(원본명단!$K$3:$K$6002,원본명단!$K534)))</f>
        <v/>
      </c>
      <c r="H535" s="11" t="str">
        <f aca="false">IF($A535="","",IF(MAX($E535,$F535,$G535)&gt;1,"중복","-"))</f>
        <v/>
      </c>
      <c r="I535" s="11" t="str">
        <f aca="false">IF($A535="","",IF($H535="-","-",IF(AND(IF(원본명단!$H534="",TRUE(),COUNTIF(원본명단!$H$3:$H534,원본명단!$H534)=1),IF(원본명단!$I534="",TRUE(),COUNTIF(원본명단!$I$3:$I534,원본명단!$I534)=1),IF(원본명단!$K534="",TRUE(),COUNTIF(원본명단!$K$3:$K534,원본명단!$K534)=1)),"첫 건","중복 건")))</f>
        <v/>
      </c>
      <c r="J535" s="11" t="str">
        <f aca="false">IF($A535="","",IF($H535="-","유지",IF($I535="첫 건","유지","확인 필요")))</f>
        <v/>
      </c>
    </row>
    <row r="536" customFormat="false" ht="15" hidden="false" customHeight="true" outlineLevel="0" collapsed="false">
      <c r="A536" s="11" t="str">
        <f aca="false">IF(원본명단!$A535="","",533)</f>
        <v/>
      </c>
      <c r="B536" s="12" t="str">
        <f aca="false">IF($A536="","",원본명단!$A535)</f>
        <v/>
      </c>
      <c r="C536" s="12" t="str">
        <f aca="false">IF($A536="","",원본명단!$B535)</f>
        <v/>
      </c>
      <c r="D536" s="12" t="str">
        <f aca="false">IF($A536="","",원본명단!$D535)</f>
        <v/>
      </c>
      <c r="E536" s="11" t="str">
        <f aca="false">IF($A536="","",IF(원본명단!$H535="",0,COUNTIF(원본명단!$H$3:$H$6002,원본명단!$H535)))</f>
        <v/>
      </c>
      <c r="F536" s="11" t="str">
        <f aca="false">IF($A536="","",IF(원본명단!$I535="",0,COUNTIF(원본명단!$I$3:$I$6002,원본명단!$I535)))</f>
        <v/>
      </c>
      <c r="G536" s="11" t="str">
        <f aca="false">IF($A536="","",IF(원본명단!$K535="",0,COUNTIF(원본명단!$K$3:$K$6002,원본명단!$K535)))</f>
        <v/>
      </c>
      <c r="H536" s="11" t="str">
        <f aca="false">IF($A536="","",IF(MAX($E536,$F536,$G536)&gt;1,"중복","-"))</f>
        <v/>
      </c>
      <c r="I536" s="11" t="str">
        <f aca="false">IF($A536="","",IF($H536="-","-",IF(AND(IF(원본명단!$H535="",TRUE(),COUNTIF(원본명단!$H$3:$H535,원본명단!$H535)=1),IF(원본명단!$I535="",TRUE(),COUNTIF(원본명단!$I$3:$I535,원본명단!$I535)=1),IF(원본명단!$K535="",TRUE(),COUNTIF(원본명단!$K$3:$K535,원본명단!$K535)=1)),"첫 건","중복 건")))</f>
        <v/>
      </c>
      <c r="J536" s="11" t="str">
        <f aca="false">IF($A536="","",IF($H536="-","유지",IF($I536="첫 건","유지","확인 필요")))</f>
        <v/>
      </c>
    </row>
    <row r="537" customFormat="false" ht="15" hidden="false" customHeight="true" outlineLevel="0" collapsed="false">
      <c r="A537" s="11" t="str">
        <f aca="false">IF(원본명단!$A536="","",534)</f>
        <v/>
      </c>
      <c r="B537" s="12" t="str">
        <f aca="false">IF($A537="","",원본명단!$A536)</f>
        <v/>
      </c>
      <c r="C537" s="12" t="str">
        <f aca="false">IF($A537="","",원본명단!$B536)</f>
        <v/>
      </c>
      <c r="D537" s="12" t="str">
        <f aca="false">IF($A537="","",원본명단!$D536)</f>
        <v/>
      </c>
      <c r="E537" s="11" t="str">
        <f aca="false">IF($A537="","",IF(원본명단!$H536="",0,COUNTIF(원본명단!$H$3:$H$6002,원본명단!$H536)))</f>
        <v/>
      </c>
      <c r="F537" s="11" t="str">
        <f aca="false">IF($A537="","",IF(원본명단!$I536="",0,COUNTIF(원본명단!$I$3:$I$6002,원본명단!$I536)))</f>
        <v/>
      </c>
      <c r="G537" s="11" t="str">
        <f aca="false">IF($A537="","",IF(원본명단!$K536="",0,COUNTIF(원본명단!$K$3:$K$6002,원본명단!$K536)))</f>
        <v/>
      </c>
      <c r="H537" s="11" t="str">
        <f aca="false">IF($A537="","",IF(MAX($E537,$F537,$G537)&gt;1,"중복","-"))</f>
        <v/>
      </c>
      <c r="I537" s="11" t="str">
        <f aca="false">IF($A537="","",IF($H537="-","-",IF(AND(IF(원본명단!$H536="",TRUE(),COUNTIF(원본명단!$H$3:$H536,원본명단!$H536)=1),IF(원본명단!$I536="",TRUE(),COUNTIF(원본명단!$I$3:$I536,원본명단!$I536)=1),IF(원본명단!$K536="",TRUE(),COUNTIF(원본명단!$K$3:$K536,원본명단!$K536)=1)),"첫 건","중복 건")))</f>
        <v/>
      </c>
      <c r="J537" s="11" t="str">
        <f aca="false">IF($A537="","",IF($H537="-","유지",IF($I537="첫 건","유지","확인 필요")))</f>
        <v/>
      </c>
    </row>
    <row r="538" customFormat="false" ht="15" hidden="false" customHeight="true" outlineLevel="0" collapsed="false">
      <c r="A538" s="11" t="str">
        <f aca="false">IF(원본명단!$A537="","",535)</f>
        <v/>
      </c>
      <c r="B538" s="12" t="str">
        <f aca="false">IF($A538="","",원본명단!$A537)</f>
        <v/>
      </c>
      <c r="C538" s="12" t="str">
        <f aca="false">IF($A538="","",원본명단!$B537)</f>
        <v/>
      </c>
      <c r="D538" s="12" t="str">
        <f aca="false">IF($A538="","",원본명단!$D537)</f>
        <v/>
      </c>
      <c r="E538" s="11" t="str">
        <f aca="false">IF($A538="","",IF(원본명단!$H537="",0,COUNTIF(원본명단!$H$3:$H$6002,원본명단!$H537)))</f>
        <v/>
      </c>
      <c r="F538" s="11" t="str">
        <f aca="false">IF($A538="","",IF(원본명단!$I537="",0,COUNTIF(원본명단!$I$3:$I$6002,원본명단!$I537)))</f>
        <v/>
      </c>
      <c r="G538" s="11" t="str">
        <f aca="false">IF($A538="","",IF(원본명단!$K537="",0,COUNTIF(원본명단!$K$3:$K$6002,원본명단!$K537)))</f>
        <v/>
      </c>
      <c r="H538" s="11" t="str">
        <f aca="false">IF($A538="","",IF(MAX($E538,$F538,$G538)&gt;1,"중복","-"))</f>
        <v/>
      </c>
      <c r="I538" s="11" t="str">
        <f aca="false">IF($A538="","",IF($H538="-","-",IF(AND(IF(원본명단!$H537="",TRUE(),COUNTIF(원본명단!$H$3:$H537,원본명단!$H537)=1),IF(원본명단!$I537="",TRUE(),COUNTIF(원본명단!$I$3:$I537,원본명단!$I537)=1),IF(원본명단!$K537="",TRUE(),COUNTIF(원본명단!$K$3:$K537,원본명단!$K537)=1)),"첫 건","중복 건")))</f>
        <v/>
      </c>
      <c r="J538" s="11" t="str">
        <f aca="false">IF($A538="","",IF($H538="-","유지",IF($I538="첫 건","유지","확인 필요")))</f>
        <v/>
      </c>
    </row>
    <row r="539" customFormat="false" ht="15" hidden="false" customHeight="true" outlineLevel="0" collapsed="false">
      <c r="A539" s="11" t="str">
        <f aca="false">IF(원본명단!$A538="","",536)</f>
        <v/>
      </c>
      <c r="B539" s="12" t="str">
        <f aca="false">IF($A539="","",원본명단!$A538)</f>
        <v/>
      </c>
      <c r="C539" s="12" t="str">
        <f aca="false">IF($A539="","",원본명단!$B538)</f>
        <v/>
      </c>
      <c r="D539" s="12" t="str">
        <f aca="false">IF($A539="","",원본명단!$D538)</f>
        <v/>
      </c>
      <c r="E539" s="11" t="str">
        <f aca="false">IF($A539="","",IF(원본명단!$H538="",0,COUNTIF(원본명단!$H$3:$H$6002,원본명단!$H538)))</f>
        <v/>
      </c>
      <c r="F539" s="11" t="str">
        <f aca="false">IF($A539="","",IF(원본명단!$I538="",0,COUNTIF(원본명단!$I$3:$I$6002,원본명단!$I538)))</f>
        <v/>
      </c>
      <c r="G539" s="11" t="str">
        <f aca="false">IF($A539="","",IF(원본명단!$K538="",0,COUNTIF(원본명단!$K$3:$K$6002,원본명단!$K538)))</f>
        <v/>
      </c>
      <c r="H539" s="11" t="str">
        <f aca="false">IF($A539="","",IF(MAX($E539,$F539,$G539)&gt;1,"중복","-"))</f>
        <v/>
      </c>
      <c r="I539" s="11" t="str">
        <f aca="false">IF($A539="","",IF($H539="-","-",IF(AND(IF(원본명단!$H538="",TRUE(),COUNTIF(원본명단!$H$3:$H538,원본명단!$H538)=1),IF(원본명단!$I538="",TRUE(),COUNTIF(원본명단!$I$3:$I538,원본명단!$I538)=1),IF(원본명단!$K538="",TRUE(),COUNTIF(원본명단!$K$3:$K538,원본명단!$K538)=1)),"첫 건","중복 건")))</f>
        <v/>
      </c>
      <c r="J539" s="11" t="str">
        <f aca="false">IF($A539="","",IF($H539="-","유지",IF($I539="첫 건","유지","확인 필요")))</f>
        <v/>
      </c>
    </row>
    <row r="540" customFormat="false" ht="15" hidden="false" customHeight="true" outlineLevel="0" collapsed="false">
      <c r="A540" s="11" t="str">
        <f aca="false">IF(원본명단!$A539="","",537)</f>
        <v/>
      </c>
      <c r="B540" s="12" t="str">
        <f aca="false">IF($A540="","",원본명단!$A539)</f>
        <v/>
      </c>
      <c r="C540" s="12" t="str">
        <f aca="false">IF($A540="","",원본명단!$B539)</f>
        <v/>
      </c>
      <c r="D540" s="12" t="str">
        <f aca="false">IF($A540="","",원본명단!$D539)</f>
        <v/>
      </c>
      <c r="E540" s="11" t="str">
        <f aca="false">IF($A540="","",IF(원본명단!$H539="",0,COUNTIF(원본명단!$H$3:$H$6002,원본명단!$H539)))</f>
        <v/>
      </c>
      <c r="F540" s="11" t="str">
        <f aca="false">IF($A540="","",IF(원본명단!$I539="",0,COUNTIF(원본명단!$I$3:$I$6002,원본명단!$I539)))</f>
        <v/>
      </c>
      <c r="G540" s="11" t="str">
        <f aca="false">IF($A540="","",IF(원본명단!$K539="",0,COUNTIF(원본명단!$K$3:$K$6002,원본명단!$K539)))</f>
        <v/>
      </c>
      <c r="H540" s="11" t="str">
        <f aca="false">IF($A540="","",IF(MAX($E540,$F540,$G540)&gt;1,"중복","-"))</f>
        <v/>
      </c>
      <c r="I540" s="11" t="str">
        <f aca="false">IF($A540="","",IF($H540="-","-",IF(AND(IF(원본명단!$H539="",TRUE(),COUNTIF(원본명단!$H$3:$H539,원본명단!$H539)=1),IF(원본명단!$I539="",TRUE(),COUNTIF(원본명단!$I$3:$I539,원본명단!$I539)=1),IF(원본명단!$K539="",TRUE(),COUNTIF(원본명단!$K$3:$K539,원본명단!$K539)=1)),"첫 건","중복 건")))</f>
        <v/>
      </c>
      <c r="J540" s="11" t="str">
        <f aca="false">IF($A540="","",IF($H540="-","유지",IF($I540="첫 건","유지","확인 필요")))</f>
        <v/>
      </c>
    </row>
    <row r="541" customFormat="false" ht="15" hidden="false" customHeight="true" outlineLevel="0" collapsed="false">
      <c r="A541" s="11" t="str">
        <f aca="false">IF(원본명단!$A540="","",538)</f>
        <v/>
      </c>
      <c r="B541" s="12" t="str">
        <f aca="false">IF($A541="","",원본명단!$A540)</f>
        <v/>
      </c>
      <c r="C541" s="12" t="str">
        <f aca="false">IF($A541="","",원본명단!$B540)</f>
        <v/>
      </c>
      <c r="D541" s="12" t="str">
        <f aca="false">IF($A541="","",원본명단!$D540)</f>
        <v/>
      </c>
      <c r="E541" s="11" t="str">
        <f aca="false">IF($A541="","",IF(원본명단!$H540="",0,COUNTIF(원본명단!$H$3:$H$6002,원본명단!$H540)))</f>
        <v/>
      </c>
      <c r="F541" s="11" t="str">
        <f aca="false">IF($A541="","",IF(원본명단!$I540="",0,COUNTIF(원본명단!$I$3:$I$6002,원본명단!$I540)))</f>
        <v/>
      </c>
      <c r="G541" s="11" t="str">
        <f aca="false">IF($A541="","",IF(원본명단!$K540="",0,COUNTIF(원본명단!$K$3:$K$6002,원본명단!$K540)))</f>
        <v/>
      </c>
      <c r="H541" s="11" t="str">
        <f aca="false">IF($A541="","",IF(MAX($E541,$F541,$G541)&gt;1,"중복","-"))</f>
        <v/>
      </c>
      <c r="I541" s="11" t="str">
        <f aca="false">IF($A541="","",IF($H541="-","-",IF(AND(IF(원본명단!$H540="",TRUE(),COUNTIF(원본명단!$H$3:$H540,원본명단!$H540)=1),IF(원본명단!$I540="",TRUE(),COUNTIF(원본명단!$I$3:$I540,원본명단!$I540)=1),IF(원본명단!$K540="",TRUE(),COUNTIF(원본명단!$K$3:$K540,원본명단!$K540)=1)),"첫 건","중복 건")))</f>
        <v/>
      </c>
      <c r="J541" s="11" t="str">
        <f aca="false">IF($A541="","",IF($H541="-","유지",IF($I541="첫 건","유지","확인 필요")))</f>
        <v/>
      </c>
    </row>
    <row r="542" customFormat="false" ht="15" hidden="false" customHeight="true" outlineLevel="0" collapsed="false">
      <c r="A542" s="11" t="str">
        <f aca="false">IF(원본명단!$A541="","",539)</f>
        <v/>
      </c>
      <c r="B542" s="12" t="str">
        <f aca="false">IF($A542="","",원본명단!$A541)</f>
        <v/>
      </c>
      <c r="C542" s="12" t="str">
        <f aca="false">IF($A542="","",원본명단!$B541)</f>
        <v/>
      </c>
      <c r="D542" s="12" t="str">
        <f aca="false">IF($A542="","",원본명단!$D541)</f>
        <v/>
      </c>
      <c r="E542" s="11" t="str">
        <f aca="false">IF($A542="","",IF(원본명단!$H541="",0,COUNTIF(원본명단!$H$3:$H$6002,원본명단!$H541)))</f>
        <v/>
      </c>
      <c r="F542" s="11" t="str">
        <f aca="false">IF($A542="","",IF(원본명단!$I541="",0,COUNTIF(원본명단!$I$3:$I$6002,원본명단!$I541)))</f>
        <v/>
      </c>
      <c r="G542" s="11" t="str">
        <f aca="false">IF($A542="","",IF(원본명단!$K541="",0,COUNTIF(원본명단!$K$3:$K$6002,원본명단!$K541)))</f>
        <v/>
      </c>
      <c r="H542" s="11" t="str">
        <f aca="false">IF($A542="","",IF(MAX($E542,$F542,$G542)&gt;1,"중복","-"))</f>
        <v/>
      </c>
      <c r="I542" s="11" t="str">
        <f aca="false">IF($A542="","",IF($H542="-","-",IF(AND(IF(원본명단!$H541="",TRUE(),COUNTIF(원본명단!$H$3:$H541,원본명단!$H541)=1),IF(원본명단!$I541="",TRUE(),COUNTIF(원본명단!$I$3:$I541,원본명단!$I541)=1),IF(원본명단!$K541="",TRUE(),COUNTIF(원본명단!$K$3:$K541,원본명단!$K541)=1)),"첫 건","중복 건")))</f>
        <v/>
      </c>
      <c r="J542" s="11" t="str">
        <f aca="false">IF($A542="","",IF($H542="-","유지",IF($I542="첫 건","유지","확인 필요")))</f>
        <v/>
      </c>
    </row>
    <row r="543" customFormat="false" ht="15" hidden="false" customHeight="true" outlineLevel="0" collapsed="false">
      <c r="A543" s="11" t="str">
        <f aca="false">IF(원본명단!$A542="","",540)</f>
        <v/>
      </c>
      <c r="B543" s="12" t="str">
        <f aca="false">IF($A543="","",원본명단!$A542)</f>
        <v/>
      </c>
      <c r="C543" s="12" t="str">
        <f aca="false">IF($A543="","",원본명단!$B542)</f>
        <v/>
      </c>
      <c r="D543" s="12" t="str">
        <f aca="false">IF($A543="","",원본명단!$D542)</f>
        <v/>
      </c>
      <c r="E543" s="11" t="str">
        <f aca="false">IF($A543="","",IF(원본명단!$H542="",0,COUNTIF(원본명단!$H$3:$H$6002,원본명단!$H542)))</f>
        <v/>
      </c>
      <c r="F543" s="11" t="str">
        <f aca="false">IF($A543="","",IF(원본명단!$I542="",0,COUNTIF(원본명단!$I$3:$I$6002,원본명단!$I542)))</f>
        <v/>
      </c>
      <c r="G543" s="11" t="str">
        <f aca="false">IF($A543="","",IF(원본명단!$K542="",0,COUNTIF(원본명단!$K$3:$K$6002,원본명단!$K542)))</f>
        <v/>
      </c>
      <c r="H543" s="11" t="str">
        <f aca="false">IF($A543="","",IF(MAX($E543,$F543,$G543)&gt;1,"중복","-"))</f>
        <v/>
      </c>
      <c r="I543" s="11" t="str">
        <f aca="false">IF($A543="","",IF($H543="-","-",IF(AND(IF(원본명단!$H542="",TRUE(),COUNTIF(원본명단!$H$3:$H542,원본명단!$H542)=1),IF(원본명단!$I542="",TRUE(),COUNTIF(원본명단!$I$3:$I542,원본명단!$I542)=1),IF(원본명단!$K542="",TRUE(),COUNTIF(원본명단!$K$3:$K542,원본명단!$K542)=1)),"첫 건","중복 건")))</f>
        <v/>
      </c>
      <c r="J543" s="11" t="str">
        <f aca="false">IF($A543="","",IF($H543="-","유지",IF($I543="첫 건","유지","확인 필요")))</f>
        <v/>
      </c>
    </row>
    <row r="544" customFormat="false" ht="15" hidden="false" customHeight="true" outlineLevel="0" collapsed="false">
      <c r="A544" s="11" t="str">
        <f aca="false">IF(원본명단!$A543="","",541)</f>
        <v/>
      </c>
      <c r="B544" s="12" t="str">
        <f aca="false">IF($A544="","",원본명단!$A543)</f>
        <v/>
      </c>
      <c r="C544" s="12" t="str">
        <f aca="false">IF($A544="","",원본명단!$B543)</f>
        <v/>
      </c>
      <c r="D544" s="12" t="str">
        <f aca="false">IF($A544="","",원본명단!$D543)</f>
        <v/>
      </c>
      <c r="E544" s="11" t="str">
        <f aca="false">IF($A544="","",IF(원본명단!$H543="",0,COUNTIF(원본명단!$H$3:$H$6002,원본명단!$H543)))</f>
        <v/>
      </c>
      <c r="F544" s="11" t="str">
        <f aca="false">IF($A544="","",IF(원본명단!$I543="",0,COUNTIF(원본명단!$I$3:$I$6002,원본명단!$I543)))</f>
        <v/>
      </c>
      <c r="G544" s="11" t="str">
        <f aca="false">IF($A544="","",IF(원본명단!$K543="",0,COUNTIF(원본명단!$K$3:$K$6002,원본명단!$K543)))</f>
        <v/>
      </c>
      <c r="H544" s="11" t="str">
        <f aca="false">IF($A544="","",IF(MAX($E544,$F544,$G544)&gt;1,"중복","-"))</f>
        <v/>
      </c>
      <c r="I544" s="11" t="str">
        <f aca="false">IF($A544="","",IF($H544="-","-",IF(AND(IF(원본명단!$H543="",TRUE(),COUNTIF(원본명단!$H$3:$H543,원본명단!$H543)=1),IF(원본명단!$I543="",TRUE(),COUNTIF(원본명단!$I$3:$I543,원본명단!$I543)=1),IF(원본명단!$K543="",TRUE(),COUNTIF(원본명단!$K$3:$K543,원본명단!$K543)=1)),"첫 건","중복 건")))</f>
        <v/>
      </c>
      <c r="J544" s="11" t="str">
        <f aca="false">IF($A544="","",IF($H544="-","유지",IF($I544="첫 건","유지","확인 필요")))</f>
        <v/>
      </c>
    </row>
    <row r="545" customFormat="false" ht="15" hidden="false" customHeight="true" outlineLevel="0" collapsed="false">
      <c r="A545" s="11" t="str">
        <f aca="false">IF(원본명단!$A544="","",542)</f>
        <v/>
      </c>
      <c r="B545" s="12" t="str">
        <f aca="false">IF($A545="","",원본명단!$A544)</f>
        <v/>
      </c>
      <c r="C545" s="12" t="str">
        <f aca="false">IF($A545="","",원본명단!$B544)</f>
        <v/>
      </c>
      <c r="D545" s="12" t="str">
        <f aca="false">IF($A545="","",원본명단!$D544)</f>
        <v/>
      </c>
      <c r="E545" s="11" t="str">
        <f aca="false">IF($A545="","",IF(원본명단!$H544="",0,COUNTIF(원본명단!$H$3:$H$6002,원본명단!$H544)))</f>
        <v/>
      </c>
      <c r="F545" s="11" t="str">
        <f aca="false">IF($A545="","",IF(원본명단!$I544="",0,COUNTIF(원본명단!$I$3:$I$6002,원본명단!$I544)))</f>
        <v/>
      </c>
      <c r="G545" s="11" t="str">
        <f aca="false">IF($A545="","",IF(원본명단!$K544="",0,COUNTIF(원본명단!$K$3:$K$6002,원본명단!$K544)))</f>
        <v/>
      </c>
      <c r="H545" s="11" t="str">
        <f aca="false">IF($A545="","",IF(MAX($E545,$F545,$G545)&gt;1,"중복","-"))</f>
        <v/>
      </c>
      <c r="I545" s="11" t="str">
        <f aca="false">IF($A545="","",IF($H545="-","-",IF(AND(IF(원본명단!$H544="",TRUE(),COUNTIF(원본명단!$H$3:$H544,원본명단!$H544)=1),IF(원본명단!$I544="",TRUE(),COUNTIF(원본명단!$I$3:$I544,원본명단!$I544)=1),IF(원본명단!$K544="",TRUE(),COUNTIF(원본명단!$K$3:$K544,원본명단!$K544)=1)),"첫 건","중복 건")))</f>
        <v/>
      </c>
      <c r="J545" s="11" t="str">
        <f aca="false">IF($A545="","",IF($H545="-","유지",IF($I545="첫 건","유지","확인 필요")))</f>
        <v/>
      </c>
    </row>
    <row r="546" customFormat="false" ht="15" hidden="false" customHeight="true" outlineLevel="0" collapsed="false">
      <c r="A546" s="11" t="str">
        <f aca="false">IF(원본명단!$A545="","",543)</f>
        <v/>
      </c>
      <c r="B546" s="12" t="str">
        <f aca="false">IF($A546="","",원본명단!$A545)</f>
        <v/>
      </c>
      <c r="C546" s="12" t="str">
        <f aca="false">IF($A546="","",원본명단!$B545)</f>
        <v/>
      </c>
      <c r="D546" s="12" t="str">
        <f aca="false">IF($A546="","",원본명단!$D545)</f>
        <v/>
      </c>
      <c r="E546" s="11" t="str">
        <f aca="false">IF($A546="","",IF(원본명단!$H545="",0,COUNTIF(원본명단!$H$3:$H$6002,원본명단!$H545)))</f>
        <v/>
      </c>
      <c r="F546" s="11" t="str">
        <f aca="false">IF($A546="","",IF(원본명단!$I545="",0,COUNTIF(원본명단!$I$3:$I$6002,원본명단!$I545)))</f>
        <v/>
      </c>
      <c r="G546" s="11" t="str">
        <f aca="false">IF($A546="","",IF(원본명단!$K545="",0,COUNTIF(원본명단!$K$3:$K$6002,원본명단!$K545)))</f>
        <v/>
      </c>
      <c r="H546" s="11" t="str">
        <f aca="false">IF($A546="","",IF(MAX($E546,$F546,$G546)&gt;1,"중복","-"))</f>
        <v/>
      </c>
      <c r="I546" s="11" t="str">
        <f aca="false">IF($A546="","",IF($H546="-","-",IF(AND(IF(원본명단!$H545="",TRUE(),COUNTIF(원본명단!$H$3:$H545,원본명단!$H545)=1),IF(원본명단!$I545="",TRUE(),COUNTIF(원본명단!$I$3:$I545,원본명단!$I545)=1),IF(원본명단!$K545="",TRUE(),COUNTIF(원본명단!$K$3:$K545,원본명단!$K545)=1)),"첫 건","중복 건")))</f>
        <v/>
      </c>
      <c r="J546" s="11" t="str">
        <f aca="false">IF($A546="","",IF($H546="-","유지",IF($I546="첫 건","유지","확인 필요")))</f>
        <v/>
      </c>
    </row>
    <row r="547" customFormat="false" ht="15" hidden="false" customHeight="true" outlineLevel="0" collapsed="false">
      <c r="A547" s="11" t="str">
        <f aca="false">IF(원본명단!$A546="","",544)</f>
        <v/>
      </c>
      <c r="B547" s="12" t="str">
        <f aca="false">IF($A547="","",원본명단!$A546)</f>
        <v/>
      </c>
      <c r="C547" s="12" t="str">
        <f aca="false">IF($A547="","",원본명단!$B546)</f>
        <v/>
      </c>
      <c r="D547" s="12" t="str">
        <f aca="false">IF($A547="","",원본명단!$D546)</f>
        <v/>
      </c>
      <c r="E547" s="11" t="str">
        <f aca="false">IF($A547="","",IF(원본명단!$H546="",0,COUNTIF(원본명단!$H$3:$H$6002,원본명단!$H546)))</f>
        <v/>
      </c>
      <c r="F547" s="11" t="str">
        <f aca="false">IF($A547="","",IF(원본명단!$I546="",0,COUNTIF(원본명단!$I$3:$I$6002,원본명단!$I546)))</f>
        <v/>
      </c>
      <c r="G547" s="11" t="str">
        <f aca="false">IF($A547="","",IF(원본명단!$K546="",0,COUNTIF(원본명단!$K$3:$K$6002,원본명단!$K546)))</f>
        <v/>
      </c>
      <c r="H547" s="11" t="str">
        <f aca="false">IF($A547="","",IF(MAX($E547,$F547,$G547)&gt;1,"중복","-"))</f>
        <v/>
      </c>
      <c r="I547" s="11" t="str">
        <f aca="false">IF($A547="","",IF($H547="-","-",IF(AND(IF(원본명단!$H546="",TRUE(),COUNTIF(원본명단!$H$3:$H546,원본명단!$H546)=1),IF(원본명단!$I546="",TRUE(),COUNTIF(원본명단!$I$3:$I546,원본명단!$I546)=1),IF(원본명단!$K546="",TRUE(),COUNTIF(원본명단!$K$3:$K546,원본명단!$K546)=1)),"첫 건","중복 건")))</f>
        <v/>
      </c>
      <c r="J547" s="11" t="str">
        <f aca="false">IF($A547="","",IF($H547="-","유지",IF($I547="첫 건","유지","확인 필요")))</f>
        <v/>
      </c>
    </row>
    <row r="548" customFormat="false" ht="15" hidden="false" customHeight="true" outlineLevel="0" collapsed="false">
      <c r="A548" s="11" t="str">
        <f aca="false">IF(원본명단!$A547="","",545)</f>
        <v/>
      </c>
      <c r="B548" s="12" t="str">
        <f aca="false">IF($A548="","",원본명단!$A547)</f>
        <v/>
      </c>
      <c r="C548" s="12" t="str">
        <f aca="false">IF($A548="","",원본명단!$B547)</f>
        <v/>
      </c>
      <c r="D548" s="12" t="str">
        <f aca="false">IF($A548="","",원본명단!$D547)</f>
        <v/>
      </c>
      <c r="E548" s="11" t="str">
        <f aca="false">IF($A548="","",IF(원본명단!$H547="",0,COUNTIF(원본명단!$H$3:$H$6002,원본명단!$H547)))</f>
        <v/>
      </c>
      <c r="F548" s="11" t="str">
        <f aca="false">IF($A548="","",IF(원본명단!$I547="",0,COUNTIF(원본명단!$I$3:$I$6002,원본명단!$I547)))</f>
        <v/>
      </c>
      <c r="G548" s="11" t="str">
        <f aca="false">IF($A548="","",IF(원본명단!$K547="",0,COUNTIF(원본명단!$K$3:$K$6002,원본명단!$K547)))</f>
        <v/>
      </c>
      <c r="H548" s="11" t="str">
        <f aca="false">IF($A548="","",IF(MAX($E548,$F548,$G548)&gt;1,"중복","-"))</f>
        <v/>
      </c>
      <c r="I548" s="11" t="str">
        <f aca="false">IF($A548="","",IF($H548="-","-",IF(AND(IF(원본명단!$H547="",TRUE(),COUNTIF(원본명단!$H$3:$H547,원본명단!$H547)=1),IF(원본명단!$I547="",TRUE(),COUNTIF(원본명단!$I$3:$I547,원본명단!$I547)=1),IF(원본명단!$K547="",TRUE(),COUNTIF(원본명단!$K$3:$K547,원본명단!$K547)=1)),"첫 건","중복 건")))</f>
        <v/>
      </c>
      <c r="J548" s="11" t="str">
        <f aca="false">IF($A548="","",IF($H548="-","유지",IF($I548="첫 건","유지","확인 필요")))</f>
        <v/>
      </c>
    </row>
    <row r="549" customFormat="false" ht="15" hidden="false" customHeight="true" outlineLevel="0" collapsed="false">
      <c r="A549" s="11" t="str">
        <f aca="false">IF(원본명단!$A548="","",546)</f>
        <v/>
      </c>
      <c r="B549" s="12" t="str">
        <f aca="false">IF($A549="","",원본명단!$A548)</f>
        <v/>
      </c>
      <c r="C549" s="12" t="str">
        <f aca="false">IF($A549="","",원본명단!$B548)</f>
        <v/>
      </c>
      <c r="D549" s="12" t="str">
        <f aca="false">IF($A549="","",원본명단!$D548)</f>
        <v/>
      </c>
      <c r="E549" s="11" t="str">
        <f aca="false">IF($A549="","",IF(원본명단!$H548="",0,COUNTIF(원본명단!$H$3:$H$6002,원본명단!$H548)))</f>
        <v/>
      </c>
      <c r="F549" s="11" t="str">
        <f aca="false">IF($A549="","",IF(원본명단!$I548="",0,COUNTIF(원본명단!$I$3:$I$6002,원본명단!$I548)))</f>
        <v/>
      </c>
      <c r="G549" s="11" t="str">
        <f aca="false">IF($A549="","",IF(원본명단!$K548="",0,COUNTIF(원본명단!$K$3:$K$6002,원본명단!$K548)))</f>
        <v/>
      </c>
      <c r="H549" s="11" t="str">
        <f aca="false">IF($A549="","",IF(MAX($E549,$F549,$G549)&gt;1,"중복","-"))</f>
        <v/>
      </c>
      <c r="I549" s="11" t="str">
        <f aca="false">IF($A549="","",IF($H549="-","-",IF(AND(IF(원본명단!$H548="",TRUE(),COUNTIF(원본명단!$H$3:$H548,원본명단!$H548)=1),IF(원본명단!$I548="",TRUE(),COUNTIF(원본명단!$I$3:$I548,원본명단!$I548)=1),IF(원본명단!$K548="",TRUE(),COUNTIF(원본명단!$K$3:$K548,원본명단!$K548)=1)),"첫 건","중복 건")))</f>
        <v/>
      </c>
      <c r="J549" s="11" t="str">
        <f aca="false">IF($A549="","",IF($H549="-","유지",IF($I549="첫 건","유지","확인 필요")))</f>
        <v/>
      </c>
    </row>
    <row r="550" customFormat="false" ht="15" hidden="false" customHeight="true" outlineLevel="0" collapsed="false">
      <c r="A550" s="11" t="str">
        <f aca="false">IF(원본명단!$A549="","",547)</f>
        <v/>
      </c>
      <c r="B550" s="12" t="str">
        <f aca="false">IF($A550="","",원본명단!$A549)</f>
        <v/>
      </c>
      <c r="C550" s="12" t="str">
        <f aca="false">IF($A550="","",원본명단!$B549)</f>
        <v/>
      </c>
      <c r="D550" s="12" t="str">
        <f aca="false">IF($A550="","",원본명단!$D549)</f>
        <v/>
      </c>
      <c r="E550" s="11" t="str">
        <f aca="false">IF($A550="","",IF(원본명단!$H549="",0,COUNTIF(원본명단!$H$3:$H$6002,원본명단!$H549)))</f>
        <v/>
      </c>
      <c r="F550" s="11" t="str">
        <f aca="false">IF($A550="","",IF(원본명단!$I549="",0,COUNTIF(원본명단!$I$3:$I$6002,원본명단!$I549)))</f>
        <v/>
      </c>
      <c r="G550" s="11" t="str">
        <f aca="false">IF($A550="","",IF(원본명단!$K549="",0,COUNTIF(원본명단!$K$3:$K$6002,원본명단!$K549)))</f>
        <v/>
      </c>
      <c r="H550" s="11" t="str">
        <f aca="false">IF($A550="","",IF(MAX($E550,$F550,$G550)&gt;1,"중복","-"))</f>
        <v/>
      </c>
      <c r="I550" s="11" t="str">
        <f aca="false">IF($A550="","",IF($H550="-","-",IF(AND(IF(원본명단!$H549="",TRUE(),COUNTIF(원본명단!$H$3:$H549,원본명단!$H549)=1),IF(원본명단!$I549="",TRUE(),COUNTIF(원본명단!$I$3:$I549,원본명단!$I549)=1),IF(원본명단!$K549="",TRUE(),COUNTIF(원본명단!$K$3:$K549,원본명단!$K549)=1)),"첫 건","중복 건")))</f>
        <v/>
      </c>
      <c r="J550" s="11" t="str">
        <f aca="false">IF($A550="","",IF($H550="-","유지",IF($I550="첫 건","유지","확인 필요")))</f>
        <v/>
      </c>
    </row>
    <row r="551" customFormat="false" ht="15" hidden="false" customHeight="true" outlineLevel="0" collapsed="false">
      <c r="A551" s="11" t="str">
        <f aca="false">IF(원본명단!$A550="","",548)</f>
        <v/>
      </c>
      <c r="B551" s="12" t="str">
        <f aca="false">IF($A551="","",원본명단!$A550)</f>
        <v/>
      </c>
      <c r="C551" s="12" t="str">
        <f aca="false">IF($A551="","",원본명단!$B550)</f>
        <v/>
      </c>
      <c r="D551" s="12" t="str">
        <f aca="false">IF($A551="","",원본명단!$D550)</f>
        <v/>
      </c>
      <c r="E551" s="11" t="str">
        <f aca="false">IF($A551="","",IF(원본명단!$H550="",0,COUNTIF(원본명단!$H$3:$H$6002,원본명단!$H550)))</f>
        <v/>
      </c>
      <c r="F551" s="11" t="str">
        <f aca="false">IF($A551="","",IF(원본명단!$I550="",0,COUNTIF(원본명단!$I$3:$I$6002,원본명단!$I550)))</f>
        <v/>
      </c>
      <c r="G551" s="11" t="str">
        <f aca="false">IF($A551="","",IF(원본명단!$K550="",0,COUNTIF(원본명단!$K$3:$K$6002,원본명단!$K550)))</f>
        <v/>
      </c>
      <c r="H551" s="11" t="str">
        <f aca="false">IF($A551="","",IF(MAX($E551,$F551,$G551)&gt;1,"중복","-"))</f>
        <v/>
      </c>
      <c r="I551" s="11" t="str">
        <f aca="false">IF($A551="","",IF($H551="-","-",IF(AND(IF(원본명단!$H550="",TRUE(),COUNTIF(원본명단!$H$3:$H550,원본명단!$H550)=1),IF(원본명단!$I550="",TRUE(),COUNTIF(원본명단!$I$3:$I550,원본명단!$I550)=1),IF(원본명단!$K550="",TRUE(),COUNTIF(원본명단!$K$3:$K550,원본명단!$K550)=1)),"첫 건","중복 건")))</f>
        <v/>
      </c>
      <c r="J551" s="11" t="str">
        <f aca="false">IF($A551="","",IF($H551="-","유지",IF($I551="첫 건","유지","확인 필요")))</f>
        <v/>
      </c>
    </row>
    <row r="552" customFormat="false" ht="15" hidden="false" customHeight="true" outlineLevel="0" collapsed="false">
      <c r="A552" s="11" t="str">
        <f aca="false">IF(원본명단!$A551="","",549)</f>
        <v/>
      </c>
      <c r="B552" s="12" t="str">
        <f aca="false">IF($A552="","",원본명단!$A551)</f>
        <v/>
      </c>
      <c r="C552" s="12" t="str">
        <f aca="false">IF($A552="","",원본명단!$B551)</f>
        <v/>
      </c>
      <c r="D552" s="12" t="str">
        <f aca="false">IF($A552="","",원본명단!$D551)</f>
        <v/>
      </c>
      <c r="E552" s="11" t="str">
        <f aca="false">IF($A552="","",IF(원본명단!$H551="",0,COUNTIF(원본명단!$H$3:$H$6002,원본명단!$H551)))</f>
        <v/>
      </c>
      <c r="F552" s="11" t="str">
        <f aca="false">IF($A552="","",IF(원본명단!$I551="",0,COUNTIF(원본명단!$I$3:$I$6002,원본명단!$I551)))</f>
        <v/>
      </c>
      <c r="G552" s="11" t="str">
        <f aca="false">IF($A552="","",IF(원본명단!$K551="",0,COUNTIF(원본명단!$K$3:$K$6002,원본명단!$K551)))</f>
        <v/>
      </c>
      <c r="H552" s="11" t="str">
        <f aca="false">IF($A552="","",IF(MAX($E552,$F552,$G552)&gt;1,"중복","-"))</f>
        <v/>
      </c>
      <c r="I552" s="11" t="str">
        <f aca="false">IF($A552="","",IF($H552="-","-",IF(AND(IF(원본명단!$H551="",TRUE(),COUNTIF(원본명단!$H$3:$H551,원본명단!$H551)=1),IF(원본명단!$I551="",TRUE(),COUNTIF(원본명단!$I$3:$I551,원본명단!$I551)=1),IF(원본명단!$K551="",TRUE(),COUNTIF(원본명단!$K$3:$K551,원본명단!$K551)=1)),"첫 건","중복 건")))</f>
        <v/>
      </c>
      <c r="J552" s="11" t="str">
        <f aca="false">IF($A552="","",IF($H552="-","유지",IF($I552="첫 건","유지","확인 필요")))</f>
        <v/>
      </c>
    </row>
    <row r="553" customFormat="false" ht="15" hidden="false" customHeight="true" outlineLevel="0" collapsed="false">
      <c r="A553" s="11" t="str">
        <f aca="false">IF(원본명단!$A552="","",550)</f>
        <v/>
      </c>
      <c r="B553" s="12" t="str">
        <f aca="false">IF($A553="","",원본명단!$A552)</f>
        <v/>
      </c>
      <c r="C553" s="12" t="str">
        <f aca="false">IF($A553="","",원본명단!$B552)</f>
        <v/>
      </c>
      <c r="D553" s="12" t="str">
        <f aca="false">IF($A553="","",원본명단!$D552)</f>
        <v/>
      </c>
      <c r="E553" s="11" t="str">
        <f aca="false">IF($A553="","",IF(원본명단!$H552="",0,COUNTIF(원본명단!$H$3:$H$6002,원본명단!$H552)))</f>
        <v/>
      </c>
      <c r="F553" s="11" t="str">
        <f aca="false">IF($A553="","",IF(원본명단!$I552="",0,COUNTIF(원본명단!$I$3:$I$6002,원본명단!$I552)))</f>
        <v/>
      </c>
      <c r="G553" s="11" t="str">
        <f aca="false">IF($A553="","",IF(원본명단!$K552="",0,COUNTIF(원본명단!$K$3:$K$6002,원본명단!$K552)))</f>
        <v/>
      </c>
      <c r="H553" s="11" t="str">
        <f aca="false">IF($A553="","",IF(MAX($E553,$F553,$G553)&gt;1,"중복","-"))</f>
        <v/>
      </c>
      <c r="I553" s="11" t="str">
        <f aca="false">IF($A553="","",IF($H553="-","-",IF(AND(IF(원본명단!$H552="",TRUE(),COUNTIF(원본명단!$H$3:$H552,원본명단!$H552)=1),IF(원본명단!$I552="",TRUE(),COUNTIF(원본명단!$I$3:$I552,원본명단!$I552)=1),IF(원본명단!$K552="",TRUE(),COUNTIF(원본명단!$K$3:$K552,원본명단!$K552)=1)),"첫 건","중복 건")))</f>
        <v/>
      </c>
      <c r="J553" s="11" t="str">
        <f aca="false">IF($A553="","",IF($H553="-","유지",IF($I553="첫 건","유지","확인 필요")))</f>
        <v/>
      </c>
    </row>
    <row r="554" customFormat="false" ht="15" hidden="false" customHeight="true" outlineLevel="0" collapsed="false">
      <c r="A554" s="11" t="str">
        <f aca="false">IF(원본명단!$A553="","",551)</f>
        <v/>
      </c>
      <c r="B554" s="12" t="str">
        <f aca="false">IF($A554="","",원본명단!$A553)</f>
        <v/>
      </c>
      <c r="C554" s="12" t="str">
        <f aca="false">IF($A554="","",원본명단!$B553)</f>
        <v/>
      </c>
      <c r="D554" s="12" t="str">
        <f aca="false">IF($A554="","",원본명단!$D553)</f>
        <v/>
      </c>
      <c r="E554" s="11" t="str">
        <f aca="false">IF($A554="","",IF(원본명단!$H553="",0,COUNTIF(원본명단!$H$3:$H$6002,원본명단!$H553)))</f>
        <v/>
      </c>
      <c r="F554" s="11" t="str">
        <f aca="false">IF($A554="","",IF(원본명단!$I553="",0,COUNTIF(원본명단!$I$3:$I$6002,원본명단!$I553)))</f>
        <v/>
      </c>
      <c r="G554" s="11" t="str">
        <f aca="false">IF($A554="","",IF(원본명단!$K553="",0,COUNTIF(원본명단!$K$3:$K$6002,원본명단!$K553)))</f>
        <v/>
      </c>
      <c r="H554" s="11" t="str">
        <f aca="false">IF($A554="","",IF(MAX($E554,$F554,$G554)&gt;1,"중복","-"))</f>
        <v/>
      </c>
      <c r="I554" s="11" t="str">
        <f aca="false">IF($A554="","",IF($H554="-","-",IF(AND(IF(원본명단!$H553="",TRUE(),COUNTIF(원본명단!$H$3:$H553,원본명단!$H553)=1),IF(원본명단!$I553="",TRUE(),COUNTIF(원본명단!$I$3:$I553,원본명단!$I553)=1),IF(원본명단!$K553="",TRUE(),COUNTIF(원본명단!$K$3:$K553,원본명단!$K553)=1)),"첫 건","중복 건")))</f>
        <v/>
      </c>
      <c r="J554" s="11" t="str">
        <f aca="false">IF($A554="","",IF($H554="-","유지",IF($I554="첫 건","유지","확인 필요")))</f>
        <v/>
      </c>
    </row>
    <row r="555" customFormat="false" ht="15" hidden="false" customHeight="true" outlineLevel="0" collapsed="false">
      <c r="A555" s="11" t="str">
        <f aca="false">IF(원본명단!$A554="","",552)</f>
        <v/>
      </c>
      <c r="B555" s="12" t="str">
        <f aca="false">IF($A555="","",원본명단!$A554)</f>
        <v/>
      </c>
      <c r="C555" s="12" t="str">
        <f aca="false">IF($A555="","",원본명단!$B554)</f>
        <v/>
      </c>
      <c r="D555" s="12" t="str">
        <f aca="false">IF($A555="","",원본명단!$D554)</f>
        <v/>
      </c>
      <c r="E555" s="11" t="str">
        <f aca="false">IF($A555="","",IF(원본명단!$H554="",0,COUNTIF(원본명단!$H$3:$H$6002,원본명단!$H554)))</f>
        <v/>
      </c>
      <c r="F555" s="11" t="str">
        <f aca="false">IF($A555="","",IF(원본명단!$I554="",0,COUNTIF(원본명단!$I$3:$I$6002,원본명단!$I554)))</f>
        <v/>
      </c>
      <c r="G555" s="11" t="str">
        <f aca="false">IF($A555="","",IF(원본명단!$K554="",0,COUNTIF(원본명단!$K$3:$K$6002,원본명단!$K554)))</f>
        <v/>
      </c>
      <c r="H555" s="11" t="str">
        <f aca="false">IF($A555="","",IF(MAX($E555,$F555,$G555)&gt;1,"중복","-"))</f>
        <v/>
      </c>
      <c r="I555" s="11" t="str">
        <f aca="false">IF($A555="","",IF($H555="-","-",IF(AND(IF(원본명단!$H554="",TRUE(),COUNTIF(원본명단!$H$3:$H554,원본명단!$H554)=1),IF(원본명단!$I554="",TRUE(),COUNTIF(원본명단!$I$3:$I554,원본명단!$I554)=1),IF(원본명단!$K554="",TRUE(),COUNTIF(원본명단!$K$3:$K554,원본명단!$K554)=1)),"첫 건","중복 건")))</f>
        <v/>
      </c>
      <c r="J555" s="11" t="str">
        <f aca="false">IF($A555="","",IF($H555="-","유지",IF($I555="첫 건","유지","확인 필요")))</f>
        <v/>
      </c>
    </row>
    <row r="556" customFormat="false" ht="15" hidden="false" customHeight="true" outlineLevel="0" collapsed="false">
      <c r="A556" s="11" t="str">
        <f aca="false">IF(원본명단!$A555="","",553)</f>
        <v/>
      </c>
      <c r="B556" s="12" t="str">
        <f aca="false">IF($A556="","",원본명단!$A555)</f>
        <v/>
      </c>
      <c r="C556" s="12" t="str">
        <f aca="false">IF($A556="","",원본명단!$B555)</f>
        <v/>
      </c>
      <c r="D556" s="12" t="str">
        <f aca="false">IF($A556="","",원본명단!$D555)</f>
        <v/>
      </c>
      <c r="E556" s="11" t="str">
        <f aca="false">IF($A556="","",IF(원본명단!$H555="",0,COUNTIF(원본명단!$H$3:$H$6002,원본명단!$H555)))</f>
        <v/>
      </c>
      <c r="F556" s="11" t="str">
        <f aca="false">IF($A556="","",IF(원본명단!$I555="",0,COUNTIF(원본명단!$I$3:$I$6002,원본명단!$I555)))</f>
        <v/>
      </c>
      <c r="G556" s="11" t="str">
        <f aca="false">IF($A556="","",IF(원본명단!$K555="",0,COUNTIF(원본명단!$K$3:$K$6002,원본명단!$K555)))</f>
        <v/>
      </c>
      <c r="H556" s="11" t="str">
        <f aca="false">IF($A556="","",IF(MAX($E556,$F556,$G556)&gt;1,"중복","-"))</f>
        <v/>
      </c>
      <c r="I556" s="11" t="str">
        <f aca="false">IF($A556="","",IF($H556="-","-",IF(AND(IF(원본명단!$H555="",TRUE(),COUNTIF(원본명단!$H$3:$H555,원본명단!$H555)=1),IF(원본명단!$I555="",TRUE(),COUNTIF(원본명단!$I$3:$I555,원본명단!$I555)=1),IF(원본명단!$K555="",TRUE(),COUNTIF(원본명단!$K$3:$K555,원본명단!$K555)=1)),"첫 건","중복 건")))</f>
        <v/>
      </c>
      <c r="J556" s="11" t="str">
        <f aca="false">IF($A556="","",IF($H556="-","유지",IF($I556="첫 건","유지","확인 필요")))</f>
        <v/>
      </c>
    </row>
    <row r="557" customFormat="false" ht="15" hidden="false" customHeight="true" outlineLevel="0" collapsed="false">
      <c r="A557" s="11" t="str">
        <f aca="false">IF(원본명단!$A556="","",554)</f>
        <v/>
      </c>
      <c r="B557" s="12" t="str">
        <f aca="false">IF($A557="","",원본명단!$A556)</f>
        <v/>
      </c>
      <c r="C557" s="12" t="str">
        <f aca="false">IF($A557="","",원본명단!$B556)</f>
        <v/>
      </c>
      <c r="D557" s="12" t="str">
        <f aca="false">IF($A557="","",원본명단!$D556)</f>
        <v/>
      </c>
      <c r="E557" s="11" t="str">
        <f aca="false">IF($A557="","",IF(원본명단!$H556="",0,COUNTIF(원본명단!$H$3:$H$6002,원본명단!$H556)))</f>
        <v/>
      </c>
      <c r="F557" s="11" t="str">
        <f aca="false">IF($A557="","",IF(원본명단!$I556="",0,COUNTIF(원본명단!$I$3:$I$6002,원본명단!$I556)))</f>
        <v/>
      </c>
      <c r="G557" s="11" t="str">
        <f aca="false">IF($A557="","",IF(원본명단!$K556="",0,COUNTIF(원본명단!$K$3:$K$6002,원본명단!$K556)))</f>
        <v/>
      </c>
      <c r="H557" s="11" t="str">
        <f aca="false">IF($A557="","",IF(MAX($E557,$F557,$G557)&gt;1,"중복","-"))</f>
        <v/>
      </c>
      <c r="I557" s="11" t="str">
        <f aca="false">IF($A557="","",IF($H557="-","-",IF(AND(IF(원본명단!$H556="",TRUE(),COUNTIF(원본명단!$H$3:$H556,원본명단!$H556)=1),IF(원본명단!$I556="",TRUE(),COUNTIF(원본명단!$I$3:$I556,원본명단!$I556)=1),IF(원본명단!$K556="",TRUE(),COUNTIF(원본명단!$K$3:$K556,원본명단!$K556)=1)),"첫 건","중복 건")))</f>
        <v/>
      </c>
      <c r="J557" s="11" t="str">
        <f aca="false">IF($A557="","",IF($H557="-","유지",IF($I557="첫 건","유지","확인 필요")))</f>
        <v/>
      </c>
    </row>
    <row r="558" customFormat="false" ht="15" hidden="false" customHeight="true" outlineLevel="0" collapsed="false">
      <c r="A558" s="11" t="str">
        <f aca="false">IF(원본명단!$A557="","",555)</f>
        <v/>
      </c>
      <c r="B558" s="12" t="str">
        <f aca="false">IF($A558="","",원본명단!$A557)</f>
        <v/>
      </c>
      <c r="C558" s="12" t="str">
        <f aca="false">IF($A558="","",원본명단!$B557)</f>
        <v/>
      </c>
      <c r="D558" s="12" t="str">
        <f aca="false">IF($A558="","",원본명단!$D557)</f>
        <v/>
      </c>
      <c r="E558" s="11" t="str">
        <f aca="false">IF($A558="","",IF(원본명단!$H557="",0,COUNTIF(원본명단!$H$3:$H$6002,원본명단!$H557)))</f>
        <v/>
      </c>
      <c r="F558" s="11" t="str">
        <f aca="false">IF($A558="","",IF(원본명단!$I557="",0,COUNTIF(원본명단!$I$3:$I$6002,원본명단!$I557)))</f>
        <v/>
      </c>
      <c r="G558" s="11" t="str">
        <f aca="false">IF($A558="","",IF(원본명단!$K557="",0,COUNTIF(원본명단!$K$3:$K$6002,원본명단!$K557)))</f>
        <v/>
      </c>
      <c r="H558" s="11" t="str">
        <f aca="false">IF($A558="","",IF(MAX($E558,$F558,$G558)&gt;1,"중복","-"))</f>
        <v/>
      </c>
      <c r="I558" s="11" t="str">
        <f aca="false">IF($A558="","",IF($H558="-","-",IF(AND(IF(원본명단!$H557="",TRUE(),COUNTIF(원본명단!$H$3:$H557,원본명단!$H557)=1),IF(원본명단!$I557="",TRUE(),COUNTIF(원본명단!$I$3:$I557,원본명단!$I557)=1),IF(원본명단!$K557="",TRUE(),COUNTIF(원본명단!$K$3:$K557,원본명단!$K557)=1)),"첫 건","중복 건")))</f>
        <v/>
      </c>
      <c r="J558" s="11" t="str">
        <f aca="false">IF($A558="","",IF($H558="-","유지",IF($I558="첫 건","유지","확인 필요")))</f>
        <v/>
      </c>
    </row>
    <row r="559" customFormat="false" ht="15" hidden="false" customHeight="true" outlineLevel="0" collapsed="false">
      <c r="A559" s="11" t="str">
        <f aca="false">IF(원본명단!$A558="","",556)</f>
        <v/>
      </c>
      <c r="B559" s="12" t="str">
        <f aca="false">IF($A559="","",원본명단!$A558)</f>
        <v/>
      </c>
      <c r="C559" s="12" t="str">
        <f aca="false">IF($A559="","",원본명단!$B558)</f>
        <v/>
      </c>
      <c r="D559" s="12" t="str">
        <f aca="false">IF($A559="","",원본명단!$D558)</f>
        <v/>
      </c>
      <c r="E559" s="11" t="str">
        <f aca="false">IF($A559="","",IF(원본명단!$H558="",0,COUNTIF(원본명단!$H$3:$H$6002,원본명단!$H558)))</f>
        <v/>
      </c>
      <c r="F559" s="11" t="str">
        <f aca="false">IF($A559="","",IF(원본명단!$I558="",0,COUNTIF(원본명단!$I$3:$I$6002,원본명단!$I558)))</f>
        <v/>
      </c>
      <c r="G559" s="11" t="str">
        <f aca="false">IF($A559="","",IF(원본명단!$K558="",0,COUNTIF(원본명단!$K$3:$K$6002,원본명단!$K558)))</f>
        <v/>
      </c>
      <c r="H559" s="11" t="str">
        <f aca="false">IF($A559="","",IF(MAX($E559,$F559,$G559)&gt;1,"중복","-"))</f>
        <v/>
      </c>
      <c r="I559" s="11" t="str">
        <f aca="false">IF($A559="","",IF($H559="-","-",IF(AND(IF(원본명단!$H558="",TRUE(),COUNTIF(원본명단!$H$3:$H558,원본명단!$H558)=1),IF(원본명단!$I558="",TRUE(),COUNTIF(원본명단!$I$3:$I558,원본명단!$I558)=1),IF(원본명단!$K558="",TRUE(),COUNTIF(원본명단!$K$3:$K558,원본명단!$K558)=1)),"첫 건","중복 건")))</f>
        <v/>
      </c>
      <c r="J559" s="11" t="str">
        <f aca="false">IF($A559="","",IF($H559="-","유지",IF($I559="첫 건","유지","확인 필요")))</f>
        <v/>
      </c>
    </row>
    <row r="560" customFormat="false" ht="15" hidden="false" customHeight="true" outlineLevel="0" collapsed="false">
      <c r="A560" s="11" t="str">
        <f aca="false">IF(원본명단!$A559="","",557)</f>
        <v/>
      </c>
      <c r="B560" s="12" t="str">
        <f aca="false">IF($A560="","",원본명단!$A559)</f>
        <v/>
      </c>
      <c r="C560" s="12" t="str">
        <f aca="false">IF($A560="","",원본명단!$B559)</f>
        <v/>
      </c>
      <c r="D560" s="12" t="str">
        <f aca="false">IF($A560="","",원본명단!$D559)</f>
        <v/>
      </c>
      <c r="E560" s="11" t="str">
        <f aca="false">IF($A560="","",IF(원본명단!$H559="",0,COUNTIF(원본명단!$H$3:$H$6002,원본명단!$H559)))</f>
        <v/>
      </c>
      <c r="F560" s="11" t="str">
        <f aca="false">IF($A560="","",IF(원본명단!$I559="",0,COUNTIF(원본명단!$I$3:$I$6002,원본명단!$I559)))</f>
        <v/>
      </c>
      <c r="G560" s="11" t="str">
        <f aca="false">IF($A560="","",IF(원본명단!$K559="",0,COUNTIF(원본명단!$K$3:$K$6002,원본명단!$K559)))</f>
        <v/>
      </c>
      <c r="H560" s="11" t="str">
        <f aca="false">IF($A560="","",IF(MAX($E560,$F560,$G560)&gt;1,"중복","-"))</f>
        <v/>
      </c>
      <c r="I560" s="11" t="str">
        <f aca="false">IF($A560="","",IF($H560="-","-",IF(AND(IF(원본명단!$H559="",TRUE(),COUNTIF(원본명단!$H$3:$H559,원본명단!$H559)=1),IF(원본명단!$I559="",TRUE(),COUNTIF(원본명단!$I$3:$I559,원본명단!$I559)=1),IF(원본명단!$K559="",TRUE(),COUNTIF(원본명단!$K$3:$K559,원본명단!$K559)=1)),"첫 건","중복 건")))</f>
        <v/>
      </c>
      <c r="J560" s="11" t="str">
        <f aca="false">IF($A560="","",IF($H560="-","유지",IF($I560="첫 건","유지","확인 필요")))</f>
        <v/>
      </c>
    </row>
    <row r="561" customFormat="false" ht="15" hidden="false" customHeight="true" outlineLevel="0" collapsed="false">
      <c r="A561" s="11" t="str">
        <f aca="false">IF(원본명단!$A560="","",558)</f>
        <v/>
      </c>
      <c r="B561" s="12" t="str">
        <f aca="false">IF($A561="","",원본명단!$A560)</f>
        <v/>
      </c>
      <c r="C561" s="12" t="str">
        <f aca="false">IF($A561="","",원본명단!$B560)</f>
        <v/>
      </c>
      <c r="D561" s="12" t="str">
        <f aca="false">IF($A561="","",원본명단!$D560)</f>
        <v/>
      </c>
      <c r="E561" s="11" t="str">
        <f aca="false">IF($A561="","",IF(원본명단!$H560="",0,COUNTIF(원본명단!$H$3:$H$6002,원본명단!$H560)))</f>
        <v/>
      </c>
      <c r="F561" s="11" t="str">
        <f aca="false">IF($A561="","",IF(원본명단!$I560="",0,COUNTIF(원본명단!$I$3:$I$6002,원본명단!$I560)))</f>
        <v/>
      </c>
      <c r="G561" s="11" t="str">
        <f aca="false">IF($A561="","",IF(원본명단!$K560="",0,COUNTIF(원본명단!$K$3:$K$6002,원본명단!$K560)))</f>
        <v/>
      </c>
      <c r="H561" s="11" t="str">
        <f aca="false">IF($A561="","",IF(MAX($E561,$F561,$G561)&gt;1,"중복","-"))</f>
        <v/>
      </c>
      <c r="I561" s="11" t="str">
        <f aca="false">IF($A561="","",IF($H561="-","-",IF(AND(IF(원본명단!$H560="",TRUE(),COUNTIF(원본명단!$H$3:$H560,원본명단!$H560)=1),IF(원본명단!$I560="",TRUE(),COUNTIF(원본명단!$I$3:$I560,원본명단!$I560)=1),IF(원본명단!$K560="",TRUE(),COUNTIF(원본명단!$K$3:$K560,원본명단!$K560)=1)),"첫 건","중복 건")))</f>
        <v/>
      </c>
      <c r="J561" s="11" t="str">
        <f aca="false">IF($A561="","",IF($H561="-","유지",IF($I561="첫 건","유지","확인 필요")))</f>
        <v/>
      </c>
    </row>
    <row r="562" customFormat="false" ht="15" hidden="false" customHeight="true" outlineLevel="0" collapsed="false">
      <c r="A562" s="11" t="str">
        <f aca="false">IF(원본명단!$A561="","",559)</f>
        <v/>
      </c>
      <c r="B562" s="12" t="str">
        <f aca="false">IF($A562="","",원본명단!$A561)</f>
        <v/>
      </c>
      <c r="C562" s="12" t="str">
        <f aca="false">IF($A562="","",원본명단!$B561)</f>
        <v/>
      </c>
      <c r="D562" s="12" t="str">
        <f aca="false">IF($A562="","",원본명단!$D561)</f>
        <v/>
      </c>
      <c r="E562" s="11" t="str">
        <f aca="false">IF($A562="","",IF(원본명단!$H561="",0,COUNTIF(원본명단!$H$3:$H$6002,원본명단!$H561)))</f>
        <v/>
      </c>
      <c r="F562" s="11" t="str">
        <f aca="false">IF($A562="","",IF(원본명단!$I561="",0,COUNTIF(원본명단!$I$3:$I$6002,원본명단!$I561)))</f>
        <v/>
      </c>
      <c r="G562" s="11" t="str">
        <f aca="false">IF($A562="","",IF(원본명단!$K561="",0,COUNTIF(원본명단!$K$3:$K$6002,원본명단!$K561)))</f>
        <v/>
      </c>
      <c r="H562" s="11" t="str">
        <f aca="false">IF($A562="","",IF(MAX($E562,$F562,$G562)&gt;1,"중복","-"))</f>
        <v/>
      </c>
      <c r="I562" s="11" t="str">
        <f aca="false">IF($A562="","",IF($H562="-","-",IF(AND(IF(원본명단!$H561="",TRUE(),COUNTIF(원본명단!$H$3:$H561,원본명단!$H561)=1),IF(원본명단!$I561="",TRUE(),COUNTIF(원본명단!$I$3:$I561,원본명단!$I561)=1),IF(원본명단!$K561="",TRUE(),COUNTIF(원본명단!$K$3:$K561,원본명단!$K561)=1)),"첫 건","중복 건")))</f>
        <v/>
      </c>
      <c r="J562" s="11" t="str">
        <f aca="false">IF($A562="","",IF($H562="-","유지",IF($I562="첫 건","유지","확인 필요")))</f>
        <v/>
      </c>
    </row>
    <row r="563" customFormat="false" ht="15" hidden="false" customHeight="true" outlineLevel="0" collapsed="false">
      <c r="A563" s="11" t="str">
        <f aca="false">IF(원본명단!$A562="","",560)</f>
        <v/>
      </c>
      <c r="B563" s="12" t="str">
        <f aca="false">IF($A563="","",원본명단!$A562)</f>
        <v/>
      </c>
      <c r="C563" s="12" t="str">
        <f aca="false">IF($A563="","",원본명단!$B562)</f>
        <v/>
      </c>
      <c r="D563" s="12" t="str">
        <f aca="false">IF($A563="","",원본명단!$D562)</f>
        <v/>
      </c>
      <c r="E563" s="11" t="str">
        <f aca="false">IF($A563="","",IF(원본명단!$H562="",0,COUNTIF(원본명단!$H$3:$H$6002,원본명단!$H562)))</f>
        <v/>
      </c>
      <c r="F563" s="11" t="str">
        <f aca="false">IF($A563="","",IF(원본명단!$I562="",0,COUNTIF(원본명단!$I$3:$I$6002,원본명단!$I562)))</f>
        <v/>
      </c>
      <c r="G563" s="11" t="str">
        <f aca="false">IF($A563="","",IF(원본명단!$K562="",0,COUNTIF(원본명단!$K$3:$K$6002,원본명단!$K562)))</f>
        <v/>
      </c>
      <c r="H563" s="11" t="str">
        <f aca="false">IF($A563="","",IF(MAX($E563,$F563,$G563)&gt;1,"중복","-"))</f>
        <v/>
      </c>
      <c r="I563" s="11" t="str">
        <f aca="false">IF($A563="","",IF($H563="-","-",IF(AND(IF(원본명단!$H562="",TRUE(),COUNTIF(원본명단!$H$3:$H562,원본명단!$H562)=1),IF(원본명단!$I562="",TRUE(),COUNTIF(원본명단!$I$3:$I562,원본명단!$I562)=1),IF(원본명단!$K562="",TRUE(),COUNTIF(원본명단!$K$3:$K562,원본명단!$K562)=1)),"첫 건","중복 건")))</f>
        <v/>
      </c>
      <c r="J563" s="11" t="str">
        <f aca="false">IF($A563="","",IF($H563="-","유지",IF($I563="첫 건","유지","확인 필요")))</f>
        <v/>
      </c>
    </row>
    <row r="564" customFormat="false" ht="15" hidden="false" customHeight="true" outlineLevel="0" collapsed="false">
      <c r="A564" s="11" t="str">
        <f aca="false">IF(원본명단!$A563="","",561)</f>
        <v/>
      </c>
      <c r="B564" s="12" t="str">
        <f aca="false">IF($A564="","",원본명단!$A563)</f>
        <v/>
      </c>
      <c r="C564" s="12" t="str">
        <f aca="false">IF($A564="","",원본명단!$B563)</f>
        <v/>
      </c>
      <c r="D564" s="12" t="str">
        <f aca="false">IF($A564="","",원본명단!$D563)</f>
        <v/>
      </c>
      <c r="E564" s="11" t="str">
        <f aca="false">IF($A564="","",IF(원본명단!$H563="",0,COUNTIF(원본명단!$H$3:$H$6002,원본명단!$H563)))</f>
        <v/>
      </c>
      <c r="F564" s="11" t="str">
        <f aca="false">IF($A564="","",IF(원본명단!$I563="",0,COUNTIF(원본명단!$I$3:$I$6002,원본명단!$I563)))</f>
        <v/>
      </c>
      <c r="G564" s="11" t="str">
        <f aca="false">IF($A564="","",IF(원본명단!$K563="",0,COUNTIF(원본명단!$K$3:$K$6002,원본명단!$K563)))</f>
        <v/>
      </c>
      <c r="H564" s="11" t="str">
        <f aca="false">IF($A564="","",IF(MAX($E564,$F564,$G564)&gt;1,"중복","-"))</f>
        <v/>
      </c>
      <c r="I564" s="11" t="str">
        <f aca="false">IF($A564="","",IF($H564="-","-",IF(AND(IF(원본명단!$H563="",TRUE(),COUNTIF(원본명단!$H$3:$H563,원본명단!$H563)=1),IF(원본명단!$I563="",TRUE(),COUNTIF(원본명단!$I$3:$I563,원본명단!$I563)=1),IF(원본명단!$K563="",TRUE(),COUNTIF(원본명단!$K$3:$K563,원본명단!$K563)=1)),"첫 건","중복 건")))</f>
        <v/>
      </c>
      <c r="J564" s="11" t="str">
        <f aca="false">IF($A564="","",IF($H564="-","유지",IF($I564="첫 건","유지","확인 필요")))</f>
        <v/>
      </c>
    </row>
    <row r="565" customFormat="false" ht="15" hidden="false" customHeight="true" outlineLevel="0" collapsed="false">
      <c r="A565" s="11" t="str">
        <f aca="false">IF(원본명단!$A564="","",562)</f>
        <v/>
      </c>
      <c r="B565" s="12" t="str">
        <f aca="false">IF($A565="","",원본명단!$A564)</f>
        <v/>
      </c>
      <c r="C565" s="12" t="str">
        <f aca="false">IF($A565="","",원본명단!$B564)</f>
        <v/>
      </c>
      <c r="D565" s="12" t="str">
        <f aca="false">IF($A565="","",원본명단!$D564)</f>
        <v/>
      </c>
      <c r="E565" s="11" t="str">
        <f aca="false">IF($A565="","",IF(원본명단!$H564="",0,COUNTIF(원본명단!$H$3:$H$6002,원본명단!$H564)))</f>
        <v/>
      </c>
      <c r="F565" s="11" t="str">
        <f aca="false">IF($A565="","",IF(원본명단!$I564="",0,COUNTIF(원본명단!$I$3:$I$6002,원본명단!$I564)))</f>
        <v/>
      </c>
      <c r="G565" s="11" t="str">
        <f aca="false">IF($A565="","",IF(원본명단!$K564="",0,COUNTIF(원본명단!$K$3:$K$6002,원본명단!$K564)))</f>
        <v/>
      </c>
      <c r="H565" s="11" t="str">
        <f aca="false">IF($A565="","",IF(MAX($E565,$F565,$G565)&gt;1,"중복","-"))</f>
        <v/>
      </c>
      <c r="I565" s="11" t="str">
        <f aca="false">IF($A565="","",IF($H565="-","-",IF(AND(IF(원본명단!$H564="",TRUE(),COUNTIF(원본명단!$H$3:$H564,원본명단!$H564)=1),IF(원본명단!$I564="",TRUE(),COUNTIF(원본명단!$I$3:$I564,원본명단!$I564)=1),IF(원본명단!$K564="",TRUE(),COUNTIF(원본명단!$K$3:$K564,원본명단!$K564)=1)),"첫 건","중복 건")))</f>
        <v/>
      </c>
      <c r="J565" s="11" t="str">
        <f aca="false">IF($A565="","",IF($H565="-","유지",IF($I565="첫 건","유지","확인 필요")))</f>
        <v/>
      </c>
    </row>
    <row r="566" customFormat="false" ht="15" hidden="false" customHeight="true" outlineLevel="0" collapsed="false">
      <c r="A566" s="11" t="str">
        <f aca="false">IF(원본명단!$A565="","",563)</f>
        <v/>
      </c>
      <c r="B566" s="12" t="str">
        <f aca="false">IF($A566="","",원본명단!$A565)</f>
        <v/>
      </c>
      <c r="C566" s="12" t="str">
        <f aca="false">IF($A566="","",원본명단!$B565)</f>
        <v/>
      </c>
      <c r="D566" s="12" t="str">
        <f aca="false">IF($A566="","",원본명단!$D565)</f>
        <v/>
      </c>
      <c r="E566" s="11" t="str">
        <f aca="false">IF($A566="","",IF(원본명단!$H565="",0,COUNTIF(원본명단!$H$3:$H$6002,원본명단!$H565)))</f>
        <v/>
      </c>
      <c r="F566" s="11" t="str">
        <f aca="false">IF($A566="","",IF(원본명단!$I565="",0,COUNTIF(원본명단!$I$3:$I$6002,원본명단!$I565)))</f>
        <v/>
      </c>
      <c r="G566" s="11" t="str">
        <f aca="false">IF($A566="","",IF(원본명단!$K565="",0,COUNTIF(원본명단!$K$3:$K$6002,원본명단!$K565)))</f>
        <v/>
      </c>
      <c r="H566" s="11" t="str">
        <f aca="false">IF($A566="","",IF(MAX($E566,$F566,$G566)&gt;1,"중복","-"))</f>
        <v/>
      </c>
      <c r="I566" s="11" t="str">
        <f aca="false">IF($A566="","",IF($H566="-","-",IF(AND(IF(원본명단!$H565="",TRUE(),COUNTIF(원본명단!$H$3:$H565,원본명단!$H565)=1),IF(원본명단!$I565="",TRUE(),COUNTIF(원본명단!$I$3:$I565,원본명단!$I565)=1),IF(원본명단!$K565="",TRUE(),COUNTIF(원본명단!$K$3:$K565,원본명단!$K565)=1)),"첫 건","중복 건")))</f>
        <v/>
      </c>
      <c r="J566" s="11" t="str">
        <f aca="false">IF($A566="","",IF($H566="-","유지",IF($I566="첫 건","유지","확인 필요")))</f>
        <v/>
      </c>
    </row>
    <row r="567" customFormat="false" ht="15" hidden="false" customHeight="true" outlineLevel="0" collapsed="false">
      <c r="A567" s="11" t="str">
        <f aca="false">IF(원본명단!$A566="","",564)</f>
        <v/>
      </c>
      <c r="B567" s="12" t="str">
        <f aca="false">IF($A567="","",원본명단!$A566)</f>
        <v/>
      </c>
      <c r="C567" s="12" t="str">
        <f aca="false">IF($A567="","",원본명단!$B566)</f>
        <v/>
      </c>
      <c r="D567" s="12" t="str">
        <f aca="false">IF($A567="","",원본명단!$D566)</f>
        <v/>
      </c>
      <c r="E567" s="11" t="str">
        <f aca="false">IF($A567="","",IF(원본명단!$H566="",0,COUNTIF(원본명단!$H$3:$H$6002,원본명단!$H566)))</f>
        <v/>
      </c>
      <c r="F567" s="11" t="str">
        <f aca="false">IF($A567="","",IF(원본명단!$I566="",0,COUNTIF(원본명단!$I$3:$I$6002,원본명단!$I566)))</f>
        <v/>
      </c>
      <c r="G567" s="11" t="str">
        <f aca="false">IF($A567="","",IF(원본명단!$K566="",0,COUNTIF(원본명단!$K$3:$K$6002,원본명단!$K566)))</f>
        <v/>
      </c>
      <c r="H567" s="11" t="str">
        <f aca="false">IF($A567="","",IF(MAX($E567,$F567,$G567)&gt;1,"중복","-"))</f>
        <v/>
      </c>
      <c r="I567" s="11" t="str">
        <f aca="false">IF($A567="","",IF($H567="-","-",IF(AND(IF(원본명단!$H566="",TRUE(),COUNTIF(원본명단!$H$3:$H566,원본명단!$H566)=1),IF(원본명단!$I566="",TRUE(),COUNTIF(원본명단!$I$3:$I566,원본명단!$I566)=1),IF(원본명단!$K566="",TRUE(),COUNTIF(원본명단!$K$3:$K566,원본명단!$K566)=1)),"첫 건","중복 건")))</f>
        <v/>
      </c>
      <c r="J567" s="11" t="str">
        <f aca="false">IF($A567="","",IF($H567="-","유지",IF($I567="첫 건","유지","확인 필요")))</f>
        <v/>
      </c>
    </row>
    <row r="568" customFormat="false" ht="15" hidden="false" customHeight="true" outlineLevel="0" collapsed="false">
      <c r="A568" s="11" t="str">
        <f aca="false">IF(원본명단!$A567="","",565)</f>
        <v/>
      </c>
      <c r="B568" s="12" t="str">
        <f aca="false">IF($A568="","",원본명단!$A567)</f>
        <v/>
      </c>
      <c r="C568" s="12" t="str">
        <f aca="false">IF($A568="","",원본명단!$B567)</f>
        <v/>
      </c>
      <c r="D568" s="12" t="str">
        <f aca="false">IF($A568="","",원본명단!$D567)</f>
        <v/>
      </c>
      <c r="E568" s="11" t="str">
        <f aca="false">IF($A568="","",IF(원본명단!$H567="",0,COUNTIF(원본명단!$H$3:$H$6002,원본명단!$H567)))</f>
        <v/>
      </c>
      <c r="F568" s="11" t="str">
        <f aca="false">IF($A568="","",IF(원본명단!$I567="",0,COUNTIF(원본명단!$I$3:$I$6002,원본명단!$I567)))</f>
        <v/>
      </c>
      <c r="G568" s="11" t="str">
        <f aca="false">IF($A568="","",IF(원본명단!$K567="",0,COUNTIF(원본명단!$K$3:$K$6002,원본명단!$K567)))</f>
        <v/>
      </c>
      <c r="H568" s="11" t="str">
        <f aca="false">IF($A568="","",IF(MAX($E568,$F568,$G568)&gt;1,"중복","-"))</f>
        <v/>
      </c>
      <c r="I568" s="11" t="str">
        <f aca="false">IF($A568="","",IF($H568="-","-",IF(AND(IF(원본명단!$H567="",TRUE(),COUNTIF(원본명단!$H$3:$H567,원본명단!$H567)=1),IF(원본명단!$I567="",TRUE(),COUNTIF(원본명단!$I$3:$I567,원본명단!$I567)=1),IF(원본명단!$K567="",TRUE(),COUNTIF(원본명단!$K$3:$K567,원본명단!$K567)=1)),"첫 건","중복 건")))</f>
        <v/>
      </c>
      <c r="J568" s="11" t="str">
        <f aca="false">IF($A568="","",IF($H568="-","유지",IF($I568="첫 건","유지","확인 필요")))</f>
        <v/>
      </c>
    </row>
    <row r="569" customFormat="false" ht="15" hidden="false" customHeight="true" outlineLevel="0" collapsed="false">
      <c r="A569" s="11" t="str">
        <f aca="false">IF(원본명단!$A568="","",566)</f>
        <v/>
      </c>
      <c r="B569" s="12" t="str">
        <f aca="false">IF($A569="","",원본명단!$A568)</f>
        <v/>
      </c>
      <c r="C569" s="12" t="str">
        <f aca="false">IF($A569="","",원본명단!$B568)</f>
        <v/>
      </c>
      <c r="D569" s="12" t="str">
        <f aca="false">IF($A569="","",원본명단!$D568)</f>
        <v/>
      </c>
      <c r="E569" s="11" t="str">
        <f aca="false">IF($A569="","",IF(원본명단!$H568="",0,COUNTIF(원본명단!$H$3:$H$6002,원본명단!$H568)))</f>
        <v/>
      </c>
      <c r="F569" s="11" t="str">
        <f aca="false">IF($A569="","",IF(원본명단!$I568="",0,COUNTIF(원본명단!$I$3:$I$6002,원본명단!$I568)))</f>
        <v/>
      </c>
      <c r="G569" s="11" t="str">
        <f aca="false">IF($A569="","",IF(원본명단!$K568="",0,COUNTIF(원본명단!$K$3:$K$6002,원본명단!$K568)))</f>
        <v/>
      </c>
      <c r="H569" s="11" t="str">
        <f aca="false">IF($A569="","",IF(MAX($E569,$F569,$G569)&gt;1,"중복","-"))</f>
        <v/>
      </c>
      <c r="I569" s="11" t="str">
        <f aca="false">IF($A569="","",IF($H569="-","-",IF(AND(IF(원본명단!$H568="",TRUE(),COUNTIF(원본명단!$H$3:$H568,원본명단!$H568)=1),IF(원본명단!$I568="",TRUE(),COUNTIF(원본명단!$I$3:$I568,원본명단!$I568)=1),IF(원본명단!$K568="",TRUE(),COUNTIF(원본명단!$K$3:$K568,원본명단!$K568)=1)),"첫 건","중복 건")))</f>
        <v/>
      </c>
      <c r="J569" s="11" t="str">
        <f aca="false">IF($A569="","",IF($H569="-","유지",IF($I569="첫 건","유지","확인 필요")))</f>
        <v/>
      </c>
    </row>
    <row r="570" customFormat="false" ht="15" hidden="false" customHeight="true" outlineLevel="0" collapsed="false">
      <c r="A570" s="11" t="str">
        <f aca="false">IF(원본명단!$A569="","",567)</f>
        <v/>
      </c>
      <c r="B570" s="12" t="str">
        <f aca="false">IF($A570="","",원본명단!$A569)</f>
        <v/>
      </c>
      <c r="C570" s="12" t="str">
        <f aca="false">IF($A570="","",원본명단!$B569)</f>
        <v/>
      </c>
      <c r="D570" s="12" t="str">
        <f aca="false">IF($A570="","",원본명단!$D569)</f>
        <v/>
      </c>
      <c r="E570" s="11" t="str">
        <f aca="false">IF($A570="","",IF(원본명단!$H569="",0,COUNTIF(원본명단!$H$3:$H$6002,원본명단!$H569)))</f>
        <v/>
      </c>
      <c r="F570" s="11" t="str">
        <f aca="false">IF($A570="","",IF(원본명단!$I569="",0,COUNTIF(원본명단!$I$3:$I$6002,원본명단!$I569)))</f>
        <v/>
      </c>
      <c r="G570" s="11" t="str">
        <f aca="false">IF($A570="","",IF(원본명단!$K569="",0,COUNTIF(원본명단!$K$3:$K$6002,원본명단!$K569)))</f>
        <v/>
      </c>
      <c r="H570" s="11" t="str">
        <f aca="false">IF($A570="","",IF(MAX($E570,$F570,$G570)&gt;1,"중복","-"))</f>
        <v/>
      </c>
      <c r="I570" s="11" t="str">
        <f aca="false">IF($A570="","",IF($H570="-","-",IF(AND(IF(원본명단!$H569="",TRUE(),COUNTIF(원본명단!$H$3:$H569,원본명단!$H569)=1),IF(원본명단!$I569="",TRUE(),COUNTIF(원본명단!$I$3:$I569,원본명단!$I569)=1),IF(원본명단!$K569="",TRUE(),COUNTIF(원본명단!$K$3:$K569,원본명단!$K569)=1)),"첫 건","중복 건")))</f>
        <v/>
      </c>
      <c r="J570" s="11" t="str">
        <f aca="false">IF($A570="","",IF($H570="-","유지",IF($I570="첫 건","유지","확인 필요")))</f>
        <v/>
      </c>
    </row>
    <row r="571" customFormat="false" ht="15" hidden="false" customHeight="true" outlineLevel="0" collapsed="false">
      <c r="A571" s="11" t="str">
        <f aca="false">IF(원본명단!$A570="","",568)</f>
        <v/>
      </c>
      <c r="B571" s="12" t="str">
        <f aca="false">IF($A571="","",원본명단!$A570)</f>
        <v/>
      </c>
      <c r="C571" s="12" t="str">
        <f aca="false">IF($A571="","",원본명단!$B570)</f>
        <v/>
      </c>
      <c r="D571" s="12" t="str">
        <f aca="false">IF($A571="","",원본명단!$D570)</f>
        <v/>
      </c>
      <c r="E571" s="11" t="str">
        <f aca="false">IF($A571="","",IF(원본명단!$H570="",0,COUNTIF(원본명단!$H$3:$H$6002,원본명단!$H570)))</f>
        <v/>
      </c>
      <c r="F571" s="11" t="str">
        <f aca="false">IF($A571="","",IF(원본명단!$I570="",0,COUNTIF(원본명단!$I$3:$I$6002,원본명단!$I570)))</f>
        <v/>
      </c>
      <c r="G571" s="11" t="str">
        <f aca="false">IF($A571="","",IF(원본명단!$K570="",0,COUNTIF(원본명단!$K$3:$K$6002,원본명단!$K570)))</f>
        <v/>
      </c>
      <c r="H571" s="11" t="str">
        <f aca="false">IF($A571="","",IF(MAX($E571,$F571,$G571)&gt;1,"중복","-"))</f>
        <v/>
      </c>
      <c r="I571" s="11" t="str">
        <f aca="false">IF($A571="","",IF($H571="-","-",IF(AND(IF(원본명단!$H570="",TRUE(),COUNTIF(원본명단!$H$3:$H570,원본명단!$H570)=1),IF(원본명단!$I570="",TRUE(),COUNTIF(원본명단!$I$3:$I570,원본명단!$I570)=1),IF(원본명단!$K570="",TRUE(),COUNTIF(원본명단!$K$3:$K570,원본명단!$K570)=1)),"첫 건","중복 건")))</f>
        <v/>
      </c>
      <c r="J571" s="11" t="str">
        <f aca="false">IF($A571="","",IF($H571="-","유지",IF($I571="첫 건","유지","확인 필요")))</f>
        <v/>
      </c>
    </row>
    <row r="572" customFormat="false" ht="15" hidden="false" customHeight="true" outlineLevel="0" collapsed="false">
      <c r="A572" s="11" t="str">
        <f aca="false">IF(원본명단!$A571="","",569)</f>
        <v/>
      </c>
      <c r="B572" s="12" t="str">
        <f aca="false">IF($A572="","",원본명단!$A571)</f>
        <v/>
      </c>
      <c r="C572" s="12" t="str">
        <f aca="false">IF($A572="","",원본명단!$B571)</f>
        <v/>
      </c>
      <c r="D572" s="12" t="str">
        <f aca="false">IF($A572="","",원본명단!$D571)</f>
        <v/>
      </c>
      <c r="E572" s="11" t="str">
        <f aca="false">IF($A572="","",IF(원본명단!$H571="",0,COUNTIF(원본명단!$H$3:$H$6002,원본명단!$H571)))</f>
        <v/>
      </c>
      <c r="F572" s="11" t="str">
        <f aca="false">IF($A572="","",IF(원본명단!$I571="",0,COUNTIF(원본명단!$I$3:$I$6002,원본명단!$I571)))</f>
        <v/>
      </c>
      <c r="G572" s="11" t="str">
        <f aca="false">IF($A572="","",IF(원본명단!$K571="",0,COUNTIF(원본명단!$K$3:$K$6002,원본명단!$K571)))</f>
        <v/>
      </c>
      <c r="H572" s="11" t="str">
        <f aca="false">IF($A572="","",IF(MAX($E572,$F572,$G572)&gt;1,"중복","-"))</f>
        <v/>
      </c>
      <c r="I572" s="11" t="str">
        <f aca="false">IF($A572="","",IF($H572="-","-",IF(AND(IF(원본명단!$H571="",TRUE(),COUNTIF(원본명단!$H$3:$H571,원본명단!$H571)=1),IF(원본명단!$I571="",TRUE(),COUNTIF(원본명단!$I$3:$I571,원본명단!$I571)=1),IF(원본명단!$K571="",TRUE(),COUNTIF(원본명단!$K$3:$K571,원본명단!$K571)=1)),"첫 건","중복 건")))</f>
        <v/>
      </c>
      <c r="J572" s="11" t="str">
        <f aca="false">IF($A572="","",IF($H572="-","유지",IF($I572="첫 건","유지","확인 필요")))</f>
        <v/>
      </c>
    </row>
    <row r="573" customFormat="false" ht="15" hidden="false" customHeight="true" outlineLevel="0" collapsed="false">
      <c r="A573" s="11" t="str">
        <f aca="false">IF(원본명단!$A572="","",570)</f>
        <v/>
      </c>
      <c r="B573" s="12" t="str">
        <f aca="false">IF($A573="","",원본명단!$A572)</f>
        <v/>
      </c>
      <c r="C573" s="12" t="str">
        <f aca="false">IF($A573="","",원본명단!$B572)</f>
        <v/>
      </c>
      <c r="D573" s="12" t="str">
        <f aca="false">IF($A573="","",원본명단!$D572)</f>
        <v/>
      </c>
      <c r="E573" s="11" t="str">
        <f aca="false">IF($A573="","",IF(원본명단!$H572="",0,COUNTIF(원본명단!$H$3:$H$6002,원본명단!$H572)))</f>
        <v/>
      </c>
      <c r="F573" s="11" t="str">
        <f aca="false">IF($A573="","",IF(원본명단!$I572="",0,COUNTIF(원본명단!$I$3:$I$6002,원본명단!$I572)))</f>
        <v/>
      </c>
      <c r="G573" s="11" t="str">
        <f aca="false">IF($A573="","",IF(원본명단!$K572="",0,COUNTIF(원본명단!$K$3:$K$6002,원본명단!$K572)))</f>
        <v/>
      </c>
      <c r="H573" s="11" t="str">
        <f aca="false">IF($A573="","",IF(MAX($E573,$F573,$G573)&gt;1,"중복","-"))</f>
        <v/>
      </c>
      <c r="I573" s="11" t="str">
        <f aca="false">IF($A573="","",IF($H573="-","-",IF(AND(IF(원본명단!$H572="",TRUE(),COUNTIF(원본명단!$H$3:$H572,원본명단!$H572)=1),IF(원본명단!$I572="",TRUE(),COUNTIF(원본명단!$I$3:$I572,원본명단!$I572)=1),IF(원본명단!$K572="",TRUE(),COUNTIF(원본명단!$K$3:$K572,원본명단!$K572)=1)),"첫 건","중복 건")))</f>
        <v/>
      </c>
      <c r="J573" s="11" t="str">
        <f aca="false">IF($A573="","",IF($H573="-","유지",IF($I573="첫 건","유지","확인 필요")))</f>
        <v/>
      </c>
    </row>
    <row r="574" customFormat="false" ht="15" hidden="false" customHeight="true" outlineLevel="0" collapsed="false">
      <c r="A574" s="11" t="str">
        <f aca="false">IF(원본명단!$A573="","",571)</f>
        <v/>
      </c>
      <c r="B574" s="12" t="str">
        <f aca="false">IF($A574="","",원본명단!$A573)</f>
        <v/>
      </c>
      <c r="C574" s="12" t="str">
        <f aca="false">IF($A574="","",원본명단!$B573)</f>
        <v/>
      </c>
      <c r="D574" s="12" t="str">
        <f aca="false">IF($A574="","",원본명단!$D573)</f>
        <v/>
      </c>
      <c r="E574" s="11" t="str">
        <f aca="false">IF($A574="","",IF(원본명단!$H573="",0,COUNTIF(원본명단!$H$3:$H$6002,원본명단!$H573)))</f>
        <v/>
      </c>
      <c r="F574" s="11" t="str">
        <f aca="false">IF($A574="","",IF(원본명단!$I573="",0,COUNTIF(원본명단!$I$3:$I$6002,원본명단!$I573)))</f>
        <v/>
      </c>
      <c r="G574" s="11" t="str">
        <f aca="false">IF($A574="","",IF(원본명단!$K573="",0,COUNTIF(원본명단!$K$3:$K$6002,원본명단!$K573)))</f>
        <v/>
      </c>
      <c r="H574" s="11" t="str">
        <f aca="false">IF($A574="","",IF(MAX($E574,$F574,$G574)&gt;1,"중복","-"))</f>
        <v/>
      </c>
      <c r="I574" s="11" t="str">
        <f aca="false">IF($A574="","",IF($H574="-","-",IF(AND(IF(원본명단!$H573="",TRUE(),COUNTIF(원본명단!$H$3:$H573,원본명단!$H573)=1),IF(원본명단!$I573="",TRUE(),COUNTIF(원본명단!$I$3:$I573,원본명단!$I573)=1),IF(원본명단!$K573="",TRUE(),COUNTIF(원본명단!$K$3:$K573,원본명단!$K573)=1)),"첫 건","중복 건")))</f>
        <v/>
      </c>
      <c r="J574" s="11" t="str">
        <f aca="false">IF($A574="","",IF($H574="-","유지",IF($I574="첫 건","유지","확인 필요")))</f>
        <v/>
      </c>
    </row>
    <row r="575" customFormat="false" ht="15" hidden="false" customHeight="true" outlineLevel="0" collapsed="false">
      <c r="A575" s="11" t="str">
        <f aca="false">IF(원본명단!$A574="","",572)</f>
        <v/>
      </c>
      <c r="B575" s="12" t="str">
        <f aca="false">IF($A575="","",원본명단!$A574)</f>
        <v/>
      </c>
      <c r="C575" s="12" t="str">
        <f aca="false">IF($A575="","",원본명단!$B574)</f>
        <v/>
      </c>
      <c r="D575" s="12" t="str">
        <f aca="false">IF($A575="","",원본명단!$D574)</f>
        <v/>
      </c>
      <c r="E575" s="11" t="str">
        <f aca="false">IF($A575="","",IF(원본명단!$H574="",0,COUNTIF(원본명단!$H$3:$H$6002,원본명단!$H574)))</f>
        <v/>
      </c>
      <c r="F575" s="11" t="str">
        <f aca="false">IF($A575="","",IF(원본명단!$I574="",0,COUNTIF(원본명단!$I$3:$I$6002,원본명단!$I574)))</f>
        <v/>
      </c>
      <c r="G575" s="11" t="str">
        <f aca="false">IF($A575="","",IF(원본명단!$K574="",0,COUNTIF(원본명단!$K$3:$K$6002,원본명단!$K574)))</f>
        <v/>
      </c>
      <c r="H575" s="11" t="str">
        <f aca="false">IF($A575="","",IF(MAX($E575,$F575,$G575)&gt;1,"중복","-"))</f>
        <v/>
      </c>
      <c r="I575" s="11" t="str">
        <f aca="false">IF($A575="","",IF($H575="-","-",IF(AND(IF(원본명단!$H574="",TRUE(),COUNTIF(원본명단!$H$3:$H574,원본명단!$H574)=1),IF(원본명단!$I574="",TRUE(),COUNTIF(원본명단!$I$3:$I574,원본명단!$I574)=1),IF(원본명단!$K574="",TRUE(),COUNTIF(원본명단!$K$3:$K574,원본명단!$K574)=1)),"첫 건","중복 건")))</f>
        <v/>
      </c>
      <c r="J575" s="11" t="str">
        <f aca="false">IF($A575="","",IF($H575="-","유지",IF($I575="첫 건","유지","확인 필요")))</f>
        <v/>
      </c>
    </row>
    <row r="576" customFormat="false" ht="15" hidden="false" customHeight="true" outlineLevel="0" collapsed="false">
      <c r="A576" s="11" t="str">
        <f aca="false">IF(원본명단!$A575="","",573)</f>
        <v/>
      </c>
      <c r="B576" s="12" t="str">
        <f aca="false">IF($A576="","",원본명단!$A575)</f>
        <v/>
      </c>
      <c r="C576" s="12" t="str">
        <f aca="false">IF($A576="","",원본명단!$B575)</f>
        <v/>
      </c>
      <c r="D576" s="12" t="str">
        <f aca="false">IF($A576="","",원본명단!$D575)</f>
        <v/>
      </c>
      <c r="E576" s="11" t="str">
        <f aca="false">IF($A576="","",IF(원본명단!$H575="",0,COUNTIF(원본명단!$H$3:$H$6002,원본명단!$H575)))</f>
        <v/>
      </c>
      <c r="F576" s="11" t="str">
        <f aca="false">IF($A576="","",IF(원본명단!$I575="",0,COUNTIF(원본명단!$I$3:$I$6002,원본명단!$I575)))</f>
        <v/>
      </c>
      <c r="G576" s="11" t="str">
        <f aca="false">IF($A576="","",IF(원본명단!$K575="",0,COUNTIF(원본명단!$K$3:$K$6002,원본명단!$K575)))</f>
        <v/>
      </c>
      <c r="H576" s="11" t="str">
        <f aca="false">IF($A576="","",IF(MAX($E576,$F576,$G576)&gt;1,"중복","-"))</f>
        <v/>
      </c>
      <c r="I576" s="11" t="str">
        <f aca="false">IF($A576="","",IF($H576="-","-",IF(AND(IF(원본명단!$H575="",TRUE(),COUNTIF(원본명단!$H$3:$H575,원본명단!$H575)=1),IF(원본명단!$I575="",TRUE(),COUNTIF(원본명단!$I$3:$I575,원본명단!$I575)=1),IF(원본명단!$K575="",TRUE(),COUNTIF(원본명단!$K$3:$K575,원본명단!$K575)=1)),"첫 건","중복 건")))</f>
        <v/>
      </c>
      <c r="J576" s="11" t="str">
        <f aca="false">IF($A576="","",IF($H576="-","유지",IF($I576="첫 건","유지","확인 필요")))</f>
        <v/>
      </c>
    </row>
    <row r="577" customFormat="false" ht="15" hidden="false" customHeight="true" outlineLevel="0" collapsed="false">
      <c r="A577" s="11" t="str">
        <f aca="false">IF(원본명단!$A576="","",574)</f>
        <v/>
      </c>
      <c r="B577" s="12" t="str">
        <f aca="false">IF($A577="","",원본명단!$A576)</f>
        <v/>
      </c>
      <c r="C577" s="12" t="str">
        <f aca="false">IF($A577="","",원본명단!$B576)</f>
        <v/>
      </c>
      <c r="D577" s="12" t="str">
        <f aca="false">IF($A577="","",원본명단!$D576)</f>
        <v/>
      </c>
      <c r="E577" s="11" t="str">
        <f aca="false">IF($A577="","",IF(원본명단!$H576="",0,COUNTIF(원본명단!$H$3:$H$6002,원본명단!$H576)))</f>
        <v/>
      </c>
      <c r="F577" s="11" t="str">
        <f aca="false">IF($A577="","",IF(원본명단!$I576="",0,COUNTIF(원본명단!$I$3:$I$6002,원본명단!$I576)))</f>
        <v/>
      </c>
      <c r="G577" s="11" t="str">
        <f aca="false">IF($A577="","",IF(원본명단!$K576="",0,COUNTIF(원본명단!$K$3:$K$6002,원본명단!$K576)))</f>
        <v/>
      </c>
      <c r="H577" s="11" t="str">
        <f aca="false">IF($A577="","",IF(MAX($E577,$F577,$G577)&gt;1,"중복","-"))</f>
        <v/>
      </c>
      <c r="I577" s="11" t="str">
        <f aca="false">IF($A577="","",IF($H577="-","-",IF(AND(IF(원본명단!$H576="",TRUE(),COUNTIF(원본명단!$H$3:$H576,원본명단!$H576)=1),IF(원본명단!$I576="",TRUE(),COUNTIF(원본명단!$I$3:$I576,원본명단!$I576)=1),IF(원본명단!$K576="",TRUE(),COUNTIF(원본명단!$K$3:$K576,원본명단!$K576)=1)),"첫 건","중복 건")))</f>
        <v/>
      </c>
      <c r="J577" s="11" t="str">
        <f aca="false">IF($A577="","",IF($H577="-","유지",IF($I577="첫 건","유지","확인 필요")))</f>
        <v/>
      </c>
    </row>
    <row r="578" customFormat="false" ht="15" hidden="false" customHeight="true" outlineLevel="0" collapsed="false">
      <c r="A578" s="11" t="str">
        <f aca="false">IF(원본명단!$A577="","",575)</f>
        <v/>
      </c>
      <c r="B578" s="12" t="str">
        <f aca="false">IF($A578="","",원본명단!$A577)</f>
        <v/>
      </c>
      <c r="C578" s="12" t="str">
        <f aca="false">IF($A578="","",원본명단!$B577)</f>
        <v/>
      </c>
      <c r="D578" s="12" t="str">
        <f aca="false">IF($A578="","",원본명단!$D577)</f>
        <v/>
      </c>
      <c r="E578" s="11" t="str">
        <f aca="false">IF($A578="","",IF(원본명단!$H577="",0,COUNTIF(원본명단!$H$3:$H$6002,원본명단!$H577)))</f>
        <v/>
      </c>
      <c r="F578" s="11" t="str">
        <f aca="false">IF($A578="","",IF(원본명단!$I577="",0,COUNTIF(원본명단!$I$3:$I$6002,원본명단!$I577)))</f>
        <v/>
      </c>
      <c r="G578" s="11" t="str">
        <f aca="false">IF($A578="","",IF(원본명단!$K577="",0,COUNTIF(원본명단!$K$3:$K$6002,원본명단!$K577)))</f>
        <v/>
      </c>
      <c r="H578" s="11" t="str">
        <f aca="false">IF($A578="","",IF(MAX($E578,$F578,$G578)&gt;1,"중복","-"))</f>
        <v/>
      </c>
      <c r="I578" s="11" t="str">
        <f aca="false">IF($A578="","",IF($H578="-","-",IF(AND(IF(원본명단!$H577="",TRUE(),COUNTIF(원본명단!$H$3:$H577,원본명단!$H577)=1),IF(원본명단!$I577="",TRUE(),COUNTIF(원본명단!$I$3:$I577,원본명단!$I577)=1),IF(원본명단!$K577="",TRUE(),COUNTIF(원본명단!$K$3:$K577,원본명단!$K577)=1)),"첫 건","중복 건")))</f>
        <v/>
      </c>
      <c r="J578" s="11" t="str">
        <f aca="false">IF($A578="","",IF($H578="-","유지",IF($I578="첫 건","유지","확인 필요")))</f>
        <v/>
      </c>
    </row>
    <row r="579" customFormat="false" ht="15" hidden="false" customHeight="true" outlineLevel="0" collapsed="false">
      <c r="A579" s="11" t="str">
        <f aca="false">IF(원본명단!$A578="","",576)</f>
        <v/>
      </c>
      <c r="B579" s="12" t="str">
        <f aca="false">IF($A579="","",원본명단!$A578)</f>
        <v/>
      </c>
      <c r="C579" s="12" t="str">
        <f aca="false">IF($A579="","",원본명단!$B578)</f>
        <v/>
      </c>
      <c r="D579" s="12" t="str">
        <f aca="false">IF($A579="","",원본명단!$D578)</f>
        <v/>
      </c>
      <c r="E579" s="11" t="str">
        <f aca="false">IF($A579="","",IF(원본명단!$H578="",0,COUNTIF(원본명단!$H$3:$H$6002,원본명단!$H578)))</f>
        <v/>
      </c>
      <c r="F579" s="11" t="str">
        <f aca="false">IF($A579="","",IF(원본명단!$I578="",0,COUNTIF(원본명단!$I$3:$I$6002,원본명단!$I578)))</f>
        <v/>
      </c>
      <c r="G579" s="11" t="str">
        <f aca="false">IF($A579="","",IF(원본명단!$K578="",0,COUNTIF(원본명단!$K$3:$K$6002,원본명단!$K578)))</f>
        <v/>
      </c>
      <c r="H579" s="11" t="str">
        <f aca="false">IF($A579="","",IF(MAX($E579,$F579,$G579)&gt;1,"중복","-"))</f>
        <v/>
      </c>
      <c r="I579" s="11" t="str">
        <f aca="false">IF($A579="","",IF($H579="-","-",IF(AND(IF(원본명단!$H578="",TRUE(),COUNTIF(원본명단!$H$3:$H578,원본명단!$H578)=1),IF(원본명단!$I578="",TRUE(),COUNTIF(원본명단!$I$3:$I578,원본명단!$I578)=1),IF(원본명단!$K578="",TRUE(),COUNTIF(원본명단!$K$3:$K578,원본명단!$K578)=1)),"첫 건","중복 건")))</f>
        <v/>
      </c>
      <c r="J579" s="11" t="str">
        <f aca="false">IF($A579="","",IF($H579="-","유지",IF($I579="첫 건","유지","확인 필요")))</f>
        <v/>
      </c>
    </row>
    <row r="580" customFormat="false" ht="15" hidden="false" customHeight="true" outlineLevel="0" collapsed="false">
      <c r="A580" s="11" t="str">
        <f aca="false">IF(원본명단!$A579="","",577)</f>
        <v/>
      </c>
      <c r="B580" s="12" t="str">
        <f aca="false">IF($A580="","",원본명단!$A579)</f>
        <v/>
      </c>
      <c r="C580" s="12" t="str">
        <f aca="false">IF($A580="","",원본명단!$B579)</f>
        <v/>
      </c>
      <c r="D580" s="12" t="str">
        <f aca="false">IF($A580="","",원본명단!$D579)</f>
        <v/>
      </c>
      <c r="E580" s="11" t="str">
        <f aca="false">IF($A580="","",IF(원본명단!$H579="",0,COUNTIF(원본명단!$H$3:$H$6002,원본명단!$H579)))</f>
        <v/>
      </c>
      <c r="F580" s="11" t="str">
        <f aca="false">IF($A580="","",IF(원본명단!$I579="",0,COUNTIF(원본명단!$I$3:$I$6002,원본명단!$I579)))</f>
        <v/>
      </c>
      <c r="G580" s="11" t="str">
        <f aca="false">IF($A580="","",IF(원본명단!$K579="",0,COUNTIF(원본명단!$K$3:$K$6002,원본명단!$K579)))</f>
        <v/>
      </c>
      <c r="H580" s="11" t="str">
        <f aca="false">IF($A580="","",IF(MAX($E580,$F580,$G580)&gt;1,"중복","-"))</f>
        <v/>
      </c>
      <c r="I580" s="11" t="str">
        <f aca="false">IF($A580="","",IF($H580="-","-",IF(AND(IF(원본명단!$H579="",TRUE(),COUNTIF(원본명단!$H$3:$H579,원본명단!$H579)=1),IF(원본명단!$I579="",TRUE(),COUNTIF(원본명단!$I$3:$I579,원본명단!$I579)=1),IF(원본명단!$K579="",TRUE(),COUNTIF(원본명단!$K$3:$K579,원본명단!$K579)=1)),"첫 건","중복 건")))</f>
        <v/>
      </c>
      <c r="J580" s="11" t="str">
        <f aca="false">IF($A580="","",IF($H580="-","유지",IF($I580="첫 건","유지","확인 필요")))</f>
        <v/>
      </c>
    </row>
    <row r="581" customFormat="false" ht="15" hidden="false" customHeight="true" outlineLevel="0" collapsed="false">
      <c r="A581" s="11" t="str">
        <f aca="false">IF(원본명단!$A580="","",578)</f>
        <v/>
      </c>
      <c r="B581" s="12" t="str">
        <f aca="false">IF($A581="","",원본명단!$A580)</f>
        <v/>
      </c>
      <c r="C581" s="12" t="str">
        <f aca="false">IF($A581="","",원본명단!$B580)</f>
        <v/>
      </c>
      <c r="D581" s="12" t="str">
        <f aca="false">IF($A581="","",원본명단!$D580)</f>
        <v/>
      </c>
      <c r="E581" s="11" t="str">
        <f aca="false">IF($A581="","",IF(원본명단!$H580="",0,COUNTIF(원본명단!$H$3:$H$6002,원본명단!$H580)))</f>
        <v/>
      </c>
      <c r="F581" s="11" t="str">
        <f aca="false">IF($A581="","",IF(원본명단!$I580="",0,COUNTIF(원본명단!$I$3:$I$6002,원본명단!$I580)))</f>
        <v/>
      </c>
      <c r="G581" s="11" t="str">
        <f aca="false">IF($A581="","",IF(원본명단!$K580="",0,COUNTIF(원본명단!$K$3:$K$6002,원본명단!$K580)))</f>
        <v/>
      </c>
      <c r="H581" s="11" t="str">
        <f aca="false">IF($A581="","",IF(MAX($E581,$F581,$G581)&gt;1,"중복","-"))</f>
        <v/>
      </c>
      <c r="I581" s="11" t="str">
        <f aca="false">IF($A581="","",IF($H581="-","-",IF(AND(IF(원본명단!$H580="",TRUE(),COUNTIF(원본명단!$H$3:$H580,원본명단!$H580)=1),IF(원본명단!$I580="",TRUE(),COUNTIF(원본명단!$I$3:$I580,원본명단!$I580)=1),IF(원본명단!$K580="",TRUE(),COUNTIF(원본명단!$K$3:$K580,원본명단!$K580)=1)),"첫 건","중복 건")))</f>
        <v/>
      </c>
      <c r="J581" s="11" t="str">
        <f aca="false">IF($A581="","",IF($H581="-","유지",IF($I581="첫 건","유지","확인 필요")))</f>
        <v/>
      </c>
    </row>
    <row r="582" customFormat="false" ht="15" hidden="false" customHeight="true" outlineLevel="0" collapsed="false">
      <c r="A582" s="11" t="str">
        <f aca="false">IF(원본명단!$A581="","",579)</f>
        <v/>
      </c>
      <c r="B582" s="12" t="str">
        <f aca="false">IF($A582="","",원본명단!$A581)</f>
        <v/>
      </c>
      <c r="C582" s="12" t="str">
        <f aca="false">IF($A582="","",원본명단!$B581)</f>
        <v/>
      </c>
      <c r="D582" s="12" t="str">
        <f aca="false">IF($A582="","",원본명단!$D581)</f>
        <v/>
      </c>
      <c r="E582" s="11" t="str">
        <f aca="false">IF($A582="","",IF(원본명단!$H581="",0,COUNTIF(원본명단!$H$3:$H$6002,원본명단!$H581)))</f>
        <v/>
      </c>
      <c r="F582" s="11" t="str">
        <f aca="false">IF($A582="","",IF(원본명단!$I581="",0,COUNTIF(원본명단!$I$3:$I$6002,원본명단!$I581)))</f>
        <v/>
      </c>
      <c r="G582" s="11" t="str">
        <f aca="false">IF($A582="","",IF(원본명단!$K581="",0,COUNTIF(원본명단!$K$3:$K$6002,원본명단!$K581)))</f>
        <v/>
      </c>
      <c r="H582" s="11" t="str">
        <f aca="false">IF($A582="","",IF(MAX($E582,$F582,$G582)&gt;1,"중복","-"))</f>
        <v/>
      </c>
      <c r="I582" s="11" t="str">
        <f aca="false">IF($A582="","",IF($H582="-","-",IF(AND(IF(원본명단!$H581="",TRUE(),COUNTIF(원본명단!$H$3:$H581,원본명단!$H581)=1),IF(원본명단!$I581="",TRUE(),COUNTIF(원본명단!$I$3:$I581,원본명단!$I581)=1),IF(원본명단!$K581="",TRUE(),COUNTIF(원본명단!$K$3:$K581,원본명단!$K581)=1)),"첫 건","중복 건")))</f>
        <v/>
      </c>
      <c r="J582" s="11" t="str">
        <f aca="false">IF($A582="","",IF($H582="-","유지",IF($I582="첫 건","유지","확인 필요")))</f>
        <v/>
      </c>
    </row>
    <row r="583" customFormat="false" ht="15" hidden="false" customHeight="true" outlineLevel="0" collapsed="false">
      <c r="A583" s="11" t="str">
        <f aca="false">IF(원본명단!$A582="","",580)</f>
        <v/>
      </c>
      <c r="B583" s="12" t="str">
        <f aca="false">IF($A583="","",원본명단!$A582)</f>
        <v/>
      </c>
      <c r="C583" s="12" t="str">
        <f aca="false">IF($A583="","",원본명단!$B582)</f>
        <v/>
      </c>
      <c r="D583" s="12" t="str">
        <f aca="false">IF($A583="","",원본명단!$D582)</f>
        <v/>
      </c>
      <c r="E583" s="11" t="str">
        <f aca="false">IF($A583="","",IF(원본명단!$H582="",0,COUNTIF(원본명단!$H$3:$H$6002,원본명단!$H582)))</f>
        <v/>
      </c>
      <c r="F583" s="11" t="str">
        <f aca="false">IF($A583="","",IF(원본명단!$I582="",0,COUNTIF(원본명단!$I$3:$I$6002,원본명단!$I582)))</f>
        <v/>
      </c>
      <c r="G583" s="11" t="str">
        <f aca="false">IF($A583="","",IF(원본명단!$K582="",0,COUNTIF(원본명단!$K$3:$K$6002,원본명단!$K582)))</f>
        <v/>
      </c>
      <c r="H583" s="11" t="str">
        <f aca="false">IF($A583="","",IF(MAX($E583,$F583,$G583)&gt;1,"중복","-"))</f>
        <v/>
      </c>
      <c r="I583" s="11" t="str">
        <f aca="false">IF($A583="","",IF($H583="-","-",IF(AND(IF(원본명단!$H582="",TRUE(),COUNTIF(원본명단!$H$3:$H582,원본명단!$H582)=1),IF(원본명단!$I582="",TRUE(),COUNTIF(원본명단!$I$3:$I582,원본명단!$I582)=1),IF(원본명단!$K582="",TRUE(),COUNTIF(원본명단!$K$3:$K582,원본명단!$K582)=1)),"첫 건","중복 건")))</f>
        <v/>
      </c>
      <c r="J583" s="11" t="str">
        <f aca="false">IF($A583="","",IF($H583="-","유지",IF($I583="첫 건","유지","확인 필요")))</f>
        <v/>
      </c>
    </row>
    <row r="584" customFormat="false" ht="15" hidden="false" customHeight="true" outlineLevel="0" collapsed="false">
      <c r="A584" s="11" t="str">
        <f aca="false">IF(원본명단!$A583="","",581)</f>
        <v/>
      </c>
      <c r="B584" s="12" t="str">
        <f aca="false">IF($A584="","",원본명단!$A583)</f>
        <v/>
      </c>
      <c r="C584" s="12" t="str">
        <f aca="false">IF($A584="","",원본명단!$B583)</f>
        <v/>
      </c>
      <c r="D584" s="12" t="str">
        <f aca="false">IF($A584="","",원본명단!$D583)</f>
        <v/>
      </c>
      <c r="E584" s="11" t="str">
        <f aca="false">IF($A584="","",IF(원본명단!$H583="",0,COUNTIF(원본명단!$H$3:$H$6002,원본명단!$H583)))</f>
        <v/>
      </c>
      <c r="F584" s="11" t="str">
        <f aca="false">IF($A584="","",IF(원본명단!$I583="",0,COUNTIF(원본명단!$I$3:$I$6002,원본명단!$I583)))</f>
        <v/>
      </c>
      <c r="G584" s="11" t="str">
        <f aca="false">IF($A584="","",IF(원본명단!$K583="",0,COUNTIF(원본명단!$K$3:$K$6002,원본명단!$K583)))</f>
        <v/>
      </c>
      <c r="H584" s="11" t="str">
        <f aca="false">IF($A584="","",IF(MAX($E584,$F584,$G584)&gt;1,"중복","-"))</f>
        <v/>
      </c>
      <c r="I584" s="11" t="str">
        <f aca="false">IF($A584="","",IF($H584="-","-",IF(AND(IF(원본명단!$H583="",TRUE(),COUNTIF(원본명단!$H$3:$H583,원본명단!$H583)=1),IF(원본명단!$I583="",TRUE(),COUNTIF(원본명단!$I$3:$I583,원본명단!$I583)=1),IF(원본명단!$K583="",TRUE(),COUNTIF(원본명단!$K$3:$K583,원본명단!$K583)=1)),"첫 건","중복 건")))</f>
        <v/>
      </c>
      <c r="J584" s="11" t="str">
        <f aca="false">IF($A584="","",IF($H584="-","유지",IF($I584="첫 건","유지","확인 필요")))</f>
        <v/>
      </c>
    </row>
    <row r="585" customFormat="false" ht="15" hidden="false" customHeight="true" outlineLevel="0" collapsed="false">
      <c r="A585" s="11" t="str">
        <f aca="false">IF(원본명단!$A584="","",582)</f>
        <v/>
      </c>
      <c r="B585" s="12" t="str">
        <f aca="false">IF($A585="","",원본명단!$A584)</f>
        <v/>
      </c>
      <c r="C585" s="12" t="str">
        <f aca="false">IF($A585="","",원본명단!$B584)</f>
        <v/>
      </c>
      <c r="D585" s="12" t="str">
        <f aca="false">IF($A585="","",원본명단!$D584)</f>
        <v/>
      </c>
      <c r="E585" s="11" t="str">
        <f aca="false">IF($A585="","",IF(원본명단!$H584="",0,COUNTIF(원본명단!$H$3:$H$6002,원본명단!$H584)))</f>
        <v/>
      </c>
      <c r="F585" s="11" t="str">
        <f aca="false">IF($A585="","",IF(원본명단!$I584="",0,COUNTIF(원본명단!$I$3:$I$6002,원본명단!$I584)))</f>
        <v/>
      </c>
      <c r="G585" s="11" t="str">
        <f aca="false">IF($A585="","",IF(원본명단!$K584="",0,COUNTIF(원본명단!$K$3:$K$6002,원본명단!$K584)))</f>
        <v/>
      </c>
      <c r="H585" s="11" t="str">
        <f aca="false">IF($A585="","",IF(MAX($E585,$F585,$G585)&gt;1,"중복","-"))</f>
        <v/>
      </c>
      <c r="I585" s="11" t="str">
        <f aca="false">IF($A585="","",IF($H585="-","-",IF(AND(IF(원본명단!$H584="",TRUE(),COUNTIF(원본명단!$H$3:$H584,원본명단!$H584)=1),IF(원본명단!$I584="",TRUE(),COUNTIF(원본명단!$I$3:$I584,원본명단!$I584)=1),IF(원본명단!$K584="",TRUE(),COUNTIF(원본명단!$K$3:$K584,원본명단!$K584)=1)),"첫 건","중복 건")))</f>
        <v/>
      </c>
      <c r="J585" s="11" t="str">
        <f aca="false">IF($A585="","",IF($H585="-","유지",IF($I585="첫 건","유지","확인 필요")))</f>
        <v/>
      </c>
    </row>
    <row r="586" customFormat="false" ht="15" hidden="false" customHeight="true" outlineLevel="0" collapsed="false">
      <c r="A586" s="11" t="str">
        <f aca="false">IF(원본명단!$A585="","",583)</f>
        <v/>
      </c>
      <c r="B586" s="12" t="str">
        <f aca="false">IF($A586="","",원본명단!$A585)</f>
        <v/>
      </c>
      <c r="C586" s="12" t="str">
        <f aca="false">IF($A586="","",원본명단!$B585)</f>
        <v/>
      </c>
      <c r="D586" s="12" t="str">
        <f aca="false">IF($A586="","",원본명단!$D585)</f>
        <v/>
      </c>
      <c r="E586" s="11" t="str">
        <f aca="false">IF($A586="","",IF(원본명단!$H585="",0,COUNTIF(원본명단!$H$3:$H$6002,원본명단!$H585)))</f>
        <v/>
      </c>
      <c r="F586" s="11" t="str">
        <f aca="false">IF($A586="","",IF(원본명단!$I585="",0,COUNTIF(원본명단!$I$3:$I$6002,원본명단!$I585)))</f>
        <v/>
      </c>
      <c r="G586" s="11" t="str">
        <f aca="false">IF($A586="","",IF(원본명단!$K585="",0,COUNTIF(원본명단!$K$3:$K$6002,원본명단!$K585)))</f>
        <v/>
      </c>
      <c r="H586" s="11" t="str">
        <f aca="false">IF($A586="","",IF(MAX($E586,$F586,$G586)&gt;1,"중복","-"))</f>
        <v/>
      </c>
      <c r="I586" s="11" t="str">
        <f aca="false">IF($A586="","",IF($H586="-","-",IF(AND(IF(원본명단!$H585="",TRUE(),COUNTIF(원본명단!$H$3:$H585,원본명단!$H585)=1),IF(원본명단!$I585="",TRUE(),COUNTIF(원본명단!$I$3:$I585,원본명단!$I585)=1),IF(원본명단!$K585="",TRUE(),COUNTIF(원본명단!$K$3:$K585,원본명단!$K585)=1)),"첫 건","중복 건")))</f>
        <v/>
      </c>
      <c r="J586" s="11" t="str">
        <f aca="false">IF($A586="","",IF($H586="-","유지",IF($I586="첫 건","유지","확인 필요")))</f>
        <v/>
      </c>
    </row>
    <row r="587" customFormat="false" ht="15" hidden="false" customHeight="true" outlineLevel="0" collapsed="false">
      <c r="A587" s="11" t="str">
        <f aca="false">IF(원본명단!$A586="","",584)</f>
        <v/>
      </c>
      <c r="B587" s="12" t="str">
        <f aca="false">IF($A587="","",원본명단!$A586)</f>
        <v/>
      </c>
      <c r="C587" s="12" t="str">
        <f aca="false">IF($A587="","",원본명단!$B586)</f>
        <v/>
      </c>
      <c r="D587" s="12" t="str">
        <f aca="false">IF($A587="","",원본명단!$D586)</f>
        <v/>
      </c>
      <c r="E587" s="11" t="str">
        <f aca="false">IF($A587="","",IF(원본명단!$H586="",0,COUNTIF(원본명단!$H$3:$H$6002,원본명단!$H586)))</f>
        <v/>
      </c>
      <c r="F587" s="11" t="str">
        <f aca="false">IF($A587="","",IF(원본명단!$I586="",0,COUNTIF(원본명단!$I$3:$I$6002,원본명단!$I586)))</f>
        <v/>
      </c>
      <c r="G587" s="11" t="str">
        <f aca="false">IF($A587="","",IF(원본명단!$K586="",0,COUNTIF(원본명단!$K$3:$K$6002,원본명단!$K586)))</f>
        <v/>
      </c>
      <c r="H587" s="11" t="str">
        <f aca="false">IF($A587="","",IF(MAX($E587,$F587,$G587)&gt;1,"중복","-"))</f>
        <v/>
      </c>
      <c r="I587" s="11" t="str">
        <f aca="false">IF($A587="","",IF($H587="-","-",IF(AND(IF(원본명단!$H586="",TRUE(),COUNTIF(원본명단!$H$3:$H586,원본명단!$H586)=1),IF(원본명단!$I586="",TRUE(),COUNTIF(원본명단!$I$3:$I586,원본명단!$I586)=1),IF(원본명단!$K586="",TRUE(),COUNTIF(원본명단!$K$3:$K586,원본명단!$K586)=1)),"첫 건","중복 건")))</f>
        <v/>
      </c>
      <c r="J587" s="11" t="str">
        <f aca="false">IF($A587="","",IF($H587="-","유지",IF($I587="첫 건","유지","확인 필요")))</f>
        <v/>
      </c>
    </row>
    <row r="588" customFormat="false" ht="15" hidden="false" customHeight="true" outlineLevel="0" collapsed="false">
      <c r="A588" s="11" t="str">
        <f aca="false">IF(원본명단!$A587="","",585)</f>
        <v/>
      </c>
      <c r="B588" s="12" t="str">
        <f aca="false">IF($A588="","",원본명단!$A587)</f>
        <v/>
      </c>
      <c r="C588" s="12" t="str">
        <f aca="false">IF($A588="","",원본명단!$B587)</f>
        <v/>
      </c>
      <c r="D588" s="12" t="str">
        <f aca="false">IF($A588="","",원본명단!$D587)</f>
        <v/>
      </c>
      <c r="E588" s="11" t="str">
        <f aca="false">IF($A588="","",IF(원본명단!$H587="",0,COUNTIF(원본명단!$H$3:$H$6002,원본명단!$H587)))</f>
        <v/>
      </c>
      <c r="F588" s="11" t="str">
        <f aca="false">IF($A588="","",IF(원본명단!$I587="",0,COUNTIF(원본명단!$I$3:$I$6002,원본명단!$I587)))</f>
        <v/>
      </c>
      <c r="G588" s="11" t="str">
        <f aca="false">IF($A588="","",IF(원본명단!$K587="",0,COUNTIF(원본명단!$K$3:$K$6002,원본명단!$K587)))</f>
        <v/>
      </c>
      <c r="H588" s="11" t="str">
        <f aca="false">IF($A588="","",IF(MAX($E588,$F588,$G588)&gt;1,"중복","-"))</f>
        <v/>
      </c>
      <c r="I588" s="11" t="str">
        <f aca="false">IF($A588="","",IF($H588="-","-",IF(AND(IF(원본명단!$H587="",TRUE(),COUNTIF(원본명단!$H$3:$H587,원본명단!$H587)=1),IF(원본명단!$I587="",TRUE(),COUNTIF(원본명단!$I$3:$I587,원본명단!$I587)=1),IF(원본명단!$K587="",TRUE(),COUNTIF(원본명단!$K$3:$K587,원본명단!$K587)=1)),"첫 건","중복 건")))</f>
        <v/>
      </c>
      <c r="J588" s="11" t="str">
        <f aca="false">IF($A588="","",IF($H588="-","유지",IF($I588="첫 건","유지","확인 필요")))</f>
        <v/>
      </c>
    </row>
    <row r="589" customFormat="false" ht="15" hidden="false" customHeight="true" outlineLevel="0" collapsed="false">
      <c r="A589" s="11" t="str">
        <f aca="false">IF(원본명단!$A588="","",586)</f>
        <v/>
      </c>
      <c r="B589" s="12" t="str">
        <f aca="false">IF($A589="","",원본명단!$A588)</f>
        <v/>
      </c>
      <c r="C589" s="12" t="str">
        <f aca="false">IF($A589="","",원본명단!$B588)</f>
        <v/>
      </c>
      <c r="D589" s="12" t="str">
        <f aca="false">IF($A589="","",원본명단!$D588)</f>
        <v/>
      </c>
      <c r="E589" s="11" t="str">
        <f aca="false">IF($A589="","",IF(원본명단!$H588="",0,COUNTIF(원본명단!$H$3:$H$6002,원본명단!$H588)))</f>
        <v/>
      </c>
      <c r="F589" s="11" t="str">
        <f aca="false">IF($A589="","",IF(원본명단!$I588="",0,COUNTIF(원본명단!$I$3:$I$6002,원본명단!$I588)))</f>
        <v/>
      </c>
      <c r="G589" s="11" t="str">
        <f aca="false">IF($A589="","",IF(원본명단!$K588="",0,COUNTIF(원본명단!$K$3:$K$6002,원본명단!$K588)))</f>
        <v/>
      </c>
      <c r="H589" s="11" t="str">
        <f aca="false">IF($A589="","",IF(MAX($E589,$F589,$G589)&gt;1,"중복","-"))</f>
        <v/>
      </c>
      <c r="I589" s="11" t="str">
        <f aca="false">IF($A589="","",IF($H589="-","-",IF(AND(IF(원본명단!$H588="",TRUE(),COUNTIF(원본명단!$H$3:$H588,원본명단!$H588)=1),IF(원본명단!$I588="",TRUE(),COUNTIF(원본명단!$I$3:$I588,원본명단!$I588)=1),IF(원본명단!$K588="",TRUE(),COUNTIF(원본명단!$K$3:$K588,원본명단!$K588)=1)),"첫 건","중복 건")))</f>
        <v/>
      </c>
      <c r="J589" s="11" t="str">
        <f aca="false">IF($A589="","",IF($H589="-","유지",IF($I589="첫 건","유지","확인 필요")))</f>
        <v/>
      </c>
    </row>
    <row r="590" customFormat="false" ht="15" hidden="false" customHeight="true" outlineLevel="0" collapsed="false">
      <c r="A590" s="11" t="str">
        <f aca="false">IF(원본명단!$A589="","",587)</f>
        <v/>
      </c>
      <c r="B590" s="12" t="str">
        <f aca="false">IF($A590="","",원본명단!$A589)</f>
        <v/>
      </c>
      <c r="C590" s="12" t="str">
        <f aca="false">IF($A590="","",원본명단!$B589)</f>
        <v/>
      </c>
      <c r="D590" s="12" t="str">
        <f aca="false">IF($A590="","",원본명단!$D589)</f>
        <v/>
      </c>
      <c r="E590" s="11" t="str">
        <f aca="false">IF($A590="","",IF(원본명단!$H589="",0,COUNTIF(원본명단!$H$3:$H$6002,원본명단!$H589)))</f>
        <v/>
      </c>
      <c r="F590" s="11" t="str">
        <f aca="false">IF($A590="","",IF(원본명단!$I589="",0,COUNTIF(원본명단!$I$3:$I$6002,원본명단!$I589)))</f>
        <v/>
      </c>
      <c r="G590" s="11" t="str">
        <f aca="false">IF($A590="","",IF(원본명단!$K589="",0,COUNTIF(원본명단!$K$3:$K$6002,원본명단!$K589)))</f>
        <v/>
      </c>
      <c r="H590" s="11" t="str">
        <f aca="false">IF($A590="","",IF(MAX($E590,$F590,$G590)&gt;1,"중복","-"))</f>
        <v/>
      </c>
      <c r="I590" s="11" t="str">
        <f aca="false">IF($A590="","",IF($H590="-","-",IF(AND(IF(원본명단!$H589="",TRUE(),COUNTIF(원본명단!$H$3:$H589,원본명단!$H589)=1),IF(원본명단!$I589="",TRUE(),COUNTIF(원본명단!$I$3:$I589,원본명단!$I589)=1),IF(원본명단!$K589="",TRUE(),COUNTIF(원본명단!$K$3:$K589,원본명단!$K589)=1)),"첫 건","중복 건")))</f>
        <v/>
      </c>
      <c r="J590" s="11" t="str">
        <f aca="false">IF($A590="","",IF($H590="-","유지",IF($I590="첫 건","유지","확인 필요")))</f>
        <v/>
      </c>
    </row>
    <row r="591" customFormat="false" ht="15" hidden="false" customHeight="true" outlineLevel="0" collapsed="false">
      <c r="A591" s="11" t="str">
        <f aca="false">IF(원본명단!$A590="","",588)</f>
        <v/>
      </c>
      <c r="B591" s="12" t="str">
        <f aca="false">IF($A591="","",원본명단!$A590)</f>
        <v/>
      </c>
      <c r="C591" s="12" t="str">
        <f aca="false">IF($A591="","",원본명단!$B590)</f>
        <v/>
      </c>
      <c r="D591" s="12" t="str">
        <f aca="false">IF($A591="","",원본명단!$D590)</f>
        <v/>
      </c>
      <c r="E591" s="11" t="str">
        <f aca="false">IF($A591="","",IF(원본명단!$H590="",0,COUNTIF(원본명단!$H$3:$H$6002,원본명단!$H590)))</f>
        <v/>
      </c>
      <c r="F591" s="11" t="str">
        <f aca="false">IF($A591="","",IF(원본명단!$I590="",0,COUNTIF(원본명단!$I$3:$I$6002,원본명단!$I590)))</f>
        <v/>
      </c>
      <c r="G591" s="11" t="str">
        <f aca="false">IF($A591="","",IF(원본명단!$K590="",0,COUNTIF(원본명단!$K$3:$K$6002,원본명단!$K590)))</f>
        <v/>
      </c>
      <c r="H591" s="11" t="str">
        <f aca="false">IF($A591="","",IF(MAX($E591,$F591,$G591)&gt;1,"중복","-"))</f>
        <v/>
      </c>
      <c r="I591" s="11" t="str">
        <f aca="false">IF($A591="","",IF($H591="-","-",IF(AND(IF(원본명단!$H590="",TRUE(),COUNTIF(원본명단!$H$3:$H590,원본명단!$H590)=1),IF(원본명단!$I590="",TRUE(),COUNTIF(원본명단!$I$3:$I590,원본명단!$I590)=1),IF(원본명단!$K590="",TRUE(),COUNTIF(원본명단!$K$3:$K590,원본명단!$K590)=1)),"첫 건","중복 건")))</f>
        <v/>
      </c>
      <c r="J591" s="11" t="str">
        <f aca="false">IF($A591="","",IF($H591="-","유지",IF($I591="첫 건","유지","확인 필요")))</f>
        <v/>
      </c>
    </row>
    <row r="592" customFormat="false" ht="15" hidden="false" customHeight="true" outlineLevel="0" collapsed="false">
      <c r="A592" s="11" t="str">
        <f aca="false">IF(원본명단!$A591="","",589)</f>
        <v/>
      </c>
      <c r="B592" s="12" t="str">
        <f aca="false">IF($A592="","",원본명단!$A591)</f>
        <v/>
      </c>
      <c r="C592" s="12" t="str">
        <f aca="false">IF($A592="","",원본명단!$B591)</f>
        <v/>
      </c>
      <c r="D592" s="12" t="str">
        <f aca="false">IF($A592="","",원본명단!$D591)</f>
        <v/>
      </c>
      <c r="E592" s="11" t="str">
        <f aca="false">IF($A592="","",IF(원본명단!$H591="",0,COUNTIF(원본명단!$H$3:$H$6002,원본명단!$H591)))</f>
        <v/>
      </c>
      <c r="F592" s="11" t="str">
        <f aca="false">IF($A592="","",IF(원본명단!$I591="",0,COUNTIF(원본명단!$I$3:$I$6002,원본명단!$I591)))</f>
        <v/>
      </c>
      <c r="G592" s="11" t="str">
        <f aca="false">IF($A592="","",IF(원본명단!$K591="",0,COUNTIF(원본명단!$K$3:$K$6002,원본명단!$K591)))</f>
        <v/>
      </c>
      <c r="H592" s="11" t="str">
        <f aca="false">IF($A592="","",IF(MAX($E592,$F592,$G592)&gt;1,"중복","-"))</f>
        <v/>
      </c>
      <c r="I592" s="11" t="str">
        <f aca="false">IF($A592="","",IF($H592="-","-",IF(AND(IF(원본명단!$H591="",TRUE(),COUNTIF(원본명단!$H$3:$H591,원본명단!$H591)=1),IF(원본명단!$I591="",TRUE(),COUNTIF(원본명단!$I$3:$I591,원본명단!$I591)=1),IF(원본명단!$K591="",TRUE(),COUNTIF(원본명단!$K$3:$K591,원본명단!$K591)=1)),"첫 건","중복 건")))</f>
        <v/>
      </c>
      <c r="J592" s="11" t="str">
        <f aca="false">IF($A592="","",IF($H592="-","유지",IF($I592="첫 건","유지","확인 필요")))</f>
        <v/>
      </c>
    </row>
    <row r="593" customFormat="false" ht="15" hidden="false" customHeight="true" outlineLevel="0" collapsed="false">
      <c r="A593" s="11" t="str">
        <f aca="false">IF(원본명단!$A592="","",590)</f>
        <v/>
      </c>
      <c r="B593" s="12" t="str">
        <f aca="false">IF($A593="","",원본명단!$A592)</f>
        <v/>
      </c>
      <c r="C593" s="12" t="str">
        <f aca="false">IF($A593="","",원본명단!$B592)</f>
        <v/>
      </c>
      <c r="D593" s="12" t="str">
        <f aca="false">IF($A593="","",원본명단!$D592)</f>
        <v/>
      </c>
      <c r="E593" s="11" t="str">
        <f aca="false">IF($A593="","",IF(원본명단!$H592="",0,COUNTIF(원본명단!$H$3:$H$6002,원본명단!$H592)))</f>
        <v/>
      </c>
      <c r="F593" s="11" t="str">
        <f aca="false">IF($A593="","",IF(원본명단!$I592="",0,COUNTIF(원본명단!$I$3:$I$6002,원본명단!$I592)))</f>
        <v/>
      </c>
      <c r="G593" s="11" t="str">
        <f aca="false">IF($A593="","",IF(원본명단!$K592="",0,COUNTIF(원본명단!$K$3:$K$6002,원본명단!$K592)))</f>
        <v/>
      </c>
      <c r="H593" s="11" t="str">
        <f aca="false">IF($A593="","",IF(MAX($E593,$F593,$G593)&gt;1,"중복","-"))</f>
        <v/>
      </c>
      <c r="I593" s="11" t="str">
        <f aca="false">IF($A593="","",IF($H593="-","-",IF(AND(IF(원본명단!$H592="",TRUE(),COUNTIF(원본명단!$H$3:$H592,원본명단!$H592)=1),IF(원본명단!$I592="",TRUE(),COUNTIF(원본명단!$I$3:$I592,원본명단!$I592)=1),IF(원본명단!$K592="",TRUE(),COUNTIF(원본명단!$K$3:$K592,원본명단!$K592)=1)),"첫 건","중복 건")))</f>
        <v/>
      </c>
      <c r="J593" s="11" t="str">
        <f aca="false">IF($A593="","",IF($H593="-","유지",IF($I593="첫 건","유지","확인 필요")))</f>
        <v/>
      </c>
    </row>
    <row r="594" customFormat="false" ht="15" hidden="false" customHeight="true" outlineLevel="0" collapsed="false">
      <c r="A594" s="11" t="str">
        <f aca="false">IF(원본명단!$A593="","",591)</f>
        <v/>
      </c>
      <c r="B594" s="12" t="str">
        <f aca="false">IF($A594="","",원본명단!$A593)</f>
        <v/>
      </c>
      <c r="C594" s="12" t="str">
        <f aca="false">IF($A594="","",원본명단!$B593)</f>
        <v/>
      </c>
      <c r="D594" s="12" t="str">
        <f aca="false">IF($A594="","",원본명단!$D593)</f>
        <v/>
      </c>
      <c r="E594" s="11" t="str">
        <f aca="false">IF($A594="","",IF(원본명단!$H593="",0,COUNTIF(원본명단!$H$3:$H$6002,원본명단!$H593)))</f>
        <v/>
      </c>
      <c r="F594" s="11" t="str">
        <f aca="false">IF($A594="","",IF(원본명단!$I593="",0,COUNTIF(원본명단!$I$3:$I$6002,원본명단!$I593)))</f>
        <v/>
      </c>
      <c r="G594" s="11" t="str">
        <f aca="false">IF($A594="","",IF(원본명단!$K593="",0,COUNTIF(원본명단!$K$3:$K$6002,원본명단!$K593)))</f>
        <v/>
      </c>
      <c r="H594" s="11" t="str">
        <f aca="false">IF($A594="","",IF(MAX($E594,$F594,$G594)&gt;1,"중복","-"))</f>
        <v/>
      </c>
      <c r="I594" s="11" t="str">
        <f aca="false">IF($A594="","",IF($H594="-","-",IF(AND(IF(원본명단!$H593="",TRUE(),COUNTIF(원본명단!$H$3:$H593,원본명단!$H593)=1),IF(원본명단!$I593="",TRUE(),COUNTIF(원본명단!$I$3:$I593,원본명단!$I593)=1),IF(원본명단!$K593="",TRUE(),COUNTIF(원본명단!$K$3:$K593,원본명단!$K593)=1)),"첫 건","중복 건")))</f>
        <v/>
      </c>
      <c r="J594" s="11" t="str">
        <f aca="false">IF($A594="","",IF($H594="-","유지",IF($I594="첫 건","유지","확인 필요")))</f>
        <v/>
      </c>
    </row>
    <row r="595" customFormat="false" ht="15" hidden="false" customHeight="true" outlineLevel="0" collapsed="false">
      <c r="A595" s="11" t="str">
        <f aca="false">IF(원본명단!$A594="","",592)</f>
        <v/>
      </c>
      <c r="B595" s="12" t="str">
        <f aca="false">IF($A595="","",원본명단!$A594)</f>
        <v/>
      </c>
      <c r="C595" s="12" t="str">
        <f aca="false">IF($A595="","",원본명단!$B594)</f>
        <v/>
      </c>
      <c r="D595" s="12" t="str">
        <f aca="false">IF($A595="","",원본명단!$D594)</f>
        <v/>
      </c>
      <c r="E595" s="11" t="str">
        <f aca="false">IF($A595="","",IF(원본명단!$H594="",0,COUNTIF(원본명단!$H$3:$H$6002,원본명단!$H594)))</f>
        <v/>
      </c>
      <c r="F595" s="11" t="str">
        <f aca="false">IF($A595="","",IF(원본명단!$I594="",0,COUNTIF(원본명단!$I$3:$I$6002,원본명단!$I594)))</f>
        <v/>
      </c>
      <c r="G595" s="11" t="str">
        <f aca="false">IF($A595="","",IF(원본명단!$K594="",0,COUNTIF(원본명단!$K$3:$K$6002,원본명단!$K594)))</f>
        <v/>
      </c>
      <c r="H595" s="11" t="str">
        <f aca="false">IF($A595="","",IF(MAX($E595,$F595,$G595)&gt;1,"중복","-"))</f>
        <v/>
      </c>
      <c r="I595" s="11" t="str">
        <f aca="false">IF($A595="","",IF($H595="-","-",IF(AND(IF(원본명단!$H594="",TRUE(),COUNTIF(원본명단!$H$3:$H594,원본명단!$H594)=1),IF(원본명단!$I594="",TRUE(),COUNTIF(원본명단!$I$3:$I594,원본명단!$I594)=1),IF(원본명단!$K594="",TRUE(),COUNTIF(원본명단!$K$3:$K594,원본명단!$K594)=1)),"첫 건","중복 건")))</f>
        <v/>
      </c>
      <c r="J595" s="11" t="str">
        <f aca="false">IF($A595="","",IF($H595="-","유지",IF($I595="첫 건","유지","확인 필요")))</f>
        <v/>
      </c>
    </row>
    <row r="596" customFormat="false" ht="15" hidden="false" customHeight="true" outlineLevel="0" collapsed="false">
      <c r="A596" s="11" t="str">
        <f aca="false">IF(원본명단!$A595="","",593)</f>
        <v/>
      </c>
      <c r="B596" s="12" t="str">
        <f aca="false">IF($A596="","",원본명단!$A595)</f>
        <v/>
      </c>
      <c r="C596" s="12" t="str">
        <f aca="false">IF($A596="","",원본명단!$B595)</f>
        <v/>
      </c>
      <c r="D596" s="12" t="str">
        <f aca="false">IF($A596="","",원본명단!$D595)</f>
        <v/>
      </c>
      <c r="E596" s="11" t="str">
        <f aca="false">IF($A596="","",IF(원본명단!$H595="",0,COUNTIF(원본명단!$H$3:$H$6002,원본명단!$H595)))</f>
        <v/>
      </c>
      <c r="F596" s="11" t="str">
        <f aca="false">IF($A596="","",IF(원본명단!$I595="",0,COUNTIF(원본명단!$I$3:$I$6002,원본명단!$I595)))</f>
        <v/>
      </c>
      <c r="G596" s="11" t="str">
        <f aca="false">IF($A596="","",IF(원본명단!$K595="",0,COUNTIF(원본명단!$K$3:$K$6002,원본명단!$K595)))</f>
        <v/>
      </c>
      <c r="H596" s="11" t="str">
        <f aca="false">IF($A596="","",IF(MAX($E596,$F596,$G596)&gt;1,"중복","-"))</f>
        <v/>
      </c>
      <c r="I596" s="11" t="str">
        <f aca="false">IF($A596="","",IF($H596="-","-",IF(AND(IF(원본명단!$H595="",TRUE(),COUNTIF(원본명단!$H$3:$H595,원본명단!$H595)=1),IF(원본명단!$I595="",TRUE(),COUNTIF(원본명단!$I$3:$I595,원본명단!$I595)=1),IF(원본명단!$K595="",TRUE(),COUNTIF(원본명단!$K$3:$K595,원본명단!$K595)=1)),"첫 건","중복 건")))</f>
        <v/>
      </c>
      <c r="J596" s="11" t="str">
        <f aca="false">IF($A596="","",IF($H596="-","유지",IF($I596="첫 건","유지","확인 필요")))</f>
        <v/>
      </c>
    </row>
    <row r="597" customFormat="false" ht="15" hidden="false" customHeight="true" outlineLevel="0" collapsed="false">
      <c r="A597" s="11" t="str">
        <f aca="false">IF(원본명단!$A596="","",594)</f>
        <v/>
      </c>
      <c r="B597" s="12" t="str">
        <f aca="false">IF($A597="","",원본명단!$A596)</f>
        <v/>
      </c>
      <c r="C597" s="12" t="str">
        <f aca="false">IF($A597="","",원본명단!$B596)</f>
        <v/>
      </c>
      <c r="D597" s="12" t="str">
        <f aca="false">IF($A597="","",원본명단!$D596)</f>
        <v/>
      </c>
      <c r="E597" s="11" t="str">
        <f aca="false">IF($A597="","",IF(원본명단!$H596="",0,COUNTIF(원본명단!$H$3:$H$6002,원본명단!$H596)))</f>
        <v/>
      </c>
      <c r="F597" s="11" t="str">
        <f aca="false">IF($A597="","",IF(원본명단!$I596="",0,COUNTIF(원본명단!$I$3:$I$6002,원본명단!$I596)))</f>
        <v/>
      </c>
      <c r="G597" s="11" t="str">
        <f aca="false">IF($A597="","",IF(원본명단!$K596="",0,COUNTIF(원본명단!$K$3:$K$6002,원본명단!$K596)))</f>
        <v/>
      </c>
      <c r="H597" s="11" t="str">
        <f aca="false">IF($A597="","",IF(MAX($E597,$F597,$G597)&gt;1,"중복","-"))</f>
        <v/>
      </c>
      <c r="I597" s="11" t="str">
        <f aca="false">IF($A597="","",IF($H597="-","-",IF(AND(IF(원본명단!$H596="",TRUE(),COUNTIF(원본명단!$H$3:$H596,원본명단!$H596)=1),IF(원본명단!$I596="",TRUE(),COUNTIF(원본명단!$I$3:$I596,원본명단!$I596)=1),IF(원본명단!$K596="",TRUE(),COUNTIF(원본명단!$K$3:$K596,원본명단!$K596)=1)),"첫 건","중복 건")))</f>
        <v/>
      </c>
      <c r="J597" s="11" t="str">
        <f aca="false">IF($A597="","",IF($H597="-","유지",IF($I597="첫 건","유지","확인 필요")))</f>
        <v/>
      </c>
    </row>
    <row r="598" customFormat="false" ht="15" hidden="false" customHeight="true" outlineLevel="0" collapsed="false">
      <c r="A598" s="11" t="str">
        <f aca="false">IF(원본명단!$A597="","",595)</f>
        <v/>
      </c>
      <c r="B598" s="12" t="str">
        <f aca="false">IF($A598="","",원본명단!$A597)</f>
        <v/>
      </c>
      <c r="C598" s="12" t="str">
        <f aca="false">IF($A598="","",원본명단!$B597)</f>
        <v/>
      </c>
      <c r="D598" s="12" t="str">
        <f aca="false">IF($A598="","",원본명단!$D597)</f>
        <v/>
      </c>
      <c r="E598" s="11" t="str">
        <f aca="false">IF($A598="","",IF(원본명단!$H597="",0,COUNTIF(원본명단!$H$3:$H$6002,원본명단!$H597)))</f>
        <v/>
      </c>
      <c r="F598" s="11" t="str">
        <f aca="false">IF($A598="","",IF(원본명단!$I597="",0,COUNTIF(원본명단!$I$3:$I$6002,원본명단!$I597)))</f>
        <v/>
      </c>
      <c r="G598" s="11" t="str">
        <f aca="false">IF($A598="","",IF(원본명단!$K597="",0,COUNTIF(원본명단!$K$3:$K$6002,원본명단!$K597)))</f>
        <v/>
      </c>
      <c r="H598" s="11" t="str">
        <f aca="false">IF($A598="","",IF(MAX($E598,$F598,$G598)&gt;1,"중복","-"))</f>
        <v/>
      </c>
      <c r="I598" s="11" t="str">
        <f aca="false">IF($A598="","",IF($H598="-","-",IF(AND(IF(원본명단!$H597="",TRUE(),COUNTIF(원본명단!$H$3:$H597,원본명단!$H597)=1),IF(원본명단!$I597="",TRUE(),COUNTIF(원본명단!$I$3:$I597,원본명단!$I597)=1),IF(원본명단!$K597="",TRUE(),COUNTIF(원본명단!$K$3:$K597,원본명단!$K597)=1)),"첫 건","중복 건")))</f>
        <v/>
      </c>
      <c r="J598" s="11" t="str">
        <f aca="false">IF($A598="","",IF($H598="-","유지",IF($I598="첫 건","유지","확인 필요")))</f>
        <v/>
      </c>
    </row>
    <row r="599" customFormat="false" ht="15" hidden="false" customHeight="true" outlineLevel="0" collapsed="false">
      <c r="A599" s="11" t="str">
        <f aca="false">IF(원본명단!$A598="","",596)</f>
        <v/>
      </c>
      <c r="B599" s="12" t="str">
        <f aca="false">IF($A599="","",원본명단!$A598)</f>
        <v/>
      </c>
      <c r="C599" s="12" t="str">
        <f aca="false">IF($A599="","",원본명단!$B598)</f>
        <v/>
      </c>
      <c r="D599" s="12" t="str">
        <f aca="false">IF($A599="","",원본명단!$D598)</f>
        <v/>
      </c>
      <c r="E599" s="11" t="str">
        <f aca="false">IF($A599="","",IF(원본명단!$H598="",0,COUNTIF(원본명단!$H$3:$H$6002,원본명단!$H598)))</f>
        <v/>
      </c>
      <c r="F599" s="11" t="str">
        <f aca="false">IF($A599="","",IF(원본명단!$I598="",0,COUNTIF(원본명단!$I$3:$I$6002,원본명단!$I598)))</f>
        <v/>
      </c>
      <c r="G599" s="11" t="str">
        <f aca="false">IF($A599="","",IF(원본명단!$K598="",0,COUNTIF(원본명단!$K$3:$K$6002,원본명단!$K598)))</f>
        <v/>
      </c>
      <c r="H599" s="11" t="str">
        <f aca="false">IF($A599="","",IF(MAX($E599,$F599,$G599)&gt;1,"중복","-"))</f>
        <v/>
      </c>
      <c r="I599" s="11" t="str">
        <f aca="false">IF($A599="","",IF($H599="-","-",IF(AND(IF(원본명단!$H598="",TRUE(),COUNTIF(원본명단!$H$3:$H598,원본명단!$H598)=1),IF(원본명단!$I598="",TRUE(),COUNTIF(원본명단!$I$3:$I598,원본명단!$I598)=1),IF(원본명단!$K598="",TRUE(),COUNTIF(원본명단!$K$3:$K598,원본명단!$K598)=1)),"첫 건","중복 건")))</f>
        <v/>
      </c>
      <c r="J599" s="11" t="str">
        <f aca="false">IF($A599="","",IF($H599="-","유지",IF($I599="첫 건","유지","확인 필요")))</f>
        <v/>
      </c>
    </row>
    <row r="600" customFormat="false" ht="15" hidden="false" customHeight="true" outlineLevel="0" collapsed="false">
      <c r="A600" s="11" t="str">
        <f aca="false">IF(원본명단!$A599="","",597)</f>
        <v/>
      </c>
      <c r="B600" s="12" t="str">
        <f aca="false">IF($A600="","",원본명단!$A599)</f>
        <v/>
      </c>
      <c r="C600" s="12" t="str">
        <f aca="false">IF($A600="","",원본명단!$B599)</f>
        <v/>
      </c>
      <c r="D600" s="12" t="str">
        <f aca="false">IF($A600="","",원본명단!$D599)</f>
        <v/>
      </c>
      <c r="E600" s="11" t="str">
        <f aca="false">IF($A600="","",IF(원본명단!$H599="",0,COUNTIF(원본명단!$H$3:$H$6002,원본명단!$H599)))</f>
        <v/>
      </c>
      <c r="F600" s="11" t="str">
        <f aca="false">IF($A600="","",IF(원본명단!$I599="",0,COUNTIF(원본명단!$I$3:$I$6002,원본명단!$I599)))</f>
        <v/>
      </c>
      <c r="G600" s="11" t="str">
        <f aca="false">IF($A600="","",IF(원본명단!$K599="",0,COUNTIF(원본명단!$K$3:$K$6002,원본명단!$K599)))</f>
        <v/>
      </c>
      <c r="H600" s="11" t="str">
        <f aca="false">IF($A600="","",IF(MAX($E600,$F600,$G600)&gt;1,"중복","-"))</f>
        <v/>
      </c>
      <c r="I600" s="11" t="str">
        <f aca="false">IF($A600="","",IF($H600="-","-",IF(AND(IF(원본명단!$H599="",TRUE(),COUNTIF(원본명단!$H$3:$H599,원본명단!$H599)=1),IF(원본명단!$I599="",TRUE(),COUNTIF(원본명단!$I$3:$I599,원본명단!$I599)=1),IF(원본명단!$K599="",TRUE(),COUNTIF(원본명단!$K$3:$K599,원본명단!$K599)=1)),"첫 건","중복 건")))</f>
        <v/>
      </c>
      <c r="J600" s="11" t="str">
        <f aca="false">IF($A600="","",IF($H600="-","유지",IF($I600="첫 건","유지","확인 필요")))</f>
        <v/>
      </c>
    </row>
    <row r="601" customFormat="false" ht="15" hidden="false" customHeight="true" outlineLevel="0" collapsed="false">
      <c r="A601" s="11" t="str">
        <f aca="false">IF(원본명단!$A600="","",598)</f>
        <v/>
      </c>
      <c r="B601" s="12" t="str">
        <f aca="false">IF($A601="","",원본명단!$A600)</f>
        <v/>
      </c>
      <c r="C601" s="12" t="str">
        <f aca="false">IF($A601="","",원본명단!$B600)</f>
        <v/>
      </c>
      <c r="D601" s="12" t="str">
        <f aca="false">IF($A601="","",원본명단!$D600)</f>
        <v/>
      </c>
      <c r="E601" s="11" t="str">
        <f aca="false">IF($A601="","",IF(원본명단!$H600="",0,COUNTIF(원본명단!$H$3:$H$6002,원본명단!$H600)))</f>
        <v/>
      </c>
      <c r="F601" s="11" t="str">
        <f aca="false">IF($A601="","",IF(원본명단!$I600="",0,COUNTIF(원본명단!$I$3:$I$6002,원본명단!$I600)))</f>
        <v/>
      </c>
      <c r="G601" s="11" t="str">
        <f aca="false">IF($A601="","",IF(원본명단!$K600="",0,COUNTIF(원본명단!$K$3:$K$6002,원본명단!$K600)))</f>
        <v/>
      </c>
      <c r="H601" s="11" t="str">
        <f aca="false">IF($A601="","",IF(MAX($E601,$F601,$G601)&gt;1,"중복","-"))</f>
        <v/>
      </c>
      <c r="I601" s="11" t="str">
        <f aca="false">IF($A601="","",IF($H601="-","-",IF(AND(IF(원본명단!$H600="",TRUE(),COUNTIF(원본명단!$H$3:$H600,원본명단!$H600)=1),IF(원본명단!$I600="",TRUE(),COUNTIF(원본명단!$I$3:$I600,원본명단!$I600)=1),IF(원본명단!$K600="",TRUE(),COUNTIF(원본명단!$K$3:$K600,원본명단!$K600)=1)),"첫 건","중복 건")))</f>
        <v/>
      </c>
      <c r="J601" s="11" t="str">
        <f aca="false">IF($A601="","",IF($H601="-","유지",IF($I601="첫 건","유지","확인 필요")))</f>
        <v/>
      </c>
    </row>
    <row r="602" customFormat="false" ht="15" hidden="false" customHeight="true" outlineLevel="0" collapsed="false">
      <c r="A602" s="11" t="str">
        <f aca="false">IF(원본명단!$A601="","",599)</f>
        <v/>
      </c>
      <c r="B602" s="12" t="str">
        <f aca="false">IF($A602="","",원본명단!$A601)</f>
        <v/>
      </c>
      <c r="C602" s="12" t="str">
        <f aca="false">IF($A602="","",원본명단!$B601)</f>
        <v/>
      </c>
      <c r="D602" s="12" t="str">
        <f aca="false">IF($A602="","",원본명단!$D601)</f>
        <v/>
      </c>
      <c r="E602" s="11" t="str">
        <f aca="false">IF($A602="","",IF(원본명단!$H601="",0,COUNTIF(원본명단!$H$3:$H$6002,원본명단!$H601)))</f>
        <v/>
      </c>
      <c r="F602" s="11" t="str">
        <f aca="false">IF($A602="","",IF(원본명단!$I601="",0,COUNTIF(원본명단!$I$3:$I$6002,원본명단!$I601)))</f>
        <v/>
      </c>
      <c r="G602" s="11" t="str">
        <f aca="false">IF($A602="","",IF(원본명단!$K601="",0,COUNTIF(원본명단!$K$3:$K$6002,원본명단!$K601)))</f>
        <v/>
      </c>
      <c r="H602" s="11" t="str">
        <f aca="false">IF($A602="","",IF(MAX($E602,$F602,$G602)&gt;1,"중복","-"))</f>
        <v/>
      </c>
      <c r="I602" s="11" t="str">
        <f aca="false">IF($A602="","",IF($H602="-","-",IF(AND(IF(원본명단!$H601="",TRUE(),COUNTIF(원본명단!$H$3:$H601,원본명단!$H601)=1),IF(원본명단!$I601="",TRUE(),COUNTIF(원본명단!$I$3:$I601,원본명단!$I601)=1),IF(원본명단!$K601="",TRUE(),COUNTIF(원본명단!$K$3:$K601,원본명단!$K601)=1)),"첫 건","중복 건")))</f>
        <v/>
      </c>
      <c r="J602" s="11" t="str">
        <f aca="false">IF($A602="","",IF($H602="-","유지",IF($I602="첫 건","유지","확인 필요")))</f>
        <v/>
      </c>
    </row>
    <row r="603" customFormat="false" ht="15" hidden="false" customHeight="true" outlineLevel="0" collapsed="false">
      <c r="A603" s="11" t="str">
        <f aca="false">IF(원본명단!$A602="","",600)</f>
        <v/>
      </c>
      <c r="B603" s="12" t="str">
        <f aca="false">IF($A603="","",원본명단!$A602)</f>
        <v/>
      </c>
      <c r="C603" s="12" t="str">
        <f aca="false">IF($A603="","",원본명단!$B602)</f>
        <v/>
      </c>
      <c r="D603" s="12" t="str">
        <f aca="false">IF($A603="","",원본명단!$D602)</f>
        <v/>
      </c>
      <c r="E603" s="11" t="str">
        <f aca="false">IF($A603="","",IF(원본명단!$H602="",0,COUNTIF(원본명단!$H$3:$H$6002,원본명단!$H602)))</f>
        <v/>
      </c>
      <c r="F603" s="11" t="str">
        <f aca="false">IF($A603="","",IF(원본명단!$I602="",0,COUNTIF(원본명단!$I$3:$I$6002,원본명단!$I602)))</f>
        <v/>
      </c>
      <c r="G603" s="11" t="str">
        <f aca="false">IF($A603="","",IF(원본명단!$K602="",0,COUNTIF(원본명단!$K$3:$K$6002,원본명단!$K602)))</f>
        <v/>
      </c>
      <c r="H603" s="11" t="str">
        <f aca="false">IF($A603="","",IF(MAX($E603,$F603,$G603)&gt;1,"중복","-"))</f>
        <v/>
      </c>
      <c r="I603" s="11" t="str">
        <f aca="false">IF($A603="","",IF($H603="-","-",IF(AND(IF(원본명단!$H602="",TRUE(),COUNTIF(원본명단!$H$3:$H602,원본명단!$H602)=1),IF(원본명단!$I602="",TRUE(),COUNTIF(원본명단!$I$3:$I602,원본명단!$I602)=1),IF(원본명단!$K602="",TRUE(),COUNTIF(원본명단!$K$3:$K602,원본명단!$K602)=1)),"첫 건","중복 건")))</f>
        <v/>
      </c>
      <c r="J603" s="11" t="str">
        <f aca="false">IF($A603="","",IF($H603="-","유지",IF($I603="첫 건","유지","확인 필요")))</f>
        <v/>
      </c>
    </row>
    <row r="604" customFormat="false" ht="15" hidden="false" customHeight="true" outlineLevel="0" collapsed="false">
      <c r="A604" s="11" t="str">
        <f aca="false">IF(원본명단!$A603="","",601)</f>
        <v/>
      </c>
      <c r="B604" s="12" t="str">
        <f aca="false">IF($A604="","",원본명단!$A603)</f>
        <v/>
      </c>
      <c r="C604" s="12" t="str">
        <f aca="false">IF($A604="","",원본명단!$B603)</f>
        <v/>
      </c>
      <c r="D604" s="12" t="str">
        <f aca="false">IF($A604="","",원본명단!$D603)</f>
        <v/>
      </c>
      <c r="E604" s="11" t="str">
        <f aca="false">IF($A604="","",IF(원본명단!$H603="",0,COUNTIF(원본명단!$H$3:$H$6002,원본명단!$H603)))</f>
        <v/>
      </c>
      <c r="F604" s="11" t="str">
        <f aca="false">IF($A604="","",IF(원본명단!$I603="",0,COUNTIF(원본명단!$I$3:$I$6002,원본명단!$I603)))</f>
        <v/>
      </c>
      <c r="G604" s="11" t="str">
        <f aca="false">IF($A604="","",IF(원본명단!$K603="",0,COUNTIF(원본명단!$K$3:$K$6002,원본명단!$K603)))</f>
        <v/>
      </c>
      <c r="H604" s="11" t="str">
        <f aca="false">IF($A604="","",IF(MAX($E604,$F604,$G604)&gt;1,"중복","-"))</f>
        <v/>
      </c>
      <c r="I604" s="11" t="str">
        <f aca="false">IF($A604="","",IF($H604="-","-",IF(AND(IF(원본명단!$H603="",TRUE(),COUNTIF(원본명단!$H$3:$H603,원본명단!$H603)=1),IF(원본명단!$I603="",TRUE(),COUNTIF(원본명단!$I$3:$I603,원본명단!$I603)=1),IF(원본명단!$K603="",TRUE(),COUNTIF(원본명단!$K$3:$K603,원본명단!$K603)=1)),"첫 건","중복 건")))</f>
        <v/>
      </c>
      <c r="J604" s="11" t="str">
        <f aca="false">IF($A604="","",IF($H604="-","유지",IF($I604="첫 건","유지","확인 필요")))</f>
        <v/>
      </c>
    </row>
    <row r="605" customFormat="false" ht="15" hidden="false" customHeight="true" outlineLevel="0" collapsed="false">
      <c r="A605" s="11" t="str">
        <f aca="false">IF(원본명단!$A604="","",602)</f>
        <v/>
      </c>
      <c r="B605" s="12" t="str">
        <f aca="false">IF($A605="","",원본명단!$A604)</f>
        <v/>
      </c>
      <c r="C605" s="12" t="str">
        <f aca="false">IF($A605="","",원본명단!$B604)</f>
        <v/>
      </c>
      <c r="D605" s="12" t="str">
        <f aca="false">IF($A605="","",원본명단!$D604)</f>
        <v/>
      </c>
      <c r="E605" s="11" t="str">
        <f aca="false">IF($A605="","",IF(원본명단!$H604="",0,COUNTIF(원본명단!$H$3:$H$6002,원본명단!$H604)))</f>
        <v/>
      </c>
      <c r="F605" s="11" t="str">
        <f aca="false">IF($A605="","",IF(원본명단!$I604="",0,COUNTIF(원본명단!$I$3:$I$6002,원본명단!$I604)))</f>
        <v/>
      </c>
      <c r="G605" s="11" t="str">
        <f aca="false">IF($A605="","",IF(원본명단!$K604="",0,COUNTIF(원본명단!$K$3:$K$6002,원본명단!$K604)))</f>
        <v/>
      </c>
      <c r="H605" s="11" t="str">
        <f aca="false">IF($A605="","",IF(MAX($E605,$F605,$G605)&gt;1,"중복","-"))</f>
        <v/>
      </c>
      <c r="I605" s="11" t="str">
        <f aca="false">IF($A605="","",IF($H605="-","-",IF(AND(IF(원본명단!$H604="",TRUE(),COUNTIF(원본명단!$H$3:$H604,원본명단!$H604)=1),IF(원본명단!$I604="",TRUE(),COUNTIF(원본명단!$I$3:$I604,원본명단!$I604)=1),IF(원본명단!$K604="",TRUE(),COUNTIF(원본명단!$K$3:$K604,원본명단!$K604)=1)),"첫 건","중복 건")))</f>
        <v/>
      </c>
      <c r="J605" s="11" t="str">
        <f aca="false">IF($A605="","",IF($H605="-","유지",IF($I605="첫 건","유지","확인 필요")))</f>
        <v/>
      </c>
    </row>
    <row r="606" customFormat="false" ht="15" hidden="false" customHeight="true" outlineLevel="0" collapsed="false">
      <c r="A606" s="11" t="str">
        <f aca="false">IF(원본명단!$A605="","",603)</f>
        <v/>
      </c>
      <c r="B606" s="12" t="str">
        <f aca="false">IF($A606="","",원본명단!$A605)</f>
        <v/>
      </c>
      <c r="C606" s="12" t="str">
        <f aca="false">IF($A606="","",원본명단!$B605)</f>
        <v/>
      </c>
      <c r="D606" s="12" t="str">
        <f aca="false">IF($A606="","",원본명단!$D605)</f>
        <v/>
      </c>
      <c r="E606" s="11" t="str">
        <f aca="false">IF($A606="","",IF(원본명단!$H605="",0,COUNTIF(원본명단!$H$3:$H$6002,원본명단!$H605)))</f>
        <v/>
      </c>
      <c r="F606" s="11" t="str">
        <f aca="false">IF($A606="","",IF(원본명단!$I605="",0,COUNTIF(원본명단!$I$3:$I$6002,원본명단!$I605)))</f>
        <v/>
      </c>
      <c r="G606" s="11" t="str">
        <f aca="false">IF($A606="","",IF(원본명단!$K605="",0,COUNTIF(원본명단!$K$3:$K$6002,원본명단!$K605)))</f>
        <v/>
      </c>
      <c r="H606" s="11" t="str">
        <f aca="false">IF($A606="","",IF(MAX($E606,$F606,$G606)&gt;1,"중복","-"))</f>
        <v/>
      </c>
      <c r="I606" s="11" t="str">
        <f aca="false">IF($A606="","",IF($H606="-","-",IF(AND(IF(원본명단!$H605="",TRUE(),COUNTIF(원본명단!$H$3:$H605,원본명단!$H605)=1),IF(원본명단!$I605="",TRUE(),COUNTIF(원본명단!$I$3:$I605,원본명단!$I605)=1),IF(원본명단!$K605="",TRUE(),COUNTIF(원본명단!$K$3:$K605,원본명단!$K605)=1)),"첫 건","중복 건")))</f>
        <v/>
      </c>
      <c r="J606" s="11" t="str">
        <f aca="false">IF($A606="","",IF($H606="-","유지",IF($I606="첫 건","유지","확인 필요")))</f>
        <v/>
      </c>
    </row>
    <row r="607" customFormat="false" ht="15" hidden="false" customHeight="true" outlineLevel="0" collapsed="false">
      <c r="A607" s="11" t="str">
        <f aca="false">IF(원본명단!$A606="","",604)</f>
        <v/>
      </c>
      <c r="B607" s="12" t="str">
        <f aca="false">IF($A607="","",원본명단!$A606)</f>
        <v/>
      </c>
      <c r="C607" s="12" t="str">
        <f aca="false">IF($A607="","",원본명단!$B606)</f>
        <v/>
      </c>
      <c r="D607" s="12" t="str">
        <f aca="false">IF($A607="","",원본명단!$D606)</f>
        <v/>
      </c>
      <c r="E607" s="11" t="str">
        <f aca="false">IF($A607="","",IF(원본명단!$H606="",0,COUNTIF(원본명단!$H$3:$H$6002,원본명단!$H606)))</f>
        <v/>
      </c>
      <c r="F607" s="11" t="str">
        <f aca="false">IF($A607="","",IF(원본명단!$I606="",0,COUNTIF(원본명단!$I$3:$I$6002,원본명단!$I606)))</f>
        <v/>
      </c>
      <c r="G607" s="11" t="str">
        <f aca="false">IF($A607="","",IF(원본명단!$K606="",0,COUNTIF(원본명단!$K$3:$K$6002,원본명단!$K606)))</f>
        <v/>
      </c>
      <c r="H607" s="11" t="str">
        <f aca="false">IF($A607="","",IF(MAX($E607,$F607,$G607)&gt;1,"중복","-"))</f>
        <v/>
      </c>
      <c r="I607" s="11" t="str">
        <f aca="false">IF($A607="","",IF($H607="-","-",IF(AND(IF(원본명단!$H606="",TRUE(),COUNTIF(원본명단!$H$3:$H606,원본명단!$H606)=1),IF(원본명단!$I606="",TRUE(),COUNTIF(원본명단!$I$3:$I606,원본명단!$I606)=1),IF(원본명단!$K606="",TRUE(),COUNTIF(원본명단!$K$3:$K606,원본명단!$K606)=1)),"첫 건","중복 건")))</f>
        <v/>
      </c>
      <c r="J607" s="11" t="str">
        <f aca="false">IF($A607="","",IF($H607="-","유지",IF($I607="첫 건","유지","확인 필요")))</f>
        <v/>
      </c>
    </row>
    <row r="608" customFormat="false" ht="15" hidden="false" customHeight="true" outlineLevel="0" collapsed="false">
      <c r="A608" s="11" t="str">
        <f aca="false">IF(원본명단!$A607="","",605)</f>
        <v/>
      </c>
      <c r="B608" s="12" t="str">
        <f aca="false">IF($A608="","",원본명단!$A607)</f>
        <v/>
      </c>
      <c r="C608" s="12" t="str">
        <f aca="false">IF($A608="","",원본명단!$B607)</f>
        <v/>
      </c>
      <c r="D608" s="12" t="str">
        <f aca="false">IF($A608="","",원본명단!$D607)</f>
        <v/>
      </c>
      <c r="E608" s="11" t="str">
        <f aca="false">IF($A608="","",IF(원본명단!$H607="",0,COUNTIF(원본명단!$H$3:$H$6002,원본명단!$H607)))</f>
        <v/>
      </c>
      <c r="F608" s="11" t="str">
        <f aca="false">IF($A608="","",IF(원본명단!$I607="",0,COUNTIF(원본명단!$I$3:$I$6002,원본명단!$I607)))</f>
        <v/>
      </c>
      <c r="G608" s="11" t="str">
        <f aca="false">IF($A608="","",IF(원본명단!$K607="",0,COUNTIF(원본명단!$K$3:$K$6002,원본명단!$K607)))</f>
        <v/>
      </c>
      <c r="H608" s="11" t="str">
        <f aca="false">IF($A608="","",IF(MAX($E608,$F608,$G608)&gt;1,"중복","-"))</f>
        <v/>
      </c>
      <c r="I608" s="11" t="str">
        <f aca="false">IF($A608="","",IF($H608="-","-",IF(AND(IF(원본명단!$H607="",TRUE(),COUNTIF(원본명단!$H$3:$H607,원본명단!$H607)=1),IF(원본명단!$I607="",TRUE(),COUNTIF(원본명단!$I$3:$I607,원본명단!$I607)=1),IF(원본명단!$K607="",TRUE(),COUNTIF(원본명단!$K$3:$K607,원본명단!$K607)=1)),"첫 건","중복 건")))</f>
        <v/>
      </c>
      <c r="J608" s="11" t="str">
        <f aca="false">IF($A608="","",IF($H608="-","유지",IF($I608="첫 건","유지","확인 필요")))</f>
        <v/>
      </c>
    </row>
    <row r="609" customFormat="false" ht="15" hidden="false" customHeight="true" outlineLevel="0" collapsed="false">
      <c r="A609" s="11" t="str">
        <f aca="false">IF(원본명단!$A608="","",606)</f>
        <v/>
      </c>
      <c r="B609" s="12" t="str">
        <f aca="false">IF($A609="","",원본명단!$A608)</f>
        <v/>
      </c>
      <c r="C609" s="12" t="str">
        <f aca="false">IF($A609="","",원본명단!$B608)</f>
        <v/>
      </c>
      <c r="D609" s="12" t="str">
        <f aca="false">IF($A609="","",원본명단!$D608)</f>
        <v/>
      </c>
      <c r="E609" s="11" t="str">
        <f aca="false">IF($A609="","",IF(원본명단!$H608="",0,COUNTIF(원본명단!$H$3:$H$6002,원본명단!$H608)))</f>
        <v/>
      </c>
      <c r="F609" s="11" t="str">
        <f aca="false">IF($A609="","",IF(원본명단!$I608="",0,COUNTIF(원본명단!$I$3:$I$6002,원본명단!$I608)))</f>
        <v/>
      </c>
      <c r="G609" s="11" t="str">
        <f aca="false">IF($A609="","",IF(원본명단!$K608="",0,COUNTIF(원본명단!$K$3:$K$6002,원본명단!$K608)))</f>
        <v/>
      </c>
      <c r="H609" s="11" t="str">
        <f aca="false">IF($A609="","",IF(MAX($E609,$F609,$G609)&gt;1,"중복","-"))</f>
        <v/>
      </c>
      <c r="I609" s="11" t="str">
        <f aca="false">IF($A609="","",IF($H609="-","-",IF(AND(IF(원본명단!$H608="",TRUE(),COUNTIF(원본명단!$H$3:$H608,원본명단!$H608)=1),IF(원본명단!$I608="",TRUE(),COUNTIF(원본명단!$I$3:$I608,원본명단!$I608)=1),IF(원본명단!$K608="",TRUE(),COUNTIF(원본명단!$K$3:$K608,원본명단!$K608)=1)),"첫 건","중복 건")))</f>
        <v/>
      </c>
      <c r="J609" s="11" t="str">
        <f aca="false">IF($A609="","",IF($H609="-","유지",IF($I609="첫 건","유지","확인 필요")))</f>
        <v/>
      </c>
    </row>
    <row r="610" customFormat="false" ht="15" hidden="false" customHeight="true" outlineLevel="0" collapsed="false">
      <c r="A610" s="11" t="str">
        <f aca="false">IF(원본명단!$A609="","",607)</f>
        <v/>
      </c>
      <c r="B610" s="12" t="str">
        <f aca="false">IF($A610="","",원본명단!$A609)</f>
        <v/>
      </c>
      <c r="C610" s="12" t="str">
        <f aca="false">IF($A610="","",원본명단!$B609)</f>
        <v/>
      </c>
      <c r="D610" s="12" t="str">
        <f aca="false">IF($A610="","",원본명단!$D609)</f>
        <v/>
      </c>
      <c r="E610" s="11" t="str">
        <f aca="false">IF($A610="","",IF(원본명단!$H609="",0,COUNTIF(원본명단!$H$3:$H$6002,원본명단!$H609)))</f>
        <v/>
      </c>
      <c r="F610" s="11" t="str">
        <f aca="false">IF($A610="","",IF(원본명단!$I609="",0,COUNTIF(원본명단!$I$3:$I$6002,원본명단!$I609)))</f>
        <v/>
      </c>
      <c r="G610" s="11" t="str">
        <f aca="false">IF($A610="","",IF(원본명단!$K609="",0,COUNTIF(원본명단!$K$3:$K$6002,원본명단!$K609)))</f>
        <v/>
      </c>
      <c r="H610" s="11" t="str">
        <f aca="false">IF($A610="","",IF(MAX($E610,$F610,$G610)&gt;1,"중복","-"))</f>
        <v/>
      </c>
      <c r="I610" s="11" t="str">
        <f aca="false">IF($A610="","",IF($H610="-","-",IF(AND(IF(원본명단!$H609="",TRUE(),COUNTIF(원본명단!$H$3:$H609,원본명단!$H609)=1),IF(원본명단!$I609="",TRUE(),COUNTIF(원본명단!$I$3:$I609,원본명단!$I609)=1),IF(원본명단!$K609="",TRUE(),COUNTIF(원본명단!$K$3:$K609,원본명단!$K609)=1)),"첫 건","중복 건")))</f>
        <v/>
      </c>
      <c r="J610" s="11" t="str">
        <f aca="false">IF($A610="","",IF($H610="-","유지",IF($I610="첫 건","유지","확인 필요")))</f>
        <v/>
      </c>
    </row>
    <row r="611" customFormat="false" ht="15" hidden="false" customHeight="true" outlineLevel="0" collapsed="false">
      <c r="A611" s="11" t="str">
        <f aca="false">IF(원본명단!$A610="","",608)</f>
        <v/>
      </c>
      <c r="B611" s="12" t="str">
        <f aca="false">IF($A611="","",원본명단!$A610)</f>
        <v/>
      </c>
      <c r="C611" s="12" t="str">
        <f aca="false">IF($A611="","",원본명단!$B610)</f>
        <v/>
      </c>
      <c r="D611" s="12" t="str">
        <f aca="false">IF($A611="","",원본명단!$D610)</f>
        <v/>
      </c>
      <c r="E611" s="11" t="str">
        <f aca="false">IF($A611="","",IF(원본명단!$H610="",0,COUNTIF(원본명단!$H$3:$H$6002,원본명단!$H610)))</f>
        <v/>
      </c>
      <c r="F611" s="11" t="str">
        <f aca="false">IF($A611="","",IF(원본명단!$I610="",0,COUNTIF(원본명단!$I$3:$I$6002,원본명단!$I610)))</f>
        <v/>
      </c>
      <c r="G611" s="11" t="str">
        <f aca="false">IF($A611="","",IF(원본명단!$K610="",0,COUNTIF(원본명단!$K$3:$K$6002,원본명단!$K610)))</f>
        <v/>
      </c>
      <c r="H611" s="11" t="str">
        <f aca="false">IF($A611="","",IF(MAX($E611,$F611,$G611)&gt;1,"중복","-"))</f>
        <v/>
      </c>
      <c r="I611" s="11" t="str">
        <f aca="false">IF($A611="","",IF($H611="-","-",IF(AND(IF(원본명단!$H610="",TRUE(),COUNTIF(원본명단!$H$3:$H610,원본명단!$H610)=1),IF(원본명단!$I610="",TRUE(),COUNTIF(원본명단!$I$3:$I610,원본명단!$I610)=1),IF(원본명단!$K610="",TRUE(),COUNTIF(원본명단!$K$3:$K610,원본명단!$K610)=1)),"첫 건","중복 건")))</f>
        <v/>
      </c>
      <c r="J611" s="11" t="str">
        <f aca="false">IF($A611="","",IF($H611="-","유지",IF($I611="첫 건","유지","확인 필요")))</f>
        <v/>
      </c>
    </row>
    <row r="612" customFormat="false" ht="15" hidden="false" customHeight="true" outlineLevel="0" collapsed="false">
      <c r="A612" s="11" t="str">
        <f aca="false">IF(원본명단!$A611="","",609)</f>
        <v/>
      </c>
      <c r="B612" s="12" t="str">
        <f aca="false">IF($A612="","",원본명단!$A611)</f>
        <v/>
      </c>
      <c r="C612" s="12" t="str">
        <f aca="false">IF($A612="","",원본명단!$B611)</f>
        <v/>
      </c>
      <c r="D612" s="12" t="str">
        <f aca="false">IF($A612="","",원본명단!$D611)</f>
        <v/>
      </c>
      <c r="E612" s="11" t="str">
        <f aca="false">IF($A612="","",IF(원본명단!$H611="",0,COUNTIF(원본명단!$H$3:$H$6002,원본명단!$H611)))</f>
        <v/>
      </c>
      <c r="F612" s="11" t="str">
        <f aca="false">IF($A612="","",IF(원본명단!$I611="",0,COUNTIF(원본명단!$I$3:$I$6002,원본명단!$I611)))</f>
        <v/>
      </c>
      <c r="G612" s="11" t="str">
        <f aca="false">IF($A612="","",IF(원본명단!$K611="",0,COUNTIF(원본명단!$K$3:$K$6002,원본명단!$K611)))</f>
        <v/>
      </c>
      <c r="H612" s="11" t="str">
        <f aca="false">IF($A612="","",IF(MAX($E612,$F612,$G612)&gt;1,"중복","-"))</f>
        <v/>
      </c>
      <c r="I612" s="11" t="str">
        <f aca="false">IF($A612="","",IF($H612="-","-",IF(AND(IF(원본명단!$H611="",TRUE(),COUNTIF(원본명단!$H$3:$H611,원본명단!$H611)=1),IF(원본명단!$I611="",TRUE(),COUNTIF(원본명단!$I$3:$I611,원본명단!$I611)=1),IF(원본명단!$K611="",TRUE(),COUNTIF(원본명단!$K$3:$K611,원본명단!$K611)=1)),"첫 건","중복 건")))</f>
        <v/>
      </c>
      <c r="J612" s="11" t="str">
        <f aca="false">IF($A612="","",IF($H612="-","유지",IF($I612="첫 건","유지","확인 필요")))</f>
        <v/>
      </c>
    </row>
    <row r="613" customFormat="false" ht="15" hidden="false" customHeight="true" outlineLevel="0" collapsed="false">
      <c r="A613" s="11" t="str">
        <f aca="false">IF(원본명단!$A612="","",610)</f>
        <v/>
      </c>
      <c r="B613" s="12" t="str">
        <f aca="false">IF($A613="","",원본명단!$A612)</f>
        <v/>
      </c>
      <c r="C613" s="12" t="str">
        <f aca="false">IF($A613="","",원본명단!$B612)</f>
        <v/>
      </c>
      <c r="D613" s="12" t="str">
        <f aca="false">IF($A613="","",원본명단!$D612)</f>
        <v/>
      </c>
      <c r="E613" s="11" t="str">
        <f aca="false">IF($A613="","",IF(원본명단!$H612="",0,COUNTIF(원본명단!$H$3:$H$6002,원본명단!$H612)))</f>
        <v/>
      </c>
      <c r="F613" s="11" t="str">
        <f aca="false">IF($A613="","",IF(원본명단!$I612="",0,COUNTIF(원본명단!$I$3:$I$6002,원본명단!$I612)))</f>
        <v/>
      </c>
      <c r="G613" s="11" t="str">
        <f aca="false">IF($A613="","",IF(원본명단!$K612="",0,COUNTIF(원본명단!$K$3:$K$6002,원본명단!$K612)))</f>
        <v/>
      </c>
      <c r="H613" s="11" t="str">
        <f aca="false">IF($A613="","",IF(MAX($E613,$F613,$G613)&gt;1,"중복","-"))</f>
        <v/>
      </c>
      <c r="I613" s="11" t="str">
        <f aca="false">IF($A613="","",IF($H613="-","-",IF(AND(IF(원본명단!$H612="",TRUE(),COUNTIF(원본명단!$H$3:$H612,원본명단!$H612)=1),IF(원본명단!$I612="",TRUE(),COUNTIF(원본명단!$I$3:$I612,원본명단!$I612)=1),IF(원본명단!$K612="",TRUE(),COUNTIF(원본명단!$K$3:$K612,원본명단!$K612)=1)),"첫 건","중복 건")))</f>
        <v/>
      </c>
      <c r="J613" s="11" t="str">
        <f aca="false">IF($A613="","",IF($H613="-","유지",IF($I613="첫 건","유지","확인 필요")))</f>
        <v/>
      </c>
    </row>
    <row r="614" customFormat="false" ht="15" hidden="false" customHeight="true" outlineLevel="0" collapsed="false">
      <c r="A614" s="11" t="str">
        <f aca="false">IF(원본명단!$A613="","",611)</f>
        <v/>
      </c>
      <c r="B614" s="12" t="str">
        <f aca="false">IF($A614="","",원본명단!$A613)</f>
        <v/>
      </c>
      <c r="C614" s="12" t="str">
        <f aca="false">IF($A614="","",원본명단!$B613)</f>
        <v/>
      </c>
      <c r="D614" s="12" t="str">
        <f aca="false">IF($A614="","",원본명단!$D613)</f>
        <v/>
      </c>
      <c r="E614" s="11" t="str">
        <f aca="false">IF($A614="","",IF(원본명단!$H613="",0,COUNTIF(원본명단!$H$3:$H$6002,원본명단!$H613)))</f>
        <v/>
      </c>
      <c r="F614" s="11" t="str">
        <f aca="false">IF($A614="","",IF(원본명단!$I613="",0,COUNTIF(원본명단!$I$3:$I$6002,원본명단!$I613)))</f>
        <v/>
      </c>
      <c r="G614" s="11" t="str">
        <f aca="false">IF($A614="","",IF(원본명단!$K613="",0,COUNTIF(원본명단!$K$3:$K$6002,원본명단!$K613)))</f>
        <v/>
      </c>
      <c r="H614" s="11" t="str">
        <f aca="false">IF($A614="","",IF(MAX($E614,$F614,$G614)&gt;1,"중복","-"))</f>
        <v/>
      </c>
      <c r="I614" s="11" t="str">
        <f aca="false">IF($A614="","",IF($H614="-","-",IF(AND(IF(원본명단!$H613="",TRUE(),COUNTIF(원본명단!$H$3:$H613,원본명단!$H613)=1),IF(원본명단!$I613="",TRUE(),COUNTIF(원본명단!$I$3:$I613,원본명단!$I613)=1),IF(원본명단!$K613="",TRUE(),COUNTIF(원본명단!$K$3:$K613,원본명단!$K613)=1)),"첫 건","중복 건")))</f>
        <v/>
      </c>
      <c r="J614" s="11" t="str">
        <f aca="false">IF($A614="","",IF($H614="-","유지",IF($I614="첫 건","유지","확인 필요")))</f>
        <v/>
      </c>
    </row>
    <row r="615" customFormat="false" ht="15" hidden="false" customHeight="true" outlineLevel="0" collapsed="false">
      <c r="A615" s="11" t="str">
        <f aca="false">IF(원본명단!$A614="","",612)</f>
        <v/>
      </c>
      <c r="B615" s="12" t="str">
        <f aca="false">IF($A615="","",원본명단!$A614)</f>
        <v/>
      </c>
      <c r="C615" s="12" t="str">
        <f aca="false">IF($A615="","",원본명단!$B614)</f>
        <v/>
      </c>
      <c r="D615" s="12" t="str">
        <f aca="false">IF($A615="","",원본명단!$D614)</f>
        <v/>
      </c>
      <c r="E615" s="11" t="str">
        <f aca="false">IF($A615="","",IF(원본명단!$H614="",0,COUNTIF(원본명단!$H$3:$H$6002,원본명단!$H614)))</f>
        <v/>
      </c>
      <c r="F615" s="11" t="str">
        <f aca="false">IF($A615="","",IF(원본명단!$I614="",0,COUNTIF(원본명단!$I$3:$I$6002,원본명단!$I614)))</f>
        <v/>
      </c>
      <c r="G615" s="11" t="str">
        <f aca="false">IF($A615="","",IF(원본명단!$K614="",0,COUNTIF(원본명단!$K$3:$K$6002,원본명단!$K614)))</f>
        <v/>
      </c>
      <c r="H615" s="11" t="str">
        <f aca="false">IF($A615="","",IF(MAX($E615,$F615,$G615)&gt;1,"중복","-"))</f>
        <v/>
      </c>
      <c r="I615" s="11" t="str">
        <f aca="false">IF($A615="","",IF($H615="-","-",IF(AND(IF(원본명단!$H614="",TRUE(),COUNTIF(원본명단!$H$3:$H614,원본명단!$H614)=1),IF(원본명단!$I614="",TRUE(),COUNTIF(원본명단!$I$3:$I614,원본명단!$I614)=1),IF(원본명단!$K614="",TRUE(),COUNTIF(원본명단!$K$3:$K614,원본명단!$K614)=1)),"첫 건","중복 건")))</f>
        <v/>
      </c>
      <c r="J615" s="11" t="str">
        <f aca="false">IF($A615="","",IF($H615="-","유지",IF($I615="첫 건","유지","확인 필요")))</f>
        <v/>
      </c>
    </row>
    <row r="616" customFormat="false" ht="15" hidden="false" customHeight="true" outlineLevel="0" collapsed="false">
      <c r="A616" s="11" t="str">
        <f aca="false">IF(원본명단!$A615="","",613)</f>
        <v/>
      </c>
      <c r="B616" s="12" t="str">
        <f aca="false">IF($A616="","",원본명단!$A615)</f>
        <v/>
      </c>
      <c r="C616" s="12" t="str">
        <f aca="false">IF($A616="","",원본명단!$B615)</f>
        <v/>
      </c>
      <c r="D616" s="12" t="str">
        <f aca="false">IF($A616="","",원본명단!$D615)</f>
        <v/>
      </c>
      <c r="E616" s="11" t="str">
        <f aca="false">IF($A616="","",IF(원본명단!$H615="",0,COUNTIF(원본명단!$H$3:$H$6002,원본명단!$H615)))</f>
        <v/>
      </c>
      <c r="F616" s="11" t="str">
        <f aca="false">IF($A616="","",IF(원본명단!$I615="",0,COUNTIF(원본명단!$I$3:$I$6002,원본명단!$I615)))</f>
        <v/>
      </c>
      <c r="G616" s="11" t="str">
        <f aca="false">IF($A616="","",IF(원본명단!$K615="",0,COUNTIF(원본명단!$K$3:$K$6002,원본명단!$K615)))</f>
        <v/>
      </c>
      <c r="H616" s="11" t="str">
        <f aca="false">IF($A616="","",IF(MAX($E616,$F616,$G616)&gt;1,"중복","-"))</f>
        <v/>
      </c>
      <c r="I616" s="11" t="str">
        <f aca="false">IF($A616="","",IF($H616="-","-",IF(AND(IF(원본명단!$H615="",TRUE(),COUNTIF(원본명단!$H$3:$H615,원본명단!$H615)=1),IF(원본명단!$I615="",TRUE(),COUNTIF(원본명단!$I$3:$I615,원본명단!$I615)=1),IF(원본명단!$K615="",TRUE(),COUNTIF(원본명단!$K$3:$K615,원본명단!$K615)=1)),"첫 건","중복 건")))</f>
        <v/>
      </c>
      <c r="J616" s="11" t="str">
        <f aca="false">IF($A616="","",IF($H616="-","유지",IF($I616="첫 건","유지","확인 필요")))</f>
        <v/>
      </c>
    </row>
    <row r="617" customFormat="false" ht="15" hidden="false" customHeight="true" outlineLevel="0" collapsed="false">
      <c r="A617" s="11" t="str">
        <f aca="false">IF(원본명단!$A616="","",614)</f>
        <v/>
      </c>
      <c r="B617" s="12" t="str">
        <f aca="false">IF($A617="","",원본명단!$A616)</f>
        <v/>
      </c>
      <c r="C617" s="12" t="str">
        <f aca="false">IF($A617="","",원본명단!$B616)</f>
        <v/>
      </c>
      <c r="D617" s="12" t="str">
        <f aca="false">IF($A617="","",원본명단!$D616)</f>
        <v/>
      </c>
      <c r="E617" s="11" t="str">
        <f aca="false">IF($A617="","",IF(원본명단!$H616="",0,COUNTIF(원본명단!$H$3:$H$6002,원본명단!$H616)))</f>
        <v/>
      </c>
      <c r="F617" s="11" t="str">
        <f aca="false">IF($A617="","",IF(원본명단!$I616="",0,COUNTIF(원본명단!$I$3:$I$6002,원본명단!$I616)))</f>
        <v/>
      </c>
      <c r="G617" s="11" t="str">
        <f aca="false">IF($A617="","",IF(원본명단!$K616="",0,COUNTIF(원본명단!$K$3:$K$6002,원본명단!$K616)))</f>
        <v/>
      </c>
      <c r="H617" s="11" t="str">
        <f aca="false">IF($A617="","",IF(MAX($E617,$F617,$G617)&gt;1,"중복","-"))</f>
        <v/>
      </c>
      <c r="I617" s="11" t="str">
        <f aca="false">IF($A617="","",IF($H617="-","-",IF(AND(IF(원본명단!$H616="",TRUE(),COUNTIF(원본명단!$H$3:$H616,원본명단!$H616)=1),IF(원본명단!$I616="",TRUE(),COUNTIF(원본명단!$I$3:$I616,원본명단!$I616)=1),IF(원본명단!$K616="",TRUE(),COUNTIF(원본명단!$K$3:$K616,원본명단!$K616)=1)),"첫 건","중복 건")))</f>
        <v/>
      </c>
      <c r="J617" s="11" t="str">
        <f aca="false">IF($A617="","",IF($H617="-","유지",IF($I617="첫 건","유지","확인 필요")))</f>
        <v/>
      </c>
    </row>
    <row r="618" customFormat="false" ht="15" hidden="false" customHeight="true" outlineLevel="0" collapsed="false">
      <c r="A618" s="11" t="str">
        <f aca="false">IF(원본명단!$A617="","",615)</f>
        <v/>
      </c>
      <c r="B618" s="12" t="str">
        <f aca="false">IF($A618="","",원본명단!$A617)</f>
        <v/>
      </c>
      <c r="C618" s="12" t="str">
        <f aca="false">IF($A618="","",원본명단!$B617)</f>
        <v/>
      </c>
      <c r="D618" s="12" t="str">
        <f aca="false">IF($A618="","",원본명단!$D617)</f>
        <v/>
      </c>
      <c r="E618" s="11" t="str">
        <f aca="false">IF($A618="","",IF(원본명단!$H617="",0,COUNTIF(원본명단!$H$3:$H$6002,원본명단!$H617)))</f>
        <v/>
      </c>
      <c r="F618" s="11" t="str">
        <f aca="false">IF($A618="","",IF(원본명단!$I617="",0,COUNTIF(원본명단!$I$3:$I$6002,원본명단!$I617)))</f>
        <v/>
      </c>
      <c r="G618" s="11" t="str">
        <f aca="false">IF($A618="","",IF(원본명단!$K617="",0,COUNTIF(원본명단!$K$3:$K$6002,원본명단!$K617)))</f>
        <v/>
      </c>
      <c r="H618" s="11" t="str">
        <f aca="false">IF($A618="","",IF(MAX($E618,$F618,$G618)&gt;1,"중복","-"))</f>
        <v/>
      </c>
      <c r="I618" s="11" t="str">
        <f aca="false">IF($A618="","",IF($H618="-","-",IF(AND(IF(원본명단!$H617="",TRUE(),COUNTIF(원본명단!$H$3:$H617,원본명단!$H617)=1),IF(원본명단!$I617="",TRUE(),COUNTIF(원본명단!$I$3:$I617,원본명단!$I617)=1),IF(원본명단!$K617="",TRUE(),COUNTIF(원본명단!$K$3:$K617,원본명단!$K617)=1)),"첫 건","중복 건")))</f>
        <v/>
      </c>
      <c r="J618" s="11" t="str">
        <f aca="false">IF($A618="","",IF($H618="-","유지",IF($I618="첫 건","유지","확인 필요")))</f>
        <v/>
      </c>
    </row>
    <row r="619" customFormat="false" ht="15" hidden="false" customHeight="true" outlineLevel="0" collapsed="false">
      <c r="A619" s="11" t="str">
        <f aca="false">IF(원본명단!$A618="","",616)</f>
        <v/>
      </c>
      <c r="B619" s="12" t="str">
        <f aca="false">IF($A619="","",원본명단!$A618)</f>
        <v/>
      </c>
      <c r="C619" s="12" t="str">
        <f aca="false">IF($A619="","",원본명단!$B618)</f>
        <v/>
      </c>
      <c r="D619" s="12" t="str">
        <f aca="false">IF($A619="","",원본명단!$D618)</f>
        <v/>
      </c>
      <c r="E619" s="11" t="str">
        <f aca="false">IF($A619="","",IF(원본명단!$H618="",0,COUNTIF(원본명단!$H$3:$H$6002,원본명단!$H618)))</f>
        <v/>
      </c>
      <c r="F619" s="11" t="str">
        <f aca="false">IF($A619="","",IF(원본명단!$I618="",0,COUNTIF(원본명단!$I$3:$I$6002,원본명단!$I618)))</f>
        <v/>
      </c>
      <c r="G619" s="11" t="str">
        <f aca="false">IF($A619="","",IF(원본명단!$K618="",0,COUNTIF(원본명단!$K$3:$K$6002,원본명단!$K618)))</f>
        <v/>
      </c>
      <c r="H619" s="11" t="str">
        <f aca="false">IF($A619="","",IF(MAX($E619,$F619,$G619)&gt;1,"중복","-"))</f>
        <v/>
      </c>
      <c r="I619" s="11" t="str">
        <f aca="false">IF($A619="","",IF($H619="-","-",IF(AND(IF(원본명단!$H618="",TRUE(),COUNTIF(원본명단!$H$3:$H618,원본명단!$H618)=1),IF(원본명단!$I618="",TRUE(),COUNTIF(원본명단!$I$3:$I618,원본명단!$I618)=1),IF(원본명단!$K618="",TRUE(),COUNTIF(원본명단!$K$3:$K618,원본명단!$K618)=1)),"첫 건","중복 건")))</f>
        <v/>
      </c>
      <c r="J619" s="11" t="str">
        <f aca="false">IF($A619="","",IF($H619="-","유지",IF($I619="첫 건","유지","확인 필요")))</f>
        <v/>
      </c>
    </row>
    <row r="620" customFormat="false" ht="15" hidden="false" customHeight="true" outlineLevel="0" collapsed="false">
      <c r="A620" s="11" t="str">
        <f aca="false">IF(원본명단!$A619="","",617)</f>
        <v/>
      </c>
      <c r="B620" s="12" t="str">
        <f aca="false">IF($A620="","",원본명단!$A619)</f>
        <v/>
      </c>
      <c r="C620" s="12" t="str">
        <f aca="false">IF($A620="","",원본명단!$B619)</f>
        <v/>
      </c>
      <c r="D620" s="12" t="str">
        <f aca="false">IF($A620="","",원본명단!$D619)</f>
        <v/>
      </c>
      <c r="E620" s="11" t="str">
        <f aca="false">IF($A620="","",IF(원본명단!$H619="",0,COUNTIF(원본명단!$H$3:$H$6002,원본명단!$H619)))</f>
        <v/>
      </c>
      <c r="F620" s="11" t="str">
        <f aca="false">IF($A620="","",IF(원본명단!$I619="",0,COUNTIF(원본명단!$I$3:$I$6002,원본명단!$I619)))</f>
        <v/>
      </c>
      <c r="G620" s="11" t="str">
        <f aca="false">IF($A620="","",IF(원본명단!$K619="",0,COUNTIF(원본명단!$K$3:$K$6002,원본명단!$K619)))</f>
        <v/>
      </c>
      <c r="H620" s="11" t="str">
        <f aca="false">IF($A620="","",IF(MAX($E620,$F620,$G620)&gt;1,"중복","-"))</f>
        <v/>
      </c>
      <c r="I620" s="11" t="str">
        <f aca="false">IF($A620="","",IF($H620="-","-",IF(AND(IF(원본명단!$H619="",TRUE(),COUNTIF(원본명단!$H$3:$H619,원본명단!$H619)=1),IF(원본명단!$I619="",TRUE(),COUNTIF(원본명단!$I$3:$I619,원본명단!$I619)=1),IF(원본명단!$K619="",TRUE(),COUNTIF(원본명단!$K$3:$K619,원본명단!$K619)=1)),"첫 건","중복 건")))</f>
        <v/>
      </c>
      <c r="J620" s="11" t="str">
        <f aca="false">IF($A620="","",IF($H620="-","유지",IF($I620="첫 건","유지","확인 필요")))</f>
        <v/>
      </c>
    </row>
    <row r="621" customFormat="false" ht="15" hidden="false" customHeight="true" outlineLevel="0" collapsed="false">
      <c r="A621" s="11" t="str">
        <f aca="false">IF(원본명단!$A620="","",618)</f>
        <v/>
      </c>
      <c r="B621" s="12" t="str">
        <f aca="false">IF($A621="","",원본명단!$A620)</f>
        <v/>
      </c>
      <c r="C621" s="12" t="str">
        <f aca="false">IF($A621="","",원본명단!$B620)</f>
        <v/>
      </c>
      <c r="D621" s="12" t="str">
        <f aca="false">IF($A621="","",원본명단!$D620)</f>
        <v/>
      </c>
      <c r="E621" s="11" t="str">
        <f aca="false">IF($A621="","",IF(원본명단!$H620="",0,COUNTIF(원본명단!$H$3:$H$6002,원본명단!$H620)))</f>
        <v/>
      </c>
      <c r="F621" s="11" t="str">
        <f aca="false">IF($A621="","",IF(원본명단!$I620="",0,COUNTIF(원본명단!$I$3:$I$6002,원본명단!$I620)))</f>
        <v/>
      </c>
      <c r="G621" s="11" t="str">
        <f aca="false">IF($A621="","",IF(원본명단!$K620="",0,COUNTIF(원본명단!$K$3:$K$6002,원본명단!$K620)))</f>
        <v/>
      </c>
      <c r="H621" s="11" t="str">
        <f aca="false">IF($A621="","",IF(MAX($E621,$F621,$G621)&gt;1,"중복","-"))</f>
        <v/>
      </c>
      <c r="I621" s="11" t="str">
        <f aca="false">IF($A621="","",IF($H621="-","-",IF(AND(IF(원본명단!$H620="",TRUE(),COUNTIF(원본명단!$H$3:$H620,원본명단!$H620)=1),IF(원본명단!$I620="",TRUE(),COUNTIF(원본명단!$I$3:$I620,원본명단!$I620)=1),IF(원본명단!$K620="",TRUE(),COUNTIF(원본명단!$K$3:$K620,원본명단!$K620)=1)),"첫 건","중복 건")))</f>
        <v/>
      </c>
      <c r="J621" s="11" t="str">
        <f aca="false">IF($A621="","",IF($H621="-","유지",IF($I621="첫 건","유지","확인 필요")))</f>
        <v/>
      </c>
    </row>
    <row r="622" customFormat="false" ht="15" hidden="false" customHeight="true" outlineLevel="0" collapsed="false">
      <c r="A622" s="11" t="str">
        <f aca="false">IF(원본명단!$A621="","",619)</f>
        <v/>
      </c>
      <c r="B622" s="12" t="str">
        <f aca="false">IF($A622="","",원본명단!$A621)</f>
        <v/>
      </c>
      <c r="C622" s="12" t="str">
        <f aca="false">IF($A622="","",원본명단!$B621)</f>
        <v/>
      </c>
      <c r="D622" s="12" t="str">
        <f aca="false">IF($A622="","",원본명단!$D621)</f>
        <v/>
      </c>
      <c r="E622" s="11" t="str">
        <f aca="false">IF($A622="","",IF(원본명단!$H621="",0,COUNTIF(원본명단!$H$3:$H$6002,원본명단!$H621)))</f>
        <v/>
      </c>
      <c r="F622" s="11" t="str">
        <f aca="false">IF($A622="","",IF(원본명단!$I621="",0,COUNTIF(원본명단!$I$3:$I$6002,원본명단!$I621)))</f>
        <v/>
      </c>
      <c r="G622" s="11" t="str">
        <f aca="false">IF($A622="","",IF(원본명단!$K621="",0,COUNTIF(원본명단!$K$3:$K$6002,원본명단!$K621)))</f>
        <v/>
      </c>
      <c r="H622" s="11" t="str">
        <f aca="false">IF($A622="","",IF(MAX($E622,$F622,$G622)&gt;1,"중복","-"))</f>
        <v/>
      </c>
      <c r="I622" s="11" t="str">
        <f aca="false">IF($A622="","",IF($H622="-","-",IF(AND(IF(원본명단!$H621="",TRUE(),COUNTIF(원본명단!$H$3:$H621,원본명단!$H621)=1),IF(원본명단!$I621="",TRUE(),COUNTIF(원본명단!$I$3:$I621,원본명단!$I621)=1),IF(원본명단!$K621="",TRUE(),COUNTIF(원본명단!$K$3:$K621,원본명단!$K621)=1)),"첫 건","중복 건")))</f>
        <v/>
      </c>
      <c r="J622" s="11" t="str">
        <f aca="false">IF($A622="","",IF($H622="-","유지",IF($I622="첫 건","유지","확인 필요")))</f>
        <v/>
      </c>
    </row>
    <row r="623" customFormat="false" ht="15" hidden="false" customHeight="true" outlineLevel="0" collapsed="false">
      <c r="A623" s="11" t="str">
        <f aca="false">IF(원본명단!$A622="","",620)</f>
        <v/>
      </c>
      <c r="B623" s="12" t="str">
        <f aca="false">IF($A623="","",원본명단!$A622)</f>
        <v/>
      </c>
      <c r="C623" s="12" t="str">
        <f aca="false">IF($A623="","",원본명단!$B622)</f>
        <v/>
      </c>
      <c r="D623" s="12" t="str">
        <f aca="false">IF($A623="","",원본명단!$D622)</f>
        <v/>
      </c>
      <c r="E623" s="11" t="str">
        <f aca="false">IF($A623="","",IF(원본명단!$H622="",0,COUNTIF(원본명단!$H$3:$H$6002,원본명단!$H622)))</f>
        <v/>
      </c>
      <c r="F623" s="11" t="str">
        <f aca="false">IF($A623="","",IF(원본명단!$I622="",0,COUNTIF(원본명단!$I$3:$I$6002,원본명단!$I622)))</f>
        <v/>
      </c>
      <c r="G623" s="11" t="str">
        <f aca="false">IF($A623="","",IF(원본명단!$K622="",0,COUNTIF(원본명단!$K$3:$K$6002,원본명단!$K622)))</f>
        <v/>
      </c>
      <c r="H623" s="11" t="str">
        <f aca="false">IF($A623="","",IF(MAX($E623,$F623,$G623)&gt;1,"중복","-"))</f>
        <v/>
      </c>
      <c r="I623" s="11" t="str">
        <f aca="false">IF($A623="","",IF($H623="-","-",IF(AND(IF(원본명단!$H622="",TRUE(),COUNTIF(원본명단!$H$3:$H622,원본명단!$H622)=1),IF(원본명단!$I622="",TRUE(),COUNTIF(원본명단!$I$3:$I622,원본명단!$I622)=1),IF(원본명단!$K622="",TRUE(),COUNTIF(원본명단!$K$3:$K622,원본명단!$K622)=1)),"첫 건","중복 건")))</f>
        <v/>
      </c>
      <c r="J623" s="11" t="str">
        <f aca="false">IF($A623="","",IF($H623="-","유지",IF($I623="첫 건","유지","확인 필요")))</f>
        <v/>
      </c>
    </row>
    <row r="624" customFormat="false" ht="15" hidden="false" customHeight="true" outlineLevel="0" collapsed="false">
      <c r="A624" s="11" t="str">
        <f aca="false">IF(원본명단!$A623="","",621)</f>
        <v/>
      </c>
      <c r="B624" s="12" t="str">
        <f aca="false">IF($A624="","",원본명단!$A623)</f>
        <v/>
      </c>
      <c r="C624" s="12" t="str">
        <f aca="false">IF($A624="","",원본명단!$B623)</f>
        <v/>
      </c>
      <c r="D624" s="12" t="str">
        <f aca="false">IF($A624="","",원본명단!$D623)</f>
        <v/>
      </c>
      <c r="E624" s="11" t="str">
        <f aca="false">IF($A624="","",IF(원본명단!$H623="",0,COUNTIF(원본명단!$H$3:$H$6002,원본명단!$H623)))</f>
        <v/>
      </c>
      <c r="F624" s="11" t="str">
        <f aca="false">IF($A624="","",IF(원본명단!$I623="",0,COUNTIF(원본명단!$I$3:$I$6002,원본명단!$I623)))</f>
        <v/>
      </c>
      <c r="G624" s="11" t="str">
        <f aca="false">IF($A624="","",IF(원본명단!$K623="",0,COUNTIF(원본명단!$K$3:$K$6002,원본명단!$K623)))</f>
        <v/>
      </c>
      <c r="H624" s="11" t="str">
        <f aca="false">IF($A624="","",IF(MAX($E624,$F624,$G624)&gt;1,"중복","-"))</f>
        <v/>
      </c>
      <c r="I624" s="11" t="str">
        <f aca="false">IF($A624="","",IF($H624="-","-",IF(AND(IF(원본명단!$H623="",TRUE(),COUNTIF(원본명단!$H$3:$H623,원본명단!$H623)=1),IF(원본명단!$I623="",TRUE(),COUNTIF(원본명단!$I$3:$I623,원본명단!$I623)=1),IF(원본명단!$K623="",TRUE(),COUNTIF(원본명단!$K$3:$K623,원본명단!$K623)=1)),"첫 건","중복 건")))</f>
        <v/>
      </c>
      <c r="J624" s="11" t="str">
        <f aca="false">IF($A624="","",IF($H624="-","유지",IF($I624="첫 건","유지","확인 필요")))</f>
        <v/>
      </c>
    </row>
    <row r="625" customFormat="false" ht="15" hidden="false" customHeight="true" outlineLevel="0" collapsed="false">
      <c r="A625" s="11" t="str">
        <f aca="false">IF(원본명단!$A624="","",622)</f>
        <v/>
      </c>
      <c r="B625" s="12" t="str">
        <f aca="false">IF($A625="","",원본명단!$A624)</f>
        <v/>
      </c>
      <c r="C625" s="12" t="str">
        <f aca="false">IF($A625="","",원본명단!$B624)</f>
        <v/>
      </c>
      <c r="D625" s="12" t="str">
        <f aca="false">IF($A625="","",원본명단!$D624)</f>
        <v/>
      </c>
      <c r="E625" s="11" t="str">
        <f aca="false">IF($A625="","",IF(원본명단!$H624="",0,COUNTIF(원본명단!$H$3:$H$6002,원본명단!$H624)))</f>
        <v/>
      </c>
      <c r="F625" s="11" t="str">
        <f aca="false">IF($A625="","",IF(원본명단!$I624="",0,COUNTIF(원본명단!$I$3:$I$6002,원본명단!$I624)))</f>
        <v/>
      </c>
      <c r="G625" s="11" t="str">
        <f aca="false">IF($A625="","",IF(원본명단!$K624="",0,COUNTIF(원본명단!$K$3:$K$6002,원본명단!$K624)))</f>
        <v/>
      </c>
      <c r="H625" s="11" t="str">
        <f aca="false">IF($A625="","",IF(MAX($E625,$F625,$G625)&gt;1,"중복","-"))</f>
        <v/>
      </c>
      <c r="I625" s="11" t="str">
        <f aca="false">IF($A625="","",IF($H625="-","-",IF(AND(IF(원본명단!$H624="",TRUE(),COUNTIF(원본명단!$H$3:$H624,원본명단!$H624)=1),IF(원본명단!$I624="",TRUE(),COUNTIF(원본명단!$I$3:$I624,원본명단!$I624)=1),IF(원본명단!$K624="",TRUE(),COUNTIF(원본명단!$K$3:$K624,원본명단!$K624)=1)),"첫 건","중복 건")))</f>
        <v/>
      </c>
      <c r="J625" s="11" t="str">
        <f aca="false">IF($A625="","",IF($H625="-","유지",IF($I625="첫 건","유지","확인 필요")))</f>
        <v/>
      </c>
    </row>
    <row r="626" customFormat="false" ht="15" hidden="false" customHeight="true" outlineLevel="0" collapsed="false">
      <c r="A626" s="11" t="str">
        <f aca="false">IF(원본명단!$A625="","",623)</f>
        <v/>
      </c>
      <c r="B626" s="12" t="str">
        <f aca="false">IF($A626="","",원본명단!$A625)</f>
        <v/>
      </c>
      <c r="C626" s="12" t="str">
        <f aca="false">IF($A626="","",원본명단!$B625)</f>
        <v/>
      </c>
      <c r="D626" s="12" t="str">
        <f aca="false">IF($A626="","",원본명단!$D625)</f>
        <v/>
      </c>
      <c r="E626" s="11" t="str">
        <f aca="false">IF($A626="","",IF(원본명단!$H625="",0,COUNTIF(원본명단!$H$3:$H$6002,원본명단!$H625)))</f>
        <v/>
      </c>
      <c r="F626" s="11" t="str">
        <f aca="false">IF($A626="","",IF(원본명단!$I625="",0,COUNTIF(원본명단!$I$3:$I$6002,원본명단!$I625)))</f>
        <v/>
      </c>
      <c r="G626" s="11" t="str">
        <f aca="false">IF($A626="","",IF(원본명단!$K625="",0,COUNTIF(원본명단!$K$3:$K$6002,원본명단!$K625)))</f>
        <v/>
      </c>
      <c r="H626" s="11" t="str">
        <f aca="false">IF($A626="","",IF(MAX($E626,$F626,$G626)&gt;1,"중복","-"))</f>
        <v/>
      </c>
      <c r="I626" s="11" t="str">
        <f aca="false">IF($A626="","",IF($H626="-","-",IF(AND(IF(원본명단!$H625="",TRUE(),COUNTIF(원본명단!$H$3:$H625,원본명단!$H625)=1),IF(원본명단!$I625="",TRUE(),COUNTIF(원본명단!$I$3:$I625,원본명단!$I625)=1),IF(원본명단!$K625="",TRUE(),COUNTIF(원본명단!$K$3:$K625,원본명단!$K625)=1)),"첫 건","중복 건")))</f>
        <v/>
      </c>
      <c r="J626" s="11" t="str">
        <f aca="false">IF($A626="","",IF($H626="-","유지",IF($I626="첫 건","유지","확인 필요")))</f>
        <v/>
      </c>
    </row>
    <row r="627" customFormat="false" ht="15" hidden="false" customHeight="true" outlineLevel="0" collapsed="false">
      <c r="A627" s="11" t="str">
        <f aca="false">IF(원본명단!$A626="","",624)</f>
        <v/>
      </c>
      <c r="B627" s="12" t="str">
        <f aca="false">IF($A627="","",원본명단!$A626)</f>
        <v/>
      </c>
      <c r="C627" s="12" t="str">
        <f aca="false">IF($A627="","",원본명단!$B626)</f>
        <v/>
      </c>
      <c r="D627" s="12" t="str">
        <f aca="false">IF($A627="","",원본명단!$D626)</f>
        <v/>
      </c>
      <c r="E627" s="11" t="str">
        <f aca="false">IF($A627="","",IF(원본명단!$H626="",0,COUNTIF(원본명단!$H$3:$H$6002,원본명단!$H626)))</f>
        <v/>
      </c>
      <c r="F627" s="11" t="str">
        <f aca="false">IF($A627="","",IF(원본명단!$I626="",0,COUNTIF(원본명단!$I$3:$I$6002,원본명단!$I626)))</f>
        <v/>
      </c>
      <c r="G627" s="11" t="str">
        <f aca="false">IF($A627="","",IF(원본명단!$K626="",0,COUNTIF(원본명단!$K$3:$K$6002,원본명단!$K626)))</f>
        <v/>
      </c>
      <c r="H627" s="11" t="str">
        <f aca="false">IF($A627="","",IF(MAX($E627,$F627,$G627)&gt;1,"중복","-"))</f>
        <v/>
      </c>
      <c r="I627" s="11" t="str">
        <f aca="false">IF($A627="","",IF($H627="-","-",IF(AND(IF(원본명단!$H626="",TRUE(),COUNTIF(원본명단!$H$3:$H626,원본명단!$H626)=1),IF(원본명단!$I626="",TRUE(),COUNTIF(원본명단!$I$3:$I626,원본명단!$I626)=1),IF(원본명단!$K626="",TRUE(),COUNTIF(원본명단!$K$3:$K626,원본명단!$K626)=1)),"첫 건","중복 건")))</f>
        <v/>
      </c>
      <c r="J627" s="11" t="str">
        <f aca="false">IF($A627="","",IF($H627="-","유지",IF($I627="첫 건","유지","확인 필요")))</f>
        <v/>
      </c>
    </row>
    <row r="628" customFormat="false" ht="15" hidden="false" customHeight="true" outlineLevel="0" collapsed="false">
      <c r="A628" s="11" t="str">
        <f aca="false">IF(원본명단!$A627="","",625)</f>
        <v/>
      </c>
      <c r="B628" s="12" t="str">
        <f aca="false">IF($A628="","",원본명단!$A627)</f>
        <v/>
      </c>
      <c r="C628" s="12" t="str">
        <f aca="false">IF($A628="","",원본명단!$B627)</f>
        <v/>
      </c>
      <c r="D628" s="12" t="str">
        <f aca="false">IF($A628="","",원본명단!$D627)</f>
        <v/>
      </c>
      <c r="E628" s="11" t="str">
        <f aca="false">IF($A628="","",IF(원본명단!$H627="",0,COUNTIF(원본명단!$H$3:$H$6002,원본명단!$H627)))</f>
        <v/>
      </c>
      <c r="F628" s="11" t="str">
        <f aca="false">IF($A628="","",IF(원본명단!$I627="",0,COUNTIF(원본명단!$I$3:$I$6002,원본명단!$I627)))</f>
        <v/>
      </c>
      <c r="G628" s="11" t="str">
        <f aca="false">IF($A628="","",IF(원본명단!$K627="",0,COUNTIF(원본명단!$K$3:$K$6002,원본명단!$K627)))</f>
        <v/>
      </c>
      <c r="H628" s="11" t="str">
        <f aca="false">IF($A628="","",IF(MAX($E628,$F628,$G628)&gt;1,"중복","-"))</f>
        <v/>
      </c>
      <c r="I628" s="11" t="str">
        <f aca="false">IF($A628="","",IF($H628="-","-",IF(AND(IF(원본명단!$H627="",TRUE(),COUNTIF(원본명단!$H$3:$H627,원본명단!$H627)=1),IF(원본명단!$I627="",TRUE(),COUNTIF(원본명단!$I$3:$I627,원본명단!$I627)=1),IF(원본명단!$K627="",TRUE(),COUNTIF(원본명단!$K$3:$K627,원본명단!$K627)=1)),"첫 건","중복 건")))</f>
        <v/>
      </c>
      <c r="J628" s="11" t="str">
        <f aca="false">IF($A628="","",IF($H628="-","유지",IF($I628="첫 건","유지","확인 필요")))</f>
        <v/>
      </c>
    </row>
    <row r="629" customFormat="false" ht="15" hidden="false" customHeight="true" outlineLevel="0" collapsed="false">
      <c r="A629" s="11" t="str">
        <f aca="false">IF(원본명단!$A628="","",626)</f>
        <v/>
      </c>
      <c r="B629" s="12" t="str">
        <f aca="false">IF($A629="","",원본명단!$A628)</f>
        <v/>
      </c>
      <c r="C629" s="12" t="str">
        <f aca="false">IF($A629="","",원본명단!$B628)</f>
        <v/>
      </c>
      <c r="D629" s="12" t="str">
        <f aca="false">IF($A629="","",원본명단!$D628)</f>
        <v/>
      </c>
      <c r="E629" s="11" t="str">
        <f aca="false">IF($A629="","",IF(원본명단!$H628="",0,COUNTIF(원본명단!$H$3:$H$6002,원본명단!$H628)))</f>
        <v/>
      </c>
      <c r="F629" s="11" t="str">
        <f aca="false">IF($A629="","",IF(원본명단!$I628="",0,COUNTIF(원본명단!$I$3:$I$6002,원본명단!$I628)))</f>
        <v/>
      </c>
      <c r="G629" s="11" t="str">
        <f aca="false">IF($A629="","",IF(원본명단!$K628="",0,COUNTIF(원본명단!$K$3:$K$6002,원본명단!$K628)))</f>
        <v/>
      </c>
      <c r="H629" s="11" t="str">
        <f aca="false">IF($A629="","",IF(MAX($E629,$F629,$G629)&gt;1,"중복","-"))</f>
        <v/>
      </c>
      <c r="I629" s="11" t="str">
        <f aca="false">IF($A629="","",IF($H629="-","-",IF(AND(IF(원본명단!$H628="",TRUE(),COUNTIF(원본명단!$H$3:$H628,원본명단!$H628)=1),IF(원본명단!$I628="",TRUE(),COUNTIF(원본명단!$I$3:$I628,원본명단!$I628)=1),IF(원본명단!$K628="",TRUE(),COUNTIF(원본명단!$K$3:$K628,원본명단!$K628)=1)),"첫 건","중복 건")))</f>
        <v/>
      </c>
      <c r="J629" s="11" t="str">
        <f aca="false">IF($A629="","",IF($H629="-","유지",IF($I629="첫 건","유지","확인 필요")))</f>
        <v/>
      </c>
    </row>
    <row r="630" customFormat="false" ht="15" hidden="false" customHeight="true" outlineLevel="0" collapsed="false">
      <c r="A630" s="11" t="str">
        <f aca="false">IF(원본명단!$A629="","",627)</f>
        <v/>
      </c>
      <c r="B630" s="12" t="str">
        <f aca="false">IF($A630="","",원본명단!$A629)</f>
        <v/>
      </c>
      <c r="C630" s="12" t="str">
        <f aca="false">IF($A630="","",원본명단!$B629)</f>
        <v/>
      </c>
      <c r="D630" s="12" t="str">
        <f aca="false">IF($A630="","",원본명단!$D629)</f>
        <v/>
      </c>
      <c r="E630" s="11" t="str">
        <f aca="false">IF($A630="","",IF(원본명단!$H629="",0,COUNTIF(원본명단!$H$3:$H$6002,원본명단!$H629)))</f>
        <v/>
      </c>
      <c r="F630" s="11" t="str">
        <f aca="false">IF($A630="","",IF(원본명단!$I629="",0,COUNTIF(원본명단!$I$3:$I$6002,원본명단!$I629)))</f>
        <v/>
      </c>
      <c r="G630" s="11" t="str">
        <f aca="false">IF($A630="","",IF(원본명단!$K629="",0,COUNTIF(원본명단!$K$3:$K$6002,원본명단!$K629)))</f>
        <v/>
      </c>
      <c r="H630" s="11" t="str">
        <f aca="false">IF($A630="","",IF(MAX($E630,$F630,$G630)&gt;1,"중복","-"))</f>
        <v/>
      </c>
      <c r="I630" s="11" t="str">
        <f aca="false">IF($A630="","",IF($H630="-","-",IF(AND(IF(원본명단!$H629="",TRUE(),COUNTIF(원본명단!$H$3:$H629,원본명단!$H629)=1),IF(원본명단!$I629="",TRUE(),COUNTIF(원본명단!$I$3:$I629,원본명단!$I629)=1),IF(원본명단!$K629="",TRUE(),COUNTIF(원본명단!$K$3:$K629,원본명단!$K629)=1)),"첫 건","중복 건")))</f>
        <v/>
      </c>
      <c r="J630" s="11" t="str">
        <f aca="false">IF($A630="","",IF($H630="-","유지",IF($I630="첫 건","유지","확인 필요")))</f>
        <v/>
      </c>
    </row>
    <row r="631" customFormat="false" ht="15" hidden="false" customHeight="true" outlineLevel="0" collapsed="false">
      <c r="A631" s="11" t="str">
        <f aca="false">IF(원본명단!$A630="","",628)</f>
        <v/>
      </c>
      <c r="B631" s="12" t="str">
        <f aca="false">IF($A631="","",원본명단!$A630)</f>
        <v/>
      </c>
      <c r="C631" s="12" t="str">
        <f aca="false">IF($A631="","",원본명단!$B630)</f>
        <v/>
      </c>
      <c r="D631" s="12" t="str">
        <f aca="false">IF($A631="","",원본명단!$D630)</f>
        <v/>
      </c>
      <c r="E631" s="11" t="str">
        <f aca="false">IF($A631="","",IF(원본명단!$H630="",0,COUNTIF(원본명단!$H$3:$H$6002,원본명단!$H630)))</f>
        <v/>
      </c>
      <c r="F631" s="11" t="str">
        <f aca="false">IF($A631="","",IF(원본명단!$I630="",0,COUNTIF(원본명단!$I$3:$I$6002,원본명단!$I630)))</f>
        <v/>
      </c>
      <c r="G631" s="11" t="str">
        <f aca="false">IF($A631="","",IF(원본명단!$K630="",0,COUNTIF(원본명단!$K$3:$K$6002,원본명단!$K630)))</f>
        <v/>
      </c>
      <c r="H631" s="11" t="str">
        <f aca="false">IF($A631="","",IF(MAX($E631,$F631,$G631)&gt;1,"중복","-"))</f>
        <v/>
      </c>
      <c r="I631" s="11" t="str">
        <f aca="false">IF($A631="","",IF($H631="-","-",IF(AND(IF(원본명단!$H630="",TRUE(),COUNTIF(원본명단!$H$3:$H630,원본명단!$H630)=1),IF(원본명단!$I630="",TRUE(),COUNTIF(원본명단!$I$3:$I630,원본명단!$I630)=1),IF(원본명단!$K630="",TRUE(),COUNTIF(원본명단!$K$3:$K630,원본명단!$K630)=1)),"첫 건","중복 건")))</f>
        <v/>
      </c>
      <c r="J631" s="11" t="str">
        <f aca="false">IF($A631="","",IF($H631="-","유지",IF($I631="첫 건","유지","확인 필요")))</f>
        <v/>
      </c>
    </row>
    <row r="632" customFormat="false" ht="15" hidden="false" customHeight="true" outlineLevel="0" collapsed="false">
      <c r="A632" s="11" t="str">
        <f aca="false">IF(원본명단!$A631="","",629)</f>
        <v/>
      </c>
      <c r="B632" s="12" t="str">
        <f aca="false">IF($A632="","",원본명단!$A631)</f>
        <v/>
      </c>
      <c r="C632" s="12" t="str">
        <f aca="false">IF($A632="","",원본명단!$B631)</f>
        <v/>
      </c>
      <c r="D632" s="12" t="str">
        <f aca="false">IF($A632="","",원본명단!$D631)</f>
        <v/>
      </c>
      <c r="E632" s="11" t="str">
        <f aca="false">IF($A632="","",IF(원본명단!$H631="",0,COUNTIF(원본명단!$H$3:$H$6002,원본명단!$H631)))</f>
        <v/>
      </c>
      <c r="F632" s="11" t="str">
        <f aca="false">IF($A632="","",IF(원본명단!$I631="",0,COUNTIF(원본명단!$I$3:$I$6002,원본명단!$I631)))</f>
        <v/>
      </c>
      <c r="G632" s="11" t="str">
        <f aca="false">IF($A632="","",IF(원본명단!$K631="",0,COUNTIF(원본명단!$K$3:$K$6002,원본명단!$K631)))</f>
        <v/>
      </c>
      <c r="H632" s="11" t="str">
        <f aca="false">IF($A632="","",IF(MAX($E632,$F632,$G632)&gt;1,"중복","-"))</f>
        <v/>
      </c>
      <c r="I632" s="11" t="str">
        <f aca="false">IF($A632="","",IF($H632="-","-",IF(AND(IF(원본명단!$H631="",TRUE(),COUNTIF(원본명단!$H$3:$H631,원본명단!$H631)=1),IF(원본명단!$I631="",TRUE(),COUNTIF(원본명단!$I$3:$I631,원본명단!$I631)=1),IF(원본명단!$K631="",TRUE(),COUNTIF(원본명단!$K$3:$K631,원본명단!$K631)=1)),"첫 건","중복 건")))</f>
        <v/>
      </c>
      <c r="J632" s="11" t="str">
        <f aca="false">IF($A632="","",IF($H632="-","유지",IF($I632="첫 건","유지","확인 필요")))</f>
        <v/>
      </c>
    </row>
    <row r="633" customFormat="false" ht="15" hidden="false" customHeight="true" outlineLevel="0" collapsed="false">
      <c r="A633" s="11" t="str">
        <f aca="false">IF(원본명단!$A632="","",630)</f>
        <v/>
      </c>
      <c r="B633" s="12" t="str">
        <f aca="false">IF($A633="","",원본명단!$A632)</f>
        <v/>
      </c>
      <c r="C633" s="12" t="str">
        <f aca="false">IF($A633="","",원본명단!$B632)</f>
        <v/>
      </c>
      <c r="D633" s="12" t="str">
        <f aca="false">IF($A633="","",원본명단!$D632)</f>
        <v/>
      </c>
      <c r="E633" s="11" t="str">
        <f aca="false">IF($A633="","",IF(원본명단!$H632="",0,COUNTIF(원본명단!$H$3:$H$6002,원본명단!$H632)))</f>
        <v/>
      </c>
      <c r="F633" s="11" t="str">
        <f aca="false">IF($A633="","",IF(원본명단!$I632="",0,COUNTIF(원본명단!$I$3:$I$6002,원본명단!$I632)))</f>
        <v/>
      </c>
      <c r="G633" s="11" t="str">
        <f aca="false">IF($A633="","",IF(원본명단!$K632="",0,COUNTIF(원본명단!$K$3:$K$6002,원본명단!$K632)))</f>
        <v/>
      </c>
      <c r="H633" s="11" t="str">
        <f aca="false">IF($A633="","",IF(MAX($E633,$F633,$G633)&gt;1,"중복","-"))</f>
        <v/>
      </c>
      <c r="I633" s="11" t="str">
        <f aca="false">IF($A633="","",IF($H633="-","-",IF(AND(IF(원본명단!$H632="",TRUE(),COUNTIF(원본명단!$H$3:$H632,원본명단!$H632)=1),IF(원본명단!$I632="",TRUE(),COUNTIF(원본명단!$I$3:$I632,원본명단!$I632)=1),IF(원본명단!$K632="",TRUE(),COUNTIF(원본명단!$K$3:$K632,원본명단!$K632)=1)),"첫 건","중복 건")))</f>
        <v/>
      </c>
      <c r="J633" s="11" t="str">
        <f aca="false">IF($A633="","",IF($H633="-","유지",IF($I633="첫 건","유지","확인 필요")))</f>
        <v/>
      </c>
    </row>
    <row r="634" customFormat="false" ht="15" hidden="false" customHeight="true" outlineLevel="0" collapsed="false">
      <c r="A634" s="11" t="str">
        <f aca="false">IF(원본명단!$A633="","",631)</f>
        <v/>
      </c>
      <c r="B634" s="12" t="str">
        <f aca="false">IF($A634="","",원본명단!$A633)</f>
        <v/>
      </c>
      <c r="C634" s="12" t="str">
        <f aca="false">IF($A634="","",원본명단!$B633)</f>
        <v/>
      </c>
      <c r="D634" s="12" t="str">
        <f aca="false">IF($A634="","",원본명단!$D633)</f>
        <v/>
      </c>
      <c r="E634" s="11" t="str">
        <f aca="false">IF($A634="","",IF(원본명단!$H633="",0,COUNTIF(원본명단!$H$3:$H$6002,원본명단!$H633)))</f>
        <v/>
      </c>
      <c r="F634" s="11" t="str">
        <f aca="false">IF($A634="","",IF(원본명단!$I633="",0,COUNTIF(원본명단!$I$3:$I$6002,원본명단!$I633)))</f>
        <v/>
      </c>
      <c r="G634" s="11" t="str">
        <f aca="false">IF($A634="","",IF(원본명단!$K633="",0,COUNTIF(원본명단!$K$3:$K$6002,원본명단!$K633)))</f>
        <v/>
      </c>
      <c r="H634" s="11" t="str">
        <f aca="false">IF($A634="","",IF(MAX($E634,$F634,$G634)&gt;1,"중복","-"))</f>
        <v/>
      </c>
      <c r="I634" s="11" t="str">
        <f aca="false">IF($A634="","",IF($H634="-","-",IF(AND(IF(원본명단!$H633="",TRUE(),COUNTIF(원본명단!$H$3:$H633,원본명단!$H633)=1),IF(원본명단!$I633="",TRUE(),COUNTIF(원본명단!$I$3:$I633,원본명단!$I633)=1),IF(원본명단!$K633="",TRUE(),COUNTIF(원본명단!$K$3:$K633,원본명단!$K633)=1)),"첫 건","중복 건")))</f>
        <v/>
      </c>
      <c r="J634" s="11" t="str">
        <f aca="false">IF($A634="","",IF($H634="-","유지",IF($I634="첫 건","유지","확인 필요")))</f>
        <v/>
      </c>
    </row>
    <row r="635" customFormat="false" ht="15" hidden="false" customHeight="true" outlineLevel="0" collapsed="false">
      <c r="A635" s="11" t="str">
        <f aca="false">IF(원본명단!$A634="","",632)</f>
        <v/>
      </c>
      <c r="B635" s="12" t="str">
        <f aca="false">IF($A635="","",원본명단!$A634)</f>
        <v/>
      </c>
      <c r="C635" s="12" t="str">
        <f aca="false">IF($A635="","",원본명단!$B634)</f>
        <v/>
      </c>
      <c r="D635" s="12" t="str">
        <f aca="false">IF($A635="","",원본명단!$D634)</f>
        <v/>
      </c>
      <c r="E635" s="11" t="str">
        <f aca="false">IF($A635="","",IF(원본명단!$H634="",0,COUNTIF(원본명단!$H$3:$H$6002,원본명단!$H634)))</f>
        <v/>
      </c>
      <c r="F635" s="11" t="str">
        <f aca="false">IF($A635="","",IF(원본명단!$I634="",0,COUNTIF(원본명단!$I$3:$I$6002,원본명단!$I634)))</f>
        <v/>
      </c>
      <c r="G635" s="11" t="str">
        <f aca="false">IF($A635="","",IF(원본명단!$K634="",0,COUNTIF(원본명단!$K$3:$K$6002,원본명단!$K634)))</f>
        <v/>
      </c>
      <c r="H635" s="11" t="str">
        <f aca="false">IF($A635="","",IF(MAX($E635,$F635,$G635)&gt;1,"중복","-"))</f>
        <v/>
      </c>
      <c r="I635" s="11" t="str">
        <f aca="false">IF($A635="","",IF($H635="-","-",IF(AND(IF(원본명단!$H634="",TRUE(),COUNTIF(원본명단!$H$3:$H634,원본명단!$H634)=1),IF(원본명단!$I634="",TRUE(),COUNTIF(원본명단!$I$3:$I634,원본명단!$I634)=1),IF(원본명단!$K634="",TRUE(),COUNTIF(원본명단!$K$3:$K634,원본명단!$K634)=1)),"첫 건","중복 건")))</f>
        <v/>
      </c>
      <c r="J635" s="11" t="str">
        <f aca="false">IF($A635="","",IF($H635="-","유지",IF($I635="첫 건","유지","확인 필요")))</f>
        <v/>
      </c>
    </row>
    <row r="636" customFormat="false" ht="15" hidden="false" customHeight="true" outlineLevel="0" collapsed="false">
      <c r="A636" s="11" t="str">
        <f aca="false">IF(원본명단!$A635="","",633)</f>
        <v/>
      </c>
      <c r="B636" s="12" t="str">
        <f aca="false">IF($A636="","",원본명단!$A635)</f>
        <v/>
      </c>
      <c r="C636" s="12" t="str">
        <f aca="false">IF($A636="","",원본명단!$B635)</f>
        <v/>
      </c>
      <c r="D636" s="12" t="str">
        <f aca="false">IF($A636="","",원본명단!$D635)</f>
        <v/>
      </c>
      <c r="E636" s="11" t="str">
        <f aca="false">IF($A636="","",IF(원본명단!$H635="",0,COUNTIF(원본명단!$H$3:$H$6002,원본명단!$H635)))</f>
        <v/>
      </c>
      <c r="F636" s="11" t="str">
        <f aca="false">IF($A636="","",IF(원본명단!$I635="",0,COUNTIF(원본명단!$I$3:$I$6002,원본명단!$I635)))</f>
        <v/>
      </c>
      <c r="G636" s="11" t="str">
        <f aca="false">IF($A636="","",IF(원본명단!$K635="",0,COUNTIF(원본명단!$K$3:$K$6002,원본명단!$K635)))</f>
        <v/>
      </c>
      <c r="H636" s="11" t="str">
        <f aca="false">IF($A636="","",IF(MAX($E636,$F636,$G636)&gt;1,"중복","-"))</f>
        <v/>
      </c>
      <c r="I636" s="11" t="str">
        <f aca="false">IF($A636="","",IF($H636="-","-",IF(AND(IF(원본명단!$H635="",TRUE(),COUNTIF(원본명단!$H$3:$H635,원본명단!$H635)=1),IF(원본명단!$I635="",TRUE(),COUNTIF(원본명단!$I$3:$I635,원본명단!$I635)=1),IF(원본명단!$K635="",TRUE(),COUNTIF(원본명단!$K$3:$K635,원본명단!$K635)=1)),"첫 건","중복 건")))</f>
        <v/>
      </c>
      <c r="J636" s="11" t="str">
        <f aca="false">IF($A636="","",IF($H636="-","유지",IF($I636="첫 건","유지","확인 필요")))</f>
        <v/>
      </c>
    </row>
    <row r="637" customFormat="false" ht="15" hidden="false" customHeight="true" outlineLevel="0" collapsed="false">
      <c r="A637" s="11" t="str">
        <f aca="false">IF(원본명단!$A636="","",634)</f>
        <v/>
      </c>
      <c r="B637" s="12" t="str">
        <f aca="false">IF($A637="","",원본명단!$A636)</f>
        <v/>
      </c>
      <c r="C637" s="12" t="str">
        <f aca="false">IF($A637="","",원본명단!$B636)</f>
        <v/>
      </c>
      <c r="D637" s="12" t="str">
        <f aca="false">IF($A637="","",원본명단!$D636)</f>
        <v/>
      </c>
      <c r="E637" s="11" t="str">
        <f aca="false">IF($A637="","",IF(원본명단!$H636="",0,COUNTIF(원본명단!$H$3:$H$6002,원본명단!$H636)))</f>
        <v/>
      </c>
      <c r="F637" s="11" t="str">
        <f aca="false">IF($A637="","",IF(원본명단!$I636="",0,COUNTIF(원본명단!$I$3:$I$6002,원본명단!$I636)))</f>
        <v/>
      </c>
      <c r="G637" s="11" t="str">
        <f aca="false">IF($A637="","",IF(원본명단!$K636="",0,COUNTIF(원본명단!$K$3:$K$6002,원본명단!$K636)))</f>
        <v/>
      </c>
      <c r="H637" s="11" t="str">
        <f aca="false">IF($A637="","",IF(MAX($E637,$F637,$G637)&gt;1,"중복","-"))</f>
        <v/>
      </c>
      <c r="I637" s="11" t="str">
        <f aca="false">IF($A637="","",IF($H637="-","-",IF(AND(IF(원본명단!$H636="",TRUE(),COUNTIF(원본명단!$H$3:$H636,원본명단!$H636)=1),IF(원본명단!$I636="",TRUE(),COUNTIF(원본명단!$I$3:$I636,원본명단!$I636)=1),IF(원본명단!$K636="",TRUE(),COUNTIF(원본명단!$K$3:$K636,원본명단!$K636)=1)),"첫 건","중복 건")))</f>
        <v/>
      </c>
      <c r="J637" s="11" t="str">
        <f aca="false">IF($A637="","",IF($H637="-","유지",IF($I637="첫 건","유지","확인 필요")))</f>
        <v/>
      </c>
    </row>
    <row r="638" customFormat="false" ht="15" hidden="false" customHeight="true" outlineLevel="0" collapsed="false">
      <c r="A638" s="11" t="str">
        <f aca="false">IF(원본명단!$A637="","",635)</f>
        <v/>
      </c>
      <c r="B638" s="12" t="str">
        <f aca="false">IF($A638="","",원본명단!$A637)</f>
        <v/>
      </c>
      <c r="C638" s="12" t="str">
        <f aca="false">IF($A638="","",원본명단!$B637)</f>
        <v/>
      </c>
      <c r="D638" s="12" t="str">
        <f aca="false">IF($A638="","",원본명단!$D637)</f>
        <v/>
      </c>
      <c r="E638" s="11" t="str">
        <f aca="false">IF($A638="","",IF(원본명단!$H637="",0,COUNTIF(원본명단!$H$3:$H$6002,원본명단!$H637)))</f>
        <v/>
      </c>
      <c r="F638" s="11" t="str">
        <f aca="false">IF($A638="","",IF(원본명단!$I637="",0,COUNTIF(원본명단!$I$3:$I$6002,원본명단!$I637)))</f>
        <v/>
      </c>
      <c r="G638" s="11" t="str">
        <f aca="false">IF($A638="","",IF(원본명단!$K637="",0,COUNTIF(원본명단!$K$3:$K$6002,원본명단!$K637)))</f>
        <v/>
      </c>
      <c r="H638" s="11" t="str">
        <f aca="false">IF($A638="","",IF(MAX($E638,$F638,$G638)&gt;1,"중복","-"))</f>
        <v/>
      </c>
      <c r="I638" s="11" t="str">
        <f aca="false">IF($A638="","",IF($H638="-","-",IF(AND(IF(원본명단!$H637="",TRUE(),COUNTIF(원본명단!$H$3:$H637,원본명단!$H637)=1),IF(원본명단!$I637="",TRUE(),COUNTIF(원본명단!$I$3:$I637,원본명단!$I637)=1),IF(원본명단!$K637="",TRUE(),COUNTIF(원본명단!$K$3:$K637,원본명단!$K637)=1)),"첫 건","중복 건")))</f>
        <v/>
      </c>
      <c r="J638" s="11" t="str">
        <f aca="false">IF($A638="","",IF($H638="-","유지",IF($I638="첫 건","유지","확인 필요")))</f>
        <v/>
      </c>
    </row>
    <row r="639" customFormat="false" ht="15" hidden="false" customHeight="true" outlineLevel="0" collapsed="false">
      <c r="A639" s="11" t="str">
        <f aca="false">IF(원본명단!$A638="","",636)</f>
        <v/>
      </c>
      <c r="B639" s="12" t="str">
        <f aca="false">IF($A639="","",원본명단!$A638)</f>
        <v/>
      </c>
      <c r="C639" s="12" t="str">
        <f aca="false">IF($A639="","",원본명단!$B638)</f>
        <v/>
      </c>
      <c r="D639" s="12" t="str">
        <f aca="false">IF($A639="","",원본명단!$D638)</f>
        <v/>
      </c>
      <c r="E639" s="11" t="str">
        <f aca="false">IF($A639="","",IF(원본명단!$H638="",0,COUNTIF(원본명단!$H$3:$H$6002,원본명단!$H638)))</f>
        <v/>
      </c>
      <c r="F639" s="11" t="str">
        <f aca="false">IF($A639="","",IF(원본명단!$I638="",0,COUNTIF(원본명단!$I$3:$I$6002,원본명단!$I638)))</f>
        <v/>
      </c>
      <c r="G639" s="11" t="str">
        <f aca="false">IF($A639="","",IF(원본명단!$K638="",0,COUNTIF(원본명단!$K$3:$K$6002,원본명단!$K638)))</f>
        <v/>
      </c>
      <c r="H639" s="11" t="str">
        <f aca="false">IF($A639="","",IF(MAX($E639,$F639,$G639)&gt;1,"중복","-"))</f>
        <v/>
      </c>
      <c r="I639" s="11" t="str">
        <f aca="false">IF($A639="","",IF($H639="-","-",IF(AND(IF(원본명단!$H638="",TRUE(),COUNTIF(원본명단!$H$3:$H638,원본명단!$H638)=1),IF(원본명단!$I638="",TRUE(),COUNTIF(원본명단!$I$3:$I638,원본명단!$I638)=1),IF(원본명단!$K638="",TRUE(),COUNTIF(원본명단!$K$3:$K638,원본명단!$K638)=1)),"첫 건","중복 건")))</f>
        <v/>
      </c>
      <c r="J639" s="11" t="str">
        <f aca="false">IF($A639="","",IF($H639="-","유지",IF($I639="첫 건","유지","확인 필요")))</f>
        <v/>
      </c>
    </row>
    <row r="640" customFormat="false" ht="15" hidden="false" customHeight="true" outlineLevel="0" collapsed="false">
      <c r="A640" s="11" t="str">
        <f aca="false">IF(원본명단!$A639="","",637)</f>
        <v/>
      </c>
      <c r="B640" s="12" t="str">
        <f aca="false">IF($A640="","",원본명단!$A639)</f>
        <v/>
      </c>
      <c r="C640" s="12" t="str">
        <f aca="false">IF($A640="","",원본명단!$B639)</f>
        <v/>
      </c>
      <c r="D640" s="12" t="str">
        <f aca="false">IF($A640="","",원본명단!$D639)</f>
        <v/>
      </c>
      <c r="E640" s="11" t="str">
        <f aca="false">IF($A640="","",IF(원본명단!$H639="",0,COUNTIF(원본명단!$H$3:$H$6002,원본명단!$H639)))</f>
        <v/>
      </c>
      <c r="F640" s="11" t="str">
        <f aca="false">IF($A640="","",IF(원본명단!$I639="",0,COUNTIF(원본명단!$I$3:$I$6002,원본명단!$I639)))</f>
        <v/>
      </c>
      <c r="G640" s="11" t="str">
        <f aca="false">IF($A640="","",IF(원본명단!$K639="",0,COUNTIF(원본명단!$K$3:$K$6002,원본명단!$K639)))</f>
        <v/>
      </c>
      <c r="H640" s="11" t="str">
        <f aca="false">IF($A640="","",IF(MAX($E640,$F640,$G640)&gt;1,"중복","-"))</f>
        <v/>
      </c>
      <c r="I640" s="11" t="str">
        <f aca="false">IF($A640="","",IF($H640="-","-",IF(AND(IF(원본명단!$H639="",TRUE(),COUNTIF(원본명단!$H$3:$H639,원본명단!$H639)=1),IF(원본명단!$I639="",TRUE(),COUNTIF(원본명단!$I$3:$I639,원본명단!$I639)=1),IF(원본명단!$K639="",TRUE(),COUNTIF(원본명단!$K$3:$K639,원본명단!$K639)=1)),"첫 건","중복 건")))</f>
        <v/>
      </c>
      <c r="J640" s="11" t="str">
        <f aca="false">IF($A640="","",IF($H640="-","유지",IF($I640="첫 건","유지","확인 필요")))</f>
        <v/>
      </c>
    </row>
    <row r="641" customFormat="false" ht="15" hidden="false" customHeight="true" outlineLevel="0" collapsed="false">
      <c r="A641" s="11" t="str">
        <f aca="false">IF(원본명단!$A640="","",638)</f>
        <v/>
      </c>
      <c r="B641" s="12" t="str">
        <f aca="false">IF($A641="","",원본명단!$A640)</f>
        <v/>
      </c>
      <c r="C641" s="12" t="str">
        <f aca="false">IF($A641="","",원본명단!$B640)</f>
        <v/>
      </c>
      <c r="D641" s="12" t="str">
        <f aca="false">IF($A641="","",원본명단!$D640)</f>
        <v/>
      </c>
      <c r="E641" s="11" t="str">
        <f aca="false">IF($A641="","",IF(원본명단!$H640="",0,COUNTIF(원본명단!$H$3:$H$6002,원본명단!$H640)))</f>
        <v/>
      </c>
      <c r="F641" s="11" t="str">
        <f aca="false">IF($A641="","",IF(원본명단!$I640="",0,COUNTIF(원본명단!$I$3:$I$6002,원본명단!$I640)))</f>
        <v/>
      </c>
      <c r="G641" s="11" t="str">
        <f aca="false">IF($A641="","",IF(원본명단!$K640="",0,COUNTIF(원본명단!$K$3:$K$6002,원본명단!$K640)))</f>
        <v/>
      </c>
      <c r="H641" s="11" t="str">
        <f aca="false">IF($A641="","",IF(MAX($E641,$F641,$G641)&gt;1,"중복","-"))</f>
        <v/>
      </c>
      <c r="I641" s="11" t="str">
        <f aca="false">IF($A641="","",IF($H641="-","-",IF(AND(IF(원본명단!$H640="",TRUE(),COUNTIF(원본명단!$H$3:$H640,원본명단!$H640)=1),IF(원본명단!$I640="",TRUE(),COUNTIF(원본명단!$I$3:$I640,원본명단!$I640)=1),IF(원본명단!$K640="",TRUE(),COUNTIF(원본명단!$K$3:$K640,원본명단!$K640)=1)),"첫 건","중복 건")))</f>
        <v/>
      </c>
      <c r="J641" s="11" t="str">
        <f aca="false">IF($A641="","",IF($H641="-","유지",IF($I641="첫 건","유지","확인 필요")))</f>
        <v/>
      </c>
    </row>
    <row r="642" customFormat="false" ht="15" hidden="false" customHeight="true" outlineLevel="0" collapsed="false">
      <c r="A642" s="11" t="str">
        <f aca="false">IF(원본명단!$A641="","",639)</f>
        <v/>
      </c>
      <c r="B642" s="12" t="str">
        <f aca="false">IF($A642="","",원본명단!$A641)</f>
        <v/>
      </c>
      <c r="C642" s="12" t="str">
        <f aca="false">IF($A642="","",원본명단!$B641)</f>
        <v/>
      </c>
      <c r="D642" s="12" t="str">
        <f aca="false">IF($A642="","",원본명단!$D641)</f>
        <v/>
      </c>
      <c r="E642" s="11" t="str">
        <f aca="false">IF($A642="","",IF(원본명단!$H641="",0,COUNTIF(원본명단!$H$3:$H$6002,원본명단!$H641)))</f>
        <v/>
      </c>
      <c r="F642" s="11" t="str">
        <f aca="false">IF($A642="","",IF(원본명단!$I641="",0,COUNTIF(원본명단!$I$3:$I$6002,원본명단!$I641)))</f>
        <v/>
      </c>
      <c r="G642" s="11" t="str">
        <f aca="false">IF($A642="","",IF(원본명단!$K641="",0,COUNTIF(원본명단!$K$3:$K$6002,원본명단!$K641)))</f>
        <v/>
      </c>
      <c r="H642" s="11" t="str">
        <f aca="false">IF($A642="","",IF(MAX($E642,$F642,$G642)&gt;1,"중복","-"))</f>
        <v/>
      </c>
      <c r="I642" s="11" t="str">
        <f aca="false">IF($A642="","",IF($H642="-","-",IF(AND(IF(원본명단!$H641="",TRUE(),COUNTIF(원본명단!$H$3:$H641,원본명단!$H641)=1),IF(원본명단!$I641="",TRUE(),COUNTIF(원본명단!$I$3:$I641,원본명단!$I641)=1),IF(원본명단!$K641="",TRUE(),COUNTIF(원본명단!$K$3:$K641,원본명단!$K641)=1)),"첫 건","중복 건")))</f>
        <v/>
      </c>
      <c r="J642" s="11" t="str">
        <f aca="false">IF($A642="","",IF($H642="-","유지",IF($I642="첫 건","유지","확인 필요")))</f>
        <v/>
      </c>
    </row>
    <row r="643" customFormat="false" ht="15" hidden="false" customHeight="true" outlineLevel="0" collapsed="false">
      <c r="A643" s="11" t="str">
        <f aca="false">IF(원본명단!$A642="","",640)</f>
        <v/>
      </c>
      <c r="B643" s="12" t="str">
        <f aca="false">IF($A643="","",원본명단!$A642)</f>
        <v/>
      </c>
      <c r="C643" s="12" t="str">
        <f aca="false">IF($A643="","",원본명단!$B642)</f>
        <v/>
      </c>
      <c r="D643" s="12" t="str">
        <f aca="false">IF($A643="","",원본명단!$D642)</f>
        <v/>
      </c>
      <c r="E643" s="11" t="str">
        <f aca="false">IF($A643="","",IF(원본명단!$H642="",0,COUNTIF(원본명단!$H$3:$H$6002,원본명단!$H642)))</f>
        <v/>
      </c>
      <c r="F643" s="11" t="str">
        <f aca="false">IF($A643="","",IF(원본명단!$I642="",0,COUNTIF(원본명단!$I$3:$I$6002,원본명단!$I642)))</f>
        <v/>
      </c>
      <c r="G643" s="11" t="str">
        <f aca="false">IF($A643="","",IF(원본명단!$K642="",0,COUNTIF(원본명단!$K$3:$K$6002,원본명단!$K642)))</f>
        <v/>
      </c>
      <c r="H643" s="11" t="str">
        <f aca="false">IF($A643="","",IF(MAX($E643,$F643,$G643)&gt;1,"중복","-"))</f>
        <v/>
      </c>
      <c r="I643" s="11" t="str">
        <f aca="false">IF($A643="","",IF($H643="-","-",IF(AND(IF(원본명단!$H642="",TRUE(),COUNTIF(원본명단!$H$3:$H642,원본명단!$H642)=1),IF(원본명단!$I642="",TRUE(),COUNTIF(원본명단!$I$3:$I642,원본명단!$I642)=1),IF(원본명단!$K642="",TRUE(),COUNTIF(원본명단!$K$3:$K642,원본명단!$K642)=1)),"첫 건","중복 건")))</f>
        <v/>
      </c>
      <c r="J643" s="11" t="str">
        <f aca="false">IF($A643="","",IF($H643="-","유지",IF($I643="첫 건","유지","확인 필요")))</f>
        <v/>
      </c>
    </row>
    <row r="644" customFormat="false" ht="15" hidden="false" customHeight="true" outlineLevel="0" collapsed="false">
      <c r="A644" s="11" t="str">
        <f aca="false">IF(원본명단!$A643="","",641)</f>
        <v/>
      </c>
      <c r="B644" s="12" t="str">
        <f aca="false">IF($A644="","",원본명단!$A643)</f>
        <v/>
      </c>
      <c r="C644" s="12" t="str">
        <f aca="false">IF($A644="","",원본명단!$B643)</f>
        <v/>
      </c>
      <c r="D644" s="12" t="str">
        <f aca="false">IF($A644="","",원본명단!$D643)</f>
        <v/>
      </c>
      <c r="E644" s="11" t="str">
        <f aca="false">IF($A644="","",IF(원본명단!$H643="",0,COUNTIF(원본명단!$H$3:$H$6002,원본명단!$H643)))</f>
        <v/>
      </c>
      <c r="F644" s="11" t="str">
        <f aca="false">IF($A644="","",IF(원본명단!$I643="",0,COUNTIF(원본명단!$I$3:$I$6002,원본명단!$I643)))</f>
        <v/>
      </c>
      <c r="G644" s="11" t="str">
        <f aca="false">IF($A644="","",IF(원본명단!$K643="",0,COUNTIF(원본명단!$K$3:$K$6002,원본명단!$K643)))</f>
        <v/>
      </c>
      <c r="H644" s="11" t="str">
        <f aca="false">IF($A644="","",IF(MAX($E644,$F644,$G644)&gt;1,"중복","-"))</f>
        <v/>
      </c>
      <c r="I644" s="11" t="str">
        <f aca="false">IF($A644="","",IF($H644="-","-",IF(AND(IF(원본명단!$H643="",TRUE(),COUNTIF(원본명단!$H$3:$H643,원본명단!$H643)=1),IF(원본명단!$I643="",TRUE(),COUNTIF(원본명단!$I$3:$I643,원본명단!$I643)=1),IF(원본명단!$K643="",TRUE(),COUNTIF(원본명단!$K$3:$K643,원본명단!$K643)=1)),"첫 건","중복 건")))</f>
        <v/>
      </c>
      <c r="J644" s="11" t="str">
        <f aca="false">IF($A644="","",IF($H644="-","유지",IF($I644="첫 건","유지","확인 필요")))</f>
        <v/>
      </c>
    </row>
    <row r="645" customFormat="false" ht="15" hidden="false" customHeight="true" outlineLevel="0" collapsed="false">
      <c r="A645" s="11" t="str">
        <f aca="false">IF(원본명단!$A644="","",642)</f>
        <v/>
      </c>
      <c r="B645" s="12" t="str">
        <f aca="false">IF($A645="","",원본명단!$A644)</f>
        <v/>
      </c>
      <c r="C645" s="12" t="str">
        <f aca="false">IF($A645="","",원본명단!$B644)</f>
        <v/>
      </c>
      <c r="D645" s="12" t="str">
        <f aca="false">IF($A645="","",원본명단!$D644)</f>
        <v/>
      </c>
      <c r="E645" s="11" t="str">
        <f aca="false">IF($A645="","",IF(원본명단!$H644="",0,COUNTIF(원본명단!$H$3:$H$6002,원본명단!$H644)))</f>
        <v/>
      </c>
      <c r="F645" s="11" t="str">
        <f aca="false">IF($A645="","",IF(원본명단!$I644="",0,COUNTIF(원본명단!$I$3:$I$6002,원본명단!$I644)))</f>
        <v/>
      </c>
      <c r="G645" s="11" t="str">
        <f aca="false">IF($A645="","",IF(원본명단!$K644="",0,COUNTIF(원본명단!$K$3:$K$6002,원본명단!$K644)))</f>
        <v/>
      </c>
      <c r="H645" s="11" t="str">
        <f aca="false">IF($A645="","",IF(MAX($E645,$F645,$G645)&gt;1,"중복","-"))</f>
        <v/>
      </c>
      <c r="I645" s="11" t="str">
        <f aca="false">IF($A645="","",IF($H645="-","-",IF(AND(IF(원본명단!$H644="",TRUE(),COUNTIF(원본명단!$H$3:$H644,원본명단!$H644)=1),IF(원본명단!$I644="",TRUE(),COUNTIF(원본명단!$I$3:$I644,원본명단!$I644)=1),IF(원본명단!$K644="",TRUE(),COUNTIF(원본명단!$K$3:$K644,원본명단!$K644)=1)),"첫 건","중복 건")))</f>
        <v/>
      </c>
      <c r="J645" s="11" t="str">
        <f aca="false">IF($A645="","",IF($H645="-","유지",IF($I645="첫 건","유지","확인 필요")))</f>
        <v/>
      </c>
    </row>
    <row r="646" customFormat="false" ht="15" hidden="false" customHeight="true" outlineLevel="0" collapsed="false">
      <c r="A646" s="11" t="str">
        <f aca="false">IF(원본명단!$A645="","",643)</f>
        <v/>
      </c>
      <c r="B646" s="12" t="str">
        <f aca="false">IF($A646="","",원본명단!$A645)</f>
        <v/>
      </c>
      <c r="C646" s="12" t="str">
        <f aca="false">IF($A646="","",원본명단!$B645)</f>
        <v/>
      </c>
      <c r="D646" s="12" t="str">
        <f aca="false">IF($A646="","",원본명단!$D645)</f>
        <v/>
      </c>
      <c r="E646" s="11" t="str">
        <f aca="false">IF($A646="","",IF(원본명단!$H645="",0,COUNTIF(원본명단!$H$3:$H$6002,원본명단!$H645)))</f>
        <v/>
      </c>
      <c r="F646" s="11" t="str">
        <f aca="false">IF($A646="","",IF(원본명단!$I645="",0,COUNTIF(원본명단!$I$3:$I$6002,원본명단!$I645)))</f>
        <v/>
      </c>
      <c r="G646" s="11" t="str">
        <f aca="false">IF($A646="","",IF(원본명단!$K645="",0,COUNTIF(원본명단!$K$3:$K$6002,원본명단!$K645)))</f>
        <v/>
      </c>
      <c r="H646" s="11" t="str">
        <f aca="false">IF($A646="","",IF(MAX($E646,$F646,$G646)&gt;1,"중복","-"))</f>
        <v/>
      </c>
      <c r="I646" s="11" t="str">
        <f aca="false">IF($A646="","",IF($H646="-","-",IF(AND(IF(원본명단!$H645="",TRUE(),COUNTIF(원본명단!$H$3:$H645,원본명단!$H645)=1),IF(원본명단!$I645="",TRUE(),COUNTIF(원본명단!$I$3:$I645,원본명단!$I645)=1),IF(원본명단!$K645="",TRUE(),COUNTIF(원본명단!$K$3:$K645,원본명단!$K645)=1)),"첫 건","중복 건")))</f>
        <v/>
      </c>
      <c r="J646" s="11" t="str">
        <f aca="false">IF($A646="","",IF($H646="-","유지",IF($I646="첫 건","유지","확인 필요")))</f>
        <v/>
      </c>
    </row>
    <row r="647" customFormat="false" ht="15" hidden="false" customHeight="true" outlineLevel="0" collapsed="false">
      <c r="A647" s="11" t="str">
        <f aca="false">IF(원본명단!$A646="","",644)</f>
        <v/>
      </c>
      <c r="B647" s="12" t="str">
        <f aca="false">IF($A647="","",원본명단!$A646)</f>
        <v/>
      </c>
      <c r="C647" s="12" t="str">
        <f aca="false">IF($A647="","",원본명단!$B646)</f>
        <v/>
      </c>
      <c r="D647" s="12" t="str">
        <f aca="false">IF($A647="","",원본명단!$D646)</f>
        <v/>
      </c>
      <c r="E647" s="11" t="str">
        <f aca="false">IF($A647="","",IF(원본명단!$H646="",0,COUNTIF(원본명단!$H$3:$H$6002,원본명단!$H646)))</f>
        <v/>
      </c>
      <c r="F647" s="11" t="str">
        <f aca="false">IF($A647="","",IF(원본명단!$I646="",0,COUNTIF(원본명단!$I$3:$I$6002,원본명단!$I646)))</f>
        <v/>
      </c>
      <c r="G647" s="11" t="str">
        <f aca="false">IF($A647="","",IF(원본명단!$K646="",0,COUNTIF(원본명단!$K$3:$K$6002,원본명단!$K646)))</f>
        <v/>
      </c>
      <c r="H647" s="11" t="str">
        <f aca="false">IF($A647="","",IF(MAX($E647,$F647,$G647)&gt;1,"중복","-"))</f>
        <v/>
      </c>
      <c r="I647" s="11" t="str">
        <f aca="false">IF($A647="","",IF($H647="-","-",IF(AND(IF(원본명단!$H646="",TRUE(),COUNTIF(원본명단!$H$3:$H646,원본명단!$H646)=1),IF(원본명단!$I646="",TRUE(),COUNTIF(원본명단!$I$3:$I646,원본명단!$I646)=1),IF(원본명단!$K646="",TRUE(),COUNTIF(원본명단!$K$3:$K646,원본명단!$K646)=1)),"첫 건","중복 건")))</f>
        <v/>
      </c>
      <c r="J647" s="11" t="str">
        <f aca="false">IF($A647="","",IF($H647="-","유지",IF($I647="첫 건","유지","확인 필요")))</f>
        <v/>
      </c>
    </row>
    <row r="648" customFormat="false" ht="15" hidden="false" customHeight="true" outlineLevel="0" collapsed="false">
      <c r="A648" s="11" t="str">
        <f aca="false">IF(원본명단!$A647="","",645)</f>
        <v/>
      </c>
      <c r="B648" s="12" t="str">
        <f aca="false">IF($A648="","",원본명단!$A647)</f>
        <v/>
      </c>
      <c r="C648" s="12" t="str">
        <f aca="false">IF($A648="","",원본명단!$B647)</f>
        <v/>
      </c>
      <c r="D648" s="12" t="str">
        <f aca="false">IF($A648="","",원본명단!$D647)</f>
        <v/>
      </c>
      <c r="E648" s="11" t="str">
        <f aca="false">IF($A648="","",IF(원본명단!$H647="",0,COUNTIF(원본명단!$H$3:$H$6002,원본명단!$H647)))</f>
        <v/>
      </c>
      <c r="F648" s="11" t="str">
        <f aca="false">IF($A648="","",IF(원본명단!$I647="",0,COUNTIF(원본명단!$I$3:$I$6002,원본명단!$I647)))</f>
        <v/>
      </c>
      <c r="G648" s="11" t="str">
        <f aca="false">IF($A648="","",IF(원본명단!$K647="",0,COUNTIF(원본명단!$K$3:$K$6002,원본명단!$K647)))</f>
        <v/>
      </c>
      <c r="H648" s="11" t="str">
        <f aca="false">IF($A648="","",IF(MAX($E648,$F648,$G648)&gt;1,"중복","-"))</f>
        <v/>
      </c>
      <c r="I648" s="11" t="str">
        <f aca="false">IF($A648="","",IF($H648="-","-",IF(AND(IF(원본명단!$H647="",TRUE(),COUNTIF(원본명단!$H$3:$H647,원본명단!$H647)=1),IF(원본명단!$I647="",TRUE(),COUNTIF(원본명단!$I$3:$I647,원본명단!$I647)=1),IF(원본명단!$K647="",TRUE(),COUNTIF(원본명단!$K$3:$K647,원본명단!$K647)=1)),"첫 건","중복 건")))</f>
        <v/>
      </c>
      <c r="J648" s="11" t="str">
        <f aca="false">IF($A648="","",IF($H648="-","유지",IF($I648="첫 건","유지","확인 필요")))</f>
        <v/>
      </c>
    </row>
    <row r="649" customFormat="false" ht="15" hidden="false" customHeight="true" outlineLevel="0" collapsed="false">
      <c r="A649" s="11" t="str">
        <f aca="false">IF(원본명단!$A648="","",646)</f>
        <v/>
      </c>
      <c r="B649" s="12" t="str">
        <f aca="false">IF($A649="","",원본명단!$A648)</f>
        <v/>
      </c>
      <c r="C649" s="12" t="str">
        <f aca="false">IF($A649="","",원본명단!$B648)</f>
        <v/>
      </c>
      <c r="D649" s="12" t="str">
        <f aca="false">IF($A649="","",원본명단!$D648)</f>
        <v/>
      </c>
      <c r="E649" s="11" t="str">
        <f aca="false">IF($A649="","",IF(원본명단!$H648="",0,COUNTIF(원본명단!$H$3:$H$6002,원본명단!$H648)))</f>
        <v/>
      </c>
      <c r="F649" s="11" t="str">
        <f aca="false">IF($A649="","",IF(원본명단!$I648="",0,COUNTIF(원본명단!$I$3:$I$6002,원본명단!$I648)))</f>
        <v/>
      </c>
      <c r="G649" s="11" t="str">
        <f aca="false">IF($A649="","",IF(원본명단!$K648="",0,COUNTIF(원본명단!$K$3:$K$6002,원본명단!$K648)))</f>
        <v/>
      </c>
      <c r="H649" s="11" t="str">
        <f aca="false">IF($A649="","",IF(MAX($E649,$F649,$G649)&gt;1,"중복","-"))</f>
        <v/>
      </c>
      <c r="I649" s="11" t="str">
        <f aca="false">IF($A649="","",IF($H649="-","-",IF(AND(IF(원본명단!$H648="",TRUE(),COUNTIF(원본명단!$H$3:$H648,원본명단!$H648)=1),IF(원본명단!$I648="",TRUE(),COUNTIF(원본명단!$I$3:$I648,원본명단!$I648)=1),IF(원본명단!$K648="",TRUE(),COUNTIF(원본명단!$K$3:$K648,원본명단!$K648)=1)),"첫 건","중복 건")))</f>
        <v/>
      </c>
      <c r="J649" s="11" t="str">
        <f aca="false">IF($A649="","",IF($H649="-","유지",IF($I649="첫 건","유지","확인 필요")))</f>
        <v/>
      </c>
    </row>
    <row r="650" customFormat="false" ht="15" hidden="false" customHeight="true" outlineLevel="0" collapsed="false">
      <c r="A650" s="11" t="str">
        <f aca="false">IF(원본명단!$A649="","",647)</f>
        <v/>
      </c>
      <c r="B650" s="12" t="str">
        <f aca="false">IF($A650="","",원본명단!$A649)</f>
        <v/>
      </c>
      <c r="C650" s="12" t="str">
        <f aca="false">IF($A650="","",원본명단!$B649)</f>
        <v/>
      </c>
      <c r="D650" s="12" t="str">
        <f aca="false">IF($A650="","",원본명단!$D649)</f>
        <v/>
      </c>
      <c r="E650" s="11" t="str">
        <f aca="false">IF($A650="","",IF(원본명단!$H649="",0,COUNTIF(원본명단!$H$3:$H$6002,원본명단!$H649)))</f>
        <v/>
      </c>
      <c r="F650" s="11" t="str">
        <f aca="false">IF($A650="","",IF(원본명단!$I649="",0,COUNTIF(원본명단!$I$3:$I$6002,원본명단!$I649)))</f>
        <v/>
      </c>
      <c r="G650" s="11" t="str">
        <f aca="false">IF($A650="","",IF(원본명단!$K649="",0,COUNTIF(원본명단!$K$3:$K$6002,원본명단!$K649)))</f>
        <v/>
      </c>
      <c r="H650" s="11" t="str">
        <f aca="false">IF($A650="","",IF(MAX($E650,$F650,$G650)&gt;1,"중복","-"))</f>
        <v/>
      </c>
      <c r="I650" s="11" t="str">
        <f aca="false">IF($A650="","",IF($H650="-","-",IF(AND(IF(원본명단!$H649="",TRUE(),COUNTIF(원본명단!$H$3:$H649,원본명단!$H649)=1),IF(원본명단!$I649="",TRUE(),COUNTIF(원본명단!$I$3:$I649,원본명단!$I649)=1),IF(원본명단!$K649="",TRUE(),COUNTIF(원본명단!$K$3:$K649,원본명단!$K649)=1)),"첫 건","중복 건")))</f>
        <v/>
      </c>
      <c r="J650" s="11" t="str">
        <f aca="false">IF($A650="","",IF($H650="-","유지",IF($I650="첫 건","유지","확인 필요")))</f>
        <v/>
      </c>
    </row>
    <row r="651" customFormat="false" ht="15" hidden="false" customHeight="true" outlineLevel="0" collapsed="false">
      <c r="A651" s="11" t="str">
        <f aca="false">IF(원본명단!$A650="","",648)</f>
        <v/>
      </c>
      <c r="B651" s="12" t="str">
        <f aca="false">IF($A651="","",원본명단!$A650)</f>
        <v/>
      </c>
      <c r="C651" s="12" t="str">
        <f aca="false">IF($A651="","",원본명단!$B650)</f>
        <v/>
      </c>
      <c r="D651" s="12" t="str">
        <f aca="false">IF($A651="","",원본명단!$D650)</f>
        <v/>
      </c>
      <c r="E651" s="11" t="str">
        <f aca="false">IF($A651="","",IF(원본명단!$H650="",0,COUNTIF(원본명단!$H$3:$H$6002,원본명단!$H650)))</f>
        <v/>
      </c>
      <c r="F651" s="11" t="str">
        <f aca="false">IF($A651="","",IF(원본명단!$I650="",0,COUNTIF(원본명단!$I$3:$I$6002,원본명단!$I650)))</f>
        <v/>
      </c>
      <c r="G651" s="11" t="str">
        <f aca="false">IF($A651="","",IF(원본명단!$K650="",0,COUNTIF(원본명단!$K$3:$K$6002,원본명단!$K650)))</f>
        <v/>
      </c>
      <c r="H651" s="11" t="str">
        <f aca="false">IF($A651="","",IF(MAX($E651,$F651,$G651)&gt;1,"중복","-"))</f>
        <v/>
      </c>
      <c r="I651" s="11" t="str">
        <f aca="false">IF($A651="","",IF($H651="-","-",IF(AND(IF(원본명단!$H650="",TRUE(),COUNTIF(원본명단!$H$3:$H650,원본명단!$H650)=1),IF(원본명단!$I650="",TRUE(),COUNTIF(원본명단!$I$3:$I650,원본명단!$I650)=1),IF(원본명단!$K650="",TRUE(),COUNTIF(원본명단!$K$3:$K650,원본명단!$K650)=1)),"첫 건","중복 건")))</f>
        <v/>
      </c>
      <c r="J651" s="11" t="str">
        <f aca="false">IF($A651="","",IF($H651="-","유지",IF($I651="첫 건","유지","확인 필요")))</f>
        <v/>
      </c>
    </row>
    <row r="652" customFormat="false" ht="15" hidden="false" customHeight="true" outlineLevel="0" collapsed="false">
      <c r="A652" s="11" t="str">
        <f aca="false">IF(원본명단!$A651="","",649)</f>
        <v/>
      </c>
      <c r="B652" s="12" t="str">
        <f aca="false">IF($A652="","",원본명단!$A651)</f>
        <v/>
      </c>
      <c r="C652" s="12" t="str">
        <f aca="false">IF($A652="","",원본명단!$B651)</f>
        <v/>
      </c>
      <c r="D652" s="12" t="str">
        <f aca="false">IF($A652="","",원본명단!$D651)</f>
        <v/>
      </c>
      <c r="E652" s="11" t="str">
        <f aca="false">IF($A652="","",IF(원본명단!$H651="",0,COUNTIF(원본명단!$H$3:$H$6002,원본명단!$H651)))</f>
        <v/>
      </c>
      <c r="F652" s="11" t="str">
        <f aca="false">IF($A652="","",IF(원본명단!$I651="",0,COUNTIF(원본명단!$I$3:$I$6002,원본명단!$I651)))</f>
        <v/>
      </c>
      <c r="G652" s="11" t="str">
        <f aca="false">IF($A652="","",IF(원본명단!$K651="",0,COUNTIF(원본명단!$K$3:$K$6002,원본명단!$K651)))</f>
        <v/>
      </c>
      <c r="H652" s="11" t="str">
        <f aca="false">IF($A652="","",IF(MAX($E652,$F652,$G652)&gt;1,"중복","-"))</f>
        <v/>
      </c>
      <c r="I652" s="11" t="str">
        <f aca="false">IF($A652="","",IF($H652="-","-",IF(AND(IF(원본명단!$H651="",TRUE(),COUNTIF(원본명단!$H$3:$H651,원본명단!$H651)=1),IF(원본명단!$I651="",TRUE(),COUNTIF(원본명단!$I$3:$I651,원본명단!$I651)=1),IF(원본명단!$K651="",TRUE(),COUNTIF(원본명단!$K$3:$K651,원본명단!$K651)=1)),"첫 건","중복 건")))</f>
        <v/>
      </c>
      <c r="J652" s="11" t="str">
        <f aca="false">IF($A652="","",IF($H652="-","유지",IF($I652="첫 건","유지","확인 필요")))</f>
        <v/>
      </c>
    </row>
    <row r="653" customFormat="false" ht="15" hidden="false" customHeight="true" outlineLevel="0" collapsed="false">
      <c r="A653" s="11" t="str">
        <f aca="false">IF(원본명단!$A652="","",650)</f>
        <v/>
      </c>
      <c r="B653" s="12" t="str">
        <f aca="false">IF($A653="","",원본명단!$A652)</f>
        <v/>
      </c>
      <c r="C653" s="12" t="str">
        <f aca="false">IF($A653="","",원본명단!$B652)</f>
        <v/>
      </c>
      <c r="D653" s="12" t="str">
        <f aca="false">IF($A653="","",원본명단!$D652)</f>
        <v/>
      </c>
      <c r="E653" s="11" t="str">
        <f aca="false">IF($A653="","",IF(원본명단!$H652="",0,COUNTIF(원본명단!$H$3:$H$6002,원본명단!$H652)))</f>
        <v/>
      </c>
      <c r="F653" s="11" t="str">
        <f aca="false">IF($A653="","",IF(원본명단!$I652="",0,COUNTIF(원본명단!$I$3:$I$6002,원본명단!$I652)))</f>
        <v/>
      </c>
      <c r="G653" s="11" t="str">
        <f aca="false">IF($A653="","",IF(원본명단!$K652="",0,COUNTIF(원본명단!$K$3:$K$6002,원본명단!$K652)))</f>
        <v/>
      </c>
      <c r="H653" s="11" t="str">
        <f aca="false">IF($A653="","",IF(MAX($E653,$F653,$G653)&gt;1,"중복","-"))</f>
        <v/>
      </c>
      <c r="I653" s="11" t="str">
        <f aca="false">IF($A653="","",IF($H653="-","-",IF(AND(IF(원본명단!$H652="",TRUE(),COUNTIF(원본명단!$H$3:$H652,원본명단!$H652)=1),IF(원본명단!$I652="",TRUE(),COUNTIF(원본명단!$I$3:$I652,원본명단!$I652)=1),IF(원본명단!$K652="",TRUE(),COUNTIF(원본명단!$K$3:$K652,원본명단!$K652)=1)),"첫 건","중복 건")))</f>
        <v/>
      </c>
      <c r="J653" s="11" t="str">
        <f aca="false">IF($A653="","",IF($H653="-","유지",IF($I653="첫 건","유지","확인 필요")))</f>
        <v/>
      </c>
    </row>
    <row r="654" customFormat="false" ht="15" hidden="false" customHeight="true" outlineLevel="0" collapsed="false">
      <c r="A654" s="11" t="str">
        <f aca="false">IF(원본명단!$A653="","",651)</f>
        <v/>
      </c>
      <c r="B654" s="12" t="str">
        <f aca="false">IF($A654="","",원본명단!$A653)</f>
        <v/>
      </c>
      <c r="C654" s="12" t="str">
        <f aca="false">IF($A654="","",원본명단!$B653)</f>
        <v/>
      </c>
      <c r="D654" s="12" t="str">
        <f aca="false">IF($A654="","",원본명단!$D653)</f>
        <v/>
      </c>
      <c r="E654" s="11" t="str">
        <f aca="false">IF($A654="","",IF(원본명단!$H653="",0,COUNTIF(원본명단!$H$3:$H$6002,원본명단!$H653)))</f>
        <v/>
      </c>
      <c r="F654" s="11" t="str">
        <f aca="false">IF($A654="","",IF(원본명단!$I653="",0,COUNTIF(원본명단!$I$3:$I$6002,원본명단!$I653)))</f>
        <v/>
      </c>
      <c r="G654" s="11" t="str">
        <f aca="false">IF($A654="","",IF(원본명단!$K653="",0,COUNTIF(원본명단!$K$3:$K$6002,원본명단!$K653)))</f>
        <v/>
      </c>
      <c r="H654" s="11" t="str">
        <f aca="false">IF($A654="","",IF(MAX($E654,$F654,$G654)&gt;1,"중복","-"))</f>
        <v/>
      </c>
      <c r="I654" s="11" t="str">
        <f aca="false">IF($A654="","",IF($H654="-","-",IF(AND(IF(원본명단!$H653="",TRUE(),COUNTIF(원본명단!$H$3:$H653,원본명단!$H653)=1),IF(원본명단!$I653="",TRUE(),COUNTIF(원본명단!$I$3:$I653,원본명단!$I653)=1),IF(원본명단!$K653="",TRUE(),COUNTIF(원본명단!$K$3:$K653,원본명단!$K653)=1)),"첫 건","중복 건")))</f>
        <v/>
      </c>
      <c r="J654" s="11" t="str">
        <f aca="false">IF($A654="","",IF($H654="-","유지",IF($I654="첫 건","유지","확인 필요")))</f>
        <v/>
      </c>
    </row>
    <row r="655" customFormat="false" ht="15" hidden="false" customHeight="true" outlineLevel="0" collapsed="false">
      <c r="A655" s="11" t="str">
        <f aca="false">IF(원본명단!$A654="","",652)</f>
        <v/>
      </c>
      <c r="B655" s="12" t="str">
        <f aca="false">IF($A655="","",원본명단!$A654)</f>
        <v/>
      </c>
      <c r="C655" s="12" t="str">
        <f aca="false">IF($A655="","",원본명단!$B654)</f>
        <v/>
      </c>
      <c r="D655" s="12" t="str">
        <f aca="false">IF($A655="","",원본명단!$D654)</f>
        <v/>
      </c>
      <c r="E655" s="11" t="str">
        <f aca="false">IF($A655="","",IF(원본명단!$H654="",0,COUNTIF(원본명단!$H$3:$H$6002,원본명단!$H654)))</f>
        <v/>
      </c>
      <c r="F655" s="11" t="str">
        <f aca="false">IF($A655="","",IF(원본명단!$I654="",0,COUNTIF(원본명단!$I$3:$I$6002,원본명단!$I654)))</f>
        <v/>
      </c>
      <c r="G655" s="11" t="str">
        <f aca="false">IF($A655="","",IF(원본명단!$K654="",0,COUNTIF(원본명단!$K$3:$K$6002,원본명단!$K654)))</f>
        <v/>
      </c>
      <c r="H655" s="11" t="str">
        <f aca="false">IF($A655="","",IF(MAX($E655,$F655,$G655)&gt;1,"중복","-"))</f>
        <v/>
      </c>
      <c r="I655" s="11" t="str">
        <f aca="false">IF($A655="","",IF($H655="-","-",IF(AND(IF(원본명단!$H654="",TRUE(),COUNTIF(원본명단!$H$3:$H654,원본명단!$H654)=1),IF(원본명단!$I654="",TRUE(),COUNTIF(원본명단!$I$3:$I654,원본명단!$I654)=1),IF(원본명단!$K654="",TRUE(),COUNTIF(원본명단!$K$3:$K654,원본명단!$K654)=1)),"첫 건","중복 건")))</f>
        <v/>
      </c>
      <c r="J655" s="11" t="str">
        <f aca="false">IF($A655="","",IF($H655="-","유지",IF($I655="첫 건","유지","확인 필요")))</f>
        <v/>
      </c>
    </row>
    <row r="656" customFormat="false" ht="15" hidden="false" customHeight="true" outlineLevel="0" collapsed="false">
      <c r="A656" s="11" t="str">
        <f aca="false">IF(원본명단!$A655="","",653)</f>
        <v/>
      </c>
      <c r="B656" s="12" t="str">
        <f aca="false">IF($A656="","",원본명단!$A655)</f>
        <v/>
      </c>
      <c r="C656" s="12" t="str">
        <f aca="false">IF($A656="","",원본명단!$B655)</f>
        <v/>
      </c>
      <c r="D656" s="12" t="str">
        <f aca="false">IF($A656="","",원본명단!$D655)</f>
        <v/>
      </c>
      <c r="E656" s="11" t="str">
        <f aca="false">IF($A656="","",IF(원본명단!$H655="",0,COUNTIF(원본명단!$H$3:$H$6002,원본명단!$H655)))</f>
        <v/>
      </c>
      <c r="F656" s="11" t="str">
        <f aca="false">IF($A656="","",IF(원본명단!$I655="",0,COUNTIF(원본명단!$I$3:$I$6002,원본명단!$I655)))</f>
        <v/>
      </c>
      <c r="G656" s="11" t="str">
        <f aca="false">IF($A656="","",IF(원본명단!$K655="",0,COUNTIF(원본명단!$K$3:$K$6002,원본명단!$K655)))</f>
        <v/>
      </c>
      <c r="H656" s="11" t="str">
        <f aca="false">IF($A656="","",IF(MAX($E656,$F656,$G656)&gt;1,"중복","-"))</f>
        <v/>
      </c>
      <c r="I656" s="11" t="str">
        <f aca="false">IF($A656="","",IF($H656="-","-",IF(AND(IF(원본명단!$H655="",TRUE(),COUNTIF(원본명단!$H$3:$H655,원본명단!$H655)=1),IF(원본명단!$I655="",TRUE(),COUNTIF(원본명단!$I$3:$I655,원본명단!$I655)=1),IF(원본명단!$K655="",TRUE(),COUNTIF(원본명단!$K$3:$K655,원본명단!$K655)=1)),"첫 건","중복 건")))</f>
        <v/>
      </c>
      <c r="J656" s="11" t="str">
        <f aca="false">IF($A656="","",IF($H656="-","유지",IF($I656="첫 건","유지","확인 필요")))</f>
        <v/>
      </c>
    </row>
    <row r="657" customFormat="false" ht="15" hidden="false" customHeight="true" outlineLevel="0" collapsed="false">
      <c r="A657" s="11" t="str">
        <f aca="false">IF(원본명단!$A656="","",654)</f>
        <v/>
      </c>
      <c r="B657" s="12" t="str">
        <f aca="false">IF($A657="","",원본명단!$A656)</f>
        <v/>
      </c>
      <c r="C657" s="12" t="str">
        <f aca="false">IF($A657="","",원본명단!$B656)</f>
        <v/>
      </c>
      <c r="D657" s="12" t="str">
        <f aca="false">IF($A657="","",원본명단!$D656)</f>
        <v/>
      </c>
      <c r="E657" s="11" t="str">
        <f aca="false">IF($A657="","",IF(원본명단!$H656="",0,COUNTIF(원본명단!$H$3:$H$6002,원본명단!$H656)))</f>
        <v/>
      </c>
      <c r="F657" s="11" t="str">
        <f aca="false">IF($A657="","",IF(원본명단!$I656="",0,COUNTIF(원본명단!$I$3:$I$6002,원본명단!$I656)))</f>
        <v/>
      </c>
      <c r="G657" s="11" t="str">
        <f aca="false">IF($A657="","",IF(원본명단!$K656="",0,COUNTIF(원본명단!$K$3:$K$6002,원본명단!$K656)))</f>
        <v/>
      </c>
      <c r="H657" s="11" t="str">
        <f aca="false">IF($A657="","",IF(MAX($E657,$F657,$G657)&gt;1,"중복","-"))</f>
        <v/>
      </c>
      <c r="I657" s="11" t="str">
        <f aca="false">IF($A657="","",IF($H657="-","-",IF(AND(IF(원본명단!$H656="",TRUE(),COUNTIF(원본명단!$H$3:$H656,원본명단!$H656)=1),IF(원본명단!$I656="",TRUE(),COUNTIF(원본명단!$I$3:$I656,원본명단!$I656)=1),IF(원본명단!$K656="",TRUE(),COUNTIF(원본명단!$K$3:$K656,원본명단!$K656)=1)),"첫 건","중복 건")))</f>
        <v/>
      </c>
      <c r="J657" s="11" t="str">
        <f aca="false">IF($A657="","",IF($H657="-","유지",IF($I657="첫 건","유지","확인 필요")))</f>
        <v/>
      </c>
    </row>
    <row r="658" customFormat="false" ht="15" hidden="false" customHeight="true" outlineLevel="0" collapsed="false">
      <c r="A658" s="11" t="str">
        <f aca="false">IF(원본명단!$A657="","",655)</f>
        <v/>
      </c>
      <c r="B658" s="12" t="str">
        <f aca="false">IF($A658="","",원본명단!$A657)</f>
        <v/>
      </c>
      <c r="C658" s="12" t="str">
        <f aca="false">IF($A658="","",원본명단!$B657)</f>
        <v/>
      </c>
      <c r="D658" s="12" t="str">
        <f aca="false">IF($A658="","",원본명단!$D657)</f>
        <v/>
      </c>
      <c r="E658" s="11" t="str">
        <f aca="false">IF($A658="","",IF(원본명단!$H657="",0,COUNTIF(원본명단!$H$3:$H$6002,원본명단!$H657)))</f>
        <v/>
      </c>
      <c r="F658" s="11" t="str">
        <f aca="false">IF($A658="","",IF(원본명단!$I657="",0,COUNTIF(원본명단!$I$3:$I$6002,원본명단!$I657)))</f>
        <v/>
      </c>
      <c r="G658" s="11" t="str">
        <f aca="false">IF($A658="","",IF(원본명단!$K657="",0,COUNTIF(원본명단!$K$3:$K$6002,원본명단!$K657)))</f>
        <v/>
      </c>
      <c r="H658" s="11" t="str">
        <f aca="false">IF($A658="","",IF(MAX($E658,$F658,$G658)&gt;1,"중복","-"))</f>
        <v/>
      </c>
      <c r="I658" s="11" t="str">
        <f aca="false">IF($A658="","",IF($H658="-","-",IF(AND(IF(원본명단!$H657="",TRUE(),COUNTIF(원본명단!$H$3:$H657,원본명단!$H657)=1),IF(원본명단!$I657="",TRUE(),COUNTIF(원본명단!$I$3:$I657,원본명단!$I657)=1),IF(원본명단!$K657="",TRUE(),COUNTIF(원본명단!$K$3:$K657,원본명단!$K657)=1)),"첫 건","중복 건")))</f>
        <v/>
      </c>
      <c r="J658" s="11" t="str">
        <f aca="false">IF($A658="","",IF($H658="-","유지",IF($I658="첫 건","유지","확인 필요")))</f>
        <v/>
      </c>
    </row>
    <row r="659" customFormat="false" ht="15" hidden="false" customHeight="true" outlineLevel="0" collapsed="false">
      <c r="A659" s="11" t="str">
        <f aca="false">IF(원본명단!$A658="","",656)</f>
        <v/>
      </c>
      <c r="B659" s="12" t="str">
        <f aca="false">IF($A659="","",원본명단!$A658)</f>
        <v/>
      </c>
      <c r="C659" s="12" t="str">
        <f aca="false">IF($A659="","",원본명단!$B658)</f>
        <v/>
      </c>
      <c r="D659" s="12" t="str">
        <f aca="false">IF($A659="","",원본명단!$D658)</f>
        <v/>
      </c>
      <c r="E659" s="11" t="str">
        <f aca="false">IF($A659="","",IF(원본명단!$H658="",0,COUNTIF(원본명단!$H$3:$H$6002,원본명단!$H658)))</f>
        <v/>
      </c>
      <c r="F659" s="11" t="str">
        <f aca="false">IF($A659="","",IF(원본명단!$I658="",0,COUNTIF(원본명단!$I$3:$I$6002,원본명단!$I658)))</f>
        <v/>
      </c>
      <c r="G659" s="11" t="str">
        <f aca="false">IF($A659="","",IF(원본명단!$K658="",0,COUNTIF(원본명단!$K$3:$K$6002,원본명단!$K658)))</f>
        <v/>
      </c>
      <c r="H659" s="11" t="str">
        <f aca="false">IF($A659="","",IF(MAX($E659,$F659,$G659)&gt;1,"중복","-"))</f>
        <v/>
      </c>
      <c r="I659" s="11" t="str">
        <f aca="false">IF($A659="","",IF($H659="-","-",IF(AND(IF(원본명단!$H658="",TRUE(),COUNTIF(원본명단!$H$3:$H658,원본명단!$H658)=1),IF(원본명단!$I658="",TRUE(),COUNTIF(원본명단!$I$3:$I658,원본명단!$I658)=1),IF(원본명단!$K658="",TRUE(),COUNTIF(원본명단!$K$3:$K658,원본명단!$K658)=1)),"첫 건","중복 건")))</f>
        <v/>
      </c>
      <c r="J659" s="11" t="str">
        <f aca="false">IF($A659="","",IF($H659="-","유지",IF($I659="첫 건","유지","확인 필요")))</f>
        <v/>
      </c>
    </row>
    <row r="660" customFormat="false" ht="15" hidden="false" customHeight="true" outlineLevel="0" collapsed="false">
      <c r="A660" s="11" t="str">
        <f aca="false">IF(원본명단!$A659="","",657)</f>
        <v/>
      </c>
      <c r="B660" s="12" t="str">
        <f aca="false">IF($A660="","",원본명단!$A659)</f>
        <v/>
      </c>
      <c r="C660" s="12" t="str">
        <f aca="false">IF($A660="","",원본명단!$B659)</f>
        <v/>
      </c>
      <c r="D660" s="12" t="str">
        <f aca="false">IF($A660="","",원본명단!$D659)</f>
        <v/>
      </c>
      <c r="E660" s="11" t="str">
        <f aca="false">IF($A660="","",IF(원본명단!$H659="",0,COUNTIF(원본명단!$H$3:$H$6002,원본명단!$H659)))</f>
        <v/>
      </c>
      <c r="F660" s="11" t="str">
        <f aca="false">IF($A660="","",IF(원본명단!$I659="",0,COUNTIF(원본명단!$I$3:$I$6002,원본명단!$I659)))</f>
        <v/>
      </c>
      <c r="G660" s="11" t="str">
        <f aca="false">IF($A660="","",IF(원본명단!$K659="",0,COUNTIF(원본명단!$K$3:$K$6002,원본명단!$K659)))</f>
        <v/>
      </c>
      <c r="H660" s="11" t="str">
        <f aca="false">IF($A660="","",IF(MAX($E660,$F660,$G660)&gt;1,"중복","-"))</f>
        <v/>
      </c>
      <c r="I660" s="11" t="str">
        <f aca="false">IF($A660="","",IF($H660="-","-",IF(AND(IF(원본명단!$H659="",TRUE(),COUNTIF(원본명단!$H$3:$H659,원본명단!$H659)=1),IF(원본명단!$I659="",TRUE(),COUNTIF(원본명단!$I$3:$I659,원본명단!$I659)=1),IF(원본명단!$K659="",TRUE(),COUNTIF(원본명단!$K$3:$K659,원본명단!$K659)=1)),"첫 건","중복 건")))</f>
        <v/>
      </c>
      <c r="J660" s="11" t="str">
        <f aca="false">IF($A660="","",IF($H660="-","유지",IF($I660="첫 건","유지","확인 필요")))</f>
        <v/>
      </c>
    </row>
    <row r="661" customFormat="false" ht="15" hidden="false" customHeight="true" outlineLevel="0" collapsed="false">
      <c r="A661" s="11" t="str">
        <f aca="false">IF(원본명단!$A660="","",658)</f>
        <v/>
      </c>
      <c r="B661" s="12" t="str">
        <f aca="false">IF($A661="","",원본명단!$A660)</f>
        <v/>
      </c>
      <c r="C661" s="12" t="str">
        <f aca="false">IF($A661="","",원본명단!$B660)</f>
        <v/>
      </c>
      <c r="D661" s="12" t="str">
        <f aca="false">IF($A661="","",원본명단!$D660)</f>
        <v/>
      </c>
      <c r="E661" s="11" t="str">
        <f aca="false">IF($A661="","",IF(원본명단!$H660="",0,COUNTIF(원본명단!$H$3:$H$6002,원본명단!$H660)))</f>
        <v/>
      </c>
      <c r="F661" s="11" t="str">
        <f aca="false">IF($A661="","",IF(원본명단!$I660="",0,COUNTIF(원본명단!$I$3:$I$6002,원본명단!$I660)))</f>
        <v/>
      </c>
      <c r="G661" s="11" t="str">
        <f aca="false">IF($A661="","",IF(원본명단!$K660="",0,COUNTIF(원본명단!$K$3:$K$6002,원본명단!$K660)))</f>
        <v/>
      </c>
      <c r="H661" s="11" t="str">
        <f aca="false">IF($A661="","",IF(MAX($E661,$F661,$G661)&gt;1,"중복","-"))</f>
        <v/>
      </c>
      <c r="I661" s="11" t="str">
        <f aca="false">IF($A661="","",IF($H661="-","-",IF(AND(IF(원본명단!$H660="",TRUE(),COUNTIF(원본명단!$H$3:$H660,원본명단!$H660)=1),IF(원본명단!$I660="",TRUE(),COUNTIF(원본명단!$I$3:$I660,원본명단!$I660)=1),IF(원본명단!$K660="",TRUE(),COUNTIF(원본명단!$K$3:$K660,원본명단!$K660)=1)),"첫 건","중복 건")))</f>
        <v/>
      </c>
      <c r="J661" s="11" t="str">
        <f aca="false">IF($A661="","",IF($H661="-","유지",IF($I661="첫 건","유지","확인 필요")))</f>
        <v/>
      </c>
    </row>
    <row r="662" customFormat="false" ht="15" hidden="false" customHeight="true" outlineLevel="0" collapsed="false">
      <c r="A662" s="11" t="str">
        <f aca="false">IF(원본명단!$A661="","",659)</f>
        <v/>
      </c>
      <c r="B662" s="12" t="str">
        <f aca="false">IF($A662="","",원본명단!$A661)</f>
        <v/>
      </c>
      <c r="C662" s="12" t="str">
        <f aca="false">IF($A662="","",원본명단!$B661)</f>
        <v/>
      </c>
      <c r="D662" s="12" t="str">
        <f aca="false">IF($A662="","",원본명단!$D661)</f>
        <v/>
      </c>
      <c r="E662" s="11" t="str">
        <f aca="false">IF($A662="","",IF(원본명단!$H661="",0,COUNTIF(원본명단!$H$3:$H$6002,원본명단!$H661)))</f>
        <v/>
      </c>
      <c r="F662" s="11" t="str">
        <f aca="false">IF($A662="","",IF(원본명단!$I661="",0,COUNTIF(원본명단!$I$3:$I$6002,원본명단!$I661)))</f>
        <v/>
      </c>
      <c r="G662" s="11" t="str">
        <f aca="false">IF($A662="","",IF(원본명단!$K661="",0,COUNTIF(원본명단!$K$3:$K$6002,원본명단!$K661)))</f>
        <v/>
      </c>
      <c r="H662" s="11" t="str">
        <f aca="false">IF($A662="","",IF(MAX($E662,$F662,$G662)&gt;1,"중복","-"))</f>
        <v/>
      </c>
      <c r="I662" s="11" t="str">
        <f aca="false">IF($A662="","",IF($H662="-","-",IF(AND(IF(원본명단!$H661="",TRUE(),COUNTIF(원본명단!$H$3:$H661,원본명단!$H661)=1),IF(원본명단!$I661="",TRUE(),COUNTIF(원본명단!$I$3:$I661,원본명단!$I661)=1),IF(원본명단!$K661="",TRUE(),COUNTIF(원본명단!$K$3:$K661,원본명단!$K661)=1)),"첫 건","중복 건")))</f>
        <v/>
      </c>
      <c r="J662" s="11" t="str">
        <f aca="false">IF($A662="","",IF($H662="-","유지",IF($I662="첫 건","유지","확인 필요")))</f>
        <v/>
      </c>
    </row>
    <row r="663" customFormat="false" ht="15" hidden="false" customHeight="true" outlineLevel="0" collapsed="false">
      <c r="A663" s="11" t="str">
        <f aca="false">IF(원본명단!$A662="","",660)</f>
        <v/>
      </c>
      <c r="B663" s="12" t="str">
        <f aca="false">IF($A663="","",원본명단!$A662)</f>
        <v/>
      </c>
      <c r="C663" s="12" t="str">
        <f aca="false">IF($A663="","",원본명단!$B662)</f>
        <v/>
      </c>
      <c r="D663" s="12" t="str">
        <f aca="false">IF($A663="","",원본명단!$D662)</f>
        <v/>
      </c>
      <c r="E663" s="11" t="str">
        <f aca="false">IF($A663="","",IF(원본명단!$H662="",0,COUNTIF(원본명단!$H$3:$H$6002,원본명단!$H662)))</f>
        <v/>
      </c>
      <c r="F663" s="11" t="str">
        <f aca="false">IF($A663="","",IF(원본명단!$I662="",0,COUNTIF(원본명단!$I$3:$I$6002,원본명단!$I662)))</f>
        <v/>
      </c>
      <c r="G663" s="11" t="str">
        <f aca="false">IF($A663="","",IF(원본명단!$K662="",0,COUNTIF(원본명단!$K$3:$K$6002,원본명단!$K662)))</f>
        <v/>
      </c>
      <c r="H663" s="11" t="str">
        <f aca="false">IF($A663="","",IF(MAX($E663,$F663,$G663)&gt;1,"중복","-"))</f>
        <v/>
      </c>
      <c r="I663" s="11" t="str">
        <f aca="false">IF($A663="","",IF($H663="-","-",IF(AND(IF(원본명단!$H662="",TRUE(),COUNTIF(원본명단!$H$3:$H662,원본명단!$H662)=1),IF(원본명단!$I662="",TRUE(),COUNTIF(원본명단!$I$3:$I662,원본명단!$I662)=1),IF(원본명단!$K662="",TRUE(),COUNTIF(원본명단!$K$3:$K662,원본명단!$K662)=1)),"첫 건","중복 건")))</f>
        <v/>
      </c>
      <c r="J663" s="11" t="str">
        <f aca="false">IF($A663="","",IF($H663="-","유지",IF($I663="첫 건","유지","확인 필요")))</f>
        <v/>
      </c>
    </row>
    <row r="664" customFormat="false" ht="15" hidden="false" customHeight="true" outlineLevel="0" collapsed="false">
      <c r="A664" s="11" t="str">
        <f aca="false">IF(원본명단!$A663="","",661)</f>
        <v/>
      </c>
      <c r="B664" s="12" t="str">
        <f aca="false">IF($A664="","",원본명단!$A663)</f>
        <v/>
      </c>
      <c r="C664" s="12" t="str">
        <f aca="false">IF($A664="","",원본명단!$B663)</f>
        <v/>
      </c>
      <c r="D664" s="12" t="str">
        <f aca="false">IF($A664="","",원본명단!$D663)</f>
        <v/>
      </c>
      <c r="E664" s="11" t="str">
        <f aca="false">IF($A664="","",IF(원본명단!$H663="",0,COUNTIF(원본명단!$H$3:$H$6002,원본명단!$H663)))</f>
        <v/>
      </c>
      <c r="F664" s="11" t="str">
        <f aca="false">IF($A664="","",IF(원본명단!$I663="",0,COUNTIF(원본명단!$I$3:$I$6002,원본명단!$I663)))</f>
        <v/>
      </c>
      <c r="G664" s="11" t="str">
        <f aca="false">IF($A664="","",IF(원본명단!$K663="",0,COUNTIF(원본명단!$K$3:$K$6002,원본명단!$K663)))</f>
        <v/>
      </c>
      <c r="H664" s="11" t="str">
        <f aca="false">IF($A664="","",IF(MAX($E664,$F664,$G664)&gt;1,"중복","-"))</f>
        <v/>
      </c>
      <c r="I664" s="11" t="str">
        <f aca="false">IF($A664="","",IF($H664="-","-",IF(AND(IF(원본명단!$H663="",TRUE(),COUNTIF(원본명단!$H$3:$H663,원본명단!$H663)=1),IF(원본명단!$I663="",TRUE(),COUNTIF(원본명단!$I$3:$I663,원본명단!$I663)=1),IF(원본명단!$K663="",TRUE(),COUNTIF(원본명단!$K$3:$K663,원본명단!$K663)=1)),"첫 건","중복 건")))</f>
        <v/>
      </c>
      <c r="J664" s="11" t="str">
        <f aca="false">IF($A664="","",IF($H664="-","유지",IF($I664="첫 건","유지","확인 필요")))</f>
        <v/>
      </c>
    </row>
    <row r="665" customFormat="false" ht="15" hidden="false" customHeight="true" outlineLevel="0" collapsed="false">
      <c r="A665" s="11" t="str">
        <f aca="false">IF(원본명단!$A664="","",662)</f>
        <v/>
      </c>
      <c r="B665" s="12" t="str">
        <f aca="false">IF($A665="","",원본명단!$A664)</f>
        <v/>
      </c>
      <c r="C665" s="12" t="str">
        <f aca="false">IF($A665="","",원본명단!$B664)</f>
        <v/>
      </c>
      <c r="D665" s="12" t="str">
        <f aca="false">IF($A665="","",원본명단!$D664)</f>
        <v/>
      </c>
      <c r="E665" s="11" t="str">
        <f aca="false">IF($A665="","",IF(원본명단!$H664="",0,COUNTIF(원본명단!$H$3:$H$6002,원본명단!$H664)))</f>
        <v/>
      </c>
      <c r="F665" s="11" t="str">
        <f aca="false">IF($A665="","",IF(원본명단!$I664="",0,COUNTIF(원본명단!$I$3:$I$6002,원본명단!$I664)))</f>
        <v/>
      </c>
      <c r="G665" s="11" t="str">
        <f aca="false">IF($A665="","",IF(원본명단!$K664="",0,COUNTIF(원본명단!$K$3:$K$6002,원본명단!$K664)))</f>
        <v/>
      </c>
      <c r="H665" s="11" t="str">
        <f aca="false">IF($A665="","",IF(MAX($E665,$F665,$G665)&gt;1,"중복","-"))</f>
        <v/>
      </c>
      <c r="I665" s="11" t="str">
        <f aca="false">IF($A665="","",IF($H665="-","-",IF(AND(IF(원본명단!$H664="",TRUE(),COUNTIF(원본명단!$H$3:$H664,원본명단!$H664)=1),IF(원본명단!$I664="",TRUE(),COUNTIF(원본명단!$I$3:$I664,원본명단!$I664)=1),IF(원본명단!$K664="",TRUE(),COUNTIF(원본명단!$K$3:$K664,원본명단!$K664)=1)),"첫 건","중복 건")))</f>
        <v/>
      </c>
      <c r="J665" s="11" t="str">
        <f aca="false">IF($A665="","",IF($H665="-","유지",IF($I665="첫 건","유지","확인 필요")))</f>
        <v/>
      </c>
    </row>
    <row r="666" customFormat="false" ht="15" hidden="false" customHeight="true" outlineLevel="0" collapsed="false">
      <c r="A666" s="11" t="str">
        <f aca="false">IF(원본명단!$A665="","",663)</f>
        <v/>
      </c>
      <c r="B666" s="12" t="str">
        <f aca="false">IF($A666="","",원본명단!$A665)</f>
        <v/>
      </c>
      <c r="C666" s="12" t="str">
        <f aca="false">IF($A666="","",원본명단!$B665)</f>
        <v/>
      </c>
      <c r="D666" s="12" t="str">
        <f aca="false">IF($A666="","",원본명단!$D665)</f>
        <v/>
      </c>
      <c r="E666" s="11" t="str">
        <f aca="false">IF($A666="","",IF(원본명단!$H665="",0,COUNTIF(원본명단!$H$3:$H$6002,원본명단!$H665)))</f>
        <v/>
      </c>
      <c r="F666" s="11" t="str">
        <f aca="false">IF($A666="","",IF(원본명단!$I665="",0,COUNTIF(원본명단!$I$3:$I$6002,원본명단!$I665)))</f>
        <v/>
      </c>
      <c r="G666" s="11" t="str">
        <f aca="false">IF($A666="","",IF(원본명단!$K665="",0,COUNTIF(원본명단!$K$3:$K$6002,원본명단!$K665)))</f>
        <v/>
      </c>
      <c r="H666" s="11" t="str">
        <f aca="false">IF($A666="","",IF(MAX($E666,$F666,$G666)&gt;1,"중복","-"))</f>
        <v/>
      </c>
      <c r="I666" s="11" t="str">
        <f aca="false">IF($A666="","",IF($H666="-","-",IF(AND(IF(원본명단!$H665="",TRUE(),COUNTIF(원본명단!$H$3:$H665,원본명단!$H665)=1),IF(원본명단!$I665="",TRUE(),COUNTIF(원본명단!$I$3:$I665,원본명단!$I665)=1),IF(원본명단!$K665="",TRUE(),COUNTIF(원본명단!$K$3:$K665,원본명단!$K665)=1)),"첫 건","중복 건")))</f>
        <v/>
      </c>
      <c r="J666" s="11" t="str">
        <f aca="false">IF($A666="","",IF($H666="-","유지",IF($I666="첫 건","유지","확인 필요")))</f>
        <v/>
      </c>
    </row>
    <row r="667" customFormat="false" ht="15" hidden="false" customHeight="true" outlineLevel="0" collapsed="false">
      <c r="A667" s="11" t="str">
        <f aca="false">IF(원본명단!$A666="","",664)</f>
        <v/>
      </c>
      <c r="B667" s="12" t="str">
        <f aca="false">IF($A667="","",원본명단!$A666)</f>
        <v/>
      </c>
      <c r="C667" s="12" t="str">
        <f aca="false">IF($A667="","",원본명단!$B666)</f>
        <v/>
      </c>
      <c r="D667" s="12" t="str">
        <f aca="false">IF($A667="","",원본명단!$D666)</f>
        <v/>
      </c>
      <c r="E667" s="11" t="str">
        <f aca="false">IF($A667="","",IF(원본명단!$H666="",0,COUNTIF(원본명단!$H$3:$H$6002,원본명단!$H666)))</f>
        <v/>
      </c>
      <c r="F667" s="11" t="str">
        <f aca="false">IF($A667="","",IF(원본명단!$I666="",0,COUNTIF(원본명단!$I$3:$I$6002,원본명단!$I666)))</f>
        <v/>
      </c>
      <c r="G667" s="11" t="str">
        <f aca="false">IF($A667="","",IF(원본명단!$K666="",0,COUNTIF(원본명단!$K$3:$K$6002,원본명단!$K666)))</f>
        <v/>
      </c>
      <c r="H667" s="11" t="str">
        <f aca="false">IF($A667="","",IF(MAX($E667,$F667,$G667)&gt;1,"중복","-"))</f>
        <v/>
      </c>
      <c r="I667" s="11" t="str">
        <f aca="false">IF($A667="","",IF($H667="-","-",IF(AND(IF(원본명단!$H666="",TRUE(),COUNTIF(원본명단!$H$3:$H666,원본명단!$H666)=1),IF(원본명단!$I666="",TRUE(),COUNTIF(원본명단!$I$3:$I666,원본명단!$I666)=1),IF(원본명단!$K666="",TRUE(),COUNTIF(원본명단!$K$3:$K666,원본명단!$K666)=1)),"첫 건","중복 건")))</f>
        <v/>
      </c>
      <c r="J667" s="11" t="str">
        <f aca="false">IF($A667="","",IF($H667="-","유지",IF($I667="첫 건","유지","확인 필요")))</f>
        <v/>
      </c>
    </row>
    <row r="668" customFormat="false" ht="15" hidden="false" customHeight="true" outlineLevel="0" collapsed="false">
      <c r="A668" s="11" t="str">
        <f aca="false">IF(원본명단!$A667="","",665)</f>
        <v/>
      </c>
      <c r="B668" s="12" t="str">
        <f aca="false">IF($A668="","",원본명단!$A667)</f>
        <v/>
      </c>
      <c r="C668" s="12" t="str">
        <f aca="false">IF($A668="","",원본명단!$B667)</f>
        <v/>
      </c>
      <c r="D668" s="12" t="str">
        <f aca="false">IF($A668="","",원본명단!$D667)</f>
        <v/>
      </c>
      <c r="E668" s="11" t="str">
        <f aca="false">IF($A668="","",IF(원본명단!$H667="",0,COUNTIF(원본명단!$H$3:$H$6002,원본명단!$H667)))</f>
        <v/>
      </c>
      <c r="F668" s="11" t="str">
        <f aca="false">IF($A668="","",IF(원본명단!$I667="",0,COUNTIF(원본명단!$I$3:$I$6002,원본명단!$I667)))</f>
        <v/>
      </c>
      <c r="G668" s="11" t="str">
        <f aca="false">IF($A668="","",IF(원본명단!$K667="",0,COUNTIF(원본명단!$K$3:$K$6002,원본명단!$K667)))</f>
        <v/>
      </c>
      <c r="H668" s="11" t="str">
        <f aca="false">IF($A668="","",IF(MAX($E668,$F668,$G668)&gt;1,"중복","-"))</f>
        <v/>
      </c>
      <c r="I668" s="11" t="str">
        <f aca="false">IF($A668="","",IF($H668="-","-",IF(AND(IF(원본명단!$H667="",TRUE(),COUNTIF(원본명단!$H$3:$H667,원본명단!$H667)=1),IF(원본명단!$I667="",TRUE(),COUNTIF(원본명단!$I$3:$I667,원본명단!$I667)=1),IF(원본명단!$K667="",TRUE(),COUNTIF(원본명단!$K$3:$K667,원본명단!$K667)=1)),"첫 건","중복 건")))</f>
        <v/>
      </c>
      <c r="J668" s="11" t="str">
        <f aca="false">IF($A668="","",IF($H668="-","유지",IF($I668="첫 건","유지","확인 필요")))</f>
        <v/>
      </c>
    </row>
    <row r="669" customFormat="false" ht="15" hidden="false" customHeight="true" outlineLevel="0" collapsed="false">
      <c r="A669" s="11" t="str">
        <f aca="false">IF(원본명단!$A668="","",666)</f>
        <v/>
      </c>
      <c r="B669" s="12" t="str">
        <f aca="false">IF($A669="","",원본명단!$A668)</f>
        <v/>
      </c>
      <c r="C669" s="12" t="str">
        <f aca="false">IF($A669="","",원본명단!$B668)</f>
        <v/>
      </c>
      <c r="D669" s="12" t="str">
        <f aca="false">IF($A669="","",원본명단!$D668)</f>
        <v/>
      </c>
      <c r="E669" s="11" t="str">
        <f aca="false">IF($A669="","",IF(원본명단!$H668="",0,COUNTIF(원본명단!$H$3:$H$6002,원본명단!$H668)))</f>
        <v/>
      </c>
      <c r="F669" s="11" t="str">
        <f aca="false">IF($A669="","",IF(원본명단!$I668="",0,COUNTIF(원본명단!$I$3:$I$6002,원본명단!$I668)))</f>
        <v/>
      </c>
      <c r="G669" s="11" t="str">
        <f aca="false">IF($A669="","",IF(원본명단!$K668="",0,COUNTIF(원본명단!$K$3:$K$6002,원본명단!$K668)))</f>
        <v/>
      </c>
      <c r="H669" s="11" t="str">
        <f aca="false">IF($A669="","",IF(MAX($E669,$F669,$G669)&gt;1,"중복","-"))</f>
        <v/>
      </c>
      <c r="I669" s="11" t="str">
        <f aca="false">IF($A669="","",IF($H669="-","-",IF(AND(IF(원본명단!$H668="",TRUE(),COUNTIF(원본명단!$H$3:$H668,원본명단!$H668)=1),IF(원본명단!$I668="",TRUE(),COUNTIF(원본명단!$I$3:$I668,원본명단!$I668)=1),IF(원본명단!$K668="",TRUE(),COUNTIF(원본명단!$K$3:$K668,원본명단!$K668)=1)),"첫 건","중복 건")))</f>
        <v/>
      </c>
      <c r="J669" s="11" t="str">
        <f aca="false">IF($A669="","",IF($H669="-","유지",IF($I669="첫 건","유지","확인 필요")))</f>
        <v/>
      </c>
    </row>
    <row r="670" customFormat="false" ht="15" hidden="false" customHeight="true" outlineLevel="0" collapsed="false">
      <c r="A670" s="11" t="str">
        <f aca="false">IF(원본명단!$A669="","",667)</f>
        <v/>
      </c>
      <c r="B670" s="12" t="str">
        <f aca="false">IF($A670="","",원본명단!$A669)</f>
        <v/>
      </c>
      <c r="C670" s="12" t="str">
        <f aca="false">IF($A670="","",원본명단!$B669)</f>
        <v/>
      </c>
      <c r="D670" s="12" t="str">
        <f aca="false">IF($A670="","",원본명단!$D669)</f>
        <v/>
      </c>
      <c r="E670" s="11" t="str">
        <f aca="false">IF($A670="","",IF(원본명단!$H669="",0,COUNTIF(원본명단!$H$3:$H$6002,원본명단!$H669)))</f>
        <v/>
      </c>
      <c r="F670" s="11" t="str">
        <f aca="false">IF($A670="","",IF(원본명단!$I669="",0,COUNTIF(원본명단!$I$3:$I$6002,원본명단!$I669)))</f>
        <v/>
      </c>
      <c r="G670" s="11" t="str">
        <f aca="false">IF($A670="","",IF(원본명단!$K669="",0,COUNTIF(원본명단!$K$3:$K$6002,원본명단!$K669)))</f>
        <v/>
      </c>
      <c r="H670" s="11" t="str">
        <f aca="false">IF($A670="","",IF(MAX($E670,$F670,$G670)&gt;1,"중복","-"))</f>
        <v/>
      </c>
      <c r="I670" s="11" t="str">
        <f aca="false">IF($A670="","",IF($H670="-","-",IF(AND(IF(원본명단!$H669="",TRUE(),COUNTIF(원본명단!$H$3:$H669,원본명단!$H669)=1),IF(원본명단!$I669="",TRUE(),COUNTIF(원본명단!$I$3:$I669,원본명단!$I669)=1),IF(원본명단!$K669="",TRUE(),COUNTIF(원본명단!$K$3:$K669,원본명단!$K669)=1)),"첫 건","중복 건")))</f>
        <v/>
      </c>
      <c r="J670" s="11" t="str">
        <f aca="false">IF($A670="","",IF($H670="-","유지",IF($I670="첫 건","유지","확인 필요")))</f>
        <v/>
      </c>
    </row>
    <row r="671" customFormat="false" ht="15" hidden="false" customHeight="true" outlineLevel="0" collapsed="false">
      <c r="A671" s="11" t="str">
        <f aca="false">IF(원본명단!$A670="","",668)</f>
        <v/>
      </c>
      <c r="B671" s="12" t="str">
        <f aca="false">IF($A671="","",원본명단!$A670)</f>
        <v/>
      </c>
      <c r="C671" s="12" t="str">
        <f aca="false">IF($A671="","",원본명단!$B670)</f>
        <v/>
      </c>
      <c r="D671" s="12" t="str">
        <f aca="false">IF($A671="","",원본명단!$D670)</f>
        <v/>
      </c>
      <c r="E671" s="11" t="str">
        <f aca="false">IF($A671="","",IF(원본명단!$H670="",0,COUNTIF(원본명단!$H$3:$H$6002,원본명단!$H670)))</f>
        <v/>
      </c>
      <c r="F671" s="11" t="str">
        <f aca="false">IF($A671="","",IF(원본명단!$I670="",0,COUNTIF(원본명단!$I$3:$I$6002,원본명단!$I670)))</f>
        <v/>
      </c>
      <c r="G671" s="11" t="str">
        <f aca="false">IF($A671="","",IF(원본명단!$K670="",0,COUNTIF(원본명단!$K$3:$K$6002,원본명단!$K670)))</f>
        <v/>
      </c>
      <c r="H671" s="11" t="str">
        <f aca="false">IF($A671="","",IF(MAX($E671,$F671,$G671)&gt;1,"중복","-"))</f>
        <v/>
      </c>
      <c r="I671" s="11" t="str">
        <f aca="false">IF($A671="","",IF($H671="-","-",IF(AND(IF(원본명단!$H670="",TRUE(),COUNTIF(원본명단!$H$3:$H670,원본명단!$H670)=1),IF(원본명단!$I670="",TRUE(),COUNTIF(원본명단!$I$3:$I670,원본명단!$I670)=1),IF(원본명단!$K670="",TRUE(),COUNTIF(원본명단!$K$3:$K670,원본명단!$K670)=1)),"첫 건","중복 건")))</f>
        <v/>
      </c>
      <c r="J671" s="11" t="str">
        <f aca="false">IF($A671="","",IF($H671="-","유지",IF($I671="첫 건","유지","확인 필요")))</f>
        <v/>
      </c>
    </row>
    <row r="672" customFormat="false" ht="15" hidden="false" customHeight="true" outlineLevel="0" collapsed="false">
      <c r="A672" s="11" t="str">
        <f aca="false">IF(원본명단!$A671="","",669)</f>
        <v/>
      </c>
      <c r="B672" s="12" t="str">
        <f aca="false">IF($A672="","",원본명단!$A671)</f>
        <v/>
      </c>
      <c r="C672" s="12" t="str">
        <f aca="false">IF($A672="","",원본명단!$B671)</f>
        <v/>
      </c>
      <c r="D672" s="12" t="str">
        <f aca="false">IF($A672="","",원본명단!$D671)</f>
        <v/>
      </c>
      <c r="E672" s="11" t="str">
        <f aca="false">IF($A672="","",IF(원본명단!$H671="",0,COUNTIF(원본명단!$H$3:$H$6002,원본명단!$H671)))</f>
        <v/>
      </c>
      <c r="F672" s="11" t="str">
        <f aca="false">IF($A672="","",IF(원본명단!$I671="",0,COUNTIF(원본명단!$I$3:$I$6002,원본명단!$I671)))</f>
        <v/>
      </c>
      <c r="G672" s="11" t="str">
        <f aca="false">IF($A672="","",IF(원본명단!$K671="",0,COUNTIF(원본명단!$K$3:$K$6002,원본명단!$K671)))</f>
        <v/>
      </c>
      <c r="H672" s="11" t="str">
        <f aca="false">IF($A672="","",IF(MAX($E672,$F672,$G672)&gt;1,"중복","-"))</f>
        <v/>
      </c>
      <c r="I672" s="11" t="str">
        <f aca="false">IF($A672="","",IF($H672="-","-",IF(AND(IF(원본명단!$H671="",TRUE(),COUNTIF(원본명단!$H$3:$H671,원본명단!$H671)=1),IF(원본명단!$I671="",TRUE(),COUNTIF(원본명단!$I$3:$I671,원본명단!$I671)=1),IF(원본명단!$K671="",TRUE(),COUNTIF(원본명단!$K$3:$K671,원본명단!$K671)=1)),"첫 건","중복 건")))</f>
        <v/>
      </c>
      <c r="J672" s="11" t="str">
        <f aca="false">IF($A672="","",IF($H672="-","유지",IF($I672="첫 건","유지","확인 필요")))</f>
        <v/>
      </c>
    </row>
    <row r="673" customFormat="false" ht="15" hidden="false" customHeight="true" outlineLevel="0" collapsed="false">
      <c r="A673" s="11" t="str">
        <f aca="false">IF(원본명단!$A672="","",670)</f>
        <v/>
      </c>
      <c r="B673" s="12" t="str">
        <f aca="false">IF($A673="","",원본명단!$A672)</f>
        <v/>
      </c>
      <c r="C673" s="12" t="str">
        <f aca="false">IF($A673="","",원본명단!$B672)</f>
        <v/>
      </c>
      <c r="D673" s="12" t="str">
        <f aca="false">IF($A673="","",원본명단!$D672)</f>
        <v/>
      </c>
      <c r="E673" s="11" t="str">
        <f aca="false">IF($A673="","",IF(원본명단!$H672="",0,COUNTIF(원본명단!$H$3:$H$6002,원본명단!$H672)))</f>
        <v/>
      </c>
      <c r="F673" s="11" t="str">
        <f aca="false">IF($A673="","",IF(원본명단!$I672="",0,COUNTIF(원본명단!$I$3:$I$6002,원본명단!$I672)))</f>
        <v/>
      </c>
      <c r="G673" s="11" t="str">
        <f aca="false">IF($A673="","",IF(원본명단!$K672="",0,COUNTIF(원본명단!$K$3:$K$6002,원본명단!$K672)))</f>
        <v/>
      </c>
      <c r="H673" s="11" t="str">
        <f aca="false">IF($A673="","",IF(MAX($E673,$F673,$G673)&gt;1,"중복","-"))</f>
        <v/>
      </c>
      <c r="I673" s="11" t="str">
        <f aca="false">IF($A673="","",IF($H673="-","-",IF(AND(IF(원본명단!$H672="",TRUE(),COUNTIF(원본명단!$H$3:$H672,원본명단!$H672)=1),IF(원본명단!$I672="",TRUE(),COUNTIF(원본명단!$I$3:$I672,원본명단!$I672)=1),IF(원본명단!$K672="",TRUE(),COUNTIF(원본명단!$K$3:$K672,원본명단!$K672)=1)),"첫 건","중복 건")))</f>
        <v/>
      </c>
      <c r="J673" s="11" t="str">
        <f aca="false">IF($A673="","",IF($H673="-","유지",IF($I673="첫 건","유지","확인 필요")))</f>
        <v/>
      </c>
    </row>
    <row r="674" customFormat="false" ht="15" hidden="false" customHeight="true" outlineLevel="0" collapsed="false">
      <c r="A674" s="11" t="str">
        <f aca="false">IF(원본명단!$A673="","",671)</f>
        <v/>
      </c>
      <c r="B674" s="12" t="str">
        <f aca="false">IF($A674="","",원본명단!$A673)</f>
        <v/>
      </c>
      <c r="C674" s="12" t="str">
        <f aca="false">IF($A674="","",원본명단!$B673)</f>
        <v/>
      </c>
      <c r="D674" s="12" t="str">
        <f aca="false">IF($A674="","",원본명단!$D673)</f>
        <v/>
      </c>
      <c r="E674" s="11" t="str">
        <f aca="false">IF($A674="","",IF(원본명단!$H673="",0,COUNTIF(원본명단!$H$3:$H$6002,원본명단!$H673)))</f>
        <v/>
      </c>
      <c r="F674" s="11" t="str">
        <f aca="false">IF($A674="","",IF(원본명단!$I673="",0,COUNTIF(원본명단!$I$3:$I$6002,원본명단!$I673)))</f>
        <v/>
      </c>
      <c r="G674" s="11" t="str">
        <f aca="false">IF($A674="","",IF(원본명단!$K673="",0,COUNTIF(원본명단!$K$3:$K$6002,원본명단!$K673)))</f>
        <v/>
      </c>
      <c r="H674" s="11" t="str">
        <f aca="false">IF($A674="","",IF(MAX($E674,$F674,$G674)&gt;1,"중복","-"))</f>
        <v/>
      </c>
      <c r="I674" s="11" t="str">
        <f aca="false">IF($A674="","",IF($H674="-","-",IF(AND(IF(원본명단!$H673="",TRUE(),COUNTIF(원본명단!$H$3:$H673,원본명단!$H673)=1),IF(원본명단!$I673="",TRUE(),COUNTIF(원본명단!$I$3:$I673,원본명단!$I673)=1),IF(원본명단!$K673="",TRUE(),COUNTIF(원본명단!$K$3:$K673,원본명단!$K673)=1)),"첫 건","중복 건")))</f>
        <v/>
      </c>
      <c r="J674" s="11" t="str">
        <f aca="false">IF($A674="","",IF($H674="-","유지",IF($I674="첫 건","유지","확인 필요")))</f>
        <v/>
      </c>
    </row>
    <row r="675" customFormat="false" ht="15" hidden="false" customHeight="true" outlineLevel="0" collapsed="false">
      <c r="A675" s="11" t="str">
        <f aca="false">IF(원본명단!$A674="","",672)</f>
        <v/>
      </c>
      <c r="B675" s="12" t="str">
        <f aca="false">IF($A675="","",원본명단!$A674)</f>
        <v/>
      </c>
      <c r="C675" s="12" t="str">
        <f aca="false">IF($A675="","",원본명단!$B674)</f>
        <v/>
      </c>
      <c r="D675" s="12" t="str">
        <f aca="false">IF($A675="","",원본명단!$D674)</f>
        <v/>
      </c>
      <c r="E675" s="11" t="str">
        <f aca="false">IF($A675="","",IF(원본명단!$H674="",0,COUNTIF(원본명단!$H$3:$H$6002,원본명단!$H674)))</f>
        <v/>
      </c>
      <c r="F675" s="11" t="str">
        <f aca="false">IF($A675="","",IF(원본명단!$I674="",0,COUNTIF(원본명단!$I$3:$I$6002,원본명단!$I674)))</f>
        <v/>
      </c>
      <c r="G675" s="11" t="str">
        <f aca="false">IF($A675="","",IF(원본명단!$K674="",0,COUNTIF(원본명단!$K$3:$K$6002,원본명단!$K674)))</f>
        <v/>
      </c>
      <c r="H675" s="11" t="str">
        <f aca="false">IF($A675="","",IF(MAX($E675,$F675,$G675)&gt;1,"중복","-"))</f>
        <v/>
      </c>
      <c r="I675" s="11" t="str">
        <f aca="false">IF($A675="","",IF($H675="-","-",IF(AND(IF(원본명단!$H674="",TRUE(),COUNTIF(원본명단!$H$3:$H674,원본명단!$H674)=1),IF(원본명단!$I674="",TRUE(),COUNTIF(원본명단!$I$3:$I674,원본명단!$I674)=1),IF(원본명단!$K674="",TRUE(),COUNTIF(원본명단!$K$3:$K674,원본명단!$K674)=1)),"첫 건","중복 건")))</f>
        <v/>
      </c>
      <c r="J675" s="11" t="str">
        <f aca="false">IF($A675="","",IF($H675="-","유지",IF($I675="첫 건","유지","확인 필요")))</f>
        <v/>
      </c>
    </row>
    <row r="676" customFormat="false" ht="15" hidden="false" customHeight="true" outlineLevel="0" collapsed="false">
      <c r="A676" s="11" t="str">
        <f aca="false">IF(원본명단!$A675="","",673)</f>
        <v/>
      </c>
      <c r="B676" s="12" t="str">
        <f aca="false">IF($A676="","",원본명단!$A675)</f>
        <v/>
      </c>
      <c r="C676" s="12" t="str">
        <f aca="false">IF($A676="","",원본명단!$B675)</f>
        <v/>
      </c>
      <c r="D676" s="12" t="str">
        <f aca="false">IF($A676="","",원본명단!$D675)</f>
        <v/>
      </c>
      <c r="E676" s="11" t="str">
        <f aca="false">IF($A676="","",IF(원본명단!$H675="",0,COUNTIF(원본명단!$H$3:$H$6002,원본명단!$H675)))</f>
        <v/>
      </c>
      <c r="F676" s="11" t="str">
        <f aca="false">IF($A676="","",IF(원본명단!$I675="",0,COUNTIF(원본명단!$I$3:$I$6002,원본명단!$I675)))</f>
        <v/>
      </c>
      <c r="G676" s="11" t="str">
        <f aca="false">IF($A676="","",IF(원본명단!$K675="",0,COUNTIF(원본명단!$K$3:$K$6002,원본명단!$K675)))</f>
        <v/>
      </c>
      <c r="H676" s="11" t="str">
        <f aca="false">IF($A676="","",IF(MAX($E676,$F676,$G676)&gt;1,"중복","-"))</f>
        <v/>
      </c>
      <c r="I676" s="11" t="str">
        <f aca="false">IF($A676="","",IF($H676="-","-",IF(AND(IF(원본명단!$H675="",TRUE(),COUNTIF(원본명단!$H$3:$H675,원본명단!$H675)=1),IF(원본명단!$I675="",TRUE(),COUNTIF(원본명단!$I$3:$I675,원본명단!$I675)=1),IF(원본명단!$K675="",TRUE(),COUNTIF(원본명단!$K$3:$K675,원본명단!$K675)=1)),"첫 건","중복 건")))</f>
        <v/>
      </c>
      <c r="J676" s="11" t="str">
        <f aca="false">IF($A676="","",IF($H676="-","유지",IF($I676="첫 건","유지","확인 필요")))</f>
        <v/>
      </c>
    </row>
    <row r="677" customFormat="false" ht="15" hidden="false" customHeight="true" outlineLevel="0" collapsed="false">
      <c r="A677" s="11" t="str">
        <f aca="false">IF(원본명단!$A676="","",674)</f>
        <v/>
      </c>
      <c r="B677" s="12" t="str">
        <f aca="false">IF($A677="","",원본명단!$A676)</f>
        <v/>
      </c>
      <c r="C677" s="12" t="str">
        <f aca="false">IF($A677="","",원본명단!$B676)</f>
        <v/>
      </c>
      <c r="D677" s="12" t="str">
        <f aca="false">IF($A677="","",원본명단!$D676)</f>
        <v/>
      </c>
      <c r="E677" s="11" t="str">
        <f aca="false">IF($A677="","",IF(원본명단!$H676="",0,COUNTIF(원본명단!$H$3:$H$6002,원본명단!$H676)))</f>
        <v/>
      </c>
      <c r="F677" s="11" t="str">
        <f aca="false">IF($A677="","",IF(원본명단!$I676="",0,COUNTIF(원본명단!$I$3:$I$6002,원본명단!$I676)))</f>
        <v/>
      </c>
      <c r="G677" s="11" t="str">
        <f aca="false">IF($A677="","",IF(원본명단!$K676="",0,COUNTIF(원본명단!$K$3:$K$6002,원본명단!$K676)))</f>
        <v/>
      </c>
      <c r="H677" s="11" t="str">
        <f aca="false">IF($A677="","",IF(MAX($E677,$F677,$G677)&gt;1,"중복","-"))</f>
        <v/>
      </c>
      <c r="I677" s="11" t="str">
        <f aca="false">IF($A677="","",IF($H677="-","-",IF(AND(IF(원본명단!$H676="",TRUE(),COUNTIF(원본명단!$H$3:$H676,원본명단!$H676)=1),IF(원본명단!$I676="",TRUE(),COUNTIF(원본명단!$I$3:$I676,원본명단!$I676)=1),IF(원본명단!$K676="",TRUE(),COUNTIF(원본명단!$K$3:$K676,원본명단!$K676)=1)),"첫 건","중복 건")))</f>
        <v/>
      </c>
      <c r="J677" s="11" t="str">
        <f aca="false">IF($A677="","",IF($H677="-","유지",IF($I677="첫 건","유지","확인 필요")))</f>
        <v/>
      </c>
    </row>
    <row r="678" customFormat="false" ht="15" hidden="false" customHeight="true" outlineLevel="0" collapsed="false">
      <c r="A678" s="11" t="str">
        <f aca="false">IF(원본명단!$A677="","",675)</f>
        <v/>
      </c>
      <c r="B678" s="12" t="str">
        <f aca="false">IF($A678="","",원본명단!$A677)</f>
        <v/>
      </c>
      <c r="C678" s="12" t="str">
        <f aca="false">IF($A678="","",원본명단!$B677)</f>
        <v/>
      </c>
      <c r="D678" s="12" t="str">
        <f aca="false">IF($A678="","",원본명단!$D677)</f>
        <v/>
      </c>
      <c r="E678" s="11" t="str">
        <f aca="false">IF($A678="","",IF(원본명단!$H677="",0,COUNTIF(원본명단!$H$3:$H$6002,원본명단!$H677)))</f>
        <v/>
      </c>
      <c r="F678" s="11" t="str">
        <f aca="false">IF($A678="","",IF(원본명단!$I677="",0,COUNTIF(원본명단!$I$3:$I$6002,원본명단!$I677)))</f>
        <v/>
      </c>
      <c r="G678" s="11" t="str">
        <f aca="false">IF($A678="","",IF(원본명단!$K677="",0,COUNTIF(원본명단!$K$3:$K$6002,원본명단!$K677)))</f>
        <v/>
      </c>
      <c r="H678" s="11" t="str">
        <f aca="false">IF($A678="","",IF(MAX($E678,$F678,$G678)&gt;1,"중복","-"))</f>
        <v/>
      </c>
      <c r="I678" s="11" t="str">
        <f aca="false">IF($A678="","",IF($H678="-","-",IF(AND(IF(원본명단!$H677="",TRUE(),COUNTIF(원본명단!$H$3:$H677,원본명단!$H677)=1),IF(원본명단!$I677="",TRUE(),COUNTIF(원본명단!$I$3:$I677,원본명단!$I677)=1),IF(원본명단!$K677="",TRUE(),COUNTIF(원본명단!$K$3:$K677,원본명단!$K677)=1)),"첫 건","중복 건")))</f>
        <v/>
      </c>
      <c r="J678" s="11" t="str">
        <f aca="false">IF($A678="","",IF($H678="-","유지",IF($I678="첫 건","유지","확인 필요")))</f>
        <v/>
      </c>
    </row>
    <row r="679" customFormat="false" ht="15" hidden="false" customHeight="true" outlineLevel="0" collapsed="false">
      <c r="A679" s="11" t="str">
        <f aca="false">IF(원본명단!$A678="","",676)</f>
        <v/>
      </c>
      <c r="B679" s="12" t="str">
        <f aca="false">IF($A679="","",원본명단!$A678)</f>
        <v/>
      </c>
      <c r="C679" s="12" t="str">
        <f aca="false">IF($A679="","",원본명단!$B678)</f>
        <v/>
      </c>
      <c r="D679" s="12" t="str">
        <f aca="false">IF($A679="","",원본명단!$D678)</f>
        <v/>
      </c>
      <c r="E679" s="11" t="str">
        <f aca="false">IF($A679="","",IF(원본명단!$H678="",0,COUNTIF(원본명단!$H$3:$H$6002,원본명단!$H678)))</f>
        <v/>
      </c>
      <c r="F679" s="11" t="str">
        <f aca="false">IF($A679="","",IF(원본명단!$I678="",0,COUNTIF(원본명단!$I$3:$I$6002,원본명단!$I678)))</f>
        <v/>
      </c>
      <c r="G679" s="11" t="str">
        <f aca="false">IF($A679="","",IF(원본명단!$K678="",0,COUNTIF(원본명단!$K$3:$K$6002,원본명단!$K678)))</f>
        <v/>
      </c>
      <c r="H679" s="11" t="str">
        <f aca="false">IF($A679="","",IF(MAX($E679,$F679,$G679)&gt;1,"중복","-"))</f>
        <v/>
      </c>
      <c r="I679" s="11" t="str">
        <f aca="false">IF($A679="","",IF($H679="-","-",IF(AND(IF(원본명단!$H678="",TRUE(),COUNTIF(원본명단!$H$3:$H678,원본명단!$H678)=1),IF(원본명단!$I678="",TRUE(),COUNTIF(원본명단!$I$3:$I678,원본명단!$I678)=1),IF(원본명단!$K678="",TRUE(),COUNTIF(원본명단!$K$3:$K678,원본명단!$K678)=1)),"첫 건","중복 건")))</f>
        <v/>
      </c>
      <c r="J679" s="11" t="str">
        <f aca="false">IF($A679="","",IF($H679="-","유지",IF($I679="첫 건","유지","확인 필요")))</f>
        <v/>
      </c>
    </row>
    <row r="680" customFormat="false" ht="15" hidden="false" customHeight="true" outlineLevel="0" collapsed="false">
      <c r="A680" s="11" t="str">
        <f aca="false">IF(원본명단!$A679="","",677)</f>
        <v/>
      </c>
      <c r="B680" s="12" t="str">
        <f aca="false">IF($A680="","",원본명단!$A679)</f>
        <v/>
      </c>
      <c r="C680" s="12" t="str">
        <f aca="false">IF($A680="","",원본명단!$B679)</f>
        <v/>
      </c>
      <c r="D680" s="12" t="str">
        <f aca="false">IF($A680="","",원본명단!$D679)</f>
        <v/>
      </c>
      <c r="E680" s="11" t="str">
        <f aca="false">IF($A680="","",IF(원본명단!$H679="",0,COUNTIF(원본명단!$H$3:$H$6002,원본명단!$H679)))</f>
        <v/>
      </c>
      <c r="F680" s="11" t="str">
        <f aca="false">IF($A680="","",IF(원본명단!$I679="",0,COUNTIF(원본명단!$I$3:$I$6002,원본명단!$I679)))</f>
        <v/>
      </c>
      <c r="G680" s="11" t="str">
        <f aca="false">IF($A680="","",IF(원본명단!$K679="",0,COUNTIF(원본명단!$K$3:$K$6002,원본명단!$K679)))</f>
        <v/>
      </c>
      <c r="H680" s="11" t="str">
        <f aca="false">IF($A680="","",IF(MAX($E680,$F680,$G680)&gt;1,"중복","-"))</f>
        <v/>
      </c>
      <c r="I680" s="11" t="str">
        <f aca="false">IF($A680="","",IF($H680="-","-",IF(AND(IF(원본명단!$H679="",TRUE(),COUNTIF(원본명단!$H$3:$H679,원본명단!$H679)=1),IF(원본명단!$I679="",TRUE(),COUNTIF(원본명단!$I$3:$I679,원본명단!$I679)=1),IF(원본명단!$K679="",TRUE(),COUNTIF(원본명단!$K$3:$K679,원본명단!$K679)=1)),"첫 건","중복 건")))</f>
        <v/>
      </c>
      <c r="J680" s="11" t="str">
        <f aca="false">IF($A680="","",IF($H680="-","유지",IF($I680="첫 건","유지","확인 필요")))</f>
        <v/>
      </c>
    </row>
    <row r="681" customFormat="false" ht="15" hidden="false" customHeight="true" outlineLevel="0" collapsed="false">
      <c r="A681" s="11" t="str">
        <f aca="false">IF(원본명단!$A680="","",678)</f>
        <v/>
      </c>
      <c r="B681" s="12" t="str">
        <f aca="false">IF($A681="","",원본명단!$A680)</f>
        <v/>
      </c>
      <c r="C681" s="12" t="str">
        <f aca="false">IF($A681="","",원본명단!$B680)</f>
        <v/>
      </c>
      <c r="D681" s="12" t="str">
        <f aca="false">IF($A681="","",원본명단!$D680)</f>
        <v/>
      </c>
      <c r="E681" s="11" t="str">
        <f aca="false">IF($A681="","",IF(원본명단!$H680="",0,COUNTIF(원본명단!$H$3:$H$6002,원본명단!$H680)))</f>
        <v/>
      </c>
      <c r="F681" s="11" t="str">
        <f aca="false">IF($A681="","",IF(원본명단!$I680="",0,COUNTIF(원본명단!$I$3:$I$6002,원본명단!$I680)))</f>
        <v/>
      </c>
      <c r="G681" s="11" t="str">
        <f aca="false">IF($A681="","",IF(원본명단!$K680="",0,COUNTIF(원본명단!$K$3:$K$6002,원본명단!$K680)))</f>
        <v/>
      </c>
      <c r="H681" s="11" t="str">
        <f aca="false">IF($A681="","",IF(MAX($E681,$F681,$G681)&gt;1,"중복","-"))</f>
        <v/>
      </c>
      <c r="I681" s="11" t="str">
        <f aca="false">IF($A681="","",IF($H681="-","-",IF(AND(IF(원본명단!$H680="",TRUE(),COUNTIF(원본명단!$H$3:$H680,원본명단!$H680)=1),IF(원본명단!$I680="",TRUE(),COUNTIF(원본명단!$I$3:$I680,원본명단!$I680)=1),IF(원본명단!$K680="",TRUE(),COUNTIF(원본명단!$K$3:$K680,원본명단!$K680)=1)),"첫 건","중복 건")))</f>
        <v/>
      </c>
      <c r="J681" s="11" t="str">
        <f aca="false">IF($A681="","",IF($H681="-","유지",IF($I681="첫 건","유지","확인 필요")))</f>
        <v/>
      </c>
    </row>
    <row r="682" customFormat="false" ht="15" hidden="false" customHeight="true" outlineLevel="0" collapsed="false">
      <c r="A682" s="11" t="str">
        <f aca="false">IF(원본명단!$A681="","",679)</f>
        <v/>
      </c>
      <c r="B682" s="12" t="str">
        <f aca="false">IF($A682="","",원본명단!$A681)</f>
        <v/>
      </c>
      <c r="C682" s="12" t="str">
        <f aca="false">IF($A682="","",원본명단!$B681)</f>
        <v/>
      </c>
      <c r="D682" s="12" t="str">
        <f aca="false">IF($A682="","",원본명단!$D681)</f>
        <v/>
      </c>
      <c r="E682" s="11" t="str">
        <f aca="false">IF($A682="","",IF(원본명단!$H681="",0,COUNTIF(원본명단!$H$3:$H$6002,원본명단!$H681)))</f>
        <v/>
      </c>
      <c r="F682" s="11" t="str">
        <f aca="false">IF($A682="","",IF(원본명단!$I681="",0,COUNTIF(원본명단!$I$3:$I$6002,원본명단!$I681)))</f>
        <v/>
      </c>
      <c r="G682" s="11" t="str">
        <f aca="false">IF($A682="","",IF(원본명단!$K681="",0,COUNTIF(원본명단!$K$3:$K$6002,원본명단!$K681)))</f>
        <v/>
      </c>
      <c r="H682" s="11" t="str">
        <f aca="false">IF($A682="","",IF(MAX($E682,$F682,$G682)&gt;1,"중복","-"))</f>
        <v/>
      </c>
      <c r="I682" s="11" t="str">
        <f aca="false">IF($A682="","",IF($H682="-","-",IF(AND(IF(원본명단!$H681="",TRUE(),COUNTIF(원본명단!$H$3:$H681,원본명단!$H681)=1),IF(원본명단!$I681="",TRUE(),COUNTIF(원본명단!$I$3:$I681,원본명단!$I681)=1),IF(원본명단!$K681="",TRUE(),COUNTIF(원본명단!$K$3:$K681,원본명단!$K681)=1)),"첫 건","중복 건")))</f>
        <v/>
      </c>
      <c r="J682" s="11" t="str">
        <f aca="false">IF($A682="","",IF($H682="-","유지",IF($I682="첫 건","유지","확인 필요")))</f>
        <v/>
      </c>
    </row>
    <row r="683" customFormat="false" ht="15" hidden="false" customHeight="true" outlineLevel="0" collapsed="false">
      <c r="A683" s="11" t="str">
        <f aca="false">IF(원본명단!$A682="","",680)</f>
        <v/>
      </c>
      <c r="B683" s="12" t="str">
        <f aca="false">IF($A683="","",원본명단!$A682)</f>
        <v/>
      </c>
      <c r="C683" s="12" t="str">
        <f aca="false">IF($A683="","",원본명단!$B682)</f>
        <v/>
      </c>
      <c r="D683" s="12" t="str">
        <f aca="false">IF($A683="","",원본명단!$D682)</f>
        <v/>
      </c>
      <c r="E683" s="11" t="str">
        <f aca="false">IF($A683="","",IF(원본명단!$H682="",0,COUNTIF(원본명단!$H$3:$H$6002,원본명단!$H682)))</f>
        <v/>
      </c>
      <c r="F683" s="11" t="str">
        <f aca="false">IF($A683="","",IF(원본명단!$I682="",0,COUNTIF(원본명단!$I$3:$I$6002,원본명단!$I682)))</f>
        <v/>
      </c>
      <c r="G683" s="11" t="str">
        <f aca="false">IF($A683="","",IF(원본명단!$K682="",0,COUNTIF(원본명단!$K$3:$K$6002,원본명단!$K682)))</f>
        <v/>
      </c>
      <c r="H683" s="11" t="str">
        <f aca="false">IF($A683="","",IF(MAX($E683,$F683,$G683)&gt;1,"중복","-"))</f>
        <v/>
      </c>
      <c r="I683" s="11" t="str">
        <f aca="false">IF($A683="","",IF($H683="-","-",IF(AND(IF(원본명단!$H682="",TRUE(),COUNTIF(원본명단!$H$3:$H682,원본명단!$H682)=1),IF(원본명단!$I682="",TRUE(),COUNTIF(원본명단!$I$3:$I682,원본명단!$I682)=1),IF(원본명단!$K682="",TRUE(),COUNTIF(원본명단!$K$3:$K682,원본명단!$K682)=1)),"첫 건","중복 건")))</f>
        <v/>
      </c>
      <c r="J683" s="11" t="str">
        <f aca="false">IF($A683="","",IF($H683="-","유지",IF($I683="첫 건","유지","확인 필요")))</f>
        <v/>
      </c>
    </row>
    <row r="684" customFormat="false" ht="15" hidden="false" customHeight="true" outlineLevel="0" collapsed="false">
      <c r="A684" s="11" t="str">
        <f aca="false">IF(원본명단!$A683="","",681)</f>
        <v/>
      </c>
      <c r="B684" s="12" t="str">
        <f aca="false">IF($A684="","",원본명단!$A683)</f>
        <v/>
      </c>
      <c r="C684" s="12" t="str">
        <f aca="false">IF($A684="","",원본명단!$B683)</f>
        <v/>
      </c>
      <c r="D684" s="12" t="str">
        <f aca="false">IF($A684="","",원본명단!$D683)</f>
        <v/>
      </c>
      <c r="E684" s="11" t="str">
        <f aca="false">IF($A684="","",IF(원본명단!$H683="",0,COUNTIF(원본명단!$H$3:$H$6002,원본명단!$H683)))</f>
        <v/>
      </c>
      <c r="F684" s="11" t="str">
        <f aca="false">IF($A684="","",IF(원본명단!$I683="",0,COUNTIF(원본명단!$I$3:$I$6002,원본명단!$I683)))</f>
        <v/>
      </c>
      <c r="G684" s="11" t="str">
        <f aca="false">IF($A684="","",IF(원본명단!$K683="",0,COUNTIF(원본명단!$K$3:$K$6002,원본명단!$K683)))</f>
        <v/>
      </c>
      <c r="H684" s="11" t="str">
        <f aca="false">IF($A684="","",IF(MAX($E684,$F684,$G684)&gt;1,"중복","-"))</f>
        <v/>
      </c>
      <c r="I684" s="11" t="str">
        <f aca="false">IF($A684="","",IF($H684="-","-",IF(AND(IF(원본명단!$H683="",TRUE(),COUNTIF(원본명단!$H$3:$H683,원본명단!$H683)=1),IF(원본명단!$I683="",TRUE(),COUNTIF(원본명단!$I$3:$I683,원본명단!$I683)=1),IF(원본명단!$K683="",TRUE(),COUNTIF(원본명단!$K$3:$K683,원본명단!$K683)=1)),"첫 건","중복 건")))</f>
        <v/>
      </c>
      <c r="J684" s="11" t="str">
        <f aca="false">IF($A684="","",IF($H684="-","유지",IF($I684="첫 건","유지","확인 필요")))</f>
        <v/>
      </c>
    </row>
    <row r="685" customFormat="false" ht="15" hidden="false" customHeight="true" outlineLevel="0" collapsed="false">
      <c r="A685" s="11" t="str">
        <f aca="false">IF(원본명단!$A684="","",682)</f>
        <v/>
      </c>
      <c r="B685" s="12" t="str">
        <f aca="false">IF($A685="","",원본명단!$A684)</f>
        <v/>
      </c>
      <c r="C685" s="12" t="str">
        <f aca="false">IF($A685="","",원본명단!$B684)</f>
        <v/>
      </c>
      <c r="D685" s="12" t="str">
        <f aca="false">IF($A685="","",원본명단!$D684)</f>
        <v/>
      </c>
      <c r="E685" s="11" t="str">
        <f aca="false">IF($A685="","",IF(원본명단!$H684="",0,COUNTIF(원본명단!$H$3:$H$6002,원본명단!$H684)))</f>
        <v/>
      </c>
      <c r="F685" s="11" t="str">
        <f aca="false">IF($A685="","",IF(원본명단!$I684="",0,COUNTIF(원본명단!$I$3:$I$6002,원본명단!$I684)))</f>
        <v/>
      </c>
      <c r="G685" s="11" t="str">
        <f aca="false">IF($A685="","",IF(원본명단!$K684="",0,COUNTIF(원본명단!$K$3:$K$6002,원본명단!$K684)))</f>
        <v/>
      </c>
      <c r="H685" s="11" t="str">
        <f aca="false">IF($A685="","",IF(MAX($E685,$F685,$G685)&gt;1,"중복","-"))</f>
        <v/>
      </c>
      <c r="I685" s="11" t="str">
        <f aca="false">IF($A685="","",IF($H685="-","-",IF(AND(IF(원본명단!$H684="",TRUE(),COUNTIF(원본명단!$H$3:$H684,원본명단!$H684)=1),IF(원본명단!$I684="",TRUE(),COUNTIF(원본명단!$I$3:$I684,원본명단!$I684)=1),IF(원본명단!$K684="",TRUE(),COUNTIF(원본명단!$K$3:$K684,원본명단!$K684)=1)),"첫 건","중복 건")))</f>
        <v/>
      </c>
      <c r="J685" s="11" t="str">
        <f aca="false">IF($A685="","",IF($H685="-","유지",IF($I685="첫 건","유지","확인 필요")))</f>
        <v/>
      </c>
    </row>
    <row r="686" customFormat="false" ht="15" hidden="false" customHeight="true" outlineLevel="0" collapsed="false">
      <c r="A686" s="11" t="str">
        <f aca="false">IF(원본명단!$A685="","",683)</f>
        <v/>
      </c>
      <c r="B686" s="12" t="str">
        <f aca="false">IF($A686="","",원본명단!$A685)</f>
        <v/>
      </c>
      <c r="C686" s="12" t="str">
        <f aca="false">IF($A686="","",원본명단!$B685)</f>
        <v/>
      </c>
      <c r="D686" s="12" t="str">
        <f aca="false">IF($A686="","",원본명단!$D685)</f>
        <v/>
      </c>
      <c r="E686" s="11" t="str">
        <f aca="false">IF($A686="","",IF(원본명단!$H685="",0,COUNTIF(원본명단!$H$3:$H$6002,원본명단!$H685)))</f>
        <v/>
      </c>
      <c r="F686" s="11" t="str">
        <f aca="false">IF($A686="","",IF(원본명단!$I685="",0,COUNTIF(원본명단!$I$3:$I$6002,원본명단!$I685)))</f>
        <v/>
      </c>
      <c r="G686" s="11" t="str">
        <f aca="false">IF($A686="","",IF(원본명단!$K685="",0,COUNTIF(원본명단!$K$3:$K$6002,원본명단!$K685)))</f>
        <v/>
      </c>
      <c r="H686" s="11" t="str">
        <f aca="false">IF($A686="","",IF(MAX($E686,$F686,$G686)&gt;1,"중복","-"))</f>
        <v/>
      </c>
      <c r="I686" s="11" t="str">
        <f aca="false">IF($A686="","",IF($H686="-","-",IF(AND(IF(원본명단!$H685="",TRUE(),COUNTIF(원본명단!$H$3:$H685,원본명단!$H685)=1),IF(원본명단!$I685="",TRUE(),COUNTIF(원본명단!$I$3:$I685,원본명단!$I685)=1),IF(원본명단!$K685="",TRUE(),COUNTIF(원본명단!$K$3:$K685,원본명단!$K685)=1)),"첫 건","중복 건")))</f>
        <v/>
      </c>
      <c r="J686" s="11" t="str">
        <f aca="false">IF($A686="","",IF($H686="-","유지",IF($I686="첫 건","유지","확인 필요")))</f>
        <v/>
      </c>
    </row>
    <row r="687" customFormat="false" ht="15" hidden="false" customHeight="true" outlineLevel="0" collapsed="false">
      <c r="A687" s="11" t="str">
        <f aca="false">IF(원본명단!$A686="","",684)</f>
        <v/>
      </c>
      <c r="B687" s="12" t="str">
        <f aca="false">IF($A687="","",원본명단!$A686)</f>
        <v/>
      </c>
      <c r="C687" s="12" t="str">
        <f aca="false">IF($A687="","",원본명단!$B686)</f>
        <v/>
      </c>
      <c r="D687" s="12" t="str">
        <f aca="false">IF($A687="","",원본명단!$D686)</f>
        <v/>
      </c>
      <c r="E687" s="11" t="str">
        <f aca="false">IF($A687="","",IF(원본명단!$H686="",0,COUNTIF(원본명단!$H$3:$H$6002,원본명단!$H686)))</f>
        <v/>
      </c>
      <c r="F687" s="11" t="str">
        <f aca="false">IF($A687="","",IF(원본명단!$I686="",0,COUNTIF(원본명단!$I$3:$I$6002,원본명단!$I686)))</f>
        <v/>
      </c>
      <c r="G687" s="11" t="str">
        <f aca="false">IF($A687="","",IF(원본명단!$K686="",0,COUNTIF(원본명단!$K$3:$K$6002,원본명단!$K686)))</f>
        <v/>
      </c>
      <c r="H687" s="11" t="str">
        <f aca="false">IF($A687="","",IF(MAX($E687,$F687,$G687)&gt;1,"중복","-"))</f>
        <v/>
      </c>
      <c r="I687" s="11" t="str">
        <f aca="false">IF($A687="","",IF($H687="-","-",IF(AND(IF(원본명단!$H686="",TRUE(),COUNTIF(원본명단!$H$3:$H686,원본명단!$H686)=1),IF(원본명단!$I686="",TRUE(),COUNTIF(원본명단!$I$3:$I686,원본명단!$I686)=1),IF(원본명단!$K686="",TRUE(),COUNTIF(원본명단!$K$3:$K686,원본명단!$K686)=1)),"첫 건","중복 건")))</f>
        <v/>
      </c>
      <c r="J687" s="11" t="str">
        <f aca="false">IF($A687="","",IF($H687="-","유지",IF($I687="첫 건","유지","확인 필요")))</f>
        <v/>
      </c>
    </row>
    <row r="688" customFormat="false" ht="15" hidden="false" customHeight="true" outlineLevel="0" collapsed="false">
      <c r="A688" s="11" t="str">
        <f aca="false">IF(원본명단!$A687="","",685)</f>
        <v/>
      </c>
      <c r="B688" s="12" t="str">
        <f aca="false">IF($A688="","",원본명단!$A687)</f>
        <v/>
      </c>
      <c r="C688" s="12" t="str">
        <f aca="false">IF($A688="","",원본명단!$B687)</f>
        <v/>
      </c>
      <c r="D688" s="12" t="str">
        <f aca="false">IF($A688="","",원본명단!$D687)</f>
        <v/>
      </c>
      <c r="E688" s="11" t="str">
        <f aca="false">IF($A688="","",IF(원본명단!$H687="",0,COUNTIF(원본명단!$H$3:$H$6002,원본명단!$H687)))</f>
        <v/>
      </c>
      <c r="F688" s="11" t="str">
        <f aca="false">IF($A688="","",IF(원본명단!$I687="",0,COUNTIF(원본명단!$I$3:$I$6002,원본명단!$I687)))</f>
        <v/>
      </c>
      <c r="G688" s="11" t="str">
        <f aca="false">IF($A688="","",IF(원본명단!$K687="",0,COUNTIF(원본명단!$K$3:$K$6002,원본명단!$K687)))</f>
        <v/>
      </c>
      <c r="H688" s="11" t="str">
        <f aca="false">IF($A688="","",IF(MAX($E688,$F688,$G688)&gt;1,"중복","-"))</f>
        <v/>
      </c>
      <c r="I688" s="11" t="str">
        <f aca="false">IF($A688="","",IF($H688="-","-",IF(AND(IF(원본명단!$H687="",TRUE(),COUNTIF(원본명단!$H$3:$H687,원본명단!$H687)=1),IF(원본명단!$I687="",TRUE(),COUNTIF(원본명단!$I$3:$I687,원본명단!$I687)=1),IF(원본명단!$K687="",TRUE(),COUNTIF(원본명단!$K$3:$K687,원본명단!$K687)=1)),"첫 건","중복 건")))</f>
        <v/>
      </c>
      <c r="J688" s="11" t="str">
        <f aca="false">IF($A688="","",IF($H688="-","유지",IF($I688="첫 건","유지","확인 필요")))</f>
        <v/>
      </c>
    </row>
    <row r="689" customFormat="false" ht="15" hidden="false" customHeight="true" outlineLevel="0" collapsed="false">
      <c r="A689" s="11" t="str">
        <f aca="false">IF(원본명단!$A688="","",686)</f>
        <v/>
      </c>
      <c r="B689" s="12" t="str">
        <f aca="false">IF($A689="","",원본명단!$A688)</f>
        <v/>
      </c>
      <c r="C689" s="12" t="str">
        <f aca="false">IF($A689="","",원본명단!$B688)</f>
        <v/>
      </c>
      <c r="D689" s="12" t="str">
        <f aca="false">IF($A689="","",원본명단!$D688)</f>
        <v/>
      </c>
      <c r="E689" s="11" t="str">
        <f aca="false">IF($A689="","",IF(원본명단!$H688="",0,COUNTIF(원본명단!$H$3:$H$6002,원본명단!$H688)))</f>
        <v/>
      </c>
      <c r="F689" s="11" t="str">
        <f aca="false">IF($A689="","",IF(원본명단!$I688="",0,COUNTIF(원본명단!$I$3:$I$6002,원본명단!$I688)))</f>
        <v/>
      </c>
      <c r="G689" s="11" t="str">
        <f aca="false">IF($A689="","",IF(원본명단!$K688="",0,COUNTIF(원본명단!$K$3:$K$6002,원본명단!$K688)))</f>
        <v/>
      </c>
      <c r="H689" s="11" t="str">
        <f aca="false">IF($A689="","",IF(MAX($E689,$F689,$G689)&gt;1,"중복","-"))</f>
        <v/>
      </c>
      <c r="I689" s="11" t="str">
        <f aca="false">IF($A689="","",IF($H689="-","-",IF(AND(IF(원본명단!$H688="",TRUE(),COUNTIF(원본명단!$H$3:$H688,원본명단!$H688)=1),IF(원본명단!$I688="",TRUE(),COUNTIF(원본명단!$I$3:$I688,원본명단!$I688)=1),IF(원본명단!$K688="",TRUE(),COUNTIF(원본명단!$K$3:$K688,원본명단!$K688)=1)),"첫 건","중복 건")))</f>
        <v/>
      </c>
      <c r="J689" s="11" t="str">
        <f aca="false">IF($A689="","",IF($H689="-","유지",IF($I689="첫 건","유지","확인 필요")))</f>
        <v/>
      </c>
    </row>
    <row r="690" customFormat="false" ht="15" hidden="false" customHeight="true" outlineLevel="0" collapsed="false">
      <c r="A690" s="11" t="str">
        <f aca="false">IF(원본명단!$A689="","",687)</f>
        <v/>
      </c>
      <c r="B690" s="12" t="str">
        <f aca="false">IF($A690="","",원본명단!$A689)</f>
        <v/>
      </c>
      <c r="C690" s="12" t="str">
        <f aca="false">IF($A690="","",원본명단!$B689)</f>
        <v/>
      </c>
      <c r="D690" s="12" t="str">
        <f aca="false">IF($A690="","",원본명단!$D689)</f>
        <v/>
      </c>
      <c r="E690" s="11" t="str">
        <f aca="false">IF($A690="","",IF(원본명단!$H689="",0,COUNTIF(원본명단!$H$3:$H$6002,원본명단!$H689)))</f>
        <v/>
      </c>
      <c r="F690" s="11" t="str">
        <f aca="false">IF($A690="","",IF(원본명단!$I689="",0,COUNTIF(원본명단!$I$3:$I$6002,원본명단!$I689)))</f>
        <v/>
      </c>
      <c r="G690" s="11" t="str">
        <f aca="false">IF($A690="","",IF(원본명단!$K689="",0,COUNTIF(원본명단!$K$3:$K$6002,원본명단!$K689)))</f>
        <v/>
      </c>
      <c r="H690" s="11" t="str">
        <f aca="false">IF($A690="","",IF(MAX($E690,$F690,$G690)&gt;1,"중복","-"))</f>
        <v/>
      </c>
      <c r="I690" s="11" t="str">
        <f aca="false">IF($A690="","",IF($H690="-","-",IF(AND(IF(원본명단!$H689="",TRUE(),COUNTIF(원본명단!$H$3:$H689,원본명단!$H689)=1),IF(원본명단!$I689="",TRUE(),COUNTIF(원본명단!$I$3:$I689,원본명단!$I689)=1),IF(원본명단!$K689="",TRUE(),COUNTIF(원본명단!$K$3:$K689,원본명단!$K689)=1)),"첫 건","중복 건")))</f>
        <v/>
      </c>
      <c r="J690" s="11" t="str">
        <f aca="false">IF($A690="","",IF($H690="-","유지",IF($I690="첫 건","유지","확인 필요")))</f>
        <v/>
      </c>
    </row>
    <row r="691" customFormat="false" ht="15" hidden="false" customHeight="true" outlineLevel="0" collapsed="false">
      <c r="A691" s="11" t="str">
        <f aca="false">IF(원본명단!$A690="","",688)</f>
        <v/>
      </c>
      <c r="B691" s="12" t="str">
        <f aca="false">IF($A691="","",원본명단!$A690)</f>
        <v/>
      </c>
      <c r="C691" s="12" t="str">
        <f aca="false">IF($A691="","",원본명단!$B690)</f>
        <v/>
      </c>
      <c r="D691" s="12" t="str">
        <f aca="false">IF($A691="","",원본명단!$D690)</f>
        <v/>
      </c>
      <c r="E691" s="11" t="str">
        <f aca="false">IF($A691="","",IF(원본명단!$H690="",0,COUNTIF(원본명단!$H$3:$H$6002,원본명단!$H690)))</f>
        <v/>
      </c>
      <c r="F691" s="11" t="str">
        <f aca="false">IF($A691="","",IF(원본명단!$I690="",0,COUNTIF(원본명단!$I$3:$I$6002,원본명단!$I690)))</f>
        <v/>
      </c>
      <c r="G691" s="11" t="str">
        <f aca="false">IF($A691="","",IF(원본명단!$K690="",0,COUNTIF(원본명단!$K$3:$K$6002,원본명단!$K690)))</f>
        <v/>
      </c>
      <c r="H691" s="11" t="str">
        <f aca="false">IF($A691="","",IF(MAX($E691,$F691,$G691)&gt;1,"중복","-"))</f>
        <v/>
      </c>
      <c r="I691" s="11" t="str">
        <f aca="false">IF($A691="","",IF($H691="-","-",IF(AND(IF(원본명단!$H690="",TRUE(),COUNTIF(원본명단!$H$3:$H690,원본명단!$H690)=1),IF(원본명단!$I690="",TRUE(),COUNTIF(원본명단!$I$3:$I690,원본명단!$I690)=1),IF(원본명단!$K690="",TRUE(),COUNTIF(원본명단!$K$3:$K690,원본명단!$K690)=1)),"첫 건","중복 건")))</f>
        <v/>
      </c>
      <c r="J691" s="11" t="str">
        <f aca="false">IF($A691="","",IF($H691="-","유지",IF($I691="첫 건","유지","확인 필요")))</f>
        <v/>
      </c>
    </row>
    <row r="692" customFormat="false" ht="15" hidden="false" customHeight="true" outlineLevel="0" collapsed="false">
      <c r="A692" s="11" t="str">
        <f aca="false">IF(원본명단!$A691="","",689)</f>
        <v/>
      </c>
      <c r="B692" s="12" t="str">
        <f aca="false">IF($A692="","",원본명단!$A691)</f>
        <v/>
      </c>
      <c r="C692" s="12" t="str">
        <f aca="false">IF($A692="","",원본명단!$B691)</f>
        <v/>
      </c>
      <c r="D692" s="12" t="str">
        <f aca="false">IF($A692="","",원본명단!$D691)</f>
        <v/>
      </c>
      <c r="E692" s="11" t="str">
        <f aca="false">IF($A692="","",IF(원본명단!$H691="",0,COUNTIF(원본명단!$H$3:$H$6002,원본명단!$H691)))</f>
        <v/>
      </c>
      <c r="F692" s="11" t="str">
        <f aca="false">IF($A692="","",IF(원본명단!$I691="",0,COUNTIF(원본명단!$I$3:$I$6002,원본명단!$I691)))</f>
        <v/>
      </c>
      <c r="G692" s="11" t="str">
        <f aca="false">IF($A692="","",IF(원본명단!$K691="",0,COUNTIF(원본명단!$K$3:$K$6002,원본명단!$K691)))</f>
        <v/>
      </c>
      <c r="H692" s="11" t="str">
        <f aca="false">IF($A692="","",IF(MAX($E692,$F692,$G692)&gt;1,"중복","-"))</f>
        <v/>
      </c>
      <c r="I692" s="11" t="str">
        <f aca="false">IF($A692="","",IF($H692="-","-",IF(AND(IF(원본명단!$H691="",TRUE(),COUNTIF(원본명단!$H$3:$H691,원본명단!$H691)=1),IF(원본명단!$I691="",TRUE(),COUNTIF(원본명단!$I$3:$I691,원본명단!$I691)=1),IF(원본명단!$K691="",TRUE(),COUNTIF(원본명단!$K$3:$K691,원본명단!$K691)=1)),"첫 건","중복 건")))</f>
        <v/>
      </c>
      <c r="J692" s="11" t="str">
        <f aca="false">IF($A692="","",IF($H692="-","유지",IF($I692="첫 건","유지","확인 필요")))</f>
        <v/>
      </c>
    </row>
    <row r="693" customFormat="false" ht="15" hidden="false" customHeight="true" outlineLevel="0" collapsed="false">
      <c r="A693" s="11" t="str">
        <f aca="false">IF(원본명단!$A692="","",690)</f>
        <v/>
      </c>
      <c r="B693" s="12" t="str">
        <f aca="false">IF($A693="","",원본명단!$A692)</f>
        <v/>
      </c>
      <c r="C693" s="12" t="str">
        <f aca="false">IF($A693="","",원본명단!$B692)</f>
        <v/>
      </c>
      <c r="D693" s="12" t="str">
        <f aca="false">IF($A693="","",원본명단!$D692)</f>
        <v/>
      </c>
      <c r="E693" s="11" t="str">
        <f aca="false">IF($A693="","",IF(원본명단!$H692="",0,COUNTIF(원본명단!$H$3:$H$6002,원본명단!$H692)))</f>
        <v/>
      </c>
      <c r="F693" s="11" t="str">
        <f aca="false">IF($A693="","",IF(원본명단!$I692="",0,COUNTIF(원본명단!$I$3:$I$6002,원본명단!$I692)))</f>
        <v/>
      </c>
      <c r="G693" s="11" t="str">
        <f aca="false">IF($A693="","",IF(원본명단!$K692="",0,COUNTIF(원본명단!$K$3:$K$6002,원본명단!$K692)))</f>
        <v/>
      </c>
      <c r="H693" s="11" t="str">
        <f aca="false">IF($A693="","",IF(MAX($E693,$F693,$G693)&gt;1,"중복","-"))</f>
        <v/>
      </c>
      <c r="I693" s="11" t="str">
        <f aca="false">IF($A693="","",IF($H693="-","-",IF(AND(IF(원본명단!$H692="",TRUE(),COUNTIF(원본명단!$H$3:$H692,원본명단!$H692)=1),IF(원본명단!$I692="",TRUE(),COUNTIF(원본명단!$I$3:$I692,원본명단!$I692)=1),IF(원본명단!$K692="",TRUE(),COUNTIF(원본명단!$K$3:$K692,원본명단!$K692)=1)),"첫 건","중복 건")))</f>
        <v/>
      </c>
      <c r="J693" s="11" t="str">
        <f aca="false">IF($A693="","",IF($H693="-","유지",IF($I693="첫 건","유지","확인 필요")))</f>
        <v/>
      </c>
    </row>
    <row r="694" customFormat="false" ht="15" hidden="false" customHeight="true" outlineLevel="0" collapsed="false">
      <c r="A694" s="11" t="str">
        <f aca="false">IF(원본명단!$A693="","",691)</f>
        <v/>
      </c>
      <c r="B694" s="12" t="str">
        <f aca="false">IF($A694="","",원본명단!$A693)</f>
        <v/>
      </c>
      <c r="C694" s="12" t="str">
        <f aca="false">IF($A694="","",원본명단!$B693)</f>
        <v/>
      </c>
      <c r="D694" s="12" t="str">
        <f aca="false">IF($A694="","",원본명단!$D693)</f>
        <v/>
      </c>
      <c r="E694" s="11" t="str">
        <f aca="false">IF($A694="","",IF(원본명단!$H693="",0,COUNTIF(원본명단!$H$3:$H$6002,원본명단!$H693)))</f>
        <v/>
      </c>
      <c r="F694" s="11" t="str">
        <f aca="false">IF($A694="","",IF(원본명단!$I693="",0,COUNTIF(원본명단!$I$3:$I$6002,원본명단!$I693)))</f>
        <v/>
      </c>
      <c r="G694" s="11" t="str">
        <f aca="false">IF($A694="","",IF(원본명단!$K693="",0,COUNTIF(원본명단!$K$3:$K$6002,원본명단!$K693)))</f>
        <v/>
      </c>
      <c r="H694" s="11" t="str">
        <f aca="false">IF($A694="","",IF(MAX($E694,$F694,$G694)&gt;1,"중복","-"))</f>
        <v/>
      </c>
      <c r="I694" s="11" t="str">
        <f aca="false">IF($A694="","",IF($H694="-","-",IF(AND(IF(원본명단!$H693="",TRUE(),COUNTIF(원본명단!$H$3:$H693,원본명단!$H693)=1),IF(원본명단!$I693="",TRUE(),COUNTIF(원본명단!$I$3:$I693,원본명단!$I693)=1),IF(원본명단!$K693="",TRUE(),COUNTIF(원본명단!$K$3:$K693,원본명단!$K693)=1)),"첫 건","중복 건")))</f>
        <v/>
      </c>
      <c r="J694" s="11" t="str">
        <f aca="false">IF($A694="","",IF($H694="-","유지",IF($I694="첫 건","유지","확인 필요")))</f>
        <v/>
      </c>
    </row>
    <row r="695" customFormat="false" ht="15" hidden="false" customHeight="true" outlineLevel="0" collapsed="false">
      <c r="A695" s="11" t="str">
        <f aca="false">IF(원본명단!$A694="","",692)</f>
        <v/>
      </c>
      <c r="B695" s="12" t="str">
        <f aca="false">IF($A695="","",원본명단!$A694)</f>
        <v/>
      </c>
      <c r="C695" s="12" t="str">
        <f aca="false">IF($A695="","",원본명단!$B694)</f>
        <v/>
      </c>
      <c r="D695" s="12" t="str">
        <f aca="false">IF($A695="","",원본명단!$D694)</f>
        <v/>
      </c>
      <c r="E695" s="11" t="str">
        <f aca="false">IF($A695="","",IF(원본명단!$H694="",0,COUNTIF(원본명단!$H$3:$H$6002,원본명단!$H694)))</f>
        <v/>
      </c>
      <c r="F695" s="11" t="str">
        <f aca="false">IF($A695="","",IF(원본명단!$I694="",0,COUNTIF(원본명단!$I$3:$I$6002,원본명단!$I694)))</f>
        <v/>
      </c>
      <c r="G695" s="11" t="str">
        <f aca="false">IF($A695="","",IF(원본명단!$K694="",0,COUNTIF(원본명단!$K$3:$K$6002,원본명단!$K694)))</f>
        <v/>
      </c>
      <c r="H695" s="11" t="str">
        <f aca="false">IF($A695="","",IF(MAX($E695,$F695,$G695)&gt;1,"중복","-"))</f>
        <v/>
      </c>
      <c r="I695" s="11" t="str">
        <f aca="false">IF($A695="","",IF($H695="-","-",IF(AND(IF(원본명단!$H694="",TRUE(),COUNTIF(원본명단!$H$3:$H694,원본명단!$H694)=1),IF(원본명단!$I694="",TRUE(),COUNTIF(원본명단!$I$3:$I694,원본명단!$I694)=1),IF(원본명단!$K694="",TRUE(),COUNTIF(원본명단!$K$3:$K694,원본명단!$K694)=1)),"첫 건","중복 건")))</f>
        <v/>
      </c>
      <c r="J695" s="11" t="str">
        <f aca="false">IF($A695="","",IF($H695="-","유지",IF($I695="첫 건","유지","확인 필요")))</f>
        <v/>
      </c>
    </row>
    <row r="696" customFormat="false" ht="15" hidden="false" customHeight="true" outlineLevel="0" collapsed="false">
      <c r="A696" s="11" t="str">
        <f aca="false">IF(원본명단!$A695="","",693)</f>
        <v/>
      </c>
      <c r="B696" s="12" t="str">
        <f aca="false">IF($A696="","",원본명단!$A695)</f>
        <v/>
      </c>
      <c r="C696" s="12" t="str">
        <f aca="false">IF($A696="","",원본명단!$B695)</f>
        <v/>
      </c>
      <c r="D696" s="12" t="str">
        <f aca="false">IF($A696="","",원본명단!$D695)</f>
        <v/>
      </c>
      <c r="E696" s="11" t="str">
        <f aca="false">IF($A696="","",IF(원본명단!$H695="",0,COUNTIF(원본명단!$H$3:$H$6002,원본명단!$H695)))</f>
        <v/>
      </c>
      <c r="F696" s="11" t="str">
        <f aca="false">IF($A696="","",IF(원본명단!$I695="",0,COUNTIF(원본명단!$I$3:$I$6002,원본명단!$I695)))</f>
        <v/>
      </c>
      <c r="G696" s="11" t="str">
        <f aca="false">IF($A696="","",IF(원본명단!$K695="",0,COUNTIF(원본명단!$K$3:$K$6002,원본명단!$K695)))</f>
        <v/>
      </c>
      <c r="H696" s="11" t="str">
        <f aca="false">IF($A696="","",IF(MAX($E696,$F696,$G696)&gt;1,"중복","-"))</f>
        <v/>
      </c>
      <c r="I696" s="11" t="str">
        <f aca="false">IF($A696="","",IF($H696="-","-",IF(AND(IF(원본명단!$H695="",TRUE(),COUNTIF(원본명단!$H$3:$H695,원본명단!$H695)=1),IF(원본명단!$I695="",TRUE(),COUNTIF(원본명단!$I$3:$I695,원본명단!$I695)=1),IF(원본명단!$K695="",TRUE(),COUNTIF(원본명단!$K$3:$K695,원본명단!$K695)=1)),"첫 건","중복 건")))</f>
        <v/>
      </c>
      <c r="J696" s="11" t="str">
        <f aca="false">IF($A696="","",IF($H696="-","유지",IF($I696="첫 건","유지","확인 필요")))</f>
        <v/>
      </c>
    </row>
    <row r="697" customFormat="false" ht="15" hidden="false" customHeight="true" outlineLevel="0" collapsed="false">
      <c r="A697" s="11" t="str">
        <f aca="false">IF(원본명단!$A696="","",694)</f>
        <v/>
      </c>
      <c r="B697" s="12" t="str">
        <f aca="false">IF($A697="","",원본명단!$A696)</f>
        <v/>
      </c>
      <c r="C697" s="12" t="str">
        <f aca="false">IF($A697="","",원본명단!$B696)</f>
        <v/>
      </c>
      <c r="D697" s="12" t="str">
        <f aca="false">IF($A697="","",원본명단!$D696)</f>
        <v/>
      </c>
      <c r="E697" s="11" t="str">
        <f aca="false">IF($A697="","",IF(원본명단!$H696="",0,COUNTIF(원본명단!$H$3:$H$6002,원본명단!$H696)))</f>
        <v/>
      </c>
      <c r="F697" s="11" t="str">
        <f aca="false">IF($A697="","",IF(원본명단!$I696="",0,COUNTIF(원본명단!$I$3:$I$6002,원본명단!$I696)))</f>
        <v/>
      </c>
      <c r="G697" s="11" t="str">
        <f aca="false">IF($A697="","",IF(원본명단!$K696="",0,COUNTIF(원본명단!$K$3:$K$6002,원본명단!$K696)))</f>
        <v/>
      </c>
      <c r="H697" s="11" t="str">
        <f aca="false">IF($A697="","",IF(MAX($E697,$F697,$G697)&gt;1,"중복","-"))</f>
        <v/>
      </c>
      <c r="I697" s="11" t="str">
        <f aca="false">IF($A697="","",IF($H697="-","-",IF(AND(IF(원본명단!$H696="",TRUE(),COUNTIF(원본명단!$H$3:$H696,원본명단!$H696)=1),IF(원본명단!$I696="",TRUE(),COUNTIF(원본명단!$I$3:$I696,원본명단!$I696)=1),IF(원본명단!$K696="",TRUE(),COUNTIF(원본명단!$K$3:$K696,원본명단!$K696)=1)),"첫 건","중복 건")))</f>
        <v/>
      </c>
      <c r="J697" s="11" t="str">
        <f aca="false">IF($A697="","",IF($H697="-","유지",IF($I697="첫 건","유지","확인 필요")))</f>
        <v/>
      </c>
    </row>
    <row r="698" customFormat="false" ht="15" hidden="false" customHeight="true" outlineLevel="0" collapsed="false">
      <c r="A698" s="11" t="str">
        <f aca="false">IF(원본명단!$A697="","",695)</f>
        <v/>
      </c>
      <c r="B698" s="12" t="str">
        <f aca="false">IF($A698="","",원본명단!$A697)</f>
        <v/>
      </c>
      <c r="C698" s="12" t="str">
        <f aca="false">IF($A698="","",원본명단!$B697)</f>
        <v/>
      </c>
      <c r="D698" s="12" t="str">
        <f aca="false">IF($A698="","",원본명단!$D697)</f>
        <v/>
      </c>
      <c r="E698" s="11" t="str">
        <f aca="false">IF($A698="","",IF(원본명단!$H697="",0,COUNTIF(원본명단!$H$3:$H$6002,원본명단!$H697)))</f>
        <v/>
      </c>
      <c r="F698" s="11" t="str">
        <f aca="false">IF($A698="","",IF(원본명단!$I697="",0,COUNTIF(원본명단!$I$3:$I$6002,원본명단!$I697)))</f>
        <v/>
      </c>
      <c r="G698" s="11" t="str">
        <f aca="false">IF($A698="","",IF(원본명단!$K697="",0,COUNTIF(원본명단!$K$3:$K$6002,원본명단!$K697)))</f>
        <v/>
      </c>
      <c r="H698" s="11" t="str">
        <f aca="false">IF($A698="","",IF(MAX($E698,$F698,$G698)&gt;1,"중복","-"))</f>
        <v/>
      </c>
      <c r="I698" s="11" t="str">
        <f aca="false">IF($A698="","",IF($H698="-","-",IF(AND(IF(원본명단!$H697="",TRUE(),COUNTIF(원본명단!$H$3:$H697,원본명단!$H697)=1),IF(원본명단!$I697="",TRUE(),COUNTIF(원본명단!$I$3:$I697,원본명단!$I697)=1),IF(원본명단!$K697="",TRUE(),COUNTIF(원본명단!$K$3:$K697,원본명단!$K697)=1)),"첫 건","중복 건")))</f>
        <v/>
      </c>
      <c r="J698" s="11" t="str">
        <f aca="false">IF($A698="","",IF($H698="-","유지",IF($I698="첫 건","유지","확인 필요")))</f>
        <v/>
      </c>
    </row>
    <row r="699" customFormat="false" ht="15" hidden="false" customHeight="true" outlineLevel="0" collapsed="false">
      <c r="A699" s="11" t="str">
        <f aca="false">IF(원본명단!$A698="","",696)</f>
        <v/>
      </c>
      <c r="B699" s="12" t="str">
        <f aca="false">IF($A699="","",원본명단!$A698)</f>
        <v/>
      </c>
      <c r="C699" s="12" t="str">
        <f aca="false">IF($A699="","",원본명단!$B698)</f>
        <v/>
      </c>
      <c r="D699" s="12" t="str">
        <f aca="false">IF($A699="","",원본명단!$D698)</f>
        <v/>
      </c>
      <c r="E699" s="11" t="str">
        <f aca="false">IF($A699="","",IF(원본명단!$H698="",0,COUNTIF(원본명단!$H$3:$H$6002,원본명단!$H698)))</f>
        <v/>
      </c>
      <c r="F699" s="11" t="str">
        <f aca="false">IF($A699="","",IF(원본명단!$I698="",0,COUNTIF(원본명단!$I$3:$I$6002,원본명단!$I698)))</f>
        <v/>
      </c>
      <c r="G699" s="11" t="str">
        <f aca="false">IF($A699="","",IF(원본명단!$K698="",0,COUNTIF(원본명단!$K$3:$K$6002,원본명단!$K698)))</f>
        <v/>
      </c>
      <c r="H699" s="11" t="str">
        <f aca="false">IF($A699="","",IF(MAX($E699,$F699,$G699)&gt;1,"중복","-"))</f>
        <v/>
      </c>
      <c r="I699" s="11" t="str">
        <f aca="false">IF($A699="","",IF($H699="-","-",IF(AND(IF(원본명단!$H698="",TRUE(),COUNTIF(원본명단!$H$3:$H698,원본명단!$H698)=1),IF(원본명단!$I698="",TRUE(),COUNTIF(원본명단!$I$3:$I698,원본명단!$I698)=1),IF(원본명단!$K698="",TRUE(),COUNTIF(원본명단!$K$3:$K698,원본명단!$K698)=1)),"첫 건","중복 건")))</f>
        <v/>
      </c>
      <c r="J699" s="11" t="str">
        <f aca="false">IF($A699="","",IF($H699="-","유지",IF($I699="첫 건","유지","확인 필요")))</f>
        <v/>
      </c>
    </row>
    <row r="700" customFormat="false" ht="15" hidden="false" customHeight="true" outlineLevel="0" collapsed="false">
      <c r="A700" s="11" t="str">
        <f aca="false">IF(원본명단!$A699="","",697)</f>
        <v/>
      </c>
      <c r="B700" s="12" t="str">
        <f aca="false">IF($A700="","",원본명단!$A699)</f>
        <v/>
      </c>
      <c r="C700" s="12" t="str">
        <f aca="false">IF($A700="","",원본명단!$B699)</f>
        <v/>
      </c>
      <c r="D700" s="12" t="str">
        <f aca="false">IF($A700="","",원본명단!$D699)</f>
        <v/>
      </c>
      <c r="E700" s="11" t="str">
        <f aca="false">IF($A700="","",IF(원본명단!$H699="",0,COUNTIF(원본명단!$H$3:$H$6002,원본명단!$H699)))</f>
        <v/>
      </c>
      <c r="F700" s="11" t="str">
        <f aca="false">IF($A700="","",IF(원본명단!$I699="",0,COUNTIF(원본명단!$I$3:$I$6002,원본명단!$I699)))</f>
        <v/>
      </c>
      <c r="G700" s="11" t="str">
        <f aca="false">IF($A700="","",IF(원본명단!$K699="",0,COUNTIF(원본명단!$K$3:$K$6002,원본명단!$K699)))</f>
        <v/>
      </c>
      <c r="H700" s="11" t="str">
        <f aca="false">IF($A700="","",IF(MAX($E700,$F700,$G700)&gt;1,"중복","-"))</f>
        <v/>
      </c>
      <c r="I700" s="11" t="str">
        <f aca="false">IF($A700="","",IF($H700="-","-",IF(AND(IF(원본명단!$H699="",TRUE(),COUNTIF(원본명단!$H$3:$H699,원본명단!$H699)=1),IF(원본명단!$I699="",TRUE(),COUNTIF(원본명단!$I$3:$I699,원본명단!$I699)=1),IF(원본명단!$K699="",TRUE(),COUNTIF(원본명단!$K$3:$K699,원본명단!$K699)=1)),"첫 건","중복 건")))</f>
        <v/>
      </c>
      <c r="J700" s="11" t="str">
        <f aca="false">IF($A700="","",IF($H700="-","유지",IF($I700="첫 건","유지","확인 필요")))</f>
        <v/>
      </c>
    </row>
    <row r="701" customFormat="false" ht="15" hidden="false" customHeight="true" outlineLevel="0" collapsed="false">
      <c r="A701" s="11" t="str">
        <f aca="false">IF(원본명단!$A700="","",698)</f>
        <v/>
      </c>
      <c r="B701" s="12" t="str">
        <f aca="false">IF($A701="","",원본명단!$A700)</f>
        <v/>
      </c>
      <c r="C701" s="12" t="str">
        <f aca="false">IF($A701="","",원본명단!$B700)</f>
        <v/>
      </c>
      <c r="D701" s="12" t="str">
        <f aca="false">IF($A701="","",원본명단!$D700)</f>
        <v/>
      </c>
      <c r="E701" s="11" t="str">
        <f aca="false">IF($A701="","",IF(원본명단!$H700="",0,COUNTIF(원본명단!$H$3:$H$6002,원본명단!$H700)))</f>
        <v/>
      </c>
      <c r="F701" s="11" t="str">
        <f aca="false">IF($A701="","",IF(원본명단!$I700="",0,COUNTIF(원본명단!$I$3:$I$6002,원본명단!$I700)))</f>
        <v/>
      </c>
      <c r="G701" s="11" t="str">
        <f aca="false">IF($A701="","",IF(원본명단!$K700="",0,COUNTIF(원본명단!$K$3:$K$6002,원본명단!$K700)))</f>
        <v/>
      </c>
      <c r="H701" s="11" t="str">
        <f aca="false">IF($A701="","",IF(MAX($E701,$F701,$G701)&gt;1,"중복","-"))</f>
        <v/>
      </c>
      <c r="I701" s="11" t="str">
        <f aca="false">IF($A701="","",IF($H701="-","-",IF(AND(IF(원본명단!$H700="",TRUE(),COUNTIF(원본명단!$H$3:$H700,원본명단!$H700)=1),IF(원본명단!$I700="",TRUE(),COUNTIF(원본명단!$I$3:$I700,원본명단!$I700)=1),IF(원본명단!$K700="",TRUE(),COUNTIF(원본명단!$K$3:$K700,원본명단!$K700)=1)),"첫 건","중복 건")))</f>
        <v/>
      </c>
      <c r="J701" s="11" t="str">
        <f aca="false">IF($A701="","",IF($H701="-","유지",IF($I701="첫 건","유지","확인 필요")))</f>
        <v/>
      </c>
    </row>
    <row r="702" customFormat="false" ht="15" hidden="false" customHeight="true" outlineLevel="0" collapsed="false">
      <c r="A702" s="11" t="str">
        <f aca="false">IF(원본명단!$A701="","",699)</f>
        <v/>
      </c>
      <c r="B702" s="12" t="str">
        <f aca="false">IF($A702="","",원본명단!$A701)</f>
        <v/>
      </c>
      <c r="C702" s="12" t="str">
        <f aca="false">IF($A702="","",원본명단!$B701)</f>
        <v/>
      </c>
      <c r="D702" s="12" t="str">
        <f aca="false">IF($A702="","",원본명단!$D701)</f>
        <v/>
      </c>
      <c r="E702" s="11" t="str">
        <f aca="false">IF($A702="","",IF(원본명단!$H701="",0,COUNTIF(원본명단!$H$3:$H$6002,원본명단!$H701)))</f>
        <v/>
      </c>
      <c r="F702" s="11" t="str">
        <f aca="false">IF($A702="","",IF(원본명단!$I701="",0,COUNTIF(원본명단!$I$3:$I$6002,원본명단!$I701)))</f>
        <v/>
      </c>
      <c r="G702" s="11" t="str">
        <f aca="false">IF($A702="","",IF(원본명단!$K701="",0,COUNTIF(원본명단!$K$3:$K$6002,원본명단!$K701)))</f>
        <v/>
      </c>
      <c r="H702" s="11" t="str">
        <f aca="false">IF($A702="","",IF(MAX($E702,$F702,$G702)&gt;1,"중복","-"))</f>
        <v/>
      </c>
      <c r="I702" s="11" t="str">
        <f aca="false">IF($A702="","",IF($H702="-","-",IF(AND(IF(원본명단!$H701="",TRUE(),COUNTIF(원본명단!$H$3:$H701,원본명단!$H701)=1),IF(원본명단!$I701="",TRUE(),COUNTIF(원본명단!$I$3:$I701,원본명단!$I701)=1),IF(원본명단!$K701="",TRUE(),COUNTIF(원본명단!$K$3:$K701,원본명단!$K701)=1)),"첫 건","중복 건")))</f>
        <v/>
      </c>
      <c r="J702" s="11" t="str">
        <f aca="false">IF($A702="","",IF($H702="-","유지",IF($I702="첫 건","유지","확인 필요")))</f>
        <v/>
      </c>
    </row>
    <row r="703" customFormat="false" ht="15" hidden="false" customHeight="true" outlineLevel="0" collapsed="false">
      <c r="A703" s="11" t="str">
        <f aca="false">IF(원본명단!$A702="","",700)</f>
        <v/>
      </c>
      <c r="B703" s="12" t="str">
        <f aca="false">IF($A703="","",원본명단!$A702)</f>
        <v/>
      </c>
      <c r="C703" s="12" t="str">
        <f aca="false">IF($A703="","",원본명단!$B702)</f>
        <v/>
      </c>
      <c r="D703" s="12" t="str">
        <f aca="false">IF($A703="","",원본명단!$D702)</f>
        <v/>
      </c>
      <c r="E703" s="11" t="str">
        <f aca="false">IF($A703="","",IF(원본명단!$H702="",0,COUNTIF(원본명단!$H$3:$H$6002,원본명단!$H702)))</f>
        <v/>
      </c>
      <c r="F703" s="11" t="str">
        <f aca="false">IF($A703="","",IF(원본명단!$I702="",0,COUNTIF(원본명단!$I$3:$I$6002,원본명단!$I702)))</f>
        <v/>
      </c>
      <c r="G703" s="11" t="str">
        <f aca="false">IF($A703="","",IF(원본명단!$K702="",0,COUNTIF(원본명단!$K$3:$K$6002,원본명단!$K702)))</f>
        <v/>
      </c>
      <c r="H703" s="11" t="str">
        <f aca="false">IF($A703="","",IF(MAX($E703,$F703,$G703)&gt;1,"중복","-"))</f>
        <v/>
      </c>
      <c r="I703" s="11" t="str">
        <f aca="false">IF($A703="","",IF($H703="-","-",IF(AND(IF(원본명단!$H702="",TRUE(),COUNTIF(원본명단!$H$3:$H702,원본명단!$H702)=1),IF(원본명단!$I702="",TRUE(),COUNTIF(원본명단!$I$3:$I702,원본명단!$I702)=1),IF(원본명단!$K702="",TRUE(),COUNTIF(원본명단!$K$3:$K702,원본명단!$K702)=1)),"첫 건","중복 건")))</f>
        <v/>
      </c>
      <c r="J703" s="11" t="str">
        <f aca="false">IF($A703="","",IF($H703="-","유지",IF($I703="첫 건","유지","확인 필요")))</f>
        <v/>
      </c>
    </row>
    <row r="704" customFormat="false" ht="15" hidden="false" customHeight="true" outlineLevel="0" collapsed="false">
      <c r="A704" s="11" t="str">
        <f aca="false">IF(원본명단!$A703="","",701)</f>
        <v/>
      </c>
      <c r="B704" s="12" t="str">
        <f aca="false">IF($A704="","",원본명단!$A703)</f>
        <v/>
      </c>
      <c r="C704" s="12" t="str">
        <f aca="false">IF($A704="","",원본명단!$B703)</f>
        <v/>
      </c>
      <c r="D704" s="12" t="str">
        <f aca="false">IF($A704="","",원본명단!$D703)</f>
        <v/>
      </c>
      <c r="E704" s="11" t="str">
        <f aca="false">IF($A704="","",IF(원본명단!$H703="",0,COUNTIF(원본명단!$H$3:$H$6002,원본명단!$H703)))</f>
        <v/>
      </c>
      <c r="F704" s="11" t="str">
        <f aca="false">IF($A704="","",IF(원본명단!$I703="",0,COUNTIF(원본명단!$I$3:$I$6002,원본명단!$I703)))</f>
        <v/>
      </c>
      <c r="G704" s="11" t="str">
        <f aca="false">IF($A704="","",IF(원본명단!$K703="",0,COUNTIF(원본명단!$K$3:$K$6002,원본명단!$K703)))</f>
        <v/>
      </c>
      <c r="H704" s="11" t="str">
        <f aca="false">IF($A704="","",IF(MAX($E704,$F704,$G704)&gt;1,"중복","-"))</f>
        <v/>
      </c>
      <c r="I704" s="11" t="str">
        <f aca="false">IF($A704="","",IF($H704="-","-",IF(AND(IF(원본명단!$H703="",TRUE(),COUNTIF(원본명단!$H$3:$H703,원본명단!$H703)=1),IF(원본명단!$I703="",TRUE(),COUNTIF(원본명단!$I$3:$I703,원본명단!$I703)=1),IF(원본명단!$K703="",TRUE(),COUNTIF(원본명단!$K$3:$K703,원본명단!$K703)=1)),"첫 건","중복 건")))</f>
        <v/>
      </c>
      <c r="J704" s="11" t="str">
        <f aca="false">IF($A704="","",IF($H704="-","유지",IF($I704="첫 건","유지","확인 필요")))</f>
        <v/>
      </c>
    </row>
    <row r="705" customFormat="false" ht="15" hidden="false" customHeight="true" outlineLevel="0" collapsed="false">
      <c r="A705" s="11" t="str">
        <f aca="false">IF(원본명단!$A704="","",702)</f>
        <v/>
      </c>
      <c r="B705" s="12" t="str">
        <f aca="false">IF($A705="","",원본명단!$A704)</f>
        <v/>
      </c>
      <c r="C705" s="12" t="str">
        <f aca="false">IF($A705="","",원본명단!$B704)</f>
        <v/>
      </c>
      <c r="D705" s="12" t="str">
        <f aca="false">IF($A705="","",원본명단!$D704)</f>
        <v/>
      </c>
      <c r="E705" s="11" t="str">
        <f aca="false">IF($A705="","",IF(원본명단!$H704="",0,COUNTIF(원본명단!$H$3:$H$6002,원본명단!$H704)))</f>
        <v/>
      </c>
      <c r="F705" s="11" t="str">
        <f aca="false">IF($A705="","",IF(원본명단!$I704="",0,COUNTIF(원본명단!$I$3:$I$6002,원본명단!$I704)))</f>
        <v/>
      </c>
      <c r="G705" s="11" t="str">
        <f aca="false">IF($A705="","",IF(원본명단!$K704="",0,COUNTIF(원본명단!$K$3:$K$6002,원본명단!$K704)))</f>
        <v/>
      </c>
      <c r="H705" s="11" t="str">
        <f aca="false">IF($A705="","",IF(MAX($E705,$F705,$G705)&gt;1,"중복","-"))</f>
        <v/>
      </c>
      <c r="I705" s="11" t="str">
        <f aca="false">IF($A705="","",IF($H705="-","-",IF(AND(IF(원본명단!$H704="",TRUE(),COUNTIF(원본명단!$H$3:$H704,원본명단!$H704)=1),IF(원본명단!$I704="",TRUE(),COUNTIF(원본명단!$I$3:$I704,원본명단!$I704)=1),IF(원본명단!$K704="",TRUE(),COUNTIF(원본명단!$K$3:$K704,원본명단!$K704)=1)),"첫 건","중복 건")))</f>
        <v/>
      </c>
      <c r="J705" s="11" t="str">
        <f aca="false">IF($A705="","",IF($H705="-","유지",IF($I705="첫 건","유지","확인 필요")))</f>
        <v/>
      </c>
    </row>
    <row r="706" customFormat="false" ht="15" hidden="false" customHeight="true" outlineLevel="0" collapsed="false">
      <c r="A706" s="11" t="str">
        <f aca="false">IF(원본명단!$A705="","",703)</f>
        <v/>
      </c>
      <c r="B706" s="12" t="str">
        <f aca="false">IF($A706="","",원본명단!$A705)</f>
        <v/>
      </c>
      <c r="C706" s="12" t="str">
        <f aca="false">IF($A706="","",원본명단!$B705)</f>
        <v/>
      </c>
      <c r="D706" s="12" t="str">
        <f aca="false">IF($A706="","",원본명단!$D705)</f>
        <v/>
      </c>
      <c r="E706" s="11" t="str">
        <f aca="false">IF($A706="","",IF(원본명단!$H705="",0,COUNTIF(원본명단!$H$3:$H$6002,원본명단!$H705)))</f>
        <v/>
      </c>
      <c r="F706" s="11" t="str">
        <f aca="false">IF($A706="","",IF(원본명단!$I705="",0,COUNTIF(원본명단!$I$3:$I$6002,원본명단!$I705)))</f>
        <v/>
      </c>
      <c r="G706" s="11" t="str">
        <f aca="false">IF($A706="","",IF(원본명단!$K705="",0,COUNTIF(원본명단!$K$3:$K$6002,원본명단!$K705)))</f>
        <v/>
      </c>
      <c r="H706" s="11" t="str">
        <f aca="false">IF($A706="","",IF(MAX($E706,$F706,$G706)&gt;1,"중복","-"))</f>
        <v/>
      </c>
      <c r="I706" s="11" t="str">
        <f aca="false">IF($A706="","",IF($H706="-","-",IF(AND(IF(원본명단!$H705="",TRUE(),COUNTIF(원본명단!$H$3:$H705,원본명단!$H705)=1),IF(원본명단!$I705="",TRUE(),COUNTIF(원본명단!$I$3:$I705,원본명단!$I705)=1),IF(원본명단!$K705="",TRUE(),COUNTIF(원본명단!$K$3:$K705,원본명단!$K705)=1)),"첫 건","중복 건")))</f>
        <v/>
      </c>
      <c r="J706" s="11" t="str">
        <f aca="false">IF($A706="","",IF($H706="-","유지",IF($I706="첫 건","유지","확인 필요")))</f>
        <v/>
      </c>
    </row>
    <row r="707" customFormat="false" ht="15" hidden="false" customHeight="true" outlineLevel="0" collapsed="false">
      <c r="A707" s="11" t="str">
        <f aca="false">IF(원본명단!$A706="","",704)</f>
        <v/>
      </c>
      <c r="B707" s="12" t="str">
        <f aca="false">IF($A707="","",원본명단!$A706)</f>
        <v/>
      </c>
      <c r="C707" s="12" t="str">
        <f aca="false">IF($A707="","",원본명단!$B706)</f>
        <v/>
      </c>
      <c r="D707" s="12" t="str">
        <f aca="false">IF($A707="","",원본명단!$D706)</f>
        <v/>
      </c>
      <c r="E707" s="11" t="str">
        <f aca="false">IF($A707="","",IF(원본명단!$H706="",0,COUNTIF(원본명단!$H$3:$H$6002,원본명단!$H706)))</f>
        <v/>
      </c>
      <c r="F707" s="11" t="str">
        <f aca="false">IF($A707="","",IF(원본명단!$I706="",0,COUNTIF(원본명단!$I$3:$I$6002,원본명단!$I706)))</f>
        <v/>
      </c>
      <c r="G707" s="11" t="str">
        <f aca="false">IF($A707="","",IF(원본명단!$K706="",0,COUNTIF(원본명단!$K$3:$K$6002,원본명단!$K706)))</f>
        <v/>
      </c>
      <c r="H707" s="11" t="str">
        <f aca="false">IF($A707="","",IF(MAX($E707,$F707,$G707)&gt;1,"중복","-"))</f>
        <v/>
      </c>
      <c r="I707" s="11" t="str">
        <f aca="false">IF($A707="","",IF($H707="-","-",IF(AND(IF(원본명단!$H706="",TRUE(),COUNTIF(원본명단!$H$3:$H706,원본명단!$H706)=1),IF(원본명단!$I706="",TRUE(),COUNTIF(원본명단!$I$3:$I706,원본명단!$I706)=1),IF(원본명단!$K706="",TRUE(),COUNTIF(원본명단!$K$3:$K706,원본명단!$K706)=1)),"첫 건","중복 건")))</f>
        <v/>
      </c>
      <c r="J707" s="11" t="str">
        <f aca="false">IF($A707="","",IF($H707="-","유지",IF($I707="첫 건","유지","확인 필요")))</f>
        <v/>
      </c>
    </row>
    <row r="708" customFormat="false" ht="15" hidden="false" customHeight="true" outlineLevel="0" collapsed="false">
      <c r="A708" s="11" t="str">
        <f aca="false">IF(원본명단!$A707="","",705)</f>
        <v/>
      </c>
      <c r="B708" s="12" t="str">
        <f aca="false">IF($A708="","",원본명단!$A707)</f>
        <v/>
      </c>
      <c r="C708" s="12" t="str">
        <f aca="false">IF($A708="","",원본명단!$B707)</f>
        <v/>
      </c>
      <c r="D708" s="12" t="str">
        <f aca="false">IF($A708="","",원본명단!$D707)</f>
        <v/>
      </c>
      <c r="E708" s="11" t="str">
        <f aca="false">IF($A708="","",IF(원본명단!$H707="",0,COUNTIF(원본명단!$H$3:$H$6002,원본명단!$H707)))</f>
        <v/>
      </c>
      <c r="F708" s="11" t="str">
        <f aca="false">IF($A708="","",IF(원본명단!$I707="",0,COUNTIF(원본명단!$I$3:$I$6002,원본명단!$I707)))</f>
        <v/>
      </c>
      <c r="G708" s="11" t="str">
        <f aca="false">IF($A708="","",IF(원본명단!$K707="",0,COUNTIF(원본명단!$K$3:$K$6002,원본명단!$K707)))</f>
        <v/>
      </c>
      <c r="H708" s="11" t="str">
        <f aca="false">IF($A708="","",IF(MAX($E708,$F708,$G708)&gt;1,"중복","-"))</f>
        <v/>
      </c>
      <c r="I708" s="11" t="str">
        <f aca="false">IF($A708="","",IF($H708="-","-",IF(AND(IF(원본명단!$H707="",TRUE(),COUNTIF(원본명단!$H$3:$H707,원본명단!$H707)=1),IF(원본명단!$I707="",TRUE(),COUNTIF(원본명단!$I$3:$I707,원본명단!$I707)=1),IF(원본명단!$K707="",TRUE(),COUNTIF(원본명단!$K$3:$K707,원본명단!$K707)=1)),"첫 건","중복 건")))</f>
        <v/>
      </c>
      <c r="J708" s="11" t="str">
        <f aca="false">IF($A708="","",IF($H708="-","유지",IF($I708="첫 건","유지","확인 필요")))</f>
        <v/>
      </c>
    </row>
    <row r="709" customFormat="false" ht="15" hidden="false" customHeight="true" outlineLevel="0" collapsed="false">
      <c r="A709" s="11" t="str">
        <f aca="false">IF(원본명단!$A708="","",706)</f>
        <v/>
      </c>
      <c r="B709" s="12" t="str">
        <f aca="false">IF($A709="","",원본명단!$A708)</f>
        <v/>
      </c>
      <c r="C709" s="12" t="str">
        <f aca="false">IF($A709="","",원본명단!$B708)</f>
        <v/>
      </c>
      <c r="D709" s="12" t="str">
        <f aca="false">IF($A709="","",원본명단!$D708)</f>
        <v/>
      </c>
      <c r="E709" s="11" t="str">
        <f aca="false">IF($A709="","",IF(원본명단!$H708="",0,COUNTIF(원본명단!$H$3:$H$6002,원본명단!$H708)))</f>
        <v/>
      </c>
      <c r="F709" s="11" t="str">
        <f aca="false">IF($A709="","",IF(원본명단!$I708="",0,COUNTIF(원본명단!$I$3:$I$6002,원본명단!$I708)))</f>
        <v/>
      </c>
      <c r="G709" s="11" t="str">
        <f aca="false">IF($A709="","",IF(원본명단!$K708="",0,COUNTIF(원본명단!$K$3:$K$6002,원본명단!$K708)))</f>
        <v/>
      </c>
      <c r="H709" s="11" t="str">
        <f aca="false">IF($A709="","",IF(MAX($E709,$F709,$G709)&gt;1,"중복","-"))</f>
        <v/>
      </c>
      <c r="I709" s="11" t="str">
        <f aca="false">IF($A709="","",IF($H709="-","-",IF(AND(IF(원본명단!$H708="",TRUE(),COUNTIF(원본명단!$H$3:$H708,원본명단!$H708)=1),IF(원본명단!$I708="",TRUE(),COUNTIF(원본명단!$I$3:$I708,원본명단!$I708)=1),IF(원본명단!$K708="",TRUE(),COUNTIF(원본명단!$K$3:$K708,원본명단!$K708)=1)),"첫 건","중복 건")))</f>
        <v/>
      </c>
      <c r="J709" s="11" t="str">
        <f aca="false">IF($A709="","",IF($H709="-","유지",IF($I709="첫 건","유지","확인 필요")))</f>
        <v/>
      </c>
    </row>
    <row r="710" customFormat="false" ht="15" hidden="false" customHeight="true" outlineLevel="0" collapsed="false">
      <c r="A710" s="11" t="str">
        <f aca="false">IF(원본명단!$A709="","",707)</f>
        <v/>
      </c>
      <c r="B710" s="12" t="str">
        <f aca="false">IF($A710="","",원본명단!$A709)</f>
        <v/>
      </c>
      <c r="C710" s="12" t="str">
        <f aca="false">IF($A710="","",원본명단!$B709)</f>
        <v/>
      </c>
      <c r="D710" s="12" t="str">
        <f aca="false">IF($A710="","",원본명단!$D709)</f>
        <v/>
      </c>
      <c r="E710" s="11" t="str">
        <f aca="false">IF($A710="","",IF(원본명단!$H709="",0,COUNTIF(원본명단!$H$3:$H$6002,원본명단!$H709)))</f>
        <v/>
      </c>
      <c r="F710" s="11" t="str">
        <f aca="false">IF($A710="","",IF(원본명단!$I709="",0,COUNTIF(원본명단!$I$3:$I$6002,원본명단!$I709)))</f>
        <v/>
      </c>
      <c r="G710" s="11" t="str">
        <f aca="false">IF($A710="","",IF(원본명단!$K709="",0,COUNTIF(원본명단!$K$3:$K$6002,원본명단!$K709)))</f>
        <v/>
      </c>
      <c r="H710" s="11" t="str">
        <f aca="false">IF($A710="","",IF(MAX($E710,$F710,$G710)&gt;1,"중복","-"))</f>
        <v/>
      </c>
      <c r="I710" s="11" t="str">
        <f aca="false">IF($A710="","",IF($H710="-","-",IF(AND(IF(원본명단!$H709="",TRUE(),COUNTIF(원본명단!$H$3:$H709,원본명단!$H709)=1),IF(원본명단!$I709="",TRUE(),COUNTIF(원본명단!$I$3:$I709,원본명단!$I709)=1),IF(원본명단!$K709="",TRUE(),COUNTIF(원본명단!$K$3:$K709,원본명단!$K709)=1)),"첫 건","중복 건")))</f>
        <v/>
      </c>
      <c r="J710" s="11" t="str">
        <f aca="false">IF($A710="","",IF($H710="-","유지",IF($I710="첫 건","유지","확인 필요")))</f>
        <v/>
      </c>
    </row>
    <row r="711" customFormat="false" ht="15" hidden="false" customHeight="true" outlineLevel="0" collapsed="false">
      <c r="A711" s="11" t="str">
        <f aca="false">IF(원본명단!$A710="","",708)</f>
        <v/>
      </c>
      <c r="B711" s="12" t="str">
        <f aca="false">IF($A711="","",원본명단!$A710)</f>
        <v/>
      </c>
      <c r="C711" s="12" t="str">
        <f aca="false">IF($A711="","",원본명단!$B710)</f>
        <v/>
      </c>
      <c r="D711" s="12" t="str">
        <f aca="false">IF($A711="","",원본명단!$D710)</f>
        <v/>
      </c>
      <c r="E711" s="11" t="str">
        <f aca="false">IF($A711="","",IF(원본명단!$H710="",0,COUNTIF(원본명단!$H$3:$H$6002,원본명단!$H710)))</f>
        <v/>
      </c>
      <c r="F711" s="11" t="str">
        <f aca="false">IF($A711="","",IF(원본명단!$I710="",0,COUNTIF(원본명단!$I$3:$I$6002,원본명단!$I710)))</f>
        <v/>
      </c>
      <c r="G711" s="11" t="str">
        <f aca="false">IF($A711="","",IF(원본명단!$K710="",0,COUNTIF(원본명단!$K$3:$K$6002,원본명단!$K710)))</f>
        <v/>
      </c>
      <c r="H711" s="11" t="str">
        <f aca="false">IF($A711="","",IF(MAX($E711,$F711,$G711)&gt;1,"중복","-"))</f>
        <v/>
      </c>
      <c r="I711" s="11" t="str">
        <f aca="false">IF($A711="","",IF($H711="-","-",IF(AND(IF(원본명단!$H710="",TRUE(),COUNTIF(원본명단!$H$3:$H710,원본명단!$H710)=1),IF(원본명단!$I710="",TRUE(),COUNTIF(원본명단!$I$3:$I710,원본명단!$I710)=1),IF(원본명단!$K710="",TRUE(),COUNTIF(원본명단!$K$3:$K710,원본명단!$K710)=1)),"첫 건","중복 건")))</f>
        <v/>
      </c>
      <c r="J711" s="11" t="str">
        <f aca="false">IF($A711="","",IF($H711="-","유지",IF($I711="첫 건","유지","확인 필요")))</f>
        <v/>
      </c>
    </row>
    <row r="712" customFormat="false" ht="15" hidden="false" customHeight="true" outlineLevel="0" collapsed="false">
      <c r="A712" s="11" t="str">
        <f aca="false">IF(원본명단!$A711="","",709)</f>
        <v/>
      </c>
      <c r="B712" s="12" t="str">
        <f aca="false">IF($A712="","",원본명단!$A711)</f>
        <v/>
      </c>
      <c r="C712" s="12" t="str">
        <f aca="false">IF($A712="","",원본명단!$B711)</f>
        <v/>
      </c>
      <c r="D712" s="12" t="str">
        <f aca="false">IF($A712="","",원본명단!$D711)</f>
        <v/>
      </c>
      <c r="E712" s="11" t="str">
        <f aca="false">IF($A712="","",IF(원본명단!$H711="",0,COUNTIF(원본명단!$H$3:$H$6002,원본명단!$H711)))</f>
        <v/>
      </c>
      <c r="F712" s="11" t="str">
        <f aca="false">IF($A712="","",IF(원본명단!$I711="",0,COUNTIF(원본명단!$I$3:$I$6002,원본명단!$I711)))</f>
        <v/>
      </c>
      <c r="G712" s="11" t="str">
        <f aca="false">IF($A712="","",IF(원본명단!$K711="",0,COUNTIF(원본명단!$K$3:$K$6002,원본명단!$K711)))</f>
        <v/>
      </c>
      <c r="H712" s="11" t="str">
        <f aca="false">IF($A712="","",IF(MAX($E712,$F712,$G712)&gt;1,"중복","-"))</f>
        <v/>
      </c>
      <c r="I712" s="11" t="str">
        <f aca="false">IF($A712="","",IF($H712="-","-",IF(AND(IF(원본명단!$H711="",TRUE(),COUNTIF(원본명단!$H$3:$H711,원본명단!$H711)=1),IF(원본명단!$I711="",TRUE(),COUNTIF(원본명단!$I$3:$I711,원본명단!$I711)=1),IF(원본명단!$K711="",TRUE(),COUNTIF(원본명단!$K$3:$K711,원본명단!$K711)=1)),"첫 건","중복 건")))</f>
        <v/>
      </c>
      <c r="J712" s="11" t="str">
        <f aca="false">IF($A712="","",IF($H712="-","유지",IF($I712="첫 건","유지","확인 필요")))</f>
        <v/>
      </c>
    </row>
    <row r="713" customFormat="false" ht="15" hidden="false" customHeight="true" outlineLevel="0" collapsed="false">
      <c r="A713" s="11" t="str">
        <f aca="false">IF(원본명단!$A712="","",710)</f>
        <v/>
      </c>
      <c r="B713" s="12" t="str">
        <f aca="false">IF($A713="","",원본명단!$A712)</f>
        <v/>
      </c>
      <c r="C713" s="12" t="str">
        <f aca="false">IF($A713="","",원본명단!$B712)</f>
        <v/>
      </c>
      <c r="D713" s="12" t="str">
        <f aca="false">IF($A713="","",원본명단!$D712)</f>
        <v/>
      </c>
      <c r="E713" s="11" t="str">
        <f aca="false">IF($A713="","",IF(원본명단!$H712="",0,COUNTIF(원본명단!$H$3:$H$6002,원본명단!$H712)))</f>
        <v/>
      </c>
      <c r="F713" s="11" t="str">
        <f aca="false">IF($A713="","",IF(원본명단!$I712="",0,COUNTIF(원본명단!$I$3:$I$6002,원본명단!$I712)))</f>
        <v/>
      </c>
      <c r="G713" s="11" t="str">
        <f aca="false">IF($A713="","",IF(원본명단!$K712="",0,COUNTIF(원본명단!$K$3:$K$6002,원본명단!$K712)))</f>
        <v/>
      </c>
      <c r="H713" s="11" t="str">
        <f aca="false">IF($A713="","",IF(MAX($E713,$F713,$G713)&gt;1,"중복","-"))</f>
        <v/>
      </c>
      <c r="I713" s="11" t="str">
        <f aca="false">IF($A713="","",IF($H713="-","-",IF(AND(IF(원본명단!$H712="",TRUE(),COUNTIF(원본명단!$H$3:$H712,원본명단!$H712)=1),IF(원본명단!$I712="",TRUE(),COUNTIF(원본명단!$I$3:$I712,원본명단!$I712)=1),IF(원본명단!$K712="",TRUE(),COUNTIF(원본명단!$K$3:$K712,원본명단!$K712)=1)),"첫 건","중복 건")))</f>
        <v/>
      </c>
      <c r="J713" s="11" t="str">
        <f aca="false">IF($A713="","",IF($H713="-","유지",IF($I713="첫 건","유지","확인 필요")))</f>
        <v/>
      </c>
    </row>
    <row r="714" customFormat="false" ht="15" hidden="false" customHeight="true" outlineLevel="0" collapsed="false">
      <c r="A714" s="11" t="str">
        <f aca="false">IF(원본명단!$A713="","",711)</f>
        <v/>
      </c>
      <c r="B714" s="12" t="str">
        <f aca="false">IF($A714="","",원본명단!$A713)</f>
        <v/>
      </c>
      <c r="C714" s="12" t="str">
        <f aca="false">IF($A714="","",원본명단!$B713)</f>
        <v/>
      </c>
      <c r="D714" s="12" t="str">
        <f aca="false">IF($A714="","",원본명단!$D713)</f>
        <v/>
      </c>
      <c r="E714" s="11" t="str">
        <f aca="false">IF($A714="","",IF(원본명단!$H713="",0,COUNTIF(원본명단!$H$3:$H$6002,원본명단!$H713)))</f>
        <v/>
      </c>
      <c r="F714" s="11" t="str">
        <f aca="false">IF($A714="","",IF(원본명단!$I713="",0,COUNTIF(원본명단!$I$3:$I$6002,원본명단!$I713)))</f>
        <v/>
      </c>
      <c r="G714" s="11" t="str">
        <f aca="false">IF($A714="","",IF(원본명단!$K713="",0,COUNTIF(원본명단!$K$3:$K$6002,원본명단!$K713)))</f>
        <v/>
      </c>
      <c r="H714" s="11" t="str">
        <f aca="false">IF($A714="","",IF(MAX($E714,$F714,$G714)&gt;1,"중복","-"))</f>
        <v/>
      </c>
      <c r="I714" s="11" t="str">
        <f aca="false">IF($A714="","",IF($H714="-","-",IF(AND(IF(원본명단!$H713="",TRUE(),COUNTIF(원본명단!$H$3:$H713,원본명단!$H713)=1),IF(원본명단!$I713="",TRUE(),COUNTIF(원본명단!$I$3:$I713,원본명단!$I713)=1),IF(원본명단!$K713="",TRUE(),COUNTIF(원본명단!$K$3:$K713,원본명단!$K713)=1)),"첫 건","중복 건")))</f>
        <v/>
      </c>
      <c r="J714" s="11" t="str">
        <f aca="false">IF($A714="","",IF($H714="-","유지",IF($I714="첫 건","유지","확인 필요")))</f>
        <v/>
      </c>
    </row>
    <row r="715" customFormat="false" ht="15" hidden="false" customHeight="true" outlineLevel="0" collapsed="false">
      <c r="A715" s="11" t="str">
        <f aca="false">IF(원본명단!$A714="","",712)</f>
        <v/>
      </c>
      <c r="B715" s="12" t="str">
        <f aca="false">IF($A715="","",원본명단!$A714)</f>
        <v/>
      </c>
      <c r="C715" s="12" t="str">
        <f aca="false">IF($A715="","",원본명단!$B714)</f>
        <v/>
      </c>
      <c r="D715" s="12" t="str">
        <f aca="false">IF($A715="","",원본명단!$D714)</f>
        <v/>
      </c>
      <c r="E715" s="11" t="str">
        <f aca="false">IF($A715="","",IF(원본명단!$H714="",0,COUNTIF(원본명단!$H$3:$H$6002,원본명단!$H714)))</f>
        <v/>
      </c>
      <c r="F715" s="11" t="str">
        <f aca="false">IF($A715="","",IF(원본명단!$I714="",0,COUNTIF(원본명단!$I$3:$I$6002,원본명단!$I714)))</f>
        <v/>
      </c>
      <c r="G715" s="11" t="str">
        <f aca="false">IF($A715="","",IF(원본명단!$K714="",0,COUNTIF(원본명단!$K$3:$K$6002,원본명단!$K714)))</f>
        <v/>
      </c>
      <c r="H715" s="11" t="str">
        <f aca="false">IF($A715="","",IF(MAX($E715,$F715,$G715)&gt;1,"중복","-"))</f>
        <v/>
      </c>
      <c r="I715" s="11" t="str">
        <f aca="false">IF($A715="","",IF($H715="-","-",IF(AND(IF(원본명단!$H714="",TRUE(),COUNTIF(원본명단!$H$3:$H714,원본명단!$H714)=1),IF(원본명단!$I714="",TRUE(),COUNTIF(원본명단!$I$3:$I714,원본명단!$I714)=1),IF(원본명단!$K714="",TRUE(),COUNTIF(원본명단!$K$3:$K714,원본명단!$K714)=1)),"첫 건","중복 건")))</f>
        <v/>
      </c>
      <c r="J715" s="11" t="str">
        <f aca="false">IF($A715="","",IF($H715="-","유지",IF($I715="첫 건","유지","확인 필요")))</f>
        <v/>
      </c>
    </row>
    <row r="716" customFormat="false" ht="15" hidden="false" customHeight="true" outlineLevel="0" collapsed="false">
      <c r="A716" s="11" t="str">
        <f aca="false">IF(원본명단!$A715="","",713)</f>
        <v/>
      </c>
      <c r="B716" s="12" t="str">
        <f aca="false">IF($A716="","",원본명단!$A715)</f>
        <v/>
      </c>
      <c r="C716" s="12" t="str">
        <f aca="false">IF($A716="","",원본명단!$B715)</f>
        <v/>
      </c>
      <c r="D716" s="12" t="str">
        <f aca="false">IF($A716="","",원본명단!$D715)</f>
        <v/>
      </c>
      <c r="E716" s="11" t="str">
        <f aca="false">IF($A716="","",IF(원본명단!$H715="",0,COUNTIF(원본명단!$H$3:$H$6002,원본명단!$H715)))</f>
        <v/>
      </c>
      <c r="F716" s="11" t="str">
        <f aca="false">IF($A716="","",IF(원본명단!$I715="",0,COUNTIF(원본명단!$I$3:$I$6002,원본명단!$I715)))</f>
        <v/>
      </c>
      <c r="G716" s="11" t="str">
        <f aca="false">IF($A716="","",IF(원본명단!$K715="",0,COUNTIF(원본명단!$K$3:$K$6002,원본명단!$K715)))</f>
        <v/>
      </c>
      <c r="H716" s="11" t="str">
        <f aca="false">IF($A716="","",IF(MAX($E716,$F716,$G716)&gt;1,"중복","-"))</f>
        <v/>
      </c>
      <c r="I716" s="11" t="str">
        <f aca="false">IF($A716="","",IF($H716="-","-",IF(AND(IF(원본명단!$H715="",TRUE(),COUNTIF(원본명단!$H$3:$H715,원본명단!$H715)=1),IF(원본명단!$I715="",TRUE(),COUNTIF(원본명단!$I$3:$I715,원본명단!$I715)=1),IF(원본명단!$K715="",TRUE(),COUNTIF(원본명단!$K$3:$K715,원본명단!$K715)=1)),"첫 건","중복 건")))</f>
        <v/>
      </c>
      <c r="J716" s="11" t="str">
        <f aca="false">IF($A716="","",IF($H716="-","유지",IF($I716="첫 건","유지","확인 필요")))</f>
        <v/>
      </c>
    </row>
    <row r="717" customFormat="false" ht="15" hidden="false" customHeight="true" outlineLevel="0" collapsed="false">
      <c r="A717" s="11" t="str">
        <f aca="false">IF(원본명단!$A716="","",714)</f>
        <v/>
      </c>
      <c r="B717" s="12" t="str">
        <f aca="false">IF($A717="","",원본명단!$A716)</f>
        <v/>
      </c>
      <c r="C717" s="12" t="str">
        <f aca="false">IF($A717="","",원본명단!$B716)</f>
        <v/>
      </c>
      <c r="D717" s="12" t="str">
        <f aca="false">IF($A717="","",원본명단!$D716)</f>
        <v/>
      </c>
      <c r="E717" s="11" t="str">
        <f aca="false">IF($A717="","",IF(원본명단!$H716="",0,COUNTIF(원본명단!$H$3:$H$6002,원본명단!$H716)))</f>
        <v/>
      </c>
      <c r="F717" s="11" t="str">
        <f aca="false">IF($A717="","",IF(원본명단!$I716="",0,COUNTIF(원본명단!$I$3:$I$6002,원본명단!$I716)))</f>
        <v/>
      </c>
      <c r="G717" s="11" t="str">
        <f aca="false">IF($A717="","",IF(원본명단!$K716="",0,COUNTIF(원본명단!$K$3:$K$6002,원본명단!$K716)))</f>
        <v/>
      </c>
      <c r="H717" s="11" t="str">
        <f aca="false">IF($A717="","",IF(MAX($E717,$F717,$G717)&gt;1,"중복","-"))</f>
        <v/>
      </c>
      <c r="I717" s="11" t="str">
        <f aca="false">IF($A717="","",IF($H717="-","-",IF(AND(IF(원본명단!$H716="",TRUE(),COUNTIF(원본명단!$H$3:$H716,원본명단!$H716)=1),IF(원본명단!$I716="",TRUE(),COUNTIF(원본명단!$I$3:$I716,원본명단!$I716)=1),IF(원본명단!$K716="",TRUE(),COUNTIF(원본명단!$K$3:$K716,원본명단!$K716)=1)),"첫 건","중복 건")))</f>
        <v/>
      </c>
      <c r="J717" s="11" t="str">
        <f aca="false">IF($A717="","",IF($H717="-","유지",IF($I717="첫 건","유지","확인 필요")))</f>
        <v/>
      </c>
    </row>
    <row r="718" customFormat="false" ht="15" hidden="false" customHeight="true" outlineLevel="0" collapsed="false">
      <c r="A718" s="11" t="str">
        <f aca="false">IF(원본명단!$A717="","",715)</f>
        <v/>
      </c>
      <c r="B718" s="12" t="str">
        <f aca="false">IF($A718="","",원본명단!$A717)</f>
        <v/>
      </c>
      <c r="C718" s="12" t="str">
        <f aca="false">IF($A718="","",원본명단!$B717)</f>
        <v/>
      </c>
      <c r="D718" s="12" t="str">
        <f aca="false">IF($A718="","",원본명단!$D717)</f>
        <v/>
      </c>
      <c r="E718" s="11" t="str">
        <f aca="false">IF($A718="","",IF(원본명단!$H717="",0,COUNTIF(원본명단!$H$3:$H$6002,원본명단!$H717)))</f>
        <v/>
      </c>
      <c r="F718" s="11" t="str">
        <f aca="false">IF($A718="","",IF(원본명단!$I717="",0,COUNTIF(원본명단!$I$3:$I$6002,원본명단!$I717)))</f>
        <v/>
      </c>
      <c r="G718" s="11" t="str">
        <f aca="false">IF($A718="","",IF(원본명단!$K717="",0,COUNTIF(원본명단!$K$3:$K$6002,원본명단!$K717)))</f>
        <v/>
      </c>
      <c r="H718" s="11" t="str">
        <f aca="false">IF($A718="","",IF(MAX($E718,$F718,$G718)&gt;1,"중복","-"))</f>
        <v/>
      </c>
      <c r="I718" s="11" t="str">
        <f aca="false">IF($A718="","",IF($H718="-","-",IF(AND(IF(원본명단!$H717="",TRUE(),COUNTIF(원본명단!$H$3:$H717,원본명단!$H717)=1),IF(원본명단!$I717="",TRUE(),COUNTIF(원본명단!$I$3:$I717,원본명단!$I717)=1),IF(원본명단!$K717="",TRUE(),COUNTIF(원본명단!$K$3:$K717,원본명단!$K717)=1)),"첫 건","중복 건")))</f>
        <v/>
      </c>
      <c r="J718" s="11" t="str">
        <f aca="false">IF($A718="","",IF($H718="-","유지",IF($I718="첫 건","유지","확인 필요")))</f>
        <v/>
      </c>
    </row>
    <row r="719" customFormat="false" ht="15" hidden="false" customHeight="true" outlineLevel="0" collapsed="false">
      <c r="A719" s="11" t="str">
        <f aca="false">IF(원본명단!$A718="","",716)</f>
        <v/>
      </c>
      <c r="B719" s="12" t="str">
        <f aca="false">IF($A719="","",원본명단!$A718)</f>
        <v/>
      </c>
      <c r="C719" s="12" t="str">
        <f aca="false">IF($A719="","",원본명단!$B718)</f>
        <v/>
      </c>
      <c r="D719" s="12" t="str">
        <f aca="false">IF($A719="","",원본명단!$D718)</f>
        <v/>
      </c>
      <c r="E719" s="11" t="str">
        <f aca="false">IF($A719="","",IF(원본명단!$H718="",0,COUNTIF(원본명단!$H$3:$H$6002,원본명단!$H718)))</f>
        <v/>
      </c>
      <c r="F719" s="11" t="str">
        <f aca="false">IF($A719="","",IF(원본명단!$I718="",0,COUNTIF(원본명단!$I$3:$I$6002,원본명단!$I718)))</f>
        <v/>
      </c>
      <c r="G719" s="11" t="str">
        <f aca="false">IF($A719="","",IF(원본명단!$K718="",0,COUNTIF(원본명단!$K$3:$K$6002,원본명단!$K718)))</f>
        <v/>
      </c>
      <c r="H719" s="11" t="str">
        <f aca="false">IF($A719="","",IF(MAX($E719,$F719,$G719)&gt;1,"중복","-"))</f>
        <v/>
      </c>
      <c r="I719" s="11" t="str">
        <f aca="false">IF($A719="","",IF($H719="-","-",IF(AND(IF(원본명단!$H718="",TRUE(),COUNTIF(원본명단!$H$3:$H718,원본명단!$H718)=1),IF(원본명단!$I718="",TRUE(),COUNTIF(원본명단!$I$3:$I718,원본명단!$I718)=1),IF(원본명단!$K718="",TRUE(),COUNTIF(원본명단!$K$3:$K718,원본명단!$K718)=1)),"첫 건","중복 건")))</f>
        <v/>
      </c>
      <c r="J719" s="11" t="str">
        <f aca="false">IF($A719="","",IF($H719="-","유지",IF($I719="첫 건","유지","확인 필요")))</f>
        <v/>
      </c>
    </row>
    <row r="720" customFormat="false" ht="15" hidden="false" customHeight="true" outlineLevel="0" collapsed="false">
      <c r="A720" s="11" t="str">
        <f aca="false">IF(원본명단!$A719="","",717)</f>
        <v/>
      </c>
      <c r="B720" s="12" t="str">
        <f aca="false">IF($A720="","",원본명단!$A719)</f>
        <v/>
      </c>
      <c r="C720" s="12" t="str">
        <f aca="false">IF($A720="","",원본명단!$B719)</f>
        <v/>
      </c>
      <c r="D720" s="12" t="str">
        <f aca="false">IF($A720="","",원본명단!$D719)</f>
        <v/>
      </c>
      <c r="E720" s="11" t="str">
        <f aca="false">IF($A720="","",IF(원본명단!$H719="",0,COUNTIF(원본명단!$H$3:$H$6002,원본명단!$H719)))</f>
        <v/>
      </c>
      <c r="F720" s="11" t="str">
        <f aca="false">IF($A720="","",IF(원본명단!$I719="",0,COUNTIF(원본명단!$I$3:$I$6002,원본명단!$I719)))</f>
        <v/>
      </c>
      <c r="G720" s="11" t="str">
        <f aca="false">IF($A720="","",IF(원본명단!$K719="",0,COUNTIF(원본명단!$K$3:$K$6002,원본명단!$K719)))</f>
        <v/>
      </c>
      <c r="H720" s="11" t="str">
        <f aca="false">IF($A720="","",IF(MAX($E720,$F720,$G720)&gt;1,"중복","-"))</f>
        <v/>
      </c>
      <c r="I720" s="11" t="str">
        <f aca="false">IF($A720="","",IF($H720="-","-",IF(AND(IF(원본명단!$H719="",TRUE(),COUNTIF(원본명단!$H$3:$H719,원본명단!$H719)=1),IF(원본명단!$I719="",TRUE(),COUNTIF(원본명단!$I$3:$I719,원본명단!$I719)=1),IF(원본명단!$K719="",TRUE(),COUNTIF(원본명단!$K$3:$K719,원본명단!$K719)=1)),"첫 건","중복 건")))</f>
        <v/>
      </c>
      <c r="J720" s="11" t="str">
        <f aca="false">IF($A720="","",IF($H720="-","유지",IF($I720="첫 건","유지","확인 필요")))</f>
        <v/>
      </c>
    </row>
    <row r="721" customFormat="false" ht="15" hidden="false" customHeight="true" outlineLevel="0" collapsed="false">
      <c r="A721" s="11" t="str">
        <f aca="false">IF(원본명단!$A720="","",718)</f>
        <v/>
      </c>
      <c r="B721" s="12" t="str">
        <f aca="false">IF($A721="","",원본명단!$A720)</f>
        <v/>
      </c>
      <c r="C721" s="12" t="str">
        <f aca="false">IF($A721="","",원본명단!$B720)</f>
        <v/>
      </c>
      <c r="D721" s="12" t="str">
        <f aca="false">IF($A721="","",원본명단!$D720)</f>
        <v/>
      </c>
      <c r="E721" s="11" t="str">
        <f aca="false">IF($A721="","",IF(원본명단!$H720="",0,COUNTIF(원본명단!$H$3:$H$6002,원본명단!$H720)))</f>
        <v/>
      </c>
      <c r="F721" s="11" t="str">
        <f aca="false">IF($A721="","",IF(원본명단!$I720="",0,COUNTIF(원본명단!$I$3:$I$6002,원본명단!$I720)))</f>
        <v/>
      </c>
      <c r="G721" s="11" t="str">
        <f aca="false">IF($A721="","",IF(원본명단!$K720="",0,COUNTIF(원본명단!$K$3:$K$6002,원본명단!$K720)))</f>
        <v/>
      </c>
      <c r="H721" s="11" t="str">
        <f aca="false">IF($A721="","",IF(MAX($E721,$F721,$G721)&gt;1,"중복","-"))</f>
        <v/>
      </c>
      <c r="I721" s="11" t="str">
        <f aca="false">IF($A721="","",IF($H721="-","-",IF(AND(IF(원본명단!$H720="",TRUE(),COUNTIF(원본명단!$H$3:$H720,원본명단!$H720)=1),IF(원본명단!$I720="",TRUE(),COUNTIF(원본명단!$I$3:$I720,원본명단!$I720)=1),IF(원본명단!$K720="",TRUE(),COUNTIF(원본명단!$K$3:$K720,원본명단!$K720)=1)),"첫 건","중복 건")))</f>
        <v/>
      </c>
      <c r="J721" s="11" t="str">
        <f aca="false">IF($A721="","",IF($H721="-","유지",IF($I721="첫 건","유지","확인 필요")))</f>
        <v/>
      </c>
    </row>
    <row r="722" customFormat="false" ht="15" hidden="false" customHeight="true" outlineLevel="0" collapsed="false">
      <c r="A722" s="11" t="str">
        <f aca="false">IF(원본명단!$A721="","",719)</f>
        <v/>
      </c>
      <c r="B722" s="12" t="str">
        <f aca="false">IF($A722="","",원본명단!$A721)</f>
        <v/>
      </c>
      <c r="C722" s="12" t="str">
        <f aca="false">IF($A722="","",원본명단!$B721)</f>
        <v/>
      </c>
      <c r="D722" s="12" t="str">
        <f aca="false">IF($A722="","",원본명단!$D721)</f>
        <v/>
      </c>
      <c r="E722" s="11" t="str">
        <f aca="false">IF($A722="","",IF(원본명단!$H721="",0,COUNTIF(원본명단!$H$3:$H$6002,원본명단!$H721)))</f>
        <v/>
      </c>
      <c r="F722" s="11" t="str">
        <f aca="false">IF($A722="","",IF(원본명단!$I721="",0,COUNTIF(원본명단!$I$3:$I$6002,원본명단!$I721)))</f>
        <v/>
      </c>
      <c r="G722" s="11" t="str">
        <f aca="false">IF($A722="","",IF(원본명단!$K721="",0,COUNTIF(원본명단!$K$3:$K$6002,원본명단!$K721)))</f>
        <v/>
      </c>
      <c r="H722" s="11" t="str">
        <f aca="false">IF($A722="","",IF(MAX($E722,$F722,$G722)&gt;1,"중복","-"))</f>
        <v/>
      </c>
      <c r="I722" s="11" t="str">
        <f aca="false">IF($A722="","",IF($H722="-","-",IF(AND(IF(원본명단!$H721="",TRUE(),COUNTIF(원본명단!$H$3:$H721,원본명단!$H721)=1),IF(원본명단!$I721="",TRUE(),COUNTIF(원본명단!$I$3:$I721,원본명단!$I721)=1),IF(원본명단!$K721="",TRUE(),COUNTIF(원본명단!$K$3:$K721,원본명단!$K721)=1)),"첫 건","중복 건")))</f>
        <v/>
      </c>
      <c r="J722" s="11" t="str">
        <f aca="false">IF($A722="","",IF($H722="-","유지",IF($I722="첫 건","유지","확인 필요")))</f>
        <v/>
      </c>
    </row>
    <row r="723" customFormat="false" ht="15" hidden="false" customHeight="true" outlineLevel="0" collapsed="false">
      <c r="A723" s="11" t="str">
        <f aca="false">IF(원본명단!$A722="","",720)</f>
        <v/>
      </c>
      <c r="B723" s="12" t="str">
        <f aca="false">IF($A723="","",원본명단!$A722)</f>
        <v/>
      </c>
      <c r="C723" s="12" t="str">
        <f aca="false">IF($A723="","",원본명단!$B722)</f>
        <v/>
      </c>
      <c r="D723" s="12" t="str">
        <f aca="false">IF($A723="","",원본명단!$D722)</f>
        <v/>
      </c>
      <c r="E723" s="11" t="str">
        <f aca="false">IF($A723="","",IF(원본명단!$H722="",0,COUNTIF(원본명단!$H$3:$H$6002,원본명단!$H722)))</f>
        <v/>
      </c>
      <c r="F723" s="11" t="str">
        <f aca="false">IF($A723="","",IF(원본명단!$I722="",0,COUNTIF(원본명단!$I$3:$I$6002,원본명단!$I722)))</f>
        <v/>
      </c>
      <c r="G723" s="11" t="str">
        <f aca="false">IF($A723="","",IF(원본명단!$K722="",0,COUNTIF(원본명단!$K$3:$K$6002,원본명단!$K722)))</f>
        <v/>
      </c>
      <c r="H723" s="11" t="str">
        <f aca="false">IF($A723="","",IF(MAX($E723,$F723,$G723)&gt;1,"중복","-"))</f>
        <v/>
      </c>
      <c r="I723" s="11" t="str">
        <f aca="false">IF($A723="","",IF($H723="-","-",IF(AND(IF(원본명단!$H722="",TRUE(),COUNTIF(원본명단!$H$3:$H722,원본명단!$H722)=1),IF(원본명단!$I722="",TRUE(),COUNTIF(원본명단!$I$3:$I722,원본명단!$I722)=1),IF(원본명단!$K722="",TRUE(),COUNTIF(원본명단!$K$3:$K722,원본명단!$K722)=1)),"첫 건","중복 건")))</f>
        <v/>
      </c>
      <c r="J723" s="11" t="str">
        <f aca="false">IF($A723="","",IF($H723="-","유지",IF($I723="첫 건","유지","확인 필요")))</f>
        <v/>
      </c>
    </row>
    <row r="724" customFormat="false" ht="15" hidden="false" customHeight="true" outlineLevel="0" collapsed="false">
      <c r="A724" s="11" t="str">
        <f aca="false">IF(원본명단!$A723="","",721)</f>
        <v/>
      </c>
      <c r="B724" s="12" t="str">
        <f aca="false">IF($A724="","",원본명단!$A723)</f>
        <v/>
      </c>
      <c r="C724" s="12" t="str">
        <f aca="false">IF($A724="","",원본명단!$B723)</f>
        <v/>
      </c>
      <c r="D724" s="12" t="str">
        <f aca="false">IF($A724="","",원본명단!$D723)</f>
        <v/>
      </c>
      <c r="E724" s="11" t="str">
        <f aca="false">IF($A724="","",IF(원본명단!$H723="",0,COUNTIF(원본명단!$H$3:$H$6002,원본명단!$H723)))</f>
        <v/>
      </c>
      <c r="F724" s="11" t="str">
        <f aca="false">IF($A724="","",IF(원본명단!$I723="",0,COUNTIF(원본명단!$I$3:$I$6002,원본명단!$I723)))</f>
        <v/>
      </c>
      <c r="G724" s="11" t="str">
        <f aca="false">IF($A724="","",IF(원본명단!$K723="",0,COUNTIF(원본명단!$K$3:$K$6002,원본명단!$K723)))</f>
        <v/>
      </c>
      <c r="H724" s="11" t="str">
        <f aca="false">IF($A724="","",IF(MAX($E724,$F724,$G724)&gt;1,"중복","-"))</f>
        <v/>
      </c>
      <c r="I724" s="11" t="str">
        <f aca="false">IF($A724="","",IF($H724="-","-",IF(AND(IF(원본명단!$H723="",TRUE(),COUNTIF(원본명단!$H$3:$H723,원본명단!$H723)=1),IF(원본명단!$I723="",TRUE(),COUNTIF(원본명단!$I$3:$I723,원본명단!$I723)=1),IF(원본명단!$K723="",TRUE(),COUNTIF(원본명단!$K$3:$K723,원본명단!$K723)=1)),"첫 건","중복 건")))</f>
        <v/>
      </c>
      <c r="J724" s="11" t="str">
        <f aca="false">IF($A724="","",IF($H724="-","유지",IF($I724="첫 건","유지","확인 필요")))</f>
        <v/>
      </c>
    </row>
    <row r="725" customFormat="false" ht="15" hidden="false" customHeight="true" outlineLevel="0" collapsed="false">
      <c r="A725" s="11" t="str">
        <f aca="false">IF(원본명단!$A724="","",722)</f>
        <v/>
      </c>
      <c r="B725" s="12" t="str">
        <f aca="false">IF($A725="","",원본명단!$A724)</f>
        <v/>
      </c>
      <c r="C725" s="12" t="str">
        <f aca="false">IF($A725="","",원본명단!$B724)</f>
        <v/>
      </c>
      <c r="D725" s="12" t="str">
        <f aca="false">IF($A725="","",원본명단!$D724)</f>
        <v/>
      </c>
      <c r="E725" s="11" t="str">
        <f aca="false">IF($A725="","",IF(원본명단!$H724="",0,COUNTIF(원본명단!$H$3:$H$6002,원본명단!$H724)))</f>
        <v/>
      </c>
      <c r="F725" s="11" t="str">
        <f aca="false">IF($A725="","",IF(원본명단!$I724="",0,COUNTIF(원본명단!$I$3:$I$6002,원본명단!$I724)))</f>
        <v/>
      </c>
      <c r="G725" s="11" t="str">
        <f aca="false">IF($A725="","",IF(원본명단!$K724="",0,COUNTIF(원본명단!$K$3:$K$6002,원본명단!$K724)))</f>
        <v/>
      </c>
      <c r="H725" s="11" t="str">
        <f aca="false">IF($A725="","",IF(MAX($E725,$F725,$G725)&gt;1,"중복","-"))</f>
        <v/>
      </c>
      <c r="I725" s="11" t="str">
        <f aca="false">IF($A725="","",IF($H725="-","-",IF(AND(IF(원본명단!$H724="",TRUE(),COUNTIF(원본명단!$H$3:$H724,원본명단!$H724)=1),IF(원본명단!$I724="",TRUE(),COUNTIF(원본명단!$I$3:$I724,원본명단!$I724)=1),IF(원본명단!$K724="",TRUE(),COUNTIF(원본명단!$K$3:$K724,원본명단!$K724)=1)),"첫 건","중복 건")))</f>
        <v/>
      </c>
      <c r="J725" s="11" t="str">
        <f aca="false">IF($A725="","",IF($H725="-","유지",IF($I725="첫 건","유지","확인 필요")))</f>
        <v/>
      </c>
    </row>
    <row r="726" customFormat="false" ht="15" hidden="false" customHeight="true" outlineLevel="0" collapsed="false">
      <c r="A726" s="11" t="str">
        <f aca="false">IF(원본명단!$A725="","",723)</f>
        <v/>
      </c>
      <c r="B726" s="12" t="str">
        <f aca="false">IF($A726="","",원본명단!$A725)</f>
        <v/>
      </c>
      <c r="C726" s="12" t="str">
        <f aca="false">IF($A726="","",원본명단!$B725)</f>
        <v/>
      </c>
      <c r="D726" s="12" t="str">
        <f aca="false">IF($A726="","",원본명단!$D725)</f>
        <v/>
      </c>
      <c r="E726" s="11" t="str">
        <f aca="false">IF($A726="","",IF(원본명단!$H725="",0,COUNTIF(원본명단!$H$3:$H$6002,원본명단!$H725)))</f>
        <v/>
      </c>
      <c r="F726" s="11" t="str">
        <f aca="false">IF($A726="","",IF(원본명단!$I725="",0,COUNTIF(원본명단!$I$3:$I$6002,원본명단!$I725)))</f>
        <v/>
      </c>
      <c r="G726" s="11" t="str">
        <f aca="false">IF($A726="","",IF(원본명단!$K725="",0,COUNTIF(원본명단!$K$3:$K$6002,원본명단!$K725)))</f>
        <v/>
      </c>
      <c r="H726" s="11" t="str">
        <f aca="false">IF($A726="","",IF(MAX($E726,$F726,$G726)&gt;1,"중복","-"))</f>
        <v/>
      </c>
      <c r="I726" s="11" t="str">
        <f aca="false">IF($A726="","",IF($H726="-","-",IF(AND(IF(원본명단!$H725="",TRUE(),COUNTIF(원본명단!$H$3:$H725,원본명단!$H725)=1),IF(원본명단!$I725="",TRUE(),COUNTIF(원본명단!$I$3:$I725,원본명단!$I725)=1),IF(원본명단!$K725="",TRUE(),COUNTIF(원본명단!$K$3:$K725,원본명단!$K725)=1)),"첫 건","중복 건")))</f>
        <v/>
      </c>
      <c r="J726" s="11" t="str">
        <f aca="false">IF($A726="","",IF($H726="-","유지",IF($I726="첫 건","유지","확인 필요")))</f>
        <v/>
      </c>
    </row>
    <row r="727" customFormat="false" ht="15" hidden="false" customHeight="true" outlineLevel="0" collapsed="false">
      <c r="A727" s="11" t="str">
        <f aca="false">IF(원본명단!$A726="","",724)</f>
        <v/>
      </c>
      <c r="B727" s="12" t="str">
        <f aca="false">IF($A727="","",원본명단!$A726)</f>
        <v/>
      </c>
      <c r="C727" s="12" t="str">
        <f aca="false">IF($A727="","",원본명단!$B726)</f>
        <v/>
      </c>
      <c r="D727" s="12" t="str">
        <f aca="false">IF($A727="","",원본명단!$D726)</f>
        <v/>
      </c>
      <c r="E727" s="11" t="str">
        <f aca="false">IF($A727="","",IF(원본명단!$H726="",0,COUNTIF(원본명단!$H$3:$H$6002,원본명단!$H726)))</f>
        <v/>
      </c>
      <c r="F727" s="11" t="str">
        <f aca="false">IF($A727="","",IF(원본명단!$I726="",0,COUNTIF(원본명단!$I$3:$I$6002,원본명단!$I726)))</f>
        <v/>
      </c>
      <c r="G727" s="11" t="str">
        <f aca="false">IF($A727="","",IF(원본명단!$K726="",0,COUNTIF(원본명단!$K$3:$K$6002,원본명단!$K726)))</f>
        <v/>
      </c>
      <c r="H727" s="11" t="str">
        <f aca="false">IF($A727="","",IF(MAX($E727,$F727,$G727)&gt;1,"중복","-"))</f>
        <v/>
      </c>
      <c r="I727" s="11" t="str">
        <f aca="false">IF($A727="","",IF($H727="-","-",IF(AND(IF(원본명단!$H726="",TRUE(),COUNTIF(원본명단!$H$3:$H726,원본명단!$H726)=1),IF(원본명단!$I726="",TRUE(),COUNTIF(원본명단!$I$3:$I726,원본명단!$I726)=1),IF(원본명단!$K726="",TRUE(),COUNTIF(원본명단!$K$3:$K726,원본명단!$K726)=1)),"첫 건","중복 건")))</f>
        <v/>
      </c>
      <c r="J727" s="11" t="str">
        <f aca="false">IF($A727="","",IF($H727="-","유지",IF($I727="첫 건","유지","확인 필요")))</f>
        <v/>
      </c>
    </row>
    <row r="728" customFormat="false" ht="15" hidden="false" customHeight="true" outlineLevel="0" collapsed="false">
      <c r="A728" s="11" t="str">
        <f aca="false">IF(원본명단!$A727="","",725)</f>
        <v/>
      </c>
      <c r="B728" s="12" t="str">
        <f aca="false">IF($A728="","",원본명단!$A727)</f>
        <v/>
      </c>
      <c r="C728" s="12" t="str">
        <f aca="false">IF($A728="","",원본명단!$B727)</f>
        <v/>
      </c>
      <c r="D728" s="12" t="str">
        <f aca="false">IF($A728="","",원본명단!$D727)</f>
        <v/>
      </c>
      <c r="E728" s="11" t="str">
        <f aca="false">IF($A728="","",IF(원본명단!$H727="",0,COUNTIF(원본명단!$H$3:$H$6002,원본명단!$H727)))</f>
        <v/>
      </c>
      <c r="F728" s="11" t="str">
        <f aca="false">IF($A728="","",IF(원본명단!$I727="",0,COUNTIF(원본명단!$I$3:$I$6002,원본명단!$I727)))</f>
        <v/>
      </c>
      <c r="G728" s="11" t="str">
        <f aca="false">IF($A728="","",IF(원본명단!$K727="",0,COUNTIF(원본명단!$K$3:$K$6002,원본명단!$K727)))</f>
        <v/>
      </c>
      <c r="H728" s="11" t="str">
        <f aca="false">IF($A728="","",IF(MAX($E728,$F728,$G728)&gt;1,"중복","-"))</f>
        <v/>
      </c>
      <c r="I728" s="11" t="str">
        <f aca="false">IF($A728="","",IF($H728="-","-",IF(AND(IF(원본명단!$H727="",TRUE(),COUNTIF(원본명단!$H$3:$H727,원본명단!$H727)=1),IF(원본명단!$I727="",TRUE(),COUNTIF(원본명단!$I$3:$I727,원본명단!$I727)=1),IF(원본명단!$K727="",TRUE(),COUNTIF(원본명단!$K$3:$K727,원본명단!$K727)=1)),"첫 건","중복 건")))</f>
        <v/>
      </c>
      <c r="J728" s="11" t="str">
        <f aca="false">IF($A728="","",IF($H728="-","유지",IF($I728="첫 건","유지","확인 필요")))</f>
        <v/>
      </c>
    </row>
    <row r="729" customFormat="false" ht="15" hidden="false" customHeight="true" outlineLevel="0" collapsed="false">
      <c r="A729" s="11" t="str">
        <f aca="false">IF(원본명단!$A728="","",726)</f>
        <v/>
      </c>
      <c r="B729" s="12" t="str">
        <f aca="false">IF($A729="","",원본명단!$A728)</f>
        <v/>
      </c>
      <c r="C729" s="12" t="str">
        <f aca="false">IF($A729="","",원본명단!$B728)</f>
        <v/>
      </c>
      <c r="D729" s="12" t="str">
        <f aca="false">IF($A729="","",원본명단!$D728)</f>
        <v/>
      </c>
      <c r="E729" s="11" t="str">
        <f aca="false">IF($A729="","",IF(원본명단!$H728="",0,COUNTIF(원본명단!$H$3:$H$6002,원본명단!$H728)))</f>
        <v/>
      </c>
      <c r="F729" s="11" t="str">
        <f aca="false">IF($A729="","",IF(원본명단!$I728="",0,COUNTIF(원본명단!$I$3:$I$6002,원본명단!$I728)))</f>
        <v/>
      </c>
      <c r="G729" s="11" t="str">
        <f aca="false">IF($A729="","",IF(원본명단!$K728="",0,COUNTIF(원본명단!$K$3:$K$6002,원본명단!$K728)))</f>
        <v/>
      </c>
      <c r="H729" s="11" t="str">
        <f aca="false">IF($A729="","",IF(MAX($E729,$F729,$G729)&gt;1,"중복","-"))</f>
        <v/>
      </c>
      <c r="I729" s="11" t="str">
        <f aca="false">IF($A729="","",IF($H729="-","-",IF(AND(IF(원본명단!$H728="",TRUE(),COUNTIF(원본명단!$H$3:$H728,원본명단!$H728)=1),IF(원본명단!$I728="",TRUE(),COUNTIF(원본명단!$I$3:$I728,원본명단!$I728)=1),IF(원본명단!$K728="",TRUE(),COUNTIF(원본명단!$K$3:$K728,원본명단!$K728)=1)),"첫 건","중복 건")))</f>
        <v/>
      </c>
      <c r="J729" s="11" t="str">
        <f aca="false">IF($A729="","",IF($H729="-","유지",IF($I729="첫 건","유지","확인 필요")))</f>
        <v/>
      </c>
    </row>
    <row r="730" customFormat="false" ht="15" hidden="false" customHeight="true" outlineLevel="0" collapsed="false">
      <c r="A730" s="11" t="str">
        <f aca="false">IF(원본명단!$A729="","",727)</f>
        <v/>
      </c>
      <c r="B730" s="12" t="str">
        <f aca="false">IF($A730="","",원본명단!$A729)</f>
        <v/>
      </c>
      <c r="C730" s="12" t="str">
        <f aca="false">IF($A730="","",원본명단!$B729)</f>
        <v/>
      </c>
      <c r="D730" s="12" t="str">
        <f aca="false">IF($A730="","",원본명단!$D729)</f>
        <v/>
      </c>
      <c r="E730" s="11" t="str">
        <f aca="false">IF($A730="","",IF(원본명단!$H729="",0,COUNTIF(원본명단!$H$3:$H$6002,원본명단!$H729)))</f>
        <v/>
      </c>
      <c r="F730" s="11" t="str">
        <f aca="false">IF($A730="","",IF(원본명단!$I729="",0,COUNTIF(원본명단!$I$3:$I$6002,원본명단!$I729)))</f>
        <v/>
      </c>
      <c r="G730" s="11" t="str">
        <f aca="false">IF($A730="","",IF(원본명단!$K729="",0,COUNTIF(원본명단!$K$3:$K$6002,원본명단!$K729)))</f>
        <v/>
      </c>
      <c r="H730" s="11" t="str">
        <f aca="false">IF($A730="","",IF(MAX($E730,$F730,$G730)&gt;1,"중복","-"))</f>
        <v/>
      </c>
      <c r="I730" s="11" t="str">
        <f aca="false">IF($A730="","",IF($H730="-","-",IF(AND(IF(원본명단!$H729="",TRUE(),COUNTIF(원본명단!$H$3:$H729,원본명단!$H729)=1),IF(원본명단!$I729="",TRUE(),COUNTIF(원본명단!$I$3:$I729,원본명단!$I729)=1),IF(원본명단!$K729="",TRUE(),COUNTIF(원본명단!$K$3:$K729,원본명단!$K729)=1)),"첫 건","중복 건")))</f>
        <v/>
      </c>
      <c r="J730" s="11" t="str">
        <f aca="false">IF($A730="","",IF($H730="-","유지",IF($I730="첫 건","유지","확인 필요")))</f>
        <v/>
      </c>
    </row>
    <row r="731" customFormat="false" ht="15" hidden="false" customHeight="true" outlineLevel="0" collapsed="false">
      <c r="A731" s="11" t="str">
        <f aca="false">IF(원본명단!$A730="","",728)</f>
        <v/>
      </c>
      <c r="B731" s="12" t="str">
        <f aca="false">IF($A731="","",원본명단!$A730)</f>
        <v/>
      </c>
      <c r="C731" s="12" t="str">
        <f aca="false">IF($A731="","",원본명단!$B730)</f>
        <v/>
      </c>
      <c r="D731" s="12" t="str">
        <f aca="false">IF($A731="","",원본명단!$D730)</f>
        <v/>
      </c>
      <c r="E731" s="11" t="str">
        <f aca="false">IF($A731="","",IF(원본명단!$H730="",0,COUNTIF(원본명단!$H$3:$H$6002,원본명단!$H730)))</f>
        <v/>
      </c>
      <c r="F731" s="11" t="str">
        <f aca="false">IF($A731="","",IF(원본명단!$I730="",0,COUNTIF(원본명단!$I$3:$I$6002,원본명단!$I730)))</f>
        <v/>
      </c>
      <c r="G731" s="11" t="str">
        <f aca="false">IF($A731="","",IF(원본명단!$K730="",0,COUNTIF(원본명단!$K$3:$K$6002,원본명단!$K730)))</f>
        <v/>
      </c>
      <c r="H731" s="11" t="str">
        <f aca="false">IF($A731="","",IF(MAX($E731,$F731,$G731)&gt;1,"중복","-"))</f>
        <v/>
      </c>
      <c r="I731" s="11" t="str">
        <f aca="false">IF($A731="","",IF($H731="-","-",IF(AND(IF(원본명단!$H730="",TRUE(),COUNTIF(원본명단!$H$3:$H730,원본명단!$H730)=1),IF(원본명단!$I730="",TRUE(),COUNTIF(원본명단!$I$3:$I730,원본명단!$I730)=1),IF(원본명단!$K730="",TRUE(),COUNTIF(원본명단!$K$3:$K730,원본명단!$K730)=1)),"첫 건","중복 건")))</f>
        <v/>
      </c>
      <c r="J731" s="11" t="str">
        <f aca="false">IF($A731="","",IF($H731="-","유지",IF($I731="첫 건","유지","확인 필요")))</f>
        <v/>
      </c>
    </row>
    <row r="732" customFormat="false" ht="15" hidden="false" customHeight="true" outlineLevel="0" collapsed="false">
      <c r="A732" s="11" t="str">
        <f aca="false">IF(원본명단!$A731="","",729)</f>
        <v/>
      </c>
      <c r="B732" s="12" t="str">
        <f aca="false">IF($A732="","",원본명단!$A731)</f>
        <v/>
      </c>
      <c r="C732" s="12" t="str">
        <f aca="false">IF($A732="","",원본명단!$B731)</f>
        <v/>
      </c>
      <c r="D732" s="12" t="str">
        <f aca="false">IF($A732="","",원본명단!$D731)</f>
        <v/>
      </c>
      <c r="E732" s="11" t="str">
        <f aca="false">IF($A732="","",IF(원본명단!$H731="",0,COUNTIF(원본명단!$H$3:$H$6002,원본명단!$H731)))</f>
        <v/>
      </c>
      <c r="F732" s="11" t="str">
        <f aca="false">IF($A732="","",IF(원본명단!$I731="",0,COUNTIF(원본명단!$I$3:$I$6002,원본명단!$I731)))</f>
        <v/>
      </c>
      <c r="G732" s="11" t="str">
        <f aca="false">IF($A732="","",IF(원본명단!$K731="",0,COUNTIF(원본명단!$K$3:$K$6002,원본명단!$K731)))</f>
        <v/>
      </c>
      <c r="H732" s="11" t="str">
        <f aca="false">IF($A732="","",IF(MAX($E732,$F732,$G732)&gt;1,"중복","-"))</f>
        <v/>
      </c>
      <c r="I732" s="11" t="str">
        <f aca="false">IF($A732="","",IF($H732="-","-",IF(AND(IF(원본명단!$H731="",TRUE(),COUNTIF(원본명단!$H$3:$H731,원본명단!$H731)=1),IF(원본명단!$I731="",TRUE(),COUNTIF(원본명단!$I$3:$I731,원본명단!$I731)=1),IF(원본명단!$K731="",TRUE(),COUNTIF(원본명단!$K$3:$K731,원본명단!$K731)=1)),"첫 건","중복 건")))</f>
        <v/>
      </c>
      <c r="J732" s="11" t="str">
        <f aca="false">IF($A732="","",IF($H732="-","유지",IF($I732="첫 건","유지","확인 필요")))</f>
        <v/>
      </c>
    </row>
    <row r="733" customFormat="false" ht="15" hidden="false" customHeight="true" outlineLevel="0" collapsed="false">
      <c r="A733" s="11" t="str">
        <f aca="false">IF(원본명단!$A732="","",730)</f>
        <v/>
      </c>
      <c r="B733" s="12" t="str">
        <f aca="false">IF($A733="","",원본명단!$A732)</f>
        <v/>
      </c>
      <c r="C733" s="12" t="str">
        <f aca="false">IF($A733="","",원본명단!$B732)</f>
        <v/>
      </c>
      <c r="D733" s="12" t="str">
        <f aca="false">IF($A733="","",원본명단!$D732)</f>
        <v/>
      </c>
      <c r="E733" s="11" t="str">
        <f aca="false">IF($A733="","",IF(원본명단!$H732="",0,COUNTIF(원본명단!$H$3:$H$6002,원본명단!$H732)))</f>
        <v/>
      </c>
      <c r="F733" s="11" t="str">
        <f aca="false">IF($A733="","",IF(원본명단!$I732="",0,COUNTIF(원본명단!$I$3:$I$6002,원본명단!$I732)))</f>
        <v/>
      </c>
      <c r="G733" s="11" t="str">
        <f aca="false">IF($A733="","",IF(원본명단!$K732="",0,COUNTIF(원본명단!$K$3:$K$6002,원본명단!$K732)))</f>
        <v/>
      </c>
      <c r="H733" s="11" t="str">
        <f aca="false">IF($A733="","",IF(MAX($E733,$F733,$G733)&gt;1,"중복","-"))</f>
        <v/>
      </c>
      <c r="I733" s="11" t="str">
        <f aca="false">IF($A733="","",IF($H733="-","-",IF(AND(IF(원본명단!$H732="",TRUE(),COUNTIF(원본명단!$H$3:$H732,원본명단!$H732)=1),IF(원본명단!$I732="",TRUE(),COUNTIF(원본명단!$I$3:$I732,원본명단!$I732)=1),IF(원본명단!$K732="",TRUE(),COUNTIF(원본명단!$K$3:$K732,원본명단!$K732)=1)),"첫 건","중복 건")))</f>
        <v/>
      </c>
      <c r="J733" s="11" t="str">
        <f aca="false">IF($A733="","",IF($H733="-","유지",IF($I733="첫 건","유지","확인 필요")))</f>
        <v/>
      </c>
    </row>
    <row r="734" customFormat="false" ht="15" hidden="false" customHeight="true" outlineLevel="0" collapsed="false">
      <c r="A734" s="11" t="str">
        <f aca="false">IF(원본명단!$A733="","",731)</f>
        <v/>
      </c>
      <c r="B734" s="12" t="str">
        <f aca="false">IF($A734="","",원본명단!$A733)</f>
        <v/>
      </c>
      <c r="C734" s="12" t="str">
        <f aca="false">IF($A734="","",원본명단!$B733)</f>
        <v/>
      </c>
      <c r="D734" s="12" t="str">
        <f aca="false">IF($A734="","",원본명단!$D733)</f>
        <v/>
      </c>
      <c r="E734" s="11" t="str">
        <f aca="false">IF($A734="","",IF(원본명단!$H733="",0,COUNTIF(원본명단!$H$3:$H$6002,원본명단!$H733)))</f>
        <v/>
      </c>
      <c r="F734" s="11" t="str">
        <f aca="false">IF($A734="","",IF(원본명단!$I733="",0,COUNTIF(원본명단!$I$3:$I$6002,원본명단!$I733)))</f>
        <v/>
      </c>
      <c r="G734" s="11" t="str">
        <f aca="false">IF($A734="","",IF(원본명단!$K733="",0,COUNTIF(원본명단!$K$3:$K$6002,원본명단!$K733)))</f>
        <v/>
      </c>
      <c r="H734" s="11" t="str">
        <f aca="false">IF($A734="","",IF(MAX($E734,$F734,$G734)&gt;1,"중복","-"))</f>
        <v/>
      </c>
      <c r="I734" s="11" t="str">
        <f aca="false">IF($A734="","",IF($H734="-","-",IF(AND(IF(원본명단!$H733="",TRUE(),COUNTIF(원본명단!$H$3:$H733,원본명단!$H733)=1),IF(원본명단!$I733="",TRUE(),COUNTIF(원본명단!$I$3:$I733,원본명단!$I733)=1),IF(원본명단!$K733="",TRUE(),COUNTIF(원본명단!$K$3:$K733,원본명단!$K733)=1)),"첫 건","중복 건")))</f>
        <v/>
      </c>
      <c r="J734" s="11" t="str">
        <f aca="false">IF($A734="","",IF($H734="-","유지",IF($I734="첫 건","유지","확인 필요")))</f>
        <v/>
      </c>
    </row>
    <row r="735" customFormat="false" ht="15" hidden="false" customHeight="true" outlineLevel="0" collapsed="false">
      <c r="A735" s="11" t="str">
        <f aca="false">IF(원본명단!$A734="","",732)</f>
        <v/>
      </c>
      <c r="B735" s="12" t="str">
        <f aca="false">IF($A735="","",원본명단!$A734)</f>
        <v/>
      </c>
      <c r="C735" s="12" t="str">
        <f aca="false">IF($A735="","",원본명단!$B734)</f>
        <v/>
      </c>
      <c r="D735" s="12" t="str">
        <f aca="false">IF($A735="","",원본명단!$D734)</f>
        <v/>
      </c>
      <c r="E735" s="11" t="str">
        <f aca="false">IF($A735="","",IF(원본명단!$H734="",0,COUNTIF(원본명단!$H$3:$H$6002,원본명단!$H734)))</f>
        <v/>
      </c>
      <c r="F735" s="11" t="str">
        <f aca="false">IF($A735="","",IF(원본명단!$I734="",0,COUNTIF(원본명단!$I$3:$I$6002,원본명단!$I734)))</f>
        <v/>
      </c>
      <c r="G735" s="11" t="str">
        <f aca="false">IF($A735="","",IF(원본명단!$K734="",0,COUNTIF(원본명단!$K$3:$K$6002,원본명단!$K734)))</f>
        <v/>
      </c>
      <c r="H735" s="11" t="str">
        <f aca="false">IF($A735="","",IF(MAX($E735,$F735,$G735)&gt;1,"중복","-"))</f>
        <v/>
      </c>
      <c r="I735" s="11" t="str">
        <f aca="false">IF($A735="","",IF($H735="-","-",IF(AND(IF(원본명단!$H734="",TRUE(),COUNTIF(원본명단!$H$3:$H734,원본명단!$H734)=1),IF(원본명단!$I734="",TRUE(),COUNTIF(원본명단!$I$3:$I734,원본명단!$I734)=1),IF(원본명단!$K734="",TRUE(),COUNTIF(원본명단!$K$3:$K734,원본명단!$K734)=1)),"첫 건","중복 건")))</f>
        <v/>
      </c>
      <c r="J735" s="11" t="str">
        <f aca="false">IF($A735="","",IF($H735="-","유지",IF($I735="첫 건","유지","확인 필요")))</f>
        <v/>
      </c>
    </row>
    <row r="736" customFormat="false" ht="15" hidden="false" customHeight="true" outlineLevel="0" collapsed="false">
      <c r="A736" s="11" t="str">
        <f aca="false">IF(원본명단!$A735="","",733)</f>
        <v/>
      </c>
      <c r="B736" s="12" t="str">
        <f aca="false">IF($A736="","",원본명단!$A735)</f>
        <v/>
      </c>
      <c r="C736" s="12" t="str">
        <f aca="false">IF($A736="","",원본명단!$B735)</f>
        <v/>
      </c>
      <c r="D736" s="12" t="str">
        <f aca="false">IF($A736="","",원본명단!$D735)</f>
        <v/>
      </c>
      <c r="E736" s="11" t="str">
        <f aca="false">IF($A736="","",IF(원본명단!$H735="",0,COUNTIF(원본명단!$H$3:$H$6002,원본명단!$H735)))</f>
        <v/>
      </c>
      <c r="F736" s="11" t="str">
        <f aca="false">IF($A736="","",IF(원본명단!$I735="",0,COUNTIF(원본명단!$I$3:$I$6002,원본명단!$I735)))</f>
        <v/>
      </c>
      <c r="G736" s="11" t="str">
        <f aca="false">IF($A736="","",IF(원본명단!$K735="",0,COUNTIF(원본명단!$K$3:$K$6002,원본명단!$K735)))</f>
        <v/>
      </c>
      <c r="H736" s="11" t="str">
        <f aca="false">IF($A736="","",IF(MAX($E736,$F736,$G736)&gt;1,"중복","-"))</f>
        <v/>
      </c>
      <c r="I736" s="11" t="str">
        <f aca="false">IF($A736="","",IF($H736="-","-",IF(AND(IF(원본명단!$H735="",TRUE(),COUNTIF(원본명단!$H$3:$H735,원본명단!$H735)=1),IF(원본명단!$I735="",TRUE(),COUNTIF(원본명단!$I$3:$I735,원본명단!$I735)=1),IF(원본명단!$K735="",TRUE(),COUNTIF(원본명단!$K$3:$K735,원본명단!$K735)=1)),"첫 건","중복 건")))</f>
        <v/>
      </c>
      <c r="J736" s="11" t="str">
        <f aca="false">IF($A736="","",IF($H736="-","유지",IF($I736="첫 건","유지","확인 필요")))</f>
        <v/>
      </c>
    </row>
    <row r="737" customFormat="false" ht="15" hidden="false" customHeight="true" outlineLevel="0" collapsed="false">
      <c r="A737" s="11" t="str">
        <f aca="false">IF(원본명단!$A736="","",734)</f>
        <v/>
      </c>
      <c r="B737" s="12" t="str">
        <f aca="false">IF($A737="","",원본명단!$A736)</f>
        <v/>
      </c>
      <c r="C737" s="12" t="str">
        <f aca="false">IF($A737="","",원본명단!$B736)</f>
        <v/>
      </c>
      <c r="D737" s="12" t="str">
        <f aca="false">IF($A737="","",원본명단!$D736)</f>
        <v/>
      </c>
      <c r="E737" s="11" t="str">
        <f aca="false">IF($A737="","",IF(원본명단!$H736="",0,COUNTIF(원본명단!$H$3:$H$6002,원본명단!$H736)))</f>
        <v/>
      </c>
      <c r="F737" s="11" t="str">
        <f aca="false">IF($A737="","",IF(원본명단!$I736="",0,COUNTIF(원본명단!$I$3:$I$6002,원본명단!$I736)))</f>
        <v/>
      </c>
      <c r="G737" s="11" t="str">
        <f aca="false">IF($A737="","",IF(원본명단!$K736="",0,COUNTIF(원본명단!$K$3:$K$6002,원본명단!$K736)))</f>
        <v/>
      </c>
      <c r="H737" s="11" t="str">
        <f aca="false">IF($A737="","",IF(MAX($E737,$F737,$G737)&gt;1,"중복","-"))</f>
        <v/>
      </c>
      <c r="I737" s="11" t="str">
        <f aca="false">IF($A737="","",IF($H737="-","-",IF(AND(IF(원본명단!$H736="",TRUE(),COUNTIF(원본명단!$H$3:$H736,원본명단!$H736)=1),IF(원본명단!$I736="",TRUE(),COUNTIF(원본명단!$I$3:$I736,원본명단!$I736)=1),IF(원본명단!$K736="",TRUE(),COUNTIF(원본명단!$K$3:$K736,원본명단!$K736)=1)),"첫 건","중복 건")))</f>
        <v/>
      </c>
      <c r="J737" s="11" t="str">
        <f aca="false">IF($A737="","",IF($H737="-","유지",IF($I737="첫 건","유지","확인 필요")))</f>
        <v/>
      </c>
    </row>
    <row r="738" customFormat="false" ht="15" hidden="false" customHeight="true" outlineLevel="0" collapsed="false">
      <c r="A738" s="11" t="str">
        <f aca="false">IF(원본명단!$A737="","",735)</f>
        <v/>
      </c>
      <c r="B738" s="12" t="str">
        <f aca="false">IF($A738="","",원본명단!$A737)</f>
        <v/>
      </c>
      <c r="C738" s="12" t="str">
        <f aca="false">IF($A738="","",원본명단!$B737)</f>
        <v/>
      </c>
      <c r="D738" s="12" t="str">
        <f aca="false">IF($A738="","",원본명단!$D737)</f>
        <v/>
      </c>
      <c r="E738" s="11" t="str">
        <f aca="false">IF($A738="","",IF(원본명단!$H737="",0,COUNTIF(원본명단!$H$3:$H$6002,원본명단!$H737)))</f>
        <v/>
      </c>
      <c r="F738" s="11" t="str">
        <f aca="false">IF($A738="","",IF(원본명단!$I737="",0,COUNTIF(원본명단!$I$3:$I$6002,원본명단!$I737)))</f>
        <v/>
      </c>
      <c r="G738" s="11" t="str">
        <f aca="false">IF($A738="","",IF(원본명단!$K737="",0,COUNTIF(원본명단!$K$3:$K$6002,원본명단!$K737)))</f>
        <v/>
      </c>
      <c r="H738" s="11" t="str">
        <f aca="false">IF($A738="","",IF(MAX($E738,$F738,$G738)&gt;1,"중복","-"))</f>
        <v/>
      </c>
      <c r="I738" s="11" t="str">
        <f aca="false">IF($A738="","",IF($H738="-","-",IF(AND(IF(원본명단!$H737="",TRUE(),COUNTIF(원본명단!$H$3:$H737,원본명단!$H737)=1),IF(원본명단!$I737="",TRUE(),COUNTIF(원본명단!$I$3:$I737,원본명단!$I737)=1),IF(원본명단!$K737="",TRUE(),COUNTIF(원본명단!$K$3:$K737,원본명단!$K737)=1)),"첫 건","중복 건")))</f>
        <v/>
      </c>
      <c r="J738" s="11" t="str">
        <f aca="false">IF($A738="","",IF($H738="-","유지",IF($I738="첫 건","유지","확인 필요")))</f>
        <v/>
      </c>
    </row>
    <row r="739" customFormat="false" ht="15" hidden="false" customHeight="true" outlineLevel="0" collapsed="false">
      <c r="A739" s="11" t="str">
        <f aca="false">IF(원본명단!$A738="","",736)</f>
        <v/>
      </c>
      <c r="B739" s="12" t="str">
        <f aca="false">IF($A739="","",원본명단!$A738)</f>
        <v/>
      </c>
      <c r="C739" s="12" t="str">
        <f aca="false">IF($A739="","",원본명단!$B738)</f>
        <v/>
      </c>
      <c r="D739" s="12" t="str">
        <f aca="false">IF($A739="","",원본명단!$D738)</f>
        <v/>
      </c>
      <c r="E739" s="11" t="str">
        <f aca="false">IF($A739="","",IF(원본명단!$H738="",0,COUNTIF(원본명단!$H$3:$H$6002,원본명단!$H738)))</f>
        <v/>
      </c>
      <c r="F739" s="11" t="str">
        <f aca="false">IF($A739="","",IF(원본명단!$I738="",0,COUNTIF(원본명단!$I$3:$I$6002,원본명단!$I738)))</f>
        <v/>
      </c>
      <c r="G739" s="11" t="str">
        <f aca="false">IF($A739="","",IF(원본명단!$K738="",0,COUNTIF(원본명단!$K$3:$K$6002,원본명단!$K738)))</f>
        <v/>
      </c>
      <c r="H739" s="11" t="str">
        <f aca="false">IF($A739="","",IF(MAX($E739,$F739,$G739)&gt;1,"중복","-"))</f>
        <v/>
      </c>
      <c r="I739" s="11" t="str">
        <f aca="false">IF($A739="","",IF($H739="-","-",IF(AND(IF(원본명단!$H738="",TRUE(),COUNTIF(원본명단!$H$3:$H738,원본명단!$H738)=1),IF(원본명단!$I738="",TRUE(),COUNTIF(원본명단!$I$3:$I738,원본명단!$I738)=1),IF(원본명단!$K738="",TRUE(),COUNTIF(원본명단!$K$3:$K738,원본명단!$K738)=1)),"첫 건","중복 건")))</f>
        <v/>
      </c>
      <c r="J739" s="11" t="str">
        <f aca="false">IF($A739="","",IF($H739="-","유지",IF($I739="첫 건","유지","확인 필요")))</f>
        <v/>
      </c>
    </row>
    <row r="740" customFormat="false" ht="15" hidden="false" customHeight="true" outlineLevel="0" collapsed="false">
      <c r="A740" s="11" t="str">
        <f aca="false">IF(원본명단!$A739="","",737)</f>
        <v/>
      </c>
      <c r="B740" s="12" t="str">
        <f aca="false">IF($A740="","",원본명단!$A739)</f>
        <v/>
      </c>
      <c r="C740" s="12" t="str">
        <f aca="false">IF($A740="","",원본명단!$B739)</f>
        <v/>
      </c>
      <c r="D740" s="12" t="str">
        <f aca="false">IF($A740="","",원본명단!$D739)</f>
        <v/>
      </c>
      <c r="E740" s="11" t="str">
        <f aca="false">IF($A740="","",IF(원본명단!$H739="",0,COUNTIF(원본명단!$H$3:$H$6002,원본명단!$H739)))</f>
        <v/>
      </c>
      <c r="F740" s="11" t="str">
        <f aca="false">IF($A740="","",IF(원본명단!$I739="",0,COUNTIF(원본명단!$I$3:$I$6002,원본명단!$I739)))</f>
        <v/>
      </c>
      <c r="G740" s="11" t="str">
        <f aca="false">IF($A740="","",IF(원본명단!$K739="",0,COUNTIF(원본명단!$K$3:$K$6002,원본명단!$K739)))</f>
        <v/>
      </c>
      <c r="H740" s="11" t="str">
        <f aca="false">IF($A740="","",IF(MAX($E740,$F740,$G740)&gt;1,"중복","-"))</f>
        <v/>
      </c>
      <c r="I740" s="11" t="str">
        <f aca="false">IF($A740="","",IF($H740="-","-",IF(AND(IF(원본명단!$H739="",TRUE(),COUNTIF(원본명단!$H$3:$H739,원본명단!$H739)=1),IF(원본명단!$I739="",TRUE(),COUNTIF(원본명단!$I$3:$I739,원본명단!$I739)=1),IF(원본명단!$K739="",TRUE(),COUNTIF(원본명단!$K$3:$K739,원본명단!$K739)=1)),"첫 건","중복 건")))</f>
        <v/>
      </c>
      <c r="J740" s="11" t="str">
        <f aca="false">IF($A740="","",IF($H740="-","유지",IF($I740="첫 건","유지","확인 필요")))</f>
        <v/>
      </c>
    </row>
    <row r="741" customFormat="false" ht="15" hidden="false" customHeight="true" outlineLevel="0" collapsed="false">
      <c r="A741" s="11" t="str">
        <f aca="false">IF(원본명단!$A740="","",738)</f>
        <v/>
      </c>
      <c r="B741" s="12" t="str">
        <f aca="false">IF($A741="","",원본명단!$A740)</f>
        <v/>
      </c>
      <c r="C741" s="12" t="str">
        <f aca="false">IF($A741="","",원본명단!$B740)</f>
        <v/>
      </c>
      <c r="D741" s="12" t="str">
        <f aca="false">IF($A741="","",원본명단!$D740)</f>
        <v/>
      </c>
      <c r="E741" s="11" t="str">
        <f aca="false">IF($A741="","",IF(원본명단!$H740="",0,COUNTIF(원본명단!$H$3:$H$6002,원본명단!$H740)))</f>
        <v/>
      </c>
      <c r="F741" s="11" t="str">
        <f aca="false">IF($A741="","",IF(원본명단!$I740="",0,COUNTIF(원본명단!$I$3:$I$6002,원본명단!$I740)))</f>
        <v/>
      </c>
      <c r="G741" s="11" t="str">
        <f aca="false">IF($A741="","",IF(원본명단!$K740="",0,COUNTIF(원본명단!$K$3:$K$6002,원본명단!$K740)))</f>
        <v/>
      </c>
      <c r="H741" s="11" t="str">
        <f aca="false">IF($A741="","",IF(MAX($E741,$F741,$G741)&gt;1,"중복","-"))</f>
        <v/>
      </c>
      <c r="I741" s="11" t="str">
        <f aca="false">IF($A741="","",IF($H741="-","-",IF(AND(IF(원본명단!$H740="",TRUE(),COUNTIF(원본명단!$H$3:$H740,원본명단!$H740)=1),IF(원본명단!$I740="",TRUE(),COUNTIF(원본명단!$I$3:$I740,원본명단!$I740)=1),IF(원본명단!$K740="",TRUE(),COUNTIF(원본명단!$K$3:$K740,원본명단!$K740)=1)),"첫 건","중복 건")))</f>
        <v/>
      </c>
      <c r="J741" s="11" t="str">
        <f aca="false">IF($A741="","",IF($H741="-","유지",IF($I741="첫 건","유지","확인 필요")))</f>
        <v/>
      </c>
    </row>
    <row r="742" customFormat="false" ht="15" hidden="false" customHeight="true" outlineLevel="0" collapsed="false">
      <c r="A742" s="11" t="str">
        <f aca="false">IF(원본명단!$A741="","",739)</f>
        <v/>
      </c>
      <c r="B742" s="12" t="str">
        <f aca="false">IF($A742="","",원본명단!$A741)</f>
        <v/>
      </c>
      <c r="C742" s="12" t="str">
        <f aca="false">IF($A742="","",원본명단!$B741)</f>
        <v/>
      </c>
      <c r="D742" s="12" t="str">
        <f aca="false">IF($A742="","",원본명단!$D741)</f>
        <v/>
      </c>
      <c r="E742" s="11" t="str">
        <f aca="false">IF($A742="","",IF(원본명단!$H741="",0,COUNTIF(원본명단!$H$3:$H$6002,원본명단!$H741)))</f>
        <v/>
      </c>
      <c r="F742" s="11" t="str">
        <f aca="false">IF($A742="","",IF(원본명단!$I741="",0,COUNTIF(원본명단!$I$3:$I$6002,원본명단!$I741)))</f>
        <v/>
      </c>
      <c r="G742" s="11" t="str">
        <f aca="false">IF($A742="","",IF(원본명단!$K741="",0,COUNTIF(원본명단!$K$3:$K$6002,원본명단!$K741)))</f>
        <v/>
      </c>
      <c r="H742" s="11" t="str">
        <f aca="false">IF($A742="","",IF(MAX($E742,$F742,$G742)&gt;1,"중복","-"))</f>
        <v/>
      </c>
      <c r="I742" s="11" t="str">
        <f aca="false">IF($A742="","",IF($H742="-","-",IF(AND(IF(원본명단!$H741="",TRUE(),COUNTIF(원본명단!$H$3:$H741,원본명단!$H741)=1),IF(원본명단!$I741="",TRUE(),COUNTIF(원본명단!$I$3:$I741,원본명단!$I741)=1),IF(원본명단!$K741="",TRUE(),COUNTIF(원본명단!$K$3:$K741,원본명단!$K741)=1)),"첫 건","중복 건")))</f>
        <v/>
      </c>
      <c r="J742" s="11" t="str">
        <f aca="false">IF($A742="","",IF($H742="-","유지",IF($I742="첫 건","유지","확인 필요")))</f>
        <v/>
      </c>
    </row>
    <row r="743" customFormat="false" ht="15" hidden="false" customHeight="true" outlineLevel="0" collapsed="false">
      <c r="A743" s="11" t="str">
        <f aca="false">IF(원본명단!$A742="","",740)</f>
        <v/>
      </c>
      <c r="B743" s="12" t="str">
        <f aca="false">IF($A743="","",원본명단!$A742)</f>
        <v/>
      </c>
      <c r="C743" s="12" t="str">
        <f aca="false">IF($A743="","",원본명단!$B742)</f>
        <v/>
      </c>
      <c r="D743" s="12" t="str">
        <f aca="false">IF($A743="","",원본명단!$D742)</f>
        <v/>
      </c>
      <c r="E743" s="11" t="str">
        <f aca="false">IF($A743="","",IF(원본명단!$H742="",0,COUNTIF(원본명단!$H$3:$H$6002,원본명단!$H742)))</f>
        <v/>
      </c>
      <c r="F743" s="11" t="str">
        <f aca="false">IF($A743="","",IF(원본명단!$I742="",0,COUNTIF(원본명단!$I$3:$I$6002,원본명단!$I742)))</f>
        <v/>
      </c>
      <c r="G743" s="11" t="str">
        <f aca="false">IF($A743="","",IF(원본명단!$K742="",0,COUNTIF(원본명단!$K$3:$K$6002,원본명단!$K742)))</f>
        <v/>
      </c>
      <c r="H743" s="11" t="str">
        <f aca="false">IF($A743="","",IF(MAX($E743,$F743,$G743)&gt;1,"중복","-"))</f>
        <v/>
      </c>
      <c r="I743" s="11" t="str">
        <f aca="false">IF($A743="","",IF($H743="-","-",IF(AND(IF(원본명단!$H742="",TRUE(),COUNTIF(원본명단!$H$3:$H742,원본명단!$H742)=1),IF(원본명단!$I742="",TRUE(),COUNTIF(원본명단!$I$3:$I742,원본명단!$I742)=1),IF(원본명단!$K742="",TRUE(),COUNTIF(원본명단!$K$3:$K742,원본명단!$K742)=1)),"첫 건","중복 건")))</f>
        <v/>
      </c>
      <c r="J743" s="11" t="str">
        <f aca="false">IF($A743="","",IF($H743="-","유지",IF($I743="첫 건","유지","확인 필요")))</f>
        <v/>
      </c>
    </row>
    <row r="744" customFormat="false" ht="15" hidden="false" customHeight="true" outlineLevel="0" collapsed="false">
      <c r="A744" s="11" t="str">
        <f aca="false">IF(원본명단!$A743="","",741)</f>
        <v/>
      </c>
      <c r="B744" s="12" t="str">
        <f aca="false">IF($A744="","",원본명단!$A743)</f>
        <v/>
      </c>
      <c r="C744" s="12" t="str">
        <f aca="false">IF($A744="","",원본명단!$B743)</f>
        <v/>
      </c>
      <c r="D744" s="12" t="str">
        <f aca="false">IF($A744="","",원본명단!$D743)</f>
        <v/>
      </c>
      <c r="E744" s="11" t="str">
        <f aca="false">IF($A744="","",IF(원본명단!$H743="",0,COUNTIF(원본명단!$H$3:$H$6002,원본명단!$H743)))</f>
        <v/>
      </c>
      <c r="F744" s="11" t="str">
        <f aca="false">IF($A744="","",IF(원본명단!$I743="",0,COUNTIF(원본명단!$I$3:$I$6002,원본명단!$I743)))</f>
        <v/>
      </c>
      <c r="G744" s="11" t="str">
        <f aca="false">IF($A744="","",IF(원본명단!$K743="",0,COUNTIF(원본명단!$K$3:$K$6002,원본명단!$K743)))</f>
        <v/>
      </c>
      <c r="H744" s="11" t="str">
        <f aca="false">IF($A744="","",IF(MAX($E744,$F744,$G744)&gt;1,"중복","-"))</f>
        <v/>
      </c>
      <c r="I744" s="11" t="str">
        <f aca="false">IF($A744="","",IF($H744="-","-",IF(AND(IF(원본명단!$H743="",TRUE(),COUNTIF(원본명단!$H$3:$H743,원본명단!$H743)=1),IF(원본명단!$I743="",TRUE(),COUNTIF(원본명단!$I$3:$I743,원본명단!$I743)=1),IF(원본명단!$K743="",TRUE(),COUNTIF(원본명단!$K$3:$K743,원본명단!$K743)=1)),"첫 건","중복 건")))</f>
        <v/>
      </c>
      <c r="J744" s="11" t="str">
        <f aca="false">IF($A744="","",IF($H744="-","유지",IF($I744="첫 건","유지","확인 필요")))</f>
        <v/>
      </c>
    </row>
    <row r="745" customFormat="false" ht="15" hidden="false" customHeight="true" outlineLevel="0" collapsed="false">
      <c r="A745" s="11" t="str">
        <f aca="false">IF(원본명단!$A744="","",742)</f>
        <v/>
      </c>
      <c r="B745" s="12" t="str">
        <f aca="false">IF($A745="","",원본명단!$A744)</f>
        <v/>
      </c>
      <c r="C745" s="12" t="str">
        <f aca="false">IF($A745="","",원본명단!$B744)</f>
        <v/>
      </c>
      <c r="D745" s="12" t="str">
        <f aca="false">IF($A745="","",원본명단!$D744)</f>
        <v/>
      </c>
      <c r="E745" s="11" t="str">
        <f aca="false">IF($A745="","",IF(원본명단!$H744="",0,COUNTIF(원본명단!$H$3:$H$6002,원본명단!$H744)))</f>
        <v/>
      </c>
      <c r="F745" s="11" t="str">
        <f aca="false">IF($A745="","",IF(원본명단!$I744="",0,COUNTIF(원본명단!$I$3:$I$6002,원본명단!$I744)))</f>
        <v/>
      </c>
      <c r="G745" s="11" t="str">
        <f aca="false">IF($A745="","",IF(원본명단!$K744="",0,COUNTIF(원본명단!$K$3:$K$6002,원본명단!$K744)))</f>
        <v/>
      </c>
      <c r="H745" s="11" t="str">
        <f aca="false">IF($A745="","",IF(MAX($E745,$F745,$G745)&gt;1,"중복","-"))</f>
        <v/>
      </c>
      <c r="I745" s="11" t="str">
        <f aca="false">IF($A745="","",IF($H745="-","-",IF(AND(IF(원본명단!$H744="",TRUE(),COUNTIF(원본명단!$H$3:$H744,원본명단!$H744)=1),IF(원본명단!$I744="",TRUE(),COUNTIF(원본명단!$I$3:$I744,원본명단!$I744)=1),IF(원본명단!$K744="",TRUE(),COUNTIF(원본명단!$K$3:$K744,원본명단!$K744)=1)),"첫 건","중복 건")))</f>
        <v/>
      </c>
      <c r="J745" s="11" t="str">
        <f aca="false">IF($A745="","",IF($H745="-","유지",IF($I745="첫 건","유지","확인 필요")))</f>
        <v/>
      </c>
    </row>
    <row r="746" customFormat="false" ht="15" hidden="false" customHeight="true" outlineLevel="0" collapsed="false">
      <c r="A746" s="11" t="str">
        <f aca="false">IF(원본명단!$A745="","",743)</f>
        <v/>
      </c>
      <c r="B746" s="12" t="str">
        <f aca="false">IF($A746="","",원본명단!$A745)</f>
        <v/>
      </c>
      <c r="C746" s="12" t="str">
        <f aca="false">IF($A746="","",원본명단!$B745)</f>
        <v/>
      </c>
      <c r="D746" s="12" t="str">
        <f aca="false">IF($A746="","",원본명단!$D745)</f>
        <v/>
      </c>
      <c r="E746" s="11" t="str">
        <f aca="false">IF($A746="","",IF(원본명단!$H745="",0,COUNTIF(원본명단!$H$3:$H$6002,원본명단!$H745)))</f>
        <v/>
      </c>
      <c r="F746" s="11" t="str">
        <f aca="false">IF($A746="","",IF(원본명단!$I745="",0,COUNTIF(원본명단!$I$3:$I$6002,원본명단!$I745)))</f>
        <v/>
      </c>
      <c r="G746" s="11" t="str">
        <f aca="false">IF($A746="","",IF(원본명단!$K745="",0,COUNTIF(원본명단!$K$3:$K$6002,원본명단!$K745)))</f>
        <v/>
      </c>
      <c r="H746" s="11" t="str">
        <f aca="false">IF($A746="","",IF(MAX($E746,$F746,$G746)&gt;1,"중복","-"))</f>
        <v/>
      </c>
      <c r="I746" s="11" t="str">
        <f aca="false">IF($A746="","",IF($H746="-","-",IF(AND(IF(원본명단!$H745="",TRUE(),COUNTIF(원본명단!$H$3:$H745,원본명단!$H745)=1),IF(원본명단!$I745="",TRUE(),COUNTIF(원본명단!$I$3:$I745,원본명단!$I745)=1),IF(원본명단!$K745="",TRUE(),COUNTIF(원본명단!$K$3:$K745,원본명단!$K745)=1)),"첫 건","중복 건")))</f>
        <v/>
      </c>
      <c r="J746" s="11" t="str">
        <f aca="false">IF($A746="","",IF($H746="-","유지",IF($I746="첫 건","유지","확인 필요")))</f>
        <v/>
      </c>
    </row>
    <row r="747" customFormat="false" ht="15" hidden="false" customHeight="true" outlineLevel="0" collapsed="false">
      <c r="A747" s="11" t="str">
        <f aca="false">IF(원본명단!$A746="","",744)</f>
        <v/>
      </c>
      <c r="B747" s="12" t="str">
        <f aca="false">IF($A747="","",원본명단!$A746)</f>
        <v/>
      </c>
      <c r="C747" s="12" t="str">
        <f aca="false">IF($A747="","",원본명단!$B746)</f>
        <v/>
      </c>
      <c r="D747" s="12" t="str">
        <f aca="false">IF($A747="","",원본명단!$D746)</f>
        <v/>
      </c>
      <c r="E747" s="11" t="str">
        <f aca="false">IF($A747="","",IF(원본명단!$H746="",0,COUNTIF(원본명단!$H$3:$H$6002,원본명단!$H746)))</f>
        <v/>
      </c>
      <c r="F747" s="11" t="str">
        <f aca="false">IF($A747="","",IF(원본명단!$I746="",0,COUNTIF(원본명단!$I$3:$I$6002,원본명단!$I746)))</f>
        <v/>
      </c>
      <c r="G747" s="11" t="str">
        <f aca="false">IF($A747="","",IF(원본명단!$K746="",0,COUNTIF(원본명단!$K$3:$K$6002,원본명단!$K746)))</f>
        <v/>
      </c>
      <c r="H747" s="11" t="str">
        <f aca="false">IF($A747="","",IF(MAX($E747,$F747,$G747)&gt;1,"중복","-"))</f>
        <v/>
      </c>
      <c r="I747" s="11" t="str">
        <f aca="false">IF($A747="","",IF($H747="-","-",IF(AND(IF(원본명단!$H746="",TRUE(),COUNTIF(원본명단!$H$3:$H746,원본명단!$H746)=1),IF(원본명단!$I746="",TRUE(),COUNTIF(원본명단!$I$3:$I746,원본명단!$I746)=1),IF(원본명단!$K746="",TRUE(),COUNTIF(원본명단!$K$3:$K746,원본명단!$K746)=1)),"첫 건","중복 건")))</f>
        <v/>
      </c>
      <c r="J747" s="11" t="str">
        <f aca="false">IF($A747="","",IF($H747="-","유지",IF($I747="첫 건","유지","확인 필요")))</f>
        <v/>
      </c>
    </row>
    <row r="748" customFormat="false" ht="15" hidden="false" customHeight="true" outlineLevel="0" collapsed="false">
      <c r="A748" s="11" t="str">
        <f aca="false">IF(원본명단!$A747="","",745)</f>
        <v/>
      </c>
      <c r="B748" s="12" t="str">
        <f aca="false">IF($A748="","",원본명단!$A747)</f>
        <v/>
      </c>
      <c r="C748" s="12" t="str">
        <f aca="false">IF($A748="","",원본명단!$B747)</f>
        <v/>
      </c>
      <c r="D748" s="12" t="str">
        <f aca="false">IF($A748="","",원본명단!$D747)</f>
        <v/>
      </c>
      <c r="E748" s="11" t="str">
        <f aca="false">IF($A748="","",IF(원본명단!$H747="",0,COUNTIF(원본명단!$H$3:$H$6002,원본명단!$H747)))</f>
        <v/>
      </c>
      <c r="F748" s="11" t="str">
        <f aca="false">IF($A748="","",IF(원본명단!$I747="",0,COUNTIF(원본명단!$I$3:$I$6002,원본명단!$I747)))</f>
        <v/>
      </c>
      <c r="G748" s="11" t="str">
        <f aca="false">IF($A748="","",IF(원본명단!$K747="",0,COUNTIF(원본명단!$K$3:$K$6002,원본명단!$K747)))</f>
        <v/>
      </c>
      <c r="H748" s="11" t="str">
        <f aca="false">IF($A748="","",IF(MAX($E748,$F748,$G748)&gt;1,"중복","-"))</f>
        <v/>
      </c>
      <c r="I748" s="11" t="str">
        <f aca="false">IF($A748="","",IF($H748="-","-",IF(AND(IF(원본명단!$H747="",TRUE(),COUNTIF(원본명단!$H$3:$H747,원본명단!$H747)=1),IF(원본명단!$I747="",TRUE(),COUNTIF(원본명단!$I$3:$I747,원본명단!$I747)=1),IF(원본명단!$K747="",TRUE(),COUNTIF(원본명단!$K$3:$K747,원본명단!$K747)=1)),"첫 건","중복 건")))</f>
        <v/>
      </c>
      <c r="J748" s="11" t="str">
        <f aca="false">IF($A748="","",IF($H748="-","유지",IF($I748="첫 건","유지","확인 필요")))</f>
        <v/>
      </c>
    </row>
    <row r="749" customFormat="false" ht="15" hidden="false" customHeight="true" outlineLevel="0" collapsed="false">
      <c r="A749" s="11" t="str">
        <f aca="false">IF(원본명단!$A748="","",746)</f>
        <v/>
      </c>
      <c r="B749" s="12" t="str">
        <f aca="false">IF($A749="","",원본명단!$A748)</f>
        <v/>
      </c>
      <c r="C749" s="12" t="str">
        <f aca="false">IF($A749="","",원본명단!$B748)</f>
        <v/>
      </c>
      <c r="D749" s="12" t="str">
        <f aca="false">IF($A749="","",원본명단!$D748)</f>
        <v/>
      </c>
      <c r="E749" s="11" t="str">
        <f aca="false">IF($A749="","",IF(원본명단!$H748="",0,COUNTIF(원본명단!$H$3:$H$6002,원본명단!$H748)))</f>
        <v/>
      </c>
      <c r="F749" s="11" t="str">
        <f aca="false">IF($A749="","",IF(원본명단!$I748="",0,COUNTIF(원본명단!$I$3:$I$6002,원본명단!$I748)))</f>
        <v/>
      </c>
      <c r="G749" s="11" t="str">
        <f aca="false">IF($A749="","",IF(원본명단!$K748="",0,COUNTIF(원본명단!$K$3:$K$6002,원본명단!$K748)))</f>
        <v/>
      </c>
      <c r="H749" s="11" t="str">
        <f aca="false">IF($A749="","",IF(MAX($E749,$F749,$G749)&gt;1,"중복","-"))</f>
        <v/>
      </c>
      <c r="I749" s="11" t="str">
        <f aca="false">IF($A749="","",IF($H749="-","-",IF(AND(IF(원본명단!$H748="",TRUE(),COUNTIF(원본명단!$H$3:$H748,원본명단!$H748)=1),IF(원본명단!$I748="",TRUE(),COUNTIF(원본명단!$I$3:$I748,원본명단!$I748)=1),IF(원본명단!$K748="",TRUE(),COUNTIF(원본명단!$K$3:$K748,원본명단!$K748)=1)),"첫 건","중복 건")))</f>
        <v/>
      </c>
      <c r="J749" s="11" t="str">
        <f aca="false">IF($A749="","",IF($H749="-","유지",IF($I749="첫 건","유지","확인 필요")))</f>
        <v/>
      </c>
    </row>
    <row r="750" customFormat="false" ht="15" hidden="false" customHeight="true" outlineLevel="0" collapsed="false">
      <c r="A750" s="11" t="str">
        <f aca="false">IF(원본명단!$A749="","",747)</f>
        <v/>
      </c>
      <c r="B750" s="12" t="str">
        <f aca="false">IF($A750="","",원본명단!$A749)</f>
        <v/>
      </c>
      <c r="C750" s="12" t="str">
        <f aca="false">IF($A750="","",원본명단!$B749)</f>
        <v/>
      </c>
      <c r="D750" s="12" t="str">
        <f aca="false">IF($A750="","",원본명단!$D749)</f>
        <v/>
      </c>
      <c r="E750" s="11" t="str">
        <f aca="false">IF($A750="","",IF(원본명단!$H749="",0,COUNTIF(원본명단!$H$3:$H$6002,원본명단!$H749)))</f>
        <v/>
      </c>
      <c r="F750" s="11" t="str">
        <f aca="false">IF($A750="","",IF(원본명단!$I749="",0,COUNTIF(원본명단!$I$3:$I$6002,원본명단!$I749)))</f>
        <v/>
      </c>
      <c r="G750" s="11" t="str">
        <f aca="false">IF($A750="","",IF(원본명단!$K749="",0,COUNTIF(원본명단!$K$3:$K$6002,원본명단!$K749)))</f>
        <v/>
      </c>
      <c r="H750" s="11" t="str">
        <f aca="false">IF($A750="","",IF(MAX($E750,$F750,$G750)&gt;1,"중복","-"))</f>
        <v/>
      </c>
      <c r="I750" s="11" t="str">
        <f aca="false">IF($A750="","",IF($H750="-","-",IF(AND(IF(원본명단!$H749="",TRUE(),COUNTIF(원본명단!$H$3:$H749,원본명단!$H749)=1),IF(원본명단!$I749="",TRUE(),COUNTIF(원본명단!$I$3:$I749,원본명단!$I749)=1),IF(원본명단!$K749="",TRUE(),COUNTIF(원본명단!$K$3:$K749,원본명단!$K749)=1)),"첫 건","중복 건")))</f>
        <v/>
      </c>
      <c r="J750" s="11" t="str">
        <f aca="false">IF($A750="","",IF($H750="-","유지",IF($I750="첫 건","유지","확인 필요")))</f>
        <v/>
      </c>
    </row>
    <row r="751" customFormat="false" ht="15" hidden="false" customHeight="true" outlineLevel="0" collapsed="false">
      <c r="A751" s="11" t="str">
        <f aca="false">IF(원본명단!$A750="","",748)</f>
        <v/>
      </c>
      <c r="B751" s="12" t="str">
        <f aca="false">IF($A751="","",원본명단!$A750)</f>
        <v/>
      </c>
      <c r="C751" s="12" t="str">
        <f aca="false">IF($A751="","",원본명단!$B750)</f>
        <v/>
      </c>
      <c r="D751" s="12" t="str">
        <f aca="false">IF($A751="","",원본명단!$D750)</f>
        <v/>
      </c>
      <c r="E751" s="11" t="str">
        <f aca="false">IF($A751="","",IF(원본명단!$H750="",0,COUNTIF(원본명단!$H$3:$H$6002,원본명단!$H750)))</f>
        <v/>
      </c>
      <c r="F751" s="11" t="str">
        <f aca="false">IF($A751="","",IF(원본명단!$I750="",0,COUNTIF(원본명단!$I$3:$I$6002,원본명단!$I750)))</f>
        <v/>
      </c>
      <c r="G751" s="11" t="str">
        <f aca="false">IF($A751="","",IF(원본명단!$K750="",0,COUNTIF(원본명단!$K$3:$K$6002,원본명단!$K750)))</f>
        <v/>
      </c>
      <c r="H751" s="11" t="str">
        <f aca="false">IF($A751="","",IF(MAX($E751,$F751,$G751)&gt;1,"중복","-"))</f>
        <v/>
      </c>
      <c r="I751" s="11" t="str">
        <f aca="false">IF($A751="","",IF($H751="-","-",IF(AND(IF(원본명단!$H750="",TRUE(),COUNTIF(원본명단!$H$3:$H750,원본명단!$H750)=1),IF(원본명단!$I750="",TRUE(),COUNTIF(원본명단!$I$3:$I750,원본명단!$I750)=1),IF(원본명단!$K750="",TRUE(),COUNTIF(원본명단!$K$3:$K750,원본명단!$K750)=1)),"첫 건","중복 건")))</f>
        <v/>
      </c>
      <c r="J751" s="11" t="str">
        <f aca="false">IF($A751="","",IF($H751="-","유지",IF($I751="첫 건","유지","확인 필요")))</f>
        <v/>
      </c>
    </row>
    <row r="752" customFormat="false" ht="15" hidden="false" customHeight="true" outlineLevel="0" collapsed="false">
      <c r="A752" s="11" t="str">
        <f aca="false">IF(원본명단!$A751="","",749)</f>
        <v/>
      </c>
      <c r="B752" s="12" t="str">
        <f aca="false">IF($A752="","",원본명단!$A751)</f>
        <v/>
      </c>
      <c r="C752" s="12" t="str">
        <f aca="false">IF($A752="","",원본명단!$B751)</f>
        <v/>
      </c>
      <c r="D752" s="12" t="str">
        <f aca="false">IF($A752="","",원본명단!$D751)</f>
        <v/>
      </c>
      <c r="E752" s="11" t="str">
        <f aca="false">IF($A752="","",IF(원본명단!$H751="",0,COUNTIF(원본명단!$H$3:$H$6002,원본명단!$H751)))</f>
        <v/>
      </c>
      <c r="F752" s="11" t="str">
        <f aca="false">IF($A752="","",IF(원본명단!$I751="",0,COUNTIF(원본명단!$I$3:$I$6002,원본명단!$I751)))</f>
        <v/>
      </c>
      <c r="G752" s="11" t="str">
        <f aca="false">IF($A752="","",IF(원본명단!$K751="",0,COUNTIF(원본명단!$K$3:$K$6002,원본명단!$K751)))</f>
        <v/>
      </c>
      <c r="H752" s="11" t="str">
        <f aca="false">IF($A752="","",IF(MAX($E752,$F752,$G752)&gt;1,"중복","-"))</f>
        <v/>
      </c>
      <c r="I752" s="11" t="str">
        <f aca="false">IF($A752="","",IF($H752="-","-",IF(AND(IF(원본명단!$H751="",TRUE(),COUNTIF(원본명단!$H$3:$H751,원본명단!$H751)=1),IF(원본명단!$I751="",TRUE(),COUNTIF(원본명단!$I$3:$I751,원본명단!$I751)=1),IF(원본명단!$K751="",TRUE(),COUNTIF(원본명단!$K$3:$K751,원본명단!$K751)=1)),"첫 건","중복 건")))</f>
        <v/>
      </c>
      <c r="J752" s="11" t="str">
        <f aca="false">IF($A752="","",IF($H752="-","유지",IF($I752="첫 건","유지","확인 필요")))</f>
        <v/>
      </c>
    </row>
    <row r="753" customFormat="false" ht="15" hidden="false" customHeight="true" outlineLevel="0" collapsed="false">
      <c r="A753" s="11" t="str">
        <f aca="false">IF(원본명단!$A752="","",750)</f>
        <v/>
      </c>
      <c r="B753" s="12" t="str">
        <f aca="false">IF($A753="","",원본명단!$A752)</f>
        <v/>
      </c>
      <c r="C753" s="12" t="str">
        <f aca="false">IF($A753="","",원본명단!$B752)</f>
        <v/>
      </c>
      <c r="D753" s="12" t="str">
        <f aca="false">IF($A753="","",원본명단!$D752)</f>
        <v/>
      </c>
      <c r="E753" s="11" t="str">
        <f aca="false">IF($A753="","",IF(원본명단!$H752="",0,COUNTIF(원본명단!$H$3:$H$6002,원본명단!$H752)))</f>
        <v/>
      </c>
      <c r="F753" s="11" t="str">
        <f aca="false">IF($A753="","",IF(원본명단!$I752="",0,COUNTIF(원본명단!$I$3:$I$6002,원본명단!$I752)))</f>
        <v/>
      </c>
      <c r="G753" s="11" t="str">
        <f aca="false">IF($A753="","",IF(원본명단!$K752="",0,COUNTIF(원본명단!$K$3:$K$6002,원본명단!$K752)))</f>
        <v/>
      </c>
      <c r="H753" s="11" t="str">
        <f aca="false">IF($A753="","",IF(MAX($E753,$F753,$G753)&gt;1,"중복","-"))</f>
        <v/>
      </c>
      <c r="I753" s="11" t="str">
        <f aca="false">IF($A753="","",IF($H753="-","-",IF(AND(IF(원본명단!$H752="",TRUE(),COUNTIF(원본명단!$H$3:$H752,원본명단!$H752)=1),IF(원본명단!$I752="",TRUE(),COUNTIF(원본명단!$I$3:$I752,원본명단!$I752)=1),IF(원본명단!$K752="",TRUE(),COUNTIF(원본명단!$K$3:$K752,원본명단!$K752)=1)),"첫 건","중복 건")))</f>
        <v/>
      </c>
      <c r="J753" s="11" t="str">
        <f aca="false">IF($A753="","",IF($H753="-","유지",IF($I753="첫 건","유지","확인 필요")))</f>
        <v/>
      </c>
    </row>
    <row r="754" customFormat="false" ht="15" hidden="false" customHeight="true" outlineLevel="0" collapsed="false">
      <c r="A754" s="11" t="str">
        <f aca="false">IF(원본명단!$A753="","",751)</f>
        <v/>
      </c>
      <c r="B754" s="12" t="str">
        <f aca="false">IF($A754="","",원본명단!$A753)</f>
        <v/>
      </c>
      <c r="C754" s="12" t="str">
        <f aca="false">IF($A754="","",원본명단!$B753)</f>
        <v/>
      </c>
      <c r="D754" s="12" t="str">
        <f aca="false">IF($A754="","",원본명단!$D753)</f>
        <v/>
      </c>
      <c r="E754" s="11" t="str">
        <f aca="false">IF($A754="","",IF(원본명단!$H753="",0,COUNTIF(원본명단!$H$3:$H$6002,원본명단!$H753)))</f>
        <v/>
      </c>
      <c r="F754" s="11" t="str">
        <f aca="false">IF($A754="","",IF(원본명단!$I753="",0,COUNTIF(원본명단!$I$3:$I$6002,원본명단!$I753)))</f>
        <v/>
      </c>
      <c r="G754" s="11" t="str">
        <f aca="false">IF($A754="","",IF(원본명단!$K753="",0,COUNTIF(원본명단!$K$3:$K$6002,원본명단!$K753)))</f>
        <v/>
      </c>
      <c r="H754" s="11" t="str">
        <f aca="false">IF($A754="","",IF(MAX($E754,$F754,$G754)&gt;1,"중복","-"))</f>
        <v/>
      </c>
      <c r="I754" s="11" t="str">
        <f aca="false">IF($A754="","",IF($H754="-","-",IF(AND(IF(원본명단!$H753="",TRUE(),COUNTIF(원본명단!$H$3:$H753,원본명단!$H753)=1),IF(원본명단!$I753="",TRUE(),COUNTIF(원본명단!$I$3:$I753,원본명단!$I753)=1),IF(원본명단!$K753="",TRUE(),COUNTIF(원본명단!$K$3:$K753,원본명단!$K753)=1)),"첫 건","중복 건")))</f>
        <v/>
      </c>
      <c r="J754" s="11" t="str">
        <f aca="false">IF($A754="","",IF($H754="-","유지",IF($I754="첫 건","유지","확인 필요")))</f>
        <v/>
      </c>
    </row>
    <row r="755" customFormat="false" ht="15" hidden="false" customHeight="true" outlineLevel="0" collapsed="false">
      <c r="A755" s="11" t="str">
        <f aca="false">IF(원본명단!$A754="","",752)</f>
        <v/>
      </c>
      <c r="B755" s="12" t="str">
        <f aca="false">IF($A755="","",원본명단!$A754)</f>
        <v/>
      </c>
      <c r="C755" s="12" t="str">
        <f aca="false">IF($A755="","",원본명단!$B754)</f>
        <v/>
      </c>
      <c r="D755" s="12" t="str">
        <f aca="false">IF($A755="","",원본명단!$D754)</f>
        <v/>
      </c>
      <c r="E755" s="11" t="str">
        <f aca="false">IF($A755="","",IF(원본명단!$H754="",0,COUNTIF(원본명단!$H$3:$H$6002,원본명단!$H754)))</f>
        <v/>
      </c>
      <c r="F755" s="11" t="str">
        <f aca="false">IF($A755="","",IF(원본명단!$I754="",0,COUNTIF(원본명단!$I$3:$I$6002,원본명단!$I754)))</f>
        <v/>
      </c>
      <c r="G755" s="11" t="str">
        <f aca="false">IF($A755="","",IF(원본명단!$K754="",0,COUNTIF(원본명단!$K$3:$K$6002,원본명단!$K754)))</f>
        <v/>
      </c>
      <c r="H755" s="11" t="str">
        <f aca="false">IF($A755="","",IF(MAX($E755,$F755,$G755)&gt;1,"중복","-"))</f>
        <v/>
      </c>
      <c r="I755" s="11" t="str">
        <f aca="false">IF($A755="","",IF($H755="-","-",IF(AND(IF(원본명단!$H754="",TRUE(),COUNTIF(원본명단!$H$3:$H754,원본명단!$H754)=1),IF(원본명단!$I754="",TRUE(),COUNTIF(원본명단!$I$3:$I754,원본명단!$I754)=1),IF(원본명단!$K754="",TRUE(),COUNTIF(원본명단!$K$3:$K754,원본명단!$K754)=1)),"첫 건","중복 건")))</f>
        <v/>
      </c>
      <c r="J755" s="11" t="str">
        <f aca="false">IF($A755="","",IF($H755="-","유지",IF($I755="첫 건","유지","확인 필요")))</f>
        <v/>
      </c>
    </row>
    <row r="756" customFormat="false" ht="15" hidden="false" customHeight="true" outlineLevel="0" collapsed="false">
      <c r="A756" s="11" t="str">
        <f aca="false">IF(원본명단!$A755="","",753)</f>
        <v/>
      </c>
      <c r="B756" s="12" t="str">
        <f aca="false">IF($A756="","",원본명단!$A755)</f>
        <v/>
      </c>
      <c r="C756" s="12" t="str">
        <f aca="false">IF($A756="","",원본명단!$B755)</f>
        <v/>
      </c>
      <c r="D756" s="12" t="str">
        <f aca="false">IF($A756="","",원본명단!$D755)</f>
        <v/>
      </c>
      <c r="E756" s="11" t="str">
        <f aca="false">IF($A756="","",IF(원본명단!$H755="",0,COUNTIF(원본명단!$H$3:$H$6002,원본명단!$H755)))</f>
        <v/>
      </c>
      <c r="F756" s="11" t="str">
        <f aca="false">IF($A756="","",IF(원본명단!$I755="",0,COUNTIF(원본명단!$I$3:$I$6002,원본명단!$I755)))</f>
        <v/>
      </c>
      <c r="G756" s="11" t="str">
        <f aca="false">IF($A756="","",IF(원본명단!$K755="",0,COUNTIF(원본명단!$K$3:$K$6002,원본명단!$K755)))</f>
        <v/>
      </c>
      <c r="H756" s="11" t="str">
        <f aca="false">IF($A756="","",IF(MAX($E756,$F756,$G756)&gt;1,"중복","-"))</f>
        <v/>
      </c>
      <c r="I756" s="11" t="str">
        <f aca="false">IF($A756="","",IF($H756="-","-",IF(AND(IF(원본명단!$H755="",TRUE(),COUNTIF(원본명단!$H$3:$H755,원본명단!$H755)=1),IF(원본명단!$I755="",TRUE(),COUNTIF(원본명단!$I$3:$I755,원본명단!$I755)=1),IF(원본명단!$K755="",TRUE(),COUNTIF(원본명단!$K$3:$K755,원본명단!$K755)=1)),"첫 건","중복 건")))</f>
        <v/>
      </c>
      <c r="J756" s="11" t="str">
        <f aca="false">IF($A756="","",IF($H756="-","유지",IF($I756="첫 건","유지","확인 필요")))</f>
        <v/>
      </c>
    </row>
    <row r="757" customFormat="false" ht="15" hidden="false" customHeight="true" outlineLevel="0" collapsed="false">
      <c r="A757" s="11" t="str">
        <f aca="false">IF(원본명단!$A756="","",754)</f>
        <v/>
      </c>
      <c r="B757" s="12" t="str">
        <f aca="false">IF($A757="","",원본명단!$A756)</f>
        <v/>
      </c>
      <c r="C757" s="12" t="str">
        <f aca="false">IF($A757="","",원본명단!$B756)</f>
        <v/>
      </c>
      <c r="D757" s="12" t="str">
        <f aca="false">IF($A757="","",원본명단!$D756)</f>
        <v/>
      </c>
      <c r="E757" s="11" t="str">
        <f aca="false">IF($A757="","",IF(원본명단!$H756="",0,COUNTIF(원본명단!$H$3:$H$6002,원본명단!$H756)))</f>
        <v/>
      </c>
      <c r="F757" s="11" t="str">
        <f aca="false">IF($A757="","",IF(원본명단!$I756="",0,COUNTIF(원본명단!$I$3:$I$6002,원본명단!$I756)))</f>
        <v/>
      </c>
      <c r="G757" s="11" t="str">
        <f aca="false">IF($A757="","",IF(원본명단!$K756="",0,COUNTIF(원본명단!$K$3:$K$6002,원본명단!$K756)))</f>
        <v/>
      </c>
      <c r="H757" s="11" t="str">
        <f aca="false">IF($A757="","",IF(MAX($E757,$F757,$G757)&gt;1,"중복","-"))</f>
        <v/>
      </c>
      <c r="I757" s="11" t="str">
        <f aca="false">IF($A757="","",IF($H757="-","-",IF(AND(IF(원본명단!$H756="",TRUE(),COUNTIF(원본명단!$H$3:$H756,원본명단!$H756)=1),IF(원본명단!$I756="",TRUE(),COUNTIF(원본명단!$I$3:$I756,원본명단!$I756)=1),IF(원본명단!$K756="",TRUE(),COUNTIF(원본명단!$K$3:$K756,원본명단!$K756)=1)),"첫 건","중복 건")))</f>
        <v/>
      </c>
      <c r="J757" s="11" t="str">
        <f aca="false">IF($A757="","",IF($H757="-","유지",IF($I757="첫 건","유지","확인 필요")))</f>
        <v/>
      </c>
    </row>
    <row r="758" customFormat="false" ht="15" hidden="false" customHeight="true" outlineLevel="0" collapsed="false">
      <c r="A758" s="11" t="str">
        <f aca="false">IF(원본명단!$A757="","",755)</f>
        <v/>
      </c>
      <c r="B758" s="12" t="str">
        <f aca="false">IF($A758="","",원본명단!$A757)</f>
        <v/>
      </c>
      <c r="C758" s="12" t="str">
        <f aca="false">IF($A758="","",원본명단!$B757)</f>
        <v/>
      </c>
      <c r="D758" s="12" t="str">
        <f aca="false">IF($A758="","",원본명단!$D757)</f>
        <v/>
      </c>
      <c r="E758" s="11" t="str">
        <f aca="false">IF($A758="","",IF(원본명단!$H757="",0,COUNTIF(원본명단!$H$3:$H$6002,원본명단!$H757)))</f>
        <v/>
      </c>
      <c r="F758" s="11" t="str">
        <f aca="false">IF($A758="","",IF(원본명단!$I757="",0,COUNTIF(원본명단!$I$3:$I$6002,원본명단!$I757)))</f>
        <v/>
      </c>
      <c r="G758" s="11" t="str">
        <f aca="false">IF($A758="","",IF(원본명단!$K757="",0,COUNTIF(원본명단!$K$3:$K$6002,원본명단!$K757)))</f>
        <v/>
      </c>
      <c r="H758" s="11" t="str">
        <f aca="false">IF($A758="","",IF(MAX($E758,$F758,$G758)&gt;1,"중복","-"))</f>
        <v/>
      </c>
      <c r="I758" s="11" t="str">
        <f aca="false">IF($A758="","",IF($H758="-","-",IF(AND(IF(원본명단!$H757="",TRUE(),COUNTIF(원본명단!$H$3:$H757,원본명단!$H757)=1),IF(원본명단!$I757="",TRUE(),COUNTIF(원본명단!$I$3:$I757,원본명단!$I757)=1),IF(원본명단!$K757="",TRUE(),COUNTIF(원본명단!$K$3:$K757,원본명단!$K757)=1)),"첫 건","중복 건")))</f>
        <v/>
      </c>
      <c r="J758" s="11" t="str">
        <f aca="false">IF($A758="","",IF($H758="-","유지",IF($I758="첫 건","유지","확인 필요")))</f>
        <v/>
      </c>
    </row>
    <row r="759" customFormat="false" ht="15" hidden="false" customHeight="true" outlineLevel="0" collapsed="false">
      <c r="A759" s="11" t="str">
        <f aca="false">IF(원본명단!$A758="","",756)</f>
        <v/>
      </c>
      <c r="B759" s="12" t="str">
        <f aca="false">IF($A759="","",원본명단!$A758)</f>
        <v/>
      </c>
      <c r="C759" s="12" t="str">
        <f aca="false">IF($A759="","",원본명단!$B758)</f>
        <v/>
      </c>
      <c r="D759" s="12" t="str">
        <f aca="false">IF($A759="","",원본명단!$D758)</f>
        <v/>
      </c>
      <c r="E759" s="11" t="str">
        <f aca="false">IF($A759="","",IF(원본명단!$H758="",0,COUNTIF(원본명단!$H$3:$H$6002,원본명단!$H758)))</f>
        <v/>
      </c>
      <c r="F759" s="11" t="str">
        <f aca="false">IF($A759="","",IF(원본명단!$I758="",0,COUNTIF(원본명단!$I$3:$I$6002,원본명단!$I758)))</f>
        <v/>
      </c>
      <c r="G759" s="11" t="str">
        <f aca="false">IF($A759="","",IF(원본명단!$K758="",0,COUNTIF(원본명단!$K$3:$K$6002,원본명단!$K758)))</f>
        <v/>
      </c>
      <c r="H759" s="11" t="str">
        <f aca="false">IF($A759="","",IF(MAX($E759,$F759,$G759)&gt;1,"중복","-"))</f>
        <v/>
      </c>
      <c r="I759" s="11" t="str">
        <f aca="false">IF($A759="","",IF($H759="-","-",IF(AND(IF(원본명단!$H758="",TRUE(),COUNTIF(원본명단!$H$3:$H758,원본명단!$H758)=1),IF(원본명단!$I758="",TRUE(),COUNTIF(원본명단!$I$3:$I758,원본명단!$I758)=1),IF(원본명단!$K758="",TRUE(),COUNTIF(원본명단!$K$3:$K758,원본명단!$K758)=1)),"첫 건","중복 건")))</f>
        <v/>
      </c>
      <c r="J759" s="11" t="str">
        <f aca="false">IF($A759="","",IF($H759="-","유지",IF($I759="첫 건","유지","확인 필요")))</f>
        <v/>
      </c>
    </row>
    <row r="760" customFormat="false" ht="15" hidden="false" customHeight="true" outlineLevel="0" collapsed="false">
      <c r="A760" s="11" t="str">
        <f aca="false">IF(원본명단!$A759="","",757)</f>
        <v/>
      </c>
      <c r="B760" s="12" t="str">
        <f aca="false">IF($A760="","",원본명단!$A759)</f>
        <v/>
      </c>
      <c r="C760" s="12" t="str">
        <f aca="false">IF($A760="","",원본명단!$B759)</f>
        <v/>
      </c>
      <c r="D760" s="12" t="str">
        <f aca="false">IF($A760="","",원본명단!$D759)</f>
        <v/>
      </c>
      <c r="E760" s="11" t="str">
        <f aca="false">IF($A760="","",IF(원본명단!$H759="",0,COUNTIF(원본명단!$H$3:$H$6002,원본명단!$H759)))</f>
        <v/>
      </c>
      <c r="F760" s="11" t="str">
        <f aca="false">IF($A760="","",IF(원본명단!$I759="",0,COUNTIF(원본명단!$I$3:$I$6002,원본명단!$I759)))</f>
        <v/>
      </c>
      <c r="G760" s="11" t="str">
        <f aca="false">IF($A760="","",IF(원본명단!$K759="",0,COUNTIF(원본명단!$K$3:$K$6002,원본명단!$K759)))</f>
        <v/>
      </c>
      <c r="H760" s="11" t="str">
        <f aca="false">IF($A760="","",IF(MAX($E760,$F760,$G760)&gt;1,"중복","-"))</f>
        <v/>
      </c>
      <c r="I760" s="11" t="str">
        <f aca="false">IF($A760="","",IF($H760="-","-",IF(AND(IF(원본명단!$H759="",TRUE(),COUNTIF(원본명단!$H$3:$H759,원본명단!$H759)=1),IF(원본명단!$I759="",TRUE(),COUNTIF(원본명단!$I$3:$I759,원본명단!$I759)=1),IF(원본명단!$K759="",TRUE(),COUNTIF(원본명단!$K$3:$K759,원본명단!$K759)=1)),"첫 건","중복 건")))</f>
        <v/>
      </c>
      <c r="J760" s="11" t="str">
        <f aca="false">IF($A760="","",IF($H760="-","유지",IF($I760="첫 건","유지","확인 필요")))</f>
        <v/>
      </c>
    </row>
    <row r="761" customFormat="false" ht="15" hidden="false" customHeight="true" outlineLevel="0" collapsed="false">
      <c r="A761" s="11" t="str">
        <f aca="false">IF(원본명단!$A760="","",758)</f>
        <v/>
      </c>
      <c r="B761" s="12" t="str">
        <f aca="false">IF($A761="","",원본명단!$A760)</f>
        <v/>
      </c>
      <c r="C761" s="12" t="str">
        <f aca="false">IF($A761="","",원본명단!$B760)</f>
        <v/>
      </c>
      <c r="D761" s="12" t="str">
        <f aca="false">IF($A761="","",원본명단!$D760)</f>
        <v/>
      </c>
      <c r="E761" s="11" t="str">
        <f aca="false">IF($A761="","",IF(원본명단!$H760="",0,COUNTIF(원본명단!$H$3:$H$6002,원본명단!$H760)))</f>
        <v/>
      </c>
      <c r="F761" s="11" t="str">
        <f aca="false">IF($A761="","",IF(원본명단!$I760="",0,COUNTIF(원본명단!$I$3:$I$6002,원본명단!$I760)))</f>
        <v/>
      </c>
      <c r="G761" s="11" t="str">
        <f aca="false">IF($A761="","",IF(원본명단!$K760="",0,COUNTIF(원본명단!$K$3:$K$6002,원본명단!$K760)))</f>
        <v/>
      </c>
      <c r="H761" s="11" t="str">
        <f aca="false">IF($A761="","",IF(MAX($E761,$F761,$G761)&gt;1,"중복","-"))</f>
        <v/>
      </c>
      <c r="I761" s="11" t="str">
        <f aca="false">IF($A761="","",IF($H761="-","-",IF(AND(IF(원본명단!$H760="",TRUE(),COUNTIF(원본명단!$H$3:$H760,원본명단!$H760)=1),IF(원본명단!$I760="",TRUE(),COUNTIF(원본명단!$I$3:$I760,원본명단!$I760)=1),IF(원본명단!$K760="",TRUE(),COUNTIF(원본명단!$K$3:$K760,원본명단!$K760)=1)),"첫 건","중복 건")))</f>
        <v/>
      </c>
      <c r="J761" s="11" t="str">
        <f aca="false">IF($A761="","",IF($H761="-","유지",IF($I761="첫 건","유지","확인 필요")))</f>
        <v/>
      </c>
    </row>
    <row r="762" customFormat="false" ht="15" hidden="false" customHeight="true" outlineLevel="0" collapsed="false">
      <c r="A762" s="11" t="str">
        <f aca="false">IF(원본명단!$A761="","",759)</f>
        <v/>
      </c>
      <c r="B762" s="12" t="str">
        <f aca="false">IF($A762="","",원본명단!$A761)</f>
        <v/>
      </c>
      <c r="C762" s="12" t="str">
        <f aca="false">IF($A762="","",원본명단!$B761)</f>
        <v/>
      </c>
      <c r="D762" s="12" t="str">
        <f aca="false">IF($A762="","",원본명단!$D761)</f>
        <v/>
      </c>
      <c r="E762" s="11" t="str">
        <f aca="false">IF($A762="","",IF(원본명단!$H761="",0,COUNTIF(원본명단!$H$3:$H$6002,원본명단!$H761)))</f>
        <v/>
      </c>
      <c r="F762" s="11" t="str">
        <f aca="false">IF($A762="","",IF(원본명단!$I761="",0,COUNTIF(원본명단!$I$3:$I$6002,원본명단!$I761)))</f>
        <v/>
      </c>
      <c r="G762" s="11" t="str">
        <f aca="false">IF($A762="","",IF(원본명단!$K761="",0,COUNTIF(원본명단!$K$3:$K$6002,원본명단!$K761)))</f>
        <v/>
      </c>
      <c r="H762" s="11" t="str">
        <f aca="false">IF($A762="","",IF(MAX($E762,$F762,$G762)&gt;1,"중복","-"))</f>
        <v/>
      </c>
      <c r="I762" s="11" t="str">
        <f aca="false">IF($A762="","",IF($H762="-","-",IF(AND(IF(원본명단!$H761="",TRUE(),COUNTIF(원본명단!$H$3:$H761,원본명단!$H761)=1),IF(원본명단!$I761="",TRUE(),COUNTIF(원본명단!$I$3:$I761,원본명단!$I761)=1),IF(원본명단!$K761="",TRUE(),COUNTIF(원본명단!$K$3:$K761,원본명단!$K761)=1)),"첫 건","중복 건")))</f>
        <v/>
      </c>
      <c r="J762" s="11" t="str">
        <f aca="false">IF($A762="","",IF($H762="-","유지",IF($I762="첫 건","유지","확인 필요")))</f>
        <v/>
      </c>
    </row>
    <row r="763" customFormat="false" ht="15" hidden="false" customHeight="true" outlineLevel="0" collapsed="false">
      <c r="A763" s="11" t="str">
        <f aca="false">IF(원본명단!$A762="","",760)</f>
        <v/>
      </c>
      <c r="B763" s="12" t="str">
        <f aca="false">IF($A763="","",원본명단!$A762)</f>
        <v/>
      </c>
      <c r="C763" s="12" t="str">
        <f aca="false">IF($A763="","",원본명단!$B762)</f>
        <v/>
      </c>
      <c r="D763" s="12" t="str">
        <f aca="false">IF($A763="","",원본명단!$D762)</f>
        <v/>
      </c>
      <c r="E763" s="11" t="str">
        <f aca="false">IF($A763="","",IF(원본명단!$H762="",0,COUNTIF(원본명단!$H$3:$H$6002,원본명단!$H762)))</f>
        <v/>
      </c>
      <c r="F763" s="11" t="str">
        <f aca="false">IF($A763="","",IF(원본명단!$I762="",0,COUNTIF(원본명단!$I$3:$I$6002,원본명단!$I762)))</f>
        <v/>
      </c>
      <c r="G763" s="11" t="str">
        <f aca="false">IF($A763="","",IF(원본명단!$K762="",0,COUNTIF(원본명단!$K$3:$K$6002,원본명단!$K762)))</f>
        <v/>
      </c>
      <c r="H763" s="11" t="str">
        <f aca="false">IF($A763="","",IF(MAX($E763,$F763,$G763)&gt;1,"중복","-"))</f>
        <v/>
      </c>
      <c r="I763" s="11" t="str">
        <f aca="false">IF($A763="","",IF($H763="-","-",IF(AND(IF(원본명단!$H762="",TRUE(),COUNTIF(원본명단!$H$3:$H762,원본명단!$H762)=1),IF(원본명단!$I762="",TRUE(),COUNTIF(원본명단!$I$3:$I762,원본명단!$I762)=1),IF(원본명단!$K762="",TRUE(),COUNTIF(원본명단!$K$3:$K762,원본명단!$K762)=1)),"첫 건","중복 건")))</f>
        <v/>
      </c>
      <c r="J763" s="11" t="str">
        <f aca="false">IF($A763="","",IF($H763="-","유지",IF($I763="첫 건","유지","확인 필요")))</f>
        <v/>
      </c>
    </row>
    <row r="764" customFormat="false" ht="15" hidden="false" customHeight="true" outlineLevel="0" collapsed="false">
      <c r="A764" s="11" t="str">
        <f aca="false">IF(원본명단!$A763="","",761)</f>
        <v/>
      </c>
      <c r="B764" s="12" t="str">
        <f aca="false">IF($A764="","",원본명단!$A763)</f>
        <v/>
      </c>
      <c r="C764" s="12" t="str">
        <f aca="false">IF($A764="","",원본명단!$B763)</f>
        <v/>
      </c>
      <c r="D764" s="12" t="str">
        <f aca="false">IF($A764="","",원본명단!$D763)</f>
        <v/>
      </c>
      <c r="E764" s="11" t="str">
        <f aca="false">IF($A764="","",IF(원본명단!$H763="",0,COUNTIF(원본명단!$H$3:$H$6002,원본명단!$H763)))</f>
        <v/>
      </c>
      <c r="F764" s="11" t="str">
        <f aca="false">IF($A764="","",IF(원본명단!$I763="",0,COUNTIF(원본명단!$I$3:$I$6002,원본명단!$I763)))</f>
        <v/>
      </c>
      <c r="G764" s="11" t="str">
        <f aca="false">IF($A764="","",IF(원본명단!$K763="",0,COUNTIF(원본명단!$K$3:$K$6002,원본명단!$K763)))</f>
        <v/>
      </c>
      <c r="H764" s="11" t="str">
        <f aca="false">IF($A764="","",IF(MAX($E764,$F764,$G764)&gt;1,"중복","-"))</f>
        <v/>
      </c>
      <c r="I764" s="11" t="str">
        <f aca="false">IF($A764="","",IF($H764="-","-",IF(AND(IF(원본명단!$H763="",TRUE(),COUNTIF(원본명단!$H$3:$H763,원본명단!$H763)=1),IF(원본명단!$I763="",TRUE(),COUNTIF(원본명단!$I$3:$I763,원본명단!$I763)=1),IF(원본명단!$K763="",TRUE(),COUNTIF(원본명단!$K$3:$K763,원본명단!$K763)=1)),"첫 건","중복 건")))</f>
        <v/>
      </c>
      <c r="J764" s="11" t="str">
        <f aca="false">IF($A764="","",IF($H764="-","유지",IF($I764="첫 건","유지","확인 필요")))</f>
        <v/>
      </c>
    </row>
    <row r="765" customFormat="false" ht="15" hidden="false" customHeight="true" outlineLevel="0" collapsed="false">
      <c r="A765" s="11" t="str">
        <f aca="false">IF(원본명단!$A764="","",762)</f>
        <v/>
      </c>
      <c r="B765" s="12" t="str">
        <f aca="false">IF($A765="","",원본명단!$A764)</f>
        <v/>
      </c>
      <c r="C765" s="12" t="str">
        <f aca="false">IF($A765="","",원본명단!$B764)</f>
        <v/>
      </c>
      <c r="D765" s="12" t="str">
        <f aca="false">IF($A765="","",원본명단!$D764)</f>
        <v/>
      </c>
      <c r="E765" s="11" t="str">
        <f aca="false">IF($A765="","",IF(원본명단!$H764="",0,COUNTIF(원본명단!$H$3:$H$6002,원본명단!$H764)))</f>
        <v/>
      </c>
      <c r="F765" s="11" t="str">
        <f aca="false">IF($A765="","",IF(원본명단!$I764="",0,COUNTIF(원본명단!$I$3:$I$6002,원본명단!$I764)))</f>
        <v/>
      </c>
      <c r="G765" s="11" t="str">
        <f aca="false">IF($A765="","",IF(원본명단!$K764="",0,COUNTIF(원본명단!$K$3:$K$6002,원본명단!$K764)))</f>
        <v/>
      </c>
      <c r="H765" s="11" t="str">
        <f aca="false">IF($A765="","",IF(MAX($E765,$F765,$G765)&gt;1,"중복","-"))</f>
        <v/>
      </c>
      <c r="I765" s="11" t="str">
        <f aca="false">IF($A765="","",IF($H765="-","-",IF(AND(IF(원본명단!$H764="",TRUE(),COUNTIF(원본명단!$H$3:$H764,원본명단!$H764)=1),IF(원본명단!$I764="",TRUE(),COUNTIF(원본명단!$I$3:$I764,원본명단!$I764)=1),IF(원본명단!$K764="",TRUE(),COUNTIF(원본명단!$K$3:$K764,원본명단!$K764)=1)),"첫 건","중복 건")))</f>
        <v/>
      </c>
      <c r="J765" s="11" t="str">
        <f aca="false">IF($A765="","",IF($H765="-","유지",IF($I765="첫 건","유지","확인 필요")))</f>
        <v/>
      </c>
    </row>
    <row r="766" customFormat="false" ht="15" hidden="false" customHeight="true" outlineLevel="0" collapsed="false">
      <c r="A766" s="11" t="str">
        <f aca="false">IF(원본명단!$A765="","",763)</f>
        <v/>
      </c>
      <c r="B766" s="12" t="str">
        <f aca="false">IF($A766="","",원본명단!$A765)</f>
        <v/>
      </c>
      <c r="C766" s="12" t="str">
        <f aca="false">IF($A766="","",원본명단!$B765)</f>
        <v/>
      </c>
      <c r="D766" s="12" t="str">
        <f aca="false">IF($A766="","",원본명단!$D765)</f>
        <v/>
      </c>
      <c r="E766" s="11" t="str">
        <f aca="false">IF($A766="","",IF(원본명단!$H765="",0,COUNTIF(원본명단!$H$3:$H$6002,원본명단!$H765)))</f>
        <v/>
      </c>
      <c r="F766" s="11" t="str">
        <f aca="false">IF($A766="","",IF(원본명단!$I765="",0,COUNTIF(원본명단!$I$3:$I$6002,원본명단!$I765)))</f>
        <v/>
      </c>
      <c r="G766" s="11" t="str">
        <f aca="false">IF($A766="","",IF(원본명단!$K765="",0,COUNTIF(원본명단!$K$3:$K$6002,원본명단!$K765)))</f>
        <v/>
      </c>
      <c r="H766" s="11" t="str">
        <f aca="false">IF($A766="","",IF(MAX($E766,$F766,$G766)&gt;1,"중복","-"))</f>
        <v/>
      </c>
      <c r="I766" s="11" t="str">
        <f aca="false">IF($A766="","",IF($H766="-","-",IF(AND(IF(원본명단!$H765="",TRUE(),COUNTIF(원본명단!$H$3:$H765,원본명단!$H765)=1),IF(원본명단!$I765="",TRUE(),COUNTIF(원본명단!$I$3:$I765,원본명단!$I765)=1),IF(원본명단!$K765="",TRUE(),COUNTIF(원본명단!$K$3:$K765,원본명단!$K765)=1)),"첫 건","중복 건")))</f>
        <v/>
      </c>
      <c r="J766" s="11" t="str">
        <f aca="false">IF($A766="","",IF($H766="-","유지",IF($I766="첫 건","유지","확인 필요")))</f>
        <v/>
      </c>
    </row>
    <row r="767" customFormat="false" ht="15" hidden="false" customHeight="true" outlineLevel="0" collapsed="false">
      <c r="A767" s="11" t="str">
        <f aca="false">IF(원본명단!$A766="","",764)</f>
        <v/>
      </c>
      <c r="B767" s="12" t="str">
        <f aca="false">IF($A767="","",원본명단!$A766)</f>
        <v/>
      </c>
      <c r="C767" s="12" t="str">
        <f aca="false">IF($A767="","",원본명단!$B766)</f>
        <v/>
      </c>
      <c r="D767" s="12" t="str">
        <f aca="false">IF($A767="","",원본명단!$D766)</f>
        <v/>
      </c>
      <c r="E767" s="11" t="str">
        <f aca="false">IF($A767="","",IF(원본명단!$H766="",0,COUNTIF(원본명단!$H$3:$H$6002,원본명단!$H766)))</f>
        <v/>
      </c>
      <c r="F767" s="11" t="str">
        <f aca="false">IF($A767="","",IF(원본명단!$I766="",0,COUNTIF(원본명단!$I$3:$I$6002,원본명단!$I766)))</f>
        <v/>
      </c>
      <c r="G767" s="11" t="str">
        <f aca="false">IF($A767="","",IF(원본명단!$K766="",0,COUNTIF(원본명단!$K$3:$K$6002,원본명단!$K766)))</f>
        <v/>
      </c>
      <c r="H767" s="11" t="str">
        <f aca="false">IF($A767="","",IF(MAX($E767,$F767,$G767)&gt;1,"중복","-"))</f>
        <v/>
      </c>
      <c r="I767" s="11" t="str">
        <f aca="false">IF($A767="","",IF($H767="-","-",IF(AND(IF(원본명단!$H766="",TRUE(),COUNTIF(원본명단!$H$3:$H766,원본명단!$H766)=1),IF(원본명단!$I766="",TRUE(),COUNTIF(원본명단!$I$3:$I766,원본명단!$I766)=1),IF(원본명단!$K766="",TRUE(),COUNTIF(원본명단!$K$3:$K766,원본명단!$K766)=1)),"첫 건","중복 건")))</f>
        <v/>
      </c>
      <c r="J767" s="11" t="str">
        <f aca="false">IF($A767="","",IF($H767="-","유지",IF($I767="첫 건","유지","확인 필요")))</f>
        <v/>
      </c>
    </row>
    <row r="768" customFormat="false" ht="15" hidden="false" customHeight="true" outlineLevel="0" collapsed="false">
      <c r="A768" s="11" t="str">
        <f aca="false">IF(원본명단!$A767="","",765)</f>
        <v/>
      </c>
      <c r="B768" s="12" t="str">
        <f aca="false">IF($A768="","",원본명단!$A767)</f>
        <v/>
      </c>
      <c r="C768" s="12" t="str">
        <f aca="false">IF($A768="","",원본명단!$B767)</f>
        <v/>
      </c>
      <c r="D768" s="12" t="str">
        <f aca="false">IF($A768="","",원본명단!$D767)</f>
        <v/>
      </c>
      <c r="E768" s="11" t="str">
        <f aca="false">IF($A768="","",IF(원본명단!$H767="",0,COUNTIF(원본명단!$H$3:$H$6002,원본명단!$H767)))</f>
        <v/>
      </c>
      <c r="F768" s="11" t="str">
        <f aca="false">IF($A768="","",IF(원본명단!$I767="",0,COUNTIF(원본명단!$I$3:$I$6002,원본명단!$I767)))</f>
        <v/>
      </c>
      <c r="G768" s="11" t="str">
        <f aca="false">IF($A768="","",IF(원본명단!$K767="",0,COUNTIF(원본명단!$K$3:$K$6002,원본명단!$K767)))</f>
        <v/>
      </c>
      <c r="H768" s="11" t="str">
        <f aca="false">IF($A768="","",IF(MAX($E768,$F768,$G768)&gt;1,"중복","-"))</f>
        <v/>
      </c>
      <c r="I768" s="11" t="str">
        <f aca="false">IF($A768="","",IF($H768="-","-",IF(AND(IF(원본명단!$H767="",TRUE(),COUNTIF(원본명단!$H$3:$H767,원본명단!$H767)=1),IF(원본명단!$I767="",TRUE(),COUNTIF(원본명단!$I$3:$I767,원본명단!$I767)=1),IF(원본명단!$K767="",TRUE(),COUNTIF(원본명단!$K$3:$K767,원본명단!$K767)=1)),"첫 건","중복 건")))</f>
        <v/>
      </c>
      <c r="J768" s="11" t="str">
        <f aca="false">IF($A768="","",IF($H768="-","유지",IF($I768="첫 건","유지","확인 필요")))</f>
        <v/>
      </c>
    </row>
    <row r="769" customFormat="false" ht="15" hidden="false" customHeight="true" outlineLevel="0" collapsed="false">
      <c r="A769" s="11" t="str">
        <f aca="false">IF(원본명단!$A768="","",766)</f>
        <v/>
      </c>
      <c r="B769" s="12" t="str">
        <f aca="false">IF($A769="","",원본명단!$A768)</f>
        <v/>
      </c>
      <c r="C769" s="12" t="str">
        <f aca="false">IF($A769="","",원본명단!$B768)</f>
        <v/>
      </c>
      <c r="D769" s="12" t="str">
        <f aca="false">IF($A769="","",원본명단!$D768)</f>
        <v/>
      </c>
      <c r="E769" s="11" t="str">
        <f aca="false">IF($A769="","",IF(원본명단!$H768="",0,COUNTIF(원본명단!$H$3:$H$6002,원본명단!$H768)))</f>
        <v/>
      </c>
      <c r="F769" s="11" t="str">
        <f aca="false">IF($A769="","",IF(원본명단!$I768="",0,COUNTIF(원본명단!$I$3:$I$6002,원본명단!$I768)))</f>
        <v/>
      </c>
      <c r="G769" s="11" t="str">
        <f aca="false">IF($A769="","",IF(원본명단!$K768="",0,COUNTIF(원본명단!$K$3:$K$6002,원본명단!$K768)))</f>
        <v/>
      </c>
      <c r="H769" s="11" t="str">
        <f aca="false">IF($A769="","",IF(MAX($E769,$F769,$G769)&gt;1,"중복","-"))</f>
        <v/>
      </c>
      <c r="I769" s="11" t="str">
        <f aca="false">IF($A769="","",IF($H769="-","-",IF(AND(IF(원본명단!$H768="",TRUE(),COUNTIF(원본명단!$H$3:$H768,원본명단!$H768)=1),IF(원본명단!$I768="",TRUE(),COUNTIF(원본명단!$I$3:$I768,원본명단!$I768)=1),IF(원본명단!$K768="",TRUE(),COUNTIF(원본명단!$K$3:$K768,원본명단!$K768)=1)),"첫 건","중복 건")))</f>
        <v/>
      </c>
      <c r="J769" s="11" t="str">
        <f aca="false">IF($A769="","",IF($H769="-","유지",IF($I769="첫 건","유지","확인 필요")))</f>
        <v/>
      </c>
    </row>
    <row r="770" customFormat="false" ht="15" hidden="false" customHeight="true" outlineLevel="0" collapsed="false">
      <c r="A770" s="11" t="str">
        <f aca="false">IF(원본명단!$A769="","",767)</f>
        <v/>
      </c>
      <c r="B770" s="12" t="str">
        <f aca="false">IF($A770="","",원본명단!$A769)</f>
        <v/>
      </c>
      <c r="C770" s="12" t="str">
        <f aca="false">IF($A770="","",원본명단!$B769)</f>
        <v/>
      </c>
      <c r="D770" s="12" t="str">
        <f aca="false">IF($A770="","",원본명단!$D769)</f>
        <v/>
      </c>
      <c r="E770" s="11" t="str">
        <f aca="false">IF($A770="","",IF(원본명단!$H769="",0,COUNTIF(원본명단!$H$3:$H$6002,원본명단!$H769)))</f>
        <v/>
      </c>
      <c r="F770" s="11" t="str">
        <f aca="false">IF($A770="","",IF(원본명단!$I769="",0,COUNTIF(원본명단!$I$3:$I$6002,원본명단!$I769)))</f>
        <v/>
      </c>
      <c r="G770" s="11" t="str">
        <f aca="false">IF($A770="","",IF(원본명단!$K769="",0,COUNTIF(원본명단!$K$3:$K$6002,원본명단!$K769)))</f>
        <v/>
      </c>
      <c r="H770" s="11" t="str">
        <f aca="false">IF($A770="","",IF(MAX($E770,$F770,$G770)&gt;1,"중복","-"))</f>
        <v/>
      </c>
      <c r="I770" s="11" t="str">
        <f aca="false">IF($A770="","",IF($H770="-","-",IF(AND(IF(원본명단!$H769="",TRUE(),COUNTIF(원본명단!$H$3:$H769,원본명단!$H769)=1),IF(원본명단!$I769="",TRUE(),COUNTIF(원본명단!$I$3:$I769,원본명단!$I769)=1),IF(원본명단!$K769="",TRUE(),COUNTIF(원본명단!$K$3:$K769,원본명단!$K769)=1)),"첫 건","중복 건")))</f>
        <v/>
      </c>
      <c r="J770" s="11" t="str">
        <f aca="false">IF($A770="","",IF($H770="-","유지",IF($I770="첫 건","유지","확인 필요")))</f>
        <v/>
      </c>
    </row>
    <row r="771" customFormat="false" ht="15" hidden="false" customHeight="true" outlineLevel="0" collapsed="false">
      <c r="A771" s="11" t="str">
        <f aca="false">IF(원본명단!$A770="","",768)</f>
        <v/>
      </c>
      <c r="B771" s="12" t="str">
        <f aca="false">IF($A771="","",원본명단!$A770)</f>
        <v/>
      </c>
      <c r="C771" s="12" t="str">
        <f aca="false">IF($A771="","",원본명단!$B770)</f>
        <v/>
      </c>
      <c r="D771" s="12" t="str">
        <f aca="false">IF($A771="","",원본명단!$D770)</f>
        <v/>
      </c>
      <c r="E771" s="11" t="str">
        <f aca="false">IF($A771="","",IF(원본명단!$H770="",0,COUNTIF(원본명단!$H$3:$H$6002,원본명단!$H770)))</f>
        <v/>
      </c>
      <c r="F771" s="11" t="str">
        <f aca="false">IF($A771="","",IF(원본명단!$I770="",0,COUNTIF(원본명단!$I$3:$I$6002,원본명단!$I770)))</f>
        <v/>
      </c>
      <c r="G771" s="11" t="str">
        <f aca="false">IF($A771="","",IF(원본명단!$K770="",0,COUNTIF(원본명단!$K$3:$K$6002,원본명단!$K770)))</f>
        <v/>
      </c>
      <c r="H771" s="11" t="str">
        <f aca="false">IF($A771="","",IF(MAX($E771,$F771,$G771)&gt;1,"중복","-"))</f>
        <v/>
      </c>
      <c r="I771" s="11" t="str">
        <f aca="false">IF($A771="","",IF($H771="-","-",IF(AND(IF(원본명단!$H770="",TRUE(),COUNTIF(원본명단!$H$3:$H770,원본명단!$H770)=1),IF(원본명단!$I770="",TRUE(),COUNTIF(원본명단!$I$3:$I770,원본명단!$I770)=1),IF(원본명단!$K770="",TRUE(),COUNTIF(원본명단!$K$3:$K770,원본명단!$K770)=1)),"첫 건","중복 건")))</f>
        <v/>
      </c>
      <c r="J771" s="11" t="str">
        <f aca="false">IF($A771="","",IF($H771="-","유지",IF($I771="첫 건","유지","확인 필요")))</f>
        <v/>
      </c>
    </row>
    <row r="772" customFormat="false" ht="15" hidden="false" customHeight="true" outlineLevel="0" collapsed="false">
      <c r="A772" s="11" t="str">
        <f aca="false">IF(원본명단!$A771="","",769)</f>
        <v/>
      </c>
      <c r="B772" s="12" t="str">
        <f aca="false">IF($A772="","",원본명단!$A771)</f>
        <v/>
      </c>
      <c r="C772" s="12" t="str">
        <f aca="false">IF($A772="","",원본명단!$B771)</f>
        <v/>
      </c>
      <c r="D772" s="12" t="str">
        <f aca="false">IF($A772="","",원본명단!$D771)</f>
        <v/>
      </c>
      <c r="E772" s="11" t="str">
        <f aca="false">IF($A772="","",IF(원본명단!$H771="",0,COUNTIF(원본명단!$H$3:$H$6002,원본명단!$H771)))</f>
        <v/>
      </c>
      <c r="F772" s="11" t="str">
        <f aca="false">IF($A772="","",IF(원본명단!$I771="",0,COUNTIF(원본명단!$I$3:$I$6002,원본명단!$I771)))</f>
        <v/>
      </c>
      <c r="G772" s="11" t="str">
        <f aca="false">IF($A772="","",IF(원본명단!$K771="",0,COUNTIF(원본명단!$K$3:$K$6002,원본명단!$K771)))</f>
        <v/>
      </c>
      <c r="H772" s="11" t="str">
        <f aca="false">IF($A772="","",IF(MAX($E772,$F772,$G772)&gt;1,"중복","-"))</f>
        <v/>
      </c>
      <c r="I772" s="11" t="str">
        <f aca="false">IF($A772="","",IF($H772="-","-",IF(AND(IF(원본명단!$H771="",TRUE(),COUNTIF(원본명단!$H$3:$H771,원본명단!$H771)=1),IF(원본명단!$I771="",TRUE(),COUNTIF(원본명단!$I$3:$I771,원본명단!$I771)=1),IF(원본명단!$K771="",TRUE(),COUNTIF(원본명단!$K$3:$K771,원본명단!$K771)=1)),"첫 건","중복 건")))</f>
        <v/>
      </c>
      <c r="J772" s="11" t="str">
        <f aca="false">IF($A772="","",IF($H772="-","유지",IF($I772="첫 건","유지","확인 필요")))</f>
        <v/>
      </c>
    </row>
    <row r="773" customFormat="false" ht="15" hidden="false" customHeight="true" outlineLevel="0" collapsed="false">
      <c r="A773" s="11" t="str">
        <f aca="false">IF(원본명단!$A772="","",770)</f>
        <v/>
      </c>
      <c r="B773" s="12" t="str">
        <f aca="false">IF($A773="","",원본명단!$A772)</f>
        <v/>
      </c>
      <c r="C773" s="12" t="str">
        <f aca="false">IF($A773="","",원본명단!$B772)</f>
        <v/>
      </c>
      <c r="D773" s="12" t="str">
        <f aca="false">IF($A773="","",원본명단!$D772)</f>
        <v/>
      </c>
      <c r="E773" s="11" t="str">
        <f aca="false">IF($A773="","",IF(원본명단!$H772="",0,COUNTIF(원본명단!$H$3:$H$6002,원본명단!$H772)))</f>
        <v/>
      </c>
      <c r="F773" s="11" t="str">
        <f aca="false">IF($A773="","",IF(원본명단!$I772="",0,COUNTIF(원본명단!$I$3:$I$6002,원본명단!$I772)))</f>
        <v/>
      </c>
      <c r="G773" s="11" t="str">
        <f aca="false">IF($A773="","",IF(원본명단!$K772="",0,COUNTIF(원본명단!$K$3:$K$6002,원본명단!$K772)))</f>
        <v/>
      </c>
      <c r="H773" s="11" t="str">
        <f aca="false">IF($A773="","",IF(MAX($E773,$F773,$G773)&gt;1,"중복","-"))</f>
        <v/>
      </c>
      <c r="I773" s="11" t="str">
        <f aca="false">IF($A773="","",IF($H773="-","-",IF(AND(IF(원본명단!$H772="",TRUE(),COUNTIF(원본명단!$H$3:$H772,원본명단!$H772)=1),IF(원본명단!$I772="",TRUE(),COUNTIF(원본명단!$I$3:$I772,원본명단!$I772)=1),IF(원본명단!$K772="",TRUE(),COUNTIF(원본명단!$K$3:$K772,원본명단!$K772)=1)),"첫 건","중복 건")))</f>
        <v/>
      </c>
      <c r="J773" s="11" t="str">
        <f aca="false">IF($A773="","",IF($H773="-","유지",IF($I773="첫 건","유지","확인 필요")))</f>
        <v/>
      </c>
    </row>
    <row r="774" customFormat="false" ht="15" hidden="false" customHeight="true" outlineLevel="0" collapsed="false">
      <c r="A774" s="11" t="str">
        <f aca="false">IF(원본명단!$A773="","",771)</f>
        <v/>
      </c>
      <c r="B774" s="12" t="str">
        <f aca="false">IF($A774="","",원본명단!$A773)</f>
        <v/>
      </c>
      <c r="C774" s="12" t="str">
        <f aca="false">IF($A774="","",원본명단!$B773)</f>
        <v/>
      </c>
      <c r="D774" s="12" t="str">
        <f aca="false">IF($A774="","",원본명단!$D773)</f>
        <v/>
      </c>
      <c r="E774" s="11" t="str">
        <f aca="false">IF($A774="","",IF(원본명단!$H773="",0,COUNTIF(원본명단!$H$3:$H$6002,원본명단!$H773)))</f>
        <v/>
      </c>
      <c r="F774" s="11" t="str">
        <f aca="false">IF($A774="","",IF(원본명단!$I773="",0,COUNTIF(원본명단!$I$3:$I$6002,원본명단!$I773)))</f>
        <v/>
      </c>
      <c r="G774" s="11" t="str">
        <f aca="false">IF($A774="","",IF(원본명단!$K773="",0,COUNTIF(원본명단!$K$3:$K$6002,원본명단!$K773)))</f>
        <v/>
      </c>
      <c r="H774" s="11" t="str">
        <f aca="false">IF($A774="","",IF(MAX($E774,$F774,$G774)&gt;1,"중복","-"))</f>
        <v/>
      </c>
      <c r="I774" s="11" t="str">
        <f aca="false">IF($A774="","",IF($H774="-","-",IF(AND(IF(원본명단!$H773="",TRUE(),COUNTIF(원본명단!$H$3:$H773,원본명단!$H773)=1),IF(원본명단!$I773="",TRUE(),COUNTIF(원본명단!$I$3:$I773,원본명단!$I773)=1),IF(원본명단!$K773="",TRUE(),COUNTIF(원본명단!$K$3:$K773,원본명단!$K773)=1)),"첫 건","중복 건")))</f>
        <v/>
      </c>
      <c r="J774" s="11" t="str">
        <f aca="false">IF($A774="","",IF($H774="-","유지",IF($I774="첫 건","유지","확인 필요")))</f>
        <v/>
      </c>
    </row>
    <row r="775" customFormat="false" ht="15" hidden="false" customHeight="true" outlineLevel="0" collapsed="false">
      <c r="A775" s="11" t="str">
        <f aca="false">IF(원본명단!$A774="","",772)</f>
        <v/>
      </c>
      <c r="B775" s="12" t="str">
        <f aca="false">IF($A775="","",원본명단!$A774)</f>
        <v/>
      </c>
      <c r="C775" s="12" t="str">
        <f aca="false">IF($A775="","",원본명단!$B774)</f>
        <v/>
      </c>
      <c r="D775" s="12" t="str">
        <f aca="false">IF($A775="","",원본명단!$D774)</f>
        <v/>
      </c>
      <c r="E775" s="11" t="str">
        <f aca="false">IF($A775="","",IF(원본명단!$H774="",0,COUNTIF(원본명단!$H$3:$H$6002,원본명단!$H774)))</f>
        <v/>
      </c>
      <c r="F775" s="11" t="str">
        <f aca="false">IF($A775="","",IF(원본명단!$I774="",0,COUNTIF(원본명단!$I$3:$I$6002,원본명단!$I774)))</f>
        <v/>
      </c>
      <c r="G775" s="11" t="str">
        <f aca="false">IF($A775="","",IF(원본명단!$K774="",0,COUNTIF(원본명단!$K$3:$K$6002,원본명단!$K774)))</f>
        <v/>
      </c>
      <c r="H775" s="11" t="str">
        <f aca="false">IF($A775="","",IF(MAX($E775,$F775,$G775)&gt;1,"중복","-"))</f>
        <v/>
      </c>
      <c r="I775" s="11" t="str">
        <f aca="false">IF($A775="","",IF($H775="-","-",IF(AND(IF(원본명단!$H774="",TRUE(),COUNTIF(원본명단!$H$3:$H774,원본명단!$H774)=1),IF(원본명단!$I774="",TRUE(),COUNTIF(원본명단!$I$3:$I774,원본명단!$I774)=1),IF(원본명단!$K774="",TRUE(),COUNTIF(원본명단!$K$3:$K774,원본명단!$K774)=1)),"첫 건","중복 건")))</f>
        <v/>
      </c>
      <c r="J775" s="11" t="str">
        <f aca="false">IF($A775="","",IF($H775="-","유지",IF($I775="첫 건","유지","확인 필요")))</f>
        <v/>
      </c>
    </row>
    <row r="776" customFormat="false" ht="15" hidden="false" customHeight="true" outlineLevel="0" collapsed="false">
      <c r="A776" s="11" t="str">
        <f aca="false">IF(원본명단!$A775="","",773)</f>
        <v/>
      </c>
      <c r="B776" s="12" t="str">
        <f aca="false">IF($A776="","",원본명단!$A775)</f>
        <v/>
      </c>
      <c r="C776" s="12" t="str">
        <f aca="false">IF($A776="","",원본명단!$B775)</f>
        <v/>
      </c>
      <c r="D776" s="12" t="str">
        <f aca="false">IF($A776="","",원본명단!$D775)</f>
        <v/>
      </c>
      <c r="E776" s="11" t="str">
        <f aca="false">IF($A776="","",IF(원본명단!$H775="",0,COUNTIF(원본명단!$H$3:$H$6002,원본명단!$H775)))</f>
        <v/>
      </c>
      <c r="F776" s="11" t="str">
        <f aca="false">IF($A776="","",IF(원본명단!$I775="",0,COUNTIF(원본명단!$I$3:$I$6002,원본명단!$I775)))</f>
        <v/>
      </c>
      <c r="G776" s="11" t="str">
        <f aca="false">IF($A776="","",IF(원본명단!$K775="",0,COUNTIF(원본명단!$K$3:$K$6002,원본명단!$K775)))</f>
        <v/>
      </c>
      <c r="H776" s="11" t="str">
        <f aca="false">IF($A776="","",IF(MAX($E776,$F776,$G776)&gt;1,"중복","-"))</f>
        <v/>
      </c>
      <c r="I776" s="11" t="str">
        <f aca="false">IF($A776="","",IF($H776="-","-",IF(AND(IF(원본명단!$H775="",TRUE(),COUNTIF(원본명단!$H$3:$H775,원본명단!$H775)=1),IF(원본명단!$I775="",TRUE(),COUNTIF(원본명단!$I$3:$I775,원본명단!$I775)=1),IF(원본명단!$K775="",TRUE(),COUNTIF(원본명단!$K$3:$K775,원본명단!$K775)=1)),"첫 건","중복 건")))</f>
        <v/>
      </c>
      <c r="J776" s="11" t="str">
        <f aca="false">IF($A776="","",IF($H776="-","유지",IF($I776="첫 건","유지","확인 필요")))</f>
        <v/>
      </c>
    </row>
    <row r="777" customFormat="false" ht="15" hidden="false" customHeight="true" outlineLevel="0" collapsed="false">
      <c r="A777" s="11" t="str">
        <f aca="false">IF(원본명단!$A776="","",774)</f>
        <v/>
      </c>
      <c r="B777" s="12" t="str">
        <f aca="false">IF($A777="","",원본명단!$A776)</f>
        <v/>
      </c>
      <c r="C777" s="12" t="str">
        <f aca="false">IF($A777="","",원본명단!$B776)</f>
        <v/>
      </c>
      <c r="D777" s="12" t="str">
        <f aca="false">IF($A777="","",원본명단!$D776)</f>
        <v/>
      </c>
      <c r="E777" s="11" t="str">
        <f aca="false">IF($A777="","",IF(원본명단!$H776="",0,COUNTIF(원본명단!$H$3:$H$6002,원본명단!$H776)))</f>
        <v/>
      </c>
      <c r="F777" s="11" t="str">
        <f aca="false">IF($A777="","",IF(원본명단!$I776="",0,COUNTIF(원본명단!$I$3:$I$6002,원본명단!$I776)))</f>
        <v/>
      </c>
      <c r="G777" s="11" t="str">
        <f aca="false">IF($A777="","",IF(원본명단!$K776="",0,COUNTIF(원본명단!$K$3:$K$6002,원본명단!$K776)))</f>
        <v/>
      </c>
      <c r="H777" s="11" t="str">
        <f aca="false">IF($A777="","",IF(MAX($E777,$F777,$G777)&gt;1,"중복","-"))</f>
        <v/>
      </c>
      <c r="I777" s="11" t="str">
        <f aca="false">IF($A777="","",IF($H777="-","-",IF(AND(IF(원본명단!$H776="",TRUE(),COUNTIF(원본명단!$H$3:$H776,원본명단!$H776)=1),IF(원본명단!$I776="",TRUE(),COUNTIF(원본명단!$I$3:$I776,원본명단!$I776)=1),IF(원본명단!$K776="",TRUE(),COUNTIF(원본명단!$K$3:$K776,원본명단!$K776)=1)),"첫 건","중복 건")))</f>
        <v/>
      </c>
      <c r="J777" s="11" t="str">
        <f aca="false">IF($A777="","",IF($H777="-","유지",IF($I777="첫 건","유지","확인 필요")))</f>
        <v/>
      </c>
    </row>
    <row r="778" customFormat="false" ht="15" hidden="false" customHeight="true" outlineLevel="0" collapsed="false">
      <c r="A778" s="11" t="str">
        <f aca="false">IF(원본명단!$A777="","",775)</f>
        <v/>
      </c>
      <c r="B778" s="12" t="str">
        <f aca="false">IF($A778="","",원본명단!$A777)</f>
        <v/>
      </c>
      <c r="C778" s="12" t="str">
        <f aca="false">IF($A778="","",원본명단!$B777)</f>
        <v/>
      </c>
      <c r="D778" s="12" t="str">
        <f aca="false">IF($A778="","",원본명단!$D777)</f>
        <v/>
      </c>
      <c r="E778" s="11" t="str">
        <f aca="false">IF($A778="","",IF(원본명단!$H777="",0,COUNTIF(원본명단!$H$3:$H$6002,원본명단!$H777)))</f>
        <v/>
      </c>
      <c r="F778" s="11" t="str">
        <f aca="false">IF($A778="","",IF(원본명단!$I777="",0,COUNTIF(원본명단!$I$3:$I$6002,원본명단!$I777)))</f>
        <v/>
      </c>
      <c r="G778" s="11" t="str">
        <f aca="false">IF($A778="","",IF(원본명단!$K777="",0,COUNTIF(원본명단!$K$3:$K$6002,원본명단!$K777)))</f>
        <v/>
      </c>
      <c r="H778" s="11" t="str">
        <f aca="false">IF($A778="","",IF(MAX($E778,$F778,$G778)&gt;1,"중복","-"))</f>
        <v/>
      </c>
      <c r="I778" s="11" t="str">
        <f aca="false">IF($A778="","",IF($H778="-","-",IF(AND(IF(원본명단!$H777="",TRUE(),COUNTIF(원본명단!$H$3:$H777,원본명단!$H777)=1),IF(원본명단!$I777="",TRUE(),COUNTIF(원본명단!$I$3:$I777,원본명단!$I777)=1),IF(원본명단!$K777="",TRUE(),COUNTIF(원본명단!$K$3:$K777,원본명단!$K777)=1)),"첫 건","중복 건")))</f>
        <v/>
      </c>
      <c r="J778" s="11" t="str">
        <f aca="false">IF($A778="","",IF($H778="-","유지",IF($I778="첫 건","유지","확인 필요")))</f>
        <v/>
      </c>
    </row>
    <row r="779" customFormat="false" ht="15" hidden="false" customHeight="true" outlineLevel="0" collapsed="false">
      <c r="A779" s="11" t="str">
        <f aca="false">IF(원본명단!$A778="","",776)</f>
        <v/>
      </c>
      <c r="B779" s="12" t="str">
        <f aca="false">IF($A779="","",원본명단!$A778)</f>
        <v/>
      </c>
      <c r="C779" s="12" t="str">
        <f aca="false">IF($A779="","",원본명단!$B778)</f>
        <v/>
      </c>
      <c r="D779" s="12" t="str">
        <f aca="false">IF($A779="","",원본명단!$D778)</f>
        <v/>
      </c>
      <c r="E779" s="11" t="str">
        <f aca="false">IF($A779="","",IF(원본명단!$H778="",0,COUNTIF(원본명단!$H$3:$H$6002,원본명단!$H778)))</f>
        <v/>
      </c>
      <c r="F779" s="11" t="str">
        <f aca="false">IF($A779="","",IF(원본명단!$I778="",0,COUNTIF(원본명단!$I$3:$I$6002,원본명단!$I778)))</f>
        <v/>
      </c>
      <c r="G779" s="11" t="str">
        <f aca="false">IF($A779="","",IF(원본명단!$K778="",0,COUNTIF(원본명단!$K$3:$K$6002,원본명단!$K778)))</f>
        <v/>
      </c>
      <c r="H779" s="11" t="str">
        <f aca="false">IF($A779="","",IF(MAX($E779,$F779,$G779)&gt;1,"중복","-"))</f>
        <v/>
      </c>
      <c r="I779" s="11" t="str">
        <f aca="false">IF($A779="","",IF($H779="-","-",IF(AND(IF(원본명단!$H778="",TRUE(),COUNTIF(원본명단!$H$3:$H778,원본명단!$H778)=1),IF(원본명단!$I778="",TRUE(),COUNTIF(원본명단!$I$3:$I778,원본명단!$I778)=1),IF(원본명단!$K778="",TRUE(),COUNTIF(원본명단!$K$3:$K778,원본명단!$K778)=1)),"첫 건","중복 건")))</f>
        <v/>
      </c>
      <c r="J779" s="11" t="str">
        <f aca="false">IF($A779="","",IF($H779="-","유지",IF($I779="첫 건","유지","확인 필요")))</f>
        <v/>
      </c>
    </row>
    <row r="780" customFormat="false" ht="15" hidden="false" customHeight="true" outlineLevel="0" collapsed="false">
      <c r="A780" s="11" t="str">
        <f aca="false">IF(원본명단!$A779="","",777)</f>
        <v/>
      </c>
      <c r="B780" s="12" t="str">
        <f aca="false">IF($A780="","",원본명단!$A779)</f>
        <v/>
      </c>
      <c r="C780" s="12" t="str">
        <f aca="false">IF($A780="","",원본명단!$B779)</f>
        <v/>
      </c>
      <c r="D780" s="12" t="str">
        <f aca="false">IF($A780="","",원본명단!$D779)</f>
        <v/>
      </c>
      <c r="E780" s="11" t="str">
        <f aca="false">IF($A780="","",IF(원본명단!$H779="",0,COUNTIF(원본명단!$H$3:$H$6002,원본명단!$H779)))</f>
        <v/>
      </c>
      <c r="F780" s="11" t="str">
        <f aca="false">IF($A780="","",IF(원본명단!$I779="",0,COUNTIF(원본명단!$I$3:$I$6002,원본명단!$I779)))</f>
        <v/>
      </c>
      <c r="G780" s="11" t="str">
        <f aca="false">IF($A780="","",IF(원본명단!$K779="",0,COUNTIF(원본명단!$K$3:$K$6002,원본명단!$K779)))</f>
        <v/>
      </c>
      <c r="H780" s="11" t="str">
        <f aca="false">IF($A780="","",IF(MAX($E780,$F780,$G780)&gt;1,"중복","-"))</f>
        <v/>
      </c>
      <c r="I780" s="11" t="str">
        <f aca="false">IF($A780="","",IF($H780="-","-",IF(AND(IF(원본명단!$H779="",TRUE(),COUNTIF(원본명단!$H$3:$H779,원본명단!$H779)=1),IF(원본명단!$I779="",TRUE(),COUNTIF(원본명단!$I$3:$I779,원본명단!$I779)=1),IF(원본명단!$K779="",TRUE(),COUNTIF(원본명단!$K$3:$K779,원본명단!$K779)=1)),"첫 건","중복 건")))</f>
        <v/>
      </c>
      <c r="J780" s="11" t="str">
        <f aca="false">IF($A780="","",IF($H780="-","유지",IF($I780="첫 건","유지","확인 필요")))</f>
        <v/>
      </c>
    </row>
    <row r="781" customFormat="false" ht="15" hidden="false" customHeight="true" outlineLevel="0" collapsed="false">
      <c r="A781" s="11" t="str">
        <f aca="false">IF(원본명단!$A780="","",778)</f>
        <v/>
      </c>
      <c r="B781" s="12" t="str">
        <f aca="false">IF($A781="","",원본명단!$A780)</f>
        <v/>
      </c>
      <c r="C781" s="12" t="str">
        <f aca="false">IF($A781="","",원본명단!$B780)</f>
        <v/>
      </c>
      <c r="D781" s="12" t="str">
        <f aca="false">IF($A781="","",원본명단!$D780)</f>
        <v/>
      </c>
      <c r="E781" s="11" t="str">
        <f aca="false">IF($A781="","",IF(원본명단!$H780="",0,COUNTIF(원본명단!$H$3:$H$6002,원본명단!$H780)))</f>
        <v/>
      </c>
      <c r="F781" s="11" t="str">
        <f aca="false">IF($A781="","",IF(원본명단!$I780="",0,COUNTIF(원본명단!$I$3:$I$6002,원본명단!$I780)))</f>
        <v/>
      </c>
      <c r="G781" s="11" t="str">
        <f aca="false">IF($A781="","",IF(원본명단!$K780="",0,COUNTIF(원본명단!$K$3:$K$6002,원본명단!$K780)))</f>
        <v/>
      </c>
      <c r="H781" s="11" t="str">
        <f aca="false">IF($A781="","",IF(MAX($E781,$F781,$G781)&gt;1,"중복","-"))</f>
        <v/>
      </c>
      <c r="I781" s="11" t="str">
        <f aca="false">IF($A781="","",IF($H781="-","-",IF(AND(IF(원본명단!$H780="",TRUE(),COUNTIF(원본명단!$H$3:$H780,원본명단!$H780)=1),IF(원본명단!$I780="",TRUE(),COUNTIF(원본명단!$I$3:$I780,원본명단!$I780)=1),IF(원본명단!$K780="",TRUE(),COUNTIF(원본명단!$K$3:$K780,원본명단!$K780)=1)),"첫 건","중복 건")))</f>
        <v/>
      </c>
      <c r="J781" s="11" t="str">
        <f aca="false">IF($A781="","",IF($H781="-","유지",IF($I781="첫 건","유지","확인 필요")))</f>
        <v/>
      </c>
    </row>
    <row r="782" customFormat="false" ht="15" hidden="false" customHeight="true" outlineLevel="0" collapsed="false">
      <c r="A782" s="11" t="str">
        <f aca="false">IF(원본명단!$A781="","",779)</f>
        <v/>
      </c>
      <c r="B782" s="12" t="str">
        <f aca="false">IF($A782="","",원본명단!$A781)</f>
        <v/>
      </c>
      <c r="C782" s="12" t="str">
        <f aca="false">IF($A782="","",원본명단!$B781)</f>
        <v/>
      </c>
      <c r="D782" s="12" t="str">
        <f aca="false">IF($A782="","",원본명단!$D781)</f>
        <v/>
      </c>
      <c r="E782" s="11" t="str">
        <f aca="false">IF($A782="","",IF(원본명단!$H781="",0,COUNTIF(원본명단!$H$3:$H$6002,원본명단!$H781)))</f>
        <v/>
      </c>
      <c r="F782" s="11" t="str">
        <f aca="false">IF($A782="","",IF(원본명단!$I781="",0,COUNTIF(원본명단!$I$3:$I$6002,원본명단!$I781)))</f>
        <v/>
      </c>
      <c r="G782" s="11" t="str">
        <f aca="false">IF($A782="","",IF(원본명단!$K781="",0,COUNTIF(원본명단!$K$3:$K$6002,원본명단!$K781)))</f>
        <v/>
      </c>
      <c r="H782" s="11" t="str">
        <f aca="false">IF($A782="","",IF(MAX($E782,$F782,$G782)&gt;1,"중복","-"))</f>
        <v/>
      </c>
      <c r="I782" s="11" t="str">
        <f aca="false">IF($A782="","",IF($H782="-","-",IF(AND(IF(원본명단!$H781="",TRUE(),COUNTIF(원본명단!$H$3:$H781,원본명단!$H781)=1),IF(원본명단!$I781="",TRUE(),COUNTIF(원본명단!$I$3:$I781,원본명단!$I781)=1),IF(원본명단!$K781="",TRUE(),COUNTIF(원본명단!$K$3:$K781,원본명단!$K781)=1)),"첫 건","중복 건")))</f>
        <v/>
      </c>
      <c r="J782" s="11" t="str">
        <f aca="false">IF($A782="","",IF($H782="-","유지",IF($I782="첫 건","유지","확인 필요")))</f>
        <v/>
      </c>
    </row>
    <row r="783" customFormat="false" ht="15" hidden="false" customHeight="true" outlineLevel="0" collapsed="false">
      <c r="A783" s="11" t="str">
        <f aca="false">IF(원본명단!$A782="","",780)</f>
        <v/>
      </c>
      <c r="B783" s="12" t="str">
        <f aca="false">IF($A783="","",원본명단!$A782)</f>
        <v/>
      </c>
      <c r="C783" s="12" t="str">
        <f aca="false">IF($A783="","",원본명단!$B782)</f>
        <v/>
      </c>
      <c r="D783" s="12" t="str">
        <f aca="false">IF($A783="","",원본명단!$D782)</f>
        <v/>
      </c>
      <c r="E783" s="11" t="str">
        <f aca="false">IF($A783="","",IF(원본명단!$H782="",0,COUNTIF(원본명단!$H$3:$H$6002,원본명단!$H782)))</f>
        <v/>
      </c>
      <c r="F783" s="11" t="str">
        <f aca="false">IF($A783="","",IF(원본명단!$I782="",0,COUNTIF(원본명단!$I$3:$I$6002,원본명단!$I782)))</f>
        <v/>
      </c>
      <c r="G783" s="11" t="str">
        <f aca="false">IF($A783="","",IF(원본명단!$K782="",0,COUNTIF(원본명단!$K$3:$K$6002,원본명단!$K782)))</f>
        <v/>
      </c>
      <c r="H783" s="11" t="str">
        <f aca="false">IF($A783="","",IF(MAX($E783,$F783,$G783)&gt;1,"중복","-"))</f>
        <v/>
      </c>
      <c r="I783" s="11" t="str">
        <f aca="false">IF($A783="","",IF($H783="-","-",IF(AND(IF(원본명단!$H782="",TRUE(),COUNTIF(원본명단!$H$3:$H782,원본명단!$H782)=1),IF(원본명단!$I782="",TRUE(),COUNTIF(원본명단!$I$3:$I782,원본명단!$I782)=1),IF(원본명단!$K782="",TRUE(),COUNTIF(원본명단!$K$3:$K782,원본명단!$K782)=1)),"첫 건","중복 건")))</f>
        <v/>
      </c>
      <c r="J783" s="11" t="str">
        <f aca="false">IF($A783="","",IF($H783="-","유지",IF($I783="첫 건","유지","확인 필요")))</f>
        <v/>
      </c>
    </row>
    <row r="784" customFormat="false" ht="15" hidden="false" customHeight="true" outlineLevel="0" collapsed="false">
      <c r="A784" s="11" t="str">
        <f aca="false">IF(원본명단!$A783="","",781)</f>
        <v/>
      </c>
      <c r="B784" s="12" t="str">
        <f aca="false">IF($A784="","",원본명단!$A783)</f>
        <v/>
      </c>
      <c r="C784" s="12" t="str">
        <f aca="false">IF($A784="","",원본명단!$B783)</f>
        <v/>
      </c>
      <c r="D784" s="12" t="str">
        <f aca="false">IF($A784="","",원본명단!$D783)</f>
        <v/>
      </c>
      <c r="E784" s="11" t="str">
        <f aca="false">IF($A784="","",IF(원본명단!$H783="",0,COUNTIF(원본명단!$H$3:$H$6002,원본명단!$H783)))</f>
        <v/>
      </c>
      <c r="F784" s="11" t="str">
        <f aca="false">IF($A784="","",IF(원본명단!$I783="",0,COUNTIF(원본명단!$I$3:$I$6002,원본명단!$I783)))</f>
        <v/>
      </c>
      <c r="G784" s="11" t="str">
        <f aca="false">IF($A784="","",IF(원본명단!$K783="",0,COUNTIF(원본명단!$K$3:$K$6002,원본명단!$K783)))</f>
        <v/>
      </c>
      <c r="H784" s="11" t="str">
        <f aca="false">IF($A784="","",IF(MAX($E784,$F784,$G784)&gt;1,"중복","-"))</f>
        <v/>
      </c>
      <c r="I784" s="11" t="str">
        <f aca="false">IF($A784="","",IF($H784="-","-",IF(AND(IF(원본명단!$H783="",TRUE(),COUNTIF(원본명단!$H$3:$H783,원본명단!$H783)=1),IF(원본명단!$I783="",TRUE(),COUNTIF(원본명단!$I$3:$I783,원본명단!$I783)=1),IF(원본명단!$K783="",TRUE(),COUNTIF(원본명단!$K$3:$K783,원본명단!$K783)=1)),"첫 건","중복 건")))</f>
        <v/>
      </c>
      <c r="J784" s="11" t="str">
        <f aca="false">IF($A784="","",IF($H784="-","유지",IF($I784="첫 건","유지","확인 필요")))</f>
        <v/>
      </c>
    </row>
    <row r="785" customFormat="false" ht="15" hidden="false" customHeight="true" outlineLevel="0" collapsed="false">
      <c r="A785" s="11" t="str">
        <f aca="false">IF(원본명단!$A784="","",782)</f>
        <v/>
      </c>
      <c r="B785" s="12" t="str">
        <f aca="false">IF($A785="","",원본명단!$A784)</f>
        <v/>
      </c>
      <c r="C785" s="12" t="str">
        <f aca="false">IF($A785="","",원본명단!$B784)</f>
        <v/>
      </c>
      <c r="D785" s="12" t="str">
        <f aca="false">IF($A785="","",원본명단!$D784)</f>
        <v/>
      </c>
      <c r="E785" s="11" t="str">
        <f aca="false">IF($A785="","",IF(원본명단!$H784="",0,COUNTIF(원본명단!$H$3:$H$6002,원본명단!$H784)))</f>
        <v/>
      </c>
      <c r="F785" s="11" t="str">
        <f aca="false">IF($A785="","",IF(원본명단!$I784="",0,COUNTIF(원본명단!$I$3:$I$6002,원본명단!$I784)))</f>
        <v/>
      </c>
      <c r="G785" s="11" t="str">
        <f aca="false">IF($A785="","",IF(원본명단!$K784="",0,COUNTIF(원본명단!$K$3:$K$6002,원본명단!$K784)))</f>
        <v/>
      </c>
      <c r="H785" s="11" t="str">
        <f aca="false">IF($A785="","",IF(MAX($E785,$F785,$G785)&gt;1,"중복","-"))</f>
        <v/>
      </c>
      <c r="I785" s="11" t="str">
        <f aca="false">IF($A785="","",IF($H785="-","-",IF(AND(IF(원본명단!$H784="",TRUE(),COUNTIF(원본명단!$H$3:$H784,원본명단!$H784)=1),IF(원본명단!$I784="",TRUE(),COUNTIF(원본명단!$I$3:$I784,원본명단!$I784)=1),IF(원본명단!$K784="",TRUE(),COUNTIF(원본명단!$K$3:$K784,원본명단!$K784)=1)),"첫 건","중복 건")))</f>
        <v/>
      </c>
      <c r="J785" s="11" t="str">
        <f aca="false">IF($A785="","",IF($H785="-","유지",IF($I785="첫 건","유지","확인 필요")))</f>
        <v/>
      </c>
    </row>
    <row r="786" customFormat="false" ht="15" hidden="false" customHeight="true" outlineLevel="0" collapsed="false">
      <c r="A786" s="11" t="str">
        <f aca="false">IF(원본명단!$A785="","",783)</f>
        <v/>
      </c>
      <c r="B786" s="12" t="str">
        <f aca="false">IF($A786="","",원본명단!$A785)</f>
        <v/>
      </c>
      <c r="C786" s="12" t="str">
        <f aca="false">IF($A786="","",원본명단!$B785)</f>
        <v/>
      </c>
      <c r="D786" s="12" t="str">
        <f aca="false">IF($A786="","",원본명단!$D785)</f>
        <v/>
      </c>
      <c r="E786" s="11" t="str">
        <f aca="false">IF($A786="","",IF(원본명단!$H785="",0,COUNTIF(원본명단!$H$3:$H$6002,원본명단!$H785)))</f>
        <v/>
      </c>
      <c r="F786" s="11" t="str">
        <f aca="false">IF($A786="","",IF(원본명단!$I785="",0,COUNTIF(원본명단!$I$3:$I$6002,원본명단!$I785)))</f>
        <v/>
      </c>
      <c r="G786" s="11" t="str">
        <f aca="false">IF($A786="","",IF(원본명단!$K785="",0,COUNTIF(원본명단!$K$3:$K$6002,원본명단!$K785)))</f>
        <v/>
      </c>
      <c r="H786" s="11" t="str">
        <f aca="false">IF($A786="","",IF(MAX($E786,$F786,$G786)&gt;1,"중복","-"))</f>
        <v/>
      </c>
      <c r="I786" s="11" t="str">
        <f aca="false">IF($A786="","",IF($H786="-","-",IF(AND(IF(원본명단!$H785="",TRUE(),COUNTIF(원본명단!$H$3:$H785,원본명단!$H785)=1),IF(원본명단!$I785="",TRUE(),COUNTIF(원본명단!$I$3:$I785,원본명단!$I785)=1),IF(원본명단!$K785="",TRUE(),COUNTIF(원본명단!$K$3:$K785,원본명단!$K785)=1)),"첫 건","중복 건")))</f>
        <v/>
      </c>
      <c r="J786" s="11" t="str">
        <f aca="false">IF($A786="","",IF($H786="-","유지",IF($I786="첫 건","유지","확인 필요")))</f>
        <v/>
      </c>
    </row>
    <row r="787" customFormat="false" ht="15" hidden="false" customHeight="true" outlineLevel="0" collapsed="false">
      <c r="A787" s="11" t="str">
        <f aca="false">IF(원본명단!$A786="","",784)</f>
        <v/>
      </c>
      <c r="B787" s="12" t="str">
        <f aca="false">IF($A787="","",원본명단!$A786)</f>
        <v/>
      </c>
      <c r="C787" s="12" t="str">
        <f aca="false">IF($A787="","",원본명단!$B786)</f>
        <v/>
      </c>
      <c r="D787" s="12" t="str">
        <f aca="false">IF($A787="","",원본명단!$D786)</f>
        <v/>
      </c>
      <c r="E787" s="11" t="str">
        <f aca="false">IF($A787="","",IF(원본명단!$H786="",0,COUNTIF(원본명단!$H$3:$H$6002,원본명단!$H786)))</f>
        <v/>
      </c>
      <c r="F787" s="11" t="str">
        <f aca="false">IF($A787="","",IF(원본명단!$I786="",0,COUNTIF(원본명단!$I$3:$I$6002,원본명단!$I786)))</f>
        <v/>
      </c>
      <c r="G787" s="11" t="str">
        <f aca="false">IF($A787="","",IF(원본명단!$K786="",0,COUNTIF(원본명단!$K$3:$K$6002,원본명단!$K786)))</f>
        <v/>
      </c>
      <c r="H787" s="11" t="str">
        <f aca="false">IF($A787="","",IF(MAX($E787,$F787,$G787)&gt;1,"중복","-"))</f>
        <v/>
      </c>
      <c r="I787" s="11" t="str">
        <f aca="false">IF($A787="","",IF($H787="-","-",IF(AND(IF(원본명단!$H786="",TRUE(),COUNTIF(원본명단!$H$3:$H786,원본명단!$H786)=1),IF(원본명단!$I786="",TRUE(),COUNTIF(원본명단!$I$3:$I786,원본명단!$I786)=1),IF(원본명단!$K786="",TRUE(),COUNTIF(원본명단!$K$3:$K786,원본명단!$K786)=1)),"첫 건","중복 건")))</f>
        <v/>
      </c>
      <c r="J787" s="11" t="str">
        <f aca="false">IF($A787="","",IF($H787="-","유지",IF($I787="첫 건","유지","확인 필요")))</f>
        <v/>
      </c>
    </row>
    <row r="788" customFormat="false" ht="15" hidden="false" customHeight="true" outlineLevel="0" collapsed="false">
      <c r="A788" s="11" t="str">
        <f aca="false">IF(원본명단!$A787="","",785)</f>
        <v/>
      </c>
      <c r="B788" s="12" t="str">
        <f aca="false">IF($A788="","",원본명단!$A787)</f>
        <v/>
      </c>
      <c r="C788" s="12" t="str">
        <f aca="false">IF($A788="","",원본명단!$B787)</f>
        <v/>
      </c>
      <c r="D788" s="12" t="str">
        <f aca="false">IF($A788="","",원본명단!$D787)</f>
        <v/>
      </c>
      <c r="E788" s="11" t="str">
        <f aca="false">IF($A788="","",IF(원본명단!$H787="",0,COUNTIF(원본명단!$H$3:$H$6002,원본명단!$H787)))</f>
        <v/>
      </c>
      <c r="F788" s="11" t="str">
        <f aca="false">IF($A788="","",IF(원본명단!$I787="",0,COUNTIF(원본명단!$I$3:$I$6002,원본명단!$I787)))</f>
        <v/>
      </c>
      <c r="G788" s="11" t="str">
        <f aca="false">IF($A788="","",IF(원본명단!$K787="",0,COUNTIF(원본명단!$K$3:$K$6002,원본명단!$K787)))</f>
        <v/>
      </c>
      <c r="H788" s="11" t="str">
        <f aca="false">IF($A788="","",IF(MAX($E788,$F788,$G788)&gt;1,"중복","-"))</f>
        <v/>
      </c>
      <c r="I788" s="11" t="str">
        <f aca="false">IF($A788="","",IF($H788="-","-",IF(AND(IF(원본명단!$H787="",TRUE(),COUNTIF(원본명단!$H$3:$H787,원본명단!$H787)=1),IF(원본명단!$I787="",TRUE(),COUNTIF(원본명단!$I$3:$I787,원본명단!$I787)=1),IF(원본명단!$K787="",TRUE(),COUNTIF(원본명단!$K$3:$K787,원본명단!$K787)=1)),"첫 건","중복 건")))</f>
        <v/>
      </c>
      <c r="J788" s="11" t="str">
        <f aca="false">IF($A788="","",IF($H788="-","유지",IF($I788="첫 건","유지","확인 필요")))</f>
        <v/>
      </c>
    </row>
    <row r="789" customFormat="false" ht="15" hidden="false" customHeight="true" outlineLevel="0" collapsed="false">
      <c r="A789" s="11" t="str">
        <f aca="false">IF(원본명단!$A788="","",786)</f>
        <v/>
      </c>
      <c r="B789" s="12" t="str">
        <f aca="false">IF($A789="","",원본명단!$A788)</f>
        <v/>
      </c>
      <c r="C789" s="12" t="str">
        <f aca="false">IF($A789="","",원본명단!$B788)</f>
        <v/>
      </c>
      <c r="D789" s="12" t="str">
        <f aca="false">IF($A789="","",원본명단!$D788)</f>
        <v/>
      </c>
      <c r="E789" s="11" t="str">
        <f aca="false">IF($A789="","",IF(원본명단!$H788="",0,COUNTIF(원본명단!$H$3:$H$6002,원본명단!$H788)))</f>
        <v/>
      </c>
      <c r="F789" s="11" t="str">
        <f aca="false">IF($A789="","",IF(원본명단!$I788="",0,COUNTIF(원본명단!$I$3:$I$6002,원본명단!$I788)))</f>
        <v/>
      </c>
      <c r="G789" s="11" t="str">
        <f aca="false">IF($A789="","",IF(원본명단!$K788="",0,COUNTIF(원본명단!$K$3:$K$6002,원본명단!$K788)))</f>
        <v/>
      </c>
      <c r="H789" s="11" t="str">
        <f aca="false">IF($A789="","",IF(MAX($E789,$F789,$G789)&gt;1,"중복","-"))</f>
        <v/>
      </c>
      <c r="I789" s="11" t="str">
        <f aca="false">IF($A789="","",IF($H789="-","-",IF(AND(IF(원본명단!$H788="",TRUE(),COUNTIF(원본명단!$H$3:$H788,원본명단!$H788)=1),IF(원본명단!$I788="",TRUE(),COUNTIF(원본명단!$I$3:$I788,원본명단!$I788)=1),IF(원본명단!$K788="",TRUE(),COUNTIF(원본명단!$K$3:$K788,원본명단!$K788)=1)),"첫 건","중복 건")))</f>
        <v/>
      </c>
      <c r="J789" s="11" t="str">
        <f aca="false">IF($A789="","",IF($H789="-","유지",IF($I789="첫 건","유지","확인 필요")))</f>
        <v/>
      </c>
    </row>
    <row r="790" customFormat="false" ht="15" hidden="false" customHeight="true" outlineLevel="0" collapsed="false">
      <c r="A790" s="11" t="str">
        <f aca="false">IF(원본명단!$A789="","",787)</f>
        <v/>
      </c>
      <c r="B790" s="12" t="str">
        <f aca="false">IF($A790="","",원본명단!$A789)</f>
        <v/>
      </c>
      <c r="C790" s="12" t="str">
        <f aca="false">IF($A790="","",원본명단!$B789)</f>
        <v/>
      </c>
      <c r="D790" s="12" t="str">
        <f aca="false">IF($A790="","",원본명단!$D789)</f>
        <v/>
      </c>
      <c r="E790" s="11" t="str">
        <f aca="false">IF($A790="","",IF(원본명단!$H789="",0,COUNTIF(원본명단!$H$3:$H$6002,원본명단!$H789)))</f>
        <v/>
      </c>
      <c r="F790" s="11" t="str">
        <f aca="false">IF($A790="","",IF(원본명단!$I789="",0,COUNTIF(원본명단!$I$3:$I$6002,원본명단!$I789)))</f>
        <v/>
      </c>
      <c r="G790" s="11" t="str">
        <f aca="false">IF($A790="","",IF(원본명단!$K789="",0,COUNTIF(원본명단!$K$3:$K$6002,원본명단!$K789)))</f>
        <v/>
      </c>
      <c r="H790" s="11" t="str">
        <f aca="false">IF($A790="","",IF(MAX($E790,$F790,$G790)&gt;1,"중복","-"))</f>
        <v/>
      </c>
      <c r="I790" s="11" t="str">
        <f aca="false">IF($A790="","",IF($H790="-","-",IF(AND(IF(원본명단!$H789="",TRUE(),COUNTIF(원본명단!$H$3:$H789,원본명단!$H789)=1),IF(원본명단!$I789="",TRUE(),COUNTIF(원본명단!$I$3:$I789,원본명단!$I789)=1),IF(원본명단!$K789="",TRUE(),COUNTIF(원본명단!$K$3:$K789,원본명단!$K789)=1)),"첫 건","중복 건")))</f>
        <v/>
      </c>
      <c r="J790" s="11" t="str">
        <f aca="false">IF($A790="","",IF($H790="-","유지",IF($I790="첫 건","유지","확인 필요")))</f>
        <v/>
      </c>
    </row>
    <row r="791" customFormat="false" ht="15" hidden="false" customHeight="true" outlineLevel="0" collapsed="false">
      <c r="A791" s="11" t="str">
        <f aca="false">IF(원본명단!$A790="","",788)</f>
        <v/>
      </c>
      <c r="B791" s="12" t="str">
        <f aca="false">IF($A791="","",원본명단!$A790)</f>
        <v/>
      </c>
      <c r="C791" s="12" t="str">
        <f aca="false">IF($A791="","",원본명단!$B790)</f>
        <v/>
      </c>
      <c r="D791" s="12" t="str">
        <f aca="false">IF($A791="","",원본명단!$D790)</f>
        <v/>
      </c>
      <c r="E791" s="11" t="str">
        <f aca="false">IF($A791="","",IF(원본명단!$H790="",0,COUNTIF(원본명단!$H$3:$H$6002,원본명단!$H790)))</f>
        <v/>
      </c>
      <c r="F791" s="11" t="str">
        <f aca="false">IF($A791="","",IF(원본명단!$I790="",0,COUNTIF(원본명단!$I$3:$I$6002,원본명단!$I790)))</f>
        <v/>
      </c>
      <c r="G791" s="11" t="str">
        <f aca="false">IF($A791="","",IF(원본명단!$K790="",0,COUNTIF(원본명단!$K$3:$K$6002,원본명단!$K790)))</f>
        <v/>
      </c>
      <c r="H791" s="11" t="str">
        <f aca="false">IF($A791="","",IF(MAX($E791,$F791,$G791)&gt;1,"중복","-"))</f>
        <v/>
      </c>
      <c r="I791" s="11" t="str">
        <f aca="false">IF($A791="","",IF($H791="-","-",IF(AND(IF(원본명단!$H790="",TRUE(),COUNTIF(원본명단!$H$3:$H790,원본명단!$H790)=1),IF(원본명단!$I790="",TRUE(),COUNTIF(원본명단!$I$3:$I790,원본명단!$I790)=1),IF(원본명단!$K790="",TRUE(),COUNTIF(원본명단!$K$3:$K790,원본명단!$K790)=1)),"첫 건","중복 건")))</f>
        <v/>
      </c>
      <c r="J791" s="11" t="str">
        <f aca="false">IF($A791="","",IF($H791="-","유지",IF($I791="첫 건","유지","확인 필요")))</f>
        <v/>
      </c>
    </row>
    <row r="792" customFormat="false" ht="15" hidden="false" customHeight="true" outlineLevel="0" collapsed="false">
      <c r="A792" s="11" t="str">
        <f aca="false">IF(원본명단!$A791="","",789)</f>
        <v/>
      </c>
      <c r="B792" s="12" t="str">
        <f aca="false">IF($A792="","",원본명단!$A791)</f>
        <v/>
      </c>
      <c r="C792" s="12" t="str">
        <f aca="false">IF($A792="","",원본명단!$B791)</f>
        <v/>
      </c>
      <c r="D792" s="12" t="str">
        <f aca="false">IF($A792="","",원본명단!$D791)</f>
        <v/>
      </c>
      <c r="E792" s="11" t="str">
        <f aca="false">IF($A792="","",IF(원본명단!$H791="",0,COUNTIF(원본명단!$H$3:$H$6002,원본명단!$H791)))</f>
        <v/>
      </c>
      <c r="F792" s="11" t="str">
        <f aca="false">IF($A792="","",IF(원본명단!$I791="",0,COUNTIF(원본명단!$I$3:$I$6002,원본명단!$I791)))</f>
        <v/>
      </c>
      <c r="G792" s="11" t="str">
        <f aca="false">IF($A792="","",IF(원본명단!$K791="",0,COUNTIF(원본명단!$K$3:$K$6002,원본명단!$K791)))</f>
        <v/>
      </c>
      <c r="H792" s="11" t="str">
        <f aca="false">IF($A792="","",IF(MAX($E792,$F792,$G792)&gt;1,"중복","-"))</f>
        <v/>
      </c>
      <c r="I792" s="11" t="str">
        <f aca="false">IF($A792="","",IF($H792="-","-",IF(AND(IF(원본명단!$H791="",TRUE(),COUNTIF(원본명단!$H$3:$H791,원본명단!$H791)=1),IF(원본명단!$I791="",TRUE(),COUNTIF(원본명단!$I$3:$I791,원본명단!$I791)=1),IF(원본명단!$K791="",TRUE(),COUNTIF(원본명단!$K$3:$K791,원본명단!$K791)=1)),"첫 건","중복 건")))</f>
        <v/>
      </c>
      <c r="J792" s="11" t="str">
        <f aca="false">IF($A792="","",IF($H792="-","유지",IF($I792="첫 건","유지","확인 필요")))</f>
        <v/>
      </c>
    </row>
    <row r="793" customFormat="false" ht="15" hidden="false" customHeight="true" outlineLevel="0" collapsed="false">
      <c r="A793" s="11" t="str">
        <f aca="false">IF(원본명단!$A792="","",790)</f>
        <v/>
      </c>
      <c r="B793" s="12" t="str">
        <f aca="false">IF($A793="","",원본명단!$A792)</f>
        <v/>
      </c>
      <c r="C793" s="12" t="str">
        <f aca="false">IF($A793="","",원본명단!$B792)</f>
        <v/>
      </c>
      <c r="D793" s="12" t="str">
        <f aca="false">IF($A793="","",원본명단!$D792)</f>
        <v/>
      </c>
      <c r="E793" s="11" t="str">
        <f aca="false">IF($A793="","",IF(원본명단!$H792="",0,COUNTIF(원본명단!$H$3:$H$6002,원본명단!$H792)))</f>
        <v/>
      </c>
      <c r="F793" s="11" t="str">
        <f aca="false">IF($A793="","",IF(원본명단!$I792="",0,COUNTIF(원본명단!$I$3:$I$6002,원본명단!$I792)))</f>
        <v/>
      </c>
      <c r="G793" s="11" t="str">
        <f aca="false">IF($A793="","",IF(원본명단!$K792="",0,COUNTIF(원본명단!$K$3:$K$6002,원본명단!$K792)))</f>
        <v/>
      </c>
      <c r="H793" s="11" t="str">
        <f aca="false">IF($A793="","",IF(MAX($E793,$F793,$G793)&gt;1,"중복","-"))</f>
        <v/>
      </c>
      <c r="I793" s="11" t="str">
        <f aca="false">IF($A793="","",IF($H793="-","-",IF(AND(IF(원본명단!$H792="",TRUE(),COUNTIF(원본명단!$H$3:$H792,원본명단!$H792)=1),IF(원본명단!$I792="",TRUE(),COUNTIF(원본명단!$I$3:$I792,원본명단!$I792)=1),IF(원본명단!$K792="",TRUE(),COUNTIF(원본명단!$K$3:$K792,원본명단!$K792)=1)),"첫 건","중복 건")))</f>
        <v/>
      </c>
      <c r="J793" s="11" t="str">
        <f aca="false">IF($A793="","",IF($H793="-","유지",IF($I793="첫 건","유지","확인 필요")))</f>
        <v/>
      </c>
    </row>
    <row r="794" customFormat="false" ht="15" hidden="false" customHeight="true" outlineLevel="0" collapsed="false">
      <c r="A794" s="11" t="str">
        <f aca="false">IF(원본명단!$A793="","",791)</f>
        <v/>
      </c>
      <c r="B794" s="12" t="str">
        <f aca="false">IF($A794="","",원본명단!$A793)</f>
        <v/>
      </c>
      <c r="C794" s="12" t="str">
        <f aca="false">IF($A794="","",원본명단!$B793)</f>
        <v/>
      </c>
      <c r="D794" s="12" t="str">
        <f aca="false">IF($A794="","",원본명단!$D793)</f>
        <v/>
      </c>
      <c r="E794" s="11" t="str">
        <f aca="false">IF($A794="","",IF(원본명단!$H793="",0,COUNTIF(원본명단!$H$3:$H$6002,원본명단!$H793)))</f>
        <v/>
      </c>
      <c r="F794" s="11" t="str">
        <f aca="false">IF($A794="","",IF(원본명단!$I793="",0,COUNTIF(원본명단!$I$3:$I$6002,원본명단!$I793)))</f>
        <v/>
      </c>
      <c r="G794" s="11" t="str">
        <f aca="false">IF($A794="","",IF(원본명단!$K793="",0,COUNTIF(원본명단!$K$3:$K$6002,원본명단!$K793)))</f>
        <v/>
      </c>
      <c r="H794" s="11" t="str">
        <f aca="false">IF($A794="","",IF(MAX($E794,$F794,$G794)&gt;1,"중복","-"))</f>
        <v/>
      </c>
      <c r="I794" s="11" t="str">
        <f aca="false">IF($A794="","",IF($H794="-","-",IF(AND(IF(원본명단!$H793="",TRUE(),COUNTIF(원본명단!$H$3:$H793,원본명단!$H793)=1),IF(원본명단!$I793="",TRUE(),COUNTIF(원본명단!$I$3:$I793,원본명단!$I793)=1),IF(원본명단!$K793="",TRUE(),COUNTIF(원본명단!$K$3:$K793,원본명단!$K793)=1)),"첫 건","중복 건")))</f>
        <v/>
      </c>
      <c r="J794" s="11" t="str">
        <f aca="false">IF($A794="","",IF($H794="-","유지",IF($I794="첫 건","유지","확인 필요")))</f>
        <v/>
      </c>
    </row>
    <row r="795" customFormat="false" ht="15" hidden="false" customHeight="true" outlineLevel="0" collapsed="false">
      <c r="A795" s="11" t="str">
        <f aca="false">IF(원본명단!$A794="","",792)</f>
        <v/>
      </c>
      <c r="B795" s="12" t="str">
        <f aca="false">IF($A795="","",원본명단!$A794)</f>
        <v/>
      </c>
      <c r="C795" s="12" t="str">
        <f aca="false">IF($A795="","",원본명단!$B794)</f>
        <v/>
      </c>
      <c r="D795" s="12" t="str">
        <f aca="false">IF($A795="","",원본명단!$D794)</f>
        <v/>
      </c>
      <c r="E795" s="11" t="str">
        <f aca="false">IF($A795="","",IF(원본명단!$H794="",0,COUNTIF(원본명단!$H$3:$H$6002,원본명단!$H794)))</f>
        <v/>
      </c>
      <c r="F795" s="11" t="str">
        <f aca="false">IF($A795="","",IF(원본명단!$I794="",0,COUNTIF(원본명단!$I$3:$I$6002,원본명단!$I794)))</f>
        <v/>
      </c>
      <c r="G795" s="11" t="str">
        <f aca="false">IF($A795="","",IF(원본명단!$K794="",0,COUNTIF(원본명단!$K$3:$K$6002,원본명단!$K794)))</f>
        <v/>
      </c>
      <c r="H795" s="11" t="str">
        <f aca="false">IF($A795="","",IF(MAX($E795,$F795,$G795)&gt;1,"중복","-"))</f>
        <v/>
      </c>
      <c r="I795" s="11" t="str">
        <f aca="false">IF($A795="","",IF($H795="-","-",IF(AND(IF(원본명단!$H794="",TRUE(),COUNTIF(원본명단!$H$3:$H794,원본명단!$H794)=1),IF(원본명단!$I794="",TRUE(),COUNTIF(원본명단!$I$3:$I794,원본명단!$I794)=1),IF(원본명단!$K794="",TRUE(),COUNTIF(원본명단!$K$3:$K794,원본명단!$K794)=1)),"첫 건","중복 건")))</f>
        <v/>
      </c>
      <c r="J795" s="11" t="str">
        <f aca="false">IF($A795="","",IF($H795="-","유지",IF($I795="첫 건","유지","확인 필요")))</f>
        <v/>
      </c>
    </row>
    <row r="796" customFormat="false" ht="15" hidden="false" customHeight="true" outlineLevel="0" collapsed="false">
      <c r="A796" s="11" t="str">
        <f aca="false">IF(원본명단!$A795="","",793)</f>
        <v/>
      </c>
      <c r="B796" s="12" t="str">
        <f aca="false">IF($A796="","",원본명단!$A795)</f>
        <v/>
      </c>
      <c r="C796" s="12" t="str">
        <f aca="false">IF($A796="","",원본명단!$B795)</f>
        <v/>
      </c>
      <c r="D796" s="12" t="str">
        <f aca="false">IF($A796="","",원본명단!$D795)</f>
        <v/>
      </c>
      <c r="E796" s="11" t="str">
        <f aca="false">IF($A796="","",IF(원본명단!$H795="",0,COUNTIF(원본명단!$H$3:$H$6002,원본명단!$H795)))</f>
        <v/>
      </c>
      <c r="F796" s="11" t="str">
        <f aca="false">IF($A796="","",IF(원본명단!$I795="",0,COUNTIF(원본명단!$I$3:$I$6002,원본명단!$I795)))</f>
        <v/>
      </c>
      <c r="G796" s="11" t="str">
        <f aca="false">IF($A796="","",IF(원본명단!$K795="",0,COUNTIF(원본명단!$K$3:$K$6002,원본명단!$K795)))</f>
        <v/>
      </c>
      <c r="H796" s="11" t="str">
        <f aca="false">IF($A796="","",IF(MAX($E796,$F796,$G796)&gt;1,"중복","-"))</f>
        <v/>
      </c>
      <c r="I796" s="11" t="str">
        <f aca="false">IF($A796="","",IF($H796="-","-",IF(AND(IF(원본명단!$H795="",TRUE(),COUNTIF(원본명단!$H$3:$H795,원본명단!$H795)=1),IF(원본명단!$I795="",TRUE(),COUNTIF(원본명단!$I$3:$I795,원본명단!$I795)=1),IF(원본명단!$K795="",TRUE(),COUNTIF(원본명단!$K$3:$K795,원본명단!$K795)=1)),"첫 건","중복 건")))</f>
        <v/>
      </c>
      <c r="J796" s="11" t="str">
        <f aca="false">IF($A796="","",IF($H796="-","유지",IF($I796="첫 건","유지","확인 필요")))</f>
        <v/>
      </c>
    </row>
    <row r="797" customFormat="false" ht="15" hidden="false" customHeight="true" outlineLevel="0" collapsed="false">
      <c r="A797" s="11" t="str">
        <f aca="false">IF(원본명단!$A796="","",794)</f>
        <v/>
      </c>
      <c r="B797" s="12" t="str">
        <f aca="false">IF($A797="","",원본명단!$A796)</f>
        <v/>
      </c>
      <c r="C797" s="12" t="str">
        <f aca="false">IF($A797="","",원본명단!$B796)</f>
        <v/>
      </c>
      <c r="D797" s="12" t="str">
        <f aca="false">IF($A797="","",원본명단!$D796)</f>
        <v/>
      </c>
      <c r="E797" s="11" t="str">
        <f aca="false">IF($A797="","",IF(원본명단!$H796="",0,COUNTIF(원본명단!$H$3:$H$6002,원본명단!$H796)))</f>
        <v/>
      </c>
      <c r="F797" s="11" t="str">
        <f aca="false">IF($A797="","",IF(원본명단!$I796="",0,COUNTIF(원본명단!$I$3:$I$6002,원본명단!$I796)))</f>
        <v/>
      </c>
      <c r="G797" s="11" t="str">
        <f aca="false">IF($A797="","",IF(원본명단!$K796="",0,COUNTIF(원본명단!$K$3:$K$6002,원본명단!$K796)))</f>
        <v/>
      </c>
      <c r="H797" s="11" t="str">
        <f aca="false">IF($A797="","",IF(MAX($E797,$F797,$G797)&gt;1,"중복","-"))</f>
        <v/>
      </c>
      <c r="I797" s="11" t="str">
        <f aca="false">IF($A797="","",IF($H797="-","-",IF(AND(IF(원본명단!$H796="",TRUE(),COUNTIF(원본명단!$H$3:$H796,원본명단!$H796)=1),IF(원본명단!$I796="",TRUE(),COUNTIF(원본명단!$I$3:$I796,원본명단!$I796)=1),IF(원본명단!$K796="",TRUE(),COUNTIF(원본명단!$K$3:$K796,원본명단!$K796)=1)),"첫 건","중복 건")))</f>
        <v/>
      </c>
      <c r="J797" s="11" t="str">
        <f aca="false">IF($A797="","",IF($H797="-","유지",IF($I797="첫 건","유지","확인 필요")))</f>
        <v/>
      </c>
    </row>
    <row r="798" customFormat="false" ht="15" hidden="false" customHeight="true" outlineLevel="0" collapsed="false">
      <c r="A798" s="11" t="str">
        <f aca="false">IF(원본명단!$A797="","",795)</f>
        <v/>
      </c>
      <c r="B798" s="12" t="str">
        <f aca="false">IF($A798="","",원본명단!$A797)</f>
        <v/>
      </c>
      <c r="C798" s="12" t="str">
        <f aca="false">IF($A798="","",원본명단!$B797)</f>
        <v/>
      </c>
      <c r="D798" s="12" t="str">
        <f aca="false">IF($A798="","",원본명단!$D797)</f>
        <v/>
      </c>
      <c r="E798" s="11" t="str">
        <f aca="false">IF($A798="","",IF(원본명단!$H797="",0,COUNTIF(원본명단!$H$3:$H$6002,원본명단!$H797)))</f>
        <v/>
      </c>
      <c r="F798" s="11" t="str">
        <f aca="false">IF($A798="","",IF(원본명단!$I797="",0,COUNTIF(원본명단!$I$3:$I$6002,원본명단!$I797)))</f>
        <v/>
      </c>
      <c r="G798" s="11" t="str">
        <f aca="false">IF($A798="","",IF(원본명단!$K797="",0,COUNTIF(원본명단!$K$3:$K$6002,원본명단!$K797)))</f>
        <v/>
      </c>
      <c r="H798" s="11" t="str">
        <f aca="false">IF($A798="","",IF(MAX($E798,$F798,$G798)&gt;1,"중복","-"))</f>
        <v/>
      </c>
      <c r="I798" s="11" t="str">
        <f aca="false">IF($A798="","",IF($H798="-","-",IF(AND(IF(원본명단!$H797="",TRUE(),COUNTIF(원본명단!$H$3:$H797,원본명단!$H797)=1),IF(원본명단!$I797="",TRUE(),COUNTIF(원본명단!$I$3:$I797,원본명단!$I797)=1),IF(원본명단!$K797="",TRUE(),COUNTIF(원본명단!$K$3:$K797,원본명단!$K797)=1)),"첫 건","중복 건")))</f>
        <v/>
      </c>
      <c r="J798" s="11" t="str">
        <f aca="false">IF($A798="","",IF($H798="-","유지",IF($I798="첫 건","유지","확인 필요")))</f>
        <v/>
      </c>
    </row>
    <row r="799" customFormat="false" ht="15" hidden="false" customHeight="true" outlineLevel="0" collapsed="false">
      <c r="A799" s="11" t="str">
        <f aca="false">IF(원본명단!$A798="","",796)</f>
        <v/>
      </c>
      <c r="B799" s="12" t="str">
        <f aca="false">IF($A799="","",원본명단!$A798)</f>
        <v/>
      </c>
      <c r="C799" s="12" t="str">
        <f aca="false">IF($A799="","",원본명단!$B798)</f>
        <v/>
      </c>
      <c r="D799" s="12" t="str">
        <f aca="false">IF($A799="","",원본명단!$D798)</f>
        <v/>
      </c>
      <c r="E799" s="11" t="str">
        <f aca="false">IF($A799="","",IF(원본명단!$H798="",0,COUNTIF(원본명단!$H$3:$H$6002,원본명단!$H798)))</f>
        <v/>
      </c>
      <c r="F799" s="11" t="str">
        <f aca="false">IF($A799="","",IF(원본명단!$I798="",0,COUNTIF(원본명단!$I$3:$I$6002,원본명단!$I798)))</f>
        <v/>
      </c>
      <c r="G799" s="11" t="str">
        <f aca="false">IF($A799="","",IF(원본명단!$K798="",0,COUNTIF(원본명단!$K$3:$K$6002,원본명단!$K798)))</f>
        <v/>
      </c>
      <c r="H799" s="11" t="str">
        <f aca="false">IF($A799="","",IF(MAX($E799,$F799,$G799)&gt;1,"중복","-"))</f>
        <v/>
      </c>
      <c r="I799" s="11" t="str">
        <f aca="false">IF($A799="","",IF($H799="-","-",IF(AND(IF(원본명단!$H798="",TRUE(),COUNTIF(원본명단!$H$3:$H798,원본명단!$H798)=1),IF(원본명단!$I798="",TRUE(),COUNTIF(원본명단!$I$3:$I798,원본명단!$I798)=1),IF(원본명단!$K798="",TRUE(),COUNTIF(원본명단!$K$3:$K798,원본명단!$K798)=1)),"첫 건","중복 건")))</f>
        <v/>
      </c>
      <c r="J799" s="11" t="str">
        <f aca="false">IF($A799="","",IF($H799="-","유지",IF($I799="첫 건","유지","확인 필요")))</f>
        <v/>
      </c>
    </row>
    <row r="800" customFormat="false" ht="15" hidden="false" customHeight="true" outlineLevel="0" collapsed="false">
      <c r="A800" s="11" t="str">
        <f aca="false">IF(원본명단!$A799="","",797)</f>
        <v/>
      </c>
      <c r="B800" s="12" t="str">
        <f aca="false">IF($A800="","",원본명단!$A799)</f>
        <v/>
      </c>
      <c r="C800" s="12" t="str">
        <f aca="false">IF($A800="","",원본명단!$B799)</f>
        <v/>
      </c>
      <c r="D800" s="12" t="str">
        <f aca="false">IF($A800="","",원본명단!$D799)</f>
        <v/>
      </c>
      <c r="E800" s="11" t="str">
        <f aca="false">IF($A800="","",IF(원본명단!$H799="",0,COUNTIF(원본명단!$H$3:$H$6002,원본명단!$H799)))</f>
        <v/>
      </c>
      <c r="F800" s="11" t="str">
        <f aca="false">IF($A800="","",IF(원본명단!$I799="",0,COUNTIF(원본명단!$I$3:$I$6002,원본명단!$I799)))</f>
        <v/>
      </c>
      <c r="G800" s="11" t="str">
        <f aca="false">IF($A800="","",IF(원본명단!$K799="",0,COUNTIF(원본명단!$K$3:$K$6002,원본명단!$K799)))</f>
        <v/>
      </c>
      <c r="H800" s="11" t="str">
        <f aca="false">IF($A800="","",IF(MAX($E800,$F800,$G800)&gt;1,"중복","-"))</f>
        <v/>
      </c>
      <c r="I800" s="11" t="str">
        <f aca="false">IF($A800="","",IF($H800="-","-",IF(AND(IF(원본명단!$H799="",TRUE(),COUNTIF(원본명단!$H$3:$H799,원본명단!$H799)=1),IF(원본명단!$I799="",TRUE(),COUNTIF(원본명단!$I$3:$I799,원본명단!$I799)=1),IF(원본명단!$K799="",TRUE(),COUNTIF(원본명단!$K$3:$K799,원본명단!$K799)=1)),"첫 건","중복 건")))</f>
        <v/>
      </c>
      <c r="J800" s="11" t="str">
        <f aca="false">IF($A800="","",IF($H800="-","유지",IF($I800="첫 건","유지","확인 필요")))</f>
        <v/>
      </c>
    </row>
    <row r="801" customFormat="false" ht="15" hidden="false" customHeight="true" outlineLevel="0" collapsed="false">
      <c r="A801" s="11" t="str">
        <f aca="false">IF(원본명단!$A800="","",798)</f>
        <v/>
      </c>
      <c r="B801" s="12" t="str">
        <f aca="false">IF($A801="","",원본명단!$A800)</f>
        <v/>
      </c>
      <c r="C801" s="12" t="str">
        <f aca="false">IF($A801="","",원본명단!$B800)</f>
        <v/>
      </c>
      <c r="D801" s="12" t="str">
        <f aca="false">IF($A801="","",원본명단!$D800)</f>
        <v/>
      </c>
      <c r="E801" s="11" t="str">
        <f aca="false">IF($A801="","",IF(원본명단!$H800="",0,COUNTIF(원본명단!$H$3:$H$6002,원본명단!$H800)))</f>
        <v/>
      </c>
      <c r="F801" s="11" t="str">
        <f aca="false">IF($A801="","",IF(원본명단!$I800="",0,COUNTIF(원본명단!$I$3:$I$6002,원본명단!$I800)))</f>
        <v/>
      </c>
      <c r="G801" s="11" t="str">
        <f aca="false">IF($A801="","",IF(원본명단!$K800="",0,COUNTIF(원본명단!$K$3:$K$6002,원본명단!$K800)))</f>
        <v/>
      </c>
      <c r="H801" s="11" t="str">
        <f aca="false">IF($A801="","",IF(MAX($E801,$F801,$G801)&gt;1,"중복","-"))</f>
        <v/>
      </c>
      <c r="I801" s="11" t="str">
        <f aca="false">IF($A801="","",IF($H801="-","-",IF(AND(IF(원본명단!$H800="",TRUE(),COUNTIF(원본명단!$H$3:$H800,원본명단!$H800)=1),IF(원본명단!$I800="",TRUE(),COUNTIF(원본명단!$I$3:$I800,원본명단!$I800)=1),IF(원본명단!$K800="",TRUE(),COUNTIF(원본명단!$K$3:$K800,원본명단!$K800)=1)),"첫 건","중복 건")))</f>
        <v/>
      </c>
      <c r="J801" s="11" t="str">
        <f aca="false">IF($A801="","",IF($H801="-","유지",IF($I801="첫 건","유지","확인 필요")))</f>
        <v/>
      </c>
    </row>
    <row r="802" customFormat="false" ht="15" hidden="false" customHeight="true" outlineLevel="0" collapsed="false">
      <c r="A802" s="11" t="str">
        <f aca="false">IF(원본명단!$A801="","",799)</f>
        <v/>
      </c>
      <c r="B802" s="12" t="str">
        <f aca="false">IF($A802="","",원본명단!$A801)</f>
        <v/>
      </c>
      <c r="C802" s="12" t="str">
        <f aca="false">IF($A802="","",원본명단!$B801)</f>
        <v/>
      </c>
      <c r="D802" s="12" t="str">
        <f aca="false">IF($A802="","",원본명단!$D801)</f>
        <v/>
      </c>
      <c r="E802" s="11" t="str">
        <f aca="false">IF($A802="","",IF(원본명단!$H801="",0,COUNTIF(원본명단!$H$3:$H$6002,원본명단!$H801)))</f>
        <v/>
      </c>
      <c r="F802" s="11" t="str">
        <f aca="false">IF($A802="","",IF(원본명단!$I801="",0,COUNTIF(원본명단!$I$3:$I$6002,원본명단!$I801)))</f>
        <v/>
      </c>
      <c r="G802" s="11" t="str">
        <f aca="false">IF($A802="","",IF(원본명단!$K801="",0,COUNTIF(원본명단!$K$3:$K$6002,원본명단!$K801)))</f>
        <v/>
      </c>
      <c r="H802" s="11" t="str">
        <f aca="false">IF($A802="","",IF(MAX($E802,$F802,$G802)&gt;1,"중복","-"))</f>
        <v/>
      </c>
      <c r="I802" s="11" t="str">
        <f aca="false">IF($A802="","",IF($H802="-","-",IF(AND(IF(원본명단!$H801="",TRUE(),COUNTIF(원본명단!$H$3:$H801,원본명단!$H801)=1),IF(원본명단!$I801="",TRUE(),COUNTIF(원본명단!$I$3:$I801,원본명단!$I801)=1),IF(원본명단!$K801="",TRUE(),COUNTIF(원본명단!$K$3:$K801,원본명단!$K801)=1)),"첫 건","중복 건")))</f>
        <v/>
      </c>
      <c r="J802" s="11" t="str">
        <f aca="false">IF($A802="","",IF($H802="-","유지",IF($I802="첫 건","유지","확인 필요")))</f>
        <v/>
      </c>
    </row>
    <row r="803" customFormat="false" ht="15" hidden="false" customHeight="true" outlineLevel="0" collapsed="false">
      <c r="A803" s="11" t="str">
        <f aca="false">IF(원본명단!$A802="","",800)</f>
        <v/>
      </c>
      <c r="B803" s="12" t="str">
        <f aca="false">IF($A803="","",원본명단!$A802)</f>
        <v/>
      </c>
      <c r="C803" s="12" t="str">
        <f aca="false">IF($A803="","",원본명단!$B802)</f>
        <v/>
      </c>
      <c r="D803" s="12" t="str">
        <f aca="false">IF($A803="","",원본명단!$D802)</f>
        <v/>
      </c>
      <c r="E803" s="11" t="str">
        <f aca="false">IF($A803="","",IF(원본명단!$H802="",0,COUNTIF(원본명단!$H$3:$H$6002,원본명단!$H802)))</f>
        <v/>
      </c>
      <c r="F803" s="11" t="str">
        <f aca="false">IF($A803="","",IF(원본명단!$I802="",0,COUNTIF(원본명단!$I$3:$I$6002,원본명단!$I802)))</f>
        <v/>
      </c>
      <c r="G803" s="11" t="str">
        <f aca="false">IF($A803="","",IF(원본명단!$K802="",0,COUNTIF(원본명단!$K$3:$K$6002,원본명단!$K802)))</f>
        <v/>
      </c>
      <c r="H803" s="11" t="str">
        <f aca="false">IF($A803="","",IF(MAX($E803,$F803,$G803)&gt;1,"중복","-"))</f>
        <v/>
      </c>
      <c r="I803" s="11" t="str">
        <f aca="false">IF($A803="","",IF($H803="-","-",IF(AND(IF(원본명단!$H802="",TRUE(),COUNTIF(원본명단!$H$3:$H802,원본명단!$H802)=1),IF(원본명단!$I802="",TRUE(),COUNTIF(원본명단!$I$3:$I802,원본명단!$I802)=1),IF(원본명단!$K802="",TRUE(),COUNTIF(원본명단!$K$3:$K802,원본명단!$K802)=1)),"첫 건","중복 건")))</f>
        <v/>
      </c>
      <c r="J803" s="11" t="str">
        <f aca="false">IF($A803="","",IF($H803="-","유지",IF($I803="첫 건","유지","확인 필요")))</f>
        <v/>
      </c>
    </row>
    <row r="804" customFormat="false" ht="15" hidden="false" customHeight="true" outlineLevel="0" collapsed="false">
      <c r="A804" s="11" t="str">
        <f aca="false">IF(원본명단!$A803="","",801)</f>
        <v/>
      </c>
      <c r="B804" s="12" t="str">
        <f aca="false">IF($A804="","",원본명단!$A803)</f>
        <v/>
      </c>
      <c r="C804" s="12" t="str">
        <f aca="false">IF($A804="","",원본명단!$B803)</f>
        <v/>
      </c>
      <c r="D804" s="12" t="str">
        <f aca="false">IF($A804="","",원본명단!$D803)</f>
        <v/>
      </c>
      <c r="E804" s="11" t="str">
        <f aca="false">IF($A804="","",IF(원본명단!$H803="",0,COUNTIF(원본명단!$H$3:$H$6002,원본명단!$H803)))</f>
        <v/>
      </c>
      <c r="F804" s="11" t="str">
        <f aca="false">IF($A804="","",IF(원본명단!$I803="",0,COUNTIF(원본명단!$I$3:$I$6002,원본명단!$I803)))</f>
        <v/>
      </c>
      <c r="G804" s="11" t="str">
        <f aca="false">IF($A804="","",IF(원본명단!$K803="",0,COUNTIF(원본명단!$K$3:$K$6002,원본명단!$K803)))</f>
        <v/>
      </c>
      <c r="H804" s="11" t="str">
        <f aca="false">IF($A804="","",IF(MAX($E804,$F804,$G804)&gt;1,"중복","-"))</f>
        <v/>
      </c>
      <c r="I804" s="11" t="str">
        <f aca="false">IF($A804="","",IF($H804="-","-",IF(AND(IF(원본명단!$H803="",TRUE(),COUNTIF(원본명단!$H$3:$H803,원본명단!$H803)=1),IF(원본명단!$I803="",TRUE(),COUNTIF(원본명단!$I$3:$I803,원본명단!$I803)=1),IF(원본명단!$K803="",TRUE(),COUNTIF(원본명단!$K$3:$K803,원본명단!$K803)=1)),"첫 건","중복 건")))</f>
        <v/>
      </c>
      <c r="J804" s="11" t="str">
        <f aca="false">IF($A804="","",IF($H804="-","유지",IF($I804="첫 건","유지","확인 필요")))</f>
        <v/>
      </c>
    </row>
    <row r="805" customFormat="false" ht="15" hidden="false" customHeight="true" outlineLevel="0" collapsed="false">
      <c r="A805" s="11" t="str">
        <f aca="false">IF(원본명단!$A804="","",802)</f>
        <v/>
      </c>
      <c r="B805" s="12" t="str">
        <f aca="false">IF($A805="","",원본명단!$A804)</f>
        <v/>
      </c>
      <c r="C805" s="12" t="str">
        <f aca="false">IF($A805="","",원본명단!$B804)</f>
        <v/>
      </c>
      <c r="D805" s="12" t="str">
        <f aca="false">IF($A805="","",원본명단!$D804)</f>
        <v/>
      </c>
      <c r="E805" s="11" t="str">
        <f aca="false">IF($A805="","",IF(원본명단!$H804="",0,COUNTIF(원본명단!$H$3:$H$6002,원본명단!$H804)))</f>
        <v/>
      </c>
      <c r="F805" s="11" t="str">
        <f aca="false">IF($A805="","",IF(원본명단!$I804="",0,COUNTIF(원본명단!$I$3:$I$6002,원본명단!$I804)))</f>
        <v/>
      </c>
      <c r="G805" s="11" t="str">
        <f aca="false">IF($A805="","",IF(원본명단!$K804="",0,COUNTIF(원본명단!$K$3:$K$6002,원본명단!$K804)))</f>
        <v/>
      </c>
      <c r="H805" s="11" t="str">
        <f aca="false">IF($A805="","",IF(MAX($E805,$F805,$G805)&gt;1,"중복","-"))</f>
        <v/>
      </c>
      <c r="I805" s="11" t="str">
        <f aca="false">IF($A805="","",IF($H805="-","-",IF(AND(IF(원본명단!$H804="",TRUE(),COUNTIF(원본명단!$H$3:$H804,원본명단!$H804)=1),IF(원본명단!$I804="",TRUE(),COUNTIF(원본명단!$I$3:$I804,원본명단!$I804)=1),IF(원본명단!$K804="",TRUE(),COUNTIF(원본명단!$K$3:$K804,원본명단!$K804)=1)),"첫 건","중복 건")))</f>
        <v/>
      </c>
      <c r="J805" s="11" t="str">
        <f aca="false">IF($A805="","",IF($H805="-","유지",IF($I805="첫 건","유지","확인 필요")))</f>
        <v/>
      </c>
    </row>
    <row r="806" customFormat="false" ht="15" hidden="false" customHeight="true" outlineLevel="0" collapsed="false">
      <c r="A806" s="11" t="str">
        <f aca="false">IF(원본명단!$A805="","",803)</f>
        <v/>
      </c>
      <c r="B806" s="12" t="str">
        <f aca="false">IF($A806="","",원본명단!$A805)</f>
        <v/>
      </c>
      <c r="C806" s="12" t="str">
        <f aca="false">IF($A806="","",원본명단!$B805)</f>
        <v/>
      </c>
      <c r="D806" s="12" t="str">
        <f aca="false">IF($A806="","",원본명단!$D805)</f>
        <v/>
      </c>
      <c r="E806" s="11" t="str">
        <f aca="false">IF($A806="","",IF(원본명단!$H805="",0,COUNTIF(원본명단!$H$3:$H$6002,원본명단!$H805)))</f>
        <v/>
      </c>
      <c r="F806" s="11" t="str">
        <f aca="false">IF($A806="","",IF(원본명단!$I805="",0,COUNTIF(원본명단!$I$3:$I$6002,원본명단!$I805)))</f>
        <v/>
      </c>
      <c r="G806" s="11" t="str">
        <f aca="false">IF($A806="","",IF(원본명단!$K805="",0,COUNTIF(원본명단!$K$3:$K$6002,원본명단!$K805)))</f>
        <v/>
      </c>
      <c r="H806" s="11" t="str">
        <f aca="false">IF($A806="","",IF(MAX($E806,$F806,$G806)&gt;1,"중복","-"))</f>
        <v/>
      </c>
      <c r="I806" s="11" t="str">
        <f aca="false">IF($A806="","",IF($H806="-","-",IF(AND(IF(원본명단!$H805="",TRUE(),COUNTIF(원본명단!$H$3:$H805,원본명단!$H805)=1),IF(원본명단!$I805="",TRUE(),COUNTIF(원본명단!$I$3:$I805,원본명단!$I805)=1),IF(원본명단!$K805="",TRUE(),COUNTIF(원본명단!$K$3:$K805,원본명단!$K805)=1)),"첫 건","중복 건")))</f>
        <v/>
      </c>
      <c r="J806" s="11" t="str">
        <f aca="false">IF($A806="","",IF($H806="-","유지",IF($I806="첫 건","유지","확인 필요")))</f>
        <v/>
      </c>
    </row>
    <row r="807" customFormat="false" ht="15" hidden="false" customHeight="true" outlineLevel="0" collapsed="false">
      <c r="A807" s="11" t="str">
        <f aca="false">IF(원본명단!$A806="","",804)</f>
        <v/>
      </c>
      <c r="B807" s="12" t="str">
        <f aca="false">IF($A807="","",원본명단!$A806)</f>
        <v/>
      </c>
      <c r="C807" s="12" t="str">
        <f aca="false">IF($A807="","",원본명단!$B806)</f>
        <v/>
      </c>
      <c r="D807" s="12" t="str">
        <f aca="false">IF($A807="","",원본명단!$D806)</f>
        <v/>
      </c>
      <c r="E807" s="11" t="str">
        <f aca="false">IF($A807="","",IF(원본명단!$H806="",0,COUNTIF(원본명단!$H$3:$H$6002,원본명단!$H806)))</f>
        <v/>
      </c>
      <c r="F807" s="11" t="str">
        <f aca="false">IF($A807="","",IF(원본명단!$I806="",0,COUNTIF(원본명단!$I$3:$I$6002,원본명단!$I806)))</f>
        <v/>
      </c>
      <c r="G807" s="11" t="str">
        <f aca="false">IF($A807="","",IF(원본명단!$K806="",0,COUNTIF(원본명단!$K$3:$K$6002,원본명단!$K806)))</f>
        <v/>
      </c>
      <c r="H807" s="11" t="str">
        <f aca="false">IF($A807="","",IF(MAX($E807,$F807,$G807)&gt;1,"중복","-"))</f>
        <v/>
      </c>
      <c r="I807" s="11" t="str">
        <f aca="false">IF($A807="","",IF($H807="-","-",IF(AND(IF(원본명단!$H806="",TRUE(),COUNTIF(원본명단!$H$3:$H806,원본명단!$H806)=1),IF(원본명단!$I806="",TRUE(),COUNTIF(원본명단!$I$3:$I806,원본명단!$I806)=1),IF(원본명단!$K806="",TRUE(),COUNTIF(원본명단!$K$3:$K806,원본명단!$K806)=1)),"첫 건","중복 건")))</f>
        <v/>
      </c>
      <c r="J807" s="11" t="str">
        <f aca="false">IF($A807="","",IF($H807="-","유지",IF($I807="첫 건","유지","확인 필요")))</f>
        <v/>
      </c>
    </row>
    <row r="808" customFormat="false" ht="15" hidden="false" customHeight="true" outlineLevel="0" collapsed="false">
      <c r="A808" s="11" t="str">
        <f aca="false">IF(원본명단!$A807="","",805)</f>
        <v/>
      </c>
      <c r="B808" s="12" t="str">
        <f aca="false">IF($A808="","",원본명단!$A807)</f>
        <v/>
      </c>
      <c r="C808" s="12" t="str">
        <f aca="false">IF($A808="","",원본명단!$B807)</f>
        <v/>
      </c>
      <c r="D808" s="12" t="str">
        <f aca="false">IF($A808="","",원본명단!$D807)</f>
        <v/>
      </c>
      <c r="E808" s="11" t="str">
        <f aca="false">IF($A808="","",IF(원본명단!$H807="",0,COUNTIF(원본명단!$H$3:$H$6002,원본명단!$H807)))</f>
        <v/>
      </c>
      <c r="F808" s="11" t="str">
        <f aca="false">IF($A808="","",IF(원본명단!$I807="",0,COUNTIF(원본명단!$I$3:$I$6002,원본명단!$I807)))</f>
        <v/>
      </c>
      <c r="G808" s="11" t="str">
        <f aca="false">IF($A808="","",IF(원본명단!$K807="",0,COUNTIF(원본명단!$K$3:$K$6002,원본명단!$K807)))</f>
        <v/>
      </c>
      <c r="H808" s="11" t="str">
        <f aca="false">IF($A808="","",IF(MAX($E808,$F808,$G808)&gt;1,"중복","-"))</f>
        <v/>
      </c>
      <c r="I808" s="11" t="str">
        <f aca="false">IF($A808="","",IF($H808="-","-",IF(AND(IF(원본명단!$H807="",TRUE(),COUNTIF(원본명단!$H$3:$H807,원본명단!$H807)=1),IF(원본명단!$I807="",TRUE(),COUNTIF(원본명단!$I$3:$I807,원본명단!$I807)=1),IF(원본명단!$K807="",TRUE(),COUNTIF(원본명단!$K$3:$K807,원본명단!$K807)=1)),"첫 건","중복 건")))</f>
        <v/>
      </c>
      <c r="J808" s="11" t="str">
        <f aca="false">IF($A808="","",IF($H808="-","유지",IF($I808="첫 건","유지","확인 필요")))</f>
        <v/>
      </c>
    </row>
    <row r="809" customFormat="false" ht="15" hidden="false" customHeight="true" outlineLevel="0" collapsed="false">
      <c r="A809" s="11" t="str">
        <f aca="false">IF(원본명단!$A808="","",806)</f>
        <v/>
      </c>
      <c r="B809" s="12" t="str">
        <f aca="false">IF($A809="","",원본명단!$A808)</f>
        <v/>
      </c>
      <c r="C809" s="12" t="str">
        <f aca="false">IF($A809="","",원본명단!$B808)</f>
        <v/>
      </c>
      <c r="D809" s="12" t="str">
        <f aca="false">IF($A809="","",원본명단!$D808)</f>
        <v/>
      </c>
      <c r="E809" s="11" t="str">
        <f aca="false">IF($A809="","",IF(원본명단!$H808="",0,COUNTIF(원본명단!$H$3:$H$6002,원본명단!$H808)))</f>
        <v/>
      </c>
      <c r="F809" s="11" t="str">
        <f aca="false">IF($A809="","",IF(원본명단!$I808="",0,COUNTIF(원본명단!$I$3:$I$6002,원본명단!$I808)))</f>
        <v/>
      </c>
      <c r="G809" s="11" t="str">
        <f aca="false">IF($A809="","",IF(원본명단!$K808="",0,COUNTIF(원본명단!$K$3:$K$6002,원본명단!$K808)))</f>
        <v/>
      </c>
      <c r="H809" s="11" t="str">
        <f aca="false">IF($A809="","",IF(MAX($E809,$F809,$G809)&gt;1,"중복","-"))</f>
        <v/>
      </c>
      <c r="I809" s="11" t="str">
        <f aca="false">IF($A809="","",IF($H809="-","-",IF(AND(IF(원본명단!$H808="",TRUE(),COUNTIF(원본명단!$H$3:$H808,원본명단!$H808)=1),IF(원본명단!$I808="",TRUE(),COUNTIF(원본명단!$I$3:$I808,원본명단!$I808)=1),IF(원본명단!$K808="",TRUE(),COUNTIF(원본명단!$K$3:$K808,원본명단!$K808)=1)),"첫 건","중복 건")))</f>
        <v/>
      </c>
      <c r="J809" s="11" t="str">
        <f aca="false">IF($A809="","",IF($H809="-","유지",IF($I809="첫 건","유지","확인 필요")))</f>
        <v/>
      </c>
    </row>
    <row r="810" customFormat="false" ht="15" hidden="false" customHeight="true" outlineLevel="0" collapsed="false">
      <c r="A810" s="11" t="str">
        <f aca="false">IF(원본명단!$A809="","",807)</f>
        <v/>
      </c>
      <c r="B810" s="12" t="str">
        <f aca="false">IF($A810="","",원본명단!$A809)</f>
        <v/>
      </c>
      <c r="C810" s="12" t="str">
        <f aca="false">IF($A810="","",원본명단!$B809)</f>
        <v/>
      </c>
      <c r="D810" s="12" t="str">
        <f aca="false">IF($A810="","",원본명단!$D809)</f>
        <v/>
      </c>
      <c r="E810" s="11" t="str">
        <f aca="false">IF($A810="","",IF(원본명단!$H809="",0,COUNTIF(원본명단!$H$3:$H$6002,원본명단!$H809)))</f>
        <v/>
      </c>
      <c r="F810" s="11" t="str">
        <f aca="false">IF($A810="","",IF(원본명단!$I809="",0,COUNTIF(원본명단!$I$3:$I$6002,원본명단!$I809)))</f>
        <v/>
      </c>
      <c r="G810" s="11" t="str">
        <f aca="false">IF($A810="","",IF(원본명단!$K809="",0,COUNTIF(원본명단!$K$3:$K$6002,원본명단!$K809)))</f>
        <v/>
      </c>
      <c r="H810" s="11" t="str">
        <f aca="false">IF($A810="","",IF(MAX($E810,$F810,$G810)&gt;1,"중복","-"))</f>
        <v/>
      </c>
      <c r="I810" s="11" t="str">
        <f aca="false">IF($A810="","",IF($H810="-","-",IF(AND(IF(원본명단!$H809="",TRUE(),COUNTIF(원본명단!$H$3:$H809,원본명단!$H809)=1),IF(원본명단!$I809="",TRUE(),COUNTIF(원본명단!$I$3:$I809,원본명단!$I809)=1),IF(원본명단!$K809="",TRUE(),COUNTIF(원본명단!$K$3:$K809,원본명단!$K809)=1)),"첫 건","중복 건")))</f>
        <v/>
      </c>
      <c r="J810" s="11" t="str">
        <f aca="false">IF($A810="","",IF($H810="-","유지",IF($I810="첫 건","유지","확인 필요")))</f>
        <v/>
      </c>
    </row>
    <row r="811" customFormat="false" ht="15" hidden="false" customHeight="true" outlineLevel="0" collapsed="false">
      <c r="A811" s="11" t="str">
        <f aca="false">IF(원본명단!$A810="","",808)</f>
        <v/>
      </c>
      <c r="B811" s="12" t="str">
        <f aca="false">IF($A811="","",원본명단!$A810)</f>
        <v/>
      </c>
      <c r="C811" s="12" t="str">
        <f aca="false">IF($A811="","",원본명단!$B810)</f>
        <v/>
      </c>
      <c r="D811" s="12" t="str">
        <f aca="false">IF($A811="","",원본명단!$D810)</f>
        <v/>
      </c>
      <c r="E811" s="11" t="str">
        <f aca="false">IF($A811="","",IF(원본명단!$H810="",0,COUNTIF(원본명단!$H$3:$H$6002,원본명단!$H810)))</f>
        <v/>
      </c>
      <c r="F811" s="11" t="str">
        <f aca="false">IF($A811="","",IF(원본명단!$I810="",0,COUNTIF(원본명단!$I$3:$I$6002,원본명단!$I810)))</f>
        <v/>
      </c>
      <c r="G811" s="11" t="str">
        <f aca="false">IF($A811="","",IF(원본명단!$K810="",0,COUNTIF(원본명단!$K$3:$K$6002,원본명단!$K810)))</f>
        <v/>
      </c>
      <c r="H811" s="11" t="str">
        <f aca="false">IF($A811="","",IF(MAX($E811,$F811,$G811)&gt;1,"중복","-"))</f>
        <v/>
      </c>
      <c r="I811" s="11" t="str">
        <f aca="false">IF($A811="","",IF($H811="-","-",IF(AND(IF(원본명단!$H810="",TRUE(),COUNTIF(원본명단!$H$3:$H810,원본명단!$H810)=1),IF(원본명단!$I810="",TRUE(),COUNTIF(원본명단!$I$3:$I810,원본명단!$I810)=1),IF(원본명단!$K810="",TRUE(),COUNTIF(원본명단!$K$3:$K810,원본명단!$K810)=1)),"첫 건","중복 건")))</f>
        <v/>
      </c>
      <c r="J811" s="11" t="str">
        <f aca="false">IF($A811="","",IF($H811="-","유지",IF($I811="첫 건","유지","확인 필요")))</f>
        <v/>
      </c>
    </row>
    <row r="812" customFormat="false" ht="15" hidden="false" customHeight="true" outlineLevel="0" collapsed="false">
      <c r="A812" s="11" t="str">
        <f aca="false">IF(원본명단!$A811="","",809)</f>
        <v/>
      </c>
      <c r="B812" s="12" t="str">
        <f aca="false">IF($A812="","",원본명단!$A811)</f>
        <v/>
      </c>
      <c r="C812" s="12" t="str">
        <f aca="false">IF($A812="","",원본명단!$B811)</f>
        <v/>
      </c>
      <c r="D812" s="12" t="str">
        <f aca="false">IF($A812="","",원본명단!$D811)</f>
        <v/>
      </c>
      <c r="E812" s="11" t="str">
        <f aca="false">IF($A812="","",IF(원본명단!$H811="",0,COUNTIF(원본명단!$H$3:$H$6002,원본명단!$H811)))</f>
        <v/>
      </c>
      <c r="F812" s="11" t="str">
        <f aca="false">IF($A812="","",IF(원본명단!$I811="",0,COUNTIF(원본명단!$I$3:$I$6002,원본명단!$I811)))</f>
        <v/>
      </c>
      <c r="G812" s="11" t="str">
        <f aca="false">IF($A812="","",IF(원본명단!$K811="",0,COUNTIF(원본명단!$K$3:$K$6002,원본명단!$K811)))</f>
        <v/>
      </c>
      <c r="H812" s="11" t="str">
        <f aca="false">IF($A812="","",IF(MAX($E812,$F812,$G812)&gt;1,"중복","-"))</f>
        <v/>
      </c>
      <c r="I812" s="11" t="str">
        <f aca="false">IF($A812="","",IF($H812="-","-",IF(AND(IF(원본명단!$H811="",TRUE(),COUNTIF(원본명단!$H$3:$H811,원본명단!$H811)=1),IF(원본명단!$I811="",TRUE(),COUNTIF(원본명단!$I$3:$I811,원본명단!$I811)=1),IF(원본명단!$K811="",TRUE(),COUNTIF(원본명단!$K$3:$K811,원본명단!$K811)=1)),"첫 건","중복 건")))</f>
        <v/>
      </c>
      <c r="J812" s="11" t="str">
        <f aca="false">IF($A812="","",IF($H812="-","유지",IF($I812="첫 건","유지","확인 필요")))</f>
        <v/>
      </c>
    </row>
    <row r="813" customFormat="false" ht="15" hidden="false" customHeight="true" outlineLevel="0" collapsed="false">
      <c r="A813" s="11" t="str">
        <f aca="false">IF(원본명단!$A812="","",810)</f>
        <v/>
      </c>
      <c r="B813" s="12" t="str">
        <f aca="false">IF($A813="","",원본명단!$A812)</f>
        <v/>
      </c>
      <c r="C813" s="12" t="str">
        <f aca="false">IF($A813="","",원본명단!$B812)</f>
        <v/>
      </c>
      <c r="D813" s="12" t="str">
        <f aca="false">IF($A813="","",원본명단!$D812)</f>
        <v/>
      </c>
      <c r="E813" s="11" t="str">
        <f aca="false">IF($A813="","",IF(원본명단!$H812="",0,COUNTIF(원본명단!$H$3:$H$6002,원본명단!$H812)))</f>
        <v/>
      </c>
      <c r="F813" s="11" t="str">
        <f aca="false">IF($A813="","",IF(원본명단!$I812="",0,COUNTIF(원본명단!$I$3:$I$6002,원본명단!$I812)))</f>
        <v/>
      </c>
      <c r="G813" s="11" t="str">
        <f aca="false">IF($A813="","",IF(원본명단!$K812="",0,COUNTIF(원본명단!$K$3:$K$6002,원본명단!$K812)))</f>
        <v/>
      </c>
      <c r="H813" s="11" t="str">
        <f aca="false">IF($A813="","",IF(MAX($E813,$F813,$G813)&gt;1,"중복","-"))</f>
        <v/>
      </c>
      <c r="I813" s="11" t="str">
        <f aca="false">IF($A813="","",IF($H813="-","-",IF(AND(IF(원본명단!$H812="",TRUE(),COUNTIF(원본명단!$H$3:$H812,원본명단!$H812)=1),IF(원본명단!$I812="",TRUE(),COUNTIF(원본명단!$I$3:$I812,원본명단!$I812)=1),IF(원본명단!$K812="",TRUE(),COUNTIF(원본명단!$K$3:$K812,원본명단!$K812)=1)),"첫 건","중복 건")))</f>
        <v/>
      </c>
      <c r="J813" s="11" t="str">
        <f aca="false">IF($A813="","",IF($H813="-","유지",IF($I813="첫 건","유지","확인 필요")))</f>
        <v/>
      </c>
    </row>
    <row r="814" customFormat="false" ht="15" hidden="false" customHeight="true" outlineLevel="0" collapsed="false">
      <c r="A814" s="11" t="str">
        <f aca="false">IF(원본명단!$A813="","",811)</f>
        <v/>
      </c>
      <c r="B814" s="12" t="str">
        <f aca="false">IF($A814="","",원본명단!$A813)</f>
        <v/>
      </c>
      <c r="C814" s="12" t="str">
        <f aca="false">IF($A814="","",원본명단!$B813)</f>
        <v/>
      </c>
      <c r="D814" s="12" t="str">
        <f aca="false">IF($A814="","",원본명단!$D813)</f>
        <v/>
      </c>
      <c r="E814" s="11" t="str">
        <f aca="false">IF($A814="","",IF(원본명단!$H813="",0,COUNTIF(원본명단!$H$3:$H$6002,원본명단!$H813)))</f>
        <v/>
      </c>
      <c r="F814" s="11" t="str">
        <f aca="false">IF($A814="","",IF(원본명단!$I813="",0,COUNTIF(원본명단!$I$3:$I$6002,원본명단!$I813)))</f>
        <v/>
      </c>
      <c r="G814" s="11" t="str">
        <f aca="false">IF($A814="","",IF(원본명단!$K813="",0,COUNTIF(원본명단!$K$3:$K$6002,원본명단!$K813)))</f>
        <v/>
      </c>
      <c r="H814" s="11" t="str">
        <f aca="false">IF($A814="","",IF(MAX($E814,$F814,$G814)&gt;1,"중복","-"))</f>
        <v/>
      </c>
      <c r="I814" s="11" t="str">
        <f aca="false">IF($A814="","",IF($H814="-","-",IF(AND(IF(원본명단!$H813="",TRUE(),COUNTIF(원본명단!$H$3:$H813,원본명단!$H813)=1),IF(원본명단!$I813="",TRUE(),COUNTIF(원본명단!$I$3:$I813,원본명단!$I813)=1),IF(원본명단!$K813="",TRUE(),COUNTIF(원본명단!$K$3:$K813,원본명단!$K813)=1)),"첫 건","중복 건")))</f>
        <v/>
      </c>
      <c r="J814" s="11" t="str">
        <f aca="false">IF($A814="","",IF($H814="-","유지",IF($I814="첫 건","유지","확인 필요")))</f>
        <v/>
      </c>
    </row>
    <row r="815" customFormat="false" ht="15" hidden="false" customHeight="true" outlineLevel="0" collapsed="false">
      <c r="A815" s="11" t="str">
        <f aca="false">IF(원본명단!$A814="","",812)</f>
        <v/>
      </c>
      <c r="B815" s="12" t="str">
        <f aca="false">IF($A815="","",원본명단!$A814)</f>
        <v/>
      </c>
      <c r="C815" s="12" t="str">
        <f aca="false">IF($A815="","",원본명단!$B814)</f>
        <v/>
      </c>
      <c r="D815" s="12" t="str">
        <f aca="false">IF($A815="","",원본명단!$D814)</f>
        <v/>
      </c>
      <c r="E815" s="11" t="str">
        <f aca="false">IF($A815="","",IF(원본명단!$H814="",0,COUNTIF(원본명단!$H$3:$H$6002,원본명단!$H814)))</f>
        <v/>
      </c>
      <c r="F815" s="11" t="str">
        <f aca="false">IF($A815="","",IF(원본명단!$I814="",0,COUNTIF(원본명단!$I$3:$I$6002,원본명단!$I814)))</f>
        <v/>
      </c>
      <c r="G815" s="11" t="str">
        <f aca="false">IF($A815="","",IF(원본명단!$K814="",0,COUNTIF(원본명단!$K$3:$K$6002,원본명단!$K814)))</f>
        <v/>
      </c>
      <c r="H815" s="11" t="str">
        <f aca="false">IF($A815="","",IF(MAX($E815,$F815,$G815)&gt;1,"중복","-"))</f>
        <v/>
      </c>
      <c r="I815" s="11" t="str">
        <f aca="false">IF($A815="","",IF($H815="-","-",IF(AND(IF(원본명단!$H814="",TRUE(),COUNTIF(원본명단!$H$3:$H814,원본명단!$H814)=1),IF(원본명단!$I814="",TRUE(),COUNTIF(원본명단!$I$3:$I814,원본명단!$I814)=1),IF(원본명단!$K814="",TRUE(),COUNTIF(원본명단!$K$3:$K814,원본명단!$K814)=1)),"첫 건","중복 건")))</f>
        <v/>
      </c>
      <c r="J815" s="11" t="str">
        <f aca="false">IF($A815="","",IF($H815="-","유지",IF($I815="첫 건","유지","확인 필요")))</f>
        <v/>
      </c>
    </row>
    <row r="816" customFormat="false" ht="15" hidden="false" customHeight="true" outlineLevel="0" collapsed="false">
      <c r="A816" s="11" t="str">
        <f aca="false">IF(원본명단!$A815="","",813)</f>
        <v/>
      </c>
      <c r="B816" s="12" t="str">
        <f aca="false">IF($A816="","",원본명단!$A815)</f>
        <v/>
      </c>
      <c r="C816" s="12" t="str">
        <f aca="false">IF($A816="","",원본명단!$B815)</f>
        <v/>
      </c>
      <c r="D816" s="12" t="str">
        <f aca="false">IF($A816="","",원본명단!$D815)</f>
        <v/>
      </c>
      <c r="E816" s="11" t="str">
        <f aca="false">IF($A816="","",IF(원본명단!$H815="",0,COUNTIF(원본명단!$H$3:$H$6002,원본명단!$H815)))</f>
        <v/>
      </c>
      <c r="F816" s="11" t="str">
        <f aca="false">IF($A816="","",IF(원본명단!$I815="",0,COUNTIF(원본명단!$I$3:$I$6002,원본명단!$I815)))</f>
        <v/>
      </c>
      <c r="G816" s="11" t="str">
        <f aca="false">IF($A816="","",IF(원본명단!$K815="",0,COUNTIF(원본명단!$K$3:$K$6002,원본명단!$K815)))</f>
        <v/>
      </c>
      <c r="H816" s="11" t="str">
        <f aca="false">IF($A816="","",IF(MAX($E816,$F816,$G816)&gt;1,"중복","-"))</f>
        <v/>
      </c>
      <c r="I816" s="11" t="str">
        <f aca="false">IF($A816="","",IF($H816="-","-",IF(AND(IF(원본명단!$H815="",TRUE(),COUNTIF(원본명단!$H$3:$H815,원본명단!$H815)=1),IF(원본명단!$I815="",TRUE(),COUNTIF(원본명단!$I$3:$I815,원본명단!$I815)=1),IF(원본명단!$K815="",TRUE(),COUNTIF(원본명단!$K$3:$K815,원본명단!$K815)=1)),"첫 건","중복 건")))</f>
        <v/>
      </c>
      <c r="J816" s="11" t="str">
        <f aca="false">IF($A816="","",IF($H816="-","유지",IF($I816="첫 건","유지","확인 필요")))</f>
        <v/>
      </c>
    </row>
    <row r="817" customFormat="false" ht="15" hidden="false" customHeight="true" outlineLevel="0" collapsed="false">
      <c r="A817" s="11" t="str">
        <f aca="false">IF(원본명단!$A816="","",814)</f>
        <v/>
      </c>
      <c r="B817" s="12" t="str">
        <f aca="false">IF($A817="","",원본명단!$A816)</f>
        <v/>
      </c>
      <c r="C817" s="12" t="str">
        <f aca="false">IF($A817="","",원본명단!$B816)</f>
        <v/>
      </c>
      <c r="D817" s="12" t="str">
        <f aca="false">IF($A817="","",원본명단!$D816)</f>
        <v/>
      </c>
      <c r="E817" s="11" t="str">
        <f aca="false">IF($A817="","",IF(원본명단!$H816="",0,COUNTIF(원본명단!$H$3:$H$6002,원본명단!$H816)))</f>
        <v/>
      </c>
      <c r="F817" s="11" t="str">
        <f aca="false">IF($A817="","",IF(원본명단!$I816="",0,COUNTIF(원본명단!$I$3:$I$6002,원본명단!$I816)))</f>
        <v/>
      </c>
      <c r="G817" s="11" t="str">
        <f aca="false">IF($A817="","",IF(원본명단!$K816="",0,COUNTIF(원본명단!$K$3:$K$6002,원본명단!$K816)))</f>
        <v/>
      </c>
      <c r="H817" s="11" t="str">
        <f aca="false">IF($A817="","",IF(MAX($E817,$F817,$G817)&gt;1,"중복","-"))</f>
        <v/>
      </c>
      <c r="I817" s="11" t="str">
        <f aca="false">IF($A817="","",IF($H817="-","-",IF(AND(IF(원본명단!$H816="",TRUE(),COUNTIF(원본명단!$H$3:$H816,원본명단!$H816)=1),IF(원본명단!$I816="",TRUE(),COUNTIF(원본명단!$I$3:$I816,원본명단!$I816)=1),IF(원본명단!$K816="",TRUE(),COUNTIF(원본명단!$K$3:$K816,원본명단!$K816)=1)),"첫 건","중복 건")))</f>
        <v/>
      </c>
      <c r="J817" s="11" t="str">
        <f aca="false">IF($A817="","",IF($H817="-","유지",IF($I817="첫 건","유지","확인 필요")))</f>
        <v/>
      </c>
    </row>
    <row r="818" customFormat="false" ht="15" hidden="false" customHeight="true" outlineLevel="0" collapsed="false">
      <c r="A818" s="11" t="str">
        <f aca="false">IF(원본명단!$A817="","",815)</f>
        <v/>
      </c>
      <c r="B818" s="12" t="str">
        <f aca="false">IF($A818="","",원본명단!$A817)</f>
        <v/>
      </c>
      <c r="C818" s="12" t="str">
        <f aca="false">IF($A818="","",원본명단!$B817)</f>
        <v/>
      </c>
      <c r="D818" s="12" t="str">
        <f aca="false">IF($A818="","",원본명단!$D817)</f>
        <v/>
      </c>
      <c r="E818" s="11" t="str">
        <f aca="false">IF($A818="","",IF(원본명단!$H817="",0,COUNTIF(원본명단!$H$3:$H$6002,원본명단!$H817)))</f>
        <v/>
      </c>
      <c r="F818" s="11" t="str">
        <f aca="false">IF($A818="","",IF(원본명단!$I817="",0,COUNTIF(원본명단!$I$3:$I$6002,원본명단!$I817)))</f>
        <v/>
      </c>
      <c r="G818" s="11" t="str">
        <f aca="false">IF($A818="","",IF(원본명단!$K817="",0,COUNTIF(원본명단!$K$3:$K$6002,원본명단!$K817)))</f>
        <v/>
      </c>
      <c r="H818" s="11" t="str">
        <f aca="false">IF($A818="","",IF(MAX($E818,$F818,$G818)&gt;1,"중복","-"))</f>
        <v/>
      </c>
      <c r="I818" s="11" t="str">
        <f aca="false">IF($A818="","",IF($H818="-","-",IF(AND(IF(원본명단!$H817="",TRUE(),COUNTIF(원본명단!$H$3:$H817,원본명단!$H817)=1),IF(원본명단!$I817="",TRUE(),COUNTIF(원본명단!$I$3:$I817,원본명단!$I817)=1),IF(원본명단!$K817="",TRUE(),COUNTIF(원본명단!$K$3:$K817,원본명단!$K817)=1)),"첫 건","중복 건")))</f>
        <v/>
      </c>
      <c r="J818" s="11" t="str">
        <f aca="false">IF($A818="","",IF($H818="-","유지",IF($I818="첫 건","유지","확인 필요")))</f>
        <v/>
      </c>
    </row>
    <row r="819" customFormat="false" ht="15" hidden="false" customHeight="true" outlineLevel="0" collapsed="false">
      <c r="A819" s="11" t="str">
        <f aca="false">IF(원본명단!$A818="","",816)</f>
        <v/>
      </c>
      <c r="B819" s="12" t="str">
        <f aca="false">IF($A819="","",원본명단!$A818)</f>
        <v/>
      </c>
      <c r="C819" s="12" t="str">
        <f aca="false">IF($A819="","",원본명단!$B818)</f>
        <v/>
      </c>
      <c r="D819" s="12" t="str">
        <f aca="false">IF($A819="","",원본명단!$D818)</f>
        <v/>
      </c>
      <c r="E819" s="11" t="str">
        <f aca="false">IF($A819="","",IF(원본명단!$H818="",0,COUNTIF(원본명단!$H$3:$H$6002,원본명단!$H818)))</f>
        <v/>
      </c>
      <c r="F819" s="11" t="str">
        <f aca="false">IF($A819="","",IF(원본명단!$I818="",0,COUNTIF(원본명단!$I$3:$I$6002,원본명단!$I818)))</f>
        <v/>
      </c>
      <c r="G819" s="11" t="str">
        <f aca="false">IF($A819="","",IF(원본명단!$K818="",0,COUNTIF(원본명단!$K$3:$K$6002,원본명단!$K818)))</f>
        <v/>
      </c>
      <c r="H819" s="11" t="str">
        <f aca="false">IF($A819="","",IF(MAX($E819,$F819,$G819)&gt;1,"중복","-"))</f>
        <v/>
      </c>
      <c r="I819" s="11" t="str">
        <f aca="false">IF($A819="","",IF($H819="-","-",IF(AND(IF(원본명단!$H818="",TRUE(),COUNTIF(원본명단!$H$3:$H818,원본명단!$H818)=1),IF(원본명단!$I818="",TRUE(),COUNTIF(원본명단!$I$3:$I818,원본명단!$I818)=1),IF(원본명단!$K818="",TRUE(),COUNTIF(원본명단!$K$3:$K818,원본명단!$K818)=1)),"첫 건","중복 건")))</f>
        <v/>
      </c>
      <c r="J819" s="11" t="str">
        <f aca="false">IF($A819="","",IF($H819="-","유지",IF($I819="첫 건","유지","확인 필요")))</f>
        <v/>
      </c>
    </row>
    <row r="820" customFormat="false" ht="15" hidden="false" customHeight="true" outlineLevel="0" collapsed="false">
      <c r="A820" s="11" t="str">
        <f aca="false">IF(원본명단!$A819="","",817)</f>
        <v/>
      </c>
      <c r="B820" s="12" t="str">
        <f aca="false">IF($A820="","",원본명단!$A819)</f>
        <v/>
      </c>
      <c r="C820" s="12" t="str">
        <f aca="false">IF($A820="","",원본명단!$B819)</f>
        <v/>
      </c>
      <c r="D820" s="12" t="str">
        <f aca="false">IF($A820="","",원본명단!$D819)</f>
        <v/>
      </c>
      <c r="E820" s="11" t="str">
        <f aca="false">IF($A820="","",IF(원본명단!$H819="",0,COUNTIF(원본명단!$H$3:$H$6002,원본명단!$H819)))</f>
        <v/>
      </c>
      <c r="F820" s="11" t="str">
        <f aca="false">IF($A820="","",IF(원본명단!$I819="",0,COUNTIF(원본명단!$I$3:$I$6002,원본명단!$I819)))</f>
        <v/>
      </c>
      <c r="G820" s="11" t="str">
        <f aca="false">IF($A820="","",IF(원본명단!$K819="",0,COUNTIF(원본명단!$K$3:$K$6002,원본명단!$K819)))</f>
        <v/>
      </c>
      <c r="H820" s="11" t="str">
        <f aca="false">IF($A820="","",IF(MAX($E820,$F820,$G820)&gt;1,"중복","-"))</f>
        <v/>
      </c>
      <c r="I820" s="11" t="str">
        <f aca="false">IF($A820="","",IF($H820="-","-",IF(AND(IF(원본명단!$H819="",TRUE(),COUNTIF(원본명단!$H$3:$H819,원본명단!$H819)=1),IF(원본명단!$I819="",TRUE(),COUNTIF(원본명단!$I$3:$I819,원본명단!$I819)=1),IF(원본명단!$K819="",TRUE(),COUNTIF(원본명단!$K$3:$K819,원본명단!$K819)=1)),"첫 건","중복 건")))</f>
        <v/>
      </c>
      <c r="J820" s="11" t="str">
        <f aca="false">IF($A820="","",IF($H820="-","유지",IF($I820="첫 건","유지","확인 필요")))</f>
        <v/>
      </c>
    </row>
    <row r="821" customFormat="false" ht="15" hidden="false" customHeight="true" outlineLevel="0" collapsed="false">
      <c r="A821" s="11" t="str">
        <f aca="false">IF(원본명단!$A820="","",818)</f>
        <v/>
      </c>
      <c r="B821" s="12" t="str">
        <f aca="false">IF($A821="","",원본명단!$A820)</f>
        <v/>
      </c>
      <c r="C821" s="12" t="str">
        <f aca="false">IF($A821="","",원본명단!$B820)</f>
        <v/>
      </c>
      <c r="D821" s="12" t="str">
        <f aca="false">IF($A821="","",원본명단!$D820)</f>
        <v/>
      </c>
      <c r="E821" s="11" t="str">
        <f aca="false">IF($A821="","",IF(원본명단!$H820="",0,COUNTIF(원본명단!$H$3:$H$6002,원본명단!$H820)))</f>
        <v/>
      </c>
      <c r="F821" s="11" t="str">
        <f aca="false">IF($A821="","",IF(원본명단!$I820="",0,COUNTIF(원본명단!$I$3:$I$6002,원본명단!$I820)))</f>
        <v/>
      </c>
      <c r="G821" s="11" t="str">
        <f aca="false">IF($A821="","",IF(원본명단!$K820="",0,COUNTIF(원본명단!$K$3:$K$6002,원본명단!$K820)))</f>
        <v/>
      </c>
      <c r="H821" s="11" t="str">
        <f aca="false">IF($A821="","",IF(MAX($E821,$F821,$G821)&gt;1,"중복","-"))</f>
        <v/>
      </c>
      <c r="I821" s="11" t="str">
        <f aca="false">IF($A821="","",IF($H821="-","-",IF(AND(IF(원본명단!$H820="",TRUE(),COUNTIF(원본명단!$H$3:$H820,원본명단!$H820)=1),IF(원본명단!$I820="",TRUE(),COUNTIF(원본명단!$I$3:$I820,원본명단!$I820)=1),IF(원본명단!$K820="",TRUE(),COUNTIF(원본명단!$K$3:$K820,원본명단!$K820)=1)),"첫 건","중복 건")))</f>
        <v/>
      </c>
      <c r="J821" s="11" t="str">
        <f aca="false">IF($A821="","",IF($H821="-","유지",IF($I821="첫 건","유지","확인 필요")))</f>
        <v/>
      </c>
    </row>
    <row r="822" customFormat="false" ht="15" hidden="false" customHeight="true" outlineLevel="0" collapsed="false">
      <c r="A822" s="11" t="str">
        <f aca="false">IF(원본명단!$A821="","",819)</f>
        <v/>
      </c>
      <c r="B822" s="12" t="str">
        <f aca="false">IF($A822="","",원본명단!$A821)</f>
        <v/>
      </c>
      <c r="C822" s="12" t="str">
        <f aca="false">IF($A822="","",원본명단!$B821)</f>
        <v/>
      </c>
      <c r="D822" s="12" t="str">
        <f aca="false">IF($A822="","",원본명단!$D821)</f>
        <v/>
      </c>
      <c r="E822" s="11" t="str">
        <f aca="false">IF($A822="","",IF(원본명단!$H821="",0,COUNTIF(원본명단!$H$3:$H$6002,원본명단!$H821)))</f>
        <v/>
      </c>
      <c r="F822" s="11" t="str">
        <f aca="false">IF($A822="","",IF(원본명단!$I821="",0,COUNTIF(원본명단!$I$3:$I$6002,원본명단!$I821)))</f>
        <v/>
      </c>
      <c r="G822" s="11" t="str">
        <f aca="false">IF($A822="","",IF(원본명단!$K821="",0,COUNTIF(원본명단!$K$3:$K$6002,원본명단!$K821)))</f>
        <v/>
      </c>
      <c r="H822" s="11" t="str">
        <f aca="false">IF($A822="","",IF(MAX($E822,$F822,$G822)&gt;1,"중복","-"))</f>
        <v/>
      </c>
      <c r="I822" s="11" t="str">
        <f aca="false">IF($A822="","",IF($H822="-","-",IF(AND(IF(원본명단!$H821="",TRUE(),COUNTIF(원본명단!$H$3:$H821,원본명단!$H821)=1),IF(원본명단!$I821="",TRUE(),COUNTIF(원본명단!$I$3:$I821,원본명단!$I821)=1),IF(원본명단!$K821="",TRUE(),COUNTIF(원본명단!$K$3:$K821,원본명단!$K821)=1)),"첫 건","중복 건")))</f>
        <v/>
      </c>
      <c r="J822" s="11" t="str">
        <f aca="false">IF($A822="","",IF($H822="-","유지",IF($I822="첫 건","유지","확인 필요")))</f>
        <v/>
      </c>
    </row>
    <row r="823" customFormat="false" ht="15" hidden="false" customHeight="true" outlineLevel="0" collapsed="false">
      <c r="A823" s="11" t="str">
        <f aca="false">IF(원본명단!$A822="","",820)</f>
        <v/>
      </c>
      <c r="B823" s="12" t="str">
        <f aca="false">IF($A823="","",원본명단!$A822)</f>
        <v/>
      </c>
      <c r="C823" s="12" t="str">
        <f aca="false">IF($A823="","",원본명단!$B822)</f>
        <v/>
      </c>
      <c r="D823" s="12" t="str">
        <f aca="false">IF($A823="","",원본명단!$D822)</f>
        <v/>
      </c>
      <c r="E823" s="11" t="str">
        <f aca="false">IF($A823="","",IF(원본명단!$H822="",0,COUNTIF(원본명단!$H$3:$H$6002,원본명단!$H822)))</f>
        <v/>
      </c>
      <c r="F823" s="11" t="str">
        <f aca="false">IF($A823="","",IF(원본명단!$I822="",0,COUNTIF(원본명단!$I$3:$I$6002,원본명단!$I822)))</f>
        <v/>
      </c>
      <c r="G823" s="11" t="str">
        <f aca="false">IF($A823="","",IF(원본명단!$K822="",0,COUNTIF(원본명단!$K$3:$K$6002,원본명단!$K822)))</f>
        <v/>
      </c>
      <c r="H823" s="11" t="str">
        <f aca="false">IF($A823="","",IF(MAX($E823,$F823,$G823)&gt;1,"중복","-"))</f>
        <v/>
      </c>
      <c r="I823" s="11" t="str">
        <f aca="false">IF($A823="","",IF($H823="-","-",IF(AND(IF(원본명단!$H822="",TRUE(),COUNTIF(원본명단!$H$3:$H822,원본명단!$H822)=1),IF(원본명단!$I822="",TRUE(),COUNTIF(원본명단!$I$3:$I822,원본명단!$I822)=1),IF(원본명단!$K822="",TRUE(),COUNTIF(원본명단!$K$3:$K822,원본명단!$K822)=1)),"첫 건","중복 건")))</f>
        <v/>
      </c>
      <c r="J823" s="11" t="str">
        <f aca="false">IF($A823="","",IF($H823="-","유지",IF($I823="첫 건","유지","확인 필요")))</f>
        <v/>
      </c>
    </row>
    <row r="824" customFormat="false" ht="15" hidden="false" customHeight="true" outlineLevel="0" collapsed="false">
      <c r="A824" s="11" t="str">
        <f aca="false">IF(원본명단!$A823="","",821)</f>
        <v/>
      </c>
      <c r="B824" s="12" t="str">
        <f aca="false">IF($A824="","",원본명단!$A823)</f>
        <v/>
      </c>
      <c r="C824" s="12" t="str">
        <f aca="false">IF($A824="","",원본명단!$B823)</f>
        <v/>
      </c>
      <c r="D824" s="12" t="str">
        <f aca="false">IF($A824="","",원본명단!$D823)</f>
        <v/>
      </c>
      <c r="E824" s="11" t="str">
        <f aca="false">IF($A824="","",IF(원본명단!$H823="",0,COUNTIF(원본명단!$H$3:$H$6002,원본명단!$H823)))</f>
        <v/>
      </c>
      <c r="F824" s="11" t="str">
        <f aca="false">IF($A824="","",IF(원본명단!$I823="",0,COUNTIF(원본명단!$I$3:$I$6002,원본명단!$I823)))</f>
        <v/>
      </c>
      <c r="G824" s="11" t="str">
        <f aca="false">IF($A824="","",IF(원본명단!$K823="",0,COUNTIF(원본명단!$K$3:$K$6002,원본명단!$K823)))</f>
        <v/>
      </c>
      <c r="H824" s="11" t="str">
        <f aca="false">IF($A824="","",IF(MAX($E824,$F824,$G824)&gt;1,"중복","-"))</f>
        <v/>
      </c>
      <c r="I824" s="11" t="str">
        <f aca="false">IF($A824="","",IF($H824="-","-",IF(AND(IF(원본명단!$H823="",TRUE(),COUNTIF(원본명단!$H$3:$H823,원본명단!$H823)=1),IF(원본명단!$I823="",TRUE(),COUNTIF(원본명단!$I$3:$I823,원본명단!$I823)=1),IF(원본명단!$K823="",TRUE(),COUNTIF(원본명단!$K$3:$K823,원본명단!$K823)=1)),"첫 건","중복 건")))</f>
        <v/>
      </c>
      <c r="J824" s="11" t="str">
        <f aca="false">IF($A824="","",IF($H824="-","유지",IF($I824="첫 건","유지","확인 필요")))</f>
        <v/>
      </c>
    </row>
    <row r="825" customFormat="false" ht="15" hidden="false" customHeight="true" outlineLevel="0" collapsed="false">
      <c r="A825" s="11" t="str">
        <f aca="false">IF(원본명단!$A824="","",822)</f>
        <v/>
      </c>
      <c r="B825" s="12" t="str">
        <f aca="false">IF($A825="","",원본명단!$A824)</f>
        <v/>
      </c>
      <c r="C825" s="12" t="str">
        <f aca="false">IF($A825="","",원본명단!$B824)</f>
        <v/>
      </c>
      <c r="D825" s="12" t="str">
        <f aca="false">IF($A825="","",원본명단!$D824)</f>
        <v/>
      </c>
      <c r="E825" s="11" t="str">
        <f aca="false">IF($A825="","",IF(원본명단!$H824="",0,COUNTIF(원본명단!$H$3:$H$6002,원본명단!$H824)))</f>
        <v/>
      </c>
      <c r="F825" s="11" t="str">
        <f aca="false">IF($A825="","",IF(원본명단!$I824="",0,COUNTIF(원본명단!$I$3:$I$6002,원본명단!$I824)))</f>
        <v/>
      </c>
      <c r="G825" s="11" t="str">
        <f aca="false">IF($A825="","",IF(원본명단!$K824="",0,COUNTIF(원본명단!$K$3:$K$6002,원본명단!$K824)))</f>
        <v/>
      </c>
      <c r="H825" s="11" t="str">
        <f aca="false">IF($A825="","",IF(MAX($E825,$F825,$G825)&gt;1,"중복","-"))</f>
        <v/>
      </c>
      <c r="I825" s="11" t="str">
        <f aca="false">IF($A825="","",IF($H825="-","-",IF(AND(IF(원본명단!$H824="",TRUE(),COUNTIF(원본명단!$H$3:$H824,원본명단!$H824)=1),IF(원본명단!$I824="",TRUE(),COUNTIF(원본명단!$I$3:$I824,원본명단!$I824)=1),IF(원본명단!$K824="",TRUE(),COUNTIF(원본명단!$K$3:$K824,원본명단!$K824)=1)),"첫 건","중복 건")))</f>
        <v/>
      </c>
      <c r="J825" s="11" t="str">
        <f aca="false">IF($A825="","",IF($H825="-","유지",IF($I825="첫 건","유지","확인 필요")))</f>
        <v/>
      </c>
    </row>
    <row r="826" customFormat="false" ht="15" hidden="false" customHeight="true" outlineLevel="0" collapsed="false">
      <c r="A826" s="11" t="str">
        <f aca="false">IF(원본명단!$A825="","",823)</f>
        <v/>
      </c>
      <c r="B826" s="12" t="str">
        <f aca="false">IF($A826="","",원본명단!$A825)</f>
        <v/>
      </c>
      <c r="C826" s="12" t="str">
        <f aca="false">IF($A826="","",원본명단!$B825)</f>
        <v/>
      </c>
      <c r="D826" s="12" t="str">
        <f aca="false">IF($A826="","",원본명단!$D825)</f>
        <v/>
      </c>
      <c r="E826" s="11" t="str">
        <f aca="false">IF($A826="","",IF(원본명단!$H825="",0,COUNTIF(원본명단!$H$3:$H$6002,원본명단!$H825)))</f>
        <v/>
      </c>
      <c r="F826" s="11" t="str">
        <f aca="false">IF($A826="","",IF(원본명단!$I825="",0,COUNTIF(원본명단!$I$3:$I$6002,원본명단!$I825)))</f>
        <v/>
      </c>
      <c r="G826" s="11" t="str">
        <f aca="false">IF($A826="","",IF(원본명단!$K825="",0,COUNTIF(원본명단!$K$3:$K$6002,원본명단!$K825)))</f>
        <v/>
      </c>
      <c r="H826" s="11" t="str">
        <f aca="false">IF($A826="","",IF(MAX($E826,$F826,$G826)&gt;1,"중복","-"))</f>
        <v/>
      </c>
      <c r="I826" s="11" t="str">
        <f aca="false">IF($A826="","",IF($H826="-","-",IF(AND(IF(원본명단!$H825="",TRUE(),COUNTIF(원본명단!$H$3:$H825,원본명단!$H825)=1),IF(원본명단!$I825="",TRUE(),COUNTIF(원본명단!$I$3:$I825,원본명단!$I825)=1),IF(원본명단!$K825="",TRUE(),COUNTIF(원본명단!$K$3:$K825,원본명단!$K825)=1)),"첫 건","중복 건")))</f>
        <v/>
      </c>
      <c r="J826" s="11" t="str">
        <f aca="false">IF($A826="","",IF($H826="-","유지",IF($I826="첫 건","유지","확인 필요")))</f>
        <v/>
      </c>
    </row>
    <row r="827" customFormat="false" ht="15" hidden="false" customHeight="true" outlineLevel="0" collapsed="false">
      <c r="A827" s="11" t="str">
        <f aca="false">IF(원본명단!$A826="","",824)</f>
        <v/>
      </c>
      <c r="B827" s="12" t="str">
        <f aca="false">IF($A827="","",원본명단!$A826)</f>
        <v/>
      </c>
      <c r="C827" s="12" t="str">
        <f aca="false">IF($A827="","",원본명단!$B826)</f>
        <v/>
      </c>
      <c r="D827" s="12" t="str">
        <f aca="false">IF($A827="","",원본명단!$D826)</f>
        <v/>
      </c>
      <c r="E827" s="11" t="str">
        <f aca="false">IF($A827="","",IF(원본명단!$H826="",0,COUNTIF(원본명단!$H$3:$H$6002,원본명단!$H826)))</f>
        <v/>
      </c>
      <c r="F827" s="11" t="str">
        <f aca="false">IF($A827="","",IF(원본명단!$I826="",0,COUNTIF(원본명단!$I$3:$I$6002,원본명단!$I826)))</f>
        <v/>
      </c>
      <c r="G827" s="11" t="str">
        <f aca="false">IF($A827="","",IF(원본명단!$K826="",0,COUNTIF(원본명단!$K$3:$K$6002,원본명단!$K826)))</f>
        <v/>
      </c>
      <c r="H827" s="11" t="str">
        <f aca="false">IF($A827="","",IF(MAX($E827,$F827,$G827)&gt;1,"중복","-"))</f>
        <v/>
      </c>
      <c r="I827" s="11" t="str">
        <f aca="false">IF($A827="","",IF($H827="-","-",IF(AND(IF(원본명단!$H826="",TRUE(),COUNTIF(원본명단!$H$3:$H826,원본명단!$H826)=1),IF(원본명단!$I826="",TRUE(),COUNTIF(원본명단!$I$3:$I826,원본명단!$I826)=1),IF(원본명단!$K826="",TRUE(),COUNTIF(원본명단!$K$3:$K826,원본명단!$K826)=1)),"첫 건","중복 건")))</f>
        <v/>
      </c>
      <c r="J827" s="11" t="str">
        <f aca="false">IF($A827="","",IF($H827="-","유지",IF($I827="첫 건","유지","확인 필요")))</f>
        <v/>
      </c>
    </row>
    <row r="828" customFormat="false" ht="15" hidden="false" customHeight="true" outlineLevel="0" collapsed="false">
      <c r="A828" s="11" t="str">
        <f aca="false">IF(원본명단!$A827="","",825)</f>
        <v/>
      </c>
      <c r="B828" s="12" t="str">
        <f aca="false">IF($A828="","",원본명단!$A827)</f>
        <v/>
      </c>
      <c r="C828" s="12" t="str">
        <f aca="false">IF($A828="","",원본명단!$B827)</f>
        <v/>
      </c>
      <c r="D828" s="12" t="str">
        <f aca="false">IF($A828="","",원본명단!$D827)</f>
        <v/>
      </c>
      <c r="E828" s="11" t="str">
        <f aca="false">IF($A828="","",IF(원본명단!$H827="",0,COUNTIF(원본명단!$H$3:$H$6002,원본명단!$H827)))</f>
        <v/>
      </c>
      <c r="F828" s="11" t="str">
        <f aca="false">IF($A828="","",IF(원본명단!$I827="",0,COUNTIF(원본명단!$I$3:$I$6002,원본명단!$I827)))</f>
        <v/>
      </c>
      <c r="G828" s="11" t="str">
        <f aca="false">IF($A828="","",IF(원본명단!$K827="",0,COUNTIF(원본명단!$K$3:$K$6002,원본명단!$K827)))</f>
        <v/>
      </c>
      <c r="H828" s="11" t="str">
        <f aca="false">IF($A828="","",IF(MAX($E828,$F828,$G828)&gt;1,"중복","-"))</f>
        <v/>
      </c>
      <c r="I828" s="11" t="str">
        <f aca="false">IF($A828="","",IF($H828="-","-",IF(AND(IF(원본명단!$H827="",TRUE(),COUNTIF(원본명단!$H$3:$H827,원본명단!$H827)=1),IF(원본명단!$I827="",TRUE(),COUNTIF(원본명단!$I$3:$I827,원본명단!$I827)=1),IF(원본명단!$K827="",TRUE(),COUNTIF(원본명단!$K$3:$K827,원본명단!$K827)=1)),"첫 건","중복 건")))</f>
        <v/>
      </c>
      <c r="J828" s="11" t="str">
        <f aca="false">IF($A828="","",IF($H828="-","유지",IF($I828="첫 건","유지","확인 필요")))</f>
        <v/>
      </c>
    </row>
    <row r="829" customFormat="false" ht="15" hidden="false" customHeight="true" outlineLevel="0" collapsed="false">
      <c r="A829" s="11" t="str">
        <f aca="false">IF(원본명단!$A828="","",826)</f>
        <v/>
      </c>
      <c r="B829" s="12" t="str">
        <f aca="false">IF($A829="","",원본명단!$A828)</f>
        <v/>
      </c>
      <c r="C829" s="12" t="str">
        <f aca="false">IF($A829="","",원본명단!$B828)</f>
        <v/>
      </c>
      <c r="D829" s="12" t="str">
        <f aca="false">IF($A829="","",원본명단!$D828)</f>
        <v/>
      </c>
      <c r="E829" s="11" t="str">
        <f aca="false">IF($A829="","",IF(원본명단!$H828="",0,COUNTIF(원본명단!$H$3:$H$6002,원본명단!$H828)))</f>
        <v/>
      </c>
      <c r="F829" s="11" t="str">
        <f aca="false">IF($A829="","",IF(원본명단!$I828="",0,COUNTIF(원본명단!$I$3:$I$6002,원본명단!$I828)))</f>
        <v/>
      </c>
      <c r="G829" s="11" t="str">
        <f aca="false">IF($A829="","",IF(원본명단!$K828="",0,COUNTIF(원본명단!$K$3:$K$6002,원본명단!$K828)))</f>
        <v/>
      </c>
      <c r="H829" s="11" t="str">
        <f aca="false">IF($A829="","",IF(MAX($E829,$F829,$G829)&gt;1,"중복","-"))</f>
        <v/>
      </c>
      <c r="I829" s="11" t="str">
        <f aca="false">IF($A829="","",IF($H829="-","-",IF(AND(IF(원본명단!$H828="",TRUE(),COUNTIF(원본명단!$H$3:$H828,원본명단!$H828)=1),IF(원본명단!$I828="",TRUE(),COUNTIF(원본명단!$I$3:$I828,원본명단!$I828)=1),IF(원본명단!$K828="",TRUE(),COUNTIF(원본명단!$K$3:$K828,원본명단!$K828)=1)),"첫 건","중복 건")))</f>
        <v/>
      </c>
      <c r="J829" s="11" t="str">
        <f aca="false">IF($A829="","",IF($H829="-","유지",IF($I829="첫 건","유지","확인 필요")))</f>
        <v/>
      </c>
    </row>
    <row r="830" customFormat="false" ht="15" hidden="false" customHeight="true" outlineLevel="0" collapsed="false">
      <c r="A830" s="11" t="str">
        <f aca="false">IF(원본명단!$A829="","",827)</f>
        <v/>
      </c>
      <c r="B830" s="12" t="str">
        <f aca="false">IF($A830="","",원본명단!$A829)</f>
        <v/>
      </c>
      <c r="C830" s="12" t="str">
        <f aca="false">IF($A830="","",원본명단!$B829)</f>
        <v/>
      </c>
      <c r="D830" s="12" t="str">
        <f aca="false">IF($A830="","",원본명단!$D829)</f>
        <v/>
      </c>
      <c r="E830" s="11" t="str">
        <f aca="false">IF($A830="","",IF(원본명단!$H829="",0,COUNTIF(원본명단!$H$3:$H$6002,원본명단!$H829)))</f>
        <v/>
      </c>
      <c r="F830" s="11" t="str">
        <f aca="false">IF($A830="","",IF(원본명단!$I829="",0,COUNTIF(원본명단!$I$3:$I$6002,원본명단!$I829)))</f>
        <v/>
      </c>
      <c r="G830" s="11" t="str">
        <f aca="false">IF($A830="","",IF(원본명단!$K829="",0,COUNTIF(원본명단!$K$3:$K$6002,원본명단!$K829)))</f>
        <v/>
      </c>
      <c r="H830" s="11" t="str">
        <f aca="false">IF($A830="","",IF(MAX($E830,$F830,$G830)&gt;1,"중복","-"))</f>
        <v/>
      </c>
      <c r="I830" s="11" t="str">
        <f aca="false">IF($A830="","",IF($H830="-","-",IF(AND(IF(원본명단!$H829="",TRUE(),COUNTIF(원본명단!$H$3:$H829,원본명단!$H829)=1),IF(원본명단!$I829="",TRUE(),COUNTIF(원본명단!$I$3:$I829,원본명단!$I829)=1),IF(원본명단!$K829="",TRUE(),COUNTIF(원본명단!$K$3:$K829,원본명단!$K829)=1)),"첫 건","중복 건")))</f>
        <v/>
      </c>
      <c r="J830" s="11" t="str">
        <f aca="false">IF($A830="","",IF($H830="-","유지",IF($I830="첫 건","유지","확인 필요")))</f>
        <v/>
      </c>
    </row>
    <row r="831" customFormat="false" ht="15" hidden="false" customHeight="true" outlineLevel="0" collapsed="false">
      <c r="A831" s="11" t="str">
        <f aca="false">IF(원본명단!$A830="","",828)</f>
        <v/>
      </c>
      <c r="B831" s="12" t="str">
        <f aca="false">IF($A831="","",원본명단!$A830)</f>
        <v/>
      </c>
      <c r="C831" s="12" t="str">
        <f aca="false">IF($A831="","",원본명단!$B830)</f>
        <v/>
      </c>
      <c r="D831" s="12" t="str">
        <f aca="false">IF($A831="","",원본명단!$D830)</f>
        <v/>
      </c>
      <c r="E831" s="11" t="str">
        <f aca="false">IF($A831="","",IF(원본명단!$H830="",0,COUNTIF(원본명단!$H$3:$H$6002,원본명단!$H830)))</f>
        <v/>
      </c>
      <c r="F831" s="11" t="str">
        <f aca="false">IF($A831="","",IF(원본명단!$I830="",0,COUNTIF(원본명단!$I$3:$I$6002,원본명단!$I830)))</f>
        <v/>
      </c>
      <c r="G831" s="11" t="str">
        <f aca="false">IF($A831="","",IF(원본명단!$K830="",0,COUNTIF(원본명단!$K$3:$K$6002,원본명단!$K830)))</f>
        <v/>
      </c>
      <c r="H831" s="11" t="str">
        <f aca="false">IF($A831="","",IF(MAX($E831,$F831,$G831)&gt;1,"중복","-"))</f>
        <v/>
      </c>
      <c r="I831" s="11" t="str">
        <f aca="false">IF($A831="","",IF($H831="-","-",IF(AND(IF(원본명단!$H830="",TRUE(),COUNTIF(원본명단!$H$3:$H830,원본명단!$H830)=1),IF(원본명단!$I830="",TRUE(),COUNTIF(원본명단!$I$3:$I830,원본명단!$I830)=1),IF(원본명단!$K830="",TRUE(),COUNTIF(원본명단!$K$3:$K830,원본명단!$K830)=1)),"첫 건","중복 건")))</f>
        <v/>
      </c>
      <c r="J831" s="11" t="str">
        <f aca="false">IF($A831="","",IF($H831="-","유지",IF($I831="첫 건","유지","확인 필요")))</f>
        <v/>
      </c>
    </row>
    <row r="832" customFormat="false" ht="15" hidden="false" customHeight="true" outlineLevel="0" collapsed="false">
      <c r="A832" s="11" t="str">
        <f aca="false">IF(원본명단!$A831="","",829)</f>
        <v/>
      </c>
      <c r="B832" s="12" t="str">
        <f aca="false">IF($A832="","",원본명단!$A831)</f>
        <v/>
      </c>
      <c r="C832" s="12" t="str">
        <f aca="false">IF($A832="","",원본명단!$B831)</f>
        <v/>
      </c>
      <c r="D832" s="12" t="str">
        <f aca="false">IF($A832="","",원본명단!$D831)</f>
        <v/>
      </c>
      <c r="E832" s="11" t="str">
        <f aca="false">IF($A832="","",IF(원본명단!$H831="",0,COUNTIF(원본명단!$H$3:$H$6002,원본명단!$H831)))</f>
        <v/>
      </c>
      <c r="F832" s="11" t="str">
        <f aca="false">IF($A832="","",IF(원본명단!$I831="",0,COUNTIF(원본명단!$I$3:$I$6002,원본명단!$I831)))</f>
        <v/>
      </c>
      <c r="G832" s="11" t="str">
        <f aca="false">IF($A832="","",IF(원본명단!$K831="",0,COUNTIF(원본명단!$K$3:$K$6002,원본명단!$K831)))</f>
        <v/>
      </c>
      <c r="H832" s="11" t="str">
        <f aca="false">IF($A832="","",IF(MAX($E832,$F832,$G832)&gt;1,"중복","-"))</f>
        <v/>
      </c>
      <c r="I832" s="11" t="str">
        <f aca="false">IF($A832="","",IF($H832="-","-",IF(AND(IF(원본명단!$H831="",TRUE(),COUNTIF(원본명단!$H$3:$H831,원본명단!$H831)=1),IF(원본명단!$I831="",TRUE(),COUNTIF(원본명단!$I$3:$I831,원본명단!$I831)=1),IF(원본명단!$K831="",TRUE(),COUNTIF(원본명단!$K$3:$K831,원본명단!$K831)=1)),"첫 건","중복 건")))</f>
        <v/>
      </c>
      <c r="J832" s="11" t="str">
        <f aca="false">IF($A832="","",IF($H832="-","유지",IF($I832="첫 건","유지","확인 필요")))</f>
        <v/>
      </c>
    </row>
    <row r="833" customFormat="false" ht="15" hidden="false" customHeight="true" outlineLevel="0" collapsed="false">
      <c r="A833" s="11" t="str">
        <f aca="false">IF(원본명단!$A832="","",830)</f>
        <v/>
      </c>
      <c r="B833" s="12" t="str">
        <f aca="false">IF($A833="","",원본명단!$A832)</f>
        <v/>
      </c>
      <c r="C833" s="12" t="str">
        <f aca="false">IF($A833="","",원본명단!$B832)</f>
        <v/>
      </c>
      <c r="D833" s="12" t="str">
        <f aca="false">IF($A833="","",원본명단!$D832)</f>
        <v/>
      </c>
      <c r="E833" s="11" t="str">
        <f aca="false">IF($A833="","",IF(원본명단!$H832="",0,COUNTIF(원본명단!$H$3:$H$6002,원본명단!$H832)))</f>
        <v/>
      </c>
      <c r="F833" s="11" t="str">
        <f aca="false">IF($A833="","",IF(원본명단!$I832="",0,COUNTIF(원본명단!$I$3:$I$6002,원본명단!$I832)))</f>
        <v/>
      </c>
      <c r="G833" s="11" t="str">
        <f aca="false">IF($A833="","",IF(원본명단!$K832="",0,COUNTIF(원본명단!$K$3:$K$6002,원본명단!$K832)))</f>
        <v/>
      </c>
      <c r="H833" s="11" t="str">
        <f aca="false">IF($A833="","",IF(MAX($E833,$F833,$G833)&gt;1,"중복","-"))</f>
        <v/>
      </c>
      <c r="I833" s="11" t="str">
        <f aca="false">IF($A833="","",IF($H833="-","-",IF(AND(IF(원본명단!$H832="",TRUE(),COUNTIF(원본명단!$H$3:$H832,원본명단!$H832)=1),IF(원본명단!$I832="",TRUE(),COUNTIF(원본명단!$I$3:$I832,원본명단!$I832)=1),IF(원본명단!$K832="",TRUE(),COUNTIF(원본명단!$K$3:$K832,원본명단!$K832)=1)),"첫 건","중복 건")))</f>
        <v/>
      </c>
      <c r="J833" s="11" t="str">
        <f aca="false">IF($A833="","",IF($H833="-","유지",IF($I833="첫 건","유지","확인 필요")))</f>
        <v/>
      </c>
    </row>
    <row r="834" customFormat="false" ht="15" hidden="false" customHeight="true" outlineLevel="0" collapsed="false">
      <c r="A834" s="11" t="str">
        <f aca="false">IF(원본명단!$A833="","",831)</f>
        <v/>
      </c>
      <c r="B834" s="12" t="str">
        <f aca="false">IF($A834="","",원본명단!$A833)</f>
        <v/>
      </c>
      <c r="C834" s="12" t="str">
        <f aca="false">IF($A834="","",원본명단!$B833)</f>
        <v/>
      </c>
      <c r="D834" s="12" t="str">
        <f aca="false">IF($A834="","",원본명단!$D833)</f>
        <v/>
      </c>
      <c r="E834" s="11" t="str">
        <f aca="false">IF($A834="","",IF(원본명단!$H833="",0,COUNTIF(원본명단!$H$3:$H$6002,원본명단!$H833)))</f>
        <v/>
      </c>
      <c r="F834" s="11" t="str">
        <f aca="false">IF($A834="","",IF(원본명단!$I833="",0,COUNTIF(원본명단!$I$3:$I$6002,원본명단!$I833)))</f>
        <v/>
      </c>
      <c r="G834" s="11" t="str">
        <f aca="false">IF($A834="","",IF(원본명단!$K833="",0,COUNTIF(원본명단!$K$3:$K$6002,원본명단!$K833)))</f>
        <v/>
      </c>
      <c r="H834" s="11" t="str">
        <f aca="false">IF($A834="","",IF(MAX($E834,$F834,$G834)&gt;1,"중복","-"))</f>
        <v/>
      </c>
      <c r="I834" s="11" t="str">
        <f aca="false">IF($A834="","",IF($H834="-","-",IF(AND(IF(원본명단!$H833="",TRUE(),COUNTIF(원본명단!$H$3:$H833,원본명단!$H833)=1),IF(원본명단!$I833="",TRUE(),COUNTIF(원본명단!$I$3:$I833,원본명단!$I833)=1),IF(원본명단!$K833="",TRUE(),COUNTIF(원본명단!$K$3:$K833,원본명단!$K833)=1)),"첫 건","중복 건")))</f>
        <v/>
      </c>
      <c r="J834" s="11" t="str">
        <f aca="false">IF($A834="","",IF($H834="-","유지",IF($I834="첫 건","유지","확인 필요")))</f>
        <v/>
      </c>
    </row>
    <row r="835" customFormat="false" ht="15" hidden="false" customHeight="true" outlineLevel="0" collapsed="false">
      <c r="A835" s="11" t="str">
        <f aca="false">IF(원본명단!$A834="","",832)</f>
        <v/>
      </c>
      <c r="B835" s="12" t="str">
        <f aca="false">IF($A835="","",원본명단!$A834)</f>
        <v/>
      </c>
      <c r="C835" s="12" t="str">
        <f aca="false">IF($A835="","",원본명단!$B834)</f>
        <v/>
      </c>
      <c r="D835" s="12" t="str">
        <f aca="false">IF($A835="","",원본명단!$D834)</f>
        <v/>
      </c>
      <c r="E835" s="11" t="str">
        <f aca="false">IF($A835="","",IF(원본명단!$H834="",0,COUNTIF(원본명단!$H$3:$H$6002,원본명단!$H834)))</f>
        <v/>
      </c>
      <c r="F835" s="11" t="str">
        <f aca="false">IF($A835="","",IF(원본명단!$I834="",0,COUNTIF(원본명단!$I$3:$I$6002,원본명단!$I834)))</f>
        <v/>
      </c>
      <c r="G835" s="11" t="str">
        <f aca="false">IF($A835="","",IF(원본명단!$K834="",0,COUNTIF(원본명단!$K$3:$K$6002,원본명단!$K834)))</f>
        <v/>
      </c>
      <c r="H835" s="11" t="str">
        <f aca="false">IF($A835="","",IF(MAX($E835,$F835,$G835)&gt;1,"중복","-"))</f>
        <v/>
      </c>
      <c r="I835" s="11" t="str">
        <f aca="false">IF($A835="","",IF($H835="-","-",IF(AND(IF(원본명단!$H834="",TRUE(),COUNTIF(원본명단!$H$3:$H834,원본명단!$H834)=1),IF(원본명단!$I834="",TRUE(),COUNTIF(원본명단!$I$3:$I834,원본명단!$I834)=1),IF(원본명단!$K834="",TRUE(),COUNTIF(원본명단!$K$3:$K834,원본명단!$K834)=1)),"첫 건","중복 건")))</f>
        <v/>
      </c>
      <c r="J835" s="11" t="str">
        <f aca="false">IF($A835="","",IF($H835="-","유지",IF($I835="첫 건","유지","확인 필요")))</f>
        <v/>
      </c>
    </row>
    <row r="836" customFormat="false" ht="15" hidden="false" customHeight="true" outlineLevel="0" collapsed="false">
      <c r="A836" s="11" t="str">
        <f aca="false">IF(원본명단!$A835="","",833)</f>
        <v/>
      </c>
      <c r="B836" s="12" t="str">
        <f aca="false">IF($A836="","",원본명단!$A835)</f>
        <v/>
      </c>
      <c r="C836" s="12" t="str">
        <f aca="false">IF($A836="","",원본명단!$B835)</f>
        <v/>
      </c>
      <c r="D836" s="12" t="str">
        <f aca="false">IF($A836="","",원본명단!$D835)</f>
        <v/>
      </c>
      <c r="E836" s="11" t="str">
        <f aca="false">IF($A836="","",IF(원본명단!$H835="",0,COUNTIF(원본명단!$H$3:$H$6002,원본명단!$H835)))</f>
        <v/>
      </c>
      <c r="F836" s="11" t="str">
        <f aca="false">IF($A836="","",IF(원본명단!$I835="",0,COUNTIF(원본명단!$I$3:$I$6002,원본명단!$I835)))</f>
        <v/>
      </c>
      <c r="G836" s="11" t="str">
        <f aca="false">IF($A836="","",IF(원본명단!$K835="",0,COUNTIF(원본명단!$K$3:$K$6002,원본명단!$K835)))</f>
        <v/>
      </c>
      <c r="H836" s="11" t="str">
        <f aca="false">IF($A836="","",IF(MAX($E836,$F836,$G836)&gt;1,"중복","-"))</f>
        <v/>
      </c>
      <c r="I836" s="11" t="str">
        <f aca="false">IF($A836="","",IF($H836="-","-",IF(AND(IF(원본명단!$H835="",TRUE(),COUNTIF(원본명단!$H$3:$H835,원본명단!$H835)=1),IF(원본명단!$I835="",TRUE(),COUNTIF(원본명단!$I$3:$I835,원본명단!$I835)=1),IF(원본명단!$K835="",TRUE(),COUNTIF(원본명단!$K$3:$K835,원본명단!$K835)=1)),"첫 건","중복 건")))</f>
        <v/>
      </c>
      <c r="J836" s="11" t="str">
        <f aca="false">IF($A836="","",IF($H836="-","유지",IF($I836="첫 건","유지","확인 필요")))</f>
        <v/>
      </c>
    </row>
    <row r="837" customFormat="false" ht="15" hidden="false" customHeight="true" outlineLevel="0" collapsed="false">
      <c r="A837" s="11" t="str">
        <f aca="false">IF(원본명단!$A836="","",834)</f>
        <v/>
      </c>
      <c r="B837" s="12" t="str">
        <f aca="false">IF($A837="","",원본명단!$A836)</f>
        <v/>
      </c>
      <c r="C837" s="12" t="str">
        <f aca="false">IF($A837="","",원본명단!$B836)</f>
        <v/>
      </c>
      <c r="D837" s="12" t="str">
        <f aca="false">IF($A837="","",원본명단!$D836)</f>
        <v/>
      </c>
      <c r="E837" s="11" t="str">
        <f aca="false">IF($A837="","",IF(원본명단!$H836="",0,COUNTIF(원본명단!$H$3:$H$6002,원본명단!$H836)))</f>
        <v/>
      </c>
      <c r="F837" s="11" t="str">
        <f aca="false">IF($A837="","",IF(원본명단!$I836="",0,COUNTIF(원본명단!$I$3:$I$6002,원본명단!$I836)))</f>
        <v/>
      </c>
      <c r="G837" s="11" t="str">
        <f aca="false">IF($A837="","",IF(원본명단!$K836="",0,COUNTIF(원본명단!$K$3:$K$6002,원본명단!$K836)))</f>
        <v/>
      </c>
      <c r="H837" s="11" t="str">
        <f aca="false">IF($A837="","",IF(MAX($E837,$F837,$G837)&gt;1,"중복","-"))</f>
        <v/>
      </c>
      <c r="I837" s="11" t="str">
        <f aca="false">IF($A837="","",IF($H837="-","-",IF(AND(IF(원본명단!$H836="",TRUE(),COUNTIF(원본명단!$H$3:$H836,원본명단!$H836)=1),IF(원본명단!$I836="",TRUE(),COUNTIF(원본명단!$I$3:$I836,원본명단!$I836)=1),IF(원본명단!$K836="",TRUE(),COUNTIF(원본명단!$K$3:$K836,원본명단!$K836)=1)),"첫 건","중복 건")))</f>
        <v/>
      </c>
      <c r="J837" s="11" t="str">
        <f aca="false">IF($A837="","",IF($H837="-","유지",IF($I837="첫 건","유지","확인 필요")))</f>
        <v/>
      </c>
    </row>
    <row r="838" customFormat="false" ht="15" hidden="false" customHeight="true" outlineLevel="0" collapsed="false">
      <c r="A838" s="11" t="str">
        <f aca="false">IF(원본명단!$A837="","",835)</f>
        <v/>
      </c>
      <c r="B838" s="12" t="str">
        <f aca="false">IF($A838="","",원본명단!$A837)</f>
        <v/>
      </c>
      <c r="C838" s="12" t="str">
        <f aca="false">IF($A838="","",원본명단!$B837)</f>
        <v/>
      </c>
      <c r="D838" s="12" t="str">
        <f aca="false">IF($A838="","",원본명단!$D837)</f>
        <v/>
      </c>
      <c r="E838" s="11" t="str">
        <f aca="false">IF($A838="","",IF(원본명단!$H837="",0,COUNTIF(원본명단!$H$3:$H$6002,원본명단!$H837)))</f>
        <v/>
      </c>
      <c r="F838" s="11" t="str">
        <f aca="false">IF($A838="","",IF(원본명단!$I837="",0,COUNTIF(원본명단!$I$3:$I$6002,원본명단!$I837)))</f>
        <v/>
      </c>
      <c r="G838" s="11" t="str">
        <f aca="false">IF($A838="","",IF(원본명단!$K837="",0,COUNTIF(원본명단!$K$3:$K$6002,원본명단!$K837)))</f>
        <v/>
      </c>
      <c r="H838" s="11" t="str">
        <f aca="false">IF($A838="","",IF(MAX($E838,$F838,$G838)&gt;1,"중복","-"))</f>
        <v/>
      </c>
      <c r="I838" s="11" t="str">
        <f aca="false">IF($A838="","",IF($H838="-","-",IF(AND(IF(원본명단!$H837="",TRUE(),COUNTIF(원본명단!$H$3:$H837,원본명단!$H837)=1),IF(원본명단!$I837="",TRUE(),COUNTIF(원본명단!$I$3:$I837,원본명단!$I837)=1),IF(원본명단!$K837="",TRUE(),COUNTIF(원본명단!$K$3:$K837,원본명단!$K837)=1)),"첫 건","중복 건")))</f>
        <v/>
      </c>
      <c r="J838" s="11" t="str">
        <f aca="false">IF($A838="","",IF($H838="-","유지",IF($I838="첫 건","유지","확인 필요")))</f>
        <v/>
      </c>
    </row>
    <row r="839" customFormat="false" ht="15" hidden="false" customHeight="true" outlineLevel="0" collapsed="false">
      <c r="A839" s="11" t="str">
        <f aca="false">IF(원본명단!$A838="","",836)</f>
        <v/>
      </c>
      <c r="B839" s="12" t="str">
        <f aca="false">IF($A839="","",원본명단!$A838)</f>
        <v/>
      </c>
      <c r="C839" s="12" t="str">
        <f aca="false">IF($A839="","",원본명단!$B838)</f>
        <v/>
      </c>
      <c r="D839" s="12" t="str">
        <f aca="false">IF($A839="","",원본명단!$D838)</f>
        <v/>
      </c>
      <c r="E839" s="11" t="str">
        <f aca="false">IF($A839="","",IF(원본명단!$H838="",0,COUNTIF(원본명단!$H$3:$H$6002,원본명단!$H838)))</f>
        <v/>
      </c>
      <c r="F839" s="11" t="str">
        <f aca="false">IF($A839="","",IF(원본명단!$I838="",0,COUNTIF(원본명단!$I$3:$I$6002,원본명단!$I838)))</f>
        <v/>
      </c>
      <c r="G839" s="11" t="str">
        <f aca="false">IF($A839="","",IF(원본명단!$K838="",0,COUNTIF(원본명단!$K$3:$K$6002,원본명단!$K838)))</f>
        <v/>
      </c>
      <c r="H839" s="11" t="str">
        <f aca="false">IF($A839="","",IF(MAX($E839,$F839,$G839)&gt;1,"중복","-"))</f>
        <v/>
      </c>
      <c r="I839" s="11" t="str">
        <f aca="false">IF($A839="","",IF($H839="-","-",IF(AND(IF(원본명단!$H838="",TRUE(),COUNTIF(원본명단!$H$3:$H838,원본명단!$H838)=1),IF(원본명단!$I838="",TRUE(),COUNTIF(원본명단!$I$3:$I838,원본명단!$I838)=1),IF(원본명단!$K838="",TRUE(),COUNTIF(원본명단!$K$3:$K838,원본명단!$K838)=1)),"첫 건","중복 건")))</f>
        <v/>
      </c>
      <c r="J839" s="11" t="str">
        <f aca="false">IF($A839="","",IF($H839="-","유지",IF($I839="첫 건","유지","확인 필요")))</f>
        <v/>
      </c>
    </row>
    <row r="840" customFormat="false" ht="15" hidden="false" customHeight="true" outlineLevel="0" collapsed="false">
      <c r="A840" s="11" t="str">
        <f aca="false">IF(원본명단!$A839="","",837)</f>
        <v/>
      </c>
      <c r="B840" s="12" t="str">
        <f aca="false">IF($A840="","",원본명단!$A839)</f>
        <v/>
      </c>
      <c r="C840" s="12" t="str">
        <f aca="false">IF($A840="","",원본명단!$B839)</f>
        <v/>
      </c>
      <c r="D840" s="12" t="str">
        <f aca="false">IF($A840="","",원본명단!$D839)</f>
        <v/>
      </c>
      <c r="E840" s="11" t="str">
        <f aca="false">IF($A840="","",IF(원본명단!$H839="",0,COUNTIF(원본명단!$H$3:$H$6002,원본명단!$H839)))</f>
        <v/>
      </c>
      <c r="F840" s="11" t="str">
        <f aca="false">IF($A840="","",IF(원본명단!$I839="",0,COUNTIF(원본명단!$I$3:$I$6002,원본명단!$I839)))</f>
        <v/>
      </c>
      <c r="G840" s="11" t="str">
        <f aca="false">IF($A840="","",IF(원본명단!$K839="",0,COUNTIF(원본명단!$K$3:$K$6002,원본명단!$K839)))</f>
        <v/>
      </c>
      <c r="H840" s="11" t="str">
        <f aca="false">IF($A840="","",IF(MAX($E840,$F840,$G840)&gt;1,"중복","-"))</f>
        <v/>
      </c>
      <c r="I840" s="11" t="str">
        <f aca="false">IF($A840="","",IF($H840="-","-",IF(AND(IF(원본명단!$H839="",TRUE(),COUNTIF(원본명단!$H$3:$H839,원본명단!$H839)=1),IF(원본명단!$I839="",TRUE(),COUNTIF(원본명단!$I$3:$I839,원본명단!$I839)=1),IF(원본명단!$K839="",TRUE(),COUNTIF(원본명단!$K$3:$K839,원본명단!$K839)=1)),"첫 건","중복 건")))</f>
        <v/>
      </c>
      <c r="J840" s="11" t="str">
        <f aca="false">IF($A840="","",IF($H840="-","유지",IF($I840="첫 건","유지","확인 필요")))</f>
        <v/>
      </c>
    </row>
    <row r="841" customFormat="false" ht="15" hidden="false" customHeight="true" outlineLevel="0" collapsed="false">
      <c r="A841" s="11" t="str">
        <f aca="false">IF(원본명단!$A840="","",838)</f>
        <v/>
      </c>
      <c r="B841" s="12" t="str">
        <f aca="false">IF($A841="","",원본명단!$A840)</f>
        <v/>
      </c>
      <c r="C841" s="12" t="str">
        <f aca="false">IF($A841="","",원본명단!$B840)</f>
        <v/>
      </c>
      <c r="D841" s="12" t="str">
        <f aca="false">IF($A841="","",원본명단!$D840)</f>
        <v/>
      </c>
      <c r="E841" s="11" t="str">
        <f aca="false">IF($A841="","",IF(원본명단!$H840="",0,COUNTIF(원본명단!$H$3:$H$6002,원본명단!$H840)))</f>
        <v/>
      </c>
      <c r="F841" s="11" t="str">
        <f aca="false">IF($A841="","",IF(원본명단!$I840="",0,COUNTIF(원본명단!$I$3:$I$6002,원본명단!$I840)))</f>
        <v/>
      </c>
      <c r="G841" s="11" t="str">
        <f aca="false">IF($A841="","",IF(원본명단!$K840="",0,COUNTIF(원본명단!$K$3:$K$6002,원본명단!$K840)))</f>
        <v/>
      </c>
      <c r="H841" s="11" t="str">
        <f aca="false">IF($A841="","",IF(MAX($E841,$F841,$G841)&gt;1,"중복","-"))</f>
        <v/>
      </c>
      <c r="I841" s="11" t="str">
        <f aca="false">IF($A841="","",IF($H841="-","-",IF(AND(IF(원본명단!$H840="",TRUE(),COUNTIF(원본명단!$H$3:$H840,원본명단!$H840)=1),IF(원본명단!$I840="",TRUE(),COUNTIF(원본명단!$I$3:$I840,원본명단!$I840)=1),IF(원본명단!$K840="",TRUE(),COUNTIF(원본명단!$K$3:$K840,원본명단!$K840)=1)),"첫 건","중복 건")))</f>
        <v/>
      </c>
      <c r="J841" s="11" t="str">
        <f aca="false">IF($A841="","",IF($H841="-","유지",IF($I841="첫 건","유지","확인 필요")))</f>
        <v/>
      </c>
    </row>
    <row r="842" customFormat="false" ht="15" hidden="false" customHeight="true" outlineLevel="0" collapsed="false">
      <c r="A842" s="11" t="str">
        <f aca="false">IF(원본명단!$A841="","",839)</f>
        <v/>
      </c>
      <c r="B842" s="12" t="str">
        <f aca="false">IF($A842="","",원본명단!$A841)</f>
        <v/>
      </c>
      <c r="C842" s="12" t="str">
        <f aca="false">IF($A842="","",원본명단!$B841)</f>
        <v/>
      </c>
      <c r="D842" s="12" t="str">
        <f aca="false">IF($A842="","",원본명단!$D841)</f>
        <v/>
      </c>
      <c r="E842" s="11" t="str">
        <f aca="false">IF($A842="","",IF(원본명단!$H841="",0,COUNTIF(원본명단!$H$3:$H$6002,원본명단!$H841)))</f>
        <v/>
      </c>
      <c r="F842" s="11" t="str">
        <f aca="false">IF($A842="","",IF(원본명단!$I841="",0,COUNTIF(원본명단!$I$3:$I$6002,원본명단!$I841)))</f>
        <v/>
      </c>
      <c r="G842" s="11" t="str">
        <f aca="false">IF($A842="","",IF(원본명단!$K841="",0,COUNTIF(원본명단!$K$3:$K$6002,원본명단!$K841)))</f>
        <v/>
      </c>
      <c r="H842" s="11" t="str">
        <f aca="false">IF($A842="","",IF(MAX($E842,$F842,$G842)&gt;1,"중복","-"))</f>
        <v/>
      </c>
      <c r="I842" s="11" t="str">
        <f aca="false">IF($A842="","",IF($H842="-","-",IF(AND(IF(원본명단!$H841="",TRUE(),COUNTIF(원본명단!$H$3:$H841,원본명단!$H841)=1),IF(원본명단!$I841="",TRUE(),COUNTIF(원본명단!$I$3:$I841,원본명단!$I841)=1),IF(원본명단!$K841="",TRUE(),COUNTIF(원본명단!$K$3:$K841,원본명단!$K841)=1)),"첫 건","중복 건")))</f>
        <v/>
      </c>
      <c r="J842" s="11" t="str">
        <f aca="false">IF($A842="","",IF($H842="-","유지",IF($I842="첫 건","유지","확인 필요")))</f>
        <v/>
      </c>
    </row>
    <row r="843" customFormat="false" ht="15" hidden="false" customHeight="true" outlineLevel="0" collapsed="false">
      <c r="A843" s="11" t="str">
        <f aca="false">IF(원본명단!$A842="","",840)</f>
        <v/>
      </c>
      <c r="B843" s="12" t="str">
        <f aca="false">IF($A843="","",원본명단!$A842)</f>
        <v/>
      </c>
      <c r="C843" s="12" t="str">
        <f aca="false">IF($A843="","",원본명단!$B842)</f>
        <v/>
      </c>
      <c r="D843" s="12" t="str">
        <f aca="false">IF($A843="","",원본명단!$D842)</f>
        <v/>
      </c>
      <c r="E843" s="11" t="str">
        <f aca="false">IF($A843="","",IF(원본명단!$H842="",0,COUNTIF(원본명단!$H$3:$H$6002,원본명단!$H842)))</f>
        <v/>
      </c>
      <c r="F843" s="11" t="str">
        <f aca="false">IF($A843="","",IF(원본명단!$I842="",0,COUNTIF(원본명단!$I$3:$I$6002,원본명단!$I842)))</f>
        <v/>
      </c>
      <c r="G843" s="11" t="str">
        <f aca="false">IF($A843="","",IF(원본명단!$K842="",0,COUNTIF(원본명단!$K$3:$K$6002,원본명단!$K842)))</f>
        <v/>
      </c>
      <c r="H843" s="11" t="str">
        <f aca="false">IF($A843="","",IF(MAX($E843,$F843,$G843)&gt;1,"중복","-"))</f>
        <v/>
      </c>
      <c r="I843" s="11" t="str">
        <f aca="false">IF($A843="","",IF($H843="-","-",IF(AND(IF(원본명단!$H842="",TRUE(),COUNTIF(원본명단!$H$3:$H842,원본명단!$H842)=1),IF(원본명단!$I842="",TRUE(),COUNTIF(원본명단!$I$3:$I842,원본명단!$I842)=1),IF(원본명단!$K842="",TRUE(),COUNTIF(원본명단!$K$3:$K842,원본명단!$K842)=1)),"첫 건","중복 건")))</f>
        <v/>
      </c>
      <c r="J843" s="11" t="str">
        <f aca="false">IF($A843="","",IF($H843="-","유지",IF($I843="첫 건","유지","확인 필요")))</f>
        <v/>
      </c>
    </row>
    <row r="844" customFormat="false" ht="15" hidden="false" customHeight="true" outlineLevel="0" collapsed="false">
      <c r="A844" s="11" t="str">
        <f aca="false">IF(원본명단!$A843="","",841)</f>
        <v/>
      </c>
      <c r="B844" s="12" t="str">
        <f aca="false">IF($A844="","",원본명단!$A843)</f>
        <v/>
      </c>
      <c r="C844" s="12" t="str">
        <f aca="false">IF($A844="","",원본명단!$B843)</f>
        <v/>
      </c>
      <c r="D844" s="12" t="str">
        <f aca="false">IF($A844="","",원본명단!$D843)</f>
        <v/>
      </c>
      <c r="E844" s="11" t="str">
        <f aca="false">IF($A844="","",IF(원본명단!$H843="",0,COUNTIF(원본명단!$H$3:$H$6002,원본명단!$H843)))</f>
        <v/>
      </c>
      <c r="F844" s="11" t="str">
        <f aca="false">IF($A844="","",IF(원본명단!$I843="",0,COUNTIF(원본명단!$I$3:$I$6002,원본명단!$I843)))</f>
        <v/>
      </c>
      <c r="G844" s="11" t="str">
        <f aca="false">IF($A844="","",IF(원본명단!$K843="",0,COUNTIF(원본명단!$K$3:$K$6002,원본명단!$K843)))</f>
        <v/>
      </c>
      <c r="H844" s="11" t="str">
        <f aca="false">IF($A844="","",IF(MAX($E844,$F844,$G844)&gt;1,"중복","-"))</f>
        <v/>
      </c>
      <c r="I844" s="11" t="str">
        <f aca="false">IF($A844="","",IF($H844="-","-",IF(AND(IF(원본명단!$H843="",TRUE(),COUNTIF(원본명단!$H$3:$H843,원본명단!$H843)=1),IF(원본명단!$I843="",TRUE(),COUNTIF(원본명단!$I$3:$I843,원본명단!$I843)=1),IF(원본명단!$K843="",TRUE(),COUNTIF(원본명단!$K$3:$K843,원본명단!$K843)=1)),"첫 건","중복 건")))</f>
        <v/>
      </c>
      <c r="J844" s="11" t="str">
        <f aca="false">IF($A844="","",IF($H844="-","유지",IF($I844="첫 건","유지","확인 필요")))</f>
        <v/>
      </c>
    </row>
    <row r="845" customFormat="false" ht="15" hidden="false" customHeight="true" outlineLevel="0" collapsed="false">
      <c r="A845" s="11" t="str">
        <f aca="false">IF(원본명단!$A844="","",842)</f>
        <v/>
      </c>
      <c r="B845" s="12" t="str">
        <f aca="false">IF($A845="","",원본명단!$A844)</f>
        <v/>
      </c>
      <c r="C845" s="12" t="str">
        <f aca="false">IF($A845="","",원본명단!$B844)</f>
        <v/>
      </c>
      <c r="D845" s="12" t="str">
        <f aca="false">IF($A845="","",원본명단!$D844)</f>
        <v/>
      </c>
      <c r="E845" s="11" t="str">
        <f aca="false">IF($A845="","",IF(원본명단!$H844="",0,COUNTIF(원본명단!$H$3:$H$6002,원본명단!$H844)))</f>
        <v/>
      </c>
      <c r="F845" s="11" t="str">
        <f aca="false">IF($A845="","",IF(원본명단!$I844="",0,COUNTIF(원본명단!$I$3:$I$6002,원본명단!$I844)))</f>
        <v/>
      </c>
      <c r="G845" s="11" t="str">
        <f aca="false">IF($A845="","",IF(원본명단!$K844="",0,COUNTIF(원본명단!$K$3:$K$6002,원본명단!$K844)))</f>
        <v/>
      </c>
      <c r="H845" s="11" t="str">
        <f aca="false">IF($A845="","",IF(MAX($E845,$F845,$G845)&gt;1,"중복","-"))</f>
        <v/>
      </c>
      <c r="I845" s="11" t="str">
        <f aca="false">IF($A845="","",IF($H845="-","-",IF(AND(IF(원본명단!$H844="",TRUE(),COUNTIF(원본명단!$H$3:$H844,원본명단!$H844)=1),IF(원본명단!$I844="",TRUE(),COUNTIF(원본명단!$I$3:$I844,원본명단!$I844)=1),IF(원본명단!$K844="",TRUE(),COUNTIF(원본명단!$K$3:$K844,원본명단!$K844)=1)),"첫 건","중복 건")))</f>
        <v/>
      </c>
      <c r="J845" s="11" t="str">
        <f aca="false">IF($A845="","",IF($H845="-","유지",IF($I845="첫 건","유지","확인 필요")))</f>
        <v/>
      </c>
    </row>
    <row r="846" customFormat="false" ht="15" hidden="false" customHeight="true" outlineLevel="0" collapsed="false">
      <c r="A846" s="11" t="str">
        <f aca="false">IF(원본명단!$A845="","",843)</f>
        <v/>
      </c>
      <c r="B846" s="12" t="str">
        <f aca="false">IF($A846="","",원본명단!$A845)</f>
        <v/>
      </c>
      <c r="C846" s="12" t="str">
        <f aca="false">IF($A846="","",원본명단!$B845)</f>
        <v/>
      </c>
      <c r="D846" s="12" t="str">
        <f aca="false">IF($A846="","",원본명단!$D845)</f>
        <v/>
      </c>
      <c r="E846" s="11" t="str">
        <f aca="false">IF($A846="","",IF(원본명단!$H845="",0,COUNTIF(원본명단!$H$3:$H$6002,원본명단!$H845)))</f>
        <v/>
      </c>
      <c r="F846" s="11" t="str">
        <f aca="false">IF($A846="","",IF(원본명단!$I845="",0,COUNTIF(원본명단!$I$3:$I$6002,원본명단!$I845)))</f>
        <v/>
      </c>
      <c r="G846" s="11" t="str">
        <f aca="false">IF($A846="","",IF(원본명단!$K845="",0,COUNTIF(원본명단!$K$3:$K$6002,원본명단!$K845)))</f>
        <v/>
      </c>
      <c r="H846" s="11" t="str">
        <f aca="false">IF($A846="","",IF(MAX($E846,$F846,$G846)&gt;1,"중복","-"))</f>
        <v/>
      </c>
      <c r="I846" s="11" t="str">
        <f aca="false">IF($A846="","",IF($H846="-","-",IF(AND(IF(원본명단!$H845="",TRUE(),COUNTIF(원본명단!$H$3:$H845,원본명단!$H845)=1),IF(원본명단!$I845="",TRUE(),COUNTIF(원본명단!$I$3:$I845,원본명단!$I845)=1),IF(원본명단!$K845="",TRUE(),COUNTIF(원본명단!$K$3:$K845,원본명단!$K845)=1)),"첫 건","중복 건")))</f>
        <v/>
      </c>
      <c r="J846" s="11" t="str">
        <f aca="false">IF($A846="","",IF($H846="-","유지",IF($I846="첫 건","유지","확인 필요")))</f>
        <v/>
      </c>
    </row>
    <row r="847" customFormat="false" ht="15" hidden="false" customHeight="true" outlineLevel="0" collapsed="false">
      <c r="A847" s="11" t="str">
        <f aca="false">IF(원본명단!$A846="","",844)</f>
        <v/>
      </c>
      <c r="B847" s="12" t="str">
        <f aca="false">IF($A847="","",원본명단!$A846)</f>
        <v/>
      </c>
      <c r="C847" s="12" t="str">
        <f aca="false">IF($A847="","",원본명단!$B846)</f>
        <v/>
      </c>
      <c r="D847" s="12" t="str">
        <f aca="false">IF($A847="","",원본명단!$D846)</f>
        <v/>
      </c>
      <c r="E847" s="11" t="str">
        <f aca="false">IF($A847="","",IF(원본명단!$H846="",0,COUNTIF(원본명단!$H$3:$H$6002,원본명단!$H846)))</f>
        <v/>
      </c>
      <c r="F847" s="11" t="str">
        <f aca="false">IF($A847="","",IF(원본명단!$I846="",0,COUNTIF(원본명단!$I$3:$I$6002,원본명단!$I846)))</f>
        <v/>
      </c>
      <c r="G847" s="11" t="str">
        <f aca="false">IF($A847="","",IF(원본명단!$K846="",0,COUNTIF(원본명단!$K$3:$K$6002,원본명단!$K846)))</f>
        <v/>
      </c>
      <c r="H847" s="11" t="str">
        <f aca="false">IF($A847="","",IF(MAX($E847,$F847,$G847)&gt;1,"중복","-"))</f>
        <v/>
      </c>
      <c r="I847" s="11" t="str">
        <f aca="false">IF($A847="","",IF($H847="-","-",IF(AND(IF(원본명단!$H846="",TRUE(),COUNTIF(원본명단!$H$3:$H846,원본명단!$H846)=1),IF(원본명단!$I846="",TRUE(),COUNTIF(원본명단!$I$3:$I846,원본명단!$I846)=1),IF(원본명단!$K846="",TRUE(),COUNTIF(원본명단!$K$3:$K846,원본명단!$K846)=1)),"첫 건","중복 건")))</f>
        <v/>
      </c>
      <c r="J847" s="11" t="str">
        <f aca="false">IF($A847="","",IF($H847="-","유지",IF($I847="첫 건","유지","확인 필요")))</f>
        <v/>
      </c>
    </row>
    <row r="848" customFormat="false" ht="15" hidden="false" customHeight="true" outlineLevel="0" collapsed="false">
      <c r="A848" s="11" t="str">
        <f aca="false">IF(원본명단!$A847="","",845)</f>
        <v/>
      </c>
      <c r="B848" s="12" t="str">
        <f aca="false">IF($A848="","",원본명단!$A847)</f>
        <v/>
      </c>
      <c r="C848" s="12" t="str">
        <f aca="false">IF($A848="","",원본명단!$B847)</f>
        <v/>
      </c>
      <c r="D848" s="12" t="str">
        <f aca="false">IF($A848="","",원본명단!$D847)</f>
        <v/>
      </c>
      <c r="E848" s="11" t="str">
        <f aca="false">IF($A848="","",IF(원본명단!$H847="",0,COUNTIF(원본명단!$H$3:$H$6002,원본명단!$H847)))</f>
        <v/>
      </c>
      <c r="F848" s="11" t="str">
        <f aca="false">IF($A848="","",IF(원본명단!$I847="",0,COUNTIF(원본명단!$I$3:$I$6002,원본명단!$I847)))</f>
        <v/>
      </c>
      <c r="G848" s="11" t="str">
        <f aca="false">IF($A848="","",IF(원본명단!$K847="",0,COUNTIF(원본명단!$K$3:$K$6002,원본명단!$K847)))</f>
        <v/>
      </c>
      <c r="H848" s="11" t="str">
        <f aca="false">IF($A848="","",IF(MAX($E848,$F848,$G848)&gt;1,"중복","-"))</f>
        <v/>
      </c>
      <c r="I848" s="11" t="str">
        <f aca="false">IF($A848="","",IF($H848="-","-",IF(AND(IF(원본명단!$H847="",TRUE(),COUNTIF(원본명단!$H$3:$H847,원본명단!$H847)=1),IF(원본명단!$I847="",TRUE(),COUNTIF(원본명단!$I$3:$I847,원본명단!$I847)=1),IF(원본명단!$K847="",TRUE(),COUNTIF(원본명단!$K$3:$K847,원본명단!$K847)=1)),"첫 건","중복 건")))</f>
        <v/>
      </c>
      <c r="J848" s="11" t="str">
        <f aca="false">IF($A848="","",IF($H848="-","유지",IF($I848="첫 건","유지","확인 필요")))</f>
        <v/>
      </c>
    </row>
    <row r="849" customFormat="false" ht="15" hidden="false" customHeight="true" outlineLevel="0" collapsed="false">
      <c r="A849" s="11" t="str">
        <f aca="false">IF(원본명단!$A848="","",846)</f>
        <v/>
      </c>
      <c r="B849" s="12" t="str">
        <f aca="false">IF($A849="","",원본명단!$A848)</f>
        <v/>
      </c>
      <c r="C849" s="12" t="str">
        <f aca="false">IF($A849="","",원본명단!$B848)</f>
        <v/>
      </c>
      <c r="D849" s="12" t="str">
        <f aca="false">IF($A849="","",원본명단!$D848)</f>
        <v/>
      </c>
      <c r="E849" s="11" t="str">
        <f aca="false">IF($A849="","",IF(원본명단!$H848="",0,COUNTIF(원본명단!$H$3:$H$6002,원본명단!$H848)))</f>
        <v/>
      </c>
      <c r="F849" s="11" t="str">
        <f aca="false">IF($A849="","",IF(원본명단!$I848="",0,COUNTIF(원본명단!$I$3:$I$6002,원본명단!$I848)))</f>
        <v/>
      </c>
      <c r="G849" s="11" t="str">
        <f aca="false">IF($A849="","",IF(원본명단!$K848="",0,COUNTIF(원본명단!$K$3:$K$6002,원본명단!$K848)))</f>
        <v/>
      </c>
      <c r="H849" s="11" t="str">
        <f aca="false">IF($A849="","",IF(MAX($E849,$F849,$G849)&gt;1,"중복","-"))</f>
        <v/>
      </c>
      <c r="I849" s="11" t="str">
        <f aca="false">IF($A849="","",IF($H849="-","-",IF(AND(IF(원본명단!$H848="",TRUE(),COUNTIF(원본명단!$H$3:$H848,원본명단!$H848)=1),IF(원본명단!$I848="",TRUE(),COUNTIF(원본명단!$I$3:$I848,원본명단!$I848)=1),IF(원본명단!$K848="",TRUE(),COUNTIF(원본명단!$K$3:$K848,원본명단!$K848)=1)),"첫 건","중복 건")))</f>
        <v/>
      </c>
      <c r="J849" s="11" t="str">
        <f aca="false">IF($A849="","",IF($H849="-","유지",IF($I849="첫 건","유지","확인 필요")))</f>
        <v/>
      </c>
    </row>
    <row r="850" customFormat="false" ht="15" hidden="false" customHeight="true" outlineLevel="0" collapsed="false">
      <c r="A850" s="11" t="str">
        <f aca="false">IF(원본명단!$A849="","",847)</f>
        <v/>
      </c>
      <c r="B850" s="12" t="str">
        <f aca="false">IF($A850="","",원본명단!$A849)</f>
        <v/>
      </c>
      <c r="C850" s="12" t="str">
        <f aca="false">IF($A850="","",원본명단!$B849)</f>
        <v/>
      </c>
      <c r="D850" s="12" t="str">
        <f aca="false">IF($A850="","",원본명단!$D849)</f>
        <v/>
      </c>
      <c r="E850" s="11" t="str">
        <f aca="false">IF($A850="","",IF(원본명단!$H849="",0,COUNTIF(원본명단!$H$3:$H$6002,원본명단!$H849)))</f>
        <v/>
      </c>
      <c r="F850" s="11" t="str">
        <f aca="false">IF($A850="","",IF(원본명단!$I849="",0,COUNTIF(원본명단!$I$3:$I$6002,원본명단!$I849)))</f>
        <v/>
      </c>
      <c r="G850" s="11" t="str">
        <f aca="false">IF($A850="","",IF(원본명단!$K849="",0,COUNTIF(원본명단!$K$3:$K$6002,원본명단!$K849)))</f>
        <v/>
      </c>
      <c r="H850" s="11" t="str">
        <f aca="false">IF($A850="","",IF(MAX($E850,$F850,$G850)&gt;1,"중복","-"))</f>
        <v/>
      </c>
      <c r="I850" s="11" t="str">
        <f aca="false">IF($A850="","",IF($H850="-","-",IF(AND(IF(원본명단!$H849="",TRUE(),COUNTIF(원본명단!$H$3:$H849,원본명단!$H849)=1),IF(원본명단!$I849="",TRUE(),COUNTIF(원본명단!$I$3:$I849,원본명단!$I849)=1),IF(원본명단!$K849="",TRUE(),COUNTIF(원본명단!$K$3:$K849,원본명단!$K849)=1)),"첫 건","중복 건")))</f>
        <v/>
      </c>
      <c r="J850" s="11" t="str">
        <f aca="false">IF($A850="","",IF($H850="-","유지",IF($I850="첫 건","유지","확인 필요")))</f>
        <v/>
      </c>
    </row>
    <row r="851" customFormat="false" ht="15" hidden="false" customHeight="true" outlineLevel="0" collapsed="false">
      <c r="A851" s="11" t="str">
        <f aca="false">IF(원본명단!$A850="","",848)</f>
        <v/>
      </c>
      <c r="B851" s="12" t="str">
        <f aca="false">IF($A851="","",원본명단!$A850)</f>
        <v/>
      </c>
      <c r="C851" s="12" t="str">
        <f aca="false">IF($A851="","",원본명단!$B850)</f>
        <v/>
      </c>
      <c r="D851" s="12" t="str">
        <f aca="false">IF($A851="","",원본명단!$D850)</f>
        <v/>
      </c>
      <c r="E851" s="11" t="str">
        <f aca="false">IF($A851="","",IF(원본명단!$H850="",0,COUNTIF(원본명단!$H$3:$H$6002,원본명단!$H850)))</f>
        <v/>
      </c>
      <c r="F851" s="11" t="str">
        <f aca="false">IF($A851="","",IF(원본명단!$I850="",0,COUNTIF(원본명단!$I$3:$I$6002,원본명단!$I850)))</f>
        <v/>
      </c>
      <c r="G851" s="11" t="str">
        <f aca="false">IF($A851="","",IF(원본명단!$K850="",0,COUNTIF(원본명단!$K$3:$K$6002,원본명단!$K850)))</f>
        <v/>
      </c>
      <c r="H851" s="11" t="str">
        <f aca="false">IF($A851="","",IF(MAX($E851,$F851,$G851)&gt;1,"중복","-"))</f>
        <v/>
      </c>
      <c r="I851" s="11" t="str">
        <f aca="false">IF($A851="","",IF($H851="-","-",IF(AND(IF(원본명단!$H850="",TRUE(),COUNTIF(원본명단!$H$3:$H850,원본명단!$H850)=1),IF(원본명단!$I850="",TRUE(),COUNTIF(원본명단!$I$3:$I850,원본명단!$I850)=1),IF(원본명단!$K850="",TRUE(),COUNTIF(원본명단!$K$3:$K850,원본명단!$K850)=1)),"첫 건","중복 건")))</f>
        <v/>
      </c>
      <c r="J851" s="11" t="str">
        <f aca="false">IF($A851="","",IF($H851="-","유지",IF($I851="첫 건","유지","확인 필요")))</f>
        <v/>
      </c>
    </row>
    <row r="852" customFormat="false" ht="15" hidden="false" customHeight="true" outlineLevel="0" collapsed="false">
      <c r="A852" s="11" t="str">
        <f aca="false">IF(원본명단!$A851="","",849)</f>
        <v/>
      </c>
      <c r="B852" s="12" t="str">
        <f aca="false">IF($A852="","",원본명단!$A851)</f>
        <v/>
      </c>
      <c r="C852" s="12" t="str">
        <f aca="false">IF($A852="","",원본명단!$B851)</f>
        <v/>
      </c>
      <c r="D852" s="12" t="str">
        <f aca="false">IF($A852="","",원본명단!$D851)</f>
        <v/>
      </c>
      <c r="E852" s="11" t="str">
        <f aca="false">IF($A852="","",IF(원본명단!$H851="",0,COUNTIF(원본명단!$H$3:$H$6002,원본명단!$H851)))</f>
        <v/>
      </c>
      <c r="F852" s="11" t="str">
        <f aca="false">IF($A852="","",IF(원본명단!$I851="",0,COUNTIF(원본명단!$I$3:$I$6002,원본명단!$I851)))</f>
        <v/>
      </c>
      <c r="G852" s="11" t="str">
        <f aca="false">IF($A852="","",IF(원본명단!$K851="",0,COUNTIF(원본명단!$K$3:$K$6002,원본명단!$K851)))</f>
        <v/>
      </c>
      <c r="H852" s="11" t="str">
        <f aca="false">IF($A852="","",IF(MAX($E852,$F852,$G852)&gt;1,"중복","-"))</f>
        <v/>
      </c>
      <c r="I852" s="11" t="str">
        <f aca="false">IF($A852="","",IF($H852="-","-",IF(AND(IF(원본명단!$H851="",TRUE(),COUNTIF(원본명단!$H$3:$H851,원본명단!$H851)=1),IF(원본명단!$I851="",TRUE(),COUNTIF(원본명단!$I$3:$I851,원본명단!$I851)=1),IF(원본명단!$K851="",TRUE(),COUNTIF(원본명단!$K$3:$K851,원본명단!$K851)=1)),"첫 건","중복 건")))</f>
        <v/>
      </c>
      <c r="J852" s="11" t="str">
        <f aca="false">IF($A852="","",IF($H852="-","유지",IF($I852="첫 건","유지","확인 필요")))</f>
        <v/>
      </c>
    </row>
    <row r="853" customFormat="false" ht="15" hidden="false" customHeight="true" outlineLevel="0" collapsed="false">
      <c r="A853" s="11" t="str">
        <f aca="false">IF(원본명단!$A852="","",850)</f>
        <v/>
      </c>
      <c r="B853" s="12" t="str">
        <f aca="false">IF($A853="","",원본명단!$A852)</f>
        <v/>
      </c>
      <c r="C853" s="12" t="str">
        <f aca="false">IF($A853="","",원본명단!$B852)</f>
        <v/>
      </c>
      <c r="D853" s="12" t="str">
        <f aca="false">IF($A853="","",원본명단!$D852)</f>
        <v/>
      </c>
      <c r="E853" s="11" t="str">
        <f aca="false">IF($A853="","",IF(원본명단!$H852="",0,COUNTIF(원본명단!$H$3:$H$6002,원본명단!$H852)))</f>
        <v/>
      </c>
      <c r="F853" s="11" t="str">
        <f aca="false">IF($A853="","",IF(원본명단!$I852="",0,COUNTIF(원본명단!$I$3:$I$6002,원본명단!$I852)))</f>
        <v/>
      </c>
      <c r="G853" s="11" t="str">
        <f aca="false">IF($A853="","",IF(원본명단!$K852="",0,COUNTIF(원본명단!$K$3:$K$6002,원본명단!$K852)))</f>
        <v/>
      </c>
      <c r="H853" s="11" t="str">
        <f aca="false">IF($A853="","",IF(MAX($E853,$F853,$G853)&gt;1,"중복","-"))</f>
        <v/>
      </c>
      <c r="I853" s="11" t="str">
        <f aca="false">IF($A853="","",IF($H853="-","-",IF(AND(IF(원본명단!$H852="",TRUE(),COUNTIF(원본명단!$H$3:$H852,원본명단!$H852)=1),IF(원본명단!$I852="",TRUE(),COUNTIF(원본명단!$I$3:$I852,원본명단!$I852)=1),IF(원본명단!$K852="",TRUE(),COUNTIF(원본명단!$K$3:$K852,원본명단!$K852)=1)),"첫 건","중복 건")))</f>
        <v/>
      </c>
      <c r="J853" s="11" t="str">
        <f aca="false">IF($A853="","",IF($H853="-","유지",IF($I853="첫 건","유지","확인 필요")))</f>
        <v/>
      </c>
    </row>
    <row r="854" customFormat="false" ht="15" hidden="false" customHeight="true" outlineLevel="0" collapsed="false">
      <c r="A854" s="11" t="str">
        <f aca="false">IF(원본명단!$A853="","",851)</f>
        <v/>
      </c>
      <c r="B854" s="12" t="str">
        <f aca="false">IF($A854="","",원본명단!$A853)</f>
        <v/>
      </c>
      <c r="C854" s="12" t="str">
        <f aca="false">IF($A854="","",원본명단!$B853)</f>
        <v/>
      </c>
      <c r="D854" s="12" t="str">
        <f aca="false">IF($A854="","",원본명단!$D853)</f>
        <v/>
      </c>
      <c r="E854" s="11" t="str">
        <f aca="false">IF($A854="","",IF(원본명단!$H853="",0,COUNTIF(원본명단!$H$3:$H$6002,원본명단!$H853)))</f>
        <v/>
      </c>
      <c r="F854" s="11" t="str">
        <f aca="false">IF($A854="","",IF(원본명단!$I853="",0,COUNTIF(원본명단!$I$3:$I$6002,원본명단!$I853)))</f>
        <v/>
      </c>
      <c r="G854" s="11" t="str">
        <f aca="false">IF($A854="","",IF(원본명단!$K853="",0,COUNTIF(원본명단!$K$3:$K$6002,원본명단!$K853)))</f>
        <v/>
      </c>
      <c r="H854" s="11" t="str">
        <f aca="false">IF($A854="","",IF(MAX($E854,$F854,$G854)&gt;1,"중복","-"))</f>
        <v/>
      </c>
      <c r="I854" s="11" t="str">
        <f aca="false">IF($A854="","",IF($H854="-","-",IF(AND(IF(원본명단!$H853="",TRUE(),COUNTIF(원본명단!$H$3:$H853,원본명단!$H853)=1),IF(원본명단!$I853="",TRUE(),COUNTIF(원본명단!$I$3:$I853,원본명단!$I853)=1),IF(원본명단!$K853="",TRUE(),COUNTIF(원본명단!$K$3:$K853,원본명단!$K853)=1)),"첫 건","중복 건")))</f>
        <v/>
      </c>
      <c r="J854" s="11" t="str">
        <f aca="false">IF($A854="","",IF($H854="-","유지",IF($I854="첫 건","유지","확인 필요")))</f>
        <v/>
      </c>
    </row>
    <row r="855" customFormat="false" ht="15" hidden="false" customHeight="true" outlineLevel="0" collapsed="false">
      <c r="A855" s="11" t="str">
        <f aca="false">IF(원본명단!$A854="","",852)</f>
        <v/>
      </c>
      <c r="B855" s="12" t="str">
        <f aca="false">IF($A855="","",원본명단!$A854)</f>
        <v/>
      </c>
      <c r="C855" s="12" t="str">
        <f aca="false">IF($A855="","",원본명단!$B854)</f>
        <v/>
      </c>
      <c r="D855" s="12" t="str">
        <f aca="false">IF($A855="","",원본명단!$D854)</f>
        <v/>
      </c>
      <c r="E855" s="11" t="str">
        <f aca="false">IF($A855="","",IF(원본명단!$H854="",0,COUNTIF(원본명단!$H$3:$H$6002,원본명단!$H854)))</f>
        <v/>
      </c>
      <c r="F855" s="11" t="str">
        <f aca="false">IF($A855="","",IF(원본명단!$I854="",0,COUNTIF(원본명단!$I$3:$I$6002,원본명단!$I854)))</f>
        <v/>
      </c>
      <c r="G855" s="11" t="str">
        <f aca="false">IF($A855="","",IF(원본명단!$K854="",0,COUNTIF(원본명단!$K$3:$K$6002,원본명단!$K854)))</f>
        <v/>
      </c>
      <c r="H855" s="11" t="str">
        <f aca="false">IF($A855="","",IF(MAX($E855,$F855,$G855)&gt;1,"중복","-"))</f>
        <v/>
      </c>
      <c r="I855" s="11" t="str">
        <f aca="false">IF($A855="","",IF($H855="-","-",IF(AND(IF(원본명단!$H854="",TRUE(),COUNTIF(원본명단!$H$3:$H854,원본명단!$H854)=1),IF(원본명단!$I854="",TRUE(),COUNTIF(원본명단!$I$3:$I854,원본명단!$I854)=1),IF(원본명단!$K854="",TRUE(),COUNTIF(원본명단!$K$3:$K854,원본명단!$K854)=1)),"첫 건","중복 건")))</f>
        <v/>
      </c>
      <c r="J855" s="11" t="str">
        <f aca="false">IF($A855="","",IF($H855="-","유지",IF($I855="첫 건","유지","확인 필요")))</f>
        <v/>
      </c>
    </row>
    <row r="856" customFormat="false" ht="15" hidden="false" customHeight="true" outlineLevel="0" collapsed="false">
      <c r="A856" s="11" t="str">
        <f aca="false">IF(원본명단!$A855="","",853)</f>
        <v/>
      </c>
      <c r="B856" s="12" t="str">
        <f aca="false">IF($A856="","",원본명단!$A855)</f>
        <v/>
      </c>
      <c r="C856" s="12" t="str">
        <f aca="false">IF($A856="","",원본명단!$B855)</f>
        <v/>
      </c>
      <c r="D856" s="12" t="str">
        <f aca="false">IF($A856="","",원본명단!$D855)</f>
        <v/>
      </c>
      <c r="E856" s="11" t="str">
        <f aca="false">IF($A856="","",IF(원본명단!$H855="",0,COUNTIF(원본명단!$H$3:$H$6002,원본명단!$H855)))</f>
        <v/>
      </c>
      <c r="F856" s="11" t="str">
        <f aca="false">IF($A856="","",IF(원본명단!$I855="",0,COUNTIF(원본명단!$I$3:$I$6002,원본명단!$I855)))</f>
        <v/>
      </c>
      <c r="G856" s="11" t="str">
        <f aca="false">IF($A856="","",IF(원본명단!$K855="",0,COUNTIF(원본명단!$K$3:$K$6002,원본명단!$K855)))</f>
        <v/>
      </c>
      <c r="H856" s="11" t="str">
        <f aca="false">IF($A856="","",IF(MAX($E856,$F856,$G856)&gt;1,"중복","-"))</f>
        <v/>
      </c>
      <c r="I856" s="11" t="str">
        <f aca="false">IF($A856="","",IF($H856="-","-",IF(AND(IF(원본명단!$H855="",TRUE(),COUNTIF(원본명단!$H$3:$H855,원본명단!$H855)=1),IF(원본명단!$I855="",TRUE(),COUNTIF(원본명단!$I$3:$I855,원본명단!$I855)=1),IF(원본명단!$K855="",TRUE(),COUNTIF(원본명단!$K$3:$K855,원본명단!$K855)=1)),"첫 건","중복 건")))</f>
        <v/>
      </c>
      <c r="J856" s="11" t="str">
        <f aca="false">IF($A856="","",IF($H856="-","유지",IF($I856="첫 건","유지","확인 필요")))</f>
        <v/>
      </c>
    </row>
    <row r="857" customFormat="false" ht="15" hidden="false" customHeight="true" outlineLevel="0" collapsed="false">
      <c r="A857" s="11" t="str">
        <f aca="false">IF(원본명단!$A856="","",854)</f>
        <v/>
      </c>
      <c r="B857" s="12" t="str">
        <f aca="false">IF($A857="","",원본명단!$A856)</f>
        <v/>
      </c>
      <c r="C857" s="12" t="str">
        <f aca="false">IF($A857="","",원본명단!$B856)</f>
        <v/>
      </c>
      <c r="D857" s="12" t="str">
        <f aca="false">IF($A857="","",원본명단!$D856)</f>
        <v/>
      </c>
      <c r="E857" s="11" t="str">
        <f aca="false">IF($A857="","",IF(원본명단!$H856="",0,COUNTIF(원본명단!$H$3:$H$6002,원본명단!$H856)))</f>
        <v/>
      </c>
      <c r="F857" s="11" t="str">
        <f aca="false">IF($A857="","",IF(원본명단!$I856="",0,COUNTIF(원본명단!$I$3:$I$6002,원본명단!$I856)))</f>
        <v/>
      </c>
      <c r="G857" s="11" t="str">
        <f aca="false">IF($A857="","",IF(원본명단!$K856="",0,COUNTIF(원본명단!$K$3:$K$6002,원본명단!$K856)))</f>
        <v/>
      </c>
      <c r="H857" s="11" t="str">
        <f aca="false">IF($A857="","",IF(MAX($E857,$F857,$G857)&gt;1,"중복","-"))</f>
        <v/>
      </c>
      <c r="I857" s="11" t="str">
        <f aca="false">IF($A857="","",IF($H857="-","-",IF(AND(IF(원본명단!$H856="",TRUE(),COUNTIF(원본명단!$H$3:$H856,원본명단!$H856)=1),IF(원본명단!$I856="",TRUE(),COUNTIF(원본명단!$I$3:$I856,원본명단!$I856)=1),IF(원본명단!$K856="",TRUE(),COUNTIF(원본명단!$K$3:$K856,원본명단!$K856)=1)),"첫 건","중복 건")))</f>
        <v/>
      </c>
      <c r="J857" s="11" t="str">
        <f aca="false">IF($A857="","",IF($H857="-","유지",IF($I857="첫 건","유지","확인 필요")))</f>
        <v/>
      </c>
    </row>
    <row r="858" customFormat="false" ht="15" hidden="false" customHeight="true" outlineLevel="0" collapsed="false">
      <c r="A858" s="11" t="str">
        <f aca="false">IF(원본명단!$A857="","",855)</f>
        <v/>
      </c>
      <c r="B858" s="12" t="str">
        <f aca="false">IF($A858="","",원본명단!$A857)</f>
        <v/>
      </c>
      <c r="C858" s="12" t="str">
        <f aca="false">IF($A858="","",원본명단!$B857)</f>
        <v/>
      </c>
      <c r="D858" s="12" t="str">
        <f aca="false">IF($A858="","",원본명단!$D857)</f>
        <v/>
      </c>
      <c r="E858" s="11" t="str">
        <f aca="false">IF($A858="","",IF(원본명단!$H857="",0,COUNTIF(원본명단!$H$3:$H$6002,원본명단!$H857)))</f>
        <v/>
      </c>
      <c r="F858" s="11" t="str">
        <f aca="false">IF($A858="","",IF(원본명단!$I857="",0,COUNTIF(원본명단!$I$3:$I$6002,원본명단!$I857)))</f>
        <v/>
      </c>
      <c r="G858" s="11" t="str">
        <f aca="false">IF($A858="","",IF(원본명단!$K857="",0,COUNTIF(원본명단!$K$3:$K$6002,원본명단!$K857)))</f>
        <v/>
      </c>
      <c r="H858" s="11" t="str">
        <f aca="false">IF($A858="","",IF(MAX($E858,$F858,$G858)&gt;1,"중복","-"))</f>
        <v/>
      </c>
      <c r="I858" s="11" t="str">
        <f aca="false">IF($A858="","",IF($H858="-","-",IF(AND(IF(원본명단!$H857="",TRUE(),COUNTIF(원본명단!$H$3:$H857,원본명단!$H857)=1),IF(원본명단!$I857="",TRUE(),COUNTIF(원본명단!$I$3:$I857,원본명단!$I857)=1),IF(원본명단!$K857="",TRUE(),COUNTIF(원본명단!$K$3:$K857,원본명단!$K857)=1)),"첫 건","중복 건")))</f>
        <v/>
      </c>
      <c r="J858" s="11" t="str">
        <f aca="false">IF($A858="","",IF($H858="-","유지",IF($I858="첫 건","유지","확인 필요")))</f>
        <v/>
      </c>
    </row>
    <row r="859" customFormat="false" ht="15" hidden="false" customHeight="true" outlineLevel="0" collapsed="false">
      <c r="A859" s="11" t="str">
        <f aca="false">IF(원본명단!$A858="","",856)</f>
        <v/>
      </c>
      <c r="B859" s="12" t="str">
        <f aca="false">IF($A859="","",원본명단!$A858)</f>
        <v/>
      </c>
      <c r="C859" s="12" t="str">
        <f aca="false">IF($A859="","",원본명단!$B858)</f>
        <v/>
      </c>
      <c r="D859" s="12" t="str">
        <f aca="false">IF($A859="","",원본명단!$D858)</f>
        <v/>
      </c>
      <c r="E859" s="11" t="str">
        <f aca="false">IF($A859="","",IF(원본명단!$H858="",0,COUNTIF(원본명단!$H$3:$H$6002,원본명단!$H858)))</f>
        <v/>
      </c>
      <c r="F859" s="11" t="str">
        <f aca="false">IF($A859="","",IF(원본명단!$I858="",0,COUNTIF(원본명단!$I$3:$I$6002,원본명단!$I858)))</f>
        <v/>
      </c>
      <c r="G859" s="11" t="str">
        <f aca="false">IF($A859="","",IF(원본명단!$K858="",0,COUNTIF(원본명단!$K$3:$K$6002,원본명단!$K858)))</f>
        <v/>
      </c>
      <c r="H859" s="11" t="str">
        <f aca="false">IF($A859="","",IF(MAX($E859,$F859,$G859)&gt;1,"중복","-"))</f>
        <v/>
      </c>
      <c r="I859" s="11" t="str">
        <f aca="false">IF($A859="","",IF($H859="-","-",IF(AND(IF(원본명단!$H858="",TRUE(),COUNTIF(원본명단!$H$3:$H858,원본명단!$H858)=1),IF(원본명단!$I858="",TRUE(),COUNTIF(원본명단!$I$3:$I858,원본명단!$I858)=1),IF(원본명단!$K858="",TRUE(),COUNTIF(원본명단!$K$3:$K858,원본명단!$K858)=1)),"첫 건","중복 건")))</f>
        <v/>
      </c>
      <c r="J859" s="11" t="str">
        <f aca="false">IF($A859="","",IF($H859="-","유지",IF($I859="첫 건","유지","확인 필요")))</f>
        <v/>
      </c>
    </row>
    <row r="860" customFormat="false" ht="15" hidden="false" customHeight="true" outlineLevel="0" collapsed="false">
      <c r="A860" s="11" t="str">
        <f aca="false">IF(원본명단!$A859="","",857)</f>
        <v/>
      </c>
      <c r="B860" s="12" t="str">
        <f aca="false">IF($A860="","",원본명단!$A859)</f>
        <v/>
      </c>
      <c r="C860" s="12" t="str">
        <f aca="false">IF($A860="","",원본명단!$B859)</f>
        <v/>
      </c>
      <c r="D860" s="12" t="str">
        <f aca="false">IF($A860="","",원본명단!$D859)</f>
        <v/>
      </c>
      <c r="E860" s="11" t="str">
        <f aca="false">IF($A860="","",IF(원본명단!$H859="",0,COUNTIF(원본명단!$H$3:$H$6002,원본명단!$H859)))</f>
        <v/>
      </c>
      <c r="F860" s="11" t="str">
        <f aca="false">IF($A860="","",IF(원본명단!$I859="",0,COUNTIF(원본명단!$I$3:$I$6002,원본명단!$I859)))</f>
        <v/>
      </c>
      <c r="G860" s="11" t="str">
        <f aca="false">IF($A860="","",IF(원본명단!$K859="",0,COUNTIF(원본명단!$K$3:$K$6002,원본명단!$K859)))</f>
        <v/>
      </c>
      <c r="H860" s="11" t="str">
        <f aca="false">IF($A860="","",IF(MAX($E860,$F860,$G860)&gt;1,"중복","-"))</f>
        <v/>
      </c>
      <c r="I860" s="11" t="str">
        <f aca="false">IF($A860="","",IF($H860="-","-",IF(AND(IF(원본명단!$H859="",TRUE(),COUNTIF(원본명단!$H$3:$H859,원본명단!$H859)=1),IF(원본명단!$I859="",TRUE(),COUNTIF(원본명단!$I$3:$I859,원본명단!$I859)=1),IF(원본명단!$K859="",TRUE(),COUNTIF(원본명단!$K$3:$K859,원본명단!$K859)=1)),"첫 건","중복 건")))</f>
        <v/>
      </c>
      <c r="J860" s="11" t="str">
        <f aca="false">IF($A860="","",IF($H860="-","유지",IF($I860="첫 건","유지","확인 필요")))</f>
        <v/>
      </c>
    </row>
    <row r="861" customFormat="false" ht="15" hidden="false" customHeight="true" outlineLevel="0" collapsed="false">
      <c r="A861" s="11" t="str">
        <f aca="false">IF(원본명단!$A860="","",858)</f>
        <v/>
      </c>
      <c r="B861" s="12" t="str">
        <f aca="false">IF($A861="","",원본명단!$A860)</f>
        <v/>
      </c>
      <c r="C861" s="12" t="str">
        <f aca="false">IF($A861="","",원본명단!$B860)</f>
        <v/>
      </c>
      <c r="D861" s="12" t="str">
        <f aca="false">IF($A861="","",원본명단!$D860)</f>
        <v/>
      </c>
      <c r="E861" s="11" t="str">
        <f aca="false">IF($A861="","",IF(원본명단!$H860="",0,COUNTIF(원본명단!$H$3:$H$6002,원본명단!$H860)))</f>
        <v/>
      </c>
      <c r="F861" s="11" t="str">
        <f aca="false">IF($A861="","",IF(원본명단!$I860="",0,COUNTIF(원본명단!$I$3:$I$6002,원본명단!$I860)))</f>
        <v/>
      </c>
      <c r="G861" s="11" t="str">
        <f aca="false">IF($A861="","",IF(원본명단!$K860="",0,COUNTIF(원본명단!$K$3:$K$6002,원본명단!$K860)))</f>
        <v/>
      </c>
      <c r="H861" s="11" t="str">
        <f aca="false">IF($A861="","",IF(MAX($E861,$F861,$G861)&gt;1,"중복","-"))</f>
        <v/>
      </c>
      <c r="I861" s="11" t="str">
        <f aca="false">IF($A861="","",IF($H861="-","-",IF(AND(IF(원본명단!$H860="",TRUE(),COUNTIF(원본명단!$H$3:$H860,원본명단!$H860)=1),IF(원본명단!$I860="",TRUE(),COUNTIF(원본명단!$I$3:$I860,원본명단!$I860)=1),IF(원본명단!$K860="",TRUE(),COUNTIF(원본명단!$K$3:$K860,원본명단!$K860)=1)),"첫 건","중복 건")))</f>
        <v/>
      </c>
      <c r="J861" s="11" t="str">
        <f aca="false">IF($A861="","",IF($H861="-","유지",IF($I861="첫 건","유지","확인 필요")))</f>
        <v/>
      </c>
    </row>
    <row r="862" customFormat="false" ht="15" hidden="false" customHeight="true" outlineLevel="0" collapsed="false">
      <c r="A862" s="11" t="str">
        <f aca="false">IF(원본명단!$A861="","",859)</f>
        <v/>
      </c>
      <c r="B862" s="12" t="str">
        <f aca="false">IF($A862="","",원본명단!$A861)</f>
        <v/>
      </c>
      <c r="C862" s="12" t="str">
        <f aca="false">IF($A862="","",원본명단!$B861)</f>
        <v/>
      </c>
      <c r="D862" s="12" t="str">
        <f aca="false">IF($A862="","",원본명단!$D861)</f>
        <v/>
      </c>
      <c r="E862" s="11" t="str">
        <f aca="false">IF($A862="","",IF(원본명단!$H861="",0,COUNTIF(원본명단!$H$3:$H$6002,원본명단!$H861)))</f>
        <v/>
      </c>
      <c r="F862" s="11" t="str">
        <f aca="false">IF($A862="","",IF(원본명단!$I861="",0,COUNTIF(원본명단!$I$3:$I$6002,원본명단!$I861)))</f>
        <v/>
      </c>
      <c r="G862" s="11" t="str">
        <f aca="false">IF($A862="","",IF(원본명단!$K861="",0,COUNTIF(원본명단!$K$3:$K$6002,원본명단!$K861)))</f>
        <v/>
      </c>
      <c r="H862" s="11" t="str">
        <f aca="false">IF($A862="","",IF(MAX($E862,$F862,$G862)&gt;1,"중복","-"))</f>
        <v/>
      </c>
      <c r="I862" s="11" t="str">
        <f aca="false">IF($A862="","",IF($H862="-","-",IF(AND(IF(원본명단!$H861="",TRUE(),COUNTIF(원본명단!$H$3:$H861,원본명단!$H861)=1),IF(원본명단!$I861="",TRUE(),COUNTIF(원본명단!$I$3:$I861,원본명단!$I861)=1),IF(원본명단!$K861="",TRUE(),COUNTIF(원본명단!$K$3:$K861,원본명단!$K861)=1)),"첫 건","중복 건")))</f>
        <v/>
      </c>
      <c r="J862" s="11" t="str">
        <f aca="false">IF($A862="","",IF($H862="-","유지",IF($I862="첫 건","유지","확인 필요")))</f>
        <v/>
      </c>
    </row>
    <row r="863" customFormat="false" ht="15" hidden="false" customHeight="true" outlineLevel="0" collapsed="false">
      <c r="A863" s="11" t="str">
        <f aca="false">IF(원본명단!$A862="","",860)</f>
        <v/>
      </c>
      <c r="B863" s="12" t="str">
        <f aca="false">IF($A863="","",원본명단!$A862)</f>
        <v/>
      </c>
      <c r="C863" s="12" t="str">
        <f aca="false">IF($A863="","",원본명단!$B862)</f>
        <v/>
      </c>
      <c r="D863" s="12" t="str">
        <f aca="false">IF($A863="","",원본명단!$D862)</f>
        <v/>
      </c>
      <c r="E863" s="11" t="str">
        <f aca="false">IF($A863="","",IF(원본명단!$H862="",0,COUNTIF(원본명단!$H$3:$H$6002,원본명단!$H862)))</f>
        <v/>
      </c>
      <c r="F863" s="11" t="str">
        <f aca="false">IF($A863="","",IF(원본명단!$I862="",0,COUNTIF(원본명단!$I$3:$I$6002,원본명단!$I862)))</f>
        <v/>
      </c>
      <c r="G863" s="11" t="str">
        <f aca="false">IF($A863="","",IF(원본명단!$K862="",0,COUNTIF(원본명단!$K$3:$K$6002,원본명단!$K862)))</f>
        <v/>
      </c>
      <c r="H863" s="11" t="str">
        <f aca="false">IF($A863="","",IF(MAX($E863,$F863,$G863)&gt;1,"중복","-"))</f>
        <v/>
      </c>
      <c r="I863" s="11" t="str">
        <f aca="false">IF($A863="","",IF($H863="-","-",IF(AND(IF(원본명단!$H862="",TRUE(),COUNTIF(원본명단!$H$3:$H862,원본명단!$H862)=1),IF(원본명단!$I862="",TRUE(),COUNTIF(원본명단!$I$3:$I862,원본명단!$I862)=1),IF(원본명단!$K862="",TRUE(),COUNTIF(원본명단!$K$3:$K862,원본명단!$K862)=1)),"첫 건","중복 건")))</f>
        <v/>
      </c>
      <c r="J863" s="11" t="str">
        <f aca="false">IF($A863="","",IF($H863="-","유지",IF($I863="첫 건","유지","확인 필요")))</f>
        <v/>
      </c>
    </row>
    <row r="864" customFormat="false" ht="15" hidden="false" customHeight="true" outlineLevel="0" collapsed="false">
      <c r="A864" s="11" t="str">
        <f aca="false">IF(원본명단!$A863="","",861)</f>
        <v/>
      </c>
      <c r="B864" s="12" t="str">
        <f aca="false">IF($A864="","",원본명단!$A863)</f>
        <v/>
      </c>
      <c r="C864" s="12" t="str">
        <f aca="false">IF($A864="","",원본명단!$B863)</f>
        <v/>
      </c>
      <c r="D864" s="12" t="str">
        <f aca="false">IF($A864="","",원본명단!$D863)</f>
        <v/>
      </c>
      <c r="E864" s="11" t="str">
        <f aca="false">IF($A864="","",IF(원본명단!$H863="",0,COUNTIF(원본명단!$H$3:$H$6002,원본명단!$H863)))</f>
        <v/>
      </c>
      <c r="F864" s="11" t="str">
        <f aca="false">IF($A864="","",IF(원본명단!$I863="",0,COUNTIF(원본명단!$I$3:$I$6002,원본명단!$I863)))</f>
        <v/>
      </c>
      <c r="G864" s="11" t="str">
        <f aca="false">IF($A864="","",IF(원본명단!$K863="",0,COUNTIF(원본명단!$K$3:$K$6002,원본명단!$K863)))</f>
        <v/>
      </c>
      <c r="H864" s="11" t="str">
        <f aca="false">IF($A864="","",IF(MAX($E864,$F864,$G864)&gt;1,"중복","-"))</f>
        <v/>
      </c>
      <c r="I864" s="11" t="str">
        <f aca="false">IF($A864="","",IF($H864="-","-",IF(AND(IF(원본명단!$H863="",TRUE(),COUNTIF(원본명단!$H$3:$H863,원본명단!$H863)=1),IF(원본명단!$I863="",TRUE(),COUNTIF(원본명단!$I$3:$I863,원본명단!$I863)=1),IF(원본명단!$K863="",TRUE(),COUNTIF(원본명단!$K$3:$K863,원본명단!$K863)=1)),"첫 건","중복 건")))</f>
        <v/>
      </c>
      <c r="J864" s="11" t="str">
        <f aca="false">IF($A864="","",IF($H864="-","유지",IF($I864="첫 건","유지","확인 필요")))</f>
        <v/>
      </c>
    </row>
    <row r="865" customFormat="false" ht="15" hidden="false" customHeight="true" outlineLevel="0" collapsed="false">
      <c r="A865" s="11" t="str">
        <f aca="false">IF(원본명단!$A864="","",862)</f>
        <v/>
      </c>
      <c r="B865" s="12" t="str">
        <f aca="false">IF($A865="","",원본명단!$A864)</f>
        <v/>
      </c>
      <c r="C865" s="12" t="str">
        <f aca="false">IF($A865="","",원본명단!$B864)</f>
        <v/>
      </c>
      <c r="D865" s="12" t="str">
        <f aca="false">IF($A865="","",원본명단!$D864)</f>
        <v/>
      </c>
      <c r="E865" s="11" t="str">
        <f aca="false">IF($A865="","",IF(원본명단!$H864="",0,COUNTIF(원본명단!$H$3:$H$6002,원본명단!$H864)))</f>
        <v/>
      </c>
      <c r="F865" s="11" t="str">
        <f aca="false">IF($A865="","",IF(원본명단!$I864="",0,COUNTIF(원본명단!$I$3:$I$6002,원본명단!$I864)))</f>
        <v/>
      </c>
      <c r="G865" s="11" t="str">
        <f aca="false">IF($A865="","",IF(원본명단!$K864="",0,COUNTIF(원본명단!$K$3:$K$6002,원본명단!$K864)))</f>
        <v/>
      </c>
      <c r="H865" s="11" t="str">
        <f aca="false">IF($A865="","",IF(MAX($E865,$F865,$G865)&gt;1,"중복","-"))</f>
        <v/>
      </c>
      <c r="I865" s="11" t="str">
        <f aca="false">IF($A865="","",IF($H865="-","-",IF(AND(IF(원본명단!$H864="",TRUE(),COUNTIF(원본명단!$H$3:$H864,원본명단!$H864)=1),IF(원본명단!$I864="",TRUE(),COUNTIF(원본명단!$I$3:$I864,원본명단!$I864)=1),IF(원본명단!$K864="",TRUE(),COUNTIF(원본명단!$K$3:$K864,원본명단!$K864)=1)),"첫 건","중복 건")))</f>
        <v/>
      </c>
      <c r="J865" s="11" t="str">
        <f aca="false">IF($A865="","",IF($H865="-","유지",IF($I865="첫 건","유지","확인 필요")))</f>
        <v/>
      </c>
    </row>
    <row r="866" customFormat="false" ht="15" hidden="false" customHeight="true" outlineLevel="0" collapsed="false">
      <c r="A866" s="11" t="str">
        <f aca="false">IF(원본명단!$A865="","",863)</f>
        <v/>
      </c>
      <c r="B866" s="12" t="str">
        <f aca="false">IF($A866="","",원본명단!$A865)</f>
        <v/>
      </c>
      <c r="C866" s="12" t="str">
        <f aca="false">IF($A866="","",원본명단!$B865)</f>
        <v/>
      </c>
      <c r="D866" s="12" t="str">
        <f aca="false">IF($A866="","",원본명단!$D865)</f>
        <v/>
      </c>
      <c r="E866" s="11" t="str">
        <f aca="false">IF($A866="","",IF(원본명단!$H865="",0,COUNTIF(원본명단!$H$3:$H$6002,원본명단!$H865)))</f>
        <v/>
      </c>
      <c r="F866" s="11" t="str">
        <f aca="false">IF($A866="","",IF(원본명단!$I865="",0,COUNTIF(원본명단!$I$3:$I$6002,원본명단!$I865)))</f>
        <v/>
      </c>
      <c r="G866" s="11" t="str">
        <f aca="false">IF($A866="","",IF(원본명단!$K865="",0,COUNTIF(원본명단!$K$3:$K$6002,원본명단!$K865)))</f>
        <v/>
      </c>
      <c r="H866" s="11" t="str">
        <f aca="false">IF($A866="","",IF(MAX($E866,$F866,$G866)&gt;1,"중복","-"))</f>
        <v/>
      </c>
      <c r="I866" s="11" t="str">
        <f aca="false">IF($A866="","",IF($H866="-","-",IF(AND(IF(원본명단!$H865="",TRUE(),COUNTIF(원본명단!$H$3:$H865,원본명단!$H865)=1),IF(원본명단!$I865="",TRUE(),COUNTIF(원본명단!$I$3:$I865,원본명단!$I865)=1),IF(원본명단!$K865="",TRUE(),COUNTIF(원본명단!$K$3:$K865,원본명단!$K865)=1)),"첫 건","중복 건")))</f>
        <v/>
      </c>
      <c r="J866" s="11" t="str">
        <f aca="false">IF($A866="","",IF($H866="-","유지",IF($I866="첫 건","유지","확인 필요")))</f>
        <v/>
      </c>
    </row>
    <row r="867" customFormat="false" ht="15" hidden="false" customHeight="true" outlineLevel="0" collapsed="false">
      <c r="A867" s="11" t="str">
        <f aca="false">IF(원본명단!$A866="","",864)</f>
        <v/>
      </c>
      <c r="B867" s="12" t="str">
        <f aca="false">IF($A867="","",원본명단!$A866)</f>
        <v/>
      </c>
      <c r="C867" s="12" t="str">
        <f aca="false">IF($A867="","",원본명단!$B866)</f>
        <v/>
      </c>
      <c r="D867" s="12" t="str">
        <f aca="false">IF($A867="","",원본명단!$D866)</f>
        <v/>
      </c>
      <c r="E867" s="11" t="str">
        <f aca="false">IF($A867="","",IF(원본명단!$H866="",0,COUNTIF(원본명단!$H$3:$H$6002,원본명단!$H866)))</f>
        <v/>
      </c>
      <c r="F867" s="11" t="str">
        <f aca="false">IF($A867="","",IF(원본명단!$I866="",0,COUNTIF(원본명단!$I$3:$I$6002,원본명단!$I866)))</f>
        <v/>
      </c>
      <c r="G867" s="11" t="str">
        <f aca="false">IF($A867="","",IF(원본명단!$K866="",0,COUNTIF(원본명단!$K$3:$K$6002,원본명단!$K866)))</f>
        <v/>
      </c>
      <c r="H867" s="11" t="str">
        <f aca="false">IF($A867="","",IF(MAX($E867,$F867,$G867)&gt;1,"중복","-"))</f>
        <v/>
      </c>
      <c r="I867" s="11" t="str">
        <f aca="false">IF($A867="","",IF($H867="-","-",IF(AND(IF(원본명단!$H866="",TRUE(),COUNTIF(원본명단!$H$3:$H866,원본명단!$H866)=1),IF(원본명단!$I866="",TRUE(),COUNTIF(원본명단!$I$3:$I866,원본명단!$I866)=1),IF(원본명단!$K866="",TRUE(),COUNTIF(원본명단!$K$3:$K866,원본명단!$K866)=1)),"첫 건","중복 건")))</f>
        <v/>
      </c>
      <c r="J867" s="11" t="str">
        <f aca="false">IF($A867="","",IF($H867="-","유지",IF($I867="첫 건","유지","확인 필요")))</f>
        <v/>
      </c>
    </row>
    <row r="868" customFormat="false" ht="15" hidden="false" customHeight="true" outlineLevel="0" collapsed="false">
      <c r="A868" s="11" t="str">
        <f aca="false">IF(원본명단!$A867="","",865)</f>
        <v/>
      </c>
      <c r="B868" s="12" t="str">
        <f aca="false">IF($A868="","",원본명단!$A867)</f>
        <v/>
      </c>
      <c r="C868" s="12" t="str">
        <f aca="false">IF($A868="","",원본명단!$B867)</f>
        <v/>
      </c>
      <c r="D868" s="12" t="str">
        <f aca="false">IF($A868="","",원본명단!$D867)</f>
        <v/>
      </c>
      <c r="E868" s="11" t="str">
        <f aca="false">IF($A868="","",IF(원본명단!$H867="",0,COUNTIF(원본명단!$H$3:$H$6002,원본명단!$H867)))</f>
        <v/>
      </c>
      <c r="F868" s="11" t="str">
        <f aca="false">IF($A868="","",IF(원본명단!$I867="",0,COUNTIF(원본명단!$I$3:$I$6002,원본명단!$I867)))</f>
        <v/>
      </c>
      <c r="G868" s="11" t="str">
        <f aca="false">IF($A868="","",IF(원본명단!$K867="",0,COUNTIF(원본명단!$K$3:$K$6002,원본명단!$K867)))</f>
        <v/>
      </c>
      <c r="H868" s="11" t="str">
        <f aca="false">IF($A868="","",IF(MAX($E868,$F868,$G868)&gt;1,"중복","-"))</f>
        <v/>
      </c>
      <c r="I868" s="11" t="str">
        <f aca="false">IF($A868="","",IF($H868="-","-",IF(AND(IF(원본명단!$H867="",TRUE(),COUNTIF(원본명단!$H$3:$H867,원본명단!$H867)=1),IF(원본명단!$I867="",TRUE(),COUNTIF(원본명단!$I$3:$I867,원본명단!$I867)=1),IF(원본명단!$K867="",TRUE(),COUNTIF(원본명단!$K$3:$K867,원본명단!$K867)=1)),"첫 건","중복 건")))</f>
        <v/>
      </c>
      <c r="J868" s="11" t="str">
        <f aca="false">IF($A868="","",IF($H868="-","유지",IF($I868="첫 건","유지","확인 필요")))</f>
        <v/>
      </c>
    </row>
    <row r="869" customFormat="false" ht="15" hidden="false" customHeight="true" outlineLevel="0" collapsed="false">
      <c r="A869" s="11" t="str">
        <f aca="false">IF(원본명단!$A868="","",866)</f>
        <v/>
      </c>
      <c r="B869" s="12" t="str">
        <f aca="false">IF($A869="","",원본명단!$A868)</f>
        <v/>
      </c>
      <c r="C869" s="12" t="str">
        <f aca="false">IF($A869="","",원본명단!$B868)</f>
        <v/>
      </c>
      <c r="D869" s="12" t="str">
        <f aca="false">IF($A869="","",원본명단!$D868)</f>
        <v/>
      </c>
      <c r="E869" s="11" t="str">
        <f aca="false">IF($A869="","",IF(원본명단!$H868="",0,COUNTIF(원본명단!$H$3:$H$6002,원본명단!$H868)))</f>
        <v/>
      </c>
      <c r="F869" s="11" t="str">
        <f aca="false">IF($A869="","",IF(원본명단!$I868="",0,COUNTIF(원본명단!$I$3:$I$6002,원본명단!$I868)))</f>
        <v/>
      </c>
      <c r="G869" s="11" t="str">
        <f aca="false">IF($A869="","",IF(원본명단!$K868="",0,COUNTIF(원본명단!$K$3:$K$6002,원본명단!$K868)))</f>
        <v/>
      </c>
      <c r="H869" s="11" t="str">
        <f aca="false">IF($A869="","",IF(MAX($E869,$F869,$G869)&gt;1,"중복","-"))</f>
        <v/>
      </c>
      <c r="I869" s="11" t="str">
        <f aca="false">IF($A869="","",IF($H869="-","-",IF(AND(IF(원본명단!$H868="",TRUE(),COUNTIF(원본명단!$H$3:$H868,원본명단!$H868)=1),IF(원본명단!$I868="",TRUE(),COUNTIF(원본명단!$I$3:$I868,원본명단!$I868)=1),IF(원본명단!$K868="",TRUE(),COUNTIF(원본명단!$K$3:$K868,원본명단!$K868)=1)),"첫 건","중복 건")))</f>
        <v/>
      </c>
      <c r="J869" s="11" t="str">
        <f aca="false">IF($A869="","",IF($H869="-","유지",IF($I869="첫 건","유지","확인 필요")))</f>
        <v/>
      </c>
    </row>
    <row r="870" customFormat="false" ht="15" hidden="false" customHeight="true" outlineLevel="0" collapsed="false">
      <c r="A870" s="11" t="str">
        <f aca="false">IF(원본명단!$A869="","",867)</f>
        <v/>
      </c>
      <c r="B870" s="12" t="str">
        <f aca="false">IF($A870="","",원본명단!$A869)</f>
        <v/>
      </c>
      <c r="C870" s="12" t="str">
        <f aca="false">IF($A870="","",원본명단!$B869)</f>
        <v/>
      </c>
      <c r="D870" s="12" t="str">
        <f aca="false">IF($A870="","",원본명단!$D869)</f>
        <v/>
      </c>
      <c r="E870" s="11" t="str">
        <f aca="false">IF($A870="","",IF(원본명단!$H869="",0,COUNTIF(원본명단!$H$3:$H$6002,원본명단!$H869)))</f>
        <v/>
      </c>
      <c r="F870" s="11" t="str">
        <f aca="false">IF($A870="","",IF(원본명단!$I869="",0,COUNTIF(원본명단!$I$3:$I$6002,원본명단!$I869)))</f>
        <v/>
      </c>
      <c r="G870" s="11" t="str">
        <f aca="false">IF($A870="","",IF(원본명단!$K869="",0,COUNTIF(원본명단!$K$3:$K$6002,원본명단!$K869)))</f>
        <v/>
      </c>
      <c r="H870" s="11" t="str">
        <f aca="false">IF($A870="","",IF(MAX($E870,$F870,$G870)&gt;1,"중복","-"))</f>
        <v/>
      </c>
      <c r="I870" s="11" t="str">
        <f aca="false">IF($A870="","",IF($H870="-","-",IF(AND(IF(원본명단!$H869="",TRUE(),COUNTIF(원본명단!$H$3:$H869,원본명단!$H869)=1),IF(원본명단!$I869="",TRUE(),COUNTIF(원본명단!$I$3:$I869,원본명단!$I869)=1),IF(원본명단!$K869="",TRUE(),COUNTIF(원본명단!$K$3:$K869,원본명단!$K869)=1)),"첫 건","중복 건")))</f>
        <v/>
      </c>
      <c r="J870" s="11" t="str">
        <f aca="false">IF($A870="","",IF($H870="-","유지",IF($I870="첫 건","유지","확인 필요")))</f>
        <v/>
      </c>
    </row>
    <row r="871" customFormat="false" ht="15" hidden="false" customHeight="true" outlineLevel="0" collapsed="false">
      <c r="A871" s="11" t="str">
        <f aca="false">IF(원본명단!$A870="","",868)</f>
        <v/>
      </c>
      <c r="B871" s="12" t="str">
        <f aca="false">IF($A871="","",원본명단!$A870)</f>
        <v/>
      </c>
      <c r="C871" s="12" t="str">
        <f aca="false">IF($A871="","",원본명단!$B870)</f>
        <v/>
      </c>
      <c r="D871" s="12" t="str">
        <f aca="false">IF($A871="","",원본명단!$D870)</f>
        <v/>
      </c>
      <c r="E871" s="11" t="str">
        <f aca="false">IF($A871="","",IF(원본명단!$H870="",0,COUNTIF(원본명단!$H$3:$H$6002,원본명단!$H870)))</f>
        <v/>
      </c>
      <c r="F871" s="11" t="str">
        <f aca="false">IF($A871="","",IF(원본명단!$I870="",0,COUNTIF(원본명단!$I$3:$I$6002,원본명단!$I870)))</f>
        <v/>
      </c>
      <c r="G871" s="11" t="str">
        <f aca="false">IF($A871="","",IF(원본명단!$K870="",0,COUNTIF(원본명단!$K$3:$K$6002,원본명단!$K870)))</f>
        <v/>
      </c>
      <c r="H871" s="11" t="str">
        <f aca="false">IF($A871="","",IF(MAX($E871,$F871,$G871)&gt;1,"중복","-"))</f>
        <v/>
      </c>
      <c r="I871" s="11" t="str">
        <f aca="false">IF($A871="","",IF($H871="-","-",IF(AND(IF(원본명단!$H870="",TRUE(),COUNTIF(원본명단!$H$3:$H870,원본명단!$H870)=1),IF(원본명단!$I870="",TRUE(),COUNTIF(원본명단!$I$3:$I870,원본명단!$I870)=1),IF(원본명단!$K870="",TRUE(),COUNTIF(원본명단!$K$3:$K870,원본명단!$K870)=1)),"첫 건","중복 건")))</f>
        <v/>
      </c>
      <c r="J871" s="11" t="str">
        <f aca="false">IF($A871="","",IF($H871="-","유지",IF($I871="첫 건","유지","확인 필요")))</f>
        <v/>
      </c>
    </row>
    <row r="872" customFormat="false" ht="15" hidden="false" customHeight="true" outlineLevel="0" collapsed="false">
      <c r="A872" s="11" t="str">
        <f aca="false">IF(원본명단!$A871="","",869)</f>
        <v/>
      </c>
      <c r="B872" s="12" t="str">
        <f aca="false">IF($A872="","",원본명단!$A871)</f>
        <v/>
      </c>
      <c r="C872" s="12" t="str">
        <f aca="false">IF($A872="","",원본명단!$B871)</f>
        <v/>
      </c>
      <c r="D872" s="12" t="str">
        <f aca="false">IF($A872="","",원본명단!$D871)</f>
        <v/>
      </c>
      <c r="E872" s="11" t="str">
        <f aca="false">IF($A872="","",IF(원본명단!$H871="",0,COUNTIF(원본명단!$H$3:$H$6002,원본명단!$H871)))</f>
        <v/>
      </c>
      <c r="F872" s="11" t="str">
        <f aca="false">IF($A872="","",IF(원본명단!$I871="",0,COUNTIF(원본명단!$I$3:$I$6002,원본명단!$I871)))</f>
        <v/>
      </c>
      <c r="G872" s="11" t="str">
        <f aca="false">IF($A872="","",IF(원본명단!$K871="",0,COUNTIF(원본명단!$K$3:$K$6002,원본명단!$K871)))</f>
        <v/>
      </c>
      <c r="H872" s="11" t="str">
        <f aca="false">IF($A872="","",IF(MAX($E872,$F872,$G872)&gt;1,"중복","-"))</f>
        <v/>
      </c>
      <c r="I872" s="11" t="str">
        <f aca="false">IF($A872="","",IF($H872="-","-",IF(AND(IF(원본명단!$H871="",TRUE(),COUNTIF(원본명단!$H$3:$H871,원본명단!$H871)=1),IF(원본명단!$I871="",TRUE(),COUNTIF(원본명단!$I$3:$I871,원본명단!$I871)=1),IF(원본명단!$K871="",TRUE(),COUNTIF(원본명단!$K$3:$K871,원본명단!$K871)=1)),"첫 건","중복 건")))</f>
        <v/>
      </c>
      <c r="J872" s="11" t="str">
        <f aca="false">IF($A872="","",IF($H872="-","유지",IF($I872="첫 건","유지","확인 필요")))</f>
        <v/>
      </c>
    </row>
    <row r="873" customFormat="false" ht="15" hidden="false" customHeight="true" outlineLevel="0" collapsed="false">
      <c r="A873" s="11" t="str">
        <f aca="false">IF(원본명단!$A872="","",870)</f>
        <v/>
      </c>
      <c r="B873" s="12" t="str">
        <f aca="false">IF($A873="","",원본명단!$A872)</f>
        <v/>
      </c>
      <c r="C873" s="12" t="str">
        <f aca="false">IF($A873="","",원본명단!$B872)</f>
        <v/>
      </c>
      <c r="D873" s="12" t="str">
        <f aca="false">IF($A873="","",원본명단!$D872)</f>
        <v/>
      </c>
      <c r="E873" s="11" t="str">
        <f aca="false">IF($A873="","",IF(원본명단!$H872="",0,COUNTIF(원본명단!$H$3:$H$6002,원본명단!$H872)))</f>
        <v/>
      </c>
      <c r="F873" s="11" t="str">
        <f aca="false">IF($A873="","",IF(원본명단!$I872="",0,COUNTIF(원본명단!$I$3:$I$6002,원본명단!$I872)))</f>
        <v/>
      </c>
      <c r="G873" s="11" t="str">
        <f aca="false">IF($A873="","",IF(원본명단!$K872="",0,COUNTIF(원본명단!$K$3:$K$6002,원본명단!$K872)))</f>
        <v/>
      </c>
      <c r="H873" s="11" t="str">
        <f aca="false">IF($A873="","",IF(MAX($E873,$F873,$G873)&gt;1,"중복","-"))</f>
        <v/>
      </c>
      <c r="I873" s="11" t="str">
        <f aca="false">IF($A873="","",IF($H873="-","-",IF(AND(IF(원본명단!$H872="",TRUE(),COUNTIF(원본명단!$H$3:$H872,원본명단!$H872)=1),IF(원본명단!$I872="",TRUE(),COUNTIF(원본명단!$I$3:$I872,원본명단!$I872)=1),IF(원본명단!$K872="",TRUE(),COUNTIF(원본명단!$K$3:$K872,원본명단!$K872)=1)),"첫 건","중복 건")))</f>
        <v/>
      </c>
      <c r="J873" s="11" t="str">
        <f aca="false">IF($A873="","",IF($H873="-","유지",IF($I873="첫 건","유지","확인 필요")))</f>
        <v/>
      </c>
    </row>
    <row r="874" customFormat="false" ht="15" hidden="false" customHeight="true" outlineLevel="0" collapsed="false">
      <c r="A874" s="11" t="str">
        <f aca="false">IF(원본명단!$A873="","",871)</f>
        <v/>
      </c>
      <c r="B874" s="12" t="str">
        <f aca="false">IF($A874="","",원본명단!$A873)</f>
        <v/>
      </c>
      <c r="C874" s="12" t="str">
        <f aca="false">IF($A874="","",원본명단!$B873)</f>
        <v/>
      </c>
      <c r="D874" s="12" t="str">
        <f aca="false">IF($A874="","",원본명단!$D873)</f>
        <v/>
      </c>
      <c r="E874" s="11" t="str">
        <f aca="false">IF($A874="","",IF(원본명단!$H873="",0,COUNTIF(원본명단!$H$3:$H$6002,원본명단!$H873)))</f>
        <v/>
      </c>
      <c r="F874" s="11" t="str">
        <f aca="false">IF($A874="","",IF(원본명단!$I873="",0,COUNTIF(원본명단!$I$3:$I$6002,원본명단!$I873)))</f>
        <v/>
      </c>
      <c r="G874" s="11" t="str">
        <f aca="false">IF($A874="","",IF(원본명단!$K873="",0,COUNTIF(원본명단!$K$3:$K$6002,원본명단!$K873)))</f>
        <v/>
      </c>
      <c r="H874" s="11" t="str">
        <f aca="false">IF($A874="","",IF(MAX($E874,$F874,$G874)&gt;1,"중복","-"))</f>
        <v/>
      </c>
      <c r="I874" s="11" t="str">
        <f aca="false">IF($A874="","",IF($H874="-","-",IF(AND(IF(원본명단!$H873="",TRUE(),COUNTIF(원본명단!$H$3:$H873,원본명단!$H873)=1),IF(원본명단!$I873="",TRUE(),COUNTIF(원본명단!$I$3:$I873,원본명단!$I873)=1),IF(원본명단!$K873="",TRUE(),COUNTIF(원본명단!$K$3:$K873,원본명단!$K873)=1)),"첫 건","중복 건")))</f>
        <v/>
      </c>
      <c r="J874" s="11" t="str">
        <f aca="false">IF($A874="","",IF($H874="-","유지",IF($I874="첫 건","유지","확인 필요")))</f>
        <v/>
      </c>
    </row>
    <row r="875" customFormat="false" ht="15" hidden="false" customHeight="true" outlineLevel="0" collapsed="false">
      <c r="A875" s="11" t="str">
        <f aca="false">IF(원본명단!$A874="","",872)</f>
        <v/>
      </c>
      <c r="B875" s="12" t="str">
        <f aca="false">IF($A875="","",원본명단!$A874)</f>
        <v/>
      </c>
      <c r="C875" s="12" t="str">
        <f aca="false">IF($A875="","",원본명단!$B874)</f>
        <v/>
      </c>
      <c r="D875" s="12" t="str">
        <f aca="false">IF($A875="","",원본명단!$D874)</f>
        <v/>
      </c>
      <c r="E875" s="11" t="str">
        <f aca="false">IF($A875="","",IF(원본명단!$H874="",0,COUNTIF(원본명단!$H$3:$H$6002,원본명단!$H874)))</f>
        <v/>
      </c>
      <c r="F875" s="11" t="str">
        <f aca="false">IF($A875="","",IF(원본명단!$I874="",0,COUNTIF(원본명단!$I$3:$I$6002,원본명단!$I874)))</f>
        <v/>
      </c>
      <c r="G875" s="11" t="str">
        <f aca="false">IF($A875="","",IF(원본명단!$K874="",0,COUNTIF(원본명단!$K$3:$K$6002,원본명단!$K874)))</f>
        <v/>
      </c>
      <c r="H875" s="11" t="str">
        <f aca="false">IF($A875="","",IF(MAX($E875,$F875,$G875)&gt;1,"중복","-"))</f>
        <v/>
      </c>
      <c r="I875" s="11" t="str">
        <f aca="false">IF($A875="","",IF($H875="-","-",IF(AND(IF(원본명단!$H874="",TRUE(),COUNTIF(원본명단!$H$3:$H874,원본명단!$H874)=1),IF(원본명단!$I874="",TRUE(),COUNTIF(원본명단!$I$3:$I874,원본명단!$I874)=1),IF(원본명단!$K874="",TRUE(),COUNTIF(원본명단!$K$3:$K874,원본명단!$K874)=1)),"첫 건","중복 건")))</f>
        <v/>
      </c>
      <c r="J875" s="11" t="str">
        <f aca="false">IF($A875="","",IF($H875="-","유지",IF($I875="첫 건","유지","확인 필요")))</f>
        <v/>
      </c>
    </row>
    <row r="876" customFormat="false" ht="15" hidden="false" customHeight="true" outlineLevel="0" collapsed="false">
      <c r="A876" s="11" t="str">
        <f aca="false">IF(원본명단!$A875="","",873)</f>
        <v/>
      </c>
      <c r="B876" s="12" t="str">
        <f aca="false">IF($A876="","",원본명단!$A875)</f>
        <v/>
      </c>
      <c r="C876" s="12" t="str">
        <f aca="false">IF($A876="","",원본명단!$B875)</f>
        <v/>
      </c>
      <c r="D876" s="12" t="str">
        <f aca="false">IF($A876="","",원본명단!$D875)</f>
        <v/>
      </c>
      <c r="E876" s="11" t="str">
        <f aca="false">IF($A876="","",IF(원본명단!$H875="",0,COUNTIF(원본명단!$H$3:$H$6002,원본명단!$H875)))</f>
        <v/>
      </c>
      <c r="F876" s="11" t="str">
        <f aca="false">IF($A876="","",IF(원본명단!$I875="",0,COUNTIF(원본명단!$I$3:$I$6002,원본명단!$I875)))</f>
        <v/>
      </c>
      <c r="G876" s="11" t="str">
        <f aca="false">IF($A876="","",IF(원본명단!$K875="",0,COUNTIF(원본명단!$K$3:$K$6002,원본명단!$K875)))</f>
        <v/>
      </c>
      <c r="H876" s="11" t="str">
        <f aca="false">IF($A876="","",IF(MAX($E876,$F876,$G876)&gt;1,"중복","-"))</f>
        <v/>
      </c>
      <c r="I876" s="11" t="str">
        <f aca="false">IF($A876="","",IF($H876="-","-",IF(AND(IF(원본명단!$H875="",TRUE(),COUNTIF(원본명단!$H$3:$H875,원본명단!$H875)=1),IF(원본명단!$I875="",TRUE(),COUNTIF(원본명단!$I$3:$I875,원본명단!$I875)=1),IF(원본명단!$K875="",TRUE(),COUNTIF(원본명단!$K$3:$K875,원본명단!$K875)=1)),"첫 건","중복 건")))</f>
        <v/>
      </c>
      <c r="J876" s="11" t="str">
        <f aca="false">IF($A876="","",IF($H876="-","유지",IF($I876="첫 건","유지","확인 필요")))</f>
        <v/>
      </c>
    </row>
    <row r="877" customFormat="false" ht="15" hidden="false" customHeight="true" outlineLevel="0" collapsed="false">
      <c r="A877" s="11" t="str">
        <f aca="false">IF(원본명단!$A876="","",874)</f>
        <v/>
      </c>
      <c r="B877" s="12" t="str">
        <f aca="false">IF($A877="","",원본명단!$A876)</f>
        <v/>
      </c>
      <c r="C877" s="12" t="str">
        <f aca="false">IF($A877="","",원본명단!$B876)</f>
        <v/>
      </c>
      <c r="D877" s="12" t="str">
        <f aca="false">IF($A877="","",원본명단!$D876)</f>
        <v/>
      </c>
      <c r="E877" s="11" t="str">
        <f aca="false">IF($A877="","",IF(원본명단!$H876="",0,COUNTIF(원본명단!$H$3:$H$6002,원본명단!$H876)))</f>
        <v/>
      </c>
      <c r="F877" s="11" t="str">
        <f aca="false">IF($A877="","",IF(원본명단!$I876="",0,COUNTIF(원본명단!$I$3:$I$6002,원본명단!$I876)))</f>
        <v/>
      </c>
      <c r="G877" s="11" t="str">
        <f aca="false">IF($A877="","",IF(원본명단!$K876="",0,COUNTIF(원본명단!$K$3:$K$6002,원본명단!$K876)))</f>
        <v/>
      </c>
      <c r="H877" s="11" t="str">
        <f aca="false">IF($A877="","",IF(MAX($E877,$F877,$G877)&gt;1,"중복","-"))</f>
        <v/>
      </c>
      <c r="I877" s="11" t="str">
        <f aca="false">IF($A877="","",IF($H877="-","-",IF(AND(IF(원본명단!$H876="",TRUE(),COUNTIF(원본명단!$H$3:$H876,원본명단!$H876)=1),IF(원본명단!$I876="",TRUE(),COUNTIF(원본명단!$I$3:$I876,원본명단!$I876)=1),IF(원본명단!$K876="",TRUE(),COUNTIF(원본명단!$K$3:$K876,원본명단!$K876)=1)),"첫 건","중복 건")))</f>
        <v/>
      </c>
      <c r="J877" s="11" t="str">
        <f aca="false">IF($A877="","",IF($H877="-","유지",IF($I877="첫 건","유지","확인 필요")))</f>
        <v/>
      </c>
    </row>
    <row r="878" customFormat="false" ht="15" hidden="false" customHeight="true" outlineLevel="0" collapsed="false">
      <c r="A878" s="11" t="str">
        <f aca="false">IF(원본명단!$A877="","",875)</f>
        <v/>
      </c>
      <c r="B878" s="12" t="str">
        <f aca="false">IF($A878="","",원본명단!$A877)</f>
        <v/>
      </c>
      <c r="C878" s="12" t="str">
        <f aca="false">IF($A878="","",원본명단!$B877)</f>
        <v/>
      </c>
      <c r="D878" s="12" t="str">
        <f aca="false">IF($A878="","",원본명단!$D877)</f>
        <v/>
      </c>
      <c r="E878" s="11" t="str">
        <f aca="false">IF($A878="","",IF(원본명단!$H877="",0,COUNTIF(원본명단!$H$3:$H$6002,원본명단!$H877)))</f>
        <v/>
      </c>
      <c r="F878" s="11" t="str">
        <f aca="false">IF($A878="","",IF(원본명단!$I877="",0,COUNTIF(원본명단!$I$3:$I$6002,원본명단!$I877)))</f>
        <v/>
      </c>
      <c r="G878" s="11" t="str">
        <f aca="false">IF($A878="","",IF(원본명단!$K877="",0,COUNTIF(원본명단!$K$3:$K$6002,원본명단!$K877)))</f>
        <v/>
      </c>
      <c r="H878" s="11" t="str">
        <f aca="false">IF($A878="","",IF(MAX($E878,$F878,$G878)&gt;1,"중복","-"))</f>
        <v/>
      </c>
      <c r="I878" s="11" t="str">
        <f aca="false">IF($A878="","",IF($H878="-","-",IF(AND(IF(원본명단!$H877="",TRUE(),COUNTIF(원본명단!$H$3:$H877,원본명단!$H877)=1),IF(원본명단!$I877="",TRUE(),COUNTIF(원본명단!$I$3:$I877,원본명단!$I877)=1),IF(원본명단!$K877="",TRUE(),COUNTIF(원본명단!$K$3:$K877,원본명단!$K877)=1)),"첫 건","중복 건")))</f>
        <v/>
      </c>
      <c r="J878" s="11" t="str">
        <f aca="false">IF($A878="","",IF($H878="-","유지",IF($I878="첫 건","유지","확인 필요")))</f>
        <v/>
      </c>
    </row>
    <row r="879" customFormat="false" ht="15" hidden="false" customHeight="true" outlineLevel="0" collapsed="false">
      <c r="A879" s="11" t="str">
        <f aca="false">IF(원본명단!$A878="","",876)</f>
        <v/>
      </c>
      <c r="B879" s="12" t="str">
        <f aca="false">IF($A879="","",원본명단!$A878)</f>
        <v/>
      </c>
      <c r="C879" s="12" t="str">
        <f aca="false">IF($A879="","",원본명단!$B878)</f>
        <v/>
      </c>
      <c r="D879" s="12" t="str">
        <f aca="false">IF($A879="","",원본명단!$D878)</f>
        <v/>
      </c>
      <c r="E879" s="11" t="str">
        <f aca="false">IF($A879="","",IF(원본명단!$H878="",0,COUNTIF(원본명단!$H$3:$H$6002,원본명단!$H878)))</f>
        <v/>
      </c>
      <c r="F879" s="11" t="str">
        <f aca="false">IF($A879="","",IF(원본명단!$I878="",0,COUNTIF(원본명단!$I$3:$I$6002,원본명단!$I878)))</f>
        <v/>
      </c>
      <c r="G879" s="11" t="str">
        <f aca="false">IF($A879="","",IF(원본명단!$K878="",0,COUNTIF(원본명단!$K$3:$K$6002,원본명단!$K878)))</f>
        <v/>
      </c>
      <c r="H879" s="11" t="str">
        <f aca="false">IF($A879="","",IF(MAX($E879,$F879,$G879)&gt;1,"중복","-"))</f>
        <v/>
      </c>
      <c r="I879" s="11" t="str">
        <f aca="false">IF($A879="","",IF($H879="-","-",IF(AND(IF(원본명단!$H878="",TRUE(),COUNTIF(원본명단!$H$3:$H878,원본명단!$H878)=1),IF(원본명단!$I878="",TRUE(),COUNTIF(원본명단!$I$3:$I878,원본명단!$I878)=1),IF(원본명단!$K878="",TRUE(),COUNTIF(원본명단!$K$3:$K878,원본명단!$K878)=1)),"첫 건","중복 건")))</f>
        <v/>
      </c>
      <c r="J879" s="11" t="str">
        <f aca="false">IF($A879="","",IF($H879="-","유지",IF($I879="첫 건","유지","확인 필요")))</f>
        <v/>
      </c>
    </row>
    <row r="880" customFormat="false" ht="15" hidden="false" customHeight="true" outlineLevel="0" collapsed="false">
      <c r="A880" s="11" t="str">
        <f aca="false">IF(원본명단!$A879="","",877)</f>
        <v/>
      </c>
      <c r="B880" s="12" t="str">
        <f aca="false">IF($A880="","",원본명단!$A879)</f>
        <v/>
      </c>
      <c r="C880" s="12" t="str">
        <f aca="false">IF($A880="","",원본명단!$B879)</f>
        <v/>
      </c>
      <c r="D880" s="12" t="str">
        <f aca="false">IF($A880="","",원본명단!$D879)</f>
        <v/>
      </c>
      <c r="E880" s="11" t="str">
        <f aca="false">IF($A880="","",IF(원본명단!$H879="",0,COUNTIF(원본명단!$H$3:$H$6002,원본명단!$H879)))</f>
        <v/>
      </c>
      <c r="F880" s="11" t="str">
        <f aca="false">IF($A880="","",IF(원본명단!$I879="",0,COUNTIF(원본명단!$I$3:$I$6002,원본명단!$I879)))</f>
        <v/>
      </c>
      <c r="G880" s="11" t="str">
        <f aca="false">IF($A880="","",IF(원본명단!$K879="",0,COUNTIF(원본명단!$K$3:$K$6002,원본명단!$K879)))</f>
        <v/>
      </c>
      <c r="H880" s="11" t="str">
        <f aca="false">IF($A880="","",IF(MAX($E880,$F880,$G880)&gt;1,"중복","-"))</f>
        <v/>
      </c>
      <c r="I880" s="11" t="str">
        <f aca="false">IF($A880="","",IF($H880="-","-",IF(AND(IF(원본명단!$H879="",TRUE(),COUNTIF(원본명단!$H$3:$H879,원본명단!$H879)=1),IF(원본명단!$I879="",TRUE(),COUNTIF(원본명단!$I$3:$I879,원본명단!$I879)=1),IF(원본명단!$K879="",TRUE(),COUNTIF(원본명단!$K$3:$K879,원본명단!$K879)=1)),"첫 건","중복 건")))</f>
        <v/>
      </c>
      <c r="J880" s="11" t="str">
        <f aca="false">IF($A880="","",IF($H880="-","유지",IF($I880="첫 건","유지","확인 필요")))</f>
        <v/>
      </c>
    </row>
    <row r="881" customFormat="false" ht="15" hidden="false" customHeight="true" outlineLevel="0" collapsed="false">
      <c r="A881" s="11" t="str">
        <f aca="false">IF(원본명단!$A880="","",878)</f>
        <v/>
      </c>
      <c r="B881" s="12" t="str">
        <f aca="false">IF($A881="","",원본명단!$A880)</f>
        <v/>
      </c>
      <c r="C881" s="12" t="str">
        <f aca="false">IF($A881="","",원본명단!$B880)</f>
        <v/>
      </c>
      <c r="D881" s="12" t="str">
        <f aca="false">IF($A881="","",원본명단!$D880)</f>
        <v/>
      </c>
      <c r="E881" s="11" t="str">
        <f aca="false">IF($A881="","",IF(원본명단!$H880="",0,COUNTIF(원본명단!$H$3:$H$6002,원본명단!$H880)))</f>
        <v/>
      </c>
      <c r="F881" s="11" t="str">
        <f aca="false">IF($A881="","",IF(원본명단!$I880="",0,COUNTIF(원본명단!$I$3:$I$6002,원본명단!$I880)))</f>
        <v/>
      </c>
      <c r="G881" s="11" t="str">
        <f aca="false">IF($A881="","",IF(원본명단!$K880="",0,COUNTIF(원본명단!$K$3:$K$6002,원본명단!$K880)))</f>
        <v/>
      </c>
      <c r="H881" s="11" t="str">
        <f aca="false">IF($A881="","",IF(MAX($E881,$F881,$G881)&gt;1,"중복","-"))</f>
        <v/>
      </c>
      <c r="I881" s="11" t="str">
        <f aca="false">IF($A881="","",IF($H881="-","-",IF(AND(IF(원본명단!$H880="",TRUE(),COUNTIF(원본명단!$H$3:$H880,원본명단!$H880)=1),IF(원본명단!$I880="",TRUE(),COUNTIF(원본명단!$I$3:$I880,원본명단!$I880)=1),IF(원본명단!$K880="",TRUE(),COUNTIF(원본명단!$K$3:$K880,원본명단!$K880)=1)),"첫 건","중복 건")))</f>
        <v/>
      </c>
      <c r="J881" s="11" t="str">
        <f aca="false">IF($A881="","",IF($H881="-","유지",IF($I881="첫 건","유지","확인 필요")))</f>
        <v/>
      </c>
    </row>
    <row r="882" customFormat="false" ht="15" hidden="false" customHeight="true" outlineLevel="0" collapsed="false">
      <c r="A882" s="11" t="str">
        <f aca="false">IF(원본명단!$A881="","",879)</f>
        <v/>
      </c>
      <c r="B882" s="12" t="str">
        <f aca="false">IF($A882="","",원본명단!$A881)</f>
        <v/>
      </c>
      <c r="C882" s="12" t="str">
        <f aca="false">IF($A882="","",원본명단!$B881)</f>
        <v/>
      </c>
      <c r="D882" s="12" t="str">
        <f aca="false">IF($A882="","",원본명단!$D881)</f>
        <v/>
      </c>
      <c r="E882" s="11" t="str">
        <f aca="false">IF($A882="","",IF(원본명단!$H881="",0,COUNTIF(원본명단!$H$3:$H$6002,원본명단!$H881)))</f>
        <v/>
      </c>
      <c r="F882" s="11" t="str">
        <f aca="false">IF($A882="","",IF(원본명단!$I881="",0,COUNTIF(원본명단!$I$3:$I$6002,원본명단!$I881)))</f>
        <v/>
      </c>
      <c r="G882" s="11" t="str">
        <f aca="false">IF($A882="","",IF(원본명단!$K881="",0,COUNTIF(원본명단!$K$3:$K$6002,원본명단!$K881)))</f>
        <v/>
      </c>
      <c r="H882" s="11" t="str">
        <f aca="false">IF($A882="","",IF(MAX($E882,$F882,$G882)&gt;1,"중복","-"))</f>
        <v/>
      </c>
      <c r="I882" s="11" t="str">
        <f aca="false">IF($A882="","",IF($H882="-","-",IF(AND(IF(원본명단!$H881="",TRUE(),COUNTIF(원본명단!$H$3:$H881,원본명단!$H881)=1),IF(원본명단!$I881="",TRUE(),COUNTIF(원본명단!$I$3:$I881,원본명단!$I881)=1),IF(원본명단!$K881="",TRUE(),COUNTIF(원본명단!$K$3:$K881,원본명단!$K881)=1)),"첫 건","중복 건")))</f>
        <v/>
      </c>
      <c r="J882" s="11" t="str">
        <f aca="false">IF($A882="","",IF($H882="-","유지",IF($I882="첫 건","유지","확인 필요")))</f>
        <v/>
      </c>
    </row>
    <row r="883" customFormat="false" ht="15" hidden="false" customHeight="true" outlineLevel="0" collapsed="false">
      <c r="A883" s="11" t="str">
        <f aca="false">IF(원본명단!$A882="","",880)</f>
        <v/>
      </c>
      <c r="B883" s="12" t="str">
        <f aca="false">IF($A883="","",원본명단!$A882)</f>
        <v/>
      </c>
      <c r="C883" s="12" t="str">
        <f aca="false">IF($A883="","",원본명단!$B882)</f>
        <v/>
      </c>
      <c r="D883" s="12" t="str">
        <f aca="false">IF($A883="","",원본명단!$D882)</f>
        <v/>
      </c>
      <c r="E883" s="11" t="str">
        <f aca="false">IF($A883="","",IF(원본명단!$H882="",0,COUNTIF(원본명단!$H$3:$H$6002,원본명단!$H882)))</f>
        <v/>
      </c>
      <c r="F883" s="11" t="str">
        <f aca="false">IF($A883="","",IF(원본명단!$I882="",0,COUNTIF(원본명단!$I$3:$I$6002,원본명단!$I882)))</f>
        <v/>
      </c>
      <c r="G883" s="11" t="str">
        <f aca="false">IF($A883="","",IF(원본명단!$K882="",0,COUNTIF(원본명단!$K$3:$K$6002,원본명단!$K882)))</f>
        <v/>
      </c>
      <c r="H883" s="11" t="str">
        <f aca="false">IF($A883="","",IF(MAX($E883,$F883,$G883)&gt;1,"중복","-"))</f>
        <v/>
      </c>
      <c r="I883" s="11" t="str">
        <f aca="false">IF($A883="","",IF($H883="-","-",IF(AND(IF(원본명단!$H882="",TRUE(),COUNTIF(원본명단!$H$3:$H882,원본명단!$H882)=1),IF(원본명단!$I882="",TRUE(),COUNTIF(원본명단!$I$3:$I882,원본명단!$I882)=1),IF(원본명단!$K882="",TRUE(),COUNTIF(원본명단!$K$3:$K882,원본명단!$K882)=1)),"첫 건","중복 건")))</f>
        <v/>
      </c>
      <c r="J883" s="11" t="str">
        <f aca="false">IF($A883="","",IF($H883="-","유지",IF($I883="첫 건","유지","확인 필요")))</f>
        <v/>
      </c>
    </row>
    <row r="884" customFormat="false" ht="15" hidden="false" customHeight="true" outlineLevel="0" collapsed="false">
      <c r="A884" s="11" t="str">
        <f aca="false">IF(원본명단!$A883="","",881)</f>
        <v/>
      </c>
      <c r="B884" s="12" t="str">
        <f aca="false">IF($A884="","",원본명단!$A883)</f>
        <v/>
      </c>
      <c r="C884" s="12" t="str">
        <f aca="false">IF($A884="","",원본명단!$B883)</f>
        <v/>
      </c>
      <c r="D884" s="12" t="str">
        <f aca="false">IF($A884="","",원본명단!$D883)</f>
        <v/>
      </c>
      <c r="E884" s="11" t="str">
        <f aca="false">IF($A884="","",IF(원본명단!$H883="",0,COUNTIF(원본명단!$H$3:$H$6002,원본명단!$H883)))</f>
        <v/>
      </c>
      <c r="F884" s="11" t="str">
        <f aca="false">IF($A884="","",IF(원본명단!$I883="",0,COUNTIF(원본명단!$I$3:$I$6002,원본명단!$I883)))</f>
        <v/>
      </c>
      <c r="G884" s="11" t="str">
        <f aca="false">IF($A884="","",IF(원본명단!$K883="",0,COUNTIF(원본명단!$K$3:$K$6002,원본명단!$K883)))</f>
        <v/>
      </c>
      <c r="H884" s="11" t="str">
        <f aca="false">IF($A884="","",IF(MAX($E884,$F884,$G884)&gt;1,"중복","-"))</f>
        <v/>
      </c>
      <c r="I884" s="11" t="str">
        <f aca="false">IF($A884="","",IF($H884="-","-",IF(AND(IF(원본명단!$H883="",TRUE(),COUNTIF(원본명단!$H$3:$H883,원본명단!$H883)=1),IF(원본명단!$I883="",TRUE(),COUNTIF(원본명단!$I$3:$I883,원본명단!$I883)=1),IF(원본명단!$K883="",TRUE(),COUNTIF(원본명단!$K$3:$K883,원본명단!$K883)=1)),"첫 건","중복 건")))</f>
        <v/>
      </c>
      <c r="J884" s="11" t="str">
        <f aca="false">IF($A884="","",IF($H884="-","유지",IF($I884="첫 건","유지","확인 필요")))</f>
        <v/>
      </c>
    </row>
    <row r="885" customFormat="false" ht="15" hidden="false" customHeight="true" outlineLevel="0" collapsed="false">
      <c r="A885" s="11" t="str">
        <f aca="false">IF(원본명단!$A884="","",882)</f>
        <v/>
      </c>
      <c r="B885" s="12" t="str">
        <f aca="false">IF($A885="","",원본명단!$A884)</f>
        <v/>
      </c>
      <c r="C885" s="12" t="str">
        <f aca="false">IF($A885="","",원본명단!$B884)</f>
        <v/>
      </c>
      <c r="D885" s="12" t="str">
        <f aca="false">IF($A885="","",원본명단!$D884)</f>
        <v/>
      </c>
      <c r="E885" s="11" t="str">
        <f aca="false">IF($A885="","",IF(원본명단!$H884="",0,COUNTIF(원본명단!$H$3:$H$6002,원본명단!$H884)))</f>
        <v/>
      </c>
      <c r="F885" s="11" t="str">
        <f aca="false">IF($A885="","",IF(원본명단!$I884="",0,COUNTIF(원본명단!$I$3:$I$6002,원본명단!$I884)))</f>
        <v/>
      </c>
      <c r="G885" s="11" t="str">
        <f aca="false">IF($A885="","",IF(원본명단!$K884="",0,COUNTIF(원본명단!$K$3:$K$6002,원본명단!$K884)))</f>
        <v/>
      </c>
      <c r="H885" s="11" t="str">
        <f aca="false">IF($A885="","",IF(MAX($E885,$F885,$G885)&gt;1,"중복","-"))</f>
        <v/>
      </c>
      <c r="I885" s="11" t="str">
        <f aca="false">IF($A885="","",IF($H885="-","-",IF(AND(IF(원본명단!$H884="",TRUE(),COUNTIF(원본명단!$H$3:$H884,원본명단!$H884)=1),IF(원본명단!$I884="",TRUE(),COUNTIF(원본명단!$I$3:$I884,원본명단!$I884)=1),IF(원본명단!$K884="",TRUE(),COUNTIF(원본명단!$K$3:$K884,원본명단!$K884)=1)),"첫 건","중복 건")))</f>
        <v/>
      </c>
      <c r="J885" s="11" t="str">
        <f aca="false">IF($A885="","",IF($H885="-","유지",IF($I885="첫 건","유지","확인 필요")))</f>
        <v/>
      </c>
    </row>
    <row r="886" customFormat="false" ht="15" hidden="false" customHeight="true" outlineLevel="0" collapsed="false">
      <c r="A886" s="11" t="str">
        <f aca="false">IF(원본명단!$A885="","",883)</f>
        <v/>
      </c>
      <c r="B886" s="12" t="str">
        <f aca="false">IF($A886="","",원본명단!$A885)</f>
        <v/>
      </c>
      <c r="C886" s="12" t="str">
        <f aca="false">IF($A886="","",원본명단!$B885)</f>
        <v/>
      </c>
      <c r="D886" s="12" t="str">
        <f aca="false">IF($A886="","",원본명단!$D885)</f>
        <v/>
      </c>
      <c r="E886" s="11" t="str">
        <f aca="false">IF($A886="","",IF(원본명단!$H885="",0,COUNTIF(원본명단!$H$3:$H$6002,원본명단!$H885)))</f>
        <v/>
      </c>
      <c r="F886" s="11" t="str">
        <f aca="false">IF($A886="","",IF(원본명단!$I885="",0,COUNTIF(원본명단!$I$3:$I$6002,원본명단!$I885)))</f>
        <v/>
      </c>
      <c r="G886" s="11" t="str">
        <f aca="false">IF($A886="","",IF(원본명단!$K885="",0,COUNTIF(원본명단!$K$3:$K$6002,원본명단!$K885)))</f>
        <v/>
      </c>
      <c r="H886" s="11" t="str">
        <f aca="false">IF($A886="","",IF(MAX($E886,$F886,$G886)&gt;1,"중복","-"))</f>
        <v/>
      </c>
      <c r="I886" s="11" t="str">
        <f aca="false">IF($A886="","",IF($H886="-","-",IF(AND(IF(원본명단!$H885="",TRUE(),COUNTIF(원본명단!$H$3:$H885,원본명단!$H885)=1),IF(원본명단!$I885="",TRUE(),COUNTIF(원본명단!$I$3:$I885,원본명단!$I885)=1),IF(원본명단!$K885="",TRUE(),COUNTIF(원본명단!$K$3:$K885,원본명단!$K885)=1)),"첫 건","중복 건")))</f>
        <v/>
      </c>
      <c r="J886" s="11" t="str">
        <f aca="false">IF($A886="","",IF($H886="-","유지",IF($I886="첫 건","유지","확인 필요")))</f>
        <v/>
      </c>
    </row>
    <row r="887" customFormat="false" ht="15" hidden="false" customHeight="true" outlineLevel="0" collapsed="false">
      <c r="A887" s="11" t="str">
        <f aca="false">IF(원본명단!$A886="","",884)</f>
        <v/>
      </c>
      <c r="B887" s="12" t="str">
        <f aca="false">IF($A887="","",원본명단!$A886)</f>
        <v/>
      </c>
      <c r="C887" s="12" t="str">
        <f aca="false">IF($A887="","",원본명단!$B886)</f>
        <v/>
      </c>
      <c r="D887" s="12" t="str">
        <f aca="false">IF($A887="","",원본명단!$D886)</f>
        <v/>
      </c>
      <c r="E887" s="11" t="str">
        <f aca="false">IF($A887="","",IF(원본명단!$H886="",0,COUNTIF(원본명단!$H$3:$H$6002,원본명단!$H886)))</f>
        <v/>
      </c>
      <c r="F887" s="11" t="str">
        <f aca="false">IF($A887="","",IF(원본명단!$I886="",0,COUNTIF(원본명단!$I$3:$I$6002,원본명단!$I886)))</f>
        <v/>
      </c>
      <c r="G887" s="11" t="str">
        <f aca="false">IF($A887="","",IF(원본명단!$K886="",0,COUNTIF(원본명단!$K$3:$K$6002,원본명단!$K886)))</f>
        <v/>
      </c>
      <c r="H887" s="11" t="str">
        <f aca="false">IF($A887="","",IF(MAX($E887,$F887,$G887)&gt;1,"중복","-"))</f>
        <v/>
      </c>
      <c r="I887" s="11" t="str">
        <f aca="false">IF($A887="","",IF($H887="-","-",IF(AND(IF(원본명단!$H886="",TRUE(),COUNTIF(원본명단!$H$3:$H886,원본명단!$H886)=1),IF(원본명단!$I886="",TRUE(),COUNTIF(원본명단!$I$3:$I886,원본명단!$I886)=1),IF(원본명단!$K886="",TRUE(),COUNTIF(원본명단!$K$3:$K886,원본명단!$K886)=1)),"첫 건","중복 건")))</f>
        <v/>
      </c>
      <c r="J887" s="11" t="str">
        <f aca="false">IF($A887="","",IF($H887="-","유지",IF($I887="첫 건","유지","확인 필요")))</f>
        <v/>
      </c>
    </row>
    <row r="888" customFormat="false" ht="15" hidden="false" customHeight="true" outlineLevel="0" collapsed="false">
      <c r="A888" s="11" t="str">
        <f aca="false">IF(원본명단!$A887="","",885)</f>
        <v/>
      </c>
      <c r="B888" s="12" t="str">
        <f aca="false">IF($A888="","",원본명단!$A887)</f>
        <v/>
      </c>
      <c r="C888" s="12" t="str">
        <f aca="false">IF($A888="","",원본명단!$B887)</f>
        <v/>
      </c>
      <c r="D888" s="12" t="str">
        <f aca="false">IF($A888="","",원본명단!$D887)</f>
        <v/>
      </c>
      <c r="E888" s="11" t="str">
        <f aca="false">IF($A888="","",IF(원본명단!$H887="",0,COUNTIF(원본명단!$H$3:$H$6002,원본명단!$H887)))</f>
        <v/>
      </c>
      <c r="F888" s="11" t="str">
        <f aca="false">IF($A888="","",IF(원본명단!$I887="",0,COUNTIF(원본명단!$I$3:$I$6002,원본명단!$I887)))</f>
        <v/>
      </c>
      <c r="G888" s="11" t="str">
        <f aca="false">IF($A888="","",IF(원본명단!$K887="",0,COUNTIF(원본명단!$K$3:$K$6002,원본명단!$K887)))</f>
        <v/>
      </c>
      <c r="H888" s="11" t="str">
        <f aca="false">IF($A888="","",IF(MAX($E888,$F888,$G888)&gt;1,"중복","-"))</f>
        <v/>
      </c>
      <c r="I888" s="11" t="str">
        <f aca="false">IF($A888="","",IF($H888="-","-",IF(AND(IF(원본명단!$H887="",TRUE(),COUNTIF(원본명단!$H$3:$H887,원본명단!$H887)=1),IF(원본명단!$I887="",TRUE(),COUNTIF(원본명단!$I$3:$I887,원본명단!$I887)=1),IF(원본명단!$K887="",TRUE(),COUNTIF(원본명단!$K$3:$K887,원본명단!$K887)=1)),"첫 건","중복 건")))</f>
        <v/>
      </c>
      <c r="J888" s="11" t="str">
        <f aca="false">IF($A888="","",IF($H888="-","유지",IF($I888="첫 건","유지","확인 필요")))</f>
        <v/>
      </c>
    </row>
    <row r="889" customFormat="false" ht="15" hidden="false" customHeight="true" outlineLevel="0" collapsed="false">
      <c r="A889" s="11" t="str">
        <f aca="false">IF(원본명단!$A888="","",886)</f>
        <v/>
      </c>
      <c r="B889" s="12" t="str">
        <f aca="false">IF($A889="","",원본명단!$A888)</f>
        <v/>
      </c>
      <c r="C889" s="12" t="str">
        <f aca="false">IF($A889="","",원본명단!$B888)</f>
        <v/>
      </c>
      <c r="D889" s="12" t="str">
        <f aca="false">IF($A889="","",원본명단!$D888)</f>
        <v/>
      </c>
      <c r="E889" s="11" t="str">
        <f aca="false">IF($A889="","",IF(원본명단!$H888="",0,COUNTIF(원본명단!$H$3:$H$6002,원본명단!$H888)))</f>
        <v/>
      </c>
      <c r="F889" s="11" t="str">
        <f aca="false">IF($A889="","",IF(원본명단!$I888="",0,COUNTIF(원본명단!$I$3:$I$6002,원본명단!$I888)))</f>
        <v/>
      </c>
      <c r="G889" s="11" t="str">
        <f aca="false">IF($A889="","",IF(원본명단!$K888="",0,COUNTIF(원본명단!$K$3:$K$6002,원본명단!$K888)))</f>
        <v/>
      </c>
      <c r="H889" s="11" t="str">
        <f aca="false">IF($A889="","",IF(MAX($E889,$F889,$G889)&gt;1,"중복","-"))</f>
        <v/>
      </c>
      <c r="I889" s="11" t="str">
        <f aca="false">IF($A889="","",IF($H889="-","-",IF(AND(IF(원본명단!$H888="",TRUE(),COUNTIF(원본명단!$H$3:$H888,원본명단!$H888)=1),IF(원본명단!$I888="",TRUE(),COUNTIF(원본명단!$I$3:$I888,원본명단!$I888)=1),IF(원본명단!$K888="",TRUE(),COUNTIF(원본명단!$K$3:$K888,원본명단!$K888)=1)),"첫 건","중복 건")))</f>
        <v/>
      </c>
      <c r="J889" s="11" t="str">
        <f aca="false">IF($A889="","",IF($H889="-","유지",IF($I889="첫 건","유지","확인 필요")))</f>
        <v/>
      </c>
    </row>
    <row r="890" customFormat="false" ht="15" hidden="false" customHeight="true" outlineLevel="0" collapsed="false">
      <c r="A890" s="11" t="str">
        <f aca="false">IF(원본명단!$A889="","",887)</f>
        <v/>
      </c>
      <c r="B890" s="12" t="str">
        <f aca="false">IF($A890="","",원본명단!$A889)</f>
        <v/>
      </c>
      <c r="C890" s="12" t="str">
        <f aca="false">IF($A890="","",원본명단!$B889)</f>
        <v/>
      </c>
      <c r="D890" s="12" t="str">
        <f aca="false">IF($A890="","",원본명단!$D889)</f>
        <v/>
      </c>
      <c r="E890" s="11" t="str">
        <f aca="false">IF($A890="","",IF(원본명단!$H889="",0,COUNTIF(원본명단!$H$3:$H$6002,원본명단!$H889)))</f>
        <v/>
      </c>
      <c r="F890" s="11" t="str">
        <f aca="false">IF($A890="","",IF(원본명단!$I889="",0,COUNTIF(원본명단!$I$3:$I$6002,원본명단!$I889)))</f>
        <v/>
      </c>
      <c r="G890" s="11" t="str">
        <f aca="false">IF($A890="","",IF(원본명단!$K889="",0,COUNTIF(원본명단!$K$3:$K$6002,원본명단!$K889)))</f>
        <v/>
      </c>
      <c r="H890" s="11" t="str">
        <f aca="false">IF($A890="","",IF(MAX($E890,$F890,$G890)&gt;1,"중복","-"))</f>
        <v/>
      </c>
      <c r="I890" s="11" t="str">
        <f aca="false">IF($A890="","",IF($H890="-","-",IF(AND(IF(원본명단!$H889="",TRUE(),COUNTIF(원본명단!$H$3:$H889,원본명단!$H889)=1),IF(원본명단!$I889="",TRUE(),COUNTIF(원본명단!$I$3:$I889,원본명단!$I889)=1),IF(원본명단!$K889="",TRUE(),COUNTIF(원본명단!$K$3:$K889,원본명단!$K889)=1)),"첫 건","중복 건")))</f>
        <v/>
      </c>
      <c r="J890" s="11" t="str">
        <f aca="false">IF($A890="","",IF($H890="-","유지",IF($I890="첫 건","유지","확인 필요")))</f>
        <v/>
      </c>
    </row>
    <row r="891" customFormat="false" ht="15" hidden="false" customHeight="true" outlineLevel="0" collapsed="false">
      <c r="A891" s="11" t="str">
        <f aca="false">IF(원본명단!$A890="","",888)</f>
        <v/>
      </c>
      <c r="B891" s="12" t="str">
        <f aca="false">IF($A891="","",원본명단!$A890)</f>
        <v/>
      </c>
      <c r="C891" s="12" t="str">
        <f aca="false">IF($A891="","",원본명단!$B890)</f>
        <v/>
      </c>
      <c r="D891" s="12" t="str">
        <f aca="false">IF($A891="","",원본명단!$D890)</f>
        <v/>
      </c>
      <c r="E891" s="11" t="str">
        <f aca="false">IF($A891="","",IF(원본명단!$H890="",0,COUNTIF(원본명단!$H$3:$H$6002,원본명단!$H890)))</f>
        <v/>
      </c>
      <c r="F891" s="11" t="str">
        <f aca="false">IF($A891="","",IF(원본명단!$I890="",0,COUNTIF(원본명단!$I$3:$I$6002,원본명단!$I890)))</f>
        <v/>
      </c>
      <c r="G891" s="11" t="str">
        <f aca="false">IF($A891="","",IF(원본명단!$K890="",0,COUNTIF(원본명단!$K$3:$K$6002,원본명단!$K890)))</f>
        <v/>
      </c>
      <c r="H891" s="11" t="str">
        <f aca="false">IF($A891="","",IF(MAX($E891,$F891,$G891)&gt;1,"중복","-"))</f>
        <v/>
      </c>
      <c r="I891" s="11" t="str">
        <f aca="false">IF($A891="","",IF($H891="-","-",IF(AND(IF(원본명단!$H890="",TRUE(),COUNTIF(원본명단!$H$3:$H890,원본명단!$H890)=1),IF(원본명단!$I890="",TRUE(),COUNTIF(원본명단!$I$3:$I890,원본명단!$I890)=1),IF(원본명단!$K890="",TRUE(),COUNTIF(원본명단!$K$3:$K890,원본명단!$K890)=1)),"첫 건","중복 건")))</f>
        <v/>
      </c>
      <c r="J891" s="11" t="str">
        <f aca="false">IF($A891="","",IF($H891="-","유지",IF($I891="첫 건","유지","확인 필요")))</f>
        <v/>
      </c>
    </row>
    <row r="892" customFormat="false" ht="15" hidden="false" customHeight="true" outlineLevel="0" collapsed="false">
      <c r="A892" s="11" t="str">
        <f aca="false">IF(원본명단!$A891="","",889)</f>
        <v/>
      </c>
      <c r="B892" s="12" t="str">
        <f aca="false">IF($A892="","",원본명단!$A891)</f>
        <v/>
      </c>
      <c r="C892" s="12" t="str">
        <f aca="false">IF($A892="","",원본명단!$B891)</f>
        <v/>
      </c>
      <c r="D892" s="12" t="str">
        <f aca="false">IF($A892="","",원본명단!$D891)</f>
        <v/>
      </c>
      <c r="E892" s="11" t="str">
        <f aca="false">IF($A892="","",IF(원본명단!$H891="",0,COUNTIF(원본명단!$H$3:$H$6002,원본명단!$H891)))</f>
        <v/>
      </c>
      <c r="F892" s="11" t="str">
        <f aca="false">IF($A892="","",IF(원본명단!$I891="",0,COUNTIF(원본명단!$I$3:$I$6002,원본명단!$I891)))</f>
        <v/>
      </c>
      <c r="G892" s="11" t="str">
        <f aca="false">IF($A892="","",IF(원본명단!$K891="",0,COUNTIF(원본명단!$K$3:$K$6002,원본명단!$K891)))</f>
        <v/>
      </c>
      <c r="H892" s="11" t="str">
        <f aca="false">IF($A892="","",IF(MAX($E892,$F892,$G892)&gt;1,"중복","-"))</f>
        <v/>
      </c>
      <c r="I892" s="11" t="str">
        <f aca="false">IF($A892="","",IF($H892="-","-",IF(AND(IF(원본명단!$H891="",TRUE(),COUNTIF(원본명단!$H$3:$H891,원본명단!$H891)=1),IF(원본명단!$I891="",TRUE(),COUNTIF(원본명단!$I$3:$I891,원본명단!$I891)=1),IF(원본명단!$K891="",TRUE(),COUNTIF(원본명단!$K$3:$K891,원본명단!$K891)=1)),"첫 건","중복 건")))</f>
        <v/>
      </c>
      <c r="J892" s="11" t="str">
        <f aca="false">IF($A892="","",IF($H892="-","유지",IF($I892="첫 건","유지","확인 필요")))</f>
        <v/>
      </c>
    </row>
    <row r="893" customFormat="false" ht="15" hidden="false" customHeight="true" outlineLevel="0" collapsed="false">
      <c r="A893" s="11" t="str">
        <f aca="false">IF(원본명단!$A892="","",890)</f>
        <v/>
      </c>
      <c r="B893" s="12" t="str">
        <f aca="false">IF($A893="","",원본명단!$A892)</f>
        <v/>
      </c>
      <c r="C893" s="12" t="str">
        <f aca="false">IF($A893="","",원본명단!$B892)</f>
        <v/>
      </c>
      <c r="D893" s="12" t="str">
        <f aca="false">IF($A893="","",원본명단!$D892)</f>
        <v/>
      </c>
      <c r="E893" s="11" t="str">
        <f aca="false">IF($A893="","",IF(원본명단!$H892="",0,COUNTIF(원본명단!$H$3:$H$6002,원본명단!$H892)))</f>
        <v/>
      </c>
      <c r="F893" s="11" t="str">
        <f aca="false">IF($A893="","",IF(원본명단!$I892="",0,COUNTIF(원본명단!$I$3:$I$6002,원본명단!$I892)))</f>
        <v/>
      </c>
      <c r="G893" s="11" t="str">
        <f aca="false">IF($A893="","",IF(원본명단!$K892="",0,COUNTIF(원본명단!$K$3:$K$6002,원본명단!$K892)))</f>
        <v/>
      </c>
      <c r="H893" s="11" t="str">
        <f aca="false">IF($A893="","",IF(MAX($E893,$F893,$G893)&gt;1,"중복","-"))</f>
        <v/>
      </c>
      <c r="I893" s="11" t="str">
        <f aca="false">IF($A893="","",IF($H893="-","-",IF(AND(IF(원본명단!$H892="",TRUE(),COUNTIF(원본명단!$H$3:$H892,원본명단!$H892)=1),IF(원본명단!$I892="",TRUE(),COUNTIF(원본명단!$I$3:$I892,원본명단!$I892)=1),IF(원본명단!$K892="",TRUE(),COUNTIF(원본명단!$K$3:$K892,원본명단!$K892)=1)),"첫 건","중복 건")))</f>
        <v/>
      </c>
      <c r="J893" s="11" t="str">
        <f aca="false">IF($A893="","",IF($H893="-","유지",IF($I893="첫 건","유지","확인 필요")))</f>
        <v/>
      </c>
    </row>
    <row r="894" customFormat="false" ht="15" hidden="false" customHeight="true" outlineLevel="0" collapsed="false">
      <c r="A894" s="11" t="str">
        <f aca="false">IF(원본명단!$A893="","",891)</f>
        <v/>
      </c>
      <c r="B894" s="12" t="str">
        <f aca="false">IF($A894="","",원본명단!$A893)</f>
        <v/>
      </c>
      <c r="C894" s="12" t="str">
        <f aca="false">IF($A894="","",원본명단!$B893)</f>
        <v/>
      </c>
      <c r="D894" s="12" t="str">
        <f aca="false">IF($A894="","",원본명단!$D893)</f>
        <v/>
      </c>
      <c r="E894" s="11" t="str">
        <f aca="false">IF($A894="","",IF(원본명단!$H893="",0,COUNTIF(원본명단!$H$3:$H$6002,원본명단!$H893)))</f>
        <v/>
      </c>
      <c r="F894" s="11" t="str">
        <f aca="false">IF($A894="","",IF(원본명단!$I893="",0,COUNTIF(원본명단!$I$3:$I$6002,원본명단!$I893)))</f>
        <v/>
      </c>
      <c r="G894" s="11" t="str">
        <f aca="false">IF($A894="","",IF(원본명단!$K893="",0,COUNTIF(원본명단!$K$3:$K$6002,원본명단!$K893)))</f>
        <v/>
      </c>
      <c r="H894" s="11" t="str">
        <f aca="false">IF($A894="","",IF(MAX($E894,$F894,$G894)&gt;1,"중복","-"))</f>
        <v/>
      </c>
      <c r="I894" s="11" t="str">
        <f aca="false">IF($A894="","",IF($H894="-","-",IF(AND(IF(원본명단!$H893="",TRUE(),COUNTIF(원본명단!$H$3:$H893,원본명단!$H893)=1),IF(원본명단!$I893="",TRUE(),COUNTIF(원본명단!$I$3:$I893,원본명단!$I893)=1),IF(원본명단!$K893="",TRUE(),COUNTIF(원본명단!$K$3:$K893,원본명단!$K893)=1)),"첫 건","중복 건")))</f>
        <v/>
      </c>
      <c r="J894" s="11" t="str">
        <f aca="false">IF($A894="","",IF($H894="-","유지",IF($I894="첫 건","유지","확인 필요")))</f>
        <v/>
      </c>
    </row>
    <row r="895" customFormat="false" ht="15" hidden="false" customHeight="true" outlineLevel="0" collapsed="false">
      <c r="A895" s="11" t="str">
        <f aca="false">IF(원본명단!$A894="","",892)</f>
        <v/>
      </c>
      <c r="B895" s="12" t="str">
        <f aca="false">IF($A895="","",원본명단!$A894)</f>
        <v/>
      </c>
      <c r="C895" s="12" t="str">
        <f aca="false">IF($A895="","",원본명단!$B894)</f>
        <v/>
      </c>
      <c r="D895" s="12" t="str">
        <f aca="false">IF($A895="","",원본명단!$D894)</f>
        <v/>
      </c>
      <c r="E895" s="11" t="str">
        <f aca="false">IF($A895="","",IF(원본명단!$H894="",0,COUNTIF(원본명단!$H$3:$H$6002,원본명단!$H894)))</f>
        <v/>
      </c>
      <c r="F895" s="11" t="str">
        <f aca="false">IF($A895="","",IF(원본명단!$I894="",0,COUNTIF(원본명단!$I$3:$I$6002,원본명단!$I894)))</f>
        <v/>
      </c>
      <c r="G895" s="11" t="str">
        <f aca="false">IF($A895="","",IF(원본명단!$K894="",0,COUNTIF(원본명단!$K$3:$K$6002,원본명단!$K894)))</f>
        <v/>
      </c>
      <c r="H895" s="11" t="str">
        <f aca="false">IF($A895="","",IF(MAX($E895,$F895,$G895)&gt;1,"중복","-"))</f>
        <v/>
      </c>
      <c r="I895" s="11" t="str">
        <f aca="false">IF($A895="","",IF($H895="-","-",IF(AND(IF(원본명단!$H894="",TRUE(),COUNTIF(원본명단!$H$3:$H894,원본명단!$H894)=1),IF(원본명단!$I894="",TRUE(),COUNTIF(원본명단!$I$3:$I894,원본명단!$I894)=1),IF(원본명단!$K894="",TRUE(),COUNTIF(원본명단!$K$3:$K894,원본명단!$K894)=1)),"첫 건","중복 건")))</f>
        <v/>
      </c>
      <c r="J895" s="11" t="str">
        <f aca="false">IF($A895="","",IF($H895="-","유지",IF($I895="첫 건","유지","확인 필요")))</f>
        <v/>
      </c>
    </row>
    <row r="896" customFormat="false" ht="15" hidden="false" customHeight="true" outlineLevel="0" collapsed="false">
      <c r="A896" s="11" t="str">
        <f aca="false">IF(원본명단!$A895="","",893)</f>
        <v/>
      </c>
      <c r="B896" s="12" t="str">
        <f aca="false">IF($A896="","",원본명단!$A895)</f>
        <v/>
      </c>
      <c r="C896" s="12" t="str">
        <f aca="false">IF($A896="","",원본명단!$B895)</f>
        <v/>
      </c>
      <c r="D896" s="12" t="str">
        <f aca="false">IF($A896="","",원본명단!$D895)</f>
        <v/>
      </c>
      <c r="E896" s="11" t="str">
        <f aca="false">IF($A896="","",IF(원본명단!$H895="",0,COUNTIF(원본명단!$H$3:$H$6002,원본명단!$H895)))</f>
        <v/>
      </c>
      <c r="F896" s="11" t="str">
        <f aca="false">IF($A896="","",IF(원본명단!$I895="",0,COUNTIF(원본명단!$I$3:$I$6002,원본명단!$I895)))</f>
        <v/>
      </c>
      <c r="G896" s="11" t="str">
        <f aca="false">IF($A896="","",IF(원본명단!$K895="",0,COUNTIF(원본명단!$K$3:$K$6002,원본명단!$K895)))</f>
        <v/>
      </c>
      <c r="H896" s="11" t="str">
        <f aca="false">IF($A896="","",IF(MAX($E896,$F896,$G896)&gt;1,"중복","-"))</f>
        <v/>
      </c>
      <c r="I896" s="11" t="str">
        <f aca="false">IF($A896="","",IF($H896="-","-",IF(AND(IF(원본명단!$H895="",TRUE(),COUNTIF(원본명단!$H$3:$H895,원본명단!$H895)=1),IF(원본명단!$I895="",TRUE(),COUNTIF(원본명단!$I$3:$I895,원본명단!$I895)=1),IF(원본명단!$K895="",TRUE(),COUNTIF(원본명단!$K$3:$K895,원본명단!$K895)=1)),"첫 건","중복 건")))</f>
        <v/>
      </c>
      <c r="J896" s="11" t="str">
        <f aca="false">IF($A896="","",IF($H896="-","유지",IF($I896="첫 건","유지","확인 필요")))</f>
        <v/>
      </c>
    </row>
    <row r="897" customFormat="false" ht="15" hidden="false" customHeight="true" outlineLevel="0" collapsed="false">
      <c r="A897" s="11" t="str">
        <f aca="false">IF(원본명단!$A896="","",894)</f>
        <v/>
      </c>
      <c r="B897" s="12" t="str">
        <f aca="false">IF($A897="","",원본명단!$A896)</f>
        <v/>
      </c>
      <c r="C897" s="12" t="str">
        <f aca="false">IF($A897="","",원본명단!$B896)</f>
        <v/>
      </c>
      <c r="D897" s="12" t="str">
        <f aca="false">IF($A897="","",원본명단!$D896)</f>
        <v/>
      </c>
      <c r="E897" s="11" t="str">
        <f aca="false">IF($A897="","",IF(원본명단!$H896="",0,COUNTIF(원본명단!$H$3:$H$6002,원본명단!$H896)))</f>
        <v/>
      </c>
      <c r="F897" s="11" t="str">
        <f aca="false">IF($A897="","",IF(원본명단!$I896="",0,COUNTIF(원본명단!$I$3:$I$6002,원본명단!$I896)))</f>
        <v/>
      </c>
      <c r="G897" s="11" t="str">
        <f aca="false">IF($A897="","",IF(원본명단!$K896="",0,COUNTIF(원본명단!$K$3:$K$6002,원본명단!$K896)))</f>
        <v/>
      </c>
      <c r="H897" s="11" t="str">
        <f aca="false">IF($A897="","",IF(MAX($E897,$F897,$G897)&gt;1,"중복","-"))</f>
        <v/>
      </c>
      <c r="I897" s="11" t="str">
        <f aca="false">IF($A897="","",IF($H897="-","-",IF(AND(IF(원본명단!$H896="",TRUE(),COUNTIF(원본명단!$H$3:$H896,원본명단!$H896)=1),IF(원본명단!$I896="",TRUE(),COUNTIF(원본명단!$I$3:$I896,원본명단!$I896)=1),IF(원본명단!$K896="",TRUE(),COUNTIF(원본명단!$K$3:$K896,원본명단!$K896)=1)),"첫 건","중복 건")))</f>
        <v/>
      </c>
      <c r="J897" s="11" t="str">
        <f aca="false">IF($A897="","",IF($H897="-","유지",IF($I897="첫 건","유지","확인 필요")))</f>
        <v/>
      </c>
    </row>
    <row r="898" customFormat="false" ht="15" hidden="false" customHeight="true" outlineLevel="0" collapsed="false">
      <c r="A898" s="11" t="str">
        <f aca="false">IF(원본명단!$A897="","",895)</f>
        <v/>
      </c>
      <c r="B898" s="12" t="str">
        <f aca="false">IF($A898="","",원본명단!$A897)</f>
        <v/>
      </c>
      <c r="C898" s="12" t="str">
        <f aca="false">IF($A898="","",원본명단!$B897)</f>
        <v/>
      </c>
      <c r="D898" s="12" t="str">
        <f aca="false">IF($A898="","",원본명단!$D897)</f>
        <v/>
      </c>
      <c r="E898" s="11" t="str">
        <f aca="false">IF($A898="","",IF(원본명단!$H897="",0,COUNTIF(원본명단!$H$3:$H$6002,원본명단!$H897)))</f>
        <v/>
      </c>
      <c r="F898" s="11" t="str">
        <f aca="false">IF($A898="","",IF(원본명단!$I897="",0,COUNTIF(원본명단!$I$3:$I$6002,원본명단!$I897)))</f>
        <v/>
      </c>
      <c r="G898" s="11" t="str">
        <f aca="false">IF($A898="","",IF(원본명단!$K897="",0,COUNTIF(원본명단!$K$3:$K$6002,원본명단!$K897)))</f>
        <v/>
      </c>
      <c r="H898" s="11" t="str">
        <f aca="false">IF($A898="","",IF(MAX($E898,$F898,$G898)&gt;1,"중복","-"))</f>
        <v/>
      </c>
      <c r="I898" s="11" t="str">
        <f aca="false">IF($A898="","",IF($H898="-","-",IF(AND(IF(원본명단!$H897="",TRUE(),COUNTIF(원본명단!$H$3:$H897,원본명단!$H897)=1),IF(원본명단!$I897="",TRUE(),COUNTIF(원본명단!$I$3:$I897,원본명단!$I897)=1),IF(원본명단!$K897="",TRUE(),COUNTIF(원본명단!$K$3:$K897,원본명단!$K897)=1)),"첫 건","중복 건")))</f>
        <v/>
      </c>
      <c r="J898" s="11" t="str">
        <f aca="false">IF($A898="","",IF($H898="-","유지",IF($I898="첫 건","유지","확인 필요")))</f>
        <v/>
      </c>
    </row>
    <row r="899" customFormat="false" ht="15" hidden="false" customHeight="true" outlineLevel="0" collapsed="false">
      <c r="A899" s="11" t="str">
        <f aca="false">IF(원본명단!$A898="","",896)</f>
        <v/>
      </c>
      <c r="B899" s="12" t="str">
        <f aca="false">IF($A899="","",원본명단!$A898)</f>
        <v/>
      </c>
      <c r="C899" s="12" t="str">
        <f aca="false">IF($A899="","",원본명단!$B898)</f>
        <v/>
      </c>
      <c r="D899" s="12" t="str">
        <f aca="false">IF($A899="","",원본명단!$D898)</f>
        <v/>
      </c>
      <c r="E899" s="11" t="str">
        <f aca="false">IF($A899="","",IF(원본명단!$H898="",0,COUNTIF(원본명단!$H$3:$H$6002,원본명단!$H898)))</f>
        <v/>
      </c>
      <c r="F899" s="11" t="str">
        <f aca="false">IF($A899="","",IF(원본명단!$I898="",0,COUNTIF(원본명단!$I$3:$I$6002,원본명단!$I898)))</f>
        <v/>
      </c>
      <c r="G899" s="11" t="str">
        <f aca="false">IF($A899="","",IF(원본명단!$K898="",0,COUNTIF(원본명단!$K$3:$K$6002,원본명단!$K898)))</f>
        <v/>
      </c>
      <c r="H899" s="11" t="str">
        <f aca="false">IF($A899="","",IF(MAX($E899,$F899,$G899)&gt;1,"중복","-"))</f>
        <v/>
      </c>
      <c r="I899" s="11" t="str">
        <f aca="false">IF($A899="","",IF($H899="-","-",IF(AND(IF(원본명단!$H898="",TRUE(),COUNTIF(원본명단!$H$3:$H898,원본명단!$H898)=1),IF(원본명단!$I898="",TRUE(),COUNTIF(원본명단!$I$3:$I898,원본명단!$I898)=1),IF(원본명단!$K898="",TRUE(),COUNTIF(원본명단!$K$3:$K898,원본명단!$K898)=1)),"첫 건","중복 건")))</f>
        <v/>
      </c>
      <c r="J899" s="11" t="str">
        <f aca="false">IF($A899="","",IF($H899="-","유지",IF($I899="첫 건","유지","확인 필요")))</f>
        <v/>
      </c>
    </row>
    <row r="900" customFormat="false" ht="15" hidden="false" customHeight="true" outlineLevel="0" collapsed="false">
      <c r="A900" s="11" t="str">
        <f aca="false">IF(원본명단!$A899="","",897)</f>
        <v/>
      </c>
      <c r="B900" s="12" t="str">
        <f aca="false">IF($A900="","",원본명단!$A899)</f>
        <v/>
      </c>
      <c r="C900" s="12" t="str">
        <f aca="false">IF($A900="","",원본명단!$B899)</f>
        <v/>
      </c>
      <c r="D900" s="12" t="str">
        <f aca="false">IF($A900="","",원본명단!$D899)</f>
        <v/>
      </c>
      <c r="E900" s="11" t="str">
        <f aca="false">IF($A900="","",IF(원본명단!$H899="",0,COUNTIF(원본명단!$H$3:$H$6002,원본명단!$H899)))</f>
        <v/>
      </c>
      <c r="F900" s="11" t="str">
        <f aca="false">IF($A900="","",IF(원본명단!$I899="",0,COUNTIF(원본명단!$I$3:$I$6002,원본명단!$I899)))</f>
        <v/>
      </c>
      <c r="G900" s="11" t="str">
        <f aca="false">IF($A900="","",IF(원본명단!$K899="",0,COUNTIF(원본명단!$K$3:$K$6002,원본명단!$K899)))</f>
        <v/>
      </c>
      <c r="H900" s="11" t="str">
        <f aca="false">IF($A900="","",IF(MAX($E900,$F900,$G900)&gt;1,"중복","-"))</f>
        <v/>
      </c>
      <c r="I900" s="11" t="str">
        <f aca="false">IF($A900="","",IF($H900="-","-",IF(AND(IF(원본명단!$H899="",TRUE(),COUNTIF(원본명단!$H$3:$H899,원본명단!$H899)=1),IF(원본명단!$I899="",TRUE(),COUNTIF(원본명단!$I$3:$I899,원본명단!$I899)=1),IF(원본명단!$K899="",TRUE(),COUNTIF(원본명단!$K$3:$K899,원본명단!$K899)=1)),"첫 건","중복 건")))</f>
        <v/>
      </c>
      <c r="J900" s="11" t="str">
        <f aca="false">IF($A900="","",IF($H900="-","유지",IF($I900="첫 건","유지","확인 필요")))</f>
        <v/>
      </c>
    </row>
    <row r="901" customFormat="false" ht="15" hidden="false" customHeight="true" outlineLevel="0" collapsed="false">
      <c r="A901" s="11" t="str">
        <f aca="false">IF(원본명단!$A900="","",898)</f>
        <v/>
      </c>
      <c r="B901" s="12" t="str">
        <f aca="false">IF($A901="","",원본명단!$A900)</f>
        <v/>
      </c>
      <c r="C901" s="12" t="str">
        <f aca="false">IF($A901="","",원본명단!$B900)</f>
        <v/>
      </c>
      <c r="D901" s="12" t="str">
        <f aca="false">IF($A901="","",원본명단!$D900)</f>
        <v/>
      </c>
      <c r="E901" s="11" t="str">
        <f aca="false">IF($A901="","",IF(원본명단!$H900="",0,COUNTIF(원본명단!$H$3:$H$6002,원본명단!$H900)))</f>
        <v/>
      </c>
      <c r="F901" s="11" t="str">
        <f aca="false">IF($A901="","",IF(원본명단!$I900="",0,COUNTIF(원본명단!$I$3:$I$6002,원본명단!$I900)))</f>
        <v/>
      </c>
      <c r="G901" s="11" t="str">
        <f aca="false">IF($A901="","",IF(원본명단!$K900="",0,COUNTIF(원본명단!$K$3:$K$6002,원본명단!$K900)))</f>
        <v/>
      </c>
      <c r="H901" s="11" t="str">
        <f aca="false">IF($A901="","",IF(MAX($E901,$F901,$G901)&gt;1,"중복","-"))</f>
        <v/>
      </c>
      <c r="I901" s="11" t="str">
        <f aca="false">IF($A901="","",IF($H901="-","-",IF(AND(IF(원본명단!$H900="",TRUE(),COUNTIF(원본명단!$H$3:$H900,원본명단!$H900)=1),IF(원본명단!$I900="",TRUE(),COUNTIF(원본명단!$I$3:$I900,원본명단!$I900)=1),IF(원본명단!$K900="",TRUE(),COUNTIF(원본명단!$K$3:$K900,원본명단!$K900)=1)),"첫 건","중복 건")))</f>
        <v/>
      </c>
      <c r="J901" s="11" t="str">
        <f aca="false">IF($A901="","",IF($H901="-","유지",IF($I901="첫 건","유지","확인 필요")))</f>
        <v/>
      </c>
    </row>
    <row r="902" customFormat="false" ht="15" hidden="false" customHeight="true" outlineLevel="0" collapsed="false">
      <c r="A902" s="11" t="str">
        <f aca="false">IF(원본명단!$A901="","",899)</f>
        <v/>
      </c>
      <c r="B902" s="12" t="str">
        <f aca="false">IF($A902="","",원본명단!$A901)</f>
        <v/>
      </c>
      <c r="C902" s="12" t="str">
        <f aca="false">IF($A902="","",원본명단!$B901)</f>
        <v/>
      </c>
      <c r="D902" s="12" t="str">
        <f aca="false">IF($A902="","",원본명단!$D901)</f>
        <v/>
      </c>
      <c r="E902" s="11" t="str">
        <f aca="false">IF($A902="","",IF(원본명단!$H901="",0,COUNTIF(원본명단!$H$3:$H$6002,원본명단!$H901)))</f>
        <v/>
      </c>
      <c r="F902" s="11" t="str">
        <f aca="false">IF($A902="","",IF(원본명단!$I901="",0,COUNTIF(원본명단!$I$3:$I$6002,원본명단!$I901)))</f>
        <v/>
      </c>
      <c r="G902" s="11" t="str">
        <f aca="false">IF($A902="","",IF(원본명단!$K901="",0,COUNTIF(원본명단!$K$3:$K$6002,원본명단!$K901)))</f>
        <v/>
      </c>
      <c r="H902" s="11" t="str">
        <f aca="false">IF($A902="","",IF(MAX($E902,$F902,$G902)&gt;1,"중복","-"))</f>
        <v/>
      </c>
      <c r="I902" s="11" t="str">
        <f aca="false">IF($A902="","",IF($H902="-","-",IF(AND(IF(원본명단!$H901="",TRUE(),COUNTIF(원본명단!$H$3:$H901,원본명단!$H901)=1),IF(원본명단!$I901="",TRUE(),COUNTIF(원본명단!$I$3:$I901,원본명단!$I901)=1),IF(원본명단!$K901="",TRUE(),COUNTIF(원본명단!$K$3:$K901,원본명단!$K901)=1)),"첫 건","중복 건")))</f>
        <v/>
      </c>
      <c r="J902" s="11" t="str">
        <f aca="false">IF($A902="","",IF($H902="-","유지",IF($I902="첫 건","유지","확인 필요")))</f>
        <v/>
      </c>
    </row>
    <row r="903" customFormat="false" ht="15" hidden="false" customHeight="true" outlineLevel="0" collapsed="false">
      <c r="A903" s="11" t="str">
        <f aca="false">IF(원본명단!$A902="","",900)</f>
        <v/>
      </c>
      <c r="B903" s="12" t="str">
        <f aca="false">IF($A903="","",원본명단!$A902)</f>
        <v/>
      </c>
      <c r="C903" s="12" t="str">
        <f aca="false">IF($A903="","",원본명단!$B902)</f>
        <v/>
      </c>
      <c r="D903" s="12" t="str">
        <f aca="false">IF($A903="","",원본명단!$D902)</f>
        <v/>
      </c>
      <c r="E903" s="11" t="str">
        <f aca="false">IF($A903="","",IF(원본명단!$H902="",0,COUNTIF(원본명단!$H$3:$H$6002,원본명단!$H902)))</f>
        <v/>
      </c>
      <c r="F903" s="11" t="str">
        <f aca="false">IF($A903="","",IF(원본명단!$I902="",0,COUNTIF(원본명단!$I$3:$I$6002,원본명단!$I902)))</f>
        <v/>
      </c>
      <c r="G903" s="11" t="str">
        <f aca="false">IF($A903="","",IF(원본명단!$K902="",0,COUNTIF(원본명단!$K$3:$K$6002,원본명단!$K902)))</f>
        <v/>
      </c>
      <c r="H903" s="11" t="str">
        <f aca="false">IF($A903="","",IF(MAX($E903,$F903,$G903)&gt;1,"중복","-"))</f>
        <v/>
      </c>
      <c r="I903" s="11" t="str">
        <f aca="false">IF($A903="","",IF($H903="-","-",IF(AND(IF(원본명단!$H902="",TRUE(),COUNTIF(원본명단!$H$3:$H902,원본명단!$H902)=1),IF(원본명단!$I902="",TRUE(),COUNTIF(원본명단!$I$3:$I902,원본명단!$I902)=1),IF(원본명단!$K902="",TRUE(),COUNTIF(원본명단!$K$3:$K902,원본명단!$K902)=1)),"첫 건","중복 건")))</f>
        <v/>
      </c>
      <c r="J903" s="11" t="str">
        <f aca="false">IF($A903="","",IF($H903="-","유지",IF($I903="첫 건","유지","확인 필요")))</f>
        <v/>
      </c>
    </row>
    <row r="904" customFormat="false" ht="15" hidden="false" customHeight="true" outlineLevel="0" collapsed="false">
      <c r="A904" s="11" t="str">
        <f aca="false">IF(원본명단!$A903="","",901)</f>
        <v/>
      </c>
      <c r="B904" s="12" t="str">
        <f aca="false">IF($A904="","",원본명단!$A903)</f>
        <v/>
      </c>
      <c r="C904" s="12" t="str">
        <f aca="false">IF($A904="","",원본명단!$B903)</f>
        <v/>
      </c>
      <c r="D904" s="12" t="str">
        <f aca="false">IF($A904="","",원본명단!$D903)</f>
        <v/>
      </c>
      <c r="E904" s="11" t="str">
        <f aca="false">IF($A904="","",IF(원본명단!$H903="",0,COUNTIF(원본명단!$H$3:$H$6002,원본명단!$H903)))</f>
        <v/>
      </c>
      <c r="F904" s="11" t="str">
        <f aca="false">IF($A904="","",IF(원본명단!$I903="",0,COUNTIF(원본명단!$I$3:$I$6002,원본명단!$I903)))</f>
        <v/>
      </c>
      <c r="G904" s="11" t="str">
        <f aca="false">IF($A904="","",IF(원본명단!$K903="",0,COUNTIF(원본명단!$K$3:$K$6002,원본명단!$K903)))</f>
        <v/>
      </c>
      <c r="H904" s="11" t="str">
        <f aca="false">IF($A904="","",IF(MAX($E904,$F904,$G904)&gt;1,"중복","-"))</f>
        <v/>
      </c>
      <c r="I904" s="11" t="str">
        <f aca="false">IF($A904="","",IF($H904="-","-",IF(AND(IF(원본명단!$H903="",TRUE(),COUNTIF(원본명단!$H$3:$H903,원본명단!$H903)=1),IF(원본명단!$I903="",TRUE(),COUNTIF(원본명단!$I$3:$I903,원본명단!$I903)=1),IF(원본명단!$K903="",TRUE(),COUNTIF(원본명단!$K$3:$K903,원본명단!$K903)=1)),"첫 건","중복 건")))</f>
        <v/>
      </c>
      <c r="J904" s="11" t="str">
        <f aca="false">IF($A904="","",IF($H904="-","유지",IF($I904="첫 건","유지","확인 필요")))</f>
        <v/>
      </c>
    </row>
    <row r="905" customFormat="false" ht="15" hidden="false" customHeight="true" outlineLevel="0" collapsed="false">
      <c r="A905" s="11" t="str">
        <f aca="false">IF(원본명단!$A904="","",902)</f>
        <v/>
      </c>
      <c r="B905" s="12" t="str">
        <f aca="false">IF($A905="","",원본명단!$A904)</f>
        <v/>
      </c>
      <c r="C905" s="12" t="str">
        <f aca="false">IF($A905="","",원본명단!$B904)</f>
        <v/>
      </c>
      <c r="D905" s="12" t="str">
        <f aca="false">IF($A905="","",원본명단!$D904)</f>
        <v/>
      </c>
      <c r="E905" s="11" t="str">
        <f aca="false">IF($A905="","",IF(원본명단!$H904="",0,COUNTIF(원본명단!$H$3:$H$6002,원본명단!$H904)))</f>
        <v/>
      </c>
      <c r="F905" s="11" t="str">
        <f aca="false">IF($A905="","",IF(원본명단!$I904="",0,COUNTIF(원본명단!$I$3:$I$6002,원본명단!$I904)))</f>
        <v/>
      </c>
      <c r="G905" s="11" t="str">
        <f aca="false">IF($A905="","",IF(원본명단!$K904="",0,COUNTIF(원본명단!$K$3:$K$6002,원본명단!$K904)))</f>
        <v/>
      </c>
      <c r="H905" s="11" t="str">
        <f aca="false">IF($A905="","",IF(MAX($E905,$F905,$G905)&gt;1,"중복","-"))</f>
        <v/>
      </c>
      <c r="I905" s="11" t="str">
        <f aca="false">IF($A905="","",IF($H905="-","-",IF(AND(IF(원본명단!$H904="",TRUE(),COUNTIF(원본명단!$H$3:$H904,원본명단!$H904)=1),IF(원본명단!$I904="",TRUE(),COUNTIF(원본명단!$I$3:$I904,원본명단!$I904)=1),IF(원본명단!$K904="",TRUE(),COUNTIF(원본명단!$K$3:$K904,원본명단!$K904)=1)),"첫 건","중복 건")))</f>
        <v/>
      </c>
      <c r="J905" s="11" t="str">
        <f aca="false">IF($A905="","",IF($H905="-","유지",IF($I905="첫 건","유지","확인 필요")))</f>
        <v/>
      </c>
    </row>
    <row r="906" customFormat="false" ht="15" hidden="false" customHeight="true" outlineLevel="0" collapsed="false">
      <c r="A906" s="11" t="str">
        <f aca="false">IF(원본명단!$A905="","",903)</f>
        <v/>
      </c>
      <c r="B906" s="12" t="str">
        <f aca="false">IF($A906="","",원본명단!$A905)</f>
        <v/>
      </c>
      <c r="C906" s="12" t="str">
        <f aca="false">IF($A906="","",원본명단!$B905)</f>
        <v/>
      </c>
      <c r="D906" s="12" t="str">
        <f aca="false">IF($A906="","",원본명단!$D905)</f>
        <v/>
      </c>
      <c r="E906" s="11" t="str">
        <f aca="false">IF($A906="","",IF(원본명단!$H905="",0,COUNTIF(원본명단!$H$3:$H$6002,원본명단!$H905)))</f>
        <v/>
      </c>
      <c r="F906" s="11" t="str">
        <f aca="false">IF($A906="","",IF(원본명단!$I905="",0,COUNTIF(원본명단!$I$3:$I$6002,원본명단!$I905)))</f>
        <v/>
      </c>
      <c r="G906" s="11" t="str">
        <f aca="false">IF($A906="","",IF(원본명단!$K905="",0,COUNTIF(원본명단!$K$3:$K$6002,원본명단!$K905)))</f>
        <v/>
      </c>
      <c r="H906" s="11" t="str">
        <f aca="false">IF($A906="","",IF(MAX($E906,$F906,$G906)&gt;1,"중복","-"))</f>
        <v/>
      </c>
      <c r="I906" s="11" t="str">
        <f aca="false">IF($A906="","",IF($H906="-","-",IF(AND(IF(원본명단!$H905="",TRUE(),COUNTIF(원본명단!$H$3:$H905,원본명단!$H905)=1),IF(원본명단!$I905="",TRUE(),COUNTIF(원본명단!$I$3:$I905,원본명단!$I905)=1),IF(원본명단!$K905="",TRUE(),COUNTIF(원본명단!$K$3:$K905,원본명단!$K905)=1)),"첫 건","중복 건")))</f>
        <v/>
      </c>
      <c r="J906" s="11" t="str">
        <f aca="false">IF($A906="","",IF($H906="-","유지",IF($I906="첫 건","유지","확인 필요")))</f>
        <v/>
      </c>
    </row>
    <row r="907" customFormat="false" ht="15" hidden="false" customHeight="true" outlineLevel="0" collapsed="false">
      <c r="A907" s="11" t="str">
        <f aca="false">IF(원본명단!$A906="","",904)</f>
        <v/>
      </c>
      <c r="B907" s="12" t="str">
        <f aca="false">IF($A907="","",원본명단!$A906)</f>
        <v/>
      </c>
      <c r="C907" s="12" t="str">
        <f aca="false">IF($A907="","",원본명단!$B906)</f>
        <v/>
      </c>
      <c r="D907" s="12" t="str">
        <f aca="false">IF($A907="","",원본명단!$D906)</f>
        <v/>
      </c>
      <c r="E907" s="11" t="str">
        <f aca="false">IF($A907="","",IF(원본명단!$H906="",0,COUNTIF(원본명단!$H$3:$H$6002,원본명단!$H906)))</f>
        <v/>
      </c>
      <c r="F907" s="11" t="str">
        <f aca="false">IF($A907="","",IF(원본명단!$I906="",0,COUNTIF(원본명단!$I$3:$I$6002,원본명단!$I906)))</f>
        <v/>
      </c>
      <c r="G907" s="11" t="str">
        <f aca="false">IF($A907="","",IF(원본명단!$K906="",0,COUNTIF(원본명단!$K$3:$K$6002,원본명단!$K906)))</f>
        <v/>
      </c>
      <c r="H907" s="11" t="str">
        <f aca="false">IF($A907="","",IF(MAX($E907,$F907,$G907)&gt;1,"중복","-"))</f>
        <v/>
      </c>
      <c r="I907" s="11" t="str">
        <f aca="false">IF($A907="","",IF($H907="-","-",IF(AND(IF(원본명단!$H906="",TRUE(),COUNTIF(원본명단!$H$3:$H906,원본명단!$H906)=1),IF(원본명단!$I906="",TRUE(),COUNTIF(원본명단!$I$3:$I906,원본명단!$I906)=1),IF(원본명단!$K906="",TRUE(),COUNTIF(원본명단!$K$3:$K906,원본명단!$K906)=1)),"첫 건","중복 건")))</f>
        <v/>
      </c>
      <c r="J907" s="11" t="str">
        <f aca="false">IF($A907="","",IF($H907="-","유지",IF($I907="첫 건","유지","확인 필요")))</f>
        <v/>
      </c>
    </row>
    <row r="908" customFormat="false" ht="15" hidden="false" customHeight="true" outlineLevel="0" collapsed="false">
      <c r="A908" s="11" t="str">
        <f aca="false">IF(원본명단!$A907="","",905)</f>
        <v/>
      </c>
      <c r="B908" s="12" t="str">
        <f aca="false">IF($A908="","",원본명단!$A907)</f>
        <v/>
      </c>
      <c r="C908" s="12" t="str">
        <f aca="false">IF($A908="","",원본명단!$B907)</f>
        <v/>
      </c>
      <c r="D908" s="12" t="str">
        <f aca="false">IF($A908="","",원본명단!$D907)</f>
        <v/>
      </c>
      <c r="E908" s="11" t="str">
        <f aca="false">IF($A908="","",IF(원본명단!$H907="",0,COUNTIF(원본명단!$H$3:$H$6002,원본명단!$H907)))</f>
        <v/>
      </c>
      <c r="F908" s="11" t="str">
        <f aca="false">IF($A908="","",IF(원본명단!$I907="",0,COUNTIF(원본명단!$I$3:$I$6002,원본명단!$I907)))</f>
        <v/>
      </c>
      <c r="G908" s="11" t="str">
        <f aca="false">IF($A908="","",IF(원본명단!$K907="",0,COUNTIF(원본명단!$K$3:$K$6002,원본명단!$K907)))</f>
        <v/>
      </c>
      <c r="H908" s="11" t="str">
        <f aca="false">IF($A908="","",IF(MAX($E908,$F908,$G908)&gt;1,"중복","-"))</f>
        <v/>
      </c>
      <c r="I908" s="11" t="str">
        <f aca="false">IF($A908="","",IF($H908="-","-",IF(AND(IF(원본명단!$H907="",TRUE(),COUNTIF(원본명단!$H$3:$H907,원본명단!$H907)=1),IF(원본명단!$I907="",TRUE(),COUNTIF(원본명단!$I$3:$I907,원본명단!$I907)=1),IF(원본명단!$K907="",TRUE(),COUNTIF(원본명단!$K$3:$K907,원본명단!$K907)=1)),"첫 건","중복 건")))</f>
        <v/>
      </c>
      <c r="J908" s="11" t="str">
        <f aca="false">IF($A908="","",IF($H908="-","유지",IF($I908="첫 건","유지","확인 필요")))</f>
        <v/>
      </c>
    </row>
    <row r="909" customFormat="false" ht="15" hidden="false" customHeight="true" outlineLevel="0" collapsed="false">
      <c r="A909" s="11" t="str">
        <f aca="false">IF(원본명단!$A908="","",906)</f>
        <v/>
      </c>
      <c r="B909" s="12" t="str">
        <f aca="false">IF($A909="","",원본명단!$A908)</f>
        <v/>
      </c>
      <c r="C909" s="12" t="str">
        <f aca="false">IF($A909="","",원본명단!$B908)</f>
        <v/>
      </c>
      <c r="D909" s="12" t="str">
        <f aca="false">IF($A909="","",원본명단!$D908)</f>
        <v/>
      </c>
      <c r="E909" s="11" t="str">
        <f aca="false">IF($A909="","",IF(원본명단!$H908="",0,COUNTIF(원본명단!$H$3:$H$6002,원본명단!$H908)))</f>
        <v/>
      </c>
      <c r="F909" s="11" t="str">
        <f aca="false">IF($A909="","",IF(원본명단!$I908="",0,COUNTIF(원본명단!$I$3:$I$6002,원본명단!$I908)))</f>
        <v/>
      </c>
      <c r="G909" s="11" t="str">
        <f aca="false">IF($A909="","",IF(원본명단!$K908="",0,COUNTIF(원본명단!$K$3:$K$6002,원본명단!$K908)))</f>
        <v/>
      </c>
      <c r="H909" s="11" t="str">
        <f aca="false">IF($A909="","",IF(MAX($E909,$F909,$G909)&gt;1,"중복","-"))</f>
        <v/>
      </c>
      <c r="I909" s="11" t="str">
        <f aca="false">IF($A909="","",IF($H909="-","-",IF(AND(IF(원본명단!$H908="",TRUE(),COUNTIF(원본명단!$H$3:$H908,원본명단!$H908)=1),IF(원본명단!$I908="",TRUE(),COUNTIF(원본명단!$I$3:$I908,원본명단!$I908)=1),IF(원본명단!$K908="",TRUE(),COUNTIF(원본명단!$K$3:$K908,원본명단!$K908)=1)),"첫 건","중복 건")))</f>
        <v/>
      </c>
      <c r="J909" s="11" t="str">
        <f aca="false">IF($A909="","",IF($H909="-","유지",IF($I909="첫 건","유지","확인 필요")))</f>
        <v/>
      </c>
    </row>
    <row r="910" customFormat="false" ht="15" hidden="false" customHeight="true" outlineLevel="0" collapsed="false">
      <c r="A910" s="11" t="str">
        <f aca="false">IF(원본명단!$A909="","",907)</f>
        <v/>
      </c>
      <c r="B910" s="12" t="str">
        <f aca="false">IF($A910="","",원본명단!$A909)</f>
        <v/>
      </c>
      <c r="C910" s="12" t="str">
        <f aca="false">IF($A910="","",원본명단!$B909)</f>
        <v/>
      </c>
      <c r="D910" s="12" t="str">
        <f aca="false">IF($A910="","",원본명단!$D909)</f>
        <v/>
      </c>
      <c r="E910" s="11" t="str">
        <f aca="false">IF($A910="","",IF(원본명단!$H909="",0,COUNTIF(원본명단!$H$3:$H$6002,원본명단!$H909)))</f>
        <v/>
      </c>
      <c r="F910" s="11" t="str">
        <f aca="false">IF($A910="","",IF(원본명단!$I909="",0,COUNTIF(원본명단!$I$3:$I$6002,원본명단!$I909)))</f>
        <v/>
      </c>
      <c r="G910" s="11" t="str">
        <f aca="false">IF($A910="","",IF(원본명단!$K909="",0,COUNTIF(원본명단!$K$3:$K$6002,원본명단!$K909)))</f>
        <v/>
      </c>
      <c r="H910" s="11" t="str">
        <f aca="false">IF($A910="","",IF(MAX($E910,$F910,$G910)&gt;1,"중복","-"))</f>
        <v/>
      </c>
      <c r="I910" s="11" t="str">
        <f aca="false">IF($A910="","",IF($H910="-","-",IF(AND(IF(원본명단!$H909="",TRUE(),COUNTIF(원본명단!$H$3:$H909,원본명단!$H909)=1),IF(원본명단!$I909="",TRUE(),COUNTIF(원본명단!$I$3:$I909,원본명단!$I909)=1),IF(원본명단!$K909="",TRUE(),COUNTIF(원본명단!$K$3:$K909,원본명단!$K909)=1)),"첫 건","중복 건")))</f>
        <v/>
      </c>
      <c r="J910" s="11" t="str">
        <f aca="false">IF($A910="","",IF($H910="-","유지",IF($I910="첫 건","유지","확인 필요")))</f>
        <v/>
      </c>
    </row>
    <row r="911" customFormat="false" ht="15" hidden="false" customHeight="true" outlineLevel="0" collapsed="false">
      <c r="A911" s="11" t="str">
        <f aca="false">IF(원본명단!$A910="","",908)</f>
        <v/>
      </c>
      <c r="B911" s="12" t="str">
        <f aca="false">IF($A911="","",원본명단!$A910)</f>
        <v/>
      </c>
      <c r="C911" s="12" t="str">
        <f aca="false">IF($A911="","",원본명단!$B910)</f>
        <v/>
      </c>
      <c r="D911" s="12" t="str">
        <f aca="false">IF($A911="","",원본명단!$D910)</f>
        <v/>
      </c>
      <c r="E911" s="11" t="str">
        <f aca="false">IF($A911="","",IF(원본명단!$H910="",0,COUNTIF(원본명단!$H$3:$H$6002,원본명단!$H910)))</f>
        <v/>
      </c>
      <c r="F911" s="11" t="str">
        <f aca="false">IF($A911="","",IF(원본명단!$I910="",0,COUNTIF(원본명단!$I$3:$I$6002,원본명단!$I910)))</f>
        <v/>
      </c>
      <c r="G911" s="11" t="str">
        <f aca="false">IF($A911="","",IF(원본명단!$K910="",0,COUNTIF(원본명단!$K$3:$K$6002,원본명단!$K910)))</f>
        <v/>
      </c>
      <c r="H911" s="11" t="str">
        <f aca="false">IF($A911="","",IF(MAX($E911,$F911,$G911)&gt;1,"중복","-"))</f>
        <v/>
      </c>
      <c r="I911" s="11" t="str">
        <f aca="false">IF($A911="","",IF($H911="-","-",IF(AND(IF(원본명단!$H910="",TRUE(),COUNTIF(원본명단!$H$3:$H910,원본명단!$H910)=1),IF(원본명단!$I910="",TRUE(),COUNTIF(원본명단!$I$3:$I910,원본명단!$I910)=1),IF(원본명단!$K910="",TRUE(),COUNTIF(원본명단!$K$3:$K910,원본명단!$K910)=1)),"첫 건","중복 건")))</f>
        <v/>
      </c>
      <c r="J911" s="11" t="str">
        <f aca="false">IF($A911="","",IF($H911="-","유지",IF($I911="첫 건","유지","확인 필요")))</f>
        <v/>
      </c>
    </row>
    <row r="912" customFormat="false" ht="15" hidden="false" customHeight="true" outlineLevel="0" collapsed="false">
      <c r="A912" s="11" t="str">
        <f aca="false">IF(원본명단!$A911="","",909)</f>
        <v/>
      </c>
      <c r="B912" s="12" t="str">
        <f aca="false">IF($A912="","",원본명단!$A911)</f>
        <v/>
      </c>
      <c r="C912" s="12" t="str">
        <f aca="false">IF($A912="","",원본명단!$B911)</f>
        <v/>
      </c>
      <c r="D912" s="12" t="str">
        <f aca="false">IF($A912="","",원본명단!$D911)</f>
        <v/>
      </c>
      <c r="E912" s="11" t="str">
        <f aca="false">IF($A912="","",IF(원본명단!$H911="",0,COUNTIF(원본명단!$H$3:$H$6002,원본명단!$H911)))</f>
        <v/>
      </c>
      <c r="F912" s="11" t="str">
        <f aca="false">IF($A912="","",IF(원본명단!$I911="",0,COUNTIF(원본명단!$I$3:$I$6002,원본명단!$I911)))</f>
        <v/>
      </c>
      <c r="G912" s="11" t="str">
        <f aca="false">IF($A912="","",IF(원본명단!$K911="",0,COUNTIF(원본명단!$K$3:$K$6002,원본명단!$K911)))</f>
        <v/>
      </c>
      <c r="H912" s="11" t="str">
        <f aca="false">IF($A912="","",IF(MAX($E912,$F912,$G912)&gt;1,"중복","-"))</f>
        <v/>
      </c>
      <c r="I912" s="11" t="str">
        <f aca="false">IF($A912="","",IF($H912="-","-",IF(AND(IF(원본명단!$H911="",TRUE(),COUNTIF(원본명단!$H$3:$H911,원본명단!$H911)=1),IF(원본명단!$I911="",TRUE(),COUNTIF(원본명단!$I$3:$I911,원본명단!$I911)=1),IF(원본명단!$K911="",TRUE(),COUNTIF(원본명단!$K$3:$K911,원본명단!$K911)=1)),"첫 건","중복 건")))</f>
        <v/>
      </c>
      <c r="J912" s="11" t="str">
        <f aca="false">IF($A912="","",IF($H912="-","유지",IF($I912="첫 건","유지","확인 필요")))</f>
        <v/>
      </c>
    </row>
    <row r="913" customFormat="false" ht="15" hidden="false" customHeight="true" outlineLevel="0" collapsed="false">
      <c r="A913" s="11" t="str">
        <f aca="false">IF(원본명단!$A912="","",910)</f>
        <v/>
      </c>
      <c r="B913" s="12" t="str">
        <f aca="false">IF($A913="","",원본명단!$A912)</f>
        <v/>
      </c>
      <c r="C913" s="12" t="str">
        <f aca="false">IF($A913="","",원본명단!$B912)</f>
        <v/>
      </c>
      <c r="D913" s="12" t="str">
        <f aca="false">IF($A913="","",원본명단!$D912)</f>
        <v/>
      </c>
      <c r="E913" s="11" t="str">
        <f aca="false">IF($A913="","",IF(원본명단!$H912="",0,COUNTIF(원본명단!$H$3:$H$6002,원본명단!$H912)))</f>
        <v/>
      </c>
      <c r="F913" s="11" t="str">
        <f aca="false">IF($A913="","",IF(원본명단!$I912="",0,COUNTIF(원본명단!$I$3:$I$6002,원본명단!$I912)))</f>
        <v/>
      </c>
      <c r="G913" s="11" t="str">
        <f aca="false">IF($A913="","",IF(원본명단!$K912="",0,COUNTIF(원본명단!$K$3:$K$6002,원본명단!$K912)))</f>
        <v/>
      </c>
      <c r="H913" s="11" t="str">
        <f aca="false">IF($A913="","",IF(MAX($E913,$F913,$G913)&gt;1,"중복","-"))</f>
        <v/>
      </c>
      <c r="I913" s="11" t="str">
        <f aca="false">IF($A913="","",IF($H913="-","-",IF(AND(IF(원본명단!$H912="",TRUE(),COUNTIF(원본명단!$H$3:$H912,원본명단!$H912)=1),IF(원본명단!$I912="",TRUE(),COUNTIF(원본명단!$I$3:$I912,원본명단!$I912)=1),IF(원본명단!$K912="",TRUE(),COUNTIF(원본명단!$K$3:$K912,원본명단!$K912)=1)),"첫 건","중복 건")))</f>
        <v/>
      </c>
      <c r="J913" s="11" t="str">
        <f aca="false">IF($A913="","",IF($H913="-","유지",IF($I913="첫 건","유지","확인 필요")))</f>
        <v/>
      </c>
    </row>
    <row r="914" customFormat="false" ht="15" hidden="false" customHeight="true" outlineLevel="0" collapsed="false">
      <c r="A914" s="11" t="str">
        <f aca="false">IF(원본명단!$A913="","",911)</f>
        <v/>
      </c>
      <c r="B914" s="12" t="str">
        <f aca="false">IF($A914="","",원본명단!$A913)</f>
        <v/>
      </c>
      <c r="C914" s="12" t="str">
        <f aca="false">IF($A914="","",원본명단!$B913)</f>
        <v/>
      </c>
      <c r="D914" s="12" t="str">
        <f aca="false">IF($A914="","",원본명단!$D913)</f>
        <v/>
      </c>
      <c r="E914" s="11" t="str">
        <f aca="false">IF($A914="","",IF(원본명단!$H913="",0,COUNTIF(원본명단!$H$3:$H$6002,원본명단!$H913)))</f>
        <v/>
      </c>
      <c r="F914" s="11" t="str">
        <f aca="false">IF($A914="","",IF(원본명단!$I913="",0,COUNTIF(원본명단!$I$3:$I$6002,원본명단!$I913)))</f>
        <v/>
      </c>
      <c r="G914" s="11" t="str">
        <f aca="false">IF($A914="","",IF(원본명단!$K913="",0,COUNTIF(원본명단!$K$3:$K$6002,원본명단!$K913)))</f>
        <v/>
      </c>
      <c r="H914" s="11" t="str">
        <f aca="false">IF($A914="","",IF(MAX($E914,$F914,$G914)&gt;1,"중복","-"))</f>
        <v/>
      </c>
      <c r="I914" s="11" t="str">
        <f aca="false">IF($A914="","",IF($H914="-","-",IF(AND(IF(원본명단!$H913="",TRUE(),COUNTIF(원본명단!$H$3:$H913,원본명단!$H913)=1),IF(원본명단!$I913="",TRUE(),COUNTIF(원본명단!$I$3:$I913,원본명단!$I913)=1),IF(원본명단!$K913="",TRUE(),COUNTIF(원본명단!$K$3:$K913,원본명단!$K913)=1)),"첫 건","중복 건")))</f>
        <v/>
      </c>
      <c r="J914" s="11" t="str">
        <f aca="false">IF($A914="","",IF($H914="-","유지",IF($I914="첫 건","유지","확인 필요")))</f>
        <v/>
      </c>
    </row>
    <row r="915" customFormat="false" ht="15" hidden="false" customHeight="true" outlineLevel="0" collapsed="false">
      <c r="A915" s="11" t="str">
        <f aca="false">IF(원본명단!$A914="","",912)</f>
        <v/>
      </c>
      <c r="B915" s="12" t="str">
        <f aca="false">IF($A915="","",원본명단!$A914)</f>
        <v/>
      </c>
      <c r="C915" s="12" t="str">
        <f aca="false">IF($A915="","",원본명단!$B914)</f>
        <v/>
      </c>
      <c r="D915" s="12" t="str">
        <f aca="false">IF($A915="","",원본명단!$D914)</f>
        <v/>
      </c>
      <c r="E915" s="11" t="str">
        <f aca="false">IF($A915="","",IF(원본명단!$H914="",0,COUNTIF(원본명단!$H$3:$H$6002,원본명단!$H914)))</f>
        <v/>
      </c>
      <c r="F915" s="11" t="str">
        <f aca="false">IF($A915="","",IF(원본명단!$I914="",0,COUNTIF(원본명단!$I$3:$I$6002,원본명단!$I914)))</f>
        <v/>
      </c>
      <c r="G915" s="11" t="str">
        <f aca="false">IF($A915="","",IF(원본명단!$K914="",0,COUNTIF(원본명단!$K$3:$K$6002,원본명단!$K914)))</f>
        <v/>
      </c>
      <c r="H915" s="11" t="str">
        <f aca="false">IF($A915="","",IF(MAX($E915,$F915,$G915)&gt;1,"중복","-"))</f>
        <v/>
      </c>
      <c r="I915" s="11" t="str">
        <f aca="false">IF($A915="","",IF($H915="-","-",IF(AND(IF(원본명단!$H914="",TRUE(),COUNTIF(원본명단!$H$3:$H914,원본명단!$H914)=1),IF(원본명단!$I914="",TRUE(),COUNTIF(원본명단!$I$3:$I914,원본명단!$I914)=1),IF(원본명단!$K914="",TRUE(),COUNTIF(원본명단!$K$3:$K914,원본명단!$K914)=1)),"첫 건","중복 건")))</f>
        <v/>
      </c>
      <c r="J915" s="11" t="str">
        <f aca="false">IF($A915="","",IF($H915="-","유지",IF($I915="첫 건","유지","확인 필요")))</f>
        <v/>
      </c>
    </row>
    <row r="916" customFormat="false" ht="15" hidden="false" customHeight="true" outlineLevel="0" collapsed="false">
      <c r="A916" s="11" t="str">
        <f aca="false">IF(원본명단!$A915="","",913)</f>
        <v/>
      </c>
      <c r="B916" s="12" t="str">
        <f aca="false">IF($A916="","",원본명단!$A915)</f>
        <v/>
      </c>
      <c r="C916" s="12" t="str">
        <f aca="false">IF($A916="","",원본명단!$B915)</f>
        <v/>
      </c>
      <c r="D916" s="12" t="str">
        <f aca="false">IF($A916="","",원본명단!$D915)</f>
        <v/>
      </c>
      <c r="E916" s="11" t="str">
        <f aca="false">IF($A916="","",IF(원본명단!$H915="",0,COUNTIF(원본명단!$H$3:$H$6002,원본명단!$H915)))</f>
        <v/>
      </c>
      <c r="F916" s="11" t="str">
        <f aca="false">IF($A916="","",IF(원본명단!$I915="",0,COUNTIF(원본명단!$I$3:$I$6002,원본명단!$I915)))</f>
        <v/>
      </c>
      <c r="G916" s="11" t="str">
        <f aca="false">IF($A916="","",IF(원본명단!$K915="",0,COUNTIF(원본명단!$K$3:$K$6002,원본명단!$K915)))</f>
        <v/>
      </c>
      <c r="H916" s="11" t="str">
        <f aca="false">IF($A916="","",IF(MAX($E916,$F916,$G916)&gt;1,"중복","-"))</f>
        <v/>
      </c>
      <c r="I916" s="11" t="str">
        <f aca="false">IF($A916="","",IF($H916="-","-",IF(AND(IF(원본명단!$H915="",TRUE(),COUNTIF(원본명단!$H$3:$H915,원본명단!$H915)=1),IF(원본명단!$I915="",TRUE(),COUNTIF(원본명단!$I$3:$I915,원본명단!$I915)=1),IF(원본명단!$K915="",TRUE(),COUNTIF(원본명단!$K$3:$K915,원본명단!$K915)=1)),"첫 건","중복 건")))</f>
        <v/>
      </c>
      <c r="J916" s="11" t="str">
        <f aca="false">IF($A916="","",IF($H916="-","유지",IF($I916="첫 건","유지","확인 필요")))</f>
        <v/>
      </c>
    </row>
    <row r="917" customFormat="false" ht="15" hidden="false" customHeight="true" outlineLevel="0" collapsed="false">
      <c r="A917" s="11" t="str">
        <f aca="false">IF(원본명단!$A916="","",914)</f>
        <v/>
      </c>
      <c r="B917" s="12" t="str">
        <f aca="false">IF($A917="","",원본명단!$A916)</f>
        <v/>
      </c>
      <c r="C917" s="12" t="str">
        <f aca="false">IF($A917="","",원본명단!$B916)</f>
        <v/>
      </c>
      <c r="D917" s="12" t="str">
        <f aca="false">IF($A917="","",원본명단!$D916)</f>
        <v/>
      </c>
      <c r="E917" s="11" t="str">
        <f aca="false">IF($A917="","",IF(원본명단!$H916="",0,COUNTIF(원본명단!$H$3:$H$6002,원본명단!$H916)))</f>
        <v/>
      </c>
      <c r="F917" s="11" t="str">
        <f aca="false">IF($A917="","",IF(원본명단!$I916="",0,COUNTIF(원본명단!$I$3:$I$6002,원본명단!$I916)))</f>
        <v/>
      </c>
      <c r="G917" s="11" t="str">
        <f aca="false">IF($A917="","",IF(원본명단!$K916="",0,COUNTIF(원본명단!$K$3:$K$6002,원본명단!$K916)))</f>
        <v/>
      </c>
      <c r="H917" s="11" t="str">
        <f aca="false">IF($A917="","",IF(MAX($E917,$F917,$G917)&gt;1,"중복","-"))</f>
        <v/>
      </c>
      <c r="I917" s="11" t="str">
        <f aca="false">IF($A917="","",IF($H917="-","-",IF(AND(IF(원본명단!$H916="",TRUE(),COUNTIF(원본명단!$H$3:$H916,원본명단!$H916)=1),IF(원본명단!$I916="",TRUE(),COUNTIF(원본명단!$I$3:$I916,원본명단!$I916)=1),IF(원본명단!$K916="",TRUE(),COUNTIF(원본명단!$K$3:$K916,원본명단!$K916)=1)),"첫 건","중복 건")))</f>
        <v/>
      </c>
      <c r="J917" s="11" t="str">
        <f aca="false">IF($A917="","",IF($H917="-","유지",IF($I917="첫 건","유지","확인 필요")))</f>
        <v/>
      </c>
    </row>
    <row r="918" customFormat="false" ht="15" hidden="false" customHeight="true" outlineLevel="0" collapsed="false">
      <c r="A918" s="11" t="str">
        <f aca="false">IF(원본명단!$A917="","",915)</f>
        <v/>
      </c>
      <c r="B918" s="12" t="str">
        <f aca="false">IF($A918="","",원본명단!$A917)</f>
        <v/>
      </c>
      <c r="C918" s="12" t="str">
        <f aca="false">IF($A918="","",원본명단!$B917)</f>
        <v/>
      </c>
      <c r="D918" s="12" t="str">
        <f aca="false">IF($A918="","",원본명단!$D917)</f>
        <v/>
      </c>
      <c r="E918" s="11" t="str">
        <f aca="false">IF($A918="","",IF(원본명단!$H917="",0,COUNTIF(원본명단!$H$3:$H$6002,원본명단!$H917)))</f>
        <v/>
      </c>
      <c r="F918" s="11" t="str">
        <f aca="false">IF($A918="","",IF(원본명단!$I917="",0,COUNTIF(원본명단!$I$3:$I$6002,원본명단!$I917)))</f>
        <v/>
      </c>
      <c r="G918" s="11" t="str">
        <f aca="false">IF($A918="","",IF(원본명단!$K917="",0,COUNTIF(원본명단!$K$3:$K$6002,원본명단!$K917)))</f>
        <v/>
      </c>
      <c r="H918" s="11" t="str">
        <f aca="false">IF($A918="","",IF(MAX($E918,$F918,$G918)&gt;1,"중복","-"))</f>
        <v/>
      </c>
      <c r="I918" s="11" t="str">
        <f aca="false">IF($A918="","",IF($H918="-","-",IF(AND(IF(원본명단!$H917="",TRUE(),COUNTIF(원본명단!$H$3:$H917,원본명단!$H917)=1),IF(원본명단!$I917="",TRUE(),COUNTIF(원본명단!$I$3:$I917,원본명단!$I917)=1),IF(원본명단!$K917="",TRUE(),COUNTIF(원본명단!$K$3:$K917,원본명단!$K917)=1)),"첫 건","중복 건")))</f>
        <v/>
      </c>
      <c r="J918" s="11" t="str">
        <f aca="false">IF($A918="","",IF($H918="-","유지",IF($I918="첫 건","유지","확인 필요")))</f>
        <v/>
      </c>
    </row>
    <row r="919" customFormat="false" ht="15" hidden="false" customHeight="true" outlineLevel="0" collapsed="false">
      <c r="A919" s="11" t="str">
        <f aca="false">IF(원본명단!$A918="","",916)</f>
        <v/>
      </c>
      <c r="B919" s="12" t="str">
        <f aca="false">IF($A919="","",원본명단!$A918)</f>
        <v/>
      </c>
      <c r="C919" s="12" t="str">
        <f aca="false">IF($A919="","",원본명단!$B918)</f>
        <v/>
      </c>
      <c r="D919" s="12" t="str">
        <f aca="false">IF($A919="","",원본명단!$D918)</f>
        <v/>
      </c>
      <c r="E919" s="11" t="str">
        <f aca="false">IF($A919="","",IF(원본명단!$H918="",0,COUNTIF(원본명단!$H$3:$H$6002,원본명단!$H918)))</f>
        <v/>
      </c>
      <c r="F919" s="11" t="str">
        <f aca="false">IF($A919="","",IF(원본명단!$I918="",0,COUNTIF(원본명단!$I$3:$I$6002,원본명단!$I918)))</f>
        <v/>
      </c>
      <c r="G919" s="11" t="str">
        <f aca="false">IF($A919="","",IF(원본명단!$K918="",0,COUNTIF(원본명단!$K$3:$K$6002,원본명단!$K918)))</f>
        <v/>
      </c>
      <c r="H919" s="11" t="str">
        <f aca="false">IF($A919="","",IF(MAX($E919,$F919,$G919)&gt;1,"중복","-"))</f>
        <v/>
      </c>
      <c r="I919" s="11" t="str">
        <f aca="false">IF($A919="","",IF($H919="-","-",IF(AND(IF(원본명단!$H918="",TRUE(),COUNTIF(원본명단!$H$3:$H918,원본명단!$H918)=1),IF(원본명단!$I918="",TRUE(),COUNTIF(원본명단!$I$3:$I918,원본명단!$I918)=1),IF(원본명단!$K918="",TRUE(),COUNTIF(원본명단!$K$3:$K918,원본명단!$K918)=1)),"첫 건","중복 건")))</f>
        <v/>
      </c>
      <c r="J919" s="11" t="str">
        <f aca="false">IF($A919="","",IF($H919="-","유지",IF($I919="첫 건","유지","확인 필요")))</f>
        <v/>
      </c>
    </row>
    <row r="920" customFormat="false" ht="15" hidden="false" customHeight="true" outlineLevel="0" collapsed="false">
      <c r="A920" s="11" t="str">
        <f aca="false">IF(원본명단!$A919="","",917)</f>
        <v/>
      </c>
      <c r="B920" s="12" t="str">
        <f aca="false">IF($A920="","",원본명단!$A919)</f>
        <v/>
      </c>
      <c r="C920" s="12" t="str">
        <f aca="false">IF($A920="","",원본명단!$B919)</f>
        <v/>
      </c>
      <c r="D920" s="12" t="str">
        <f aca="false">IF($A920="","",원본명단!$D919)</f>
        <v/>
      </c>
      <c r="E920" s="11" t="str">
        <f aca="false">IF($A920="","",IF(원본명단!$H919="",0,COUNTIF(원본명단!$H$3:$H$6002,원본명단!$H919)))</f>
        <v/>
      </c>
      <c r="F920" s="11" t="str">
        <f aca="false">IF($A920="","",IF(원본명단!$I919="",0,COUNTIF(원본명단!$I$3:$I$6002,원본명단!$I919)))</f>
        <v/>
      </c>
      <c r="G920" s="11" t="str">
        <f aca="false">IF($A920="","",IF(원본명단!$K919="",0,COUNTIF(원본명단!$K$3:$K$6002,원본명단!$K919)))</f>
        <v/>
      </c>
      <c r="H920" s="11" t="str">
        <f aca="false">IF($A920="","",IF(MAX($E920,$F920,$G920)&gt;1,"중복","-"))</f>
        <v/>
      </c>
      <c r="I920" s="11" t="str">
        <f aca="false">IF($A920="","",IF($H920="-","-",IF(AND(IF(원본명단!$H919="",TRUE(),COUNTIF(원본명단!$H$3:$H919,원본명단!$H919)=1),IF(원본명단!$I919="",TRUE(),COUNTIF(원본명단!$I$3:$I919,원본명단!$I919)=1),IF(원본명단!$K919="",TRUE(),COUNTIF(원본명단!$K$3:$K919,원본명단!$K919)=1)),"첫 건","중복 건")))</f>
        <v/>
      </c>
      <c r="J920" s="11" t="str">
        <f aca="false">IF($A920="","",IF($H920="-","유지",IF($I920="첫 건","유지","확인 필요")))</f>
        <v/>
      </c>
    </row>
    <row r="921" customFormat="false" ht="15" hidden="false" customHeight="true" outlineLevel="0" collapsed="false">
      <c r="A921" s="11" t="str">
        <f aca="false">IF(원본명단!$A920="","",918)</f>
        <v/>
      </c>
      <c r="B921" s="12" t="str">
        <f aca="false">IF($A921="","",원본명단!$A920)</f>
        <v/>
      </c>
      <c r="C921" s="12" t="str">
        <f aca="false">IF($A921="","",원본명단!$B920)</f>
        <v/>
      </c>
      <c r="D921" s="12" t="str">
        <f aca="false">IF($A921="","",원본명단!$D920)</f>
        <v/>
      </c>
      <c r="E921" s="11" t="str">
        <f aca="false">IF($A921="","",IF(원본명단!$H920="",0,COUNTIF(원본명단!$H$3:$H$6002,원본명단!$H920)))</f>
        <v/>
      </c>
      <c r="F921" s="11" t="str">
        <f aca="false">IF($A921="","",IF(원본명단!$I920="",0,COUNTIF(원본명단!$I$3:$I$6002,원본명단!$I920)))</f>
        <v/>
      </c>
      <c r="G921" s="11" t="str">
        <f aca="false">IF($A921="","",IF(원본명단!$K920="",0,COUNTIF(원본명단!$K$3:$K$6002,원본명단!$K920)))</f>
        <v/>
      </c>
      <c r="H921" s="11" t="str">
        <f aca="false">IF($A921="","",IF(MAX($E921,$F921,$G921)&gt;1,"중복","-"))</f>
        <v/>
      </c>
      <c r="I921" s="11" t="str">
        <f aca="false">IF($A921="","",IF($H921="-","-",IF(AND(IF(원본명단!$H920="",TRUE(),COUNTIF(원본명단!$H$3:$H920,원본명단!$H920)=1),IF(원본명단!$I920="",TRUE(),COUNTIF(원본명단!$I$3:$I920,원본명단!$I920)=1),IF(원본명단!$K920="",TRUE(),COUNTIF(원본명단!$K$3:$K920,원본명단!$K920)=1)),"첫 건","중복 건")))</f>
        <v/>
      </c>
      <c r="J921" s="11" t="str">
        <f aca="false">IF($A921="","",IF($H921="-","유지",IF($I921="첫 건","유지","확인 필요")))</f>
        <v/>
      </c>
    </row>
    <row r="922" customFormat="false" ht="15" hidden="false" customHeight="true" outlineLevel="0" collapsed="false">
      <c r="A922" s="11" t="str">
        <f aca="false">IF(원본명단!$A921="","",919)</f>
        <v/>
      </c>
      <c r="B922" s="12" t="str">
        <f aca="false">IF($A922="","",원본명단!$A921)</f>
        <v/>
      </c>
      <c r="C922" s="12" t="str">
        <f aca="false">IF($A922="","",원본명단!$B921)</f>
        <v/>
      </c>
      <c r="D922" s="12" t="str">
        <f aca="false">IF($A922="","",원본명단!$D921)</f>
        <v/>
      </c>
      <c r="E922" s="11" t="str">
        <f aca="false">IF($A922="","",IF(원본명단!$H921="",0,COUNTIF(원본명단!$H$3:$H$6002,원본명단!$H921)))</f>
        <v/>
      </c>
      <c r="F922" s="11" t="str">
        <f aca="false">IF($A922="","",IF(원본명단!$I921="",0,COUNTIF(원본명단!$I$3:$I$6002,원본명단!$I921)))</f>
        <v/>
      </c>
      <c r="G922" s="11" t="str">
        <f aca="false">IF($A922="","",IF(원본명단!$K921="",0,COUNTIF(원본명단!$K$3:$K$6002,원본명단!$K921)))</f>
        <v/>
      </c>
      <c r="H922" s="11" t="str">
        <f aca="false">IF($A922="","",IF(MAX($E922,$F922,$G922)&gt;1,"중복","-"))</f>
        <v/>
      </c>
      <c r="I922" s="11" t="str">
        <f aca="false">IF($A922="","",IF($H922="-","-",IF(AND(IF(원본명단!$H921="",TRUE(),COUNTIF(원본명단!$H$3:$H921,원본명단!$H921)=1),IF(원본명단!$I921="",TRUE(),COUNTIF(원본명단!$I$3:$I921,원본명단!$I921)=1),IF(원본명단!$K921="",TRUE(),COUNTIF(원본명단!$K$3:$K921,원본명단!$K921)=1)),"첫 건","중복 건")))</f>
        <v/>
      </c>
      <c r="J922" s="11" t="str">
        <f aca="false">IF($A922="","",IF($H922="-","유지",IF($I922="첫 건","유지","확인 필요")))</f>
        <v/>
      </c>
    </row>
    <row r="923" customFormat="false" ht="15" hidden="false" customHeight="true" outlineLevel="0" collapsed="false">
      <c r="A923" s="11" t="str">
        <f aca="false">IF(원본명단!$A922="","",920)</f>
        <v/>
      </c>
      <c r="B923" s="12" t="str">
        <f aca="false">IF($A923="","",원본명단!$A922)</f>
        <v/>
      </c>
      <c r="C923" s="12" t="str">
        <f aca="false">IF($A923="","",원본명단!$B922)</f>
        <v/>
      </c>
      <c r="D923" s="12" t="str">
        <f aca="false">IF($A923="","",원본명단!$D922)</f>
        <v/>
      </c>
      <c r="E923" s="11" t="str">
        <f aca="false">IF($A923="","",IF(원본명단!$H922="",0,COUNTIF(원본명단!$H$3:$H$6002,원본명단!$H922)))</f>
        <v/>
      </c>
      <c r="F923" s="11" t="str">
        <f aca="false">IF($A923="","",IF(원본명단!$I922="",0,COUNTIF(원본명단!$I$3:$I$6002,원본명단!$I922)))</f>
        <v/>
      </c>
      <c r="G923" s="11" t="str">
        <f aca="false">IF($A923="","",IF(원본명단!$K922="",0,COUNTIF(원본명단!$K$3:$K$6002,원본명단!$K922)))</f>
        <v/>
      </c>
      <c r="H923" s="11" t="str">
        <f aca="false">IF($A923="","",IF(MAX($E923,$F923,$G923)&gt;1,"중복","-"))</f>
        <v/>
      </c>
      <c r="I923" s="11" t="str">
        <f aca="false">IF($A923="","",IF($H923="-","-",IF(AND(IF(원본명단!$H922="",TRUE(),COUNTIF(원본명단!$H$3:$H922,원본명단!$H922)=1),IF(원본명단!$I922="",TRUE(),COUNTIF(원본명단!$I$3:$I922,원본명단!$I922)=1),IF(원본명단!$K922="",TRUE(),COUNTIF(원본명단!$K$3:$K922,원본명단!$K922)=1)),"첫 건","중복 건")))</f>
        <v/>
      </c>
      <c r="J923" s="11" t="str">
        <f aca="false">IF($A923="","",IF($H923="-","유지",IF($I923="첫 건","유지","확인 필요")))</f>
        <v/>
      </c>
    </row>
    <row r="924" customFormat="false" ht="15" hidden="false" customHeight="true" outlineLevel="0" collapsed="false">
      <c r="A924" s="11" t="str">
        <f aca="false">IF(원본명단!$A923="","",921)</f>
        <v/>
      </c>
      <c r="B924" s="12" t="str">
        <f aca="false">IF($A924="","",원본명단!$A923)</f>
        <v/>
      </c>
      <c r="C924" s="12" t="str">
        <f aca="false">IF($A924="","",원본명단!$B923)</f>
        <v/>
      </c>
      <c r="D924" s="12" t="str">
        <f aca="false">IF($A924="","",원본명단!$D923)</f>
        <v/>
      </c>
      <c r="E924" s="11" t="str">
        <f aca="false">IF($A924="","",IF(원본명단!$H923="",0,COUNTIF(원본명단!$H$3:$H$6002,원본명단!$H923)))</f>
        <v/>
      </c>
      <c r="F924" s="11" t="str">
        <f aca="false">IF($A924="","",IF(원본명단!$I923="",0,COUNTIF(원본명단!$I$3:$I$6002,원본명단!$I923)))</f>
        <v/>
      </c>
      <c r="G924" s="11" t="str">
        <f aca="false">IF($A924="","",IF(원본명단!$K923="",0,COUNTIF(원본명단!$K$3:$K$6002,원본명단!$K923)))</f>
        <v/>
      </c>
      <c r="H924" s="11" t="str">
        <f aca="false">IF($A924="","",IF(MAX($E924,$F924,$G924)&gt;1,"중복","-"))</f>
        <v/>
      </c>
      <c r="I924" s="11" t="str">
        <f aca="false">IF($A924="","",IF($H924="-","-",IF(AND(IF(원본명단!$H923="",TRUE(),COUNTIF(원본명단!$H$3:$H923,원본명단!$H923)=1),IF(원본명단!$I923="",TRUE(),COUNTIF(원본명단!$I$3:$I923,원본명단!$I923)=1),IF(원본명단!$K923="",TRUE(),COUNTIF(원본명단!$K$3:$K923,원본명단!$K923)=1)),"첫 건","중복 건")))</f>
        <v/>
      </c>
      <c r="J924" s="11" t="str">
        <f aca="false">IF($A924="","",IF($H924="-","유지",IF($I924="첫 건","유지","확인 필요")))</f>
        <v/>
      </c>
    </row>
    <row r="925" customFormat="false" ht="15" hidden="false" customHeight="true" outlineLevel="0" collapsed="false">
      <c r="A925" s="11" t="str">
        <f aca="false">IF(원본명단!$A924="","",922)</f>
        <v/>
      </c>
      <c r="B925" s="12" t="str">
        <f aca="false">IF($A925="","",원본명단!$A924)</f>
        <v/>
      </c>
      <c r="C925" s="12" t="str">
        <f aca="false">IF($A925="","",원본명단!$B924)</f>
        <v/>
      </c>
      <c r="D925" s="12" t="str">
        <f aca="false">IF($A925="","",원본명단!$D924)</f>
        <v/>
      </c>
      <c r="E925" s="11" t="str">
        <f aca="false">IF($A925="","",IF(원본명단!$H924="",0,COUNTIF(원본명단!$H$3:$H$6002,원본명단!$H924)))</f>
        <v/>
      </c>
      <c r="F925" s="11" t="str">
        <f aca="false">IF($A925="","",IF(원본명단!$I924="",0,COUNTIF(원본명단!$I$3:$I$6002,원본명단!$I924)))</f>
        <v/>
      </c>
      <c r="G925" s="11" t="str">
        <f aca="false">IF($A925="","",IF(원본명단!$K924="",0,COUNTIF(원본명단!$K$3:$K$6002,원본명단!$K924)))</f>
        <v/>
      </c>
      <c r="H925" s="11" t="str">
        <f aca="false">IF($A925="","",IF(MAX($E925,$F925,$G925)&gt;1,"중복","-"))</f>
        <v/>
      </c>
      <c r="I925" s="11" t="str">
        <f aca="false">IF($A925="","",IF($H925="-","-",IF(AND(IF(원본명단!$H924="",TRUE(),COUNTIF(원본명단!$H$3:$H924,원본명단!$H924)=1),IF(원본명단!$I924="",TRUE(),COUNTIF(원본명단!$I$3:$I924,원본명단!$I924)=1),IF(원본명단!$K924="",TRUE(),COUNTIF(원본명단!$K$3:$K924,원본명단!$K924)=1)),"첫 건","중복 건")))</f>
        <v/>
      </c>
      <c r="J925" s="11" t="str">
        <f aca="false">IF($A925="","",IF($H925="-","유지",IF($I925="첫 건","유지","확인 필요")))</f>
        <v/>
      </c>
    </row>
    <row r="926" customFormat="false" ht="15" hidden="false" customHeight="true" outlineLevel="0" collapsed="false">
      <c r="A926" s="11" t="str">
        <f aca="false">IF(원본명단!$A925="","",923)</f>
        <v/>
      </c>
      <c r="B926" s="12" t="str">
        <f aca="false">IF($A926="","",원본명단!$A925)</f>
        <v/>
      </c>
      <c r="C926" s="12" t="str">
        <f aca="false">IF($A926="","",원본명단!$B925)</f>
        <v/>
      </c>
      <c r="D926" s="12" t="str">
        <f aca="false">IF($A926="","",원본명단!$D925)</f>
        <v/>
      </c>
      <c r="E926" s="11" t="str">
        <f aca="false">IF($A926="","",IF(원본명단!$H925="",0,COUNTIF(원본명단!$H$3:$H$6002,원본명단!$H925)))</f>
        <v/>
      </c>
      <c r="F926" s="11" t="str">
        <f aca="false">IF($A926="","",IF(원본명단!$I925="",0,COUNTIF(원본명단!$I$3:$I$6002,원본명단!$I925)))</f>
        <v/>
      </c>
      <c r="G926" s="11" t="str">
        <f aca="false">IF($A926="","",IF(원본명단!$K925="",0,COUNTIF(원본명단!$K$3:$K$6002,원본명단!$K925)))</f>
        <v/>
      </c>
      <c r="H926" s="11" t="str">
        <f aca="false">IF($A926="","",IF(MAX($E926,$F926,$G926)&gt;1,"중복","-"))</f>
        <v/>
      </c>
      <c r="I926" s="11" t="str">
        <f aca="false">IF($A926="","",IF($H926="-","-",IF(AND(IF(원본명단!$H925="",TRUE(),COUNTIF(원본명단!$H$3:$H925,원본명단!$H925)=1),IF(원본명단!$I925="",TRUE(),COUNTIF(원본명단!$I$3:$I925,원본명단!$I925)=1),IF(원본명단!$K925="",TRUE(),COUNTIF(원본명단!$K$3:$K925,원본명단!$K925)=1)),"첫 건","중복 건")))</f>
        <v/>
      </c>
      <c r="J926" s="11" t="str">
        <f aca="false">IF($A926="","",IF($H926="-","유지",IF($I926="첫 건","유지","확인 필요")))</f>
        <v/>
      </c>
    </row>
    <row r="927" customFormat="false" ht="15" hidden="false" customHeight="true" outlineLevel="0" collapsed="false">
      <c r="A927" s="11" t="str">
        <f aca="false">IF(원본명단!$A926="","",924)</f>
        <v/>
      </c>
      <c r="B927" s="12" t="str">
        <f aca="false">IF($A927="","",원본명단!$A926)</f>
        <v/>
      </c>
      <c r="C927" s="12" t="str">
        <f aca="false">IF($A927="","",원본명단!$B926)</f>
        <v/>
      </c>
      <c r="D927" s="12" t="str">
        <f aca="false">IF($A927="","",원본명단!$D926)</f>
        <v/>
      </c>
      <c r="E927" s="11" t="str">
        <f aca="false">IF($A927="","",IF(원본명단!$H926="",0,COUNTIF(원본명단!$H$3:$H$6002,원본명단!$H926)))</f>
        <v/>
      </c>
      <c r="F927" s="11" t="str">
        <f aca="false">IF($A927="","",IF(원본명단!$I926="",0,COUNTIF(원본명단!$I$3:$I$6002,원본명단!$I926)))</f>
        <v/>
      </c>
      <c r="G927" s="11" t="str">
        <f aca="false">IF($A927="","",IF(원본명단!$K926="",0,COUNTIF(원본명단!$K$3:$K$6002,원본명단!$K926)))</f>
        <v/>
      </c>
      <c r="H927" s="11" t="str">
        <f aca="false">IF($A927="","",IF(MAX($E927,$F927,$G927)&gt;1,"중복","-"))</f>
        <v/>
      </c>
      <c r="I927" s="11" t="str">
        <f aca="false">IF($A927="","",IF($H927="-","-",IF(AND(IF(원본명단!$H926="",TRUE(),COUNTIF(원본명단!$H$3:$H926,원본명단!$H926)=1),IF(원본명단!$I926="",TRUE(),COUNTIF(원본명단!$I$3:$I926,원본명단!$I926)=1),IF(원본명단!$K926="",TRUE(),COUNTIF(원본명단!$K$3:$K926,원본명단!$K926)=1)),"첫 건","중복 건")))</f>
        <v/>
      </c>
      <c r="J927" s="11" t="str">
        <f aca="false">IF($A927="","",IF($H927="-","유지",IF($I927="첫 건","유지","확인 필요")))</f>
        <v/>
      </c>
    </row>
    <row r="928" customFormat="false" ht="15" hidden="false" customHeight="true" outlineLevel="0" collapsed="false">
      <c r="A928" s="11" t="str">
        <f aca="false">IF(원본명단!$A927="","",925)</f>
        <v/>
      </c>
      <c r="B928" s="12" t="str">
        <f aca="false">IF($A928="","",원본명단!$A927)</f>
        <v/>
      </c>
      <c r="C928" s="12" t="str">
        <f aca="false">IF($A928="","",원본명단!$B927)</f>
        <v/>
      </c>
      <c r="D928" s="12" t="str">
        <f aca="false">IF($A928="","",원본명단!$D927)</f>
        <v/>
      </c>
      <c r="E928" s="11" t="str">
        <f aca="false">IF($A928="","",IF(원본명단!$H927="",0,COUNTIF(원본명단!$H$3:$H$6002,원본명단!$H927)))</f>
        <v/>
      </c>
      <c r="F928" s="11" t="str">
        <f aca="false">IF($A928="","",IF(원본명단!$I927="",0,COUNTIF(원본명단!$I$3:$I$6002,원본명단!$I927)))</f>
        <v/>
      </c>
      <c r="G928" s="11" t="str">
        <f aca="false">IF($A928="","",IF(원본명단!$K927="",0,COUNTIF(원본명단!$K$3:$K$6002,원본명단!$K927)))</f>
        <v/>
      </c>
      <c r="H928" s="11" t="str">
        <f aca="false">IF($A928="","",IF(MAX($E928,$F928,$G928)&gt;1,"중복","-"))</f>
        <v/>
      </c>
      <c r="I928" s="11" t="str">
        <f aca="false">IF($A928="","",IF($H928="-","-",IF(AND(IF(원본명단!$H927="",TRUE(),COUNTIF(원본명단!$H$3:$H927,원본명단!$H927)=1),IF(원본명단!$I927="",TRUE(),COUNTIF(원본명단!$I$3:$I927,원본명단!$I927)=1),IF(원본명단!$K927="",TRUE(),COUNTIF(원본명단!$K$3:$K927,원본명단!$K927)=1)),"첫 건","중복 건")))</f>
        <v/>
      </c>
      <c r="J928" s="11" t="str">
        <f aca="false">IF($A928="","",IF($H928="-","유지",IF($I928="첫 건","유지","확인 필요")))</f>
        <v/>
      </c>
    </row>
    <row r="929" customFormat="false" ht="15" hidden="false" customHeight="true" outlineLevel="0" collapsed="false">
      <c r="A929" s="11" t="str">
        <f aca="false">IF(원본명단!$A928="","",926)</f>
        <v/>
      </c>
      <c r="B929" s="12" t="str">
        <f aca="false">IF($A929="","",원본명단!$A928)</f>
        <v/>
      </c>
      <c r="C929" s="12" t="str">
        <f aca="false">IF($A929="","",원본명단!$B928)</f>
        <v/>
      </c>
      <c r="D929" s="12" t="str">
        <f aca="false">IF($A929="","",원본명단!$D928)</f>
        <v/>
      </c>
      <c r="E929" s="11" t="str">
        <f aca="false">IF($A929="","",IF(원본명단!$H928="",0,COUNTIF(원본명단!$H$3:$H$6002,원본명단!$H928)))</f>
        <v/>
      </c>
      <c r="F929" s="11" t="str">
        <f aca="false">IF($A929="","",IF(원본명단!$I928="",0,COUNTIF(원본명단!$I$3:$I$6002,원본명단!$I928)))</f>
        <v/>
      </c>
      <c r="G929" s="11" t="str">
        <f aca="false">IF($A929="","",IF(원본명단!$K928="",0,COUNTIF(원본명단!$K$3:$K$6002,원본명단!$K928)))</f>
        <v/>
      </c>
      <c r="H929" s="11" t="str">
        <f aca="false">IF($A929="","",IF(MAX($E929,$F929,$G929)&gt;1,"중복","-"))</f>
        <v/>
      </c>
      <c r="I929" s="11" t="str">
        <f aca="false">IF($A929="","",IF($H929="-","-",IF(AND(IF(원본명단!$H928="",TRUE(),COUNTIF(원본명단!$H$3:$H928,원본명단!$H928)=1),IF(원본명단!$I928="",TRUE(),COUNTIF(원본명단!$I$3:$I928,원본명단!$I928)=1),IF(원본명단!$K928="",TRUE(),COUNTIF(원본명단!$K$3:$K928,원본명단!$K928)=1)),"첫 건","중복 건")))</f>
        <v/>
      </c>
      <c r="J929" s="11" t="str">
        <f aca="false">IF($A929="","",IF($H929="-","유지",IF($I929="첫 건","유지","확인 필요")))</f>
        <v/>
      </c>
    </row>
    <row r="930" customFormat="false" ht="15" hidden="false" customHeight="true" outlineLevel="0" collapsed="false">
      <c r="A930" s="11" t="str">
        <f aca="false">IF(원본명단!$A929="","",927)</f>
        <v/>
      </c>
      <c r="B930" s="12" t="str">
        <f aca="false">IF($A930="","",원본명단!$A929)</f>
        <v/>
      </c>
      <c r="C930" s="12" t="str">
        <f aca="false">IF($A930="","",원본명단!$B929)</f>
        <v/>
      </c>
      <c r="D930" s="12" t="str">
        <f aca="false">IF($A930="","",원본명단!$D929)</f>
        <v/>
      </c>
      <c r="E930" s="11" t="str">
        <f aca="false">IF($A930="","",IF(원본명단!$H929="",0,COUNTIF(원본명단!$H$3:$H$6002,원본명단!$H929)))</f>
        <v/>
      </c>
      <c r="F930" s="11" t="str">
        <f aca="false">IF($A930="","",IF(원본명단!$I929="",0,COUNTIF(원본명단!$I$3:$I$6002,원본명단!$I929)))</f>
        <v/>
      </c>
      <c r="G930" s="11" t="str">
        <f aca="false">IF($A930="","",IF(원본명단!$K929="",0,COUNTIF(원본명단!$K$3:$K$6002,원본명단!$K929)))</f>
        <v/>
      </c>
      <c r="H930" s="11" t="str">
        <f aca="false">IF($A930="","",IF(MAX($E930,$F930,$G930)&gt;1,"중복","-"))</f>
        <v/>
      </c>
      <c r="I930" s="11" t="str">
        <f aca="false">IF($A930="","",IF($H930="-","-",IF(AND(IF(원본명단!$H929="",TRUE(),COUNTIF(원본명단!$H$3:$H929,원본명단!$H929)=1),IF(원본명단!$I929="",TRUE(),COUNTIF(원본명단!$I$3:$I929,원본명단!$I929)=1),IF(원본명단!$K929="",TRUE(),COUNTIF(원본명단!$K$3:$K929,원본명단!$K929)=1)),"첫 건","중복 건")))</f>
        <v/>
      </c>
      <c r="J930" s="11" t="str">
        <f aca="false">IF($A930="","",IF($H930="-","유지",IF($I930="첫 건","유지","확인 필요")))</f>
        <v/>
      </c>
    </row>
    <row r="931" customFormat="false" ht="15" hidden="false" customHeight="true" outlineLevel="0" collapsed="false">
      <c r="A931" s="11" t="str">
        <f aca="false">IF(원본명단!$A930="","",928)</f>
        <v/>
      </c>
      <c r="B931" s="12" t="str">
        <f aca="false">IF($A931="","",원본명단!$A930)</f>
        <v/>
      </c>
      <c r="C931" s="12" t="str">
        <f aca="false">IF($A931="","",원본명단!$B930)</f>
        <v/>
      </c>
      <c r="D931" s="12" t="str">
        <f aca="false">IF($A931="","",원본명단!$D930)</f>
        <v/>
      </c>
      <c r="E931" s="11" t="str">
        <f aca="false">IF($A931="","",IF(원본명단!$H930="",0,COUNTIF(원본명단!$H$3:$H$6002,원본명단!$H930)))</f>
        <v/>
      </c>
      <c r="F931" s="11" t="str">
        <f aca="false">IF($A931="","",IF(원본명단!$I930="",0,COUNTIF(원본명단!$I$3:$I$6002,원본명단!$I930)))</f>
        <v/>
      </c>
      <c r="G931" s="11" t="str">
        <f aca="false">IF($A931="","",IF(원본명단!$K930="",0,COUNTIF(원본명단!$K$3:$K$6002,원본명단!$K930)))</f>
        <v/>
      </c>
      <c r="H931" s="11" t="str">
        <f aca="false">IF($A931="","",IF(MAX($E931,$F931,$G931)&gt;1,"중복","-"))</f>
        <v/>
      </c>
      <c r="I931" s="11" t="str">
        <f aca="false">IF($A931="","",IF($H931="-","-",IF(AND(IF(원본명단!$H930="",TRUE(),COUNTIF(원본명단!$H$3:$H930,원본명단!$H930)=1),IF(원본명단!$I930="",TRUE(),COUNTIF(원본명단!$I$3:$I930,원본명단!$I930)=1),IF(원본명단!$K930="",TRUE(),COUNTIF(원본명단!$K$3:$K930,원본명단!$K930)=1)),"첫 건","중복 건")))</f>
        <v/>
      </c>
      <c r="J931" s="11" t="str">
        <f aca="false">IF($A931="","",IF($H931="-","유지",IF($I931="첫 건","유지","확인 필요")))</f>
        <v/>
      </c>
    </row>
    <row r="932" customFormat="false" ht="15" hidden="false" customHeight="true" outlineLevel="0" collapsed="false">
      <c r="A932" s="11" t="str">
        <f aca="false">IF(원본명단!$A931="","",929)</f>
        <v/>
      </c>
      <c r="B932" s="12" t="str">
        <f aca="false">IF($A932="","",원본명단!$A931)</f>
        <v/>
      </c>
      <c r="C932" s="12" t="str">
        <f aca="false">IF($A932="","",원본명단!$B931)</f>
        <v/>
      </c>
      <c r="D932" s="12" t="str">
        <f aca="false">IF($A932="","",원본명단!$D931)</f>
        <v/>
      </c>
      <c r="E932" s="11" t="str">
        <f aca="false">IF($A932="","",IF(원본명단!$H931="",0,COUNTIF(원본명단!$H$3:$H$6002,원본명단!$H931)))</f>
        <v/>
      </c>
      <c r="F932" s="11" t="str">
        <f aca="false">IF($A932="","",IF(원본명단!$I931="",0,COUNTIF(원본명단!$I$3:$I$6002,원본명단!$I931)))</f>
        <v/>
      </c>
      <c r="G932" s="11" t="str">
        <f aca="false">IF($A932="","",IF(원본명단!$K931="",0,COUNTIF(원본명단!$K$3:$K$6002,원본명단!$K931)))</f>
        <v/>
      </c>
      <c r="H932" s="11" t="str">
        <f aca="false">IF($A932="","",IF(MAX($E932,$F932,$G932)&gt;1,"중복","-"))</f>
        <v/>
      </c>
      <c r="I932" s="11" t="str">
        <f aca="false">IF($A932="","",IF($H932="-","-",IF(AND(IF(원본명단!$H931="",TRUE(),COUNTIF(원본명단!$H$3:$H931,원본명단!$H931)=1),IF(원본명단!$I931="",TRUE(),COUNTIF(원본명단!$I$3:$I931,원본명단!$I931)=1),IF(원본명단!$K931="",TRUE(),COUNTIF(원본명단!$K$3:$K931,원본명단!$K931)=1)),"첫 건","중복 건")))</f>
        <v/>
      </c>
      <c r="J932" s="11" t="str">
        <f aca="false">IF($A932="","",IF($H932="-","유지",IF($I932="첫 건","유지","확인 필요")))</f>
        <v/>
      </c>
    </row>
    <row r="933" customFormat="false" ht="15" hidden="false" customHeight="true" outlineLevel="0" collapsed="false">
      <c r="A933" s="11" t="str">
        <f aca="false">IF(원본명단!$A932="","",930)</f>
        <v/>
      </c>
      <c r="B933" s="12" t="str">
        <f aca="false">IF($A933="","",원본명단!$A932)</f>
        <v/>
      </c>
      <c r="C933" s="12" t="str">
        <f aca="false">IF($A933="","",원본명단!$B932)</f>
        <v/>
      </c>
      <c r="D933" s="12" t="str">
        <f aca="false">IF($A933="","",원본명단!$D932)</f>
        <v/>
      </c>
      <c r="E933" s="11" t="str">
        <f aca="false">IF($A933="","",IF(원본명단!$H932="",0,COUNTIF(원본명단!$H$3:$H$6002,원본명단!$H932)))</f>
        <v/>
      </c>
      <c r="F933" s="11" t="str">
        <f aca="false">IF($A933="","",IF(원본명단!$I932="",0,COUNTIF(원본명단!$I$3:$I$6002,원본명단!$I932)))</f>
        <v/>
      </c>
      <c r="G933" s="11" t="str">
        <f aca="false">IF($A933="","",IF(원본명단!$K932="",0,COUNTIF(원본명단!$K$3:$K$6002,원본명단!$K932)))</f>
        <v/>
      </c>
      <c r="H933" s="11" t="str">
        <f aca="false">IF($A933="","",IF(MAX($E933,$F933,$G933)&gt;1,"중복","-"))</f>
        <v/>
      </c>
      <c r="I933" s="11" t="str">
        <f aca="false">IF($A933="","",IF($H933="-","-",IF(AND(IF(원본명단!$H932="",TRUE(),COUNTIF(원본명단!$H$3:$H932,원본명단!$H932)=1),IF(원본명단!$I932="",TRUE(),COUNTIF(원본명단!$I$3:$I932,원본명단!$I932)=1),IF(원본명단!$K932="",TRUE(),COUNTIF(원본명단!$K$3:$K932,원본명단!$K932)=1)),"첫 건","중복 건")))</f>
        <v/>
      </c>
      <c r="J933" s="11" t="str">
        <f aca="false">IF($A933="","",IF($H933="-","유지",IF($I933="첫 건","유지","확인 필요")))</f>
        <v/>
      </c>
    </row>
    <row r="934" customFormat="false" ht="15" hidden="false" customHeight="true" outlineLevel="0" collapsed="false">
      <c r="A934" s="11" t="str">
        <f aca="false">IF(원본명단!$A933="","",931)</f>
        <v/>
      </c>
      <c r="B934" s="12" t="str">
        <f aca="false">IF($A934="","",원본명단!$A933)</f>
        <v/>
      </c>
      <c r="C934" s="12" t="str">
        <f aca="false">IF($A934="","",원본명단!$B933)</f>
        <v/>
      </c>
      <c r="D934" s="12" t="str">
        <f aca="false">IF($A934="","",원본명단!$D933)</f>
        <v/>
      </c>
      <c r="E934" s="11" t="str">
        <f aca="false">IF($A934="","",IF(원본명단!$H933="",0,COUNTIF(원본명단!$H$3:$H$6002,원본명단!$H933)))</f>
        <v/>
      </c>
      <c r="F934" s="11" t="str">
        <f aca="false">IF($A934="","",IF(원본명단!$I933="",0,COUNTIF(원본명단!$I$3:$I$6002,원본명단!$I933)))</f>
        <v/>
      </c>
      <c r="G934" s="11" t="str">
        <f aca="false">IF($A934="","",IF(원본명단!$K933="",0,COUNTIF(원본명단!$K$3:$K$6002,원본명단!$K933)))</f>
        <v/>
      </c>
      <c r="H934" s="11" t="str">
        <f aca="false">IF($A934="","",IF(MAX($E934,$F934,$G934)&gt;1,"중복","-"))</f>
        <v/>
      </c>
      <c r="I934" s="11" t="str">
        <f aca="false">IF($A934="","",IF($H934="-","-",IF(AND(IF(원본명단!$H933="",TRUE(),COUNTIF(원본명단!$H$3:$H933,원본명단!$H933)=1),IF(원본명단!$I933="",TRUE(),COUNTIF(원본명단!$I$3:$I933,원본명단!$I933)=1),IF(원본명단!$K933="",TRUE(),COUNTIF(원본명단!$K$3:$K933,원본명단!$K933)=1)),"첫 건","중복 건")))</f>
        <v/>
      </c>
      <c r="J934" s="11" t="str">
        <f aca="false">IF($A934="","",IF($H934="-","유지",IF($I934="첫 건","유지","확인 필요")))</f>
        <v/>
      </c>
    </row>
    <row r="935" customFormat="false" ht="15" hidden="false" customHeight="true" outlineLevel="0" collapsed="false">
      <c r="A935" s="11" t="str">
        <f aca="false">IF(원본명단!$A934="","",932)</f>
        <v/>
      </c>
      <c r="B935" s="12" t="str">
        <f aca="false">IF($A935="","",원본명단!$A934)</f>
        <v/>
      </c>
      <c r="C935" s="12" t="str">
        <f aca="false">IF($A935="","",원본명단!$B934)</f>
        <v/>
      </c>
      <c r="D935" s="12" t="str">
        <f aca="false">IF($A935="","",원본명단!$D934)</f>
        <v/>
      </c>
      <c r="E935" s="11" t="str">
        <f aca="false">IF($A935="","",IF(원본명단!$H934="",0,COUNTIF(원본명단!$H$3:$H$6002,원본명단!$H934)))</f>
        <v/>
      </c>
      <c r="F935" s="11" t="str">
        <f aca="false">IF($A935="","",IF(원본명단!$I934="",0,COUNTIF(원본명단!$I$3:$I$6002,원본명단!$I934)))</f>
        <v/>
      </c>
      <c r="G935" s="11" t="str">
        <f aca="false">IF($A935="","",IF(원본명단!$K934="",0,COUNTIF(원본명단!$K$3:$K$6002,원본명단!$K934)))</f>
        <v/>
      </c>
      <c r="H935" s="11" t="str">
        <f aca="false">IF($A935="","",IF(MAX($E935,$F935,$G935)&gt;1,"중복","-"))</f>
        <v/>
      </c>
      <c r="I935" s="11" t="str">
        <f aca="false">IF($A935="","",IF($H935="-","-",IF(AND(IF(원본명단!$H934="",TRUE(),COUNTIF(원본명단!$H$3:$H934,원본명단!$H934)=1),IF(원본명단!$I934="",TRUE(),COUNTIF(원본명단!$I$3:$I934,원본명단!$I934)=1),IF(원본명단!$K934="",TRUE(),COUNTIF(원본명단!$K$3:$K934,원본명단!$K934)=1)),"첫 건","중복 건")))</f>
        <v/>
      </c>
      <c r="J935" s="11" t="str">
        <f aca="false">IF($A935="","",IF($H935="-","유지",IF($I935="첫 건","유지","확인 필요")))</f>
        <v/>
      </c>
    </row>
    <row r="936" customFormat="false" ht="15" hidden="false" customHeight="true" outlineLevel="0" collapsed="false">
      <c r="A936" s="11" t="str">
        <f aca="false">IF(원본명단!$A935="","",933)</f>
        <v/>
      </c>
      <c r="B936" s="12" t="str">
        <f aca="false">IF($A936="","",원본명단!$A935)</f>
        <v/>
      </c>
      <c r="C936" s="12" t="str">
        <f aca="false">IF($A936="","",원본명단!$B935)</f>
        <v/>
      </c>
      <c r="D936" s="12" t="str">
        <f aca="false">IF($A936="","",원본명단!$D935)</f>
        <v/>
      </c>
      <c r="E936" s="11" t="str">
        <f aca="false">IF($A936="","",IF(원본명단!$H935="",0,COUNTIF(원본명단!$H$3:$H$6002,원본명단!$H935)))</f>
        <v/>
      </c>
      <c r="F936" s="11" t="str">
        <f aca="false">IF($A936="","",IF(원본명단!$I935="",0,COUNTIF(원본명단!$I$3:$I$6002,원본명단!$I935)))</f>
        <v/>
      </c>
      <c r="G936" s="11" t="str">
        <f aca="false">IF($A936="","",IF(원본명단!$K935="",0,COUNTIF(원본명단!$K$3:$K$6002,원본명단!$K935)))</f>
        <v/>
      </c>
      <c r="H936" s="11" t="str">
        <f aca="false">IF($A936="","",IF(MAX($E936,$F936,$G936)&gt;1,"중복","-"))</f>
        <v/>
      </c>
      <c r="I936" s="11" t="str">
        <f aca="false">IF($A936="","",IF($H936="-","-",IF(AND(IF(원본명단!$H935="",TRUE(),COUNTIF(원본명단!$H$3:$H935,원본명단!$H935)=1),IF(원본명단!$I935="",TRUE(),COUNTIF(원본명단!$I$3:$I935,원본명단!$I935)=1),IF(원본명단!$K935="",TRUE(),COUNTIF(원본명단!$K$3:$K935,원본명단!$K935)=1)),"첫 건","중복 건")))</f>
        <v/>
      </c>
      <c r="J936" s="11" t="str">
        <f aca="false">IF($A936="","",IF($H936="-","유지",IF($I936="첫 건","유지","확인 필요")))</f>
        <v/>
      </c>
    </row>
    <row r="937" customFormat="false" ht="15" hidden="false" customHeight="true" outlineLevel="0" collapsed="false">
      <c r="A937" s="11" t="str">
        <f aca="false">IF(원본명단!$A936="","",934)</f>
        <v/>
      </c>
      <c r="B937" s="12" t="str">
        <f aca="false">IF($A937="","",원본명단!$A936)</f>
        <v/>
      </c>
      <c r="C937" s="12" t="str">
        <f aca="false">IF($A937="","",원본명단!$B936)</f>
        <v/>
      </c>
      <c r="D937" s="12" t="str">
        <f aca="false">IF($A937="","",원본명단!$D936)</f>
        <v/>
      </c>
      <c r="E937" s="11" t="str">
        <f aca="false">IF($A937="","",IF(원본명단!$H936="",0,COUNTIF(원본명단!$H$3:$H$6002,원본명단!$H936)))</f>
        <v/>
      </c>
      <c r="F937" s="11" t="str">
        <f aca="false">IF($A937="","",IF(원본명단!$I936="",0,COUNTIF(원본명단!$I$3:$I$6002,원본명단!$I936)))</f>
        <v/>
      </c>
      <c r="G937" s="11" t="str">
        <f aca="false">IF($A937="","",IF(원본명단!$K936="",0,COUNTIF(원본명단!$K$3:$K$6002,원본명단!$K936)))</f>
        <v/>
      </c>
      <c r="H937" s="11" t="str">
        <f aca="false">IF($A937="","",IF(MAX($E937,$F937,$G937)&gt;1,"중복","-"))</f>
        <v/>
      </c>
      <c r="I937" s="11" t="str">
        <f aca="false">IF($A937="","",IF($H937="-","-",IF(AND(IF(원본명단!$H936="",TRUE(),COUNTIF(원본명단!$H$3:$H936,원본명단!$H936)=1),IF(원본명단!$I936="",TRUE(),COUNTIF(원본명단!$I$3:$I936,원본명단!$I936)=1),IF(원본명단!$K936="",TRUE(),COUNTIF(원본명단!$K$3:$K936,원본명단!$K936)=1)),"첫 건","중복 건")))</f>
        <v/>
      </c>
      <c r="J937" s="11" t="str">
        <f aca="false">IF($A937="","",IF($H937="-","유지",IF($I937="첫 건","유지","확인 필요")))</f>
        <v/>
      </c>
    </row>
    <row r="938" customFormat="false" ht="15" hidden="false" customHeight="true" outlineLevel="0" collapsed="false">
      <c r="A938" s="11" t="str">
        <f aca="false">IF(원본명단!$A937="","",935)</f>
        <v/>
      </c>
      <c r="B938" s="12" t="str">
        <f aca="false">IF($A938="","",원본명단!$A937)</f>
        <v/>
      </c>
      <c r="C938" s="12" t="str">
        <f aca="false">IF($A938="","",원본명단!$B937)</f>
        <v/>
      </c>
      <c r="D938" s="12" t="str">
        <f aca="false">IF($A938="","",원본명단!$D937)</f>
        <v/>
      </c>
      <c r="E938" s="11" t="str">
        <f aca="false">IF($A938="","",IF(원본명단!$H937="",0,COUNTIF(원본명단!$H$3:$H$6002,원본명단!$H937)))</f>
        <v/>
      </c>
      <c r="F938" s="11" t="str">
        <f aca="false">IF($A938="","",IF(원본명단!$I937="",0,COUNTIF(원본명단!$I$3:$I$6002,원본명단!$I937)))</f>
        <v/>
      </c>
      <c r="G938" s="11" t="str">
        <f aca="false">IF($A938="","",IF(원본명단!$K937="",0,COUNTIF(원본명단!$K$3:$K$6002,원본명단!$K937)))</f>
        <v/>
      </c>
      <c r="H938" s="11" t="str">
        <f aca="false">IF($A938="","",IF(MAX($E938,$F938,$G938)&gt;1,"중복","-"))</f>
        <v/>
      </c>
      <c r="I938" s="11" t="str">
        <f aca="false">IF($A938="","",IF($H938="-","-",IF(AND(IF(원본명단!$H937="",TRUE(),COUNTIF(원본명단!$H$3:$H937,원본명단!$H937)=1),IF(원본명단!$I937="",TRUE(),COUNTIF(원본명단!$I$3:$I937,원본명단!$I937)=1),IF(원본명단!$K937="",TRUE(),COUNTIF(원본명단!$K$3:$K937,원본명단!$K937)=1)),"첫 건","중복 건")))</f>
        <v/>
      </c>
      <c r="J938" s="11" t="str">
        <f aca="false">IF($A938="","",IF($H938="-","유지",IF($I938="첫 건","유지","확인 필요")))</f>
        <v/>
      </c>
    </row>
    <row r="939" customFormat="false" ht="15" hidden="false" customHeight="true" outlineLevel="0" collapsed="false">
      <c r="A939" s="11" t="str">
        <f aca="false">IF(원본명단!$A938="","",936)</f>
        <v/>
      </c>
      <c r="B939" s="12" t="str">
        <f aca="false">IF($A939="","",원본명단!$A938)</f>
        <v/>
      </c>
      <c r="C939" s="12" t="str">
        <f aca="false">IF($A939="","",원본명단!$B938)</f>
        <v/>
      </c>
      <c r="D939" s="12" t="str">
        <f aca="false">IF($A939="","",원본명단!$D938)</f>
        <v/>
      </c>
      <c r="E939" s="11" t="str">
        <f aca="false">IF($A939="","",IF(원본명단!$H938="",0,COUNTIF(원본명단!$H$3:$H$6002,원본명단!$H938)))</f>
        <v/>
      </c>
      <c r="F939" s="11" t="str">
        <f aca="false">IF($A939="","",IF(원본명단!$I938="",0,COUNTIF(원본명단!$I$3:$I$6002,원본명단!$I938)))</f>
        <v/>
      </c>
      <c r="G939" s="11" t="str">
        <f aca="false">IF($A939="","",IF(원본명단!$K938="",0,COUNTIF(원본명단!$K$3:$K$6002,원본명단!$K938)))</f>
        <v/>
      </c>
      <c r="H939" s="11" t="str">
        <f aca="false">IF($A939="","",IF(MAX($E939,$F939,$G939)&gt;1,"중복","-"))</f>
        <v/>
      </c>
      <c r="I939" s="11" t="str">
        <f aca="false">IF($A939="","",IF($H939="-","-",IF(AND(IF(원본명단!$H938="",TRUE(),COUNTIF(원본명단!$H$3:$H938,원본명단!$H938)=1),IF(원본명단!$I938="",TRUE(),COUNTIF(원본명단!$I$3:$I938,원본명단!$I938)=1),IF(원본명단!$K938="",TRUE(),COUNTIF(원본명단!$K$3:$K938,원본명단!$K938)=1)),"첫 건","중복 건")))</f>
        <v/>
      </c>
      <c r="J939" s="11" t="str">
        <f aca="false">IF($A939="","",IF($H939="-","유지",IF($I939="첫 건","유지","확인 필요")))</f>
        <v/>
      </c>
    </row>
    <row r="940" customFormat="false" ht="15" hidden="false" customHeight="true" outlineLevel="0" collapsed="false">
      <c r="A940" s="11" t="str">
        <f aca="false">IF(원본명단!$A939="","",937)</f>
        <v/>
      </c>
      <c r="B940" s="12" t="str">
        <f aca="false">IF($A940="","",원본명단!$A939)</f>
        <v/>
      </c>
      <c r="C940" s="12" t="str">
        <f aca="false">IF($A940="","",원본명단!$B939)</f>
        <v/>
      </c>
      <c r="D940" s="12" t="str">
        <f aca="false">IF($A940="","",원본명단!$D939)</f>
        <v/>
      </c>
      <c r="E940" s="11" t="str">
        <f aca="false">IF($A940="","",IF(원본명단!$H939="",0,COUNTIF(원본명단!$H$3:$H$6002,원본명단!$H939)))</f>
        <v/>
      </c>
      <c r="F940" s="11" t="str">
        <f aca="false">IF($A940="","",IF(원본명단!$I939="",0,COUNTIF(원본명단!$I$3:$I$6002,원본명단!$I939)))</f>
        <v/>
      </c>
      <c r="G940" s="11" t="str">
        <f aca="false">IF($A940="","",IF(원본명단!$K939="",0,COUNTIF(원본명단!$K$3:$K$6002,원본명단!$K939)))</f>
        <v/>
      </c>
      <c r="H940" s="11" t="str">
        <f aca="false">IF($A940="","",IF(MAX($E940,$F940,$G940)&gt;1,"중복","-"))</f>
        <v/>
      </c>
      <c r="I940" s="11" t="str">
        <f aca="false">IF($A940="","",IF($H940="-","-",IF(AND(IF(원본명단!$H939="",TRUE(),COUNTIF(원본명단!$H$3:$H939,원본명단!$H939)=1),IF(원본명단!$I939="",TRUE(),COUNTIF(원본명단!$I$3:$I939,원본명단!$I939)=1),IF(원본명단!$K939="",TRUE(),COUNTIF(원본명단!$K$3:$K939,원본명단!$K939)=1)),"첫 건","중복 건")))</f>
        <v/>
      </c>
      <c r="J940" s="11" t="str">
        <f aca="false">IF($A940="","",IF($H940="-","유지",IF($I940="첫 건","유지","확인 필요")))</f>
        <v/>
      </c>
    </row>
    <row r="941" customFormat="false" ht="15" hidden="false" customHeight="true" outlineLevel="0" collapsed="false">
      <c r="A941" s="11" t="str">
        <f aca="false">IF(원본명단!$A940="","",938)</f>
        <v/>
      </c>
      <c r="B941" s="12" t="str">
        <f aca="false">IF($A941="","",원본명단!$A940)</f>
        <v/>
      </c>
      <c r="C941" s="12" t="str">
        <f aca="false">IF($A941="","",원본명단!$B940)</f>
        <v/>
      </c>
      <c r="D941" s="12" t="str">
        <f aca="false">IF($A941="","",원본명단!$D940)</f>
        <v/>
      </c>
      <c r="E941" s="11" t="str">
        <f aca="false">IF($A941="","",IF(원본명단!$H940="",0,COUNTIF(원본명단!$H$3:$H$6002,원본명단!$H940)))</f>
        <v/>
      </c>
      <c r="F941" s="11" t="str">
        <f aca="false">IF($A941="","",IF(원본명단!$I940="",0,COUNTIF(원본명단!$I$3:$I$6002,원본명단!$I940)))</f>
        <v/>
      </c>
      <c r="G941" s="11" t="str">
        <f aca="false">IF($A941="","",IF(원본명단!$K940="",0,COUNTIF(원본명단!$K$3:$K$6002,원본명단!$K940)))</f>
        <v/>
      </c>
      <c r="H941" s="11" t="str">
        <f aca="false">IF($A941="","",IF(MAX($E941,$F941,$G941)&gt;1,"중복","-"))</f>
        <v/>
      </c>
      <c r="I941" s="11" t="str">
        <f aca="false">IF($A941="","",IF($H941="-","-",IF(AND(IF(원본명단!$H940="",TRUE(),COUNTIF(원본명단!$H$3:$H940,원본명단!$H940)=1),IF(원본명단!$I940="",TRUE(),COUNTIF(원본명단!$I$3:$I940,원본명단!$I940)=1),IF(원본명단!$K940="",TRUE(),COUNTIF(원본명단!$K$3:$K940,원본명단!$K940)=1)),"첫 건","중복 건")))</f>
        <v/>
      </c>
      <c r="J941" s="11" t="str">
        <f aca="false">IF($A941="","",IF($H941="-","유지",IF($I941="첫 건","유지","확인 필요")))</f>
        <v/>
      </c>
    </row>
    <row r="942" customFormat="false" ht="15" hidden="false" customHeight="true" outlineLevel="0" collapsed="false">
      <c r="A942" s="11" t="str">
        <f aca="false">IF(원본명단!$A941="","",939)</f>
        <v/>
      </c>
      <c r="B942" s="12" t="str">
        <f aca="false">IF($A942="","",원본명단!$A941)</f>
        <v/>
      </c>
      <c r="C942" s="12" t="str">
        <f aca="false">IF($A942="","",원본명단!$B941)</f>
        <v/>
      </c>
      <c r="D942" s="12" t="str">
        <f aca="false">IF($A942="","",원본명단!$D941)</f>
        <v/>
      </c>
      <c r="E942" s="11" t="str">
        <f aca="false">IF($A942="","",IF(원본명단!$H941="",0,COUNTIF(원본명단!$H$3:$H$6002,원본명단!$H941)))</f>
        <v/>
      </c>
      <c r="F942" s="11" t="str">
        <f aca="false">IF($A942="","",IF(원본명단!$I941="",0,COUNTIF(원본명단!$I$3:$I$6002,원본명단!$I941)))</f>
        <v/>
      </c>
      <c r="G942" s="11" t="str">
        <f aca="false">IF($A942="","",IF(원본명단!$K941="",0,COUNTIF(원본명단!$K$3:$K$6002,원본명단!$K941)))</f>
        <v/>
      </c>
      <c r="H942" s="11" t="str">
        <f aca="false">IF($A942="","",IF(MAX($E942,$F942,$G942)&gt;1,"중복","-"))</f>
        <v/>
      </c>
      <c r="I942" s="11" t="str">
        <f aca="false">IF($A942="","",IF($H942="-","-",IF(AND(IF(원본명단!$H941="",TRUE(),COUNTIF(원본명단!$H$3:$H941,원본명단!$H941)=1),IF(원본명단!$I941="",TRUE(),COUNTIF(원본명단!$I$3:$I941,원본명단!$I941)=1),IF(원본명단!$K941="",TRUE(),COUNTIF(원본명단!$K$3:$K941,원본명단!$K941)=1)),"첫 건","중복 건")))</f>
        <v/>
      </c>
      <c r="J942" s="11" t="str">
        <f aca="false">IF($A942="","",IF($H942="-","유지",IF($I942="첫 건","유지","확인 필요")))</f>
        <v/>
      </c>
    </row>
    <row r="943" customFormat="false" ht="15" hidden="false" customHeight="true" outlineLevel="0" collapsed="false">
      <c r="A943" s="11" t="str">
        <f aca="false">IF(원본명단!$A942="","",940)</f>
        <v/>
      </c>
      <c r="B943" s="12" t="str">
        <f aca="false">IF($A943="","",원본명단!$A942)</f>
        <v/>
      </c>
      <c r="C943" s="12" t="str">
        <f aca="false">IF($A943="","",원본명단!$B942)</f>
        <v/>
      </c>
      <c r="D943" s="12" t="str">
        <f aca="false">IF($A943="","",원본명단!$D942)</f>
        <v/>
      </c>
      <c r="E943" s="11" t="str">
        <f aca="false">IF($A943="","",IF(원본명단!$H942="",0,COUNTIF(원본명단!$H$3:$H$6002,원본명단!$H942)))</f>
        <v/>
      </c>
      <c r="F943" s="11" t="str">
        <f aca="false">IF($A943="","",IF(원본명단!$I942="",0,COUNTIF(원본명단!$I$3:$I$6002,원본명단!$I942)))</f>
        <v/>
      </c>
      <c r="G943" s="11" t="str">
        <f aca="false">IF($A943="","",IF(원본명단!$K942="",0,COUNTIF(원본명단!$K$3:$K$6002,원본명단!$K942)))</f>
        <v/>
      </c>
      <c r="H943" s="11" t="str">
        <f aca="false">IF($A943="","",IF(MAX($E943,$F943,$G943)&gt;1,"중복","-"))</f>
        <v/>
      </c>
      <c r="I943" s="11" t="str">
        <f aca="false">IF($A943="","",IF($H943="-","-",IF(AND(IF(원본명단!$H942="",TRUE(),COUNTIF(원본명단!$H$3:$H942,원본명단!$H942)=1),IF(원본명단!$I942="",TRUE(),COUNTIF(원본명단!$I$3:$I942,원본명단!$I942)=1),IF(원본명단!$K942="",TRUE(),COUNTIF(원본명단!$K$3:$K942,원본명단!$K942)=1)),"첫 건","중복 건")))</f>
        <v/>
      </c>
      <c r="J943" s="11" t="str">
        <f aca="false">IF($A943="","",IF($H943="-","유지",IF($I943="첫 건","유지","확인 필요")))</f>
        <v/>
      </c>
    </row>
    <row r="944" customFormat="false" ht="15" hidden="false" customHeight="true" outlineLevel="0" collapsed="false">
      <c r="A944" s="11" t="str">
        <f aca="false">IF(원본명단!$A943="","",941)</f>
        <v/>
      </c>
      <c r="B944" s="12" t="str">
        <f aca="false">IF($A944="","",원본명단!$A943)</f>
        <v/>
      </c>
      <c r="C944" s="12" t="str">
        <f aca="false">IF($A944="","",원본명단!$B943)</f>
        <v/>
      </c>
      <c r="D944" s="12" t="str">
        <f aca="false">IF($A944="","",원본명단!$D943)</f>
        <v/>
      </c>
      <c r="E944" s="11" t="str">
        <f aca="false">IF($A944="","",IF(원본명단!$H943="",0,COUNTIF(원본명단!$H$3:$H$6002,원본명단!$H943)))</f>
        <v/>
      </c>
      <c r="F944" s="11" t="str">
        <f aca="false">IF($A944="","",IF(원본명단!$I943="",0,COUNTIF(원본명단!$I$3:$I$6002,원본명단!$I943)))</f>
        <v/>
      </c>
      <c r="G944" s="11" t="str">
        <f aca="false">IF($A944="","",IF(원본명단!$K943="",0,COUNTIF(원본명단!$K$3:$K$6002,원본명단!$K943)))</f>
        <v/>
      </c>
      <c r="H944" s="11" t="str">
        <f aca="false">IF($A944="","",IF(MAX($E944,$F944,$G944)&gt;1,"중복","-"))</f>
        <v/>
      </c>
      <c r="I944" s="11" t="str">
        <f aca="false">IF($A944="","",IF($H944="-","-",IF(AND(IF(원본명단!$H943="",TRUE(),COUNTIF(원본명단!$H$3:$H943,원본명단!$H943)=1),IF(원본명단!$I943="",TRUE(),COUNTIF(원본명단!$I$3:$I943,원본명단!$I943)=1),IF(원본명단!$K943="",TRUE(),COUNTIF(원본명단!$K$3:$K943,원본명단!$K943)=1)),"첫 건","중복 건")))</f>
        <v/>
      </c>
      <c r="J944" s="11" t="str">
        <f aca="false">IF($A944="","",IF($H944="-","유지",IF($I944="첫 건","유지","확인 필요")))</f>
        <v/>
      </c>
    </row>
    <row r="945" customFormat="false" ht="15" hidden="false" customHeight="true" outlineLevel="0" collapsed="false">
      <c r="A945" s="11" t="str">
        <f aca="false">IF(원본명단!$A944="","",942)</f>
        <v/>
      </c>
      <c r="B945" s="12" t="str">
        <f aca="false">IF($A945="","",원본명단!$A944)</f>
        <v/>
      </c>
      <c r="C945" s="12" t="str">
        <f aca="false">IF($A945="","",원본명단!$B944)</f>
        <v/>
      </c>
      <c r="D945" s="12" t="str">
        <f aca="false">IF($A945="","",원본명단!$D944)</f>
        <v/>
      </c>
      <c r="E945" s="11" t="str">
        <f aca="false">IF($A945="","",IF(원본명단!$H944="",0,COUNTIF(원본명단!$H$3:$H$6002,원본명단!$H944)))</f>
        <v/>
      </c>
      <c r="F945" s="11" t="str">
        <f aca="false">IF($A945="","",IF(원본명단!$I944="",0,COUNTIF(원본명단!$I$3:$I$6002,원본명단!$I944)))</f>
        <v/>
      </c>
      <c r="G945" s="11" t="str">
        <f aca="false">IF($A945="","",IF(원본명단!$K944="",0,COUNTIF(원본명단!$K$3:$K$6002,원본명단!$K944)))</f>
        <v/>
      </c>
      <c r="H945" s="11" t="str">
        <f aca="false">IF($A945="","",IF(MAX($E945,$F945,$G945)&gt;1,"중복","-"))</f>
        <v/>
      </c>
      <c r="I945" s="11" t="str">
        <f aca="false">IF($A945="","",IF($H945="-","-",IF(AND(IF(원본명단!$H944="",TRUE(),COUNTIF(원본명단!$H$3:$H944,원본명단!$H944)=1),IF(원본명단!$I944="",TRUE(),COUNTIF(원본명단!$I$3:$I944,원본명단!$I944)=1),IF(원본명단!$K944="",TRUE(),COUNTIF(원본명단!$K$3:$K944,원본명단!$K944)=1)),"첫 건","중복 건")))</f>
        <v/>
      </c>
      <c r="J945" s="11" t="str">
        <f aca="false">IF($A945="","",IF($H945="-","유지",IF($I945="첫 건","유지","확인 필요")))</f>
        <v/>
      </c>
    </row>
    <row r="946" customFormat="false" ht="15" hidden="false" customHeight="true" outlineLevel="0" collapsed="false">
      <c r="A946" s="11" t="str">
        <f aca="false">IF(원본명단!$A945="","",943)</f>
        <v/>
      </c>
      <c r="B946" s="12" t="str">
        <f aca="false">IF($A946="","",원본명단!$A945)</f>
        <v/>
      </c>
      <c r="C946" s="12" t="str">
        <f aca="false">IF($A946="","",원본명단!$B945)</f>
        <v/>
      </c>
      <c r="D946" s="12" t="str">
        <f aca="false">IF($A946="","",원본명단!$D945)</f>
        <v/>
      </c>
      <c r="E946" s="11" t="str">
        <f aca="false">IF($A946="","",IF(원본명단!$H945="",0,COUNTIF(원본명단!$H$3:$H$6002,원본명단!$H945)))</f>
        <v/>
      </c>
      <c r="F946" s="11" t="str">
        <f aca="false">IF($A946="","",IF(원본명단!$I945="",0,COUNTIF(원본명단!$I$3:$I$6002,원본명단!$I945)))</f>
        <v/>
      </c>
      <c r="G946" s="11" t="str">
        <f aca="false">IF($A946="","",IF(원본명단!$K945="",0,COUNTIF(원본명단!$K$3:$K$6002,원본명단!$K945)))</f>
        <v/>
      </c>
      <c r="H946" s="11" t="str">
        <f aca="false">IF($A946="","",IF(MAX($E946,$F946,$G946)&gt;1,"중복","-"))</f>
        <v/>
      </c>
      <c r="I946" s="11" t="str">
        <f aca="false">IF($A946="","",IF($H946="-","-",IF(AND(IF(원본명단!$H945="",TRUE(),COUNTIF(원본명단!$H$3:$H945,원본명단!$H945)=1),IF(원본명단!$I945="",TRUE(),COUNTIF(원본명단!$I$3:$I945,원본명단!$I945)=1),IF(원본명단!$K945="",TRUE(),COUNTIF(원본명단!$K$3:$K945,원본명단!$K945)=1)),"첫 건","중복 건")))</f>
        <v/>
      </c>
      <c r="J946" s="11" t="str">
        <f aca="false">IF($A946="","",IF($H946="-","유지",IF($I946="첫 건","유지","확인 필요")))</f>
        <v/>
      </c>
    </row>
    <row r="947" customFormat="false" ht="15" hidden="false" customHeight="true" outlineLevel="0" collapsed="false">
      <c r="A947" s="11" t="str">
        <f aca="false">IF(원본명단!$A946="","",944)</f>
        <v/>
      </c>
      <c r="B947" s="12" t="str">
        <f aca="false">IF($A947="","",원본명단!$A946)</f>
        <v/>
      </c>
      <c r="C947" s="12" t="str">
        <f aca="false">IF($A947="","",원본명단!$B946)</f>
        <v/>
      </c>
      <c r="D947" s="12" t="str">
        <f aca="false">IF($A947="","",원본명단!$D946)</f>
        <v/>
      </c>
      <c r="E947" s="11" t="str">
        <f aca="false">IF($A947="","",IF(원본명단!$H946="",0,COUNTIF(원본명단!$H$3:$H$6002,원본명단!$H946)))</f>
        <v/>
      </c>
      <c r="F947" s="11" t="str">
        <f aca="false">IF($A947="","",IF(원본명단!$I946="",0,COUNTIF(원본명단!$I$3:$I$6002,원본명단!$I946)))</f>
        <v/>
      </c>
      <c r="G947" s="11" t="str">
        <f aca="false">IF($A947="","",IF(원본명단!$K946="",0,COUNTIF(원본명단!$K$3:$K$6002,원본명단!$K946)))</f>
        <v/>
      </c>
      <c r="H947" s="11" t="str">
        <f aca="false">IF($A947="","",IF(MAX($E947,$F947,$G947)&gt;1,"중복","-"))</f>
        <v/>
      </c>
      <c r="I947" s="11" t="str">
        <f aca="false">IF($A947="","",IF($H947="-","-",IF(AND(IF(원본명단!$H946="",TRUE(),COUNTIF(원본명단!$H$3:$H946,원본명단!$H946)=1),IF(원본명단!$I946="",TRUE(),COUNTIF(원본명단!$I$3:$I946,원본명단!$I946)=1),IF(원본명단!$K946="",TRUE(),COUNTIF(원본명단!$K$3:$K946,원본명단!$K946)=1)),"첫 건","중복 건")))</f>
        <v/>
      </c>
      <c r="J947" s="11" t="str">
        <f aca="false">IF($A947="","",IF($H947="-","유지",IF($I947="첫 건","유지","확인 필요")))</f>
        <v/>
      </c>
    </row>
    <row r="948" customFormat="false" ht="15" hidden="false" customHeight="true" outlineLevel="0" collapsed="false">
      <c r="A948" s="11" t="str">
        <f aca="false">IF(원본명단!$A947="","",945)</f>
        <v/>
      </c>
      <c r="B948" s="12" t="str">
        <f aca="false">IF($A948="","",원본명단!$A947)</f>
        <v/>
      </c>
      <c r="C948" s="12" t="str">
        <f aca="false">IF($A948="","",원본명단!$B947)</f>
        <v/>
      </c>
      <c r="D948" s="12" t="str">
        <f aca="false">IF($A948="","",원본명단!$D947)</f>
        <v/>
      </c>
      <c r="E948" s="11" t="str">
        <f aca="false">IF($A948="","",IF(원본명단!$H947="",0,COUNTIF(원본명단!$H$3:$H$6002,원본명단!$H947)))</f>
        <v/>
      </c>
      <c r="F948" s="11" t="str">
        <f aca="false">IF($A948="","",IF(원본명단!$I947="",0,COUNTIF(원본명단!$I$3:$I$6002,원본명단!$I947)))</f>
        <v/>
      </c>
      <c r="G948" s="11" t="str">
        <f aca="false">IF($A948="","",IF(원본명단!$K947="",0,COUNTIF(원본명단!$K$3:$K$6002,원본명단!$K947)))</f>
        <v/>
      </c>
      <c r="H948" s="11" t="str">
        <f aca="false">IF($A948="","",IF(MAX($E948,$F948,$G948)&gt;1,"중복","-"))</f>
        <v/>
      </c>
      <c r="I948" s="11" t="str">
        <f aca="false">IF($A948="","",IF($H948="-","-",IF(AND(IF(원본명단!$H947="",TRUE(),COUNTIF(원본명단!$H$3:$H947,원본명단!$H947)=1),IF(원본명단!$I947="",TRUE(),COUNTIF(원본명단!$I$3:$I947,원본명단!$I947)=1),IF(원본명단!$K947="",TRUE(),COUNTIF(원본명단!$K$3:$K947,원본명단!$K947)=1)),"첫 건","중복 건")))</f>
        <v/>
      </c>
      <c r="J948" s="11" t="str">
        <f aca="false">IF($A948="","",IF($H948="-","유지",IF($I948="첫 건","유지","확인 필요")))</f>
        <v/>
      </c>
    </row>
    <row r="949" customFormat="false" ht="15" hidden="false" customHeight="true" outlineLevel="0" collapsed="false">
      <c r="A949" s="11" t="str">
        <f aca="false">IF(원본명단!$A948="","",946)</f>
        <v/>
      </c>
      <c r="B949" s="12" t="str">
        <f aca="false">IF($A949="","",원본명단!$A948)</f>
        <v/>
      </c>
      <c r="C949" s="12" t="str">
        <f aca="false">IF($A949="","",원본명단!$B948)</f>
        <v/>
      </c>
      <c r="D949" s="12" t="str">
        <f aca="false">IF($A949="","",원본명단!$D948)</f>
        <v/>
      </c>
      <c r="E949" s="11" t="str">
        <f aca="false">IF($A949="","",IF(원본명단!$H948="",0,COUNTIF(원본명단!$H$3:$H$6002,원본명단!$H948)))</f>
        <v/>
      </c>
      <c r="F949" s="11" t="str">
        <f aca="false">IF($A949="","",IF(원본명단!$I948="",0,COUNTIF(원본명단!$I$3:$I$6002,원본명단!$I948)))</f>
        <v/>
      </c>
      <c r="G949" s="11" t="str">
        <f aca="false">IF($A949="","",IF(원본명단!$K948="",0,COUNTIF(원본명단!$K$3:$K$6002,원본명단!$K948)))</f>
        <v/>
      </c>
      <c r="H949" s="11" t="str">
        <f aca="false">IF($A949="","",IF(MAX($E949,$F949,$G949)&gt;1,"중복","-"))</f>
        <v/>
      </c>
      <c r="I949" s="11" t="str">
        <f aca="false">IF($A949="","",IF($H949="-","-",IF(AND(IF(원본명단!$H948="",TRUE(),COUNTIF(원본명단!$H$3:$H948,원본명단!$H948)=1),IF(원본명단!$I948="",TRUE(),COUNTIF(원본명단!$I$3:$I948,원본명단!$I948)=1),IF(원본명단!$K948="",TRUE(),COUNTIF(원본명단!$K$3:$K948,원본명단!$K948)=1)),"첫 건","중복 건")))</f>
        <v/>
      </c>
      <c r="J949" s="11" t="str">
        <f aca="false">IF($A949="","",IF($H949="-","유지",IF($I949="첫 건","유지","확인 필요")))</f>
        <v/>
      </c>
    </row>
    <row r="950" customFormat="false" ht="15" hidden="false" customHeight="true" outlineLevel="0" collapsed="false">
      <c r="A950" s="11" t="str">
        <f aca="false">IF(원본명단!$A949="","",947)</f>
        <v/>
      </c>
      <c r="B950" s="12" t="str">
        <f aca="false">IF($A950="","",원본명단!$A949)</f>
        <v/>
      </c>
      <c r="C950" s="12" t="str">
        <f aca="false">IF($A950="","",원본명단!$B949)</f>
        <v/>
      </c>
      <c r="D950" s="12" t="str">
        <f aca="false">IF($A950="","",원본명단!$D949)</f>
        <v/>
      </c>
      <c r="E950" s="11" t="str">
        <f aca="false">IF($A950="","",IF(원본명단!$H949="",0,COUNTIF(원본명단!$H$3:$H$6002,원본명단!$H949)))</f>
        <v/>
      </c>
      <c r="F950" s="11" t="str">
        <f aca="false">IF($A950="","",IF(원본명단!$I949="",0,COUNTIF(원본명단!$I$3:$I$6002,원본명단!$I949)))</f>
        <v/>
      </c>
      <c r="G950" s="11" t="str">
        <f aca="false">IF($A950="","",IF(원본명단!$K949="",0,COUNTIF(원본명단!$K$3:$K$6002,원본명단!$K949)))</f>
        <v/>
      </c>
      <c r="H950" s="11" t="str">
        <f aca="false">IF($A950="","",IF(MAX($E950,$F950,$G950)&gt;1,"중복","-"))</f>
        <v/>
      </c>
      <c r="I950" s="11" t="str">
        <f aca="false">IF($A950="","",IF($H950="-","-",IF(AND(IF(원본명단!$H949="",TRUE(),COUNTIF(원본명단!$H$3:$H949,원본명단!$H949)=1),IF(원본명단!$I949="",TRUE(),COUNTIF(원본명단!$I$3:$I949,원본명단!$I949)=1),IF(원본명단!$K949="",TRUE(),COUNTIF(원본명단!$K$3:$K949,원본명단!$K949)=1)),"첫 건","중복 건")))</f>
        <v/>
      </c>
      <c r="J950" s="11" t="str">
        <f aca="false">IF($A950="","",IF($H950="-","유지",IF($I950="첫 건","유지","확인 필요")))</f>
        <v/>
      </c>
    </row>
    <row r="951" customFormat="false" ht="15" hidden="false" customHeight="true" outlineLevel="0" collapsed="false">
      <c r="A951" s="11" t="str">
        <f aca="false">IF(원본명단!$A950="","",948)</f>
        <v/>
      </c>
      <c r="B951" s="12" t="str">
        <f aca="false">IF($A951="","",원본명단!$A950)</f>
        <v/>
      </c>
      <c r="C951" s="12" t="str">
        <f aca="false">IF($A951="","",원본명단!$B950)</f>
        <v/>
      </c>
      <c r="D951" s="12" t="str">
        <f aca="false">IF($A951="","",원본명단!$D950)</f>
        <v/>
      </c>
      <c r="E951" s="11" t="str">
        <f aca="false">IF($A951="","",IF(원본명단!$H950="",0,COUNTIF(원본명단!$H$3:$H$6002,원본명단!$H950)))</f>
        <v/>
      </c>
      <c r="F951" s="11" t="str">
        <f aca="false">IF($A951="","",IF(원본명단!$I950="",0,COUNTIF(원본명단!$I$3:$I$6002,원본명단!$I950)))</f>
        <v/>
      </c>
      <c r="G951" s="11" t="str">
        <f aca="false">IF($A951="","",IF(원본명단!$K950="",0,COUNTIF(원본명단!$K$3:$K$6002,원본명단!$K950)))</f>
        <v/>
      </c>
      <c r="H951" s="11" t="str">
        <f aca="false">IF($A951="","",IF(MAX($E951,$F951,$G951)&gt;1,"중복","-"))</f>
        <v/>
      </c>
      <c r="I951" s="11" t="str">
        <f aca="false">IF($A951="","",IF($H951="-","-",IF(AND(IF(원본명단!$H950="",TRUE(),COUNTIF(원본명단!$H$3:$H950,원본명단!$H950)=1),IF(원본명단!$I950="",TRUE(),COUNTIF(원본명단!$I$3:$I950,원본명단!$I950)=1),IF(원본명단!$K950="",TRUE(),COUNTIF(원본명단!$K$3:$K950,원본명단!$K950)=1)),"첫 건","중복 건")))</f>
        <v/>
      </c>
      <c r="J951" s="11" t="str">
        <f aca="false">IF($A951="","",IF($H951="-","유지",IF($I951="첫 건","유지","확인 필요")))</f>
        <v/>
      </c>
    </row>
    <row r="952" customFormat="false" ht="15" hidden="false" customHeight="true" outlineLevel="0" collapsed="false">
      <c r="A952" s="11" t="str">
        <f aca="false">IF(원본명단!$A951="","",949)</f>
        <v/>
      </c>
      <c r="B952" s="12" t="str">
        <f aca="false">IF($A952="","",원본명단!$A951)</f>
        <v/>
      </c>
      <c r="C952" s="12" t="str">
        <f aca="false">IF($A952="","",원본명단!$B951)</f>
        <v/>
      </c>
      <c r="D952" s="12" t="str">
        <f aca="false">IF($A952="","",원본명단!$D951)</f>
        <v/>
      </c>
      <c r="E952" s="11" t="str">
        <f aca="false">IF($A952="","",IF(원본명단!$H951="",0,COUNTIF(원본명단!$H$3:$H$6002,원본명단!$H951)))</f>
        <v/>
      </c>
      <c r="F952" s="11" t="str">
        <f aca="false">IF($A952="","",IF(원본명단!$I951="",0,COUNTIF(원본명단!$I$3:$I$6002,원본명단!$I951)))</f>
        <v/>
      </c>
      <c r="G952" s="11" t="str">
        <f aca="false">IF($A952="","",IF(원본명단!$K951="",0,COUNTIF(원본명단!$K$3:$K$6002,원본명단!$K951)))</f>
        <v/>
      </c>
      <c r="H952" s="11" t="str">
        <f aca="false">IF($A952="","",IF(MAX($E952,$F952,$G952)&gt;1,"중복","-"))</f>
        <v/>
      </c>
      <c r="I952" s="11" t="str">
        <f aca="false">IF($A952="","",IF($H952="-","-",IF(AND(IF(원본명단!$H951="",TRUE(),COUNTIF(원본명단!$H$3:$H951,원본명단!$H951)=1),IF(원본명단!$I951="",TRUE(),COUNTIF(원본명단!$I$3:$I951,원본명단!$I951)=1),IF(원본명단!$K951="",TRUE(),COUNTIF(원본명단!$K$3:$K951,원본명단!$K951)=1)),"첫 건","중복 건")))</f>
        <v/>
      </c>
      <c r="J952" s="11" t="str">
        <f aca="false">IF($A952="","",IF($H952="-","유지",IF($I952="첫 건","유지","확인 필요")))</f>
        <v/>
      </c>
    </row>
    <row r="953" customFormat="false" ht="15" hidden="false" customHeight="true" outlineLevel="0" collapsed="false">
      <c r="A953" s="11" t="str">
        <f aca="false">IF(원본명단!$A952="","",950)</f>
        <v/>
      </c>
      <c r="B953" s="12" t="str">
        <f aca="false">IF($A953="","",원본명단!$A952)</f>
        <v/>
      </c>
      <c r="C953" s="12" t="str">
        <f aca="false">IF($A953="","",원본명단!$B952)</f>
        <v/>
      </c>
      <c r="D953" s="12" t="str">
        <f aca="false">IF($A953="","",원본명단!$D952)</f>
        <v/>
      </c>
      <c r="E953" s="11" t="str">
        <f aca="false">IF($A953="","",IF(원본명단!$H952="",0,COUNTIF(원본명단!$H$3:$H$6002,원본명단!$H952)))</f>
        <v/>
      </c>
      <c r="F953" s="11" t="str">
        <f aca="false">IF($A953="","",IF(원본명단!$I952="",0,COUNTIF(원본명단!$I$3:$I$6002,원본명단!$I952)))</f>
        <v/>
      </c>
      <c r="G953" s="11" t="str">
        <f aca="false">IF($A953="","",IF(원본명단!$K952="",0,COUNTIF(원본명단!$K$3:$K$6002,원본명단!$K952)))</f>
        <v/>
      </c>
      <c r="H953" s="11" t="str">
        <f aca="false">IF($A953="","",IF(MAX($E953,$F953,$G953)&gt;1,"중복","-"))</f>
        <v/>
      </c>
      <c r="I953" s="11" t="str">
        <f aca="false">IF($A953="","",IF($H953="-","-",IF(AND(IF(원본명단!$H952="",TRUE(),COUNTIF(원본명단!$H$3:$H952,원본명단!$H952)=1),IF(원본명단!$I952="",TRUE(),COUNTIF(원본명단!$I$3:$I952,원본명단!$I952)=1),IF(원본명단!$K952="",TRUE(),COUNTIF(원본명단!$K$3:$K952,원본명단!$K952)=1)),"첫 건","중복 건")))</f>
        <v/>
      </c>
      <c r="J953" s="11" t="str">
        <f aca="false">IF($A953="","",IF($H953="-","유지",IF($I953="첫 건","유지","확인 필요")))</f>
        <v/>
      </c>
    </row>
    <row r="954" customFormat="false" ht="15" hidden="false" customHeight="true" outlineLevel="0" collapsed="false">
      <c r="A954" s="11" t="str">
        <f aca="false">IF(원본명단!$A953="","",951)</f>
        <v/>
      </c>
      <c r="B954" s="12" t="str">
        <f aca="false">IF($A954="","",원본명단!$A953)</f>
        <v/>
      </c>
      <c r="C954" s="12" t="str">
        <f aca="false">IF($A954="","",원본명단!$B953)</f>
        <v/>
      </c>
      <c r="D954" s="12" t="str">
        <f aca="false">IF($A954="","",원본명단!$D953)</f>
        <v/>
      </c>
      <c r="E954" s="11" t="str">
        <f aca="false">IF($A954="","",IF(원본명단!$H953="",0,COUNTIF(원본명단!$H$3:$H$6002,원본명단!$H953)))</f>
        <v/>
      </c>
      <c r="F954" s="11" t="str">
        <f aca="false">IF($A954="","",IF(원본명단!$I953="",0,COUNTIF(원본명단!$I$3:$I$6002,원본명단!$I953)))</f>
        <v/>
      </c>
      <c r="G954" s="11" t="str">
        <f aca="false">IF($A954="","",IF(원본명단!$K953="",0,COUNTIF(원본명단!$K$3:$K$6002,원본명단!$K953)))</f>
        <v/>
      </c>
      <c r="H954" s="11" t="str">
        <f aca="false">IF($A954="","",IF(MAX($E954,$F954,$G954)&gt;1,"중복","-"))</f>
        <v/>
      </c>
      <c r="I954" s="11" t="str">
        <f aca="false">IF($A954="","",IF($H954="-","-",IF(AND(IF(원본명단!$H953="",TRUE(),COUNTIF(원본명단!$H$3:$H953,원본명단!$H953)=1),IF(원본명단!$I953="",TRUE(),COUNTIF(원본명단!$I$3:$I953,원본명단!$I953)=1),IF(원본명단!$K953="",TRUE(),COUNTIF(원본명단!$K$3:$K953,원본명단!$K953)=1)),"첫 건","중복 건")))</f>
        <v/>
      </c>
      <c r="J954" s="11" t="str">
        <f aca="false">IF($A954="","",IF($H954="-","유지",IF($I954="첫 건","유지","확인 필요")))</f>
        <v/>
      </c>
    </row>
    <row r="955" customFormat="false" ht="15" hidden="false" customHeight="true" outlineLevel="0" collapsed="false">
      <c r="A955" s="11" t="str">
        <f aca="false">IF(원본명단!$A954="","",952)</f>
        <v/>
      </c>
      <c r="B955" s="12" t="str">
        <f aca="false">IF($A955="","",원본명단!$A954)</f>
        <v/>
      </c>
      <c r="C955" s="12" t="str">
        <f aca="false">IF($A955="","",원본명단!$B954)</f>
        <v/>
      </c>
      <c r="D955" s="12" t="str">
        <f aca="false">IF($A955="","",원본명단!$D954)</f>
        <v/>
      </c>
      <c r="E955" s="11" t="str">
        <f aca="false">IF($A955="","",IF(원본명단!$H954="",0,COUNTIF(원본명단!$H$3:$H$6002,원본명단!$H954)))</f>
        <v/>
      </c>
      <c r="F955" s="11" t="str">
        <f aca="false">IF($A955="","",IF(원본명단!$I954="",0,COUNTIF(원본명단!$I$3:$I$6002,원본명단!$I954)))</f>
        <v/>
      </c>
      <c r="G955" s="11" t="str">
        <f aca="false">IF($A955="","",IF(원본명단!$K954="",0,COUNTIF(원본명단!$K$3:$K$6002,원본명단!$K954)))</f>
        <v/>
      </c>
      <c r="H955" s="11" t="str">
        <f aca="false">IF($A955="","",IF(MAX($E955,$F955,$G955)&gt;1,"중복","-"))</f>
        <v/>
      </c>
      <c r="I955" s="11" t="str">
        <f aca="false">IF($A955="","",IF($H955="-","-",IF(AND(IF(원본명단!$H954="",TRUE(),COUNTIF(원본명단!$H$3:$H954,원본명단!$H954)=1),IF(원본명단!$I954="",TRUE(),COUNTIF(원본명단!$I$3:$I954,원본명단!$I954)=1),IF(원본명단!$K954="",TRUE(),COUNTIF(원본명단!$K$3:$K954,원본명단!$K954)=1)),"첫 건","중복 건")))</f>
        <v/>
      </c>
      <c r="J955" s="11" t="str">
        <f aca="false">IF($A955="","",IF($H955="-","유지",IF($I955="첫 건","유지","확인 필요")))</f>
        <v/>
      </c>
    </row>
    <row r="956" customFormat="false" ht="15" hidden="false" customHeight="true" outlineLevel="0" collapsed="false">
      <c r="A956" s="11" t="str">
        <f aca="false">IF(원본명단!$A955="","",953)</f>
        <v/>
      </c>
      <c r="B956" s="12" t="str">
        <f aca="false">IF($A956="","",원본명단!$A955)</f>
        <v/>
      </c>
      <c r="C956" s="12" t="str">
        <f aca="false">IF($A956="","",원본명단!$B955)</f>
        <v/>
      </c>
      <c r="D956" s="12" t="str">
        <f aca="false">IF($A956="","",원본명단!$D955)</f>
        <v/>
      </c>
      <c r="E956" s="11" t="str">
        <f aca="false">IF($A956="","",IF(원본명단!$H955="",0,COUNTIF(원본명단!$H$3:$H$6002,원본명단!$H955)))</f>
        <v/>
      </c>
      <c r="F956" s="11" t="str">
        <f aca="false">IF($A956="","",IF(원본명단!$I955="",0,COUNTIF(원본명단!$I$3:$I$6002,원본명단!$I955)))</f>
        <v/>
      </c>
      <c r="G956" s="11" t="str">
        <f aca="false">IF($A956="","",IF(원본명단!$K955="",0,COUNTIF(원본명단!$K$3:$K$6002,원본명단!$K955)))</f>
        <v/>
      </c>
      <c r="H956" s="11" t="str">
        <f aca="false">IF($A956="","",IF(MAX($E956,$F956,$G956)&gt;1,"중복","-"))</f>
        <v/>
      </c>
      <c r="I956" s="11" t="str">
        <f aca="false">IF($A956="","",IF($H956="-","-",IF(AND(IF(원본명단!$H955="",TRUE(),COUNTIF(원본명단!$H$3:$H955,원본명단!$H955)=1),IF(원본명단!$I955="",TRUE(),COUNTIF(원본명단!$I$3:$I955,원본명단!$I955)=1),IF(원본명단!$K955="",TRUE(),COUNTIF(원본명단!$K$3:$K955,원본명단!$K955)=1)),"첫 건","중복 건")))</f>
        <v/>
      </c>
      <c r="J956" s="11" t="str">
        <f aca="false">IF($A956="","",IF($H956="-","유지",IF($I956="첫 건","유지","확인 필요")))</f>
        <v/>
      </c>
    </row>
    <row r="957" customFormat="false" ht="15" hidden="false" customHeight="true" outlineLevel="0" collapsed="false">
      <c r="A957" s="11" t="str">
        <f aca="false">IF(원본명단!$A956="","",954)</f>
        <v/>
      </c>
      <c r="B957" s="12" t="str">
        <f aca="false">IF($A957="","",원본명단!$A956)</f>
        <v/>
      </c>
      <c r="C957" s="12" t="str">
        <f aca="false">IF($A957="","",원본명단!$B956)</f>
        <v/>
      </c>
      <c r="D957" s="12" t="str">
        <f aca="false">IF($A957="","",원본명단!$D956)</f>
        <v/>
      </c>
      <c r="E957" s="11" t="str">
        <f aca="false">IF($A957="","",IF(원본명단!$H956="",0,COUNTIF(원본명단!$H$3:$H$6002,원본명단!$H956)))</f>
        <v/>
      </c>
      <c r="F957" s="11" t="str">
        <f aca="false">IF($A957="","",IF(원본명단!$I956="",0,COUNTIF(원본명단!$I$3:$I$6002,원본명단!$I956)))</f>
        <v/>
      </c>
      <c r="G957" s="11" t="str">
        <f aca="false">IF($A957="","",IF(원본명단!$K956="",0,COUNTIF(원본명단!$K$3:$K$6002,원본명단!$K956)))</f>
        <v/>
      </c>
      <c r="H957" s="11" t="str">
        <f aca="false">IF($A957="","",IF(MAX($E957,$F957,$G957)&gt;1,"중복","-"))</f>
        <v/>
      </c>
      <c r="I957" s="11" t="str">
        <f aca="false">IF($A957="","",IF($H957="-","-",IF(AND(IF(원본명단!$H956="",TRUE(),COUNTIF(원본명단!$H$3:$H956,원본명단!$H956)=1),IF(원본명단!$I956="",TRUE(),COUNTIF(원본명단!$I$3:$I956,원본명단!$I956)=1),IF(원본명단!$K956="",TRUE(),COUNTIF(원본명단!$K$3:$K956,원본명단!$K956)=1)),"첫 건","중복 건")))</f>
        <v/>
      </c>
      <c r="J957" s="11" t="str">
        <f aca="false">IF($A957="","",IF($H957="-","유지",IF($I957="첫 건","유지","확인 필요")))</f>
        <v/>
      </c>
    </row>
    <row r="958" customFormat="false" ht="15" hidden="false" customHeight="true" outlineLevel="0" collapsed="false">
      <c r="A958" s="11" t="str">
        <f aca="false">IF(원본명단!$A957="","",955)</f>
        <v/>
      </c>
      <c r="B958" s="12" t="str">
        <f aca="false">IF($A958="","",원본명단!$A957)</f>
        <v/>
      </c>
      <c r="C958" s="12" t="str">
        <f aca="false">IF($A958="","",원본명단!$B957)</f>
        <v/>
      </c>
      <c r="D958" s="12" t="str">
        <f aca="false">IF($A958="","",원본명단!$D957)</f>
        <v/>
      </c>
      <c r="E958" s="11" t="str">
        <f aca="false">IF($A958="","",IF(원본명단!$H957="",0,COUNTIF(원본명단!$H$3:$H$6002,원본명단!$H957)))</f>
        <v/>
      </c>
      <c r="F958" s="11" t="str">
        <f aca="false">IF($A958="","",IF(원본명단!$I957="",0,COUNTIF(원본명단!$I$3:$I$6002,원본명단!$I957)))</f>
        <v/>
      </c>
      <c r="G958" s="11" t="str">
        <f aca="false">IF($A958="","",IF(원본명단!$K957="",0,COUNTIF(원본명단!$K$3:$K$6002,원본명단!$K957)))</f>
        <v/>
      </c>
      <c r="H958" s="11" t="str">
        <f aca="false">IF($A958="","",IF(MAX($E958,$F958,$G958)&gt;1,"중복","-"))</f>
        <v/>
      </c>
      <c r="I958" s="11" t="str">
        <f aca="false">IF($A958="","",IF($H958="-","-",IF(AND(IF(원본명단!$H957="",TRUE(),COUNTIF(원본명단!$H$3:$H957,원본명단!$H957)=1),IF(원본명단!$I957="",TRUE(),COUNTIF(원본명단!$I$3:$I957,원본명단!$I957)=1),IF(원본명단!$K957="",TRUE(),COUNTIF(원본명단!$K$3:$K957,원본명단!$K957)=1)),"첫 건","중복 건")))</f>
        <v/>
      </c>
      <c r="J958" s="11" t="str">
        <f aca="false">IF($A958="","",IF($H958="-","유지",IF($I958="첫 건","유지","확인 필요")))</f>
        <v/>
      </c>
    </row>
    <row r="959" customFormat="false" ht="15" hidden="false" customHeight="true" outlineLevel="0" collapsed="false">
      <c r="A959" s="11" t="str">
        <f aca="false">IF(원본명단!$A958="","",956)</f>
        <v/>
      </c>
      <c r="B959" s="12" t="str">
        <f aca="false">IF($A959="","",원본명단!$A958)</f>
        <v/>
      </c>
      <c r="C959" s="12" t="str">
        <f aca="false">IF($A959="","",원본명단!$B958)</f>
        <v/>
      </c>
      <c r="D959" s="12" t="str">
        <f aca="false">IF($A959="","",원본명단!$D958)</f>
        <v/>
      </c>
      <c r="E959" s="11" t="str">
        <f aca="false">IF($A959="","",IF(원본명단!$H958="",0,COUNTIF(원본명단!$H$3:$H$6002,원본명단!$H958)))</f>
        <v/>
      </c>
      <c r="F959" s="11" t="str">
        <f aca="false">IF($A959="","",IF(원본명단!$I958="",0,COUNTIF(원본명단!$I$3:$I$6002,원본명단!$I958)))</f>
        <v/>
      </c>
      <c r="G959" s="11" t="str">
        <f aca="false">IF($A959="","",IF(원본명단!$K958="",0,COUNTIF(원본명단!$K$3:$K$6002,원본명단!$K958)))</f>
        <v/>
      </c>
      <c r="H959" s="11" t="str">
        <f aca="false">IF($A959="","",IF(MAX($E959,$F959,$G959)&gt;1,"중복","-"))</f>
        <v/>
      </c>
      <c r="I959" s="11" t="str">
        <f aca="false">IF($A959="","",IF($H959="-","-",IF(AND(IF(원본명단!$H958="",TRUE(),COUNTIF(원본명단!$H$3:$H958,원본명단!$H958)=1),IF(원본명단!$I958="",TRUE(),COUNTIF(원본명단!$I$3:$I958,원본명단!$I958)=1),IF(원본명단!$K958="",TRUE(),COUNTIF(원본명단!$K$3:$K958,원본명단!$K958)=1)),"첫 건","중복 건")))</f>
        <v/>
      </c>
      <c r="J959" s="11" t="str">
        <f aca="false">IF($A959="","",IF($H959="-","유지",IF($I959="첫 건","유지","확인 필요")))</f>
        <v/>
      </c>
    </row>
    <row r="960" customFormat="false" ht="15" hidden="false" customHeight="true" outlineLevel="0" collapsed="false">
      <c r="A960" s="11" t="str">
        <f aca="false">IF(원본명단!$A959="","",957)</f>
        <v/>
      </c>
      <c r="B960" s="12" t="str">
        <f aca="false">IF($A960="","",원본명단!$A959)</f>
        <v/>
      </c>
      <c r="C960" s="12" t="str">
        <f aca="false">IF($A960="","",원본명단!$B959)</f>
        <v/>
      </c>
      <c r="D960" s="12" t="str">
        <f aca="false">IF($A960="","",원본명단!$D959)</f>
        <v/>
      </c>
      <c r="E960" s="11" t="str">
        <f aca="false">IF($A960="","",IF(원본명단!$H959="",0,COUNTIF(원본명단!$H$3:$H$6002,원본명단!$H959)))</f>
        <v/>
      </c>
      <c r="F960" s="11" t="str">
        <f aca="false">IF($A960="","",IF(원본명단!$I959="",0,COUNTIF(원본명단!$I$3:$I$6002,원본명단!$I959)))</f>
        <v/>
      </c>
      <c r="G960" s="11" t="str">
        <f aca="false">IF($A960="","",IF(원본명단!$K959="",0,COUNTIF(원본명단!$K$3:$K$6002,원본명단!$K959)))</f>
        <v/>
      </c>
      <c r="H960" s="11" t="str">
        <f aca="false">IF($A960="","",IF(MAX($E960,$F960,$G960)&gt;1,"중복","-"))</f>
        <v/>
      </c>
      <c r="I960" s="11" t="str">
        <f aca="false">IF($A960="","",IF($H960="-","-",IF(AND(IF(원본명단!$H959="",TRUE(),COUNTIF(원본명단!$H$3:$H959,원본명단!$H959)=1),IF(원본명단!$I959="",TRUE(),COUNTIF(원본명단!$I$3:$I959,원본명단!$I959)=1),IF(원본명단!$K959="",TRUE(),COUNTIF(원본명단!$K$3:$K959,원본명단!$K959)=1)),"첫 건","중복 건")))</f>
        <v/>
      </c>
      <c r="J960" s="11" t="str">
        <f aca="false">IF($A960="","",IF($H960="-","유지",IF($I960="첫 건","유지","확인 필요")))</f>
        <v/>
      </c>
    </row>
    <row r="961" customFormat="false" ht="15" hidden="false" customHeight="true" outlineLevel="0" collapsed="false">
      <c r="A961" s="11" t="str">
        <f aca="false">IF(원본명단!$A960="","",958)</f>
        <v/>
      </c>
      <c r="B961" s="12" t="str">
        <f aca="false">IF($A961="","",원본명단!$A960)</f>
        <v/>
      </c>
      <c r="C961" s="12" t="str">
        <f aca="false">IF($A961="","",원본명단!$B960)</f>
        <v/>
      </c>
      <c r="D961" s="12" t="str">
        <f aca="false">IF($A961="","",원본명단!$D960)</f>
        <v/>
      </c>
      <c r="E961" s="11" t="str">
        <f aca="false">IF($A961="","",IF(원본명단!$H960="",0,COUNTIF(원본명단!$H$3:$H$6002,원본명단!$H960)))</f>
        <v/>
      </c>
      <c r="F961" s="11" t="str">
        <f aca="false">IF($A961="","",IF(원본명단!$I960="",0,COUNTIF(원본명단!$I$3:$I$6002,원본명단!$I960)))</f>
        <v/>
      </c>
      <c r="G961" s="11" t="str">
        <f aca="false">IF($A961="","",IF(원본명단!$K960="",0,COUNTIF(원본명단!$K$3:$K$6002,원본명단!$K960)))</f>
        <v/>
      </c>
      <c r="H961" s="11" t="str">
        <f aca="false">IF($A961="","",IF(MAX($E961,$F961,$G961)&gt;1,"중복","-"))</f>
        <v/>
      </c>
      <c r="I961" s="11" t="str">
        <f aca="false">IF($A961="","",IF($H961="-","-",IF(AND(IF(원본명단!$H960="",TRUE(),COUNTIF(원본명단!$H$3:$H960,원본명단!$H960)=1),IF(원본명단!$I960="",TRUE(),COUNTIF(원본명단!$I$3:$I960,원본명단!$I960)=1),IF(원본명단!$K960="",TRUE(),COUNTIF(원본명단!$K$3:$K960,원본명단!$K960)=1)),"첫 건","중복 건")))</f>
        <v/>
      </c>
      <c r="J961" s="11" t="str">
        <f aca="false">IF($A961="","",IF($H961="-","유지",IF($I961="첫 건","유지","확인 필요")))</f>
        <v/>
      </c>
    </row>
    <row r="962" customFormat="false" ht="15" hidden="false" customHeight="true" outlineLevel="0" collapsed="false">
      <c r="A962" s="11" t="str">
        <f aca="false">IF(원본명단!$A961="","",959)</f>
        <v/>
      </c>
      <c r="B962" s="12" t="str">
        <f aca="false">IF($A962="","",원본명단!$A961)</f>
        <v/>
      </c>
      <c r="C962" s="12" t="str">
        <f aca="false">IF($A962="","",원본명단!$B961)</f>
        <v/>
      </c>
      <c r="D962" s="12" t="str">
        <f aca="false">IF($A962="","",원본명단!$D961)</f>
        <v/>
      </c>
      <c r="E962" s="11" t="str">
        <f aca="false">IF($A962="","",IF(원본명단!$H961="",0,COUNTIF(원본명단!$H$3:$H$6002,원본명단!$H961)))</f>
        <v/>
      </c>
      <c r="F962" s="11" t="str">
        <f aca="false">IF($A962="","",IF(원본명단!$I961="",0,COUNTIF(원본명단!$I$3:$I$6002,원본명단!$I961)))</f>
        <v/>
      </c>
      <c r="G962" s="11" t="str">
        <f aca="false">IF($A962="","",IF(원본명단!$K961="",0,COUNTIF(원본명단!$K$3:$K$6002,원본명단!$K961)))</f>
        <v/>
      </c>
      <c r="H962" s="11" t="str">
        <f aca="false">IF($A962="","",IF(MAX($E962,$F962,$G962)&gt;1,"중복","-"))</f>
        <v/>
      </c>
      <c r="I962" s="11" t="str">
        <f aca="false">IF($A962="","",IF($H962="-","-",IF(AND(IF(원본명단!$H961="",TRUE(),COUNTIF(원본명단!$H$3:$H961,원본명단!$H961)=1),IF(원본명단!$I961="",TRUE(),COUNTIF(원본명단!$I$3:$I961,원본명단!$I961)=1),IF(원본명단!$K961="",TRUE(),COUNTIF(원본명단!$K$3:$K961,원본명단!$K961)=1)),"첫 건","중복 건")))</f>
        <v/>
      </c>
      <c r="J962" s="11" t="str">
        <f aca="false">IF($A962="","",IF($H962="-","유지",IF($I962="첫 건","유지","확인 필요")))</f>
        <v/>
      </c>
    </row>
    <row r="963" customFormat="false" ht="15" hidden="false" customHeight="true" outlineLevel="0" collapsed="false">
      <c r="A963" s="11" t="str">
        <f aca="false">IF(원본명단!$A962="","",960)</f>
        <v/>
      </c>
      <c r="B963" s="12" t="str">
        <f aca="false">IF($A963="","",원본명단!$A962)</f>
        <v/>
      </c>
      <c r="C963" s="12" t="str">
        <f aca="false">IF($A963="","",원본명단!$B962)</f>
        <v/>
      </c>
      <c r="D963" s="12" t="str">
        <f aca="false">IF($A963="","",원본명단!$D962)</f>
        <v/>
      </c>
      <c r="E963" s="11" t="str">
        <f aca="false">IF($A963="","",IF(원본명단!$H962="",0,COUNTIF(원본명단!$H$3:$H$6002,원본명단!$H962)))</f>
        <v/>
      </c>
      <c r="F963" s="11" t="str">
        <f aca="false">IF($A963="","",IF(원본명단!$I962="",0,COUNTIF(원본명단!$I$3:$I$6002,원본명단!$I962)))</f>
        <v/>
      </c>
      <c r="G963" s="11" t="str">
        <f aca="false">IF($A963="","",IF(원본명단!$K962="",0,COUNTIF(원본명단!$K$3:$K$6002,원본명단!$K962)))</f>
        <v/>
      </c>
      <c r="H963" s="11" t="str">
        <f aca="false">IF($A963="","",IF(MAX($E963,$F963,$G963)&gt;1,"중복","-"))</f>
        <v/>
      </c>
      <c r="I963" s="11" t="str">
        <f aca="false">IF($A963="","",IF($H963="-","-",IF(AND(IF(원본명단!$H962="",TRUE(),COUNTIF(원본명단!$H$3:$H962,원본명단!$H962)=1),IF(원본명단!$I962="",TRUE(),COUNTIF(원본명단!$I$3:$I962,원본명단!$I962)=1),IF(원본명단!$K962="",TRUE(),COUNTIF(원본명단!$K$3:$K962,원본명단!$K962)=1)),"첫 건","중복 건")))</f>
        <v/>
      </c>
      <c r="J963" s="11" t="str">
        <f aca="false">IF($A963="","",IF($H963="-","유지",IF($I963="첫 건","유지","확인 필요")))</f>
        <v/>
      </c>
    </row>
    <row r="964" customFormat="false" ht="15" hidden="false" customHeight="true" outlineLevel="0" collapsed="false">
      <c r="A964" s="11" t="str">
        <f aca="false">IF(원본명단!$A963="","",961)</f>
        <v/>
      </c>
      <c r="B964" s="12" t="str">
        <f aca="false">IF($A964="","",원본명단!$A963)</f>
        <v/>
      </c>
      <c r="C964" s="12" t="str">
        <f aca="false">IF($A964="","",원본명단!$B963)</f>
        <v/>
      </c>
      <c r="D964" s="12" t="str">
        <f aca="false">IF($A964="","",원본명단!$D963)</f>
        <v/>
      </c>
      <c r="E964" s="11" t="str">
        <f aca="false">IF($A964="","",IF(원본명단!$H963="",0,COUNTIF(원본명단!$H$3:$H$6002,원본명단!$H963)))</f>
        <v/>
      </c>
      <c r="F964" s="11" t="str">
        <f aca="false">IF($A964="","",IF(원본명단!$I963="",0,COUNTIF(원본명단!$I$3:$I$6002,원본명단!$I963)))</f>
        <v/>
      </c>
      <c r="G964" s="11" t="str">
        <f aca="false">IF($A964="","",IF(원본명단!$K963="",0,COUNTIF(원본명단!$K$3:$K$6002,원본명단!$K963)))</f>
        <v/>
      </c>
      <c r="H964" s="11" t="str">
        <f aca="false">IF($A964="","",IF(MAX($E964,$F964,$G964)&gt;1,"중복","-"))</f>
        <v/>
      </c>
      <c r="I964" s="11" t="str">
        <f aca="false">IF($A964="","",IF($H964="-","-",IF(AND(IF(원본명단!$H963="",TRUE(),COUNTIF(원본명단!$H$3:$H963,원본명단!$H963)=1),IF(원본명단!$I963="",TRUE(),COUNTIF(원본명단!$I$3:$I963,원본명단!$I963)=1),IF(원본명단!$K963="",TRUE(),COUNTIF(원본명단!$K$3:$K963,원본명단!$K963)=1)),"첫 건","중복 건")))</f>
        <v/>
      </c>
      <c r="J964" s="11" t="str">
        <f aca="false">IF($A964="","",IF($H964="-","유지",IF($I964="첫 건","유지","확인 필요")))</f>
        <v/>
      </c>
    </row>
    <row r="965" customFormat="false" ht="15" hidden="false" customHeight="true" outlineLevel="0" collapsed="false">
      <c r="A965" s="11" t="str">
        <f aca="false">IF(원본명단!$A964="","",962)</f>
        <v/>
      </c>
      <c r="B965" s="12" t="str">
        <f aca="false">IF($A965="","",원본명단!$A964)</f>
        <v/>
      </c>
      <c r="C965" s="12" t="str">
        <f aca="false">IF($A965="","",원본명단!$B964)</f>
        <v/>
      </c>
      <c r="D965" s="12" t="str">
        <f aca="false">IF($A965="","",원본명단!$D964)</f>
        <v/>
      </c>
      <c r="E965" s="11" t="str">
        <f aca="false">IF($A965="","",IF(원본명단!$H964="",0,COUNTIF(원본명단!$H$3:$H$6002,원본명단!$H964)))</f>
        <v/>
      </c>
      <c r="F965" s="11" t="str">
        <f aca="false">IF($A965="","",IF(원본명단!$I964="",0,COUNTIF(원본명단!$I$3:$I$6002,원본명단!$I964)))</f>
        <v/>
      </c>
      <c r="G965" s="11" t="str">
        <f aca="false">IF($A965="","",IF(원본명단!$K964="",0,COUNTIF(원본명단!$K$3:$K$6002,원본명단!$K964)))</f>
        <v/>
      </c>
      <c r="H965" s="11" t="str">
        <f aca="false">IF($A965="","",IF(MAX($E965,$F965,$G965)&gt;1,"중복","-"))</f>
        <v/>
      </c>
      <c r="I965" s="11" t="str">
        <f aca="false">IF($A965="","",IF($H965="-","-",IF(AND(IF(원본명단!$H964="",TRUE(),COUNTIF(원본명단!$H$3:$H964,원본명단!$H964)=1),IF(원본명단!$I964="",TRUE(),COUNTIF(원본명단!$I$3:$I964,원본명단!$I964)=1),IF(원본명단!$K964="",TRUE(),COUNTIF(원본명단!$K$3:$K964,원본명단!$K964)=1)),"첫 건","중복 건")))</f>
        <v/>
      </c>
      <c r="J965" s="11" t="str">
        <f aca="false">IF($A965="","",IF($H965="-","유지",IF($I965="첫 건","유지","확인 필요")))</f>
        <v/>
      </c>
    </row>
    <row r="966" customFormat="false" ht="15" hidden="false" customHeight="true" outlineLevel="0" collapsed="false">
      <c r="A966" s="11" t="str">
        <f aca="false">IF(원본명단!$A965="","",963)</f>
        <v/>
      </c>
      <c r="B966" s="12" t="str">
        <f aca="false">IF($A966="","",원본명단!$A965)</f>
        <v/>
      </c>
      <c r="C966" s="12" t="str">
        <f aca="false">IF($A966="","",원본명단!$B965)</f>
        <v/>
      </c>
      <c r="D966" s="12" t="str">
        <f aca="false">IF($A966="","",원본명단!$D965)</f>
        <v/>
      </c>
      <c r="E966" s="11" t="str">
        <f aca="false">IF($A966="","",IF(원본명단!$H965="",0,COUNTIF(원본명단!$H$3:$H$6002,원본명단!$H965)))</f>
        <v/>
      </c>
      <c r="F966" s="11" t="str">
        <f aca="false">IF($A966="","",IF(원본명단!$I965="",0,COUNTIF(원본명단!$I$3:$I$6002,원본명단!$I965)))</f>
        <v/>
      </c>
      <c r="G966" s="11" t="str">
        <f aca="false">IF($A966="","",IF(원본명단!$K965="",0,COUNTIF(원본명단!$K$3:$K$6002,원본명단!$K965)))</f>
        <v/>
      </c>
      <c r="H966" s="11" t="str">
        <f aca="false">IF($A966="","",IF(MAX($E966,$F966,$G966)&gt;1,"중복","-"))</f>
        <v/>
      </c>
      <c r="I966" s="11" t="str">
        <f aca="false">IF($A966="","",IF($H966="-","-",IF(AND(IF(원본명단!$H965="",TRUE(),COUNTIF(원본명단!$H$3:$H965,원본명단!$H965)=1),IF(원본명단!$I965="",TRUE(),COUNTIF(원본명단!$I$3:$I965,원본명단!$I965)=1),IF(원본명단!$K965="",TRUE(),COUNTIF(원본명단!$K$3:$K965,원본명단!$K965)=1)),"첫 건","중복 건")))</f>
        <v/>
      </c>
      <c r="J966" s="11" t="str">
        <f aca="false">IF($A966="","",IF($H966="-","유지",IF($I966="첫 건","유지","확인 필요")))</f>
        <v/>
      </c>
    </row>
    <row r="967" customFormat="false" ht="15" hidden="false" customHeight="true" outlineLevel="0" collapsed="false">
      <c r="A967" s="11" t="str">
        <f aca="false">IF(원본명단!$A966="","",964)</f>
        <v/>
      </c>
      <c r="B967" s="12" t="str">
        <f aca="false">IF($A967="","",원본명단!$A966)</f>
        <v/>
      </c>
      <c r="C967" s="12" t="str">
        <f aca="false">IF($A967="","",원본명단!$B966)</f>
        <v/>
      </c>
      <c r="D967" s="12" t="str">
        <f aca="false">IF($A967="","",원본명단!$D966)</f>
        <v/>
      </c>
      <c r="E967" s="11" t="str">
        <f aca="false">IF($A967="","",IF(원본명단!$H966="",0,COUNTIF(원본명단!$H$3:$H$6002,원본명단!$H966)))</f>
        <v/>
      </c>
      <c r="F967" s="11" t="str">
        <f aca="false">IF($A967="","",IF(원본명단!$I966="",0,COUNTIF(원본명단!$I$3:$I$6002,원본명단!$I966)))</f>
        <v/>
      </c>
      <c r="G967" s="11" t="str">
        <f aca="false">IF($A967="","",IF(원본명단!$K966="",0,COUNTIF(원본명단!$K$3:$K$6002,원본명단!$K966)))</f>
        <v/>
      </c>
      <c r="H967" s="11" t="str">
        <f aca="false">IF($A967="","",IF(MAX($E967,$F967,$G967)&gt;1,"중복","-"))</f>
        <v/>
      </c>
      <c r="I967" s="11" t="str">
        <f aca="false">IF($A967="","",IF($H967="-","-",IF(AND(IF(원본명단!$H966="",TRUE(),COUNTIF(원본명단!$H$3:$H966,원본명단!$H966)=1),IF(원본명단!$I966="",TRUE(),COUNTIF(원본명단!$I$3:$I966,원본명단!$I966)=1),IF(원본명단!$K966="",TRUE(),COUNTIF(원본명단!$K$3:$K966,원본명단!$K966)=1)),"첫 건","중복 건")))</f>
        <v/>
      </c>
      <c r="J967" s="11" t="str">
        <f aca="false">IF($A967="","",IF($H967="-","유지",IF($I967="첫 건","유지","확인 필요")))</f>
        <v/>
      </c>
    </row>
    <row r="968" customFormat="false" ht="15" hidden="false" customHeight="true" outlineLevel="0" collapsed="false">
      <c r="A968" s="11" t="str">
        <f aca="false">IF(원본명단!$A967="","",965)</f>
        <v/>
      </c>
      <c r="B968" s="12" t="str">
        <f aca="false">IF($A968="","",원본명단!$A967)</f>
        <v/>
      </c>
      <c r="C968" s="12" t="str">
        <f aca="false">IF($A968="","",원본명단!$B967)</f>
        <v/>
      </c>
      <c r="D968" s="12" t="str">
        <f aca="false">IF($A968="","",원본명단!$D967)</f>
        <v/>
      </c>
      <c r="E968" s="11" t="str">
        <f aca="false">IF($A968="","",IF(원본명단!$H967="",0,COUNTIF(원본명단!$H$3:$H$6002,원본명단!$H967)))</f>
        <v/>
      </c>
      <c r="F968" s="11" t="str">
        <f aca="false">IF($A968="","",IF(원본명단!$I967="",0,COUNTIF(원본명단!$I$3:$I$6002,원본명단!$I967)))</f>
        <v/>
      </c>
      <c r="G968" s="11" t="str">
        <f aca="false">IF($A968="","",IF(원본명단!$K967="",0,COUNTIF(원본명단!$K$3:$K$6002,원본명단!$K967)))</f>
        <v/>
      </c>
      <c r="H968" s="11" t="str">
        <f aca="false">IF($A968="","",IF(MAX($E968,$F968,$G968)&gt;1,"중복","-"))</f>
        <v/>
      </c>
      <c r="I968" s="11" t="str">
        <f aca="false">IF($A968="","",IF($H968="-","-",IF(AND(IF(원본명단!$H967="",TRUE(),COUNTIF(원본명단!$H$3:$H967,원본명단!$H967)=1),IF(원본명단!$I967="",TRUE(),COUNTIF(원본명단!$I$3:$I967,원본명단!$I967)=1),IF(원본명단!$K967="",TRUE(),COUNTIF(원본명단!$K$3:$K967,원본명단!$K967)=1)),"첫 건","중복 건")))</f>
        <v/>
      </c>
      <c r="J968" s="11" t="str">
        <f aca="false">IF($A968="","",IF($H968="-","유지",IF($I968="첫 건","유지","확인 필요")))</f>
        <v/>
      </c>
    </row>
    <row r="969" customFormat="false" ht="15" hidden="false" customHeight="true" outlineLevel="0" collapsed="false">
      <c r="A969" s="11" t="str">
        <f aca="false">IF(원본명단!$A968="","",966)</f>
        <v/>
      </c>
      <c r="B969" s="12" t="str">
        <f aca="false">IF($A969="","",원본명단!$A968)</f>
        <v/>
      </c>
      <c r="C969" s="12" t="str">
        <f aca="false">IF($A969="","",원본명단!$B968)</f>
        <v/>
      </c>
      <c r="D969" s="12" t="str">
        <f aca="false">IF($A969="","",원본명단!$D968)</f>
        <v/>
      </c>
      <c r="E969" s="11" t="str">
        <f aca="false">IF($A969="","",IF(원본명단!$H968="",0,COUNTIF(원본명단!$H$3:$H$6002,원본명단!$H968)))</f>
        <v/>
      </c>
      <c r="F969" s="11" t="str">
        <f aca="false">IF($A969="","",IF(원본명단!$I968="",0,COUNTIF(원본명단!$I$3:$I$6002,원본명단!$I968)))</f>
        <v/>
      </c>
      <c r="G969" s="11" t="str">
        <f aca="false">IF($A969="","",IF(원본명단!$K968="",0,COUNTIF(원본명단!$K$3:$K$6002,원본명단!$K968)))</f>
        <v/>
      </c>
      <c r="H969" s="11" t="str">
        <f aca="false">IF($A969="","",IF(MAX($E969,$F969,$G969)&gt;1,"중복","-"))</f>
        <v/>
      </c>
      <c r="I969" s="11" t="str">
        <f aca="false">IF($A969="","",IF($H969="-","-",IF(AND(IF(원본명단!$H968="",TRUE(),COUNTIF(원본명단!$H$3:$H968,원본명단!$H968)=1),IF(원본명단!$I968="",TRUE(),COUNTIF(원본명단!$I$3:$I968,원본명단!$I968)=1),IF(원본명단!$K968="",TRUE(),COUNTIF(원본명단!$K$3:$K968,원본명단!$K968)=1)),"첫 건","중복 건")))</f>
        <v/>
      </c>
      <c r="J969" s="11" t="str">
        <f aca="false">IF($A969="","",IF($H969="-","유지",IF($I969="첫 건","유지","확인 필요")))</f>
        <v/>
      </c>
    </row>
    <row r="970" customFormat="false" ht="15" hidden="false" customHeight="true" outlineLevel="0" collapsed="false">
      <c r="A970" s="11" t="str">
        <f aca="false">IF(원본명단!$A969="","",967)</f>
        <v/>
      </c>
      <c r="B970" s="12" t="str">
        <f aca="false">IF($A970="","",원본명단!$A969)</f>
        <v/>
      </c>
      <c r="C970" s="12" t="str">
        <f aca="false">IF($A970="","",원본명단!$B969)</f>
        <v/>
      </c>
      <c r="D970" s="12" t="str">
        <f aca="false">IF($A970="","",원본명단!$D969)</f>
        <v/>
      </c>
      <c r="E970" s="11" t="str">
        <f aca="false">IF($A970="","",IF(원본명단!$H969="",0,COUNTIF(원본명단!$H$3:$H$6002,원본명단!$H969)))</f>
        <v/>
      </c>
      <c r="F970" s="11" t="str">
        <f aca="false">IF($A970="","",IF(원본명단!$I969="",0,COUNTIF(원본명단!$I$3:$I$6002,원본명단!$I969)))</f>
        <v/>
      </c>
      <c r="G970" s="11" t="str">
        <f aca="false">IF($A970="","",IF(원본명단!$K969="",0,COUNTIF(원본명단!$K$3:$K$6002,원본명단!$K969)))</f>
        <v/>
      </c>
      <c r="H970" s="11" t="str">
        <f aca="false">IF($A970="","",IF(MAX($E970,$F970,$G970)&gt;1,"중복","-"))</f>
        <v/>
      </c>
      <c r="I970" s="11" t="str">
        <f aca="false">IF($A970="","",IF($H970="-","-",IF(AND(IF(원본명단!$H969="",TRUE(),COUNTIF(원본명단!$H$3:$H969,원본명단!$H969)=1),IF(원본명단!$I969="",TRUE(),COUNTIF(원본명단!$I$3:$I969,원본명단!$I969)=1),IF(원본명단!$K969="",TRUE(),COUNTIF(원본명단!$K$3:$K969,원본명단!$K969)=1)),"첫 건","중복 건")))</f>
        <v/>
      </c>
      <c r="J970" s="11" t="str">
        <f aca="false">IF($A970="","",IF($H970="-","유지",IF($I970="첫 건","유지","확인 필요")))</f>
        <v/>
      </c>
    </row>
    <row r="971" customFormat="false" ht="15" hidden="false" customHeight="true" outlineLevel="0" collapsed="false">
      <c r="A971" s="11" t="str">
        <f aca="false">IF(원본명단!$A970="","",968)</f>
        <v/>
      </c>
      <c r="B971" s="12" t="str">
        <f aca="false">IF($A971="","",원본명단!$A970)</f>
        <v/>
      </c>
      <c r="C971" s="12" t="str">
        <f aca="false">IF($A971="","",원본명단!$B970)</f>
        <v/>
      </c>
      <c r="D971" s="12" t="str">
        <f aca="false">IF($A971="","",원본명단!$D970)</f>
        <v/>
      </c>
      <c r="E971" s="11" t="str">
        <f aca="false">IF($A971="","",IF(원본명단!$H970="",0,COUNTIF(원본명단!$H$3:$H$6002,원본명단!$H970)))</f>
        <v/>
      </c>
      <c r="F971" s="11" t="str">
        <f aca="false">IF($A971="","",IF(원본명단!$I970="",0,COUNTIF(원본명단!$I$3:$I$6002,원본명단!$I970)))</f>
        <v/>
      </c>
      <c r="G971" s="11" t="str">
        <f aca="false">IF($A971="","",IF(원본명단!$K970="",0,COUNTIF(원본명단!$K$3:$K$6002,원본명단!$K970)))</f>
        <v/>
      </c>
      <c r="H971" s="11" t="str">
        <f aca="false">IF($A971="","",IF(MAX($E971,$F971,$G971)&gt;1,"중복","-"))</f>
        <v/>
      </c>
      <c r="I971" s="11" t="str">
        <f aca="false">IF($A971="","",IF($H971="-","-",IF(AND(IF(원본명단!$H970="",TRUE(),COUNTIF(원본명단!$H$3:$H970,원본명단!$H970)=1),IF(원본명단!$I970="",TRUE(),COUNTIF(원본명단!$I$3:$I970,원본명단!$I970)=1),IF(원본명단!$K970="",TRUE(),COUNTIF(원본명단!$K$3:$K970,원본명단!$K970)=1)),"첫 건","중복 건")))</f>
        <v/>
      </c>
      <c r="J971" s="11" t="str">
        <f aca="false">IF($A971="","",IF($H971="-","유지",IF($I971="첫 건","유지","확인 필요")))</f>
        <v/>
      </c>
    </row>
    <row r="972" customFormat="false" ht="15" hidden="false" customHeight="true" outlineLevel="0" collapsed="false">
      <c r="A972" s="11" t="str">
        <f aca="false">IF(원본명단!$A971="","",969)</f>
        <v/>
      </c>
      <c r="B972" s="12" t="str">
        <f aca="false">IF($A972="","",원본명단!$A971)</f>
        <v/>
      </c>
      <c r="C972" s="12" t="str">
        <f aca="false">IF($A972="","",원본명단!$B971)</f>
        <v/>
      </c>
      <c r="D972" s="12" t="str">
        <f aca="false">IF($A972="","",원본명단!$D971)</f>
        <v/>
      </c>
      <c r="E972" s="11" t="str">
        <f aca="false">IF($A972="","",IF(원본명단!$H971="",0,COUNTIF(원본명단!$H$3:$H$6002,원본명단!$H971)))</f>
        <v/>
      </c>
      <c r="F972" s="11" t="str">
        <f aca="false">IF($A972="","",IF(원본명단!$I971="",0,COUNTIF(원본명단!$I$3:$I$6002,원본명단!$I971)))</f>
        <v/>
      </c>
      <c r="G972" s="11" t="str">
        <f aca="false">IF($A972="","",IF(원본명단!$K971="",0,COUNTIF(원본명단!$K$3:$K$6002,원본명단!$K971)))</f>
        <v/>
      </c>
      <c r="H972" s="11" t="str">
        <f aca="false">IF($A972="","",IF(MAX($E972,$F972,$G972)&gt;1,"중복","-"))</f>
        <v/>
      </c>
      <c r="I972" s="11" t="str">
        <f aca="false">IF($A972="","",IF($H972="-","-",IF(AND(IF(원본명단!$H971="",TRUE(),COUNTIF(원본명단!$H$3:$H971,원본명단!$H971)=1),IF(원본명단!$I971="",TRUE(),COUNTIF(원본명단!$I$3:$I971,원본명단!$I971)=1),IF(원본명단!$K971="",TRUE(),COUNTIF(원본명단!$K$3:$K971,원본명단!$K971)=1)),"첫 건","중복 건")))</f>
        <v/>
      </c>
      <c r="J972" s="11" t="str">
        <f aca="false">IF($A972="","",IF($H972="-","유지",IF($I972="첫 건","유지","확인 필요")))</f>
        <v/>
      </c>
    </row>
    <row r="973" customFormat="false" ht="15" hidden="false" customHeight="true" outlineLevel="0" collapsed="false">
      <c r="A973" s="11" t="str">
        <f aca="false">IF(원본명단!$A972="","",970)</f>
        <v/>
      </c>
      <c r="B973" s="12" t="str">
        <f aca="false">IF($A973="","",원본명단!$A972)</f>
        <v/>
      </c>
      <c r="C973" s="12" t="str">
        <f aca="false">IF($A973="","",원본명단!$B972)</f>
        <v/>
      </c>
      <c r="D973" s="12" t="str">
        <f aca="false">IF($A973="","",원본명단!$D972)</f>
        <v/>
      </c>
      <c r="E973" s="11" t="str">
        <f aca="false">IF($A973="","",IF(원본명단!$H972="",0,COUNTIF(원본명단!$H$3:$H$6002,원본명단!$H972)))</f>
        <v/>
      </c>
      <c r="F973" s="11" t="str">
        <f aca="false">IF($A973="","",IF(원본명단!$I972="",0,COUNTIF(원본명단!$I$3:$I$6002,원본명단!$I972)))</f>
        <v/>
      </c>
      <c r="G973" s="11" t="str">
        <f aca="false">IF($A973="","",IF(원본명단!$K972="",0,COUNTIF(원본명단!$K$3:$K$6002,원본명단!$K972)))</f>
        <v/>
      </c>
      <c r="H973" s="11" t="str">
        <f aca="false">IF($A973="","",IF(MAX($E973,$F973,$G973)&gt;1,"중복","-"))</f>
        <v/>
      </c>
      <c r="I973" s="11" t="str">
        <f aca="false">IF($A973="","",IF($H973="-","-",IF(AND(IF(원본명단!$H972="",TRUE(),COUNTIF(원본명단!$H$3:$H972,원본명단!$H972)=1),IF(원본명단!$I972="",TRUE(),COUNTIF(원본명단!$I$3:$I972,원본명단!$I972)=1),IF(원본명단!$K972="",TRUE(),COUNTIF(원본명단!$K$3:$K972,원본명단!$K972)=1)),"첫 건","중복 건")))</f>
        <v/>
      </c>
      <c r="J973" s="11" t="str">
        <f aca="false">IF($A973="","",IF($H973="-","유지",IF($I973="첫 건","유지","확인 필요")))</f>
        <v/>
      </c>
    </row>
    <row r="974" customFormat="false" ht="15" hidden="false" customHeight="true" outlineLevel="0" collapsed="false">
      <c r="A974" s="11" t="str">
        <f aca="false">IF(원본명단!$A973="","",971)</f>
        <v/>
      </c>
      <c r="B974" s="12" t="str">
        <f aca="false">IF($A974="","",원본명단!$A973)</f>
        <v/>
      </c>
      <c r="C974" s="12" t="str">
        <f aca="false">IF($A974="","",원본명단!$B973)</f>
        <v/>
      </c>
      <c r="D974" s="12" t="str">
        <f aca="false">IF($A974="","",원본명단!$D973)</f>
        <v/>
      </c>
      <c r="E974" s="11" t="str">
        <f aca="false">IF($A974="","",IF(원본명단!$H973="",0,COUNTIF(원본명단!$H$3:$H$6002,원본명단!$H973)))</f>
        <v/>
      </c>
      <c r="F974" s="11" t="str">
        <f aca="false">IF($A974="","",IF(원본명단!$I973="",0,COUNTIF(원본명단!$I$3:$I$6002,원본명단!$I973)))</f>
        <v/>
      </c>
      <c r="G974" s="11" t="str">
        <f aca="false">IF($A974="","",IF(원본명단!$K973="",0,COUNTIF(원본명단!$K$3:$K$6002,원본명단!$K973)))</f>
        <v/>
      </c>
      <c r="H974" s="11" t="str">
        <f aca="false">IF($A974="","",IF(MAX($E974,$F974,$G974)&gt;1,"중복","-"))</f>
        <v/>
      </c>
      <c r="I974" s="11" t="str">
        <f aca="false">IF($A974="","",IF($H974="-","-",IF(AND(IF(원본명단!$H973="",TRUE(),COUNTIF(원본명단!$H$3:$H973,원본명단!$H973)=1),IF(원본명단!$I973="",TRUE(),COUNTIF(원본명단!$I$3:$I973,원본명단!$I973)=1),IF(원본명단!$K973="",TRUE(),COUNTIF(원본명단!$K$3:$K973,원본명단!$K973)=1)),"첫 건","중복 건")))</f>
        <v/>
      </c>
      <c r="J974" s="11" t="str">
        <f aca="false">IF($A974="","",IF($H974="-","유지",IF($I974="첫 건","유지","확인 필요")))</f>
        <v/>
      </c>
    </row>
    <row r="975" customFormat="false" ht="15" hidden="false" customHeight="true" outlineLevel="0" collapsed="false">
      <c r="A975" s="11" t="str">
        <f aca="false">IF(원본명단!$A974="","",972)</f>
        <v/>
      </c>
      <c r="B975" s="12" t="str">
        <f aca="false">IF($A975="","",원본명단!$A974)</f>
        <v/>
      </c>
      <c r="C975" s="12" t="str">
        <f aca="false">IF($A975="","",원본명단!$B974)</f>
        <v/>
      </c>
      <c r="D975" s="12" t="str">
        <f aca="false">IF($A975="","",원본명단!$D974)</f>
        <v/>
      </c>
      <c r="E975" s="11" t="str">
        <f aca="false">IF($A975="","",IF(원본명단!$H974="",0,COUNTIF(원본명단!$H$3:$H$6002,원본명단!$H974)))</f>
        <v/>
      </c>
      <c r="F975" s="11" t="str">
        <f aca="false">IF($A975="","",IF(원본명단!$I974="",0,COUNTIF(원본명단!$I$3:$I$6002,원본명단!$I974)))</f>
        <v/>
      </c>
      <c r="G975" s="11" t="str">
        <f aca="false">IF($A975="","",IF(원본명단!$K974="",0,COUNTIF(원본명단!$K$3:$K$6002,원본명단!$K974)))</f>
        <v/>
      </c>
      <c r="H975" s="11" t="str">
        <f aca="false">IF($A975="","",IF(MAX($E975,$F975,$G975)&gt;1,"중복","-"))</f>
        <v/>
      </c>
      <c r="I975" s="11" t="str">
        <f aca="false">IF($A975="","",IF($H975="-","-",IF(AND(IF(원본명단!$H974="",TRUE(),COUNTIF(원본명단!$H$3:$H974,원본명단!$H974)=1),IF(원본명단!$I974="",TRUE(),COUNTIF(원본명단!$I$3:$I974,원본명단!$I974)=1),IF(원본명단!$K974="",TRUE(),COUNTIF(원본명단!$K$3:$K974,원본명단!$K974)=1)),"첫 건","중복 건")))</f>
        <v/>
      </c>
      <c r="J975" s="11" t="str">
        <f aca="false">IF($A975="","",IF($H975="-","유지",IF($I975="첫 건","유지","확인 필요")))</f>
        <v/>
      </c>
    </row>
    <row r="976" customFormat="false" ht="15" hidden="false" customHeight="true" outlineLevel="0" collapsed="false">
      <c r="A976" s="11" t="str">
        <f aca="false">IF(원본명단!$A975="","",973)</f>
        <v/>
      </c>
      <c r="B976" s="12" t="str">
        <f aca="false">IF($A976="","",원본명단!$A975)</f>
        <v/>
      </c>
      <c r="C976" s="12" t="str">
        <f aca="false">IF($A976="","",원본명단!$B975)</f>
        <v/>
      </c>
      <c r="D976" s="12" t="str">
        <f aca="false">IF($A976="","",원본명단!$D975)</f>
        <v/>
      </c>
      <c r="E976" s="11" t="str">
        <f aca="false">IF($A976="","",IF(원본명단!$H975="",0,COUNTIF(원본명단!$H$3:$H$6002,원본명단!$H975)))</f>
        <v/>
      </c>
      <c r="F976" s="11" t="str">
        <f aca="false">IF($A976="","",IF(원본명단!$I975="",0,COUNTIF(원본명단!$I$3:$I$6002,원본명단!$I975)))</f>
        <v/>
      </c>
      <c r="G976" s="11" t="str">
        <f aca="false">IF($A976="","",IF(원본명단!$K975="",0,COUNTIF(원본명단!$K$3:$K$6002,원본명단!$K975)))</f>
        <v/>
      </c>
      <c r="H976" s="11" t="str">
        <f aca="false">IF($A976="","",IF(MAX($E976,$F976,$G976)&gt;1,"중복","-"))</f>
        <v/>
      </c>
      <c r="I976" s="11" t="str">
        <f aca="false">IF($A976="","",IF($H976="-","-",IF(AND(IF(원본명단!$H975="",TRUE(),COUNTIF(원본명단!$H$3:$H975,원본명단!$H975)=1),IF(원본명단!$I975="",TRUE(),COUNTIF(원본명단!$I$3:$I975,원본명단!$I975)=1),IF(원본명단!$K975="",TRUE(),COUNTIF(원본명단!$K$3:$K975,원본명단!$K975)=1)),"첫 건","중복 건")))</f>
        <v/>
      </c>
      <c r="J976" s="11" t="str">
        <f aca="false">IF($A976="","",IF($H976="-","유지",IF($I976="첫 건","유지","확인 필요")))</f>
        <v/>
      </c>
    </row>
    <row r="977" customFormat="false" ht="15" hidden="false" customHeight="true" outlineLevel="0" collapsed="false">
      <c r="A977" s="11" t="str">
        <f aca="false">IF(원본명단!$A976="","",974)</f>
        <v/>
      </c>
      <c r="B977" s="12" t="str">
        <f aca="false">IF($A977="","",원본명단!$A976)</f>
        <v/>
      </c>
      <c r="C977" s="12" t="str">
        <f aca="false">IF($A977="","",원본명단!$B976)</f>
        <v/>
      </c>
      <c r="D977" s="12" t="str">
        <f aca="false">IF($A977="","",원본명단!$D976)</f>
        <v/>
      </c>
      <c r="E977" s="11" t="str">
        <f aca="false">IF($A977="","",IF(원본명단!$H976="",0,COUNTIF(원본명단!$H$3:$H$6002,원본명단!$H976)))</f>
        <v/>
      </c>
      <c r="F977" s="11" t="str">
        <f aca="false">IF($A977="","",IF(원본명단!$I976="",0,COUNTIF(원본명단!$I$3:$I$6002,원본명단!$I976)))</f>
        <v/>
      </c>
      <c r="G977" s="11" t="str">
        <f aca="false">IF($A977="","",IF(원본명단!$K976="",0,COUNTIF(원본명단!$K$3:$K$6002,원본명단!$K976)))</f>
        <v/>
      </c>
      <c r="H977" s="11" t="str">
        <f aca="false">IF($A977="","",IF(MAX($E977,$F977,$G977)&gt;1,"중복","-"))</f>
        <v/>
      </c>
      <c r="I977" s="11" t="str">
        <f aca="false">IF($A977="","",IF($H977="-","-",IF(AND(IF(원본명단!$H976="",TRUE(),COUNTIF(원본명단!$H$3:$H976,원본명단!$H976)=1),IF(원본명단!$I976="",TRUE(),COUNTIF(원본명단!$I$3:$I976,원본명단!$I976)=1),IF(원본명단!$K976="",TRUE(),COUNTIF(원본명단!$K$3:$K976,원본명단!$K976)=1)),"첫 건","중복 건")))</f>
        <v/>
      </c>
      <c r="J977" s="11" t="str">
        <f aca="false">IF($A977="","",IF($H977="-","유지",IF($I977="첫 건","유지","확인 필요")))</f>
        <v/>
      </c>
    </row>
    <row r="978" customFormat="false" ht="15" hidden="false" customHeight="true" outlineLevel="0" collapsed="false">
      <c r="A978" s="11" t="str">
        <f aca="false">IF(원본명단!$A977="","",975)</f>
        <v/>
      </c>
      <c r="B978" s="12" t="str">
        <f aca="false">IF($A978="","",원본명단!$A977)</f>
        <v/>
      </c>
      <c r="C978" s="12" t="str">
        <f aca="false">IF($A978="","",원본명단!$B977)</f>
        <v/>
      </c>
      <c r="D978" s="12" t="str">
        <f aca="false">IF($A978="","",원본명단!$D977)</f>
        <v/>
      </c>
      <c r="E978" s="11" t="str">
        <f aca="false">IF($A978="","",IF(원본명단!$H977="",0,COUNTIF(원본명단!$H$3:$H$6002,원본명단!$H977)))</f>
        <v/>
      </c>
      <c r="F978" s="11" t="str">
        <f aca="false">IF($A978="","",IF(원본명단!$I977="",0,COUNTIF(원본명단!$I$3:$I$6002,원본명단!$I977)))</f>
        <v/>
      </c>
      <c r="G978" s="11" t="str">
        <f aca="false">IF($A978="","",IF(원본명단!$K977="",0,COUNTIF(원본명단!$K$3:$K$6002,원본명단!$K977)))</f>
        <v/>
      </c>
      <c r="H978" s="11" t="str">
        <f aca="false">IF($A978="","",IF(MAX($E978,$F978,$G978)&gt;1,"중복","-"))</f>
        <v/>
      </c>
      <c r="I978" s="11" t="str">
        <f aca="false">IF($A978="","",IF($H978="-","-",IF(AND(IF(원본명단!$H977="",TRUE(),COUNTIF(원본명단!$H$3:$H977,원본명단!$H977)=1),IF(원본명단!$I977="",TRUE(),COUNTIF(원본명단!$I$3:$I977,원본명단!$I977)=1),IF(원본명단!$K977="",TRUE(),COUNTIF(원본명단!$K$3:$K977,원본명단!$K977)=1)),"첫 건","중복 건")))</f>
        <v/>
      </c>
      <c r="J978" s="11" t="str">
        <f aca="false">IF($A978="","",IF($H978="-","유지",IF($I978="첫 건","유지","확인 필요")))</f>
        <v/>
      </c>
    </row>
    <row r="979" customFormat="false" ht="15" hidden="false" customHeight="true" outlineLevel="0" collapsed="false">
      <c r="A979" s="11" t="str">
        <f aca="false">IF(원본명단!$A978="","",976)</f>
        <v/>
      </c>
      <c r="B979" s="12" t="str">
        <f aca="false">IF($A979="","",원본명단!$A978)</f>
        <v/>
      </c>
      <c r="C979" s="12" t="str">
        <f aca="false">IF($A979="","",원본명단!$B978)</f>
        <v/>
      </c>
      <c r="D979" s="12" t="str">
        <f aca="false">IF($A979="","",원본명단!$D978)</f>
        <v/>
      </c>
      <c r="E979" s="11" t="str">
        <f aca="false">IF($A979="","",IF(원본명단!$H978="",0,COUNTIF(원본명단!$H$3:$H$6002,원본명단!$H978)))</f>
        <v/>
      </c>
      <c r="F979" s="11" t="str">
        <f aca="false">IF($A979="","",IF(원본명단!$I978="",0,COUNTIF(원본명단!$I$3:$I$6002,원본명단!$I978)))</f>
        <v/>
      </c>
      <c r="G979" s="11" t="str">
        <f aca="false">IF($A979="","",IF(원본명단!$K978="",0,COUNTIF(원본명단!$K$3:$K$6002,원본명단!$K978)))</f>
        <v/>
      </c>
      <c r="H979" s="11" t="str">
        <f aca="false">IF($A979="","",IF(MAX($E979,$F979,$G979)&gt;1,"중복","-"))</f>
        <v/>
      </c>
      <c r="I979" s="11" t="str">
        <f aca="false">IF($A979="","",IF($H979="-","-",IF(AND(IF(원본명단!$H978="",TRUE(),COUNTIF(원본명단!$H$3:$H978,원본명단!$H978)=1),IF(원본명단!$I978="",TRUE(),COUNTIF(원본명단!$I$3:$I978,원본명단!$I978)=1),IF(원본명단!$K978="",TRUE(),COUNTIF(원본명단!$K$3:$K978,원본명단!$K978)=1)),"첫 건","중복 건")))</f>
        <v/>
      </c>
      <c r="J979" s="11" t="str">
        <f aca="false">IF($A979="","",IF($H979="-","유지",IF($I979="첫 건","유지","확인 필요")))</f>
        <v/>
      </c>
    </row>
    <row r="980" customFormat="false" ht="15" hidden="false" customHeight="true" outlineLevel="0" collapsed="false">
      <c r="A980" s="11" t="str">
        <f aca="false">IF(원본명단!$A979="","",977)</f>
        <v/>
      </c>
      <c r="B980" s="12" t="str">
        <f aca="false">IF($A980="","",원본명단!$A979)</f>
        <v/>
      </c>
      <c r="C980" s="12" t="str">
        <f aca="false">IF($A980="","",원본명단!$B979)</f>
        <v/>
      </c>
      <c r="D980" s="12" t="str">
        <f aca="false">IF($A980="","",원본명단!$D979)</f>
        <v/>
      </c>
      <c r="E980" s="11" t="str">
        <f aca="false">IF($A980="","",IF(원본명단!$H979="",0,COUNTIF(원본명단!$H$3:$H$6002,원본명단!$H979)))</f>
        <v/>
      </c>
      <c r="F980" s="11" t="str">
        <f aca="false">IF($A980="","",IF(원본명단!$I979="",0,COUNTIF(원본명단!$I$3:$I$6002,원본명단!$I979)))</f>
        <v/>
      </c>
      <c r="G980" s="11" t="str">
        <f aca="false">IF($A980="","",IF(원본명단!$K979="",0,COUNTIF(원본명단!$K$3:$K$6002,원본명단!$K979)))</f>
        <v/>
      </c>
      <c r="H980" s="11" t="str">
        <f aca="false">IF($A980="","",IF(MAX($E980,$F980,$G980)&gt;1,"중복","-"))</f>
        <v/>
      </c>
      <c r="I980" s="11" t="str">
        <f aca="false">IF($A980="","",IF($H980="-","-",IF(AND(IF(원본명단!$H979="",TRUE(),COUNTIF(원본명단!$H$3:$H979,원본명단!$H979)=1),IF(원본명단!$I979="",TRUE(),COUNTIF(원본명단!$I$3:$I979,원본명단!$I979)=1),IF(원본명단!$K979="",TRUE(),COUNTIF(원본명단!$K$3:$K979,원본명단!$K979)=1)),"첫 건","중복 건")))</f>
        <v/>
      </c>
      <c r="J980" s="11" t="str">
        <f aca="false">IF($A980="","",IF($H980="-","유지",IF($I980="첫 건","유지","확인 필요")))</f>
        <v/>
      </c>
    </row>
    <row r="981" customFormat="false" ht="15" hidden="false" customHeight="true" outlineLevel="0" collapsed="false">
      <c r="A981" s="11" t="str">
        <f aca="false">IF(원본명단!$A980="","",978)</f>
        <v/>
      </c>
      <c r="B981" s="12" t="str">
        <f aca="false">IF($A981="","",원본명단!$A980)</f>
        <v/>
      </c>
      <c r="C981" s="12" t="str">
        <f aca="false">IF($A981="","",원본명단!$B980)</f>
        <v/>
      </c>
      <c r="D981" s="12" t="str">
        <f aca="false">IF($A981="","",원본명단!$D980)</f>
        <v/>
      </c>
      <c r="E981" s="11" t="str">
        <f aca="false">IF($A981="","",IF(원본명단!$H980="",0,COUNTIF(원본명단!$H$3:$H$6002,원본명단!$H980)))</f>
        <v/>
      </c>
      <c r="F981" s="11" t="str">
        <f aca="false">IF($A981="","",IF(원본명단!$I980="",0,COUNTIF(원본명단!$I$3:$I$6002,원본명단!$I980)))</f>
        <v/>
      </c>
      <c r="G981" s="11" t="str">
        <f aca="false">IF($A981="","",IF(원본명단!$K980="",0,COUNTIF(원본명단!$K$3:$K$6002,원본명단!$K980)))</f>
        <v/>
      </c>
      <c r="H981" s="11" t="str">
        <f aca="false">IF($A981="","",IF(MAX($E981,$F981,$G981)&gt;1,"중복","-"))</f>
        <v/>
      </c>
      <c r="I981" s="11" t="str">
        <f aca="false">IF($A981="","",IF($H981="-","-",IF(AND(IF(원본명단!$H980="",TRUE(),COUNTIF(원본명단!$H$3:$H980,원본명단!$H980)=1),IF(원본명단!$I980="",TRUE(),COUNTIF(원본명단!$I$3:$I980,원본명단!$I980)=1),IF(원본명단!$K980="",TRUE(),COUNTIF(원본명단!$K$3:$K980,원본명단!$K980)=1)),"첫 건","중복 건")))</f>
        <v/>
      </c>
      <c r="J981" s="11" t="str">
        <f aca="false">IF($A981="","",IF($H981="-","유지",IF($I981="첫 건","유지","확인 필요")))</f>
        <v/>
      </c>
    </row>
    <row r="982" customFormat="false" ht="15" hidden="false" customHeight="true" outlineLevel="0" collapsed="false">
      <c r="A982" s="11" t="str">
        <f aca="false">IF(원본명단!$A981="","",979)</f>
        <v/>
      </c>
      <c r="B982" s="12" t="str">
        <f aca="false">IF($A982="","",원본명단!$A981)</f>
        <v/>
      </c>
      <c r="C982" s="12" t="str">
        <f aca="false">IF($A982="","",원본명단!$B981)</f>
        <v/>
      </c>
      <c r="D982" s="12" t="str">
        <f aca="false">IF($A982="","",원본명단!$D981)</f>
        <v/>
      </c>
      <c r="E982" s="11" t="str">
        <f aca="false">IF($A982="","",IF(원본명단!$H981="",0,COUNTIF(원본명단!$H$3:$H$6002,원본명단!$H981)))</f>
        <v/>
      </c>
      <c r="F982" s="11" t="str">
        <f aca="false">IF($A982="","",IF(원본명단!$I981="",0,COUNTIF(원본명단!$I$3:$I$6002,원본명단!$I981)))</f>
        <v/>
      </c>
      <c r="G982" s="11" t="str">
        <f aca="false">IF($A982="","",IF(원본명단!$K981="",0,COUNTIF(원본명단!$K$3:$K$6002,원본명단!$K981)))</f>
        <v/>
      </c>
      <c r="H982" s="11" t="str">
        <f aca="false">IF($A982="","",IF(MAX($E982,$F982,$G982)&gt;1,"중복","-"))</f>
        <v/>
      </c>
      <c r="I982" s="11" t="str">
        <f aca="false">IF($A982="","",IF($H982="-","-",IF(AND(IF(원본명단!$H981="",TRUE(),COUNTIF(원본명단!$H$3:$H981,원본명단!$H981)=1),IF(원본명단!$I981="",TRUE(),COUNTIF(원본명단!$I$3:$I981,원본명단!$I981)=1),IF(원본명단!$K981="",TRUE(),COUNTIF(원본명단!$K$3:$K981,원본명단!$K981)=1)),"첫 건","중복 건")))</f>
        <v/>
      </c>
      <c r="J982" s="11" t="str">
        <f aca="false">IF($A982="","",IF($H982="-","유지",IF($I982="첫 건","유지","확인 필요")))</f>
        <v/>
      </c>
    </row>
    <row r="983" customFormat="false" ht="15" hidden="false" customHeight="true" outlineLevel="0" collapsed="false">
      <c r="A983" s="11" t="str">
        <f aca="false">IF(원본명단!$A982="","",980)</f>
        <v/>
      </c>
      <c r="B983" s="12" t="str">
        <f aca="false">IF($A983="","",원본명단!$A982)</f>
        <v/>
      </c>
      <c r="C983" s="12" t="str">
        <f aca="false">IF($A983="","",원본명단!$B982)</f>
        <v/>
      </c>
      <c r="D983" s="12" t="str">
        <f aca="false">IF($A983="","",원본명단!$D982)</f>
        <v/>
      </c>
      <c r="E983" s="11" t="str">
        <f aca="false">IF($A983="","",IF(원본명단!$H982="",0,COUNTIF(원본명단!$H$3:$H$6002,원본명단!$H982)))</f>
        <v/>
      </c>
      <c r="F983" s="11" t="str">
        <f aca="false">IF($A983="","",IF(원본명단!$I982="",0,COUNTIF(원본명단!$I$3:$I$6002,원본명단!$I982)))</f>
        <v/>
      </c>
      <c r="G983" s="11" t="str">
        <f aca="false">IF($A983="","",IF(원본명단!$K982="",0,COUNTIF(원본명단!$K$3:$K$6002,원본명단!$K982)))</f>
        <v/>
      </c>
      <c r="H983" s="11" t="str">
        <f aca="false">IF($A983="","",IF(MAX($E983,$F983,$G983)&gt;1,"중복","-"))</f>
        <v/>
      </c>
      <c r="I983" s="11" t="str">
        <f aca="false">IF($A983="","",IF($H983="-","-",IF(AND(IF(원본명단!$H982="",TRUE(),COUNTIF(원본명단!$H$3:$H982,원본명단!$H982)=1),IF(원본명단!$I982="",TRUE(),COUNTIF(원본명단!$I$3:$I982,원본명단!$I982)=1),IF(원본명단!$K982="",TRUE(),COUNTIF(원본명단!$K$3:$K982,원본명단!$K982)=1)),"첫 건","중복 건")))</f>
        <v/>
      </c>
      <c r="J983" s="11" t="str">
        <f aca="false">IF($A983="","",IF($H983="-","유지",IF($I983="첫 건","유지","확인 필요")))</f>
        <v/>
      </c>
    </row>
    <row r="984" customFormat="false" ht="15" hidden="false" customHeight="true" outlineLevel="0" collapsed="false">
      <c r="A984" s="11" t="str">
        <f aca="false">IF(원본명단!$A983="","",981)</f>
        <v/>
      </c>
      <c r="B984" s="12" t="str">
        <f aca="false">IF($A984="","",원본명단!$A983)</f>
        <v/>
      </c>
      <c r="C984" s="12" t="str">
        <f aca="false">IF($A984="","",원본명단!$B983)</f>
        <v/>
      </c>
      <c r="D984" s="12" t="str">
        <f aca="false">IF($A984="","",원본명단!$D983)</f>
        <v/>
      </c>
      <c r="E984" s="11" t="str">
        <f aca="false">IF($A984="","",IF(원본명단!$H983="",0,COUNTIF(원본명단!$H$3:$H$6002,원본명단!$H983)))</f>
        <v/>
      </c>
      <c r="F984" s="11" t="str">
        <f aca="false">IF($A984="","",IF(원본명단!$I983="",0,COUNTIF(원본명단!$I$3:$I$6002,원본명단!$I983)))</f>
        <v/>
      </c>
      <c r="G984" s="11" t="str">
        <f aca="false">IF($A984="","",IF(원본명단!$K983="",0,COUNTIF(원본명단!$K$3:$K$6002,원본명단!$K983)))</f>
        <v/>
      </c>
      <c r="H984" s="11" t="str">
        <f aca="false">IF($A984="","",IF(MAX($E984,$F984,$G984)&gt;1,"중복","-"))</f>
        <v/>
      </c>
      <c r="I984" s="11" t="str">
        <f aca="false">IF($A984="","",IF($H984="-","-",IF(AND(IF(원본명단!$H983="",TRUE(),COUNTIF(원본명단!$H$3:$H983,원본명단!$H983)=1),IF(원본명단!$I983="",TRUE(),COUNTIF(원본명단!$I$3:$I983,원본명단!$I983)=1),IF(원본명단!$K983="",TRUE(),COUNTIF(원본명단!$K$3:$K983,원본명단!$K983)=1)),"첫 건","중복 건")))</f>
        <v/>
      </c>
      <c r="J984" s="11" t="str">
        <f aca="false">IF($A984="","",IF($H984="-","유지",IF($I984="첫 건","유지","확인 필요")))</f>
        <v/>
      </c>
    </row>
    <row r="985" customFormat="false" ht="15" hidden="false" customHeight="true" outlineLevel="0" collapsed="false">
      <c r="A985" s="11" t="str">
        <f aca="false">IF(원본명단!$A984="","",982)</f>
        <v/>
      </c>
      <c r="B985" s="12" t="str">
        <f aca="false">IF($A985="","",원본명단!$A984)</f>
        <v/>
      </c>
      <c r="C985" s="12" t="str">
        <f aca="false">IF($A985="","",원본명단!$B984)</f>
        <v/>
      </c>
      <c r="D985" s="12" t="str">
        <f aca="false">IF($A985="","",원본명단!$D984)</f>
        <v/>
      </c>
      <c r="E985" s="11" t="str">
        <f aca="false">IF($A985="","",IF(원본명단!$H984="",0,COUNTIF(원본명단!$H$3:$H$6002,원본명단!$H984)))</f>
        <v/>
      </c>
      <c r="F985" s="11" t="str">
        <f aca="false">IF($A985="","",IF(원본명단!$I984="",0,COUNTIF(원본명단!$I$3:$I$6002,원본명단!$I984)))</f>
        <v/>
      </c>
      <c r="G985" s="11" t="str">
        <f aca="false">IF($A985="","",IF(원본명단!$K984="",0,COUNTIF(원본명단!$K$3:$K$6002,원본명단!$K984)))</f>
        <v/>
      </c>
      <c r="H985" s="11" t="str">
        <f aca="false">IF($A985="","",IF(MAX($E985,$F985,$G985)&gt;1,"중복","-"))</f>
        <v/>
      </c>
      <c r="I985" s="11" t="str">
        <f aca="false">IF($A985="","",IF($H985="-","-",IF(AND(IF(원본명단!$H984="",TRUE(),COUNTIF(원본명단!$H$3:$H984,원본명단!$H984)=1),IF(원본명단!$I984="",TRUE(),COUNTIF(원본명단!$I$3:$I984,원본명단!$I984)=1),IF(원본명단!$K984="",TRUE(),COUNTIF(원본명단!$K$3:$K984,원본명단!$K984)=1)),"첫 건","중복 건")))</f>
        <v/>
      </c>
      <c r="J985" s="11" t="str">
        <f aca="false">IF($A985="","",IF($H985="-","유지",IF($I985="첫 건","유지","확인 필요")))</f>
        <v/>
      </c>
    </row>
    <row r="986" customFormat="false" ht="15" hidden="false" customHeight="true" outlineLevel="0" collapsed="false">
      <c r="A986" s="11" t="str">
        <f aca="false">IF(원본명단!$A985="","",983)</f>
        <v/>
      </c>
      <c r="B986" s="12" t="str">
        <f aca="false">IF($A986="","",원본명단!$A985)</f>
        <v/>
      </c>
      <c r="C986" s="12" t="str">
        <f aca="false">IF($A986="","",원본명단!$B985)</f>
        <v/>
      </c>
      <c r="D986" s="12" t="str">
        <f aca="false">IF($A986="","",원본명단!$D985)</f>
        <v/>
      </c>
      <c r="E986" s="11" t="str">
        <f aca="false">IF($A986="","",IF(원본명단!$H985="",0,COUNTIF(원본명단!$H$3:$H$6002,원본명단!$H985)))</f>
        <v/>
      </c>
      <c r="F986" s="11" t="str">
        <f aca="false">IF($A986="","",IF(원본명단!$I985="",0,COUNTIF(원본명단!$I$3:$I$6002,원본명단!$I985)))</f>
        <v/>
      </c>
      <c r="G986" s="11" t="str">
        <f aca="false">IF($A986="","",IF(원본명단!$K985="",0,COUNTIF(원본명단!$K$3:$K$6002,원본명단!$K985)))</f>
        <v/>
      </c>
      <c r="H986" s="11" t="str">
        <f aca="false">IF($A986="","",IF(MAX($E986,$F986,$G986)&gt;1,"중복","-"))</f>
        <v/>
      </c>
      <c r="I986" s="11" t="str">
        <f aca="false">IF($A986="","",IF($H986="-","-",IF(AND(IF(원본명단!$H985="",TRUE(),COUNTIF(원본명단!$H$3:$H985,원본명단!$H985)=1),IF(원본명단!$I985="",TRUE(),COUNTIF(원본명단!$I$3:$I985,원본명단!$I985)=1),IF(원본명단!$K985="",TRUE(),COUNTIF(원본명단!$K$3:$K985,원본명단!$K985)=1)),"첫 건","중복 건")))</f>
        <v/>
      </c>
      <c r="J986" s="11" t="str">
        <f aca="false">IF($A986="","",IF($H986="-","유지",IF($I986="첫 건","유지","확인 필요")))</f>
        <v/>
      </c>
    </row>
    <row r="987" customFormat="false" ht="15" hidden="false" customHeight="true" outlineLevel="0" collapsed="false">
      <c r="A987" s="11" t="str">
        <f aca="false">IF(원본명단!$A986="","",984)</f>
        <v/>
      </c>
      <c r="B987" s="12" t="str">
        <f aca="false">IF($A987="","",원본명단!$A986)</f>
        <v/>
      </c>
      <c r="C987" s="12" t="str">
        <f aca="false">IF($A987="","",원본명단!$B986)</f>
        <v/>
      </c>
      <c r="D987" s="12" t="str">
        <f aca="false">IF($A987="","",원본명단!$D986)</f>
        <v/>
      </c>
      <c r="E987" s="11" t="str">
        <f aca="false">IF($A987="","",IF(원본명단!$H986="",0,COUNTIF(원본명단!$H$3:$H$6002,원본명단!$H986)))</f>
        <v/>
      </c>
      <c r="F987" s="11" t="str">
        <f aca="false">IF($A987="","",IF(원본명단!$I986="",0,COUNTIF(원본명단!$I$3:$I$6002,원본명단!$I986)))</f>
        <v/>
      </c>
      <c r="G987" s="11" t="str">
        <f aca="false">IF($A987="","",IF(원본명단!$K986="",0,COUNTIF(원본명단!$K$3:$K$6002,원본명단!$K986)))</f>
        <v/>
      </c>
      <c r="H987" s="11" t="str">
        <f aca="false">IF($A987="","",IF(MAX($E987,$F987,$G987)&gt;1,"중복","-"))</f>
        <v/>
      </c>
      <c r="I987" s="11" t="str">
        <f aca="false">IF($A987="","",IF($H987="-","-",IF(AND(IF(원본명단!$H986="",TRUE(),COUNTIF(원본명단!$H$3:$H986,원본명단!$H986)=1),IF(원본명단!$I986="",TRUE(),COUNTIF(원본명단!$I$3:$I986,원본명단!$I986)=1),IF(원본명단!$K986="",TRUE(),COUNTIF(원본명단!$K$3:$K986,원본명단!$K986)=1)),"첫 건","중복 건")))</f>
        <v/>
      </c>
      <c r="J987" s="11" t="str">
        <f aca="false">IF($A987="","",IF($H987="-","유지",IF($I987="첫 건","유지","확인 필요")))</f>
        <v/>
      </c>
    </row>
    <row r="988" customFormat="false" ht="15" hidden="false" customHeight="true" outlineLevel="0" collapsed="false">
      <c r="A988" s="11" t="str">
        <f aca="false">IF(원본명단!$A987="","",985)</f>
        <v/>
      </c>
      <c r="B988" s="12" t="str">
        <f aca="false">IF($A988="","",원본명단!$A987)</f>
        <v/>
      </c>
      <c r="C988" s="12" t="str">
        <f aca="false">IF($A988="","",원본명단!$B987)</f>
        <v/>
      </c>
      <c r="D988" s="12" t="str">
        <f aca="false">IF($A988="","",원본명단!$D987)</f>
        <v/>
      </c>
      <c r="E988" s="11" t="str">
        <f aca="false">IF($A988="","",IF(원본명단!$H987="",0,COUNTIF(원본명단!$H$3:$H$6002,원본명단!$H987)))</f>
        <v/>
      </c>
      <c r="F988" s="11" t="str">
        <f aca="false">IF($A988="","",IF(원본명단!$I987="",0,COUNTIF(원본명단!$I$3:$I$6002,원본명단!$I987)))</f>
        <v/>
      </c>
      <c r="G988" s="11" t="str">
        <f aca="false">IF($A988="","",IF(원본명단!$K987="",0,COUNTIF(원본명단!$K$3:$K$6002,원본명단!$K987)))</f>
        <v/>
      </c>
      <c r="H988" s="11" t="str">
        <f aca="false">IF($A988="","",IF(MAX($E988,$F988,$G988)&gt;1,"중복","-"))</f>
        <v/>
      </c>
      <c r="I988" s="11" t="str">
        <f aca="false">IF($A988="","",IF($H988="-","-",IF(AND(IF(원본명단!$H987="",TRUE(),COUNTIF(원본명단!$H$3:$H987,원본명단!$H987)=1),IF(원본명단!$I987="",TRUE(),COUNTIF(원본명단!$I$3:$I987,원본명단!$I987)=1),IF(원본명단!$K987="",TRUE(),COUNTIF(원본명단!$K$3:$K987,원본명단!$K987)=1)),"첫 건","중복 건")))</f>
        <v/>
      </c>
      <c r="J988" s="11" t="str">
        <f aca="false">IF($A988="","",IF($H988="-","유지",IF($I988="첫 건","유지","확인 필요")))</f>
        <v/>
      </c>
    </row>
    <row r="989" customFormat="false" ht="15" hidden="false" customHeight="true" outlineLevel="0" collapsed="false">
      <c r="A989" s="11" t="str">
        <f aca="false">IF(원본명단!$A988="","",986)</f>
        <v/>
      </c>
      <c r="B989" s="12" t="str">
        <f aca="false">IF($A989="","",원본명단!$A988)</f>
        <v/>
      </c>
      <c r="C989" s="12" t="str">
        <f aca="false">IF($A989="","",원본명단!$B988)</f>
        <v/>
      </c>
      <c r="D989" s="12" t="str">
        <f aca="false">IF($A989="","",원본명단!$D988)</f>
        <v/>
      </c>
      <c r="E989" s="11" t="str">
        <f aca="false">IF($A989="","",IF(원본명단!$H988="",0,COUNTIF(원본명단!$H$3:$H$6002,원본명단!$H988)))</f>
        <v/>
      </c>
      <c r="F989" s="11" t="str">
        <f aca="false">IF($A989="","",IF(원본명단!$I988="",0,COUNTIF(원본명단!$I$3:$I$6002,원본명단!$I988)))</f>
        <v/>
      </c>
      <c r="G989" s="11" t="str">
        <f aca="false">IF($A989="","",IF(원본명단!$K988="",0,COUNTIF(원본명단!$K$3:$K$6002,원본명단!$K988)))</f>
        <v/>
      </c>
      <c r="H989" s="11" t="str">
        <f aca="false">IF($A989="","",IF(MAX($E989,$F989,$G989)&gt;1,"중복","-"))</f>
        <v/>
      </c>
      <c r="I989" s="11" t="str">
        <f aca="false">IF($A989="","",IF($H989="-","-",IF(AND(IF(원본명단!$H988="",TRUE(),COUNTIF(원본명단!$H$3:$H988,원본명단!$H988)=1),IF(원본명단!$I988="",TRUE(),COUNTIF(원본명단!$I$3:$I988,원본명단!$I988)=1),IF(원본명단!$K988="",TRUE(),COUNTIF(원본명단!$K$3:$K988,원본명단!$K988)=1)),"첫 건","중복 건")))</f>
        <v/>
      </c>
      <c r="J989" s="11" t="str">
        <f aca="false">IF($A989="","",IF($H989="-","유지",IF($I989="첫 건","유지","확인 필요")))</f>
        <v/>
      </c>
    </row>
    <row r="990" customFormat="false" ht="15" hidden="false" customHeight="true" outlineLevel="0" collapsed="false">
      <c r="A990" s="11" t="str">
        <f aca="false">IF(원본명단!$A989="","",987)</f>
        <v/>
      </c>
      <c r="B990" s="12" t="str">
        <f aca="false">IF($A990="","",원본명단!$A989)</f>
        <v/>
      </c>
      <c r="C990" s="12" t="str">
        <f aca="false">IF($A990="","",원본명단!$B989)</f>
        <v/>
      </c>
      <c r="D990" s="12" t="str">
        <f aca="false">IF($A990="","",원본명단!$D989)</f>
        <v/>
      </c>
      <c r="E990" s="11" t="str">
        <f aca="false">IF($A990="","",IF(원본명단!$H989="",0,COUNTIF(원본명단!$H$3:$H$6002,원본명단!$H989)))</f>
        <v/>
      </c>
      <c r="F990" s="11" t="str">
        <f aca="false">IF($A990="","",IF(원본명단!$I989="",0,COUNTIF(원본명단!$I$3:$I$6002,원본명단!$I989)))</f>
        <v/>
      </c>
      <c r="G990" s="11" t="str">
        <f aca="false">IF($A990="","",IF(원본명단!$K989="",0,COUNTIF(원본명단!$K$3:$K$6002,원본명단!$K989)))</f>
        <v/>
      </c>
      <c r="H990" s="11" t="str">
        <f aca="false">IF($A990="","",IF(MAX($E990,$F990,$G990)&gt;1,"중복","-"))</f>
        <v/>
      </c>
      <c r="I990" s="11" t="str">
        <f aca="false">IF($A990="","",IF($H990="-","-",IF(AND(IF(원본명단!$H989="",TRUE(),COUNTIF(원본명단!$H$3:$H989,원본명단!$H989)=1),IF(원본명단!$I989="",TRUE(),COUNTIF(원본명단!$I$3:$I989,원본명단!$I989)=1),IF(원본명단!$K989="",TRUE(),COUNTIF(원본명단!$K$3:$K989,원본명단!$K989)=1)),"첫 건","중복 건")))</f>
        <v/>
      </c>
      <c r="J990" s="11" t="str">
        <f aca="false">IF($A990="","",IF($H990="-","유지",IF($I990="첫 건","유지","확인 필요")))</f>
        <v/>
      </c>
    </row>
    <row r="991" customFormat="false" ht="15" hidden="false" customHeight="true" outlineLevel="0" collapsed="false">
      <c r="A991" s="11" t="str">
        <f aca="false">IF(원본명단!$A990="","",988)</f>
        <v/>
      </c>
      <c r="B991" s="12" t="str">
        <f aca="false">IF($A991="","",원본명단!$A990)</f>
        <v/>
      </c>
      <c r="C991" s="12" t="str">
        <f aca="false">IF($A991="","",원본명단!$B990)</f>
        <v/>
      </c>
      <c r="D991" s="12" t="str">
        <f aca="false">IF($A991="","",원본명단!$D990)</f>
        <v/>
      </c>
      <c r="E991" s="11" t="str">
        <f aca="false">IF($A991="","",IF(원본명단!$H990="",0,COUNTIF(원본명단!$H$3:$H$6002,원본명단!$H990)))</f>
        <v/>
      </c>
      <c r="F991" s="11" t="str">
        <f aca="false">IF($A991="","",IF(원본명단!$I990="",0,COUNTIF(원본명단!$I$3:$I$6002,원본명단!$I990)))</f>
        <v/>
      </c>
      <c r="G991" s="11" t="str">
        <f aca="false">IF($A991="","",IF(원본명단!$K990="",0,COUNTIF(원본명단!$K$3:$K$6002,원본명단!$K990)))</f>
        <v/>
      </c>
      <c r="H991" s="11" t="str">
        <f aca="false">IF($A991="","",IF(MAX($E991,$F991,$G991)&gt;1,"중복","-"))</f>
        <v/>
      </c>
      <c r="I991" s="11" t="str">
        <f aca="false">IF($A991="","",IF($H991="-","-",IF(AND(IF(원본명단!$H990="",TRUE(),COUNTIF(원본명단!$H$3:$H990,원본명단!$H990)=1),IF(원본명단!$I990="",TRUE(),COUNTIF(원본명단!$I$3:$I990,원본명단!$I990)=1),IF(원본명단!$K990="",TRUE(),COUNTIF(원본명단!$K$3:$K990,원본명단!$K990)=1)),"첫 건","중복 건")))</f>
        <v/>
      </c>
      <c r="J991" s="11" t="str">
        <f aca="false">IF($A991="","",IF($H991="-","유지",IF($I991="첫 건","유지","확인 필요")))</f>
        <v/>
      </c>
    </row>
    <row r="992" customFormat="false" ht="15" hidden="false" customHeight="true" outlineLevel="0" collapsed="false">
      <c r="A992" s="11" t="str">
        <f aca="false">IF(원본명단!$A991="","",989)</f>
        <v/>
      </c>
      <c r="B992" s="12" t="str">
        <f aca="false">IF($A992="","",원본명단!$A991)</f>
        <v/>
      </c>
      <c r="C992" s="12" t="str">
        <f aca="false">IF($A992="","",원본명단!$B991)</f>
        <v/>
      </c>
      <c r="D992" s="12" t="str">
        <f aca="false">IF($A992="","",원본명단!$D991)</f>
        <v/>
      </c>
      <c r="E992" s="11" t="str">
        <f aca="false">IF($A992="","",IF(원본명단!$H991="",0,COUNTIF(원본명단!$H$3:$H$6002,원본명단!$H991)))</f>
        <v/>
      </c>
      <c r="F992" s="11" t="str">
        <f aca="false">IF($A992="","",IF(원본명단!$I991="",0,COUNTIF(원본명단!$I$3:$I$6002,원본명단!$I991)))</f>
        <v/>
      </c>
      <c r="G992" s="11" t="str">
        <f aca="false">IF($A992="","",IF(원본명단!$K991="",0,COUNTIF(원본명단!$K$3:$K$6002,원본명단!$K991)))</f>
        <v/>
      </c>
      <c r="H992" s="11" t="str">
        <f aca="false">IF($A992="","",IF(MAX($E992,$F992,$G992)&gt;1,"중복","-"))</f>
        <v/>
      </c>
      <c r="I992" s="11" t="str">
        <f aca="false">IF($A992="","",IF($H992="-","-",IF(AND(IF(원본명단!$H991="",TRUE(),COUNTIF(원본명단!$H$3:$H991,원본명단!$H991)=1),IF(원본명단!$I991="",TRUE(),COUNTIF(원본명단!$I$3:$I991,원본명단!$I991)=1),IF(원본명단!$K991="",TRUE(),COUNTIF(원본명단!$K$3:$K991,원본명단!$K991)=1)),"첫 건","중복 건")))</f>
        <v/>
      </c>
      <c r="J992" s="11" t="str">
        <f aca="false">IF($A992="","",IF($H992="-","유지",IF($I992="첫 건","유지","확인 필요")))</f>
        <v/>
      </c>
    </row>
    <row r="993" customFormat="false" ht="15" hidden="false" customHeight="true" outlineLevel="0" collapsed="false">
      <c r="A993" s="11" t="str">
        <f aca="false">IF(원본명단!$A992="","",990)</f>
        <v/>
      </c>
      <c r="B993" s="12" t="str">
        <f aca="false">IF($A993="","",원본명단!$A992)</f>
        <v/>
      </c>
      <c r="C993" s="12" t="str">
        <f aca="false">IF($A993="","",원본명단!$B992)</f>
        <v/>
      </c>
      <c r="D993" s="12" t="str">
        <f aca="false">IF($A993="","",원본명단!$D992)</f>
        <v/>
      </c>
      <c r="E993" s="11" t="str">
        <f aca="false">IF($A993="","",IF(원본명단!$H992="",0,COUNTIF(원본명단!$H$3:$H$6002,원본명단!$H992)))</f>
        <v/>
      </c>
      <c r="F993" s="11" t="str">
        <f aca="false">IF($A993="","",IF(원본명단!$I992="",0,COUNTIF(원본명단!$I$3:$I$6002,원본명단!$I992)))</f>
        <v/>
      </c>
      <c r="G993" s="11" t="str">
        <f aca="false">IF($A993="","",IF(원본명단!$K992="",0,COUNTIF(원본명단!$K$3:$K$6002,원본명단!$K992)))</f>
        <v/>
      </c>
      <c r="H993" s="11" t="str">
        <f aca="false">IF($A993="","",IF(MAX($E993,$F993,$G993)&gt;1,"중복","-"))</f>
        <v/>
      </c>
      <c r="I993" s="11" t="str">
        <f aca="false">IF($A993="","",IF($H993="-","-",IF(AND(IF(원본명단!$H992="",TRUE(),COUNTIF(원본명단!$H$3:$H992,원본명단!$H992)=1),IF(원본명단!$I992="",TRUE(),COUNTIF(원본명단!$I$3:$I992,원본명단!$I992)=1),IF(원본명단!$K992="",TRUE(),COUNTIF(원본명단!$K$3:$K992,원본명단!$K992)=1)),"첫 건","중복 건")))</f>
        <v/>
      </c>
      <c r="J993" s="11" t="str">
        <f aca="false">IF($A993="","",IF($H993="-","유지",IF($I993="첫 건","유지","확인 필요")))</f>
        <v/>
      </c>
    </row>
    <row r="994" customFormat="false" ht="15" hidden="false" customHeight="true" outlineLevel="0" collapsed="false">
      <c r="A994" s="11" t="str">
        <f aca="false">IF(원본명단!$A993="","",991)</f>
        <v/>
      </c>
      <c r="B994" s="12" t="str">
        <f aca="false">IF($A994="","",원본명단!$A993)</f>
        <v/>
      </c>
      <c r="C994" s="12" t="str">
        <f aca="false">IF($A994="","",원본명단!$B993)</f>
        <v/>
      </c>
      <c r="D994" s="12" t="str">
        <f aca="false">IF($A994="","",원본명단!$D993)</f>
        <v/>
      </c>
      <c r="E994" s="11" t="str">
        <f aca="false">IF($A994="","",IF(원본명단!$H993="",0,COUNTIF(원본명단!$H$3:$H$6002,원본명단!$H993)))</f>
        <v/>
      </c>
      <c r="F994" s="11" t="str">
        <f aca="false">IF($A994="","",IF(원본명단!$I993="",0,COUNTIF(원본명단!$I$3:$I$6002,원본명단!$I993)))</f>
        <v/>
      </c>
      <c r="G994" s="11" t="str">
        <f aca="false">IF($A994="","",IF(원본명단!$K993="",0,COUNTIF(원본명단!$K$3:$K$6002,원본명단!$K993)))</f>
        <v/>
      </c>
      <c r="H994" s="11" t="str">
        <f aca="false">IF($A994="","",IF(MAX($E994,$F994,$G994)&gt;1,"중복","-"))</f>
        <v/>
      </c>
      <c r="I994" s="11" t="str">
        <f aca="false">IF($A994="","",IF($H994="-","-",IF(AND(IF(원본명단!$H993="",TRUE(),COUNTIF(원본명단!$H$3:$H993,원본명단!$H993)=1),IF(원본명단!$I993="",TRUE(),COUNTIF(원본명단!$I$3:$I993,원본명단!$I993)=1),IF(원본명단!$K993="",TRUE(),COUNTIF(원본명단!$K$3:$K993,원본명단!$K993)=1)),"첫 건","중복 건")))</f>
        <v/>
      </c>
      <c r="J994" s="11" t="str">
        <f aca="false">IF($A994="","",IF($H994="-","유지",IF($I994="첫 건","유지","확인 필요")))</f>
        <v/>
      </c>
    </row>
    <row r="995" customFormat="false" ht="15" hidden="false" customHeight="true" outlineLevel="0" collapsed="false">
      <c r="A995" s="11" t="str">
        <f aca="false">IF(원본명단!$A994="","",992)</f>
        <v/>
      </c>
      <c r="B995" s="12" t="str">
        <f aca="false">IF($A995="","",원본명단!$A994)</f>
        <v/>
      </c>
      <c r="C995" s="12" t="str">
        <f aca="false">IF($A995="","",원본명단!$B994)</f>
        <v/>
      </c>
      <c r="D995" s="12" t="str">
        <f aca="false">IF($A995="","",원본명단!$D994)</f>
        <v/>
      </c>
      <c r="E995" s="11" t="str">
        <f aca="false">IF($A995="","",IF(원본명단!$H994="",0,COUNTIF(원본명단!$H$3:$H$6002,원본명단!$H994)))</f>
        <v/>
      </c>
      <c r="F995" s="11" t="str">
        <f aca="false">IF($A995="","",IF(원본명단!$I994="",0,COUNTIF(원본명단!$I$3:$I$6002,원본명단!$I994)))</f>
        <v/>
      </c>
      <c r="G995" s="11" t="str">
        <f aca="false">IF($A995="","",IF(원본명단!$K994="",0,COUNTIF(원본명단!$K$3:$K$6002,원본명단!$K994)))</f>
        <v/>
      </c>
      <c r="H995" s="11" t="str">
        <f aca="false">IF($A995="","",IF(MAX($E995,$F995,$G995)&gt;1,"중복","-"))</f>
        <v/>
      </c>
      <c r="I995" s="11" t="str">
        <f aca="false">IF($A995="","",IF($H995="-","-",IF(AND(IF(원본명단!$H994="",TRUE(),COUNTIF(원본명단!$H$3:$H994,원본명단!$H994)=1),IF(원본명단!$I994="",TRUE(),COUNTIF(원본명단!$I$3:$I994,원본명단!$I994)=1),IF(원본명단!$K994="",TRUE(),COUNTIF(원본명단!$K$3:$K994,원본명단!$K994)=1)),"첫 건","중복 건")))</f>
        <v/>
      </c>
      <c r="J995" s="11" t="str">
        <f aca="false">IF($A995="","",IF($H995="-","유지",IF($I995="첫 건","유지","확인 필요")))</f>
        <v/>
      </c>
    </row>
    <row r="996" customFormat="false" ht="15" hidden="false" customHeight="true" outlineLevel="0" collapsed="false">
      <c r="A996" s="11" t="str">
        <f aca="false">IF(원본명단!$A995="","",993)</f>
        <v/>
      </c>
      <c r="B996" s="12" t="str">
        <f aca="false">IF($A996="","",원본명단!$A995)</f>
        <v/>
      </c>
      <c r="C996" s="12" t="str">
        <f aca="false">IF($A996="","",원본명단!$B995)</f>
        <v/>
      </c>
      <c r="D996" s="12" t="str">
        <f aca="false">IF($A996="","",원본명단!$D995)</f>
        <v/>
      </c>
      <c r="E996" s="11" t="str">
        <f aca="false">IF($A996="","",IF(원본명단!$H995="",0,COUNTIF(원본명단!$H$3:$H$6002,원본명단!$H995)))</f>
        <v/>
      </c>
      <c r="F996" s="11" t="str">
        <f aca="false">IF($A996="","",IF(원본명단!$I995="",0,COUNTIF(원본명단!$I$3:$I$6002,원본명단!$I995)))</f>
        <v/>
      </c>
      <c r="G996" s="11" t="str">
        <f aca="false">IF($A996="","",IF(원본명단!$K995="",0,COUNTIF(원본명단!$K$3:$K$6002,원본명단!$K995)))</f>
        <v/>
      </c>
      <c r="H996" s="11" t="str">
        <f aca="false">IF($A996="","",IF(MAX($E996,$F996,$G996)&gt;1,"중복","-"))</f>
        <v/>
      </c>
      <c r="I996" s="11" t="str">
        <f aca="false">IF($A996="","",IF($H996="-","-",IF(AND(IF(원본명단!$H995="",TRUE(),COUNTIF(원본명단!$H$3:$H995,원본명단!$H995)=1),IF(원본명단!$I995="",TRUE(),COUNTIF(원본명단!$I$3:$I995,원본명단!$I995)=1),IF(원본명단!$K995="",TRUE(),COUNTIF(원본명단!$K$3:$K995,원본명단!$K995)=1)),"첫 건","중복 건")))</f>
        <v/>
      </c>
      <c r="J996" s="11" t="str">
        <f aca="false">IF($A996="","",IF($H996="-","유지",IF($I996="첫 건","유지","확인 필요")))</f>
        <v/>
      </c>
    </row>
    <row r="997" customFormat="false" ht="15" hidden="false" customHeight="true" outlineLevel="0" collapsed="false">
      <c r="A997" s="11" t="str">
        <f aca="false">IF(원본명단!$A996="","",994)</f>
        <v/>
      </c>
      <c r="B997" s="12" t="str">
        <f aca="false">IF($A997="","",원본명단!$A996)</f>
        <v/>
      </c>
      <c r="C997" s="12" t="str">
        <f aca="false">IF($A997="","",원본명단!$B996)</f>
        <v/>
      </c>
      <c r="D997" s="12" t="str">
        <f aca="false">IF($A997="","",원본명단!$D996)</f>
        <v/>
      </c>
      <c r="E997" s="11" t="str">
        <f aca="false">IF($A997="","",IF(원본명단!$H996="",0,COUNTIF(원본명단!$H$3:$H$6002,원본명단!$H996)))</f>
        <v/>
      </c>
      <c r="F997" s="11" t="str">
        <f aca="false">IF($A997="","",IF(원본명단!$I996="",0,COUNTIF(원본명단!$I$3:$I$6002,원본명단!$I996)))</f>
        <v/>
      </c>
      <c r="G997" s="11" t="str">
        <f aca="false">IF($A997="","",IF(원본명단!$K996="",0,COUNTIF(원본명단!$K$3:$K$6002,원본명단!$K996)))</f>
        <v/>
      </c>
      <c r="H997" s="11" t="str">
        <f aca="false">IF($A997="","",IF(MAX($E997,$F997,$G997)&gt;1,"중복","-"))</f>
        <v/>
      </c>
      <c r="I997" s="11" t="str">
        <f aca="false">IF($A997="","",IF($H997="-","-",IF(AND(IF(원본명단!$H996="",TRUE(),COUNTIF(원본명단!$H$3:$H996,원본명단!$H996)=1),IF(원본명단!$I996="",TRUE(),COUNTIF(원본명단!$I$3:$I996,원본명단!$I996)=1),IF(원본명단!$K996="",TRUE(),COUNTIF(원본명단!$K$3:$K996,원본명단!$K996)=1)),"첫 건","중복 건")))</f>
        <v/>
      </c>
      <c r="J997" s="11" t="str">
        <f aca="false">IF($A997="","",IF($H997="-","유지",IF($I997="첫 건","유지","확인 필요")))</f>
        <v/>
      </c>
    </row>
    <row r="998" customFormat="false" ht="15" hidden="false" customHeight="true" outlineLevel="0" collapsed="false">
      <c r="A998" s="11" t="str">
        <f aca="false">IF(원본명단!$A997="","",995)</f>
        <v/>
      </c>
      <c r="B998" s="12" t="str">
        <f aca="false">IF($A998="","",원본명단!$A997)</f>
        <v/>
      </c>
      <c r="C998" s="12" t="str">
        <f aca="false">IF($A998="","",원본명단!$B997)</f>
        <v/>
      </c>
      <c r="D998" s="12" t="str">
        <f aca="false">IF($A998="","",원본명단!$D997)</f>
        <v/>
      </c>
      <c r="E998" s="11" t="str">
        <f aca="false">IF($A998="","",IF(원본명단!$H997="",0,COUNTIF(원본명단!$H$3:$H$6002,원본명단!$H997)))</f>
        <v/>
      </c>
      <c r="F998" s="11" t="str">
        <f aca="false">IF($A998="","",IF(원본명단!$I997="",0,COUNTIF(원본명단!$I$3:$I$6002,원본명단!$I997)))</f>
        <v/>
      </c>
      <c r="G998" s="11" t="str">
        <f aca="false">IF($A998="","",IF(원본명단!$K997="",0,COUNTIF(원본명단!$K$3:$K$6002,원본명단!$K997)))</f>
        <v/>
      </c>
      <c r="H998" s="11" t="str">
        <f aca="false">IF($A998="","",IF(MAX($E998,$F998,$G998)&gt;1,"중복","-"))</f>
        <v/>
      </c>
      <c r="I998" s="11" t="str">
        <f aca="false">IF($A998="","",IF($H998="-","-",IF(AND(IF(원본명단!$H997="",TRUE(),COUNTIF(원본명단!$H$3:$H997,원본명단!$H997)=1),IF(원본명단!$I997="",TRUE(),COUNTIF(원본명단!$I$3:$I997,원본명단!$I997)=1),IF(원본명단!$K997="",TRUE(),COUNTIF(원본명단!$K$3:$K997,원본명단!$K997)=1)),"첫 건","중복 건")))</f>
        <v/>
      </c>
      <c r="J998" s="11" t="str">
        <f aca="false">IF($A998="","",IF($H998="-","유지",IF($I998="첫 건","유지","확인 필요")))</f>
        <v/>
      </c>
    </row>
    <row r="999" customFormat="false" ht="15" hidden="false" customHeight="true" outlineLevel="0" collapsed="false">
      <c r="A999" s="11" t="str">
        <f aca="false">IF(원본명단!$A998="","",996)</f>
        <v/>
      </c>
      <c r="B999" s="12" t="str">
        <f aca="false">IF($A999="","",원본명단!$A998)</f>
        <v/>
      </c>
      <c r="C999" s="12" t="str">
        <f aca="false">IF($A999="","",원본명단!$B998)</f>
        <v/>
      </c>
      <c r="D999" s="12" t="str">
        <f aca="false">IF($A999="","",원본명단!$D998)</f>
        <v/>
      </c>
      <c r="E999" s="11" t="str">
        <f aca="false">IF($A999="","",IF(원본명단!$H998="",0,COUNTIF(원본명단!$H$3:$H$6002,원본명단!$H998)))</f>
        <v/>
      </c>
      <c r="F999" s="11" t="str">
        <f aca="false">IF($A999="","",IF(원본명단!$I998="",0,COUNTIF(원본명단!$I$3:$I$6002,원본명단!$I998)))</f>
        <v/>
      </c>
      <c r="G999" s="11" t="str">
        <f aca="false">IF($A999="","",IF(원본명단!$K998="",0,COUNTIF(원본명단!$K$3:$K$6002,원본명단!$K998)))</f>
        <v/>
      </c>
      <c r="H999" s="11" t="str">
        <f aca="false">IF($A999="","",IF(MAX($E999,$F999,$G999)&gt;1,"중복","-"))</f>
        <v/>
      </c>
      <c r="I999" s="11" t="str">
        <f aca="false">IF($A999="","",IF($H999="-","-",IF(AND(IF(원본명단!$H998="",TRUE(),COUNTIF(원본명단!$H$3:$H998,원본명단!$H998)=1),IF(원본명단!$I998="",TRUE(),COUNTIF(원본명단!$I$3:$I998,원본명단!$I998)=1),IF(원본명단!$K998="",TRUE(),COUNTIF(원본명단!$K$3:$K998,원본명단!$K998)=1)),"첫 건","중복 건")))</f>
        <v/>
      </c>
      <c r="J999" s="11" t="str">
        <f aca="false">IF($A999="","",IF($H999="-","유지",IF($I999="첫 건","유지","확인 필요")))</f>
        <v/>
      </c>
    </row>
    <row r="1000" customFormat="false" ht="15" hidden="false" customHeight="true" outlineLevel="0" collapsed="false">
      <c r="A1000" s="11" t="str">
        <f aca="false">IF(원본명단!$A999="","",997)</f>
        <v/>
      </c>
      <c r="B1000" s="12" t="str">
        <f aca="false">IF($A1000="","",원본명단!$A999)</f>
        <v/>
      </c>
      <c r="C1000" s="12" t="str">
        <f aca="false">IF($A1000="","",원본명단!$B999)</f>
        <v/>
      </c>
      <c r="D1000" s="12" t="str">
        <f aca="false">IF($A1000="","",원본명단!$D999)</f>
        <v/>
      </c>
      <c r="E1000" s="11" t="str">
        <f aca="false">IF($A1000="","",IF(원본명단!$H999="",0,COUNTIF(원본명단!$H$3:$H$6002,원본명단!$H999)))</f>
        <v/>
      </c>
      <c r="F1000" s="11" t="str">
        <f aca="false">IF($A1000="","",IF(원본명단!$I999="",0,COUNTIF(원본명단!$I$3:$I$6002,원본명단!$I999)))</f>
        <v/>
      </c>
      <c r="G1000" s="11" t="str">
        <f aca="false">IF($A1000="","",IF(원본명단!$K999="",0,COUNTIF(원본명단!$K$3:$K$6002,원본명단!$K999)))</f>
        <v/>
      </c>
      <c r="H1000" s="11" t="str">
        <f aca="false">IF($A1000="","",IF(MAX($E1000,$F1000,$G1000)&gt;1,"중복","-"))</f>
        <v/>
      </c>
      <c r="I1000" s="11" t="str">
        <f aca="false">IF($A1000="","",IF($H1000="-","-",IF(AND(IF(원본명단!$H999="",TRUE(),COUNTIF(원본명단!$H$3:$H999,원본명단!$H999)=1),IF(원본명단!$I999="",TRUE(),COUNTIF(원본명단!$I$3:$I999,원본명단!$I999)=1),IF(원본명단!$K999="",TRUE(),COUNTIF(원본명단!$K$3:$K999,원본명단!$K999)=1)),"첫 건","중복 건")))</f>
        <v/>
      </c>
      <c r="J1000" s="11" t="str">
        <f aca="false">IF($A1000="","",IF($H1000="-","유지",IF($I1000="첫 건","유지","확인 필요")))</f>
        <v/>
      </c>
    </row>
    <row r="1001" customFormat="false" ht="15" hidden="false" customHeight="true" outlineLevel="0" collapsed="false">
      <c r="A1001" s="11" t="str">
        <f aca="false">IF(원본명단!$A1000="","",998)</f>
        <v/>
      </c>
      <c r="B1001" s="12" t="str">
        <f aca="false">IF($A1001="","",원본명단!$A1000)</f>
        <v/>
      </c>
      <c r="C1001" s="12" t="str">
        <f aca="false">IF($A1001="","",원본명단!$B1000)</f>
        <v/>
      </c>
      <c r="D1001" s="12" t="str">
        <f aca="false">IF($A1001="","",원본명단!$D1000)</f>
        <v/>
      </c>
      <c r="E1001" s="11" t="str">
        <f aca="false">IF($A1001="","",IF(원본명단!$H1000="",0,COUNTIF(원본명단!$H$3:$H$6002,원본명단!$H1000)))</f>
        <v/>
      </c>
      <c r="F1001" s="11" t="str">
        <f aca="false">IF($A1001="","",IF(원본명단!$I1000="",0,COUNTIF(원본명단!$I$3:$I$6002,원본명단!$I1000)))</f>
        <v/>
      </c>
      <c r="G1001" s="11" t="str">
        <f aca="false">IF($A1001="","",IF(원본명단!$K1000="",0,COUNTIF(원본명단!$K$3:$K$6002,원본명단!$K1000)))</f>
        <v/>
      </c>
      <c r="H1001" s="11" t="str">
        <f aca="false">IF($A1001="","",IF(MAX($E1001,$F1001,$G1001)&gt;1,"중복","-"))</f>
        <v/>
      </c>
      <c r="I1001" s="11" t="str">
        <f aca="false">IF($A1001="","",IF($H1001="-","-",IF(AND(IF(원본명단!$H1000="",TRUE(),COUNTIF(원본명단!$H$3:$H1000,원본명단!$H1000)=1),IF(원본명단!$I1000="",TRUE(),COUNTIF(원본명단!$I$3:$I1000,원본명단!$I1000)=1),IF(원본명단!$K1000="",TRUE(),COUNTIF(원본명단!$K$3:$K1000,원본명단!$K1000)=1)),"첫 건","중복 건")))</f>
        <v/>
      </c>
      <c r="J1001" s="11" t="str">
        <f aca="false">IF($A1001="","",IF($H1001="-","유지",IF($I1001="첫 건","유지","확인 필요")))</f>
        <v/>
      </c>
    </row>
    <row r="1002" customFormat="false" ht="15" hidden="false" customHeight="true" outlineLevel="0" collapsed="false">
      <c r="A1002" s="11" t="str">
        <f aca="false">IF(원본명단!$A1001="","",999)</f>
        <v/>
      </c>
      <c r="B1002" s="12" t="str">
        <f aca="false">IF($A1002="","",원본명단!$A1001)</f>
        <v/>
      </c>
      <c r="C1002" s="12" t="str">
        <f aca="false">IF($A1002="","",원본명단!$B1001)</f>
        <v/>
      </c>
      <c r="D1002" s="12" t="str">
        <f aca="false">IF($A1002="","",원본명단!$D1001)</f>
        <v/>
      </c>
      <c r="E1002" s="11" t="str">
        <f aca="false">IF($A1002="","",IF(원본명단!$H1001="",0,COUNTIF(원본명단!$H$3:$H$6002,원본명단!$H1001)))</f>
        <v/>
      </c>
      <c r="F1002" s="11" t="str">
        <f aca="false">IF($A1002="","",IF(원본명단!$I1001="",0,COUNTIF(원본명단!$I$3:$I$6002,원본명단!$I1001)))</f>
        <v/>
      </c>
      <c r="G1002" s="11" t="str">
        <f aca="false">IF($A1002="","",IF(원본명단!$K1001="",0,COUNTIF(원본명단!$K$3:$K$6002,원본명단!$K1001)))</f>
        <v/>
      </c>
      <c r="H1002" s="11" t="str">
        <f aca="false">IF($A1002="","",IF(MAX($E1002,$F1002,$G1002)&gt;1,"중복","-"))</f>
        <v/>
      </c>
      <c r="I1002" s="11" t="str">
        <f aca="false">IF($A1002="","",IF($H1002="-","-",IF(AND(IF(원본명단!$H1001="",TRUE(),COUNTIF(원본명단!$H$3:$H1001,원본명단!$H1001)=1),IF(원본명단!$I1001="",TRUE(),COUNTIF(원본명단!$I$3:$I1001,원본명단!$I1001)=1),IF(원본명단!$K1001="",TRUE(),COUNTIF(원본명단!$K$3:$K1001,원본명단!$K1001)=1)),"첫 건","중복 건")))</f>
        <v/>
      </c>
      <c r="J1002" s="11" t="str">
        <f aca="false">IF($A1002="","",IF($H1002="-","유지",IF($I1002="첫 건","유지","확인 필요")))</f>
        <v/>
      </c>
    </row>
    <row r="1003" customFormat="false" ht="15" hidden="false" customHeight="true" outlineLevel="0" collapsed="false">
      <c r="A1003" s="11" t="str">
        <f aca="false">IF(원본명단!$A1002="","",1000)</f>
        <v/>
      </c>
      <c r="B1003" s="12" t="str">
        <f aca="false">IF($A1003="","",원본명단!$A1002)</f>
        <v/>
      </c>
      <c r="C1003" s="12" t="str">
        <f aca="false">IF($A1003="","",원본명단!$B1002)</f>
        <v/>
      </c>
      <c r="D1003" s="12" t="str">
        <f aca="false">IF($A1003="","",원본명단!$D1002)</f>
        <v/>
      </c>
      <c r="E1003" s="11" t="str">
        <f aca="false">IF($A1003="","",IF(원본명단!$H1002="",0,COUNTIF(원본명단!$H$3:$H$6002,원본명단!$H1002)))</f>
        <v/>
      </c>
      <c r="F1003" s="11" t="str">
        <f aca="false">IF($A1003="","",IF(원본명단!$I1002="",0,COUNTIF(원본명단!$I$3:$I$6002,원본명단!$I1002)))</f>
        <v/>
      </c>
      <c r="G1003" s="11" t="str">
        <f aca="false">IF($A1003="","",IF(원본명단!$K1002="",0,COUNTIF(원본명단!$K$3:$K$6002,원본명단!$K1002)))</f>
        <v/>
      </c>
      <c r="H1003" s="11" t="str">
        <f aca="false">IF($A1003="","",IF(MAX($E1003,$F1003,$G1003)&gt;1,"중복","-"))</f>
        <v/>
      </c>
      <c r="I1003" s="11" t="str">
        <f aca="false">IF($A1003="","",IF($H1003="-","-",IF(AND(IF(원본명단!$H1002="",TRUE(),COUNTIF(원본명단!$H$3:$H1002,원본명단!$H1002)=1),IF(원본명단!$I1002="",TRUE(),COUNTIF(원본명단!$I$3:$I1002,원본명단!$I1002)=1),IF(원본명단!$K1002="",TRUE(),COUNTIF(원본명단!$K$3:$K1002,원본명단!$K1002)=1)),"첫 건","중복 건")))</f>
        <v/>
      </c>
      <c r="J1003" s="11" t="str">
        <f aca="false">IF($A1003="","",IF($H1003="-","유지",IF($I1003="첫 건","유지","확인 필요")))</f>
        <v/>
      </c>
    </row>
    <row r="1004" customFormat="false" ht="15" hidden="false" customHeight="true" outlineLevel="0" collapsed="false">
      <c r="A1004" s="11" t="str">
        <f aca="false">IF(원본명단!$A1003="","",1001)</f>
        <v/>
      </c>
      <c r="B1004" s="12" t="str">
        <f aca="false">IF($A1004="","",원본명단!$A1003)</f>
        <v/>
      </c>
      <c r="C1004" s="12" t="str">
        <f aca="false">IF($A1004="","",원본명단!$B1003)</f>
        <v/>
      </c>
      <c r="D1004" s="12" t="str">
        <f aca="false">IF($A1004="","",원본명단!$D1003)</f>
        <v/>
      </c>
      <c r="E1004" s="11" t="str">
        <f aca="false">IF($A1004="","",IF(원본명단!$H1003="",0,COUNTIF(원본명단!$H$3:$H$6002,원본명단!$H1003)))</f>
        <v/>
      </c>
      <c r="F1004" s="11" t="str">
        <f aca="false">IF($A1004="","",IF(원본명단!$I1003="",0,COUNTIF(원본명단!$I$3:$I$6002,원본명단!$I1003)))</f>
        <v/>
      </c>
      <c r="G1004" s="11" t="str">
        <f aca="false">IF($A1004="","",IF(원본명단!$K1003="",0,COUNTIF(원본명단!$K$3:$K$6002,원본명단!$K1003)))</f>
        <v/>
      </c>
      <c r="H1004" s="11" t="str">
        <f aca="false">IF($A1004="","",IF(MAX($E1004,$F1004,$G1004)&gt;1,"중복","-"))</f>
        <v/>
      </c>
      <c r="I1004" s="11" t="str">
        <f aca="false">IF($A1004="","",IF($H1004="-","-",IF(AND(IF(원본명단!$H1003="",TRUE(),COUNTIF(원본명단!$H$3:$H1003,원본명단!$H1003)=1),IF(원본명단!$I1003="",TRUE(),COUNTIF(원본명단!$I$3:$I1003,원본명단!$I1003)=1),IF(원본명단!$K1003="",TRUE(),COUNTIF(원본명단!$K$3:$K1003,원본명단!$K1003)=1)),"첫 건","중복 건")))</f>
        <v/>
      </c>
      <c r="J1004" s="11" t="str">
        <f aca="false">IF($A1004="","",IF($H1004="-","유지",IF($I1004="첫 건","유지","확인 필요")))</f>
        <v/>
      </c>
    </row>
    <row r="1005" customFormat="false" ht="15" hidden="false" customHeight="true" outlineLevel="0" collapsed="false">
      <c r="A1005" s="11" t="str">
        <f aca="false">IF(원본명단!$A1004="","",1002)</f>
        <v/>
      </c>
      <c r="B1005" s="12" t="str">
        <f aca="false">IF($A1005="","",원본명단!$A1004)</f>
        <v/>
      </c>
      <c r="C1005" s="12" t="str">
        <f aca="false">IF($A1005="","",원본명단!$B1004)</f>
        <v/>
      </c>
      <c r="D1005" s="12" t="str">
        <f aca="false">IF($A1005="","",원본명단!$D1004)</f>
        <v/>
      </c>
      <c r="E1005" s="11" t="str">
        <f aca="false">IF($A1005="","",IF(원본명단!$H1004="",0,COUNTIF(원본명단!$H$3:$H$6002,원본명단!$H1004)))</f>
        <v/>
      </c>
      <c r="F1005" s="11" t="str">
        <f aca="false">IF($A1005="","",IF(원본명단!$I1004="",0,COUNTIF(원본명단!$I$3:$I$6002,원본명단!$I1004)))</f>
        <v/>
      </c>
      <c r="G1005" s="11" t="str">
        <f aca="false">IF($A1005="","",IF(원본명단!$K1004="",0,COUNTIF(원본명단!$K$3:$K$6002,원본명단!$K1004)))</f>
        <v/>
      </c>
      <c r="H1005" s="11" t="str">
        <f aca="false">IF($A1005="","",IF(MAX($E1005,$F1005,$G1005)&gt;1,"중복","-"))</f>
        <v/>
      </c>
      <c r="I1005" s="11" t="str">
        <f aca="false">IF($A1005="","",IF($H1005="-","-",IF(AND(IF(원본명단!$H1004="",TRUE(),COUNTIF(원본명단!$H$3:$H1004,원본명단!$H1004)=1),IF(원본명단!$I1004="",TRUE(),COUNTIF(원본명단!$I$3:$I1004,원본명단!$I1004)=1),IF(원본명단!$K1004="",TRUE(),COUNTIF(원본명단!$K$3:$K1004,원본명단!$K1004)=1)),"첫 건","중복 건")))</f>
        <v/>
      </c>
      <c r="J1005" s="11" t="str">
        <f aca="false">IF($A1005="","",IF($H1005="-","유지",IF($I1005="첫 건","유지","확인 필요")))</f>
        <v/>
      </c>
    </row>
    <row r="1006" customFormat="false" ht="15" hidden="false" customHeight="true" outlineLevel="0" collapsed="false">
      <c r="A1006" s="11" t="str">
        <f aca="false">IF(원본명단!$A1005="","",1003)</f>
        <v/>
      </c>
      <c r="B1006" s="12" t="str">
        <f aca="false">IF($A1006="","",원본명단!$A1005)</f>
        <v/>
      </c>
      <c r="C1006" s="12" t="str">
        <f aca="false">IF($A1006="","",원본명단!$B1005)</f>
        <v/>
      </c>
      <c r="D1006" s="12" t="str">
        <f aca="false">IF($A1006="","",원본명단!$D1005)</f>
        <v/>
      </c>
      <c r="E1006" s="11" t="str">
        <f aca="false">IF($A1006="","",IF(원본명단!$H1005="",0,COUNTIF(원본명단!$H$3:$H$6002,원본명단!$H1005)))</f>
        <v/>
      </c>
      <c r="F1006" s="11" t="str">
        <f aca="false">IF($A1006="","",IF(원본명단!$I1005="",0,COUNTIF(원본명단!$I$3:$I$6002,원본명단!$I1005)))</f>
        <v/>
      </c>
      <c r="G1006" s="11" t="str">
        <f aca="false">IF($A1006="","",IF(원본명단!$K1005="",0,COUNTIF(원본명단!$K$3:$K$6002,원본명단!$K1005)))</f>
        <v/>
      </c>
      <c r="H1006" s="11" t="str">
        <f aca="false">IF($A1006="","",IF(MAX($E1006,$F1006,$G1006)&gt;1,"중복","-"))</f>
        <v/>
      </c>
      <c r="I1006" s="11" t="str">
        <f aca="false">IF($A1006="","",IF($H1006="-","-",IF(AND(IF(원본명단!$H1005="",TRUE(),COUNTIF(원본명단!$H$3:$H1005,원본명단!$H1005)=1),IF(원본명단!$I1005="",TRUE(),COUNTIF(원본명단!$I$3:$I1005,원본명단!$I1005)=1),IF(원본명단!$K1005="",TRUE(),COUNTIF(원본명단!$K$3:$K1005,원본명단!$K1005)=1)),"첫 건","중복 건")))</f>
        <v/>
      </c>
      <c r="J1006" s="11" t="str">
        <f aca="false">IF($A1006="","",IF($H1006="-","유지",IF($I1006="첫 건","유지","확인 필요")))</f>
        <v/>
      </c>
    </row>
    <row r="1007" customFormat="false" ht="15" hidden="false" customHeight="true" outlineLevel="0" collapsed="false">
      <c r="A1007" s="11" t="str">
        <f aca="false">IF(원본명단!$A1006="","",1004)</f>
        <v/>
      </c>
      <c r="B1007" s="12" t="str">
        <f aca="false">IF($A1007="","",원본명단!$A1006)</f>
        <v/>
      </c>
      <c r="C1007" s="12" t="str">
        <f aca="false">IF($A1007="","",원본명단!$B1006)</f>
        <v/>
      </c>
      <c r="D1007" s="12" t="str">
        <f aca="false">IF($A1007="","",원본명단!$D1006)</f>
        <v/>
      </c>
      <c r="E1007" s="11" t="str">
        <f aca="false">IF($A1007="","",IF(원본명단!$H1006="",0,COUNTIF(원본명단!$H$3:$H$6002,원본명단!$H1006)))</f>
        <v/>
      </c>
      <c r="F1007" s="11" t="str">
        <f aca="false">IF($A1007="","",IF(원본명단!$I1006="",0,COUNTIF(원본명단!$I$3:$I$6002,원본명단!$I1006)))</f>
        <v/>
      </c>
      <c r="G1007" s="11" t="str">
        <f aca="false">IF($A1007="","",IF(원본명단!$K1006="",0,COUNTIF(원본명단!$K$3:$K$6002,원본명단!$K1006)))</f>
        <v/>
      </c>
      <c r="H1007" s="11" t="str">
        <f aca="false">IF($A1007="","",IF(MAX($E1007,$F1007,$G1007)&gt;1,"중복","-"))</f>
        <v/>
      </c>
      <c r="I1007" s="11" t="str">
        <f aca="false">IF($A1007="","",IF($H1007="-","-",IF(AND(IF(원본명단!$H1006="",TRUE(),COUNTIF(원본명단!$H$3:$H1006,원본명단!$H1006)=1),IF(원본명단!$I1006="",TRUE(),COUNTIF(원본명단!$I$3:$I1006,원본명단!$I1006)=1),IF(원본명단!$K1006="",TRUE(),COUNTIF(원본명단!$K$3:$K1006,원본명단!$K1006)=1)),"첫 건","중복 건")))</f>
        <v/>
      </c>
      <c r="J1007" s="11" t="str">
        <f aca="false">IF($A1007="","",IF($H1007="-","유지",IF($I1007="첫 건","유지","확인 필요")))</f>
        <v/>
      </c>
    </row>
    <row r="1008" customFormat="false" ht="15" hidden="false" customHeight="true" outlineLevel="0" collapsed="false">
      <c r="A1008" s="11" t="str">
        <f aca="false">IF(원본명단!$A1007="","",1005)</f>
        <v/>
      </c>
      <c r="B1008" s="12" t="str">
        <f aca="false">IF($A1008="","",원본명단!$A1007)</f>
        <v/>
      </c>
      <c r="C1008" s="12" t="str">
        <f aca="false">IF($A1008="","",원본명단!$B1007)</f>
        <v/>
      </c>
      <c r="D1008" s="12" t="str">
        <f aca="false">IF($A1008="","",원본명단!$D1007)</f>
        <v/>
      </c>
      <c r="E1008" s="11" t="str">
        <f aca="false">IF($A1008="","",IF(원본명단!$H1007="",0,COUNTIF(원본명단!$H$3:$H$6002,원본명단!$H1007)))</f>
        <v/>
      </c>
      <c r="F1008" s="11" t="str">
        <f aca="false">IF($A1008="","",IF(원본명단!$I1007="",0,COUNTIF(원본명단!$I$3:$I$6002,원본명단!$I1007)))</f>
        <v/>
      </c>
      <c r="G1008" s="11" t="str">
        <f aca="false">IF($A1008="","",IF(원본명단!$K1007="",0,COUNTIF(원본명단!$K$3:$K$6002,원본명단!$K1007)))</f>
        <v/>
      </c>
      <c r="H1008" s="11" t="str">
        <f aca="false">IF($A1008="","",IF(MAX($E1008,$F1008,$G1008)&gt;1,"중복","-"))</f>
        <v/>
      </c>
      <c r="I1008" s="11" t="str">
        <f aca="false">IF($A1008="","",IF($H1008="-","-",IF(AND(IF(원본명단!$H1007="",TRUE(),COUNTIF(원본명단!$H$3:$H1007,원본명단!$H1007)=1),IF(원본명단!$I1007="",TRUE(),COUNTIF(원본명단!$I$3:$I1007,원본명단!$I1007)=1),IF(원본명단!$K1007="",TRUE(),COUNTIF(원본명단!$K$3:$K1007,원본명단!$K1007)=1)),"첫 건","중복 건")))</f>
        <v/>
      </c>
      <c r="J1008" s="11" t="str">
        <f aca="false">IF($A1008="","",IF($H1008="-","유지",IF($I1008="첫 건","유지","확인 필요")))</f>
        <v/>
      </c>
    </row>
    <row r="1009" customFormat="false" ht="15" hidden="false" customHeight="true" outlineLevel="0" collapsed="false">
      <c r="A1009" s="11" t="str">
        <f aca="false">IF(원본명단!$A1008="","",1006)</f>
        <v/>
      </c>
      <c r="B1009" s="12" t="str">
        <f aca="false">IF($A1009="","",원본명단!$A1008)</f>
        <v/>
      </c>
      <c r="C1009" s="12" t="str">
        <f aca="false">IF($A1009="","",원본명단!$B1008)</f>
        <v/>
      </c>
      <c r="D1009" s="12" t="str">
        <f aca="false">IF($A1009="","",원본명단!$D1008)</f>
        <v/>
      </c>
      <c r="E1009" s="11" t="str">
        <f aca="false">IF($A1009="","",IF(원본명단!$H1008="",0,COUNTIF(원본명단!$H$3:$H$6002,원본명단!$H1008)))</f>
        <v/>
      </c>
      <c r="F1009" s="11" t="str">
        <f aca="false">IF($A1009="","",IF(원본명단!$I1008="",0,COUNTIF(원본명단!$I$3:$I$6002,원본명단!$I1008)))</f>
        <v/>
      </c>
      <c r="G1009" s="11" t="str">
        <f aca="false">IF($A1009="","",IF(원본명단!$K1008="",0,COUNTIF(원본명단!$K$3:$K$6002,원본명단!$K1008)))</f>
        <v/>
      </c>
      <c r="H1009" s="11" t="str">
        <f aca="false">IF($A1009="","",IF(MAX($E1009,$F1009,$G1009)&gt;1,"중복","-"))</f>
        <v/>
      </c>
      <c r="I1009" s="11" t="str">
        <f aca="false">IF($A1009="","",IF($H1009="-","-",IF(AND(IF(원본명단!$H1008="",TRUE(),COUNTIF(원본명단!$H$3:$H1008,원본명단!$H1008)=1),IF(원본명단!$I1008="",TRUE(),COUNTIF(원본명단!$I$3:$I1008,원본명단!$I1008)=1),IF(원본명단!$K1008="",TRUE(),COUNTIF(원본명단!$K$3:$K1008,원본명단!$K1008)=1)),"첫 건","중복 건")))</f>
        <v/>
      </c>
      <c r="J1009" s="11" t="str">
        <f aca="false">IF($A1009="","",IF($H1009="-","유지",IF($I1009="첫 건","유지","확인 필요")))</f>
        <v/>
      </c>
    </row>
    <row r="1010" customFormat="false" ht="15" hidden="false" customHeight="true" outlineLevel="0" collapsed="false">
      <c r="A1010" s="11" t="str">
        <f aca="false">IF(원본명단!$A1009="","",1007)</f>
        <v/>
      </c>
      <c r="B1010" s="12" t="str">
        <f aca="false">IF($A1010="","",원본명단!$A1009)</f>
        <v/>
      </c>
      <c r="C1010" s="12" t="str">
        <f aca="false">IF($A1010="","",원본명단!$B1009)</f>
        <v/>
      </c>
      <c r="D1010" s="12" t="str">
        <f aca="false">IF($A1010="","",원본명단!$D1009)</f>
        <v/>
      </c>
      <c r="E1010" s="11" t="str">
        <f aca="false">IF($A1010="","",IF(원본명단!$H1009="",0,COUNTIF(원본명단!$H$3:$H$6002,원본명단!$H1009)))</f>
        <v/>
      </c>
      <c r="F1010" s="11" t="str">
        <f aca="false">IF($A1010="","",IF(원본명단!$I1009="",0,COUNTIF(원본명단!$I$3:$I$6002,원본명단!$I1009)))</f>
        <v/>
      </c>
      <c r="G1010" s="11" t="str">
        <f aca="false">IF($A1010="","",IF(원본명단!$K1009="",0,COUNTIF(원본명단!$K$3:$K$6002,원본명단!$K1009)))</f>
        <v/>
      </c>
      <c r="H1010" s="11" t="str">
        <f aca="false">IF($A1010="","",IF(MAX($E1010,$F1010,$G1010)&gt;1,"중복","-"))</f>
        <v/>
      </c>
      <c r="I1010" s="11" t="str">
        <f aca="false">IF($A1010="","",IF($H1010="-","-",IF(AND(IF(원본명단!$H1009="",TRUE(),COUNTIF(원본명단!$H$3:$H1009,원본명단!$H1009)=1),IF(원본명단!$I1009="",TRUE(),COUNTIF(원본명단!$I$3:$I1009,원본명단!$I1009)=1),IF(원본명단!$K1009="",TRUE(),COUNTIF(원본명단!$K$3:$K1009,원본명단!$K1009)=1)),"첫 건","중복 건")))</f>
        <v/>
      </c>
      <c r="J1010" s="11" t="str">
        <f aca="false">IF($A1010="","",IF($H1010="-","유지",IF($I1010="첫 건","유지","확인 필요")))</f>
        <v/>
      </c>
    </row>
    <row r="1011" customFormat="false" ht="15" hidden="false" customHeight="true" outlineLevel="0" collapsed="false">
      <c r="A1011" s="11" t="str">
        <f aca="false">IF(원본명단!$A1010="","",1008)</f>
        <v/>
      </c>
      <c r="B1011" s="12" t="str">
        <f aca="false">IF($A1011="","",원본명단!$A1010)</f>
        <v/>
      </c>
      <c r="C1011" s="12" t="str">
        <f aca="false">IF($A1011="","",원본명단!$B1010)</f>
        <v/>
      </c>
      <c r="D1011" s="12" t="str">
        <f aca="false">IF($A1011="","",원본명단!$D1010)</f>
        <v/>
      </c>
      <c r="E1011" s="11" t="str">
        <f aca="false">IF($A1011="","",IF(원본명단!$H1010="",0,COUNTIF(원본명단!$H$3:$H$6002,원본명단!$H1010)))</f>
        <v/>
      </c>
      <c r="F1011" s="11" t="str">
        <f aca="false">IF($A1011="","",IF(원본명단!$I1010="",0,COUNTIF(원본명단!$I$3:$I$6002,원본명단!$I1010)))</f>
        <v/>
      </c>
      <c r="G1011" s="11" t="str">
        <f aca="false">IF($A1011="","",IF(원본명단!$K1010="",0,COUNTIF(원본명단!$K$3:$K$6002,원본명단!$K1010)))</f>
        <v/>
      </c>
      <c r="H1011" s="11" t="str">
        <f aca="false">IF($A1011="","",IF(MAX($E1011,$F1011,$G1011)&gt;1,"중복","-"))</f>
        <v/>
      </c>
      <c r="I1011" s="11" t="str">
        <f aca="false">IF($A1011="","",IF($H1011="-","-",IF(AND(IF(원본명단!$H1010="",TRUE(),COUNTIF(원본명단!$H$3:$H1010,원본명단!$H1010)=1),IF(원본명단!$I1010="",TRUE(),COUNTIF(원본명단!$I$3:$I1010,원본명단!$I1010)=1),IF(원본명단!$K1010="",TRUE(),COUNTIF(원본명단!$K$3:$K1010,원본명단!$K1010)=1)),"첫 건","중복 건")))</f>
        <v/>
      </c>
      <c r="J1011" s="11" t="str">
        <f aca="false">IF($A1011="","",IF($H1011="-","유지",IF($I1011="첫 건","유지","확인 필요")))</f>
        <v/>
      </c>
    </row>
    <row r="1012" customFormat="false" ht="15" hidden="false" customHeight="true" outlineLevel="0" collapsed="false">
      <c r="A1012" s="11" t="str">
        <f aca="false">IF(원본명단!$A1011="","",1009)</f>
        <v/>
      </c>
      <c r="B1012" s="12" t="str">
        <f aca="false">IF($A1012="","",원본명단!$A1011)</f>
        <v/>
      </c>
      <c r="C1012" s="12" t="str">
        <f aca="false">IF($A1012="","",원본명단!$B1011)</f>
        <v/>
      </c>
      <c r="D1012" s="12" t="str">
        <f aca="false">IF($A1012="","",원본명단!$D1011)</f>
        <v/>
      </c>
      <c r="E1012" s="11" t="str">
        <f aca="false">IF($A1012="","",IF(원본명단!$H1011="",0,COUNTIF(원본명단!$H$3:$H$6002,원본명단!$H1011)))</f>
        <v/>
      </c>
      <c r="F1012" s="11" t="str">
        <f aca="false">IF($A1012="","",IF(원본명단!$I1011="",0,COUNTIF(원본명단!$I$3:$I$6002,원본명단!$I1011)))</f>
        <v/>
      </c>
      <c r="G1012" s="11" t="str">
        <f aca="false">IF($A1012="","",IF(원본명단!$K1011="",0,COUNTIF(원본명단!$K$3:$K$6002,원본명단!$K1011)))</f>
        <v/>
      </c>
      <c r="H1012" s="11" t="str">
        <f aca="false">IF($A1012="","",IF(MAX($E1012,$F1012,$G1012)&gt;1,"중복","-"))</f>
        <v/>
      </c>
      <c r="I1012" s="11" t="str">
        <f aca="false">IF($A1012="","",IF($H1012="-","-",IF(AND(IF(원본명단!$H1011="",TRUE(),COUNTIF(원본명단!$H$3:$H1011,원본명단!$H1011)=1),IF(원본명단!$I1011="",TRUE(),COUNTIF(원본명단!$I$3:$I1011,원본명단!$I1011)=1),IF(원본명단!$K1011="",TRUE(),COUNTIF(원본명단!$K$3:$K1011,원본명단!$K1011)=1)),"첫 건","중복 건")))</f>
        <v/>
      </c>
      <c r="J1012" s="11" t="str">
        <f aca="false">IF($A1012="","",IF($H1012="-","유지",IF($I1012="첫 건","유지","확인 필요")))</f>
        <v/>
      </c>
    </row>
    <row r="1013" customFormat="false" ht="15" hidden="false" customHeight="true" outlineLevel="0" collapsed="false">
      <c r="A1013" s="11" t="str">
        <f aca="false">IF(원본명단!$A1012="","",1010)</f>
        <v/>
      </c>
      <c r="B1013" s="12" t="str">
        <f aca="false">IF($A1013="","",원본명단!$A1012)</f>
        <v/>
      </c>
      <c r="C1013" s="12" t="str">
        <f aca="false">IF($A1013="","",원본명단!$B1012)</f>
        <v/>
      </c>
      <c r="D1013" s="12" t="str">
        <f aca="false">IF($A1013="","",원본명단!$D1012)</f>
        <v/>
      </c>
      <c r="E1013" s="11" t="str">
        <f aca="false">IF($A1013="","",IF(원본명단!$H1012="",0,COUNTIF(원본명단!$H$3:$H$6002,원본명단!$H1012)))</f>
        <v/>
      </c>
      <c r="F1013" s="11" t="str">
        <f aca="false">IF($A1013="","",IF(원본명단!$I1012="",0,COUNTIF(원본명단!$I$3:$I$6002,원본명단!$I1012)))</f>
        <v/>
      </c>
      <c r="G1013" s="11" t="str">
        <f aca="false">IF($A1013="","",IF(원본명단!$K1012="",0,COUNTIF(원본명단!$K$3:$K$6002,원본명단!$K1012)))</f>
        <v/>
      </c>
      <c r="H1013" s="11" t="str">
        <f aca="false">IF($A1013="","",IF(MAX($E1013,$F1013,$G1013)&gt;1,"중복","-"))</f>
        <v/>
      </c>
      <c r="I1013" s="11" t="str">
        <f aca="false">IF($A1013="","",IF($H1013="-","-",IF(AND(IF(원본명단!$H1012="",TRUE(),COUNTIF(원본명단!$H$3:$H1012,원본명단!$H1012)=1),IF(원본명단!$I1012="",TRUE(),COUNTIF(원본명단!$I$3:$I1012,원본명단!$I1012)=1),IF(원본명단!$K1012="",TRUE(),COUNTIF(원본명단!$K$3:$K1012,원본명단!$K1012)=1)),"첫 건","중복 건")))</f>
        <v/>
      </c>
      <c r="J1013" s="11" t="str">
        <f aca="false">IF($A1013="","",IF($H1013="-","유지",IF($I1013="첫 건","유지","확인 필요")))</f>
        <v/>
      </c>
    </row>
    <row r="1014" customFormat="false" ht="15" hidden="false" customHeight="true" outlineLevel="0" collapsed="false">
      <c r="A1014" s="11" t="str">
        <f aca="false">IF(원본명단!$A1013="","",1011)</f>
        <v/>
      </c>
      <c r="B1014" s="12" t="str">
        <f aca="false">IF($A1014="","",원본명단!$A1013)</f>
        <v/>
      </c>
      <c r="C1014" s="12" t="str">
        <f aca="false">IF($A1014="","",원본명단!$B1013)</f>
        <v/>
      </c>
      <c r="D1014" s="12" t="str">
        <f aca="false">IF($A1014="","",원본명단!$D1013)</f>
        <v/>
      </c>
      <c r="E1014" s="11" t="str">
        <f aca="false">IF($A1014="","",IF(원본명단!$H1013="",0,COUNTIF(원본명단!$H$3:$H$6002,원본명단!$H1013)))</f>
        <v/>
      </c>
      <c r="F1014" s="11" t="str">
        <f aca="false">IF($A1014="","",IF(원본명단!$I1013="",0,COUNTIF(원본명단!$I$3:$I$6002,원본명단!$I1013)))</f>
        <v/>
      </c>
      <c r="G1014" s="11" t="str">
        <f aca="false">IF($A1014="","",IF(원본명단!$K1013="",0,COUNTIF(원본명단!$K$3:$K$6002,원본명단!$K1013)))</f>
        <v/>
      </c>
      <c r="H1014" s="11" t="str">
        <f aca="false">IF($A1014="","",IF(MAX($E1014,$F1014,$G1014)&gt;1,"중복","-"))</f>
        <v/>
      </c>
      <c r="I1014" s="11" t="str">
        <f aca="false">IF($A1014="","",IF($H1014="-","-",IF(AND(IF(원본명단!$H1013="",TRUE(),COUNTIF(원본명단!$H$3:$H1013,원본명단!$H1013)=1),IF(원본명단!$I1013="",TRUE(),COUNTIF(원본명단!$I$3:$I1013,원본명단!$I1013)=1),IF(원본명단!$K1013="",TRUE(),COUNTIF(원본명단!$K$3:$K1013,원본명단!$K1013)=1)),"첫 건","중복 건")))</f>
        <v/>
      </c>
      <c r="J1014" s="11" t="str">
        <f aca="false">IF($A1014="","",IF($H1014="-","유지",IF($I1014="첫 건","유지","확인 필요")))</f>
        <v/>
      </c>
    </row>
    <row r="1015" customFormat="false" ht="15" hidden="false" customHeight="true" outlineLevel="0" collapsed="false">
      <c r="A1015" s="11" t="str">
        <f aca="false">IF(원본명단!$A1014="","",1012)</f>
        <v/>
      </c>
      <c r="B1015" s="12" t="str">
        <f aca="false">IF($A1015="","",원본명단!$A1014)</f>
        <v/>
      </c>
      <c r="C1015" s="12" t="str">
        <f aca="false">IF($A1015="","",원본명단!$B1014)</f>
        <v/>
      </c>
      <c r="D1015" s="12" t="str">
        <f aca="false">IF($A1015="","",원본명단!$D1014)</f>
        <v/>
      </c>
      <c r="E1015" s="11" t="str">
        <f aca="false">IF($A1015="","",IF(원본명단!$H1014="",0,COUNTIF(원본명단!$H$3:$H$6002,원본명단!$H1014)))</f>
        <v/>
      </c>
      <c r="F1015" s="11" t="str">
        <f aca="false">IF($A1015="","",IF(원본명단!$I1014="",0,COUNTIF(원본명단!$I$3:$I$6002,원본명단!$I1014)))</f>
        <v/>
      </c>
      <c r="G1015" s="11" t="str">
        <f aca="false">IF($A1015="","",IF(원본명단!$K1014="",0,COUNTIF(원본명단!$K$3:$K$6002,원본명단!$K1014)))</f>
        <v/>
      </c>
      <c r="H1015" s="11" t="str">
        <f aca="false">IF($A1015="","",IF(MAX($E1015,$F1015,$G1015)&gt;1,"중복","-"))</f>
        <v/>
      </c>
      <c r="I1015" s="11" t="str">
        <f aca="false">IF($A1015="","",IF($H1015="-","-",IF(AND(IF(원본명단!$H1014="",TRUE(),COUNTIF(원본명단!$H$3:$H1014,원본명단!$H1014)=1),IF(원본명단!$I1014="",TRUE(),COUNTIF(원본명단!$I$3:$I1014,원본명단!$I1014)=1),IF(원본명단!$K1014="",TRUE(),COUNTIF(원본명단!$K$3:$K1014,원본명단!$K1014)=1)),"첫 건","중복 건")))</f>
        <v/>
      </c>
      <c r="J1015" s="11" t="str">
        <f aca="false">IF($A1015="","",IF($H1015="-","유지",IF($I1015="첫 건","유지","확인 필요")))</f>
        <v/>
      </c>
    </row>
    <row r="1016" customFormat="false" ht="15" hidden="false" customHeight="true" outlineLevel="0" collapsed="false">
      <c r="A1016" s="11" t="str">
        <f aca="false">IF(원본명단!$A1015="","",1013)</f>
        <v/>
      </c>
      <c r="B1016" s="12" t="str">
        <f aca="false">IF($A1016="","",원본명단!$A1015)</f>
        <v/>
      </c>
      <c r="C1016" s="12" t="str">
        <f aca="false">IF($A1016="","",원본명단!$B1015)</f>
        <v/>
      </c>
      <c r="D1016" s="12" t="str">
        <f aca="false">IF($A1016="","",원본명단!$D1015)</f>
        <v/>
      </c>
      <c r="E1016" s="11" t="str">
        <f aca="false">IF($A1016="","",IF(원본명단!$H1015="",0,COUNTIF(원본명단!$H$3:$H$6002,원본명단!$H1015)))</f>
        <v/>
      </c>
      <c r="F1016" s="11" t="str">
        <f aca="false">IF($A1016="","",IF(원본명단!$I1015="",0,COUNTIF(원본명단!$I$3:$I$6002,원본명단!$I1015)))</f>
        <v/>
      </c>
      <c r="G1016" s="11" t="str">
        <f aca="false">IF($A1016="","",IF(원본명단!$K1015="",0,COUNTIF(원본명단!$K$3:$K$6002,원본명단!$K1015)))</f>
        <v/>
      </c>
      <c r="H1016" s="11" t="str">
        <f aca="false">IF($A1016="","",IF(MAX($E1016,$F1016,$G1016)&gt;1,"중복","-"))</f>
        <v/>
      </c>
      <c r="I1016" s="11" t="str">
        <f aca="false">IF($A1016="","",IF($H1016="-","-",IF(AND(IF(원본명단!$H1015="",TRUE(),COUNTIF(원본명단!$H$3:$H1015,원본명단!$H1015)=1),IF(원본명단!$I1015="",TRUE(),COUNTIF(원본명단!$I$3:$I1015,원본명단!$I1015)=1),IF(원본명단!$K1015="",TRUE(),COUNTIF(원본명단!$K$3:$K1015,원본명단!$K1015)=1)),"첫 건","중복 건")))</f>
        <v/>
      </c>
      <c r="J1016" s="11" t="str">
        <f aca="false">IF($A1016="","",IF($H1016="-","유지",IF($I1016="첫 건","유지","확인 필요")))</f>
        <v/>
      </c>
    </row>
    <row r="1017" customFormat="false" ht="15" hidden="false" customHeight="true" outlineLevel="0" collapsed="false">
      <c r="A1017" s="11" t="str">
        <f aca="false">IF(원본명단!$A1016="","",1014)</f>
        <v/>
      </c>
      <c r="B1017" s="12" t="str">
        <f aca="false">IF($A1017="","",원본명단!$A1016)</f>
        <v/>
      </c>
      <c r="C1017" s="12" t="str">
        <f aca="false">IF($A1017="","",원본명단!$B1016)</f>
        <v/>
      </c>
      <c r="D1017" s="12" t="str">
        <f aca="false">IF($A1017="","",원본명단!$D1016)</f>
        <v/>
      </c>
      <c r="E1017" s="11" t="str">
        <f aca="false">IF($A1017="","",IF(원본명단!$H1016="",0,COUNTIF(원본명단!$H$3:$H$6002,원본명단!$H1016)))</f>
        <v/>
      </c>
      <c r="F1017" s="11" t="str">
        <f aca="false">IF($A1017="","",IF(원본명단!$I1016="",0,COUNTIF(원본명단!$I$3:$I$6002,원본명단!$I1016)))</f>
        <v/>
      </c>
      <c r="G1017" s="11" t="str">
        <f aca="false">IF($A1017="","",IF(원본명단!$K1016="",0,COUNTIF(원본명단!$K$3:$K$6002,원본명단!$K1016)))</f>
        <v/>
      </c>
      <c r="H1017" s="11" t="str">
        <f aca="false">IF($A1017="","",IF(MAX($E1017,$F1017,$G1017)&gt;1,"중복","-"))</f>
        <v/>
      </c>
      <c r="I1017" s="11" t="str">
        <f aca="false">IF($A1017="","",IF($H1017="-","-",IF(AND(IF(원본명단!$H1016="",TRUE(),COUNTIF(원본명단!$H$3:$H1016,원본명단!$H1016)=1),IF(원본명단!$I1016="",TRUE(),COUNTIF(원본명단!$I$3:$I1016,원본명단!$I1016)=1),IF(원본명단!$K1016="",TRUE(),COUNTIF(원본명단!$K$3:$K1016,원본명단!$K1016)=1)),"첫 건","중복 건")))</f>
        <v/>
      </c>
      <c r="J1017" s="11" t="str">
        <f aca="false">IF($A1017="","",IF($H1017="-","유지",IF($I1017="첫 건","유지","확인 필요")))</f>
        <v/>
      </c>
    </row>
    <row r="1018" customFormat="false" ht="15" hidden="false" customHeight="true" outlineLevel="0" collapsed="false">
      <c r="A1018" s="11" t="str">
        <f aca="false">IF(원본명단!$A1017="","",1015)</f>
        <v/>
      </c>
      <c r="B1018" s="12" t="str">
        <f aca="false">IF($A1018="","",원본명단!$A1017)</f>
        <v/>
      </c>
      <c r="C1018" s="12" t="str">
        <f aca="false">IF($A1018="","",원본명단!$B1017)</f>
        <v/>
      </c>
      <c r="D1018" s="12" t="str">
        <f aca="false">IF($A1018="","",원본명단!$D1017)</f>
        <v/>
      </c>
      <c r="E1018" s="11" t="str">
        <f aca="false">IF($A1018="","",IF(원본명단!$H1017="",0,COUNTIF(원본명단!$H$3:$H$6002,원본명단!$H1017)))</f>
        <v/>
      </c>
      <c r="F1018" s="11" t="str">
        <f aca="false">IF($A1018="","",IF(원본명단!$I1017="",0,COUNTIF(원본명단!$I$3:$I$6002,원본명단!$I1017)))</f>
        <v/>
      </c>
      <c r="G1018" s="11" t="str">
        <f aca="false">IF($A1018="","",IF(원본명단!$K1017="",0,COUNTIF(원본명단!$K$3:$K$6002,원본명단!$K1017)))</f>
        <v/>
      </c>
      <c r="H1018" s="11" t="str">
        <f aca="false">IF($A1018="","",IF(MAX($E1018,$F1018,$G1018)&gt;1,"중복","-"))</f>
        <v/>
      </c>
      <c r="I1018" s="11" t="str">
        <f aca="false">IF($A1018="","",IF($H1018="-","-",IF(AND(IF(원본명단!$H1017="",TRUE(),COUNTIF(원본명단!$H$3:$H1017,원본명단!$H1017)=1),IF(원본명단!$I1017="",TRUE(),COUNTIF(원본명단!$I$3:$I1017,원본명단!$I1017)=1),IF(원본명단!$K1017="",TRUE(),COUNTIF(원본명단!$K$3:$K1017,원본명단!$K1017)=1)),"첫 건","중복 건")))</f>
        <v/>
      </c>
      <c r="J1018" s="11" t="str">
        <f aca="false">IF($A1018="","",IF($H1018="-","유지",IF($I1018="첫 건","유지","확인 필요")))</f>
        <v/>
      </c>
    </row>
    <row r="1019" customFormat="false" ht="15" hidden="false" customHeight="true" outlineLevel="0" collapsed="false">
      <c r="A1019" s="11" t="str">
        <f aca="false">IF(원본명단!$A1018="","",1016)</f>
        <v/>
      </c>
      <c r="B1019" s="12" t="str">
        <f aca="false">IF($A1019="","",원본명단!$A1018)</f>
        <v/>
      </c>
      <c r="C1019" s="12" t="str">
        <f aca="false">IF($A1019="","",원본명단!$B1018)</f>
        <v/>
      </c>
      <c r="D1019" s="12" t="str">
        <f aca="false">IF($A1019="","",원본명단!$D1018)</f>
        <v/>
      </c>
      <c r="E1019" s="11" t="str">
        <f aca="false">IF($A1019="","",IF(원본명단!$H1018="",0,COUNTIF(원본명단!$H$3:$H$6002,원본명단!$H1018)))</f>
        <v/>
      </c>
      <c r="F1019" s="11" t="str">
        <f aca="false">IF($A1019="","",IF(원본명단!$I1018="",0,COUNTIF(원본명단!$I$3:$I$6002,원본명단!$I1018)))</f>
        <v/>
      </c>
      <c r="G1019" s="11" t="str">
        <f aca="false">IF($A1019="","",IF(원본명단!$K1018="",0,COUNTIF(원본명단!$K$3:$K$6002,원본명단!$K1018)))</f>
        <v/>
      </c>
      <c r="H1019" s="11" t="str">
        <f aca="false">IF($A1019="","",IF(MAX($E1019,$F1019,$G1019)&gt;1,"중복","-"))</f>
        <v/>
      </c>
      <c r="I1019" s="11" t="str">
        <f aca="false">IF($A1019="","",IF($H1019="-","-",IF(AND(IF(원본명단!$H1018="",TRUE(),COUNTIF(원본명단!$H$3:$H1018,원본명단!$H1018)=1),IF(원본명단!$I1018="",TRUE(),COUNTIF(원본명단!$I$3:$I1018,원본명단!$I1018)=1),IF(원본명단!$K1018="",TRUE(),COUNTIF(원본명단!$K$3:$K1018,원본명단!$K1018)=1)),"첫 건","중복 건")))</f>
        <v/>
      </c>
      <c r="J1019" s="11" t="str">
        <f aca="false">IF($A1019="","",IF($H1019="-","유지",IF($I1019="첫 건","유지","확인 필요")))</f>
        <v/>
      </c>
    </row>
    <row r="1020" customFormat="false" ht="15" hidden="false" customHeight="true" outlineLevel="0" collapsed="false">
      <c r="A1020" s="11" t="str">
        <f aca="false">IF(원본명단!$A1019="","",1017)</f>
        <v/>
      </c>
      <c r="B1020" s="12" t="str">
        <f aca="false">IF($A1020="","",원본명단!$A1019)</f>
        <v/>
      </c>
      <c r="C1020" s="12" t="str">
        <f aca="false">IF($A1020="","",원본명단!$B1019)</f>
        <v/>
      </c>
      <c r="D1020" s="12" t="str">
        <f aca="false">IF($A1020="","",원본명단!$D1019)</f>
        <v/>
      </c>
      <c r="E1020" s="11" t="str">
        <f aca="false">IF($A1020="","",IF(원본명단!$H1019="",0,COUNTIF(원본명단!$H$3:$H$6002,원본명단!$H1019)))</f>
        <v/>
      </c>
      <c r="F1020" s="11" t="str">
        <f aca="false">IF($A1020="","",IF(원본명단!$I1019="",0,COUNTIF(원본명단!$I$3:$I$6002,원본명단!$I1019)))</f>
        <v/>
      </c>
      <c r="G1020" s="11" t="str">
        <f aca="false">IF($A1020="","",IF(원본명단!$K1019="",0,COUNTIF(원본명단!$K$3:$K$6002,원본명단!$K1019)))</f>
        <v/>
      </c>
      <c r="H1020" s="11" t="str">
        <f aca="false">IF($A1020="","",IF(MAX($E1020,$F1020,$G1020)&gt;1,"중복","-"))</f>
        <v/>
      </c>
      <c r="I1020" s="11" t="str">
        <f aca="false">IF($A1020="","",IF($H1020="-","-",IF(AND(IF(원본명단!$H1019="",TRUE(),COUNTIF(원본명단!$H$3:$H1019,원본명단!$H1019)=1),IF(원본명단!$I1019="",TRUE(),COUNTIF(원본명단!$I$3:$I1019,원본명단!$I1019)=1),IF(원본명단!$K1019="",TRUE(),COUNTIF(원본명단!$K$3:$K1019,원본명단!$K1019)=1)),"첫 건","중복 건")))</f>
        <v/>
      </c>
      <c r="J1020" s="11" t="str">
        <f aca="false">IF($A1020="","",IF($H1020="-","유지",IF($I1020="첫 건","유지","확인 필요")))</f>
        <v/>
      </c>
    </row>
    <row r="1021" customFormat="false" ht="15" hidden="false" customHeight="true" outlineLevel="0" collapsed="false">
      <c r="A1021" s="11" t="str">
        <f aca="false">IF(원본명단!$A1020="","",1018)</f>
        <v/>
      </c>
      <c r="B1021" s="12" t="str">
        <f aca="false">IF($A1021="","",원본명단!$A1020)</f>
        <v/>
      </c>
      <c r="C1021" s="12" t="str">
        <f aca="false">IF($A1021="","",원본명단!$B1020)</f>
        <v/>
      </c>
      <c r="D1021" s="12" t="str">
        <f aca="false">IF($A1021="","",원본명단!$D1020)</f>
        <v/>
      </c>
      <c r="E1021" s="11" t="str">
        <f aca="false">IF($A1021="","",IF(원본명단!$H1020="",0,COUNTIF(원본명단!$H$3:$H$6002,원본명단!$H1020)))</f>
        <v/>
      </c>
      <c r="F1021" s="11" t="str">
        <f aca="false">IF($A1021="","",IF(원본명단!$I1020="",0,COUNTIF(원본명단!$I$3:$I$6002,원본명단!$I1020)))</f>
        <v/>
      </c>
      <c r="G1021" s="11" t="str">
        <f aca="false">IF($A1021="","",IF(원본명단!$K1020="",0,COUNTIF(원본명단!$K$3:$K$6002,원본명단!$K1020)))</f>
        <v/>
      </c>
      <c r="H1021" s="11" t="str">
        <f aca="false">IF($A1021="","",IF(MAX($E1021,$F1021,$G1021)&gt;1,"중복","-"))</f>
        <v/>
      </c>
      <c r="I1021" s="11" t="str">
        <f aca="false">IF($A1021="","",IF($H1021="-","-",IF(AND(IF(원본명단!$H1020="",TRUE(),COUNTIF(원본명단!$H$3:$H1020,원본명단!$H1020)=1),IF(원본명단!$I1020="",TRUE(),COUNTIF(원본명단!$I$3:$I1020,원본명단!$I1020)=1),IF(원본명단!$K1020="",TRUE(),COUNTIF(원본명단!$K$3:$K1020,원본명단!$K1020)=1)),"첫 건","중복 건")))</f>
        <v/>
      </c>
      <c r="J1021" s="11" t="str">
        <f aca="false">IF($A1021="","",IF($H1021="-","유지",IF($I1021="첫 건","유지","확인 필요")))</f>
        <v/>
      </c>
    </row>
    <row r="1022" customFormat="false" ht="15" hidden="false" customHeight="true" outlineLevel="0" collapsed="false">
      <c r="A1022" s="11" t="str">
        <f aca="false">IF(원본명단!$A1021="","",1019)</f>
        <v/>
      </c>
      <c r="B1022" s="12" t="str">
        <f aca="false">IF($A1022="","",원본명단!$A1021)</f>
        <v/>
      </c>
      <c r="C1022" s="12" t="str">
        <f aca="false">IF($A1022="","",원본명단!$B1021)</f>
        <v/>
      </c>
      <c r="D1022" s="12" t="str">
        <f aca="false">IF($A1022="","",원본명단!$D1021)</f>
        <v/>
      </c>
      <c r="E1022" s="11" t="str">
        <f aca="false">IF($A1022="","",IF(원본명단!$H1021="",0,COUNTIF(원본명단!$H$3:$H$6002,원본명단!$H1021)))</f>
        <v/>
      </c>
      <c r="F1022" s="11" t="str">
        <f aca="false">IF($A1022="","",IF(원본명단!$I1021="",0,COUNTIF(원본명단!$I$3:$I$6002,원본명단!$I1021)))</f>
        <v/>
      </c>
      <c r="G1022" s="11" t="str">
        <f aca="false">IF($A1022="","",IF(원본명단!$K1021="",0,COUNTIF(원본명단!$K$3:$K$6002,원본명단!$K1021)))</f>
        <v/>
      </c>
      <c r="H1022" s="11" t="str">
        <f aca="false">IF($A1022="","",IF(MAX($E1022,$F1022,$G1022)&gt;1,"중복","-"))</f>
        <v/>
      </c>
      <c r="I1022" s="11" t="str">
        <f aca="false">IF($A1022="","",IF($H1022="-","-",IF(AND(IF(원본명단!$H1021="",TRUE(),COUNTIF(원본명단!$H$3:$H1021,원본명단!$H1021)=1),IF(원본명단!$I1021="",TRUE(),COUNTIF(원본명단!$I$3:$I1021,원본명단!$I1021)=1),IF(원본명단!$K1021="",TRUE(),COUNTIF(원본명단!$K$3:$K1021,원본명단!$K1021)=1)),"첫 건","중복 건")))</f>
        <v/>
      </c>
      <c r="J1022" s="11" t="str">
        <f aca="false">IF($A1022="","",IF($H1022="-","유지",IF($I1022="첫 건","유지","확인 필요")))</f>
        <v/>
      </c>
    </row>
    <row r="1023" customFormat="false" ht="15" hidden="false" customHeight="true" outlineLevel="0" collapsed="false">
      <c r="A1023" s="11" t="str">
        <f aca="false">IF(원본명단!$A1022="","",1020)</f>
        <v/>
      </c>
      <c r="B1023" s="12" t="str">
        <f aca="false">IF($A1023="","",원본명단!$A1022)</f>
        <v/>
      </c>
      <c r="C1023" s="12" t="str">
        <f aca="false">IF($A1023="","",원본명단!$B1022)</f>
        <v/>
      </c>
      <c r="D1023" s="12" t="str">
        <f aca="false">IF($A1023="","",원본명단!$D1022)</f>
        <v/>
      </c>
      <c r="E1023" s="11" t="str">
        <f aca="false">IF($A1023="","",IF(원본명단!$H1022="",0,COUNTIF(원본명단!$H$3:$H$6002,원본명단!$H1022)))</f>
        <v/>
      </c>
      <c r="F1023" s="11" t="str">
        <f aca="false">IF($A1023="","",IF(원본명단!$I1022="",0,COUNTIF(원본명단!$I$3:$I$6002,원본명단!$I1022)))</f>
        <v/>
      </c>
      <c r="G1023" s="11" t="str">
        <f aca="false">IF($A1023="","",IF(원본명단!$K1022="",0,COUNTIF(원본명단!$K$3:$K$6002,원본명단!$K1022)))</f>
        <v/>
      </c>
      <c r="H1023" s="11" t="str">
        <f aca="false">IF($A1023="","",IF(MAX($E1023,$F1023,$G1023)&gt;1,"중복","-"))</f>
        <v/>
      </c>
      <c r="I1023" s="11" t="str">
        <f aca="false">IF($A1023="","",IF($H1023="-","-",IF(AND(IF(원본명단!$H1022="",TRUE(),COUNTIF(원본명단!$H$3:$H1022,원본명단!$H1022)=1),IF(원본명단!$I1022="",TRUE(),COUNTIF(원본명단!$I$3:$I1022,원본명단!$I1022)=1),IF(원본명단!$K1022="",TRUE(),COUNTIF(원본명단!$K$3:$K1022,원본명단!$K1022)=1)),"첫 건","중복 건")))</f>
        <v/>
      </c>
      <c r="J1023" s="11" t="str">
        <f aca="false">IF($A1023="","",IF($H1023="-","유지",IF($I1023="첫 건","유지","확인 필요")))</f>
        <v/>
      </c>
    </row>
    <row r="1024" customFormat="false" ht="15" hidden="false" customHeight="true" outlineLevel="0" collapsed="false">
      <c r="A1024" s="11" t="str">
        <f aca="false">IF(원본명단!$A1023="","",1021)</f>
        <v/>
      </c>
      <c r="B1024" s="12" t="str">
        <f aca="false">IF($A1024="","",원본명단!$A1023)</f>
        <v/>
      </c>
      <c r="C1024" s="12" t="str">
        <f aca="false">IF($A1024="","",원본명단!$B1023)</f>
        <v/>
      </c>
      <c r="D1024" s="12" t="str">
        <f aca="false">IF($A1024="","",원본명단!$D1023)</f>
        <v/>
      </c>
      <c r="E1024" s="11" t="str">
        <f aca="false">IF($A1024="","",IF(원본명단!$H1023="",0,COUNTIF(원본명단!$H$3:$H$6002,원본명단!$H1023)))</f>
        <v/>
      </c>
      <c r="F1024" s="11" t="str">
        <f aca="false">IF($A1024="","",IF(원본명단!$I1023="",0,COUNTIF(원본명단!$I$3:$I$6002,원본명단!$I1023)))</f>
        <v/>
      </c>
      <c r="G1024" s="11" t="str">
        <f aca="false">IF($A1024="","",IF(원본명단!$K1023="",0,COUNTIF(원본명단!$K$3:$K$6002,원본명단!$K1023)))</f>
        <v/>
      </c>
      <c r="H1024" s="11" t="str">
        <f aca="false">IF($A1024="","",IF(MAX($E1024,$F1024,$G1024)&gt;1,"중복","-"))</f>
        <v/>
      </c>
      <c r="I1024" s="11" t="str">
        <f aca="false">IF($A1024="","",IF($H1024="-","-",IF(AND(IF(원본명단!$H1023="",TRUE(),COUNTIF(원본명단!$H$3:$H1023,원본명단!$H1023)=1),IF(원본명단!$I1023="",TRUE(),COUNTIF(원본명단!$I$3:$I1023,원본명단!$I1023)=1),IF(원본명단!$K1023="",TRUE(),COUNTIF(원본명단!$K$3:$K1023,원본명단!$K1023)=1)),"첫 건","중복 건")))</f>
        <v/>
      </c>
      <c r="J1024" s="11" t="str">
        <f aca="false">IF($A1024="","",IF($H1024="-","유지",IF($I1024="첫 건","유지","확인 필요")))</f>
        <v/>
      </c>
    </row>
    <row r="1025" customFormat="false" ht="15" hidden="false" customHeight="true" outlineLevel="0" collapsed="false">
      <c r="A1025" s="11" t="str">
        <f aca="false">IF(원본명단!$A1024="","",1022)</f>
        <v/>
      </c>
      <c r="B1025" s="12" t="str">
        <f aca="false">IF($A1025="","",원본명단!$A1024)</f>
        <v/>
      </c>
      <c r="C1025" s="12" t="str">
        <f aca="false">IF($A1025="","",원본명단!$B1024)</f>
        <v/>
      </c>
      <c r="D1025" s="12" t="str">
        <f aca="false">IF($A1025="","",원본명단!$D1024)</f>
        <v/>
      </c>
      <c r="E1025" s="11" t="str">
        <f aca="false">IF($A1025="","",IF(원본명단!$H1024="",0,COUNTIF(원본명단!$H$3:$H$6002,원본명단!$H1024)))</f>
        <v/>
      </c>
      <c r="F1025" s="11" t="str">
        <f aca="false">IF($A1025="","",IF(원본명단!$I1024="",0,COUNTIF(원본명단!$I$3:$I$6002,원본명단!$I1024)))</f>
        <v/>
      </c>
      <c r="G1025" s="11" t="str">
        <f aca="false">IF($A1025="","",IF(원본명단!$K1024="",0,COUNTIF(원본명단!$K$3:$K$6002,원본명단!$K1024)))</f>
        <v/>
      </c>
      <c r="H1025" s="11" t="str">
        <f aca="false">IF($A1025="","",IF(MAX($E1025,$F1025,$G1025)&gt;1,"중복","-"))</f>
        <v/>
      </c>
      <c r="I1025" s="11" t="str">
        <f aca="false">IF($A1025="","",IF($H1025="-","-",IF(AND(IF(원본명단!$H1024="",TRUE(),COUNTIF(원본명단!$H$3:$H1024,원본명단!$H1024)=1),IF(원본명단!$I1024="",TRUE(),COUNTIF(원본명단!$I$3:$I1024,원본명단!$I1024)=1),IF(원본명단!$K1024="",TRUE(),COUNTIF(원본명단!$K$3:$K1024,원본명단!$K1024)=1)),"첫 건","중복 건")))</f>
        <v/>
      </c>
      <c r="J1025" s="11" t="str">
        <f aca="false">IF($A1025="","",IF($H1025="-","유지",IF($I1025="첫 건","유지","확인 필요")))</f>
        <v/>
      </c>
    </row>
    <row r="1026" customFormat="false" ht="15" hidden="false" customHeight="true" outlineLevel="0" collapsed="false">
      <c r="A1026" s="11" t="str">
        <f aca="false">IF(원본명단!$A1025="","",1023)</f>
        <v/>
      </c>
      <c r="B1026" s="12" t="str">
        <f aca="false">IF($A1026="","",원본명단!$A1025)</f>
        <v/>
      </c>
      <c r="C1026" s="12" t="str">
        <f aca="false">IF($A1026="","",원본명단!$B1025)</f>
        <v/>
      </c>
      <c r="D1026" s="12" t="str">
        <f aca="false">IF($A1026="","",원본명단!$D1025)</f>
        <v/>
      </c>
      <c r="E1026" s="11" t="str">
        <f aca="false">IF($A1026="","",IF(원본명단!$H1025="",0,COUNTIF(원본명단!$H$3:$H$6002,원본명단!$H1025)))</f>
        <v/>
      </c>
      <c r="F1026" s="11" t="str">
        <f aca="false">IF($A1026="","",IF(원본명단!$I1025="",0,COUNTIF(원본명단!$I$3:$I$6002,원본명단!$I1025)))</f>
        <v/>
      </c>
      <c r="G1026" s="11" t="str">
        <f aca="false">IF($A1026="","",IF(원본명단!$K1025="",0,COUNTIF(원본명단!$K$3:$K$6002,원본명단!$K1025)))</f>
        <v/>
      </c>
      <c r="H1026" s="11" t="str">
        <f aca="false">IF($A1026="","",IF(MAX($E1026,$F1026,$G1026)&gt;1,"중복","-"))</f>
        <v/>
      </c>
      <c r="I1026" s="11" t="str">
        <f aca="false">IF($A1026="","",IF($H1026="-","-",IF(AND(IF(원본명단!$H1025="",TRUE(),COUNTIF(원본명단!$H$3:$H1025,원본명단!$H1025)=1),IF(원본명단!$I1025="",TRUE(),COUNTIF(원본명단!$I$3:$I1025,원본명단!$I1025)=1),IF(원본명단!$K1025="",TRUE(),COUNTIF(원본명단!$K$3:$K1025,원본명단!$K1025)=1)),"첫 건","중복 건")))</f>
        <v/>
      </c>
      <c r="J1026" s="11" t="str">
        <f aca="false">IF($A1026="","",IF($H1026="-","유지",IF($I1026="첫 건","유지","확인 필요")))</f>
        <v/>
      </c>
    </row>
    <row r="1027" customFormat="false" ht="15" hidden="false" customHeight="true" outlineLevel="0" collapsed="false">
      <c r="A1027" s="11" t="str">
        <f aca="false">IF(원본명단!$A1026="","",1024)</f>
        <v/>
      </c>
      <c r="B1027" s="12" t="str">
        <f aca="false">IF($A1027="","",원본명단!$A1026)</f>
        <v/>
      </c>
      <c r="C1027" s="12" t="str">
        <f aca="false">IF($A1027="","",원본명단!$B1026)</f>
        <v/>
      </c>
      <c r="D1027" s="12" t="str">
        <f aca="false">IF($A1027="","",원본명단!$D1026)</f>
        <v/>
      </c>
      <c r="E1027" s="11" t="str">
        <f aca="false">IF($A1027="","",IF(원본명단!$H1026="",0,COUNTIF(원본명단!$H$3:$H$6002,원본명단!$H1026)))</f>
        <v/>
      </c>
      <c r="F1027" s="11" t="str">
        <f aca="false">IF($A1027="","",IF(원본명단!$I1026="",0,COUNTIF(원본명단!$I$3:$I$6002,원본명단!$I1026)))</f>
        <v/>
      </c>
      <c r="G1027" s="11" t="str">
        <f aca="false">IF($A1027="","",IF(원본명단!$K1026="",0,COUNTIF(원본명단!$K$3:$K$6002,원본명단!$K1026)))</f>
        <v/>
      </c>
      <c r="H1027" s="11" t="str">
        <f aca="false">IF($A1027="","",IF(MAX($E1027,$F1027,$G1027)&gt;1,"중복","-"))</f>
        <v/>
      </c>
      <c r="I1027" s="11" t="str">
        <f aca="false">IF($A1027="","",IF($H1027="-","-",IF(AND(IF(원본명단!$H1026="",TRUE(),COUNTIF(원본명단!$H$3:$H1026,원본명단!$H1026)=1),IF(원본명단!$I1026="",TRUE(),COUNTIF(원본명단!$I$3:$I1026,원본명단!$I1026)=1),IF(원본명단!$K1026="",TRUE(),COUNTIF(원본명단!$K$3:$K1026,원본명단!$K1026)=1)),"첫 건","중복 건")))</f>
        <v/>
      </c>
      <c r="J1027" s="11" t="str">
        <f aca="false">IF($A1027="","",IF($H1027="-","유지",IF($I1027="첫 건","유지","확인 필요")))</f>
        <v/>
      </c>
    </row>
    <row r="1028" customFormat="false" ht="15" hidden="false" customHeight="true" outlineLevel="0" collapsed="false">
      <c r="A1028" s="11" t="str">
        <f aca="false">IF(원본명단!$A1027="","",1025)</f>
        <v/>
      </c>
      <c r="B1028" s="12" t="str">
        <f aca="false">IF($A1028="","",원본명단!$A1027)</f>
        <v/>
      </c>
      <c r="C1028" s="12" t="str">
        <f aca="false">IF($A1028="","",원본명단!$B1027)</f>
        <v/>
      </c>
      <c r="D1028" s="12" t="str">
        <f aca="false">IF($A1028="","",원본명단!$D1027)</f>
        <v/>
      </c>
      <c r="E1028" s="11" t="str">
        <f aca="false">IF($A1028="","",IF(원본명단!$H1027="",0,COUNTIF(원본명단!$H$3:$H$6002,원본명단!$H1027)))</f>
        <v/>
      </c>
      <c r="F1028" s="11" t="str">
        <f aca="false">IF($A1028="","",IF(원본명단!$I1027="",0,COUNTIF(원본명단!$I$3:$I$6002,원본명단!$I1027)))</f>
        <v/>
      </c>
      <c r="G1028" s="11" t="str">
        <f aca="false">IF($A1028="","",IF(원본명단!$K1027="",0,COUNTIF(원본명단!$K$3:$K$6002,원본명단!$K1027)))</f>
        <v/>
      </c>
      <c r="H1028" s="11" t="str">
        <f aca="false">IF($A1028="","",IF(MAX($E1028,$F1028,$G1028)&gt;1,"중복","-"))</f>
        <v/>
      </c>
      <c r="I1028" s="11" t="str">
        <f aca="false">IF($A1028="","",IF($H1028="-","-",IF(AND(IF(원본명단!$H1027="",TRUE(),COUNTIF(원본명단!$H$3:$H1027,원본명단!$H1027)=1),IF(원본명단!$I1027="",TRUE(),COUNTIF(원본명단!$I$3:$I1027,원본명단!$I1027)=1),IF(원본명단!$K1027="",TRUE(),COUNTIF(원본명단!$K$3:$K1027,원본명단!$K1027)=1)),"첫 건","중복 건")))</f>
        <v/>
      </c>
      <c r="J1028" s="11" t="str">
        <f aca="false">IF($A1028="","",IF($H1028="-","유지",IF($I1028="첫 건","유지","확인 필요")))</f>
        <v/>
      </c>
    </row>
    <row r="1029" customFormat="false" ht="15" hidden="false" customHeight="true" outlineLevel="0" collapsed="false">
      <c r="A1029" s="11" t="str">
        <f aca="false">IF(원본명단!$A1028="","",1026)</f>
        <v/>
      </c>
      <c r="B1029" s="12" t="str">
        <f aca="false">IF($A1029="","",원본명단!$A1028)</f>
        <v/>
      </c>
      <c r="C1029" s="12" t="str">
        <f aca="false">IF($A1029="","",원본명단!$B1028)</f>
        <v/>
      </c>
      <c r="D1029" s="12" t="str">
        <f aca="false">IF($A1029="","",원본명단!$D1028)</f>
        <v/>
      </c>
      <c r="E1029" s="11" t="str">
        <f aca="false">IF($A1029="","",IF(원본명단!$H1028="",0,COUNTIF(원본명단!$H$3:$H$6002,원본명단!$H1028)))</f>
        <v/>
      </c>
      <c r="F1029" s="11" t="str">
        <f aca="false">IF($A1029="","",IF(원본명단!$I1028="",0,COUNTIF(원본명단!$I$3:$I$6002,원본명단!$I1028)))</f>
        <v/>
      </c>
      <c r="G1029" s="11" t="str">
        <f aca="false">IF($A1029="","",IF(원본명단!$K1028="",0,COUNTIF(원본명단!$K$3:$K$6002,원본명단!$K1028)))</f>
        <v/>
      </c>
      <c r="H1029" s="11" t="str">
        <f aca="false">IF($A1029="","",IF(MAX($E1029,$F1029,$G1029)&gt;1,"중복","-"))</f>
        <v/>
      </c>
      <c r="I1029" s="11" t="str">
        <f aca="false">IF($A1029="","",IF($H1029="-","-",IF(AND(IF(원본명단!$H1028="",TRUE(),COUNTIF(원본명단!$H$3:$H1028,원본명단!$H1028)=1),IF(원본명단!$I1028="",TRUE(),COUNTIF(원본명단!$I$3:$I1028,원본명단!$I1028)=1),IF(원본명단!$K1028="",TRUE(),COUNTIF(원본명단!$K$3:$K1028,원본명단!$K1028)=1)),"첫 건","중복 건")))</f>
        <v/>
      </c>
      <c r="J1029" s="11" t="str">
        <f aca="false">IF($A1029="","",IF($H1029="-","유지",IF($I1029="첫 건","유지","확인 필요")))</f>
        <v/>
      </c>
    </row>
    <row r="1030" customFormat="false" ht="15" hidden="false" customHeight="true" outlineLevel="0" collapsed="false">
      <c r="A1030" s="11" t="str">
        <f aca="false">IF(원본명단!$A1029="","",1027)</f>
        <v/>
      </c>
      <c r="B1030" s="12" t="str">
        <f aca="false">IF($A1030="","",원본명단!$A1029)</f>
        <v/>
      </c>
      <c r="C1030" s="12" t="str">
        <f aca="false">IF($A1030="","",원본명단!$B1029)</f>
        <v/>
      </c>
      <c r="D1030" s="12" t="str">
        <f aca="false">IF($A1030="","",원본명단!$D1029)</f>
        <v/>
      </c>
      <c r="E1030" s="11" t="str">
        <f aca="false">IF($A1030="","",IF(원본명단!$H1029="",0,COUNTIF(원본명단!$H$3:$H$6002,원본명단!$H1029)))</f>
        <v/>
      </c>
      <c r="F1030" s="11" t="str">
        <f aca="false">IF($A1030="","",IF(원본명단!$I1029="",0,COUNTIF(원본명단!$I$3:$I$6002,원본명단!$I1029)))</f>
        <v/>
      </c>
      <c r="G1030" s="11" t="str">
        <f aca="false">IF($A1030="","",IF(원본명단!$K1029="",0,COUNTIF(원본명단!$K$3:$K$6002,원본명단!$K1029)))</f>
        <v/>
      </c>
      <c r="H1030" s="11" t="str">
        <f aca="false">IF($A1030="","",IF(MAX($E1030,$F1030,$G1030)&gt;1,"중복","-"))</f>
        <v/>
      </c>
      <c r="I1030" s="11" t="str">
        <f aca="false">IF($A1030="","",IF($H1030="-","-",IF(AND(IF(원본명단!$H1029="",TRUE(),COUNTIF(원본명단!$H$3:$H1029,원본명단!$H1029)=1),IF(원본명단!$I1029="",TRUE(),COUNTIF(원본명단!$I$3:$I1029,원본명단!$I1029)=1),IF(원본명단!$K1029="",TRUE(),COUNTIF(원본명단!$K$3:$K1029,원본명단!$K1029)=1)),"첫 건","중복 건")))</f>
        <v/>
      </c>
      <c r="J1030" s="11" t="str">
        <f aca="false">IF($A1030="","",IF($H1030="-","유지",IF($I1030="첫 건","유지","확인 필요")))</f>
        <v/>
      </c>
    </row>
    <row r="1031" customFormat="false" ht="15" hidden="false" customHeight="true" outlineLevel="0" collapsed="false">
      <c r="A1031" s="11" t="str">
        <f aca="false">IF(원본명단!$A1030="","",1028)</f>
        <v/>
      </c>
      <c r="B1031" s="12" t="str">
        <f aca="false">IF($A1031="","",원본명단!$A1030)</f>
        <v/>
      </c>
      <c r="C1031" s="12" t="str">
        <f aca="false">IF($A1031="","",원본명단!$B1030)</f>
        <v/>
      </c>
      <c r="D1031" s="12" t="str">
        <f aca="false">IF($A1031="","",원본명단!$D1030)</f>
        <v/>
      </c>
      <c r="E1031" s="11" t="str">
        <f aca="false">IF($A1031="","",IF(원본명단!$H1030="",0,COUNTIF(원본명단!$H$3:$H$6002,원본명단!$H1030)))</f>
        <v/>
      </c>
      <c r="F1031" s="11" t="str">
        <f aca="false">IF($A1031="","",IF(원본명단!$I1030="",0,COUNTIF(원본명단!$I$3:$I$6002,원본명단!$I1030)))</f>
        <v/>
      </c>
      <c r="G1031" s="11" t="str">
        <f aca="false">IF($A1031="","",IF(원본명단!$K1030="",0,COUNTIF(원본명단!$K$3:$K$6002,원본명단!$K1030)))</f>
        <v/>
      </c>
      <c r="H1031" s="11" t="str">
        <f aca="false">IF($A1031="","",IF(MAX($E1031,$F1031,$G1031)&gt;1,"중복","-"))</f>
        <v/>
      </c>
      <c r="I1031" s="11" t="str">
        <f aca="false">IF($A1031="","",IF($H1031="-","-",IF(AND(IF(원본명단!$H1030="",TRUE(),COUNTIF(원본명단!$H$3:$H1030,원본명단!$H1030)=1),IF(원본명단!$I1030="",TRUE(),COUNTIF(원본명단!$I$3:$I1030,원본명단!$I1030)=1),IF(원본명단!$K1030="",TRUE(),COUNTIF(원본명단!$K$3:$K1030,원본명단!$K1030)=1)),"첫 건","중복 건")))</f>
        <v/>
      </c>
      <c r="J1031" s="11" t="str">
        <f aca="false">IF($A1031="","",IF($H1031="-","유지",IF($I1031="첫 건","유지","확인 필요")))</f>
        <v/>
      </c>
    </row>
    <row r="1032" customFormat="false" ht="15" hidden="false" customHeight="true" outlineLevel="0" collapsed="false">
      <c r="A1032" s="11" t="str">
        <f aca="false">IF(원본명단!$A1031="","",1029)</f>
        <v/>
      </c>
      <c r="B1032" s="12" t="str">
        <f aca="false">IF($A1032="","",원본명단!$A1031)</f>
        <v/>
      </c>
      <c r="C1032" s="12" t="str">
        <f aca="false">IF($A1032="","",원본명단!$B1031)</f>
        <v/>
      </c>
      <c r="D1032" s="12" t="str">
        <f aca="false">IF($A1032="","",원본명단!$D1031)</f>
        <v/>
      </c>
      <c r="E1032" s="11" t="str">
        <f aca="false">IF($A1032="","",IF(원본명단!$H1031="",0,COUNTIF(원본명단!$H$3:$H$6002,원본명단!$H1031)))</f>
        <v/>
      </c>
      <c r="F1032" s="11" t="str">
        <f aca="false">IF($A1032="","",IF(원본명단!$I1031="",0,COUNTIF(원본명단!$I$3:$I$6002,원본명단!$I1031)))</f>
        <v/>
      </c>
      <c r="G1032" s="11" t="str">
        <f aca="false">IF($A1032="","",IF(원본명단!$K1031="",0,COUNTIF(원본명단!$K$3:$K$6002,원본명단!$K1031)))</f>
        <v/>
      </c>
      <c r="H1032" s="11" t="str">
        <f aca="false">IF($A1032="","",IF(MAX($E1032,$F1032,$G1032)&gt;1,"중복","-"))</f>
        <v/>
      </c>
      <c r="I1032" s="11" t="str">
        <f aca="false">IF($A1032="","",IF($H1032="-","-",IF(AND(IF(원본명단!$H1031="",TRUE(),COUNTIF(원본명단!$H$3:$H1031,원본명단!$H1031)=1),IF(원본명단!$I1031="",TRUE(),COUNTIF(원본명단!$I$3:$I1031,원본명단!$I1031)=1),IF(원본명단!$K1031="",TRUE(),COUNTIF(원본명단!$K$3:$K1031,원본명단!$K1031)=1)),"첫 건","중복 건")))</f>
        <v/>
      </c>
      <c r="J1032" s="11" t="str">
        <f aca="false">IF($A1032="","",IF($H1032="-","유지",IF($I1032="첫 건","유지","확인 필요")))</f>
        <v/>
      </c>
    </row>
    <row r="1033" customFormat="false" ht="15" hidden="false" customHeight="true" outlineLevel="0" collapsed="false">
      <c r="A1033" s="11" t="str">
        <f aca="false">IF(원본명단!$A1032="","",1030)</f>
        <v/>
      </c>
      <c r="B1033" s="12" t="str">
        <f aca="false">IF($A1033="","",원본명단!$A1032)</f>
        <v/>
      </c>
      <c r="C1033" s="12" t="str">
        <f aca="false">IF($A1033="","",원본명단!$B1032)</f>
        <v/>
      </c>
      <c r="D1033" s="12" t="str">
        <f aca="false">IF($A1033="","",원본명단!$D1032)</f>
        <v/>
      </c>
      <c r="E1033" s="11" t="str">
        <f aca="false">IF($A1033="","",IF(원본명단!$H1032="",0,COUNTIF(원본명단!$H$3:$H$6002,원본명단!$H1032)))</f>
        <v/>
      </c>
      <c r="F1033" s="11" t="str">
        <f aca="false">IF($A1033="","",IF(원본명단!$I1032="",0,COUNTIF(원본명단!$I$3:$I$6002,원본명단!$I1032)))</f>
        <v/>
      </c>
      <c r="G1033" s="11" t="str">
        <f aca="false">IF($A1033="","",IF(원본명단!$K1032="",0,COUNTIF(원본명단!$K$3:$K$6002,원본명단!$K1032)))</f>
        <v/>
      </c>
      <c r="H1033" s="11" t="str">
        <f aca="false">IF($A1033="","",IF(MAX($E1033,$F1033,$G1033)&gt;1,"중복","-"))</f>
        <v/>
      </c>
      <c r="I1033" s="11" t="str">
        <f aca="false">IF($A1033="","",IF($H1033="-","-",IF(AND(IF(원본명단!$H1032="",TRUE(),COUNTIF(원본명단!$H$3:$H1032,원본명단!$H1032)=1),IF(원본명단!$I1032="",TRUE(),COUNTIF(원본명단!$I$3:$I1032,원본명단!$I1032)=1),IF(원본명단!$K1032="",TRUE(),COUNTIF(원본명단!$K$3:$K1032,원본명단!$K1032)=1)),"첫 건","중복 건")))</f>
        <v/>
      </c>
      <c r="J1033" s="11" t="str">
        <f aca="false">IF($A1033="","",IF($H1033="-","유지",IF($I1033="첫 건","유지","확인 필요")))</f>
        <v/>
      </c>
    </row>
    <row r="1034" customFormat="false" ht="15" hidden="false" customHeight="true" outlineLevel="0" collapsed="false">
      <c r="A1034" s="11" t="str">
        <f aca="false">IF(원본명단!$A1033="","",1031)</f>
        <v/>
      </c>
      <c r="B1034" s="12" t="str">
        <f aca="false">IF($A1034="","",원본명단!$A1033)</f>
        <v/>
      </c>
      <c r="C1034" s="12" t="str">
        <f aca="false">IF($A1034="","",원본명단!$B1033)</f>
        <v/>
      </c>
      <c r="D1034" s="12" t="str">
        <f aca="false">IF($A1034="","",원본명단!$D1033)</f>
        <v/>
      </c>
      <c r="E1034" s="11" t="str">
        <f aca="false">IF($A1034="","",IF(원본명단!$H1033="",0,COUNTIF(원본명단!$H$3:$H$6002,원본명단!$H1033)))</f>
        <v/>
      </c>
      <c r="F1034" s="11" t="str">
        <f aca="false">IF($A1034="","",IF(원본명단!$I1033="",0,COUNTIF(원본명단!$I$3:$I$6002,원본명단!$I1033)))</f>
        <v/>
      </c>
      <c r="G1034" s="11" t="str">
        <f aca="false">IF($A1034="","",IF(원본명단!$K1033="",0,COUNTIF(원본명단!$K$3:$K$6002,원본명단!$K1033)))</f>
        <v/>
      </c>
      <c r="H1034" s="11" t="str">
        <f aca="false">IF($A1034="","",IF(MAX($E1034,$F1034,$G1034)&gt;1,"중복","-"))</f>
        <v/>
      </c>
      <c r="I1034" s="11" t="str">
        <f aca="false">IF($A1034="","",IF($H1034="-","-",IF(AND(IF(원본명단!$H1033="",TRUE(),COUNTIF(원본명단!$H$3:$H1033,원본명단!$H1033)=1),IF(원본명단!$I1033="",TRUE(),COUNTIF(원본명단!$I$3:$I1033,원본명단!$I1033)=1),IF(원본명단!$K1033="",TRUE(),COUNTIF(원본명단!$K$3:$K1033,원본명단!$K1033)=1)),"첫 건","중복 건")))</f>
        <v/>
      </c>
      <c r="J1034" s="11" t="str">
        <f aca="false">IF($A1034="","",IF($H1034="-","유지",IF($I1034="첫 건","유지","확인 필요")))</f>
        <v/>
      </c>
    </row>
    <row r="1035" customFormat="false" ht="15" hidden="false" customHeight="true" outlineLevel="0" collapsed="false">
      <c r="A1035" s="11" t="str">
        <f aca="false">IF(원본명단!$A1034="","",1032)</f>
        <v/>
      </c>
      <c r="B1035" s="12" t="str">
        <f aca="false">IF($A1035="","",원본명단!$A1034)</f>
        <v/>
      </c>
      <c r="C1035" s="12" t="str">
        <f aca="false">IF($A1035="","",원본명단!$B1034)</f>
        <v/>
      </c>
      <c r="D1035" s="12" t="str">
        <f aca="false">IF($A1035="","",원본명단!$D1034)</f>
        <v/>
      </c>
      <c r="E1035" s="11" t="str">
        <f aca="false">IF($A1035="","",IF(원본명단!$H1034="",0,COUNTIF(원본명단!$H$3:$H$6002,원본명단!$H1034)))</f>
        <v/>
      </c>
      <c r="F1035" s="11" t="str">
        <f aca="false">IF($A1035="","",IF(원본명단!$I1034="",0,COUNTIF(원본명단!$I$3:$I$6002,원본명단!$I1034)))</f>
        <v/>
      </c>
      <c r="G1035" s="11" t="str">
        <f aca="false">IF($A1035="","",IF(원본명단!$K1034="",0,COUNTIF(원본명단!$K$3:$K$6002,원본명단!$K1034)))</f>
        <v/>
      </c>
      <c r="H1035" s="11" t="str">
        <f aca="false">IF($A1035="","",IF(MAX($E1035,$F1035,$G1035)&gt;1,"중복","-"))</f>
        <v/>
      </c>
      <c r="I1035" s="11" t="str">
        <f aca="false">IF($A1035="","",IF($H1035="-","-",IF(AND(IF(원본명단!$H1034="",TRUE(),COUNTIF(원본명단!$H$3:$H1034,원본명단!$H1034)=1),IF(원본명단!$I1034="",TRUE(),COUNTIF(원본명단!$I$3:$I1034,원본명단!$I1034)=1),IF(원본명단!$K1034="",TRUE(),COUNTIF(원본명단!$K$3:$K1034,원본명단!$K1034)=1)),"첫 건","중복 건")))</f>
        <v/>
      </c>
      <c r="J1035" s="11" t="str">
        <f aca="false">IF($A1035="","",IF($H1035="-","유지",IF($I1035="첫 건","유지","확인 필요")))</f>
        <v/>
      </c>
    </row>
    <row r="1036" customFormat="false" ht="15" hidden="false" customHeight="true" outlineLevel="0" collapsed="false">
      <c r="A1036" s="11" t="str">
        <f aca="false">IF(원본명단!$A1035="","",1033)</f>
        <v/>
      </c>
      <c r="B1036" s="12" t="str">
        <f aca="false">IF($A1036="","",원본명단!$A1035)</f>
        <v/>
      </c>
      <c r="C1036" s="12" t="str">
        <f aca="false">IF($A1036="","",원본명단!$B1035)</f>
        <v/>
      </c>
      <c r="D1036" s="12" t="str">
        <f aca="false">IF($A1036="","",원본명단!$D1035)</f>
        <v/>
      </c>
      <c r="E1036" s="11" t="str">
        <f aca="false">IF($A1036="","",IF(원본명단!$H1035="",0,COUNTIF(원본명단!$H$3:$H$6002,원본명단!$H1035)))</f>
        <v/>
      </c>
      <c r="F1036" s="11" t="str">
        <f aca="false">IF($A1036="","",IF(원본명단!$I1035="",0,COUNTIF(원본명단!$I$3:$I$6002,원본명단!$I1035)))</f>
        <v/>
      </c>
      <c r="G1036" s="11" t="str">
        <f aca="false">IF($A1036="","",IF(원본명단!$K1035="",0,COUNTIF(원본명단!$K$3:$K$6002,원본명단!$K1035)))</f>
        <v/>
      </c>
      <c r="H1036" s="11" t="str">
        <f aca="false">IF($A1036="","",IF(MAX($E1036,$F1036,$G1036)&gt;1,"중복","-"))</f>
        <v/>
      </c>
      <c r="I1036" s="11" t="str">
        <f aca="false">IF($A1036="","",IF($H1036="-","-",IF(AND(IF(원본명단!$H1035="",TRUE(),COUNTIF(원본명단!$H$3:$H1035,원본명단!$H1035)=1),IF(원본명단!$I1035="",TRUE(),COUNTIF(원본명단!$I$3:$I1035,원본명단!$I1035)=1),IF(원본명단!$K1035="",TRUE(),COUNTIF(원본명단!$K$3:$K1035,원본명단!$K1035)=1)),"첫 건","중복 건")))</f>
        <v/>
      </c>
      <c r="J1036" s="11" t="str">
        <f aca="false">IF($A1036="","",IF($H1036="-","유지",IF($I1036="첫 건","유지","확인 필요")))</f>
        <v/>
      </c>
    </row>
    <row r="1037" customFormat="false" ht="15" hidden="false" customHeight="true" outlineLevel="0" collapsed="false">
      <c r="A1037" s="11" t="str">
        <f aca="false">IF(원본명단!$A1036="","",1034)</f>
        <v/>
      </c>
      <c r="B1037" s="12" t="str">
        <f aca="false">IF($A1037="","",원본명단!$A1036)</f>
        <v/>
      </c>
      <c r="C1037" s="12" t="str">
        <f aca="false">IF($A1037="","",원본명단!$B1036)</f>
        <v/>
      </c>
      <c r="D1037" s="12" t="str">
        <f aca="false">IF($A1037="","",원본명단!$D1036)</f>
        <v/>
      </c>
      <c r="E1037" s="11" t="str">
        <f aca="false">IF($A1037="","",IF(원본명단!$H1036="",0,COUNTIF(원본명단!$H$3:$H$6002,원본명단!$H1036)))</f>
        <v/>
      </c>
      <c r="F1037" s="11" t="str">
        <f aca="false">IF($A1037="","",IF(원본명단!$I1036="",0,COUNTIF(원본명단!$I$3:$I$6002,원본명단!$I1036)))</f>
        <v/>
      </c>
      <c r="G1037" s="11" t="str">
        <f aca="false">IF($A1037="","",IF(원본명단!$K1036="",0,COUNTIF(원본명단!$K$3:$K$6002,원본명단!$K1036)))</f>
        <v/>
      </c>
      <c r="H1037" s="11" t="str">
        <f aca="false">IF($A1037="","",IF(MAX($E1037,$F1037,$G1037)&gt;1,"중복","-"))</f>
        <v/>
      </c>
      <c r="I1037" s="11" t="str">
        <f aca="false">IF($A1037="","",IF($H1037="-","-",IF(AND(IF(원본명단!$H1036="",TRUE(),COUNTIF(원본명단!$H$3:$H1036,원본명단!$H1036)=1),IF(원본명단!$I1036="",TRUE(),COUNTIF(원본명단!$I$3:$I1036,원본명단!$I1036)=1),IF(원본명단!$K1036="",TRUE(),COUNTIF(원본명단!$K$3:$K1036,원본명단!$K1036)=1)),"첫 건","중복 건")))</f>
        <v/>
      </c>
      <c r="J1037" s="11" t="str">
        <f aca="false">IF($A1037="","",IF($H1037="-","유지",IF($I1037="첫 건","유지","확인 필요")))</f>
        <v/>
      </c>
    </row>
    <row r="1038" customFormat="false" ht="15" hidden="false" customHeight="true" outlineLevel="0" collapsed="false">
      <c r="A1038" s="11" t="str">
        <f aca="false">IF(원본명단!$A1037="","",1035)</f>
        <v/>
      </c>
      <c r="B1038" s="12" t="str">
        <f aca="false">IF($A1038="","",원본명단!$A1037)</f>
        <v/>
      </c>
      <c r="C1038" s="12" t="str">
        <f aca="false">IF($A1038="","",원본명단!$B1037)</f>
        <v/>
      </c>
      <c r="D1038" s="12" t="str">
        <f aca="false">IF($A1038="","",원본명단!$D1037)</f>
        <v/>
      </c>
      <c r="E1038" s="11" t="str">
        <f aca="false">IF($A1038="","",IF(원본명단!$H1037="",0,COUNTIF(원본명단!$H$3:$H$6002,원본명단!$H1037)))</f>
        <v/>
      </c>
      <c r="F1038" s="11" t="str">
        <f aca="false">IF($A1038="","",IF(원본명단!$I1037="",0,COUNTIF(원본명단!$I$3:$I$6002,원본명단!$I1037)))</f>
        <v/>
      </c>
      <c r="G1038" s="11" t="str">
        <f aca="false">IF($A1038="","",IF(원본명단!$K1037="",0,COUNTIF(원본명단!$K$3:$K$6002,원본명단!$K1037)))</f>
        <v/>
      </c>
      <c r="H1038" s="11" t="str">
        <f aca="false">IF($A1038="","",IF(MAX($E1038,$F1038,$G1038)&gt;1,"중복","-"))</f>
        <v/>
      </c>
      <c r="I1038" s="11" t="str">
        <f aca="false">IF($A1038="","",IF($H1038="-","-",IF(AND(IF(원본명단!$H1037="",TRUE(),COUNTIF(원본명단!$H$3:$H1037,원본명단!$H1037)=1),IF(원본명단!$I1037="",TRUE(),COUNTIF(원본명단!$I$3:$I1037,원본명단!$I1037)=1),IF(원본명단!$K1037="",TRUE(),COUNTIF(원본명단!$K$3:$K1037,원본명단!$K1037)=1)),"첫 건","중복 건")))</f>
        <v/>
      </c>
      <c r="J1038" s="11" t="str">
        <f aca="false">IF($A1038="","",IF($H1038="-","유지",IF($I1038="첫 건","유지","확인 필요")))</f>
        <v/>
      </c>
    </row>
    <row r="1039" customFormat="false" ht="15" hidden="false" customHeight="true" outlineLevel="0" collapsed="false">
      <c r="A1039" s="11" t="str">
        <f aca="false">IF(원본명단!$A1038="","",1036)</f>
        <v/>
      </c>
      <c r="B1039" s="12" t="str">
        <f aca="false">IF($A1039="","",원본명단!$A1038)</f>
        <v/>
      </c>
      <c r="C1039" s="12" t="str">
        <f aca="false">IF($A1039="","",원본명단!$B1038)</f>
        <v/>
      </c>
      <c r="D1039" s="12" t="str">
        <f aca="false">IF($A1039="","",원본명단!$D1038)</f>
        <v/>
      </c>
      <c r="E1039" s="11" t="str">
        <f aca="false">IF($A1039="","",IF(원본명단!$H1038="",0,COUNTIF(원본명단!$H$3:$H$6002,원본명단!$H1038)))</f>
        <v/>
      </c>
      <c r="F1039" s="11" t="str">
        <f aca="false">IF($A1039="","",IF(원본명단!$I1038="",0,COUNTIF(원본명단!$I$3:$I$6002,원본명단!$I1038)))</f>
        <v/>
      </c>
      <c r="G1039" s="11" t="str">
        <f aca="false">IF($A1039="","",IF(원본명단!$K1038="",0,COUNTIF(원본명단!$K$3:$K$6002,원본명단!$K1038)))</f>
        <v/>
      </c>
      <c r="H1039" s="11" t="str">
        <f aca="false">IF($A1039="","",IF(MAX($E1039,$F1039,$G1039)&gt;1,"중복","-"))</f>
        <v/>
      </c>
      <c r="I1039" s="11" t="str">
        <f aca="false">IF($A1039="","",IF($H1039="-","-",IF(AND(IF(원본명단!$H1038="",TRUE(),COUNTIF(원본명단!$H$3:$H1038,원본명단!$H1038)=1),IF(원본명단!$I1038="",TRUE(),COUNTIF(원본명단!$I$3:$I1038,원본명단!$I1038)=1),IF(원본명단!$K1038="",TRUE(),COUNTIF(원본명단!$K$3:$K1038,원본명단!$K1038)=1)),"첫 건","중복 건")))</f>
        <v/>
      </c>
      <c r="J1039" s="11" t="str">
        <f aca="false">IF($A1039="","",IF($H1039="-","유지",IF($I1039="첫 건","유지","확인 필요")))</f>
        <v/>
      </c>
    </row>
    <row r="1040" customFormat="false" ht="15" hidden="false" customHeight="true" outlineLevel="0" collapsed="false">
      <c r="A1040" s="11" t="str">
        <f aca="false">IF(원본명단!$A1039="","",1037)</f>
        <v/>
      </c>
      <c r="B1040" s="12" t="str">
        <f aca="false">IF($A1040="","",원본명단!$A1039)</f>
        <v/>
      </c>
      <c r="C1040" s="12" t="str">
        <f aca="false">IF($A1040="","",원본명단!$B1039)</f>
        <v/>
      </c>
      <c r="D1040" s="12" t="str">
        <f aca="false">IF($A1040="","",원본명단!$D1039)</f>
        <v/>
      </c>
      <c r="E1040" s="11" t="str">
        <f aca="false">IF($A1040="","",IF(원본명단!$H1039="",0,COUNTIF(원본명단!$H$3:$H$6002,원본명단!$H1039)))</f>
        <v/>
      </c>
      <c r="F1040" s="11" t="str">
        <f aca="false">IF($A1040="","",IF(원본명단!$I1039="",0,COUNTIF(원본명단!$I$3:$I$6002,원본명단!$I1039)))</f>
        <v/>
      </c>
      <c r="G1040" s="11" t="str">
        <f aca="false">IF($A1040="","",IF(원본명단!$K1039="",0,COUNTIF(원본명단!$K$3:$K$6002,원본명단!$K1039)))</f>
        <v/>
      </c>
      <c r="H1040" s="11" t="str">
        <f aca="false">IF($A1040="","",IF(MAX($E1040,$F1040,$G1040)&gt;1,"중복","-"))</f>
        <v/>
      </c>
      <c r="I1040" s="11" t="str">
        <f aca="false">IF($A1040="","",IF($H1040="-","-",IF(AND(IF(원본명단!$H1039="",TRUE(),COUNTIF(원본명단!$H$3:$H1039,원본명단!$H1039)=1),IF(원본명단!$I1039="",TRUE(),COUNTIF(원본명단!$I$3:$I1039,원본명단!$I1039)=1),IF(원본명단!$K1039="",TRUE(),COUNTIF(원본명단!$K$3:$K1039,원본명단!$K1039)=1)),"첫 건","중복 건")))</f>
        <v/>
      </c>
      <c r="J1040" s="11" t="str">
        <f aca="false">IF($A1040="","",IF($H1040="-","유지",IF($I1040="첫 건","유지","확인 필요")))</f>
        <v/>
      </c>
    </row>
    <row r="1041" customFormat="false" ht="15" hidden="false" customHeight="true" outlineLevel="0" collapsed="false">
      <c r="A1041" s="11" t="str">
        <f aca="false">IF(원본명단!$A1040="","",1038)</f>
        <v/>
      </c>
      <c r="B1041" s="12" t="str">
        <f aca="false">IF($A1041="","",원본명단!$A1040)</f>
        <v/>
      </c>
      <c r="C1041" s="12" t="str">
        <f aca="false">IF($A1041="","",원본명단!$B1040)</f>
        <v/>
      </c>
      <c r="D1041" s="12" t="str">
        <f aca="false">IF($A1041="","",원본명단!$D1040)</f>
        <v/>
      </c>
      <c r="E1041" s="11" t="str">
        <f aca="false">IF($A1041="","",IF(원본명단!$H1040="",0,COUNTIF(원본명단!$H$3:$H$6002,원본명단!$H1040)))</f>
        <v/>
      </c>
      <c r="F1041" s="11" t="str">
        <f aca="false">IF($A1041="","",IF(원본명단!$I1040="",0,COUNTIF(원본명단!$I$3:$I$6002,원본명단!$I1040)))</f>
        <v/>
      </c>
      <c r="G1041" s="11" t="str">
        <f aca="false">IF($A1041="","",IF(원본명단!$K1040="",0,COUNTIF(원본명단!$K$3:$K$6002,원본명단!$K1040)))</f>
        <v/>
      </c>
      <c r="H1041" s="11" t="str">
        <f aca="false">IF($A1041="","",IF(MAX($E1041,$F1041,$G1041)&gt;1,"중복","-"))</f>
        <v/>
      </c>
      <c r="I1041" s="11" t="str">
        <f aca="false">IF($A1041="","",IF($H1041="-","-",IF(AND(IF(원본명단!$H1040="",TRUE(),COUNTIF(원본명단!$H$3:$H1040,원본명단!$H1040)=1),IF(원본명단!$I1040="",TRUE(),COUNTIF(원본명단!$I$3:$I1040,원본명단!$I1040)=1),IF(원본명단!$K1040="",TRUE(),COUNTIF(원본명단!$K$3:$K1040,원본명단!$K1040)=1)),"첫 건","중복 건")))</f>
        <v/>
      </c>
      <c r="J1041" s="11" t="str">
        <f aca="false">IF($A1041="","",IF($H1041="-","유지",IF($I1041="첫 건","유지","확인 필요")))</f>
        <v/>
      </c>
    </row>
    <row r="1042" customFormat="false" ht="15" hidden="false" customHeight="true" outlineLevel="0" collapsed="false">
      <c r="A1042" s="11" t="str">
        <f aca="false">IF(원본명단!$A1041="","",1039)</f>
        <v/>
      </c>
      <c r="B1042" s="12" t="str">
        <f aca="false">IF($A1042="","",원본명단!$A1041)</f>
        <v/>
      </c>
      <c r="C1042" s="12" t="str">
        <f aca="false">IF($A1042="","",원본명단!$B1041)</f>
        <v/>
      </c>
      <c r="D1042" s="12" t="str">
        <f aca="false">IF($A1042="","",원본명단!$D1041)</f>
        <v/>
      </c>
      <c r="E1042" s="11" t="str">
        <f aca="false">IF($A1042="","",IF(원본명단!$H1041="",0,COUNTIF(원본명단!$H$3:$H$6002,원본명단!$H1041)))</f>
        <v/>
      </c>
      <c r="F1042" s="11" t="str">
        <f aca="false">IF($A1042="","",IF(원본명단!$I1041="",0,COUNTIF(원본명단!$I$3:$I$6002,원본명단!$I1041)))</f>
        <v/>
      </c>
      <c r="G1042" s="11" t="str">
        <f aca="false">IF($A1042="","",IF(원본명단!$K1041="",0,COUNTIF(원본명단!$K$3:$K$6002,원본명단!$K1041)))</f>
        <v/>
      </c>
      <c r="H1042" s="11" t="str">
        <f aca="false">IF($A1042="","",IF(MAX($E1042,$F1042,$G1042)&gt;1,"중복","-"))</f>
        <v/>
      </c>
      <c r="I1042" s="11" t="str">
        <f aca="false">IF($A1042="","",IF($H1042="-","-",IF(AND(IF(원본명단!$H1041="",TRUE(),COUNTIF(원본명단!$H$3:$H1041,원본명단!$H1041)=1),IF(원본명단!$I1041="",TRUE(),COUNTIF(원본명단!$I$3:$I1041,원본명단!$I1041)=1),IF(원본명단!$K1041="",TRUE(),COUNTIF(원본명단!$K$3:$K1041,원본명단!$K1041)=1)),"첫 건","중복 건")))</f>
        <v/>
      </c>
      <c r="J1042" s="11" t="str">
        <f aca="false">IF($A1042="","",IF($H1042="-","유지",IF($I1042="첫 건","유지","확인 필요")))</f>
        <v/>
      </c>
    </row>
    <row r="1043" customFormat="false" ht="15" hidden="false" customHeight="true" outlineLevel="0" collapsed="false">
      <c r="A1043" s="11" t="str">
        <f aca="false">IF(원본명단!$A1042="","",1040)</f>
        <v/>
      </c>
      <c r="B1043" s="12" t="str">
        <f aca="false">IF($A1043="","",원본명단!$A1042)</f>
        <v/>
      </c>
      <c r="C1043" s="12" t="str">
        <f aca="false">IF($A1043="","",원본명단!$B1042)</f>
        <v/>
      </c>
      <c r="D1043" s="12" t="str">
        <f aca="false">IF($A1043="","",원본명단!$D1042)</f>
        <v/>
      </c>
      <c r="E1043" s="11" t="str">
        <f aca="false">IF($A1043="","",IF(원본명단!$H1042="",0,COUNTIF(원본명단!$H$3:$H$6002,원본명단!$H1042)))</f>
        <v/>
      </c>
      <c r="F1043" s="11" t="str">
        <f aca="false">IF($A1043="","",IF(원본명단!$I1042="",0,COUNTIF(원본명단!$I$3:$I$6002,원본명단!$I1042)))</f>
        <v/>
      </c>
      <c r="G1043" s="11" t="str">
        <f aca="false">IF($A1043="","",IF(원본명단!$K1042="",0,COUNTIF(원본명단!$K$3:$K$6002,원본명단!$K1042)))</f>
        <v/>
      </c>
      <c r="H1043" s="11" t="str">
        <f aca="false">IF($A1043="","",IF(MAX($E1043,$F1043,$G1043)&gt;1,"중복","-"))</f>
        <v/>
      </c>
      <c r="I1043" s="11" t="str">
        <f aca="false">IF($A1043="","",IF($H1043="-","-",IF(AND(IF(원본명단!$H1042="",TRUE(),COUNTIF(원본명단!$H$3:$H1042,원본명단!$H1042)=1),IF(원본명단!$I1042="",TRUE(),COUNTIF(원본명단!$I$3:$I1042,원본명단!$I1042)=1),IF(원본명단!$K1042="",TRUE(),COUNTIF(원본명단!$K$3:$K1042,원본명단!$K1042)=1)),"첫 건","중복 건")))</f>
        <v/>
      </c>
      <c r="J1043" s="11" t="str">
        <f aca="false">IF($A1043="","",IF($H1043="-","유지",IF($I1043="첫 건","유지","확인 필요")))</f>
        <v/>
      </c>
    </row>
    <row r="1044" customFormat="false" ht="15" hidden="false" customHeight="true" outlineLevel="0" collapsed="false">
      <c r="A1044" s="11" t="str">
        <f aca="false">IF(원본명단!$A1043="","",1041)</f>
        <v/>
      </c>
      <c r="B1044" s="12" t="str">
        <f aca="false">IF($A1044="","",원본명단!$A1043)</f>
        <v/>
      </c>
      <c r="C1044" s="12" t="str">
        <f aca="false">IF($A1044="","",원본명단!$B1043)</f>
        <v/>
      </c>
      <c r="D1044" s="12" t="str">
        <f aca="false">IF($A1044="","",원본명단!$D1043)</f>
        <v/>
      </c>
      <c r="E1044" s="11" t="str">
        <f aca="false">IF($A1044="","",IF(원본명단!$H1043="",0,COUNTIF(원본명단!$H$3:$H$6002,원본명단!$H1043)))</f>
        <v/>
      </c>
      <c r="F1044" s="11" t="str">
        <f aca="false">IF($A1044="","",IF(원본명단!$I1043="",0,COUNTIF(원본명단!$I$3:$I$6002,원본명단!$I1043)))</f>
        <v/>
      </c>
      <c r="G1044" s="11" t="str">
        <f aca="false">IF($A1044="","",IF(원본명단!$K1043="",0,COUNTIF(원본명단!$K$3:$K$6002,원본명단!$K1043)))</f>
        <v/>
      </c>
      <c r="H1044" s="11" t="str">
        <f aca="false">IF($A1044="","",IF(MAX($E1044,$F1044,$G1044)&gt;1,"중복","-"))</f>
        <v/>
      </c>
      <c r="I1044" s="11" t="str">
        <f aca="false">IF($A1044="","",IF($H1044="-","-",IF(AND(IF(원본명단!$H1043="",TRUE(),COUNTIF(원본명단!$H$3:$H1043,원본명단!$H1043)=1),IF(원본명단!$I1043="",TRUE(),COUNTIF(원본명단!$I$3:$I1043,원본명단!$I1043)=1),IF(원본명단!$K1043="",TRUE(),COUNTIF(원본명단!$K$3:$K1043,원본명단!$K1043)=1)),"첫 건","중복 건")))</f>
        <v/>
      </c>
      <c r="J1044" s="11" t="str">
        <f aca="false">IF($A1044="","",IF($H1044="-","유지",IF($I1044="첫 건","유지","확인 필요")))</f>
        <v/>
      </c>
    </row>
    <row r="1045" customFormat="false" ht="15" hidden="false" customHeight="true" outlineLevel="0" collapsed="false">
      <c r="A1045" s="11" t="str">
        <f aca="false">IF(원본명단!$A1044="","",1042)</f>
        <v/>
      </c>
      <c r="B1045" s="12" t="str">
        <f aca="false">IF($A1045="","",원본명단!$A1044)</f>
        <v/>
      </c>
      <c r="C1045" s="12" t="str">
        <f aca="false">IF($A1045="","",원본명단!$B1044)</f>
        <v/>
      </c>
      <c r="D1045" s="12" t="str">
        <f aca="false">IF($A1045="","",원본명단!$D1044)</f>
        <v/>
      </c>
      <c r="E1045" s="11" t="str">
        <f aca="false">IF($A1045="","",IF(원본명단!$H1044="",0,COUNTIF(원본명단!$H$3:$H$6002,원본명단!$H1044)))</f>
        <v/>
      </c>
      <c r="F1045" s="11" t="str">
        <f aca="false">IF($A1045="","",IF(원본명단!$I1044="",0,COUNTIF(원본명단!$I$3:$I$6002,원본명단!$I1044)))</f>
        <v/>
      </c>
      <c r="G1045" s="11" t="str">
        <f aca="false">IF($A1045="","",IF(원본명단!$K1044="",0,COUNTIF(원본명단!$K$3:$K$6002,원본명단!$K1044)))</f>
        <v/>
      </c>
      <c r="H1045" s="11" t="str">
        <f aca="false">IF($A1045="","",IF(MAX($E1045,$F1045,$G1045)&gt;1,"중복","-"))</f>
        <v/>
      </c>
      <c r="I1045" s="11" t="str">
        <f aca="false">IF($A1045="","",IF($H1045="-","-",IF(AND(IF(원본명단!$H1044="",TRUE(),COUNTIF(원본명단!$H$3:$H1044,원본명단!$H1044)=1),IF(원본명단!$I1044="",TRUE(),COUNTIF(원본명단!$I$3:$I1044,원본명단!$I1044)=1),IF(원본명단!$K1044="",TRUE(),COUNTIF(원본명단!$K$3:$K1044,원본명단!$K1044)=1)),"첫 건","중복 건")))</f>
        <v/>
      </c>
      <c r="J1045" s="11" t="str">
        <f aca="false">IF($A1045="","",IF($H1045="-","유지",IF($I1045="첫 건","유지","확인 필요")))</f>
        <v/>
      </c>
    </row>
    <row r="1046" customFormat="false" ht="15" hidden="false" customHeight="true" outlineLevel="0" collapsed="false">
      <c r="A1046" s="11" t="str">
        <f aca="false">IF(원본명단!$A1045="","",1043)</f>
        <v/>
      </c>
      <c r="B1046" s="12" t="str">
        <f aca="false">IF($A1046="","",원본명단!$A1045)</f>
        <v/>
      </c>
      <c r="C1046" s="12" t="str">
        <f aca="false">IF($A1046="","",원본명단!$B1045)</f>
        <v/>
      </c>
      <c r="D1046" s="12" t="str">
        <f aca="false">IF($A1046="","",원본명단!$D1045)</f>
        <v/>
      </c>
      <c r="E1046" s="11" t="str">
        <f aca="false">IF($A1046="","",IF(원본명단!$H1045="",0,COUNTIF(원본명단!$H$3:$H$6002,원본명단!$H1045)))</f>
        <v/>
      </c>
      <c r="F1046" s="11" t="str">
        <f aca="false">IF($A1046="","",IF(원본명단!$I1045="",0,COUNTIF(원본명단!$I$3:$I$6002,원본명단!$I1045)))</f>
        <v/>
      </c>
      <c r="G1046" s="11" t="str">
        <f aca="false">IF($A1046="","",IF(원본명단!$K1045="",0,COUNTIF(원본명단!$K$3:$K$6002,원본명단!$K1045)))</f>
        <v/>
      </c>
      <c r="H1046" s="11" t="str">
        <f aca="false">IF($A1046="","",IF(MAX($E1046,$F1046,$G1046)&gt;1,"중복","-"))</f>
        <v/>
      </c>
      <c r="I1046" s="11" t="str">
        <f aca="false">IF($A1046="","",IF($H1046="-","-",IF(AND(IF(원본명단!$H1045="",TRUE(),COUNTIF(원본명단!$H$3:$H1045,원본명단!$H1045)=1),IF(원본명단!$I1045="",TRUE(),COUNTIF(원본명단!$I$3:$I1045,원본명단!$I1045)=1),IF(원본명단!$K1045="",TRUE(),COUNTIF(원본명단!$K$3:$K1045,원본명단!$K1045)=1)),"첫 건","중복 건")))</f>
        <v/>
      </c>
      <c r="J1046" s="11" t="str">
        <f aca="false">IF($A1046="","",IF($H1046="-","유지",IF($I1046="첫 건","유지","확인 필요")))</f>
        <v/>
      </c>
    </row>
    <row r="1047" customFormat="false" ht="15" hidden="false" customHeight="true" outlineLevel="0" collapsed="false">
      <c r="A1047" s="11" t="str">
        <f aca="false">IF(원본명단!$A1046="","",1044)</f>
        <v/>
      </c>
      <c r="B1047" s="12" t="str">
        <f aca="false">IF($A1047="","",원본명단!$A1046)</f>
        <v/>
      </c>
      <c r="C1047" s="12" t="str">
        <f aca="false">IF($A1047="","",원본명단!$B1046)</f>
        <v/>
      </c>
      <c r="D1047" s="12" t="str">
        <f aca="false">IF($A1047="","",원본명단!$D1046)</f>
        <v/>
      </c>
      <c r="E1047" s="11" t="str">
        <f aca="false">IF($A1047="","",IF(원본명단!$H1046="",0,COUNTIF(원본명단!$H$3:$H$6002,원본명단!$H1046)))</f>
        <v/>
      </c>
      <c r="F1047" s="11" t="str">
        <f aca="false">IF($A1047="","",IF(원본명단!$I1046="",0,COUNTIF(원본명단!$I$3:$I$6002,원본명단!$I1046)))</f>
        <v/>
      </c>
      <c r="G1047" s="11" t="str">
        <f aca="false">IF($A1047="","",IF(원본명단!$K1046="",0,COUNTIF(원본명단!$K$3:$K$6002,원본명단!$K1046)))</f>
        <v/>
      </c>
      <c r="H1047" s="11" t="str">
        <f aca="false">IF($A1047="","",IF(MAX($E1047,$F1047,$G1047)&gt;1,"중복","-"))</f>
        <v/>
      </c>
      <c r="I1047" s="11" t="str">
        <f aca="false">IF($A1047="","",IF($H1047="-","-",IF(AND(IF(원본명단!$H1046="",TRUE(),COUNTIF(원본명단!$H$3:$H1046,원본명단!$H1046)=1),IF(원본명단!$I1046="",TRUE(),COUNTIF(원본명단!$I$3:$I1046,원본명단!$I1046)=1),IF(원본명단!$K1046="",TRUE(),COUNTIF(원본명단!$K$3:$K1046,원본명단!$K1046)=1)),"첫 건","중복 건")))</f>
        <v/>
      </c>
      <c r="J1047" s="11" t="str">
        <f aca="false">IF($A1047="","",IF($H1047="-","유지",IF($I1047="첫 건","유지","확인 필요")))</f>
        <v/>
      </c>
    </row>
    <row r="1048" customFormat="false" ht="15" hidden="false" customHeight="true" outlineLevel="0" collapsed="false">
      <c r="A1048" s="11" t="str">
        <f aca="false">IF(원본명단!$A1047="","",1045)</f>
        <v/>
      </c>
      <c r="B1048" s="12" t="str">
        <f aca="false">IF($A1048="","",원본명단!$A1047)</f>
        <v/>
      </c>
      <c r="C1048" s="12" t="str">
        <f aca="false">IF($A1048="","",원본명단!$B1047)</f>
        <v/>
      </c>
      <c r="D1048" s="12" t="str">
        <f aca="false">IF($A1048="","",원본명단!$D1047)</f>
        <v/>
      </c>
      <c r="E1048" s="11" t="str">
        <f aca="false">IF($A1048="","",IF(원본명단!$H1047="",0,COUNTIF(원본명단!$H$3:$H$6002,원본명단!$H1047)))</f>
        <v/>
      </c>
      <c r="F1048" s="11" t="str">
        <f aca="false">IF($A1048="","",IF(원본명단!$I1047="",0,COUNTIF(원본명단!$I$3:$I$6002,원본명단!$I1047)))</f>
        <v/>
      </c>
      <c r="G1048" s="11" t="str">
        <f aca="false">IF($A1048="","",IF(원본명단!$K1047="",0,COUNTIF(원본명단!$K$3:$K$6002,원본명단!$K1047)))</f>
        <v/>
      </c>
      <c r="H1048" s="11" t="str">
        <f aca="false">IF($A1048="","",IF(MAX($E1048,$F1048,$G1048)&gt;1,"중복","-"))</f>
        <v/>
      </c>
      <c r="I1048" s="11" t="str">
        <f aca="false">IF($A1048="","",IF($H1048="-","-",IF(AND(IF(원본명단!$H1047="",TRUE(),COUNTIF(원본명단!$H$3:$H1047,원본명단!$H1047)=1),IF(원본명단!$I1047="",TRUE(),COUNTIF(원본명단!$I$3:$I1047,원본명단!$I1047)=1),IF(원본명단!$K1047="",TRUE(),COUNTIF(원본명단!$K$3:$K1047,원본명단!$K1047)=1)),"첫 건","중복 건")))</f>
        <v/>
      </c>
      <c r="J1048" s="11" t="str">
        <f aca="false">IF($A1048="","",IF($H1048="-","유지",IF($I1048="첫 건","유지","확인 필요")))</f>
        <v/>
      </c>
    </row>
    <row r="1049" customFormat="false" ht="15" hidden="false" customHeight="true" outlineLevel="0" collapsed="false">
      <c r="A1049" s="11" t="str">
        <f aca="false">IF(원본명단!$A1048="","",1046)</f>
        <v/>
      </c>
      <c r="B1049" s="12" t="str">
        <f aca="false">IF($A1049="","",원본명단!$A1048)</f>
        <v/>
      </c>
      <c r="C1049" s="12" t="str">
        <f aca="false">IF($A1049="","",원본명단!$B1048)</f>
        <v/>
      </c>
      <c r="D1049" s="12" t="str">
        <f aca="false">IF($A1049="","",원본명단!$D1048)</f>
        <v/>
      </c>
      <c r="E1049" s="11" t="str">
        <f aca="false">IF($A1049="","",IF(원본명단!$H1048="",0,COUNTIF(원본명단!$H$3:$H$6002,원본명단!$H1048)))</f>
        <v/>
      </c>
      <c r="F1049" s="11" t="str">
        <f aca="false">IF($A1049="","",IF(원본명단!$I1048="",0,COUNTIF(원본명단!$I$3:$I$6002,원본명단!$I1048)))</f>
        <v/>
      </c>
      <c r="G1049" s="11" t="str">
        <f aca="false">IF($A1049="","",IF(원본명단!$K1048="",0,COUNTIF(원본명단!$K$3:$K$6002,원본명단!$K1048)))</f>
        <v/>
      </c>
      <c r="H1049" s="11" t="str">
        <f aca="false">IF($A1049="","",IF(MAX($E1049,$F1049,$G1049)&gt;1,"중복","-"))</f>
        <v/>
      </c>
      <c r="I1049" s="11" t="str">
        <f aca="false">IF($A1049="","",IF($H1049="-","-",IF(AND(IF(원본명단!$H1048="",TRUE(),COUNTIF(원본명단!$H$3:$H1048,원본명단!$H1048)=1),IF(원본명단!$I1048="",TRUE(),COUNTIF(원본명단!$I$3:$I1048,원본명단!$I1048)=1),IF(원본명단!$K1048="",TRUE(),COUNTIF(원본명단!$K$3:$K1048,원본명단!$K1048)=1)),"첫 건","중복 건")))</f>
        <v/>
      </c>
      <c r="J1049" s="11" t="str">
        <f aca="false">IF($A1049="","",IF($H1049="-","유지",IF($I1049="첫 건","유지","확인 필요")))</f>
        <v/>
      </c>
    </row>
    <row r="1050" customFormat="false" ht="15" hidden="false" customHeight="true" outlineLevel="0" collapsed="false">
      <c r="A1050" s="11" t="str">
        <f aca="false">IF(원본명단!$A1049="","",1047)</f>
        <v/>
      </c>
      <c r="B1050" s="12" t="str">
        <f aca="false">IF($A1050="","",원본명단!$A1049)</f>
        <v/>
      </c>
      <c r="C1050" s="12" t="str">
        <f aca="false">IF($A1050="","",원본명단!$B1049)</f>
        <v/>
      </c>
      <c r="D1050" s="12" t="str">
        <f aca="false">IF($A1050="","",원본명단!$D1049)</f>
        <v/>
      </c>
      <c r="E1050" s="11" t="str">
        <f aca="false">IF($A1050="","",IF(원본명단!$H1049="",0,COUNTIF(원본명단!$H$3:$H$6002,원본명단!$H1049)))</f>
        <v/>
      </c>
      <c r="F1050" s="11" t="str">
        <f aca="false">IF($A1050="","",IF(원본명단!$I1049="",0,COUNTIF(원본명단!$I$3:$I$6002,원본명단!$I1049)))</f>
        <v/>
      </c>
      <c r="G1050" s="11" t="str">
        <f aca="false">IF($A1050="","",IF(원본명단!$K1049="",0,COUNTIF(원본명단!$K$3:$K$6002,원본명단!$K1049)))</f>
        <v/>
      </c>
      <c r="H1050" s="11" t="str">
        <f aca="false">IF($A1050="","",IF(MAX($E1050,$F1050,$G1050)&gt;1,"중복","-"))</f>
        <v/>
      </c>
      <c r="I1050" s="11" t="str">
        <f aca="false">IF($A1050="","",IF($H1050="-","-",IF(AND(IF(원본명단!$H1049="",TRUE(),COUNTIF(원본명단!$H$3:$H1049,원본명단!$H1049)=1),IF(원본명단!$I1049="",TRUE(),COUNTIF(원본명단!$I$3:$I1049,원본명단!$I1049)=1),IF(원본명단!$K1049="",TRUE(),COUNTIF(원본명단!$K$3:$K1049,원본명단!$K1049)=1)),"첫 건","중복 건")))</f>
        <v/>
      </c>
      <c r="J1050" s="11" t="str">
        <f aca="false">IF($A1050="","",IF($H1050="-","유지",IF($I1050="첫 건","유지","확인 필요")))</f>
        <v/>
      </c>
    </row>
    <row r="1051" customFormat="false" ht="15" hidden="false" customHeight="true" outlineLevel="0" collapsed="false">
      <c r="A1051" s="11" t="str">
        <f aca="false">IF(원본명단!$A1050="","",1048)</f>
        <v/>
      </c>
      <c r="B1051" s="12" t="str">
        <f aca="false">IF($A1051="","",원본명단!$A1050)</f>
        <v/>
      </c>
      <c r="C1051" s="12" t="str">
        <f aca="false">IF($A1051="","",원본명단!$B1050)</f>
        <v/>
      </c>
      <c r="D1051" s="12" t="str">
        <f aca="false">IF($A1051="","",원본명단!$D1050)</f>
        <v/>
      </c>
      <c r="E1051" s="11" t="str">
        <f aca="false">IF($A1051="","",IF(원본명단!$H1050="",0,COUNTIF(원본명단!$H$3:$H$6002,원본명단!$H1050)))</f>
        <v/>
      </c>
      <c r="F1051" s="11" t="str">
        <f aca="false">IF($A1051="","",IF(원본명단!$I1050="",0,COUNTIF(원본명단!$I$3:$I$6002,원본명단!$I1050)))</f>
        <v/>
      </c>
      <c r="G1051" s="11" t="str">
        <f aca="false">IF($A1051="","",IF(원본명단!$K1050="",0,COUNTIF(원본명단!$K$3:$K$6002,원본명단!$K1050)))</f>
        <v/>
      </c>
      <c r="H1051" s="11" t="str">
        <f aca="false">IF($A1051="","",IF(MAX($E1051,$F1051,$G1051)&gt;1,"중복","-"))</f>
        <v/>
      </c>
      <c r="I1051" s="11" t="str">
        <f aca="false">IF($A1051="","",IF($H1051="-","-",IF(AND(IF(원본명단!$H1050="",TRUE(),COUNTIF(원본명단!$H$3:$H1050,원본명단!$H1050)=1),IF(원본명단!$I1050="",TRUE(),COUNTIF(원본명단!$I$3:$I1050,원본명단!$I1050)=1),IF(원본명단!$K1050="",TRUE(),COUNTIF(원본명단!$K$3:$K1050,원본명단!$K1050)=1)),"첫 건","중복 건")))</f>
        <v/>
      </c>
      <c r="J1051" s="11" t="str">
        <f aca="false">IF($A1051="","",IF($H1051="-","유지",IF($I1051="첫 건","유지","확인 필요")))</f>
        <v/>
      </c>
    </row>
    <row r="1052" customFormat="false" ht="15" hidden="false" customHeight="true" outlineLevel="0" collapsed="false">
      <c r="A1052" s="11" t="str">
        <f aca="false">IF(원본명단!$A1051="","",1049)</f>
        <v/>
      </c>
      <c r="B1052" s="12" t="str">
        <f aca="false">IF($A1052="","",원본명단!$A1051)</f>
        <v/>
      </c>
      <c r="C1052" s="12" t="str">
        <f aca="false">IF($A1052="","",원본명단!$B1051)</f>
        <v/>
      </c>
      <c r="D1052" s="12" t="str">
        <f aca="false">IF($A1052="","",원본명단!$D1051)</f>
        <v/>
      </c>
      <c r="E1052" s="11" t="str">
        <f aca="false">IF($A1052="","",IF(원본명단!$H1051="",0,COUNTIF(원본명단!$H$3:$H$6002,원본명단!$H1051)))</f>
        <v/>
      </c>
      <c r="F1052" s="11" t="str">
        <f aca="false">IF($A1052="","",IF(원본명단!$I1051="",0,COUNTIF(원본명단!$I$3:$I$6002,원본명단!$I1051)))</f>
        <v/>
      </c>
      <c r="G1052" s="11" t="str">
        <f aca="false">IF($A1052="","",IF(원본명단!$K1051="",0,COUNTIF(원본명단!$K$3:$K$6002,원본명단!$K1051)))</f>
        <v/>
      </c>
      <c r="H1052" s="11" t="str">
        <f aca="false">IF($A1052="","",IF(MAX($E1052,$F1052,$G1052)&gt;1,"중복","-"))</f>
        <v/>
      </c>
      <c r="I1052" s="11" t="str">
        <f aca="false">IF($A1052="","",IF($H1052="-","-",IF(AND(IF(원본명단!$H1051="",TRUE(),COUNTIF(원본명단!$H$3:$H1051,원본명단!$H1051)=1),IF(원본명단!$I1051="",TRUE(),COUNTIF(원본명단!$I$3:$I1051,원본명단!$I1051)=1),IF(원본명단!$K1051="",TRUE(),COUNTIF(원본명단!$K$3:$K1051,원본명단!$K1051)=1)),"첫 건","중복 건")))</f>
        <v/>
      </c>
      <c r="J1052" s="11" t="str">
        <f aca="false">IF($A1052="","",IF($H1052="-","유지",IF($I1052="첫 건","유지","확인 필요")))</f>
        <v/>
      </c>
    </row>
    <row r="1053" customFormat="false" ht="15" hidden="false" customHeight="true" outlineLevel="0" collapsed="false">
      <c r="A1053" s="11" t="str">
        <f aca="false">IF(원본명단!$A1052="","",1050)</f>
        <v/>
      </c>
      <c r="B1053" s="12" t="str">
        <f aca="false">IF($A1053="","",원본명단!$A1052)</f>
        <v/>
      </c>
      <c r="C1053" s="12" t="str">
        <f aca="false">IF($A1053="","",원본명단!$B1052)</f>
        <v/>
      </c>
      <c r="D1053" s="12" t="str">
        <f aca="false">IF($A1053="","",원본명단!$D1052)</f>
        <v/>
      </c>
      <c r="E1053" s="11" t="str">
        <f aca="false">IF($A1053="","",IF(원본명단!$H1052="",0,COUNTIF(원본명단!$H$3:$H$6002,원본명단!$H1052)))</f>
        <v/>
      </c>
      <c r="F1053" s="11" t="str">
        <f aca="false">IF($A1053="","",IF(원본명단!$I1052="",0,COUNTIF(원본명단!$I$3:$I$6002,원본명단!$I1052)))</f>
        <v/>
      </c>
      <c r="G1053" s="11" t="str">
        <f aca="false">IF($A1053="","",IF(원본명단!$K1052="",0,COUNTIF(원본명단!$K$3:$K$6002,원본명단!$K1052)))</f>
        <v/>
      </c>
      <c r="H1053" s="11" t="str">
        <f aca="false">IF($A1053="","",IF(MAX($E1053,$F1053,$G1053)&gt;1,"중복","-"))</f>
        <v/>
      </c>
      <c r="I1053" s="11" t="str">
        <f aca="false">IF($A1053="","",IF($H1053="-","-",IF(AND(IF(원본명단!$H1052="",TRUE(),COUNTIF(원본명단!$H$3:$H1052,원본명단!$H1052)=1),IF(원본명단!$I1052="",TRUE(),COUNTIF(원본명단!$I$3:$I1052,원본명단!$I1052)=1),IF(원본명단!$K1052="",TRUE(),COUNTIF(원본명단!$K$3:$K1052,원본명단!$K1052)=1)),"첫 건","중복 건")))</f>
        <v/>
      </c>
      <c r="J1053" s="11" t="str">
        <f aca="false">IF($A1053="","",IF($H1053="-","유지",IF($I1053="첫 건","유지","확인 필요")))</f>
        <v/>
      </c>
    </row>
    <row r="1054" customFormat="false" ht="15" hidden="false" customHeight="true" outlineLevel="0" collapsed="false">
      <c r="A1054" s="11" t="str">
        <f aca="false">IF(원본명단!$A1053="","",1051)</f>
        <v/>
      </c>
      <c r="B1054" s="12" t="str">
        <f aca="false">IF($A1054="","",원본명단!$A1053)</f>
        <v/>
      </c>
      <c r="C1054" s="12" t="str">
        <f aca="false">IF($A1054="","",원본명단!$B1053)</f>
        <v/>
      </c>
      <c r="D1054" s="12" t="str">
        <f aca="false">IF($A1054="","",원본명단!$D1053)</f>
        <v/>
      </c>
      <c r="E1054" s="11" t="str">
        <f aca="false">IF($A1054="","",IF(원본명단!$H1053="",0,COUNTIF(원본명단!$H$3:$H$6002,원본명단!$H1053)))</f>
        <v/>
      </c>
      <c r="F1054" s="11" t="str">
        <f aca="false">IF($A1054="","",IF(원본명단!$I1053="",0,COUNTIF(원본명단!$I$3:$I$6002,원본명단!$I1053)))</f>
        <v/>
      </c>
      <c r="G1054" s="11" t="str">
        <f aca="false">IF($A1054="","",IF(원본명단!$K1053="",0,COUNTIF(원본명단!$K$3:$K$6002,원본명단!$K1053)))</f>
        <v/>
      </c>
      <c r="H1054" s="11" t="str">
        <f aca="false">IF($A1054="","",IF(MAX($E1054,$F1054,$G1054)&gt;1,"중복","-"))</f>
        <v/>
      </c>
      <c r="I1054" s="11" t="str">
        <f aca="false">IF($A1054="","",IF($H1054="-","-",IF(AND(IF(원본명단!$H1053="",TRUE(),COUNTIF(원본명단!$H$3:$H1053,원본명단!$H1053)=1),IF(원본명단!$I1053="",TRUE(),COUNTIF(원본명단!$I$3:$I1053,원본명단!$I1053)=1),IF(원본명단!$K1053="",TRUE(),COUNTIF(원본명단!$K$3:$K1053,원본명단!$K1053)=1)),"첫 건","중복 건")))</f>
        <v/>
      </c>
      <c r="J1054" s="11" t="str">
        <f aca="false">IF($A1054="","",IF($H1054="-","유지",IF($I1054="첫 건","유지","확인 필요")))</f>
        <v/>
      </c>
    </row>
    <row r="1055" customFormat="false" ht="15" hidden="false" customHeight="true" outlineLevel="0" collapsed="false">
      <c r="A1055" s="11" t="str">
        <f aca="false">IF(원본명단!$A1054="","",1052)</f>
        <v/>
      </c>
      <c r="B1055" s="12" t="str">
        <f aca="false">IF($A1055="","",원본명단!$A1054)</f>
        <v/>
      </c>
      <c r="C1055" s="12" t="str">
        <f aca="false">IF($A1055="","",원본명단!$B1054)</f>
        <v/>
      </c>
      <c r="D1055" s="12" t="str">
        <f aca="false">IF($A1055="","",원본명단!$D1054)</f>
        <v/>
      </c>
      <c r="E1055" s="11" t="str">
        <f aca="false">IF($A1055="","",IF(원본명단!$H1054="",0,COUNTIF(원본명단!$H$3:$H$6002,원본명단!$H1054)))</f>
        <v/>
      </c>
      <c r="F1055" s="11" t="str">
        <f aca="false">IF($A1055="","",IF(원본명단!$I1054="",0,COUNTIF(원본명단!$I$3:$I$6002,원본명단!$I1054)))</f>
        <v/>
      </c>
      <c r="G1055" s="11" t="str">
        <f aca="false">IF($A1055="","",IF(원본명단!$K1054="",0,COUNTIF(원본명단!$K$3:$K$6002,원본명단!$K1054)))</f>
        <v/>
      </c>
      <c r="H1055" s="11" t="str">
        <f aca="false">IF($A1055="","",IF(MAX($E1055,$F1055,$G1055)&gt;1,"중복","-"))</f>
        <v/>
      </c>
      <c r="I1055" s="11" t="str">
        <f aca="false">IF($A1055="","",IF($H1055="-","-",IF(AND(IF(원본명단!$H1054="",TRUE(),COUNTIF(원본명단!$H$3:$H1054,원본명단!$H1054)=1),IF(원본명단!$I1054="",TRUE(),COUNTIF(원본명단!$I$3:$I1054,원본명단!$I1054)=1),IF(원본명단!$K1054="",TRUE(),COUNTIF(원본명단!$K$3:$K1054,원본명단!$K1054)=1)),"첫 건","중복 건")))</f>
        <v/>
      </c>
      <c r="J1055" s="11" t="str">
        <f aca="false">IF($A1055="","",IF($H1055="-","유지",IF($I1055="첫 건","유지","확인 필요")))</f>
        <v/>
      </c>
    </row>
    <row r="1056" customFormat="false" ht="15" hidden="false" customHeight="true" outlineLevel="0" collapsed="false">
      <c r="A1056" s="11" t="str">
        <f aca="false">IF(원본명단!$A1055="","",1053)</f>
        <v/>
      </c>
      <c r="B1056" s="12" t="str">
        <f aca="false">IF($A1056="","",원본명단!$A1055)</f>
        <v/>
      </c>
      <c r="C1056" s="12" t="str">
        <f aca="false">IF($A1056="","",원본명단!$B1055)</f>
        <v/>
      </c>
      <c r="D1056" s="12" t="str">
        <f aca="false">IF($A1056="","",원본명단!$D1055)</f>
        <v/>
      </c>
      <c r="E1056" s="11" t="str">
        <f aca="false">IF($A1056="","",IF(원본명단!$H1055="",0,COUNTIF(원본명단!$H$3:$H$6002,원본명단!$H1055)))</f>
        <v/>
      </c>
      <c r="F1056" s="11" t="str">
        <f aca="false">IF($A1056="","",IF(원본명단!$I1055="",0,COUNTIF(원본명단!$I$3:$I$6002,원본명단!$I1055)))</f>
        <v/>
      </c>
      <c r="G1056" s="11" t="str">
        <f aca="false">IF($A1056="","",IF(원본명단!$K1055="",0,COUNTIF(원본명단!$K$3:$K$6002,원본명단!$K1055)))</f>
        <v/>
      </c>
      <c r="H1056" s="11" t="str">
        <f aca="false">IF($A1056="","",IF(MAX($E1056,$F1056,$G1056)&gt;1,"중복","-"))</f>
        <v/>
      </c>
      <c r="I1056" s="11" t="str">
        <f aca="false">IF($A1056="","",IF($H1056="-","-",IF(AND(IF(원본명단!$H1055="",TRUE(),COUNTIF(원본명단!$H$3:$H1055,원본명단!$H1055)=1),IF(원본명단!$I1055="",TRUE(),COUNTIF(원본명단!$I$3:$I1055,원본명단!$I1055)=1),IF(원본명단!$K1055="",TRUE(),COUNTIF(원본명단!$K$3:$K1055,원본명단!$K1055)=1)),"첫 건","중복 건")))</f>
        <v/>
      </c>
      <c r="J1056" s="11" t="str">
        <f aca="false">IF($A1056="","",IF($H1056="-","유지",IF($I1056="첫 건","유지","확인 필요")))</f>
        <v/>
      </c>
    </row>
    <row r="1057" customFormat="false" ht="15" hidden="false" customHeight="true" outlineLevel="0" collapsed="false">
      <c r="A1057" s="11" t="str">
        <f aca="false">IF(원본명단!$A1056="","",1054)</f>
        <v/>
      </c>
      <c r="B1057" s="12" t="str">
        <f aca="false">IF($A1057="","",원본명단!$A1056)</f>
        <v/>
      </c>
      <c r="C1057" s="12" t="str">
        <f aca="false">IF($A1057="","",원본명단!$B1056)</f>
        <v/>
      </c>
      <c r="D1057" s="12" t="str">
        <f aca="false">IF($A1057="","",원본명단!$D1056)</f>
        <v/>
      </c>
      <c r="E1057" s="11" t="str">
        <f aca="false">IF($A1057="","",IF(원본명단!$H1056="",0,COUNTIF(원본명단!$H$3:$H$6002,원본명단!$H1056)))</f>
        <v/>
      </c>
      <c r="F1057" s="11" t="str">
        <f aca="false">IF($A1057="","",IF(원본명단!$I1056="",0,COUNTIF(원본명단!$I$3:$I$6002,원본명단!$I1056)))</f>
        <v/>
      </c>
      <c r="G1057" s="11" t="str">
        <f aca="false">IF($A1057="","",IF(원본명단!$K1056="",0,COUNTIF(원본명단!$K$3:$K$6002,원본명단!$K1056)))</f>
        <v/>
      </c>
      <c r="H1057" s="11" t="str">
        <f aca="false">IF($A1057="","",IF(MAX($E1057,$F1057,$G1057)&gt;1,"중복","-"))</f>
        <v/>
      </c>
      <c r="I1057" s="11" t="str">
        <f aca="false">IF($A1057="","",IF($H1057="-","-",IF(AND(IF(원본명단!$H1056="",TRUE(),COUNTIF(원본명단!$H$3:$H1056,원본명단!$H1056)=1),IF(원본명단!$I1056="",TRUE(),COUNTIF(원본명단!$I$3:$I1056,원본명단!$I1056)=1),IF(원본명단!$K1056="",TRUE(),COUNTIF(원본명단!$K$3:$K1056,원본명단!$K1056)=1)),"첫 건","중복 건")))</f>
        <v/>
      </c>
      <c r="J1057" s="11" t="str">
        <f aca="false">IF($A1057="","",IF($H1057="-","유지",IF($I1057="첫 건","유지","확인 필요")))</f>
        <v/>
      </c>
    </row>
    <row r="1058" customFormat="false" ht="15" hidden="false" customHeight="true" outlineLevel="0" collapsed="false">
      <c r="A1058" s="11" t="str">
        <f aca="false">IF(원본명단!$A1057="","",1055)</f>
        <v/>
      </c>
      <c r="B1058" s="12" t="str">
        <f aca="false">IF($A1058="","",원본명단!$A1057)</f>
        <v/>
      </c>
      <c r="C1058" s="12" t="str">
        <f aca="false">IF($A1058="","",원본명단!$B1057)</f>
        <v/>
      </c>
      <c r="D1058" s="12" t="str">
        <f aca="false">IF($A1058="","",원본명단!$D1057)</f>
        <v/>
      </c>
      <c r="E1058" s="11" t="str">
        <f aca="false">IF($A1058="","",IF(원본명단!$H1057="",0,COUNTIF(원본명단!$H$3:$H$6002,원본명단!$H1057)))</f>
        <v/>
      </c>
      <c r="F1058" s="11" t="str">
        <f aca="false">IF($A1058="","",IF(원본명단!$I1057="",0,COUNTIF(원본명단!$I$3:$I$6002,원본명단!$I1057)))</f>
        <v/>
      </c>
      <c r="G1058" s="11" t="str">
        <f aca="false">IF($A1058="","",IF(원본명단!$K1057="",0,COUNTIF(원본명단!$K$3:$K$6002,원본명단!$K1057)))</f>
        <v/>
      </c>
      <c r="H1058" s="11" t="str">
        <f aca="false">IF($A1058="","",IF(MAX($E1058,$F1058,$G1058)&gt;1,"중복","-"))</f>
        <v/>
      </c>
      <c r="I1058" s="11" t="str">
        <f aca="false">IF($A1058="","",IF($H1058="-","-",IF(AND(IF(원본명단!$H1057="",TRUE(),COUNTIF(원본명단!$H$3:$H1057,원본명단!$H1057)=1),IF(원본명단!$I1057="",TRUE(),COUNTIF(원본명단!$I$3:$I1057,원본명단!$I1057)=1),IF(원본명단!$K1057="",TRUE(),COUNTIF(원본명단!$K$3:$K1057,원본명단!$K1057)=1)),"첫 건","중복 건")))</f>
        <v/>
      </c>
      <c r="J1058" s="11" t="str">
        <f aca="false">IF($A1058="","",IF($H1058="-","유지",IF($I1058="첫 건","유지","확인 필요")))</f>
        <v/>
      </c>
    </row>
    <row r="1059" customFormat="false" ht="15" hidden="false" customHeight="true" outlineLevel="0" collapsed="false">
      <c r="A1059" s="11" t="str">
        <f aca="false">IF(원본명단!$A1058="","",1056)</f>
        <v/>
      </c>
      <c r="B1059" s="12" t="str">
        <f aca="false">IF($A1059="","",원본명단!$A1058)</f>
        <v/>
      </c>
      <c r="C1059" s="12" t="str">
        <f aca="false">IF($A1059="","",원본명단!$B1058)</f>
        <v/>
      </c>
      <c r="D1059" s="12" t="str">
        <f aca="false">IF($A1059="","",원본명단!$D1058)</f>
        <v/>
      </c>
      <c r="E1059" s="11" t="str">
        <f aca="false">IF($A1059="","",IF(원본명단!$H1058="",0,COUNTIF(원본명단!$H$3:$H$6002,원본명단!$H1058)))</f>
        <v/>
      </c>
      <c r="F1059" s="11" t="str">
        <f aca="false">IF($A1059="","",IF(원본명단!$I1058="",0,COUNTIF(원본명단!$I$3:$I$6002,원본명단!$I1058)))</f>
        <v/>
      </c>
      <c r="G1059" s="11" t="str">
        <f aca="false">IF($A1059="","",IF(원본명단!$K1058="",0,COUNTIF(원본명단!$K$3:$K$6002,원본명단!$K1058)))</f>
        <v/>
      </c>
      <c r="H1059" s="11" t="str">
        <f aca="false">IF($A1059="","",IF(MAX($E1059,$F1059,$G1059)&gt;1,"중복","-"))</f>
        <v/>
      </c>
      <c r="I1059" s="11" t="str">
        <f aca="false">IF($A1059="","",IF($H1059="-","-",IF(AND(IF(원본명단!$H1058="",TRUE(),COUNTIF(원본명단!$H$3:$H1058,원본명단!$H1058)=1),IF(원본명단!$I1058="",TRUE(),COUNTIF(원본명단!$I$3:$I1058,원본명단!$I1058)=1),IF(원본명단!$K1058="",TRUE(),COUNTIF(원본명단!$K$3:$K1058,원본명단!$K1058)=1)),"첫 건","중복 건")))</f>
        <v/>
      </c>
      <c r="J1059" s="11" t="str">
        <f aca="false">IF($A1059="","",IF($H1059="-","유지",IF($I1059="첫 건","유지","확인 필요")))</f>
        <v/>
      </c>
    </row>
    <row r="1060" customFormat="false" ht="15" hidden="false" customHeight="true" outlineLevel="0" collapsed="false">
      <c r="A1060" s="11" t="str">
        <f aca="false">IF(원본명단!$A1059="","",1057)</f>
        <v/>
      </c>
      <c r="B1060" s="12" t="str">
        <f aca="false">IF($A1060="","",원본명단!$A1059)</f>
        <v/>
      </c>
      <c r="C1060" s="12" t="str">
        <f aca="false">IF($A1060="","",원본명단!$B1059)</f>
        <v/>
      </c>
      <c r="D1060" s="12" t="str">
        <f aca="false">IF($A1060="","",원본명단!$D1059)</f>
        <v/>
      </c>
      <c r="E1060" s="11" t="str">
        <f aca="false">IF($A1060="","",IF(원본명단!$H1059="",0,COUNTIF(원본명단!$H$3:$H$6002,원본명단!$H1059)))</f>
        <v/>
      </c>
      <c r="F1060" s="11" t="str">
        <f aca="false">IF($A1060="","",IF(원본명단!$I1059="",0,COUNTIF(원본명단!$I$3:$I$6002,원본명단!$I1059)))</f>
        <v/>
      </c>
      <c r="G1060" s="11" t="str">
        <f aca="false">IF($A1060="","",IF(원본명단!$K1059="",0,COUNTIF(원본명단!$K$3:$K$6002,원본명단!$K1059)))</f>
        <v/>
      </c>
      <c r="H1060" s="11" t="str">
        <f aca="false">IF($A1060="","",IF(MAX($E1060,$F1060,$G1060)&gt;1,"중복","-"))</f>
        <v/>
      </c>
      <c r="I1060" s="11" t="str">
        <f aca="false">IF($A1060="","",IF($H1060="-","-",IF(AND(IF(원본명단!$H1059="",TRUE(),COUNTIF(원본명단!$H$3:$H1059,원본명단!$H1059)=1),IF(원본명단!$I1059="",TRUE(),COUNTIF(원본명단!$I$3:$I1059,원본명단!$I1059)=1),IF(원본명단!$K1059="",TRUE(),COUNTIF(원본명단!$K$3:$K1059,원본명단!$K1059)=1)),"첫 건","중복 건")))</f>
        <v/>
      </c>
      <c r="J1060" s="11" t="str">
        <f aca="false">IF($A1060="","",IF($H1060="-","유지",IF($I1060="첫 건","유지","확인 필요")))</f>
        <v/>
      </c>
    </row>
    <row r="1061" customFormat="false" ht="15" hidden="false" customHeight="true" outlineLevel="0" collapsed="false">
      <c r="A1061" s="11" t="str">
        <f aca="false">IF(원본명단!$A1060="","",1058)</f>
        <v/>
      </c>
      <c r="B1061" s="12" t="str">
        <f aca="false">IF($A1061="","",원본명단!$A1060)</f>
        <v/>
      </c>
      <c r="C1061" s="12" t="str">
        <f aca="false">IF($A1061="","",원본명단!$B1060)</f>
        <v/>
      </c>
      <c r="D1061" s="12" t="str">
        <f aca="false">IF($A1061="","",원본명단!$D1060)</f>
        <v/>
      </c>
      <c r="E1061" s="11" t="str">
        <f aca="false">IF($A1061="","",IF(원본명단!$H1060="",0,COUNTIF(원본명단!$H$3:$H$6002,원본명단!$H1060)))</f>
        <v/>
      </c>
      <c r="F1061" s="11" t="str">
        <f aca="false">IF($A1061="","",IF(원본명단!$I1060="",0,COUNTIF(원본명단!$I$3:$I$6002,원본명단!$I1060)))</f>
        <v/>
      </c>
      <c r="G1061" s="11" t="str">
        <f aca="false">IF($A1061="","",IF(원본명단!$K1060="",0,COUNTIF(원본명단!$K$3:$K$6002,원본명단!$K1060)))</f>
        <v/>
      </c>
      <c r="H1061" s="11" t="str">
        <f aca="false">IF($A1061="","",IF(MAX($E1061,$F1061,$G1061)&gt;1,"중복","-"))</f>
        <v/>
      </c>
      <c r="I1061" s="11" t="str">
        <f aca="false">IF($A1061="","",IF($H1061="-","-",IF(AND(IF(원본명단!$H1060="",TRUE(),COUNTIF(원본명단!$H$3:$H1060,원본명단!$H1060)=1),IF(원본명단!$I1060="",TRUE(),COUNTIF(원본명단!$I$3:$I1060,원본명단!$I1060)=1),IF(원본명단!$K1060="",TRUE(),COUNTIF(원본명단!$K$3:$K1060,원본명단!$K1060)=1)),"첫 건","중복 건")))</f>
        <v/>
      </c>
      <c r="J1061" s="11" t="str">
        <f aca="false">IF($A1061="","",IF($H1061="-","유지",IF($I1061="첫 건","유지","확인 필요")))</f>
        <v/>
      </c>
    </row>
    <row r="1062" customFormat="false" ht="15" hidden="false" customHeight="true" outlineLevel="0" collapsed="false">
      <c r="A1062" s="11" t="str">
        <f aca="false">IF(원본명단!$A1061="","",1059)</f>
        <v/>
      </c>
      <c r="B1062" s="12" t="str">
        <f aca="false">IF($A1062="","",원본명단!$A1061)</f>
        <v/>
      </c>
      <c r="C1062" s="12" t="str">
        <f aca="false">IF($A1062="","",원본명단!$B1061)</f>
        <v/>
      </c>
      <c r="D1062" s="12" t="str">
        <f aca="false">IF($A1062="","",원본명단!$D1061)</f>
        <v/>
      </c>
      <c r="E1062" s="11" t="str">
        <f aca="false">IF($A1062="","",IF(원본명단!$H1061="",0,COUNTIF(원본명단!$H$3:$H$6002,원본명단!$H1061)))</f>
        <v/>
      </c>
      <c r="F1062" s="11" t="str">
        <f aca="false">IF($A1062="","",IF(원본명단!$I1061="",0,COUNTIF(원본명단!$I$3:$I$6002,원본명단!$I1061)))</f>
        <v/>
      </c>
      <c r="G1062" s="11" t="str">
        <f aca="false">IF($A1062="","",IF(원본명단!$K1061="",0,COUNTIF(원본명단!$K$3:$K$6002,원본명단!$K1061)))</f>
        <v/>
      </c>
      <c r="H1062" s="11" t="str">
        <f aca="false">IF($A1062="","",IF(MAX($E1062,$F1062,$G1062)&gt;1,"중복","-"))</f>
        <v/>
      </c>
      <c r="I1062" s="11" t="str">
        <f aca="false">IF($A1062="","",IF($H1062="-","-",IF(AND(IF(원본명단!$H1061="",TRUE(),COUNTIF(원본명단!$H$3:$H1061,원본명단!$H1061)=1),IF(원본명단!$I1061="",TRUE(),COUNTIF(원본명단!$I$3:$I1061,원본명단!$I1061)=1),IF(원본명단!$K1061="",TRUE(),COUNTIF(원본명단!$K$3:$K1061,원본명단!$K1061)=1)),"첫 건","중복 건")))</f>
        <v/>
      </c>
      <c r="J1062" s="11" t="str">
        <f aca="false">IF($A1062="","",IF($H1062="-","유지",IF($I1062="첫 건","유지","확인 필요")))</f>
        <v/>
      </c>
    </row>
    <row r="1063" customFormat="false" ht="15" hidden="false" customHeight="true" outlineLevel="0" collapsed="false">
      <c r="A1063" s="11" t="str">
        <f aca="false">IF(원본명단!$A1062="","",1060)</f>
        <v/>
      </c>
      <c r="B1063" s="12" t="str">
        <f aca="false">IF($A1063="","",원본명단!$A1062)</f>
        <v/>
      </c>
      <c r="C1063" s="12" t="str">
        <f aca="false">IF($A1063="","",원본명단!$B1062)</f>
        <v/>
      </c>
      <c r="D1063" s="12" t="str">
        <f aca="false">IF($A1063="","",원본명단!$D1062)</f>
        <v/>
      </c>
      <c r="E1063" s="11" t="str">
        <f aca="false">IF($A1063="","",IF(원본명단!$H1062="",0,COUNTIF(원본명단!$H$3:$H$6002,원본명단!$H1062)))</f>
        <v/>
      </c>
      <c r="F1063" s="11" t="str">
        <f aca="false">IF($A1063="","",IF(원본명단!$I1062="",0,COUNTIF(원본명단!$I$3:$I$6002,원본명단!$I1062)))</f>
        <v/>
      </c>
      <c r="G1063" s="11" t="str">
        <f aca="false">IF($A1063="","",IF(원본명단!$K1062="",0,COUNTIF(원본명단!$K$3:$K$6002,원본명단!$K1062)))</f>
        <v/>
      </c>
      <c r="H1063" s="11" t="str">
        <f aca="false">IF($A1063="","",IF(MAX($E1063,$F1063,$G1063)&gt;1,"중복","-"))</f>
        <v/>
      </c>
      <c r="I1063" s="11" t="str">
        <f aca="false">IF($A1063="","",IF($H1063="-","-",IF(AND(IF(원본명단!$H1062="",TRUE(),COUNTIF(원본명단!$H$3:$H1062,원본명단!$H1062)=1),IF(원본명단!$I1062="",TRUE(),COUNTIF(원본명단!$I$3:$I1062,원본명단!$I1062)=1),IF(원본명단!$K1062="",TRUE(),COUNTIF(원본명단!$K$3:$K1062,원본명단!$K1062)=1)),"첫 건","중복 건")))</f>
        <v/>
      </c>
      <c r="J1063" s="11" t="str">
        <f aca="false">IF($A1063="","",IF($H1063="-","유지",IF($I1063="첫 건","유지","확인 필요")))</f>
        <v/>
      </c>
    </row>
    <row r="1064" customFormat="false" ht="15" hidden="false" customHeight="true" outlineLevel="0" collapsed="false">
      <c r="A1064" s="11" t="str">
        <f aca="false">IF(원본명단!$A1063="","",1061)</f>
        <v/>
      </c>
      <c r="B1064" s="12" t="str">
        <f aca="false">IF($A1064="","",원본명단!$A1063)</f>
        <v/>
      </c>
      <c r="C1064" s="12" t="str">
        <f aca="false">IF($A1064="","",원본명단!$B1063)</f>
        <v/>
      </c>
      <c r="D1064" s="12" t="str">
        <f aca="false">IF($A1064="","",원본명단!$D1063)</f>
        <v/>
      </c>
      <c r="E1064" s="11" t="str">
        <f aca="false">IF($A1064="","",IF(원본명단!$H1063="",0,COUNTIF(원본명단!$H$3:$H$6002,원본명단!$H1063)))</f>
        <v/>
      </c>
      <c r="F1064" s="11" t="str">
        <f aca="false">IF($A1064="","",IF(원본명단!$I1063="",0,COUNTIF(원본명단!$I$3:$I$6002,원본명단!$I1063)))</f>
        <v/>
      </c>
      <c r="G1064" s="11" t="str">
        <f aca="false">IF($A1064="","",IF(원본명단!$K1063="",0,COUNTIF(원본명단!$K$3:$K$6002,원본명단!$K1063)))</f>
        <v/>
      </c>
      <c r="H1064" s="11" t="str">
        <f aca="false">IF($A1064="","",IF(MAX($E1064,$F1064,$G1064)&gt;1,"중복","-"))</f>
        <v/>
      </c>
      <c r="I1064" s="11" t="str">
        <f aca="false">IF($A1064="","",IF($H1064="-","-",IF(AND(IF(원본명단!$H1063="",TRUE(),COUNTIF(원본명단!$H$3:$H1063,원본명단!$H1063)=1),IF(원본명단!$I1063="",TRUE(),COUNTIF(원본명단!$I$3:$I1063,원본명단!$I1063)=1),IF(원본명단!$K1063="",TRUE(),COUNTIF(원본명단!$K$3:$K1063,원본명단!$K1063)=1)),"첫 건","중복 건")))</f>
        <v/>
      </c>
      <c r="J1064" s="11" t="str">
        <f aca="false">IF($A1064="","",IF($H1064="-","유지",IF($I1064="첫 건","유지","확인 필요")))</f>
        <v/>
      </c>
    </row>
    <row r="1065" customFormat="false" ht="15" hidden="false" customHeight="true" outlineLevel="0" collapsed="false">
      <c r="A1065" s="11" t="str">
        <f aca="false">IF(원본명단!$A1064="","",1062)</f>
        <v/>
      </c>
      <c r="B1065" s="12" t="str">
        <f aca="false">IF($A1065="","",원본명단!$A1064)</f>
        <v/>
      </c>
      <c r="C1065" s="12" t="str">
        <f aca="false">IF($A1065="","",원본명단!$B1064)</f>
        <v/>
      </c>
      <c r="D1065" s="12" t="str">
        <f aca="false">IF($A1065="","",원본명단!$D1064)</f>
        <v/>
      </c>
      <c r="E1065" s="11" t="str">
        <f aca="false">IF($A1065="","",IF(원본명단!$H1064="",0,COUNTIF(원본명단!$H$3:$H$6002,원본명단!$H1064)))</f>
        <v/>
      </c>
      <c r="F1065" s="11" t="str">
        <f aca="false">IF($A1065="","",IF(원본명단!$I1064="",0,COUNTIF(원본명단!$I$3:$I$6002,원본명단!$I1064)))</f>
        <v/>
      </c>
      <c r="G1065" s="11" t="str">
        <f aca="false">IF($A1065="","",IF(원본명단!$K1064="",0,COUNTIF(원본명단!$K$3:$K$6002,원본명단!$K1064)))</f>
        <v/>
      </c>
      <c r="H1065" s="11" t="str">
        <f aca="false">IF($A1065="","",IF(MAX($E1065,$F1065,$G1065)&gt;1,"중복","-"))</f>
        <v/>
      </c>
      <c r="I1065" s="11" t="str">
        <f aca="false">IF($A1065="","",IF($H1065="-","-",IF(AND(IF(원본명단!$H1064="",TRUE(),COUNTIF(원본명단!$H$3:$H1064,원본명단!$H1064)=1),IF(원본명단!$I1064="",TRUE(),COUNTIF(원본명단!$I$3:$I1064,원본명단!$I1064)=1),IF(원본명단!$K1064="",TRUE(),COUNTIF(원본명단!$K$3:$K1064,원본명단!$K1064)=1)),"첫 건","중복 건")))</f>
        <v/>
      </c>
      <c r="J1065" s="11" t="str">
        <f aca="false">IF($A1065="","",IF($H1065="-","유지",IF($I1065="첫 건","유지","확인 필요")))</f>
        <v/>
      </c>
    </row>
    <row r="1066" customFormat="false" ht="15" hidden="false" customHeight="true" outlineLevel="0" collapsed="false">
      <c r="A1066" s="11" t="str">
        <f aca="false">IF(원본명단!$A1065="","",1063)</f>
        <v/>
      </c>
      <c r="B1066" s="12" t="str">
        <f aca="false">IF($A1066="","",원본명단!$A1065)</f>
        <v/>
      </c>
      <c r="C1066" s="12" t="str">
        <f aca="false">IF($A1066="","",원본명단!$B1065)</f>
        <v/>
      </c>
      <c r="D1066" s="12" t="str">
        <f aca="false">IF($A1066="","",원본명단!$D1065)</f>
        <v/>
      </c>
      <c r="E1066" s="11" t="str">
        <f aca="false">IF($A1066="","",IF(원본명단!$H1065="",0,COUNTIF(원본명단!$H$3:$H$6002,원본명단!$H1065)))</f>
        <v/>
      </c>
      <c r="F1066" s="11" t="str">
        <f aca="false">IF($A1066="","",IF(원본명단!$I1065="",0,COUNTIF(원본명단!$I$3:$I$6002,원본명단!$I1065)))</f>
        <v/>
      </c>
      <c r="G1066" s="11" t="str">
        <f aca="false">IF($A1066="","",IF(원본명단!$K1065="",0,COUNTIF(원본명단!$K$3:$K$6002,원본명단!$K1065)))</f>
        <v/>
      </c>
      <c r="H1066" s="11" t="str">
        <f aca="false">IF($A1066="","",IF(MAX($E1066,$F1066,$G1066)&gt;1,"중복","-"))</f>
        <v/>
      </c>
      <c r="I1066" s="11" t="str">
        <f aca="false">IF($A1066="","",IF($H1066="-","-",IF(AND(IF(원본명단!$H1065="",TRUE(),COUNTIF(원본명단!$H$3:$H1065,원본명단!$H1065)=1),IF(원본명단!$I1065="",TRUE(),COUNTIF(원본명단!$I$3:$I1065,원본명단!$I1065)=1),IF(원본명단!$K1065="",TRUE(),COUNTIF(원본명단!$K$3:$K1065,원본명단!$K1065)=1)),"첫 건","중복 건")))</f>
        <v/>
      </c>
      <c r="J1066" s="11" t="str">
        <f aca="false">IF($A1066="","",IF($H1066="-","유지",IF($I1066="첫 건","유지","확인 필요")))</f>
        <v/>
      </c>
    </row>
    <row r="1067" customFormat="false" ht="15" hidden="false" customHeight="true" outlineLevel="0" collapsed="false">
      <c r="A1067" s="11" t="str">
        <f aca="false">IF(원본명단!$A1066="","",1064)</f>
        <v/>
      </c>
      <c r="B1067" s="12" t="str">
        <f aca="false">IF($A1067="","",원본명단!$A1066)</f>
        <v/>
      </c>
      <c r="C1067" s="12" t="str">
        <f aca="false">IF($A1067="","",원본명단!$B1066)</f>
        <v/>
      </c>
      <c r="D1067" s="12" t="str">
        <f aca="false">IF($A1067="","",원본명단!$D1066)</f>
        <v/>
      </c>
      <c r="E1067" s="11" t="str">
        <f aca="false">IF($A1067="","",IF(원본명단!$H1066="",0,COUNTIF(원본명단!$H$3:$H$6002,원본명단!$H1066)))</f>
        <v/>
      </c>
      <c r="F1067" s="11" t="str">
        <f aca="false">IF($A1067="","",IF(원본명단!$I1066="",0,COUNTIF(원본명단!$I$3:$I$6002,원본명단!$I1066)))</f>
        <v/>
      </c>
      <c r="G1067" s="11" t="str">
        <f aca="false">IF($A1067="","",IF(원본명단!$K1066="",0,COUNTIF(원본명단!$K$3:$K$6002,원본명단!$K1066)))</f>
        <v/>
      </c>
      <c r="H1067" s="11" t="str">
        <f aca="false">IF($A1067="","",IF(MAX($E1067,$F1067,$G1067)&gt;1,"중복","-"))</f>
        <v/>
      </c>
      <c r="I1067" s="11" t="str">
        <f aca="false">IF($A1067="","",IF($H1067="-","-",IF(AND(IF(원본명단!$H1066="",TRUE(),COUNTIF(원본명단!$H$3:$H1066,원본명단!$H1066)=1),IF(원본명단!$I1066="",TRUE(),COUNTIF(원본명단!$I$3:$I1066,원본명단!$I1066)=1),IF(원본명단!$K1066="",TRUE(),COUNTIF(원본명단!$K$3:$K1066,원본명단!$K1066)=1)),"첫 건","중복 건")))</f>
        <v/>
      </c>
      <c r="J1067" s="11" t="str">
        <f aca="false">IF($A1067="","",IF($H1067="-","유지",IF($I1067="첫 건","유지","확인 필요")))</f>
        <v/>
      </c>
    </row>
    <row r="1068" customFormat="false" ht="15" hidden="false" customHeight="true" outlineLevel="0" collapsed="false">
      <c r="A1068" s="11" t="str">
        <f aca="false">IF(원본명단!$A1067="","",1065)</f>
        <v/>
      </c>
      <c r="B1068" s="12" t="str">
        <f aca="false">IF($A1068="","",원본명단!$A1067)</f>
        <v/>
      </c>
      <c r="C1068" s="12" t="str">
        <f aca="false">IF($A1068="","",원본명단!$B1067)</f>
        <v/>
      </c>
      <c r="D1068" s="12" t="str">
        <f aca="false">IF($A1068="","",원본명단!$D1067)</f>
        <v/>
      </c>
      <c r="E1068" s="11" t="str">
        <f aca="false">IF($A1068="","",IF(원본명단!$H1067="",0,COUNTIF(원본명단!$H$3:$H$6002,원본명단!$H1067)))</f>
        <v/>
      </c>
      <c r="F1068" s="11" t="str">
        <f aca="false">IF($A1068="","",IF(원본명단!$I1067="",0,COUNTIF(원본명단!$I$3:$I$6002,원본명단!$I1067)))</f>
        <v/>
      </c>
      <c r="G1068" s="11" t="str">
        <f aca="false">IF($A1068="","",IF(원본명단!$K1067="",0,COUNTIF(원본명단!$K$3:$K$6002,원본명단!$K1067)))</f>
        <v/>
      </c>
      <c r="H1068" s="11" t="str">
        <f aca="false">IF($A1068="","",IF(MAX($E1068,$F1068,$G1068)&gt;1,"중복","-"))</f>
        <v/>
      </c>
      <c r="I1068" s="11" t="str">
        <f aca="false">IF($A1068="","",IF($H1068="-","-",IF(AND(IF(원본명단!$H1067="",TRUE(),COUNTIF(원본명단!$H$3:$H1067,원본명단!$H1067)=1),IF(원본명단!$I1067="",TRUE(),COUNTIF(원본명단!$I$3:$I1067,원본명단!$I1067)=1),IF(원본명단!$K1067="",TRUE(),COUNTIF(원본명단!$K$3:$K1067,원본명단!$K1067)=1)),"첫 건","중복 건")))</f>
        <v/>
      </c>
      <c r="J1068" s="11" t="str">
        <f aca="false">IF($A1068="","",IF($H1068="-","유지",IF($I1068="첫 건","유지","확인 필요")))</f>
        <v/>
      </c>
    </row>
    <row r="1069" customFormat="false" ht="15" hidden="false" customHeight="true" outlineLevel="0" collapsed="false">
      <c r="A1069" s="11" t="str">
        <f aca="false">IF(원본명단!$A1068="","",1066)</f>
        <v/>
      </c>
      <c r="B1069" s="12" t="str">
        <f aca="false">IF($A1069="","",원본명단!$A1068)</f>
        <v/>
      </c>
      <c r="C1069" s="12" t="str">
        <f aca="false">IF($A1069="","",원본명단!$B1068)</f>
        <v/>
      </c>
      <c r="D1069" s="12" t="str">
        <f aca="false">IF($A1069="","",원본명단!$D1068)</f>
        <v/>
      </c>
      <c r="E1069" s="11" t="str">
        <f aca="false">IF($A1069="","",IF(원본명단!$H1068="",0,COUNTIF(원본명단!$H$3:$H$6002,원본명단!$H1068)))</f>
        <v/>
      </c>
      <c r="F1069" s="11" t="str">
        <f aca="false">IF($A1069="","",IF(원본명단!$I1068="",0,COUNTIF(원본명단!$I$3:$I$6002,원본명단!$I1068)))</f>
        <v/>
      </c>
      <c r="G1069" s="11" t="str">
        <f aca="false">IF($A1069="","",IF(원본명단!$K1068="",0,COUNTIF(원본명단!$K$3:$K$6002,원본명단!$K1068)))</f>
        <v/>
      </c>
      <c r="H1069" s="11" t="str">
        <f aca="false">IF($A1069="","",IF(MAX($E1069,$F1069,$G1069)&gt;1,"중복","-"))</f>
        <v/>
      </c>
      <c r="I1069" s="11" t="str">
        <f aca="false">IF($A1069="","",IF($H1069="-","-",IF(AND(IF(원본명단!$H1068="",TRUE(),COUNTIF(원본명단!$H$3:$H1068,원본명단!$H1068)=1),IF(원본명단!$I1068="",TRUE(),COUNTIF(원본명단!$I$3:$I1068,원본명단!$I1068)=1),IF(원본명단!$K1068="",TRUE(),COUNTIF(원본명단!$K$3:$K1068,원본명단!$K1068)=1)),"첫 건","중복 건")))</f>
        <v/>
      </c>
      <c r="J1069" s="11" t="str">
        <f aca="false">IF($A1069="","",IF($H1069="-","유지",IF($I1069="첫 건","유지","확인 필요")))</f>
        <v/>
      </c>
    </row>
    <row r="1070" customFormat="false" ht="15" hidden="false" customHeight="true" outlineLevel="0" collapsed="false">
      <c r="A1070" s="11" t="str">
        <f aca="false">IF(원본명단!$A1069="","",1067)</f>
        <v/>
      </c>
      <c r="B1070" s="12" t="str">
        <f aca="false">IF($A1070="","",원본명단!$A1069)</f>
        <v/>
      </c>
      <c r="C1070" s="12" t="str">
        <f aca="false">IF($A1070="","",원본명단!$B1069)</f>
        <v/>
      </c>
      <c r="D1070" s="12" t="str">
        <f aca="false">IF($A1070="","",원본명단!$D1069)</f>
        <v/>
      </c>
      <c r="E1070" s="11" t="str">
        <f aca="false">IF($A1070="","",IF(원본명단!$H1069="",0,COUNTIF(원본명단!$H$3:$H$6002,원본명단!$H1069)))</f>
        <v/>
      </c>
      <c r="F1070" s="11" t="str">
        <f aca="false">IF($A1070="","",IF(원본명단!$I1069="",0,COUNTIF(원본명단!$I$3:$I$6002,원본명단!$I1069)))</f>
        <v/>
      </c>
      <c r="G1070" s="11" t="str">
        <f aca="false">IF($A1070="","",IF(원본명단!$K1069="",0,COUNTIF(원본명단!$K$3:$K$6002,원본명단!$K1069)))</f>
        <v/>
      </c>
      <c r="H1070" s="11" t="str">
        <f aca="false">IF($A1070="","",IF(MAX($E1070,$F1070,$G1070)&gt;1,"중복","-"))</f>
        <v/>
      </c>
      <c r="I1070" s="11" t="str">
        <f aca="false">IF($A1070="","",IF($H1070="-","-",IF(AND(IF(원본명단!$H1069="",TRUE(),COUNTIF(원본명단!$H$3:$H1069,원본명단!$H1069)=1),IF(원본명단!$I1069="",TRUE(),COUNTIF(원본명단!$I$3:$I1069,원본명단!$I1069)=1),IF(원본명단!$K1069="",TRUE(),COUNTIF(원본명단!$K$3:$K1069,원본명단!$K1069)=1)),"첫 건","중복 건")))</f>
        <v/>
      </c>
      <c r="J1070" s="11" t="str">
        <f aca="false">IF($A1070="","",IF($H1070="-","유지",IF($I1070="첫 건","유지","확인 필요")))</f>
        <v/>
      </c>
    </row>
    <row r="1071" customFormat="false" ht="15" hidden="false" customHeight="true" outlineLevel="0" collapsed="false">
      <c r="A1071" s="11" t="str">
        <f aca="false">IF(원본명단!$A1070="","",1068)</f>
        <v/>
      </c>
      <c r="B1071" s="12" t="str">
        <f aca="false">IF($A1071="","",원본명단!$A1070)</f>
        <v/>
      </c>
      <c r="C1071" s="12" t="str">
        <f aca="false">IF($A1071="","",원본명단!$B1070)</f>
        <v/>
      </c>
      <c r="D1071" s="12" t="str">
        <f aca="false">IF($A1071="","",원본명단!$D1070)</f>
        <v/>
      </c>
      <c r="E1071" s="11" t="str">
        <f aca="false">IF($A1071="","",IF(원본명단!$H1070="",0,COUNTIF(원본명단!$H$3:$H$6002,원본명단!$H1070)))</f>
        <v/>
      </c>
      <c r="F1071" s="11" t="str">
        <f aca="false">IF($A1071="","",IF(원본명단!$I1070="",0,COUNTIF(원본명단!$I$3:$I$6002,원본명단!$I1070)))</f>
        <v/>
      </c>
      <c r="G1071" s="11" t="str">
        <f aca="false">IF($A1071="","",IF(원본명단!$K1070="",0,COUNTIF(원본명단!$K$3:$K$6002,원본명단!$K1070)))</f>
        <v/>
      </c>
      <c r="H1071" s="11" t="str">
        <f aca="false">IF($A1071="","",IF(MAX($E1071,$F1071,$G1071)&gt;1,"중복","-"))</f>
        <v/>
      </c>
      <c r="I1071" s="11" t="str">
        <f aca="false">IF($A1071="","",IF($H1071="-","-",IF(AND(IF(원본명단!$H1070="",TRUE(),COUNTIF(원본명단!$H$3:$H1070,원본명단!$H1070)=1),IF(원본명단!$I1070="",TRUE(),COUNTIF(원본명단!$I$3:$I1070,원본명단!$I1070)=1),IF(원본명단!$K1070="",TRUE(),COUNTIF(원본명단!$K$3:$K1070,원본명단!$K1070)=1)),"첫 건","중복 건")))</f>
        <v/>
      </c>
      <c r="J1071" s="11" t="str">
        <f aca="false">IF($A1071="","",IF($H1071="-","유지",IF($I1071="첫 건","유지","확인 필요")))</f>
        <v/>
      </c>
    </row>
    <row r="1072" customFormat="false" ht="15" hidden="false" customHeight="true" outlineLevel="0" collapsed="false">
      <c r="A1072" s="11" t="str">
        <f aca="false">IF(원본명단!$A1071="","",1069)</f>
        <v/>
      </c>
      <c r="B1072" s="12" t="str">
        <f aca="false">IF($A1072="","",원본명단!$A1071)</f>
        <v/>
      </c>
      <c r="C1072" s="12" t="str">
        <f aca="false">IF($A1072="","",원본명단!$B1071)</f>
        <v/>
      </c>
      <c r="D1072" s="12" t="str">
        <f aca="false">IF($A1072="","",원본명단!$D1071)</f>
        <v/>
      </c>
      <c r="E1072" s="11" t="str">
        <f aca="false">IF($A1072="","",IF(원본명단!$H1071="",0,COUNTIF(원본명단!$H$3:$H$6002,원본명단!$H1071)))</f>
        <v/>
      </c>
      <c r="F1072" s="11" t="str">
        <f aca="false">IF($A1072="","",IF(원본명단!$I1071="",0,COUNTIF(원본명단!$I$3:$I$6002,원본명단!$I1071)))</f>
        <v/>
      </c>
      <c r="G1072" s="11" t="str">
        <f aca="false">IF($A1072="","",IF(원본명단!$K1071="",0,COUNTIF(원본명단!$K$3:$K$6002,원본명단!$K1071)))</f>
        <v/>
      </c>
      <c r="H1072" s="11" t="str">
        <f aca="false">IF($A1072="","",IF(MAX($E1072,$F1072,$G1072)&gt;1,"중복","-"))</f>
        <v/>
      </c>
      <c r="I1072" s="11" t="str">
        <f aca="false">IF($A1072="","",IF($H1072="-","-",IF(AND(IF(원본명단!$H1071="",TRUE(),COUNTIF(원본명단!$H$3:$H1071,원본명단!$H1071)=1),IF(원본명단!$I1071="",TRUE(),COUNTIF(원본명단!$I$3:$I1071,원본명단!$I1071)=1),IF(원본명단!$K1071="",TRUE(),COUNTIF(원본명단!$K$3:$K1071,원본명단!$K1071)=1)),"첫 건","중복 건")))</f>
        <v/>
      </c>
      <c r="J1072" s="11" t="str">
        <f aca="false">IF($A1072="","",IF($H1072="-","유지",IF($I1072="첫 건","유지","확인 필요")))</f>
        <v/>
      </c>
    </row>
    <row r="1073" customFormat="false" ht="15" hidden="false" customHeight="true" outlineLevel="0" collapsed="false">
      <c r="A1073" s="11" t="str">
        <f aca="false">IF(원본명단!$A1072="","",1070)</f>
        <v/>
      </c>
      <c r="B1073" s="12" t="str">
        <f aca="false">IF($A1073="","",원본명단!$A1072)</f>
        <v/>
      </c>
      <c r="C1073" s="12" t="str">
        <f aca="false">IF($A1073="","",원본명단!$B1072)</f>
        <v/>
      </c>
      <c r="D1073" s="12" t="str">
        <f aca="false">IF($A1073="","",원본명단!$D1072)</f>
        <v/>
      </c>
      <c r="E1073" s="11" t="str">
        <f aca="false">IF($A1073="","",IF(원본명단!$H1072="",0,COUNTIF(원본명단!$H$3:$H$6002,원본명단!$H1072)))</f>
        <v/>
      </c>
      <c r="F1073" s="11" t="str">
        <f aca="false">IF($A1073="","",IF(원본명단!$I1072="",0,COUNTIF(원본명단!$I$3:$I$6002,원본명단!$I1072)))</f>
        <v/>
      </c>
      <c r="G1073" s="11" t="str">
        <f aca="false">IF($A1073="","",IF(원본명단!$K1072="",0,COUNTIF(원본명단!$K$3:$K$6002,원본명단!$K1072)))</f>
        <v/>
      </c>
      <c r="H1073" s="11" t="str">
        <f aca="false">IF($A1073="","",IF(MAX($E1073,$F1073,$G1073)&gt;1,"중복","-"))</f>
        <v/>
      </c>
      <c r="I1073" s="11" t="str">
        <f aca="false">IF($A1073="","",IF($H1073="-","-",IF(AND(IF(원본명단!$H1072="",TRUE(),COUNTIF(원본명단!$H$3:$H1072,원본명단!$H1072)=1),IF(원본명단!$I1072="",TRUE(),COUNTIF(원본명단!$I$3:$I1072,원본명단!$I1072)=1),IF(원본명단!$K1072="",TRUE(),COUNTIF(원본명단!$K$3:$K1072,원본명단!$K1072)=1)),"첫 건","중복 건")))</f>
        <v/>
      </c>
      <c r="J1073" s="11" t="str">
        <f aca="false">IF($A1073="","",IF($H1073="-","유지",IF($I1073="첫 건","유지","확인 필요")))</f>
        <v/>
      </c>
    </row>
    <row r="1074" customFormat="false" ht="15" hidden="false" customHeight="true" outlineLevel="0" collapsed="false">
      <c r="A1074" s="11" t="str">
        <f aca="false">IF(원본명단!$A1073="","",1071)</f>
        <v/>
      </c>
      <c r="B1074" s="12" t="str">
        <f aca="false">IF($A1074="","",원본명단!$A1073)</f>
        <v/>
      </c>
      <c r="C1074" s="12" t="str">
        <f aca="false">IF($A1074="","",원본명단!$B1073)</f>
        <v/>
      </c>
      <c r="D1074" s="12" t="str">
        <f aca="false">IF($A1074="","",원본명단!$D1073)</f>
        <v/>
      </c>
      <c r="E1074" s="11" t="str">
        <f aca="false">IF($A1074="","",IF(원본명단!$H1073="",0,COUNTIF(원본명단!$H$3:$H$6002,원본명단!$H1073)))</f>
        <v/>
      </c>
      <c r="F1074" s="11" t="str">
        <f aca="false">IF($A1074="","",IF(원본명단!$I1073="",0,COUNTIF(원본명단!$I$3:$I$6002,원본명단!$I1073)))</f>
        <v/>
      </c>
      <c r="G1074" s="11" t="str">
        <f aca="false">IF($A1074="","",IF(원본명단!$K1073="",0,COUNTIF(원본명단!$K$3:$K$6002,원본명단!$K1073)))</f>
        <v/>
      </c>
      <c r="H1074" s="11" t="str">
        <f aca="false">IF($A1074="","",IF(MAX($E1074,$F1074,$G1074)&gt;1,"중복","-"))</f>
        <v/>
      </c>
      <c r="I1074" s="11" t="str">
        <f aca="false">IF($A1074="","",IF($H1074="-","-",IF(AND(IF(원본명단!$H1073="",TRUE(),COUNTIF(원본명단!$H$3:$H1073,원본명단!$H1073)=1),IF(원본명단!$I1073="",TRUE(),COUNTIF(원본명단!$I$3:$I1073,원본명단!$I1073)=1),IF(원본명단!$K1073="",TRUE(),COUNTIF(원본명단!$K$3:$K1073,원본명단!$K1073)=1)),"첫 건","중복 건")))</f>
        <v/>
      </c>
      <c r="J1074" s="11" t="str">
        <f aca="false">IF($A1074="","",IF($H1074="-","유지",IF($I1074="첫 건","유지","확인 필요")))</f>
        <v/>
      </c>
    </row>
    <row r="1075" customFormat="false" ht="15" hidden="false" customHeight="true" outlineLevel="0" collapsed="false">
      <c r="A1075" s="11" t="str">
        <f aca="false">IF(원본명단!$A1074="","",1072)</f>
        <v/>
      </c>
      <c r="B1075" s="12" t="str">
        <f aca="false">IF($A1075="","",원본명단!$A1074)</f>
        <v/>
      </c>
      <c r="C1075" s="12" t="str">
        <f aca="false">IF($A1075="","",원본명단!$B1074)</f>
        <v/>
      </c>
      <c r="D1075" s="12" t="str">
        <f aca="false">IF($A1075="","",원본명단!$D1074)</f>
        <v/>
      </c>
      <c r="E1075" s="11" t="str">
        <f aca="false">IF($A1075="","",IF(원본명단!$H1074="",0,COUNTIF(원본명단!$H$3:$H$6002,원본명단!$H1074)))</f>
        <v/>
      </c>
      <c r="F1075" s="11" t="str">
        <f aca="false">IF($A1075="","",IF(원본명단!$I1074="",0,COUNTIF(원본명단!$I$3:$I$6002,원본명단!$I1074)))</f>
        <v/>
      </c>
      <c r="G1075" s="11" t="str">
        <f aca="false">IF($A1075="","",IF(원본명단!$K1074="",0,COUNTIF(원본명단!$K$3:$K$6002,원본명단!$K1074)))</f>
        <v/>
      </c>
      <c r="H1075" s="11" t="str">
        <f aca="false">IF($A1075="","",IF(MAX($E1075,$F1075,$G1075)&gt;1,"중복","-"))</f>
        <v/>
      </c>
      <c r="I1075" s="11" t="str">
        <f aca="false">IF($A1075="","",IF($H1075="-","-",IF(AND(IF(원본명단!$H1074="",TRUE(),COUNTIF(원본명단!$H$3:$H1074,원본명단!$H1074)=1),IF(원본명단!$I1074="",TRUE(),COUNTIF(원본명단!$I$3:$I1074,원본명단!$I1074)=1),IF(원본명단!$K1074="",TRUE(),COUNTIF(원본명단!$K$3:$K1074,원본명단!$K1074)=1)),"첫 건","중복 건")))</f>
        <v/>
      </c>
      <c r="J1075" s="11" t="str">
        <f aca="false">IF($A1075="","",IF($H1075="-","유지",IF($I1075="첫 건","유지","확인 필요")))</f>
        <v/>
      </c>
    </row>
    <row r="1076" customFormat="false" ht="15" hidden="false" customHeight="true" outlineLevel="0" collapsed="false">
      <c r="A1076" s="11" t="str">
        <f aca="false">IF(원본명단!$A1075="","",1073)</f>
        <v/>
      </c>
      <c r="B1076" s="12" t="str">
        <f aca="false">IF($A1076="","",원본명단!$A1075)</f>
        <v/>
      </c>
      <c r="C1076" s="12" t="str">
        <f aca="false">IF($A1076="","",원본명단!$B1075)</f>
        <v/>
      </c>
      <c r="D1076" s="12" t="str">
        <f aca="false">IF($A1076="","",원본명단!$D1075)</f>
        <v/>
      </c>
      <c r="E1076" s="11" t="str">
        <f aca="false">IF($A1076="","",IF(원본명단!$H1075="",0,COUNTIF(원본명단!$H$3:$H$6002,원본명단!$H1075)))</f>
        <v/>
      </c>
      <c r="F1076" s="11" t="str">
        <f aca="false">IF($A1076="","",IF(원본명단!$I1075="",0,COUNTIF(원본명단!$I$3:$I$6002,원본명단!$I1075)))</f>
        <v/>
      </c>
      <c r="G1076" s="11" t="str">
        <f aca="false">IF($A1076="","",IF(원본명단!$K1075="",0,COUNTIF(원본명단!$K$3:$K$6002,원본명단!$K1075)))</f>
        <v/>
      </c>
      <c r="H1076" s="11" t="str">
        <f aca="false">IF($A1076="","",IF(MAX($E1076,$F1076,$G1076)&gt;1,"중복","-"))</f>
        <v/>
      </c>
      <c r="I1076" s="11" t="str">
        <f aca="false">IF($A1076="","",IF($H1076="-","-",IF(AND(IF(원본명단!$H1075="",TRUE(),COUNTIF(원본명단!$H$3:$H1075,원본명단!$H1075)=1),IF(원본명단!$I1075="",TRUE(),COUNTIF(원본명단!$I$3:$I1075,원본명단!$I1075)=1),IF(원본명단!$K1075="",TRUE(),COUNTIF(원본명단!$K$3:$K1075,원본명단!$K1075)=1)),"첫 건","중복 건")))</f>
        <v/>
      </c>
      <c r="J1076" s="11" t="str">
        <f aca="false">IF($A1076="","",IF($H1076="-","유지",IF($I1076="첫 건","유지","확인 필요")))</f>
        <v/>
      </c>
    </row>
    <row r="1077" customFormat="false" ht="15" hidden="false" customHeight="true" outlineLevel="0" collapsed="false">
      <c r="A1077" s="11" t="str">
        <f aca="false">IF(원본명단!$A1076="","",1074)</f>
        <v/>
      </c>
      <c r="B1077" s="12" t="str">
        <f aca="false">IF($A1077="","",원본명단!$A1076)</f>
        <v/>
      </c>
      <c r="C1077" s="12" t="str">
        <f aca="false">IF($A1077="","",원본명단!$B1076)</f>
        <v/>
      </c>
      <c r="D1077" s="12" t="str">
        <f aca="false">IF($A1077="","",원본명단!$D1076)</f>
        <v/>
      </c>
      <c r="E1077" s="11" t="str">
        <f aca="false">IF($A1077="","",IF(원본명단!$H1076="",0,COUNTIF(원본명단!$H$3:$H$6002,원본명단!$H1076)))</f>
        <v/>
      </c>
      <c r="F1077" s="11" t="str">
        <f aca="false">IF($A1077="","",IF(원본명단!$I1076="",0,COUNTIF(원본명단!$I$3:$I$6002,원본명단!$I1076)))</f>
        <v/>
      </c>
      <c r="G1077" s="11" t="str">
        <f aca="false">IF($A1077="","",IF(원본명단!$K1076="",0,COUNTIF(원본명단!$K$3:$K$6002,원본명단!$K1076)))</f>
        <v/>
      </c>
      <c r="H1077" s="11" t="str">
        <f aca="false">IF($A1077="","",IF(MAX($E1077,$F1077,$G1077)&gt;1,"중복","-"))</f>
        <v/>
      </c>
      <c r="I1077" s="11" t="str">
        <f aca="false">IF($A1077="","",IF($H1077="-","-",IF(AND(IF(원본명단!$H1076="",TRUE(),COUNTIF(원본명단!$H$3:$H1076,원본명단!$H1076)=1),IF(원본명단!$I1076="",TRUE(),COUNTIF(원본명단!$I$3:$I1076,원본명단!$I1076)=1),IF(원본명단!$K1076="",TRUE(),COUNTIF(원본명단!$K$3:$K1076,원본명단!$K1076)=1)),"첫 건","중복 건")))</f>
        <v/>
      </c>
      <c r="J1077" s="11" t="str">
        <f aca="false">IF($A1077="","",IF($H1077="-","유지",IF($I1077="첫 건","유지","확인 필요")))</f>
        <v/>
      </c>
    </row>
    <row r="1078" customFormat="false" ht="15" hidden="false" customHeight="true" outlineLevel="0" collapsed="false">
      <c r="A1078" s="11" t="str">
        <f aca="false">IF(원본명단!$A1077="","",1075)</f>
        <v/>
      </c>
      <c r="B1078" s="12" t="str">
        <f aca="false">IF($A1078="","",원본명단!$A1077)</f>
        <v/>
      </c>
      <c r="C1078" s="12" t="str">
        <f aca="false">IF($A1078="","",원본명단!$B1077)</f>
        <v/>
      </c>
      <c r="D1078" s="12" t="str">
        <f aca="false">IF($A1078="","",원본명단!$D1077)</f>
        <v/>
      </c>
      <c r="E1078" s="11" t="str">
        <f aca="false">IF($A1078="","",IF(원본명단!$H1077="",0,COUNTIF(원본명단!$H$3:$H$6002,원본명단!$H1077)))</f>
        <v/>
      </c>
      <c r="F1078" s="11" t="str">
        <f aca="false">IF($A1078="","",IF(원본명단!$I1077="",0,COUNTIF(원본명단!$I$3:$I$6002,원본명단!$I1077)))</f>
        <v/>
      </c>
      <c r="G1078" s="11" t="str">
        <f aca="false">IF($A1078="","",IF(원본명단!$K1077="",0,COUNTIF(원본명단!$K$3:$K$6002,원본명단!$K1077)))</f>
        <v/>
      </c>
      <c r="H1078" s="11" t="str">
        <f aca="false">IF($A1078="","",IF(MAX($E1078,$F1078,$G1078)&gt;1,"중복","-"))</f>
        <v/>
      </c>
      <c r="I1078" s="11" t="str">
        <f aca="false">IF($A1078="","",IF($H1078="-","-",IF(AND(IF(원본명단!$H1077="",TRUE(),COUNTIF(원본명단!$H$3:$H1077,원본명단!$H1077)=1),IF(원본명단!$I1077="",TRUE(),COUNTIF(원본명단!$I$3:$I1077,원본명단!$I1077)=1),IF(원본명단!$K1077="",TRUE(),COUNTIF(원본명단!$K$3:$K1077,원본명단!$K1077)=1)),"첫 건","중복 건")))</f>
        <v/>
      </c>
      <c r="J1078" s="11" t="str">
        <f aca="false">IF($A1078="","",IF($H1078="-","유지",IF($I1078="첫 건","유지","확인 필요")))</f>
        <v/>
      </c>
    </row>
    <row r="1079" customFormat="false" ht="15" hidden="false" customHeight="true" outlineLevel="0" collapsed="false">
      <c r="A1079" s="11" t="str">
        <f aca="false">IF(원본명단!$A1078="","",1076)</f>
        <v/>
      </c>
      <c r="B1079" s="12" t="str">
        <f aca="false">IF($A1079="","",원본명단!$A1078)</f>
        <v/>
      </c>
      <c r="C1079" s="12" t="str">
        <f aca="false">IF($A1079="","",원본명단!$B1078)</f>
        <v/>
      </c>
      <c r="D1079" s="12" t="str">
        <f aca="false">IF($A1079="","",원본명단!$D1078)</f>
        <v/>
      </c>
      <c r="E1079" s="11" t="str">
        <f aca="false">IF($A1079="","",IF(원본명단!$H1078="",0,COUNTIF(원본명단!$H$3:$H$6002,원본명단!$H1078)))</f>
        <v/>
      </c>
      <c r="F1079" s="11" t="str">
        <f aca="false">IF($A1079="","",IF(원본명단!$I1078="",0,COUNTIF(원본명단!$I$3:$I$6002,원본명단!$I1078)))</f>
        <v/>
      </c>
      <c r="G1079" s="11" t="str">
        <f aca="false">IF($A1079="","",IF(원본명단!$K1078="",0,COUNTIF(원본명단!$K$3:$K$6002,원본명단!$K1078)))</f>
        <v/>
      </c>
      <c r="H1079" s="11" t="str">
        <f aca="false">IF($A1079="","",IF(MAX($E1079,$F1079,$G1079)&gt;1,"중복","-"))</f>
        <v/>
      </c>
      <c r="I1079" s="11" t="str">
        <f aca="false">IF($A1079="","",IF($H1079="-","-",IF(AND(IF(원본명단!$H1078="",TRUE(),COUNTIF(원본명단!$H$3:$H1078,원본명단!$H1078)=1),IF(원본명단!$I1078="",TRUE(),COUNTIF(원본명단!$I$3:$I1078,원본명단!$I1078)=1),IF(원본명단!$K1078="",TRUE(),COUNTIF(원본명단!$K$3:$K1078,원본명단!$K1078)=1)),"첫 건","중복 건")))</f>
        <v/>
      </c>
      <c r="J1079" s="11" t="str">
        <f aca="false">IF($A1079="","",IF($H1079="-","유지",IF($I1079="첫 건","유지","확인 필요")))</f>
        <v/>
      </c>
    </row>
    <row r="1080" customFormat="false" ht="15" hidden="false" customHeight="true" outlineLevel="0" collapsed="false">
      <c r="A1080" s="11" t="str">
        <f aca="false">IF(원본명단!$A1079="","",1077)</f>
        <v/>
      </c>
      <c r="B1080" s="12" t="str">
        <f aca="false">IF($A1080="","",원본명단!$A1079)</f>
        <v/>
      </c>
      <c r="C1080" s="12" t="str">
        <f aca="false">IF($A1080="","",원본명단!$B1079)</f>
        <v/>
      </c>
      <c r="D1080" s="12" t="str">
        <f aca="false">IF($A1080="","",원본명단!$D1079)</f>
        <v/>
      </c>
      <c r="E1080" s="11" t="str">
        <f aca="false">IF($A1080="","",IF(원본명단!$H1079="",0,COUNTIF(원본명단!$H$3:$H$6002,원본명단!$H1079)))</f>
        <v/>
      </c>
      <c r="F1080" s="11" t="str">
        <f aca="false">IF($A1080="","",IF(원본명단!$I1079="",0,COUNTIF(원본명단!$I$3:$I$6002,원본명단!$I1079)))</f>
        <v/>
      </c>
      <c r="G1080" s="11" t="str">
        <f aca="false">IF($A1080="","",IF(원본명단!$K1079="",0,COUNTIF(원본명단!$K$3:$K$6002,원본명단!$K1079)))</f>
        <v/>
      </c>
      <c r="H1080" s="11" t="str">
        <f aca="false">IF($A1080="","",IF(MAX($E1080,$F1080,$G1080)&gt;1,"중복","-"))</f>
        <v/>
      </c>
      <c r="I1080" s="11" t="str">
        <f aca="false">IF($A1080="","",IF($H1080="-","-",IF(AND(IF(원본명단!$H1079="",TRUE(),COUNTIF(원본명단!$H$3:$H1079,원본명단!$H1079)=1),IF(원본명단!$I1079="",TRUE(),COUNTIF(원본명단!$I$3:$I1079,원본명단!$I1079)=1),IF(원본명단!$K1079="",TRUE(),COUNTIF(원본명단!$K$3:$K1079,원본명단!$K1079)=1)),"첫 건","중복 건")))</f>
        <v/>
      </c>
      <c r="J1080" s="11" t="str">
        <f aca="false">IF($A1080="","",IF($H1080="-","유지",IF($I1080="첫 건","유지","확인 필요")))</f>
        <v/>
      </c>
    </row>
    <row r="1081" customFormat="false" ht="15" hidden="false" customHeight="true" outlineLevel="0" collapsed="false">
      <c r="A1081" s="11" t="str">
        <f aca="false">IF(원본명단!$A1080="","",1078)</f>
        <v/>
      </c>
      <c r="B1081" s="12" t="str">
        <f aca="false">IF($A1081="","",원본명단!$A1080)</f>
        <v/>
      </c>
      <c r="C1081" s="12" t="str">
        <f aca="false">IF($A1081="","",원본명단!$B1080)</f>
        <v/>
      </c>
      <c r="D1081" s="12" t="str">
        <f aca="false">IF($A1081="","",원본명단!$D1080)</f>
        <v/>
      </c>
      <c r="E1081" s="11" t="str">
        <f aca="false">IF($A1081="","",IF(원본명단!$H1080="",0,COUNTIF(원본명단!$H$3:$H$6002,원본명단!$H1080)))</f>
        <v/>
      </c>
      <c r="F1081" s="11" t="str">
        <f aca="false">IF($A1081="","",IF(원본명단!$I1080="",0,COUNTIF(원본명단!$I$3:$I$6002,원본명단!$I1080)))</f>
        <v/>
      </c>
      <c r="G1081" s="11" t="str">
        <f aca="false">IF($A1081="","",IF(원본명단!$K1080="",0,COUNTIF(원본명단!$K$3:$K$6002,원본명단!$K1080)))</f>
        <v/>
      </c>
      <c r="H1081" s="11" t="str">
        <f aca="false">IF($A1081="","",IF(MAX($E1081,$F1081,$G1081)&gt;1,"중복","-"))</f>
        <v/>
      </c>
      <c r="I1081" s="11" t="str">
        <f aca="false">IF($A1081="","",IF($H1081="-","-",IF(AND(IF(원본명단!$H1080="",TRUE(),COUNTIF(원본명단!$H$3:$H1080,원본명단!$H1080)=1),IF(원본명단!$I1080="",TRUE(),COUNTIF(원본명단!$I$3:$I1080,원본명단!$I1080)=1),IF(원본명단!$K1080="",TRUE(),COUNTIF(원본명단!$K$3:$K1080,원본명단!$K1080)=1)),"첫 건","중복 건")))</f>
        <v/>
      </c>
      <c r="J1081" s="11" t="str">
        <f aca="false">IF($A1081="","",IF($H1081="-","유지",IF($I1081="첫 건","유지","확인 필요")))</f>
        <v/>
      </c>
    </row>
    <row r="1082" customFormat="false" ht="15" hidden="false" customHeight="true" outlineLevel="0" collapsed="false">
      <c r="A1082" s="11" t="str">
        <f aca="false">IF(원본명단!$A1081="","",1079)</f>
        <v/>
      </c>
      <c r="B1082" s="12" t="str">
        <f aca="false">IF($A1082="","",원본명단!$A1081)</f>
        <v/>
      </c>
      <c r="C1082" s="12" t="str">
        <f aca="false">IF($A1082="","",원본명단!$B1081)</f>
        <v/>
      </c>
      <c r="D1082" s="12" t="str">
        <f aca="false">IF($A1082="","",원본명단!$D1081)</f>
        <v/>
      </c>
      <c r="E1082" s="11" t="str">
        <f aca="false">IF($A1082="","",IF(원본명단!$H1081="",0,COUNTIF(원본명단!$H$3:$H$6002,원본명단!$H1081)))</f>
        <v/>
      </c>
      <c r="F1082" s="11" t="str">
        <f aca="false">IF($A1082="","",IF(원본명단!$I1081="",0,COUNTIF(원본명단!$I$3:$I$6002,원본명단!$I1081)))</f>
        <v/>
      </c>
      <c r="G1082" s="11" t="str">
        <f aca="false">IF($A1082="","",IF(원본명단!$K1081="",0,COUNTIF(원본명단!$K$3:$K$6002,원본명단!$K1081)))</f>
        <v/>
      </c>
      <c r="H1082" s="11" t="str">
        <f aca="false">IF($A1082="","",IF(MAX($E1082,$F1082,$G1082)&gt;1,"중복","-"))</f>
        <v/>
      </c>
      <c r="I1082" s="11" t="str">
        <f aca="false">IF($A1082="","",IF($H1082="-","-",IF(AND(IF(원본명단!$H1081="",TRUE(),COUNTIF(원본명단!$H$3:$H1081,원본명단!$H1081)=1),IF(원본명단!$I1081="",TRUE(),COUNTIF(원본명단!$I$3:$I1081,원본명단!$I1081)=1),IF(원본명단!$K1081="",TRUE(),COUNTIF(원본명단!$K$3:$K1081,원본명단!$K1081)=1)),"첫 건","중복 건")))</f>
        <v/>
      </c>
      <c r="J1082" s="11" t="str">
        <f aca="false">IF($A1082="","",IF($H1082="-","유지",IF($I1082="첫 건","유지","확인 필요")))</f>
        <v/>
      </c>
    </row>
    <row r="1083" customFormat="false" ht="15" hidden="false" customHeight="true" outlineLevel="0" collapsed="false">
      <c r="A1083" s="11" t="str">
        <f aca="false">IF(원본명단!$A1082="","",1080)</f>
        <v/>
      </c>
      <c r="B1083" s="12" t="str">
        <f aca="false">IF($A1083="","",원본명단!$A1082)</f>
        <v/>
      </c>
      <c r="C1083" s="12" t="str">
        <f aca="false">IF($A1083="","",원본명단!$B1082)</f>
        <v/>
      </c>
      <c r="D1083" s="12" t="str">
        <f aca="false">IF($A1083="","",원본명단!$D1082)</f>
        <v/>
      </c>
      <c r="E1083" s="11" t="str">
        <f aca="false">IF($A1083="","",IF(원본명단!$H1082="",0,COUNTIF(원본명단!$H$3:$H$6002,원본명단!$H1082)))</f>
        <v/>
      </c>
      <c r="F1083" s="11" t="str">
        <f aca="false">IF($A1083="","",IF(원본명단!$I1082="",0,COUNTIF(원본명단!$I$3:$I$6002,원본명단!$I1082)))</f>
        <v/>
      </c>
      <c r="G1083" s="11" t="str">
        <f aca="false">IF($A1083="","",IF(원본명단!$K1082="",0,COUNTIF(원본명단!$K$3:$K$6002,원본명단!$K1082)))</f>
        <v/>
      </c>
      <c r="H1083" s="11" t="str">
        <f aca="false">IF($A1083="","",IF(MAX($E1083,$F1083,$G1083)&gt;1,"중복","-"))</f>
        <v/>
      </c>
      <c r="I1083" s="11" t="str">
        <f aca="false">IF($A1083="","",IF($H1083="-","-",IF(AND(IF(원본명단!$H1082="",TRUE(),COUNTIF(원본명단!$H$3:$H1082,원본명단!$H1082)=1),IF(원본명단!$I1082="",TRUE(),COUNTIF(원본명단!$I$3:$I1082,원본명단!$I1082)=1),IF(원본명단!$K1082="",TRUE(),COUNTIF(원본명단!$K$3:$K1082,원본명단!$K1082)=1)),"첫 건","중복 건")))</f>
        <v/>
      </c>
      <c r="J1083" s="11" t="str">
        <f aca="false">IF($A1083="","",IF($H1083="-","유지",IF($I1083="첫 건","유지","확인 필요")))</f>
        <v/>
      </c>
    </row>
    <row r="1084" customFormat="false" ht="15" hidden="false" customHeight="true" outlineLevel="0" collapsed="false">
      <c r="A1084" s="11" t="str">
        <f aca="false">IF(원본명단!$A1083="","",1081)</f>
        <v/>
      </c>
      <c r="B1084" s="12" t="str">
        <f aca="false">IF($A1084="","",원본명단!$A1083)</f>
        <v/>
      </c>
      <c r="C1084" s="12" t="str">
        <f aca="false">IF($A1084="","",원본명단!$B1083)</f>
        <v/>
      </c>
      <c r="D1084" s="12" t="str">
        <f aca="false">IF($A1084="","",원본명단!$D1083)</f>
        <v/>
      </c>
      <c r="E1084" s="11" t="str">
        <f aca="false">IF($A1084="","",IF(원본명단!$H1083="",0,COUNTIF(원본명단!$H$3:$H$6002,원본명단!$H1083)))</f>
        <v/>
      </c>
      <c r="F1084" s="11" t="str">
        <f aca="false">IF($A1084="","",IF(원본명단!$I1083="",0,COUNTIF(원본명단!$I$3:$I$6002,원본명단!$I1083)))</f>
        <v/>
      </c>
      <c r="G1084" s="11" t="str">
        <f aca="false">IF($A1084="","",IF(원본명단!$K1083="",0,COUNTIF(원본명단!$K$3:$K$6002,원본명단!$K1083)))</f>
        <v/>
      </c>
      <c r="H1084" s="11" t="str">
        <f aca="false">IF($A1084="","",IF(MAX($E1084,$F1084,$G1084)&gt;1,"중복","-"))</f>
        <v/>
      </c>
      <c r="I1084" s="11" t="str">
        <f aca="false">IF($A1084="","",IF($H1084="-","-",IF(AND(IF(원본명단!$H1083="",TRUE(),COUNTIF(원본명단!$H$3:$H1083,원본명단!$H1083)=1),IF(원본명단!$I1083="",TRUE(),COUNTIF(원본명단!$I$3:$I1083,원본명단!$I1083)=1),IF(원본명단!$K1083="",TRUE(),COUNTIF(원본명단!$K$3:$K1083,원본명단!$K1083)=1)),"첫 건","중복 건")))</f>
        <v/>
      </c>
      <c r="J1084" s="11" t="str">
        <f aca="false">IF($A1084="","",IF($H1084="-","유지",IF($I1084="첫 건","유지","확인 필요")))</f>
        <v/>
      </c>
    </row>
    <row r="1085" customFormat="false" ht="15" hidden="false" customHeight="true" outlineLevel="0" collapsed="false">
      <c r="A1085" s="11" t="str">
        <f aca="false">IF(원본명단!$A1084="","",1082)</f>
        <v/>
      </c>
      <c r="B1085" s="12" t="str">
        <f aca="false">IF($A1085="","",원본명단!$A1084)</f>
        <v/>
      </c>
      <c r="C1085" s="12" t="str">
        <f aca="false">IF($A1085="","",원본명단!$B1084)</f>
        <v/>
      </c>
      <c r="D1085" s="12" t="str">
        <f aca="false">IF($A1085="","",원본명단!$D1084)</f>
        <v/>
      </c>
      <c r="E1085" s="11" t="str">
        <f aca="false">IF($A1085="","",IF(원본명단!$H1084="",0,COUNTIF(원본명단!$H$3:$H$6002,원본명단!$H1084)))</f>
        <v/>
      </c>
      <c r="F1085" s="11" t="str">
        <f aca="false">IF($A1085="","",IF(원본명단!$I1084="",0,COUNTIF(원본명단!$I$3:$I$6002,원본명단!$I1084)))</f>
        <v/>
      </c>
      <c r="G1085" s="11" t="str">
        <f aca="false">IF($A1085="","",IF(원본명단!$K1084="",0,COUNTIF(원본명단!$K$3:$K$6002,원본명단!$K1084)))</f>
        <v/>
      </c>
      <c r="H1085" s="11" t="str">
        <f aca="false">IF($A1085="","",IF(MAX($E1085,$F1085,$G1085)&gt;1,"중복","-"))</f>
        <v/>
      </c>
      <c r="I1085" s="11" t="str">
        <f aca="false">IF($A1085="","",IF($H1085="-","-",IF(AND(IF(원본명단!$H1084="",TRUE(),COUNTIF(원본명단!$H$3:$H1084,원본명단!$H1084)=1),IF(원본명단!$I1084="",TRUE(),COUNTIF(원본명단!$I$3:$I1084,원본명단!$I1084)=1),IF(원본명단!$K1084="",TRUE(),COUNTIF(원본명단!$K$3:$K1084,원본명단!$K1084)=1)),"첫 건","중복 건")))</f>
        <v/>
      </c>
      <c r="J1085" s="11" t="str">
        <f aca="false">IF($A1085="","",IF($H1085="-","유지",IF($I1085="첫 건","유지","확인 필요")))</f>
        <v/>
      </c>
    </row>
    <row r="1086" customFormat="false" ht="15" hidden="false" customHeight="true" outlineLevel="0" collapsed="false">
      <c r="A1086" s="11" t="str">
        <f aca="false">IF(원본명단!$A1085="","",1083)</f>
        <v/>
      </c>
      <c r="B1086" s="12" t="str">
        <f aca="false">IF($A1086="","",원본명단!$A1085)</f>
        <v/>
      </c>
      <c r="C1086" s="12" t="str">
        <f aca="false">IF($A1086="","",원본명단!$B1085)</f>
        <v/>
      </c>
      <c r="D1086" s="12" t="str">
        <f aca="false">IF($A1086="","",원본명단!$D1085)</f>
        <v/>
      </c>
      <c r="E1086" s="11" t="str">
        <f aca="false">IF($A1086="","",IF(원본명단!$H1085="",0,COUNTIF(원본명단!$H$3:$H$6002,원본명단!$H1085)))</f>
        <v/>
      </c>
      <c r="F1086" s="11" t="str">
        <f aca="false">IF($A1086="","",IF(원본명단!$I1085="",0,COUNTIF(원본명단!$I$3:$I$6002,원본명단!$I1085)))</f>
        <v/>
      </c>
      <c r="G1086" s="11" t="str">
        <f aca="false">IF($A1086="","",IF(원본명단!$K1085="",0,COUNTIF(원본명단!$K$3:$K$6002,원본명단!$K1085)))</f>
        <v/>
      </c>
      <c r="H1086" s="11" t="str">
        <f aca="false">IF($A1086="","",IF(MAX($E1086,$F1086,$G1086)&gt;1,"중복","-"))</f>
        <v/>
      </c>
      <c r="I1086" s="11" t="str">
        <f aca="false">IF($A1086="","",IF($H1086="-","-",IF(AND(IF(원본명단!$H1085="",TRUE(),COUNTIF(원본명단!$H$3:$H1085,원본명단!$H1085)=1),IF(원본명단!$I1085="",TRUE(),COUNTIF(원본명단!$I$3:$I1085,원본명단!$I1085)=1),IF(원본명단!$K1085="",TRUE(),COUNTIF(원본명단!$K$3:$K1085,원본명단!$K1085)=1)),"첫 건","중복 건")))</f>
        <v/>
      </c>
      <c r="J1086" s="11" t="str">
        <f aca="false">IF($A1086="","",IF($H1086="-","유지",IF($I1086="첫 건","유지","확인 필요")))</f>
        <v/>
      </c>
    </row>
    <row r="1087" customFormat="false" ht="15" hidden="false" customHeight="true" outlineLevel="0" collapsed="false">
      <c r="A1087" s="11" t="str">
        <f aca="false">IF(원본명단!$A1086="","",1084)</f>
        <v/>
      </c>
      <c r="B1087" s="12" t="str">
        <f aca="false">IF($A1087="","",원본명단!$A1086)</f>
        <v/>
      </c>
      <c r="C1087" s="12" t="str">
        <f aca="false">IF($A1087="","",원본명단!$B1086)</f>
        <v/>
      </c>
      <c r="D1087" s="12" t="str">
        <f aca="false">IF($A1087="","",원본명단!$D1086)</f>
        <v/>
      </c>
      <c r="E1087" s="11" t="str">
        <f aca="false">IF($A1087="","",IF(원본명단!$H1086="",0,COUNTIF(원본명단!$H$3:$H$6002,원본명단!$H1086)))</f>
        <v/>
      </c>
      <c r="F1087" s="11" t="str">
        <f aca="false">IF($A1087="","",IF(원본명단!$I1086="",0,COUNTIF(원본명단!$I$3:$I$6002,원본명단!$I1086)))</f>
        <v/>
      </c>
      <c r="G1087" s="11" t="str">
        <f aca="false">IF($A1087="","",IF(원본명단!$K1086="",0,COUNTIF(원본명단!$K$3:$K$6002,원본명단!$K1086)))</f>
        <v/>
      </c>
      <c r="H1087" s="11" t="str">
        <f aca="false">IF($A1087="","",IF(MAX($E1087,$F1087,$G1087)&gt;1,"중복","-"))</f>
        <v/>
      </c>
      <c r="I1087" s="11" t="str">
        <f aca="false">IF($A1087="","",IF($H1087="-","-",IF(AND(IF(원본명단!$H1086="",TRUE(),COUNTIF(원본명단!$H$3:$H1086,원본명단!$H1086)=1),IF(원본명단!$I1086="",TRUE(),COUNTIF(원본명단!$I$3:$I1086,원본명단!$I1086)=1),IF(원본명단!$K1086="",TRUE(),COUNTIF(원본명단!$K$3:$K1086,원본명단!$K1086)=1)),"첫 건","중복 건")))</f>
        <v/>
      </c>
      <c r="J1087" s="11" t="str">
        <f aca="false">IF($A1087="","",IF($H1087="-","유지",IF($I1087="첫 건","유지","확인 필요")))</f>
        <v/>
      </c>
    </row>
    <row r="1088" customFormat="false" ht="15" hidden="false" customHeight="true" outlineLevel="0" collapsed="false">
      <c r="A1088" s="11" t="str">
        <f aca="false">IF(원본명단!$A1087="","",1085)</f>
        <v/>
      </c>
      <c r="B1088" s="12" t="str">
        <f aca="false">IF($A1088="","",원본명단!$A1087)</f>
        <v/>
      </c>
      <c r="C1088" s="12" t="str">
        <f aca="false">IF($A1088="","",원본명단!$B1087)</f>
        <v/>
      </c>
      <c r="D1088" s="12" t="str">
        <f aca="false">IF($A1088="","",원본명단!$D1087)</f>
        <v/>
      </c>
      <c r="E1088" s="11" t="str">
        <f aca="false">IF($A1088="","",IF(원본명단!$H1087="",0,COUNTIF(원본명단!$H$3:$H$6002,원본명단!$H1087)))</f>
        <v/>
      </c>
      <c r="F1088" s="11" t="str">
        <f aca="false">IF($A1088="","",IF(원본명단!$I1087="",0,COUNTIF(원본명단!$I$3:$I$6002,원본명단!$I1087)))</f>
        <v/>
      </c>
      <c r="G1088" s="11" t="str">
        <f aca="false">IF($A1088="","",IF(원본명단!$K1087="",0,COUNTIF(원본명단!$K$3:$K$6002,원본명단!$K1087)))</f>
        <v/>
      </c>
      <c r="H1088" s="11" t="str">
        <f aca="false">IF($A1088="","",IF(MAX($E1088,$F1088,$G1088)&gt;1,"중복","-"))</f>
        <v/>
      </c>
      <c r="I1088" s="11" t="str">
        <f aca="false">IF($A1088="","",IF($H1088="-","-",IF(AND(IF(원본명단!$H1087="",TRUE(),COUNTIF(원본명단!$H$3:$H1087,원본명단!$H1087)=1),IF(원본명단!$I1087="",TRUE(),COUNTIF(원본명단!$I$3:$I1087,원본명단!$I1087)=1),IF(원본명단!$K1087="",TRUE(),COUNTIF(원본명단!$K$3:$K1087,원본명단!$K1087)=1)),"첫 건","중복 건")))</f>
        <v/>
      </c>
      <c r="J1088" s="11" t="str">
        <f aca="false">IF($A1088="","",IF($H1088="-","유지",IF($I1088="첫 건","유지","확인 필요")))</f>
        <v/>
      </c>
    </row>
    <row r="1089" customFormat="false" ht="15" hidden="false" customHeight="true" outlineLevel="0" collapsed="false">
      <c r="A1089" s="11" t="str">
        <f aca="false">IF(원본명단!$A1088="","",1086)</f>
        <v/>
      </c>
      <c r="B1089" s="12" t="str">
        <f aca="false">IF($A1089="","",원본명단!$A1088)</f>
        <v/>
      </c>
      <c r="C1089" s="12" t="str">
        <f aca="false">IF($A1089="","",원본명단!$B1088)</f>
        <v/>
      </c>
      <c r="D1089" s="12" t="str">
        <f aca="false">IF($A1089="","",원본명단!$D1088)</f>
        <v/>
      </c>
      <c r="E1089" s="11" t="str">
        <f aca="false">IF($A1089="","",IF(원본명단!$H1088="",0,COUNTIF(원본명단!$H$3:$H$6002,원본명단!$H1088)))</f>
        <v/>
      </c>
      <c r="F1089" s="11" t="str">
        <f aca="false">IF($A1089="","",IF(원본명단!$I1088="",0,COUNTIF(원본명단!$I$3:$I$6002,원본명단!$I1088)))</f>
        <v/>
      </c>
      <c r="G1089" s="11" t="str">
        <f aca="false">IF($A1089="","",IF(원본명단!$K1088="",0,COUNTIF(원본명단!$K$3:$K$6002,원본명단!$K1088)))</f>
        <v/>
      </c>
      <c r="H1089" s="11" t="str">
        <f aca="false">IF($A1089="","",IF(MAX($E1089,$F1089,$G1089)&gt;1,"중복","-"))</f>
        <v/>
      </c>
      <c r="I1089" s="11" t="str">
        <f aca="false">IF($A1089="","",IF($H1089="-","-",IF(AND(IF(원본명단!$H1088="",TRUE(),COUNTIF(원본명단!$H$3:$H1088,원본명단!$H1088)=1),IF(원본명단!$I1088="",TRUE(),COUNTIF(원본명단!$I$3:$I1088,원본명단!$I1088)=1),IF(원본명단!$K1088="",TRUE(),COUNTIF(원본명단!$K$3:$K1088,원본명단!$K1088)=1)),"첫 건","중복 건")))</f>
        <v/>
      </c>
      <c r="J1089" s="11" t="str">
        <f aca="false">IF($A1089="","",IF($H1089="-","유지",IF($I1089="첫 건","유지","확인 필요")))</f>
        <v/>
      </c>
    </row>
    <row r="1090" customFormat="false" ht="15" hidden="false" customHeight="true" outlineLevel="0" collapsed="false">
      <c r="A1090" s="11" t="str">
        <f aca="false">IF(원본명단!$A1089="","",1087)</f>
        <v/>
      </c>
      <c r="B1090" s="12" t="str">
        <f aca="false">IF($A1090="","",원본명단!$A1089)</f>
        <v/>
      </c>
      <c r="C1090" s="12" t="str">
        <f aca="false">IF($A1090="","",원본명단!$B1089)</f>
        <v/>
      </c>
      <c r="D1090" s="12" t="str">
        <f aca="false">IF($A1090="","",원본명단!$D1089)</f>
        <v/>
      </c>
      <c r="E1090" s="11" t="str">
        <f aca="false">IF($A1090="","",IF(원본명단!$H1089="",0,COUNTIF(원본명단!$H$3:$H$6002,원본명단!$H1089)))</f>
        <v/>
      </c>
      <c r="F1090" s="11" t="str">
        <f aca="false">IF($A1090="","",IF(원본명단!$I1089="",0,COUNTIF(원본명단!$I$3:$I$6002,원본명단!$I1089)))</f>
        <v/>
      </c>
      <c r="G1090" s="11" t="str">
        <f aca="false">IF($A1090="","",IF(원본명단!$K1089="",0,COUNTIF(원본명단!$K$3:$K$6002,원본명단!$K1089)))</f>
        <v/>
      </c>
      <c r="H1090" s="11" t="str">
        <f aca="false">IF($A1090="","",IF(MAX($E1090,$F1090,$G1090)&gt;1,"중복","-"))</f>
        <v/>
      </c>
      <c r="I1090" s="11" t="str">
        <f aca="false">IF($A1090="","",IF($H1090="-","-",IF(AND(IF(원본명단!$H1089="",TRUE(),COUNTIF(원본명단!$H$3:$H1089,원본명단!$H1089)=1),IF(원본명단!$I1089="",TRUE(),COUNTIF(원본명단!$I$3:$I1089,원본명단!$I1089)=1),IF(원본명단!$K1089="",TRUE(),COUNTIF(원본명단!$K$3:$K1089,원본명단!$K1089)=1)),"첫 건","중복 건")))</f>
        <v/>
      </c>
      <c r="J1090" s="11" t="str">
        <f aca="false">IF($A1090="","",IF($H1090="-","유지",IF($I1090="첫 건","유지","확인 필요")))</f>
        <v/>
      </c>
    </row>
    <row r="1091" customFormat="false" ht="15" hidden="false" customHeight="true" outlineLevel="0" collapsed="false">
      <c r="A1091" s="11" t="str">
        <f aca="false">IF(원본명단!$A1090="","",1088)</f>
        <v/>
      </c>
      <c r="B1091" s="12" t="str">
        <f aca="false">IF($A1091="","",원본명단!$A1090)</f>
        <v/>
      </c>
      <c r="C1091" s="12" t="str">
        <f aca="false">IF($A1091="","",원본명단!$B1090)</f>
        <v/>
      </c>
      <c r="D1091" s="12" t="str">
        <f aca="false">IF($A1091="","",원본명단!$D1090)</f>
        <v/>
      </c>
      <c r="E1091" s="11" t="str">
        <f aca="false">IF($A1091="","",IF(원본명단!$H1090="",0,COUNTIF(원본명단!$H$3:$H$6002,원본명단!$H1090)))</f>
        <v/>
      </c>
      <c r="F1091" s="11" t="str">
        <f aca="false">IF($A1091="","",IF(원본명단!$I1090="",0,COUNTIF(원본명단!$I$3:$I$6002,원본명단!$I1090)))</f>
        <v/>
      </c>
      <c r="G1091" s="11" t="str">
        <f aca="false">IF($A1091="","",IF(원본명단!$K1090="",0,COUNTIF(원본명단!$K$3:$K$6002,원본명단!$K1090)))</f>
        <v/>
      </c>
      <c r="H1091" s="11" t="str">
        <f aca="false">IF($A1091="","",IF(MAX($E1091,$F1091,$G1091)&gt;1,"중복","-"))</f>
        <v/>
      </c>
      <c r="I1091" s="11" t="str">
        <f aca="false">IF($A1091="","",IF($H1091="-","-",IF(AND(IF(원본명단!$H1090="",TRUE(),COUNTIF(원본명단!$H$3:$H1090,원본명단!$H1090)=1),IF(원본명단!$I1090="",TRUE(),COUNTIF(원본명단!$I$3:$I1090,원본명단!$I1090)=1),IF(원본명단!$K1090="",TRUE(),COUNTIF(원본명단!$K$3:$K1090,원본명단!$K1090)=1)),"첫 건","중복 건")))</f>
        <v/>
      </c>
      <c r="J1091" s="11" t="str">
        <f aca="false">IF($A1091="","",IF($H1091="-","유지",IF($I1091="첫 건","유지","확인 필요")))</f>
        <v/>
      </c>
    </row>
    <row r="1092" customFormat="false" ht="15" hidden="false" customHeight="true" outlineLevel="0" collapsed="false">
      <c r="A1092" s="11" t="str">
        <f aca="false">IF(원본명단!$A1091="","",1089)</f>
        <v/>
      </c>
      <c r="B1092" s="12" t="str">
        <f aca="false">IF($A1092="","",원본명단!$A1091)</f>
        <v/>
      </c>
      <c r="C1092" s="12" t="str">
        <f aca="false">IF($A1092="","",원본명단!$B1091)</f>
        <v/>
      </c>
      <c r="D1092" s="12" t="str">
        <f aca="false">IF($A1092="","",원본명단!$D1091)</f>
        <v/>
      </c>
      <c r="E1092" s="11" t="str">
        <f aca="false">IF($A1092="","",IF(원본명단!$H1091="",0,COUNTIF(원본명단!$H$3:$H$6002,원본명단!$H1091)))</f>
        <v/>
      </c>
      <c r="F1092" s="11" t="str">
        <f aca="false">IF($A1092="","",IF(원본명단!$I1091="",0,COUNTIF(원본명단!$I$3:$I$6002,원본명단!$I1091)))</f>
        <v/>
      </c>
      <c r="G1092" s="11" t="str">
        <f aca="false">IF($A1092="","",IF(원본명단!$K1091="",0,COUNTIF(원본명단!$K$3:$K$6002,원본명단!$K1091)))</f>
        <v/>
      </c>
      <c r="H1092" s="11" t="str">
        <f aca="false">IF($A1092="","",IF(MAX($E1092,$F1092,$G1092)&gt;1,"중복","-"))</f>
        <v/>
      </c>
      <c r="I1092" s="11" t="str">
        <f aca="false">IF($A1092="","",IF($H1092="-","-",IF(AND(IF(원본명단!$H1091="",TRUE(),COUNTIF(원본명단!$H$3:$H1091,원본명단!$H1091)=1),IF(원본명단!$I1091="",TRUE(),COUNTIF(원본명단!$I$3:$I1091,원본명단!$I1091)=1),IF(원본명단!$K1091="",TRUE(),COUNTIF(원본명단!$K$3:$K1091,원본명단!$K1091)=1)),"첫 건","중복 건")))</f>
        <v/>
      </c>
      <c r="J1092" s="11" t="str">
        <f aca="false">IF($A1092="","",IF($H1092="-","유지",IF($I1092="첫 건","유지","확인 필요")))</f>
        <v/>
      </c>
    </row>
    <row r="1093" customFormat="false" ht="15" hidden="false" customHeight="true" outlineLevel="0" collapsed="false">
      <c r="A1093" s="11" t="str">
        <f aca="false">IF(원본명단!$A1092="","",1090)</f>
        <v/>
      </c>
      <c r="B1093" s="12" t="str">
        <f aca="false">IF($A1093="","",원본명단!$A1092)</f>
        <v/>
      </c>
      <c r="C1093" s="12" t="str">
        <f aca="false">IF($A1093="","",원본명단!$B1092)</f>
        <v/>
      </c>
      <c r="D1093" s="12" t="str">
        <f aca="false">IF($A1093="","",원본명단!$D1092)</f>
        <v/>
      </c>
      <c r="E1093" s="11" t="str">
        <f aca="false">IF($A1093="","",IF(원본명단!$H1092="",0,COUNTIF(원본명단!$H$3:$H$6002,원본명단!$H1092)))</f>
        <v/>
      </c>
      <c r="F1093" s="11" t="str">
        <f aca="false">IF($A1093="","",IF(원본명단!$I1092="",0,COUNTIF(원본명단!$I$3:$I$6002,원본명단!$I1092)))</f>
        <v/>
      </c>
      <c r="G1093" s="11" t="str">
        <f aca="false">IF($A1093="","",IF(원본명단!$K1092="",0,COUNTIF(원본명단!$K$3:$K$6002,원본명단!$K1092)))</f>
        <v/>
      </c>
      <c r="H1093" s="11" t="str">
        <f aca="false">IF($A1093="","",IF(MAX($E1093,$F1093,$G1093)&gt;1,"중복","-"))</f>
        <v/>
      </c>
      <c r="I1093" s="11" t="str">
        <f aca="false">IF($A1093="","",IF($H1093="-","-",IF(AND(IF(원본명단!$H1092="",TRUE(),COUNTIF(원본명단!$H$3:$H1092,원본명단!$H1092)=1),IF(원본명단!$I1092="",TRUE(),COUNTIF(원본명단!$I$3:$I1092,원본명단!$I1092)=1),IF(원본명단!$K1092="",TRUE(),COUNTIF(원본명단!$K$3:$K1092,원본명단!$K1092)=1)),"첫 건","중복 건")))</f>
        <v/>
      </c>
      <c r="J1093" s="11" t="str">
        <f aca="false">IF($A1093="","",IF($H1093="-","유지",IF($I1093="첫 건","유지","확인 필요")))</f>
        <v/>
      </c>
    </row>
    <row r="1094" customFormat="false" ht="15" hidden="false" customHeight="true" outlineLevel="0" collapsed="false">
      <c r="A1094" s="11" t="str">
        <f aca="false">IF(원본명단!$A1093="","",1091)</f>
        <v/>
      </c>
      <c r="B1094" s="12" t="str">
        <f aca="false">IF($A1094="","",원본명단!$A1093)</f>
        <v/>
      </c>
      <c r="C1094" s="12" t="str">
        <f aca="false">IF($A1094="","",원본명단!$B1093)</f>
        <v/>
      </c>
      <c r="D1094" s="12" t="str">
        <f aca="false">IF($A1094="","",원본명단!$D1093)</f>
        <v/>
      </c>
      <c r="E1094" s="11" t="str">
        <f aca="false">IF($A1094="","",IF(원본명단!$H1093="",0,COUNTIF(원본명단!$H$3:$H$6002,원본명단!$H1093)))</f>
        <v/>
      </c>
      <c r="F1094" s="11" t="str">
        <f aca="false">IF($A1094="","",IF(원본명단!$I1093="",0,COUNTIF(원본명단!$I$3:$I$6002,원본명단!$I1093)))</f>
        <v/>
      </c>
      <c r="G1094" s="11" t="str">
        <f aca="false">IF($A1094="","",IF(원본명단!$K1093="",0,COUNTIF(원본명단!$K$3:$K$6002,원본명단!$K1093)))</f>
        <v/>
      </c>
      <c r="H1094" s="11" t="str">
        <f aca="false">IF($A1094="","",IF(MAX($E1094,$F1094,$G1094)&gt;1,"중복","-"))</f>
        <v/>
      </c>
      <c r="I1094" s="11" t="str">
        <f aca="false">IF($A1094="","",IF($H1094="-","-",IF(AND(IF(원본명단!$H1093="",TRUE(),COUNTIF(원본명단!$H$3:$H1093,원본명단!$H1093)=1),IF(원본명단!$I1093="",TRUE(),COUNTIF(원본명단!$I$3:$I1093,원본명단!$I1093)=1),IF(원본명단!$K1093="",TRUE(),COUNTIF(원본명단!$K$3:$K1093,원본명단!$K1093)=1)),"첫 건","중복 건")))</f>
        <v/>
      </c>
      <c r="J1094" s="11" t="str">
        <f aca="false">IF($A1094="","",IF($H1094="-","유지",IF($I1094="첫 건","유지","확인 필요")))</f>
        <v/>
      </c>
    </row>
    <row r="1095" customFormat="false" ht="15" hidden="false" customHeight="true" outlineLevel="0" collapsed="false">
      <c r="A1095" s="11" t="str">
        <f aca="false">IF(원본명단!$A1094="","",1092)</f>
        <v/>
      </c>
      <c r="B1095" s="12" t="str">
        <f aca="false">IF($A1095="","",원본명단!$A1094)</f>
        <v/>
      </c>
      <c r="C1095" s="12" t="str">
        <f aca="false">IF($A1095="","",원본명단!$B1094)</f>
        <v/>
      </c>
      <c r="D1095" s="12" t="str">
        <f aca="false">IF($A1095="","",원본명단!$D1094)</f>
        <v/>
      </c>
      <c r="E1095" s="11" t="str">
        <f aca="false">IF($A1095="","",IF(원본명단!$H1094="",0,COUNTIF(원본명단!$H$3:$H$6002,원본명단!$H1094)))</f>
        <v/>
      </c>
      <c r="F1095" s="11" t="str">
        <f aca="false">IF($A1095="","",IF(원본명단!$I1094="",0,COUNTIF(원본명단!$I$3:$I$6002,원본명단!$I1094)))</f>
        <v/>
      </c>
      <c r="G1095" s="11" t="str">
        <f aca="false">IF($A1095="","",IF(원본명단!$K1094="",0,COUNTIF(원본명단!$K$3:$K$6002,원본명단!$K1094)))</f>
        <v/>
      </c>
      <c r="H1095" s="11" t="str">
        <f aca="false">IF($A1095="","",IF(MAX($E1095,$F1095,$G1095)&gt;1,"중복","-"))</f>
        <v/>
      </c>
      <c r="I1095" s="11" t="str">
        <f aca="false">IF($A1095="","",IF($H1095="-","-",IF(AND(IF(원본명단!$H1094="",TRUE(),COUNTIF(원본명단!$H$3:$H1094,원본명단!$H1094)=1),IF(원본명단!$I1094="",TRUE(),COUNTIF(원본명단!$I$3:$I1094,원본명단!$I1094)=1),IF(원본명단!$K1094="",TRUE(),COUNTIF(원본명단!$K$3:$K1094,원본명단!$K1094)=1)),"첫 건","중복 건")))</f>
        <v/>
      </c>
      <c r="J1095" s="11" t="str">
        <f aca="false">IF($A1095="","",IF($H1095="-","유지",IF($I1095="첫 건","유지","확인 필요")))</f>
        <v/>
      </c>
    </row>
    <row r="1096" customFormat="false" ht="15" hidden="false" customHeight="true" outlineLevel="0" collapsed="false">
      <c r="A1096" s="11" t="str">
        <f aca="false">IF(원본명단!$A1095="","",1093)</f>
        <v/>
      </c>
      <c r="B1096" s="12" t="str">
        <f aca="false">IF($A1096="","",원본명단!$A1095)</f>
        <v/>
      </c>
      <c r="C1096" s="12" t="str">
        <f aca="false">IF($A1096="","",원본명단!$B1095)</f>
        <v/>
      </c>
      <c r="D1096" s="12" t="str">
        <f aca="false">IF($A1096="","",원본명단!$D1095)</f>
        <v/>
      </c>
      <c r="E1096" s="11" t="str">
        <f aca="false">IF($A1096="","",IF(원본명단!$H1095="",0,COUNTIF(원본명단!$H$3:$H$6002,원본명단!$H1095)))</f>
        <v/>
      </c>
      <c r="F1096" s="11" t="str">
        <f aca="false">IF($A1096="","",IF(원본명단!$I1095="",0,COUNTIF(원본명단!$I$3:$I$6002,원본명단!$I1095)))</f>
        <v/>
      </c>
      <c r="G1096" s="11" t="str">
        <f aca="false">IF($A1096="","",IF(원본명단!$K1095="",0,COUNTIF(원본명단!$K$3:$K$6002,원본명단!$K1095)))</f>
        <v/>
      </c>
      <c r="H1096" s="11" t="str">
        <f aca="false">IF($A1096="","",IF(MAX($E1096,$F1096,$G1096)&gt;1,"중복","-"))</f>
        <v/>
      </c>
      <c r="I1096" s="11" t="str">
        <f aca="false">IF($A1096="","",IF($H1096="-","-",IF(AND(IF(원본명단!$H1095="",TRUE(),COUNTIF(원본명단!$H$3:$H1095,원본명단!$H1095)=1),IF(원본명단!$I1095="",TRUE(),COUNTIF(원본명단!$I$3:$I1095,원본명단!$I1095)=1),IF(원본명단!$K1095="",TRUE(),COUNTIF(원본명단!$K$3:$K1095,원본명단!$K1095)=1)),"첫 건","중복 건")))</f>
        <v/>
      </c>
      <c r="J1096" s="11" t="str">
        <f aca="false">IF($A1096="","",IF($H1096="-","유지",IF($I1096="첫 건","유지","확인 필요")))</f>
        <v/>
      </c>
    </row>
    <row r="1097" customFormat="false" ht="15" hidden="false" customHeight="true" outlineLevel="0" collapsed="false">
      <c r="A1097" s="11" t="str">
        <f aca="false">IF(원본명단!$A1096="","",1094)</f>
        <v/>
      </c>
      <c r="B1097" s="12" t="str">
        <f aca="false">IF($A1097="","",원본명단!$A1096)</f>
        <v/>
      </c>
      <c r="C1097" s="12" t="str">
        <f aca="false">IF($A1097="","",원본명단!$B1096)</f>
        <v/>
      </c>
      <c r="D1097" s="12" t="str">
        <f aca="false">IF($A1097="","",원본명단!$D1096)</f>
        <v/>
      </c>
      <c r="E1097" s="11" t="str">
        <f aca="false">IF($A1097="","",IF(원본명단!$H1096="",0,COUNTIF(원본명단!$H$3:$H$6002,원본명단!$H1096)))</f>
        <v/>
      </c>
      <c r="F1097" s="11" t="str">
        <f aca="false">IF($A1097="","",IF(원본명단!$I1096="",0,COUNTIF(원본명단!$I$3:$I$6002,원본명단!$I1096)))</f>
        <v/>
      </c>
      <c r="G1097" s="11" t="str">
        <f aca="false">IF($A1097="","",IF(원본명단!$K1096="",0,COUNTIF(원본명단!$K$3:$K$6002,원본명단!$K1096)))</f>
        <v/>
      </c>
      <c r="H1097" s="11" t="str">
        <f aca="false">IF($A1097="","",IF(MAX($E1097,$F1097,$G1097)&gt;1,"중복","-"))</f>
        <v/>
      </c>
      <c r="I1097" s="11" t="str">
        <f aca="false">IF($A1097="","",IF($H1097="-","-",IF(AND(IF(원본명단!$H1096="",TRUE(),COUNTIF(원본명단!$H$3:$H1096,원본명단!$H1096)=1),IF(원본명단!$I1096="",TRUE(),COUNTIF(원본명단!$I$3:$I1096,원본명단!$I1096)=1),IF(원본명단!$K1096="",TRUE(),COUNTIF(원본명단!$K$3:$K1096,원본명단!$K1096)=1)),"첫 건","중복 건")))</f>
        <v/>
      </c>
      <c r="J1097" s="11" t="str">
        <f aca="false">IF($A1097="","",IF($H1097="-","유지",IF($I1097="첫 건","유지","확인 필요")))</f>
        <v/>
      </c>
    </row>
    <row r="1098" customFormat="false" ht="15" hidden="false" customHeight="true" outlineLevel="0" collapsed="false">
      <c r="A1098" s="11" t="str">
        <f aca="false">IF(원본명단!$A1097="","",1095)</f>
        <v/>
      </c>
      <c r="B1098" s="12" t="str">
        <f aca="false">IF($A1098="","",원본명단!$A1097)</f>
        <v/>
      </c>
      <c r="C1098" s="12" t="str">
        <f aca="false">IF($A1098="","",원본명단!$B1097)</f>
        <v/>
      </c>
      <c r="D1098" s="12" t="str">
        <f aca="false">IF($A1098="","",원본명단!$D1097)</f>
        <v/>
      </c>
      <c r="E1098" s="11" t="str">
        <f aca="false">IF($A1098="","",IF(원본명단!$H1097="",0,COUNTIF(원본명단!$H$3:$H$6002,원본명단!$H1097)))</f>
        <v/>
      </c>
      <c r="F1098" s="11" t="str">
        <f aca="false">IF($A1098="","",IF(원본명단!$I1097="",0,COUNTIF(원본명단!$I$3:$I$6002,원본명단!$I1097)))</f>
        <v/>
      </c>
      <c r="G1098" s="11" t="str">
        <f aca="false">IF($A1098="","",IF(원본명단!$K1097="",0,COUNTIF(원본명단!$K$3:$K$6002,원본명단!$K1097)))</f>
        <v/>
      </c>
      <c r="H1098" s="11" t="str">
        <f aca="false">IF($A1098="","",IF(MAX($E1098,$F1098,$G1098)&gt;1,"중복","-"))</f>
        <v/>
      </c>
      <c r="I1098" s="11" t="str">
        <f aca="false">IF($A1098="","",IF($H1098="-","-",IF(AND(IF(원본명단!$H1097="",TRUE(),COUNTIF(원본명단!$H$3:$H1097,원본명단!$H1097)=1),IF(원본명단!$I1097="",TRUE(),COUNTIF(원본명단!$I$3:$I1097,원본명단!$I1097)=1),IF(원본명단!$K1097="",TRUE(),COUNTIF(원본명단!$K$3:$K1097,원본명단!$K1097)=1)),"첫 건","중복 건")))</f>
        <v/>
      </c>
      <c r="J1098" s="11" t="str">
        <f aca="false">IF($A1098="","",IF($H1098="-","유지",IF($I1098="첫 건","유지","확인 필요")))</f>
        <v/>
      </c>
    </row>
    <row r="1099" customFormat="false" ht="15" hidden="false" customHeight="true" outlineLevel="0" collapsed="false">
      <c r="A1099" s="11" t="str">
        <f aca="false">IF(원본명단!$A1098="","",1096)</f>
        <v/>
      </c>
      <c r="B1099" s="12" t="str">
        <f aca="false">IF($A1099="","",원본명단!$A1098)</f>
        <v/>
      </c>
      <c r="C1099" s="12" t="str">
        <f aca="false">IF($A1099="","",원본명단!$B1098)</f>
        <v/>
      </c>
      <c r="D1099" s="12" t="str">
        <f aca="false">IF($A1099="","",원본명단!$D1098)</f>
        <v/>
      </c>
      <c r="E1099" s="11" t="str">
        <f aca="false">IF($A1099="","",IF(원본명단!$H1098="",0,COUNTIF(원본명단!$H$3:$H$6002,원본명단!$H1098)))</f>
        <v/>
      </c>
      <c r="F1099" s="11" t="str">
        <f aca="false">IF($A1099="","",IF(원본명단!$I1098="",0,COUNTIF(원본명단!$I$3:$I$6002,원본명단!$I1098)))</f>
        <v/>
      </c>
      <c r="G1099" s="11" t="str">
        <f aca="false">IF($A1099="","",IF(원본명단!$K1098="",0,COUNTIF(원본명단!$K$3:$K$6002,원본명단!$K1098)))</f>
        <v/>
      </c>
      <c r="H1099" s="11" t="str">
        <f aca="false">IF($A1099="","",IF(MAX($E1099,$F1099,$G1099)&gt;1,"중복","-"))</f>
        <v/>
      </c>
      <c r="I1099" s="11" t="str">
        <f aca="false">IF($A1099="","",IF($H1099="-","-",IF(AND(IF(원본명단!$H1098="",TRUE(),COUNTIF(원본명단!$H$3:$H1098,원본명단!$H1098)=1),IF(원본명단!$I1098="",TRUE(),COUNTIF(원본명단!$I$3:$I1098,원본명단!$I1098)=1),IF(원본명단!$K1098="",TRUE(),COUNTIF(원본명단!$K$3:$K1098,원본명단!$K1098)=1)),"첫 건","중복 건")))</f>
        <v/>
      </c>
      <c r="J1099" s="11" t="str">
        <f aca="false">IF($A1099="","",IF($H1099="-","유지",IF($I1099="첫 건","유지","확인 필요")))</f>
        <v/>
      </c>
    </row>
    <row r="1100" customFormat="false" ht="15" hidden="false" customHeight="true" outlineLevel="0" collapsed="false">
      <c r="A1100" s="11" t="str">
        <f aca="false">IF(원본명단!$A1099="","",1097)</f>
        <v/>
      </c>
      <c r="B1100" s="12" t="str">
        <f aca="false">IF($A1100="","",원본명단!$A1099)</f>
        <v/>
      </c>
      <c r="C1100" s="12" t="str">
        <f aca="false">IF($A1100="","",원본명단!$B1099)</f>
        <v/>
      </c>
      <c r="D1100" s="12" t="str">
        <f aca="false">IF($A1100="","",원본명단!$D1099)</f>
        <v/>
      </c>
      <c r="E1100" s="11" t="str">
        <f aca="false">IF($A1100="","",IF(원본명단!$H1099="",0,COUNTIF(원본명단!$H$3:$H$6002,원본명단!$H1099)))</f>
        <v/>
      </c>
      <c r="F1100" s="11" t="str">
        <f aca="false">IF($A1100="","",IF(원본명단!$I1099="",0,COUNTIF(원본명단!$I$3:$I$6002,원본명단!$I1099)))</f>
        <v/>
      </c>
      <c r="G1100" s="11" t="str">
        <f aca="false">IF($A1100="","",IF(원본명단!$K1099="",0,COUNTIF(원본명단!$K$3:$K$6002,원본명단!$K1099)))</f>
        <v/>
      </c>
      <c r="H1100" s="11" t="str">
        <f aca="false">IF($A1100="","",IF(MAX($E1100,$F1100,$G1100)&gt;1,"중복","-"))</f>
        <v/>
      </c>
      <c r="I1100" s="11" t="str">
        <f aca="false">IF($A1100="","",IF($H1100="-","-",IF(AND(IF(원본명단!$H1099="",TRUE(),COUNTIF(원본명단!$H$3:$H1099,원본명단!$H1099)=1),IF(원본명단!$I1099="",TRUE(),COUNTIF(원본명단!$I$3:$I1099,원본명단!$I1099)=1),IF(원본명단!$K1099="",TRUE(),COUNTIF(원본명단!$K$3:$K1099,원본명단!$K1099)=1)),"첫 건","중복 건")))</f>
        <v/>
      </c>
      <c r="J1100" s="11" t="str">
        <f aca="false">IF($A1100="","",IF($H1100="-","유지",IF($I1100="첫 건","유지","확인 필요")))</f>
        <v/>
      </c>
    </row>
    <row r="1101" customFormat="false" ht="15" hidden="false" customHeight="true" outlineLevel="0" collapsed="false">
      <c r="A1101" s="11" t="str">
        <f aca="false">IF(원본명단!$A1100="","",1098)</f>
        <v/>
      </c>
      <c r="B1101" s="12" t="str">
        <f aca="false">IF($A1101="","",원본명단!$A1100)</f>
        <v/>
      </c>
      <c r="C1101" s="12" t="str">
        <f aca="false">IF($A1101="","",원본명단!$B1100)</f>
        <v/>
      </c>
      <c r="D1101" s="12" t="str">
        <f aca="false">IF($A1101="","",원본명단!$D1100)</f>
        <v/>
      </c>
      <c r="E1101" s="11" t="str">
        <f aca="false">IF($A1101="","",IF(원본명단!$H1100="",0,COUNTIF(원본명단!$H$3:$H$6002,원본명단!$H1100)))</f>
        <v/>
      </c>
      <c r="F1101" s="11" t="str">
        <f aca="false">IF($A1101="","",IF(원본명단!$I1100="",0,COUNTIF(원본명단!$I$3:$I$6002,원본명단!$I1100)))</f>
        <v/>
      </c>
      <c r="G1101" s="11" t="str">
        <f aca="false">IF($A1101="","",IF(원본명단!$K1100="",0,COUNTIF(원본명단!$K$3:$K$6002,원본명단!$K1100)))</f>
        <v/>
      </c>
      <c r="H1101" s="11" t="str">
        <f aca="false">IF($A1101="","",IF(MAX($E1101,$F1101,$G1101)&gt;1,"중복","-"))</f>
        <v/>
      </c>
      <c r="I1101" s="11" t="str">
        <f aca="false">IF($A1101="","",IF($H1101="-","-",IF(AND(IF(원본명단!$H1100="",TRUE(),COUNTIF(원본명단!$H$3:$H1100,원본명단!$H1100)=1),IF(원본명단!$I1100="",TRUE(),COUNTIF(원본명단!$I$3:$I1100,원본명단!$I1100)=1),IF(원본명단!$K1100="",TRUE(),COUNTIF(원본명단!$K$3:$K1100,원본명단!$K1100)=1)),"첫 건","중복 건")))</f>
        <v/>
      </c>
      <c r="J1101" s="11" t="str">
        <f aca="false">IF($A1101="","",IF($H1101="-","유지",IF($I1101="첫 건","유지","확인 필요")))</f>
        <v/>
      </c>
    </row>
    <row r="1102" customFormat="false" ht="15" hidden="false" customHeight="true" outlineLevel="0" collapsed="false">
      <c r="A1102" s="11" t="str">
        <f aca="false">IF(원본명단!$A1101="","",1099)</f>
        <v/>
      </c>
      <c r="B1102" s="12" t="str">
        <f aca="false">IF($A1102="","",원본명단!$A1101)</f>
        <v/>
      </c>
      <c r="C1102" s="12" t="str">
        <f aca="false">IF($A1102="","",원본명단!$B1101)</f>
        <v/>
      </c>
      <c r="D1102" s="12" t="str">
        <f aca="false">IF($A1102="","",원본명단!$D1101)</f>
        <v/>
      </c>
      <c r="E1102" s="11" t="str">
        <f aca="false">IF($A1102="","",IF(원본명단!$H1101="",0,COUNTIF(원본명단!$H$3:$H$6002,원본명단!$H1101)))</f>
        <v/>
      </c>
      <c r="F1102" s="11" t="str">
        <f aca="false">IF($A1102="","",IF(원본명단!$I1101="",0,COUNTIF(원본명단!$I$3:$I$6002,원본명단!$I1101)))</f>
        <v/>
      </c>
      <c r="G1102" s="11" t="str">
        <f aca="false">IF($A1102="","",IF(원본명단!$K1101="",0,COUNTIF(원본명단!$K$3:$K$6002,원본명단!$K1101)))</f>
        <v/>
      </c>
      <c r="H1102" s="11" t="str">
        <f aca="false">IF($A1102="","",IF(MAX($E1102,$F1102,$G1102)&gt;1,"중복","-"))</f>
        <v/>
      </c>
      <c r="I1102" s="11" t="str">
        <f aca="false">IF($A1102="","",IF($H1102="-","-",IF(AND(IF(원본명단!$H1101="",TRUE(),COUNTIF(원본명단!$H$3:$H1101,원본명단!$H1101)=1),IF(원본명단!$I1101="",TRUE(),COUNTIF(원본명단!$I$3:$I1101,원본명단!$I1101)=1),IF(원본명단!$K1101="",TRUE(),COUNTIF(원본명단!$K$3:$K1101,원본명단!$K1101)=1)),"첫 건","중복 건")))</f>
        <v/>
      </c>
      <c r="J1102" s="11" t="str">
        <f aca="false">IF($A1102="","",IF($H1102="-","유지",IF($I1102="첫 건","유지","확인 필요")))</f>
        <v/>
      </c>
    </row>
    <row r="1103" customFormat="false" ht="15" hidden="false" customHeight="true" outlineLevel="0" collapsed="false">
      <c r="A1103" s="11" t="str">
        <f aca="false">IF(원본명단!$A1102="","",1100)</f>
        <v/>
      </c>
      <c r="B1103" s="12" t="str">
        <f aca="false">IF($A1103="","",원본명단!$A1102)</f>
        <v/>
      </c>
      <c r="C1103" s="12" t="str">
        <f aca="false">IF($A1103="","",원본명단!$B1102)</f>
        <v/>
      </c>
      <c r="D1103" s="12" t="str">
        <f aca="false">IF($A1103="","",원본명단!$D1102)</f>
        <v/>
      </c>
      <c r="E1103" s="11" t="str">
        <f aca="false">IF($A1103="","",IF(원본명단!$H1102="",0,COUNTIF(원본명단!$H$3:$H$6002,원본명단!$H1102)))</f>
        <v/>
      </c>
      <c r="F1103" s="11" t="str">
        <f aca="false">IF($A1103="","",IF(원본명단!$I1102="",0,COUNTIF(원본명단!$I$3:$I$6002,원본명단!$I1102)))</f>
        <v/>
      </c>
      <c r="G1103" s="11" t="str">
        <f aca="false">IF($A1103="","",IF(원본명단!$K1102="",0,COUNTIF(원본명단!$K$3:$K$6002,원본명단!$K1102)))</f>
        <v/>
      </c>
      <c r="H1103" s="11" t="str">
        <f aca="false">IF($A1103="","",IF(MAX($E1103,$F1103,$G1103)&gt;1,"중복","-"))</f>
        <v/>
      </c>
      <c r="I1103" s="11" t="str">
        <f aca="false">IF($A1103="","",IF($H1103="-","-",IF(AND(IF(원본명단!$H1102="",TRUE(),COUNTIF(원본명단!$H$3:$H1102,원본명단!$H1102)=1),IF(원본명단!$I1102="",TRUE(),COUNTIF(원본명단!$I$3:$I1102,원본명단!$I1102)=1),IF(원본명단!$K1102="",TRUE(),COUNTIF(원본명단!$K$3:$K1102,원본명단!$K1102)=1)),"첫 건","중복 건")))</f>
        <v/>
      </c>
      <c r="J1103" s="11" t="str">
        <f aca="false">IF($A1103="","",IF($H1103="-","유지",IF($I1103="첫 건","유지","확인 필요")))</f>
        <v/>
      </c>
    </row>
    <row r="1104" customFormat="false" ht="15" hidden="false" customHeight="true" outlineLevel="0" collapsed="false">
      <c r="A1104" s="11" t="str">
        <f aca="false">IF(원본명단!$A1103="","",1101)</f>
        <v/>
      </c>
      <c r="B1104" s="12" t="str">
        <f aca="false">IF($A1104="","",원본명단!$A1103)</f>
        <v/>
      </c>
      <c r="C1104" s="12" t="str">
        <f aca="false">IF($A1104="","",원본명단!$B1103)</f>
        <v/>
      </c>
      <c r="D1104" s="12" t="str">
        <f aca="false">IF($A1104="","",원본명단!$D1103)</f>
        <v/>
      </c>
      <c r="E1104" s="11" t="str">
        <f aca="false">IF($A1104="","",IF(원본명단!$H1103="",0,COUNTIF(원본명단!$H$3:$H$6002,원본명단!$H1103)))</f>
        <v/>
      </c>
      <c r="F1104" s="11" t="str">
        <f aca="false">IF($A1104="","",IF(원본명단!$I1103="",0,COUNTIF(원본명단!$I$3:$I$6002,원본명단!$I1103)))</f>
        <v/>
      </c>
      <c r="G1104" s="11" t="str">
        <f aca="false">IF($A1104="","",IF(원본명단!$K1103="",0,COUNTIF(원본명단!$K$3:$K$6002,원본명단!$K1103)))</f>
        <v/>
      </c>
      <c r="H1104" s="11" t="str">
        <f aca="false">IF($A1104="","",IF(MAX($E1104,$F1104,$G1104)&gt;1,"중복","-"))</f>
        <v/>
      </c>
      <c r="I1104" s="11" t="str">
        <f aca="false">IF($A1104="","",IF($H1104="-","-",IF(AND(IF(원본명단!$H1103="",TRUE(),COUNTIF(원본명단!$H$3:$H1103,원본명단!$H1103)=1),IF(원본명단!$I1103="",TRUE(),COUNTIF(원본명단!$I$3:$I1103,원본명단!$I1103)=1),IF(원본명단!$K1103="",TRUE(),COUNTIF(원본명단!$K$3:$K1103,원본명단!$K1103)=1)),"첫 건","중복 건")))</f>
        <v/>
      </c>
      <c r="J1104" s="11" t="str">
        <f aca="false">IF($A1104="","",IF($H1104="-","유지",IF($I1104="첫 건","유지","확인 필요")))</f>
        <v/>
      </c>
    </row>
    <row r="1105" customFormat="false" ht="15" hidden="false" customHeight="true" outlineLevel="0" collapsed="false">
      <c r="A1105" s="11" t="str">
        <f aca="false">IF(원본명단!$A1104="","",1102)</f>
        <v/>
      </c>
      <c r="B1105" s="12" t="str">
        <f aca="false">IF($A1105="","",원본명단!$A1104)</f>
        <v/>
      </c>
      <c r="C1105" s="12" t="str">
        <f aca="false">IF($A1105="","",원본명단!$B1104)</f>
        <v/>
      </c>
      <c r="D1105" s="12" t="str">
        <f aca="false">IF($A1105="","",원본명단!$D1104)</f>
        <v/>
      </c>
      <c r="E1105" s="11" t="str">
        <f aca="false">IF($A1105="","",IF(원본명단!$H1104="",0,COUNTIF(원본명단!$H$3:$H$6002,원본명단!$H1104)))</f>
        <v/>
      </c>
      <c r="F1105" s="11" t="str">
        <f aca="false">IF($A1105="","",IF(원본명단!$I1104="",0,COUNTIF(원본명단!$I$3:$I$6002,원본명단!$I1104)))</f>
        <v/>
      </c>
      <c r="G1105" s="11" t="str">
        <f aca="false">IF($A1105="","",IF(원본명단!$K1104="",0,COUNTIF(원본명단!$K$3:$K$6002,원본명단!$K1104)))</f>
        <v/>
      </c>
      <c r="H1105" s="11" t="str">
        <f aca="false">IF($A1105="","",IF(MAX($E1105,$F1105,$G1105)&gt;1,"중복","-"))</f>
        <v/>
      </c>
      <c r="I1105" s="11" t="str">
        <f aca="false">IF($A1105="","",IF($H1105="-","-",IF(AND(IF(원본명단!$H1104="",TRUE(),COUNTIF(원본명단!$H$3:$H1104,원본명단!$H1104)=1),IF(원본명단!$I1104="",TRUE(),COUNTIF(원본명단!$I$3:$I1104,원본명단!$I1104)=1),IF(원본명단!$K1104="",TRUE(),COUNTIF(원본명단!$K$3:$K1104,원본명단!$K1104)=1)),"첫 건","중복 건")))</f>
        <v/>
      </c>
      <c r="J1105" s="11" t="str">
        <f aca="false">IF($A1105="","",IF($H1105="-","유지",IF($I1105="첫 건","유지","확인 필요")))</f>
        <v/>
      </c>
    </row>
    <row r="1106" customFormat="false" ht="15" hidden="false" customHeight="true" outlineLevel="0" collapsed="false">
      <c r="A1106" s="11" t="str">
        <f aca="false">IF(원본명단!$A1105="","",1103)</f>
        <v/>
      </c>
      <c r="B1106" s="12" t="str">
        <f aca="false">IF($A1106="","",원본명단!$A1105)</f>
        <v/>
      </c>
      <c r="C1106" s="12" t="str">
        <f aca="false">IF($A1106="","",원본명단!$B1105)</f>
        <v/>
      </c>
      <c r="D1106" s="12" t="str">
        <f aca="false">IF($A1106="","",원본명단!$D1105)</f>
        <v/>
      </c>
      <c r="E1106" s="11" t="str">
        <f aca="false">IF($A1106="","",IF(원본명단!$H1105="",0,COUNTIF(원본명단!$H$3:$H$6002,원본명단!$H1105)))</f>
        <v/>
      </c>
      <c r="F1106" s="11" t="str">
        <f aca="false">IF($A1106="","",IF(원본명단!$I1105="",0,COUNTIF(원본명단!$I$3:$I$6002,원본명단!$I1105)))</f>
        <v/>
      </c>
      <c r="G1106" s="11" t="str">
        <f aca="false">IF($A1106="","",IF(원본명단!$K1105="",0,COUNTIF(원본명단!$K$3:$K$6002,원본명단!$K1105)))</f>
        <v/>
      </c>
      <c r="H1106" s="11" t="str">
        <f aca="false">IF($A1106="","",IF(MAX($E1106,$F1106,$G1106)&gt;1,"중복","-"))</f>
        <v/>
      </c>
      <c r="I1106" s="11" t="str">
        <f aca="false">IF($A1106="","",IF($H1106="-","-",IF(AND(IF(원본명단!$H1105="",TRUE(),COUNTIF(원본명단!$H$3:$H1105,원본명단!$H1105)=1),IF(원본명단!$I1105="",TRUE(),COUNTIF(원본명단!$I$3:$I1105,원본명단!$I1105)=1),IF(원본명단!$K1105="",TRUE(),COUNTIF(원본명단!$K$3:$K1105,원본명단!$K1105)=1)),"첫 건","중복 건")))</f>
        <v/>
      </c>
      <c r="J1106" s="11" t="str">
        <f aca="false">IF($A1106="","",IF($H1106="-","유지",IF($I1106="첫 건","유지","확인 필요")))</f>
        <v/>
      </c>
    </row>
    <row r="1107" customFormat="false" ht="15" hidden="false" customHeight="true" outlineLevel="0" collapsed="false">
      <c r="A1107" s="11" t="str">
        <f aca="false">IF(원본명단!$A1106="","",1104)</f>
        <v/>
      </c>
      <c r="B1107" s="12" t="str">
        <f aca="false">IF($A1107="","",원본명단!$A1106)</f>
        <v/>
      </c>
      <c r="C1107" s="12" t="str">
        <f aca="false">IF($A1107="","",원본명단!$B1106)</f>
        <v/>
      </c>
      <c r="D1107" s="12" t="str">
        <f aca="false">IF($A1107="","",원본명단!$D1106)</f>
        <v/>
      </c>
      <c r="E1107" s="11" t="str">
        <f aca="false">IF($A1107="","",IF(원본명단!$H1106="",0,COUNTIF(원본명단!$H$3:$H$6002,원본명단!$H1106)))</f>
        <v/>
      </c>
      <c r="F1107" s="11" t="str">
        <f aca="false">IF($A1107="","",IF(원본명단!$I1106="",0,COUNTIF(원본명단!$I$3:$I$6002,원본명단!$I1106)))</f>
        <v/>
      </c>
      <c r="G1107" s="11" t="str">
        <f aca="false">IF($A1107="","",IF(원본명단!$K1106="",0,COUNTIF(원본명단!$K$3:$K$6002,원본명단!$K1106)))</f>
        <v/>
      </c>
      <c r="H1107" s="11" t="str">
        <f aca="false">IF($A1107="","",IF(MAX($E1107,$F1107,$G1107)&gt;1,"중복","-"))</f>
        <v/>
      </c>
      <c r="I1107" s="11" t="str">
        <f aca="false">IF($A1107="","",IF($H1107="-","-",IF(AND(IF(원본명단!$H1106="",TRUE(),COUNTIF(원본명단!$H$3:$H1106,원본명단!$H1106)=1),IF(원본명단!$I1106="",TRUE(),COUNTIF(원본명단!$I$3:$I1106,원본명단!$I1106)=1),IF(원본명단!$K1106="",TRUE(),COUNTIF(원본명단!$K$3:$K1106,원본명단!$K1106)=1)),"첫 건","중복 건")))</f>
        <v/>
      </c>
      <c r="J1107" s="11" t="str">
        <f aca="false">IF($A1107="","",IF($H1107="-","유지",IF($I1107="첫 건","유지","확인 필요")))</f>
        <v/>
      </c>
    </row>
    <row r="1108" customFormat="false" ht="15" hidden="false" customHeight="true" outlineLevel="0" collapsed="false">
      <c r="A1108" s="11" t="str">
        <f aca="false">IF(원본명단!$A1107="","",1105)</f>
        <v/>
      </c>
      <c r="B1108" s="12" t="str">
        <f aca="false">IF($A1108="","",원본명단!$A1107)</f>
        <v/>
      </c>
      <c r="C1108" s="12" t="str">
        <f aca="false">IF($A1108="","",원본명단!$B1107)</f>
        <v/>
      </c>
      <c r="D1108" s="12" t="str">
        <f aca="false">IF($A1108="","",원본명단!$D1107)</f>
        <v/>
      </c>
      <c r="E1108" s="11" t="str">
        <f aca="false">IF($A1108="","",IF(원본명단!$H1107="",0,COUNTIF(원본명단!$H$3:$H$6002,원본명단!$H1107)))</f>
        <v/>
      </c>
      <c r="F1108" s="11" t="str">
        <f aca="false">IF($A1108="","",IF(원본명단!$I1107="",0,COUNTIF(원본명단!$I$3:$I$6002,원본명단!$I1107)))</f>
        <v/>
      </c>
      <c r="G1108" s="11" t="str">
        <f aca="false">IF($A1108="","",IF(원본명단!$K1107="",0,COUNTIF(원본명단!$K$3:$K$6002,원본명단!$K1107)))</f>
        <v/>
      </c>
      <c r="H1108" s="11" t="str">
        <f aca="false">IF($A1108="","",IF(MAX($E1108,$F1108,$G1108)&gt;1,"중복","-"))</f>
        <v/>
      </c>
      <c r="I1108" s="11" t="str">
        <f aca="false">IF($A1108="","",IF($H1108="-","-",IF(AND(IF(원본명단!$H1107="",TRUE(),COUNTIF(원본명단!$H$3:$H1107,원본명단!$H1107)=1),IF(원본명단!$I1107="",TRUE(),COUNTIF(원본명단!$I$3:$I1107,원본명단!$I1107)=1),IF(원본명단!$K1107="",TRUE(),COUNTIF(원본명단!$K$3:$K1107,원본명단!$K1107)=1)),"첫 건","중복 건")))</f>
        <v/>
      </c>
      <c r="J1108" s="11" t="str">
        <f aca="false">IF($A1108="","",IF($H1108="-","유지",IF($I1108="첫 건","유지","확인 필요")))</f>
        <v/>
      </c>
    </row>
    <row r="1109" customFormat="false" ht="15" hidden="false" customHeight="true" outlineLevel="0" collapsed="false">
      <c r="A1109" s="11" t="str">
        <f aca="false">IF(원본명단!$A1108="","",1106)</f>
        <v/>
      </c>
      <c r="B1109" s="12" t="str">
        <f aca="false">IF($A1109="","",원본명단!$A1108)</f>
        <v/>
      </c>
      <c r="C1109" s="12" t="str">
        <f aca="false">IF($A1109="","",원본명단!$B1108)</f>
        <v/>
      </c>
      <c r="D1109" s="12" t="str">
        <f aca="false">IF($A1109="","",원본명단!$D1108)</f>
        <v/>
      </c>
      <c r="E1109" s="11" t="str">
        <f aca="false">IF($A1109="","",IF(원본명단!$H1108="",0,COUNTIF(원본명단!$H$3:$H$6002,원본명단!$H1108)))</f>
        <v/>
      </c>
      <c r="F1109" s="11" t="str">
        <f aca="false">IF($A1109="","",IF(원본명단!$I1108="",0,COUNTIF(원본명단!$I$3:$I$6002,원본명단!$I1108)))</f>
        <v/>
      </c>
      <c r="G1109" s="11" t="str">
        <f aca="false">IF($A1109="","",IF(원본명단!$K1108="",0,COUNTIF(원본명단!$K$3:$K$6002,원본명단!$K1108)))</f>
        <v/>
      </c>
      <c r="H1109" s="11" t="str">
        <f aca="false">IF($A1109="","",IF(MAX($E1109,$F1109,$G1109)&gt;1,"중복","-"))</f>
        <v/>
      </c>
      <c r="I1109" s="11" t="str">
        <f aca="false">IF($A1109="","",IF($H1109="-","-",IF(AND(IF(원본명단!$H1108="",TRUE(),COUNTIF(원본명단!$H$3:$H1108,원본명단!$H1108)=1),IF(원본명단!$I1108="",TRUE(),COUNTIF(원본명단!$I$3:$I1108,원본명단!$I1108)=1),IF(원본명단!$K1108="",TRUE(),COUNTIF(원본명단!$K$3:$K1108,원본명단!$K1108)=1)),"첫 건","중복 건")))</f>
        <v/>
      </c>
      <c r="J1109" s="11" t="str">
        <f aca="false">IF($A1109="","",IF($H1109="-","유지",IF($I1109="첫 건","유지","확인 필요")))</f>
        <v/>
      </c>
    </row>
    <row r="1110" customFormat="false" ht="15" hidden="false" customHeight="true" outlineLevel="0" collapsed="false">
      <c r="A1110" s="11" t="str">
        <f aca="false">IF(원본명단!$A1109="","",1107)</f>
        <v/>
      </c>
      <c r="B1110" s="12" t="str">
        <f aca="false">IF($A1110="","",원본명단!$A1109)</f>
        <v/>
      </c>
      <c r="C1110" s="12" t="str">
        <f aca="false">IF($A1110="","",원본명단!$B1109)</f>
        <v/>
      </c>
      <c r="D1110" s="12" t="str">
        <f aca="false">IF($A1110="","",원본명단!$D1109)</f>
        <v/>
      </c>
      <c r="E1110" s="11" t="str">
        <f aca="false">IF($A1110="","",IF(원본명단!$H1109="",0,COUNTIF(원본명단!$H$3:$H$6002,원본명단!$H1109)))</f>
        <v/>
      </c>
      <c r="F1110" s="11" t="str">
        <f aca="false">IF($A1110="","",IF(원본명단!$I1109="",0,COUNTIF(원본명단!$I$3:$I$6002,원본명단!$I1109)))</f>
        <v/>
      </c>
      <c r="G1110" s="11" t="str">
        <f aca="false">IF($A1110="","",IF(원본명단!$K1109="",0,COUNTIF(원본명단!$K$3:$K$6002,원본명단!$K1109)))</f>
        <v/>
      </c>
      <c r="H1110" s="11" t="str">
        <f aca="false">IF($A1110="","",IF(MAX($E1110,$F1110,$G1110)&gt;1,"중복","-"))</f>
        <v/>
      </c>
      <c r="I1110" s="11" t="str">
        <f aca="false">IF($A1110="","",IF($H1110="-","-",IF(AND(IF(원본명단!$H1109="",TRUE(),COUNTIF(원본명단!$H$3:$H1109,원본명단!$H1109)=1),IF(원본명단!$I1109="",TRUE(),COUNTIF(원본명단!$I$3:$I1109,원본명단!$I1109)=1),IF(원본명단!$K1109="",TRUE(),COUNTIF(원본명단!$K$3:$K1109,원본명단!$K1109)=1)),"첫 건","중복 건")))</f>
        <v/>
      </c>
      <c r="J1110" s="11" t="str">
        <f aca="false">IF($A1110="","",IF($H1110="-","유지",IF($I1110="첫 건","유지","확인 필요")))</f>
        <v/>
      </c>
    </row>
    <row r="1111" customFormat="false" ht="15" hidden="false" customHeight="true" outlineLevel="0" collapsed="false">
      <c r="A1111" s="11" t="str">
        <f aca="false">IF(원본명단!$A1110="","",1108)</f>
        <v/>
      </c>
      <c r="B1111" s="12" t="str">
        <f aca="false">IF($A1111="","",원본명단!$A1110)</f>
        <v/>
      </c>
      <c r="C1111" s="12" t="str">
        <f aca="false">IF($A1111="","",원본명단!$B1110)</f>
        <v/>
      </c>
      <c r="D1111" s="12" t="str">
        <f aca="false">IF($A1111="","",원본명단!$D1110)</f>
        <v/>
      </c>
      <c r="E1111" s="11" t="str">
        <f aca="false">IF($A1111="","",IF(원본명단!$H1110="",0,COUNTIF(원본명단!$H$3:$H$6002,원본명단!$H1110)))</f>
        <v/>
      </c>
      <c r="F1111" s="11" t="str">
        <f aca="false">IF($A1111="","",IF(원본명단!$I1110="",0,COUNTIF(원본명단!$I$3:$I$6002,원본명단!$I1110)))</f>
        <v/>
      </c>
      <c r="G1111" s="11" t="str">
        <f aca="false">IF($A1111="","",IF(원본명단!$K1110="",0,COUNTIF(원본명단!$K$3:$K$6002,원본명단!$K1110)))</f>
        <v/>
      </c>
      <c r="H1111" s="11" t="str">
        <f aca="false">IF($A1111="","",IF(MAX($E1111,$F1111,$G1111)&gt;1,"중복","-"))</f>
        <v/>
      </c>
      <c r="I1111" s="11" t="str">
        <f aca="false">IF($A1111="","",IF($H1111="-","-",IF(AND(IF(원본명단!$H1110="",TRUE(),COUNTIF(원본명단!$H$3:$H1110,원본명단!$H1110)=1),IF(원본명단!$I1110="",TRUE(),COUNTIF(원본명단!$I$3:$I1110,원본명단!$I1110)=1),IF(원본명단!$K1110="",TRUE(),COUNTIF(원본명단!$K$3:$K1110,원본명단!$K1110)=1)),"첫 건","중복 건")))</f>
        <v/>
      </c>
      <c r="J1111" s="11" t="str">
        <f aca="false">IF($A1111="","",IF($H1111="-","유지",IF($I1111="첫 건","유지","확인 필요")))</f>
        <v/>
      </c>
    </row>
    <row r="1112" customFormat="false" ht="15" hidden="false" customHeight="true" outlineLevel="0" collapsed="false">
      <c r="A1112" s="11" t="str">
        <f aca="false">IF(원본명단!$A1111="","",1109)</f>
        <v/>
      </c>
      <c r="B1112" s="12" t="str">
        <f aca="false">IF($A1112="","",원본명단!$A1111)</f>
        <v/>
      </c>
      <c r="C1112" s="12" t="str">
        <f aca="false">IF($A1112="","",원본명단!$B1111)</f>
        <v/>
      </c>
      <c r="D1112" s="12" t="str">
        <f aca="false">IF($A1112="","",원본명단!$D1111)</f>
        <v/>
      </c>
      <c r="E1112" s="11" t="str">
        <f aca="false">IF($A1112="","",IF(원본명단!$H1111="",0,COUNTIF(원본명단!$H$3:$H$6002,원본명단!$H1111)))</f>
        <v/>
      </c>
      <c r="F1112" s="11" t="str">
        <f aca="false">IF($A1112="","",IF(원본명단!$I1111="",0,COUNTIF(원본명단!$I$3:$I$6002,원본명단!$I1111)))</f>
        <v/>
      </c>
      <c r="G1112" s="11" t="str">
        <f aca="false">IF($A1112="","",IF(원본명단!$K1111="",0,COUNTIF(원본명단!$K$3:$K$6002,원본명단!$K1111)))</f>
        <v/>
      </c>
      <c r="H1112" s="11" t="str">
        <f aca="false">IF($A1112="","",IF(MAX($E1112,$F1112,$G1112)&gt;1,"중복","-"))</f>
        <v/>
      </c>
      <c r="I1112" s="11" t="str">
        <f aca="false">IF($A1112="","",IF($H1112="-","-",IF(AND(IF(원본명단!$H1111="",TRUE(),COUNTIF(원본명단!$H$3:$H1111,원본명단!$H1111)=1),IF(원본명단!$I1111="",TRUE(),COUNTIF(원본명단!$I$3:$I1111,원본명단!$I1111)=1),IF(원본명단!$K1111="",TRUE(),COUNTIF(원본명단!$K$3:$K1111,원본명단!$K1111)=1)),"첫 건","중복 건")))</f>
        <v/>
      </c>
      <c r="J1112" s="11" t="str">
        <f aca="false">IF($A1112="","",IF($H1112="-","유지",IF($I1112="첫 건","유지","확인 필요")))</f>
        <v/>
      </c>
    </row>
    <row r="1113" customFormat="false" ht="15" hidden="false" customHeight="true" outlineLevel="0" collapsed="false">
      <c r="A1113" s="11" t="str">
        <f aca="false">IF(원본명단!$A1112="","",1110)</f>
        <v/>
      </c>
      <c r="B1113" s="12" t="str">
        <f aca="false">IF($A1113="","",원본명단!$A1112)</f>
        <v/>
      </c>
      <c r="C1113" s="12" t="str">
        <f aca="false">IF($A1113="","",원본명단!$B1112)</f>
        <v/>
      </c>
      <c r="D1113" s="12" t="str">
        <f aca="false">IF($A1113="","",원본명단!$D1112)</f>
        <v/>
      </c>
      <c r="E1113" s="11" t="str">
        <f aca="false">IF($A1113="","",IF(원본명단!$H1112="",0,COUNTIF(원본명단!$H$3:$H$6002,원본명단!$H1112)))</f>
        <v/>
      </c>
      <c r="F1113" s="11" t="str">
        <f aca="false">IF($A1113="","",IF(원본명단!$I1112="",0,COUNTIF(원본명단!$I$3:$I$6002,원본명단!$I1112)))</f>
        <v/>
      </c>
      <c r="G1113" s="11" t="str">
        <f aca="false">IF($A1113="","",IF(원본명단!$K1112="",0,COUNTIF(원본명단!$K$3:$K$6002,원본명단!$K1112)))</f>
        <v/>
      </c>
      <c r="H1113" s="11" t="str">
        <f aca="false">IF($A1113="","",IF(MAX($E1113,$F1113,$G1113)&gt;1,"중복","-"))</f>
        <v/>
      </c>
      <c r="I1113" s="11" t="str">
        <f aca="false">IF($A1113="","",IF($H1113="-","-",IF(AND(IF(원본명단!$H1112="",TRUE(),COUNTIF(원본명단!$H$3:$H1112,원본명단!$H1112)=1),IF(원본명단!$I1112="",TRUE(),COUNTIF(원본명단!$I$3:$I1112,원본명단!$I1112)=1),IF(원본명단!$K1112="",TRUE(),COUNTIF(원본명단!$K$3:$K1112,원본명단!$K1112)=1)),"첫 건","중복 건")))</f>
        <v/>
      </c>
      <c r="J1113" s="11" t="str">
        <f aca="false">IF($A1113="","",IF($H1113="-","유지",IF($I1113="첫 건","유지","확인 필요")))</f>
        <v/>
      </c>
    </row>
    <row r="1114" customFormat="false" ht="15" hidden="false" customHeight="true" outlineLevel="0" collapsed="false">
      <c r="A1114" s="11" t="str">
        <f aca="false">IF(원본명단!$A1113="","",1111)</f>
        <v/>
      </c>
      <c r="B1114" s="12" t="str">
        <f aca="false">IF($A1114="","",원본명단!$A1113)</f>
        <v/>
      </c>
      <c r="C1114" s="12" t="str">
        <f aca="false">IF($A1114="","",원본명단!$B1113)</f>
        <v/>
      </c>
      <c r="D1114" s="12" t="str">
        <f aca="false">IF($A1114="","",원본명단!$D1113)</f>
        <v/>
      </c>
      <c r="E1114" s="11" t="str">
        <f aca="false">IF($A1114="","",IF(원본명단!$H1113="",0,COUNTIF(원본명단!$H$3:$H$6002,원본명단!$H1113)))</f>
        <v/>
      </c>
      <c r="F1114" s="11" t="str">
        <f aca="false">IF($A1114="","",IF(원본명단!$I1113="",0,COUNTIF(원본명단!$I$3:$I$6002,원본명단!$I1113)))</f>
        <v/>
      </c>
      <c r="G1114" s="11" t="str">
        <f aca="false">IF($A1114="","",IF(원본명단!$K1113="",0,COUNTIF(원본명단!$K$3:$K$6002,원본명단!$K1113)))</f>
        <v/>
      </c>
      <c r="H1114" s="11" t="str">
        <f aca="false">IF($A1114="","",IF(MAX($E1114,$F1114,$G1114)&gt;1,"중복","-"))</f>
        <v/>
      </c>
      <c r="I1114" s="11" t="str">
        <f aca="false">IF($A1114="","",IF($H1114="-","-",IF(AND(IF(원본명단!$H1113="",TRUE(),COUNTIF(원본명단!$H$3:$H1113,원본명단!$H1113)=1),IF(원본명단!$I1113="",TRUE(),COUNTIF(원본명단!$I$3:$I1113,원본명단!$I1113)=1),IF(원본명단!$K1113="",TRUE(),COUNTIF(원본명단!$K$3:$K1113,원본명단!$K1113)=1)),"첫 건","중복 건")))</f>
        <v/>
      </c>
      <c r="J1114" s="11" t="str">
        <f aca="false">IF($A1114="","",IF($H1114="-","유지",IF($I1114="첫 건","유지","확인 필요")))</f>
        <v/>
      </c>
    </row>
    <row r="1115" customFormat="false" ht="15" hidden="false" customHeight="true" outlineLevel="0" collapsed="false">
      <c r="A1115" s="11" t="str">
        <f aca="false">IF(원본명단!$A1114="","",1112)</f>
        <v/>
      </c>
      <c r="B1115" s="12" t="str">
        <f aca="false">IF($A1115="","",원본명단!$A1114)</f>
        <v/>
      </c>
      <c r="C1115" s="12" t="str">
        <f aca="false">IF($A1115="","",원본명단!$B1114)</f>
        <v/>
      </c>
      <c r="D1115" s="12" t="str">
        <f aca="false">IF($A1115="","",원본명단!$D1114)</f>
        <v/>
      </c>
      <c r="E1115" s="11" t="str">
        <f aca="false">IF($A1115="","",IF(원본명단!$H1114="",0,COUNTIF(원본명단!$H$3:$H$6002,원본명단!$H1114)))</f>
        <v/>
      </c>
      <c r="F1115" s="11" t="str">
        <f aca="false">IF($A1115="","",IF(원본명단!$I1114="",0,COUNTIF(원본명단!$I$3:$I$6002,원본명단!$I1114)))</f>
        <v/>
      </c>
      <c r="G1115" s="11" t="str">
        <f aca="false">IF($A1115="","",IF(원본명단!$K1114="",0,COUNTIF(원본명단!$K$3:$K$6002,원본명단!$K1114)))</f>
        <v/>
      </c>
      <c r="H1115" s="11" t="str">
        <f aca="false">IF($A1115="","",IF(MAX($E1115,$F1115,$G1115)&gt;1,"중복","-"))</f>
        <v/>
      </c>
      <c r="I1115" s="11" t="str">
        <f aca="false">IF($A1115="","",IF($H1115="-","-",IF(AND(IF(원본명단!$H1114="",TRUE(),COUNTIF(원본명단!$H$3:$H1114,원본명단!$H1114)=1),IF(원본명단!$I1114="",TRUE(),COUNTIF(원본명단!$I$3:$I1114,원본명단!$I1114)=1),IF(원본명단!$K1114="",TRUE(),COUNTIF(원본명단!$K$3:$K1114,원본명단!$K1114)=1)),"첫 건","중복 건")))</f>
        <v/>
      </c>
      <c r="J1115" s="11" t="str">
        <f aca="false">IF($A1115="","",IF($H1115="-","유지",IF($I1115="첫 건","유지","확인 필요")))</f>
        <v/>
      </c>
    </row>
    <row r="1116" customFormat="false" ht="15" hidden="false" customHeight="true" outlineLevel="0" collapsed="false">
      <c r="A1116" s="11" t="str">
        <f aca="false">IF(원본명단!$A1115="","",1113)</f>
        <v/>
      </c>
      <c r="B1116" s="12" t="str">
        <f aca="false">IF($A1116="","",원본명단!$A1115)</f>
        <v/>
      </c>
      <c r="C1116" s="12" t="str">
        <f aca="false">IF($A1116="","",원본명단!$B1115)</f>
        <v/>
      </c>
      <c r="D1116" s="12" t="str">
        <f aca="false">IF($A1116="","",원본명단!$D1115)</f>
        <v/>
      </c>
      <c r="E1116" s="11" t="str">
        <f aca="false">IF($A1116="","",IF(원본명단!$H1115="",0,COUNTIF(원본명단!$H$3:$H$6002,원본명단!$H1115)))</f>
        <v/>
      </c>
      <c r="F1116" s="11" t="str">
        <f aca="false">IF($A1116="","",IF(원본명단!$I1115="",0,COUNTIF(원본명단!$I$3:$I$6002,원본명단!$I1115)))</f>
        <v/>
      </c>
      <c r="G1116" s="11" t="str">
        <f aca="false">IF($A1116="","",IF(원본명단!$K1115="",0,COUNTIF(원본명단!$K$3:$K$6002,원본명단!$K1115)))</f>
        <v/>
      </c>
      <c r="H1116" s="11" t="str">
        <f aca="false">IF($A1116="","",IF(MAX($E1116,$F1116,$G1116)&gt;1,"중복","-"))</f>
        <v/>
      </c>
      <c r="I1116" s="11" t="str">
        <f aca="false">IF($A1116="","",IF($H1116="-","-",IF(AND(IF(원본명단!$H1115="",TRUE(),COUNTIF(원본명단!$H$3:$H1115,원본명단!$H1115)=1),IF(원본명단!$I1115="",TRUE(),COUNTIF(원본명단!$I$3:$I1115,원본명단!$I1115)=1),IF(원본명단!$K1115="",TRUE(),COUNTIF(원본명단!$K$3:$K1115,원본명단!$K1115)=1)),"첫 건","중복 건")))</f>
        <v/>
      </c>
      <c r="J1116" s="11" t="str">
        <f aca="false">IF($A1116="","",IF($H1116="-","유지",IF($I1116="첫 건","유지","확인 필요")))</f>
        <v/>
      </c>
    </row>
    <row r="1117" customFormat="false" ht="15" hidden="false" customHeight="true" outlineLevel="0" collapsed="false">
      <c r="A1117" s="11" t="str">
        <f aca="false">IF(원본명단!$A1116="","",1114)</f>
        <v/>
      </c>
      <c r="B1117" s="12" t="str">
        <f aca="false">IF($A1117="","",원본명단!$A1116)</f>
        <v/>
      </c>
      <c r="C1117" s="12" t="str">
        <f aca="false">IF($A1117="","",원본명단!$B1116)</f>
        <v/>
      </c>
      <c r="D1117" s="12" t="str">
        <f aca="false">IF($A1117="","",원본명단!$D1116)</f>
        <v/>
      </c>
      <c r="E1117" s="11" t="str">
        <f aca="false">IF($A1117="","",IF(원본명단!$H1116="",0,COUNTIF(원본명단!$H$3:$H$6002,원본명단!$H1116)))</f>
        <v/>
      </c>
      <c r="F1117" s="11" t="str">
        <f aca="false">IF($A1117="","",IF(원본명단!$I1116="",0,COUNTIF(원본명단!$I$3:$I$6002,원본명단!$I1116)))</f>
        <v/>
      </c>
      <c r="G1117" s="11" t="str">
        <f aca="false">IF($A1117="","",IF(원본명단!$K1116="",0,COUNTIF(원본명단!$K$3:$K$6002,원본명단!$K1116)))</f>
        <v/>
      </c>
      <c r="H1117" s="11" t="str">
        <f aca="false">IF($A1117="","",IF(MAX($E1117,$F1117,$G1117)&gt;1,"중복","-"))</f>
        <v/>
      </c>
      <c r="I1117" s="11" t="str">
        <f aca="false">IF($A1117="","",IF($H1117="-","-",IF(AND(IF(원본명단!$H1116="",TRUE(),COUNTIF(원본명단!$H$3:$H1116,원본명단!$H1116)=1),IF(원본명단!$I1116="",TRUE(),COUNTIF(원본명단!$I$3:$I1116,원본명단!$I1116)=1),IF(원본명단!$K1116="",TRUE(),COUNTIF(원본명단!$K$3:$K1116,원본명단!$K1116)=1)),"첫 건","중복 건")))</f>
        <v/>
      </c>
      <c r="J1117" s="11" t="str">
        <f aca="false">IF($A1117="","",IF($H1117="-","유지",IF($I1117="첫 건","유지","확인 필요")))</f>
        <v/>
      </c>
    </row>
    <row r="1118" customFormat="false" ht="15" hidden="false" customHeight="true" outlineLevel="0" collapsed="false">
      <c r="A1118" s="11" t="str">
        <f aca="false">IF(원본명단!$A1117="","",1115)</f>
        <v/>
      </c>
      <c r="B1118" s="12" t="str">
        <f aca="false">IF($A1118="","",원본명단!$A1117)</f>
        <v/>
      </c>
      <c r="C1118" s="12" t="str">
        <f aca="false">IF($A1118="","",원본명단!$B1117)</f>
        <v/>
      </c>
      <c r="D1118" s="12" t="str">
        <f aca="false">IF($A1118="","",원본명단!$D1117)</f>
        <v/>
      </c>
      <c r="E1118" s="11" t="str">
        <f aca="false">IF($A1118="","",IF(원본명단!$H1117="",0,COUNTIF(원본명단!$H$3:$H$6002,원본명단!$H1117)))</f>
        <v/>
      </c>
      <c r="F1118" s="11" t="str">
        <f aca="false">IF($A1118="","",IF(원본명단!$I1117="",0,COUNTIF(원본명단!$I$3:$I$6002,원본명단!$I1117)))</f>
        <v/>
      </c>
      <c r="G1118" s="11" t="str">
        <f aca="false">IF($A1118="","",IF(원본명단!$K1117="",0,COUNTIF(원본명단!$K$3:$K$6002,원본명단!$K1117)))</f>
        <v/>
      </c>
      <c r="H1118" s="11" t="str">
        <f aca="false">IF($A1118="","",IF(MAX($E1118,$F1118,$G1118)&gt;1,"중복","-"))</f>
        <v/>
      </c>
      <c r="I1118" s="11" t="str">
        <f aca="false">IF($A1118="","",IF($H1118="-","-",IF(AND(IF(원본명단!$H1117="",TRUE(),COUNTIF(원본명단!$H$3:$H1117,원본명단!$H1117)=1),IF(원본명단!$I1117="",TRUE(),COUNTIF(원본명단!$I$3:$I1117,원본명단!$I1117)=1),IF(원본명단!$K1117="",TRUE(),COUNTIF(원본명단!$K$3:$K1117,원본명단!$K1117)=1)),"첫 건","중복 건")))</f>
        <v/>
      </c>
      <c r="J1118" s="11" t="str">
        <f aca="false">IF($A1118="","",IF($H1118="-","유지",IF($I1118="첫 건","유지","확인 필요")))</f>
        <v/>
      </c>
    </row>
    <row r="1119" customFormat="false" ht="15" hidden="false" customHeight="true" outlineLevel="0" collapsed="false">
      <c r="A1119" s="11" t="str">
        <f aca="false">IF(원본명단!$A1118="","",1116)</f>
        <v/>
      </c>
      <c r="B1119" s="12" t="str">
        <f aca="false">IF($A1119="","",원본명단!$A1118)</f>
        <v/>
      </c>
      <c r="C1119" s="12" t="str">
        <f aca="false">IF($A1119="","",원본명단!$B1118)</f>
        <v/>
      </c>
      <c r="D1119" s="12" t="str">
        <f aca="false">IF($A1119="","",원본명단!$D1118)</f>
        <v/>
      </c>
      <c r="E1119" s="11" t="str">
        <f aca="false">IF($A1119="","",IF(원본명단!$H1118="",0,COUNTIF(원본명단!$H$3:$H$6002,원본명단!$H1118)))</f>
        <v/>
      </c>
      <c r="F1119" s="11" t="str">
        <f aca="false">IF($A1119="","",IF(원본명단!$I1118="",0,COUNTIF(원본명단!$I$3:$I$6002,원본명단!$I1118)))</f>
        <v/>
      </c>
      <c r="G1119" s="11" t="str">
        <f aca="false">IF($A1119="","",IF(원본명단!$K1118="",0,COUNTIF(원본명단!$K$3:$K$6002,원본명단!$K1118)))</f>
        <v/>
      </c>
      <c r="H1119" s="11" t="str">
        <f aca="false">IF($A1119="","",IF(MAX($E1119,$F1119,$G1119)&gt;1,"중복","-"))</f>
        <v/>
      </c>
      <c r="I1119" s="11" t="str">
        <f aca="false">IF($A1119="","",IF($H1119="-","-",IF(AND(IF(원본명단!$H1118="",TRUE(),COUNTIF(원본명단!$H$3:$H1118,원본명단!$H1118)=1),IF(원본명단!$I1118="",TRUE(),COUNTIF(원본명단!$I$3:$I1118,원본명단!$I1118)=1),IF(원본명단!$K1118="",TRUE(),COUNTIF(원본명단!$K$3:$K1118,원본명단!$K1118)=1)),"첫 건","중복 건")))</f>
        <v/>
      </c>
      <c r="J1119" s="11" t="str">
        <f aca="false">IF($A1119="","",IF($H1119="-","유지",IF($I1119="첫 건","유지","확인 필요")))</f>
        <v/>
      </c>
    </row>
    <row r="1120" customFormat="false" ht="15" hidden="false" customHeight="true" outlineLevel="0" collapsed="false">
      <c r="A1120" s="11" t="str">
        <f aca="false">IF(원본명단!$A1119="","",1117)</f>
        <v/>
      </c>
      <c r="B1120" s="12" t="str">
        <f aca="false">IF($A1120="","",원본명단!$A1119)</f>
        <v/>
      </c>
      <c r="C1120" s="12" t="str">
        <f aca="false">IF($A1120="","",원본명단!$B1119)</f>
        <v/>
      </c>
      <c r="D1120" s="12" t="str">
        <f aca="false">IF($A1120="","",원본명단!$D1119)</f>
        <v/>
      </c>
      <c r="E1120" s="11" t="str">
        <f aca="false">IF($A1120="","",IF(원본명단!$H1119="",0,COUNTIF(원본명단!$H$3:$H$6002,원본명단!$H1119)))</f>
        <v/>
      </c>
      <c r="F1120" s="11" t="str">
        <f aca="false">IF($A1120="","",IF(원본명단!$I1119="",0,COUNTIF(원본명단!$I$3:$I$6002,원본명단!$I1119)))</f>
        <v/>
      </c>
      <c r="G1120" s="11" t="str">
        <f aca="false">IF($A1120="","",IF(원본명단!$K1119="",0,COUNTIF(원본명단!$K$3:$K$6002,원본명단!$K1119)))</f>
        <v/>
      </c>
      <c r="H1120" s="11" t="str">
        <f aca="false">IF($A1120="","",IF(MAX($E1120,$F1120,$G1120)&gt;1,"중복","-"))</f>
        <v/>
      </c>
      <c r="I1120" s="11" t="str">
        <f aca="false">IF($A1120="","",IF($H1120="-","-",IF(AND(IF(원본명단!$H1119="",TRUE(),COUNTIF(원본명단!$H$3:$H1119,원본명단!$H1119)=1),IF(원본명단!$I1119="",TRUE(),COUNTIF(원본명단!$I$3:$I1119,원본명단!$I1119)=1),IF(원본명단!$K1119="",TRUE(),COUNTIF(원본명단!$K$3:$K1119,원본명단!$K1119)=1)),"첫 건","중복 건")))</f>
        <v/>
      </c>
      <c r="J1120" s="11" t="str">
        <f aca="false">IF($A1120="","",IF($H1120="-","유지",IF($I1120="첫 건","유지","확인 필요")))</f>
        <v/>
      </c>
    </row>
    <row r="1121" customFormat="false" ht="15" hidden="false" customHeight="true" outlineLevel="0" collapsed="false">
      <c r="A1121" s="11" t="str">
        <f aca="false">IF(원본명단!$A1120="","",1118)</f>
        <v/>
      </c>
      <c r="B1121" s="12" t="str">
        <f aca="false">IF($A1121="","",원본명단!$A1120)</f>
        <v/>
      </c>
      <c r="C1121" s="12" t="str">
        <f aca="false">IF($A1121="","",원본명단!$B1120)</f>
        <v/>
      </c>
      <c r="D1121" s="12" t="str">
        <f aca="false">IF($A1121="","",원본명단!$D1120)</f>
        <v/>
      </c>
      <c r="E1121" s="11" t="str">
        <f aca="false">IF($A1121="","",IF(원본명단!$H1120="",0,COUNTIF(원본명단!$H$3:$H$6002,원본명단!$H1120)))</f>
        <v/>
      </c>
      <c r="F1121" s="11" t="str">
        <f aca="false">IF($A1121="","",IF(원본명단!$I1120="",0,COUNTIF(원본명단!$I$3:$I$6002,원본명단!$I1120)))</f>
        <v/>
      </c>
      <c r="G1121" s="11" t="str">
        <f aca="false">IF($A1121="","",IF(원본명단!$K1120="",0,COUNTIF(원본명단!$K$3:$K$6002,원본명단!$K1120)))</f>
        <v/>
      </c>
      <c r="H1121" s="11" t="str">
        <f aca="false">IF($A1121="","",IF(MAX($E1121,$F1121,$G1121)&gt;1,"중복","-"))</f>
        <v/>
      </c>
      <c r="I1121" s="11" t="str">
        <f aca="false">IF($A1121="","",IF($H1121="-","-",IF(AND(IF(원본명단!$H1120="",TRUE(),COUNTIF(원본명단!$H$3:$H1120,원본명단!$H1120)=1),IF(원본명단!$I1120="",TRUE(),COUNTIF(원본명단!$I$3:$I1120,원본명단!$I1120)=1),IF(원본명단!$K1120="",TRUE(),COUNTIF(원본명단!$K$3:$K1120,원본명단!$K1120)=1)),"첫 건","중복 건")))</f>
        <v/>
      </c>
      <c r="J1121" s="11" t="str">
        <f aca="false">IF($A1121="","",IF($H1121="-","유지",IF($I1121="첫 건","유지","확인 필요")))</f>
        <v/>
      </c>
    </row>
    <row r="1122" customFormat="false" ht="15" hidden="false" customHeight="true" outlineLevel="0" collapsed="false">
      <c r="A1122" s="11" t="str">
        <f aca="false">IF(원본명단!$A1121="","",1119)</f>
        <v/>
      </c>
      <c r="B1122" s="12" t="str">
        <f aca="false">IF($A1122="","",원본명단!$A1121)</f>
        <v/>
      </c>
      <c r="C1122" s="12" t="str">
        <f aca="false">IF($A1122="","",원본명단!$B1121)</f>
        <v/>
      </c>
      <c r="D1122" s="12" t="str">
        <f aca="false">IF($A1122="","",원본명단!$D1121)</f>
        <v/>
      </c>
      <c r="E1122" s="11" t="str">
        <f aca="false">IF($A1122="","",IF(원본명단!$H1121="",0,COUNTIF(원본명단!$H$3:$H$6002,원본명단!$H1121)))</f>
        <v/>
      </c>
      <c r="F1122" s="11" t="str">
        <f aca="false">IF($A1122="","",IF(원본명단!$I1121="",0,COUNTIF(원본명단!$I$3:$I$6002,원본명단!$I1121)))</f>
        <v/>
      </c>
      <c r="G1122" s="11" t="str">
        <f aca="false">IF($A1122="","",IF(원본명단!$K1121="",0,COUNTIF(원본명단!$K$3:$K$6002,원본명단!$K1121)))</f>
        <v/>
      </c>
      <c r="H1122" s="11" t="str">
        <f aca="false">IF($A1122="","",IF(MAX($E1122,$F1122,$G1122)&gt;1,"중복","-"))</f>
        <v/>
      </c>
      <c r="I1122" s="11" t="str">
        <f aca="false">IF($A1122="","",IF($H1122="-","-",IF(AND(IF(원본명단!$H1121="",TRUE(),COUNTIF(원본명단!$H$3:$H1121,원본명단!$H1121)=1),IF(원본명단!$I1121="",TRUE(),COUNTIF(원본명단!$I$3:$I1121,원본명단!$I1121)=1),IF(원본명단!$K1121="",TRUE(),COUNTIF(원본명단!$K$3:$K1121,원본명단!$K1121)=1)),"첫 건","중복 건")))</f>
        <v/>
      </c>
      <c r="J1122" s="11" t="str">
        <f aca="false">IF($A1122="","",IF($H1122="-","유지",IF($I1122="첫 건","유지","확인 필요")))</f>
        <v/>
      </c>
    </row>
    <row r="1123" customFormat="false" ht="15" hidden="false" customHeight="true" outlineLevel="0" collapsed="false">
      <c r="A1123" s="11" t="str">
        <f aca="false">IF(원본명단!$A1122="","",1120)</f>
        <v/>
      </c>
      <c r="B1123" s="12" t="str">
        <f aca="false">IF($A1123="","",원본명단!$A1122)</f>
        <v/>
      </c>
      <c r="C1123" s="12" t="str">
        <f aca="false">IF($A1123="","",원본명단!$B1122)</f>
        <v/>
      </c>
      <c r="D1123" s="12" t="str">
        <f aca="false">IF($A1123="","",원본명단!$D1122)</f>
        <v/>
      </c>
      <c r="E1123" s="11" t="str">
        <f aca="false">IF($A1123="","",IF(원본명단!$H1122="",0,COUNTIF(원본명단!$H$3:$H$6002,원본명단!$H1122)))</f>
        <v/>
      </c>
      <c r="F1123" s="11" t="str">
        <f aca="false">IF($A1123="","",IF(원본명단!$I1122="",0,COUNTIF(원본명단!$I$3:$I$6002,원본명단!$I1122)))</f>
        <v/>
      </c>
      <c r="G1123" s="11" t="str">
        <f aca="false">IF($A1123="","",IF(원본명단!$K1122="",0,COUNTIF(원본명단!$K$3:$K$6002,원본명단!$K1122)))</f>
        <v/>
      </c>
      <c r="H1123" s="11" t="str">
        <f aca="false">IF($A1123="","",IF(MAX($E1123,$F1123,$G1123)&gt;1,"중복","-"))</f>
        <v/>
      </c>
      <c r="I1123" s="11" t="str">
        <f aca="false">IF($A1123="","",IF($H1123="-","-",IF(AND(IF(원본명단!$H1122="",TRUE(),COUNTIF(원본명단!$H$3:$H1122,원본명단!$H1122)=1),IF(원본명단!$I1122="",TRUE(),COUNTIF(원본명단!$I$3:$I1122,원본명단!$I1122)=1),IF(원본명단!$K1122="",TRUE(),COUNTIF(원본명단!$K$3:$K1122,원본명단!$K1122)=1)),"첫 건","중복 건")))</f>
        <v/>
      </c>
      <c r="J1123" s="11" t="str">
        <f aca="false">IF($A1123="","",IF($H1123="-","유지",IF($I1123="첫 건","유지","확인 필요")))</f>
        <v/>
      </c>
    </row>
    <row r="1124" customFormat="false" ht="15" hidden="false" customHeight="true" outlineLevel="0" collapsed="false">
      <c r="A1124" s="11" t="str">
        <f aca="false">IF(원본명단!$A1123="","",1121)</f>
        <v/>
      </c>
      <c r="B1124" s="12" t="str">
        <f aca="false">IF($A1124="","",원본명단!$A1123)</f>
        <v/>
      </c>
      <c r="C1124" s="12" t="str">
        <f aca="false">IF($A1124="","",원본명단!$B1123)</f>
        <v/>
      </c>
      <c r="D1124" s="12" t="str">
        <f aca="false">IF($A1124="","",원본명단!$D1123)</f>
        <v/>
      </c>
      <c r="E1124" s="11" t="str">
        <f aca="false">IF($A1124="","",IF(원본명단!$H1123="",0,COUNTIF(원본명단!$H$3:$H$6002,원본명단!$H1123)))</f>
        <v/>
      </c>
      <c r="F1124" s="11" t="str">
        <f aca="false">IF($A1124="","",IF(원본명단!$I1123="",0,COUNTIF(원본명단!$I$3:$I$6002,원본명단!$I1123)))</f>
        <v/>
      </c>
      <c r="G1124" s="11" t="str">
        <f aca="false">IF($A1124="","",IF(원본명단!$K1123="",0,COUNTIF(원본명단!$K$3:$K$6002,원본명단!$K1123)))</f>
        <v/>
      </c>
      <c r="H1124" s="11" t="str">
        <f aca="false">IF($A1124="","",IF(MAX($E1124,$F1124,$G1124)&gt;1,"중복","-"))</f>
        <v/>
      </c>
      <c r="I1124" s="11" t="str">
        <f aca="false">IF($A1124="","",IF($H1124="-","-",IF(AND(IF(원본명단!$H1123="",TRUE(),COUNTIF(원본명단!$H$3:$H1123,원본명단!$H1123)=1),IF(원본명단!$I1123="",TRUE(),COUNTIF(원본명단!$I$3:$I1123,원본명단!$I1123)=1),IF(원본명단!$K1123="",TRUE(),COUNTIF(원본명단!$K$3:$K1123,원본명단!$K1123)=1)),"첫 건","중복 건")))</f>
        <v/>
      </c>
      <c r="J1124" s="11" t="str">
        <f aca="false">IF($A1124="","",IF($H1124="-","유지",IF($I1124="첫 건","유지","확인 필요")))</f>
        <v/>
      </c>
    </row>
    <row r="1125" customFormat="false" ht="15" hidden="false" customHeight="true" outlineLevel="0" collapsed="false">
      <c r="A1125" s="11" t="str">
        <f aca="false">IF(원본명단!$A1124="","",1122)</f>
        <v/>
      </c>
      <c r="B1125" s="12" t="str">
        <f aca="false">IF($A1125="","",원본명단!$A1124)</f>
        <v/>
      </c>
      <c r="C1125" s="12" t="str">
        <f aca="false">IF($A1125="","",원본명단!$B1124)</f>
        <v/>
      </c>
      <c r="D1125" s="12" t="str">
        <f aca="false">IF($A1125="","",원본명단!$D1124)</f>
        <v/>
      </c>
      <c r="E1125" s="11" t="str">
        <f aca="false">IF($A1125="","",IF(원본명단!$H1124="",0,COUNTIF(원본명단!$H$3:$H$6002,원본명단!$H1124)))</f>
        <v/>
      </c>
      <c r="F1125" s="11" t="str">
        <f aca="false">IF($A1125="","",IF(원본명단!$I1124="",0,COUNTIF(원본명단!$I$3:$I$6002,원본명단!$I1124)))</f>
        <v/>
      </c>
      <c r="G1125" s="11" t="str">
        <f aca="false">IF($A1125="","",IF(원본명단!$K1124="",0,COUNTIF(원본명단!$K$3:$K$6002,원본명단!$K1124)))</f>
        <v/>
      </c>
      <c r="H1125" s="11" t="str">
        <f aca="false">IF($A1125="","",IF(MAX($E1125,$F1125,$G1125)&gt;1,"중복","-"))</f>
        <v/>
      </c>
      <c r="I1125" s="11" t="str">
        <f aca="false">IF($A1125="","",IF($H1125="-","-",IF(AND(IF(원본명단!$H1124="",TRUE(),COUNTIF(원본명단!$H$3:$H1124,원본명단!$H1124)=1),IF(원본명단!$I1124="",TRUE(),COUNTIF(원본명단!$I$3:$I1124,원본명단!$I1124)=1),IF(원본명단!$K1124="",TRUE(),COUNTIF(원본명단!$K$3:$K1124,원본명단!$K1124)=1)),"첫 건","중복 건")))</f>
        <v/>
      </c>
      <c r="J1125" s="11" t="str">
        <f aca="false">IF($A1125="","",IF($H1125="-","유지",IF($I1125="첫 건","유지","확인 필요")))</f>
        <v/>
      </c>
    </row>
    <row r="1126" customFormat="false" ht="15" hidden="false" customHeight="true" outlineLevel="0" collapsed="false">
      <c r="A1126" s="11" t="str">
        <f aca="false">IF(원본명단!$A1125="","",1123)</f>
        <v/>
      </c>
      <c r="B1126" s="12" t="str">
        <f aca="false">IF($A1126="","",원본명단!$A1125)</f>
        <v/>
      </c>
      <c r="C1126" s="12" t="str">
        <f aca="false">IF($A1126="","",원본명단!$B1125)</f>
        <v/>
      </c>
      <c r="D1126" s="12" t="str">
        <f aca="false">IF($A1126="","",원본명단!$D1125)</f>
        <v/>
      </c>
      <c r="E1126" s="11" t="str">
        <f aca="false">IF($A1126="","",IF(원본명단!$H1125="",0,COUNTIF(원본명단!$H$3:$H$6002,원본명단!$H1125)))</f>
        <v/>
      </c>
      <c r="F1126" s="11" t="str">
        <f aca="false">IF($A1126="","",IF(원본명단!$I1125="",0,COUNTIF(원본명단!$I$3:$I$6002,원본명단!$I1125)))</f>
        <v/>
      </c>
      <c r="G1126" s="11" t="str">
        <f aca="false">IF($A1126="","",IF(원본명단!$K1125="",0,COUNTIF(원본명단!$K$3:$K$6002,원본명단!$K1125)))</f>
        <v/>
      </c>
      <c r="H1126" s="11" t="str">
        <f aca="false">IF($A1126="","",IF(MAX($E1126,$F1126,$G1126)&gt;1,"중복","-"))</f>
        <v/>
      </c>
      <c r="I1126" s="11" t="str">
        <f aca="false">IF($A1126="","",IF($H1126="-","-",IF(AND(IF(원본명단!$H1125="",TRUE(),COUNTIF(원본명단!$H$3:$H1125,원본명단!$H1125)=1),IF(원본명단!$I1125="",TRUE(),COUNTIF(원본명단!$I$3:$I1125,원본명단!$I1125)=1),IF(원본명단!$K1125="",TRUE(),COUNTIF(원본명단!$K$3:$K1125,원본명단!$K1125)=1)),"첫 건","중복 건")))</f>
        <v/>
      </c>
      <c r="J1126" s="11" t="str">
        <f aca="false">IF($A1126="","",IF($H1126="-","유지",IF($I1126="첫 건","유지","확인 필요")))</f>
        <v/>
      </c>
    </row>
    <row r="1127" customFormat="false" ht="15" hidden="false" customHeight="true" outlineLevel="0" collapsed="false">
      <c r="A1127" s="11" t="str">
        <f aca="false">IF(원본명단!$A1126="","",1124)</f>
        <v/>
      </c>
      <c r="B1127" s="12" t="str">
        <f aca="false">IF($A1127="","",원본명단!$A1126)</f>
        <v/>
      </c>
      <c r="C1127" s="12" t="str">
        <f aca="false">IF($A1127="","",원본명단!$B1126)</f>
        <v/>
      </c>
      <c r="D1127" s="12" t="str">
        <f aca="false">IF($A1127="","",원본명단!$D1126)</f>
        <v/>
      </c>
      <c r="E1127" s="11" t="str">
        <f aca="false">IF($A1127="","",IF(원본명단!$H1126="",0,COUNTIF(원본명단!$H$3:$H$6002,원본명단!$H1126)))</f>
        <v/>
      </c>
      <c r="F1127" s="11" t="str">
        <f aca="false">IF($A1127="","",IF(원본명단!$I1126="",0,COUNTIF(원본명단!$I$3:$I$6002,원본명단!$I1126)))</f>
        <v/>
      </c>
      <c r="G1127" s="11" t="str">
        <f aca="false">IF($A1127="","",IF(원본명단!$K1126="",0,COUNTIF(원본명단!$K$3:$K$6002,원본명단!$K1126)))</f>
        <v/>
      </c>
      <c r="H1127" s="11" t="str">
        <f aca="false">IF($A1127="","",IF(MAX($E1127,$F1127,$G1127)&gt;1,"중복","-"))</f>
        <v/>
      </c>
      <c r="I1127" s="11" t="str">
        <f aca="false">IF($A1127="","",IF($H1127="-","-",IF(AND(IF(원본명단!$H1126="",TRUE(),COUNTIF(원본명단!$H$3:$H1126,원본명단!$H1126)=1),IF(원본명단!$I1126="",TRUE(),COUNTIF(원본명단!$I$3:$I1126,원본명단!$I1126)=1),IF(원본명단!$K1126="",TRUE(),COUNTIF(원본명단!$K$3:$K1126,원본명단!$K1126)=1)),"첫 건","중복 건")))</f>
        <v/>
      </c>
      <c r="J1127" s="11" t="str">
        <f aca="false">IF($A1127="","",IF($H1127="-","유지",IF($I1127="첫 건","유지","확인 필요")))</f>
        <v/>
      </c>
    </row>
    <row r="1128" customFormat="false" ht="15" hidden="false" customHeight="true" outlineLevel="0" collapsed="false">
      <c r="A1128" s="11" t="str">
        <f aca="false">IF(원본명단!$A1127="","",1125)</f>
        <v/>
      </c>
      <c r="B1128" s="12" t="str">
        <f aca="false">IF($A1128="","",원본명단!$A1127)</f>
        <v/>
      </c>
      <c r="C1128" s="12" t="str">
        <f aca="false">IF($A1128="","",원본명단!$B1127)</f>
        <v/>
      </c>
      <c r="D1128" s="12" t="str">
        <f aca="false">IF($A1128="","",원본명단!$D1127)</f>
        <v/>
      </c>
      <c r="E1128" s="11" t="str">
        <f aca="false">IF($A1128="","",IF(원본명단!$H1127="",0,COUNTIF(원본명단!$H$3:$H$6002,원본명단!$H1127)))</f>
        <v/>
      </c>
      <c r="F1128" s="11" t="str">
        <f aca="false">IF($A1128="","",IF(원본명단!$I1127="",0,COUNTIF(원본명단!$I$3:$I$6002,원본명단!$I1127)))</f>
        <v/>
      </c>
      <c r="G1128" s="11" t="str">
        <f aca="false">IF($A1128="","",IF(원본명단!$K1127="",0,COUNTIF(원본명단!$K$3:$K$6002,원본명단!$K1127)))</f>
        <v/>
      </c>
      <c r="H1128" s="11" t="str">
        <f aca="false">IF($A1128="","",IF(MAX($E1128,$F1128,$G1128)&gt;1,"중복","-"))</f>
        <v/>
      </c>
      <c r="I1128" s="11" t="str">
        <f aca="false">IF($A1128="","",IF($H1128="-","-",IF(AND(IF(원본명단!$H1127="",TRUE(),COUNTIF(원본명단!$H$3:$H1127,원본명단!$H1127)=1),IF(원본명단!$I1127="",TRUE(),COUNTIF(원본명단!$I$3:$I1127,원본명단!$I1127)=1),IF(원본명단!$K1127="",TRUE(),COUNTIF(원본명단!$K$3:$K1127,원본명단!$K1127)=1)),"첫 건","중복 건")))</f>
        <v/>
      </c>
      <c r="J1128" s="11" t="str">
        <f aca="false">IF($A1128="","",IF($H1128="-","유지",IF($I1128="첫 건","유지","확인 필요")))</f>
        <v/>
      </c>
    </row>
    <row r="1129" customFormat="false" ht="15" hidden="false" customHeight="true" outlineLevel="0" collapsed="false">
      <c r="A1129" s="11" t="str">
        <f aca="false">IF(원본명단!$A1128="","",1126)</f>
        <v/>
      </c>
      <c r="B1129" s="12" t="str">
        <f aca="false">IF($A1129="","",원본명단!$A1128)</f>
        <v/>
      </c>
      <c r="C1129" s="12" t="str">
        <f aca="false">IF($A1129="","",원본명단!$B1128)</f>
        <v/>
      </c>
      <c r="D1129" s="12" t="str">
        <f aca="false">IF($A1129="","",원본명단!$D1128)</f>
        <v/>
      </c>
      <c r="E1129" s="11" t="str">
        <f aca="false">IF($A1129="","",IF(원본명단!$H1128="",0,COUNTIF(원본명단!$H$3:$H$6002,원본명단!$H1128)))</f>
        <v/>
      </c>
      <c r="F1129" s="11" t="str">
        <f aca="false">IF($A1129="","",IF(원본명단!$I1128="",0,COUNTIF(원본명단!$I$3:$I$6002,원본명단!$I1128)))</f>
        <v/>
      </c>
      <c r="G1129" s="11" t="str">
        <f aca="false">IF($A1129="","",IF(원본명단!$K1128="",0,COUNTIF(원본명단!$K$3:$K$6002,원본명단!$K1128)))</f>
        <v/>
      </c>
      <c r="H1129" s="11" t="str">
        <f aca="false">IF($A1129="","",IF(MAX($E1129,$F1129,$G1129)&gt;1,"중복","-"))</f>
        <v/>
      </c>
      <c r="I1129" s="11" t="str">
        <f aca="false">IF($A1129="","",IF($H1129="-","-",IF(AND(IF(원본명단!$H1128="",TRUE(),COUNTIF(원본명단!$H$3:$H1128,원본명단!$H1128)=1),IF(원본명단!$I1128="",TRUE(),COUNTIF(원본명단!$I$3:$I1128,원본명단!$I1128)=1),IF(원본명단!$K1128="",TRUE(),COUNTIF(원본명단!$K$3:$K1128,원본명단!$K1128)=1)),"첫 건","중복 건")))</f>
        <v/>
      </c>
      <c r="J1129" s="11" t="str">
        <f aca="false">IF($A1129="","",IF($H1129="-","유지",IF($I1129="첫 건","유지","확인 필요")))</f>
        <v/>
      </c>
    </row>
    <row r="1130" customFormat="false" ht="15" hidden="false" customHeight="true" outlineLevel="0" collapsed="false">
      <c r="A1130" s="11" t="str">
        <f aca="false">IF(원본명단!$A1129="","",1127)</f>
        <v/>
      </c>
      <c r="B1130" s="12" t="str">
        <f aca="false">IF($A1130="","",원본명단!$A1129)</f>
        <v/>
      </c>
      <c r="C1130" s="12" t="str">
        <f aca="false">IF($A1130="","",원본명단!$B1129)</f>
        <v/>
      </c>
      <c r="D1130" s="12" t="str">
        <f aca="false">IF($A1130="","",원본명단!$D1129)</f>
        <v/>
      </c>
      <c r="E1130" s="11" t="str">
        <f aca="false">IF($A1130="","",IF(원본명단!$H1129="",0,COUNTIF(원본명단!$H$3:$H$6002,원본명단!$H1129)))</f>
        <v/>
      </c>
      <c r="F1130" s="11" t="str">
        <f aca="false">IF($A1130="","",IF(원본명단!$I1129="",0,COUNTIF(원본명단!$I$3:$I$6002,원본명단!$I1129)))</f>
        <v/>
      </c>
      <c r="G1130" s="11" t="str">
        <f aca="false">IF($A1130="","",IF(원본명단!$K1129="",0,COUNTIF(원본명단!$K$3:$K$6002,원본명단!$K1129)))</f>
        <v/>
      </c>
      <c r="H1130" s="11" t="str">
        <f aca="false">IF($A1130="","",IF(MAX($E1130,$F1130,$G1130)&gt;1,"중복","-"))</f>
        <v/>
      </c>
      <c r="I1130" s="11" t="str">
        <f aca="false">IF($A1130="","",IF($H1130="-","-",IF(AND(IF(원본명단!$H1129="",TRUE(),COUNTIF(원본명단!$H$3:$H1129,원본명단!$H1129)=1),IF(원본명단!$I1129="",TRUE(),COUNTIF(원본명단!$I$3:$I1129,원본명단!$I1129)=1),IF(원본명단!$K1129="",TRUE(),COUNTIF(원본명단!$K$3:$K1129,원본명단!$K1129)=1)),"첫 건","중복 건")))</f>
        <v/>
      </c>
      <c r="J1130" s="11" t="str">
        <f aca="false">IF($A1130="","",IF($H1130="-","유지",IF($I1130="첫 건","유지","확인 필요")))</f>
        <v/>
      </c>
    </row>
    <row r="1131" customFormat="false" ht="15" hidden="false" customHeight="true" outlineLevel="0" collapsed="false">
      <c r="A1131" s="11" t="str">
        <f aca="false">IF(원본명단!$A1130="","",1128)</f>
        <v/>
      </c>
      <c r="B1131" s="12" t="str">
        <f aca="false">IF($A1131="","",원본명단!$A1130)</f>
        <v/>
      </c>
      <c r="C1131" s="12" t="str">
        <f aca="false">IF($A1131="","",원본명단!$B1130)</f>
        <v/>
      </c>
      <c r="D1131" s="12" t="str">
        <f aca="false">IF($A1131="","",원본명단!$D1130)</f>
        <v/>
      </c>
      <c r="E1131" s="11" t="str">
        <f aca="false">IF($A1131="","",IF(원본명단!$H1130="",0,COUNTIF(원본명단!$H$3:$H$6002,원본명단!$H1130)))</f>
        <v/>
      </c>
      <c r="F1131" s="11" t="str">
        <f aca="false">IF($A1131="","",IF(원본명단!$I1130="",0,COUNTIF(원본명단!$I$3:$I$6002,원본명단!$I1130)))</f>
        <v/>
      </c>
      <c r="G1131" s="11" t="str">
        <f aca="false">IF($A1131="","",IF(원본명단!$K1130="",0,COUNTIF(원본명단!$K$3:$K$6002,원본명단!$K1130)))</f>
        <v/>
      </c>
      <c r="H1131" s="11" t="str">
        <f aca="false">IF($A1131="","",IF(MAX($E1131,$F1131,$G1131)&gt;1,"중복","-"))</f>
        <v/>
      </c>
      <c r="I1131" s="11" t="str">
        <f aca="false">IF($A1131="","",IF($H1131="-","-",IF(AND(IF(원본명단!$H1130="",TRUE(),COUNTIF(원본명단!$H$3:$H1130,원본명단!$H1130)=1),IF(원본명단!$I1130="",TRUE(),COUNTIF(원본명단!$I$3:$I1130,원본명단!$I1130)=1),IF(원본명단!$K1130="",TRUE(),COUNTIF(원본명단!$K$3:$K1130,원본명단!$K1130)=1)),"첫 건","중복 건")))</f>
        <v/>
      </c>
      <c r="J1131" s="11" t="str">
        <f aca="false">IF($A1131="","",IF($H1131="-","유지",IF($I1131="첫 건","유지","확인 필요")))</f>
        <v/>
      </c>
    </row>
    <row r="1132" customFormat="false" ht="15" hidden="false" customHeight="true" outlineLevel="0" collapsed="false">
      <c r="A1132" s="11" t="str">
        <f aca="false">IF(원본명단!$A1131="","",1129)</f>
        <v/>
      </c>
      <c r="B1132" s="12" t="str">
        <f aca="false">IF($A1132="","",원본명단!$A1131)</f>
        <v/>
      </c>
      <c r="C1132" s="12" t="str">
        <f aca="false">IF($A1132="","",원본명단!$B1131)</f>
        <v/>
      </c>
      <c r="D1132" s="12" t="str">
        <f aca="false">IF($A1132="","",원본명단!$D1131)</f>
        <v/>
      </c>
      <c r="E1132" s="11" t="str">
        <f aca="false">IF($A1132="","",IF(원본명단!$H1131="",0,COUNTIF(원본명단!$H$3:$H$6002,원본명단!$H1131)))</f>
        <v/>
      </c>
      <c r="F1132" s="11" t="str">
        <f aca="false">IF($A1132="","",IF(원본명단!$I1131="",0,COUNTIF(원본명단!$I$3:$I$6002,원본명단!$I1131)))</f>
        <v/>
      </c>
      <c r="G1132" s="11" t="str">
        <f aca="false">IF($A1132="","",IF(원본명단!$K1131="",0,COUNTIF(원본명단!$K$3:$K$6002,원본명단!$K1131)))</f>
        <v/>
      </c>
      <c r="H1132" s="11" t="str">
        <f aca="false">IF($A1132="","",IF(MAX($E1132,$F1132,$G1132)&gt;1,"중복","-"))</f>
        <v/>
      </c>
      <c r="I1132" s="11" t="str">
        <f aca="false">IF($A1132="","",IF($H1132="-","-",IF(AND(IF(원본명단!$H1131="",TRUE(),COUNTIF(원본명단!$H$3:$H1131,원본명단!$H1131)=1),IF(원본명단!$I1131="",TRUE(),COUNTIF(원본명단!$I$3:$I1131,원본명단!$I1131)=1),IF(원본명단!$K1131="",TRUE(),COUNTIF(원본명단!$K$3:$K1131,원본명단!$K1131)=1)),"첫 건","중복 건")))</f>
        <v/>
      </c>
      <c r="J1132" s="11" t="str">
        <f aca="false">IF($A1132="","",IF($H1132="-","유지",IF($I1132="첫 건","유지","확인 필요")))</f>
        <v/>
      </c>
    </row>
    <row r="1133" customFormat="false" ht="15" hidden="false" customHeight="true" outlineLevel="0" collapsed="false">
      <c r="A1133" s="11" t="str">
        <f aca="false">IF(원본명단!$A1132="","",1130)</f>
        <v/>
      </c>
      <c r="B1133" s="12" t="str">
        <f aca="false">IF($A1133="","",원본명단!$A1132)</f>
        <v/>
      </c>
      <c r="C1133" s="12" t="str">
        <f aca="false">IF($A1133="","",원본명단!$B1132)</f>
        <v/>
      </c>
      <c r="D1133" s="12" t="str">
        <f aca="false">IF($A1133="","",원본명단!$D1132)</f>
        <v/>
      </c>
      <c r="E1133" s="11" t="str">
        <f aca="false">IF($A1133="","",IF(원본명단!$H1132="",0,COUNTIF(원본명단!$H$3:$H$6002,원본명단!$H1132)))</f>
        <v/>
      </c>
      <c r="F1133" s="11" t="str">
        <f aca="false">IF($A1133="","",IF(원본명단!$I1132="",0,COUNTIF(원본명단!$I$3:$I$6002,원본명단!$I1132)))</f>
        <v/>
      </c>
      <c r="G1133" s="11" t="str">
        <f aca="false">IF($A1133="","",IF(원본명단!$K1132="",0,COUNTIF(원본명단!$K$3:$K$6002,원본명단!$K1132)))</f>
        <v/>
      </c>
      <c r="H1133" s="11" t="str">
        <f aca="false">IF($A1133="","",IF(MAX($E1133,$F1133,$G1133)&gt;1,"중복","-"))</f>
        <v/>
      </c>
      <c r="I1133" s="11" t="str">
        <f aca="false">IF($A1133="","",IF($H1133="-","-",IF(AND(IF(원본명단!$H1132="",TRUE(),COUNTIF(원본명단!$H$3:$H1132,원본명단!$H1132)=1),IF(원본명단!$I1132="",TRUE(),COUNTIF(원본명단!$I$3:$I1132,원본명단!$I1132)=1),IF(원본명단!$K1132="",TRUE(),COUNTIF(원본명단!$K$3:$K1132,원본명단!$K1132)=1)),"첫 건","중복 건")))</f>
        <v/>
      </c>
      <c r="J1133" s="11" t="str">
        <f aca="false">IF($A1133="","",IF($H1133="-","유지",IF($I1133="첫 건","유지","확인 필요")))</f>
        <v/>
      </c>
    </row>
    <row r="1134" customFormat="false" ht="15" hidden="false" customHeight="true" outlineLevel="0" collapsed="false">
      <c r="A1134" s="11" t="str">
        <f aca="false">IF(원본명단!$A1133="","",1131)</f>
        <v/>
      </c>
      <c r="B1134" s="12" t="str">
        <f aca="false">IF($A1134="","",원본명단!$A1133)</f>
        <v/>
      </c>
      <c r="C1134" s="12" t="str">
        <f aca="false">IF($A1134="","",원본명단!$B1133)</f>
        <v/>
      </c>
      <c r="D1134" s="12" t="str">
        <f aca="false">IF($A1134="","",원본명단!$D1133)</f>
        <v/>
      </c>
      <c r="E1134" s="11" t="str">
        <f aca="false">IF($A1134="","",IF(원본명단!$H1133="",0,COUNTIF(원본명단!$H$3:$H$6002,원본명단!$H1133)))</f>
        <v/>
      </c>
      <c r="F1134" s="11" t="str">
        <f aca="false">IF($A1134="","",IF(원본명단!$I1133="",0,COUNTIF(원본명단!$I$3:$I$6002,원본명단!$I1133)))</f>
        <v/>
      </c>
      <c r="G1134" s="11" t="str">
        <f aca="false">IF($A1134="","",IF(원본명단!$K1133="",0,COUNTIF(원본명단!$K$3:$K$6002,원본명단!$K1133)))</f>
        <v/>
      </c>
      <c r="H1134" s="11" t="str">
        <f aca="false">IF($A1134="","",IF(MAX($E1134,$F1134,$G1134)&gt;1,"중복","-"))</f>
        <v/>
      </c>
      <c r="I1134" s="11" t="str">
        <f aca="false">IF($A1134="","",IF($H1134="-","-",IF(AND(IF(원본명단!$H1133="",TRUE(),COUNTIF(원본명단!$H$3:$H1133,원본명단!$H1133)=1),IF(원본명단!$I1133="",TRUE(),COUNTIF(원본명단!$I$3:$I1133,원본명단!$I1133)=1),IF(원본명단!$K1133="",TRUE(),COUNTIF(원본명단!$K$3:$K1133,원본명단!$K1133)=1)),"첫 건","중복 건")))</f>
        <v/>
      </c>
      <c r="J1134" s="11" t="str">
        <f aca="false">IF($A1134="","",IF($H1134="-","유지",IF($I1134="첫 건","유지","확인 필요")))</f>
        <v/>
      </c>
    </row>
    <row r="1135" customFormat="false" ht="15" hidden="false" customHeight="true" outlineLevel="0" collapsed="false">
      <c r="A1135" s="11" t="str">
        <f aca="false">IF(원본명단!$A1134="","",1132)</f>
        <v/>
      </c>
      <c r="B1135" s="12" t="str">
        <f aca="false">IF($A1135="","",원본명단!$A1134)</f>
        <v/>
      </c>
      <c r="C1135" s="12" t="str">
        <f aca="false">IF($A1135="","",원본명단!$B1134)</f>
        <v/>
      </c>
      <c r="D1135" s="12" t="str">
        <f aca="false">IF($A1135="","",원본명단!$D1134)</f>
        <v/>
      </c>
      <c r="E1135" s="11" t="str">
        <f aca="false">IF($A1135="","",IF(원본명단!$H1134="",0,COUNTIF(원본명단!$H$3:$H$6002,원본명단!$H1134)))</f>
        <v/>
      </c>
      <c r="F1135" s="11" t="str">
        <f aca="false">IF($A1135="","",IF(원본명단!$I1134="",0,COUNTIF(원본명단!$I$3:$I$6002,원본명단!$I1134)))</f>
        <v/>
      </c>
      <c r="G1135" s="11" t="str">
        <f aca="false">IF($A1135="","",IF(원본명단!$K1134="",0,COUNTIF(원본명단!$K$3:$K$6002,원본명단!$K1134)))</f>
        <v/>
      </c>
      <c r="H1135" s="11" t="str">
        <f aca="false">IF($A1135="","",IF(MAX($E1135,$F1135,$G1135)&gt;1,"중복","-"))</f>
        <v/>
      </c>
      <c r="I1135" s="11" t="str">
        <f aca="false">IF($A1135="","",IF($H1135="-","-",IF(AND(IF(원본명단!$H1134="",TRUE(),COUNTIF(원본명단!$H$3:$H1134,원본명단!$H1134)=1),IF(원본명단!$I1134="",TRUE(),COUNTIF(원본명단!$I$3:$I1134,원본명단!$I1134)=1),IF(원본명단!$K1134="",TRUE(),COUNTIF(원본명단!$K$3:$K1134,원본명단!$K1134)=1)),"첫 건","중복 건")))</f>
        <v/>
      </c>
      <c r="J1135" s="11" t="str">
        <f aca="false">IF($A1135="","",IF($H1135="-","유지",IF($I1135="첫 건","유지","확인 필요")))</f>
        <v/>
      </c>
    </row>
    <row r="1136" customFormat="false" ht="15" hidden="false" customHeight="true" outlineLevel="0" collapsed="false">
      <c r="A1136" s="11" t="str">
        <f aca="false">IF(원본명단!$A1135="","",1133)</f>
        <v/>
      </c>
      <c r="B1136" s="12" t="str">
        <f aca="false">IF($A1136="","",원본명단!$A1135)</f>
        <v/>
      </c>
      <c r="C1136" s="12" t="str">
        <f aca="false">IF($A1136="","",원본명단!$B1135)</f>
        <v/>
      </c>
      <c r="D1136" s="12" t="str">
        <f aca="false">IF($A1136="","",원본명단!$D1135)</f>
        <v/>
      </c>
      <c r="E1136" s="11" t="str">
        <f aca="false">IF($A1136="","",IF(원본명단!$H1135="",0,COUNTIF(원본명단!$H$3:$H$6002,원본명단!$H1135)))</f>
        <v/>
      </c>
      <c r="F1136" s="11" t="str">
        <f aca="false">IF($A1136="","",IF(원본명단!$I1135="",0,COUNTIF(원본명단!$I$3:$I$6002,원본명단!$I1135)))</f>
        <v/>
      </c>
      <c r="G1136" s="11" t="str">
        <f aca="false">IF($A1136="","",IF(원본명단!$K1135="",0,COUNTIF(원본명단!$K$3:$K$6002,원본명단!$K1135)))</f>
        <v/>
      </c>
      <c r="H1136" s="11" t="str">
        <f aca="false">IF($A1136="","",IF(MAX($E1136,$F1136,$G1136)&gt;1,"중복","-"))</f>
        <v/>
      </c>
      <c r="I1136" s="11" t="str">
        <f aca="false">IF($A1136="","",IF($H1136="-","-",IF(AND(IF(원본명단!$H1135="",TRUE(),COUNTIF(원본명단!$H$3:$H1135,원본명단!$H1135)=1),IF(원본명단!$I1135="",TRUE(),COUNTIF(원본명단!$I$3:$I1135,원본명단!$I1135)=1),IF(원본명단!$K1135="",TRUE(),COUNTIF(원본명단!$K$3:$K1135,원본명단!$K1135)=1)),"첫 건","중복 건")))</f>
        <v/>
      </c>
      <c r="J1136" s="11" t="str">
        <f aca="false">IF($A1136="","",IF($H1136="-","유지",IF($I1136="첫 건","유지","확인 필요")))</f>
        <v/>
      </c>
    </row>
    <row r="1137" customFormat="false" ht="15" hidden="false" customHeight="true" outlineLevel="0" collapsed="false">
      <c r="A1137" s="11" t="str">
        <f aca="false">IF(원본명단!$A1136="","",1134)</f>
        <v/>
      </c>
      <c r="B1137" s="12" t="str">
        <f aca="false">IF($A1137="","",원본명단!$A1136)</f>
        <v/>
      </c>
      <c r="C1137" s="12" t="str">
        <f aca="false">IF($A1137="","",원본명단!$B1136)</f>
        <v/>
      </c>
      <c r="D1137" s="12" t="str">
        <f aca="false">IF($A1137="","",원본명단!$D1136)</f>
        <v/>
      </c>
      <c r="E1137" s="11" t="str">
        <f aca="false">IF($A1137="","",IF(원본명단!$H1136="",0,COUNTIF(원본명단!$H$3:$H$6002,원본명단!$H1136)))</f>
        <v/>
      </c>
      <c r="F1137" s="11" t="str">
        <f aca="false">IF($A1137="","",IF(원본명단!$I1136="",0,COUNTIF(원본명단!$I$3:$I$6002,원본명단!$I1136)))</f>
        <v/>
      </c>
      <c r="G1137" s="11" t="str">
        <f aca="false">IF($A1137="","",IF(원본명단!$K1136="",0,COUNTIF(원본명단!$K$3:$K$6002,원본명단!$K1136)))</f>
        <v/>
      </c>
      <c r="H1137" s="11" t="str">
        <f aca="false">IF($A1137="","",IF(MAX($E1137,$F1137,$G1137)&gt;1,"중복","-"))</f>
        <v/>
      </c>
      <c r="I1137" s="11" t="str">
        <f aca="false">IF($A1137="","",IF($H1137="-","-",IF(AND(IF(원본명단!$H1136="",TRUE(),COUNTIF(원본명단!$H$3:$H1136,원본명단!$H1136)=1),IF(원본명단!$I1136="",TRUE(),COUNTIF(원본명단!$I$3:$I1136,원본명단!$I1136)=1),IF(원본명단!$K1136="",TRUE(),COUNTIF(원본명단!$K$3:$K1136,원본명단!$K1136)=1)),"첫 건","중복 건")))</f>
        <v/>
      </c>
      <c r="J1137" s="11" t="str">
        <f aca="false">IF($A1137="","",IF($H1137="-","유지",IF($I1137="첫 건","유지","확인 필요")))</f>
        <v/>
      </c>
    </row>
    <row r="1138" customFormat="false" ht="15" hidden="false" customHeight="true" outlineLevel="0" collapsed="false">
      <c r="A1138" s="11" t="str">
        <f aca="false">IF(원본명단!$A1137="","",1135)</f>
        <v/>
      </c>
      <c r="B1138" s="12" t="str">
        <f aca="false">IF($A1138="","",원본명단!$A1137)</f>
        <v/>
      </c>
      <c r="C1138" s="12" t="str">
        <f aca="false">IF($A1138="","",원본명단!$B1137)</f>
        <v/>
      </c>
      <c r="D1138" s="12" t="str">
        <f aca="false">IF($A1138="","",원본명단!$D1137)</f>
        <v/>
      </c>
      <c r="E1138" s="11" t="str">
        <f aca="false">IF($A1138="","",IF(원본명단!$H1137="",0,COUNTIF(원본명단!$H$3:$H$6002,원본명단!$H1137)))</f>
        <v/>
      </c>
      <c r="F1138" s="11" t="str">
        <f aca="false">IF($A1138="","",IF(원본명단!$I1137="",0,COUNTIF(원본명단!$I$3:$I$6002,원본명단!$I1137)))</f>
        <v/>
      </c>
      <c r="G1138" s="11" t="str">
        <f aca="false">IF($A1138="","",IF(원본명단!$K1137="",0,COUNTIF(원본명단!$K$3:$K$6002,원본명단!$K1137)))</f>
        <v/>
      </c>
      <c r="H1138" s="11" t="str">
        <f aca="false">IF($A1138="","",IF(MAX($E1138,$F1138,$G1138)&gt;1,"중복","-"))</f>
        <v/>
      </c>
      <c r="I1138" s="11" t="str">
        <f aca="false">IF($A1138="","",IF($H1138="-","-",IF(AND(IF(원본명단!$H1137="",TRUE(),COUNTIF(원본명단!$H$3:$H1137,원본명단!$H1137)=1),IF(원본명단!$I1137="",TRUE(),COUNTIF(원본명단!$I$3:$I1137,원본명단!$I1137)=1),IF(원본명단!$K1137="",TRUE(),COUNTIF(원본명단!$K$3:$K1137,원본명단!$K1137)=1)),"첫 건","중복 건")))</f>
        <v/>
      </c>
      <c r="J1138" s="11" t="str">
        <f aca="false">IF($A1138="","",IF($H1138="-","유지",IF($I1138="첫 건","유지","확인 필요")))</f>
        <v/>
      </c>
    </row>
    <row r="1139" customFormat="false" ht="15" hidden="false" customHeight="true" outlineLevel="0" collapsed="false">
      <c r="A1139" s="11" t="str">
        <f aca="false">IF(원본명단!$A1138="","",1136)</f>
        <v/>
      </c>
      <c r="B1139" s="12" t="str">
        <f aca="false">IF($A1139="","",원본명단!$A1138)</f>
        <v/>
      </c>
      <c r="C1139" s="12" t="str">
        <f aca="false">IF($A1139="","",원본명단!$B1138)</f>
        <v/>
      </c>
      <c r="D1139" s="12" t="str">
        <f aca="false">IF($A1139="","",원본명단!$D1138)</f>
        <v/>
      </c>
      <c r="E1139" s="11" t="str">
        <f aca="false">IF($A1139="","",IF(원본명단!$H1138="",0,COUNTIF(원본명단!$H$3:$H$6002,원본명단!$H1138)))</f>
        <v/>
      </c>
      <c r="F1139" s="11" t="str">
        <f aca="false">IF($A1139="","",IF(원본명단!$I1138="",0,COUNTIF(원본명단!$I$3:$I$6002,원본명단!$I1138)))</f>
        <v/>
      </c>
      <c r="G1139" s="11" t="str">
        <f aca="false">IF($A1139="","",IF(원본명단!$K1138="",0,COUNTIF(원본명단!$K$3:$K$6002,원본명단!$K1138)))</f>
        <v/>
      </c>
      <c r="H1139" s="11" t="str">
        <f aca="false">IF($A1139="","",IF(MAX($E1139,$F1139,$G1139)&gt;1,"중복","-"))</f>
        <v/>
      </c>
      <c r="I1139" s="11" t="str">
        <f aca="false">IF($A1139="","",IF($H1139="-","-",IF(AND(IF(원본명단!$H1138="",TRUE(),COUNTIF(원본명단!$H$3:$H1138,원본명단!$H1138)=1),IF(원본명단!$I1138="",TRUE(),COUNTIF(원본명단!$I$3:$I1138,원본명단!$I1138)=1),IF(원본명단!$K1138="",TRUE(),COUNTIF(원본명단!$K$3:$K1138,원본명단!$K1138)=1)),"첫 건","중복 건")))</f>
        <v/>
      </c>
      <c r="J1139" s="11" t="str">
        <f aca="false">IF($A1139="","",IF($H1139="-","유지",IF($I1139="첫 건","유지","확인 필요")))</f>
        <v/>
      </c>
    </row>
    <row r="1140" customFormat="false" ht="15" hidden="false" customHeight="true" outlineLevel="0" collapsed="false">
      <c r="A1140" s="11" t="str">
        <f aca="false">IF(원본명단!$A1139="","",1137)</f>
        <v/>
      </c>
      <c r="B1140" s="12" t="str">
        <f aca="false">IF($A1140="","",원본명단!$A1139)</f>
        <v/>
      </c>
      <c r="C1140" s="12" t="str">
        <f aca="false">IF($A1140="","",원본명단!$B1139)</f>
        <v/>
      </c>
      <c r="D1140" s="12" t="str">
        <f aca="false">IF($A1140="","",원본명단!$D1139)</f>
        <v/>
      </c>
      <c r="E1140" s="11" t="str">
        <f aca="false">IF($A1140="","",IF(원본명단!$H1139="",0,COUNTIF(원본명단!$H$3:$H$6002,원본명단!$H1139)))</f>
        <v/>
      </c>
      <c r="F1140" s="11" t="str">
        <f aca="false">IF($A1140="","",IF(원본명단!$I1139="",0,COUNTIF(원본명단!$I$3:$I$6002,원본명단!$I1139)))</f>
        <v/>
      </c>
      <c r="G1140" s="11" t="str">
        <f aca="false">IF($A1140="","",IF(원본명단!$K1139="",0,COUNTIF(원본명단!$K$3:$K$6002,원본명단!$K1139)))</f>
        <v/>
      </c>
      <c r="H1140" s="11" t="str">
        <f aca="false">IF($A1140="","",IF(MAX($E1140,$F1140,$G1140)&gt;1,"중복","-"))</f>
        <v/>
      </c>
      <c r="I1140" s="11" t="str">
        <f aca="false">IF($A1140="","",IF($H1140="-","-",IF(AND(IF(원본명단!$H1139="",TRUE(),COUNTIF(원본명단!$H$3:$H1139,원본명단!$H1139)=1),IF(원본명단!$I1139="",TRUE(),COUNTIF(원본명단!$I$3:$I1139,원본명단!$I1139)=1),IF(원본명단!$K1139="",TRUE(),COUNTIF(원본명단!$K$3:$K1139,원본명단!$K1139)=1)),"첫 건","중복 건")))</f>
        <v/>
      </c>
      <c r="J1140" s="11" t="str">
        <f aca="false">IF($A1140="","",IF($H1140="-","유지",IF($I1140="첫 건","유지","확인 필요")))</f>
        <v/>
      </c>
    </row>
    <row r="1141" customFormat="false" ht="15" hidden="false" customHeight="true" outlineLevel="0" collapsed="false">
      <c r="A1141" s="11" t="str">
        <f aca="false">IF(원본명단!$A1140="","",1138)</f>
        <v/>
      </c>
      <c r="B1141" s="12" t="str">
        <f aca="false">IF($A1141="","",원본명단!$A1140)</f>
        <v/>
      </c>
      <c r="C1141" s="12" t="str">
        <f aca="false">IF($A1141="","",원본명단!$B1140)</f>
        <v/>
      </c>
      <c r="D1141" s="12" t="str">
        <f aca="false">IF($A1141="","",원본명단!$D1140)</f>
        <v/>
      </c>
      <c r="E1141" s="11" t="str">
        <f aca="false">IF($A1141="","",IF(원본명단!$H1140="",0,COUNTIF(원본명단!$H$3:$H$6002,원본명단!$H1140)))</f>
        <v/>
      </c>
      <c r="F1141" s="11" t="str">
        <f aca="false">IF($A1141="","",IF(원본명단!$I1140="",0,COUNTIF(원본명단!$I$3:$I$6002,원본명단!$I1140)))</f>
        <v/>
      </c>
      <c r="G1141" s="11" t="str">
        <f aca="false">IF($A1141="","",IF(원본명단!$K1140="",0,COUNTIF(원본명단!$K$3:$K$6002,원본명단!$K1140)))</f>
        <v/>
      </c>
      <c r="H1141" s="11" t="str">
        <f aca="false">IF($A1141="","",IF(MAX($E1141,$F1141,$G1141)&gt;1,"중복","-"))</f>
        <v/>
      </c>
      <c r="I1141" s="11" t="str">
        <f aca="false">IF($A1141="","",IF($H1141="-","-",IF(AND(IF(원본명단!$H1140="",TRUE(),COUNTIF(원본명단!$H$3:$H1140,원본명단!$H1140)=1),IF(원본명단!$I1140="",TRUE(),COUNTIF(원본명단!$I$3:$I1140,원본명단!$I1140)=1),IF(원본명단!$K1140="",TRUE(),COUNTIF(원본명단!$K$3:$K1140,원본명단!$K1140)=1)),"첫 건","중복 건")))</f>
        <v/>
      </c>
      <c r="J1141" s="11" t="str">
        <f aca="false">IF($A1141="","",IF($H1141="-","유지",IF($I1141="첫 건","유지","확인 필요")))</f>
        <v/>
      </c>
    </row>
    <row r="1142" customFormat="false" ht="15" hidden="false" customHeight="true" outlineLevel="0" collapsed="false">
      <c r="A1142" s="11" t="str">
        <f aca="false">IF(원본명단!$A1141="","",1139)</f>
        <v/>
      </c>
      <c r="B1142" s="12" t="str">
        <f aca="false">IF($A1142="","",원본명단!$A1141)</f>
        <v/>
      </c>
      <c r="C1142" s="12" t="str">
        <f aca="false">IF($A1142="","",원본명단!$B1141)</f>
        <v/>
      </c>
      <c r="D1142" s="12" t="str">
        <f aca="false">IF($A1142="","",원본명단!$D1141)</f>
        <v/>
      </c>
      <c r="E1142" s="11" t="str">
        <f aca="false">IF($A1142="","",IF(원본명단!$H1141="",0,COUNTIF(원본명단!$H$3:$H$6002,원본명단!$H1141)))</f>
        <v/>
      </c>
      <c r="F1142" s="11" t="str">
        <f aca="false">IF($A1142="","",IF(원본명단!$I1141="",0,COUNTIF(원본명단!$I$3:$I$6002,원본명단!$I1141)))</f>
        <v/>
      </c>
      <c r="G1142" s="11" t="str">
        <f aca="false">IF($A1142="","",IF(원본명단!$K1141="",0,COUNTIF(원본명단!$K$3:$K$6002,원본명단!$K1141)))</f>
        <v/>
      </c>
      <c r="H1142" s="11" t="str">
        <f aca="false">IF($A1142="","",IF(MAX($E1142,$F1142,$G1142)&gt;1,"중복","-"))</f>
        <v/>
      </c>
      <c r="I1142" s="11" t="str">
        <f aca="false">IF($A1142="","",IF($H1142="-","-",IF(AND(IF(원본명단!$H1141="",TRUE(),COUNTIF(원본명단!$H$3:$H1141,원본명단!$H1141)=1),IF(원본명단!$I1141="",TRUE(),COUNTIF(원본명단!$I$3:$I1141,원본명단!$I1141)=1),IF(원본명단!$K1141="",TRUE(),COUNTIF(원본명단!$K$3:$K1141,원본명단!$K1141)=1)),"첫 건","중복 건")))</f>
        <v/>
      </c>
      <c r="J1142" s="11" t="str">
        <f aca="false">IF($A1142="","",IF($H1142="-","유지",IF($I1142="첫 건","유지","확인 필요")))</f>
        <v/>
      </c>
    </row>
    <row r="1143" customFormat="false" ht="15" hidden="false" customHeight="true" outlineLevel="0" collapsed="false">
      <c r="A1143" s="11" t="str">
        <f aca="false">IF(원본명단!$A1142="","",1140)</f>
        <v/>
      </c>
      <c r="B1143" s="12" t="str">
        <f aca="false">IF($A1143="","",원본명단!$A1142)</f>
        <v/>
      </c>
      <c r="C1143" s="12" t="str">
        <f aca="false">IF($A1143="","",원본명단!$B1142)</f>
        <v/>
      </c>
      <c r="D1143" s="12" t="str">
        <f aca="false">IF($A1143="","",원본명단!$D1142)</f>
        <v/>
      </c>
      <c r="E1143" s="11" t="str">
        <f aca="false">IF($A1143="","",IF(원본명단!$H1142="",0,COUNTIF(원본명단!$H$3:$H$6002,원본명단!$H1142)))</f>
        <v/>
      </c>
      <c r="F1143" s="11" t="str">
        <f aca="false">IF($A1143="","",IF(원본명단!$I1142="",0,COUNTIF(원본명단!$I$3:$I$6002,원본명단!$I1142)))</f>
        <v/>
      </c>
      <c r="G1143" s="11" t="str">
        <f aca="false">IF($A1143="","",IF(원본명단!$K1142="",0,COUNTIF(원본명단!$K$3:$K$6002,원본명단!$K1142)))</f>
        <v/>
      </c>
      <c r="H1143" s="11" t="str">
        <f aca="false">IF($A1143="","",IF(MAX($E1143,$F1143,$G1143)&gt;1,"중복","-"))</f>
        <v/>
      </c>
      <c r="I1143" s="11" t="str">
        <f aca="false">IF($A1143="","",IF($H1143="-","-",IF(AND(IF(원본명단!$H1142="",TRUE(),COUNTIF(원본명단!$H$3:$H1142,원본명단!$H1142)=1),IF(원본명단!$I1142="",TRUE(),COUNTIF(원본명단!$I$3:$I1142,원본명단!$I1142)=1),IF(원본명단!$K1142="",TRUE(),COUNTIF(원본명단!$K$3:$K1142,원본명단!$K1142)=1)),"첫 건","중복 건")))</f>
        <v/>
      </c>
      <c r="J1143" s="11" t="str">
        <f aca="false">IF($A1143="","",IF($H1143="-","유지",IF($I1143="첫 건","유지","확인 필요")))</f>
        <v/>
      </c>
    </row>
    <row r="1144" customFormat="false" ht="15" hidden="false" customHeight="true" outlineLevel="0" collapsed="false">
      <c r="A1144" s="11" t="str">
        <f aca="false">IF(원본명단!$A1143="","",1141)</f>
        <v/>
      </c>
      <c r="B1144" s="12" t="str">
        <f aca="false">IF($A1144="","",원본명단!$A1143)</f>
        <v/>
      </c>
      <c r="C1144" s="12" t="str">
        <f aca="false">IF($A1144="","",원본명단!$B1143)</f>
        <v/>
      </c>
      <c r="D1144" s="12" t="str">
        <f aca="false">IF($A1144="","",원본명단!$D1143)</f>
        <v/>
      </c>
      <c r="E1144" s="11" t="str">
        <f aca="false">IF($A1144="","",IF(원본명단!$H1143="",0,COUNTIF(원본명단!$H$3:$H$6002,원본명단!$H1143)))</f>
        <v/>
      </c>
      <c r="F1144" s="11" t="str">
        <f aca="false">IF($A1144="","",IF(원본명단!$I1143="",0,COUNTIF(원본명단!$I$3:$I$6002,원본명단!$I1143)))</f>
        <v/>
      </c>
      <c r="G1144" s="11" t="str">
        <f aca="false">IF($A1144="","",IF(원본명단!$K1143="",0,COUNTIF(원본명단!$K$3:$K$6002,원본명단!$K1143)))</f>
        <v/>
      </c>
      <c r="H1144" s="11" t="str">
        <f aca="false">IF($A1144="","",IF(MAX($E1144,$F1144,$G1144)&gt;1,"중복","-"))</f>
        <v/>
      </c>
      <c r="I1144" s="11" t="str">
        <f aca="false">IF($A1144="","",IF($H1144="-","-",IF(AND(IF(원본명단!$H1143="",TRUE(),COUNTIF(원본명단!$H$3:$H1143,원본명단!$H1143)=1),IF(원본명단!$I1143="",TRUE(),COUNTIF(원본명단!$I$3:$I1143,원본명단!$I1143)=1),IF(원본명단!$K1143="",TRUE(),COUNTIF(원본명단!$K$3:$K1143,원본명단!$K1143)=1)),"첫 건","중복 건")))</f>
        <v/>
      </c>
      <c r="J1144" s="11" t="str">
        <f aca="false">IF($A1144="","",IF($H1144="-","유지",IF($I1144="첫 건","유지","확인 필요")))</f>
        <v/>
      </c>
    </row>
    <row r="1145" customFormat="false" ht="15" hidden="false" customHeight="true" outlineLevel="0" collapsed="false">
      <c r="A1145" s="11" t="str">
        <f aca="false">IF(원본명단!$A1144="","",1142)</f>
        <v/>
      </c>
      <c r="B1145" s="12" t="str">
        <f aca="false">IF($A1145="","",원본명단!$A1144)</f>
        <v/>
      </c>
      <c r="C1145" s="12" t="str">
        <f aca="false">IF($A1145="","",원본명단!$B1144)</f>
        <v/>
      </c>
      <c r="D1145" s="12" t="str">
        <f aca="false">IF($A1145="","",원본명단!$D1144)</f>
        <v/>
      </c>
      <c r="E1145" s="11" t="str">
        <f aca="false">IF($A1145="","",IF(원본명단!$H1144="",0,COUNTIF(원본명단!$H$3:$H$6002,원본명단!$H1144)))</f>
        <v/>
      </c>
      <c r="F1145" s="11" t="str">
        <f aca="false">IF($A1145="","",IF(원본명단!$I1144="",0,COUNTIF(원본명단!$I$3:$I$6002,원본명단!$I1144)))</f>
        <v/>
      </c>
      <c r="G1145" s="11" t="str">
        <f aca="false">IF($A1145="","",IF(원본명단!$K1144="",0,COUNTIF(원본명단!$K$3:$K$6002,원본명단!$K1144)))</f>
        <v/>
      </c>
      <c r="H1145" s="11" t="str">
        <f aca="false">IF($A1145="","",IF(MAX($E1145,$F1145,$G1145)&gt;1,"중복","-"))</f>
        <v/>
      </c>
      <c r="I1145" s="11" t="str">
        <f aca="false">IF($A1145="","",IF($H1145="-","-",IF(AND(IF(원본명단!$H1144="",TRUE(),COUNTIF(원본명단!$H$3:$H1144,원본명단!$H1144)=1),IF(원본명단!$I1144="",TRUE(),COUNTIF(원본명단!$I$3:$I1144,원본명단!$I1144)=1),IF(원본명단!$K1144="",TRUE(),COUNTIF(원본명단!$K$3:$K1144,원본명단!$K1144)=1)),"첫 건","중복 건")))</f>
        <v/>
      </c>
      <c r="J1145" s="11" t="str">
        <f aca="false">IF($A1145="","",IF($H1145="-","유지",IF($I1145="첫 건","유지","확인 필요")))</f>
        <v/>
      </c>
    </row>
    <row r="1146" customFormat="false" ht="15" hidden="false" customHeight="true" outlineLevel="0" collapsed="false">
      <c r="A1146" s="11" t="str">
        <f aca="false">IF(원본명단!$A1145="","",1143)</f>
        <v/>
      </c>
      <c r="B1146" s="12" t="str">
        <f aca="false">IF($A1146="","",원본명단!$A1145)</f>
        <v/>
      </c>
      <c r="C1146" s="12" t="str">
        <f aca="false">IF($A1146="","",원본명단!$B1145)</f>
        <v/>
      </c>
      <c r="D1146" s="12" t="str">
        <f aca="false">IF($A1146="","",원본명단!$D1145)</f>
        <v/>
      </c>
      <c r="E1146" s="11" t="str">
        <f aca="false">IF($A1146="","",IF(원본명단!$H1145="",0,COUNTIF(원본명단!$H$3:$H$6002,원본명단!$H1145)))</f>
        <v/>
      </c>
      <c r="F1146" s="11" t="str">
        <f aca="false">IF($A1146="","",IF(원본명단!$I1145="",0,COUNTIF(원본명단!$I$3:$I$6002,원본명단!$I1145)))</f>
        <v/>
      </c>
      <c r="G1146" s="11" t="str">
        <f aca="false">IF($A1146="","",IF(원본명단!$K1145="",0,COUNTIF(원본명단!$K$3:$K$6002,원본명단!$K1145)))</f>
        <v/>
      </c>
      <c r="H1146" s="11" t="str">
        <f aca="false">IF($A1146="","",IF(MAX($E1146,$F1146,$G1146)&gt;1,"중복","-"))</f>
        <v/>
      </c>
      <c r="I1146" s="11" t="str">
        <f aca="false">IF($A1146="","",IF($H1146="-","-",IF(AND(IF(원본명단!$H1145="",TRUE(),COUNTIF(원본명단!$H$3:$H1145,원본명단!$H1145)=1),IF(원본명단!$I1145="",TRUE(),COUNTIF(원본명단!$I$3:$I1145,원본명단!$I1145)=1),IF(원본명단!$K1145="",TRUE(),COUNTIF(원본명단!$K$3:$K1145,원본명단!$K1145)=1)),"첫 건","중복 건")))</f>
        <v/>
      </c>
      <c r="J1146" s="11" t="str">
        <f aca="false">IF($A1146="","",IF($H1146="-","유지",IF($I1146="첫 건","유지","확인 필요")))</f>
        <v/>
      </c>
    </row>
    <row r="1147" customFormat="false" ht="15" hidden="false" customHeight="true" outlineLevel="0" collapsed="false">
      <c r="A1147" s="11" t="str">
        <f aca="false">IF(원본명단!$A1146="","",1144)</f>
        <v/>
      </c>
      <c r="B1147" s="12" t="str">
        <f aca="false">IF($A1147="","",원본명단!$A1146)</f>
        <v/>
      </c>
      <c r="C1147" s="12" t="str">
        <f aca="false">IF($A1147="","",원본명단!$B1146)</f>
        <v/>
      </c>
      <c r="D1147" s="12" t="str">
        <f aca="false">IF($A1147="","",원본명단!$D1146)</f>
        <v/>
      </c>
      <c r="E1147" s="11" t="str">
        <f aca="false">IF($A1147="","",IF(원본명단!$H1146="",0,COUNTIF(원본명단!$H$3:$H$6002,원본명단!$H1146)))</f>
        <v/>
      </c>
      <c r="F1147" s="11" t="str">
        <f aca="false">IF($A1147="","",IF(원본명단!$I1146="",0,COUNTIF(원본명단!$I$3:$I$6002,원본명단!$I1146)))</f>
        <v/>
      </c>
      <c r="G1147" s="11" t="str">
        <f aca="false">IF($A1147="","",IF(원본명단!$K1146="",0,COUNTIF(원본명단!$K$3:$K$6002,원본명단!$K1146)))</f>
        <v/>
      </c>
      <c r="H1147" s="11" t="str">
        <f aca="false">IF($A1147="","",IF(MAX($E1147,$F1147,$G1147)&gt;1,"중복","-"))</f>
        <v/>
      </c>
      <c r="I1147" s="11" t="str">
        <f aca="false">IF($A1147="","",IF($H1147="-","-",IF(AND(IF(원본명단!$H1146="",TRUE(),COUNTIF(원본명단!$H$3:$H1146,원본명단!$H1146)=1),IF(원본명단!$I1146="",TRUE(),COUNTIF(원본명단!$I$3:$I1146,원본명단!$I1146)=1),IF(원본명단!$K1146="",TRUE(),COUNTIF(원본명단!$K$3:$K1146,원본명단!$K1146)=1)),"첫 건","중복 건")))</f>
        <v/>
      </c>
      <c r="J1147" s="11" t="str">
        <f aca="false">IF($A1147="","",IF($H1147="-","유지",IF($I1147="첫 건","유지","확인 필요")))</f>
        <v/>
      </c>
    </row>
    <row r="1148" customFormat="false" ht="15" hidden="false" customHeight="true" outlineLevel="0" collapsed="false">
      <c r="A1148" s="11" t="str">
        <f aca="false">IF(원본명단!$A1147="","",1145)</f>
        <v/>
      </c>
      <c r="B1148" s="12" t="str">
        <f aca="false">IF($A1148="","",원본명단!$A1147)</f>
        <v/>
      </c>
      <c r="C1148" s="12" t="str">
        <f aca="false">IF($A1148="","",원본명단!$B1147)</f>
        <v/>
      </c>
      <c r="D1148" s="12" t="str">
        <f aca="false">IF($A1148="","",원본명단!$D1147)</f>
        <v/>
      </c>
      <c r="E1148" s="11" t="str">
        <f aca="false">IF($A1148="","",IF(원본명단!$H1147="",0,COUNTIF(원본명단!$H$3:$H$6002,원본명단!$H1147)))</f>
        <v/>
      </c>
      <c r="F1148" s="11" t="str">
        <f aca="false">IF($A1148="","",IF(원본명단!$I1147="",0,COUNTIF(원본명단!$I$3:$I$6002,원본명단!$I1147)))</f>
        <v/>
      </c>
      <c r="G1148" s="11" t="str">
        <f aca="false">IF($A1148="","",IF(원본명단!$K1147="",0,COUNTIF(원본명단!$K$3:$K$6002,원본명단!$K1147)))</f>
        <v/>
      </c>
      <c r="H1148" s="11" t="str">
        <f aca="false">IF($A1148="","",IF(MAX($E1148,$F1148,$G1148)&gt;1,"중복","-"))</f>
        <v/>
      </c>
      <c r="I1148" s="11" t="str">
        <f aca="false">IF($A1148="","",IF($H1148="-","-",IF(AND(IF(원본명단!$H1147="",TRUE(),COUNTIF(원본명단!$H$3:$H1147,원본명단!$H1147)=1),IF(원본명단!$I1147="",TRUE(),COUNTIF(원본명단!$I$3:$I1147,원본명단!$I1147)=1),IF(원본명단!$K1147="",TRUE(),COUNTIF(원본명단!$K$3:$K1147,원본명단!$K1147)=1)),"첫 건","중복 건")))</f>
        <v/>
      </c>
      <c r="J1148" s="11" t="str">
        <f aca="false">IF($A1148="","",IF($H1148="-","유지",IF($I1148="첫 건","유지","확인 필요")))</f>
        <v/>
      </c>
    </row>
    <row r="1149" customFormat="false" ht="15" hidden="false" customHeight="true" outlineLevel="0" collapsed="false">
      <c r="A1149" s="11" t="str">
        <f aca="false">IF(원본명단!$A1148="","",1146)</f>
        <v/>
      </c>
      <c r="B1149" s="12" t="str">
        <f aca="false">IF($A1149="","",원본명단!$A1148)</f>
        <v/>
      </c>
      <c r="C1149" s="12" t="str">
        <f aca="false">IF($A1149="","",원본명단!$B1148)</f>
        <v/>
      </c>
      <c r="D1149" s="12" t="str">
        <f aca="false">IF($A1149="","",원본명단!$D1148)</f>
        <v/>
      </c>
      <c r="E1149" s="11" t="str">
        <f aca="false">IF($A1149="","",IF(원본명단!$H1148="",0,COUNTIF(원본명단!$H$3:$H$6002,원본명단!$H1148)))</f>
        <v/>
      </c>
      <c r="F1149" s="11" t="str">
        <f aca="false">IF($A1149="","",IF(원본명단!$I1148="",0,COUNTIF(원본명단!$I$3:$I$6002,원본명단!$I1148)))</f>
        <v/>
      </c>
      <c r="G1149" s="11" t="str">
        <f aca="false">IF($A1149="","",IF(원본명단!$K1148="",0,COUNTIF(원본명단!$K$3:$K$6002,원본명단!$K1148)))</f>
        <v/>
      </c>
      <c r="H1149" s="11" t="str">
        <f aca="false">IF($A1149="","",IF(MAX($E1149,$F1149,$G1149)&gt;1,"중복","-"))</f>
        <v/>
      </c>
      <c r="I1149" s="11" t="str">
        <f aca="false">IF($A1149="","",IF($H1149="-","-",IF(AND(IF(원본명단!$H1148="",TRUE(),COUNTIF(원본명단!$H$3:$H1148,원본명단!$H1148)=1),IF(원본명단!$I1148="",TRUE(),COUNTIF(원본명단!$I$3:$I1148,원본명단!$I1148)=1),IF(원본명단!$K1148="",TRUE(),COUNTIF(원본명단!$K$3:$K1148,원본명단!$K1148)=1)),"첫 건","중복 건")))</f>
        <v/>
      </c>
      <c r="J1149" s="11" t="str">
        <f aca="false">IF($A1149="","",IF($H1149="-","유지",IF($I1149="첫 건","유지","확인 필요")))</f>
        <v/>
      </c>
    </row>
    <row r="1150" customFormat="false" ht="15" hidden="false" customHeight="true" outlineLevel="0" collapsed="false">
      <c r="A1150" s="11" t="str">
        <f aca="false">IF(원본명단!$A1149="","",1147)</f>
        <v/>
      </c>
      <c r="B1150" s="12" t="str">
        <f aca="false">IF($A1150="","",원본명단!$A1149)</f>
        <v/>
      </c>
      <c r="C1150" s="12" t="str">
        <f aca="false">IF($A1150="","",원본명단!$B1149)</f>
        <v/>
      </c>
      <c r="D1150" s="12" t="str">
        <f aca="false">IF($A1150="","",원본명단!$D1149)</f>
        <v/>
      </c>
      <c r="E1150" s="11" t="str">
        <f aca="false">IF($A1150="","",IF(원본명단!$H1149="",0,COUNTIF(원본명단!$H$3:$H$6002,원본명단!$H1149)))</f>
        <v/>
      </c>
      <c r="F1150" s="11" t="str">
        <f aca="false">IF($A1150="","",IF(원본명단!$I1149="",0,COUNTIF(원본명단!$I$3:$I$6002,원본명단!$I1149)))</f>
        <v/>
      </c>
      <c r="G1150" s="11" t="str">
        <f aca="false">IF($A1150="","",IF(원본명단!$K1149="",0,COUNTIF(원본명단!$K$3:$K$6002,원본명단!$K1149)))</f>
        <v/>
      </c>
      <c r="H1150" s="11" t="str">
        <f aca="false">IF($A1150="","",IF(MAX($E1150,$F1150,$G1150)&gt;1,"중복","-"))</f>
        <v/>
      </c>
      <c r="I1150" s="11" t="str">
        <f aca="false">IF($A1150="","",IF($H1150="-","-",IF(AND(IF(원본명단!$H1149="",TRUE(),COUNTIF(원본명단!$H$3:$H1149,원본명단!$H1149)=1),IF(원본명단!$I1149="",TRUE(),COUNTIF(원본명단!$I$3:$I1149,원본명단!$I1149)=1),IF(원본명단!$K1149="",TRUE(),COUNTIF(원본명단!$K$3:$K1149,원본명단!$K1149)=1)),"첫 건","중복 건")))</f>
        <v/>
      </c>
      <c r="J1150" s="11" t="str">
        <f aca="false">IF($A1150="","",IF($H1150="-","유지",IF($I1150="첫 건","유지","확인 필요")))</f>
        <v/>
      </c>
    </row>
    <row r="1151" customFormat="false" ht="15" hidden="false" customHeight="true" outlineLevel="0" collapsed="false">
      <c r="A1151" s="11" t="str">
        <f aca="false">IF(원본명단!$A1150="","",1148)</f>
        <v/>
      </c>
      <c r="B1151" s="12" t="str">
        <f aca="false">IF($A1151="","",원본명단!$A1150)</f>
        <v/>
      </c>
      <c r="C1151" s="12" t="str">
        <f aca="false">IF($A1151="","",원본명단!$B1150)</f>
        <v/>
      </c>
      <c r="D1151" s="12" t="str">
        <f aca="false">IF($A1151="","",원본명단!$D1150)</f>
        <v/>
      </c>
      <c r="E1151" s="11" t="str">
        <f aca="false">IF($A1151="","",IF(원본명단!$H1150="",0,COUNTIF(원본명단!$H$3:$H$6002,원본명단!$H1150)))</f>
        <v/>
      </c>
      <c r="F1151" s="11" t="str">
        <f aca="false">IF($A1151="","",IF(원본명단!$I1150="",0,COUNTIF(원본명단!$I$3:$I$6002,원본명단!$I1150)))</f>
        <v/>
      </c>
      <c r="G1151" s="11" t="str">
        <f aca="false">IF($A1151="","",IF(원본명단!$K1150="",0,COUNTIF(원본명단!$K$3:$K$6002,원본명단!$K1150)))</f>
        <v/>
      </c>
      <c r="H1151" s="11" t="str">
        <f aca="false">IF($A1151="","",IF(MAX($E1151,$F1151,$G1151)&gt;1,"중복","-"))</f>
        <v/>
      </c>
      <c r="I1151" s="11" t="str">
        <f aca="false">IF($A1151="","",IF($H1151="-","-",IF(AND(IF(원본명단!$H1150="",TRUE(),COUNTIF(원본명단!$H$3:$H1150,원본명단!$H1150)=1),IF(원본명단!$I1150="",TRUE(),COUNTIF(원본명단!$I$3:$I1150,원본명단!$I1150)=1),IF(원본명단!$K1150="",TRUE(),COUNTIF(원본명단!$K$3:$K1150,원본명단!$K1150)=1)),"첫 건","중복 건")))</f>
        <v/>
      </c>
      <c r="J1151" s="11" t="str">
        <f aca="false">IF($A1151="","",IF($H1151="-","유지",IF($I1151="첫 건","유지","확인 필요")))</f>
        <v/>
      </c>
    </row>
    <row r="1152" customFormat="false" ht="15" hidden="false" customHeight="true" outlineLevel="0" collapsed="false">
      <c r="A1152" s="11" t="str">
        <f aca="false">IF(원본명단!$A1151="","",1149)</f>
        <v/>
      </c>
      <c r="B1152" s="12" t="str">
        <f aca="false">IF($A1152="","",원본명단!$A1151)</f>
        <v/>
      </c>
      <c r="C1152" s="12" t="str">
        <f aca="false">IF($A1152="","",원본명단!$B1151)</f>
        <v/>
      </c>
      <c r="D1152" s="12" t="str">
        <f aca="false">IF($A1152="","",원본명단!$D1151)</f>
        <v/>
      </c>
      <c r="E1152" s="11" t="str">
        <f aca="false">IF($A1152="","",IF(원본명단!$H1151="",0,COUNTIF(원본명단!$H$3:$H$6002,원본명단!$H1151)))</f>
        <v/>
      </c>
      <c r="F1152" s="11" t="str">
        <f aca="false">IF($A1152="","",IF(원본명단!$I1151="",0,COUNTIF(원본명단!$I$3:$I$6002,원본명단!$I1151)))</f>
        <v/>
      </c>
      <c r="G1152" s="11" t="str">
        <f aca="false">IF($A1152="","",IF(원본명단!$K1151="",0,COUNTIF(원본명단!$K$3:$K$6002,원본명단!$K1151)))</f>
        <v/>
      </c>
      <c r="H1152" s="11" t="str">
        <f aca="false">IF($A1152="","",IF(MAX($E1152,$F1152,$G1152)&gt;1,"중복","-"))</f>
        <v/>
      </c>
      <c r="I1152" s="11" t="str">
        <f aca="false">IF($A1152="","",IF($H1152="-","-",IF(AND(IF(원본명단!$H1151="",TRUE(),COUNTIF(원본명단!$H$3:$H1151,원본명단!$H1151)=1),IF(원본명단!$I1151="",TRUE(),COUNTIF(원본명단!$I$3:$I1151,원본명단!$I1151)=1),IF(원본명단!$K1151="",TRUE(),COUNTIF(원본명단!$K$3:$K1151,원본명단!$K1151)=1)),"첫 건","중복 건")))</f>
        <v/>
      </c>
      <c r="J1152" s="11" t="str">
        <f aca="false">IF($A1152="","",IF($H1152="-","유지",IF($I1152="첫 건","유지","확인 필요")))</f>
        <v/>
      </c>
    </row>
    <row r="1153" customFormat="false" ht="15" hidden="false" customHeight="true" outlineLevel="0" collapsed="false">
      <c r="A1153" s="11" t="str">
        <f aca="false">IF(원본명단!$A1152="","",1150)</f>
        <v/>
      </c>
      <c r="B1153" s="12" t="str">
        <f aca="false">IF($A1153="","",원본명단!$A1152)</f>
        <v/>
      </c>
      <c r="C1153" s="12" t="str">
        <f aca="false">IF($A1153="","",원본명단!$B1152)</f>
        <v/>
      </c>
      <c r="D1153" s="12" t="str">
        <f aca="false">IF($A1153="","",원본명단!$D1152)</f>
        <v/>
      </c>
      <c r="E1153" s="11" t="str">
        <f aca="false">IF($A1153="","",IF(원본명단!$H1152="",0,COUNTIF(원본명단!$H$3:$H$6002,원본명단!$H1152)))</f>
        <v/>
      </c>
      <c r="F1153" s="11" t="str">
        <f aca="false">IF($A1153="","",IF(원본명단!$I1152="",0,COUNTIF(원본명단!$I$3:$I$6002,원본명단!$I1152)))</f>
        <v/>
      </c>
      <c r="G1153" s="11" t="str">
        <f aca="false">IF($A1153="","",IF(원본명단!$K1152="",0,COUNTIF(원본명단!$K$3:$K$6002,원본명단!$K1152)))</f>
        <v/>
      </c>
      <c r="H1153" s="11" t="str">
        <f aca="false">IF($A1153="","",IF(MAX($E1153,$F1153,$G1153)&gt;1,"중복","-"))</f>
        <v/>
      </c>
      <c r="I1153" s="11" t="str">
        <f aca="false">IF($A1153="","",IF($H1153="-","-",IF(AND(IF(원본명단!$H1152="",TRUE(),COUNTIF(원본명단!$H$3:$H1152,원본명단!$H1152)=1),IF(원본명단!$I1152="",TRUE(),COUNTIF(원본명단!$I$3:$I1152,원본명단!$I1152)=1),IF(원본명단!$K1152="",TRUE(),COUNTIF(원본명단!$K$3:$K1152,원본명단!$K1152)=1)),"첫 건","중복 건")))</f>
        <v/>
      </c>
      <c r="J1153" s="11" t="str">
        <f aca="false">IF($A1153="","",IF($H1153="-","유지",IF($I1153="첫 건","유지","확인 필요")))</f>
        <v/>
      </c>
    </row>
    <row r="1154" customFormat="false" ht="15" hidden="false" customHeight="true" outlineLevel="0" collapsed="false">
      <c r="A1154" s="11" t="str">
        <f aca="false">IF(원본명단!$A1153="","",1151)</f>
        <v/>
      </c>
      <c r="B1154" s="12" t="str">
        <f aca="false">IF($A1154="","",원본명단!$A1153)</f>
        <v/>
      </c>
      <c r="C1154" s="12" t="str">
        <f aca="false">IF($A1154="","",원본명단!$B1153)</f>
        <v/>
      </c>
      <c r="D1154" s="12" t="str">
        <f aca="false">IF($A1154="","",원본명단!$D1153)</f>
        <v/>
      </c>
      <c r="E1154" s="11" t="str">
        <f aca="false">IF($A1154="","",IF(원본명단!$H1153="",0,COUNTIF(원본명단!$H$3:$H$6002,원본명단!$H1153)))</f>
        <v/>
      </c>
      <c r="F1154" s="11" t="str">
        <f aca="false">IF($A1154="","",IF(원본명단!$I1153="",0,COUNTIF(원본명단!$I$3:$I$6002,원본명단!$I1153)))</f>
        <v/>
      </c>
      <c r="G1154" s="11" t="str">
        <f aca="false">IF($A1154="","",IF(원본명단!$K1153="",0,COUNTIF(원본명단!$K$3:$K$6002,원본명단!$K1153)))</f>
        <v/>
      </c>
      <c r="H1154" s="11" t="str">
        <f aca="false">IF($A1154="","",IF(MAX($E1154,$F1154,$G1154)&gt;1,"중복","-"))</f>
        <v/>
      </c>
      <c r="I1154" s="11" t="str">
        <f aca="false">IF($A1154="","",IF($H1154="-","-",IF(AND(IF(원본명단!$H1153="",TRUE(),COUNTIF(원본명단!$H$3:$H1153,원본명단!$H1153)=1),IF(원본명단!$I1153="",TRUE(),COUNTIF(원본명단!$I$3:$I1153,원본명단!$I1153)=1),IF(원본명단!$K1153="",TRUE(),COUNTIF(원본명단!$K$3:$K1153,원본명단!$K1153)=1)),"첫 건","중복 건")))</f>
        <v/>
      </c>
      <c r="J1154" s="11" t="str">
        <f aca="false">IF($A1154="","",IF($H1154="-","유지",IF($I1154="첫 건","유지","확인 필요")))</f>
        <v/>
      </c>
    </row>
    <row r="1155" customFormat="false" ht="15" hidden="false" customHeight="true" outlineLevel="0" collapsed="false">
      <c r="A1155" s="11" t="str">
        <f aca="false">IF(원본명단!$A1154="","",1152)</f>
        <v/>
      </c>
      <c r="B1155" s="12" t="str">
        <f aca="false">IF($A1155="","",원본명단!$A1154)</f>
        <v/>
      </c>
      <c r="C1155" s="12" t="str">
        <f aca="false">IF($A1155="","",원본명단!$B1154)</f>
        <v/>
      </c>
      <c r="D1155" s="12" t="str">
        <f aca="false">IF($A1155="","",원본명단!$D1154)</f>
        <v/>
      </c>
      <c r="E1155" s="11" t="str">
        <f aca="false">IF($A1155="","",IF(원본명단!$H1154="",0,COUNTIF(원본명단!$H$3:$H$6002,원본명단!$H1154)))</f>
        <v/>
      </c>
      <c r="F1155" s="11" t="str">
        <f aca="false">IF($A1155="","",IF(원본명단!$I1154="",0,COUNTIF(원본명단!$I$3:$I$6002,원본명단!$I1154)))</f>
        <v/>
      </c>
      <c r="G1155" s="11" t="str">
        <f aca="false">IF($A1155="","",IF(원본명단!$K1154="",0,COUNTIF(원본명단!$K$3:$K$6002,원본명단!$K1154)))</f>
        <v/>
      </c>
      <c r="H1155" s="11" t="str">
        <f aca="false">IF($A1155="","",IF(MAX($E1155,$F1155,$G1155)&gt;1,"중복","-"))</f>
        <v/>
      </c>
      <c r="I1155" s="11" t="str">
        <f aca="false">IF($A1155="","",IF($H1155="-","-",IF(AND(IF(원본명단!$H1154="",TRUE(),COUNTIF(원본명단!$H$3:$H1154,원본명단!$H1154)=1),IF(원본명단!$I1154="",TRUE(),COUNTIF(원본명단!$I$3:$I1154,원본명단!$I1154)=1),IF(원본명단!$K1154="",TRUE(),COUNTIF(원본명단!$K$3:$K1154,원본명단!$K1154)=1)),"첫 건","중복 건")))</f>
        <v/>
      </c>
      <c r="J1155" s="11" t="str">
        <f aca="false">IF($A1155="","",IF($H1155="-","유지",IF($I1155="첫 건","유지","확인 필요")))</f>
        <v/>
      </c>
    </row>
    <row r="1156" customFormat="false" ht="15" hidden="false" customHeight="true" outlineLevel="0" collapsed="false">
      <c r="A1156" s="11" t="str">
        <f aca="false">IF(원본명단!$A1155="","",1153)</f>
        <v/>
      </c>
      <c r="B1156" s="12" t="str">
        <f aca="false">IF($A1156="","",원본명단!$A1155)</f>
        <v/>
      </c>
      <c r="C1156" s="12" t="str">
        <f aca="false">IF($A1156="","",원본명단!$B1155)</f>
        <v/>
      </c>
      <c r="D1156" s="12" t="str">
        <f aca="false">IF($A1156="","",원본명단!$D1155)</f>
        <v/>
      </c>
      <c r="E1156" s="11" t="str">
        <f aca="false">IF($A1156="","",IF(원본명단!$H1155="",0,COUNTIF(원본명단!$H$3:$H$6002,원본명단!$H1155)))</f>
        <v/>
      </c>
      <c r="F1156" s="11" t="str">
        <f aca="false">IF($A1156="","",IF(원본명단!$I1155="",0,COUNTIF(원본명단!$I$3:$I$6002,원본명단!$I1155)))</f>
        <v/>
      </c>
      <c r="G1156" s="11" t="str">
        <f aca="false">IF($A1156="","",IF(원본명단!$K1155="",0,COUNTIF(원본명단!$K$3:$K$6002,원본명단!$K1155)))</f>
        <v/>
      </c>
      <c r="H1156" s="11" t="str">
        <f aca="false">IF($A1156="","",IF(MAX($E1156,$F1156,$G1156)&gt;1,"중복","-"))</f>
        <v/>
      </c>
      <c r="I1156" s="11" t="str">
        <f aca="false">IF($A1156="","",IF($H1156="-","-",IF(AND(IF(원본명단!$H1155="",TRUE(),COUNTIF(원본명단!$H$3:$H1155,원본명단!$H1155)=1),IF(원본명단!$I1155="",TRUE(),COUNTIF(원본명단!$I$3:$I1155,원본명단!$I1155)=1),IF(원본명단!$K1155="",TRUE(),COUNTIF(원본명단!$K$3:$K1155,원본명단!$K1155)=1)),"첫 건","중복 건")))</f>
        <v/>
      </c>
      <c r="J1156" s="11" t="str">
        <f aca="false">IF($A1156="","",IF($H1156="-","유지",IF($I1156="첫 건","유지","확인 필요")))</f>
        <v/>
      </c>
    </row>
    <row r="1157" customFormat="false" ht="15" hidden="false" customHeight="true" outlineLevel="0" collapsed="false">
      <c r="A1157" s="11" t="str">
        <f aca="false">IF(원본명단!$A1156="","",1154)</f>
        <v/>
      </c>
      <c r="B1157" s="12" t="str">
        <f aca="false">IF($A1157="","",원본명단!$A1156)</f>
        <v/>
      </c>
      <c r="C1157" s="12" t="str">
        <f aca="false">IF($A1157="","",원본명단!$B1156)</f>
        <v/>
      </c>
      <c r="D1157" s="12" t="str">
        <f aca="false">IF($A1157="","",원본명단!$D1156)</f>
        <v/>
      </c>
      <c r="E1157" s="11" t="str">
        <f aca="false">IF($A1157="","",IF(원본명단!$H1156="",0,COUNTIF(원본명단!$H$3:$H$6002,원본명단!$H1156)))</f>
        <v/>
      </c>
      <c r="F1157" s="11" t="str">
        <f aca="false">IF($A1157="","",IF(원본명단!$I1156="",0,COUNTIF(원본명단!$I$3:$I$6002,원본명단!$I1156)))</f>
        <v/>
      </c>
      <c r="G1157" s="11" t="str">
        <f aca="false">IF($A1157="","",IF(원본명단!$K1156="",0,COUNTIF(원본명단!$K$3:$K$6002,원본명단!$K1156)))</f>
        <v/>
      </c>
      <c r="H1157" s="11" t="str">
        <f aca="false">IF($A1157="","",IF(MAX($E1157,$F1157,$G1157)&gt;1,"중복","-"))</f>
        <v/>
      </c>
      <c r="I1157" s="11" t="str">
        <f aca="false">IF($A1157="","",IF($H1157="-","-",IF(AND(IF(원본명단!$H1156="",TRUE(),COUNTIF(원본명단!$H$3:$H1156,원본명단!$H1156)=1),IF(원본명단!$I1156="",TRUE(),COUNTIF(원본명단!$I$3:$I1156,원본명단!$I1156)=1),IF(원본명단!$K1156="",TRUE(),COUNTIF(원본명단!$K$3:$K1156,원본명단!$K1156)=1)),"첫 건","중복 건")))</f>
        <v/>
      </c>
      <c r="J1157" s="11" t="str">
        <f aca="false">IF($A1157="","",IF($H1157="-","유지",IF($I1157="첫 건","유지","확인 필요")))</f>
        <v/>
      </c>
    </row>
    <row r="1158" customFormat="false" ht="15" hidden="false" customHeight="true" outlineLevel="0" collapsed="false">
      <c r="A1158" s="11" t="str">
        <f aca="false">IF(원본명단!$A1157="","",1155)</f>
        <v/>
      </c>
      <c r="B1158" s="12" t="str">
        <f aca="false">IF($A1158="","",원본명단!$A1157)</f>
        <v/>
      </c>
      <c r="C1158" s="12" t="str">
        <f aca="false">IF($A1158="","",원본명단!$B1157)</f>
        <v/>
      </c>
      <c r="D1158" s="12" t="str">
        <f aca="false">IF($A1158="","",원본명단!$D1157)</f>
        <v/>
      </c>
      <c r="E1158" s="11" t="str">
        <f aca="false">IF($A1158="","",IF(원본명단!$H1157="",0,COUNTIF(원본명단!$H$3:$H$6002,원본명단!$H1157)))</f>
        <v/>
      </c>
      <c r="F1158" s="11" t="str">
        <f aca="false">IF($A1158="","",IF(원본명단!$I1157="",0,COUNTIF(원본명단!$I$3:$I$6002,원본명단!$I1157)))</f>
        <v/>
      </c>
      <c r="G1158" s="11" t="str">
        <f aca="false">IF($A1158="","",IF(원본명단!$K1157="",0,COUNTIF(원본명단!$K$3:$K$6002,원본명단!$K1157)))</f>
        <v/>
      </c>
      <c r="H1158" s="11" t="str">
        <f aca="false">IF($A1158="","",IF(MAX($E1158,$F1158,$G1158)&gt;1,"중복","-"))</f>
        <v/>
      </c>
      <c r="I1158" s="11" t="str">
        <f aca="false">IF($A1158="","",IF($H1158="-","-",IF(AND(IF(원본명단!$H1157="",TRUE(),COUNTIF(원본명단!$H$3:$H1157,원본명단!$H1157)=1),IF(원본명단!$I1157="",TRUE(),COUNTIF(원본명단!$I$3:$I1157,원본명단!$I1157)=1),IF(원본명단!$K1157="",TRUE(),COUNTIF(원본명단!$K$3:$K1157,원본명단!$K1157)=1)),"첫 건","중복 건")))</f>
        <v/>
      </c>
      <c r="J1158" s="11" t="str">
        <f aca="false">IF($A1158="","",IF($H1158="-","유지",IF($I1158="첫 건","유지","확인 필요")))</f>
        <v/>
      </c>
    </row>
    <row r="1159" customFormat="false" ht="15" hidden="false" customHeight="true" outlineLevel="0" collapsed="false">
      <c r="A1159" s="11" t="str">
        <f aca="false">IF(원본명단!$A1158="","",1156)</f>
        <v/>
      </c>
      <c r="B1159" s="12" t="str">
        <f aca="false">IF($A1159="","",원본명단!$A1158)</f>
        <v/>
      </c>
      <c r="C1159" s="12" t="str">
        <f aca="false">IF($A1159="","",원본명단!$B1158)</f>
        <v/>
      </c>
      <c r="D1159" s="12" t="str">
        <f aca="false">IF($A1159="","",원본명단!$D1158)</f>
        <v/>
      </c>
      <c r="E1159" s="11" t="str">
        <f aca="false">IF($A1159="","",IF(원본명단!$H1158="",0,COUNTIF(원본명단!$H$3:$H$6002,원본명단!$H1158)))</f>
        <v/>
      </c>
      <c r="F1159" s="11" t="str">
        <f aca="false">IF($A1159="","",IF(원본명단!$I1158="",0,COUNTIF(원본명단!$I$3:$I$6002,원본명단!$I1158)))</f>
        <v/>
      </c>
      <c r="G1159" s="11" t="str">
        <f aca="false">IF($A1159="","",IF(원본명단!$K1158="",0,COUNTIF(원본명단!$K$3:$K$6002,원본명단!$K1158)))</f>
        <v/>
      </c>
      <c r="H1159" s="11" t="str">
        <f aca="false">IF($A1159="","",IF(MAX($E1159,$F1159,$G1159)&gt;1,"중복","-"))</f>
        <v/>
      </c>
      <c r="I1159" s="11" t="str">
        <f aca="false">IF($A1159="","",IF($H1159="-","-",IF(AND(IF(원본명단!$H1158="",TRUE(),COUNTIF(원본명단!$H$3:$H1158,원본명단!$H1158)=1),IF(원본명단!$I1158="",TRUE(),COUNTIF(원본명단!$I$3:$I1158,원본명단!$I1158)=1),IF(원본명단!$K1158="",TRUE(),COUNTIF(원본명단!$K$3:$K1158,원본명단!$K1158)=1)),"첫 건","중복 건")))</f>
        <v/>
      </c>
      <c r="J1159" s="11" t="str">
        <f aca="false">IF($A1159="","",IF($H1159="-","유지",IF($I1159="첫 건","유지","확인 필요")))</f>
        <v/>
      </c>
    </row>
    <row r="1160" customFormat="false" ht="15" hidden="false" customHeight="true" outlineLevel="0" collapsed="false">
      <c r="A1160" s="11" t="str">
        <f aca="false">IF(원본명단!$A1159="","",1157)</f>
        <v/>
      </c>
      <c r="B1160" s="12" t="str">
        <f aca="false">IF($A1160="","",원본명단!$A1159)</f>
        <v/>
      </c>
      <c r="C1160" s="12" t="str">
        <f aca="false">IF($A1160="","",원본명단!$B1159)</f>
        <v/>
      </c>
      <c r="D1160" s="12" t="str">
        <f aca="false">IF($A1160="","",원본명단!$D1159)</f>
        <v/>
      </c>
      <c r="E1160" s="11" t="str">
        <f aca="false">IF($A1160="","",IF(원본명단!$H1159="",0,COUNTIF(원본명단!$H$3:$H$6002,원본명단!$H1159)))</f>
        <v/>
      </c>
      <c r="F1160" s="11" t="str">
        <f aca="false">IF($A1160="","",IF(원본명단!$I1159="",0,COUNTIF(원본명단!$I$3:$I$6002,원본명단!$I1159)))</f>
        <v/>
      </c>
      <c r="G1160" s="11" t="str">
        <f aca="false">IF($A1160="","",IF(원본명단!$K1159="",0,COUNTIF(원본명단!$K$3:$K$6002,원본명단!$K1159)))</f>
        <v/>
      </c>
      <c r="H1160" s="11" t="str">
        <f aca="false">IF($A1160="","",IF(MAX($E1160,$F1160,$G1160)&gt;1,"중복","-"))</f>
        <v/>
      </c>
      <c r="I1160" s="11" t="str">
        <f aca="false">IF($A1160="","",IF($H1160="-","-",IF(AND(IF(원본명단!$H1159="",TRUE(),COUNTIF(원본명단!$H$3:$H1159,원본명단!$H1159)=1),IF(원본명단!$I1159="",TRUE(),COUNTIF(원본명단!$I$3:$I1159,원본명단!$I1159)=1),IF(원본명단!$K1159="",TRUE(),COUNTIF(원본명단!$K$3:$K1159,원본명단!$K1159)=1)),"첫 건","중복 건")))</f>
        <v/>
      </c>
      <c r="J1160" s="11" t="str">
        <f aca="false">IF($A1160="","",IF($H1160="-","유지",IF($I1160="첫 건","유지","확인 필요")))</f>
        <v/>
      </c>
    </row>
    <row r="1161" customFormat="false" ht="15" hidden="false" customHeight="true" outlineLevel="0" collapsed="false">
      <c r="A1161" s="11" t="str">
        <f aca="false">IF(원본명단!$A1160="","",1158)</f>
        <v/>
      </c>
      <c r="B1161" s="12" t="str">
        <f aca="false">IF($A1161="","",원본명단!$A1160)</f>
        <v/>
      </c>
      <c r="C1161" s="12" t="str">
        <f aca="false">IF($A1161="","",원본명단!$B1160)</f>
        <v/>
      </c>
      <c r="D1161" s="12" t="str">
        <f aca="false">IF($A1161="","",원본명단!$D1160)</f>
        <v/>
      </c>
      <c r="E1161" s="11" t="str">
        <f aca="false">IF($A1161="","",IF(원본명단!$H1160="",0,COUNTIF(원본명단!$H$3:$H$6002,원본명단!$H1160)))</f>
        <v/>
      </c>
      <c r="F1161" s="11" t="str">
        <f aca="false">IF($A1161="","",IF(원본명단!$I1160="",0,COUNTIF(원본명단!$I$3:$I$6002,원본명단!$I1160)))</f>
        <v/>
      </c>
      <c r="G1161" s="11" t="str">
        <f aca="false">IF($A1161="","",IF(원본명단!$K1160="",0,COUNTIF(원본명단!$K$3:$K$6002,원본명단!$K1160)))</f>
        <v/>
      </c>
      <c r="H1161" s="11" t="str">
        <f aca="false">IF($A1161="","",IF(MAX($E1161,$F1161,$G1161)&gt;1,"중복","-"))</f>
        <v/>
      </c>
      <c r="I1161" s="11" t="str">
        <f aca="false">IF($A1161="","",IF($H1161="-","-",IF(AND(IF(원본명단!$H1160="",TRUE(),COUNTIF(원본명단!$H$3:$H1160,원본명단!$H1160)=1),IF(원본명단!$I1160="",TRUE(),COUNTIF(원본명단!$I$3:$I1160,원본명단!$I1160)=1),IF(원본명단!$K1160="",TRUE(),COUNTIF(원본명단!$K$3:$K1160,원본명단!$K1160)=1)),"첫 건","중복 건")))</f>
        <v/>
      </c>
      <c r="J1161" s="11" t="str">
        <f aca="false">IF($A1161="","",IF($H1161="-","유지",IF($I1161="첫 건","유지","확인 필요")))</f>
        <v/>
      </c>
    </row>
    <row r="1162" customFormat="false" ht="15" hidden="false" customHeight="true" outlineLevel="0" collapsed="false">
      <c r="A1162" s="11" t="str">
        <f aca="false">IF(원본명단!$A1161="","",1159)</f>
        <v/>
      </c>
      <c r="B1162" s="12" t="str">
        <f aca="false">IF($A1162="","",원본명단!$A1161)</f>
        <v/>
      </c>
      <c r="C1162" s="12" t="str">
        <f aca="false">IF($A1162="","",원본명단!$B1161)</f>
        <v/>
      </c>
      <c r="D1162" s="12" t="str">
        <f aca="false">IF($A1162="","",원본명단!$D1161)</f>
        <v/>
      </c>
      <c r="E1162" s="11" t="str">
        <f aca="false">IF($A1162="","",IF(원본명단!$H1161="",0,COUNTIF(원본명단!$H$3:$H$6002,원본명단!$H1161)))</f>
        <v/>
      </c>
      <c r="F1162" s="11" t="str">
        <f aca="false">IF($A1162="","",IF(원본명단!$I1161="",0,COUNTIF(원본명단!$I$3:$I$6002,원본명단!$I1161)))</f>
        <v/>
      </c>
      <c r="G1162" s="11" t="str">
        <f aca="false">IF($A1162="","",IF(원본명단!$K1161="",0,COUNTIF(원본명단!$K$3:$K$6002,원본명단!$K1161)))</f>
        <v/>
      </c>
      <c r="H1162" s="11" t="str">
        <f aca="false">IF($A1162="","",IF(MAX($E1162,$F1162,$G1162)&gt;1,"중복","-"))</f>
        <v/>
      </c>
      <c r="I1162" s="11" t="str">
        <f aca="false">IF($A1162="","",IF($H1162="-","-",IF(AND(IF(원본명단!$H1161="",TRUE(),COUNTIF(원본명단!$H$3:$H1161,원본명단!$H1161)=1),IF(원본명단!$I1161="",TRUE(),COUNTIF(원본명단!$I$3:$I1161,원본명단!$I1161)=1),IF(원본명단!$K1161="",TRUE(),COUNTIF(원본명단!$K$3:$K1161,원본명단!$K1161)=1)),"첫 건","중복 건")))</f>
        <v/>
      </c>
      <c r="J1162" s="11" t="str">
        <f aca="false">IF($A1162="","",IF($H1162="-","유지",IF($I1162="첫 건","유지","확인 필요")))</f>
        <v/>
      </c>
    </row>
    <row r="1163" customFormat="false" ht="15" hidden="false" customHeight="true" outlineLevel="0" collapsed="false">
      <c r="A1163" s="11" t="str">
        <f aca="false">IF(원본명단!$A1162="","",1160)</f>
        <v/>
      </c>
      <c r="B1163" s="12" t="str">
        <f aca="false">IF($A1163="","",원본명단!$A1162)</f>
        <v/>
      </c>
      <c r="C1163" s="12" t="str">
        <f aca="false">IF($A1163="","",원본명단!$B1162)</f>
        <v/>
      </c>
      <c r="D1163" s="12" t="str">
        <f aca="false">IF($A1163="","",원본명단!$D1162)</f>
        <v/>
      </c>
      <c r="E1163" s="11" t="str">
        <f aca="false">IF($A1163="","",IF(원본명단!$H1162="",0,COUNTIF(원본명단!$H$3:$H$6002,원본명단!$H1162)))</f>
        <v/>
      </c>
      <c r="F1163" s="11" t="str">
        <f aca="false">IF($A1163="","",IF(원본명단!$I1162="",0,COUNTIF(원본명단!$I$3:$I$6002,원본명단!$I1162)))</f>
        <v/>
      </c>
      <c r="G1163" s="11" t="str">
        <f aca="false">IF($A1163="","",IF(원본명단!$K1162="",0,COUNTIF(원본명단!$K$3:$K$6002,원본명단!$K1162)))</f>
        <v/>
      </c>
      <c r="H1163" s="11" t="str">
        <f aca="false">IF($A1163="","",IF(MAX($E1163,$F1163,$G1163)&gt;1,"중복","-"))</f>
        <v/>
      </c>
      <c r="I1163" s="11" t="str">
        <f aca="false">IF($A1163="","",IF($H1163="-","-",IF(AND(IF(원본명단!$H1162="",TRUE(),COUNTIF(원본명단!$H$3:$H1162,원본명단!$H1162)=1),IF(원본명단!$I1162="",TRUE(),COUNTIF(원본명단!$I$3:$I1162,원본명단!$I1162)=1),IF(원본명단!$K1162="",TRUE(),COUNTIF(원본명단!$K$3:$K1162,원본명단!$K1162)=1)),"첫 건","중복 건")))</f>
        <v/>
      </c>
      <c r="J1163" s="11" t="str">
        <f aca="false">IF($A1163="","",IF($H1163="-","유지",IF($I1163="첫 건","유지","확인 필요")))</f>
        <v/>
      </c>
    </row>
    <row r="1164" customFormat="false" ht="15" hidden="false" customHeight="true" outlineLevel="0" collapsed="false">
      <c r="A1164" s="11" t="str">
        <f aca="false">IF(원본명단!$A1163="","",1161)</f>
        <v/>
      </c>
      <c r="B1164" s="12" t="str">
        <f aca="false">IF($A1164="","",원본명단!$A1163)</f>
        <v/>
      </c>
      <c r="C1164" s="12" t="str">
        <f aca="false">IF($A1164="","",원본명단!$B1163)</f>
        <v/>
      </c>
      <c r="D1164" s="12" t="str">
        <f aca="false">IF($A1164="","",원본명단!$D1163)</f>
        <v/>
      </c>
      <c r="E1164" s="11" t="str">
        <f aca="false">IF($A1164="","",IF(원본명단!$H1163="",0,COUNTIF(원본명단!$H$3:$H$6002,원본명단!$H1163)))</f>
        <v/>
      </c>
      <c r="F1164" s="11" t="str">
        <f aca="false">IF($A1164="","",IF(원본명단!$I1163="",0,COUNTIF(원본명단!$I$3:$I$6002,원본명단!$I1163)))</f>
        <v/>
      </c>
      <c r="G1164" s="11" t="str">
        <f aca="false">IF($A1164="","",IF(원본명단!$K1163="",0,COUNTIF(원본명단!$K$3:$K$6002,원본명단!$K1163)))</f>
        <v/>
      </c>
      <c r="H1164" s="11" t="str">
        <f aca="false">IF($A1164="","",IF(MAX($E1164,$F1164,$G1164)&gt;1,"중복","-"))</f>
        <v/>
      </c>
      <c r="I1164" s="11" t="str">
        <f aca="false">IF($A1164="","",IF($H1164="-","-",IF(AND(IF(원본명단!$H1163="",TRUE(),COUNTIF(원본명단!$H$3:$H1163,원본명단!$H1163)=1),IF(원본명단!$I1163="",TRUE(),COUNTIF(원본명단!$I$3:$I1163,원본명단!$I1163)=1),IF(원본명단!$K1163="",TRUE(),COUNTIF(원본명단!$K$3:$K1163,원본명단!$K1163)=1)),"첫 건","중복 건")))</f>
        <v/>
      </c>
      <c r="J1164" s="11" t="str">
        <f aca="false">IF($A1164="","",IF($H1164="-","유지",IF($I1164="첫 건","유지","확인 필요")))</f>
        <v/>
      </c>
    </row>
    <row r="1165" customFormat="false" ht="15" hidden="false" customHeight="true" outlineLevel="0" collapsed="false">
      <c r="A1165" s="11" t="str">
        <f aca="false">IF(원본명단!$A1164="","",1162)</f>
        <v/>
      </c>
      <c r="B1165" s="12" t="str">
        <f aca="false">IF($A1165="","",원본명단!$A1164)</f>
        <v/>
      </c>
      <c r="C1165" s="12" t="str">
        <f aca="false">IF($A1165="","",원본명단!$B1164)</f>
        <v/>
      </c>
      <c r="D1165" s="12" t="str">
        <f aca="false">IF($A1165="","",원본명단!$D1164)</f>
        <v/>
      </c>
      <c r="E1165" s="11" t="str">
        <f aca="false">IF($A1165="","",IF(원본명단!$H1164="",0,COUNTIF(원본명단!$H$3:$H$6002,원본명단!$H1164)))</f>
        <v/>
      </c>
      <c r="F1165" s="11" t="str">
        <f aca="false">IF($A1165="","",IF(원본명단!$I1164="",0,COUNTIF(원본명단!$I$3:$I$6002,원본명단!$I1164)))</f>
        <v/>
      </c>
      <c r="G1165" s="11" t="str">
        <f aca="false">IF($A1165="","",IF(원본명단!$K1164="",0,COUNTIF(원본명단!$K$3:$K$6002,원본명단!$K1164)))</f>
        <v/>
      </c>
      <c r="H1165" s="11" t="str">
        <f aca="false">IF($A1165="","",IF(MAX($E1165,$F1165,$G1165)&gt;1,"중복","-"))</f>
        <v/>
      </c>
      <c r="I1165" s="11" t="str">
        <f aca="false">IF($A1165="","",IF($H1165="-","-",IF(AND(IF(원본명단!$H1164="",TRUE(),COUNTIF(원본명단!$H$3:$H1164,원본명단!$H1164)=1),IF(원본명단!$I1164="",TRUE(),COUNTIF(원본명단!$I$3:$I1164,원본명단!$I1164)=1),IF(원본명단!$K1164="",TRUE(),COUNTIF(원본명단!$K$3:$K1164,원본명단!$K1164)=1)),"첫 건","중복 건")))</f>
        <v/>
      </c>
      <c r="J1165" s="11" t="str">
        <f aca="false">IF($A1165="","",IF($H1165="-","유지",IF($I1165="첫 건","유지","확인 필요")))</f>
        <v/>
      </c>
    </row>
    <row r="1166" customFormat="false" ht="15" hidden="false" customHeight="true" outlineLevel="0" collapsed="false">
      <c r="A1166" s="11" t="str">
        <f aca="false">IF(원본명단!$A1165="","",1163)</f>
        <v/>
      </c>
      <c r="B1166" s="12" t="str">
        <f aca="false">IF($A1166="","",원본명단!$A1165)</f>
        <v/>
      </c>
      <c r="C1166" s="12" t="str">
        <f aca="false">IF($A1166="","",원본명단!$B1165)</f>
        <v/>
      </c>
      <c r="D1166" s="12" t="str">
        <f aca="false">IF($A1166="","",원본명단!$D1165)</f>
        <v/>
      </c>
      <c r="E1166" s="11" t="str">
        <f aca="false">IF($A1166="","",IF(원본명단!$H1165="",0,COUNTIF(원본명단!$H$3:$H$6002,원본명단!$H1165)))</f>
        <v/>
      </c>
      <c r="F1166" s="11" t="str">
        <f aca="false">IF($A1166="","",IF(원본명단!$I1165="",0,COUNTIF(원본명단!$I$3:$I$6002,원본명단!$I1165)))</f>
        <v/>
      </c>
      <c r="G1166" s="11" t="str">
        <f aca="false">IF($A1166="","",IF(원본명단!$K1165="",0,COUNTIF(원본명단!$K$3:$K$6002,원본명단!$K1165)))</f>
        <v/>
      </c>
      <c r="H1166" s="11" t="str">
        <f aca="false">IF($A1166="","",IF(MAX($E1166,$F1166,$G1166)&gt;1,"중복","-"))</f>
        <v/>
      </c>
      <c r="I1166" s="11" t="str">
        <f aca="false">IF($A1166="","",IF($H1166="-","-",IF(AND(IF(원본명단!$H1165="",TRUE(),COUNTIF(원본명단!$H$3:$H1165,원본명단!$H1165)=1),IF(원본명단!$I1165="",TRUE(),COUNTIF(원본명단!$I$3:$I1165,원본명단!$I1165)=1),IF(원본명단!$K1165="",TRUE(),COUNTIF(원본명단!$K$3:$K1165,원본명단!$K1165)=1)),"첫 건","중복 건")))</f>
        <v/>
      </c>
      <c r="J1166" s="11" t="str">
        <f aca="false">IF($A1166="","",IF($H1166="-","유지",IF($I1166="첫 건","유지","확인 필요")))</f>
        <v/>
      </c>
    </row>
    <row r="1167" customFormat="false" ht="15" hidden="false" customHeight="true" outlineLevel="0" collapsed="false">
      <c r="A1167" s="11" t="str">
        <f aca="false">IF(원본명단!$A1166="","",1164)</f>
        <v/>
      </c>
      <c r="B1167" s="12" t="str">
        <f aca="false">IF($A1167="","",원본명단!$A1166)</f>
        <v/>
      </c>
      <c r="C1167" s="12" t="str">
        <f aca="false">IF($A1167="","",원본명단!$B1166)</f>
        <v/>
      </c>
      <c r="D1167" s="12" t="str">
        <f aca="false">IF($A1167="","",원본명단!$D1166)</f>
        <v/>
      </c>
      <c r="E1167" s="11" t="str">
        <f aca="false">IF($A1167="","",IF(원본명단!$H1166="",0,COUNTIF(원본명단!$H$3:$H$6002,원본명단!$H1166)))</f>
        <v/>
      </c>
      <c r="F1167" s="11" t="str">
        <f aca="false">IF($A1167="","",IF(원본명단!$I1166="",0,COUNTIF(원본명단!$I$3:$I$6002,원본명단!$I1166)))</f>
        <v/>
      </c>
      <c r="G1167" s="11" t="str">
        <f aca="false">IF($A1167="","",IF(원본명단!$K1166="",0,COUNTIF(원본명단!$K$3:$K$6002,원본명단!$K1166)))</f>
        <v/>
      </c>
      <c r="H1167" s="11" t="str">
        <f aca="false">IF($A1167="","",IF(MAX($E1167,$F1167,$G1167)&gt;1,"중복","-"))</f>
        <v/>
      </c>
      <c r="I1167" s="11" t="str">
        <f aca="false">IF($A1167="","",IF($H1167="-","-",IF(AND(IF(원본명단!$H1166="",TRUE(),COUNTIF(원본명단!$H$3:$H1166,원본명단!$H1166)=1),IF(원본명단!$I1166="",TRUE(),COUNTIF(원본명단!$I$3:$I1166,원본명단!$I1166)=1),IF(원본명단!$K1166="",TRUE(),COUNTIF(원본명단!$K$3:$K1166,원본명단!$K1166)=1)),"첫 건","중복 건")))</f>
        <v/>
      </c>
      <c r="J1167" s="11" t="str">
        <f aca="false">IF($A1167="","",IF($H1167="-","유지",IF($I1167="첫 건","유지","확인 필요")))</f>
        <v/>
      </c>
    </row>
    <row r="1168" customFormat="false" ht="15" hidden="false" customHeight="true" outlineLevel="0" collapsed="false">
      <c r="A1168" s="11" t="str">
        <f aca="false">IF(원본명단!$A1167="","",1165)</f>
        <v/>
      </c>
      <c r="B1168" s="12" t="str">
        <f aca="false">IF($A1168="","",원본명단!$A1167)</f>
        <v/>
      </c>
      <c r="C1168" s="12" t="str">
        <f aca="false">IF($A1168="","",원본명단!$B1167)</f>
        <v/>
      </c>
      <c r="D1168" s="12" t="str">
        <f aca="false">IF($A1168="","",원본명단!$D1167)</f>
        <v/>
      </c>
      <c r="E1168" s="11" t="str">
        <f aca="false">IF($A1168="","",IF(원본명단!$H1167="",0,COUNTIF(원본명단!$H$3:$H$6002,원본명단!$H1167)))</f>
        <v/>
      </c>
      <c r="F1168" s="11" t="str">
        <f aca="false">IF($A1168="","",IF(원본명단!$I1167="",0,COUNTIF(원본명단!$I$3:$I$6002,원본명단!$I1167)))</f>
        <v/>
      </c>
      <c r="G1168" s="11" t="str">
        <f aca="false">IF($A1168="","",IF(원본명단!$K1167="",0,COUNTIF(원본명단!$K$3:$K$6002,원본명단!$K1167)))</f>
        <v/>
      </c>
      <c r="H1168" s="11" t="str">
        <f aca="false">IF($A1168="","",IF(MAX($E1168,$F1168,$G1168)&gt;1,"중복","-"))</f>
        <v/>
      </c>
      <c r="I1168" s="11" t="str">
        <f aca="false">IF($A1168="","",IF($H1168="-","-",IF(AND(IF(원본명단!$H1167="",TRUE(),COUNTIF(원본명단!$H$3:$H1167,원본명단!$H1167)=1),IF(원본명단!$I1167="",TRUE(),COUNTIF(원본명단!$I$3:$I1167,원본명단!$I1167)=1),IF(원본명단!$K1167="",TRUE(),COUNTIF(원본명단!$K$3:$K1167,원본명단!$K1167)=1)),"첫 건","중복 건")))</f>
        <v/>
      </c>
      <c r="J1168" s="11" t="str">
        <f aca="false">IF($A1168="","",IF($H1168="-","유지",IF($I1168="첫 건","유지","확인 필요")))</f>
        <v/>
      </c>
    </row>
    <row r="1169" customFormat="false" ht="15" hidden="false" customHeight="true" outlineLevel="0" collapsed="false">
      <c r="A1169" s="11" t="str">
        <f aca="false">IF(원본명단!$A1168="","",1166)</f>
        <v/>
      </c>
      <c r="B1169" s="12" t="str">
        <f aca="false">IF($A1169="","",원본명단!$A1168)</f>
        <v/>
      </c>
      <c r="C1169" s="12" t="str">
        <f aca="false">IF($A1169="","",원본명단!$B1168)</f>
        <v/>
      </c>
      <c r="D1169" s="12" t="str">
        <f aca="false">IF($A1169="","",원본명단!$D1168)</f>
        <v/>
      </c>
      <c r="E1169" s="11" t="str">
        <f aca="false">IF($A1169="","",IF(원본명단!$H1168="",0,COUNTIF(원본명단!$H$3:$H$6002,원본명단!$H1168)))</f>
        <v/>
      </c>
      <c r="F1169" s="11" t="str">
        <f aca="false">IF($A1169="","",IF(원본명단!$I1168="",0,COUNTIF(원본명단!$I$3:$I$6002,원본명단!$I1168)))</f>
        <v/>
      </c>
      <c r="G1169" s="11" t="str">
        <f aca="false">IF($A1169="","",IF(원본명단!$K1168="",0,COUNTIF(원본명단!$K$3:$K$6002,원본명단!$K1168)))</f>
        <v/>
      </c>
      <c r="H1169" s="11" t="str">
        <f aca="false">IF($A1169="","",IF(MAX($E1169,$F1169,$G1169)&gt;1,"중복","-"))</f>
        <v/>
      </c>
      <c r="I1169" s="11" t="str">
        <f aca="false">IF($A1169="","",IF($H1169="-","-",IF(AND(IF(원본명단!$H1168="",TRUE(),COUNTIF(원본명단!$H$3:$H1168,원본명단!$H1168)=1),IF(원본명단!$I1168="",TRUE(),COUNTIF(원본명단!$I$3:$I1168,원본명단!$I1168)=1),IF(원본명단!$K1168="",TRUE(),COUNTIF(원본명단!$K$3:$K1168,원본명단!$K1168)=1)),"첫 건","중복 건")))</f>
        <v/>
      </c>
      <c r="J1169" s="11" t="str">
        <f aca="false">IF($A1169="","",IF($H1169="-","유지",IF($I1169="첫 건","유지","확인 필요")))</f>
        <v/>
      </c>
    </row>
    <row r="1170" customFormat="false" ht="15" hidden="false" customHeight="true" outlineLevel="0" collapsed="false">
      <c r="A1170" s="11" t="str">
        <f aca="false">IF(원본명단!$A1169="","",1167)</f>
        <v/>
      </c>
      <c r="B1170" s="12" t="str">
        <f aca="false">IF($A1170="","",원본명단!$A1169)</f>
        <v/>
      </c>
      <c r="C1170" s="12" t="str">
        <f aca="false">IF($A1170="","",원본명단!$B1169)</f>
        <v/>
      </c>
      <c r="D1170" s="12" t="str">
        <f aca="false">IF($A1170="","",원본명단!$D1169)</f>
        <v/>
      </c>
      <c r="E1170" s="11" t="str">
        <f aca="false">IF($A1170="","",IF(원본명단!$H1169="",0,COUNTIF(원본명단!$H$3:$H$6002,원본명단!$H1169)))</f>
        <v/>
      </c>
      <c r="F1170" s="11" t="str">
        <f aca="false">IF($A1170="","",IF(원본명단!$I1169="",0,COUNTIF(원본명단!$I$3:$I$6002,원본명단!$I1169)))</f>
        <v/>
      </c>
      <c r="G1170" s="11" t="str">
        <f aca="false">IF($A1170="","",IF(원본명단!$K1169="",0,COUNTIF(원본명단!$K$3:$K$6002,원본명단!$K1169)))</f>
        <v/>
      </c>
      <c r="H1170" s="11" t="str">
        <f aca="false">IF($A1170="","",IF(MAX($E1170,$F1170,$G1170)&gt;1,"중복","-"))</f>
        <v/>
      </c>
      <c r="I1170" s="11" t="str">
        <f aca="false">IF($A1170="","",IF($H1170="-","-",IF(AND(IF(원본명단!$H1169="",TRUE(),COUNTIF(원본명단!$H$3:$H1169,원본명단!$H1169)=1),IF(원본명단!$I1169="",TRUE(),COUNTIF(원본명단!$I$3:$I1169,원본명단!$I1169)=1),IF(원본명단!$K1169="",TRUE(),COUNTIF(원본명단!$K$3:$K1169,원본명단!$K1169)=1)),"첫 건","중복 건")))</f>
        <v/>
      </c>
      <c r="J1170" s="11" t="str">
        <f aca="false">IF($A1170="","",IF($H1170="-","유지",IF($I1170="첫 건","유지","확인 필요")))</f>
        <v/>
      </c>
    </row>
    <row r="1171" customFormat="false" ht="15" hidden="false" customHeight="true" outlineLevel="0" collapsed="false">
      <c r="A1171" s="11" t="str">
        <f aca="false">IF(원본명단!$A1170="","",1168)</f>
        <v/>
      </c>
      <c r="B1171" s="12" t="str">
        <f aca="false">IF($A1171="","",원본명단!$A1170)</f>
        <v/>
      </c>
      <c r="C1171" s="12" t="str">
        <f aca="false">IF($A1171="","",원본명단!$B1170)</f>
        <v/>
      </c>
      <c r="D1171" s="12" t="str">
        <f aca="false">IF($A1171="","",원본명단!$D1170)</f>
        <v/>
      </c>
      <c r="E1171" s="11" t="str">
        <f aca="false">IF($A1171="","",IF(원본명단!$H1170="",0,COUNTIF(원본명단!$H$3:$H$6002,원본명단!$H1170)))</f>
        <v/>
      </c>
      <c r="F1171" s="11" t="str">
        <f aca="false">IF($A1171="","",IF(원본명단!$I1170="",0,COUNTIF(원본명단!$I$3:$I$6002,원본명단!$I1170)))</f>
        <v/>
      </c>
      <c r="G1171" s="11" t="str">
        <f aca="false">IF($A1171="","",IF(원본명단!$K1170="",0,COUNTIF(원본명단!$K$3:$K$6002,원본명단!$K1170)))</f>
        <v/>
      </c>
      <c r="H1171" s="11" t="str">
        <f aca="false">IF($A1171="","",IF(MAX($E1171,$F1171,$G1171)&gt;1,"중복","-"))</f>
        <v/>
      </c>
      <c r="I1171" s="11" t="str">
        <f aca="false">IF($A1171="","",IF($H1171="-","-",IF(AND(IF(원본명단!$H1170="",TRUE(),COUNTIF(원본명단!$H$3:$H1170,원본명단!$H1170)=1),IF(원본명단!$I1170="",TRUE(),COUNTIF(원본명단!$I$3:$I1170,원본명단!$I1170)=1),IF(원본명단!$K1170="",TRUE(),COUNTIF(원본명단!$K$3:$K1170,원본명단!$K1170)=1)),"첫 건","중복 건")))</f>
        <v/>
      </c>
      <c r="J1171" s="11" t="str">
        <f aca="false">IF($A1171="","",IF($H1171="-","유지",IF($I1171="첫 건","유지","확인 필요")))</f>
        <v/>
      </c>
    </row>
    <row r="1172" customFormat="false" ht="15" hidden="false" customHeight="true" outlineLevel="0" collapsed="false">
      <c r="A1172" s="11" t="str">
        <f aca="false">IF(원본명단!$A1171="","",1169)</f>
        <v/>
      </c>
      <c r="B1172" s="12" t="str">
        <f aca="false">IF($A1172="","",원본명단!$A1171)</f>
        <v/>
      </c>
      <c r="C1172" s="12" t="str">
        <f aca="false">IF($A1172="","",원본명단!$B1171)</f>
        <v/>
      </c>
      <c r="D1172" s="12" t="str">
        <f aca="false">IF($A1172="","",원본명단!$D1171)</f>
        <v/>
      </c>
      <c r="E1172" s="11" t="str">
        <f aca="false">IF($A1172="","",IF(원본명단!$H1171="",0,COUNTIF(원본명단!$H$3:$H$6002,원본명단!$H1171)))</f>
        <v/>
      </c>
      <c r="F1172" s="11" t="str">
        <f aca="false">IF($A1172="","",IF(원본명단!$I1171="",0,COUNTIF(원본명단!$I$3:$I$6002,원본명단!$I1171)))</f>
        <v/>
      </c>
      <c r="G1172" s="11" t="str">
        <f aca="false">IF($A1172="","",IF(원본명단!$K1171="",0,COUNTIF(원본명단!$K$3:$K$6002,원본명단!$K1171)))</f>
        <v/>
      </c>
      <c r="H1172" s="11" t="str">
        <f aca="false">IF($A1172="","",IF(MAX($E1172,$F1172,$G1172)&gt;1,"중복","-"))</f>
        <v/>
      </c>
      <c r="I1172" s="11" t="str">
        <f aca="false">IF($A1172="","",IF($H1172="-","-",IF(AND(IF(원본명단!$H1171="",TRUE(),COUNTIF(원본명단!$H$3:$H1171,원본명단!$H1171)=1),IF(원본명단!$I1171="",TRUE(),COUNTIF(원본명단!$I$3:$I1171,원본명단!$I1171)=1),IF(원본명단!$K1171="",TRUE(),COUNTIF(원본명단!$K$3:$K1171,원본명단!$K1171)=1)),"첫 건","중복 건")))</f>
        <v/>
      </c>
      <c r="J1172" s="11" t="str">
        <f aca="false">IF($A1172="","",IF($H1172="-","유지",IF($I1172="첫 건","유지","확인 필요")))</f>
        <v/>
      </c>
    </row>
    <row r="1173" customFormat="false" ht="15" hidden="false" customHeight="true" outlineLevel="0" collapsed="false">
      <c r="A1173" s="11" t="str">
        <f aca="false">IF(원본명단!$A1172="","",1170)</f>
        <v/>
      </c>
      <c r="B1173" s="12" t="str">
        <f aca="false">IF($A1173="","",원본명단!$A1172)</f>
        <v/>
      </c>
      <c r="C1173" s="12" t="str">
        <f aca="false">IF($A1173="","",원본명단!$B1172)</f>
        <v/>
      </c>
      <c r="D1173" s="12" t="str">
        <f aca="false">IF($A1173="","",원본명단!$D1172)</f>
        <v/>
      </c>
      <c r="E1173" s="11" t="str">
        <f aca="false">IF($A1173="","",IF(원본명단!$H1172="",0,COUNTIF(원본명단!$H$3:$H$6002,원본명단!$H1172)))</f>
        <v/>
      </c>
      <c r="F1173" s="11" t="str">
        <f aca="false">IF($A1173="","",IF(원본명단!$I1172="",0,COUNTIF(원본명단!$I$3:$I$6002,원본명단!$I1172)))</f>
        <v/>
      </c>
      <c r="G1173" s="11" t="str">
        <f aca="false">IF($A1173="","",IF(원본명단!$K1172="",0,COUNTIF(원본명단!$K$3:$K$6002,원본명단!$K1172)))</f>
        <v/>
      </c>
      <c r="H1173" s="11" t="str">
        <f aca="false">IF($A1173="","",IF(MAX($E1173,$F1173,$G1173)&gt;1,"중복","-"))</f>
        <v/>
      </c>
      <c r="I1173" s="11" t="str">
        <f aca="false">IF($A1173="","",IF($H1173="-","-",IF(AND(IF(원본명단!$H1172="",TRUE(),COUNTIF(원본명단!$H$3:$H1172,원본명단!$H1172)=1),IF(원본명단!$I1172="",TRUE(),COUNTIF(원본명단!$I$3:$I1172,원본명단!$I1172)=1),IF(원본명단!$K1172="",TRUE(),COUNTIF(원본명단!$K$3:$K1172,원본명단!$K1172)=1)),"첫 건","중복 건")))</f>
        <v/>
      </c>
      <c r="J1173" s="11" t="str">
        <f aca="false">IF($A1173="","",IF($H1173="-","유지",IF($I1173="첫 건","유지","확인 필요")))</f>
        <v/>
      </c>
    </row>
    <row r="1174" customFormat="false" ht="15" hidden="false" customHeight="true" outlineLevel="0" collapsed="false">
      <c r="A1174" s="11" t="str">
        <f aca="false">IF(원본명단!$A1173="","",1171)</f>
        <v/>
      </c>
      <c r="B1174" s="12" t="str">
        <f aca="false">IF($A1174="","",원본명단!$A1173)</f>
        <v/>
      </c>
      <c r="C1174" s="12" t="str">
        <f aca="false">IF($A1174="","",원본명단!$B1173)</f>
        <v/>
      </c>
      <c r="D1174" s="12" t="str">
        <f aca="false">IF($A1174="","",원본명단!$D1173)</f>
        <v/>
      </c>
      <c r="E1174" s="11" t="str">
        <f aca="false">IF($A1174="","",IF(원본명단!$H1173="",0,COUNTIF(원본명단!$H$3:$H$6002,원본명단!$H1173)))</f>
        <v/>
      </c>
      <c r="F1174" s="11" t="str">
        <f aca="false">IF($A1174="","",IF(원본명단!$I1173="",0,COUNTIF(원본명단!$I$3:$I$6002,원본명단!$I1173)))</f>
        <v/>
      </c>
      <c r="G1174" s="11" t="str">
        <f aca="false">IF($A1174="","",IF(원본명단!$K1173="",0,COUNTIF(원본명단!$K$3:$K$6002,원본명단!$K1173)))</f>
        <v/>
      </c>
      <c r="H1174" s="11" t="str">
        <f aca="false">IF($A1174="","",IF(MAX($E1174,$F1174,$G1174)&gt;1,"중복","-"))</f>
        <v/>
      </c>
      <c r="I1174" s="11" t="str">
        <f aca="false">IF($A1174="","",IF($H1174="-","-",IF(AND(IF(원본명단!$H1173="",TRUE(),COUNTIF(원본명단!$H$3:$H1173,원본명단!$H1173)=1),IF(원본명단!$I1173="",TRUE(),COUNTIF(원본명단!$I$3:$I1173,원본명단!$I1173)=1),IF(원본명단!$K1173="",TRUE(),COUNTIF(원본명단!$K$3:$K1173,원본명단!$K1173)=1)),"첫 건","중복 건")))</f>
        <v/>
      </c>
      <c r="J1174" s="11" t="str">
        <f aca="false">IF($A1174="","",IF($H1174="-","유지",IF($I1174="첫 건","유지","확인 필요")))</f>
        <v/>
      </c>
    </row>
    <row r="1175" customFormat="false" ht="15" hidden="false" customHeight="true" outlineLevel="0" collapsed="false">
      <c r="A1175" s="11" t="str">
        <f aca="false">IF(원본명단!$A1174="","",1172)</f>
        <v/>
      </c>
      <c r="B1175" s="12" t="str">
        <f aca="false">IF($A1175="","",원본명단!$A1174)</f>
        <v/>
      </c>
      <c r="C1175" s="12" t="str">
        <f aca="false">IF($A1175="","",원본명단!$B1174)</f>
        <v/>
      </c>
      <c r="D1175" s="12" t="str">
        <f aca="false">IF($A1175="","",원본명단!$D1174)</f>
        <v/>
      </c>
      <c r="E1175" s="11" t="str">
        <f aca="false">IF($A1175="","",IF(원본명단!$H1174="",0,COUNTIF(원본명단!$H$3:$H$6002,원본명단!$H1174)))</f>
        <v/>
      </c>
      <c r="F1175" s="11" t="str">
        <f aca="false">IF($A1175="","",IF(원본명단!$I1174="",0,COUNTIF(원본명단!$I$3:$I$6002,원본명단!$I1174)))</f>
        <v/>
      </c>
      <c r="G1175" s="11" t="str">
        <f aca="false">IF($A1175="","",IF(원본명단!$K1174="",0,COUNTIF(원본명단!$K$3:$K$6002,원본명단!$K1174)))</f>
        <v/>
      </c>
      <c r="H1175" s="11" t="str">
        <f aca="false">IF($A1175="","",IF(MAX($E1175,$F1175,$G1175)&gt;1,"중복","-"))</f>
        <v/>
      </c>
      <c r="I1175" s="11" t="str">
        <f aca="false">IF($A1175="","",IF($H1175="-","-",IF(AND(IF(원본명단!$H1174="",TRUE(),COUNTIF(원본명단!$H$3:$H1174,원본명단!$H1174)=1),IF(원본명단!$I1174="",TRUE(),COUNTIF(원본명단!$I$3:$I1174,원본명단!$I1174)=1),IF(원본명단!$K1174="",TRUE(),COUNTIF(원본명단!$K$3:$K1174,원본명단!$K1174)=1)),"첫 건","중복 건")))</f>
        <v/>
      </c>
      <c r="J1175" s="11" t="str">
        <f aca="false">IF($A1175="","",IF($H1175="-","유지",IF($I1175="첫 건","유지","확인 필요")))</f>
        <v/>
      </c>
    </row>
    <row r="1176" customFormat="false" ht="15" hidden="false" customHeight="true" outlineLevel="0" collapsed="false">
      <c r="A1176" s="11" t="str">
        <f aca="false">IF(원본명단!$A1175="","",1173)</f>
        <v/>
      </c>
      <c r="B1176" s="12" t="str">
        <f aca="false">IF($A1176="","",원본명단!$A1175)</f>
        <v/>
      </c>
      <c r="C1176" s="12" t="str">
        <f aca="false">IF($A1176="","",원본명단!$B1175)</f>
        <v/>
      </c>
      <c r="D1176" s="12" t="str">
        <f aca="false">IF($A1176="","",원본명단!$D1175)</f>
        <v/>
      </c>
      <c r="E1176" s="11" t="str">
        <f aca="false">IF($A1176="","",IF(원본명단!$H1175="",0,COUNTIF(원본명단!$H$3:$H$6002,원본명단!$H1175)))</f>
        <v/>
      </c>
      <c r="F1176" s="11" t="str">
        <f aca="false">IF($A1176="","",IF(원본명단!$I1175="",0,COUNTIF(원본명단!$I$3:$I$6002,원본명단!$I1175)))</f>
        <v/>
      </c>
      <c r="G1176" s="11" t="str">
        <f aca="false">IF($A1176="","",IF(원본명단!$K1175="",0,COUNTIF(원본명단!$K$3:$K$6002,원본명단!$K1175)))</f>
        <v/>
      </c>
      <c r="H1176" s="11" t="str">
        <f aca="false">IF($A1176="","",IF(MAX($E1176,$F1176,$G1176)&gt;1,"중복","-"))</f>
        <v/>
      </c>
      <c r="I1176" s="11" t="str">
        <f aca="false">IF($A1176="","",IF($H1176="-","-",IF(AND(IF(원본명단!$H1175="",TRUE(),COUNTIF(원본명단!$H$3:$H1175,원본명단!$H1175)=1),IF(원본명단!$I1175="",TRUE(),COUNTIF(원본명단!$I$3:$I1175,원본명단!$I1175)=1),IF(원본명단!$K1175="",TRUE(),COUNTIF(원본명단!$K$3:$K1175,원본명단!$K1175)=1)),"첫 건","중복 건")))</f>
        <v/>
      </c>
      <c r="J1176" s="11" t="str">
        <f aca="false">IF($A1176="","",IF($H1176="-","유지",IF($I1176="첫 건","유지","확인 필요")))</f>
        <v/>
      </c>
    </row>
    <row r="1177" customFormat="false" ht="15" hidden="false" customHeight="true" outlineLevel="0" collapsed="false">
      <c r="A1177" s="11" t="str">
        <f aca="false">IF(원본명단!$A1176="","",1174)</f>
        <v/>
      </c>
      <c r="B1177" s="12" t="str">
        <f aca="false">IF($A1177="","",원본명단!$A1176)</f>
        <v/>
      </c>
      <c r="C1177" s="12" t="str">
        <f aca="false">IF($A1177="","",원본명단!$B1176)</f>
        <v/>
      </c>
      <c r="D1177" s="12" t="str">
        <f aca="false">IF($A1177="","",원본명단!$D1176)</f>
        <v/>
      </c>
      <c r="E1177" s="11" t="str">
        <f aca="false">IF($A1177="","",IF(원본명단!$H1176="",0,COUNTIF(원본명단!$H$3:$H$6002,원본명단!$H1176)))</f>
        <v/>
      </c>
      <c r="F1177" s="11" t="str">
        <f aca="false">IF($A1177="","",IF(원본명단!$I1176="",0,COUNTIF(원본명단!$I$3:$I$6002,원본명단!$I1176)))</f>
        <v/>
      </c>
      <c r="G1177" s="11" t="str">
        <f aca="false">IF($A1177="","",IF(원본명단!$K1176="",0,COUNTIF(원본명단!$K$3:$K$6002,원본명단!$K1176)))</f>
        <v/>
      </c>
      <c r="H1177" s="11" t="str">
        <f aca="false">IF($A1177="","",IF(MAX($E1177,$F1177,$G1177)&gt;1,"중복","-"))</f>
        <v/>
      </c>
      <c r="I1177" s="11" t="str">
        <f aca="false">IF($A1177="","",IF($H1177="-","-",IF(AND(IF(원본명단!$H1176="",TRUE(),COUNTIF(원본명단!$H$3:$H1176,원본명단!$H1176)=1),IF(원본명단!$I1176="",TRUE(),COUNTIF(원본명단!$I$3:$I1176,원본명단!$I1176)=1),IF(원본명단!$K1176="",TRUE(),COUNTIF(원본명단!$K$3:$K1176,원본명단!$K1176)=1)),"첫 건","중복 건")))</f>
        <v/>
      </c>
      <c r="J1177" s="11" t="str">
        <f aca="false">IF($A1177="","",IF($H1177="-","유지",IF($I1177="첫 건","유지","확인 필요")))</f>
        <v/>
      </c>
    </row>
    <row r="1178" customFormat="false" ht="15" hidden="false" customHeight="true" outlineLevel="0" collapsed="false">
      <c r="A1178" s="11" t="str">
        <f aca="false">IF(원본명단!$A1177="","",1175)</f>
        <v/>
      </c>
      <c r="B1178" s="12" t="str">
        <f aca="false">IF($A1178="","",원본명단!$A1177)</f>
        <v/>
      </c>
      <c r="C1178" s="12" t="str">
        <f aca="false">IF($A1178="","",원본명단!$B1177)</f>
        <v/>
      </c>
      <c r="D1178" s="12" t="str">
        <f aca="false">IF($A1178="","",원본명단!$D1177)</f>
        <v/>
      </c>
      <c r="E1178" s="11" t="str">
        <f aca="false">IF($A1178="","",IF(원본명단!$H1177="",0,COUNTIF(원본명단!$H$3:$H$6002,원본명단!$H1177)))</f>
        <v/>
      </c>
      <c r="F1178" s="11" t="str">
        <f aca="false">IF($A1178="","",IF(원본명단!$I1177="",0,COUNTIF(원본명단!$I$3:$I$6002,원본명단!$I1177)))</f>
        <v/>
      </c>
      <c r="G1178" s="11" t="str">
        <f aca="false">IF($A1178="","",IF(원본명단!$K1177="",0,COUNTIF(원본명단!$K$3:$K$6002,원본명단!$K1177)))</f>
        <v/>
      </c>
      <c r="H1178" s="11" t="str">
        <f aca="false">IF($A1178="","",IF(MAX($E1178,$F1178,$G1178)&gt;1,"중복","-"))</f>
        <v/>
      </c>
      <c r="I1178" s="11" t="str">
        <f aca="false">IF($A1178="","",IF($H1178="-","-",IF(AND(IF(원본명단!$H1177="",TRUE(),COUNTIF(원본명단!$H$3:$H1177,원본명단!$H1177)=1),IF(원본명단!$I1177="",TRUE(),COUNTIF(원본명단!$I$3:$I1177,원본명단!$I1177)=1),IF(원본명단!$K1177="",TRUE(),COUNTIF(원본명단!$K$3:$K1177,원본명단!$K1177)=1)),"첫 건","중복 건")))</f>
        <v/>
      </c>
      <c r="J1178" s="11" t="str">
        <f aca="false">IF($A1178="","",IF($H1178="-","유지",IF($I1178="첫 건","유지","확인 필요")))</f>
        <v/>
      </c>
    </row>
    <row r="1179" customFormat="false" ht="15" hidden="false" customHeight="true" outlineLevel="0" collapsed="false">
      <c r="A1179" s="11" t="str">
        <f aca="false">IF(원본명단!$A1178="","",1176)</f>
        <v/>
      </c>
      <c r="B1179" s="12" t="str">
        <f aca="false">IF($A1179="","",원본명단!$A1178)</f>
        <v/>
      </c>
      <c r="C1179" s="12" t="str">
        <f aca="false">IF($A1179="","",원본명단!$B1178)</f>
        <v/>
      </c>
      <c r="D1179" s="12" t="str">
        <f aca="false">IF($A1179="","",원본명단!$D1178)</f>
        <v/>
      </c>
      <c r="E1179" s="11" t="str">
        <f aca="false">IF($A1179="","",IF(원본명단!$H1178="",0,COUNTIF(원본명단!$H$3:$H$6002,원본명단!$H1178)))</f>
        <v/>
      </c>
      <c r="F1179" s="11" t="str">
        <f aca="false">IF($A1179="","",IF(원본명단!$I1178="",0,COUNTIF(원본명단!$I$3:$I$6002,원본명단!$I1178)))</f>
        <v/>
      </c>
      <c r="G1179" s="11" t="str">
        <f aca="false">IF($A1179="","",IF(원본명단!$K1178="",0,COUNTIF(원본명단!$K$3:$K$6002,원본명단!$K1178)))</f>
        <v/>
      </c>
      <c r="H1179" s="11" t="str">
        <f aca="false">IF($A1179="","",IF(MAX($E1179,$F1179,$G1179)&gt;1,"중복","-"))</f>
        <v/>
      </c>
      <c r="I1179" s="11" t="str">
        <f aca="false">IF($A1179="","",IF($H1179="-","-",IF(AND(IF(원본명단!$H1178="",TRUE(),COUNTIF(원본명단!$H$3:$H1178,원본명단!$H1178)=1),IF(원본명단!$I1178="",TRUE(),COUNTIF(원본명단!$I$3:$I1178,원본명단!$I1178)=1),IF(원본명단!$K1178="",TRUE(),COUNTIF(원본명단!$K$3:$K1178,원본명단!$K1178)=1)),"첫 건","중복 건")))</f>
        <v/>
      </c>
      <c r="J1179" s="11" t="str">
        <f aca="false">IF($A1179="","",IF($H1179="-","유지",IF($I1179="첫 건","유지","확인 필요")))</f>
        <v/>
      </c>
    </row>
    <row r="1180" customFormat="false" ht="15" hidden="false" customHeight="true" outlineLevel="0" collapsed="false">
      <c r="A1180" s="11" t="str">
        <f aca="false">IF(원본명단!$A1179="","",1177)</f>
        <v/>
      </c>
      <c r="B1180" s="12" t="str">
        <f aca="false">IF($A1180="","",원본명단!$A1179)</f>
        <v/>
      </c>
      <c r="C1180" s="12" t="str">
        <f aca="false">IF($A1180="","",원본명단!$B1179)</f>
        <v/>
      </c>
      <c r="D1180" s="12" t="str">
        <f aca="false">IF($A1180="","",원본명단!$D1179)</f>
        <v/>
      </c>
      <c r="E1180" s="11" t="str">
        <f aca="false">IF($A1180="","",IF(원본명단!$H1179="",0,COUNTIF(원본명단!$H$3:$H$6002,원본명단!$H1179)))</f>
        <v/>
      </c>
      <c r="F1180" s="11" t="str">
        <f aca="false">IF($A1180="","",IF(원본명단!$I1179="",0,COUNTIF(원본명단!$I$3:$I$6002,원본명단!$I1179)))</f>
        <v/>
      </c>
      <c r="G1180" s="11" t="str">
        <f aca="false">IF($A1180="","",IF(원본명단!$K1179="",0,COUNTIF(원본명단!$K$3:$K$6002,원본명단!$K1179)))</f>
        <v/>
      </c>
      <c r="H1180" s="11" t="str">
        <f aca="false">IF($A1180="","",IF(MAX($E1180,$F1180,$G1180)&gt;1,"중복","-"))</f>
        <v/>
      </c>
      <c r="I1180" s="11" t="str">
        <f aca="false">IF($A1180="","",IF($H1180="-","-",IF(AND(IF(원본명단!$H1179="",TRUE(),COUNTIF(원본명단!$H$3:$H1179,원본명단!$H1179)=1),IF(원본명단!$I1179="",TRUE(),COUNTIF(원본명단!$I$3:$I1179,원본명단!$I1179)=1),IF(원본명단!$K1179="",TRUE(),COUNTIF(원본명단!$K$3:$K1179,원본명단!$K1179)=1)),"첫 건","중복 건")))</f>
        <v/>
      </c>
      <c r="J1180" s="11" t="str">
        <f aca="false">IF($A1180="","",IF($H1180="-","유지",IF($I1180="첫 건","유지","확인 필요")))</f>
        <v/>
      </c>
    </row>
    <row r="1181" customFormat="false" ht="15" hidden="false" customHeight="true" outlineLevel="0" collapsed="false">
      <c r="A1181" s="11" t="str">
        <f aca="false">IF(원본명단!$A1180="","",1178)</f>
        <v/>
      </c>
      <c r="B1181" s="12" t="str">
        <f aca="false">IF($A1181="","",원본명단!$A1180)</f>
        <v/>
      </c>
      <c r="C1181" s="12" t="str">
        <f aca="false">IF($A1181="","",원본명단!$B1180)</f>
        <v/>
      </c>
      <c r="D1181" s="12" t="str">
        <f aca="false">IF($A1181="","",원본명단!$D1180)</f>
        <v/>
      </c>
      <c r="E1181" s="11" t="str">
        <f aca="false">IF($A1181="","",IF(원본명단!$H1180="",0,COUNTIF(원본명단!$H$3:$H$6002,원본명단!$H1180)))</f>
        <v/>
      </c>
      <c r="F1181" s="11" t="str">
        <f aca="false">IF($A1181="","",IF(원본명단!$I1180="",0,COUNTIF(원본명단!$I$3:$I$6002,원본명단!$I1180)))</f>
        <v/>
      </c>
      <c r="G1181" s="11" t="str">
        <f aca="false">IF($A1181="","",IF(원본명단!$K1180="",0,COUNTIF(원본명단!$K$3:$K$6002,원본명단!$K1180)))</f>
        <v/>
      </c>
      <c r="H1181" s="11" t="str">
        <f aca="false">IF($A1181="","",IF(MAX($E1181,$F1181,$G1181)&gt;1,"중복","-"))</f>
        <v/>
      </c>
      <c r="I1181" s="11" t="str">
        <f aca="false">IF($A1181="","",IF($H1181="-","-",IF(AND(IF(원본명단!$H1180="",TRUE(),COUNTIF(원본명단!$H$3:$H1180,원본명단!$H1180)=1),IF(원본명단!$I1180="",TRUE(),COUNTIF(원본명단!$I$3:$I1180,원본명단!$I1180)=1),IF(원본명단!$K1180="",TRUE(),COUNTIF(원본명단!$K$3:$K1180,원본명단!$K1180)=1)),"첫 건","중복 건")))</f>
        <v/>
      </c>
      <c r="J1181" s="11" t="str">
        <f aca="false">IF($A1181="","",IF($H1181="-","유지",IF($I1181="첫 건","유지","확인 필요")))</f>
        <v/>
      </c>
    </row>
    <row r="1182" customFormat="false" ht="15" hidden="false" customHeight="true" outlineLevel="0" collapsed="false">
      <c r="A1182" s="11" t="str">
        <f aca="false">IF(원본명단!$A1181="","",1179)</f>
        <v/>
      </c>
      <c r="B1182" s="12" t="str">
        <f aca="false">IF($A1182="","",원본명단!$A1181)</f>
        <v/>
      </c>
      <c r="C1182" s="12" t="str">
        <f aca="false">IF($A1182="","",원본명단!$B1181)</f>
        <v/>
      </c>
      <c r="D1182" s="12" t="str">
        <f aca="false">IF($A1182="","",원본명단!$D1181)</f>
        <v/>
      </c>
      <c r="E1182" s="11" t="str">
        <f aca="false">IF($A1182="","",IF(원본명단!$H1181="",0,COUNTIF(원본명단!$H$3:$H$6002,원본명단!$H1181)))</f>
        <v/>
      </c>
      <c r="F1182" s="11" t="str">
        <f aca="false">IF($A1182="","",IF(원본명단!$I1181="",0,COUNTIF(원본명단!$I$3:$I$6002,원본명단!$I1181)))</f>
        <v/>
      </c>
      <c r="G1182" s="11" t="str">
        <f aca="false">IF($A1182="","",IF(원본명단!$K1181="",0,COUNTIF(원본명단!$K$3:$K$6002,원본명단!$K1181)))</f>
        <v/>
      </c>
      <c r="H1182" s="11" t="str">
        <f aca="false">IF($A1182="","",IF(MAX($E1182,$F1182,$G1182)&gt;1,"중복","-"))</f>
        <v/>
      </c>
      <c r="I1182" s="11" t="str">
        <f aca="false">IF($A1182="","",IF($H1182="-","-",IF(AND(IF(원본명단!$H1181="",TRUE(),COUNTIF(원본명단!$H$3:$H1181,원본명단!$H1181)=1),IF(원본명단!$I1181="",TRUE(),COUNTIF(원본명단!$I$3:$I1181,원본명단!$I1181)=1),IF(원본명단!$K1181="",TRUE(),COUNTIF(원본명단!$K$3:$K1181,원본명단!$K1181)=1)),"첫 건","중복 건")))</f>
        <v/>
      </c>
      <c r="J1182" s="11" t="str">
        <f aca="false">IF($A1182="","",IF($H1182="-","유지",IF($I1182="첫 건","유지","확인 필요")))</f>
        <v/>
      </c>
    </row>
    <row r="1183" customFormat="false" ht="15" hidden="false" customHeight="true" outlineLevel="0" collapsed="false">
      <c r="A1183" s="11" t="str">
        <f aca="false">IF(원본명단!$A1182="","",1180)</f>
        <v/>
      </c>
      <c r="B1183" s="12" t="str">
        <f aca="false">IF($A1183="","",원본명단!$A1182)</f>
        <v/>
      </c>
      <c r="C1183" s="12" t="str">
        <f aca="false">IF($A1183="","",원본명단!$B1182)</f>
        <v/>
      </c>
      <c r="D1183" s="12" t="str">
        <f aca="false">IF($A1183="","",원본명단!$D1182)</f>
        <v/>
      </c>
      <c r="E1183" s="11" t="str">
        <f aca="false">IF($A1183="","",IF(원본명단!$H1182="",0,COUNTIF(원본명단!$H$3:$H$6002,원본명단!$H1182)))</f>
        <v/>
      </c>
      <c r="F1183" s="11" t="str">
        <f aca="false">IF($A1183="","",IF(원본명단!$I1182="",0,COUNTIF(원본명단!$I$3:$I$6002,원본명단!$I1182)))</f>
        <v/>
      </c>
      <c r="G1183" s="11" t="str">
        <f aca="false">IF($A1183="","",IF(원본명단!$K1182="",0,COUNTIF(원본명단!$K$3:$K$6002,원본명단!$K1182)))</f>
        <v/>
      </c>
      <c r="H1183" s="11" t="str">
        <f aca="false">IF($A1183="","",IF(MAX($E1183,$F1183,$G1183)&gt;1,"중복","-"))</f>
        <v/>
      </c>
      <c r="I1183" s="11" t="str">
        <f aca="false">IF($A1183="","",IF($H1183="-","-",IF(AND(IF(원본명단!$H1182="",TRUE(),COUNTIF(원본명단!$H$3:$H1182,원본명단!$H1182)=1),IF(원본명단!$I1182="",TRUE(),COUNTIF(원본명단!$I$3:$I1182,원본명단!$I1182)=1),IF(원본명단!$K1182="",TRUE(),COUNTIF(원본명단!$K$3:$K1182,원본명단!$K1182)=1)),"첫 건","중복 건")))</f>
        <v/>
      </c>
      <c r="J1183" s="11" t="str">
        <f aca="false">IF($A1183="","",IF($H1183="-","유지",IF($I1183="첫 건","유지","확인 필요")))</f>
        <v/>
      </c>
    </row>
    <row r="1184" customFormat="false" ht="15" hidden="false" customHeight="true" outlineLevel="0" collapsed="false">
      <c r="A1184" s="11" t="str">
        <f aca="false">IF(원본명단!$A1183="","",1181)</f>
        <v/>
      </c>
      <c r="B1184" s="12" t="str">
        <f aca="false">IF($A1184="","",원본명단!$A1183)</f>
        <v/>
      </c>
      <c r="C1184" s="12" t="str">
        <f aca="false">IF($A1184="","",원본명단!$B1183)</f>
        <v/>
      </c>
      <c r="D1184" s="12" t="str">
        <f aca="false">IF($A1184="","",원본명단!$D1183)</f>
        <v/>
      </c>
      <c r="E1184" s="11" t="str">
        <f aca="false">IF($A1184="","",IF(원본명단!$H1183="",0,COUNTIF(원본명단!$H$3:$H$6002,원본명단!$H1183)))</f>
        <v/>
      </c>
      <c r="F1184" s="11" t="str">
        <f aca="false">IF($A1184="","",IF(원본명단!$I1183="",0,COUNTIF(원본명단!$I$3:$I$6002,원본명단!$I1183)))</f>
        <v/>
      </c>
      <c r="G1184" s="11" t="str">
        <f aca="false">IF($A1184="","",IF(원본명단!$K1183="",0,COUNTIF(원본명단!$K$3:$K$6002,원본명단!$K1183)))</f>
        <v/>
      </c>
      <c r="H1184" s="11" t="str">
        <f aca="false">IF($A1184="","",IF(MAX($E1184,$F1184,$G1184)&gt;1,"중복","-"))</f>
        <v/>
      </c>
      <c r="I1184" s="11" t="str">
        <f aca="false">IF($A1184="","",IF($H1184="-","-",IF(AND(IF(원본명단!$H1183="",TRUE(),COUNTIF(원본명단!$H$3:$H1183,원본명단!$H1183)=1),IF(원본명단!$I1183="",TRUE(),COUNTIF(원본명단!$I$3:$I1183,원본명단!$I1183)=1),IF(원본명단!$K1183="",TRUE(),COUNTIF(원본명단!$K$3:$K1183,원본명단!$K1183)=1)),"첫 건","중복 건")))</f>
        <v/>
      </c>
      <c r="J1184" s="11" t="str">
        <f aca="false">IF($A1184="","",IF($H1184="-","유지",IF($I1184="첫 건","유지","확인 필요")))</f>
        <v/>
      </c>
    </row>
    <row r="1185" customFormat="false" ht="15" hidden="false" customHeight="true" outlineLevel="0" collapsed="false">
      <c r="A1185" s="11" t="str">
        <f aca="false">IF(원본명단!$A1184="","",1182)</f>
        <v/>
      </c>
      <c r="B1185" s="12" t="str">
        <f aca="false">IF($A1185="","",원본명단!$A1184)</f>
        <v/>
      </c>
      <c r="C1185" s="12" t="str">
        <f aca="false">IF($A1185="","",원본명단!$B1184)</f>
        <v/>
      </c>
      <c r="D1185" s="12" t="str">
        <f aca="false">IF($A1185="","",원본명단!$D1184)</f>
        <v/>
      </c>
      <c r="E1185" s="11" t="str">
        <f aca="false">IF($A1185="","",IF(원본명단!$H1184="",0,COUNTIF(원본명단!$H$3:$H$6002,원본명단!$H1184)))</f>
        <v/>
      </c>
      <c r="F1185" s="11" t="str">
        <f aca="false">IF($A1185="","",IF(원본명단!$I1184="",0,COUNTIF(원본명단!$I$3:$I$6002,원본명단!$I1184)))</f>
        <v/>
      </c>
      <c r="G1185" s="11" t="str">
        <f aca="false">IF($A1185="","",IF(원본명단!$K1184="",0,COUNTIF(원본명단!$K$3:$K$6002,원본명단!$K1184)))</f>
        <v/>
      </c>
      <c r="H1185" s="11" t="str">
        <f aca="false">IF($A1185="","",IF(MAX($E1185,$F1185,$G1185)&gt;1,"중복","-"))</f>
        <v/>
      </c>
      <c r="I1185" s="11" t="str">
        <f aca="false">IF($A1185="","",IF($H1185="-","-",IF(AND(IF(원본명단!$H1184="",TRUE(),COUNTIF(원본명단!$H$3:$H1184,원본명단!$H1184)=1),IF(원본명단!$I1184="",TRUE(),COUNTIF(원본명단!$I$3:$I1184,원본명단!$I1184)=1),IF(원본명단!$K1184="",TRUE(),COUNTIF(원본명단!$K$3:$K1184,원본명단!$K1184)=1)),"첫 건","중복 건")))</f>
        <v/>
      </c>
      <c r="J1185" s="11" t="str">
        <f aca="false">IF($A1185="","",IF($H1185="-","유지",IF($I1185="첫 건","유지","확인 필요")))</f>
        <v/>
      </c>
    </row>
    <row r="1186" customFormat="false" ht="15" hidden="false" customHeight="true" outlineLevel="0" collapsed="false">
      <c r="A1186" s="11" t="str">
        <f aca="false">IF(원본명단!$A1185="","",1183)</f>
        <v/>
      </c>
      <c r="B1186" s="12" t="str">
        <f aca="false">IF($A1186="","",원본명단!$A1185)</f>
        <v/>
      </c>
      <c r="C1186" s="12" t="str">
        <f aca="false">IF($A1186="","",원본명단!$B1185)</f>
        <v/>
      </c>
      <c r="D1186" s="12" t="str">
        <f aca="false">IF($A1186="","",원본명단!$D1185)</f>
        <v/>
      </c>
      <c r="E1186" s="11" t="str">
        <f aca="false">IF($A1186="","",IF(원본명단!$H1185="",0,COUNTIF(원본명단!$H$3:$H$6002,원본명단!$H1185)))</f>
        <v/>
      </c>
      <c r="F1186" s="11" t="str">
        <f aca="false">IF($A1186="","",IF(원본명단!$I1185="",0,COUNTIF(원본명단!$I$3:$I$6002,원본명단!$I1185)))</f>
        <v/>
      </c>
      <c r="G1186" s="11" t="str">
        <f aca="false">IF($A1186="","",IF(원본명단!$K1185="",0,COUNTIF(원본명단!$K$3:$K$6002,원본명단!$K1185)))</f>
        <v/>
      </c>
      <c r="H1186" s="11" t="str">
        <f aca="false">IF($A1186="","",IF(MAX($E1186,$F1186,$G1186)&gt;1,"중복","-"))</f>
        <v/>
      </c>
      <c r="I1186" s="11" t="str">
        <f aca="false">IF($A1186="","",IF($H1186="-","-",IF(AND(IF(원본명단!$H1185="",TRUE(),COUNTIF(원본명단!$H$3:$H1185,원본명단!$H1185)=1),IF(원본명단!$I1185="",TRUE(),COUNTIF(원본명단!$I$3:$I1185,원본명단!$I1185)=1),IF(원본명단!$K1185="",TRUE(),COUNTIF(원본명단!$K$3:$K1185,원본명단!$K1185)=1)),"첫 건","중복 건")))</f>
        <v/>
      </c>
      <c r="J1186" s="11" t="str">
        <f aca="false">IF($A1186="","",IF($H1186="-","유지",IF($I1186="첫 건","유지","확인 필요")))</f>
        <v/>
      </c>
    </row>
    <row r="1187" customFormat="false" ht="15" hidden="false" customHeight="true" outlineLevel="0" collapsed="false">
      <c r="A1187" s="11" t="str">
        <f aca="false">IF(원본명단!$A1186="","",1184)</f>
        <v/>
      </c>
      <c r="B1187" s="12" t="str">
        <f aca="false">IF($A1187="","",원본명단!$A1186)</f>
        <v/>
      </c>
      <c r="C1187" s="12" t="str">
        <f aca="false">IF($A1187="","",원본명단!$B1186)</f>
        <v/>
      </c>
      <c r="D1187" s="12" t="str">
        <f aca="false">IF($A1187="","",원본명단!$D1186)</f>
        <v/>
      </c>
      <c r="E1187" s="11" t="str">
        <f aca="false">IF($A1187="","",IF(원본명단!$H1186="",0,COUNTIF(원본명단!$H$3:$H$6002,원본명단!$H1186)))</f>
        <v/>
      </c>
      <c r="F1187" s="11" t="str">
        <f aca="false">IF($A1187="","",IF(원본명단!$I1186="",0,COUNTIF(원본명단!$I$3:$I$6002,원본명단!$I1186)))</f>
        <v/>
      </c>
      <c r="G1187" s="11" t="str">
        <f aca="false">IF($A1187="","",IF(원본명단!$K1186="",0,COUNTIF(원본명단!$K$3:$K$6002,원본명단!$K1186)))</f>
        <v/>
      </c>
      <c r="H1187" s="11" t="str">
        <f aca="false">IF($A1187="","",IF(MAX($E1187,$F1187,$G1187)&gt;1,"중복","-"))</f>
        <v/>
      </c>
      <c r="I1187" s="11" t="str">
        <f aca="false">IF($A1187="","",IF($H1187="-","-",IF(AND(IF(원본명단!$H1186="",TRUE(),COUNTIF(원본명단!$H$3:$H1186,원본명단!$H1186)=1),IF(원본명단!$I1186="",TRUE(),COUNTIF(원본명단!$I$3:$I1186,원본명단!$I1186)=1),IF(원본명단!$K1186="",TRUE(),COUNTIF(원본명단!$K$3:$K1186,원본명단!$K1186)=1)),"첫 건","중복 건")))</f>
        <v/>
      </c>
      <c r="J1187" s="11" t="str">
        <f aca="false">IF($A1187="","",IF($H1187="-","유지",IF($I1187="첫 건","유지","확인 필요")))</f>
        <v/>
      </c>
    </row>
    <row r="1188" customFormat="false" ht="15" hidden="false" customHeight="true" outlineLevel="0" collapsed="false">
      <c r="A1188" s="11" t="str">
        <f aca="false">IF(원본명단!$A1187="","",1185)</f>
        <v/>
      </c>
      <c r="B1188" s="12" t="str">
        <f aca="false">IF($A1188="","",원본명단!$A1187)</f>
        <v/>
      </c>
      <c r="C1188" s="12" t="str">
        <f aca="false">IF($A1188="","",원본명단!$B1187)</f>
        <v/>
      </c>
      <c r="D1188" s="12" t="str">
        <f aca="false">IF($A1188="","",원본명단!$D1187)</f>
        <v/>
      </c>
      <c r="E1188" s="11" t="str">
        <f aca="false">IF($A1188="","",IF(원본명단!$H1187="",0,COUNTIF(원본명단!$H$3:$H$6002,원본명단!$H1187)))</f>
        <v/>
      </c>
      <c r="F1188" s="11" t="str">
        <f aca="false">IF($A1188="","",IF(원본명단!$I1187="",0,COUNTIF(원본명단!$I$3:$I$6002,원본명단!$I1187)))</f>
        <v/>
      </c>
      <c r="G1188" s="11" t="str">
        <f aca="false">IF($A1188="","",IF(원본명단!$K1187="",0,COUNTIF(원본명단!$K$3:$K$6002,원본명단!$K1187)))</f>
        <v/>
      </c>
      <c r="H1188" s="11" t="str">
        <f aca="false">IF($A1188="","",IF(MAX($E1188,$F1188,$G1188)&gt;1,"중복","-"))</f>
        <v/>
      </c>
      <c r="I1188" s="11" t="str">
        <f aca="false">IF($A1188="","",IF($H1188="-","-",IF(AND(IF(원본명단!$H1187="",TRUE(),COUNTIF(원본명단!$H$3:$H1187,원본명단!$H1187)=1),IF(원본명단!$I1187="",TRUE(),COUNTIF(원본명단!$I$3:$I1187,원본명단!$I1187)=1),IF(원본명단!$K1187="",TRUE(),COUNTIF(원본명단!$K$3:$K1187,원본명단!$K1187)=1)),"첫 건","중복 건")))</f>
        <v/>
      </c>
      <c r="J1188" s="11" t="str">
        <f aca="false">IF($A1188="","",IF($H1188="-","유지",IF($I1188="첫 건","유지","확인 필요")))</f>
        <v/>
      </c>
    </row>
    <row r="1189" customFormat="false" ht="15" hidden="false" customHeight="true" outlineLevel="0" collapsed="false">
      <c r="A1189" s="11" t="str">
        <f aca="false">IF(원본명단!$A1188="","",1186)</f>
        <v/>
      </c>
      <c r="B1189" s="12" t="str">
        <f aca="false">IF($A1189="","",원본명단!$A1188)</f>
        <v/>
      </c>
      <c r="C1189" s="12" t="str">
        <f aca="false">IF($A1189="","",원본명단!$B1188)</f>
        <v/>
      </c>
      <c r="D1189" s="12" t="str">
        <f aca="false">IF($A1189="","",원본명단!$D1188)</f>
        <v/>
      </c>
      <c r="E1189" s="11" t="str">
        <f aca="false">IF($A1189="","",IF(원본명단!$H1188="",0,COUNTIF(원본명단!$H$3:$H$6002,원본명단!$H1188)))</f>
        <v/>
      </c>
      <c r="F1189" s="11" t="str">
        <f aca="false">IF($A1189="","",IF(원본명단!$I1188="",0,COUNTIF(원본명단!$I$3:$I$6002,원본명단!$I1188)))</f>
        <v/>
      </c>
      <c r="G1189" s="11" t="str">
        <f aca="false">IF($A1189="","",IF(원본명단!$K1188="",0,COUNTIF(원본명단!$K$3:$K$6002,원본명단!$K1188)))</f>
        <v/>
      </c>
      <c r="H1189" s="11" t="str">
        <f aca="false">IF($A1189="","",IF(MAX($E1189,$F1189,$G1189)&gt;1,"중복","-"))</f>
        <v/>
      </c>
      <c r="I1189" s="11" t="str">
        <f aca="false">IF($A1189="","",IF($H1189="-","-",IF(AND(IF(원본명단!$H1188="",TRUE(),COUNTIF(원본명단!$H$3:$H1188,원본명단!$H1188)=1),IF(원본명단!$I1188="",TRUE(),COUNTIF(원본명단!$I$3:$I1188,원본명단!$I1188)=1),IF(원본명단!$K1188="",TRUE(),COUNTIF(원본명단!$K$3:$K1188,원본명단!$K1188)=1)),"첫 건","중복 건")))</f>
        <v/>
      </c>
      <c r="J1189" s="11" t="str">
        <f aca="false">IF($A1189="","",IF($H1189="-","유지",IF($I1189="첫 건","유지","확인 필요")))</f>
        <v/>
      </c>
    </row>
    <row r="1190" customFormat="false" ht="15" hidden="false" customHeight="true" outlineLevel="0" collapsed="false">
      <c r="A1190" s="11" t="str">
        <f aca="false">IF(원본명단!$A1189="","",1187)</f>
        <v/>
      </c>
      <c r="B1190" s="12" t="str">
        <f aca="false">IF($A1190="","",원본명단!$A1189)</f>
        <v/>
      </c>
      <c r="C1190" s="12" t="str">
        <f aca="false">IF($A1190="","",원본명단!$B1189)</f>
        <v/>
      </c>
      <c r="D1190" s="12" t="str">
        <f aca="false">IF($A1190="","",원본명단!$D1189)</f>
        <v/>
      </c>
      <c r="E1190" s="11" t="str">
        <f aca="false">IF($A1190="","",IF(원본명단!$H1189="",0,COUNTIF(원본명단!$H$3:$H$6002,원본명단!$H1189)))</f>
        <v/>
      </c>
      <c r="F1190" s="11" t="str">
        <f aca="false">IF($A1190="","",IF(원본명단!$I1189="",0,COUNTIF(원본명단!$I$3:$I$6002,원본명단!$I1189)))</f>
        <v/>
      </c>
      <c r="G1190" s="11" t="str">
        <f aca="false">IF($A1190="","",IF(원본명단!$K1189="",0,COUNTIF(원본명단!$K$3:$K$6002,원본명단!$K1189)))</f>
        <v/>
      </c>
      <c r="H1190" s="11" t="str">
        <f aca="false">IF($A1190="","",IF(MAX($E1190,$F1190,$G1190)&gt;1,"중복","-"))</f>
        <v/>
      </c>
      <c r="I1190" s="11" t="str">
        <f aca="false">IF($A1190="","",IF($H1190="-","-",IF(AND(IF(원본명단!$H1189="",TRUE(),COUNTIF(원본명단!$H$3:$H1189,원본명단!$H1189)=1),IF(원본명단!$I1189="",TRUE(),COUNTIF(원본명단!$I$3:$I1189,원본명단!$I1189)=1),IF(원본명단!$K1189="",TRUE(),COUNTIF(원본명단!$K$3:$K1189,원본명단!$K1189)=1)),"첫 건","중복 건")))</f>
        <v/>
      </c>
      <c r="J1190" s="11" t="str">
        <f aca="false">IF($A1190="","",IF($H1190="-","유지",IF($I1190="첫 건","유지","확인 필요")))</f>
        <v/>
      </c>
    </row>
    <row r="1191" customFormat="false" ht="15" hidden="false" customHeight="true" outlineLevel="0" collapsed="false">
      <c r="A1191" s="11" t="str">
        <f aca="false">IF(원본명단!$A1190="","",1188)</f>
        <v/>
      </c>
      <c r="B1191" s="12" t="str">
        <f aca="false">IF($A1191="","",원본명단!$A1190)</f>
        <v/>
      </c>
      <c r="C1191" s="12" t="str">
        <f aca="false">IF($A1191="","",원본명단!$B1190)</f>
        <v/>
      </c>
      <c r="D1191" s="12" t="str">
        <f aca="false">IF($A1191="","",원본명단!$D1190)</f>
        <v/>
      </c>
      <c r="E1191" s="11" t="str">
        <f aca="false">IF($A1191="","",IF(원본명단!$H1190="",0,COUNTIF(원본명단!$H$3:$H$6002,원본명단!$H1190)))</f>
        <v/>
      </c>
      <c r="F1191" s="11" t="str">
        <f aca="false">IF($A1191="","",IF(원본명단!$I1190="",0,COUNTIF(원본명단!$I$3:$I$6002,원본명단!$I1190)))</f>
        <v/>
      </c>
      <c r="G1191" s="11" t="str">
        <f aca="false">IF($A1191="","",IF(원본명단!$K1190="",0,COUNTIF(원본명단!$K$3:$K$6002,원본명단!$K1190)))</f>
        <v/>
      </c>
      <c r="H1191" s="11" t="str">
        <f aca="false">IF($A1191="","",IF(MAX($E1191,$F1191,$G1191)&gt;1,"중복","-"))</f>
        <v/>
      </c>
      <c r="I1191" s="11" t="str">
        <f aca="false">IF($A1191="","",IF($H1191="-","-",IF(AND(IF(원본명단!$H1190="",TRUE(),COUNTIF(원본명단!$H$3:$H1190,원본명단!$H1190)=1),IF(원본명단!$I1190="",TRUE(),COUNTIF(원본명단!$I$3:$I1190,원본명단!$I1190)=1),IF(원본명단!$K1190="",TRUE(),COUNTIF(원본명단!$K$3:$K1190,원본명단!$K1190)=1)),"첫 건","중복 건")))</f>
        <v/>
      </c>
      <c r="J1191" s="11" t="str">
        <f aca="false">IF($A1191="","",IF($H1191="-","유지",IF($I1191="첫 건","유지","확인 필요")))</f>
        <v/>
      </c>
    </row>
    <row r="1192" customFormat="false" ht="15" hidden="false" customHeight="true" outlineLevel="0" collapsed="false">
      <c r="A1192" s="11" t="str">
        <f aca="false">IF(원본명단!$A1191="","",1189)</f>
        <v/>
      </c>
      <c r="B1192" s="12" t="str">
        <f aca="false">IF($A1192="","",원본명단!$A1191)</f>
        <v/>
      </c>
      <c r="C1192" s="12" t="str">
        <f aca="false">IF($A1192="","",원본명단!$B1191)</f>
        <v/>
      </c>
      <c r="D1192" s="12" t="str">
        <f aca="false">IF($A1192="","",원본명단!$D1191)</f>
        <v/>
      </c>
      <c r="E1192" s="11" t="str">
        <f aca="false">IF($A1192="","",IF(원본명단!$H1191="",0,COUNTIF(원본명단!$H$3:$H$6002,원본명단!$H1191)))</f>
        <v/>
      </c>
      <c r="F1192" s="11" t="str">
        <f aca="false">IF($A1192="","",IF(원본명단!$I1191="",0,COUNTIF(원본명단!$I$3:$I$6002,원본명단!$I1191)))</f>
        <v/>
      </c>
      <c r="G1192" s="11" t="str">
        <f aca="false">IF($A1192="","",IF(원본명단!$K1191="",0,COUNTIF(원본명단!$K$3:$K$6002,원본명단!$K1191)))</f>
        <v/>
      </c>
      <c r="H1192" s="11" t="str">
        <f aca="false">IF($A1192="","",IF(MAX($E1192,$F1192,$G1192)&gt;1,"중복","-"))</f>
        <v/>
      </c>
      <c r="I1192" s="11" t="str">
        <f aca="false">IF($A1192="","",IF($H1192="-","-",IF(AND(IF(원본명단!$H1191="",TRUE(),COUNTIF(원본명단!$H$3:$H1191,원본명단!$H1191)=1),IF(원본명단!$I1191="",TRUE(),COUNTIF(원본명단!$I$3:$I1191,원본명단!$I1191)=1),IF(원본명단!$K1191="",TRUE(),COUNTIF(원본명단!$K$3:$K1191,원본명단!$K1191)=1)),"첫 건","중복 건")))</f>
        <v/>
      </c>
      <c r="J1192" s="11" t="str">
        <f aca="false">IF($A1192="","",IF($H1192="-","유지",IF($I1192="첫 건","유지","확인 필요")))</f>
        <v/>
      </c>
    </row>
    <row r="1193" customFormat="false" ht="15" hidden="false" customHeight="true" outlineLevel="0" collapsed="false">
      <c r="A1193" s="11" t="str">
        <f aca="false">IF(원본명단!$A1192="","",1190)</f>
        <v/>
      </c>
      <c r="B1193" s="12" t="str">
        <f aca="false">IF($A1193="","",원본명단!$A1192)</f>
        <v/>
      </c>
      <c r="C1193" s="12" t="str">
        <f aca="false">IF($A1193="","",원본명단!$B1192)</f>
        <v/>
      </c>
      <c r="D1193" s="12" t="str">
        <f aca="false">IF($A1193="","",원본명단!$D1192)</f>
        <v/>
      </c>
      <c r="E1193" s="11" t="str">
        <f aca="false">IF($A1193="","",IF(원본명단!$H1192="",0,COUNTIF(원본명단!$H$3:$H$6002,원본명단!$H1192)))</f>
        <v/>
      </c>
      <c r="F1193" s="11" t="str">
        <f aca="false">IF($A1193="","",IF(원본명단!$I1192="",0,COUNTIF(원본명단!$I$3:$I$6002,원본명단!$I1192)))</f>
        <v/>
      </c>
      <c r="G1193" s="11" t="str">
        <f aca="false">IF($A1193="","",IF(원본명단!$K1192="",0,COUNTIF(원본명단!$K$3:$K$6002,원본명단!$K1192)))</f>
        <v/>
      </c>
      <c r="H1193" s="11" t="str">
        <f aca="false">IF($A1193="","",IF(MAX($E1193,$F1193,$G1193)&gt;1,"중복","-"))</f>
        <v/>
      </c>
      <c r="I1193" s="11" t="str">
        <f aca="false">IF($A1193="","",IF($H1193="-","-",IF(AND(IF(원본명단!$H1192="",TRUE(),COUNTIF(원본명단!$H$3:$H1192,원본명단!$H1192)=1),IF(원본명단!$I1192="",TRUE(),COUNTIF(원본명단!$I$3:$I1192,원본명단!$I1192)=1),IF(원본명단!$K1192="",TRUE(),COUNTIF(원본명단!$K$3:$K1192,원본명단!$K1192)=1)),"첫 건","중복 건")))</f>
        <v/>
      </c>
      <c r="J1193" s="11" t="str">
        <f aca="false">IF($A1193="","",IF($H1193="-","유지",IF($I1193="첫 건","유지","확인 필요")))</f>
        <v/>
      </c>
    </row>
    <row r="1194" customFormat="false" ht="15" hidden="false" customHeight="true" outlineLevel="0" collapsed="false">
      <c r="A1194" s="11" t="str">
        <f aca="false">IF(원본명단!$A1193="","",1191)</f>
        <v/>
      </c>
      <c r="B1194" s="12" t="str">
        <f aca="false">IF($A1194="","",원본명단!$A1193)</f>
        <v/>
      </c>
      <c r="C1194" s="12" t="str">
        <f aca="false">IF($A1194="","",원본명단!$B1193)</f>
        <v/>
      </c>
      <c r="D1194" s="12" t="str">
        <f aca="false">IF($A1194="","",원본명단!$D1193)</f>
        <v/>
      </c>
      <c r="E1194" s="11" t="str">
        <f aca="false">IF($A1194="","",IF(원본명단!$H1193="",0,COUNTIF(원본명단!$H$3:$H$6002,원본명단!$H1193)))</f>
        <v/>
      </c>
      <c r="F1194" s="11" t="str">
        <f aca="false">IF($A1194="","",IF(원본명단!$I1193="",0,COUNTIF(원본명단!$I$3:$I$6002,원본명단!$I1193)))</f>
        <v/>
      </c>
      <c r="G1194" s="11" t="str">
        <f aca="false">IF($A1194="","",IF(원본명단!$K1193="",0,COUNTIF(원본명단!$K$3:$K$6002,원본명단!$K1193)))</f>
        <v/>
      </c>
      <c r="H1194" s="11" t="str">
        <f aca="false">IF($A1194="","",IF(MAX($E1194,$F1194,$G1194)&gt;1,"중복","-"))</f>
        <v/>
      </c>
      <c r="I1194" s="11" t="str">
        <f aca="false">IF($A1194="","",IF($H1194="-","-",IF(AND(IF(원본명단!$H1193="",TRUE(),COUNTIF(원본명단!$H$3:$H1193,원본명단!$H1193)=1),IF(원본명단!$I1193="",TRUE(),COUNTIF(원본명단!$I$3:$I1193,원본명단!$I1193)=1),IF(원본명단!$K1193="",TRUE(),COUNTIF(원본명단!$K$3:$K1193,원본명단!$K1193)=1)),"첫 건","중복 건")))</f>
        <v/>
      </c>
      <c r="J1194" s="11" t="str">
        <f aca="false">IF($A1194="","",IF($H1194="-","유지",IF($I1194="첫 건","유지","확인 필요")))</f>
        <v/>
      </c>
    </row>
    <row r="1195" customFormat="false" ht="15" hidden="false" customHeight="true" outlineLevel="0" collapsed="false">
      <c r="A1195" s="11" t="str">
        <f aca="false">IF(원본명단!$A1194="","",1192)</f>
        <v/>
      </c>
      <c r="B1195" s="12" t="str">
        <f aca="false">IF($A1195="","",원본명단!$A1194)</f>
        <v/>
      </c>
      <c r="C1195" s="12" t="str">
        <f aca="false">IF($A1195="","",원본명단!$B1194)</f>
        <v/>
      </c>
      <c r="D1195" s="12" t="str">
        <f aca="false">IF($A1195="","",원본명단!$D1194)</f>
        <v/>
      </c>
      <c r="E1195" s="11" t="str">
        <f aca="false">IF($A1195="","",IF(원본명단!$H1194="",0,COUNTIF(원본명단!$H$3:$H$6002,원본명단!$H1194)))</f>
        <v/>
      </c>
      <c r="F1195" s="11" t="str">
        <f aca="false">IF($A1195="","",IF(원본명단!$I1194="",0,COUNTIF(원본명단!$I$3:$I$6002,원본명단!$I1194)))</f>
        <v/>
      </c>
      <c r="G1195" s="11" t="str">
        <f aca="false">IF($A1195="","",IF(원본명단!$K1194="",0,COUNTIF(원본명단!$K$3:$K$6002,원본명단!$K1194)))</f>
        <v/>
      </c>
      <c r="H1195" s="11" t="str">
        <f aca="false">IF($A1195="","",IF(MAX($E1195,$F1195,$G1195)&gt;1,"중복","-"))</f>
        <v/>
      </c>
      <c r="I1195" s="11" t="str">
        <f aca="false">IF($A1195="","",IF($H1195="-","-",IF(AND(IF(원본명단!$H1194="",TRUE(),COUNTIF(원본명단!$H$3:$H1194,원본명단!$H1194)=1),IF(원본명단!$I1194="",TRUE(),COUNTIF(원본명단!$I$3:$I1194,원본명단!$I1194)=1),IF(원본명단!$K1194="",TRUE(),COUNTIF(원본명단!$K$3:$K1194,원본명단!$K1194)=1)),"첫 건","중복 건")))</f>
        <v/>
      </c>
      <c r="J1195" s="11" t="str">
        <f aca="false">IF($A1195="","",IF($H1195="-","유지",IF($I1195="첫 건","유지","확인 필요")))</f>
        <v/>
      </c>
    </row>
    <row r="1196" customFormat="false" ht="15" hidden="false" customHeight="true" outlineLevel="0" collapsed="false">
      <c r="A1196" s="11" t="str">
        <f aca="false">IF(원본명단!$A1195="","",1193)</f>
        <v/>
      </c>
      <c r="B1196" s="12" t="str">
        <f aca="false">IF($A1196="","",원본명단!$A1195)</f>
        <v/>
      </c>
      <c r="C1196" s="12" t="str">
        <f aca="false">IF($A1196="","",원본명단!$B1195)</f>
        <v/>
      </c>
      <c r="D1196" s="12" t="str">
        <f aca="false">IF($A1196="","",원본명단!$D1195)</f>
        <v/>
      </c>
      <c r="E1196" s="11" t="str">
        <f aca="false">IF($A1196="","",IF(원본명단!$H1195="",0,COUNTIF(원본명단!$H$3:$H$6002,원본명단!$H1195)))</f>
        <v/>
      </c>
      <c r="F1196" s="11" t="str">
        <f aca="false">IF($A1196="","",IF(원본명단!$I1195="",0,COUNTIF(원본명단!$I$3:$I$6002,원본명단!$I1195)))</f>
        <v/>
      </c>
      <c r="G1196" s="11" t="str">
        <f aca="false">IF($A1196="","",IF(원본명단!$K1195="",0,COUNTIF(원본명단!$K$3:$K$6002,원본명단!$K1195)))</f>
        <v/>
      </c>
      <c r="H1196" s="11" t="str">
        <f aca="false">IF($A1196="","",IF(MAX($E1196,$F1196,$G1196)&gt;1,"중복","-"))</f>
        <v/>
      </c>
      <c r="I1196" s="11" t="str">
        <f aca="false">IF($A1196="","",IF($H1196="-","-",IF(AND(IF(원본명단!$H1195="",TRUE(),COUNTIF(원본명단!$H$3:$H1195,원본명단!$H1195)=1),IF(원본명단!$I1195="",TRUE(),COUNTIF(원본명단!$I$3:$I1195,원본명단!$I1195)=1),IF(원본명단!$K1195="",TRUE(),COUNTIF(원본명단!$K$3:$K1195,원본명단!$K1195)=1)),"첫 건","중복 건")))</f>
        <v/>
      </c>
      <c r="J1196" s="11" t="str">
        <f aca="false">IF($A1196="","",IF($H1196="-","유지",IF($I1196="첫 건","유지","확인 필요")))</f>
        <v/>
      </c>
    </row>
    <row r="1197" customFormat="false" ht="15" hidden="false" customHeight="true" outlineLevel="0" collapsed="false">
      <c r="A1197" s="11" t="str">
        <f aca="false">IF(원본명단!$A1196="","",1194)</f>
        <v/>
      </c>
      <c r="B1197" s="12" t="str">
        <f aca="false">IF($A1197="","",원본명단!$A1196)</f>
        <v/>
      </c>
      <c r="C1197" s="12" t="str">
        <f aca="false">IF($A1197="","",원본명단!$B1196)</f>
        <v/>
      </c>
      <c r="D1197" s="12" t="str">
        <f aca="false">IF($A1197="","",원본명단!$D1196)</f>
        <v/>
      </c>
      <c r="E1197" s="11" t="str">
        <f aca="false">IF($A1197="","",IF(원본명단!$H1196="",0,COUNTIF(원본명단!$H$3:$H$6002,원본명단!$H1196)))</f>
        <v/>
      </c>
      <c r="F1197" s="11" t="str">
        <f aca="false">IF($A1197="","",IF(원본명단!$I1196="",0,COUNTIF(원본명단!$I$3:$I$6002,원본명단!$I1196)))</f>
        <v/>
      </c>
      <c r="G1197" s="11" t="str">
        <f aca="false">IF($A1197="","",IF(원본명단!$K1196="",0,COUNTIF(원본명단!$K$3:$K$6002,원본명단!$K1196)))</f>
        <v/>
      </c>
      <c r="H1197" s="11" t="str">
        <f aca="false">IF($A1197="","",IF(MAX($E1197,$F1197,$G1197)&gt;1,"중복","-"))</f>
        <v/>
      </c>
      <c r="I1197" s="11" t="str">
        <f aca="false">IF($A1197="","",IF($H1197="-","-",IF(AND(IF(원본명단!$H1196="",TRUE(),COUNTIF(원본명단!$H$3:$H1196,원본명단!$H1196)=1),IF(원본명단!$I1196="",TRUE(),COUNTIF(원본명단!$I$3:$I1196,원본명단!$I1196)=1),IF(원본명단!$K1196="",TRUE(),COUNTIF(원본명단!$K$3:$K1196,원본명단!$K1196)=1)),"첫 건","중복 건")))</f>
        <v/>
      </c>
      <c r="J1197" s="11" t="str">
        <f aca="false">IF($A1197="","",IF($H1197="-","유지",IF($I1197="첫 건","유지","확인 필요")))</f>
        <v/>
      </c>
    </row>
    <row r="1198" customFormat="false" ht="15" hidden="false" customHeight="true" outlineLevel="0" collapsed="false">
      <c r="A1198" s="11" t="str">
        <f aca="false">IF(원본명단!$A1197="","",1195)</f>
        <v/>
      </c>
      <c r="B1198" s="12" t="str">
        <f aca="false">IF($A1198="","",원본명단!$A1197)</f>
        <v/>
      </c>
      <c r="C1198" s="12" t="str">
        <f aca="false">IF($A1198="","",원본명단!$B1197)</f>
        <v/>
      </c>
      <c r="D1198" s="12" t="str">
        <f aca="false">IF($A1198="","",원본명단!$D1197)</f>
        <v/>
      </c>
      <c r="E1198" s="11" t="str">
        <f aca="false">IF($A1198="","",IF(원본명단!$H1197="",0,COUNTIF(원본명단!$H$3:$H$6002,원본명단!$H1197)))</f>
        <v/>
      </c>
      <c r="F1198" s="11" t="str">
        <f aca="false">IF($A1198="","",IF(원본명단!$I1197="",0,COUNTIF(원본명단!$I$3:$I$6002,원본명단!$I1197)))</f>
        <v/>
      </c>
      <c r="G1198" s="11" t="str">
        <f aca="false">IF($A1198="","",IF(원본명단!$K1197="",0,COUNTIF(원본명단!$K$3:$K$6002,원본명단!$K1197)))</f>
        <v/>
      </c>
      <c r="H1198" s="11" t="str">
        <f aca="false">IF($A1198="","",IF(MAX($E1198,$F1198,$G1198)&gt;1,"중복","-"))</f>
        <v/>
      </c>
      <c r="I1198" s="11" t="str">
        <f aca="false">IF($A1198="","",IF($H1198="-","-",IF(AND(IF(원본명단!$H1197="",TRUE(),COUNTIF(원본명단!$H$3:$H1197,원본명단!$H1197)=1),IF(원본명단!$I1197="",TRUE(),COUNTIF(원본명단!$I$3:$I1197,원본명단!$I1197)=1),IF(원본명단!$K1197="",TRUE(),COUNTIF(원본명단!$K$3:$K1197,원본명단!$K1197)=1)),"첫 건","중복 건")))</f>
        <v/>
      </c>
      <c r="J1198" s="11" t="str">
        <f aca="false">IF($A1198="","",IF($H1198="-","유지",IF($I1198="첫 건","유지","확인 필요")))</f>
        <v/>
      </c>
    </row>
    <row r="1199" customFormat="false" ht="15" hidden="false" customHeight="true" outlineLevel="0" collapsed="false">
      <c r="A1199" s="11" t="str">
        <f aca="false">IF(원본명단!$A1198="","",1196)</f>
        <v/>
      </c>
      <c r="B1199" s="12" t="str">
        <f aca="false">IF($A1199="","",원본명단!$A1198)</f>
        <v/>
      </c>
      <c r="C1199" s="12" t="str">
        <f aca="false">IF($A1199="","",원본명단!$B1198)</f>
        <v/>
      </c>
      <c r="D1199" s="12" t="str">
        <f aca="false">IF($A1199="","",원본명단!$D1198)</f>
        <v/>
      </c>
      <c r="E1199" s="11" t="str">
        <f aca="false">IF($A1199="","",IF(원본명단!$H1198="",0,COUNTIF(원본명단!$H$3:$H$6002,원본명단!$H1198)))</f>
        <v/>
      </c>
      <c r="F1199" s="11" t="str">
        <f aca="false">IF($A1199="","",IF(원본명단!$I1198="",0,COUNTIF(원본명단!$I$3:$I$6002,원본명단!$I1198)))</f>
        <v/>
      </c>
      <c r="G1199" s="11" t="str">
        <f aca="false">IF($A1199="","",IF(원본명단!$K1198="",0,COUNTIF(원본명단!$K$3:$K$6002,원본명단!$K1198)))</f>
        <v/>
      </c>
      <c r="H1199" s="11" t="str">
        <f aca="false">IF($A1199="","",IF(MAX($E1199,$F1199,$G1199)&gt;1,"중복","-"))</f>
        <v/>
      </c>
      <c r="I1199" s="11" t="str">
        <f aca="false">IF($A1199="","",IF($H1199="-","-",IF(AND(IF(원본명단!$H1198="",TRUE(),COUNTIF(원본명단!$H$3:$H1198,원본명단!$H1198)=1),IF(원본명단!$I1198="",TRUE(),COUNTIF(원본명단!$I$3:$I1198,원본명단!$I1198)=1),IF(원본명단!$K1198="",TRUE(),COUNTIF(원본명단!$K$3:$K1198,원본명단!$K1198)=1)),"첫 건","중복 건")))</f>
        <v/>
      </c>
      <c r="J1199" s="11" t="str">
        <f aca="false">IF($A1199="","",IF($H1199="-","유지",IF($I1199="첫 건","유지","확인 필요")))</f>
        <v/>
      </c>
    </row>
    <row r="1200" customFormat="false" ht="15" hidden="false" customHeight="true" outlineLevel="0" collapsed="false">
      <c r="A1200" s="11" t="str">
        <f aca="false">IF(원본명단!$A1199="","",1197)</f>
        <v/>
      </c>
      <c r="B1200" s="12" t="str">
        <f aca="false">IF($A1200="","",원본명단!$A1199)</f>
        <v/>
      </c>
      <c r="C1200" s="12" t="str">
        <f aca="false">IF($A1200="","",원본명단!$B1199)</f>
        <v/>
      </c>
      <c r="D1200" s="12" t="str">
        <f aca="false">IF($A1200="","",원본명단!$D1199)</f>
        <v/>
      </c>
      <c r="E1200" s="11" t="str">
        <f aca="false">IF($A1200="","",IF(원본명단!$H1199="",0,COUNTIF(원본명단!$H$3:$H$6002,원본명단!$H1199)))</f>
        <v/>
      </c>
      <c r="F1200" s="11" t="str">
        <f aca="false">IF($A1200="","",IF(원본명단!$I1199="",0,COUNTIF(원본명단!$I$3:$I$6002,원본명단!$I1199)))</f>
        <v/>
      </c>
      <c r="G1200" s="11" t="str">
        <f aca="false">IF($A1200="","",IF(원본명단!$K1199="",0,COUNTIF(원본명단!$K$3:$K$6002,원본명단!$K1199)))</f>
        <v/>
      </c>
      <c r="H1200" s="11" t="str">
        <f aca="false">IF($A1200="","",IF(MAX($E1200,$F1200,$G1200)&gt;1,"중복","-"))</f>
        <v/>
      </c>
      <c r="I1200" s="11" t="str">
        <f aca="false">IF($A1200="","",IF($H1200="-","-",IF(AND(IF(원본명단!$H1199="",TRUE(),COUNTIF(원본명단!$H$3:$H1199,원본명단!$H1199)=1),IF(원본명단!$I1199="",TRUE(),COUNTIF(원본명단!$I$3:$I1199,원본명단!$I1199)=1),IF(원본명단!$K1199="",TRUE(),COUNTIF(원본명단!$K$3:$K1199,원본명단!$K1199)=1)),"첫 건","중복 건")))</f>
        <v/>
      </c>
      <c r="J1200" s="11" t="str">
        <f aca="false">IF($A1200="","",IF($H1200="-","유지",IF($I1200="첫 건","유지","확인 필요")))</f>
        <v/>
      </c>
    </row>
    <row r="1201" customFormat="false" ht="15" hidden="false" customHeight="true" outlineLevel="0" collapsed="false">
      <c r="A1201" s="11" t="str">
        <f aca="false">IF(원본명단!$A1200="","",1198)</f>
        <v/>
      </c>
      <c r="B1201" s="12" t="str">
        <f aca="false">IF($A1201="","",원본명단!$A1200)</f>
        <v/>
      </c>
      <c r="C1201" s="12" t="str">
        <f aca="false">IF($A1201="","",원본명단!$B1200)</f>
        <v/>
      </c>
      <c r="D1201" s="12" t="str">
        <f aca="false">IF($A1201="","",원본명단!$D1200)</f>
        <v/>
      </c>
      <c r="E1201" s="11" t="str">
        <f aca="false">IF($A1201="","",IF(원본명단!$H1200="",0,COUNTIF(원본명단!$H$3:$H$6002,원본명단!$H1200)))</f>
        <v/>
      </c>
      <c r="F1201" s="11" t="str">
        <f aca="false">IF($A1201="","",IF(원본명단!$I1200="",0,COUNTIF(원본명단!$I$3:$I$6002,원본명단!$I1200)))</f>
        <v/>
      </c>
      <c r="G1201" s="11" t="str">
        <f aca="false">IF($A1201="","",IF(원본명단!$K1200="",0,COUNTIF(원본명단!$K$3:$K$6002,원본명단!$K1200)))</f>
        <v/>
      </c>
      <c r="H1201" s="11" t="str">
        <f aca="false">IF($A1201="","",IF(MAX($E1201,$F1201,$G1201)&gt;1,"중복","-"))</f>
        <v/>
      </c>
      <c r="I1201" s="11" t="str">
        <f aca="false">IF($A1201="","",IF($H1201="-","-",IF(AND(IF(원본명단!$H1200="",TRUE(),COUNTIF(원본명단!$H$3:$H1200,원본명단!$H1200)=1),IF(원본명단!$I1200="",TRUE(),COUNTIF(원본명단!$I$3:$I1200,원본명단!$I1200)=1),IF(원본명단!$K1200="",TRUE(),COUNTIF(원본명단!$K$3:$K1200,원본명단!$K1200)=1)),"첫 건","중복 건")))</f>
        <v/>
      </c>
      <c r="J1201" s="11" t="str">
        <f aca="false">IF($A1201="","",IF($H1201="-","유지",IF($I1201="첫 건","유지","확인 필요")))</f>
        <v/>
      </c>
    </row>
    <row r="1202" customFormat="false" ht="15" hidden="false" customHeight="true" outlineLevel="0" collapsed="false">
      <c r="A1202" s="11" t="str">
        <f aca="false">IF(원본명단!$A1201="","",1199)</f>
        <v/>
      </c>
      <c r="B1202" s="12" t="str">
        <f aca="false">IF($A1202="","",원본명단!$A1201)</f>
        <v/>
      </c>
      <c r="C1202" s="12" t="str">
        <f aca="false">IF($A1202="","",원본명단!$B1201)</f>
        <v/>
      </c>
      <c r="D1202" s="12" t="str">
        <f aca="false">IF($A1202="","",원본명단!$D1201)</f>
        <v/>
      </c>
      <c r="E1202" s="11" t="str">
        <f aca="false">IF($A1202="","",IF(원본명단!$H1201="",0,COUNTIF(원본명단!$H$3:$H$6002,원본명단!$H1201)))</f>
        <v/>
      </c>
      <c r="F1202" s="11" t="str">
        <f aca="false">IF($A1202="","",IF(원본명단!$I1201="",0,COUNTIF(원본명단!$I$3:$I$6002,원본명단!$I1201)))</f>
        <v/>
      </c>
      <c r="G1202" s="11" t="str">
        <f aca="false">IF($A1202="","",IF(원본명단!$K1201="",0,COUNTIF(원본명단!$K$3:$K$6002,원본명단!$K1201)))</f>
        <v/>
      </c>
      <c r="H1202" s="11" t="str">
        <f aca="false">IF($A1202="","",IF(MAX($E1202,$F1202,$G1202)&gt;1,"중복","-"))</f>
        <v/>
      </c>
      <c r="I1202" s="11" t="str">
        <f aca="false">IF($A1202="","",IF($H1202="-","-",IF(AND(IF(원본명단!$H1201="",TRUE(),COUNTIF(원본명단!$H$3:$H1201,원본명단!$H1201)=1),IF(원본명단!$I1201="",TRUE(),COUNTIF(원본명단!$I$3:$I1201,원본명단!$I1201)=1),IF(원본명단!$K1201="",TRUE(),COUNTIF(원본명단!$K$3:$K1201,원본명단!$K1201)=1)),"첫 건","중복 건")))</f>
        <v/>
      </c>
      <c r="J1202" s="11" t="str">
        <f aca="false">IF($A1202="","",IF($H1202="-","유지",IF($I1202="첫 건","유지","확인 필요")))</f>
        <v/>
      </c>
    </row>
    <row r="1203" customFormat="false" ht="15" hidden="false" customHeight="true" outlineLevel="0" collapsed="false">
      <c r="A1203" s="11" t="str">
        <f aca="false">IF(원본명단!$A1202="","",1200)</f>
        <v/>
      </c>
      <c r="B1203" s="12" t="str">
        <f aca="false">IF($A1203="","",원본명단!$A1202)</f>
        <v/>
      </c>
      <c r="C1203" s="12" t="str">
        <f aca="false">IF($A1203="","",원본명단!$B1202)</f>
        <v/>
      </c>
      <c r="D1203" s="12" t="str">
        <f aca="false">IF($A1203="","",원본명단!$D1202)</f>
        <v/>
      </c>
      <c r="E1203" s="11" t="str">
        <f aca="false">IF($A1203="","",IF(원본명단!$H1202="",0,COUNTIF(원본명단!$H$3:$H$6002,원본명단!$H1202)))</f>
        <v/>
      </c>
      <c r="F1203" s="11" t="str">
        <f aca="false">IF($A1203="","",IF(원본명단!$I1202="",0,COUNTIF(원본명단!$I$3:$I$6002,원본명단!$I1202)))</f>
        <v/>
      </c>
      <c r="G1203" s="11" t="str">
        <f aca="false">IF($A1203="","",IF(원본명단!$K1202="",0,COUNTIF(원본명단!$K$3:$K$6002,원본명단!$K1202)))</f>
        <v/>
      </c>
      <c r="H1203" s="11" t="str">
        <f aca="false">IF($A1203="","",IF(MAX($E1203,$F1203,$G1203)&gt;1,"중복","-"))</f>
        <v/>
      </c>
      <c r="I1203" s="11" t="str">
        <f aca="false">IF($A1203="","",IF($H1203="-","-",IF(AND(IF(원본명단!$H1202="",TRUE(),COUNTIF(원본명단!$H$3:$H1202,원본명단!$H1202)=1),IF(원본명단!$I1202="",TRUE(),COUNTIF(원본명단!$I$3:$I1202,원본명단!$I1202)=1),IF(원본명단!$K1202="",TRUE(),COUNTIF(원본명단!$K$3:$K1202,원본명단!$K1202)=1)),"첫 건","중복 건")))</f>
        <v/>
      </c>
      <c r="J1203" s="11" t="str">
        <f aca="false">IF($A1203="","",IF($H1203="-","유지",IF($I1203="첫 건","유지","확인 필요")))</f>
        <v/>
      </c>
    </row>
    <row r="1204" customFormat="false" ht="15" hidden="false" customHeight="true" outlineLevel="0" collapsed="false">
      <c r="A1204" s="11" t="str">
        <f aca="false">IF(원본명단!$A1203="","",1201)</f>
        <v/>
      </c>
      <c r="B1204" s="12" t="str">
        <f aca="false">IF($A1204="","",원본명단!$A1203)</f>
        <v/>
      </c>
      <c r="C1204" s="12" t="str">
        <f aca="false">IF($A1204="","",원본명단!$B1203)</f>
        <v/>
      </c>
      <c r="D1204" s="12" t="str">
        <f aca="false">IF($A1204="","",원본명단!$D1203)</f>
        <v/>
      </c>
      <c r="E1204" s="11" t="str">
        <f aca="false">IF($A1204="","",IF(원본명단!$H1203="",0,COUNTIF(원본명단!$H$3:$H$6002,원본명단!$H1203)))</f>
        <v/>
      </c>
      <c r="F1204" s="11" t="str">
        <f aca="false">IF($A1204="","",IF(원본명단!$I1203="",0,COUNTIF(원본명단!$I$3:$I$6002,원본명단!$I1203)))</f>
        <v/>
      </c>
      <c r="G1204" s="11" t="str">
        <f aca="false">IF($A1204="","",IF(원본명단!$K1203="",0,COUNTIF(원본명단!$K$3:$K$6002,원본명단!$K1203)))</f>
        <v/>
      </c>
      <c r="H1204" s="11" t="str">
        <f aca="false">IF($A1204="","",IF(MAX($E1204,$F1204,$G1204)&gt;1,"중복","-"))</f>
        <v/>
      </c>
      <c r="I1204" s="11" t="str">
        <f aca="false">IF($A1204="","",IF($H1204="-","-",IF(AND(IF(원본명단!$H1203="",TRUE(),COUNTIF(원본명단!$H$3:$H1203,원본명단!$H1203)=1),IF(원본명단!$I1203="",TRUE(),COUNTIF(원본명단!$I$3:$I1203,원본명단!$I1203)=1),IF(원본명단!$K1203="",TRUE(),COUNTIF(원본명단!$K$3:$K1203,원본명단!$K1203)=1)),"첫 건","중복 건")))</f>
        <v/>
      </c>
      <c r="J1204" s="11" t="str">
        <f aca="false">IF($A1204="","",IF($H1204="-","유지",IF($I1204="첫 건","유지","확인 필요")))</f>
        <v/>
      </c>
    </row>
    <row r="1205" customFormat="false" ht="15" hidden="false" customHeight="true" outlineLevel="0" collapsed="false">
      <c r="A1205" s="11" t="str">
        <f aca="false">IF(원본명단!$A1204="","",1202)</f>
        <v/>
      </c>
      <c r="B1205" s="12" t="str">
        <f aca="false">IF($A1205="","",원본명단!$A1204)</f>
        <v/>
      </c>
      <c r="C1205" s="12" t="str">
        <f aca="false">IF($A1205="","",원본명단!$B1204)</f>
        <v/>
      </c>
      <c r="D1205" s="12" t="str">
        <f aca="false">IF($A1205="","",원본명단!$D1204)</f>
        <v/>
      </c>
      <c r="E1205" s="11" t="str">
        <f aca="false">IF($A1205="","",IF(원본명단!$H1204="",0,COUNTIF(원본명단!$H$3:$H$6002,원본명단!$H1204)))</f>
        <v/>
      </c>
      <c r="F1205" s="11" t="str">
        <f aca="false">IF($A1205="","",IF(원본명단!$I1204="",0,COUNTIF(원본명단!$I$3:$I$6002,원본명단!$I1204)))</f>
        <v/>
      </c>
      <c r="G1205" s="11" t="str">
        <f aca="false">IF($A1205="","",IF(원본명단!$K1204="",0,COUNTIF(원본명단!$K$3:$K$6002,원본명단!$K1204)))</f>
        <v/>
      </c>
      <c r="H1205" s="11" t="str">
        <f aca="false">IF($A1205="","",IF(MAX($E1205,$F1205,$G1205)&gt;1,"중복","-"))</f>
        <v/>
      </c>
      <c r="I1205" s="11" t="str">
        <f aca="false">IF($A1205="","",IF($H1205="-","-",IF(AND(IF(원본명단!$H1204="",TRUE(),COUNTIF(원본명단!$H$3:$H1204,원본명단!$H1204)=1),IF(원본명단!$I1204="",TRUE(),COUNTIF(원본명단!$I$3:$I1204,원본명단!$I1204)=1),IF(원본명단!$K1204="",TRUE(),COUNTIF(원본명단!$K$3:$K1204,원본명단!$K1204)=1)),"첫 건","중복 건")))</f>
        <v/>
      </c>
      <c r="J1205" s="11" t="str">
        <f aca="false">IF($A1205="","",IF($H1205="-","유지",IF($I1205="첫 건","유지","확인 필요")))</f>
        <v/>
      </c>
    </row>
    <row r="1206" customFormat="false" ht="15" hidden="false" customHeight="true" outlineLevel="0" collapsed="false">
      <c r="A1206" s="11" t="str">
        <f aca="false">IF(원본명단!$A1205="","",1203)</f>
        <v/>
      </c>
      <c r="B1206" s="12" t="str">
        <f aca="false">IF($A1206="","",원본명단!$A1205)</f>
        <v/>
      </c>
      <c r="C1206" s="12" t="str">
        <f aca="false">IF($A1206="","",원본명단!$B1205)</f>
        <v/>
      </c>
      <c r="D1206" s="12" t="str">
        <f aca="false">IF($A1206="","",원본명단!$D1205)</f>
        <v/>
      </c>
      <c r="E1206" s="11" t="str">
        <f aca="false">IF($A1206="","",IF(원본명단!$H1205="",0,COUNTIF(원본명단!$H$3:$H$6002,원본명단!$H1205)))</f>
        <v/>
      </c>
      <c r="F1206" s="11" t="str">
        <f aca="false">IF($A1206="","",IF(원본명단!$I1205="",0,COUNTIF(원본명단!$I$3:$I$6002,원본명단!$I1205)))</f>
        <v/>
      </c>
      <c r="G1206" s="11" t="str">
        <f aca="false">IF($A1206="","",IF(원본명단!$K1205="",0,COUNTIF(원본명단!$K$3:$K$6002,원본명단!$K1205)))</f>
        <v/>
      </c>
      <c r="H1206" s="11" t="str">
        <f aca="false">IF($A1206="","",IF(MAX($E1206,$F1206,$G1206)&gt;1,"중복","-"))</f>
        <v/>
      </c>
      <c r="I1206" s="11" t="str">
        <f aca="false">IF($A1206="","",IF($H1206="-","-",IF(AND(IF(원본명단!$H1205="",TRUE(),COUNTIF(원본명단!$H$3:$H1205,원본명단!$H1205)=1),IF(원본명단!$I1205="",TRUE(),COUNTIF(원본명단!$I$3:$I1205,원본명단!$I1205)=1),IF(원본명단!$K1205="",TRUE(),COUNTIF(원본명단!$K$3:$K1205,원본명단!$K1205)=1)),"첫 건","중복 건")))</f>
        <v/>
      </c>
      <c r="J1206" s="11" t="str">
        <f aca="false">IF($A1206="","",IF($H1206="-","유지",IF($I1206="첫 건","유지","확인 필요")))</f>
        <v/>
      </c>
    </row>
    <row r="1207" customFormat="false" ht="15" hidden="false" customHeight="true" outlineLevel="0" collapsed="false">
      <c r="A1207" s="11" t="str">
        <f aca="false">IF(원본명단!$A1206="","",1204)</f>
        <v/>
      </c>
      <c r="B1207" s="12" t="str">
        <f aca="false">IF($A1207="","",원본명단!$A1206)</f>
        <v/>
      </c>
      <c r="C1207" s="12" t="str">
        <f aca="false">IF($A1207="","",원본명단!$B1206)</f>
        <v/>
      </c>
      <c r="D1207" s="12" t="str">
        <f aca="false">IF($A1207="","",원본명단!$D1206)</f>
        <v/>
      </c>
      <c r="E1207" s="11" t="str">
        <f aca="false">IF($A1207="","",IF(원본명단!$H1206="",0,COUNTIF(원본명단!$H$3:$H$6002,원본명단!$H1206)))</f>
        <v/>
      </c>
      <c r="F1207" s="11" t="str">
        <f aca="false">IF($A1207="","",IF(원본명단!$I1206="",0,COUNTIF(원본명단!$I$3:$I$6002,원본명단!$I1206)))</f>
        <v/>
      </c>
      <c r="G1207" s="11" t="str">
        <f aca="false">IF($A1207="","",IF(원본명단!$K1206="",0,COUNTIF(원본명단!$K$3:$K$6002,원본명단!$K1206)))</f>
        <v/>
      </c>
      <c r="H1207" s="11" t="str">
        <f aca="false">IF($A1207="","",IF(MAX($E1207,$F1207,$G1207)&gt;1,"중복","-"))</f>
        <v/>
      </c>
      <c r="I1207" s="11" t="str">
        <f aca="false">IF($A1207="","",IF($H1207="-","-",IF(AND(IF(원본명단!$H1206="",TRUE(),COUNTIF(원본명단!$H$3:$H1206,원본명단!$H1206)=1),IF(원본명단!$I1206="",TRUE(),COUNTIF(원본명단!$I$3:$I1206,원본명단!$I1206)=1),IF(원본명단!$K1206="",TRUE(),COUNTIF(원본명단!$K$3:$K1206,원본명단!$K1206)=1)),"첫 건","중복 건")))</f>
        <v/>
      </c>
      <c r="J1207" s="11" t="str">
        <f aca="false">IF($A1207="","",IF($H1207="-","유지",IF($I1207="첫 건","유지","확인 필요")))</f>
        <v/>
      </c>
    </row>
    <row r="1208" customFormat="false" ht="15" hidden="false" customHeight="true" outlineLevel="0" collapsed="false">
      <c r="A1208" s="11" t="str">
        <f aca="false">IF(원본명단!$A1207="","",1205)</f>
        <v/>
      </c>
      <c r="B1208" s="12" t="str">
        <f aca="false">IF($A1208="","",원본명단!$A1207)</f>
        <v/>
      </c>
      <c r="C1208" s="12" t="str">
        <f aca="false">IF($A1208="","",원본명단!$B1207)</f>
        <v/>
      </c>
      <c r="D1208" s="12" t="str">
        <f aca="false">IF($A1208="","",원본명단!$D1207)</f>
        <v/>
      </c>
      <c r="E1208" s="11" t="str">
        <f aca="false">IF($A1208="","",IF(원본명단!$H1207="",0,COUNTIF(원본명단!$H$3:$H$6002,원본명단!$H1207)))</f>
        <v/>
      </c>
      <c r="F1208" s="11" t="str">
        <f aca="false">IF($A1208="","",IF(원본명단!$I1207="",0,COUNTIF(원본명단!$I$3:$I$6002,원본명단!$I1207)))</f>
        <v/>
      </c>
      <c r="G1208" s="11" t="str">
        <f aca="false">IF($A1208="","",IF(원본명단!$K1207="",0,COUNTIF(원본명단!$K$3:$K$6002,원본명단!$K1207)))</f>
        <v/>
      </c>
      <c r="H1208" s="11" t="str">
        <f aca="false">IF($A1208="","",IF(MAX($E1208,$F1208,$G1208)&gt;1,"중복","-"))</f>
        <v/>
      </c>
      <c r="I1208" s="11" t="str">
        <f aca="false">IF($A1208="","",IF($H1208="-","-",IF(AND(IF(원본명단!$H1207="",TRUE(),COUNTIF(원본명단!$H$3:$H1207,원본명단!$H1207)=1),IF(원본명단!$I1207="",TRUE(),COUNTIF(원본명단!$I$3:$I1207,원본명단!$I1207)=1),IF(원본명단!$K1207="",TRUE(),COUNTIF(원본명단!$K$3:$K1207,원본명단!$K1207)=1)),"첫 건","중복 건")))</f>
        <v/>
      </c>
      <c r="J1208" s="11" t="str">
        <f aca="false">IF($A1208="","",IF($H1208="-","유지",IF($I1208="첫 건","유지","확인 필요")))</f>
        <v/>
      </c>
    </row>
    <row r="1209" customFormat="false" ht="15" hidden="false" customHeight="true" outlineLevel="0" collapsed="false">
      <c r="A1209" s="11" t="str">
        <f aca="false">IF(원본명단!$A1208="","",1206)</f>
        <v/>
      </c>
      <c r="B1209" s="12" t="str">
        <f aca="false">IF($A1209="","",원본명단!$A1208)</f>
        <v/>
      </c>
      <c r="C1209" s="12" t="str">
        <f aca="false">IF($A1209="","",원본명단!$B1208)</f>
        <v/>
      </c>
      <c r="D1209" s="12" t="str">
        <f aca="false">IF($A1209="","",원본명단!$D1208)</f>
        <v/>
      </c>
      <c r="E1209" s="11" t="str">
        <f aca="false">IF($A1209="","",IF(원본명단!$H1208="",0,COUNTIF(원본명단!$H$3:$H$6002,원본명단!$H1208)))</f>
        <v/>
      </c>
      <c r="F1209" s="11" t="str">
        <f aca="false">IF($A1209="","",IF(원본명단!$I1208="",0,COUNTIF(원본명단!$I$3:$I$6002,원본명단!$I1208)))</f>
        <v/>
      </c>
      <c r="G1209" s="11" t="str">
        <f aca="false">IF($A1209="","",IF(원본명단!$K1208="",0,COUNTIF(원본명단!$K$3:$K$6002,원본명단!$K1208)))</f>
        <v/>
      </c>
      <c r="H1209" s="11" t="str">
        <f aca="false">IF($A1209="","",IF(MAX($E1209,$F1209,$G1209)&gt;1,"중복","-"))</f>
        <v/>
      </c>
      <c r="I1209" s="11" t="str">
        <f aca="false">IF($A1209="","",IF($H1209="-","-",IF(AND(IF(원본명단!$H1208="",TRUE(),COUNTIF(원본명단!$H$3:$H1208,원본명단!$H1208)=1),IF(원본명단!$I1208="",TRUE(),COUNTIF(원본명단!$I$3:$I1208,원본명단!$I1208)=1),IF(원본명단!$K1208="",TRUE(),COUNTIF(원본명단!$K$3:$K1208,원본명단!$K1208)=1)),"첫 건","중복 건")))</f>
        <v/>
      </c>
      <c r="J1209" s="11" t="str">
        <f aca="false">IF($A1209="","",IF($H1209="-","유지",IF($I1209="첫 건","유지","확인 필요")))</f>
        <v/>
      </c>
    </row>
    <row r="1210" customFormat="false" ht="15" hidden="false" customHeight="true" outlineLevel="0" collapsed="false">
      <c r="A1210" s="11" t="str">
        <f aca="false">IF(원본명단!$A1209="","",1207)</f>
        <v/>
      </c>
      <c r="B1210" s="12" t="str">
        <f aca="false">IF($A1210="","",원본명단!$A1209)</f>
        <v/>
      </c>
      <c r="C1210" s="12" t="str">
        <f aca="false">IF($A1210="","",원본명단!$B1209)</f>
        <v/>
      </c>
      <c r="D1210" s="12" t="str">
        <f aca="false">IF($A1210="","",원본명단!$D1209)</f>
        <v/>
      </c>
      <c r="E1210" s="11" t="str">
        <f aca="false">IF($A1210="","",IF(원본명단!$H1209="",0,COUNTIF(원본명단!$H$3:$H$6002,원본명단!$H1209)))</f>
        <v/>
      </c>
      <c r="F1210" s="11" t="str">
        <f aca="false">IF($A1210="","",IF(원본명단!$I1209="",0,COUNTIF(원본명단!$I$3:$I$6002,원본명단!$I1209)))</f>
        <v/>
      </c>
      <c r="G1210" s="11" t="str">
        <f aca="false">IF($A1210="","",IF(원본명단!$K1209="",0,COUNTIF(원본명단!$K$3:$K$6002,원본명단!$K1209)))</f>
        <v/>
      </c>
      <c r="H1210" s="11" t="str">
        <f aca="false">IF($A1210="","",IF(MAX($E1210,$F1210,$G1210)&gt;1,"중복","-"))</f>
        <v/>
      </c>
      <c r="I1210" s="11" t="str">
        <f aca="false">IF($A1210="","",IF($H1210="-","-",IF(AND(IF(원본명단!$H1209="",TRUE(),COUNTIF(원본명단!$H$3:$H1209,원본명단!$H1209)=1),IF(원본명단!$I1209="",TRUE(),COUNTIF(원본명단!$I$3:$I1209,원본명단!$I1209)=1),IF(원본명단!$K1209="",TRUE(),COUNTIF(원본명단!$K$3:$K1209,원본명단!$K1209)=1)),"첫 건","중복 건")))</f>
        <v/>
      </c>
      <c r="J1210" s="11" t="str">
        <f aca="false">IF($A1210="","",IF($H1210="-","유지",IF($I1210="첫 건","유지","확인 필요")))</f>
        <v/>
      </c>
    </row>
    <row r="1211" customFormat="false" ht="15" hidden="false" customHeight="true" outlineLevel="0" collapsed="false">
      <c r="A1211" s="11" t="str">
        <f aca="false">IF(원본명단!$A1210="","",1208)</f>
        <v/>
      </c>
      <c r="B1211" s="12" t="str">
        <f aca="false">IF($A1211="","",원본명단!$A1210)</f>
        <v/>
      </c>
      <c r="C1211" s="12" t="str">
        <f aca="false">IF($A1211="","",원본명단!$B1210)</f>
        <v/>
      </c>
      <c r="D1211" s="12" t="str">
        <f aca="false">IF($A1211="","",원본명단!$D1210)</f>
        <v/>
      </c>
      <c r="E1211" s="11" t="str">
        <f aca="false">IF($A1211="","",IF(원본명단!$H1210="",0,COUNTIF(원본명단!$H$3:$H$6002,원본명단!$H1210)))</f>
        <v/>
      </c>
      <c r="F1211" s="11" t="str">
        <f aca="false">IF($A1211="","",IF(원본명단!$I1210="",0,COUNTIF(원본명단!$I$3:$I$6002,원본명단!$I1210)))</f>
        <v/>
      </c>
      <c r="G1211" s="11" t="str">
        <f aca="false">IF($A1211="","",IF(원본명단!$K1210="",0,COUNTIF(원본명단!$K$3:$K$6002,원본명단!$K1210)))</f>
        <v/>
      </c>
      <c r="H1211" s="11" t="str">
        <f aca="false">IF($A1211="","",IF(MAX($E1211,$F1211,$G1211)&gt;1,"중복","-"))</f>
        <v/>
      </c>
      <c r="I1211" s="11" t="str">
        <f aca="false">IF($A1211="","",IF($H1211="-","-",IF(AND(IF(원본명단!$H1210="",TRUE(),COUNTIF(원본명단!$H$3:$H1210,원본명단!$H1210)=1),IF(원본명단!$I1210="",TRUE(),COUNTIF(원본명단!$I$3:$I1210,원본명단!$I1210)=1),IF(원본명단!$K1210="",TRUE(),COUNTIF(원본명단!$K$3:$K1210,원본명단!$K1210)=1)),"첫 건","중복 건")))</f>
        <v/>
      </c>
      <c r="J1211" s="11" t="str">
        <f aca="false">IF($A1211="","",IF($H1211="-","유지",IF($I1211="첫 건","유지","확인 필요")))</f>
        <v/>
      </c>
    </row>
    <row r="1212" customFormat="false" ht="15" hidden="false" customHeight="true" outlineLevel="0" collapsed="false">
      <c r="A1212" s="11" t="str">
        <f aca="false">IF(원본명단!$A1211="","",1209)</f>
        <v/>
      </c>
      <c r="B1212" s="12" t="str">
        <f aca="false">IF($A1212="","",원본명단!$A1211)</f>
        <v/>
      </c>
      <c r="C1212" s="12" t="str">
        <f aca="false">IF($A1212="","",원본명단!$B1211)</f>
        <v/>
      </c>
      <c r="D1212" s="12" t="str">
        <f aca="false">IF($A1212="","",원본명단!$D1211)</f>
        <v/>
      </c>
      <c r="E1212" s="11" t="str">
        <f aca="false">IF($A1212="","",IF(원본명단!$H1211="",0,COUNTIF(원본명단!$H$3:$H$6002,원본명단!$H1211)))</f>
        <v/>
      </c>
      <c r="F1212" s="11" t="str">
        <f aca="false">IF($A1212="","",IF(원본명단!$I1211="",0,COUNTIF(원본명단!$I$3:$I$6002,원본명단!$I1211)))</f>
        <v/>
      </c>
      <c r="G1212" s="11" t="str">
        <f aca="false">IF($A1212="","",IF(원본명단!$K1211="",0,COUNTIF(원본명단!$K$3:$K$6002,원본명단!$K1211)))</f>
        <v/>
      </c>
      <c r="H1212" s="11" t="str">
        <f aca="false">IF($A1212="","",IF(MAX($E1212,$F1212,$G1212)&gt;1,"중복","-"))</f>
        <v/>
      </c>
      <c r="I1212" s="11" t="str">
        <f aca="false">IF($A1212="","",IF($H1212="-","-",IF(AND(IF(원본명단!$H1211="",TRUE(),COUNTIF(원본명단!$H$3:$H1211,원본명단!$H1211)=1),IF(원본명단!$I1211="",TRUE(),COUNTIF(원본명단!$I$3:$I1211,원본명단!$I1211)=1),IF(원본명단!$K1211="",TRUE(),COUNTIF(원본명단!$K$3:$K1211,원본명단!$K1211)=1)),"첫 건","중복 건")))</f>
        <v/>
      </c>
      <c r="J1212" s="11" t="str">
        <f aca="false">IF($A1212="","",IF($H1212="-","유지",IF($I1212="첫 건","유지","확인 필요")))</f>
        <v/>
      </c>
    </row>
    <row r="1213" customFormat="false" ht="15" hidden="false" customHeight="true" outlineLevel="0" collapsed="false">
      <c r="A1213" s="11" t="str">
        <f aca="false">IF(원본명단!$A1212="","",1210)</f>
        <v/>
      </c>
      <c r="B1213" s="12" t="str">
        <f aca="false">IF($A1213="","",원본명단!$A1212)</f>
        <v/>
      </c>
      <c r="C1213" s="12" t="str">
        <f aca="false">IF($A1213="","",원본명단!$B1212)</f>
        <v/>
      </c>
      <c r="D1213" s="12" t="str">
        <f aca="false">IF($A1213="","",원본명단!$D1212)</f>
        <v/>
      </c>
      <c r="E1213" s="11" t="str">
        <f aca="false">IF($A1213="","",IF(원본명단!$H1212="",0,COUNTIF(원본명단!$H$3:$H$6002,원본명단!$H1212)))</f>
        <v/>
      </c>
      <c r="F1213" s="11" t="str">
        <f aca="false">IF($A1213="","",IF(원본명단!$I1212="",0,COUNTIF(원본명단!$I$3:$I$6002,원본명단!$I1212)))</f>
        <v/>
      </c>
      <c r="G1213" s="11" t="str">
        <f aca="false">IF($A1213="","",IF(원본명단!$K1212="",0,COUNTIF(원본명단!$K$3:$K$6002,원본명단!$K1212)))</f>
        <v/>
      </c>
      <c r="H1213" s="11" t="str">
        <f aca="false">IF($A1213="","",IF(MAX($E1213,$F1213,$G1213)&gt;1,"중복","-"))</f>
        <v/>
      </c>
      <c r="I1213" s="11" t="str">
        <f aca="false">IF($A1213="","",IF($H1213="-","-",IF(AND(IF(원본명단!$H1212="",TRUE(),COUNTIF(원본명단!$H$3:$H1212,원본명단!$H1212)=1),IF(원본명단!$I1212="",TRUE(),COUNTIF(원본명단!$I$3:$I1212,원본명단!$I1212)=1),IF(원본명단!$K1212="",TRUE(),COUNTIF(원본명단!$K$3:$K1212,원본명단!$K1212)=1)),"첫 건","중복 건")))</f>
        <v/>
      </c>
      <c r="J1213" s="11" t="str">
        <f aca="false">IF($A1213="","",IF($H1213="-","유지",IF($I1213="첫 건","유지","확인 필요")))</f>
        <v/>
      </c>
    </row>
    <row r="1214" customFormat="false" ht="15" hidden="false" customHeight="true" outlineLevel="0" collapsed="false">
      <c r="A1214" s="11" t="str">
        <f aca="false">IF(원본명단!$A1213="","",1211)</f>
        <v/>
      </c>
      <c r="B1214" s="12" t="str">
        <f aca="false">IF($A1214="","",원본명단!$A1213)</f>
        <v/>
      </c>
      <c r="C1214" s="12" t="str">
        <f aca="false">IF($A1214="","",원본명단!$B1213)</f>
        <v/>
      </c>
      <c r="D1214" s="12" t="str">
        <f aca="false">IF($A1214="","",원본명단!$D1213)</f>
        <v/>
      </c>
      <c r="E1214" s="11" t="str">
        <f aca="false">IF($A1214="","",IF(원본명단!$H1213="",0,COUNTIF(원본명단!$H$3:$H$6002,원본명단!$H1213)))</f>
        <v/>
      </c>
      <c r="F1214" s="11" t="str">
        <f aca="false">IF($A1214="","",IF(원본명단!$I1213="",0,COUNTIF(원본명단!$I$3:$I$6002,원본명단!$I1213)))</f>
        <v/>
      </c>
      <c r="G1214" s="11" t="str">
        <f aca="false">IF($A1214="","",IF(원본명단!$K1213="",0,COUNTIF(원본명단!$K$3:$K$6002,원본명단!$K1213)))</f>
        <v/>
      </c>
      <c r="H1214" s="11" t="str">
        <f aca="false">IF($A1214="","",IF(MAX($E1214,$F1214,$G1214)&gt;1,"중복","-"))</f>
        <v/>
      </c>
      <c r="I1214" s="11" t="str">
        <f aca="false">IF($A1214="","",IF($H1214="-","-",IF(AND(IF(원본명단!$H1213="",TRUE(),COUNTIF(원본명단!$H$3:$H1213,원본명단!$H1213)=1),IF(원본명단!$I1213="",TRUE(),COUNTIF(원본명단!$I$3:$I1213,원본명단!$I1213)=1),IF(원본명단!$K1213="",TRUE(),COUNTIF(원본명단!$K$3:$K1213,원본명단!$K1213)=1)),"첫 건","중복 건")))</f>
        <v/>
      </c>
      <c r="J1214" s="11" t="str">
        <f aca="false">IF($A1214="","",IF($H1214="-","유지",IF($I1214="첫 건","유지","확인 필요")))</f>
        <v/>
      </c>
    </row>
    <row r="1215" customFormat="false" ht="15" hidden="false" customHeight="true" outlineLevel="0" collapsed="false">
      <c r="A1215" s="11" t="str">
        <f aca="false">IF(원본명단!$A1214="","",1212)</f>
        <v/>
      </c>
      <c r="B1215" s="12" t="str">
        <f aca="false">IF($A1215="","",원본명단!$A1214)</f>
        <v/>
      </c>
      <c r="C1215" s="12" t="str">
        <f aca="false">IF($A1215="","",원본명단!$B1214)</f>
        <v/>
      </c>
      <c r="D1215" s="12" t="str">
        <f aca="false">IF($A1215="","",원본명단!$D1214)</f>
        <v/>
      </c>
      <c r="E1215" s="11" t="str">
        <f aca="false">IF($A1215="","",IF(원본명단!$H1214="",0,COUNTIF(원본명단!$H$3:$H$6002,원본명단!$H1214)))</f>
        <v/>
      </c>
      <c r="F1215" s="11" t="str">
        <f aca="false">IF($A1215="","",IF(원본명단!$I1214="",0,COUNTIF(원본명단!$I$3:$I$6002,원본명단!$I1214)))</f>
        <v/>
      </c>
      <c r="G1215" s="11" t="str">
        <f aca="false">IF($A1215="","",IF(원본명단!$K1214="",0,COUNTIF(원본명단!$K$3:$K$6002,원본명단!$K1214)))</f>
        <v/>
      </c>
      <c r="H1215" s="11" t="str">
        <f aca="false">IF($A1215="","",IF(MAX($E1215,$F1215,$G1215)&gt;1,"중복","-"))</f>
        <v/>
      </c>
      <c r="I1215" s="11" t="str">
        <f aca="false">IF($A1215="","",IF($H1215="-","-",IF(AND(IF(원본명단!$H1214="",TRUE(),COUNTIF(원본명단!$H$3:$H1214,원본명단!$H1214)=1),IF(원본명단!$I1214="",TRUE(),COUNTIF(원본명단!$I$3:$I1214,원본명단!$I1214)=1),IF(원본명단!$K1214="",TRUE(),COUNTIF(원본명단!$K$3:$K1214,원본명단!$K1214)=1)),"첫 건","중복 건")))</f>
        <v/>
      </c>
      <c r="J1215" s="11" t="str">
        <f aca="false">IF($A1215="","",IF($H1215="-","유지",IF($I1215="첫 건","유지","확인 필요")))</f>
        <v/>
      </c>
    </row>
    <row r="1216" customFormat="false" ht="15" hidden="false" customHeight="true" outlineLevel="0" collapsed="false">
      <c r="A1216" s="11" t="str">
        <f aca="false">IF(원본명단!$A1215="","",1213)</f>
        <v/>
      </c>
      <c r="B1216" s="12" t="str">
        <f aca="false">IF($A1216="","",원본명단!$A1215)</f>
        <v/>
      </c>
      <c r="C1216" s="12" t="str">
        <f aca="false">IF($A1216="","",원본명단!$B1215)</f>
        <v/>
      </c>
      <c r="D1216" s="12" t="str">
        <f aca="false">IF($A1216="","",원본명단!$D1215)</f>
        <v/>
      </c>
      <c r="E1216" s="11" t="str">
        <f aca="false">IF($A1216="","",IF(원본명단!$H1215="",0,COUNTIF(원본명단!$H$3:$H$6002,원본명단!$H1215)))</f>
        <v/>
      </c>
      <c r="F1216" s="11" t="str">
        <f aca="false">IF($A1216="","",IF(원본명단!$I1215="",0,COUNTIF(원본명단!$I$3:$I$6002,원본명단!$I1215)))</f>
        <v/>
      </c>
      <c r="G1216" s="11" t="str">
        <f aca="false">IF($A1216="","",IF(원본명단!$K1215="",0,COUNTIF(원본명단!$K$3:$K$6002,원본명단!$K1215)))</f>
        <v/>
      </c>
      <c r="H1216" s="11" t="str">
        <f aca="false">IF($A1216="","",IF(MAX($E1216,$F1216,$G1216)&gt;1,"중복","-"))</f>
        <v/>
      </c>
      <c r="I1216" s="11" t="str">
        <f aca="false">IF($A1216="","",IF($H1216="-","-",IF(AND(IF(원본명단!$H1215="",TRUE(),COUNTIF(원본명단!$H$3:$H1215,원본명단!$H1215)=1),IF(원본명단!$I1215="",TRUE(),COUNTIF(원본명단!$I$3:$I1215,원본명단!$I1215)=1),IF(원본명단!$K1215="",TRUE(),COUNTIF(원본명단!$K$3:$K1215,원본명단!$K1215)=1)),"첫 건","중복 건")))</f>
        <v/>
      </c>
      <c r="J1216" s="11" t="str">
        <f aca="false">IF($A1216="","",IF($H1216="-","유지",IF($I1216="첫 건","유지","확인 필요")))</f>
        <v/>
      </c>
    </row>
    <row r="1217" customFormat="false" ht="15" hidden="false" customHeight="true" outlineLevel="0" collapsed="false">
      <c r="A1217" s="11" t="str">
        <f aca="false">IF(원본명단!$A1216="","",1214)</f>
        <v/>
      </c>
      <c r="B1217" s="12" t="str">
        <f aca="false">IF($A1217="","",원본명단!$A1216)</f>
        <v/>
      </c>
      <c r="C1217" s="12" t="str">
        <f aca="false">IF($A1217="","",원본명단!$B1216)</f>
        <v/>
      </c>
      <c r="D1217" s="12" t="str">
        <f aca="false">IF($A1217="","",원본명단!$D1216)</f>
        <v/>
      </c>
      <c r="E1217" s="11" t="str">
        <f aca="false">IF($A1217="","",IF(원본명단!$H1216="",0,COUNTIF(원본명단!$H$3:$H$6002,원본명단!$H1216)))</f>
        <v/>
      </c>
      <c r="F1217" s="11" t="str">
        <f aca="false">IF($A1217="","",IF(원본명단!$I1216="",0,COUNTIF(원본명단!$I$3:$I$6002,원본명단!$I1216)))</f>
        <v/>
      </c>
      <c r="G1217" s="11" t="str">
        <f aca="false">IF($A1217="","",IF(원본명단!$K1216="",0,COUNTIF(원본명단!$K$3:$K$6002,원본명단!$K1216)))</f>
        <v/>
      </c>
      <c r="H1217" s="11" t="str">
        <f aca="false">IF($A1217="","",IF(MAX($E1217,$F1217,$G1217)&gt;1,"중복","-"))</f>
        <v/>
      </c>
      <c r="I1217" s="11" t="str">
        <f aca="false">IF($A1217="","",IF($H1217="-","-",IF(AND(IF(원본명단!$H1216="",TRUE(),COUNTIF(원본명단!$H$3:$H1216,원본명단!$H1216)=1),IF(원본명단!$I1216="",TRUE(),COUNTIF(원본명단!$I$3:$I1216,원본명단!$I1216)=1),IF(원본명단!$K1216="",TRUE(),COUNTIF(원본명단!$K$3:$K1216,원본명단!$K1216)=1)),"첫 건","중복 건")))</f>
        <v/>
      </c>
      <c r="J1217" s="11" t="str">
        <f aca="false">IF($A1217="","",IF($H1217="-","유지",IF($I1217="첫 건","유지","확인 필요")))</f>
        <v/>
      </c>
    </row>
    <row r="1218" customFormat="false" ht="15" hidden="false" customHeight="true" outlineLevel="0" collapsed="false">
      <c r="A1218" s="11" t="str">
        <f aca="false">IF(원본명단!$A1217="","",1215)</f>
        <v/>
      </c>
      <c r="B1218" s="12" t="str">
        <f aca="false">IF($A1218="","",원본명단!$A1217)</f>
        <v/>
      </c>
      <c r="C1218" s="12" t="str">
        <f aca="false">IF($A1218="","",원본명단!$B1217)</f>
        <v/>
      </c>
      <c r="D1218" s="12" t="str">
        <f aca="false">IF($A1218="","",원본명단!$D1217)</f>
        <v/>
      </c>
      <c r="E1218" s="11" t="str">
        <f aca="false">IF($A1218="","",IF(원본명단!$H1217="",0,COUNTIF(원본명단!$H$3:$H$6002,원본명단!$H1217)))</f>
        <v/>
      </c>
      <c r="F1218" s="11" t="str">
        <f aca="false">IF($A1218="","",IF(원본명단!$I1217="",0,COUNTIF(원본명단!$I$3:$I$6002,원본명단!$I1217)))</f>
        <v/>
      </c>
      <c r="G1218" s="11" t="str">
        <f aca="false">IF($A1218="","",IF(원본명단!$K1217="",0,COUNTIF(원본명단!$K$3:$K$6002,원본명단!$K1217)))</f>
        <v/>
      </c>
      <c r="H1218" s="11" t="str">
        <f aca="false">IF($A1218="","",IF(MAX($E1218,$F1218,$G1218)&gt;1,"중복","-"))</f>
        <v/>
      </c>
      <c r="I1218" s="11" t="str">
        <f aca="false">IF($A1218="","",IF($H1218="-","-",IF(AND(IF(원본명단!$H1217="",TRUE(),COUNTIF(원본명단!$H$3:$H1217,원본명단!$H1217)=1),IF(원본명단!$I1217="",TRUE(),COUNTIF(원본명단!$I$3:$I1217,원본명단!$I1217)=1),IF(원본명단!$K1217="",TRUE(),COUNTIF(원본명단!$K$3:$K1217,원본명단!$K1217)=1)),"첫 건","중복 건")))</f>
        <v/>
      </c>
      <c r="J1218" s="11" t="str">
        <f aca="false">IF($A1218="","",IF($H1218="-","유지",IF($I1218="첫 건","유지","확인 필요")))</f>
        <v/>
      </c>
    </row>
    <row r="1219" customFormat="false" ht="15" hidden="false" customHeight="true" outlineLevel="0" collapsed="false">
      <c r="A1219" s="11" t="str">
        <f aca="false">IF(원본명단!$A1218="","",1216)</f>
        <v/>
      </c>
      <c r="B1219" s="12" t="str">
        <f aca="false">IF($A1219="","",원본명단!$A1218)</f>
        <v/>
      </c>
      <c r="C1219" s="12" t="str">
        <f aca="false">IF($A1219="","",원본명단!$B1218)</f>
        <v/>
      </c>
      <c r="D1219" s="12" t="str">
        <f aca="false">IF($A1219="","",원본명단!$D1218)</f>
        <v/>
      </c>
      <c r="E1219" s="11" t="str">
        <f aca="false">IF($A1219="","",IF(원본명단!$H1218="",0,COUNTIF(원본명단!$H$3:$H$6002,원본명단!$H1218)))</f>
        <v/>
      </c>
      <c r="F1219" s="11" t="str">
        <f aca="false">IF($A1219="","",IF(원본명단!$I1218="",0,COUNTIF(원본명단!$I$3:$I$6002,원본명단!$I1218)))</f>
        <v/>
      </c>
      <c r="G1219" s="11" t="str">
        <f aca="false">IF($A1219="","",IF(원본명단!$K1218="",0,COUNTIF(원본명단!$K$3:$K$6002,원본명단!$K1218)))</f>
        <v/>
      </c>
      <c r="H1219" s="11" t="str">
        <f aca="false">IF($A1219="","",IF(MAX($E1219,$F1219,$G1219)&gt;1,"중복","-"))</f>
        <v/>
      </c>
      <c r="I1219" s="11" t="str">
        <f aca="false">IF($A1219="","",IF($H1219="-","-",IF(AND(IF(원본명단!$H1218="",TRUE(),COUNTIF(원본명단!$H$3:$H1218,원본명단!$H1218)=1),IF(원본명단!$I1218="",TRUE(),COUNTIF(원본명단!$I$3:$I1218,원본명단!$I1218)=1),IF(원본명단!$K1218="",TRUE(),COUNTIF(원본명단!$K$3:$K1218,원본명단!$K1218)=1)),"첫 건","중복 건")))</f>
        <v/>
      </c>
      <c r="J1219" s="11" t="str">
        <f aca="false">IF($A1219="","",IF($H1219="-","유지",IF($I1219="첫 건","유지","확인 필요")))</f>
        <v/>
      </c>
    </row>
    <row r="1220" customFormat="false" ht="15" hidden="false" customHeight="true" outlineLevel="0" collapsed="false">
      <c r="A1220" s="11" t="str">
        <f aca="false">IF(원본명단!$A1219="","",1217)</f>
        <v/>
      </c>
      <c r="B1220" s="12" t="str">
        <f aca="false">IF($A1220="","",원본명단!$A1219)</f>
        <v/>
      </c>
      <c r="C1220" s="12" t="str">
        <f aca="false">IF($A1220="","",원본명단!$B1219)</f>
        <v/>
      </c>
      <c r="D1220" s="12" t="str">
        <f aca="false">IF($A1220="","",원본명단!$D1219)</f>
        <v/>
      </c>
      <c r="E1220" s="11" t="str">
        <f aca="false">IF($A1220="","",IF(원본명단!$H1219="",0,COUNTIF(원본명단!$H$3:$H$6002,원본명단!$H1219)))</f>
        <v/>
      </c>
      <c r="F1220" s="11" t="str">
        <f aca="false">IF($A1220="","",IF(원본명단!$I1219="",0,COUNTIF(원본명단!$I$3:$I$6002,원본명단!$I1219)))</f>
        <v/>
      </c>
      <c r="G1220" s="11" t="str">
        <f aca="false">IF($A1220="","",IF(원본명단!$K1219="",0,COUNTIF(원본명단!$K$3:$K$6002,원본명단!$K1219)))</f>
        <v/>
      </c>
      <c r="H1220" s="11" t="str">
        <f aca="false">IF($A1220="","",IF(MAX($E1220,$F1220,$G1220)&gt;1,"중복","-"))</f>
        <v/>
      </c>
      <c r="I1220" s="11" t="str">
        <f aca="false">IF($A1220="","",IF($H1220="-","-",IF(AND(IF(원본명단!$H1219="",TRUE(),COUNTIF(원본명단!$H$3:$H1219,원본명단!$H1219)=1),IF(원본명단!$I1219="",TRUE(),COUNTIF(원본명단!$I$3:$I1219,원본명단!$I1219)=1),IF(원본명단!$K1219="",TRUE(),COUNTIF(원본명단!$K$3:$K1219,원본명단!$K1219)=1)),"첫 건","중복 건")))</f>
        <v/>
      </c>
      <c r="J1220" s="11" t="str">
        <f aca="false">IF($A1220="","",IF($H1220="-","유지",IF($I1220="첫 건","유지","확인 필요")))</f>
        <v/>
      </c>
    </row>
    <row r="1221" customFormat="false" ht="15" hidden="false" customHeight="true" outlineLevel="0" collapsed="false">
      <c r="A1221" s="11" t="str">
        <f aca="false">IF(원본명단!$A1220="","",1218)</f>
        <v/>
      </c>
      <c r="B1221" s="12" t="str">
        <f aca="false">IF($A1221="","",원본명단!$A1220)</f>
        <v/>
      </c>
      <c r="C1221" s="12" t="str">
        <f aca="false">IF($A1221="","",원본명단!$B1220)</f>
        <v/>
      </c>
      <c r="D1221" s="12" t="str">
        <f aca="false">IF($A1221="","",원본명단!$D1220)</f>
        <v/>
      </c>
      <c r="E1221" s="11" t="str">
        <f aca="false">IF($A1221="","",IF(원본명단!$H1220="",0,COUNTIF(원본명단!$H$3:$H$6002,원본명단!$H1220)))</f>
        <v/>
      </c>
      <c r="F1221" s="11" t="str">
        <f aca="false">IF($A1221="","",IF(원본명단!$I1220="",0,COUNTIF(원본명단!$I$3:$I$6002,원본명단!$I1220)))</f>
        <v/>
      </c>
      <c r="G1221" s="11" t="str">
        <f aca="false">IF($A1221="","",IF(원본명단!$K1220="",0,COUNTIF(원본명단!$K$3:$K$6002,원본명단!$K1220)))</f>
        <v/>
      </c>
      <c r="H1221" s="11" t="str">
        <f aca="false">IF($A1221="","",IF(MAX($E1221,$F1221,$G1221)&gt;1,"중복","-"))</f>
        <v/>
      </c>
      <c r="I1221" s="11" t="str">
        <f aca="false">IF($A1221="","",IF($H1221="-","-",IF(AND(IF(원본명단!$H1220="",TRUE(),COUNTIF(원본명단!$H$3:$H1220,원본명단!$H1220)=1),IF(원본명단!$I1220="",TRUE(),COUNTIF(원본명단!$I$3:$I1220,원본명단!$I1220)=1),IF(원본명단!$K1220="",TRUE(),COUNTIF(원본명단!$K$3:$K1220,원본명단!$K1220)=1)),"첫 건","중복 건")))</f>
        <v/>
      </c>
      <c r="J1221" s="11" t="str">
        <f aca="false">IF($A1221="","",IF($H1221="-","유지",IF($I1221="첫 건","유지","확인 필요")))</f>
        <v/>
      </c>
    </row>
    <row r="1222" customFormat="false" ht="15" hidden="false" customHeight="true" outlineLevel="0" collapsed="false">
      <c r="A1222" s="11" t="str">
        <f aca="false">IF(원본명단!$A1221="","",1219)</f>
        <v/>
      </c>
      <c r="B1222" s="12" t="str">
        <f aca="false">IF($A1222="","",원본명단!$A1221)</f>
        <v/>
      </c>
      <c r="C1222" s="12" t="str">
        <f aca="false">IF($A1222="","",원본명단!$B1221)</f>
        <v/>
      </c>
      <c r="D1222" s="12" t="str">
        <f aca="false">IF($A1222="","",원본명단!$D1221)</f>
        <v/>
      </c>
      <c r="E1222" s="11" t="str">
        <f aca="false">IF($A1222="","",IF(원본명단!$H1221="",0,COUNTIF(원본명단!$H$3:$H$6002,원본명단!$H1221)))</f>
        <v/>
      </c>
      <c r="F1222" s="11" t="str">
        <f aca="false">IF($A1222="","",IF(원본명단!$I1221="",0,COUNTIF(원본명단!$I$3:$I$6002,원본명단!$I1221)))</f>
        <v/>
      </c>
      <c r="G1222" s="11" t="str">
        <f aca="false">IF($A1222="","",IF(원본명단!$K1221="",0,COUNTIF(원본명단!$K$3:$K$6002,원본명단!$K1221)))</f>
        <v/>
      </c>
      <c r="H1222" s="11" t="str">
        <f aca="false">IF($A1222="","",IF(MAX($E1222,$F1222,$G1222)&gt;1,"중복","-"))</f>
        <v/>
      </c>
      <c r="I1222" s="11" t="str">
        <f aca="false">IF($A1222="","",IF($H1222="-","-",IF(AND(IF(원본명단!$H1221="",TRUE(),COUNTIF(원본명단!$H$3:$H1221,원본명단!$H1221)=1),IF(원본명단!$I1221="",TRUE(),COUNTIF(원본명단!$I$3:$I1221,원본명단!$I1221)=1),IF(원본명단!$K1221="",TRUE(),COUNTIF(원본명단!$K$3:$K1221,원본명단!$K1221)=1)),"첫 건","중복 건")))</f>
        <v/>
      </c>
      <c r="J1222" s="11" t="str">
        <f aca="false">IF($A1222="","",IF($H1222="-","유지",IF($I1222="첫 건","유지","확인 필요")))</f>
        <v/>
      </c>
    </row>
    <row r="1223" customFormat="false" ht="15" hidden="false" customHeight="true" outlineLevel="0" collapsed="false">
      <c r="A1223" s="11" t="str">
        <f aca="false">IF(원본명단!$A1222="","",1220)</f>
        <v/>
      </c>
      <c r="B1223" s="12" t="str">
        <f aca="false">IF($A1223="","",원본명단!$A1222)</f>
        <v/>
      </c>
      <c r="C1223" s="12" t="str">
        <f aca="false">IF($A1223="","",원본명단!$B1222)</f>
        <v/>
      </c>
      <c r="D1223" s="12" t="str">
        <f aca="false">IF($A1223="","",원본명단!$D1222)</f>
        <v/>
      </c>
      <c r="E1223" s="11" t="str">
        <f aca="false">IF($A1223="","",IF(원본명단!$H1222="",0,COUNTIF(원본명단!$H$3:$H$6002,원본명단!$H1222)))</f>
        <v/>
      </c>
      <c r="F1223" s="11" t="str">
        <f aca="false">IF($A1223="","",IF(원본명단!$I1222="",0,COUNTIF(원본명단!$I$3:$I$6002,원본명단!$I1222)))</f>
        <v/>
      </c>
      <c r="G1223" s="11" t="str">
        <f aca="false">IF($A1223="","",IF(원본명단!$K1222="",0,COUNTIF(원본명단!$K$3:$K$6002,원본명단!$K1222)))</f>
        <v/>
      </c>
      <c r="H1223" s="11" t="str">
        <f aca="false">IF($A1223="","",IF(MAX($E1223,$F1223,$G1223)&gt;1,"중복","-"))</f>
        <v/>
      </c>
      <c r="I1223" s="11" t="str">
        <f aca="false">IF($A1223="","",IF($H1223="-","-",IF(AND(IF(원본명단!$H1222="",TRUE(),COUNTIF(원본명단!$H$3:$H1222,원본명단!$H1222)=1),IF(원본명단!$I1222="",TRUE(),COUNTIF(원본명단!$I$3:$I1222,원본명단!$I1222)=1),IF(원본명단!$K1222="",TRUE(),COUNTIF(원본명단!$K$3:$K1222,원본명단!$K1222)=1)),"첫 건","중복 건")))</f>
        <v/>
      </c>
      <c r="J1223" s="11" t="str">
        <f aca="false">IF($A1223="","",IF($H1223="-","유지",IF($I1223="첫 건","유지","확인 필요")))</f>
        <v/>
      </c>
    </row>
    <row r="1224" customFormat="false" ht="15" hidden="false" customHeight="true" outlineLevel="0" collapsed="false">
      <c r="A1224" s="11" t="str">
        <f aca="false">IF(원본명단!$A1223="","",1221)</f>
        <v/>
      </c>
      <c r="B1224" s="12" t="str">
        <f aca="false">IF($A1224="","",원본명단!$A1223)</f>
        <v/>
      </c>
      <c r="C1224" s="12" t="str">
        <f aca="false">IF($A1224="","",원본명단!$B1223)</f>
        <v/>
      </c>
      <c r="D1224" s="12" t="str">
        <f aca="false">IF($A1224="","",원본명단!$D1223)</f>
        <v/>
      </c>
      <c r="E1224" s="11" t="str">
        <f aca="false">IF($A1224="","",IF(원본명단!$H1223="",0,COUNTIF(원본명단!$H$3:$H$6002,원본명단!$H1223)))</f>
        <v/>
      </c>
      <c r="F1224" s="11" t="str">
        <f aca="false">IF($A1224="","",IF(원본명단!$I1223="",0,COUNTIF(원본명단!$I$3:$I$6002,원본명단!$I1223)))</f>
        <v/>
      </c>
      <c r="G1224" s="11" t="str">
        <f aca="false">IF($A1224="","",IF(원본명단!$K1223="",0,COUNTIF(원본명단!$K$3:$K$6002,원본명단!$K1223)))</f>
        <v/>
      </c>
      <c r="H1224" s="11" t="str">
        <f aca="false">IF($A1224="","",IF(MAX($E1224,$F1224,$G1224)&gt;1,"중복","-"))</f>
        <v/>
      </c>
      <c r="I1224" s="11" t="str">
        <f aca="false">IF($A1224="","",IF($H1224="-","-",IF(AND(IF(원본명단!$H1223="",TRUE(),COUNTIF(원본명단!$H$3:$H1223,원본명단!$H1223)=1),IF(원본명단!$I1223="",TRUE(),COUNTIF(원본명단!$I$3:$I1223,원본명단!$I1223)=1),IF(원본명단!$K1223="",TRUE(),COUNTIF(원본명단!$K$3:$K1223,원본명단!$K1223)=1)),"첫 건","중복 건")))</f>
        <v/>
      </c>
      <c r="J1224" s="11" t="str">
        <f aca="false">IF($A1224="","",IF($H1224="-","유지",IF($I1224="첫 건","유지","확인 필요")))</f>
        <v/>
      </c>
    </row>
    <row r="1225" customFormat="false" ht="15" hidden="false" customHeight="true" outlineLevel="0" collapsed="false">
      <c r="A1225" s="11" t="str">
        <f aca="false">IF(원본명단!$A1224="","",1222)</f>
        <v/>
      </c>
      <c r="B1225" s="12" t="str">
        <f aca="false">IF($A1225="","",원본명단!$A1224)</f>
        <v/>
      </c>
      <c r="C1225" s="12" t="str">
        <f aca="false">IF($A1225="","",원본명단!$B1224)</f>
        <v/>
      </c>
      <c r="D1225" s="12" t="str">
        <f aca="false">IF($A1225="","",원본명단!$D1224)</f>
        <v/>
      </c>
      <c r="E1225" s="11" t="str">
        <f aca="false">IF($A1225="","",IF(원본명단!$H1224="",0,COUNTIF(원본명단!$H$3:$H$6002,원본명단!$H1224)))</f>
        <v/>
      </c>
      <c r="F1225" s="11" t="str">
        <f aca="false">IF($A1225="","",IF(원본명단!$I1224="",0,COUNTIF(원본명단!$I$3:$I$6002,원본명단!$I1224)))</f>
        <v/>
      </c>
      <c r="G1225" s="11" t="str">
        <f aca="false">IF($A1225="","",IF(원본명단!$K1224="",0,COUNTIF(원본명단!$K$3:$K$6002,원본명단!$K1224)))</f>
        <v/>
      </c>
      <c r="H1225" s="11" t="str">
        <f aca="false">IF($A1225="","",IF(MAX($E1225,$F1225,$G1225)&gt;1,"중복","-"))</f>
        <v/>
      </c>
      <c r="I1225" s="11" t="str">
        <f aca="false">IF($A1225="","",IF($H1225="-","-",IF(AND(IF(원본명단!$H1224="",TRUE(),COUNTIF(원본명단!$H$3:$H1224,원본명단!$H1224)=1),IF(원본명단!$I1224="",TRUE(),COUNTIF(원본명단!$I$3:$I1224,원본명단!$I1224)=1),IF(원본명단!$K1224="",TRUE(),COUNTIF(원본명단!$K$3:$K1224,원본명단!$K1224)=1)),"첫 건","중복 건")))</f>
        <v/>
      </c>
      <c r="J1225" s="11" t="str">
        <f aca="false">IF($A1225="","",IF($H1225="-","유지",IF($I1225="첫 건","유지","확인 필요")))</f>
        <v/>
      </c>
    </row>
    <row r="1226" customFormat="false" ht="15" hidden="false" customHeight="true" outlineLevel="0" collapsed="false">
      <c r="A1226" s="11" t="str">
        <f aca="false">IF(원본명단!$A1225="","",1223)</f>
        <v/>
      </c>
      <c r="B1226" s="12" t="str">
        <f aca="false">IF($A1226="","",원본명단!$A1225)</f>
        <v/>
      </c>
      <c r="C1226" s="12" t="str">
        <f aca="false">IF($A1226="","",원본명단!$B1225)</f>
        <v/>
      </c>
      <c r="D1226" s="12" t="str">
        <f aca="false">IF($A1226="","",원본명단!$D1225)</f>
        <v/>
      </c>
      <c r="E1226" s="11" t="str">
        <f aca="false">IF($A1226="","",IF(원본명단!$H1225="",0,COUNTIF(원본명단!$H$3:$H$6002,원본명단!$H1225)))</f>
        <v/>
      </c>
      <c r="F1226" s="11" t="str">
        <f aca="false">IF($A1226="","",IF(원본명단!$I1225="",0,COUNTIF(원본명단!$I$3:$I$6002,원본명단!$I1225)))</f>
        <v/>
      </c>
      <c r="G1226" s="11" t="str">
        <f aca="false">IF($A1226="","",IF(원본명단!$K1225="",0,COUNTIF(원본명단!$K$3:$K$6002,원본명단!$K1225)))</f>
        <v/>
      </c>
      <c r="H1226" s="11" t="str">
        <f aca="false">IF($A1226="","",IF(MAX($E1226,$F1226,$G1226)&gt;1,"중복","-"))</f>
        <v/>
      </c>
      <c r="I1226" s="11" t="str">
        <f aca="false">IF($A1226="","",IF($H1226="-","-",IF(AND(IF(원본명단!$H1225="",TRUE(),COUNTIF(원본명단!$H$3:$H1225,원본명단!$H1225)=1),IF(원본명단!$I1225="",TRUE(),COUNTIF(원본명단!$I$3:$I1225,원본명단!$I1225)=1),IF(원본명단!$K1225="",TRUE(),COUNTIF(원본명단!$K$3:$K1225,원본명단!$K1225)=1)),"첫 건","중복 건")))</f>
        <v/>
      </c>
      <c r="J1226" s="11" t="str">
        <f aca="false">IF($A1226="","",IF($H1226="-","유지",IF($I1226="첫 건","유지","확인 필요")))</f>
        <v/>
      </c>
    </row>
    <row r="1227" customFormat="false" ht="15" hidden="false" customHeight="true" outlineLevel="0" collapsed="false">
      <c r="A1227" s="11" t="str">
        <f aca="false">IF(원본명단!$A1226="","",1224)</f>
        <v/>
      </c>
      <c r="B1227" s="12" t="str">
        <f aca="false">IF($A1227="","",원본명단!$A1226)</f>
        <v/>
      </c>
      <c r="C1227" s="12" t="str">
        <f aca="false">IF($A1227="","",원본명단!$B1226)</f>
        <v/>
      </c>
      <c r="D1227" s="12" t="str">
        <f aca="false">IF($A1227="","",원본명단!$D1226)</f>
        <v/>
      </c>
      <c r="E1227" s="11" t="str">
        <f aca="false">IF($A1227="","",IF(원본명단!$H1226="",0,COUNTIF(원본명단!$H$3:$H$6002,원본명단!$H1226)))</f>
        <v/>
      </c>
      <c r="F1227" s="11" t="str">
        <f aca="false">IF($A1227="","",IF(원본명단!$I1226="",0,COUNTIF(원본명단!$I$3:$I$6002,원본명단!$I1226)))</f>
        <v/>
      </c>
      <c r="G1227" s="11" t="str">
        <f aca="false">IF($A1227="","",IF(원본명단!$K1226="",0,COUNTIF(원본명단!$K$3:$K$6002,원본명단!$K1226)))</f>
        <v/>
      </c>
      <c r="H1227" s="11" t="str">
        <f aca="false">IF($A1227="","",IF(MAX($E1227,$F1227,$G1227)&gt;1,"중복","-"))</f>
        <v/>
      </c>
      <c r="I1227" s="11" t="str">
        <f aca="false">IF($A1227="","",IF($H1227="-","-",IF(AND(IF(원본명단!$H1226="",TRUE(),COUNTIF(원본명단!$H$3:$H1226,원본명단!$H1226)=1),IF(원본명단!$I1226="",TRUE(),COUNTIF(원본명단!$I$3:$I1226,원본명단!$I1226)=1),IF(원본명단!$K1226="",TRUE(),COUNTIF(원본명단!$K$3:$K1226,원본명단!$K1226)=1)),"첫 건","중복 건")))</f>
        <v/>
      </c>
      <c r="J1227" s="11" t="str">
        <f aca="false">IF($A1227="","",IF($H1227="-","유지",IF($I1227="첫 건","유지","확인 필요")))</f>
        <v/>
      </c>
    </row>
    <row r="1228" customFormat="false" ht="15" hidden="false" customHeight="true" outlineLevel="0" collapsed="false">
      <c r="A1228" s="11" t="str">
        <f aca="false">IF(원본명단!$A1227="","",1225)</f>
        <v/>
      </c>
      <c r="B1228" s="12" t="str">
        <f aca="false">IF($A1228="","",원본명단!$A1227)</f>
        <v/>
      </c>
      <c r="C1228" s="12" t="str">
        <f aca="false">IF($A1228="","",원본명단!$B1227)</f>
        <v/>
      </c>
      <c r="D1228" s="12" t="str">
        <f aca="false">IF($A1228="","",원본명단!$D1227)</f>
        <v/>
      </c>
      <c r="E1228" s="11" t="str">
        <f aca="false">IF($A1228="","",IF(원본명단!$H1227="",0,COUNTIF(원본명단!$H$3:$H$6002,원본명단!$H1227)))</f>
        <v/>
      </c>
      <c r="F1228" s="11" t="str">
        <f aca="false">IF($A1228="","",IF(원본명단!$I1227="",0,COUNTIF(원본명단!$I$3:$I$6002,원본명단!$I1227)))</f>
        <v/>
      </c>
      <c r="G1228" s="11" t="str">
        <f aca="false">IF($A1228="","",IF(원본명단!$K1227="",0,COUNTIF(원본명단!$K$3:$K$6002,원본명단!$K1227)))</f>
        <v/>
      </c>
      <c r="H1228" s="11" t="str">
        <f aca="false">IF($A1228="","",IF(MAX($E1228,$F1228,$G1228)&gt;1,"중복","-"))</f>
        <v/>
      </c>
      <c r="I1228" s="11" t="str">
        <f aca="false">IF($A1228="","",IF($H1228="-","-",IF(AND(IF(원본명단!$H1227="",TRUE(),COUNTIF(원본명단!$H$3:$H1227,원본명단!$H1227)=1),IF(원본명단!$I1227="",TRUE(),COUNTIF(원본명단!$I$3:$I1227,원본명단!$I1227)=1),IF(원본명단!$K1227="",TRUE(),COUNTIF(원본명단!$K$3:$K1227,원본명단!$K1227)=1)),"첫 건","중복 건")))</f>
        <v/>
      </c>
      <c r="J1228" s="11" t="str">
        <f aca="false">IF($A1228="","",IF($H1228="-","유지",IF($I1228="첫 건","유지","확인 필요")))</f>
        <v/>
      </c>
    </row>
    <row r="1229" customFormat="false" ht="15" hidden="false" customHeight="true" outlineLevel="0" collapsed="false">
      <c r="A1229" s="11" t="str">
        <f aca="false">IF(원본명단!$A1228="","",1226)</f>
        <v/>
      </c>
      <c r="B1229" s="12" t="str">
        <f aca="false">IF($A1229="","",원본명단!$A1228)</f>
        <v/>
      </c>
      <c r="C1229" s="12" t="str">
        <f aca="false">IF($A1229="","",원본명단!$B1228)</f>
        <v/>
      </c>
      <c r="D1229" s="12" t="str">
        <f aca="false">IF($A1229="","",원본명단!$D1228)</f>
        <v/>
      </c>
      <c r="E1229" s="11" t="str">
        <f aca="false">IF($A1229="","",IF(원본명단!$H1228="",0,COUNTIF(원본명단!$H$3:$H$6002,원본명단!$H1228)))</f>
        <v/>
      </c>
      <c r="F1229" s="11" t="str">
        <f aca="false">IF($A1229="","",IF(원본명단!$I1228="",0,COUNTIF(원본명단!$I$3:$I$6002,원본명단!$I1228)))</f>
        <v/>
      </c>
      <c r="G1229" s="11" t="str">
        <f aca="false">IF($A1229="","",IF(원본명단!$K1228="",0,COUNTIF(원본명단!$K$3:$K$6002,원본명단!$K1228)))</f>
        <v/>
      </c>
      <c r="H1229" s="11" t="str">
        <f aca="false">IF($A1229="","",IF(MAX($E1229,$F1229,$G1229)&gt;1,"중복","-"))</f>
        <v/>
      </c>
      <c r="I1229" s="11" t="str">
        <f aca="false">IF($A1229="","",IF($H1229="-","-",IF(AND(IF(원본명단!$H1228="",TRUE(),COUNTIF(원본명단!$H$3:$H1228,원본명단!$H1228)=1),IF(원본명단!$I1228="",TRUE(),COUNTIF(원본명단!$I$3:$I1228,원본명단!$I1228)=1),IF(원본명단!$K1228="",TRUE(),COUNTIF(원본명단!$K$3:$K1228,원본명단!$K1228)=1)),"첫 건","중복 건")))</f>
        <v/>
      </c>
      <c r="J1229" s="11" t="str">
        <f aca="false">IF($A1229="","",IF($H1229="-","유지",IF($I1229="첫 건","유지","확인 필요")))</f>
        <v/>
      </c>
    </row>
    <row r="1230" customFormat="false" ht="15" hidden="false" customHeight="true" outlineLevel="0" collapsed="false">
      <c r="A1230" s="11" t="str">
        <f aca="false">IF(원본명단!$A1229="","",1227)</f>
        <v/>
      </c>
      <c r="B1230" s="12" t="str">
        <f aca="false">IF($A1230="","",원본명단!$A1229)</f>
        <v/>
      </c>
      <c r="C1230" s="12" t="str">
        <f aca="false">IF($A1230="","",원본명단!$B1229)</f>
        <v/>
      </c>
      <c r="D1230" s="12" t="str">
        <f aca="false">IF($A1230="","",원본명단!$D1229)</f>
        <v/>
      </c>
      <c r="E1230" s="11" t="str">
        <f aca="false">IF($A1230="","",IF(원본명단!$H1229="",0,COUNTIF(원본명단!$H$3:$H$6002,원본명단!$H1229)))</f>
        <v/>
      </c>
      <c r="F1230" s="11" t="str">
        <f aca="false">IF($A1230="","",IF(원본명단!$I1229="",0,COUNTIF(원본명단!$I$3:$I$6002,원본명단!$I1229)))</f>
        <v/>
      </c>
      <c r="G1230" s="11" t="str">
        <f aca="false">IF($A1230="","",IF(원본명단!$K1229="",0,COUNTIF(원본명단!$K$3:$K$6002,원본명단!$K1229)))</f>
        <v/>
      </c>
      <c r="H1230" s="11" t="str">
        <f aca="false">IF($A1230="","",IF(MAX($E1230,$F1230,$G1230)&gt;1,"중복","-"))</f>
        <v/>
      </c>
      <c r="I1230" s="11" t="str">
        <f aca="false">IF($A1230="","",IF($H1230="-","-",IF(AND(IF(원본명단!$H1229="",TRUE(),COUNTIF(원본명단!$H$3:$H1229,원본명단!$H1229)=1),IF(원본명단!$I1229="",TRUE(),COUNTIF(원본명단!$I$3:$I1229,원본명단!$I1229)=1),IF(원본명단!$K1229="",TRUE(),COUNTIF(원본명단!$K$3:$K1229,원본명단!$K1229)=1)),"첫 건","중복 건")))</f>
        <v/>
      </c>
      <c r="J1230" s="11" t="str">
        <f aca="false">IF($A1230="","",IF($H1230="-","유지",IF($I1230="첫 건","유지","확인 필요")))</f>
        <v/>
      </c>
    </row>
    <row r="1231" customFormat="false" ht="15" hidden="false" customHeight="true" outlineLevel="0" collapsed="false">
      <c r="A1231" s="11" t="str">
        <f aca="false">IF(원본명단!$A1230="","",1228)</f>
        <v/>
      </c>
      <c r="B1231" s="12" t="str">
        <f aca="false">IF($A1231="","",원본명단!$A1230)</f>
        <v/>
      </c>
      <c r="C1231" s="12" t="str">
        <f aca="false">IF($A1231="","",원본명단!$B1230)</f>
        <v/>
      </c>
      <c r="D1231" s="12" t="str">
        <f aca="false">IF($A1231="","",원본명단!$D1230)</f>
        <v/>
      </c>
      <c r="E1231" s="11" t="str">
        <f aca="false">IF($A1231="","",IF(원본명단!$H1230="",0,COUNTIF(원본명단!$H$3:$H$6002,원본명단!$H1230)))</f>
        <v/>
      </c>
      <c r="F1231" s="11" t="str">
        <f aca="false">IF($A1231="","",IF(원본명단!$I1230="",0,COUNTIF(원본명단!$I$3:$I$6002,원본명단!$I1230)))</f>
        <v/>
      </c>
      <c r="G1231" s="11" t="str">
        <f aca="false">IF($A1231="","",IF(원본명단!$K1230="",0,COUNTIF(원본명단!$K$3:$K$6002,원본명단!$K1230)))</f>
        <v/>
      </c>
      <c r="H1231" s="11" t="str">
        <f aca="false">IF($A1231="","",IF(MAX($E1231,$F1231,$G1231)&gt;1,"중복","-"))</f>
        <v/>
      </c>
      <c r="I1231" s="11" t="str">
        <f aca="false">IF($A1231="","",IF($H1231="-","-",IF(AND(IF(원본명단!$H1230="",TRUE(),COUNTIF(원본명단!$H$3:$H1230,원본명단!$H1230)=1),IF(원본명단!$I1230="",TRUE(),COUNTIF(원본명단!$I$3:$I1230,원본명단!$I1230)=1),IF(원본명단!$K1230="",TRUE(),COUNTIF(원본명단!$K$3:$K1230,원본명단!$K1230)=1)),"첫 건","중복 건")))</f>
        <v/>
      </c>
      <c r="J1231" s="11" t="str">
        <f aca="false">IF($A1231="","",IF($H1231="-","유지",IF($I1231="첫 건","유지","확인 필요")))</f>
        <v/>
      </c>
    </row>
    <row r="1232" customFormat="false" ht="15" hidden="false" customHeight="true" outlineLevel="0" collapsed="false">
      <c r="A1232" s="11" t="str">
        <f aca="false">IF(원본명단!$A1231="","",1229)</f>
        <v/>
      </c>
      <c r="B1232" s="12" t="str">
        <f aca="false">IF($A1232="","",원본명단!$A1231)</f>
        <v/>
      </c>
      <c r="C1232" s="12" t="str">
        <f aca="false">IF($A1232="","",원본명단!$B1231)</f>
        <v/>
      </c>
      <c r="D1232" s="12" t="str">
        <f aca="false">IF($A1232="","",원본명단!$D1231)</f>
        <v/>
      </c>
      <c r="E1232" s="11" t="str">
        <f aca="false">IF($A1232="","",IF(원본명단!$H1231="",0,COUNTIF(원본명단!$H$3:$H$6002,원본명단!$H1231)))</f>
        <v/>
      </c>
      <c r="F1232" s="11" t="str">
        <f aca="false">IF($A1232="","",IF(원본명단!$I1231="",0,COUNTIF(원본명단!$I$3:$I$6002,원본명단!$I1231)))</f>
        <v/>
      </c>
      <c r="G1232" s="11" t="str">
        <f aca="false">IF($A1232="","",IF(원본명단!$K1231="",0,COUNTIF(원본명단!$K$3:$K$6002,원본명단!$K1231)))</f>
        <v/>
      </c>
      <c r="H1232" s="11" t="str">
        <f aca="false">IF($A1232="","",IF(MAX($E1232,$F1232,$G1232)&gt;1,"중복","-"))</f>
        <v/>
      </c>
      <c r="I1232" s="11" t="str">
        <f aca="false">IF($A1232="","",IF($H1232="-","-",IF(AND(IF(원본명단!$H1231="",TRUE(),COUNTIF(원본명단!$H$3:$H1231,원본명단!$H1231)=1),IF(원본명단!$I1231="",TRUE(),COUNTIF(원본명단!$I$3:$I1231,원본명단!$I1231)=1),IF(원본명단!$K1231="",TRUE(),COUNTIF(원본명단!$K$3:$K1231,원본명단!$K1231)=1)),"첫 건","중복 건")))</f>
        <v/>
      </c>
      <c r="J1232" s="11" t="str">
        <f aca="false">IF($A1232="","",IF($H1232="-","유지",IF($I1232="첫 건","유지","확인 필요")))</f>
        <v/>
      </c>
    </row>
    <row r="1233" customFormat="false" ht="15" hidden="false" customHeight="true" outlineLevel="0" collapsed="false">
      <c r="A1233" s="11" t="str">
        <f aca="false">IF(원본명단!$A1232="","",1230)</f>
        <v/>
      </c>
      <c r="B1233" s="12" t="str">
        <f aca="false">IF($A1233="","",원본명단!$A1232)</f>
        <v/>
      </c>
      <c r="C1233" s="12" t="str">
        <f aca="false">IF($A1233="","",원본명단!$B1232)</f>
        <v/>
      </c>
      <c r="D1233" s="12" t="str">
        <f aca="false">IF($A1233="","",원본명단!$D1232)</f>
        <v/>
      </c>
      <c r="E1233" s="11" t="str">
        <f aca="false">IF($A1233="","",IF(원본명단!$H1232="",0,COUNTIF(원본명단!$H$3:$H$6002,원본명단!$H1232)))</f>
        <v/>
      </c>
      <c r="F1233" s="11" t="str">
        <f aca="false">IF($A1233="","",IF(원본명단!$I1232="",0,COUNTIF(원본명단!$I$3:$I$6002,원본명단!$I1232)))</f>
        <v/>
      </c>
      <c r="G1233" s="11" t="str">
        <f aca="false">IF($A1233="","",IF(원본명단!$K1232="",0,COUNTIF(원본명단!$K$3:$K$6002,원본명단!$K1232)))</f>
        <v/>
      </c>
      <c r="H1233" s="11" t="str">
        <f aca="false">IF($A1233="","",IF(MAX($E1233,$F1233,$G1233)&gt;1,"중복","-"))</f>
        <v/>
      </c>
      <c r="I1233" s="11" t="str">
        <f aca="false">IF($A1233="","",IF($H1233="-","-",IF(AND(IF(원본명단!$H1232="",TRUE(),COUNTIF(원본명단!$H$3:$H1232,원본명단!$H1232)=1),IF(원본명단!$I1232="",TRUE(),COUNTIF(원본명단!$I$3:$I1232,원본명단!$I1232)=1),IF(원본명단!$K1232="",TRUE(),COUNTIF(원본명단!$K$3:$K1232,원본명단!$K1232)=1)),"첫 건","중복 건")))</f>
        <v/>
      </c>
      <c r="J1233" s="11" t="str">
        <f aca="false">IF($A1233="","",IF($H1233="-","유지",IF($I1233="첫 건","유지","확인 필요")))</f>
        <v/>
      </c>
    </row>
    <row r="1234" customFormat="false" ht="15" hidden="false" customHeight="true" outlineLevel="0" collapsed="false">
      <c r="A1234" s="11" t="str">
        <f aca="false">IF(원본명단!$A1233="","",1231)</f>
        <v/>
      </c>
      <c r="B1234" s="12" t="str">
        <f aca="false">IF($A1234="","",원본명단!$A1233)</f>
        <v/>
      </c>
      <c r="C1234" s="12" t="str">
        <f aca="false">IF($A1234="","",원본명단!$B1233)</f>
        <v/>
      </c>
      <c r="D1234" s="12" t="str">
        <f aca="false">IF($A1234="","",원본명단!$D1233)</f>
        <v/>
      </c>
      <c r="E1234" s="11" t="str">
        <f aca="false">IF($A1234="","",IF(원본명단!$H1233="",0,COUNTIF(원본명단!$H$3:$H$6002,원본명단!$H1233)))</f>
        <v/>
      </c>
      <c r="F1234" s="11" t="str">
        <f aca="false">IF($A1234="","",IF(원본명단!$I1233="",0,COUNTIF(원본명단!$I$3:$I$6002,원본명단!$I1233)))</f>
        <v/>
      </c>
      <c r="G1234" s="11" t="str">
        <f aca="false">IF($A1234="","",IF(원본명단!$K1233="",0,COUNTIF(원본명단!$K$3:$K$6002,원본명단!$K1233)))</f>
        <v/>
      </c>
      <c r="H1234" s="11" t="str">
        <f aca="false">IF($A1234="","",IF(MAX($E1234,$F1234,$G1234)&gt;1,"중복","-"))</f>
        <v/>
      </c>
      <c r="I1234" s="11" t="str">
        <f aca="false">IF($A1234="","",IF($H1234="-","-",IF(AND(IF(원본명단!$H1233="",TRUE(),COUNTIF(원본명단!$H$3:$H1233,원본명단!$H1233)=1),IF(원본명단!$I1233="",TRUE(),COUNTIF(원본명단!$I$3:$I1233,원본명단!$I1233)=1),IF(원본명단!$K1233="",TRUE(),COUNTIF(원본명단!$K$3:$K1233,원본명단!$K1233)=1)),"첫 건","중복 건")))</f>
        <v/>
      </c>
      <c r="J1234" s="11" t="str">
        <f aca="false">IF($A1234="","",IF($H1234="-","유지",IF($I1234="첫 건","유지","확인 필요")))</f>
        <v/>
      </c>
    </row>
    <row r="1235" customFormat="false" ht="15" hidden="false" customHeight="true" outlineLevel="0" collapsed="false">
      <c r="A1235" s="11" t="str">
        <f aca="false">IF(원본명단!$A1234="","",1232)</f>
        <v/>
      </c>
      <c r="B1235" s="12" t="str">
        <f aca="false">IF($A1235="","",원본명단!$A1234)</f>
        <v/>
      </c>
      <c r="C1235" s="12" t="str">
        <f aca="false">IF($A1235="","",원본명단!$B1234)</f>
        <v/>
      </c>
      <c r="D1235" s="12" t="str">
        <f aca="false">IF($A1235="","",원본명단!$D1234)</f>
        <v/>
      </c>
      <c r="E1235" s="11" t="str">
        <f aca="false">IF($A1235="","",IF(원본명단!$H1234="",0,COUNTIF(원본명단!$H$3:$H$6002,원본명단!$H1234)))</f>
        <v/>
      </c>
      <c r="F1235" s="11" t="str">
        <f aca="false">IF($A1235="","",IF(원본명단!$I1234="",0,COUNTIF(원본명단!$I$3:$I$6002,원본명단!$I1234)))</f>
        <v/>
      </c>
      <c r="G1235" s="11" t="str">
        <f aca="false">IF($A1235="","",IF(원본명단!$K1234="",0,COUNTIF(원본명단!$K$3:$K$6002,원본명단!$K1234)))</f>
        <v/>
      </c>
      <c r="H1235" s="11" t="str">
        <f aca="false">IF($A1235="","",IF(MAX($E1235,$F1235,$G1235)&gt;1,"중복","-"))</f>
        <v/>
      </c>
      <c r="I1235" s="11" t="str">
        <f aca="false">IF($A1235="","",IF($H1235="-","-",IF(AND(IF(원본명단!$H1234="",TRUE(),COUNTIF(원본명단!$H$3:$H1234,원본명단!$H1234)=1),IF(원본명단!$I1234="",TRUE(),COUNTIF(원본명단!$I$3:$I1234,원본명단!$I1234)=1),IF(원본명단!$K1234="",TRUE(),COUNTIF(원본명단!$K$3:$K1234,원본명단!$K1234)=1)),"첫 건","중복 건")))</f>
        <v/>
      </c>
      <c r="J1235" s="11" t="str">
        <f aca="false">IF($A1235="","",IF($H1235="-","유지",IF($I1235="첫 건","유지","확인 필요")))</f>
        <v/>
      </c>
    </row>
    <row r="1236" customFormat="false" ht="15" hidden="false" customHeight="true" outlineLevel="0" collapsed="false">
      <c r="A1236" s="11" t="str">
        <f aca="false">IF(원본명단!$A1235="","",1233)</f>
        <v/>
      </c>
      <c r="B1236" s="12" t="str">
        <f aca="false">IF($A1236="","",원본명단!$A1235)</f>
        <v/>
      </c>
      <c r="C1236" s="12" t="str">
        <f aca="false">IF($A1236="","",원본명단!$B1235)</f>
        <v/>
      </c>
      <c r="D1236" s="12" t="str">
        <f aca="false">IF($A1236="","",원본명단!$D1235)</f>
        <v/>
      </c>
      <c r="E1236" s="11" t="str">
        <f aca="false">IF($A1236="","",IF(원본명단!$H1235="",0,COUNTIF(원본명단!$H$3:$H$6002,원본명단!$H1235)))</f>
        <v/>
      </c>
      <c r="F1236" s="11" t="str">
        <f aca="false">IF($A1236="","",IF(원본명단!$I1235="",0,COUNTIF(원본명단!$I$3:$I$6002,원본명단!$I1235)))</f>
        <v/>
      </c>
      <c r="G1236" s="11" t="str">
        <f aca="false">IF($A1236="","",IF(원본명단!$K1235="",0,COUNTIF(원본명단!$K$3:$K$6002,원본명단!$K1235)))</f>
        <v/>
      </c>
      <c r="H1236" s="11" t="str">
        <f aca="false">IF($A1236="","",IF(MAX($E1236,$F1236,$G1236)&gt;1,"중복","-"))</f>
        <v/>
      </c>
      <c r="I1236" s="11" t="str">
        <f aca="false">IF($A1236="","",IF($H1236="-","-",IF(AND(IF(원본명단!$H1235="",TRUE(),COUNTIF(원본명단!$H$3:$H1235,원본명단!$H1235)=1),IF(원본명단!$I1235="",TRUE(),COUNTIF(원본명단!$I$3:$I1235,원본명단!$I1235)=1),IF(원본명단!$K1235="",TRUE(),COUNTIF(원본명단!$K$3:$K1235,원본명단!$K1235)=1)),"첫 건","중복 건")))</f>
        <v/>
      </c>
      <c r="J1236" s="11" t="str">
        <f aca="false">IF($A1236="","",IF($H1236="-","유지",IF($I1236="첫 건","유지","확인 필요")))</f>
        <v/>
      </c>
    </row>
    <row r="1237" customFormat="false" ht="15" hidden="false" customHeight="true" outlineLevel="0" collapsed="false">
      <c r="A1237" s="11" t="str">
        <f aca="false">IF(원본명단!$A1236="","",1234)</f>
        <v/>
      </c>
      <c r="B1237" s="12" t="str">
        <f aca="false">IF($A1237="","",원본명단!$A1236)</f>
        <v/>
      </c>
      <c r="C1237" s="12" t="str">
        <f aca="false">IF($A1237="","",원본명단!$B1236)</f>
        <v/>
      </c>
      <c r="D1237" s="12" t="str">
        <f aca="false">IF($A1237="","",원본명단!$D1236)</f>
        <v/>
      </c>
      <c r="E1237" s="11" t="str">
        <f aca="false">IF($A1237="","",IF(원본명단!$H1236="",0,COUNTIF(원본명단!$H$3:$H$6002,원본명단!$H1236)))</f>
        <v/>
      </c>
      <c r="F1237" s="11" t="str">
        <f aca="false">IF($A1237="","",IF(원본명단!$I1236="",0,COUNTIF(원본명단!$I$3:$I$6002,원본명단!$I1236)))</f>
        <v/>
      </c>
      <c r="G1237" s="11" t="str">
        <f aca="false">IF($A1237="","",IF(원본명단!$K1236="",0,COUNTIF(원본명단!$K$3:$K$6002,원본명단!$K1236)))</f>
        <v/>
      </c>
      <c r="H1237" s="11" t="str">
        <f aca="false">IF($A1237="","",IF(MAX($E1237,$F1237,$G1237)&gt;1,"중복","-"))</f>
        <v/>
      </c>
      <c r="I1237" s="11" t="str">
        <f aca="false">IF($A1237="","",IF($H1237="-","-",IF(AND(IF(원본명단!$H1236="",TRUE(),COUNTIF(원본명단!$H$3:$H1236,원본명단!$H1236)=1),IF(원본명단!$I1236="",TRUE(),COUNTIF(원본명단!$I$3:$I1236,원본명단!$I1236)=1),IF(원본명단!$K1236="",TRUE(),COUNTIF(원본명단!$K$3:$K1236,원본명단!$K1236)=1)),"첫 건","중복 건")))</f>
        <v/>
      </c>
      <c r="J1237" s="11" t="str">
        <f aca="false">IF($A1237="","",IF($H1237="-","유지",IF($I1237="첫 건","유지","확인 필요")))</f>
        <v/>
      </c>
    </row>
    <row r="1238" customFormat="false" ht="15" hidden="false" customHeight="true" outlineLevel="0" collapsed="false">
      <c r="A1238" s="11" t="str">
        <f aca="false">IF(원본명단!$A1237="","",1235)</f>
        <v/>
      </c>
      <c r="B1238" s="12" t="str">
        <f aca="false">IF($A1238="","",원본명단!$A1237)</f>
        <v/>
      </c>
      <c r="C1238" s="12" t="str">
        <f aca="false">IF($A1238="","",원본명단!$B1237)</f>
        <v/>
      </c>
      <c r="D1238" s="12" t="str">
        <f aca="false">IF($A1238="","",원본명단!$D1237)</f>
        <v/>
      </c>
      <c r="E1238" s="11" t="str">
        <f aca="false">IF($A1238="","",IF(원본명단!$H1237="",0,COUNTIF(원본명단!$H$3:$H$6002,원본명단!$H1237)))</f>
        <v/>
      </c>
      <c r="F1238" s="11" t="str">
        <f aca="false">IF($A1238="","",IF(원본명단!$I1237="",0,COUNTIF(원본명단!$I$3:$I$6002,원본명단!$I1237)))</f>
        <v/>
      </c>
      <c r="G1238" s="11" t="str">
        <f aca="false">IF($A1238="","",IF(원본명단!$K1237="",0,COUNTIF(원본명단!$K$3:$K$6002,원본명단!$K1237)))</f>
        <v/>
      </c>
      <c r="H1238" s="11" t="str">
        <f aca="false">IF($A1238="","",IF(MAX($E1238,$F1238,$G1238)&gt;1,"중복","-"))</f>
        <v/>
      </c>
      <c r="I1238" s="11" t="str">
        <f aca="false">IF($A1238="","",IF($H1238="-","-",IF(AND(IF(원본명단!$H1237="",TRUE(),COUNTIF(원본명단!$H$3:$H1237,원본명단!$H1237)=1),IF(원본명단!$I1237="",TRUE(),COUNTIF(원본명단!$I$3:$I1237,원본명단!$I1237)=1),IF(원본명단!$K1237="",TRUE(),COUNTIF(원본명단!$K$3:$K1237,원본명단!$K1237)=1)),"첫 건","중복 건")))</f>
        <v/>
      </c>
      <c r="J1238" s="11" t="str">
        <f aca="false">IF($A1238="","",IF($H1238="-","유지",IF($I1238="첫 건","유지","확인 필요")))</f>
        <v/>
      </c>
    </row>
    <row r="1239" customFormat="false" ht="15" hidden="false" customHeight="true" outlineLevel="0" collapsed="false">
      <c r="A1239" s="11" t="str">
        <f aca="false">IF(원본명단!$A1238="","",1236)</f>
        <v/>
      </c>
      <c r="B1239" s="12" t="str">
        <f aca="false">IF($A1239="","",원본명단!$A1238)</f>
        <v/>
      </c>
      <c r="C1239" s="12" t="str">
        <f aca="false">IF($A1239="","",원본명단!$B1238)</f>
        <v/>
      </c>
      <c r="D1239" s="12" t="str">
        <f aca="false">IF($A1239="","",원본명단!$D1238)</f>
        <v/>
      </c>
      <c r="E1239" s="11" t="str">
        <f aca="false">IF($A1239="","",IF(원본명단!$H1238="",0,COUNTIF(원본명단!$H$3:$H$6002,원본명단!$H1238)))</f>
        <v/>
      </c>
      <c r="F1239" s="11" t="str">
        <f aca="false">IF($A1239="","",IF(원본명단!$I1238="",0,COUNTIF(원본명단!$I$3:$I$6002,원본명단!$I1238)))</f>
        <v/>
      </c>
      <c r="G1239" s="11" t="str">
        <f aca="false">IF($A1239="","",IF(원본명단!$K1238="",0,COUNTIF(원본명단!$K$3:$K$6002,원본명단!$K1238)))</f>
        <v/>
      </c>
      <c r="H1239" s="11" t="str">
        <f aca="false">IF($A1239="","",IF(MAX($E1239,$F1239,$G1239)&gt;1,"중복","-"))</f>
        <v/>
      </c>
      <c r="I1239" s="11" t="str">
        <f aca="false">IF($A1239="","",IF($H1239="-","-",IF(AND(IF(원본명단!$H1238="",TRUE(),COUNTIF(원본명단!$H$3:$H1238,원본명단!$H1238)=1),IF(원본명단!$I1238="",TRUE(),COUNTIF(원본명단!$I$3:$I1238,원본명단!$I1238)=1),IF(원본명단!$K1238="",TRUE(),COUNTIF(원본명단!$K$3:$K1238,원본명단!$K1238)=1)),"첫 건","중복 건")))</f>
        <v/>
      </c>
      <c r="J1239" s="11" t="str">
        <f aca="false">IF($A1239="","",IF($H1239="-","유지",IF($I1239="첫 건","유지","확인 필요")))</f>
        <v/>
      </c>
    </row>
    <row r="1240" customFormat="false" ht="15" hidden="false" customHeight="true" outlineLevel="0" collapsed="false">
      <c r="A1240" s="11" t="str">
        <f aca="false">IF(원본명단!$A1239="","",1237)</f>
        <v/>
      </c>
      <c r="B1240" s="12" t="str">
        <f aca="false">IF($A1240="","",원본명단!$A1239)</f>
        <v/>
      </c>
      <c r="C1240" s="12" t="str">
        <f aca="false">IF($A1240="","",원본명단!$B1239)</f>
        <v/>
      </c>
      <c r="D1240" s="12" t="str">
        <f aca="false">IF($A1240="","",원본명단!$D1239)</f>
        <v/>
      </c>
      <c r="E1240" s="11" t="str">
        <f aca="false">IF($A1240="","",IF(원본명단!$H1239="",0,COUNTIF(원본명단!$H$3:$H$6002,원본명단!$H1239)))</f>
        <v/>
      </c>
      <c r="F1240" s="11" t="str">
        <f aca="false">IF($A1240="","",IF(원본명단!$I1239="",0,COUNTIF(원본명단!$I$3:$I$6002,원본명단!$I1239)))</f>
        <v/>
      </c>
      <c r="G1240" s="11" t="str">
        <f aca="false">IF($A1240="","",IF(원본명단!$K1239="",0,COUNTIF(원본명단!$K$3:$K$6002,원본명단!$K1239)))</f>
        <v/>
      </c>
      <c r="H1240" s="11" t="str">
        <f aca="false">IF($A1240="","",IF(MAX($E1240,$F1240,$G1240)&gt;1,"중복","-"))</f>
        <v/>
      </c>
      <c r="I1240" s="11" t="str">
        <f aca="false">IF($A1240="","",IF($H1240="-","-",IF(AND(IF(원본명단!$H1239="",TRUE(),COUNTIF(원본명단!$H$3:$H1239,원본명단!$H1239)=1),IF(원본명단!$I1239="",TRUE(),COUNTIF(원본명단!$I$3:$I1239,원본명단!$I1239)=1),IF(원본명단!$K1239="",TRUE(),COUNTIF(원본명단!$K$3:$K1239,원본명단!$K1239)=1)),"첫 건","중복 건")))</f>
        <v/>
      </c>
      <c r="J1240" s="11" t="str">
        <f aca="false">IF($A1240="","",IF($H1240="-","유지",IF($I1240="첫 건","유지","확인 필요")))</f>
        <v/>
      </c>
    </row>
    <row r="1241" customFormat="false" ht="15" hidden="false" customHeight="true" outlineLevel="0" collapsed="false">
      <c r="A1241" s="11" t="str">
        <f aca="false">IF(원본명단!$A1240="","",1238)</f>
        <v/>
      </c>
      <c r="B1241" s="12" t="str">
        <f aca="false">IF($A1241="","",원본명단!$A1240)</f>
        <v/>
      </c>
      <c r="C1241" s="12" t="str">
        <f aca="false">IF($A1241="","",원본명단!$B1240)</f>
        <v/>
      </c>
      <c r="D1241" s="12" t="str">
        <f aca="false">IF($A1241="","",원본명단!$D1240)</f>
        <v/>
      </c>
      <c r="E1241" s="11" t="str">
        <f aca="false">IF($A1241="","",IF(원본명단!$H1240="",0,COUNTIF(원본명단!$H$3:$H$6002,원본명단!$H1240)))</f>
        <v/>
      </c>
      <c r="F1241" s="11" t="str">
        <f aca="false">IF($A1241="","",IF(원본명단!$I1240="",0,COUNTIF(원본명단!$I$3:$I$6002,원본명단!$I1240)))</f>
        <v/>
      </c>
      <c r="G1241" s="11" t="str">
        <f aca="false">IF($A1241="","",IF(원본명단!$K1240="",0,COUNTIF(원본명단!$K$3:$K$6002,원본명단!$K1240)))</f>
        <v/>
      </c>
      <c r="H1241" s="11" t="str">
        <f aca="false">IF($A1241="","",IF(MAX($E1241,$F1241,$G1241)&gt;1,"중복","-"))</f>
        <v/>
      </c>
      <c r="I1241" s="11" t="str">
        <f aca="false">IF($A1241="","",IF($H1241="-","-",IF(AND(IF(원본명단!$H1240="",TRUE(),COUNTIF(원본명단!$H$3:$H1240,원본명단!$H1240)=1),IF(원본명단!$I1240="",TRUE(),COUNTIF(원본명단!$I$3:$I1240,원본명단!$I1240)=1),IF(원본명단!$K1240="",TRUE(),COUNTIF(원본명단!$K$3:$K1240,원본명단!$K1240)=1)),"첫 건","중복 건")))</f>
        <v/>
      </c>
      <c r="J1241" s="11" t="str">
        <f aca="false">IF($A1241="","",IF($H1241="-","유지",IF($I1241="첫 건","유지","확인 필요")))</f>
        <v/>
      </c>
    </row>
    <row r="1242" customFormat="false" ht="15" hidden="false" customHeight="true" outlineLevel="0" collapsed="false">
      <c r="A1242" s="11" t="str">
        <f aca="false">IF(원본명단!$A1241="","",1239)</f>
        <v/>
      </c>
      <c r="B1242" s="12" t="str">
        <f aca="false">IF($A1242="","",원본명단!$A1241)</f>
        <v/>
      </c>
      <c r="C1242" s="12" t="str">
        <f aca="false">IF($A1242="","",원본명단!$B1241)</f>
        <v/>
      </c>
      <c r="D1242" s="12" t="str">
        <f aca="false">IF($A1242="","",원본명단!$D1241)</f>
        <v/>
      </c>
      <c r="E1242" s="11" t="str">
        <f aca="false">IF($A1242="","",IF(원본명단!$H1241="",0,COUNTIF(원본명단!$H$3:$H$6002,원본명단!$H1241)))</f>
        <v/>
      </c>
      <c r="F1242" s="11" t="str">
        <f aca="false">IF($A1242="","",IF(원본명단!$I1241="",0,COUNTIF(원본명단!$I$3:$I$6002,원본명단!$I1241)))</f>
        <v/>
      </c>
      <c r="G1242" s="11" t="str">
        <f aca="false">IF($A1242="","",IF(원본명단!$K1241="",0,COUNTIF(원본명단!$K$3:$K$6002,원본명단!$K1241)))</f>
        <v/>
      </c>
      <c r="H1242" s="11" t="str">
        <f aca="false">IF($A1242="","",IF(MAX($E1242,$F1242,$G1242)&gt;1,"중복","-"))</f>
        <v/>
      </c>
      <c r="I1242" s="11" t="str">
        <f aca="false">IF($A1242="","",IF($H1242="-","-",IF(AND(IF(원본명단!$H1241="",TRUE(),COUNTIF(원본명단!$H$3:$H1241,원본명단!$H1241)=1),IF(원본명단!$I1241="",TRUE(),COUNTIF(원본명단!$I$3:$I1241,원본명단!$I1241)=1),IF(원본명단!$K1241="",TRUE(),COUNTIF(원본명단!$K$3:$K1241,원본명단!$K1241)=1)),"첫 건","중복 건")))</f>
        <v/>
      </c>
      <c r="J1242" s="11" t="str">
        <f aca="false">IF($A1242="","",IF($H1242="-","유지",IF($I1242="첫 건","유지","확인 필요")))</f>
        <v/>
      </c>
    </row>
    <row r="1243" customFormat="false" ht="15" hidden="false" customHeight="true" outlineLevel="0" collapsed="false">
      <c r="A1243" s="11" t="str">
        <f aca="false">IF(원본명단!$A1242="","",1240)</f>
        <v/>
      </c>
      <c r="B1243" s="12" t="str">
        <f aca="false">IF($A1243="","",원본명단!$A1242)</f>
        <v/>
      </c>
      <c r="C1243" s="12" t="str">
        <f aca="false">IF($A1243="","",원본명단!$B1242)</f>
        <v/>
      </c>
      <c r="D1243" s="12" t="str">
        <f aca="false">IF($A1243="","",원본명단!$D1242)</f>
        <v/>
      </c>
      <c r="E1243" s="11" t="str">
        <f aca="false">IF($A1243="","",IF(원본명단!$H1242="",0,COUNTIF(원본명단!$H$3:$H$6002,원본명단!$H1242)))</f>
        <v/>
      </c>
      <c r="F1243" s="11" t="str">
        <f aca="false">IF($A1243="","",IF(원본명단!$I1242="",0,COUNTIF(원본명단!$I$3:$I$6002,원본명단!$I1242)))</f>
        <v/>
      </c>
      <c r="G1243" s="11" t="str">
        <f aca="false">IF($A1243="","",IF(원본명단!$K1242="",0,COUNTIF(원본명단!$K$3:$K$6002,원본명단!$K1242)))</f>
        <v/>
      </c>
      <c r="H1243" s="11" t="str">
        <f aca="false">IF($A1243="","",IF(MAX($E1243,$F1243,$G1243)&gt;1,"중복","-"))</f>
        <v/>
      </c>
      <c r="I1243" s="11" t="str">
        <f aca="false">IF($A1243="","",IF($H1243="-","-",IF(AND(IF(원본명단!$H1242="",TRUE(),COUNTIF(원본명단!$H$3:$H1242,원본명단!$H1242)=1),IF(원본명단!$I1242="",TRUE(),COUNTIF(원본명단!$I$3:$I1242,원본명단!$I1242)=1),IF(원본명단!$K1242="",TRUE(),COUNTIF(원본명단!$K$3:$K1242,원본명단!$K1242)=1)),"첫 건","중복 건")))</f>
        <v/>
      </c>
      <c r="J1243" s="11" t="str">
        <f aca="false">IF($A1243="","",IF($H1243="-","유지",IF($I1243="첫 건","유지","확인 필요")))</f>
        <v/>
      </c>
    </row>
    <row r="1244" customFormat="false" ht="15" hidden="false" customHeight="true" outlineLevel="0" collapsed="false">
      <c r="A1244" s="11" t="str">
        <f aca="false">IF(원본명단!$A1243="","",1241)</f>
        <v/>
      </c>
      <c r="B1244" s="12" t="str">
        <f aca="false">IF($A1244="","",원본명단!$A1243)</f>
        <v/>
      </c>
      <c r="C1244" s="12" t="str">
        <f aca="false">IF($A1244="","",원본명단!$B1243)</f>
        <v/>
      </c>
      <c r="D1244" s="12" t="str">
        <f aca="false">IF($A1244="","",원본명단!$D1243)</f>
        <v/>
      </c>
      <c r="E1244" s="11" t="str">
        <f aca="false">IF($A1244="","",IF(원본명단!$H1243="",0,COUNTIF(원본명단!$H$3:$H$6002,원본명단!$H1243)))</f>
        <v/>
      </c>
      <c r="F1244" s="11" t="str">
        <f aca="false">IF($A1244="","",IF(원본명단!$I1243="",0,COUNTIF(원본명단!$I$3:$I$6002,원본명단!$I1243)))</f>
        <v/>
      </c>
      <c r="G1244" s="11" t="str">
        <f aca="false">IF($A1244="","",IF(원본명단!$K1243="",0,COUNTIF(원본명단!$K$3:$K$6002,원본명단!$K1243)))</f>
        <v/>
      </c>
      <c r="H1244" s="11" t="str">
        <f aca="false">IF($A1244="","",IF(MAX($E1244,$F1244,$G1244)&gt;1,"중복","-"))</f>
        <v/>
      </c>
      <c r="I1244" s="11" t="str">
        <f aca="false">IF($A1244="","",IF($H1244="-","-",IF(AND(IF(원본명단!$H1243="",TRUE(),COUNTIF(원본명단!$H$3:$H1243,원본명단!$H1243)=1),IF(원본명단!$I1243="",TRUE(),COUNTIF(원본명단!$I$3:$I1243,원본명단!$I1243)=1),IF(원본명단!$K1243="",TRUE(),COUNTIF(원본명단!$K$3:$K1243,원본명단!$K1243)=1)),"첫 건","중복 건")))</f>
        <v/>
      </c>
      <c r="J1244" s="11" t="str">
        <f aca="false">IF($A1244="","",IF($H1244="-","유지",IF($I1244="첫 건","유지","확인 필요")))</f>
        <v/>
      </c>
    </row>
    <row r="1245" customFormat="false" ht="15" hidden="false" customHeight="true" outlineLevel="0" collapsed="false">
      <c r="A1245" s="11" t="str">
        <f aca="false">IF(원본명단!$A1244="","",1242)</f>
        <v/>
      </c>
      <c r="B1245" s="12" t="str">
        <f aca="false">IF($A1245="","",원본명단!$A1244)</f>
        <v/>
      </c>
      <c r="C1245" s="12" t="str">
        <f aca="false">IF($A1245="","",원본명단!$B1244)</f>
        <v/>
      </c>
      <c r="D1245" s="12" t="str">
        <f aca="false">IF($A1245="","",원본명단!$D1244)</f>
        <v/>
      </c>
      <c r="E1245" s="11" t="str">
        <f aca="false">IF($A1245="","",IF(원본명단!$H1244="",0,COUNTIF(원본명단!$H$3:$H$6002,원본명단!$H1244)))</f>
        <v/>
      </c>
      <c r="F1245" s="11" t="str">
        <f aca="false">IF($A1245="","",IF(원본명단!$I1244="",0,COUNTIF(원본명단!$I$3:$I$6002,원본명단!$I1244)))</f>
        <v/>
      </c>
      <c r="G1245" s="11" t="str">
        <f aca="false">IF($A1245="","",IF(원본명단!$K1244="",0,COUNTIF(원본명단!$K$3:$K$6002,원본명단!$K1244)))</f>
        <v/>
      </c>
      <c r="H1245" s="11" t="str">
        <f aca="false">IF($A1245="","",IF(MAX($E1245,$F1245,$G1245)&gt;1,"중복","-"))</f>
        <v/>
      </c>
      <c r="I1245" s="11" t="str">
        <f aca="false">IF($A1245="","",IF($H1245="-","-",IF(AND(IF(원본명단!$H1244="",TRUE(),COUNTIF(원본명단!$H$3:$H1244,원본명단!$H1244)=1),IF(원본명단!$I1244="",TRUE(),COUNTIF(원본명단!$I$3:$I1244,원본명단!$I1244)=1),IF(원본명단!$K1244="",TRUE(),COUNTIF(원본명단!$K$3:$K1244,원본명단!$K1244)=1)),"첫 건","중복 건")))</f>
        <v/>
      </c>
      <c r="J1245" s="11" t="str">
        <f aca="false">IF($A1245="","",IF($H1245="-","유지",IF($I1245="첫 건","유지","확인 필요")))</f>
        <v/>
      </c>
    </row>
    <row r="1246" customFormat="false" ht="15" hidden="false" customHeight="true" outlineLevel="0" collapsed="false">
      <c r="A1246" s="11" t="str">
        <f aca="false">IF(원본명단!$A1245="","",1243)</f>
        <v/>
      </c>
      <c r="B1246" s="12" t="str">
        <f aca="false">IF($A1246="","",원본명단!$A1245)</f>
        <v/>
      </c>
      <c r="C1246" s="12" t="str">
        <f aca="false">IF($A1246="","",원본명단!$B1245)</f>
        <v/>
      </c>
      <c r="D1246" s="12" t="str">
        <f aca="false">IF($A1246="","",원본명단!$D1245)</f>
        <v/>
      </c>
      <c r="E1246" s="11" t="str">
        <f aca="false">IF($A1246="","",IF(원본명단!$H1245="",0,COUNTIF(원본명단!$H$3:$H$6002,원본명단!$H1245)))</f>
        <v/>
      </c>
      <c r="F1246" s="11" t="str">
        <f aca="false">IF($A1246="","",IF(원본명단!$I1245="",0,COUNTIF(원본명단!$I$3:$I$6002,원본명단!$I1245)))</f>
        <v/>
      </c>
      <c r="G1246" s="11" t="str">
        <f aca="false">IF($A1246="","",IF(원본명단!$K1245="",0,COUNTIF(원본명단!$K$3:$K$6002,원본명단!$K1245)))</f>
        <v/>
      </c>
      <c r="H1246" s="11" t="str">
        <f aca="false">IF($A1246="","",IF(MAX($E1246,$F1246,$G1246)&gt;1,"중복","-"))</f>
        <v/>
      </c>
      <c r="I1246" s="11" t="str">
        <f aca="false">IF($A1246="","",IF($H1246="-","-",IF(AND(IF(원본명단!$H1245="",TRUE(),COUNTIF(원본명단!$H$3:$H1245,원본명단!$H1245)=1),IF(원본명단!$I1245="",TRUE(),COUNTIF(원본명단!$I$3:$I1245,원본명단!$I1245)=1),IF(원본명단!$K1245="",TRUE(),COUNTIF(원본명단!$K$3:$K1245,원본명단!$K1245)=1)),"첫 건","중복 건")))</f>
        <v/>
      </c>
      <c r="J1246" s="11" t="str">
        <f aca="false">IF($A1246="","",IF($H1246="-","유지",IF($I1246="첫 건","유지","확인 필요")))</f>
        <v/>
      </c>
    </row>
    <row r="1247" customFormat="false" ht="15" hidden="false" customHeight="true" outlineLevel="0" collapsed="false">
      <c r="A1247" s="11" t="str">
        <f aca="false">IF(원본명단!$A1246="","",1244)</f>
        <v/>
      </c>
      <c r="B1247" s="12" t="str">
        <f aca="false">IF($A1247="","",원본명단!$A1246)</f>
        <v/>
      </c>
      <c r="C1247" s="12" t="str">
        <f aca="false">IF($A1247="","",원본명단!$B1246)</f>
        <v/>
      </c>
      <c r="D1247" s="12" t="str">
        <f aca="false">IF($A1247="","",원본명단!$D1246)</f>
        <v/>
      </c>
      <c r="E1247" s="11" t="str">
        <f aca="false">IF($A1247="","",IF(원본명단!$H1246="",0,COUNTIF(원본명단!$H$3:$H$6002,원본명단!$H1246)))</f>
        <v/>
      </c>
      <c r="F1247" s="11" t="str">
        <f aca="false">IF($A1247="","",IF(원본명단!$I1246="",0,COUNTIF(원본명단!$I$3:$I$6002,원본명단!$I1246)))</f>
        <v/>
      </c>
      <c r="G1247" s="11" t="str">
        <f aca="false">IF($A1247="","",IF(원본명단!$K1246="",0,COUNTIF(원본명단!$K$3:$K$6002,원본명단!$K1246)))</f>
        <v/>
      </c>
      <c r="H1247" s="11" t="str">
        <f aca="false">IF($A1247="","",IF(MAX($E1247,$F1247,$G1247)&gt;1,"중복","-"))</f>
        <v/>
      </c>
      <c r="I1247" s="11" t="str">
        <f aca="false">IF($A1247="","",IF($H1247="-","-",IF(AND(IF(원본명단!$H1246="",TRUE(),COUNTIF(원본명단!$H$3:$H1246,원본명단!$H1246)=1),IF(원본명단!$I1246="",TRUE(),COUNTIF(원본명단!$I$3:$I1246,원본명단!$I1246)=1),IF(원본명단!$K1246="",TRUE(),COUNTIF(원본명단!$K$3:$K1246,원본명단!$K1246)=1)),"첫 건","중복 건")))</f>
        <v/>
      </c>
      <c r="J1247" s="11" t="str">
        <f aca="false">IF($A1247="","",IF($H1247="-","유지",IF($I1247="첫 건","유지","확인 필요")))</f>
        <v/>
      </c>
    </row>
    <row r="1248" customFormat="false" ht="15" hidden="false" customHeight="true" outlineLevel="0" collapsed="false">
      <c r="A1248" s="11" t="str">
        <f aca="false">IF(원본명단!$A1247="","",1245)</f>
        <v/>
      </c>
      <c r="B1248" s="12" t="str">
        <f aca="false">IF($A1248="","",원본명단!$A1247)</f>
        <v/>
      </c>
      <c r="C1248" s="12" t="str">
        <f aca="false">IF($A1248="","",원본명단!$B1247)</f>
        <v/>
      </c>
      <c r="D1248" s="12" t="str">
        <f aca="false">IF($A1248="","",원본명단!$D1247)</f>
        <v/>
      </c>
      <c r="E1248" s="11" t="str">
        <f aca="false">IF($A1248="","",IF(원본명단!$H1247="",0,COUNTIF(원본명단!$H$3:$H$6002,원본명단!$H1247)))</f>
        <v/>
      </c>
      <c r="F1248" s="11" t="str">
        <f aca="false">IF($A1248="","",IF(원본명단!$I1247="",0,COUNTIF(원본명단!$I$3:$I$6002,원본명단!$I1247)))</f>
        <v/>
      </c>
      <c r="G1248" s="11" t="str">
        <f aca="false">IF($A1248="","",IF(원본명단!$K1247="",0,COUNTIF(원본명단!$K$3:$K$6002,원본명단!$K1247)))</f>
        <v/>
      </c>
      <c r="H1248" s="11" t="str">
        <f aca="false">IF($A1248="","",IF(MAX($E1248,$F1248,$G1248)&gt;1,"중복","-"))</f>
        <v/>
      </c>
      <c r="I1248" s="11" t="str">
        <f aca="false">IF($A1248="","",IF($H1248="-","-",IF(AND(IF(원본명단!$H1247="",TRUE(),COUNTIF(원본명단!$H$3:$H1247,원본명단!$H1247)=1),IF(원본명단!$I1247="",TRUE(),COUNTIF(원본명단!$I$3:$I1247,원본명단!$I1247)=1),IF(원본명단!$K1247="",TRUE(),COUNTIF(원본명단!$K$3:$K1247,원본명단!$K1247)=1)),"첫 건","중복 건")))</f>
        <v/>
      </c>
      <c r="J1248" s="11" t="str">
        <f aca="false">IF($A1248="","",IF($H1248="-","유지",IF($I1248="첫 건","유지","확인 필요")))</f>
        <v/>
      </c>
    </row>
    <row r="1249" customFormat="false" ht="15" hidden="false" customHeight="true" outlineLevel="0" collapsed="false">
      <c r="A1249" s="11" t="str">
        <f aca="false">IF(원본명단!$A1248="","",1246)</f>
        <v/>
      </c>
      <c r="B1249" s="12" t="str">
        <f aca="false">IF($A1249="","",원본명단!$A1248)</f>
        <v/>
      </c>
      <c r="C1249" s="12" t="str">
        <f aca="false">IF($A1249="","",원본명단!$B1248)</f>
        <v/>
      </c>
      <c r="D1249" s="12" t="str">
        <f aca="false">IF($A1249="","",원본명단!$D1248)</f>
        <v/>
      </c>
      <c r="E1249" s="11" t="str">
        <f aca="false">IF($A1249="","",IF(원본명단!$H1248="",0,COUNTIF(원본명단!$H$3:$H$6002,원본명단!$H1248)))</f>
        <v/>
      </c>
      <c r="F1249" s="11" t="str">
        <f aca="false">IF($A1249="","",IF(원본명단!$I1248="",0,COUNTIF(원본명단!$I$3:$I$6002,원본명단!$I1248)))</f>
        <v/>
      </c>
      <c r="G1249" s="11" t="str">
        <f aca="false">IF($A1249="","",IF(원본명단!$K1248="",0,COUNTIF(원본명단!$K$3:$K$6002,원본명단!$K1248)))</f>
        <v/>
      </c>
      <c r="H1249" s="11" t="str">
        <f aca="false">IF($A1249="","",IF(MAX($E1249,$F1249,$G1249)&gt;1,"중복","-"))</f>
        <v/>
      </c>
      <c r="I1249" s="11" t="str">
        <f aca="false">IF($A1249="","",IF($H1249="-","-",IF(AND(IF(원본명단!$H1248="",TRUE(),COUNTIF(원본명단!$H$3:$H1248,원본명단!$H1248)=1),IF(원본명단!$I1248="",TRUE(),COUNTIF(원본명단!$I$3:$I1248,원본명단!$I1248)=1),IF(원본명단!$K1248="",TRUE(),COUNTIF(원본명단!$K$3:$K1248,원본명단!$K1248)=1)),"첫 건","중복 건")))</f>
        <v/>
      </c>
      <c r="J1249" s="11" t="str">
        <f aca="false">IF($A1249="","",IF($H1249="-","유지",IF($I1249="첫 건","유지","확인 필요")))</f>
        <v/>
      </c>
    </row>
    <row r="1250" customFormat="false" ht="15" hidden="false" customHeight="true" outlineLevel="0" collapsed="false">
      <c r="A1250" s="11" t="str">
        <f aca="false">IF(원본명단!$A1249="","",1247)</f>
        <v/>
      </c>
      <c r="B1250" s="12" t="str">
        <f aca="false">IF($A1250="","",원본명단!$A1249)</f>
        <v/>
      </c>
      <c r="C1250" s="12" t="str">
        <f aca="false">IF($A1250="","",원본명단!$B1249)</f>
        <v/>
      </c>
      <c r="D1250" s="12" t="str">
        <f aca="false">IF($A1250="","",원본명단!$D1249)</f>
        <v/>
      </c>
      <c r="E1250" s="11" t="str">
        <f aca="false">IF($A1250="","",IF(원본명단!$H1249="",0,COUNTIF(원본명단!$H$3:$H$6002,원본명단!$H1249)))</f>
        <v/>
      </c>
      <c r="F1250" s="11" t="str">
        <f aca="false">IF($A1250="","",IF(원본명단!$I1249="",0,COUNTIF(원본명단!$I$3:$I$6002,원본명단!$I1249)))</f>
        <v/>
      </c>
      <c r="G1250" s="11" t="str">
        <f aca="false">IF($A1250="","",IF(원본명단!$K1249="",0,COUNTIF(원본명단!$K$3:$K$6002,원본명단!$K1249)))</f>
        <v/>
      </c>
      <c r="H1250" s="11" t="str">
        <f aca="false">IF($A1250="","",IF(MAX($E1250,$F1250,$G1250)&gt;1,"중복","-"))</f>
        <v/>
      </c>
      <c r="I1250" s="11" t="str">
        <f aca="false">IF($A1250="","",IF($H1250="-","-",IF(AND(IF(원본명단!$H1249="",TRUE(),COUNTIF(원본명단!$H$3:$H1249,원본명단!$H1249)=1),IF(원본명단!$I1249="",TRUE(),COUNTIF(원본명단!$I$3:$I1249,원본명단!$I1249)=1),IF(원본명단!$K1249="",TRUE(),COUNTIF(원본명단!$K$3:$K1249,원본명단!$K1249)=1)),"첫 건","중복 건")))</f>
        <v/>
      </c>
      <c r="J1250" s="11" t="str">
        <f aca="false">IF($A1250="","",IF($H1250="-","유지",IF($I1250="첫 건","유지","확인 필요")))</f>
        <v/>
      </c>
    </row>
    <row r="1251" customFormat="false" ht="15" hidden="false" customHeight="true" outlineLevel="0" collapsed="false">
      <c r="A1251" s="11" t="str">
        <f aca="false">IF(원본명단!$A1250="","",1248)</f>
        <v/>
      </c>
      <c r="B1251" s="12" t="str">
        <f aca="false">IF($A1251="","",원본명단!$A1250)</f>
        <v/>
      </c>
      <c r="C1251" s="12" t="str">
        <f aca="false">IF($A1251="","",원본명단!$B1250)</f>
        <v/>
      </c>
      <c r="D1251" s="12" t="str">
        <f aca="false">IF($A1251="","",원본명단!$D1250)</f>
        <v/>
      </c>
      <c r="E1251" s="11" t="str">
        <f aca="false">IF($A1251="","",IF(원본명단!$H1250="",0,COUNTIF(원본명단!$H$3:$H$6002,원본명단!$H1250)))</f>
        <v/>
      </c>
      <c r="F1251" s="11" t="str">
        <f aca="false">IF($A1251="","",IF(원본명단!$I1250="",0,COUNTIF(원본명단!$I$3:$I$6002,원본명단!$I1250)))</f>
        <v/>
      </c>
      <c r="G1251" s="11" t="str">
        <f aca="false">IF($A1251="","",IF(원본명단!$K1250="",0,COUNTIF(원본명단!$K$3:$K$6002,원본명단!$K1250)))</f>
        <v/>
      </c>
      <c r="H1251" s="11" t="str">
        <f aca="false">IF($A1251="","",IF(MAX($E1251,$F1251,$G1251)&gt;1,"중복","-"))</f>
        <v/>
      </c>
      <c r="I1251" s="11" t="str">
        <f aca="false">IF($A1251="","",IF($H1251="-","-",IF(AND(IF(원본명단!$H1250="",TRUE(),COUNTIF(원본명단!$H$3:$H1250,원본명단!$H1250)=1),IF(원본명단!$I1250="",TRUE(),COUNTIF(원본명단!$I$3:$I1250,원본명단!$I1250)=1),IF(원본명단!$K1250="",TRUE(),COUNTIF(원본명단!$K$3:$K1250,원본명단!$K1250)=1)),"첫 건","중복 건")))</f>
        <v/>
      </c>
      <c r="J1251" s="11" t="str">
        <f aca="false">IF($A1251="","",IF($H1251="-","유지",IF($I1251="첫 건","유지","확인 필요")))</f>
        <v/>
      </c>
    </row>
    <row r="1252" customFormat="false" ht="15" hidden="false" customHeight="true" outlineLevel="0" collapsed="false">
      <c r="A1252" s="11" t="str">
        <f aca="false">IF(원본명단!$A1251="","",1249)</f>
        <v/>
      </c>
      <c r="B1252" s="12" t="str">
        <f aca="false">IF($A1252="","",원본명단!$A1251)</f>
        <v/>
      </c>
      <c r="C1252" s="12" t="str">
        <f aca="false">IF($A1252="","",원본명단!$B1251)</f>
        <v/>
      </c>
      <c r="D1252" s="12" t="str">
        <f aca="false">IF($A1252="","",원본명단!$D1251)</f>
        <v/>
      </c>
      <c r="E1252" s="11" t="str">
        <f aca="false">IF($A1252="","",IF(원본명단!$H1251="",0,COUNTIF(원본명단!$H$3:$H$6002,원본명단!$H1251)))</f>
        <v/>
      </c>
      <c r="F1252" s="11" t="str">
        <f aca="false">IF($A1252="","",IF(원본명단!$I1251="",0,COUNTIF(원본명단!$I$3:$I$6002,원본명단!$I1251)))</f>
        <v/>
      </c>
      <c r="G1252" s="11" t="str">
        <f aca="false">IF($A1252="","",IF(원본명단!$K1251="",0,COUNTIF(원본명단!$K$3:$K$6002,원본명단!$K1251)))</f>
        <v/>
      </c>
      <c r="H1252" s="11" t="str">
        <f aca="false">IF($A1252="","",IF(MAX($E1252,$F1252,$G1252)&gt;1,"중복","-"))</f>
        <v/>
      </c>
      <c r="I1252" s="11" t="str">
        <f aca="false">IF($A1252="","",IF($H1252="-","-",IF(AND(IF(원본명단!$H1251="",TRUE(),COUNTIF(원본명단!$H$3:$H1251,원본명단!$H1251)=1),IF(원본명단!$I1251="",TRUE(),COUNTIF(원본명단!$I$3:$I1251,원본명단!$I1251)=1),IF(원본명단!$K1251="",TRUE(),COUNTIF(원본명단!$K$3:$K1251,원본명단!$K1251)=1)),"첫 건","중복 건")))</f>
        <v/>
      </c>
      <c r="J1252" s="11" t="str">
        <f aca="false">IF($A1252="","",IF($H1252="-","유지",IF($I1252="첫 건","유지","확인 필요")))</f>
        <v/>
      </c>
    </row>
    <row r="1253" customFormat="false" ht="15" hidden="false" customHeight="true" outlineLevel="0" collapsed="false">
      <c r="A1253" s="11" t="str">
        <f aca="false">IF(원본명단!$A1252="","",1250)</f>
        <v/>
      </c>
      <c r="B1253" s="12" t="str">
        <f aca="false">IF($A1253="","",원본명단!$A1252)</f>
        <v/>
      </c>
      <c r="C1253" s="12" t="str">
        <f aca="false">IF($A1253="","",원본명단!$B1252)</f>
        <v/>
      </c>
      <c r="D1253" s="12" t="str">
        <f aca="false">IF($A1253="","",원본명단!$D1252)</f>
        <v/>
      </c>
      <c r="E1253" s="11" t="str">
        <f aca="false">IF($A1253="","",IF(원본명단!$H1252="",0,COUNTIF(원본명단!$H$3:$H$6002,원본명단!$H1252)))</f>
        <v/>
      </c>
      <c r="F1253" s="11" t="str">
        <f aca="false">IF($A1253="","",IF(원본명단!$I1252="",0,COUNTIF(원본명단!$I$3:$I$6002,원본명단!$I1252)))</f>
        <v/>
      </c>
      <c r="G1253" s="11" t="str">
        <f aca="false">IF($A1253="","",IF(원본명단!$K1252="",0,COUNTIF(원본명단!$K$3:$K$6002,원본명단!$K1252)))</f>
        <v/>
      </c>
      <c r="H1253" s="11" t="str">
        <f aca="false">IF($A1253="","",IF(MAX($E1253,$F1253,$G1253)&gt;1,"중복","-"))</f>
        <v/>
      </c>
      <c r="I1253" s="11" t="str">
        <f aca="false">IF($A1253="","",IF($H1253="-","-",IF(AND(IF(원본명단!$H1252="",TRUE(),COUNTIF(원본명단!$H$3:$H1252,원본명단!$H1252)=1),IF(원본명단!$I1252="",TRUE(),COUNTIF(원본명단!$I$3:$I1252,원본명단!$I1252)=1),IF(원본명단!$K1252="",TRUE(),COUNTIF(원본명단!$K$3:$K1252,원본명단!$K1252)=1)),"첫 건","중복 건")))</f>
        <v/>
      </c>
      <c r="J1253" s="11" t="str">
        <f aca="false">IF($A1253="","",IF($H1253="-","유지",IF($I1253="첫 건","유지","확인 필요")))</f>
        <v/>
      </c>
    </row>
    <row r="1254" customFormat="false" ht="15" hidden="false" customHeight="true" outlineLevel="0" collapsed="false">
      <c r="A1254" s="11" t="str">
        <f aca="false">IF(원본명단!$A1253="","",1251)</f>
        <v/>
      </c>
      <c r="B1254" s="12" t="str">
        <f aca="false">IF($A1254="","",원본명단!$A1253)</f>
        <v/>
      </c>
      <c r="C1254" s="12" t="str">
        <f aca="false">IF($A1254="","",원본명단!$B1253)</f>
        <v/>
      </c>
      <c r="D1254" s="12" t="str">
        <f aca="false">IF($A1254="","",원본명단!$D1253)</f>
        <v/>
      </c>
      <c r="E1254" s="11" t="str">
        <f aca="false">IF($A1254="","",IF(원본명단!$H1253="",0,COUNTIF(원본명단!$H$3:$H$6002,원본명단!$H1253)))</f>
        <v/>
      </c>
      <c r="F1254" s="11" t="str">
        <f aca="false">IF($A1254="","",IF(원본명단!$I1253="",0,COUNTIF(원본명단!$I$3:$I$6002,원본명단!$I1253)))</f>
        <v/>
      </c>
      <c r="G1254" s="11" t="str">
        <f aca="false">IF($A1254="","",IF(원본명단!$K1253="",0,COUNTIF(원본명단!$K$3:$K$6002,원본명단!$K1253)))</f>
        <v/>
      </c>
      <c r="H1254" s="11" t="str">
        <f aca="false">IF($A1254="","",IF(MAX($E1254,$F1254,$G1254)&gt;1,"중복","-"))</f>
        <v/>
      </c>
      <c r="I1254" s="11" t="str">
        <f aca="false">IF($A1254="","",IF($H1254="-","-",IF(AND(IF(원본명단!$H1253="",TRUE(),COUNTIF(원본명단!$H$3:$H1253,원본명단!$H1253)=1),IF(원본명단!$I1253="",TRUE(),COUNTIF(원본명단!$I$3:$I1253,원본명단!$I1253)=1),IF(원본명단!$K1253="",TRUE(),COUNTIF(원본명단!$K$3:$K1253,원본명단!$K1253)=1)),"첫 건","중복 건")))</f>
        <v/>
      </c>
      <c r="J1254" s="11" t="str">
        <f aca="false">IF($A1254="","",IF($H1254="-","유지",IF($I1254="첫 건","유지","확인 필요")))</f>
        <v/>
      </c>
    </row>
    <row r="1255" customFormat="false" ht="15" hidden="false" customHeight="true" outlineLevel="0" collapsed="false">
      <c r="A1255" s="11" t="str">
        <f aca="false">IF(원본명단!$A1254="","",1252)</f>
        <v/>
      </c>
      <c r="B1255" s="12" t="str">
        <f aca="false">IF($A1255="","",원본명단!$A1254)</f>
        <v/>
      </c>
      <c r="C1255" s="12" t="str">
        <f aca="false">IF($A1255="","",원본명단!$B1254)</f>
        <v/>
      </c>
      <c r="D1255" s="12" t="str">
        <f aca="false">IF($A1255="","",원본명단!$D1254)</f>
        <v/>
      </c>
      <c r="E1255" s="11" t="str">
        <f aca="false">IF($A1255="","",IF(원본명단!$H1254="",0,COUNTIF(원본명단!$H$3:$H$6002,원본명단!$H1254)))</f>
        <v/>
      </c>
      <c r="F1255" s="11" t="str">
        <f aca="false">IF($A1255="","",IF(원본명단!$I1254="",0,COUNTIF(원본명단!$I$3:$I$6002,원본명단!$I1254)))</f>
        <v/>
      </c>
      <c r="G1255" s="11" t="str">
        <f aca="false">IF($A1255="","",IF(원본명단!$K1254="",0,COUNTIF(원본명단!$K$3:$K$6002,원본명단!$K1254)))</f>
        <v/>
      </c>
      <c r="H1255" s="11" t="str">
        <f aca="false">IF($A1255="","",IF(MAX($E1255,$F1255,$G1255)&gt;1,"중복","-"))</f>
        <v/>
      </c>
      <c r="I1255" s="11" t="str">
        <f aca="false">IF($A1255="","",IF($H1255="-","-",IF(AND(IF(원본명단!$H1254="",TRUE(),COUNTIF(원본명단!$H$3:$H1254,원본명단!$H1254)=1),IF(원본명단!$I1254="",TRUE(),COUNTIF(원본명단!$I$3:$I1254,원본명단!$I1254)=1),IF(원본명단!$K1254="",TRUE(),COUNTIF(원본명단!$K$3:$K1254,원본명단!$K1254)=1)),"첫 건","중복 건")))</f>
        <v/>
      </c>
      <c r="J1255" s="11" t="str">
        <f aca="false">IF($A1255="","",IF($H1255="-","유지",IF($I1255="첫 건","유지","확인 필요")))</f>
        <v/>
      </c>
    </row>
    <row r="1256" customFormat="false" ht="15" hidden="false" customHeight="true" outlineLevel="0" collapsed="false">
      <c r="A1256" s="11" t="str">
        <f aca="false">IF(원본명단!$A1255="","",1253)</f>
        <v/>
      </c>
      <c r="B1256" s="12" t="str">
        <f aca="false">IF($A1256="","",원본명단!$A1255)</f>
        <v/>
      </c>
      <c r="C1256" s="12" t="str">
        <f aca="false">IF($A1256="","",원본명단!$B1255)</f>
        <v/>
      </c>
      <c r="D1256" s="12" t="str">
        <f aca="false">IF($A1256="","",원본명단!$D1255)</f>
        <v/>
      </c>
      <c r="E1256" s="11" t="str">
        <f aca="false">IF($A1256="","",IF(원본명단!$H1255="",0,COUNTIF(원본명단!$H$3:$H$6002,원본명단!$H1255)))</f>
        <v/>
      </c>
      <c r="F1256" s="11" t="str">
        <f aca="false">IF($A1256="","",IF(원본명단!$I1255="",0,COUNTIF(원본명단!$I$3:$I$6002,원본명단!$I1255)))</f>
        <v/>
      </c>
      <c r="G1256" s="11" t="str">
        <f aca="false">IF($A1256="","",IF(원본명단!$K1255="",0,COUNTIF(원본명단!$K$3:$K$6002,원본명단!$K1255)))</f>
        <v/>
      </c>
      <c r="H1256" s="11" t="str">
        <f aca="false">IF($A1256="","",IF(MAX($E1256,$F1256,$G1256)&gt;1,"중복","-"))</f>
        <v/>
      </c>
      <c r="I1256" s="11" t="str">
        <f aca="false">IF($A1256="","",IF($H1256="-","-",IF(AND(IF(원본명단!$H1255="",TRUE(),COUNTIF(원본명단!$H$3:$H1255,원본명단!$H1255)=1),IF(원본명단!$I1255="",TRUE(),COUNTIF(원본명단!$I$3:$I1255,원본명단!$I1255)=1),IF(원본명단!$K1255="",TRUE(),COUNTIF(원본명단!$K$3:$K1255,원본명단!$K1255)=1)),"첫 건","중복 건")))</f>
        <v/>
      </c>
      <c r="J1256" s="11" t="str">
        <f aca="false">IF($A1256="","",IF($H1256="-","유지",IF($I1256="첫 건","유지","확인 필요")))</f>
        <v/>
      </c>
    </row>
    <row r="1257" customFormat="false" ht="15" hidden="false" customHeight="true" outlineLevel="0" collapsed="false">
      <c r="A1257" s="11" t="str">
        <f aca="false">IF(원본명단!$A1256="","",1254)</f>
        <v/>
      </c>
      <c r="B1257" s="12" t="str">
        <f aca="false">IF($A1257="","",원본명단!$A1256)</f>
        <v/>
      </c>
      <c r="C1257" s="12" t="str">
        <f aca="false">IF($A1257="","",원본명단!$B1256)</f>
        <v/>
      </c>
      <c r="D1257" s="12" t="str">
        <f aca="false">IF($A1257="","",원본명단!$D1256)</f>
        <v/>
      </c>
      <c r="E1257" s="11" t="str">
        <f aca="false">IF($A1257="","",IF(원본명단!$H1256="",0,COUNTIF(원본명단!$H$3:$H$6002,원본명단!$H1256)))</f>
        <v/>
      </c>
      <c r="F1257" s="11" t="str">
        <f aca="false">IF($A1257="","",IF(원본명단!$I1256="",0,COUNTIF(원본명단!$I$3:$I$6002,원본명단!$I1256)))</f>
        <v/>
      </c>
      <c r="G1257" s="11" t="str">
        <f aca="false">IF($A1257="","",IF(원본명단!$K1256="",0,COUNTIF(원본명단!$K$3:$K$6002,원본명단!$K1256)))</f>
        <v/>
      </c>
      <c r="H1257" s="11" t="str">
        <f aca="false">IF($A1257="","",IF(MAX($E1257,$F1257,$G1257)&gt;1,"중복","-"))</f>
        <v/>
      </c>
      <c r="I1257" s="11" t="str">
        <f aca="false">IF($A1257="","",IF($H1257="-","-",IF(AND(IF(원본명단!$H1256="",TRUE(),COUNTIF(원본명단!$H$3:$H1256,원본명단!$H1256)=1),IF(원본명단!$I1256="",TRUE(),COUNTIF(원본명단!$I$3:$I1256,원본명단!$I1256)=1),IF(원본명단!$K1256="",TRUE(),COUNTIF(원본명단!$K$3:$K1256,원본명단!$K1256)=1)),"첫 건","중복 건")))</f>
        <v/>
      </c>
      <c r="J1257" s="11" t="str">
        <f aca="false">IF($A1257="","",IF($H1257="-","유지",IF($I1257="첫 건","유지","확인 필요")))</f>
        <v/>
      </c>
    </row>
    <row r="1258" customFormat="false" ht="15" hidden="false" customHeight="true" outlineLevel="0" collapsed="false">
      <c r="A1258" s="11" t="str">
        <f aca="false">IF(원본명단!$A1257="","",1255)</f>
        <v/>
      </c>
      <c r="B1258" s="12" t="str">
        <f aca="false">IF($A1258="","",원본명단!$A1257)</f>
        <v/>
      </c>
      <c r="C1258" s="12" t="str">
        <f aca="false">IF($A1258="","",원본명단!$B1257)</f>
        <v/>
      </c>
      <c r="D1258" s="12" t="str">
        <f aca="false">IF($A1258="","",원본명단!$D1257)</f>
        <v/>
      </c>
      <c r="E1258" s="11" t="str">
        <f aca="false">IF($A1258="","",IF(원본명단!$H1257="",0,COUNTIF(원본명단!$H$3:$H$6002,원본명단!$H1257)))</f>
        <v/>
      </c>
      <c r="F1258" s="11" t="str">
        <f aca="false">IF($A1258="","",IF(원본명단!$I1257="",0,COUNTIF(원본명단!$I$3:$I$6002,원본명단!$I1257)))</f>
        <v/>
      </c>
      <c r="G1258" s="11" t="str">
        <f aca="false">IF($A1258="","",IF(원본명단!$K1257="",0,COUNTIF(원본명단!$K$3:$K$6002,원본명단!$K1257)))</f>
        <v/>
      </c>
      <c r="H1258" s="11" t="str">
        <f aca="false">IF($A1258="","",IF(MAX($E1258,$F1258,$G1258)&gt;1,"중복","-"))</f>
        <v/>
      </c>
      <c r="I1258" s="11" t="str">
        <f aca="false">IF($A1258="","",IF($H1258="-","-",IF(AND(IF(원본명단!$H1257="",TRUE(),COUNTIF(원본명단!$H$3:$H1257,원본명단!$H1257)=1),IF(원본명단!$I1257="",TRUE(),COUNTIF(원본명단!$I$3:$I1257,원본명단!$I1257)=1),IF(원본명단!$K1257="",TRUE(),COUNTIF(원본명단!$K$3:$K1257,원본명단!$K1257)=1)),"첫 건","중복 건")))</f>
        <v/>
      </c>
      <c r="J1258" s="11" t="str">
        <f aca="false">IF($A1258="","",IF($H1258="-","유지",IF($I1258="첫 건","유지","확인 필요")))</f>
        <v/>
      </c>
    </row>
    <row r="1259" customFormat="false" ht="15" hidden="false" customHeight="true" outlineLevel="0" collapsed="false">
      <c r="A1259" s="11" t="str">
        <f aca="false">IF(원본명단!$A1258="","",1256)</f>
        <v/>
      </c>
      <c r="B1259" s="12" t="str">
        <f aca="false">IF($A1259="","",원본명단!$A1258)</f>
        <v/>
      </c>
      <c r="C1259" s="12" t="str">
        <f aca="false">IF($A1259="","",원본명단!$B1258)</f>
        <v/>
      </c>
      <c r="D1259" s="12" t="str">
        <f aca="false">IF($A1259="","",원본명단!$D1258)</f>
        <v/>
      </c>
      <c r="E1259" s="11" t="str">
        <f aca="false">IF($A1259="","",IF(원본명단!$H1258="",0,COUNTIF(원본명단!$H$3:$H$6002,원본명단!$H1258)))</f>
        <v/>
      </c>
      <c r="F1259" s="11" t="str">
        <f aca="false">IF($A1259="","",IF(원본명단!$I1258="",0,COUNTIF(원본명단!$I$3:$I$6002,원본명단!$I1258)))</f>
        <v/>
      </c>
      <c r="G1259" s="11" t="str">
        <f aca="false">IF($A1259="","",IF(원본명단!$K1258="",0,COUNTIF(원본명단!$K$3:$K$6002,원본명단!$K1258)))</f>
        <v/>
      </c>
      <c r="H1259" s="11" t="str">
        <f aca="false">IF($A1259="","",IF(MAX($E1259,$F1259,$G1259)&gt;1,"중복","-"))</f>
        <v/>
      </c>
      <c r="I1259" s="11" t="str">
        <f aca="false">IF($A1259="","",IF($H1259="-","-",IF(AND(IF(원본명단!$H1258="",TRUE(),COUNTIF(원본명단!$H$3:$H1258,원본명단!$H1258)=1),IF(원본명단!$I1258="",TRUE(),COUNTIF(원본명단!$I$3:$I1258,원본명단!$I1258)=1),IF(원본명단!$K1258="",TRUE(),COUNTIF(원본명단!$K$3:$K1258,원본명단!$K1258)=1)),"첫 건","중복 건")))</f>
        <v/>
      </c>
      <c r="J1259" s="11" t="str">
        <f aca="false">IF($A1259="","",IF($H1259="-","유지",IF($I1259="첫 건","유지","확인 필요")))</f>
        <v/>
      </c>
    </row>
    <row r="1260" customFormat="false" ht="15" hidden="false" customHeight="true" outlineLevel="0" collapsed="false">
      <c r="A1260" s="11" t="str">
        <f aca="false">IF(원본명단!$A1259="","",1257)</f>
        <v/>
      </c>
      <c r="B1260" s="12" t="str">
        <f aca="false">IF($A1260="","",원본명단!$A1259)</f>
        <v/>
      </c>
      <c r="C1260" s="12" t="str">
        <f aca="false">IF($A1260="","",원본명단!$B1259)</f>
        <v/>
      </c>
      <c r="D1260" s="12" t="str">
        <f aca="false">IF($A1260="","",원본명단!$D1259)</f>
        <v/>
      </c>
      <c r="E1260" s="11" t="str">
        <f aca="false">IF($A1260="","",IF(원본명단!$H1259="",0,COUNTIF(원본명단!$H$3:$H$6002,원본명단!$H1259)))</f>
        <v/>
      </c>
      <c r="F1260" s="11" t="str">
        <f aca="false">IF($A1260="","",IF(원본명단!$I1259="",0,COUNTIF(원본명단!$I$3:$I$6002,원본명단!$I1259)))</f>
        <v/>
      </c>
      <c r="G1260" s="11" t="str">
        <f aca="false">IF($A1260="","",IF(원본명단!$K1259="",0,COUNTIF(원본명단!$K$3:$K$6002,원본명단!$K1259)))</f>
        <v/>
      </c>
      <c r="H1260" s="11" t="str">
        <f aca="false">IF($A1260="","",IF(MAX($E1260,$F1260,$G1260)&gt;1,"중복","-"))</f>
        <v/>
      </c>
      <c r="I1260" s="11" t="str">
        <f aca="false">IF($A1260="","",IF($H1260="-","-",IF(AND(IF(원본명단!$H1259="",TRUE(),COUNTIF(원본명단!$H$3:$H1259,원본명단!$H1259)=1),IF(원본명단!$I1259="",TRUE(),COUNTIF(원본명단!$I$3:$I1259,원본명단!$I1259)=1),IF(원본명단!$K1259="",TRUE(),COUNTIF(원본명단!$K$3:$K1259,원본명단!$K1259)=1)),"첫 건","중복 건")))</f>
        <v/>
      </c>
      <c r="J1260" s="11" t="str">
        <f aca="false">IF($A1260="","",IF($H1260="-","유지",IF($I1260="첫 건","유지","확인 필요")))</f>
        <v/>
      </c>
    </row>
    <row r="1261" customFormat="false" ht="15" hidden="false" customHeight="true" outlineLevel="0" collapsed="false">
      <c r="A1261" s="11" t="str">
        <f aca="false">IF(원본명단!$A1260="","",1258)</f>
        <v/>
      </c>
      <c r="B1261" s="12" t="str">
        <f aca="false">IF($A1261="","",원본명단!$A1260)</f>
        <v/>
      </c>
      <c r="C1261" s="12" t="str">
        <f aca="false">IF($A1261="","",원본명단!$B1260)</f>
        <v/>
      </c>
      <c r="D1261" s="12" t="str">
        <f aca="false">IF($A1261="","",원본명단!$D1260)</f>
        <v/>
      </c>
      <c r="E1261" s="11" t="str">
        <f aca="false">IF($A1261="","",IF(원본명단!$H1260="",0,COUNTIF(원본명단!$H$3:$H$6002,원본명단!$H1260)))</f>
        <v/>
      </c>
      <c r="F1261" s="11" t="str">
        <f aca="false">IF($A1261="","",IF(원본명단!$I1260="",0,COUNTIF(원본명단!$I$3:$I$6002,원본명단!$I1260)))</f>
        <v/>
      </c>
      <c r="G1261" s="11" t="str">
        <f aca="false">IF($A1261="","",IF(원본명단!$K1260="",0,COUNTIF(원본명단!$K$3:$K$6002,원본명단!$K1260)))</f>
        <v/>
      </c>
      <c r="H1261" s="11" t="str">
        <f aca="false">IF($A1261="","",IF(MAX($E1261,$F1261,$G1261)&gt;1,"중복","-"))</f>
        <v/>
      </c>
      <c r="I1261" s="11" t="str">
        <f aca="false">IF($A1261="","",IF($H1261="-","-",IF(AND(IF(원본명단!$H1260="",TRUE(),COUNTIF(원본명단!$H$3:$H1260,원본명단!$H1260)=1),IF(원본명단!$I1260="",TRUE(),COUNTIF(원본명단!$I$3:$I1260,원본명단!$I1260)=1),IF(원본명단!$K1260="",TRUE(),COUNTIF(원본명단!$K$3:$K1260,원본명단!$K1260)=1)),"첫 건","중복 건")))</f>
        <v/>
      </c>
      <c r="J1261" s="11" t="str">
        <f aca="false">IF($A1261="","",IF($H1261="-","유지",IF($I1261="첫 건","유지","확인 필요")))</f>
        <v/>
      </c>
    </row>
    <row r="1262" customFormat="false" ht="15" hidden="false" customHeight="true" outlineLevel="0" collapsed="false">
      <c r="A1262" s="11" t="str">
        <f aca="false">IF(원본명단!$A1261="","",1259)</f>
        <v/>
      </c>
      <c r="B1262" s="12" t="str">
        <f aca="false">IF($A1262="","",원본명단!$A1261)</f>
        <v/>
      </c>
      <c r="C1262" s="12" t="str">
        <f aca="false">IF($A1262="","",원본명단!$B1261)</f>
        <v/>
      </c>
      <c r="D1262" s="12" t="str">
        <f aca="false">IF($A1262="","",원본명단!$D1261)</f>
        <v/>
      </c>
      <c r="E1262" s="11" t="str">
        <f aca="false">IF($A1262="","",IF(원본명단!$H1261="",0,COUNTIF(원본명단!$H$3:$H$6002,원본명단!$H1261)))</f>
        <v/>
      </c>
      <c r="F1262" s="11" t="str">
        <f aca="false">IF($A1262="","",IF(원본명단!$I1261="",0,COUNTIF(원본명단!$I$3:$I$6002,원본명단!$I1261)))</f>
        <v/>
      </c>
      <c r="G1262" s="11" t="str">
        <f aca="false">IF($A1262="","",IF(원본명단!$K1261="",0,COUNTIF(원본명단!$K$3:$K$6002,원본명단!$K1261)))</f>
        <v/>
      </c>
      <c r="H1262" s="11" t="str">
        <f aca="false">IF($A1262="","",IF(MAX($E1262,$F1262,$G1262)&gt;1,"중복","-"))</f>
        <v/>
      </c>
      <c r="I1262" s="11" t="str">
        <f aca="false">IF($A1262="","",IF($H1262="-","-",IF(AND(IF(원본명단!$H1261="",TRUE(),COUNTIF(원본명단!$H$3:$H1261,원본명단!$H1261)=1),IF(원본명단!$I1261="",TRUE(),COUNTIF(원본명단!$I$3:$I1261,원본명단!$I1261)=1),IF(원본명단!$K1261="",TRUE(),COUNTIF(원본명단!$K$3:$K1261,원본명단!$K1261)=1)),"첫 건","중복 건")))</f>
        <v/>
      </c>
      <c r="J1262" s="11" t="str">
        <f aca="false">IF($A1262="","",IF($H1262="-","유지",IF($I1262="첫 건","유지","확인 필요")))</f>
        <v/>
      </c>
    </row>
    <row r="1263" customFormat="false" ht="15" hidden="false" customHeight="true" outlineLevel="0" collapsed="false">
      <c r="A1263" s="11" t="str">
        <f aca="false">IF(원본명단!$A1262="","",1260)</f>
        <v/>
      </c>
      <c r="B1263" s="12" t="str">
        <f aca="false">IF($A1263="","",원본명단!$A1262)</f>
        <v/>
      </c>
      <c r="C1263" s="12" t="str">
        <f aca="false">IF($A1263="","",원본명단!$B1262)</f>
        <v/>
      </c>
      <c r="D1263" s="12" t="str">
        <f aca="false">IF($A1263="","",원본명단!$D1262)</f>
        <v/>
      </c>
      <c r="E1263" s="11" t="str">
        <f aca="false">IF($A1263="","",IF(원본명단!$H1262="",0,COUNTIF(원본명단!$H$3:$H$6002,원본명단!$H1262)))</f>
        <v/>
      </c>
      <c r="F1263" s="11" t="str">
        <f aca="false">IF($A1263="","",IF(원본명단!$I1262="",0,COUNTIF(원본명단!$I$3:$I$6002,원본명단!$I1262)))</f>
        <v/>
      </c>
      <c r="G1263" s="11" t="str">
        <f aca="false">IF($A1263="","",IF(원본명단!$K1262="",0,COUNTIF(원본명단!$K$3:$K$6002,원본명단!$K1262)))</f>
        <v/>
      </c>
      <c r="H1263" s="11" t="str">
        <f aca="false">IF($A1263="","",IF(MAX($E1263,$F1263,$G1263)&gt;1,"중복","-"))</f>
        <v/>
      </c>
      <c r="I1263" s="11" t="str">
        <f aca="false">IF($A1263="","",IF($H1263="-","-",IF(AND(IF(원본명단!$H1262="",TRUE(),COUNTIF(원본명단!$H$3:$H1262,원본명단!$H1262)=1),IF(원본명단!$I1262="",TRUE(),COUNTIF(원본명단!$I$3:$I1262,원본명단!$I1262)=1),IF(원본명단!$K1262="",TRUE(),COUNTIF(원본명단!$K$3:$K1262,원본명단!$K1262)=1)),"첫 건","중복 건")))</f>
        <v/>
      </c>
      <c r="J1263" s="11" t="str">
        <f aca="false">IF($A1263="","",IF($H1263="-","유지",IF($I1263="첫 건","유지","확인 필요")))</f>
        <v/>
      </c>
    </row>
    <row r="1264" customFormat="false" ht="15" hidden="false" customHeight="true" outlineLevel="0" collapsed="false">
      <c r="A1264" s="11" t="str">
        <f aca="false">IF(원본명단!$A1263="","",1261)</f>
        <v/>
      </c>
      <c r="B1264" s="12" t="str">
        <f aca="false">IF($A1264="","",원본명단!$A1263)</f>
        <v/>
      </c>
      <c r="C1264" s="12" t="str">
        <f aca="false">IF($A1264="","",원본명단!$B1263)</f>
        <v/>
      </c>
      <c r="D1264" s="12" t="str">
        <f aca="false">IF($A1264="","",원본명단!$D1263)</f>
        <v/>
      </c>
      <c r="E1264" s="11" t="str">
        <f aca="false">IF($A1264="","",IF(원본명단!$H1263="",0,COUNTIF(원본명단!$H$3:$H$6002,원본명단!$H1263)))</f>
        <v/>
      </c>
      <c r="F1264" s="11" t="str">
        <f aca="false">IF($A1264="","",IF(원본명단!$I1263="",0,COUNTIF(원본명단!$I$3:$I$6002,원본명단!$I1263)))</f>
        <v/>
      </c>
      <c r="G1264" s="11" t="str">
        <f aca="false">IF($A1264="","",IF(원본명단!$K1263="",0,COUNTIF(원본명단!$K$3:$K$6002,원본명단!$K1263)))</f>
        <v/>
      </c>
      <c r="H1264" s="11" t="str">
        <f aca="false">IF($A1264="","",IF(MAX($E1264,$F1264,$G1264)&gt;1,"중복","-"))</f>
        <v/>
      </c>
      <c r="I1264" s="11" t="str">
        <f aca="false">IF($A1264="","",IF($H1264="-","-",IF(AND(IF(원본명단!$H1263="",TRUE(),COUNTIF(원본명단!$H$3:$H1263,원본명단!$H1263)=1),IF(원본명단!$I1263="",TRUE(),COUNTIF(원본명단!$I$3:$I1263,원본명단!$I1263)=1),IF(원본명단!$K1263="",TRUE(),COUNTIF(원본명단!$K$3:$K1263,원본명단!$K1263)=1)),"첫 건","중복 건")))</f>
        <v/>
      </c>
      <c r="J1264" s="11" t="str">
        <f aca="false">IF($A1264="","",IF($H1264="-","유지",IF($I1264="첫 건","유지","확인 필요")))</f>
        <v/>
      </c>
    </row>
    <row r="1265" customFormat="false" ht="15" hidden="false" customHeight="true" outlineLevel="0" collapsed="false">
      <c r="A1265" s="11" t="str">
        <f aca="false">IF(원본명단!$A1264="","",1262)</f>
        <v/>
      </c>
      <c r="B1265" s="12" t="str">
        <f aca="false">IF($A1265="","",원본명단!$A1264)</f>
        <v/>
      </c>
      <c r="C1265" s="12" t="str">
        <f aca="false">IF($A1265="","",원본명단!$B1264)</f>
        <v/>
      </c>
      <c r="D1265" s="12" t="str">
        <f aca="false">IF($A1265="","",원본명단!$D1264)</f>
        <v/>
      </c>
      <c r="E1265" s="11" t="str">
        <f aca="false">IF($A1265="","",IF(원본명단!$H1264="",0,COUNTIF(원본명단!$H$3:$H$6002,원본명단!$H1264)))</f>
        <v/>
      </c>
      <c r="F1265" s="11" t="str">
        <f aca="false">IF($A1265="","",IF(원본명단!$I1264="",0,COUNTIF(원본명단!$I$3:$I$6002,원본명단!$I1264)))</f>
        <v/>
      </c>
      <c r="G1265" s="11" t="str">
        <f aca="false">IF($A1265="","",IF(원본명단!$K1264="",0,COUNTIF(원본명단!$K$3:$K$6002,원본명단!$K1264)))</f>
        <v/>
      </c>
      <c r="H1265" s="11" t="str">
        <f aca="false">IF($A1265="","",IF(MAX($E1265,$F1265,$G1265)&gt;1,"중복","-"))</f>
        <v/>
      </c>
      <c r="I1265" s="11" t="str">
        <f aca="false">IF($A1265="","",IF($H1265="-","-",IF(AND(IF(원본명단!$H1264="",TRUE(),COUNTIF(원본명단!$H$3:$H1264,원본명단!$H1264)=1),IF(원본명단!$I1264="",TRUE(),COUNTIF(원본명단!$I$3:$I1264,원본명단!$I1264)=1),IF(원본명단!$K1264="",TRUE(),COUNTIF(원본명단!$K$3:$K1264,원본명단!$K1264)=1)),"첫 건","중복 건")))</f>
        <v/>
      </c>
      <c r="J1265" s="11" t="str">
        <f aca="false">IF($A1265="","",IF($H1265="-","유지",IF($I1265="첫 건","유지","확인 필요")))</f>
        <v/>
      </c>
    </row>
    <row r="1266" customFormat="false" ht="15" hidden="false" customHeight="true" outlineLevel="0" collapsed="false">
      <c r="A1266" s="11" t="str">
        <f aca="false">IF(원본명단!$A1265="","",1263)</f>
        <v/>
      </c>
      <c r="B1266" s="12" t="str">
        <f aca="false">IF($A1266="","",원본명단!$A1265)</f>
        <v/>
      </c>
      <c r="C1266" s="12" t="str">
        <f aca="false">IF($A1266="","",원본명단!$B1265)</f>
        <v/>
      </c>
      <c r="D1266" s="12" t="str">
        <f aca="false">IF($A1266="","",원본명단!$D1265)</f>
        <v/>
      </c>
      <c r="E1266" s="11" t="str">
        <f aca="false">IF($A1266="","",IF(원본명단!$H1265="",0,COUNTIF(원본명단!$H$3:$H$6002,원본명단!$H1265)))</f>
        <v/>
      </c>
      <c r="F1266" s="11" t="str">
        <f aca="false">IF($A1266="","",IF(원본명단!$I1265="",0,COUNTIF(원본명단!$I$3:$I$6002,원본명단!$I1265)))</f>
        <v/>
      </c>
      <c r="G1266" s="11" t="str">
        <f aca="false">IF($A1266="","",IF(원본명단!$K1265="",0,COUNTIF(원본명단!$K$3:$K$6002,원본명단!$K1265)))</f>
        <v/>
      </c>
      <c r="H1266" s="11" t="str">
        <f aca="false">IF($A1266="","",IF(MAX($E1266,$F1266,$G1266)&gt;1,"중복","-"))</f>
        <v/>
      </c>
      <c r="I1266" s="11" t="str">
        <f aca="false">IF($A1266="","",IF($H1266="-","-",IF(AND(IF(원본명단!$H1265="",TRUE(),COUNTIF(원본명단!$H$3:$H1265,원본명단!$H1265)=1),IF(원본명단!$I1265="",TRUE(),COUNTIF(원본명단!$I$3:$I1265,원본명단!$I1265)=1),IF(원본명단!$K1265="",TRUE(),COUNTIF(원본명단!$K$3:$K1265,원본명단!$K1265)=1)),"첫 건","중복 건")))</f>
        <v/>
      </c>
      <c r="J1266" s="11" t="str">
        <f aca="false">IF($A1266="","",IF($H1266="-","유지",IF($I1266="첫 건","유지","확인 필요")))</f>
        <v/>
      </c>
    </row>
    <row r="1267" customFormat="false" ht="15" hidden="false" customHeight="true" outlineLevel="0" collapsed="false">
      <c r="A1267" s="11" t="str">
        <f aca="false">IF(원본명단!$A1266="","",1264)</f>
        <v/>
      </c>
      <c r="B1267" s="12" t="str">
        <f aca="false">IF($A1267="","",원본명단!$A1266)</f>
        <v/>
      </c>
      <c r="C1267" s="12" t="str">
        <f aca="false">IF($A1267="","",원본명단!$B1266)</f>
        <v/>
      </c>
      <c r="D1267" s="12" t="str">
        <f aca="false">IF($A1267="","",원본명단!$D1266)</f>
        <v/>
      </c>
      <c r="E1267" s="11" t="str">
        <f aca="false">IF($A1267="","",IF(원본명단!$H1266="",0,COUNTIF(원본명단!$H$3:$H$6002,원본명단!$H1266)))</f>
        <v/>
      </c>
      <c r="F1267" s="11" t="str">
        <f aca="false">IF($A1267="","",IF(원본명단!$I1266="",0,COUNTIF(원본명단!$I$3:$I$6002,원본명단!$I1266)))</f>
        <v/>
      </c>
      <c r="G1267" s="11" t="str">
        <f aca="false">IF($A1267="","",IF(원본명단!$K1266="",0,COUNTIF(원본명단!$K$3:$K$6002,원본명단!$K1266)))</f>
        <v/>
      </c>
      <c r="H1267" s="11" t="str">
        <f aca="false">IF($A1267="","",IF(MAX($E1267,$F1267,$G1267)&gt;1,"중복","-"))</f>
        <v/>
      </c>
      <c r="I1267" s="11" t="str">
        <f aca="false">IF($A1267="","",IF($H1267="-","-",IF(AND(IF(원본명단!$H1266="",TRUE(),COUNTIF(원본명단!$H$3:$H1266,원본명단!$H1266)=1),IF(원본명단!$I1266="",TRUE(),COUNTIF(원본명단!$I$3:$I1266,원본명단!$I1266)=1),IF(원본명단!$K1266="",TRUE(),COUNTIF(원본명단!$K$3:$K1266,원본명단!$K1266)=1)),"첫 건","중복 건")))</f>
        <v/>
      </c>
      <c r="J1267" s="11" t="str">
        <f aca="false">IF($A1267="","",IF($H1267="-","유지",IF($I1267="첫 건","유지","확인 필요")))</f>
        <v/>
      </c>
    </row>
    <row r="1268" customFormat="false" ht="15" hidden="false" customHeight="true" outlineLevel="0" collapsed="false">
      <c r="A1268" s="11" t="str">
        <f aca="false">IF(원본명단!$A1267="","",1265)</f>
        <v/>
      </c>
      <c r="B1268" s="12" t="str">
        <f aca="false">IF($A1268="","",원본명단!$A1267)</f>
        <v/>
      </c>
      <c r="C1268" s="12" t="str">
        <f aca="false">IF($A1268="","",원본명단!$B1267)</f>
        <v/>
      </c>
      <c r="D1268" s="12" t="str">
        <f aca="false">IF($A1268="","",원본명단!$D1267)</f>
        <v/>
      </c>
      <c r="E1268" s="11" t="str">
        <f aca="false">IF($A1268="","",IF(원본명단!$H1267="",0,COUNTIF(원본명단!$H$3:$H$6002,원본명단!$H1267)))</f>
        <v/>
      </c>
      <c r="F1268" s="11" t="str">
        <f aca="false">IF($A1268="","",IF(원본명단!$I1267="",0,COUNTIF(원본명단!$I$3:$I$6002,원본명단!$I1267)))</f>
        <v/>
      </c>
      <c r="G1268" s="11" t="str">
        <f aca="false">IF($A1268="","",IF(원본명단!$K1267="",0,COUNTIF(원본명단!$K$3:$K$6002,원본명단!$K1267)))</f>
        <v/>
      </c>
      <c r="H1268" s="11" t="str">
        <f aca="false">IF($A1268="","",IF(MAX($E1268,$F1268,$G1268)&gt;1,"중복","-"))</f>
        <v/>
      </c>
      <c r="I1268" s="11" t="str">
        <f aca="false">IF($A1268="","",IF($H1268="-","-",IF(AND(IF(원본명단!$H1267="",TRUE(),COUNTIF(원본명단!$H$3:$H1267,원본명단!$H1267)=1),IF(원본명단!$I1267="",TRUE(),COUNTIF(원본명단!$I$3:$I1267,원본명단!$I1267)=1),IF(원본명단!$K1267="",TRUE(),COUNTIF(원본명단!$K$3:$K1267,원본명단!$K1267)=1)),"첫 건","중복 건")))</f>
        <v/>
      </c>
      <c r="J1268" s="11" t="str">
        <f aca="false">IF($A1268="","",IF($H1268="-","유지",IF($I1268="첫 건","유지","확인 필요")))</f>
        <v/>
      </c>
    </row>
    <row r="1269" customFormat="false" ht="15" hidden="false" customHeight="true" outlineLevel="0" collapsed="false">
      <c r="A1269" s="11" t="str">
        <f aca="false">IF(원본명단!$A1268="","",1266)</f>
        <v/>
      </c>
      <c r="B1269" s="12" t="str">
        <f aca="false">IF($A1269="","",원본명단!$A1268)</f>
        <v/>
      </c>
      <c r="C1269" s="12" t="str">
        <f aca="false">IF($A1269="","",원본명단!$B1268)</f>
        <v/>
      </c>
      <c r="D1269" s="12" t="str">
        <f aca="false">IF($A1269="","",원본명단!$D1268)</f>
        <v/>
      </c>
      <c r="E1269" s="11" t="str">
        <f aca="false">IF($A1269="","",IF(원본명단!$H1268="",0,COUNTIF(원본명단!$H$3:$H$6002,원본명단!$H1268)))</f>
        <v/>
      </c>
      <c r="F1269" s="11" t="str">
        <f aca="false">IF($A1269="","",IF(원본명단!$I1268="",0,COUNTIF(원본명단!$I$3:$I$6002,원본명단!$I1268)))</f>
        <v/>
      </c>
      <c r="G1269" s="11" t="str">
        <f aca="false">IF($A1269="","",IF(원본명단!$K1268="",0,COUNTIF(원본명단!$K$3:$K$6002,원본명단!$K1268)))</f>
        <v/>
      </c>
      <c r="H1269" s="11" t="str">
        <f aca="false">IF($A1269="","",IF(MAX($E1269,$F1269,$G1269)&gt;1,"중복","-"))</f>
        <v/>
      </c>
      <c r="I1269" s="11" t="str">
        <f aca="false">IF($A1269="","",IF($H1269="-","-",IF(AND(IF(원본명단!$H1268="",TRUE(),COUNTIF(원본명단!$H$3:$H1268,원본명단!$H1268)=1),IF(원본명단!$I1268="",TRUE(),COUNTIF(원본명단!$I$3:$I1268,원본명단!$I1268)=1),IF(원본명단!$K1268="",TRUE(),COUNTIF(원본명단!$K$3:$K1268,원본명단!$K1268)=1)),"첫 건","중복 건")))</f>
        <v/>
      </c>
      <c r="J1269" s="11" t="str">
        <f aca="false">IF($A1269="","",IF($H1269="-","유지",IF($I1269="첫 건","유지","확인 필요")))</f>
        <v/>
      </c>
    </row>
    <row r="1270" customFormat="false" ht="15" hidden="false" customHeight="true" outlineLevel="0" collapsed="false">
      <c r="A1270" s="11" t="str">
        <f aca="false">IF(원본명단!$A1269="","",1267)</f>
        <v/>
      </c>
      <c r="B1270" s="12" t="str">
        <f aca="false">IF($A1270="","",원본명단!$A1269)</f>
        <v/>
      </c>
      <c r="C1270" s="12" t="str">
        <f aca="false">IF($A1270="","",원본명단!$B1269)</f>
        <v/>
      </c>
      <c r="D1270" s="12" t="str">
        <f aca="false">IF($A1270="","",원본명단!$D1269)</f>
        <v/>
      </c>
      <c r="E1270" s="11" t="str">
        <f aca="false">IF($A1270="","",IF(원본명단!$H1269="",0,COUNTIF(원본명단!$H$3:$H$6002,원본명단!$H1269)))</f>
        <v/>
      </c>
      <c r="F1270" s="11" t="str">
        <f aca="false">IF($A1270="","",IF(원본명단!$I1269="",0,COUNTIF(원본명단!$I$3:$I$6002,원본명단!$I1269)))</f>
        <v/>
      </c>
      <c r="G1270" s="11" t="str">
        <f aca="false">IF($A1270="","",IF(원본명단!$K1269="",0,COUNTIF(원본명단!$K$3:$K$6002,원본명단!$K1269)))</f>
        <v/>
      </c>
      <c r="H1270" s="11" t="str">
        <f aca="false">IF($A1270="","",IF(MAX($E1270,$F1270,$G1270)&gt;1,"중복","-"))</f>
        <v/>
      </c>
      <c r="I1270" s="11" t="str">
        <f aca="false">IF($A1270="","",IF($H1270="-","-",IF(AND(IF(원본명단!$H1269="",TRUE(),COUNTIF(원본명단!$H$3:$H1269,원본명단!$H1269)=1),IF(원본명단!$I1269="",TRUE(),COUNTIF(원본명단!$I$3:$I1269,원본명단!$I1269)=1),IF(원본명단!$K1269="",TRUE(),COUNTIF(원본명단!$K$3:$K1269,원본명단!$K1269)=1)),"첫 건","중복 건")))</f>
        <v/>
      </c>
      <c r="J1270" s="11" t="str">
        <f aca="false">IF($A1270="","",IF($H1270="-","유지",IF($I1270="첫 건","유지","확인 필요")))</f>
        <v/>
      </c>
    </row>
    <row r="1271" customFormat="false" ht="15" hidden="false" customHeight="true" outlineLevel="0" collapsed="false">
      <c r="A1271" s="11" t="str">
        <f aca="false">IF(원본명단!$A1270="","",1268)</f>
        <v/>
      </c>
      <c r="B1271" s="12" t="str">
        <f aca="false">IF($A1271="","",원본명단!$A1270)</f>
        <v/>
      </c>
      <c r="C1271" s="12" t="str">
        <f aca="false">IF($A1271="","",원본명단!$B1270)</f>
        <v/>
      </c>
      <c r="D1271" s="12" t="str">
        <f aca="false">IF($A1271="","",원본명단!$D1270)</f>
        <v/>
      </c>
      <c r="E1271" s="11" t="str">
        <f aca="false">IF($A1271="","",IF(원본명단!$H1270="",0,COUNTIF(원본명단!$H$3:$H$6002,원본명단!$H1270)))</f>
        <v/>
      </c>
      <c r="F1271" s="11" t="str">
        <f aca="false">IF($A1271="","",IF(원본명단!$I1270="",0,COUNTIF(원본명단!$I$3:$I$6002,원본명단!$I1270)))</f>
        <v/>
      </c>
      <c r="G1271" s="11" t="str">
        <f aca="false">IF($A1271="","",IF(원본명단!$K1270="",0,COUNTIF(원본명단!$K$3:$K$6002,원본명단!$K1270)))</f>
        <v/>
      </c>
      <c r="H1271" s="11" t="str">
        <f aca="false">IF($A1271="","",IF(MAX($E1271,$F1271,$G1271)&gt;1,"중복","-"))</f>
        <v/>
      </c>
      <c r="I1271" s="11" t="str">
        <f aca="false">IF($A1271="","",IF($H1271="-","-",IF(AND(IF(원본명단!$H1270="",TRUE(),COUNTIF(원본명단!$H$3:$H1270,원본명단!$H1270)=1),IF(원본명단!$I1270="",TRUE(),COUNTIF(원본명단!$I$3:$I1270,원본명단!$I1270)=1),IF(원본명단!$K1270="",TRUE(),COUNTIF(원본명단!$K$3:$K1270,원본명단!$K1270)=1)),"첫 건","중복 건")))</f>
        <v/>
      </c>
      <c r="J1271" s="11" t="str">
        <f aca="false">IF($A1271="","",IF($H1271="-","유지",IF($I1271="첫 건","유지","확인 필요")))</f>
        <v/>
      </c>
    </row>
    <row r="1272" customFormat="false" ht="15" hidden="false" customHeight="true" outlineLevel="0" collapsed="false">
      <c r="A1272" s="11" t="str">
        <f aca="false">IF(원본명단!$A1271="","",1269)</f>
        <v/>
      </c>
      <c r="B1272" s="12" t="str">
        <f aca="false">IF($A1272="","",원본명단!$A1271)</f>
        <v/>
      </c>
      <c r="C1272" s="12" t="str">
        <f aca="false">IF($A1272="","",원본명단!$B1271)</f>
        <v/>
      </c>
      <c r="D1272" s="12" t="str">
        <f aca="false">IF($A1272="","",원본명단!$D1271)</f>
        <v/>
      </c>
      <c r="E1272" s="11" t="str">
        <f aca="false">IF($A1272="","",IF(원본명단!$H1271="",0,COUNTIF(원본명단!$H$3:$H$6002,원본명단!$H1271)))</f>
        <v/>
      </c>
      <c r="F1272" s="11" t="str">
        <f aca="false">IF($A1272="","",IF(원본명단!$I1271="",0,COUNTIF(원본명단!$I$3:$I$6002,원본명단!$I1271)))</f>
        <v/>
      </c>
      <c r="G1272" s="11" t="str">
        <f aca="false">IF($A1272="","",IF(원본명단!$K1271="",0,COUNTIF(원본명단!$K$3:$K$6002,원본명단!$K1271)))</f>
        <v/>
      </c>
      <c r="H1272" s="11" t="str">
        <f aca="false">IF($A1272="","",IF(MAX($E1272,$F1272,$G1272)&gt;1,"중복","-"))</f>
        <v/>
      </c>
      <c r="I1272" s="11" t="str">
        <f aca="false">IF($A1272="","",IF($H1272="-","-",IF(AND(IF(원본명단!$H1271="",TRUE(),COUNTIF(원본명단!$H$3:$H1271,원본명단!$H1271)=1),IF(원본명단!$I1271="",TRUE(),COUNTIF(원본명단!$I$3:$I1271,원본명단!$I1271)=1),IF(원본명단!$K1271="",TRUE(),COUNTIF(원본명단!$K$3:$K1271,원본명단!$K1271)=1)),"첫 건","중복 건")))</f>
        <v/>
      </c>
      <c r="J1272" s="11" t="str">
        <f aca="false">IF($A1272="","",IF($H1272="-","유지",IF($I1272="첫 건","유지","확인 필요")))</f>
        <v/>
      </c>
    </row>
    <row r="1273" customFormat="false" ht="15" hidden="false" customHeight="true" outlineLevel="0" collapsed="false">
      <c r="A1273" s="11" t="str">
        <f aca="false">IF(원본명단!$A1272="","",1270)</f>
        <v/>
      </c>
      <c r="B1273" s="12" t="str">
        <f aca="false">IF($A1273="","",원본명단!$A1272)</f>
        <v/>
      </c>
      <c r="C1273" s="12" t="str">
        <f aca="false">IF($A1273="","",원본명단!$B1272)</f>
        <v/>
      </c>
      <c r="D1273" s="12" t="str">
        <f aca="false">IF($A1273="","",원본명단!$D1272)</f>
        <v/>
      </c>
      <c r="E1273" s="11" t="str">
        <f aca="false">IF($A1273="","",IF(원본명단!$H1272="",0,COUNTIF(원본명단!$H$3:$H$6002,원본명단!$H1272)))</f>
        <v/>
      </c>
      <c r="F1273" s="11" t="str">
        <f aca="false">IF($A1273="","",IF(원본명단!$I1272="",0,COUNTIF(원본명단!$I$3:$I$6002,원본명단!$I1272)))</f>
        <v/>
      </c>
      <c r="G1273" s="11" t="str">
        <f aca="false">IF($A1273="","",IF(원본명단!$K1272="",0,COUNTIF(원본명단!$K$3:$K$6002,원본명단!$K1272)))</f>
        <v/>
      </c>
      <c r="H1273" s="11" t="str">
        <f aca="false">IF($A1273="","",IF(MAX($E1273,$F1273,$G1273)&gt;1,"중복","-"))</f>
        <v/>
      </c>
      <c r="I1273" s="11" t="str">
        <f aca="false">IF($A1273="","",IF($H1273="-","-",IF(AND(IF(원본명단!$H1272="",TRUE(),COUNTIF(원본명단!$H$3:$H1272,원본명단!$H1272)=1),IF(원본명단!$I1272="",TRUE(),COUNTIF(원본명단!$I$3:$I1272,원본명단!$I1272)=1),IF(원본명단!$K1272="",TRUE(),COUNTIF(원본명단!$K$3:$K1272,원본명단!$K1272)=1)),"첫 건","중복 건")))</f>
        <v/>
      </c>
      <c r="J1273" s="11" t="str">
        <f aca="false">IF($A1273="","",IF($H1273="-","유지",IF($I1273="첫 건","유지","확인 필요")))</f>
        <v/>
      </c>
    </row>
    <row r="1274" customFormat="false" ht="15" hidden="false" customHeight="true" outlineLevel="0" collapsed="false">
      <c r="A1274" s="11" t="str">
        <f aca="false">IF(원본명단!$A1273="","",1271)</f>
        <v/>
      </c>
      <c r="B1274" s="12" t="str">
        <f aca="false">IF($A1274="","",원본명단!$A1273)</f>
        <v/>
      </c>
      <c r="C1274" s="12" t="str">
        <f aca="false">IF($A1274="","",원본명단!$B1273)</f>
        <v/>
      </c>
      <c r="D1274" s="12" t="str">
        <f aca="false">IF($A1274="","",원본명단!$D1273)</f>
        <v/>
      </c>
      <c r="E1274" s="11" t="str">
        <f aca="false">IF($A1274="","",IF(원본명단!$H1273="",0,COUNTIF(원본명단!$H$3:$H$6002,원본명단!$H1273)))</f>
        <v/>
      </c>
      <c r="F1274" s="11" t="str">
        <f aca="false">IF($A1274="","",IF(원본명단!$I1273="",0,COUNTIF(원본명단!$I$3:$I$6002,원본명단!$I1273)))</f>
        <v/>
      </c>
      <c r="G1274" s="11" t="str">
        <f aca="false">IF($A1274="","",IF(원본명단!$K1273="",0,COUNTIF(원본명단!$K$3:$K$6002,원본명단!$K1273)))</f>
        <v/>
      </c>
      <c r="H1274" s="11" t="str">
        <f aca="false">IF($A1274="","",IF(MAX($E1274,$F1274,$G1274)&gt;1,"중복","-"))</f>
        <v/>
      </c>
      <c r="I1274" s="11" t="str">
        <f aca="false">IF($A1274="","",IF($H1274="-","-",IF(AND(IF(원본명단!$H1273="",TRUE(),COUNTIF(원본명단!$H$3:$H1273,원본명단!$H1273)=1),IF(원본명단!$I1273="",TRUE(),COUNTIF(원본명단!$I$3:$I1273,원본명단!$I1273)=1),IF(원본명단!$K1273="",TRUE(),COUNTIF(원본명단!$K$3:$K1273,원본명단!$K1273)=1)),"첫 건","중복 건")))</f>
        <v/>
      </c>
      <c r="J1274" s="11" t="str">
        <f aca="false">IF($A1274="","",IF($H1274="-","유지",IF($I1274="첫 건","유지","확인 필요")))</f>
        <v/>
      </c>
    </row>
    <row r="1275" customFormat="false" ht="15" hidden="false" customHeight="true" outlineLevel="0" collapsed="false">
      <c r="A1275" s="11" t="str">
        <f aca="false">IF(원본명단!$A1274="","",1272)</f>
        <v/>
      </c>
      <c r="B1275" s="12" t="str">
        <f aca="false">IF($A1275="","",원본명단!$A1274)</f>
        <v/>
      </c>
      <c r="C1275" s="12" t="str">
        <f aca="false">IF($A1275="","",원본명단!$B1274)</f>
        <v/>
      </c>
      <c r="D1275" s="12" t="str">
        <f aca="false">IF($A1275="","",원본명단!$D1274)</f>
        <v/>
      </c>
      <c r="E1275" s="11" t="str">
        <f aca="false">IF($A1275="","",IF(원본명단!$H1274="",0,COUNTIF(원본명단!$H$3:$H$6002,원본명단!$H1274)))</f>
        <v/>
      </c>
      <c r="F1275" s="11" t="str">
        <f aca="false">IF($A1275="","",IF(원본명단!$I1274="",0,COUNTIF(원본명단!$I$3:$I$6002,원본명단!$I1274)))</f>
        <v/>
      </c>
      <c r="G1275" s="11" t="str">
        <f aca="false">IF($A1275="","",IF(원본명단!$K1274="",0,COUNTIF(원본명단!$K$3:$K$6002,원본명단!$K1274)))</f>
        <v/>
      </c>
      <c r="H1275" s="11" t="str">
        <f aca="false">IF($A1275="","",IF(MAX($E1275,$F1275,$G1275)&gt;1,"중복","-"))</f>
        <v/>
      </c>
      <c r="I1275" s="11" t="str">
        <f aca="false">IF($A1275="","",IF($H1275="-","-",IF(AND(IF(원본명단!$H1274="",TRUE(),COUNTIF(원본명단!$H$3:$H1274,원본명단!$H1274)=1),IF(원본명단!$I1274="",TRUE(),COUNTIF(원본명단!$I$3:$I1274,원본명단!$I1274)=1),IF(원본명단!$K1274="",TRUE(),COUNTIF(원본명단!$K$3:$K1274,원본명단!$K1274)=1)),"첫 건","중복 건")))</f>
        <v/>
      </c>
      <c r="J1275" s="11" t="str">
        <f aca="false">IF($A1275="","",IF($H1275="-","유지",IF($I1275="첫 건","유지","확인 필요")))</f>
        <v/>
      </c>
    </row>
    <row r="1276" customFormat="false" ht="15" hidden="false" customHeight="true" outlineLevel="0" collapsed="false">
      <c r="A1276" s="11" t="str">
        <f aca="false">IF(원본명단!$A1275="","",1273)</f>
        <v/>
      </c>
      <c r="B1276" s="12" t="str">
        <f aca="false">IF($A1276="","",원본명단!$A1275)</f>
        <v/>
      </c>
      <c r="C1276" s="12" t="str">
        <f aca="false">IF($A1276="","",원본명단!$B1275)</f>
        <v/>
      </c>
      <c r="D1276" s="12" t="str">
        <f aca="false">IF($A1276="","",원본명단!$D1275)</f>
        <v/>
      </c>
      <c r="E1276" s="11" t="str">
        <f aca="false">IF($A1276="","",IF(원본명단!$H1275="",0,COUNTIF(원본명단!$H$3:$H$6002,원본명단!$H1275)))</f>
        <v/>
      </c>
      <c r="F1276" s="11" t="str">
        <f aca="false">IF($A1276="","",IF(원본명단!$I1275="",0,COUNTIF(원본명단!$I$3:$I$6002,원본명단!$I1275)))</f>
        <v/>
      </c>
      <c r="G1276" s="11" t="str">
        <f aca="false">IF($A1276="","",IF(원본명단!$K1275="",0,COUNTIF(원본명단!$K$3:$K$6002,원본명단!$K1275)))</f>
        <v/>
      </c>
      <c r="H1276" s="11" t="str">
        <f aca="false">IF($A1276="","",IF(MAX($E1276,$F1276,$G1276)&gt;1,"중복","-"))</f>
        <v/>
      </c>
      <c r="I1276" s="11" t="str">
        <f aca="false">IF($A1276="","",IF($H1276="-","-",IF(AND(IF(원본명단!$H1275="",TRUE(),COUNTIF(원본명단!$H$3:$H1275,원본명단!$H1275)=1),IF(원본명단!$I1275="",TRUE(),COUNTIF(원본명단!$I$3:$I1275,원본명단!$I1275)=1),IF(원본명단!$K1275="",TRUE(),COUNTIF(원본명단!$K$3:$K1275,원본명단!$K1275)=1)),"첫 건","중복 건")))</f>
        <v/>
      </c>
      <c r="J1276" s="11" t="str">
        <f aca="false">IF($A1276="","",IF($H1276="-","유지",IF($I1276="첫 건","유지","확인 필요")))</f>
        <v/>
      </c>
    </row>
    <row r="1277" customFormat="false" ht="15" hidden="false" customHeight="true" outlineLevel="0" collapsed="false">
      <c r="A1277" s="11" t="str">
        <f aca="false">IF(원본명단!$A1276="","",1274)</f>
        <v/>
      </c>
      <c r="B1277" s="12" t="str">
        <f aca="false">IF($A1277="","",원본명단!$A1276)</f>
        <v/>
      </c>
      <c r="C1277" s="12" t="str">
        <f aca="false">IF($A1277="","",원본명단!$B1276)</f>
        <v/>
      </c>
      <c r="D1277" s="12" t="str">
        <f aca="false">IF($A1277="","",원본명단!$D1276)</f>
        <v/>
      </c>
      <c r="E1277" s="11" t="str">
        <f aca="false">IF($A1277="","",IF(원본명단!$H1276="",0,COUNTIF(원본명단!$H$3:$H$6002,원본명단!$H1276)))</f>
        <v/>
      </c>
      <c r="F1277" s="11" t="str">
        <f aca="false">IF($A1277="","",IF(원본명단!$I1276="",0,COUNTIF(원본명단!$I$3:$I$6002,원본명단!$I1276)))</f>
        <v/>
      </c>
      <c r="G1277" s="11" t="str">
        <f aca="false">IF($A1277="","",IF(원본명단!$K1276="",0,COUNTIF(원본명단!$K$3:$K$6002,원본명단!$K1276)))</f>
        <v/>
      </c>
      <c r="H1277" s="11" t="str">
        <f aca="false">IF($A1277="","",IF(MAX($E1277,$F1277,$G1277)&gt;1,"중복","-"))</f>
        <v/>
      </c>
      <c r="I1277" s="11" t="str">
        <f aca="false">IF($A1277="","",IF($H1277="-","-",IF(AND(IF(원본명단!$H1276="",TRUE(),COUNTIF(원본명단!$H$3:$H1276,원본명단!$H1276)=1),IF(원본명단!$I1276="",TRUE(),COUNTIF(원본명단!$I$3:$I1276,원본명단!$I1276)=1),IF(원본명단!$K1276="",TRUE(),COUNTIF(원본명단!$K$3:$K1276,원본명단!$K1276)=1)),"첫 건","중복 건")))</f>
        <v/>
      </c>
      <c r="J1277" s="11" t="str">
        <f aca="false">IF($A1277="","",IF($H1277="-","유지",IF($I1277="첫 건","유지","확인 필요")))</f>
        <v/>
      </c>
    </row>
    <row r="1278" customFormat="false" ht="15" hidden="false" customHeight="true" outlineLevel="0" collapsed="false">
      <c r="A1278" s="11" t="str">
        <f aca="false">IF(원본명단!$A1277="","",1275)</f>
        <v/>
      </c>
      <c r="B1278" s="12" t="str">
        <f aca="false">IF($A1278="","",원본명단!$A1277)</f>
        <v/>
      </c>
      <c r="C1278" s="12" t="str">
        <f aca="false">IF($A1278="","",원본명단!$B1277)</f>
        <v/>
      </c>
      <c r="D1278" s="12" t="str">
        <f aca="false">IF($A1278="","",원본명단!$D1277)</f>
        <v/>
      </c>
      <c r="E1278" s="11" t="str">
        <f aca="false">IF($A1278="","",IF(원본명단!$H1277="",0,COUNTIF(원본명단!$H$3:$H$6002,원본명단!$H1277)))</f>
        <v/>
      </c>
      <c r="F1278" s="11" t="str">
        <f aca="false">IF($A1278="","",IF(원본명단!$I1277="",0,COUNTIF(원본명단!$I$3:$I$6002,원본명단!$I1277)))</f>
        <v/>
      </c>
      <c r="G1278" s="11" t="str">
        <f aca="false">IF($A1278="","",IF(원본명단!$K1277="",0,COUNTIF(원본명단!$K$3:$K$6002,원본명단!$K1277)))</f>
        <v/>
      </c>
      <c r="H1278" s="11" t="str">
        <f aca="false">IF($A1278="","",IF(MAX($E1278,$F1278,$G1278)&gt;1,"중복","-"))</f>
        <v/>
      </c>
      <c r="I1278" s="11" t="str">
        <f aca="false">IF($A1278="","",IF($H1278="-","-",IF(AND(IF(원본명단!$H1277="",TRUE(),COUNTIF(원본명단!$H$3:$H1277,원본명단!$H1277)=1),IF(원본명단!$I1277="",TRUE(),COUNTIF(원본명단!$I$3:$I1277,원본명단!$I1277)=1),IF(원본명단!$K1277="",TRUE(),COUNTIF(원본명단!$K$3:$K1277,원본명단!$K1277)=1)),"첫 건","중복 건")))</f>
        <v/>
      </c>
      <c r="J1278" s="11" t="str">
        <f aca="false">IF($A1278="","",IF($H1278="-","유지",IF($I1278="첫 건","유지","확인 필요")))</f>
        <v/>
      </c>
    </row>
    <row r="1279" customFormat="false" ht="15" hidden="false" customHeight="true" outlineLevel="0" collapsed="false">
      <c r="A1279" s="11" t="str">
        <f aca="false">IF(원본명단!$A1278="","",1276)</f>
        <v/>
      </c>
      <c r="B1279" s="12" t="str">
        <f aca="false">IF($A1279="","",원본명단!$A1278)</f>
        <v/>
      </c>
      <c r="C1279" s="12" t="str">
        <f aca="false">IF($A1279="","",원본명단!$B1278)</f>
        <v/>
      </c>
      <c r="D1279" s="12" t="str">
        <f aca="false">IF($A1279="","",원본명단!$D1278)</f>
        <v/>
      </c>
      <c r="E1279" s="11" t="str">
        <f aca="false">IF($A1279="","",IF(원본명단!$H1278="",0,COUNTIF(원본명단!$H$3:$H$6002,원본명단!$H1278)))</f>
        <v/>
      </c>
      <c r="F1279" s="11" t="str">
        <f aca="false">IF($A1279="","",IF(원본명단!$I1278="",0,COUNTIF(원본명단!$I$3:$I$6002,원본명단!$I1278)))</f>
        <v/>
      </c>
      <c r="G1279" s="11" t="str">
        <f aca="false">IF($A1279="","",IF(원본명단!$K1278="",0,COUNTIF(원본명단!$K$3:$K$6002,원본명단!$K1278)))</f>
        <v/>
      </c>
      <c r="H1279" s="11" t="str">
        <f aca="false">IF($A1279="","",IF(MAX($E1279,$F1279,$G1279)&gt;1,"중복","-"))</f>
        <v/>
      </c>
      <c r="I1279" s="11" t="str">
        <f aca="false">IF($A1279="","",IF($H1279="-","-",IF(AND(IF(원본명단!$H1278="",TRUE(),COUNTIF(원본명단!$H$3:$H1278,원본명단!$H1278)=1),IF(원본명단!$I1278="",TRUE(),COUNTIF(원본명단!$I$3:$I1278,원본명단!$I1278)=1),IF(원본명단!$K1278="",TRUE(),COUNTIF(원본명단!$K$3:$K1278,원본명단!$K1278)=1)),"첫 건","중복 건")))</f>
        <v/>
      </c>
      <c r="J1279" s="11" t="str">
        <f aca="false">IF($A1279="","",IF($H1279="-","유지",IF($I1279="첫 건","유지","확인 필요")))</f>
        <v/>
      </c>
    </row>
    <row r="1280" customFormat="false" ht="15" hidden="false" customHeight="true" outlineLevel="0" collapsed="false">
      <c r="A1280" s="11" t="str">
        <f aca="false">IF(원본명단!$A1279="","",1277)</f>
        <v/>
      </c>
      <c r="B1280" s="12" t="str">
        <f aca="false">IF($A1280="","",원본명단!$A1279)</f>
        <v/>
      </c>
      <c r="C1280" s="12" t="str">
        <f aca="false">IF($A1280="","",원본명단!$B1279)</f>
        <v/>
      </c>
      <c r="D1280" s="12" t="str">
        <f aca="false">IF($A1280="","",원본명단!$D1279)</f>
        <v/>
      </c>
      <c r="E1280" s="11" t="str">
        <f aca="false">IF($A1280="","",IF(원본명단!$H1279="",0,COUNTIF(원본명단!$H$3:$H$6002,원본명단!$H1279)))</f>
        <v/>
      </c>
      <c r="F1280" s="11" t="str">
        <f aca="false">IF($A1280="","",IF(원본명단!$I1279="",0,COUNTIF(원본명단!$I$3:$I$6002,원본명단!$I1279)))</f>
        <v/>
      </c>
      <c r="G1280" s="11" t="str">
        <f aca="false">IF($A1280="","",IF(원본명단!$K1279="",0,COUNTIF(원본명단!$K$3:$K$6002,원본명단!$K1279)))</f>
        <v/>
      </c>
      <c r="H1280" s="11" t="str">
        <f aca="false">IF($A1280="","",IF(MAX($E1280,$F1280,$G1280)&gt;1,"중복","-"))</f>
        <v/>
      </c>
      <c r="I1280" s="11" t="str">
        <f aca="false">IF($A1280="","",IF($H1280="-","-",IF(AND(IF(원본명단!$H1279="",TRUE(),COUNTIF(원본명단!$H$3:$H1279,원본명단!$H1279)=1),IF(원본명단!$I1279="",TRUE(),COUNTIF(원본명단!$I$3:$I1279,원본명단!$I1279)=1),IF(원본명단!$K1279="",TRUE(),COUNTIF(원본명단!$K$3:$K1279,원본명단!$K1279)=1)),"첫 건","중복 건")))</f>
        <v/>
      </c>
      <c r="J1280" s="11" t="str">
        <f aca="false">IF($A1280="","",IF($H1280="-","유지",IF($I1280="첫 건","유지","확인 필요")))</f>
        <v/>
      </c>
    </row>
    <row r="1281" customFormat="false" ht="15" hidden="false" customHeight="true" outlineLevel="0" collapsed="false">
      <c r="A1281" s="11" t="str">
        <f aca="false">IF(원본명단!$A1280="","",1278)</f>
        <v/>
      </c>
      <c r="B1281" s="12" t="str">
        <f aca="false">IF($A1281="","",원본명단!$A1280)</f>
        <v/>
      </c>
      <c r="C1281" s="12" t="str">
        <f aca="false">IF($A1281="","",원본명단!$B1280)</f>
        <v/>
      </c>
      <c r="D1281" s="12" t="str">
        <f aca="false">IF($A1281="","",원본명단!$D1280)</f>
        <v/>
      </c>
      <c r="E1281" s="11" t="str">
        <f aca="false">IF($A1281="","",IF(원본명단!$H1280="",0,COUNTIF(원본명단!$H$3:$H$6002,원본명단!$H1280)))</f>
        <v/>
      </c>
      <c r="F1281" s="11" t="str">
        <f aca="false">IF($A1281="","",IF(원본명단!$I1280="",0,COUNTIF(원본명단!$I$3:$I$6002,원본명단!$I1280)))</f>
        <v/>
      </c>
      <c r="G1281" s="11" t="str">
        <f aca="false">IF($A1281="","",IF(원본명단!$K1280="",0,COUNTIF(원본명단!$K$3:$K$6002,원본명단!$K1280)))</f>
        <v/>
      </c>
      <c r="H1281" s="11" t="str">
        <f aca="false">IF($A1281="","",IF(MAX($E1281,$F1281,$G1281)&gt;1,"중복","-"))</f>
        <v/>
      </c>
      <c r="I1281" s="11" t="str">
        <f aca="false">IF($A1281="","",IF($H1281="-","-",IF(AND(IF(원본명단!$H1280="",TRUE(),COUNTIF(원본명단!$H$3:$H1280,원본명단!$H1280)=1),IF(원본명단!$I1280="",TRUE(),COUNTIF(원본명단!$I$3:$I1280,원본명단!$I1280)=1),IF(원본명단!$K1280="",TRUE(),COUNTIF(원본명단!$K$3:$K1280,원본명단!$K1280)=1)),"첫 건","중복 건")))</f>
        <v/>
      </c>
      <c r="J1281" s="11" t="str">
        <f aca="false">IF($A1281="","",IF($H1281="-","유지",IF($I1281="첫 건","유지","확인 필요")))</f>
        <v/>
      </c>
    </row>
    <row r="1282" customFormat="false" ht="15" hidden="false" customHeight="true" outlineLevel="0" collapsed="false">
      <c r="A1282" s="11" t="str">
        <f aca="false">IF(원본명단!$A1281="","",1279)</f>
        <v/>
      </c>
      <c r="B1282" s="12" t="str">
        <f aca="false">IF($A1282="","",원본명단!$A1281)</f>
        <v/>
      </c>
      <c r="C1282" s="12" t="str">
        <f aca="false">IF($A1282="","",원본명단!$B1281)</f>
        <v/>
      </c>
      <c r="D1282" s="12" t="str">
        <f aca="false">IF($A1282="","",원본명단!$D1281)</f>
        <v/>
      </c>
      <c r="E1282" s="11" t="str">
        <f aca="false">IF($A1282="","",IF(원본명단!$H1281="",0,COUNTIF(원본명단!$H$3:$H$6002,원본명단!$H1281)))</f>
        <v/>
      </c>
      <c r="F1282" s="11" t="str">
        <f aca="false">IF($A1282="","",IF(원본명단!$I1281="",0,COUNTIF(원본명단!$I$3:$I$6002,원본명단!$I1281)))</f>
        <v/>
      </c>
      <c r="G1282" s="11" t="str">
        <f aca="false">IF($A1282="","",IF(원본명단!$K1281="",0,COUNTIF(원본명단!$K$3:$K$6002,원본명단!$K1281)))</f>
        <v/>
      </c>
      <c r="H1282" s="11" t="str">
        <f aca="false">IF($A1282="","",IF(MAX($E1282,$F1282,$G1282)&gt;1,"중복","-"))</f>
        <v/>
      </c>
      <c r="I1282" s="11" t="str">
        <f aca="false">IF($A1282="","",IF($H1282="-","-",IF(AND(IF(원본명단!$H1281="",TRUE(),COUNTIF(원본명단!$H$3:$H1281,원본명단!$H1281)=1),IF(원본명단!$I1281="",TRUE(),COUNTIF(원본명단!$I$3:$I1281,원본명단!$I1281)=1),IF(원본명단!$K1281="",TRUE(),COUNTIF(원본명단!$K$3:$K1281,원본명단!$K1281)=1)),"첫 건","중복 건")))</f>
        <v/>
      </c>
      <c r="J1282" s="11" t="str">
        <f aca="false">IF($A1282="","",IF($H1282="-","유지",IF($I1282="첫 건","유지","확인 필요")))</f>
        <v/>
      </c>
    </row>
    <row r="1283" customFormat="false" ht="15" hidden="false" customHeight="true" outlineLevel="0" collapsed="false">
      <c r="A1283" s="11" t="str">
        <f aca="false">IF(원본명단!$A1282="","",1280)</f>
        <v/>
      </c>
      <c r="B1283" s="12" t="str">
        <f aca="false">IF($A1283="","",원본명단!$A1282)</f>
        <v/>
      </c>
      <c r="C1283" s="12" t="str">
        <f aca="false">IF($A1283="","",원본명단!$B1282)</f>
        <v/>
      </c>
      <c r="D1283" s="12" t="str">
        <f aca="false">IF($A1283="","",원본명단!$D1282)</f>
        <v/>
      </c>
      <c r="E1283" s="11" t="str">
        <f aca="false">IF($A1283="","",IF(원본명단!$H1282="",0,COUNTIF(원본명단!$H$3:$H$6002,원본명단!$H1282)))</f>
        <v/>
      </c>
      <c r="F1283" s="11" t="str">
        <f aca="false">IF($A1283="","",IF(원본명단!$I1282="",0,COUNTIF(원본명단!$I$3:$I$6002,원본명단!$I1282)))</f>
        <v/>
      </c>
      <c r="G1283" s="11" t="str">
        <f aca="false">IF($A1283="","",IF(원본명단!$K1282="",0,COUNTIF(원본명단!$K$3:$K$6002,원본명단!$K1282)))</f>
        <v/>
      </c>
      <c r="H1283" s="11" t="str">
        <f aca="false">IF($A1283="","",IF(MAX($E1283,$F1283,$G1283)&gt;1,"중복","-"))</f>
        <v/>
      </c>
      <c r="I1283" s="11" t="str">
        <f aca="false">IF($A1283="","",IF($H1283="-","-",IF(AND(IF(원본명단!$H1282="",TRUE(),COUNTIF(원본명단!$H$3:$H1282,원본명단!$H1282)=1),IF(원본명단!$I1282="",TRUE(),COUNTIF(원본명단!$I$3:$I1282,원본명단!$I1282)=1),IF(원본명단!$K1282="",TRUE(),COUNTIF(원본명단!$K$3:$K1282,원본명단!$K1282)=1)),"첫 건","중복 건")))</f>
        <v/>
      </c>
      <c r="J1283" s="11" t="str">
        <f aca="false">IF($A1283="","",IF($H1283="-","유지",IF($I1283="첫 건","유지","확인 필요")))</f>
        <v/>
      </c>
    </row>
    <row r="1284" customFormat="false" ht="15" hidden="false" customHeight="true" outlineLevel="0" collapsed="false">
      <c r="A1284" s="11" t="str">
        <f aca="false">IF(원본명단!$A1283="","",1281)</f>
        <v/>
      </c>
      <c r="B1284" s="12" t="str">
        <f aca="false">IF($A1284="","",원본명단!$A1283)</f>
        <v/>
      </c>
      <c r="C1284" s="12" t="str">
        <f aca="false">IF($A1284="","",원본명단!$B1283)</f>
        <v/>
      </c>
      <c r="D1284" s="12" t="str">
        <f aca="false">IF($A1284="","",원본명단!$D1283)</f>
        <v/>
      </c>
      <c r="E1284" s="11" t="str">
        <f aca="false">IF($A1284="","",IF(원본명단!$H1283="",0,COUNTIF(원본명단!$H$3:$H$6002,원본명단!$H1283)))</f>
        <v/>
      </c>
      <c r="F1284" s="11" t="str">
        <f aca="false">IF($A1284="","",IF(원본명단!$I1283="",0,COUNTIF(원본명단!$I$3:$I$6002,원본명단!$I1283)))</f>
        <v/>
      </c>
      <c r="G1284" s="11" t="str">
        <f aca="false">IF($A1284="","",IF(원본명단!$K1283="",0,COUNTIF(원본명단!$K$3:$K$6002,원본명단!$K1283)))</f>
        <v/>
      </c>
      <c r="H1284" s="11" t="str">
        <f aca="false">IF($A1284="","",IF(MAX($E1284,$F1284,$G1284)&gt;1,"중복","-"))</f>
        <v/>
      </c>
      <c r="I1284" s="11" t="str">
        <f aca="false">IF($A1284="","",IF($H1284="-","-",IF(AND(IF(원본명단!$H1283="",TRUE(),COUNTIF(원본명단!$H$3:$H1283,원본명단!$H1283)=1),IF(원본명단!$I1283="",TRUE(),COUNTIF(원본명단!$I$3:$I1283,원본명단!$I1283)=1),IF(원본명단!$K1283="",TRUE(),COUNTIF(원본명단!$K$3:$K1283,원본명단!$K1283)=1)),"첫 건","중복 건")))</f>
        <v/>
      </c>
      <c r="J1284" s="11" t="str">
        <f aca="false">IF($A1284="","",IF($H1284="-","유지",IF($I1284="첫 건","유지","확인 필요")))</f>
        <v/>
      </c>
    </row>
    <row r="1285" customFormat="false" ht="15" hidden="false" customHeight="true" outlineLevel="0" collapsed="false">
      <c r="A1285" s="11" t="str">
        <f aca="false">IF(원본명단!$A1284="","",1282)</f>
        <v/>
      </c>
      <c r="B1285" s="12" t="str">
        <f aca="false">IF($A1285="","",원본명단!$A1284)</f>
        <v/>
      </c>
      <c r="C1285" s="12" t="str">
        <f aca="false">IF($A1285="","",원본명단!$B1284)</f>
        <v/>
      </c>
      <c r="D1285" s="12" t="str">
        <f aca="false">IF($A1285="","",원본명단!$D1284)</f>
        <v/>
      </c>
      <c r="E1285" s="11" t="str">
        <f aca="false">IF($A1285="","",IF(원본명단!$H1284="",0,COUNTIF(원본명단!$H$3:$H$6002,원본명단!$H1284)))</f>
        <v/>
      </c>
      <c r="F1285" s="11" t="str">
        <f aca="false">IF($A1285="","",IF(원본명단!$I1284="",0,COUNTIF(원본명단!$I$3:$I$6002,원본명단!$I1284)))</f>
        <v/>
      </c>
      <c r="G1285" s="11" t="str">
        <f aca="false">IF($A1285="","",IF(원본명단!$K1284="",0,COUNTIF(원본명단!$K$3:$K$6002,원본명단!$K1284)))</f>
        <v/>
      </c>
      <c r="H1285" s="11" t="str">
        <f aca="false">IF($A1285="","",IF(MAX($E1285,$F1285,$G1285)&gt;1,"중복","-"))</f>
        <v/>
      </c>
      <c r="I1285" s="11" t="str">
        <f aca="false">IF($A1285="","",IF($H1285="-","-",IF(AND(IF(원본명단!$H1284="",TRUE(),COUNTIF(원본명단!$H$3:$H1284,원본명단!$H1284)=1),IF(원본명단!$I1284="",TRUE(),COUNTIF(원본명단!$I$3:$I1284,원본명단!$I1284)=1),IF(원본명단!$K1284="",TRUE(),COUNTIF(원본명단!$K$3:$K1284,원본명단!$K1284)=1)),"첫 건","중복 건")))</f>
        <v/>
      </c>
      <c r="J1285" s="11" t="str">
        <f aca="false">IF($A1285="","",IF($H1285="-","유지",IF($I1285="첫 건","유지","확인 필요")))</f>
        <v/>
      </c>
    </row>
    <row r="1286" customFormat="false" ht="15" hidden="false" customHeight="true" outlineLevel="0" collapsed="false">
      <c r="A1286" s="11" t="str">
        <f aca="false">IF(원본명단!$A1285="","",1283)</f>
        <v/>
      </c>
      <c r="B1286" s="12" t="str">
        <f aca="false">IF($A1286="","",원본명단!$A1285)</f>
        <v/>
      </c>
      <c r="C1286" s="12" t="str">
        <f aca="false">IF($A1286="","",원본명단!$B1285)</f>
        <v/>
      </c>
      <c r="D1286" s="12" t="str">
        <f aca="false">IF($A1286="","",원본명단!$D1285)</f>
        <v/>
      </c>
      <c r="E1286" s="11" t="str">
        <f aca="false">IF($A1286="","",IF(원본명단!$H1285="",0,COUNTIF(원본명단!$H$3:$H$6002,원본명단!$H1285)))</f>
        <v/>
      </c>
      <c r="F1286" s="11" t="str">
        <f aca="false">IF($A1286="","",IF(원본명단!$I1285="",0,COUNTIF(원본명단!$I$3:$I$6002,원본명단!$I1285)))</f>
        <v/>
      </c>
      <c r="G1286" s="11" t="str">
        <f aca="false">IF($A1286="","",IF(원본명단!$K1285="",0,COUNTIF(원본명단!$K$3:$K$6002,원본명단!$K1285)))</f>
        <v/>
      </c>
      <c r="H1286" s="11" t="str">
        <f aca="false">IF($A1286="","",IF(MAX($E1286,$F1286,$G1286)&gt;1,"중복","-"))</f>
        <v/>
      </c>
      <c r="I1286" s="11" t="str">
        <f aca="false">IF($A1286="","",IF($H1286="-","-",IF(AND(IF(원본명단!$H1285="",TRUE(),COUNTIF(원본명단!$H$3:$H1285,원본명단!$H1285)=1),IF(원본명단!$I1285="",TRUE(),COUNTIF(원본명단!$I$3:$I1285,원본명단!$I1285)=1),IF(원본명단!$K1285="",TRUE(),COUNTIF(원본명단!$K$3:$K1285,원본명단!$K1285)=1)),"첫 건","중복 건")))</f>
        <v/>
      </c>
      <c r="J1286" s="11" t="str">
        <f aca="false">IF($A1286="","",IF($H1286="-","유지",IF($I1286="첫 건","유지","확인 필요")))</f>
        <v/>
      </c>
    </row>
    <row r="1287" customFormat="false" ht="15" hidden="false" customHeight="true" outlineLevel="0" collapsed="false">
      <c r="A1287" s="11" t="str">
        <f aca="false">IF(원본명단!$A1286="","",1284)</f>
        <v/>
      </c>
      <c r="B1287" s="12" t="str">
        <f aca="false">IF($A1287="","",원본명단!$A1286)</f>
        <v/>
      </c>
      <c r="C1287" s="12" t="str">
        <f aca="false">IF($A1287="","",원본명단!$B1286)</f>
        <v/>
      </c>
      <c r="D1287" s="12" t="str">
        <f aca="false">IF($A1287="","",원본명단!$D1286)</f>
        <v/>
      </c>
      <c r="E1287" s="11" t="str">
        <f aca="false">IF($A1287="","",IF(원본명단!$H1286="",0,COUNTIF(원본명단!$H$3:$H$6002,원본명단!$H1286)))</f>
        <v/>
      </c>
      <c r="F1287" s="11" t="str">
        <f aca="false">IF($A1287="","",IF(원본명단!$I1286="",0,COUNTIF(원본명단!$I$3:$I$6002,원본명단!$I1286)))</f>
        <v/>
      </c>
      <c r="G1287" s="11" t="str">
        <f aca="false">IF($A1287="","",IF(원본명단!$K1286="",0,COUNTIF(원본명단!$K$3:$K$6002,원본명단!$K1286)))</f>
        <v/>
      </c>
      <c r="H1287" s="11" t="str">
        <f aca="false">IF($A1287="","",IF(MAX($E1287,$F1287,$G1287)&gt;1,"중복","-"))</f>
        <v/>
      </c>
      <c r="I1287" s="11" t="str">
        <f aca="false">IF($A1287="","",IF($H1287="-","-",IF(AND(IF(원본명단!$H1286="",TRUE(),COUNTIF(원본명단!$H$3:$H1286,원본명단!$H1286)=1),IF(원본명단!$I1286="",TRUE(),COUNTIF(원본명단!$I$3:$I1286,원본명단!$I1286)=1),IF(원본명단!$K1286="",TRUE(),COUNTIF(원본명단!$K$3:$K1286,원본명단!$K1286)=1)),"첫 건","중복 건")))</f>
        <v/>
      </c>
      <c r="J1287" s="11" t="str">
        <f aca="false">IF($A1287="","",IF($H1287="-","유지",IF($I1287="첫 건","유지","확인 필요")))</f>
        <v/>
      </c>
    </row>
    <row r="1288" customFormat="false" ht="15" hidden="false" customHeight="true" outlineLevel="0" collapsed="false">
      <c r="A1288" s="11" t="str">
        <f aca="false">IF(원본명단!$A1287="","",1285)</f>
        <v/>
      </c>
      <c r="B1288" s="12" t="str">
        <f aca="false">IF($A1288="","",원본명단!$A1287)</f>
        <v/>
      </c>
      <c r="C1288" s="12" t="str">
        <f aca="false">IF($A1288="","",원본명단!$B1287)</f>
        <v/>
      </c>
      <c r="D1288" s="12" t="str">
        <f aca="false">IF($A1288="","",원본명단!$D1287)</f>
        <v/>
      </c>
      <c r="E1288" s="11" t="str">
        <f aca="false">IF($A1288="","",IF(원본명단!$H1287="",0,COUNTIF(원본명단!$H$3:$H$6002,원본명단!$H1287)))</f>
        <v/>
      </c>
      <c r="F1288" s="11" t="str">
        <f aca="false">IF($A1288="","",IF(원본명단!$I1287="",0,COUNTIF(원본명단!$I$3:$I$6002,원본명단!$I1287)))</f>
        <v/>
      </c>
      <c r="G1288" s="11" t="str">
        <f aca="false">IF($A1288="","",IF(원본명단!$K1287="",0,COUNTIF(원본명단!$K$3:$K$6002,원본명단!$K1287)))</f>
        <v/>
      </c>
      <c r="H1288" s="11" t="str">
        <f aca="false">IF($A1288="","",IF(MAX($E1288,$F1288,$G1288)&gt;1,"중복","-"))</f>
        <v/>
      </c>
      <c r="I1288" s="11" t="str">
        <f aca="false">IF($A1288="","",IF($H1288="-","-",IF(AND(IF(원본명단!$H1287="",TRUE(),COUNTIF(원본명단!$H$3:$H1287,원본명단!$H1287)=1),IF(원본명단!$I1287="",TRUE(),COUNTIF(원본명단!$I$3:$I1287,원본명단!$I1287)=1),IF(원본명단!$K1287="",TRUE(),COUNTIF(원본명단!$K$3:$K1287,원본명단!$K1287)=1)),"첫 건","중복 건")))</f>
        <v/>
      </c>
      <c r="J1288" s="11" t="str">
        <f aca="false">IF($A1288="","",IF($H1288="-","유지",IF($I1288="첫 건","유지","확인 필요")))</f>
        <v/>
      </c>
    </row>
    <row r="1289" customFormat="false" ht="15" hidden="false" customHeight="true" outlineLevel="0" collapsed="false">
      <c r="A1289" s="11" t="str">
        <f aca="false">IF(원본명단!$A1288="","",1286)</f>
        <v/>
      </c>
      <c r="B1289" s="12" t="str">
        <f aca="false">IF($A1289="","",원본명단!$A1288)</f>
        <v/>
      </c>
      <c r="C1289" s="12" t="str">
        <f aca="false">IF($A1289="","",원본명단!$B1288)</f>
        <v/>
      </c>
      <c r="D1289" s="12" t="str">
        <f aca="false">IF($A1289="","",원본명단!$D1288)</f>
        <v/>
      </c>
      <c r="E1289" s="11" t="str">
        <f aca="false">IF($A1289="","",IF(원본명단!$H1288="",0,COUNTIF(원본명단!$H$3:$H$6002,원본명단!$H1288)))</f>
        <v/>
      </c>
      <c r="F1289" s="11" t="str">
        <f aca="false">IF($A1289="","",IF(원본명단!$I1288="",0,COUNTIF(원본명단!$I$3:$I$6002,원본명단!$I1288)))</f>
        <v/>
      </c>
      <c r="G1289" s="11" t="str">
        <f aca="false">IF($A1289="","",IF(원본명단!$K1288="",0,COUNTIF(원본명단!$K$3:$K$6002,원본명단!$K1288)))</f>
        <v/>
      </c>
      <c r="H1289" s="11" t="str">
        <f aca="false">IF($A1289="","",IF(MAX($E1289,$F1289,$G1289)&gt;1,"중복","-"))</f>
        <v/>
      </c>
      <c r="I1289" s="11" t="str">
        <f aca="false">IF($A1289="","",IF($H1289="-","-",IF(AND(IF(원본명단!$H1288="",TRUE(),COUNTIF(원본명단!$H$3:$H1288,원본명단!$H1288)=1),IF(원본명단!$I1288="",TRUE(),COUNTIF(원본명단!$I$3:$I1288,원본명단!$I1288)=1),IF(원본명단!$K1288="",TRUE(),COUNTIF(원본명단!$K$3:$K1288,원본명단!$K1288)=1)),"첫 건","중복 건")))</f>
        <v/>
      </c>
      <c r="J1289" s="11" t="str">
        <f aca="false">IF($A1289="","",IF($H1289="-","유지",IF($I1289="첫 건","유지","확인 필요")))</f>
        <v/>
      </c>
    </row>
    <row r="1290" customFormat="false" ht="15" hidden="false" customHeight="true" outlineLevel="0" collapsed="false">
      <c r="A1290" s="11" t="str">
        <f aca="false">IF(원본명단!$A1289="","",1287)</f>
        <v/>
      </c>
      <c r="B1290" s="12" t="str">
        <f aca="false">IF($A1290="","",원본명단!$A1289)</f>
        <v/>
      </c>
      <c r="C1290" s="12" t="str">
        <f aca="false">IF($A1290="","",원본명단!$B1289)</f>
        <v/>
      </c>
      <c r="D1290" s="12" t="str">
        <f aca="false">IF($A1290="","",원본명단!$D1289)</f>
        <v/>
      </c>
      <c r="E1290" s="11" t="str">
        <f aca="false">IF($A1290="","",IF(원본명단!$H1289="",0,COUNTIF(원본명단!$H$3:$H$6002,원본명단!$H1289)))</f>
        <v/>
      </c>
      <c r="F1290" s="11" t="str">
        <f aca="false">IF($A1290="","",IF(원본명단!$I1289="",0,COUNTIF(원본명단!$I$3:$I$6002,원본명단!$I1289)))</f>
        <v/>
      </c>
      <c r="G1290" s="11" t="str">
        <f aca="false">IF($A1290="","",IF(원본명단!$K1289="",0,COUNTIF(원본명단!$K$3:$K$6002,원본명단!$K1289)))</f>
        <v/>
      </c>
      <c r="H1290" s="11" t="str">
        <f aca="false">IF($A1290="","",IF(MAX($E1290,$F1290,$G1290)&gt;1,"중복","-"))</f>
        <v/>
      </c>
      <c r="I1290" s="11" t="str">
        <f aca="false">IF($A1290="","",IF($H1290="-","-",IF(AND(IF(원본명단!$H1289="",TRUE(),COUNTIF(원본명단!$H$3:$H1289,원본명단!$H1289)=1),IF(원본명단!$I1289="",TRUE(),COUNTIF(원본명단!$I$3:$I1289,원본명단!$I1289)=1),IF(원본명단!$K1289="",TRUE(),COUNTIF(원본명단!$K$3:$K1289,원본명단!$K1289)=1)),"첫 건","중복 건")))</f>
        <v/>
      </c>
      <c r="J1290" s="11" t="str">
        <f aca="false">IF($A1290="","",IF($H1290="-","유지",IF($I1290="첫 건","유지","확인 필요")))</f>
        <v/>
      </c>
    </row>
    <row r="1291" customFormat="false" ht="15" hidden="false" customHeight="true" outlineLevel="0" collapsed="false">
      <c r="A1291" s="11" t="str">
        <f aca="false">IF(원본명단!$A1290="","",1288)</f>
        <v/>
      </c>
      <c r="B1291" s="12" t="str">
        <f aca="false">IF($A1291="","",원본명단!$A1290)</f>
        <v/>
      </c>
      <c r="C1291" s="12" t="str">
        <f aca="false">IF($A1291="","",원본명단!$B1290)</f>
        <v/>
      </c>
      <c r="D1291" s="12" t="str">
        <f aca="false">IF($A1291="","",원본명단!$D1290)</f>
        <v/>
      </c>
      <c r="E1291" s="11" t="str">
        <f aca="false">IF($A1291="","",IF(원본명단!$H1290="",0,COUNTIF(원본명단!$H$3:$H$6002,원본명단!$H1290)))</f>
        <v/>
      </c>
      <c r="F1291" s="11" t="str">
        <f aca="false">IF($A1291="","",IF(원본명단!$I1290="",0,COUNTIF(원본명단!$I$3:$I$6002,원본명단!$I1290)))</f>
        <v/>
      </c>
      <c r="G1291" s="11" t="str">
        <f aca="false">IF($A1291="","",IF(원본명단!$K1290="",0,COUNTIF(원본명단!$K$3:$K$6002,원본명단!$K1290)))</f>
        <v/>
      </c>
      <c r="H1291" s="11" t="str">
        <f aca="false">IF($A1291="","",IF(MAX($E1291,$F1291,$G1291)&gt;1,"중복","-"))</f>
        <v/>
      </c>
      <c r="I1291" s="11" t="str">
        <f aca="false">IF($A1291="","",IF($H1291="-","-",IF(AND(IF(원본명단!$H1290="",TRUE(),COUNTIF(원본명단!$H$3:$H1290,원본명단!$H1290)=1),IF(원본명단!$I1290="",TRUE(),COUNTIF(원본명단!$I$3:$I1290,원본명단!$I1290)=1),IF(원본명단!$K1290="",TRUE(),COUNTIF(원본명단!$K$3:$K1290,원본명단!$K1290)=1)),"첫 건","중복 건")))</f>
        <v/>
      </c>
      <c r="J1291" s="11" t="str">
        <f aca="false">IF($A1291="","",IF($H1291="-","유지",IF($I1291="첫 건","유지","확인 필요")))</f>
        <v/>
      </c>
    </row>
    <row r="1292" customFormat="false" ht="15" hidden="false" customHeight="true" outlineLevel="0" collapsed="false">
      <c r="A1292" s="11" t="str">
        <f aca="false">IF(원본명단!$A1291="","",1289)</f>
        <v/>
      </c>
      <c r="B1292" s="12" t="str">
        <f aca="false">IF($A1292="","",원본명단!$A1291)</f>
        <v/>
      </c>
      <c r="C1292" s="12" t="str">
        <f aca="false">IF($A1292="","",원본명단!$B1291)</f>
        <v/>
      </c>
      <c r="D1292" s="12" t="str">
        <f aca="false">IF($A1292="","",원본명단!$D1291)</f>
        <v/>
      </c>
      <c r="E1292" s="11" t="str">
        <f aca="false">IF($A1292="","",IF(원본명단!$H1291="",0,COUNTIF(원본명단!$H$3:$H$6002,원본명단!$H1291)))</f>
        <v/>
      </c>
      <c r="F1292" s="11" t="str">
        <f aca="false">IF($A1292="","",IF(원본명단!$I1291="",0,COUNTIF(원본명단!$I$3:$I$6002,원본명단!$I1291)))</f>
        <v/>
      </c>
      <c r="G1292" s="11" t="str">
        <f aca="false">IF($A1292="","",IF(원본명단!$K1291="",0,COUNTIF(원본명단!$K$3:$K$6002,원본명단!$K1291)))</f>
        <v/>
      </c>
      <c r="H1292" s="11" t="str">
        <f aca="false">IF($A1292="","",IF(MAX($E1292,$F1292,$G1292)&gt;1,"중복","-"))</f>
        <v/>
      </c>
      <c r="I1292" s="11" t="str">
        <f aca="false">IF($A1292="","",IF($H1292="-","-",IF(AND(IF(원본명단!$H1291="",TRUE(),COUNTIF(원본명단!$H$3:$H1291,원본명단!$H1291)=1),IF(원본명단!$I1291="",TRUE(),COUNTIF(원본명단!$I$3:$I1291,원본명단!$I1291)=1),IF(원본명단!$K1291="",TRUE(),COUNTIF(원본명단!$K$3:$K1291,원본명단!$K1291)=1)),"첫 건","중복 건")))</f>
        <v/>
      </c>
      <c r="J1292" s="11" t="str">
        <f aca="false">IF($A1292="","",IF($H1292="-","유지",IF($I1292="첫 건","유지","확인 필요")))</f>
        <v/>
      </c>
    </row>
    <row r="1293" customFormat="false" ht="15" hidden="false" customHeight="true" outlineLevel="0" collapsed="false">
      <c r="A1293" s="11" t="str">
        <f aca="false">IF(원본명단!$A1292="","",1290)</f>
        <v/>
      </c>
      <c r="B1293" s="12" t="str">
        <f aca="false">IF($A1293="","",원본명단!$A1292)</f>
        <v/>
      </c>
      <c r="C1293" s="12" t="str">
        <f aca="false">IF($A1293="","",원본명단!$B1292)</f>
        <v/>
      </c>
      <c r="D1293" s="12" t="str">
        <f aca="false">IF($A1293="","",원본명단!$D1292)</f>
        <v/>
      </c>
      <c r="E1293" s="11" t="str">
        <f aca="false">IF($A1293="","",IF(원본명단!$H1292="",0,COUNTIF(원본명단!$H$3:$H$6002,원본명단!$H1292)))</f>
        <v/>
      </c>
      <c r="F1293" s="11" t="str">
        <f aca="false">IF($A1293="","",IF(원본명단!$I1292="",0,COUNTIF(원본명단!$I$3:$I$6002,원본명단!$I1292)))</f>
        <v/>
      </c>
      <c r="G1293" s="11" t="str">
        <f aca="false">IF($A1293="","",IF(원본명단!$K1292="",0,COUNTIF(원본명단!$K$3:$K$6002,원본명단!$K1292)))</f>
        <v/>
      </c>
      <c r="H1293" s="11" t="str">
        <f aca="false">IF($A1293="","",IF(MAX($E1293,$F1293,$G1293)&gt;1,"중복","-"))</f>
        <v/>
      </c>
      <c r="I1293" s="11" t="str">
        <f aca="false">IF($A1293="","",IF($H1293="-","-",IF(AND(IF(원본명단!$H1292="",TRUE(),COUNTIF(원본명단!$H$3:$H1292,원본명단!$H1292)=1),IF(원본명단!$I1292="",TRUE(),COUNTIF(원본명단!$I$3:$I1292,원본명단!$I1292)=1),IF(원본명단!$K1292="",TRUE(),COUNTIF(원본명단!$K$3:$K1292,원본명단!$K1292)=1)),"첫 건","중복 건")))</f>
        <v/>
      </c>
      <c r="J1293" s="11" t="str">
        <f aca="false">IF($A1293="","",IF($H1293="-","유지",IF($I1293="첫 건","유지","확인 필요")))</f>
        <v/>
      </c>
    </row>
    <row r="1294" customFormat="false" ht="15" hidden="false" customHeight="true" outlineLevel="0" collapsed="false">
      <c r="A1294" s="11" t="str">
        <f aca="false">IF(원본명단!$A1293="","",1291)</f>
        <v/>
      </c>
      <c r="B1294" s="12" t="str">
        <f aca="false">IF($A1294="","",원본명단!$A1293)</f>
        <v/>
      </c>
      <c r="C1294" s="12" t="str">
        <f aca="false">IF($A1294="","",원본명단!$B1293)</f>
        <v/>
      </c>
      <c r="D1294" s="12" t="str">
        <f aca="false">IF($A1294="","",원본명단!$D1293)</f>
        <v/>
      </c>
      <c r="E1294" s="11" t="str">
        <f aca="false">IF($A1294="","",IF(원본명단!$H1293="",0,COUNTIF(원본명단!$H$3:$H$6002,원본명단!$H1293)))</f>
        <v/>
      </c>
      <c r="F1294" s="11" t="str">
        <f aca="false">IF($A1294="","",IF(원본명단!$I1293="",0,COUNTIF(원본명단!$I$3:$I$6002,원본명단!$I1293)))</f>
        <v/>
      </c>
      <c r="G1294" s="11" t="str">
        <f aca="false">IF($A1294="","",IF(원본명단!$K1293="",0,COUNTIF(원본명단!$K$3:$K$6002,원본명단!$K1293)))</f>
        <v/>
      </c>
      <c r="H1294" s="11" t="str">
        <f aca="false">IF($A1294="","",IF(MAX($E1294,$F1294,$G1294)&gt;1,"중복","-"))</f>
        <v/>
      </c>
      <c r="I1294" s="11" t="str">
        <f aca="false">IF($A1294="","",IF($H1294="-","-",IF(AND(IF(원본명단!$H1293="",TRUE(),COUNTIF(원본명단!$H$3:$H1293,원본명단!$H1293)=1),IF(원본명단!$I1293="",TRUE(),COUNTIF(원본명단!$I$3:$I1293,원본명단!$I1293)=1),IF(원본명단!$K1293="",TRUE(),COUNTIF(원본명단!$K$3:$K1293,원본명단!$K1293)=1)),"첫 건","중복 건")))</f>
        <v/>
      </c>
      <c r="J1294" s="11" t="str">
        <f aca="false">IF($A1294="","",IF($H1294="-","유지",IF($I1294="첫 건","유지","확인 필요")))</f>
        <v/>
      </c>
    </row>
    <row r="1295" customFormat="false" ht="15" hidden="false" customHeight="true" outlineLevel="0" collapsed="false">
      <c r="A1295" s="11" t="str">
        <f aca="false">IF(원본명단!$A1294="","",1292)</f>
        <v/>
      </c>
      <c r="B1295" s="12" t="str">
        <f aca="false">IF($A1295="","",원본명단!$A1294)</f>
        <v/>
      </c>
      <c r="C1295" s="12" t="str">
        <f aca="false">IF($A1295="","",원본명단!$B1294)</f>
        <v/>
      </c>
      <c r="D1295" s="12" t="str">
        <f aca="false">IF($A1295="","",원본명단!$D1294)</f>
        <v/>
      </c>
      <c r="E1295" s="11" t="str">
        <f aca="false">IF($A1295="","",IF(원본명단!$H1294="",0,COUNTIF(원본명단!$H$3:$H$6002,원본명단!$H1294)))</f>
        <v/>
      </c>
      <c r="F1295" s="11" t="str">
        <f aca="false">IF($A1295="","",IF(원본명단!$I1294="",0,COUNTIF(원본명단!$I$3:$I$6002,원본명단!$I1294)))</f>
        <v/>
      </c>
      <c r="G1295" s="11" t="str">
        <f aca="false">IF($A1295="","",IF(원본명단!$K1294="",0,COUNTIF(원본명단!$K$3:$K$6002,원본명단!$K1294)))</f>
        <v/>
      </c>
      <c r="H1295" s="11" t="str">
        <f aca="false">IF($A1295="","",IF(MAX($E1295,$F1295,$G1295)&gt;1,"중복","-"))</f>
        <v/>
      </c>
      <c r="I1295" s="11" t="str">
        <f aca="false">IF($A1295="","",IF($H1295="-","-",IF(AND(IF(원본명단!$H1294="",TRUE(),COUNTIF(원본명단!$H$3:$H1294,원본명단!$H1294)=1),IF(원본명단!$I1294="",TRUE(),COUNTIF(원본명단!$I$3:$I1294,원본명단!$I1294)=1),IF(원본명단!$K1294="",TRUE(),COUNTIF(원본명단!$K$3:$K1294,원본명단!$K1294)=1)),"첫 건","중복 건")))</f>
        <v/>
      </c>
      <c r="J1295" s="11" t="str">
        <f aca="false">IF($A1295="","",IF($H1295="-","유지",IF($I1295="첫 건","유지","확인 필요")))</f>
        <v/>
      </c>
    </row>
    <row r="1296" customFormat="false" ht="15" hidden="false" customHeight="true" outlineLevel="0" collapsed="false">
      <c r="A1296" s="11" t="str">
        <f aca="false">IF(원본명단!$A1295="","",1293)</f>
        <v/>
      </c>
      <c r="B1296" s="12" t="str">
        <f aca="false">IF($A1296="","",원본명단!$A1295)</f>
        <v/>
      </c>
      <c r="C1296" s="12" t="str">
        <f aca="false">IF($A1296="","",원본명단!$B1295)</f>
        <v/>
      </c>
      <c r="D1296" s="12" t="str">
        <f aca="false">IF($A1296="","",원본명단!$D1295)</f>
        <v/>
      </c>
      <c r="E1296" s="11" t="str">
        <f aca="false">IF($A1296="","",IF(원본명단!$H1295="",0,COUNTIF(원본명단!$H$3:$H$6002,원본명단!$H1295)))</f>
        <v/>
      </c>
      <c r="F1296" s="11" t="str">
        <f aca="false">IF($A1296="","",IF(원본명단!$I1295="",0,COUNTIF(원본명단!$I$3:$I$6002,원본명단!$I1295)))</f>
        <v/>
      </c>
      <c r="G1296" s="11" t="str">
        <f aca="false">IF($A1296="","",IF(원본명단!$K1295="",0,COUNTIF(원본명단!$K$3:$K$6002,원본명단!$K1295)))</f>
        <v/>
      </c>
      <c r="H1296" s="11" t="str">
        <f aca="false">IF($A1296="","",IF(MAX($E1296,$F1296,$G1296)&gt;1,"중복","-"))</f>
        <v/>
      </c>
      <c r="I1296" s="11" t="str">
        <f aca="false">IF($A1296="","",IF($H1296="-","-",IF(AND(IF(원본명단!$H1295="",TRUE(),COUNTIF(원본명단!$H$3:$H1295,원본명단!$H1295)=1),IF(원본명단!$I1295="",TRUE(),COUNTIF(원본명단!$I$3:$I1295,원본명단!$I1295)=1),IF(원본명단!$K1295="",TRUE(),COUNTIF(원본명단!$K$3:$K1295,원본명단!$K1295)=1)),"첫 건","중복 건")))</f>
        <v/>
      </c>
      <c r="J1296" s="11" t="str">
        <f aca="false">IF($A1296="","",IF($H1296="-","유지",IF($I1296="첫 건","유지","확인 필요")))</f>
        <v/>
      </c>
    </row>
    <row r="1297" customFormat="false" ht="15" hidden="false" customHeight="true" outlineLevel="0" collapsed="false">
      <c r="A1297" s="11" t="str">
        <f aca="false">IF(원본명단!$A1296="","",1294)</f>
        <v/>
      </c>
      <c r="B1297" s="12" t="str">
        <f aca="false">IF($A1297="","",원본명단!$A1296)</f>
        <v/>
      </c>
      <c r="C1297" s="12" t="str">
        <f aca="false">IF($A1297="","",원본명단!$B1296)</f>
        <v/>
      </c>
      <c r="D1297" s="12" t="str">
        <f aca="false">IF($A1297="","",원본명단!$D1296)</f>
        <v/>
      </c>
      <c r="E1297" s="11" t="str">
        <f aca="false">IF($A1297="","",IF(원본명단!$H1296="",0,COUNTIF(원본명단!$H$3:$H$6002,원본명단!$H1296)))</f>
        <v/>
      </c>
      <c r="F1297" s="11" t="str">
        <f aca="false">IF($A1297="","",IF(원본명단!$I1296="",0,COUNTIF(원본명단!$I$3:$I$6002,원본명단!$I1296)))</f>
        <v/>
      </c>
      <c r="G1297" s="11" t="str">
        <f aca="false">IF($A1297="","",IF(원본명단!$K1296="",0,COUNTIF(원본명단!$K$3:$K$6002,원본명단!$K1296)))</f>
        <v/>
      </c>
      <c r="H1297" s="11" t="str">
        <f aca="false">IF($A1297="","",IF(MAX($E1297,$F1297,$G1297)&gt;1,"중복","-"))</f>
        <v/>
      </c>
      <c r="I1297" s="11" t="str">
        <f aca="false">IF($A1297="","",IF($H1297="-","-",IF(AND(IF(원본명단!$H1296="",TRUE(),COUNTIF(원본명단!$H$3:$H1296,원본명단!$H1296)=1),IF(원본명단!$I1296="",TRUE(),COUNTIF(원본명단!$I$3:$I1296,원본명단!$I1296)=1),IF(원본명단!$K1296="",TRUE(),COUNTIF(원본명단!$K$3:$K1296,원본명단!$K1296)=1)),"첫 건","중복 건")))</f>
        <v/>
      </c>
      <c r="J1297" s="11" t="str">
        <f aca="false">IF($A1297="","",IF($H1297="-","유지",IF($I1297="첫 건","유지","확인 필요")))</f>
        <v/>
      </c>
    </row>
    <row r="1298" customFormat="false" ht="15" hidden="false" customHeight="true" outlineLevel="0" collapsed="false">
      <c r="A1298" s="11" t="str">
        <f aca="false">IF(원본명단!$A1297="","",1295)</f>
        <v/>
      </c>
      <c r="B1298" s="12" t="str">
        <f aca="false">IF($A1298="","",원본명단!$A1297)</f>
        <v/>
      </c>
      <c r="C1298" s="12" t="str">
        <f aca="false">IF($A1298="","",원본명단!$B1297)</f>
        <v/>
      </c>
      <c r="D1298" s="12" t="str">
        <f aca="false">IF($A1298="","",원본명단!$D1297)</f>
        <v/>
      </c>
      <c r="E1298" s="11" t="str">
        <f aca="false">IF($A1298="","",IF(원본명단!$H1297="",0,COUNTIF(원본명단!$H$3:$H$6002,원본명단!$H1297)))</f>
        <v/>
      </c>
      <c r="F1298" s="11" t="str">
        <f aca="false">IF($A1298="","",IF(원본명단!$I1297="",0,COUNTIF(원본명단!$I$3:$I$6002,원본명단!$I1297)))</f>
        <v/>
      </c>
      <c r="G1298" s="11" t="str">
        <f aca="false">IF($A1298="","",IF(원본명단!$K1297="",0,COUNTIF(원본명단!$K$3:$K$6002,원본명단!$K1297)))</f>
        <v/>
      </c>
      <c r="H1298" s="11" t="str">
        <f aca="false">IF($A1298="","",IF(MAX($E1298,$F1298,$G1298)&gt;1,"중복","-"))</f>
        <v/>
      </c>
      <c r="I1298" s="11" t="str">
        <f aca="false">IF($A1298="","",IF($H1298="-","-",IF(AND(IF(원본명단!$H1297="",TRUE(),COUNTIF(원본명단!$H$3:$H1297,원본명단!$H1297)=1),IF(원본명단!$I1297="",TRUE(),COUNTIF(원본명단!$I$3:$I1297,원본명단!$I1297)=1),IF(원본명단!$K1297="",TRUE(),COUNTIF(원본명단!$K$3:$K1297,원본명단!$K1297)=1)),"첫 건","중복 건")))</f>
        <v/>
      </c>
      <c r="J1298" s="11" t="str">
        <f aca="false">IF($A1298="","",IF($H1298="-","유지",IF($I1298="첫 건","유지","확인 필요")))</f>
        <v/>
      </c>
    </row>
    <row r="1299" customFormat="false" ht="15" hidden="false" customHeight="true" outlineLevel="0" collapsed="false">
      <c r="A1299" s="11" t="str">
        <f aca="false">IF(원본명단!$A1298="","",1296)</f>
        <v/>
      </c>
      <c r="B1299" s="12" t="str">
        <f aca="false">IF($A1299="","",원본명단!$A1298)</f>
        <v/>
      </c>
      <c r="C1299" s="12" t="str">
        <f aca="false">IF($A1299="","",원본명단!$B1298)</f>
        <v/>
      </c>
      <c r="D1299" s="12" t="str">
        <f aca="false">IF($A1299="","",원본명단!$D1298)</f>
        <v/>
      </c>
      <c r="E1299" s="11" t="str">
        <f aca="false">IF($A1299="","",IF(원본명단!$H1298="",0,COUNTIF(원본명단!$H$3:$H$6002,원본명단!$H1298)))</f>
        <v/>
      </c>
      <c r="F1299" s="11" t="str">
        <f aca="false">IF($A1299="","",IF(원본명단!$I1298="",0,COUNTIF(원본명단!$I$3:$I$6002,원본명단!$I1298)))</f>
        <v/>
      </c>
      <c r="G1299" s="11" t="str">
        <f aca="false">IF($A1299="","",IF(원본명단!$K1298="",0,COUNTIF(원본명단!$K$3:$K$6002,원본명단!$K1298)))</f>
        <v/>
      </c>
      <c r="H1299" s="11" t="str">
        <f aca="false">IF($A1299="","",IF(MAX($E1299,$F1299,$G1299)&gt;1,"중복","-"))</f>
        <v/>
      </c>
      <c r="I1299" s="11" t="str">
        <f aca="false">IF($A1299="","",IF($H1299="-","-",IF(AND(IF(원본명단!$H1298="",TRUE(),COUNTIF(원본명단!$H$3:$H1298,원본명단!$H1298)=1),IF(원본명단!$I1298="",TRUE(),COUNTIF(원본명단!$I$3:$I1298,원본명단!$I1298)=1),IF(원본명단!$K1298="",TRUE(),COUNTIF(원본명단!$K$3:$K1298,원본명단!$K1298)=1)),"첫 건","중복 건")))</f>
        <v/>
      </c>
      <c r="J1299" s="11" t="str">
        <f aca="false">IF($A1299="","",IF($H1299="-","유지",IF($I1299="첫 건","유지","확인 필요")))</f>
        <v/>
      </c>
    </row>
    <row r="1300" customFormat="false" ht="15" hidden="false" customHeight="true" outlineLevel="0" collapsed="false">
      <c r="A1300" s="11" t="str">
        <f aca="false">IF(원본명단!$A1299="","",1297)</f>
        <v/>
      </c>
      <c r="B1300" s="12" t="str">
        <f aca="false">IF($A1300="","",원본명단!$A1299)</f>
        <v/>
      </c>
      <c r="C1300" s="12" t="str">
        <f aca="false">IF($A1300="","",원본명단!$B1299)</f>
        <v/>
      </c>
      <c r="D1300" s="12" t="str">
        <f aca="false">IF($A1300="","",원본명단!$D1299)</f>
        <v/>
      </c>
      <c r="E1300" s="11" t="str">
        <f aca="false">IF($A1300="","",IF(원본명단!$H1299="",0,COUNTIF(원본명단!$H$3:$H$6002,원본명단!$H1299)))</f>
        <v/>
      </c>
      <c r="F1300" s="11" t="str">
        <f aca="false">IF($A1300="","",IF(원본명단!$I1299="",0,COUNTIF(원본명단!$I$3:$I$6002,원본명단!$I1299)))</f>
        <v/>
      </c>
      <c r="G1300" s="11" t="str">
        <f aca="false">IF($A1300="","",IF(원본명단!$K1299="",0,COUNTIF(원본명단!$K$3:$K$6002,원본명단!$K1299)))</f>
        <v/>
      </c>
      <c r="H1300" s="11" t="str">
        <f aca="false">IF($A1300="","",IF(MAX($E1300,$F1300,$G1300)&gt;1,"중복","-"))</f>
        <v/>
      </c>
      <c r="I1300" s="11" t="str">
        <f aca="false">IF($A1300="","",IF($H1300="-","-",IF(AND(IF(원본명단!$H1299="",TRUE(),COUNTIF(원본명단!$H$3:$H1299,원본명단!$H1299)=1),IF(원본명단!$I1299="",TRUE(),COUNTIF(원본명단!$I$3:$I1299,원본명단!$I1299)=1),IF(원본명단!$K1299="",TRUE(),COUNTIF(원본명단!$K$3:$K1299,원본명단!$K1299)=1)),"첫 건","중복 건")))</f>
        <v/>
      </c>
      <c r="J1300" s="11" t="str">
        <f aca="false">IF($A1300="","",IF($H1300="-","유지",IF($I1300="첫 건","유지","확인 필요")))</f>
        <v/>
      </c>
    </row>
    <row r="1301" customFormat="false" ht="15" hidden="false" customHeight="true" outlineLevel="0" collapsed="false">
      <c r="A1301" s="11" t="str">
        <f aca="false">IF(원본명단!$A1300="","",1298)</f>
        <v/>
      </c>
      <c r="B1301" s="12" t="str">
        <f aca="false">IF($A1301="","",원본명단!$A1300)</f>
        <v/>
      </c>
      <c r="C1301" s="12" t="str">
        <f aca="false">IF($A1301="","",원본명단!$B1300)</f>
        <v/>
      </c>
      <c r="D1301" s="12" t="str">
        <f aca="false">IF($A1301="","",원본명단!$D1300)</f>
        <v/>
      </c>
      <c r="E1301" s="11" t="str">
        <f aca="false">IF($A1301="","",IF(원본명단!$H1300="",0,COUNTIF(원본명단!$H$3:$H$6002,원본명단!$H1300)))</f>
        <v/>
      </c>
      <c r="F1301" s="11" t="str">
        <f aca="false">IF($A1301="","",IF(원본명단!$I1300="",0,COUNTIF(원본명단!$I$3:$I$6002,원본명단!$I1300)))</f>
        <v/>
      </c>
      <c r="G1301" s="11" t="str">
        <f aca="false">IF($A1301="","",IF(원본명단!$K1300="",0,COUNTIF(원본명단!$K$3:$K$6002,원본명단!$K1300)))</f>
        <v/>
      </c>
      <c r="H1301" s="11" t="str">
        <f aca="false">IF($A1301="","",IF(MAX($E1301,$F1301,$G1301)&gt;1,"중복","-"))</f>
        <v/>
      </c>
      <c r="I1301" s="11" t="str">
        <f aca="false">IF($A1301="","",IF($H1301="-","-",IF(AND(IF(원본명단!$H1300="",TRUE(),COUNTIF(원본명단!$H$3:$H1300,원본명단!$H1300)=1),IF(원본명단!$I1300="",TRUE(),COUNTIF(원본명단!$I$3:$I1300,원본명단!$I1300)=1),IF(원본명단!$K1300="",TRUE(),COUNTIF(원본명단!$K$3:$K1300,원본명단!$K1300)=1)),"첫 건","중복 건")))</f>
        <v/>
      </c>
      <c r="J1301" s="11" t="str">
        <f aca="false">IF($A1301="","",IF($H1301="-","유지",IF($I1301="첫 건","유지","확인 필요")))</f>
        <v/>
      </c>
    </row>
    <row r="1302" customFormat="false" ht="15" hidden="false" customHeight="true" outlineLevel="0" collapsed="false">
      <c r="A1302" s="11" t="str">
        <f aca="false">IF(원본명단!$A1301="","",1299)</f>
        <v/>
      </c>
      <c r="B1302" s="12" t="str">
        <f aca="false">IF($A1302="","",원본명단!$A1301)</f>
        <v/>
      </c>
      <c r="C1302" s="12" t="str">
        <f aca="false">IF($A1302="","",원본명단!$B1301)</f>
        <v/>
      </c>
      <c r="D1302" s="12" t="str">
        <f aca="false">IF($A1302="","",원본명단!$D1301)</f>
        <v/>
      </c>
      <c r="E1302" s="11" t="str">
        <f aca="false">IF($A1302="","",IF(원본명단!$H1301="",0,COUNTIF(원본명단!$H$3:$H$6002,원본명단!$H1301)))</f>
        <v/>
      </c>
      <c r="F1302" s="11" t="str">
        <f aca="false">IF($A1302="","",IF(원본명단!$I1301="",0,COUNTIF(원본명단!$I$3:$I$6002,원본명단!$I1301)))</f>
        <v/>
      </c>
      <c r="G1302" s="11" t="str">
        <f aca="false">IF($A1302="","",IF(원본명단!$K1301="",0,COUNTIF(원본명단!$K$3:$K$6002,원본명단!$K1301)))</f>
        <v/>
      </c>
      <c r="H1302" s="11" t="str">
        <f aca="false">IF($A1302="","",IF(MAX($E1302,$F1302,$G1302)&gt;1,"중복","-"))</f>
        <v/>
      </c>
      <c r="I1302" s="11" t="str">
        <f aca="false">IF($A1302="","",IF($H1302="-","-",IF(AND(IF(원본명단!$H1301="",TRUE(),COUNTIF(원본명단!$H$3:$H1301,원본명단!$H1301)=1),IF(원본명단!$I1301="",TRUE(),COUNTIF(원본명단!$I$3:$I1301,원본명단!$I1301)=1),IF(원본명단!$K1301="",TRUE(),COUNTIF(원본명단!$K$3:$K1301,원본명단!$K1301)=1)),"첫 건","중복 건")))</f>
        <v/>
      </c>
      <c r="J1302" s="11" t="str">
        <f aca="false">IF($A1302="","",IF($H1302="-","유지",IF($I1302="첫 건","유지","확인 필요")))</f>
        <v/>
      </c>
    </row>
    <row r="1303" customFormat="false" ht="15" hidden="false" customHeight="true" outlineLevel="0" collapsed="false">
      <c r="A1303" s="11" t="str">
        <f aca="false">IF(원본명단!$A1302="","",1300)</f>
        <v/>
      </c>
      <c r="B1303" s="12" t="str">
        <f aca="false">IF($A1303="","",원본명단!$A1302)</f>
        <v/>
      </c>
      <c r="C1303" s="12" t="str">
        <f aca="false">IF($A1303="","",원본명단!$B1302)</f>
        <v/>
      </c>
      <c r="D1303" s="12" t="str">
        <f aca="false">IF($A1303="","",원본명단!$D1302)</f>
        <v/>
      </c>
      <c r="E1303" s="11" t="str">
        <f aca="false">IF($A1303="","",IF(원본명단!$H1302="",0,COUNTIF(원본명단!$H$3:$H$6002,원본명단!$H1302)))</f>
        <v/>
      </c>
      <c r="F1303" s="11" t="str">
        <f aca="false">IF($A1303="","",IF(원본명단!$I1302="",0,COUNTIF(원본명단!$I$3:$I$6002,원본명단!$I1302)))</f>
        <v/>
      </c>
      <c r="G1303" s="11" t="str">
        <f aca="false">IF($A1303="","",IF(원본명단!$K1302="",0,COUNTIF(원본명단!$K$3:$K$6002,원본명단!$K1302)))</f>
        <v/>
      </c>
      <c r="H1303" s="11" t="str">
        <f aca="false">IF($A1303="","",IF(MAX($E1303,$F1303,$G1303)&gt;1,"중복","-"))</f>
        <v/>
      </c>
      <c r="I1303" s="11" t="str">
        <f aca="false">IF($A1303="","",IF($H1303="-","-",IF(AND(IF(원본명단!$H1302="",TRUE(),COUNTIF(원본명단!$H$3:$H1302,원본명단!$H1302)=1),IF(원본명단!$I1302="",TRUE(),COUNTIF(원본명단!$I$3:$I1302,원본명단!$I1302)=1),IF(원본명단!$K1302="",TRUE(),COUNTIF(원본명단!$K$3:$K1302,원본명단!$K1302)=1)),"첫 건","중복 건")))</f>
        <v/>
      </c>
      <c r="J1303" s="11" t="str">
        <f aca="false">IF($A1303="","",IF($H1303="-","유지",IF($I1303="첫 건","유지","확인 필요")))</f>
        <v/>
      </c>
    </row>
    <row r="1304" customFormat="false" ht="15" hidden="false" customHeight="true" outlineLevel="0" collapsed="false">
      <c r="A1304" s="11" t="str">
        <f aca="false">IF(원본명단!$A1303="","",1301)</f>
        <v/>
      </c>
      <c r="B1304" s="12" t="str">
        <f aca="false">IF($A1304="","",원본명단!$A1303)</f>
        <v/>
      </c>
      <c r="C1304" s="12" t="str">
        <f aca="false">IF($A1304="","",원본명단!$B1303)</f>
        <v/>
      </c>
      <c r="D1304" s="12" t="str">
        <f aca="false">IF($A1304="","",원본명단!$D1303)</f>
        <v/>
      </c>
      <c r="E1304" s="11" t="str">
        <f aca="false">IF($A1304="","",IF(원본명단!$H1303="",0,COUNTIF(원본명단!$H$3:$H$6002,원본명단!$H1303)))</f>
        <v/>
      </c>
      <c r="F1304" s="11" t="str">
        <f aca="false">IF($A1304="","",IF(원본명단!$I1303="",0,COUNTIF(원본명단!$I$3:$I$6002,원본명단!$I1303)))</f>
        <v/>
      </c>
      <c r="G1304" s="11" t="str">
        <f aca="false">IF($A1304="","",IF(원본명단!$K1303="",0,COUNTIF(원본명단!$K$3:$K$6002,원본명단!$K1303)))</f>
        <v/>
      </c>
      <c r="H1304" s="11" t="str">
        <f aca="false">IF($A1304="","",IF(MAX($E1304,$F1304,$G1304)&gt;1,"중복","-"))</f>
        <v/>
      </c>
      <c r="I1304" s="11" t="str">
        <f aca="false">IF($A1304="","",IF($H1304="-","-",IF(AND(IF(원본명단!$H1303="",TRUE(),COUNTIF(원본명단!$H$3:$H1303,원본명단!$H1303)=1),IF(원본명단!$I1303="",TRUE(),COUNTIF(원본명단!$I$3:$I1303,원본명단!$I1303)=1),IF(원본명단!$K1303="",TRUE(),COUNTIF(원본명단!$K$3:$K1303,원본명단!$K1303)=1)),"첫 건","중복 건")))</f>
        <v/>
      </c>
      <c r="J1304" s="11" t="str">
        <f aca="false">IF($A1304="","",IF($H1304="-","유지",IF($I1304="첫 건","유지","확인 필요")))</f>
        <v/>
      </c>
    </row>
    <row r="1305" customFormat="false" ht="15" hidden="false" customHeight="true" outlineLevel="0" collapsed="false">
      <c r="A1305" s="11" t="str">
        <f aca="false">IF(원본명단!$A1304="","",1302)</f>
        <v/>
      </c>
      <c r="B1305" s="12" t="str">
        <f aca="false">IF($A1305="","",원본명단!$A1304)</f>
        <v/>
      </c>
      <c r="C1305" s="12" t="str">
        <f aca="false">IF($A1305="","",원본명단!$B1304)</f>
        <v/>
      </c>
      <c r="D1305" s="12" t="str">
        <f aca="false">IF($A1305="","",원본명단!$D1304)</f>
        <v/>
      </c>
      <c r="E1305" s="11" t="str">
        <f aca="false">IF($A1305="","",IF(원본명단!$H1304="",0,COUNTIF(원본명단!$H$3:$H$6002,원본명단!$H1304)))</f>
        <v/>
      </c>
      <c r="F1305" s="11" t="str">
        <f aca="false">IF($A1305="","",IF(원본명단!$I1304="",0,COUNTIF(원본명단!$I$3:$I$6002,원본명단!$I1304)))</f>
        <v/>
      </c>
      <c r="G1305" s="11" t="str">
        <f aca="false">IF($A1305="","",IF(원본명단!$K1304="",0,COUNTIF(원본명단!$K$3:$K$6002,원본명단!$K1304)))</f>
        <v/>
      </c>
      <c r="H1305" s="11" t="str">
        <f aca="false">IF($A1305="","",IF(MAX($E1305,$F1305,$G1305)&gt;1,"중복","-"))</f>
        <v/>
      </c>
      <c r="I1305" s="11" t="str">
        <f aca="false">IF($A1305="","",IF($H1305="-","-",IF(AND(IF(원본명단!$H1304="",TRUE(),COUNTIF(원본명단!$H$3:$H1304,원본명단!$H1304)=1),IF(원본명단!$I1304="",TRUE(),COUNTIF(원본명단!$I$3:$I1304,원본명단!$I1304)=1),IF(원본명단!$K1304="",TRUE(),COUNTIF(원본명단!$K$3:$K1304,원본명단!$K1304)=1)),"첫 건","중복 건")))</f>
        <v/>
      </c>
      <c r="J1305" s="11" t="str">
        <f aca="false">IF($A1305="","",IF($H1305="-","유지",IF($I1305="첫 건","유지","확인 필요")))</f>
        <v/>
      </c>
    </row>
    <row r="1306" customFormat="false" ht="15" hidden="false" customHeight="true" outlineLevel="0" collapsed="false">
      <c r="A1306" s="11" t="str">
        <f aca="false">IF(원본명단!$A1305="","",1303)</f>
        <v/>
      </c>
      <c r="B1306" s="12" t="str">
        <f aca="false">IF($A1306="","",원본명단!$A1305)</f>
        <v/>
      </c>
      <c r="C1306" s="12" t="str">
        <f aca="false">IF($A1306="","",원본명단!$B1305)</f>
        <v/>
      </c>
      <c r="D1306" s="12" t="str">
        <f aca="false">IF($A1306="","",원본명단!$D1305)</f>
        <v/>
      </c>
      <c r="E1306" s="11" t="str">
        <f aca="false">IF($A1306="","",IF(원본명단!$H1305="",0,COUNTIF(원본명단!$H$3:$H$6002,원본명단!$H1305)))</f>
        <v/>
      </c>
      <c r="F1306" s="11" t="str">
        <f aca="false">IF($A1306="","",IF(원본명단!$I1305="",0,COUNTIF(원본명단!$I$3:$I$6002,원본명단!$I1305)))</f>
        <v/>
      </c>
      <c r="G1306" s="11" t="str">
        <f aca="false">IF($A1306="","",IF(원본명단!$K1305="",0,COUNTIF(원본명단!$K$3:$K$6002,원본명단!$K1305)))</f>
        <v/>
      </c>
      <c r="H1306" s="11" t="str">
        <f aca="false">IF($A1306="","",IF(MAX($E1306,$F1306,$G1306)&gt;1,"중복","-"))</f>
        <v/>
      </c>
      <c r="I1306" s="11" t="str">
        <f aca="false">IF($A1306="","",IF($H1306="-","-",IF(AND(IF(원본명단!$H1305="",TRUE(),COUNTIF(원본명단!$H$3:$H1305,원본명단!$H1305)=1),IF(원본명단!$I1305="",TRUE(),COUNTIF(원본명단!$I$3:$I1305,원본명단!$I1305)=1),IF(원본명단!$K1305="",TRUE(),COUNTIF(원본명단!$K$3:$K1305,원본명단!$K1305)=1)),"첫 건","중복 건")))</f>
        <v/>
      </c>
      <c r="J1306" s="11" t="str">
        <f aca="false">IF($A1306="","",IF($H1306="-","유지",IF($I1306="첫 건","유지","확인 필요")))</f>
        <v/>
      </c>
    </row>
    <row r="1307" customFormat="false" ht="15" hidden="false" customHeight="true" outlineLevel="0" collapsed="false">
      <c r="A1307" s="11" t="str">
        <f aca="false">IF(원본명단!$A1306="","",1304)</f>
        <v/>
      </c>
      <c r="B1307" s="12" t="str">
        <f aca="false">IF($A1307="","",원본명단!$A1306)</f>
        <v/>
      </c>
      <c r="C1307" s="12" t="str">
        <f aca="false">IF($A1307="","",원본명단!$B1306)</f>
        <v/>
      </c>
      <c r="D1307" s="12" t="str">
        <f aca="false">IF($A1307="","",원본명단!$D1306)</f>
        <v/>
      </c>
      <c r="E1307" s="11" t="str">
        <f aca="false">IF($A1307="","",IF(원본명단!$H1306="",0,COUNTIF(원본명단!$H$3:$H$6002,원본명단!$H1306)))</f>
        <v/>
      </c>
      <c r="F1307" s="11" t="str">
        <f aca="false">IF($A1307="","",IF(원본명단!$I1306="",0,COUNTIF(원본명단!$I$3:$I$6002,원본명단!$I1306)))</f>
        <v/>
      </c>
      <c r="G1307" s="11" t="str">
        <f aca="false">IF($A1307="","",IF(원본명단!$K1306="",0,COUNTIF(원본명단!$K$3:$K$6002,원본명단!$K1306)))</f>
        <v/>
      </c>
      <c r="H1307" s="11" t="str">
        <f aca="false">IF($A1307="","",IF(MAX($E1307,$F1307,$G1307)&gt;1,"중복","-"))</f>
        <v/>
      </c>
      <c r="I1307" s="11" t="str">
        <f aca="false">IF($A1307="","",IF($H1307="-","-",IF(AND(IF(원본명단!$H1306="",TRUE(),COUNTIF(원본명단!$H$3:$H1306,원본명단!$H1306)=1),IF(원본명단!$I1306="",TRUE(),COUNTIF(원본명단!$I$3:$I1306,원본명단!$I1306)=1),IF(원본명단!$K1306="",TRUE(),COUNTIF(원본명단!$K$3:$K1306,원본명단!$K1306)=1)),"첫 건","중복 건")))</f>
        <v/>
      </c>
      <c r="J1307" s="11" t="str">
        <f aca="false">IF($A1307="","",IF($H1307="-","유지",IF($I1307="첫 건","유지","확인 필요")))</f>
        <v/>
      </c>
    </row>
    <row r="1308" customFormat="false" ht="15" hidden="false" customHeight="true" outlineLevel="0" collapsed="false">
      <c r="A1308" s="11" t="str">
        <f aca="false">IF(원본명단!$A1307="","",1305)</f>
        <v/>
      </c>
      <c r="B1308" s="12" t="str">
        <f aca="false">IF($A1308="","",원본명단!$A1307)</f>
        <v/>
      </c>
      <c r="C1308" s="12" t="str">
        <f aca="false">IF($A1308="","",원본명단!$B1307)</f>
        <v/>
      </c>
      <c r="D1308" s="12" t="str">
        <f aca="false">IF($A1308="","",원본명단!$D1307)</f>
        <v/>
      </c>
      <c r="E1308" s="11" t="str">
        <f aca="false">IF($A1308="","",IF(원본명단!$H1307="",0,COUNTIF(원본명단!$H$3:$H$6002,원본명단!$H1307)))</f>
        <v/>
      </c>
      <c r="F1308" s="11" t="str">
        <f aca="false">IF($A1308="","",IF(원본명단!$I1307="",0,COUNTIF(원본명단!$I$3:$I$6002,원본명단!$I1307)))</f>
        <v/>
      </c>
      <c r="G1308" s="11" t="str">
        <f aca="false">IF($A1308="","",IF(원본명단!$K1307="",0,COUNTIF(원본명단!$K$3:$K$6002,원본명단!$K1307)))</f>
        <v/>
      </c>
      <c r="H1308" s="11" t="str">
        <f aca="false">IF($A1308="","",IF(MAX($E1308,$F1308,$G1308)&gt;1,"중복","-"))</f>
        <v/>
      </c>
      <c r="I1308" s="11" t="str">
        <f aca="false">IF($A1308="","",IF($H1308="-","-",IF(AND(IF(원본명단!$H1307="",TRUE(),COUNTIF(원본명단!$H$3:$H1307,원본명단!$H1307)=1),IF(원본명단!$I1307="",TRUE(),COUNTIF(원본명단!$I$3:$I1307,원본명단!$I1307)=1),IF(원본명단!$K1307="",TRUE(),COUNTIF(원본명단!$K$3:$K1307,원본명단!$K1307)=1)),"첫 건","중복 건")))</f>
        <v/>
      </c>
      <c r="J1308" s="11" t="str">
        <f aca="false">IF($A1308="","",IF($H1308="-","유지",IF($I1308="첫 건","유지","확인 필요")))</f>
        <v/>
      </c>
    </row>
    <row r="1309" customFormat="false" ht="15" hidden="false" customHeight="true" outlineLevel="0" collapsed="false">
      <c r="A1309" s="11" t="str">
        <f aca="false">IF(원본명단!$A1308="","",1306)</f>
        <v/>
      </c>
      <c r="B1309" s="12" t="str">
        <f aca="false">IF($A1309="","",원본명단!$A1308)</f>
        <v/>
      </c>
      <c r="C1309" s="12" t="str">
        <f aca="false">IF($A1309="","",원본명단!$B1308)</f>
        <v/>
      </c>
      <c r="D1309" s="12" t="str">
        <f aca="false">IF($A1309="","",원본명단!$D1308)</f>
        <v/>
      </c>
      <c r="E1309" s="11" t="str">
        <f aca="false">IF($A1309="","",IF(원본명단!$H1308="",0,COUNTIF(원본명단!$H$3:$H$6002,원본명단!$H1308)))</f>
        <v/>
      </c>
      <c r="F1309" s="11" t="str">
        <f aca="false">IF($A1309="","",IF(원본명단!$I1308="",0,COUNTIF(원본명단!$I$3:$I$6002,원본명단!$I1308)))</f>
        <v/>
      </c>
      <c r="G1309" s="11" t="str">
        <f aca="false">IF($A1309="","",IF(원본명단!$K1308="",0,COUNTIF(원본명단!$K$3:$K$6002,원본명단!$K1308)))</f>
        <v/>
      </c>
      <c r="H1309" s="11" t="str">
        <f aca="false">IF($A1309="","",IF(MAX($E1309,$F1309,$G1309)&gt;1,"중복","-"))</f>
        <v/>
      </c>
      <c r="I1309" s="11" t="str">
        <f aca="false">IF($A1309="","",IF($H1309="-","-",IF(AND(IF(원본명단!$H1308="",TRUE(),COUNTIF(원본명단!$H$3:$H1308,원본명단!$H1308)=1),IF(원본명단!$I1308="",TRUE(),COUNTIF(원본명단!$I$3:$I1308,원본명단!$I1308)=1),IF(원본명단!$K1308="",TRUE(),COUNTIF(원본명단!$K$3:$K1308,원본명단!$K1308)=1)),"첫 건","중복 건")))</f>
        <v/>
      </c>
      <c r="J1309" s="11" t="str">
        <f aca="false">IF($A1309="","",IF($H1309="-","유지",IF($I1309="첫 건","유지","확인 필요")))</f>
        <v/>
      </c>
    </row>
    <row r="1310" customFormat="false" ht="15" hidden="false" customHeight="true" outlineLevel="0" collapsed="false">
      <c r="A1310" s="11" t="str">
        <f aca="false">IF(원본명단!$A1309="","",1307)</f>
        <v/>
      </c>
      <c r="B1310" s="12" t="str">
        <f aca="false">IF($A1310="","",원본명단!$A1309)</f>
        <v/>
      </c>
      <c r="C1310" s="12" t="str">
        <f aca="false">IF($A1310="","",원본명단!$B1309)</f>
        <v/>
      </c>
      <c r="D1310" s="12" t="str">
        <f aca="false">IF($A1310="","",원본명단!$D1309)</f>
        <v/>
      </c>
      <c r="E1310" s="11" t="str">
        <f aca="false">IF($A1310="","",IF(원본명단!$H1309="",0,COUNTIF(원본명단!$H$3:$H$6002,원본명단!$H1309)))</f>
        <v/>
      </c>
      <c r="F1310" s="11" t="str">
        <f aca="false">IF($A1310="","",IF(원본명단!$I1309="",0,COUNTIF(원본명단!$I$3:$I$6002,원본명단!$I1309)))</f>
        <v/>
      </c>
      <c r="G1310" s="11" t="str">
        <f aca="false">IF($A1310="","",IF(원본명단!$K1309="",0,COUNTIF(원본명단!$K$3:$K$6002,원본명단!$K1309)))</f>
        <v/>
      </c>
      <c r="H1310" s="11" t="str">
        <f aca="false">IF($A1310="","",IF(MAX($E1310,$F1310,$G1310)&gt;1,"중복","-"))</f>
        <v/>
      </c>
      <c r="I1310" s="11" t="str">
        <f aca="false">IF($A1310="","",IF($H1310="-","-",IF(AND(IF(원본명단!$H1309="",TRUE(),COUNTIF(원본명단!$H$3:$H1309,원본명단!$H1309)=1),IF(원본명단!$I1309="",TRUE(),COUNTIF(원본명단!$I$3:$I1309,원본명단!$I1309)=1),IF(원본명단!$K1309="",TRUE(),COUNTIF(원본명단!$K$3:$K1309,원본명단!$K1309)=1)),"첫 건","중복 건")))</f>
        <v/>
      </c>
      <c r="J1310" s="11" t="str">
        <f aca="false">IF($A1310="","",IF($H1310="-","유지",IF($I1310="첫 건","유지","확인 필요")))</f>
        <v/>
      </c>
    </row>
    <row r="1311" customFormat="false" ht="15" hidden="false" customHeight="true" outlineLevel="0" collapsed="false">
      <c r="A1311" s="11" t="str">
        <f aca="false">IF(원본명단!$A1310="","",1308)</f>
        <v/>
      </c>
      <c r="B1311" s="12" t="str">
        <f aca="false">IF($A1311="","",원본명단!$A1310)</f>
        <v/>
      </c>
      <c r="C1311" s="12" t="str">
        <f aca="false">IF($A1311="","",원본명단!$B1310)</f>
        <v/>
      </c>
      <c r="D1311" s="12" t="str">
        <f aca="false">IF($A1311="","",원본명단!$D1310)</f>
        <v/>
      </c>
      <c r="E1311" s="11" t="str">
        <f aca="false">IF($A1311="","",IF(원본명단!$H1310="",0,COUNTIF(원본명단!$H$3:$H$6002,원본명단!$H1310)))</f>
        <v/>
      </c>
      <c r="F1311" s="11" t="str">
        <f aca="false">IF($A1311="","",IF(원본명단!$I1310="",0,COUNTIF(원본명단!$I$3:$I$6002,원본명단!$I1310)))</f>
        <v/>
      </c>
      <c r="G1311" s="11" t="str">
        <f aca="false">IF($A1311="","",IF(원본명단!$K1310="",0,COUNTIF(원본명단!$K$3:$K$6002,원본명단!$K1310)))</f>
        <v/>
      </c>
      <c r="H1311" s="11" t="str">
        <f aca="false">IF($A1311="","",IF(MAX($E1311,$F1311,$G1311)&gt;1,"중복","-"))</f>
        <v/>
      </c>
      <c r="I1311" s="11" t="str">
        <f aca="false">IF($A1311="","",IF($H1311="-","-",IF(AND(IF(원본명단!$H1310="",TRUE(),COUNTIF(원본명단!$H$3:$H1310,원본명단!$H1310)=1),IF(원본명단!$I1310="",TRUE(),COUNTIF(원본명단!$I$3:$I1310,원본명단!$I1310)=1),IF(원본명단!$K1310="",TRUE(),COUNTIF(원본명단!$K$3:$K1310,원본명단!$K1310)=1)),"첫 건","중복 건")))</f>
        <v/>
      </c>
      <c r="J1311" s="11" t="str">
        <f aca="false">IF($A1311="","",IF($H1311="-","유지",IF($I1311="첫 건","유지","확인 필요")))</f>
        <v/>
      </c>
    </row>
    <row r="1312" customFormat="false" ht="15" hidden="false" customHeight="true" outlineLevel="0" collapsed="false">
      <c r="A1312" s="11" t="str">
        <f aca="false">IF(원본명단!$A1311="","",1309)</f>
        <v/>
      </c>
      <c r="B1312" s="12" t="str">
        <f aca="false">IF($A1312="","",원본명단!$A1311)</f>
        <v/>
      </c>
      <c r="C1312" s="12" t="str">
        <f aca="false">IF($A1312="","",원본명단!$B1311)</f>
        <v/>
      </c>
      <c r="D1312" s="12" t="str">
        <f aca="false">IF($A1312="","",원본명단!$D1311)</f>
        <v/>
      </c>
      <c r="E1312" s="11" t="str">
        <f aca="false">IF($A1312="","",IF(원본명단!$H1311="",0,COUNTIF(원본명단!$H$3:$H$6002,원본명단!$H1311)))</f>
        <v/>
      </c>
      <c r="F1312" s="11" t="str">
        <f aca="false">IF($A1312="","",IF(원본명단!$I1311="",0,COUNTIF(원본명단!$I$3:$I$6002,원본명단!$I1311)))</f>
        <v/>
      </c>
      <c r="G1312" s="11" t="str">
        <f aca="false">IF($A1312="","",IF(원본명단!$K1311="",0,COUNTIF(원본명단!$K$3:$K$6002,원본명단!$K1311)))</f>
        <v/>
      </c>
      <c r="H1312" s="11" t="str">
        <f aca="false">IF($A1312="","",IF(MAX($E1312,$F1312,$G1312)&gt;1,"중복","-"))</f>
        <v/>
      </c>
      <c r="I1312" s="11" t="str">
        <f aca="false">IF($A1312="","",IF($H1312="-","-",IF(AND(IF(원본명단!$H1311="",TRUE(),COUNTIF(원본명단!$H$3:$H1311,원본명단!$H1311)=1),IF(원본명단!$I1311="",TRUE(),COUNTIF(원본명단!$I$3:$I1311,원본명단!$I1311)=1),IF(원본명단!$K1311="",TRUE(),COUNTIF(원본명단!$K$3:$K1311,원본명단!$K1311)=1)),"첫 건","중복 건")))</f>
        <v/>
      </c>
      <c r="J1312" s="11" t="str">
        <f aca="false">IF($A1312="","",IF($H1312="-","유지",IF($I1312="첫 건","유지","확인 필요")))</f>
        <v/>
      </c>
    </row>
    <row r="1313" customFormat="false" ht="15" hidden="false" customHeight="true" outlineLevel="0" collapsed="false">
      <c r="A1313" s="11" t="str">
        <f aca="false">IF(원본명단!$A1312="","",1310)</f>
        <v/>
      </c>
      <c r="B1313" s="12" t="str">
        <f aca="false">IF($A1313="","",원본명단!$A1312)</f>
        <v/>
      </c>
      <c r="C1313" s="12" t="str">
        <f aca="false">IF($A1313="","",원본명단!$B1312)</f>
        <v/>
      </c>
      <c r="D1313" s="12" t="str">
        <f aca="false">IF($A1313="","",원본명단!$D1312)</f>
        <v/>
      </c>
      <c r="E1313" s="11" t="str">
        <f aca="false">IF($A1313="","",IF(원본명단!$H1312="",0,COUNTIF(원본명단!$H$3:$H$6002,원본명단!$H1312)))</f>
        <v/>
      </c>
      <c r="F1313" s="11" t="str">
        <f aca="false">IF($A1313="","",IF(원본명단!$I1312="",0,COUNTIF(원본명단!$I$3:$I$6002,원본명단!$I1312)))</f>
        <v/>
      </c>
      <c r="G1313" s="11" t="str">
        <f aca="false">IF($A1313="","",IF(원본명단!$K1312="",0,COUNTIF(원본명단!$K$3:$K$6002,원본명단!$K1312)))</f>
        <v/>
      </c>
      <c r="H1313" s="11" t="str">
        <f aca="false">IF($A1313="","",IF(MAX($E1313,$F1313,$G1313)&gt;1,"중복","-"))</f>
        <v/>
      </c>
      <c r="I1313" s="11" t="str">
        <f aca="false">IF($A1313="","",IF($H1313="-","-",IF(AND(IF(원본명단!$H1312="",TRUE(),COUNTIF(원본명단!$H$3:$H1312,원본명단!$H1312)=1),IF(원본명단!$I1312="",TRUE(),COUNTIF(원본명단!$I$3:$I1312,원본명단!$I1312)=1),IF(원본명단!$K1312="",TRUE(),COUNTIF(원본명단!$K$3:$K1312,원본명단!$K1312)=1)),"첫 건","중복 건")))</f>
        <v/>
      </c>
      <c r="J1313" s="11" t="str">
        <f aca="false">IF($A1313="","",IF($H1313="-","유지",IF($I1313="첫 건","유지","확인 필요")))</f>
        <v/>
      </c>
    </row>
    <row r="1314" customFormat="false" ht="15" hidden="false" customHeight="true" outlineLevel="0" collapsed="false">
      <c r="A1314" s="11" t="str">
        <f aca="false">IF(원본명단!$A1313="","",1311)</f>
        <v/>
      </c>
      <c r="B1314" s="12" t="str">
        <f aca="false">IF($A1314="","",원본명단!$A1313)</f>
        <v/>
      </c>
      <c r="C1314" s="12" t="str">
        <f aca="false">IF($A1314="","",원본명단!$B1313)</f>
        <v/>
      </c>
      <c r="D1314" s="12" t="str">
        <f aca="false">IF($A1314="","",원본명단!$D1313)</f>
        <v/>
      </c>
      <c r="E1314" s="11" t="str">
        <f aca="false">IF($A1314="","",IF(원본명단!$H1313="",0,COUNTIF(원본명단!$H$3:$H$6002,원본명단!$H1313)))</f>
        <v/>
      </c>
      <c r="F1314" s="11" t="str">
        <f aca="false">IF($A1314="","",IF(원본명단!$I1313="",0,COUNTIF(원본명단!$I$3:$I$6002,원본명단!$I1313)))</f>
        <v/>
      </c>
      <c r="G1314" s="11" t="str">
        <f aca="false">IF($A1314="","",IF(원본명단!$K1313="",0,COUNTIF(원본명단!$K$3:$K$6002,원본명단!$K1313)))</f>
        <v/>
      </c>
      <c r="H1314" s="11" t="str">
        <f aca="false">IF($A1314="","",IF(MAX($E1314,$F1314,$G1314)&gt;1,"중복","-"))</f>
        <v/>
      </c>
      <c r="I1314" s="11" t="str">
        <f aca="false">IF($A1314="","",IF($H1314="-","-",IF(AND(IF(원본명단!$H1313="",TRUE(),COUNTIF(원본명단!$H$3:$H1313,원본명단!$H1313)=1),IF(원본명단!$I1313="",TRUE(),COUNTIF(원본명단!$I$3:$I1313,원본명단!$I1313)=1),IF(원본명단!$K1313="",TRUE(),COUNTIF(원본명단!$K$3:$K1313,원본명단!$K1313)=1)),"첫 건","중복 건")))</f>
        <v/>
      </c>
      <c r="J1314" s="11" t="str">
        <f aca="false">IF($A1314="","",IF($H1314="-","유지",IF($I1314="첫 건","유지","확인 필요")))</f>
        <v/>
      </c>
    </row>
    <row r="1315" customFormat="false" ht="15" hidden="false" customHeight="true" outlineLevel="0" collapsed="false">
      <c r="A1315" s="11" t="str">
        <f aca="false">IF(원본명단!$A1314="","",1312)</f>
        <v/>
      </c>
      <c r="B1315" s="12" t="str">
        <f aca="false">IF($A1315="","",원본명단!$A1314)</f>
        <v/>
      </c>
      <c r="C1315" s="12" t="str">
        <f aca="false">IF($A1315="","",원본명단!$B1314)</f>
        <v/>
      </c>
      <c r="D1315" s="12" t="str">
        <f aca="false">IF($A1315="","",원본명단!$D1314)</f>
        <v/>
      </c>
      <c r="E1315" s="11" t="str">
        <f aca="false">IF($A1315="","",IF(원본명단!$H1314="",0,COUNTIF(원본명단!$H$3:$H$6002,원본명단!$H1314)))</f>
        <v/>
      </c>
      <c r="F1315" s="11" t="str">
        <f aca="false">IF($A1315="","",IF(원본명단!$I1314="",0,COUNTIF(원본명단!$I$3:$I$6002,원본명단!$I1314)))</f>
        <v/>
      </c>
      <c r="G1315" s="11" t="str">
        <f aca="false">IF($A1315="","",IF(원본명단!$K1314="",0,COUNTIF(원본명단!$K$3:$K$6002,원본명단!$K1314)))</f>
        <v/>
      </c>
      <c r="H1315" s="11" t="str">
        <f aca="false">IF($A1315="","",IF(MAX($E1315,$F1315,$G1315)&gt;1,"중복","-"))</f>
        <v/>
      </c>
      <c r="I1315" s="11" t="str">
        <f aca="false">IF($A1315="","",IF($H1315="-","-",IF(AND(IF(원본명단!$H1314="",TRUE(),COUNTIF(원본명단!$H$3:$H1314,원본명단!$H1314)=1),IF(원본명단!$I1314="",TRUE(),COUNTIF(원본명단!$I$3:$I1314,원본명단!$I1314)=1),IF(원본명단!$K1314="",TRUE(),COUNTIF(원본명단!$K$3:$K1314,원본명단!$K1314)=1)),"첫 건","중복 건")))</f>
        <v/>
      </c>
      <c r="J1315" s="11" t="str">
        <f aca="false">IF($A1315="","",IF($H1315="-","유지",IF($I1315="첫 건","유지","확인 필요")))</f>
        <v/>
      </c>
    </row>
    <row r="1316" customFormat="false" ht="15" hidden="false" customHeight="true" outlineLevel="0" collapsed="false">
      <c r="A1316" s="11" t="str">
        <f aca="false">IF(원본명단!$A1315="","",1313)</f>
        <v/>
      </c>
      <c r="B1316" s="12" t="str">
        <f aca="false">IF($A1316="","",원본명단!$A1315)</f>
        <v/>
      </c>
      <c r="C1316" s="12" t="str">
        <f aca="false">IF($A1316="","",원본명단!$B1315)</f>
        <v/>
      </c>
      <c r="D1316" s="12" t="str">
        <f aca="false">IF($A1316="","",원본명단!$D1315)</f>
        <v/>
      </c>
      <c r="E1316" s="11" t="str">
        <f aca="false">IF($A1316="","",IF(원본명단!$H1315="",0,COUNTIF(원본명단!$H$3:$H$6002,원본명단!$H1315)))</f>
        <v/>
      </c>
      <c r="F1316" s="11" t="str">
        <f aca="false">IF($A1316="","",IF(원본명단!$I1315="",0,COUNTIF(원본명단!$I$3:$I$6002,원본명단!$I1315)))</f>
        <v/>
      </c>
      <c r="G1316" s="11" t="str">
        <f aca="false">IF($A1316="","",IF(원본명단!$K1315="",0,COUNTIF(원본명단!$K$3:$K$6002,원본명단!$K1315)))</f>
        <v/>
      </c>
      <c r="H1316" s="11" t="str">
        <f aca="false">IF($A1316="","",IF(MAX($E1316,$F1316,$G1316)&gt;1,"중복","-"))</f>
        <v/>
      </c>
      <c r="I1316" s="11" t="str">
        <f aca="false">IF($A1316="","",IF($H1316="-","-",IF(AND(IF(원본명단!$H1315="",TRUE(),COUNTIF(원본명단!$H$3:$H1315,원본명단!$H1315)=1),IF(원본명단!$I1315="",TRUE(),COUNTIF(원본명단!$I$3:$I1315,원본명단!$I1315)=1),IF(원본명단!$K1315="",TRUE(),COUNTIF(원본명단!$K$3:$K1315,원본명단!$K1315)=1)),"첫 건","중복 건")))</f>
        <v/>
      </c>
      <c r="J1316" s="11" t="str">
        <f aca="false">IF($A1316="","",IF($H1316="-","유지",IF($I1316="첫 건","유지","확인 필요")))</f>
        <v/>
      </c>
    </row>
    <row r="1317" customFormat="false" ht="15" hidden="false" customHeight="true" outlineLevel="0" collapsed="false">
      <c r="A1317" s="11" t="str">
        <f aca="false">IF(원본명단!$A1316="","",1314)</f>
        <v/>
      </c>
      <c r="B1317" s="12" t="str">
        <f aca="false">IF($A1317="","",원본명단!$A1316)</f>
        <v/>
      </c>
      <c r="C1317" s="12" t="str">
        <f aca="false">IF($A1317="","",원본명단!$B1316)</f>
        <v/>
      </c>
      <c r="D1317" s="12" t="str">
        <f aca="false">IF($A1317="","",원본명단!$D1316)</f>
        <v/>
      </c>
      <c r="E1317" s="11" t="str">
        <f aca="false">IF($A1317="","",IF(원본명단!$H1316="",0,COUNTIF(원본명단!$H$3:$H$6002,원본명단!$H1316)))</f>
        <v/>
      </c>
      <c r="F1317" s="11" t="str">
        <f aca="false">IF($A1317="","",IF(원본명단!$I1316="",0,COUNTIF(원본명단!$I$3:$I$6002,원본명단!$I1316)))</f>
        <v/>
      </c>
      <c r="G1317" s="11" t="str">
        <f aca="false">IF($A1317="","",IF(원본명단!$K1316="",0,COUNTIF(원본명단!$K$3:$K$6002,원본명단!$K1316)))</f>
        <v/>
      </c>
      <c r="H1317" s="11" t="str">
        <f aca="false">IF($A1317="","",IF(MAX($E1317,$F1317,$G1317)&gt;1,"중복","-"))</f>
        <v/>
      </c>
      <c r="I1317" s="11" t="str">
        <f aca="false">IF($A1317="","",IF($H1317="-","-",IF(AND(IF(원본명단!$H1316="",TRUE(),COUNTIF(원본명단!$H$3:$H1316,원본명단!$H1316)=1),IF(원본명단!$I1316="",TRUE(),COUNTIF(원본명단!$I$3:$I1316,원본명단!$I1316)=1),IF(원본명단!$K1316="",TRUE(),COUNTIF(원본명단!$K$3:$K1316,원본명단!$K1316)=1)),"첫 건","중복 건")))</f>
        <v/>
      </c>
      <c r="J1317" s="11" t="str">
        <f aca="false">IF($A1317="","",IF($H1317="-","유지",IF($I1317="첫 건","유지","확인 필요")))</f>
        <v/>
      </c>
    </row>
    <row r="1318" customFormat="false" ht="15" hidden="false" customHeight="true" outlineLevel="0" collapsed="false">
      <c r="A1318" s="11" t="str">
        <f aca="false">IF(원본명단!$A1317="","",1315)</f>
        <v/>
      </c>
      <c r="B1318" s="12" t="str">
        <f aca="false">IF($A1318="","",원본명단!$A1317)</f>
        <v/>
      </c>
      <c r="C1318" s="12" t="str">
        <f aca="false">IF($A1318="","",원본명단!$B1317)</f>
        <v/>
      </c>
      <c r="D1318" s="12" t="str">
        <f aca="false">IF($A1318="","",원본명단!$D1317)</f>
        <v/>
      </c>
      <c r="E1318" s="11" t="str">
        <f aca="false">IF($A1318="","",IF(원본명단!$H1317="",0,COUNTIF(원본명단!$H$3:$H$6002,원본명단!$H1317)))</f>
        <v/>
      </c>
      <c r="F1318" s="11" t="str">
        <f aca="false">IF($A1318="","",IF(원본명단!$I1317="",0,COUNTIF(원본명단!$I$3:$I$6002,원본명단!$I1317)))</f>
        <v/>
      </c>
      <c r="G1318" s="11" t="str">
        <f aca="false">IF($A1318="","",IF(원본명단!$K1317="",0,COUNTIF(원본명단!$K$3:$K$6002,원본명단!$K1317)))</f>
        <v/>
      </c>
      <c r="H1318" s="11" t="str">
        <f aca="false">IF($A1318="","",IF(MAX($E1318,$F1318,$G1318)&gt;1,"중복","-"))</f>
        <v/>
      </c>
      <c r="I1318" s="11" t="str">
        <f aca="false">IF($A1318="","",IF($H1318="-","-",IF(AND(IF(원본명단!$H1317="",TRUE(),COUNTIF(원본명단!$H$3:$H1317,원본명단!$H1317)=1),IF(원본명단!$I1317="",TRUE(),COUNTIF(원본명단!$I$3:$I1317,원본명단!$I1317)=1),IF(원본명단!$K1317="",TRUE(),COUNTIF(원본명단!$K$3:$K1317,원본명단!$K1317)=1)),"첫 건","중복 건")))</f>
        <v/>
      </c>
      <c r="J1318" s="11" t="str">
        <f aca="false">IF($A1318="","",IF($H1318="-","유지",IF($I1318="첫 건","유지","확인 필요")))</f>
        <v/>
      </c>
    </row>
    <row r="1319" customFormat="false" ht="15" hidden="false" customHeight="true" outlineLevel="0" collapsed="false">
      <c r="A1319" s="11" t="str">
        <f aca="false">IF(원본명단!$A1318="","",1316)</f>
        <v/>
      </c>
      <c r="B1319" s="12" t="str">
        <f aca="false">IF($A1319="","",원본명단!$A1318)</f>
        <v/>
      </c>
      <c r="C1319" s="12" t="str">
        <f aca="false">IF($A1319="","",원본명단!$B1318)</f>
        <v/>
      </c>
      <c r="D1319" s="12" t="str">
        <f aca="false">IF($A1319="","",원본명단!$D1318)</f>
        <v/>
      </c>
      <c r="E1319" s="11" t="str">
        <f aca="false">IF($A1319="","",IF(원본명단!$H1318="",0,COUNTIF(원본명단!$H$3:$H$6002,원본명단!$H1318)))</f>
        <v/>
      </c>
      <c r="F1319" s="11" t="str">
        <f aca="false">IF($A1319="","",IF(원본명단!$I1318="",0,COUNTIF(원본명단!$I$3:$I$6002,원본명단!$I1318)))</f>
        <v/>
      </c>
      <c r="G1319" s="11" t="str">
        <f aca="false">IF($A1319="","",IF(원본명단!$K1318="",0,COUNTIF(원본명단!$K$3:$K$6002,원본명단!$K1318)))</f>
        <v/>
      </c>
      <c r="H1319" s="11" t="str">
        <f aca="false">IF($A1319="","",IF(MAX($E1319,$F1319,$G1319)&gt;1,"중복","-"))</f>
        <v/>
      </c>
      <c r="I1319" s="11" t="str">
        <f aca="false">IF($A1319="","",IF($H1319="-","-",IF(AND(IF(원본명단!$H1318="",TRUE(),COUNTIF(원본명단!$H$3:$H1318,원본명단!$H1318)=1),IF(원본명단!$I1318="",TRUE(),COUNTIF(원본명단!$I$3:$I1318,원본명단!$I1318)=1),IF(원본명단!$K1318="",TRUE(),COUNTIF(원본명단!$K$3:$K1318,원본명단!$K1318)=1)),"첫 건","중복 건")))</f>
        <v/>
      </c>
      <c r="J1319" s="11" t="str">
        <f aca="false">IF($A1319="","",IF($H1319="-","유지",IF($I1319="첫 건","유지","확인 필요")))</f>
        <v/>
      </c>
    </row>
    <row r="1320" customFormat="false" ht="15" hidden="false" customHeight="true" outlineLevel="0" collapsed="false">
      <c r="A1320" s="11" t="str">
        <f aca="false">IF(원본명단!$A1319="","",1317)</f>
        <v/>
      </c>
      <c r="B1320" s="12" t="str">
        <f aca="false">IF($A1320="","",원본명단!$A1319)</f>
        <v/>
      </c>
      <c r="C1320" s="12" t="str">
        <f aca="false">IF($A1320="","",원본명단!$B1319)</f>
        <v/>
      </c>
      <c r="D1320" s="12" t="str">
        <f aca="false">IF($A1320="","",원본명단!$D1319)</f>
        <v/>
      </c>
      <c r="E1320" s="11" t="str">
        <f aca="false">IF($A1320="","",IF(원본명단!$H1319="",0,COUNTIF(원본명단!$H$3:$H$6002,원본명단!$H1319)))</f>
        <v/>
      </c>
      <c r="F1320" s="11" t="str">
        <f aca="false">IF($A1320="","",IF(원본명단!$I1319="",0,COUNTIF(원본명단!$I$3:$I$6002,원본명단!$I1319)))</f>
        <v/>
      </c>
      <c r="G1320" s="11" t="str">
        <f aca="false">IF($A1320="","",IF(원본명단!$K1319="",0,COUNTIF(원본명단!$K$3:$K$6002,원본명단!$K1319)))</f>
        <v/>
      </c>
      <c r="H1320" s="11" t="str">
        <f aca="false">IF($A1320="","",IF(MAX($E1320,$F1320,$G1320)&gt;1,"중복","-"))</f>
        <v/>
      </c>
      <c r="I1320" s="11" t="str">
        <f aca="false">IF($A1320="","",IF($H1320="-","-",IF(AND(IF(원본명단!$H1319="",TRUE(),COUNTIF(원본명단!$H$3:$H1319,원본명단!$H1319)=1),IF(원본명단!$I1319="",TRUE(),COUNTIF(원본명단!$I$3:$I1319,원본명단!$I1319)=1),IF(원본명단!$K1319="",TRUE(),COUNTIF(원본명단!$K$3:$K1319,원본명단!$K1319)=1)),"첫 건","중복 건")))</f>
        <v/>
      </c>
      <c r="J1320" s="11" t="str">
        <f aca="false">IF($A1320="","",IF($H1320="-","유지",IF($I1320="첫 건","유지","확인 필요")))</f>
        <v/>
      </c>
    </row>
    <row r="1321" customFormat="false" ht="15" hidden="false" customHeight="true" outlineLevel="0" collapsed="false">
      <c r="A1321" s="11" t="str">
        <f aca="false">IF(원본명단!$A1320="","",1318)</f>
        <v/>
      </c>
      <c r="B1321" s="12" t="str">
        <f aca="false">IF($A1321="","",원본명단!$A1320)</f>
        <v/>
      </c>
      <c r="C1321" s="12" t="str">
        <f aca="false">IF($A1321="","",원본명단!$B1320)</f>
        <v/>
      </c>
      <c r="D1321" s="12" t="str">
        <f aca="false">IF($A1321="","",원본명단!$D1320)</f>
        <v/>
      </c>
      <c r="E1321" s="11" t="str">
        <f aca="false">IF($A1321="","",IF(원본명단!$H1320="",0,COUNTIF(원본명단!$H$3:$H$6002,원본명단!$H1320)))</f>
        <v/>
      </c>
      <c r="F1321" s="11" t="str">
        <f aca="false">IF($A1321="","",IF(원본명단!$I1320="",0,COUNTIF(원본명단!$I$3:$I$6002,원본명단!$I1320)))</f>
        <v/>
      </c>
      <c r="G1321" s="11" t="str">
        <f aca="false">IF($A1321="","",IF(원본명단!$K1320="",0,COUNTIF(원본명단!$K$3:$K$6002,원본명단!$K1320)))</f>
        <v/>
      </c>
      <c r="H1321" s="11" t="str">
        <f aca="false">IF($A1321="","",IF(MAX($E1321,$F1321,$G1321)&gt;1,"중복","-"))</f>
        <v/>
      </c>
      <c r="I1321" s="11" t="str">
        <f aca="false">IF($A1321="","",IF($H1321="-","-",IF(AND(IF(원본명단!$H1320="",TRUE(),COUNTIF(원본명단!$H$3:$H1320,원본명단!$H1320)=1),IF(원본명단!$I1320="",TRUE(),COUNTIF(원본명단!$I$3:$I1320,원본명단!$I1320)=1),IF(원본명단!$K1320="",TRUE(),COUNTIF(원본명단!$K$3:$K1320,원본명단!$K1320)=1)),"첫 건","중복 건")))</f>
        <v/>
      </c>
      <c r="J1321" s="11" t="str">
        <f aca="false">IF($A1321="","",IF($H1321="-","유지",IF($I1321="첫 건","유지","확인 필요")))</f>
        <v/>
      </c>
    </row>
    <row r="1322" customFormat="false" ht="15" hidden="false" customHeight="true" outlineLevel="0" collapsed="false">
      <c r="A1322" s="11" t="str">
        <f aca="false">IF(원본명단!$A1321="","",1319)</f>
        <v/>
      </c>
      <c r="B1322" s="12" t="str">
        <f aca="false">IF($A1322="","",원본명단!$A1321)</f>
        <v/>
      </c>
      <c r="C1322" s="12" t="str">
        <f aca="false">IF($A1322="","",원본명단!$B1321)</f>
        <v/>
      </c>
      <c r="D1322" s="12" t="str">
        <f aca="false">IF($A1322="","",원본명단!$D1321)</f>
        <v/>
      </c>
      <c r="E1322" s="11" t="str">
        <f aca="false">IF($A1322="","",IF(원본명단!$H1321="",0,COUNTIF(원본명단!$H$3:$H$6002,원본명단!$H1321)))</f>
        <v/>
      </c>
      <c r="F1322" s="11" t="str">
        <f aca="false">IF($A1322="","",IF(원본명단!$I1321="",0,COUNTIF(원본명단!$I$3:$I$6002,원본명단!$I1321)))</f>
        <v/>
      </c>
      <c r="G1322" s="11" t="str">
        <f aca="false">IF($A1322="","",IF(원본명단!$K1321="",0,COUNTIF(원본명단!$K$3:$K$6002,원본명단!$K1321)))</f>
        <v/>
      </c>
      <c r="H1322" s="11" t="str">
        <f aca="false">IF($A1322="","",IF(MAX($E1322,$F1322,$G1322)&gt;1,"중복","-"))</f>
        <v/>
      </c>
      <c r="I1322" s="11" t="str">
        <f aca="false">IF($A1322="","",IF($H1322="-","-",IF(AND(IF(원본명단!$H1321="",TRUE(),COUNTIF(원본명단!$H$3:$H1321,원본명단!$H1321)=1),IF(원본명단!$I1321="",TRUE(),COUNTIF(원본명단!$I$3:$I1321,원본명단!$I1321)=1),IF(원본명단!$K1321="",TRUE(),COUNTIF(원본명단!$K$3:$K1321,원본명단!$K1321)=1)),"첫 건","중복 건")))</f>
        <v/>
      </c>
      <c r="J1322" s="11" t="str">
        <f aca="false">IF($A1322="","",IF($H1322="-","유지",IF($I1322="첫 건","유지","확인 필요")))</f>
        <v/>
      </c>
    </row>
    <row r="1323" customFormat="false" ht="15" hidden="false" customHeight="true" outlineLevel="0" collapsed="false">
      <c r="A1323" s="11" t="str">
        <f aca="false">IF(원본명단!$A1322="","",1320)</f>
        <v/>
      </c>
      <c r="B1323" s="12" t="str">
        <f aca="false">IF($A1323="","",원본명단!$A1322)</f>
        <v/>
      </c>
      <c r="C1323" s="12" t="str">
        <f aca="false">IF($A1323="","",원본명단!$B1322)</f>
        <v/>
      </c>
      <c r="D1323" s="12" t="str">
        <f aca="false">IF($A1323="","",원본명단!$D1322)</f>
        <v/>
      </c>
      <c r="E1323" s="11" t="str">
        <f aca="false">IF($A1323="","",IF(원본명단!$H1322="",0,COUNTIF(원본명단!$H$3:$H$6002,원본명단!$H1322)))</f>
        <v/>
      </c>
      <c r="F1323" s="11" t="str">
        <f aca="false">IF($A1323="","",IF(원본명단!$I1322="",0,COUNTIF(원본명단!$I$3:$I$6002,원본명단!$I1322)))</f>
        <v/>
      </c>
      <c r="G1323" s="11" t="str">
        <f aca="false">IF($A1323="","",IF(원본명단!$K1322="",0,COUNTIF(원본명단!$K$3:$K$6002,원본명단!$K1322)))</f>
        <v/>
      </c>
      <c r="H1323" s="11" t="str">
        <f aca="false">IF($A1323="","",IF(MAX($E1323,$F1323,$G1323)&gt;1,"중복","-"))</f>
        <v/>
      </c>
      <c r="I1323" s="11" t="str">
        <f aca="false">IF($A1323="","",IF($H1323="-","-",IF(AND(IF(원본명단!$H1322="",TRUE(),COUNTIF(원본명단!$H$3:$H1322,원본명단!$H1322)=1),IF(원본명단!$I1322="",TRUE(),COUNTIF(원본명단!$I$3:$I1322,원본명단!$I1322)=1),IF(원본명단!$K1322="",TRUE(),COUNTIF(원본명단!$K$3:$K1322,원본명단!$K1322)=1)),"첫 건","중복 건")))</f>
        <v/>
      </c>
      <c r="J1323" s="11" t="str">
        <f aca="false">IF($A1323="","",IF($H1323="-","유지",IF($I1323="첫 건","유지","확인 필요")))</f>
        <v/>
      </c>
    </row>
    <row r="1324" customFormat="false" ht="15" hidden="false" customHeight="true" outlineLevel="0" collapsed="false">
      <c r="A1324" s="11" t="str">
        <f aca="false">IF(원본명단!$A1323="","",1321)</f>
        <v/>
      </c>
      <c r="B1324" s="12" t="str">
        <f aca="false">IF($A1324="","",원본명단!$A1323)</f>
        <v/>
      </c>
      <c r="C1324" s="12" t="str">
        <f aca="false">IF($A1324="","",원본명단!$B1323)</f>
        <v/>
      </c>
      <c r="D1324" s="12" t="str">
        <f aca="false">IF($A1324="","",원본명단!$D1323)</f>
        <v/>
      </c>
      <c r="E1324" s="11" t="str">
        <f aca="false">IF($A1324="","",IF(원본명단!$H1323="",0,COUNTIF(원본명단!$H$3:$H$6002,원본명단!$H1323)))</f>
        <v/>
      </c>
      <c r="F1324" s="11" t="str">
        <f aca="false">IF($A1324="","",IF(원본명단!$I1323="",0,COUNTIF(원본명단!$I$3:$I$6002,원본명단!$I1323)))</f>
        <v/>
      </c>
      <c r="G1324" s="11" t="str">
        <f aca="false">IF($A1324="","",IF(원본명단!$K1323="",0,COUNTIF(원본명단!$K$3:$K$6002,원본명단!$K1323)))</f>
        <v/>
      </c>
      <c r="H1324" s="11" t="str">
        <f aca="false">IF($A1324="","",IF(MAX($E1324,$F1324,$G1324)&gt;1,"중복","-"))</f>
        <v/>
      </c>
      <c r="I1324" s="11" t="str">
        <f aca="false">IF($A1324="","",IF($H1324="-","-",IF(AND(IF(원본명단!$H1323="",TRUE(),COUNTIF(원본명단!$H$3:$H1323,원본명단!$H1323)=1),IF(원본명단!$I1323="",TRUE(),COUNTIF(원본명단!$I$3:$I1323,원본명단!$I1323)=1),IF(원본명단!$K1323="",TRUE(),COUNTIF(원본명단!$K$3:$K1323,원본명단!$K1323)=1)),"첫 건","중복 건")))</f>
        <v/>
      </c>
      <c r="J1324" s="11" t="str">
        <f aca="false">IF($A1324="","",IF($H1324="-","유지",IF($I1324="첫 건","유지","확인 필요")))</f>
        <v/>
      </c>
    </row>
    <row r="1325" customFormat="false" ht="15" hidden="false" customHeight="true" outlineLevel="0" collapsed="false">
      <c r="A1325" s="11" t="str">
        <f aca="false">IF(원본명단!$A1324="","",1322)</f>
        <v/>
      </c>
      <c r="B1325" s="12" t="str">
        <f aca="false">IF($A1325="","",원본명단!$A1324)</f>
        <v/>
      </c>
      <c r="C1325" s="12" t="str">
        <f aca="false">IF($A1325="","",원본명단!$B1324)</f>
        <v/>
      </c>
      <c r="D1325" s="12" t="str">
        <f aca="false">IF($A1325="","",원본명단!$D1324)</f>
        <v/>
      </c>
      <c r="E1325" s="11" t="str">
        <f aca="false">IF($A1325="","",IF(원본명단!$H1324="",0,COUNTIF(원본명단!$H$3:$H$6002,원본명단!$H1324)))</f>
        <v/>
      </c>
      <c r="F1325" s="11" t="str">
        <f aca="false">IF($A1325="","",IF(원본명단!$I1324="",0,COUNTIF(원본명단!$I$3:$I$6002,원본명단!$I1324)))</f>
        <v/>
      </c>
      <c r="G1325" s="11" t="str">
        <f aca="false">IF($A1325="","",IF(원본명단!$K1324="",0,COUNTIF(원본명단!$K$3:$K$6002,원본명단!$K1324)))</f>
        <v/>
      </c>
      <c r="H1325" s="11" t="str">
        <f aca="false">IF($A1325="","",IF(MAX($E1325,$F1325,$G1325)&gt;1,"중복","-"))</f>
        <v/>
      </c>
      <c r="I1325" s="11" t="str">
        <f aca="false">IF($A1325="","",IF($H1325="-","-",IF(AND(IF(원본명단!$H1324="",TRUE(),COUNTIF(원본명단!$H$3:$H1324,원본명단!$H1324)=1),IF(원본명단!$I1324="",TRUE(),COUNTIF(원본명단!$I$3:$I1324,원본명단!$I1324)=1),IF(원본명단!$K1324="",TRUE(),COUNTIF(원본명단!$K$3:$K1324,원본명단!$K1324)=1)),"첫 건","중복 건")))</f>
        <v/>
      </c>
      <c r="J1325" s="11" t="str">
        <f aca="false">IF($A1325="","",IF($H1325="-","유지",IF($I1325="첫 건","유지","확인 필요")))</f>
        <v/>
      </c>
    </row>
    <row r="1326" customFormat="false" ht="15" hidden="false" customHeight="true" outlineLevel="0" collapsed="false">
      <c r="A1326" s="11" t="str">
        <f aca="false">IF(원본명단!$A1325="","",1323)</f>
        <v/>
      </c>
      <c r="B1326" s="12" t="str">
        <f aca="false">IF($A1326="","",원본명단!$A1325)</f>
        <v/>
      </c>
      <c r="C1326" s="12" t="str">
        <f aca="false">IF($A1326="","",원본명단!$B1325)</f>
        <v/>
      </c>
      <c r="D1326" s="12" t="str">
        <f aca="false">IF($A1326="","",원본명단!$D1325)</f>
        <v/>
      </c>
      <c r="E1326" s="11" t="str">
        <f aca="false">IF($A1326="","",IF(원본명단!$H1325="",0,COUNTIF(원본명단!$H$3:$H$6002,원본명단!$H1325)))</f>
        <v/>
      </c>
      <c r="F1326" s="11" t="str">
        <f aca="false">IF($A1326="","",IF(원본명단!$I1325="",0,COUNTIF(원본명단!$I$3:$I$6002,원본명단!$I1325)))</f>
        <v/>
      </c>
      <c r="G1326" s="11" t="str">
        <f aca="false">IF($A1326="","",IF(원본명단!$K1325="",0,COUNTIF(원본명단!$K$3:$K$6002,원본명단!$K1325)))</f>
        <v/>
      </c>
      <c r="H1326" s="11" t="str">
        <f aca="false">IF($A1326="","",IF(MAX($E1326,$F1326,$G1326)&gt;1,"중복","-"))</f>
        <v/>
      </c>
      <c r="I1326" s="11" t="str">
        <f aca="false">IF($A1326="","",IF($H1326="-","-",IF(AND(IF(원본명단!$H1325="",TRUE(),COUNTIF(원본명단!$H$3:$H1325,원본명단!$H1325)=1),IF(원본명단!$I1325="",TRUE(),COUNTIF(원본명단!$I$3:$I1325,원본명단!$I1325)=1),IF(원본명단!$K1325="",TRUE(),COUNTIF(원본명단!$K$3:$K1325,원본명단!$K1325)=1)),"첫 건","중복 건")))</f>
        <v/>
      </c>
      <c r="J1326" s="11" t="str">
        <f aca="false">IF($A1326="","",IF($H1326="-","유지",IF($I1326="첫 건","유지","확인 필요")))</f>
        <v/>
      </c>
    </row>
    <row r="1327" customFormat="false" ht="15" hidden="false" customHeight="true" outlineLevel="0" collapsed="false">
      <c r="A1327" s="11" t="str">
        <f aca="false">IF(원본명단!$A1326="","",1324)</f>
        <v/>
      </c>
      <c r="B1327" s="12" t="str">
        <f aca="false">IF($A1327="","",원본명단!$A1326)</f>
        <v/>
      </c>
      <c r="C1327" s="12" t="str">
        <f aca="false">IF($A1327="","",원본명단!$B1326)</f>
        <v/>
      </c>
      <c r="D1327" s="12" t="str">
        <f aca="false">IF($A1327="","",원본명단!$D1326)</f>
        <v/>
      </c>
      <c r="E1327" s="11" t="str">
        <f aca="false">IF($A1327="","",IF(원본명단!$H1326="",0,COUNTIF(원본명단!$H$3:$H$6002,원본명단!$H1326)))</f>
        <v/>
      </c>
      <c r="F1327" s="11" t="str">
        <f aca="false">IF($A1327="","",IF(원본명단!$I1326="",0,COUNTIF(원본명단!$I$3:$I$6002,원본명단!$I1326)))</f>
        <v/>
      </c>
      <c r="G1327" s="11" t="str">
        <f aca="false">IF($A1327="","",IF(원본명단!$K1326="",0,COUNTIF(원본명단!$K$3:$K$6002,원본명단!$K1326)))</f>
        <v/>
      </c>
      <c r="H1327" s="11" t="str">
        <f aca="false">IF($A1327="","",IF(MAX($E1327,$F1327,$G1327)&gt;1,"중복","-"))</f>
        <v/>
      </c>
      <c r="I1327" s="11" t="str">
        <f aca="false">IF($A1327="","",IF($H1327="-","-",IF(AND(IF(원본명단!$H1326="",TRUE(),COUNTIF(원본명단!$H$3:$H1326,원본명단!$H1326)=1),IF(원본명단!$I1326="",TRUE(),COUNTIF(원본명단!$I$3:$I1326,원본명단!$I1326)=1),IF(원본명단!$K1326="",TRUE(),COUNTIF(원본명단!$K$3:$K1326,원본명단!$K1326)=1)),"첫 건","중복 건")))</f>
        <v/>
      </c>
      <c r="J1327" s="11" t="str">
        <f aca="false">IF($A1327="","",IF($H1327="-","유지",IF($I1327="첫 건","유지","확인 필요")))</f>
        <v/>
      </c>
    </row>
    <row r="1328" customFormat="false" ht="15" hidden="false" customHeight="true" outlineLevel="0" collapsed="false">
      <c r="A1328" s="11" t="str">
        <f aca="false">IF(원본명단!$A1327="","",1325)</f>
        <v/>
      </c>
      <c r="B1328" s="12" t="str">
        <f aca="false">IF($A1328="","",원본명단!$A1327)</f>
        <v/>
      </c>
      <c r="C1328" s="12" t="str">
        <f aca="false">IF($A1328="","",원본명단!$B1327)</f>
        <v/>
      </c>
      <c r="D1328" s="12" t="str">
        <f aca="false">IF($A1328="","",원본명단!$D1327)</f>
        <v/>
      </c>
      <c r="E1328" s="11" t="str">
        <f aca="false">IF($A1328="","",IF(원본명단!$H1327="",0,COUNTIF(원본명단!$H$3:$H$6002,원본명단!$H1327)))</f>
        <v/>
      </c>
      <c r="F1328" s="11" t="str">
        <f aca="false">IF($A1328="","",IF(원본명단!$I1327="",0,COUNTIF(원본명단!$I$3:$I$6002,원본명단!$I1327)))</f>
        <v/>
      </c>
      <c r="G1328" s="11" t="str">
        <f aca="false">IF($A1328="","",IF(원본명단!$K1327="",0,COUNTIF(원본명단!$K$3:$K$6002,원본명단!$K1327)))</f>
        <v/>
      </c>
      <c r="H1328" s="11" t="str">
        <f aca="false">IF($A1328="","",IF(MAX($E1328,$F1328,$G1328)&gt;1,"중복","-"))</f>
        <v/>
      </c>
      <c r="I1328" s="11" t="str">
        <f aca="false">IF($A1328="","",IF($H1328="-","-",IF(AND(IF(원본명단!$H1327="",TRUE(),COUNTIF(원본명단!$H$3:$H1327,원본명단!$H1327)=1),IF(원본명단!$I1327="",TRUE(),COUNTIF(원본명단!$I$3:$I1327,원본명단!$I1327)=1),IF(원본명단!$K1327="",TRUE(),COUNTIF(원본명단!$K$3:$K1327,원본명단!$K1327)=1)),"첫 건","중복 건")))</f>
        <v/>
      </c>
      <c r="J1328" s="11" t="str">
        <f aca="false">IF($A1328="","",IF($H1328="-","유지",IF($I1328="첫 건","유지","확인 필요")))</f>
        <v/>
      </c>
    </row>
    <row r="1329" customFormat="false" ht="15" hidden="false" customHeight="true" outlineLevel="0" collapsed="false">
      <c r="A1329" s="11" t="str">
        <f aca="false">IF(원본명단!$A1328="","",1326)</f>
        <v/>
      </c>
      <c r="B1329" s="12" t="str">
        <f aca="false">IF($A1329="","",원본명단!$A1328)</f>
        <v/>
      </c>
      <c r="C1329" s="12" t="str">
        <f aca="false">IF($A1329="","",원본명단!$B1328)</f>
        <v/>
      </c>
      <c r="D1329" s="12" t="str">
        <f aca="false">IF($A1329="","",원본명단!$D1328)</f>
        <v/>
      </c>
      <c r="E1329" s="11" t="str">
        <f aca="false">IF($A1329="","",IF(원본명단!$H1328="",0,COUNTIF(원본명단!$H$3:$H$6002,원본명단!$H1328)))</f>
        <v/>
      </c>
      <c r="F1329" s="11" t="str">
        <f aca="false">IF($A1329="","",IF(원본명단!$I1328="",0,COUNTIF(원본명단!$I$3:$I$6002,원본명단!$I1328)))</f>
        <v/>
      </c>
      <c r="G1329" s="11" t="str">
        <f aca="false">IF($A1329="","",IF(원본명단!$K1328="",0,COUNTIF(원본명단!$K$3:$K$6002,원본명단!$K1328)))</f>
        <v/>
      </c>
      <c r="H1329" s="11" t="str">
        <f aca="false">IF($A1329="","",IF(MAX($E1329,$F1329,$G1329)&gt;1,"중복","-"))</f>
        <v/>
      </c>
      <c r="I1329" s="11" t="str">
        <f aca="false">IF($A1329="","",IF($H1329="-","-",IF(AND(IF(원본명단!$H1328="",TRUE(),COUNTIF(원본명단!$H$3:$H1328,원본명단!$H1328)=1),IF(원본명단!$I1328="",TRUE(),COUNTIF(원본명단!$I$3:$I1328,원본명단!$I1328)=1),IF(원본명단!$K1328="",TRUE(),COUNTIF(원본명단!$K$3:$K1328,원본명단!$K1328)=1)),"첫 건","중복 건")))</f>
        <v/>
      </c>
      <c r="J1329" s="11" t="str">
        <f aca="false">IF($A1329="","",IF($H1329="-","유지",IF($I1329="첫 건","유지","확인 필요")))</f>
        <v/>
      </c>
    </row>
    <row r="1330" customFormat="false" ht="15" hidden="false" customHeight="true" outlineLevel="0" collapsed="false">
      <c r="A1330" s="11" t="str">
        <f aca="false">IF(원본명단!$A1329="","",1327)</f>
        <v/>
      </c>
      <c r="B1330" s="12" t="str">
        <f aca="false">IF($A1330="","",원본명단!$A1329)</f>
        <v/>
      </c>
      <c r="C1330" s="12" t="str">
        <f aca="false">IF($A1330="","",원본명단!$B1329)</f>
        <v/>
      </c>
      <c r="D1330" s="12" t="str">
        <f aca="false">IF($A1330="","",원본명단!$D1329)</f>
        <v/>
      </c>
      <c r="E1330" s="11" t="str">
        <f aca="false">IF($A1330="","",IF(원본명단!$H1329="",0,COUNTIF(원본명단!$H$3:$H$6002,원본명단!$H1329)))</f>
        <v/>
      </c>
      <c r="F1330" s="11" t="str">
        <f aca="false">IF($A1330="","",IF(원본명단!$I1329="",0,COUNTIF(원본명단!$I$3:$I$6002,원본명단!$I1329)))</f>
        <v/>
      </c>
      <c r="G1330" s="11" t="str">
        <f aca="false">IF($A1330="","",IF(원본명단!$K1329="",0,COUNTIF(원본명단!$K$3:$K$6002,원본명단!$K1329)))</f>
        <v/>
      </c>
      <c r="H1330" s="11" t="str">
        <f aca="false">IF($A1330="","",IF(MAX($E1330,$F1330,$G1330)&gt;1,"중복","-"))</f>
        <v/>
      </c>
      <c r="I1330" s="11" t="str">
        <f aca="false">IF($A1330="","",IF($H1330="-","-",IF(AND(IF(원본명단!$H1329="",TRUE(),COUNTIF(원본명단!$H$3:$H1329,원본명단!$H1329)=1),IF(원본명단!$I1329="",TRUE(),COUNTIF(원본명단!$I$3:$I1329,원본명단!$I1329)=1),IF(원본명단!$K1329="",TRUE(),COUNTIF(원본명단!$K$3:$K1329,원본명단!$K1329)=1)),"첫 건","중복 건")))</f>
        <v/>
      </c>
      <c r="J1330" s="11" t="str">
        <f aca="false">IF($A1330="","",IF($H1330="-","유지",IF($I1330="첫 건","유지","확인 필요")))</f>
        <v/>
      </c>
    </row>
    <row r="1331" customFormat="false" ht="15" hidden="false" customHeight="true" outlineLevel="0" collapsed="false">
      <c r="A1331" s="11" t="str">
        <f aca="false">IF(원본명단!$A1330="","",1328)</f>
        <v/>
      </c>
      <c r="B1331" s="12" t="str">
        <f aca="false">IF($A1331="","",원본명단!$A1330)</f>
        <v/>
      </c>
      <c r="C1331" s="12" t="str">
        <f aca="false">IF($A1331="","",원본명단!$B1330)</f>
        <v/>
      </c>
      <c r="D1331" s="12" t="str">
        <f aca="false">IF($A1331="","",원본명단!$D1330)</f>
        <v/>
      </c>
      <c r="E1331" s="11" t="str">
        <f aca="false">IF($A1331="","",IF(원본명단!$H1330="",0,COUNTIF(원본명단!$H$3:$H$6002,원본명단!$H1330)))</f>
        <v/>
      </c>
      <c r="F1331" s="11" t="str">
        <f aca="false">IF($A1331="","",IF(원본명단!$I1330="",0,COUNTIF(원본명단!$I$3:$I$6002,원본명단!$I1330)))</f>
        <v/>
      </c>
      <c r="G1331" s="11" t="str">
        <f aca="false">IF($A1331="","",IF(원본명단!$K1330="",0,COUNTIF(원본명단!$K$3:$K$6002,원본명단!$K1330)))</f>
        <v/>
      </c>
      <c r="H1331" s="11" t="str">
        <f aca="false">IF($A1331="","",IF(MAX($E1331,$F1331,$G1331)&gt;1,"중복","-"))</f>
        <v/>
      </c>
      <c r="I1331" s="11" t="str">
        <f aca="false">IF($A1331="","",IF($H1331="-","-",IF(AND(IF(원본명단!$H1330="",TRUE(),COUNTIF(원본명단!$H$3:$H1330,원본명단!$H1330)=1),IF(원본명단!$I1330="",TRUE(),COUNTIF(원본명단!$I$3:$I1330,원본명단!$I1330)=1),IF(원본명단!$K1330="",TRUE(),COUNTIF(원본명단!$K$3:$K1330,원본명단!$K1330)=1)),"첫 건","중복 건")))</f>
        <v/>
      </c>
      <c r="J1331" s="11" t="str">
        <f aca="false">IF($A1331="","",IF($H1331="-","유지",IF($I1331="첫 건","유지","확인 필요")))</f>
        <v/>
      </c>
    </row>
    <row r="1332" customFormat="false" ht="15" hidden="false" customHeight="true" outlineLevel="0" collapsed="false">
      <c r="A1332" s="11" t="str">
        <f aca="false">IF(원본명단!$A1331="","",1329)</f>
        <v/>
      </c>
      <c r="B1332" s="12" t="str">
        <f aca="false">IF($A1332="","",원본명단!$A1331)</f>
        <v/>
      </c>
      <c r="C1332" s="12" t="str">
        <f aca="false">IF($A1332="","",원본명단!$B1331)</f>
        <v/>
      </c>
      <c r="D1332" s="12" t="str">
        <f aca="false">IF($A1332="","",원본명단!$D1331)</f>
        <v/>
      </c>
      <c r="E1332" s="11" t="str">
        <f aca="false">IF($A1332="","",IF(원본명단!$H1331="",0,COUNTIF(원본명단!$H$3:$H$6002,원본명단!$H1331)))</f>
        <v/>
      </c>
      <c r="F1332" s="11" t="str">
        <f aca="false">IF($A1332="","",IF(원본명단!$I1331="",0,COUNTIF(원본명단!$I$3:$I$6002,원본명단!$I1331)))</f>
        <v/>
      </c>
      <c r="G1332" s="11" t="str">
        <f aca="false">IF($A1332="","",IF(원본명단!$K1331="",0,COUNTIF(원본명단!$K$3:$K$6002,원본명단!$K1331)))</f>
        <v/>
      </c>
      <c r="H1332" s="11" t="str">
        <f aca="false">IF($A1332="","",IF(MAX($E1332,$F1332,$G1332)&gt;1,"중복","-"))</f>
        <v/>
      </c>
      <c r="I1332" s="11" t="str">
        <f aca="false">IF($A1332="","",IF($H1332="-","-",IF(AND(IF(원본명단!$H1331="",TRUE(),COUNTIF(원본명단!$H$3:$H1331,원본명단!$H1331)=1),IF(원본명단!$I1331="",TRUE(),COUNTIF(원본명단!$I$3:$I1331,원본명단!$I1331)=1),IF(원본명단!$K1331="",TRUE(),COUNTIF(원본명단!$K$3:$K1331,원본명단!$K1331)=1)),"첫 건","중복 건")))</f>
        <v/>
      </c>
      <c r="J1332" s="11" t="str">
        <f aca="false">IF($A1332="","",IF($H1332="-","유지",IF($I1332="첫 건","유지","확인 필요")))</f>
        <v/>
      </c>
    </row>
    <row r="1333" customFormat="false" ht="15" hidden="false" customHeight="true" outlineLevel="0" collapsed="false">
      <c r="A1333" s="11" t="str">
        <f aca="false">IF(원본명단!$A1332="","",1330)</f>
        <v/>
      </c>
      <c r="B1333" s="12" t="str">
        <f aca="false">IF($A1333="","",원본명단!$A1332)</f>
        <v/>
      </c>
      <c r="C1333" s="12" t="str">
        <f aca="false">IF($A1333="","",원본명단!$B1332)</f>
        <v/>
      </c>
      <c r="D1333" s="12" t="str">
        <f aca="false">IF($A1333="","",원본명단!$D1332)</f>
        <v/>
      </c>
      <c r="E1333" s="11" t="str">
        <f aca="false">IF($A1333="","",IF(원본명단!$H1332="",0,COUNTIF(원본명단!$H$3:$H$6002,원본명단!$H1332)))</f>
        <v/>
      </c>
      <c r="F1333" s="11" t="str">
        <f aca="false">IF($A1333="","",IF(원본명단!$I1332="",0,COUNTIF(원본명단!$I$3:$I$6002,원본명단!$I1332)))</f>
        <v/>
      </c>
      <c r="G1333" s="11" t="str">
        <f aca="false">IF($A1333="","",IF(원본명단!$K1332="",0,COUNTIF(원본명단!$K$3:$K$6002,원본명단!$K1332)))</f>
        <v/>
      </c>
      <c r="H1333" s="11" t="str">
        <f aca="false">IF($A1333="","",IF(MAX($E1333,$F1333,$G1333)&gt;1,"중복","-"))</f>
        <v/>
      </c>
      <c r="I1333" s="11" t="str">
        <f aca="false">IF($A1333="","",IF($H1333="-","-",IF(AND(IF(원본명단!$H1332="",TRUE(),COUNTIF(원본명단!$H$3:$H1332,원본명단!$H1332)=1),IF(원본명단!$I1332="",TRUE(),COUNTIF(원본명단!$I$3:$I1332,원본명단!$I1332)=1),IF(원본명단!$K1332="",TRUE(),COUNTIF(원본명단!$K$3:$K1332,원본명단!$K1332)=1)),"첫 건","중복 건")))</f>
        <v/>
      </c>
      <c r="J1333" s="11" t="str">
        <f aca="false">IF($A1333="","",IF($H1333="-","유지",IF($I1333="첫 건","유지","확인 필요")))</f>
        <v/>
      </c>
    </row>
    <row r="1334" customFormat="false" ht="15" hidden="false" customHeight="true" outlineLevel="0" collapsed="false">
      <c r="A1334" s="11" t="str">
        <f aca="false">IF(원본명단!$A1333="","",1331)</f>
        <v/>
      </c>
      <c r="B1334" s="12" t="str">
        <f aca="false">IF($A1334="","",원본명단!$A1333)</f>
        <v/>
      </c>
      <c r="C1334" s="12" t="str">
        <f aca="false">IF($A1334="","",원본명단!$B1333)</f>
        <v/>
      </c>
      <c r="D1334" s="12" t="str">
        <f aca="false">IF($A1334="","",원본명단!$D1333)</f>
        <v/>
      </c>
      <c r="E1334" s="11" t="str">
        <f aca="false">IF($A1334="","",IF(원본명단!$H1333="",0,COUNTIF(원본명단!$H$3:$H$6002,원본명단!$H1333)))</f>
        <v/>
      </c>
      <c r="F1334" s="11" t="str">
        <f aca="false">IF($A1334="","",IF(원본명단!$I1333="",0,COUNTIF(원본명단!$I$3:$I$6002,원본명단!$I1333)))</f>
        <v/>
      </c>
      <c r="G1334" s="11" t="str">
        <f aca="false">IF($A1334="","",IF(원본명단!$K1333="",0,COUNTIF(원본명단!$K$3:$K$6002,원본명단!$K1333)))</f>
        <v/>
      </c>
      <c r="H1334" s="11" t="str">
        <f aca="false">IF($A1334="","",IF(MAX($E1334,$F1334,$G1334)&gt;1,"중복","-"))</f>
        <v/>
      </c>
      <c r="I1334" s="11" t="str">
        <f aca="false">IF($A1334="","",IF($H1334="-","-",IF(AND(IF(원본명단!$H1333="",TRUE(),COUNTIF(원본명단!$H$3:$H1333,원본명단!$H1333)=1),IF(원본명단!$I1333="",TRUE(),COUNTIF(원본명단!$I$3:$I1333,원본명단!$I1333)=1),IF(원본명단!$K1333="",TRUE(),COUNTIF(원본명단!$K$3:$K1333,원본명단!$K1333)=1)),"첫 건","중복 건")))</f>
        <v/>
      </c>
      <c r="J1334" s="11" t="str">
        <f aca="false">IF($A1334="","",IF($H1334="-","유지",IF($I1334="첫 건","유지","확인 필요")))</f>
        <v/>
      </c>
    </row>
    <row r="1335" customFormat="false" ht="15" hidden="false" customHeight="true" outlineLevel="0" collapsed="false">
      <c r="A1335" s="11" t="str">
        <f aca="false">IF(원본명단!$A1334="","",1332)</f>
        <v/>
      </c>
      <c r="B1335" s="12" t="str">
        <f aca="false">IF($A1335="","",원본명단!$A1334)</f>
        <v/>
      </c>
      <c r="C1335" s="12" t="str">
        <f aca="false">IF($A1335="","",원본명단!$B1334)</f>
        <v/>
      </c>
      <c r="D1335" s="12" t="str">
        <f aca="false">IF($A1335="","",원본명단!$D1334)</f>
        <v/>
      </c>
      <c r="E1335" s="11" t="str">
        <f aca="false">IF($A1335="","",IF(원본명단!$H1334="",0,COUNTIF(원본명단!$H$3:$H$6002,원본명단!$H1334)))</f>
        <v/>
      </c>
      <c r="F1335" s="11" t="str">
        <f aca="false">IF($A1335="","",IF(원본명단!$I1334="",0,COUNTIF(원본명단!$I$3:$I$6002,원본명단!$I1334)))</f>
        <v/>
      </c>
      <c r="G1335" s="11" t="str">
        <f aca="false">IF($A1335="","",IF(원본명단!$K1334="",0,COUNTIF(원본명단!$K$3:$K$6002,원본명단!$K1334)))</f>
        <v/>
      </c>
      <c r="H1335" s="11" t="str">
        <f aca="false">IF($A1335="","",IF(MAX($E1335,$F1335,$G1335)&gt;1,"중복","-"))</f>
        <v/>
      </c>
      <c r="I1335" s="11" t="str">
        <f aca="false">IF($A1335="","",IF($H1335="-","-",IF(AND(IF(원본명단!$H1334="",TRUE(),COUNTIF(원본명단!$H$3:$H1334,원본명단!$H1334)=1),IF(원본명단!$I1334="",TRUE(),COUNTIF(원본명단!$I$3:$I1334,원본명단!$I1334)=1),IF(원본명단!$K1334="",TRUE(),COUNTIF(원본명단!$K$3:$K1334,원본명단!$K1334)=1)),"첫 건","중복 건")))</f>
        <v/>
      </c>
      <c r="J1335" s="11" t="str">
        <f aca="false">IF($A1335="","",IF($H1335="-","유지",IF($I1335="첫 건","유지","확인 필요")))</f>
        <v/>
      </c>
    </row>
    <row r="1336" customFormat="false" ht="15" hidden="false" customHeight="true" outlineLevel="0" collapsed="false">
      <c r="A1336" s="11" t="str">
        <f aca="false">IF(원본명단!$A1335="","",1333)</f>
        <v/>
      </c>
      <c r="B1336" s="12" t="str">
        <f aca="false">IF($A1336="","",원본명단!$A1335)</f>
        <v/>
      </c>
      <c r="C1336" s="12" t="str">
        <f aca="false">IF($A1336="","",원본명단!$B1335)</f>
        <v/>
      </c>
      <c r="D1336" s="12" t="str">
        <f aca="false">IF($A1336="","",원본명단!$D1335)</f>
        <v/>
      </c>
      <c r="E1336" s="11" t="str">
        <f aca="false">IF($A1336="","",IF(원본명단!$H1335="",0,COUNTIF(원본명단!$H$3:$H$6002,원본명단!$H1335)))</f>
        <v/>
      </c>
      <c r="F1336" s="11" t="str">
        <f aca="false">IF($A1336="","",IF(원본명단!$I1335="",0,COUNTIF(원본명단!$I$3:$I$6002,원본명단!$I1335)))</f>
        <v/>
      </c>
      <c r="G1336" s="11" t="str">
        <f aca="false">IF($A1336="","",IF(원본명단!$K1335="",0,COUNTIF(원본명단!$K$3:$K$6002,원본명단!$K1335)))</f>
        <v/>
      </c>
      <c r="H1336" s="11" t="str">
        <f aca="false">IF($A1336="","",IF(MAX($E1336,$F1336,$G1336)&gt;1,"중복","-"))</f>
        <v/>
      </c>
      <c r="I1336" s="11" t="str">
        <f aca="false">IF($A1336="","",IF($H1336="-","-",IF(AND(IF(원본명단!$H1335="",TRUE(),COUNTIF(원본명단!$H$3:$H1335,원본명단!$H1335)=1),IF(원본명단!$I1335="",TRUE(),COUNTIF(원본명단!$I$3:$I1335,원본명단!$I1335)=1),IF(원본명단!$K1335="",TRUE(),COUNTIF(원본명단!$K$3:$K1335,원본명단!$K1335)=1)),"첫 건","중복 건")))</f>
        <v/>
      </c>
      <c r="J1336" s="11" t="str">
        <f aca="false">IF($A1336="","",IF($H1336="-","유지",IF($I1336="첫 건","유지","확인 필요")))</f>
        <v/>
      </c>
    </row>
    <row r="1337" customFormat="false" ht="15" hidden="false" customHeight="true" outlineLevel="0" collapsed="false">
      <c r="A1337" s="11" t="str">
        <f aca="false">IF(원본명단!$A1336="","",1334)</f>
        <v/>
      </c>
      <c r="B1337" s="12" t="str">
        <f aca="false">IF($A1337="","",원본명단!$A1336)</f>
        <v/>
      </c>
      <c r="C1337" s="12" t="str">
        <f aca="false">IF($A1337="","",원본명단!$B1336)</f>
        <v/>
      </c>
      <c r="D1337" s="12" t="str">
        <f aca="false">IF($A1337="","",원본명단!$D1336)</f>
        <v/>
      </c>
      <c r="E1337" s="11" t="str">
        <f aca="false">IF($A1337="","",IF(원본명단!$H1336="",0,COUNTIF(원본명단!$H$3:$H$6002,원본명단!$H1336)))</f>
        <v/>
      </c>
      <c r="F1337" s="11" t="str">
        <f aca="false">IF($A1337="","",IF(원본명단!$I1336="",0,COUNTIF(원본명단!$I$3:$I$6002,원본명단!$I1336)))</f>
        <v/>
      </c>
      <c r="G1337" s="11" t="str">
        <f aca="false">IF($A1337="","",IF(원본명단!$K1336="",0,COUNTIF(원본명단!$K$3:$K$6002,원본명단!$K1336)))</f>
        <v/>
      </c>
      <c r="H1337" s="11" t="str">
        <f aca="false">IF($A1337="","",IF(MAX($E1337,$F1337,$G1337)&gt;1,"중복","-"))</f>
        <v/>
      </c>
      <c r="I1337" s="11" t="str">
        <f aca="false">IF($A1337="","",IF($H1337="-","-",IF(AND(IF(원본명단!$H1336="",TRUE(),COUNTIF(원본명단!$H$3:$H1336,원본명단!$H1336)=1),IF(원본명단!$I1336="",TRUE(),COUNTIF(원본명단!$I$3:$I1336,원본명단!$I1336)=1),IF(원본명단!$K1336="",TRUE(),COUNTIF(원본명단!$K$3:$K1336,원본명단!$K1336)=1)),"첫 건","중복 건")))</f>
        <v/>
      </c>
      <c r="J1337" s="11" t="str">
        <f aca="false">IF($A1337="","",IF($H1337="-","유지",IF($I1337="첫 건","유지","확인 필요")))</f>
        <v/>
      </c>
    </row>
    <row r="1338" customFormat="false" ht="15" hidden="false" customHeight="true" outlineLevel="0" collapsed="false">
      <c r="A1338" s="11" t="str">
        <f aca="false">IF(원본명단!$A1337="","",1335)</f>
        <v/>
      </c>
      <c r="B1338" s="12" t="str">
        <f aca="false">IF($A1338="","",원본명단!$A1337)</f>
        <v/>
      </c>
      <c r="C1338" s="12" t="str">
        <f aca="false">IF($A1338="","",원본명단!$B1337)</f>
        <v/>
      </c>
      <c r="D1338" s="12" t="str">
        <f aca="false">IF($A1338="","",원본명단!$D1337)</f>
        <v/>
      </c>
      <c r="E1338" s="11" t="str">
        <f aca="false">IF($A1338="","",IF(원본명단!$H1337="",0,COUNTIF(원본명단!$H$3:$H$6002,원본명단!$H1337)))</f>
        <v/>
      </c>
      <c r="F1338" s="11" t="str">
        <f aca="false">IF($A1338="","",IF(원본명단!$I1337="",0,COUNTIF(원본명단!$I$3:$I$6002,원본명단!$I1337)))</f>
        <v/>
      </c>
      <c r="G1338" s="11" t="str">
        <f aca="false">IF($A1338="","",IF(원본명단!$K1337="",0,COUNTIF(원본명단!$K$3:$K$6002,원본명단!$K1337)))</f>
        <v/>
      </c>
      <c r="H1338" s="11" t="str">
        <f aca="false">IF($A1338="","",IF(MAX($E1338,$F1338,$G1338)&gt;1,"중복","-"))</f>
        <v/>
      </c>
      <c r="I1338" s="11" t="str">
        <f aca="false">IF($A1338="","",IF($H1338="-","-",IF(AND(IF(원본명단!$H1337="",TRUE(),COUNTIF(원본명단!$H$3:$H1337,원본명단!$H1337)=1),IF(원본명단!$I1337="",TRUE(),COUNTIF(원본명단!$I$3:$I1337,원본명단!$I1337)=1),IF(원본명단!$K1337="",TRUE(),COUNTIF(원본명단!$K$3:$K1337,원본명단!$K1337)=1)),"첫 건","중복 건")))</f>
        <v/>
      </c>
      <c r="J1338" s="11" t="str">
        <f aca="false">IF($A1338="","",IF($H1338="-","유지",IF($I1338="첫 건","유지","확인 필요")))</f>
        <v/>
      </c>
    </row>
    <row r="1339" customFormat="false" ht="15" hidden="false" customHeight="true" outlineLevel="0" collapsed="false">
      <c r="A1339" s="11" t="str">
        <f aca="false">IF(원본명단!$A1338="","",1336)</f>
        <v/>
      </c>
      <c r="B1339" s="12" t="str">
        <f aca="false">IF($A1339="","",원본명단!$A1338)</f>
        <v/>
      </c>
      <c r="C1339" s="12" t="str">
        <f aca="false">IF($A1339="","",원본명단!$B1338)</f>
        <v/>
      </c>
      <c r="D1339" s="12" t="str">
        <f aca="false">IF($A1339="","",원본명단!$D1338)</f>
        <v/>
      </c>
      <c r="E1339" s="11" t="str">
        <f aca="false">IF($A1339="","",IF(원본명단!$H1338="",0,COUNTIF(원본명단!$H$3:$H$6002,원본명단!$H1338)))</f>
        <v/>
      </c>
      <c r="F1339" s="11" t="str">
        <f aca="false">IF($A1339="","",IF(원본명단!$I1338="",0,COUNTIF(원본명단!$I$3:$I$6002,원본명단!$I1338)))</f>
        <v/>
      </c>
      <c r="G1339" s="11" t="str">
        <f aca="false">IF($A1339="","",IF(원본명단!$K1338="",0,COUNTIF(원본명단!$K$3:$K$6002,원본명단!$K1338)))</f>
        <v/>
      </c>
      <c r="H1339" s="11" t="str">
        <f aca="false">IF($A1339="","",IF(MAX($E1339,$F1339,$G1339)&gt;1,"중복","-"))</f>
        <v/>
      </c>
      <c r="I1339" s="11" t="str">
        <f aca="false">IF($A1339="","",IF($H1339="-","-",IF(AND(IF(원본명단!$H1338="",TRUE(),COUNTIF(원본명단!$H$3:$H1338,원본명단!$H1338)=1),IF(원본명단!$I1338="",TRUE(),COUNTIF(원본명단!$I$3:$I1338,원본명단!$I1338)=1),IF(원본명단!$K1338="",TRUE(),COUNTIF(원본명단!$K$3:$K1338,원본명단!$K1338)=1)),"첫 건","중복 건")))</f>
        <v/>
      </c>
      <c r="J1339" s="11" t="str">
        <f aca="false">IF($A1339="","",IF($H1339="-","유지",IF($I1339="첫 건","유지","확인 필요")))</f>
        <v/>
      </c>
    </row>
    <row r="1340" customFormat="false" ht="15" hidden="false" customHeight="true" outlineLevel="0" collapsed="false">
      <c r="A1340" s="11" t="str">
        <f aca="false">IF(원본명단!$A1339="","",1337)</f>
        <v/>
      </c>
      <c r="B1340" s="12" t="str">
        <f aca="false">IF($A1340="","",원본명단!$A1339)</f>
        <v/>
      </c>
      <c r="C1340" s="12" t="str">
        <f aca="false">IF($A1340="","",원본명단!$B1339)</f>
        <v/>
      </c>
      <c r="D1340" s="12" t="str">
        <f aca="false">IF($A1340="","",원본명단!$D1339)</f>
        <v/>
      </c>
      <c r="E1340" s="11" t="str">
        <f aca="false">IF($A1340="","",IF(원본명단!$H1339="",0,COUNTIF(원본명단!$H$3:$H$6002,원본명단!$H1339)))</f>
        <v/>
      </c>
      <c r="F1340" s="11" t="str">
        <f aca="false">IF($A1340="","",IF(원본명단!$I1339="",0,COUNTIF(원본명단!$I$3:$I$6002,원본명단!$I1339)))</f>
        <v/>
      </c>
      <c r="G1340" s="11" t="str">
        <f aca="false">IF($A1340="","",IF(원본명단!$K1339="",0,COUNTIF(원본명단!$K$3:$K$6002,원본명단!$K1339)))</f>
        <v/>
      </c>
      <c r="H1340" s="11" t="str">
        <f aca="false">IF($A1340="","",IF(MAX($E1340,$F1340,$G1340)&gt;1,"중복","-"))</f>
        <v/>
      </c>
      <c r="I1340" s="11" t="str">
        <f aca="false">IF($A1340="","",IF($H1340="-","-",IF(AND(IF(원본명단!$H1339="",TRUE(),COUNTIF(원본명단!$H$3:$H1339,원본명단!$H1339)=1),IF(원본명단!$I1339="",TRUE(),COUNTIF(원본명단!$I$3:$I1339,원본명단!$I1339)=1),IF(원본명단!$K1339="",TRUE(),COUNTIF(원본명단!$K$3:$K1339,원본명단!$K1339)=1)),"첫 건","중복 건")))</f>
        <v/>
      </c>
      <c r="J1340" s="11" t="str">
        <f aca="false">IF($A1340="","",IF($H1340="-","유지",IF($I1340="첫 건","유지","확인 필요")))</f>
        <v/>
      </c>
    </row>
    <row r="1341" customFormat="false" ht="15" hidden="false" customHeight="true" outlineLevel="0" collapsed="false">
      <c r="A1341" s="11" t="str">
        <f aca="false">IF(원본명단!$A1340="","",1338)</f>
        <v/>
      </c>
      <c r="B1341" s="12" t="str">
        <f aca="false">IF($A1341="","",원본명단!$A1340)</f>
        <v/>
      </c>
      <c r="C1341" s="12" t="str">
        <f aca="false">IF($A1341="","",원본명단!$B1340)</f>
        <v/>
      </c>
      <c r="D1341" s="12" t="str">
        <f aca="false">IF($A1341="","",원본명단!$D1340)</f>
        <v/>
      </c>
      <c r="E1341" s="11" t="str">
        <f aca="false">IF($A1341="","",IF(원본명단!$H1340="",0,COUNTIF(원본명단!$H$3:$H$6002,원본명단!$H1340)))</f>
        <v/>
      </c>
      <c r="F1341" s="11" t="str">
        <f aca="false">IF($A1341="","",IF(원본명단!$I1340="",0,COUNTIF(원본명단!$I$3:$I$6002,원본명단!$I1340)))</f>
        <v/>
      </c>
      <c r="G1341" s="11" t="str">
        <f aca="false">IF($A1341="","",IF(원본명단!$K1340="",0,COUNTIF(원본명단!$K$3:$K$6002,원본명단!$K1340)))</f>
        <v/>
      </c>
      <c r="H1341" s="11" t="str">
        <f aca="false">IF($A1341="","",IF(MAX($E1341,$F1341,$G1341)&gt;1,"중복","-"))</f>
        <v/>
      </c>
      <c r="I1341" s="11" t="str">
        <f aca="false">IF($A1341="","",IF($H1341="-","-",IF(AND(IF(원본명단!$H1340="",TRUE(),COUNTIF(원본명단!$H$3:$H1340,원본명단!$H1340)=1),IF(원본명단!$I1340="",TRUE(),COUNTIF(원본명단!$I$3:$I1340,원본명단!$I1340)=1),IF(원본명단!$K1340="",TRUE(),COUNTIF(원본명단!$K$3:$K1340,원본명단!$K1340)=1)),"첫 건","중복 건")))</f>
        <v/>
      </c>
      <c r="J1341" s="11" t="str">
        <f aca="false">IF($A1341="","",IF($H1341="-","유지",IF($I1341="첫 건","유지","확인 필요")))</f>
        <v/>
      </c>
    </row>
    <row r="1342" customFormat="false" ht="15" hidden="false" customHeight="true" outlineLevel="0" collapsed="false">
      <c r="A1342" s="11" t="str">
        <f aca="false">IF(원본명단!$A1341="","",1339)</f>
        <v/>
      </c>
      <c r="B1342" s="12" t="str">
        <f aca="false">IF($A1342="","",원본명단!$A1341)</f>
        <v/>
      </c>
      <c r="C1342" s="12" t="str">
        <f aca="false">IF($A1342="","",원본명단!$B1341)</f>
        <v/>
      </c>
      <c r="D1342" s="12" t="str">
        <f aca="false">IF($A1342="","",원본명단!$D1341)</f>
        <v/>
      </c>
      <c r="E1342" s="11" t="str">
        <f aca="false">IF($A1342="","",IF(원본명단!$H1341="",0,COUNTIF(원본명단!$H$3:$H$6002,원본명단!$H1341)))</f>
        <v/>
      </c>
      <c r="F1342" s="11" t="str">
        <f aca="false">IF($A1342="","",IF(원본명단!$I1341="",0,COUNTIF(원본명단!$I$3:$I$6002,원본명단!$I1341)))</f>
        <v/>
      </c>
      <c r="G1342" s="11" t="str">
        <f aca="false">IF($A1342="","",IF(원본명단!$K1341="",0,COUNTIF(원본명단!$K$3:$K$6002,원본명단!$K1341)))</f>
        <v/>
      </c>
      <c r="H1342" s="11" t="str">
        <f aca="false">IF($A1342="","",IF(MAX($E1342,$F1342,$G1342)&gt;1,"중복","-"))</f>
        <v/>
      </c>
      <c r="I1342" s="11" t="str">
        <f aca="false">IF($A1342="","",IF($H1342="-","-",IF(AND(IF(원본명단!$H1341="",TRUE(),COUNTIF(원본명단!$H$3:$H1341,원본명단!$H1341)=1),IF(원본명단!$I1341="",TRUE(),COUNTIF(원본명단!$I$3:$I1341,원본명단!$I1341)=1),IF(원본명단!$K1341="",TRUE(),COUNTIF(원본명단!$K$3:$K1341,원본명단!$K1341)=1)),"첫 건","중복 건")))</f>
        <v/>
      </c>
      <c r="J1342" s="11" t="str">
        <f aca="false">IF($A1342="","",IF($H1342="-","유지",IF($I1342="첫 건","유지","확인 필요")))</f>
        <v/>
      </c>
    </row>
    <row r="1343" customFormat="false" ht="15" hidden="false" customHeight="true" outlineLevel="0" collapsed="false">
      <c r="A1343" s="11" t="str">
        <f aca="false">IF(원본명단!$A1342="","",1340)</f>
        <v/>
      </c>
      <c r="B1343" s="12" t="str">
        <f aca="false">IF($A1343="","",원본명단!$A1342)</f>
        <v/>
      </c>
      <c r="C1343" s="12" t="str">
        <f aca="false">IF($A1343="","",원본명단!$B1342)</f>
        <v/>
      </c>
      <c r="D1343" s="12" t="str">
        <f aca="false">IF($A1343="","",원본명단!$D1342)</f>
        <v/>
      </c>
      <c r="E1343" s="11" t="str">
        <f aca="false">IF($A1343="","",IF(원본명단!$H1342="",0,COUNTIF(원본명단!$H$3:$H$6002,원본명단!$H1342)))</f>
        <v/>
      </c>
      <c r="F1343" s="11" t="str">
        <f aca="false">IF($A1343="","",IF(원본명단!$I1342="",0,COUNTIF(원본명단!$I$3:$I$6002,원본명단!$I1342)))</f>
        <v/>
      </c>
      <c r="G1343" s="11" t="str">
        <f aca="false">IF($A1343="","",IF(원본명단!$K1342="",0,COUNTIF(원본명단!$K$3:$K$6002,원본명단!$K1342)))</f>
        <v/>
      </c>
      <c r="H1343" s="11" t="str">
        <f aca="false">IF($A1343="","",IF(MAX($E1343,$F1343,$G1343)&gt;1,"중복","-"))</f>
        <v/>
      </c>
      <c r="I1343" s="11" t="str">
        <f aca="false">IF($A1343="","",IF($H1343="-","-",IF(AND(IF(원본명단!$H1342="",TRUE(),COUNTIF(원본명단!$H$3:$H1342,원본명단!$H1342)=1),IF(원본명단!$I1342="",TRUE(),COUNTIF(원본명단!$I$3:$I1342,원본명단!$I1342)=1),IF(원본명단!$K1342="",TRUE(),COUNTIF(원본명단!$K$3:$K1342,원본명단!$K1342)=1)),"첫 건","중복 건")))</f>
        <v/>
      </c>
      <c r="J1343" s="11" t="str">
        <f aca="false">IF($A1343="","",IF($H1343="-","유지",IF($I1343="첫 건","유지","확인 필요")))</f>
        <v/>
      </c>
    </row>
    <row r="1344" customFormat="false" ht="15" hidden="false" customHeight="true" outlineLevel="0" collapsed="false">
      <c r="A1344" s="11" t="str">
        <f aca="false">IF(원본명단!$A1343="","",1341)</f>
        <v/>
      </c>
      <c r="B1344" s="12" t="str">
        <f aca="false">IF($A1344="","",원본명단!$A1343)</f>
        <v/>
      </c>
      <c r="C1344" s="12" t="str">
        <f aca="false">IF($A1344="","",원본명단!$B1343)</f>
        <v/>
      </c>
      <c r="D1344" s="12" t="str">
        <f aca="false">IF($A1344="","",원본명단!$D1343)</f>
        <v/>
      </c>
      <c r="E1344" s="11" t="str">
        <f aca="false">IF($A1344="","",IF(원본명단!$H1343="",0,COUNTIF(원본명단!$H$3:$H$6002,원본명단!$H1343)))</f>
        <v/>
      </c>
      <c r="F1344" s="11" t="str">
        <f aca="false">IF($A1344="","",IF(원본명단!$I1343="",0,COUNTIF(원본명단!$I$3:$I$6002,원본명단!$I1343)))</f>
        <v/>
      </c>
      <c r="G1344" s="11" t="str">
        <f aca="false">IF($A1344="","",IF(원본명단!$K1343="",0,COUNTIF(원본명단!$K$3:$K$6002,원본명단!$K1343)))</f>
        <v/>
      </c>
      <c r="H1344" s="11" t="str">
        <f aca="false">IF($A1344="","",IF(MAX($E1344,$F1344,$G1344)&gt;1,"중복","-"))</f>
        <v/>
      </c>
      <c r="I1344" s="11" t="str">
        <f aca="false">IF($A1344="","",IF($H1344="-","-",IF(AND(IF(원본명단!$H1343="",TRUE(),COUNTIF(원본명단!$H$3:$H1343,원본명단!$H1343)=1),IF(원본명단!$I1343="",TRUE(),COUNTIF(원본명단!$I$3:$I1343,원본명단!$I1343)=1),IF(원본명단!$K1343="",TRUE(),COUNTIF(원본명단!$K$3:$K1343,원본명단!$K1343)=1)),"첫 건","중복 건")))</f>
        <v/>
      </c>
      <c r="J1344" s="11" t="str">
        <f aca="false">IF($A1344="","",IF($H1344="-","유지",IF($I1344="첫 건","유지","확인 필요")))</f>
        <v/>
      </c>
    </row>
    <row r="1345" customFormat="false" ht="15" hidden="false" customHeight="true" outlineLevel="0" collapsed="false">
      <c r="A1345" s="11" t="str">
        <f aca="false">IF(원본명단!$A1344="","",1342)</f>
        <v/>
      </c>
      <c r="B1345" s="12" t="str">
        <f aca="false">IF($A1345="","",원본명단!$A1344)</f>
        <v/>
      </c>
      <c r="C1345" s="12" t="str">
        <f aca="false">IF($A1345="","",원본명단!$B1344)</f>
        <v/>
      </c>
      <c r="D1345" s="12" t="str">
        <f aca="false">IF($A1345="","",원본명단!$D1344)</f>
        <v/>
      </c>
      <c r="E1345" s="11" t="str">
        <f aca="false">IF($A1345="","",IF(원본명단!$H1344="",0,COUNTIF(원본명단!$H$3:$H$6002,원본명단!$H1344)))</f>
        <v/>
      </c>
      <c r="F1345" s="11" t="str">
        <f aca="false">IF($A1345="","",IF(원본명단!$I1344="",0,COUNTIF(원본명단!$I$3:$I$6002,원본명단!$I1344)))</f>
        <v/>
      </c>
      <c r="G1345" s="11" t="str">
        <f aca="false">IF($A1345="","",IF(원본명단!$K1344="",0,COUNTIF(원본명단!$K$3:$K$6002,원본명단!$K1344)))</f>
        <v/>
      </c>
      <c r="H1345" s="11" t="str">
        <f aca="false">IF($A1345="","",IF(MAX($E1345,$F1345,$G1345)&gt;1,"중복","-"))</f>
        <v/>
      </c>
      <c r="I1345" s="11" t="str">
        <f aca="false">IF($A1345="","",IF($H1345="-","-",IF(AND(IF(원본명단!$H1344="",TRUE(),COUNTIF(원본명단!$H$3:$H1344,원본명단!$H1344)=1),IF(원본명단!$I1344="",TRUE(),COUNTIF(원본명단!$I$3:$I1344,원본명단!$I1344)=1),IF(원본명단!$K1344="",TRUE(),COUNTIF(원본명단!$K$3:$K1344,원본명단!$K1344)=1)),"첫 건","중복 건")))</f>
        <v/>
      </c>
      <c r="J1345" s="11" t="str">
        <f aca="false">IF($A1345="","",IF($H1345="-","유지",IF($I1345="첫 건","유지","확인 필요")))</f>
        <v/>
      </c>
    </row>
    <row r="1346" customFormat="false" ht="15" hidden="false" customHeight="true" outlineLevel="0" collapsed="false">
      <c r="A1346" s="11" t="str">
        <f aca="false">IF(원본명단!$A1345="","",1343)</f>
        <v/>
      </c>
      <c r="B1346" s="12" t="str">
        <f aca="false">IF($A1346="","",원본명단!$A1345)</f>
        <v/>
      </c>
      <c r="C1346" s="12" t="str">
        <f aca="false">IF($A1346="","",원본명단!$B1345)</f>
        <v/>
      </c>
      <c r="D1346" s="12" t="str">
        <f aca="false">IF($A1346="","",원본명단!$D1345)</f>
        <v/>
      </c>
      <c r="E1346" s="11" t="str">
        <f aca="false">IF($A1346="","",IF(원본명단!$H1345="",0,COUNTIF(원본명단!$H$3:$H$6002,원본명단!$H1345)))</f>
        <v/>
      </c>
      <c r="F1346" s="11" t="str">
        <f aca="false">IF($A1346="","",IF(원본명단!$I1345="",0,COUNTIF(원본명단!$I$3:$I$6002,원본명단!$I1345)))</f>
        <v/>
      </c>
      <c r="G1346" s="11" t="str">
        <f aca="false">IF($A1346="","",IF(원본명단!$K1345="",0,COUNTIF(원본명단!$K$3:$K$6002,원본명단!$K1345)))</f>
        <v/>
      </c>
      <c r="H1346" s="11" t="str">
        <f aca="false">IF($A1346="","",IF(MAX($E1346,$F1346,$G1346)&gt;1,"중복","-"))</f>
        <v/>
      </c>
      <c r="I1346" s="11" t="str">
        <f aca="false">IF($A1346="","",IF($H1346="-","-",IF(AND(IF(원본명단!$H1345="",TRUE(),COUNTIF(원본명단!$H$3:$H1345,원본명단!$H1345)=1),IF(원본명단!$I1345="",TRUE(),COUNTIF(원본명단!$I$3:$I1345,원본명단!$I1345)=1),IF(원본명단!$K1345="",TRUE(),COUNTIF(원본명단!$K$3:$K1345,원본명단!$K1345)=1)),"첫 건","중복 건")))</f>
        <v/>
      </c>
      <c r="J1346" s="11" t="str">
        <f aca="false">IF($A1346="","",IF($H1346="-","유지",IF($I1346="첫 건","유지","확인 필요")))</f>
        <v/>
      </c>
    </row>
    <row r="1347" customFormat="false" ht="15" hidden="false" customHeight="true" outlineLevel="0" collapsed="false">
      <c r="A1347" s="11" t="str">
        <f aca="false">IF(원본명단!$A1346="","",1344)</f>
        <v/>
      </c>
      <c r="B1347" s="12" t="str">
        <f aca="false">IF($A1347="","",원본명단!$A1346)</f>
        <v/>
      </c>
      <c r="C1347" s="12" t="str">
        <f aca="false">IF($A1347="","",원본명단!$B1346)</f>
        <v/>
      </c>
      <c r="D1347" s="12" t="str">
        <f aca="false">IF($A1347="","",원본명단!$D1346)</f>
        <v/>
      </c>
      <c r="E1347" s="11" t="str">
        <f aca="false">IF($A1347="","",IF(원본명단!$H1346="",0,COUNTIF(원본명단!$H$3:$H$6002,원본명단!$H1346)))</f>
        <v/>
      </c>
      <c r="F1347" s="11" t="str">
        <f aca="false">IF($A1347="","",IF(원본명단!$I1346="",0,COUNTIF(원본명단!$I$3:$I$6002,원본명단!$I1346)))</f>
        <v/>
      </c>
      <c r="G1347" s="11" t="str">
        <f aca="false">IF($A1347="","",IF(원본명단!$K1346="",0,COUNTIF(원본명단!$K$3:$K$6002,원본명단!$K1346)))</f>
        <v/>
      </c>
      <c r="H1347" s="11" t="str">
        <f aca="false">IF($A1347="","",IF(MAX($E1347,$F1347,$G1347)&gt;1,"중복","-"))</f>
        <v/>
      </c>
      <c r="I1347" s="11" t="str">
        <f aca="false">IF($A1347="","",IF($H1347="-","-",IF(AND(IF(원본명단!$H1346="",TRUE(),COUNTIF(원본명단!$H$3:$H1346,원본명단!$H1346)=1),IF(원본명단!$I1346="",TRUE(),COUNTIF(원본명단!$I$3:$I1346,원본명단!$I1346)=1),IF(원본명단!$K1346="",TRUE(),COUNTIF(원본명단!$K$3:$K1346,원본명단!$K1346)=1)),"첫 건","중복 건")))</f>
        <v/>
      </c>
      <c r="J1347" s="11" t="str">
        <f aca="false">IF($A1347="","",IF($H1347="-","유지",IF($I1347="첫 건","유지","확인 필요")))</f>
        <v/>
      </c>
    </row>
    <row r="1348" customFormat="false" ht="15" hidden="false" customHeight="true" outlineLevel="0" collapsed="false">
      <c r="A1348" s="11" t="str">
        <f aca="false">IF(원본명단!$A1347="","",1345)</f>
        <v/>
      </c>
      <c r="B1348" s="12" t="str">
        <f aca="false">IF($A1348="","",원본명단!$A1347)</f>
        <v/>
      </c>
      <c r="C1348" s="12" t="str">
        <f aca="false">IF($A1348="","",원본명단!$B1347)</f>
        <v/>
      </c>
      <c r="D1348" s="12" t="str">
        <f aca="false">IF($A1348="","",원본명단!$D1347)</f>
        <v/>
      </c>
      <c r="E1348" s="11" t="str">
        <f aca="false">IF($A1348="","",IF(원본명단!$H1347="",0,COUNTIF(원본명단!$H$3:$H$6002,원본명단!$H1347)))</f>
        <v/>
      </c>
      <c r="F1348" s="11" t="str">
        <f aca="false">IF($A1348="","",IF(원본명단!$I1347="",0,COUNTIF(원본명단!$I$3:$I$6002,원본명단!$I1347)))</f>
        <v/>
      </c>
      <c r="G1348" s="11" t="str">
        <f aca="false">IF($A1348="","",IF(원본명단!$K1347="",0,COUNTIF(원본명단!$K$3:$K$6002,원본명단!$K1347)))</f>
        <v/>
      </c>
      <c r="H1348" s="11" t="str">
        <f aca="false">IF($A1348="","",IF(MAX($E1348,$F1348,$G1348)&gt;1,"중복","-"))</f>
        <v/>
      </c>
      <c r="I1348" s="11" t="str">
        <f aca="false">IF($A1348="","",IF($H1348="-","-",IF(AND(IF(원본명단!$H1347="",TRUE(),COUNTIF(원본명단!$H$3:$H1347,원본명단!$H1347)=1),IF(원본명단!$I1347="",TRUE(),COUNTIF(원본명단!$I$3:$I1347,원본명단!$I1347)=1),IF(원본명단!$K1347="",TRUE(),COUNTIF(원본명단!$K$3:$K1347,원본명단!$K1347)=1)),"첫 건","중복 건")))</f>
        <v/>
      </c>
      <c r="J1348" s="11" t="str">
        <f aca="false">IF($A1348="","",IF($H1348="-","유지",IF($I1348="첫 건","유지","확인 필요")))</f>
        <v/>
      </c>
    </row>
    <row r="1349" customFormat="false" ht="15" hidden="false" customHeight="true" outlineLevel="0" collapsed="false">
      <c r="A1349" s="11" t="str">
        <f aca="false">IF(원본명단!$A1348="","",1346)</f>
        <v/>
      </c>
      <c r="B1349" s="12" t="str">
        <f aca="false">IF($A1349="","",원본명단!$A1348)</f>
        <v/>
      </c>
      <c r="C1349" s="12" t="str">
        <f aca="false">IF($A1349="","",원본명단!$B1348)</f>
        <v/>
      </c>
      <c r="D1349" s="12" t="str">
        <f aca="false">IF($A1349="","",원본명단!$D1348)</f>
        <v/>
      </c>
      <c r="E1349" s="11" t="str">
        <f aca="false">IF($A1349="","",IF(원본명단!$H1348="",0,COUNTIF(원본명단!$H$3:$H$6002,원본명단!$H1348)))</f>
        <v/>
      </c>
      <c r="F1349" s="11" t="str">
        <f aca="false">IF($A1349="","",IF(원본명단!$I1348="",0,COUNTIF(원본명단!$I$3:$I$6002,원본명단!$I1348)))</f>
        <v/>
      </c>
      <c r="G1349" s="11" t="str">
        <f aca="false">IF($A1349="","",IF(원본명단!$K1348="",0,COUNTIF(원본명단!$K$3:$K$6002,원본명단!$K1348)))</f>
        <v/>
      </c>
      <c r="H1349" s="11" t="str">
        <f aca="false">IF($A1349="","",IF(MAX($E1349,$F1349,$G1349)&gt;1,"중복","-"))</f>
        <v/>
      </c>
      <c r="I1349" s="11" t="str">
        <f aca="false">IF($A1349="","",IF($H1349="-","-",IF(AND(IF(원본명단!$H1348="",TRUE(),COUNTIF(원본명단!$H$3:$H1348,원본명단!$H1348)=1),IF(원본명단!$I1348="",TRUE(),COUNTIF(원본명단!$I$3:$I1348,원본명단!$I1348)=1),IF(원본명단!$K1348="",TRUE(),COUNTIF(원본명단!$K$3:$K1348,원본명단!$K1348)=1)),"첫 건","중복 건")))</f>
        <v/>
      </c>
      <c r="J1349" s="11" t="str">
        <f aca="false">IF($A1349="","",IF($H1349="-","유지",IF($I1349="첫 건","유지","확인 필요")))</f>
        <v/>
      </c>
    </row>
    <row r="1350" customFormat="false" ht="15" hidden="false" customHeight="true" outlineLevel="0" collapsed="false">
      <c r="A1350" s="11" t="str">
        <f aca="false">IF(원본명단!$A1349="","",1347)</f>
        <v/>
      </c>
      <c r="B1350" s="12" t="str">
        <f aca="false">IF($A1350="","",원본명단!$A1349)</f>
        <v/>
      </c>
      <c r="C1350" s="12" t="str">
        <f aca="false">IF($A1350="","",원본명단!$B1349)</f>
        <v/>
      </c>
      <c r="D1350" s="12" t="str">
        <f aca="false">IF($A1350="","",원본명단!$D1349)</f>
        <v/>
      </c>
      <c r="E1350" s="11" t="str">
        <f aca="false">IF($A1350="","",IF(원본명단!$H1349="",0,COUNTIF(원본명단!$H$3:$H$6002,원본명단!$H1349)))</f>
        <v/>
      </c>
      <c r="F1350" s="11" t="str">
        <f aca="false">IF($A1350="","",IF(원본명단!$I1349="",0,COUNTIF(원본명단!$I$3:$I$6002,원본명단!$I1349)))</f>
        <v/>
      </c>
      <c r="G1350" s="11" t="str">
        <f aca="false">IF($A1350="","",IF(원본명단!$K1349="",0,COUNTIF(원본명단!$K$3:$K$6002,원본명단!$K1349)))</f>
        <v/>
      </c>
      <c r="H1350" s="11" t="str">
        <f aca="false">IF($A1350="","",IF(MAX($E1350,$F1350,$G1350)&gt;1,"중복","-"))</f>
        <v/>
      </c>
      <c r="I1350" s="11" t="str">
        <f aca="false">IF($A1350="","",IF($H1350="-","-",IF(AND(IF(원본명단!$H1349="",TRUE(),COUNTIF(원본명단!$H$3:$H1349,원본명단!$H1349)=1),IF(원본명단!$I1349="",TRUE(),COUNTIF(원본명단!$I$3:$I1349,원본명단!$I1349)=1),IF(원본명단!$K1349="",TRUE(),COUNTIF(원본명단!$K$3:$K1349,원본명단!$K1349)=1)),"첫 건","중복 건")))</f>
        <v/>
      </c>
      <c r="J1350" s="11" t="str">
        <f aca="false">IF($A1350="","",IF($H1350="-","유지",IF($I1350="첫 건","유지","확인 필요")))</f>
        <v/>
      </c>
    </row>
    <row r="1351" customFormat="false" ht="15" hidden="false" customHeight="true" outlineLevel="0" collapsed="false">
      <c r="A1351" s="11" t="str">
        <f aca="false">IF(원본명단!$A1350="","",1348)</f>
        <v/>
      </c>
      <c r="B1351" s="12" t="str">
        <f aca="false">IF($A1351="","",원본명단!$A1350)</f>
        <v/>
      </c>
      <c r="C1351" s="12" t="str">
        <f aca="false">IF($A1351="","",원본명단!$B1350)</f>
        <v/>
      </c>
      <c r="D1351" s="12" t="str">
        <f aca="false">IF($A1351="","",원본명단!$D1350)</f>
        <v/>
      </c>
      <c r="E1351" s="11" t="str">
        <f aca="false">IF($A1351="","",IF(원본명단!$H1350="",0,COUNTIF(원본명단!$H$3:$H$6002,원본명단!$H1350)))</f>
        <v/>
      </c>
      <c r="F1351" s="11" t="str">
        <f aca="false">IF($A1351="","",IF(원본명단!$I1350="",0,COUNTIF(원본명단!$I$3:$I$6002,원본명단!$I1350)))</f>
        <v/>
      </c>
      <c r="G1351" s="11" t="str">
        <f aca="false">IF($A1351="","",IF(원본명단!$K1350="",0,COUNTIF(원본명단!$K$3:$K$6002,원본명단!$K1350)))</f>
        <v/>
      </c>
      <c r="H1351" s="11" t="str">
        <f aca="false">IF($A1351="","",IF(MAX($E1351,$F1351,$G1351)&gt;1,"중복","-"))</f>
        <v/>
      </c>
      <c r="I1351" s="11" t="str">
        <f aca="false">IF($A1351="","",IF($H1351="-","-",IF(AND(IF(원본명단!$H1350="",TRUE(),COUNTIF(원본명단!$H$3:$H1350,원본명단!$H1350)=1),IF(원본명단!$I1350="",TRUE(),COUNTIF(원본명단!$I$3:$I1350,원본명단!$I1350)=1),IF(원본명단!$K1350="",TRUE(),COUNTIF(원본명단!$K$3:$K1350,원본명단!$K1350)=1)),"첫 건","중복 건")))</f>
        <v/>
      </c>
      <c r="J1351" s="11" t="str">
        <f aca="false">IF($A1351="","",IF($H1351="-","유지",IF($I1351="첫 건","유지","확인 필요")))</f>
        <v/>
      </c>
    </row>
    <row r="1352" customFormat="false" ht="15" hidden="false" customHeight="true" outlineLevel="0" collapsed="false">
      <c r="A1352" s="11" t="str">
        <f aca="false">IF(원본명단!$A1351="","",1349)</f>
        <v/>
      </c>
      <c r="B1352" s="12" t="str">
        <f aca="false">IF($A1352="","",원본명단!$A1351)</f>
        <v/>
      </c>
      <c r="C1352" s="12" t="str">
        <f aca="false">IF($A1352="","",원본명단!$B1351)</f>
        <v/>
      </c>
      <c r="D1352" s="12" t="str">
        <f aca="false">IF($A1352="","",원본명단!$D1351)</f>
        <v/>
      </c>
      <c r="E1352" s="11" t="str">
        <f aca="false">IF($A1352="","",IF(원본명단!$H1351="",0,COUNTIF(원본명단!$H$3:$H$6002,원본명단!$H1351)))</f>
        <v/>
      </c>
      <c r="F1352" s="11" t="str">
        <f aca="false">IF($A1352="","",IF(원본명단!$I1351="",0,COUNTIF(원본명단!$I$3:$I$6002,원본명단!$I1351)))</f>
        <v/>
      </c>
      <c r="G1352" s="11" t="str">
        <f aca="false">IF($A1352="","",IF(원본명단!$K1351="",0,COUNTIF(원본명단!$K$3:$K$6002,원본명단!$K1351)))</f>
        <v/>
      </c>
      <c r="H1352" s="11" t="str">
        <f aca="false">IF($A1352="","",IF(MAX($E1352,$F1352,$G1352)&gt;1,"중복","-"))</f>
        <v/>
      </c>
      <c r="I1352" s="11" t="str">
        <f aca="false">IF($A1352="","",IF($H1352="-","-",IF(AND(IF(원본명단!$H1351="",TRUE(),COUNTIF(원본명단!$H$3:$H1351,원본명단!$H1351)=1),IF(원본명단!$I1351="",TRUE(),COUNTIF(원본명단!$I$3:$I1351,원본명단!$I1351)=1),IF(원본명단!$K1351="",TRUE(),COUNTIF(원본명단!$K$3:$K1351,원본명단!$K1351)=1)),"첫 건","중복 건")))</f>
        <v/>
      </c>
      <c r="J1352" s="11" t="str">
        <f aca="false">IF($A1352="","",IF($H1352="-","유지",IF($I1352="첫 건","유지","확인 필요")))</f>
        <v/>
      </c>
    </row>
    <row r="1353" customFormat="false" ht="15" hidden="false" customHeight="true" outlineLevel="0" collapsed="false">
      <c r="A1353" s="11" t="str">
        <f aca="false">IF(원본명단!$A1352="","",1350)</f>
        <v/>
      </c>
      <c r="B1353" s="12" t="str">
        <f aca="false">IF($A1353="","",원본명단!$A1352)</f>
        <v/>
      </c>
      <c r="C1353" s="12" t="str">
        <f aca="false">IF($A1353="","",원본명단!$B1352)</f>
        <v/>
      </c>
      <c r="D1353" s="12" t="str">
        <f aca="false">IF($A1353="","",원본명단!$D1352)</f>
        <v/>
      </c>
      <c r="E1353" s="11" t="str">
        <f aca="false">IF($A1353="","",IF(원본명단!$H1352="",0,COUNTIF(원본명단!$H$3:$H$6002,원본명단!$H1352)))</f>
        <v/>
      </c>
      <c r="F1353" s="11" t="str">
        <f aca="false">IF($A1353="","",IF(원본명단!$I1352="",0,COUNTIF(원본명단!$I$3:$I$6002,원본명단!$I1352)))</f>
        <v/>
      </c>
      <c r="G1353" s="11" t="str">
        <f aca="false">IF($A1353="","",IF(원본명단!$K1352="",0,COUNTIF(원본명단!$K$3:$K$6002,원본명단!$K1352)))</f>
        <v/>
      </c>
      <c r="H1353" s="11" t="str">
        <f aca="false">IF($A1353="","",IF(MAX($E1353,$F1353,$G1353)&gt;1,"중복","-"))</f>
        <v/>
      </c>
      <c r="I1353" s="11" t="str">
        <f aca="false">IF($A1353="","",IF($H1353="-","-",IF(AND(IF(원본명단!$H1352="",TRUE(),COUNTIF(원본명단!$H$3:$H1352,원본명단!$H1352)=1),IF(원본명단!$I1352="",TRUE(),COUNTIF(원본명단!$I$3:$I1352,원본명단!$I1352)=1),IF(원본명단!$K1352="",TRUE(),COUNTIF(원본명단!$K$3:$K1352,원본명단!$K1352)=1)),"첫 건","중복 건")))</f>
        <v/>
      </c>
      <c r="J1353" s="11" t="str">
        <f aca="false">IF($A1353="","",IF($H1353="-","유지",IF($I1353="첫 건","유지","확인 필요")))</f>
        <v/>
      </c>
    </row>
    <row r="1354" customFormat="false" ht="15" hidden="false" customHeight="true" outlineLevel="0" collapsed="false">
      <c r="A1354" s="11" t="str">
        <f aca="false">IF(원본명단!$A1353="","",1351)</f>
        <v/>
      </c>
      <c r="B1354" s="12" t="str">
        <f aca="false">IF($A1354="","",원본명단!$A1353)</f>
        <v/>
      </c>
      <c r="C1354" s="12" t="str">
        <f aca="false">IF($A1354="","",원본명단!$B1353)</f>
        <v/>
      </c>
      <c r="D1354" s="12" t="str">
        <f aca="false">IF($A1354="","",원본명단!$D1353)</f>
        <v/>
      </c>
      <c r="E1354" s="11" t="str">
        <f aca="false">IF($A1354="","",IF(원본명단!$H1353="",0,COUNTIF(원본명단!$H$3:$H$6002,원본명단!$H1353)))</f>
        <v/>
      </c>
      <c r="F1354" s="11" t="str">
        <f aca="false">IF($A1354="","",IF(원본명단!$I1353="",0,COUNTIF(원본명단!$I$3:$I$6002,원본명단!$I1353)))</f>
        <v/>
      </c>
      <c r="G1354" s="11" t="str">
        <f aca="false">IF($A1354="","",IF(원본명단!$K1353="",0,COUNTIF(원본명단!$K$3:$K$6002,원본명단!$K1353)))</f>
        <v/>
      </c>
      <c r="H1354" s="11" t="str">
        <f aca="false">IF($A1354="","",IF(MAX($E1354,$F1354,$G1354)&gt;1,"중복","-"))</f>
        <v/>
      </c>
      <c r="I1354" s="11" t="str">
        <f aca="false">IF($A1354="","",IF($H1354="-","-",IF(AND(IF(원본명단!$H1353="",TRUE(),COUNTIF(원본명단!$H$3:$H1353,원본명단!$H1353)=1),IF(원본명단!$I1353="",TRUE(),COUNTIF(원본명단!$I$3:$I1353,원본명단!$I1353)=1),IF(원본명단!$K1353="",TRUE(),COUNTIF(원본명단!$K$3:$K1353,원본명단!$K1353)=1)),"첫 건","중복 건")))</f>
        <v/>
      </c>
      <c r="J1354" s="11" t="str">
        <f aca="false">IF($A1354="","",IF($H1354="-","유지",IF($I1354="첫 건","유지","확인 필요")))</f>
        <v/>
      </c>
    </row>
    <row r="1355" customFormat="false" ht="15" hidden="false" customHeight="true" outlineLevel="0" collapsed="false">
      <c r="A1355" s="11" t="str">
        <f aca="false">IF(원본명단!$A1354="","",1352)</f>
        <v/>
      </c>
      <c r="B1355" s="12" t="str">
        <f aca="false">IF($A1355="","",원본명단!$A1354)</f>
        <v/>
      </c>
      <c r="C1355" s="12" t="str">
        <f aca="false">IF($A1355="","",원본명단!$B1354)</f>
        <v/>
      </c>
      <c r="D1355" s="12" t="str">
        <f aca="false">IF($A1355="","",원본명단!$D1354)</f>
        <v/>
      </c>
      <c r="E1355" s="11" t="str">
        <f aca="false">IF($A1355="","",IF(원본명단!$H1354="",0,COUNTIF(원본명단!$H$3:$H$6002,원본명단!$H1354)))</f>
        <v/>
      </c>
      <c r="F1355" s="11" t="str">
        <f aca="false">IF($A1355="","",IF(원본명단!$I1354="",0,COUNTIF(원본명단!$I$3:$I$6002,원본명단!$I1354)))</f>
        <v/>
      </c>
      <c r="G1355" s="11" t="str">
        <f aca="false">IF($A1355="","",IF(원본명단!$K1354="",0,COUNTIF(원본명단!$K$3:$K$6002,원본명단!$K1354)))</f>
        <v/>
      </c>
      <c r="H1355" s="11" t="str">
        <f aca="false">IF($A1355="","",IF(MAX($E1355,$F1355,$G1355)&gt;1,"중복","-"))</f>
        <v/>
      </c>
      <c r="I1355" s="11" t="str">
        <f aca="false">IF($A1355="","",IF($H1355="-","-",IF(AND(IF(원본명단!$H1354="",TRUE(),COUNTIF(원본명단!$H$3:$H1354,원본명단!$H1354)=1),IF(원본명단!$I1354="",TRUE(),COUNTIF(원본명단!$I$3:$I1354,원본명단!$I1354)=1),IF(원본명단!$K1354="",TRUE(),COUNTIF(원본명단!$K$3:$K1354,원본명단!$K1354)=1)),"첫 건","중복 건")))</f>
        <v/>
      </c>
      <c r="J1355" s="11" t="str">
        <f aca="false">IF($A1355="","",IF($H1355="-","유지",IF($I1355="첫 건","유지","확인 필요")))</f>
        <v/>
      </c>
    </row>
    <row r="1356" customFormat="false" ht="15" hidden="false" customHeight="true" outlineLevel="0" collapsed="false">
      <c r="A1356" s="11" t="str">
        <f aca="false">IF(원본명단!$A1355="","",1353)</f>
        <v/>
      </c>
      <c r="B1356" s="12" t="str">
        <f aca="false">IF($A1356="","",원본명단!$A1355)</f>
        <v/>
      </c>
      <c r="C1356" s="12" t="str">
        <f aca="false">IF($A1356="","",원본명단!$B1355)</f>
        <v/>
      </c>
      <c r="D1356" s="12" t="str">
        <f aca="false">IF($A1356="","",원본명단!$D1355)</f>
        <v/>
      </c>
      <c r="E1356" s="11" t="str">
        <f aca="false">IF($A1356="","",IF(원본명단!$H1355="",0,COUNTIF(원본명단!$H$3:$H$6002,원본명단!$H1355)))</f>
        <v/>
      </c>
      <c r="F1356" s="11" t="str">
        <f aca="false">IF($A1356="","",IF(원본명단!$I1355="",0,COUNTIF(원본명단!$I$3:$I$6002,원본명단!$I1355)))</f>
        <v/>
      </c>
      <c r="G1356" s="11" t="str">
        <f aca="false">IF($A1356="","",IF(원본명단!$K1355="",0,COUNTIF(원본명단!$K$3:$K$6002,원본명단!$K1355)))</f>
        <v/>
      </c>
      <c r="H1356" s="11" t="str">
        <f aca="false">IF($A1356="","",IF(MAX($E1356,$F1356,$G1356)&gt;1,"중복","-"))</f>
        <v/>
      </c>
      <c r="I1356" s="11" t="str">
        <f aca="false">IF($A1356="","",IF($H1356="-","-",IF(AND(IF(원본명단!$H1355="",TRUE(),COUNTIF(원본명단!$H$3:$H1355,원본명단!$H1355)=1),IF(원본명단!$I1355="",TRUE(),COUNTIF(원본명단!$I$3:$I1355,원본명단!$I1355)=1),IF(원본명단!$K1355="",TRUE(),COUNTIF(원본명단!$K$3:$K1355,원본명단!$K1355)=1)),"첫 건","중복 건")))</f>
        <v/>
      </c>
      <c r="J1356" s="11" t="str">
        <f aca="false">IF($A1356="","",IF($H1356="-","유지",IF($I1356="첫 건","유지","확인 필요")))</f>
        <v/>
      </c>
    </row>
    <row r="1357" customFormat="false" ht="15" hidden="false" customHeight="true" outlineLevel="0" collapsed="false">
      <c r="A1357" s="11" t="str">
        <f aca="false">IF(원본명단!$A1356="","",1354)</f>
        <v/>
      </c>
      <c r="B1357" s="12" t="str">
        <f aca="false">IF($A1357="","",원본명단!$A1356)</f>
        <v/>
      </c>
      <c r="C1357" s="12" t="str">
        <f aca="false">IF($A1357="","",원본명단!$B1356)</f>
        <v/>
      </c>
      <c r="D1357" s="12" t="str">
        <f aca="false">IF($A1357="","",원본명단!$D1356)</f>
        <v/>
      </c>
      <c r="E1357" s="11" t="str">
        <f aca="false">IF($A1357="","",IF(원본명단!$H1356="",0,COUNTIF(원본명단!$H$3:$H$6002,원본명단!$H1356)))</f>
        <v/>
      </c>
      <c r="F1357" s="11" t="str">
        <f aca="false">IF($A1357="","",IF(원본명단!$I1356="",0,COUNTIF(원본명단!$I$3:$I$6002,원본명단!$I1356)))</f>
        <v/>
      </c>
      <c r="G1357" s="11" t="str">
        <f aca="false">IF($A1357="","",IF(원본명단!$K1356="",0,COUNTIF(원본명단!$K$3:$K$6002,원본명단!$K1356)))</f>
        <v/>
      </c>
      <c r="H1357" s="11" t="str">
        <f aca="false">IF($A1357="","",IF(MAX($E1357,$F1357,$G1357)&gt;1,"중복","-"))</f>
        <v/>
      </c>
      <c r="I1357" s="11" t="str">
        <f aca="false">IF($A1357="","",IF($H1357="-","-",IF(AND(IF(원본명단!$H1356="",TRUE(),COUNTIF(원본명단!$H$3:$H1356,원본명단!$H1356)=1),IF(원본명단!$I1356="",TRUE(),COUNTIF(원본명단!$I$3:$I1356,원본명단!$I1356)=1),IF(원본명단!$K1356="",TRUE(),COUNTIF(원본명단!$K$3:$K1356,원본명단!$K1356)=1)),"첫 건","중복 건")))</f>
        <v/>
      </c>
      <c r="J1357" s="11" t="str">
        <f aca="false">IF($A1357="","",IF($H1357="-","유지",IF($I1357="첫 건","유지","확인 필요")))</f>
        <v/>
      </c>
    </row>
    <row r="1358" customFormat="false" ht="15" hidden="false" customHeight="true" outlineLevel="0" collapsed="false">
      <c r="A1358" s="11" t="str">
        <f aca="false">IF(원본명단!$A1357="","",1355)</f>
        <v/>
      </c>
      <c r="B1358" s="12" t="str">
        <f aca="false">IF($A1358="","",원본명단!$A1357)</f>
        <v/>
      </c>
      <c r="C1358" s="12" t="str">
        <f aca="false">IF($A1358="","",원본명단!$B1357)</f>
        <v/>
      </c>
      <c r="D1358" s="12" t="str">
        <f aca="false">IF($A1358="","",원본명단!$D1357)</f>
        <v/>
      </c>
      <c r="E1358" s="11" t="str">
        <f aca="false">IF($A1358="","",IF(원본명단!$H1357="",0,COUNTIF(원본명단!$H$3:$H$6002,원본명단!$H1357)))</f>
        <v/>
      </c>
      <c r="F1358" s="11" t="str">
        <f aca="false">IF($A1358="","",IF(원본명단!$I1357="",0,COUNTIF(원본명단!$I$3:$I$6002,원본명단!$I1357)))</f>
        <v/>
      </c>
      <c r="G1358" s="11" t="str">
        <f aca="false">IF($A1358="","",IF(원본명단!$K1357="",0,COUNTIF(원본명단!$K$3:$K$6002,원본명단!$K1357)))</f>
        <v/>
      </c>
      <c r="H1358" s="11" t="str">
        <f aca="false">IF($A1358="","",IF(MAX($E1358,$F1358,$G1358)&gt;1,"중복","-"))</f>
        <v/>
      </c>
      <c r="I1358" s="11" t="str">
        <f aca="false">IF($A1358="","",IF($H1358="-","-",IF(AND(IF(원본명단!$H1357="",TRUE(),COUNTIF(원본명단!$H$3:$H1357,원본명단!$H1357)=1),IF(원본명단!$I1357="",TRUE(),COUNTIF(원본명단!$I$3:$I1357,원본명단!$I1357)=1),IF(원본명단!$K1357="",TRUE(),COUNTIF(원본명단!$K$3:$K1357,원본명단!$K1357)=1)),"첫 건","중복 건")))</f>
        <v/>
      </c>
      <c r="J1358" s="11" t="str">
        <f aca="false">IF($A1358="","",IF($H1358="-","유지",IF($I1358="첫 건","유지","확인 필요")))</f>
        <v/>
      </c>
    </row>
    <row r="1359" customFormat="false" ht="15" hidden="false" customHeight="true" outlineLevel="0" collapsed="false">
      <c r="A1359" s="11" t="str">
        <f aca="false">IF(원본명단!$A1358="","",1356)</f>
        <v/>
      </c>
      <c r="B1359" s="12" t="str">
        <f aca="false">IF($A1359="","",원본명단!$A1358)</f>
        <v/>
      </c>
      <c r="C1359" s="12" t="str">
        <f aca="false">IF($A1359="","",원본명단!$B1358)</f>
        <v/>
      </c>
      <c r="D1359" s="12" t="str">
        <f aca="false">IF($A1359="","",원본명단!$D1358)</f>
        <v/>
      </c>
      <c r="E1359" s="11" t="str">
        <f aca="false">IF($A1359="","",IF(원본명단!$H1358="",0,COUNTIF(원본명단!$H$3:$H$6002,원본명단!$H1358)))</f>
        <v/>
      </c>
      <c r="F1359" s="11" t="str">
        <f aca="false">IF($A1359="","",IF(원본명단!$I1358="",0,COUNTIF(원본명단!$I$3:$I$6002,원본명단!$I1358)))</f>
        <v/>
      </c>
      <c r="G1359" s="11" t="str">
        <f aca="false">IF($A1359="","",IF(원본명단!$K1358="",0,COUNTIF(원본명단!$K$3:$K$6002,원본명단!$K1358)))</f>
        <v/>
      </c>
      <c r="H1359" s="11" t="str">
        <f aca="false">IF($A1359="","",IF(MAX($E1359,$F1359,$G1359)&gt;1,"중복","-"))</f>
        <v/>
      </c>
      <c r="I1359" s="11" t="str">
        <f aca="false">IF($A1359="","",IF($H1359="-","-",IF(AND(IF(원본명단!$H1358="",TRUE(),COUNTIF(원본명단!$H$3:$H1358,원본명단!$H1358)=1),IF(원본명단!$I1358="",TRUE(),COUNTIF(원본명단!$I$3:$I1358,원본명단!$I1358)=1),IF(원본명단!$K1358="",TRUE(),COUNTIF(원본명단!$K$3:$K1358,원본명단!$K1358)=1)),"첫 건","중복 건")))</f>
        <v/>
      </c>
      <c r="J1359" s="11" t="str">
        <f aca="false">IF($A1359="","",IF($H1359="-","유지",IF($I1359="첫 건","유지","확인 필요")))</f>
        <v/>
      </c>
    </row>
    <row r="1360" customFormat="false" ht="15" hidden="false" customHeight="true" outlineLevel="0" collapsed="false">
      <c r="A1360" s="11" t="str">
        <f aca="false">IF(원본명단!$A1359="","",1357)</f>
        <v/>
      </c>
      <c r="B1360" s="12" t="str">
        <f aca="false">IF($A1360="","",원본명단!$A1359)</f>
        <v/>
      </c>
      <c r="C1360" s="12" t="str">
        <f aca="false">IF($A1360="","",원본명단!$B1359)</f>
        <v/>
      </c>
      <c r="D1360" s="12" t="str">
        <f aca="false">IF($A1360="","",원본명단!$D1359)</f>
        <v/>
      </c>
      <c r="E1360" s="11" t="str">
        <f aca="false">IF($A1360="","",IF(원본명단!$H1359="",0,COUNTIF(원본명단!$H$3:$H$6002,원본명단!$H1359)))</f>
        <v/>
      </c>
      <c r="F1360" s="11" t="str">
        <f aca="false">IF($A1360="","",IF(원본명단!$I1359="",0,COUNTIF(원본명단!$I$3:$I$6002,원본명단!$I1359)))</f>
        <v/>
      </c>
      <c r="G1360" s="11" t="str">
        <f aca="false">IF($A1360="","",IF(원본명단!$K1359="",0,COUNTIF(원본명단!$K$3:$K$6002,원본명단!$K1359)))</f>
        <v/>
      </c>
      <c r="H1360" s="11" t="str">
        <f aca="false">IF($A1360="","",IF(MAX($E1360,$F1360,$G1360)&gt;1,"중복","-"))</f>
        <v/>
      </c>
      <c r="I1360" s="11" t="str">
        <f aca="false">IF($A1360="","",IF($H1360="-","-",IF(AND(IF(원본명단!$H1359="",TRUE(),COUNTIF(원본명단!$H$3:$H1359,원본명단!$H1359)=1),IF(원본명단!$I1359="",TRUE(),COUNTIF(원본명단!$I$3:$I1359,원본명단!$I1359)=1),IF(원본명단!$K1359="",TRUE(),COUNTIF(원본명단!$K$3:$K1359,원본명단!$K1359)=1)),"첫 건","중복 건")))</f>
        <v/>
      </c>
      <c r="J1360" s="11" t="str">
        <f aca="false">IF($A1360="","",IF($H1360="-","유지",IF($I1360="첫 건","유지","확인 필요")))</f>
        <v/>
      </c>
    </row>
    <row r="1361" customFormat="false" ht="15" hidden="false" customHeight="true" outlineLevel="0" collapsed="false">
      <c r="A1361" s="11" t="str">
        <f aca="false">IF(원본명단!$A1360="","",1358)</f>
        <v/>
      </c>
      <c r="B1361" s="12" t="str">
        <f aca="false">IF($A1361="","",원본명단!$A1360)</f>
        <v/>
      </c>
      <c r="C1361" s="12" t="str">
        <f aca="false">IF($A1361="","",원본명단!$B1360)</f>
        <v/>
      </c>
      <c r="D1361" s="12" t="str">
        <f aca="false">IF($A1361="","",원본명단!$D1360)</f>
        <v/>
      </c>
      <c r="E1361" s="11" t="str">
        <f aca="false">IF($A1361="","",IF(원본명단!$H1360="",0,COUNTIF(원본명단!$H$3:$H$6002,원본명단!$H1360)))</f>
        <v/>
      </c>
      <c r="F1361" s="11" t="str">
        <f aca="false">IF($A1361="","",IF(원본명단!$I1360="",0,COUNTIF(원본명단!$I$3:$I$6002,원본명단!$I1360)))</f>
        <v/>
      </c>
      <c r="G1361" s="11" t="str">
        <f aca="false">IF($A1361="","",IF(원본명단!$K1360="",0,COUNTIF(원본명단!$K$3:$K$6002,원본명단!$K1360)))</f>
        <v/>
      </c>
      <c r="H1361" s="11" t="str">
        <f aca="false">IF($A1361="","",IF(MAX($E1361,$F1361,$G1361)&gt;1,"중복","-"))</f>
        <v/>
      </c>
      <c r="I1361" s="11" t="str">
        <f aca="false">IF($A1361="","",IF($H1361="-","-",IF(AND(IF(원본명단!$H1360="",TRUE(),COUNTIF(원본명단!$H$3:$H1360,원본명단!$H1360)=1),IF(원본명단!$I1360="",TRUE(),COUNTIF(원본명단!$I$3:$I1360,원본명단!$I1360)=1),IF(원본명단!$K1360="",TRUE(),COUNTIF(원본명단!$K$3:$K1360,원본명단!$K1360)=1)),"첫 건","중복 건")))</f>
        <v/>
      </c>
      <c r="J1361" s="11" t="str">
        <f aca="false">IF($A1361="","",IF($H1361="-","유지",IF($I1361="첫 건","유지","확인 필요")))</f>
        <v/>
      </c>
    </row>
    <row r="1362" customFormat="false" ht="15" hidden="false" customHeight="true" outlineLevel="0" collapsed="false">
      <c r="A1362" s="11" t="str">
        <f aca="false">IF(원본명단!$A1361="","",1359)</f>
        <v/>
      </c>
      <c r="B1362" s="12" t="str">
        <f aca="false">IF($A1362="","",원본명단!$A1361)</f>
        <v/>
      </c>
      <c r="C1362" s="12" t="str">
        <f aca="false">IF($A1362="","",원본명단!$B1361)</f>
        <v/>
      </c>
      <c r="D1362" s="12" t="str">
        <f aca="false">IF($A1362="","",원본명단!$D1361)</f>
        <v/>
      </c>
      <c r="E1362" s="11" t="str">
        <f aca="false">IF($A1362="","",IF(원본명단!$H1361="",0,COUNTIF(원본명단!$H$3:$H$6002,원본명단!$H1361)))</f>
        <v/>
      </c>
      <c r="F1362" s="11" t="str">
        <f aca="false">IF($A1362="","",IF(원본명단!$I1361="",0,COUNTIF(원본명단!$I$3:$I$6002,원본명단!$I1361)))</f>
        <v/>
      </c>
      <c r="G1362" s="11" t="str">
        <f aca="false">IF($A1362="","",IF(원본명단!$K1361="",0,COUNTIF(원본명단!$K$3:$K$6002,원본명단!$K1361)))</f>
        <v/>
      </c>
      <c r="H1362" s="11" t="str">
        <f aca="false">IF($A1362="","",IF(MAX($E1362,$F1362,$G1362)&gt;1,"중복","-"))</f>
        <v/>
      </c>
      <c r="I1362" s="11" t="str">
        <f aca="false">IF($A1362="","",IF($H1362="-","-",IF(AND(IF(원본명단!$H1361="",TRUE(),COUNTIF(원본명단!$H$3:$H1361,원본명단!$H1361)=1),IF(원본명단!$I1361="",TRUE(),COUNTIF(원본명단!$I$3:$I1361,원본명단!$I1361)=1),IF(원본명단!$K1361="",TRUE(),COUNTIF(원본명단!$K$3:$K1361,원본명단!$K1361)=1)),"첫 건","중복 건")))</f>
        <v/>
      </c>
      <c r="J1362" s="11" t="str">
        <f aca="false">IF($A1362="","",IF($H1362="-","유지",IF($I1362="첫 건","유지","확인 필요")))</f>
        <v/>
      </c>
    </row>
    <row r="1363" customFormat="false" ht="15" hidden="false" customHeight="true" outlineLevel="0" collapsed="false">
      <c r="A1363" s="11" t="str">
        <f aca="false">IF(원본명단!$A1362="","",1360)</f>
        <v/>
      </c>
      <c r="B1363" s="12" t="str">
        <f aca="false">IF($A1363="","",원본명단!$A1362)</f>
        <v/>
      </c>
      <c r="C1363" s="12" t="str">
        <f aca="false">IF($A1363="","",원본명단!$B1362)</f>
        <v/>
      </c>
      <c r="D1363" s="12" t="str">
        <f aca="false">IF($A1363="","",원본명단!$D1362)</f>
        <v/>
      </c>
      <c r="E1363" s="11" t="str">
        <f aca="false">IF($A1363="","",IF(원본명단!$H1362="",0,COUNTIF(원본명단!$H$3:$H$6002,원본명단!$H1362)))</f>
        <v/>
      </c>
      <c r="F1363" s="11" t="str">
        <f aca="false">IF($A1363="","",IF(원본명단!$I1362="",0,COUNTIF(원본명단!$I$3:$I$6002,원본명단!$I1362)))</f>
        <v/>
      </c>
      <c r="G1363" s="11" t="str">
        <f aca="false">IF($A1363="","",IF(원본명단!$K1362="",0,COUNTIF(원본명단!$K$3:$K$6002,원본명단!$K1362)))</f>
        <v/>
      </c>
      <c r="H1363" s="11" t="str">
        <f aca="false">IF($A1363="","",IF(MAX($E1363,$F1363,$G1363)&gt;1,"중복","-"))</f>
        <v/>
      </c>
      <c r="I1363" s="11" t="str">
        <f aca="false">IF($A1363="","",IF($H1363="-","-",IF(AND(IF(원본명단!$H1362="",TRUE(),COUNTIF(원본명단!$H$3:$H1362,원본명단!$H1362)=1),IF(원본명단!$I1362="",TRUE(),COUNTIF(원본명단!$I$3:$I1362,원본명단!$I1362)=1),IF(원본명단!$K1362="",TRUE(),COUNTIF(원본명단!$K$3:$K1362,원본명단!$K1362)=1)),"첫 건","중복 건")))</f>
        <v/>
      </c>
      <c r="J1363" s="11" t="str">
        <f aca="false">IF($A1363="","",IF($H1363="-","유지",IF($I1363="첫 건","유지","확인 필요")))</f>
        <v/>
      </c>
    </row>
    <row r="1364" customFormat="false" ht="15" hidden="false" customHeight="true" outlineLevel="0" collapsed="false">
      <c r="A1364" s="11" t="str">
        <f aca="false">IF(원본명단!$A1363="","",1361)</f>
        <v/>
      </c>
      <c r="B1364" s="12" t="str">
        <f aca="false">IF($A1364="","",원본명단!$A1363)</f>
        <v/>
      </c>
      <c r="C1364" s="12" t="str">
        <f aca="false">IF($A1364="","",원본명단!$B1363)</f>
        <v/>
      </c>
      <c r="D1364" s="12" t="str">
        <f aca="false">IF($A1364="","",원본명단!$D1363)</f>
        <v/>
      </c>
      <c r="E1364" s="11" t="str">
        <f aca="false">IF($A1364="","",IF(원본명단!$H1363="",0,COUNTIF(원본명단!$H$3:$H$6002,원본명단!$H1363)))</f>
        <v/>
      </c>
      <c r="F1364" s="11" t="str">
        <f aca="false">IF($A1364="","",IF(원본명단!$I1363="",0,COUNTIF(원본명단!$I$3:$I$6002,원본명단!$I1363)))</f>
        <v/>
      </c>
      <c r="G1364" s="11" t="str">
        <f aca="false">IF($A1364="","",IF(원본명단!$K1363="",0,COUNTIF(원본명단!$K$3:$K$6002,원본명단!$K1363)))</f>
        <v/>
      </c>
      <c r="H1364" s="11" t="str">
        <f aca="false">IF($A1364="","",IF(MAX($E1364,$F1364,$G1364)&gt;1,"중복","-"))</f>
        <v/>
      </c>
      <c r="I1364" s="11" t="str">
        <f aca="false">IF($A1364="","",IF($H1364="-","-",IF(AND(IF(원본명단!$H1363="",TRUE(),COUNTIF(원본명단!$H$3:$H1363,원본명단!$H1363)=1),IF(원본명단!$I1363="",TRUE(),COUNTIF(원본명단!$I$3:$I1363,원본명단!$I1363)=1),IF(원본명단!$K1363="",TRUE(),COUNTIF(원본명단!$K$3:$K1363,원본명단!$K1363)=1)),"첫 건","중복 건")))</f>
        <v/>
      </c>
      <c r="J1364" s="11" t="str">
        <f aca="false">IF($A1364="","",IF($H1364="-","유지",IF($I1364="첫 건","유지","확인 필요")))</f>
        <v/>
      </c>
    </row>
    <row r="1365" customFormat="false" ht="15" hidden="false" customHeight="true" outlineLevel="0" collapsed="false">
      <c r="A1365" s="11" t="str">
        <f aca="false">IF(원본명단!$A1364="","",1362)</f>
        <v/>
      </c>
      <c r="B1365" s="12" t="str">
        <f aca="false">IF($A1365="","",원본명단!$A1364)</f>
        <v/>
      </c>
      <c r="C1365" s="12" t="str">
        <f aca="false">IF($A1365="","",원본명단!$B1364)</f>
        <v/>
      </c>
      <c r="D1365" s="12" t="str">
        <f aca="false">IF($A1365="","",원본명단!$D1364)</f>
        <v/>
      </c>
      <c r="E1365" s="11" t="str">
        <f aca="false">IF($A1365="","",IF(원본명단!$H1364="",0,COUNTIF(원본명단!$H$3:$H$6002,원본명단!$H1364)))</f>
        <v/>
      </c>
      <c r="F1365" s="11" t="str">
        <f aca="false">IF($A1365="","",IF(원본명단!$I1364="",0,COUNTIF(원본명단!$I$3:$I$6002,원본명단!$I1364)))</f>
        <v/>
      </c>
      <c r="G1365" s="11" t="str">
        <f aca="false">IF($A1365="","",IF(원본명단!$K1364="",0,COUNTIF(원본명단!$K$3:$K$6002,원본명단!$K1364)))</f>
        <v/>
      </c>
      <c r="H1365" s="11" t="str">
        <f aca="false">IF($A1365="","",IF(MAX($E1365,$F1365,$G1365)&gt;1,"중복","-"))</f>
        <v/>
      </c>
      <c r="I1365" s="11" t="str">
        <f aca="false">IF($A1365="","",IF($H1365="-","-",IF(AND(IF(원본명단!$H1364="",TRUE(),COUNTIF(원본명단!$H$3:$H1364,원본명단!$H1364)=1),IF(원본명단!$I1364="",TRUE(),COUNTIF(원본명단!$I$3:$I1364,원본명단!$I1364)=1),IF(원본명단!$K1364="",TRUE(),COUNTIF(원본명단!$K$3:$K1364,원본명단!$K1364)=1)),"첫 건","중복 건")))</f>
        <v/>
      </c>
      <c r="J1365" s="11" t="str">
        <f aca="false">IF($A1365="","",IF($H1365="-","유지",IF($I1365="첫 건","유지","확인 필요")))</f>
        <v/>
      </c>
    </row>
    <row r="1366" customFormat="false" ht="15" hidden="false" customHeight="true" outlineLevel="0" collapsed="false">
      <c r="A1366" s="11" t="str">
        <f aca="false">IF(원본명단!$A1365="","",1363)</f>
        <v/>
      </c>
      <c r="B1366" s="12" t="str">
        <f aca="false">IF($A1366="","",원본명단!$A1365)</f>
        <v/>
      </c>
      <c r="C1366" s="12" t="str">
        <f aca="false">IF($A1366="","",원본명단!$B1365)</f>
        <v/>
      </c>
      <c r="D1366" s="12" t="str">
        <f aca="false">IF($A1366="","",원본명단!$D1365)</f>
        <v/>
      </c>
      <c r="E1366" s="11" t="str">
        <f aca="false">IF($A1366="","",IF(원본명단!$H1365="",0,COUNTIF(원본명단!$H$3:$H$6002,원본명단!$H1365)))</f>
        <v/>
      </c>
      <c r="F1366" s="11" t="str">
        <f aca="false">IF($A1366="","",IF(원본명단!$I1365="",0,COUNTIF(원본명단!$I$3:$I$6002,원본명단!$I1365)))</f>
        <v/>
      </c>
      <c r="G1366" s="11" t="str">
        <f aca="false">IF($A1366="","",IF(원본명단!$K1365="",0,COUNTIF(원본명단!$K$3:$K$6002,원본명단!$K1365)))</f>
        <v/>
      </c>
      <c r="H1366" s="11" t="str">
        <f aca="false">IF($A1366="","",IF(MAX($E1366,$F1366,$G1366)&gt;1,"중복","-"))</f>
        <v/>
      </c>
      <c r="I1366" s="11" t="str">
        <f aca="false">IF($A1366="","",IF($H1366="-","-",IF(AND(IF(원본명단!$H1365="",TRUE(),COUNTIF(원본명단!$H$3:$H1365,원본명단!$H1365)=1),IF(원본명단!$I1365="",TRUE(),COUNTIF(원본명단!$I$3:$I1365,원본명단!$I1365)=1),IF(원본명단!$K1365="",TRUE(),COUNTIF(원본명단!$K$3:$K1365,원본명단!$K1365)=1)),"첫 건","중복 건")))</f>
        <v/>
      </c>
      <c r="J1366" s="11" t="str">
        <f aca="false">IF($A1366="","",IF($H1366="-","유지",IF($I1366="첫 건","유지","확인 필요")))</f>
        <v/>
      </c>
    </row>
    <row r="1367" customFormat="false" ht="15" hidden="false" customHeight="true" outlineLevel="0" collapsed="false">
      <c r="A1367" s="11" t="str">
        <f aca="false">IF(원본명단!$A1366="","",1364)</f>
        <v/>
      </c>
      <c r="B1367" s="12" t="str">
        <f aca="false">IF($A1367="","",원본명단!$A1366)</f>
        <v/>
      </c>
      <c r="C1367" s="12" t="str">
        <f aca="false">IF($A1367="","",원본명단!$B1366)</f>
        <v/>
      </c>
      <c r="D1367" s="12" t="str">
        <f aca="false">IF($A1367="","",원본명단!$D1366)</f>
        <v/>
      </c>
      <c r="E1367" s="11" t="str">
        <f aca="false">IF($A1367="","",IF(원본명단!$H1366="",0,COUNTIF(원본명단!$H$3:$H$6002,원본명단!$H1366)))</f>
        <v/>
      </c>
      <c r="F1367" s="11" t="str">
        <f aca="false">IF($A1367="","",IF(원본명단!$I1366="",0,COUNTIF(원본명단!$I$3:$I$6002,원본명단!$I1366)))</f>
        <v/>
      </c>
      <c r="G1367" s="11" t="str">
        <f aca="false">IF($A1367="","",IF(원본명단!$K1366="",0,COUNTIF(원본명단!$K$3:$K$6002,원본명단!$K1366)))</f>
        <v/>
      </c>
      <c r="H1367" s="11" t="str">
        <f aca="false">IF($A1367="","",IF(MAX($E1367,$F1367,$G1367)&gt;1,"중복","-"))</f>
        <v/>
      </c>
      <c r="I1367" s="11" t="str">
        <f aca="false">IF($A1367="","",IF($H1367="-","-",IF(AND(IF(원본명단!$H1366="",TRUE(),COUNTIF(원본명단!$H$3:$H1366,원본명단!$H1366)=1),IF(원본명단!$I1366="",TRUE(),COUNTIF(원본명단!$I$3:$I1366,원본명단!$I1366)=1),IF(원본명단!$K1366="",TRUE(),COUNTIF(원본명단!$K$3:$K1366,원본명단!$K1366)=1)),"첫 건","중복 건")))</f>
        <v/>
      </c>
      <c r="J1367" s="11" t="str">
        <f aca="false">IF($A1367="","",IF($H1367="-","유지",IF($I1367="첫 건","유지","확인 필요")))</f>
        <v/>
      </c>
    </row>
    <row r="1368" customFormat="false" ht="15" hidden="false" customHeight="true" outlineLevel="0" collapsed="false">
      <c r="A1368" s="11" t="str">
        <f aca="false">IF(원본명단!$A1367="","",1365)</f>
        <v/>
      </c>
      <c r="B1368" s="12" t="str">
        <f aca="false">IF($A1368="","",원본명단!$A1367)</f>
        <v/>
      </c>
      <c r="C1368" s="12" t="str">
        <f aca="false">IF($A1368="","",원본명단!$B1367)</f>
        <v/>
      </c>
      <c r="D1368" s="12" t="str">
        <f aca="false">IF($A1368="","",원본명단!$D1367)</f>
        <v/>
      </c>
      <c r="E1368" s="11" t="str">
        <f aca="false">IF($A1368="","",IF(원본명단!$H1367="",0,COUNTIF(원본명단!$H$3:$H$6002,원본명단!$H1367)))</f>
        <v/>
      </c>
      <c r="F1368" s="11" t="str">
        <f aca="false">IF($A1368="","",IF(원본명단!$I1367="",0,COUNTIF(원본명단!$I$3:$I$6002,원본명단!$I1367)))</f>
        <v/>
      </c>
      <c r="G1368" s="11" t="str">
        <f aca="false">IF($A1368="","",IF(원본명단!$K1367="",0,COUNTIF(원본명단!$K$3:$K$6002,원본명단!$K1367)))</f>
        <v/>
      </c>
      <c r="H1368" s="11" t="str">
        <f aca="false">IF($A1368="","",IF(MAX($E1368,$F1368,$G1368)&gt;1,"중복","-"))</f>
        <v/>
      </c>
      <c r="I1368" s="11" t="str">
        <f aca="false">IF($A1368="","",IF($H1368="-","-",IF(AND(IF(원본명단!$H1367="",TRUE(),COUNTIF(원본명단!$H$3:$H1367,원본명단!$H1367)=1),IF(원본명단!$I1367="",TRUE(),COUNTIF(원본명단!$I$3:$I1367,원본명단!$I1367)=1),IF(원본명단!$K1367="",TRUE(),COUNTIF(원본명단!$K$3:$K1367,원본명단!$K1367)=1)),"첫 건","중복 건")))</f>
        <v/>
      </c>
      <c r="J1368" s="11" t="str">
        <f aca="false">IF($A1368="","",IF($H1368="-","유지",IF($I1368="첫 건","유지","확인 필요")))</f>
        <v/>
      </c>
    </row>
    <row r="1369" customFormat="false" ht="15" hidden="false" customHeight="true" outlineLevel="0" collapsed="false">
      <c r="A1369" s="11" t="str">
        <f aca="false">IF(원본명단!$A1368="","",1366)</f>
        <v/>
      </c>
      <c r="B1369" s="12" t="str">
        <f aca="false">IF($A1369="","",원본명단!$A1368)</f>
        <v/>
      </c>
      <c r="C1369" s="12" t="str">
        <f aca="false">IF($A1369="","",원본명단!$B1368)</f>
        <v/>
      </c>
      <c r="D1369" s="12" t="str">
        <f aca="false">IF($A1369="","",원본명단!$D1368)</f>
        <v/>
      </c>
      <c r="E1369" s="11" t="str">
        <f aca="false">IF($A1369="","",IF(원본명단!$H1368="",0,COUNTIF(원본명단!$H$3:$H$6002,원본명단!$H1368)))</f>
        <v/>
      </c>
      <c r="F1369" s="11" t="str">
        <f aca="false">IF($A1369="","",IF(원본명단!$I1368="",0,COUNTIF(원본명단!$I$3:$I$6002,원본명단!$I1368)))</f>
        <v/>
      </c>
      <c r="G1369" s="11" t="str">
        <f aca="false">IF($A1369="","",IF(원본명단!$K1368="",0,COUNTIF(원본명단!$K$3:$K$6002,원본명단!$K1368)))</f>
        <v/>
      </c>
      <c r="H1369" s="11" t="str">
        <f aca="false">IF($A1369="","",IF(MAX($E1369,$F1369,$G1369)&gt;1,"중복","-"))</f>
        <v/>
      </c>
      <c r="I1369" s="11" t="str">
        <f aca="false">IF($A1369="","",IF($H1369="-","-",IF(AND(IF(원본명단!$H1368="",TRUE(),COUNTIF(원본명단!$H$3:$H1368,원본명단!$H1368)=1),IF(원본명단!$I1368="",TRUE(),COUNTIF(원본명단!$I$3:$I1368,원본명단!$I1368)=1),IF(원본명단!$K1368="",TRUE(),COUNTIF(원본명단!$K$3:$K1368,원본명단!$K1368)=1)),"첫 건","중복 건")))</f>
        <v/>
      </c>
      <c r="J1369" s="11" t="str">
        <f aca="false">IF($A1369="","",IF($H1369="-","유지",IF($I1369="첫 건","유지","확인 필요")))</f>
        <v/>
      </c>
    </row>
    <row r="1370" customFormat="false" ht="15" hidden="false" customHeight="true" outlineLevel="0" collapsed="false">
      <c r="A1370" s="11" t="str">
        <f aca="false">IF(원본명단!$A1369="","",1367)</f>
        <v/>
      </c>
      <c r="B1370" s="12" t="str">
        <f aca="false">IF($A1370="","",원본명단!$A1369)</f>
        <v/>
      </c>
      <c r="C1370" s="12" t="str">
        <f aca="false">IF($A1370="","",원본명단!$B1369)</f>
        <v/>
      </c>
      <c r="D1370" s="12" t="str">
        <f aca="false">IF($A1370="","",원본명단!$D1369)</f>
        <v/>
      </c>
      <c r="E1370" s="11" t="str">
        <f aca="false">IF($A1370="","",IF(원본명단!$H1369="",0,COUNTIF(원본명단!$H$3:$H$6002,원본명단!$H1369)))</f>
        <v/>
      </c>
      <c r="F1370" s="11" t="str">
        <f aca="false">IF($A1370="","",IF(원본명단!$I1369="",0,COUNTIF(원본명단!$I$3:$I$6002,원본명단!$I1369)))</f>
        <v/>
      </c>
      <c r="G1370" s="11" t="str">
        <f aca="false">IF($A1370="","",IF(원본명단!$K1369="",0,COUNTIF(원본명단!$K$3:$K$6002,원본명단!$K1369)))</f>
        <v/>
      </c>
      <c r="H1370" s="11" t="str">
        <f aca="false">IF($A1370="","",IF(MAX($E1370,$F1370,$G1370)&gt;1,"중복","-"))</f>
        <v/>
      </c>
      <c r="I1370" s="11" t="str">
        <f aca="false">IF($A1370="","",IF($H1370="-","-",IF(AND(IF(원본명단!$H1369="",TRUE(),COUNTIF(원본명단!$H$3:$H1369,원본명단!$H1369)=1),IF(원본명단!$I1369="",TRUE(),COUNTIF(원본명단!$I$3:$I1369,원본명단!$I1369)=1),IF(원본명단!$K1369="",TRUE(),COUNTIF(원본명단!$K$3:$K1369,원본명단!$K1369)=1)),"첫 건","중복 건")))</f>
        <v/>
      </c>
      <c r="J1370" s="11" t="str">
        <f aca="false">IF($A1370="","",IF($H1370="-","유지",IF($I1370="첫 건","유지","확인 필요")))</f>
        <v/>
      </c>
    </row>
    <row r="1371" customFormat="false" ht="15" hidden="false" customHeight="true" outlineLevel="0" collapsed="false">
      <c r="A1371" s="11" t="str">
        <f aca="false">IF(원본명단!$A1370="","",1368)</f>
        <v/>
      </c>
      <c r="B1371" s="12" t="str">
        <f aca="false">IF($A1371="","",원본명단!$A1370)</f>
        <v/>
      </c>
      <c r="C1371" s="12" t="str">
        <f aca="false">IF($A1371="","",원본명단!$B1370)</f>
        <v/>
      </c>
      <c r="D1371" s="12" t="str">
        <f aca="false">IF($A1371="","",원본명단!$D1370)</f>
        <v/>
      </c>
      <c r="E1371" s="11" t="str">
        <f aca="false">IF($A1371="","",IF(원본명단!$H1370="",0,COUNTIF(원본명단!$H$3:$H$6002,원본명단!$H1370)))</f>
        <v/>
      </c>
      <c r="F1371" s="11" t="str">
        <f aca="false">IF($A1371="","",IF(원본명단!$I1370="",0,COUNTIF(원본명단!$I$3:$I$6002,원본명단!$I1370)))</f>
        <v/>
      </c>
      <c r="G1371" s="11" t="str">
        <f aca="false">IF($A1371="","",IF(원본명단!$K1370="",0,COUNTIF(원본명단!$K$3:$K$6002,원본명단!$K1370)))</f>
        <v/>
      </c>
      <c r="H1371" s="11" t="str">
        <f aca="false">IF($A1371="","",IF(MAX($E1371,$F1371,$G1371)&gt;1,"중복","-"))</f>
        <v/>
      </c>
      <c r="I1371" s="11" t="str">
        <f aca="false">IF($A1371="","",IF($H1371="-","-",IF(AND(IF(원본명단!$H1370="",TRUE(),COUNTIF(원본명단!$H$3:$H1370,원본명단!$H1370)=1),IF(원본명단!$I1370="",TRUE(),COUNTIF(원본명단!$I$3:$I1370,원본명단!$I1370)=1),IF(원본명단!$K1370="",TRUE(),COUNTIF(원본명단!$K$3:$K1370,원본명단!$K1370)=1)),"첫 건","중복 건")))</f>
        <v/>
      </c>
      <c r="J1371" s="11" t="str">
        <f aca="false">IF($A1371="","",IF($H1371="-","유지",IF($I1371="첫 건","유지","확인 필요")))</f>
        <v/>
      </c>
    </row>
    <row r="1372" customFormat="false" ht="15" hidden="false" customHeight="true" outlineLevel="0" collapsed="false">
      <c r="A1372" s="11" t="str">
        <f aca="false">IF(원본명단!$A1371="","",1369)</f>
        <v/>
      </c>
      <c r="B1372" s="12" t="str">
        <f aca="false">IF($A1372="","",원본명단!$A1371)</f>
        <v/>
      </c>
      <c r="C1372" s="12" t="str">
        <f aca="false">IF($A1372="","",원본명단!$B1371)</f>
        <v/>
      </c>
      <c r="D1372" s="12" t="str">
        <f aca="false">IF($A1372="","",원본명단!$D1371)</f>
        <v/>
      </c>
      <c r="E1372" s="11" t="str">
        <f aca="false">IF($A1372="","",IF(원본명단!$H1371="",0,COUNTIF(원본명단!$H$3:$H$6002,원본명단!$H1371)))</f>
        <v/>
      </c>
      <c r="F1372" s="11" t="str">
        <f aca="false">IF($A1372="","",IF(원본명단!$I1371="",0,COUNTIF(원본명단!$I$3:$I$6002,원본명단!$I1371)))</f>
        <v/>
      </c>
      <c r="G1372" s="11" t="str">
        <f aca="false">IF($A1372="","",IF(원본명단!$K1371="",0,COUNTIF(원본명단!$K$3:$K$6002,원본명단!$K1371)))</f>
        <v/>
      </c>
      <c r="H1372" s="11" t="str">
        <f aca="false">IF($A1372="","",IF(MAX($E1372,$F1372,$G1372)&gt;1,"중복","-"))</f>
        <v/>
      </c>
      <c r="I1372" s="11" t="str">
        <f aca="false">IF($A1372="","",IF($H1372="-","-",IF(AND(IF(원본명단!$H1371="",TRUE(),COUNTIF(원본명단!$H$3:$H1371,원본명단!$H1371)=1),IF(원본명단!$I1371="",TRUE(),COUNTIF(원본명단!$I$3:$I1371,원본명단!$I1371)=1),IF(원본명단!$K1371="",TRUE(),COUNTIF(원본명단!$K$3:$K1371,원본명단!$K1371)=1)),"첫 건","중복 건")))</f>
        <v/>
      </c>
      <c r="J1372" s="11" t="str">
        <f aca="false">IF($A1372="","",IF($H1372="-","유지",IF($I1372="첫 건","유지","확인 필요")))</f>
        <v/>
      </c>
    </row>
    <row r="1373" customFormat="false" ht="15" hidden="false" customHeight="true" outlineLevel="0" collapsed="false">
      <c r="A1373" s="11" t="str">
        <f aca="false">IF(원본명단!$A1372="","",1370)</f>
        <v/>
      </c>
      <c r="B1373" s="12" t="str">
        <f aca="false">IF($A1373="","",원본명단!$A1372)</f>
        <v/>
      </c>
      <c r="C1373" s="12" t="str">
        <f aca="false">IF($A1373="","",원본명단!$B1372)</f>
        <v/>
      </c>
      <c r="D1373" s="12" t="str">
        <f aca="false">IF($A1373="","",원본명단!$D1372)</f>
        <v/>
      </c>
      <c r="E1373" s="11" t="str">
        <f aca="false">IF($A1373="","",IF(원본명단!$H1372="",0,COUNTIF(원본명단!$H$3:$H$6002,원본명단!$H1372)))</f>
        <v/>
      </c>
      <c r="F1373" s="11" t="str">
        <f aca="false">IF($A1373="","",IF(원본명단!$I1372="",0,COUNTIF(원본명단!$I$3:$I$6002,원본명단!$I1372)))</f>
        <v/>
      </c>
      <c r="G1373" s="11" t="str">
        <f aca="false">IF($A1373="","",IF(원본명단!$K1372="",0,COUNTIF(원본명단!$K$3:$K$6002,원본명단!$K1372)))</f>
        <v/>
      </c>
      <c r="H1373" s="11" t="str">
        <f aca="false">IF($A1373="","",IF(MAX($E1373,$F1373,$G1373)&gt;1,"중복","-"))</f>
        <v/>
      </c>
      <c r="I1373" s="11" t="str">
        <f aca="false">IF($A1373="","",IF($H1373="-","-",IF(AND(IF(원본명단!$H1372="",TRUE(),COUNTIF(원본명단!$H$3:$H1372,원본명단!$H1372)=1),IF(원본명단!$I1372="",TRUE(),COUNTIF(원본명단!$I$3:$I1372,원본명단!$I1372)=1),IF(원본명단!$K1372="",TRUE(),COUNTIF(원본명단!$K$3:$K1372,원본명단!$K1372)=1)),"첫 건","중복 건")))</f>
        <v/>
      </c>
      <c r="J1373" s="11" t="str">
        <f aca="false">IF($A1373="","",IF($H1373="-","유지",IF($I1373="첫 건","유지","확인 필요")))</f>
        <v/>
      </c>
    </row>
    <row r="1374" customFormat="false" ht="15" hidden="false" customHeight="true" outlineLevel="0" collapsed="false">
      <c r="A1374" s="11" t="str">
        <f aca="false">IF(원본명단!$A1373="","",1371)</f>
        <v/>
      </c>
      <c r="B1374" s="12" t="str">
        <f aca="false">IF($A1374="","",원본명단!$A1373)</f>
        <v/>
      </c>
      <c r="C1374" s="12" t="str">
        <f aca="false">IF($A1374="","",원본명단!$B1373)</f>
        <v/>
      </c>
      <c r="D1374" s="12" t="str">
        <f aca="false">IF($A1374="","",원본명단!$D1373)</f>
        <v/>
      </c>
      <c r="E1374" s="11" t="str">
        <f aca="false">IF($A1374="","",IF(원본명단!$H1373="",0,COUNTIF(원본명단!$H$3:$H$6002,원본명단!$H1373)))</f>
        <v/>
      </c>
      <c r="F1374" s="11" t="str">
        <f aca="false">IF($A1374="","",IF(원본명단!$I1373="",0,COUNTIF(원본명단!$I$3:$I$6002,원본명단!$I1373)))</f>
        <v/>
      </c>
      <c r="G1374" s="11" t="str">
        <f aca="false">IF($A1374="","",IF(원본명단!$K1373="",0,COUNTIF(원본명단!$K$3:$K$6002,원본명단!$K1373)))</f>
        <v/>
      </c>
      <c r="H1374" s="11" t="str">
        <f aca="false">IF($A1374="","",IF(MAX($E1374,$F1374,$G1374)&gt;1,"중복","-"))</f>
        <v/>
      </c>
      <c r="I1374" s="11" t="str">
        <f aca="false">IF($A1374="","",IF($H1374="-","-",IF(AND(IF(원본명단!$H1373="",TRUE(),COUNTIF(원본명단!$H$3:$H1373,원본명단!$H1373)=1),IF(원본명단!$I1373="",TRUE(),COUNTIF(원본명단!$I$3:$I1373,원본명단!$I1373)=1),IF(원본명단!$K1373="",TRUE(),COUNTIF(원본명단!$K$3:$K1373,원본명단!$K1373)=1)),"첫 건","중복 건")))</f>
        <v/>
      </c>
      <c r="J1374" s="11" t="str">
        <f aca="false">IF($A1374="","",IF($H1374="-","유지",IF($I1374="첫 건","유지","확인 필요")))</f>
        <v/>
      </c>
    </row>
    <row r="1375" customFormat="false" ht="15" hidden="false" customHeight="true" outlineLevel="0" collapsed="false">
      <c r="A1375" s="11" t="str">
        <f aca="false">IF(원본명단!$A1374="","",1372)</f>
        <v/>
      </c>
      <c r="B1375" s="12" t="str">
        <f aca="false">IF($A1375="","",원본명단!$A1374)</f>
        <v/>
      </c>
      <c r="C1375" s="12" t="str">
        <f aca="false">IF($A1375="","",원본명단!$B1374)</f>
        <v/>
      </c>
      <c r="D1375" s="12" t="str">
        <f aca="false">IF($A1375="","",원본명단!$D1374)</f>
        <v/>
      </c>
      <c r="E1375" s="11" t="str">
        <f aca="false">IF($A1375="","",IF(원본명단!$H1374="",0,COUNTIF(원본명단!$H$3:$H$6002,원본명단!$H1374)))</f>
        <v/>
      </c>
      <c r="F1375" s="11" t="str">
        <f aca="false">IF($A1375="","",IF(원본명단!$I1374="",0,COUNTIF(원본명단!$I$3:$I$6002,원본명단!$I1374)))</f>
        <v/>
      </c>
      <c r="G1375" s="11" t="str">
        <f aca="false">IF($A1375="","",IF(원본명단!$K1374="",0,COUNTIF(원본명단!$K$3:$K$6002,원본명단!$K1374)))</f>
        <v/>
      </c>
      <c r="H1375" s="11" t="str">
        <f aca="false">IF($A1375="","",IF(MAX($E1375,$F1375,$G1375)&gt;1,"중복","-"))</f>
        <v/>
      </c>
      <c r="I1375" s="11" t="str">
        <f aca="false">IF($A1375="","",IF($H1375="-","-",IF(AND(IF(원본명단!$H1374="",TRUE(),COUNTIF(원본명단!$H$3:$H1374,원본명단!$H1374)=1),IF(원본명단!$I1374="",TRUE(),COUNTIF(원본명단!$I$3:$I1374,원본명단!$I1374)=1),IF(원본명단!$K1374="",TRUE(),COUNTIF(원본명단!$K$3:$K1374,원본명단!$K1374)=1)),"첫 건","중복 건")))</f>
        <v/>
      </c>
      <c r="J1375" s="11" t="str">
        <f aca="false">IF($A1375="","",IF($H1375="-","유지",IF($I1375="첫 건","유지","확인 필요")))</f>
        <v/>
      </c>
    </row>
    <row r="1376" customFormat="false" ht="15" hidden="false" customHeight="true" outlineLevel="0" collapsed="false">
      <c r="A1376" s="11" t="str">
        <f aca="false">IF(원본명단!$A1375="","",1373)</f>
        <v/>
      </c>
      <c r="B1376" s="12" t="str">
        <f aca="false">IF($A1376="","",원본명단!$A1375)</f>
        <v/>
      </c>
      <c r="C1376" s="12" t="str">
        <f aca="false">IF($A1376="","",원본명단!$B1375)</f>
        <v/>
      </c>
      <c r="D1376" s="12" t="str">
        <f aca="false">IF($A1376="","",원본명단!$D1375)</f>
        <v/>
      </c>
      <c r="E1376" s="11" t="str">
        <f aca="false">IF($A1376="","",IF(원본명단!$H1375="",0,COUNTIF(원본명단!$H$3:$H$6002,원본명단!$H1375)))</f>
        <v/>
      </c>
      <c r="F1376" s="11" t="str">
        <f aca="false">IF($A1376="","",IF(원본명단!$I1375="",0,COUNTIF(원본명단!$I$3:$I$6002,원본명단!$I1375)))</f>
        <v/>
      </c>
      <c r="G1376" s="11" t="str">
        <f aca="false">IF($A1376="","",IF(원본명단!$K1375="",0,COUNTIF(원본명단!$K$3:$K$6002,원본명단!$K1375)))</f>
        <v/>
      </c>
      <c r="H1376" s="11" t="str">
        <f aca="false">IF($A1376="","",IF(MAX($E1376,$F1376,$G1376)&gt;1,"중복","-"))</f>
        <v/>
      </c>
      <c r="I1376" s="11" t="str">
        <f aca="false">IF($A1376="","",IF($H1376="-","-",IF(AND(IF(원본명단!$H1375="",TRUE(),COUNTIF(원본명단!$H$3:$H1375,원본명단!$H1375)=1),IF(원본명단!$I1375="",TRUE(),COUNTIF(원본명단!$I$3:$I1375,원본명단!$I1375)=1),IF(원본명단!$K1375="",TRUE(),COUNTIF(원본명단!$K$3:$K1375,원본명단!$K1375)=1)),"첫 건","중복 건")))</f>
        <v/>
      </c>
      <c r="J1376" s="11" t="str">
        <f aca="false">IF($A1376="","",IF($H1376="-","유지",IF($I1376="첫 건","유지","확인 필요")))</f>
        <v/>
      </c>
    </row>
    <row r="1377" customFormat="false" ht="15" hidden="false" customHeight="true" outlineLevel="0" collapsed="false">
      <c r="A1377" s="11" t="str">
        <f aca="false">IF(원본명단!$A1376="","",1374)</f>
        <v/>
      </c>
      <c r="B1377" s="12" t="str">
        <f aca="false">IF($A1377="","",원본명단!$A1376)</f>
        <v/>
      </c>
      <c r="C1377" s="12" t="str">
        <f aca="false">IF($A1377="","",원본명단!$B1376)</f>
        <v/>
      </c>
      <c r="D1377" s="12" t="str">
        <f aca="false">IF($A1377="","",원본명단!$D1376)</f>
        <v/>
      </c>
      <c r="E1377" s="11" t="str">
        <f aca="false">IF($A1377="","",IF(원본명단!$H1376="",0,COUNTIF(원본명단!$H$3:$H$6002,원본명단!$H1376)))</f>
        <v/>
      </c>
      <c r="F1377" s="11" t="str">
        <f aca="false">IF($A1377="","",IF(원본명단!$I1376="",0,COUNTIF(원본명단!$I$3:$I$6002,원본명단!$I1376)))</f>
        <v/>
      </c>
      <c r="G1377" s="11" t="str">
        <f aca="false">IF($A1377="","",IF(원본명단!$K1376="",0,COUNTIF(원본명단!$K$3:$K$6002,원본명단!$K1376)))</f>
        <v/>
      </c>
      <c r="H1377" s="11" t="str">
        <f aca="false">IF($A1377="","",IF(MAX($E1377,$F1377,$G1377)&gt;1,"중복","-"))</f>
        <v/>
      </c>
      <c r="I1377" s="11" t="str">
        <f aca="false">IF($A1377="","",IF($H1377="-","-",IF(AND(IF(원본명단!$H1376="",TRUE(),COUNTIF(원본명단!$H$3:$H1376,원본명단!$H1376)=1),IF(원본명단!$I1376="",TRUE(),COUNTIF(원본명단!$I$3:$I1376,원본명단!$I1376)=1),IF(원본명단!$K1376="",TRUE(),COUNTIF(원본명단!$K$3:$K1376,원본명단!$K1376)=1)),"첫 건","중복 건")))</f>
        <v/>
      </c>
      <c r="J1377" s="11" t="str">
        <f aca="false">IF($A1377="","",IF($H1377="-","유지",IF($I1377="첫 건","유지","확인 필요")))</f>
        <v/>
      </c>
    </row>
    <row r="1378" customFormat="false" ht="15" hidden="false" customHeight="true" outlineLevel="0" collapsed="false">
      <c r="A1378" s="11" t="str">
        <f aca="false">IF(원본명단!$A1377="","",1375)</f>
        <v/>
      </c>
      <c r="B1378" s="12" t="str">
        <f aca="false">IF($A1378="","",원본명단!$A1377)</f>
        <v/>
      </c>
      <c r="C1378" s="12" t="str">
        <f aca="false">IF($A1378="","",원본명단!$B1377)</f>
        <v/>
      </c>
      <c r="D1378" s="12" t="str">
        <f aca="false">IF($A1378="","",원본명단!$D1377)</f>
        <v/>
      </c>
      <c r="E1378" s="11" t="str">
        <f aca="false">IF($A1378="","",IF(원본명단!$H1377="",0,COUNTIF(원본명단!$H$3:$H$6002,원본명단!$H1377)))</f>
        <v/>
      </c>
      <c r="F1378" s="11" t="str">
        <f aca="false">IF($A1378="","",IF(원본명단!$I1377="",0,COUNTIF(원본명단!$I$3:$I$6002,원본명단!$I1377)))</f>
        <v/>
      </c>
      <c r="G1378" s="11" t="str">
        <f aca="false">IF($A1378="","",IF(원본명단!$K1377="",0,COUNTIF(원본명단!$K$3:$K$6002,원본명단!$K1377)))</f>
        <v/>
      </c>
      <c r="H1378" s="11" t="str">
        <f aca="false">IF($A1378="","",IF(MAX($E1378,$F1378,$G1378)&gt;1,"중복","-"))</f>
        <v/>
      </c>
      <c r="I1378" s="11" t="str">
        <f aca="false">IF($A1378="","",IF($H1378="-","-",IF(AND(IF(원본명단!$H1377="",TRUE(),COUNTIF(원본명단!$H$3:$H1377,원본명단!$H1377)=1),IF(원본명단!$I1377="",TRUE(),COUNTIF(원본명단!$I$3:$I1377,원본명단!$I1377)=1),IF(원본명단!$K1377="",TRUE(),COUNTIF(원본명단!$K$3:$K1377,원본명단!$K1377)=1)),"첫 건","중복 건")))</f>
        <v/>
      </c>
      <c r="J1378" s="11" t="str">
        <f aca="false">IF($A1378="","",IF($H1378="-","유지",IF($I1378="첫 건","유지","확인 필요")))</f>
        <v/>
      </c>
    </row>
    <row r="1379" customFormat="false" ht="15" hidden="false" customHeight="true" outlineLevel="0" collapsed="false">
      <c r="A1379" s="11" t="str">
        <f aca="false">IF(원본명단!$A1378="","",1376)</f>
        <v/>
      </c>
      <c r="B1379" s="12" t="str">
        <f aca="false">IF($A1379="","",원본명단!$A1378)</f>
        <v/>
      </c>
      <c r="C1379" s="12" t="str">
        <f aca="false">IF($A1379="","",원본명단!$B1378)</f>
        <v/>
      </c>
      <c r="D1379" s="12" t="str">
        <f aca="false">IF($A1379="","",원본명단!$D1378)</f>
        <v/>
      </c>
      <c r="E1379" s="11" t="str">
        <f aca="false">IF($A1379="","",IF(원본명단!$H1378="",0,COUNTIF(원본명단!$H$3:$H$6002,원본명단!$H1378)))</f>
        <v/>
      </c>
      <c r="F1379" s="11" t="str">
        <f aca="false">IF($A1379="","",IF(원본명단!$I1378="",0,COUNTIF(원본명단!$I$3:$I$6002,원본명단!$I1378)))</f>
        <v/>
      </c>
      <c r="G1379" s="11" t="str">
        <f aca="false">IF($A1379="","",IF(원본명단!$K1378="",0,COUNTIF(원본명단!$K$3:$K$6002,원본명단!$K1378)))</f>
        <v/>
      </c>
      <c r="H1379" s="11" t="str">
        <f aca="false">IF($A1379="","",IF(MAX($E1379,$F1379,$G1379)&gt;1,"중복","-"))</f>
        <v/>
      </c>
      <c r="I1379" s="11" t="str">
        <f aca="false">IF($A1379="","",IF($H1379="-","-",IF(AND(IF(원본명단!$H1378="",TRUE(),COUNTIF(원본명단!$H$3:$H1378,원본명단!$H1378)=1),IF(원본명단!$I1378="",TRUE(),COUNTIF(원본명단!$I$3:$I1378,원본명단!$I1378)=1),IF(원본명단!$K1378="",TRUE(),COUNTIF(원본명단!$K$3:$K1378,원본명단!$K1378)=1)),"첫 건","중복 건")))</f>
        <v/>
      </c>
      <c r="J1379" s="11" t="str">
        <f aca="false">IF($A1379="","",IF($H1379="-","유지",IF($I1379="첫 건","유지","확인 필요")))</f>
        <v/>
      </c>
    </row>
    <row r="1380" customFormat="false" ht="15" hidden="false" customHeight="true" outlineLevel="0" collapsed="false">
      <c r="A1380" s="11" t="str">
        <f aca="false">IF(원본명단!$A1379="","",1377)</f>
        <v/>
      </c>
      <c r="B1380" s="12" t="str">
        <f aca="false">IF($A1380="","",원본명단!$A1379)</f>
        <v/>
      </c>
      <c r="C1380" s="12" t="str">
        <f aca="false">IF($A1380="","",원본명단!$B1379)</f>
        <v/>
      </c>
      <c r="D1380" s="12" t="str">
        <f aca="false">IF($A1380="","",원본명단!$D1379)</f>
        <v/>
      </c>
      <c r="E1380" s="11" t="str">
        <f aca="false">IF($A1380="","",IF(원본명단!$H1379="",0,COUNTIF(원본명단!$H$3:$H$6002,원본명단!$H1379)))</f>
        <v/>
      </c>
      <c r="F1380" s="11" t="str">
        <f aca="false">IF($A1380="","",IF(원본명단!$I1379="",0,COUNTIF(원본명단!$I$3:$I$6002,원본명단!$I1379)))</f>
        <v/>
      </c>
      <c r="G1380" s="11" t="str">
        <f aca="false">IF($A1380="","",IF(원본명단!$K1379="",0,COUNTIF(원본명단!$K$3:$K$6002,원본명단!$K1379)))</f>
        <v/>
      </c>
      <c r="H1380" s="11" t="str">
        <f aca="false">IF($A1380="","",IF(MAX($E1380,$F1380,$G1380)&gt;1,"중복","-"))</f>
        <v/>
      </c>
      <c r="I1380" s="11" t="str">
        <f aca="false">IF($A1380="","",IF($H1380="-","-",IF(AND(IF(원본명단!$H1379="",TRUE(),COUNTIF(원본명단!$H$3:$H1379,원본명단!$H1379)=1),IF(원본명단!$I1379="",TRUE(),COUNTIF(원본명단!$I$3:$I1379,원본명단!$I1379)=1),IF(원본명단!$K1379="",TRUE(),COUNTIF(원본명단!$K$3:$K1379,원본명단!$K1379)=1)),"첫 건","중복 건")))</f>
        <v/>
      </c>
      <c r="J1380" s="11" t="str">
        <f aca="false">IF($A1380="","",IF($H1380="-","유지",IF($I1380="첫 건","유지","확인 필요")))</f>
        <v/>
      </c>
    </row>
    <row r="1381" customFormat="false" ht="15" hidden="false" customHeight="true" outlineLevel="0" collapsed="false">
      <c r="A1381" s="11" t="str">
        <f aca="false">IF(원본명단!$A1380="","",1378)</f>
        <v/>
      </c>
      <c r="B1381" s="12" t="str">
        <f aca="false">IF($A1381="","",원본명단!$A1380)</f>
        <v/>
      </c>
      <c r="C1381" s="12" t="str">
        <f aca="false">IF($A1381="","",원본명단!$B1380)</f>
        <v/>
      </c>
      <c r="D1381" s="12" t="str">
        <f aca="false">IF($A1381="","",원본명단!$D1380)</f>
        <v/>
      </c>
      <c r="E1381" s="11" t="str">
        <f aca="false">IF($A1381="","",IF(원본명단!$H1380="",0,COUNTIF(원본명단!$H$3:$H$6002,원본명단!$H1380)))</f>
        <v/>
      </c>
      <c r="F1381" s="11" t="str">
        <f aca="false">IF($A1381="","",IF(원본명단!$I1380="",0,COUNTIF(원본명단!$I$3:$I$6002,원본명단!$I1380)))</f>
        <v/>
      </c>
      <c r="G1381" s="11" t="str">
        <f aca="false">IF($A1381="","",IF(원본명단!$K1380="",0,COUNTIF(원본명단!$K$3:$K$6002,원본명단!$K1380)))</f>
        <v/>
      </c>
      <c r="H1381" s="11" t="str">
        <f aca="false">IF($A1381="","",IF(MAX($E1381,$F1381,$G1381)&gt;1,"중복","-"))</f>
        <v/>
      </c>
      <c r="I1381" s="11" t="str">
        <f aca="false">IF($A1381="","",IF($H1381="-","-",IF(AND(IF(원본명단!$H1380="",TRUE(),COUNTIF(원본명단!$H$3:$H1380,원본명단!$H1380)=1),IF(원본명단!$I1380="",TRUE(),COUNTIF(원본명단!$I$3:$I1380,원본명단!$I1380)=1),IF(원본명단!$K1380="",TRUE(),COUNTIF(원본명단!$K$3:$K1380,원본명단!$K1380)=1)),"첫 건","중복 건")))</f>
        <v/>
      </c>
      <c r="J1381" s="11" t="str">
        <f aca="false">IF($A1381="","",IF($H1381="-","유지",IF($I1381="첫 건","유지","확인 필요")))</f>
        <v/>
      </c>
    </row>
    <row r="1382" customFormat="false" ht="15" hidden="false" customHeight="true" outlineLevel="0" collapsed="false">
      <c r="A1382" s="11" t="str">
        <f aca="false">IF(원본명단!$A1381="","",1379)</f>
        <v/>
      </c>
      <c r="B1382" s="12" t="str">
        <f aca="false">IF($A1382="","",원본명단!$A1381)</f>
        <v/>
      </c>
      <c r="C1382" s="12" t="str">
        <f aca="false">IF($A1382="","",원본명단!$B1381)</f>
        <v/>
      </c>
      <c r="D1382" s="12" t="str">
        <f aca="false">IF($A1382="","",원본명단!$D1381)</f>
        <v/>
      </c>
      <c r="E1382" s="11" t="str">
        <f aca="false">IF($A1382="","",IF(원본명단!$H1381="",0,COUNTIF(원본명단!$H$3:$H$6002,원본명단!$H1381)))</f>
        <v/>
      </c>
      <c r="F1382" s="11" t="str">
        <f aca="false">IF($A1382="","",IF(원본명단!$I1381="",0,COUNTIF(원본명단!$I$3:$I$6002,원본명단!$I1381)))</f>
        <v/>
      </c>
      <c r="G1382" s="11" t="str">
        <f aca="false">IF($A1382="","",IF(원본명단!$K1381="",0,COUNTIF(원본명단!$K$3:$K$6002,원본명단!$K1381)))</f>
        <v/>
      </c>
      <c r="H1382" s="11" t="str">
        <f aca="false">IF($A1382="","",IF(MAX($E1382,$F1382,$G1382)&gt;1,"중복","-"))</f>
        <v/>
      </c>
      <c r="I1382" s="11" t="str">
        <f aca="false">IF($A1382="","",IF($H1382="-","-",IF(AND(IF(원본명단!$H1381="",TRUE(),COUNTIF(원본명단!$H$3:$H1381,원본명단!$H1381)=1),IF(원본명단!$I1381="",TRUE(),COUNTIF(원본명단!$I$3:$I1381,원본명단!$I1381)=1),IF(원본명단!$K1381="",TRUE(),COUNTIF(원본명단!$K$3:$K1381,원본명단!$K1381)=1)),"첫 건","중복 건")))</f>
        <v/>
      </c>
      <c r="J1382" s="11" t="str">
        <f aca="false">IF($A1382="","",IF($H1382="-","유지",IF($I1382="첫 건","유지","확인 필요")))</f>
        <v/>
      </c>
    </row>
    <row r="1383" customFormat="false" ht="15" hidden="false" customHeight="true" outlineLevel="0" collapsed="false">
      <c r="A1383" s="11" t="str">
        <f aca="false">IF(원본명단!$A1382="","",1380)</f>
        <v/>
      </c>
      <c r="B1383" s="12" t="str">
        <f aca="false">IF($A1383="","",원본명단!$A1382)</f>
        <v/>
      </c>
      <c r="C1383" s="12" t="str">
        <f aca="false">IF($A1383="","",원본명단!$B1382)</f>
        <v/>
      </c>
      <c r="D1383" s="12" t="str">
        <f aca="false">IF($A1383="","",원본명단!$D1382)</f>
        <v/>
      </c>
      <c r="E1383" s="11" t="str">
        <f aca="false">IF($A1383="","",IF(원본명단!$H1382="",0,COUNTIF(원본명단!$H$3:$H$6002,원본명단!$H1382)))</f>
        <v/>
      </c>
      <c r="F1383" s="11" t="str">
        <f aca="false">IF($A1383="","",IF(원본명단!$I1382="",0,COUNTIF(원본명단!$I$3:$I$6002,원본명단!$I1382)))</f>
        <v/>
      </c>
      <c r="G1383" s="11" t="str">
        <f aca="false">IF($A1383="","",IF(원본명단!$K1382="",0,COUNTIF(원본명단!$K$3:$K$6002,원본명단!$K1382)))</f>
        <v/>
      </c>
      <c r="H1383" s="11" t="str">
        <f aca="false">IF($A1383="","",IF(MAX($E1383,$F1383,$G1383)&gt;1,"중복","-"))</f>
        <v/>
      </c>
      <c r="I1383" s="11" t="str">
        <f aca="false">IF($A1383="","",IF($H1383="-","-",IF(AND(IF(원본명단!$H1382="",TRUE(),COUNTIF(원본명단!$H$3:$H1382,원본명단!$H1382)=1),IF(원본명단!$I1382="",TRUE(),COUNTIF(원본명단!$I$3:$I1382,원본명단!$I1382)=1),IF(원본명단!$K1382="",TRUE(),COUNTIF(원본명단!$K$3:$K1382,원본명단!$K1382)=1)),"첫 건","중복 건")))</f>
        <v/>
      </c>
      <c r="J1383" s="11" t="str">
        <f aca="false">IF($A1383="","",IF($H1383="-","유지",IF($I1383="첫 건","유지","확인 필요")))</f>
        <v/>
      </c>
    </row>
    <row r="1384" customFormat="false" ht="15" hidden="false" customHeight="true" outlineLevel="0" collapsed="false">
      <c r="A1384" s="11" t="str">
        <f aca="false">IF(원본명단!$A1383="","",1381)</f>
        <v/>
      </c>
      <c r="B1384" s="12" t="str">
        <f aca="false">IF($A1384="","",원본명단!$A1383)</f>
        <v/>
      </c>
      <c r="C1384" s="12" t="str">
        <f aca="false">IF($A1384="","",원본명단!$B1383)</f>
        <v/>
      </c>
      <c r="D1384" s="12" t="str">
        <f aca="false">IF($A1384="","",원본명단!$D1383)</f>
        <v/>
      </c>
      <c r="E1384" s="11" t="str">
        <f aca="false">IF($A1384="","",IF(원본명단!$H1383="",0,COUNTIF(원본명단!$H$3:$H$6002,원본명단!$H1383)))</f>
        <v/>
      </c>
      <c r="F1384" s="11" t="str">
        <f aca="false">IF($A1384="","",IF(원본명단!$I1383="",0,COUNTIF(원본명단!$I$3:$I$6002,원본명단!$I1383)))</f>
        <v/>
      </c>
      <c r="G1384" s="11" t="str">
        <f aca="false">IF($A1384="","",IF(원본명단!$K1383="",0,COUNTIF(원본명단!$K$3:$K$6002,원본명단!$K1383)))</f>
        <v/>
      </c>
      <c r="H1384" s="11" t="str">
        <f aca="false">IF($A1384="","",IF(MAX($E1384,$F1384,$G1384)&gt;1,"중복","-"))</f>
        <v/>
      </c>
      <c r="I1384" s="11" t="str">
        <f aca="false">IF($A1384="","",IF($H1384="-","-",IF(AND(IF(원본명단!$H1383="",TRUE(),COUNTIF(원본명단!$H$3:$H1383,원본명단!$H1383)=1),IF(원본명단!$I1383="",TRUE(),COUNTIF(원본명단!$I$3:$I1383,원본명단!$I1383)=1),IF(원본명단!$K1383="",TRUE(),COUNTIF(원본명단!$K$3:$K1383,원본명단!$K1383)=1)),"첫 건","중복 건")))</f>
        <v/>
      </c>
      <c r="J1384" s="11" t="str">
        <f aca="false">IF($A1384="","",IF($H1384="-","유지",IF($I1384="첫 건","유지","확인 필요")))</f>
        <v/>
      </c>
    </row>
    <row r="1385" customFormat="false" ht="15" hidden="false" customHeight="true" outlineLevel="0" collapsed="false">
      <c r="A1385" s="11" t="str">
        <f aca="false">IF(원본명단!$A1384="","",1382)</f>
        <v/>
      </c>
      <c r="B1385" s="12" t="str">
        <f aca="false">IF($A1385="","",원본명단!$A1384)</f>
        <v/>
      </c>
      <c r="C1385" s="12" t="str">
        <f aca="false">IF($A1385="","",원본명단!$B1384)</f>
        <v/>
      </c>
      <c r="D1385" s="12" t="str">
        <f aca="false">IF($A1385="","",원본명단!$D1384)</f>
        <v/>
      </c>
      <c r="E1385" s="11" t="str">
        <f aca="false">IF($A1385="","",IF(원본명단!$H1384="",0,COUNTIF(원본명단!$H$3:$H$6002,원본명단!$H1384)))</f>
        <v/>
      </c>
      <c r="F1385" s="11" t="str">
        <f aca="false">IF($A1385="","",IF(원본명단!$I1384="",0,COUNTIF(원본명단!$I$3:$I$6002,원본명단!$I1384)))</f>
        <v/>
      </c>
      <c r="G1385" s="11" t="str">
        <f aca="false">IF($A1385="","",IF(원본명단!$K1384="",0,COUNTIF(원본명단!$K$3:$K$6002,원본명단!$K1384)))</f>
        <v/>
      </c>
      <c r="H1385" s="11" t="str">
        <f aca="false">IF($A1385="","",IF(MAX($E1385,$F1385,$G1385)&gt;1,"중복","-"))</f>
        <v/>
      </c>
      <c r="I1385" s="11" t="str">
        <f aca="false">IF($A1385="","",IF($H1385="-","-",IF(AND(IF(원본명단!$H1384="",TRUE(),COUNTIF(원본명단!$H$3:$H1384,원본명단!$H1384)=1),IF(원본명단!$I1384="",TRUE(),COUNTIF(원본명단!$I$3:$I1384,원본명단!$I1384)=1),IF(원본명단!$K1384="",TRUE(),COUNTIF(원본명단!$K$3:$K1384,원본명단!$K1384)=1)),"첫 건","중복 건")))</f>
        <v/>
      </c>
      <c r="J1385" s="11" t="str">
        <f aca="false">IF($A1385="","",IF($H1385="-","유지",IF($I1385="첫 건","유지","확인 필요")))</f>
        <v/>
      </c>
    </row>
    <row r="1386" customFormat="false" ht="15" hidden="false" customHeight="true" outlineLevel="0" collapsed="false">
      <c r="A1386" s="11" t="str">
        <f aca="false">IF(원본명단!$A1385="","",1383)</f>
        <v/>
      </c>
      <c r="B1386" s="12" t="str">
        <f aca="false">IF($A1386="","",원본명단!$A1385)</f>
        <v/>
      </c>
      <c r="C1386" s="12" t="str">
        <f aca="false">IF($A1386="","",원본명단!$B1385)</f>
        <v/>
      </c>
      <c r="D1386" s="12" t="str">
        <f aca="false">IF($A1386="","",원본명단!$D1385)</f>
        <v/>
      </c>
      <c r="E1386" s="11" t="str">
        <f aca="false">IF($A1386="","",IF(원본명단!$H1385="",0,COUNTIF(원본명단!$H$3:$H$6002,원본명단!$H1385)))</f>
        <v/>
      </c>
      <c r="F1386" s="11" t="str">
        <f aca="false">IF($A1386="","",IF(원본명단!$I1385="",0,COUNTIF(원본명단!$I$3:$I$6002,원본명단!$I1385)))</f>
        <v/>
      </c>
      <c r="G1386" s="11" t="str">
        <f aca="false">IF($A1386="","",IF(원본명단!$K1385="",0,COUNTIF(원본명단!$K$3:$K$6002,원본명단!$K1385)))</f>
        <v/>
      </c>
      <c r="H1386" s="11" t="str">
        <f aca="false">IF($A1386="","",IF(MAX($E1386,$F1386,$G1386)&gt;1,"중복","-"))</f>
        <v/>
      </c>
      <c r="I1386" s="11" t="str">
        <f aca="false">IF($A1386="","",IF($H1386="-","-",IF(AND(IF(원본명단!$H1385="",TRUE(),COUNTIF(원본명단!$H$3:$H1385,원본명단!$H1385)=1),IF(원본명단!$I1385="",TRUE(),COUNTIF(원본명단!$I$3:$I1385,원본명단!$I1385)=1),IF(원본명단!$K1385="",TRUE(),COUNTIF(원본명단!$K$3:$K1385,원본명단!$K1385)=1)),"첫 건","중복 건")))</f>
        <v/>
      </c>
      <c r="J1386" s="11" t="str">
        <f aca="false">IF($A1386="","",IF($H1386="-","유지",IF($I1386="첫 건","유지","확인 필요")))</f>
        <v/>
      </c>
    </row>
    <row r="1387" customFormat="false" ht="15" hidden="false" customHeight="true" outlineLevel="0" collapsed="false">
      <c r="A1387" s="11" t="str">
        <f aca="false">IF(원본명단!$A1386="","",1384)</f>
        <v/>
      </c>
      <c r="B1387" s="12" t="str">
        <f aca="false">IF($A1387="","",원본명단!$A1386)</f>
        <v/>
      </c>
      <c r="C1387" s="12" t="str">
        <f aca="false">IF($A1387="","",원본명단!$B1386)</f>
        <v/>
      </c>
      <c r="D1387" s="12" t="str">
        <f aca="false">IF($A1387="","",원본명단!$D1386)</f>
        <v/>
      </c>
      <c r="E1387" s="11" t="str">
        <f aca="false">IF($A1387="","",IF(원본명단!$H1386="",0,COUNTIF(원본명단!$H$3:$H$6002,원본명단!$H1386)))</f>
        <v/>
      </c>
      <c r="F1387" s="11" t="str">
        <f aca="false">IF($A1387="","",IF(원본명단!$I1386="",0,COUNTIF(원본명단!$I$3:$I$6002,원본명단!$I1386)))</f>
        <v/>
      </c>
      <c r="G1387" s="11" t="str">
        <f aca="false">IF($A1387="","",IF(원본명단!$K1386="",0,COUNTIF(원본명단!$K$3:$K$6002,원본명단!$K1386)))</f>
        <v/>
      </c>
      <c r="H1387" s="11" t="str">
        <f aca="false">IF($A1387="","",IF(MAX($E1387,$F1387,$G1387)&gt;1,"중복","-"))</f>
        <v/>
      </c>
      <c r="I1387" s="11" t="str">
        <f aca="false">IF($A1387="","",IF($H1387="-","-",IF(AND(IF(원본명단!$H1386="",TRUE(),COUNTIF(원본명단!$H$3:$H1386,원본명단!$H1386)=1),IF(원본명단!$I1386="",TRUE(),COUNTIF(원본명단!$I$3:$I1386,원본명단!$I1386)=1),IF(원본명단!$K1386="",TRUE(),COUNTIF(원본명단!$K$3:$K1386,원본명단!$K1386)=1)),"첫 건","중복 건")))</f>
        <v/>
      </c>
      <c r="J1387" s="11" t="str">
        <f aca="false">IF($A1387="","",IF($H1387="-","유지",IF($I1387="첫 건","유지","확인 필요")))</f>
        <v/>
      </c>
    </row>
    <row r="1388" customFormat="false" ht="15" hidden="false" customHeight="true" outlineLevel="0" collapsed="false">
      <c r="A1388" s="11" t="str">
        <f aca="false">IF(원본명단!$A1387="","",1385)</f>
        <v/>
      </c>
      <c r="B1388" s="12" t="str">
        <f aca="false">IF($A1388="","",원본명단!$A1387)</f>
        <v/>
      </c>
      <c r="C1388" s="12" t="str">
        <f aca="false">IF($A1388="","",원본명단!$B1387)</f>
        <v/>
      </c>
      <c r="D1388" s="12" t="str">
        <f aca="false">IF($A1388="","",원본명단!$D1387)</f>
        <v/>
      </c>
      <c r="E1388" s="11" t="str">
        <f aca="false">IF($A1388="","",IF(원본명단!$H1387="",0,COUNTIF(원본명단!$H$3:$H$6002,원본명단!$H1387)))</f>
        <v/>
      </c>
      <c r="F1388" s="11" t="str">
        <f aca="false">IF($A1388="","",IF(원본명단!$I1387="",0,COUNTIF(원본명단!$I$3:$I$6002,원본명단!$I1387)))</f>
        <v/>
      </c>
      <c r="G1388" s="11" t="str">
        <f aca="false">IF($A1388="","",IF(원본명단!$K1387="",0,COUNTIF(원본명단!$K$3:$K$6002,원본명단!$K1387)))</f>
        <v/>
      </c>
      <c r="H1388" s="11" t="str">
        <f aca="false">IF($A1388="","",IF(MAX($E1388,$F1388,$G1388)&gt;1,"중복","-"))</f>
        <v/>
      </c>
      <c r="I1388" s="11" t="str">
        <f aca="false">IF($A1388="","",IF($H1388="-","-",IF(AND(IF(원본명단!$H1387="",TRUE(),COUNTIF(원본명단!$H$3:$H1387,원본명단!$H1387)=1),IF(원본명단!$I1387="",TRUE(),COUNTIF(원본명단!$I$3:$I1387,원본명단!$I1387)=1),IF(원본명단!$K1387="",TRUE(),COUNTIF(원본명단!$K$3:$K1387,원본명단!$K1387)=1)),"첫 건","중복 건")))</f>
        <v/>
      </c>
      <c r="J1388" s="11" t="str">
        <f aca="false">IF($A1388="","",IF($H1388="-","유지",IF($I1388="첫 건","유지","확인 필요")))</f>
        <v/>
      </c>
    </row>
    <row r="1389" customFormat="false" ht="15" hidden="false" customHeight="true" outlineLevel="0" collapsed="false">
      <c r="A1389" s="11" t="str">
        <f aca="false">IF(원본명단!$A1388="","",1386)</f>
        <v/>
      </c>
      <c r="B1389" s="12" t="str">
        <f aca="false">IF($A1389="","",원본명단!$A1388)</f>
        <v/>
      </c>
      <c r="C1389" s="12" t="str">
        <f aca="false">IF($A1389="","",원본명단!$B1388)</f>
        <v/>
      </c>
      <c r="D1389" s="12" t="str">
        <f aca="false">IF($A1389="","",원본명단!$D1388)</f>
        <v/>
      </c>
      <c r="E1389" s="11" t="str">
        <f aca="false">IF($A1389="","",IF(원본명단!$H1388="",0,COUNTIF(원본명단!$H$3:$H$6002,원본명단!$H1388)))</f>
        <v/>
      </c>
      <c r="F1389" s="11" t="str">
        <f aca="false">IF($A1389="","",IF(원본명단!$I1388="",0,COUNTIF(원본명단!$I$3:$I$6002,원본명단!$I1388)))</f>
        <v/>
      </c>
      <c r="G1389" s="11" t="str">
        <f aca="false">IF($A1389="","",IF(원본명단!$K1388="",0,COUNTIF(원본명단!$K$3:$K$6002,원본명단!$K1388)))</f>
        <v/>
      </c>
      <c r="H1389" s="11" t="str">
        <f aca="false">IF($A1389="","",IF(MAX($E1389,$F1389,$G1389)&gt;1,"중복","-"))</f>
        <v/>
      </c>
      <c r="I1389" s="11" t="str">
        <f aca="false">IF($A1389="","",IF($H1389="-","-",IF(AND(IF(원본명단!$H1388="",TRUE(),COUNTIF(원본명단!$H$3:$H1388,원본명단!$H1388)=1),IF(원본명단!$I1388="",TRUE(),COUNTIF(원본명단!$I$3:$I1388,원본명단!$I1388)=1),IF(원본명단!$K1388="",TRUE(),COUNTIF(원본명단!$K$3:$K1388,원본명단!$K1388)=1)),"첫 건","중복 건")))</f>
        <v/>
      </c>
      <c r="J1389" s="11" t="str">
        <f aca="false">IF($A1389="","",IF($H1389="-","유지",IF($I1389="첫 건","유지","확인 필요")))</f>
        <v/>
      </c>
    </row>
    <row r="1390" customFormat="false" ht="15" hidden="false" customHeight="true" outlineLevel="0" collapsed="false">
      <c r="A1390" s="11" t="str">
        <f aca="false">IF(원본명단!$A1389="","",1387)</f>
        <v/>
      </c>
      <c r="B1390" s="12" t="str">
        <f aca="false">IF($A1390="","",원본명단!$A1389)</f>
        <v/>
      </c>
      <c r="C1390" s="12" t="str">
        <f aca="false">IF($A1390="","",원본명단!$B1389)</f>
        <v/>
      </c>
      <c r="D1390" s="12" t="str">
        <f aca="false">IF($A1390="","",원본명단!$D1389)</f>
        <v/>
      </c>
      <c r="E1390" s="11" t="str">
        <f aca="false">IF($A1390="","",IF(원본명단!$H1389="",0,COUNTIF(원본명단!$H$3:$H$6002,원본명단!$H1389)))</f>
        <v/>
      </c>
      <c r="F1390" s="11" t="str">
        <f aca="false">IF($A1390="","",IF(원본명단!$I1389="",0,COUNTIF(원본명단!$I$3:$I$6002,원본명단!$I1389)))</f>
        <v/>
      </c>
      <c r="G1390" s="11" t="str">
        <f aca="false">IF($A1390="","",IF(원본명단!$K1389="",0,COUNTIF(원본명단!$K$3:$K$6002,원본명단!$K1389)))</f>
        <v/>
      </c>
      <c r="H1390" s="11" t="str">
        <f aca="false">IF($A1390="","",IF(MAX($E1390,$F1390,$G1390)&gt;1,"중복","-"))</f>
        <v/>
      </c>
      <c r="I1390" s="11" t="str">
        <f aca="false">IF($A1390="","",IF($H1390="-","-",IF(AND(IF(원본명단!$H1389="",TRUE(),COUNTIF(원본명단!$H$3:$H1389,원본명단!$H1389)=1),IF(원본명단!$I1389="",TRUE(),COUNTIF(원본명단!$I$3:$I1389,원본명단!$I1389)=1),IF(원본명단!$K1389="",TRUE(),COUNTIF(원본명단!$K$3:$K1389,원본명단!$K1389)=1)),"첫 건","중복 건")))</f>
        <v/>
      </c>
      <c r="J1390" s="11" t="str">
        <f aca="false">IF($A1390="","",IF($H1390="-","유지",IF($I1390="첫 건","유지","확인 필요")))</f>
        <v/>
      </c>
    </row>
    <row r="1391" customFormat="false" ht="15" hidden="false" customHeight="true" outlineLevel="0" collapsed="false">
      <c r="A1391" s="11" t="str">
        <f aca="false">IF(원본명단!$A1390="","",1388)</f>
        <v/>
      </c>
      <c r="B1391" s="12" t="str">
        <f aca="false">IF($A1391="","",원본명단!$A1390)</f>
        <v/>
      </c>
      <c r="C1391" s="12" t="str">
        <f aca="false">IF($A1391="","",원본명단!$B1390)</f>
        <v/>
      </c>
      <c r="D1391" s="12" t="str">
        <f aca="false">IF($A1391="","",원본명단!$D1390)</f>
        <v/>
      </c>
      <c r="E1391" s="11" t="str">
        <f aca="false">IF($A1391="","",IF(원본명단!$H1390="",0,COUNTIF(원본명단!$H$3:$H$6002,원본명단!$H1390)))</f>
        <v/>
      </c>
      <c r="F1391" s="11" t="str">
        <f aca="false">IF($A1391="","",IF(원본명단!$I1390="",0,COUNTIF(원본명단!$I$3:$I$6002,원본명단!$I1390)))</f>
        <v/>
      </c>
      <c r="G1391" s="11" t="str">
        <f aca="false">IF($A1391="","",IF(원본명단!$K1390="",0,COUNTIF(원본명단!$K$3:$K$6002,원본명단!$K1390)))</f>
        <v/>
      </c>
      <c r="H1391" s="11" t="str">
        <f aca="false">IF($A1391="","",IF(MAX($E1391,$F1391,$G1391)&gt;1,"중복","-"))</f>
        <v/>
      </c>
      <c r="I1391" s="11" t="str">
        <f aca="false">IF($A1391="","",IF($H1391="-","-",IF(AND(IF(원본명단!$H1390="",TRUE(),COUNTIF(원본명단!$H$3:$H1390,원본명단!$H1390)=1),IF(원본명단!$I1390="",TRUE(),COUNTIF(원본명단!$I$3:$I1390,원본명단!$I1390)=1),IF(원본명단!$K1390="",TRUE(),COUNTIF(원본명단!$K$3:$K1390,원본명단!$K1390)=1)),"첫 건","중복 건")))</f>
        <v/>
      </c>
      <c r="J1391" s="11" t="str">
        <f aca="false">IF($A1391="","",IF($H1391="-","유지",IF($I1391="첫 건","유지","확인 필요")))</f>
        <v/>
      </c>
    </row>
    <row r="1392" customFormat="false" ht="15" hidden="false" customHeight="true" outlineLevel="0" collapsed="false">
      <c r="A1392" s="11" t="str">
        <f aca="false">IF(원본명단!$A1391="","",1389)</f>
        <v/>
      </c>
      <c r="B1392" s="12" t="str">
        <f aca="false">IF($A1392="","",원본명단!$A1391)</f>
        <v/>
      </c>
      <c r="C1392" s="12" t="str">
        <f aca="false">IF($A1392="","",원본명단!$B1391)</f>
        <v/>
      </c>
      <c r="D1392" s="12" t="str">
        <f aca="false">IF($A1392="","",원본명단!$D1391)</f>
        <v/>
      </c>
      <c r="E1392" s="11" t="str">
        <f aca="false">IF($A1392="","",IF(원본명단!$H1391="",0,COUNTIF(원본명단!$H$3:$H$6002,원본명단!$H1391)))</f>
        <v/>
      </c>
      <c r="F1392" s="11" t="str">
        <f aca="false">IF($A1392="","",IF(원본명단!$I1391="",0,COUNTIF(원본명단!$I$3:$I$6002,원본명단!$I1391)))</f>
        <v/>
      </c>
      <c r="G1392" s="11" t="str">
        <f aca="false">IF($A1392="","",IF(원본명단!$K1391="",0,COUNTIF(원본명단!$K$3:$K$6002,원본명단!$K1391)))</f>
        <v/>
      </c>
      <c r="H1392" s="11" t="str">
        <f aca="false">IF($A1392="","",IF(MAX($E1392,$F1392,$G1392)&gt;1,"중복","-"))</f>
        <v/>
      </c>
      <c r="I1392" s="11" t="str">
        <f aca="false">IF($A1392="","",IF($H1392="-","-",IF(AND(IF(원본명단!$H1391="",TRUE(),COUNTIF(원본명단!$H$3:$H1391,원본명단!$H1391)=1),IF(원본명단!$I1391="",TRUE(),COUNTIF(원본명단!$I$3:$I1391,원본명단!$I1391)=1),IF(원본명단!$K1391="",TRUE(),COUNTIF(원본명단!$K$3:$K1391,원본명단!$K1391)=1)),"첫 건","중복 건")))</f>
        <v/>
      </c>
      <c r="J1392" s="11" t="str">
        <f aca="false">IF($A1392="","",IF($H1392="-","유지",IF($I1392="첫 건","유지","확인 필요")))</f>
        <v/>
      </c>
    </row>
    <row r="1393" customFormat="false" ht="15" hidden="false" customHeight="true" outlineLevel="0" collapsed="false">
      <c r="A1393" s="11" t="str">
        <f aca="false">IF(원본명단!$A1392="","",1390)</f>
        <v/>
      </c>
      <c r="B1393" s="12" t="str">
        <f aca="false">IF($A1393="","",원본명단!$A1392)</f>
        <v/>
      </c>
      <c r="C1393" s="12" t="str">
        <f aca="false">IF($A1393="","",원본명단!$B1392)</f>
        <v/>
      </c>
      <c r="D1393" s="12" t="str">
        <f aca="false">IF($A1393="","",원본명단!$D1392)</f>
        <v/>
      </c>
      <c r="E1393" s="11" t="str">
        <f aca="false">IF($A1393="","",IF(원본명단!$H1392="",0,COUNTIF(원본명단!$H$3:$H$6002,원본명단!$H1392)))</f>
        <v/>
      </c>
      <c r="F1393" s="11" t="str">
        <f aca="false">IF($A1393="","",IF(원본명단!$I1392="",0,COUNTIF(원본명단!$I$3:$I$6002,원본명단!$I1392)))</f>
        <v/>
      </c>
      <c r="G1393" s="11" t="str">
        <f aca="false">IF($A1393="","",IF(원본명단!$K1392="",0,COUNTIF(원본명단!$K$3:$K$6002,원본명단!$K1392)))</f>
        <v/>
      </c>
      <c r="H1393" s="11" t="str">
        <f aca="false">IF($A1393="","",IF(MAX($E1393,$F1393,$G1393)&gt;1,"중복","-"))</f>
        <v/>
      </c>
      <c r="I1393" s="11" t="str">
        <f aca="false">IF($A1393="","",IF($H1393="-","-",IF(AND(IF(원본명단!$H1392="",TRUE(),COUNTIF(원본명단!$H$3:$H1392,원본명단!$H1392)=1),IF(원본명단!$I1392="",TRUE(),COUNTIF(원본명단!$I$3:$I1392,원본명단!$I1392)=1),IF(원본명단!$K1392="",TRUE(),COUNTIF(원본명단!$K$3:$K1392,원본명단!$K1392)=1)),"첫 건","중복 건")))</f>
        <v/>
      </c>
      <c r="J1393" s="11" t="str">
        <f aca="false">IF($A1393="","",IF($H1393="-","유지",IF($I1393="첫 건","유지","확인 필요")))</f>
        <v/>
      </c>
    </row>
    <row r="1394" customFormat="false" ht="15" hidden="false" customHeight="true" outlineLevel="0" collapsed="false">
      <c r="A1394" s="11" t="str">
        <f aca="false">IF(원본명단!$A1393="","",1391)</f>
        <v/>
      </c>
      <c r="B1394" s="12" t="str">
        <f aca="false">IF($A1394="","",원본명단!$A1393)</f>
        <v/>
      </c>
      <c r="C1394" s="12" t="str">
        <f aca="false">IF($A1394="","",원본명단!$B1393)</f>
        <v/>
      </c>
      <c r="D1394" s="12" t="str">
        <f aca="false">IF($A1394="","",원본명단!$D1393)</f>
        <v/>
      </c>
      <c r="E1394" s="11" t="str">
        <f aca="false">IF($A1394="","",IF(원본명단!$H1393="",0,COUNTIF(원본명단!$H$3:$H$6002,원본명단!$H1393)))</f>
        <v/>
      </c>
      <c r="F1394" s="11" t="str">
        <f aca="false">IF($A1394="","",IF(원본명단!$I1393="",0,COUNTIF(원본명단!$I$3:$I$6002,원본명단!$I1393)))</f>
        <v/>
      </c>
      <c r="G1394" s="11" t="str">
        <f aca="false">IF($A1394="","",IF(원본명단!$K1393="",0,COUNTIF(원본명단!$K$3:$K$6002,원본명단!$K1393)))</f>
        <v/>
      </c>
      <c r="H1394" s="11" t="str">
        <f aca="false">IF($A1394="","",IF(MAX($E1394,$F1394,$G1394)&gt;1,"중복","-"))</f>
        <v/>
      </c>
      <c r="I1394" s="11" t="str">
        <f aca="false">IF($A1394="","",IF($H1394="-","-",IF(AND(IF(원본명단!$H1393="",TRUE(),COUNTIF(원본명단!$H$3:$H1393,원본명단!$H1393)=1),IF(원본명단!$I1393="",TRUE(),COUNTIF(원본명단!$I$3:$I1393,원본명단!$I1393)=1),IF(원본명단!$K1393="",TRUE(),COUNTIF(원본명단!$K$3:$K1393,원본명단!$K1393)=1)),"첫 건","중복 건")))</f>
        <v/>
      </c>
      <c r="J1394" s="11" t="str">
        <f aca="false">IF($A1394="","",IF($H1394="-","유지",IF($I1394="첫 건","유지","확인 필요")))</f>
        <v/>
      </c>
    </row>
    <row r="1395" customFormat="false" ht="15" hidden="false" customHeight="true" outlineLevel="0" collapsed="false">
      <c r="A1395" s="11" t="str">
        <f aca="false">IF(원본명단!$A1394="","",1392)</f>
        <v/>
      </c>
      <c r="B1395" s="12" t="str">
        <f aca="false">IF($A1395="","",원본명단!$A1394)</f>
        <v/>
      </c>
      <c r="C1395" s="12" t="str">
        <f aca="false">IF($A1395="","",원본명단!$B1394)</f>
        <v/>
      </c>
      <c r="D1395" s="12" t="str">
        <f aca="false">IF($A1395="","",원본명단!$D1394)</f>
        <v/>
      </c>
      <c r="E1395" s="11" t="str">
        <f aca="false">IF($A1395="","",IF(원본명단!$H1394="",0,COUNTIF(원본명단!$H$3:$H$6002,원본명단!$H1394)))</f>
        <v/>
      </c>
      <c r="F1395" s="11" t="str">
        <f aca="false">IF($A1395="","",IF(원본명단!$I1394="",0,COUNTIF(원본명단!$I$3:$I$6002,원본명단!$I1394)))</f>
        <v/>
      </c>
      <c r="G1395" s="11" t="str">
        <f aca="false">IF($A1395="","",IF(원본명단!$K1394="",0,COUNTIF(원본명단!$K$3:$K$6002,원본명단!$K1394)))</f>
        <v/>
      </c>
      <c r="H1395" s="11" t="str">
        <f aca="false">IF($A1395="","",IF(MAX($E1395,$F1395,$G1395)&gt;1,"중복","-"))</f>
        <v/>
      </c>
      <c r="I1395" s="11" t="str">
        <f aca="false">IF($A1395="","",IF($H1395="-","-",IF(AND(IF(원본명단!$H1394="",TRUE(),COUNTIF(원본명단!$H$3:$H1394,원본명단!$H1394)=1),IF(원본명단!$I1394="",TRUE(),COUNTIF(원본명단!$I$3:$I1394,원본명단!$I1394)=1),IF(원본명단!$K1394="",TRUE(),COUNTIF(원본명단!$K$3:$K1394,원본명단!$K1394)=1)),"첫 건","중복 건")))</f>
        <v/>
      </c>
      <c r="J1395" s="11" t="str">
        <f aca="false">IF($A1395="","",IF($H1395="-","유지",IF($I1395="첫 건","유지","확인 필요")))</f>
        <v/>
      </c>
    </row>
    <row r="1396" customFormat="false" ht="15" hidden="false" customHeight="true" outlineLevel="0" collapsed="false">
      <c r="A1396" s="11" t="str">
        <f aca="false">IF(원본명단!$A1395="","",1393)</f>
        <v/>
      </c>
      <c r="B1396" s="12" t="str">
        <f aca="false">IF($A1396="","",원본명단!$A1395)</f>
        <v/>
      </c>
      <c r="C1396" s="12" t="str">
        <f aca="false">IF($A1396="","",원본명단!$B1395)</f>
        <v/>
      </c>
      <c r="D1396" s="12" t="str">
        <f aca="false">IF($A1396="","",원본명단!$D1395)</f>
        <v/>
      </c>
      <c r="E1396" s="11" t="str">
        <f aca="false">IF($A1396="","",IF(원본명단!$H1395="",0,COUNTIF(원본명단!$H$3:$H$6002,원본명단!$H1395)))</f>
        <v/>
      </c>
      <c r="F1396" s="11" t="str">
        <f aca="false">IF($A1396="","",IF(원본명단!$I1395="",0,COUNTIF(원본명단!$I$3:$I$6002,원본명단!$I1395)))</f>
        <v/>
      </c>
      <c r="G1396" s="11" t="str">
        <f aca="false">IF($A1396="","",IF(원본명단!$K1395="",0,COUNTIF(원본명단!$K$3:$K$6002,원본명단!$K1395)))</f>
        <v/>
      </c>
      <c r="H1396" s="11" t="str">
        <f aca="false">IF($A1396="","",IF(MAX($E1396,$F1396,$G1396)&gt;1,"중복","-"))</f>
        <v/>
      </c>
      <c r="I1396" s="11" t="str">
        <f aca="false">IF($A1396="","",IF($H1396="-","-",IF(AND(IF(원본명단!$H1395="",TRUE(),COUNTIF(원본명단!$H$3:$H1395,원본명단!$H1395)=1),IF(원본명단!$I1395="",TRUE(),COUNTIF(원본명단!$I$3:$I1395,원본명단!$I1395)=1),IF(원본명단!$K1395="",TRUE(),COUNTIF(원본명단!$K$3:$K1395,원본명단!$K1395)=1)),"첫 건","중복 건")))</f>
        <v/>
      </c>
      <c r="J1396" s="11" t="str">
        <f aca="false">IF($A1396="","",IF($H1396="-","유지",IF($I1396="첫 건","유지","확인 필요")))</f>
        <v/>
      </c>
    </row>
    <row r="1397" customFormat="false" ht="15" hidden="false" customHeight="true" outlineLevel="0" collapsed="false">
      <c r="A1397" s="11" t="str">
        <f aca="false">IF(원본명단!$A1396="","",1394)</f>
        <v/>
      </c>
      <c r="B1397" s="12" t="str">
        <f aca="false">IF($A1397="","",원본명단!$A1396)</f>
        <v/>
      </c>
      <c r="C1397" s="12" t="str">
        <f aca="false">IF($A1397="","",원본명단!$B1396)</f>
        <v/>
      </c>
      <c r="D1397" s="12" t="str">
        <f aca="false">IF($A1397="","",원본명단!$D1396)</f>
        <v/>
      </c>
      <c r="E1397" s="11" t="str">
        <f aca="false">IF($A1397="","",IF(원본명단!$H1396="",0,COUNTIF(원본명단!$H$3:$H$6002,원본명단!$H1396)))</f>
        <v/>
      </c>
      <c r="F1397" s="11" t="str">
        <f aca="false">IF($A1397="","",IF(원본명단!$I1396="",0,COUNTIF(원본명단!$I$3:$I$6002,원본명단!$I1396)))</f>
        <v/>
      </c>
      <c r="G1397" s="11" t="str">
        <f aca="false">IF($A1397="","",IF(원본명단!$K1396="",0,COUNTIF(원본명단!$K$3:$K$6002,원본명단!$K1396)))</f>
        <v/>
      </c>
      <c r="H1397" s="11" t="str">
        <f aca="false">IF($A1397="","",IF(MAX($E1397,$F1397,$G1397)&gt;1,"중복","-"))</f>
        <v/>
      </c>
      <c r="I1397" s="11" t="str">
        <f aca="false">IF($A1397="","",IF($H1397="-","-",IF(AND(IF(원본명단!$H1396="",TRUE(),COUNTIF(원본명단!$H$3:$H1396,원본명단!$H1396)=1),IF(원본명단!$I1396="",TRUE(),COUNTIF(원본명단!$I$3:$I1396,원본명단!$I1396)=1),IF(원본명단!$K1396="",TRUE(),COUNTIF(원본명단!$K$3:$K1396,원본명단!$K1396)=1)),"첫 건","중복 건")))</f>
        <v/>
      </c>
      <c r="J1397" s="11" t="str">
        <f aca="false">IF($A1397="","",IF($H1397="-","유지",IF($I1397="첫 건","유지","확인 필요")))</f>
        <v/>
      </c>
    </row>
    <row r="1398" customFormat="false" ht="15" hidden="false" customHeight="true" outlineLevel="0" collapsed="false">
      <c r="A1398" s="11" t="str">
        <f aca="false">IF(원본명단!$A1397="","",1395)</f>
        <v/>
      </c>
      <c r="B1398" s="12" t="str">
        <f aca="false">IF($A1398="","",원본명단!$A1397)</f>
        <v/>
      </c>
      <c r="C1398" s="12" t="str">
        <f aca="false">IF($A1398="","",원본명단!$B1397)</f>
        <v/>
      </c>
      <c r="D1398" s="12" t="str">
        <f aca="false">IF($A1398="","",원본명단!$D1397)</f>
        <v/>
      </c>
      <c r="E1398" s="11" t="str">
        <f aca="false">IF($A1398="","",IF(원본명단!$H1397="",0,COUNTIF(원본명단!$H$3:$H$6002,원본명단!$H1397)))</f>
        <v/>
      </c>
      <c r="F1398" s="11" t="str">
        <f aca="false">IF($A1398="","",IF(원본명단!$I1397="",0,COUNTIF(원본명단!$I$3:$I$6002,원본명단!$I1397)))</f>
        <v/>
      </c>
      <c r="G1398" s="11" t="str">
        <f aca="false">IF($A1398="","",IF(원본명단!$K1397="",0,COUNTIF(원본명단!$K$3:$K$6002,원본명단!$K1397)))</f>
        <v/>
      </c>
      <c r="H1398" s="11" t="str">
        <f aca="false">IF($A1398="","",IF(MAX($E1398,$F1398,$G1398)&gt;1,"중복","-"))</f>
        <v/>
      </c>
      <c r="I1398" s="11" t="str">
        <f aca="false">IF($A1398="","",IF($H1398="-","-",IF(AND(IF(원본명단!$H1397="",TRUE(),COUNTIF(원본명단!$H$3:$H1397,원본명단!$H1397)=1),IF(원본명단!$I1397="",TRUE(),COUNTIF(원본명단!$I$3:$I1397,원본명단!$I1397)=1),IF(원본명단!$K1397="",TRUE(),COUNTIF(원본명단!$K$3:$K1397,원본명단!$K1397)=1)),"첫 건","중복 건")))</f>
        <v/>
      </c>
      <c r="J1398" s="11" t="str">
        <f aca="false">IF($A1398="","",IF($H1398="-","유지",IF($I1398="첫 건","유지","확인 필요")))</f>
        <v/>
      </c>
    </row>
    <row r="1399" customFormat="false" ht="15" hidden="false" customHeight="true" outlineLevel="0" collapsed="false">
      <c r="A1399" s="11" t="str">
        <f aca="false">IF(원본명단!$A1398="","",1396)</f>
        <v/>
      </c>
      <c r="B1399" s="12" t="str">
        <f aca="false">IF($A1399="","",원본명단!$A1398)</f>
        <v/>
      </c>
      <c r="C1399" s="12" t="str">
        <f aca="false">IF($A1399="","",원본명단!$B1398)</f>
        <v/>
      </c>
      <c r="D1399" s="12" t="str">
        <f aca="false">IF($A1399="","",원본명단!$D1398)</f>
        <v/>
      </c>
      <c r="E1399" s="11" t="str">
        <f aca="false">IF($A1399="","",IF(원본명단!$H1398="",0,COUNTIF(원본명단!$H$3:$H$6002,원본명단!$H1398)))</f>
        <v/>
      </c>
      <c r="F1399" s="11" t="str">
        <f aca="false">IF($A1399="","",IF(원본명단!$I1398="",0,COUNTIF(원본명단!$I$3:$I$6002,원본명단!$I1398)))</f>
        <v/>
      </c>
      <c r="G1399" s="11" t="str">
        <f aca="false">IF($A1399="","",IF(원본명단!$K1398="",0,COUNTIF(원본명단!$K$3:$K$6002,원본명단!$K1398)))</f>
        <v/>
      </c>
      <c r="H1399" s="11" t="str">
        <f aca="false">IF($A1399="","",IF(MAX($E1399,$F1399,$G1399)&gt;1,"중복","-"))</f>
        <v/>
      </c>
      <c r="I1399" s="11" t="str">
        <f aca="false">IF($A1399="","",IF($H1399="-","-",IF(AND(IF(원본명단!$H1398="",TRUE(),COUNTIF(원본명단!$H$3:$H1398,원본명단!$H1398)=1),IF(원본명단!$I1398="",TRUE(),COUNTIF(원본명단!$I$3:$I1398,원본명단!$I1398)=1),IF(원본명단!$K1398="",TRUE(),COUNTIF(원본명단!$K$3:$K1398,원본명단!$K1398)=1)),"첫 건","중복 건")))</f>
        <v/>
      </c>
      <c r="J1399" s="11" t="str">
        <f aca="false">IF($A1399="","",IF($H1399="-","유지",IF($I1399="첫 건","유지","확인 필요")))</f>
        <v/>
      </c>
    </row>
    <row r="1400" customFormat="false" ht="15" hidden="false" customHeight="true" outlineLevel="0" collapsed="false">
      <c r="A1400" s="11" t="str">
        <f aca="false">IF(원본명단!$A1399="","",1397)</f>
        <v/>
      </c>
      <c r="B1400" s="12" t="str">
        <f aca="false">IF($A1400="","",원본명단!$A1399)</f>
        <v/>
      </c>
      <c r="C1400" s="12" t="str">
        <f aca="false">IF($A1400="","",원본명단!$B1399)</f>
        <v/>
      </c>
      <c r="D1400" s="12" t="str">
        <f aca="false">IF($A1400="","",원본명단!$D1399)</f>
        <v/>
      </c>
      <c r="E1400" s="11" t="str">
        <f aca="false">IF($A1400="","",IF(원본명단!$H1399="",0,COUNTIF(원본명단!$H$3:$H$6002,원본명단!$H1399)))</f>
        <v/>
      </c>
      <c r="F1400" s="11" t="str">
        <f aca="false">IF($A1400="","",IF(원본명단!$I1399="",0,COUNTIF(원본명단!$I$3:$I$6002,원본명단!$I1399)))</f>
        <v/>
      </c>
      <c r="G1400" s="11" t="str">
        <f aca="false">IF($A1400="","",IF(원본명단!$K1399="",0,COUNTIF(원본명단!$K$3:$K$6002,원본명단!$K1399)))</f>
        <v/>
      </c>
      <c r="H1400" s="11" t="str">
        <f aca="false">IF($A1400="","",IF(MAX($E1400,$F1400,$G1400)&gt;1,"중복","-"))</f>
        <v/>
      </c>
      <c r="I1400" s="11" t="str">
        <f aca="false">IF($A1400="","",IF($H1400="-","-",IF(AND(IF(원본명단!$H1399="",TRUE(),COUNTIF(원본명단!$H$3:$H1399,원본명단!$H1399)=1),IF(원본명단!$I1399="",TRUE(),COUNTIF(원본명단!$I$3:$I1399,원본명단!$I1399)=1),IF(원본명단!$K1399="",TRUE(),COUNTIF(원본명단!$K$3:$K1399,원본명단!$K1399)=1)),"첫 건","중복 건")))</f>
        <v/>
      </c>
      <c r="J1400" s="11" t="str">
        <f aca="false">IF($A1400="","",IF($H1400="-","유지",IF($I1400="첫 건","유지","확인 필요")))</f>
        <v/>
      </c>
    </row>
    <row r="1401" customFormat="false" ht="15" hidden="false" customHeight="true" outlineLevel="0" collapsed="false">
      <c r="A1401" s="11" t="str">
        <f aca="false">IF(원본명단!$A1400="","",1398)</f>
        <v/>
      </c>
      <c r="B1401" s="12" t="str">
        <f aca="false">IF($A1401="","",원본명단!$A1400)</f>
        <v/>
      </c>
      <c r="C1401" s="12" t="str">
        <f aca="false">IF($A1401="","",원본명단!$B1400)</f>
        <v/>
      </c>
      <c r="D1401" s="12" t="str">
        <f aca="false">IF($A1401="","",원본명단!$D1400)</f>
        <v/>
      </c>
      <c r="E1401" s="11" t="str">
        <f aca="false">IF($A1401="","",IF(원본명단!$H1400="",0,COUNTIF(원본명단!$H$3:$H$6002,원본명단!$H1400)))</f>
        <v/>
      </c>
      <c r="F1401" s="11" t="str">
        <f aca="false">IF($A1401="","",IF(원본명단!$I1400="",0,COUNTIF(원본명단!$I$3:$I$6002,원본명단!$I1400)))</f>
        <v/>
      </c>
      <c r="G1401" s="11" t="str">
        <f aca="false">IF($A1401="","",IF(원본명단!$K1400="",0,COUNTIF(원본명단!$K$3:$K$6002,원본명단!$K1400)))</f>
        <v/>
      </c>
      <c r="H1401" s="11" t="str">
        <f aca="false">IF($A1401="","",IF(MAX($E1401,$F1401,$G1401)&gt;1,"중복","-"))</f>
        <v/>
      </c>
      <c r="I1401" s="11" t="str">
        <f aca="false">IF($A1401="","",IF($H1401="-","-",IF(AND(IF(원본명단!$H1400="",TRUE(),COUNTIF(원본명단!$H$3:$H1400,원본명단!$H1400)=1),IF(원본명단!$I1400="",TRUE(),COUNTIF(원본명단!$I$3:$I1400,원본명단!$I1400)=1),IF(원본명단!$K1400="",TRUE(),COUNTIF(원본명단!$K$3:$K1400,원본명단!$K1400)=1)),"첫 건","중복 건")))</f>
        <v/>
      </c>
      <c r="J1401" s="11" t="str">
        <f aca="false">IF($A1401="","",IF($H1401="-","유지",IF($I1401="첫 건","유지","확인 필요")))</f>
        <v/>
      </c>
    </row>
    <row r="1402" customFormat="false" ht="15" hidden="false" customHeight="true" outlineLevel="0" collapsed="false">
      <c r="A1402" s="11" t="str">
        <f aca="false">IF(원본명단!$A1401="","",1399)</f>
        <v/>
      </c>
      <c r="B1402" s="12" t="str">
        <f aca="false">IF($A1402="","",원본명단!$A1401)</f>
        <v/>
      </c>
      <c r="C1402" s="12" t="str">
        <f aca="false">IF($A1402="","",원본명단!$B1401)</f>
        <v/>
      </c>
      <c r="D1402" s="12" t="str">
        <f aca="false">IF($A1402="","",원본명단!$D1401)</f>
        <v/>
      </c>
      <c r="E1402" s="11" t="str">
        <f aca="false">IF($A1402="","",IF(원본명단!$H1401="",0,COUNTIF(원본명단!$H$3:$H$6002,원본명단!$H1401)))</f>
        <v/>
      </c>
      <c r="F1402" s="11" t="str">
        <f aca="false">IF($A1402="","",IF(원본명단!$I1401="",0,COUNTIF(원본명단!$I$3:$I$6002,원본명단!$I1401)))</f>
        <v/>
      </c>
      <c r="G1402" s="11" t="str">
        <f aca="false">IF($A1402="","",IF(원본명단!$K1401="",0,COUNTIF(원본명단!$K$3:$K$6002,원본명단!$K1401)))</f>
        <v/>
      </c>
      <c r="H1402" s="11" t="str">
        <f aca="false">IF($A1402="","",IF(MAX($E1402,$F1402,$G1402)&gt;1,"중복","-"))</f>
        <v/>
      </c>
      <c r="I1402" s="11" t="str">
        <f aca="false">IF($A1402="","",IF($H1402="-","-",IF(AND(IF(원본명단!$H1401="",TRUE(),COUNTIF(원본명단!$H$3:$H1401,원본명단!$H1401)=1),IF(원본명단!$I1401="",TRUE(),COUNTIF(원본명단!$I$3:$I1401,원본명단!$I1401)=1),IF(원본명단!$K1401="",TRUE(),COUNTIF(원본명단!$K$3:$K1401,원본명단!$K1401)=1)),"첫 건","중복 건")))</f>
        <v/>
      </c>
      <c r="J1402" s="11" t="str">
        <f aca="false">IF($A1402="","",IF($H1402="-","유지",IF($I1402="첫 건","유지","확인 필요")))</f>
        <v/>
      </c>
    </row>
    <row r="1403" customFormat="false" ht="15" hidden="false" customHeight="true" outlineLevel="0" collapsed="false">
      <c r="A1403" s="11" t="str">
        <f aca="false">IF(원본명단!$A1402="","",1400)</f>
        <v/>
      </c>
      <c r="B1403" s="12" t="str">
        <f aca="false">IF($A1403="","",원본명단!$A1402)</f>
        <v/>
      </c>
      <c r="C1403" s="12" t="str">
        <f aca="false">IF($A1403="","",원본명단!$B1402)</f>
        <v/>
      </c>
      <c r="D1403" s="12" t="str">
        <f aca="false">IF($A1403="","",원본명단!$D1402)</f>
        <v/>
      </c>
      <c r="E1403" s="11" t="str">
        <f aca="false">IF($A1403="","",IF(원본명단!$H1402="",0,COUNTIF(원본명단!$H$3:$H$6002,원본명단!$H1402)))</f>
        <v/>
      </c>
      <c r="F1403" s="11" t="str">
        <f aca="false">IF($A1403="","",IF(원본명단!$I1402="",0,COUNTIF(원본명단!$I$3:$I$6002,원본명단!$I1402)))</f>
        <v/>
      </c>
      <c r="G1403" s="11" t="str">
        <f aca="false">IF($A1403="","",IF(원본명단!$K1402="",0,COUNTIF(원본명단!$K$3:$K$6002,원본명단!$K1402)))</f>
        <v/>
      </c>
      <c r="H1403" s="11" t="str">
        <f aca="false">IF($A1403="","",IF(MAX($E1403,$F1403,$G1403)&gt;1,"중복","-"))</f>
        <v/>
      </c>
      <c r="I1403" s="11" t="str">
        <f aca="false">IF($A1403="","",IF($H1403="-","-",IF(AND(IF(원본명단!$H1402="",TRUE(),COUNTIF(원본명단!$H$3:$H1402,원본명단!$H1402)=1),IF(원본명단!$I1402="",TRUE(),COUNTIF(원본명단!$I$3:$I1402,원본명단!$I1402)=1),IF(원본명단!$K1402="",TRUE(),COUNTIF(원본명단!$K$3:$K1402,원본명단!$K1402)=1)),"첫 건","중복 건")))</f>
        <v/>
      </c>
      <c r="J1403" s="11" t="str">
        <f aca="false">IF($A1403="","",IF($H1403="-","유지",IF($I1403="첫 건","유지","확인 필요")))</f>
        <v/>
      </c>
    </row>
    <row r="1404" customFormat="false" ht="15" hidden="false" customHeight="true" outlineLevel="0" collapsed="false">
      <c r="A1404" s="11" t="str">
        <f aca="false">IF(원본명단!$A1403="","",1401)</f>
        <v/>
      </c>
      <c r="B1404" s="12" t="str">
        <f aca="false">IF($A1404="","",원본명단!$A1403)</f>
        <v/>
      </c>
      <c r="C1404" s="12" t="str">
        <f aca="false">IF($A1404="","",원본명단!$B1403)</f>
        <v/>
      </c>
      <c r="D1404" s="12" t="str">
        <f aca="false">IF($A1404="","",원본명단!$D1403)</f>
        <v/>
      </c>
      <c r="E1404" s="11" t="str">
        <f aca="false">IF($A1404="","",IF(원본명단!$H1403="",0,COUNTIF(원본명단!$H$3:$H$6002,원본명단!$H1403)))</f>
        <v/>
      </c>
      <c r="F1404" s="11" t="str">
        <f aca="false">IF($A1404="","",IF(원본명단!$I1403="",0,COUNTIF(원본명단!$I$3:$I$6002,원본명단!$I1403)))</f>
        <v/>
      </c>
      <c r="G1404" s="11" t="str">
        <f aca="false">IF($A1404="","",IF(원본명단!$K1403="",0,COUNTIF(원본명단!$K$3:$K$6002,원본명단!$K1403)))</f>
        <v/>
      </c>
      <c r="H1404" s="11" t="str">
        <f aca="false">IF($A1404="","",IF(MAX($E1404,$F1404,$G1404)&gt;1,"중복","-"))</f>
        <v/>
      </c>
      <c r="I1404" s="11" t="str">
        <f aca="false">IF($A1404="","",IF($H1404="-","-",IF(AND(IF(원본명단!$H1403="",TRUE(),COUNTIF(원본명단!$H$3:$H1403,원본명단!$H1403)=1),IF(원본명단!$I1403="",TRUE(),COUNTIF(원본명단!$I$3:$I1403,원본명단!$I1403)=1),IF(원본명단!$K1403="",TRUE(),COUNTIF(원본명단!$K$3:$K1403,원본명단!$K1403)=1)),"첫 건","중복 건")))</f>
        <v/>
      </c>
      <c r="J1404" s="11" t="str">
        <f aca="false">IF($A1404="","",IF($H1404="-","유지",IF($I1404="첫 건","유지","확인 필요")))</f>
        <v/>
      </c>
    </row>
    <row r="1405" customFormat="false" ht="15" hidden="false" customHeight="true" outlineLevel="0" collapsed="false">
      <c r="A1405" s="11" t="str">
        <f aca="false">IF(원본명단!$A1404="","",1402)</f>
        <v/>
      </c>
      <c r="B1405" s="12" t="str">
        <f aca="false">IF($A1405="","",원본명단!$A1404)</f>
        <v/>
      </c>
      <c r="C1405" s="12" t="str">
        <f aca="false">IF($A1405="","",원본명단!$B1404)</f>
        <v/>
      </c>
      <c r="D1405" s="12" t="str">
        <f aca="false">IF($A1405="","",원본명단!$D1404)</f>
        <v/>
      </c>
      <c r="E1405" s="11" t="str">
        <f aca="false">IF($A1405="","",IF(원본명단!$H1404="",0,COUNTIF(원본명단!$H$3:$H$6002,원본명단!$H1404)))</f>
        <v/>
      </c>
      <c r="F1405" s="11" t="str">
        <f aca="false">IF($A1405="","",IF(원본명단!$I1404="",0,COUNTIF(원본명단!$I$3:$I$6002,원본명단!$I1404)))</f>
        <v/>
      </c>
      <c r="G1405" s="11" t="str">
        <f aca="false">IF($A1405="","",IF(원본명단!$K1404="",0,COUNTIF(원본명단!$K$3:$K$6002,원본명단!$K1404)))</f>
        <v/>
      </c>
      <c r="H1405" s="11" t="str">
        <f aca="false">IF($A1405="","",IF(MAX($E1405,$F1405,$G1405)&gt;1,"중복","-"))</f>
        <v/>
      </c>
      <c r="I1405" s="11" t="str">
        <f aca="false">IF($A1405="","",IF($H1405="-","-",IF(AND(IF(원본명단!$H1404="",TRUE(),COUNTIF(원본명단!$H$3:$H1404,원본명단!$H1404)=1),IF(원본명단!$I1404="",TRUE(),COUNTIF(원본명단!$I$3:$I1404,원본명단!$I1404)=1),IF(원본명단!$K1404="",TRUE(),COUNTIF(원본명단!$K$3:$K1404,원본명단!$K1404)=1)),"첫 건","중복 건")))</f>
        <v/>
      </c>
      <c r="J1405" s="11" t="str">
        <f aca="false">IF($A1405="","",IF($H1405="-","유지",IF($I1405="첫 건","유지","확인 필요")))</f>
        <v/>
      </c>
    </row>
    <row r="1406" customFormat="false" ht="15" hidden="false" customHeight="true" outlineLevel="0" collapsed="false">
      <c r="A1406" s="11" t="str">
        <f aca="false">IF(원본명단!$A1405="","",1403)</f>
        <v/>
      </c>
      <c r="B1406" s="12" t="str">
        <f aca="false">IF($A1406="","",원본명단!$A1405)</f>
        <v/>
      </c>
      <c r="C1406" s="12" t="str">
        <f aca="false">IF($A1406="","",원본명단!$B1405)</f>
        <v/>
      </c>
      <c r="D1406" s="12" t="str">
        <f aca="false">IF($A1406="","",원본명단!$D1405)</f>
        <v/>
      </c>
      <c r="E1406" s="11" t="str">
        <f aca="false">IF($A1406="","",IF(원본명단!$H1405="",0,COUNTIF(원본명단!$H$3:$H$6002,원본명단!$H1405)))</f>
        <v/>
      </c>
      <c r="F1406" s="11" t="str">
        <f aca="false">IF($A1406="","",IF(원본명단!$I1405="",0,COUNTIF(원본명단!$I$3:$I$6002,원본명단!$I1405)))</f>
        <v/>
      </c>
      <c r="G1406" s="11" t="str">
        <f aca="false">IF($A1406="","",IF(원본명단!$K1405="",0,COUNTIF(원본명단!$K$3:$K$6002,원본명단!$K1405)))</f>
        <v/>
      </c>
      <c r="H1406" s="11" t="str">
        <f aca="false">IF($A1406="","",IF(MAX($E1406,$F1406,$G1406)&gt;1,"중복","-"))</f>
        <v/>
      </c>
      <c r="I1406" s="11" t="str">
        <f aca="false">IF($A1406="","",IF($H1406="-","-",IF(AND(IF(원본명단!$H1405="",TRUE(),COUNTIF(원본명단!$H$3:$H1405,원본명단!$H1405)=1),IF(원본명단!$I1405="",TRUE(),COUNTIF(원본명단!$I$3:$I1405,원본명단!$I1405)=1),IF(원본명단!$K1405="",TRUE(),COUNTIF(원본명단!$K$3:$K1405,원본명단!$K1405)=1)),"첫 건","중복 건")))</f>
        <v/>
      </c>
      <c r="J1406" s="11" t="str">
        <f aca="false">IF($A1406="","",IF($H1406="-","유지",IF($I1406="첫 건","유지","확인 필요")))</f>
        <v/>
      </c>
    </row>
    <row r="1407" customFormat="false" ht="15" hidden="false" customHeight="true" outlineLevel="0" collapsed="false">
      <c r="A1407" s="11" t="str">
        <f aca="false">IF(원본명단!$A1406="","",1404)</f>
        <v/>
      </c>
      <c r="B1407" s="12" t="str">
        <f aca="false">IF($A1407="","",원본명단!$A1406)</f>
        <v/>
      </c>
      <c r="C1407" s="12" t="str">
        <f aca="false">IF($A1407="","",원본명단!$B1406)</f>
        <v/>
      </c>
      <c r="D1407" s="12" t="str">
        <f aca="false">IF($A1407="","",원본명단!$D1406)</f>
        <v/>
      </c>
      <c r="E1407" s="11" t="str">
        <f aca="false">IF($A1407="","",IF(원본명단!$H1406="",0,COUNTIF(원본명단!$H$3:$H$6002,원본명단!$H1406)))</f>
        <v/>
      </c>
      <c r="F1407" s="11" t="str">
        <f aca="false">IF($A1407="","",IF(원본명단!$I1406="",0,COUNTIF(원본명단!$I$3:$I$6002,원본명단!$I1406)))</f>
        <v/>
      </c>
      <c r="G1407" s="11" t="str">
        <f aca="false">IF($A1407="","",IF(원본명단!$K1406="",0,COUNTIF(원본명단!$K$3:$K$6002,원본명단!$K1406)))</f>
        <v/>
      </c>
      <c r="H1407" s="11" t="str">
        <f aca="false">IF($A1407="","",IF(MAX($E1407,$F1407,$G1407)&gt;1,"중복","-"))</f>
        <v/>
      </c>
      <c r="I1407" s="11" t="str">
        <f aca="false">IF($A1407="","",IF($H1407="-","-",IF(AND(IF(원본명단!$H1406="",TRUE(),COUNTIF(원본명단!$H$3:$H1406,원본명단!$H1406)=1),IF(원본명단!$I1406="",TRUE(),COUNTIF(원본명단!$I$3:$I1406,원본명단!$I1406)=1),IF(원본명단!$K1406="",TRUE(),COUNTIF(원본명단!$K$3:$K1406,원본명단!$K1406)=1)),"첫 건","중복 건")))</f>
        <v/>
      </c>
      <c r="J1407" s="11" t="str">
        <f aca="false">IF($A1407="","",IF($H1407="-","유지",IF($I1407="첫 건","유지","확인 필요")))</f>
        <v/>
      </c>
    </row>
    <row r="1408" customFormat="false" ht="15" hidden="false" customHeight="true" outlineLevel="0" collapsed="false">
      <c r="A1408" s="11" t="str">
        <f aca="false">IF(원본명단!$A1407="","",1405)</f>
        <v/>
      </c>
      <c r="B1408" s="12" t="str">
        <f aca="false">IF($A1408="","",원본명단!$A1407)</f>
        <v/>
      </c>
      <c r="C1408" s="12" t="str">
        <f aca="false">IF($A1408="","",원본명단!$B1407)</f>
        <v/>
      </c>
      <c r="D1408" s="12" t="str">
        <f aca="false">IF($A1408="","",원본명단!$D1407)</f>
        <v/>
      </c>
      <c r="E1408" s="11" t="str">
        <f aca="false">IF($A1408="","",IF(원본명단!$H1407="",0,COUNTIF(원본명단!$H$3:$H$6002,원본명단!$H1407)))</f>
        <v/>
      </c>
      <c r="F1408" s="11" t="str">
        <f aca="false">IF($A1408="","",IF(원본명단!$I1407="",0,COUNTIF(원본명단!$I$3:$I$6002,원본명단!$I1407)))</f>
        <v/>
      </c>
      <c r="G1408" s="11" t="str">
        <f aca="false">IF($A1408="","",IF(원본명단!$K1407="",0,COUNTIF(원본명단!$K$3:$K$6002,원본명단!$K1407)))</f>
        <v/>
      </c>
      <c r="H1408" s="11" t="str">
        <f aca="false">IF($A1408="","",IF(MAX($E1408,$F1408,$G1408)&gt;1,"중복","-"))</f>
        <v/>
      </c>
      <c r="I1408" s="11" t="str">
        <f aca="false">IF($A1408="","",IF($H1408="-","-",IF(AND(IF(원본명단!$H1407="",TRUE(),COUNTIF(원본명단!$H$3:$H1407,원본명단!$H1407)=1),IF(원본명단!$I1407="",TRUE(),COUNTIF(원본명단!$I$3:$I1407,원본명단!$I1407)=1),IF(원본명단!$K1407="",TRUE(),COUNTIF(원본명단!$K$3:$K1407,원본명단!$K1407)=1)),"첫 건","중복 건")))</f>
        <v/>
      </c>
      <c r="J1408" s="11" t="str">
        <f aca="false">IF($A1408="","",IF($H1408="-","유지",IF($I1408="첫 건","유지","확인 필요")))</f>
        <v/>
      </c>
    </row>
    <row r="1409" customFormat="false" ht="15" hidden="false" customHeight="true" outlineLevel="0" collapsed="false">
      <c r="A1409" s="11" t="str">
        <f aca="false">IF(원본명단!$A1408="","",1406)</f>
        <v/>
      </c>
      <c r="B1409" s="12" t="str">
        <f aca="false">IF($A1409="","",원본명단!$A1408)</f>
        <v/>
      </c>
      <c r="C1409" s="12" t="str">
        <f aca="false">IF($A1409="","",원본명단!$B1408)</f>
        <v/>
      </c>
      <c r="D1409" s="12" t="str">
        <f aca="false">IF($A1409="","",원본명단!$D1408)</f>
        <v/>
      </c>
      <c r="E1409" s="11" t="str">
        <f aca="false">IF($A1409="","",IF(원본명단!$H1408="",0,COUNTIF(원본명단!$H$3:$H$6002,원본명단!$H1408)))</f>
        <v/>
      </c>
      <c r="F1409" s="11" t="str">
        <f aca="false">IF($A1409="","",IF(원본명단!$I1408="",0,COUNTIF(원본명단!$I$3:$I$6002,원본명단!$I1408)))</f>
        <v/>
      </c>
      <c r="G1409" s="11" t="str">
        <f aca="false">IF($A1409="","",IF(원본명단!$K1408="",0,COUNTIF(원본명단!$K$3:$K$6002,원본명단!$K1408)))</f>
        <v/>
      </c>
      <c r="H1409" s="11" t="str">
        <f aca="false">IF($A1409="","",IF(MAX($E1409,$F1409,$G1409)&gt;1,"중복","-"))</f>
        <v/>
      </c>
      <c r="I1409" s="11" t="str">
        <f aca="false">IF($A1409="","",IF($H1409="-","-",IF(AND(IF(원본명단!$H1408="",TRUE(),COUNTIF(원본명단!$H$3:$H1408,원본명단!$H1408)=1),IF(원본명단!$I1408="",TRUE(),COUNTIF(원본명단!$I$3:$I1408,원본명단!$I1408)=1),IF(원본명단!$K1408="",TRUE(),COUNTIF(원본명단!$K$3:$K1408,원본명단!$K1408)=1)),"첫 건","중복 건")))</f>
        <v/>
      </c>
      <c r="J1409" s="11" t="str">
        <f aca="false">IF($A1409="","",IF($H1409="-","유지",IF($I1409="첫 건","유지","확인 필요")))</f>
        <v/>
      </c>
    </row>
    <row r="1410" customFormat="false" ht="15" hidden="false" customHeight="true" outlineLevel="0" collapsed="false">
      <c r="A1410" s="11" t="str">
        <f aca="false">IF(원본명단!$A1409="","",1407)</f>
        <v/>
      </c>
      <c r="B1410" s="12" t="str">
        <f aca="false">IF($A1410="","",원본명단!$A1409)</f>
        <v/>
      </c>
      <c r="C1410" s="12" t="str">
        <f aca="false">IF($A1410="","",원본명단!$B1409)</f>
        <v/>
      </c>
      <c r="D1410" s="12" t="str">
        <f aca="false">IF($A1410="","",원본명단!$D1409)</f>
        <v/>
      </c>
      <c r="E1410" s="11" t="str">
        <f aca="false">IF($A1410="","",IF(원본명단!$H1409="",0,COUNTIF(원본명단!$H$3:$H$6002,원본명단!$H1409)))</f>
        <v/>
      </c>
      <c r="F1410" s="11" t="str">
        <f aca="false">IF($A1410="","",IF(원본명단!$I1409="",0,COUNTIF(원본명단!$I$3:$I$6002,원본명단!$I1409)))</f>
        <v/>
      </c>
      <c r="G1410" s="11" t="str">
        <f aca="false">IF($A1410="","",IF(원본명단!$K1409="",0,COUNTIF(원본명단!$K$3:$K$6002,원본명단!$K1409)))</f>
        <v/>
      </c>
      <c r="H1410" s="11" t="str">
        <f aca="false">IF($A1410="","",IF(MAX($E1410,$F1410,$G1410)&gt;1,"중복","-"))</f>
        <v/>
      </c>
      <c r="I1410" s="11" t="str">
        <f aca="false">IF($A1410="","",IF($H1410="-","-",IF(AND(IF(원본명단!$H1409="",TRUE(),COUNTIF(원본명단!$H$3:$H1409,원본명단!$H1409)=1),IF(원본명단!$I1409="",TRUE(),COUNTIF(원본명단!$I$3:$I1409,원본명단!$I1409)=1),IF(원본명단!$K1409="",TRUE(),COUNTIF(원본명단!$K$3:$K1409,원본명단!$K1409)=1)),"첫 건","중복 건")))</f>
        <v/>
      </c>
      <c r="J1410" s="11" t="str">
        <f aca="false">IF($A1410="","",IF($H1410="-","유지",IF($I1410="첫 건","유지","확인 필요")))</f>
        <v/>
      </c>
    </row>
    <row r="1411" customFormat="false" ht="15" hidden="false" customHeight="true" outlineLevel="0" collapsed="false">
      <c r="A1411" s="11" t="str">
        <f aca="false">IF(원본명단!$A1410="","",1408)</f>
        <v/>
      </c>
      <c r="B1411" s="12" t="str">
        <f aca="false">IF($A1411="","",원본명단!$A1410)</f>
        <v/>
      </c>
      <c r="C1411" s="12" t="str">
        <f aca="false">IF($A1411="","",원본명단!$B1410)</f>
        <v/>
      </c>
      <c r="D1411" s="12" t="str">
        <f aca="false">IF($A1411="","",원본명단!$D1410)</f>
        <v/>
      </c>
      <c r="E1411" s="11" t="str">
        <f aca="false">IF($A1411="","",IF(원본명단!$H1410="",0,COUNTIF(원본명단!$H$3:$H$6002,원본명단!$H1410)))</f>
        <v/>
      </c>
      <c r="F1411" s="11" t="str">
        <f aca="false">IF($A1411="","",IF(원본명단!$I1410="",0,COUNTIF(원본명단!$I$3:$I$6002,원본명단!$I1410)))</f>
        <v/>
      </c>
      <c r="G1411" s="11" t="str">
        <f aca="false">IF($A1411="","",IF(원본명단!$K1410="",0,COUNTIF(원본명단!$K$3:$K$6002,원본명단!$K1410)))</f>
        <v/>
      </c>
      <c r="H1411" s="11" t="str">
        <f aca="false">IF($A1411="","",IF(MAX($E1411,$F1411,$G1411)&gt;1,"중복","-"))</f>
        <v/>
      </c>
      <c r="I1411" s="11" t="str">
        <f aca="false">IF($A1411="","",IF($H1411="-","-",IF(AND(IF(원본명단!$H1410="",TRUE(),COUNTIF(원본명단!$H$3:$H1410,원본명단!$H1410)=1),IF(원본명단!$I1410="",TRUE(),COUNTIF(원본명단!$I$3:$I1410,원본명단!$I1410)=1),IF(원본명단!$K1410="",TRUE(),COUNTIF(원본명단!$K$3:$K1410,원본명단!$K1410)=1)),"첫 건","중복 건")))</f>
        <v/>
      </c>
      <c r="J1411" s="11" t="str">
        <f aca="false">IF($A1411="","",IF($H1411="-","유지",IF($I1411="첫 건","유지","확인 필요")))</f>
        <v/>
      </c>
    </row>
    <row r="1412" customFormat="false" ht="15" hidden="false" customHeight="true" outlineLevel="0" collapsed="false">
      <c r="A1412" s="11" t="str">
        <f aca="false">IF(원본명단!$A1411="","",1409)</f>
        <v/>
      </c>
      <c r="B1412" s="12" t="str">
        <f aca="false">IF($A1412="","",원본명단!$A1411)</f>
        <v/>
      </c>
      <c r="C1412" s="12" t="str">
        <f aca="false">IF($A1412="","",원본명단!$B1411)</f>
        <v/>
      </c>
      <c r="D1412" s="12" t="str">
        <f aca="false">IF($A1412="","",원본명단!$D1411)</f>
        <v/>
      </c>
      <c r="E1412" s="11" t="str">
        <f aca="false">IF($A1412="","",IF(원본명단!$H1411="",0,COUNTIF(원본명단!$H$3:$H$6002,원본명단!$H1411)))</f>
        <v/>
      </c>
      <c r="F1412" s="11" t="str">
        <f aca="false">IF($A1412="","",IF(원본명단!$I1411="",0,COUNTIF(원본명단!$I$3:$I$6002,원본명단!$I1411)))</f>
        <v/>
      </c>
      <c r="G1412" s="11" t="str">
        <f aca="false">IF($A1412="","",IF(원본명단!$K1411="",0,COUNTIF(원본명단!$K$3:$K$6002,원본명단!$K1411)))</f>
        <v/>
      </c>
      <c r="H1412" s="11" t="str">
        <f aca="false">IF($A1412="","",IF(MAX($E1412,$F1412,$G1412)&gt;1,"중복","-"))</f>
        <v/>
      </c>
      <c r="I1412" s="11" t="str">
        <f aca="false">IF($A1412="","",IF($H1412="-","-",IF(AND(IF(원본명단!$H1411="",TRUE(),COUNTIF(원본명단!$H$3:$H1411,원본명단!$H1411)=1),IF(원본명단!$I1411="",TRUE(),COUNTIF(원본명단!$I$3:$I1411,원본명단!$I1411)=1),IF(원본명단!$K1411="",TRUE(),COUNTIF(원본명단!$K$3:$K1411,원본명단!$K1411)=1)),"첫 건","중복 건")))</f>
        <v/>
      </c>
      <c r="J1412" s="11" t="str">
        <f aca="false">IF($A1412="","",IF($H1412="-","유지",IF($I1412="첫 건","유지","확인 필요")))</f>
        <v/>
      </c>
    </row>
    <row r="1413" customFormat="false" ht="15" hidden="false" customHeight="true" outlineLevel="0" collapsed="false">
      <c r="A1413" s="11" t="str">
        <f aca="false">IF(원본명단!$A1412="","",1410)</f>
        <v/>
      </c>
      <c r="B1413" s="12" t="str">
        <f aca="false">IF($A1413="","",원본명단!$A1412)</f>
        <v/>
      </c>
      <c r="C1413" s="12" t="str">
        <f aca="false">IF($A1413="","",원본명단!$B1412)</f>
        <v/>
      </c>
      <c r="D1413" s="12" t="str">
        <f aca="false">IF($A1413="","",원본명단!$D1412)</f>
        <v/>
      </c>
      <c r="E1413" s="11" t="str">
        <f aca="false">IF($A1413="","",IF(원본명단!$H1412="",0,COUNTIF(원본명단!$H$3:$H$6002,원본명단!$H1412)))</f>
        <v/>
      </c>
      <c r="F1413" s="11" t="str">
        <f aca="false">IF($A1413="","",IF(원본명단!$I1412="",0,COUNTIF(원본명단!$I$3:$I$6002,원본명단!$I1412)))</f>
        <v/>
      </c>
      <c r="G1413" s="11" t="str">
        <f aca="false">IF($A1413="","",IF(원본명단!$K1412="",0,COUNTIF(원본명단!$K$3:$K$6002,원본명단!$K1412)))</f>
        <v/>
      </c>
      <c r="H1413" s="11" t="str">
        <f aca="false">IF($A1413="","",IF(MAX($E1413,$F1413,$G1413)&gt;1,"중복","-"))</f>
        <v/>
      </c>
      <c r="I1413" s="11" t="str">
        <f aca="false">IF($A1413="","",IF($H1413="-","-",IF(AND(IF(원본명단!$H1412="",TRUE(),COUNTIF(원본명단!$H$3:$H1412,원본명단!$H1412)=1),IF(원본명단!$I1412="",TRUE(),COUNTIF(원본명단!$I$3:$I1412,원본명단!$I1412)=1),IF(원본명단!$K1412="",TRUE(),COUNTIF(원본명단!$K$3:$K1412,원본명단!$K1412)=1)),"첫 건","중복 건")))</f>
        <v/>
      </c>
      <c r="J1413" s="11" t="str">
        <f aca="false">IF($A1413="","",IF($H1413="-","유지",IF($I1413="첫 건","유지","확인 필요")))</f>
        <v/>
      </c>
    </row>
    <row r="1414" customFormat="false" ht="15" hidden="false" customHeight="true" outlineLevel="0" collapsed="false">
      <c r="A1414" s="11" t="str">
        <f aca="false">IF(원본명단!$A1413="","",1411)</f>
        <v/>
      </c>
      <c r="B1414" s="12" t="str">
        <f aca="false">IF($A1414="","",원본명단!$A1413)</f>
        <v/>
      </c>
      <c r="C1414" s="12" t="str">
        <f aca="false">IF($A1414="","",원본명단!$B1413)</f>
        <v/>
      </c>
      <c r="D1414" s="12" t="str">
        <f aca="false">IF($A1414="","",원본명단!$D1413)</f>
        <v/>
      </c>
      <c r="E1414" s="11" t="str">
        <f aca="false">IF($A1414="","",IF(원본명단!$H1413="",0,COUNTIF(원본명단!$H$3:$H$6002,원본명단!$H1413)))</f>
        <v/>
      </c>
      <c r="F1414" s="11" t="str">
        <f aca="false">IF($A1414="","",IF(원본명단!$I1413="",0,COUNTIF(원본명단!$I$3:$I$6002,원본명단!$I1413)))</f>
        <v/>
      </c>
      <c r="G1414" s="11" t="str">
        <f aca="false">IF($A1414="","",IF(원본명단!$K1413="",0,COUNTIF(원본명단!$K$3:$K$6002,원본명단!$K1413)))</f>
        <v/>
      </c>
      <c r="H1414" s="11" t="str">
        <f aca="false">IF($A1414="","",IF(MAX($E1414,$F1414,$G1414)&gt;1,"중복","-"))</f>
        <v/>
      </c>
      <c r="I1414" s="11" t="str">
        <f aca="false">IF($A1414="","",IF($H1414="-","-",IF(AND(IF(원본명단!$H1413="",TRUE(),COUNTIF(원본명단!$H$3:$H1413,원본명단!$H1413)=1),IF(원본명단!$I1413="",TRUE(),COUNTIF(원본명단!$I$3:$I1413,원본명단!$I1413)=1),IF(원본명단!$K1413="",TRUE(),COUNTIF(원본명단!$K$3:$K1413,원본명단!$K1413)=1)),"첫 건","중복 건")))</f>
        <v/>
      </c>
      <c r="J1414" s="11" t="str">
        <f aca="false">IF($A1414="","",IF($H1414="-","유지",IF($I1414="첫 건","유지","확인 필요")))</f>
        <v/>
      </c>
    </row>
    <row r="1415" customFormat="false" ht="15" hidden="false" customHeight="true" outlineLevel="0" collapsed="false">
      <c r="A1415" s="11" t="str">
        <f aca="false">IF(원본명단!$A1414="","",1412)</f>
        <v/>
      </c>
      <c r="B1415" s="12" t="str">
        <f aca="false">IF($A1415="","",원본명단!$A1414)</f>
        <v/>
      </c>
      <c r="C1415" s="12" t="str">
        <f aca="false">IF($A1415="","",원본명단!$B1414)</f>
        <v/>
      </c>
      <c r="D1415" s="12" t="str">
        <f aca="false">IF($A1415="","",원본명단!$D1414)</f>
        <v/>
      </c>
      <c r="E1415" s="11" t="str">
        <f aca="false">IF($A1415="","",IF(원본명단!$H1414="",0,COUNTIF(원본명단!$H$3:$H$6002,원본명단!$H1414)))</f>
        <v/>
      </c>
      <c r="F1415" s="11" t="str">
        <f aca="false">IF($A1415="","",IF(원본명단!$I1414="",0,COUNTIF(원본명단!$I$3:$I$6002,원본명단!$I1414)))</f>
        <v/>
      </c>
      <c r="G1415" s="11" t="str">
        <f aca="false">IF($A1415="","",IF(원본명단!$K1414="",0,COUNTIF(원본명단!$K$3:$K$6002,원본명단!$K1414)))</f>
        <v/>
      </c>
      <c r="H1415" s="11" t="str">
        <f aca="false">IF($A1415="","",IF(MAX($E1415,$F1415,$G1415)&gt;1,"중복","-"))</f>
        <v/>
      </c>
      <c r="I1415" s="11" t="str">
        <f aca="false">IF($A1415="","",IF($H1415="-","-",IF(AND(IF(원본명단!$H1414="",TRUE(),COUNTIF(원본명단!$H$3:$H1414,원본명단!$H1414)=1),IF(원본명단!$I1414="",TRUE(),COUNTIF(원본명단!$I$3:$I1414,원본명단!$I1414)=1),IF(원본명단!$K1414="",TRUE(),COUNTIF(원본명단!$K$3:$K1414,원본명단!$K1414)=1)),"첫 건","중복 건")))</f>
        <v/>
      </c>
      <c r="J1415" s="11" t="str">
        <f aca="false">IF($A1415="","",IF($H1415="-","유지",IF($I1415="첫 건","유지","확인 필요")))</f>
        <v/>
      </c>
    </row>
    <row r="1416" customFormat="false" ht="15" hidden="false" customHeight="true" outlineLevel="0" collapsed="false">
      <c r="A1416" s="11" t="str">
        <f aca="false">IF(원본명단!$A1415="","",1413)</f>
        <v/>
      </c>
      <c r="B1416" s="12" t="str">
        <f aca="false">IF($A1416="","",원본명단!$A1415)</f>
        <v/>
      </c>
      <c r="C1416" s="12" t="str">
        <f aca="false">IF($A1416="","",원본명단!$B1415)</f>
        <v/>
      </c>
      <c r="D1416" s="12" t="str">
        <f aca="false">IF($A1416="","",원본명단!$D1415)</f>
        <v/>
      </c>
      <c r="E1416" s="11" t="str">
        <f aca="false">IF($A1416="","",IF(원본명단!$H1415="",0,COUNTIF(원본명단!$H$3:$H$6002,원본명단!$H1415)))</f>
        <v/>
      </c>
      <c r="F1416" s="11" t="str">
        <f aca="false">IF($A1416="","",IF(원본명단!$I1415="",0,COUNTIF(원본명단!$I$3:$I$6002,원본명단!$I1415)))</f>
        <v/>
      </c>
      <c r="G1416" s="11" t="str">
        <f aca="false">IF($A1416="","",IF(원본명단!$K1415="",0,COUNTIF(원본명단!$K$3:$K$6002,원본명단!$K1415)))</f>
        <v/>
      </c>
      <c r="H1416" s="11" t="str">
        <f aca="false">IF($A1416="","",IF(MAX($E1416,$F1416,$G1416)&gt;1,"중복","-"))</f>
        <v/>
      </c>
      <c r="I1416" s="11" t="str">
        <f aca="false">IF($A1416="","",IF($H1416="-","-",IF(AND(IF(원본명단!$H1415="",TRUE(),COUNTIF(원본명단!$H$3:$H1415,원본명단!$H1415)=1),IF(원본명단!$I1415="",TRUE(),COUNTIF(원본명단!$I$3:$I1415,원본명단!$I1415)=1),IF(원본명단!$K1415="",TRUE(),COUNTIF(원본명단!$K$3:$K1415,원본명단!$K1415)=1)),"첫 건","중복 건")))</f>
        <v/>
      </c>
      <c r="J1416" s="11" t="str">
        <f aca="false">IF($A1416="","",IF($H1416="-","유지",IF($I1416="첫 건","유지","확인 필요")))</f>
        <v/>
      </c>
    </row>
    <row r="1417" customFormat="false" ht="15" hidden="false" customHeight="true" outlineLevel="0" collapsed="false">
      <c r="A1417" s="11" t="str">
        <f aca="false">IF(원본명단!$A1416="","",1414)</f>
        <v/>
      </c>
      <c r="B1417" s="12" t="str">
        <f aca="false">IF($A1417="","",원본명단!$A1416)</f>
        <v/>
      </c>
      <c r="C1417" s="12" t="str">
        <f aca="false">IF($A1417="","",원본명단!$B1416)</f>
        <v/>
      </c>
      <c r="D1417" s="12" t="str">
        <f aca="false">IF($A1417="","",원본명단!$D1416)</f>
        <v/>
      </c>
      <c r="E1417" s="11" t="str">
        <f aca="false">IF($A1417="","",IF(원본명단!$H1416="",0,COUNTIF(원본명단!$H$3:$H$6002,원본명단!$H1416)))</f>
        <v/>
      </c>
      <c r="F1417" s="11" t="str">
        <f aca="false">IF($A1417="","",IF(원본명단!$I1416="",0,COUNTIF(원본명단!$I$3:$I$6002,원본명단!$I1416)))</f>
        <v/>
      </c>
      <c r="G1417" s="11" t="str">
        <f aca="false">IF($A1417="","",IF(원본명단!$K1416="",0,COUNTIF(원본명단!$K$3:$K$6002,원본명단!$K1416)))</f>
        <v/>
      </c>
      <c r="H1417" s="11" t="str">
        <f aca="false">IF($A1417="","",IF(MAX($E1417,$F1417,$G1417)&gt;1,"중복","-"))</f>
        <v/>
      </c>
      <c r="I1417" s="11" t="str">
        <f aca="false">IF($A1417="","",IF($H1417="-","-",IF(AND(IF(원본명단!$H1416="",TRUE(),COUNTIF(원본명단!$H$3:$H1416,원본명단!$H1416)=1),IF(원본명단!$I1416="",TRUE(),COUNTIF(원본명단!$I$3:$I1416,원본명단!$I1416)=1),IF(원본명단!$K1416="",TRUE(),COUNTIF(원본명단!$K$3:$K1416,원본명단!$K1416)=1)),"첫 건","중복 건")))</f>
        <v/>
      </c>
      <c r="J1417" s="11" t="str">
        <f aca="false">IF($A1417="","",IF($H1417="-","유지",IF($I1417="첫 건","유지","확인 필요")))</f>
        <v/>
      </c>
    </row>
    <row r="1418" customFormat="false" ht="15" hidden="false" customHeight="true" outlineLevel="0" collapsed="false">
      <c r="A1418" s="11" t="str">
        <f aca="false">IF(원본명단!$A1417="","",1415)</f>
        <v/>
      </c>
      <c r="B1418" s="12" t="str">
        <f aca="false">IF($A1418="","",원본명단!$A1417)</f>
        <v/>
      </c>
      <c r="C1418" s="12" t="str">
        <f aca="false">IF($A1418="","",원본명단!$B1417)</f>
        <v/>
      </c>
      <c r="D1418" s="12" t="str">
        <f aca="false">IF($A1418="","",원본명단!$D1417)</f>
        <v/>
      </c>
      <c r="E1418" s="11" t="str">
        <f aca="false">IF($A1418="","",IF(원본명단!$H1417="",0,COUNTIF(원본명단!$H$3:$H$6002,원본명단!$H1417)))</f>
        <v/>
      </c>
      <c r="F1418" s="11" t="str">
        <f aca="false">IF($A1418="","",IF(원본명단!$I1417="",0,COUNTIF(원본명단!$I$3:$I$6002,원본명단!$I1417)))</f>
        <v/>
      </c>
      <c r="G1418" s="11" t="str">
        <f aca="false">IF($A1418="","",IF(원본명단!$K1417="",0,COUNTIF(원본명단!$K$3:$K$6002,원본명단!$K1417)))</f>
        <v/>
      </c>
      <c r="H1418" s="11" t="str">
        <f aca="false">IF($A1418="","",IF(MAX($E1418,$F1418,$G1418)&gt;1,"중복","-"))</f>
        <v/>
      </c>
      <c r="I1418" s="11" t="str">
        <f aca="false">IF($A1418="","",IF($H1418="-","-",IF(AND(IF(원본명단!$H1417="",TRUE(),COUNTIF(원본명단!$H$3:$H1417,원본명단!$H1417)=1),IF(원본명단!$I1417="",TRUE(),COUNTIF(원본명단!$I$3:$I1417,원본명단!$I1417)=1),IF(원본명단!$K1417="",TRUE(),COUNTIF(원본명단!$K$3:$K1417,원본명단!$K1417)=1)),"첫 건","중복 건")))</f>
        <v/>
      </c>
      <c r="J1418" s="11" t="str">
        <f aca="false">IF($A1418="","",IF($H1418="-","유지",IF($I1418="첫 건","유지","확인 필요")))</f>
        <v/>
      </c>
    </row>
    <row r="1419" customFormat="false" ht="15" hidden="false" customHeight="true" outlineLevel="0" collapsed="false">
      <c r="A1419" s="11" t="str">
        <f aca="false">IF(원본명단!$A1418="","",1416)</f>
        <v/>
      </c>
      <c r="B1419" s="12" t="str">
        <f aca="false">IF($A1419="","",원본명단!$A1418)</f>
        <v/>
      </c>
      <c r="C1419" s="12" t="str">
        <f aca="false">IF($A1419="","",원본명단!$B1418)</f>
        <v/>
      </c>
      <c r="D1419" s="12" t="str">
        <f aca="false">IF($A1419="","",원본명단!$D1418)</f>
        <v/>
      </c>
      <c r="E1419" s="11" t="str">
        <f aca="false">IF($A1419="","",IF(원본명단!$H1418="",0,COUNTIF(원본명단!$H$3:$H$6002,원본명단!$H1418)))</f>
        <v/>
      </c>
      <c r="F1419" s="11" t="str">
        <f aca="false">IF($A1419="","",IF(원본명단!$I1418="",0,COUNTIF(원본명단!$I$3:$I$6002,원본명단!$I1418)))</f>
        <v/>
      </c>
      <c r="G1419" s="11" t="str">
        <f aca="false">IF($A1419="","",IF(원본명단!$K1418="",0,COUNTIF(원본명단!$K$3:$K$6002,원본명단!$K1418)))</f>
        <v/>
      </c>
      <c r="H1419" s="11" t="str">
        <f aca="false">IF($A1419="","",IF(MAX($E1419,$F1419,$G1419)&gt;1,"중복","-"))</f>
        <v/>
      </c>
      <c r="I1419" s="11" t="str">
        <f aca="false">IF($A1419="","",IF($H1419="-","-",IF(AND(IF(원본명단!$H1418="",TRUE(),COUNTIF(원본명단!$H$3:$H1418,원본명단!$H1418)=1),IF(원본명단!$I1418="",TRUE(),COUNTIF(원본명단!$I$3:$I1418,원본명단!$I1418)=1),IF(원본명단!$K1418="",TRUE(),COUNTIF(원본명단!$K$3:$K1418,원본명단!$K1418)=1)),"첫 건","중복 건")))</f>
        <v/>
      </c>
      <c r="J1419" s="11" t="str">
        <f aca="false">IF($A1419="","",IF($H1419="-","유지",IF($I1419="첫 건","유지","확인 필요")))</f>
        <v/>
      </c>
    </row>
    <row r="1420" customFormat="false" ht="15" hidden="false" customHeight="true" outlineLevel="0" collapsed="false">
      <c r="A1420" s="11" t="str">
        <f aca="false">IF(원본명단!$A1419="","",1417)</f>
        <v/>
      </c>
      <c r="B1420" s="12" t="str">
        <f aca="false">IF($A1420="","",원본명단!$A1419)</f>
        <v/>
      </c>
      <c r="C1420" s="12" t="str">
        <f aca="false">IF($A1420="","",원본명단!$B1419)</f>
        <v/>
      </c>
      <c r="D1420" s="12" t="str">
        <f aca="false">IF($A1420="","",원본명단!$D1419)</f>
        <v/>
      </c>
      <c r="E1420" s="11" t="str">
        <f aca="false">IF($A1420="","",IF(원본명단!$H1419="",0,COUNTIF(원본명단!$H$3:$H$6002,원본명단!$H1419)))</f>
        <v/>
      </c>
      <c r="F1420" s="11" t="str">
        <f aca="false">IF($A1420="","",IF(원본명단!$I1419="",0,COUNTIF(원본명단!$I$3:$I$6002,원본명단!$I1419)))</f>
        <v/>
      </c>
      <c r="G1420" s="11" t="str">
        <f aca="false">IF($A1420="","",IF(원본명단!$K1419="",0,COUNTIF(원본명단!$K$3:$K$6002,원본명단!$K1419)))</f>
        <v/>
      </c>
      <c r="H1420" s="11" t="str">
        <f aca="false">IF($A1420="","",IF(MAX($E1420,$F1420,$G1420)&gt;1,"중복","-"))</f>
        <v/>
      </c>
      <c r="I1420" s="11" t="str">
        <f aca="false">IF($A1420="","",IF($H1420="-","-",IF(AND(IF(원본명단!$H1419="",TRUE(),COUNTIF(원본명단!$H$3:$H1419,원본명단!$H1419)=1),IF(원본명단!$I1419="",TRUE(),COUNTIF(원본명단!$I$3:$I1419,원본명단!$I1419)=1),IF(원본명단!$K1419="",TRUE(),COUNTIF(원본명단!$K$3:$K1419,원본명단!$K1419)=1)),"첫 건","중복 건")))</f>
        <v/>
      </c>
      <c r="J1420" s="11" t="str">
        <f aca="false">IF($A1420="","",IF($H1420="-","유지",IF($I1420="첫 건","유지","확인 필요")))</f>
        <v/>
      </c>
    </row>
    <row r="1421" customFormat="false" ht="15" hidden="false" customHeight="true" outlineLevel="0" collapsed="false">
      <c r="A1421" s="11" t="str">
        <f aca="false">IF(원본명단!$A1420="","",1418)</f>
        <v/>
      </c>
      <c r="B1421" s="12" t="str">
        <f aca="false">IF($A1421="","",원본명단!$A1420)</f>
        <v/>
      </c>
      <c r="C1421" s="12" t="str">
        <f aca="false">IF($A1421="","",원본명단!$B1420)</f>
        <v/>
      </c>
      <c r="D1421" s="12" t="str">
        <f aca="false">IF($A1421="","",원본명단!$D1420)</f>
        <v/>
      </c>
      <c r="E1421" s="11" t="str">
        <f aca="false">IF($A1421="","",IF(원본명단!$H1420="",0,COUNTIF(원본명단!$H$3:$H$6002,원본명단!$H1420)))</f>
        <v/>
      </c>
      <c r="F1421" s="11" t="str">
        <f aca="false">IF($A1421="","",IF(원본명단!$I1420="",0,COUNTIF(원본명단!$I$3:$I$6002,원본명단!$I1420)))</f>
        <v/>
      </c>
      <c r="G1421" s="11" t="str">
        <f aca="false">IF($A1421="","",IF(원본명단!$K1420="",0,COUNTIF(원본명단!$K$3:$K$6002,원본명단!$K1420)))</f>
        <v/>
      </c>
      <c r="H1421" s="11" t="str">
        <f aca="false">IF($A1421="","",IF(MAX($E1421,$F1421,$G1421)&gt;1,"중복","-"))</f>
        <v/>
      </c>
      <c r="I1421" s="11" t="str">
        <f aca="false">IF($A1421="","",IF($H1421="-","-",IF(AND(IF(원본명단!$H1420="",TRUE(),COUNTIF(원본명단!$H$3:$H1420,원본명단!$H1420)=1),IF(원본명단!$I1420="",TRUE(),COUNTIF(원본명단!$I$3:$I1420,원본명단!$I1420)=1),IF(원본명단!$K1420="",TRUE(),COUNTIF(원본명단!$K$3:$K1420,원본명단!$K1420)=1)),"첫 건","중복 건")))</f>
        <v/>
      </c>
      <c r="J1421" s="11" t="str">
        <f aca="false">IF($A1421="","",IF($H1421="-","유지",IF($I1421="첫 건","유지","확인 필요")))</f>
        <v/>
      </c>
    </row>
    <row r="1422" customFormat="false" ht="15" hidden="false" customHeight="true" outlineLevel="0" collapsed="false">
      <c r="A1422" s="11" t="str">
        <f aca="false">IF(원본명단!$A1421="","",1419)</f>
        <v/>
      </c>
      <c r="B1422" s="12" t="str">
        <f aca="false">IF($A1422="","",원본명단!$A1421)</f>
        <v/>
      </c>
      <c r="C1422" s="12" t="str">
        <f aca="false">IF($A1422="","",원본명단!$B1421)</f>
        <v/>
      </c>
      <c r="D1422" s="12" t="str">
        <f aca="false">IF($A1422="","",원본명단!$D1421)</f>
        <v/>
      </c>
      <c r="E1422" s="11" t="str">
        <f aca="false">IF($A1422="","",IF(원본명단!$H1421="",0,COUNTIF(원본명단!$H$3:$H$6002,원본명단!$H1421)))</f>
        <v/>
      </c>
      <c r="F1422" s="11" t="str">
        <f aca="false">IF($A1422="","",IF(원본명단!$I1421="",0,COUNTIF(원본명단!$I$3:$I$6002,원본명단!$I1421)))</f>
        <v/>
      </c>
      <c r="G1422" s="11" t="str">
        <f aca="false">IF($A1422="","",IF(원본명단!$K1421="",0,COUNTIF(원본명단!$K$3:$K$6002,원본명단!$K1421)))</f>
        <v/>
      </c>
      <c r="H1422" s="11" t="str">
        <f aca="false">IF($A1422="","",IF(MAX($E1422,$F1422,$G1422)&gt;1,"중복","-"))</f>
        <v/>
      </c>
      <c r="I1422" s="11" t="str">
        <f aca="false">IF($A1422="","",IF($H1422="-","-",IF(AND(IF(원본명단!$H1421="",TRUE(),COUNTIF(원본명단!$H$3:$H1421,원본명단!$H1421)=1),IF(원본명단!$I1421="",TRUE(),COUNTIF(원본명단!$I$3:$I1421,원본명단!$I1421)=1),IF(원본명단!$K1421="",TRUE(),COUNTIF(원본명단!$K$3:$K1421,원본명단!$K1421)=1)),"첫 건","중복 건")))</f>
        <v/>
      </c>
      <c r="J1422" s="11" t="str">
        <f aca="false">IF($A1422="","",IF($H1422="-","유지",IF($I1422="첫 건","유지","확인 필요")))</f>
        <v/>
      </c>
    </row>
    <row r="1423" customFormat="false" ht="15" hidden="false" customHeight="true" outlineLevel="0" collapsed="false">
      <c r="A1423" s="11" t="str">
        <f aca="false">IF(원본명단!$A1422="","",1420)</f>
        <v/>
      </c>
      <c r="B1423" s="12" t="str">
        <f aca="false">IF($A1423="","",원본명단!$A1422)</f>
        <v/>
      </c>
      <c r="C1423" s="12" t="str">
        <f aca="false">IF($A1423="","",원본명단!$B1422)</f>
        <v/>
      </c>
      <c r="D1423" s="12" t="str">
        <f aca="false">IF($A1423="","",원본명단!$D1422)</f>
        <v/>
      </c>
      <c r="E1423" s="11" t="str">
        <f aca="false">IF($A1423="","",IF(원본명단!$H1422="",0,COUNTIF(원본명단!$H$3:$H$6002,원본명단!$H1422)))</f>
        <v/>
      </c>
      <c r="F1423" s="11" t="str">
        <f aca="false">IF($A1423="","",IF(원본명단!$I1422="",0,COUNTIF(원본명단!$I$3:$I$6002,원본명단!$I1422)))</f>
        <v/>
      </c>
      <c r="G1423" s="11" t="str">
        <f aca="false">IF($A1423="","",IF(원본명단!$K1422="",0,COUNTIF(원본명단!$K$3:$K$6002,원본명단!$K1422)))</f>
        <v/>
      </c>
      <c r="H1423" s="11" t="str">
        <f aca="false">IF($A1423="","",IF(MAX($E1423,$F1423,$G1423)&gt;1,"중복","-"))</f>
        <v/>
      </c>
      <c r="I1423" s="11" t="str">
        <f aca="false">IF($A1423="","",IF($H1423="-","-",IF(AND(IF(원본명단!$H1422="",TRUE(),COUNTIF(원본명단!$H$3:$H1422,원본명단!$H1422)=1),IF(원본명단!$I1422="",TRUE(),COUNTIF(원본명단!$I$3:$I1422,원본명단!$I1422)=1),IF(원본명단!$K1422="",TRUE(),COUNTIF(원본명단!$K$3:$K1422,원본명단!$K1422)=1)),"첫 건","중복 건")))</f>
        <v/>
      </c>
      <c r="J1423" s="11" t="str">
        <f aca="false">IF($A1423="","",IF($H1423="-","유지",IF($I1423="첫 건","유지","확인 필요")))</f>
        <v/>
      </c>
    </row>
    <row r="1424" customFormat="false" ht="15" hidden="false" customHeight="true" outlineLevel="0" collapsed="false">
      <c r="A1424" s="11" t="str">
        <f aca="false">IF(원본명단!$A1423="","",1421)</f>
        <v/>
      </c>
      <c r="B1424" s="12" t="str">
        <f aca="false">IF($A1424="","",원본명단!$A1423)</f>
        <v/>
      </c>
      <c r="C1424" s="12" t="str">
        <f aca="false">IF($A1424="","",원본명단!$B1423)</f>
        <v/>
      </c>
      <c r="D1424" s="12" t="str">
        <f aca="false">IF($A1424="","",원본명단!$D1423)</f>
        <v/>
      </c>
      <c r="E1424" s="11" t="str">
        <f aca="false">IF($A1424="","",IF(원본명단!$H1423="",0,COUNTIF(원본명단!$H$3:$H$6002,원본명단!$H1423)))</f>
        <v/>
      </c>
      <c r="F1424" s="11" t="str">
        <f aca="false">IF($A1424="","",IF(원본명단!$I1423="",0,COUNTIF(원본명단!$I$3:$I$6002,원본명단!$I1423)))</f>
        <v/>
      </c>
      <c r="G1424" s="11" t="str">
        <f aca="false">IF($A1424="","",IF(원본명단!$K1423="",0,COUNTIF(원본명단!$K$3:$K$6002,원본명단!$K1423)))</f>
        <v/>
      </c>
      <c r="H1424" s="11" t="str">
        <f aca="false">IF($A1424="","",IF(MAX($E1424,$F1424,$G1424)&gt;1,"중복","-"))</f>
        <v/>
      </c>
      <c r="I1424" s="11" t="str">
        <f aca="false">IF($A1424="","",IF($H1424="-","-",IF(AND(IF(원본명단!$H1423="",TRUE(),COUNTIF(원본명단!$H$3:$H1423,원본명단!$H1423)=1),IF(원본명단!$I1423="",TRUE(),COUNTIF(원본명단!$I$3:$I1423,원본명단!$I1423)=1),IF(원본명단!$K1423="",TRUE(),COUNTIF(원본명단!$K$3:$K1423,원본명단!$K1423)=1)),"첫 건","중복 건")))</f>
        <v/>
      </c>
      <c r="J1424" s="11" t="str">
        <f aca="false">IF($A1424="","",IF($H1424="-","유지",IF($I1424="첫 건","유지","확인 필요")))</f>
        <v/>
      </c>
    </row>
    <row r="1425" customFormat="false" ht="15" hidden="false" customHeight="true" outlineLevel="0" collapsed="false">
      <c r="A1425" s="11" t="str">
        <f aca="false">IF(원본명단!$A1424="","",1422)</f>
        <v/>
      </c>
      <c r="B1425" s="12" t="str">
        <f aca="false">IF($A1425="","",원본명단!$A1424)</f>
        <v/>
      </c>
      <c r="C1425" s="12" t="str">
        <f aca="false">IF($A1425="","",원본명단!$B1424)</f>
        <v/>
      </c>
      <c r="D1425" s="12" t="str">
        <f aca="false">IF($A1425="","",원본명단!$D1424)</f>
        <v/>
      </c>
      <c r="E1425" s="11" t="str">
        <f aca="false">IF($A1425="","",IF(원본명단!$H1424="",0,COUNTIF(원본명단!$H$3:$H$6002,원본명단!$H1424)))</f>
        <v/>
      </c>
      <c r="F1425" s="11" t="str">
        <f aca="false">IF($A1425="","",IF(원본명단!$I1424="",0,COUNTIF(원본명단!$I$3:$I$6002,원본명단!$I1424)))</f>
        <v/>
      </c>
      <c r="G1425" s="11" t="str">
        <f aca="false">IF($A1425="","",IF(원본명단!$K1424="",0,COUNTIF(원본명단!$K$3:$K$6002,원본명단!$K1424)))</f>
        <v/>
      </c>
      <c r="H1425" s="11" t="str">
        <f aca="false">IF($A1425="","",IF(MAX($E1425,$F1425,$G1425)&gt;1,"중복","-"))</f>
        <v/>
      </c>
      <c r="I1425" s="11" t="str">
        <f aca="false">IF($A1425="","",IF($H1425="-","-",IF(AND(IF(원본명단!$H1424="",TRUE(),COUNTIF(원본명단!$H$3:$H1424,원본명단!$H1424)=1),IF(원본명단!$I1424="",TRUE(),COUNTIF(원본명단!$I$3:$I1424,원본명단!$I1424)=1),IF(원본명단!$K1424="",TRUE(),COUNTIF(원본명단!$K$3:$K1424,원본명단!$K1424)=1)),"첫 건","중복 건")))</f>
        <v/>
      </c>
      <c r="J1425" s="11" t="str">
        <f aca="false">IF($A1425="","",IF($H1425="-","유지",IF($I1425="첫 건","유지","확인 필요")))</f>
        <v/>
      </c>
    </row>
    <row r="1426" customFormat="false" ht="15" hidden="false" customHeight="true" outlineLevel="0" collapsed="false">
      <c r="A1426" s="11" t="str">
        <f aca="false">IF(원본명단!$A1425="","",1423)</f>
        <v/>
      </c>
      <c r="B1426" s="12" t="str">
        <f aca="false">IF($A1426="","",원본명단!$A1425)</f>
        <v/>
      </c>
      <c r="C1426" s="12" t="str">
        <f aca="false">IF($A1426="","",원본명단!$B1425)</f>
        <v/>
      </c>
      <c r="D1426" s="12" t="str">
        <f aca="false">IF($A1426="","",원본명단!$D1425)</f>
        <v/>
      </c>
      <c r="E1426" s="11" t="str">
        <f aca="false">IF($A1426="","",IF(원본명단!$H1425="",0,COUNTIF(원본명단!$H$3:$H$6002,원본명단!$H1425)))</f>
        <v/>
      </c>
      <c r="F1426" s="11" t="str">
        <f aca="false">IF($A1426="","",IF(원본명단!$I1425="",0,COUNTIF(원본명단!$I$3:$I$6002,원본명단!$I1425)))</f>
        <v/>
      </c>
      <c r="G1426" s="11" t="str">
        <f aca="false">IF($A1426="","",IF(원본명단!$K1425="",0,COUNTIF(원본명단!$K$3:$K$6002,원본명단!$K1425)))</f>
        <v/>
      </c>
      <c r="H1426" s="11" t="str">
        <f aca="false">IF($A1426="","",IF(MAX($E1426,$F1426,$G1426)&gt;1,"중복","-"))</f>
        <v/>
      </c>
      <c r="I1426" s="11" t="str">
        <f aca="false">IF($A1426="","",IF($H1426="-","-",IF(AND(IF(원본명단!$H1425="",TRUE(),COUNTIF(원본명단!$H$3:$H1425,원본명단!$H1425)=1),IF(원본명단!$I1425="",TRUE(),COUNTIF(원본명단!$I$3:$I1425,원본명단!$I1425)=1),IF(원본명단!$K1425="",TRUE(),COUNTIF(원본명단!$K$3:$K1425,원본명단!$K1425)=1)),"첫 건","중복 건")))</f>
        <v/>
      </c>
      <c r="J1426" s="11" t="str">
        <f aca="false">IF($A1426="","",IF($H1426="-","유지",IF($I1426="첫 건","유지","확인 필요")))</f>
        <v/>
      </c>
    </row>
    <row r="1427" customFormat="false" ht="15" hidden="false" customHeight="true" outlineLevel="0" collapsed="false">
      <c r="A1427" s="11" t="str">
        <f aca="false">IF(원본명단!$A1426="","",1424)</f>
        <v/>
      </c>
      <c r="B1427" s="12" t="str">
        <f aca="false">IF($A1427="","",원본명단!$A1426)</f>
        <v/>
      </c>
      <c r="C1427" s="12" t="str">
        <f aca="false">IF($A1427="","",원본명단!$B1426)</f>
        <v/>
      </c>
      <c r="D1427" s="12" t="str">
        <f aca="false">IF($A1427="","",원본명단!$D1426)</f>
        <v/>
      </c>
      <c r="E1427" s="11" t="str">
        <f aca="false">IF($A1427="","",IF(원본명단!$H1426="",0,COUNTIF(원본명단!$H$3:$H$6002,원본명단!$H1426)))</f>
        <v/>
      </c>
      <c r="F1427" s="11" t="str">
        <f aca="false">IF($A1427="","",IF(원본명단!$I1426="",0,COUNTIF(원본명단!$I$3:$I$6002,원본명단!$I1426)))</f>
        <v/>
      </c>
      <c r="G1427" s="11" t="str">
        <f aca="false">IF($A1427="","",IF(원본명단!$K1426="",0,COUNTIF(원본명단!$K$3:$K$6002,원본명단!$K1426)))</f>
        <v/>
      </c>
      <c r="H1427" s="11" t="str">
        <f aca="false">IF($A1427="","",IF(MAX($E1427,$F1427,$G1427)&gt;1,"중복","-"))</f>
        <v/>
      </c>
      <c r="I1427" s="11" t="str">
        <f aca="false">IF($A1427="","",IF($H1427="-","-",IF(AND(IF(원본명단!$H1426="",TRUE(),COUNTIF(원본명단!$H$3:$H1426,원본명단!$H1426)=1),IF(원본명단!$I1426="",TRUE(),COUNTIF(원본명단!$I$3:$I1426,원본명단!$I1426)=1),IF(원본명단!$K1426="",TRUE(),COUNTIF(원본명단!$K$3:$K1426,원본명단!$K1426)=1)),"첫 건","중복 건")))</f>
        <v/>
      </c>
      <c r="J1427" s="11" t="str">
        <f aca="false">IF($A1427="","",IF($H1427="-","유지",IF($I1427="첫 건","유지","확인 필요")))</f>
        <v/>
      </c>
    </row>
    <row r="1428" customFormat="false" ht="15" hidden="false" customHeight="true" outlineLevel="0" collapsed="false">
      <c r="A1428" s="11" t="str">
        <f aca="false">IF(원본명단!$A1427="","",1425)</f>
        <v/>
      </c>
      <c r="B1428" s="12" t="str">
        <f aca="false">IF($A1428="","",원본명단!$A1427)</f>
        <v/>
      </c>
      <c r="C1428" s="12" t="str">
        <f aca="false">IF($A1428="","",원본명단!$B1427)</f>
        <v/>
      </c>
      <c r="D1428" s="12" t="str">
        <f aca="false">IF($A1428="","",원본명단!$D1427)</f>
        <v/>
      </c>
      <c r="E1428" s="11" t="str">
        <f aca="false">IF($A1428="","",IF(원본명단!$H1427="",0,COUNTIF(원본명단!$H$3:$H$6002,원본명단!$H1427)))</f>
        <v/>
      </c>
      <c r="F1428" s="11" t="str">
        <f aca="false">IF($A1428="","",IF(원본명단!$I1427="",0,COUNTIF(원본명단!$I$3:$I$6002,원본명단!$I1427)))</f>
        <v/>
      </c>
      <c r="G1428" s="11" t="str">
        <f aca="false">IF($A1428="","",IF(원본명단!$K1427="",0,COUNTIF(원본명단!$K$3:$K$6002,원본명단!$K1427)))</f>
        <v/>
      </c>
      <c r="H1428" s="11" t="str">
        <f aca="false">IF($A1428="","",IF(MAX($E1428,$F1428,$G1428)&gt;1,"중복","-"))</f>
        <v/>
      </c>
      <c r="I1428" s="11" t="str">
        <f aca="false">IF($A1428="","",IF($H1428="-","-",IF(AND(IF(원본명단!$H1427="",TRUE(),COUNTIF(원본명단!$H$3:$H1427,원본명단!$H1427)=1),IF(원본명단!$I1427="",TRUE(),COUNTIF(원본명단!$I$3:$I1427,원본명단!$I1427)=1),IF(원본명단!$K1427="",TRUE(),COUNTIF(원본명단!$K$3:$K1427,원본명단!$K1427)=1)),"첫 건","중복 건")))</f>
        <v/>
      </c>
      <c r="J1428" s="11" t="str">
        <f aca="false">IF($A1428="","",IF($H1428="-","유지",IF($I1428="첫 건","유지","확인 필요")))</f>
        <v/>
      </c>
    </row>
    <row r="1429" customFormat="false" ht="15" hidden="false" customHeight="true" outlineLevel="0" collapsed="false">
      <c r="A1429" s="11" t="str">
        <f aca="false">IF(원본명단!$A1428="","",1426)</f>
        <v/>
      </c>
      <c r="B1429" s="12" t="str">
        <f aca="false">IF($A1429="","",원본명단!$A1428)</f>
        <v/>
      </c>
      <c r="C1429" s="12" t="str">
        <f aca="false">IF($A1429="","",원본명단!$B1428)</f>
        <v/>
      </c>
      <c r="D1429" s="12" t="str">
        <f aca="false">IF($A1429="","",원본명단!$D1428)</f>
        <v/>
      </c>
      <c r="E1429" s="11" t="str">
        <f aca="false">IF($A1429="","",IF(원본명단!$H1428="",0,COUNTIF(원본명단!$H$3:$H$6002,원본명단!$H1428)))</f>
        <v/>
      </c>
      <c r="F1429" s="11" t="str">
        <f aca="false">IF($A1429="","",IF(원본명단!$I1428="",0,COUNTIF(원본명단!$I$3:$I$6002,원본명단!$I1428)))</f>
        <v/>
      </c>
      <c r="G1429" s="11" t="str">
        <f aca="false">IF($A1429="","",IF(원본명단!$K1428="",0,COUNTIF(원본명단!$K$3:$K$6002,원본명단!$K1428)))</f>
        <v/>
      </c>
      <c r="H1429" s="11" t="str">
        <f aca="false">IF($A1429="","",IF(MAX($E1429,$F1429,$G1429)&gt;1,"중복","-"))</f>
        <v/>
      </c>
      <c r="I1429" s="11" t="str">
        <f aca="false">IF($A1429="","",IF($H1429="-","-",IF(AND(IF(원본명단!$H1428="",TRUE(),COUNTIF(원본명단!$H$3:$H1428,원본명단!$H1428)=1),IF(원본명단!$I1428="",TRUE(),COUNTIF(원본명단!$I$3:$I1428,원본명단!$I1428)=1),IF(원본명단!$K1428="",TRUE(),COUNTIF(원본명단!$K$3:$K1428,원본명단!$K1428)=1)),"첫 건","중복 건")))</f>
        <v/>
      </c>
      <c r="J1429" s="11" t="str">
        <f aca="false">IF($A1429="","",IF($H1429="-","유지",IF($I1429="첫 건","유지","확인 필요")))</f>
        <v/>
      </c>
    </row>
    <row r="1430" customFormat="false" ht="15" hidden="false" customHeight="true" outlineLevel="0" collapsed="false">
      <c r="A1430" s="11" t="str">
        <f aca="false">IF(원본명단!$A1429="","",1427)</f>
        <v/>
      </c>
      <c r="B1430" s="12" t="str">
        <f aca="false">IF($A1430="","",원본명단!$A1429)</f>
        <v/>
      </c>
      <c r="C1430" s="12" t="str">
        <f aca="false">IF($A1430="","",원본명단!$B1429)</f>
        <v/>
      </c>
      <c r="D1430" s="12" t="str">
        <f aca="false">IF($A1430="","",원본명단!$D1429)</f>
        <v/>
      </c>
      <c r="E1430" s="11" t="str">
        <f aca="false">IF($A1430="","",IF(원본명단!$H1429="",0,COUNTIF(원본명단!$H$3:$H$6002,원본명단!$H1429)))</f>
        <v/>
      </c>
      <c r="F1430" s="11" t="str">
        <f aca="false">IF($A1430="","",IF(원본명단!$I1429="",0,COUNTIF(원본명단!$I$3:$I$6002,원본명단!$I1429)))</f>
        <v/>
      </c>
      <c r="G1430" s="11" t="str">
        <f aca="false">IF($A1430="","",IF(원본명단!$K1429="",0,COUNTIF(원본명단!$K$3:$K$6002,원본명단!$K1429)))</f>
        <v/>
      </c>
      <c r="H1430" s="11" t="str">
        <f aca="false">IF($A1430="","",IF(MAX($E1430,$F1430,$G1430)&gt;1,"중복","-"))</f>
        <v/>
      </c>
      <c r="I1430" s="11" t="str">
        <f aca="false">IF($A1430="","",IF($H1430="-","-",IF(AND(IF(원본명단!$H1429="",TRUE(),COUNTIF(원본명단!$H$3:$H1429,원본명단!$H1429)=1),IF(원본명단!$I1429="",TRUE(),COUNTIF(원본명단!$I$3:$I1429,원본명단!$I1429)=1),IF(원본명단!$K1429="",TRUE(),COUNTIF(원본명단!$K$3:$K1429,원본명단!$K1429)=1)),"첫 건","중복 건")))</f>
        <v/>
      </c>
      <c r="J1430" s="11" t="str">
        <f aca="false">IF($A1430="","",IF($H1430="-","유지",IF($I1430="첫 건","유지","확인 필요")))</f>
        <v/>
      </c>
    </row>
    <row r="1431" customFormat="false" ht="15" hidden="false" customHeight="true" outlineLevel="0" collapsed="false">
      <c r="A1431" s="11" t="str">
        <f aca="false">IF(원본명단!$A1430="","",1428)</f>
        <v/>
      </c>
      <c r="B1431" s="12" t="str">
        <f aca="false">IF($A1431="","",원본명단!$A1430)</f>
        <v/>
      </c>
      <c r="C1431" s="12" t="str">
        <f aca="false">IF($A1431="","",원본명단!$B1430)</f>
        <v/>
      </c>
      <c r="D1431" s="12" t="str">
        <f aca="false">IF($A1431="","",원본명단!$D1430)</f>
        <v/>
      </c>
      <c r="E1431" s="11" t="str">
        <f aca="false">IF($A1431="","",IF(원본명단!$H1430="",0,COUNTIF(원본명단!$H$3:$H$6002,원본명단!$H1430)))</f>
        <v/>
      </c>
      <c r="F1431" s="11" t="str">
        <f aca="false">IF($A1431="","",IF(원본명단!$I1430="",0,COUNTIF(원본명단!$I$3:$I$6002,원본명단!$I1430)))</f>
        <v/>
      </c>
      <c r="G1431" s="11" t="str">
        <f aca="false">IF($A1431="","",IF(원본명단!$K1430="",0,COUNTIF(원본명단!$K$3:$K$6002,원본명단!$K1430)))</f>
        <v/>
      </c>
      <c r="H1431" s="11" t="str">
        <f aca="false">IF($A1431="","",IF(MAX($E1431,$F1431,$G1431)&gt;1,"중복","-"))</f>
        <v/>
      </c>
      <c r="I1431" s="11" t="str">
        <f aca="false">IF($A1431="","",IF($H1431="-","-",IF(AND(IF(원본명단!$H1430="",TRUE(),COUNTIF(원본명단!$H$3:$H1430,원본명단!$H1430)=1),IF(원본명단!$I1430="",TRUE(),COUNTIF(원본명단!$I$3:$I1430,원본명단!$I1430)=1),IF(원본명단!$K1430="",TRUE(),COUNTIF(원본명단!$K$3:$K1430,원본명단!$K1430)=1)),"첫 건","중복 건")))</f>
        <v/>
      </c>
      <c r="J1431" s="11" t="str">
        <f aca="false">IF($A1431="","",IF($H1431="-","유지",IF($I1431="첫 건","유지","확인 필요")))</f>
        <v/>
      </c>
    </row>
    <row r="1432" customFormat="false" ht="15" hidden="false" customHeight="true" outlineLevel="0" collapsed="false">
      <c r="A1432" s="11" t="str">
        <f aca="false">IF(원본명단!$A1431="","",1429)</f>
        <v/>
      </c>
      <c r="B1432" s="12" t="str">
        <f aca="false">IF($A1432="","",원본명단!$A1431)</f>
        <v/>
      </c>
      <c r="C1432" s="12" t="str">
        <f aca="false">IF($A1432="","",원본명단!$B1431)</f>
        <v/>
      </c>
      <c r="D1432" s="12" t="str">
        <f aca="false">IF($A1432="","",원본명단!$D1431)</f>
        <v/>
      </c>
      <c r="E1432" s="11" t="str">
        <f aca="false">IF($A1432="","",IF(원본명단!$H1431="",0,COUNTIF(원본명단!$H$3:$H$6002,원본명단!$H1431)))</f>
        <v/>
      </c>
      <c r="F1432" s="11" t="str">
        <f aca="false">IF($A1432="","",IF(원본명단!$I1431="",0,COUNTIF(원본명단!$I$3:$I$6002,원본명단!$I1431)))</f>
        <v/>
      </c>
      <c r="G1432" s="11" t="str">
        <f aca="false">IF($A1432="","",IF(원본명단!$K1431="",0,COUNTIF(원본명단!$K$3:$K$6002,원본명단!$K1431)))</f>
        <v/>
      </c>
      <c r="H1432" s="11" t="str">
        <f aca="false">IF($A1432="","",IF(MAX($E1432,$F1432,$G1432)&gt;1,"중복","-"))</f>
        <v/>
      </c>
      <c r="I1432" s="11" t="str">
        <f aca="false">IF($A1432="","",IF($H1432="-","-",IF(AND(IF(원본명단!$H1431="",TRUE(),COUNTIF(원본명단!$H$3:$H1431,원본명단!$H1431)=1),IF(원본명단!$I1431="",TRUE(),COUNTIF(원본명단!$I$3:$I1431,원본명단!$I1431)=1),IF(원본명단!$K1431="",TRUE(),COUNTIF(원본명단!$K$3:$K1431,원본명단!$K1431)=1)),"첫 건","중복 건")))</f>
        <v/>
      </c>
      <c r="J1432" s="11" t="str">
        <f aca="false">IF($A1432="","",IF($H1432="-","유지",IF($I1432="첫 건","유지","확인 필요")))</f>
        <v/>
      </c>
    </row>
    <row r="1433" customFormat="false" ht="15" hidden="false" customHeight="true" outlineLevel="0" collapsed="false">
      <c r="A1433" s="11" t="str">
        <f aca="false">IF(원본명단!$A1432="","",1430)</f>
        <v/>
      </c>
      <c r="B1433" s="12" t="str">
        <f aca="false">IF($A1433="","",원본명단!$A1432)</f>
        <v/>
      </c>
      <c r="C1433" s="12" t="str">
        <f aca="false">IF($A1433="","",원본명단!$B1432)</f>
        <v/>
      </c>
      <c r="D1433" s="12" t="str">
        <f aca="false">IF($A1433="","",원본명단!$D1432)</f>
        <v/>
      </c>
      <c r="E1433" s="11" t="str">
        <f aca="false">IF($A1433="","",IF(원본명단!$H1432="",0,COUNTIF(원본명단!$H$3:$H$6002,원본명단!$H1432)))</f>
        <v/>
      </c>
      <c r="F1433" s="11" t="str">
        <f aca="false">IF($A1433="","",IF(원본명단!$I1432="",0,COUNTIF(원본명단!$I$3:$I$6002,원본명단!$I1432)))</f>
        <v/>
      </c>
      <c r="G1433" s="11" t="str">
        <f aca="false">IF($A1433="","",IF(원본명단!$K1432="",0,COUNTIF(원본명단!$K$3:$K$6002,원본명단!$K1432)))</f>
        <v/>
      </c>
      <c r="H1433" s="11" t="str">
        <f aca="false">IF($A1433="","",IF(MAX($E1433,$F1433,$G1433)&gt;1,"중복","-"))</f>
        <v/>
      </c>
      <c r="I1433" s="11" t="str">
        <f aca="false">IF($A1433="","",IF($H1433="-","-",IF(AND(IF(원본명단!$H1432="",TRUE(),COUNTIF(원본명단!$H$3:$H1432,원본명단!$H1432)=1),IF(원본명단!$I1432="",TRUE(),COUNTIF(원본명단!$I$3:$I1432,원본명단!$I1432)=1),IF(원본명단!$K1432="",TRUE(),COUNTIF(원본명단!$K$3:$K1432,원본명단!$K1432)=1)),"첫 건","중복 건")))</f>
        <v/>
      </c>
      <c r="J1433" s="11" t="str">
        <f aca="false">IF($A1433="","",IF($H1433="-","유지",IF($I1433="첫 건","유지","확인 필요")))</f>
        <v/>
      </c>
    </row>
    <row r="1434" customFormat="false" ht="15" hidden="false" customHeight="true" outlineLevel="0" collapsed="false">
      <c r="A1434" s="11" t="str">
        <f aca="false">IF(원본명단!$A1433="","",1431)</f>
        <v/>
      </c>
      <c r="B1434" s="12" t="str">
        <f aca="false">IF($A1434="","",원본명단!$A1433)</f>
        <v/>
      </c>
      <c r="C1434" s="12" t="str">
        <f aca="false">IF($A1434="","",원본명단!$B1433)</f>
        <v/>
      </c>
      <c r="D1434" s="12" t="str">
        <f aca="false">IF($A1434="","",원본명단!$D1433)</f>
        <v/>
      </c>
      <c r="E1434" s="11" t="str">
        <f aca="false">IF($A1434="","",IF(원본명단!$H1433="",0,COUNTIF(원본명단!$H$3:$H$6002,원본명단!$H1433)))</f>
        <v/>
      </c>
      <c r="F1434" s="11" t="str">
        <f aca="false">IF($A1434="","",IF(원본명단!$I1433="",0,COUNTIF(원본명단!$I$3:$I$6002,원본명단!$I1433)))</f>
        <v/>
      </c>
      <c r="G1434" s="11" t="str">
        <f aca="false">IF($A1434="","",IF(원본명단!$K1433="",0,COUNTIF(원본명단!$K$3:$K$6002,원본명단!$K1433)))</f>
        <v/>
      </c>
      <c r="H1434" s="11" t="str">
        <f aca="false">IF($A1434="","",IF(MAX($E1434,$F1434,$G1434)&gt;1,"중복","-"))</f>
        <v/>
      </c>
      <c r="I1434" s="11" t="str">
        <f aca="false">IF($A1434="","",IF($H1434="-","-",IF(AND(IF(원본명단!$H1433="",TRUE(),COUNTIF(원본명단!$H$3:$H1433,원본명단!$H1433)=1),IF(원본명단!$I1433="",TRUE(),COUNTIF(원본명단!$I$3:$I1433,원본명단!$I1433)=1),IF(원본명단!$K1433="",TRUE(),COUNTIF(원본명단!$K$3:$K1433,원본명단!$K1433)=1)),"첫 건","중복 건")))</f>
        <v/>
      </c>
      <c r="J1434" s="11" t="str">
        <f aca="false">IF($A1434="","",IF($H1434="-","유지",IF($I1434="첫 건","유지","확인 필요")))</f>
        <v/>
      </c>
    </row>
    <row r="1435" customFormat="false" ht="15" hidden="false" customHeight="true" outlineLevel="0" collapsed="false">
      <c r="A1435" s="11" t="str">
        <f aca="false">IF(원본명단!$A1434="","",1432)</f>
        <v/>
      </c>
      <c r="B1435" s="12" t="str">
        <f aca="false">IF($A1435="","",원본명단!$A1434)</f>
        <v/>
      </c>
      <c r="C1435" s="12" t="str">
        <f aca="false">IF($A1435="","",원본명단!$B1434)</f>
        <v/>
      </c>
      <c r="D1435" s="12" t="str">
        <f aca="false">IF($A1435="","",원본명단!$D1434)</f>
        <v/>
      </c>
      <c r="E1435" s="11" t="str">
        <f aca="false">IF($A1435="","",IF(원본명단!$H1434="",0,COUNTIF(원본명단!$H$3:$H$6002,원본명단!$H1434)))</f>
        <v/>
      </c>
      <c r="F1435" s="11" t="str">
        <f aca="false">IF($A1435="","",IF(원본명단!$I1434="",0,COUNTIF(원본명단!$I$3:$I$6002,원본명단!$I1434)))</f>
        <v/>
      </c>
      <c r="G1435" s="11" t="str">
        <f aca="false">IF($A1435="","",IF(원본명단!$K1434="",0,COUNTIF(원본명단!$K$3:$K$6002,원본명단!$K1434)))</f>
        <v/>
      </c>
      <c r="H1435" s="11" t="str">
        <f aca="false">IF($A1435="","",IF(MAX($E1435,$F1435,$G1435)&gt;1,"중복","-"))</f>
        <v/>
      </c>
      <c r="I1435" s="11" t="str">
        <f aca="false">IF($A1435="","",IF($H1435="-","-",IF(AND(IF(원본명단!$H1434="",TRUE(),COUNTIF(원본명단!$H$3:$H1434,원본명단!$H1434)=1),IF(원본명단!$I1434="",TRUE(),COUNTIF(원본명단!$I$3:$I1434,원본명단!$I1434)=1),IF(원본명단!$K1434="",TRUE(),COUNTIF(원본명단!$K$3:$K1434,원본명단!$K1434)=1)),"첫 건","중복 건")))</f>
        <v/>
      </c>
      <c r="J1435" s="11" t="str">
        <f aca="false">IF($A1435="","",IF($H1435="-","유지",IF($I1435="첫 건","유지","확인 필요")))</f>
        <v/>
      </c>
    </row>
    <row r="1436" customFormat="false" ht="15" hidden="false" customHeight="true" outlineLevel="0" collapsed="false">
      <c r="A1436" s="11" t="str">
        <f aca="false">IF(원본명단!$A1435="","",1433)</f>
        <v/>
      </c>
      <c r="B1436" s="12" t="str">
        <f aca="false">IF($A1436="","",원본명단!$A1435)</f>
        <v/>
      </c>
      <c r="C1436" s="12" t="str">
        <f aca="false">IF($A1436="","",원본명단!$B1435)</f>
        <v/>
      </c>
      <c r="D1436" s="12" t="str">
        <f aca="false">IF($A1436="","",원본명단!$D1435)</f>
        <v/>
      </c>
      <c r="E1436" s="11" t="str">
        <f aca="false">IF($A1436="","",IF(원본명단!$H1435="",0,COUNTIF(원본명단!$H$3:$H$6002,원본명단!$H1435)))</f>
        <v/>
      </c>
      <c r="F1436" s="11" t="str">
        <f aca="false">IF($A1436="","",IF(원본명단!$I1435="",0,COUNTIF(원본명단!$I$3:$I$6002,원본명단!$I1435)))</f>
        <v/>
      </c>
      <c r="G1436" s="11" t="str">
        <f aca="false">IF($A1436="","",IF(원본명단!$K1435="",0,COUNTIF(원본명단!$K$3:$K$6002,원본명단!$K1435)))</f>
        <v/>
      </c>
      <c r="H1436" s="11" t="str">
        <f aca="false">IF($A1436="","",IF(MAX($E1436,$F1436,$G1436)&gt;1,"중복","-"))</f>
        <v/>
      </c>
      <c r="I1436" s="11" t="str">
        <f aca="false">IF($A1436="","",IF($H1436="-","-",IF(AND(IF(원본명단!$H1435="",TRUE(),COUNTIF(원본명단!$H$3:$H1435,원본명단!$H1435)=1),IF(원본명단!$I1435="",TRUE(),COUNTIF(원본명단!$I$3:$I1435,원본명단!$I1435)=1),IF(원본명단!$K1435="",TRUE(),COUNTIF(원본명단!$K$3:$K1435,원본명단!$K1435)=1)),"첫 건","중복 건")))</f>
        <v/>
      </c>
      <c r="J1436" s="11" t="str">
        <f aca="false">IF($A1436="","",IF($H1436="-","유지",IF($I1436="첫 건","유지","확인 필요")))</f>
        <v/>
      </c>
    </row>
    <row r="1437" customFormat="false" ht="15" hidden="false" customHeight="true" outlineLevel="0" collapsed="false">
      <c r="A1437" s="11" t="str">
        <f aca="false">IF(원본명단!$A1436="","",1434)</f>
        <v/>
      </c>
      <c r="B1437" s="12" t="str">
        <f aca="false">IF($A1437="","",원본명단!$A1436)</f>
        <v/>
      </c>
      <c r="C1437" s="12" t="str">
        <f aca="false">IF($A1437="","",원본명단!$B1436)</f>
        <v/>
      </c>
      <c r="D1437" s="12" t="str">
        <f aca="false">IF($A1437="","",원본명단!$D1436)</f>
        <v/>
      </c>
      <c r="E1437" s="11" t="str">
        <f aca="false">IF($A1437="","",IF(원본명단!$H1436="",0,COUNTIF(원본명단!$H$3:$H$6002,원본명단!$H1436)))</f>
        <v/>
      </c>
      <c r="F1437" s="11" t="str">
        <f aca="false">IF($A1437="","",IF(원본명단!$I1436="",0,COUNTIF(원본명단!$I$3:$I$6002,원본명단!$I1436)))</f>
        <v/>
      </c>
      <c r="G1437" s="11" t="str">
        <f aca="false">IF($A1437="","",IF(원본명단!$K1436="",0,COUNTIF(원본명단!$K$3:$K$6002,원본명단!$K1436)))</f>
        <v/>
      </c>
      <c r="H1437" s="11" t="str">
        <f aca="false">IF($A1437="","",IF(MAX($E1437,$F1437,$G1437)&gt;1,"중복","-"))</f>
        <v/>
      </c>
      <c r="I1437" s="11" t="str">
        <f aca="false">IF($A1437="","",IF($H1437="-","-",IF(AND(IF(원본명단!$H1436="",TRUE(),COUNTIF(원본명단!$H$3:$H1436,원본명단!$H1436)=1),IF(원본명단!$I1436="",TRUE(),COUNTIF(원본명단!$I$3:$I1436,원본명단!$I1436)=1),IF(원본명단!$K1436="",TRUE(),COUNTIF(원본명단!$K$3:$K1436,원본명단!$K1436)=1)),"첫 건","중복 건")))</f>
        <v/>
      </c>
      <c r="J1437" s="11" t="str">
        <f aca="false">IF($A1437="","",IF($H1437="-","유지",IF($I1437="첫 건","유지","확인 필요")))</f>
        <v/>
      </c>
    </row>
    <row r="1438" customFormat="false" ht="15" hidden="false" customHeight="true" outlineLevel="0" collapsed="false">
      <c r="A1438" s="11" t="str">
        <f aca="false">IF(원본명단!$A1437="","",1435)</f>
        <v/>
      </c>
      <c r="B1438" s="12" t="str">
        <f aca="false">IF($A1438="","",원본명단!$A1437)</f>
        <v/>
      </c>
      <c r="C1438" s="12" t="str">
        <f aca="false">IF($A1438="","",원본명단!$B1437)</f>
        <v/>
      </c>
      <c r="D1438" s="12" t="str">
        <f aca="false">IF($A1438="","",원본명단!$D1437)</f>
        <v/>
      </c>
      <c r="E1438" s="11" t="str">
        <f aca="false">IF($A1438="","",IF(원본명단!$H1437="",0,COUNTIF(원본명단!$H$3:$H$6002,원본명단!$H1437)))</f>
        <v/>
      </c>
      <c r="F1438" s="11" t="str">
        <f aca="false">IF($A1438="","",IF(원본명단!$I1437="",0,COUNTIF(원본명단!$I$3:$I$6002,원본명단!$I1437)))</f>
        <v/>
      </c>
      <c r="G1438" s="11" t="str">
        <f aca="false">IF($A1438="","",IF(원본명단!$K1437="",0,COUNTIF(원본명단!$K$3:$K$6002,원본명단!$K1437)))</f>
        <v/>
      </c>
      <c r="H1438" s="11" t="str">
        <f aca="false">IF($A1438="","",IF(MAX($E1438,$F1438,$G1438)&gt;1,"중복","-"))</f>
        <v/>
      </c>
      <c r="I1438" s="11" t="str">
        <f aca="false">IF($A1438="","",IF($H1438="-","-",IF(AND(IF(원본명단!$H1437="",TRUE(),COUNTIF(원본명단!$H$3:$H1437,원본명단!$H1437)=1),IF(원본명단!$I1437="",TRUE(),COUNTIF(원본명단!$I$3:$I1437,원본명단!$I1437)=1),IF(원본명단!$K1437="",TRUE(),COUNTIF(원본명단!$K$3:$K1437,원본명단!$K1437)=1)),"첫 건","중복 건")))</f>
        <v/>
      </c>
      <c r="J1438" s="11" t="str">
        <f aca="false">IF($A1438="","",IF($H1438="-","유지",IF($I1438="첫 건","유지","확인 필요")))</f>
        <v/>
      </c>
    </row>
    <row r="1439" customFormat="false" ht="15" hidden="false" customHeight="true" outlineLevel="0" collapsed="false">
      <c r="A1439" s="11" t="str">
        <f aca="false">IF(원본명단!$A1438="","",1436)</f>
        <v/>
      </c>
      <c r="B1439" s="12" t="str">
        <f aca="false">IF($A1439="","",원본명단!$A1438)</f>
        <v/>
      </c>
      <c r="C1439" s="12" t="str">
        <f aca="false">IF($A1439="","",원본명단!$B1438)</f>
        <v/>
      </c>
      <c r="D1439" s="12" t="str">
        <f aca="false">IF($A1439="","",원본명단!$D1438)</f>
        <v/>
      </c>
      <c r="E1439" s="11" t="str">
        <f aca="false">IF($A1439="","",IF(원본명단!$H1438="",0,COUNTIF(원본명단!$H$3:$H$6002,원본명단!$H1438)))</f>
        <v/>
      </c>
      <c r="F1439" s="11" t="str">
        <f aca="false">IF($A1439="","",IF(원본명단!$I1438="",0,COUNTIF(원본명단!$I$3:$I$6002,원본명단!$I1438)))</f>
        <v/>
      </c>
      <c r="G1439" s="11" t="str">
        <f aca="false">IF($A1439="","",IF(원본명단!$K1438="",0,COUNTIF(원본명단!$K$3:$K$6002,원본명단!$K1438)))</f>
        <v/>
      </c>
      <c r="H1439" s="11" t="str">
        <f aca="false">IF($A1439="","",IF(MAX($E1439,$F1439,$G1439)&gt;1,"중복","-"))</f>
        <v/>
      </c>
      <c r="I1439" s="11" t="str">
        <f aca="false">IF($A1439="","",IF($H1439="-","-",IF(AND(IF(원본명단!$H1438="",TRUE(),COUNTIF(원본명단!$H$3:$H1438,원본명단!$H1438)=1),IF(원본명단!$I1438="",TRUE(),COUNTIF(원본명단!$I$3:$I1438,원본명단!$I1438)=1),IF(원본명단!$K1438="",TRUE(),COUNTIF(원본명단!$K$3:$K1438,원본명단!$K1438)=1)),"첫 건","중복 건")))</f>
        <v/>
      </c>
      <c r="J1439" s="11" t="str">
        <f aca="false">IF($A1439="","",IF($H1439="-","유지",IF($I1439="첫 건","유지","확인 필요")))</f>
        <v/>
      </c>
    </row>
    <row r="1440" customFormat="false" ht="15" hidden="false" customHeight="true" outlineLevel="0" collapsed="false">
      <c r="A1440" s="11" t="str">
        <f aca="false">IF(원본명단!$A1439="","",1437)</f>
        <v/>
      </c>
      <c r="B1440" s="12" t="str">
        <f aca="false">IF($A1440="","",원본명단!$A1439)</f>
        <v/>
      </c>
      <c r="C1440" s="12" t="str">
        <f aca="false">IF($A1440="","",원본명단!$B1439)</f>
        <v/>
      </c>
      <c r="D1440" s="12" t="str">
        <f aca="false">IF($A1440="","",원본명단!$D1439)</f>
        <v/>
      </c>
      <c r="E1440" s="11" t="str">
        <f aca="false">IF($A1440="","",IF(원본명단!$H1439="",0,COUNTIF(원본명단!$H$3:$H$6002,원본명단!$H1439)))</f>
        <v/>
      </c>
      <c r="F1440" s="11" t="str">
        <f aca="false">IF($A1440="","",IF(원본명단!$I1439="",0,COUNTIF(원본명단!$I$3:$I$6002,원본명단!$I1439)))</f>
        <v/>
      </c>
      <c r="G1440" s="11" t="str">
        <f aca="false">IF($A1440="","",IF(원본명단!$K1439="",0,COUNTIF(원본명단!$K$3:$K$6002,원본명단!$K1439)))</f>
        <v/>
      </c>
      <c r="H1440" s="11" t="str">
        <f aca="false">IF($A1440="","",IF(MAX($E1440,$F1440,$G1440)&gt;1,"중복","-"))</f>
        <v/>
      </c>
      <c r="I1440" s="11" t="str">
        <f aca="false">IF($A1440="","",IF($H1440="-","-",IF(AND(IF(원본명단!$H1439="",TRUE(),COUNTIF(원본명단!$H$3:$H1439,원본명단!$H1439)=1),IF(원본명단!$I1439="",TRUE(),COUNTIF(원본명단!$I$3:$I1439,원본명단!$I1439)=1),IF(원본명단!$K1439="",TRUE(),COUNTIF(원본명단!$K$3:$K1439,원본명단!$K1439)=1)),"첫 건","중복 건")))</f>
        <v/>
      </c>
      <c r="J1440" s="11" t="str">
        <f aca="false">IF($A1440="","",IF($H1440="-","유지",IF($I1440="첫 건","유지","확인 필요")))</f>
        <v/>
      </c>
    </row>
    <row r="1441" customFormat="false" ht="15" hidden="false" customHeight="true" outlineLevel="0" collapsed="false">
      <c r="A1441" s="11" t="str">
        <f aca="false">IF(원본명단!$A1440="","",1438)</f>
        <v/>
      </c>
      <c r="B1441" s="12" t="str">
        <f aca="false">IF($A1441="","",원본명단!$A1440)</f>
        <v/>
      </c>
      <c r="C1441" s="12" t="str">
        <f aca="false">IF($A1441="","",원본명단!$B1440)</f>
        <v/>
      </c>
      <c r="D1441" s="12" t="str">
        <f aca="false">IF($A1441="","",원본명단!$D1440)</f>
        <v/>
      </c>
      <c r="E1441" s="11" t="str">
        <f aca="false">IF($A1441="","",IF(원본명단!$H1440="",0,COUNTIF(원본명단!$H$3:$H$6002,원본명단!$H1440)))</f>
        <v/>
      </c>
      <c r="F1441" s="11" t="str">
        <f aca="false">IF($A1441="","",IF(원본명단!$I1440="",0,COUNTIF(원본명단!$I$3:$I$6002,원본명단!$I1440)))</f>
        <v/>
      </c>
      <c r="G1441" s="11" t="str">
        <f aca="false">IF($A1441="","",IF(원본명단!$K1440="",0,COUNTIF(원본명단!$K$3:$K$6002,원본명단!$K1440)))</f>
        <v/>
      </c>
      <c r="H1441" s="11" t="str">
        <f aca="false">IF($A1441="","",IF(MAX($E1441,$F1441,$G1441)&gt;1,"중복","-"))</f>
        <v/>
      </c>
      <c r="I1441" s="11" t="str">
        <f aca="false">IF($A1441="","",IF($H1441="-","-",IF(AND(IF(원본명단!$H1440="",TRUE(),COUNTIF(원본명단!$H$3:$H1440,원본명단!$H1440)=1),IF(원본명단!$I1440="",TRUE(),COUNTIF(원본명단!$I$3:$I1440,원본명단!$I1440)=1),IF(원본명단!$K1440="",TRUE(),COUNTIF(원본명단!$K$3:$K1440,원본명단!$K1440)=1)),"첫 건","중복 건")))</f>
        <v/>
      </c>
      <c r="J1441" s="11" t="str">
        <f aca="false">IF($A1441="","",IF($H1441="-","유지",IF($I1441="첫 건","유지","확인 필요")))</f>
        <v/>
      </c>
    </row>
    <row r="1442" customFormat="false" ht="15" hidden="false" customHeight="true" outlineLevel="0" collapsed="false">
      <c r="A1442" s="11" t="str">
        <f aca="false">IF(원본명단!$A1441="","",1439)</f>
        <v/>
      </c>
      <c r="B1442" s="12" t="str">
        <f aca="false">IF($A1442="","",원본명단!$A1441)</f>
        <v/>
      </c>
      <c r="C1442" s="12" t="str">
        <f aca="false">IF($A1442="","",원본명단!$B1441)</f>
        <v/>
      </c>
      <c r="D1442" s="12" t="str">
        <f aca="false">IF($A1442="","",원본명단!$D1441)</f>
        <v/>
      </c>
      <c r="E1442" s="11" t="str">
        <f aca="false">IF($A1442="","",IF(원본명단!$H1441="",0,COUNTIF(원본명단!$H$3:$H$6002,원본명단!$H1441)))</f>
        <v/>
      </c>
      <c r="F1442" s="11" t="str">
        <f aca="false">IF($A1442="","",IF(원본명단!$I1441="",0,COUNTIF(원본명단!$I$3:$I$6002,원본명단!$I1441)))</f>
        <v/>
      </c>
      <c r="G1442" s="11" t="str">
        <f aca="false">IF($A1442="","",IF(원본명단!$K1441="",0,COUNTIF(원본명단!$K$3:$K$6002,원본명단!$K1441)))</f>
        <v/>
      </c>
      <c r="H1442" s="11" t="str">
        <f aca="false">IF($A1442="","",IF(MAX($E1442,$F1442,$G1442)&gt;1,"중복","-"))</f>
        <v/>
      </c>
      <c r="I1442" s="11" t="str">
        <f aca="false">IF($A1442="","",IF($H1442="-","-",IF(AND(IF(원본명단!$H1441="",TRUE(),COUNTIF(원본명단!$H$3:$H1441,원본명단!$H1441)=1),IF(원본명단!$I1441="",TRUE(),COUNTIF(원본명단!$I$3:$I1441,원본명단!$I1441)=1),IF(원본명단!$K1441="",TRUE(),COUNTIF(원본명단!$K$3:$K1441,원본명단!$K1441)=1)),"첫 건","중복 건")))</f>
        <v/>
      </c>
      <c r="J1442" s="11" t="str">
        <f aca="false">IF($A1442="","",IF($H1442="-","유지",IF($I1442="첫 건","유지","확인 필요")))</f>
        <v/>
      </c>
    </row>
    <row r="1443" customFormat="false" ht="15" hidden="false" customHeight="true" outlineLevel="0" collapsed="false">
      <c r="A1443" s="11" t="str">
        <f aca="false">IF(원본명단!$A1442="","",1440)</f>
        <v/>
      </c>
      <c r="B1443" s="12" t="str">
        <f aca="false">IF($A1443="","",원본명단!$A1442)</f>
        <v/>
      </c>
      <c r="C1443" s="12" t="str">
        <f aca="false">IF($A1443="","",원본명단!$B1442)</f>
        <v/>
      </c>
      <c r="D1443" s="12" t="str">
        <f aca="false">IF($A1443="","",원본명단!$D1442)</f>
        <v/>
      </c>
      <c r="E1443" s="11" t="str">
        <f aca="false">IF($A1443="","",IF(원본명단!$H1442="",0,COUNTIF(원본명단!$H$3:$H$6002,원본명단!$H1442)))</f>
        <v/>
      </c>
      <c r="F1443" s="11" t="str">
        <f aca="false">IF($A1443="","",IF(원본명단!$I1442="",0,COUNTIF(원본명단!$I$3:$I$6002,원본명단!$I1442)))</f>
        <v/>
      </c>
      <c r="G1443" s="11" t="str">
        <f aca="false">IF($A1443="","",IF(원본명단!$K1442="",0,COUNTIF(원본명단!$K$3:$K$6002,원본명단!$K1442)))</f>
        <v/>
      </c>
      <c r="H1443" s="11" t="str">
        <f aca="false">IF($A1443="","",IF(MAX($E1443,$F1443,$G1443)&gt;1,"중복","-"))</f>
        <v/>
      </c>
      <c r="I1443" s="11" t="str">
        <f aca="false">IF($A1443="","",IF($H1443="-","-",IF(AND(IF(원본명단!$H1442="",TRUE(),COUNTIF(원본명단!$H$3:$H1442,원본명단!$H1442)=1),IF(원본명단!$I1442="",TRUE(),COUNTIF(원본명단!$I$3:$I1442,원본명단!$I1442)=1),IF(원본명단!$K1442="",TRUE(),COUNTIF(원본명단!$K$3:$K1442,원본명단!$K1442)=1)),"첫 건","중복 건")))</f>
        <v/>
      </c>
      <c r="J1443" s="11" t="str">
        <f aca="false">IF($A1443="","",IF($H1443="-","유지",IF($I1443="첫 건","유지","확인 필요")))</f>
        <v/>
      </c>
    </row>
    <row r="1444" customFormat="false" ht="15" hidden="false" customHeight="true" outlineLevel="0" collapsed="false">
      <c r="A1444" s="11" t="str">
        <f aca="false">IF(원본명단!$A1443="","",1441)</f>
        <v/>
      </c>
      <c r="B1444" s="12" t="str">
        <f aca="false">IF($A1444="","",원본명단!$A1443)</f>
        <v/>
      </c>
      <c r="C1444" s="12" t="str">
        <f aca="false">IF($A1444="","",원본명단!$B1443)</f>
        <v/>
      </c>
      <c r="D1444" s="12" t="str">
        <f aca="false">IF($A1444="","",원본명단!$D1443)</f>
        <v/>
      </c>
      <c r="E1444" s="11" t="str">
        <f aca="false">IF($A1444="","",IF(원본명단!$H1443="",0,COUNTIF(원본명단!$H$3:$H$6002,원본명단!$H1443)))</f>
        <v/>
      </c>
      <c r="F1444" s="11" t="str">
        <f aca="false">IF($A1444="","",IF(원본명단!$I1443="",0,COUNTIF(원본명단!$I$3:$I$6002,원본명단!$I1443)))</f>
        <v/>
      </c>
      <c r="G1444" s="11" t="str">
        <f aca="false">IF($A1444="","",IF(원본명단!$K1443="",0,COUNTIF(원본명단!$K$3:$K$6002,원본명단!$K1443)))</f>
        <v/>
      </c>
      <c r="H1444" s="11" t="str">
        <f aca="false">IF($A1444="","",IF(MAX($E1444,$F1444,$G1444)&gt;1,"중복","-"))</f>
        <v/>
      </c>
      <c r="I1444" s="11" t="str">
        <f aca="false">IF($A1444="","",IF($H1444="-","-",IF(AND(IF(원본명단!$H1443="",TRUE(),COUNTIF(원본명단!$H$3:$H1443,원본명단!$H1443)=1),IF(원본명단!$I1443="",TRUE(),COUNTIF(원본명단!$I$3:$I1443,원본명단!$I1443)=1),IF(원본명단!$K1443="",TRUE(),COUNTIF(원본명단!$K$3:$K1443,원본명단!$K1443)=1)),"첫 건","중복 건")))</f>
        <v/>
      </c>
      <c r="J1444" s="11" t="str">
        <f aca="false">IF($A1444="","",IF($H1444="-","유지",IF($I1444="첫 건","유지","확인 필요")))</f>
        <v/>
      </c>
    </row>
    <row r="1445" customFormat="false" ht="15" hidden="false" customHeight="true" outlineLevel="0" collapsed="false">
      <c r="A1445" s="11" t="str">
        <f aca="false">IF(원본명단!$A1444="","",1442)</f>
        <v/>
      </c>
      <c r="B1445" s="12" t="str">
        <f aca="false">IF($A1445="","",원본명단!$A1444)</f>
        <v/>
      </c>
      <c r="C1445" s="12" t="str">
        <f aca="false">IF($A1445="","",원본명단!$B1444)</f>
        <v/>
      </c>
      <c r="D1445" s="12" t="str">
        <f aca="false">IF($A1445="","",원본명단!$D1444)</f>
        <v/>
      </c>
      <c r="E1445" s="11" t="str">
        <f aca="false">IF($A1445="","",IF(원본명단!$H1444="",0,COUNTIF(원본명단!$H$3:$H$6002,원본명단!$H1444)))</f>
        <v/>
      </c>
      <c r="F1445" s="11" t="str">
        <f aca="false">IF($A1445="","",IF(원본명단!$I1444="",0,COUNTIF(원본명단!$I$3:$I$6002,원본명단!$I1444)))</f>
        <v/>
      </c>
      <c r="G1445" s="11" t="str">
        <f aca="false">IF($A1445="","",IF(원본명단!$K1444="",0,COUNTIF(원본명단!$K$3:$K$6002,원본명단!$K1444)))</f>
        <v/>
      </c>
      <c r="H1445" s="11" t="str">
        <f aca="false">IF($A1445="","",IF(MAX($E1445,$F1445,$G1445)&gt;1,"중복","-"))</f>
        <v/>
      </c>
      <c r="I1445" s="11" t="str">
        <f aca="false">IF($A1445="","",IF($H1445="-","-",IF(AND(IF(원본명단!$H1444="",TRUE(),COUNTIF(원본명단!$H$3:$H1444,원본명단!$H1444)=1),IF(원본명단!$I1444="",TRUE(),COUNTIF(원본명단!$I$3:$I1444,원본명단!$I1444)=1),IF(원본명단!$K1444="",TRUE(),COUNTIF(원본명단!$K$3:$K1444,원본명단!$K1444)=1)),"첫 건","중복 건")))</f>
        <v/>
      </c>
      <c r="J1445" s="11" t="str">
        <f aca="false">IF($A1445="","",IF($H1445="-","유지",IF($I1445="첫 건","유지","확인 필요")))</f>
        <v/>
      </c>
    </row>
    <row r="1446" customFormat="false" ht="15" hidden="false" customHeight="true" outlineLevel="0" collapsed="false">
      <c r="A1446" s="11" t="str">
        <f aca="false">IF(원본명단!$A1445="","",1443)</f>
        <v/>
      </c>
      <c r="B1446" s="12" t="str">
        <f aca="false">IF($A1446="","",원본명단!$A1445)</f>
        <v/>
      </c>
      <c r="C1446" s="12" t="str">
        <f aca="false">IF($A1446="","",원본명단!$B1445)</f>
        <v/>
      </c>
      <c r="D1446" s="12" t="str">
        <f aca="false">IF($A1446="","",원본명단!$D1445)</f>
        <v/>
      </c>
      <c r="E1446" s="11" t="str">
        <f aca="false">IF($A1446="","",IF(원본명단!$H1445="",0,COUNTIF(원본명단!$H$3:$H$6002,원본명단!$H1445)))</f>
        <v/>
      </c>
      <c r="F1446" s="11" t="str">
        <f aca="false">IF($A1446="","",IF(원본명단!$I1445="",0,COUNTIF(원본명단!$I$3:$I$6002,원본명단!$I1445)))</f>
        <v/>
      </c>
      <c r="G1446" s="11" t="str">
        <f aca="false">IF($A1446="","",IF(원본명단!$K1445="",0,COUNTIF(원본명단!$K$3:$K$6002,원본명단!$K1445)))</f>
        <v/>
      </c>
      <c r="H1446" s="11" t="str">
        <f aca="false">IF($A1446="","",IF(MAX($E1446,$F1446,$G1446)&gt;1,"중복","-"))</f>
        <v/>
      </c>
      <c r="I1446" s="11" t="str">
        <f aca="false">IF($A1446="","",IF($H1446="-","-",IF(AND(IF(원본명단!$H1445="",TRUE(),COUNTIF(원본명단!$H$3:$H1445,원본명단!$H1445)=1),IF(원본명단!$I1445="",TRUE(),COUNTIF(원본명단!$I$3:$I1445,원본명단!$I1445)=1),IF(원본명단!$K1445="",TRUE(),COUNTIF(원본명단!$K$3:$K1445,원본명단!$K1445)=1)),"첫 건","중복 건")))</f>
        <v/>
      </c>
      <c r="J1446" s="11" t="str">
        <f aca="false">IF($A1446="","",IF($H1446="-","유지",IF($I1446="첫 건","유지","확인 필요")))</f>
        <v/>
      </c>
    </row>
    <row r="1447" customFormat="false" ht="15" hidden="false" customHeight="true" outlineLevel="0" collapsed="false">
      <c r="A1447" s="11" t="str">
        <f aca="false">IF(원본명단!$A1446="","",1444)</f>
        <v/>
      </c>
      <c r="B1447" s="12" t="str">
        <f aca="false">IF($A1447="","",원본명단!$A1446)</f>
        <v/>
      </c>
      <c r="C1447" s="12" t="str">
        <f aca="false">IF($A1447="","",원본명단!$B1446)</f>
        <v/>
      </c>
      <c r="D1447" s="12" t="str">
        <f aca="false">IF($A1447="","",원본명단!$D1446)</f>
        <v/>
      </c>
      <c r="E1447" s="11" t="str">
        <f aca="false">IF($A1447="","",IF(원본명단!$H1446="",0,COUNTIF(원본명단!$H$3:$H$6002,원본명단!$H1446)))</f>
        <v/>
      </c>
      <c r="F1447" s="11" t="str">
        <f aca="false">IF($A1447="","",IF(원본명단!$I1446="",0,COUNTIF(원본명단!$I$3:$I$6002,원본명단!$I1446)))</f>
        <v/>
      </c>
      <c r="G1447" s="11" t="str">
        <f aca="false">IF($A1447="","",IF(원본명단!$K1446="",0,COUNTIF(원본명단!$K$3:$K$6002,원본명단!$K1446)))</f>
        <v/>
      </c>
      <c r="H1447" s="11" t="str">
        <f aca="false">IF($A1447="","",IF(MAX($E1447,$F1447,$G1447)&gt;1,"중복","-"))</f>
        <v/>
      </c>
      <c r="I1447" s="11" t="str">
        <f aca="false">IF($A1447="","",IF($H1447="-","-",IF(AND(IF(원본명단!$H1446="",TRUE(),COUNTIF(원본명단!$H$3:$H1446,원본명단!$H1446)=1),IF(원본명단!$I1446="",TRUE(),COUNTIF(원본명단!$I$3:$I1446,원본명단!$I1446)=1),IF(원본명단!$K1446="",TRUE(),COUNTIF(원본명단!$K$3:$K1446,원본명단!$K1446)=1)),"첫 건","중복 건")))</f>
        <v/>
      </c>
      <c r="J1447" s="11" t="str">
        <f aca="false">IF($A1447="","",IF($H1447="-","유지",IF($I1447="첫 건","유지","확인 필요")))</f>
        <v/>
      </c>
    </row>
    <row r="1448" customFormat="false" ht="15" hidden="false" customHeight="true" outlineLevel="0" collapsed="false">
      <c r="A1448" s="11" t="str">
        <f aca="false">IF(원본명단!$A1447="","",1445)</f>
        <v/>
      </c>
      <c r="B1448" s="12" t="str">
        <f aca="false">IF($A1448="","",원본명단!$A1447)</f>
        <v/>
      </c>
      <c r="C1448" s="12" t="str">
        <f aca="false">IF($A1448="","",원본명단!$B1447)</f>
        <v/>
      </c>
      <c r="D1448" s="12" t="str">
        <f aca="false">IF($A1448="","",원본명단!$D1447)</f>
        <v/>
      </c>
      <c r="E1448" s="11" t="str">
        <f aca="false">IF($A1448="","",IF(원본명단!$H1447="",0,COUNTIF(원본명단!$H$3:$H$6002,원본명단!$H1447)))</f>
        <v/>
      </c>
      <c r="F1448" s="11" t="str">
        <f aca="false">IF($A1448="","",IF(원본명단!$I1447="",0,COUNTIF(원본명단!$I$3:$I$6002,원본명단!$I1447)))</f>
        <v/>
      </c>
      <c r="G1448" s="11" t="str">
        <f aca="false">IF($A1448="","",IF(원본명단!$K1447="",0,COUNTIF(원본명단!$K$3:$K$6002,원본명단!$K1447)))</f>
        <v/>
      </c>
      <c r="H1448" s="11" t="str">
        <f aca="false">IF($A1448="","",IF(MAX($E1448,$F1448,$G1448)&gt;1,"중복","-"))</f>
        <v/>
      </c>
      <c r="I1448" s="11" t="str">
        <f aca="false">IF($A1448="","",IF($H1448="-","-",IF(AND(IF(원본명단!$H1447="",TRUE(),COUNTIF(원본명단!$H$3:$H1447,원본명단!$H1447)=1),IF(원본명단!$I1447="",TRUE(),COUNTIF(원본명단!$I$3:$I1447,원본명단!$I1447)=1),IF(원본명단!$K1447="",TRUE(),COUNTIF(원본명단!$K$3:$K1447,원본명단!$K1447)=1)),"첫 건","중복 건")))</f>
        <v/>
      </c>
      <c r="J1448" s="11" t="str">
        <f aca="false">IF($A1448="","",IF($H1448="-","유지",IF($I1448="첫 건","유지","확인 필요")))</f>
        <v/>
      </c>
    </row>
    <row r="1449" customFormat="false" ht="15" hidden="false" customHeight="true" outlineLevel="0" collapsed="false">
      <c r="A1449" s="11" t="str">
        <f aca="false">IF(원본명단!$A1448="","",1446)</f>
        <v/>
      </c>
      <c r="B1449" s="12" t="str">
        <f aca="false">IF($A1449="","",원본명단!$A1448)</f>
        <v/>
      </c>
      <c r="C1449" s="12" t="str">
        <f aca="false">IF($A1449="","",원본명단!$B1448)</f>
        <v/>
      </c>
      <c r="D1449" s="12" t="str">
        <f aca="false">IF($A1449="","",원본명단!$D1448)</f>
        <v/>
      </c>
      <c r="E1449" s="11" t="str">
        <f aca="false">IF($A1449="","",IF(원본명단!$H1448="",0,COUNTIF(원본명단!$H$3:$H$6002,원본명단!$H1448)))</f>
        <v/>
      </c>
      <c r="F1449" s="11" t="str">
        <f aca="false">IF($A1449="","",IF(원본명단!$I1448="",0,COUNTIF(원본명단!$I$3:$I$6002,원본명단!$I1448)))</f>
        <v/>
      </c>
      <c r="G1449" s="11" t="str">
        <f aca="false">IF($A1449="","",IF(원본명단!$K1448="",0,COUNTIF(원본명단!$K$3:$K$6002,원본명단!$K1448)))</f>
        <v/>
      </c>
      <c r="H1449" s="11" t="str">
        <f aca="false">IF($A1449="","",IF(MAX($E1449,$F1449,$G1449)&gt;1,"중복","-"))</f>
        <v/>
      </c>
      <c r="I1449" s="11" t="str">
        <f aca="false">IF($A1449="","",IF($H1449="-","-",IF(AND(IF(원본명단!$H1448="",TRUE(),COUNTIF(원본명단!$H$3:$H1448,원본명단!$H1448)=1),IF(원본명단!$I1448="",TRUE(),COUNTIF(원본명단!$I$3:$I1448,원본명단!$I1448)=1),IF(원본명단!$K1448="",TRUE(),COUNTIF(원본명단!$K$3:$K1448,원본명단!$K1448)=1)),"첫 건","중복 건")))</f>
        <v/>
      </c>
      <c r="J1449" s="11" t="str">
        <f aca="false">IF($A1449="","",IF($H1449="-","유지",IF($I1449="첫 건","유지","확인 필요")))</f>
        <v/>
      </c>
    </row>
    <row r="1450" customFormat="false" ht="15" hidden="false" customHeight="true" outlineLevel="0" collapsed="false">
      <c r="A1450" s="11" t="str">
        <f aca="false">IF(원본명단!$A1449="","",1447)</f>
        <v/>
      </c>
      <c r="B1450" s="12" t="str">
        <f aca="false">IF($A1450="","",원본명단!$A1449)</f>
        <v/>
      </c>
      <c r="C1450" s="12" t="str">
        <f aca="false">IF($A1450="","",원본명단!$B1449)</f>
        <v/>
      </c>
      <c r="D1450" s="12" t="str">
        <f aca="false">IF($A1450="","",원본명단!$D1449)</f>
        <v/>
      </c>
      <c r="E1450" s="11" t="str">
        <f aca="false">IF($A1450="","",IF(원본명단!$H1449="",0,COUNTIF(원본명단!$H$3:$H$6002,원본명단!$H1449)))</f>
        <v/>
      </c>
      <c r="F1450" s="11" t="str">
        <f aca="false">IF($A1450="","",IF(원본명단!$I1449="",0,COUNTIF(원본명단!$I$3:$I$6002,원본명단!$I1449)))</f>
        <v/>
      </c>
      <c r="G1450" s="11" t="str">
        <f aca="false">IF($A1450="","",IF(원본명단!$K1449="",0,COUNTIF(원본명단!$K$3:$K$6002,원본명단!$K1449)))</f>
        <v/>
      </c>
      <c r="H1450" s="11" t="str">
        <f aca="false">IF($A1450="","",IF(MAX($E1450,$F1450,$G1450)&gt;1,"중복","-"))</f>
        <v/>
      </c>
      <c r="I1450" s="11" t="str">
        <f aca="false">IF($A1450="","",IF($H1450="-","-",IF(AND(IF(원본명단!$H1449="",TRUE(),COUNTIF(원본명단!$H$3:$H1449,원본명단!$H1449)=1),IF(원본명단!$I1449="",TRUE(),COUNTIF(원본명단!$I$3:$I1449,원본명단!$I1449)=1),IF(원본명단!$K1449="",TRUE(),COUNTIF(원본명단!$K$3:$K1449,원본명단!$K1449)=1)),"첫 건","중복 건")))</f>
        <v/>
      </c>
      <c r="J1450" s="11" t="str">
        <f aca="false">IF($A1450="","",IF($H1450="-","유지",IF($I1450="첫 건","유지","확인 필요")))</f>
        <v/>
      </c>
    </row>
    <row r="1451" customFormat="false" ht="15" hidden="false" customHeight="true" outlineLevel="0" collapsed="false">
      <c r="A1451" s="11" t="str">
        <f aca="false">IF(원본명단!$A1450="","",1448)</f>
        <v/>
      </c>
      <c r="B1451" s="12" t="str">
        <f aca="false">IF($A1451="","",원본명단!$A1450)</f>
        <v/>
      </c>
      <c r="C1451" s="12" t="str">
        <f aca="false">IF($A1451="","",원본명단!$B1450)</f>
        <v/>
      </c>
      <c r="D1451" s="12" t="str">
        <f aca="false">IF($A1451="","",원본명단!$D1450)</f>
        <v/>
      </c>
      <c r="E1451" s="11" t="str">
        <f aca="false">IF($A1451="","",IF(원본명단!$H1450="",0,COUNTIF(원본명단!$H$3:$H$6002,원본명단!$H1450)))</f>
        <v/>
      </c>
      <c r="F1451" s="11" t="str">
        <f aca="false">IF($A1451="","",IF(원본명단!$I1450="",0,COUNTIF(원본명단!$I$3:$I$6002,원본명단!$I1450)))</f>
        <v/>
      </c>
      <c r="G1451" s="11" t="str">
        <f aca="false">IF($A1451="","",IF(원본명단!$K1450="",0,COUNTIF(원본명단!$K$3:$K$6002,원본명단!$K1450)))</f>
        <v/>
      </c>
      <c r="H1451" s="11" t="str">
        <f aca="false">IF($A1451="","",IF(MAX($E1451,$F1451,$G1451)&gt;1,"중복","-"))</f>
        <v/>
      </c>
      <c r="I1451" s="11" t="str">
        <f aca="false">IF($A1451="","",IF($H1451="-","-",IF(AND(IF(원본명단!$H1450="",TRUE(),COUNTIF(원본명단!$H$3:$H1450,원본명단!$H1450)=1),IF(원본명단!$I1450="",TRUE(),COUNTIF(원본명단!$I$3:$I1450,원본명단!$I1450)=1),IF(원본명단!$K1450="",TRUE(),COUNTIF(원본명단!$K$3:$K1450,원본명단!$K1450)=1)),"첫 건","중복 건")))</f>
        <v/>
      </c>
      <c r="J1451" s="11" t="str">
        <f aca="false">IF($A1451="","",IF($H1451="-","유지",IF($I1451="첫 건","유지","확인 필요")))</f>
        <v/>
      </c>
    </row>
    <row r="1452" customFormat="false" ht="15" hidden="false" customHeight="true" outlineLevel="0" collapsed="false">
      <c r="A1452" s="11" t="str">
        <f aca="false">IF(원본명단!$A1451="","",1449)</f>
        <v/>
      </c>
      <c r="B1452" s="12" t="str">
        <f aca="false">IF($A1452="","",원본명단!$A1451)</f>
        <v/>
      </c>
      <c r="C1452" s="12" t="str">
        <f aca="false">IF($A1452="","",원본명단!$B1451)</f>
        <v/>
      </c>
      <c r="D1452" s="12" t="str">
        <f aca="false">IF($A1452="","",원본명단!$D1451)</f>
        <v/>
      </c>
      <c r="E1452" s="11" t="str">
        <f aca="false">IF($A1452="","",IF(원본명단!$H1451="",0,COUNTIF(원본명단!$H$3:$H$6002,원본명단!$H1451)))</f>
        <v/>
      </c>
      <c r="F1452" s="11" t="str">
        <f aca="false">IF($A1452="","",IF(원본명단!$I1451="",0,COUNTIF(원본명단!$I$3:$I$6002,원본명단!$I1451)))</f>
        <v/>
      </c>
      <c r="G1452" s="11" t="str">
        <f aca="false">IF($A1452="","",IF(원본명단!$K1451="",0,COUNTIF(원본명단!$K$3:$K$6002,원본명단!$K1451)))</f>
        <v/>
      </c>
      <c r="H1452" s="11" t="str">
        <f aca="false">IF($A1452="","",IF(MAX($E1452,$F1452,$G1452)&gt;1,"중복","-"))</f>
        <v/>
      </c>
      <c r="I1452" s="11" t="str">
        <f aca="false">IF($A1452="","",IF($H1452="-","-",IF(AND(IF(원본명단!$H1451="",TRUE(),COUNTIF(원본명단!$H$3:$H1451,원본명단!$H1451)=1),IF(원본명단!$I1451="",TRUE(),COUNTIF(원본명단!$I$3:$I1451,원본명단!$I1451)=1),IF(원본명단!$K1451="",TRUE(),COUNTIF(원본명단!$K$3:$K1451,원본명단!$K1451)=1)),"첫 건","중복 건")))</f>
        <v/>
      </c>
      <c r="J1452" s="11" t="str">
        <f aca="false">IF($A1452="","",IF($H1452="-","유지",IF($I1452="첫 건","유지","확인 필요")))</f>
        <v/>
      </c>
    </row>
    <row r="1453" customFormat="false" ht="15" hidden="false" customHeight="true" outlineLevel="0" collapsed="false">
      <c r="A1453" s="11" t="str">
        <f aca="false">IF(원본명단!$A1452="","",1450)</f>
        <v/>
      </c>
      <c r="B1453" s="12" t="str">
        <f aca="false">IF($A1453="","",원본명단!$A1452)</f>
        <v/>
      </c>
      <c r="C1453" s="12" t="str">
        <f aca="false">IF($A1453="","",원본명단!$B1452)</f>
        <v/>
      </c>
      <c r="D1453" s="12" t="str">
        <f aca="false">IF($A1453="","",원본명단!$D1452)</f>
        <v/>
      </c>
      <c r="E1453" s="11" t="str">
        <f aca="false">IF($A1453="","",IF(원본명단!$H1452="",0,COUNTIF(원본명단!$H$3:$H$6002,원본명단!$H1452)))</f>
        <v/>
      </c>
      <c r="F1453" s="11" t="str">
        <f aca="false">IF($A1453="","",IF(원본명단!$I1452="",0,COUNTIF(원본명단!$I$3:$I$6002,원본명단!$I1452)))</f>
        <v/>
      </c>
      <c r="G1453" s="11" t="str">
        <f aca="false">IF($A1453="","",IF(원본명단!$K1452="",0,COUNTIF(원본명단!$K$3:$K$6002,원본명단!$K1452)))</f>
        <v/>
      </c>
      <c r="H1453" s="11" t="str">
        <f aca="false">IF($A1453="","",IF(MAX($E1453,$F1453,$G1453)&gt;1,"중복","-"))</f>
        <v/>
      </c>
      <c r="I1453" s="11" t="str">
        <f aca="false">IF($A1453="","",IF($H1453="-","-",IF(AND(IF(원본명단!$H1452="",TRUE(),COUNTIF(원본명단!$H$3:$H1452,원본명단!$H1452)=1),IF(원본명단!$I1452="",TRUE(),COUNTIF(원본명단!$I$3:$I1452,원본명단!$I1452)=1),IF(원본명단!$K1452="",TRUE(),COUNTIF(원본명단!$K$3:$K1452,원본명단!$K1452)=1)),"첫 건","중복 건")))</f>
        <v/>
      </c>
      <c r="J1453" s="11" t="str">
        <f aca="false">IF($A1453="","",IF($H1453="-","유지",IF($I1453="첫 건","유지","확인 필요")))</f>
        <v/>
      </c>
    </row>
    <row r="1454" customFormat="false" ht="15" hidden="false" customHeight="true" outlineLevel="0" collapsed="false">
      <c r="A1454" s="11" t="str">
        <f aca="false">IF(원본명단!$A1453="","",1451)</f>
        <v/>
      </c>
      <c r="B1454" s="12" t="str">
        <f aca="false">IF($A1454="","",원본명단!$A1453)</f>
        <v/>
      </c>
      <c r="C1454" s="12" t="str">
        <f aca="false">IF($A1454="","",원본명단!$B1453)</f>
        <v/>
      </c>
      <c r="D1454" s="12" t="str">
        <f aca="false">IF($A1454="","",원본명단!$D1453)</f>
        <v/>
      </c>
      <c r="E1454" s="11" t="str">
        <f aca="false">IF($A1454="","",IF(원본명단!$H1453="",0,COUNTIF(원본명단!$H$3:$H$6002,원본명단!$H1453)))</f>
        <v/>
      </c>
      <c r="F1454" s="11" t="str">
        <f aca="false">IF($A1454="","",IF(원본명단!$I1453="",0,COUNTIF(원본명단!$I$3:$I$6002,원본명단!$I1453)))</f>
        <v/>
      </c>
      <c r="G1454" s="11" t="str">
        <f aca="false">IF($A1454="","",IF(원본명단!$K1453="",0,COUNTIF(원본명단!$K$3:$K$6002,원본명단!$K1453)))</f>
        <v/>
      </c>
      <c r="H1454" s="11" t="str">
        <f aca="false">IF($A1454="","",IF(MAX($E1454,$F1454,$G1454)&gt;1,"중복","-"))</f>
        <v/>
      </c>
      <c r="I1454" s="11" t="str">
        <f aca="false">IF($A1454="","",IF($H1454="-","-",IF(AND(IF(원본명단!$H1453="",TRUE(),COUNTIF(원본명단!$H$3:$H1453,원본명단!$H1453)=1),IF(원본명단!$I1453="",TRUE(),COUNTIF(원본명단!$I$3:$I1453,원본명단!$I1453)=1),IF(원본명단!$K1453="",TRUE(),COUNTIF(원본명단!$K$3:$K1453,원본명단!$K1453)=1)),"첫 건","중복 건")))</f>
        <v/>
      </c>
      <c r="J1454" s="11" t="str">
        <f aca="false">IF($A1454="","",IF($H1454="-","유지",IF($I1454="첫 건","유지","확인 필요")))</f>
        <v/>
      </c>
    </row>
    <row r="1455" customFormat="false" ht="15" hidden="false" customHeight="true" outlineLevel="0" collapsed="false">
      <c r="A1455" s="11" t="str">
        <f aca="false">IF(원본명단!$A1454="","",1452)</f>
        <v/>
      </c>
      <c r="B1455" s="12" t="str">
        <f aca="false">IF($A1455="","",원본명단!$A1454)</f>
        <v/>
      </c>
      <c r="C1455" s="12" t="str">
        <f aca="false">IF($A1455="","",원본명단!$B1454)</f>
        <v/>
      </c>
      <c r="D1455" s="12" t="str">
        <f aca="false">IF($A1455="","",원본명단!$D1454)</f>
        <v/>
      </c>
      <c r="E1455" s="11" t="str">
        <f aca="false">IF($A1455="","",IF(원본명단!$H1454="",0,COUNTIF(원본명단!$H$3:$H$6002,원본명단!$H1454)))</f>
        <v/>
      </c>
      <c r="F1455" s="11" t="str">
        <f aca="false">IF($A1455="","",IF(원본명단!$I1454="",0,COUNTIF(원본명단!$I$3:$I$6002,원본명단!$I1454)))</f>
        <v/>
      </c>
      <c r="G1455" s="11" t="str">
        <f aca="false">IF($A1455="","",IF(원본명단!$K1454="",0,COUNTIF(원본명단!$K$3:$K$6002,원본명단!$K1454)))</f>
        <v/>
      </c>
      <c r="H1455" s="11" t="str">
        <f aca="false">IF($A1455="","",IF(MAX($E1455,$F1455,$G1455)&gt;1,"중복","-"))</f>
        <v/>
      </c>
      <c r="I1455" s="11" t="str">
        <f aca="false">IF($A1455="","",IF($H1455="-","-",IF(AND(IF(원본명단!$H1454="",TRUE(),COUNTIF(원본명단!$H$3:$H1454,원본명단!$H1454)=1),IF(원본명단!$I1454="",TRUE(),COUNTIF(원본명단!$I$3:$I1454,원본명단!$I1454)=1),IF(원본명단!$K1454="",TRUE(),COUNTIF(원본명단!$K$3:$K1454,원본명단!$K1454)=1)),"첫 건","중복 건")))</f>
        <v/>
      </c>
      <c r="J1455" s="11" t="str">
        <f aca="false">IF($A1455="","",IF($H1455="-","유지",IF($I1455="첫 건","유지","확인 필요")))</f>
        <v/>
      </c>
    </row>
    <row r="1456" customFormat="false" ht="15" hidden="false" customHeight="true" outlineLevel="0" collapsed="false">
      <c r="A1456" s="11" t="str">
        <f aca="false">IF(원본명단!$A1455="","",1453)</f>
        <v/>
      </c>
      <c r="B1456" s="12" t="str">
        <f aca="false">IF($A1456="","",원본명단!$A1455)</f>
        <v/>
      </c>
      <c r="C1456" s="12" t="str">
        <f aca="false">IF($A1456="","",원본명단!$B1455)</f>
        <v/>
      </c>
      <c r="D1456" s="12" t="str">
        <f aca="false">IF($A1456="","",원본명단!$D1455)</f>
        <v/>
      </c>
      <c r="E1456" s="11" t="str">
        <f aca="false">IF($A1456="","",IF(원본명단!$H1455="",0,COUNTIF(원본명단!$H$3:$H$6002,원본명단!$H1455)))</f>
        <v/>
      </c>
      <c r="F1456" s="11" t="str">
        <f aca="false">IF($A1456="","",IF(원본명단!$I1455="",0,COUNTIF(원본명단!$I$3:$I$6002,원본명단!$I1455)))</f>
        <v/>
      </c>
      <c r="G1456" s="11" t="str">
        <f aca="false">IF($A1456="","",IF(원본명단!$K1455="",0,COUNTIF(원본명단!$K$3:$K$6002,원본명단!$K1455)))</f>
        <v/>
      </c>
      <c r="H1456" s="11" t="str">
        <f aca="false">IF($A1456="","",IF(MAX($E1456,$F1456,$G1456)&gt;1,"중복","-"))</f>
        <v/>
      </c>
      <c r="I1456" s="11" t="str">
        <f aca="false">IF($A1456="","",IF($H1456="-","-",IF(AND(IF(원본명단!$H1455="",TRUE(),COUNTIF(원본명단!$H$3:$H1455,원본명단!$H1455)=1),IF(원본명단!$I1455="",TRUE(),COUNTIF(원본명단!$I$3:$I1455,원본명단!$I1455)=1),IF(원본명단!$K1455="",TRUE(),COUNTIF(원본명단!$K$3:$K1455,원본명단!$K1455)=1)),"첫 건","중복 건")))</f>
        <v/>
      </c>
      <c r="J1456" s="11" t="str">
        <f aca="false">IF($A1456="","",IF($H1456="-","유지",IF($I1456="첫 건","유지","확인 필요")))</f>
        <v/>
      </c>
    </row>
    <row r="1457" customFormat="false" ht="15" hidden="false" customHeight="true" outlineLevel="0" collapsed="false">
      <c r="A1457" s="11" t="str">
        <f aca="false">IF(원본명단!$A1456="","",1454)</f>
        <v/>
      </c>
      <c r="B1457" s="12" t="str">
        <f aca="false">IF($A1457="","",원본명단!$A1456)</f>
        <v/>
      </c>
      <c r="C1457" s="12" t="str">
        <f aca="false">IF($A1457="","",원본명단!$B1456)</f>
        <v/>
      </c>
      <c r="D1457" s="12" t="str">
        <f aca="false">IF($A1457="","",원본명단!$D1456)</f>
        <v/>
      </c>
      <c r="E1457" s="11" t="str">
        <f aca="false">IF($A1457="","",IF(원본명단!$H1456="",0,COUNTIF(원본명단!$H$3:$H$6002,원본명단!$H1456)))</f>
        <v/>
      </c>
      <c r="F1457" s="11" t="str">
        <f aca="false">IF($A1457="","",IF(원본명단!$I1456="",0,COUNTIF(원본명단!$I$3:$I$6002,원본명단!$I1456)))</f>
        <v/>
      </c>
      <c r="G1457" s="11" t="str">
        <f aca="false">IF($A1457="","",IF(원본명단!$K1456="",0,COUNTIF(원본명단!$K$3:$K$6002,원본명단!$K1456)))</f>
        <v/>
      </c>
      <c r="H1457" s="11" t="str">
        <f aca="false">IF($A1457="","",IF(MAX($E1457,$F1457,$G1457)&gt;1,"중복","-"))</f>
        <v/>
      </c>
      <c r="I1457" s="11" t="str">
        <f aca="false">IF($A1457="","",IF($H1457="-","-",IF(AND(IF(원본명단!$H1456="",TRUE(),COUNTIF(원본명단!$H$3:$H1456,원본명단!$H1456)=1),IF(원본명단!$I1456="",TRUE(),COUNTIF(원본명단!$I$3:$I1456,원본명단!$I1456)=1),IF(원본명단!$K1456="",TRUE(),COUNTIF(원본명단!$K$3:$K1456,원본명단!$K1456)=1)),"첫 건","중복 건")))</f>
        <v/>
      </c>
      <c r="J1457" s="11" t="str">
        <f aca="false">IF($A1457="","",IF($H1457="-","유지",IF($I1457="첫 건","유지","확인 필요")))</f>
        <v/>
      </c>
    </row>
    <row r="1458" customFormat="false" ht="15" hidden="false" customHeight="true" outlineLevel="0" collapsed="false">
      <c r="A1458" s="11" t="str">
        <f aca="false">IF(원본명단!$A1457="","",1455)</f>
        <v/>
      </c>
      <c r="B1458" s="12" t="str">
        <f aca="false">IF($A1458="","",원본명단!$A1457)</f>
        <v/>
      </c>
      <c r="C1458" s="12" t="str">
        <f aca="false">IF($A1458="","",원본명단!$B1457)</f>
        <v/>
      </c>
      <c r="D1458" s="12" t="str">
        <f aca="false">IF($A1458="","",원본명단!$D1457)</f>
        <v/>
      </c>
      <c r="E1458" s="11" t="str">
        <f aca="false">IF($A1458="","",IF(원본명단!$H1457="",0,COUNTIF(원본명단!$H$3:$H$6002,원본명단!$H1457)))</f>
        <v/>
      </c>
      <c r="F1458" s="11" t="str">
        <f aca="false">IF($A1458="","",IF(원본명단!$I1457="",0,COUNTIF(원본명단!$I$3:$I$6002,원본명단!$I1457)))</f>
        <v/>
      </c>
      <c r="G1458" s="11" t="str">
        <f aca="false">IF($A1458="","",IF(원본명단!$K1457="",0,COUNTIF(원본명단!$K$3:$K$6002,원본명단!$K1457)))</f>
        <v/>
      </c>
      <c r="H1458" s="11" t="str">
        <f aca="false">IF($A1458="","",IF(MAX($E1458,$F1458,$G1458)&gt;1,"중복","-"))</f>
        <v/>
      </c>
      <c r="I1458" s="11" t="str">
        <f aca="false">IF($A1458="","",IF($H1458="-","-",IF(AND(IF(원본명단!$H1457="",TRUE(),COUNTIF(원본명단!$H$3:$H1457,원본명단!$H1457)=1),IF(원본명단!$I1457="",TRUE(),COUNTIF(원본명단!$I$3:$I1457,원본명단!$I1457)=1),IF(원본명단!$K1457="",TRUE(),COUNTIF(원본명단!$K$3:$K1457,원본명단!$K1457)=1)),"첫 건","중복 건")))</f>
        <v/>
      </c>
      <c r="J1458" s="11" t="str">
        <f aca="false">IF($A1458="","",IF($H1458="-","유지",IF($I1458="첫 건","유지","확인 필요")))</f>
        <v/>
      </c>
    </row>
    <row r="1459" customFormat="false" ht="15" hidden="false" customHeight="true" outlineLevel="0" collapsed="false">
      <c r="A1459" s="11" t="str">
        <f aca="false">IF(원본명단!$A1458="","",1456)</f>
        <v/>
      </c>
      <c r="B1459" s="12" t="str">
        <f aca="false">IF($A1459="","",원본명단!$A1458)</f>
        <v/>
      </c>
      <c r="C1459" s="12" t="str">
        <f aca="false">IF($A1459="","",원본명단!$B1458)</f>
        <v/>
      </c>
      <c r="D1459" s="12" t="str">
        <f aca="false">IF($A1459="","",원본명단!$D1458)</f>
        <v/>
      </c>
      <c r="E1459" s="11" t="str">
        <f aca="false">IF($A1459="","",IF(원본명단!$H1458="",0,COUNTIF(원본명단!$H$3:$H$6002,원본명단!$H1458)))</f>
        <v/>
      </c>
      <c r="F1459" s="11" t="str">
        <f aca="false">IF($A1459="","",IF(원본명단!$I1458="",0,COUNTIF(원본명단!$I$3:$I$6002,원본명단!$I1458)))</f>
        <v/>
      </c>
      <c r="G1459" s="11" t="str">
        <f aca="false">IF($A1459="","",IF(원본명단!$K1458="",0,COUNTIF(원본명단!$K$3:$K$6002,원본명단!$K1458)))</f>
        <v/>
      </c>
      <c r="H1459" s="11" t="str">
        <f aca="false">IF($A1459="","",IF(MAX($E1459,$F1459,$G1459)&gt;1,"중복","-"))</f>
        <v/>
      </c>
      <c r="I1459" s="11" t="str">
        <f aca="false">IF($A1459="","",IF($H1459="-","-",IF(AND(IF(원본명단!$H1458="",TRUE(),COUNTIF(원본명단!$H$3:$H1458,원본명단!$H1458)=1),IF(원본명단!$I1458="",TRUE(),COUNTIF(원본명단!$I$3:$I1458,원본명단!$I1458)=1),IF(원본명단!$K1458="",TRUE(),COUNTIF(원본명단!$K$3:$K1458,원본명단!$K1458)=1)),"첫 건","중복 건")))</f>
        <v/>
      </c>
      <c r="J1459" s="11" t="str">
        <f aca="false">IF($A1459="","",IF($H1459="-","유지",IF($I1459="첫 건","유지","확인 필요")))</f>
        <v/>
      </c>
    </row>
    <row r="1460" customFormat="false" ht="15" hidden="false" customHeight="true" outlineLevel="0" collapsed="false">
      <c r="A1460" s="11" t="str">
        <f aca="false">IF(원본명단!$A1459="","",1457)</f>
        <v/>
      </c>
      <c r="B1460" s="12" t="str">
        <f aca="false">IF($A1460="","",원본명단!$A1459)</f>
        <v/>
      </c>
      <c r="C1460" s="12" t="str">
        <f aca="false">IF($A1460="","",원본명단!$B1459)</f>
        <v/>
      </c>
      <c r="D1460" s="12" t="str">
        <f aca="false">IF($A1460="","",원본명단!$D1459)</f>
        <v/>
      </c>
      <c r="E1460" s="11" t="str">
        <f aca="false">IF($A1460="","",IF(원본명단!$H1459="",0,COUNTIF(원본명단!$H$3:$H$6002,원본명단!$H1459)))</f>
        <v/>
      </c>
      <c r="F1460" s="11" t="str">
        <f aca="false">IF($A1460="","",IF(원본명단!$I1459="",0,COUNTIF(원본명단!$I$3:$I$6002,원본명단!$I1459)))</f>
        <v/>
      </c>
      <c r="G1460" s="11" t="str">
        <f aca="false">IF($A1460="","",IF(원본명단!$K1459="",0,COUNTIF(원본명단!$K$3:$K$6002,원본명단!$K1459)))</f>
        <v/>
      </c>
      <c r="H1460" s="11" t="str">
        <f aca="false">IF($A1460="","",IF(MAX($E1460,$F1460,$G1460)&gt;1,"중복","-"))</f>
        <v/>
      </c>
      <c r="I1460" s="11" t="str">
        <f aca="false">IF($A1460="","",IF($H1460="-","-",IF(AND(IF(원본명단!$H1459="",TRUE(),COUNTIF(원본명단!$H$3:$H1459,원본명단!$H1459)=1),IF(원본명단!$I1459="",TRUE(),COUNTIF(원본명단!$I$3:$I1459,원본명단!$I1459)=1),IF(원본명단!$K1459="",TRUE(),COUNTIF(원본명단!$K$3:$K1459,원본명단!$K1459)=1)),"첫 건","중복 건")))</f>
        <v/>
      </c>
      <c r="J1460" s="11" t="str">
        <f aca="false">IF($A1460="","",IF($H1460="-","유지",IF($I1460="첫 건","유지","확인 필요")))</f>
        <v/>
      </c>
    </row>
    <row r="1461" customFormat="false" ht="15" hidden="false" customHeight="true" outlineLevel="0" collapsed="false">
      <c r="A1461" s="11" t="str">
        <f aca="false">IF(원본명단!$A1460="","",1458)</f>
        <v/>
      </c>
      <c r="B1461" s="12" t="str">
        <f aca="false">IF($A1461="","",원본명단!$A1460)</f>
        <v/>
      </c>
      <c r="C1461" s="12" t="str">
        <f aca="false">IF($A1461="","",원본명단!$B1460)</f>
        <v/>
      </c>
      <c r="D1461" s="12" t="str">
        <f aca="false">IF($A1461="","",원본명단!$D1460)</f>
        <v/>
      </c>
      <c r="E1461" s="11" t="str">
        <f aca="false">IF($A1461="","",IF(원본명단!$H1460="",0,COUNTIF(원본명단!$H$3:$H$6002,원본명단!$H1460)))</f>
        <v/>
      </c>
      <c r="F1461" s="11" t="str">
        <f aca="false">IF($A1461="","",IF(원본명단!$I1460="",0,COUNTIF(원본명단!$I$3:$I$6002,원본명단!$I1460)))</f>
        <v/>
      </c>
      <c r="G1461" s="11" t="str">
        <f aca="false">IF($A1461="","",IF(원본명단!$K1460="",0,COUNTIF(원본명단!$K$3:$K$6002,원본명단!$K1460)))</f>
        <v/>
      </c>
      <c r="H1461" s="11" t="str">
        <f aca="false">IF($A1461="","",IF(MAX($E1461,$F1461,$G1461)&gt;1,"중복","-"))</f>
        <v/>
      </c>
      <c r="I1461" s="11" t="str">
        <f aca="false">IF($A1461="","",IF($H1461="-","-",IF(AND(IF(원본명단!$H1460="",TRUE(),COUNTIF(원본명단!$H$3:$H1460,원본명단!$H1460)=1),IF(원본명단!$I1460="",TRUE(),COUNTIF(원본명단!$I$3:$I1460,원본명단!$I1460)=1),IF(원본명단!$K1460="",TRUE(),COUNTIF(원본명단!$K$3:$K1460,원본명단!$K1460)=1)),"첫 건","중복 건")))</f>
        <v/>
      </c>
      <c r="J1461" s="11" t="str">
        <f aca="false">IF($A1461="","",IF($H1461="-","유지",IF($I1461="첫 건","유지","확인 필요")))</f>
        <v/>
      </c>
    </row>
    <row r="1462" customFormat="false" ht="15" hidden="false" customHeight="true" outlineLevel="0" collapsed="false">
      <c r="A1462" s="11" t="str">
        <f aca="false">IF(원본명단!$A1461="","",1459)</f>
        <v/>
      </c>
      <c r="B1462" s="12" t="str">
        <f aca="false">IF($A1462="","",원본명단!$A1461)</f>
        <v/>
      </c>
      <c r="C1462" s="12" t="str">
        <f aca="false">IF($A1462="","",원본명단!$B1461)</f>
        <v/>
      </c>
      <c r="D1462" s="12" t="str">
        <f aca="false">IF($A1462="","",원본명단!$D1461)</f>
        <v/>
      </c>
      <c r="E1462" s="11" t="str">
        <f aca="false">IF($A1462="","",IF(원본명단!$H1461="",0,COUNTIF(원본명단!$H$3:$H$6002,원본명단!$H1461)))</f>
        <v/>
      </c>
      <c r="F1462" s="11" t="str">
        <f aca="false">IF($A1462="","",IF(원본명단!$I1461="",0,COUNTIF(원본명단!$I$3:$I$6002,원본명단!$I1461)))</f>
        <v/>
      </c>
      <c r="G1462" s="11" t="str">
        <f aca="false">IF($A1462="","",IF(원본명단!$K1461="",0,COUNTIF(원본명단!$K$3:$K$6002,원본명단!$K1461)))</f>
        <v/>
      </c>
      <c r="H1462" s="11" t="str">
        <f aca="false">IF($A1462="","",IF(MAX($E1462,$F1462,$G1462)&gt;1,"중복","-"))</f>
        <v/>
      </c>
      <c r="I1462" s="11" t="str">
        <f aca="false">IF($A1462="","",IF($H1462="-","-",IF(AND(IF(원본명단!$H1461="",TRUE(),COUNTIF(원본명단!$H$3:$H1461,원본명단!$H1461)=1),IF(원본명단!$I1461="",TRUE(),COUNTIF(원본명단!$I$3:$I1461,원본명단!$I1461)=1),IF(원본명단!$K1461="",TRUE(),COUNTIF(원본명단!$K$3:$K1461,원본명단!$K1461)=1)),"첫 건","중복 건")))</f>
        <v/>
      </c>
      <c r="J1462" s="11" t="str">
        <f aca="false">IF($A1462="","",IF($H1462="-","유지",IF($I1462="첫 건","유지","확인 필요")))</f>
        <v/>
      </c>
    </row>
    <row r="1463" customFormat="false" ht="15" hidden="false" customHeight="true" outlineLevel="0" collapsed="false">
      <c r="A1463" s="11" t="str">
        <f aca="false">IF(원본명단!$A1462="","",1460)</f>
        <v/>
      </c>
      <c r="B1463" s="12" t="str">
        <f aca="false">IF($A1463="","",원본명단!$A1462)</f>
        <v/>
      </c>
      <c r="C1463" s="12" t="str">
        <f aca="false">IF($A1463="","",원본명단!$B1462)</f>
        <v/>
      </c>
      <c r="D1463" s="12" t="str">
        <f aca="false">IF($A1463="","",원본명단!$D1462)</f>
        <v/>
      </c>
      <c r="E1463" s="11" t="str">
        <f aca="false">IF($A1463="","",IF(원본명단!$H1462="",0,COUNTIF(원본명단!$H$3:$H$6002,원본명단!$H1462)))</f>
        <v/>
      </c>
      <c r="F1463" s="11" t="str">
        <f aca="false">IF($A1463="","",IF(원본명단!$I1462="",0,COUNTIF(원본명단!$I$3:$I$6002,원본명단!$I1462)))</f>
        <v/>
      </c>
      <c r="G1463" s="11" t="str">
        <f aca="false">IF($A1463="","",IF(원본명단!$K1462="",0,COUNTIF(원본명단!$K$3:$K$6002,원본명단!$K1462)))</f>
        <v/>
      </c>
      <c r="H1463" s="11" t="str">
        <f aca="false">IF($A1463="","",IF(MAX($E1463,$F1463,$G1463)&gt;1,"중복","-"))</f>
        <v/>
      </c>
      <c r="I1463" s="11" t="str">
        <f aca="false">IF($A1463="","",IF($H1463="-","-",IF(AND(IF(원본명단!$H1462="",TRUE(),COUNTIF(원본명단!$H$3:$H1462,원본명단!$H1462)=1),IF(원본명단!$I1462="",TRUE(),COUNTIF(원본명단!$I$3:$I1462,원본명단!$I1462)=1),IF(원본명단!$K1462="",TRUE(),COUNTIF(원본명단!$K$3:$K1462,원본명단!$K1462)=1)),"첫 건","중복 건")))</f>
        <v/>
      </c>
      <c r="J1463" s="11" t="str">
        <f aca="false">IF($A1463="","",IF($H1463="-","유지",IF($I1463="첫 건","유지","확인 필요")))</f>
        <v/>
      </c>
    </row>
    <row r="1464" customFormat="false" ht="15" hidden="false" customHeight="true" outlineLevel="0" collapsed="false">
      <c r="A1464" s="11" t="str">
        <f aca="false">IF(원본명단!$A1463="","",1461)</f>
        <v/>
      </c>
      <c r="B1464" s="12" t="str">
        <f aca="false">IF($A1464="","",원본명단!$A1463)</f>
        <v/>
      </c>
      <c r="C1464" s="12" t="str">
        <f aca="false">IF($A1464="","",원본명단!$B1463)</f>
        <v/>
      </c>
      <c r="D1464" s="12" t="str">
        <f aca="false">IF($A1464="","",원본명단!$D1463)</f>
        <v/>
      </c>
      <c r="E1464" s="11" t="str">
        <f aca="false">IF($A1464="","",IF(원본명단!$H1463="",0,COUNTIF(원본명단!$H$3:$H$6002,원본명단!$H1463)))</f>
        <v/>
      </c>
      <c r="F1464" s="11" t="str">
        <f aca="false">IF($A1464="","",IF(원본명단!$I1463="",0,COUNTIF(원본명단!$I$3:$I$6002,원본명단!$I1463)))</f>
        <v/>
      </c>
      <c r="G1464" s="11" t="str">
        <f aca="false">IF($A1464="","",IF(원본명단!$K1463="",0,COUNTIF(원본명단!$K$3:$K$6002,원본명단!$K1463)))</f>
        <v/>
      </c>
      <c r="H1464" s="11" t="str">
        <f aca="false">IF($A1464="","",IF(MAX($E1464,$F1464,$G1464)&gt;1,"중복","-"))</f>
        <v/>
      </c>
      <c r="I1464" s="11" t="str">
        <f aca="false">IF($A1464="","",IF($H1464="-","-",IF(AND(IF(원본명단!$H1463="",TRUE(),COUNTIF(원본명단!$H$3:$H1463,원본명단!$H1463)=1),IF(원본명단!$I1463="",TRUE(),COUNTIF(원본명단!$I$3:$I1463,원본명단!$I1463)=1),IF(원본명단!$K1463="",TRUE(),COUNTIF(원본명단!$K$3:$K1463,원본명단!$K1463)=1)),"첫 건","중복 건")))</f>
        <v/>
      </c>
      <c r="J1464" s="11" t="str">
        <f aca="false">IF($A1464="","",IF($H1464="-","유지",IF($I1464="첫 건","유지","확인 필요")))</f>
        <v/>
      </c>
    </row>
    <row r="1465" customFormat="false" ht="15" hidden="false" customHeight="true" outlineLevel="0" collapsed="false">
      <c r="A1465" s="11" t="str">
        <f aca="false">IF(원본명단!$A1464="","",1462)</f>
        <v/>
      </c>
      <c r="B1465" s="12" t="str">
        <f aca="false">IF($A1465="","",원본명단!$A1464)</f>
        <v/>
      </c>
      <c r="C1465" s="12" t="str">
        <f aca="false">IF($A1465="","",원본명단!$B1464)</f>
        <v/>
      </c>
      <c r="D1465" s="12" t="str">
        <f aca="false">IF($A1465="","",원본명단!$D1464)</f>
        <v/>
      </c>
      <c r="E1465" s="11" t="str">
        <f aca="false">IF($A1465="","",IF(원본명단!$H1464="",0,COUNTIF(원본명단!$H$3:$H$6002,원본명단!$H1464)))</f>
        <v/>
      </c>
      <c r="F1465" s="11" t="str">
        <f aca="false">IF($A1465="","",IF(원본명단!$I1464="",0,COUNTIF(원본명단!$I$3:$I$6002,원본명단!$I1464)))</f>
        <v/>
      </c>
      <c r="G1465" s="11" t="str">
        <f aca="false">IF($A1465="","",IF(원본명단!$K1464="",0,COUNTIF(원본명단!$K$3:$K$6002,원본명단!$K1464)))</f>
        <v/>
      </c>
      <c r="H1465" s="11" t="str">
        <f aca="false">IF($A1465="","",IF(MAX($E1465,$F1465,$G1465)&gt;1,"중복","-"))</f>
        <v/>
      </c>
      <c r="I1465" s="11" t="str">
        <f aca="false">IF($A1465="","",IF($H1465="-","-",IF(AND(IF(원본명단!$H1464="",TRUE(),COUNTIF(원본명단!$H$3:$H1464,원본명단!$H1464)=1),IF(원본명단!$I1464="",TRUE(),COUNTIF(원본명단!$I$3:$I1464,원본명단!$I1464)=1),IF(원본명단!$K1464="",TRUE(),COUNTIF(원본명단!$K$3:$K1464,원본명단!$K1464)=1)),"첫 건","중복 건")))</f>
        <v/>
      </c>
      <c r="J1465" s="11" t="str">
        <f aca="false">IF($A1465="","",IF($H1465="-","유지",IF($I1465="첫 건","유지","확인 필요")))</f>
        <v/>
      </c>
    </row>
    <row r="1466" customFormat="false" ht="15" hidden="false" customHeight="true" outlineLevel="0" collapsed="false">
      <c r="A1466" s="11" t="str">
        <f aca="false">IF(원본명단!$A1465="","",1463)</f>
        <v/>
      </c>
      <c r="B1466" s="12" t="str">
        <f aca="false">IF($A1466="","",원본명단!$A1465)</f>
        <v/>
      </c>
      <c r="C1466" s="12" t="str">
        <f aca="false">IF($A1466="","",원본명단!$B1465)</f>
        <v/>
      </c>
      <c r="D1466" s="12" t="str">
        <f aca="false">IF($A1466="","",원본명단!$D1465)</f>
        <v/>
      </c>
      <c r="E1466" s="11" t="str">
        <f aca="false">IF($A1466="","",IF(원본명단!$H1465="",0,COUNTIF(원본명단!$H$3:$H$6002,원본명단!$H1465)))</f>
        <v/>
      </c>
      <c r="F1466" s="11" t="str">
        <f aca="false">IF($A1466="","",IF(원본명단!$I1465="",0,COUNTIF(원본명단!$I$3:$I$6002,원본명단!$I1465)))</f>
        <v/>
      </c>
      <c r="G1466" s="11" t="str">
        <f aca="false">IF($A1466="","",IF(원본명단!$K1465="",0,COUNTIF(원본명단!$K$3:$K$6002,원본명단!$K1465)))</f>
        <v/>
      </c>
      <c r="H1466" s="11" t="str">
        <f aca="false">IF($A1466="","",IF(MAX($E1466,$F1466,$G1466)&gt;1,"중복","-"))</f>
        <v/>
      </c>
      <c r="I1466" s="11" t="str">
        <f aca="false">IF($A1466="","",IF($H1466="-","-",IF(AND(IF(원본명단!$H1465="",TRUE(),COUNTIF(원본명단!$H$3:$H1465,원본명단!$H1465)=1),IF(원본명단!$I1465="",TRUE(),COUNTIF(원본명단!$I$3:$I1465,원본명단!$I1465)=1),IF(원본명단!$K1465="",TRUE(),COUNTIF(원본명단!$K$3:$K1465,원본명단!$K1465)=1)),"첫 건","중복 건")))</f>
        <v/>
      </c>
      <c r="J1466" s="11" t="str">
        <f aca="false">IF($A1466="","",IF($H1466="-","유지",IF($I1466="첫 건","유지","확인 필요")))</f>
        <v/>
      </c>
    </row>
    <row r="1467" customFormat="false" ht="15" hidden="false" customHeight="true" outlineLevel="0" collapsed="false">
      <c r="A1467" s="11" t="str">
        <f aca="false">IF(원본명단!$A1466="","",1464)</f>
        <v/>
      </c>
      <c r="B1467" s="12" t="str">
        <f aca="false">IF($A1467="","",원본명단!$A1466)</f>
        <v/>
      </c>
      <c r="C1467" s="12" t="str">
        <f aca="false">IF($A1467="","",원본명단!$B1466)</f>
        <v/>
      </c>
      <c r="D1467" s="12" t="str">
        <f aca="false">IF($A1467="","",원본명단!$D1466)</f>
        <v/>
      </c>
      <c r="E1467" s="11" t="str">
        <f aca="false">IF($A1467="","",IF(원본명단!$H1466="",0,COUNTIF(원본명단!$H$3:$H$6002,원본명단!$H1466)))</f>
        <v/>
      </c>
      <c r="F1467" s="11" t="str">
        <f aca="false">IF($A1467="","",IF(원본명단!$I1466="",0,COUNTIF(원본명단!$I$3:$I$6002,원본명단!$I1466)))</f>
        <v/>
      </c>
      <c r="G1467" s="11" t="str">
        <f aca="false">IF($A1467="","",IF(원본명단!$K1466="",0,COUNTIF(원본명단!$K$3:$K$6002,원본명단!$K1466)))</f>
        <v/>
      </c>
      <c r="H1467" s="11" t="str">
        <f aca="false">IF($A1467="","",IF(MAX($E1467,$F1467,$G1467)&gt;1,"중복","-"))</f>
        <v/>
      </c>
      <c r="I1467" s="11" t="str">
        <f aca="false">IF($A1467="","",IF($H1467="-","-",IF(AND(IF(원본명단!$H1466="",TRUE(),COUNTIF(원본명단!$H$3:$H1466,원본명단!$H1466)=1),IF(원본명단!$I1466="",TRUE(),COUNTIF(원본명단!$I$3:$I1466,원본명단!$I1466)=1),IF(원본명단!$K1466="",TRUE(),COUNTIF(원본명단!$K$3:$K1466,원본명단!$K1466)=1)),"첫 건","중복 건")))</f>
        <v/>
      </c>
      <c r="J1467" s="11" t="str">
        <f aca="false">IF($A1467="","",IF($H1467="-","유지",IF($I1467="첫 건","유지","확인 필요")))</f>
        <v/>
      </c>
    </row>
    <row r="1468" customFormat="false" ht="15" hidden="false" customHeight="true" outlineLevel="0" collapsed="false">
      <c r="A1468" s="11" t="str">
        <f aca="false">IF(원본명단!$A1467="","",1465)</f>
        <v/>
      </c>
      <c r="B1468" s="12" t="str">
        <f aca="false">IF($A1468="","",원본명단!$A1467)</f>
        <v/>
      </c>
      <c r="C1468" s="12" t="str">
        <f aca="false">IF($A1468="","",원본명단!$B1467)</f>
        <v/>
      </c>
      <c r="D1468" s="12" t="str">
        <f aca="false">IF($A1468="","",원본명단!$D1467)</f>
        <v/>
      </c>
      <c r="E1468" s="11" t="str">
        <f aca="false">IF($A1468="","",IF(원본명단!$H1467="",0,COUNTIF(원본명단!$H$3:$H$6002,원본명단!$H1467)))</f>
        <v/>
      </c>
      <c r="F1468" s="11" t="str">
        <f aca="false">IF($A1468="","",IF(원본명단!$I1467="",0,COUNTIF(원본명단!$I$3:$I$6002,원본명단!$I1467)))</f>
        <v/>
      </c>
      <c r="G1468" s="11" t="str">
        <f aca="false">IF($A1468="","",IF(원본명단!$K1467="",0,COUNTIF(원본명단!$K$3:$K$6002,원본명단!$K1467)))</f>
        <v/>
      </c>
      <c r="H1468" s="11" t="str">
        <f aca="false">IF($A1468="","",IF(MAX($E1468,$F1468,$G1468)&gt;1,"중복","-"))</f>
        <v/>
      </c>
      <c r="I1468" s="11" t="str">
        <f aca="false">IF($A1468="","",IF($H1468="-","-",IF(AND(IF(원본명단!$H1467="",TRUE(),COUNTIF(원본명단!$H$3:$H1467,원본명단!$H1467)=1),IF(원본명단!$I1467="",TRUE(),COUNTIF(원본명단!$I$3:$I1467,원본명단!$I1467)=1),IF(원본명단!$K1467="",TRUE(),COUNTIF(원본명단!$K$3:$K1467,원본명단!$K1467)=1)),"첫 건","중복 건")))</f>
        <v/>
      </c>
      <c r="J1468" s="11" t="str">
        <f aca="false">IF($A1468="","",IF($H1468="-","유지",IF($I1468="첫 건","유지","확인 필요")))</f>
        <v/>
      </c>
    </row>
    <row r="1469" customFormat="false" ht="15" hidden="false" customHeight="true" outlineLevel="0" collapsed="false">
      <c r="A1469" s="11" t="str">
        <f aca="false">IF(원본명단!$A1468="","",1466)</f>
        <v/>
      </c>
      <c r="B1469" s="12" t="str">
        <f aca="false">IF($A1469="","",원본명단!$A1468)</f>
        <v/>
      </c>
      <c r="C1469" s="12" t="str">
        <f aca="false">IF($A1469="","",원본명단!$B1468)</f>
        <v/>
      </c>
      <c r="D1469" s="12" t="str">
        <f aca="false">IF($A1469="","",원본명단!$D1468)</f>
        <v/>
      </c>
      <c r="E1469" s="11" t="str">
        <f aca="false">IF($A1469="","",IF(원본명단!$H1468="",0,COUNTIF(원본명단!$H$3:$H$6002,원본명단!$H1468)))</f>
        <v/>
      </c>
      <c r="F1469" s="11" t="str">
        <f aca="false">IF($A1469="","",IF(원본명단!$I1468="",0,COUNTIF(원본명단!$I$3:$I$6002,원본명단!$I1468)))</f>
        <v/>
      </c>
      <c r="G1469" s="11" t="str">
        <f aca="false">IF($A1469="","",IF(원본명단!$K1468="",0,COUNTIF(원본명단!$K$3:$K$6002,원본명단!$K1468)))</f>
        <v/>
      </c>
      <c r="H1469" s="11" t="str">
        <f aca="false">IF($A1469="","",IF(MAX($E1469,$F1469,$G1469)&gt;1,"중복","-"))</f>
        <v/>
      </c>
      <c r="I1469" s="11" t="str">
        <f aca="false">IF($A1469="","",IF($H1469="-","-",IF(AND(IF(원본명단!$H1468="",TRUE(),COUNTIF(원본명단!$H$3:$H1468,원본명단!$H1468)=1),IF(원본명단!$I1468="",TRUE(),COUNTIF(원본명단!$I$3:$I1468,원본명단!$I1468)=1),IF(원본명단!$K1468="",TRUE(),COUNTIF(원본명단!$K$3:$K1468,원본명단!$K1468)=1)),"첫 건","중복 건")))</f>
        <v/>
      </c>
      <c r="J1469" s="11" t="str">
        <f aca="false">IF($A1469="","",IF($H1469="-","유지",IF($I1469="첫 건","유지","확인 필요")))</f>
        <v/>
      </c>
    </row>
    <row r="1470" customFormat="false" ht="15" hidden="false" customHeight="true" outlineLevel="0" collapsed="false">
      <c r="A1470" s="11" t="str">
        <f aca="false">IF(원본명단!$A1469="","",1467)</f>
        <v/>
      </c>
      <c r="B1470" s="12" t="str">
        <f aca="false">IF($A1470="","",원본명단!$A1469)</f>
        <v/>
      </c>
      <c r="C1470" s="12" t="str">
        <f aca="false">IF($A1470="","",원본명단!$B1469)</f>
        <v/>
      </c>
      <c r="D1470" s="12" t="str">
        <f aca="false">IF($A1470="","",원본명단!$D1469)</f>
        <v/>
      </c>
      <c r="E1470" s="11" t="str">
        <f aca="false">IF($A1470="","",IF(원본명단!$H1469="",0,COUNTIF(원본명단!$H$3:$H$6002,원본명단!$H1469)))</f>
        <v/>
      </c>
      <c r="F1470" s="11" t="str">
        <f aca="false">IF($A1470="","",IF(원본명단!$I1469="",0,COUNTIF(원본명단!$I$3:$I$6002,원본명단!$I1469)))</f>
        <v/>
      </c>
      <c r="G1470" s="11" t="str">
        <f aca="false">IF($A1470="","",IF(원본명단!$K1469="",0,COUNTIF(원본명단!$K$3:$K$6002,원본명단!$K1469)))</f>
        <v/>
      </c>
      <c r="H1470" s="11" t="str">
        <f aca="false">IF($A1470="","",IF(MAX($E1470,$F1470,$G1470)&gt;1,"중복","-"))</f>
        <v/>
      </c>
      <c r="I1470" s="11" t="str">
        <f aca="false">IF($A1470="","",IF($H1470="-","-",IF(AND(IF(원본명단!$H1469="",TRUE(),COUNTIF(원본명단!$H$3:$H1469,원본명단!$H1469)=1),IF(원본명단!$I1469="",TRUE(),COUNTIF(원본명단!$I$3:$I1469,원본명단!$I1469)=1),IF(원본명단!$K1469="",TRUE(),COUNTIF(원본명단!$K$3:$K1469,원본명단!$K1469)=1)),"첫 건","중복 건")))</f>
        <v/>
      </c>
      <c r="J1470" s="11" t="str">
        <f aca="false">IF($A1470="","",IF($H1470="-","유지",IF($I1470="첫 건","유지","확인 필요")))</f>
        <v/>
      </c>
    </row>
    <row r="1471" customFormat="false" ht="15" hidden="false" customHeight="true" outlineLevel="0" collapsed="false">
      <c r="A1471" s="11" t="str">
        <f aca="false">IF(원본명단!$A1470="","",1468)</f>
        <v/>
      </c>
      <c r="B1471" s="12" t="str">
        <f aca="false">IF($A1471="","",원본명단!$A1470)</f>
        <v/>
      </c>
      <c r="C1471" s="12" t="str">
        <f aca="false">IF($A1471="","",원본명단!$B1470)</f>
        <v/>
      </c>
      <c r="D1471" s="12" t="str">
        <f aca="false">IF($A1471="","",원본명단!$D1470)</f>
        <v/>
      </c>
      <c r="E1471" s="11" t="str">
        <f aca="false">IF($A1471="","",IF(원본명단!$H1470="",0,COUNTIF(원본명단!$H$3:$H$6002,원본명단!$H1470)))</f>
        <v/>
      </c>
      <c r="F1471" s="11" t="str">
        <f aca="false">IF($A1471="","",IF(원본명단!$I1470="",0,COUNTIF(원본명단!$I$3:$I$6002,원본명단!$I1470)))</f>
        <v/>
      </c>
      <c r="G1471" s="11" t="str">
        <f aca="false">IF($A1471="","",IF(원본명단!$K1470="",0,COUNTIF(원본명단!$K$3:$K$6002,원본명단!$K1470)))</f>
        <v/>
      </c>
      <c r="H1471" s="11" t="str">
        <f aca="false">IF($A1471="","",IF(MAX($E1471,$F1471,$G1471)&gt;1,"중복","-"))</f>
        <v/>
      </c>
      <c r="I1471" s="11" t="str">
        <f aca="false">IF($A1471="","",IF($H1471="-","-",IF(AND(IF(원본명단!$H1470="",TRUE(),COUNTIF(원본명단!$H$3:$H1470,원본명단!$H1470)=1),IF(원본명단!$I1470="",TRUE(),COUNTIF(원본명단!$I$3:$I1470,원본명단!$I1470)=1),IF(원본명단!$K1470="",TRUE(),COUNTIF(원본명단!$K$3:$K1470,원본명단!$K1470)=1)),"첫 건","중복 건")))</f>
        <v/>
      </c>
      <c r="J1471" s="11" t="str">
        <f aca="false">IF($A1471="","",IF($H1471="-","유지",IF($I1471="첫 건","유지","확인 필요")))</f>
        <v/>
      </c>
    </row>
    <row r="1472" customFormat="false" ht="15" hidden="false" customHeight="true" outlineLevel="0" collapsed="false">
      <c r="A1472" s="11" t="str">
        <f aca="false">IF(원본명단!$A1471="","",1469)</f>
        <v/>
      </c>
      <c r="B1472" s="12" t="str">
        <f aca="false">IF($A1472="","",원본명단!$A1471)</f>
        <v/>
      </c>
      <c r="C1472" s="12" t="str">
        <f aca="false">IF($A1472="","",원본명단!$B1471)</f>
        <v/>
      </c>
      <c r="D1472" s="12" t="str">
        <f aca="false">IF($A1472="","",원본명단!$D1471)</f>
        <v/>
      </c>
      <c r="E1472" s="11" t="str">
        <f aca="false">IF($A1472="","",IF(원본명단!$H1471="",0,COUNTIF(원본명단!$H$3:$H$6002,원본명단!$H1471)))</f>
        <v/>
      </c>
      <c r="F1472" s="11" t="str">
        <f aca="false">IF($A1472="","",IF(원본명단!$I1471="",0,COUNTIF(원본명단!$I$3:$I$6002,원본명단!$I1471)))</f>
        <v/>
      </c>
      <c r="G1472" s="11" t="str">
        <f aca="false">IF($A1472="","",IF(원본명단!$K1471="",0,COUNTIF(원본명단!$K$3:$K$6002,원본명단!$K1471)))</f>
        <v/>
      </c>
      <c r="H1472" s="11" t="str">
        <f aca="false">IF($A1472="","",IF(MAX($E1472,$F1472,$G1472)&gt;1,"중복","-"))</f>
        <v/>
      </c>
      <c r="I1472" s="11" t="str">
        <f aca="false">IF($A1472="","",IF($H1472="-","-",IF(AND(IF(원본명단!$H1471="",TRUE(),COUNTIF(원본명단!$H$3:$H1471,원본명단!$H1471)=1),IF(원본명단!$I1471="",TRUE(),COUNTIF(원본명단!$I$3:$I1471,원본명단!$I1471)=1),IF(원본명단!$K1471="",TRUE(),COUNTIF(원본명단!$K$3:$K1471,원본명단!$K1471)=1)),"첫 건","중복 건")))</f>
        <v/>
      </c>
      <c r="J1472" s="11" t="str">
        <f aca="false">IF($A1472="","",IF($H1472="-","유지",IF($I1472="첫 건","유지","확인 필요")))</f>
        <v/>
      </c>
    </row>
    <row r="1473" customFormat="false" ht="15" hidden="false" customHeight="true" outlineLevel="0" collapsed="false">
      <c r="A1473" s="11" t="str">
        <f aca="false">IF(원본명단!$A1472="","",1470)</f>
        <v/>
      </c>
      <c r="B1473" s="12" t="str">
        <f aca="false">IF($A1473="","",원본명단!$A1472)</f>
        <v/>
      </c>
      <c r="C1473" s="12" t="str">
        <f aca="false">IF($A1473="","",원본명단!$B1472)</f>
        <v/>
      </c>
      <c r="D1473" s="12" t="str">
        <f aca="false">IF($A1473="","",원본명단!$D1472)</f>
        <v/>
      </c>
      <c r="E1473" s="11" t="str">
        <f aca="false">IF($A1473="","",IF(원본명단!$H1472="",0,COUNTIF(원본명단!$H$3:$H$6002,원본명단!$H1472)))</f>
        <v/>
      </c>
      <c r="F1473" s="11" t="str">
        <f aca="false">IF($A1473="","",IF(원본명단!$I1472="",0,COUNTIF(원본명단!$I$3:$I$6002,원본명단!$I1472)))</f>
        <v/>
      </c>
      <c r="G1473" s="11" t="str">
        <f aca="false">IF($A1473="","",IF(원본명단!$K1472="",0,COUNTIF(원본명단!$K$3:$K$6002,원본명단!$K1472)))</f>
        <v/>
      </c>
      <c r="H1473" s="11" t="str">
        <f aca="false">IF($A1473="","",IF(MAX($E1473,$F1473,$G1473)&gt;1,"중복","-"))</f>
        <v/>
      </c>
      <c r="I1473" s="11" t="str">
        <f aca="false">IF($A1473="","",IF($H1473="-","-",IF(AND(IF(원본명단!$H1472="",TRUE(),COUNTIF(원본명단!$H$3:$H1472,원본명단!$H1472)=1),IF(원본명단!$I1472="",TRUE(),COUNTIF(원본명단!$I$3:$I1472,원본명단!$I1472)=1),IF(원본명단!$K1472="",TRUE(),COUNTIF(원본명단!$K$3:$K1472,원본명단!$K1472)=1)),"첫 건","중복 건")))</f>
        <v/>
      </c>
      <c r="J1473" s="11" t="str">
        <f aca="false">IF($A1473="","",IF($H1473="-","유지",IF($I1473="첫 건","유지","확인 필요")))</f>
        <v/>
      </c>
    </row>
    <row r="1474" customFormat="false" ht="15" hidden="false" customHeight="true" outlineLevel="0" collapsed="false">
      <c r="A1474" s="11" t="str">
        <f aca="false">IF(원본명단!$A1473="","",1471)</f>
        <v/>
      </c>
      <c r="B1474" s="12" t="str">
        <f aca="false">IF($A1474="","",원본명단!$A1473)</f>
        <v/>
      </c>
      <c r="C1474" s="12" t="str">
        <f aca="false">IF($A1474="","",원본명단!$B1473)</f>
        <v/>
      </c>
      <c r="D1474" s="12" t="str">
        <f aca="false">IF($A1474="","",원본명단!$D1473)</f>
        <v/>
      </c>
      <c r="E1474" s="11" t="str">
        <f aca="false">IF($A1474="","",IF(원본명단!$H1473="",0,COUNTIF(원본명단!$H$3:$H$6002,원본명단!$H1473)))</f>
        <v/>
      </c>
      <c r="F1474" s="11" t="str">
        <f aca="false">IF($A1474="","",IF(원본명단!$I1473="",0,COUNTIF(원본명단!$I$3:$I$6002,원본명단!$I1473)))</f>
        <v/>
      </c>
      <c r="G1474" s="11" t="str">
        <f aca="false">IF($A1474="","",IF(원본명단!$K1473="",0,COUNTIF(원본명단!$K$3:$K$6002,원본명단!$K1473)))</f>
        <v/>
      </c>
      <c r="H1474" s="11" t="str">
        <f aca="false">IF($A1474="","",IF(MAX($E1474,$F1474,$G1474)&gt;1,"중복","-"))</f>
        <v/>
      </c>
      <c r="I1474" s="11" t="str">
        <f aca="false">IF($A1474="","",IF($H1474="-","-",IF(AND(IF(원본명단!$H1473="",TRUE(),COUNTIF(원본명단!$H$3:$H1473,원본명단!$H1473)=1),IF(원본명단!$I1473="",TRUE(),COUNTIF(원본명단!$I$3:$I1473,원본명단!$I1473)=1),IF(원본명단!$K1473="",TRUE(),COUNTIF(원본명단!$K$3:$K1473,원본명단!$K1473)=1)),"첫 건","중복 건")))</f>
        <v/>
      </c>
      <c r="J1474" s="11" t="str">
        <f aca="false">IF($A1474="","",IF($H1474="-","유지",IF($I1474="첫 건","유지","확인 필요")))</f>
        <v/>
      </c>
    </row>
    <row r="1475" customFormat="false" ht="15" hidden="false" customHeight="true" outlineLevel="0" collapsed="false">
      <c r="A1475" s="11" t="str">
        <f aca="false">IF(원본명단!$A1474="","",1472)</f>
        <v/>
      </c>
      <c r="B1475" s="12" t="str">
        <f aca="false">IF($A1475="","",원본명단!$A1474)</f>
        <v/>
      </c>
      <c r="C1475" s="12" t="str">
        <f aca="false">IF($A1475="","",원본명단!$B1474)</f>
        <v/>
      </c>
      <c r="D1475" s="12" t="str">
        <f aca="false">IF($A1475="","",원본명단!$D1474)</f>
        <v/>
      </c>
      <c r="E1475" s="11" t="str">
        <f aca="false">IF($A1475="","",IF(원본명단!$H1474="",0,COUNTIF(원본명단!$H$3:$H$6002,원본명단!$H1474)))</f>
        <v/>
      </c>
      <c r="F1475" s="11" t="str">
        <f aca="false">IF($A1475="","",IF(원본명단!$I1474="",0,COUNTIF(원본명단!$I$3:$I$6002,원본명단!$I1474)))</f>
        <v/>
      </c>
      <c r="G1475" s="11" t="str">
        <f aca="false">IF($A1475="","",IF(원본명단!$K1474="",0,COUNTIF(원본명단!$K$3:$K$6002,원본명단!$K1474)))</f>
        <v/>
      </c>
      <c r="H1475" s="11" t="str">
        <f aca="false">IF($A1475="","",IF(MAX($E1475,$F1475,$G1475)&gt;1,"중복","-"))</f>
        <v/>
      </c>
      <c r="I1475" s="11" t="str">
        <f aca="false">IF($A1475="","",IF($H1475="-","-",IF(AND(IF(원본명단!$H1474="",TRUE(),COUNTIF(원본명단!$H$3:$H1474,원본명단!$H1474)=1),IF(원본명단!$I1474="",TRUE(),COUNTIF(원본명단!$I$3:$I1474,원본명단!$I1474)=1),IF(원본명단!$K1474="",TRUE(),COUNTIF(원본명단!$K$3:$K1474,원본명단!$K1474)=1)),"첫 건","중복 건")))</f>
        <v/>
      </c>
      <c r="J1475" s="11" t="str">
        <f aca="false">IF($A1475="","",IF($H1475="-","유지",IF($I1475="첫 건","유지","확인 필요")))</f>
        <v/>
      </c>
    </row>
    <row r="1476" customFormat="false" ht="15" hidden="false" customHeight="true" outlineLevel="0" collapsed="false">
      <c r="A1476" s="11" t="str">
        <f aca="false">IF(원본명단!$A1475="","",1473)</f>
        <v/>
      </c>
      <c r="B1476" s="12" t="str">
        <f aca="false">IF($A1476="","",원본명단!$A1475)</f>
        <v/>
      </c>
      <c r="C1476" s="12" t="str">
        <f aca="false">IF($A1476="","",원본명단!$B1475)</f>
        <v/>
      </c>
      <c r="D1476" s="12" t="str">
        <f aca="false">IF($A1476="","",원본명단!$D1475)</f>
        <v/>
      </c>
      <c r="E1476" s="11" t="str">
        <f aca="false">IF($A1476="","",IF(원본명단!$H1475="",0,COUNTIF(원본명단!$H$3:$H$6002,원본명단!$H1475)))</f>
        <v/>
      </c>
      <c r="F1476" s="11" t="str">
        <f aca="false">IF($A1476="","",IF(원본명단!$I1475="",0,COUNTIF(원본명단!$I$3:$I$6002,원본명단!$I1475)))</f>
        <v/>
      </c>
      <c r="G1476" s="11" t="str">
        <f aca="false">IF($A1476="","",IF(원본명단!$K1475="",0,COUNTIF(원본명단!$K$3:$K$6002,원본명단!$K1475)))</f>
        <v/>
      </c>
      <c r="H1476" s="11" t="str">
        <f aca="false">IF($A1476="","",IF(MAX($E1476,$F1476,$G1476)&gt;1,"중복","-"))</f>
        <v/>
      </c>
      <c r="I1476" s="11" t="str">
        <f aca="false">IF($A1476="","",IF($H1476="-","-",IF(AND(IF(원본명단!$H1475="",TRUE(),COUNTIF(원본명단!$H$3:$H1475,원본명단!$H1475)=1),IF(원본명단!$I1475="",TRUE(),COUNTIF(원본명단!$I$3:$I1475,원본명단!$I1475)=1),IF(원본명단!$K1475="",TRUE(),COUNTIF(원본명단!$K$3:$K1475,원본명단!$K1475)=1)),"첫 건","중복 건")))</f>
        <v/>
      </c>
      <c r="J1476" s="11" t="str">
        <f aca="false">IF($A1476="","",IF($H1476="-","유지",IF($I1476="첫 건","유지","확인 필요")))</f>
        <v/>
      </c>
    </row>
    <row r="1477" customFormat="false" ht="15" hidden="false" customHeight="true" outlineLevel="0" collapsed="false">
      <c r="A1477" s="11" t="str">
        <f aca="false">IF(원본명단!$A1476="","",1474)</f>
        <v/>
      </c>
      <c r="B1477" s="12" t="str">
        <f aca="false">IF($A1477="","",원본명단!$A1476)</f>
        <v/>
      </c>
      <c r="C1477" s="12" t="str">
        <f aca="false">IF($A1477="","",원본명단!$B1476)</f>
        <v/>
      </c>
      <c r="D1477" s="12" t="str">
        <f aca="false">IF($A1477="","",원본명단!$D1476)</f>
        <v/>
      </c>
      <c r="E1477" s="11" t="str">
        <f aca="false">IF($A1477="","",IF(원본명단!$H1476="",0,COUNTIF(원본명단!$H$3:$H$6002,원본명단!$H1476)))</f>
        <v/>
      </c>
      <c r="F1477" s="11" t="str">
        <f aca="false">IF($A1477="","",IF(원본명단!$I1476="",0,COUNTIF(원본명단!$I$3:$I$6002,원본명단!$I1476)))</f>
        <v/>
      </c>
      <c r="G1477" s="11" t="str">
        <f aca="false">IF($A1477="","",IF(원본명단!$K1476="",0,COUNTIF(원본명단!$K$3:$K$6002,원본명단!$K1476)))</f>
        <v/>
      </c>
      <c r="H1477" s="11" t="str">
        <f aca="false">IF($A1477="","",IF(MAX($E1477,$F1477,$G1477)&gt;1,"중복","-"))</f>
        <v/>
      </c>
      <c r="I1477" s="11" t="str">
        <f aca="false">IF($A1477="","",IF($H1477="-","-",IF(AND(IF(원본명단!$H1476="",TRUE(),COUNTIF(원본명단!$H$3:$H1476,원본명단!$H1476)=1),IF(원본명단!$I1476="",TRUE(),COUNTIF(원본명단!$I$3:$I1476,원본명단!$I1476)=1),IF(원본명단!$K1476="",TRUE(),COUNTIF(원본명단!$K$3:$K1476,원본명단!$K1476)=1)),"첫 건","중복 건")))</f>
        <v/>
      </c>
      <c r="J1477" s="11" t="str">
        <f aca="false">IF($A1477="","",IF($H1477="-","유지",IF($I1477="첫 건","유지","확인 필요")))</f>
        <v/>
      </c>
    </row>
    <row r="1478" customFormat="false" ht="15" hidden="false" customHeight="true" outlineLevel="0" collapsed="false">
      <c r="A1478" s="11" t="str">
        <f aca="false">IF(원본명단!$A1477="","",1475)</f>
        <v/>
      </c>
      <c r="B1478" s="12" t="str">
        <f aca="false">IF($A1478="","",원본명단!$A1477)</f>
        <v/>
      </c>
      <c r="C1478" s="12" t="str">
        <f aca="false">IF($A1478="","",원본명단!$B1477)</f>
        <v/>
      </c>
      <c r="D1478" s="12" t="str">
        <f aca="false">IF($A1478="","",원본명단!$D1477)</f>
        <v/>
      </c>
      <c r="E1478" s="11" t="str">
        <f aca="false">IF($A1478="","",IF(원본명단!$H1477="",0,COUNTIF(원본명단!$H$3:$H$6002,원본명단!$H1477)))</f>
        <v/>
      </c>
      <c r="F1478" s="11" t="str">
        <f aca="false">IF($A1478="","",IF(원본명단!$I1477="",0,COUNTIF(원본명단!$I$3:$I$6002,원본명단!$I1477)))</f>
        <v/>
      </c>
      <c r="G1478" s="11" t="str">
        <f aca="false">IF($A1478="","",IF(원본명단!$K1477="",0,COUNTIF(원본명단!$K$3:$K$6002,원본명단!$K1477)))</f>
        <v/>
      </c>
      <c r="H1478" s="11" t="str">
        <f aca="false">IF($A1478="","",IF(MAX($E1478,$F1478,$G1478)&gt;1,"중복","-"))</f>
        <v/>
      </c>
      <c r="I1478" s="11" t="str">
        <f aca="false">IF($A1478="","",IF($H1478="-","-",IF(AND(IF(원본명단!$H1477="",TRUE(),COUNTIF(원본명단!$H$3:$H1477,원본명단!$H1477)=1),IF(원본명단!$I1477="",TRUE(),COUNTIF(원본명단!$I$3:$I1477,원본명단!$I1477)=1),IF(원본명단!$K1477="",TRUE(),COUNTIF(원본명단!$K$3:$K1477,원본명단!$K1477)=1)),"첫 건","중복 건")))</f>
        <v/>
      </c>
      <c r="J1478" s="11" t="str">
        <f aca="false">IF($A1478="","",IF($H1478="-","유지",IF($I1478="첫 건","유지","확인 필요")))</f>
        <v/>
      </c>
    </row>
    <row r="1479" customFormat="false" ht="15" hidden="false" customHeight="true" outlineLevel="0" collapsed="false">
      <c r="A1479" s="11" t="str">
        <f aca="false">IF(원본명단!$A1478="","",1476)</f>
        <v/>
      </c>
      <c r="B1479" s="12" t="str">
        <f aca="false">IF($A1479="","",원본명단!$A1478)</f>
        <v/>
      </c>
      <c r="C1479" s="12" t="str">
        <f aca="false">IF($A1479="","",원본명단!$B1478)</f>
        <v/>
      </c>
      <c r="D1479" s="12" t="str">
        <f aca="false">IF($A1479="","",원본명단!$D1478)</f>
        <v/>
      </c>
      <c r="E1479" s="11" t="str">
        <f aca="false">IF($A1479="","",IF(원본명단!$H1478="",0,COUNTIF(원본명단!$H$3:$H$6002,원본명단!$H1478)))</f>
        <v/>
      </c>
      <c r="F1479" s="11" t="str">
        <f aca="false">IF($A1479="","",IF(원본명단!$I1478="",0,COUNTIF(원본명단!$I$3:$I$6002,원본명단!$I1478)))</f>
        <v/>
      </c>
      <c r="G1479" s="11" t="str">
        <f aca="false">IF($A1479="","",IF(원본명단!$K1478="",0,COUNTIF(원본명단!$K$3:$K$6002,원본명단!$K1478)))</f>
        <v/>
      </c>
      <c r="H1479" s="11" t="str">
        <f aca="false">IF($A1479="","",IF(MAX($E1479,$F1479,$G1479)&gt;1,"중복","-"))</f>
        <v/>
      </c>
      <c r="I1479" s="11" t="str">
        <f aca="false">IF($A1479="","",IF($H1479="-","-",IF(AND(IF(원본명단!$H1478="",TRUE(),COUNTIF(원본명단!$H$3:$H1478,원본명단!$H1478)=1),IF(원본명단!$I1478="",TRUE(),COUNTIF(원본명단!$I$3:$I1478,원본명단!$I1478)=1),IF(원본명단!$K1478="",TRUE(),COUNTIF(원본명단!$K$3:$K1478,원본명단!$K1478)=1)),"첫 건","중복 건")))</f>
        <v/>
      </c>
      <c r="J1479" s="11" t="str">
        <f aca="false">IF($A1479="","",IF($H1479="-","유지",IF($I1479="첫 건","유지","확인 필요")))</f>
        <v/>
      </c>
    </row>
    <row r="1480" customFormat="false" ht="15" hidden="false" customHeight="true" outlineLevel="0" collapsed="false">
      <c r="A1480" s="11" t="str">
        <f aca="false">IF(원본명단!$A1479="","",1477)</f>
        <v/>
      </c>
      <c r="B1480" s="12" t="str">
        <f aca="false">IF($A1480="","",원본명단!$A1479)</f>
        <v/>
      </c>
      <c r="C1480" s="12" t="str">
        <f aca="false">IF($A1480="","",원본명단!$B1479)</f>
        <v/>
      </c>
      <c r="D1480" s="12" t="str">
        <f aca="false">IF($A1480="","",원본명단!$D1479)</f>
        <v/>
      </c>
      <c r="E1480" s="11" t="str">
        <f aca="false">IF($A1480="","",IF(원본명단!$H1479="",0,COUNTIF(원본명단!$H$3:$H$6002,원본명단!$H1479)))</f>
        <v/>
      </c>
      <c r="F1480" s="11" t="str">
        <f aca="false">IF($A1480="","",IF(원본명단!$I1479="",0,COUNTIF(원본명단!$I$3:$I$6002,원본명단!$I1479)))</f>
        <v/>
      </c>
      <c r="G1480" s="11" t="str">
        <f aca="false">IF($A1480="","",IF(원본명단!$K1479="",0,COUNTIF(원본명단!$K$3:$K$6002,원본명단!$K1479)))</f>
        <v/>
      </c>
      <c r="H1480" s="11" t="str">
        <f aca="false">IF($A1480="","",IF(MAX($E1480,$F1480,$G1480)&gt;1,"중복","-"))</f>
        <v/>
      </c>
      <c r="I1480" s="11" t="str">
        <f aca="false">IF($A1480="","",IF($H1480="-","-",IF(AND(IF(원본명단!$H1479="",TRUE(),COUNTIF(원본명단!$H$3:$H1479,원본명단!$H1479)=1),IF(원본명단!$I1479="",TRUE(),COUNTIF(원본명단!$I$3:$I1479,원본명단!$I1479)=1),IF(원본명단!$K1479="",TRUE(),COUNTIF(원본명단!$K$3:$K1479,원본명단!$K1479)=1)),"첫 건","중복 건")))</f>
        <v/>
      </c>
      <c r="J1480" s="11" t="str">
        <f aca="false">IF($A1480="","",IF($H1480="-","유지",IF($I1480="첫 건","유지","확인 필요")))</f>
        <v/>
      </c>
    </row>
    <row r="1481" customFormat="false" ht="15" hidden="false" customHeight="true" outlineLevel="0" collapsed="false">
      <c r="A1481" s="11" t="str">
        <f aca="false">IF(원본명단!$A1480="","",1478)</f>
        <v/>
      </c>
      <c r="B1481" s="12" t="str">
        <f aca="false">IF($A1481="","",원본명단!$A1480)</f>
        <v/>
      </c>
      <c r="C1481" s="12" t="str">
        <f aca="false">IF($A1481="","",원본명단!$B1480)</f>
        <v/>
      </c>
      <c r="D1481" s="12" t="str">
        <f aca="false">IF($A1481="","",원본명단!$D1480)</f>
        <v/>
      </c>
      <c r="E1481" s="11" t="str">
        <f aca="false">IF($A1481="","",IF(원본명단!$H1480="",0,COUNTIF(원본명단!$H$3:$H$6002,원본명단!$H1480)))</f>
        <v/>
      </c>
      <c r="F1481" s="11" t="str">
        <f aca="false">IF($A1481="","",IF(원본명단!$I1480="",0,COUNTIF(원본명단!$I$3:$I$6002,원본명단!$I1480)))</f>
        <v/>
      </c>
      <c r="G1481" s="11" t="str">
        <f aca="false">IF($A1481="","",IF(원본명단!$K1480="",0,COUNTIF(원본명단!$K$3:$K$6002,원본명단!$K1480)))</f>
        <v/>
      </c>
      <c r="H1481" s="11" t="str">
        <f aca="false">IF($A1481="","",IF(MAX($E1481,$F1481,$G1481)&gt;1,"중복","-"))</f>
        <v/>
      </c>
      <c r="I1481" s="11" t="str">
        <f aca="false">IF($A1481="","",IF($H1481="-","-",IF(AND(IF(원본명단!$H1480="",TRUE(),COUNTIF(원본명단!$H$3:$H1480,원본명단!$H1480)=1),IF(원본명단!$I1480="",TRUE(),COUNTIF(원본명단!$I$3:$I1480,원본명단!$I1480)=1),IF(원본명단!$K1480="",TRUE(),COUNTIF(원본명단!$K$3:$K1480,원본명단!$K1480)=1)),"첫 건","중복 건")))</f>
        <v/>
      </c>
      <c r="J1481" s="11" t="str">
        <f aca="false">IF($A1481="","",IF($H1481="-","유지",IF($I1481="첫 건","유지","확인 필요")))</f>
        <v/>
      </c>
    </row>
    <row r="1482" customFormat="false" ht="15" hidden="false" customHeight="true" outlineLevel="0" collapsed="false">
      <c r="A1482" s="11" t="str">
        <f aca="false">IF(원본명단!$A1481="","",1479)</f>
        <v/>
      </c>
      <c r="B1482" s="12" t="str">
        <f aca="false">IF($A1482="","",원본명단!$A1481)</f>
        <v/>
      </c>
      <c r="C1482" s="12" t="str">
        <f aca="false">IF($A1482="","",원본명단!$B1481)</f>
        <v/>
      </c>
      <c r="D1482" s="12" t="str">
        <f aca="false">IF($A1482="","",원본명단!$D1481)</f>
        <v/>
      </c>
      <c r="E1482" s="11" t="str">
        <f aca="false">IF($A1482="","",IF(원본명단!$H1481="",0,COUNTIF(원본명단!$H$3:$H$6002,원본명단!$H1481)))</f>
        <v/>
      </c>
      <c r="F1482" s="11" t="str">
        <f aca="false">IF($A1482="","",IF(원본명단!$I1481="",0,COUNTIF(원본명단!$I$3:$I$6002,원본명단!$I1481)))</f>
        <v/>
      </c>
      <c r="G1482" s="11" t="str">
        <f aca="false">IF($A1482="","",IF(원본명단!$K1481="",0,COUNTIF(원본명단!$K$3:$K$6002,원본명단!$K1481)))</f>
        <v/>
      </c>
      <c r="H1482" s="11" t="str">
        <f aca="false">IF($A1482="","",IF(MAX($E1482,$F1482,$G1482)&gt;1,"중복","-"))</f>
        <v/>
      </c>
      <c r="I1482" s="11" t="str">
        <f aca="false">IF($A1482="","",IF($H1482="-","-",IF(AND(IF(원본명단!$H1481="",TRUE(),COUNTIF(원본명단!$H$3:$H1481,원본명단!$H1481)=1),IF(원본명단!$I1481="",TRUE(),COUNTIF(원본명단!$I$3:$I1481,원본명단!$I1481)=1),IF(원본명단!$K1481="",TRUE(),COUNTIF(원본명단!$K$3:$K1481,원본명단!$K1481)=1)),"첫 건","중복 건")))</f>
        <v/>
      </c>
      <c r="J1482" s="11" t="str">
        <f aca="false">IF($A1482="","",IF($H1482="-","유지",IF($I1482="첫 건","유지","확인 필요")))</f>
        <v/>
      </c>
    </row>
    <row r="1483" customFormat="false" ht="15" hidden="false" customHeight="true" outlineLevel="0" collapsed="false">
      <c r="A1483" s="11" t="str">
        <f aca="false">IF(원본명단!$A1482="","",1480)</f>
        <v/>
      </c>
      <c r="B1483" s="12" t="str">
        <f aca="false">IF($A1483="","",원본명단!$A1482)</f>
        <v/>
      </c>
      <c r="C1483" s="12" t="str">
        <f aca="false">IF($A1483="","",원본명단!$B1482)</f>
        <v/>
      </c>
      <c r="D1483" s="12" t="str">
        <f aca="false">IF($A1483="","",원본명단!$D1482)</f>
        <v/>
      </c>
      <c r="E1483" s="11" t="str">
        <f aca="false">IF($A1483="","",IF(원본명단!$H1482="",0,COUNTIF(원본명단!$H$3:$H$6002,원본명단!$H1482)))</f>
        <v/>
      </c>
      <c r="F1483" s="11" t="str">
        <f aca="false">IF($A1483="","",IF(원본명단!$I1482="",0,COUNTIF(원본명단!$I$3:$I$6002,원본명단!$I1482)))</f>
        <v/>
      </c>
      <c r="G1483" s="11" t="str">
        <f aca="false">IF($A1483="","",IF(원본명단!$K1482="",0,COUNTIF(원본명단!$K$3:$K$6002,원본명단!$K1482)))</f>
        <v/>
      </c>
      <c r="H1483" s="11" t="str">
        <f aca="false">IF($A1483="","",IF(MAX($E1483,$F1483,$G1483)&gt;1,"중복","-"))</f>
        <v/>
      </c>
      <c r="I1483" s="11" t="str">
        <f aca="false">IF($A1483="","",IF($H1483="-","-",IF(AND(IF(원본명단!$H1482="",TRUE(),COUNTIF(원본명단!$H$3:$H1482,원본명단!$H1482)=1),IF(원본명단!$I1482="",TRUE(),COUNTIF(원본명단!$I$3:$I1482,원본명단!$I1482)=1),IF(원본명단!$K1482="",TRUE(),COUNTIF(원본명단!$K$3:$K1482,원본명단!$K1482)=1)),"첫 건","중복 건")))</f>
        <v/>
      </c>
      <c r="J1483" s="11" t="str">
        <f aca="false">IF($A1483="","",IF($H1483="-","유지",IF($I1483="첫 건","유지","확인 필요")))</f>
        <v/>
      </c>
    </row>
    <row r="1484" customFormat="false" ht="15" hidden="false" customHeight="true" outlineLevel="0" collapsed="false">
      <c r="A1484" s="11" t="str">
        <f aca="false">IF(원본명단!$A1483="","",1481)</f>
        <v/>
      </c>
      <c r="B1484" s="12" t="str">
        <f aca="false">IF($A1484="","",원본명단!$A1483)</f>
        <v/>
      </c>
      <c r="C1484" s="12" t="str">
        <f aca="false">IF($A1484="","",원본명단!$B1483)</f>
        <v/>
      </c>
      <c r="D1484" s="12" t="str">
        <f aca="false">IF($A1484="","",원본명단!$D1483)</f>
        <v/>
      </c>
      <c r="E1484" s="11" t="str">
        <f aca="false">IF($A1484="","",IF(원본명단!$H1483="",0,COUNTIF(원본명단!$H$3:$H$6002,원본명단!$H1483)))</f>
        <v/>
      </c>
      <c r="F1484" s="11" t="str">
        <f aca="false">IF($A1484="","",IF(원본명단!$I1483="",0,COUNTIF(원본명단!$I$3:$I$6002,원본명단!$I1483)))</f>
        <v/>
      </c>
      <c r="G1484" s="11" t="str">
        <f aca="false">IF($A1484="","",IF(원본명단!$K1483="",0,COUNTIF(원본명단!$K$3:$K$6002,원본명단!$K1483)))</f>
        <v/>
      </c>
      <c r="H1484" s="11" t="str">
        <f aca="false">IF($A1484="","",IF(MAX($E1484,$F1484,$G1484)&gt;1,"중복","-"))</f>
        <v/>
      </c>
      <c r="I1484" s="11" t="str">
        <f aca="false">IF($A1484="","",IF($H1484="-","-",IF(AND(IF(원본명단!$H1483="",TRUE(),COUNTIF(원본명단!$H$3:$H1483,원본명단!$H1483)=1),IF(원본명단!$I1483="",TRUE(),COUNTIF(원본명단!$I$3:$I1483,원본명단!$I1483)=1),IF(원본명단!$K1483="",TRUE(),COUNTIF(원본명단!$K$3:$K1483,원본명단!$K1483)=1)),"첫 건","중복 건")))</f>
        <v/>
      </c>
      <c r="J1484" s="11" t="str">
        <f aca="false">IF($A1484="","",IF($H1484="-","유지",IF($I1484="첫 건","유지","확인 필요")))</f>
        <v/>
      </c>
    </row>
    <row r="1485" customFormat="false" ht="15" hidden="false" customHeight="true" outlineLevel="0" collapsed="false">
      <c r="A1485" s="11" t="str">
        <f aca="false">IF(원본명단!$A1484="","",1482)</f>
        <v/>
      </c>
      <c r="B1485" s="12" t="str">
        <f aca="false">IF($A1485="","",원본명단!$A1484)</f>
        <v/>
      </c>
      <c r="C1485" s="12" t="str">
        <f aca="false">IF($A1485="","",원본명단!$B1484)</f>
        <v/>
      </c>
      <c r="D1485" s="12" t="str">
        <f aca="false">IF($A1485="","",원본명단!$D1484)</f>
        <v/>
      </c>
      <c r="E1485" s="11" t="str">
        <f aca="false">IF($A1485="","",IF(원본명단!$H1484="",0,COUNTIF(원본명단!$H$3:$H$6002,원본명단!$H1484)))</f>
        <v/>
      </c>
      <c r="F1485" s="11" t="str">
        <f aca="false">IF($A1485="","",IF(원본명단!$I1484="",0,COUNTIF(원본명단!$I$3:$I$6002,원본명단!$I1484)))</f>
        <v/>
      </c>
      <c r="G1485" s="11" t="str">
        <f aca="false">IF($A1485="","",IF(원본명단!$K1484="",0,COUNTIF(원본명단!$K$3:$K$6002,원본명단!$K1484)))</f>
        <v/>
      </c>
      <c r="H1485" s="11" t="str">
        <f aca="false">IF($A1485="","",IF(MAX($E1485,$F1485,$G1485)&gt;1,"중복","-"))</f>
        <v/>
      </c>
      <c r="I1485" s="11" t="str">
        <f aca="false">IF($A1485="","",IF($H1485="-","-",IF(AND(IF(원본명단!$H1484="",TRUE(),COUNTIF(원본명단!$H$3:$H1484,원본명단!$H1484)=1),IF(원본명단!$I1484="",TRUE(),COUNTIF(원본명단!$I$3:$I1484,원본명단!$I1484)=1),IF(원본명단!$K1484="",TRUE(),COUNTIF(원본명단!$K$3:$K1484,원본명단!$K1484)=1)),"첫 건","중복 건")))</f>
        <v/>
      </c>
      <c r="J1485" s="11" t="str">
        <f aca="false">IF($A1485="","",IF($H1485="-","유지",IF($I1485="첫 건","유지","확인 필요")))</f>
        <v/>
      </c>
    </row>
    <row r="1486" customFormat="false" ht="15" hidden="false" customHeight="true" outlineLevel="0" collapsed="false">
      <c r="A1486" s="11" t="str">
        <f aca="false">IF(원본명단!$A1485="","",1483)</f>
        <v/>
      </c>
      <c r="B1486" s="12" t="str">
        <f aca="false">IF($A1486="","",원본명단!$A1485)</f>
        <v/>
      </c>
      <c r="C1486" s="12" t="str">
        <f aca="false">IF($A1486="","",원본명단!$B1485)</f>
        <v/>
      </c>
      <c r="D1486" s="12" t="str">
        <f aca="false">IF($A1486="","",원본명단!$D1485)</f>
        <v/>
      </c>
      <c r="E1486" s="11" t="str">
        <f aca="false">IF($A1486="","",IF(원본명단!$H1485="",0,COUNTIF(원본명단!$H$3:$H$6002,원본명단!$H1485)))</f>
        <v/>
      </c>
      <c r="F1486" s="11" t="str">
        <f aca="false">IF($A1486="","",IF(원본명단!$I1485="",0,COUNTIF(원본명단!$I$3:$I$6002,원본명단!$I1485)))</f>
        <v/>
      </c>
      <c r="G1486" s="11" t="str">
        <f aca="false">IF($A1486="","",IF(원본명단!$K1485="",0,COUNTIF(원본명단!$K$3:$K$6002,원본명단!$K1485)))</f>
        <v/>
      </c>
      <c r="H1486" s="11" t="str">
        <f aca="false">IF($A1486="","",IF(MAX($E1486,$F1486,$G1486)&gt;1,"중복","-"))</f>
        <v/>
      </c>
      <c r="I1486" s="11" t="str">
        <f aca="false">IF($A1486="","",IF($H1486="-","-",IF(AND(IF(원본명단!$H1485="",TRUE(),COUNTIF(원본명단!$H$3:$H1485,원본명단!$H1485)=1),IF(원본명단!$I1485="",TRUE(),COUNTIF(원본명단!$I$3:$I1485,원본명단!$I1485)=1),IF(원본명단!$K1485="",TRUE(),COUNTIF(원본명단!$K$3:$K1485,원본명단!$K1485)=1)),"첫 건","중복 건")))</f>
        <v/>
      </c>
      <c r="J1486" s="11" t="str">
        <f aca="false">IF($A1486="","",IF($H1486="-","유지",IF($I1486="첫 건","유지","확인 필요")))</f>
        <v/>
      </c>
    </row>
    <row r="1487" customFormat="false" ht="15" hidden="false" customHeight="true" outlineLevel="0" collapsed="false">
      <c r="A1487" s="11" t="str">
        <f aca="false">IF(원본명단!$A1486="","",1484)</f>
        <v/>
      </c>
      <c r="B1487" s="12" t="str">
        <f aca="false">IF($A1487="","",원본명단!$A1486)</f>
        <v/>
      </c>
      <c r="C1487" s="12" t="str">
        <f aca="false">IF($A1487="","",원본명단!$B1486)</f>
        <v/>
      </c>
      <c r="D1487" s="12" t="str">
        <f aca="false">IF($A1487="","",원본명단!$D1486)</f>
        <v/>
      </c>
      <c r="E1487" s="11" t="str">
        <f aca="false">IF($A1487="","",IF(원본명단!$H1486="",0,COUNTIF(원본명단!$H$3:$H$6002,원본명단!$H1486)))</f>
        <v/>
      </c>
      <c r="F1487" s="11" t="str">
        <f aca="false">IF($A1487="","",IF(원본명단!$I1486="",0,COUNTIF(원본명단!$I$3:$I$6002,원본명단!$I1486)))</f>
        <v/>
      </c>
      <c r="G1487" s="11" t="str">
        <f aca="false">IF($A1487="","",IF(원본명단!$K1486="",0,COUNTIF(원본명단!$K$3:$K$6002,원본명단!$K1486)))</f>
        <v/>
      </c>
      <c r="H1487" s="11" t="str">
        <f aca="false">IF($A1487="","",IF(MAX($E1487,$F1487,$G1487)&gt;1,"중복","-"))</f>
        <v/>
      </c>
      <c r="I1487" s="11" t="str">
        <f aca="false">IF($A1487="","",IF($H1487="-","-",IF(AND(IF(원본명단!$H1486="",TRUE(),COUNTIF(원본명단!$H$3:$H1486,원본명단!$H1486)=1),IF(원본명단!$I1486="",TRUE(),COUNTIF(원본명단!$I$3:$I1486,원본명단!$I1486)=1),IF(원본명단!$K1486="",TRUE(),COUNTIF(원본명단!$K$3:$K1486,원본명단!$K1486)=1)),"첫 건","중복 건")))</f>
        <v/>
      </c>
      <c r="J1487" s="11" t="str">
        <f aca="false">IF($A1487="","",IF($H1487="-","유지",IF($I1487="첫 건","유지","확인 필요")))</f>
        <v/>
      </c>
    </row>
    <row r="1488" customFormat="false" ht="15" hidden="false" customHeight="true" outlineLevel="0" collapsed="false">
      <c r="A1488" s="11" t="str">
        <f aca="false">IF(원본명단!$A1487="","",1485)</f>
        <v/>
      </c>
      <c r="B1488" s="12" t="str">
        <f aca="false">IF($A1488="","",원본명단!$A1487)</f>
        <v/>
      </c>
      <c r="C1488" s="12" t="str">
        <f aca="false">IF($A1488="","",원본명단!$B1487)</f>
        <v/>
      </c>
      <c r="D1488" s="12" t="str">
        <f aca="false">IF($A1488="","",원본명단!$D1487)</f>
        <v/>
      </c>
      <c r="E1488" s="11" t="str">
        <f aca="false">IF($A1488="","",IF(원본명단!$H1487="",0,COUNTIF(원본명단!$H$3:$H$6002,원본명단!$H1487)))</f>
        <v/>
      </c>
      <c r="F1488" s="11" t="str">
        <f aca="false">IF($A1488="","",IF(원본명단!$I1487="",0,COUNTIF(원본명단!$I$3:$I$6002,원본명단!$I1487)))</f>
        <v/>
      </c>
      <c r="G1488" s="11" t="str">
        <f aca="false">IF($A1488="","",IF(원본명단!$K1487="",0,COUNTIF(원본명단!$K$3:$K$6002,원본명단!$K1487)))</f>
        <v/>
      </c>
      <c r="H1488" s="11" t="str">
        <f aca="false">IF($A1488="","",IF(MAX($E1488,$F1488,$G1488)&gt;1,"중복","-"))</f>
        <v/>
      </c>
      <c r="I1488" s="11" t="str">
        <f aca="false">IF($A1488="","",IF($H1488="-","-",IF(AND(IF(원본명단!$H1487="",TRUE(),COUNTIF(원본명단!$H$3:$H1487,원본명단!$H1487)=1),IF(원본명단!$I1487="",TRUE(),COUNTIF(원본명단!$I$3:$I1487,원본명단!$I1487)=1),IF(원본명단!$K1487="",TRUE(),COUNTIF(원본명단!$K$3:$K1487,원본명단!$K1487)=1)),"첫 건","중복 건")))</f>
        <v/>
      </c>
      <c r="J1488" s="11" t="str">
        <f aca="false">IF($A1488="","",IF($H1488="-","유지",IF($I1488="첫 건","유지","확인 필요")))</f>
        <v/>
      </c>
    </row>
    <row r="1489" customFormat="false" ht="15" hidden="false" customHeight="true" outlineLevel="0" collapsed="false">
      <c r="A1489" s="11" t="str">
        <f aca="false">IF(원본명단!$A1488="","",1486)</f>
        <v/>
      </c>
      <c r="B1489" s="12" t="str">
        <f aca="false">IF($A1489="","",원본명단!$A1488)</f>
        <v/>
      </c>
      <c r="C1489" s="12" t="str">
        <f aca="false">IF($A1489="","",원본명단!$B1488)</f>
        <v/>
      </c>
      <c r="D1489" s="12" t="str">
        <f aca="false">IF($A1489="","",원본명단!$D1488)</f>
        <v/>
      </c>
      <c r="E1489" s="11" t="str">
        <f aca="false">IF($A1489="","",IF(원본명단!$H1488="",0,COUNTIF(원본명단!$H$3:$H$6002,원본명단!$H1488)))</f>
        <v/>
      </c>
      <c r="F1489" s="11" t="str">
        <f aca="false">IF($A1489="","",IF(원본명단!$I1488="",0,COUNTIF(원본명단!$I$3:$I$6002,원본명단!$I1488)))</f>
        <v/>
      </c>
      <c r="G1489" s="11" t="str">
        <f aca="false">IF($A1489="","",IF(원본명단!$K1488="",0,COUNTIF(원본명단!$K$3:$K$6002,원본명단!$K1488)))</f>
        <v/>
      </c>
      <c r="H1489" s="11" t="str">
        <f aca="false">IF($A1489="","",IF(MAX($E1489,$F1489,$G1489)&gt;1,"중복","-"))</f>
        <v/>
      </c>
      <c r="I1489" s="11" t="str">
        <f aca="false">IF($A1489="","",IF($H1489="-","-",IF(AND(IF(원본명단!$H1488="",TRUE(),COUNTIF(원본명단!$H$3:$H1488,원본명단!$H1488)=1),IF(원본명단!$I1488="",TRUE(),COUNTIF(원본명단!$I$3:$I1488,원본명단!$I1488)=1),IF(원본명단!$K1488="",TRUE(),COUNTIF(원본명단!$K$3:$K1488,원본명단!$K1488)=1)),"첫 건","중복 건")))</f>
        <v/>
      </c>
      <c r="J1489" s="11" t="str">
        <f aca="false">IF($A1489="","",IF($H1489="-","유지",IF($I1489="첫 건","유지","확인 필요")))</f>
        <v/>
      </c>
    </row>
    <row r="1490" customFormat="false" ht="15" hidden="false" customHeight="true" outlineLevel="0" collapsed="false">
      <c r="A1490" s="11" t="str">
        <f aca="false">IF(원본명단!$A1489="","",1487)</f>
        <v/>
      </c>
      <c r="B1490" s="12" t="str">
        <f aca="false">IF($A1490="","",원본명단!$A1489)</f>
        <v/>
      </c>
      <c r="C1490" s="12" t="str">
        <f aca="false">IF($A1490="","",원본명단!$B1489)</f>
        <v/>
      </c>
      <c r="D1490" s="12" t="str">
        <f aca="false">IF($A1490="","",원본명단!$D1489)</f>
        <v/>
      </c>
      <c r="E1490" s="11" t="str">
        <f aca="false">IF($A1490="","",IF(원본명단!$H1489="",0,COUNTIF(원본명단!$H$3:$H$6002,원본명단!$H1489)))</f>
        <v/>
      </c>
      <c r="F1490" s="11" t="str">
        <f aca="false">IF($A1490="","",IF(원본명단!$I1489="",0,COUNTIF(원본명단!$I$3:$I$6002,원본명단!$I1489)))</f>
        <v/>
      </c>
      <c r="G1490" s="11" t="str">
        <f aca="false">IF($A1490="","",IF(원본명단!$K1489="",0,COUNTIF(원본명단!$K$3:$K$6002,원본명단!$K1489)))</f>
        <v/>
      </c>
      <c r="H1490" s="11" t="str">
        <f aca="false">IF($A1490="","",IF(MAX($E1490,$F1490,$G1490)&gt;1,"중복","-"))</f>
        <v/>
      </c>
      <c r="I1490" s="11" t="str">
        <f aca="false">IF($A1490="","",IF($H1490="-","-",IF(AND(IF(원본명단!$H1489="",TRUE(),COUNTIF(원본명단!$H$3:$H1489,원본명단!$H1489)=1),IF(원본명단!$I1489="",TRUE(),COUNTIF(원본명단!$I$3:$I1489,원본명단!$I1489)=1),IF(원본명단!$K1489="",TRUE(),COUNTIF(원본명단!$K$3:$K1489,원본명단!$K1489)=1)),"첫 건","중복 건")))</f>
        <v/>
      </c>
      <c r="J1490" s="11" t="str">
        <f aca="false">IF($A1490="","",IF($H1490="-","유지",IF($I1490="첫 건","유지","확인 필요")))</f>
        <v/>
      </c>
    </row>
    <row r="1491" customFormat="false" ht="15" hidden="false" customHeight="true" outlineLevel="0" collapsed="false">
      <c r="A1491" s="11" t="str">
        <f aca="false">IF(원본명단!$A1490="","",1488)</f>
        <v/>
      </c>
      <c r="B1491" s="12" t="str">
        <f aca="false">IF($A1491="","",원본명단!$A1490)</f>
        <v/>
      </c>
      <c r="C1491" s="12" t="str">
        <f aca="false">IF($A1491="","",원본명단!$B1490)</f>
        <v/>
      </c>
      <c r="D1491" s="12" t="str">
        <f aca="false">IF($A1491="","",원본명단!$D1490)</f>
        <v/>
      </c>
      <c r="E1491" s="11" t="str">
        <f aca="false">IF($A1491="","",IF(원본명단!$H1490="",0,COUNTIF(원본명단!$H$3:$H$6002,원본명단!$H1490)))</f>
        <v/>
      </c>
      <c r="F1491" s="11" t="str">
        <f aca="false">IF($A1491="","",IF(원본명단!$I1490="",0,COUNTIF(원본명단!$I$3:$I$6002,원본명단!$I1490)))</f>
        <v/>
      </c>
      <c r="G1491" s="11" t="str">
        <f aca="false">IF($A1491="","",IF(원본명단!$K1490="",0,COUNTIF(원본명단!$K$3:$K$6002,원본명단!$K1490)))</f>
        <v/>
      </c>
      <c r="H1491" s="11" t="str">
        <f aca="false">IF($A1491="","",IF(MAX($E1491,$F1491,$G1491)&gt;1,"중복","-"))</f>
        <v/>
      </c>
      <c r="I1491" s="11" t="str">
        <f aca="false">IF($A1491="","",IF($H1491="-","-",IF(AND(IF(원본명단!$H1490="",TRUE(),COUNTIF(원본명단!$H$3:$H1490,원본명단!$H1490)=1),IF(원본명단!$I1490="",TRUE(),COUNTIF(원본명단!$I$3:$I1490,원본명단!$I1490)=1),IF(원본명단!$K1490="",TRUE(),COUNTIF(원본명단!$K$3:$K1490,원본명단!$K1490)=1)),"첫 건","중복 건")))</f>
        <v/>
      </c>
      <c r="J1491" s="11" t="str">
        <f aca="false">IF($A1491="","",IF($H1491="-","유지",IF($I1491="첫 건","유지","확인 필요")))</f>
        <v/>
      </c>
    </row>
    <row r="1492" customFormat="false" ht="15" hidden="false" customHeight="true" outlineLevel="0" collapsed="false">
      <c r="A1492" s="11" t="str">
        <f aca="false">IF(원본명단!$A1491="","",1489)</f>
        <v/>
      </c>
      <c r="B1492" s="12" t="str">
        <f aca="false">IF($A1492="","",원본명단!$A1491)</f>
        <v/>
      </c>
      <c r="C1492" s="12" t="str">
        <f aca="false">IF($A1492="","",원본명단!$B1491)</f>
        <v/>
      </c>
      <c r="D1492" s="12" t="str">
        <f aca="false">IF($A1492="","",원본명단!$D1491)</f>
        <v/>
      </c>
      <c r="E1492" s="11" t="str">
        <f aca="false">IF($A1492="","",IF(원본명단!$H1491="",0,COUNTIF(원본명단!$H$3:$H$6002,원본명단!$H1491)))</f>
        <v/>
      </c>
      <c r="F1492" s="11" t="str">
        <f aca="false">IF($A1492="","",IF(원본명단!$I1491="",0,COUNTIF(원본명단!$I$3:$I$6002,원본명단!$I1491)))</f>
        <v/>
      </c>
      <c r="G1492" s="11" t="str">
        <f aca="false">IF($A1492="","",IF(원본명단!$K1491="",0,COUNTIF(원본명단!$K$3:$K$6002,원본명단!$K1491)))</f>
        <v/>
      </c>
      <c r="H1492" s="11" t="str">
        <f aca="false">IF($A1492="","",IF(MAX($E1492,$F1492,$G1492)&gt;1,"중복","-"))</f>
        <v/>
      </c>
      <c r="I1492" s="11" t="str">
        <f aca="false">IF($A1492="","",IF($H1492="-","-",IF(AND(IF(원본명단!$H1491="",TRUE(),COUNTIF(원본명단!$H$3:$H1491,원본명단!$H1491)=1),IF(원본명단!$I1491="",TRUE(),COUNTIF(원본명단!$I$3:$I1491,원본명단!$I1491)=1),IF(원본명단!$K1491="",TRUE(),COUNTIF(원본명단!$K$3:$K1491,원본명단!$K1491)=1)),"첫 건","중복 건")))</f>
        <v/>
      </c>
      <c r="J1492" s="11" t="str">
        <f aca="false">IF($A1492="","",IF($H1492="-","유지",IF($I1492="첫 건","유지","확인 필요")))</f>
        <v/>
      </c>
    </row>
    <row r="1493" customFormat="false" ht="15" hidden="false" customHeight="true" outlineLevel="0" collapsed="false">
      <c r="A1493" s="11" t="str">
        <f aca="false">IF(원본명단!$A1492="","",1490)</f>
        <v/>
      </c>
      <c r="B1493" s="12" t="str">
        <f aca="false">IF($A1493="","",원본명단!$A1492)</f>
        <v/>
      </c>
      <c r="C1493" s="12" t="str">
        <f aca="false">IF($A1493="","",원본명단!$B1492)</f>
        <v/>
      </c>
      <c r="D1493" s="12" t="str">
        <f aca="false">IF($A1493="","",원본명단!$D1492)</f>
        <v/>
      </c>
      <c r="E1493" s="11" t="str">
        <f aca="false">IF($A1493="","",IF(원본명단!$H1492="",0,COUNTIF(원본명단!$H$3:$H$6002,원본명단!$H1492)))</f>
        <v/>
      </c>
      <c r="F1493" s="11" t="str">
        <f aca="false">IF($A1493="","",IF(원본명단!$I1492="",0,COUNTIF(원본명단!$I$3:$I$6002,원본명단!$I1492)))</f>
        <v/>
      </c>
      <c r="G1493" s="11" t="str">
        <f aca="false">IF($A1493="","",IF(원본명단!$K1492="",0,COUNTIF(원본명단!$K$3:$K$6002,원본명단!$K1492)))</f>
        <v/>
      </c>
      <c r="H1493" s="11" t="str">
        <f aca="false">IF($A1493="","",IF(MAX($E1493,$F1493,$G1493)&gt;1,"중복","-"))</f>
        <v/>
      </c>
      <c r="I1493" s="11" t="str">
        <f aca="false">IF($A1493="","",IF($H1493="-","-",IF(AND(IF(원본명단!$H1492="",TRUE(),COUNTIF(원본명단!$H$3:$H1492,원본명단!$H1492)=1),IF(원본명단!$I1492="",TRUE(),COUNTIF(원본명단!$I$3:$I1492,원본명단!$I1492)=1),IF(원본명단!$K1492="",TRUE(),COUNTIF(원본명단!$K$3:$K1492,원본명단!$K1492)=1)),"첫 건","중복 건")))</f>
        <v/>
      </c>
      <c r="J1493" s="11" t="str">
        <f aca="false">IF($A1493="","",IF($H1493="-","유지",IF($I1493="첫 건","유지","확인 필요")))</f>
        <v/>
      </c>
    </row>
    <row r="1494" customFormat="false" ht="15" hidden="false" customHeight="true" outlineLevel="0" collapsed="false">
      <c r="A1494" s="11" t="str">
        <f aca="false">IF(원본명단!$A1493="","",1491)</f>
        <v/>
      </c>
      <c r="B1494" s="12" t="str">
        <f aca="false">IF($A1494="","",원본명단!$A1493)</f>
        <v/>
      </c>
      <c r="C1494" s="12" t="str">
        <f aca="false">IF($A1494="","",원본명단!$B1493)</f>
        <v/>
      </c>
      <c r="D1494" s="12" t="str">
        <f aca="false">IF($A1494="","",원본명단!$D1493)</f>
        <v/>
      </c>
      <c r="E1494" s="11" t="str">
        <f aca="false">IF($A1494="","",IF(원본명단!$H1493="",0,COUNTIF(원본명단!$H$3:$H$6002,원본명단!$H1493)))</f>
        <v/>
      </c>
      <c r="F1494" s="11" t="str">
        <f aca="false">IF($A1494="","",IF(원본명단!$I1493="",0,COUNTIF(원본명단!$I$3:$I$6002,원본명단!$I1493)))</f>
        <v/>
      </c>
      <c r="G1494" s="11" t="str">
        <f aca="false">IF($A1494="","",IF(원본명단!$K1493="",0,COUNTIF(원본명단!$K$3:$K$6002,원본명단!$K1493)))</f>
        <v/>
      </c>
      <c r="H1494" s="11" t="str">
        <f aca="false">IF($A1494="","",IF(MAX($E1494,$F1494,$G1494)&gt;1,"중복","-"))</f>
        <v/>
      </c>
      <c r="I1494" s="11" t="str">
        <f aca="false">IF($A1494="","",IF($H1494="-","-",IF(AND(IF(원본명단!$H1493="",TRUE(),COUNTIF(원본명단!$H$3:$H1493,원본명단!$H1493)=1),IF(원본명단!$I1493="",TRUE(),COUNTIF(원본명단!$I$3:$I1493,원본명단!$I1493)=1),IF(원본명단!$K1493="",TRUE(),COUNTIF(원본명단!$K$3:$K1493,원본명단!$K1493)=1)),"첫 건","중복 건")))</f>
        <v/>
      </c>
      <c r="J1494" s="11" t="str">
        <f aca="false">IF($A1494="","",IF($H1494="-","유지",IF($I1494="첫 건","유지","확인 필요")))</f>
        <v/>
      </c>
    </row>
    <row r="1495" customFormat="false" ht="15" hidden="false" customHeight="true" outlineLevel="0" collapsed="false">
      <c r="A1495" s="11" t="str">
        <f aca="false">IF(원본명단!$A1494="","",1492)</f>
        <v/>
      </c>
      <c r="B1495" s="12" t="str">
        <f aca="false">IF($A1495="","",원본명단!$A1494)</f>
        <v/>
      </c>
      <c r="C1495" s="12" t="str">
        <f aca="false">IF($A1495="","",원본명단!$B1494)</f>
        <v/>
      </c>
      <c r="D1495" s="12" t="str">
        <f aca="false">IF($A1495="","",원본명단!$D1494)</f>
        <v/>
      </c>
      <c r="E1495" s="11" t="str">
        <f aca="false">IF($A1495="","",IF(원본명단!$H1494="",0,COUNTIF(원본명단!$H$3:$H$6002,원본명단!$H1494)))</f>
        <v/>
      </c>
      <c r="F1495" s="11" t="str">
        <f aca="false">IF($A1495="","",IF(원본명단!$I1494="",0,COUNTIF(원본명단!$I$3:$I$6002,원본명단!$I1494)))</f>
        <v/>
      </c>
      <c r="G1495" s="11" t="str">
        <f aca="false">IF($A1495="","",IF(원본명단!$K1494="",0,COUNTIF(원본명단!$K$3:$K$6002,원본명단!$K1494)))</f>
        <v/>
      </c>
      <c r="H1495" s="11" t="str">
        <f aca="false">IF($A1495="","",IF(MAX($E1495,$F1495,$G1495)&gt;1,"중복","-"))</f>
        <v/>
      </c>
      <c r="I1495" s="11" t="str">
        <f aca="false">IF($A1495="","",IF($H1495="-","-",IF(AND(IF(원본명단!$H1494="",TRUE(),COUNTIF(원본명단!$H$3:$H1494,원본명단!$H1494)=1),IF(원본명단!$I1494="",TRUE(),COUNTIF(원본명단!$I$3:$I1494,원본명단!$I1494)=1),IF(원본명단!$K1494="",TRUE(),COUNTIF(원본명단!$K$3:$K1494,원본명단!$K1494)=1)),"첫 건","중복 건")))</f>
        <v/>
      </c>
      <c r="J1495" s="11" t="str">
        <f aca="false">IF($A1495="","",IF($H1495="-","유지",IF($I1495="첫 건","유지","확인 필요")))</f>
        <v/>
      </c>
    </row>
    <row r="1496" customFormat="false" ht="15" hidden="false" customHeight="true" outlineLevel="0" collapsed="false">
      <c r="A1496" s="11" t="str">
        <f aca="false">IF(원본명단!$A1495="","",1493)</f>
        <v/>
      </c>
      <c r="B1496" s="12" t="str">
        <f aca="false">IF($A1496="","",원본명단!$A1495)</f>
        <v/>
      </c>
      <c r="C1496" s="12" t="str">
        <f aca="false">IF($A1496="","",원본명단!$B1495)</f>
        <v/>
      </c>
      <c r="D1496" s="12" t="str">
        <f aca="false">IF($A1496="","",원본명단!$D1495)</f>
        <v/>
      </c>
      <c r="E1496" s="11" t="str">
        <f aca="false">IF($A1496="","",IF(원본명단!$H1495="",0,COUNTIF(원본명단!$H$3:$H$6002,원본명단!$H1495)))</f>
        <v/>
      </c>
      <c r="F1496" s="11" t="str">
        <f aca="false">IF($A1496="","",IF(원본명단!$I1495="",0,COUNTIF(원본명단!$I$3:$I$6002,원본명단!$I1495)))</f>
        <v/>
      </c>
      <c r="G1496" s="11" t="str">
        <f aca="false">IF($A1496="","",IF(원본명단!$K1495="",0,COUNTIF(원본명단!$K$3:$K$6002,원본명단!$K1495)))</f>
        <v/>
      </c>
      <c r="H1496" s="11" t="str">
        <f aca="false">IF($A1496="","",IF(MAX($E1496,$F1496,$G1496)&gt;1,"중복","-"))</f>
        <v/>
      </c>
      <c r="I1496" s="11" t="str">
        <f aca="false">IF($A1496="","",IF($H1496="-","-",IF(AND(IF(원본명단!$H1495="",TRUE(),COUNTIF(원본명단!$H$3:$H1495,원본명단!$H1495)=1),IF(원본명단!$I1495="",TRUE(),COUNTIF(원본명단!$I$3:$I1495,원본명단!$I1495)=1),IF(원본명단!$K1495="",TRUE(),COUNTIF(원본명단!$K$3:$K1495,원본명단!$K1495)=1)),"첫 건","중복 건")))</f>
        <v/>
      </c>
      <c r="J1496" s="11" t="str">
        <f aca="false">IF($A1496="","",IF($H1496="-","유지",IF($I1496="첫 건","유지","확인 필요")))</f>
        <v/>
      </c>
    </row>
    <row r="1497" customFormat="false" ht="15" hidden="false" customHeight="true" outlineLevel="0" collapsed="false">
      <c r="A1497" s="11" t="str">
        <f aca="false">IF(원본명단!$A1496="","",1494)</f>
        <v/>
      </c>
      <c r="B1497" s="12" t="str">
        <f aca="false">IF($A1497="","",원본명단!$A1496)</f>
        <v/>
      </c>
      <c r="C1497" s="12" t="str">
        <f aca="false">IF($A1497="","",원본명단!$B1496)</f>
        <v/>
      </c>
      <c r="D1497" s="12" t="str">
        <f aca="false">IF($A1497="","",원본명단!$D1496)</f>
        <v/>
      </c>
      <c r="E1497" s="11" t="str">
        <f aca="false">IF($A1497="","",IF(원본명단!$H1496="",0,COUNTIF(원본명단!$H$3:$H$6002,원본명단!$H1496)))</f>
        <v/>
      </c>
      <c r="F1497" s="11" t="str">
        <f aca="false">IF($A1497="","",IF(원본명단!$I1496="",0,COUNTIF(원본명단!$I$3:$I$6002,원본명단!$I1496)))</f>
        <v/>
      </c>
      <c r="G1497" s="11" t="str">
        <f aca="false">IF($A1497="","",IF(원본명단!$K1496="",0,COUNTIF(원본명단!$K$3:$K$6002,원본명단!$K1496)))</f>
        <v/>
      </c>
      <c r="H1497" s="11" t="str">
        <f aca="false">IF($A1497="","",IF(MAX($E1497,$F1497,$G1497)&gt;1,"중복","-"))</f>
        <v/>
      </c>
      <c r="I1497" s="11" t="str">
        <f aca="false">IF($A1497="","",IF($H1497="-","-",IF(AND(IF(원본명단!$H1496="",TRUE(),COUNTIF(원본명단!$H$3:$H1496,원본명단!$H1496)=1),IF(원본명단!$I1496="",TRUE(),COUNTIF(원본명단!$I$3:$I1496,원본명단!$I1496)=1),IF(원본명단!$K1496="",TRUE(),COUNTIF(원본명단!$K$3:$K1496,원본명단!$K1496)=1)),"첫 건","중복 건")))</f>
        <v/>
      </c>
      <c r="J1497" s="11" t="str">
        <f aca="false">IF($A1497="","",IF($H1497="-","유지",IF($I1497="첫 건","유지","확인 필요")))</f>
        <v/>
      </c>
    </row>
    <row r="1498" customFormat="false" ht="15" hidden="false" customHeight="true" outlineLevel="0" collapsed="false">
      <c r="A1498" s="11" t="str">
        <f aca="false">IF(원본명단!$A1497="","",1495)</f>
        <v/>
      </c>
      <c r="B1498" s="12" t="str">
        <f aca="false">IF($A1498="","",원본명단!$A1497)</f>
        <v/>
      </c>
      <c r="C1498" s="12" t="str">
        <f aca="false">IF($A1498="","",원본명단!$B1497)</f>
        <v/>
      </c>
      <c r="D1498" s="12" t="str">
        <f aca="false">IF($A1498="","",원본명단!$D1497)</f>
        <v/>
      </c>
      <c r="E1498" s="11" t="str">
        <f aca="false">IF($A1498="","",IF(원본명단!$H1497="",0,COUNTIF(원본명단!$H$3:$H$6002,원본명단!$H1497)))</f>
        <v/>
      </c>
      <c r="F1498" s="11" t="str">
        <f aca="false">IF($A1498="","",IF(원본명단!$I1497="",0,COUNTIF(원본명단!$I$3:$I$6002,원본명단!$I1497)))</f>
        <v/>
      </c>
      <c r="G1498" s="11" t="str">
        <f aca="false">IF($A1498="","",IF(원본명단!$K1497="",0,COUNTIF(원본명단!$K$3:$K$6002,원본명단!$K1497)))</f>
        <v/>
      </c>
      <c r="H1498" s="11" t="str">
        <f aca="false">IF($A1498="","",IF(MAX($E1498,$F1498,$G1498)&gt;1,"중복","-"))</f>
        <v/>
      </c>
      <c r="I1498" s="11" t="str">
        <f aca="false">IF($A1498="","",IF($H1498="-","-",IF(AND(IF(원본명단!$H1497="",TRUE(),COUNTIF(원본명단!$H$3:$H1497,원본명단!$H1497)=1),IF(원본명단!$I1497="",TRUE(),COUNTIF(원본명단!$I$3:$I1497,원본명단!$I1497)=1),IF(원본명단!$K1497="",TRUE(),COUNTIF(원본명단!$K$3:$K1497,원본명단!$K1497)=1)),"첫 건","중복 건")))</f>
        <v/>
      </c>
      <c r="J1498" s="11" t="str">
        <f aca="false">IF($A1498="","",IF($H1498="-","유지",IF($I1498="첫 건","유지","확인 필요")))</f>
        <v/>
      </c>
    </row>
    <row r="1499" customFormat="false" ht="15" hidden="false" customHeight="true" outlineLevel="0" collapsed="false">
      <c r="A1499" s="11" t="str">
        <f aca="false">IF(원본명단!$A1498="","",1496)</f>
        <v/>
      </c>
      <c r="B1499" s="12" t="str">
        <f aca="false">IF($A1499="","",원본명단!$A1498)</f>
        <v/>
      </c>
      <c r="C1499" s="12" t="str">
        <f aca="false">IF($A1499="","",원본명단!$B1498)</f>
        <v/>
      </c>
      <c r="D1499" s="12" t="str">
        <f aca="false">IF($A1499="","",원본명단!$D1498)</f>
        <v/>
      </c>
      <c r="E1499" s="11" t="str">
        <f aca="false">IF($A1499="","",IF(원본명단!$H1498="",0,COUNTIF(원본명단!$H$3:$H$6002,원본명단!$H1498)))</f>
        <v/>
      </c>
      <c r="F1499" s="11" t="str">
        <f aca="false">IF($A1499="","",IF(원본명단!$I1498="",0,COUNTIF(원본명단!$I$3:$I$6002,원본명단!$I1498)))</f>
        <v/>
      </c>
      <c r="G1499" s="11" t="str">
        <f aca="false">IF($A1499="","",IF(원본명단!$K1498="",0,COUNTIF(원본명단!$K$3:$K$6002,원본명단!$K1498)))</f>
        <v/>
      </c>
      <c r="H1499" s="11" t="str">
        <f aca="false">IF($A1499="","",IF(MAX($E1499,$F1499,$G1499)&gt;1,"중복","-"))</f>
        <v/>
      </c>
      <c r="I1499" s="11" t="str">
        <f aca="false">IF($A1499="","",IF($H1499="-","-",IF(AND(IF(원본명단!$H1498="",TRUE(),COUNTIF(원본명단!$H$3:$H1498,원본명단!$H1498)=1),IF(원본명단!$I1498="",TRUE(),COUNTIF(원본명단!$I$3:$I1498,원본명단!$I1498)=1),IF(원본명단!$K1498="",TRUE(),COUNTIF(원본명단!$K$3:$K1498,원본명단!$K1498)=1)),"첫 건","중복 건")))</f>
        <v/>
      </c>
      <c r="J1499" s="11" t="str">
        <f aca="false">IF($A1499="","",IF($H1499="-","유지",IF($I1499="첫 건","유지","확인 필요")))</f>
        <v/>
      </c>
    </row>
    <row r="1500" customFormat="false" ht="15" hidden="false" customHeight="true" outlineLevel="0" collapsed="false">
      <c r="A1500" s="11" t="str">
        <f aca="false">IF(원본명단!$A1499="","",1497)</f>
        <v/>
      </c>
      <c r="B1500" s="12" t="str">
        <f aca="false">IF($A1500="","",원본명단!$A1499)</f>
        <v/>
      </c>
      <c r="C1500" s="12" t="str">
        <f aca="false">IF($A1500="","",원본명단!$B1499)</f>
        <v/>
      </c>
      <c r="D1500" s="12" t="str">
        <f aca="false">IF($A1500="","",원본명단!$D1499)</f>
        <v/>
      </c>
      <c r="E1500" s="11" t="str">
        <f aca="false">IF($A1500="","",IF(원본명단!$H1499="",0,COUNTIF(원본명단!$H$3:$H$6002,원본명단!$H1499)))</f>
        <v/>
      </c>
      <c r="F1500" s="11" t="str">
        <f aca="false">IF($A1500="","",IF(원본명단!$I1499="",0,COUNTIF(원본명단!$I$3:$I$6002,원본명단!$I1499)))</f>
        <v/>
      </c>
      <c r="G1500" s="11" t="str">
        <f aca="false">IF($A1500="","",IF(원본명단!$K1499="",0,COUNTIF(원본명단!$K$3:$K$6002,원본명단!$K1499)))</f>
        <v/>
      </c>
      <c r="H1500" s="11" t="str">
        <f aca="false">IF($A1500="","",IF(MAX($E1500,$F1500,$G1500)&gt;1,"중복","-"))</f>
        <v/>
      </c>
      <c r="I1500" s="11" t="str">
        <f aca="false">IF($A1500="","",IF($H1500="-","-",IF(AND(IF(원본명단!$H1499="",TRUE(),COUNTIF(원본명단!$H$3:$H1499,원본명단!$H1499)=1),IF(원본명단!$I1499="",TRUE(),COUNTIF(원본명단!$I$3:$I1499,원본명단!$I1499)=1),IF(원본명단!$K1499="",TRUE(),COUNTIF(원본명단!$K$3:$K1499,원본명단!$K1499)=1)),"첫 건","중복 건")))</f>
        <v/>
      </c>
      <c r="J1500" s="11" t="str">
        <f aca="false">IF($A1500="","",IF($H1500="-","유지",IF($I1500="첫 건","유지","확인 필요")))</f>
        <v/>
      </c>
    </row>
    <row r="1501" customFormat="false" ht="15" hidden="false" customHeight="true" outlineLevel="0" collapsed="false">
      <c r="A1501" s="11" t="str">
        <f aca="false">IF(원본명단!$A1500="","",1498)</f>
        <v/>
      </c>
      <c r="B1501" s="12" t="str">
        <f aca="false">IF($A1501="","",원본명단!$A1500)</f>
        <v/>
      </c>
      <c r="C1501" s="12" t="str">
        <f aca="false">IF($A1501="","",원본명단!$B1500)</f>
        <v/>
      </c>
      <c r="D1501" s="12" t="str">
        <f aca="false">IF($A1501="","",원본명단!$D1500)</f>
        <v/>
      </c>
      <c r="E1501" s="11" t="str">
        <f aca="false">IF($A1501="","",IF(원본명단!$H1500="",0,COUNTIF(원본명단!$H$3:$H$6002,원본명단!$H1500)))</f>
        <v/>
      </c>
      <c r="F1501" s="11" t="str">
        <f aca="false">IF($A1501="","",IF(원본명단!$I1500="",0,COUNTIF(원본명단!$I$3:$I$6002,원본명단!$I1500)))</f>
        <v/>
      </c>
      <c r="G1501" s="11" t="str">
        <f aca="false">IF($A1501="","",IF(원본명단!$K1500="",0,COUNTIF(원본명단!$K$3:$K$6002,원본명단!$K1500)))</f>
        <v/>
      </c>
      <c r="H1501" s="11" t="str">
        <f aca="false">IF($A1501="","",IF(MAX($E1501,$F1501,$G1501)&gt;1,"중복","-"))</f>
        <v/>
      </c>
      <c r="I1501" s="11" t="str">
        <f aca="false">IF($A1501="","",IF($H1501="-","-",IF(AND(IF(원본명단!$H1500="",TRUE(),COUNTIF(원본명단!$H$3:$H1500,원본명단!$H1500)=1),IF(원본명단!$I1500="",TRUE(),COUNTIF(원본명단!$I$3:$I1500,원본명단!$I1500)=1),IF(원본명단!$K1500="",TRUE(),COUNTIF(원본명단!$K$3:$K1500,원본명단!$K1500)=1)),"첫 건","중복 건")))</f>
        <v/>
      </c>
      <c r="J1501" s="11" t="str">
        <f aca="false">IF($A1501="","",IF($H1501="-","유지",IF($I1501="첫 건","유지","확인 필요")))</f>
        <v/>
      </c>
    </row>
    <row r="1502" customFormat="false" ht="15" hidden="false" customHeight="true" outlineLevel="0" collapsed="false">
      <c r="A1502" s="11" t="str">
        <f aca="false">IF(원본명단!$A1501="","",1499)</f>
        <v/>
      </c>
      <c r="B1502" s="12" t="str">
        <f aca="false">IF($A1502="","",원본명단!$A1501)</f>
        <v/>
      </c>
      <c r="C1502" s="12" t="str">
        <f aca="false">IF($A1502="","",원본명단!$B1501)</f>
        <v/>
      </c>
      <c r="D1502" s="12" t="str">
        <f aca="false">IF($A1502="","",원본명단!$D1501)</f>
        <v/>
      </c>
      <c r="E1502" s="11" t="str">
        <f aca="false">IF($A1502="","",IF(원본명단!$H1501="",0,COUNTIF(원본명단!$H$3:$H$6002,원본명단!$H1501)))</f>
        <v/>
      </c>
      <c r="F1502" s="11" t="str">
        <f aca="false">IF($A1502="","",IF(원본명단!$I1501="",0,COUNTIF(원본명단!$I$3:$I$6002,원본명단!$I1501)))</f>
        <v/>
      </c>
      <c r="G1502" s="11" t="str">
        <f aca="false">IF($A1502="","",IF(원본명단!$K1501="",0,COUNTIF(원본명단!$K$3:$K$6002,원본명단!$K1501)))</f>
        <v/>
      </c>
      <c r="H1502" s="11" t="str">
        <f aca="false">IF($A1502="","",IF(MAX($E1502,$F1502,$G1502)&gt;1,"중복","-"))</f>
        <v/>
      </c>
      <c r="I1502" s="11" t="str">
        <f aca="false">IF($A1502="","",IF($H1502="-","-",IF(AND(IF(원본명단!$H1501="",TRUE(),COUNTIF(원본명단!$H$3:$H1501,원본명단!$H1501)=1),IF(원본명단!$I1501="",TRUE(),COUNTIF(원본명단!$I$3:$I1501,원본명단!$I1501)=1),IF(원본명단!$K1501="",TRUE(),COUNTIF(원본명단!$K$3:$K1501,원본명단!$K1501)=1)),"첫 건","중복 건")))</f>
        <v/>
      </c>
      <c r="J1502" s="11" t="str">
        <f aca="false">IF($A1502="","",IF($H1502="-","유지",IF($I1502="첫 건","유지","확인 필요")))</f>
        <v/>
      </c>
    </row>
    <row r="1503" customFormat="false" ht="15" hidden="false" customHeight="true" outlineLevel="0" collapsed="false">
      <c r="A1503" s="11" t="str">
        <f aca="false">IF(원본명단!$A1502="","",1500)</f>
        <v/>
      </c>
      <c r="B1503" s="12" t="str">
        <f aca="false">IF($A1503="","",원본명단!$A1502)</f>
        <v/>
      </c>
      <c r="C1503" s="12" t="str">
        <f aca="false">IF($A1503="","",원본명단!$B1502)</f>
        <v/>
      </c>
      <c r="D1503" s="12" t="str">
        <f aca="false">IF($A1503="","",원본명단!$D1502)</f>
        <v/>
      </c>
      <c r="E1503" s="11" t="str">
        <f aca="false">IF($A1503="","",IF(원본명단!$H1502="",0,COUNTIF(원본명단!$H$3:$H$6002,원본명단!$H1502)))</f>
        <v/>
      </c>
      <c r="F1503" s="11" t="str">
        <f aca="false">IF($A1503="","",IF(원본명단!$I1502="",0,COUNTIF(원본명단!$I$3:$I$6002,원본명단!$I1502)))</f>
        <v/>
      </c>
      <c r="G1503" s="11" t="str">
        <f aca="false">IF($A1503="","",IF(원본명단!$K1502="",0,COUNTIF(원본명단!$K$3:$K$6002,원본명단!$K1502)))</f>
        <v/>
      </c>
      <c r="H1503" s="11" t="str">
        <f aca="false">IF($A1503="","",IF(MAX($E1503,$F1503,$G1503)&gt;1,"중복","-"))</f>
        <v/>
      </c>
      <c r="I1503" s="11" t="str">
        <f aca="false">IF($A1503="","",IF($H1503="-","-",IF(AND(IF(원본명단!$H1502="",TRUE(),COUNTIF(원본명단!$H$3:$H1502,원본명단!$H1502)=1),IF(원본명단!$I1502="",TRUE(),COUNTIF(원본명단!$I$3:$I1502,원본명단!$I1502)=1),IF(원본명단!$K1502="",TRUE(),COUNTIF(원본명단!$K$3:$K1502,원본명단!$K1502)=1)),"첫 건","중복 건")))</f>
        <v/>
      </c>
      <c r="J1503" s="11" t="str">
        <f aca="false">IF($A1503="","",IF($H1503="-","유지",IF($I1503="첫 건","유지","확인 필요")))</f>
        <v/>
      </c>
    </row>
    <row r="1504" customFormat="false" ht="15" hidden="false" customHeight="true" outlineLevel="0" collapsed="false">
      <c r="A1504" s="11" t="str">
        <f aca="false">IF(원본명단!$A1503="","",1501)</f>
        <v/>
      </c>
      <c r="B1504" s="12" t="str">
        <f aca="false">IF($A1504="","",원본명단!$A1503)</f>
        <v/>
      </c>
      <c r="C1504" s="12" t="str">
        <f aca="false">IF($A1504="","",원본명단!$B1503)</f>
        <v/>
      </c>
      <c r="D1504" s="12" t="str">
        <f aca="false">IF($A1504="","",원본명단!$D1503)</f>
        <v/>
      </c>
      <c r="E1504" s="11" t="str">
        <f aca="false">IF($A1504="","",IF(원본명단!$H1503="",0,COUNTIF(원본명단!$H$3:$H$6002,원본명단!$H1503)))</f>
        <v/>
      </c>
      <c r="F1504" s="11" t="str">
        <f aca="false">IF($A1504="","",IF(원본명단!$I1503="",0,COUNTIF(원본명단!$I$3:$I$6002,원본명단!$I1503)))</f>
        <v/>
      </c>
      <c r="G1504" s="11" t="str">
        <f aca="false">IF($A1504="","",IF(원본명단!$K1503="",0,COUNTIF(원본명단!$K$3:$K$6002,원본명단!$K1503)))</f>
        <v/>
      </c>
      <c r="H1504" s="11" t="str">
        <f aca="false">IF($A1504="","",IF(MAX($E1504,$F1504,$G1504)&gt;1,"중복","-"))</f>
        <v/>
      </c>
      <c r="I1504" s="11" t="str">
        <f aca="false">IF($A1504="","",IF($H1504="-","-",IF(AND(IF(원본명단!$H1503="",TRUE(),COUNTIF(원본명단!$H$3:$H1503,원본명단!$H1503)=1),IF(원본명단!$I1503="",TRUE(),COUNTIF(원본명단!$I$3:$I1503,원본명단!$I1503)=1),IF(원본명단!$K1503="",TRUE(),COUNTIF(원본명단!$K$3:$K1503,원본명단!$K1503)=1)),"첫 건","중복 건")))</f>
        <v/>
      </c>
      <c r="J1504" s="11" t="str">
        <f aca="false">IF($A1504="","",IF($H1504="-","유지",IF($I1504="첫 건","유지","확인 필요")))</f>
        <v/>
      </c>
    </row>
    <row r="1505" customFormat="false" ht="15" hidden="false" customHeight="true" outlineLevel="0" collapsed="false">
      <c r="A1505" s="11" t="str">
        <f aca="false">IF(원본명단!$A1504="","",1502)</f>
        <v/>
      </c>
      <c r="B1505" s="12" t="str">
        <f aca="false">IF($A1505="","",원본명단!$A1504)</f>
        <v/>
      </c>
      <c r="C1505" s="12" t="str">
        <f aca="false">IF($A1505="","",원본명단!$B1504)</f>
        <v/>
      </c>
      <c r="D1505" s="12" t="str">
        <f aca="false">IF($A1505="","",원본명단!$D1504)</f>
        <v/>
      </c>
      <c r="E1505" s="11" t="str">
        <f aca="false">IF($A1505="","",IF(원본명단!$H1504="",0,COUNTIF(원본명단!$H$3:$H$6002,원본명단!$H1504)))</f>
        <v/>
      </c>
      <c r="F1505" s="11" t="str">
        <f aca="false">IF($A1505="","",IF(원본명단!$I1504="",0,COUNTIF(원본명단!$I$3:$I$6002,원본명단!$I1504)))</f>
        <v/>
      </c>
      <c r="G1505" s="11" t="str">
        <f aca="false">IF($A1505="","",IF(원본명단!$K1504="",0,COUNTIF(원본명단!$K$3:$K$6002,원본명단!$K1504)))</f>
        <v/>
      </c>
      <c r="H1505" s="11" t="str">
        <f aca="false">IF($A1505="","",IF(MAX($E1505,$F1505,$G1505)&gt;1,"중복","-"))</f>
        <v/>
      </c>
      <c r="I1505" s="11" t="str">
        <f aca="false">IF($A1505="","",IF($H1505="-","-",IF(AND(IF(원본명단!$H1504="",TRUE(),COUNTIF(원본명단!$H$3:$H1504,원본명단!$H1504)=1),IF(원본명단!$I1504="",TRUE(),COUNTIF(원본명단!$I$3:$I1504,원본명단!$I1504)=1),IF(원본명단!$K1504="",TRUE(),COUNTIF(원본명단!$K$3:$K1504,원본명단!$K1504)=1)),"첫 건","중복 건")))</f>
        <v/>
      </c>
      <c r="J1505" s="11" t="str">
        <f aca="false">IF($A1505="","",IF($H1505="-","유지",IF($I1505="첫 건","유지","확인 필요")))</f>
        <v/>
      </c>
    </row>
    <row r="1506" customFormat="false" ht="15" hidden="false" customHeight="true" outlineLevel="0" collapsed="false">
      <c r="A1506" s="11" t="str">
        <f aca="false">IF(원본명단!$A1505="","",1503)</f>
        <v/>
      </c>
      <c r="B1506" s="12" t="str">
        <f aca="false">IF($A1506="","",원본명단!$A1505)</f>
        <v/>
      </c>
      <c r="C1506" s="12" t="str">
        <f aca="false">IF($A1506="","",원본명단!$B1505)</f>
        <v/>
      </c>
      <c r="D1506" s="12" t="str">
        <f aca="false">IF($A1506="","",원본명단!$D1505)</f>
        <v/>
      </c>
      <c r="E1506" s="11" t="str">
        <f aca="false">IF($A1506="","",IF(원본명단!$H1505="",0,COUNTIF(원본명단!$H$3:$H$6002,원본명단!$H1505)))</f>
        <v/>
      </c>
      <c r="F1506" s="11" t="str">
        <f aca="false">IF($A1506="","",IF(원본명단!$I1505="",0,COUNTIF(원본명단!$I$3:$I$6002,원본명단!$I1505)))</f>
        <v/>
      </c>
      <c r="G1506" s="11" t="str">
        <f aca="false">IF($A1506="","",IF(원본명단!$K1505="",0,COUNTIF(원본명단!$K$3:$K$6002,원본명단!$K1505)))</f>
        <v/>
      </c>
      <c r="H1506" s="11" t="str">
        <f aca="false">IF($A1506="","",IF(MAX($E1506,$F1506,$G1506)&gt;1,"중복","-"))</f>
        <v/>
      </c>
      <c r="I1506" s="11" t="str">
        <f aca="false">IF($A1506="","",IF($H1506="-","-",IF(AND(IF(원본명단!$H1505="",TRUE(),COUNTIF(원본명단!$H$3:$H1505,원본명단!$H1505)=1),IF(원본명단!$I1505="",TRUE(),COUNTIF(원본명단!$I$3:$I1505,원본명단!$I1505)=1),IF(원본명단!$K1505="",TRUE(),COUNTIF(원본명단!$K$3:$K1505,원본명단!$K1505)=1)),"첫 건","중복 건")))</f>
        <v/>
      </c>
      <c r="J1506" s="11" t="str">
        <f aca="false">IF($A1506="","",IF($H1506="-","유지",IF($I1506="첫 건","유지","확인 필요")))</f>
        <v/>
      </c>
    </row>
    <row r="1507" customFormat="false" ht="15" hidden="false" customHeight="true" outlineLevel="0" collapsed="false">
      <c r="A1507" s="11" t="str">
        <f aca="false">IF(원본명단!$A1506="","",1504)</f>
        <v/>
      </c>
      <c r="B1507" s="12" t="str">
        <f aca="false">IF($A1507="","",원본명단!$A1506)</f>
        <v/>
      </c>
      <c r="C1507" s="12" t="str">
        <f aca="false">IF($A1507="","",원본명단!$B1506)</f>
        <v/>
      </c>
      <c r="D1507" s="12" t="str">
        <f aca="false">IF($A1507="","",원본명단!$D1506)</f>
        <v/>
      </c>
      <c r="E1507" s="11" t="str">
        <f aca="false">IF($A1507="","",IF(원본명단!$H1506="",0,COUNTIF(원본명단!$H$3:$H$6002,원본명단!$H1506)))</f>
        <v/>
      </c>
      <c r="F1507" s="11" t="str">
        <f aca="false">IF($A1507="","",IF(원본명단!$I1506="",0,COUNTIF(원본명단!$I$3:$I$6002,원본명단!$I1506)))</f>
        <v/>
      </c>
      <c r="G1507" s="11" t="str">
        <f aca="false">IF($A1507="","",IF(원본명단!$K1506="",0,COUNTIF(원본명단!$K$3:$K$6002,원본명단!$K1506)))</f>
        <v/>
      </c>
      <c r="H1507" s="11" t="str">
        <f aca="false">IF($A1507="","",IF(MAX($E1507,$F1507,$G1507)&gt;1,"중복","-"))</f>
        <v/>
      </c>
      <c r="I1507" s="11" t="str">
        <f aca="false">IF($A1507="","",IF($H1507="-","-",IF(AND(IF(원본명단!$H1506="",TRUE(),COUNTIF(원본명단!$H$3:$H1506,원본명단!$H1506)=1),IF(원본명단!$I1506="",TRUE(),COUNTIF(원본명단!$I$3:$I1506,원본명단!$I1506)=1),IF(원본명단!$K1506="",TRUE(),COUNTIF(원본명단!$K$3:$K1506,원본명단!$K1506)=1)),"첫 건","중복 건")))</f>
        <v/>
      </c>
      <c r="J1507" s="11" t="str">
        <f aca="false">IF($A1507="","",IF($H1507="-","유지",IF($I1507="첫 건","유지","확인 필요")))</f>
        <v/>
      </c>
    </row>
    <row r="1508" customFormat="false" ht="15" hidden="false" customHeight="true" outlineLevel="0" collapsed="false">
      <c r="A1508" s="11" t="str">
        <f aca="false">IF(원본명단!$A1507="","",1505)</f>
        <v/>
      </c>
      <c r="B1508" s="12" t="str">
        <f aca="false">IF($A1508="","",원본명단!$A1507)</f>
        <v/>
      </c>
      <c r="C1508" s="12" t="str">
        <f aca="false">IF($A1508="","",원본명단!$B1507)</f>
        <v/>
      </c>
      <c r="D1508" s="12" t="str">
        <f aca="false">IF($A1508="","",원본명단!$D1507)</f>
        <v/>
      </c>
      <c r="E1508" s="11" t="str">
        <f aca="false">IF($A1508="","",IF(원본명단!$H1507="",0,COUNTIF(원본명단!$H$3:$H$6002,원본명단!$H1507)))</f>
        <v/>
      </c>
      <c r="F1508" s="11" t="str">
        <f aca="false">IF($A1508="","",IF(원본명단!$I1507="",0,COUNTIF(원본명단!$I$3:$I$6002,원본명단!$I1507)))</f>
        <v/>
      </c>
      <c r="G1508" s="11" t="str">
        <f aca="false">IF($A1508="","",IF(원본명단!$K1507="",0,COUNTIF(원본명단!$K$3:$K$6002,원본명단!$K1507)))</f>
        <v/>
      </c>
      <c r="H1508" s="11" t="str">
        <f aca="false">IF($A1508="","",IF(MAX($E1508,$F1508,$G1508)&gt;1,"중복","-"))</f>
        <v/>
      </c>
      <c r="I1508" s="11" t="str">
        <f aca="false">IF($A1508="","",IF($H1508="-","-",IF(AND(IF(원본명단!$H1507="",TRUE(),COUNTIF(원본명단!$H$3:$H1507,원본명단!$H1507)=1),IF(원본명단!$I1507="",TRUE(),COUNTIF(원본명단!$I$3:$I1507,원본명단!$I1507)=1),IF(원본명단!$K1507="",TRUE(),COUNTIF(원본명단!$K$3:$K1507,원본명단!$K1507)=1)),"첫 건","중복 건")))</f>
        <v/>
      </c>
      <c r="J1508" s="11" t="str">
        <f aca="false">IF($A1508="","",IF($H1508="-","유지",IF($I1508="첫 건","유지","확인 필요")))</f>
        <v/>
      </c>
    </row>
    <row r="1509" customFormat="false" ht="15" hidden="false" customHeight="true" outlineLevel="0" collapsed="false">
      <c r="A1509" s="11" t="str">
        <f aca="false">IF(원본명단!$A1508="","",1506)</f>
        <v/>
      </c>
      <c r="B1509" s="12" t="str">
        <f aca="false">IF($A1509="","",원본명단!$A1508)</f>
        <v/>
      </c>
      <c r="C1509" s="12" t="str">
        <f aca="false">IF($A1509="","",원본명단!$B1508)</f>
        <v/>
      </c>
      <c r="D1509" s="12" t="str">
        <f aca="false">IF($A1509="","",원본명단!$D1508)</f>
        <v/>
      </c>
      <c r="E1509" s="11" t="str">
        <f aca="false">IF($A1509="","",IF(원본명단!$H1508="",0,COUNTIF(원본명단!$H$3:$H$6002,원본명단!$H1508)))</f>
        <v/>
      </c>
      <c r="F1509" s="11" t="str">
        <f aca="false">IF($A1509="","",IF(원본명단!$I1508="",0,COUNTIF(원본명단!$I$3:$I$6002,원본명단!$I1508)))</f>
        <v/>
      </c>
      <c r="G1509" s="11" t="str">
        <f aca="false">IF($A1509="","",IF(원본명단!$K1508="",0,COUNTIF(원본명단!$K$3:$K$6002,원본명단!$K1508)))</f>
        <v/>
      </c>
      <c r="H1509" s="11" t="str">
        <f aca="false">IF($A1509="","",IF(MAX($E1509,$F1509,$G1509)&gt;1,"중복","-"))</f>
        <v/>
      </c>
      <c r="I1509" s="11" t="str">
        <f aca="false">IF($A1509="","",IF($H1509="-","-",IF(AND(IF(원본명단!$H1508="",TRUE(),COUNTIF(원본명단!$H$3:$H1508,원본명단!$H1508)=1),IF(원본명단!$I1508="",TRUE(),COUNTIF(원본명단!$I$3:$I1508,원본명단!$I1508)=1),IF(원본명단!$K1508="",TRUE(),COUNTIF(원본명단!$K$3:$K1508,원본명단!$K1508)=1)),"첫 건","중복 건")))</f>
        <v/>
      </c>
      <c r="J1509" s="11" t="str">
        <f aca="false">IF($A1509="","",IF($H1509="-","유지",IF($I1509="첫 건","유지","확인 필요")))</f>
        <v/>
      </c>
    </row>
    <row r="1510" customFormat="false" ht="15" hidden="false" customHeight="true" outlineLevel="0" collapsed="false">
      <c r="A1510" s="11" t="str">
        <f aca="false">IF(원본명단!$A1509="","",1507)</f>
        <v/>
      </c>
      <c r="B1510" s="12" t="str">
        <f aca="false">IF($A1510="","",원본명단!$A1509)</f>
        <v/>
      </c>
      <c r="C1510" s="12" t="str">
        <f aca="false">IF($A1510="","",원본명단!$B1509)</f>
        <v/>
      </c>
      <c r="D1510" s="12" t="str">
        <f aca="false">IF($A1510="","",원본명단!$D1509)</f>
        <v/>
      </c>
      <c r="E1510" s="11" t="str">
        <f aca="false">IF($A1510="","",IF(원본명단!$H1509="",0,COUNTIF(원본명단!$H$3:$H$6002,원본명단!$H1509)))</f>
        <v/>
      </c>
      <c r="F1510" s="11" t="str">
        <f aca="false">IF($A1510="","",IF(원본명단!$I1509="",0,COUNTIF(원본명단!$I$3:$I$6002,원본명단!$I1509)))</f>
        <v/>
      </c>
      <c r="G1510" s="11" t="str">
        <f aca="false">IF($A1510="","",IF(원본명단!$K1509="",0,COUNTIF(원본명단!$K$3:$K$6002,원본명단!$K1509)))</f>
        <v/>
      </c>
      <c r="H1510" s="11" t="str">
        <f aca="false">IF($A1510="","",IF(MAX($E1510,$F1510,$G1510)&gt;1,"중복","-"))</f>
        <v/>
      </c>
      <c r="I1510" s="11" t="str">
        <f aca="false">IF($A1510="","",IF($H1510="-","-",IF(AND(IF(원본명단!$H1509="",TRUE(),COUNTIF(원본명단!$H$3:$H1509,원본명단!$H1509)=1),IF(원본명단!$I1509="",TRUE(),COUNTIF(원본명단!$I$3:$I1509,원본명단!$I1509)=1),IF(원본명단!$K1509="",TRUE(),COUNTIF(원본명단!$K$3:$K1509,원본명단!$K1509)=1)),"첫 건","중복 건")))</f>
        <v/>
      </c>
      <c r="J1510" s="11" t="str">
        <f aca="false">IF($A1510="","",IF($H1510="-","유지",IF($I1510="첫 건","유지","확인 필요")))</f>
        <v/>
      </c>
    </row>
    <row r="1511" customFormat="false" ht="15" hidden="false" customHeight="true" outlineLevel="0" collapsed="false">
      <c r="A1511" s="11" t="str">
        <f aca="false">IF(원본명단!$A1510="","",1508)</f>
        <v/>
      </c>
      <c r="B1511" s="12" t="str">
        <f aca="false">IF($A1511="","",원본명단!$A1510)</f>
        <v/>
      </c>
      <c r="C1511" s="12" t="str">
        <f aca="false">IF($A1511="","",원본명단!$B1510)</f>
        <v/>
      </c>
      <c r="D1511" s="12" t="str">
        <f aca="false">IF($A1511="","",원본명단!$D1510)</f>
        <v/>
      </c>
      <c r="E1511" s="11" t="str">
        <f aca="false">IF($A1511="","",IF(원본명단!$H1510="",0,COUNTIF(원본명단!$H$3:$H$6002,원본명단!$H1510)))</f>
        <v/>
      </c>
      <c r="F1511" s="11" t="str">
        <f aca="false">IF($A1511="","",IF(원본명단!$I1510="",0,COUNTIF(원본명단!$I$3:$I$6002,원본명단!$I1510)))</f>
        <v/>
      </c>
      <c r="G1511" s="11" t="str">
        <f aca="false">IF($A1511="","",IF(원본명단!$K1510="",0,COUNTIF(원본명단!$K$3:$K$6002,원본명단!$K1510)))</f>
        <v/>
      </c>
      <c r="H1511" s="11" t="str">
        <f aca="false">IF($A1511="","",IF(MAX($E1511,$F1511,$G1511)&gt;1,"중복","-"))</f>
        <v/>
      </c>
      <c r="I1511" s="11" t="str">
        <f aca="false">IF($A1511="","",IF($H1511="-","-",IF(AND(IF(원본명단!$H1510="",TRUE(),COUNTIF(원본명단!$H$3:$H1510,원본명단!$H1510)=1),IF(원본명단!$I1510="",TRUE(),COUNTIF(원본명단!$I$3:$I1510,원본명단!$I1510)=1),IF(원본명단!$K1510="",TRUE(),COUNTIF(원본명단!$K$3:$K1510,원본명단!$K1510)=1)),"첫 건","중복 건")))</f>
        <v/>
      </c>
      <c r="J1511" s="11" t="str">
        <f aca="false">IF($A1511="","",IF($H1511="-","유지",IF($I1511="첫 건","유지","확인 필요")))</f>
        <v/>
      </c>
    </row>
    <row r="1512" customFormat="false" ht="15" hidden="false" customHeight="true" outlineLevel="0" collapsed="false">
      <c r="A1512" s="11" t="str">
        <f aca="false">IF(원본명단!$A1511="","",1509)</f>
        <v/>
      </c>
      <c r="B1512" s="12" t="str">
        <f aca="false">IF($A1512="","",원본명단!$A1511)</f>
        <v/>
      </c>
      <c r="C1512" s="12" t="str">
        <f aca="false">IF($A1512="","",원본명단!$B1511)</f>
        <v/>
      </c>
      <c r="D1512" s="12" t="str">
        <f aca="false">IF($A1512="","",원본명단!$D1511)</f>
        <v/>
      </c>
      <c r="E1512" s="11" t="str">
        <f aca="false">IF($A1512="","",IF(원본명단!$H1511="",0,COUNTIF(원본명단!$H$3:$H$6002,원본명단!$H1511)))</f>
        <v/>
      </c>
      <c r="F1512" s="11" t="str">
        <f aca="false">IF($A1512="","",IF(원본명단!$I1511="",0,COUNTIF(원본명단!$I$3:$I$6002,원본명단!$I1511)))</f>
        <v/>
      </c>
      <c r="G1512" s="11" t="str">
        <f aca="false">IF($A1512="","",IF(원본명단!$K1511="",0,COUNTIF(원본명단!$K$3:$K$6002,원본명단!$K1511)))</f>
        <v/>
      </c>
      <c r="H1512" s="11" t="str">
        <f aca="false">IF($A1512="","",IF(MAX($E1512,$F1512,$G1512)&gt;1,"중복","-"))</f>
        <v/>
      </c>
      <c r="I1512" s="11" t="str">
        <f aca="false">IF($A1512="","",IF($H1512="-","-",IF(AND(IF(원본명단!$H1511="",TRUE(),COUNTIF(원본명단!$H$3:$H1511,원본명단!$H1511)=1),IF(원본명단!$I1511="",TRUE(),COUNTIF(원본명단!$I$3:$I1511,원본명단!$I1511)=1),IF(원본명단!$K1511="",TRUE(),COUNTIF(원본명단!$K$3:$K1511,원본명단!$K1511)=1)),"첫 건","중복 건")))</f>
        <v/>
      </c>
      <c r="J1512" s="11" t="str">
        <f aca="false">IF($A1512="","",IF($H1512="-","유지",IF($I1512="첫 건","유지","확인 필요")))</f>
        <v/>
      </c>
    </row>
    <row r="1513" customFormat="false" ht="15" hidden="false" customHeight="true" outlineLevel="0" collapsed="false">
      <c r="A1513" s="11" t="str">
        <f aca="false">IF(원본명단!$A1512="","",1510)</f>
        <v/>
      </c>
      <c r="B1513" s="12" t="str">
        <f aca="false">IF($A1513="","",원본명단!$A1512)</f>
        <v/>
      </c>
      <c r="C1513" s="12" t="str">
        <f aca="false">IF($A1513="","",원본명단!$B1512)</f>
        <v/>
      </c>
      <c r="D1513" s="12" t="str">
        <f aca="false">IF($A1513="","",원본명단!$D1512)</f>
        <v/>
      </c>
      <c r="E1513" s="11" t="str">
        <f aca="false">IF($A1513="","",IF(원본명단!$H1512="",0,COUNTIF(원본명단!$H$3:$H$6002,원본명단!$H1512)))</f>
        <v/>
      </c>
      <c r="F1513" s="11" t="str">
        <f aca="false">IF($A1513="","",IF(원본명단!$I1512="",0,COUNTIF(원본명단!$I$3:$I$6002,원본명단!$I1512)))</f>
        <v/>
      </c>
      <c r="G1513" s="11" t="str">
        <f aca="false">IF($A1513="","",IF(원본명단!$K1512="",0,COUNTIF(원본명단!$K$3:$K$6002,원본명단!$K1512)))</f>
        <v/>
      </c>
      <c r="H1513" s="11" t="str">
        <f aca="false">IF($A1513="","",IF(MAX($E1513,$F1513,$G1513)&gt;1,"중복","-"))</f>
        <v/>
      </c>
      <c r="I1513" s="11" t="str">
        <f aca="false">IF($A1513="","",IF($H1513="-","-",IF(AND(IF(원본명단!$H1512="",TRUE(),COUNTIF(원본명단!$H$3:$H1512,원본명단!$H1512)=1),IF(원본명단!$I1512="",TRUE(),COUNTIF(원본명단!$I$3:$I1512,원본명단!$I1512)=1),IF(원본명단!$K1512="",TRUE(),COUNTIF(원본명단!$K$3:$K1512,원본명단!$K1512)=1)),"첫 건","중복 건")))</f>
        <v/>
      </c>
      <c r="J1513" s="11" t="str">
        <f aca="false">IF($A1513="","",IF($H1513="-","유지",IF($I1513="첫 건","유지","확인 필요")))</f>
        <v/>
      </c>
    </row>
    <row r="1514" customFormat="false" ht="15" hidden="false" customHeight="true" outlineLevel="0" collapsed="false">
      <c r="A1514" s="11" t="str">
        <f aca="false">IF(원본명단!$A1513="","",1511)</f>
        <v/>
      </c>
      <c r="B1514" s="12" t="str">
        <f aca="false">IF($A1514="","",원본명단!$A1513)</f>
        <v/>
      </c>
      <c r="C1514" s="12" t="str">
        <f aca="false">IF($A1514="","",원본명단!$B1513)</f>
        <v/>
      </c>
      <c r="D1514" s="12" t="str">
        <f aca="false">IF($A1514="","",원본명단!$D1513)</f>
        <v/>
      </c>
      <c r="E1514" s="11" t="str">
        <f aca="false">IF($A1514="","",IF(원본명단!$H1513="",0,COUNTIF(원본명단!$H$3:$H$6002,원본명단!$H1513)))</f>
        <v/>
      </c>
      <c r="F1514" s="11" t="str">
        <f aca="false">IF($A1514="","",IF(원본명단!$I1513="",0,COUNTIF(원본명단!$I$3:$I$6002,원본명단!$I1513)))</f>
        <v/>
      </c>
      <c r="G1514" s="11" t="str">
        <f aca="false">IF($A1514="","",IF(원본명단!$K1513="",0,COUNTIF(원본명단!$K$3:$K$6002,원본명단!$K1513)))</f>
        <v/>
      </c>
      <c r="H1514" s="11" t="str">
        <f aca="false">IF($A1514="","",IF(MAX($E1514,$F1514,$G1514)&gt;1,"중복","-"))</f>
        <v/>
      </c>
      <c r="I1514" s="11" t="str">
        <f aca="false">IF($A1514="","",IF($H1514="-","-",IF(AND(IF(원본명단!$H1513="",TRUE(),COUNTIF(원본명단!$H$3:$H1513,원본명단!$H1513)=1),IF(원본명단!$I1513="",TRUE(),COUNTIF(원본명단!$I$3:$I1513,원본명단!$I1513)=1),IF(원본명단!$K1513="",TRUE(),COUNTIF(원본명단!$K$3:$K1513,원본명단!$K1513)=1)),"첫 건","중복 건")))</f>
        <v/>
      </c>
      <c r="J1514" s="11" t="str">
        <f aca="false">IF($A1514="","",IF($H1514="-","유지",IF($I1514="첫 건","유지","확인 필요")))</f>
        <v/>
      </c>
    </row>
    <row r="1515" customFormat="false" ht="15" hidden="false" customHeight="true" outlineLevel="0" collapsed="false">
      <c r="A1515" s="11" t="str">
        <f aca="false">IF(원본명단!$A1514="","",1512)</f>
        <v/>
      </c>
      <c r="B1515" s="12" t="str">
        <f aca="false">IF($A1515="","",원본명단!$A1514)</f>
        <v/>
      </c>
      <c r="C1515" s="12" t="str">
        <f aca="false">IF($A1515="","",원본명단!$B1514)</f>
        <v/>
      </c>
      <c r="D1515" s="12" t="str">
        <f aca="false">IF($A1515="","",원본명단!$D1514)</f>
        <v/>
      </c>
      <c r="E1515" s="11" t="str">
        <f aca="false">IF($A1515="","",IF(원본명단!$H1514="",0,COUNTIF(원본명단!$H$3:$H$6002,원본명단!$H1514)))</f>
        <v/>
      </c>
      <c r="F1515" s="11" t="str">
        <f aca="false">IF($A1515="","",IF(원본명단!$I1514="",0,COUNTIF(원본명단!$I$3:$I$6002,원본명단!$I1514)))</f>
        <v/>
      </c>
      <c r="G1515" s="11" t="str">
        <f aca="false">IF($A1515="","",IF(원본명단!$K1514="",0,COUNTIF(원본명단!$K$3:$K$6002,원본명단!$K1514)))</f>
        <v/>
      </c>
      <c r="H1515" s="11" t="str">
        <f aca="false">IF($A1515="","",IF(MAX($E1515,$F1515,$G1515)&gt;1,"중복","-"))</f>
        <v/>
      </c>
      <c r="I1515" s="11" t="str">
        <f aca="false">IF($A1515="","",IF($H1515="-","-",IF(AND(IF(원본명단!$H1514="",TRUE(),COUNTIF(원본명단!$H$3:$H1514,원본명단!$H1514)=1),IF(원본명단!$I1514="",TRUE(),COUNTIF(원본명단!$I$3:$I1514,원본명단!$I1514)=1),IF(원본명단!$K1514="",TRUE(),COUNTIF(원본명단!$K$3:$K1514,원본명단!$K1514)=1)),"첫 건","중복 건")))</f>
        <v/>
      </c>
      <c r="J1515" s="11" t="str">
        <f aca="false">IF($A1515="","",IF($H1515="-","유지",IF($I1515="첫 건","유지","확인 필요")))</f>
        <v/>
      </c>
    </row>
    <row r="1516" customFormat="false" ht="15" hidden="false" customHeight="true" outlineLevel="0" collapsed="false">
      <c r="A1516" s="11" t="str">
        <f aca="false">IF(원본명단!$A1515="","",1513)</f>
        <v/>
      </c>
      <c r="B1516" s="12" t="str">
        <f aca="false">IF($A1516="","",원본명단!$A1515)</f>
        <v/>
      </c>
      <c r="C1516" s="12" t="str">
        <f aca="false">IF($A1516="","",원본명단!$B1515)</f>
        <v/>
      </c>
      <c r="D1516" s="12" t="str">
        <f aca="false">IF($A1516="","",원본명단!$D1515)</f>
        <v/>
      </c>
      <c r="E1516" s="11" t="str">
        <f aca="false">IF($A1516="","",IF(원본명단!$H1515="",0,COUNTIF(원본명단!$H$3:$H$6002,원본명단!$H1515)))</f>
        <v/>
      </c>
      <c r="F1516" s="11" t="str">
        <f aca="false">IF($A1516="","",IF(원본명단!$I1515="",0,COUNTIF(원본명단!$I$3:$I$6002,원본명단!$I1515)))</f>
        <v/>
      </c>
      <c r="G1516" s="11" t="str">
        <f aca="false">IF($A1516="","",IF(원본명단!$K1515="",0,COUNTIF(원본명단!$K$3:$K$6002,원본명단!$K1515)))</f>
        <v/>
      </c>
      <c r="H1516" s="11" t="str">
        <f aca="false">IF($A1516="","",IF(MAX($E1516,$F1516,$G1516)&gt;1,"중복","-"))</f>
        <v/>
      </c>
      <c r="I1516" s="11" t="str">
        <f aca="false">IF($A1516="","",IF($H1516="-","-",IF(AND(IF(원본명단!$H1515="",TRUE(),COUNTIF(원본명단!$H$3:$H1515,원본명단!$H1515)=1),IF(원본명단!$I1515="",TRUE(),COUNTIF(원본명단!$I$3:$I1515,원본명단!$I1515)=1),IF(원본명단!$K1515="",TRUE(),COUNTIF(원본명단!$K$3:$K1515,원본명단!$K1515)=1)),"첫 건","중복 건")))</f>
        <v/>
      </c>
      <c r="J1516" s="11" t="str">
        <f aca="false">IF($A1516="","",IF($H1516="-","유지",IF($I1516="첫 건","유지","확인 필요")))</f>
        <v/>
      </c>
    </row>
    <row r="1517" customFormat="false" ht="15" hidden="false" customHeight="true" outlineLevel="0" collapsed="false">
      <c r="A1517" s="11" t="str">
        <f aca="false">IF(원본명단!$A1516="","",1514)</f>
        <v/>
      </c>
      <c r="B1517" s="12" t="str">
        <f aca="false">IF($A1517="","",원본명단!$A1516)</f>
        <v/>
      </c>
      <c r="C1517" s="12" t="str">
        <f aca="false">IF($A1517="","",원본명단!$B1516)</f>
        <v/>
      </c>
      <c r="D1517" s="12" t="str">
        <f aca="false">IF($A1517="","",원본명단!$D1516)</f>
        <v/>
      </c>
      <c r="E1517" s="11" t="str">
        <f aca="false">IF($A1517="","",IF(원본명단!$H1516="",0,COUNTIF(원본명단!$H$3:$H$6002,원본명단!$H1516)))</f>
        <v/>
      </c>
      <c r="F1517" s="11" t="str">
        <f aca="false">IF($A1517="","",IF(원본명단!$I1516="",0,COUNTIF(원본명단!$I$3:$I$6002,원본명단!$I1516)))</f>
        <v/>
      </c>
      <c r="G1517" s="11" t="str">
        <f aca="false">IF($A1517="","",IF(원본명단!$K1516="",0,COUNTIF(원본명단!$K$3:$K$6002,원본명단!$K1516)))</f>
        <v/>
      </c>
      <c r="H1517" s="11" t="str">
        <f aca="false">IF($A1517="","",IF(MAX($E1517,$F1517,$G1517)&gt;1,"중복","-"))</f>
        <v/>
      </c>
      <c r="I1517" s="11" t="str">
        <f aca="false">IF($A1517="","",IF($H1517="-","-",IF(AND(IF(원본명단!$H1516="",TRUE(),COUNTIF(원본명단!$H$3:$H1516,원본명단!$H1516)=1),IF(원본명단!$I1516="",TRUE(),COUNTIF(원본명단!$I$3:$I1516,원본명단!$I1516)=1),IF(원본명단!$K1516="",TRUE(),COUNTIF(원본명단!$K$3:$K1516,원본명단!$K1516)=1)),"첫 건","중복 건")))</f>
        <v/>
      </c>
      <c r="J1517" s="11" t="str">
        <f aca="false">IF($A1517="","",IF($H1517="-","유지",IF($I1517="첫 건","유지","확인 필요")))</f>
        <v/>
      </c>
    </row>
    <row r="1518" customFormat="false" ht="15" hidden="false" customHeight="true" outlineLevel="0" collapsed="false">
      <c r="A1518" s="11" t="str">
        <f aca="false">IF(원본명단!$A1517="","",1515)</f>
        <v/>
      </c>
      <c r="B1518" s="12" t="str">
        <f aca="false">IF($A1518="","",원본명단!$A1517)</f>
        <v/>
      </c>
      <c r="C1518" s="12" t="str">
        <f aca="false">IF($A1518="","",원본명단!$B1517)</f>
        <v/>
      </c>
      <c r="D1518" s="12" t="str">
        <f aca="false">IF($A1518="","",원본명단!$D1517)</f>
        <v/>
      </c>
      <c r="E1518" s="11" t="str">
        <f aca="false">IF($A1518="","",IF(원본명단!$H1517="",0,COUNTIF(원본명단!$H$3:$H$6002,원본명단!$H1517)))</f>
        <v/>
      </c>
      <c r="F1518" s="11" t="str">
        <f aca="false">IF($A1518="","",IF(원본명단!$I1517="",0,COUNTIF(원본명단!$I$3:$I$6002,원본명단!$I1517)))</f>
        <v/>
      </c>
      <c r="G1518" s="11" t="str">
        <f aca="false">IF($A1518="","",IF(원본명단!$K1517="",0,COUNTIF(원본명단!$K$3:$K$6002,원본명단!$K1517)))</f>
        <v/>
      </c>
      <c r="H1518" s="11" t="str">
        <f aca="false">IF($A1518="","",IF(MAX($E1518,$F1518,$G1518)&gt;1,"중복","-"))</f>
        <v/>
      </c>
      <c r="I1518" s="11" t="str">
        <f aca="false">IF($A1518="","",IF($H1518="-","-",IF(AND(IF(원본명단!$H1517="",TRUE(),COUNTIF(원본명단!$H$3:$H1517,원본명단!$H1517)=1),IF(원본명단!$I1517="",TRUE(),COUNTIF(원본명단!$I$3:$I1517,원본명단!$I1517)=1),IF(원본명단!$K1517="",TRUE(),COUNTIF(원본명단!$K$3:$K1517,원본명단!$K1517)=1)),"첫 건","중복 건")))</f>
        <v/>
      </c>
      <c r="J1518" s="11" t="str">
        <f aca="false">IF($A1518="","",IF($H1518="-","유지",IF($I1518="첫 건","유지","확인 필요")))</f>
        <v/>
      </c>
    </row>
    <row r="1519" customFormat="false" ht="15" hidden="false" customHeight="true" outlineLevel="0" collapsed="false">
      <c r="A1519" s="11" t="str">
        <f aca="false">IF(원본명단!$A1518="","",1516)</f>
        <v/>
      </c>
      <c r="B1519" s="12" t="str">
        <f aca="false">IF($A1519="","",원본명단!$A1518)</f>
        <v/>
      </c>
      <c r="C1519" s="12" t="str">
        <f aca="false">IF($A1519="","",원본명단!$B1518)</f>
        <v/>
      </c>
      <c r="D1519" s="12" t="str">
        <f aca="false">IF($A1519="","",원본명단!$D1518)</f>
        <v/>
      </c>
      <c r="E1519" s="11" t="str">
        <f aca="false">IF($A1519="","",IF(원본명단!$H1518="",0,COUNTIF(원본명단!$H$3:$H$6002,원본명단!$H1518)))</f>
        <v/>
      </c>
      <c r="F1519" s="11" t="str">
        <f aca="false">IF($A1519="","",IF(원본명단!$I1518="",0,COUNTIF(원본명단!$I$3:$I$6002,원본명단!$I1518)))</f>
        <v/>
      </c>
      <c r="G1519" s="11" t="str">
        <f aca="false">IF($A1519="","",IF(원본명단!$K1518="",0,COUNTIF(원본명단!$K$3:$K$6002,원본명단!$K1518)))</f>
        <v/>
      </c>
      <c r="H1519" s="11" t="str">
        <f aca="false">IF($A1519="","",IF(MAX($E1519,$F1519,$G1519)&gt;1,"중복","-"))</f>
        <v/>
      </c>
      <c r="I1519" s="11" t="str">
        <f aca="false">IF($A1519="","",IF($H1519="-","-",IF(AND(IF(원본명단!$H1518="",TRUE(),COUNTIF(원본명단!$H$3:$H1518,원본명단!$H1518)=1),IF(원본명단!$I1518="",TRUE(),COUNTIF(원본명단!$I$3:$I1518,원본명단!$I1518)=1),IF(원본명단!$K1518="",TRUE(),COUNTIF(원본명단!$K$3:$K1518,원본명단!$K1518)=1)),"첫 건","중복 건")))</f>
        <v/>
      </c>
      <c r="J1519" s="11" t="str">
        <f aca="false">IF($A1519="","",IF($H1519="-","유지",IF($I1519="첫 건","유지","확인 필요")))</f>
        <v/>
      </c>
    </row>
    <row r="1520" customFormat="false" ht="15" hidden="false" customHeight="true" outlineLevel="0" collapsed="false">
      <c r="A1520" s="11" t="str">
        <f aca="false">IF(원본명단!$A1519="","",1517)</f>
        <v/>
      </c>
      <c r="B1520" s="12" t="str">
        <f aca="false">IF($A1520="","",원본명단!$A1519)</f>
        <v/>
      </c>
      <c r="C1520" s="12" t="str">
        <f aca="false">IF($A1520="","",원본명단!$B1519)</f>
        <v/>
      </c>
      <c r="D1520" s="12" t="str">
        <f aca="false">IF($A1520="","",원본명단!$D1519)</f>
        <v/>
      </c>
      <c r="E1520" s="11" t="str">
        <f aca="false">IF($A1520="","",IF(원본명단!$H1519="",0,COUNTIF(원본명단!$H$3:$H$6002,원본명단!$H1519)))</f>
        <v/>
      </c>
      <c r="F1520" s="11" t="str">
        <f aca="false">IF($A1520="","",IF(원본명단!$I1519="",0,COUNTIF(원본명단!$I$3:$I$6002,원본명단!$I1519)))</f>
        <v/>
      </c>
      <c r="G1520" s="11" t="str">
        <f aca="false">IF($A1520="","",IF(원본명단!$K1519="",0,COUNTIF(원본명단!$K$3:$K$6002,원본명단!$K1519)))</f>
        <v/>
      </c>
      <c r="H1520" s="11" t="str">
        <f aca="false">IF($A1520="","",IF(MAX($E1520,$F1520,$G1520)&gt;1,"중복","-"))</f>
        <v/>
      </c>
      <c r="I1520" s="11" t="str">
        <f aca="false">IF($A1520="","",IF($H1520="-","-",IF(AND(IF(원본명단!$H1519="",TRUE(),COUNTIF(원본명단!$H$3:$H1519,원본명단!$H1519)=1),IF(원본명단!$I1519="",TRUE(),COUNTIF(원본명단!$I$3:$I1519,원본명단!$I1519)=1),IF(원본명단!$K1519="",TRUE(),COUNTIF(원본명단!$K$3:$K1519,원본명단!$K1519)=1)),"첫 건","중복 건")))</f>
        <v/>
      </c>
      <c r="J1520" s="11" t="str">
        <f aca="false">IF($A1520="","",IF($H1520="-","유지",IF($I1520="첫 건","유지","확인 필요")))</f>
        <v/>
      </c>
    </row>
    <row r="1521" customFormat="false" ht="15" hidden="false" customHeight="true" outlineLevel="0" collapsed="false">
      <c r="A1521" s="11" t="str">
        <f aca="false">IF(원본명단!$A1520="","",1518)</f>
        <v/>
      </c>
      <c r="B1521" s="12" t="str">
        <f aca="false">IF($A1521="","",원본명단!$A1520)</f>
        <v/>
      </c>
      <c r="C1521" s="12" t="str">
        <f aca="false">IF($A1521="","",원본명단!$B1520)</f>
        <v/>
      </c>
      <c r="D1521" s="12" t="str">
        <f aca="false">IF($A1521="","",원본명단!$D1520)</f>
        <v/>
      </c>
      <c r="E1521" s="11" t="str">
        <f aca="false">IF($A1521="","",IF(원본명단!$H1520="",0,COUNTIF(원본명단!$H$3:$H$6002,원본명단!$H1520)))</f>
        <v/>
      </c>
      <c r="F1521" s="11" t="str">
        <f aca="false">IF($A1521="","",IF(원본명단!$I1520="",0,COUNTIF(원본명단!$I$3:$I$6002,원본명단!$I1520)))</f>
        <v/>
      </c>
      <c r="G1521" s="11" t="str">
        <f aca="false">IF($A1521="","",IF(원본명단!$K1520="",0,COUNTIF(원본명단!$K$3:$K$6002,원본명단!$K1520)))</f>
        <v/>
      </c>
      <c r="H1521" s="11" t="str">
        <f aca="false">IF($A1521="","",IF(MAX($E1521,$F1521,$G1521)&gt;1,"중복","-"))</f>
        <v/>
      </c>
      <c r="I1521" s="11" t="str">
        <f aca="false">IF($A1521="","",IF($H1521="-","-",IF(AND(IF(원본명단!$H1520="",TRUE(),COUNTIF(원본명단!$H$3:$H1520,원본명단!$H1520)=1),IF(원본명단!$I1520="",TRUE(),COUNTIF(원본명단!$I$3:$I1520,원본명단!$I1520)=1),IF(원본명단!$K1520="",TRUE(),COUNTIF(원본명단!$K$3:$K1520,원본명단!$K1520)=1)),"첫 건","중복 건")))</f>
        <v/>
      </c>
      <c r="J1521" s="11" t="str">
        <f aca="false">IF($A1521="","",IF($H1521="-","유지",IF($I1521="첫 건","유지","확인 필요")))</f>
        <v/>
      </c>
    </row>
    <row r="1522" customFormat="false" ht="15" hidden="false" customHeight="true" outlineLevel="0" collapsed="false">
      <c r="A1522" s="11" t="str">
        <f aca="false">IF(원본명단!$A1521="","",1519)</f>
        <v/>
      </c>
      <c r="B1522" s="12" t="str">
        <f aca="false">IF($A1522="","",원본명단!$A1521)</f>
        <v/>
      </c>
      <c r="C1522" s="12" t="str">
        <f aca="false">IF($A1522="","",원본명단!$B1521)</f>
        <v/>
      </c>
      <c r="D1522" s="12" t="str">
        <f aca="false">IF($A1522="","",원본명단!$D1521)</f>
        <v/>
      </c>
      <c r="E1522" s="11" t="str">
        <f aca="false">IF($A1522="","",IF(원본명단!$H1521="",0,COUNTIF(원본명단!$H$3:$H$6002,원본명단!$H1521)))</f>
        <v/>
      </c>
      <c r="F1522" s="11" t="str">
        <f aca="false">IF($A1522="","",IF(원본명단!$I1521="",0,COUNTIF(원본명단!$I$3:$I$6002,원본명단!$I1521)))</f>
        <v/>
      </c>
      <c r="G1522" s="11" t="str">
        <f aca="false">IF($A1522="","",IF(원본명단!$K1521="",0,COUNTIF(원본명단!$K$3:$K$6002,원본명단!$K1521)))</f>
        <v/>
      </c>
      <c r="H1522" s="11" t="str">
        <f aca="false">IF($A1522="","",IF(MAX($E1522,$F1522,$G1522)&gt;1,"중복","-"))</f>
        <v/>
      </c>
      <c r="I1522" s="11" t="str">
        <f aca="false">IF($A1522="","",IF($H1522="-","-",IF(AND(IF(원본명단!$H1521="",TRUE(),COUNTIF(원본명단!$H$3:$H1521,원본명단!$H1521)=1),IF(원본명단!$I1521="",TRUE(),COUNTIF(원본명단!$I$3:$I1521,원본명단!$I1521)=1),IF(원본명단!$K1521="",TRUE(),COUNTIF(원본명단!$K$3:$K1521,원본명단!$K1521)=1)),"첫 건","중복 건")))</f>
        <v/>
      </c>
      <c r="J1522" s="11" t="str">
        <f aca="false">IF($A1522="","",IF($H1522="-","유지",IF($I1522="첫 건","유지","확인 필요")))</f>
        <v/>
      </c>
    </row>
    <row r="1523" customFormat="false" ht="15" hidden="false" customHeight="true" outlineLevel="0" collapsed="false">
      <c r="A1523" s="11" t="str">
        <f aca="false">IF(원본명단!$A1522="","",1520)</f>
        <v/>
      </c>
      <c r="B1523" s="12" t="str">
        <f aca="false">IF($A1523="","",원본명단!$A1522)</f>
        <v/>
      </c>
      <c r="C1523" s="12" t="str">
        <f aca="false">IF($A1523="","",원본명단!$B1522)</f>
        <v/>
      </c>
      <c r="D1523" s="12" t="str">
        <f aca="false">IF($A1523="","",원본명단!$D1522)</f>
        <v/>
      </c>
      <c r="E1523" s="11" t="str">
        <f aca="false">IF($A1523="","",IF(원본명단!$H1522="",0,COUNTIF(원본명단!$H$3:$H$6002,원본명단!$H1522)))</f>
        <v/>
      </c>
      <c r="F1523" s="11" t="str">
        <f aca="false">IF($A1523="","",IF(원본명단!$I1522="",0,COUNTIF(원본명단!$I$3:$I$6002,원본명단!$I1522)))</f>
        <v/>
      </c>
      <c r="G1523" s="11" t="str">
        <f aca="false">IF($A1523="","",IF(원본명단!$K1522="",0,COUNTIF(원본명단!$K$3:$K$6002,원본명단!$K1522)))</f>
        <v/>
      </c>
      <c r="H1523" s="11" t="str">
        <f aca="false">IF($A1523="","",IF(MAX($E1523,$F1523,$G1523)&gt;1,"중복","-"))</f>
        <v/>
      </c>
      <c r="I1523" s="11" t="str">
        <f aca="false">IF($A1523="","",IF($H1523="-","-",IF(AND(IF(원본명단!$H1522="",TRUE(),COUNTIF(원본명단!$H$3:$H1522,원본명단!$H1522)=1),IF(원본명단!$I1522="",TRUE(),COUNTIF(원본명단!$I$3:$I1522,원본명단!$I1522)=1),IF(원본명단!$K1522="",TRUE(),COUNTIF(원본명단!$K$3:$K1522,원본명단!$K1522)=1)),"첫 건","중복 건")))</f>
        <v/>
      </c>
      <c r="J1523" s="11" t="str">
        <f aca="false">IF($A1523="","",IF($H1523="-","유지",IF($I1523="첫 건","유지","확인 필요")))</f>
        <v/>
      </c>
    </row>
    <row r="1524" customFormat="false" ht="15" hidden="false" customHeight="true" outlineLevel="0" collapsed="false">
      <c r="A1524" s="11" t="str">
        <f aca="false">IF(원본명단!$A1523="","",1521)</f>
        <v/>
      </c>
      <c r="B1524" s="12" t="str">
        <f aca="false">IF($A1524="","",원본명단!$A1523)</f>
        <v/>
      </c>
      <c r="C1524" s="12" t="str">
        <f aca="false">IF($A1524="","",원본명단!$B1523)</f>
        <v/>
      </c>
      <c r="D1524" s="12" t="str">
        <f aca="false">IF($A1524="","",원본명단!$D1523)</f>
        <v/>
      </c>
      <c r="E1524" s="11" t="str">
        <f aca="false">IF($A1524="","",IF(원본명단!$H1523="",0,COUNTIF(원본명단!$H$3:$H$6002,원본명단!$H1523)))</f>
        <v/>
      </c>
      <c r="F1524" s="11" t="str">
        <f aca="false">IF($A1524="","",IF(원본명단!$I1523="",0,COUNTIF(원본명단!$I$3:$I$6002,원본명단!$I1523)))</f>
        <v/>
      </c>
      <c r="G1524" s="11" t="str">
        <f aca="false">IF($A1524="","",IF(원본명단!$K1523="",0,COUNTIF(원본명단!$K$3:$K$6002,원본명단!$K1523)))</f>
        <v/>
      </c>
      <c r="H1524" s="11" t="str">
        <f aca="false">IF($A1524="","",IF(MAX($E1524,$F1524,$G1524)&gt;1,"중복","-"))</f>
        <v/>
      </c>
      <c r="I1524" s="11" t="str">
        <f aca="false">IF($A1524="","",IF($H1524="-","-",IF(AND(IF(원본명단!$H1523="",TRUE(),COUNTIF(원본명단!$H$3:$H1523,원본명단!$H1523)=1),IF(원본명단!$I1523="",TRUE(),COUNTIF(원본명단!$I$3:$I1523,원본명단!$I1523)=1),IF(원본명단!$K1523="",TRUE(),COUNTIF(원본명단!$K$3:$K1523,원본명단!$K1523)=1)),"첫 건","중복 건")))</f>
        <v/>
      </c>
      <c r="J1524" s="11" t="str">
        <f aca="false">IF($A1524="","",IF($H1524="-","유지",IF($I1524="첫 건","유지","확인 필요")))</f>
        <v/>
      </c>
    </row>
    <row r="1525" customFormat="false" ht="15" hidden="false" customHeight="true" outlineLevel="0" collapsed="false">
      <c r="A1525" s="11" t="str">
        <f aca="false">IF(원본명단!$A1524="","",1522)</f>
        <v/>
      </c>
      <c r="B1525" s="12" t="str">
        <f aca="false">IF($A1525="","",원본명단!$A1524)</f>
        <v/>
      </c>
      <c r="C1525" s="12" t="str">
        <f aca="false">IF($A1525="","",원본명단!$B1524)</f>
        <v/>
      </c>
      <c r="D1525" s="12" t="str">
        <f aca="false">IF($A1525="","",원본명단!$D1524)</f>
        <v/>
      </c>
      <c r="E1525" s="11" t="str">
        <f aca="false">IF($A1525="","",IF(원본명단!$H1524="",0,COUNTIF(원본명단!$H$3:$H$6002,원본명단!$H1524)))</f>
        <v/>
      </c>
      <c r="F1525" s="11" t="str">
        <f aca="false">IF($A1525="","",IF(원본명단!$I1524="",0,COUNTIF(원본명단!$I$3:$I$6002,원본명단!$I1524)))</f>
        <v/>
      </c>
      <c r="G1525" s="11" t="str">
        <f aca="false">IF($A1525="","",IF(원본명단!$K1524="",0,COUNTIF(원본명단!$K$3:$K$6002,원본명단!$K1524)))</f>
        <v/>
      </c>
      <c r="H1525" s="11" t="str">
        <f aca="false">IF($A1525="","",IF(MAX($E1525,$F1525,$G1525)&gt;1,"중복","-"))</f>
        <v/>
      </c>
      <c r="I1525" s="11" t="str">
        <f aca="false">IF($A1525="","",IF($H1525="-","-",IF(AND(IF(원본명단!$H1524="",TRUE(),COUNTIF(원본명단!$H$3:$H1524,원본명단!$H1524)=1),IF(원본명단!$I1524="",TRUE(),COUNTIF(원본명단!$I$3:$I1524,원본명단!$I1524)=1),IF(원본명단!$K1524="",TRUE(),COUNTIF(원본명단!$K$3:$K1524,원본명단!$K1524)=1)),"첫 건","중복 건")))</f>
        <v/>
      </c>
      <c r="J1525" s="11" t="str">
        <f aca="false">IF($A1525="","",IF($H1525="-","유지",IF($I1525="첫 건","유지","확인 필요")))</f>
        <v/>
      </c>
    </row>
    <row r="1526" customFormat="false" ht="15" hidden="false" customHeight="true" outlineLevel="0" collapsed="false">
      <c r="A1526" s="11" t="str">
        <f aca="false">IF(원본명단!$A1525="","",1523)</f>
        <v/>
      </c>
      <c r="B1526" s="12" t="str">
        <f aca="false">IF($A1526="","",원본명단!$A1525)</f>
        <v/>
      </c>
      <c r="C1526" s="12" t="str">
        <f aca="false">IF($A1526="","",원본명단!$B1525)</f>
        <v/>
      </c>
      <c r="D1526" s="12" t="str">
        <f aca="false">IF($A1526="","",원본명단!$D1525)</f>
        <v/>
      </c>
      <c r="E1526" s="11" t="str">
        <f aca="false">IF($A1526="","",IF(원본명단!$H1525="",0,COUNTIF(원본명단!$H$3:$H$6002,원본명단!$H1525)))</f>
        <v/>
      </c>
      <c r="F1526" s="11" t="str">
        <f aca="false">IF($A1526="","",IF(원본명단!$I1525="",0,COUNTIF(원본명단!$I$3:$I$6002,원본명단!$I1525)))</f>
        <v/>
      </c>
      <c r="G1526" s="11" t="str">
        <f aca="false">IF($A1526="","",IF(원본명단!$K1525="",0,COUNTIF(원본명단!$K$3:$K$6002,원본명단!$K1525)))</f>
        <v/>
      </c>
      <c r="H1526" s="11" t="str">
        <f aca="false">IF($A1526="","",IF(MAX($E1526,$F1526,$G1526)&gt;1,"중복","-"))</f>
        <v/>
      </c>
      <c r="I1526" s="11" t="str">
        <f aca="false">IF($A1526="","",IF($H1526="-","-",IF(AND(IF(원본명단!$H1525="",TRUE(),COUNTIF(원본명단!$H$3:$H1525,원본명단!$H1525)=1),IF(원본명단!$I1525="",TRUE(),COUNTIF(원본명단!$I$3:$I1525,원본명단!$I1525)=1),IF(원본명단!$K1525="",TRUE(),COUNTIF(원본명단!$K$3:$K1525,원본명단!$K1525)=1)),"첫 건","중복 건")))</f>
        <v/>
      </c>
      <c r="J1526" s="11" t="str">
        <f aca="false">IF($A1526="","",IF($H1526="-","유지",IF($I1526="첫 건","유지","확인 필요")))</f>
        <v/>
      </c>
    </row>
    <row r="1527" customFormat="false" ht="15" hidden="false" customHeight="true" outlineLevel="0" collapsed="false">
      <c r="A1527" s="11" t="str">
        <f aca="false">IF(원본명단!$A1526="","",1524)</f>
        <v/>
      </c>
      <c r="B1527" s="12" t="str">
        <f aca="false">IF($A1527="","",원본명단!$A1526)</f>
        <v/>
      </c>
      <c r="C1527" s="12" t="str">
        <f aca="false">IF($A1527="","",원본명단!$B1526)</f>
        <v/>
      </c>
      <c r="D1527" s="12" t="str">
        <f aca="false">IF($A1527="","",원본명단!$D1526)</f>
        <v/>
      </c>
      <c r="E1527" s="11" t="str">
        <f aca="false">IF($A1527="","",IF(원본명단!$H1526="",0,COUNTIF(원본명단!$H$3:$H$6002,원본명단!$H1526)))</f>
        <v/>
      </c>
      <c r="F1527" s="11" t="str">
        <f aca="false">IF($A1527="","",IF(원본명단!$I1526="",0,COUNTIF(원본명단!$I$3:$I$6002,원본명단!$I1526)))</f>
        <v/>
      </c>
      <c r="G1527" s="11" t="str">
        <f aca="false">IF($A1527="","",IF(원본명단!$K1526="",0,COUNTIF(원본명단!$K$3:$K$6002,원본명단!$K1526)))</f>
        <v/>
      </c>
      <c r="H1527" s="11" t="str">
        <f aca="false">IF($A1527="","",IF(MAX($E1527,$F1527,$G1527)&gt;1,"중복","-"))</f>
        <v/>
      </c>
      <c r="I1527" s="11" t="str">
        <f aca="false">IF($A1527="","",IF($H1527="-","-",IF(AND(IF(원본명단!$H1526="",TRUE(),COUNTIF(원본명단!$H$3:$H1526,원본명단!$H1526)=1),IF(원본명단!$I1526="",TRUE(),COUNTIF(원본명단!$I$3:$I1526,원본명단!$I1526)=1),IF(원본명단!$K1526="",TRUE(),COUNTIF(원본명단!$K$3:$K1526,원본명단!$K1526)=1)),"첫 건","중복 건")))</f>
        <v/>
      </c>
      <c r="J1527" s="11" t="str">
        <f aca="false">IF($A1527="","",IF($H1527="-","유지",IF($I1527="첫 건","유지","확인 필요")))</f>
        <v/>
      </c>
    </row>
    <row r="1528" customFormat="false" ht="15" hidden="false" customHeight="true" outlineLevel="0" collapsed="false">
      <c r="A1528" s="11" t="str">
        <f aca="false">IF(원본명단!$A1527="","",1525)</f>
        <v/>
      </c>
      <c r="B1528" s="12" t="str">
        <f aca="false">IF($A1528="","",원본명단!$A1527)</f>
        <v/>
      </c>
      <c r="C1528" s="12" t="str">
        <f aca="false">IF($A1528="","",원본명단!$B1527)</f>
        <v/>
      </c>
      <c r="D1528" s="12" t="str">
        <f aca="false">IF($A1528="","",원본명단!$D1527)</f>
        <v/>
      </c>
      <c r="E1528" s="11" t="str">
        <f aca="false">IF($A1528="","",IF(원본명단!$H1527="",0,COUNTIF(원본명단!$H$3:$H$6002,원본명단!$H1527)))</f>
        <v/>
      </c>
      <c r="F1528" s="11" t="str">
        <f aca="false">IF($A1528="","",IF(원본명단!$I1527="",0,COUNTIF(원본명단!$I$3:$I$6002,원본명단!$I1527)))</f>
        <v/>
      </c>
      <c r="G1528" s="11" t="str">
        <f aca="false">IF($A1528="","",IF(원본명단!$K1527="",0,COUNTIF(원본명단!$K$3:$K$6002,원본명단!$K1527)))</f>
        <v/>
      </c>
      <c r="H1528" s="11" t="str">
        <f aca="false">IF($A1528="","",IF(MAX($E1528,$F1528,$G1528)&gt;1,"중복","-"))</f>
        <v/>
      </c>
      <c r="I1528" s="11" t="str">
        <f aca="false">IF($A1528="","",IF($H1528="-","-",IF(AND(IF(원본명단!$H1527="",TRUE(),COUNTIF(원본명단!$H$3:$H1527,원본명단!$H1527)=1),IF(원본명단!$I1527="",TRUE(),COUNTIF(원본명단!$I$3:$I1527,원본명단!$I1527)=1),IF(원본명단!$K1527="",TRUE(),COUNTIF(원본명단!$K$3:$K1527,원본명단!$K1527)=1)),"첫 건","중복 건")))</f>
        <v/>
      </c>
      <c r="J1528" s="11" t="str">
        <f aca="false">IF($A1528="","",IF($H1528="-","유지",IF($I1528="첫 건","유지","확인 필요")))</f>
        <v/>
      </c>
    </row>
    <row r="1529" customFormat="false" ht="15" hidden="false" customHeight="true" outlineLevel="0" collapsed="false">
      <c r="A1529" s="11" t="str">
        <f aca="false">IF(원본명단!$A1528="","",1526)</f>
        <v/>
      </c>
      <c r="B1529" s="12" t="str">
        <f aca="false">IF($A1529="","",원본명단!$A1528)</f>
        <v/>
      </c>
      <c r="C1529" s="12" t="str">
        <f aca="false">IF($A1529="","",원본명단!$B1528)</f>
        <v/>
      </c>
      <c r="D1529" s="12" t="str">
        <f aca="false">IF($A1529="","",원본명단!$D1528)</f>
        <v/>
      </c>
      <c r="E1529" s="11" t="str">
        <f aca="false">IF($A1529="","",IF(원본명단!$H1528="",0,COUNTIF(원본명단!$H$3:$H$6002,원본명단!$H1528)))</f>
        <v/>
      </c>
      <c r="F1529" s="11" t="str">
        <f aca="false">IF($A1529="","",IF(원본명단!$I1528="",0,COUNTIF(원본명단!$I$3:$I$6002,원본명단!$I1528)))</f>
        <v/>
      </c>
      <c r="G1529" s="11" t="str">
        <f aca="false">IF($A1529="","",IF(원본명단!$K1528="",0,COUNTIF(원본명단!$K$3:$K$6002,원본명단!$K1528)))</f>
        <v/>
      </c>
      <c r="H1529" s="11" t="str">
        <f aca="false">IF($A1529="","",IF(MAX($E1529,$F1529,$G1529)&gt;1,"중복","-"))</f>
        <v/>
      </c>
      <c r="I1529" s="11" t="str">
        <f aca="false">IF($A1529="","",IF($H1529="-","-",IF(AND(IF(원본명단!$H1528="",TRUE(),COUNTIF(원본명단!$H$3:$H1528,원본명단!$H1528)=1),IF(원본명단!$I1528="",TRUE(),COUNTIF(원본명단!$I$3:$I1528,원본명단!$I1528)=1),IF(원본명단!$K1528="",TRUE(),COUNTIF(원본명단!$K$3:$K1528,원본명단!$K1528)=1)),"첫 건","중복 건")))</f>
        <v/>
      </c>
      <c r="J1529" s="11" t="str">
        <f aca="false">IF($A1529="","",IF($H1529="-","유지",IF($I1529="첫 건","유지","확인 필요")))</f>
        <v/>
      </c>
    </row>
    <row r="1530" customFormat="false" ht="15" hidden="false" customHeight="true" outlineLevel="0" collapsed="false">
      <c r="A1530" s="11" t="str">
        <f aca="false">IF(원본명단!$A1529="","",1527)</f>
        <v/>
      </c>
      <c r="B1530" s="12" t="str">
        <f aca="false">IF($A1530="","",원본명단!$A1529)</f>
        <v/>
      </c>
      <c r="C1530" s="12" t="str">
        <f aca="false">IF($A1530="","",원본명단!$B1529)</f>
        <v/>
      </c>
      <c r="D1530" s="12" t="str">
        <f aca="false">IF($A1530="","",원본명단!$D1529)</f>
        <v/>
      </c>
      <c r="E1530" s="11" t="str">
        <f aca="false">IF($A1530="","",IF(원본명단!$H1529="",0,COUNTIF(원본명단!$H$3:$H$6002,원본명단!$H1529)))</f>
        <v/>
      </c>
      <c r="F1530" s="11" t="str">
        <f aca="false">IF($A1530="","",IF(원본명단!$I1529="",0,COUNTIF(원본명단!$I$3:$I$6002,원본명단!$I1529)))</f>
        <v/>
      </c>
      <c r="G1530" s="11" t="str">
        <f aca="false">IF($A1530="","",IF(원본명단!$K1529="",0,COUNTIF(원본명단!$K$3:$K$6002,원본명단!$K1529)))</f>
        <v/>
      </c>
      <c r="H1530" s="11" t="str">
        <f aca="false">IF($A1530="","",IF(MAX($E1530,$F1530,$G1530)&gt;1,"중복","-"))</f>
        <v/>
      </c>
      <c r="I1530" s="11" t="str">
        <f aca="false">IF($A1530="","",IF($H1530="-","-",IF(AND(IF(원본명단!$H1529="",TRUE(),COUNTIF(원본명단!$H$3:$H1529,원본명단!$H1529)=1),IF(원본명단!$I1529="",TRUE(),COUNTIF(원본명단!$I$3:$I1529,원본명단!$I1529)=1),IF(원본명단!$K1529="",TRUE(),COUNTIF(원본명단!$K$3:$K1529,원본명단!$K1529)=1)),"첫 건","중복 건")))</f>
        <v/>
      </c>
      <c r="J1530" s="11" t="str">
        <f aca="false">IF($A1530="","",IF($H1530="-","유지",IF($I1530="첫 건","유지","확인 필요")))</f>
        <v/>
      </c>
    </row>
    <row r="1531" customFormat="false" ht="15" hidden="false" customHeight="true" outlineLevel="0" collapsed="false">
      <c r="A1531" s="11" t="str">
        <f aca="false">IF(원본명단!$A1530="","",1528)</f>
        <v/>
      </c>
      <c r="B1531" s="12" t="str">
        <f aca="false">IF($A1531="","",원본명단!$A1530)</f>
        <v/>
      </c>
      <c r="C1531" s="12" t="str">
        <f aca="false">IF($A1531="","",원본명단!$B1530)</f>
        <v/>
      </c>
      <c r="D1531" s="12" t="str">
        <f aca="false">IF($A1531="","",원본명단!$D1530)</f>
        <v/>
      </c>
      <c r="E1531" s="11" t="str">
        <f aca="false">IF($A1531="","",IF(원본명단!$H1530="",0,COUNTIF(원본명단!$H$3:$H$6002,원본명단!$H1530)))</f>
        <v/>
      </c>
      <c r="F1531" s="11" t="str">
        <f aca="false">IF($A1531="","",IF(원본명단!$I1530="",0,COUNTIF(원본명단!$I$3:$I$6002,원본명단!$I1530)))</f>
        <v/>
      </c>
      <c r="G1531" s="11" t="str">
        <f aca="false">IF($A1531="","",IF(원본명단!$K1530="",0,COUNTIF(원본명단!$K$3:$K$6002,원본명단!$K1530)))</f>
        <v/>
      </c>
      <c r="H1531" s="11" t="str">
        <f aca="false">IF($A1531="","",IF(MAX($E1531,$F1531,$G1531)&gt;1,"중복","-"))</f>
        <v/>
      </c>
      <c r="I1531" s="11" t="str">
        <f aca="false">IF($A1531="","",IF($H1531="-","-",IF(AND(IF(원본명단!$H1530="",TRUE(),COUNTIF(원본명단!$H$3:$H1530,원본명단!$H1530)=1),IF(원본명단!$I1530="",TRUE(),COUNTIF(원본명단!$I$3:$I1530,원본명단!$I1530)=1),IF(원본명단!$K1530="",TRUE(),COUNTIF(원본명단!$K$3:$K1530,원본명단!$K1530)=1)),"첫 건","중복 건")))</f>
        <v/>
      </c>
      <c r="J1531" s="11" t="str">
        <f aca="false">IF($A1531="","",IF($H1531="-","유지",IF($I1531="첫 건","유지","확인 필요")))</f>
        <v/>
      </c>
    </row>
    <row r="1532" customFormat="false" ht="15" hidden="false" customHeight="true" outlineLevel="0" collapsed="false">
      <c r="A1532" s="11" t="str">
        <f aca="false">IF(원본명단!$A1531="","",1529)</f>
        <v/>
      </c>
      <c r="B1532" s="12" t="str">
        <f aca="false">IF($A1532="","",원본명단!$A1531)</f>
        <v/>
      </c>
      <c r="C1532" s="12" t="str">
        <f aca="false">IF($A1532="","",원본명단!$B1531)</f>
        <v/>
      </c>
      <c r="D1532" s="12" t="str">
        <f aca="false">IF($A1532="","",원본명단!$D1531)</f>
        <v/>
      </c>
      <c r="E1532" s="11" t="str">
        <f aca="false">IF($A1532="","",IF(원본명단!$H1531="",0,COUNTIF(원본명단!$H$3:$H$6002,원본명단!$H1531)))</f>
        <v/>
      </c>
      <c r="F1532" s="11" t="str">
        <f aca="false">IF($A1532="","",IF(원본명단!$I1531="",0,COUNTIF(원본명단!$I$3:$I$6002,원본명단!$I1531)))</f>
        <v/>
      </c>
      <c r="G1532" s="11" t="str">
        <f aca="false">IF($A1532="","",IF(원본명단!$K1531="",0,COUNTIF(원본명단!$K$3:$K$6002,원본명단!$K1531)))</f>
        <v/>
      </c>
      <c r="H1532" s="11" t="str">
        <f aca="false">IF($A1532="","",IF(MAX($E1532,$F1532,$G1532)&gt;1,"중복","-"))</f>
        <v/>
      </c>
      <c r="I1532" s="11" t="str">
        <f aca="false">IF($A1532="","",IF($H1532="-","-",IF(AND(IF(원본명단!$H1531="",TRUE(),COUNTIF(원본명단!$H$3:$H1531,원본명단!$H1531)=1),IF(원본명단!$I1531="",TRUE(),COUNTIF(원본명단!$I$3:$I1531,원본명단!$I1531)=1),IF(원본명단!$K1531="",TRUE(),COUNTIF(원본명단!$K$3:$K1531,원본명단!$K1531)=1)),"첫 건","중복 건")))</f>
        <v/>
      </c>
      <c r="J1532" s="11" t="str">
        <f aca="false">IF($A1532="","",IF($H1532="-","유지",IF($I1532="첫 건","유지","확인 필요")))</f>
        <v/>
      </c>
    </row>
    <row r="1533" customFormat="false" ht="15" hidden="false" customHeight="true" outlineLevel="0" collapsed="false">
      <c r="A1533" s="11" t="str">
        <f aca="false">IF(원본명단!$A1532="","",1530)</f>
        <v/>
      </c>
      <c r="B1533" s="12" t="str">
        <f aca="false">IF($A1533="","",원본명단!$A1532)</f>
        <v/>
      </c>
      <c r="C1533" s="12" t="str">
        <f aca="false">IF($A1533="","",원본명단!$B1532)</f>
        <v/>
      </c>
      <c r="D1533" s="12" t="str">
        <f aca="false">IF($A1533="","",원본명단!$D1532)</f>
        <v/>
      </c>
      <c r="E1533" s="11" t="str">
        <f aca="false">IF($A1533="","",IF(원본명단!$H1532="",0,COUNTIF(원본명단!$H$3:$H$6002,원본명단!$H1532)))</f>
        <v/>
      </c>
      <c r="F1533" s="11" t="str">
        <f aca="false">IF($A1533="","",IF(원본명단!$I1532="",0,COUNTIF(원본명단!$I$3:$I$6002,원본명단!$I1532)))</f>
        <v/>
      </c>
      <c r="G1533" s="11" t="str">
        <f aca="false">IF($A1533="","",IF(원본명단!$K1532="",0,COUNTIF(원본명단!$K$3:$K$6002,원본명단!$K1532)))</f>
        <v/>
      </c>
      <c r="H1533" s="11" t="str">
        <f aca="false">IF($A1533="","",IF(MAX($E1533,$F1533,$G1533)&gt;1,"중복","-"))</f>
        <v/>
      </c>
      <c r="I1533" s="11" t="str">
        <f aca="false">IF($A1533="","",IF($H1533="-","-",IF(AND(IF(원본명단!$H1532="",TRUE(),COUNTIF(원본명단!$H$3:$H1532,원본명단!$H1532)=1),IF(원본명단!$I1532="",TRUE(),COUNTIF(원본명단!$I$3:$I1532,원본명단!$I1532)=1),IF(원본명단!$K1532="",TRUE(),COUNTIF(원본명단!$K$3:$K1532,원본명단!$K1532)=1)),"첫 건","중복 건")))</f>
        <v/>
      </c>
      <c r="J1533" s="11" t="str">
        <f aca="false">IF($A1533="","",IF($H1533="-","유지",IF($I1533="첫 건","유지","확인 필요")))</f>
        <v/>
      </c>
    </row>
    <row r="1534" customFormat="false" ht="15" hidden="false" customHeight="true" outlineLevel="0" collapsed="false">
      <c r="A1534" s="11" t="str">
        <f aca="false">IF(원본명단!$A1533="","",1531)</f>
        <v/>
      </c>
      <c r="B1534" s="12" t="str">
        <f aca="false">IF($A1534="","",원본명단!$A1533)</f>
        <v/>
      </c>
      <c r="C1534" s="12" t="str">
        <f aca="false">IF($A1534="","",원본명단!$B1533)</f>
        <v/>
      </c>
      <c r="D1534" s="12" t="str">
        <f aca="false">IF($A1534="","",원본명단!$D1533)</f>
        <v/>
      </c>
      <c r="E1534" s="11" t="str">
        <f aca="false">IF($A1534="","",IF(원본명단!$H1533="",0,COUNTIF(원본명단!$H$3:$H$6002,원본명단!$H1533)))</f>
        <v/>
      </c>
      <c r="F1534" s="11" t="str">
        <f aca="false">IF($A1534="","",IF(원본명단!$I1533="",0,COUNTIF(원본명단!$I$3:$I$6002,원본명단!$I1533)))</f>
        <v/>
      </c>
      <c r="G1534" s="11" t="str">
        <f aca="false">IF($A1534="","",IF(원본명단!$K1533="",0,COUNTIF(원본명단!$K$3:$K$6002,원본명단!$K1533)))</f>
        <v/>
      </c>
      <c r="H1534" s="11" t="str">
        <f aca="false">IF($A1534="","",IF(MAX($E1534,$F1534,$G1534)&gt;1,"중복","-"))</f>
        <v/>
      </c>
      <c r="I1534" s="11" t="str">
        <f aca="false">IF($A1534="","",IF($H1534="-","-",IF(AND(IF(원본명단!$H1533="",TRUE(),COUNTIF(원본명단!$H$3:$H1533,원본명단!$H1533)=1),IF(원본명단!$I1533="",TRUE(),COUNTIF(원본명단!$I$3:$I1533,원본명단!$I1533)=1),IF(원본명단!$K1533="",TRUE(),COUNTIF(원본명단!$K$3:$K1533,원본명단!$K1533)=1)),"첫 건","중복 건")))</f>
        <v/>
      </c>
      <c r="J1534" s="11" t="str">
        <f aca="false">IF($A1534="","",IF($H1534="-","유지",IF($I1534="첫 건","유지","확인 필요")))</f>
        <v/>
      </c>
    </row>
    <row r="1535" customFormat="false" ht="15" hidden="false" customHeight="true" outlineLevel="0" collapsed="false">
      <c r="A1535" s="11" t="str">
        <f aca="false">IF(원본명단!$A1534="","",1532)</f>
        <v/>
      </c>
      <c r="B1535" s="12" t="str">
        <f aca="false">IF($A1535="","",원본명단!$A1534)</f>
        <v/>
      </c>
      <c r="C1535" s="12" t="str">
        <f aca="false">IF($A1535="","",원본명단!$B1534)</f>
        <v/>
      </c>
      <c r="D1535" s="12" t="str">
        <f aca="false">IF($A1535="","",원본명단!$D1534)</f>
        <v/>
      </c>
      <c r="E1535" s="11" t="str">
        <f aca="false">IF($A1535="","",IF(원본명단!$H1534="",0,COUNTIF(원본명단!$H$3:$H$6002,원본명단!$H1534)))</f>
        <v/>
      </c>
      <c r="F1535" s="11" t="str">
        <f aca="false">IF($A1535="","",IF(원본명단!$I1534="",0,COUNTIF(원본명단!$I$3:$I$6002,원본명단!$I1534)))</f>
        <v/>
      </c>
      <c r="G1535" s="11" t="str">
        <f aca="false">IF($A1535="","",IF(원본명단!$K1534="",0,COUNTIF(원본명단!$K$3:$K$6002,원본명단!$K1534)))</f>
        <v/>
      </c>
      <c r="H1535" s="11" t="str">
        <f aca="false">IF($A1535="","",IF(MAX($E1535,$F1535,$G1535)&gt;1,"중복","-"))</f>
        <v/>
      </c>
      <c r="I1535" s="11" t="str">
        <f aca="false">IF($A1535="","",IF($H1535="-","-",IF(AND(IF(원본명단!$H1534="",TRUE(),COUNTIF(원본명단!$H$3:$H1534,원본명단!$H1534)=1),IF(원본명단!$I1534="",TRUE(),COUNTIF(원본명단!$I$3:$I1534,원본명단!$I1534)=1),IF(원본명단!$K1534="",TRUE(),COUNTIF(원본명단!$K$3:$K1534,원본명단!$K1534)=1)),"첫 건","중복 건")))</f>
        <v/>
      </c>
      <c r="J1535" s="11" t="str">
        <f aca="false">IF($A1535="","",IF($H1535="-","유지",IF($I1535="첫 건","유지","확인 필요")))</f>
        <v/>
      </c>
    </row>
    <row r="1536" customFormat="false" ht="15" hidden="false" customHeight="true" outlineLevel="0" collapsed="false">
      <c r="A1536" s="11" t="str">
        <f aca="false">IF(원본명단!$A1535="","",1533)</f>
        <v/>
      </c>
      <c r="B1536" s="12" t="str">
        <f aca="false">IF($A1536="","",원본명단!$A1535)</f>
        <v/>
      </c>
      <c r="C1536" s="12" t="str">
        <f aca="false">IF($A1536="","",원본명단!$B1535)</f>
        <v/>
      </c>
      <c r="D1536" s="12" t="str">
        <f aca="false">IF($A1536="","",원본명단!$D1535)</f>
        <v/>
      </c>
      <c r="E1536" s="11" t="str">
        <f aca="false">IF($A1536="","",IF(원본명단!$H1535="",0,COUNTIF(원본명단!$H$3:$H$6002,원본명단!$H1535)))</f>
        <v/>
      </c>
      <c r="F1536" s="11" t="str">
        <f aca="false">IF($A1536="","",IF(원본명단!$I1535="",0,COUNTIF(원본명단!$I$3:$I$6002,원본명단!$I1535)))</f>
        <v/>
      </c>
      <c r="G1536" s="11" t="str">
        <f aca="false">IF($A1536="","",IF(원본명단!$K1535="",0,COUNTIF(원본명단!$K$3:$K$6002,원본명단!$K1535)))</f>
        <v/>
      </c>
      <c r="H1536" s="11" t="str">
        <f aca="false">IF($A1536="","",IF(MAX($E1536,$F1536,$G1536)&gt;1,"중복","-"))</f>
        <v/>
      </c>
      <c r="I1536" s="11" t="str">
        <f aca="false">IF($A1536="","",IF($H1536="-","-",IF(AND(IF(원본명단!$H1535="",TRUE(),COUNTIF(원본명단!$H$3:$H1535,원본명단!$H1535)=1),IF(원본명단!$I1535="",TRUE(),COUNTIF(원본명단!$I$3:$I1535,원본명단!$I1535)=1),IF(원본명단!$K1535="",TRUE(),COUNTIF(원본명단!$K$3:$K1535,원본명단!$K1535)=1)),"첫 건","중복 건")))</f>
        <v/>
      </c>
      <c r="J1536" s="11" t="str">
        <f aca="false">IF($A1536="","",IF($H1536="-","유지",IF($I1536="첫 건","유지","확인 필요")))</f>
        <v/>
      </c>
    </row>
    <row r="1537" customFormat="false" ht="15" hidden="false" customHeight="true" outlineLevel="0" collapsed="false">
      <c r="A1537" s="11" t="str">
        <f aca="false">IF(원본명단!$A1536="","",1534)</f>
        <v/>
      </c>
      <c r="B1537" s="12" t="str">
        <f aca="false">IF($A1537="","",원본명단!$A1536)</f>
        <v/>
      </c>
      <c r="C1537" s="12" t="str">
        <f aca="false">IF($A1537="","",원본명단!$B1536)</f>
        <v/>
      </c>
      <c r="D1537" s="12" t="str">
        <f aca="false">IF($A1537="","",원본명단!$D1536)</f>
        <v/>
      </c>
      <c r="E1537" s="11" t="str">
        <f aca="false">IF($A1537="","",IF(원본명단!$H1536="",0,COUNTIF(원본명단!$H$3:$H$6002,원본명단!$H1536)))</f>
        <v/>
      </c>
      <c r="F1537" s="11" t="str">
        <f aca="false">IF($A1537="","",IF(원본명단!$I1536="",0,COUNTIF(원본명단!$I$3:$I$6002,원본명단!$I1536)))</f>
        <v/>
      </c>
      <c r="G1537" s="11" t="str">
        <f aca="false">IF($A1537="","",IF(원본명단!$K1536="",0,COUNTIF(원본명단!$K$3:$K$6002,원본명단!$K1536)))</f>
        <v/>
      </c>
      <c r="H1537" s="11" t="str">
        <f aca="false">IF($A1537="","",IF(MAX($E1537,$F1537,$G1537)&gt;1,"중복","-"))</f>
        <v/>
      </c>
      <c r="I1537" s="11" t="str">
        <f aca="false">IF($A1537="","",IF($H1537="-","-",IF(AND(IF(원본명단!$H1536="",TRUE(),COUNTIF(원본명단!$H$3:$H1536,원본명단!$H1536)=1),IF(원본명단!$I1536="",TRUE(),COUNTIF(원본명단!$I$3:$I1536,원본명단!$I1536)=1),IF(원본명단!$K1536="",TRUE(),COUNTIF(원본명단!$K$3:$K1536,원본명단!$K1536)=1)),"첫 건","중복 건")))</f>
        <v/>
      </c>
      <c r="J1537" s="11" t="str">
        <f aca="false">IF($A1537="","",IF($H1537="-","유지",IF($I1537="첫 건","유지","확인 필요")))</f>
        <v/>
      </c>
    </row>
    <row r="1538" customFormat="false" ht="15" hidden="false" customHeight="true" outlineLevel="0" collapsed="false">
      <c r="A1538" s="11" t="str">
        <f aca="false">IF(원본명단!$A1537="","",1535)</f>
        <v/>
      </c>
      <c r="B1538" s="12" t="str">
        <f aca="false">IF($A1538="","",원본명단!$A1537)</f>
        <v/>
      </c>
      <c r="C1538" s="12" t="str">
        <f aca="false">IF($A1538="","",원본명단!$B1537)</f>
        <v/>
      </c>
      <c r="D1538" s="12" t="str">
        <f aca="false">IF($A1538="","",원본명단!$D1537)</f>
        <v/>
      </c>
      <c r="E1538" s="11" t="str">
        <f aca="false">IF($A1538="","",IF(원본명단!$H1537="",0,COUNTIF(원본명단!$H$3:$H$6002,원본명단!$H1537)))</f>
        <v/>
      </c>
      <c r="F1538" s="11" t="str">
        <f aca="false">IF($A1538="","",IF(원본명단!$I1537="",0,COUNTIF(원본명단!$I$3:$I$6002,원본명단!$I1537)))</f>
        <v/>
      </c>
      <c r="G1538" s="11" t="str">
        <f aca="false">IF($A1538="","",IF(원본명단!$K1537="",0,COUNTIF(원본명단!$K$3:$K$6002,원본명단!$K1537)))</f>
        <v/>
      </c>
      <c r="H1538" s="11" t="str">
        <f aca="false">IF($A1538="","",IF(MAX($E1538,$F1538,$G1538)&gt;1,"중복","-"))</f>
        <v/>
      </c>
      <c r="I1538" s="11" t="str">
        <f aca="false">IF($A1538="","",IF($H1538="-","-",IF(AND(IF(원본명단!$H1537="",TRUE(),COUNTIF(원본명단!$H$3:$H1537,원본명단!$H1537)=1),IF(원본명단!$I1537="",TRUE(),COUNTIF(원본명단!$I$3:$I1537,원본명단!$I1537)=1),IF(원본명단!$K1537="",TRUE(),COUNTIF(원본명단!$K$3:$K1537,원본명단!$K1537)=1)),"첫 건","중복 건")))</f>
        <v/>
      </c>
      <c r="J1538" s="11" t="str">
        <f aca="false">IF($A1538="","",IF($H1538="-","유지",IF($I1538="첫 건","유지","확인 필요")))</f>
        <v/>
      </c>
    </row>
    <row r="1539" customFormat="false" ht="15" hidden="false" customHeight="true" outlineLevel="0" collapsed="false">
      <c r="A1539" s="11" t="str">
        <f aca="false">IF(원본명단!$A1538="","",1536)</f>
        <v/>
      </c>
      <c r="B1539" s="12" t="str">
        <f aca="false">IF($A1539="","",원본명단!$A1538)</f>
        <v/>
      </c>
      <c r="C1539" s="12" t="str">
        <f aca="false">IF($A1539="","",원본명단!$B1538)</f>
        <v/>
      </c>
      <c r="D1539" s="12" t="str">
        <f aca="false">IF($A1539="","",원본명단!$D1538)</f>
        <v/>
      </c>
      <c r="E1539" s="11" t="str">
        <f aca="false">IF($A1539="","",IF(원본명단!$H1538="",0,COUNTIF(원본명단!$H$3:$H$6002,원본명단!$H1538)))</f>
        <v/>
      </c>
      <c r="F1539" s="11" t="str">
        <f aca="false">IF($A1539="","",IF(원본명단!$I1538="",0,COUNTIF(원본명단!$I$3:$I$6002,원본명단!$I1538)))</f>
        <v/>
      </c>
      <c r="G1539" s="11" t="str">
        <f aca="false">IF($A1539="","",IF(원본명단!$K1538="",0,COUNTIF(원본명단!$K$3:$K$6002,원본명단!$K1538)))</f>
        <v/>
      </c>
      <c r="H1539" s="11" t="str">
        <f aca="false">IF($A1539="","",IF(MAX($E1539,$F1539,$G1539)&gt;1,"중복","-"))</f>
        <v/>
      </c>
      <c r="I1539" s="11" t="str">
        <f aca="false">IF($A1539="","",IF($H1539="-","-",IF(AND(IF(원본명단!$H1538="",TRUE(),COUNTIF(원본명단!$H$3:$H1538,원본명단!$H1538)=1),IF(원본명단!$I1538="",TRUE(),COUNTIF(원본명단!$I$3:$I1538,원본명단!$I1538)=1),IF(원본명단!$K1538="",TRUE(),COUNTIF(원본명단!$K$3:$K1538,원본명단!$K1538)=1)),"첫 건","중복 건")))</f>
        <v/>
      </c>
      <c r="J1539" s="11" t="str">
        <f aca="false">IF($A1539="","",IF($H1539="-","유지",IF($I1539="첫 건","유지","확인 필요")))</f>
        <v/>
      </c>
    </row>
    <row r="1540" customFormat="false" ht="15" hidden="false" customHeight="true" outlineLevel="0" collapsed="false">
      <c r="A1540" s="11" t="str">
        <f aca="false">IF(원본명단!$A1539="","",1537)</f>
        <v/>
      </c>
      <c r="B1540" s="12" t="str">
        <f aca="false">IF($A1540="","",원본명단!$A1539)</f>
        <v/>
      </c>
      <c r="C1540" s="12" t="str">
        <f aca="false">IF($A1540="","",원본명단!$B1539)</f>
        <v/>
      </c>
      <c r="D1540" s="12" t="str">
        <f aca="false">IF($A1540="","",원본명단!$D1539)</f>
        <v/>
      </c>
      <c r="E1540" s="11" t="str">
        <f aca="false">IF($A1540="","",IF(원본명단!$H1539="",0,COUNTIF(원본명단!$H$3:$H$6002,원본명단!$H1539)))</f>
        <v/>
      </c>
      <c r="F1540" s="11" t="str">
        <f aca="false">IF($A1540="","",IF(원본명단!$I1539="",0,COUNTIF(원본명단!$I$3:$I$6002,원본명단!$I1539)))</f>
        <v/>
      </c>
      <c r="G1540" s="11" t="str">
        <f aca="false">IF($A1540="","",IF(원본명단!$K1539="",0,COUNTIF(원본명단!$K$3:$K$6002,원본명단!$K1539)))</f>
        <v/>
      </c>
      <c r="H1540" s="11" t="str">
        <f aca="false">IF($A1540="","",IF(MAX($E1540,$F1540,$G1540)&gt;1,"중복","-"))</f>
        <v/>
      </c>
      <c r="I1540" s="11" t="str">
        <f aca="false">IF($A1540="","",IF($H1540="-","-",IF(AND(IF(원본명단!$H1539="",TRUE(),COUNTIF(원본명단!$H$3:$H1539,원본명단!$H1539)=1),IF(원본명단!$I1539="",TRUE(),COUNTIF(원본명단!$I$3:$I1539,원본명단!$I1539)=1),IF(원본명단!$K1539="",TRUE(),COUNTIF(원본명단!$K$3:$K1539,원본명단!$K1539)=1)),"첫 건","중복 건")))</f>
        <v/>
      </c>
      <c r="J1540" s="11" t="str">
        <f aca="false">IF($A1540="","",IF($H1540="-","유지",IF($I1540="첫 건","유지","확인 필요")))</f>
        <v/>
      </c>
    </row>
    <row r="1541" customFormat="false" ht="15" hidden="false" customHeight="true" outlineLevel="0" collapsed="false">
      <c r="A1541" s="11" t="str">
        <f aca="false">IF(원본명단!$A1540="","",1538)</f>
        <v/>
      </c>
      <c r="B1541" s="12" t="str">
        <f aca="false">IF($A1541="","",원본명단!$A1540)</f>
        <v/>
      </c>
      <c r="C1541" s="12" t="str">
        <f aca="false">IF($A1541="","",원본명단!$B1540)</f>
        <v/>
      </c>
      <c r="D1541" s="12" t="str">
        <f aca="false">IF($A1541="","",원본명단!$D1540)</f>
        <v/>
      </c>
      <c r="E1541" s="11" t="str">
        <f aca="false">IF($A1541="","",IF(원본명단!$H1540="",0,COUNTIF(원본명단!$H$3:$H$6002,원본명단!$H1540)))</f>
        <v/>
      </c>
      <c r="F1541" s="11" t="str">
        <f aca="false">IF($A1541="","",IF(원본명단!$I1540="",0,COUNTIF(원본명단!$I$3:$I$6002,원본명단!$I1540)))</f>
        <v/>
      </c>
      <c r="G1541" s="11" t="str">
        <f aca="false">IF($A1541="","",IF(원본명단!$K1540="",0,COUNTIF(원본명단!$K$3:$K$6002,원본명단!$K1540)))</f>
        <v/>
      </c>
      <c r="H1541" s="11" t="str">
        <f aca="false">IF($A1541="","",IF(MAX($E1541,$F1541,$G1541)&gt;1,"중복","-"))</f>
        <v/>
      </c>
      <c r="I1541" s="11" t="str">
        <f aca="false">IF($A1541="","",IF($H1541="-","-",IF(AND(IF(원본명단!$H1540="",TRUE(),COUNTIF(원본명단!$H$3:$H1540,원본명단!$H1540)=1),IF(원본명단!$I1540="",TRUE(),COUNTIF(원본명단!$I$3:$I1540,원본명단!$I1540)=1),IF(원본명단!$K1540="",TRUE(),COUNTIF(원본명단!$K$3:$K1540,원본명단!$K1540)=1)),"첫 건","중복 건")))</f>
        <v/>
      </c>
      <c r="J1541" s="11" t="str">
        <f aca="false">IF($A1541="","",IF($H1541="-","유지",IF($I1541="첫 건","유지","확인 필요")))</f>
        <v/>
      </c>
    </row>
    <row r="1542" customFormat="false" ht="15" hidden="false" customHeight="true" outlineLevel="0" collapsed="false">
      <c r="A1542" s="11" t="str">
        <f aca="false">IF(원본명단!$A1541="","",1539)</f>
        <v/>
      </c>
      <c r="B1542" s="12" t="str">
        <f aca="false">IF($A1542="","",원본명단!$A1541)</f>
        <v/>
      </c>
      <c r="C1542" s="12" t="str">
        <f aca="false">IF($A1542="","",원본명단!$B1541)</f>
        <v/>
      </c>
      <c r="D1542" s="12" t="str">
        <f aca="false">IF($A1542="","",원본명단!$D1541)</f>
        <v/>
      </c>
      <c r="E1542" s="11" t="str">
        <f aca="false">IF($A1542="","",IF(원본명단!$H1541="",0,COUNTIF(원본명단!$H$3:$H$6002,원본명단!$H1541)))</f>
        <v/>
      </c>
      <c r="F1542" s="11" t="str">
        <f aca="false">IF($A1542="","",IF(원본명단!$I1541="",0,COUNTIF(원본명단!$I$3:$I$6002,원본명단!$I1541)))</f>
        <v/>
      </c>
      <c r="G1542" s="11" t="str">
        <f aca="false">IF($A1542="","",IF(원본명단!$K1541="",0,COUNTIF(원본명단!$K$3:$K$6002,원본명단!$K1541)))</f>
        <v/>
      </c>
      <c r="H1542" s="11" t="str">
        <f aca="false">IF($A1542="","",IF(MAX($E1542,$F1542,$G1542)&gt;1,"중복","-"))</f>
        <v/>
      </c>
      <c r="I1542" s="11" t="str">
        <f aca="false">IF($A1542="","",IF($H1542="-","-",IF(AND(IF(원본명단!$H1541="",TRUE(),COUNTIF(원본명단!$H$3:$H1541,원본명단!$H1541)=1),IF(원본명단!$I1541="",TRUE(),COUNTIF(원본명단!$I$3:$I1541,원본명단!$I1541)=1),IF(원본명단!$K1541="",TRUE(),COUNTIF(원본명단!$K$3:$K1541,원본명단!$K1541)=1)),"첫 건","중복 건")))</f>
        <v/>
      </c>
      <c r="J1542" s="11" t="str">
        <f aca="false">IF($A1542="","",IF($H1542="-","유지",IF($I1542="첫 건","유지","확인 필요")))</f>
        <v/>
      </c>
    </row>
    <row r="1543" customFormat="false" ht="15" hidden="false" customHeight="true" outlineLevel="0" collapsed="false">
      <c r="A1543" s="11" t="str">
        <f aca="false">IF(원본명단!$A1542="","",1540)</f>
        <v/>
      </c>
      <c r="B1543" s="12" t="str">
        <f aca="false">IF($A1543="","",원본명단!$A1542)</f>
        <v/>
      </c>
      <c r="C1543" s="12" t="str">
        <f aca="false">IF($A1543="","",원본명단!$B1542)</f>
        <v/>
      </c>
      <c r="D1543" s="12" t="str">
        <f aca="false">IF($A1543="","",원본명단!$D1542)</f>
        <v/>
      </c>
      <c r="E1543" s="11" t="str">
        <f aca="false">IF($A1543="","",IF(원본명단!$H1542="",0,COUNTIF(원본명단!$H$3:$H$6002,원본명단!$H1542)))</f>
        <v/>
      </c>
      <c r="F1543" s="11" t="str">
        <f aca="false">IF($A1543="","",IF(원본명단!$I1542="",0,COUNTIF(원본명단!$I$3:$I$6002,원본명단!$I1542)))</f>
        <v/>
      </c>
      <c r="G1543" s="11" t="str">
        <f aca="false">IF($A1543="","",IF(원본명단!$K1542="",0,COUNTIF(원본명단!$K$3:$K$6002,원본명단!$K1542)))</f>
        <v/>
      </c>
      <c r="H1543" s="11" t="str">
        <f aca="false">IF($A1543="","",IF(MAX($E1543,$F1543,$G1543)&gt;1,"중복","-"))</f>
        <v/>
      </c>
      <c r="I1543" s="11" t="str">
        <f aca="false">IF($A1543="","",IF($H1543="-","-",IF(AND(IF(원본명단!$H1542="",TRUE(),COUNTIF(원본명단!$H$3:$H1542,원본명단!$H1542)=1),IF(원본명단!$I1542="",TRUE(),COUNTIF(원본명단!$I$3:$I1542,원본명단!$I1542)=1),IF(원본명단!$K1542="",TRUE(),COUNTIF(원본명단!$K$3:$K1542,원본명단!$K1542)=1)),"첫 건","중복 건")))</f>
        <v/>
      </c>
      <c r="J1543" s="11" t="str">
        <f aca="false">IF($A1543="","",IF($H1543="-","유지",IF($I1543="첫 건","유지","확인 필요")))</f>
        <v/>
      </c>
    </row>
    <row r="1544" customFormat="false" ht="15" hidden="false" customHeight="true" outlineLevel="0" collapsed="false">
      <c r="A1544" s="11" t="str">
        <f aca="false">IF(원본명단!$A1543="","",1541)</f>
        <v/>
      </c>
      <c r="B1544" s="12" t="str">
        <f aca="false">IF($A1544="","",원본명단!$A1543)</f>
        <v/>
      </c>
      <c r="C1544" s="12" t="str">
        <f aca="false">IF($A1544="","",원본명단!$B1543)</f>
        <v/>
      </c>
      <c r="D1544" s="12" t="str">
        <f aca="false">IF($A1544="","",원본명단!$D1543)</f>
        <v/>
      </c>
      <c r="E1544" s="11" t="str">
        <f aca="false">IF($A1544="","",IF(원본명단!$H1543="",0,COUNTIF(원본명단!$H$3:$H$6002,원본명단!$H1543)))</f>
        <v/>
      </c>
      <c r="F1544" s="11" t="str">
        <f aca="false">IF($A1544="","",IF(원본명단!$I1543="",0,COUNTIF(원본명단!$I$3:$I$6002,원본명단!$I1543)))</f>
        <v/>
      </c>
      <c r="G1544" s="11" t="str">
        <f aca="false">IF($A1544="","",IF(원본명단!$K1543="",0,COUNTIF(원본명단!$K$3:$K$6002,원본명단!$K1543)))</f>
        <v/>
      </c>
      <c r="H1544" s="11" t="str">
        <f aca="false">IF($A1544="","",IF(MAX($E1544,$F1544,$G1544)&gt;1,"중복","-"))</f>
        <v/>
      </c>
      <c r="I1544" s="11" t="str">
        <f aca="false">IF($A1544="","",IF($H1544="-","-",IF(AND(IF(원본명단!$H1543="",TRUE(),COUNTIF(원본명단!$H$3:$H1543,원본명단!$H1543)=1),IF(원본명단!$I1543="",TRUE(),COUNTIF(원본명단!$I$3:$I1543,원본명단!$I1543)=1),IF(원본명단!$K1543="",TRUE(),COUNTIF(원본명단!$K$3:$K1543,원본명단!$K1543)=1)),"첫 건","중복 건")))</f>
        <v/>
      </c>
      <c r="J1544" s="11" t="str">
        <f aca="false">IF($A1544="","",IF($H1544="-","유지",IF($I1544="첫 건","유지","확인 필요")))</f>
        <v/>
      </c>
    </row>
    <row r="1545" customFormat="false" ht="15" hidden="false" customHeight="true" outlineLevel="0" collapsed="false">
      <c r="A1545" s="11" t="str">
        <f aca="false">IF(원본명단!$A1544="","",1542)</f>
        <v/>
      </c>
      <c r="B1545" s="12" t="str">
        <f aca="false">IF($A1545="","",원본명단!$A1544)</f>
        <v/>
      </c>
      <c r="C1545" s="12" t="str">
        <f aca="false">IF($A1545="","",원본명단!$B1544)</f>
        <v/>
      </c>
      <c r="D1545" s="12" t="str">
        <f aca="false">IF($A1545="","",원본명단!$D1544)</f>
        <v/>
      </c>
      <c r="E1545" s="11" t="str">
        <f aca="false">IF($A1545="","",IF(원본명단!$H1544="",0,COUNTIF(원본명단!$H$3:$H$6002,원본명단!$H1544)))</f>
        <v/>
      </c>
      <c r="F1545" s="11" t="str">
        <f aca="false">IF($A1545="","",IF(원본명단!$I1544="",0,COUNTIF(원본명단!$I$3:$I$6002,원본명단!$I1544)))</f>
        <v/>
      </c>
      <c r="G1545" s="11" t="str">
        <f aca="false">IF($A1545="","",IF(원본명단!$K1544="",0,COUNTIF(원본명단!$K$3:$K$6002,원본명단!$K1544)))</f>
        <v/>
      </c>
      <c r="H1545" s="11" t="str">
        <f aca="false">IF($A1545="","",IF(MAX($E1545,$F1545,$G1545)&gt;1,"중복","-"))</f>
        <v/>
      </c>
      <c r="I1545" s="11" t="str">
        <f aca="false">IF($A1545="","",IF($H1545="-","-",IF(AND(IF(원본명단!$H1544="",TRUE(),COUNTIF(원본명단!$H$3:$H1544,원본명단!$H1544)=1),IF(원본명단!$I1544="",TRUE(),COUNTIF(원본명단!$I$3:$I1544,원본명단!$I1544)=1),IF(원본명단!$K1544="",TRUE(),COUNTIF(원본명단!$K$3:$K1544,원본명단!$K1544)=1)),"첫 건","중복 건")))</f>
        <v/>
      </c>
      <c r="J1545" s="11" t="str">
        <f aca="false">IF($A1545="","",IF($H1545="-","유지",IF($I1545="첫 건","유지","확인 필요")))</f>
        <v/>
      </c>
    </row>
    <row r="1546" customFormat="false" ht="15" hidden="false" customHeight="true" outlineLevel="0" collapsed="false">
      <c r="A1546" s="11" t="str">
        <f aca="false">IF(원본명단!$A1545="","",1543)</f>
        <v/>
      </c>
      <c r="B1546" s="12" t="str">
        <f aca="false">IF($A1546="","",원본명단!$A1545)</f>
        <v/>
      </c>
      <c r="C1546" s="12" t="str">
        <f aca="false">IF($A1546="","",원본명단!$B1545)</f>
        <v/>
      </c>
      <c r="D1546" s="12" t="str">
        <f aca="false">IF($A1546="","",원본명단!$D1545)</f>
        <v/>
      </c>
      <c r="E1546" s="11" t="str">
        <f aca="false">IF($A1546="","",IF(원본명단!$H1545="",0,COUNTIF(원본명단!$H$3:$H$6002,원본명단!$H1545)))</f>
        <v/>
      </c>
      <c r="F1546" s="11" t="str">
        <f aca="false">IF($A1546="","",IF(원본명단!$I1545="",0,COUNTIF(원본명단!$I$3:$I$6002,원본명단!$I1545)))</f>
        <v/>
      </c>
      <c r="G1546" s="11" t="str">
        <f aca="false">IF($A1546="","",IF(원본명단!$K1545="",0,COUNTIF(원본명단!$K$3:$K$6002,원본명단!$K1545)))</f>
        <v/>
      </c>
      <c r="H1546" s="11" t="str">
        <f aca="false">IF($A1546="","",IF(MAX($E1546,$F1546,$G1546)&gt;1,"중복","-"))</f>
        <v/>
      </c>
      <c r="I1546" s="11" t="str">
        <f aca="false">IF($A1546="","",IF($H1546="-","-",IF(AND(IF(원본명단!$H1545="",TRUE(),COUNTIF(원본명단!$H$3:$H1545,원본명단!$H1545)=1),IF(원본명단!$I1545="",TRUE(),COUNTIF(원본명단!$I$3:$I1545,원본명단!$I1545)=1),IF(원본명단!$K1545="",TRUE(),COUNTIF(원본명단!$K$3:$K1545,원본명단!$K1545)=1)),"첫 건","중복 건")))</f>
        <v/>
      </c>
      <c r="J1546" s="11" t="str">
        <f aca="false">IF($A1546="","",IF($H1546="-","유지",IF($I1546="첫 건","유지","확인 필요")))</f>
        <v/>
      </c>
    </row>
    <row r="1547" customFormat="false" ht="15" hidden="false" customHeight="true" outlineLevel="0" collapsed="false">
      <c r="A1547" s="11" t="str">
        <f aca="false">IF(원본명단!$A1546="","",1544)</f>
        <v/>
      </c>
      <c r="B1547" s="12" t="str">
        <f aca="false">IF($A1547="","",원본명단!$A1546)</f>
        <v/>
      </c>
      <c r="C1547" s="12" t="str">
        <f aca="false">IF($A1547="","",원본명단!$B1546)</f>
        <v/>
      </c>
      <c r="D1547" s="12" t="str">
        <f aca="false">IF($A1547="","",원본명단!$D1546)</f>
        <v/>
      </c>
      <c r="E1547" s="11" t="str">
        <f aca="false">IF($A1547="","",IF(원본명단!$H1546="",0,COUNTIF(원본명단!$H$3:$H$6002,원본명단!$H1546)))</f>
        <v/>
      </c>
      <c r="F1547" s="11" t="str">
        <f aca="false">IF($A1547="","",IF(원본명단!$I1546="",0,COUNTIF(원본명단!$I$3:$I$6002,원본명단!$I1546)))</f>
        <v/>
      </c>
      <c r="G1547" s="11" t="str">
        <f aca="false">IF($A1547="","",IF(원본명단!$K1546="",0,COUNTIF(원본명단!$K$3:$K$6002,원본명단!$K1546)))</f>
        <v/>
      </c>
      <c r="H1547" s="11" t="str">
        <f aca="false">IF($A1547="","",IF(MAX($E1547,$F1547,$G1547)&gt;1,"중복","-"))</f>
        <v/>
      </c>
      <c r="I1547" s="11" t="str">
        <f aca="false">IF($A1547="","",IF($H1547="-","-",IF(AND(IF(원본명단!$H1546="",TRUE(),COUNTIF(원본명단!$H$3:$H1546,원본명단!$H1546)=1),IF(원본명단!$I1546="",TRUE(),COUNTIF(원본명단!$I$3:$I1546,원본명단!$I1546)=1),IF(원본명단!$K1546="",TRUE(),COUNTIF(원본명단!$K$3:$K1546,원본명단!$K1546)=1)),"첫 건","중복 건")))</f>
        <v/>
      </c>
      <c r="J1547" s="11" t="str">
        <f aca="false">IF($A1547="","",IF($H1547="-","유지",IF($I1547="첫 건","유지","확인 필요")))</f>
        <v/>
      </c>
    </row>
    <row r="1548" customFormat="false" ht="15" hidden="false" customHeight="true" outlineLevel="0" collapsed="false">
      <c r="A1548" s="11" t="str">
        <f aca="false">IF(원본명단!$A1547="","",1545)</f>
        <v/>
      </c>
      <c r="B1548" s="12" t="str">
        <f aca="false">IF($A1548="","",원본명단!$A1547)</f>
        <v/>
      </c>
      <c r="C1548" s="12" t="str">
        <f aca="false">IF($A1548="","",원본명단!$B1547)</f>
        <v/>
      </c>
      <c r="D1548" s="12" t="str">
        <f aca="false">IF($A1548="","",원본명단!$D1547)</f>
        <v/>
      </c>
      <c r="E1548" s="11" t="str">
        <f aca="false">IF($A1548="","",IF(원본명단!$H1547="",0,COUNTIF(원본명단!$H$3:$H$6002,원본명단!$H1547)))</f>
        <v/>
      </c>
      <c r="F1548" s="11" t="str">
        <f aca="false">IF($A1548="","",IF(원본명단!$I1547="",0,COUNTIF(원본명단!$I$3:$I$6002,원본명단!$I1547)))</f>
        <v/>
      </c>
      <c r="G1548" s="11" t="str">
        <f aca="false">IF($A1548="","",IF(원본명단!$K1547="",0,COUNTIF(원본명단!$K$3:$K$6002,원본명단!$K1547)))</f>
        <v/>
      </c>
      <c r="H1548" s="11" t="str">
        <f aca="false">IF($A1548="","",IF(MAX($E1548,$F1548,$G1548)&gt;1,"중복","-"))</f>
        <v/>
      </c>
      <c r="I1548" s="11" t="str">
        <f aca="false">IF($A1548="","",IF($H1548="-","-",IF(AND(IF(원본명단!$H1547="",TRUE(),COUNTIF(원본명단!$H$3:$H1547,원본명단!$H1547)=1),IF(원본명단!$I1547="",TRUE(),COUNTIF(원본명단!$I$3:$I1547,원본명단!$I1547)=1),IF(원본명단!$K1547="",TRUE(),COUNTIF(원본명단!$K$3:$K1547,원본명단!$K1547)=1)),"첫 건","중복 건")))</f>
        <v/>
      </c>
      <c r="J1548" s="11" t="str">
        <f aca="false">IF($A1548="","",IF($H1548="-","유지",IF($I1548="첫 건","유지","확인 필요")))</f>
        <v/>
      </c>
    </row>
    <row r="1549" customFormat="false" ht="15" hidden="false" customHeight="true" outlineLevel="0" collapsed="false">
      <c r="A1549" s="11" t="str">
        <f aca="false">IF(원본명단!$A1548="","",1546)</f>
        <v/>
      </c>
      <c r="B1549" s="12" t="str">
        <f aca="false">IF($A1549="","",원본명단!$A1548)</f>
        <v/>
      </c>
      <c r="C1549" s="12" t="str">
        <f aca="false">IF($A1549="","",원본명단!$B1548)</f>
        <v/>
      </c>
      <c r="D1549" s="12" t="str">
        <f aca="false">IF($A1549="","",원본명단!$D1548)</f>
        <v/>
      </c>
      <c r="E1549" s="11" t="str">
        <f aca="false">IF($A1549="","",IF(원본명단!$H1548="",0,COUNTIF(원본명단!$H$3:$H$6002,원본명단!$H1548)))</f>
        <v/>
      </c>
      <c r="F1549" s="11" t="str">
        <f aca="false">IF($A1549="","",IF(원본명단!$I1548="",0,COUNTIF(원본명단!$I$3:$I$6002,원본명단!$I1548)))</f>
        <v/>
      </c>
      <c r="G1549" s="11" t="str">
        <f aca="false">IF($A1549="","",IF(원본명단!$K1548="",0,COUNTIF(원본명단!$K$3:$K$6002,원본명단!$K1548)))</f>
        <v/>
      </c>
      <c r="H1549" s="11" t="str">
        <f aca="false">IF($A1549="","",IF(MAX($E1549,$F1549,$G1549)&gt;1,"중복","-"))</f>
        <v/>
      </c>
      <c r="I1549" s="11" t="str">
        <f aca="false">IF($A1549="","",IF($H1549="-","-",IF(AND(IF(원본명단!$H1548="",TRUE(),COUNTIF(원본명단!$H$3:$H1548,원본명단!$H1548)=1),IF(원본명단!$I1548="",TRUE(),COUNTIF(원본명단!$I$3:$I1548,원본명단!$I1548)=1),IF(원본명단!$K1548="",TRUE(),COUNTIF(원본명단!$K$3:$K1548,원본명단!$K1548)=1)),"첫 건","중복 건")))</f>
        <v/>
      </c>
      <c r="J1549" s="11" t="str">
        <f aca="false">IF($A1549="","",IF($H1549="-","유지",IF($I1549="첫 건","유지","확인 필요")))</f>
        <v/>
      </c>
    </row>
    <row r="1550" customFormat="false" ht="15" hidden="false" customHeight="true" outlineLevel="0" collapsed="false">
      <c r="A1550" s="11" t="str">
        <f aca="false">IF(원본명단!$A1549="","",1547)</f>
        <v/>
      </c>
      <c r="B1550" s="12" t="str">
        <f aca="false">IF($A1550="","",원본명단!$A1549)</f>
        <v/>
      </c>
      <c r="C1550" s="12" t="str">
        <f aca="false">IF($A1550="","",원본명단!$B1549)</f>
        <v/>
      </c>
      <c r="D1550" s="12" t="str">
        <f aca="false">IF($A1550="","",원본명단!$D1549)</f>
        <v/>
      </c>
      <c r="E1550" s="11" t="str">
        <f aca="false">IF($A1550="","",IF(원본명단!$H1549="",0,COUNTIF(원본명단!$H$3:$H$6002,원본명단!$H1549)))</f>
        <v/>
      </c>
      <c r="F1550" s="11" t="str">
        <f aca="false">IF($A1550="","",IF(원본명단!$I1549="",0,COUNTIF(원본명단!$I$3:$I$6002,원본명단!$I1549)))</f>
        <v/>
      </c>
      <c r="G1550" s="11" t="str">
        <f aca="false">IF($A1550="","",IF(원본명단!$K1549="",0,COUNTIF(원본명단!$K$3:$K$6002,원본명단!$K1549)))</f>
        <v/>
      </c>
      <c r="H1550" s="11" t="str">
        <f aca="false">IF($A1550="","",IF(MAX($E1550,$F1550,$G1550)&gt;1,"중복","-"))</f>
        <v/>
      </c>
      <c r="I1550" s="11" t="str">
        <f aca="false">IF($A1550="","",IF($H1550="-","-",IF(AND(IF(원본명단!$H1549="",TRUE(),COUNTIF(원본명단!$H$3:$H1549,원본명단!$H1549)=1),IF(원본명단!$I1549="",TRUE(),COUNTIF(원본명단!$I$3:$I1549,원본명단!$I1549)=1),IF(원본명단!$K1549="",TRUE(),COUNTIF(원본명단!$K$3:$K1549,원본명단!$K1549)=1)),"첫 건","중복 건")))</f>
        <v/>
      </c>
      <c r="J1550" s="11" t="str">
        <f aca="false">IF($A1550="","",IF($H1550="-","유지",IF($I1550="첫 건","유지","확인 필요")))</f>
        <v/>
      </c>
    </row>
    <row r="1551" customFormat="false" ht="15" hidden="false" customHeight="true" outlineLevel="0" collapsed="false">
      <c r="A1551" s="11" t="str">
        <f aca="false">IF(원본명단!$A1550="","",1548)</f>
        <v/>
      </c>
      <c r="B1551" s="12" t="str">
        <f aca="false">IF($A1551="","",원본명단!$A1550)</f>
        <v/>
      </c>
      <c r="C1551" s="12" t="str">
        <f aca="false">IF($A1551="","",원본명단!$B1550)</f>
        <v/>
      </c>
      <c r="D1551" s="12" t="str">
        <f aca="false">IF($A1551="","",원본명단!$D1550)</f>
        <v/>
      </c>
      <c r="E1551" s="11" t="str">
        <f aca="false">IF($A1551="","",IF(원본명단!$H1550="",0,COUNTIF(원본명단!$H$3:$H$6002,원본명단!$H1550)))</f>
        <v/>
      </c>
      <c r="F1551" s="11" t="str">
        <f aca="false">IF($A1551="","",IF(원본명단!$I1550="",0,COUNTIF(원본명단!$I$3:$I$6002,원본명단!$I1550)))</f>
        <v/>
      </c>
      <c r="G1551" s="11" t="str">
        <f aca="false">IF($A1551="","",IF(원본명단!$K1550="",0,COUNTIF(원본명단!$K$3:$K$6002,원본명단!$K1550)))</f>
        <v/>
      </c>
      <c r="H1551" s="11" t="str">
        <f aca="false">IF($A1551="","",IF(MAX($E1551,$F1551,$G1551)&gt;1,"중복","-"))</f>
        <v/>
      </c>
      <c r="I1551" s="11" t="str">
        <f aca="false">IF($A1551="","",IF($H1551="-","-",IF(AND(IF(원본명단!$H1550="",TRUE(),COUNTIF(원본명단!$H$3:$H1550,원본명단!$H1550)=1),IF(원본명단!$I1550="",TRUE(),COUNTIF(원본명단!$I$3:$I1550,원본명단!$I1550)=1),IF(원본명단!$K1550="",TRUE(),COUNTIF(원본명단!$K$3:$K1550,원본명단!$K1550)=1)),"첫 건","중복 건")))</f>
        <v/>
      </c>
      <c r="J1551" s="11" t="str">
        <f aca="false">IF($A1551="","",IF($H1551="-","유지",IF($I1551="첫 건","유지","확인 필요")))</f>
        <v/>
      </c>
    </row>
    <row r="1552" customFormat="false" ht="15" hidden="false" customHeight="true" outlineLevel="0" collapsed="false">
      <c r="A1552" s="11" t="str">
        <f aca="false">IF(원본명단!$A1551="","",1549)</f>
        <v/>
      </c>
      <c r="B1552" s="12" t="str">
        <f aca="false">IF($A1552="","",원본명단!$A1551)</f>
        <v/>
      </c>
      <c r="C1552" s="12" t="str">
        <f aca="false">IF($A1552="","",원본명단!$B1551)</f>
        <v/>
      </c>
      <c r="D1552" s="12" t="str">
        <f aca="false">IF($A1552="","",원본명단!$D1551)</f>
        <v/>
      </c>
      <c r="E1552" s="11" t="str">
        <f aca="false">IF($A1552="","",IF(원본명단!$H1551="",0,COUNTIF(원본명단!$H$3:$H$6002,원본명단!$H1551)))</f>
        <v/>
      </c>
      <c r="F1552" s="11" t="str">
        <f aca="false">IF($A1552="","",IF(원본명단!$I1551="",0,COUNTIF(원본명단!$I$3:$I$6002,원본명단!$I1551)))</f>
        <v/>
      </c>
      <c r="G1552" s="11" t="str">
        <f aca="false">IF($A1552="","",IF(원본명단!$K1551="",0,COUNTIF(원본명단!$K$3:$K$6002,원본명단!$K1551)))</f>
        <v/>
      </c>
      <c r="H1552" s="11" t="str">
        <f aca="false">IF($A1552="","",IF(MAX($E1552,$F1552,$G1552)&gt;1,"중복","-"))</f>
        <v/>
      </c>
      <c r="I1552" s="11" t="str">
        <f aca="false">IF($A1552="","",IF($H1552="-","-",IF(AND(IF(원본명단!$H1551="",TRUE(),COUNTIF(원본명단!$H$3:$H1551,원본명단!$H1551)=1),IF(원본명단!$I1551="",TRUE(),COUNTIF(원본명단!$I$3:$I1551,원본명단!$I1551)=1),IF(원본명단!$K1551="",TRUE(),COUNTIF(원본명단!$K$3:$K1551,원본명단!$K1551)=1)),"첫 건","중복 건")))</f>
        <v/>
      </c>
      <c r="J1552" s="11" t="str">
        <f aca="false">IF($A1552="","",IF($H1552="-","유지",IF($I1552="첫 건","유지","확인 필요")))</f>
        <v/>
      </c>
    </row>
    <row r="1553" customFormat="false" ht="15" hidden="false" customHeight="true" outlineLevel="0" collapsed="false">
      <c r="A1553" s="11" t="str">
        <f aca="false">IF(원본명단!$A1552="","",1550)</f>
        <v/>
      </c>
      <c r="B1553" s="12" t="str">
        <f aca="false">IF($A1553="","",원본명단!$A1552)</f>
        <v/>
      </c>
      <c r="C1553" s="12" t="str">
        <f aca="false">IF($A1553="","",원본명단!$B1552)</f>
        <v/>
      </c>
      <c r="D1553" s="12" t="str">
        <f aca="false">IF($A1553="","",원본명단!$D1552)</f>
        <v/>
      </c>
      <c r="E1553" s="11" t="str">
        <f aca="false">IF($A1553="","",IF(원본명단!$H1552="",0,COUNTIF(원본명단!$H$3:$H$6002,원본명단!$H1552)))</f>
        <v/>
      </c>
      <c r="F1553" s="11" t="str">
        <f aca="false">IF($A1553="","",IF(원본명단!$I1552="",0,COUNTIF(원본명단!$I$3:$I$6002,원본명단!$I1552)))</f>
        <v/>
      </c>
      <c r="G1553" s="11" t="str">
        <f aca="false">IF($A1553="","",IF(원본명단!$K1552="",0,COUNTIF(원본명단!$K$3:$K$6002,원본명단!$K1552)))</f>
        <v/>
      </c>
      <c r="H1553" s="11" t="str">
        <f aca="false">IF($A1553="","",IF(MAX($E1553,$F1553,$G1553)&gt;1,"중복","-"))</f>
        <v/>
      </c>
      <c r="I1553" s="11" t="str">
        <f aca="false">IF($A1553="","",IF($H1553="-","-",IF(AND(IF(원본명단!$H1552="",TRUE(),COUNTIF(원본명단!$H$3:$H1552,원본명단!$H1552)=1),IF(원본명단!$I1552="",TRUE(),COUNTIF(원본명단!$I$3:$I1552,원본명단!$I1552)=1),IF(원본명단!$K1552="",TRUE(),COUNTIF(원본명단!$K$3:$K1552,원본명단!$K1552)=1)),"첫 건","중복 건")))</f>
        <v/>
      </c>
      <c r="J1553" s="11" t="str">
        <f aca="false">IF($A1553="","",IF($H1553="-","유지",IF($I1553="첫 건","유지","확인 필요")))</f>
        <v/>
      </c>
    </row>
    <row r="1554" customFormat="false" ht="15" hidden="false" customHeight="true" outlineLevel="0" collapsed="false">
      <c r="A1554" s="11" t="str">
        <f aca="false">IF(원본명단!$A1553="","",1551)</f>
        <v/>
      </c>
      <c r="B1554" s="12" t="str">
        <f aca="false">IF($A1554="","",원본명단!$A1553)</f>
        <v/>
      </c>
      <c r="C1554" s="12" t="str">
        <f aca="false">IF($A1554="","",원본명단!$B1553)</f>
        <v/>
      </c>
      <c r="D1554" s="12" t="str">
        <f aca="false">IF($A1554="","",원본명단!$D1553)</f>
        <v/>
      </c>
      <c r="E1554" s="11" t="str">
        <f aca="false">IF($A1554="","",IF(원본명단!$H1553="",0,COUNTIF(원본명단!$H$3:$H$6002,원본명단!$H1553)))</f>
        <v/>
      </c>
      <c r="F1554" s="11" t="str">
        <f aca="false">IF($A1554="","",IF(원본명단!$I1553="",0,COUNTIF(원본명단!$I$3:$I$6002,원본명단!$I1553)))</f>
        <v/>
      </c>
      <c r="G1554" s="11" t="str">
        <f aca="false">IF($A1554="","",IF(원본명단!$K1553="",0,COUNTIF(원본명단!$K$3:$K$6002,원본명단!$K1553)))</f>
        <v/>
      </c>
      <c r="H1554" s="11" t="str">
        <f aca="false">IF($A1554="","",IF(MAX($E1554,$F1554,$G1554)&gt;1,"중복","-"))</f>
        <v/>
      </c>
      <c r="I1554" s="11" t="str">
        <f aca="false">IF($A1554="","",IF($H1554="-","-",IF(AND(IF(원본명단!$H1553="",TRUE(),COUNTIF(원본명단!$H$3:$H1553,원본명단!$H1553)=1),IF(원본명단!$I1553="",TRUE(),COUNTIF(원본명단!$I$3:$I1553,원본명단!$I1553)=1),IF(원본명단!$K1553="",TRUE(),COUNTIF(원본명단!$K$3:$K1553,원본명단!$K1553)=1)),"첫 건","중복 건")))</f>
        <v/>
      </c>
      <c r="J1554" s="11" t="str">
        <f aca="false">IF($A1554="","",IF($H1554="-","유지",IF($I1554="첫 건","유지","확인 필요")))</f>
        <v/>
      </c>
    </row>
    <row r="1555" customFormat="false" ht="15" hidden="false" customHeight="true" outlineLevel="0" collapsed="false">
      <c r="A1555" s="11" t="str">
        <f aca="false">IF(원본명단!$A1554="","",1552)</f>
        <v/>
      </c>
      <c r="B1555" s="12" t="str">
        <f aca="false">IF($A1555="","",원본명단!$A1554)</f>
        <v/>
      </c>
      <c r="C1555" s="12" t="str">
        <f aca="false">IF($A1555="","",원본명단!$B1554)</f>
        <v/>
      </c>
      <c r="D1555" s="12" t="str">
        <f aca="false">IF($A1555="","",원본명단!$D1554)</f>
        <v/>
      </c>
      <c r="E1555" s="11" t="str">
        <f aca="false">IF($A1555="","",IF(원본명단!$H1554="",0,COUNTIF(원본명단!$H$3:$H$6002,원본명단!$H1554)))</f>
        <v/>
      </c>
      <c r="F1555" s="11" t="str">
        <f aca="false">IF($A1555="","",IF(원본명단!$I1554="",0,COUNTIF(원본명단!$I$3:$I$6002,원본명단!$I1554)))</f>
        <v/>
      </c>
      <c r="G1555" s="11" t="str">
        <f aca="false">IF($A1555="","",IF(원본명단!$K1554="",0,COUNTIF(원본명단!$K$3:$K$6002,원본명단!$K1554)))</f>
        <v/>
      </c>
      <c r="H1555" s="11" t="str">
        <f aca="false">IF($A1555="","",IF(MAX($E1555,$F1555,$G1555)&gt;1,"중복","-"))</f>
        <v/>
      </c>
      <c r="I1555" s="11" t="str">
        <f aca="false">IF($A1555="","",IF($H1555="-","-",IF(AND(IF(원본명단!$H1554="",TRUE(),COUNTIF(원본명단!$H$3:$H1554,원본명단!$H1554)=1),IF(원본명단!$I1554="",TRUE(),COUNTIF(원본명단!$I$3:$I1554,원본명단!$I1554)=1),IF(원본명단!$K1554="",TRUE(),COUNTIF(원본명단!$K$3:$K1554,원본명단!$K1554)=1)),"첫 건","중복 건")))</f>
        <v/>
      </c>
      <c r="J1555" s="11" t="str">
        <f aca="false">IF($A1555="","",IF($H1555="-","유지",IF($I1555="첫 건","유지","확인 필요")))</f>
        <v/>
      </c>
    </row>
    <row r="1556" customFormat="false" ht="15" hidden="false" customHeight="true" outlineLevel="0" collapsed="false">
      <c r="A1556" s="11" t="str">
        <f aca="false">IF(원본명단!$A1555="","",1553)</f>
        <v/>
      </c>
      <c r="B1556" s="12" t="str">
        <f aca="false">IF($A1556="","",원본명단!$A1555)</f>
        <v/>
      </c>
      <c r="C1556" s="12" t="str">
        <f aca="false">IF($A1556="","",원본명단!$B1555)</f>
        <v/>
      </c>
      <c r="D1556" s="12" t="str">
        <f aca="false">IF($A1556="","",원본명단!$D1555)</f>
        <v/>
      </c>
      <c r="E1556" s="11" t="str">
        <f aca="false">IF($A1556="","",IF(원본명단!$H1555="",0,COUNTIF(원본명단!$H$3:$H$6002,원본명단!$H1555)))</f>
        <v/>
      </c>
      <c r="F1556" s="11" t="str">
        <f aca="false">IF($A1556="","",IF(원본명단!$I1555="",0,COUNTIF(원본명단!$I$3:$I$6002,원본명단!$I1555)))</f>
        <v/>
      </c>
      <c r="G1556" s="11" t="str">
        <f aca="false">IF($A1556="","",IF(원본명단!$K1555="",0,COUNTIF(원본명단!$K$3:$K$6002,원본명단!$K1555)))</f>
        <v/>
      </c>
      <c r="H1556" s="11" t="str">
        <f aca="false">IF($A1556="","",IF(MAX($E1556,$F1556,$G1556)&gt;1,"중복","-"))</f>
        <v/>
      </c>
      <c r="I1556" s="11" t="str">
        <f aca="false">IF($A1556="","",IF($H1556="-","-",IF(AND(IF(원본명단!$H1555="",TRUE(),COUNTIF(원본명단!$H$3:$H1555,원본명단!$H1555)=1),IF(원본명단!$I1555="",TRUE(),COUNTIF(원본명단!$I$3:$I1555,원본명단!$I1555)=1),IF(원본명단!$K1555="",TRUE(),COUNTIF(원본명단!$K$3:$K1555,원본명단!$K1555)=1)),"첫 건","중복 건")))</f>
        <v/>
      </c>
      <c r="J1556" s="11" t="str">
        <f aca="false">IF($A1556="","",IF($H1556="-","유지",IF($I1556="첫 건","유지","확인 필요")))</f>
        <v/>
      </c>
    </row>
    <row r="1557" customFormat="false" ht="15" hidden="false" customHeight="true" outlineLevel="0" collapsed="false">
      <c r="A1557" s="11" t="str">
        <f aca="false">IF(원본명단!$A1556="","",1554)</f>
        <v/>
      </c>
      <c r="B1557" s="12" t="str">
        <f aca="false">IF($A1557="","",원본명단!$A1556)</f>
        <v/>
      </c>
      <c r="C1557" s="12" t="str">
        <f aca="false">IF($A1557="","",원본명단!$B1556)</f>
        <v/>
      </c>
      <c r="D1557" s="12" t="str">
        <f aca="false">IF($A1557="","",원본명단!$D1556)</f>
        <v/>
      </c>
      <c r="E1557" s="11" t="str">
        <f aca="false">IF($A1557="","",IF(원본명단!$H1556="",0,COUNTIF(원본명단!$H$3:$H$6002,원본명단!$H1556)))</f>
        <v/>
      </c>
      <c r="F1557" s="11" t="str">
        <f aca="false">IF($A1557="","",IF(원본명단!$I1556="",0,COUNTIF(원본명단!$I$3:$I$6002,원본명단!$I1556)))</f>
        <v/>
      </c>
      <c r="G1557" s="11" t="str">
        <f aca="false">IF($A1557="","",IF(원본명단!$K1556="",0,COUNTIF(원본명단!$K$3:$K$6002,원본명단!$K1556)))</f>
        <v/>
      </c>
      <c r="H1557" s="11" t="str">
        <f aca="false">IF($A1557="","",IF(MAX($E1557,$F1557,$G1557)&gt;1,"중복","-"))</f>
        <v/>
      </c>
      <c r="I1557" s="11" t="str">
        <f aca="false">IF($A1557="","",IF($H1557="-","-",IF(AND(IF(원본명단!$H1556="",TRUE(),COUNTIF(원본명단!$H$3:$H1556,원본명단!$H1556)=1),IF(원본명단!$I1556="",TRUE(),COUNTIF(원본명단!$I$3:$I1556,원본명단!$I1556)=1),IF(원본명단!$K1556="",TRUE(),COUNTIF(원본명단!$K$3:$K1556,원본명단!$K1556)=1)),"첫 건","중복 건")))</f>
        <v/>
      </c>
      <c r="J1557" s="11" t="str">
        <f aca="false">IF($A1557="","",IF($H1557="-","유지",IF($I1557="첫 건","유지","확인 필요")))</f>
        <v/>
      </c>
    </row>
    <row r="1558" customFormat="false" ht="15" hidden="false" customHeight="true" outlineLevel="0" collapsed="false">
      <c r="A1558" s="11" t="str">
        <f aca="false">IF(원본명단!$A1557="","",1555)</f>
        <v/>
      </c>
      <c r="B1558" s="12" t="str">
        <f aca="false">IF($A1558="","",원본명단!$A1557)</f>
        <v/>
      </c>
      <c r="C1558" s="12" t="str">
        <f aca="false">IF($A1558="","",원본명단!$B1557)</f>
        <v/>
      </c>
      <c r="D1558" s="12" t="str">
        <f aca="false">IF($A1558="","",원본명단!$D1557)</f>
        <v/>
      </c>
      <c r="E1558" s="11" t="str">
        <f aca="false">IF($A1558="","",IF(원본명단!$H1557="",0,COUNTIF(원본명단!$H$3:$H$6002,원본명단!$H1557)))</f>
        <v/>
      </c>
      <c r="F1558" s="11" t="str">
        <f aca="false">IF($A1558="","",IF(원본명단!$I1557="",0,COUNTIF(원본명단!$I$3:$I$6002,원본명단!$I1557)))</f>
        <v/>
      </c>
      <c r="G1558" s="11" t="str">
        <f aca="false">IF($A1558="","",IF(원본명단!$K1557="",0,COUNTIF(원본명단!$K$3:$K$6002,원본명단!$K1557)))</f>
        <v/>
      </c>
      <c r="H1558" s="11" t="str">
        <f aca="false">IF($A1558="","",IF(MAX($E1558,$F1558,$G1558)&gt;1,"중복","-"))</f>
        <v/>
      </c>
      <c r="I1558" s="11" t="str">
        <f aca="false">IF($A1558="","",IF($H1558="-","-",IF(AND(IF(원본명단!$H1557="",TRUE(),COUNTIF(원본명단!$H$3:$H1557,원본명단!$H1557)=1),IF(원본명단!$I1557="",TRUE(),COUNTIF(원본명단!$I$3:$I1557,원본명단!$I1557)=1),IF(원본명단!$K1557="",TRUE(),COUNTIF(원본명단!$K$3:$K1557,원본명단!$K1557)=1)),"첫 건","중복 건")))</f>
        <v/>
      </c>
      <c r="J1558" s="11" t="str">
        <f aca="false">IF($A1558="","",IF($H1558="-","유지",IF($I1558="첫 건","유지","확인 필요")))</f>
        <v/>
      </c>
    </row>
    <row r="1559" customFormat="false" ht="15" hidden="false" customHeight="true" outlineLevel="0" collapsed="false">
      <c r="A1559" s="11" t="str">
        <f aca="false">IF(원본명단!$A1558="","",1556)</f>
        <v/>
      </c>
      <c r="B1559" s="12" t="str">
        <f aca="false">IF($A1559="","",원본명단!$A1558)</f>
        <v/>
      </c>
      <c r="C1559" s="12" t="str">
        <f aca="false">IF($A1559="","",원본명단!$B1558)</f>
        <v/>
      </c>
      <c r="D1559" s="12" t="str">
        <f aca="false">IF($A1559="","",원본명단!$D1558)</f>
        <v/>
      </c>
      <c r="E1559" s="11" t="str">
        <f aca="false">IF($A1559="","",IF(원본명단!$H1558="",0,COUNTIF(원본명단!$H$3:$H$6002,원본명단!$H1558)))</f>
        <v/>
      </c>
      <c r="F1559" s="11" t="str">
        <f aca="false">IF($A1559="","",IF(원본명단!$I1558="",0,COUNTIF(원본명단!$I$3:$I$6002,원본명단!$I1558)))</f>
        <v/>
      </c>
      <c r="G1559" s="11" t="str">
        <f aca="false">IF($A1559="","",IF(원본명단!$K1558="",0,COUNTIF(원본명단!$K$3:$K$6002,원본명단!$K1558)))</f>
        <v/>
      </c>
      <c r="H1559" s="11" t="str">
        <f aca="false">IF($A1559="","",IF(MAX($E1559,$F1559,$G1559)&gt;1,"중복","-"))</f>
        <v/>
      </c>
      <c r="I1559" s="11" t="str">
        <f aca="false">IF($A1559="","",IF($H1559="-","-",IF(AND(IF(원본명단!$H1558="",TRUE(),COUNTIF(원본명단!$H$3:$H1558,원본명단!$H1558)=1),IF(원본명단!$I1558="",TRUE(),COUNTIF(원본명단!$I$3:$I1558,원본명단!$I1558)=1),IF(원본명단!$K1558="",TRUE(),COUNTIF(원본명단!$K$3:$K1558,원본명단!$K1558)=1)),"첫 건","중복 건")))</f>
        <v/>
      </c>
      <c r="J1559" s="11" t="str">
        <f aca="false">IF($A1559="","",IF($H1559="-","유지",IF($I1559="첫 건","유지","확인 필요")))</f>
        <v/>
      </c>
    </row>
    <row r="1560" customFormat="false" ht="15" hidden="false" customHeight="true" outlineLevel="0" collapsed="false">
      <c r="A1560" s="11" t="str">
        <f aca="false">IF(원본명단!$A1559="","",1557)</f>
        <v/>
      </c>
      <c r="B1560" s="12" t="str">
        <f aca="false">IF($A1560="","",원본명단!$A1559)</f>
        <v/>
      </c>
      <c r="C1560" s="12" t="str">
        <f aca="false">IF($A1560="","",원본명단!$B1559)</f>
        <v/>
      </c>
      <c r="D1560" s="12" t="str">
        <f aca="false">IF($A1560="","",원본명단!$D1559)</f>
        <v/>
      </c>
      <c r="E1560" s="11" t="str">
        <f aca="false">IF($A1560="","",IF(원본명단!$H1559="",0,COUNTIF(원본명단!$H$3:$H$6002,원본명단!$H1559)))</f>
        <v/>
      </c>
      <c r="F1560" s="11" t="str">
        <f aca="false">IF($A1560="","",IF(원본명단!$I1559="",0,COUNTIF(원본명단!$I$3:$I$6002,원본명단!$I1559)))</f>
        <v/>
      </c>
      <c r="G1560" s="11" t="str">
        <f aca="false">IF($A1560="","",IF(원본명단!$K1559="",0,COUNTIF(원본명단!$K$3:$K$6002,원본명단!$K1559)))</f>
        <v/>
      </c>
      <c r="H1560" s="11" t="str">
        <f aca="false">IF($A1560="","",IF(MAX($E1560,$F1560,$G1560)&gt;1,"중복","-"))</f>
        <v/>
      </c>
      <c r="I1560" s="11" t="str">
        <f aca="false">IF($A1560="","",IF($H1560="-","-",IF(AND(IF(원본명단!$H1559="",TRUE(),COUNTIF(원본명단!$H$3:$H1559,원본명단!$H1559)=1),IF(원본명단!$I1559="",TRUE(),COUNTIF(원본명단!$I$3:$I1559,원본명단!$I1559)=1),IF(원본명단!$K1559="",TRUE(),COUNTIF(원본명단!$K$3:$K1559,원본명단!$K1559)=1)),"첫 건","중복 건")))</f>
        <v/>
      </c>
      <c r="J1560" s="11" t="str">
        <f aca="false">IF($A1560="","",IF($H1560="-","유지",IF($I1560="첫 건","유지","확인 필요")))</f>
        <v/>
      </c>
    </row>
    <row r="1561" customFormat="false" ht="15" hidden="false" customHeight="true" outlineLevel="0" collapsed="false">
      <c r="A1561" s="11" t="str">
        <f aca="false">IF(원본명단!$A1560="","",1558)</f>
        <v/>
      </c>
      <c r="B1561" s="12" t="str">
        <f aca="false">IF($A1561="","",원본명단!$A1560)</f>
        <v/>
      </c>
      <c r="C1561" s="12" t="str">
        <f aca="false">IF($A1561="","",원본명단!$B1560)</f>
        <v/>
      </c>
      <c r="D1561" s="12" t="str">
        <f aca="false">IF($A1561="","",원본명단!$D1560)</f>
        <v/>
      </c>
      <c r="E1561" s="11" t="str">
        <f aca="false">IF($A1561="","",IF(원본명단!$H1560="",0,COUNTIF(원본명단!$H$3:$H$6002,원본명단!$H1560)))</f>
        <v/>
      </c>
      <c r="F1561" s="11" t="str">
        <f aca="false">IF($A1561="","",IF(원본명단!$I1560="",0,COUNTIF(원본명단!$I$3:$I$6002,원본명단!$I1560)))</f>
        <v/>
      </c>
      <c r="G1561" s="11" t="str">
        <f aca="false">IF($A1561="","",IF(원본명단!$K1560="",0,COUNTIF(원본명단!$K$3:$K$6002,원본명단!$K1560)))</f>
        <v/>
      </c>
      <c r="H1561" s="11" t="str">
        <f aca="false">IF($A1561="","",IF(MAX($E1561,$F1561,$G1561)&gt;1,"중복","-"))</f>
        <v/>
      </c>
      <c r="I1561" s="11" t="str">
        <f aca="false">IF($A1561="","",IF($H1561="-","-",IF(AND(IF(원본명단!$H1560="",TRUE(),COUNTIF(원본명단!$H$3:$H1560,원본명단!$H1560)=1),IF(원본명단!$I1560="",TRUE(),COUNTIF(원본명단!$I$3:$I1560,원본명단!$I1560)=1),IF(원본명단!$K1560="",TRUE(),COUNTIF(원본명단!$K$3:$K1560,원본명단!$K1560)=1)),"첫 건","중복 건")))</f>
        <v/>
      </c>
      <c r="J1561" s="11" t="str">
        <f aca="false">IF($A1561="","",IF($H1561="-","유지",IF($I1561="첫 건","유지","확인 필요")))</f>
        <v/>
      </c>
    </row>
    <row r="1562" customFormat="false" ht="15" hidden="false" customHeight="true" outlineLevel="0" collapsed="false">
      <c r="A1562" s="11" t="str">
        <f aca="false">IF(원본명단!$A1561="","",1559)</f>
        <v/>
      </c>
      <c r="B1562" s="12" t="str">
        <f aca="false">IF($A1562="","",원본명단!$A1561)</f>
        <v/>
      </c>
      <c r="C1562" s="12" t="str">
        <f aca="false">IF($A1562="","",원본명단!$B1561)</f>
        <v/>
      </c>
      <c r="D1562" s="12" t="str">
        <f aca="false">IF($A1562="","",원본명단!$D1561)</f>
        <v/>
      </c>
      <c r="E1562" s="11" t="str">
        <f aca="false">IF($A1562="","",IF(원본명단!$H1561="",0,COUNTIF(원본명단!$H$3:$H$6002,원본명단!$H1561)))</f>
        <v/>
      </c>
      <c r="F1562" s="11" t="str">
        <f aca="false">IF($A1562="","",IF(원본명단!$I1561="",0,COUNTIF(원본명단!$I$3:$I$6002,원본명단!$I1561)))</f>
        <v/>
      </c>
      <c r="G1562" s="11" t="str">
        <f aca="false">IF($A1562="","",IF(원본명단!$K1561="",0,COUNTIF(원본명단!$K$3:$K$6002,원본명단!$K1561)))</f>
        <v/>
      </c>
      <c r="H1562" s="11" t="str">
        <f aca="false">IF($A1562="","",IF(MAX($E1562,$F1562,$G1562)&gt;1,"중복","-"))</f>
        <v/>
      </c>
      <c r="I1562" s="11" t="str">
        <f aca="false">IF($A1562="","",IF($H1562="-","-",IF(AND(IF(원본명단!$H1561="",TRUE(),COUNTIF(원본명단!$H$3:$H1561,원본명단!$H1561)=1),IF(원본명단!$I1561="",TRUE(),COUNTIF(원본명단!$I$3:$I1561,원본명단!$I1561)=1),IF(원본명단!$K1561="",TRUE(),COUNTIF(원본명단!$K$3:$K1561,원본명단!$K1561)=1)),"첫 건","중복 건")))</f>
        <v/>
      </c>
      <c r="J1562" s="11" t="str">
        <f aca="false">IF($A1562="","",IF($H1562="-","유지",IF($I1562="첫 건","유지","확인 필요")))</f>
        <v/>
      </c>
    </row>
    <row r="1563" customFormat="false" ht="15" hidden="false" customHeight="true" outlineLevel="0" collapsed="false">
      <c r="A1563" s="11" t="str">
        <f aca="false">IF(원본명단!$A1562="","",1560)</f>
        <v/>
      </c>
      <c r="B1563" s="12" t="str">
        <f aca="false">IF($A1563="","",원본명단!$A1562)</f>
        <v/>
      </c>
      <c r="C1563" s="12" t="str">
        <f aca="false">IF($A1563="","",원본명단!$B1562)</f>
        <v/>
      </c>
      <c r="D1563" s="12" t="str">
        <f aca="false">IF($A1563="","",원본명단!$D1562)</f>
        <v/>
      </c>
      <c r="E1563" s="11" t="str">
        <f aca="false">IF($A1563="","",IF(원본명단!$H1562="",0,COUNTIF(원본명단!$H$3:$H$6002,원본명단!$H1562)))</f>
        <v/>
      </c>
      <c r="F1563" s="11" t="str">
        <f aca="false">IF($A1563="","",IF(원본명단!$I1562="",0,COUNTIF(원본명단!$I$3:$I$6002,원본명단!$I1562)))</f>
        <v/>
      </c>
      <c r="G1563" s="11" t="str">
        <f aca="false">IF($A1563="","",IF(원본명단!$K1562="",0,COUNTIF(원본명단!$K$3:$K$6002,원본명단!$K1562)))</f>
        <v/>
      </c>
      <c r="H1563" s="11" t="str">
        <f aca="false">IF($A1563="","",IF(MAX($E1563,$F1563,$G1563)&gt;1,"중복","-"))</f>
        <v/>
      </c>
      <c r="I1563" s="11" t="str">
        <f aca="false">IF($A1563="","",IF($H1563="-","-",IF(AND(IF(원본명단!$H1562="",TRUE(),COUNTIF(원본명단!$H$3:$H1562,원본명단!$H1562)=1),IF(원본명단!$I1562="",TRUE(),COUNTIF(원본명단!$I$3:$I1562,원본명단!$I1562)=1),IF(원본명단!$K1562="",TRUE(),COUNTIF(원본명단!$K$3:$K1562,원본명단!$K1562)=1)),"첫 건","중복 건")))</f>
        <v/>
      </c>
      <c r="J1563" s="11" t="str">
        <f aca="false">IF($A1563="","",IF($H1563="-","유지",IF($I1563="첫 건","유지","확인 필요")))</f>
        <v/>
      </c>
    </row>
    <row r="1564" customFormat="false" ht="15" hidden="false" customHeight="true" outlineLevel="0" collapsed="false">
      <c r="A1564" s="11" t="str">
        <f aca="false">IF(원본명단!$A1563="","",1561)</f>
        <v/>
      </c>
      <c r="B1564" s="12" t="str">
        <f aca="false">IF($A1564="","",원본명단!$A1563)</f>
        <v/>
      </c>
      <c r="C1564" s="12" t="str">
        <f aca="false">IF($A1564="","",원본명단!$B1563)</f>
        <v/>
      </c>
      <c r="D1564" s="12" t="str">
        <f aca="false">IF($A1564="","",원본명단!$D1563)</f>
        <v/>
      </c>
      <c r="E1564" s="11" t="str">
        <f aca="false">IF($A1564="","",IF(원본명단!$H1563="",0,COUNTIF(원본명단!$H$3:$H$6002,원본명단!$H1563)))</f>
        <v/>
      </c>
      <c r="F1564" s="11" t="str">
        <f aca="false">IF($A1564="","",IF(원본명단!$I1563="",0,COUNTIF(원본명단!$I$3:$I$6002,원본명단!$I1563)))</f>
        <v/>
      </c>
      <c r="G1564" s="11" t="str">
        <f aca="false">IF($A1564="","",IF(원본명단!$K1563="",0,COUNTIF(원본명단!$K$3:$K$6002,원본명단!$K1563)))</f>
        <v/>
      </c>
      <c r="H1564" s="11" t="str">
        <f aca="false">IF($A1564="","",IF(MAX($E1564,$F1564,$G1564)&gt;1,"중복","-"))</f>
        <v/>
      </c>
      <c r="I1564" s="11" t="str">
        <f aca="false">IF($A1564="","",IF($H1564="-","-",IF(AND(IF(원본명단!$H1563="",TRUE(),COUNTIF(원본명단!$H$3:$H1563,원본명단!$H1563)=1),IF(원본명단!$I1563="",TRUE(),COUNTIF(원본명단!$I$3:$I1563,원본명단!$I1563)=1),IF(원본명단!$K1563="",TRUE(),COUNTIF(원본명단!$K$3:$K1563,원본명단!$K1563)=1)),"첫 건","중복 건")))</f>
        <v/>
      </c>
      <c r="J1564" s="11" t="str">
        <f aca="false">IF($A1564="","",IF($H1564="-","유지",IF($I1564="첫 건","유지","확인 필요")))</f>
        <v/>
      </c>
    </row>
    <row r="1565" customFormat="false" ht="15" hidden="false" customHeight="true" outlineLevel="0" collapsed="false">
      <c r="A1565" s="11" t="str">
        <f aca="false">IF(원본명단!$A1564="","",1562)</f>
        <v/>
      </c>
      <c r="B1565" s="12" t="str">
        <f aca="false">IF($A1565="","",원본명단!$A1564)</f>
        <v/>
      </c>
      <c r="C1565" s="12" t="str">
        <f aca="false">IF($A1565="","",원본명단!$B1564)</f>
        <v/>
      </c>
      <c r="D1565" s="12" t="str">
        <f aca="false">IF($A1565="","",원본명단!$D1564)</f>
        <v/>
      </c>
      <c r="E1565" s="11" t="str">
        <f aca="false">IF($A1565="","",IF(원본명단!$H1564="",0,COUNTIF(원본명단!$H$3:$H$6002,원본명단!$H1564)))</f>
        <v/>
      </c>
      <c r="F1565" s="11" t="str">
        <f aca="false">IF($A1565="","",IF(원본명단!$I1564="",0,COUNTIF(원본명단!$I$3:$I$6002,원본명단!$I1564)))</f>
        <v/>
      </c>
      <c r="G1565" s="11" t="str">
        <f aca="false">IF($A1565="","",IF(원본명단!$K1564="",0,COUNTIF(원본명단!$K$3:$K$6002,원본명단!$K1564)))</f>
        <v/>
      </c>
      <c r="H1565" s="11" t="str">
        <f aca="false">IF($A1565="","",IF(MAX($E1565,$F1565,$G1565)&gt;1,"중복","-"))</f>
        <v/>
      </c>
      <c r="I1565" s="11" t="str">
        <f aca="false">IF($A1565="","",IF($H1565="-","-",IF(AND(IF(원본명단!$H1564="",TRUE(),COUNTIF(원본명단!$H$3:$H1564,원본명단!$H1564)=1),IF(원본명단!$I1564="",TRUE(),COUNTIF(원본명단!$I$3:$I1564,원본명단!$I1564)=1),IF(원본명단!$K1564="",TRUE(),COUNTIF(원본명단!$K$3:$K1564,원본명단!$K1564)=1)),"첫 건","중복 건")))</f>
        <v/>
      </c>
      <c r="J1565" s="11" t="str">
        <f aca="false">IF($A1565="","",IF($H1565="-","유지",IF($I1565="첫 건","유지","확인 필요")))</f>
        <v/>
      </c>
    </row>
    <row r="1566" customFormat="false" ht="15" hidden="false" customHeight="true" outlineLevel="0" collapsed="false">
      <c r="A1566" s="11" t="str">
        <f aca="false">IF(원본명단!$A1565="","",1563)</f>
        <v/>
      </c>
      <c r="B1566" s="12" t="str">
        <f aca="false">IF($A1566="","",원본명단!$A1565)</f>
        <v/>
      </c>
      <c r="C1566" s="12" t="str">
        <f aca="false">IF($A1566="","",원본명단!$B1565)</f>
        <v/>
      </c>
      <c r="D1566" s="12" t="str">
        <f aca="false">IF($A1566="","",원본명단!$D1565)</f>
        <v/>
      </c>
      <c r="E1566" s="11" t="str">
        <f aca="false">IF($A1566="","",IF(원본명단!$H1565="",0,COUNTIF(원본명단!$H$3:$H$6002,원본명단!$H1565)))</f>
        <v/>
      </c>
      <c r="F1566" s="11" t="str">
        <f aca="false">IF($A1566="","",IF(원본명단!$I1565="",0,COUNTIF(원본명단!$I$3:$I$6002,원본명단!$I1565)))</f>
        <v/>
      </c>
      <c r="G1566" s="11" t="str">
        <f aca="false">IF($A1566="","",IF(원본명단!$K1565="",0,COUNTIF(원본명단!$K$3:$K$6002,원본명단!$K1565)))</f>
        <v/>
      </c>
      <c r="H1566" s="11" t="str">
        <f aca="false">IF($A1566="","",IF(MAX($E1566,$F1566,$G1566)&gt;1,"중복","-"))</f>
        <v/>
      </c>
      <c r="I1566" s="11" t="str">
        <f aca="false">IF($A1566="","",IF($H1566="-","-",IF(AND(IF(원본명단!$H1565="",TRUE(),COUNTIF(원본명단!$H$3:$H1565,원본명단!$H1565)=1),IF(원본명단!$I1565="",TRUE(),COUNTIF(원본명단!$I$3:$I1565,원본명단!$I1565)=1),IF(원본명단!$K1565="",TRUE(),COUNTIF(원본명단!$K$3:$K1565,원본명단!$K1565)=1)),"첫 건","중복 건")))</f>
        <v/>
      </c>
      <c r="J1566" s="11" t="str">
        <f aca="false">IF($A1566="","",IF($H1566="-","유지",IF($I1566="첫 건","유지","확인 필요")))</f>
        <v/>
      </c>
    </row>
    <row r="1567" customFormat="false" ht="15" hidden="false" customHeight="true" outlineLevel="0" collapsed="false">
      <c r="A1567" s="11" t="str">
        <f aca="false">IF(원본명단!$A1566="","",1564)</f>
        <v/>
      </c>
      <c r="B1567" s="12" t="str">
        <f aca="false">IF($A1567="","",원본명단!$A1566)</f>
        <v/>
      </c>
      <c r="C1567" s="12" t="str">
        <f aca="false">IF($A1567="","",원본명단!$B1566)</f>
        <v/>
      </c>
      <c r="D1567" s="12" t="str">
        <f aca="false">IF($A1567="","",원본명단!$D1566)</f>
        <v/>
      </c>
      <c r="E1567" s="11" t="str">
        <f aca="false">IF($A1567="","",IF(원본명단!$H1566="",0,COUNTIF(원본명단!$H$3:$H$6002,원본명단!$H1566)))</f>
        <v/>
      </c>
      <c r="F1567" s="11" t="str">
        <f aca="false">IF($A1567="","",IF(원본명단!$I1566="",0,COUNTIF(원본명단!$I$3:$I$6002,원본명단!$I1566)))</f>
        <v/>
      </c>
      <c r="G1567" s="11" t="str">
        <f aca="false">IF($A1567="","",IF(원본명단!$K1566="",0,COUNTIF(원본명단!$K$3:$K$6002,원본명단!$K1566)))</f>
        <v/>
      </c>
      <c r="H1567" s="11" t="str">
        <f aca="false">IF($A1567="","",IF(MAX($E1567,$F1567,$G1567)&gt;1,"중복","-"))</f>
        <v/>
      </c>
      <c r="I1567" s="11" t="str">
        <f aca="false">IF($A1567="","",IF($H1567="-","-",IF(AND(IF(원본명단!$H1566="",TRUE(),COUNTIF(원본명단!$H$3:$H1566,원본명단!$H1566)=1),IF(원본명단!$I1566="",TRUE(),COUNTIF(원본명단!$I$3:$I1566,원본명단!$I1566)=1),IF(원본명단!$K1566="",TRUE(),COUNTIF(원본명단!$K$3:$K1566,원본명단!$K1566)=1)),"첫 건","중복 건")))</f>
        <v/>
      </c>
      <c r="J1567" s="11" t="str">
        <f aca="false">IF($A1567="","",IF($H1567="-","유지",IF($I1567="첫 건","유지","확인 필요")))</f>
        <v/>
      </c>
    </row>
    <row r="1568" customFormat="false" ht="15" hidden="false" customHeight="true" outlineLevel="0" collapsed="false">
      <c r="A1568" s="11" t="str">
        <f aca="false">IF(원본명단!$A1567="","",1565)</f>
        <v/>
      </c>
      <c r="B1568" s="12" t="str">
        <f aca="false">IF($A1568="","",원본명단!$A1567)</f>
        <v/>
      </c>
      <c r="C1568" s="12" t="str">
        <f aca="false">IF($A1568="","",원본명단!$B1567)</f>
        <v/>
      </c>
      <c r="D1568" s="12" t="str">
        <f aca="false">IF($A1568="","",원본명단!$D1567)</f>
        <v/>
      </c>
      <c r="E1568" s="11" t="str">
        <f aca="false">IF($A1568="","",IF(원본명단!$H1567="",0,COUNTIF(원본명단!$H$3:$H$6002,원본명단!$H1567)))</f>
        <v/>
      </c>
      <c r="F1568" s="11" t="str">
        <f aca="false">IF($A1568="","",IF(원본명단!$I1567="",0,COUNTIF(원본명단!$I$3:$I$6002,원본명단!$I1567)))</f>
        <v/>
      </c>
      <c r="G1568" s="11" t="str">
        <f aca="false">IF($A1568="","",IF(원본명단!$K1567="",0,COUNTIF(원본명단!$K$3:$K$6002,원본명단!$K1567)))</f>
        <v/>
      </c>
      <c r="H1568" s="11" t="str">
        <f aca="false">IF($A1568="","",IF(MAX($E1568,$F1568,$G1568)&gt;1,"중복","-"))</f>
        <v/>
      </c>
      <c r="I1568" s="11" t="str">
        <f aca="false">IF($A1568="","",IF($H1568="-","-",IF(AND(IF(원본명단!$H1567="",TRUE(),COUNTIF(원본명단!$H$3:$H1567,원본명단!$H1567)=1),IF(원본명단!$I1567="",TRUE(),COUNTIF(원본명단!$I$3:$I1567,원본명단!$I1567)=1),IF(원본명단!$K1567="",TRUE(),COUNTIF(원본명단!$K$3:$K1567,원본명단!$K1567)=1)),"첫 건","중복 건")))</f>
        <v/>
      </c>
      <c r="J1568" s="11" t="str">
        <f aca="false">IF($A1568="","",IF($H1568="-","유지",IF($I1568="첫 건","유지","확인 필요")))</f>
        <v/>
      </c>
    </row>
    <row r="1569" customFormat="false" ht="15" hidden="false" customHeight="true" outlineLevel="0" collapsed="false">
      <c r="A1569" s="11" t="str">
        <f aca="false">IF(원본명단!$A1568="","",1566)</f>
        <v/>
      </c>
      <c r="B1569" s="12" t="str">
        <f aca="false">IF($A1569="","",원본명단!$A1568)</f>
        <v/>
      </c>
      <c r="C1569" s="12" t="str">
        <f aca="false">IF($A1569="","",원본명단!$B1568)</f>
        <v/>
      </c>
      <c r="D1569" s="12" t="str">
        <f aca="false">IF($A1569="","",원본명단!$D1568)</f>
        <v/>
      </c>
      <c r="E1569" s="11" t="str">
        <f aca="false">IF($A1569="","",IF(원본명단!$H1568="",0,COUNTIF(원본명단!$H$3:$H$6002,원본명단!$H1568)))</f>
        <v/>
      </c>
      <c r="F1569" s="11" t="str">
        <f aca="false">IF($A1569="","",IF(원본명단!$I1568="",0,COUNTIF(원본명단!$I$3:$I$6002,원본명단!$I1568)))</f>
        <v/>
      </c>
      <c r="G1569" s="11" t="str">
        <f aca="false">IF($A1569="","",IF(원본명단!$K1568="",0,COUNTIF(원본명단!$K$3:$K$6002,원본명단!$K1568)))</f>
        <v/>
      </c>
      <c r="H1569" s="11" t="str">
        <f aca="false">IF($A1569="","",IF(MAX($E1569,$F1569,$G1569)&gt;1,"중복","-"))</f>
        <v/>
      </c>
      <c r="I1569" s="11" t="str">
        <f aca="false">IF($A1569="","",IF($H1569="-","-",IF(AND(IF(원본명단!$H1568="",TRUE(),COUNTIF(원본명단!$H$3:$H1568,원본명단!$H1568)=1),IF(원본명단!$I1568="",TRUE(),COUNTIF(원본명단!$I$3:$I1568,원본명단!$I1568)=1),IF(원본명단!$K1568="",TRUE(),COUNTIF(원본명단!$K$3:$K1568,원본명단!$K1568)=1)),"첫 건","중복 건")))</f>
        <v/>
      </c>
      <c r="J1569" s="11" t="str">
        <f aca="false">IF($A1569="","",IF($H1569="-","유지",IF($I1569="첫 건","유지","확인 필요")))</f>
        <v/>
      </c>
    </row>
    <row r="1570" customFormat="false" ht="15" hidden="false" customHeight="true" outlineLevel="0" collapsed="false">
      <c r="A1570" s="11" t="str">
        <f aca="false">IF(원본명단!$A1569="","",1567)</f>
        <v/>
      </c>
      <c r="B1570" s="12" t="str">
        <f aca="false">IF($A1570="","",원본명단!$A1569)</f>
        <v/>
      </c>
      <c r="C1570" s="12" t="str">
        <f aca="false">IF($A1570="","",원본명단!$B1569)</f>
        <v/>
      </c>
      <c r="D1570" s="12" t="str">
        <f aca="false">IF($A1570="","",원본명단!$D1569)</f>
        <v/>
      </c>
      <c r="E1570" s="11" t="str">
        <f aca="false">IF($A1570="","",IF(원본명단!$H1569="",0,COUNTIF(원본명단!$H$3:$H$6002,원본명단!$H1569)))</f>
        <v/>
      </c>
      <c r="F1570" s="11" t="str">
        <f aca="false">IF($A1570="","",IF(원본명단!$I1569="",0,COUNTIF(원본명단!$I$3:$I$6002,원본명단!$I1569)))</f>
        <v/>
      </c>
      <c r="G1570" s="11" t="str">
        <f aca="false">IF($A1570="","",IF(원본명단!$K1569="",0,COUNTIF(원본명단!$K$3:$K$6002,원본명단!$K1569)))</f>
        <v/>
      </c>
      <c r="H1570" s="11" t="str">
        <f aca="false">IF($A1570="","",IF(MAX($E1570,$F1570,$G1570)&gt;1,"중복","-"))</f>
        <v/>
      </c>
      <c r="I1570" s="11" t="str">
        <f aca="false">IF($A1570="","",IF($H1570="-","-",IF(AND(IF(원본명단!$H1569="",TRUE(),COUNTIF(원본명단!$H$3:$H1569,원본명단!$H1569)=1),IF(원본명단!$I1569="",TRUE(),COUNTIF(원본명단!$I$3:$I1569,원본명단!$I1569)=1),IF(원본명단!$K1569="",TRUE(),COUNTIF(원본명단!$K$3:$K1569,원본명단!$K1569)=1)),"첫 건","중복 건")))</f>
        <v/>
      </c>
      <c r="J1570" s="11" t="str">
        <f aca="false">IF($A1570="","",IF($H1570="-","유지",IF($I1570="첫 건","유지","확인 필요")))</f>
        <v/>
      </c>
    </row>
    <row r="1571" customFormat="false" ht="15" hidden="false" customHeight="true" outlineLevel="0" collapsed="false">
      <c r="A1571" s="11" t="str">
        <f aca="false">IF(원본명단!$A1570="","",1568)</f>
        <v/>
      </c>
      <c r="B1571" s="12" t="str">
        <f aca="false">IF($A1571="","",원본명단!$A1570)</f>
        <v/>
      </c>
      <c r="C1571" s="12" t="str">
        <f aca="false">IF($A1571="","",원본명단!$B1570)</f>
        <v/>
      </c>
      <c r="D1571" s="12" t="str">
        <f aca="false">IF($A1571="","",원본명단!$D1570)</f>
        <v/>
      </c>
      <c r="E1571" s="11" t="str">
        <f aca="false">IF($A1571="","",IF(원본명단!$H1570="",0,COUNTIF(원본명단!$H$3:$H$6002,원본명단!$H1570)))</f>
        <v/>
      </c>
      <c r="F1571" s="11" t="str">
        <f aca="false">IF($A1571="","",IF(원본명단!$I1570="",0,COUNTIF(원본명단!$I$3:$I$6002,원본명단!$I1570)))</f>
        <v/>
      </c>
      <c r="G1571" s="11" t="str">
        <f aca="false">IF($A1571="","",IF(원본명단!$K1570="",0,COUNTIF(원본명단!$K$3:$K$6002,원본명단!$K1570)))</f>
        <v/>
      </c>
      <c r="H1571" s="11" t="str">
        <f aca="false">IF($A1571="","",IF(MAX($E1571,$F1571,$G1571)&gt;1,"중복","-"))</f>
        <v/>
      </c>
      <c r="I1571" s="11" t="str">
        <f aca="false">IF($A1571="","",IF($H1571="-","-",IF(AND(IF(원본명단!$H1570="",TRUE(),COUNTIF(원본명단!$H$3:$H1570,원본명단!$H1570)=1),IF(원본명단!$I1570="",TRUE(),COUNTIF(원본명단!$I$3:$I1570,원본명단!$I1570)=1),IF(원본명단!$K1570="",TRUE(),COUNTIF(원본명단!$K$3:$K1570,원본명단!$K1570)=1)),"첫 건","중복 건")))</f>
        <v/>
      </c>
      <c r="J1571" s="11" t="str">
        <f aca="false">IF($A1571="","",IF($H1571="-","유지",IF($I1571="첫 건","유지","확인 필요")))</f>
        <v/>
      </c>
    </row>
    <row r="1572" customFormat="false" ht="15" hidden="false" customHeight="true" outlineLevel="0" collapsed="false">
      <c r="A1572" s="11" t="str">
        <f aca="false">IF(원본명단!$A1571="","",1569)</f>
        <v/>
      </c>
      <c r="B1572" s="12" t="str">
        <f aca="false">IF($A1572="","",원본명단!$A1571)</f>
        <v/>
      </c>
      <c r="C1572" s="12" t="str">
        <f aca="false">IF($A1572="","",원본명단!$B1571)</f>
        <v/>
      </c>
      <c r="D1572" s="12" t="str">
        <f aca="false">IF($A1572="","",원본명단!$D1571)</f>
        <v/>
      </c>
      <c r="E1572" s="11" t="str">
        <f aca="false">IF($A1572="","",IF(원본명단!$H1571="",0,COUNTIF(원본명단!$H$3:$H$6002,원본명단!$H1571)))</f>
        <v/>
      </c>
      <c r="F1572" s="11" t="str">
        <f aca="false">IF($A1572="","",IF(원본명단!$I1571="",0,COUNTIF(원본명단!$I$3:$I$6002,원본명단!$I1571)))</f>
        <v/>
      </c>
      <c r="G1572" s="11" t="str">
        <f aca="false">IF($A1572="","",IF(원본명단!$K1571="",0,COUNTIF(원본명단!$K$3:$K$6002,원본명단!$K1571)))</f>
        <v/>
      </c>
      <c r="H1572" s="11" t="str">
        <f aca="false">IF($A1572="","",IF(MAX($E1572,$F1572,$G1572)&gt;1,"중복","-"))</f>
        <v/>
      </c>
      <c r="I1572" s="11" t="str">
        <f aca="false">IF($A1572="","",IF($H1572="-","-",IF(AND(IF(원본명단!$H1571="",TRUE(),COUNTIF(원본명단!$H$3:$H1571,원본명단!$H1571)=1),IF(원본명단!$I1571="",TRUE(),COUNTIF(원본명단!$I$3:$I1571,원본명단!$I1571)=1),IF(원본명단!$K1571="",TRUE(),COUNTIF(원본명단!$K$3:$K1571,원본명단!$K1571)=1)),"첫 건","중복 건")))</f>
        <v/>
      </c>
      <c r="J1572" s="11" t="str">
        <f aca="false">IF($A1572="","",IF($H1572="-","유지",IF($I1572="첫 건","유지","확인 필요")))</f>
        <v/>
      </c>
    </row>
    <row r="1573" customFormat="false" ht="15" hidden="false" customHeight="true" outlineLevel="0" collapsed="false">
      <c r="A1573" s="11" t="str">
        <f aca="false">IF(원본명단!$A1572="","",1570)</f>
        <v/>
      </c>
      <c r="B1573" s="12" t="str">
        <f aca="false">IF($A1573="","",원본명단!$A1572)</f>
        <v/>
      </c>
      <c r="C1573" s="12" t="str">
        <f aca="false">IF($A1573="","",원본명단!$B1572)</f>
        <v/>
      </c>
      <c r="D1573" s="12" t="str">
        <f aca="false">IF($A1573="","",원본명단!$D1572)</f>
        <v/>
      </c>
      <c r="E1573" s="11" t="str">
        <f aca="false">IF($A1573="","",IF(원본명단!$H1572="",0,COUNTIF(원본명단!$H$3:$H$6002,원본명단!$H1572)))</f>
        <v/>
      </c>
      <c r="F1573" s="11" t="str">
        <f aca="false">IF($A1573="","",IF(원본명단!$I1572="",0,COUNTIF(원본명단!$I$3:$I$6002,원본명단!$I1572)))</f>
        <v/>
      </c>
      <c r="G1573" s="11" t="str">
        <f aca="false">IF($A1573="","",IF(원본명단!$K1572="",0,COUNTIF(원본명단!$K$3:$K$6002,원본명단!$K1572)))</f>
        <v/>
      </c>
      <c r="H1573" s="11" t="str">
        <f aca="false">IF($A1573="","",IF(MAX($E1573,$F1573,$G1573)&gt;1,"중복","-"))</f>
        <v/>
      </c>
      <c r="I1573" s="11" t="str">
        <f aca="false">IF($A1573="","",IF($H1573="-","-",IF(AND(IF(원본명단!$H1572="",TRUE(),COUNTIF(원본명단!$H$3:$H1572,원본명단!$H1572)=1),IF(원본명단!$I1572="",TRUE(),COUNTIF(원본명단!$I$3:$I1572,원본명단!$I1572)=1),IF(원본명단!$K1572="",TRUE(),COUNTIF(원본명단!$K$3:$K1572,원본명단!$K1572)=1)),"첫 건","중복 건")))</f>
        <v/>
      </c>
      <c r="J1573" s="11" t="str">
        <f aca="false">IF($A1573="","",IF($H1573="-","유지",IF($I1573="첫 건","유지","확인 필요")))</f>
        <v/>
      </c>
    </row>
    <row r="1574" customFormat="false" ht="15" hidden="false" customHeight="true" outlineLevel="0" collapsed="false">
      <c r="A1574" s="11" t="str">
        <f aca="false">IF(원본명단!$A1573="","",1571)</f>
        <v/>
      </c>
      <c r="B1574" s="12" t="str">
        <f aca="false">IF($A1574="","",원본명단!$A1573)</f>
        <v/>
      </c>
      <c r="C1574" s="12" t="str">
        <f aca="false">IF($A1574="","",원본명단!$B1573)</f>
        <v/>
      </c>
      <c r="D1574" s="12" t="str">
        <f aca="false">IF($A1574="","",원본명단!$D1573)</f>
        <v/>
      </c>
      <c r="E1574" s="11" t="str">
        <f aca="false">IF($A1574="","",IF(원본명단!$H1573="",0,COUNTIF(원본명단!$H$3:$H$6002,원본명단!$H1573)))</f>
        <v/>
      </c>
      <c r="F1574" s="11" t="str">
        <f aca="false">IF($A1574="","",IF(원본명단!$I1573="",0,COUNTIF(원본명단!$I$3:$I$6002,원본명단!$I1573)))</f>
        <v/>
      </c>
      <c r="G1574" s="11" t="str">
        <f aca="false">IF($A1574="","",IF(원본명단!$K1573="",0,COUNTIF(원본명단!$K$3:$K$6002,원본명단!$K1573)))</f>
        <v/>
      </c>
      <c r="H1574" s="11" t="str">
        <f aca="false">IF($A1574="","",IF(MAX($E1574,$F1574,$G1574)&gt;1,"중복","-"))</f>
        <v/>
      </c>
      <c r="I1574" s="11" t="str">
        <f aca="false">IF($A1574="","",IF($H1574="-","-",IF(AND(IF(원본명단!$H1573="",TRUE(),COUNTIF(원본명단!$H$3:$H1573,원본명단!$H1573)=1),IF(원본명단!$I1573="",TRUE(),COUNTIF(원본명단!$I$3:$I1573,원본명단!$I1573)=1),IF(원본명단!$K1573="",TRUE(),COUNTIF(원본명단!$K$3:$K1573,원본명단!$K1573)=1)),"첫 건","중복 건")))</f>
        <v/>
      </c>
      <c r="J1574" s="11" t="str">
        <f aca="false">IF($A1574="","",IF($H1574="-","유지",IF($I1574="첫 건","유지","확인 필요")))</f>
        <v/>
      </c>
    </row>
    <row r="1575" customFormat="false" ht="15" hidden="false" customHeight="true" outlineLevel="0" collapsed="false">
      <c r="A1575" s="11" t="str">
        <f aca="false">IF(원본명단!$A1574="","",1572)</f>
        <v/>
      </c>
      <c r="B1575" s="12" t="str">
        <f aca="false">IF($A1575="","",원본명단!$A1574)</f>
        <v/>
      </c>
      <c r="C1575" s="12" t="str">
        <f aca="false">IF($A1575="","",원본명단!$B1574)</f>
        <v/>
      </c>
      <c r="D1575" s="12" t="str">
        <f aca="false">IF($A1575="","",원본명단!$D1574)</f>
        <v/>
      </c>
      <c r="E1575" s="11" t="str">
        <f aca="false">IF($A1575="","",IF(원본명단!$H1574="",0,COUNTIF(원본명단!$H$3:$H$6002,원본명단!$H1574)))</f>
        <v/>
      </c>
      <c r="F1575" s="11" t="str">
        <f aca="false">IF($A1575="","",IF(원본명단!$I1574="",0,COUNTIF(원본명단!$I$3:$I$6002,원본명단!$I1574)))</f>
        <v/>
      </c>
      <c r="G1575" s="11" t="str">
        <f aca="false">IF($A1575="","",IF(원본명단!$K1574="",0,COUNTIF(원본명단!$K$3:$K$6002,원본명단!$K1574)))</f>
        <v/>
      </c>
      <c r="H1575" s="11" t="str">
        <f aca="false">IF($A1575="","",IF(MAX($E1575,$F1575,$G1575)&gt;1,"중복","-"))</f>
        <v/>
      </c>
      <c r="I1575" s="11" t="str">
        <f aca="false">IF($A1575="","",IF($H1575="-","-",IF(AND(IF(원본명단!$H1574="",TRUE(),COUNTIF(원본명단!$H$3:$H1574,원본명단!$H1574)=1),IF(원본명단!$I1574="",TRUE(),COUNTIF(원본명단!$I$3:$I1574,원본명단!$I1574)=1),IF(원본명단!$K1574="",TRUE(),COUNTIF(원본명단!$K$3:$K1574,원본명단!$K1574)=1)),"첫 건","중복 건")))</f>
        <v/>
      </c>
      <c r="J1575" s="11" t="str">
        <f aca="false">IF($A1575="","",IF($H1575="-","유지",IF($I1575="첫 건","유지","확인 필요")))</f>
        <v/>
      </c>
    </row>
    <row r="1576" customFormat="false" ht="15" hidden="false" customHeight="true" outlineLevel="0" collapsed="false">
      <c r="A1576" s="11" t="str">
        <f aca="false">IF(원본명단!$A1575="","",1573)</f>
        <v/>
      </c>
      <c r="B1576" s="12" t="str">
        <f aca="false">IF($A1576="","",원본명단!$A1575)</f>
        <v/>
      </c>
      <c r="C1576" s="12" t="str">
        <f aca="false">IF($A1576="","",원본명단!$B1575)</f>
        <v/>
      </c>
      <c r="D1576" s="12" t="str">
        <f aca="false">IF($A1576="","",원본명단!$D1575)</f>
        <v/>
      </c>
      <c r="E1576" s="11" t="str">
        <f aca="false">IF($A1576="","",IF(원본명단!$H1575="",0,COUNTIF(원본명단!$H$3:$H$6002,원본명단!$H1575)))</f>
        <v/>
      </c>
      <c r="F1576" s="11" t="str">
        <f aca="false">IF($A1576="","",IF(원본명단!$I1575="",0,COUNTIF(원본명단!$I$3:$I$6002,원본명단!$I1575)))</f>
        <v/>
      </c>
      <c r="G1576" s="11" t="str">
        <f aca="false">IF($A1576="","",IF(원본명단!$K1575="",0,COUNTIF(원본명단!$K$3:$K$6002,원본명단!$K1575)))</f>
        <v/>
      </c>
      <c r="H1576" s="11" t="str">
        <f aca="false">IF($A1576="","",IF(MAX($E1576,$F1576,$G1576)&gt;1,"중복","-"))</f>
        <v/>
      </c>
      <c r="I1576" s="11" t="str">
        <f aca="false">IF($A1576="","",IF($H1576="-","-",IF(AND(IF(원본명단!$H1575="",TRUE(),COUNTIF(원본명단!$H$3:$H1575,원본명단!$H1575)=1),IF(원본명단!$I1575="",TRUE(),COUNTIF(원본명단!$I$3:$I1575,원본명단!$I1575)=1),IF(원본명단!$K1575="",TRUE(),COUNTIF(원본명단!$K$3:$K1575,원본명단!$K1575)=1)),"첫 건","중복 건")))</f>
        <v/>
      </c>
      <c r="J1576" s="11" t="str">
        <f aca="false">IF($A1576="","",IF($H1576="-","유지",IF($I1576="첫 건","유지","확인 필요")))</f>
        <v/>
      </c>
    </row>
    <row r="1577" customFormat="false" ht="15" hidden="false" customHeight="true" outlineLevel="0" collapsed="false">
      <c r="A1577" s="11" t="str">
        <f aca="false">IF(원본명단!$A1576="","",1574)</f>
        <v/>
      </c>
      <c r="B1577" s="12" t="str">
        <f aca="false">IF($A1577="","",원본명단!$A1576)</f>
        <v/>
      </c>
      <c r="C1577" s="12" t="str">
        <f aca="false">IF($A1577="","",원본명단!$B1576)</f>
        <v/>
      </c>
      <c r="D1577" s="12" t="str">
        <f aca="false">IF($A1577="","",원본명단!$D1576)</f>
        <v/>
      </c>
      <c r="E1577" s="11" t="str">
        <f aca="false">IF($A1577="","",IF(원본명단!$H1576="",0,COUNTIF(원본명단!$H$3:$H$6002,원본명단!$H1576)))</f>
        <v/>
      </c>
      <c r="F1577" s="11" t="str">
        <f aca="false">IF($A1577="","",IF(원본명단!$I1576="",0,COUNTIF(원본명단!$I$3:$I$6002,원본명단!$I1576)))</f>
        <v/>
      </c>
      <c r="G1577" s="11" t="str">
        <f aca="false">IF($A1577="","",IF(원본명단!$K1576="",0,COUNTIF(원본명단!$K$3:$K$6002,원본명단!$K1576)))</f>
        <v/>
      </c>
      <c r="H1577" s="11" t="str">
        <f aca="false">IF($A1577="","",IF(MAX($E1577,$F1577,$G1577)&gt;1,"중복","-"))</f>
        <v/>
      </c>
      <c r="I1577" s="11" t="str">
        <f aca="false">IF($A1577="","",IF($H1577="-","-",IF(AND(IF(원본명단!$H1576="",TRUE(),COUNTIF(원본명단!$H$3:$H1576,원본명단!$H1576)=1),IF(원본명단!$I1576="",TRUE(),COUNTIF(원본명단!$I$3:$I1576,원본명단!$I1576)=1),IF(원본명단!$K1576="",TRUE(),COUNTIF(원본명단!$K$3:$K1576,원본명단!$K1576)=1)),"첫 건","중복 건")))</f>
        <v/>
      </c>
      <c r="J1577" s="11" t="str">
        <f aca="false">IF($A1577="","",IF($H1577="-","유지",IF($I1577="첫 건","유지","확인 필요")))</f>
        <v/>
      </c>
    </row>
    <row r="1578" customFormat="false" ht="15" hidden="false" customHeight="true" outlineLevel="0" collapsed="false">
      <c r="A1578" s="11" t="str">
        <f aca="false">IF(원본명단!$A1577="","",1575)</f>
        <v/>
      </c>
      <c r="B1578" s="12" t="str">
        <f aca="false">IF($A1578="","",원본명단!$A1577)</f>
        <v/>
      </c>
      <c r="C1578" s="12" t="str">
        <f aca="false">IF($A1578="","",원본명단!$B1577)</f>
        <v/>
      </c>
      <c r="D1578" s="12" t="str">
        <f aca="false">IF($A1578="","",원본명단!$D1577)</f>
        <v/>
      </c>
      <c r="E1578" s="11" t="str">
        <f aca="false">IF($A1578="","",IF(원본명단!$H1577="",0,COUNTIF(원본명단!$H$3:$H$6002,원본명단!$H1577)))</f>
        <v/>
      </c>
      <c r="F1578" s="11" t="str">
        <f aca="false">IF($A1578="","",IF(원본명단!$I1577="",0,COUNTIF(원본명단!$I$3:$I$6002,원본명단!$I1577)))</f>
        <v/>
      </c>
      <c r="G1578" s="11" t="str">
        <f aca="false">IF($A1578="","",IF(원본명단!$K1577="",0,COUNTIF(원본명단!$K$3:$K$6002,원본명단!$K1577)))</f>
        <v/>
      </c>
      <c r="H1578" s="11" t="str">
        <f aca="false">IF($A1578="","",IF(MAX($E1578,$F1578,$G1578)&gt;1,"중복","-"))</f>
        <v/>
      </c>
      <c r="I1578" s="11" t="str">
        <f aca="false">IF($A1578="","",IF($H1578="-","-",IF(AND(IF(원본명단!$H1577="",TRUE(),COUNTIF(원본명단!$H$3:$H1577,원본명단!$H1577)=1),IF(원본명단!$I1577="",TRUE(),COUNTIF(원본명단!$I$3:$I1577,원본명단!$I1577)=1),IF(원본명단!$K1577="",TRUE(),COUNTIF(원본명단!$K$3:$K1577,원본명단!$K1577)=1)),"첫 건","중복 건")))</f>
        <v/>
      </c>
      <c r="J1578" s="11" t="str">
        <f aca="false">IF($A1578="","",IF($H1578="-","유지",IF($I1578="첫 건","유지","확인 필요")))</f>
        <v/>
      </c>
    </row>
    <row r="1579" customFormat="false" ht="15" hidden="false" customHeight="true" outlineLevel="0" collapsed="false">
      <c r="A1579" s="11" t="str">
        <f aca="false">IF(원본명단!$A1578="","",1576)</f>
        <v/>
      </c>
      <c r="B1579" s="12" t="str">
        <f aca="false">IF($A1579="","",원본명단!$A1578)</f>
        <v/>
      </c>
      <c r="C1579" s="12" t="str">
        <f aca="false">IF($A1579="","",원본명단!$B1578)</f>
        <v/>
      </c>
      <c r="D1579" s="12" t="str">
        <f aca="false">IF($A1579="","",원본명단!$D1578)</f>
        <v/>
      </c>
      <c r="E1579" s="11" t="str">
        <f aca="false">IF($A1579="","",IF(원본명단!$H1578="",0,COUNTIF(원본명단!$H$3:$H$6002,원본명단!$H1578)))</f>
        <v/>
      </c>
      <c r="F1579" s="11" t="str">
        <f aca="false">IF($A1579="","",IF(원본명단!$I1578="",0,COUNTIF(원본명단!$I$3:$I$6002,원본명단!$I1578)))</f>
        <v/>
      </c>
      <c r="G1579" s="11" t="str">
        <f aca="false">IF($A1579="","",IF(원본명단!$K1578="",0,COUNTIF(원본명단!$K$3:$K$6002,원본명단!$K1578)))</f>
        <v/>
      </c>
      <c r="H1579" s="11" t="str">
        <f aca="false">IF($A1579="","",IF(MAX($E1579,$F1579,$G1579)&gt;1,"중복","-"))</f>
        <v/>
      </c>
      <c r="I1579" s="11" t="str">
        <f aca="false">IF($A1579="","",IF($H1579="-","-",IF(AND(IF(원본명단!$H1578="",TRUE(),COUNTIF(원본명단!$H$3:$H1578,원본명단!$H1578)=1),IF(원본명단!$I1578="",TRUE(),COUNTIF(원본명단!$I$3:$I1578,원본명단!$I1578)=1),IF(원본명단!$K1578="",TRUE(),COUNTIF(원본명단!$K$3:$K1578,원본명단!$K1578)=1)),"첫 건","중복 건")))</f>
        <v/>
      </c>
      <c r="J1579" s="11" t="str">
        <f aca="false">IF($A1579="","",IF($H1579="-","유지",IF($I1579="첫 건","유지","확인 필요")))</f>
        <v/>
      </c>
    </row>
    <row r="1580" customFormat="false" ht="15" hidden="false" customHeight="true" outlineLevel="0" collapsed="false">
      <c r="A1580" s="11" t="str">
        <f aca="false">IF(원본명단!$A1579="","",1577)</f>
        <v/>
      </c>
      <c r="B1580" s="12" t="str">
        <f aca="false">IF($A1580="","",원본명단!$A1579)</f>
        <v/>
      </c>
      <c r="C1580" s="12" t="str">
        <f aca="false">IF($A1580="","",원본명단!$B1579)</f>
        <v/>
      </c>
      <c r="D1580" s="12" t="str">
        <f aca="false">IF($A1580="","",원본명단!$D1579)</f>
        <v/>
      </c>
      <c r="E1580" s="11" t="str">
        <f aca="false">IF($A1580="","",IF(원본명단!$H1579="",0,COUNTIF(원본명단!$H$3:$H$6002,원본명단!$H1579)))</f>
        <v/>
      </c>
      <c r="F1580" s="11" t="str">
        <f aca="false">IF($A1580="","",IF(원본명단!$I1579="",0,COUNTIF(원본명단!$I$3:$I$6002,원본명단!$I1579)))</f>
        <v/>
      </c>
      <c r="G1580" s="11" t="str">
        <f aca="false">IF($A1580="","",IF(원본명단!$K1579="",0,COUNTIF(원본명단!$K$3:$K$6002,원본명단!$K1579)))</f>
        <v/>
      </c>
      <c r="H1580" s="11" t="str">
        <f aca="false">IF($A1580="","",IF(MAX($E1580,$F1580,$G1580)&gt;1,"중복","-"))</f>
        <v/>
      </c>
      <c r="I1580" s="11" t="str">
        <f aca="false">IF($A1580="","",IF($H1580="-","-",IF(AND(IF(원본명단!$H1579="",TRUE(),COUNTIF(원본명단!$H$3:$H1579,원본명단!$H1579)=1),IF(원본명단!$I1579="",TRUE(),COUNTIF(원본명단!$I$3:$I1579,원본명단!$I1579)=1),IF(원본명단!$K1579="",TRUE(),COUNTIF(원본명단!$K$3:$K1579,원본명단!$K1579)=1)),"첫 건","중복 건")))</f>
        <v/>
      </c>
      <c r="J1580" s="11" t="str">
        <f aca="false">IF($A1580="","",IF($H1580="-","유지",IF($I1580="첫 건","유지","확인 필요")))</f>
        <v/>
      </c>
    </row>
    <row r="1581" customFormat="false" ht="15" hidden="false" customHeight="true" outlineLevel="0" collapsed="false">
      <c r="A1581" s="11" t="str">
        <f aca="false">IF(원본명단!$A1580="","",1578)</f>
        <v/>
      </c>
      <c r="B1581" s="12" t="str">
        <f aca="false">IF($A1581="","",원본명단!$A1580)</f>
        <v/>
      </c>
      <c r="C1581" s="12" t="str">
        <f aca="false">IF($A1581="","",원본명단!$B1580)</f>
        <v/>
      </c>
      <c r="D1581" s="12" t="str">
        <f aca="false">IF($A1581="","",원본명단!$D1580)</f>
        <v/>
      </c>
      <c r="E1581" s="11" t="str">
        <f aca="false">IF($A1581="","",IF(원본명단!$H1580="",0,COUNTIF(원본명단!$H$3:$H$6002,원본명단!$H1580)))</f>
        <v/>
      </c>
      <c r="F1581" s="11" t="str">
        <f aca="false">IF($A1581="","",IF(원본명단!$I1580="",0,COUNTIF(원본명단!$I$3:$I$6002,원본명단!$I1580)))</f>
        <v/>
      </c>
      <c r="G1581" s="11" t="str">
        <f aca="false">IF($A1581="","",IF(원본명단!$K1580="",0,COUNTIF(원본명단!$K$3:$K$6002,원본명단!$K1580)))</f>
        <v/>
      </c>
      <c r="H1581" s="11" t="str">
        <f aca="false">IF($A1581="","",IF(MAX($E1581,$F1581,$G1581)&gt;1,"중복","-"))</f>
        <v/>
      </c>
      <c r="I1581" s="11" t="str">
        <f aca="false">IF($A1581="","",IF($H1581="-","-",IF(AND(IF(원본명단!$H1580="",TRUE(),COUNTIF(원본명단!$H$3:$H1580,원본명단!$H1580)=1),IF(원본명단!$I1580="",TRUE(),COUNTIF(원본명단!$I$3:$I1580,원본명단!$I1580)=1),IF(원본명단!$K1580="",TRUE(),COUNTIF(원본명단!$K$3:$K1580,원본명단!$K1580)=1)),"첫 건","중복 건")))</f>
        <v/>
      </c>
      <c r="J1581" s="11" t="str">
        <f aca="false">IF($A1581="","",IF($H1581="-","유지",IF($I1581="첫 건","유지","확인 필요")))</f>
        <v/>
      </c>
    </row>
    <row r="1582" customFormat="false" ht="15" hidden="false" customHeight="true" outlineLevel="0" collapsed="false">
      <c r="A1582" s="11" t="str">
        <f aca="false">IF(원본명단!$A1581="","",1579)</f>
        <v/>
      </c>
      <c r="B1582" s="12" t="str">
        <f aca="false">IF($A1582="","",원본명단!$A1581)</f>
        <v/>
      </c>
      <c r="C1582" s="12" t="str">
        <f aca="false">IF($A1582="","",원본명단!$B1581)</f>
        <v/>
      </c>
      <c r="D1582" s="12" t="str">
        <f aca="false">IF($A1582="","",원본명단!$D1581)</f>
        <v/>
      </c>
      <c r="E1582" s="11" t="str">
        <f aca="false">IF($A1582="","",IF(원본명단!$H1581="",0,COUNTIF(원본명단!$H$3:$H$6002,원본명단!$H1581)))</f>
        <v/>
      </c>
      <c r="F1582" s="11" t="str">
        <f aca="false">IF($A1582="","",IF(원본명단!$I1581="",0,COUNTIF(원본명단!$I$3:$I$6002,원본명단!$I1581)))</f>
        <v/>
      </c>
      <c r="G1582" s="11" t="str">
        <f aca="false">IF($A1582="","",IF(원본명단!$K1581="",0,COUNTIF(원본명단!$K$3:$K$6002,원본명단!$K1581)))</f>
        <v/>
      </c>
      <c r="H1582" s="11" t="str">
        <f aca="false">IF($A1582="","",IF(MAX($E1582,$F1582,$G1582)&gt;1,"중복","-"))</f>
        <v/>
      </c>
      <c r="I1582" s="11" t="str">
        <f aca="false">IF($A1582="","",IF($H1582="-","-",IF(AND(IF(원본명단!$H1581="",TRUE(),COUNTIF(원본명단!$H$3:$H1581,원본명단!$H1581)=1),IF(원본명단!$I1581="",TRUE(),COUNTIF(원본명단!$I$3:$I1581,원본명단!$I1581)=1),IF(원본명단!$K1581="",TRUE(),COUNTIF(원본명단!$K$3:$K1581,원본명단!$K1581)=1)),"첫 건","중복 건")))</f>
        <v/>
      </c>
      <c r="J1582" s="11" t="str">
        <f aca="false">IF($A1582="","",IF($H1582="-","유지",IF($I1582="첫 건","유지","확인 필요")))</f>
        <v/>
      </c>
    </row>
    <row r="1583" customFormat="false" ht="15" hidden="false" customHeight="true" outlineLevel="0" collapsed="false">
      <c r="A1583" s="11" t="str">
        <f aca="false">IF(원본명단!$A1582="","",1580)</f>
        <v/>
      </c>
      <c r="B1583" s="12" t="str">
        <f aca="false">IF($A1583="","",원본명단!$A1582)</f>
        <v/>
      </c>
      <c r="C1583" s="12" t="str">
        <f aca="false">IF($A1583="","",원본명단!$B1582)</f>
        <v/>
      </c>
      <c r="D1583" s="12" t="str">
        <f aca="false">IF($A1583="","",원본명단!$D1582)</f>
        <v/>
      </c>
      <c r="E1583" s="11" t="str">
        <f aca="false">IF($A1583="","",IF(원본명단!$H1582="",0,COUNTIF(원본명단!$H$3:$H$6002,원본명단!$H1582)))</f>
        <v/>
      </c>
      <c r="F1583" s="11" t="str">
        <f aca="false">IF($A1583="","",IF(원본명단!$I1582="",0,COUNTIF(원본명단!$I$3:$I$6002,원본명단!$I1582)))</f>
        <v/>
      </c>
      <c r="G1583" s="11" t="str">
        <f aca="false">IF($A1583="","",IF(원본명단!$K1582="",0,COUNTIF(원본명단!$K$3:$K$6002,원본명단!$K1582)))</f>
        <v/>
      </c>
      <c r="H1583" s="11" t="str">
        <f aca="false">IF($A1583="","",IF(MAX($E1583,$F1583,$G1583)&gt;1,"중복","-"))</f>
        <v/>
      </c>
      <c r="I1583" s="11" t="str">
        <f aca="false">IF($A1583="","",IF($H1583="-","-",IF(AND(IF(원본명단!$H1582="",TRUE(),COUNTIF(원본명단!$H$3:$H1582,원본명단!$H1582)=1),IF(원본명단!$I1582="",TRUE(),COUNTIF(원본명단!$I$3:$I1582,원본명단!$I1582)=1),IF(원본명단!$K1582="",TRUE(),COUNTIF(원본명단!$K$3:$K1582,원본명단!$K1582)=1)),"첫 건","중복 건")))</f>
        <v/>
      </c>
      <c r="J1583" s="11" t="str">
        <f aca="false">IF($A1583="","",IF($H1583="-","유지",IF($I1583="첫 건","유지","확인 필요")))</f>
        <v/>
      </c>
    </row>
    <row r="1584" customFormat="false" ht="15" hidden="false" customHeight="true" outlineLevel="0" collapsed="false">
      <c r="A1584" s="11" t="str">
        <f aca="false">IF(원본명단!$A1583="","",1581)</f>
        <v/>
      </c>
      <c r="B1584" s="12" t="str">
        <f aca="false">IF($A1584="","",원본명단!$A1583)</f>
        <v/>
      </c>
      <c r="C1584" s="12" t="str">
        <f aca="false">IF($A1584="","",원본명단!$B1583)</f>
        <v/>
      </c>
      <c r="D1584" s="12" t="str">
        <f aca="false">IF($A1584="","",원본명단!$D1583)</f>
        <v/>
      </c>
      <c r="E1584" s="11" t="str">
        <f aca="false">IF($A1584="","",IF(원본명단!$H1583="",0,COUNTIF(원본명단!$H$3:$H$6002,원본명단!$H1583)))</f>
        <v/>
      </c>
      <c r="F1584" s="11" t="str">
        <f aca="false">IF($A1584="","",IF(원본명단!$I1583="",0,COUNTIF(원본명단!$I$3:$I$6002,원본명단!$I1583)))</f>
        <v/>
      </c>
      <c r="G1584" s="11" t="str">
        <f aca="false">IF($A1584="","",IF(원본명단!$K1583="",0,COUNTIF(원본명단!$K$3:$K$6002,원본명단!$K1583)))</f>
        <v/>
      </c>
      <c r="H1584" s="11" t="str">
        <f aca="false">IF($A1584="","",IF(MAX($E1584,$F1584,$G1584)&gt;1,"중복","-"))</f>
        <v/>
      </c>
      <c r="I1584" s="11" t="str">
        <f aca="false">IF($A1584="","",IF($H1584="-","-",IF(AND(IF(원본명단!$H1583="",TRUE(),COUNTIF(원본명단!$H$3:$H1583,원본명단!$H1583)=1),IF(원본명단!$I1583="",TRUE(),COUNTIF(원본명단!$I$3:$I1583,원본명단!$I1583)=1),IF(원본명단!$K1583="",TRUE(),COUNTIF(원본명단!$K$3:$K1583,원본명단!$K1583)=1)),"첫 건","중복 건")))</f>
        <v/>
      </c>
      <c r="J1584" s="11" t="str">
        <f aca="false">IF($A1584="","",IF($H1584="-","유지",IF($I1584="첫 건","유지","확인 필요")))</f>
        <v/>
      </c>
    </row>
    <row r="1585" customFormat="false" ht="15" hidden="false" customHeight="true" outlineLevel="0" collapsed="false">
      <c r="A1585" s="11" t="str">
        <f aca="false">IF(원본명단!$A1584="","",1582)</f>
        <v/>
      </c>
      <c r="B1585" s="12" t="str">
        <f aca="false">IF($A1585="","",원본명단!$A1584)</f>
        <v/>
      </c>
      <c r="C1585" s="12" t="str">
        <f aca="false">IF($A1585="","",원본명단!$B1584)</f>
        <v/>
      </c>
      <c r="D1585" s="12" t="str">
        <f aca="false">IF($A1585="","",원본명단!$D1584)</f>
        <v/>
      </c>
      <c r="E1585" s="11" t="str">
        <f aca="false">IF($A1585="","",IF(원본명단!$H1584="",0,COUNTIF(원본명단!$H$3:$H$6002,원본명단!$H1584)))</f>
        <v/>
      </c>
      <c r="F1585" s="11" t="str">
        <f aca="false">IF($A1585="","",IF(원본명단!$I1584="",0,COUNTIF(원본명단!$I$3:$I$6002,원본명단!$I1584)))</f>
        <v/>
      </c>
      <c r="G1585" s="11" t="str">
        <f aca="false">IF($A1585="","",IF(원본명단!$K1584="",0,COUNTIF(원본명단!$K$3:$K$6002,원본명단!$K1584)))</f>
        <v/>
      </c>
      <c r="H1585" s="11" t="str">
        <f aca="false">IF($A1585="","",IF(MAX($E1585,$F1585,$G1585)&gt;1,"중복","-"))</f>
        <v/>
      </c>
      <c r="I1585" s="11" t="str">
        <f aca="false">IF($A1585="","",IF($H1585="-","-",IF(AND(IF(원본명단!$H1584="",TRUE(),COUNTIF(원본명단!$H$3:$H1584,원본명단!$H1584)=1),IF(원본명단!$I1584="",TRUE(),COUNTIF(원본명단!$I$3:$I1584,원본명단!$I1584)=1),IF(원본명단!$K1584="",TRUE(),COUNTIF(원본명단!$K$3:$K1584,원본명단!$K1584)=1)),"첫 건","중복 건")))</f>
        <v/>
      </c>
      <c r="J1585" s="11" t="str">
        <f aca="false">IF($A1585="","",IF($H1585="-","유지",IF($I1585="첫 건","유지","확인 필요")))</f>
        <v/>
      </c>
    </row>
    <row r="1586" customFormat="false" ht="15" hidden="false" customHeight="true" outlineLevel="0" collapsed="false">
      <c r="A1586" s="11" t="str">
        <f aca="false">IF(원본명단!$A1585="","",1583)</f>
        <v/>
      </c>
      <c r="B1586" s="12" t="str">
        <f aca="false">IF($A1586="","",원본명단!$A1585)</f>
        <v/>
      </c>
      <c r="C1586" s="12" t="str">
        <f aca="false">IF($A1586="","",원본명단!$B1585)</f>
        <v/>
      </c>
      <c r="D1586" s="12" t="str">
        <f aca="false">IF($A1586="","",원본명단!$D1585)</f>
        <v/>
      </c>
      <c r="E1586" s="11" t="str">
        <f aca="false">IF($A1586="","",IF(원본명단!$H1585="",0,COUNTIF(원본명단!$H$3:$H$6002,원본명단!$H1585)))</f>
        <v/>
      </c>
      <c r="F1586" s="11" t="str">
        <f aca="false">IF($A1586="","",IF(원본명단!$I1585="",0,COUNTIF(원본명단!$I$3:$I$6002,원본명단!$I1585)))</f>
        <v/>
      </c>
      <c r="G1586" s="11" t="str">
        <f aca="false">IF($A1586="","",IF(원본명단!$K1585="",0,COUNTIF(원본명단!$K$3:$K$6002,원본명단!$K1585)))</f>
        <v/>
      </c>
      <c r="H1586" s="11" t="str">
        <f aca="false">IF($A1586="","",IF(MAX($E1586,$F1586,$G1586)&gt;1,"중복","-"))</f>
        <v/>
      </c>
      <c r="I1586" s="11" t="str">
        <f aca="false">IF($A1586="","",IF($H1586="-","-",IF(AND(IF(원본명단!$H1585="",TRUE(),COUNTIF(원본명단!$H$3:$H1585,원본명단!$H1585)=1),IF(원본명단!$I1585="",TRUE(),COUNTIF(원본명단!$I$3:$I1585,원본명단!$I1585)=1),IF(원본명단!$K1585="",TRUE(),COUNTIF(원본명단!$K$3:$K1585,원본명단!$K1585)=1)),"첫 건","중복 건")))</f>
        <v/>
      </c>
      <c r="J1586" s="11" t="str">
        <f aca="false">IF($A1586="","",IF($H1586="-","유지",IF($I1586="첫 건","유지","확인 필요")))</f>
        <v/>
      </c>
    </row>
    <row r="1587" customFormat="false" ht="15" hidden="false" customHeight="true" outlineLevel="0" collapsed="false">
      <c r="A1587" s="11" t="str">
        <f aca="false">IF(원본명단!$A1586="","",1584)</f>
        <v/>
      </c>
      <c r="B1587" s="12" t="str">
        <f aca="false">IF($A1587="","",원본명단!$A1586)</f>
        <v/>
      </c>
      <c r="C1587" s="12" t="str">
        <f aca="false">IF($A1587="","",원본명단!$B1586)</f>
        <v/>
      </c>
      <c r="D1587" s="12" t="str">
        <f aca="false">IF($A1587="","",원본명단!$D1586)</f>
        <v/>
      </c>
      <c r="E1587" s="11" t="str">
        <f aca="false">IF($A1587="","",IF(원본명단!$H1586="",0,COUNTIF(원본명단!$H$3:$H$6002,원본명단!$H1586)))</f>
        <v/>
      </c>
      <c r="F1587" s="11" t="str">
        <f aca="false">IF($A1587="","",IF(원본명단!$I1586="",0,COUNTIF(원본명단!$I$3:$I$6002,원본명단!$I1586)))</f>
        <v/>
      </c>
      <c r="G1587" s="11" t="str">
        <f aca="false">IF($A1587="","",IF(원본명단!$K1586="",0,COUNTIF(원본명단!$K$3:$K$6002,원본명단!$K1586)))</f>
        <v/>
      </c>
      <c r="H1587" s="11" t="str">
        <f aca="false">IF($A1587="","",IF(MAX($E1587,$F1587,$G1587)&gt;1,"중복","-"))</f>
        <v/>
      </c>
      <c r="I1587" s="11" t="str">
        <f aca="false">IF($A1587="","",IF($H1587="-","-",IF(AND(IF(원본명단!$H1586="",TRUE(),COUNTIF(원본명단!$H$3:$H1586,원본명단!$H1586)=1),IF(원본명단!$I1586="",TRUE(),COUNTIF(원본명단!$I$3:$I1586,원본명단!$I1586)=1),IF(원본명단!$K1586="",TRUE(),COUNTIF(원본명단!$K$3:$K1586,원본명단!$K1586)=1)),"첫 건","중복 건")))</f>
        <v/>
      </c>
      <c r="J1587" s="11" t="str">
        <f aca="false">IF($A1587="","",IF($H1587="-","유지",IF($I1587="첫 건","유지","확인 필요")))</f>
        <v/>
      </c>
    </row>
    <row r="1588" customFormat="false" ht="15" hidden="false" customHeight="true" outlineLevel="0" collapsed="false">
      <c r="A1588" s="11" t="str">
        <f aca="false">IF(원본명단!$A1587="","",1585)</f>
        <v/>
      </c>
      <c r="B1588" s="12" t="str">
        <f aca="false">IF($A1588="","",원본명단!$A1587)</f>
        <v/>
      </c>
      <c r="C1588" s="12" t="str">
        <f aca="false">IF($A1588="","",원본명단!$B1587)</f>
        <v/>
      </c>
      <c r="D1588" s="12" t="str">
        <f aca="false">IF($A1588="","",원본명단!$D1587)</f>
        <v/>
      </c>
      <c r="E1588" s="11" t="str">
        <f aca="false">IF($A1588="","",IF(원본명단!$H1587="",0,COUNTIF(원본명단!$H$3:$H$6002,원본명단!$H1587)))</f>
        <v/>
      </c>
      <c r="F1588" s="11" t="str">
        <f aca="false">IF($A1588="","",IF(원본명단!$I1587="",0,COUNTIF(원본명단!$I$3:$I$6002,원본명단!$I1587)))</f>
        <v/>
      </c>
      <c r="G1588" s="11" t="str">
        <f aca="false">IF($A1588="","",IF(원본명단!$K1587="",0,COUNTIF(원본명단!$K$3:$K$6002,원본명단!$K1587)))</f>
        <v/>
      </c>
      <c r="H1588" s="11" t="str">
        <f aca="false">IF($A1588="","",IF(MAX($E1588,$F1588,$G1588)&gt;1,"중복","-"))</f>
        <v/>
      </c>
      <c r="I1588" s="11" t="str">
        <f aca="false">IF($A1588="","",IF($H1588="-","-",IF(AND(IF(원본명단!$H1587="",TRUE(),COUNTIF(원본명단!$H$3:$H1587,원본명단!$H1587)=1),IF(원본명단!$I1587="",TRUE(),COUNTIF(원본명단!$I$3:$I1587,원본명단!$I1587)=1),IF(원본명단!$K1587="",TRUE(),COUNTIF(원본명단!$K$3:$K1587,원본명단!$K1587)=1)),"첫 건","중복 건")))</f>
        <v/>
      </c>
      <c r="J1588" s="11" t="str">
        <f aca="false">IF($A1588="","",IF($H1588="-","유지",IF($I1588="첫 건","유지","확인 필요")))</f>
        <v/>
      </c>
    </row>
    <row r="1589" customFormat="false" ht="15" hidden="false" customHeight="true" outlineLevel="0" collapsed="false">
      <c r="A1589" s="11" t="str">
        <f aca="false">IF(원본명단!$A1588="","",1586)</f>
        <v/>
      </c>
      <c r="B1589" s="12" t="str">
        <f aca="false">IF($A1589="","",원본명단!$A1588)</f>
        <v/>
      </c>
      <c r="C1589" s="12" t="str">
        <f aca="false">IF($A1589="","",원본명단!$B1588)</f>
        <v/>
      </c>
      <c r="D1589" s="12" t="str">
        <f aca="false">IF($A1589="","",원본명단!$D1588)</f>
        <v/>
      </c>
      <c r="E1589" s="11" t="str">
        <f aca="false">IF($A1589="","",IF(원본명단!$H1588="",0,COUNTIF(원본명단!$H$3:$H$6002,원본명단!$H1588)))</f>
        <v/>
      </c>
      <c r="F1589" s="11" t="str">
        <f aca="false">IF($A1589="","",IF(원본명단!$I1588="",0,COUNTIF(원본명단!$I$3:$I$6002,원본명단!$I1588)))</f>
        <v/>
      </c>
      <c r="G1589" s="11" t="str">
        <f aca="false">IF($A1589="","",IF(원본명단!$K1588="",0,COUNTIF(원본명단!$K$3:$K$6002,원본명단!$K1588)))</f>
        <v/>
      </c>
      <c r="H1589" s="11" t="str">
        <f aca="false">IF($A1589="","",IF(MAX($E1589,$F1589,$G1589)&gt;1,"중복","-"))</f>
        <v/>
      </c>
      <c r="I1589" s="11" t="str">
        <f aca="false">IF($A1589="","",IF($H1589="-","-",IF(AND(IF(원본명단!$H1588="",TRUE(),COUNTIF(원본명단!$H$3:$H1588,원본명단!$H1588)=1),IF(원본명단!$I1588="",TRUE(),COUNTIF(원본명단!$I$3:$I1588,원본명단!$I1588)=1),IF(원본명단!$K1588="",TRUE(),COUNTIF(원본명단!$K$3:$K1588,원본명단!$K1588)=1)),"첫 건","중복 건")))</f>
        <v/>
      </c>
      <c r="J1589" s="11" t="str">
        <f aca="false">IF($A1589="","",IF($H1589="-","유지",IF($I1589="첫 건","유지","확인 필요")))</f>
        <v/>
      </c>
    </row>
    <row r="1590" customFormat="false" ht="15" hidden="false" customHeight="true" outlineLevel="0" collapsed="false">
      <c r="A1590" s="11" t="str">
        <f aca="false">IF(원본명단!$A1589="","",1587)</f>
        <v/>
      </c>
      <c r="B1590" s="12" t="str">
        <f aca="false">IF($A1590="","",원본명단!$A1589)</f>
        <v/>
      </c>
      <c r="C1590" s="12" t="str">
        <f aca="false">IF($A1590="","",원본명단!$B1589)</f>
        <v/>
      </c>
      <c r="D1590" s="12" t="str">
        <f aca="false">IF($A1590="","",원본명단!$D1589)</f>
        <v/>
      </c>
      <c r="E1590" s="11" t="str">
        <f aca="false">IF($A1590="","",IF(원본명단!$H1589="",0,COUNTIF(원본명단!$H$3:$H$6002,원본명단!$H1589)))</f>
        <v/>
      </c>
      <c r="F1590" s="11" t="str">
        <f aca="false">IF($A1590="","",IF(원본명단!$I1589="",0,COUNTIF(원본명단!$I$3:$I$6002,원본명단!$I1589)))</f>
        <v/>
      </c>
      <c r="G1590" s="11" t="str">
        <f aca="false">IF($A1590="","",IF(원본명단!$K1589="",0,COUNTIF(원본명단!$K$3:$K$6002,원본명단!$K1589)))</f>
        <v/>
      </c>
      <c r="H1590" s="11" t="str">
        <f aca="false">IF($A1590="","",IF(MAX($E1590,$F1590,$G1590)&gt;1,"중복","-"))</f>
        <v/>
      </c>
      <c r="I1590" s="11" t="str">
        <f aca="false">IF($A1590="","",IF($H1590="-","-",IF(AND(IF(원본명단!$H1589="",TRUE(),COUNTIF(원본명단!$H$3:$H1589,원본명단!$H1589)=1),IF(원본명단!$I1589="",TRUE(),COUNTIF(원본명단!$I$3:$I1589,원본명단!$I1589)=1),IF(원본명단!$K1589="",TRUE(),COUNTIF(원본명단!$K$3:$K1589,원본명단!$K1589)=1)),"첫 건","중복 건")))</f>
        <v/>
      </c>
      <c r="J1590" s="11" t="str">
        <f aca="false">IF($A1590="","",IF($H1590="-","유지",IF($I1590="첫 건","유지","확인 필요")))</f>
        <v/>
      </c>
    </row>
    <row r="1591" customFormat="false" ht="15" hidden="false" customHeight="true" outlineLevel="0" collapsed="false">
      <c r="A1591" s="11" t="str">
        <f aca="false">IF(원본명단!$A1590="","",1588)</f>
        <v/>
      </c>
      <c r="B1591" s="12" t="str">
        <f aca="false">IF($A1591="","",원본명단!$A1590)</f>
        <v/>
      </c>
      <c r="C1591" s="12" t="str">
        <f aca="false">IF($A1591="","",원본명단!$B1590)</f>
        <v/>
      </c>
      <c r="D1591" s="12" t="str">
        <f aca="false">IF($A1591="","",원본명단!$D1590)</f>
        <v/>
      </c>
      <c r="E1591" s="11" t="str">
        <f aca="false">IF($A1591="","",IF(원본명단!$H1590="",0,COUNTIF(원본명단!$H$3:$H$6002,원본명단!$H1590)))</f>
        <v/>
      </c>
      <c r="F1591" s="11" t="str">
        <f aca="false">IF($A1591="","",IF(원본명단!$I1590="",0,COUNTIF(원본명단!$I$3:$I$6002,원본명단!$I1590)))</f>
        <v/>
      </c>
      <c r="G1591" s="11" t="str">
        <f aca="false">IF($A1591="","",IF(원본명단!$K1590="",0,COUNTIF(원본명단!$K$3:$K$6002,원본명단!$K1590)))</f>
        <v/>
      </c>
      <c r="H1591" s="11" t="str">
        <f aca="false">IF($A1591="","",IF(MAX($E1591,$F1591,$G1591)&gt;1,"중복","-"))</f>
        <v/>
      </c>
      <c r="I1591" s="11" t="str">
        <f aca="false">IF($A1591="","",IF($H1591="-","-",IF(AND(IF(원본명단!$H1590="",TRUE(),COUNTIF(원본명단!$H$3:$H1590,원본명단!$H1590)=1),IF(원본명단!$I1590="",TRUE(),COUNTIF(원본명단!$I$3:$I1590,원본명단!$I1590)=1),IF(원본명단!$K1590="",TRUE(),COUNTIF(원본명단!$K$3:$K1590,원본명단!$K1590)=1)),"첫 건","중복 건")))</f>
        <v/>
      </c>
      <c r="J1591" s="11" t="str">
        <f aca="false">IF($A1591="","",IF($H1591="-","유지",IF($I1591="첫 건","유지","확인 필요")))</f>
        <v/>
      </c>
    </row>
    <row r="1592" customFormat="false" ht="15" hidden="false" customHeight="true" outlineLevel="0" collapsed="false">
      <c r="A1592" s="11" t="str">
        <f aca="false">IF(원본명단!$A1591="","",1589)</f>
        <v/>
      </c>
      <c r="B1592" s="12" t="str">
        <f aca="false">IF($A1592="","",원본명단!$A1591)</f>
        <v/>
      </c>
      <c r="C1592" s="12" t="str">
        <f aca="false">IF($A1592="","",원본명단!$B1591)</f>
        <v/>
      </c>
      <c r="D1592" s="12" t="str">
        <f aca="false">IF($A1592="","",원본명단!$D1591)</f>
        <v/>
      </c>
      <c r="E1592" s="11" t="str">
        <f aca="false">IF($A1592="","",IF(원본명단!$H1591="",0,COUNTIF(원본명단!$H$3:$H$6002,원본명단!$H1591)))</f>
        <v/>
      </c>
      <c r="F1592" s="11" t="str">
        <f aca="false">IF($A1592="","",IF(원본명단!$I1591="",0,COUNTIF(원본명단!$I$3:$I$6002,원본명단!$I1591)))</f>
        <v/>
      </c>
      <c r="G1592" s="11" t="str">
        <f aca="false">IF($A1592="","",IF(원본명단!$K1591="",0,COUNTIF(원본명단!$K$3:$K$6002,원본명단!$K1591)))</f>
        <v/>
      </c>
      <c r="H1592" s="11" t="str">
        <f aca="false">IF($A1592="","",IF(MAX($E1592,$F1592,$G1592)&gt;1,"중복","-"))</f>
        <v/>
      </c>
      <c r="I1592" s="11" t="str">
        <f aca="false">IF($A1592="","",IF($H1592="-","-",IF(AND(IF(원본명단!$H1591="",TRUE(),COUNTIF(원본명단!$H$3:$H1591,원본명단!$H1591)=1),IF(원본명단!$I1591="",TRUE(),COUNTIF(원본명단!$I$3:$I1591,원본명단!$I1591)=1),IF(원본명단!$K1591="",TRUE(),COUNTIF(원본명단!$K$3:$K1591,원본명단!$K1591)=1)),"첫 건","중복 건")))</f>
        <v/>
      </c>
      <c r="J1592" s="11" t="str">
        <f aca="false">IF($A1592="","",IF($H1592="-","유지",IF($I1592="첫 건","유지","확인 필요")))</f>
        <v/>
      </c>
    </row>
    <row r="1593" customFormat="false" ht="15" hidden="false" customHeight="true" outlineLevel="0" collapsed="false">
      <c r="A1593" s="11" t="str">
        <f aca="false">IF(원본명단!$A1592="","",1590)</f>
        <v/>
      </c>
      <c r="B1593" s="12" t="str">
        <f aca="false">IF($A1593="","",원본명단!$A1592)</f>
        <v/>
      </c>
      <c r="C1593" s="12" t="str">
        <f aca="false">IF($A1593="","",원본명단!$B1592)</f>
        <v/>
      </c>
      <c r="D1593" s="12" t="str">
        <f aca="false">IF($A1593="","",원본명단!$D1592)</f>
        <v/>
      </c>
      <c r="E1593" s="11" t="str">
        <f aca="false">IF($A1593="","",IF(원본명단!$H1592="",0,COUNTIF(원본명단!$H$3:$H$6002,원본명단!$H1592)))</f>
        <v/>
      </c>
      <c r="F1593" s="11" t="str">
        <f aca="false">IF($A1593="","",IF(원본명단!$I1592="",0,COUNTIF(원본명단!$I$3:$I$6002,원본명단!$I1592)))</f>
        <v/>
      </c>
      <c r="G1593" s="11" t="str">
        <f aca="false">IF($A1593="","",IF(원본명단!$K1592="",0,COUNTIF(원본명단!$K$3:$K$6002,원본명단!$K1592)))</f>
        <v/>
      </c>
      <c r="H1593" s="11" t="str">
        <f aca="false">IF($A1593="","",IF(MAX($E1593,$F1593,$G1593)&gt;1,"중복","-"))</f>
        <v/>
      </c>
      <c r="I1593" s="11" t="str">
        <f aca="false">IF($A1593="","",IF($H1593="-","-",IF(AND(IF(원본명단!$H1592="",TRUE(),COUNTIF(원본명단!$H$3:$H1592,원본명단!$H1592)=1),IF(원본명단!$I1592="",TRUE(),COUNTIF(원본명단!$I$3:$I1592,원본명단!$I1592)=1),IF(원본명단!$K1592="",TRUE(),COUNTIF(원본명단!$K$3:$K1592,원본명단!$K1592)=1)),"첫 건","중복 건")))</f>
        <v/>
      </c>
      <c r="J1593" s="11" t="str">
        <f aca="false">IF($A1593="","",IF($H1593="-","유지",IF($I1593="첫 건","유지","확인 필요")))</f>
        <v/>
      </c>
    </row>
    <row r="1594" customFormat="false" ht="15" hidden="false" customHeight="true" outlineLevel="0" collapsed="false">
      <c r="A1594" s="11" t="str">
        <f aca="false">IF(원본명단!$A1593="","",1591)</f>
        <v/>
      </c>
      <c r="B1594" s="12" t="str">
        <f aca="false">IF($A1594="","",원본명단!$A1593)</f>
        <v/>
      </c>
      <c r="C1594" s="12" t="str">
        <f aca="false">IF($A1594="","",원본명단!$B1593)</f>
        <v/>
      </c>
      <c r="D1594" s="12" t="str">
        <f aca="false">IF($A1594="","",원본명단!$D1593)</f>
        <v/>
      </c>
      <c r="E1594" s="11" t="str">
        <f aca="false">IF($A1594="","",IF(원본명단!$H1593="",0,COUNTIF(원본명단!$H$3:$H$6002,원본명단!$H1593)))</f>
        <v/>
      </c>
      <c r="F1594" s="11" t="str">
        <f aca="false">IF($A1594="","",IF(원본명단!$I1593="",0,COUNTIF(원본명단!$I$3:$I$6002,원본명단!$I1593)))</f>
        <v/>
      </c>
      <c r="G1594" s="11" t="str">
        <f aca="false">IF($A1594="","",IF(원본명단!$K1593="",0,COUNTIF(원본명단!$K$3:$K$6002,원본명단!$K1593)))</f>
        <v/>
      </c>
      <c r="H1594" s="11" t="str">
        <f aca="false">IF($A1594="","",IF(MAX($E1594,$F1594,$G1594)&gt;1,"중복","-"))</f>
        <v/>
      </c>
      <c r="I1594" s="11" t="str">
        <f aca="false">IF($A1594="","",IF($H1594="-","-",IF(AND(IF(원본명단!$H1593="",TRUE(),COUNTIF(원본명단!$H$3:$H1593,원본명단!$H1593)=1),IF(원본명단!$I1593="",TRUE(),COUNTIF(원본명단!$I$3:$I1593,원본명단!$I1593)=1),IF(원본명단!$K1593="",TRUE(),COUNTIF(원본명단!$K$3:$K1593,원본명단!$K1593)=1)),"첫 건","중복 건")))</f>
        <v/>
      </c>
      <c r="J1594" s="11" t="str">
        <f aca="false">IF($A1594="","",IF($H1594="-","유지",IF($I1594="첫 건","유지","확인 필요")))</f>
        <v/>
      </c>
    </row>
    <row r="1595" customFormat="false" ht="15" hidden="false" customHeight="true" outlineLevel="0" collapsed="false">
      <c r="A1595" s="11" t="str">
        <f aca="false">IF(원본명단!$A1594="","",1592)</f>
        <v/>
      </c>
      <c r="B1595" s="12" t="str">
        <f aca="false">IF($A1595="","",원본명단!$A1594)</f>
        <v/>
      </c>
      <c r="C1595" s="12" t="str">
        <f aca="false">IF($A1595="","",원본명단!$B1594)</f>
        <v/>
      </c>
      <c r="D1595" s="12" t="str">
        <f aca="false">IF($A1595="","",원본명단!$D1594)</f>
        <v/>
      </c>
      <c r="E1595" s="11" t="str">
        <f aca="false">IF($A1595="","",IF(원본명단!$H1594="",0,COUNTIF(원본명단!$H$3:$H$6002,원본명단!$H1594)))</f>
        <v/>
      </c>
      <c r="F1595" s="11" t="str">
        <f aca="false">IF($A1595="","",IF(원본명단!$I1594="",0,COUNTIF(원본명단!$I$3:$I$6002,원본명단!$I1594)))</f>
        <v/>
      </c>
      <c r="G1595" s="11" t="str">
        <f aca="false">IF($A1595="","",IF(원본명단!$K1594="",0,COUNTIF(원본명단!$K$3:$K$6002,원본명단!$K1594)))</f>
        <v/>
      </c>
      <c r="H1595" s="11" t="str">
        <f aca="false">IF($A1595="","",IF(MAX($E1595,$F1595,$G1595)&gt;1,"중복","-"))</f>
        <v/>
      </c>
      <c r="I1595" s="11" t="str">
        <f aca="false">IF($A1595="","",IF($H1595="-","-",IF(AND(IF(원본명단!$H1594="",TRUE(),COUNTIF(원본명단!$H$3:$H1594,원본명단!$H1594)=1),IF(원본명단!$I1594="",TRUE(),COUNTIF(원본명단!$I$3:$I1594,원본명단!$I1594)=1),IF(원본명단!$K1594="",TRUE(),COUNTIF(원본명단!$K$3:$K1594,원본명단!$K1594)=1)),"첫 건","중복 건")))</f>
        <v/>
      </c>
      <c r="J1595" s="11" t="str">
        <f aca="false">IF($A1595="","",IF($H1595="-","유지",IF($I1595="첫 건","유지","확인 필요")))</f>
        <v/>
      </c>
    </row>
    <row r="1596" customFormat="false" ht="15" hidden="false" customHeight="true" outlineLevel="0" collapsed="false">
      <c r="A1596" s="11" t="str">
        <f aca="false">IF(원본명단!$A1595="","",1593)</f>
        <v/>
      </c>
      <c r="B1596" s="12" t="str">
        <f aca="false">IF($A1596="","",원본명단!$A1595)</f>
        <v/>
      </c>
      <c r="C1596" s="12" t="str">
        <f aca="false">IF($A1596="","",원본명단!$B1595)</f>
        <v/>
      </c>
      <c r="D1596" s="12" t="str">
        <f aca="false">IF($A1596="","",원본명단!$D1595)</f>
        <v/>
      </c>
      <c r="E1596" s="11" t="str">
        <f aca="false">IF($A1596="","",IF(원본명단!$H1595="",0,COUNTIF(원본명단!$H$3:$H$6002,원본명단!$H1595)))</f>
        <v/>
      </c>
      <c r="F1596" s="11" t="str">
        <f aca="false">IF($A1596="","",IF(원본명단!$I1595="",0,COUNTIF(원본명단!$I$3:$I$6002,원본명단!$I1595)))</f>
        <v/>
      </c>
      <c r="G1596" s="11" t="str">
        <f aca="false">IF($A1596="","",IF(원본명단!$K1595="",0,COUNTIF(원본명단!$K$3:$K$6002,원본명단!$K1595)))</f>
        <v/>
      </c>
      <c r="H1596" s="11" t="str">
        <f aca="false">IF($A1596="","",IF(MAX($E1596,$F1596,$G1596)&gt;1,"중복","-"))</f>
        <v/>
      </c>
      <c r="I1596" s="11" t="str">
        <f aca="false">IF($A1596="","",IF($H1596="-","-",IF(AND(IF(원본명단!$H1595="",TRUE(),COUNTIF(원본명단!$H$3:$H1595,원본명단!$H1595)=1),IF(원본명단!$I1595="",TRUE(),COUNTIF(원본명단!$I$3:$I1595,원본명단!$I1595)=1),IF(원본명단!$K1595="",TRUE(),COUNTIF(원본명단!$K$3:$K1595,원본명단!$K1595)=1)),"첫 건","중복 건")))</f>
        <v/>
      </c>
      <c r="J1596" s="11" t="str">
        <f aca="false">IF($A1596="","",IF($H1596="-","유지",IF($I1596="첫 건","유지","확인 필요")))</f>
        <v/>
      </c>
    </row>
    <row r="1597" customFormat="false" ht="15" hidden="false" customHeight="true" outlineLevel="0" collapsed="false">
      <c r="A1597" s="11" t="str">
        <f aca="false">IF(원본명단!$A1596="","",1594)</f>
        <v/>
      </c>
      <c r="B1597" s="12" t="str">
        <f aca="false">IF($A1597="","",원본명단!$A1596)</f>
        <v/>
      </c>
      <c r="C1597" s="12" t="str">
        <f aca="false">IF($A1597="","",원본명단!$B1596)</f>
        <v/>
      </c>
      <c r="D1597" s="12" t="str">
        <f aca="false">IF($A1597="","",원본명단!$D1596)</f>
        <v/>
      </c>
      <c r="E1597" s="11" t="str">
        <f aca="false">IF($A1597="","",IF(원본명단!$H1596="",0,COUNTIF(원본명단!$H$3:$H$6002,원본명단!$H1596)))</f>
        <v/>
      </c>
      <c r="F1597" s="11" t="str">
        <f aca="false">IF($A1597="","",IF(원본명단!$I1596="",0,COUNTIF(원본명단!$I$3:$I$6002,원본명단!$I1596)))</f>
        <v/>
      </c>
      <c r="G1597" s="11" t="str">
        <f aca="false">IF($A1597="","",IF(원본명단!$K1596="",0,COUNTIF(원본명단!$K$3:$K$6002,원본명단!$K1596)))</f>
        <v/>
      </c>
      <c r="H1597" s="11" t="str">
        <f aca="false">IF($A1597="","",IF(MAX($E1597,$F1597,$G1597)&gt;1,"중복","-"))</f>
        <v/>
      </c>
      <c r="I1597" s="11" t="str">
        <f aca="false">IF($A1597="","",IF($H1597="-","-",IF(AND(IF(원본명단!$H1596="",TRUE(),COUNTIF(원본명단!$H$3:$H1596,원본명단!$H1596)=1),IF(원본명단!$I1596="",TRUE(),COUNTIF(원본명단!$I$3:$I1596,원본명단!$I1596)=1),IF(원본명단!$K1596="",TRUE(),COUNTIF(원본명단!$K$3:$K1596,원본명단!$K1596)=1)),"첫 건","중복 건")))</f>
        <v/>
      </c>
      <c r="J1597" s="11" t="str">
        <f aca="false">IF($A1597="","",IF($H1597="-","유지",IF($I1597="첫 건","유지","확인 필요")))</f>
        <v/>
      </c>
    </row>
    <row r="1598" customFormat="false" ht="15" hidden="false" customHeight="true" outlineLevel="0" collapsed="false">
      <c r="A1598" s="11" t="str">
        <f aca="false">IF(원본명단!$A1597="","",1595)</f>
        <v/>
      </c>
      <c r="B1598" s="12" t="str">
        <f aca="false">IF($A1598="","",원본명단!$A1597)</f>
        <v/>
      </c>
      <c r="C1598" s="12" t="str">
        <f aca="false">IF($A1598="","",원본명단!$B1597)</f>
        <v/>
      </c>
      <c r="D1598" s="12" t="str">
        <f aca="false">IF($A1598="","",원본명단!$D1597)</f>
        <v/>
      </c>
      <c r="E1598" s="11" t="str">
        <f aca="false">IF($A1598="","",IF(원본명단!$H1597="",0,COUNTIF(원본명단!$H$3:$H$6002,원본명단!$H1597)))</f>
        <v/>
      </c>
      <c r="F1598" s="11" t="str">
        <f aca="false">IF($A1598="","",IF(원본명단!$I1597="",0,COUNTIF(원본명단!$I$3:$I$6002,원본명단!$I1597)))</f>
        <v/>
      </c>
      <c r="G1598" s="11" t="str">
        <f aca="false">IF($A1598="","",IF(원본명단!$K1597="",0,COUNTIF(원본명단!$K$3:$K$6002,원본명단!$K1597)))</f>
        <v/>
      </c>
      <c r="H1598" s="11" t="str">
        <f aca="false">IF($A1598="","",IF(MAX($E1598,$F1598,$G1598)&gt;1,"중복","-"))</f>
        <v/>
      </c>
      <c r="I1598" s="11" t="str">
        <f aca="false">IF($A1598="","",IF($H1598="-","-",IF(AND(IF(원본명단!$H1597="",TRUE(),COUNTIF(원본명단!$H$3:$H1597,원본명단!$H1597)=1),IF(원본명단!$I1597="",TRUE(),COUNTIF(원본명단!$I$3:$I1597,원본명단!$I1597)=1),IF(원본명단!$K1597="",TRUE(),COUNTIF(원본명단!$K$3:$K1597,원본명단!$K1597)=1)),"첫 건","중복 건")))</f>
        <v/>
      </c>
      <c r="J1598" s="11" t="str">
        <f aca="false">IF($A1598="","",IF($H1598="-","유지",IF($I1598="첫 건","유지","확인 필요")))</f>
        <v/>
      </c>
    </row>
    <row r="1599" customFormat="false" ht="15" hidden="false" customHeight="true" outlineLevel="0" collapsed="false">
      <c r="A1599" s="11" t="str">
        <f aca="false">IF(원본명단!$A1598="","",1596)</f>
        <v/>
      </c>
      <c r="B1599" s="12" t="str">
        <f aca="false">IF($A1599="","",원본명단!$A1598)</f>
        <v/>
      </c>
      <c r="C1599" s="12" t="str">
        <f aca="false">IF($A1599="","",원본명단!$B1598)</f>
        <v/>
      </c>
      <c r="D1599" s="12" t="str">
        <f aca="false">IF($A1599="","",원본명단!$D1598)</f>
        <v/>
      </c>
      <c r="E1599" s="11" t="str">
        <f aca="false">IF($A1599="","",IF(원본명단!$H1598="",0,COUNTIF(원본명단!$H$3:$H$6002,원본명단!$H1598)))</f>
        <v/>
      </c>
      <c r="F1599" s="11" t="str">
        <f aca="false">IF($A1599="","",IF(원본명단!$I1598="",0,COUNTIF(원본명단!$I$3:$I$6002,원본명단!$I1598)))</f>
        <v/>
      </c>
      <c r="G1599" s="11" t="str">
        <f aca="false">IF($A1599="","",IF(원본명단!$K1598="",0,COUNTIF(원본명단!$K$3:$K$6002,원본명단!$K1598)))</f>
        <v/>
      </c>
      <c r="H1599" s="11" t="str">
        <f aca="false">IF($A1599="","",IF(MAX($E1599,$F1599,$G1599)&gt;1,"중복","-"))</f>
        <v/>
      </c>
      <c r="I1599" s="11" t="str">
        <f aca="false">IF($A1599="","",IF($H1599="-","-",IF(AND(IF(원본명단!$H1598="",TRUE(),COUNTIF(원본명단!$H$3:$H1598,원본명단!$H1598)=1),IF(원본명단!$I1598="",TRUE(),COUNTIF(원본명단!$I$3:$I1598,원본명단!$I1598)=1),IF(원본명단!$K1598="",TRUE(),COUNTIF(원본명단!$K$3:$K1598,원본명단!$K1598)=1)),"첫 건","중복 건")))</f>
        <v/>
      </c>
      <c r="J1599" s="11" t="str">
        <f aca="false">IF($A1599="","",IF($H1599="-","유지",IF($I1599="첫 건","유지","확인 필요")))</f>
        <v/>
      </c>
    </row>
    <row r="1600" customFormat="false" ht="15" hidden="false" customHeight="true" outlineLevel="0" collapsed="false">
      <c r="A1600" s="11" t="str">
        <f aca="false">IF(원본명단!$A1599="","",1597)</f>
        <v/>
      </c>
      <c r="B1600" s="12" t="str">
        <f aca="false">IF($A1600="","",원본명단!$A1599)</f>
        <v/>
      </c>
      <c r="C1600" s="12" t="str">
        <f aca="false">IF($A1600="","",원본명단!$B1599)</f>
        <v/>
      </c>
      <c r="D1600" s="12" t="str">
        <f aca="false">IF($A1600="","",원본명단!$D1599)</f>
        <v/>
      </c>
      <c r="E1600" s="11" t="str">
        <f aca="false">IF($A1600="","",IF(원본명단!$H1599="",0,COUNTIF(원본명단!$H$3:$H$6002,원본명단!$H1599)))</f>
        <v/>
      </c>
      <c r="F1600" s="11" t="str">
        <f aca="false">IF($A1600="","",IF(원본명단!$I1599="",0,COUNTIF(원본명단!$I$3:$I$6002,원본명단!$I1599)))</f>
        <v/>
      </c>
      <c r="G1600" s="11" t="str">
        <f aca="false">IF($A1600="","",IF(원본명단!$K1599="",0,COUNTIF(원본명단!$K$3:$K$6002,원본명단!$K1599)))</f>
        <v/>
      </c>
      <c r="H1600" s="11" t="str">
        <f aca="false">IF($A1600="","",IF(MAX($E1600,$F1600,$G1600)&gt;1,"중복","-"))</f>
        <v/>
      </c>
      <c r="I1600" s="11" t="str">
        <f aca="false">IF($A1600="","",IF($H1600="-","-",IF(AND(IF(원본명단!$H1599="",TRUE(),COUNTIF(원본명단!$H$3:$H1599,원본명단!$H1599)=1),IF(원본명단!$I1599="",TRUE(),COUNTIF(원본명단!$I$3:$I1599,원본명단!$I1599)=1),IF(원본명단!$K1599="",TRUE(),COUNTIF(원본명단!$K$3:$K1599,원본명단!$K1599)=1)),"첫 건","중복 건")))</f>
        <v/>
      </c>
      <c r="J1600" s="11" t="str">
        <f aca="false">IF($A1600="","",IF($H1600="-","유지",IF($I1600="첫 건","유지","확인 필요")))</f>
        <v/>
      </c>
    </row>
    <row r="1601" customFormat="false" ht="15" hidden="false" customHeight="true" outlineLevel="0" collapsed="false">
      <c r="A1601" s="11" t="str">
        <f aca="false">IF(원본명단!$A1600="","",1598)</f>
        <v/>
      </c>
      <c r="B1601" s="12" t="str">
        <f aca="false">IF($A1601="","",원본명단!$A1600)</f>
        <v/>
      </c>
      <c r="C1601" s="12" t="str">
        <f aca="false">IF($A1601="","",원본명단!$B1600)</f>
        <v/>
      </c>
      <c r="D1601" s="12" t="str">
        <f aca="false">IF($A1601="","",원본명단!$D1600)</f>
        <v/>
      </c>
      <c r="E1601" s="11" t="str">
        <f aca="false">IF($A1601="","",IF(원본명단!$H1600="",0,COUNTIF(원본명단!$H$3:$H$6002,원본명단!$H1600)))</f>
        <v/>
      </c>
      <c r="F1601" s="11" t="str">
        <f aca="false">IF($A1601="","",IF(원본명단!$I1600="",0,COUNTIF(원본명단!$I$3:$I$6002,원본명단!$I1600)))</f>
        <v/>
      </c>
      <c r="G1601" s="11" t="str">
        <f aca="false">IF($A1601="","",IF(원본명단!$K1600="",0,COUNTIF(원본명단!$K$3:$K$6002,원본명단!$K1600)))</f>
        <v/>
      </c>
      <c r="H1601" s="11" t="str">
        <f aca="false">IF($A1601="","",IF(MAX($E1601,$F1601,$G1601)&gt;1,"중복","-"))</f>
        <v/>
      </c>
      <c r="I1601" s="11" t="str">
        <f aca="false">IF($A1601="","",IF($H1601="-","-",IF(AND(IF(원본명단!$H1600="",TRUE(),COUNTIF(원본명단!$H$3:$H1600,원본명단!$H1600)=1),IF(원본명단!$I1600="",TRUE(),COUNTIF(원본명단!$I$3:$I1600,원본명단!$I1600)=1),IF(원본명단!$K1600="",TRUE(),COUNTIF(원본명단!$K$3:$K1600,원본명단!$K1600)=1)),"첫 건","중복 건")))</f>
        <v/>
      </c>
      <c r="J1601" s="11" t="str">
        <f aca="false">IF($A1601="","",IF($H1601="-","유지",IF($I1601="첫 건","유지","확인 필요")))</f>
        <v/>
      </c>
    </row>
    <row r="1602" customFormat="false" ht="15" hidden="false" customHeight="true" outlineLevel="0" collapsed="false">
      <c r="A1602" s="11" t="str">
        <f aca="false">IF(원본명단!$A1601="","",1599)</f>
        <v/>
      </c>
      <c r="B1602" s="12" t="str">
        <f aca="false">IF($A1602="","",원본명단!$A1601)</f>
        <v/>
      </c>
      <c r="C1602" s="12" t="str">
        <f aca="false">IF($A1602="","",원본명단!$B1601)</f>
        <v/>
      </c>
      <c r="D1602" s="12" t="str">
        <f aca="false">IF($A1602="","",원본명단!$D1601)</f>
        <v/>
      </c>
      <c r="E1602" s="11" t="str">
        <f aca="false">IF($A1602="","",IF(원본명단!$H1601="",0,COUNTIF(원본명단!$H$3:$H$6002,원본명단!$H1601)))</f>
        <v/>
      </c>
      <c r="F1602" s="11" t="str">
        <f aca="false">IF($A1602="","",IF(원본명단!$I1601="",0,COUNTIF(원본명단!$I$3:$I$6002,원본명단!$I1601)))</f>
        <v/>
      </c>
      <c r="G1602" s="11" t="str">
        <f aca="false">IF($A1602="","",IF(원본명단!$K1601="",0,COUNTIF(원본명단!$K$3:$K$6002,원본명단!$K1601)))</f>
        <v/>
      </c>
      <c r="H1602" s="11" t="str">
        <f aca="false">IF($A1602="","",IF(MAX($E1602,$F1602,$G1602)&gt;1,"중복","-"))</f>
        <v/>
      </c>
      <c r="I1602" s="11" t="str">
        <f aca="false">IF($A1602="","",IF($H1602="-","-",IF(AND(IF(원본명단!$H1601="",TRUE(),COUNTIF(원본명단!$H$3:$H1601,원본명단!$H1601)=1),IF(원본명단!$I1601="",TRUE(),COUNTIF(원본명단!$I$3:$I1601,원본명단!$I1601)=1),IF(원본명단!$K1601="",TRUE(),COUNTIF(원본명단!$K$3:$K1601,원본명단!$K1601)=1)),"첫 건","중복 건")))</f>
        <v/>
      </c>
      <c r="J1602" s="11" t="str">
        <f aca="false">IF($A1602="","",IF($H1602="-","유지",IF($I1602="첫 건","유지","확인 필요")))</f>
        <v/>
      </c>
    </row>
    <row r="1603" customFormat="false" ht="15" hidden="false" customHeight="true" outlineLevel="0" collapsed="false">
      <c r="A1603" s="11" t="str">
        <f aca="false">IF(원본명단!$A1602="","",1600)</f>
        <v/>
      </c>
      <c r="B1603" s="12" t="str">
        <f aca="false">IF($A1603="","",원본명단!$A1602)</f>
        <v/>
      </c>
      <c r="C1603" s="12" t="str">
        <f aca="false">IF($A1603="","",원본명단!$B1602)</f>
        <v/>
      </c>
      <c r="D1603" s="12" t="str">
        <f aca="false">IF($A1603="","",원본명단!$D1602)</f>
        <v/>
      </c>
      <c r="E1603" s="11" t="str">
        <f aca="false">IF($A1603="","",IF(원본명단!$H1602="",0,COUNTIF(원본명단!$H$3:$H$6002,원본명단!$H1602)))</f>
        <v/>
      </c>
      <c r="F1603" s="11" t="str">
        <f aca="false">IF($A1603="","",IF(원본명단!$I1602="",0,COUNTIF(원본명단!$I$3:$I$6002,원본명단!$I1602)))</f>
        <v/>
      </c>
      <c r="G1603" s="11" t="str">
        <f aca="false">IF($A1603="","",IF(원본명단!$K1602="",0,COUNTIF(원본명단!$K$3:$K$6002,원본명단!$K1602)))</f>
        <v/>
      </c>
      <c r="H1603" s="11" t="str">
        <f aca="false">IF($A1603="","",IF(MAX($E1603,$F1603,$G1603)&gt;1,"중복","-"))</f>
        <v/>
      </c>
      <c r="I1603" s="11" t="str">
        <f aca="false">IF($A1603="","",IF($H1603="-","-",IF(AND(IF(원본명단!$H1602="",TRUE(),COUNTIF(원본명단!$H$3:$H1602,원본명단!$H1602)=1),IF(원본명단!$I1602="",TRUE(),COUNTIF(원본명단!$I$3:$I1602,원본명단!$I1602)=1),IF(원본명단!$K1602="",TRUE(),COUNTIF(원본명단!$K$3:$K1602,원본명단!$K1602)=1)),"첫 건","중복 건")))</f>
        <v/>
      </c>
      <c r="J1603" s="11" t="str">
        <f aca="false">IF($A1603="","",IF($H1603="-","유지",IF($I1603="첫 건","유지","확인 필요")))</f>
        <v/>
      </c>
    </row>
    <row r="1604" customFormat="false" ht="15" hidden="false" customHeight="true" outlineLevel="0" collapsed="false">
      <c r="A1604" s="11" t="str">
        <f aca="false">IF(원본명단!$A1603="","",1601)</f>
        <v/>
      </c>
      <c r="B1604" s="12" t="str">
        <f aca="false">IF($A1604="","",원본명단!$A1603)</f>
        <v/>
      </c>
      <c r="C1604" s="12" t="str">
        <f aca="false">IF($A1604="","",원본명단!$B1603)</f>
        <v/>
      </c>
      <c r="D1604" s="12" t="str">
        <f aca="false">IF($A1604="","",원본명단!$D1603)</f>
        <v/>
      </c>
      <c r="E1604" s="11" t="str">
        <f aca="false">IF($A1604="","",IF(원본명단!$H1603="",0,COUNTIF(원본명단!$H$3:$H$6002,원본명단!$H1603)))</f>
        <v/>
      </c>
      <c r="F1604" s="11" t="str">
        <f aca="false">IF($A1604="","",IF(원본명단!$I1603="",0,COUNTIF(원본명단!$I$3:$I$6002,원본명단!$I1603)))</f>
        <v/>
      </c>
      <c r="G1604" s="11" t="str">
        <f aca="false">IF($A1604="","",IF(원본명단!$K1603="",0,COUNTIF(원본명단!$K$3:$K$6002,원본명단!$K1603)))</f>
        <v/>
      </c>
      <c r="H1604" s="11" t="str">
        <f aca="false">IF($A1604="","",IF(MAX($E1604,$F1604,$G1604)&gt;1,"중복","-"))</f>
        <v/>
      </c>
      <c r="I1604" s="11" t="str">
        <f aca="false">IF($A1604="","",IF($H1604="-","-",IF(AND(IF(원본명단!$H1603="",TRUE(),COUNTIF(원본명단!$H$3:$H1603,원본명단!$H1603)=1),IF(원본명단!$I1603="",TRUE(),COUNTIF(원본명단!$I$3:$I1603,원본명단!$I1603)=1),IF(원본명단!$K1603="",TRUE(),COUNTIF(원본명단!$K$3:$K1603,원본명단!$K1603)=1)),"첫 건","중복 건")))</f>
        <v/>
      </c>
      <c r="J1604" s="11" t="str">
        <f aca="false">IF($A1604="","",IF($H1604="-","유지",IF($I1604="첫 건","유지","확인 필요")))</f>
        <v/>
      </c>
    </row>
    <row r="1605" customFormat="false" ht="15" hidden="false" customHeight="true" outlineLevel="0" collapsed="false">
      <c r="A1605" s="11" t="str">
        <f aca="false">IF(원본명단!$A1604="","",1602)</f>
        <v/>
      </c>
      <c r="B1605" s="12" t="str">
        <f aca="false">IF($A1605="","",원본명단!$A1604)</f>
        <v/>
      </c>
      <c r="C1605" s="12" t="str">
        <f aca="false">IF($A1605="","",원본명단!$B1604)</f>
        <v/>
      </c>
      <c r="D1605" s="12" t="str">
        <f aca="false">IF($A1605="","",원본명단!$D1604)</f>
        <v/>
      </c>
      <c r="E1605" s="11" t="str">
        <f aca="false">IF($A1605="","",IF(원본명단!$H1604="",0,COUNTIF(원본명단!$H$3:$H$6002,원본명단!$H1604)))</f>
        <v/>
      </c>
      <c r="F1605" s="11" t="str">
        <f aca="false">IF($A1605="","",IF(원본명단!$I1604="",0,COUNTIF(원본명단!$I$3:$I$6002,원본명단!$I1604)))</f>
        <v/>
      </c>
      <c r="G1605" s="11" t="str">
        <f aca="false">IF($A1605="","",IF(원본명단!$K1604="",0,COUNTIF(원본명단!$K$3:$K$6002,원본명단!$K1604)))</f>
        <v/>
      </c>
      <c r="H1605" s="11" t="str">
        <f aca="false">IF($A1605="","",IF(MAX($E1605,$F1605,$G1605)&gt;1,"중복","-"))</f>
        <v/>
      </c>
      <c r="I1605" s="11" t="str">
        <f aca="false">IF($A1605="","",IF($H1605="-","-",IF(AND(IF(원본명단!$H1604="",TRUE(),COUNTIF(원본명단!$H$3:$H1604,원본명단!$H1604)=1),IF(원본명단!$I1604="",TRUE(),COUNTIF(원본명단!$I$3:$I1604,원본명단!$I1604)=1),IF(원본명단!$K1604="",TRUE(),COUNTIF(원본명단!$K$3:$K1604,원본명단!$K1604)=1)),"첫 건","중복 건")))</f>
        <v/>
      </c>
      <c r="J1605" s="11" t="str">
        <f aca="false">IF($A1605="","",IF($H1605="-","유지",IF($I1605="첫 건","유지","확인 필요")))</f>
        <v/>
      </c>
    </row>
    <row r="1606" customFormat="false" ht="15" hidden="false" customHeight="true" outlineLevel="0" collapsed="false">
      <c r="A1606" s="11" t="str">
        <f aca="false">IF(원본명단!$A1605="","",1603)</f>
        <v/>
      </c>
      <c r="B1606" s="12" t="str">
        <f aca="false">IF($A1606="","",원본명단!$A1605)</f>
        <v/>
      </c>
      <c r="C1606" s="12" t="str">
        <f aca="false">IF($A1606="","",원본명단!$B1605)</f>
        <v/>
      </c>
      <c r="D1606" s="12" t="str">
        <f aca="false">IF($A1606="","",원본명단!$D1605)</f>
        <v/>
      </c>
      <c r="E1606" s="11" t="str">
        <f aca="false">IF($A1606="","",IF(원본명단!$H1605="",0,COUNTIF(원본명단!$H$3:$H$6002,원본명단!$H1605)))</f>
        <v/>
      </c>
      <c r="F1606" s="11" t="str">
        <f aca="false">IF($A1606="","",IF(원본명단!$I1605="",0,COUNTIF(원본명단!$I$3:$I$6002,원본명단!$I1605)))</f>
        <v/>
      </c>
      <c r="G1606" s="11" t="str">
        <f aca="false">IF($A1606="","",IF(원본명단!$K1605="",0,COUNTIF(원본명단!$K$3:$K$6002,원본명단!$K1605)))</f>
        <v/>
      </c>
      <c r="H1606" s="11" t="str">
        <f aca="false">IF($A1606="","",IF(MAX($E1606,$F1606,$G1606)&gt;1,"중복","-"))</f>
        <v/>
      </c>
      <c r="I1606" s="11" t="str">
        <f aca="false">IF($A1606="","",IF($H1606="-","-",IF(AND(IF(원본명단!$H1605="",TRUE(),COUNTIF(원본명단!$H$3:$H1605,원본명단!$H1605)=1),IF(원본명단!$I1605="",TRUE(),COUNTIF(원본명단!$I$3:$I1605,원본명단!$I1605)=1),IF(원본명단!$K1605="",TRUE(),COUNTIF(원본명단!$K$3:$K1605,원본명단!$K1605)=1)),"첫 건","중복 건")))</f>
        <v/>
      </c>
      <c r="J1606" s="11" t="str">
        <f aca="false">IF($A1606="","",IF($H1606="-","유지",IF($I1606="첫 건","유지","확인 필요")))</f>
        <v/>
      </c>
    </row>
    <row r="1607" customFormat="false" ht="15" hidden="false" customHeight="true" outlineLevel="0" collapsed="false">
      <c r="A1607" s="11" t="str">
        <f aca="false">IF(원본명단!$A1606="","",1604)</f>
        <v/>
      </c>
      <c r="B1607" s="12" t="str">
        <f aca="false">IF($A1607="","",원본명단!$A1606)</f>
        <v/>
      </c>
      <c r="C1607" s="12" t="str">
        <f aca="false">IF($A1607="","",원본명단!$B1606)</f>
        <v/>
      </c>
      <c r="D1607" s="12" t="str">
        <f aca="false">IF($A1607="","",원본명단!$D1606)</f>
        <v/>
      </c>
      <c r="E1607" s="11" t="str">
        <f aca="false">IF($A1607="","",IF(원본명단!$H1606="",0,COUNTIF(원본명단!$H$3:$H$6002,원본명단!$H1606)))</f>
        <v/>
      </c>
      <c r="F1607" s="11" t="str">
        <f aca="false">IF($A1607="","",IF(원본명단!$I1606="",0,COUNTIF(원본명단!$I$3:$I$6002,원본명단!$I1606)))</f>
        <v/>
      </c>
      <c r="G1607" s="11" t="str">
        <f aca="false">IF($A1607="","",IF(원본명단!$K1606="",0,COUNTIF(원본명단!$K$3:$K$6002,원본명단!$K1606)))</f>
        <v/>
      </c>
      <c r="H1607" s="11" t="str">
        <f aca="false">IF($A1607="","",IF(MAX($E1607,$F1607,$G1607)&gt;1,"중복","-"))</f>
        <v/>
      </c>
      <c r="I1607" s="11" t="str">
        <f aca="false">IF($A1607="","",IF($H1607="-","-",IF(AND(IF(원본명단!$H1606="",TRUE(),COUNTIF(원본명단!$H$3:$H1606,원본명단!$H1606)=1),IF(원본명단!$I1606="",TRUE(),COUNTIF(원본명단!$I$3:$I1606,원본명단!$I1606)=1),IF(원본명단!$K1606="",TRUE(),COUNTIF(원본명단!$K$3:$K1606,원본명단!$K1606)=1)),"첫 건","중복 건")))</f>
        <v/>
      </c>
      <c r="J1607" s="11" t="str">
        <f aca="false">IF($A1607="","",IF($H1607="-","유지",IF($I1607="첫 건","유지","확인 필요")))</f>
        <v/>
      </c>
    </row>
    <row r="1608" customFormat="false" ht="15" hidden="false" customHeight="true" outlineLevel="0" collapsed="false">
      <c r="A1608" s="11" t="str">
        <f aca="false">IF(원본명단!$A1607="","",1605)</f>
        <v/>
      </c>
      <c r="B1608" s="12" t="str">
        <f aca="false">IF($A1608="","",원본명단!$A1607)</f>
        <v/>
      </c>
      <c r="C1608" s="12" t="str">
        <f aca="false">IF($A1608="","",원본명단!$B1607)</f>
        <v/>
      </c>
      <c r="D1608" s="12" t="str">
        <f aca="false">IF($A1608="","",원본명단!$D1607)</f>
        <v/>
      </c>
      <c r="E1608" s="11" t="str">
        <f aca="false">IF($A1608="","",IF(원본명단!$H1607="",0,COUNTIF(원본명단!$H$3:$H$6002,원본명단!$H1607)))</f>
        <v/>
      </c>
      <c r="F1608" s="11" t="str">
        <f aca="false">IF($A1608="","",IF(원본명단!$I1607="",0,COUNTIF(원본명단!$I$3:$I$6002,원본명단!$I1607)))</f>
        <v/>
      </c>
      <c r="G1608" s="11" t="str">
        <f aca="false">IF($A1608="","",IF(원본명단!$K1607="",0,COUNTIF(원본명단!$K$3:$K$6002,원본명단!$K1607)))</f>
        <v/>
      </c>
      <c r="H1608" s="11" t="str">
        <f aca="false">IF($A1608="","",IF(MAX($E1608,$F1608,$G1608)&gt;1,"중복","-"))</f>
        <v/>
      </c>
      <c r="I1608" s="11" t="str">
        <f aca="false">IF($A1608="","",IF($H1608="-","-",IF(AND(IF(원본명단!$H1607="",TRUE(),COUNTIF(원본명단!$H$3:$H1607,원본명단!$H1607)=1),IF(원본명단!$I1607="",TRUE(),COUNTIF(원본명단!$I$3:$I1607,원본명단!$I1607)=1),IF(원본명단!$K1607="",TRUE(),COUNTIF(원본명단!$K$3:$K1607,원본명단!$K1607)=1)),"첫 건","중복 건")))</f>
        <v/>
      </c>
      <c r="J1608" s="11" t="str">
        <f aca="false">IF($A1608="","",IF($H1608="-","유지",IF($I1608="첫 건","유지","확인 필요")))</f>
        <v/>
      </c>
    </row>
    <row r="1609" customFormat="false" ht="15" hidden="false" customHeight="true" outlineLevel="0" collapsed="false">
      <c r="A1609" s="11" t="str">
        <f aca="false">IF(원본명단!$A1608="","",1606)</f>
        <v/>
      </c>
      <c r="B1609" s="12" t="str">
        <f aca="false">IF($A1609="","",원본명단!$A1608)</f>
        <v/>
      </c>
      <c r="C1609" s="12" t="str">
        <f aca="false">IF($A1609="","",원본명단!$B1608)</f>
        <v/>
      </c>
      <c r="D1609" s="12" t="str">
        <f aca="false">IF($A1609="","",원본명단!$D1608)</f>
        <v/>
      </c>
      <c r="E1609" s="11" t="str">
        <f aca="false">IF($A1609="","",IF(원본명단!$H1608="",0,COUNTIF(원본명단!$H$3:$H$6002,원본명단!$H1608)))</f>
        <v/>
      </c>
      <c r="F1609" s="11" t="str">
        <f aca="false">IF($A1609="","",IF(원본명단!$I1608="",0,COUNTIF(원본명단!$I$3:$I$6002,원본명단!$I1608)))</f>
        <v/>
      </c>
      <c r="G1609" s="11" t="str">
        <f aca="false">IF($A1609="","",IF(원본명단!$K1608="",0,COUNTIF(원본명단!$K$3:$K$6002,원본명단!$K1608)))</f>
        <v/>
      </c>
      <c r="H1609" s="11" t="str">
        <f aca="false">IF($A1609="","",IF(MAX($E1609,$F1609,$G1609)&gt;1,"중복","-"))</f>
        <v/>
      </c>
      <c r="I1609" s="11" t="str">
        <f aca="false">IF($A1609="","",IF($H1609="-","-",IF(AND(IF(원본명단!$H1608="",TRUE(),COUNTIF(원본명단!$H$3:$H1608,원본명단!$H1608)=1),IF(원본명단!$I1608="",TRUE(),COUNTIF(원본명단!$I$3:$I1608,원본명단!$I1608)=1),IF(원본명단!$K1608="",TRUE(),COUNTIF(원본명단!$K$3:$K1608,원본명단!$K1608)=1)),"첫 건","중복 건")))</f>
        <v/>
      </c>
      <c r="J1609" s="11" t="str">
        <f aca="false">IF($A1609="","",IF($H1609="-","유지",IF($I1609="첫 건","유지","확인 필요")))</f>
        <v/>
      </c>
    </row>
    <row r="1610" customFormat="false" ht="15" hidden="false" customHeight="true" outlineLevel="0" collapsed="false">
      <c r="A1610" s="11" t="str">
        <f aca="false">IF(원본명단!$A1609="","",1607)</f>
        <v/>
      </c>
      <c r="B1610" s="12" t="str">
        <f aca="false">IF($A1610="","",원본명단!$A1609)</f>
        <v/>
      </c>
      <c r="C1610" s="12" t="str">
        <f aca="false">IF($A1610="","",원본명단!$B1609)</f>
        <v/>
      </c>
      <c r="D1610" s="12" t="str">
        <f aca="false">IF($A1610="","",원본명단!$D1609)</f>
        <v/>
      </c>
      <c r="E1610" s="11" t="str">
        <f aca="false">IF($A1610="","",IF(원본명단!$H1609="",0,COUNTIF(원본명단!$H$3:$H$6002,원본명단!$H1609)))</f>
        <v/>
      </c>
      <c r="F1610" s="11" t="str">
        <f aca="false">IF($A1610="","",IF(원본명단!$I1609="",0,COUNTIF(원본명단!$I$3:$I$6002,원본명단!$I1609)))</f>
        <v/>
      </c>
      <c r="G1610" s="11" t="str">
        <f aca="false">IF($A1610="","",IF(원본명단!$K1609="",0,COUNTIF(원본명단!$K$3:$K$6002,원본명단!$K1609)))</f>
        <v/>
      </c>
      <c r="H1610" s="11" t="str">
        <f aca="false">IF($A1610="","",IF(MAX($E1610,$F1610,$G1610)&gt;1,"중복","-"))</f>
        <v/>
      </c>
      <c r="I1610" s="11" t="str">
        <f aca="false">IF($A1610="","",IF($H1610="-","-",IF(AND(IF(원본명단!$H1609="",TRUE(),COUNTIF(원본명단!$H$3:$H1609,원본명단!$H1609)=1),IF(원본명단!$I1609="",TRUE(),COUNTIF(원본명단!$I$3:$I1609,원본명단!$I1609)=1),IF(원본명단!$K1609="",TRUE(),COUNTIF(원본명단!$K$3:$K1609,원본명단!$K1609)=1)),"첫 건","중복 건")))</f>
        <v/>
      </c>
      <c r="J1610" s="11" t="str">
        <f aca="false">IF($A1610="","",IF($H1610="-","유지",IF($I1610="첫 건","유지","확인 필요")))</f>
        <v/>
      </c>
    </row>
    <row r="1611" customFormat="false" ht="15" hidden="false" customHeight="true" outlineLevel="0" collapsed="false">
      <c r="A1611" s="11" t="str">
        <f aca="false">IF(원본명단!$A1610="","",1608)</f>
        <v/>
      </c>
      <c r="B1611" s="12" t="str">
        <f aca="false">IF($A1611="","",원본명단!$A1610)</f>
        <v/>
      </c>
      <c r="C1611" s="12" t="str">
        <f aca="false">IF($A1611="","",원본명단!$B1610)</f>
        <v/>
      </c>
      <c r="D1611" s="12" t="str">
        <f aca="false">IF($A1611="","",원본명단!$D1610)</f>
        <v/>
      </c>
      <c r="E1611" s="11" t="str">
        <f aca="false">IF($A1611="","",IF(원본명단!$H1610="",0,COUNTIF(원본명단!$H$3:$H$6002,원본명단!$H1610)))</f>
        <v/>
      </c>
      <c r="F1611" s="11" t="str">
        <f aca="false">IF($A1611="","",IF(원본명단!$I1610="",0,COUNTIF(원본명단!$I$3:$I$6002,원본명단!$I1610)))</f>
        <v/>
      </c>
      <c r="G1611" s="11" t="str">
        <f aca="false">IF($A1611="","",IF(원본명단!$K1610="",0,COUNTIF(원본명단!$K$3:$K$6002,원본명단!$K1610)))</f>
        <v/>
      </c>
      <c r="H1611" s="11" t="str">
        <f aca="false">IF($A1611="","",IF(MAX($E1611,$F1611,$G1611)&gt;1,"중복","-"))</f>
        <v/>
      </c>
      <c r="I1611" s="11" t="str">
        <f aca="false">IF($A1611="","",IF($H1611="-","-",IF(AND(IF(원본명단!$H1610="",TRUE(),COUNTIF(원본명단!$H$3:$H1610,원본명단!$H1610)=1),IF(원본명단!$I1610="",TRUE(),COUNTIF(원본명단!$I$3:$I1610,원본명단!$I1610)=1),IF(원본명단!$K1610="",TRUE(),COUNTIF(원본명단!$K$3:$K1610,원본명단!$K1610)=1)),"첫 건","중복 건")))</f>
        <v/>
      </c>
      <c r="J1611" s="11" t="str">
        <f aca="false">IF($A1611="","",IF($H1611="-","유지",IF($I1611="첫 건","유지","확인 필요")))</f>
        <v/>
      </c>
    </row>
    <row r="1612" customFormat="false" ht="15" hidden="false" customHeight="true" outlineLevel="0" collapsed="false">
      <c r="A1612" s="11" t="str">
        <f aca="false">IF(원본명단!$A1611="","",1609)</f>
        <v/>
      </c>
      <c r="B1612" s="12" t="str">
        <f aca="false">IF($A1612="","",원본명단!$A1611)</f>
        <v/>
      </c>
      <c r="C1612" s="12" t="str">
        <f aca="false">IF($A1612="","",원본명단!$B1611)</f>
        <v/>
      </c>
      <c r="D1612" s="12" t="str">
        <f aca="false">IF($A1612="","",원본명단!$D1611)</f>
        <v/>
      </c>
      <c r="E1612" s="11" t="str">
        <f aca="false">IF($A1612="","",IF(원본명단!$H1611="",0,COUNTIF(원본명단!$H$3:$H$6002,원본명단!$H1611)))</f>
        <v/>
      </c>
      <c r="F1612" s="11" t="str">
        <f aca="false">IF($A1612="","",IF(원본명단!$I1611="",0,COUNTIF(원본명단!$I$3:$I$6002,원본명단!$I1611)))</f>
        <v/>
      </c>
      <c r="G1612" s="11" t="str">
        <f aca="false">IF($A1612="","",IF(원본명단!$K1611="",0,COUNTIF(원본명단!$K$3:$K$6002,원본명단!$K1611)))</f>
        <v/>
      </c>
      <c r="H1612" s="11" t="str">
        <f aca="false">IF($A1612="","",IF(MAX($E1612,$F1612,$G1612)&gt;1,"중복","-"))</f>
        <v/>
      </c>
      <c r="I1612" s="11" t="str">
        <f aca="false">IF($A1612="","",IF($H1612="-","-",IF(AND(IF(원본명단!$H1611="",TRUE(),COUNTIF(원본명단!$H$3:$H1611,원본명단!$H1611)=1),IF(원본명단!$I1611="",TRUE(),COUNTIF(원본명단!$I$3:$I1611,원본명단!$I1611)=1),IF(원본명단!$K1611="",TRUE(),COUNTIF(원본명단!$K$3:$K1611,원본명단!$K1611)=1)),"첫 건","중복 건")))</f>
        <v/>
      </c>
      <c r="J1612" s="11" t="str">
        <f aca="false">IF($A1612="","",IF($H1612="-","유지",IF($I1612="첫 건","유지","확인 필요")))</f>
        <v/>
      </c>
    </row>
    <row r="1613" customFormat="false" ht="15" hidden="false" customHeight="true" outlineLevel="0" collapsed="false">
      <c r="A1613" s="11" t="str">
        <f aca="false">IF(원본명단!$A1612="","",1610)</f>
        <v/>
      </c>
      <c r="B1613" s="12" t="str">
        <f aca="false">IF($A1613="","",원본명단!$A1612)</f>
        <v/>
      </c>
      <c r="C1613" s="12" t="str">
        <f aca="false">IF($A1613="","",원본명단!$B1612)</f>
        <v/>
      </c>
      <c r="D1613" s="12" t="str">
        <f aca="false">IF($A1613="","",원본명단!$D1612)</f>
        <v/>
      </c>
      <c r="E1613" s="11" t="str">
        <f aca="false">IF($A1613="","",IF(원본명단!$H1612="",0,COUNTIF(원본명단!$H$3:$H$6002,원본명단!$H1612)))</f>
        <v/>
      </c>
      <c r="F1613" s="11" t="str">
        <f aca="false">IF($A1613="","",IF(원본명단!$I1612="",0,COUNTIF(원본명단!$I$3:$I$6002,원본명단!$I1612)))</f>
        <v/>
      </c>
      <c r="G1613" s="11" t="str">
        <f aca="false">IF($A1613="","",IF(원본명단!$K1612="",0,COUNTIF(원본명단!$K$3:$K$6002,원본명단!$K1612)))</f>
        <v/>
      </c>
      <c r="H1613" s="11" t="str">
        <f aca="false">IF($A1613="","",IF(MAX($E1613,$F1613,$G1613)&gt;1,"중복","-"))</f>
        <v/>
      </c>
      <c r="I1613" s="11" t="str">
        <f aca="false">IF($A1613="","",IF($H1613="-","-",IF(AND(IF(원본명단!$H1612="",TRUE(),COUNTIF(원본명단!$H$3:$H1612,원본명단!$H1612)=1),IF(원본명단!$I1612="",TRUE(),COUNTIF(원본명단!$I$3:$I1612,원본명단!$I1612)=1),IF(원본명단!$K1612="",TRUE(),COUNTIF(원본명단!$K$3:$K1612,원본명단!$K1612)=1)),"첫 건","중복 건")))</f>
        <v/>
      </c>
      <c r="J1613" s="11" t="str">
        <f aca="false">IF($A1613="","",IF($H1613="-","유지",IF($I1613="첫 건","유지","확인 필요")))</f>
        <v/>
      </c>
    </row>
    <row r="1614" customFormat="false" ht="15" hidden="false" customHeight="true" outlineLevel="0" collapsed="false">
      <c r="A1614" s="11" t="str">
        <f aca="false">IF(원본명단!$A1613="","",1611)</f>
        <v/>
      </c>
      <c r="B1614" s="12" t="str">
        <f aca="false">IF($A1614="","",원본명단!$A1613)</f>
        <v/>
      </c>
      <c r="C1614" s="12" t="str">
        <f aca="false">IF($A1614="","",원본명단!$B1613)</f>
        <v/>
      </c>
      <c r="D1614" s="12" t="str">
        <f aca="false">IF($A1614="","",원본명단!$D1613)</f>
        <v/>
      </c>
      <c r="E1614" s="11" t="str">
        <f aca="false">IF($A1614="","",IF(원본명단!$H1613="",0,COUNTIF(원본명단!$H$3:$H$6002,원본명단!$H1613)))</f>
        <v/>
      </c>
      <c r="F1614" s="11" t="str">
        <f aca="false">IF($A1614="","",IF(원본명단!$I1613="",0,COUNTIF(원본명단!$I$3:$I$6002,원본명단!$I1613)))</f>
        <v/>
      </c>
      <c r="G1614" s="11" t="str">
        <f aca="false">IF($A1614="","",IF(원본명단!$K1613="",0,COUNTIF(원본명단!$K$3:$K$6002,원본명단!$K1613)))</f>
        <v/>
      </c>
      <c r="H1614" s="11" t="str">
        <f aca="false">IF($A1614="","",IF(MAX($E1614,$F1614,$G1614)&gt;1,"중복","-"))</f>
        <v/>
      </c>
      <c r="I1614" s="11" t="str">
        <f aca="false">IF($A1614="","",IF($H1614="-","-",IF(AND(IF(원본명단!$H1613="",TRUE(),COUNTIF(원본명단!$H$3:$H1613,원본명단!$H1613)=1),IF(원본명단!$I1613="",TRUE(),COUNTIF(원본명단!$I$3:$I1613,원본명단!$I1613)=1),IF(원본명단!$K1613="",TRUE(),COUNTIF(원본명단!$K$3:$K1613,원본명단!$K1613)=1)),"첫 건","중복 건")))</f>
        <v/>
      </c>
      <c r="J1614" s="11" t="str">
        <f aca="false">IF($A1614="","",IF($H1614="-","유지",IF($I1614="첫 건","유지","확인 필요")))</f>
        <v/>
      </c>
    </row>
    <row r="1615" customFormat="false" ht="15" hidden="false" customHeight="true" outlineLevel="0" collapsed="false">
      <c r="A1615" s="11" t="str">
        <f aca="false">IF(원본명단!$A1614="","",1612)</f>
        <v/>
      </c>
      <c r="B1615" s="12" t="str">
        <f aca="false">IF($A1615="","",원본명단!$A1614)</f>
        <v/>
      </c>
      <c r="C1615" s="12" t="str">
        <f aca="false">IF($A1615="","",원본명단!$B1614)</f>
        <v/>
      </c>
      <c r="D1615" s="12" t="str">
        <f aca="false">IF($A1615="","",원본명단!$D1614)</f>
        <v/>
      </c>
      <c r="E1615" s="11" t="str">
        <f aca="false">IF($A1615="","",IF(원본명단!$H1614="",0,COUNTIF(원본명단!$H$3:$H$6002,원본명단!$H1614)))</f>
        <v/>
      </c>
      <c r="F1615" s="11" t="str">
        <f aca="false">IF($A1615="","",IF(원본명단!$I1614="",0,COUNTIF(원본명단!$I$3:$I$6002,원본명단!$I1614)))</f>
        <v/>
      </c>
      <c r="G1615" s="11" t="str">
        <f aca="false">IF($A1615="","",IF(원본명단!$K1614="",0,COUNTIF(원본명단!$K$3:$K$6002,원본명단!$K1614)))</f>
        <v/>
      </c>
      <c r="H1615" s="11" t="str">
        <f aca="false">IF($A1615="","",IF(MAX($E1615,$F1615,$G1615)&gt;1,"중복","-"))</f>
        <v/>
      </c>
      <c r="I1615" s="11" t="str">
        <f aca="false">IF($A1615="","",IF($H1615="-","-",IF(AND(IF(원본명단!$H1614="",TRUE(),COUNTIF(원본명단!$H$3:$H1614,원본명단!$H1614)=1),IF(원본명단!$I1614="",TRUE(),COUNTIF(원본명단!$I$3:$I1614,원본명단!$I1614)=1),IF(원본명단!$K1614="",TRUE(),COUNTIF(원본명단!$K$3:$K1614,원본명단!$K1614)=1)),"첫 건","중복 건")))</f>
        <v/>
      </c>
      <c r="J1615" s="11" t="str">
        <f aca="false">IF($A1615="","",IF($H1615="-","유지",IF($I1615="첫 건","유지","확인 필요")))</f>
        <v/>
      </c>
    </row>
    <row r="1616" customFormat="false" ht="15" hidden="false" customHeight="true" outlineLevel="0" collapsed="false">
      <c r="A1616" s="11" t="str">
        <f aca="false">IF(원본명단!$A1615="","",1613)</f>
        <v/>
      </c>
      <c r="B1616" s="12" t="str">
        <f aca="false">IF($A1616="","",원본명단!$A1615)</f>
        <v/>
      </c>
      <c r="C1616" s="12" t="str">
        <f aca="false">IF($A1616="","",원본명단!$B1615)</f>
        <v/>
      </c>
      <c r="D1616" s="12" t="str">
        <f aca="false">IF($A1616="","",원본명단!$D1615)</f>
        <v/>
      </c>
      <c r="E1616" s="11" t="str">
        <f aca="false">IF($A1616="","",IF(원본명단!$H1615="",0,COUNTIF(원본명단!$H$3:$H$6002,원본명단!$H1615)))</f>
        <v/>
      </c>
      <c r="F1616" s="11" t="str">
        <f aca="false">IF($A1616="","",IF(원본명단!$I1615="",0,COUNTIF(원본명단!$I$3:$I$6002,원본명단!$I1615)))</f>
        <v/>
      </c>
      <c r="G1616" s="11" t="str">
        <f aca="false">IF($A1616="","",IF(원본명단!$K1615="",0,COUNTIF(원본명단!$K$3:$K$6002,원본명단!$K1615)))</f>
        <v/>
      </c>
      <c r="H1616" s="11" t="str">
        <f aca="false">IF($A1616="","",IF(MAX($E1616,$F1616,$G1616)&gt;1,"중복","-"))</f>
        <v/>
      </c>
      <c r="I1616" s="11" t="str">
        <f aca="false">IF($A1616="","",IF($H1616="-","-",IF(AND(IF(원본명단!$H1615="",TRUE(),COUNTIF(원본명단!$H$3:$H1615,원본명단!$H1615)=1),IF(원본명단!$I1615="",TRUE(),COUNTIF(원본명단!$I$3:$I1615,원본명단!$I1615)=1),IF(원본명단!$K1615="",TRUE(),COUNTIF(원본명단!$K$3:$K1615,원본명단!$K1615)=1)),"첫 건","중복 건")))</f>
        <v/>
      </c>
      <c r="J1616" s="11" t="str">
        <f aca="false">IF($A1616="","",IF($H1616="-","유지",IF($I1616="첫 건","유지","확인 필요")))</f>
        <v/>
      </c>
    </row>
    <row r="1617" customFormat="false" ht="15" hidden="false" customHeight="true" outlineLevel="0" collapsed="false">
      <c r="A1617" s="11" t="str">
        <f aca="false">IF(원본명단!$A1616="","",1614)</f>
        <v/>
      </c>
      <c r="B1617" s="12" t="str">
        <f aca="false">IF($A1617="","",원본명단!$A1616)</f>
        <v/>
      </c>
      <c r="C1617" s="12" t="str">
        <f aca="false">IF($A1617="","",원본명단!$B1616)</f>
        <v/>
      </c>
      <c r="D1617" s="12" t="str">
        <f aca="false">IF($A1617="","",원본명단!$D1616)</f>
        <v/>
      </c>
      <c r="E1617" s="11" t="str">
        <f aca="false">IF($A1617="","",IF(원본명단!$H1616="",0,COUNTIF(원본명단!$H$3:$H$6002,원본명단!$H1616)))</f>
        <v/>
      </c>
      <c r="F1617" s="11" t="str">
        <f aca="false">IF($A1617="","",IF(원본명단!$I1616="",0,COUNTIF(원본명단!$I$3:$I$6002,원본명단!$I1616)))</f>
        <v/>
      </c>
      <c r="G1617" s="11" t="str">
        <f aca="false">IF($A1617="","",IF(원본명단!$K1616="",0,COUNTIF(원본명단!$K$3:$K$6002,원본명단!$K1616)))</f>
        <v/>
      </c>
      <c r="H1617" s="11" t="str">
        <f aca="false">IF($A1617="","",IF(MAX($E1617,$F1617,$G1617)&gt;1,"중복","-"))</f>
        <v/>
      </c>
      <c r="I1617" s="11" t="str">
        <f aca="false">IF($A1617="","",IF($H1617="-","-",IF(AND(IF(원본명단!$H1616="",TRUE(),COUNTIF(원본명단!$H$3:$H1616,원본명단!$H1616)=1),IF(원본명단!$I1616="",TRUE(),COUNTIF(원본명단!$I$3:$I1616,원본명단!$I1616)=1),IF(원본명단!$K1616="",TRUE(),COUNTIF(원본명단!$K$3:$K1616,원본명단!$K1616)=1)),"첫 건","중복 건")))</f>
        <v/>
      </c>
      <c r="J1617" s="11" t="str">
        <f aca="false">IF($A1617="","",IF($H1617="-","유지",IF($I1617="첫 건","유지","확인 필요")))</f>
        <v/>
      </c>
    </row>
    <row r="1618" customFormat="false" ht="15" hidden="false" customHeight="true" outlineLevel="0" collapsed="false">
      <c r="A1618" s="11" t="str">
        <f aca="false">IF(원본명단!$A1617="","",1615)</f>
        <v/>
      </c>
      <c r="B1618" s="12" t="str">
        <f aca="false">IF($A1618="","",원본명단!$A1617)</f>
        <v/>
      </c>
      <c r="C1618" s="12" t="str">
        <f aca="false">IF($A1618="","",원본명단!$B1617)</f>
        <v/>
      </c>
      <c r="D1618" s="12" t="str">
        <f aca="false">IF($A1618="","",원본명단!$D1617)</f>
        <v/>
      </c>
      <c r="E1618" s="11" t="str">
        <f aca="false">IF($A1618="","",IF(원본명단!$H1617="",0,COUNTIF(원본명단!$H$3:$H$6002,원본명단!$H1617)))</f>
        <v/>
      </c>
      <c r="F1618" s="11" t="str">
        <f aca="false">IF($A1618="","",IF(원본명단!$I1617="",0,COUNTIF(원본명단!$I$3:$I$6002,원본명단!$I1617)))</f>
        <v/>
      </c>
      <c r="G1618" s="11" t="str">
        <f aca="false">IF($A1618="","",IF(원본명단!$K1617="",0,COUNTIF(원본명단!$K$3:$K$6002,원본명단!$K1617)))</f>
        <v/>
      </c>
      <c r="H1618" s="11" t="str">
        <f aca="false">IF($A1618="","",IF(MAX($E1618,$F1618,$G1618)&gt;1,"중복","-"))</f>
        <v/>
      </c>
      <c r="I1618" s="11" t="str">
        <f aca="false">IF($A1618="","",IF($H1618="-","-",IF(AND(IF(원본명단!$H1617="",TRUE(),COUNTIF(원본명단!$H$3:$H1617,원본명단!$H1617)=1),IF(원본명단!$I1617="",TRUE(),COUNTIF(원본명단!$I$3:$I1617,원본명단!$I1617)=1),IF(원본명단!$K1617="",TRUE(),COUNTIF(원본명단!$K$3:$K1617,원본명단!$K1617)=1)),"첫 건","중복 건")))</f>
        <v/>
      </c>
      <c r="J1618" s="11" t="str">
        <f aca="false">IF($A1618="","",IF($H1618="-","유지",IF($I1618="첫 건","유지","확인 필요")))</f>
        <v/>
      </c>
    </row>
    <row r="1619" customFormat="false" ht="15" hidden="false" customHeight="true" outlineLevel="0" collapsed="false">
      <c r="A1619" s="11" t="str">
        <f aca="false">IF(원본명단!$A1618="","",1616)</f>
        <v/>
      </c>
      <c r="B1619" s="12" t="str">
        <f aca="false">IF($A1619="","",원본명단!$A1618)</f>
        <v/>
      </c>
      <c r="C1619" s="12" t="str">
        <f aca="false">IF($A1619="","",원본명단!$B1618)</f>
        <v/>
      </c>
      <c r="D1619" s="12" t="str">
        <f aca="false">IF($A1619="","",원본명단!$D1618)</f>
        <v/>
      </c>
      <c r="E1619" s="11" t="str">
        <f aca="false">IF($A1619="","",IF(원본명단!$H1618="",0,COUNTIF(원본명단!$H$3:$H$6002,원본명단!$H1618)))</f>
        <v/>
      </c>
      <c r="F1619" s="11" t="str">
        <f aca="false">IF($A1619="","",IF(원본명단!$I1618="",0,COUNTIF(원본명단!$I$3:$I$6002,원본명단!$I1618)))</f>
        <v/>
      </c>
      <c r="G1619" s="11" t="str">
        <f aca="false">IF($A1619="","",IF(원본명단!$K1618="",0,COUNTIF(원본명단!$K$3:$K$6002,원본명단!$K1618)))</f>
        <v/>
      </c>
      <c r="H1619" s="11" t="str">
        <f aca="false">IF($A1619="","",IF(MAX($E1619,$F1619,$G1619)&gt;1,"중복","-"))</f>
        <v/>
      </c>
      <c r="I1619" s="11" t="str">
        <f aca="false">IF($A1619="","",IF($H1619="-","-",IF(AND(IF(원본명단!$H1618="",TRUE(),COUNTIF(원본명단!$H$3:$H1618,원본명단!$H1618)=1),IF(원본명단!$I1618="",TRUE(),COUNTIF(원본명단!$I$3:$I1618,원본명단!$I1618)=1),IF(원본명단!$K1618="",TRUE(),COUNTIF(원본명단!$K$3:$K1618,원본명단!$K1618)=1)),"첫 건","중복 건")))</f>
        <v/>
      </c>
      <c r="J1619" s="11" t="str">
        <f aca="false">IF($A1619="","",IF($H1619="-","유지",IF($I1619="첫 건","유지","확인 필요")))</f>
        <v/>
      </c>
    </row>
    <row r="1620" customFormat="false" ht="15" hidden="false" customHeight="true" outlineLevel="0" collapsed="false">
      <c r="A1620" s="11" t="str">
        <f aca="false">IF(원본명단!$A1619="","",1617)</f>
        <v/>
      </c>
      <c r="B1620" s="12" t="str">
        <f aca="false">IF($A1620="","",원본명단!$A1619)</f>
        <v/>
      </c>
      <c r="C1620" s="12" t="str">
        <f aca="false">IF($A1620="","",원본명단!$B1619)</f>
        <v/>
      </c>
      <c r="D1620" s="12" t="str">
        <f aca="false">IF($A1620="","",원본명단!$D1619)</f>
        <v/>
      </c>
      <c r="E1620" s="11" t="str">
        <f aca="false">IF($A1620="","",IF(원본명단!$H1619="",0,COUNTIF(원본명단!$H$3:$H$6002,원본명단!$H1619)))</f>
        <v/>
      </c>
      <c r="F1620" s="11" t="str">
        <f aca="false">IF($A1620="","",IF(원본명단!$I1619="",0,COUNTIF(원본명단!$I$3:$I$6002,원본명단!$I1619)))</f>
        <v/>
      </c>
      <c r="G1620" s="11" t="str">
        <f aca="false">IF($A1620="","",IF(원본명단!$K1619="",0,COUNTIF(원본명단!$K$3:$K$6002,원본명단!$K1619)))</f>
        <v/>
      </c>
      <c r="H1620" s="11" t="str">
        <f aca="false">IF($A1620="","",IF(MAX($E1620,$F1620,$G1620)&gt;1,"중복","-"))</f>
        <v/>
      </c>
      <c r="I1620" s="11" t="str">
        <f aca="false">IF($A1620="","",IF($H1620="-","-",IF(AND(IF(원본명단!$H1619="",TRUE(),COUNTIF(원본명단!$H$3:$H1619,원본명단!$H1619)=1),IF(원본명단!$I1619="",TRUE(),COUNTIF(원본명단!$I$3:$I1619,원본명단!$I1619)=1),IF(원본명단!$K1619="",TRUE(),COUNTIF(원본명단!$K$3:$K1619,원본명단!$K1619)=1)),"첫 건","중복 건")))</f>
        <v/>
      </c>
      <c r="J1620" s="11" t="str">
        <f aca="false">IF($A1620="","",IF($H1620="-","유지",IF($I1620="첫 건","유지","확인 필요")))</f>
        <v/>
      </c>
    </row>
    <row r="1621" customFormat="false" ht="15" hidden="false" customHeight="true" outlineLevel="0" collapsed="false">
      <c r="A1621" s="11" t="str">
        <f aca="false">IF(원본명단!$A1620="","",1618)</f>
        <v/>
      </c>
      <c r="B1621" s="12" t="str">
        <f aca="false">IF($A1621="","",원본명단!$A1620)</f>
        <v/>
      </c>
      <c r="C1621" s="12" t="str">
        <f aca="false">IF($A1621="","",원본명단!$B1620)</f>
        <v/>
      </c>
      <c r="D1621" s="12" t="str">
        <f aca="false">IF($A1621="","",원본명단!$D1620)</f>
        <v/>
      </c>
      <c r="E1621" s="11" t="str">
        <f aca="false">IF($A1621="","",IF(원본명단!$H1620="",0,COUNTIF(원본명단!$H$3:$H$6002,원본명단!$H1620)))</f>
        <v/>
      </c>
      <c r="F1621" s="11" t="str">
        <f aca="false">IF($A1621="","",IF(원본명단!$I1620="",0,COUNTIF(원본명단!$I$3:$I$6002,원본명단!$I1620)))</f>
        <v/>
      </c>
      <c r="G1621" s="11" t="str">
        <f aca="false">IF($A1621="","",IF(원본명단!$K1620="",0,COUNTIF(원본명단!$K$3:$K$6002,원본명단!$K1620)))</f>
        <v/>
      </c>
      <c r="H1621" s="11" t="str">
        <f aca="false">IF($A1621="","",IF(MAX($E1621,$F1621,$G1621)&gt;1,"중복","-"))</f>
        <v/>
      </c>
      <c r="I1621" s="11" t="str">
        <f aca="false">IF($A1621="","",IF($H1621="-","-",IF(AND(IF(원본명단!$H1620="",TRUE(),COUNTIF(원본명단!$H$3:$H1620,원본명단!$H1620)=1),IF(원본명단!$I1620="",TRUE(),COUNTIF(원본명단!$I$3:$I1620,원본명단!$I1620)=1),IF(원본명단!$K1620="",TRUE(),COUNTIF(원본명단!$K$3:$K1620,원본명단!$K1620)=1)),"첫 건","중복 건")))</f>
        <v/>
      </c>
      <c r="J1621" s="11" t="str">
        <f aca="false">IF($A1621="","",IF($H1621="-","유지",IF($I1621="첫 건","유지","확인 필요")))</f>
        <v/>
      </c>
    </row>
    <row r="1622" customFormat="false" ht="15" hidden="false" customHeight="true" outlineLevel="0" collapsed="false">
      <c r="A1622" s="11" t="str">
        <f aca="false">IF(원본명단!$A1621="","",1619)</f>
        <v/>
      </c>
      <c r="B1622" s="12" t="str">
        <f aca="false">IF($A1622="","",원본명단!$A1621)</f>
        <v/>
      </c>
      <c r="C1622" s="12" t="str">
        <f aca="false">IF($A1622="","",원본명단!$B1621)</f>
        <v/>
      </c>
      <c r="D1622" s="12" t="str">
        <f aca="false">IF($A1622="","",원본명단!$D1621)</f>
        <v/>
      </c>
      <c r="E1622" s="11" t="str">
        <f aca="false">IF($A1622="","",IF(원본명단!$H1621="",0,COUNTIF(원본명단!$H$3:$H$6002,원본명단!$H1621)))</f>
        <v/>
      </c>
      <c r="F1622" s="11" t="str">
        <f aca="false">IF($A1622="","",IF(원본명단!$I1621="",0,COUNTIF(원본명단!$I$3:$I$6002,원본명단!$I1621)))</f>
        <v/>
      </c>
      <c r="G1622" s="11" t="str">
        <f aca="false">IF($A1622="","",IF(원본명단!$K1621="",0,COUNTIF(원본명단!$K$3:$K$6002,원본명단!$K1621)))</f>
        <v/>
      </c>
      <c r="H1622" s="11" t="str">
        <f aca="false">IF($A1622="","",IF(MAX($E1622,$F1622,$G1622)&gt;1,"중복","-"))</f>
        <v/>
      </c>
      <c r="I1622" s="11" t="str">
        <f aca="false">IF($A1622="","",IF($H1622="-","-",IF(AND(IF(원본명단!$H1621="",TRUE(),COUNTIF(원본명단!$H$3:$H1621,원본명단!$H1621)=1),IF(원본명단!$I1621="",TRUE(),COUNTIF(원본명단!$I$3:$I1621,원본명단!$I1621)=1),IF(원본명단!$K1621="",TRUE(),COUNTIF(원본명단!$K$3:$K1621,원본명단!$K1621)=1)),"첫 건","중복 건")))</f>
        <v/>
      </c>
      <c r="J1622" s="11" t="str">
        <f aca="false">IF($A1622="","",IF($H1622="-","유지",IF($I1622="첫 건","유지","확인 필요")))</f>
        <v/>
      </c>
    </row>
    <row r="1623" customFormat="false" ht="15" hidden="false" customHeight="true" outlineLevel="0" collapsed="false">
      <c r="A1623" s="11" t="str">
        <f aca="false">IF(원본명단!$A1622="","",1620)</f>
        <v/>
      </c>
      <c r="B1623" s="12" t="str">
        <f aca="false">IF($A1623="","",원본명단!$A1622)</f>
        <v/>
      </c>
      <c r="C1623" s="12" t="str">
        <f aca="false">IF($A1623="","",원본명단!$B1622)</f>
        <v/>
      </c>
      <c r="D1623" s="12" t="str">
        <f aca="false">IF($A1623="","",원본명단!$D1622)</f>
        <v/>
      </c>
      <c r="E1623" s="11" t="str">
        <f aca="false">IF($A1623="","",IF(원본명단!$H1622="",0,COUNTIF(원본명단!$H$3:$H$6002,원본명단!$H1622)))</f>
        <v/>
      </c>
      <c r="F1623" s="11" t="str">
        <f aca="false">IF($A1623="","",IF(원본명단!$I1622="",0,COUNTIF(원본명단!$I$3:$I$6002,원본명단!$I1622)))</f>
        <v/>
      </c>
      <c r="G1623" s="11" t="str">
        <f aca="false">IF($A1623="","",IF(원본명단!$K1622="",0,COUNTIF(원본명단!$K$3:$K$6002,원본명단!$K1622)))</f>
        <v/>
      </c>
      <c r="H1623" s="11" t="str">
        <f aca="false">IF($A1623="","",IF(MAX($E1623,$F1623,$G1623)&gt;1,"중복","-"))</f>
        <v/>
      </c>
      <c r="I1623" s="11" t="str">
        <f aca="false">IF($A1623="","",IF($H1623="-","-",IF(AND(IF(원본명단!$H1622="",TRUE(),COUNTIF(원본명단!$H$3:$H1622,원본명단!$H1622)=1),IF(원본명단!$I1622="",TRUE(),COUNTIF(원본명단!$I$3:$I1622,원본명단!$I1622)=1),IF(원본명단!$K1622="",TRUE(),COUNTIF(원본명단!$K$3:$K1622,원본명단!$K1622)=1)),"첫 건","중복 건")))</f>
        <v/>
      </c>
      <c r="J1623" s="11" t="str">
        <f aca="false">IF($A1623="","",IF($H1623="-","유지",IF($I1623="첫 건","유지","확인 필요")))</f>
        <v/>
      </c>
    </row>
    <row r="1624" customFormat="false" ht="15" hidden="false" customHeight="true" outlineLevel="0" collapsed="false">
      <c r="A1624" s="11" t="str">
        <f aca="false">IF(원본명단!$A1623="","",1621)</f>
        <v/>
      </c>
      <c r="B1624" s="12" t="str">
        <f aca="false">IF($A1624="","",원본명단!$A1623)</f>
        <v/>
      </c>
      <c r="C1624" s="12" t="str">
        <f aca="false">IF($A1624="","",원본명단!$B1623)</f>
        <v/>
      </c>
      <c r="D1624" s="12" t="str">
        <f aca="false">IF($A1624="","",원본명단!$D1623)</f>
        <v/>
      </c>
      <c r="E1624" s="11" t="str">
        <f aca="false">IF($A1624="","",IF(원본명단!$H1623="",0,COUNTIF(원본명단!$H$3:$H$6002,원본명단!$H1623)))</f>
        <v/>
      </c>
      <c r="F1624" s="11" t="str">
        <f aca="false">IF($A1624="","",IF(원본명단!$I1623="",0,COUNTIF(원본명단!$I$3:$I$6002,원본명단!$I1623)))</f>
        <v/>
      </c>
      <c r="G1624" s="11" t="str">
        <f aca="false">IF($A1624="","",IF(원본명단!$K1623="",0,COUNTIF(원본명단!$K$3:$K$6002,원본명단!$K1623)))</f>
        <v/>
      </c>
      <c r="H1624" s="11" t="str">
        <f aca="false">IF($A1624="","",IF(MAX($E1624,$F1624,$G1624)&gt;1,"중복","-"))</f>
        <v/>
      </c>
      <c r="I1624" s="11" t="str">
        <f aca="false">IF($A1624="","",IF($H1624="-","-",IF(AND(IF(원본명단!$H1623="",TRUE(),COUNTIF(원본명단!$H$3:$H1623,원본명단!$H1623)=1),IF(원본명단!$I1623="",TRUE(),COUNTIF(원본명단!$I$3:$I1623,원본명단!$I1623)=1),IF(원본명단!$K1623="",TRUE(),COUNTIF(원본명단!$K$3:$K1623,원본명단!$K1623)=1)),"첫 건","중복 건")))</f>
        <v/>
      </c>
      <c r="J1624" s="11" t="str">
        <f aca="false">IF($A1624="","",IF($H1624="-","유지",IF($I1624="첫 건","유지","확인 필요")))</f>
        <v/>
      </c>
    </row>
    <row r="1625" customFormat="false" ht="15" hidden="false" customHeight="true" outlineLevel="0" collapsed="false">
      <c r="A1625" s="11" t="str">
        <f aca="false">IF(원본명단!$A1624="","",1622)</f>
        <v/>
      </c>
      <c r="B1625" s="12" t="str">
        <f aca="false">IF($A1625="","",원본명단!$A1624)</f>
        <v/>
      </c>
      <c r="C1625" s="12" t="str">
        <f aca="false">IF($A1625="","",원본명단!$B1624)</f>
        <v/>
      </c>
      <c r="D1625" s="12" t="str">
        <f aca="false">IF($A1625="","",원본명단!$D1624)</f>
        <v/>
      </c>
      <c r="E1625" s="11" t="str">
        <f aca="false">IF($A1625="","",IF(원본명단!$H1624="",0,COUNTIF(원본명단!$H$3:$H$6002,원본명단!$H1624)))</f>
        <v/>
      </c>
      <c r="F1625" s="11" t="str">
        <f aca="false">IF($A1625="","",IF(원본명단!$I1624="",0,COUNTIF(원본명단!$I$3:$I$6002,원본명단!$I1624)))</f>
        <v/>
      </c>
      <c r="G1625" s="11" t="str">
        <f aca="false">IF($A1625="","",IF(원본명단!$K1624="",0,COUNTIF(원본명단!$K$3:$K$6002,원본명단!$K1624)))</f>
        <v/>
      </c>
      <c r="H1625" s="11" t="str">
        <f aca="false">IF($A1625="","",IF(MAX($E1625,$F1625,$G1625)&gt;1,"중복","-"))</f>
        <v/>
      </c>
      <c r="I1625" s="11" t="str">
        <f aca="false">IF($A1625="","",IF($H1625="-","-",IF(AND(IF(원본명단!$H1624="",TRUE(),COUNTIF(원본명단!$H$3:$H1624,원본명단!$H1624)=1),IF(원본명단!$I1624="",TRUE(),COUNTIF(원본명단!$I$3:$I1624,원본명단!$I1624)=1),IF(원본명단!$K1624="",TRUE(),COUNTIF(원본명단!$K$3:$K1624,원본명단!$K1624)=1)),"첫 건","중복 건")))</f>
        <v/>
      </c>
      <c r="J1625" s="11" t="str">
        <f aca="false">IF($A1625="","",IF($H1625="-","유지",IF($I1625="첫 건","유지","확인 필요")))</f>
        <v/>
      </c>
    </row>
    <row r="1626" customFormat="false" ht="15" hidden="false" customHeight="true" outlineLevel="0" collapsed="false">
      <c r="A1626" s="11" t="str">
        <f aca="false">IF(원본명단!$A1625="","",1623)</f>
        <v/>
      </c>
      <c r="B1626" s="12" t="str">
        <f aca="false">IF($A1626="","",원본명단!$A1625)</f>
        <v/>
      </c>
      <c r="C1626" s="12" t="str">
        <f aca="false">IF($A1626="","",원본명단!$B1625)</f>
        <v/>
      </c>
      <c r="D1626" s="12" t="str">
        <f aca="false">IF($A1626="","",원본명단!$D1625)</f>
        <v/>
      </c>
      <c r="E1626" s="11" t="str">
        <f aca="false">IF($A1626="","",IF(원본명단!$H1625="",0,COUNTIF(원본명단!$H$3:$H$6002,원본명단!$H1625)))</f>
        <v/>
      </c>
      <c r="F1626" s="11" t="str">
        <f aca="false">IF($A1626="","",IF(원본명단!$I1625="",0,COUNTIF(원본명단!$I$3:$I$6002,원본명단!$I1625)))</f>
        <v/>
      </c>
      <c r="G1626" s="11" t="str">
        <f aca="false">IF($A1626="","",IF(원본명단!$K1625="",0,COUNTIF(원본명단!$K$3:$K$6002,원본명단!$K1625)))</f>
        <v/>
      </c>
      <c r="H1626" s="11" t="str">
        <f aca="false">IF($A1626="","",IF(MAX($E1626,$F1626,$G1626)&gt;1,"중복","-"))</f>
        <v/>
      </c>
      <c r="I1626" s="11" t="str">
        <f aca="false">IF($A1626="","",IF($H1626="-","-",IF(AND(IF(원본명단!$H1625="",TRUE(),COUNTIF(원본명단!$H$3:$H1625,원본명단!$H1625)=1),IF(원본명단!$I1625="",TRUE(),COUNTIF(원본명단!$I$3:$I1625,원본명단!$I1625)=1),IF(원본명단!$K1625="",TRUE(),COUNTIF(원본명단!$K$3:$K1625,원본명단!$K1625)=1)),"첫 건","중복 건")))</f>
        <v/>
      </c>
      <c r="J1626" s="11" t="str">
        <f aca="false">IF($A1626="","",IF($H1626="-","유지",IF($I1626="첫 건","유지","확인 필요")))</f>
        <v/>
      </c>
    </row>
    <row r="1627" customFormat="false" ht="15" hidden="false" customHeight="true" outlineLevel="0" collapsed="false">
      <c r="A1627" s="11" t="str">
        <f aca="false">IF(원본명단!$A1626="","",1624)</f>
        <v/>
      </c>
      <c r="B1627" s="12" t="str">
        <f aca="false">IF($A1627="","",원본명단!$A1626)</f>
        <v/>
      </c>
      <c r="C1627" s="12" t="str">
        <f aca="false">IF($A1627="","",원본명단!$B1626)</f>
        <v/>
      </c>
      <c r="D1627" s="12" t="str">
        <f aca="false">IF($A1627="","",원본명단!$D1626)</f>
        <v/>
      </c>
      <c r="E1627" s="11" t="str">
        <f aca="false">IF($A1627="","",IF(원본명단!$H1626="",0,COUNTIF(원본명단!$H$3:$H$6002,원본명단!$H1626)))</f>
        <v/>
      </c>
      <c r="F1627" s="11" t="str">
        <f aca="false">IF($A1627="","",IF(원본명단!$I1626="",0,COUNTIF(원본명단!$I$3:$I$6002,원본명단!$I1626)))</f>
        <v/>
      </c>
      <c r="G1627" s="11" t="str">
        <f aca="false">IF($A1627="","",IF(원본명단!$K1626="",0,COUNTIF(원본명단!$K$3:$K$6002,원본명단!$K1626)))</f>
        <v/>
      </c>
      <c r="H1627" s="11" t="str">
        <f aca="false">IF($A1627="","",IF(MAX($E1627,$F1627,$G1627)&gt;1,"중복","-"))</f>
        <v/>
      </c>
      <c r="I1627" s="11" t="str">
        <f aca="false">IF($A1627="","",IF($H1627="-","-",IF(AND(IF(원본명단!$H1626="",TRUE(),COUNTIF(원본명단!$H$3:$H1626,원본명단!$H1626)=1),IF(원본명단!$I1626="",TRUE(),COUNTIF(원본명단!$I$3:$I1626,원본명단!$I1626)=1),IF(원본명단!$K1626="",TRUE(),COUNTIF(원본명단!$K$3:$K1626,원본명단!$K1626)=1)),"첫 건","중복 건")))</f>
        <v/>
      </c>
      <c r="J1627" s="11" t="str">
        <f aca="false">IF($A1627="","",IF($H1627="-","유지",IF($I1627="첫 건","유지","확인 필요")))</f>
        <v/>
      </c>
    </row>
    <row r="1628" customFormat="false" ht="15" hidden="false" customHeight="true" outlineLevel="0" collapsed="false">
      <c r="A1628" s="11" t="str">
        <f aca="false">IF(원본명단!$A1627="","",1625)</f>
        <v/>
      </c>
      <c r="B1628" s="12" t="str">
        <f aca="false">IF($A1628="","",원본명단!$A1627)</f>
        <v/>
      </c>
      <c r="C1628" s="12" t="str">
        <f aca="false">IF($A1628="","",원본명단!$B1627)</f>
        <v/>
      </c>
      <c r="D1628" s="12" t="str">
        <f aca="false">IF($A1628="","",원본명단!$D1627)</f>
        <v/>
      </c>
      <c r="E1628" s="11" t="str">
        <f aca="false">IF($A1628="","",IF(원본명단!$H1627="",0,COUNTIF(원본명단!$H$3:$H$6002,원본명단!$H1627)))</f>
        <v/>
      </c>
      <c r="F1628" s="11" t="str">
        <f aca="false">IF($A1628="","",IF(원본명단!$I1627="",0,COUNTIF(원본명단!$I$3:$I$6002,원본명단!$I1627)))</f>
        <v/>
      </c>
      <c r="G1628" s="11" t="str">
        <f aca="false">IF($A1628="","",IF(원본명단!$K1627="",0,COUNTIF(원본명단!$K$3:$K$6002,원본명단!$K1627)))</f>
        <v/>
      </c>
      <c r="H1628" s="11" t="str">
        <f aca="false">IF($A1628="","",IF(MAX($E1628,$F1628,$G1628)&gt;1,"중복","-"))</f>
        <v/>
      </c>
      <c r="I1628" s="11" t="str">
        <f aca="false">IF($A1628="","",IF($H1628="-","-",IF(AND(IF(원본명단!$H1627="",TRUE(),COUNTIF(원본명단!$H$3:$H1627,원본명단!$H1627)=1),IF(원본명단!$I1627="",TRUE(),COUNTIF(원본명단!$I$3:$I1627,원본명단!$I1627)=1),IF(원본명단!$K1627="",TRUE(),COUNTIF(원본명단!$K$3:$K1627,원본명단!$K1627)=1)),"첫 건","중복 건")))</f>
        <v/>
      </c>
      <c r="J1628" s="11" t="str">
        <f aca="false">IF($A1628="","",IF($H1628="-","유지",IF($I1628="첫 건","유지","확인 필요")))</f>
        <v/>
      </c>
    </row>
    <row r="1629" customFormat="false" ht="15" hidden="false" customHeight="true" outlineLevel="0" collapsed="false">
      <c r="A1629" s="11" t="str">
        <f aca="false">IF(원본명단!$A1628="","",1626)</f>
        <v/>
      </c>
      <c r="B1629" s="12" t="str">
        <f aca="false">IF($A1629="","",원본명단!$A1628)</f>
        <v/>
      </c>
      <c r="C1629" s="12" t="str">
        <f aca="false">IF($A1629="","",원본명단!$B1628)</f>
        <v/>
      </c>
      <c r="D1629" s="12" t="str">
        <f aca="false">IF($A1629="","",원본명단!$D1628)</f>
        <v/>
      </c>
      <c r="E1629" s="11" t="str">
        <f aca="false">IF($A1629="","",IF(원본명단!$H1628="",0,COUNTIF(원본명단!$H$3:$H$6002,원본명단!$H1628)))</f>
        <v/>
      </c>
      <c r="F1629" s="11" t="str">
        <f aca="false">IF($A1629="","",IF(원본명단!$I1628="",0,COUNTIF(원본명단!$I$3:$I$6002,원본명단!$I1628)))</f>
        <v/>
      </c>
      <c r="G1629" s="11" t="str">
        <f aca="false">IF($A1629="","",IF(원본명단!$K1628="",0,COUNTIF(원본명단!$K$3:$K$6002,원본명단!$K1628)))</f>
        <v/>
      </c>
      <c r="H1629" s="11" t="str">
        <f aca="false">IF($A1629="","",IF(MAX($E1629,$F1629,$G1629)&gt;1,"중복","-"))</f>
        <v/>
      </c>
      <c r="I1629" s="11" t="str">
        <f aca="false">IF($A1629="","",IF($H1629="-","-",IF(AND(IF(원본명단!$H1628="",TRUE(),COUNTIF(원본명단!$H$3:$H1628,원본명단!$H1628)=1),IF(원본명단!$I1628="",TRUE(),COUNTIF(원본명단!$I$3:$I1628,원본명단!$I1628)=1),IF(원본명단!$K1628="",TRUE(),COUNTIF(원본명단!$K$3:$K1628,원본명단!$K1628)=1)),"첫 건","중복 건")))</f>
        <v/>
      </c>
      <c r="J1629" s="11" t="str">
        <f aca="false">IF($A1629="","",IF($H1629="-","유지",IF($I1629="첫 건","유지","확인 필요")))</f>
        <v/>
      </c>
    </row>
    <row r="1630" customFormat="false" ht="15" hidden="false" customHeight="true" outlineLevel="0" collapsed="false">
      <c r="A1630" s="11" t="str">
        <f aca="false">IF(원본명단!$A1629="","",1627)</f>
        <v/>
      </c>
      <c r="B1630" s="12" t="str">
        <f aca="false">IF($A1630="","",원본명단!$A1629)</f>
        <v/>
      </c>
      <c r="C1630" s="12" t="str">
        <f aca="false">IF($A1630="","",원본명단!$B1629)</f>
        <v/>
      </c>
      <c r="D1630" s="12" t="str">
        <f aca="false">IF($A1630="","",원본명단!$D1629)</f>
        <v/>
      </c>
      <c r="E1630" s="11" t="str">
        <f aca="false">IF($A1630="","",IF(원본명단!$H1629="",0,COUNTIF(원본명단!$H$3:$H$6002,원본명단!$H1629)))</f>
        <v/>
      </c>
      <c r="F1630" s="11" t="str">
        <f aca="false">IF($A1630="","",IF(원본명단!$I1629="",0,COUNTIF(원본명단!$I$3:$I$6002,원본명단!$I1629)))</f>
        <v/>
      </c>
      <c r="G1630" s="11" t="str">
        <f aca="false">IF($A1630="","",IF(원본명단!$K1629="",0,COUNTIF(원본명단!$K$3:$K$6002,원본명단!$K1629)))</f>
        <v/>
      </c>
      <c r="H1630" s="11" t="str">
        <f aca="false">IF($A1630="","",IF(MAX($E1630,$F1630,$G1630)&gt;1,"중복","-"))</f>
        <v/>
      </c>
      <c r="I1630" s="11" t="str">
        <f aca="false">IF($A1630="","",IF($H1630="-","-",IF(AND(IF(원본명단!$H1629="",TRUE(),COUNTIF(원본명단!$H$3:$H1629,원본명단!$H1629)=1),IF(원본명단!$I1629="",TRUE(),COUNTIF(원본명단!$I$3:$I1629,원본명단!$I1629)=1),IF(원본명단!$K1629="",TRUE(),COUNTIF(원본명단!$K$3:$K1629,원본명단!$K1629)=1)),"첫 건","중복 건")))</f>
        <v/>
      </c>
      <c r="J1630" s="11" t="str">
        <f aca="false">IF($A1630="","",IF($H1630="-","유지",IF($I1630="첫 건","유지","확인 필요")))</f>
        <v/>
      </c>
    </row>
    <row r="1631" customFormat="false" ht="15" hidden="false" customHeight="true" outlineLevel="0" collapsed="false">
      <c r="A1631" s="11" t="str">
        <f aca="false">IF(원본명단!$A1630="","",1628)</f>
        <v/>
      </c>
      <c r="B1631" s="12" t="str">
        <f aca="false">IF($A1631="","",원본명단!$A1630)</f>
        <v/>
      </c>
      <c r="C1631" s="12" t="str">
        <f aca="false">IF($A1631="","",원본명단!$B1630)</f>
        <v/>
      </c>
      <c r="D1631" s="12" t="str">
        <f aca="false">IF($A1631="","",원본명단!$D1630)</f>
        <v/>
      </c>
      <c r="E1631" s="11" t="str">
        <f aca="false">IF($A1631="","",IF(원본명단!$H1630="",0,COUNTIF(원본명단!$H$3:$H$6002,원본명단!$H1630)))</f>
        <v/>
      </c>
      <c r="F1631" s="11" t="str">
        <f aca="false">IF($A1631="","",IF(원본명단!$I1630="",0,COUNTIF(원본명단!$I$3:$I$6002,원본명단!$I1630)))</f>
        <v/>
      </c>
      <c r="G1631" s="11" t="str">
        <f aca="false">IF($A1631="","",IF(원본명단!$K1630="",0,COUNTIF(원본명단!$K$3:$K$6002,원본명단!$K1630)))</f>
        <v/>
      </c>
      <c r="H1631" s="11" t="str">
        <f aca="false">IF($A1631="","",IF(MAX($E1631,$F1631,$G1631)&gt;1,"중복","-"))</f>
        <v/>
      </c>
      <c r="I1631" s="11" t="str">
        <f aca="false">IF($A1631="","",IF($H1631="-","-",IF(AND(IF(원본명단!$H1630="",TRUE(),COUNTIF(원본명단!$H$3:$H1630,원본명단!$H1630)=1),IF(원본명단!$I1630="",TRUE(),COUNTIF(원본명단!$I$3:$I1630,원본명단!$I1630)=1),IF(원본명단!$K1630="",TRUE(),COUNTIF(원본명단!$K$3:$K1630,원본명단!$K1630)=1)),"첫 건","중복 건")))</f>
        <v/>
      </c>
      <c r="J1631" s="11" t="str">
        <f aca="false">IF($A1631="","",IF($H1631="-","유지",IF($I1631="첫 건","유지","확인 필요")))</f>
        <v/>
      </c>
    </row>
    <row r="1632" customFormat="false" ht="15" hidden="false" customHeight="true" outlineLevel="0" collapsed="false">
      <c r="A1632" s="11" t="str">
        <f aca="false">IF(원본명단!$A1631="","",1629)</f>
        <v/>
      </c>
      <c r="B1632" s="12" t="str">
        <f aca="false">IF($A1632="","",원본명단!$A1631)</f>
        <v/>
      </c>
      <c r="C1632" s="12" t="str">
        <f aca="false">IF($A1632="","",원본명단!$B1631)</f>
        <v/>
      </c>
      <c r="D1632" s="12" t="str">
        <f aca="false">IF($A1632="","",원본명단!$D1631)</f>
        <v/>
      </c>
      <c r="E1632" s="11" t="str">
        <f aca="false">IF($A1632="","",IF(원본명단!$H1631="",0,COUNTIF(원본명단!$H$3:$H$6002,원본명단!$H1631)))</f>
        <v/>
      </c>
      <c r="F1632" s="11" t="str">
        <f aca="false">IF($A1632="","",IF(원본명단!$I1631="",0,COUNTIF(원본명단!$I$3:$I$6002,원본명단!$I1631)))</f>
        <v/>
      </c>
      <c r="G1632" s="11" t="str">
        <f aca="false">IF($A1632="","",IF(원본명단!$K1631="",0,COUNTIF(원본명단!$K$3:$K$6002,원본명단!$K1631)))</f>
        <v/>
      </c>
      <c r="H1632" s="11" t="str">
        <f aca="false">IF($A1632="","",IF(MAX($E1632,$F1632,$G1632)&gt;1,"중복","-"))</f>
        <v/>
      </c>
      <c r="I1632" s="11" t="str">
        <f aca="false">IF($A1632="","",IF($H1632="-","-",IF(AND(IF(원본명단!$H1631="",TRUE(),COUNTIF(원본명단!$H$3:$H1631,원본명단!$H1631)=1),IF(원본명단!$I1631="",TRUE(),COUNTIF(원본명단!$I$3:$I1631,원본명단!$I1631)=1),IF(원본명단!$K1631="",TRUE(),COUNTIF(원본명단!$K$3:$K1631,원본명단!$K1631)=1)),"첫 건","중복 건")))</f>
        <v/>
      </c>
      <c r="J1632" s="11" t="str">
        <f aca="false">IF($A1632="","",IF($H1632="-","유지",IF($I1632="첫 건","유지","확인 필요")))</f>
        <v/>
      </c>
    </row>
    <row r="1633" customFormat="false" ht="15" hidden="false" customHeight="true" outlineLevel="0" collapsed="false">
      <c r="A1633" s="11" t="str">
        <f aca="false">IF(원본명단!$A1632="","",1630)</f>
        <v/>
      </c>
      <c r="B1633" s="12" t="str">
        <f aca="false">IF($A1633="","",원본명단!$A1632)</f>
        <v/>
      </c>
      <c r="C1633" s="12" t="str">
        <f aca="false">IF($A1633="","",원본명단!$B1632)</f>
        <v/>
      </c>
      <c r="D1633" s="12" t="str">
        <f aca="false">IF($A1633="","",원본명단!$D1632)</f>
        <v/>
      </c>
      <c r="E1633" s="11" t="str">
        <f aca="false">IF($A1633="","",IF(원본명단!$H1632="",0,COUNTIF(원본명단!$H$3:$H$6002,원본명단!$H1632)))</f>
        <v/>
      </c>
      <c r="F1633" s="11" t="str">
        <f aca="false">IF($A1633="","",IF(원본명단!$I1632="",0,COUNTIF(원본명단!$I$3:$I$6002,원본명단!$I1632)))</f>
        <v/>
      </c>
      <c r="G1633" s="11" t="str">
        <f aca="false">IF($A1633="","",IF(원본명단!$K1632="",0,COUNTIF(원본명단!$K$3:$K$6002,원본명단!$K1632)))</f>
        <v/>
      </c>
      <c r="H1633" s="11" t="str">
        <f aca="false">IF($A1633="","",IF(MAX($E1633,$F1633,$G1633)&gt;1,"중복","-"))</f>
        <v/>
      </c>
      <c r="I1633" s="11" t="str">
        <f aca="false">IF($A1633="","",IF($H1633="-","-",IF(AND(IF(원본명단!$H1632="",TRUE(),COUNTIF(원본명단!$H$3:$H1632,원본명단!$H1632)=1),IF(원본명단!$I1632="",TRUE(),COUNTIF(원본명단!$I$3:$I1632,원본명단!$I1632)=1),IF(원본명단!$K1632="",TRUE(),COUNTIF(원본명단!$K$3:$K1632,원본명단!$K1632)=1)),"첫 건","중복 건")))</f>
        <v/>
      </c>
      <c r="J1633" s="11" t="str">
        <f aca="false">IF($A1633="","",IF($H1633="-","유지",IF($I1633="첫 건","유지","확인 필요")))</f>
        <v/>
      </c>
    </row>
    <row r="1634" customFormat="false" ht="15" hidden="false" customHeight="true" outlineLevel="0" collapsed="false">
      <c r="A1634" s="11" t="str">
        <f aca="false">IF(원본명단!$A1633="","",1631)</f>
        <v/>
      </c>
      <c r="B1634" s="12" t="str">
        <f aca="false">IF($A1634="","",원본명단!$A1633)</f>
        <v/>
      </c>
      <c r="C1634" s="12" t="str">
        <f aca="false">IF($A1634="","",원본명단!$B1633)</f>
        <v/>
      </c>
      <c r="D1634" s="12" t="str">
        <f aca="false">IF($A1634="","",원본명단!$D1633)</f>
        <v/>
      </c>
      <c r="E1634" s="11" t="str">
        <f aca="false">IF($A1634="","",IF(원본명단!$H1633="",0,COUNTIF(원본명단!$H$3:$H$6002,원본명단!$H1633)))</f>
        <v/>
      </c>
      <c r="F1634" s="11" t="str">
        <f aca="false">IF($A1634="","",IF(원본명단!$I1633="",0,COUNTIF(원본명단!$I$3:$I$6002,원본명단!$I1633)))</f>
        <v/>
      </c>
      <c r="G1634" s="11" t="str">
        <f aca="false">IF($A1634="","",IF(원본명단!$K1633="",0,COUNTIF(원본명단!$K$3:$K$6002,원본명단!$K1633)))</f>
        <v/>
      </c>
      <c r="H1634" s="11" t="str">
        <f aca="false">IF($A1634="","",IF(MAX($E1634,$F1634,$G1634)&gt;1,"중복","-"))</f>
        <v/>
      </c>
      <c r="I1634" s="11" t="str">
        <f aca="false">IF($A1634="","",IF($H1634="-","-",IF(AND(IF(원본명단!$H1633="",TRUE(),COUNTIF(원본명단!$H$3:$H1633,원본명단!$H1633)=1),IF(원본명단!$I1633="",TRUE(),COUNTIF(원본명단!$I$3:$I1633,원본명단!$I1633)=1),IF(원본명단!$K1633="",TRUE(),COUNTIF(원본명단!$K$3:$K1633,원본명단!$K1633)=1)),"첫 건","중복 건")))</f>
        <v/>
      </c>
      <c r="J1634" s="11" t="str">
        <f aca="false">IF($A1634="","",IF($H1634="-","유지",IF($I1634="첫 건","유지","확인 필요")))</f>
        <v/>
      </c>
    </row>
    <row r="1635" customFormat="false" ht="15" hidden="false" customHeight="true" outlineLevel="0" collapsed="false">
      <c r="A1635" s="11" t="str">
        <f aca="false">IF(원본명단!$A1634="","",1632)</f>
        <v/>
      </c>
      <c r="B1635" s="12" t="str">
        <f aca="false">IF($A1635="","",원본명단!$A1634)</f>
        <v/>
      </c>
      <c r="C1635" s="12" t="str">
        <f aca="false">IF($A1635="","",원본명단!$B1634)</f>
        <v/>
      </c>
      <c r="D1635" s="12" t="str">
        <f aca="false">IF($A1635="","",원본명단!$D1634)</f>
        <v/>
      </c>
      <c r="E1635" s="11" t="str">
        <f aca="false">IF($A1635="","",IF(원본명단!$H1634="",0,COUNTIF(원본명단!$H$3:$H$6002,원본명단!$H1634)))</f>
        <v/>
      </c>
      <c r="F1635" s="11" t="str">
        <f aca="false">IF($A1635="","",IF(원본명단!$I1634="",0,COUNTIF(원본명단!$I$3:$I$6002,원본명단!$I1634)))</f>
        <v/>
      </c>
      <c r="G1635" s="11" t="str">
        <f aca="false">IF($A1635="","",IF(원본명단!$K1634="",0,COUNTIF(원본명단!$K$3:$K$6002,원본명단!$K1634)))</f>
        <v/>
      </c>
      <c r="H1635" s="11" t="str">
        <f aca="false">IF($A1635="","",IF(MAX($E1635,$F1635,$G1635)&gt;1,"중복","-"))</f>
        <v/>
      </c>
      <c r="I1635" s="11" t="str">
        <f aca="false">IF($A1635="","",IF($H1635="-","-",IF(AND(IF(원본명단!$H1634="",TRUE(),COUNTIF(원본명단!$H$3:$H1634,원본명단!$H1634)=1),IF(원본명단!$I1634="",TRUE(),COUNTIF(원본명단!$I$3:$I1634,원본명단!$I1634)=1),IF(원본명단!$K1634="",TRUE(),COUNTIF(원본명단!$K$3:$K1634,원본명단!$K1634)=1)),"첫 건","중복 건")))</f>
        <v/>
      </c>
      <c r="J1635" s="11" t="str">
        <f aca="false">IF($A1635="","",IF($H1635="-","유지",IF($I1635="첫 건","유지","확인 필요")))</f>
        <v/>
      </c>
    </row>
    <row r="1636" customFormat="false" ht="15" hidden="false" customHeight="true" outlineLevel="0" collapsed="false">
      <c r="A1636" s="11" t="str">
        <f aca="false">IF(원본명단!$A1635="","",1633)</f>
        <v/>
      </c>
      <c r="B1636" s="12" t="str">
        <f aca="false">IF($A1636="","",원본명단!$A1635)</f>
        <v/>
      </c>
      <c r="C1636" s="12" t="str">
        <f aca="false">IF($A1636="","",원본명단!$B1635)</f>
        <v/>
      </c>
      <c r="D1636" s="12" t="str">
        <f aca="false">IF($A1636="","",원본명단!$D1635)</f>
        <v/>
      </c>
      <c r="E1636" s="11" t="str">
        <f aca="false">IF($A1636="","",IF(원본명단!$H1635="",0,COUNTIF(원본명단!$H$3:$H$6002,원본명단!$H1635)))</f>
        <v/>
      </c>
      <c r="F1636" s="11" t="str">
        <f aca="false">IF($A1636="","",IF(원본명단!$I1635="",0,COUNTIF(원본명단!$I$3:$I$6002,원본명단!$I1635)))</f>
        <v/>
      </c>
      <c r="G1636" s="11" t="str">
        <f aca="false">IF($A1636="","",IF(원본명단!$K1635="",0,COUNTIF(원본명단!$K$3:$K$6002,원본명단!$K1635)))</f>
        <v/>
      </c>
      <c r="H1636" s="11" t="str">
        <f aca="false">IF($A1636="","",IF(MAX($E1636,$F1636,$G1636)&gt;1,"중복","-"))</f>
        <v/>
      </c>
      <c r="I1636" s="11" t="str">
        <f aca="false">IF($A1636="","",IF($H1636="-","-",IF(AND(IF(원본명단!$H1635="",TRUE(),COUNTIF(원본명단!$H$3:$H1635,원본명단!$H1635)=1),IF(원본명단!$I1635="",TRUE(),COUNTIF(원본명단!$I$3:$I1635,원본명단!$I1635)=1),IF(원본명단!$K1635="",TRUE(),COUNTIF(원본명단!$K$3:$K1635,원본명단!$K1635)=1)),"첫 건","중복 건")))</f>
        <v/>
      </c>
      <c r="J1636" s="11" t="str">
        <f aca="false">IF($A1636="","",IF($H1636="-","유지",IF($I1636="첫 건","유지","확인 필요")))</f>
        <v/>
      </c>
    </row>
    <row r="1637" customFormat="false" ht="15" hidden="false" customHeight="true" outlineLevel="0" collapsed="false">
      <c r="A1637" s="11" t="str">
        <f aca="false">IF(원본명단!$A1636="","",1634)</f>
        <v/>
      </c>
      <c r="B1637" s="12" t="str">
        <f aca="false">IF($A1637="","",원본명단!$A1636)</f>
        <v/>
      </c>
      <c r="C1637" s="12" t="str">
        <f aca="false">IF($A1637="","",원본명단!$B1636)</f>
        <v/>
      </c>
      <c r="D1637" s="12" t="str">
        <f aca="false">IF($A1637="","",원본명단!$D1636)</f>
        <v/>
      </c>
      <c r="E1637" s="11" t="str">
        <f aca="false">IF($A1637="","",IF(원본명단!$H1636="",0,COUNTIF(원본명단!$H$3:$H$6002,원본명단!$H1636)))</f>
        <v/>
      </c>
      <c r="F1637" s="11" t="str">
        <f aca="false">IF($A1637="","",IF(원본명단!$I1636="",0,COUNTIF(원본명단!$I$3:$I$6002,원본명단!$I1636)))</f>
        <v/>
      </c>
      <c r="G1637" s="11" t="str">
        <f aca="false">IF($A1637="","",IF(원본명단!$K1636="",0,COUNTIF(원본명단!$K$3:$K$6002,원본명단!$K1636)))</f>
        <v/>
      </c>
      <c r="H1637" s="11" t="str">
        <f aca="false">IF($A1637="","",IF(MAX($E1637,$F1637,$G1637)&gt;1,"중복","-"))</f>
        <v/>
      </c>
      <c r="I1637" s="11" t="str">
        <f aca="false">IF($A1637="","",IF($H1637="-","-",IF(AND(IF(원본명단!$H1636="",TRUE(),COUNTIF(원본명단!$H$3:$H1636,원본명단!$H1636)=1),IF(원본명단!$I1636="",TRUE(),COUNTIF(원본명단!$I$3:$I1636,원본명단!$I1636)=1),IF(원본명단!$K1636="",TRUE(),COUNTIF(원본명단!$K$3:$K1636,원본명단!$K1636)=1)),"첫 건","중복 건")))</f>
        <v/>
      </c>
      <c r="J1637" s="11" t="str">
        <f aca="false">IF($A1637="","",IF($H1637="-","유지",IF($I1637="첫 건","유지","확인 필요")))</f>
        <v/>
      </c>
    </row>
    <row r="1638" customFormat="false" ht="15" hidden="false" customHeight="true" outlineLevel="0" collapsed="false">
      <c r="A1638" s="11" t="str">
        <f aca="false">IF(원본명단!$A1637="","",1635)</f>
        <v/>
      </c>
      <c r="B1638" s="12" t="str">
        <f aca="false">IF($A1638="","",원본명단!$A1637)</f>
        <v/>
      </c>
      <c r="C1638" s="12" t="str">
        <f aca="false">IF($A1638="","",원본명단!$B1637)</f>
        <v/>
      </c>
      <c r="D1638" s="12" t="str">
        <f aca="false">IF($A1638="","",원본명단!$D1637)</f>
        <v/>
      </c>
      <c r="E1638" s="11" t="str">
        <f aca="false">IF($A1638="","",IF(원본명단!$H1637="",0,COUNTIF(원본명단!$H$3:$H$6002,원본명단!$H1637)))</f>
        <v/>
      </c>
      <c r="F1638" s="11" t="str">
        <f aca="false">IF($A1638="","",IF(원본명단!$I1637="",0,COUNTIF(원본명단!$I$3:$I$6002,원본명단!$I1637)))</f>
        <v/>
      </c>
      <c r="G1638" s="11" t="str">
        <f aca="false">IF($A1638="","",IF(원본명단!$K1637="",0,COUNTIF(원본명단!$K$3:$K$6002,원본명단!$K1637)))</f>
        <v/>
      </c>
      <c r="H1638" s="11" t="str">
        <f aca="false">IF($A1638="","",IF(MAX($E1638,$F1638,$G1638)&gt;1,"중복","-"))</f>
        <v/>
      </c>
      <c r="I1638" s="11" t="str">
        <f aca="false">IF($A1638="","",IF($H1638="-","-",IF(AND(IF(원본명단!$H1637="",TRUE(),COUNTIF(원본명단!$H$3:$H1637,원본명단!$H1637)=1),IF(원본명단!$I1637="",TRUE(),COUNTIF(원본명단!$I$3:$I1637,원본명단!$I1637)=1),IF(원본명단!$K1637="",TRUE(),COUNTIF(원본명단!$K$3:$K1637,원본명단!$K1637)=1)),"첫 건","중복 건")))</f>
        <v/>
      </c>
      <c r="J1638" s="11" t="str">
        <f aca="false">IF($A1638="","",IF($H1638="-","유지",IF($I1638="첫 건","유지","확인 필요")))</f>
        <v/>
      </c>
    </row>
    <row r="1639" customFormat="false" ht="15" hidden="false" customHeight="true" outlineLevel="0" collapsed="false">
      <c r="A1639" s="11" t="str">
        <f aca="false">IF(원본명단!$A1638="","",1636)</f>
        <v/>
      </c>
      <c r="B1639" s="12" t="str">
        <f aca="false">IF($A1639="","",원본명단!$A1638)</f>
        <v/>
      </c>
      <c r="C1639" s="12" t="str">
        <f aca="false">IF($A1639="","",원본명단!$B1638)</f>
        <v/>
      </c>
      <c r="D1639" s="12" t="str">
        <f aca="false">IF($A1639="","",원본명단!$D1638)</f>
        <v/>
      </c>
      <c r="E1639" s="11" t="str">
        <f aca="false">IF($A1639="","",IF(원본명단!$H1638="",0,COUNTIF(원본명단!$H$3:$H$6002,원본명단!$H1638)))</f>
        <v/>
      </c>
      <c r="F1639" s="11" t="str">
        <f aca="false">IF($A1639="","",IF(원본명단!$I1638="",0,COUNTIF(원본명단!$I$3:$I$6002,원본명단!$I1638)))</f>
        <v/>
      </c>
      <c r="G1639" s="11" t="str">
        <f aca="false">IF($A1639="","",IF(원본명단!$K1638="",0,COUNTIF(원본명단!$K$3:$K$6002,원본명단!$K1638)))</f>
        <v/>
      </c>
      <c r="H1639" s="11" t="str">
        <f aca="false">IF($A1639="","",IF(MAX($E1639,$F1639,$G1639)&gt;1,"중복","-"))</f>
        <v/>
      </c>
      <c r="I1639" s="11" t="str">
        <f aca="false">IF($A1639="","",IF($H1639="-","-",IF(AND(IF(원본명단!$H1638="",TRUE(),COUNTIF(원본명단!$H$3:$H1638,원본명단!$H1638)=1),IF(원본명단!$I1638="",TRUE(),COUNTIF(원본명단!$I$3:$I1638,원본명단!$I1638)=1),IF(원본명단!$K1638="",TRUE(),COUNTIF(원본명단!$K$3:$K1638,원본명단!$K1638)=1)),"첫 건","중복 건")))</f>
        <v/>
      </c>
      <c r="J1639" s="11" t="str">
        <f aca="false">IF($A1639="","",IF($H1639="-","유지",IF($I1639="첫 건","유지","확인 필요")))</f>
        <v/>
      </c>
    </row>
    <row r="1640" customFormat="false" ht="15" hidden="false" customHeight="true" outlineLevel="0" collapsed="false">
      <c r="A1640" s="11" t="str">
        <f aca="false">IF(원본명단!$A1639="","",1637)</f>
        <v/>
      </c>
      <c r="B1640" s="12" t="str">
        <f aca="false">IF($A1640="","",원본명단!$A1639)</f>
        <v/>
      </c>
      <c r="C1640" s="12" t="str">
        <f aca="false">IF($A1640="","",원본명단!$B1639)</f>
        <v/>
      </c>
      <c r="D1640" s="12" t="str">
        <f aca="false">IF($A1640="","",원본명단!$D1639)</f>
        <v/>
      </c>
      <c r="E1640" s="11" t="str">
        <f aca="false">IF($A1640="","",IF(원본명단!$H1639="",0,COUNTIF(원본명단!$H$3:$H$6002,원본명단!$H1639)))</f>
        <v/>
      </c>
      <c r="F1640" s="11" t="str">
        <f aca="false">IF($A1640="","",IF(원본명단!$I1639="",0,COUNTIF(원본명단!$I$3:$I$6002,원본명단!$I1639)))</f>
        <v/>
      </c>
      <c r="G1640" s="11" t="str">
        <f aca="false">IF($A1640="","",IF(원본명단!$K1639="",0,COUNTIF(원본명단!$K$3:$K$6002,원본명단!$K1639)))</f>
        <v/>
      </c>
      <c r="H1640" s="11" t="str">
        <f aca="false">IF($A1640="","",IF(MAX($E1640,$F1640,$G1640)&gt;1,"중복","-"))</f>
        <v/>
      </c>
      <c r="I1640" s="11" t="str">
        <f aca="false">IF($A1640="","",IF($H1640="-","-",IF(AND(IF(원본명단!$H1639="",TRUE(),COUNTIF(원본명단!$H$3:$H1639,원본명단!$H1639)=1),IF(원본명단!$I1639="",TRUE(),COUNTIF(원본명단!$I$3:$I1639,원본명단!$I1639)=1),IF(원본명단!$K1639="",TRUE(),COUNTIF(원본명단!$K$3:$K1639,원본명단!$K1639)=1)),"첫 건","중복 건")))</f>
        <v/>
      </c>
      <c r="J1640" s="11" t="str">
        <f aca="false">IF($A1640="","",IF($H1640="-","유지",IF($I1640="첫 건","유지","확인 필요")))</f>
        <v/>
      </c>
    </row>
    <row r="1641" customFormat="false" ht="15" hidden="false" customHeight="true" outlineLevel="0" collapsed="false">
      <c r="A1641" s="11" t="str">
        <f aca="false">IF(원본명단!$A1640="","",1638)</f>
        <v/>
      </c>
      <c r="B1641" s="12" t="str">
        <f aca="false">IF($A1641="","",원본명단!$A1640)</f>
        <v/>
      </c>
      <c r="C1641" s="12" t="str">
        <f aca="false">IF($A1641="","",원본명단!$B1640)</f>
        <v/>
      </c>
      <c r="D1641" s="12" t="str">
        <f aca="false">IF($A1641="","",원본명단!$D1640)</f>
        <v/>
      </c>
      <c r="E1641" s="11" t="str">
        <f aca="false">IF($A1641="","",IF(원본명단!$H1640="",0,COUNTIF(원본명단!$H$3:$H$6002,원본명단!$H1640)))</f>
        <v/>
      </c>
      <c r="F1641" s="11" t="str">
        <f aca="false">IF($A1641="","",IF(원본명단!$I1640="",0,COUNTIF(원본명단!$I$3:$I$6002,원본명단!$I1640)))</f>
        <v/>
      </c>
      <c r="G1641" s="11" t="str">
        <f aca="false">IF($A1641="","",IF(원본명단!$K1640="",0,COUNTIF(원본명단!$K$3:$K$6002,원본명단!$K1640)))</f>
        <v/>
      </c>
      <c r="H1641" s="11" t="str">
        <f aca="false">IF($A1641="","",IF(MAX($E1641,$F1641,$G1641)&gt;1,"중복","-"))</f>
        <v/>
      </c>
      <c r="I1641" s="11" t="str">
        <f aca="false">IF($A1641="","",IF($H1641="-","-",IF(AND(IF(원본명단!$H1640="",TRUE(),COUNTIF(원본명단!$H$3:$H1640,원본명단!$H1640)=1),IF(원본명단!$I1640="",TRUE(),COUNTIF(원본명단!$I$3:$I1640,원본명단!$I1640)=1),IF(원본명단!$K1640="",TRUE(),COUNTIF(원본명단!$K$3:$K1640,원본명단!$K1640)=1)),"첫 건","중복 건")))</f>
        <v/>
      </c>
      <c r="J1641" s="11" t="str">
        <f aca="false">IF($A1641="","",IF($H1641="-","유지",IF($I1641="첫 건","유지","확인 필요")))</f>
        <v/>
      </c>
    </row>
    <row r="1642" customFormat="false" ht="15" hidden="false" customHeight="true" outlineLevel="0" collapsed="false">
      <c r="A1642" s="11" t="str">
        <f aca="false">IF(원본명단!$A1641="","",1639)</f>
        <v/>
      </c>
      <c r="B1642" s="12" t="str">
        <f aca="false">IF($A1642="","",원본명단!$A1641)</f>
        <v/>
      </c>
      <c r="C1642" s="12" t="str">
        <f aca="false">IF($A1642="","",원본명단!$B1641)</f>
        <v/>
      </c>
      <c r="D1642" s="12" t="str">
        <f aca="false">IF($A1642="","",원본명단!$D1641)</f>
        <v/>
      </c>
      <c r="E1642" s="11" t="str">
        <f aca="false">IF($A1642="","",IF(원본명단!$H1641="",0,COUNTIF(원본명단!$H$3:$H$6002,원본명단!$H1641)))</f>
        <v/>
      </c>
      <c r="F1642" s="11" t="str">
        <f aca="false">IF($A1642="","",IF(원본명단!$I1641="",0,COUNTIF(원본명단!$I$3:$I$6002,원본명단!$I1641)))</f>
        <v/>
      </c>
      <c r="G1642" s="11" t="str">
        <f aca="false">IF($A1642="","",IF(원본명단!$K1641="",0,COUNTIF(원본명단!$K$3:$K$6002,원본명단!$K1641)))</f>
        <v/>
      </c>
      <c r="H1642" s="11" t="str">
        <f aca="false">IF($A1642="","",IF(MAX($E1642,$F1642,$G1642)&gt;1,"중복","-"))</f>
        <v/>
      </c>
      <c r="I1642" s="11" t="str">
        <f aca="false">IF($A1642="","",IF($H1642="-","-",IF(AND(IF(원본명단!$H1641="",TRUE(),COUNTIF(원본명단!$H$3:$H1641,원본명단!$H1641)=1),IF(원본명단!$I1641="",TRUE(),COUNTIF(원본명단!$I$3:$I1641,원본명단!$I1641)=1),IF(원본명단!$K1641="",TRUE(),COUNTIF(원본명단!$K$3:$K1641,원본명단!$K1641)=1)),"첫 건","중복 건")))</f>
        <v/>
      </c>
      <c r="J1642" s="11" t="str">
        <f aca="false">IF($A1642="","",IF($H1642="-","유지",IF($I1642="첫 건","유지","확인 필요")))</f>
        <v/>
      </c>
    </row>
    <row r="1643" customFormat="false" ht="15" hidden="false" customHeight="true" outlineLevel="0" collapsed="false">
      <c r="A1643" s="11" t="str">
        <f aca="false">IF(원본명단!$A1642="","",1640)</f>
        <v/>
      </c>
      <c r="B1643" s="12" t="str">
        <f aca="false">IF($A1643="","",원본명단!$A1642)</f>
        <v/>
      </c>
      <c r="C1643" s="12" t="str">
        <f aca="false">IF($A1643="","",원본명단!$B1642)</f>
        <v/>
      </c>
      <c r="D1643" s="12" t="str">
        <f aca="false">IF($A1643="","",원본명단!$D1642)</f>
        <v/>
      </c>
      <c r="E1643" s="11" t="str">
        <f aca="false">IF($A1643="","",IF(원본명단!$H1642="",0,COUNTIF(원본명단!$H$3:$H$6002,원본명단!$H1642)))</f>
        <v/>
      </c>
      <c r="F1643" s="11" t="str">
        <f aca="false">IF($A1643="","",IF(원본명단!$I1642="",0,COUNTIF(원본명단!$I$3:$I$6002,원본명단!$I1642)))</f>
        <v/>
      </c>
      <c r="G1643" s="11" t="str">
        <f aca="false">IF($A1643="","",IF(원본명단!$K1642="",0,COUNTIF(원본명단!$K$3:$K$6002,원본명단!$K1642)))</f>
        <v/>
      </c>
      <c r="H1643" s="11" t="str">
        <f aca="false">IF($A1643="","",IF(MAX($E1643,$F1643,$G1643)&gt;1,"중복","-"))</f>
        <v/>
      </c>
      <c r="I1643" s="11" t="str">
        <f aca="false">IF($A1643="","",IF($H1643="-","-",IF(AND(IF(원본명단!$H1642="",TRUE(),COUNTIF(원본명단!$H$3:$H1642,원본명단!$H1642)=1),IF(원본명단!$I1642="",TRUE(),COUNTIF(원본명단!$I$3:$I1642,원본명단!$I1642)=1),IF(원본명단!$K1642="",TRUE(),COUNTIF(원본명단!$K$3:$K1642,원본명단!$K1642)=1)),"첫 건","중복 건")))</f>
        <v/>
      </c>
      <c r="J1643" s="11" t="str">
        <f aca="false">IF($A1643="","",IF($H1643="-","유지",IF($I1643="첫 건","유지","확인 필요")))</f>
        <v/>
      </c>
    </row>
    <row r="1644" customFormat="false" ht="15" hidden="false" customHeight="true" outlineLevel="0" collapsed="false">
      <c r="A1644" s="11" t="str">
        <f aca="false">IF(원본명단!$A1643="","",1641)</f>
        <v/>
      </c>
      <c r="B1644" s="12" t="str">
        <f aca="false">IF($A1644="","",원본명단!$A1643)</f>
        <v/>
      </c>
      <c r="C1644" s="12" t="str">
        <f aca="false">IF($A1644="","",원본명단!$B1643)</f>
        <v/>
      </c>
      <c r="D1644" s="12" t="str">
        <f aca="false">IF($A1644="","",원본명단!$D1643)</f>
        <v/>
      </c>
      <c r="E1644" s="11" t="str">
        <f aca="false">IF($A1644="","",IF(원본명단!$H1643="",0,COUNTIF(원본명단!$H$3:$H$6002,원본명단!$H1643)))</f>
        <v/>
      </c>
      <c r="F1644" s="11" t="str">
        <f aca="false">IF($A1644="","",IF(원본명단!$I1643="",0,COUNTIF(원본명단!$I$3:$I$6002,원본명단!$I1643)))</f>
        <v/>
      </c>
      <c r="G1644" s="11" t="str">
        <f aca="false">IF($A1644="","",IF(원본명단!$K1643="",0,COUNTIF(원본명단!$K$3:$K$6002,원본명단!$K1643)))</f>
        <v/>
      </c>
      <c r="H1644" s="11" t="str">
        <f aca="false">IF($A1644="","",IF(MAX($E1644,$F1644,$G1644)&gt;1,"중복","-"))</f>
        <v/>
      </c>
      <c r="I1644" s="11" t="str">
        <f aca="false">IF($A1644="","",IF($H1644="-","-",IF(AND(IF(원본명단!$H1643="",TRUE(),COUNTIF(원본명단!$H$3:$H1643,원본명단!$H1643)=1),IF(원본명단!$I1643="",TRUE(),COUNTIF(원본명단!$I$3:$I1643,원본명단!$I1643)=1),IF(원본명단!$K1643="",TRUE(),COUNTIF(원본명단!$K$3:$K1643,원본명단!$K1643)=1)),"첫 건","중복 건")))</f>
        <v/>
      </c>
      <c r="J1644" s="11" t="str">
        <f aca="false">IF($A1644="","",IF($H1644="-","유지",IF($I1644="첫 건","유지","확인 필요")))</f>
        <v/>
      </c>
    </row>
    <row r="1645" customFormat="false" ht="15" hidden="false" customHeight="true" outlineLevel="0" collapsed="false">
      <c r="A1645" s="11" t="str">
        <f aca="false">IF(원본명단!$A1644="","",1642)</f>
        <v/>
      </c>
      <c r="B1645" s="12" t="str">
        <f aca="false">IF($A1645="","",원본명단!$A1644)</f>
        <v/>
      </c>
      <c r="C1645" s="12" t="str">
        <f aca="false">IF($A1645="","",원본명단!$B1644)</f>
        <v/>
      </c>
      <c r="D1645" s="12" t="str">
        <f aca="false">IF($A1645="","",원본명단!$D1644)</f>
        <v/>
      </c>
      <c r="E1645" s="11" t="str">
        <f aca="false">IF($A1645="","",IF(원본명단!$H1644="",0,COUNTIF(원본명단!$H$3:$H$6002,원본명단!$H1644)))</f>
        <v/>
      </c>
      <c r="F1645" s="11" t="str">
        <f aca="false">IF($A1645="","",IF(원본명단!$I1644="",0,COUNTIF(원본명단!$I$3:$I$6002,원본명단!$I1644)))</f>
        <v/>
      </c>
      <c r="G1645" s="11" t="str">
        <f aca="false">IF($A1645="","",IF(원본명단!$K1644="",0,COUNTIF(원본명단!$K$3:$K$6002,원본명단!$K1644)))</f>
        <v/>
      </c>
      <c r="H1645" s="11" t="str">
        <f aca="false">IF($A1645="","",IF(MAX($E1645,$F1645,$G1645)&gt;1,"중복","-"))</f>
        <v/>
      </c>
      <c r="I1645" s="11" t="str">
        <f aca="false">IF($A1645="","",IF($H1645="-","-",IF(AND(IF(원본명단!$H1644="",TRUE(),COUNTIF(원본명단!$H$3:$H1644,원본명단!$H1644)=1),IF(원본명단!$I1644="",TRUE(),COUNTIF(원본명단!$I$3:$I1644,원본명단!$I1644)=1),IF(원본명단!$K1644="",TRUE(),COUNTIF(원본명단!$K$3:$K1644,원본명단!$K1644)=1)),"첫 건","중복 건")))</f>
        <v/>
      </c>
      <c r="J1645" s="11" t="str">
        <f aca="false">IF($A1645="","",IF($H1645="-","유지",IF($I1645="첫 건","유지","확인 필요")))</f>
        <v/>
      </c>
    </row>
    <row r="1646" customFormat="false" ht="15" hidden="false" customHeight="true" outlineLevel="0" collapsed="false">
      <c r="A1646" s="11" t="str">
        <f aca="false">IF(원본명단!$A1645="","",1643)</f>
        <v/>
      </c>
      <c r="B1646" s="12" t="str">
        <f aca="false">IF($A1646="","",원본명단!$A1645)</f>
        <v/>
      </c>
      <c r="C1646" s="12" t="str">
        <f aca="false">IF($A1646="","",원본명단!$B1645)</f>
        <v/>
      </c>
      <c r="D1646" s="12" t="str">
        <f aca="false">IF($A1646="","",원본명단!$D1645)</f>
        <v/>
      </c>
      <c r="E1646" s="11" t="str">
        <f aca="false">IF($A1646="","",IF(원본명단!$H1645="",0,COUNTIF(원본명단!$H$3:$H$6002,원본명단!$H1645)))</f>
        <v/>
      </c>
      <c r="F1646" s="11" t="str">
        <f aca="false">IF($A1646="","",IF(원본명단!$I1645="",0,COUNTIF(원본명단!$I$3:$I$6002,원본명단!$I1645)))</f>
        <v/>
      </c>
      <c r="G1646" s="11" t="str">
        <f aca="false">IF($A1646="","",IF(원본명단!$K1645="",0,COUNTIF(원본명단!$K$3:$K$6002,원본명단!$K1645)))</f>
        <v/>
      </c>
      <c r="H1646" s="11" t="str">
        <f aca="false">IF($A1646="","",IF(MAX($E1646,$F1646,$G1646)&gt;1,"중복","-"))</f>
        <v/>
      </c>
      <c r="I1646" s="11" t="str">
        <f aca="false">IF($A1646="","",IF($H1646="-","-",IF(AND(IF(원본명단!$H1645="",TRUE(),COUNTIF(원본명단!$H$3:$H1645,원본명단!$H1645)=1),IF(원본명단!$I1645="",TRUE(),COUNTIF(원본명단!$I$3:$I1645,원본명단!$I1645)=1),IF(원본명단!$K1645="",TRUE(),COUNTIF(원본명단!$K$3:$K1645,원본명단!$K1645)=1)),"첫 건","중복 건")))</f>
        <v/>
      </c>
      <c r="J1646" s="11" t="str">
        <f aca="false">IF($A1646="","",IF($H1646="-","유지",IF($I1646="첫 건","유지","확인 필요")))</f>
        <v/>
      </c>
    </row>
    <row r="1647" customFormat="false" ht="15" hidden="false" customHeight="true" outlineLevel="0" collapsed="false">
      <c r="A1647" s="11" t="str">
        <f aca="false">IF(원본명단!$A1646="","",1644)</f>
        <v/>
      </c>
      <c r="B1647" s="12" t="str">
        <f aca="false">IF($A1647="","",원본명단!$A1646)</f>
        <v/>
      </c>
      <c r="C1647" s="12" t="str">
        <f aca="false">IF($A1647="","",원본명단!$B1646)</f>
        <v/>
      </c>
      <c r="D1647" s="12" t="str">
        <f aca="false">IF($A1647="","",원본명단!$D1646)</f>
        <v/>
      </c>
      <c r="E1647" s="11" t="str">
        <f aca="false">IF($A1647="","",IF(원본명단!$H1646="",0,COUNTIF(원본명단!$H$3:$H$6002,원본명단!$H1646)))</f>
        <v/>
      </c>
      <c r="F1647" s="11" t="str">
        <f aca="false">IF($A1647="","",IF(원본명단!$I1646="",0,COUNTIF(원본명단!$I$3:$I$6002,원본명단!$I1646)))</f>
        <v/>
      </c>
      <c r="G1647" s="11" t="str">
        <f aca="false">IF($A1647="","",IF(원본명단!$K1646="",0,COUNTIF(원본명단!$K$3:$K$6002,원본명단!$K1646)))</f>
        <v/>
      </c>
      <c r="H1647" s="11" t="str">
        <f aca="false">IF($A1647="","",IF(MAX($E1647,$F1647,$G1647)&gt;1,"중복","-"))</f>
        <v/>
      </c>
      <c r="I1647" s="11" t="str">
        <f aca="false">IF($A1647="","",IF($H1647="-","-",IF(AND(IF(원본명단!$H1646="",TRUE(),COUNTIF(원본명단!$H$3:$H1646,원본명단!$H1646)=1),IF(원본명단!$I1646="",TRUE(),COUNTIF(원본명단!$I$3:$I1646,원본명단!$I1646)=1),IF(원본명단!$K1646="",TRUE(),COUNTIF(원본명단!$K$3:$K1646,원본명단!$K1646)=1)),"첫 건","중복 건")))</f>
        <v/>
      </c>
      <c r="J1647" s="11" t="str">
        <f aca="false">IF($A1647="","",IF($H1647="-","유지",IF($I1647="첫 건","유지","확인 필요")))</f>
        <v/>
      </c>
    </row>
    <row r="1648" customFormat="false" ht="15" hidden="false" customHeight="true" outlineLevel="0" collapsed="false">
      <c r="A1648" s="11" t="str">
        <f aca="false">IF(원본명단!$A1647="","",1645)</f>
        <v/>
      </c>
      <c r="B1648" s="12" t="str">
        <f aca="false">IF($A1648="","",원본명단!$A1647)</f>
        <v/>
      </c>
      <c r="C1648" s="12" t="str">
        <f aca="false">IF($A1648="","",원본명단!$B1647)</f>
        <v/>
      </c>
      <c r="D1648" s="12" t="str">
        <f aca="false">IF($A1648="","",원본명단!$D1647)</f>
        <v/>
      </c>
      <c r="E1648" s="11" t="str">
        <f aca="false">IF($A1648="","",IF(원본명단!$H1647="",0,COUNTIF(원본명단!$H$3:$H$6002,원본명단!$H1647)))</f>
        <v/>
      </c>
      <c r="F1648" s="11" t="str">
        <f aca="false">IF($A1648="","",IF(원본명단!$I1647="",0,COUNTIF(원본명단!$I$3:$I$6002,원본명단!$I1647)))</f>
        <v/>
      </c>
      <c r="G1648" s="11" t="str">
        <f aca="false">IF($A1648="","",IF(원본명단!$K1647="",0,COUNTIF(원본명단!$K$3:$K$6002,원본명단!$K1647)))</f>
        <v/>
      </c>
      <c r="H1648" s="11" t="str">
        <f aca="false">IF($A1648="","",IF(MAX($E1648,$F1648,$G1648)&gt;1,"중복","-"))</f>
        <v/>
      </c>
      <c r="I1648" s="11" t="str">
        <f aca="false">IF($A1648="","",IF($H1648="-","-",IF(AND(IF(원본명단!$H1647="",TRUE(),COUNTIF(원본명단!$H$3:$H1647,원본명단!$H1647)=1),IF(원본명단!$I1647="",TRUE(),COUNTIF(원본명단!$I$3:$I1647,원본명단!$I1647)=1),IF(원본명단!$K1647="",TRUE(),COUNTIF(원본명단!$K$3:$K1647,원본명단!$K1647)=1)),"첫 건","중복 건")))</f>
        <v/>
      </c>
      <c r="J1648" s="11" t="str">
        <f aca="false">IF($A1648="","",IF($H1648="-","유지",IF($I1648="첫 건","유지","확인 필요")))</f>
        <v/>
      </c>
    </row>
    <row r="1649" customFormat="false" ht="15" hidden="false" customHeight="true" outlineLevel="0" collapsed="false">
      <c r="A1649" s="11" t="str">
        <f aca="false">IF(원본명단!$A1648="","",1646)</f>
        <v/>
      </c>
      <c r="B1649" s="12" t="str">
        <f aca="false">IF($A1649="","",원본명단!$A1648)</f>
        <v/>
      </c>
      <c r="C1649" s="12" t="str">
        <f aca="false">IF($A1649="","",원본명단!$B1648)</f>
        <v/>
      </c>
      <c r="D1649" s="12" t="str">
        <f aca="false">IF($A1649="","",원본명단!$D1648)</f>
        <v/>
      </c>
      <c r="E1649" s="11" t="str">
        <f aca="false">IF($A1649="","",IF(원본명단!$H1648="",0,COUNTIF(원본명단!$H$3:$H$6002,원본명단!$H1648)))</f>
        <v/>
      </c>
      <c r="F1649" s="11" t="str">
        <f aca="false">IF($A1649="","",IF(원본명단!$I1648="",0,COUNTIF(원본명단!$I$3:$I$6002,원본명단!$I1648)))</f>
        <v/>
      </c>
      <c r="G1649" s="11" t="str">
        <f aca="false">IF($A1649="","",IF(원본명단!$K1648="",0,COUNTIF(원본명단!$K$3:$K$6002,원본명단!$K1648)))</f>
        <v/>
      </c>
      <c r="H1649" s="11" t="str">
        <f aca="false">IF($A1649="","",IF(MAX($E1649,$F1649,$G1649)&gt;1,"중복","-"))</f>
        <v/>
      </c>
      <c r="I1649" s="11" t="str">
        <f aca="false">IF($A1649="","",IF($H1649="-","-",IF(AND(IF(원본명단!$H1648="",TRUE(),COUNTIF(원본명단!$H$3:$H1648,원본명단!$H1648)=1),IF(원본명단!$I1648="",TRUE(),COUNTIF(원본명단!$I$3:$I1648,원본명단!$I1648)=1),IF(원본명단!$K1648="",TRUE(),COUNTIF(원본명단!$K$3:$K1648,원본명단!$K1648)=1)),"첫 건","중복 건")))</f>
        <v/>
      </c>
      <c r="J1649" s="11" t="str">
        <f aca="false">IF($A1649="","",IF($H1649="-","유지",IF($I1649="첫 건","유지","확인 필요")))</f>
        <v/>
      </c>
    </row>
    <row r="1650" customFormat="false" ht="15" hidden="false" customHeight="true" outlineLevel="0" collapsed="false">
      <c r="A1650" s="11" t="str">
        <f aca="false">IF(원본명단!$A1649="","",1647)</f>
        <v/>
      </c>
      <c r="B1650" s="12" t="str">
        <f aca="false">IF($A1650="","",원본명단!$A1649)</f>
        <v/>
      </c>
      <c r="C1650" s="12" t="str">
        <f aca="false">IF($A1650="","",원본명단!$B1649)</f>
        <v/>
      </c>
      <c r="D1650" s="12" t="str">
        <f aca="false">IF($A1650="","",원본명단!$D1649)</f>
        <v/>
      </c>
      <c r="E1650" s="11" t="str">
        <f aca="false">IF($A1650="","",IF(원본명단!$H1649="",0,COUNTIF(원본명단!$H$3:$H$6002,원본명단!$H1649)))</f>
        <v/>
      </c>
      <c r="F1650" s="11" t="str">
        <f aca="false">IF($A1650="","",IF(원본명단!$I1649="",0,COUNTIF(원본명단!$I$3:$I$6002,원본명단!$I1649)))</f>
        <v/>
      </c>
      <c r="G1650" s="11" t="str">
        <f aca="false">IF($A1650="","",IF(원본명단!$K1649="",0,COUNTIF(원본명단!$K$3:$K$6002,원본명단!$K1649)))</f>
        <v/>
      </c>
      <c r="H1650" s="11" t="str">
        <f aca="false">IF($A1650="","",IF(MAX($E1650,$F1650,$G1650)&gt;1,"중복","-"))</f>
        <v/>
      </c>
      <c r="I1650" s="11" t="str">
        <f aca="false">IF($A1650="","",IF($H1650="-","-",IF(AND(IF(원본명단!$H1649="",TRUE(),COUNTIF(원본명단!$H$3:$H1649,원본명단!$H1649)=1),IF(원본명단!$I1649="",TRUE(),COUNTIF(원본명단!$I$3:$I1649,원본명단!$I1649)=1),IF(원본명단!$K1649="",TRUE(),COUNTIF(원본명단!$K$3:$K1649,원본명단!$K1649)=1)),"첫 건","중복 건")))</f>
        <v/>
      </c>
      <c r="J1650" s="11" t="str">
        <f aca="false">IF($A1650="","",IF($H1650="-","유지",IF($I1650="첫 건","유지","확인 필요")))</f>
        <v/>
      </c>
    </row>
    <row r="1651" customFormat="false" ht="15" hidden="false" customHeight="true" outlineLevel="0" collapsed="false">
      <c r="A1651" s="11" t="str">
        <f aca="false">IF(원본명단!$A1650="","",1648)</f>
        <v/>
      </c>
      <c r="B1651" s="12" t="str">
        <f aca="false">IF($A1651="","",원본명단!$A1650)</f>
        <v/>
      </c>
      <c r="C1651" s="12" t="str">
        <f aca="false">IF($A1651="","",원본명단!$B1650)</f>
        <v/>
      </c>
      <c r="D1651" s="12" t="str">
        <f aca="false">IF($A1651="","",원본명단!$D1650)</f>
        <v/>
      </c>
      <c r="E1651" s="11" t="str">
        <f aca="false">IF($A1651="","",IF(원본명단!$H1650="",0,COUNTIF(원본명단!$H$3:$H$6002,원본명단!$H1650)))</f>
        <v/>
      </c>
      <c r="F1651" s="11" t="str">
        <f aca="false">IF($A1651="","",IF(원본명단!$I1650="",0,COUNTIF(원본명단!$I$3:$I$6002,원본명단!$I1650)))</f>
        <v/>
      </c>
      <c r="G1651" s="11" t="str">
        <f aca="false">IF($A1651="","",IF(원본명단!$K1650="",0,COUNTIF(원본명단!$K$3:$K$6002,원본명단!$K1650)))</f>
        <v/>
      </c>
      <c r="H1651" s="11" t="str">
        <f aca="false">IF($A1651="","",IF(MAX($E1651,$F1651,$G1651)&gt;1,"중복","-"))</f>
        <v/>
      </c>
      <c r="I1651" s="11" t="str">
        <f aca="false">IF($A1651="","",IF($H1651="-","-",IF(AND(IF(원본명단!$H1650="",TRUE(),COUNTIF(원본명단!$H$3:$H1650,원본명단!$H1650)=1),IF(원본명단!$I1650="",TRUE(),COUNTIF(원본명단!$I$3:$I1650,원본명단!$I1650)=1),IF(원본명단!$K1650="",TRUE(),COUNTIF(원본명단!$K$3:$K1650,원본명단!$K1650)=1)),"첫 건","중복 건")))</f>
        <v/>
      </c>
      <c r="J1651" s="11" t="str">
        <f aca="false">IF($A1651="","",IF($H1651="-","유지",IF($I1651="첫 건","유지","확인 필요")))</f>
        <v/>
      </c>
    </row>
    <row r="1652" customFormat="false" ht="15" hidden="false" customHeight="true" outlineLevel="0" collapsed="false">
      <c r="A1652" s="11" t="str">
        <f aca="false">IF(원본명단!$A1651="","",1649)</f>
        <v/>
      </c>
      <c r="B1652" s="12" t="str">
        <f aca="false">IF($A1652="","",원본명단!$A1651)</f>
        <v/>
      </c>
      <c r="C1652" s="12" t="str">
        <f aca="false">IF($A1652="","",원본명단!$B1651)</f>
        <v/>
      </c>
      <c r="D1652" s="12" t="str">
        <f aca="false">IF($A1652="","",원본명단!$D1651)</f>
        <v/>
      </c>
      <c r="E1652" s="11" t="str">
        <f aca="false">IF($A1652="","",IF(원본명단!$H1651="",0,COUNTIF(원본명단!$H$3:$H$6002,원본명단!$H1651)))</f>
        <v/>
      </c>
      <c r="F1652" s="11" t="str">
        <f aca="false">IF($A1652="","",IF(원본명단!$I1651="",0,COUNTIF(원본명단!$I$3:$I$6002,원본명단!$I1651)))</f>
        <v/>
      </c>
      <c r="G1652" s="11" t="str">
        <f aca="false">IF($A1652="","",IF(원본명단!$K1651="",0,COUNTIF(원본명단!$K$3:$K$6002,원본명단!$K1651)))</f>
        <v/>
      </c>
      <c r="H1652" s="11" t="str">
        <f aca="false">IF($A1652="","",IF(MAX($E1652,$F1652,$G1652)&gt;1,"중복","-"))</f>
        <v/>
      </c>
      <c r="I1652" s="11" t="str">
        <f aca="false">IF($A1652="","",IF($H1652="-","-",IF(AND(IF(원본명단!$H1651="",TRUE(),COUNTIF(원본명단!$H$3:$H1651,원본명단!$H1651)=1),IF(원본명단!$I1651="",TRUE(),COUNTIF(원본명단!$I$3:$I1651,원본명단!$I1651)=1),IF(원본명단!$K1651="",TRUE(),COUNTIF(원본명단!$K$3:$K1651,원본명단!$K1651)=1)),"첫 건","중복 건")))</f>
        <v/>
      </c>
      <c r="J1652" s="11" t="str">
        <f aca="false">IF($A1652="","",IF($H1652="-","유지",IF($I1652="첫 건","유지","확인 필요")))</f>
        <v/>
      </c>
    </row>
    <row r="1653" customFormat="false" ht="15" hidden="false" customHeight="true" outlineLevel="0" collapsed="false">
      <c r="A1653" s="11" t="str">
        <f aca="false">IF(원본명단!$A1652="","",1650)</f>
        <v/>
      </c>
      <c r="B1653" s="12" t="str">
        <f aca="false">IF($A1653="","",원본명단!$A1652)</f>
        <v/>
      </c>
      <c r="C1653" s="12" t="str">
        <f aca="false">IF($A1653="","",원본명단!$B1652)</f>
        <v/>
      </c>
      <c r="D1653" s="12" t="str">
        <f aca="false">IF($A1653="","",원본명단!$D1652)</f>
        <v/>
      </c>
      <c r="E1653" s="11" t="str">
        <f aca="false">IF($A1653="","",IF(원본명단!$H1652="",0,COUNTIF(원본명단!$H$3:$H$6002,원본명단!$H1652)))</f>
        <v/>
      </c>
      <c r="F1653" s="11" t="str">
        <f aca="false">IF($A1653="","",IF(원본명단!$I1652="",0,COUNTIF(원본명단!$I$3:$I$6002,원본명단!$I1652)))</f>
        <v/>
      </c>
      <c r="G1653" s="11" t="str">
        <f aca="false">IF($A1653="","",IF(원본명단!$K1652="",0,COUNTIF(원본명단!$K$3:$K$6002,원본명단!$K1652)))</f>
        <v/>
      </c>
      <c r="H1653" s="11" t="str">
        <f aca="false">IF($A1653="","",IF(MAX($E1653,$F1653,$G1653)&gt;1,"중복","-"))</f>
        <v/>
      </c>
      <c r="I1653" s="11" t="str">
        <f aca="false">IF($A1653="","",IF($H1653="-","-",IF(AND(IF(원본명단!$H1652="",TRUE(),COUNTIF(원본명단!$H$3:$H1652,원본명단!$H1652)=1),IF(원본명단!$I1652="",TRUE(),COUNTIF(원본명단!$I$3:$I1652,원본명단!$I1652)=1),IF(원본명단!$K1652="",TRUE(),COUNTIF(원본명단!$K$3:$K1652,원본명단!$K1652)=1)),"첫 건","중복 건")))</f>
        <v/>
      </c>
      <c r="J1653" s="11" t="str">
        <f aca="false">IF($A1653="","",IF($H1653="-","유지",IF($I1653="첫 건","유지","확인 필요")))</f>
        <v/>
      </c>
    </row>
    <row r="1654" customFormat="false" ht="15" hidden="false" customHeight="true" outlineLevel="0" collapsed="false">
      <c r="A1654" s="11" t="str">
        <f aca="false">IF(원본명단!$A1653="","",1651)</f>
        <v/>
      </c>
      <c r="B1654" s="12" t="str">
        <f aca="false">IF($A1654="","",원본명단!$A1653)</f>
        <v/>
      </c>
      <c r="C1654" s="12" t="str">
        <f aca="false">IF($A1654="","",원본명단!$B1653)</f>
        <v/>
      </c>
      <c r="D1654" s="12" t="str">
        <f aca="false">IF($A1654="","",원본명단!$D1653)</f>
        <v/>
      </c>
      <c r="E1654" s="11" t="str">
        <f aca="false">IF($A1654="","",IF(원본명단!$H1653="",0,COUNTIF(원본명단!$H$3:$H$6002,원본명단!$H1653)))</f>
        <v/>
      </c>
      <c r="F1654" s="11" t="str">
        <f aca="false">IF($A1654="","",IF(원본명단!$I1653="",0,COUNTIF(원본명단!$I$3:$I$6002,원본명단!$I1653)))</f>
        <v/>
      </c>
      <c r="G1654" s="11" t="str">
        <f aca="false">IF($A1654="","",IF(원본명단!$K1653="",0,COUNTIF(원본명단!$K$3:$K$6002,원본명단!$K1653)))</f>
        <v/>
      </c>
      <c r="H1654" s="11" t="str">
        <f aca="false">IF($A1654="","",IF(MAX($E1654,$F1654,$G1654)&gt;1,"중복","-"))</f>
        <v/>
      </c>
      <c r="I1654" s="11" t="str">
        <f aca="false">IF($A1654="","",IF($H1654="-","-",IF(AND(IF(원본명단!$H1653="",TRUE(),COUNTIF(원본명단!$H$3:$H1653,원본명단!$H1653)=1),IF(원본명단!$I1653="",TRUE(),COUNTIF(원본명단!$I$3:$I1653,원본명단!$I1653)=1),IF(원본명단!$K1653="",TRUE(),COUNTIF(원본명단!$K$3:$K1653,원본명단!$K1653)=1)),"첫 건","중복 건")))</f>
        <v/>
      </c>
      <c r="J1654" s="11" t="str">
        <f aca="false">IF($A1654="","",IF($H1654="-","유지",IF($I1654="첫 건","유지","확인 필요")))</f>
        <v/>
      </c>
    </row>
    <row r="1655" customFormat="false" ht="15" hidden="false" customHeight="true" outlineLevel="0" collapsed="false">
      <c r="A1655" s="11" t="str">
        <f aca="false">IF(원본명단!$A1654="","",1652)</f>
        <v/>
      </c>
      <c r="B1655" s="12" t="str">
        <f aca="false">IF($A1655="","",원본명단!$A1654)</f>
        <v/>
      </c>
      <c r="C1655" s="12" t="str">
        <f aca="false">IF($A1655="","",원본명단!$B1654)</f>
        <v/>
      </c>
      <c r="D1655" s="12" t="str">
        <f aca="false">IF($A1655="","",원본명단!$D1654)</f>
        <v/>
      </c>
      <c r="E1655" s="11" t="str">
        <f aca="false">IF($A1655="","",IF(원본명단!$H1654="",0,COUNTIF(원본명단!$H$3:$H$6002,원본명단!$H1654)))</f>
        <v/>
      </c>
      <c r="F1655" s="11" t="str">
        <f aca="false">IF($A1655="","",IF(원본명단!$I1654="",0,COUNTIF(원본명단!$I$3:$I$6002,원본명단!$I1654)))</f>
        <v/>
      </c>
      <c r="G1655" s="11" t="str">
        <f aca="false">IF($A1655="","",IF(원본명단!$K1654="",0,COUNTIF(원본명단!$K$3:$K$6002,원본명단!$K1654)))</f>
        <v/>
      </c>
      <c r="H1655" s="11" t="str">
        <f aca="false">IF($A1655="","",IF(MAX($E1655,$F1655,$G1655)&gt;1,"중복","-"))</f>
        <v/>
      </c>
      <c r="I1655" s="11" t="str">
        <f aca="false">IF($A1655="","",IF($H1655="-","-",IF(AND(IF(원본명단!$H1654="",TRUE(),COUNTIF(원본명단!$H$3:$H1654,원본명단!$H1654)=1),IF(원본명단!$I1654="",TRUE(),COUNTIF(원본명단!$I$3:$I1654,원본명단!$I1654)=1),IF(원본명단!$K1654="",TRUE(),COUNTIF(원본명단!$K$3:$K1654,원본명단!$K1654)=1)),"첫 건","중복 건")))</f>
        <v/>
      </c>
      <c r="J1655" s="11" t="str">
        <f aca="false">IF($A1655="","",IF($H1655="-","유지",IF($I1655="첫 건","유지","확인 필요")))</f>
        <v/>
      </c>
    </row>
    <row r="1656" customFormat="false" ht="15" hidden="false" customHeight="true" outlineLevel="0" collapsed="false">
      <c r="A1656" s="11" t="str">
        <f aca="false">IF(원본명단!$A1655="","",1653)</f>
        <v/>
      </c>
      <c r="B1656" s="12" t="str">
        <f aca="false">IF($A1656="","",원본명단!$A1655)</f>
        <v/>
      </c>
      <c r="C1656" s="12" t="str">
        <f aca="false">IF($A1656="","",원본명단!$B1655)</f>
        <v/>
      </c>
      <c r="D1656" s="12" t="str">
        <f aca="false">IF($A1656="","",원본명단!$D1655)</f>
        <v/>
      </c>
      <c r="E1656" s="11" t="str">
        <f aca="false">IF($A1656="","",IF(원본명단!$H1655="",0,COUNTIF(원본명단!$H$3:$H$6002,원본명단!$H1655)))</f>
        <v/>
      </c>
      <c r="F1656" s="11" t="str">
        <f aca="false">IF($A1656="","",IF(원본명단!$I1655="",0,COUNTIF(원본명단!$I$3:$I$6002,원본명단!$I1655)))</f>
        <v/>
      </c>
      <c r="G1656" s="11" t="str">
        <f aca="false">IF($A1656="","",IF(원본명단!$K1655="",0,COUNTIF(원본명단!$K$3:$K$6002,원본명단!$K1655)))</f>
        <v/>
      </c>
      <c r="H1656" s="11" t="str">
        <f aca="false">IF($A1656="","",IF(MAX($E1656,$F1656,$G1656)&gt;1,"중복","-"))</f>
        <v/>
      </c>
      <c r="I1656" s="11" t="str">
        <f aca="false">IF($A1656="","",IF($H1656="-","-",IF(AND(IF(원본명단!$H1655="",TRUE(),COUNTIF(원본명단!$H$3:$H1655,원본명단!$H1655)=1),IF(원본명단!$I1655="",TRUE(),COUNTIF(원본명단!$I$3:$I1655,원본명단!$I1655)=1),IF(원본명단!$K1655="",TRUE(),COUNTIF(원본명단!$K$3:$K1655,원본명단!$K1655)=1)),"첫 건","중복 건")))</f>
        <v/>
      </c>
      <c r="J1656" s="11" t="str">
        <f aca="false">IF($A1656="","",IF($H1656="-","유지",IF($I1656="첫 건","유지","확인 필요")))</f>
        <v/>
      </c>
    </row>
    <row r="1657" customFormat="false" ht="15" hidden="false" customHeight="true" outlineLevel="0" collapsed="false">
      <c r="A1657" s="11" t="str">
        <f aca="false">IF(원본명단!$A1656="","",1654)</f>
        <v/>
      </c>
      <c r="B1657" s="12" t="str">
        <f aca="false">IF($A1657="","",원본명단!$A1656)</f>
        <v/>
      </c>
      <c r="C1657" s="12" t="str">
        <f aca="false">IF($A1657="","",원본명단!$B1656)</f>
        <v/>
      </c>
      <c r="D1657" s="12" t="str">
        <f aca="false">IF($A1657="","",원본명단!$D1656)</f>
        <v/>
      </c>
      <c r="E1657" s="11" t="str">
        <f aca="false">IF($A1657="","",IF(원본명단!$H1656="",0,COUNTIF(원본명단!$H$3:$H$6002,원본명단!$H1656)))</f>
        <v/>
      </c>
      <c r="F1657" s="11" t="str">
        <f aca="false">IF($A1657="","",IF(원본명단!$I1656="",0,COUNTIF(원본명단!$I$3:$I$6002,원본명단!$I1656)))</f>
        <v/>
      </c>
      <c r="G1657" s="11" t="str">
        <f aca="false">IF($A1657="","",IF(원본명단!$K1656="",0,COUNTIF(원본명단!$K$3:$K$6002,원본명단!$K1656)))</f>
        <v/>
      </c>
      <c r="H1657" s="11" t="str">
        <f aca="false">IF($A1657="","",IF(MAX($E1657,$F1657,$G1657)&gt;1,"중복","-"))</f>
        <v/>
      </c>
      <c r="I1657" s="11" t="str">
        <f aca="false">IF($A1657="","",IF($H1657="-","-",IF(AND(IF(원본명단!$H1656="",TRUE(),COUNTIF(원본명단!$H$3:$H1656,원본명단!$H1656)=1),IF(원본명단!$I1656="",TRUE(),COUNTIF(원본명단!$I$3:$I1656,원본명단!$I1656)=1),IF(원본명단!$K1656="",TRUE(),COUNTIF(원본명단!$K$3:$K1656,원본명단!$K1656)=1)),"첫 건","중복 건")))</f>
        <v/>
      </c>
      <c r="J1657" s="11" t="str">
        <f aca="false">IF($A1657="","",IF($H1657="-","유지",IF($I1657="첫 건","유지","확인 필요")))</f>
        <v/>
      </c>
    </row>
    <row r="1658" customFormat="false" ht="15" hidden="false" customHeight="true" outlineLevel="0" collapsed="false">
      <c r="A1658" s="11" t="str">
        <f aca="false">IF(원본명단!$A1657="","",1655)</f>
        <v/>
      </c>
      <c r="B1658" s="12" t="str">
        <f aca="false">IF($A1658="","",원본명단!$A1657)</f>
        <v/>
      </c>
      <c r="C1658" s="12" t="str">
        <f aca="false">IF($A1658="","",원본명단!$B1657)</f>
        <v/>
      </c>
      <c r="D1658" s="12" t="str">
        <f aca="false">IF($A1658="","",원본명단!$D1657)</f>
        <v/>
      </c>
      <c r="E1658" s="11" t="str">
        <f aca="false">IF($A1658="","",IF(원본명단!$H1657="",0,COUNTIF(원본명단!$H$3:$H$6002,원본명단!$H1657)))</f>
        <v/>
      </c>
      <c r="F1658" s="11" t="str">
        <f aca="false">IF($A1658="","",IF(원본명단!$I1657="",0,COUNTIF(원본명단!$I$3:$I$6002,원본명단!$I1657)))</f>
        <v/>
      </c>
      <c r="G1658" s="11" t="str">
        <f aca="false">IF($A1658="","",IF(원본명단!$K1657="",0,COUNTIF(원본명단!$K$3:$K$6002,원본명단!$K1657)))</f>
        <v/>
      </c>
      <c r="H1658" s="11" t="str">
        <f aca="false">IF($A1658="","",IF(MAX($E1658,$F1658,$G1658)&gt;1,"중복","-"))</f>
        <v/>
      </c>
      <c r="I1658" s="11" t="str">
        <f aca="false">IF($A1658="","",IF($H1658="-","-",IF(AND(IF(원본명단!$H1657="",TRUE(),COUNTIF(원본명단!$H$3:$H1657,원본명단!$H1657)=1),IF(원본명단!$I1657="",TRUE(),COUNTIF(원본명단!$I$3:$I1657,원본명단!$I1657)=1),IF(원본명단!$K1657="",TRUE(),COUNTIF(원본명단!$K$3:$K1657,원본명단!$K1657)=1)),"첫 건","중복 건")))</f>
        <v/>
      </c>
      <c r="J1658" s="11" t="str">
        <f aca="false">IF($A1658="","",IF($H1658="-","유지",IF($I1658="첫 건","유지","확인 필요")))</f>
        <v/>
      </c>
    </row>
    <row r="1659" customFormat="false" ht="15" hidden="false" customHeight="true" outlineLevel="0" collapsed="false">
      <c r="A1659" s="11" t="str">
        <f aca="false">IF(원본명단!$A1658="","",1656)</f>
        <v/>
      </c>
      <c r="B1659" s="12" t="str">
        <f aca="false">IF($A1659="","",원본명단!$A1658)</f>
        <v/>
      </c>
      <c r="C1659" s="12" t="str">
        <f aca="false">IF($A1659="","",원본명단!$B1658)</f>
        <v/>
      </c>
      <c r="D1659" s="12" t="str">
        <f aca="false">IF($A1659="","",원본명단!$D1658)</f>
        <v/>
      </c>
      <c r="E1659" s="11" t="str">
        <f aca="false">IF($A1659="","",IF(원본명단!$H1658="",0,COUNTIF(원본명단!$H$3:$H$6002,원본명단!$H1658)))</f>
        <v/>
      </c>
      <c r="F1659" s="11" t="str">
        <f aca="false">IF($A1659="","",IF(원본명단!$I1658="",0,COUNTIF(원본명단!$I$3:$I$6002,원본명단!$I1658)))</f>
        <v/>
      </c>
      <c r="G1659" s="11" t="str">
        <f aca="false">IF($A1659="","",IF(원본명단!$K1658="",0,COUNTIF(원본명단!$K$3:$K$6002,원본명단!$K1658)))</f>
        <v/>
      </c>
      <c r="H1659" s="11" t="str">
        <f aca="false">IF($A1659="","",IF(MAX($E1659,$F1659,$G1659)&gt;1,"중복","-"))</f>
        <v/>
      </c>
      <c r="I1659" s="11" t="str">
        <f aca="false">IF($A1659="","",IF($H1659="-","-",IF(AND(IF(원본명단!$H1658="",TRUE(),COUNTIF(원본명단!$H$3:$H1658,원본명단!$H1658)=1),IF(원본명단!$I1658="",TRUE(),COUNTIF(원본명단!$I$3:$I1658,원본명단!$I1658)=1),IF(원본명단!$K1658="",TRUE(),COUNTIF(원본명단!$K$3:$K1658,원본명단!$K1658)=1)),"첫 건","중복 건")))</f>
        <v/>
      </c>
      <c r="J1659" s="11" t="str">
        <f aca="false">IF($A1659="","",IF($H1659="-","유지",IF($I1659="첫 건","유지","확인 필요")))</f>
        <v/>
      </c>
    </row>
    <row r="1660" customFormat="false" ht="15" hidden="false" customHeight="true" outlineLevel="0" collapsed="false">
      <c r="A1660" s="11" t="str">
        <f aca="false">IF(원본명단!$A1659="","",1657)</f>
        <v/>
      </c>
      <c r="B1660" s="12" t="str">
        <f aca="false">IF($A1660="","",원본명단!$A1659)</f>
        <v/>
      </c>
      <c r="C1660" s="12" t="str">
        <f aca="false">IF($A1660="","",원본명단!$B1659)</f>
        <v/>
      </c>
      <c r="D1660" s="12" t="str">
        <f aca="false">IF($A1660="","",원본명단!$D1659)</f>
        <v/>
      </c>
      <c r="E1660" s="11" t="str">
        <f aca="false">IF($A1660="","",IF(원본명단!$H1659="",0,COUNTIF(원본명단!$H$3:$H$6002,원본명단!$H1659)))</f>
        <v/>
      </c>
      <c r="F1660" s="11" t="str">
        <f aca="false">IF($A1660="","",IF(원본명단!$I1659="",0,COUNTIF(원본명단!$I$3:$I$6002,원본명단!$I1659)))</f>
        <v/>
      </c>
      <c r="G1660" s="11" t="str">
        <f aca="false">IF($A1660="","",IF(원본명단!$K1659="",0,COUNTIF(원본명단!$K$3:$K$6002,원본명단!$K1659)))</f>
        <v/>
      </c>
      <c r="H1660" s="11" t="str">
        <f aca="false">IF($A1660="","",IF(MAX($E1660,$F1660,$G1660)&gt;1,"중복","-"))</f>
        <v/>
      </c>
      <c r="I1660" s="11" t="str">
        <f aca="false">IF($A1660="","",IF($H1660="-","-",IF(AND(IF(원본명단!$H1659="",TRUE(),COUNTIF(원본명단!$H$3:$H1659,원본명단!$H1659)=1),IF(원본명단!$I1659="",TRUE(),COUNTIF(원본명단!$I$3:$I1659,원본명단!$I1659)=1),IF(원본명단!$K1659="",TRUE(),COUNTIF(원본명단!$K$3:$K1659,원본명단!$K1659)=1)),"첫 건","중복 건")))</f>
        <v/>
      </c>
      <c r="J1660" s="11" t="str">
        <f aca="false">IF($A1660="","",IF($H1660="-","유지",IF($I1660="첫 건","유지","확인 필요")))</f>
        <v/>
      </c>
    </row>
    <row r="1661" customFormat="false" ht="15" hidden="false" customHeight="true" outlineLevel="0" collapsed="false">
      <c r="A1661" s="11" t="str">
        <f aca="false">IF(원본명단!$A1660="","",1658)</f>
        <v/>
      </c>
      <c r="B1661" s="12" t="str">
        <f aca="false">IF($A1661="","",원본명단!$A1660)</f>
        <v/>
      </c>
      <c r="C1661" s="12" t="str">
        <f aca="false">IF($A1661="","",원본명단!$B1660)</f>
        <v/>
      </c>
      <c r="D1661" s="12" t="str">
        <f aca="false">IF($A1661="","",원본명단!$D1660)</f>
        <v/>
      </c>
      <c r="E1661" s="11" t="str">
        <f aca="false">IF($A1661="","",IF(원본명단!$H1660="",0,COUNTIF(원본명단!$H$3:$H$6002,원본명단!$H1660)))</f>
        <v/>
      </c>
      <c r="F1661" s="11" t="str">
        <f aca="false">IF($A1661="","",IF(원본명단!$I1660="",0,COUNTIF(원본명단!$I$3:$I$6002,원본명단!$I1660)))</f>
        <v/>
      </c>
      <c r="G1661" s="11" t="str">
        <f aca="false">IF($A1661="","",IF(원본명단!$K1660="",0,COUNTIF(원본명단!$K$3:$K$6002,원본명단!$K1660)))</f>
        <v/>
      </c>
      <c r="H1661" s="11" t="str">
        <f aca="false">IF($A1661="","",IF(MAX($E1661,$F1661,$G1661)&gt;1,"중복","-"))</f>
        <v/>
      </c>
      <c r="I1661" s="11" t="str">
        <f aca="false">IF($A1661="","",IF($H1661="-","-",IF(AND(IF(원본명단!$H1660="",TRUE(),COUNTIF(원본명단!$H$3:$H1660,원본명단!$H1660)=1),IF(원본명단!$I1660="",TRUE(),COUNTIF(원본명단!$I$3:$I1660,원본명단!$I1660)=1),IF(원본명단!$K1660="",TRUE(),COUNTIF(원본명단!$K$3:$K1660,원본명단!$K1660)=1)),"첫 건","중복 건")))</f>
        <v/>
      </c>
      <c r="J1661" s="11" t="str">
        <f aca="false">IF($A1661="","",IF($H1661="-","유지",IF($I1661="첫 건","유지","확인 필요")))</f>
        <v/>
      </c>
    </row>
    <row r="1662" customFormat="false" ht="15" hidden="false" customHeight="true" outlineLevel="0" collapsed="false">
      <c r="A1662" s="11" t="str">
        <f aca="false">IF(원본명단!$A1661="","",1659)</f>
        <v/>
      </c>
      <c r="B1662" s="12" t="str">
        <f aca="false">IF($A1662="","",원본명단!$A1661)</f>
        <v/>
      </c>
      <c r="C1662" s="12" t="str">
        <f aca="false">IF($A1662="","",원본명단!$B1661)</f>
        <v/>
      </c>
      <c r="D1662" s="12" t="str">
        <f aca="false">IF($A1662="","",원본명단!$D1661)</f>
        <v/>
      </c>
      <c r="E1662" s="11" t="str">
        <f aca="false">IF($A1662="","",IF(원본명단!$H1661="",0,COUNTIF(원본명단!$H$3:$H$6002,원본명단!$H1661)))</f>
        <v/>
      </c>
      <c r="F1662" s="11" t="str">
        <f aca="false">IF($A1662="","",IF(원본명단!$I1661="",0,COUNTIF(원본명단!$I$3:$I$6002,원본명단!$I1661)))</f>
        <v/>
      </c>
      <c r="G1662" s="11" t="str">
        <f aca="false">IF($A1662="","",IF(원본명단!$K1661="",0,COUNTIF(원본명단!$K$3:$K$6002,원본명단!$K1661)))</f>
        <v/>
      </c>
      <c r="H1662" s="11" t="str">
        <f aca="false">IF($A1662="","",IF(MAX($E1662,$F1662,$G1662)&gt;1,"중복","-"))</f>
        <v/>
      </c>
      <c r="I1662" s="11" t="str">
        <f aca="false">IF($A1662="","",IF($H1662="-","-",IF(AND(IF(원본명단!$H1661="",TRUE(),COUNTIF(원본명단!$H$3:$H1661,원본명단!$H1661)=1),IF(원본명단!$I1661="",TRUE(),COUNTIF(원본명단!$I$3:$I1661,원본명단!$I1661)=1),IF(원본명단!$K1661="",TRUE(),COUNTIF(원본명단!$K$3:$K1661,원본명단!$K1661)=1)),"첫 건","중복 건")))</f>
        <v/>
      </c>
      <c r="J1662" s="11" t="str">
        <f aca="false">IF($A1662="","",IF($H1662="-","유지",IF($I1662="첫 건","유지","확인 필요")))</f>
        <v/>
      </c>
    </row>
    <row r="1663" customFormat="false" ht="15" hidden="false" customHeight="true" outlineLevel="0" collapsed="false">
      <c r="A1663" s="11" t="str">
        <f aca="false">IF(원본명단!$A1662="","",1660)</f>
        <v/>
      </c>
      <c r="B1663" s="12" t="str">
        <f aca="false">IF($A1663="","",원본명단!$A1662)</f>
        <v/>
      </c>
      <c r="C1663" s="12" t="str">
        <f aca="false">IF($A1663="","",원본명단!$B1662)</f>
        <v/>
      </c>
      <c r="D1663" s="12" t="str">
        <f aca="false">IF($A1663="","",원본명단!$D1662)</f>
        <v/>
      </c>
      <c r="E1663" s="11" t="str">
        <f aca="false">IF($A1663="","",IF(원본명단!$H1662="",0,COUNTIF(원본명단!$H$3:$H$6002,원본명단!$H1662)))</f>
        <v/>
      </c>
      <c r="F1663" s="11" t="str">
        <f aca="false">IF($A1663="","",IF(원본명단!$I1662="",0,COUNTIF(원본명단!$I$3:$I$6002,원본명단!$I1662)))</f>
        <v/>
      </c>
      <c r="G1663" s="11" t="str">
        <f aca="false">IF($A1663="","",IF(원본명단!$K1662="",0,COUNTIF(원본명단!$K$3:$K$6002,원본명단!$K1662)))</f>
        <v/>
      </c>
      <c r="H1663" s="11" t="str">
        <f aca="false">IF($A1663="","",IF(MAX($E1663,$F1663,$G1663)&gt;1,"중복","-"))</f>
        <v/>
      </c>
      <c r="I1663" s="11" t="str">
        <f aca="false">IF($A1663="","",IF($H1663="-","-",IF(AND(IF(원본명단!$H1662="",TRUE(),COUNTIF(원본명단!$H$3:$H1662,원본명단!$H1662)=1),IF(원본명단!$I1662="",TRUE(),COUNTIF(원본명단!$I$3:$I1662,원본명단!$I1662)=1),IF(원본명단!$K1662="",TRUE(),COUNTIF(원본명단!$K$3:$K1662,원본명단!$K1662)=1)),"첫 건","중복 건")))</f>
        <v/>
      </c>
      <c r="J1663" s="11" t="str">
        <f aca="false">IF($A1663="","",IF($H1663="-","유지",IF($I1663="첫 건","유지","확인 필요")))</f>
        <v/>
      </c>
    </row>
    <row r="1664" customFormat="false" ht="15" hidden="false" customHeight="true" outlineLevel="0" collapsed="false">
      <c r="A1664" s="11" t="str">
        <f aca="false">IF(원본명단!$A1663="","",1661)</f>
        <v/>
      </c>
      <c r="B1664" s="12" t="str">
        <f aca="false">IF($A1664="","",원본명단!$A1663)</f>
        <v/>
      </c>
      <c r="C1664" s="12" t="str">
        <f aca="false">IF($A1664="","",원본명단!$B1663)</f>
        <v/>
      </c>
      <c r="D1664" s="12" t="str">
        <f aca="false">IF($A1664="","",원본명단!$D1663)</f>
        <v/>
      </c>
      <c r="E1664" s="11" t="str">
        <f aca="false">IF($A1664="","",IF(원본명단!$H1663="",0,COUNTIF(원본명단!$H$3:$H$6002,원본명단!$H1663)))</f>
        <v/>
      </c>
      <c r="F1664" s="11" t="str">
        <f aca="false">IF($A1664="","",IF(원본명단!$I1663="",0,COUNTIF(원본명단!$I$3:$I$6002,원본명단!$I1663)))</f>
        <v/>
      </c>
      <c r="G1664" s="11" t="str">
        <f aca="false">IF($A1664="","",IF(원본명단!$K1663="",0,COUNTIF(원본명단!$K$3:$K$6002,원본명단!$K1663)))</f>
        <v/>
      </c>
      <c r="H1664" s="11" t="str">
        <f aca="false">IF($A1664="","",IF(MAX($E1664,$F1664,$G1664)&gt;1,"중복","-"))</f>
        <v/>
      </c>
      <c r="I1664" s="11" t="str">
        <f aca="false">IF($A1664="","",IF($H1664="-","-",IF(AND(IF(원본명단!$H1663="",TRUE(),COUNTIF(원본명단!$H$3:$H1663,원본명단!$H1663)=1),IF(원본명단!$I1663="",TRUE(),COUNTIF(원본명단!$I$3:$I1663,원본명단!$I1663)=1),IF(원본명단!$K1663="",TRUE(),COUNTIF(원본명단!$K$3:$K1663,원본명단!$K1663)=1)),"첫 건","중복 건")))</f>
        <v/>
      </c>
      <c r="J1664" s="11" t="str">
        <f aca="false">IF($A1664="","",IF($H1664="-","유지",IF($I1664="첫 건","유지","확인 필요")))</f>
        <v/>
      </c>
    </row>
    <row r="1665" customFormat="false" ht="15" hidden="false" customHeight="true" outlineLevel="0" collapsed="false">
      <c r="A1665" s="11" t="str">
        <f aca="false">IF(원본명단!$A1664="","",1662)</f>
        <v/>
      </c>
      <c r="B1665" s="12" t="str">
        <f aca="false">IF($A1665="","",원본명단!$A1664)</f>
        <v/>
      </c>
      <c r="C1665" s="12" t="str">
        <f aca="false">IF($A1665="","",원본명단!$B1664)</f>
        <v/>
      </c>
      <c r="D1665" s="12" t="str">
        <f aca="false">IF($A1665="","",원본명단!$D1664)</f>
        <v/>
      </c>
      <c r="E1665" s="11" t="str">
        <f aca="false">IF($A1665="","",IF(원본명단!$H1664="",0,COUNTIF(원본명단!$H$3:$H$6002,원본명단!$H1664)))</f>
        <v/>
      </c>
      <c r="F1665" s="11" t="str">
        <f aca="false">IF($A1665="","",IF(원본명단!$I1664="",0,COUNTIF(원본명단!$I$3:$I$6002,원본명단!$I1664)))</f>
        <v/>
      </c>
      <c r="G1665" s="11" t="str">
        <f aca="false">IF($A1665="","",IF(원본명단!$K1664="",0,COUNTIF(원본명단!$K$3:$K$6002,원본명단!$K1664)))</f>
        <v/>
      </c>
      <c r="H1665" s="11" t="str">
        <f aca="false">IF($A1665="","",IF(MAX($E1665,$F1665,$G1665)&gt;1,"중복","-"))</f>
        <v/>
      </c>
      <c r="I1665" s="11" t="str">
        <f aca="false">IF($A1665="","",IF($H1665="-","-",IF(AND(IF(원본명단!$H1664="",TRUE(),COUNTIF(원본명단!$H$3:$H1664,원본명단!$H1664)=1),IF(원본명단!$I1664="",TRUE(),COUNTIF(원본명단!$I$3:$I1664,원본명단!$I1664)=1),IF(원본명단!$K1664="",TRUE(),COUNTIF(원본명단!$K$3:$K1664,원본명단!$K1664)=1)),"첫 건","중복 건")))</f>
        <v/>
      </c>
      <c r="J1665" s="11" t="str">
        <f aca="false">IF($A1665="","",IF($H1665="-","유지",IF($I1665="첫 건","유지","확인 필요")))</f>
        <v/>
      </c>
    </row>
    <row r="1666" customFormat="false" ht="15" hidden="false" customHeight="true" outlineLevel="0" collapsed="false">
      <c r="A1666" s="11" t="str">
        <f aca="false">IF(원본명단!$A1665="","",1663)</f>
        <v/>
      </c>
      <c r="B1666" s="12" t="str">
        <f aca="false">IF($A1666="","",원본명단!$A1665)</f>
        <v/>
      </c>
      <c r="C1666" s="12" t="str">
        <f aca="false">IF($A1666="","",원본명단!$B1665)</f>
        <v/>
      </c>
      <c r="D1666" s="12" t="str">
        <f aca="false">IF($A1666="","",원본명단!$D1665)</f>
        <v/>
      </c>
      <c r="E1666" s="11" t="str">
        <f aca="false">IF($A1666="","",IF(원본명단!$H1665="",0,COUNTIF(원본명단!$H$3:$H$6002,원본명단!$H1665)))</f>
        <v/>
      </c>
      <c r="F1666" s="11" t="str">
        <f aca="false">IF($A1666="","",IF(원본명단!$I1665="",0,COUNTIF(원본명단!$I$3:$I$6002,원본명단!$I1665)))</f>
        <v/>
      </c>
      <c r="G1666" s="11" t="str">
        <f aca="false">IF($A1666="","",IF(원본명단!$K1665="",0,COUNTIF(원본명단!$K$3:$K$6002,원본명단!$K1665)))</f>
        <v/>
      </c>
      <c r="H1666" s="11" t="str">
        <f aca="false">IF($A1666="","",IF(MAX($E1666,$F1666,$G1666)&gt;1,"중복","-"))</f>
        <v/>
      </c>
      <c r="I1666" s="11" t="str">
        <f aca="false">IF($A1666="","",IF($H1666="-","-",IF(AND(IF(원본명단!$H1665="",TRUE(),COUNTIF(원본명단!$H$3:$H1665,원본명단!$H1665)=1),IF(원본명단!$I1665="",TRUE(),COUNTIF(원본명단!$I$3:$I1665,원본명단!$I1665)=1),IF(원본명단!$K1665="",TRUE(),COUNTIF(원본명단!$K$3:$K1665,원본명단!$K1665)=1)),"첫 건","중복 건")))</f>
        <v/>
      </c>
      <c r="J1666" s="11" t="str">
        <f aca="false">IF($A1666="","",IF($H1666="-","유지",IF($I1666="첫 건","유지","확인 필요")))</f>
        <v/>
      </c>
    </row>
    <row r="1667" customFormat="false" ht="15" hidden="false" customHeight="true" outlineLevel="0" collapsed="false">
      <c r="A1667" s="11" t="str">
        <f aca="false">IF(원본명단!$A1666="","",1664)</f>
        <v/>
      </c>
      <c r="B1667" s="12" t="str">
        <f aca="false">IF($A1667="","",원본명단!$A1666)</f>
        <v/>
      </c>
      <c r="C1667" s="12" t="str">
        <f aca="false">IF($A1667="","",원본명단!$B1666)</f>
        <v/>
      </c>
      <c r="D1667" s="12" t="str">
        <f aca="false">IF($A1667="","",원본명단!$D1666)</f>
        <v/>
      </c>
      <c r="E1667" s="11" t="str">
        <f aca="false">IF($A1667="","",IF(원본명단!$H1666="",0,COUNTIF(원본명단!$H$3:$H$6002,원본명단!$H1666)))</f>
        <v/>
      </c>
      <c r="F1667" s="11" t="str">
        <f aca="false">IF($A1667="","",IF(원본명단!$I1666="",0,COUNTIF(원본명단!$I$3:$I$6002,원본명단!$I1666)))</f>
        <v/>
      </c>
      <c r="G1667" s="11" t="str">
        <f aca="false">IF($A1667="","",IF(원본명단!$K1666="",0,COUNTIF(원본명단!$K$3:$K$6002,원본명단!$K1666)))</f>
        <v/>
      </c>
      <c r="H1667" s="11" t="str">
        <f aca="false">IF($A1667="","",IF(MAX($E1667,$F1667,$G1667)&gt;1,"중복","-"))</f>
        <v/>
      </c>
      <c r="I1667" s="11" t="str">
        <f aca="false">IF($A1667="","",IF($H1667="-","-",IF(AND(IF(원본명단!$H1666="",TRUE(),COUNTIF(원본명단!$H$3:$H1666,원본명단!$H1666)=1),IF(원본명단!$I1666="",TRUE(),COUNTIF(원본명단!$I$3:$I1666,원본명단!$I1666)=1),IF(원본명단!$K1666="",TRUE(),COUNTIF(원본명단!$K$3:$K1666,원본명단!$K1666)=1)),"첫 건","중복 건")))</f>
        <v/>
      </c>
      <c r="J1667" s="11" t="str">
        <f aca="false">IF($A1667="","",IF($H1667="-","유지",IF($I1667="첫 건","유지","확인 필요")))</f>
        <v/>
      </c>
    </row>
    <row r="1668" customFormat="false" ht="15" hidden="false" customHeight="true" outlineLevel="0" collapsed="false">
      <c r="A1668" s="11" t="str">
        <f aca="false">IF(원본명단!$A1667="","",1665)</f>
        <v/>
      </c>
      <c r="B1668" s="12" t="str">
        <f aca="false">IF($A1668="","",원본명단!$A1667)</f>
        <v/>
      </c>
      <c r="C1668" s="12" t="str">
        <f aca="false">IF($A1668="","",원본명단!$B1667)</f>
        <v/>
      </c>
      <c r="D1668" s="12" t="str">
        <f aca="false">IF($A1668="","",원본명단!$D1667)</f>
        <v/>
      </c>
      <c r="E1668" s="11" t="str">
        <f aca="false">IF($A1668="","",IF(원본명단!$H1667="",0,COUNTIF(원본명단!$H$3:$H$6002,원본명단!$H1667)))</f>
        <v/>
      </c>
      <c r="F1668" s="11" t="str">
        <f aca="false">IF($A1668="","",IF(원본명단!$I1667="",0,COUNTIF(원본명단!$I$3:$I$6002,원본명단!$I1667)))</f>
        <v/>
      </c>
      <c r="G1668" s="11" t="str">
        <f aca="false">IF($A1668="","",IF(원본명단!$K1667="",0,COUNTIF(원본명단!$K$3:$K$6002,원본명단!$K1667)))</f>
        <v/>
      </c>
      <c r="H1668" s="11" t="str">
        <f aca="false">IF($A1668="","",IF(MAX($E1668,$F1668,$G1668)&gt;1,"중복","-"))</f>
        <v/>
      </c>
      <c r="I1668" s="11" t="str">
        <f aca="false">IF($A1668="","",IF($H1668="-","-",IF(AND(IF(원본명단!$H1667="",TRUE(),COUNTIF(원본명단!$H$3:$H1667,원본명단!$H1667)=1),IF(원본명단!$I1667="",TRUE(),COUNTIF(원본명단!$I$3:$I1667,원본명단!$I1667)=1),IF(원본명단!$K1667="",TRUE(),COUNTIF(원본명단!$K$3:$K1667,원본명단!$K1667)=1)),"첫 건","중복 건")))</f>
        <v/>
      </c>
      <c r="J1668" s="11" t="str">
        <f aca="false">IF($A1668="","",IF($H1668="-","유지",IF($I1668="첫 건","유지","확인 필요")))</f>
        <v/>
      </c>
    </row>
    <row r="1669" customFormat="false" ht="15" hidden="false" customHeight="true" outlineLevel="0" collapsed="false">
      <c r="A1669" s="11" t="str">
        <f aca="false">IF(원본명단!$A1668="","",1666)</f>
        <v/>
      </c>
      <c r="B1669" s="12" t="str">
        <f aca="false">IF($A1669="","",원본명단!$A1668)</f>
        <v/>
      </c>
      <c r="C1669" s="12" t="str">
        <f aca="false">IF($A1669="","",원본명단!$B1668)</f>
        <v/>
      </c>
      <c r="D1669" s="12" t="str">
        <f aca="false">IF($A1669="","",원본명단!$D1668)</f>
        <v/>
      </c>
      <c r="E1669" s="11" t="str">
        <f aca="false">IF($A1669="","",IF(원본명단!$H1668="",0,COUNTIF(원본명단!$H$3:$H$6002,원본명단!$H1668)))</f>
        <v/>
      </c>
      <c r="F1669" s="11" t="str">
        <f aca="false">IF($A1669="","",IF(원본명단!$I1668="",0,COUNTIF(원본명단!$I$3:$I$6002,원본명단!$I1668)))</f>
        <v/>
      </c>
      <c r="G1669" s="11" t="str">
        <f aca="false">IF($A1669="","",IF(원본명단!$K1668="",0,COUNTIF(원본명단!$K$3:$K$6002,원본명단!$K1668)))</f>
        <v/>
      </c>
      <c r="H1669" s="11" t="str">
        <f aca="false">IF($A1669="","",IF(MAX($E1669,$F1669,$G1669)&gt;1,"중복","-"))</f>
        <v/>
      </c>
      <c r="I1669" s="11" t="str">
        <f aca="false">IF($A1669="","",IF($H1669="-","-",IF(AND(IF(원본명단!$H1668="",TRUE(),COUNTIF(원본명단!$H$3:$H1668,원본명단!$H1668)=1),IF(원본명단!$I1668="",TRUE(),COUNTIF(원본명단!$I$3:$I1668,원본명단!$I1668)=1),IF(원본명단!$K1668="",TRUE(),COUNTIF(원본명단!$K$3:$K1668,원본명단!$K1668)=1)),"첫 건","중복 건")))</f>
        <v/>
      </c>
      <c r="J1669" s="11" t="str">
        <f aca="false">IF($A1669="","",IF($H1669="-","유지",IF($I1669="첫 건","유지","확인 필요")))</f>
        <v/>
      </c>
    </row>
    <row r="1670" customFormat="false" ht="15" hidden="false" customHeight="true" outlineLevel="0" collapsed="false">
      <c r="A1670" s="11" t="str">
        <f aca="false">IF(원본명단!$A1669="","",1667)</f>
        <v/>
      </c>
      <c r="B1670" s="12" t="str">
        <f aca="false">IF($A1670="","",원본명단!$A1669)</f>
        <v/>
      </c>
      <c r="C1670" s="12" t="str">
        <f aca="false">IF($A1670="","",원본명단!$B1669)</f>
        <v/>
      </c>
      <c r="D1670" s="12" t="str">
        <f aca="false">IF($A1670="","",원본명단!$D1669)</f>
        <v/>
      </c>
      <c r="E1670" s="11" t="str">
        <f aca="false">IF($A1670="","",IF(원본명단!$H1669="",0,COUNTIF(원본명단!$H$3:$H$6002,원본명단!$H1669)))</f>
        <v/>
      </c>
      <c r="F1670" s="11" t="str">
        <f aca="false">IF($A1670="","",IF(원본명단!$I1669="",0,COUNTIF(원본명단!$I$3:$I$6002,원본명단!$I1669)))</f>
        <v/>
      </c>
      <c r="G1670" s="11" t="str">
        <f aca="false">IF($A1670="","",IF(원본명단!$K1669="",0,COUNTIF(원본명단!$K$3:$K$6002,원본명단!$K1669)))</f>
        <v/>
      </c>
      <c r="H1670" s="11" t="str">
        <f aca="false">IF($A1670="","",IF(MAX($E1670,$F1670,$G1670)&gt;1,"중복","-"))</f>
        <v/>
      </c>
      <c r="I1670" s="11" t="str">
        <f aca="false">IF($A1670="","",IF($H1670="-","-",IF(AND(IF(원본명단!$H1669="",TRUE(),COUNTIF(원본명단!$H$3:$H1669,원본명단!$H1669)=1),IF(원본명단!$I1669="",TRUE(),COUNTIF(원본명단!$I$3:$I1669,원본명단!$I1669)=1),IF(원본명단!$K1669="",TRUE(),COUNTIF(원본명단!$K$3:$K1669,원본명단!$K1669)=1)),"첫 건","중복 건")))</f>
        <v/>
      </c>
      <c r="J1670" s="11" t="str">
        <f aca="false">IF($A1670="","",IF($H1670="-","유지",IF($I1670="첫 건","유지","확인 필요")))</f>
        <v/>
      </c>
    </row>
    <row r="1671" customFormat="false" ht="15" hidden="false" customHeight="true" outlineLevel="0" collapsed="false">
      <c r="A1671" s="11" t="str">
        <f aca="false">IF(원본명단!$A1670="","",1668)</f>
        <v/>
      </c>
      <c r="B1671" s="12" t="str">
        <f aca="false">IF($A1671="","",원본명단!$A1670)</f>
        <v/>
      </c>
      <c r="C1671" s="12" t="str">
        <f aca="false">IF($A1671="","",원본명단!$B1670)</f>
        <v/>
      </c>
      <c r="D1671" s="12" t="str">
        <f aca="false">IF($A1671="","",원본명단!$D1670)</f>
        <v/>
      </c>
      <c r="E1671" s="11" t="str">
        <f aca="false">IF($A1671="","",IF(원본명단!$H1670="",0,COUNTIF(원본명단!$H$3:$H$6002,원본명단!$H1670)))</f>
        <v/>
      </c>
      <c r="F1671" s="11" t="str">
        <f aca="false">IF($A1671="","",IF(원본명단!$I1670="",0,COUNTIF(원본명단!$I$3:$I$6002,원본명단!$I1670)))</f>
        <v/>
      </c>
      <c r="G1671" s="11" t="str">
        <f aca="false">IF($A1671="","",IF(원본명단!$K1670="",0,COUNTIF(원본명단!$K$3:$K$6002,원본명단!$K1670)))</f>
        <v/>
      </c>
      <c r="H1671" s="11" t="str">
        <f aca="false">IF($A1671="","",IF(MAX($E1671,$F1671,$G1671)&gt;1,"중복","-"))</f>
        <v/>
      </c>
      <c r="I1671" s="11" t="str">
        <f aca="false">IF($A1671="","",IF($H1671="-","-",IF(AND(IF(원본명단!$H1670="",TRUE(),COUNTIF(원본명단!$H$3:$H1670,원본명단!$H1670)=1),IF(원본명단!$I1670="",TRUE(),COUNTIF(원본명단!$I$3:$I1670,원본명단!$I1670)=1),IF(원본명단!$K1670="",TRUE(),COUNTIF(원본명단!$K$3:$K1670,원본명단!$K1670)=1)),"첫 건","중복 건")))</f>
        <v/>
      </c>
      <c r="J1671" s="11" t="str">
        <f aca="false">IF($A1671="","",IF($H1671="-","유지",IF($I1671="첫 건","유지","확인 필요")))</f>
        <v/>
      </c>
    </row>
    <row r="1672" customFormat="false" ht="15" hidden="false" customHeight="true" outlineLevel="0" collapsed="false">
      <c r="A1672" s="11" t="str">
        <f aca="false">IF(원본명단!$A1671="","",1669)</f>
        <v/>
      </c>
      <c r="B1672" s="12" t="str">
        <f aca="false">IF($A1672="","",원본명단!$A1671)</f>
        <v/>
      </c>
      <c r="C1672" s="12" t="str">
        <f aca="false">IF($A1672="","",원본명단!$B1671)</f>
        <v/>
      </c>
      <c r="D1672" s="12" t="str">
        <f aca="false">IF($A1672="","",원본명단!$D1671)</f>
        <v/>
      </c>
      <c r="E1672" s="11" t="str">
        <f aca="false">IF($A1672="","",IF(원본명단!$H1671="",0,COUNTIF(원본명단!$H$3:$H$6002,원본명단!$H1671)))</f>
        <v/>
      </c>
      <c r="F1672" s="11" t="str">
        <f aca="false">IF($A1672="","",IF(원본명단!$I1671="",0,COUNTIF(원본명단!$I$3:$I$6002,원본명단!$I1671)))</f>
        <v/>
      </c>
      <c r="G1672" s="11" t="str">
        <f aca="false">IF($A1672="","",IF(원본명단!$K1671="",0,COUNTIF(원본명단!$K$3:$K$6002,원본명단!$K1671)))</f>
        <v/>
      </c>
      <c r="H1672" s="11" t="str">
        <f aca="false">IF($A1672="","",IF(MAX($E1672,$F1672,$G1672)&gt;1,"중복","-"))</f>
        <v/>
      </c>
      <c r="I1672" s="11" t="str">
        <f aca="false">IF($A1672="","",IF($H1672="-","-",IF(AND(IF(원본명단!$H1671="",TRUE(),COUNTIF(원본명단!$H$3:$H1671,원본명단!$H1671)=1),IF(원본명단!$I1671="",TRUE(),COUNTIF(원본명단!$I$3:$I1671,원본명단!$I1671)=1),IF(원본명단!$K1671="",TRUE(),COUNTIF(원본명단!$K$3:$K1671,원본명단!$K1671)=1)),"첫 건","중복 건")))</f>
        <v/>
      </c>
      <c r="J1672" s="11" t="str">
        <f aca="false">IF($A1672="","",IF($H1672="-","유지",IF($I1672="첫 건","유지","확인 필요")))</f>
        <v/>
      </c>
    </row>
    <row r="1673" customFormat="false" ht="15" hidden="false" customHeight="true" outlineLevel="0" collapsed="false">
      <c r="A1673" s="11" t="str">
        <f aca="false">IF(원본명단!$A1672="","",1670)</f>
        <v/>
      </c>
      <c r="B1673" s="12" t="str">
        <f aca="false">IF($A1673="","",원본명단!$A1672)</f>
        <v/>
      </c>
      <c r="C1673" s="12" t="str">
        <f aca="false">IF($A1673="","",원본명단!$B1672)</f>
        <v/>
      </c>
      <c r="D1673" s="12" t="str">
        <f aca="false">IF($A1673="","",원본명단!$D1672)</f>
        <v/>
      </c>
      <c r="E1673" s="11" t="str">
        <f aca="false">IF($A1673="","",IF(원본명단!$H1672="",0,COUNTIF(원본명단!$H$3:$H$6002,원본명단!$H1672)))</f>
        <v/>
      </c>
      <c r="F1673" s="11" t="str">
        <f aca="false">IF($A1673="","",IF(원본명단!$I1672="",0,COUNTIF(원본명단!$I$3:$I$6002,원본명단!$I1672)))</f>
        <v/>
      </c>
      <c r="G1673" s="11" t="str">
        <f aca="false">IF($A1673="","",IF(원본명단!$K1672="",0,COUNTIF(원본명단!$K$3:$K$6002,원본명단!$K1672)))</f>
        <v/>
      </c>
      <c r="H1673" s="11" t="str">
        <f aca="false">IF($A1673="","",IF(MAX($E1673,$F1673,$G1673)&gt;1,"중복","-"))</f>
        <v/>
      </c>
      <c r="I1673" s="11" t="str">
        <f aca="false">IF($A1673="","",IF($H1673="-","-",IF(AND(IF(원본명단!$H1672="",TRUE(),COUNTIF(원본명단!$H$3:$H1672,원본명단!$H1672)=1),IF(원본명단!$I1672="",TRUE(),COUNTIF(원본명단!$I$3:$I1672,원본명단!$I1672)=1),IF(원본명단!$K1672="",TRUE(),COUNTIF(원본명단!$K$3:$K1672,원본명단!$K1672)=1)),"첫 건","중복 건")))</f>
        <v/>
      </c>
      <c r="J1673" s="11" t="str">
        <f aca="false">IF($A1673="","",IF($H1673="-","유지",IF($I1673="첫 건","유지","확인 필요")))</f>
        <v/>
      </c>
    </row>
    <row r="1674" customFormat="false" ht="15" hidden="false" customHeight="true" outlineLevel="0" collapsed="false">
      <c r="A1674" s="11" t="str">
        <f aca="false">IF(원본명단!$A1673="","",1671)</f>
        <v/>
      </c>
      <c r="B1674" s="12" t="str">
        <f aca="false">IF($A1674="","",원본명단!$A1673)</f>
        <v/>
      </c>
      <c r="C1674" s="12" t="str">
        <f aca="false">IF($A1674="","",원본명단!$B1673)</f>
        <v/>
      </c>
      <c r="D1674" s="12" t="str">
        <f aca="false">IF($A1674="","",원본명단!$D1673)</f>
        <v/>
      </c>
      <c r="E1674" s="11" t="str">
        <f aca="false">IF($A1674="","",IF(원본명단!$H1673="",0,COUNTIF(원본명단!$H$3:$H$6002,원본명단!$H1673)))</f>
        <v/>
      </c>
      <c r="F1674" s="11" t="str">
        <f aca="false">IF($A1674="","",IF(원본명단!$I1673="",0,COUNTIF(원본명단!$I$3:$I$6002,원본명단!$I1673)))</f>
        <v/>
      </c>
      <c r="G1674" s="11" t="str">
        <f aca="false">IF($A1674="","",IF(원본명단!$K1673="",0,COUNTIF(원본명단!$K$3:$K$6002,원본명단!$K1673)))</f>
        <v/>
      </c>
      <c r="H1674" s="11" t="str">
        <f aca="false">IF($A1674="","",IF(MAX($E1674,$F1674,$G1674)&gt;1,"중복","-"))</f>
        <v/>
      </c>
      <c r="I1674" s="11" t="str">
        <f aca="false">IF($A1674="","",IF($H1674="-","-",IF(AND(IF(원본명단!$H1673="",TRUE(),COUNTIF(원본명단!$H$3:$H1673,원본명단!$H1673)=1),IF(원본명단!$I1673="",TRUE(),COUNTIF(원본명단!$I$3:$I1673,원본명단!$I1673)=1),IF(원본명단!$K1673="",TRUE(),COUNTIF(원본명단!$K$3:$K1673,원본명단!$K1673)=1)),"첫 건","중복 건")))</f>
        <v/>
      </c>
      <c r="J1674" s="11" t="str">
        <f aca="false">IF($A1674="","",IF($H1674="-","유지",IF($I1674="첫 건","유지","확인 필요")))</f>
        <v/>
      </c>
    </row>
    <row r="1675" customFormat="false" ht="15" hidden="false" customHeight="true" outlineLevel="0" collapsed="false">
      <c r="A1675" s="11" t="str">
        <f aca="false">IF(원본명단!$A1674="","",1672)</f>
        <v/>
      </c>
      <c r="B1675" s="12" t="str">
        <f aca="false">IF($A1675="","",원본명단!$A1674)</f>
        <v/>
      </c>
      <c r="C1675" s="12" t="str">
        <f aca="false">IF($A1675="","",원본명단!$B1674)</f>
        <v/>
      </c>
      <c r="D1675" s="12" t="str">
        <f aca="false">IF($A1675="","",원본명단!$D1674)</f>
        <v/>
      </c>
      <c r="E1675" s="11" t="str">
        <f aca="false">IF($A1675="","",IF(원본명단!$H1674="",0,COUNTIF(원본명단!$H$3:$H$6002,원본명단!$H1674)))</f>
        <v/>
      </c>
      <c r="F1675" s="11" t="str">
        <f aca="false">IF($A1675="","",IF(원본명단!$I1674="",0,COUNTIF(원본명단!$I$3:$I$6002,원본명단!$I1674)))</f>
        <v/>
      </c>
      <c r="G1675" s="11" t="str">
        <f aca="false">IF($A1675="","",IF(원본명단!$K1674="",0,COUNTIF(원본명단!$K$3:$K$6002,원본명단!$K1674)))</f>
        <v/>
      </c>
      <c r="H1675" s="11" t="str">
        <f aca="false">IF($A1675="","",IF(MAX($E1675,$F1675,$G1675)&gt;1,"중복","-"))</f>
        <v/>
      </c>
      <c r="I1675" s="11" t="str">
        <f aca="false">IF($A1675="","",IF($H1675="-","-",IF(AND(IF(원본명단!$H1674="",TRUE(),COUNTIF(원본명단!$H$3:$H1674,원본명단!$H1674)=1),IF(원본명단!$I1674="",TRUE(),COUNTIF(원본명단!$I$3:$I1674,원본명단!$I1674)=1),IF(원본명단!$K1674="",TRUE(),COUNTIF(원본명단!$K$3:$K1674,원본명단!$K1674)=1)),"첫 건","중복 건")))</f>
        <v/>
      </c>
      <c r="J1675" s="11" t="str">
        <f aca="false">IF($A1675="","",IF($H1675="-","유지",IF($I1675="첫 건","유지","확인 필요")))</f>
        <v/>
      </c>
    </row>
    <row r="1676" customFormat="false" ht="15" hidden="false" customHeight="true" outlineLevel="0" collapsed="false">
      <c r="A1676" s="11" t="str">
        <f aca="false">IF(원본명단!$A1675="","",1673)</f>
        <v/>
      </c>
      <c r="B1676" s="12" t="str">
        <f aca="false">IF($A1676="","",원본명단!$A1675)</f>
        <v/>
      </c>
      <c r="C1676" s="12" t="str">
        <f aca="false">IF($A1676="","",원본명단!$B1675)</f>
        <v/>
      </c>
      <c r="D1676" s="12" t="str">
        <f aca="false">IF($A1676="","",원본명단!$D1675)</f>
        <v/>
      </c>
      <c r="E1676" s="11" t="str">
        <f aca="false">IF($A1676="","",IF(원본명단!$H1675="",0,COUNTIF(원본명단!$H$3:$H$6002,원본명단!$H1675)))</f>
        <v/>
      </c>
      <c r="F1676" s="11" t="str">
        <f aca="false">IF($A1676="","",IF(원본명단!$I1675="",0,COUNTIF(원본명단!$I$3:$I$6002,원본명단!$I1675)))</f>
        <v/>
      </c>
      <c r="G1676" s="11" t="str">
        <f aca="false">IF($A1676="","",IF(원본명단!$K1675="",0,COUNTIF(원본명단!$K$3:$K$6002,원본명단!$K1675)))</f>
        <v/>
      </c>
      <c r="H1676" s="11" t="str">
        <f aca="false">IF($A1676="","",IF(MAX($E1676,$F1676,$G1676)&gt;1,"중복","-"))</f>
        <v/>
      </c>
      <c r="I1676" s="11" t="str">
        <f aca="false">IF($A1676="","",IF($H1676="-","-",IF(AND(IF(원본명단!$H1675="",TRUE(),COUNTIF(원본명단!$H$3:$H1675,원본명단!$H1675)=1),IF(원본명단!$I1675="",TRUE(),COUNTIF(원본명단!$I$3:$I1675,원본명단!$I1675)=1),IF(원본명단!$K1675="",TRUE(),COUNTIF(원본명단!$K$3:$K1675,원본명단!$K1675)=1)),"첫 건","중복 건")))</f>
        <v/>
      </c>
      <c r="J1676" s="11" t="str">
        <f aca="false">IF($A1676="","",IF($H1676="-","유지",IF($I1676="첫 건","유지","확인 필요")))</f>
        <v/>
      </c>
    </row>
    <row r="1677" customFormat="false" ht="15" hidden="false" customHeight="true" outlineLevel="0" collapsed="false">
      <c r="A1677" s="11" t="str">
        <f aca="false">IF(원본명단!$A1676="","",1674)</f>
        <v/>
      </c>
      <c r="B1677" s="12" t="str">
        <f aca="false">IF($A1677="","",원본명단!$A1676)</f>
        <v/>
      </c>
      <c r="C1677" s="12" t="str">
        <f aca="false">IF($A1677="","",원본명단!$B1676)</f>
        <v/>
      </c>
      <c r="D1677" s="12" t="str">
        <f aca="false">IF($A1677="","",원본명단!$D1676)</f>
        <v/>
      </c>
      <c r="E1677" s="11" t="str">
        <f aca="false">IF($A1677="","",IF(원본명단!$H1676="",0,COUNTIF(원본명단!$H$3:$H$6002,원본명단!$H1676)))</f>
        <v/>
      </c>
      <c r="F1677" s="11" t="str">
        <f aca="false">IF($A1677="","",IF(원본명단!$I1676="",0,COUNTIF(원본명단!$I$3:$I$6002,원본명단!$I1676)))</f>
        <v/>
      </c>
      <c r="G1677" s="11" t="str">
        <f aca="false">IF($A1677="","",IF(원본명단!$K1676="",0,COUNTIF(원본명단!$K$3:$K$6002,원본명단!$K1676)))</f>
        <v/>
      </c>
      <c r="H1677" s="11" t="str">
        <f aca="false">IF($A1677="","",IF(MAX($E1677,$F1677,$G1677)&gt;1,"중복","-"))</f>
        <v/>
      </c>
      <c r="I1677" s="11" t="str">
        <f aca="false">IF($A1677="","",IF($H1677="-","-",IF(AND(IF(원본명단!$H1676="",TRUE(),COUNTIF(원본명단!$H$3:$H1676,원본명단!$H1676)=1),IF(원본명단!$I1676="",TRUE(),COUNTIF(원본명단!$I$3:$I1676,원본명단!$I1676)=1),IF(원본명단!$K1676="",TRUE(),COUNTIF(원본명단!$K$3:$K1676,원본명단!$K1676)=1)),"첫 건","중복 건")))</f>
        <v/>
      </c>
      <c r="J1677" s="11" t="str">
        <f aca="false">IF($A1677="","",IF($H1677="-","유지",IF($I1677="첫 건","유지","확인 필요")))</f>
        <v/>
      </c>
    </row>
    <row r="1678" customFormat="false" ht="15" hidden="false" customHeight="true" outlineLevel="0" collapsed="false">
      <c r="A1678" s="11" t="str">
        <f aca="false">IF(원본명단!$A1677="","",1675)</f>
        <v/>
      </c>
      <c r="B1678" s="12" t="str">
        <f aca="false">IF($A1678="","",원본명단!$A1677)</f>
        <v/>
      </c>
      <c r="C1678" s="12" t="str">
        <f aca="false">IF($A1678="","",원본명단!$B1677)</f>
        <v/>
      </c>
      <c r="D1678" s="12" t="str">
        <f aca="false">IF($A1678="","",원본명단!$D1677)</f>
        <v/>
      </c>
      <c r="E1678" s="11" t="str">
        <f aca="false">IF($A1678="","",IF(원본명단!$H1677="",0,COUNTIF(원본명단!$H$3:$H$6002,원본명단!$H1677)))</f>
        <v/>
      </c>
      <c r="F1678" s="11" t="str">
        <f aca="false">IF($A1678="","",IF(원본명단!$I1677="",0,COUNTIF(원본명단!$I$3:$I$6002,원본명단!$I1677)))</f>
        <v/>
      </c>
      <c r="G1678" s="11" t="str">
        <f aca="false">IF($A1678="","",IF(원본명단!$K1677="",0,COUNTIF(원본명단!$K$3:$K$6002,원본명단!$K1677)))</f>
        <v/>
      </c>
      <c r="H1678" s="11" t="str">
        <f aca="false">IF($A1678="","",IF(MAX($E1678,$F1678,$G1678)&gt;1,"중복","-"))</f>
        <v/>
      </c>
      <c r="I1678" s="11" t="str">
        <f aca="false">IF($A1678="","",IF($H1678="-","-",IF(AND(IF(원본명단!$H1677="",TRUE(),COUNTIF(원본명단!$H$3:$H1677,원본명단!$H1677)=1),IF(원본명단!$I1677="",TRUE(),COUNTIF(원본명단!$I$3:$I1677,원본명단!$I1677)=1),IF(원본명단!$K1677="",TRUE(),COUNTIF(원본명단!$K$3:$K1677,원본명단!$K1677)=1)),"첫 건","중복 건")))</f>
        <v/>
      </c>
      <c r="J1678" s="11" t="str">
        <f aca="false">IF($A1678="","",IF($H1678="-","유지",IF($I1678="첫 건","유지","확인 필요")))</f>
        <v/>
      </c>
    </row>
    <row r="1679" customFormat="false" ht="15" hidden="false" customHeight="true" outlineLevel="0" collapsed="false">
      <c r="A1679" s="11" t="str">
        <f aca="false">IF(원본명단!$A1678="","",1676)</f>
        <v/>
      </c>
      <c r="B1679" s="12" t="str">
        <f aca="false">IF($A1679="","",원본명단!$A1678)</f>
        <v/>
      </c>
      <c r="C1679" s="12" t="str">
        <f aca="false">IF($A1679="","",원본명단!$B1678)</f>
        <v/>
      </c>
      <c r="D1679" s="12" t="str">
        <f aca="false">IF($A1679="","",원본명단!$D1678)</f>
        <v/>
      </c>
      <c r="E1679" s="11" t="str">
        <f aca="false">IF($A1679="","",IF(원본명단!$H1678="",0,COUNTIF(원본명단!$H$3:$H$6002,원본명단!$H1678)))</f>
        <v/>
      </c>
      <c r="F1679" s="11" t="str">
        <f aca="false">IF($A1679="","",IF(원본명단!$I1678="",0,COUNTIF(원본명단!$I$3:$I$6002,원본명단!$I1678)))</f>
        <v/>
      </c>
      <c r="G1679" s="11" t="str">
        <f aca="false">IF($A1679="","",IF(원본명단!$K1678="",0,COUNTIF(원본명단!$K$3:$K$6002,원본명단!$K1678)))</f>
        <v/>
      </c>
      <c r="H1679" s="11" t="str">
        <f aca="false">IF($A1679="","",IF(MAX($E1679,$F1679,$G1679)&gt;1,"중복","-"))</f>
        <v/>
      </c>
      <c r="I1679" s="11" t="str">
        <f aca="false">IF($A1679="","",IF($H1679="-","-",IF(AND(IF(원본명단!$H1678="",TRUE(),COUNTIF(원본명단!$H$3:$H1678,원본명단!$H1678)=1),IF(원본명단!$I1678="",TRUE(),COUNTIF(원본명단!$I$3:$I1678,원본명단!$I1678)=1),IF(원본명단!$K1678="",TRUE(),COUNTIF(원본명단!$K$3:$K1678,원본명단!$K1678)=1)),"첫 건","중복 건")))</f>
        <v/>
      </c>
      <c r="J1679" s="11" t="str">
        <f aca="false">IF($A1679="","",IF($H1679="-","유지",IF($I1679="첫 건","유지","확인 필요")))</f>
        <v/>
      </c>
    </row>
    <row r="1680" customFormat="false" ht="15" hidden="false" customHeight="true" outlineLevel="0" collapsed="false">
      <c r="A1680" s="11" t="str">
        <f aca="false">IF(원본명단!$A1679="","",1677)</f>
        <v/>
      </c>
      <c r="B1680" s="12" t="str">
        <f aca="false">IF($A1680="","",원본명단!$A1679)</f>
        <v/>
      </c>
      <c r="C1680" s="12" t="str">
        <f aca="false">IF($A1680="","",원본명단!$B1679)</f>
        <v/>
      </c>
      <c r="D1680" s="12" t="str">
        <f aca="false">IF($A1680="","",원본명단!$D1679)</f>
        <v/>
      </c>
      <c r="E1680" s="11" t="str">
        <f aca="false">IF($A1680="","",IF(원본명단!$H1679="",0,COUNTIF(원본명단!$H$3:$H$6002,원본명단!$H1679)))</f>
        <v/>
      </c>
      <c r="F1680" s="11" t="str">
        <f aca="false">IF($A1680="","",IF(원본명단!$I1679="",0,COUNTIF(원본명단!$I$3:$I$6002,원본명단!$I1679)))</f>
        <v/>
      </c>
      <c r="G1680" s="11" t="str">
        <f aca="false">IF($A1680="","",IF(원본명단!$K1679="",0,COUNTIF(원본명단!$K$3:$K$6002,원본명단!$K1679)))</f>
        <v/>
      </c>
      <c r="H1680" s="11" t="str">
        <f aca="false">IF($A1680="","",IF(MAX($E1680,$F1680,$G1680)&gt;1,"중복","-"))</f>
        <v/>
      </c>
      <c r="I1680" s="11" t="str">
        <f aca="false">IF($A1680="","",IF($H1680="-","-",IF(AND(IF(원본명단!$H1679="",TRUE(),COUNTIF(원본명단!$H$3:$H1679,원본명단!$H1679)=1),IF(원본명단!$I1679="",TRUE(),COUNTIF(원본명단!$I$3:$I1679,원본명단!$I1679)=1),IF(원본명단!$K1679="",TRUE(),COUNTIF(원본명단!$K$3:$K1679,원본명단!$K1679)=1)),"첫 건","중복 건")))</f>
        <v/>
      </c>
      <c r="J1680" s="11" t="str">
        <f aca="false">IF($A1680="","",IF($H1680="-","유지",IF($I1680="첫 건","유지","확인 필요")))</f>
        <v/>
      </c>
    </row>
    <row r="1681" customFormat="false" ht="15" hidden="false" customHeight="true" outlineLevel="0" collapsed="false">
      <c r="A1681" s="11" t="str">
        <f aca="false">IF(원본명단!$A1680="","",1678)</f>
        <v/>
      </c>
      <c r="B1681" s="12" t="str">
        <f aca="false">IF($A1681="","",원본명단!$A1680)</f>
        <v/>
      </c>
      <c r="C1681" s="12" t="str">
        <f aca="false">IF($A1681="","",원본명단!$B1680)</f>
        <v/>
      </c>
      <c r="D1681" s="12" t="str">
        <f aca="false">IF($A1681="","",원본명단!$D1680)</f>
        <v/>
      </c>
      <c r="E1681" s="11" t="str">
        <f aca="false">IF($A1681="","",IF(원본명단!$H1680="",0,COUNTIF(원본명단!$H$3:$H$6002,원본명단!$H1680)))</f>
        <v/>
      </c>
      <c r="F1681" s="11" t="str">
        <f aca="false">IF($A1681="","",IF(원본명단!$I1680="",0,COUNTIF(원본명단!$I$3:$I$6002,원본명단!$I1680)))</f>
        <v/>
      </c>
      <c r="G1681" s="11" t="str">
        <f aca="false">IF($A1681="","",IF(원본명단!$K1680="",0,COUNTIF(원본명단!$K$3:$K$6002,원본명단!$K1680)))</f>
        <v/>
      </c>
      <c r="H1681" s="11" t="str">
        <f aca="false">IF($A1681="","",IF(MAX($E1681,$F1681,$G1681)&gt;1,"중복","-"))</f>
        <v/>
      </c>
      <c r="I1681" s="11" t="str">
        <f aca="false">IF($A1681="","",IF($H1681="-","-",IF(AND(IF(원본명단!$H1680="",TRUE(),COUNTIF(원본명단!$H$3:$H1680,원본명단!$H1680)=1),IF(원본명단!$I1680="",TRUE(),COUNTIF(원본명단!$I$3:$I1680,원본명단!$I1680)=1),IF(원본명단!$K1680="",TRUE(),COUNTIF(원본명단!$K$3:$K1680,원본명단!$K1680)=1)),"첫 건","중복 건")))</f>
        <v/>
      </c>
      <c r="J1681" s="11" t="str">
        <f aca="false">IF($A1681="","",IF($H1681="-","유지",IF($I1681="첫 건","유지","확인 필요")))</f>
        <v/>
      </c>
    </row>
    <row r="1682" customFormat="false" ht="15" hidden="false" customHeight="true" outlineLevel="0" collapsed="false">
      <c r="A1682" s="11" t="str">
        <f aca="false">IF(원본명단!$A1681="","",1679)</f>
        <v/>
      </c>
      <c r="B1682" s="12" t="str">
        <f aca="false">IF($A1682="","",원본명단!$A1681)</f>
        <v/>
      </c>
      <c r="C1682" s="12" t="str">
        <f aca="false">IF($A1682="","",원본명단!$B1681)</f>
        <v/>
      </c>
      <c r="D1682" s="12" t="str">
        <f aca="false">IF($A1682="","",원본명단!$D1681)</f>
        <v/>
      </c>
      <c r="E1682" s="11" t="str">
        <f aca="false">IF($A1682="","",IF(원본명단!$H1681="",0,COUNTIF(원본명단!$H$3:$H$6002,원본명단!$H1681)))</f>
        <v/>
      </c>
      <c r="F1682" s="11" t="str">
        <f aca="false">IF($A1682="","",IF(원본명단!$I1681="",0,COUNTIF(원본명단!$I$3:$I$6002,원본명단!$I1681)))</f>
        <v/>
      </c>
      <c r="G1682" s="11" t="str">
        <f aca="false">IF($A1682="","",IF(원본명단!$K1681="",0,COUNTIF(원본명단!$K$3:$K$6002,원본명단!$K1681)))</f>
        <v/>
      </c>
      <c r="H1682" s="11" t="str">
        <f aca="false">IF($A1682="","",IF(MAX($E1682,$F1682,$G1682)&gt;1,"중복","-"))</f>
        <v/>
      </c>
      <c r="I1682" s="11" t="str">
        <f aca="false">IF($A1682="","",IF($H1682="-","-",IF(AND(IF(원본명단!$H1681="",TRUE(),COUNTIF(원본명단!$H$3:$H1681,원본명단!$H1681)=1),IF(원본명단!$I1681="",TRUE(),COUNTIF(원본명단!$I$3:$I1681,원본명단!$I1681)=1),IF(원본명단!$K1681="",TRUE(),COUNTIF(원본명단!$K$3:$K1681,원본명단!$K1681)=1)),"첫 건","중복 건")))</f>
        <v/>
      </c>
      <c r="J1682" s="11" t="str">
        <f aca="false">IF($A1682="","",IF($H1682="-","유지",IF($I1682="첫 건","유지","확인 필요")))</f>
        <v/>
      </c>
    </row>
    <row r="1683" customFormat="false" ht="15" hidden="false" customHeight="true" outlineLevel="0" collapsed="false">
      <c r="A1683" s="11" t="str">
        <f aca="false">IF(원본명단!$A1682="","",1680)</f>
        <v/>
      </c>
      <c r="B1683" s="12" t="str">
        <f aca="false">IF($A1683="","",원본명단!$A1682)</f>
        <v/>
      </c>
      <c r="C1683" s="12" t="str">
        <f aca="false">IF($A1683="","",원본명단!$B1682)</f>
        <v/>
      </c>
      <c r="D1683" s="12" t="str">
        <f aca="false">IF($A1683="","",원본명단!$D1682)</f>
        <v/>
      </c>
      <c r="E1683" s="11" t="str">
        <f aca="false">IF($A1683="","",IF(원본명단!$H1682="",0,COUNTIF(원본명단!$H$3:$H$6002,원본명단!$H1682)))</f>
        <v/>
      </c>
      <c r="F1683" s="11" t="str">
        <f aca="false">IF($A1683="","",IF(원본명단!$I1682="",0,COUNTIF(원본명단!$I$3:$I$6002,원본명단!$I1682)))</f>
        <v/>
      </c>
      <c r="G1683" s="11" t="str">
        <f aca="false">IF($A1683="","",IF(원본명단!$K1682="",0,COUNTIF(원본명단!$K$3:$K$6002,원본명단!$K1682)))</f>
        <v/>
      </c>
      <c r="H1683" s="11" t="str">
        <f aca="false">IF($A1683="","",IF(MAX($E1683,$F1683,$G1683)&gt;1,"중복","-"))</f>
        <v/>
      </c>
      <c r="I1683" s="11" t="str">
        <f aca="false">IF($A1683="","",IF($H1683="-","-",IF(AND(IF(원본명단!$H1682="",TRUE(),COUNTIF(원본명단!$H$3:$H1682,원본명단!$H1682)=1),IF(원본명단!$I1682="",TRUE(),COUNTIF(원본명단!$I$3:$I1682,원본명단!$I1682)=1),IF(원본명단!$K1682="",TRUE(),COUNTIF(원본명단!$K$3:$K1682,원본명단!$K1682)=1)),"첫 건","중복 건")))</f>
        <v/>
      </c>
      <c r="J1683" s="11" t="str">
        <f aca="false">IF($A1683="","",IF($H1683="-","유지",IF($I1683="첫 건","유지","확인 필요")))</f>
        <v/>
      </c>
    </row>
    <row r="1684" customFormat="false" ht="15" hidden="false" customHeight="true" outlineLevel="0" collapsed="false">
      <c r="A1684" s="11" t="str">
        <f aca="false">IF(원본명단!$A1683="","",1681)</f>
        <v/>
      </c>
      <c r="B1684" s="12" t="str">
        <f aca="false">IF($A1684="","",원본명단!$A1683)</f>
        <v/>
      </c>
      <c r="C1684" s="12" t="str">
        <f aca="false">IF($A1684="","",원본명단!$B1683)</f>
        <v/>
      </c>
      <c r="D1684" s="12" t="str">
        <f aca="false">IF($A1684="","",원본명단!$D1683)</f>
        <v/>
      </c>
      <c r="E1684" s="11" t="str">
        <f aca="false">IF($A1684="","",IF(원본명단!$H1683="",0,COUNTIF(원본명단!$H$3:$H$6002,원본명단!$H1683)))</f>
        <v/>
      </c>
      <c r="F1684" s="11" t="str">
        <f aca="false">IF($A1684="","",IF(원본명단!$I1683="",0,COUNTIF(원본명단!$I$3:$I$6002,원본명단!$I1683)))</f>
        <v/>
      </c>
      <c r="G1684" s="11" t="str">
        <f aca="false">IF($A1684="","",IF(원본명단!$K1683="",0,COUNTIF(원본명단!$K$3:$K$6002,원본명단!$K1683)))</f>
        <v/>
      </c>
      <c r="H1684" s="11" t="str">
        <f aca="false">IF($A1684="","",IF(MAX($E1684,$F1684,$G1684)&gt;1,"중복","-"))</f>
        <v/>
      </c>
      <c r="I1684" s="11" t="str">
        <f aca="false">IF($A1684="","",IF($H1684="-","-",IF(AND(IF(원본명단!$H1683="",TRUE(),COUNTIF(원본명단!$H$3:$H1683,원본명단!$H1683)=1),IF(원본명단!$I1683="",TRUE(),COUNTIF(원본명단!$I$3:$I1683,원본명단!$I1683)=1),IF(원본명단!$K1683="",TRUE(),COUNTIF(원본명단!$K$3:$K1683,원본명단!$K1683)=1)),"첫 건","중복 건")))</f>
        <v/>
      </c>
      <c r="J1684" s="11" t="str">
        <f aca="false">IF($A1684="","",IF($H1684="-","유지",IF($I1684="첫 건","유지","확인 필요")))</f>
        <v/>
      </c>
    </row>
    <row r="1685" customFormat="false" ht="15" hidden="false" customHeight="true" outlineLevel="0" collapsed="false">
      <c r="A1685" s="11" t="str">
        <f aca="false">IF(원본명단!$A1684="","",1682)</f>
        <v/>
      </c>
      <c r="B1685" s="12" t="str">
        <f aca="false">IF($A1685="","",원본명단!$A1684)</f>
        <v/>
      </c>
      <c r="C1685" s="12" t="str">
        <f aca="false">IF($A1685="","",원본명단!$B1684)</f>
        <v/>
      </c>
      <c r="D1685" s="12" t="str">
        <f aca="false">IF($A1685="","",원본명단!$D1684)</f>
        <v/>
      </c>
      <c r="E1685" s="11" t="str">
        <f aca="false">IF($A1685="","",IF(원본명단!$H1684="",0,COUNTIF(원본명단!$H$3:$H$6002,원본명단!$H1684)))</f>
        <v/>
      </c>
      <c r="F1685" s="11" t="str">
        <f aca="false">IF($A1685="","",IF(원본명단!$I1684="",0,COUNTIF(원본명단!$I$3:$I$6002,원본명단!$I1684)))</f>
        <v/>
      </c>
      <c r="G1685" s="11" t="str">
        <f aca="false">IF($A1685="","",IF(원본명단!$K1684="",0,COUNTIF(원본명단!$K$3:$K$6002,원본명단!$K1684)))</f>
        <v/>
      </c>
      <c r="H1685" s="11" t="str">
        <f aca="false">IF($A1685="","",IF(MAX($E1685,$F1685,$G1685)&gt;1,"중복","-"))</f>
        <v/>
      </c>
      <c r="I1685" s="11" t="str">
        <f aca="false">IF($A1685="","",IF($H1685="-","-",IF(AND(IF(원본명단!$H1684="",TRUE(),COUNTIF(원본명단!$H$3:$H1684,원본명단!$H1684)=1),IF(원본명단!$I1684="",TRUE(),COUNTIF(원본명단!$I$3:$I1684,원본명단!$I1684)=1),IF(원본명단!$K1684="",TRUE(),COUNTIF(원본명단!$K$3:$K1684,원본명단!$K1684)=1)),"첫 건","중복 건")))</f>
        <v/>
      </c>
      <c r="J1685" s="11" t="str">
        <f aca="false">IF($A1685="","",IF($H1685="-","유지",IF($I1685="첫 건","유지","확인 필요")))</f>
        <v/>
      </c>
    </row>
    <row r="1686" customFormat="false" ht="15" hidden="false" customHeight="true" outlineLevel="0" collapsed="false">
      <c r="A1686" s="11" t="str">
        <f aca="false">IF(원본명단!$A1685="","",1683)</f>
        <v/>
      </c>
      <c r="B1686" s="12" t="str">
        <f aca="false">IF($A1686="","",원본명단!$A1685)</f>
        <v/>
      </c>
      <c r="C1686" s="12" t="str">
        <f aca="false">IF($A1686="","",원본명단!$B1685)</f>
        <v/>
      </c>
      <c r="D1686" s="12" t="str">
        <f aca="false">IF($A1686="","",원본명단!$D1685)</f>
        <v/>
      </c>
      <c r="E1686" s="11" t="str">
        <f aca="false">IF($A1686="","",IF(원본명단!$H1685="",0,COUNTIF(원본명단!$H$3:$H$6002,원본명단!$H1685)))</f>
        <v/>
      </c>
      <c r="F1686" s="11" t="str">
        <f aca="false">IF($A1686="","",IF(원본명단!$I1685="",0,COUNTIF(원본명단!$I$3:$I$6002,원본명단!$I1685)))</f>
        <v/>
      </c>
      <c r="G1686" s="11" t="str">
        <f aca="false">IF($A1686="","",IF(원본명단!$K1685="",0,COUNTIF(원본명단!$K$3:$K$6002,원본명단!$K1685)))</f>
        <v/>
      </c>
      <c r="H1686" s="11" t="str">
        <f aca="false">IF($A1686="","",IF(MAX($E1686,$F1686,$G1686)&gt;1,"중복","-"))</f>
        <v/>
      </c>
      <c r="I1686" s="11" t="str">
        <f aca="false">IF($A1686="","",IF($H1686="-","-",IF(AND(IF(원본명단!$H1685="",TRUE(),COUNTIF(원본명단!$H$3:$H1685,원본명단!$H1685)=1),IF(원본명단!$I1685="",TRUE(),COUNTIF(원본명단!$I$3:$I1685,원본명단!$I1685)=1),IF(원본명단!$K1685="",TRUE(),COUNTIF(원본명단!$K$3:$K1685,원본명단!$K1685)=1)),"첫 건","중복 건")))</f>
        <v/>
      </c>
      <c r="J1686" s="11" t="str">
        <f aca="false">IF($A1686="","",IF($H1686="-","유지",IF($I1686="첫 건","유지","확인 필요")))</f>
        <v/>
      </c>
    </row>
    <row r="1687" customFormat="false" ht="15" hidden="false" customHeight="true" outlineLevel="0" collapsed="false">
      <c r="A1687" s="11" t="str">
        <f aca="false">IF(원본명단!$A1686="","",1684)</f>
        <v/>
      </c>
      <c r="B1687" s="12" t="str">
        <f aca="false">IF($A1687="","",원본명단!$A1686)</f>
        <v/>
      </c>
      <c r="C1687" s="12" t="str">
        <f aca="false">IF($A1687="","",원본명단!$B1686)</f>
        <v/>
      </c>
      <c r="D1687" s="12" t="str">
        <f aca="false">IF($A1687="","",원본명단!$D1686)</f>
        <v/>
      </c>
      <c r="E1687" s="11" t="str">
        <f aca="false">IF($A1687="","",IF(원본명단!$H1686="",0,COUNTIF(원본명단!$H$3:$H$6002,원본명단!$H1686)))</f>
        <v/>
      </c>
      <c r="F1687" s="11" t="str">
        <f aca="false">IF($A1687="","",IF(원본명단!$I1686="",0,COUNTIF(원본명단!$I$3:$I$6002,원본명단!$I1686)))</f>
        <v/>
      </c>
      <c r="G1687" s="11" t="str">
        <f aca="false">IF($A1687="","",IF(원본명단!$K1686="",0,COUNTIF(원본명단!$K$3:$K$6002,원본명단!$K1686)))</f>
        <v/>
      </c>
      <c r="H1687" s="11" t="str">
        <f aca="false">IF($A1687="","",IF(MAX($E1687,$F1687,$G1687)&gt;1,"중복","-"))</f>
        <v/>
      </c>
      <c r="I1687" s="11" t="str">
        <f aca="false">IF($A1687="","",IF($H1687="-","-",IF(AND(IF(원본명단!$H1686="",TRUE(),COUNTIF(원본명단!$H$3:$H1686,원본명단!$H1686)=1),IF(원본명단!$I1686="",TRUE(),COUNTIF(원본명단!$I$3:$I1686,원본명단!$I1686)=1),IF(원본명단!$K1686="",TRUE(),COUNTIF(원본명단!$K$3:$K1686,원본명단!$K1686)=1)),"첫 건","중복 건")))</f>
        <v/>
      </c>
      <c r="J1687" s="11" t="str">
        <f aca="false">IF($A1687="","",IF($H1687="-","유지",IF($I1687="첫 건","유지","확인 필요")))</f>
        <v/>
      </c>
    </row>
    <row r="1688" customFormat="false" ht="15" hidden="false" customHeight="true" outlineLevel="0" collapsed="false">
      <c r="A1688" s="11" t="str">
        <f aca="false">IF(원본명단!$A1687="","",1685)</f>
        <v/>
      </c>
      <c r="B1688" s="12" t="str">
        <f aca="false">IF($A1688="","",원본명단!$A1687)</f>
        <v/>
      </c>
      <c r="C1688" s="12" t="str">
        <f aca="false">IF($A1688="","",원본명단!$B1687)</f>
        <v/>
      </c>
      <c r="D1688" s="12" t="str">
        <f aca="false">IF($A1688="","",원본명단!$D1687)</f>
        <v/>
      </c>
      <c r="E1688" s="11" t="str">
        <f aca="false">IF($A1688="","",IF(원본명단!$H1687="",0,COUNTIF(원본명단!$H$3:$H$6002,원본명단!$H1687)))</f>
        <v/>
      </c>
      <c r="F1688" s="11" t="str">
        <f aca="false">IF($A1688="","",IF(원본명단!$I1687="",0,COUNTIF(원본명단!$I$3:$I$6002,원본명단!$I1687)))</f>
        <v/>
      </c>
      <c r="G1688" s="11" t="str">
        <f aca="false">IF($A1688="","",IF(원본명단!$K1687="",0,COUNTIF(원본명단!$K$3:$K$6002,원본명단!$K1687)))</f>
        <v/>
      </c>
      <c r="H1688" s="11" t="str">
        <f aca="false">IF($A1688="","",IF(MAX($E1688,$F1688,$G1688)&gt;1,"중복","-"))</f>
        <v/>
      </c>
      <c r="I1688" s="11" t="str">
        <f aca="false">IF($A1688="","",IF($H1688="-","-",IF(AND(IF(원본명단!$H1687="",TRUE(),COUNTIF(원본명단!$H$3:$H1687,원본명단!$H1687)=1),IF(원본명단!$I1687="",TRUE(),COUNTIF(원본명단!$I$3:$I1687,원본명단!$I1687)=1),IF(원본명단!$K1687="",TRUE(),COUNTIF(원본명단!$K$3:$K1687,원본명단!$K1687)=1)),"첫 건","중복 건")))</f>
        <v/>
      </c>
      <c r="J1688" s="11" t="str">
        <f aca="false">IF($A1688="","",IF($H1688="-","유지",IF($I1688="첫 건","유지","확인 필요")))</f>
        <v/>
      </c>
    </row>
    <row r="1689" customFormat="false" ht="15" hidden="false" customHeight="true" outlineLevel="0" collapsed="false">
      <c r="A1689" s="11" t="str">
        <f aca="false">IF(원본명단!$A1688="","",1686)</f>
        <v/>
      </c>
      <c r="B1689" s="12" t="str">
        <f aca="false">IF($A1689="","",원본명단!$A1688)</f>
        <v/>
      </c>
      <c r="C1689" s="12" t="str">
        <f aca="false">IF($A1689="","",원본명단!$B1688)</f>
        <v/>
      </c>
      <c r="D1689" s="12" t="str">
        <f aca="false">IF($A1689="","",원본명단!$D1688)</f>
        <v/>
      </c>
      <c r="E1689" s="11" t="str">
        <f aca="false">IF($A1689="","",IF(원본명단!$H1688="",0,COUNTIF(원본명단!$H$3:$H$6002,원본명단!$H1688)))</f>
        <v/>
      </c>
      <c r="F1689" s="11" t="str">
        <f aca="false">IF($A1689="","",IF(원본명단!$I1688="",0,COUNTIF(원본명단!$I$3:$I$6002,원본명단!$I1688)))</f>
        <v/>
      </c>
      <c r="G1689" s="11" t="str">
        <f aca="false">IF($A1689="","",IF(원본명단!$K1688="",0,COUNTIF(원본명단!$K$3:$K$6002,원본명단!$K1688)))</f>
        <v/>
      </c>
      <c r="H1689" s="11" t="str">
        <f aca="false">IF($A1689="","",IF(MAX($E1689,$F1689,$G1689)&gt;1,"중복","-"))</f>
        <v/>
      </c>
      <c r="I1689" s="11" t="str">
        <f aca="false">IF($A1689="","",IF($H1689="-","-",IF(AND(IF(원본명단!$H1688="",TRUE(),COUNTIF(원본명단!$H$3:$H1688,원본명단!$H1688)=1),IF(원본명단!$I1688="",TRUE(),COUNTIF(원본명단!$I$3:$I1688,원본명단!$I1688)=1),IF(원본명단!$K1688="",TRUE(),COUNTIF(원본명단!$K$3:$K1688,원본명단!$K1688)=1)),"첫 건","중복 건")))</f>
        <v/>
      </c>
      <c r="J1689" s="11" t="str">
        <f aca="false">IF($A1689="","",IF($H1689="-","유지",IF($I1689="첫 건","유지","확인 필요")))</f>
        <v/>
      </c>
    </row>
    <row r="1690" customFormat="false" ht="15" hidden="false" customHeight="true" outlineLevel="0" collapsed="false">
      <c r="A1690" s="11" t="str">
        <f aca="false">IF(원본명단!$A1689="","",1687)</f>
        <v/>
      </c>
      <c r="B1690" s="12" t="str">
        <f aca="false">IF($A1690="","",원본명단!$A1689)</f>
        <v/>
      </c>
      <c r="C1690" s="12" t="str">
        <f aca="false">IF($A1690="","",원본명단!$B1689)</f>
        <v/>
      </c>
      <c r="D1690" s="12" t="str">
        <f aca="false">IF($A1690="","",원본명단!$D1689)</f>
        <v/>
      </c>
      <c r="E1690" s="11" t="str">
        <f aca="false">IF($A1690="","",IF(원본명단!$H1689="",0,COUNTIF(원본명단!$H$3:$H$6002,원본명단!$H1689)))</f>
        <v/>
      </c>
      <c r="F1690" s="11" t="str">
        <f aca="false">IF($A1690="","",IF(원본명단!$I1689="",0,COUNTIF(원본명단!$I$3:$I$6002,원본명단!$I1689)))</f>
        <v/>
      </c>
      <c r="G1690" s="11" t="str">
        <f aca="false">IF($A1690="","",IF(원본명단!$K1689="",0,COUNTIF(원본명단!$K$3:$K$6002,원본명단!$K1689)))</f>
        <v/>
      </c>
      <c r="H1690" s="11" t="str">
        <f aca="false">IF($A1690="","",IF(MAX($E1690,$F1690,$G1690)&gt;1,"중복","-"))</f>
        <v/>
      </c>
      <c r="I1690" s="11" t="str">
        <f aca="false">IF($A1690="","",IF($H1690="-","-",IF(AND(IF(원본명단!$H1689="",TRUE(),COUNTIF(원본명단!$H$3:$H1689,원본명단!$H1689)=1),IF(원본명단!$I1689="",TRUE(),COUNTIF(원본명단!$I$3:$I1689,원본명단!$I1689)=1),IF(원본명단!$K1689="",TRUE(),COUNTIF(원본명단!$K$3:$K1689,원본명단!$K1689)=1)),"첫 건","중복 건")))</f>
        <v/>
      </c>
      <c r="J1690" s="11" t="str">
        <f aca="false">IF($A1690="","",IF($H1690="-","유지",IF($I1690="첫 건","유지","확인 필요")))</f>
        <v/>
      </c>
    </row>
    <row r="1691" customFormat="false" ht="15" hidden="false" customHeight="true" outlineLevel="0" collapsed="false">
      <c r="A1691" s="11" t="str">
        <f aca="false">IF(원본명단!$A1690="","",1688)</f>
        <v/>
      </c>
      <c r="B1691" s="12" t="str">
        <f aca="false">IF($A1691="","",원본명단!$A1690)</f>
        <v/>
      </c>
      <c r="C1691" s="12" t="str">
        <f aca="false">IF($A1691="","",원본명단!$B1690)</f>
        <v/>
      </c>
      <c r="D1691" s="12" t="str">
        <f aca="false">IF($A1691="","",원본명단!$D1690)</f>
        <v/>
      </c>
      <c r="E1691" s="11" t="str">
        <f aca="false">IF($A1691="","",IF(원본명단!$H1690="",0,COUNTIF(원본명단!$H$3:$H$6002,원본명단!$H1690)))</f>
        <v/>
      </c>
      <c r="F1691" s="11" t="str">
        <f aca="false">IF($A1691="","",IF(원본명단!$I1690="",0,COUNTIF(원본명단!$I$3:$I$6002,원본명단!$I1690)))</f>
        <v/>
      </c>
      <c r="G1691" s="11" t="str">
        <f aca="false">IF($A1691="","",IF(원본명단!$K1690="",0,COUNTIF(원본명단!$K$3:$K$6002,원본명단!$K1690)))</f>
        <v/>
      </c>
      <c r="H1691" s="11" t="str">
        <f aca="false">IF($A1691="","",IF(MAX($E1691,$F1691,$G1691)&gt;1,"중복","-"))</f>
        <v/>
      </c>
      <c r="I1691" s="11" t="str">
        <f aca="false">IF($A1691="","",IF($H1691="-","-",IF(AND(IF(원본명단!$H1690="",TRUE(),COUNTIF(원본명단!$H$3:$H1690,원본명단!$H1690)=1),IF(원본명단!$I1690="",TRUE(),COUNTIF(원본명단!$I$3:$I1690,원본명단!$I1690)=1),IF(원본명단!$K1690="",TRUE(),COUNTIF(원본명단!$K$3:$K1690,원본명단!$K1690)=1)),"첫 건","중복 건")))</f>
        <v/>
      </c>
      <c r="J1691" s="11" t="str">
        <f aca="false">IF($A1691="","",IF($H1691="-","유지",IF($I1691="첫 건","유지","확인 필요")))</f>
        <v/>
      </c>
    </row>
    <row r="1692" customFormat="false" ht="15" hidden="false" customHeight="true" outlineLevel="0" collapsed="false">
      <c r="A1692" s="11" t="str">
        <f aca="false">IF(원본명단!$A1691="","",1689)</f>
        <v/>
      </c>
      <c r="B1692" s="12" t="str">
        <f aca="false">IF($A1692="","",원본명단!$A1691)</f>
        <v/>
      </c>
      <c r="C1692" s="12" t="str">
        <f aca="false">IF($A1692="","",원본명단!$B1691)</f>
        <v/>
      </c>
      <c r="D1692" s="12" t="str">
        <f aca="false">IF($A1692="","",원본명단!$D1691)</f>
        <v/>
      </c>
      <c r="E1692" s="11" t="str">
        <f aca="false">IF($A1692="","",IF(원본명단!$H1691="",0,COUNTIF(원본명단!$H$3:$H$6002,원본명단!$H1691)))</f>
        <v/>
      </c>
      <c r="F1692" s="11" t="str">
        <f aca="false">IF($A1692="","",IF(원본명단!$I1691="",0,COUNTIF(원본명단!$I$3:$I$6002,원본명단!$I1691)))</f>
        <v/>
      </c>
      <c r="G1692" s="11" t="str">
        <f aca="false">IF($A1692="","",IF(원본명단!$K1691="",0,COUNTIF(원본명단!$K$3:$K$6002,원본명단!$K1691)))</f>
        <v/>
      </c>
      <c r="H1692" s="11" t="str">
        <f aca="false">IF($A1692="","",IF(MAX($E1692,$F1692,$G1692)&gt;1,"중복","-"))</f>
        <v/>
      </c>
      <c r="I1692" s="11" t="str">
        <f aca="false">IF($A1692="","",IF($H1692="-","-",IF(AND(IF(원본명단!$H1691="",TRUE(),COUNTIF(원본명단!$H$3:$H1691,원본명단!$H1691)=1),IF(원본명단!$I1691="",TRUE(),COUNTIF(원본명단!$I$3:$I1691,원본명단!$I1691)=1),IF(원본명단!$K1691="",TRUE(),COUNTIF(원본명단!$K$3:$K1691,원본명단!$K1691)=1)),"첫 건","중복 건")))</f>
        <v/>
      </c>
      <c r="J1692" s="11" t="str">
        <f aca="false">IF($A1692="","",IF($H1692="-","유지",IF($I1692="첫 건","유지","확인 필요")))</f>
        <v/>
      </c>
    </row>
    <row r="1693" customFormat="false" ht="15" hidden="false" customHeight="true" outlineLevel="0" collapsed="false">
      <c r="A1693" s="11" t="str">
        <f aca="false">IF(원본명단!$A1692="","",1690)</f>
        <v/>
      </c>
      <c r="B1693" s="12" t="str">
        <f aca="false">IF($A1693="","",원본명단!$A1692)</f>
        <v/>
      </c>
      <c r="C1693" s="12" t="str">
        <f aca="false">IF($A1693="","",원본명단!$B1692)</f>
        <v/>
      </c>
      <c r="D1693" s="12" t="str">
        <f aca="false">IF($A1693="","",원본명단!$D1692)</f>
        <v/>
      </c>
      <c r="E1693" s="11" t="str">
        <f aca="false">IF($A1693="","",IF(원본명단!$H1692="",0,COUNTIF(원본명단!$H$3:$H$6002,원본명단!$H1692)))</f>
        <v/>
      </c>
      <c r="F1693" s="11" t="str">
        <f aca="false">IF($A1693="","",IF(원본명단!$I1692="",0,COUNTIF(원본명단!$I$3:$I$6002,원본명단!$I1692)))</f>
        <v/>
      </c>
      <c r="G1693" s="11" t="str">
        <f aca="false">IF($A1693="","",IF(원본명단!$K1692="",0,COUNTIF(원본명단!$K$3:$K$6002,원본명단!$K1692)))</f>
        <v/>
      </c>
      <c r="H1693" s="11" t="str">
        <f aca="false">IF($A1693="","",IF(MAX($E1693,$F1693,$G1693)&gt;1,"중복","-"))</f>
        <v/>
      </c>
      <c r="I1693" s="11" t="str">
        <f aca="false">IF($A1693="","",IF($H1693="-","-",IF(AND(IF(원본명단!$H1692="",TRUE(),COUNTIF(원본명단!$H$3:$H1692,원본명단!$H1692)=1),IF(원본명단!$I1692="",TRUE(),COUNTIF(원본명단!$I$3:$I1692,원본명단!$I1692)=1),IF(원본명단!$K1692="",TRUE(),COUNTIF(원본명단!$K$3:$K1692,원본명단!$K1692)=1)),"첫 건","중복 건")))</f>
        <v/>
      </c>
      <c r="J1693" s="11" t="str">
        <f aca="false">IF($A1693="","",IF($H1693="-","유지",IF($I1693="첫 건","유지","확인 필요")))</f>
        <v/>
      </c>
    </row>
    <row r="1694" customFormat="false" ht="15" hidden="false" customHeight="true" outlineLevel="0" collapsed="false">
      <c r="A1694" s="11" t="str">
        <f aca="false">IF(원본명단!$A1693="","",1691)</f>
        <v/>
      </c>
      <c r="B1694" s="12" t="str">
        <f aca="false">IF($A1694="","",원본명단!$A1693)</f>
        <v/>
      </c>
      <c r="C1694" s="12" t="str">
        <f aca="false">IF($A1694="","",원본명단!$B1693)</f>
        <v/>
      </c>
      <c r="D1694" s="12" t="str">
        <f aca="false">IF($A1694="","",원본명단!$D1693)</f>
        <v/>
      </c>
      <c r="E1694" s="11" t="str">
        <f aca="false">IF($A1694="","",IF(원본명단!$H1693="",0,COUNTIF(원본명단!$H$3:$H$6002,원본명단!$H1693)))</f>
        <v/>
      </c>
      <c r="F1694" s="11" t="str">
        <f aca="false">IF($A1694="","",IF(원본명단!$I1693="",0,COUNTIF(원본명단!$I$3:$I$6002,원본명단!$I1693)))</f>
        <v/>
      </c>
      <c r="G1694" s="11" t="str">
        <f aca="false">IF($A1694="","",IF(원본명단!$K1693="",0,COUNTIF(원본명단!$K$3:$K$6002,원본명단!$K1693)))</f>
        <v/>
      </c>
      <c r="H1694" s="11" t="str">
        <f aca="false">IF($A1694="","",IF(MAX($E1694,$F1694,$G1694)&gt;1,"중복","-"))</f>
        <v/>
      </c>
      <c r="I1694" s="11" t="str">
        <f aca="false">IF($A1694="","",IF($H1694="-","-",IF(AND(IF(원본명단!$H1693="",TRUE(),COUNTIF(원본명단!$H$3:$H1693,원본명단!$H1693)=1),IF(원본명단!$I1693="",TRUE(),COUNTIF(원본명단!$I$3:$I1693,원본명단!$I1693)=1),IF(원본명단!$K1693="",TRUE(),COUNTIF(원본명단!$K$3:$K1693,원본명단!$K1693)=1)),"첫 건","중복 건")))</f>
        <v/>
      </c>
      <c r="J1694" s="11" t="str">
        <f aca="false">IF($A1694="","",IF($H1694="-","유지",IF($I1694="첫 건","유지","확인 필요")))</f>
        <v/>
      </c>
    </row>
    <row r="1695" customFormat="false" ht="15" hidden="false" customHeight="true" outlineLevel="0" collapsed="false">
      <c r="A1695" s="11" t="str">
        <f aca="false">IF(원본명단!$A1694="","",1692)</f>
        <v/>
      </c>
      <c r="B1695" s="12" t="str">
        <f aca="false">IF($A1695="","",원본명단!$A1694)</f>
        <v/>
      </c>
      <c r="C1695" s="12" t="str">
        <f aca="false">IF($A1695="","",원본명단!$B1694)</f>
        <v/>
      </c>
      <c r="D1695" s="12" t="str">
        <f aca="false">IF($A1695="","",원본명단!$D1694)</f>
        <v/>
      </c>
      <c r="E1695" s="11" t="str">
        <f aca="false">IF($A1695="","",IF(원본명단!$H1694="",0,COUNTIF(원본명단!$H$3:$H$6002,원본명단!$H1694)))</f>
        <v/>
      </c>
      <c r="F1695" s="11" t="str">
        <f aca="false">IF($A1695="","",IF(원본명단!$I1694="",0,COUNTIF(원본명단!$I$3:$I$6002,원본명단!$I1694)))</f>
        <v/>
      </c>
      <c r="G1695" s="11" t="str">
        <f aca="false">IF($A1695="","",IF(원본명단!$K1694="",0,COUNTIF(원본명단!$K$3:$K$6002,원본명단!$K1694)))</f>
        <v/>
      </c>
      <c r="H1695" s="11" t="str">
        <f aca="false">IF($A1695="","",IF(MAX($E1695,$F1695,$G1695)&gt;1,"중복","-"))</f>
        <v/>
      </c>
      <c r="I1695" s="11" t="str">
        <f aca="false">IF($A1695="","",IF($H1695="-","-",IF(AND(IF(원본명단!$H1694="",TRUE(),COUNTIF(원본명단!$H$3:$H1694,원본명단!$H1694)=1),IF(원본명단!$I1694="",TRUE(),COUNTIF(원본명단!$I$3:$I1694,원본명단!$I1694)=1),IF(원본명단!$K1694="",TRUE(),COUNTIF(원본명단!$K$3:$K1694,원본명단!$K1694)=1)),"첫 건","중복 건")))</f>
        <v/>
      </c>
      <c r="J1695" s="11" t="str">
        <f aca="false">IF($A1695="","",IF($H1695="-","유지",IF($I1695="첫 건","유지","확인 필요")))</f>
        <v/>
      </c>
    </row>
    <row r="1696" customFormat="false" ht="15" hidden="false" customHeight="true" outlineLevel="0" collapsed="false">
      <c r="A1696" s="11" t="str">
        <f aca="false">IF(원본명단!$A1695="","",1693)</f>
        <v/>
      </c>
      <c r="B1696" s="12" t="str">
        <f aca="false">IF($A1696="","",원본명단!$A1695)</f>
        <v/>
      </c>
      <c r="C1696" s="12" t="str">
        <f aca="false">IF($A1696="","",원본명단!$B1695)</f>
        <v/>
      </c>
      <c r="D1696" s="12" t="str">
        <f aca="false">IF($A1696="","",원본명단!$D1695)</f>
        <v/>
      </c>
      <c r="E1696" s="11" t="str">
        <f aca="false">IF($A1696="","",IF(원본명단!$H1695="",0,COUNTIF(원본명단!$H$3:$H$6002,원본명단!$H1695)))</f>
        <v/>
      </c>
      <c r="F1696" s="11" t="str">
        <f aca="false">IF($A1696="","",IF(원본명단!$I1695="",0,COUNTIF(원본명단!$I$3:$I$6002,원본명단!$I1695)))</f>
        <v/>
      </c>
      <c r="G1696" s="11" t="str">
        <f aca="false">IF($A1696="","",IF(원본명단!$K1695="",0,COUNTIF(원본명단!$K$3:$K$6002,원본명단!$K1695)))</f>
        <v/>
      </c>
      <c r="H1696" s="11" t="str">
        <f aca="false">IF($A1696="","",IF(MAX($E1696,$F1696,$G1696)&gt;1,"중복","-"))</f>
        <v/>
      </c>
      <c r="I1696" s="11" t="str">
        <f aca="false">IF($A1696="","",IF($H1696="-","-",IF(AND(IF(원본명단!$H1695="",TRUE(),COUNTIF(원본명단!$H$3:$H1695,원본명단!$H1695)=1),IF(원본명단!$I1695="",TRUE(),COUNTIF(원본명단!$I$3:$I1695,원본명단!$I1695)=1),IF(원본명단!$K1695="",TRUE(),COUNTIF(원본명단!$K$3:$K1695,원본명단!$K1695)=1)),"첫 건","중복 건")))</f>
        <v/>
      </c>
      <c r="J1696" s="11" t="str">
        <f aca="false">IF($A1696="","",IF($H1696="-","유지",IF($I1696="첫 건","유지","확인 필요")))</f>
        <v/>
      </c>
    </row>
    <row r="1697" customFormat="false" ht="15" hidden="false" customHeight="true" outlineLevel="0" collapsed="false">
      <c r="A1697" s="11" t="str">
        <f aca="false">IF(원본명단!$A1696="","",1694)</f>
        <v/>
      </c>
      <c r="B1697" s="12" t="str">
        <f aca="false">IF($A1697="","",원본명단!$A1696)</f>
        <v/>
      </c>
      <c r="C1697" s="12" t="str">
        <f aca="false">IF($A1697="","",원본명단!$B1696)</f>
        <v/>
      </c>
      <c r="D1697" s="12" t="str">
        <f aca="false">IF($A1697="","",원본명단!$D1696)</f>
        <v/>
      </c>
      <c r="E1697" s="11" t="str">
        <f aca="false">IF($A1697="","",IF(원본명단!$H1696="",0,COUNTIF(원본명단!$H$3:$H$6002,원본명단!$H1696)))</f>
        <v/>
      </c>
      <c r="F1697" s="11" t="str">
        <f aca="false">IF($A1697="","",IF(원본명단!$I1696="",0,COUNTIF(원본명단!$I$3:$I$6002,원본명단!$I1696)))</f>
        <v/>
      </c>
      <c r="G1697" s="11" t="str">
        <f aca="false">IF($A1697="","",IF(원본명단!$K1696="",0,COUNTIF(원본명단!$K$3:$K$6002,원본명단!$K1696)))</f>
        <v/>
      </c>
      <c r="H1697" s="11" t="str">
        <f aca="false">IF($A1697="","",IF(MAX($E1697,$F1697,$G1697)&gt;1,"중복","-"))</f>
        <v/>
      </c>
      <c r="I1697" s="11" t="str">
        <f aca="false">IF($A1697="","",IF($H1697="-","-",IF(AND(IF(원본명단!$H1696="",TRUE(),COUNTIF(원본명단!$H$3:$H1696,원본명단!$H1696)=1),IF(원본명단!$I1696="",TRUE(),COUNTIF(원본명단!$I$3:$I1696,원본명단!$I1696)=1),IF(원본명단!$K1696="",TRUE(),COUNTIF(원본명단!$K$3:$K1696,원본명단!$K1696)=1)),"첫 건","중복 건")))</f>
        <v/>
      </c>
      <c r="J1697" s="11" t="str">
        <f aca="false">IF($A1697="","",IF($H1697="-","유지",IF($I1697="첫 건","유지","확인 필요")))</f>
        <v/>
      </c>
    </row>
    <row r="1698" customFormat="false" ht="15" hidden="false" customHeight="true" outlineLevel="0" collapsed="false">
      <c r="A1698" s="11" t="str">
        <f aca="false">IF(원본명단!$A1697="","",1695)</f>
        <v/>
      </c>
      <c r="B1698" s="12" t="str">
        <f aca="false">IF($A1698="","",원본명단!$A1697)</f>
        <v/>
      </c>
      <c r="C1698" s="12" t="str">
        <f aca="false">IF($A1698="","",원본명단!$B1697)</f>
        <v/>
      </c>
      <c r="D1698" s="12" t="str">
        <f aca="false">IF($A1698="","",원본명단!$D1697)</f>
        <v/>
      </c>
      <c r="E1698" s="11" t="str">
        <f aca="false">IF($A1698="","",IF(원본명단!$H1697="",0,COUNTIF(원본명단!$H$3:$H$6002,원본명단!$H1697)))</f>
        <v/>
      </c>
      <c r="F1698" s="11" t="str">
        <f aca="false">IF($A1698="","",IF(원본명단!$I1697="",0,COUNTIF(원본명단!$I$3:$I$6002,원본명단!$I1697)))</f>
        <v/>
      </c>
      <c r="G1698" s="11" t="str">
        <f aca="false">IF($A1698="","",IF(원본명단!$K1697="",0,COUNTIF(원본명단!$K$3:$K$6002,원본명단!$K1697)))</f>
        <v/>
      </c>
      <c r="H1698" s="11" t="str">
        <f aca="false">IF($A1698="","",IF(MAX($E1698,$F1698,$G1698)&gt;1,"중복","-"))</f>
        <v/>
      </c>
      <c r="I1698" s="11" t="str">
        <f aca="false">IF($A1698="","",IF($H1698="-","-",IF(AND(IF(원본명단!$H1697="",TRUE(),COUNTIF(원본명단!$H$3:$H1697,원본명단!$H1697)=1),IF(원본명단!$I1697="",TRUE(),COUNTIF(원본명단!$I$3:$I1697,원본명단!$I1697)=1),IF(원본명단!$K1697="",TRUE(),COUNTIF(원본명단!$K$3:$K1697,원본명단!$K1697)=1)),"첫 건","중복 건")))</f>
        <v/>
      </c>
      <c r="J1698" s="11" t="str">
        <f aca="false">IF($A1698="","",IF($H1698="-","유지",IF($I1698="첫 건","유지","확인 필요")))</f>
        <v/>
      </c>
    </row>
    <row r="1699" customFormat="false" ht="15" hidden="false" customHeight="true" outlineLevel="0" collapsed="false">
      <c r="A1699" s="11" t="str">
        <f aca="false">IF(원본명단!$A1698="","",1696)</f>
        <v/>
      </c>
      <c r="B1699" s="12" t="str">
        <f aca="false">IF($A1699="","",원본명단!$A1698)</f>
        <v/>
      </c>
      <c r="C1699" s="12" t="str">
        <f aca="false">IF($A1699="","",원본명단!$B1698)</f>
        <v/>
      </c>
      <c r="D1699" s="12" t="str">
        <f aca="false">IF($A1699="","",원본명단!$D1698)</f>
        <v/>
      </c>
      <c r="E1699" s="11" t="str">
        <f aca="false">IF($A1699="","",IF(원본명단!$H1698="",0,COUNTIF(원본명단!$H$3:$H$6002,원본명단!$H1698)))</f>
        <v/>
      </c>
      <c r="F1699" s="11" t="str">
        <f aca="false">IF($A1699="","",IF(원본명단!$I1698="",0,COUNTIF(원본명단!$I$3:$I$6002,원본명단!$I1698)))</f>
        <v/>
      </c>
      <c r="G1699" s="11" t="str">
        <f aca="false">IF($A1699="","",IF(원본명단!$K1698="",0,COUNTIF(원본명단!$K$3:$K$6002,원본명단!$K1698)))</f>
        <v/>
      </c>
      <c r="H1699" s="11" t="str">
        <f aca="false">IF($A1699="","",IF(MAX($E1699,$F1699,$G1699)&gt;1,"중복","-"))</f>
        <v/>
      </c>
      <c r="I1699" s="11" t="str">
        <f aca="false">IF($A1699="","",IF($H1699="-","-",IF(AND(IF(원본명단!$H1698="",TRUE(),COUNTIF(원본명단!$H$3:$H1698,원본명단!$H1698)=1),IF(원본명단!$I1698="",TRUE(),COUNTIF(원본명단!$I$3:$I1698,원본명단!$I1698)=1),IF(원본명단!$K1698="",TRUE(),COUNTIF(원본명단!$K$3:$K1698,원본명단!$K1698)=1)),"첫 건","중복 건")))</f>
        <v/>
      </c>
      <c r="J1699" s="11" t="str">
        <f aca="false">IF($A1699="","",IF($H1699="-","유지",IF($I1699="첫 건","유지","확인 필요")))</f>
        <v/>
      </c>
    </row>
    <row r="1700" customFormat="false" ht="15" hidden="false" customHeight="true" outlineLevel="0" collapsed="false">
      <c r="A1700" s="11" t="str">
        <f aca="false">IF(원본명단!$A1699="","",1697)</f>
        <v/>
      </c>
      <c r="B1700" s="12" t="str">
        <f aca="false">IF($A1700="","",원본명단!$A1699)</f>
        <v/>
      </c>
      <c r="C1700" s="12" t="str">
        <f aca="false">IF($A1700="","",원본명단!$B1699)</f>
        <v/>
      </c>
      <c r="D1700" s="12" t="str">
        <f aca="false">IF($A1700="","",원본명단!$D1699)</f>
        <v/>
      </c>
      <c r="E1700" s="11" t="str">
        <f aca="false">IF($A1700="","",IF(원본명단!$H1699="",0,COUNTIF(원본명단!$H$3:$H$6002,원본명단!$H1699)))</f>
        <v/>
      </c>
      <c r="F1700" s="11" t="str">
        <f aca="false">IF($A1700="","",IF(원본명단!$I1699="",0,COUNTIF(원본명단!$I$3:$I$6002,원본명단!$I1699)))</f>
        <v/>
      </c>
      <c r="G1700" s="11" t="str">
        <f aca="false">IF($A1700="","",IF(원본명단!$K1699="",0,COUNTIF(원본명단!$K$3:$K$6002,원본명단!$K1699)))</f>
        <v/>
      </c>
      <c r="H1700" s="11" t="str">
        <f aca="false">IF($A1700="","",IF(MAX($E1700,$F1700,$G1700)&gt;1,"중복","-"))</f>
        <v/>
      </c>
      <c r="I1700" s="11" t="str">
        <f aca="false">IF($A1700="","",IF($H1700="-","-",IF(AND(IF(원본명단!$H1699="",TRUE(),COUNTIF(원본명단!$H$3:$H1699,원본명단!$H1699)=1),IF(원본명단!$I1699="",TRUE(),COUNTIF(원본명단!$I$3:$I1699,원본명단!$I1699)=1),IF(원본명단!$K1699="",TRUE(),COUNTIF(원본명단!$K$3:$K1699,원본명단!$K1699)=1)),"첫 건","중복 건")))</f>
        <v/>
      </c>
      <c r="J1700" s="11" t="str">
        <f aca="false">IF($A1700="","",IF($H1700="-","유지",IF($I1700="첫 건","유지","확인 필요")))</f>
        <v/>
      </c>
    </row>
    <row r="1701" customFormat="false" ht="15" hidden="false" customHeight="true" outlineLevel="0" collapsed="false">
      <c r="A1701" s="11" t="str">
        <f aca="false">IF(원본명단!$A1700="","",1698)</f>
        <v/>
      </c>
      <c r="B1701" s="12" t="str">
        <f aca="false">IF($A1701="","",원본명단!$A1700)</f>
        <v/>
      </c>
      <c r="C1701" s="12" t="str">
        <f aca="false">IF($A1701="","",원본명단!$B1700)</f>
        <v/>
      </c>
      <c r="D1701" s="12" t="str">
        <f aca="false">IF($A1701="","",원본명단!$D1700)</f>
        <v/>
      </c>
      <c r="E1701" s="11" t="str">
        <f aca="false">IF($A1701="","",IF(원본명단!$H1700="",0,COUNTIF(원본명단!$H$3:$H$6002,원본명단!$H1700)))</f>
        <v/>
      </c>
      <c r="F1701" s="11" t="str">
        <f aca="false">IF($A1701="","",IF(원본명단!$I1700="",0,COUNTIF(원본명단!$I$3:$I$6002,원본명단!$I1700)))</f>
        <v/>
      </c>
      <c r="G1701" s="11" t="str">
        <f aca="false">IF($A1701="","",IF(원본명단!$K1700="",0,COUNTIF(원본명단!$K$3:$K$6002,원본명단!$K1700)))</f>
        <v/>
      </c>
      <c r="H1701" s="11" t="str">
        <f aca="false">IF($A1701="","",IF(MAX($E1701,$F1701,$G1701)&gt;1,"중복","-"))</f>
        <v/>
      </c>
      <c r="I1701" s="11" t="str">
        <f aca="false">IF($A1701="","",IF($H1701="-","-",IF(AND(IF(원본명단!$H1700="",TRUE(),COUNTIF(원본명단!$H$3:$H1700,원본명단!$H1700)=1),IF(원본명단!$I1700="",TRUE(),COUNTIF(원본명단!$I$3:$I1700,원본명단!$I1700)=1),IF(원본명단!$K1700="",TRUE(),COUNTIF(원본명단!$K$3:$K1700,원본명단!$K1700)=1)),"첫 건","중복 건")))</f>
        <v/>
      </c>
      <c r="J1701" s="11" t="str">
        <f aca="false">IF($A1701="","",IF($H1701="-","유지",IF($I1701="첫 건","유지","확인 필요")))</f>
        <v/>
      </c>
    </row>
    <row r="1702" customFormat="false" ht="15" hidden="false" customHeight="true" outlineLevel="0" collapsed="false">
      <c r="A1702" s="11" t="str">
        <f aca="false">IF(원본명단!$A1701="","",1699)</f>
        <v/>
      </c>
      <c r="B1702" s="12" t="str">
        <f aca="false">IF($A1702="","",원본명단!$A1701)</f>
        <v/>
      </c>
      <c r="C1702" s="12" t="str">
        <f aca="false">IF($A1702="","",원본명단!$B1701)</f>
        <v/>
      </c>
      <c r="D1702" s="12" t="str">
        <f aca="false">IF($A1702="","",원본명단!$D1701)</f>
        <v/>
      </c>
      <c r="E1702" s="11" t="str">
        <f aca="false">IF($A1702="","",IF(원본명단!$H1701="",0,COUNTIF(원본명단!$H$3:$H$6002,원본명단!$H1701)))</f>
        <v/>
      </c>
      <c r="F1702" s="11" t="str">
        <f aca="false">IF($A1702="","",IF(원본명단!$I1701="",0,COUNTIF(원본명단!$I$3:$I$6002,원본명단!$I1701)))</f>
        <v/>
      </c>
      <c r="G1702" s="11" t="str">
        <f aca="false">IF($A1702="","",IF(원본명단!$K1701="",0,COUNTIF(원본명단!$K$3:$K$6002,원본명단!$K1701)))</f>
        <v/>
      </c>
      <c r="H1702" s="11" t="str">
        <f aca="false">IF($A1702="","",IF(MAX($E1702,$F1702,$G1702)&gt;1,"중복","-"))</f>
        <v/>
      </c>
      <c r="I1702" s="11" t="str">
        <f aca="false">IF($A1702="","",IF($H1702="-","-",IF(AND(IF(원본명단!$H1701="",TRUE(),COUNTIF(원본명단!$H$3:$H1701,원본명단!$H1701)=1),IF(원본명단!$I1701="",TRUE(),COUNTIF(원본명단!$I$3:$I1701,원본명단!$I1701)=1),IF(원본명단!$K1701="",TRUE(),COUNTIF(원본명단!$K$3:$K1701,원본명단!$K1701)=1)),"첫 건","중복 건")))</f>
        <v/>
      </c>
      <c r="J1702" s="11" t="str">
        <f aca="false">IF($A1702="","",IF($H1702="-","유지",IF($I1702="첫 건","유지","확인 필요")))</f>
        <v/>
      </c>
    </row>
    <row r="1703" customFormat="false" ht="15" hidden="false" customHeight="true" outlineLevel="0" collapsed="false">
      <c r="A1703" s="11" t="str">
        <f aca="false">IF(원본명단!$A1702="","",1700)</f>
        <v/>
      </c>
      <c r="B1703" s="12" t="str">
        <f aca="false">IF($A1703="","",원본명단!$A1702)</f>
        <v/>
      </c>
      <c r="C1703" s="12" t="str">
        <f aca="false">IF($A1703="","",원본명단!$B1702)</f>
        <v/>
      </c>
      <c r="D1703" s="12" t="str">
        <f aca="false">IF($A1703="","",원본명단!$D1702)</f>
        <v/>
      </c>
      <c r="E1703" s="11" t="str">
        <f aca="false">IF($A1703="","",IF(원본명단!$H1702="",0,COUNTIF(원본명단!$H$3:$H$6002,원본명단!$H1702)))</f>
        <v/>
      </c>
      <c r="F1703" s="11" t="str">
        <f aca="false">IF($A1703="","",IF(원본명단!$I1702="",0,COUNTIF(원본명단!$I$3:$I$6002,원본명단!$I1702)))</f>
        <v/>
      </c>
      <c r="G1703" s="11" t="str">
        <f aca="false">IF($A1703="","",IF(원본명단!$K1702="",0,COUNTIF(원본명단!$K$3:$K$6002,원본명단!$K1702)))</f>
        <v/>
      </c>
      <c r="H1703" s="11" t="str">
        <f aca="false">IF($A1703="","",IF(MAX($E1703,$F1703,$G1703)&gt;1,"중복","-"))</f>
        <v/>
      </c>
      <c r="I1703" s="11" t="str">
        <f aca="false">IF($A1703="","",IF($H1703="-","-",IF(AND(IF(원본명단!$H1702="",TRUE(),COUNTIF(원본명단!$H$3:$H1702,원본명단!$H1702)=1),IF(원본명단!$I1702="",TRUE(),COUNTIF(원본명단!$I$3:$I1702,원본명단!$I1702)=1),IF(원본명단!$K1702="",TRUE(),COUNTIF(원본명단!$K$3:$K1702,원본명단!$K1702)=1)),"첫 건","중복 건")))</f>
        <v/>
      </c>
      <c r="J1703" s="11" t="str">
        <f aca="false">IF($A1703="","",IF($H1703="-","유지",IF($I1703="첫 건","유지","확인 필요")))</f>
        <v/>
      </c>
    </row>
    <row r="1704" customFormat="false" ht="15" hidden="false" customHeight="true" outlineLevel="0" collapsed="false">
      <c r="A1704" s="11" t="str">
        <f aca="false">IF(원본명단!$A1703="","",1701)</f>
        <v/>
      </c>
      <c r="B1704" s="12" t="str">
        <f aca="false">IF($A1704="","",원본명단!$A1703)</f>
        <v/>
      </c>
      <c r="C1704" s="12" t="str">
        <f aca="false">IF($A1704="","",원본명단!$B1703)</f>
        <v/>
      </c>
      <c r="D1704" s="12" t="str">
        <f aca="false">IF($A1704="","",원본명단!$D1703)</f>
        <v/>
      </c>
      <c r="E1704" s="11" t="str">
        <f aca="false">IF($A1704="","",IF(원본명단!$H1703="",0,COUNTIF(원본명단!$H$3:$H$6002,원본명단!$H1703)))</f>
        <v/>
      </c>
      <c r="F1704" s="11" t="str">
        <f aca="false">IF($A1704="","",IF(원본명단!$I1703="",0,COUNTIF(원본명단!$I$3:$I$6002,원본명단!$I1703)))</f>
        <v/>
      </c>
      <c r="G1704" s="11" t="str">
        <f aca="false">IF($A1704="","",IF(원본명단!$K1703="",0,COUNTIF(원본명단!$K$3:$K$6002,원본명단!$K1703)))</f>
        <v/>
      </c>
      <c r="H1704" s="11" t="str">
        <f aca="false">IF($A1704="","",IF(MAX($E1704,$F1704,$G1704)&gt;1,"중복","-"))</f>
        <v/>
      </c>
      <c r="I1704" s="11" t="str">
        <f aca="false">IF($A1704="","",IF($H1704="-","-",IF(AND(IF(원본명단!$H1703="",TRUE(),COUNTIF(원본명단!$H$3:$H1703,원본명단!$H1703)=1),IF(원본명단!$I1703="",TRUE(),COUNTIF(원본명단!$I$3:$I1703,원본명단!$I1703)=1),IF(원본명단!$K1703="",TRUE(),COUNTIF(원본명단!$K$3:$K1703,원본명단!$K1703)=1)),"첫 건","중복 건")))</f>
        <v/>
      </c>
      <c r="J1704" s="11" t="str">
        <f aca="false">IF($A1704="","",IF($H1704="-","유지",IF($I1704="첫 건","유지","확인 필요")))</f>
        <v/>
      </c>
    </row>
    <row r="1705" customFormat="false" ht="15" hidden="false" customHeight="true" outlineLevel="0" collapsed="false">
      <c r="A1705" s="11" t="str">
        <f aca="false">IF(원본명단!$A1704="","",1702)</f>
        <v/>
      </c>
      <c r="B1705" s="12" t="str">
        <f aca="false">IF($A1705="","",원본명단!$A1704)</f>
        <v/>
      </c>
      <c r="C1705" s="12" t="str">
        <f aca="false">IF($A1705="","",원본명단!$B1704)</f>
        <v/>
      </c>
      <c r="D1705" s="12" t="str">
        <f aca="false">IF($A1705="","",원본명단!$D1704)</f>
        <v/>
      </c>
      <c r="E1705" s="11" t="str">
        <f aca="false">IF($A1705="","",IF(원본명단!$H1704="",0,COUNTIF(원본명단!$H$3:$H$6002,원본명단!$H1704)))</f>
        <v/>
      </c>
      <c r="F1705" s="11" t="str">
        <f aca="false">IF($A1705="","",IF(원본명단!$I1704="",0,COUNTIF(원본명단!$I$3:$I$6002,원본명단!$I1704)))</f>
        <v/>
      </c>
      <c r="G1705" s="11" t="str">
        <f aca="false">IF($A1705="","",IF(원본명단!$K1704="",0,COUNTIF(원본명단!$K$3:$K$6002,원본명단!$K1704)))</f>
        <v/>
      </c>
      <c r="H1705" s="11" t="str">
        <f aca="false">IF($A1705="","",IF(MAX($E1705,$F1705,$G1705)&gt;1,"중복","-"))</f>
        <v/>
      </c>
      <c r="I1705" s="11" t="str">
        <f aca="false">IF($A1705="","",IF($H1705="-","-",IF(AND(IF(원본명단!$H1704="",TRUE(),COUNTIF(원본명단!$H$3:$H1704,원본명단!$H1704)=1),IF(원본명단!$I1704="",TRUE(),COUNTIF(원본명단!$I$3:$I1704,원본명단!$I1704)=1),IF(원본명단!$K1704="",TRUE(),COUNTIF(원본명단!$K$3:$K1704,원본명단!$K1704)=1)),"첫 건","중복 건")))</f>
        <v/>
      </c>
      <c r="J1705" s="11" t="str">
        <f aca="false">IF($A1705="","",IF($H1705="-","유지",IF($I1705="첫 건","유지","확인 필요")))</f>
        <v/>
      </c>
    </row>
    <row r="1706" customFormat="false" ht="15" hidden="false" customHeight="true" outlineLevel="0" collapsed="false">
      <c r="A1706" s="11" t="str">
        <f aca="false">IF(원본명단!$A1705="","",1703)</f>
        <v/>
      </c>
      <c r="B1706" s="12" t="str">
        <f aca="false">IF($A1706="","",원본명단!$A1705)</f>
        <v/>
      </c>
      <c r="C1706" s="12" t="str">
        <f aca="false">IF($A1706="","",원본명단!$B1705)</f>
        <v/>
      </c>
      <c r="D1706" s="12" t="str">
        <f aca="false">IF($A1706="","",원본명단!$D1705)</f>
        <v/>
      </c>
      <c r="E1706" s="11" t="str">
        <f aca="false">IF($A1706="","",IF(원본명단!$H1705="",0,COUNTIF(원본명단!$H$3:$H$6002,원본명단!$H1705)))</f>
        <v/>
      </c>
      <c r="F1706" s="11" t="str">
        <f aca="false">IF($A1706="","",IF(원본명단!$I1705="",0,COUNTIF(원본명단!$I$3:$I$6002,원본명단!$I1705)))</f>
        <v/>
      </c>
      <c r="G1706" s="11" t="str">
        <f aca="false">IF($A1706="","",IF(원본명단!$K1705="",0,COUNTIF(원본명단!$K$3:$K$6002,원본명단!$K1705)))</f>
        <v/>
      </c>
      <c r="H1706" s="11" t="str">
        <f aca="false">IF($A1706="","",IF(MAX($E1706,$F1706,$G1706)&gt;1,"중복","-"))</f>
        <v/>
      </c>
      <c r="I1706" s="11" t="str">
        <f aca="false">IF($A1706="","",IF($H1706="-","-",IF(AND(IF(원본명단!$H1705="",TRUE(),COUNTIF(원본명단!$H$3:$H1705,원본명단!$H1705)=1),IF(원본명단!$I1705="",TRUE(),COUNTIF(원본명단!$I$3:$I1705,원본명단!$I1705)=1),IF(원본명단!$K1705="",TRUE(),COUNTIF(원본명단!$K$3:$K1705,원본명단!$K1705)=1)),"첫 건","중복 건")))</f>
        <v/>
      </c>
      <c r="J1706" s="11" t="str">
        <f aca="false">IF($A1706="","",IF($H1706="-","유지",IF($I1706="첫 건","유지","확인 필요")))</f>
        <v/>
      </c>
    </row>
    <row r="1707" customFormat="false" ht="15" hidden="false" customHeight="true" outlineLevel="0" collapsed="false">
      <c r="A1707" s="11" t="str">
        <f aca="false">IF(원본명단!$A1706="","",1704)</f>
        <v/>
      </c>
      <c r="B1707" s="12" t="str">
        <f aca="false">IF($A1707="","",원본명단!$A1706)</f>
        <v/>
      </c>
      <c r="C1707" s="12" t="str">
        <f aca="false">IF($A1707="","",원본명단!$B1706)</f>
        <v/>
      </c>
      <c r="D1707" s="12" t="str">
        <f aca="false">IF($A1707="","",원본명단!$D1706)</f>
        <v/>
      </c>
      <c r="E1707" s="11" t="str">
        <f aca="false">IF($A1707="","",IF(원본명단!$H1706="",0,COUNTIF(원본명단!$H$3:$H$6002,원본명단!$H1706)))</f>
        <v/>
      </c>
      <c r="F1707" s="11" t="str">
        <f aca="false">IF($A1707="","",IF(원본명단!$I1706="",0,COUNTIF(원본명단!$I$3:$I$6002,원본명단!$I1706)))</f>
        <v/>
      </c>
      <c r="G1707" s="11" t="str">
        <f aca="false">IF($A1707="","",IF(원본명단!$K1706="",0,COUNTIF(원본명단!$K$3:$K$6002,원본명단!$K1706)))</f>
        <v/>
      </c>
      <c r="H1707" s="11" t="str">
        <f aca="false">IF($A1707="","",IF(MAX($E1707,$F1707,$G1707)&gt;1,"중복","-"))</f>
        <v/>
      </c>
      <c r="I1707" s="11" t="str">
        <f aca="false">IF($A1707="","",IF($H1707="-","-",IF(AND(IF(원본명단!$H1706="",TRUE(),COUNTIF(원본명단!$H$3:$H1706,원본명단!$H1706)=1),IF(원본명단!$I1706="",TRUE(),COUNTIF(원본명단!$I$3:$I1706,원본명단!$I1706)=1),IF(원본명단!$K1706="",TRUE(),COUNTIF(원본명단!$K$3:$K1706,원본명단!$K1706)=1)),"첫 건","중복 건")))</f>
        <v/>
      </c>
      <c r="J1707" s="11" t="str">
        <f aca="false">IF($A1707="","",IF($H1707="-","유지",IF($I1707="첫 건","유지","확인 필요")))</f>
        <v/>
      </c>
    </row>
    <row r="1708" customFormat="false" ht="15" hidden="false" customHeight="true" outlineLevel="0" collapsed="false">
      <c r="A1708" s="11" t="str">
        <f aca="false">IF(원본명단!$A1707="","",1705)</f>
        <v/>
      </c>
      <c r="B1708" s="12" t="str">
        <f aca="false">IF($A1708="","",원본명단!$A1707)</f>
        <v/>
      </c>
      <c r="C1708" s="12" t="str">
        <f aca="false">IF($A1708="","",원본명단!$B1707)</f>
        <v/>
      </c>
      <c r="D1708" s="12" t="str">
        <f aca="false">IF($A1708="","",원본명단!$D1707)</f>
        <v/>
      </c>
      <c r="E1708" s="11" t="str">
        <f aca="false">IF($A1708="","",IF(원본명단!$H1707="",0,COUNTIF(원본명단!$H$3:$H$6002,원본명단!$H1707)))</f>
        <v/>
      </c>
      <c r="F1708" s="11" t="str">
        <f aca="false">IF($A1708="","",IF(원본명단!$I1707="",0,COUNTIF(원본명단!$I$3:$I$6002,원본명단!$I1707)))</f>
        <v/>
      </c>
      <c r="G1708" s="11" t="str">
        <f aca="false">IF($A1708="","",IF(원본명단!$K1707="",0,COUNTIF(원본명단!$K$3:$K$6002,원본명단!$K1707)))</f>
        <v/>
      </c>
      <c r="H1708" s="11" t="str">
        <f aca="false">IF($A1708="","",IF(MAX($E1708,$F1708,$G1708)&gt;1,"중복","-"))</f>
        <v/>
      </c>
      <c r="I1708" s="11" t="str">
        <f aca="false">IF($A1708="","",IF($H1708="-","-",IF(AND(IF(원본명단!$H1707="",TRUE(),COUNTIF(원본명단!$H$3:$H1707,원본명단!$H1707)=1),IF(원본명단!$I1707="",TRUE(),COUNTIF(원본명단!$I$3:$I1707,원본명단!$I1707)=1),IF(원본명단!$K1707="",TRUE(),COUNTIF(원본명단!$K$3:$K1707,원본명단!$K1707)=1)),"첫 건","중복 건")))</f>
        <v/>
      </c>
      <c r="J1708" s="11" t="str">
        <f aca="false">IF($A1708="","",IF($H1708="-","유지",IF($I1708="첫 건","유지","확인 필요")))</f>
        <v/>
      </c>
    </row>
    <row r="1709" customFormat="false" ht="15" hidden="false" customHeight="true" outlineLevel="0" collapsed="false">
      <c r="A1709" s="11" t="str">
        <f aca="false">IF(원본명단!$A1708="","",1706)</f>
        <v/>
      </c>
      <c r="B1709" s="12" t="str">
        <f aca="false">IF($A1709="","",원본명단!$A1708)</f>
        <v/>
      </c>
      <c r="C1709" s="12" t="str">
        <f aca="false">IF($A1709="","",원본명단!$B1708)</f>
        <v/>
      </c>
      <c r="D1709" s="12" t="str">
        <f aca="false">IF($A1709="","",원본명단!$D1708)</f>
        <v/>
      </c>
      <c r="E1709" s="11" t="str">
        <f aca="false">IF($A1709="","",IF(원본명단!$H1708="",0,COUNTIF(원본명단!$H$3:$H$6002,원본명단!$H1708)))</f>
        <v/>
      </c>
      <c r="F1709" s="11" t="str">
        <f aca="false">IF($A1709="","",IF(원본명단!$I1708="",0,COUNTIF(원본명단!$I$3:$I$6002,원본명단!$I1708)))</f>
        <v/>
      </c>
      <c r="G1709" s="11" t="str">
        <f aca="false">IF($A1709="","",IF(원본명단!$K1708="",0,COUNTIF(원본명단!$K$3:$K$6002,원본명단!$K1708)))</f>
        <v/>
      </c>
      <c r="H1709" s="11" t="str">
        <f aca="false">IF($A1709="","",IF(MAX($E1709,$F1709,$G1709)&gt;1,"중복","-"))</f>
        <v/>
      </c>
      <c r="I1709" s="11" t="str">
        <f aca="false">IF($A1709="","",IF($H1709="-","-",IF(AND(IF(원본명단!$H1708="",TRUE(),COUNTIF(원본명단!$H$3:$H1708,원본명단!$H1708)=1),IF(원본명단!$I1708="",TRUE(),COUNTIF(원본명단!$I$3:$I1708,원본명단!$I1708)=1),IF(원본명단!$K1708="",TRUE(),COUNTIF(원본명단!$K$3:$K1708,원본명단!$K1708)=1)),"첫 건","중복 건")))</f>
        <v/>
      </c>
      <c r="J1709" s="11" t="str">
        <f aca="false">IF($A1709="","",IF($H1709="-","유지",IF($I1709="첫 건","유지","확인 필요")))</f>
        <v/>
      </c>
    </row>
    <row r="1710" customFormat="false" ht="15" hidden="false" customHeight="true" outlineLevel="0" collapsed="false">
      <c r="A1710" s="11" t="str">
        <f aca="false">IF(원본명단!$A1709="","",1707)</f>
        <v/>
      </c>
      <c r="B1710" s="12" t="str">
        <f aca="false">IF($A1710="","",원본명단!$A1709)</f>
        <v/>
      </c>
      <c r="C1710" s="12" t="str">
        <f aca="false">IF($A1710="","",원본명단!$B1709)</f>
        <v/>
      </c>
      <c r="D1710" s="12" t="str">
        <f aca="false">IF($A1710="","",원본명단!$D1709)</f>
        <v/>
      </c>
      <c r="E1710" s="11" t="str">
        <f aca="false">IF($A1710="","",IF(원본명단!$H1709="",0,COUNTIF(원본명단!$H$3:$H$6002,원본명단!$H1709)))</f>
        <v/>
      </c>
      <c r="F1710" s="11" t="str">
        <f aca="false">IF($A1710="","",IF(원본명단!$I1709="",0,COUNTIF(원본명단!$I$3:$I$6002,원본명단!$I1709)))</f>
        <v/>
      </c>
      <c r="G1710" s="11" t="str">
        <f aca="false">IF($A1710="","",IF(원본명단!$K1709="",0,COUNTIF(원본명단!$K$3:$K$6002,원본명단!$K1709)))</f>
        <v/>
      </c>
      <c r="H1710" s="11" t="str">
        <f aca="false">IF($A1710="","",IF(MAX($E1710,$F1710,$G1710)&gt;1,"중복","-"))</f>
        <v/>
      </c>
      <c r="I1710" s="11" t="str">
        <f aca="false">IF($A1710="","",IF($H1710="-","-",IF(AND(IF(원본명단!$H1709="",TRUE(),COUNTIF(원본명단!$H$3:$H1709,원본명단!$H1709)=1),IF(원본명단!$I1709="",TRUE(),COUNTIF(원본명단!$I$3:$I1709,원본명단!$I1709)=1),IF(원본명단!$K1709="",TRUE(),COUNTIF(원본명단!$K$3:$K1709,원본명단!$K1709)=1)),"첫 건","중복 건")))</f>
        <v/>
      </c>
      <c r="J1710" s="11" t="str">
        <f aca="false">IF($A1710="","",IF($H1710="-","유지",IF($I1710="첫 건","유지","확인 필요")))</f>
        <v/>
      </c>
    </row>
    <row r="1711" customFormat="false" ht="15" hidden="false" customHeight="true" outlineLevel="0" collapsed="false">
      <c r="A1711" s="11" t="str">
        <f aca="false">IF(원본명단!$A1710="","",1708)</f>
        <v/>
      </c>
      <c r="B1711" s="12" t="str">
        <f aca="false">IF($A1711="","",원본명단!$A1710)</f>
        <v/>
      </c>
      <c r="C1711" s="12" t="str">
        <f aca="false">IF($A1711="","",원본명단!$B1710)</f>
        <v/>
      </c>
      <c r="D1711" s="12" t="str">
        <f aca="false">IF($A1711="","",원본명단!$D1710)</f>
        <v/>
      </c>
      <c r="E1711" s="11" t="str">
        <f aca="false">IF($A1711="","",IF(원본명단!$H1710="",0,COUNTIF(원본명단!$H$3:$H$6002,원본명단!$H1710)))</f>
        <v/>
      </c>
      <c r="F1711" s="11" t="str">
        <f aca="false">IF($A1711="","",IF(원본명단!$I1710="",0,COUNTIF(원본명단!$I$3:$I$6002,원본명단!$I1710)))</f>
        <v/>
      </c>
      <c r="G1711" s="11" t="str">
        <f aca="false">IF($A1711="","",IF(원본명단!$K1710="",0,COUNTIF(원본명단!$K$3:$K$6002,원본명단!$K1710)))</f>
        <v/>
      </c>
      <c r="H1711" s="11" t="str">
        <f aca="false">IF($A1711="","",IF(MAX($E1711,$F1711,$G1711)&gt;1,"중복","-"))</f>
        <v/>
      </c>
      <c r="I1711" s="11" t="str">
        <f aca="false">IF($A1711="","",IF($H1711="-","-",IF(AND(IF(원본명단!$H1710="",TRUE(),COUNTIF(원본명단!$H$3:$H1710,원본명단!$H1710)=1),IF(원본명단!$I1710="",TRUE(),COUNTIF(원본명단!$I$3:$I1710,원본명단!$I1710)=1),IF(원본명단!$K1710="",TRUE(),COUNTIF(원본명단!$K$3:$K1710,원본명단!$K1710)=1)),"첫 건","중복 건")))</f>
        <v/>
      </c>
      <c r="J1711" s="11" t="str">
        <f aca="false">IF($A1711="","",IF($H1711="-","유지",IF($I1711="첫 건","유지","확인 필요")))</f>
        <v/>
      </c>
    </row>
    <row r="1712" customFormat="false" ht="15" hidden="false" customHeight="true" outlineLevel="0" collapsed="false">
      <c r="A1712" s="11" t="str">
        <f aca="false">IF(원본명단!$A1711="","",1709)</f>
        <v/>
      </c>
      <c r="B1712" s="12" t="str">
        <f aca="false">IF($A1712="","",원본명단!$A1711)</f>
        <v/>
      </c>
      <c r="C1712" s="12" t="str">
        <f aca="false">IF($A1712="","",원본명단!$B1711)</f>
        <v/>
      </c>
      <c r="D1712" s="12" t="str">
        <f aca="false">IF($A1712="","",원본명단!$D1711)</f>
        <v/>
      </c>
      <c r="E1712" s="11" t="str">
        <f aca="false">IF($A1712="","",IF(원본명단!$H1711="",0,COUNTIF(원본명단!$H$3:$H$6002,원본명단!$H1711)))</f>
        <v/>
      </c>
      <c r="F1712" s="11" t="str">
        <f aca="false">IF($A1712="","",IF(원본명단!$I1711="",0,COUNTIF(원본명단!$I$3:$I$6002,원본명단!$I1711)))</f>
        <v/>
      </c>
      <c r="G1712" s="11" t="str">
        <f aca="false">IF($A1712="","",IF(원본명단!$K1711="",0,COUNTIF(원본명단!$K$3:$K$6002,원본명단!$K1711)))</f>
        <v/>
      </c>
      <c r="H1712" s="11" t="str">
        <f aca="false">IF($A1712="","",IF(MAX($E1712,$F1712,$G1712)&gt;1,"중복","-"))</f>
        <v/>
      </c>
      <c r="I1712" s="11" t="str">
        <f aca="false">IF($A1712="","",IF($H1712="-","-",IF(AND(IF(원본명단!$H1711="",TRUE(),COUNTIF(원본명단!$H$3:$H1711,원본명단!$H1711)=1),IF(원본명단!$I1711="",TRUE(),COUNTIF(원본명단!$I$3:$I1711,원본명단!$I1711)=1),IF(원본명단!$K1711="",TRUE(),COUNTIF(원본명단!$K$3:$K1711,원본명단!$K1711)=1)),"첫 건","중복 건")))</f>
        <v/>
      </c>
      <c r="J1712" s="11" t="str">
        <f aca="false">IF($A1712="","",IF($H1712="-","유지",IF($I1712="첫 건","유지","확인 필요")))</f>
        <v/>
      </c>
    </row>
    <row r="1713" customFormat="false" ht="15" hidden="false" customHeight="true" outlineLevel="0" collapsed="false">
      <c r="A1713" s="11" t="str">
        <f aca="false">IF(원본명단!$A1712="","",1710)</f>
        <v/>
      </c>
      <c r="B1713" s="12" t="str">
        <f aca="false">IF($A1713="","",원본명단!$A1712)</f>
        <v/>
      </c>
      <c r="C1713" s="12" t="str">
        <f aca="false">IF($A1713="","",원본명단!$B1712)</f>
        <v/>
      </c>
      <c r="D1713" s="12" t="str">
        <f aca="false">IF($A1713="","",원본명단!$D1712)</f>
        <v/>
      </c>
      <c r="E1713" s="11" t="str">
        <f aca="false">IF($A1713="","",IF(원본명단!$H1712="",0,COUNTIF(원본명단!$H$3:$H$6002,원본명단!$H1712)))</f>
        <v/>
      </c>
      <c r="F1713" s="11" t="str">
        <f aca="false">IF($A1713="","",IF(원본명단!$I1712="",0,COUNTIF(원본명단!$I$3:$I$6002,원본명단!$I1712)))</f>
        <v/>
      </c>
      <c r="G1713" s="11" t="str">
        <f aca="false">IF($A1713="","",IF(원본명단!$K1712="",0,COUNTIF(원본명단!$K$3:$K$6002,원본명단!$K1712)))</f>
        <v/>
      </c>
      <c r="H1713" s="11" t="str">
        <f aca="false">IF($A1713="","",IF(MAX($E1713,$F1713,$G1713)&gt;1,"중복","-"))</f>
        <v/>
      </c>
      <c r="I1713" s="11" t="str">
        <f aca="false">IF($A1713="","",IF($H1713="-","-",IF(AND(IF(원본명단!$H1712="",TRUE(),COUNTIF(원본명단!$H$3:$H1712,원본명단!$H1712)=1),IF(원본명단!$I1712="",TRUE(),COUNTIF(원본명단!$I$3:$I1712,원본명단!$I1712)=1),IF(원본명단!$K1712="",TRUE(),COUNTIF(원본명단!$K$3:$K1712,원본명단!$K1712)=1)),"첫 건","중복 건")))</f>
        <v/>
      </c>
      <c r="J1713" s="11" t="str">
        <f aca="false">IF($A1713="","",IF($H1713="-","유지",IF($I1713="첫 건","유지","확인 필요")))</f>
        <v/>
      </c>
    </row>
    <row r="1714" customFormat="false" ht="15" hidden="false" customHeight="true" outlineLevel="0" collapsed="false">
      <c r="A1714" s="11" t="str">
        <f aca="false">IF(원본명단!$A1713="","",1711)</f>
        <v/>
      </c>
      <c r="B1714" s="12" t="str">
        <f aca="false">IF($A1714="","",원본명단!$A1713)</f>
        <v/>
      </c>
      <c r="C1714" s="12" t="str">
        <f aca="false">IF($A1714="","",원본명단!$B1713)</f>
        <v/>
      </c>
      <c r="D1714" s="12" t="str">
        <f aca="false">IF($A1714="","",원본명단!$D1713)</f>
        <v/>
      </c>
      <c r="E1714" s="11" t="str">
        <f aca="false">IF($A1714="","",IF(원본명단!$H1713="",0,COUNTIF(원본명단!$H$3:$H$6002,원본명단!$H1713)))</f>
        <v/>
      </c>
      <c r="F1714" s="11" t="str">
        <f aca="false">IF($A1714="","",IF(원본명단!$I1713="",0,COUNTIF(원본명단!$I$3:$I$6002,원본명단!$I1713)))</f>
        <v/>
      </c>
      <c r="G1714" s="11" t="str">
        <f aca="false">IF($A1714="","",IF(원본명단!$K1713="",0,COUNTIF(원본명단!$K$3:$K$6002,원본명단!$K1713)))</f>
        <v/>
      </c>
      <c r="H1714" s="11" t="str">
        <f aca="false">IF($A1714="","",IF(MAX($E1714,$F1714,$G1714)&gt;1,"중복","-"))</f>
        <v/>
      </c>
      <c r="I1714" s="11" t="str">
        <f aca="false">IF($A1714="","",IF($H1714="-","-",IF(AND(IF(원본명단!$H1713="",TRUE(),COUNTIF(원본명단!$H$3:$H1713,원본명단!$H1713)=1),IF(원본명단!$I1713="",TRUE(),COUNTIF(원본명단!$I$3:$I1713,원본명단!$I1713)=1),IF(원본명단!$K1713="",TRUE(),COUNTIF(원본명단!$K$3:$K1713,원본명단!$K1713)=1)),"첫 건","중복 건")))</f>
        <v/>
      </c>
      <c r="J1714" s="11" t="str">
        <f aca="false">IF($A1714="","",IF($H1714="-","유지",IF($I1714="첫 건","유지","확인 필요")))</f>
        <v/>
      </c>
    </row>
    <row r="1715" customFormat="false" ht="15" hidden="false" customHeight="true" outlineLevel="0" collapsed="false">
      <c r="A1715" s="11" t="str">
        <f aca="false">IF(원본명단!$A1714="","",1712)</f>
        <v/>
      </c>
      <c r="B1715" s="12" t="str">
        <f aca="false">IF($A1715="","",원본명단!$A1714)</f>
        <v/>
      </c>
      <c r="C1715" s="12" t="str">
        <f aca="false">IF($A1715="","",원본명단!$B1714)</f>
        <v/>
      </c>
      <c r="D1715" s="12" t="str">
        <f aca="false">IF($A1715="","",원본명단!$D1714)</f>
        <v/>
      </c>
      <c r="E1715" s="11" t="str">
        <f aca="false">IF($A1715="","",IF(원본명단!$H1714="",0,COUNTIF(원본명단!$H$3:$H$6002,원본명단!$H1714)))</f>
        <v/>
      </c>
      <c r="F1715" s="11" t="str">
        <f aca="false">IF($A1715="","",IF(원본명단!$I1714="",0,COUNTIF(원본명단!$I$3:$I$6002,원본명단!$I1714)))</f>
        <v/>
      </c>
      <c r="G1715" s="11" t="str">
        <f aca="false">IF($A1715="","",IF(원본명단!$K1714="",0,COUNTIF(원본명단!$K$3:$K$6002,원본명단!$K1714)))</f>
        <v/>
      </c>
      <c r="H1715" s="11" t="str">
        <f aca="false">IF($A1715="","",IF(MAX($E1715,$F1715,$G1715)&gt;1,"중복","-"))</f>
        <v/>
      </c>
      <c r="I1715" s="11" t="str">
        <f aca="false">IF($A1715="","",IF($H1715="-","-",IF(AND(IF(원본명단!$H1714="",TRUE(),COUNTIF(원본명단!$H$3:$H1714,원본명단!$H1714)=1),IF(원본명단!$I1714="",TRUE(),COUNTIF(원본명단!$I$3:$I1714,원본명단!$I1714)=1),IF(원본명단!$K1714="",TRUE(),COUNTIF(원본명단!$K$3:$K1714,원본명단!$K1714)=1)),"첫 건","중복 건")))</f>
        <v/>
      </c>
      <c r="J1715" s="11" t="str">
        <f aca="false">IF($A1715="","",IF($H1715="-","유지",IF($I1715="첫 건","유지","확인 필요")))</f>
        <v/>
      </c>
    </row>
    <row r="1716" customFormat="false" ht="15" hidden="false" customHeight="true" outlineLevel="0" collapsed="false">
      <c r="A1716" s="11" t="str">
        <f aca="false">IF(원본명단!$A1715="","",1713)</f>
        <v/>
      </c>
      <c r="B1716" s="12" t="str">
        <f aca="false">IF($A1716="","",원본명단!$A1715)</f>
        <v/>
      </c>
      <c r="C1716" s="12" t="str">
        <f aca="false">IF($A1716="","",원본명단!$B1715)</f>
        <v/>
      </c>
      <c r="D1716" s="12" t="str">
        <f aca="false">IF($A1716="","",원본명단!$D1715)</f>
        <v/>
      </c>
      <c r="E1716" s="11" t="str">
        <f aca="false">IF($A1716="","",IF(원본명단!$H1715="",0,COUNTIF(원본명단!$H$3:$H$6002,원본명단!$H1715)))</f>
        <v/>
      </c>
      <c r="F1716" s="11" t="str">
        <f aca="false">IF($A1716="","",IF(원본명단!$I1715="",0,COUNTIF(원본명단!$I$3:$I$6002,원본명단!$I1715)))</f>
        <v/>
      </c>
      <c r="G1716" s="11" t="str">
        <f aca="false">IF($A1716="","",IF(원본명단!$K1715="",0,COUNTIF(원본명단!$K$3:$K$6002,원본명단!$K1715)))</f>
        <v/>
      </c>
      <c r="H1716" s="11" t="str">
        <f aca="false">IF($A1716="","",IF(MAX($E1716,$F1716,$G1716)&gt;1,"중복","-"))</f>
        <v/>
      </c>
      <c r="I1716" s="11" t="str">
        <f aca="false">IF($A1716="","",IF($H1716="-","-",IF(AND(IF(원본명단!$H1715="",TRUE(),COUNTIF(원본명단!$H$3:$H1715,원본명단!$H1715)=1),IF(원본명단!$I1715="",TRUE(),COUNTIF(원본명단!$I$3:$I1715,원본명단!$I1715)=1),IF(원본명단!$K1715="",TRUE(),COUNTIF(원본명단!$K$3:$K1715,원본명단!$K1715)=1)),"첫 건","중복 건")))</f>
        <v/>
      </c>
      <c r="J1716" s="11" t="str">
        <f aca="false">IF($A1716="","",IF($H1716="-","유지",IF($I1716="첫 건","유지","확인 필요")))</f>
        <v/>
      </c>
    </row>
    <row r="1717" customFormat="false" ht="15" hidden="false" customHeight="true" outlineLevel="0" collapsed="false">
      <c r="A1717" s="11" t="str">
        <f aca="false">IF(원본명단!$A1716="","",1714)</f>
        <v/>
      </c>
      <c r="B1717" s="12" t="str">
        <f aca="false">IF($A1717="","",원본명단!$A1716)</f>
        <v/>
      </c>
      <c r="C1717" s="12" t="str">
        <f aca="false">IF($A1717="","",원본명단!$B1716)</f>
        <v/>
      </c>
      <c r="D1717" s="12" t="str">
        <f aca="false">IF($A1717="","",원본명단!$D1716)</f>
        <v/>
      </c>
      <c r="E1717" s="11" t="str">
        <f aca="false">IF($A1717="","",IF(원본명단!$H1716="",0,COUNTIF(원본명단!$H$3:$H$6002,원본명단!$H1716)))</f>
        <v/>
      </c>
      <c r="F1717" s="11" t="str">
        <f aca="false">IF($A1717="","",IF(원본명단!$I1716="",0,COUNTIF(원본명단!$I$3:$I$6002,원본명단!$I1716)))</f>
        <v/>
      </c>
      <c r="G1717" s="11" t="str">
        <f aca="false">IF($A1717="","",IF(원본명단!$K1716="",0,COUNTIF(원본명단!$K$3:$K$6002,원본명단!$K1716)))</f>
        <v/>
      </c>
      <c r="H1717" s="11" t="str">
        <f aca="false">IF($A1717="","",IF(MAX($E1717,$F1717,$G1717)&gt;1,"중복","-"))</f>
        <v/>
      </c>
      <c r="I1717" s="11" t="str">
        <f aca="false">IF($A1717="","",IF($H1717="-","-",IF(AND(IF(원본명단!$H1716="",TRUE(),COUNTIF(원본명단!$H$3:$H1716,원본명단!$H1716)=1),IF(원본명단!$I1716="",TRUE(),COUNTIF(원본명단!$I$3:$I1716,원본명단!$I1716)=1),IF(원본명단!$K1716="",TRUE(),COUNTIF(원본명단!$K$3:$K1716,원본명단!$K1716)=1)),"첫 건","중복 건")))</f>
        <v/>
      </c>
      <c r="J1717" s="11" t="str">
        <f aca="false">IF($A1717="","",IF($H1717="-","유지",IF($I1717="첫 건","유지","확인 필요")))</f>
        <v/>
      </c>
    </row>
    <row r="1718" customFormat="false" ht="15" hidden="false" customHeight="true" outlineLevel="0" collapsed="false">
      <c r="A1718" s="11" t="str">
        <f aca="false">IF(원본명단!$A1717="","",1715)</f>
        <v/>
      </c>
      <c r="B1718" s="12" t="str">
        <f aca="false">IF($A1718="","",원본명단!$A1717)</f>
        <v/>
      </c>
      <c r="C1718" s="12" t="str">
        <f aca="false">IF($A1718="","",원본명단!$B1717)</f>
        <v/>
      </c>
      <c r="D1718" s="12" t="str">
        <f aca="false">IF($A1718="","",원본명단!$D1717)</f>
        <v/>
      </c>
      <c r="E1718" s="11" t="str">
        <f aca="false">IF($A1718="","",IF(원본명단!$H1717="",0,COUNTIF(원본명단!$H$3:$H$6002,원본명단!$H1717)))</f>
        <v/>
      </c>
      <c r="F1718" s="11" t="str">
        <f aca="false">IF($A1718="","",IF(원본명단!$I1717="",0,COUNTIF(원본명단!$I$3:$I$6002,원본명단!$I1717)))</f>
        <v/>
      </c>
      <c r="G1718" s="11" t="str">
        <f aca="false">IF($A1718="","",IF(원본명단!$K1717="",0,COUNTIF(원본명단!$K$3:$K$6002,원본명단!$K1717)))</f>
        <v/>
      </c>
      <c r="H1718" s="11" t="str">
        <f aca="false">IF($A1718="","",IF(MAX($E1718,$F1718,$G1718)&gt;1,"중복","-"))</f>
        <v/>
      </c>
      <c r="I1718" s="11" t="str">
        <f aca="false">IF($A1718="","",IF($H1718="-","-",IF(AND(IF(원본명단!$H1717="",TRUE(),COUNTIF(원본명단!$H$3:$H1717,원본명단!$H1717)=1),IF(원본명단!$I1717="",TRUE(),COUNTIF(원본명단!$I$3:$I1717,원본명단!$I1717)=1),IF(원본명단!$K1717="",TRUE(),COUNTIF(원본명단!$K$3:$K1717,원본명단!$K1717)=1)),"첫 건","중복 건")))</f>
        <v/>
      </c>
      <c r="J1718" s="11" t="str">
        <f aca="false">IF($A1718="","",IF($H1718="-","유지",IF($I1718="첫 건","유지","확인 필요")))</f>
        <v/>
      </c>
    </row>
    <row r="1719" customFormat="false" ht="15" hidden="false" customHeight="true" outlineLevel="0" collapsed="false">
      <c r="A1719" s="11" t="str">
        <f aca="false">IF(원본명단!$A1718="","",1716)</f>
        <v/>
      </c>
      <c r="B1719" s="12" t="str">
        <f aca="false">IF($A1719="","",원본명단!$A1718)</f>
        <v/>
      </c>
      <c r="C1719" s="12" t="str">
        <f aca="false">IF($A1719="","",원본명단!$B1718)</f>
        <v/>
      </c>
      <c r="D1719" s="12" t="str">
        <f aca="false">IF($A1719="","",원본명단!$D1718)</f>
        <v/>
      </c>
      <c r="E1719" s="11" t="str">
        <f aca="false">IF($A1719="","",IF(원본명단!$H1718="",0,COUNTIF(원본명단!$H$3:$H$6002,원본명단!$H1718)))</f>
        <v/>
      </c>
      <c r="F1719" s="11" t="str">
        <f aca="false">IF($A1719="","",IF(원본명단!$I1718="",0,COUNTIF(원본명단!$I$3:$I$6002,원본명단!$I1718)))</f>
        <v/>
      </c>
      <c r="G1719" s="11" t="str">
        <f aca="false">IF($A1719="","",IF(원본명단!$K1718="",0,COUNTIF(원본명단!$K$3:$K$6002,원본명단!$K1718)))</f>
        <v/>
      </c>
      <c r="H1719" s="11" t="str">
        <f aca="false">IF($A1719="","",IF(MAX($E1719,$F1719,$G1719)&gt;1,"중복","-"))</f>
        <v/>
      </c>
      <c r="I1719" s="11" t="str">
        <f aca="false">IF($A1719="","",IF($H1719="-","-",IF(AND(IF(원본명단!$H1718="",TRUE(),COUNTIF(원본명단!$H$3:$H1718,원본명단!$H1718)=1),IF(원본명단!$I1718="",TRUE(),COUNTIF(원본명단!$I$3:$I1718,원본명단!$I1718)=1),IF(원본명단!$K1718="",TRUE(),COUNTIF(원본명단!$K$3:$K1718,원본명단!$K1718)=1)),"첫 건","중복 건")))</f>
        <v/>
      </c>
      <c r="J1719" s="11" t="str">
        <f aca="false">IF($A1719="","",IF($H1719="-","유지",IF($I1719="첫 건","유지","확인 필요")))</f>
        <v/>
      </c>
    </row>
    <row r="1720" customFormat="false" ht="15" hidden="false" customHeight="true" outlineLevel="0" collapsed="false">
      <c r="A1720" s="11" t="str">
        <f aca="false">IF(원본명단!$A1719="","",1717)</f>
        <v/>
      </c>
      <c r="B1720" s="12" t="str">
        <f aca="false">IF($A1720="","",원본명단!$A1719)</f>
        <v/>
      </c>
      <c r="C1720" s="12" t="str">
        <f aca="false">IF($A1720="","",원본명단!$B1719)</f>
        <v/>
      </c>
      <c r="D1720" s="12" t="str">
        <f aca="false">IF($A1720="","",원본명단!$D1719)</f>
        <v/>
      </c>
      <c r="E1720" s="11" t="str">
        <f aca="false">IF($A1720="","",IF(원본명단!$H1719="",0,COUNTIF(원본명단!$H$3:$H$6002,원본명단!$H1719)))</f>
        <v/>
      </c>
      <c r="F1720" s="11" t="str">
        <f aca="false">IF($A1720="","",IF(원본명단!$I1719="",0,COUNTIF(원본명단!$I$3:$I$6002,원본명단!$I1719)))</f>
        <v/>
      </c>
      <c r="G1720" s="11" t="str">
        <f aca="false">IF($A1720="","",IF(원본명단!$K1719="",0,COUNTIF(원본명단!$K$3:$K$6002,원본명단!$K1719)))</f>
        <v/>
      </c>
      <c r="H1720" s="11" t="str">
        <f aca="false">IF($A1720="","",IF(MAX($E1720,$F1720,$G1720)&gt;1,"중복","-"))</f>
        <v/>
      </c>
      <c r="I1720" s="11" t="str">
        <f aca="false">IF($A1720="","",IF($H1720="-","-",IF(AND(IF(원본명단!$H1719="",TRUE(),COUNTIF(원본명단!$H$3:$H1719,원본명단!$H1719)=1),IF(원본명단!$I1719="",TRUE(),COUNTIF(원본명단!$I$3:$I1719,원본명단!$I1719)=1),IF(원본명단!$K1719="",TRUE(),COUNTIF(원본명단!$K$3:$K1719,원본명단!$K1719)=1)),"첫 건","중복 건")))</f>
        <v/>
      </c>
      <c r="J1720" s="11" t="str">
        <f aca="false">IF($A1720="","",IF($H1720="-","유지",IF($I1720="첫 건","유지","확인 필요")))</f>
        <v/>
      </c>
    </row>
    <row r="1721" customFormat="false" ht="15" hidden="false" customHeight="true" outlineLevel="0" collapsed="false">
      <c r="A1721" s="11" t="str">
        <f aca="false">IF(원본명단!$A1720="","",1718)</f>
        <v/>
      </c>
      <c r="B1721" s="12" t="str">
        <f aca="false">IF($A1721="","",원본명단!$A1720)</f>
        <v/>
      </c>
      <c r="C1721" s="12" t="str">
        <f aca="false">IF($A1721="","",원본명단!$B1720)</f>
        <v/>
      </c>
      <c r="D1721" s="12" t="str">
        <f aca="false">IF($A1721="","",원본명단!$D1720)</f>
        <v/>
      </c>
      <c r="E1721" s="11" t="str">
        <f aca="false">IF($A1721="","",IF(원본명단!$H1720="",0,COUNTIF(원본명단!$H$3:$H$6002,원본명단!$H1720)))</f>
        <v/>
      </c>
      <c r="F1721" s="11" t="str">
        <f aca="false">IF($A1721="","",IF(원본명단!$I1720="",0,COUNTIF(원본명단!$I$3:$I$6002,원본명단!$I1720)))</f>
        <v/>
      </c>
      <c r="G1721" s="11" t="str">
        <f aca="false">IF($A1721="","",IF(원본명단!$K1720="",0,COUNTIF(원본명단!$K$3:$K$6002,원본명단!$K1720)))</f>
        <v/>
      </c>
      <c r="H1721" s="11" t="str">
        <f aca="false">IF($A1721="","",IF(MAX($E1721,$F1721,$G1721)&gt;1,"중복","-"))</f>
        <v/>
      </c>
      <c r="I1721" s="11" t="str">
        <f aca="false">IF($A1721="","",IF($H1721="-","-",IF(AND(IF(원본명단!$H1720="",TRUE(),COUNTIF(원본명단!$H$3:$H1720,원본명단!$H1720)=1),IF(원본명단!$I1720="",TRUE(),COUNTIF(원본명단!$I$3:$I1720,원본명단!$I1720)=1),IF(원본명단!$K1720="",TRUE(),COUNTIF(원본명단!$K$3:$K1720,원본명단!$K1720)=1)),"첫 건","중복 건")))</f>
        <v/>
      </c>
      <c r="J1721" s="11" t="str">
        <f aca="false">IF($A1721="","",IF($H1721="-","유지",IF($I1721="첫 건","유지","확인 필요")))</f>
        <v/>
      </c>
    </row>
    <row r="1722" customFormat="false" ht="15" hidden="false" customHeight="true" outlineLevel="0" collapsed="false">
      <c r="A1722" s="11" t="str">
        <f aca="false">IF(원본명단!$A1721="","",1719)</f>
        <v/>
      </c>
      <c r="B1722" s="12" t="str">
        <f aca="false">IF($A1722="","",원본명단!$A1721)</f>
        <v/>
      </c>
      <c r="C1722" s="12" t="str">
        <f aca="false">IF($A1722="","",원본명단!$B1721)</f>
        <v/>
      </c>
      <c r="D1722" s="12" t="str">
        <f aca="false">IF($A1722="","",원본명단!$D1721)</f>
        <v/>
      </c>
      <c r="E1722" s="11" t="str">
        <f aca="false">IF($A1722="","",IF(원본명단!$H1721="",0,COUNTIF(원본명단!$H$3:$H$6002,원본명단!$H1721)))</f>
        <v/>
      </c>
      <c r="F1722" s="11" t="str">
        <f aca="false">IF($A1722="","",IF(원본명단!$I1721="",0,COUNTIF(원본명단!$I$3:$I$6002,원본명단!$I1721)))</f>
        <v/>
      </c>
      <c r="G1722" s="11" t="str">
        <f aca="false">IF($A1722="","",IF(원본명단!$K1721="",0,COUNTIF(원본명단!$K$3:$K$6002,원본명단!$K1721)))</f>
        <v/>
      </c>
      <c r="H1722" s="11" t="str">
        <f aca="false">IF($A1722="","",IF(MAX($E1722,$F1722,$G1722)&gt;1,"중복","-"))</f>
        <v/>
      </c>
      <c r="I1722" s="11" t="str">
        <f aca="false">IF($A1722="","",IF($H1722="-","-",IF(AND(IF(원본명단!$H1721="",TRUE(),COUNTIF(원본명단!$H$3:$H1721,원본명단!$H1721)=1),IF(원본명단!$I1721="",TRUE(),COUNTIF(원본명단!$I$3:$I1721,원본명단!$I1721)=1),IF(원본명단!$K1721="",TRUE(),COUNTIF(원본명단!$K$3:$K1721,원본명단!$K1721)=1)),"첫 건","중복 건")))</f>
        <v/>
      </c>
      <c r="J1722" s="11" t="str">
        <f aca="false">IF($A1722="","",IF($H1722="-","유지",IF($I1722="첫 건","유지","확인 필요")))</f>
        <v/>
      </c>
    </row>
    <row r="1723" customFormat="false" ht="15" hidden="false" customHeight="true" outlineLevel="0" collapsed="false">
      <c r="A1723" s="11" t="str">
        <f aca="false">IF(원본명단!$A1722="","",1720)</f>
        <v/>
      </c>
      <c r="B1723" s="12" t="str">
        <f aca="false">IF($A1723="","",원본명단!$A1722)</f>
        <v/>
      </c>
      <c r="C1723" s="12" t="str">
        <f aca="false">IF($A1723="","",원본명단!$B1722)</f>
        <v/>
      </c>
      <c r="D1723" s="12" t="str">
        <f aca="false">IF($A1723="","",원본명단!$D1722)</f>
        <v/>
      </c>
      <c r="E1723" s="11" t="str">
        <f aca="false">IF($A1723="","",IF(원본명단!$H1722="",0,COUNTIF(원본명단!$H$3:$H$6002,원본명단!$H1722)))</f>
        <v/>
      </c>
      <c r="F1723" s="11" t="str">
        <f aca="false">IF($A1723="","",IF(원본명단!$I1722="",0,COUNTIF(원본명단!$I$3:$I$6002,원본명단!$I1722)))</f>
        <v/>
      </c>
      <c r="G1723" s="11" t="str">
        <f aca="false">IF($A1723="","",IF(원본명단!$K1722="",0,COUNTIF(원본명단!$K$3:$K$6002,원본명단!$K1722)))</f>
        <v/>
      </c>
      <c r="H1723" s="11" t="str">
        <f aca="false">IF($A1723="","",IF(MAX($E1723,$F1723,$G1723)&gt;1,"중복","-"))</f>
        <v/>
      </c>
      <c r="I1723" s="11" t="str">
        <f aca="false">IF($A1723="","",IF($H1723="-","-",IF(AND(IF(원본명단!$H1722="",TRUE(),COUNTIF(원본명단!$H$3:$H1722,원본명단!$H1722)=1),IF(원본명단!$I1722="",TRUE(),COUNTIF(원본명단!$I$3:$I1722,원본명단!$I1722)=1),IF(원본명단!$K1722="",TRUE(),COUNTIF(원본명단!$K$3:$K1722,원본명단!$K1722)=1)),"첫 건","중복 건")))</f>
        <v/>
      </c>
      <c r="J1723" s="11" t="str">
        <f aca="false">IF($A1723="","",IF($H1723="-","유지",IF($I1723="첫 건","유지","확인 필요")))</f>
        <v/>
      </c>
    </row>
    <row r="1724" customFormat="false" ht="15" hidden="false" customHeight="true" outlineLevel="0" collapsed="false">
      <c r="A1724" s="11" t="str">
        <f aca="false">IF(원본명단!$A1723="","",1721)</f>
        <v/>
      </c>
      <c r="B1724" s="12" t="str">
        <f aca="false">IF($A1724="","",원본명단!$A1723)</f>
        <v/>
      </c>
      <c r="C1724" s="12" t="str">
        <f aca="false">IF($A1724="","",원본명단!$B1723)</f>
        <v/>
      </c>
      <c r="D1724" s="12" t="str">
        <f aca="false">IF($A1724="","",원본명단!$D1723)</f>
        <v/>
      </c>
      <c r="E1724" s="11" t="str">
        <f aca="false">IF($A1724="","",IF(원본명단!$H1723="",0,COUNTIF(원본명단!$H$3:$H$6002,원본명단!$H1723)))</f>
        <v/>
      </c>
      <c r="F1724" s="11" t="str">
        <f aca="false">IF($A1724="","",IF(원본명단!$I1723="",0,COUNTIF(원본명단!$I$3:$I$6002,원본명단!$I1723)))</f>
        <v/>
      </c>
      <c r="G1724" s="11" t="str">
        <f aca="false">IF($A1724="","",IF(원본명단!$K1723="",0,COUNTIF(원본명단!$K$3:$K$6002,원본명단!$K1723)))</f>
        <v/>
      </c>
      <c r="H1724" s="11" t="str">
        <f aca="false">IF($A1724="","",IF(MAX($E1724,$F1724,$G1724)&gt;1,"중복","-"))</f>
        <v/>
      </c>
      <c r="I1724" s="11" t="str">
        <f aca="false">IF($A1724="","",IF($H1724="-","-",IF(AND(IF(원본명단!$H1723="",TRUE(),COUNTIF(원본명단!$H$3:$H1723,원본명단!$H1723)=1),IF(원본명단!$I1723="",TRUE(),COUNTIF(원본명단!$I$3:$I1723,원본명단!$I1723)=1),IF(원본명단!$K1723="",TRUE(),COUNTIF(원본명단!$K$3:$K1723,원본명단!$K1723)=1)),"첫 건","중복 건")))</f>
        <v/>
      </c>
      <c r="J1724" s="11" t="str">
        <f aca="false">IF($A1724="","",IF($H1724="-","유지",IF($I1724="첫 건","유지","확인 필요")))</f>
        <v/>
      </c>
    </row>
    <row r="1725" customFormat="false" ht="15" hidden="false" customHeight="true" outlineLevel="0" collapsed="false">
      <c r="A1725" s="11" t="str">
        <f aca="false">IF(원본명단!$A1724="","",1722)</f>
        <v/>
      </c>
      <c r="B1725" s="12" t="str">
        <f aca="false">IF($A1725="","",원본명단!$A1724)</f>
        <v/>
      </c>
      <c r="C1725" s="12" t="str">
        <f aca="false">IF($A1725="","",원본명단!$B1724)</f>
        <v/>
      </c>
      <c r="D1725" s="12" t="str">
        <f aca="false">IF($A1725="","",원본명단!$D1724)</f>
        <v/>
      </c>
      <c r="E1725" s="11" t="str">
        <f aca="false">IF($A1725="","",IF(원본명단!$H1724="",0,COUNTIF(원본명단!$H$3:$H$6002,원본명단!$H1724)))</f>
        <v/>
      </c>
      <c r="F1725" s="11" t="str">
        <f aca="false">IF($A1725="","",IF(원본명단!$I1724="",0,COUNTIF(원본명단!$I$3:$I$6002,원본명단!$I1724)))</f>
        <v/>
      </c>
      <c r="G1725" s="11" t="str">
        <f aca="false">IF($A1725="","",IF(원본명단!$K1724="",0,COUNTIF(원본명단!$K$3:$K$6002,원본명단!$K1724)))</f>
        <v/>
      </c>
      <c r="H1725" s="11" t="str">
        <f aca="false">IF($A1725="","",IF(MAX($E1725,$F1725,$G1725)&gt;1,"중복","-"))</f>
        <v/>
      </c>
      <c r="I1725" s="11" t="str">
        <f aca="false">IF($A1725="","",IF($H1725="-","-",IF(AND(IF(원본명단!$H1724="",TRUE(),COUNTIF(원본명단!$H$3:$H1724,원본명단!$H1724)=1),IF(원본명단!$I1724="",TRUE(),COUNTIF(원본명단!$I$3:$I1724,원본명단!$I1724)=1),IF(원본명단!$K1724="",TRUE(),COUNTIF(원본명단!$K$3:$K1724,원본명단!$K1724)=1)),"첫 건","중복 건")))</f>
        <v/>
      </c>
      <c r="J1725" s="11" t="str">
        <f aca="false">IF($A1725="","",IF($H1725="-","유지",IF($I1725="첫 건","유지","확인 필요")))</f>
        <v/>
      </c>
    </row>
    <row r="1726" customFormat="false" ht="15" hidden="false" customHeight="true" outlineLevel="0" collapsed="false">
      <c r="A1726" s="11" t="str">
        <f aca="false">IF(원본명단!$A1725="","",1723)</f>
        <v/>
      </c>
      <c r="B1726" s="12" t="str">
        <f aca="false">IF($A1726="","",원본명단!$A1725)</f>
        <v/>
      </c>
      <c r="C1726" s="12" t="str">
        <f aca="false">IF($A1726="","",원본명단!$B1725)</f>
        <v/>
      </c>
      <c r="D1726" s="12" t="str">
        <f aca="false">IF($A1726="","",원본명단!$D1725)</f>
        <v/>
      </c>
      <c r="E1726" s="11" t="str">
        <f aca="false">IF($A1726="","",IF(원본명단!$H1725="",0,COUNTIF(원본명단!$H$3:$H$6002,원본명단!$H1725)))</f>
        <v/>
      </c>
      <c r="F1726" s="11" t="str">
        <f aca="false">IF($A1726="","",IF(원본명단!$I1725="",0,COUNTIF(원본명단!$I$3:$I$6002,원본명단!$I1725)))</f>
        <v/>
      </c>
      <c r="G1726" s="11" t="str">
        <f aca="false">IF($A1726="","",IF(원본명단!$K1725="",0,COUNTIF(원본명단!$K$3:$K$6002,원본명단!$K1725)))</f>
        <v/>
      </c>
      <c r="H1726" s="11" t="str">
        <f aca="false">IF($A1726="","",IF(MAX($E1726,$F1726,$G1726)&gt;1,"중복","-"))</f>
        <v/>
      </c>
      <c r="I1726" s="11" t="str">
        <f aca="false">IF($A1726="","",IF($H1726="-","-",IF(AND(IF(원본명단!$H1725="",TRUE(),COUNTIF(원본명단!$H$3:$H1725,원본명단!$H1725)=1),IF(원본명단!$I1725="",TRUE(),COUNTIF(원본명단!$I$3:$I1725,원본명단!$I1725)=1),IF(원본명단!$K1725="",TRUE(),COUNTIF(원본명단!$K$3:$K1725,원본명단!$K1725)=1)),"첫 건","중복 건")))</f>
        <v/>
      </c>
      <c r="J1726" s="11" t="str">
        <f aca="false">IF($A1726="","",IF($H1726="-","유지",IF($I1726="첫 건","유지","확인 필요")))</f>
        <v/>
      </c>
    </row>
    <row r="1727" customFormat="false" ht="15" hidden="false" customHeight="true" outlineLevel="0" collapsed="false">
      <c r="A1727" s="11" t="str">
        <f aca="false">IF(원본명단!$A1726="","",1724)</f>
        <v/>
      </c>
      <c r="B1727" s="12" t="str">
        <f aca="false">IF($A1727="","",원본명단!$A1726)</f>
        <v/>
      </c>
      <c r="C1727" s="12" t="str">
        <f aca="false">IF($A1727="","",원본명단!$B1726)</f>
        <v/>
      </c>
      <c r="D1727" s="12" t="str">
        <f aca="false">IF($A1727="","",원본명단!$D1726)</f>
        <v/>
      </c>
      <c r="E1727" s="11" t="str">
        <f aca="false">IF($A1727="","",IF(원본명단!$H1726="",0,COUNTIF(원본명단!$H$3:$H$6002,원본명단!$H1726)))</f>
        <v/>
      </c>
      <c r="F1727" s="11" t="str">
        <f aca="false">IF($A1727="","",IF(원본명단!$I1726="",0,COUNTIF(원본명단!$I$3:$I$6002,원본명단!$I1726)))</f>
        <v/>
      </c>
      <c r="G1727" s="11" t="str">
        <f aca="false">IF($A1727="","",IF(원본명단!$K1726="",0,COUNTIF(원본명단!$K$3:$K$6002,원본명단!$K1726)))</f>
        <v/>
      </c>
      <c r="H1727" s="11" t="str">
        <f aca="false">IF($A1727="","",IF(MAX($E1727,$F1727,$G1727)&gt;1,"중복","-"))</f>
        <v/>
      </c>
      <c r="I1727" s="11" t="str">
        <f aca="false">IF($A1727="","",IF($H1727="-","-",IF(AND(IF(원본명단!$H1726="",TRUE(),COUNTIF(원본명단!$H$3:$H1726,원본명단!$H1726)=1),IF(원본명단!$I1726="",TRUE(),COUNTIF(원본명단!$I$3:$I1726,원본명단!$I1726)=1),IF(원본명단!$K1726="",TRUE(),COUNTIF(원본명단!$K$3:$K1726,원본명단!$K1726)=1)),"첫 건","중복 건")))</f>
        <v/>
      </c>
      <c r="J1727" s="11" t="str">
        <f aca="false">IF($A1727="","",IF($H1727="-","유지",IF($I1727="첫 건","유지","확인 필요")))</f>
        <v/>
      </c>
    </row>
    <row r="1728" customFormat="false" ht="15" hidden="false" customHeight="true" outlineLevel="0" collapsed="false">
      <c r="A1728" s="11" t="str">
        <f aca="false">IF(원본명단!$A1727="","",1725)</f>
        <v/>
      </c>
      <c r="B1728" s="12" t="str">
        <f aca="false">IF($A1728="","",원본명단!$A1727)</f>
        <v/>
      </c>
      <c r="C1728" s="12" t="str">
        <f aca="false">IF($A1728="","",원본명단!$B1727)</f>
        <v/>
      </c>
      <c r="D1728" s="12" t="str">
        <f aca="false">IF($A1728="","",원본명단!$D1727)</f>
        <v/>
      </c>
      <c r="E1728" s="11" t="str">
        <f aca="false">IF($A1728="","",IF(원본명단!$H1727="",0,COUNTIF(원본명단!$H$3:$H$6002,원본명단!$H1727)))</f>
        <v/>
      </c>
      <c r="F1728" s="11" t="str">
        <f aca="false">IF($A1728="","",IF(원본명단!$I1727="",0,COUNTIF(원본명단!$I$3:$I$6002,원본명단!$I1727)))</f>
        <v/>
      </c>
      <c r="G1728" s="11" t="str">
        <f aca="false">IF($A1728="","",IF(원본명단!$K1727="",0,COUNTIF(원본명단!$K$3:$K$6002,원본명단!$K1727)))</f>
        <v/>
      </c>
      <c r="H1728" s="11" t="str">
        <f aca="false">IF($A1728="","",IF(MAX($E1728,$F1728,$G1728)&gt;1,"중복","-"))</f>
        <v/>
      </c>
      <c r="I1728" s="11" t="str">
        <f aca="false">IF($A1728="","",IF($H1728="-","-",IF(AND(IF(원본명단!$H1727="",TRUE(),COUNTIF(원본명단!$H$3:$H1727,원본명단!$H1727)=1),IF(원본명단!$I1727="",TRUE(),COUNTIF(원본명단!$I$3:$I1727,원본명단!$I1727)=1),IF(원본명단!$K1727="",TRUE(),COUNTIF(원본명단!$K$3:$K1727,원본명단!$K1727)=1)),"첫 건","중복 건")))</f>
        <v/>
      </c>
      <c r="J1728" s="11" t="str">
        <f aca="false">IF($A1728="","",IF($H1728="-","유지",IF($I1728="첫 건","유지","확인 필요")))</f>
        <v/>
      </c>
    </row>
    <row r="1729" customFormat="false" ht="15" hidden="false" customHeight="true" outlineLevel="0" collapsed="false">
      <c r="A1729" s="11" t="str">
        <f aca="false">IF(원본명단!$A1728="","",1726)</f>
        <v/>
      </c>
      <c r="B1729" s="12" t="str">
        <f aca="false">IF($A1729="","",원본명단!$A1728)</f>
        <v/>
      </c>
      <c r="C1729" s="12" t="str">
        <f aca="false">IF($A1729="","",원본명단!$B1728)</f>
        <v/>
      </c>
      <c r="D1729" s="12" t="str">
        <f aca="false">IF($A1729="","",원본명단!$D1728)</f>
        <v/>
      </c>
      <c r="E1729" s="11" t="str">
        <f aca="false">IF($A1729="","",IF(원본명단!$H1728="",0,COUNTIF(원본명단!$H$3:$H$6002,원본명단!$H1728)))</f>
        <v/>
      </c>
      <c r="F1729" s="11" t="str">
        <f aca="false">IF($A1729="","",IF(원본명단!$I1728="",0,COUNTIF(원본명단!$I$3:$I$6002,원본명단!$I1728)))</f>
        <v/>
      </c>
      <c r="G1729" s="11" t="str">
        <f aca="false">IF($A1729="","",IF(원본명단!$K1728="",0,COUNTIF(원본명단!$K$3:$K$6002,원본명단!$K1728)))</f>
        <v/>
      </c>
      <c r="H1729" s="11" t="str">
        <f aca="false">IF($A1729="","",IF(MAX($E1729,$F1729,$G1729)&gt;1,"중복","-"))</f>
        <v/>
      </c>
      <c r="I1729" s="11" t="str">
        <f aca="false">IF($A1729="","",IF($H1729="-","-",IF(AND(IF(원본명단!$H1728="",TRUE(),COUNTIF(원본명단!$H$3:$H1728,원본명단!$H1728)=1),IF(원본명단!$I1728="",TRUE(),COUNTIF(원본명단!$I$3:$I1728,원본명단!$I1728)=1),IF(원본명단!$K1728="",TRUE(),COUNTIF(원본명단!$K$3:$K1728,원본명단!$K1728)=1)),"첫 건","중복 건")))</f>
        <v/>
      </c>
      <c r="J1729" s="11" t="str">
        <f aca="false">IF($A1729="","",IF($H1729="-","유지",IF($I1729="첫 건","유지","확인 필요")))</f>
        <v/>
      </c>
    </row>
    <row r="1730" customFormat="false" ht="15" hidden="false" customHeight="true" outlineLevel="0" collapsed="false">
      <c r="A1730" s="11" t="str">
        <f aca="false">IF(원본명단!$A1729="","",1727)</f>
        <v/>
      </c>
      <c r="B1730" s="12" t="str">
        <f aca="false">IF($A1730="","",원본명단!$A1729)</f>
        <v/>
      </c>
      <c r="C1730" s="12" t="str">
        <f aca="false">IF($A1730="","",원본명단!$B1729)</f>
        <v/>
      </c>
      <c r="D1730" s="12" t="str">
        <f aca="false">IF($A1730="","",원본명단!$D1729)</f>
        <v/>
      </c>
      <c r="E1730" s="11" t="str">
        <f aca="false">IF($A1730="","",IF(원본명단!$H1729="",0,COUNTIF(원본명단!$H$3:$H$6002,원본명단!$H1729)))</f>
        <v/>
      </c>
      <c r="F1730" s="11" t="str">
        <f aca="false">IF($A1730="","",IF(원본명단!$I1729="",0,COUNTIF(원본명단!$I$3:$I$6002,원본명단!$I1729)))</f>
        <v/>
      </c>
      <c r="G1730" s="11" t="str">
        <f aca="false">IF($A1730="","",IF(원본명단!$K1729="",0,COUNTIF(원본명단!$K$3:$K$6002,원본명단!$K1729)))</f>
        <v/>
      </c>
      <c r="H1730" s="11" t="str">
        <f aca="false">IF($A1730="","",IF(MAX($E1730,$F1730,$G1730)&gt;1,"중복","-"))</f>
        <v/>
      </c>
      <c r="I1730" s="11" t="str">
        <f aca="false">IF($A1730="","",IF($H1730="-","-",IF(AND(IF(원본명단!$H1729="",TRUE(),COUNTIF(원본명단!$H$3:$H1729,원본명단!$H1729)=1),IF(원본명단!$I1729="",TRUE(),COUNTIF(원본명단!$I$3:$I1729,원본명단!$I1729)=1),IF(원본명단!$K1729="",TRUE(),COUNTIF(원본명단!$K$3:$K1729,원본명단!$K1729)=1)),"첫 건","중복 건")))</f>
        <v/>
      </c>
      <c r="J1730" s="11" t="str">
        <f aca="false">IF($A1730="","",IF($H1730="-","유지",IF($I1730="첫 건","유지","확인 필요")))</f>
        <v/>
      </c>
    </row>
    <row r="1731" customFormat="false" ht="15" hidden="false" customHeight="true" outlineLevel="0" collapsed="false">
      <c r="A1731" s="11" t="str">
        <f aca="false">IF(원본명단!$A1730="","",1728)</f>
        <v/>
      </c>
      <c r="B1731" s="12" t="str">
        <f aca="false">IF($A1731="","",원본명단!$A1730)</f>
        <v/>
      </c>
      <c r="C1731" s="12" t="str">
        <f aca="false">IF($A1731="","",원본명단!$B1730)</f>
        <v/>
      </c>
      <c r="D1731" s="12" t="str">
        <f aca="false">IF($A1731="","",원본명단!$D1730)</f>
        <v/>
      </c>
      <c r="E1731" s="11" t="str">
        <f aca="false">IF($A1731="","",IF(원본명단!$H1730="",0,COUNTIF(원본명단!$H$3:$H$6002,원본명단!$H1730)))</f>
        <v/>
      </c>
      <c r="F1731" s="11" t="str">
        <f aca="false">IF($A1731="","",IF(원본명단!$I1730="",0,COUNTIF(원본명단!$I$3:$I$6002,원본명단!$I1730)))</f>
        <v/>
      </c>
      <c r="G1731" s="11" t="str">
        <f aca="false">IF($A1731="","",IF(원본명단!$K1730="",0,COUNTIF(원본명단!$K$3:$K$6002,원본명단!$K1730)))</f>
        <v/>
      </c>
      <c r="H1731" s="11" t="str">
        <f aca="false">IF($A1731="","",IF(MAX($E1731,$F1731,$G1731)&gt;1,"중복","-"))</f>
        <v/>
      </c>
      <c r="I1731" s="11" t="str">
        <f aca="false">IF($A1731="","",IF($H1731="-","-",IF(AND(IF(원본명단!$H1730="",TRUE(),COUNTIF(원본명단!$H$3:$H1730,원본명단!$H1730)=1),IF(원본명단!$I1730="",TRUE(),COUNTIF(원본명단!$I$3:$I1730,원본명단!$I1730)=1),IF(원본명단!$K1730="",TRUE(),COUNTIF(원본명단!$K$3:$K1730,원본명단!$K1730)=1)),"첫 건","중복 건")))</f>
        <v/>
      </c>
      <c r="J1731" s="11" t="str">
        <f aca="false">IF($A1731="","",IF($H1731="-","유지",IF($I1731="첫 건","유지","확인 필요")))</f>
        <v/>
      </c>
    </row>
    <row r="1732" customFormat="false" ht="15" hidden="false" customHeight="true" outlineLevel="0" collapsed="false">
      <c r="A1732" s="11" t="str">
        <f aca="false">IF(원본명단!$A1731="","",1729)</f>
        <v/>
      </c>
      <c r="B1732" s="12" t="str">
        <f aca="false">IF($A1732="","",원본명단!$A1731)</f>
        <v/>
      </c>
      <c r="C1732" s="12" t="str">
        <f aca="false">IF($A1732="","",원본명단!$B1731)</f>
        <v/>
      </c>
      <c r="D1732" s="12" t="str">
        <f aca="false">IF($A1732="","",원본명단!$D1731)</f>
        <v/>
      </c>
      <c r="E1732" s="11" t="str">
        <f aca="false">IF($A1732="","",IF(원본명단!$H1731="",0,COUNTIF(원본명단!$H$3:$H$6002,원본명단!$H1731)))</f>
        <v/>
      </c>
      <c r="F1732" s="11" t="str">
        <f aca="false">IF($A1732="","",IF(원본명단!$I1731="",0,COUNTIF(원본명단!$I$3:$I$6002,원본명단!$I1731)))</f>
        <v/>
      </c>
      <c r="G1732" s="11" t="str">
        <f aca="false">IF($A1732="","",IF(원본명단!$K1731="",0,COUNTIF(원본명단!$K$3:$K$6002,원본명단!$K1731)))</f>
        <v/>
      </c>
      <c r="H1732" s="11" t="str">
        <f aca="false">IF($A1732="","",IF(MAX($E1732,$F1732,$G1732)&gt;1,"중복","-"))</f>
        <v/>
      </c>
      <c r="I1732" s="11" t="str">
        <f aca="false">IF($A1732="","",IF($H1732="-","-",IF(AND(IF(원본명단!$H1731="",TRUE(),COUNTIF(원본명단!$H$3:$H1731,원본명단!$H1731)=1),IF(원본명단!$I1731="",TRUE(),COUNTIF(원본명단!$I$3:$I1731,원본명단!$I1731)=1),IF(원본명단!$K1731="",TRUE(),COUNTIF(원본명단!$K$3:$K1731,원본명단!$K1731)=1)),"첫 건","중복 건")))</f>
        <v/>
      </c>
      <c r="J1732" s="11" t="str">
        <f aca="false">IF($A1732="","",IF($H1732="-","유지",IF($I1732="첫 건","유지","확인 필요")))</f>
        <v/>
      </c>
    </row>
    <row r="1733" customFormat="false" ht="15" hidden="false" customHeight="true" outlineLevel="0" collapsed="false">
      <c r="A1733" s="11" t="str">
        <f aca="false">IF(원본명단!$A1732="","",1730)</f>
        <v/>
      </c>
      <c r="B1733" s="12" t="str">
        <f aca="false">IF($A1733="","",원본명단!$A1732)</f>
        <v/>
      </c>
      <c r="C1733" s="12" t="str">
        <f aca="false">IF($A1733="","",원본명단!$B1732)</f>
        <v/>
      </c>
      <c r="D1733" s="12" t="str">
        <f aca="false">IF($A1733="","",원본명단!$D1732)</f>
        <v/>
      </c>
      <c r="E1733" s="11" t="str">
        <f aca="false">IF($A1733="","",IF(원본명단!$H1732="",0,COUNTIF(원본명단!$H$3:$H$6002,원본명단!$H1732)))</f>
        <v/>
      </c>
      <c r="F1733" s="11" t="str">
        <f aca="false">IF($A1733="","",IF(원본명단!$I1732="",0,COUNTIF(원본명단!$I$3:$I$6002,원본명단!$I1732)))</f>
        <v/>
      </c>
      <c r="G1733" s="11" t="str">
        <f aca="false">IF($A1733="","",IF(원본명단!$K1732="",0,COUNTIF(원본명단!$K$3:$K$6002,원본명단!$K1732)))</f>
        <v/>
      </c>
      <c r="H1733" s="11" t="str">
        <f aca="false">IF($A1733="","",IF(MAX($E1733,$F1733,$G1733)&gt;1,"중복","-"))</f>
        <v/>
      </c>
      <c r="I1733" s="11" t="str">
        <f aca="false">IF($A1733="","",IF($H1733="-","-",IF(AND(IF(원본명단!$H1732="",TRUE(),COUNTIF(원본명단!$H$3:$H1732,원본명단!$H1732)=1),IF(원본명단!$I1732="",TRUE(),COUNTIF(원본명단!$I$3:$I1732,원본명단!$I1732)=1),IF(원본명단!$K1732="",TRUE(),COUNTIF(원본명단!$K$3:$K1732,원본명단!$K1732)=1)),"첫 건","중복 건")))</f>
        <v/>
      </c>
      <c r="J1733" s="11" t="str">
        <f aca="false">IF($A1733="","",IF($H1733="-","유지",IF($I1733="첫 건","유지","확인 필요")))</f>
        <v/>
      </c>
    </row>
    <row r="1734" customFormat="false" ht="15" hidden="false" customHeight="true" outlineLevel="0" collapsed="false">
      <c r="A1734" s="11" t="str">
        <f aca="false">IF(원본명단!$A1733="","",1731)</f>
        <v/>
      </c>
      <c r="B1734" s="12" t="str">
        <f aca="false">IF($A1734="","",원본명단!$A1733)</f>
        <v/>
      </c>
      <c r="C1734" s="12" t="str">
        <f aca="false">IF($A1734="","",원본명단!$B1733)</f>
        <v/>
      </c>
      <c r="D1734" s="12" t="str">
        <f aca="false">IF($A1734="","",원본명단!$D1733)</f>
        <v/>
      </c>
      <c r="E1734" s="11" t="str">
        <f aca="false">IF($A1734="","",IF(원본명단!$H1733="",0,COUNTIF(원본명단!$H$3:$H$6002,원본명단!$H1733)))</f>
        <v/>
      </c>
      <c r="F1734" s="11" t="str">
        <f aca="false">IF($A1734="","",IF(원본명단!$I1733="",0,COUNTIF(원본명단!$I$3:$I$6002,원본명단!$I1733)))</f>
        <v/>
      </c>
      <c r="G1734" s="11" t="str">
        <f aca="false">IF($A1734="","",IF(원본명단!$K1733="",0,COUNTIF(원본명단!$K$3:$K$6002,원본명단!$K1733)))</f>
        <v/>
      </c>
      <c r="H1734" s="11" t="str">
        <f aca="false">IF($A1734="","",IF(MAX($E1734,$F1734,$G1734)&gt;1,"중복","-"))</f>
        <v/>
      </c>
      <c r="I1734" s="11" t="str">
        <f aca="false">IF($A1734="","",IF($H1734="-","-",IF(AND(IF(원본명단!$H1733="",TRUE(),COUNTIF(원본명단!$H$3:$H1733,원본명단!$H1733)=1),IF(원본명단!$I1733="",TRUE(),COUNTIF(원본명단!$I$3:$I1733,원본명단!$I1733)=1),IF(원본명단!$K1733="",TRUE(),COUNTIF(원본명단!$K$3:$K1733,원본명단!$K1733)=1)),"첫 건","중복 건")))</f>
        <v/>
      </c>
      <c r="J1734" s="11" t="str">
        <f aca="false">IF($A1734="","",IF($H1734="-","유지",IF($I1734="첫 건","유지","확인 필요")))</f>
        <v/>
      </c>
    </row>
    <row r="1735" customFormat="false" ht="15" hidden="false" customHeight="true" outlineLevel="0" collapsed="false">
      <c r="A1735" s="11" t="str">
        <f aca="false">IF(원본명단!$A1734="","",1732)</f>
        <v/>
      </c>
      <c r="B1735" s="12" t="str">
        <f aca="false">IF($A1735="","",원본명단!$A1734)</f>
        <v/>
      </c>
      <c r="C1735" s="12" t="str">
        <f aca="false">IF($A1735="","",원본명단!$B1734)</f>
        <v/>
      </c>
      <c r="D1735" s="12" t="str">
        <f aca="false">IF($A1735="","",원본명단!$D1734)</f>
        <v/>
      </c>
      <c r="E1735" s="11" t="str">
        <f aca="false">IF($A1735="","",IF(원본명단!$H1734="",0,COUNTIF(원본명단!$H$3:$H$6002,원본명단!$H1734)))</f>
        <v/>
      </c>
      <c r="F1735" s="11" t="str">
        <f aca="false">IF($A1735="","",IF(원본명단!$I1734="",0,COUNTIF(원본명단!$I$3:$I$6002,원본명단!$I1734)))</f>
        <v/>
      </c>
      <c r="G1735" s="11" t="str">
        <f aca="false">IF($A1735="","",IF(원본명단!$K1734="",0,COUNTIF(원본명단!$K$3:$K$6002,원본명단!$K1734)))</f>
        <v/>
      </c>
      <c r="H1735" s="11" t="str">
        <f aca="false">IF($A1735="","",IF(MAX($E1735,$F1735,$G1735)&gt;1,"중복","-"))</f>
        <v/>
      </c>
      <c r="I1735" s="11" t="str">
        <f aca="false">IF($A1735="","",IF($H1735="-","-",IF(AND(IF(원본명단!$H1734="",TRUE(),COUNTIF(원본명단!$H$3:$H1734,원본명단!$H1734)=1),IF(원본명단!$I1734="",TRUE(),COUNTIF(원본명단!$I$3:$I1734,원본명단!$I1734)=1),IF(원본명단!$K1734="",TRUE(),COUNTIF(원본명단!$K$3:$K1734,원본명단!$K1734)=1)),"첫 건","중복 건")))</f>
        <v/>
      </c>
      <c r="J1735" s="11" t="str">
        <f aca="false">IF($A1735="","",IF($H1735="-","유지",IF($I1735="첫 건","유지","확인 필요")))</f>
        <v/>
      </c>
    </row>
    <row r="1736" customFormat="false" ht="15" hidden="false" customHeight="true" outlineLevel="0" collapsed="false">
      <c r="A1736" s="11" t="str">
        <f aca="false">IF(원본명단!$A1735="","",1733)</f>
        <v/>
      </c>
      <c r="B1736" s="12" t="str">
        <f aca="false">IF($A1736="","",원본명단!$A1735)</f>
        <v/>
      </c>
      <c r="C1736" s="12" t="str">
        <f aca="false">IF($A1736="","",원본명단!$B1735)</f>
        <v/>
      </c>
      <c r="D1736" s="12" t="str">
        <f aca="false">IF($A1736="","",원본명단!$D1735)</f>
        <v/>
      </c>
      <c r="E1736" s="11" t="str">
        <f aca="false">IF($A1736="","",IF(원본명단!$H1735="",0,COUNTIF(원본명단!$H$3:$H$6002,원본명단!$H1735)))</f>
        <v/>
      </c>
      <c r="F1736" s="11" t="str">
        <f aca="false">IF($A1736="","",IF(원본명단!$I1735="",0,COUNTIF(원본명단!$I$3:$I$6002,원본명단!$I1735)))</f>
        <v/>
      </c>
      <c r="G1736" s="11" t="str">
        <f aca="false">IF($A1736="","",IF(원본명단!$K1735="",0,COUNTIF(원본명단!$K$3:$K$6002,원본명단!$K1735)))</f>
        <v/>
      </c>
      <c r="H1736" s="11" t="str">
        <f aca="false">IF($A1736="","",IF(MAX($E1736,$F1736,$G1736)&gt;1,"중복","-"))</f>
        <v/>
      </c>
      <c r="I1736" s="11" t="str">
        <f aca="false">IF($A1736="","",IF($H1736="-","-",IF(AND(IF(원본명단!$H1735="",TRUE(),COUNTIF(원본명단!$H$3:$H1735,원본명단!$H1735)=1),IF(원본명단!$I1735="",TRUE(),COUNTIF(원본명단!$I$3:$I1735,원본명단!$I1735)=1),IF(원본명단!$K1735="",TRUE(),COUNTIF(원본명단!$K$3:$K1735,원본명단!$K1735)=1)),"첫 건","중복 건")))</f>
        <v/>
      </c>
      <c r="J1736" s="11" t="str">
        <f aca="false">IF($A1736="","",IF($H1736="-","유지",IF($I1736="첫 건","유지","확인 필요")))</f>
        <v/>
      </c>
    </row>
    <row r="1737" customFormat="false" ht="15" hidden="false" customHeight="true" outlineLevel="0" collapsed="false">
      <c r="A1737" s="11" t="str">
        <f aca="false">IF(원본명단!$A1736="","",1734)</f>
        <v/>
      </c>
      <c r="B1737" s="12" t="str">
        <f aca="false">IF($A1737="","",원본명단!$A1736)</f>
        <v/>
      </c>
      <c r="C1737" s="12" t="str">
        <f aca="false">IF($A1737="","",원본명단!$B1736)</f>
        <v/>
      </c>
      <c r="D1737" s="12" t="str">
        <f aca="false">IF($A1737="","",원본명단!$D1736)</f>
        <v/>
      </c>
      <c r="E1737" s="11" t="str">
        <f aca="false">IF($A1737="","",IF(원본명단!$H1736="",0,COUNTIF(원본명단!$H$3:$H$6002,원본명단!$H1736)))</f>
        <v/>
      </c>
      <c r="F1737" s="11" t="str">
        <f aca="false">IF($A1737="","",IF(원본명단!$I1736="",0,COUNTIF(원본명단!$I$3:$I$6002,원본명단!$I1736)))</f>
        <v/>
      </c>
      <c r="G1737" s="11" t="str">
        <f aca="false">IF($A1737="","",IF(원본명단!$K1736="",0,COUNTIF(원본명단!$K$3:$K$6002,원본명단!$K1736)))</f>
        <v/>
      </c>
      <c r="H1737" s="11" t="str">
        <f aca="false">IF($A1737="","",IF(MAX($E1737,$F1737,$G1737)&gt;1,"중복","-"))</f>
        <v/>
      </c>
      <c r="I1737" s="11" t="str">
        <f aca="false">IF($A1737="","",IF($H1737="-","-",IF(AND(IF(원본명단!$H1736="",TRUE(),COUNTIF(원본명단!$H$3:$H1736,원본명단!$H1736)=1),IF(원본명단!$I1736="",TRUE(),COUNTIF(원본명단!$I$3:$I1736,원본명단!$I1736)=1),IF(원본명단!$K1736="",TRUE(),COUNTIF(원본명단!$K$3:$K1736,원본명단!$K1736)=1)),"첫 건","중복 건")))</f>
        <v/>
      </c>
      <c r="J1737" s="11" t="str">
        <f aca="false">IF($A1737="","",IF($H1737="-","유지",IF($I1737="첫 건","유지","확인 필요")))</f>
        <v/>
      </c>
    </row>
    <row r="1738" customFormat="false" ht="15" hidden="false" customHeight="true" outlineLevel="0" collapsed="false">
      <c r="A1738" s="11" t="str">
        <f aca="false">IF(원본명단!$A1737="","",1735)</f>
        <v/>
      </c>
      <c r="B1738" s="12" t="str">
        <f aca="false">IF($A1738="","",원본명단!$A1737)</f>
        <v/>
      </c>
      <c r="C1738" s="12" t="str">
        <f aca="false">IF($A1738="","",원본명단!$B1737)</f>
        <v/>
      </c>
      <c r="D1738" s="12" t="str">
        <f aca="false">IF($A1738="","",원본명단!$D1737)</f>
        <v/>
      </c>
      <c r="E1738" s="11" t="str">
        <f aca="false">IF($A1738="","",IF(원본명단!$H1737="",0,COUNTIF(원본명단!$H$3:$H$6002,원본명단!$H1737)))</f>
        <v/>
      </c>
      <c r="F1738" s="11" t="str">
        <f aca="false">IF($A1738="","",IF(원본명단!$I1737="",0,COUNTIF(원본명단!$I$3:$I$6002,원본명단!$I1737)))</f>
        <v/>
      </c>
      <c r="G1738" s="11" t="str">
        <f aca="false">IF($A1738="","",IF(원본명단!$K1737="",0,COUNTIF(원본명단!$K$3:$K$6002,원본명단!$K1737)))</f>
        <v/>
      </c>
      <c r="H1738" s="11" t="str">
        <f aca="false">IF($A1738="","",IF(MAX($E1738,$F1738,$G1738)&gt;1,"중복","-"))</f>
        <v/>
      </c>
      <c r="I1738" s="11" t="str">
        <f aca="false">IF($A1738="","",IF($H1738="-","-",IF(AND(IF(원본명단!$H1737="",TRUE(),COUNTIF(원본명단!$H$3:$H1737,원본명단!$H1737)=1),IF(원본명단!$I1737="",TRUE(),COUNTIF(원본명단!$I$3:$I1737,원본명단!$I1737)=1),IF(원본명단!$K1737="",TRUE(),COUNTIF(원본명단!$K$3:$K1737,원본명단!$K1737)=1)),"첫 건","중복 건")))</f>
        <v/>
      </c>
      <c r="J1738" s="11" t="str">
        <f aca="false">IF($A1738="","",IF($H1738="-","유지",IF($I1738="첫 건","유지","확인 필요")))</f>
        <v/>
      </c>
    </row>
    <row r="1739" customFormat="false" ht="15" hidden="false" customHeight="true" outlineLevel="0" collapsed="false">
      <c r="A1739" s="11" t="str">
        <f aca="false">IF(원본명단!$A1738="","",1736)</f>
        <v/>
      </c>
      <c r="B1739" s="12" t="str">
        <f aca="false">IF($A1739="","",원본명단!$A1738)</f>
        <v/>
      </c>
      <c r="C1739" s="12" t="str">
        <f aca="false">IF($A1739="","",원본명단!$B1738)</f>
        <v/>
      </c>
      <c r="D1739" s="12" t="str">
        <f aca="false">IF($A1739="","",원본명단!$D1738)</f>
        <v/>
      </c>
      <c r="E1739" s="11" t="str">
        <f aca="false">IF($A1739="","",IF(원본명단!$H1738="",0,COUNTIF(원본명단!$H$3:$H$6002,원본명단!$H1738)))</f>
        <v/>
      </c>
      <c r="F1739" s="11" t="str">
        <f aca="false">IF($A1739="","",IF(원본명단!$I1738="",0,COUNTIF(원본명단!$I$3:$I$6002,원본명단!$I1738)))</f>
        <v/>
      </c>
      <c r="G1739" s="11" t="str">
        <f aca="false">IF($A1739="","",IF(원본명단!$K1738="",0,COUNTIF(원본명단!$K$3:$K$6002,원본명단!$K1738)))</f>
        <v/>
      </c>
      <c r="H1739" s="11" t="str">
        <f aca="false">IF($A1739="","",IF(MAX($E1739,$F1739,$G1739)&gt;1,"중복","-"))</f>
        <v/>
      </c>
      <c r="I1739" s="11" t="str">
        <f aca="false">IF($A1739="","",IF($H1739="-","-",IF(AND(IF(원본명단!$H1738="",TRUE(),COUNTIF(원본명단!$H$3:$H1738,원본명단!$H1738)=1),IF(원본명단!$I1738="",TRUE(),COUNTIF(원본명단!$I$3:$I1738,원본명단!$I1738)=1),IF(원본명단!$K1738="",TRUE(),COUNTIF(원본명단!$K$3:$K1738,원본명단!$K1738)=1)),"첫 건","중복 건")))</f>
        <v/>
      </c>
      <c r="J1739" s="11" t="str">
        <f aca="false">IF($A1739="","",IF($H1739="-","유지",IF($I1739="첫 건","유지","확인 필요")))</f>
        <v/>
      </c>
    </row>
    <row r="1740" customFormat="false" ht="15" hidden="false" customHeight="true" outlineLevel="0" collapsed="false">
      <c r="A1740" s="11" t="str">
        <f aca="false">IF(원본명단!$A1739="","",1737)</f>
        <v/>
      </c>
      <c r="B1740" s="12" t="str">
        <f aca="false">IF($A1740="","",원본명단!$A1739)</f>
        <v/>
      </c>
      <c r="C1740" s="12" t="str">
        <f aca="false">IF($A1740="","",원본명단!$B1739)</f>
        <v/>
      </c>
      <c r="D1740" s="12" t="str">
        <f aca="false">IF($A1740="","",원본명단!$D1739)</f>
        <v/>
      </c>
      <c r="E1740" s="11" t="str">
        <f aca="false">IF($A1740="","",IF(원본명단!$H1739="",0,COUNTIF(원본명단!$H$3:$H$6002,원본명단!$H1739)))</f>
        <v/>
      </c>
      <c r="F1740" s="11" t="str">
        <f aca="false">IF($A1740="","",IF(원본명단!$I1739="",0,COUNTIF(원본명단!$I$3:$I$6002,원본명단!$I1739)))</f>
        <v/>
      </c>
      <c r="G1740" s="11" t="str">
        <f aca="false">IF($A1740="","",IF(원본명단!$K1739="",0,COUNTIF(원본명단!$K$3:$K$6002,원본명단!$K1739)))</f>
        <v/>
      </c>
      <c r="H1740" s="11" t="str">
        <f aca="false">IF($A1740="","",IF(MAX($E1740,$F1740,$G1740)&gt;1,"중복","-"))</f>
        <v/>
      </c>
      <c r="I1740" s="11" t="str">
        <f aca="false">IF($A1740="","",IF($H1740="-","-",IF(AND(IF(원본명단!$H1739="",TRUE(),COUNTIF(원본명단!$H$3:$H1739,원본명단!$H1739)=1),IF(원본명단!$I1739="",TRUE(),COUNTIF(원본명단!$I$3:$I1739,원본명단!$I1739)=1),IF(원본명단!$K1739="",TRUE(),COUNTIF(원본명단!$K$3:$K1739,원본명단!$K1739)=1)),"첫 건","중복 건")))</f>
        <v/>
      </c>
      <c r="J1740" s="11" t="str">
        <f aca="false">IF($A1740="","",IF($H1740="-","유지",IF($I1740="첫 건","유지","확인 필요")))</f>
        <v/>
      </c>
    </row>
    <row r="1741" customFormat="false" ht="15" hidden="false" customHeight="true" outlineLevel="0" collapsed="false">
      <c r="A1741" s="11" t="str">
        <f aca="false">IF(원본명단!$A1740="","",1738)</f>
        <v/>
      </c>
      <c r="B1741" s="12" t="str">
        <f aca="false">IF($A1741="","",원본명단!$A1740)</f>
        <v/>
      </c>
      <c r="C1741" s="12" t="str">
        <f aca="false">IF($A1741="","",원본명단!$B1740)</f>
        <v/>
      </c>
      <c r="D1741" s="12" t="str">
        <f aca="false">IF($A1741="","",원본명단!$D1740)</f>
        <v/>
      </c>
      <c r="E1741" s="11" t="str">
        <f aca="false">IF($A1741="","",IF(원본명단!$H1740="",0,COUNTIF(원본명단!$H$3:$H$6002,원본명단!$H1740)))</f>
        <v/>
      </c>
      <c r="F1741" s="11" t="str">
        <f aca="false">IF($A1741="","",IF(원본명단!$I1740="",0,COUNTIF(원본명단!$I$3:$I$6002,원본명단!$I1740)))</f>
        <v/>
      </c>
      <c r="G1741" s="11" t="str">
        <f aca="false">IF($A1741="","",IF(원본명단!$K1740="",0,COUNTIF(원본명단!$K$3:$K$6002,원본명단!$K1740)))</f>
        <v/>
      </c>
      <c r="H1741" s="11" t="str">
        <f aca="false">IF($A1741="","",IF(MAX($E1741,$F1741,$G1741)&gt;1,"중복","-"))</f>
        <v/>
      </c>
      <c r="I1741" s="11" t="str">
        <f aca="false">IF($A1741="","",IF($H1741="-","-",IF(AND(IF(원본명단!$H1740="",TRUE(),COUNTIF(원본명단!$H$3:$H1740,원본명단!$H1740)=1),IF(원본명단!$I1740="",TRUE(),COUNTIF(원본명단!$I$3:$I1740,원본명단!$I1740)=1),IF(원본명단!$K1740="",TRUE(),COUNTIF(원본명단!$K$3:$K1740,원본명단!$K1740)=1)),"첫 건","중복 건")))</f>
        <v/>
      </c>
      <c r="J1741" s="11" t="str">
        <f aca="false">IF($A1741="","",IF($H1741="-","유지",IF($I1741="첫 건","유지","확인 필요")))</f>
        <v/>
      </c>
    </row>
    <row r="1742" customFormat="false" ht="15" hidden="false" customHeight="true" outlineLevel="0" collapsed="false">
      <c r="A1742" s="11" t="str">
        <f aca="false">IF(원본명단!$A1741="","",1739)</f>
        <v/>
      </c>
      <c r="B1742" s="12" t="str">
        <f aca="false">IF($A1742="","",원본명단!$A1741)</f>
        <v/>
      </c>
      <c r="C1742" s="12" t="str">
        <f aca="false">IF($A1742="","",원본명단!$B1741)</f>
        <v/>
      </c>
      <c r="D1742" s="12" t="str">
        <f aca="false">IF($A1742="","",원본명단!$D1741)</f>
        <v/>
      </c>
      <c r="E1742" s="11" t="str">
        <f aca="false">IF($A1742="","",IF(원본명단!$H1741="",0,COUNTIF(원본명단!$H$3:$H$6002,원본명단!$H1741)))</f>
        <v/>
      </c>
      <c r="F1742" s="11" t="str">
        <f aca="false">IF($A1742="","",IF(원본명단!$I1741="",0,COUNTIF(원본명단!$I$3:$I$6002,원본명단!$I1741)))</f>
        <v/>
      </c>
      <c r="G1742" s="11" t="str">
        <f aca="false">IF($A1742="","",IF(원본명단!$K1741="",0,COUNTIF(원본명단!$K$3:$K$6002,원본명단!$K1741)))</f>
        <v/>
      </c>
      <c r="H1742" s="11" t="str">
        <f aca="false">IF($A1742="","",IF(MAX($E1742,$F1742,$G1742)&gt;1,"중복","-"))</f>
        <v/>
      </c>
      <c r="I1742" s="11" t="str">
        <f aca="false">IF($A1742="","",IF($H1742="-","-",IF(AND(IF(원본명단!$H1741="",TRUE(),COUNTIF(원본명단!$H$3:$H1741,원본명단!$H1741)=1),IF(원본명단!$I1741="",TRUE(),COUNTIF(원본명단!$I$3:$I1741,원본명단!$I1741)=1),IF(원본명단!$K1741="",TRUE(),COUNTIF(원본명단!$K$3:$K1741,원본명단!$K1741)=1)),"첫 건","중복 건")))</f>
        <v/>
      </c>
      <c r="J1742" s="11" t="str">
        <f aca="false">IF($A1742="","",IF($H1742="-","유지",IF($I1742="첫 건","유지","확인 필요")))</f>
        <v/>
      </c>
    </row>
    <row r="1743" customFormat="false" ht="15" hidden="false" customHeight="true" outlineLevel="0" collapsed="false">
      <c r="A1743" s="11" t="str">
        <f aca="false">IF(원본명단!$A1742="","",1740)</f>
        <v/>
      </c>
      <c r="B1743" s="12" t="str">
        <f aca="false">IF($A1743="","",원본명단!$A1742)</f>
        <v/>
      </c>
      <c r="C1743" s="12" t="str">
        <f aca="false">IF($A1743="","",원본명단!$B1742)</f>
        <v/>
      </c>
      <c r="D1743" s="12" t="str">
        <f aca="false">IF($A1743="","",원본명단!$D1742)</f>
        <v/>
      </c>
      <c r="E1743" s="11" t="str">
        <f aca="false">IF($A1743="","",IF(원본명단!$H1742="",0,COUNTIF(원본명단!$H$3:$H$6002,원본명단!$H1742)))</f>
        <v/>
      </c>
      <c r="F1743" s="11" t="str">
        <f aca="false">IF($A1743="","",IF(원본명단!$I1742="",0,COUNTIF(원본명단!$I$3:$I$6002,원본명단!$I1742)))</f>
        <v/>
      </c>
      <c r="G1743" s="11" t="str">
        <f aca="false">IF($A1743="","",IF(원본명단!$K1742="",0,COUNTIF(원본명단!$K$3:$K$6002,원본명단!$K1742)))</f>
        <v/>
      </c>
      <c r="H1743" s="11" t="str">
        <f aca="false">IF($A1743="","",IF(MAX($E1743,$F1743,$G1743)&gt;1,"중복","-"))</f>
        <v/>
      </c>
      <c r="I1743" s="11" t="str">
        <f aca="false">IF($A1743="","",IF($H1743="-","-",IF(AND(IF(원본명단!$H1742="",TRUE(),COUNTIF(원본명단!$H$3:$H1742,원본명단!$H1742)=1),IF(원본명단!$I1742="",TRUE(),COUNTIF(원본명단!$I$3:$I1742,원본명단!$I1742)=1),IF(원본명단!$K1742="",TRUE(),COUNTIF(원본명단!$K$3:$K1742,원본명단!$K1742)=1)),"첫 건","중복 건")))</f>
        <v/>
      </c>
      <c r="J1743" s="11" t="str">
        <f aca="false">IF($A1743="","",IF($H1743="-","유지",IF($I1743="첫 건","유지","확인 필요")))</f>
        <v/>
      </c>
    </row>
    <row r="1744" customFormat="false" ht="15" hidden="false" customHeight="true" outlineLevel="0" collapsed="false">
      <c r="A1744" s="11" t="str">
        <f aca="false">IF(원본명단!$A1743="","",1741)</f>
        <v/>
      </c>
      <c r="B1744" s="12" t="str">
        <f aca="false">IF($A1744="","",원본명단!$A1743)</f>
        <v/>
      </c>
      <c r="C1744" s="12" t="str">
        <f aca="false">IF($A1744="","",원본명단!$B1743)</f>
        <v/>
      </c>
      <c r="D1744" s="12" t="str">
        <f aca="false">IF($A1744="","",원본명단!$D1743)</f>
        <v/>
      </c>
      <c r="E1744" s="11" t="str">
        <f aca="false">IF($A1744="","",IF(원본명단!$H1743="",0,COUNTIF(원본명단!$H$3:$H$6002,원본명단!$H1743)))</f>
        <v/>
      </c>
      <c r="F1744" s="11" t="str">
        <f aca="false">IF($A1744="","",IF(원본명단!$I1743="",0,COUNTIF(원본명단!$I$3:$I$6002,원본명단!$I1743)))</f>
        <v/>
      </c>
      <c r="G1744" s="11" t="str">
        <f aca="false">IF($A1744="","",IF(원본명단!$K1743="",0,COUNTIF(원본명단!$K$3:$K$6002,원본명단!$K1743)))</f>
        <v/>
      </c>
      <c r="H1744" s="11" t="str">
        <f aca="false">IF($A1744="","",IF(MAX($E1744,$F1744,$G1744)&gt;1,"중복","-"))</f>
        <v/>
      </c>
      <c r="I1744" s="11" t="str">
        <f aca="false">IF($A1744="","",IF($H1744="-","-",IF(AND(IF(원본명단!$H1743="",TRUE(),COUNTIF(원본명단!$H$3:$H1743,원본명단!$H1743)=1),IF(원본명단!$I1743="",TRUE(),COUNTIF(원본명단!$I$3:$I1743,원본명단!$I1743)=1),IF(원본명단!$K1743="",TRUE(),COUNTIF(원본명단!$K$3:$K1743,원본명단!$K1743)=1)),"첫 건","중복 건")))</f>
        <v/>
      </c>
      <c r="J1744" s="11" t="str">
        <f aca="false">IF($A1744="","",IF($H1744="-","유지",IF($I1744="첫 건","유지","확인 필요")))</f>
        <v/>
      </c>
    </row>
    <row r="1745" customFormat="false" ht="15" hidden="false" customHeight="true" outlineLevel="0" collapsed="false">
      <c r="A1745" s="11" t="str">
        <f aca="false">IF(원본명단!$A1744="","",1742)</f>
        <v/>
      </c>
      <c r="B1745" s="12" t="str">
        <f aca="false">IF($A1745="","",원본명단!$A1744)</f>
        <v/>
      </c>
      <c r="C1745" s="12" t="str">
        <f aca="false">IF($A1745="","",원본명단!$B1744)</f>
        <v/>
      </c>
      <c r="D1745" s="12" t="str">
        <f aca="false">IF($A1745="","",원본명단!$D1744)</f>
        <v/>
      </c>
      <c r="E1745" s="11" t="str">
        <f aca="false">IF($A1745="","",IF(원본명단!$H1744="",0,COUNTIF(원본명단!$H$3:$H$6002,원본명단!$H1744)))</f>
        <v/>
      </c>
      <c r="F1745" s="11" t="str">
        <f aca="false">IF($A1745="","",IF(원본명단!$I1744="",0,COUNTIF(원본명단!$I$3:$I$6002,원본명단!$I1744)))</f>
        <v/>
      </c>
      <c r="G1745" s="11" t="str">
        <f aca="false">IF($A1745="","",IF(원본명단!$K1744="",0,COUNTIF(원본명단!$K$3:$K$6002,원본명단!$K1744)))</f>
        <v/>
      </c>
      <c r="H1745" s="11" t="str">
        <f aca="false">IF($A1745="","",IF(MAX($E1745,$F1745,$G1745)&gt;1,"중복","-"))</f>
        <v/>
      </c>
      <c r="I1745" s="11" t="str">
        <f aca="false">IF($A1745="","",IF($H1745="-","-",IF(AND(IF(원본명단!$H1744="",TRUE(),COUNTIF(원본명단!$H$3:$H1744,원본명단!$H1744)=1),IF(원본명단!$I1744="",TRUE(),COUNTIF(원본명단!$I$3:$I1744,원본명단!$I1744)=1),IF(원본명단!$K1744="",TRUE(),COUNTIF(원본명단!$K$3:$K1744,원본명단!$K1744)=1)),"첫 건","중복 건")))</f>
        <v/>
      </c>
      <c r="J1745" s="11" t="str">
        <f aca="false">IF($A1745="","",IF($H1745="-","유지",IF($I1745="첫 건","유지","확인 필요")))</f>
        <v/>
      </c>
    </row>
    <row r="1746" customFormat="false" ht="15" hidden="false" customHeight="true" outlineLevel="0" collapsed="false">
      <c r="A1746" s="11" t="str">
        <f aca="false">IF(원본명단!$A1745="","",1743)</f>
        <v/>
      </c>
      <c r="B1746" s="12" t="str">
        <f aca="false">IF($A1746="","",원본명단!$A1745)</f>
        <v/>
      </c>
      <c r="C1746" s="12" t="str">
        <f aca="false">IF($A1746="","",원본명단!$B1745)</f>
        <v/>
      </c>
      <c r="D1746" s="12" t="str">
        <f aca="false">IF($A1746="","",원본명단!$D1745)</f>
        <v/>
      </c>
      <c r="E1746" s="11" t="str">
        <f aca="false">IF($A1746="","",IF(원본명단!$H1745="",0,COUNTIF(원본명단!$H$3:$H$6002,원본명단!$H1745)))</f>
        <v/>
      </c>
      <c r="F1746" s="11" t="str">
        <f aca="false">IF($A1746="","",IF(원본명단!$I1745="",0,COUNTIF(원본명단!$I$3:$I$6002,원본명단!$I1745)))</f>
        <v/>
      </c>
      <c r="G1746" s="11" t="str">
        <f aca="false">IF($A1746="","",IF(원본명단!$K1745="",0,COUNTIF(원본명단!$K$3:$K$6002,원본명단!$K1745)))</f>
        <v/>
      </c>
      <c r="H1746" s="11" t="str">
        <f aca="false">IF($A1746="","",IF(MAX($E1746,$F1746,$G1746)&gt;1,"중복","-"))</f>
        <v/>
      </c>
      <c r="I1746" s="11" t="str">
        <f aca="false">IF($A1746="","",IF($H1746="-","-",IF(AND(IF(원본명단!$H1745="",TRUE(),COUNTIF(원본명단!$H$3:$H1745,원본명단!$H1745)=1),IF(원본명단!$I1745="",TRUE(),COUNTIF(원본명단!$I$3:$I1745,원본명단!$I1745)=1),IF(원본명단!$K1745="",TRUE(),COUNTIF(원본명단!$K$3:$K1745,원본명단!$K1745)=1)),"첫 건","중복 건")))</f>
        <v/>
      </c>
      <c r="J1746" s="11" t="str">
        <f aca="false">IF($A1746="","",IF($H1746="-","유지",IF($I1746="첫 건","유지","확인 필요")))</f>
        <v/>
      </c>
    </row>
    <row r="1747" customFormat="false" ht="15" hidden="false" customHeight="true" outlineLevel="0" collapsed="false">
      <c r="A1747" s="11" t="str">
        <f aca="false">IF(원본명단!$A1746="","",1744)</f>
        <v/>
      </c>
      <c r="B1747" s="12" t="str">
        <f aca="false">IF($A1747="","",원본명단!$A1746)</f>
        <v/>
      </c>
      <c r="C1747" s="12" t="str">
        <f aca="false">IF($A1747="","",원본명단!$B1746)</f>
        <v/>
      </c>
      <c r="D1747" s="12" t="str">
        <f aca="false">IF($A1747="","",원본명단!$D1746)</f>
        <v/>
      </c>
      <c r="E1747" s="11" t="str">
        <f aca="false">IF($A1747="","",IF(원본명단!$H1746="",0,COUNTIF(원본명단!$H$3:$H$6002,원본명단!$H1746)))</f>
        <v/>
      </c>
      <c r="F1747" s="11" t="str">
        <f aca="false">IF($A1747="","",IF(원본명단!$I1746="",0,COUNTIF(원본명단!$I$3:$I$6002,원본명단!$I1746)))</f>
        <v/>
      </c>
      <c r="G1747" s="11" t="str">
        <f aca="false">IF($A1747="","",IF(원본명단!$K1746="",0,COUNTIF(원본명단!$K$3:$K$6002,원본명단!$K1746)))</f>
        <v/>
      </c>
      <c r="H1747" s="11" t="str">
        <f aca="false">IF($A1747="","",IF(MAX($E1747,$F1747,$G1747)&gt;1,"중복","-"))</f>
        <v/>
      </c>
      <c r="I1747" s="11" t="str">
        <f aca="false">IF($A1747="","",IF($H1747="-","-",IF(AND(IF(원본명단!$H1746="",TRUE(),COUNTIF(원본명단!$H$3:$H1746,원본명단!$H1746)=1),IF(원본명단!$I1746="",TRUE(),COUNTIF(원본명단!$I$3:$I1746,원본명단!$I1746)=1),IF(원본명단!$K1746="",TRUE(),COUNTIF(원본명단!$K$3:$K1746,원본명단!$K1746)=1)),"첫 건","중복 건")))</f>
        <v/>
      </c>
      <c r="J1747" s="11" t="str">
        <f aca="false">IF($A1747="","",IF($H1747="-","유지",IF($I1747="첫 건","유지","확인 필요")))</f>
        <v/>
      </c>
    </row>
    <row r="1748" customFormat="false" ht="15" hidden="false" customHeight="true" outlineLevel="0" collapsed="false">
      <c r="A1748" s="11" t="str">
        <f aca="false">IF(원본명단!$A1747="","",1745)</f>
        <v/>
      </c>
      <c r="B1748" s="12" t="str">
        <f aca="false">IF($A1748="","",원본명단!$A1747)</f>
        <v/>
      </c>
      <c r="C1748" s="12" t="str">
        <f aca="false">IF($A1748="","",원본명단!$B1747)</f>
        <v/>
      </c>
      <c r="D1748" s="12" t="str">
        <f aca="false">IF($A1748="","",원본명단!$D1747)</f>
        <v/>
      </c>
      <c r="E1748" s="11" t="str">
        <f aca="false">IF($A1748="","",IF(원본명단!$H1747="",0,COUNTIF(원본명단!$H$3:$H$6002,원본명단!$H1747)))</f>
        <v/>
      </c>
      <c r="F1748" s="11" t="str">
        <f aca="false">IF($A1748="","",IF(원본명단!$I1747="",0,COUNTIF(원본명단!$I$3:$I$6002,원본명단!$I1747)))</f>
        <v/>
      </c>
      <c r="G1748" s="11" t="str">
        <f aca="false">IF($A1748="","",IF(원본명단!$K1747="",0,COUNTIF(원본명단!$K$3:$K$6002,원본명단!$K1747)))</f>
        <v/>
      </c>
      <c r="H1748" s="11" t="str">
        <f aca="false">IF($A1748="","",IF(MAX($E1748,$F1748,$G1748)&gt;1,"중복","-"))</f>
        <v/>
      </c>
      <c r="I1748" s="11" t="str">
        <f aca="false">IF($A1748="","",IF($H1748="-","-",IF(AND(IF(원본명단!$H1747="",TRUE(),COUNTIF(원본명단!$H$3:$H1747,원본명단!$H1747)=1),IF(원본명단!$I1747="",TRUE(),COUNTIF(원본명단!$I$3:$I1747,원본명단!$I1747)=1),IF(원본명단!$K1747="",TRUE(),COUNTIF(원본명단!$K$3:$K1747,원본명단!$K1747)=1)),"첫 건","중복 건")))</f>
        <v/>
      </c>
      <c r="J1748" s="11" t="str">
        <f aca="false">IF($A1748="","",IF($H1748="-","유지",IF($I1748="첫 건","유지","확인 필요")))</f>
        <v/>
      </c>
    </row>
    <row r="1749" customFormat="false" ht="15" hidden="false" customHeight="true" outlineLevel="0" collapsed="false">
      <c r="A1749" s="11" t="str">
        <f aca="false">IF(원본명단!$A1748="","",1746)</f>
        <v/>
      </c>
      <c r="B1749" s="12" t="str">
        <f aca="false">IF($A1749="","",원본명단!$A1748)</f>
        <v/>
      </c>
      <c r="C1749" s="12" t="str">
        <f aca="false">IF($A1749="","",원본명단!$B1748)</f>
        <v/>
      </c>
      <c r="D1749" s="12" t="str">
        <f aca="false">IF($A1749="","",원본명단!$D1748)</f>
        <v/>
      </c>
      <c r="E1749" s="11" t="str">
        <f aca="false">IF($A1749="","",IF(원본명단!$H1748="",0,COUNTIF(원본명단!$H$3:$H$6002,원본명단!$H1748)))</f>
        <v/>
      </c>
      <c r="F1749" s="11" t="str">
        <f aca="false">IF($A1749="","",IF(원본명단!$I1748="",0,COUNTIF(원본명단!$I$3:$I$6002,원본명단!$I1748)))</f>
        <v/>
      </c>
      <c r="G1749" s="11" t="str">
        <f aca="false">IF($A1749="","",IF(원본명단!$K1748="",0,COUNTIF(원본명단!$K$3:$K$6002,원본명단!$K1748)))</f>
        <v/>
      </c>
      <c r="H1749" s="11" t="str">
        <f aca="false">IF($A1749="","",IF(MAX($E1749,$F1749,$G1749)&gt;1,"중복","-"))</f>
        <v/>
      </c>
      <c r="I1749" s="11" t="str">
        <f aca="false">IF($A1749="","",IF($H1749="-","-",IF(AND(IF(원본명단!$H1748="",TRUE(),COUNTIF(원본명단!$H$3:$H1748,원본명단!$H1748)=1),IF(원본명단!$I1748="",TRUE(),COUNTIF(원본명단!$I$3:$I1748,원본명단!$I1748)=1),IF(원본명단!$K1748="",TRUE(),COUNTIF(원본명단!$K$3:$K1748,원본명단!$K1748)=1)),"첫 건","중복 건")))</f>
        <v/>
      </c>
      <c r="J1749" s="11" t="str">
        <f aca="false">IF($A1749="","",IF($H1749="-","유지",IF($I1749="첫 건","유지","확인 필요")))</f>
        <v/>
      </c>
    </row>
    <row r="1750" customFormat="false" ht="15" hidden="false" customHeight="true" outlineLevel="0" collapsed="false">
      <c r="A1750" s="11" t="str">
        <f aca="false">IF(원본명단!$A1749="","",1747)</f>
        <v/>
      </c>
      <c r="B1750" s="12" t="str">
        <f aca="false">IF($A1750="","",원본명단!$A1749)</f>
        <v/>
      </c>
      <c r="C1750" s="12" t="str">
        <f aca="false">IF($A1750="","",원본명단!$B1749)</f>
        <v/>
      </c>
      <c r="D1750" s="12" t="str">
        <f aca="false">IF($A1750="","",원본명단!$D1749)</f>
        <v/>
      </c>
      <c r="E1750" s="11" t="str">
        <f aca="false">IF($A1750="","",IF(원본명단!$H1749="",0,COUNTIF(원본명단!$H$3:$H$6002,원본명단!$H1749)))</f>
        <v/>
      </c>
      <c r="F1750" s="11" t="str">
        <f aca="false">IF($A1750="","",IF(원본명단!$I1749="",0,COUNTIF(원본명단!$I$3:$I$6002,원본명단!$I1749)))</f>
        <v/>
      </c>
      <c r="G1750" s="11" t="str">
        <f aca="false">IF($A1750="","",IF(원본명단!$K1749="",0,COUNTIF(원본명단!$K$3:$K$6002,원본명단!$K1749)))</f>
        <v/>
      </c>
      <c r="H1750" s="11" t="str">
        <f aca="false">IF($A1750="","",IF(MAX($E1750,$F1750,$G1750)&gt;1,"중복","-"))</f>
        <v/>
      </c>
      <c r="I1750" s="11" t="str">
        <f aca="false">IF($A1750="","",IF($H1750="-","-",IF(AND(IF(원본명단!$H1749="",TRUE(),COUNTIF(원본명단!$H$3:$H1749,원본명단!$H1749)=1),IF(원본명단!$I1749="",TRUE(),COUNTIF(원본명단!$I$3:$I1749,원본명단!$I1749)=1),IF(원본명단!$K1749="",TRUE(),COUNTIF(원본명단!$K$3:$K1749,원본명단!$K1749)=1)),"첫 건","중복 건")))</f>
        <v/>
      </c>
      <c r="J1750" s="11" t="str">
        <f aca="false">IF($A1750="","",IF($H1750="-","유지",IF($I1750="첫 건","유지","확인 필요")))</f>
        <v/>
      </c>
    </row>
    <row r="1751" customFormat="false" ht="15" hidden="false" customHeight="true" outlineLevel="0" collapsed="false">
      <c r="A1751" s="11" t="str">
        <f aca="false">IF(원본명단!$A1750="","",1748)</f>
        <v/>
      </c>
      <c r="B1751" s="12" t="str">
        <f aca="false">IF($A1751="","",원본명단!$A1750)</f>
        <v/>
      </c>
      <c r="C1751" s="12" t="str">
        <f aca="false">IF($A1751="","",원본명단!$B1750)</f>
        <v/>
      </c>
      <c r="D1751" s="12" t="str">
        <f aca="false">IF($A1751="","",원본명단!$D1750)</f>
        <v/>
      </c>
      <c r="E1751" s="11" t="str">
        <f aca="false">IF($A1751="","",IF(원본명단!$H1750="",0,COUNTIF(원본명단!$H$3:$H$6002,원본명단!$H1750)))</f>
        <v/>
      </c>
      <c r="F1751" s="11" t="str">
        <f aca="false">IF($A1751="","",IF(원본명단!$I1750="",0,COUNTIF(원본명단!$I$3:$I$6002,원본명단!$I1750)))</f>
        <v/>
      </c>
      <c r="G1751" s="11" t="str">
        <f aca="false">IF($A1751="","",IF(원본명단!$K1750="",0,COUNTIF(원본명단!$K$3:$K$6002,원본명단!$K1750)))</f>
        <v/>
      </c>
      <c r="H1751" s="11" t="str">
        <f aca="false">IF($A1751="","",IF(MAX($E1751,$F1751,$G1751)&gt;1,"중복","-"))</f>
        <v/>
      </c>
      <c r="I1751" s="11" t="str">
        <f aca="false">IF($A1751="","",IF($H1751="-","-",IF(AND(IF(원본명단!$H1750="",TRUE(),COUNTIF(원본명단!$H$3:$H1750,원본명단!$H1750)=1),IF(원본명단!$I1750="",TRUE(),COUNTIF(원본명단!$I$3:$I1750,원본명단!$I1750)=1),IF(원본명단!$K1750="",TRUE(),COUNTIF(원본명단!$K$3:$K1750,원본명단!$K1750)=1)),"첫 건","중복 건")))</f>
        <v/>
      </c>
      <c r="J1751" s="11" t="str">
        <f aca="false">IF($A1751="","",IF($H1751="-","유지",IF($I1751="첫 건","유지","확인 필요")))</f>
        <v/>
      </c>
    </row>
    <row r="1752" customFormat="false" ht="15" hidden="false" customHeight="true" outlineLevel="0" collapsed="false">
      <c r="A1752" s="11" t="str">
        <f aca="false">IF(원본명단!$A1751="","",1749)</f>
        <v/>
      </c>
      <c r="B1752" s="12" t="str">
        <f aca="false">IF($A1752="","",원본명단!$A1751)</f>
        <v/>
      </c>
      <c r="C1752" s="12" t="str">
        <f aca="false">IF($A1752="","",원본명단!$B1751)</f>
        <v/>
      </c>
      <c r="D1752" s="12" t="str">
        <f aca="false">IF($A1752="","",원본명단!$D1751)</f>
        <v/>
      </c>
      <c r="E1752" s="11" t="str">
        <f aca="false">IF($A1752="","",IF(원본명단!$H1751="",0,COUNTIF(원본명단!$H$3:$H$6002,원본명단!$H1751)))</f>
        <v/>
      </c>
      <c r="F1752" s="11" t="str">
        <f aca="false">IF($A1752="","",IF(원본명단!$I1751="",0,COUNTIF(원본명단!$I$3:$I$6002,원본명단!$I1751)))</f>
        <v/>
      </c>
      <c r="G1752" s="11" t="str">
        <f aca="false">IF($A1752="","",IF(원본명단!$K1751="",0,COUNTIF(원본명단!$K$3:$K$6002,원본명단!$K1751)))</f>
        <v/>
      </c>
      <c r="H1752" s="11" t="str">
        <f aca="false">IF($A1752="","",IF(MAX($E1752,$F1752,$G1752)&gt;1,"중복","-"))</f>
        <v/>
      </c>
      <c r="I1752" s="11" t="str">
        <f aca="false">IF($A1752="","",IF($H1752="-","-",IF(AND(IF(원본명단!$H1751="",TRUE(),COUNTIF(원본명단!$H$3:$H1751,원본명단!$H1751)=1),IF(원본명단!$I1751="",TRUE(),COUNTIF(원본명단!$I$3:$I1751,원본명단!$I1751)=1),IF(원본명단!$K1751="",TRUE(),COUNTIF(원본명단!$K$3:$K1751,원본명단!$K1751)=1)),"첫 건","중복 건")))</f>
        <v/>
      </c>
      <c r="J1752" s="11" t="str">
        <f aca="false">IF($A1752="","",IF($H1752="-","유지",IF($I1752="첫 건","유지","확인 필요")))</f>
        <v/>
      </c>
    </row>
    <row r="1753" customFormat="false" ht="15" hidden="false" customHeight="true" outlineLevel="0" collapsed="false">
      <c r="A1753" s="11" t="str">
        <f aca="false">IF(원본명단!$A1752="","",1750)</f>
        <v/>
      </c>
      <c r="B1753" s="12" t="str">
        <f aca="false">IF($A1753="","",원본명단!$A1752)</f>
        <v/>
      </c>
      <c r="C1753" s="12" t="str">
        <f aca="false">IF($A1753="","",원본명단!$B1752)</f>
        <v/>
      </c>
      <c r="D1753" s="12" t="str">
        <f aca="false">IF($A1753="","",원본명단!$D1752)</f>
        <v/>
      </c>
      <c r="E1753" s="11" t="str">
        <f aca="false">IF($A1753="","",IF(원본명단!$H1752="",0,COUNTIF(원본명단!$H$3:$H$6002,원본명단!$H1752)))</f>
        <v/>
      </c>
      <c r="F1753" s="11" t="str">
        <f aca="false">IF($A1753="","",IF(원본명단!$I1752="",0,COUNTIF(원본명단!$I$3:$I$6002,원본명단!$I1752)))</f>
        <v/>
      </c>
      <c r="G1753" s="11" t="str">
        <f aca="false">IF($A1753="","",IF(원본명단!$K1752="",0,COUNTIF(원본명단!$K$3:$K$6002,원본명단!$K1752)))</f>
        <v/>
      </c>
      <c r="H1753" s="11" t="str">
        <f aca="false">IF($A1753="","",IF(MAX($E1753,$F1753,$G1753)&gt;1,"중복","-"))</f>
        <v/>
      </c>
      <c r="I1753" s="11" t="str">
        <f aca="false">IF($A1753="","",IF($H1753="-","-",IF(AND(IF(원본명단!$H1752="",TRUE(),COUNTIF(원본명단!$H$3:$H1752,원본명단!$H1752)=1),IF(원본명단!$I1752="",TRUE(),COUNTIF(원본명단!$I$3:$I1752,원본명단!$I1752)=1),IF(원본명단!$K1752="",TRUE(),COUNTIF(원본명단!$K$3:$K1752,원본명단!$K1752)=1)),"첫 건","중복 건")))</f>
        <v/>
      </c>
      <c r="J1753" s="11" t="str">
        <f aca="false">IF($A1753="","",IF($H1753="-","유지",IF($I1753="첫 건","유지","확인 필요")))</f>
        <v/>
      </c>
    </row>
    <row r="1754" customFormat="false" ht="15" hidden="false" customHeight="true" outlineLevel="0" collapsed="false">
      <c r="A1754" s="11" t="str">
        <f aca="false">IF(원본명단!$A1753="","",1751)</f>
        <v/>
      </c>
      <c r="B1754" s="12" t="str">
        <f aca="false">IF($A1754="","",원본명단!$A1753)</f>
        <v/>
      </c>
      <c r="C1754" s="12" t="str">
        <f aca="false">IF($A1754="","",원본명단!$B1753)</f>
        <v/>
      </c>
      <c r="D1754" s="12" t="str">
        <f aca="false">IF($A1754="","",원본명단!$D1753)</f>
        <v/>
      </c>
      <c r="E1754" s="11" t="str">
        <f aca="false">IF($A1754="","",IF(원본명단!$H1753="",0,COUNTIF(원본명단!$H$3:$H$6002,원본명단!$H1753)))</f>
        <v/>
      </c>
      <c r="F1754" s="11" t="str">
        <f aca="false">IF($A1754="","",IF(원본명단!$I1753="",0,COUNTIF(원본명단!$I$3:$I$6002,원본명단!$I1753)))</f>
        <v/>
      </c>
      <c r="G1754" s="11" t="str">
        <f aca="false">IF($A1754="","",IF(원본명단!$K1753="",0,COUNTIF(원본명단!$K$3:$K$6002,원본명단!$K1753)))</f>
        <v/>
      </c>
      <c r="H1754" s="11" t="str">
        <f aca="false">IF($A1754="","",IF(MAX($E1754,$F1754,$G1754)&gt;1,"중복","-"))</f>
        <v/>
      </c>
      <c r="I1754" s="11" t="str">
        <f aca="false">IF($A1754="","",IF($H1754="-","-",IF(AND(IF(원본명단!$H1753="",TRUE(),COUNTIF(원본명단!$H$3:$H1753,원본명단!$H1753)=1),IF(원본명단!$I1753="",TRUE(),COUNTIF(원본명단!$I$3:$I1753,원본명단!$I1753)=1),IF(원본명단!$K1753="",TRUE(),COUNTIF(원본명단!$K$3:$K1753,원본명단!$K1753)=1)),"첫 건","중복 건")))</f>
        <v/>
      </c>
      <c r="J1754" s="11" t="str">
        <f aca="false">IF($A1754="","",IF($H1754="-","유지",IF($I1754="첫 건","유지","확인 필요")))</f>
        <v/>
      </c>
    </row>
    <row r="1755" customFormat="false" ht="15" hidden="false" customHeight="true" outlineLevel="0" collapsed="false">
      <c r="A1755" s="11" t="str">
        <f aca="false">IF(원본명단!$A1754="","",1752)</f>
        <v/>
      </c>
      <c r="B1755" s="12" t="str">
        <f aca="false">IF($A1755="","",원본명단!$A1754)</f>
        <v/>
      </c>
      <c r="C1755" s="12" t="str">
        <f aca="false">IF($A1755="","",원본명단!$B1754)</f>
        <v/>
      </c>
      <c r="D1755" s="12" t="str">
        <f aca="false">IF($A1755="","",원본명단!$D1754)</f>
        <v/>
      </c>
      <c r="E1755" s="11" t="str">
        <f aca="false">IF($A1755="","",IF(원본명단!$H1754="",0,COUNTIF(원본명단!$H$3:$H$6002,원본명단!$H1754)))</f>
        <v/>
      </c>
      <c r="F1755" s="11" t="str">
        <f aca="false">IF($A1755="","",IF(원본명단!$I1754="",0,COUNTIF(원본명단!$I$3:$I$6002,원본명단!$I1754)))</f>
        <v/>
      </c>
      <c r="G1755" s="11" t="str">
        <f aca="false">IF($A1755="","",IF(원본명단!$K1754="",0,COUNTIF(원본명단!$K$3:$K$6002,원본명단!$K1754)))</f>
        <v/>
      </c>
      <c r="H1755" s="11" t="str">
        <f aca="false">IF($A1755="","",IF(MAX($E1755,$F1755,$G1755)&gt;1,"중복","-"))</f>
        <v/>
      </c>
      <c r="I1755" s="11" t="str">
        <f aca="false">IF($A1755="","",IF($H1755="-","-",IF(AND(IF(원본명단!$H1754="",TRUE(),COUNTIF(원본명단!$H$3:$H1754,원본명단!$H1754)=1),IF(원본명단!$I1754="",TRUE(),COUNTIF(원본명단!$I$3:$I1754,원본명단!$I1754)=1),IF(원본명단!$K1754="",TRUE(),COUNTIF(원본명단!$K$3:$K1754,원본명단!$K1754)=1)),"첫 건","중복 건")))</f>
        <v/>
      </c>
      <c r="J1755" s="11" t="str">
        <f aca="false">IF($A1755="","",IF($H1755="-","유지",IF($I1755="첫 건","유지","확인 필요")))</f>
        <v/>
      </c>
    </row>
    <row r="1756" customFormat="false" ht="15" hidden="false" customHeight="true" outlineLevel="0" collapsed="false">
      <c r="A1756" s="11" t="str">
        <f aca="false">IF(원본명단!$A1755="","",1753)</f>
        <v/>
      </c>
      <c r="B1756" s="12" t="str">
        <f aca="false">IF($A1756="","",원본명단!$A1755)</f>
        <v/>
      </c>
      <c r="C1756" s="12" t="str">
        <f aca="false">IF($A1756="","",원본명단!$B1755)</f>
        <v/>
      </c>
      <c r="D1756" s="12" t="str">
        <f aca="false">IF($A1756="","",원본명단!$D1755)</f>
        <v/>
      </c>
      <c r="E1756" s="11" t="str">
        <f aca="false">IF($A1756="","",IF(원본명단!$H1755="",0,COUNTIF(원본명단!$H$3:$H$6002,원본명단!$H1755)))</f>
        <v/>
      </c>
      <c r="F1756" s="11" t="str">
        <f aca="false">IF($A1756="","",IF(원본명단!$I1755="",0,COUNTIF(원본명단!$I$3:$I$6002,원본명단!$I1755)))</f>
        <v/>
      </c>
      <c r="G1756" s="11" t="str">
        <f aca="false">IF($A1756="","",IF(원본명단!$K1755="",0,COUNTIF(원본명단!$K$3:$K$6002,원본명단!$K1755)))</f>
        <v/>
      </c>
      <c r="H1756" s="11" t="str">
        <f aca="false">IF($A1756="","",IF(MAX($E1756,$F1756,$G1756)&gt;1,"중복","-"))</f>
        <v/>
      </c>
      <c r="I1756" s="11" t="str">
        <f aca="false">IF($A1756="","",IF($H1756="-","-",IF(AND(IF(원본명단!$H1755="",TRUE(),COUNTIF(원본명단!$H$3:$H1755,원본명단!$H1755)=1),IF(원본명단!$I1755="",TRUE(),COUNTIF(원본명단!$I$3:$I1755,원본명단!$I1755)=1),IF(원본명단!$K1755="",TRUE(),COUNTIF(원본명단!$K$3:$K1755,원본명단!$K1755)=1)),"첫 건","중복 건")))</f>
        <v/>
      </c>
      <c r="J1756" s="11" t="str">
        <f aca="false">IF($A1756="","",IF($H1756="-","유지",IF($I1756="첫 건","유지","확인 필요")))</f>
        <v/>
      </c>
    </row>
    <row r="1757" customFormat="false" ht="15" hidden="false" customHeight="true" outlineLevel="0" collapsed="false">
      <c r="A1757" s="11" t="str">
        <f aca="false">IF(원본명단!$A1756="","",1754)</f>
        <v/>
      </c>
      <c r="B1757" s="12" t="str">
        <f aca="false">IF($A1757="","",원본명단!$A1756)</f>
        <v/>
      </c>
      <c r="C1757" s="12" t="str">
        <f aca="false">IF($A1757="","",원본명단!$B1756)</f>
        <v/>
      </c>
      <c r="D1757" s="12" t="str">
        <f aca="false">IF($A1757="","",원본명단!$D1756)</f>
        <v/>
      </c>
      <c r="E1757" s="11" t="str">
        <f aca="false">IF($A1757="","",IF(원본명단!$H1756="",0,COUNTIF(원본명단!$H$3:$H$6002,원본명단!$H1756)))</f>
        <v/>
      </c>
      <c r="F1757" s="11" t="str">
        <f aca="false">IF($A1757="","",IF(원본명단!$I1756="",0,COUNTIF(원본명단!$I$3:$I$6002,원본명단!$I1756)))</f>
        <v/>
      </c>
      <c r="G1757" s="11" t="str">
        <f aca="false">IF($A1757="","",IF(원본명단!$K1756="",0,COUNTIF(원본명단!$K$3:$K$6002,원본명단!$K1756)))</f>
        <v/>
      </c>
      <c r="H1757" s="11" t="str">
        <f aca="false">IF($A1757="","",IF(MAX($E1757,$F1757,$G1757)&gt;1,"중복","-"))</f>
        <v/>
      </c>
      <c r="I1757" s="11" t="str">
        <f aca="false">IF($A1757="","",IF($H1757="-","-",IF(AND(IF(원본명단!$H1756="",TRUE(),COUNTIF(원본명단!$H$3:$H1756,원본명단!$H1756)=1),IF(원본명단!$I1756="",TRUE(),COUNTIF(원본명단!$I$3:$I1756,원본명단!$I1756)=1),IF(원본명단!$K1756="",TRUE(),COUNTIF(원본명단!$K$3:$K1756,원본명단!$K1756)=1)),"첫 건","중복 건")))</f>
        <v/>
      </c>
      <c r="J1757" s="11" t="str">
        <f aca="false">IF($A1757="","",IF($H1757="-","유지",IF($I1757="첫 건","유지","확인 필요")))</f>
        <v/>
      </c>
    </row>
    <row r="1758" customFormat="false" ht="15" hidden="false" customHeight="true" outlineLevel="0" collapsed="false">
      <c r="A1758" s="11" t="str">
        <f aca="false">IF(원본명단!$A1757="","",1755)</f>
        <v/>
      </c>
      <c r="B1758" s="12" t="str">
        <f aca="false">IF($A1758="","",원본명단!$A1757)</f>
        <v/>
      </c>
      <c r="C1758" s="12" t="str">
        <f aca="false">IF($A1758="","",원본명단!$B1757)</f>
        <v/>
      </c>
      <c r="D1758" s="12" t="str">
        <f aca="false">IF($A1758="","",원본명단!$D1757)</f>
        <v/>
      </c>
      <c r="E1758" s="11" t="str">
        <f aca="false">IF($A1758="","",IF(원본명단!$H1757="",0,COUNTIF(원본명단!$H$3:$H$6002,원본명단!$H1757)))</f>
        <v/>
      </c>
      <c r="F1758" s="11" t="str">
        <f aca="false">IF($A1758="","",IF(원본명단!$I1757="",0,COUNTIF(원본명단!$I$3:$I$6002,원본명단!$I1757)))</f>
        <v/>
      </c>
      <c r="G1758" s="11" t="str">
        <f aca="false">IF($A1758="","",IF(원본명단!$K1757="",0,COUNTIF(원본명단!$K$3:$K$6002,원본명단!$K1757)))</f>
        <v/>
      </c>
      <c r="H1758" s="11" t="str">
        <f aca="false">IF($A1758="","",IF(MAX($E1758,$F1758,$G1758)&gt;1,"중복","-"))</f>
        <v/>
      </c>
      <c r="I1758" s="11" t="str">
        <f aca="false">IF($A1758="","",IF($H1758="-","-",IF(AND(IF(원본명단!$H1757="",TRUE(),COUNTIF(원본명단!$H$3:$H1757,원본명단!$H1757)=1),IF(원본명단!$I1757="",TRUE(),COUNTIF(원본명단!$I$3:$I1757,원본명단!$I1757)=1),IF(원본명단!$K1757="",TRUE(),COUNTIF(원본명단!$K$3:$K1757,원본명단!$K1757)=1)),"첫 건","중복 건")))</f>
        <v/>
      </c>
      <c r="J1758" s="11" t="str">
        <f aca="false">IF($A1758="","",IF($H1758="-","유지",IF($I1758="첫 건","유지","확인 필요")))</f>
        <v/>
      </c>
    </row>
    <row r="1759" customFormat="false" ht="15" hidden="false" customHeight="true" outlineLevel="0" collapsed="false">
      <c r="A1759" s="11" t="str">
        <f aca="false">IF(원본명단!$A1758="","",1756)</f>
        <v/>
      </c>
      <c r="B1759" s="12" t="str">
        <f aca="false">IF($A1759="","",원본명단!$A1758)</f>
        <v/>
      </c>
      <c r="C1759" s="12" t="str">
        <f aca="false">IF($A1759="","",원본명단!$B1758)</f>
        <v/>
      </c>
      <c r="D1759" s="12" t="str">
        <f aca="false">IF($A1759="","",원본명단!$D1758)</f>
        <v/>
      </c>
      <c r="E1759" s="11" t="str">
        <f aca="false">IF($A1759="","",IF(원본명단!$H1758="",0,COUNTIF(원본명단!$H$3:$H$6002,원본명단!$H1758)))</f>
        <v/>
      </c>
      <c r="F1759" s="11" t="str">
        <f aca="false">IF($A1759="","",IF(원본명단!$I1758="",0,COUNTIF(원본명단!$I$3:$I$6002,원본명단!$I1758)))</f>
        <v/>
      </c>
      <c r="G1759" s="11" t="str">
        <f aca="false">IF($A1759="","",IF(원본명단!$K1758="",0,COUNTIF(원본명단!$K$3:$K$6002,원본명단!$K1758)))</f>
        <v/>
      </c>
      <c r="H1759" s="11" t="str">
        <f aca="false">IF($A1759="","",IF(MAX($E1759,$F1759,$G1759)&gt;1,"중복","-"))</f>
        <v/>
      </c>
      <c r="I1759" s="11" t="str">
        <f aca="false">IF($A1759="","",IF($H1759="-","-",IF(AND(IF(원본명단!$H1758="",TRUE(),COUNTIF(원본명단!$H$3:$H1758,원본명단!$H1758)=1),IF(원본명단!$I1758="",TRUE(),COUNTIF(원본명단!$I$3:$I1758,원본명단!$I1758)=1),IF(원본명단!$K1758="",TRUE(),COUNTIF(원본명단!$K$3:$K1758,원본명단!$K1758)=1)),"첫 건","중복 건")))</f>
        <v/>
      </c>
      <c r="J1759" s="11" t="str">
        <f aca="false">IF($A1759="","",IF($H1759="-","유지",IF($I1759="첫 건","유지","확인 필요")))</f>
        <v/>
      </c>
    </row>
    <row r="1760" customFormat="false" ht="15" hidden="false" customHeight="true" outlineLevel="0" collapsed="false">
      <c r="A1760" s="11" t="str">
        <f aca="false">IF(원본명단!$A1759="","",1757)</f>
        <v/>
      </c>
      <c r="B1760" s="12" t="str">
        <f aca="false">IF($A1760="","",원본명단!$A1759)</f>
        <v/>
      </c>
      <c r="C1760" s="12" t="str">
        <f aca="false">IF($A1760="","",원본명단!$B1759)</f>
        <v/>
      </c>
      <c r="D1760" s="12" t="str">
        <f aca="false">IF($A1760="","",원본명단!$D1759)</f>
        <v/>
      </c>
      <c r="E1760" s="11" t="str">
        <f aca="false">IF($A1760="","",IF(원본명단!$H1759="",0,COUNTIF(원본명단!$H$3:$H$6002,원본명단!$H1759)))</f>
        <v/>
      </c>
      <c r="F1760" s="11" t="str">
        <f aca="false">IF($A1760="","",IF(원본명단!$I1759="",0,COUNTIF(원본명단!$I$3:$I$6002,원본명단!$I1759)))</f>
        <v/>
      </c>
      <c r="G1760" s="11" t="str">
        <f aca="false">IF($A1760="","",IF(원본명단!$K1759="",0,COUNTIF(원본명단!$K$3:$K$6002,원본명단!$K1759)))</f>
        <v/>
      </c>
      <c r="H1760" s="11" t="str">
        <f aca="false">IF($A1760="","",IF(MAX($E1760,$F1760,$G1760)&gt;1,"중복","-"))</f>
        <v/>
      </c>
      <c r="I1760" s="11" t="str">
        <f aca="false">IF($A1760="","",IF($H1760="-","-",IF(AND(IF(원본명단!$H1759="",TRUE(),COUNTIF(원본명단!$H$3:$H1759,원본명단!$H1759)=1),IF(원본명단!$I1759="",TRUE(),COUNTIF(원본명단!$I$3:$I1759,원본명단!$I1759)=1),IF(원본명단!$K1759="",TRUE(),COUNTIF(원본명단!$K$3:$K1759,원본명단!$K1759)=1)),"첫 건","중복 건")))</f>
        <v/>
      </c>
      <c r="J1760" s="11" t="str">
        <f aca="false">IF($A1760="","",IF($H1760="-","유지",IF($I1760="첫 건","유지","확인 필요")))</f>
        <v/>
      </c>
    </row>
    <row r="1761" customFormat="false" ht="15" hidden="false" customHeight="true" outlineLevel="0" collapsed="false">
      <c r="A1761" s="11" t="str">
        <f aca="false">IF(원본명단!$A1760="","",1758)</f>
        <v/>
      </c>
      <c r="B1761" s="12" t="str">
        <f aca="false">IF($A1761="","",원본명단!$A1760)</f>
        <v/>
      </c>
      <c r="C1761" s="12" t="str">
        <f aca="false">IF($A1761="","",원본명단!$B1760)</f>
        <v/>
      </c>
      <c r="D1761" s="12" t="str">
        <f aca="false">IF($A1761="","",원본명단!$D1760)</f>
        <v/>
      </c>
      <c r="E1761" s="11" t="str">
        <f aca="false">IF($A1761="","",IF(원본명단!$H1760="",0,COUNTIF(원본명단!$H$3:$H$6002,원본명단!$H1760)))</f>
        <v/>
      </c>
      <c r="F1761" s="11" t="str">
        <f aca="false">IF($A1761="","",IF(원본명단!$I1760="",0,COUNTIF(원본명단!$I$3:$I$6002,원본명단!$I1760)))</f>
        <v/>
      </c>
      <c r="G1761" s="11" t="str">
        <f aca="false">IF($A1761="","",IF(원본명단!$K1760="",0,COUNTIF(원본명단!$K$3:$K$6002,원본명단!$K1760)))</f>
        <v/>
      </c>
      <c r="H1761" s="11" t="str">
        <f aca="false">IF($A1761="","",IF(MAX($E1761,$F1761,$G1761)&gt;1,"중복","-"))</f>
        <v/>
      </c>
      <c r="I1761" s="11" t="str">
        <f aca="false">IF($A1761="","",IF($H1761="-","-",IF(AND(IF(원본명단!$H1760="",TRUE(),COUNTIF(원본명단!$H$3:$H1760,원본명단!$H1760)=1),IF(원본명단!$I1760="",TRUE(),COUNTIF(원본명단!$I$3:$I1760,원본명단!$I1760)=1),IF(원본명단!$K1760="",TRUE(),COUNTIF(원본명단!$K$3:$K1760,원본명단!$K1760)=1)),"첫 건","중복 건")))</f>
        <v/>
      </c>
      <c r="J1761" s="11" t="str">
        <f aca="false">IF($A1761="","",IF($H1761="-","유지",IF($I1761="첫 건","유지","확인 필요")))</f>
        <v/>
      </c>
    </row>
    <row r="1762" customFormat="false" ht="15" hidden="false" customHeight="true" outlineLevel="0" collapsed="false">
      <c r="A1762" s="11" t="str">
        <f aca="false">IF(원본명단!$A1761="","",1759)</f>
        <v/>
      </c>
      <c r="B1762" s="12" t="str">
        <f aca="false">IF($A1762="","",원본명단!$A1761)</f>
        <v/>
      </c>
      <c r="C1762" s="12" t="str">
        <f aca="false">IF($A1762="","",원본명단!$B1761)</f>
        <v/>
      </c>
      <c r="D1762" s="12" t="str">
        <f aca="false">IF($A1762="","",원본명단!$D1761)</f>
        <v/>
      </c>
      <c r="E1762" s="11" t="str">
        <f aca="false">IF($A1762="","",IF(원본명단!$H1761="",0,COUNTIF(원본명단!$H$3:$H$6002,원본명단!$H1761)))</f>
        <v/>
      </c>
      <c r="F1762" s="11" t="str">
        <f aca="false">IF($A1762="","",IF(원본명단!$I1761="",0,COUNTIF(원본명단!$I$3:$I$6002,원본명단!$I1761)))</f>
        <v/>
      </c>
      <c r="G1762" s="11" t="str">
        <f aca="false">IF($A1762="","",IF(원본명단!$K1761="",0,COUNTIF(원본명단!$K$3:$K$6002,원본명단!$K1761)))</f>
        <v/>
      </c>
      <c r="H1762" s="11" t="str">
        <f aca="false">IF($A1762="","",IF(MAX($E1762,$F1762,$G1762)&gt;1,"중복","-"))</f>
        <v/>
      </c>
      <c r="I1762" s="11" t="str">
        <f aca="false">IF($A1762="","",IF($H1762="-","-",IF(AND(IF(원본명단!$H1761="",TRUE(),COUNTIF(원본명단!$H$3:$H1761,원본명단!$H1761)=1),IF(원본명단!$I1761="",TRUE(),COUNTIF(원본명단!$I$3:$I1761,원본명단!$I1761)=1),IF(원본명단!$K1761="",TRUE(),COUNTIF(원본명단!$K$3:$K1761,원본명단!$K1761)=1)),"첫 건","중복 건")))</f>
        <v/>
      </c>
      <c r="J1762" s="11" t="str">
        <f aca="false">IF($A1762="","",IF($H1762="-","유지",IF($I1762="첫 건","유지","확인 필요")))</f>
        <v/>
      </c>
    </row>
    <row r="1763" customFormat="false" ht="15" hidden="false" customHeight="true" outlineLevel="0" collapsed="false">
      <c r="A1763" s="11" t="str">
        <f aca="false">IF(원본명단!$A1762="","",1760)</f>
        <v/>
      </c>
      <c r="B1763" s="12" t="str">
        <f aca="false">IF($A1763="","",원본명단!$A1762)</f>
        <v/>
      </c>
      <c r="C1763" s="12" t="str">
        <f aca="false">IF($A1763="","",원본명단!$B1762)</f>
        <v/>
      </c>
      <c r="D1763" s="12" t="str">
        <f aca="false">IF($A1763="","",원본명단!$D1762)</f>
        <v/>
      </c>
      <c r="E1763" s="11" t="str">
        <f aca="false">IF($A1763="","",IF(원본명단!$H1762="",0,COUNTIF(원본명단!$H$3:$H$6002,원본명단!$H1762)))</f>
        <v/>
      </c>
      <c r="F1763" s="11" t="str">
        <f aca="false">IF($A1763="","",IF(원본명단!$I1762="",0,COUNTIF(원본명단!$I$3:$I$6002,원본명단!$I1762)))</f>
        <v/>
      </c>
      <c r="G1763" s="11" t="str">
        <f aca="false">IF($A1763="","",IF(원본명단!$K1762="",0,COUNTIF(원본명단!$K$3:$K$6002,원본명단!$K1762)))</f>
        <v/>
      </c>
      <c r="H1763" s="11" t="str">
        <f aca="false">IF($A1763="","",IF(MAX($E1763,$F1763,$G1763)&gt;1,"중복","-"))</f>
        <v/>
      </c>
      <c r="I1763" s="11" t="str">
        <f aca="false">IF($A1763="","",IF($H1763="-","-",IF(AND(IF(원본명단!$H1762="",TRUE(),COUNTIF(원본명단!$H$3:$H1762,원본명단!$H1762)=1),IF(원본명단!$I1762="",TRUE(),COUNTIF(원본명단!$I$3:$I1762,원본명단!$I1762)=1),IF(원본명단!$K1762="",TRUE(),COUNTIF(원본명단!$K$3:$K1762,원본명단!$K1762)=1)),"첫 건","중복 건")))</f>
        <v/>
      </c>
      <c r="J1763" s="11" t="str">
        <f aca="false">IF($A1763="","",IF($H1763="-","유지",IF($I1763="첫 건","유지","확인 필요")))</f>
        <v/>
      </c>
    </row>
    <row r="1764" customFormat="false" ht="15" hidden="false" customHeight="true" outlineLevel="0" collapsed="false">
      <c r="A1764" s="11" t="str">
        <f aca="false">IF(원본명단!$A1763="","",1761)</f>
        <v/>
      </c>
      <c r="B1764" s="12" t="str">
        <f aca="false">IF($A1764="","",원본명단!$A1763)</f>
        <v/>
      </c>
      <c r="C1764" s="12" t="str">
        <f aca="false">IF($A1764="","",원본명단!$B1763)</f>
        <v/>
      </c>
      <c r="D1764" s="12" t="str">
        <f aca="false">IF($A1764="","",원본명단!$D1763)</f>
        <v/>
      </c>
      <c r="E1764" s="11" t="str">
        <f aca="false">IF($A1764="","",IF(원본명단!$H1763="",0,COUNTIF(원본명단!$H$3:$H$6002,원본명단!$H1763)))</f>
        <v/>
      </c>
      <c r="F1764" s="11" t="str">
        <f aca="false">IF($A1764="","",IF(원본명단!$I1763="",0,COUNTIF(원본명단!$I$3:$I$6002,원본명단!$I1763)))</f>
        <v/>
      </c>
      <c r="G1764" s="11" t="str">
        <f aca="false">IF($A1764="","",IF(원본명단!$K1763="",0,COUNTIF(원본명단!$K$3:$K$6002,원본명단!$K1763)))</f>
        <v/>
      </c>
      <c r="H1764" s="11" t="str">
        <f aca="false">IF($A1764="","",IF(MAX($E1764,$F1764,$G1764)&gt;1,"중복","-"))</f>
        <v/>
      </c>
      <c r="I1764" s="11" t="str">
        <f aca="false">IF($A1764="","",IF($H1764="-","-",IF(AND(IF(원본명단!$H1763="",TRUE(),COUNTIF(원본명단!$H$3:$H1763,원본명단!$H1763)=1),IF(원본명단!$I1763="",TRUE(),COUNTIF(원본명단!$I$3:$I1763,원본명단!$I1763)=1),IF(원본명단!$K1763="",TRUE(),COUNTIF(원본명단!$K$3:$K1763,원본명단!$K1763)=1)),"첫 건","중복 건")))</f>
        <v/>
      </c>
      <c r="J1764" s="11" t="str">
        <f aca="false">IF($A1764="","",IF($H1764="-","유지",IF($I1764="첫 건","유지","확인 필요")))</f>
        <v/>
      </c>
    </row>
    <row r="1765" customFormat="false" ht="15" hidden="false" customHeight="true" outlineLevel="0" collapsed="false">
      <c r="A1765" s="11" t="str">
        <f aca="false">IF(원본명단!$A1764="","",1762)</f>
        <v/>
      </c>
      <c r="B1765" s="12" t="str">
        <f aca="false">IF($A1765="","",원본명단!$A1764)</f>
        <v/>
      </c>
      <c r="C1765" s="12" t="str">
        <f aca="false">IF($A1765="","",원본명단!$B1764)</f>
        <v/>
      </c>
      <c r="D1765" s="12" t="str">
        <f aca="false">IF($A1765="","",원본명단!$D1764)</f>
        <v/>
      </c>
      <c r="E1765" s="11" t="str">
        <f aca="false">IF($A1765="","",IF(원본명단!$H1764="",0,COUNTIF(원본명단!$H$3:$H$6002,원본명단!$H1764)))</f>
        <v/>
      </c>
      <c r="F1765" s="11" t="str">
        <f aca="false">IF($A1765="","",IF(원본명단!$I1764="",0,COUNTIF(원본명단!$I$3:$I$6002,원본명단!$I1764)))</f>
        <v/>
      </c>
      <c r="G1765" s="11" t="str">
        <f aca="false">IF($A1765="","",IF(원본명단!$K1764="",0,COUNTIF(원본명단!$K$3:$K$6002,원본명단!$K1764)))</f>
        <v/>
      </c>
      <c r="H1765" s="11" t="str">
        <f aca="false">IF($A1765="","",IF(MAX($E1765,$F1765,$G1765)&gt;1,"중복","-"))</f>
        <v/>
      </c>
      <c r="I1765" s="11" t="str">
        <f aca="false">IF($A1765="","",IF($H1765="-","-",IF(AND(IF(원본명단!$H1764="",TRUE(),COUNTIF(원본명단!$H$3:$H1764,원본명단!$H1764)=1),IF(원본명단!$I1764="",TRUE(),COUNTIF(원본명단!$I$3:$I1764,원본명단!$I1764)=1),IF(원본명단!$K1764="",TRUE(),COUNTIF(원본명단!$K$3:$K1764,원본명단!$K1764)=1)),"첫 건","중복 건")))</f>
        <v/>
      </c>
      <c r="J1765" s="11" t="str">
        <f aca="false">IF($A1765="","",IF($H1765="-","유지",IF($I1765="첫 건","유지","확인 필요")))</f>
        <v/>
      </c>
    </row>
    <row r="1766" customFormat="false" ht="15" hidden="false" customHeight="true" outlineLevel="0" collapsed="false">
      <c r="A1766" s="11" t="str">
        <f aca="false">IF(원본명단!$A1765="","",1763)</f>
        <v/>
      </c>
      <c r="B1766" s="12" t="str">
        <f aca="false">IF($A1766="","",원본명단!$A1765)</f>
        <v/>
      </c>
      <c r="C1766" s="12" t="str">
        <f aca="false">IF($A1766="","",원본명단!$B1765)</f>
        <v/>
      </c>
      <c r="D1766" s="12" t="str">
        <f aca="false">IF($A1766="","",원본명단!$D1765)</f>
        <v/>
      </c>
      <c r="E1766" s="11" t="str">
        <f aca="false">IF($A1766="","",IF(원본명단!$H1765="",0,COUNTIF(원본명단!$H$3:$H$6002,원본명단!$H1765)))</f>
        <v/>
      </c>
      <c r="F1766" s="11" t="str">
        <f aca="false">IF($A1766="","",IF(원본명단!$I1765="",0,COUNTIF(원본명단!$I$3:$I$6002,원본명단!$I1765)))</f>
        <v/>
      </c>
      <c r="G1766" s="11" t="str">
        <f aca="false">IF($A1766="","",IF(원본명단!$K1765="",0,COUNTIF(원본명단!$K$3:$K$6002,원본명단!$K1765)))</f>
        <v/>
      </c>
      <c r="H1766" s="11" t="str">
        <f aca="false">IF($A1766="","",IF(MAX($E1766,$F1766,$G1766)&gt;1,"중복","-"))</f>
        <v/>
      </c>
      <c r="I1766" s="11" t="str">
        <f aca="false">IF($A1766="","",IF($H1766="-","-",IF(AND(IF(원본명단!$H1765="",TRUE(),COUNTIF(원본명단!$H$3:$H1765,원본명단!$H1765)=1),IF(원본명단!$I1765="",TRUE(),COUNTIF(원본명단!$I$3:$I1765,원본명단!$I1765)=1),IF(원본명단!$K1765="",TRUE(),COUNTIF(원본명단!$K$3:$K1765,원본명단!$K1765)=1)),"첫 건","중복 건")))</f>
        <v/>
      </c>
      <c r="J1766" s="11" t="str">
        <f aca="false">IF($A1766="","",IF($H1766="-","유지",IF($I1766="첫 건","유지","확인 필요")))</f>
        <v/>
      </c>
    </row>
    <row r="1767" customFormat="false" ht="15" hidden="false" customHeight="true" outlineLevel="0" collapsed="false">
      <c r="A1767" s="11" t="str">
        <f aca="false">IF(원본명단!$A1766="","",1764)</f>
        <v/>
      </c>
      <c r="B1767" s="12" t="str">
        <f aca="false">IF($A1767="","",원본명단!$A1766)</f>
        <v/>
      </c>
      <c r="C1767" s="12" t="str">
        <f aca="false">IF($A1767="","",원본명단!$B1766)</f>
        <v/>
      </c>
      <c r="D1767" s="12" t="str">
        <f aca="false">IF($A1767="","",원본명단!$D1766)</f>
        <v/>
      </c>
      <c r="E1767" s="11" t="str">
        <f aca="false">IF($A1767="","",IF(원본명단!$H1766="",0,COUNTIF(원본명단!$H$3:$H$6002,원본명단!$H1766)))</f>
        <v/>
      </c>
      <c r="F1767" s="11" t="str">
        <f aca="false">IF($A1767="","",IF(원본명단!$I1766="",0,COUNTIF(원본명단!$I$3:$I$6002,원본명단!$I1766)))</f>
        <v/>
      </c>
      <c r="G1767" s="11" t="str">
        <f aca="false">IF($A1767="","",IF(원본명단!$K1766="",0,COUNTIF(원본명단!$K$3:$K$6002,원본명단!$K1766)))</f>
        <v/>
      </c>
      <c r="H1767" s="11" t="str">
        <f aca="false">IF($A1767="","",IF(MAX($E1767,$F1767,$G1767)&gt;1,"중복","-"))</f>
        <v/>
      </c>
      <c r="I1767" s="11" t="str">
        <f aca="false">IF($A1767="","",IF($H1767="-","-",IF(AND(IF(원본명단!$H1766="",TRUE(),COUNTIF(원본명단!$H$3:$H1766,원본명단!$H1766)=1),IF(원본명단!$I1766="",TRUE(),COUNTIF(원본명단!$I$3:$I1766,원본명단!$I1766)=1),IF(원본명단!$K1766="",TRUE(),COUNTIF(원본명단!$K$3:$K1766,원본명단!$K1766)=1)),"첫 건","중복 건")))</f>
        <v/>
      </c>
      <c r="J1767" s="11" t="str">
        <f aca="false">IF($A1767="","",IF($H1767="-","유지",IF($I1767="첫 건","유지","확인 필요")))</f>
        <v/>
      </c>
    </row>
    <row r="1768" customFormat="false" ht="15" hidden="false" customHeight="true" outlineLevel="0" collapsed="false">
      <c r="A1768" s="11" t="str">
        <f aca="false">IF(원본명단!$A1767="","",1765)</f>
        <v/>
      </c>
      <c r="B1768" s="12" t="str">
        <f aca="false">IF($A1768="","",원본명단!$A1767)</f>
        <v/>
      </c>
      <c r="C1768" s="12" t="str">
        <f aca="false">IF($A1768="","",원본명단!$B1767)</f>
        <v/>
      </c>
      <c r="D1768" s="12" t="str">
        <f aca="false">IF($A1768="","",원본명단!$D1767)</f>
        <v/>
      </c>
      <c r="E1768" s="11" t="str">
        <f aca="false">IF($A1768="","",IF(원본명단!$H1767="",0,COUNTIF(원본명단!$H$3:$H$6002,원본명단!$H1767)))</f>
        <v/>
      </c>
      <c r="F1768" s="11" t="str">
        <f aca="false">IF($A1768="","",IF(원본명단!$I1767="",0,COUNTIF(원본명단!$I$3:$I$6002,원본명단!$I1767)))</f>
        <v/>
      </c>
      <c r="G1768" s="11" t="str">
        <f aca="false">IF($A1768="","",IF(원본명단!$K1767="",0,COUNTIF(원본명단!$K$3:$K$6002,원본명단!$K1767)))</f>
        <v/>
      </c>
      <c r="H1768" s="11" t="str">
        <f aca="false">IF($A1768="","",IF(MAX($E1768,$F1768,$G1768)&gt;1,"중복","-"))</f>
        <v/>
      </c>
      <c r="I1768" s="11" t="str">
        <f aca="false">IF($A1768="","",IF($H1768="-","-",IF(AND(IF(원본명단!$H1767="",TRUE(),COUNTIF(원본명단!$H$3:$H1767,원본명단!$H1767)=1),IF(원본명단!$I1767="",TRUE(),COUNTIF(원본명단!$I$3:$I1767,원본명단!$I1767)=1),IF(원본명단!$K1767="",TRUE(),COUNTIF(원본명단!$K$3:$K1767,원본명단!$K1767)=1)),"첫 건","중복 건")))</f>
        <v/>
      </c>
      <c r="J1768" s="11" t="str">
        <f aca="false">IF($A1768="","",IF($H1768="-","유지",IF($I1768="첫 건","유지","확인 필요")))</f>
        <v/>
      </c>
    </row>
    <row r="1769" customFormat="false" ht="15" hidden="false" customHeight="true" outlineLevel="0" collapsed="false">
      <c r="A1769" s="11" t="str">
        <f aca="false">IF(원본명단!$A1768="","",1766)</f>
        <v/>
      </c>
      <c r="B1769" s="12" t="str">
        <f aca="false">IF($A1769="","",원본명단!$A1768)</f>
        <v/>
      </c>
      <c r="C1769" s="12" t="str">
        <f aca="false">IF($A1769="","",원본명단!$B1768)</f>
        <v/>
      </c>
      <c r="D1769" s="12" t="str">
        <f aca="false">IF($A1769="","",원본명단!$D1768)</f>
        <v/>
      </c>
      <c r="E1769" s="11" t="str">
        <f aca="false">IF($A1769="","",IF(원본명단!$H1768="",0,COUNTIF(원본명단!$H$3:$H$6002,원본명단!$H1768)))</f>
        <v/>
      </c>
      <c r="F1769" s="11" t="str">
        <f aca="false">IF($A1769="","",IF(원본명단!$I1768="",0,COUNTIF(원본명단!$I$3:$I$6002,원본명단!$I1768)))</f>
        <v/>
      </c>
      <c r="G1769" s="11" t="str">
        <f aca="false">IF($A1769="","",IF(원본명단!$K1768="",0,COUNTIF(원본명단!$K$3:$K$6002,원본명단!$K1768)))</f>
        <v/>
      </c>
      <c r="H1769" s="11" t="str">
        <f aca="false">IF($A1769="","",IF(MAX($E1769,$F1769,$G1769)&gt;1,"중복","-"))</f>
        <v/>
      </c>
      <c r="I1769" s="11" t="str">
        <f aca="false">IF($A1769="","",IF($H1769="-","-",IF(AND(IF(원본명단!$H1768="",TRUE(),COUNTIF(원본명단!$H$3:$H1768,원본명단!$H1768)=1),IF(원본명단!$I1768="",TRUE(),COUNTIF(원본명단!$I$3:$I1768,원본명단!$I1768)=1),IF(원본명단!$K1768="",TRUE(),COUNTIF(원본명단!$K$3:$K1768,원본명단!$K1768)=1)),"첫 건","중복 건")))</f>
        <v/>
      </c>
      <c r="J1769" s="11" t="str">
        <f aca="false">IF($A1769="","",IF($H1769="-","유지",IF($I1769="첫 건","유지","확인 필요")))</f>
        <v/>
      </c>
    </row>
    <row r="1770" customFormat="false" ht="15" hidden="false" customHeight="true" outlineLevel="0" collapsed="false">
      <c r="A1770" s="11" t="str">
        <f aca="false">IF(원본명단!$A1769="","",1767)</f>
        <v/>
      </c>
      <c r="B1770" s="12" t="str">
        <f aca="false">IF($A1770="","",원본명단!$A1769)</f>
        <v/>
      </c>
      <c r="C1770" s="12" t="str">
        <f aca="false">IF($A1770="","",원본명단!$B1769)</f>
        <v/>
      </c>
      <c r="D1770" s="12" t="str">
        <f aca="false">IF($A1770="","",원본명단!$D1769)</f>
        <v/>
      </c>
      <c r="E1770" s="11" t="str">
        <f aca="false">IF($A1770="","",IF(원본명단!$H1769="",0,COUNTIF(원본명단!$H$3:$H$6002,원본명단!$H1769)))</f>
        <v/>
      </c>
      <c r="F1770" s="11" t="str">
        <f aca="false">IF($A1770="","",IF(원본명단!$I1769="",0,COUNTIF(원본명단!$I$3:$I$6002,원본명단!$I1769)))</f>
        <v/>
      </c>
      <c r="G1770" s="11" t="str">
        <f aca="false">IF($A1770="","",IF(원본명단!$K1769="",0,COUNTIF(원본명단!$K$3:$K$6002,원본명단!$K1769)))</f>
        <v/>
      </c>
      <c r="H1770" s="11" t="str">
        <f aca="false">IF($A1770="","",IF(MAX($E1770,$F1770,$G1770)&gt;1,"중복","-"))</f>
        <v/>
      </c>
      <c r="I1770" s="11" t="str">
        <f aca="false">IF($A1770="","",IF($H1770="-","-",IF(AND(IF(원본명단!$H1769="",TRUE(),COUNTIF(원본명단!$H$3:$H1769,원본명단!$H1769)=1),IF(원본명단!$I1769="",TRUE(),COUNTIF(원본명단!$I$3:$I1769,원본명단!$I1769)=1),IF(원본명단!$K1769="",TRUE(),COUNTIF(원본명단!$K$3:$K1769,원본명단!$K1769)=1)),"첫 건","중복 건")))</f>
        <v/>
      </c>
      <c r="J1770" s="11" t="str">
        <f aca="false">IF($A1770="","",IF($H1770="-","유지",IF($I1770="첫 건","유지","확인 필요")))</f>
        <v/>
      </c>
    </row>
    <row r="1771" customFormat="false" ht="15" hidden="false" customHeight="true" outlineLevel="0" collapsed="false">
      <c r="A1771" s="11" t="str">
        <f aca="false">IF(원본명단!$A1770="","",1768)</f>
        <v/>
      </c>
      <c r="B1771" s="12" t="str">
        <f aca="false">IF($A1771="","",원본명단!$A1770)</f>
        <v/>
      </c>
      <c r="C1771" s="12" t="str">
        <f aca="false">IF($A1771="","",원본명단!$B1770)</f>
        <v/>
      </c>
      <c r="D1771" s="12" t="str">
        <f aca="false">IF($A1771="","",원본명단!$D1770)</f>
        <v/>
      </c>
      <c r="E1771" s="11" t="str">
        <f aca="false">IF($A1771="","",IF(원본명단!$H1770="",0,COUNTIF(원본명단!$H$3:$H$6002,원본명단!$H1770)))</f>
        <v/>
      </c>
      <c r="F1771" s="11" t="str">
        <f aca="false">IF($A1771="","",IF(원본명단!$I1770="",0,COUNTIF(원본명단!$I$3:$I$6002,원본명단!$I1770)))</f>
        <v/>
      </c>
      <c r="G1771" s="11" t="str">
        <f aca="false">IF($A1771="","",IF(원본명단!$K1770="",0,COUNTIF(원본명단!$K$3:$K$6002,원본명단!$K1770)))</f>
        <v/>
      </c>
      <c r="H1771" s="11" t="str">
        <f aca="false">IF($A1771="","",IF(MAX($E1771,$F1771,$G1771)&gt;1,"중복","-"))</f>
        <v/>
      </c>
      <c r="I1771" s="11" t="str">
        <f aca="false">IF($A1771="","",IF($H1771="-","-",IF(AND(IF(원본명단!$H1770="",TRUE(),COUNTIF(원본명단!$H$3:$H1770,원본명단!$H1770)=1),IF(원본명단!$I1770="",TRUE(),COUNTIF(원본명단!$I$3:$I1770,원본명단!$I1770)=1),IF(원본명단!$K1770="",TRUE(),COUNTIF(원본명단!$K$3:$K1770,원본명단!$K1770)=1)),"첫 건","중복 건")))</f>
        <v/>
      </c>
      <c r="J1771" s="11" t="str">
        <f aca="false">IF($A1771="","",IF($H1771="-","유지",IF($I1771="첫 건","유지","확인 필요")))</f>
        <v/>
      </c>
    </row>
    <row r="1772" customFormat="false" ht="15" hidden="false" customHeight="true" outlineLevel="0" collapsed="false">
      <c r="A1772" s="11" t="str">
        <f aca="false">IF(원본명단!$A1771="","",1769)</f>
        <v/>
      </c>
      <c r="B1772" s="12" t="str">
        <f aca="false">IF($A1772="","",원본명단!$A1771)</f>
        <v/>
      </c>
      <c r="C1772" s="12" t="str">
        <f aca="false">IF($A1772="","",원본명단!$B1771)</f>
        <v/>
      </c>
      <c r="D1772" s="12" t="str">
        <f aca="false">IF($A1772="","",원본명단!$D1771)</f>
        <v/>
      </c>
      <c r="E1772" s="11" t="str">
        <f aca="false">IF($A1772="","",IF(원본명단!$H1771="",0,COUNTIF(원본명단!$H$3:$H$6002,원본명단!$H1771)))</f>
        <v/>
      </c>
      <c r="F1772" s="11" t="str">
        <f aca="false">IF($A1772="","",IF(원본명단!$I1771="",0,COUNTIF(원본명단!$I$3:$I$6002,원본명단!$I1771)))</f>
        <v/>
      </c>
      <c r="G1772" s="11" t="str">
        <f aca="false">IF($A1772="","",IF(원본명단!$K1771="",0,COUNTIF(원본명단!$K$3:$K$6002,원본명단!$K1771)))</f>
        <v/>
      </c>
      <c r="H1772" s="11" t="str">
        <f aca="false">IF($A1772="","",IF(MAX($E1772,$F1772,$G1772)&gt;1,"중복","-"))</f>
        <v/>
      </c>
      <c r="I1772" s="11" t="str">
        <f aca="false">IF($A1772="","",IF($H1772="-","-",IF(AND(IF(원본명단!$H1771="",TRUE(),COUNTIF(원본명단!$H$3:$H1771,원본명단!$H1771)=1),IF(원본명단!$I1771="",TRUE(),COUNTIF(원본명단!$I$3:$I1771,원본명단!$I1771)=1),IF(원본명단!$K1771="",TRUE(),COUNTIF(원본명단!$K$3:$K1771,원본명단!$K1771)=1)),"첫 건","중복 건")))</f>
        <v/>
      </c>
      <c r="J1772" s="11" t="str">
        <f aca="false">IF($A1772="","",IF($H1772="-","유지",IF($I1772="첫 건","유지","확인 필요")))</f>
        <v/>
      </c>
    </row>
    <row r="1773" customFormat="false" ht="15" hidden="false" customHeight="true" outlineLevel="0" collapsed="false">
      <c r="A1773" s="11" t="str">
        <f aca="false">IF(원본명단!$A1772="","",1770)</f>
        <v/>
      </c>
      <c r="B1773" s="12" t="str">
        <f aca="false">IF($A1773="","",원본명단!$A1772)</f>
        <v/>
      </c>
      <c r="C1773" s="12" t="str">
        <f aca="false">IF($A1773="","",원본명단!$B1772)</f>
        <v/>
      </c>
      <c r="D1773" s="12" t="str">
        <f aca="false">IF($A1773="","",원본명단!$D1772)</f>
        <v/>
      </c>
      <c r="E1773" s="11" t="str">
        <f aca="false">IF($A1773="","",IF(원본명단!$H1772="",0,COUNTIF(원본명단!$H$3:$H$6002,원본명단!$H1772)))</f>
        <v/>
      </c>
      <c r="F1773" s="11" t="str">
        <f aca="false">IF($A1773="","",IF(원본명단!$I1772="",0,COUNTIF(원본명단!$I$3:$I$6002,원본명단!$I1772)))</f>
        <v/>
      </c>
      <c r="G1773" s="11" t="str">
        <f aca="false">IF($A1773="","",IF(원본명단!$K1772="",0,COUNTIF(원본명단!$K$3:$K$6002,원본명단!$K1772)))</f>
        <v/>
      </c>
      <c r="H1773" s="11" t="str">
        <f aca="false">IF($A1773="","",IF(MAX($E1773,$F1773,$G1773)&gt;1,"중복","-"))</f>
        <v/>
      </c>
      <c r="I1773" s="11" t="str">
        <f aca="false">IF($A1773="","",IF($H1773="-","-",IF(AND(IF(원본명단!$H1772="",TRUE(),COUNTIF(원본명단!$H$3:$H1772,원본명단!$H1772)=1),IF(원본명단!$I1772="",TRUE(),COUNTIF(원본명단!$I$3:$I1772,원본명단!$I1772)=1),IF(원본명단!$K1772="",TRUE(),COUNTIF(원본명단!$K$3:$K1772,원본명단!$K1772)=1)),"첫 건","중복 건")))</f>
        <v/>
      </c>
      <c r="J1773" s="11" t="str">
        <f aca="false">IF($A1773="","",IF($H1773="-","유지",IF($I1773="첫 건","유지","확인 필요")))</f>
        <v/>
      </c>
    </row>
    <row r="1774" customFormat="false" ht="15" hidden="false" customHeight="true" outlineLevel="0" collapsed="false">
      <c r="A1774" s="11" t="str">
        <f aca="false">IF(원본명단!$A1773="","",1771)</f>
        <v/>
      </c>
      <c r="B1774" s="12" t="str">
        <f aca="false">IF($A1774="","",원본명단!$A1773)</f>
        <v/>
      </c>
      <c r="C1774" s="12" t="str">
        <f aca="false">IF($A1774="","",원본명단!$B1773)</f>
        <v/>
      </c>
      <c r="D1774" s="12" t="str">
        <f aca="false">IF($A1774="","",원본명단!$D1773)</f>
        <v/>
      </c>
      <c r="E1774" s="11" t="str">
        <f aca="false">IF($A1774="","",IF(원본명단!$H1773="",0,COUNTIF(원본명단!$H$3:$H$6002,원본명단!$H1773)))</f>
        <v/>
      </c>
      <c r="F1774" s="11" t="str">
        <f aca="false">IF($A1774="","",IF(원본명단!$I1773="",0,COUNTIF(원본명단!$I$3:$I$6002,원본명단!$I1773)))</f>
        <v/>
      </c>
      <c r="G1774" s="11" t="str">
        <f aca="false">IF($A1774="","",IF(원본명단!$K1773="",0,COUNTIF(원본명단!$K$3:$K$6002,원본명단!$K1773)))</f>
        <v/>
      </c>
      <c r="H1774" s="11" t="str">
        <f aca="false">IF($A1774="","",IF(MAX($E1774,$F1774,$G1774)&gt;1,"중복","-"))</f>
        <v/>
      </c>
      <c r="I1774" s="11" t="str">
        <f aca="false">IF($A1774="","",IF($H1774="-","-",IF(AND(IF(원본명단!$H1773="",TRUE(),COUNTIF(원본명단!$H$3:$H1773,원본명단!$H1773)=1),IF(원본명단!$I1773="",TRUE(),COUNTIF(원본명단!$I$3:$I1773,원본명단!$I1773)=1),IF(원본명단!$K1773="",TRUE(),COUNTIF(원본명단!$K$3:$K1773,원본명단!$K1773)=1)),"첫 건","중복 건")))</f>
        <v/>
      </c>
      <c r="J1774" s="11" t="str">
        <f aca="false">IF($A1774="","",IF($H1774="-","유지",IF($I1774="첫 건","유지","확인 필요")))</f>
        <v/>
      </c>
    </row>
    <row r="1775" customFormat="false" ht="15" hidden="false" customHeight="true" outlineLevel="0" collapsed="false">
      <c r="A1775" s="11" t="str">
        <f aca="false">IF(원본명단!$A1774="","",1772)</f>
        <v/>
      </c>
      <c r="B1775" s="12" t="str">
        <f aca="false">IF($A1775="","",원본명단!$A1774)</f>
        <v/>
      </c>
      <c r="C1775" s="12" t="str">
        <f aca="false">IF($A1775="","",원본명단!$B1774)</f>
        <v/>
      </c>
      <c r="D1775" s="12" t="str">
        <f aca="false">IF($A1775="","",원본명단!$D1774)</f>
        <v/>
      </c>
      <c r="E1775" s="11" t="str">
        <f aca="false">IF($A1775="","",IF(원본명단!$H1774="",0,COUNTIF(원본명단!$H$3:$H$6002,원본명단!$H1774)))</f>
        <v/>
      </c>
      <c r="F1775" s="11" t="str">
        <f aca="false">IF($A1775="","",IF(원본명단!$I1774="",0,COUNTIF(원본명단!$I$3:$I$6002,원본명단!$I1774)))</f>
        <v/>
      </c>
      <c r="G1775" s="11" t="str">
        <f aca="false">IF($A1775="","",IF(원본명단!$K1774="",0,COUNTIF(원본명단!$K$3:$K$6002,원본명단!$K1774)))</f>
        <v/>
      </c>
      <c r="H1775" s="11" t="str">
        <f aca="false">IF($A1775="","",IF(MAX($E1775,$F1775,$G1775)&gt;1,"중복","-"))</f>
        <v/>
      </c>
      <c r="I1775" s="11" t="str">
        <f aca="false">IF($A1775="","",IF($H1775="-","-",IF(AND(IF(원본명단!$H1774="",TRUE(),COUNTIF(원본명단!$H$3:$H1774,원본명단!$H1774)=1),IF(원본명단!$I1774="",TRUE(),COUNTIF(원본명단!$I$3:$I1774,원본명단!$I1774)=1),IF(원본명단!$K1774="",TRUE(),COUNTIF(원본명단!$K$3:$K1774,원본명단!$K1774)=1)),"첫 건","중복 건")))</f>
        <v/>
      </c>
      <c r="J1775" s="11" t="str">
        <f aca="false">IF($A1775="","",IF($H1775="-","유지",IF($I1775="첫 건","유지","확인 필요")))</f>
        <v/>
      </c>
    </row>
    <row r="1776" customFormat="false" ht="15" hidden="false" customHeight="true" outlineLevel="0" collapsed="false">
      <c r="A1776" s="11" t="str">
        <f aca="false">IF(원본명단!$A1775="","",1773)</f>
        <v/>
      </c>
      <c r="B1776" s="12" t="str">
        <f aca="false">IF($A1776="","",원본명단!$A1775)</f>
        <v/>
      </c>
      <c r="C1776" s="12" t="str">
        <f aca="false">IF($A1776="","",원본명단!$B1775)</f>
        <v/>
      </c>
      <c r="D1776" s="12" t="str">
        <f aca="false">IF($A1776="","",원본명단!$D1775)</f>
        <v/>
      </c>
      <c r="E1776" s="11" t="str">
        <f aca="false">IF($A1776="","",IF(원본명단!$H1775="",0,COUNTIF(원본명단!$H$3:$H$6002,원본명단!$H1775)))</f>
        <v/>
      </c>
      <c r="F1776" s="11" t="str">
        <f aca="false">IF($A1776="","",IF(원본명단!$I1775="",0,COUNTIF(원본명단!$I$3:$I$6002,원본명단!$I1775)))</f>
        <v/>
      </c>
      <c r="G1776" s="11" t="str">
        <f aca="false">IF($A1776="","",IF(원본명단!$K1775="",0,COUNTIF(원본명단!$K$3:$K$6002,원본명단!$K1775)))</f>
        <v/>
      </c>
      <c r="H1776" s="11" t="str">
        <f aca="false">IF($A1776="","",IF(MAX($E1776,$F1776,$G1776)&gt;1,"중복","-"))</f>
        <v/>
      </c>
      <c r="I1776" s="11" t="str">
        <f aca="false">IF($A1776="","",IF($H1776="-","-",IF(AND(IF(원본명단!$H1775="",TRUE(),COUNTIF(원본명단!$H$3:$H1775,원본명단!$H1775)=1),IF(원본명단!$I1775="",TRUE(),COUNTIF(원본명단!$I$3:$I1775,원본명단!$I1775)=1),IF(원본명단!$K1775="",TRUE(),COUNTIF(원본명단!$K$3:$K1775,원본명단!$K1775)=1)),"첫 건","중복 건")))</f>
        <v/>
      </c>
      <c r="J1776" s="11" t="str">
        <f aca="false">IF($A1776="","",IF($H1776="-","유지",IF($I1776="첫 건","유지","확인 필요")))</f>
        <v/>
      </c>
    </row>
    <row r="1777" customFormat="false" ht="15" hidden="false" customHeight="true" outlineLevel="0" collapsed="false">
      <c r="A1777" s="11" t="str">
        <f aca="false">IF(원본명단!$A1776="","",1774)</f>
        <v/>
      </c>
      <c r="B1777" s="12" t="str">
        <f aca="false">IF($A1777="","",원본명단!$A1776)</f>
        <v/>
      </c>
      <c r="C1777" s="12" t="str">
        <f aca="false">IF($A1777="","",원본명단!$B1776)</f>
        <v/>
      </c>
      <c r="D1777" s="12" t="str">
        <f aca="false">IF($A1777="","",원본명단!$D1776)</f>
        <v/>
      </c>
      <c r="E1777" s="11" t="str">
        <f aca="false">IF($A1777="","",IF(원본명단!$H1776="",0,COUNTIF(원본명단!$H$3:$H$6002,원본명단!$H1776)))</f>
        <v/>
      </c>
      <c r="F1777" s="11" t="str">
        <f aca="false">IF($A1777="","",IF(원본명단!$I1776="",0,COUNTIF(원본명단!$I$3:$I$6002,원본명단!$I1776)))</f>
        <v/>
      </c>
      <c r="G1777" s="11" t="str">
        <f aca="false">IF($A1777="","",IF(원본명단!$K1776="",0,COUNTIF(원본명단!$K$3:$K$6002,원본명단!$K1776)))</f>
        <v/>
      </c>
      <c r="H1777" s="11" t="str">
        <f aca="false">IF($A1777="","",IF(MAX($E1777,$F1777,$G1777)&gt;1,"중복","-"))</f>
        <v/>
      </c>
      <c r="I1777" s="11" t="str">
        <f aca="false">IF($A1777="","",IF($H1777="-","-",IF(AND(IF(원본명단!$H1776="",TRUE(),COUNTIF(원본명단!$H$3:$H1776,원본명단!$H1776)=1),IF(원본명단!$I1776="",TRUE(),COUNTIF(원본명단!$I$3:$I1776,원본명단!$I1776)=1),IF(원본명단!$K1776="",TRUE(),COUNTIF(원본명단!$K$3:$K1776,원본명단!$K1776)=1)),"첫 건","중복 건")))</f>
        <v/>
      </c>
      <c r="J1777" s="11" t="str">
        <f aca="false">IF($A1777="","",IF($H1777="-","유지",IF($I1777="첫 건","유지","확인 필요")))</f>
        <v/>
      </c>
    </row>
    <row r="1778" customFormat="false" ht="15" hidden="false" customHeight="true" outlineLevel="0" collapsed="false">
      <c r="A1778" s="11" t="str">
        <f aca="false">IF(원본명단!$A1777="","",1775)</f>
        <v/>
      </c>
      <c r="B1778" s="12" t="str">
        <f aca="false">IF($A1778="","",원본명단!$A1777)</f>
        <v/>
      </c>
      <c r="C1778" s="12" t="str">
        <f aca="false">IF($A1778="","",원본명단!$B1777)</f>
        <v/>
      </c>
      <c r="D1778" s="12" t="str">
        <f aca="false">IF($A1778="","",원본명단!$D1777)</f>
        <v/>
      </c>
      <c r="E1778" s="11" t="str">
        <f aca="false">IF($A1778="","",IF(원본명단!$H1777="",0,COUNTIF(원본명단!$H$3:$H$6002,원본명단!$H1777)))</f>
        <v/>
      </c>
      <c r="F1778" s="11" t="str">
        <f aca="false">IF($A1778="","",IF(원본명단!$I1777="",0,COUNTIF(원본명단!$I$3:$I$6002,원본명단!$I1777)))</f>
        <v/>
      </c>
      <c r="G1778" s="11" t="str">
        <f aca="false">IF($A1778="","",IF(원본명단!$K1777="",0,COUNTIF(원본명단!$K$3:$K$6002,원본명단!$K1777)))</f>
        <v/>
      </c>
      <c r="H1778" s="11" t="str">
        <f aca="false">IF($A1778="","",IF(MAX($E1778,$F1778,$G1778)&gt;1,"중복","-"))</f>
        <v/>
      </c>
      <c r="I1778" s="11" t="str">
        <f aca="false">IF($A1778="","",IF($H1778="-","-",IF(AND(IF(원본명단!$H1777="",TRUE(),COUNTIF(원본명단!$H$3:$H1777,원본명단!$H1777)=1),IF(원본명단!$I1777="",TRUE(),COUNTIF(원본명단!$I$3:$I1777,원본명단!$I1777)=1),IF(원본명단!$K1777="",TRUE(),COUNTIF(원본명단!$K$3:$K1777,원본명단!$K1777)=1)),"첫 건","중복 건")))</f>
        <v/>
      </c>
      <c r="J1778" s="11" t="str">
        <f aca="false">IF($A1778="","",IF($H1778="-","유지",IF($I1778="첫 건","유지","확인 필요")))</f>
        <v/>
      </c>
    </row>
    <row r="1779" customFormat="false" ht="15" hidden="false" customHeight="true" outlineLevel="0" collapsed="false">
      <c r="A1779" s="11" t="str">
        <f aca="false">IF(원본명단!$A1778="","",1776)</f>
        <v/>
      </c>
      <c r="B1779" s="12" t="str">
        <f aca="false">IF($A1779="","",원본명단!$A1778)</f>
        <v/>
      </c>
      <c r="C1779" s="12" t="str">
        <f aca="false">IF($A1779="","",원본명단!$B1778)</f>
        <v/>
      </c>
      <c r="D1779" s="12" t="str">
        <f aca="false">IF($A1779="","",원본명단!$D1778)</f>
        <v/>
      </c>
      <c r="E1779" s="11" t="str">
        <f aca="false">IF($A1779="","",IF(원본명단!$H1778="",0,COUNTIF(원본명단!$H$3:$H$6002,원본명단!$H1778)))</f>
        <v/>
      </c>
      <c r="F1779" s="11" t="str">
        <f aca="false">IF($A1779="","",IF(원본명단!$I1778="",0,COUNTIF(원본명단!$I$3:$I$6002,원본명단!$I1778)))</f>
        <v/>
      </c>
      <c r="G1779" s="11" t="str">
        <f aca="false">IF($A1779="","",IF(원본명단!$K1778="",0,COUNTIF(원본명단!$K$3:$K$6002,원본명단!$K1778)))</f>
        <v/>
      </c>
      <c r="H1779" s="11" t="str">
        <f aca="false">IF($A1779="","",IF(MAX($E1779,$F1779,$G1779)&gt;1,"중복","-"))</f>
        <v/>
      </c>
      <c r="I1779" s="11" t="str">
        <f aca="false">IF($A1779="","",IF($H1779="-","-",IF(AND(IF(원본명단!$H1778="",TRUE(),COUNTIF(원본명단!$H$3:$H1778,원본명단!$H1778)=1),IF(원본명단!$I1778="",TRUE(),COUNTIF(원본명단!$I$3:$I1778,원본명단!$I1778)=1),IF(원본명단!$K1778="",TRUE(),COUNTIF(원본명단!$K$3:$K1778,원본명단!$K1778)=1)),"첫 건","중복 건")))</f>
        <v/>
      </c>
      <c r="J1779" s="11" t="str">
        <f aca="false">IF($A1779="","",IF($H1779="-","유지",IF($I1779="첫 건","유지","확인 필요")))</f>
        <v/>
      </c>
    </row>
    <row r="1780" customFormat="false" ht="15" hidden="false" customHeight="true" outlineLevel="0" collapsed="false">
      <c r="A1780" s="11" t="str">
        <f aca="false">IF(원본명단!$A1779="","",1777)</f>
        <v/>
      </c>
      <c r="B1780" s="12" t="str">
        <f aca="false">IF($A1780="","",원본명단!$A1779)</f>
        <v/>
      </c>
      <c r="C1780" s="12" t="str">
        <f aca="false">IF($A1780="","",원본명단!$B1779)</f>
        <v/>
      </c>
      <c r="D1780" s="12" t="str">
        <f aca="false">IF($A1780="","",원본명단!$D1779)</f>
        <v/>
      </c>
      <c r="E1780" s="11" t="str">
        <f aca="false">IF($A1780="","",IF(원본명단!$H1779="",0,COUNTIF(원본명단!$H$3:$H$6002,원본명단!$H1779)))</f>
        <v/>
      </c>
      <c r="F1780" s="11" t="str">
        <f aca="false">IF($A1780="","",IF(원본명단!$I1779="",0,COUNTIF(원본명단!$I$3:$I$6002,원본명단!$I1779)))</f>
        <v/>
      </c>
      <c r="G1780" s="11" t="str">
        <f aca="false">IF($A1780="","",IF(원본명단!$K1779="",0,COUNTIF(원본명단!$K$3:$K$6002,원본명단!$K1779)))</f>
        <v/>
      </c>
      <c r="H1780" s="11" t="str">
        <f aca="false">IF($A1780="","",IF(MAX($E1780,$F1780,$G1780)&gt;1,"중복","-"))</f>
        <v/>
      </c>
      <c r="I1780" s="11" t="str">
        <f aca="false">IF($A1780="","",IF($H1780="-","-",IF(AND(IF(원본명단!$H1779="",TRUE(),COUNTIF(원본명단!$H$3:$H1779,원본명단!$H1779)=1),IF(원본명단!$I1779="",TRUE(),COUNTIF(원본명단!$I$3:$I1779,원본명단!$I1779)=1),IF(원본명단!$K1779="",TRUE(),COUNTIF(원본명단!$K$3:$K1779,원본명단!$K1779)=1)),"첫 건","중복 건")))</f>
        <v/>
      </c>
      <c r="J1780" s="11" t="str">
        <f aca="false">IF($A1780="","",IF($H1780="-","유지",IF($I1780="첫 건","유지","확인 필요")))</f>
        <v/>
      </c>
    </row>
    <row r="1781" customFormat="false" ht="15" hidden="false" customHeight="true" outlineLevel="0" collapsed="false">
      <c r="A1781" s="11" t="str">
        <f aca="false">IF(원본명단!$A1780="","",1778)</f>
        <v/>
      </c>
      <c r="B1781" s="12" t="str">
        <f aca="false">IF($A1781="","",원본명단!$A1780)</f>
        <v/>
      </c>
      <c r="C1781" s="12" t="str">
        <f aca="false">IF($A1781="","",원본명단!$B1780)</f>
        <v/>
      </c>
      <c r="D1781" s="12" t="str">
        <f aca="false">IF($A1781="","",원본명단!$D1780)</f>
        <v/>
      </c>
      <c r="E1781" s="11" t="str">
        <f aca="false">IF($A1781="","",IF(원본명단!$H1780="",0,COUNTIF(원본명단!$H$3:$H$6002,원본명단!$H1780)))</f>
        <v/>
      </c>
      <c r="F1781" s="11" t="str">
        <f aca="false">IF($A1781="","",IF(원본명단!$I1780="",0,COUNTIF(원본명단!$I$3:$I$6002,원본명단!$I1780)))</f>
        <v/>
      </c>
      <c r="G1781" s="11" t="str">
        <f aca="false">IF($A1781="","",IF(원본명단!$K1780="",0,COUNTIF(원본명단!$K$3:$K$6002,원본명단!$K1780)))</f>
        <v/>
      </c>
      <c r="H1781" s="11" t="str">
        <f aca="false">IF($A1781="","",IF(MAX($E1781,$F1781,$G1781)&gt;1,"중복","-"))</f>
        <v/>
      </c>
      <c r="I1781" s="11" t="str">
        <f aca="false">IF($A1781="","",IF($H1781="-","-",IF(AND(IF(원본명단!$H1780="",TRUE(),COUNTIF(원본명단!$H$3:$H1780,원본명단!$H1780)=1),IF(원본명단!$I1780="",TRUE(),COUNTIF(원본명단!$I$3:$I1780,원본명단!$I1780)=1),IF(원본명단!$K1780="",TRUE(),COUNTIF(원본명단!$K$3:$K1780,원본명단!$K1780)=1)),"첫 건","중복 건")))</f>
        <v/>
      </c>
      <c r="J1781" s="11" t="str">
        <f aca="false">IF($A1781="","",IF($H1781="-","유지",IF($I1781="첫 건","유지","확인 필요")))</f>
        <v/>
      </c>
    </row>
    <row r="1782" customFormat="false" ht="15" hidden="false" customHeight="true" outlineLevel="0" collapsed="false">
      <c r="A1782" s="11" t="str">
        <f aca="false">IF(원본명단!$A1781="","",1779)</f>
        <v/>
      </c>
      <c r="B1782" s="12" t="str">
        <f aca="false">IF($A1782="","",원본명단!$A1781)</f>
        <v/>
      </c>
      <c r="C1782" s="12" t="str">
        <f aca="false">IF($A1782="","",원본명단!$B1781)</f>
        <v/>
      </c>
      <c r="D1782" s="12" t="str">
        <f aca="false">IF($A1782="","",원본명단!$D1781)</f>
        <v/>
      </c>
      <c r="E1782" s="11" t="str">
        <f aca="false">IF($A1782="","",IF(원본명단!$H1781="",0,COUNTIF(원본명단!$H$3:$H$6002,원본명단!$H1781)))</f>
        <v/>
      </c>
      <c r="F1782" s="11" t="str">
        <f aca="false">IF($A1782="","",IF(원본명단!$I1781="",0,COUNTIF(원본명단!$I$3:$I$6002,원본명단!$I1781)))</f>
        <v/>
      </c>
      <c r="G1782" s="11" t="str">
        <f aca="false">IF($A1782="","",IF(원본명단!$K1781="",0,COUNTIF(원본명단!$K$3:$K$6002,원본명단!$K1781)))</f>
        <v/>
      </c>
      <c r="H1782" s="11" t="str">
        <f aca="false">IF($A1782="","",IF(MAX($E1782,$F1782,$G1782)&gt;1,"중복","-"))</f>
        <v/>
      </c>
      <c r="I1782" s="11" t="str">
        <f aca="false">IF($A1782="","",IF($H1782="-","-",IF(AND(IF(원본명단!$H1781="",TRUE(),COUNTIF(원본명단!$H$3:$H1781,원본명단!$H1781)=1),IF(원본명단!$I1781="",TRUE(),COUNTIF(원본명단!$I$3:$I1781,원본명단!$I1781)=1),IF(원본명단!$K1781="",TRUE(),COUNTIF(원본명단!$K$3:$K1781,원본명단!$K1781)=1)),"첫 건","중복 건")))</f>
        <v/>
      </c>
      <c r="J1782" s="11" t="str">
        <f aca="false">IF($A1782="","",IF($H1782="-","유지",IF($I1782="첫 건","유지","확인 필요")))</f>
        <v/>
      </c>
    </row>
    <row r="1783" customFormat="false" ht="15" hidden="false" customHeight="true" outlineLevel="0" collapsed="false">
      <c r="A1783" s="11" t="str">
        <f aca="false">IF(원본명단!$A1782="","",1780)</f>
        <v/>
      </c>
      <c r="B1783" s="12" t="str">
        <f aca="false">IF($A1783="","",원본명단!$A1782)</f>
        <v/>
      </c>
      <c r="C1783" s="12" t="str">
        <f aca="false">IF($A1783="","",원본명단!$B1782)</f>
        <v/>
      </c>
      <c r="D1783" s="12" t="str">
        <f aca="false">IF($A1783="","",원본명단!$D1782)</f>
        <v/>
      </c>
      <c r="E1783" s="11" t="str">
        <f aca="false">IF($A1783="","",IF(원본명단!$H1782="",0,COUNTIF(원본명단!$H$3:$H$6002,원본명단!$H1782)))</f>
        <v/>
      </c>
      <c r="F1783" s="11" t="str">
        <f aca="false">IF($A1783="","",IF(원본명단!$I1782="",0,COUNTIF(원본명단!$I$3:$I$6002,원본명단!$I1782)))</f>
        <v/>
      </c>
      <c r="G1783" s="11" t="str">
        <f aca="false">IF($A1783="","",IF(원본명단!$K1782="",0,COUNTIF(원본명단!$K$3:$K$6002,원본명단!$K1782)))</f>
        <v/>
      </c>
      <c r="H1783" s="11" t="str">
        <f aca="false">IF($A1783="","",IF(MAX($E1783,$F1783,$G1783)&gt;1,"중복","-"))</f>
        <v/>
      </c>
      <c r="I1783" s="11" t="str">
        <f aca="false">IF($A1783="","",IF($H1783="-","-",IF(AND(IF(원본명단!$H1782="",TRUE(),COUNTIF(원본명단!$H$3:$H1782,원본명단!$H1782)=1),IF(원본명단!$I1782="",TRUE(),COUNTIF(원본명단!$I$3:$I1782,원본명단!$I1782)=1),IF(원본명단!$K1782="",TRUE(),COUNTIF(원본명단!$K$3:$K1782,원본명단!$K1782)=1)),"첫 건","중복 건")))</f>
        <v/>
      </c>
      <c r="J1783" s="11" t="str">
        <f aca="false">IF($A1783="","",IF($H1783="-","유지",IF($I1783="첫 건","유지","확인 필요")))</f>
        <v/>
      </c>
    </row>
    <row r="1784" customFormat="false" ht="15" hidden="false" customHeight="true" outlineLevel="0" collapsed="false">
      <c r="A1784" s="11" t="str">
        <f aca="false">IF(원본명단!$A1783="","",1781)</f>
        <v/>
      </c>
      <c r="B1784" s="12" t="str">
        <f aca="false">IF($A1784="","",원본명단!$A1783)</f>
        <v/>
      </c>
      <c r="C1784" s="12" t="str">
        <f aca="false">IF($A1784="","",원본명단!$B1783)</f>
        <v/>
      </c>
      <c r="D1784" s="12" t="str">
        <f aca="false">IF($A1784="","",원본명단!$D1783)</f>
        <v/>
      </c>
      <c r="E1784" s="11" t="str">
        <f aca="false">IF($A1784="","",IF(원본명단!$H1783="",0,COUNTIF(원본명단!$H$3:$H$6002,원본명단!$H1783)))</f>
        <v/>
      </c>
      <c r="F1784" s="11" t="str">
        <f aca="false">IF($A1784="","",IF(원본명단!$I1783="",0,COUNTIF(원본명단!$I$3:$I$6002,원본명단!$I1783)))</f>
        <v/>
      </c>
      <c r="G1784" s="11" t="str">
        <f aca="false">IF($A1784="","",IF(원본명단!$K1783="",0,COUNTIF(원본명단!$K$3:$K$6002,원본명단!$K1783)))</f>
        <v/>
      </c>
      <c r="H1784" s="11" t="str">
        <f aca="false">IF($A1784="","",IF(MAX($E1784,$F1784,$G1784)&gt;1,"중복","-"))</f>
        <v/>
      </c>
      <c r="I1784" s="11" t="str">
        <f aca="false">IF($A1784="","",IF($H1784="-","-",IF(AND(IF(원본명단!$H1783="",TRUE(),COUNTIF(원본명단!$H$3:$H1783,원본명단!$H1783)=1),IF(원본명단!$I1783="",TRUE(),COUNTIF(원본명단!$I$3:$I1783,원본명단!$I1783)=1),IF(원본명단!$K1783="",TRUE(),COUNTIF(원본명단!$K$3:$K1783,원본명단!$K1783)=1)),"첫 건","중복 건")))</f>
        <v/>
      </c>
      <c r="J1784" s="11" t="str">
        <f aca="false">IF($A1784="","",IF($H1784="-","유지",IF($I1784="첫 건","유지","확인 필요")))</f>
        <v/>
      </c>
    </row>
    <row r="1785" customFormat="false" ht="15" hidden="false" customHeight="true" outlineLevel="0" collapsed="false">
      <c r="A1785" s="11" t="str">
        <f aca="false">IF(원본명단!$A1784="","",1782)</f>
        <v/>
      </c>
      <c r="B1785" s="12" t="str">
        <f aca="false">IF($A1785="","",원본명단!$A1784)</f>
        <v/>
      </c>
      <c r="C1785" s="12" t="str">
        <f aca="false">IF($A1785="","",원본명단!$B1784)</f>
        <v/>
      </c>
      <c r="D1785" s="12" t="str">
        <f aca="false">IF($A1785="","",원본명단!$D1784)</f>
        <v/>
      </c>
      <c r="E1785" s="11" t="str">
        <f aca="false">IF($A1785="","",IF(원본명단!$H1784="",0,COUNTIF(원본명단!$H$3:$H$6002,원본명단!$H1784)))</f>
        <v/>
      </c>
      <c r="F1785" s="11" t="str">
        <f aca="false">IF($A1785="","",IF(원본명단!$I1784="",0,COUNTIF(원본명단!$I$3:$I$6002,원본명단!$I1784)))</f>
        <v/>
      </c>
      <c r="G1785" s="11" t="str">
        <f aca="false">IF($A1785="","",IF(원본명단!$K1784="",0,COUNTIF(원본명단!$K$3:$K$6002,원본명단!$K1784)))</f>
        <v/>
      </c>
      <c r="H1785" s="11" t="str">
        <f aca="false">IF($A1785="","",IF(MAX($E1785,$F1785,$G1785)&gt;1,"중복","-"))</f>
        <v/>
      </c>
      <c r="I1785" s="11" t="str">
        <f aca="false">IF($A1785="","",IF($H1785="-","-",IF(AND(IF(원본명단!$H1784="",TRUE(),COUNTIF(원본명단!$H$3:$H1784,원본명단!$H1784)=1),IF(원본명단!$I1784="",TRUE(),COUNTIF(원본명단!$I$3:$I1784,원본명단!$I1784)=1),IF(원본명단!$K1784="",TRUE(),COUNTIF(원본명단!$K$3:$K1784,원본명단!$K1784)=1)),"첫 건","중복 건")))</f>
        <v/>
      </c>
      <c r="J1785" s="11" t="str">
        <f aca="false">IF($A1785="","",IF($H1785="-","유지",IF($I1785="첫 건","유지","확인 필요")))</f>
        <v/>
      </c>
    </row>
    <row r="1786" customFormat="false" ht="15" hidden="false" customHeight="true" outlineLevel="0" collapsed="false">
      <c r="A1786" s="11" t="str">
        <f aca="false">IF(원본명단!$A1785="","",1783)</f>
        <v/>
      </c>
      <c r="B1786" s="12" t="str">
        <f aca="false">IF($A1786="","",원본명단!$A1785)</f>
        <v/>
      </c>
      <c r="C1786" s="12" t="str">
        <f aca="false">IF($A1786="","",원본명단!$B1785)</f>
        <v/>
      </c>
      <c r="D1786" s="12" t="str">
        <f aca="false">IF($A1786="","",원본명단!$D1785)</f>
        <v/>
      </c>
      <c r="E1786" s="11" t="str">
        <f aca="false">IF($A1786="","",IF(원본명단!$H1785="",0,COUNTIF(원본명단!$H$3:$H$6002,원본명단!$H1785)))</f>
        <v/>
      </c>
      <c r="F1786" s="11" t="str">
        <f aca="false">IF($A1786="","",IF(원본명단!$I1785="",0,COUNTIF(원본명단!$I$3:$I$6002,원본명단!$I1785)))</f>
        <v/>
      </c>
      <c r="G1786" s="11" t="str">
        <f aca="false">IF($A1786="","",IF(원본명단!$K1785="",0,COUNTIF(원본명단!$K$3:$K$6002,원본명단!$K1785)))</f>
        <v/>
      </c>
      <c r="H1786" s="11" t="str">
        <f aca="false">IF($A1786="","",IF(MAX($E1786,$F1786,$G1786)&gt;1,"중복","-"))</f>
        <v/>
      </c>
      <c r="I1786" s="11" t="str">
        <f aca="false">IF($A1786="","",IF($H1786="-","-",IF(AND(IF(원본명단!$H1785="",TRUE(),COUNTIF(원본명단!$H$3:$H1785,원본명단!$H1785)=1),IF(원본명단!$I1785="",TRUE(),COUNTIF(원본명단!$I$3:$I1785,원본명단!$I1785)=1),IF(원본명단!$K1785="",TRUE(),COUNTIF(원본명단!$K$3:$K1785,원본명단!$K1785)=1)),"첫 건","중복 건")))</f>
        <v/>
      </c>
      <c r="J1786" s="11" t="str">
        <f aca="false">IF($A1786="","",IF($H1786="-","유지",IF($I1786="첫 건","유지","확인 필요")))</f>
        <v/>
      </c>
    </row>
    <row r="1787" customFormat="false" ht="15" hidden="false" customHeight="true" outlineLevel="0" collapsed="false">
      <c r="A1787" s="11" t="str">
        <f aca="false">IF(원본명단!$A1786="","",1784)</f>
        <v/>
      </c>
      <c r="B1787" s="12" t="str">
        <f aca="false">IF($A1787="","",원본명단!$A1786)</f>
        <v/>
      </c>
      <c r="C1787" s="12" t="str">
        <f aca="false">IF($A1787="","",원본명단!$B1786)</f>
        <v/>
      </c>
      <c r="D1787" s="12" t="str">
        <f aca="false">IF($A1787="","",원본명단!$D1786)</f>
        <v/>
      </c>
      <c r="E1787" s="11" t="str">
        <f aca="false">IF($A1787="","",IF(원본명단!$H1786="",0,COUNTIF(원본명단!$H$3:$H$6002,원본명단!$H1786)))</f>
        <v/>
      </c>
      <c r="F1787" s="11" t="str">
        <f aca="false">IF($A1787="","",IF(원본명단!$I1786="",0,COUNTIF(원본명단!$I$3:$I$6002,원본명단!$I1786)))</f>
        <v/>
      </c>
      <c r="G1787" s="11" t="str">
        <f aca="false">IF($A1787="","",IF(원본명단!$K1786="",0,COUNTIF(원본명단!$K$3:$K$6002,원본명단!$K1786)))</f>
        <v/>
      </c>
      <c r="H1787" s="11" t="str">
        <f aca="false">IF($A1787="","",IF(MAX($E1787,$F1787,$G1787)&gt;1,"중복","-"))</f>
        <v/>
      </c>
      <c r="I1787" s="11" t="str">
        <f aca="false">IF($A1787="","",IF($H1787="-","-",IF(AND(IF(원본명단!$H1786="",TRUE(),COUNTIF(원본명단!$H$3:$H1786,원본명단!$H1786)=1),IF(원본명단!$I1786="",TRUE(),COUNTIF(원본명단!$I$3:$I1786,원본명단!$I1786)=1),IF(원본명단!$K1786="",TRUE(),COUNTIF(원본명단!$K$3:$K1786,원본명단!$K1786)=1)),"첫 건","중복 건")))</f>
        <v/>
      </c>
      <c r="J1787" s="11" t="str">
        <f aca="false">IF($A1787="","",IF($H1787="-","유지",IF($I1787="첫 건","유지","확인 필요")))</f>
        <v/>
      </c>
    </row>
    <row r="1788" customFormat="false" ht="15" hidden="false" customHeight="true" outlineLevel="0" collapsed="false">
      <c r="A1788" s="11" t="str">
        <f aca="false">IF(원본명단!$A1787="","",1785)</f>
        <v/>
      </c>
      <c r="B1788" s="12" t="str">
        <f aca="false">IF($A1788="","",원본명단!$A1787)</f>
        <v/>
      </c>
      <c r="C1788" s="12" t="str">
        <f aca="false">IF($A1788="","",원본명단!$B1787)</f>
        <v/>
      </c>
      <c r="D1788" s="12" t="str">
        <f aca="false">IF($A1788="","",원본명단!$D1787)</f>
        <v/>
      </c>
      <c r="E1788" s="11" t="str">
        <f aca="false">IF($A1788="","",IF(원본명단!$H1787="",0,COUNTIF(원본명단!$H$3:$H$6002,원본명단!$H1787)))</f>
        <v/>
      </c>
      <c r="F1788" s="11" t="str">
        <f aca="false">IF($A1788="","",IF(원본명단!$I1787="",0,COUNTIF(원본명단!$I$3:$I$6002,원본명단!$I1787)))</f>
        <v/>
      </c>
      <c r="G1788" s="11" t="str">
        <f aca="false">IF($A1788="","",IF(원본명단!$K1787="",0,COUNTIF(원본명단!$K$3:$K$6002,원본명단!$K1787)))</f>
        <v/>
      </c>
      <c r="H1788" s="11" t="str">
        <f aca="false">IF($A1788="","",IF(MAX($E1788,$F1788,$G1788)&gt;1,"중복","-"))</f>
        <v/>
      </c>
      <c r="I1788" s="11" t="str">
        <f aca="false">IF($A1788="","",IF($H1788="-","-",IF(AND(IF(원본명단!$H1787="",TRUE(),COUNTIF(원본명단!$H$3:$H1787,원본명단!$H1787)=1),IF(원본명단!$I1787="",TRUE(),COUNTIF(원본명단!$I$3:$I1787,원본명단!$I1787)=1),IF(원본명단!$K1787="",TRUE(),COUNTIF(원본명단!$K$3:$K1787,원본명단!$K1787)=1)),"첫 건","중복 건")))</f>
        <v/>
      </c>
      <c r="J1788" s="11" t="str">
        <f aca="false">IF($A1788="","",IF($H1788="-","유지",IF($I1788="첫 건","유지","확인 필요")))</f>
        <v/>
      </c>
    </row>
    <row r="1789" customFormat="false" ht="15" hidden="false" customHeight="true" outlineLevel="0" collapsed="false">
      <c r="A1789" s="11" t="str">
        <f aca="false">IF(원본명단!$A1788="","",1786)</f>
        <v/>
      </c>
      <c r="B1789" s="12" t="str">
        <f aca="false">IF($A1789="","",원본명단!$A1788)</f>
        <v/>
      </c>
      <c r="C1789" s="12" t="str">
        <f aca="false">IF($A1789="","",원본명단!$B1788)</f>
        <v/>
      </c>
      <c r="D1789" s="12" t="str">
        <f aca="false">IF($A1789="","",원본명단!$D1788)</f>
        <v/>
      </c>
      <c r="E1789" s="11" t="str">
        <f aca="false">IF($A1789="","",IF(원본명단!$H1788="",0,COUNTIF(원본명단!$H$3:$H$6002,원본명단!$H1788)))</f>
        <v/>
      </c>
      <c r="F1789" s="11" t="str">
        <f aca="false">IF($A1789="","",IF(원본명단!$I1788="",0,COUNTIF(원본명단!$I$3:$I$6002,원본명단!$I1788)))</f>
        <v/>
      </c>
      <c r="G1789" s="11" t="str">
        <f aca="false">IF($A1789="","",IF(원본명단!$K1788="",0,COUNTIF(원본명단!$K$3:$K$6002,원본명단!$K1788)))</f>
        <v/>
      </c>
      <c r="H1789" s="11" t="str">
        <f aca="false">IF($A1789="","",IF(MAX($E1789,$F1789,$G1789)&gt;1,"중복","-"))</f>
        <v/>
      </c>
      <c r="I1789" s="11" t="str">
        <f aca="false">IF($A1789="","",IF($H1789="-","-",IF(AND(IF(원본명단!$H1788="",TRUE(),COUNTIF(원본명단!$H$3:$H1788,원본명단!$H1788)=1),IF(원본명단!$I1788="",TRUE(),COUNTIF(원본명단!$I$3:$I1788,원본명단!$I1788)=1),IF(원본명단!$K1788="",TRUE(),COUNTIF(원본명단!$K$3:$K1788,원본명단!$K1788)=1)),"첫 건","중복 건")))</f>
        <v/>
      </c>
      <c r="J1789" s="11" t="str">
        <f aca="false">IF($A1789="","",IF($H1789="-","유지",IF($I1789="첫 건","유지","확인 필요")))</f>
        <v/>
      </c>
    </row>
    <row r="1790" customFormat="false" ht="15" hidden="false" customHeight="true" outlineLevel="0" collapsed="false">
      <c r="A1790" s="11" t="str">
        <f aca="false">IF(원본명단!$A1789="","",1787)</f>
        <v/>
      </c>
      <c r="B1790" s="12" t="str">
        <f aca="false">IF($A1790="","",원본명단!$A1789)</f>
        <v/>
      </c>
      <c r="C1790" s="12" t="str">
        <f aca="false">IF($A1790="","",원본명단!$B1789)</f>
        <v/>
      </c>
      <c r="D1790" s="12" t="str">
        <f aca="false">IF($A1790="","",원본명단!$D1789)</f>
        <v/>
      </c>
      <c r="E1790" s="11" t="str">
        <f aca="false">IF($A1790="","",IF(원본명단!$H1789="",0,COUNTIF(원본명단!$H$3:$H$6002,원본명단!$H1789)))</f>
        <v/>
      </c>
      <c r="F1790" s="11" t="str">
        <f aca="false">IF($A1790="","",IF(원본명단!$I1789="",0,COUNTIF(원본명단!$I$3:$I$6002,원본명단!$I1789)))</f>
        <v/>
      </c>
      <c r="G1790" s="11" t="str">
        <f aca="false">IF($A1790="","",IF(원본명단!$K1789="",0,COUNTIF(원본명단!$K$3:$K$6002,원본명단!$K1789)))</f>
        <v/>
      </c>
      <c r="H1790" s="11" t="str">
        <f aca="false">IF($A1790="","",IF(MAX($E1790,$F1790,$G1790)&gt;1,"중복","-"))</f>
        <v/>
      </c>
      <c r="I1790" s="11" t="str">
        <f aca="false">IF($A1790="","",IF($H1790="-","-",IF(AND(IF(원본명단!$H1789="",TRUE(),COUNTIF(원본명단!$H$3:$H1789,원본명단!$H1789)=1),IF(원본명단!$I1789="",TRUE(),COUNTIF(원본명단!$I$3:$I1789,원본명단!$I1789)=1),IF(원본명단!$K1789="",TRUE(),COUNTIF(원본명단!$K$3:$K1789,원본명단!$K1789)=1)),"첫 건","중복 건")))</f>
        <v/>
      </c>
      <c r="J1790" s="11" t="str">
        <f aca="false">IF($A1790="","",IF($H1790="-","유지",IF($I1790="첫 건","유지","확인 필요")))</f>
        <v/>
      </c>
    </row>
    <row r="1791" customFormat="false" ht="15" hidden="false" customHeight="true" outlineLevel="0" collapsed="false">
      <c r="A1791" s="11" t="str">
        <f aca="false">IF(원본명단!$A1790="","",1788)</f>
        <v/>
      </c>
      <c r="B1791" s="12" t="str">
        <f aca="false">IF($A1791="","",원본명단!$A1790)</f>
        <v/>
      </c>
      <c r="C1791" s="12" t="str">
        <f aca="false">IF($A1791="","",원본명단!$B1790)</f>
        <v/>
      </c>
      <c r="D1791" s="12" t="str">
        <f aca="false">IF($A1791="","",원본명단!$D1790)</f>
        <v/>
      </c>
      <c r="E1791" s="11" t="str">
        <f aca="false">IF($A1791="","",IF(원본명단!$H1790="",0,COUNTIF(원본명단!$H$3:$H$6002,원본명단!$H1790)))</f>
        <v/>
      </c>
      <c r="F1791" s="11" t="str">
        <f aca="false">IF($A1791="","",IF(원본명단!$I1790="",0,COUNTIF(원본명단!$I$3:$I$6002,원본명단!$I1790)))</f>
        <v/>
      </c>
      <c r="G1791" s="11" t="str">
        <f aca="false">IF($A1791="","",IF(원본명단!$K1790="",0,COUNTIF(원본명단!$K$3:$K$6002,원본명단!$K1790)))</f>
        <v/>
      </c>
      <c r="H1791" s="11" t="str">
        <f aca="false">IF($A1791="","",IF(MAX($E1791,$F1791,$G1791)&gt;1,"중복","-"))</f>
        <v/>
      </c>
      <c r="I1791" s="11" t="str">
        <f aca="false">IF($A1791="","",IF($H1791="-","-",IF(AND(IF(원본명단!$H1790="",TRUE(),COUNTIF(원본명단!$H$3:$H1790,원본명단!$H1790)=1),IF(원본명단!$I1790="",TRUE(),COUNTIF(원본명단!$I$3:$I1790,원본명단!$I1790)=1),IF(원본명단!$K1790="",TRUE(),COUNTIF(원본명단!$K$3:$K1790,원본명단!$K1790)=1)),"첫 건","중복 건")))</f>
        <v/>
      </c>
      <c r="J1791" s="11" t="str">
        <f aca="false">IF($A1791="","",IF($H1791="-","유지",IF($I1791="첫 건","유지","확인 필요")))</f>
        <v/>
      </c>
    </row>
    <row r="1792" customFormat="false" ht="15" hidden="false" customHeight="true" outlineLevel="0" collapsed="false">
      <c r="A1792" s="11" t="str">
        <f aca="false">IF(원본명단!$A1791="","",1789)</f>
        <v/>
      </c>
      <c r="B1792" s="12" t="str">
        <f aca="false">IF($A1792="","",원본명단!$A1791)</f>
        <v/>
      </c>
      <c r="C1792" s="12" t="str">
        <f aca="false">IF($A1792="","",원본명단!$B1791)</f>
        <v/>
      </c>
      <c r="D1792" s="12" t="str">
        <f aca="false">IF($A1792="","",원본명단!$D1791)</f>
        <v/>
      </c>
      <c r="E1792" s="11" t="str">
        <f aca="false">IF($A1792="","",IF(원본명단!$H1791="",0,COUNTIF(원본명단!$H$3:$H$6002,원본명단!$H1791)))</f>
        <v/>
      </c>
      <c r="F1792" s="11" t="str">
        <f aca="false">IF($A1792="","",IF(원본명단!$I1791="",0,COUNTIF(원본명단!$I$3:$I$6002,원본명단!$I1791)))</f>
        <v/>
      </c>
      <c r="G1792" s="11" t="str">
        <f aca="false">IF($A1792="","",IF(원본명단!$K1791="",0,COUNTIF(원본명단!$K$3:$K$6002,원본명단!$K1791)))</f>
        <v/>
      </c>
      <c r="H1792" s="11" t="str">
        <f aca="false">IF($A1792="","",IF(MAX($E1792,$F1792,$G1792)&gt;1,"중복","-"))</f>
        <v/>
      </c>
      <c r="I1792" s="11" t="str">
        <f aca="false">IF($A1792="","",IF($H1792="-","-",IF(AND(IF(원본명단!$H1791="",TRUE(),COUNTIF(원본명단!$H$3:$H1791,원본명단!$H1791)=1),IF(원본명단!$I1791="",TRUE(),COUNTIF(원본명단!$I$3:$I1791,원본명단!$I1791)=1),IF(원본명단!$K1791="",TRUE(),COUNTIF(원본명단!$K$3:$K1791,원본명단!$K1791)=1)),"첫 건","중복 건")))</f>
        <v/>
      </c>
      <c r="J1792" s="11" t="str">
        <f aca="false">IF($A1792="","",IF($H1792="-","유지",IF($I1792="첫 건","유지","확인 필요")))</f>
        <v/>
      </c>
    </row>
    <row r="1793" customFormat="false" ht="15" hidden="false" customHeight="true" outlineLevel="0" collapsed="false">
      <c r="A1793" s="11" t="str">
        <f aca="false">IF(원본명단!$A1792="","",1790)</f>
        <v/>
      </c>
      <c r="B1793" s="12" t="str">
        <f aca="false">IF($A1793="","",원본명단!$A1792)</f>
        <v/>
      </c>
      <c r="C1793" s="12" t="str">
        <f aca="false">IF($A1793="","",원본명단!$B1792)</f>
        <v/>
      </c>
      <c r="D1793" s="12" t="str">
        <f aca="false">IF($A1793="","",원본명단!$D1792)</f>
        <v/>
      </c>
      <c r="E1793" s="11" t="str">
        <f aca="false">IF($A1793="","",IF(원본명단!$H1792="",0,COUNTIF(원본명단!$H$3:$H$6002,원본명단!$H1792)))</f>
        <v/>
      </c>
      <c r="F1793" s="11" t="str">
        <f aca="false">IF($A1793="","",IF(원본명단!$I1792="",0,COUNTIF(원본명단!$I$3:$I$6002,원본명단!$I1792)))</f>
        <v/>
      </c>
      <c r="G1793" s="11" t="str">
        <f aca="false">IF($A1793="","",IF(원본명단!$K1792="",0,COUNTIF(원본명단!$K$3:$K$6002,원본명단!$K1792)))</f>
        <v/>
      </c>
      <c r="H1793" s="11" t="str">
        <f aca="false">IF($A1793="","",IF(MAX($E1793,$F1793,$G1793)&gt;1,"중복","-"))</f>
        <v/>
      </c>
      <c r="I1793" s="11" t="str">
        <f aca="false">IF($A1793="","",IF($H1793="-","-",IF(AND(IF(원본명단!$H1792="",TRUE(),COUNTIF(원본명단!$H$3:$H1792,원본명단!$H1792)=1),IF(원본명단!$I1792="",TRUE(),COUNTIF(원본명단!$I$3:$I1792,원본명단!$I1792)=1),IF(원본명단!$K1792="",TRUE(),COUNTIF(원본명단!$K$3:$K1792,원본명단!$K1792)=1)),"첫 건","중복 건")))</f>
        <v/>
      </c>
      <c r="J1793" s="11" t="str">
        <f aca="false">IF($A1793="","",IF($H1793="-","유지",IF($I1793="첫 건","유지","확인 필요")))</f>
        <v/>
      </c>
    </row>
    <row r="1794" customFormat="false" ht="15" hidden="false" customHeight="true" outlineLevel="0" collapsed="false">
      <c r="A1794" s="11" t="str">
        <f aca="false">IF(원본명단!$A1793="","",1791)</f>
        <v/>
      </c>
      <c r="B1794" s="12" t="str">
        <f aca="false">IF($A1794="","",원본명단!$A1793)</f>
        <v/>
      </c>
      <c r="C1794" s="12" t="str">
        <f aca="false">IF($A1794="","",원본명단!$B1793)</f>
        <v/>
      </c>
      <c r="D1794" s="12" t="str">
        <f aca="false">IF($A1794="","",원본명단!$D1793)</f>
        <v/>
      </c>
      <c r="E1794" s="11" t="str">
        <f aca="false">IF($A1794="","",IF(원본명단!$H1793="",0,COUNTIF(원본명단!$H$3:$H$6002,원본명단!$H1793)))</f>
        <v/>
      </c>
      <c r="F1794" s="11" t="str">
        <f aca="false">IF($A1794="","",IF(원본명단!$I1793="",0,COUNTIF(원본명단!$I$3:$I$6002,원본명단!$I1793)))</f>
        <v/>
      </c>
      <c r="G1794" s="11" t="str">
        <f aca="false">IF($A1794="","",IF(원본명단!$K1793="",0,COUNTIF(원본명단!$K$3:$K$6002,원본명단!$K1793)))</f>
        <v/>
      </c>
      <c r="H1794" s="11" t="str">
        <f aca="false">IF($A1794="","",IF(MAX($E1794,$F1794,$G1794)&gt;1,"중복","-"))</f>
        <v/>
      </c>
      <c r="I1794" s="11" t="str">
        <f aca="false">IF($A1794="","",IF($H1794="-","-",IF(AND(IF(원본명단!$H1793="",TRUE(),COUNTIF(원본명단!$H$3:$H1793,원본명단!$H1793)=1),IF(원본명단!$I1793="",TRUE(),COUNTIF(원본명단!$I$3:$I1793,원본명단!$I1793)=1),IF(원본명단!$K1793="",TRUE(),COUNTIF(원본명단!$K$3:$K1793,원본명단!$K1793)=1)),"첫 건","중복 건")))</f>
        <v/>
      </c>
      <c r="J1794" s="11" t="str">
        <f aca="false">IF($A1794="","",IF($H1794="-","유지",IF($I1794="첫 건","유지","확인 필요")))</f>
        <v/>
      </c>
    </row>
    <row r="1795" customFormat="false" ht="15" hidden="false" customHeight="true" outlineLevel="0" collapsed="false">
      <c r="A1795" s="11" t="str">
        <f aca="false">IF(원본명단!$A1794="","",1792)</f>
        <v/>
      </c>
      <c r="B1795" s="12" t="str">
        <f aca="false">IF($A1795="","",원본명단!$A1794)</f>
        <v/>
      </c>
      <c r="C1795" s="12" t="str">
        <f aca="false">IF($A1795="","",원본명단!$B1794)</f>
        <v/>
      </c>
      <c r="D1795" s="12" t="str">
        <f aca="false">IF($A1795="","",원본명단!$D1794)</f>
        <v/>
      </c>
      <c r="E1795" s="11" t="str">
        <f aca="false">IF($A1795="","",IF(원본명단!$H1794="",0,COUNTIF(원본명단!$H$3:$H$6002,원본명단!$H1794)))</f>
        <v/>
      </c>
      <c r="F1795" s="11" t="str">
        <f aca="false">IF($A1795="","",IF(원본명단!$I1794="",0,COUNTIF(원본명단!$I$3:$I$6002,원본명단!$I1794)))</f>
        <v/>
      </c>
      <c r="G1795" s="11" t="str">
        <f aca="false">IF($A1795="","",IF(원본명단!$K1794="",0,COUNTIF(원본명단!$K$3:$K$6002,원본명단!$K1794)))</f>
        <v/>
      </c>
      <c r="H1795" s="11" t="str">
        <f aca="false">IF($A1795="","",IF(MAX($E1795,$F1795,$G1795)&gt;1,"중복","-"))</f>
        <v/>
      </c>
      <c r="I1795" s="11" t="str">
        <f aca="false">IF($A1795="","",IF($H1795="-","-",IF(AND(IF(원본명단!$H1794="",TRUE(),COUNTIF(원본명단!$H$3:$H1794,원본명단!$H1794)=1),IF(원본명단!$I1794="",TRUE(),COUNTIF(원본명단!$I$3:$I1794,원본명단!$I1794)=1),IF(원본명단!$K1794="",TRUE(),COUNTIF(원본명단!$K$3:$K1794,원본명단!$K1794)=1)),"첫 건","중복 건")))</f>
        <v/>
      </c>
      <c r="J1795" s="11" t="str">
        <f aca="false">IF($A1795="","",IF($H1795="-","유지",IF($I1795="첫 건","유지","확인 필요")))</f>
        <v/>
      </c>
    </row>
    <row r="1796" customFormat="false" ht="15" hidden="false" customHeight="true" outlineLevel="0" collapsed="false">
      <c r="A1796" s="11" t="str">
        <f aca="false">IF(원본명단!$A1795="","",1793)</f>
        <v/>
      </c>
      <c r="B1796" s="12" t="str">
        <f aca="false">IF($A1796="","",원본명단!$A1795)</f>
        <v/>
      </c>
      <c r="C1796" s="12" t="str">
        <f aca="false">IF($A1796="","",원본명단!$B1795)</f>
        <v/>
      </c>
      <c r="D1796" s="12" t="str">
        <f aca="false">IF($A1796="","",원본명단!$D1795)</f>
        <v/>
      </c>
      <c r="E1796" s="11" t="str">
        <f aca="false">IF($A1796="","",IF(원본명단!$H1795="",0,COUNTIF(원본명단!$H$3:$H$6002,원본명단!$H1795)))</f>
        <v/>
      </c>
      <c r="F1796" s="11" t="str">
        <f aca="false">IF($A1796="","",IF(원본명단!$I1795="",0,COUNTIF(원본명단!$I$3:$I$6002,원본명단!$I1795)))</f>
        <v/>
      </c>
      <c r="G1796" s="11" t="str">
        <f aca="false">IF($A1796="","",IF(원본명단!$K1795="",0,COUNTIF(원본명단!$K$3:$K$6002,원본명단!$K1795)))</f>
        <v/>
      </c>
      <c r="H1796" s="11" t="str">
        <f aca="false">IF($A1796="","",IF(MAX($E1796,$F1796,$G1796)&gt;1,"중복","-"))</f>
        <v/>
      </c>
      <c r="I1796" s="11" t="str">
        <f aca="false">IF($A1796="","",IF($H1796="-","-",IF(AND(IF(원본명단!$H1795="",TRUE(),COUNTIF(원본명단!$H$3:$H1795,원본명단!$H1795)=1),IF(원본명단!$I1795="",TRUE(),COUNTIF(원본명단!$I$3:$I1795,원본명단!$I1795)=1),IF(원본명단!$K1795="",TRUE(),COUNTIF(원본명단!$K$3:$K1795,원본명단!$K1795)=1)),"첫 건","중복 건")))</f>
        <v/>
      </c>
      <c r="J1796" s="11" t="str">
        <f aca="false">IF($A1796="","",IF($H1796="-","유지",IF($I1796="첫 건","유지","확인 필요")))</f>
        <v/>
      </c>
    </row>
    <row r="1797" customFormat="false" ht="15" hidden="false" customHeight="true" outlineLevel="0" collapsed="false">
      <c r="A1797" s="11" t="str">
        <f aca="false">IF(원본명단!$A1796="","",1794)</f>
        <v/>
      </c>
      <c r="B1797" s="12" t="str">
        <f aca="false">IF($A1797="","",원본명단!$A1796)</f>
        <v/>
      </c>
      <c r="C1797" s="12" t="str">
        <f aca="false">IF($A1797="","",원본명단!$B1796)</f>
        <v/>
      </c>
      <c r="D1797" s="12" t="str">
        <f aca="false">IF($A1797="","",원본명단!$D1796)</f>
        <v/>
      </c>
      <c r="E1797" s="11" t="str">
        <f aca="false">IF($A1797="","",IF(원본명단!$H1796="",0,COUNTIF(원본명단!$H$3:$H$6002,원본명단!$H1796)))</f>
        <v/>
      </c>
      <c r="F1797" s="11" t="str">
        <f aca="false">IF($A1797="","",IF(원본명단!$I1796="",0,COUNTIF(원본명단!$I$3:$I$6002,원본명단!$I1796)))</f>
        <v/>
      </c>
      <c r="G1797" s="11" t="str">
        <f aca="false">IF($A1797="","",IF(원본명단!$K1796="",0,COUNTIF(원본명단!$K$3:$K$6002,원본명단!$K1796)))</f>
        <v/>
      </c>
      <c r="H1797" s="11" t="str">
        <f aca="false">IF($A1797="","",IF(MAX($E1797,$F1797,$G1797)&gt;1,"중복","-"))</f>
        <v/>
      </c>
      <c r="I1797" s="11" t="str">
        <f aca="false">IF($A1797="","",IF($H1797="-","-",IF(AND(IF(원본명단!$H1796="",TRUE(),COUNTIF(원본명단!$H$3:$H1796,원본명단!$H1796)=1),IF(원본명단!$I1796="",TRUE(),COUNTIF(원본명단!$I$3:$I1796,원본명단!$I1796)=1),IF(원본명단!$K1796="",TRUE(),COUNTIF(원본명단!$K$3:$K1796,원본명단!$K1796)=1)),"첫 건","중복 건")))</f>
        <v/>
      </c>
      <c r="J1797" s="11" t="str">
        <f aca="false">IF($A1797="","",IF($H1797="-","유지",IF($I1797="첫 건","유지","확인 필요")))</f>
        <v/>
      </c>
    </row>
    <row r="1798" customFormat="false" ht="15" hidden="false" customHeight="true" outlineLevel="0" collapsed="false">
      <c r="A1798" s="11" t="str">
        <f aca="false">IF(원본명단!$A1797="","",1795)</f>
        <v/>
      </c>
      <c r="B1798" s="12" t="str">
        <f aca="false">IF($A1798="","",원본명단!$A1797)</f>
        <v/>
      </c>
      <c r="C1798" s="12" t="str">
        <f aca="false">IF($A1798="","",원본명단!$B1797)</f>
        <v/>
      </c>
      <c r="D1798" s="12" t="str">
        <f aca="false">IF($A1798="","",원본명단!$D1797)</f>
        <v/>
      </c>
      <c r="E1798" s="11" t="str">
        <f aca="false">IF($A1798="","",IF(원본명단!$H1797="",0,COUNTIF(원본명단!$H$3:$H$6002,원본명단!$H1797)))</f>
        <v/>
      </c>
      <c r="F1798" s="11" t="str">
        <f aca="false">IF($A1798="","",IF(원본명단!$I1797="",0,COUNTIF(원본명단!$I$3:$I$6002,원본명단!$I1797)))</f>
        <v/>
      </c>
      <c r="G1798" s="11" t="str">
        <f aca="false">IF($A1798="","",IF(원본명단!$K1797="",0,COUNTIF(원본명단!$K$3:$K$6002,원본명단!$K1797)))</f>
        <v/>
      </c>
      <c r="H1798" s="11" t="str">
        <f aca="false">IF($A1798="","",IF(MAX($E1798,$F1798,$G1798)&gt;1,"중복","-"))</f>
        <v/>
      </c>
      <c r="I1798" s="11" t="str">
        <f aca="false">IF($A1798="","",IF($H1798="-","-",IF(AND(IF(원본명단!$H1797="",TRUE(),COUNTIF(원본명단!$H$3:$H1797,원본명단!$H1797)=1),IF(원본명단!$I1797="",TRUE(),COUNTIF(원본명단!$I$3:$I1797,원본명단!$I1797)=1),IF(원본명단!$K1797="",TRUE(),COUNTIF(원본명단!$K$3:$K1797,원본명단!$K1797)=1)),"첫 건","중복 건")))</f>
        <v/>
      </c>
      <c r="J1798" s="11" t="str">
        <f aca="false">IF($A1798="","",IF($H1798="-","유지",IF($I1798="첫 건","유지","확인 필요")))</f>
        <v/>
      </c>
    </row>
    <row r="1799" customFormat="false" ht="15" hidden="false" customHeight="true" outlineLevel="0" collapsed="false">
      <c r="A1799" s="11" t="str">
        <f aca="false">IF(원본명단!$A1798="","",1796)</f>
        <v/>
      </c>
      <c r="B1799" s="12" t="str">
        <f aca="false">IF($A1799="","",원본명단!$A1798)</f>
        <v/>
      </c>
      <c r="C1799" s="12" t="str">
        <f aca="false">IF($A1799="","",원본명단!$B1798)</f>
        <v/>
      </c>
      <c r="D1799" s="12" t="str">
        <f aca="false">IF($A1799="","",원본명단!$D1798)</f>
        <v/>
      </c>
      <c r="E1799" s="11" t="str">
        <f aca="false">IF($A1799="","",IF(원본명단!$H1798="",0,COUNTIF(원본명단!$H$3:$H$6002,원본명단!$H1798)))</f>
        <v/>
      </c>
      <c r="F1799" s="11" t="str">
        <f aca="false">IF($A1799="","",IF(원본명단!$I1798="",0,COUNTIF(원본명단!$I$3:$I$6002,원본명단!$I1798)))</f>
        <v/>
      </c>
      <c r="G1799" s="11" t="str">
        <f aca="false">IF($A1799="","",IF(원본명단!$K1798="",0,COUNTIF(원본명단!$K$3:$K$6002,원본명단!$K1798)))</f>
        <v/>
      </c>
      <c r="H1799" s="11" t="str">
        <f aca="false">IF($A1799="","",IF(MAX($E1799,$F1799,$G1799)&gt;1,"중복","-"))</f>
        <v/>
      </c>
      <c r="I1799" s="11" t="str">
        <f aca="false">IF($A1799="","",IF($H1799="-","-",IF(AND(IF(원본명단!$H1798="",TRUE(),COUNTIF(원본명단!$H$3:$H1798,원본명단!$H1798)=1),IF(원본명단!$I1798="",TRUE(),COUNTIF(원본명단!$I$3:$I1798,원본명단!$I1798)=1),IF(원본명단!$K1798="",TRUE(),COUNTIF(원본명단!$K$3:$K1798,원본명단!$K1798)=1)),"첫 건","중복 건")))</f>
        <v/>
      </c>
      <c r="J1799" s="11" t="str">
        <f aca="false">IF($A1799="","",IF($H1799="-","유지",IF($I1799="첫 건","유지","확인 필요")))</f>
        <v/>
      </c>
    </row>
    <row r="1800" customFormat="false" ht="15" hidden="false" customHeight="true" outlineLevel="0" collapsed="false">
      <c r="A1800" s="11" t="str">
        <f aca="false">IF(원본명단!$A1799="","",1797)</f>
        <v/>
      </c>
      <c r="B1800" s="12" t="str">
        <f aca="false">IF($A1800="","",원본명단!$A1799)</f>
        <v/>
      </c>
      <c r="C1800" s="12" t="str">
        <f aca="false">IF($A1800="","",원본명단!$B1799)</f>
        <v/>
      </c>
      <c r="D1800" s="12" t="str">
        <f aca="false">IF($A1800="","",원본명단!$D1799)</f>
        <v/>
      </c>
      <c r="E1800" s="11" t="str">
        <f aca="false">IF($A1800="","",IF(원본명단!$H1799="",0,COUNTIF(원본명단!$H$3:$H$6002,원본명단!$H1799)))</f>
        <v/>
      </c>
      <c r="F1800" s="11" t="str">
        <f aca="false">IF($A1800="","",IF(원본명단!$I1799="",0,COUNTIF(원본명단!$I$3:$I$6002,원본명단!$I1799)))</f>
        <v/>
      </c>
      <c r="G1800" s="11" t="str">
        <f aca="false">IF($A1800="","",IF(원본명단!$K1799="",0,COUNTIF(원본명단!$K$3:$K$6002,원본명단!$K1799)))</f>
        <v/>
      </c>
      <c r="H1800" s="11" t="str">
        <f aca="false">IF($A1800="","",IF(MAX($E1800,$F1800,$G1800)&gt;1,"중복","-"))</f>
        <v/>
      </c>
      <c r="I1800" s="11" t="str">
        <f aca="false">IF($A1800="","",IF($H1800="-","-",IF(AND(IF(원본명단!$H1799="",TRUE(),COUNTIF(원본명단!$H$3:$H1799,원본명단!$H1799)=1),IF(원본명단!$I1799="",TRUE(),COUNTIF(원본명단!$I$3:$I1799,원본명단!$I1799)=1),IF(원본명단!$K1799="",TRUE(),COUNTIF(원본명단!$K$3:$K1799,원본명단!$K1799)=1)),"첫 건","중복 건")))</f>
        <v/>
      </c>
      <c r="J1800" s="11" t="str">
        <f aca="false">IF($A1800="","",IF($H1800="-","유지",IF($I1800="첫 건","유지","확인 필요")))</f>
        <v/>
      </c>
    </row>
    <row r="1801" customFormat="false" ht="15" hidden="false" customHeight="true" outlineLevel="0" collapsed="false">
      <c r="A1801" s="11" t="str">
        <f aca="false">IF(원본명단!$A1800="","",1798)</f>
        <v/>
      </c>
      <c r="B1801" s="12" t="str">
        <f aca="false">IF($A1801="","",원본명단!$A1800)</f>
        <v/>
      </c>
      <c r="C1801" s="12" t="str">
        <f aca="false">IF($A1801="","",원본명단!$B1800)</f>
        <v/>
      </c>
      <c r="D1801" s="12" t="str">
        <f aca="false">IF($A1801="","",원본명단!$D1800)</f>
        <v/>
      </c>
      <c r="E1801" s="11" t="str">
        <f aca="false">IF($A1801="","",IF(원본명단!$H1800="",0,COUNTIF(원본명단!$H$3:$H$6002,원본명단!$H1800)))</f>
        <v/>
      </c>
      <c r="F1801" s="11" t="str">
        <f aca="false">IF($A1801="","",IF(원본명단!$I1800="",0,COUNTIF(원본명단!$I$3:$I$6002,원본명단!$I1800)))</f>
        <v/>
      </c>
      <c r="G1801" s="11" t="str">
        <f aca="false">IF($A1801="","",IF(원본명단!$K1800="",0,COUNTIF(원본명단!$K$3:$K$6002,원본명단!$K1800)))</f>
        <v/>
      </c>
      <c r="H1801" s="11" t="str">
        <f aca="false">IF($A1801="","",IF(MAX($E1801,$F1801,$G1801)&gt;1,"중복","-"))</f>
        <v/>
      </c>
      <c r="I1801" s="11" t="str">
        <f aca="false">IF($A1801="","",IF($H1801="-","-",IF(AND(IF(원본명단!$H1800="",TRUE(),COUNTIF(원본명단!$H$3:$H1800,원본명단!$H1800)=1),IF(원본명단!$I1800="",TRUE(),COUNTIF(원본명단!$I$3:$I1800,원본명단!$I1800)=1),IF(원본명단!$K1800="",TRUE(),COUNTIF(원본명단!$K$3:$K1800,원본명단!$K1800)=1)),"첫 건","중복 건")))</f>
        <v/>
      </c>
      <c r="J1801" s="11" t="str">
        <f aca="false">IF($A1801="","",IF($H1801="-","유지",IF($I1801="첫 건","유지","확인 필요")))</f>
        <v/>
      </c>
    </row>
    <row r="1802" customFormat="false" ht="15" hidden="false" customHeight="true" outlineLevel="0" collapsed="false">
      <c r="A1802" s="11" t="str">
        <f aca="false">IF(원본명단!$A1801="","",1799)</f>
        <v/>
      </c>
      <c r="B1802" s="12" t="str">
        <f aca="false">IF($A1802="","",원본명단!$A1801)</f>
        <v/>
      </c>
      <c r="C1802" s="12" t="str">
        <f aca="false">IF($A1802="","",원본명단!$B1801)</f>
        <v/>
      </c>
      <c r="D1802" s="12" t="str">
        <f aca="false">IF($A1802="","",원본명단!$D1801)</f>
        <v/>
      </c>
      <c r="E1802" s="11" t="str">
        <f aca="false">IF($A1802="","",IF(원본명단!$H1801="",0,COUNTIF(원본명단!$H$3:$H$6002,원본명단!$H1801)))</f>
        <v/>
      </c>
      <c r="F1802" s="11" t="str">
        <f aca="false">IF($A1802="","",IF(원본명단!$I1801="",0,COUNTIF(원본명단!$I$3:$I$6002,원본명단!$I1801)))</f>
        <v/>
      </c>
      <c r="G1802" s="11" t="str">
        <f aca="false">IF($A1802="","",IF(원본명단!$K1801="",0,COUNTIF(원본명단!$K$3:$K$6002,원본명단!$K1801)))</f>
        <v/>
      </c>
      <c r="H1802" s="11" t="str">
        <f aca="false">IF($A1802="","",IF(MAX($E1802,$F1802,$G1802)&gt;1,"중복","-"))</f>
        <v/>
      </c>
      <c r="I1802" s="11" t="str">
        <f aca="false">IF($A1802="","",IF($H1802="-","-",IF(AND(IF(원본명단!$H1801="",TRUE(),COUNTIF(원본명단!$H$3:$H1801,원본명단!$H1801)=1),IF(원본명단!$I1801="",TRUE(),COUNTIF(원본명단!$I$3:$I1801,원본명단!$I1801)=1),IF(원본명단!$K1801="",TRUE(),COUNTIF(원본명단!$K$3:$K1801,원본명단!$K1801)=1)),"첫 건","중복 건")))</f>
        <v/>
      </c>
      <c r="J1802" s="11" t="str">
        <f aca="false">IF($A1802="","",IF($H1802="-","유지",IF($I1802="첫 건","유지","확인 필요")))</f>
        <v/>
      </c>
    </row>
    <row r="1803" customFormat="false" ht="15" hidden="false" customHeight="true" outlineLevel="0" collapsed="false">
      <c r="A1803" s="11" t="str">
        <f aca="false">IF(원본명단!$A1802="","",1800)</f>
        <v/>
      </c>
      <c r="B1803" s="12" t="str">
        <f aca="false">IF($A1803="","",원본명단!$A1802)</f>
        <v/>
      </c>
      <c r="C1803" s="12" t="str">
        <f aca="false">IF($A1803="","",원본명단!$B1802)</f>
        <v/>
      </c>
      <c r="D1803" s="12" t="str">
        <f aca="false">IF($A1803="","",원본명단!$D1802)</f>
        <v/>
      </c>
      <c r="E1803" s="11" t="str">
        <f aca="false">IF($A1803="","",IF(원본명단!$H1802="",0,COUNTIF(원본명단!$H$3:$H$6002,원본명단!$H1802)))</f>
        <v/>
      </c>
      <c r="F1803" s="11" t="str">
        <f aca="false">IF($A1803="","",IF(원본명단!$I1802="",0,COUNTIF(원본명단!$I$3:$I$6002,원본명단!$I1802)))</f>
        <v/>
      </c>
      <c r="G1803" s="11" t="str">
        <f aca="false">IF($A1803="","",IF(원본명단!$K1802="",0,COUNTIF(원본명단!$K$3:$K$6002,원본명단!$K1802)))</f>
        <v/>
      </c>
      <c r="H1803" s="11" t="str">
        <f aca="false">IF($A1803="","",IF(MAX($E1803,$F1803,$G1803)&gt;1,"중복","-"))</f>
        <v/>
      </c>
      <c r="I1803" s="11" t="str">
        <f aca="false">IF($A1803="","",IF($H1803="-","-",IF(AND(IF(원본명단!$H1802="",TRUE(),COUNTIF(원본명단!$H$3:$H1802,원본명단!$H1802)=1),IF(원본명단!$I1802="",TRUE(),COUNTIF(원본명단!$I$3:$I1802,원본명단!$I1802)=1),IF(원본명단!$K1802="",TRUE(),COUNTIF(원본명단!$K$3:$K1802,원본명단!$K1802)=1)),"첫 건","중복 건")))</f>
        <v/>
      </c>
      <c r="J1803" s="11" t="str">
        <f aca="false">IF($A1803="","",IF($H1803="-","유지",IF($I1803="첫 건","유지","확인 필요")))</f>
        <v/>
      </c>
    </row>
    <row r="1804" customFormat="false" ht="15" hidden="false" customHeight="true" outlineLevel="0" collapsed="false">
      <c r="A1804" s="11" t="str">
        <f aca="false">IF(원본명단!$A1803="","",1801)</f>
        <v/>
      </c>
      <c r="B1804" s="12" t="str">
        <f aca="false">IF($A1804="","",원본명단!$A1803)</f>
        <v/>
      </c>
      <c r="C1804" s="12" t="str">
        <f aca="false">IF($A1804="","",원본명단!$B1803)</f>
        <v/>
      </c>
      <c r="D1804" s="12" t="str">
        <f aca="false">IF($A1804="","",원본명단!$D1803)</f>
        <v/>
      </c>
      <c r="E1804" s="11" t="str">
        <f aca="false">IF($A1804="","",IF(원본명단!$H1803="",0,COUNTIF(원본명단!$H$3:$H$6002,원본명단!$H1803)))</f>
        <v/>
      </c>
      <c r="F1804" s="11" t="str">
        <f aca="false">IF($A1804="","",IF(원본명단!$I1803="",0,COUNTIF(원본명단!$I$3:$I$6002,원본명단!$I1803)))</f>
        <v/>
      </c>
      <c r="G1804" s="11" t="str">
        <f aca="false">IF($A1804="","",IF(원본명단!$K1803="",0,COUNTIF(원본명단!$K$3:$K$6002,원본명단!$K1803)))</f>
        <v/>
      </c>
      <c r="H1804" s="11" t="str">
        <f aca="false">IF($A1804="","",IF(MAX($E1804,$F1804,$G1804)&gt;1,"중복","-"))</f>
        <v/>
      </c>
      <c r="I1804" s="11" t="str">
        <f aca="false">IF($A1804="","",IF($H1804="-","-",IF(AND(IF(원본명단!$H1803="",TRUE(),COUNTIF(원본명단!$H$3:$H1803,원본명단!$H1803)=1),IF(원본명단!$I1803="",TRUE(),COUNTIF(원본명단!$I$3:$I1803,원본명단!$I1803)=1),IF(원본명단!$K1803="",TRUE(),COUNTIF(원본명단!$K$3:$K1803,원본명단!$K1803)=1)),"첫 건","중복 건")))</f>
        <v/>
      </c>
      <c r="J1804" s="11" t="str">
        <f aca="false">IF($A1804="","",IF($H1804="-","유지",IF($I1804="첫 건","유지","확인 필요")))</f>
        <v/>
      </c>
    </row>
    <row r="1805" customFormat="false" ht="15" hidden="false" customHeight="true" outlineLevel="0" collapsed="false">
      <c r="A1805" s="11" t="str">
        <f aca="false">IF(원본명단!$A1804="","",1802)</f>
        <v/>
      </c>
      <c r="B1805" s="12" t="str">
        <f aca="false">IF($A1805="","",원본명단!$A1804)</f>
        <v/>
      </c>
      <c r="C1805" s="12" t="str">
        <f aca="false">IF($A1805="","",원본명단!$B1804)</f>
        <v/>
      </c>
      <c r="D1805" s="12" t="str">
        <f aca="false">IF($A1805="","",원본명단!$D1804)</f>
        <v/>
      </c>
      <c r="E1805" s="11" t="str">
        <f aca="false">IF($A1805="","",IF(원본명단!$H1804="",0,COUNTIF(원본명단!$H$3:$H$6002,원본명단!$H1804)))</f>
        <v/>
      </c>
      <c r="F1805" s="11" t="str">
        <f aca="false">IF($A1805="","",IF(원본명단!$I1804="",0,COUNTIF(원본명단!$I$3:$I$6002,원본명단!$I1804)))</f>
        <v/>
      </c>
      <c r="G1805" s="11" t="str">
        <f aca="false">IF($A1805="","",IF(원본명단!$K1804="",0,COUNTIF(원본명단!$K$3:$K$6002,원본명단!$K1804)))</f>
        <v/>
      </c>
      <c r="H1805" s="11" t="str">
        <f aca="false">IF($A1805="","",IF(MAX($E1805,$F1805,$G1805)&gt;1,"중복","-"))</f>
        <v/>
      </c>
      <c r="I1805" s="11" t="str">
        <f aca="false">IF($A1805="","",IF($H1805="-","-",IF(AND(IF(원본명단!$H1804="",TRUE(),COUNTIF(원본명단!$H$3:$H1804,원본명단!$H1804)=1),IF(원본명단!$I1804="",TRUE(),COUNTIF(원본명단!$I$3:$I1804,원본명단!$I1804)=1),IF(원본명단!$K1804="",TRUE(),COUNTIF(원본명단!$K$3:$K1804,원본명단!$K1804)=1)),"첫 건","중복 건")))</f>
        <v/>
      </c>
      <c r="J1805" s="11" t="str">
        <f aca="false">IF($A1805="","",IF($H1805="-","유지",IF($I1805="첫 건","유지","확인 필요")))</f>
        <v/>
      </c>
    </row>
    <row r="1806" customFormat="false" ht="15" hidden="false" customHeight="true" outlineLevel="0" collapsed="false">
      <c r="A1806" s="11" t="str">
        <f aca="false">IF(원본명단!$A1805="","",1803)</f>
        <v/>
      </c>
      <c r="B1806" s="12" t="str">
        <f aca="false">IF($A1806="","",원본명단!$A1805)</f>
        <v/>
      </c>
      <c r="C1806" s="12" t="str">
        <f aca="false">IF($A1806="","",원본명단!$B1805)</f>
        <v/>
      </c>
      <c r="D1806" s="12" t="str">
        <f aca="false">IF($A1806="","",원본명단!$D1805)</f>
        <v/>
      </c>
      <c r="E1806" s="11" t="str">
        <f aca="false">IF($A1806="","",IF(원본명단!$H1805="",0,COUNTIF(원본명단!$H$3:$H$6002,원본명단!$H1805)))</f>
        <v/>
      </c>
      <c r="F1806" s="11" t="str">
        <f aca="false">IF($A1806="","",IF(원본명단!$I1805="",0,COUNTIF(원본명단!$I$3:$I$6002,원본명단!$I1805)))</f>
        <v/>
      </c>
      <c r="G1806" s="11" t="str">
        <f aca="false">IF($A1806="","",IF(원본명단!$K1805="",0,COUNTIF(원본명단!$K$3:$K$6002,원본명단!$K1805)))</f>
        <v/>
      </c>
      <c r="H1806" s="11" t="str">
        <f aca="false">IF($A1806="","",IF(MAX($E1806,$F1806,$G1806)&gt;1,"중복","-"))</f>
        <v/>
      </c>
      <c r="I1806" s="11" t="str">
        <f aca="false">IF($A1806="","",IF($H1806="-","-",IF(AND(IF(원본명단!$H1805="",TRUE(),COUNTIF(원본명단!$H$3:$H1805,원본명단!$H1805)=1),IF(원본명단!$I1805="",TRUE(),COUNTIF(원본명단!$I$3:$I1805,원본명단!$I1805)=1),IF(원본명단!$K1805="",TRUE(),COUNTIF(원본명단!$K$3:$K1805,원본명단!$K1805)=1)),"첫 건","중복 건")))</f>
        <v/>
      </c>
      <c r="J1806" s="11" t="str">
        <f aca="false">IF($A1806="","",IF($H1806="-","유지",IF($I1806="첫 건","유지","확인 필요")))</f>
        <v/>
      </c>
    </row>
    <row r="1807" customFormat="false" ht="15" hidden="false" customHeight="true" outlineLevel="0" collapsed="false">
      <c r="A1807" s="11" t="str">
        <f aca="false">IF(원본명단!$A1806="","",1804)</f>
        <v/>
      </c>
      <c r="B1807" s="12" t="str">
        <f aca="false">IF($A1807="","",원본명단!$A1806)</f>
        <v/>
      </c>
      <c r="C1807" s="12" t="str">
        <f aca="false">IF($A1807="","",원본명단!$B1806)</f>
        <v/>
      </c>
      <c r="D1807" s="12" t="str">
        <f aca="false">IF($A1807="","",원본명단!$D1806)</f>
        <v/>
      </c>
      <c r="E1807" s="11" t="str">
        <f aca="false">IF($A1807="","",IF(원본명단!$H1806="",0,COUNTIF(원본명단!$H$3:$H$6002,원본명단!$H1806)))</f>
        <v/>
      </c>
      <c r="F1807" s="11" t="str">
        <f aca="false">IF($A1807="","",IF(원본명단!$I1806="",0,COUNTIF(원본명단!$I$3:$I$6002,원본명단!$I1806)))</f>
        <v/>
      </c>
      <c r="G1807" s="11" t="str">
        <f aca="false">IF($A1807="","",IF(원본명단!$K1806="",0,COUNTIF(원본명단!$K$3:$K$6002,원본명단!$K1806)))</f>
        <v/>
      </c>
      <c r="H1807" s="11" t="str">
        <f aca="false">IF($A1807="","",IF(MAX($E1807,$F1807,$G1807)&gt;1,"중복","-"))</f>
        <v/>
      </c>
      <c r="I1807" s="11" t="str">
        <f aca="false">IF($A1807="","",IF($H1807="-","-",IF(AND(IF(원본명단!$H1806="",TRUE(),COUNTIF(원본명단!$H$3:$H1806,원본명단!$H1806)=1),IF(원본명단!$I1806="",TRUE(),COUNTIF(원본명단!$I$3:$I1806,원본명단!$I1806)=1),IF(원본명단!$K1806="",TRUE(),COUNTIF(원본명단!$K$3:$K1806,원본명단!$K1806)=1)),"첫 건","중복 건")))</f>
        <v/>
      </c>
      <c r="J1807" s="11" t="str">
        <f aca="false">IF($A1807="","",IF($H1807="-","유지",IF($I1807="첫 건","유지","확인 필요")))</f>
        <v/>
      </c>
    </row>
    <row r="1808" customFormat="false" ht="15" hidden="false" customHeight="true" outlineLevel="0" collapsed="false">
      <c r="A1808" s="11" t="str">
        <f aca="false">IF(원본명단!$A1807="","",1805)</f>
        <v/>
      </c>
      <c r="B1808" s="12" t="str">
        <f aca="false">IF($A1808="","",원본명단!$A1807)</f>
        <v/>
      </c>
      <c r="C1808" s="12" t="str">
        <f aca="false">IF($A1808="","",원본명단!$B1807)</f>
        <v/>
      </c>
      <c r="D1808" s="12" t="str">
        <f aca="false">IF($A1808="","",원본명단!$D1807)</f>
        <v/>
      </c>
      <c r="E1808" s="11" t="str">
        <f aca="false">IF($A1808="","",IF(원본명단!$H1807="",0,COUNTIF(원본명단!$H$3:$H$6002,원본명단!$H1807)))</f>
        <v/>
      </c>
      <c r="F1808" s="11" t="str">
        <f aca="false">IF($A1808="","",IF(원본명단!$I1807="",0,COUNTIF(원본명단!$I$3:$I$6002,원본명단!$I1807)))</f>
        <v/>
      </c>
      <c r="G1808" s="11" t="str">
        <f aca="false">IF($A1808="","",IF(원본명단!$K1807="",0,COUNTIF(원본명단!$K$3:$K$6002,원본명단!$K1807)))</f>
        <v/>
      </c>
      <c r="H1808" s="11" t="str">
        <f aca="false">IF($A1808="","",IF(MAX($E1808,$F1808,$G1808)&gt;1,"중복","-"))</f>
        <v/>
      </c>
      <c r="I1808" s="11" t="str">
        <f aca="false">IF($A1808="","",IF($H1808="-","-",IF(AND(IF(원본명단!$H1807="",TRUE(),COUNTIF(원본명단!$H$3:$H1807,원본명단!$H1807)=1),IF(원본명단!$I1807="",TRUE(),COUNTIF(원본명단!$I$3:$I1807,원본명단!$I1807)=1),IF(원본명단!$K1807="",TRUE(),COUNTIF(원본명단!$K$3:$K1807,원본명단!$K1807)=1)),"첫 건","중복 건")))</f>
        <v/>
      </c>
      <c r="J1808" s="11" t="str">
        <f aca="false">IF($A1808="","",IF($H1808="-","유지",IF($I1808="첫 건","유지","확인 필요")))</f>
        <v/>
      </c>
    </row>
    <row r="1809" customFormat="false" ht="15" hidden="false" customHeight="true" outlineLevel="0" collapsed="false">
      <c r="A1809" s="11" t="str">
        <f aca="false">IF(원본명단!$A1808="","",1806)</f>
        <v/>
      </c>
      <c r="B1809" s="12" t="str">
        <f aca="false">IF($A1809="","",원본명단!$A1808)</f>
        <v/>
      </c>
      <c r="C1809" s="12" t="str">
        <f aca="false">IF($A1809="","",원본명단!$B1808)</f>
        <v/>
      </c>
      <c r="D1809" s="12" t="str">
        <f aca="false">IF($A1809="","",원본명단!$D1808)</f>
        <v/>
      </c>
      <c r="E1809" s="11" t="str">
        <f aca="false">IF($A1809="","",IF(원본명단!$H1808="",0,COUNTIF(원본명단!$H$3:$H$6002,원본명단!$H1808)))</f>
        <v/>
      </c>
      <c r="F1809" s="11" t="str">
        <f aca="false">IF($A1809="","",IF(원본명단!$I1808="",0,COUNTIF(원본명단!$I$3:$I$6002,원본명단!$I1808)))</f>
        <v/>
      </c>
      <c r="G1809" s="11" t="str">
        <f aca="false">IF($A1809="","",IF(원본명단!$K1808="",0,COUNTIF(원본명단!$K$3:$K$6002,원본명단!$K1808)))</f>
        <v/>
      </c>
      <c r="H1809" s="11" t="str">
        <f aca="false">IF($A1809="","",IF(MAX($E1809,$F1809,$G1809)&gt;1,"중복","-"))</f>
        <v/>
      </c>
      <c r="I1809" s="11" t="str">
        <f aca="false">IF($A1809="","",IF($H1809="-","-",IF(AND(IF(원본명단!$H1808="",TRUE(),COUNTIF(원본명단!$H$3:$H1808,원본명단!$H1808)=1),IF(원본명단!$I1808="",TRUE(),COUNTIF(원본명단!$I$3:$I1808,원본명단!$I1808)=1),IF(원본명단!$K1808="",TRUE(),COUNTIF(원본명단!$K$3:$K1808,원본명단!$K1808)=1)),"첫 건","중복 건")))</f>
        <v/>
      </c>
      <c r="J1809" s="11" t="str">
        <f aca="false">IF($A1809="","",IF($H1809="-","유지",IF($I1809="첫 건","유지","확인 필요")))</f>
        <v/>
      </c>
    </row>
    <row r="1810" customFormat="false" ht="15" hidden="false" customHeight="true" outlineLevel="0" collapsed="false">
      <c r="A1810" s="11" t="str">
        <f aca="false">IF(원본명단!$A1809="","",1807)</f>
        <v/>
      </c>
      <c r="B1810" s="12" t="str">
        <f aca="false">IF($A1810="","",원본명단!$A1809)</f>
        <v/>
      </c>
      <c r="C1810" s="12" t="str">
        <f aca="false">IF($A1810="","",원본명단!$B1809)</f>
        <v/>
      </c>
      <c r="D1810" s="12" t="str">
        <f aca="false">IF($A1810="","",원본명단!$D1809)</f>
        <v/>
      </c>
      <c r="E1810" s="11" t="str">
        <f aca="false">IF($A1810="","",IF(원본명단!$H1809="",0,COUNTIF(원본명단!$H$3:$H$6002,원본명단!$H1809)))</f>
        <v/>
      </c>
      <c r="F1810" s="11" t="str">
        <f aca="false">IF($A1810="","",IF(원본명단!$I1809="",0,COUNTIF(원본명단!$I$3:$I$6002,원본명단!$I1809)))</f>
        <v/>
      </c>
      <c r="G1810" s="11" t="str">
        <f aca="false">IF($A1810="","",IF(원본명단!$K1809="",0,COUNTIF(원본명단!$K$3:$K$6002,원본명단!$K1809)))</f>
        <v/>
      </c>
      <c r="H1810" s="11" t="str">
        <f aca="false">IF($A1810="","",IF(MAX($E1810,$F1810,$G1810)&gt;1,"중복","-"))</f>
        <v/>
      </c>
      <c r="I1810" s="11" t="str">
        <f aca="false">IF($A1810="","",IF($H1810="-","-",IF(AND(IF(원본명단!$H1809="",TRUE(),COUNTIF(원본명단!$H$3:$H1809,원본명단!$H1809)=1),IF(원본명단!$I1809="",TRUE(),COUNTIF(원본명단!$I$3:$I1809,원본명단!$I1809)=1),IF(원본명단!$K1809="",TRUE(),COUNTIF(원본명단!$K$3:$K1809,원본명단!$K1809)=1)),"첫 건","중복 건")))</f>
        <v/>
      </c>
      <c r="J1810" s="11" t="str">
        <f aca="false">IF($A1810="","",IF($H1810="-","유지",IF($I1810="첫 건","유지","확인 필요")))</f>
        <v/>
      </c>
    </row>
    <row r="1811" customFormat="false" ht="15" hidden="false" customHeight="true" outlineLevel="0" collapsed="false">
      <c r="A1811" s="11" t="str">
        <f aca="false">IF(원본명단!$A1810="","",1808)</f>
        <v/>
      </c>
      <c r="B1811" s="12" t="str">
        <f aca="false">IF($A1811="","",원본명단!$A1810)</f>
        <v/>
      </c>
      <c r="C1811" s="12" t="str">
        <f aca="false">IF($A1811="","",원본명단!$B1810)</f>
        <v/>
      </c>
      <c r="D1811" s="12" t="str">
        <f aca="false">IF($A1811="","",원본명단!$D1810)</f>
        <v/>
      </c>
      <c r="E1811" s="11" t="str">
        <f aca="false">IF($A1811="","",IF(원본명단!$H1810="",0,COUNTIF(원본명단!$H$3:$H$6002,원본명단!$H1810)))</f>
        <v/>
      </c>
      <c r="F1811" s="11" t="str">
        <f aca="false">IF($A1811="","",IF(원본명단!$I1810="",0,COUNTIF(원본명단!$I$3:$I$6002,원본명단!$I1810)))</f>
        <v/>
      </c>
      <c r="G1811" s="11" t="str">
        <f aca="false">IF($A1811="","",IF(원본명단!$K1810="",0,COUNTIF(원본명단!$K$3:$K$6002,원본명단!$K1810)))</f>
        <v/>
      </c>
      <c r="H1811" s="11" t="str">
        <f aca="false">IF($A1811="","",IF(MAX($E1811,$F1811,$G1811)&gt;1,"중복","-"))</f>
        <v/>
      </c>
      <c r="I1811" s="11" t="str">
        <f aca="false">IF($A1811="","",IF($H1811="-","-",IF(AND(IF(원본명단!$H1810="",TRUE(),COUNTIF(원본명단!$H$3:$H1810,원본명단!$H1810)=1),IF(원본명단!$I1810="",TRUE(),COUNTIF(원본명단!$I$3:$I1810,원본명단!$I1810)=1),IF(원본명단!$K1810="",TRUE(),COUNTIF(원본명단!$K$3:$K1810,원본명단!$K1810)=1)),"첫 건","중복 건")))</f>
        <v/>
      </c>
      <c r="J1811" s="11" t="str">
        <f aca="false">IF($A1811="","",IF($H1811="-","유지",IF($I1811="첫 건","유지","확인 필요")))</f>
        <v/>
      </c>
    </row>
    <row r="1812" customFormat="false" ht="15" hidden="false" customHeight="true" outlineLevel="0" collapsed="false">
      <c r="A1812" s="11" t="str">
        <f aca="false">IF(원본명단!$A1811="","",1809)</f>
        <v/>
      </c>
      <c r="B1812" s="12" t="str">
        <f aca="false">IF($A1812="","",원본명단!$A1811)</f>
        <v/>
      </c>
      <c r="C1812" s="12" t="str">
        <f aca="false">IF($A1812="","",원본명단!$B1811)</f>
        <v/>
      </c>
      <c r="D1812" s="12" t="str">
        <f aca="false">IF($A1812="","",원본명단!$D1811)</f>
        <v/>
      </c>
      <c r="E1812" s="11" t="str">
        <f aca="false">IF($A1812="","",IF(원본명단!$H1811="",0,COUNTIF(원본명단!$H$3:$H$6002,원본명단!$H1811)))</f>
        <v/>
      </c>
      <c r="F1812" s="11" t="str">
        <f aca="false">IF($A1812="","",IF(원본명단!$I1811="",0,COUNTIF(원본명단!$I$3:$I$6002,원본명단!$I1811)))</f>
        <v/>
      </c>
      <c r="G1812" s="11" t="str">
        <f aca="false">IF($A1812="","",IF(원본명단!$K1811="",0,COUNTIF(원본명단!$K$3:$K$6002,원본명단!$K1811)))</f>
        <v/>
      </c>
      <c r="H1812" s="11" t="str">
        <f aca="false">IF($A1812="","",IF(MAX($E1812,$F1812,$G1812)&gt;1,"중복","-"))</f>
        <v/>
      </c>
      <c r="I1812" s="11" t="str">
        <f aca="false">IF($A1812="","",IF($H1812="-","-",IF(AND(IF(원본명단!$H1811="",TRUE(),COUNTIF(원본명단!$H$3:$H1811,원본명단!$H1811)=1),IF(원본명단!$I1811="",TRUE(),COUNTIF(원본명단!$I$3:$I1811,원본명단!$I1811)=1),IF(원본명단!$K1811="",TRUE(),COUNTIF(원본명단!$K$3:$K1811,원본명단!$K1811)=1)),"첫 건","중복 건")))</f>
        <v/>
      </c>
      <c r="J1812" s="11" t="str">
        <f aca="false">IF($A1812="","",IF($H1812="-","유지",IF($I1812="첫 건","유지","확인 필요")))</f>
        <v/>
      </c>
    </row>
    <row r="1813" customFormat="false" ht="15" hidden="false" customHeight="true" outlineLevel="0" collapsed="false">
      <c r="A1813" s="11" t="str">
        <f aca="false">IF(원본명단!$A1812="","",1810)</f>
        <v/>
      </c>
      <c r="B1813" s="12" t="str">
        <f aca="false">IF($A1813="","",원본명단!$A1812)</f>
        <v/>
      </c>
      <c r="C1813" s="12" t="str">
        <f aca="false">IF($A1813="","",원본명단!$B1812)</f>
        <v/>
      </c>
      <c r="D1813" s="12" t="str">
        <f aca="false">IF($A1813="","",원본명단!$D1812)</f>
        <v/>
      </c>
      <c r="E1813" s="11" t="str">
        <f aca="false">IF($A1813="","",IF(원본명단!$H1812="",0,COUNTIF(원본명단!$H$3:$H$6002,원본명단!$H1812)))</f>
        <v/>
      </c>
      <c r="F1813" s="11" t="str">
        <f aca="false">IF($A1813="","",IF(원본명단!$I1812="",0,COUNTIF(원본명단!$I$3:$I$6002,원본명단!$I1812)))</f>
        <v/>
      </c>
      <c r="G1813" s="11" t="str">
        <f aca="false">IF($A1813="","",IF(원본명단!$K1812="",0,COUNTIF(원본명단!$K$3:$K$6002,원본명단!$K1812)))</f>
        <v/>
      </c>
      <c r="H1813" s="11" t="str">
        <f aca="false">IF($A1813="","",IF(MAX($E1813,$F1813,$G1813)&gt;1,"중복","-"))</f>
        <v/>
      </c>
      <c r="I1813" s="11" t="str">
        <f aca="false">IF($A1813="","",IF($H1813="-","-",IF(AND(IF(원본명단!$H1812="",TRUE(),COUNTIF(원본명단!$H$3:$H1812,원본명단!$H1812)=1),IF(원본명단!$I1812="",TRUE(),COUNTIF(원본명단!$I$3:$I1812,원본명단!$I1812)=1),IF(원본명단!$K1812="",TRUE(),COUNTIF(원본명단!$K$3:$K1812,원본명단!$K1812)=1)),"첫 건","중복 건")))</f>
        <v/>
      </c>
      <c r="J1813" s="11" t="str">
        <f aca="false">IF($A1813="","",IF($H1813="-","유지",IF($I1813="첫 건","유지","확인 필요")))</f>
        <v/>
      </c>
    </row>
    <row r="1814" customFormat="false" ht="15" hidden="false" customHeight="true" outlineLevel="0" collapsed="false">
      <c r="A1814" s="11" t="str">
        <f aca="false">IF(원본명단!$A1813="","",1811)</f>
        <v/>
      </c>
      <c r="B1814" s="12" t="str">
        <f aca="false">IF($A1814="","",원본명단!$A1813)</f>
        <v/>
      </c>
      <c r="C1814" s="12" t="str">
        <f aca="false">IF($A1814="","",원본명단!$B1813)</f>
        <v/>
      </c>
      <c r="D1814" s="12" t="str">
        <f aca="false">IF($A1814="","",원본명단!$D1813)</f>
        <v/>
      </c>
      <c r="E1814" s="11" t="str">
        <f aca="false">IF($A1814="","",IF(원본명단!$H1813="",0,COUNTIF(원본명단!$H$3:$H$6002,원본명단!$H1813)))</f>
        <v/>
      </c>
      <c r="F1814" s="11" t="str">
        <f aca="false">IF($A1814="","",IF(원본명단!$I1813="",0,COUNTIF(원본명단!$I$3:$I$6002,원본명단!$I1813)))</f>
        <v/>
      </c>
      <c r="G1814" s="11" t="str">
        <f aca="false">IF($A1814="","",IF(원본명단!$K1813="",0,COUNTIF(원본명단!$K$3:$K$6002,원본명단!$K1813)))</f>
        <v/>
      </c>
      <c r="H1814" s="11" t="str">
        <f aca="false">IF($A1814="","",IF(MAX($E1814,$F1814,$G1814)&gt;1,"중복","-"))</f>
        <v/>
      </c>
      <c r="I1814" s="11" t="str">
        <f aca="false">IF($A1814="","",IF($H1814="-","-",IF(AND(IF(원본명단!$H1813="",TRUE(),COUNTIF(원본명단!$H$3:$H1813,원본명단!$H1813)=1),IF(원본명단!$I1813="",TRUE(),COUNTIF(원본명단!$I$3:$I1813,원본명단!$I1813)=1),IF(원본명단!$K1813="",TRUE(),COUNTIF(원본명단!$K$3:$K1813,원본명단!$K1813)=1)),"첫 건","중복 건")))</f>
        <v/>
      </c>
      <c r="J1814" s="11" t="str">
        <f aca="false">IF($A1814="","",IF($H1814="-","유지",IF($I1814="첫 건","유지","확인 필요")))</f>
        <v/>
      </c>
    </row>
    <row r="1815" customFormat="false" ht="15" hidden="false" customHeight="true" outlineLevel="0" collapsed="false">
      <c r="A1815" s="11" t="str">
        <f aca="false">IF(원본명단!$A1814="","",1812)</f>
        <v/>
      </c>
      <c r="B1815" s="12" t="str">
        <f aca="false">IF($A1815="","",원본명단!$A1814)</f>
        <v/>
      </c>
      <c r="C1815" s="12" t="str">
        <f aca="false">IF($A1815="","",원본명단!$B1814)</f>
        <v/>
      </c>
      <c r="D1815" s="12" t="str">
        <f aca="false">IF($A1815="","",원본명단!$D1814)</f>
        <v/>
      </c>
      <c r="E1815" s="11" t="str">
        <f aca="false">IF($A1815="","",IF(원본명단!$H1814="",0,COUNTIF(원본명단!$H$3:$H$6002,원본명단!$H1814)))</f>
        <v/>
      </c>
      <c r="F1815" s="11" t="str">
        <f aca="false">IF($A1815="","",IF(원본명단!$I1814="",0,COUNTIF(원본명단!$I$3:$I$6002,원본명단!$I1814)))</f>
        <v/>
      </c>
      <c r="G1815" s="11" t="str">
        <f aca="false">IF($A1815="","",IF(원본명단!$K1814="",0,COUNTIF(원본명단!$K$3:$K$6002,원본명단!$K1814)))</f>
        <v/>
      </c>
      <c r="H1815" s="11" t="str">
        <f aca="false">IF($A1815="","",IF(MAX($E1815,$F1815,$G1815)&gt;1,"중복","-"))</f>
        <v/>
      </c>
      <c r="I1815" s="11" t="str">
        <f aca="false">IF($A1815="","",IF($H1815="-","-",IF(AND(IF(원본명단!$H1814="",TRUE(),COUNTIF(원본명단!$H$3:$H1814,원본명단!$H1814)=1),IF(원본명단!$I1814="",TRUE(),COUNTIF(원본명단!$I$3:$I1814,원본명단!$I1814)=1),IF(원본명단!$K1814="",TRUE(),COUNTIF(원본명단!$K$3:$K1814,원본명단!$K1814)=1)),"첫 건","중복 건")))</f>
        <v/>
      </c>
      <c r="J1815" s="11" t="str">
        <f aca="false">IF($A1815="","",IF($H1815="-","유지",IF($I1815="첫 건","유지","확인 필요")))</f>
        <v/>
      </c>
    </row>
    <row r="1816" customFormat="false" ht="15" hidden="false" customHeight="true" outlineLevel="0" collapsed="false">
      <c r="A1816" s="11" t="str">
        <f aca="false">IF(원본명단!$A1815="","",1813)</f>
        <v/>
      </c>
      <c r="B1816" s="12" t="str">
        <f aca="false">IF($A1816="","",원본명단!$A1815)</f>
        <v/>
      </c>
      <c r="C1816" s="12" t="str">
        <f aca="false">IF($A1816="","",원본명단!$B1815)</f>
        <v/>
      </c>
      <c r="D1816" s="12" t="str">
        <f aca="false">IF($A1816="","",원본명단!$D1815)</f>
        <v/>
      </c>
      <c r="E1816" s="11" t="str">
        <f aca="false">IF($A1816="","",IF(원본명단!$H1815="",0,COUNTIF(원본명단!$H$3:$H$6002,원본명단!$H1815)))</f>
        <v/>
      </c>
      <c r="F1816" s="11" t="str">
        <f aca="false">IF($A1816="","",IF(원본명단!$I1815="",0,COUNTIF(원본명단!$I$3:$I$6002,원본명단!$I1815)))</f>
        <v/>
      </c>
      <c r="G1816" s="11" t="str">
        <f aca="false">IF($A1816="","",IF(원본명단!$K1815="",0,COUNTIF(원본명단!$K$3:$K$6002,원본명단!$K1815)))</f>
        <v/>
      </c>
      <c r="H1816" s="11" t="str">
        <f aca="false">IF($A1816="","",IF(MAX($E1816,$F1816,$G1816)&gt;1,"중복","-"))</f>
        <v/>
      </c>
      <c r="I1816" s="11" t="str">
        <f aca="false">IF($A1816="","",IF($H1816="-","-",IF(AND(IF(원본명단!$H1815="",TRUE(),COUNTIF(원본명단!$H$3:$H1815,원본명단!$H1815)=1),IF(원본명단!$I1815="",TRUE(),COUNTIF(원본명단!$I$3:$I1815,원본명단!$I1815)=1),IF(원본명단!$K1815="",TRUE(),COUNTIF(원본명단!$K$3:$K1815,원본명단!$K1815)=1)),"첫 건","중복 건")))</f>
        <v/>
      </c>
      <c r="J1816" s="11" t="str">
        <f aca="false">IF($A1816="","",IF($H1816="-","유지",IF($I1816="첫 건","유지","확인 필요")))</f>
        <v/>
      </c>
    </row>
    <row r="1817" customFormat="false" ht="15" hidden="false" customHeight="true" outlineLevel="0" collapsed="false">
      <c r="A1817" s="11" t="str">
        <f aca="false">IF(원본명단!$A1816="","",1814)</f>
        <v/>
      </c>
      <c r="B1817" s="12" t="str">
        <f aca="false">IF($A1817="","",원본명단!$A1816)</f>
        <v/>
      </c>
      <c r="C1817" s="12" t="str">
        <f aca="false">IF($A1817="","",원본명단!$B1816)</f>
        <v/>
      </c>
      <c r="D1817" s="12" t="str">
        <f aca="false">IF($A1817="","",원본명단!$D1816)</f>
        <v/>
      </c>
      <c r="E1817" s="11" t="str">
        <f aca="false">IF($A1817="","",IF(원본명단!$H1816="",0,COUNTIF(원본명단!$H$3:$H$6002,원본명단!$H1816)))</f>
        <v/>
      </c>
      <c r="F1817" s="11" t="str">
        <f aca="false">IF($A1817="","",IF(원본명단!$I1816="",0,COUNTIF(원본명단!$I$3:$I$6002,원본명단!$I1816)))</f>
        <v/>
      </c>
      <c r="G1817" s="11" t="str">
        <f aca="false">IF($A1817="","",IF(원본명단!$K1816="",0,COUNTIF(원본명단!$K$3:$K$6002,원본명단!$K1816)))</f>
        <v/>
      </c>
      <c r="H1817" s="11" t="str">
        <f aca="false">IF($A1817="","",IF(MAX($E1817,$F1817,$G1817)&gt;1,"중복","-"))</f>
        <v/>
      </c>
      <c r="I1817" s="11" t="str">
        <f aca="false">IF($A1817="","",IF($H1817="-","-",IF(AND(IF(원본명단!$H1816="",TRUE(),COUNTIF(원본명단!$H$3:$H1816,원본명단!$H1816)=1),IF(원본명단!$I1816="",TRUE(),COUNTIF(원본명단!$I$3:$I1816,원본명단!$I1816)=1),IF(원본명단!$K1816="",TRUE(),COUNTIF(원본명단!$K$3:$K1816,원본명단!$K1816)=1)),"첫 건","중복 건")))</f>
        <v/>
      </c>
      <c r="J1817" s="11" t="str">
        <f aca="false">IF($A1817="","",IF($H1817="-","유지",IF($I1817="첫 건","유지","확인 필요")))</f>
        <v/>
      </c>
    </row>
    <row r="1818" customFormat="false" ht="15" hidden="false" customHeight="true" outlineLevel="0" collapsed="false">
      <c r="A1818" s="11" t="str">
        <f aca="false">IF(원본명단!$A1817="","",1815)</f>
        <v/>
      </c>
      <c r="B1818" s="12" t="str">
        <f aca="false">IF($A1818="","",원본명단!$A1817)</f>
        <v/>
      </c>
      <c r="C1818" s="12" t="str">
        <f aca="false">IF($A1818="","",원본명단!$B1817)</f>
        <v/>
      </c>
      <c r="D1818" s="12" t="str">
        <f aca="false">IF($A1818="","",원본명단!$D1817)</f>
        <v/>
      </c>
      <c r="E1818" s="11" t="str">
        <f aca="false">IF($A1818="","",IF(원본명단!$H1817="",0,COUNTIF(원본명단!$H$3:$H$6002,원본명단!$H1817)))</f>
        <v/>
      </c>
      <c r="F1818" s="11" t="str">
        <f aca="false">IF($A1818="","",IF(원본명단!$I1817="",0,COUNTIF(원본명단!$I$3:$I$6002,원본명단!$I1817)))</f>
        <v/>
      </c>
      <c r="G1818" s="11" t="str">
        <f aca="false">IF($A1818="","",IF(원본명단!$K1817="",0,COUNTIF(원본명단!$K$3:$K$6002,원본명단!$K1817)))</f>
        <v/>
      </c>
      <c r="H1818" s="11" t="str">
        <f aca="false">IF($A1818="","",IF(MAX($E1818,$F1818,$G1818)&gt;1,"중복","-"))</f>
        <v/>
      </c>
      <c r="I1818" s="11" t="str">
        <f aca="false">IF($A1818="","",IF($H1818="-","-",IF(AND(IF(원본명단!$H1817="",TRUE(),COUNTIF(원본명단!$H$3:$H1817,원본명단!$H1817)=1),IF(원본명단!$I1817="",TRUE(),COUNTIF(원본명단!$I$3:$I1817,원본명단!$I1817)=1),IF(원본명단!$K1817="",TRUE(),COUNTIF(원본명단!$K$3:$K1817,원본명단!$K1817)=1)),"첫 건","중복 건")))</f>
        <v/>
      </c>
      <c r="J1818" s="11" t="str">
        <f aca="false">IF($A1818="","",IF($H1818="-","유지",IF($I1818="첫 건","유지","확인 필요")))</f>
        <v/>
      </c>
    </row>
    <row r="1819" customFormat="false" ht="15" hidden="false" customHeight="true" outlineLevel="0" collapsed="false">
      <c r="A1819" s="11" t="str">
        <f aca="false">IF(원본명단!$A1818="","",1816)</f>
        <v/>
      </c>
      <c r="B1819" s="12" t="str">
        <f aca="false">IF($A1819="","",원본명단!$A1818)</f>
        <v/>
      </c>
      <c r="C1819" s="12" t="str">
        <f aca="false">IF($A1819="","",원본명단!$B1818)</f>
        <v/>
      </c>
      <c r="D1819" s="12" t="str">
        <f aca="false">IF($A1819="","",원본명단!$D1818)</f>
        <v/>
      </c>
      <c r="E1819" s="11" t="str">
        <f aca="false">IF($A1819="","",IF(원본명단!$H1818="",0,COUNTIF(원본명단!$H$3:$H$6002,원본명단!$H1818)))</f>
        <v/>
      </c>
      <c r="F1819" s="11" t="str">
        <f aca="false">IF($A1819="","",IF(원본명단!$I1818="",0,COUNTIF(원본명단!$I$3:$I$6002,원본명단!$I1818)))</f>
        <v/>
      </c>
      <c r="G1819" s="11" t="str">
        <f aca="false">IF($A1819="","",IF(원본명단!$K1818="",0,COUNTIF(원본명단!$K$3:$K$6002,원본명단!$K1818)))</f>
        <v/>
      </c>
      <c r="H1819" s="11" t="str">
        <f aca="false">IF($A1819="","",IF(MAX($E1819,$F1819,$G1819)&gt;1,"중복","-"))</f>
        <v/>
      </c>
      <c r="I1819" s="11" t="str">
        <f aca="false">IF($A1819="","",IF($H1819="-","-",IF(AND(IF(원본명단!$H1818="",TRUE(),COUNTIF(원본명단!$H$3:$H1818,원본명단!$H1818)=1),IF(원본명단!$I1818="",TRUE(),COUNTIF(원본명단!$I$3:$I1818,원본명단!$I1818)=1),IF(원본명단!$K1818="",TRUE(),COUNTIF(원본명단!$K$3:$K1818,원본명단!$K1818)=1)),"첫 건","중복 건")))</f>
        <v/>
      </c>
      <c r="J1819" s="11" t="str">
        <f aca="false">IF($A1819="","",IF($H1819="-","유지",IF($I1819="첫 건","유지","확인 필요")))</f>
        <v/>
      </c>
    </row>
    <row r="1820" customFormat="false" ht="15" hidden="false" customHeight="true" outlineLevel="0" collapsed="false">
      <c r="A1820" s="11" t="str">
        <f aca="false">IF(원본명단!$A1819="","",1817)</f>
        <v/>
      </c>
      <c r="B1820" s="12" t="str">
        <f aca="false">IF($A1820="","",원본명단!$A1819)</f>
        <v/>
      </c>
      <c r="C1820" s="12" t="str">
        <f aca="false">IF($A1820="","",원본명단!$B1819)</f>
        <v/>
      </c>
      <c r="D1820" s="12" t="str">
        <f aca="false">IF($A1820="","",원본명단!$D1819)</f>
        <v/>
      </c>
      <c r="E1820" s="11" t="str">
        <f aca="false">IF($A1820="","",IF(원본명단!$H1819="",0,COUNTIF(원본명단!$H$3:$H$6002,원본명단!$H1819)))</f>
        <v/>
      </c>
      <c r="F1820" s="11" t="str">
        <f aca="false">IF($A1820="","",IF(원본명단!$I1819="",0,COUNTIF(원본명단!$I$3:$I$6002,원본명단!$I1819)))</f>
        <v/>
      </c>
      <c r="G1820" s="11" t="str">
        <f aca="false">IF($A1820="","",IF(원본명단!$K1819="",0,COUNTIF(원본명단!$K$3:$K$6002,원본명단!$K1819)))</f>
        <v/>
      </c>
      <c r="H1820" s="11" t="str">
        <f aca="false">IF($A1820="","",IF(MAX($E1820,$F1820,$G1820)&gt;1,"중복","-"))</f>
        <v/>
      </c>
      <c r="I1820" s="11" t="str">
        <f aca="false">IF($A1820="","",IF($H1820="-","-",IF(AND(IF(원본명단!$H1819="",TRUE(),COUNTIF(원본명단!$H$3:$H1819,원본명단!$H1819)=1),IF(원본명단!$I1819="",TRUE(),COUNTIF(원본명단!$I$3:$I1819,원본명단!$I1819)=1),IF(원본명단!$K1819="",TRUE(),COUNTIF(원본명단!$K$3:$K1819,원본명단!$K1819)=1)),"첫 건","중복 건")))</f>
        <v/>
      </c>
      <c r="J1820" s="11" t="str">
        <f aca="false">IF($A1820="","",IF($H1820="-","유지",IF($I1820="첫 건","유지","확인 필요")))</f>
        <v/>
      </c>
    </row>
    <row r="1821" customFormat="false" ht="15" hidden="false" customHeight="true" outlineLevel="0" collapsed="false">
      <c r="A1821" s="11" t="str">
        <f aca="false">IF(원본명단!$A1820="","",1818)</f>
        <v/>
      </c>
      <c r="B1821" s="12" t="str">
        <f aca="false">IF($A1821="","",원본명단!$A1820)</f>
        <v/>
      </c>
      <c r="C1821" s="12" t="str">
        <f aca="false">IF($A1821="","",원본명단!$B1820)</f>
        <v/>
      </c>
      <c r="D1821" s="12" t="str">
        <f aca="false">IF($A1821="","",원본명단!$D1820)</f>
        <v/>
      </c>
      <c r="E1821" s="11" t="str">
        <f aca="false">IF($A1821="","",IF(원본명단!$H1820="",0,COUNTIF(원본명단!$H$3:$H$6002,원본명단!$H1820)))</f>
        <v/>
      </c>
      <c r="F1821" s="11" t="str">
        <f aca="false">IF($A1821="","",IF(원본명단!$I1820="",0,COUNTIF(원본명단!$I$3:$I$6002,원본명단!$I1820)))</f>
        <v/>
      </c>
      <c r="G1821" s="11" t="str">
        <f aca="false">IF($A1821="","",IF(원본명단!$K1820="",0,COUNTIF(원본명단!$K$3:$K$6002,원본명단!$K1820)))</f>
        <v/>
      </c>
      <c r="H1821" s="11" t="str">
        <f aca="false">IF($A1821="","",IF(MAX($E1821,$F1821,$G1821)&gt;1,"중복","-"))</f>
        <v/>
      </c>
      <c r="I1821" s="11" t="str">
        <f aca="false">IF($A1821="","",IF($H1821="-","-",IF(AND(IF(원본명단!$H1820="",TRUE(),COUNTIF(원본명단!$H$3:$H1820,원본명단!$H1820)=1),IF(원본명단!$I1820="",TRUE(),COUNTIF(원본명단!$I$3:$I1820,원본명단!$I1820)=1),IF(원본명단!$K1820="",TRUE(),COUNTIF(원본명단!$K$3:$K1820,원본명단!$K1820)=1)),"첫 건","중복 건")))</f>
        <v/>
      </c>
      <c r="J1821" s="11" t="str">
        <f aca="false">IF($A1821="","",IF($H1821="-","유지",IF($I1821="첫 건","유지","확인 필요")))</f>
        <v/>
      </c>
    </row>
    <row r="1822" customFormat="false" ht="15" hidden="false" customHeight="true" outlineLevel="0" collapsed="false">
      <c r="A1822" s="11" t="str">
        <f aca="false">IF(원본명단!$A1821="","",1819)</f>
        <v/>
      </c>
      <c r="B1822" s="12" t="str">
        <f aca="false">IF($A1822="","",원본명단!$A1821)</f>
        <v/>
      </c>
      <c r="C1822" s="12" t="str">
        <f aca="false">IF($A1822="","",원본명단!$B1821)</f>
        <v/>
      </c>
      <c r="D1822" s="12" t="str">
        <f aca="false">IF($A1822="","",원본명단!$D1821)</f>
        <v/>
      </c>
      <c r="E1822" s="11" t="str">
        <f aca="false">IF($A1822="","",IF(원본명단!$H1821="",0,COUNTIF(원본명단!$H$3:$H$6002,원본명단!$H1821)))</f>
        <v/>
      </c>
      <c r="F1822" s="11" t="str">
        <f aca="false">IF($A1822="","",IF(원본명단!$I1821="",0,COUNTIF(원본명단!$I$3:$I$6002,원본명단!$I1821)))</f>
        <v/>
      </c>
      <c r="G1822" s="11" t="str">
        <f aca="false">IF($A1822="","",IF(원본명단!$K1821="",0,COUNTIF(원본명단!$K$3:$K$6002,원본명단!$K1821)))</f>
        <v/>
      </c>
      <c r="H1822" s="11" t="str">
        <f aca="false">IF($A1822="","",IF(MAX($E1822,$F1822,$G1822)&gt;1,"중복","-"))</f>
        <v/>
      </c>
      <c r="I1822" s="11" t="str">
        <f aca="false">IF($A1822="","",IF($H1822="-","-",IF(AND(IF(원본명단!$H1821="",TRUE(),COUNTIF(원본명단!$H$3:$H1821,원본명단!$H1821)=1),IF(원본명단!$I1821="",TRUE(),COUNTIF(원본명단!$I$3:$I1821,원본명단!$I1821)=1),IF(원본명단!$K1821="",TRUE(),COUNTIF(원본명단!$K$3:$K1821,원본명단!$K1821)=1)),"첫 건","중복 건")))</f>
        <v/>
      </c>
      <c r="J1822" s="11" t="str">
        <f aca="false">IF($A1822="","",IF($H1822="-","유지",IF($I1822="첫 건","유지","확인 필요")))</f>
        <v/>
      </c>
    </row>
    <row r="1823" customFormat="false" ht="15" hidden="false" customHeight="true" outlineLevel="0" collapsed="false">
      <c r="A1823" s="11" t="str">
        <f aca="false">IF(원본명단!$A1822="","",1820)</f>
        <v/>
      </c>
      <c r="B1823" s="12" t="str">
        <f aca="false">IF($A1823="","",원본명단!$A1822)</f>
        <v/>
      </c>
      <c r="C1823" s="12" t="str">
        <f aca="false">IF($A1823="","",원본명단!$B1822)</f>
        <v/>
      </c>
      <c r="D1823" s="12" t="str">
        <f aca="false">IF($A1823="","",원본명단!$D1822)</f>
        <v/>
      </c>
      <c r="E1823" s="11" t="str">
        <f aca="false">IF($A1823="","",IF(원본명단!$H1822="",0,COUNTIF(원본명단!$H$3:$H$6002,원본명단!$H1822)))</f>
        <v/>
      </c>
      <c r="F1823" s="11" t="str">
        <f aca="false">IF($A1823="","",IF(원본명단!$I1822="",0,COUNTIF(원본명단!$I$3:$I$6002,원본명단!$I1822)))</f>
        <v/>
      </c>
      <c r="G1823" s="11" t="str">
        <f aca="false">IF($A1823="","",IF(원본명단!$K1822="",0,COUNTIF(원본명단!$K$3:$K$6002,원본명단!$K1822)))</f>
        <v/>
      </c>
      <c r="H1823" s="11" t="str">
        <f aca="false">IF($A1823="","",IF(MAX($E1823,$F1823,$G1823)&gt;1,"중복","-"))</f>
        <v/>
      </c>
      <c r="I1823" s="11" t="str">
        <f aca="false">IF($A1823="","",IF($H1823="-","-",IF(AND(IF(원본명단!$H1822="",TRUE(),COUNTIF(원본명단!$H$3:$H1822,원본명단!$H1822)=1),IF(원본명단!$I1822="",TRUE(),COUNTIF(원본명단!$I$3:$I1822,원본명단!$I1822)=1),IF(원본명단!$K1822="",TRUE(),COUNTIF(원본명단!$K$3:$K1822,원본명단!$K1822)=1)),"첫 건","중복 건")))</f>
        <v/>
      </c>
      <c r="J1823" s="11" t="str">
        <f aca="false">IF($A1823="","",IF($H1823="-","유지",IF($I1823="첫 건","유지","확인 필요")))</f>
        <v/>
      </c>
    </row>
    <row r="1824" customFormat="false" ht="15" hidden="false" customHeight="true" outlineLevel="0" collapsed="false">
      <c r="A1824" s="11" t="str">
        <f aca="false">IF(원본명단!$A1823="","",1821)</f>
        <v/>
      </c>
      <c r="B1824" s="12" t="str">
        <f aca="false">IF($A1824="","",원본명단!$A1823)</f>
        <v/>
      </c>
      <c r="C1824" s="12" t="str">
        <f aca="false">IF($A1824="","",원본명단!$B1823)</f>
        <v/>
      </c>
      <c r="D1824" s="12" t="str">
        <f aca="false">IF($A1824="","",원본명단!$D1823)</f>
        <v/>
      </c>
      <c r="E1824" s="11" t="str">
        <f aca="false">IF($A1824="","",IF(원본명단!$H1823="",0,COUNTIF(원본명단!$H$3:$H$6002,원본명단!$H1823)))</f>
        <v/>
      </c>
      <c r="F1824" s="11" t="str">
        <f aca="false">IF($A1824="","",IF(원본명단!$I1823="",0,COUNTIF(원본명단!$I$3:$I$6002,원본명단!$I1823)))</f>
        <v/>
      </c>
      <c r="G1824" s="11" t="str">
        <f aca="false">IF($A1824="","",IF(원본명단!$K1823="",0,COUNTIF(원본명단!$K$3:$K$6002,원본명단!$K1823)))</f>
        <v/>
      </c>
      <c r="H1824" s="11" t="str">
        <f aca="false">IF($A1824="","",IF(MAX($E1824,$F1824,$G1824)&gt;1,"중복","-"))</f>
        <v/>
      </c>
      <c r="I1824" s="11" t="str">
        <f aca="false">IF($A1824="","",IF($H1824="-","-",IF(AND(IF(원본명단!$H1823="",TRUE(),COUNTIF(원본명단!$H$3:$H1823,원본명단!$H1823)=1),IF(원본명단!$I1823="",TRUE(),COUNTIF(원본명단!$I$3:$I1823,원본명단!$I1823)=1),IF(원본명단!$K1823="",TRUE(),COUNTIF(원본명단!$K$3:$K1823,원본명단!$K1823)=1)),"첫 건","중복 건")))</f>
        <v/>
      </c>
      <c r="J1824" s="11" t="str">
        <f aca="false">IF($A1824="","",IF($H1824="-","유지",IF($I1824="첫 건","유지","확인 필요")))</f>
        <v/>
      </c>
    </row>
    <row r="1825" customFormat="false" ht="15" hidden="false" customHeight="true" outlineLevel="0" collapsed="false">
      <c r="A1825" s="11" t="str">
        <f aca="false">IF(원본명단!$A1824="","",1822)</f>
        <v/>
      </c>
      <c r="B1825" s="12" t="str">
        <f aca="false">IF($A1825="","",원본명단!$A1824)</f>
        <v/>
      </c>
      <c r="C1825" s="12" t="str">
        <f aca="false">IF($A1825="","",원본명단!$B1824)</f>
        <v/>
      </c>
      <c r="D1825" s="12" t="str">
        <f aca="false">IF($A1825="","",원본명단!$D1824)</f>
        <v/>
      </c>
      <c r="E1825" s="11" t="str">
        <f aca="false">IF($A1825="","",IF(원본명단!$H1824="",0,COUNTIF(원본명단!$H$3:$H$6002,원본명단!$H1824)))</f>
        <v/>
      </c>
      <c r="F1825" s="11" t="str">
        <f aca="false">IF($A1825="","",IF(원본명단!$I1824="",0,COUNTIF(원본명단!$I$3:$I$6002,원본명단!$I1824)))</f>
        <v/>
      </c>
      <c r="G1825" s="11" t="str">
        <f aca="false">IF($A1825="","",IF(원본명단!$K1824="",0,COUNTIF(원본명단!$K$3:$K$6002,원본명단!$K1824)))</f>
        <v/>
      </c>
      <c r="H1825" s="11" t="str">
        <f aca="false">IF($A1825="","",IF(MAX($E1825,$F1825,$G1825)&gt;1,"중복","-"))</f>
        <v/>
      </c>
      <c r="I1825" s="11" t="str">
        <f aca="false">IF($A1825="","",IF($H1825="-","-",IF(AND(IF(원본명단!$H1824="",TRUE(),COUNTIF(원본명단!$H$3:$H1824,원본명단!$H1824)=1),IF(원본명단!$I1824="",TRUE(),COUNTIF(원본명단!$I$3:$I1824,원본명단!$I1824)=1),IF(원본명단!$K1824="",TRUE(),COUNTIF(원본명단!$K$3:$K1824,원본명단!$K1824)=1)),"첫 건","중복 건")))</f>
        <v/>
      </c>
      <c r="J1825" s="11" t="str">
        <f aca="false">IF($A1825="","",IF($H1825="-","유지",IF($I1825="첫 건","유지","확인 필요")))</f>
        <v/>
      </c>
    </row>
    <row r="1826" customFormat="false" ht="15" hidden="false" customHeight="true" outlineLevel="0" collapsed="false">
      <c r="A1826" s="11" t="str">
        <f aca="false">IF(원본명단!$A1825="","",1823)</f>
        <v/>
      </c>
      <c r="B1826" s="12" t="str">
        <f aca="false">IF($A1826="","",원본명단!$A1825)</f>
        <v/>
      </c>
      <c r="C1826" s="12" t="str">
        <f aca="false">IF($A1826="","",원본명단!$B1825)</f>
        <v/>
      </c>
      <c r="D1826" s="12" t="str">
        <f aca="false">IF($A1826="","",원본명단!$D1825)</f>
        <v/>
      </c>
      <c r="E1826" s="11" t="str">
        <f aca="false">IF($A1826="","",IF(원본명단!$H1825="",0,COUNTIF(원본명단!$H$3:$H$6002,원본명단!$H1825)))</f>
        <v/>
      </c>
      <c r="F1826" s="11" t="str">
        <f aca="false">IF($A1826="","",IF(원본명단!$I1825="",0,COUNTIF(원본명단!$I$3:$I$6002,원본명단!$I1825)))</f>
        <v/>
      </c>
      <c r="G1826" s="11" t="str">
        <f aca="false">IF($A1826="","",IF(원본명단!$K1825="",0,COUNTIF(원본명단!$K$3:$K$6002,원본명단!$K1825)))</f>
        <v/>
      </c>
      <c r="H1826" s="11" t="str">
        <f aca="false">IF($A1826="","",IF(MAX($E1826,$F1826,$G1826)&gt;1,"중복","-"))</f>
        <v/>
      </c>
      <c r="I1826" s="11" t="str">
        <f aca="false">IF($A1826="","",IF($H1826="-","-",IF(AND(IF(원본명단!$H1825="",TRUE(),COUNTIF(원본명단!$H$3:$H1825,원본명단!$H1825)=1),IF(원본명단!$I1825="",TRUE(),COUNTIF(원본명단!$I$3:$I1825,원본명단!$I1825)=1),IF(원본명단!$K1825="",TRUE(),COUNTIF(원본명단!$K$3:$K1825,원본명단!$K1825)=1)),"첫 건","중복 건")))</f>
        <v/>
      </c>
      <c r="J1826" s="11" t="str">
        <f aca="false">IF($A1826="","",IF($H1826="-","유지",IF($I1826="첫 건","유지","확인 필요")))</f>
        <v/>
      </c>
    </row>
    <row r="1827" customFormat="false" ht="15" hidden="false" customHeight="true" outlineLevel="0" collapsed="false">
      <c r="A1827" s="11" t="str">
        <f aca="false">IF(원본명단!$A1826="","",1824)</f>
        <v/>
      </c>
      <c r="B1827" s="12" t="str">
        <f aca="false">IF($A1827="","",원본명단!$A1826)</f>
        <v/>
      </c>
      <c r="C1827" s="12" t="str">
        <f aca="false">IF($A1827="","",원본명단!$B1826)</f>
        <v/>
      </c>
      <c r="D1827" s="12" t="str">
        <f aca="false">IF($A1827="","",원본명단!$D1826)</f>
        <v/>
      </c>
      <c r="E1827" s="11" t="str">
        <f aca="false">IF($A1827="","",IF(원본명단!$H1826="",0,COUNTIF(원본명단!$H$3:$H$6002,원본명단!$H1826)))</f>
        <v/>
      </c>
      <c r="F1827" s="11" t="str">
        <f aca="false">IF($A1827="","",IF(원본명단!$I1826="",0,COUNTIF(원본명단!$I$3:$I$6002,원본명단!$I1826)))</f>
        <v/>
      </c>
      <c r="G1827" s="11" t="str">
        <f aca="false">IF($A1827="","",IF(원본명단!$K1826="",0,COUNTIF(원본명단!$K$3:$K$6002,원본명단!$K1826)))</f>
        <v/>
      </c>
      <c r="H1827" s="11" t="str">
        <f aca="false">IF($A1827="","",IF(MAX($E1827,$F1827,$G1827)&gt;1,"중복","-"))</f>
        <v/>
      </c>
      <c r="I1827" s="11" t="str">
        <f aca="false">IF($A1827="","",IF($H1827="-","-",IF(AND(IF(원본명단!$H1826="",TRUE(),COUNTIF(원본명단!$H$3:$H1826,원본명단!$H1826)=1),IF(원본명단!$I1826="",TRUE(),COUNTIF(원본명단!$I$3:$I1826,원본명단!$I1826)=1),IF(원본명단!$K1826="",TRUE(),COUNTIF(원본명단!$K$3:$K1826,원본명단!$K1826)=1)),"첫 건","중복 건")))</f>
        <v/>
      </c>
      <c r="J1827" s="11" t="str">
        <f aca="false">IF($A1827="","",IF($H1827="-","유지",IF($I1827="첫 건","유지","확인 필요")))</f>
        <v/>
      </c>
    </row>
    <row r="1828" customFormat="false" ht="15" hidden="false" customHeight="true" outlineLevel="0" collapsed="false">
      <c r="A1828" s="11" t="str">
        <f aca="false">IF(원본명단!$A1827="","",1825)</f>
        <v/>
      </c>
      <c r="B1828" s="12" t="str">
        <f aca="false">IF($A1828="","",원본명단!$A1827)</f>
        <v/>
      </c>
      <c r="C1828" s="12" t="str">
        <f aca="false">IF($A1828="","",원본명단!$B1827)</f>
        <v/>
      </c>
      <c r="D1828" s="12" t="str">
        <f aca="false">IF($A1828="","",원본명단!$D1827)</f>
        <v/>
      </c>
      <c r="E1828" s="11" t="str">
        <f aca="false">IF($A1828="","",IF(원본명단!$H1827="",0,COUNTIF(원본명단!$H$3:$H$6002,원본명단!$H1827)))</f>
        <v/>
      </c>
      <c r="F1828" s="11" t="str">
        <f aca="false">IF($A1828="","",IF(원본명단!$I1827="",0,COUNTIF(원본명단!$I$3:$I$6002,원본명단!$I1827)))</f>
        <v/>
      </c>
      <c r="G1828" s="11" t="str">
        <f aca="false">IF($A1828="","",IF(원본명단!$K1827="",0,COUNTIF(원본명단!$K$3:$K$6002,원본명단!$K1827)))</f>
        <v/>
      </c>
      <c r="H1828" s="11" t="str">
        <f aca="false">IF($A1828="","",IF(MAX($E1828,$F1828,$G1828)&gt;1,"중복","-"))</f>
        <v/>
      </c>
      <c r="I1828" s="11" t="str">
        <f aca="false">IF($A1828="","",IF($H1828="-","-",IF(AND(IF(원본명단!$H1827="",TRUE(),COUNTIF(원본명단!$H$3:$H1827,원본명단!$H1827)=1),IF(원본명단!$I1827="",TRUE(),COUNTIF(원본명단!$I$3:$I1827,원본명단!$I1827)=1),IF(원본명단!$K1827="",TRUE(),COUNTIF(원본명단!$K$3:$K1827,원본명단!$K1827)=1)),"첫 건","중복 건")))</f>
        <v/>
      </c>
      <c r="J1828" s="11" t="str">
        <f aca="false">IF($A1828="","",IF($H1828="-","유지",IF($I1828="첫 건","유지","확인 필요")))</f>
        <v/>
      </c>
    </row>
    <row r="1829" customFormat="false" ht="15" hidden="false" customHeight="true" outlineLevel="0" collapsed="false">
      <c r="A1829" s="11" t="str">
        <f aca="false">IF(원본명단!$A1828="","",1826)</f>
        <v/>
      </c>
      <c r="B1829" s="12" t="str">
        <f aca="false">IF($A1829="","",원본명단!$A1828)</f>
        <v/>
      </c>
      <c r="C1829" s="12" t="str">
        <f aca="false">IF($A1829="","",원본명단!$B1828)</f>
        <v/>
      </c>
      <c r="D1829" s="12" t="str">
        <f aca="false">IF($A1829="","",원본명단!$D1828)</f>
        <v/>
      </c>
      <c r="E1829" s="11" t="str">
        <f aca="false">IF($A1829="","",IF(원본명단!$H1828="",0,COUNTIF(원본명단!$H$3:$H$6002,원본명단!$H1828)))</f>
        <v/>
      </c>
      <c r="F1829" s="11" t="str">
        <f aca="false">IF($A1829="","",IF(원본명단!$I1828="",0,COUNTIF(원본명단!$I$3:$I$6002,원본명단!$I1828)))</f>
        <v/>
      </c>
      <c r="G1829" s="11" t="str">
        <f aca="false">IF($A1829="","",IF(원본명단!$K1828="",0,COUNTIF(원본명단!$K$3:$K$6002,원본명단!$K1828)))</f>
        <v/>
      </c>
      <c r="H1829" s="11" t="str">
        <f aca="false">IF($A1829="","",IF(MAX($E1829,$F1829,$G1829)&gt;1,"중복","-"))</f>
        <v/>
      </c>
      <c r="I1829" s="11" t="str">
        <f aca="false">IF($A1829="","",IF($H1829="-","-",IF(AND(IF(원본명단!$H1828="",TRUE(),COUNTIF(원본명단!$H$3:$H1828,원본명단!$H1828)=1),IF(원본명단!$I1828="",TRUE(),COUNTIF(원본명단!$I$3:$I1828,원본명단!$I1828)=1),IF(원본명단!$K1828="",TRUE(),COUNTIF(원본명단!$K$3:$K1828,원본명단!$K1828)=1)),"첫 건","중복 건")))</f>
        <v/>
      </c>
      <c r="J1829" s="11" t="str">
        <f aca="false">IF($A1829="","",IF($H1829="-","유지",IF($I1829="첫 건","유지","확인 필요")))</f>
        <v/>
      </c>
    </row>
    <row r="1830" customFormat="false" ht="15" hidden="false" customHeight="true" outlineLevel="0" collapsed="false">
      <c r="A1830" s="11" t="str">
        <f aca="false">IF(원본명단!$A1829="","",1827)</f>
        <v/>
      </c>
      <c r="B1830" s="12" t="str">
        <f aca="false">IF($A1830="","",원본명단!$A1829)</f>
        <v/>
      </c>
      <c r="C1830" s="12" t="str">
        <f aca="false">IF($A1830="","",원본명단!$B1829)</f>
        <v/>
      </c>
      <c r="D1830" s="12" t="str">
        <f aca="false">IF($A1830="","",원본명단!$D1829)</f>
        <v/>
      </c>
      <c r="E1830" s="11" t="str">
        <f aca="false">IF($A1830="","",IF(원본명단!$H1829="",0,COUNTIF(원본명단!$H$3:$H$6002,원본명단!$H1829)))</f>
        <v/>
      </c>
      <c r="F1830" s="11" t="str">
        <f aca="false">IF($A1830="","",IF(원본명단!$I1829="",0,COUNTIF(원본명단!$I$3:$I$6002,원본명단!$I1829)))</f>
        <v/>
      </c>
      <c r="G1830" s="11" t="str">
        <f aca="false">IF($A1830="","",IF(원본명단!$K1829="",0,COUNTIF(원본명단!$K$3:$K$6002,원본명단!$K1829)))</f>
        <v/>
      </c>
      <c r="H1830" s="11" t="str">
        <f aca="false">IF($A1830="","",IF(MAX($E1830,$F1830,$G1830)&gt;1,"중복","-"))</f>
        <v/>
      </c>
      <c r="I1830" s="11" t="str">
        <f aca="false">IF($A1830="","",IF($H1830="-","-",IF(AND(IF(원본명단!$H1829="",TRUE(),COUNTIF(원본명단!$H$3:$H1829,원본명단!$H1829)=1),IF(원본명단!$I1829="",TRUE(),COUNTIF(원본명단!$I$3:$I1829,원본명단!$I1829)=1),IF(원본명단!$K1829="",TRUE(),COUNTIF(원본명단!$K$3:$K1829,원본명단!$K1829)=1)),"첫 건","중복 건")))</f>
        <v/>
      </c>
      <c r="J1830" s="11" t="str">
        <f aca="false">IF($A1830="","",IF($H1830="-","유지",IF($I1830="첫 건","유지","확인 필요")))</f>
        <v/>
      </c>
    </row>
    <row r="1831" customFormat="false" ht="15" hidden="false" customHeight="true" outlineLevel="0" collapsed="false">
      <c r="A1831" s="11" t="str">
        <f aca="false">IF(원본명단!$A1830="","",1828)</f>
        <v/>
      </c>
      <c r="B1831" s="12" t="str">
        <f aca="false">IF($A1831="","",원본명단!$A1830)</f>
        <v/>
      </c>
      <c r="C1831" s="12" t="str">
        <f aca="false">IF($A1831="","",원본명단!$B1830)</f>
        <v/>
      </c>
      <c r="D1831" s="12" t="str">
        <f aca="false">IF($A1831="","",원본명단!$D1830)</f>
        <v/>
      </c>
      <c r="E1831" s="11" t="str">
        <f aca="false">IF($A1831="","",IF(원본명단!$H1830="",0,COUNTIF(원본명단!$H$3:$H$6002,원본명단!$H1830)))</f>
        <v/>
      </c>
      <c r="F1831" s="11" t="str">
        <f aca="false">IF($A1831="","",IF(원본명단!$I1830="",0,COUNTIF(원본명단!$I$3:$I$6002,원본명단!$I1830)))</f>
        <v/>
      </c>
      <c r="G1831" s="11" t="str">
        <f aca="false">IF($A1831="","",IF(원본명단!$K1830="",0,COUNTIF(원본명단!$K$3:$K$6002,원본명단!$K1830)))</f>
        <v/>
      </c>
      <c r="H1831" s="11" t="str">
        <f aca="false">IF($A1831="","",IF(MAX($E1831,$F1831,$G1831)&gt;1,"중복","-"))</f>
        <v/>
      </c>
      <c r="I1831" s="11" t="str">
        <f aca="false">IF($A1831="","",IF($H1831="-","-",IF(AND(IF(원본명단!$H1830="",TRUE(),COUNTIF(원본명단!$H$3:$H1830,원본명단!$H1830)=1),IF(원본명단!$I1830="",TRUE(),COUNTIF(원본명단!$I$3:$I1830,원본명단!$I1830)=1),IF(원본명단!$K1830="",TRUE(),COUNTIF(원본명단!$K$3:$K1830,원본명단!$K1830)=1)),"첫 건","중복 건")))</f>
        <v/>
      </c>
      <c r="J1831" s="11" t="str">
        <f aca="false">IF($A1831="","",IF($H1831="-","유지",IF($I1831="첫 건","유지","확인 필요")))</f>
        <v/>
      </c>
    </row>
    <row r="1832" customFormat="false" ht="15" hidden="false" customHeight="true" outlineLevel="0" collapsed="false">
      <c r="A1832" s="11" t="str">
        <f aca="false">IF(원본명단!$A1831="","",1829)</f>
        <v/>
      </c>
      <c r="B1832" s="12" t="str">
        <f aca="false">IF($A1832="","",원본명단!$A1831)</f>
        <v/>
      </c>
      <c r="C1832" s="12" t="str">
        <f aca="false">IF($A1832="","",원본명단!$B1831)</f>
        <v/>
      </c>
      <c r="D1832" s="12" t="str">
        <f aca="false">IF($A1832="","",원본명단!$D1831)</f>
        <v/>
      </c>
      <c r="E1832" s="11" t="str">
        <f aca="false">IF($A1832="","",IF(원본명단!$H1831="",0,COUNTIF(원본명단!$H$3:$H$6002,원본명단!$H1831)))</f>
        <v/>
      </c>
      <c r="F1832" s="11" t="str">
        <f aca="false">IF($A1832="","",IF(원본명단!$I1831="",0,COUNTIF(원본명단!$I$3:$I$6002,원본명단!$I1831)))</f>
        <v/>
      </c>
      <c r="G1832" s="11" t="str">
        <f aca="false">IF($A1832="","",IF(원본명단!$K1831="",0,COUNTIF(원본명단!$K$3:$K$6002,원본명단!$K1831)))</f>
        <v/>
      </c>
      <c r="H1832" s="11" t="str">
        <f aca="false">IF($A1832="","",IF(MAX($E1832,$F1832,$G1832)&gt;1,"중복","-"))</f>
        <v/>
      </c>
      <c r="I1832" s="11" t="str">
        <f aca="false">IF($A1832="","",IF($H1832="-","-",IF(AND(IF(원본명단!$H1831="",TRUE(),COUNTIF(원본명단!$H$3:$H1831,원본명단!$H1831)=1),IF(원본명단!$I1831="",TRUE(),COUNTIF(원본명단!$I$3:$I1831,원본명단!$I1831)=1),IF(원본명단!$K1831="",TRUE(),COUNTIF(원본명단!$K$3:$K1831,원본명단!$K1831)=1)),"첫 건","중복 건")))</f>
        <v/>
      </c>
      <c r="J1832" s="11" t="str">
        <f aca="false">IF($A1832="","",IF($H1832="-","유지",IF($I1832="첫 건","유지","확인 필요")))</f>
        <v/>
      </c>
    </row>
    <row r="1833" customFormat="false" ht="15" hidden="false" customHeight="true" outlineLevel="0" collapsed="false">
      <c r="A1833" s="11" t="str">
        <f aca="false">IF(원본명단!$A1832="","",1830)</f>
        <v/>
      </c>
      <c r="B1833" s="12" t="str">
        <f aca="false">IF($A1833="","",원본명단!$A1832)</f>
        <v/>
      </c>
      <c r="C1833" s="12" t="str">
        <f aca="false">IF($A1833="","",원본명단!$B1832)</f>
        <v/>
      </c>
      <c r="D1833" s="12" t="str">
        <f aca="false">IF($A1833="","",원본명단!$D1832)</f>
        <v/>
      </c>
      <c r="E1833" s="11" t="str">
        <f aca="false">IF($A1833="","",IF(원본명단!$H1832="",0,COUNTIF(원본명단!$H$3:$H$6002,원본명단!$H1832)))</f>
        <v/>
      </c>
      <c r="F1833" s="11" t="str">
        <f aca="false">IF($A1833="","",IF(원본명단!$I1832="",0,COUNTIF(원본명단!$I$3:$I$6002,원본명단!$I1832)))</f>
        <v/>
      </c>
      <c r="G1833" s="11" t="str">
        <f aca="false">IF($A1833="","",IF(원본명단!$K1832="",0,COUNTIF(원본명단!$K$3:$K$6002,원본명단!$K1832)))</f>
        <v/>
      </c>
      <c r="H1833" s="11" t="str">
        <f aca="false">IF($A1833="","",IF(MAX($E1833,$F1833,$G1833)&gt;1,"중복","-"))</f>
        <v/>
      </c>
      <c r="I1833" s="11" t="str">
        <f aca="false">IF($A1833="","",IF($H1833="-","-",IF(AND(IF(원본명단!$H1832="",TRUE(),COUNTIF(원본명단!$H$3:$H1832,원본명단!$H1832)=1),IF(원본명단!$I1832="",TRUE(),COUNTIF(원본명단!$I$3:$I1832,원본명단!$I1832)=1),IF(원본명단!$K1832="",TRUE(),COUNTIF(원본명단!$K$3:$K1832,원본명단!$K1832)=1)),"첫 건","중복 건")))</f>
        <v/>
      </c>
      <c r="J1833" s="11" t="str">
        <f aca="false">IF($A1833="","",IF($H1833="-","유지",IF($I1833="첫 건","유지","확인 필요")))</f>
        <v/>
      </c>
    </row>
    <row r="1834" customFormat="false" ht="15" hidden="false" customHeight="true" outlineLevel="0" collapsed="false">
      <c r="A1834" s="11" t="str">
        <f aca="false">IF(원본명단!$A1833="","",1831)</f>
        <v/>
      </c>
      <c r="B1834" s="12" t="str">
        <f aca="false">IF($A1834="","",원본명단!$A1833)</f>
        <v/>
      </c>
      <c r="C1834" s="12" t="str">
        <f aca="false">IF($A1834="","",원본명단!$B1833)</f>
        <v/>
      </c>
      <c r="D1834" s="12" t="str">
        <f aca="false">IF($A1834="","",원본명단!$D1833)</f>
        <v/>
      </c>
      <c r="E1834" s="11" t="str">
        <f aca="false">IF($A1834="","",IF(원본명단!$H1833="",0,COUNTIF(원본명단!$H$3:$H$6002,원본명단!$H1833)))</f>
        <v/>
      </c>
      <c r="F1834" s="11" t="str">
        <f aca="false">IF($A1834="","",IF(원본명단!$I1833="",0,COUNTIF(원본명단!$I$3:$I$6002,원본명단!$I1833)))</f>
        <v/>
      </c>
      <c r="G1834" s="11" t="str">
        <f aca="false">IF($A1834="","",IF(원본명단!$K1833="",0,COUNTIF(원본명단!$K$3:$K$6002,원본명단!$K1833)))</f>
        <v/>
      </c>
      <c r="H1834" s="11" t="str">
        <f aca="false">IF($A1834="","",IF(MAX($E1834,$F1834,$G1834)&gt;1,"중복","-"))</f>
        <v/>
      </c>
      <c r="I1834" s="11" t="str">
        <f aca="false">IF($A1834="","",IF($H1834="-","-",IF(AND(IF(원본명단!$H1833="",TRUE(),COUNTIF(원본명단!$H$3:$H1833,원본명단!$H1833)=1),IF(원본명단!$I1833="",TRUE(),COUNTIF(원본명단!$I$3:$I1833,원본명단!$I1833)=1),IF(원본명단!$K1833="",TRUE(),COUNTIF(원본명단!$K$3:$K1833,원본명단!$K1833)=1)),"첫 건","중복 건")))</f>
        <v/>
      </c>
      <c r="J1834" s="11" t="str">
        <f aca="false">IF($A1834="","",IF($H1834="-","유지",IF($I1834="첫 건","유지","확인 필요")))</f>
        <v/>
      </c>
    </row>
    <row r="1835" customFormat="false" ht="15" hidden="false" customHeight="true" outlineLevel="0" collapsed="false">
      <c r="A1835" s="11" t="str">
        <f aca="false">IF(원본명단!$A1834="","",1832)</f>
        <v/>
      </c>
      <c r="B1835" s="12" t="str">
        <f aca="false">IF($A1835="","",원본명단!$A1834)</f>
        <v/>
      </c>
      <c r="C1835" s="12" t="str">
        <f aca="false">IF($A1835="","",원본명단!$B1834)</f>
        <v/>
      </c>
      <c r="D1835" s="12" t="str">
        <f aca="false">IF($A1835="","",원본명단!$D1834)</f>
        <v/>
      </c>
      <c r="E1835" s="11" t="str">
        <f aca="false">IF($A1835="","",IF(원본명단!$H1834="",0,COUNTIF(원본명단!$H$3:$H$6002,원본명단!$H1834)))</f>
        <v/>
      </c>
      <c r="F1835" s="11" t="str">
        <f aca="false">IF($A1835="","",IF(원본명단!$I1834="",0,COUNTIF(원본명단!$I$3:$I$6002,원본명단!$I1834)))</f>
        <v/>
      </c>
      <c r="G1835" s="11" t="str">
        <f aca="false">IF($A1835="","",IF(원본명단!$K1834="",0,COUNTIF(원본명단!$K$3:$K$6002,원본명단!$K1834)))</f>
        <v/>
      </c>
      <c r="H1835" s="11" t="str">
        <f aca="false">IF($A1835="","",IF(MAX($E1835,$F1835,$G1835)&gt;1,"중복","-"))</f>
        <v/>
      </c>
      <c r="I1835" s="11" t="str">
        <f aca="false">IF($A1835="","",IF($H1835="-","-",IF(AND(IF(원본명단!$H1834="",TRUE(),COUNTIF(원본명단!$H$3:$H1834,원본명단!$H1834)=1),IF(원본명단!$I1834="",TRUE(),COUNTIF(원본명단!$I$3:$I1834,원본명단!$I1834)=1),IF(원본명단!$K1834="",TRUE(),COUNTIF(원본명단!$K$3:$K1834,원본명단!$K1834)=1)),"첫 건","중복 건")))</f>
        <v/>
      </c>
      <c r="J1835" s="11" t="str">
        <f aca="false">IF($A1835="","",IF($H1835="-","유지",IF($I1835="첫 건","유지","확인 필요")))</f>
        <v/>
      </c>
    </row>
    <row r="1836" customFormat="false" ht="15" hidden="false" customHeight="true" outlineLevel="0" collapsed="false">
      <c r="A1836" s="11" t="str">
        <f aca="false">IF(원본명단!$A1835="","",1833)</f>
        <v/>
      </c>
      <c r="B1836" s="12" t="str">
        <f aca="false">IF($A1836="","",원본명단!$A1835)</f>
        <v/>
      </c>
      <c r="C1836" s="12" t="str">
        <f aca="false">IF($A1836="","",원본명단!$B1835)</f>
        <v/>
      </c>
      <c r="D1836" s="12" t="str">
        <f aca="false">IF($A1836="","",원본명단!$D1835)</f>
        <v/>
      </c>
      <c r="E1836" s="11" t="str">
        <f aca="false">IF($A1836="","",IF(원본명단!$H1835="",0,COUNTIF(원본명단!$H$3:$H$6002,원본명단!$H1835)))</f>
        <v/>
      </c>
      <c r="F1836" s="11" t="str">
        <f aca="false">IF($A1836="","",IF(원본명단!$I1835="",0,COUNTIF(원본명단!$I$3:$I$6002,원본명단!$I1835)))</f>
        <v/>
      </c>
      <c r="G1836" s="11" t="str">
        <f aca="false">IF($A1836="","",IF(원본명단!$K1835="",0,COUNTIF(원본명단!$K$3:$K$6002,원본명단!$K1835)))</f>
        <v/>
      </c>
      <c r="H1836" s="11" t="str">
        <f aca="false">IF($A1836="","",IF(MAX($E1836,$F1836,$G1836)&gt;1,"중복","-"))</f>
        <v/>
      </c>
      <c r="I1836" s="11" t="str">
        <f aca="false">IF($A1836="","",IF($H1836="-","-",IF(AND(IF(원본명단!$H1835="",TRUE(),COUNTIF(원본명단!$H$3:$H1835,원본명단!$H1835)=1),IF(원본명단!$I1835="",TRUE(),COUNTIF(원본명단!$I$3:$I1835,원본명단!$I1835)=1),IF(원본명단!$K1835="",TRUE(),COUNTIF(원본명단!$K$3:$K1835,원본명단!$K1835)=1)),"첫 건","중복 건")))</f>
        <v/>
      </c>
      <c r="J1836" s="11" t="str">
        <f aca="false">IF($A1836="","",IF($H1836="-","유지",IF($I1836="첫 건","유지","확인 필요")))</f>
        <v/>
      </c>
    </row>
    <row r="1837" customFormat="false" ht="15" hidden="false" customHeight="true" outlineLevel="0" collapsed="false">
      <c r="A1837" s="11" t="str">
        <f aca="false">IF(원본명단!$A1836="","",1834)</f>
        <v/>
      </c>
      <c r="B1837" s="12" t="str">
        <f aca="false">IF($A1837="","",원본명단!$A1836)</f>
        <v/>
      </c>
      <c r="C1837" s="12" t="str">
        <f aca="false">IF($A1837="","",원본명단!$B1836)</f>
        <v/>
      </c>
      <c r="D1837" s="12" t="str">
        <f aca="false">IF($A1837="","",원본명단!$D1836)</f>
        <v/>
      </c>
      <c r="E1837" s="11" t="str">
        <f aca="false">IF($A1837="","",IF(원본명단!$H1836="",0,COUNTIF(원본명단!$H$3:$H$6002,원본명단!$H1836)))</f>
        <v/>
      </c>
      <c r="F1837" s="11" t="str">
        <f aca="false">IF($A1837="","",IF(원본명단!$I1836="",0,COUNTIF(원본명단!$I$3:$I$6002,원본명단!$I1836)))</f>
        <v/>
      </c>
      <c r="G1837" s="11" t="str">
        <f aca="false">IF($A1837="","",IF(원본명단!$K1836="",0,COUNTIF(원본명단!$K$3:$K$6002,원본명단!$K1836)))</f>
        <v/>
      </c>
      <c r="H1837" s="11" t="str">
        <f aca="false">IF($A1837="","",IF(MAX($E1837,$F1837,$G1837)&gt;1,"중복","-"))</f>
        <v/>
      </c>
      <c r="I1837" s="11" t="str">
        <f aca="false">IF($A1837="","",IF($H1837="-","-",IF(AND(IF(원본명단!$H1836="",TRUE(),COUNTIF(원본명단!$H$3:$H1836,원본명단!$H1836)=1),IF(원본명단!$I1836="",TRUE(),COUNTIF(원본명단!$I$3:$I1836,원본명단!$I1836)=1),IF(원본명단!$K1836="",TRUE(),COUNTIF(원본명단!$K$3:$K1836,원본명단!$K1836)=1)),"첫 건","중복 건")))</f>
        <v/>
      </c>
      <c r="J1837" s="11" t="str">
        <f aca="false">IF($A1837="","",IF($H1837="-","유지",IF($I1837="첫 건","유지","확인 필요")))</f>
        <v/>
      </c>
    </row>
    <row r="1838" customFormat="false" ht="15" hidden="false" customHeight="true" outlineLevel="0" collapsed="false">
      <c r="A1838" s="11" t="str">
        <f aca="false">IF(원본명단!$A1837="","",1835)</f>
        <v/>
      </c>
      <c r="B1838" s="12" t="str">
        <f aca="false">IF($A1838="","",원본명단!$A1837)</f>
        <v/>
      </c>
      <c r="C1838" s="12" t="str">
        <f aca="false">IF($A1838="","",원본명단!$B1837)</f>
        <v/>
      </c>
      <c r="D1838" s="12" t="str">
        <f aca="false">IF($A1838="","",원본명단!$D1837)</f>
        <v/>
      </c>
      <c r="E1838" s="11" t="str">
        <f aca="false">IF($A1838="","",IF(원본명단!$H1837="",0,COUNTIF(원본명단!$H$3:$H$6002,원본명단!$H1837)))</f>
        <v/>
      </c>
      <c r="F1838" s="11" t="str">
        <f aca="false">IF($A1838="","",IF(원본명단!$I1837="",0,COUNTIF(원본명단!$I$3:$I$6002,원본명단!$I1837)))</f>
        <v/>
      </c>
      <c r="G1838" s="11" t="str">
        <f aca="false">IF($A1838="","",IF(원본명단!$K1837="",0,COUNTIF(원본명단!$K$3:$K$6002,원본명단!$K1837)))</f>
        <v/>
      </c>
      <c r="H1838" s="11" t="str">
        <f aca="false">IF($A1838="","",IF(MAX($E1838,$F1838,$G1838)&gt;1,"중복","-"))</f>
        <v/>
      </c>
      <c r="I1838" s="11" t="str">
        <f aca="false">IF($A1838="","",IF($H1838="-","-",IF(AND(IF(원본명단!$H1837="",TRUE(),COUNTIF(원본명단!$H$3:$H1837,원본명단!$H1837)=1),IF(원본명단!$I1837="",TRUE(),COUNTIF(원본명단!$I$3:$I1837,원본명단!$I1837)=1),IF(원본명단!$K1837="",TRUE(),COUNTIF(원본명단!$K$3:$K1837,원본명단!$K1837)=1)),"첫 건","중복 건")))</f>
        <v/>
      </c>
      <c r="J1838" s="11" t="str">
        <f aca="false">IF($A1838="","",IF($H1838="-","유지",IF($I1838="첫 건","유지","확인 필요")))</f>
        <v/>
      </c>
    </row>
    <row r="1839" customFormat="false" ht="15" hidden="false" customHeight="true" outlineLevel="0" collapsed="false">
      <c r="A1839" s="11" t="str">
        <f aca="false">IF(원본명단!$A1838="","",1836)</f>
        <v/>
      </c>
      <c r="B1839" s="12" t="str">
        <f aca="false">IF($A1839="","",원본명단!$A1838)</f>
        <v/>
      </c>
      <c r="C1839" s="12" t="str">
        <f aca="false">IF($A1839="","",원본명단!$B1838)</f>
        <v/>
      </c>
      <c r="D1839" s="12" t="str">
        <f aca="false">IF($A1839="","",원본명단!$D1838)</f>
        <v/>
      </c>
      <c r="E1839" s="11" t="str">
        <f aca="false">IF($A1839="","",IF(원본명단!$H1838="",0,COUNTIF(원본명단!$H$3:$H$6002,원본명단!$H1838)))</f>
        <v/>
      </c>
      <c r="F1839" s="11" t="str">
        <f aca="false">IF($A1839="","",IF(원본명단!$I1838="",0,COUNTIF(원본명단!$I$3:$I$6002,원본명단!$I1838)))</f>
        <v/>
      </c>
      <c r="G1839" s="11" t="str">
        <f aca="false">IF($A1839="","",IF(원본명단!$K1838="",0,COUNTIF(원본명단!$K$3:$K$6002,원본명단!$K1838)))</f>
        <v/>
      </c>
      <c r="H1839" s="11" t="str">
        <f aca="false">IF($A1839="","",IF(MAX($E1839,$F1839,$G1839)&gt;1,"중복","-"))</f>
        <v/>
      </c>
      <c r="I1839" s="11" t="str">
        <f aca="false">IF($A1839="","",IF($H1839="-","-",IF(AND(IF(원본명단!$H1838="",TRUE(),COUNTIF(원본명단!$H$3:$H1838,원본명단!$H1838)=1),IF(원본명단!$I1838="",TRUE(),COUNTIF(원본명단!$I$3:$I1838,원본명단!$I1838)=1),IF(원본명단!$K1838="",TRUE(),COUNTIF(원본명단!$K$3:$K1838,원본명단!$K1838)=1)),"첫 건","중복 건")))</f>
        <v/>
      </c>
      <c r="J1839" s="11" t="str">
        <f aca="false">IF($A1839="","",IF($H1839="-","유지",IF($I1839="첫 건","유지","확인 필요")))</f>
        <v/>
      </c>
    </row>
    <row r="1840" customFormat="false" ht="15" hidden="false" customHeight="true" outlineLevel="0" collapsed="false">
      <c r="A1840" s="11" t="str">
        <f aca="false">IF(원본명단!$A1839="","",1837)</f>
        <v/>
      </c>
      <c r="B1840" s="12" t="str">
        <f aca="false">IF($A1840="","",원본명단!$A1839)</f>
        <v/>
      </c>
      <c r="C1840" s="12" t="str">
        <f aca="false">IF($A1840="","",원본명단!$B1839)</f>
        <v/>
      </c>
      <c r="D1840" s="12" t="str">
        <f aca="false">IF($A1840="","",원본명단!$D1839)</f>
        <v/>
      </c>
      <c r="E1840" s="11" t="str">
        <f aca="false">IF($A1840="","",IF(원본명단!$H1839="",0,COUNTIF(원본명단!$H$3:$H$6002,원본명단!$H1839)))</f>
        <v/>
      </c>
      <c r="F1840" s="11" t="str">
        <f aca="false">IF($A1840="","",IF(원본명단!$I1839="",0,COUNTIF(원본명단!$I$3:$I$6002,원본명단!$I1839)))</f>
        <v/>
      </c>
      <c r="G1840" s="11" t="str">
        <f aca="false">IF($A1840="","",IF(원본명단!$K1839="",0,COUNTIF(원본명단!$K$3:$K$6002,원본명단!$K1839)))</f>
        <v/>
      </c>
      <c r="H1840" s="11" t="str">
        <f aca="false">IF($A1840="","",IF(MAX($E1840,$F1840,$G1840)&gt;1,"중복","-"))</f>
        <v/>
      </c>
      <c r="I1840" s="11" t="str">
        <f aca="false">IF($A1840="","",IF($H1840="-","-",IF(AND(IF(원본명단!$H1839="",TRUE(),COUNTIF(원본명단!$H$3:$H1839,원본명단!$H1839)=1),IF(원본명단!$I1839="",TRUE(),COUNTIF(원본명단!$I$3:$I1839,원본명단!$I1839)=1),IF(원본명단!$K1839="",TRUE(),COUNTIF(원본명단!$K$3:$K1839,원본명단!$K1839)=1)),"첫 건","중복 건")))</f>
        <v/>
      </c>
      <c r="J1840" s="11" t="str">
        <f aca="false">IF($A1840="","",IF($H1840="-","유지",IF($I1840="첫 건","유지","확인 필요")))</f>
        <v/>
      </c>
    </row>
    <row r="1841" customFormat="false" ht="15" hidden="false" customHeight="true" outlineLevel="0" collapsed="false">
      <c r="A1841" s="11" t="str">
        <f aca="false">IF(원본명단!$A1840="","",1838)</f>
        <v/>
      </c>
      <c r="B1841" s="12" t="str">
        <f aca="false">IF($A1841="","",원본명단!$A1840)</f>
        <v/>
      </c>
      <c r="C1841" s="12" t="str">
        <f aca="false">IF($A1841="","",원본명단!$B1840)</f>
        <v/>
      </c>
      <c r="D1841" s="12" t="str">
        <f aca="false">IF($A1841="","",원본명단!$D1840)</f>
        <v/>
      </c>
      <c r="E1841" s="11" t="str">
        <f aca="false">IF($A1841="","",IF(원본명단!$H1840="",0,COUNTIF(원본명단!$H$3:$H$6002,원본명단!$H1840)))</f>
        <v/>
      </c>
      <c r="F1841" s="11" t="str">
        <f aca="false">IF($A1841="","",IF(원본명단!$I1840="",0,COUNTIF(원본명단!$I$3:$I$6002,원본명단!$I1840)))</f>
        <v/>
      </c>
      <c r="G1841" s="11" t="str">
        <f aca="false">IF($A1841="","",IF(원본명단!$K1840="",0,COUNTIF(원본명단!$K$3:$K$6002,원본명단!$K1840)))</f>
        <v/>
      </c>
      <c r="H1841" s="11" t="str">
        <f aca="false">IF($A1841="","",IF(MAX($E1841,$F1841,$G1841)&gt;1,"중복","-"))</f>
        <v/>
      </c>
      <c r="I1841" s="11" t="str">
        <f aca="false">IF($A1841="","",IF($H1841="-","-",IF(AND(IF(원본명단!$H1840="",TRUE(),COUNTIF(원본명단!$H$3:$H1840,원본명단!$H1840)=1),IF(원본명단!$I1840="",TRUE(),COUNTIF(원본명단!$I$3:$I1840,원본명단!$I1840)=1),IF(원본명단!$K1840="",TRUE(),COUNTIF(원본명단!$K$3:$K1840,원본명단!$K1840)=1)),"첫 건","중복 건")))</f>
        <v/>
      </c>
      <c r="J1841" s="11" t="str">
        <f aca="false">IF($A1841="","",IF($H1841="-","유지",IF($I1841="첫 건","유지","확인 필요")))</f>
        <v/>
      </c>
    </row>
    <row r="1842" customFormat="false" ht="15" hidden="false" customHeight="true" outlineLevel="0" collapsed="false">
      <c r="A1842" s="11" t="str">
        <f aca="false">IF(원본명단!$A1841="","",1839)</f>
        <v/>
      </c>
      <c r="B1842" s="12" t="str">
        <f aca="false">IF($A1842="","",원본명단!$A1841)</f>
        <v/>
      </c>
      <c r="C1842" s="12" t="str">
        <f aca="false">IF($A1842="","",원본명단!$B1841)</f>
        <v/>
      </c>
      <c r="D1842" s="12" t="str">
        <f aca="false">IF($A1842="","",원본명단!$D1841)</f>
        <v/>
      </c>
      <c r="E1842" s="11" t="str">
        <f aca="false">IF($A1842="","",IF(원본명단!$H1841="",0,COUNTIF(원본명단!$H$3:$H$6002,원본명단!$H1841)))</f>
        <v/>
      </c>
      <c r="F1842" s="11" t="str">
        <f aca="false">IF($A1842="","",IF(원본명단!$I1841="",0,COUNTIF(원본명단!$I$3:$I$6002,원본명단!$I1841)))</f>
        <v/>
      </c>
      <c r="G1842" s="11" t="str">
        <f aca="false">IF($A1842="","",IF(원본명단!$K1841="",0,COUNTIF(원본명단!$K$3:$K$6002,원본명단!$K1841)))</f>
        <v/>
      </c>
      <c r="H1842" s="11" t="str">
        <f aca="false">IF($A1842="","",IF(MAX($E1842,$F1842,$G1842)&gt;1,"중복","-"))</f>
        <v/>
      </c>
      <c r="I1842" s="11" t="str">
        <f aca="false">IF($A1842="","",IF($H1842="-","-",IF(AND(IF(원본명단!$H1841="",TRUE(),COUNTIF(원본명단!$H$3:$H1841,원본명단!$H1841)=1),IF(원본명단!$I1841="",TRUE(),COUNTIF(원본명단!$I$3:$I1841,원본명단!$I1841)=1),IF(원본명단!$K1841="",TRUE(),COUNTIF(원본명단!$K$3:$K1841,원본명단!$K1841)=1)),"첫 건","중복 건")))</f>
        <v/>
      </c>
      <c r="J1842" s="11" t="str">
        <f aca="false">IF($A1842="","",IF($H1842="-","유지",IF($I1842="첫 건","유지","확인 필요")))</f>
        <v/>
      </c>
    </row>
    <row r="1843" customFormat="false" ht="15" hidden="false" customHeight="true" outlineLevel="0" collapsed="false">
      <c r="A1843" s="11" t="str">
        <f aca="false">IF(원본명단!$A1842="","",1840)</f>
        <v/>
      </c>
      <c r="B1843" s="12" t="str">
        <f aca="false">IF($A1843="","",원본명단!$A1842)</f>
        <v/>
      </c>
      <c r="C1843" s="12" t="str">
        <f aca="false">IF($A1843="","",원본명단!$B1842)</f>
        <v/>
      </c>
      <c r="D1843" s="12" t="str">
        <f aca="false">IF($A1843="","",원본명단!$D1842)</f>
        <v/>
      </c>
      <c r="E1843" s="11" t="str">
        <f aca="false">IF($A1843="","",IF(원본명단!$H1842="",0,COUNTIF(원본명단!$H$3:$H$6002,원본명단!$H1842)))</f>
        <v/>
      </c>
      <c r="F1843" s="11" t="str">
        <f aca="false">IF($A1843="","",IF(원본명단!$I1842="",0,COUNTIF(원본명단!$I$3:$I$6002,원본명단!$I1842)))</f>
        <v/>
      </c>
      <c r="G1843" s="11" t="str">
        <f aca="false">IF($A1843="","",IF(원본명단!$K1842="",0,COUNTIF(원본명단!$K$3:$K$6002,원본명단!$K1842)))</f>
        <v/>
      </c>
      <c r="H1843" s="11" t="str">
        <f aca="false">IF($A1843="","",IF(MAX($E1843,$F1843,$G1843)&gt;1,"중복","-"))</f>
        <v/>
      </c>
      <c r="I1843" s="11" t="str">
        <f aca="false">IF($A1843="","",IF($H1843="-","-",IF(AND(IF(원본명단!$H1842="",TRUE(),COUNTIF(원본명단!$H$3:$H1842,원본명단!$H1842)=1),IF(원본명단!$I1842="",TRUE(),COUNTIF(원본명단!$I$3:$I1842,원본명단!$I1842)=1),IF(원본명단!$K1842="",TRUE(),COUNTIF(원본명단!$K$3:$K1842,원본명단!$K1842)=1)),"첫 건","중복 건")))</f>
        <v/>
      </c>
      <c r="J1843" s="11" t="str">
        <f aca="false">IF($A1843="","",IF($H1843="-","유지",IF($I1843="첫 건","유지","확인 필요")))</f>
        <v/>
      </c>
    </row>
    <row r="1844" customFormat="false" ht="15" hidden="false" customHeight="true" outlineLevel="0" collapsed="false">
      <c r="A1844" s="11" t="str">
        <f aca="false">IF(원본명단!$A1843="","",1841)</f>
        <v/>
      </c>
      <c r="B1844" s="12" t="str">
        <f aca="false">IF($A1844="","",원본명단!$A1843)</f>
        <v/>
      </c>
      <c r="C1844" s="12" t="str">
        <f aca="false">IF($A1844="","",원본명단!$B1843)</f>
        <v/>
      </c>
      <c r="D1844" s="12" t="str">
        <f aca="false">IF($A1844="","",원본명단!$D1843)</f>
        <v/>
      </c>
      <c r="E1844" s="11" t="str">
        <f aca="false">IF($A1844="","",IF(원본명단!$H1843="",0,COUNTIF(원본명단!$H$3:$H$6002,원본명단!$H1843)))</f>
        <v/>
      </c>
      <c r="F1844" s="11" t="str">
        <f aca="false">IF($A1844="","",IF(원본명단!$I1843="",0,COUNTIF(원본명단!$I$3:$I$6002,원본명단!$I1843)))</f>
        <v/>
      </c>
      <c r="G1844" s="11" t="str">
        <f aca="false">IF($A1844="","",IF(원본명단!$K1843="",0,COUNTIF(원본명단!$K$3:$K$6002,원본명단!$K1843)))</f>
        <v/>
      </c>
      <c r="H1844" s="11" t="str">
        <f aca="false">IF($A1844="","",IF(MAX($E1844,$F1844,$G1844)&gt;1,"중복","-"))</f>
        <v/>
      </c>
      <c r="I1844" s="11" t="str">
        <f aca="false">IF($A1844="","",IF($H1844="-","-",IF(AND(IF(원본명단!$H1843="",TRUE(),COUNTIF(원본명단!$H$3:$H1843,원본명단!$H1843)=1),IF(원본명단!$I1843="",TRUE(),COUNTIF(원본명단!$I$3:$I1843,원본명단!$I1843)=1),IF(원본명단!$K1843="",TRUE(),COUNTIF(원본명단!$K$3:$K1843,원본명단!$K1843)=1)),"첫 건","중복 건")))</f>
        <v/>
      </c>
      <c r="J1844" s="11" t="str">
        <f aca="false">IF($A1844="","",IF($H1844="-","유지",IF($I1844="첫 건","유지","확인 필요")))</f>
        <v/>
      </c>
    </row>
    <row r="1845" customFormat="false" ht="15" hidden="false" customHeight="true" outlineLevel="0" collapsed="false">
      <c r="A1845" s="11" t="str">
        <f aca="false">IF(원본명단!$A1844="","",1842)</f>
        <v/>
      </c>
      <c r="B1845" s="12" t="str">
        <f aca="false">IF($A1845="","",원본명단!$A1844)</f>
        <v/>
      </c>
      <c r="C1845" s="12" t="str">
        <f aca="false">IF($A1845="","",원본명단!$B1844)</f>
        <v/>
      </c>
      <c r="D1845" s="12" t="str">
        <f aca="false">IF($A1845="","",원본명단!$D1844)</f>
        <v/>
      </c>
      <c r="E1845" s="11" t="str">
        <f aca="false">IF($A1845="","",IF(원본명단!$H1844="",0,COUNTIF(원본명단!$H$3:$H$6002,원본명단!$H1844)))</f>
        <v/>
      </c>
      <c r="F1845" s="11" t="str">
        <f aca="false">IF($A1845="","",IF(원본명단!$I1844="",0,COUNTIF(원본명단!$I$3:$I$6002,원본명단!$I1844)))</f>
        <v/>
      </c>
      <c r="G1845" s="11" t="str">
        <f aca="false">IF($A1845="","",IF(원본명단!$K1844="",0,COUNTIF(원본명단!$K$3:$K$6002,원본명단!$K1844)))</f>
        <v/>
      </c>
      <c r="H1845" s="11" t="str">
        <f aca="false">IF($A1845="","",IF(MAX($E1845,$F1845,$G1845)&gt;1,"중복","-"))</f>
        <v/>
      </c>
      <c r="I1845" s="11" t="str">
        <f aca="false">IF($A1845="","",IF($H1845="-","-",IF(AND(IF(원본명단!$H1844="",TRUE(),COUNTIF(원본명단!$H$3:$H1844,원본명단!$H1844)=1),IF(원본명단!$I1844="",TRUE(),COUNTIF(원본명단!$I$3:$I1844,원본명단!$I1844)=1),IF(원본명단!$K1844="",TRUE(),COUNTIF(원본명단!$K$3:$K1844,원본명단!$K1844)=1)),"첫 건","중복 건")))</f>
        <v/>
      </c>
      <c r="J1845" s="11" t="str">
        <f aca="false">IF($A1845="","",IF($H1845="-","유지",IF($I1845="첫 건","유지","확인 필요")))</f>
        <v/>
      </c>
    </row>
    <row r="1846" customFormat="false" ht="15" hidden="false" customHeight="true" outlineLevel="0" collapsed="false">
      <c r="A1846" s="11" t="str">
        <f aca="false">IF(원본명단!$A1845="","",1843)</f>
        <v/>
      </c>
      <c r="B1846" s="12" t="str">
        <f aca="false">IF($A1846="","",원본명단!$A1845)</f>
        <v/>
      </c>
      <c r="C1846" s="12" t="str">
        <f aca="false">IF($A1846="","",원본명단!$B1845)</f>
        <v/>
      </c>
      <c r="D1846" s="12" t="str">
        <f aca="false">IF($A1846="","",원본명단!$D1845)</f>
        <v/>
      </c>
      <c r="E1846" s="11" t="str">
        <f aca="false">IF($A1846="","",IF(원본명단!$H1845="",0,COUNTIF(원본명단!$H$3:$H$6002,원본명단!$H1845)))</f>
        <v/>
      </c>
      <c r="F1846" s="11" t="str">
        <f aca="false">IF($A1846="","",IF(원본명단!$I1845="",0,COUNTIF(원본명단!$I$3:$I$6002,원본명단!$I1845)))</f>
        <v/>
      </c>
      <c r="G1846" s="11" t="str">
        <f aca="false">IF($A1846="","",IF(원본명단!$K1845="",0,COUNTIF(원본명단!$K$3:$K$6002,원본명단!$K1845)))</f>
        <v/>
      </c>
      <c r="H1846" s="11" t="str">
        <f aca="false">IF($A1846="","",IF(MAX($E1846,$F1846,$G1846)&gt;1,"중복","-"))</f>
        <v/>
      </c>
      <c r="I1846" s="11" t="str">
        <f aca="false">IF($A1846="","",IF($H1846="-","-",IF(AND(IF(원본명단!$H1845="",TRUE(),COUNTIF(원본명단!$H$3:$H1845,원본명단!$H1845)=1),IF(원본명단!$I1845="",TRUE(),COUNTIF(원본명단!$I$3:$I1845,원본명단!$I1845)=1),IF(원본명단!$K1845="",TRUE(),COUNTIF(원본명단!$K$3:$K1845,원본명단!$K1845)=1)),"첫 건","중복 건")))</f>
        <v/>
      </c>
      <c r="J1846" s="11" t="str">
        <f aca="false">IF($A1846="","",IF($H1846="-","유지",IF($I1846="첫 건","유지","확인 필요")))</f>
        <v/>
      </c>
    </row>
    <row r="1847" customFormat="false" ht="15" hidden="false" customHeight="true" outlineLevel="0" collapsed="false">
      <c r="A1847" s="11" t="str">
        <f aca="false">IF(원본명단!$A1846="","",1844)</f>
        <v/>
      </c>
      <c r="B1847" s="12" t="str">
        <f aca="false">IF($A1847="","",원본명단!$A1846)</f>
        <v/>
      </c>
      <c r="C1847" s="12" t="str">
        <f aca="false">IF($A1847="","",원본명단!$B1846)</f>
        <v/>
      </c>
      <c r="D1847" s="12" t="str">
        <f aca="false">IF($A1847="","",원본명단!$D1846)</f>
        <v/>
      </c>
      <c r="E1847" s="11" t="str">
        <f aca="false">IF($A1847="","",IF(원본명단!$H1846="",0,COUNTIF(원본명단!$H$3:$H$6002,원본명단!$H1846)))</f>
        <v/>
      </c>
      <c r="F1847" s="11" t="str">
        <f aca="false">IF($A1847="","",IF(원본명단!$I1846="",0,COUNTIF(원본명단!$I$3:$I$6002,원본명단!$I1846)))</f>
        <v/>
      </c>
      <c r="G1847" s="11" t="str">
        <f aca="false">IF($A1847="","",IF(원본명단!$K1846="",0,COUNTIF(원본명단!$K$3:$K$6002,원본명단!$K1846)))</f>
        <v/>
      </c>
      <c r="H1847" s="11" t="str">
        <f aca="false">IF($A1847="","",IF(MAX($E1847,$F1847,$G1847)&gt;1,"중복","-"))</f>
        <v/>
      </c>
      <c r="I1847" s="11" t="str">
        <f aca="false">IF($A1847="","",IF($H1847="-","-",IF(AND(IF(원본명단!$H1846="",TRUE(),COUNTIF(원본명단!$H$3:$H1846,원본명단!$H1846)=1),IF(원본명단!$I1846="",TRUE(),COUNTIF(원본명단!$I$3:$I1846,원본명단!$I1846)=1),IF(원본명단!$K1846="",TRUE(),COUNTIF(원본명단!$K$3:$K1846,원본명단!$K1846)=1)),"첫 건","중복 건")))</f>
        <v/>
      </c>
      <c r="J1847" s="11" t="str">
        <f aca="false">IF($A1847="","",IF($H1847="-","유지",IF($I1847="첫 건","유지","확인 필요")))</f>
        <v/>
      </c>
    </row>
    <row r="1848" customFormat="false" ht="15" hidden="false" customHeight="true" outlineLevel="0" collapsed="false">
      <c r="A1848" s="11" t="str">
        <f aca="false">IF(원본명단!$A1847="","",1845)</f>
        <v/>
      </c>
      <c r="B1848" s="12" t="str">
        <f aca="false">IF($A1848="","",원본명단!$A1847)</f>
        <v/>
      </c>
      <c r="C1848" s="12" t="str">
        <f aca="false">IF($A1848="","",원본명단!$B1847)</f>
        <v/>
      </c>
      <c r="D1848" s="12" t="str">
        <f aca="false">IF($A1848="","",원본명단!$D1847)</f>
        <v/>
      </c>
      <c r="E1848" s="11" t="str">
        <f aca="false">IF($A1848="","",IF(원본명단!$H1847="",0,COUNTIF(원본명단!$H$3:$H$6002,원본명단!$H1847)))</f>
        <v/>
      </c>
      <c r="F1848" s="11" t="str">
        <f aca="false">IF($A1848="","",IF(원본명단!$I1847="",0,COUNTIF(원본명단!$I$3:$I$6002,원본명단!$I1847)))</f>
        <v/>
      </c>
      <c r="G1848" s="11" t="str">
        <f aca="false">IF($A1848="","",IF(원본명단!$K1847="",0,COUNTIF(원본명단!$K$3:$K$6002,원본명단!$K1847)))</f>
        <v/>
      </c>
      <c r="H1848" s="11" t="str">
        <f aca="false">IF($A1848="","",IF(MAX($E1848,$F1848,$G1848)&gt;1,"중복","-"))</f>
        <v/>
      </c>
      <c r="I1848" s="11" t="str">
        <f aca="false">IF($A1848="","",IF($H1848="-","-",IF(AND(IF(원본명단!$H1847="",TRUE(),COUNTIF(원본명단!$H$3:$H1847,원본명단!$H1847)=1),IF(원본명단!$I1847="",TRUE(),COUNTIF(원본명단!$I$3:$I1847,원본명단!$I1847)=1),IF(원본명단!$K1847="",TRUE(),COUNTIF(원본명단!$K$3:$K1847,원본명단!$K1847)=1)),"첫 건","중복 건")))</f>
        <v/>
      </c>
      <c r="J1848" s="11" t="str">
        <f aca="false">IF($A1848="","",IF($H1848="-","유지",IF($I1848="첫 건","유지","확인 필요")))</f>
        <v/>
      </c>
    </row>
    <row r="1849" customFormat="false" ht="15" hidden="false" customHeight="true" outlineLevel="0" collapsed="false">
      <c r="A1849" s="11" t="str">
        <f aca="false">IF(원본명단!$A1848="","",1846)</f>
        <v/>
      </c>
      <c r="B1849" s="12" t="str">
        <f aca="false">IF($A1849="","",원본명단!$A1848)</f>
        <v/>
      </c>
      <c r="C1849" s="12" t="str">
        <f aca="false">IF($A1849="","",원본명단!$B1848)</f>
        <v/>
      </c>
      <c r="D1849" s="12" t="str">
        <f aca="false">IF($A1849="","",원본명단!$D1848)</f>
        <v/>
      </c>
      <c r="E1849" s="11" t="str">
        <f aca="false">IF($A1849="","",IF(원본명단!$H1848="",0,COUNTIF(원본명단!$H$3:$H$6002,원본명단!$H1848)))</f>
        <v/>
      </c>
      <c r="F1849" s="11" t="str">
        <f aca="false">IF($A1849="","",IF(원본명단!$I1848="",0,COUNTIF(원본명단!$I$3:$I$6002,원본명단!$I1848)))</f>
        <v/>
      </c>
      <c r="G1849" s="11" t="str">
        <f aca="false">IF($A1849="","",IF(원본명단!$K1848="",0,COUNTIF(원본명단!$K$3:$K$6002,원본명단!$K1848)))</f>
        <v/>
      </c>
      <c r="H1849" s="11" t="str">
        <f aca="false">IF($A1849="","",IF(MAX($E1849,$F1849,$G1849)&gt;1,"중복","-"))</f>
        <v/>
      </c>
      <c r="I1849" s="11" t="str">
        <f aca="false">IF($A1849="","",IF($H1849="-","-",IF(AND(IF(원본명단!$H1848="",TRUE(),COUNTIF(원본명단!$H$3:$H1848,원본명단!$H1848)=1),IF(원본명단!$I1848="",TRUE(),COUNTIF(원본명단!$I$3:$I1848,원본명단!$I1848)=1),IF(원본명단!$K1848="",TRUE(),COUNTIF(원본명단!$K$3:$K1848,원본명단!$K1848)=1)),"첫 건","중복 건")))</f>
        <v/>
      </c>
      <c r="J1849" s="11" t="str">
        <f aca="false">IF($A1849="","",IF($H1849="-","유지",IF($I1849="첫 건","유지","확인 필요")))</f>
        <v/>
      </c>
    </row>
    <row r="1850" customFormat="false" ht="15" hidden="false" customHeight="true" outlineLevel="0" collapsed="false">
      <c r="A1850" s="11" t="str">
        <f aca="false">IF(원본명단!$A1849="","",1847)</f>
        <v/>
      </c>
      <c r="B1850" s="12" t="str">
        <f aca="false">IF($A1850="","",원본명단!$A1849)</f>
        <v/>
      </c>
      <c r="C1850" s="12" t="str">
        <f aca="false">IF($A1850="","",원본명단!$B1849)</f>
        <v/>
      </c>
      <c r="D1850" s="12" t="str">
        <f aca="false">IF($A1850="","",원본명단!$D1849)</f>
        <v/>
      </c>
      <c r="E1850" s="11" t="str">
        <f aca="false">IF($A1850="","",IF(원본명단!$H1849="",0,COUNTIF(원본명단!$H$3:$H$6002,원본명단!$H1849)))</f>
        <v/>
      </c>
      <c r="F1850" s="11" t="str">
        <f aca="false">IF($A1850="","",IF(원본명단!$I1849="",0,COUNTIF(원본명단!$I$3:$I$6002,원본명단!$I1849)))</f>
        <v/>
      </c>
      <c r="G1850" s="11" t="str">
        <f aca="false">IF($A1850="","",IF(원본명단!$K1849="",0,COUNTIF(원본명단!$K$3:$K$6002,원본명단!$K1849)))</f>
        <v/>
      </c>
      <c r="H1850" s="11" t="str">
        <f aca="false">IF($A1850="","",IF(MAX($E1850,$F1850,$G1850)&gt;1,"중복","-"))</f>
        <v/>
      </c>
      <c r="I1850" s="11" t="str">
        <f aca="false">IF($A1850="","",IF($H1850="-","-",IF(AND(IF(원본명단!$H1849="",TRUE(),COUNTIF(원본명단!$H$3:$H1849,원본명단!$H1849)=1),IF(원본명단!$I1849="",TRUE(),COUNTIF(원본명단!$I$3:$I1849,원본명단!$I1849)=1),IF(원본명단!$K1849="",TRUE(),COUNTIF(원본명단!$K$3:$K1849,원본명단!$K1849)=1)),"첫 건","중복 건")))</f>
        <v/>
      </c>
      <c r="J1850" s="11" t="str">
        <f aca="false">IF($A1850="","",IF($H1850="-","유지",IF($I1850="첫 건","유지","확인 필요")))</f>
        <v/>
      </c>
    </row>
    <row r="1851" customFormat="false" ht="15" hidden="false" customHeight="true" outlineLevel="0" collapsed="false">
      <c r="A1851" s="11" t="str">
        <f aca="false">IF(원본명단!$A1850="","",1848)</f>
        <v/>
      </c>
      <c r="B1851" s="12" t="str">
        <f aca="false">IF($A1851="","",원본명단!$A1850)</f>
        <v/>
      </c>
      <c r="C1851" s="12" t="str">
        <f aca="false">IF($A1851="","",원본명단!$B1850)</f>
        <v/>
      </c>
      <c r="D1851" s="12" t="str">
        <f aca="false">IF($A1851="","",원본명단!$D1850)</f>
        <v/>
      </c>
      <c r="E1851" s="11" t="str">
        <f aca="false">IF($A1851="","",IF(원본명단!$H1850="",0,COUNTIF(원본명단!$H$3:$H$6002,원본명단!$H1850)))</f>
        <v/>
      </c>
      <c r="F1851" s="11" t="str">
        <f aca="false">IF($A1851="","",IF(원본명단!$I1850="",0,COUNTIF(원본명단!$I$3:$I$6002,원본명단!$I1850)))</f>
        <v/>
      </c>
      <c r="G1851" s="11" t="str">
        <f aca="false">IF($A1851="","",IF(원본명단!$K1850="",0,COUNTIF(원본명단!$K$3:$K$6002,원본명단!$K1850)))</f>
        <v/>
      </c>
      <c r="H1851" s="11" t="str">
        <f aca="false">IF($A1851="","",IF(MAX($E1851,$F1851,$G1851)&gt;1,"중복","-"))</f>
        <v/>
      </c>
      <c r="I1851" s="11" t="str">
        <f aca="false">IF($A1851="","",IF($H1851="-","-",IF(AND(IF(원본명단!$H1850="",TRUE(),COUNTIF(원본명단!$H$3:$H1850,원본명단!$H1850)=1),IF(원본명단!$I1850="",TRUE(),COUNTIF(원본명단!$I$3:$I1850,원본명단!$I1850)=1),IF(원본명단!$K1850="",TRUE(),COUNTIF(원본명단!$K$3:$K1850,원본명단!$K1850)=1)),"첫 건","중복 건")))</f>
        <v/>
      </c>
      <c r="J1851" s="11" t="str">
        <f aca="false">IF($A1851="","",IF($H1851="-","유지",IF($I1851="첫 건","유지","확인 필요")))</f>
        <v/>
      </c>
    </row>
    <row r="1852" customFormat="false" ht="15" hidden="false" customHeight="true" outlineLevel="0" collapsed="false">
      <c r="A1852" s="11" t="str">
        <f aca="false">IF(원본명단!$A1851="","",1849)</f>
        <v/>
      </c>
      <c r="B1852" s="12" t="str">
        <f aca="false">IF($A1852="","",원본명단!$A1851)</f>
        <v/>
      </c>
      <c r="C1852" s="12" t="str">
        <f aca="false">IF($A1852="","",원본명단!$B1851)</f>
        <v/>
      </c>
      <c r="D1852" s="12" t="str">
        <f aca="false">IF($A1852="","",원본명단!$D1851)</f>
        <v/>
      </c>
      <c r="E1852" s="11" t="str">
        <f aca="false">IF($A1852="","",IF(원본명단!$H1851="",0,COUNTIF(원본명단!$H$3:$H$6002,원본명단!$H1851)))</f>
        <v/>
      </c>
      <c r="F1852" s="11" t="str">
        <f aca="false">IF($A1852="","",IF(원본명단!$I1851="",0,COUNTIF(원본명단!$I$3:$I$6002,원본명단!$I1851)))</f>
        <v/>
      </c>
      <c r="G1852" s="11" t="str">
        <f aca="false">IF($A1852="","",IF(원본명단!$K1851="",0,COUNTIF(원본명단!$K$3:$K$6002,원본명단!$K1851)))</f>
        <v/>
      </c>
      <c r="H1852" s="11" t="str">
        <f aca="false">IF($A1852="","",IF(MAX($E1852,$F1852,$G1852)&gt;1,"중복","-"))</f>
        <v/>
      </c>
      <c r="I1852" s="11" t="str">
        <f aca="false">IF($A1852="","",IF($H1852="-","-",IF(AND(IF(원본명단!$H1851="",TRUE(),COUNTIF(원본명단!$H$3:$H1851,원본명단!$H1851)=1),IF(원본명단!$I1851="",TRUE(),COUNTIF(원본명단!$I$3:$I1851,원본명단!$I1851)=1),IF(원본명단!$K1851="",TRUE(),COUNTIF(원본명단!$K$3:$K1851,원본명단!$K1851)=1)),"첫 건","중복 건")))</f>
        <v/>
      </c>
      <c r="J1852" s="11" t="str">
        <f aca="false">IF($A1852="","",IF($H1852="-","유지",IF($I1852="첫 건","유지","확인 필요")))</f>
        <v/>
      </c>
    </row>
    <row r="1853" customFormat="false" ht="15" hidden="false" customHeight="true" outlineLevel="0" collapsed="false">
      <c r="A1853" s="11" t="str">
        <f aca="false">IF(원본명단!$A1852="","",1850)</f>
        <v/>
      </c>
      <c r="B1853" s="12" t="str">
        <f aca="false">IF($A1853="","",원본명단!$A1852)</f>
        <v/>
      </c>
      <c r="C1853" s="12" t="str">
        <f aca="false">IF($A1853="","",원본명단!$B1852)</f>
        <v/>
      </c>
      <c r="D1853" s="12" t="str">
        <f aca="false">IF($A1853="","",원본명단!$D1852)</f>
        <v/>
      </c>
      <c r="E1853" s="11" t="str">
        <f aca="false">IF($A1853="","",IF(원본명단!$H1852="",0,COUNTIF(원본명단!$H$3:$H$6002,원본명단!$H1852)))</f>
        <v/>
      </c>
      <c r="F1853" s="11" t="str">
        <f aca="false">IF($A1853="","",IF(원본명단!$I1852="",0,COUNTIF(원본명단!$I$3:$I$6002,원본명단!$I1852)))</f>
        <v/>
      </c>
      <c r="G1853" s="11" t="str">
        <f aca="false">IF($A1853="","",IF(원본명단!$K1852="",0,COUNTIF(원본명단!$K$3:$K$6002,원본명단!$K1852)))</f>
        <v/>
      </c>
      <c r="H1853" s="11" t="str">
        <f aca="false">IF($A1853="","",IF(MAX($E1853,$F1853,$G1853)&gt;1,"중복","-"))</f>
        <v/>
      </c>
      <c r="I1853" s="11" t="str">
        <f aca="false">IF($A1853="","",IF($H1853="-","-",IF(AND(IF(원본명단!$H1852="",TRUE(),COUNTIF(원본명단!$H$3:$H1852,원본명단!$H1852)=1),IF(원본명단!$I1852="",TRUE(),COUNTIF(원본명단!$I$3:$I1852,원본명단!$I1852)=1),IF(원본명단!$K1852="",TRUE(),COUNTIF(원본명단!$K$3:$K1852,원본명단!$K1852)=1)),"첫 건","중복 건")))</f>
        <v/>
      </c>
      <c r="J1853" s="11" t="str">
        <f aca="false">IF($A1853="","",IF($H1853="-","유지",IF($I1853="첫 건","유지","확인 필요")))</f>
        <v/>
      </c>
    </row>
    <row r="1854" customFormat="false" ht="15" hidden="false" customHeight="true" outlineLevel="0" collapsed="false">
      <c r="A1854" s="11" t="str">
        <f aca="false">IF(원본명단!$A1853="","",1851)</f>
        <v/>
      </c>
      <c r="B1854" s="12" t="str">
        <f aca="false">IF($A1854="","",원본명단!$A1853)</f>
        <v/>
      </c>
      <c r="C1854" s="12" t="str">
        <f aca="false">IF($A1854="","",원본명단!$B1853)</f>
        <v/>
      </c>
      <c r="D1854" s="12" t="str">
        <f aca="false">IF($A1854="","",원본명단!$D1853)</f>
        <v/>
      </c>
      <c r="E1854" s="11" t="str">
        <f aca="false">IF($A1854="","",IF(원본명단!$H1853="",0,COUNTIF(원본명단!$H$3:$H$6002,원본명단!$H1853)))</f>
        <v/>
      </c>
      <c r="F1854" s="11" t="str">
        <f aca="false">IF($A1854="","",IF(원본명단!$I1853="",0,COUNTIF(원본명단!$I$3:$I$6002,원본명단!$I1853)))</f>
        <v/>
      </c>
      <c r="G1854" s="11" t="str">
        <f aca="false">IF($A1854="","",IF(원본명단!$K1853="",0,COUNTIF(원본명단!$K$3:$K$6002,원본명단!$K1853)))</f>
        <v/>
      </c>
      <c r="H1854" s="11" t="str">
        <f aca="false">IF($A1854="","",IF(MAX($E1854,$F1854,$G1854)&gt;1,"중복","-"))</f>
        <v/>
      </c>
      <c r="I1854" s="11" t="str">
        <f aca="false">IF($A1854="","",IF($H1854="-","-",IF(AND(IF(원본명단!$H1853="",TRUE(),COUNTIF(원본명단!$H$3:$H1853,원본명단!$H1853)=1),IF(원본명단!$I1853="",TRUE(),COUNTIF(원본명단!$I$3:$I1853,원본명단!$I1853)=1),IF(원본명단!$K1853="",TRUE(),COUNTIF(원본명단!$K$3:$K1853,원본명단!$K1853)=1)),"첫 건","중복 건")))</f>
        <v/>
      </c>
      <c r="J1854" s="11" t="str">
        <f aca="false">IF($A1854="","",IF($H1854="-","유지",IF($I1854="첫 건","유지","확인 필요")))</f>
        <v/>
      </c>
    </row>
    <row r="1855" customFormat="false" ht="15" hidden="false" customHeight="true" outlineLevel="0" collapsed="false">
      <c r="A1855" s="11" t="str">
        <f aca="false">IF(원본명단!$A1854="","",1852)</f>
        <v/>
      </c>
      <c r="B1855" s="12" t="str">
        <f aca="false">IF($A1855="","",원본명단!$A1854)</f>
        <v/>
      </c>
      <c r="C1855" s="12" t="str">
        <f aca="false">IF($A1855="","",원본명단!$B1854)</f>
        <v/>
      </c>
      <c r="D1855" s="12" t="str">
        <f aca="false">IF($A1855="","",원본명단!$D1854)</f>
        <v/>
      </c>
      <c r="E1855" s="11" t="str">
        <f aca="false">IF($A1855="","",IF(원본명단!$H1854="",0,COUNTIF(원본명단!$H$3:$H$6002,원본명단!$H1854)))</f>
        <v/>
      </c>
      <c r="F1855" s="11" t="str">
        <f aca="false">IF($A1855="","",IF(원본명단!$I1854="",0,COUNTIF(원본명단!$I$3:$I$6002,원본명단!$I1854)))</f>
        <v/>
      </c>
      <c r="G1855" s="11" t="str">
        <f aca="false">IF($A1855="","",IF(원본명단!$K1854="",0,COUNTIF(원본명단!$K$3:$K$6002,원본명단!$K1854)))</f>
        <v/>
      </c>
      <c r="H1855" s="11" t="str">
        <f aca="false">IF($A1855="","",IF(MAX($E1855,$F1855,$G1855)&gt;1,"중복","-"))</f>
        <v/>
      </c>
      <c r="I1855" s="11" t="str">
        <f aca="false">IF($A1855="","",IF($H1855="-","-",IF(AND(IF(원본명단!$H1854="",TRUE(),COUNTIF(원본명단!$H$3:$H1854,원본명단!$H1854)=1),IF(원본명단!$I1854="",TRUE(),COUNTIF(원본명단!$I$3:$I1854,원본명단!$I1854)=1),IF(원본명단!$K1854="",TRUE(),COUNTIF(원본명단!$K$3:$K1854,원본명단!$K1854)=1)),"첫 건","중복 건")))</f>
        <v/>
      </c>
      <c r="J1855" s="11" t="str">
        <f aca="false">IF($A1855="","",IF($H1855="-","유지",IF($I1855="첫 건","유지","확인 필요")))</f>
        <v/>
      </c>
    </row>
    <row r="1856" customFormat="false" ht="15" hidden="false" customHeight="true" outlineLevel="0" collapsed="false">
      <c r="A1856" s="11" t="str">
        <f aca="false">IF(원본명단!$A1855="","",1853)</f>
        <v/>
      </c>
      <c r="B1856" s="12" t="str">
        <f aca="false">IF($A1856="","",원본명단!$A1855)</f>
        <v/>
      </c>
      <c r="C1856" s="12" t="str">
        <f aca="false">IF($A1856="","",원본명단!$B1855)</f>
        <v/>
      </c>
      <c r="D1856" s="12" t="str">
        <f aca="false">IF($A1856="","",원본명단!$D1855)</f>
        <v/>
      </c>
      <c r="E1856" s="11" t="str">
        <f aca="false">IF($A1856="","",IF(원본명단!$H1855="",0,COUNTIF(원본명단!$H$3:$H$6002,원본명단!$H1855)))</f>
        <v/>
      </c>
      <c r="F1856" s="11" t="str">
        <f aca="false">IF($A1856="","",IF(원본명단!$I1855="",0,COUNTIF(원본명단!$I$3:$I$6002,원본명단!$I1855)))</f>
        <v/>
      </c>
      <c r="G1856" s="11" t="str">
        <f aca="false">IF($A1856="","",IF(원본명단!$K1855="",0,COUNTIF(원본명단!$K$3:$K$6002,원본명단!$K1855)))</f>
        <v/>
      </c>
      <c r="H1856" s="11" t="str">
        <f aca="false">IF($A1856="","",IF(MAX($E1856,$F1856,$G1856)&gt;1,"중복","-"))</f>
        <v/>
      </c>
      <c r="I1856" s="11" t="str">
        <f aca="false">IF($A1856="","",IF($H1856="-","-",IF(AND(IF(원본명단!$H1855="",TRUE(),COUNTIF(원본명단!$H$3:$H1855,원본명단!$H1855)=1),IF(원본명단!$I1855="",TRUE(),COUNTIF(원본명단!$I$3:$I1855,원본명단!$I1855)=1),IF(원본명단!$K1855="",TRUE(),COUNTIF(원본명단!$K$3:$K1855,원본명단!$K1855)=1)),"첫 건","중복 건")))</f>
        <v/>
      </c>
      <c r="J1856" s="11" t="str">
        <f aca="false">IF($A1856="","",IF($H1856="-","유지",IF($I1856="첫 건","유지","확인 필요")))</f>
        <v/>
      </c>
    </row>
    <row r="1857" customFormat="false" ht="15" hidden="false" customHeight="true" outlineLevel="0" collapsed="false">
      <c r="A1857" s="11" t="str">
        <f aca="false">IF(원본명단!$A1856="","",1854)</f>
        <v/>
      </c>
      <c r="B1857" s="12" t="str">
        <f aca="false">IF($A1857="","",원본명단!$A1856)</f>
        <v/>
      </c>
      <c r="C1857" s="12" t="str">
        <f aca="false">IF($A1857="","",원본명단!$B1856)</f>
        <v/>
      </c>
      <c r="D1857" s="12" t="str">
        <f aca="false">IF($A1857="","",원본명단!$D1856)</f>
        <v/>
      </c>
      <c r="E1857" s="11" t="str">
        <f aca="false">IF($A1857="","",IF(원본명단!$H1856="",0,COUNTIF(원본명단!$H$3:$H$6002,원본명단!$H1856)))</f>
        <v/>
      </c>
      <c r="F1857" s="11" t="str">
        <f aca="false">IF($A1857="","",IF(원본명단!$I1856="",0,COUNTIF(원본명단!$I$3:$I$6002,원본명단!$I1856)))</f>
        <v/>
      </c>
      <c r="G1857" s="11" t="str">
        <f aca="false">IF($A1857="","",IF(원본명단!$K1856="",0,COUNTIF(원본명단!$K$3:$K$6002,원본명단!$K1856)))</f>
        <v/>
      </c>
      <c r="H1857" s="11" t="str">
        <f aca="false">IF($A1857="","",IF(MAX($E1857,$F1857,$G1857)&gt;1,"중복","-"))</f>
        <v/>
      </c>
      <c r="I1857" s="11" t="str">
        <f aca="false">IF($A1857="","",IF($H1857="-","-",IF(AND(IF(원본명단!$H1856="",TRUE(),COUNTIF(원본명단!$H$3:$H1856,원본명단!$H1856)=1),IF(원본명단!$I1856="",TRUE(),COUNTIF(원본명단!$I$3:$I1856,원본명단!$I1856)=1),IF(원본명단!$K1856="",TRUE(),COUNTIF(원본명단!$K$3:$K1856,원본명단!$K1856)=1)),"첫 건","중복 건")))</f>
        <v/>
      </c>
      <c r="J1857" s="11" t="str">
        <f aca="false">IF($A1857="","",IF($H1857="-","유지",IF($I1857="첫 건","유지","확인 필요")))</f>
        <v/>
      </c>
    </row>
    <row r="1858" customFormat="false" ht="15" hidden="false" customHeight="true" outlineLevel="0" collapsed="false">
      <c r="A1858" s="11" t="str">
        <f aca="false">IF(원본명단!$A1857="","",1855)</f>
        <v/>
      </c>
      <c r="B1858" s="12" t="str">
        <f aca="false">IF($A1858="","",원본명단!$A1857)</f>
        <v/>
      </c>
      <c r="C1858" s="12" t="str">
        <f aca="false">IF($A1858="","",원본명단!$B1857)</f>
        <v/>
      </c>
      <c r="D1858" s="12" t="str">
        <f aca="false">IF($A1858="","",원본명단!$D1857)</f>
        <v/>
      </c>
      <c r="E1858" s="11" t="str">
        <f aca="false">IF($A1858="","",IF(원본명단!$H1857="",0,COUNTIF(원본명단!$H$3:$H$6002,원본명단!$H1857)))</f>
        <v/>
      </c>
      <c r="F1858" s="11" t="str">
        <f aca="false">IF($A1858="","",IF(원본명단!$I1857="",0,COUNTIF(원본명단!$I$3:$I$6002,원본명단!$I1857)))</f>
        <v/>
      </c>
      <c r="G1858" s="11" t="str">
        <f aca="false">IF($A1858="","",IF(원본명단!$K1857="",0,COUNTIF(원본명단!$K$3:$K$6002,원본명단!$K1857)))</f>
        <v/>
      </c>
      <c r="H1858" s="11" t="str">
        <f aca="false">IF($A1858="","",IF(MAX($E1858,$F1858,$G1858)&gt;1,"중복","-"))</f>
        <v/>
      </c>
      <c r="I1858" s="11" t="str">
        <f aca="false">IF($A1858="","",IF($H1858="-","-",IF(AND(IF(원본명단!$H1857="",TRUE(),COUNTIF(원본명단!$H$3:$H1857,원본명단!$H1857)=1),IF(원본명단!$I1857="",TRUE(),COUNTIF(원본명단!$I$3:$I1857,원본명단!$I1857)=1),IF(원본명단!$K1857="",TRUE(),COUNTIF(원본명단!$K$3:$K1857,원본명단!$K1857)=1)),"첫 건","중복 건")))</f>
        <v/>
      </c>
      <c r="J1858" s="11" t="str">
        <f aca="false">IF($A1858="","",IF($H1858="-","유지",IF($I1858="첫 건","유지","확인 필요")))</f>
        <v/>
      </c>
    </row>
    <row r="1859" customFormat="false" ht="15" hidden="false" customHeight="true" outlineLevel="0" collapsed="false">
      <c r="A1859" s="11" t="str">
        <f aca="false">IF(원본명단!$A1858="","",1856)</f>
        <v/>
      </c>
      <c r="B1859" s="12" t="str">
        <f aca="false">IF($A1859="","",원본명단!$A1858)</f>
        <v/>
      </c>
      <c r="C1859" s="12" t="str">
        <f aca="false">IF($A1859="","",원본명단!$B1858)</f>
        <v/>
      </c>
      <c r="D1859" s="12" t="str">
        <f aca="false">IF($A1859="","",원본명단!$D1858)</f>
        <v/>
      </c>
      <c r="E1859" s="11" t="str">
        <f aca="false">IF($A1859="","",IF(원본명단!$H1858="",0,COUNTIF(원본명단!$H$3:$H$6002,원본명단!$H1858)))</f>
        <v/>
      </c>
      <c r="F1859" s="11" t="str">
        <f aca="false">IF($A1859="","",IF(원본명단!$I1858="",0,COUNTIF(원본명단!$I$3:$I$6002,원본명단!$I1858)))</f>
        <v/>
      </c>
      <c r="G1859" s="11" t="str">
        <f aca="false">IF($A1859="","",IF(원본명단!$K1858="",0,COUNTIF(원본명단!$K$3:$K$6002,원본명단!$K1858)))</f>
        <v/>
      </c>
      <c r="H1859" s="11" t="str">
        <f aca="false">IF($A1859="","",IF(MAX($E1859,$F1859,$G1859)&gt;1,"중복","-"))</f>
        <v/>
      </c>
      <c r="I1859" s="11" t="str">
        <f aca="false">IF($A1859="","",IF($H1859="-","-",IF(AND(IF(원본명단!$H1858="",TRUE(),COUNTIF(원본명단!$H$3:$H1858,원본명단!$H1858)=1),IF(원본명단!$I1858="",TRUE(),COUNTIF(원본명단!$I$3:$I1858,원본명단!$I1858)=1),IF(원본명단!$K1858="",TRUE(),COUNTIF(원본명단!$K$3:$K1858,원본명단!$K1858)=1)),"첫 건","중복 건")))</f>
        <v/>
      </c>
      <c r="J1859" s="11" t="str">
        <f aca="false">IF($A1859="","",IF($H1859="-","유지",IF($I1859="첫 건","유지","확인 필요")))</f>
        <v/>
      </c>
    </row>
    <row r="1860" customFormat="false" ht="15" hidden="false" customHeight="true" outlineLevel="0" collapsed="false">
      <c r="A1860" s="11" t="str">
        <f aca="false">IF(원본명단!$A1859="","",1857)</f>
        <v/>
      </c>
      <c r="B1860" s="12" t="str">
        <f aca="false">IF($A1860="","",원본명단!$A1859)</f>
        <v/>
      </c>
      <c r="C1860" s="12" t="str">
        <f aca="false">IF($A1860="","",원본명단!$B1859)</f>
        <v/>
      </c>
      <c r="D1860" s="12" t="str">
        <f aca="false">IF($A1860="","",원본명단!$D1859)</f>
        <v/>
      </c>
      <c r="E1860" s="11" t="str">
        <f aca="false">IF($A1860="","",IF(원본명단!$H1859="",0,COUNTIF(원본명단!$H$3:$H$6002,원본명단!$H1859)))</f>
        <v/>
      </c>
      <c r="F1860" s="11" t="str">
        <f aca="false">IF($A1860="","",IF(원본명단!$I1859="",0,COUNTIF(원본명단!$I$3:$I$6002,원본명단!$I1859)))</f>
        <v/>
      </c>
      <c r="G1860" s="11" t="str">
        <f aca="false">IF($A1860="","",IF(원본명단!$K1859="",0,COUNTIF(원본명단!$K$3:$K$6002,원본명단!$K1859)))</f>
        <v/>
      </c>
      <c r="H1860" s="11" t="str">
        <f aca="false">IF($A1860="","",IF(MAX($E1860,$F1860,$G1860)&gt;1,"중복","-"))</f>
        <v/>
      </c>
      <c r="I1860" s="11" t="str">
        <f aca="false">IF($A1860="","",IF($H1860="-","-",IF(AND(IF(원본명단!$H1859="",TRUE(),COUNTIF(원본명단!$H$3:$H1859,원본명단!$H1859)=1),IF(원본명단!$I1859="",TRUE(),COUNTIF(원본명단!$I$3:$I1859,원본명단!$I1859)=1),IF(원본명단!$K1859="",TRUE(),COUNTIF(원본명단!$K$3:$K1859,원본명단!$K1859)=1)),"첫 건","중복 건")))</f>
        <v/>
      </c>
      <c r="J1860" s="11" t="str">
        <f aca="false">IF($A1860="","",IF($H1860="-","유지",IF($I1860="첫 건","유지","확인 필요")))</f>
        <v/>
      </c>
    </row>
    <row r="1861" customFormat="false" ht="15" hidden="false" customHeight="true" outlineLevel="0" collapsed="false">
      <c r="A1861" s="11" t="str">
        <f aca="false">IF(원본명단!$A1860="","",1858)</f>
        <v/>
      </c>
      <c r="B1861" s="12" t="str">
        <f aca="false">IF($A1861="","",원본명단!$A1860)</f>
        <v/>
      </c>
      <c r="C1861" s="12" t="str">
        <f aca="false">IF($A1861="","",원본명단!$B1860)</f>
        <v/>
      </c>
      <c r="D1861" s="12" t="str">
        <f aca="false">IF($A1861="","",원본명단!$D1860)</f>
        <v/>
      </c>
      <c r="E1861" s="11" t="str">
        <f aca="false">IF($A1861="","",IF(원본명단!$H1860="",0,COUNTIF(원본명단!$H$3:$H$6002,원본명단!$H1860)))</f>
        <v/>
      </c>
      <c r="F1861" s="11" t="str">
        <f aca="false">IF($A1861="","",IF(원본명단!$I1860="",0,COUNTIF(원본명단!$I$3:$I$6002,원본명단!$I1860)))</f>
        <v/>
      </c>
      <c r="G1861" s="11" t="str">
        <f aca="false">IF($A1861="","",IF(원본명단!$K1860="",0,COUNTIF(원본명단!$K$3:$K$6002,원본명단!$K1860)))</f>
        <v/>
      </c>
      <c r="H1861" s="11" t="str">
        <f aca="false">IF($A1861="","",IF(MAX($E1861,$F1861,$G1861)&gt;1,"중복","-"))</f>
        <v/>
      </c>
      <c r="I1861" s="11" t="str">
        <f aca="false">IF($A1861="","",IF($H1861="-","-",IF(AND(IF(원본명단!$H1860="",TRUE(),COUNTIF(원본명단!$H$3:$H1860,원본명단!$H1860)=1),IF(원본명단!$I1860="",TRUE(),COUNTIF(원본명단!$I$3:$I1860,원본명단!$I1860)=1),IF(원본명단!$K1860="",TRUE(),COUNTIF(원본명단!$K$3:$K1860,원본명단!$K1860)=1)),"첫 건","중복 건")))</f>
        <v/>
      </c>
      <c r="J1861" s="11" t="str">
        <f aca="false">IF($A1861="","",IF($H1861="-","유지",IF($I1861="첫 건","유지","확인 필요")))</f>
        <v/>
      </c>
    </row>
    <row r="1862" customFormat="false" ht="15" hidden="false" customHeight="true" outlineLevel="0" collapsed="false">
      <c r="A1862" s="11" t="str">
        <f aca="false">IF(원본명단!$A1861="","",1859)</f>
        <v/>
      </c>
      <c r="B1862" s="12" t="str">
        <f aca="false">IF($A1862="","",원본명단!$A1861)</f>
        <v/>
      </c>
      <c r="C1862" s="12" t="str">
        <f aca="false">IF($A1862="","",원본명단!$B1861)</f>
        <v/>
      </c>
      <c r="D1862" s="12" t="str">
        <f aca="false">IF($A1862="","",원본명단!$D1861)</f>
        <v/>
      </c>
      <c r="E1862" s="11" t="str">
        <f aca="false">IF($A1862="","",IF(원본명단!$H1861="",0,COUNTIF(원본명단!$H$3:$H$6002,원본명단!$H1861)))</f>
        <v/>
      </c>
      <c r="F1862" s="11" t="str">
        <f aca="false">IF($A1862="","",IF(원본명단!$I1861="",0,COUNTIF(원본명단!$I$3:$I$6002,원본명단!$I1861)))</f>
        <v/>
      </c>
      <c r="G1862" s="11" t="str">
        <f aca="false">IF($A1862="","",IF(원본명단!$K1861="",0,COUNTIF(원본명단!$K$3:$K$6002,원본명단!$K1861)))</f>
        <v/>
      </c>
      <c r="H1862" s="11" t="str">
        <f aca="false">IF($A1862="","",IF(MAX($E1862,$F1862,$G1862)&gt;1,"중복","-"))</f>
        <v/>
      </c>
      <c r="I1862" s="11" t="str">
        <f aca="false">IF($A1862="","",IF($H1862="-","-",IF(AND(IF(원본명단!$H1861="",TRUE(),COUNTIF(원본명단!$H$3:$H1861,원본명단!$H1861)=1),IF(원본명단!$I1861="",TRUE(),COUNTIF(원본명단!$I$3:$I1861,원본명단!$I1861)=1),IF(원본명단!$K1861="",TRUE(),COUNTIF(원본명단!$K$3:$K1861,원본명단!$K1861)=1)),"첫 건","중복 건")))</f>
        <v/>
      </c>
      <c r="J1862" s="11" t="str">
        <f aca="false">IF($A1862="","",IF($H1862="-","유지",IF($I1862="첫 건","유지","확인 필요")))</f>
        <v/>
      </c>
    </row>
    <row r="1863" customFormat="false" ht="15" hidden="false" customHeight="true" outlineLevel="0" collapsed="false">
      <c r="A1863" s="11" t="str">
        <f aca="false">IF(원본명단!$A1862="","",1860)</f>
        <v/>
      </c>
      <c r="B1863" s="12" t="str">
        <f aca="false">IF($A1863="","",원본명단!$A1862)</f>
        <v/>
      </c>
      <c r="C1863" s="12" t="str">
        <f aca="false">IF($A1863="","",원본명단!$B1862)</f>
        <v/>
      </c>
      <c r="D1863" s="12" t="str">
        <f aca="false">IF($A1863="","",원본명단!$D1862)</f>
        <v/>
      </c>
      <c r="E1863" s="11" t="str">
        <f aca="false">IF($A1863="","",IF(원본명단!$H1862="",0,COUNTIF(원본명단!$H$3:$H$6002,원본명단!$H1862)))</f>
        <v/>
      </c>
      <c r="F1863" s="11" t="str">
        <f aca="false">IF($A1863="","",IF(원본명단!$I1862="",0,COUNTIF(원본명단!$I$3:$I$6002,원본명단!$I1862)))</f>
        <v/>
      </c>
      <c r="G1863" s="11" t="str">
        <f aca="false">IF($A1863="","",IF(원본명단!$K1862="",0,COUNTIF(원본명단!$K$3:$K$6002,원본명단!$K1862)))</f>
        <v/>
      </c>
      <c r="H1863" s="11" t="str">
        <f aca="false">IF($A1863="","",IF(MAX($E1863,$F1863,$G1863)&gt;1,"중복","-"))</f>
        <v/>
      </c>
      <c r="I1863" s="11" t="str">
        <f aca="false">IF($A1863="","",IF($H1863="-","-",IF(AND(IF(원본명단!$H1862="",TRUE(),COUNTIF(원본명단!$H$3:$H1862,원본명단!$H1862)=1),IF(원본명단!$I1862="",TRUE(),COUNTIF(원본명단!$I$3:$I1862,원본명단!$I1862)=1),IF(원본명단!$K1862="",TRUE(),COUNTIF(원본명단!$K$3:$K1862,원본명단!$K1862)=1)),"첫 건","중복 건")))</f>
        <v/>
      </c>
      <c r="J1863" s="11" t="str">
        <f aca="false">IF($A1863="","",IF($H1863="-","유지",IF($I1863="첫 건","유지","확인 필요")))</f>
        <v/>
      </c>
    </row>
    <row r="1864" customFormat="false" ht="15" hidden="false" customHeight="true" outlineLevel="0" collapsed="false">
      <c r="A1864" s="11" t="str">
        <f aca="false">IF(원본명단!$A1863="","",1861)</f>
        <v/>
      </c>
      <c r="B1864" s="12" t="str">
        <f aca="false">IF($A1864="","",원본명단!$A1863)</f>
        <v/>
      </c>
      <c r="C1864" s="12" t="str">
        <f aca="false">IF($A1864="","",원본명단!$B1863)</f>
        <v/>
      </c>
      <c r="D1864" s="12" t="str">
        <f aca="false">IF($A1864="","",원본명단!$D1863)</f>
        <v/>
      </c>
      <c r="E1864" s="11" t="str">
        <f aca="false">IF($A1864="","",IF(원본명단!$H1863="",0,COUNTIF(원본명단!$H$3:$H$6002,원본명단!$H1863)))</f>
        <v/>
      </c>
      <c r="F1864" s="11" t="str">
        <f aca="false">IF($A1864="","",IF(원본명단!$I1863="",0,COUNTIF(원본명단!$I$3:$I$6002,원본명단!$I1863)))</f>
        <v/>
      </c>
      <c r="G1864" s="11" t="str">
        <f aca="false">IF($A1864="","",IF(원본명단!$K1863="",0,COUNTIF(원본명단!$K$3:$K$6002,원본명단!$K1863)))</f>
        <v/>
      </c>
      <c r="H1864" s="11" t="str">
        <f aca="false">IF($A1864="","",IF(MAX($E1864,$F1864,$G1864)&gt;1,"중복","-"))</f>
        <v/>
      </c>
      <c r="I1864" s="11" t="str">
        <f aca="false">IF($A1864="","",IF($H1864="-","-",IF(AND(IF(원본명단!$H1863="",TRUE(),COUNTIF(원본명단!$H$3:$H1863,원본명단!$H1863)=1),IF(원본명단!$I1863="",TRUE(),COUNTIF(원본명단!$I$3:$I1863,원본명단!$I1863)=1),IF(원본명단!$K1863="",TRUE(),COUNTIF(원본명단!$K$3:$K1863,원본명단!$K1863)=1)),"첫 건","중복 건")))</f>
        <v/>
      </c>
      <c r="J1864" s="11" t="str">
        <f aca="false">IF($A1864="","",IF($H1864="-","유지",IF($I1864="첫 건","유지","확인 필요")))</f>
        <v/>
      </c>
    </row>
    <row r="1865" customFormat="false" ht="15" hidden="false" customHeight="true" outlineLevel="0" collapsed="false">
      <c r="A1865" s="11" t="str">
        <f aca="false">IF(원본명단!$A1864="","",1862)</f>
        <v/>
      </c>
      <c r="B1865" s="12" t="str">
        <f aca="false">IF($A1865="","",원본명단!$A1864)</f>
        <v/>
      </c>
      <c r="C1865" s="12" t="str">
        <f aca="false">IF($A1865="","",원본명단!$B1864)</f>
        <v/>
      </c>
      <c r="D1865" s="12" t="str">
        <f aca="false">IF($A1865="","",원본명단!$D1864)</f>
        <v/>
      </c>
      <c r="E1865" s="11" t="str">
        <f aca="false">IF($A1865="","",IF(원본명단!$H1864="",0,COUNTIF(원본명단!$H$3:$H$6002,원본명단!$H1864)))</f>
        <v/>
      </c>
      <c r="F1865" s="11" t="str">
        <f aca="false">IF($A1865="","",IF(원본명단!$I1864="",0,COUNTIF(원본명단!$I$3:$I$6002,원본명단!$I1864)))</f>
        <v/>
      </c>
      <c r="G1865" s="11" t="str">
        <f aca="false">IF($A1865="","",IF(원본명단!$K1864="",0,COUNTIF(원본명단!$K$3:$K$6002,원본명단!$K1864)))</f>
        <v/>
      </c>
      <c r="H1865" s="11" t="str">
        <f aca="false">IF($A1865="","",IF(MAX($E1865,$F1865,$G1865)&gt;1,"중복","-"))</f>
        <v/>
      </c>
      <c r="I1865" s="11" t="str">
        <f aca="false">IF($A1865="","",IF($H1865="-","-",IF(AND(IF(원본명단!$H1864="",TRUE(),COUNTIF(원본명단!$H$3:$H1864,원본명단!$H1864)=1),IF(원본명단!$I1864="",TRUE(),COUNTIF(원본명단!$I$3:$I1864,원본명단!$I1864)=1),IF(원본명단!$K1864="",TRUE(),COUNTIF(원본명단!$K$3:$K1864,원본명단!$K1864)=1)),"첫 건","중복 건")))</f>
        <v/>
      </c>
      <c r="J1865" s="11" t="str">
        <f aca="false">IF($A1865="","",IF($H1865="-","유지",IF($I1865="첫 건","유지","확인 필요")))</f>
        <v/>
      </c>
    </row>
    <row r="1866" customFormat="false" ht="15" hidden="false" customHeight="true" outlineLevel="0" collapsed="false">
      <c r="A1866" s="11" t="str">
        <f aca="false">IF(원본명단!$A1865="","",1863)</f>
        <v/>
      </c>
      <c r="B1866" s="12" t="str">
        <f aca="false">IF($A1866="","",원본명단!$A1865)</f>
        <v/>
      </c>
      <c r="C1866" s="12" t="str">
        <f aca="false">IF($A1866="","",원본명단!$B1865)</f>
        <v/>
      </c>
      <c r="D1866" s="12" t="str">
        <f aca="false">IF($A1866="","",원본명단!$D1865)</f>
        <v/>
      </c>
      <c r="E1866" s="11" t="str">
        <f aca="false">IF($A1866="","",IF(원본명단!$H1865="",0,COUNTIF(원본명단!$H$3:$H$6002,원본명단!$H1865)))</f>
        <v/>
      </c>
      <c r="F1866" s="11" t="str">
        <f aca="false">IF($A1866="","",IF(원본명단!$I1865="",0,COUNTIF(원본명단!$I$3:$I$6002,원본명단!$I1865)))</f>
        <v/>
      </c>
      <c r="G1866" s="11" t="str">
        <f aca="false">IF($A1866="","",IF(원본명단!$K1865="",0,COUNTIF(원본명단!$K$3:$K$6002,원본명단!$K1865)))</f>
        <v/>
      </c>
      <c r="H1866" s="11" t="str">
        <f aca="false">IF($A1866="","",IF(MAX($E1866,$F1866,$G1866)&gt;1,"중복","-"))</f>
        <v/>
      </c>
      <c r="I1866" s="11" t="str">
        <f aca="false">IF($A1866="","",IF($H1866="-","-",IF(AND(IF(원본명단!$H1865="",TRUE(),COUNTIF(원본명단!$H$3:$H1865,원본명단!$H1865)=1),IF(원본명단!$I1865="",TRUE(),COUNTIF(원본명단!$I$3:$I1865,원본명단!$I1865)=1),IF(원본명단!$K1865="",TRUE(),COUNTIF(원본명단!$K$3:$K1865,원본명단!$K1865)=1)),"첫 건","중복 건")))</f>
        <v/>
      </c>
      <c r="J1866" s="11" t="str">
        <f aca="false">IF($A1866="","",IF($H1866="-","유지",IF($I1866="첫 건","유지","확인 필요")))</f>
        <v/>
      </c>
    </row>
    <row r="1867" customFormat="false" ht="15" hidden="false" customHeight="true" outlineLevel="0" collapsed="false">
      <c r="A1867" s="11" t="str">
        <f aca="false">IF(원본명단!$A1866="","",1864)</f>
        <v/>
      </c>
      <c r="B1867" s="12" t="str">
        <f aca="false">IF($A1867="","",원본명단!$A1866)</f>
        <v/>
      </c>
      <c r="C1867" s="12" t="str">
        <f aca="false">IF($A1867="","",원본명단!$B1866)</f>
        <v/>
      </c>
      <c r="D1867" s="12" t="str">
        <f aca="false">IF($A1867="","",원본명단!$D1866)</f>
        <v/>
      </c>
      <c r="E1867" s="11" t="str">
        <f aca="false">IF($A1867="","",IF(원본명단!$H1866="",0,COUNTIF(원본명단!$H$3:$H$6002,원본명단!$H1866)))</f>
        <v/>
      </c>
      <c r="F1867" s="11" t="str">
        <f aca="false">IF($A1867="","",IF(원본명단!$I1866="",0,COUNTIF(원본명단!$I$3:$I$6002,원본명단!$I1866)))</f>
        <v/>
      </c>
      <c r="G1867" s="11" t="str">
        <f aca="false">IF($A1867="","",IF(원본명단!$K1866="",0,COUNTIF(원본명단!$K$3:$K$6002,원본명단!$K1866)))</f>
        <v/>
      </c>
      <c r="H1867" s="11" t="str">
        <f aca="false">IF($A1867="","",IF(MAX($E1867,$F1867,$G1867)&gt;1,"중복","-"))</f>
        <v/>
      </c>
      <c r="I1867" s="11" t="str">
        <f aca="false">IF($A1867="","",IF($H1867="-","-",IF(AND(IF(원본명단!$H1866="",TRUE(),COUNTIF(원본명단!$H$3:$H1866,원본명단!$H1866)=1),IF(원본명단!$I1866="",TRUE(),COUNTIF(원본명단!$I$3:$I1866,원본명단!$I1866)=1),IF(원본명단!$K1866="",TRUE(),COUNTIF(원본명단!$K$3:$K1866,원본명단!$K1866)=1)),"첫 건","중복 건")))</f>
        <v/>
      </c>
      <c r="J1867" s="11" t="str">
        <f aca="false">IF($A1867="","",IF($H1867="-","유지",IF($I1867="첫 건","유지","확인 필요")))</f>
        <v/>
      </c>
    </row>
    <row r="1868" customFormat="false" ht="15" hidden="false" customHeight="true" outlineLevel="0" collapsed="false">
      <c r="A1868" s="11" t="str">
        <f aca="false">IF(원본명단!$A1867="","",1865)</f>
        <v/>
      </c>
      <c r="B1868" s="12" t="str">
        <f aca="false">IF($A1868="","",원본명단!$A1867)</f>
        <v/>
      </c>
      <c r="C1868" s="12" t="str">
        <f aca="false">IF($A1868="","",원본명단!$B1867)</f>
        <v/>
      </c>
      <c r="D1868" s="12" t="str">
        <f aca="false">IF($A1868="","",원본명단!$D1867)</f>
        <v/>
      </c>
      <c r="E1868" s="11" t="str">
        <f aca="false">IF($A1868="","",IF(원본명단!$H1867="",0,COUNTIF(원본명단!$H$3:$H$6002,원본명단!$H1867)))</f>
        <v/>
      </c>
      <c r="F1868" s="11" t="str">
        <f aca="false">IF($A1868="","",IF(원본명단!$I1867="",0,COUNTIF(원본명단!$I$3:$I$6002,원본명단!$I1867)))</f>
        <v/>
      </c>
      <c r="G1868" s="11" t="str">
        <f aca="false">IF($A1868="","",IF(원본명단!$K1867="",0,COUNTIF(원본명단!$K$3:$K$6002,원본명단!$K1867)))</f>
        <v/>
      </c>
      <c r="H1868" s="11" t="str">
        <f aca="false">IF($A1868="","",IF(MAX($E1868,$F1868,$G1868)&gt;1,"중복","-"))</f>
        <v/>
      </c>
      <c r="I1868" s="11" t="str">
        <f aca="false">IF($A1868="","",IF($H1868="-","-",IF(AND(IF(원본명단!$H1867="",TRUE(),COUNTIF(원본명단!$H$3:$H1867,원본명단!$H1867)=1),IF(원본명단!$I1867="",TRUE(),COUNTIF(원본명단!$I$3:$I1867,원본명단!$I1867)=1),IF(원본명단!$K1867="",TRUE(),COUNTIF(원본명단!$K$3:$K1867,원본명단!$K1867)=1)),"첫 건","중복 건")))</f>
        <v/>
      </c>
      <c r="J1868" s="11" t="str">
        <f aca="false">IF($A1868="","",IF($H1868="-","유지",IF($I1868="첫 건","유지","확인 필요")))</f>
        <v/>
      </c>
    </row>
    <row r="1869" customFormat="false" ht="15" hidden="false" customHeight="true" outlineLevel="0" collapsed="false">
      <c r="A1869" s="11" t="str">
        <f aca="false">IF(원본명단!$A1868="","",1866)</f>
        <v/>
      </c>
      <c r="B1869" s="12" t="str">
        <f aca="false">IF($A1869="","",원본명단!$A1868)</f>
        <v/>
      </c>
      <c r="C1869" s="12" t="str">
        <f aca="false">IF($A1869="","",원본명단!$B1868)</f>
        <v/>
      </c>
      <c r="D1869" s="12" t="str">
        <f aca="false">IF($A1869="","",원본명단!$D1868)</f>
        <v/>
      </c>
      <c r="E1869" s="11" t="str">
        <f aca="false">IF($A1869="","",IF(원본명단!$H1868="",0,COUNTIF(원본명단!$H$3:$H$6002,원본명단!$H1868)))</f>
        <v/>
      </c>
      <c r="F1869" s="11" t="str">
        <f aca="false">IF($A1869="","",IF(원본명단!$I1868="",0,COUNTIF(원본명단!$I$3:$I$6002,원본명단!$I1868)))</f>
        <v/>
      </c>
      <c r="G1869" s="11" t="str">
        <f aca="false">IF($A1869="","",IF(원본명단!$K1868="",0,COUNTIF(원본명단!$K$3:$K$6002,원본명단!$K1868)))</f>
        <v/>
      </c>
      <c r="H1869" s="11" t="str">
        <f aca="false">IF($A1869="","",IF(MAX($E1869,$F1869,$G1869)&gt;1,"중복","-"))</f>
        <v/>
      </c>
      <c r="I1869" s="11" t="str">
        <f aca="false">IF($A1869="","",IF($H1869="-","-",IF(AND(IF(원본명단!$H1868="",TRUE(),COUNTIF(원본명단!$H$3:$H1868,원본명단!$H1868)=1),IF(원본명단!$I1868="",TRUE(),COUNTIF(원본명단!$I$3:$I1868,원본명단!$I1868)=1),IF(원본명단!$K1868="",TRUE(),COUNTIF(원본명단!$K$3:$K1868,원본명단!$K1868)=1)),"첫 건","중복 건")))</f>
        <v/>
      </c>
      <c r="J1869" s="11" t="str">
        <f aca="false">IF($A1869="","",IF($H1869="-","유지",IF($I1869="첫 건","유지","확인 필요")))</f>
        <v/>
      </c>
    </row>
    <row r="1870" customFormat="false" ht="15" hidden="false" customHeight="true" outlineLevel="0" collapsed="false">
      <c r="A1870" s="11" t="str">
        <f aca="false">IF(원본명단!$A1869="","",1867)</f>
        <v/>
      </c>
      <c r="B1870" s="12" t="str">
        <f aca="false">IF($A1870="","",원본명단!$A1869)</f>
        <v/>
      </c>
      <c r="C1870" s="12" t="str">
        <f aca="false">IF($A1870="","",원본명단!$B1869)</f>
        <v/>
      </c>
      <c r="D1870" s="12" t="str">
        <f aca="false">IF($A1870="","",원본명단!$D1869)</f>
        <v/>
      </c>
      <c r="E1870" s="11" t="str">
        <f aca="false">IF($A1870="","",IF(원본명단!$H1869="",0,COUNTIF(원본명단!$H$3:$H$6002,원본명단!$H1869)))</f>
        <v/>
      </c>
      <c r="F1870" s="11" t="str">
        <f aca="false">IF($A1870="","",IF(원본명단!$I1869="",0,COUNTIF(원본명단!$I$3:$I$6002,원본명단!$I1869)))</f>
        <v/>
      </c>
      <c r="G1870" s="11" t="str">
        <f aca="false">IF($A1870="","",IF(원본명단!$K1869="",0,COUNTIF(원본명단!$K$3:$K$6002,원본명단!$K1869)))</f>
        <v/>
      </c>
      <c r="H1870" s="11" t="str">
        <f aca="false">IF($A1870="","",IF(MAX($E1870,$F1870,$G1870)&gt;1,"중복","-"))</f>
        <v/>
      </c>
      <c r="I1870" s="11" t="str">
        <f aca="false">IF($A1870="","",IF($H1870="-","-",IF(AND(IF(원본명단!$H1869="",TRUE(),COUNTIF(원본명단!$H$3:$H1869,원본명단!$H1869)=1),IF(원본명단!$I1869="",TRUE(),COUNTIF(원본명단!$I$3:$I1869,원본명단!$I1869)=1),IF(원본명단!$K1869="",TRUE(),COUNTIF(원본명단!$K$3:$K1869,원본명단!$K1869)=1)),"첫 건","중복 건")))</f>
        <v/>
      </c>
      <c r="J1870" s="11" t="str">
        <f aca="false">IF($A1870="","",IF($H1870="-","유지",IF($I1870="첫 건","유지","확인 필요")))</f>
        <v/>
      </c>
    </row>
    <row r="1871" customFormat="false" ht="15" hidden="false" customHeight="true" outlineLevel="0" collapsed="false">
      <c r="A1871" s="11" t="str">
        <f aca="false">IF(원본명단!$A1870="","",1868)</f>
        <v/>
      </c>
      <c r="B1871" s="12" t="str">
        <f aca="false">IF($A1871="","",원본명단!$A1870)</f>
        <v/>
      </c>
      <c r="C1871" s="12" t="str">
        <f aca="false">IF($A1871="","",원본명단!$B1870)</f>
        <v/>
      </c>
      <c r="D1871" s="12" t="str">
        <f aca="false">IF($A1871="","",원본명단!$D1870)</f>
        <v/>
      </c>
      <c r="E1871" s="11" t="str">
        <f aca="false">IF($A1871="","",IF(원본명단!$H1870="",0,COUNTIF(원본명단!$H$3:$H$6002,원본명단!$H1870)))</f>
        <v/>
      </c>
      <c r="F1871" s="11" t="str">
        <f aca="false">IF($A1871="","",IF(원본명단!$I1870="",0,COUNTIF(원본명단!$I$3:$I$6002,원본명단!$I1870)))</f>
        <v/>
      </c>
      <c r="G1871" s="11" t="str">
        <f aca="false">IF($A1871="","",IF(원본명단!$K1870="",0,COUNTIF(원본명단!$K$3:$K$6002,원본명단!$K1870)))</f>
        <v/>
      </c>
      <c r="H1871" s="11" t="str">
        <f aca="false">IF($A1871="","",IF(MAX($E1871,$F1871,$G1871)&gt;1,"중복","-"))</f>
        <v/>
      </c>
      <c r="I1871" s="11" t="str">
        <f aca="false">IF($A1871="","",IF($H1871="-","-",IF(AND(IF(원본명단!$H1870="",TRUE(),COUNTIF(원본명단!$H$3:$H1870,원본명단!$H1870)=1),IF(원본명단!$I1870="",TRUE(),COUNTIF(원본명단!$I$3:$I1870,원본명단!$I1870)=1),IF(원본명단!$K1870="",TRUE(),COUNTIF(원본명단!$K$3:$K1870,원본명단!$K1870)=1)),"첫 건","중복 건")))</f>
        <v/>
      </c>
      <c r="J1871" s="11" t="str">
        <f aca="false">IF($A1871="","",IF($H1871="-","유지",IF($I1871="첫 건","유지","확인 필요")))</f>
        <v/>
      </c>
    </row>
    <row r="1872" customFormat="false" ht="15" hidden="false" customHeight="true" outlineLevel="0" collapsed="false">
      <c r="A1872" s="11" t="str">
        <f aca="false">IF(원본명단!$A1871="","",1869)</f>
        <v/>
      </c>
      <c r="B1872" s="12" t="str">
        <f aca="false">IF($A1872="","",원본명단!$A1871)</f>
        <v/>
      </c>
      <c r="C1872" s="12" t="str">
        <f aca="false">IF($A1872="","",원본명단!$B1871)</f>
        <v/>
      </c>
      <c r="D1872" s="12" t="str">
        <f aca="false">IF($A1872="","",원본명단!$D1871)</f>
        <v/>
      </c>
      <c r="E1872" s="11" t="str">
        <f aca="false">IF($A1872="","",IF(원본명단!$H1871="",0,COUNTIF(원본명단!$H$3:$H$6002,원본명단!$H1871)))</f>
        <v/>
      </c>
      <c r="F1872" s="11" t="str">
        <f aca="false">IF($A1872="","",IF(원본명단!$I1871="",0,COUNTIF(원본명단!$I$3:$I$6002,원본명단!$I1871)))</f>
        <v/>
      </c>
      <c r="G1872" s="11" t="str">
        <f aca="false">IF($A1872="","",IF(원본명단!$K1871="",0,COUNTIF(원본명단!$K$3:$K$6002,원본명단!$K1871)))</f>
        <v/>
      </c>
      <c r="H1872" s="11" t="str">
        <f aca="false">IF($A1872="","",IF(MAX($E1872,$F1872,$G1872)&gt;1,"중복","-"))</f>
        <v/>
      </c>
      <c r="I1872" s="11" t="str">
        <f aca="false">IF($A1872="","",IF($H1872="-","-",IF(AND(IF(원본명단!$H1871="",TRUE(),COUNTIF(원본명단!$H$3:$H1871,원본명단!$H1871)=1),IF(원본명단!$I1871="",TRUE(),COUNTIF(원본명단!$I$3:$I1871,원본명단!$I1871)=1),IF(원본명단!$K1871="",TRUE(),COUNTIF(원본명단!$K$3:$K1871,원본명단!$K1871)=1)),"첫 건","중복 건")))</f>
        <v/>
      </c>
      <c r="J1872" s="11" t="str">
        <f aca="false">IF($A1872="","",IF($H1872="-","유지",IF($I1872="첫 건","유지","확인 필요")))</f>
        <v/>
      </c>
    </row>
    <row r="1873" customFormat="false" ht="15" hidden="false" customHeight="true" outlineLevel="0" collapsed="false">
      <c r="A1873" s="11" t="str">
        <f aca="false">IF(원본명단!$A1872="","",1870)</f>
        <v/>
      </c>
      <c r="B1873" s="12" t="str">
        <f aca="false">IF($A1873="","",원본명단!$A1872)</f>
        <v/>
      </c>
      <c r="C1873" s="12" t="str">
        <f aca="false">IF($A1873="","",원본명단!$B1872)</f>
        <v/>
      </c>
      <c r="D1873" s="12" t="str">
        <f aca="false">IF($A1873="","",원본명단!$D1872)</f>
        <v/>
      </c>
      <c r="E1873" s="11" t="str">
        <f aca="false">IF($A1873="","",IF(원본명단!$H1872="",0,COUNTIF(원본명단!$H$3:$H$6002,원본명단!$H1872)))</f>
        <v/>
      </c>
      <c r="F1873" s="11" t="str">
        <f aca="false">IF($A1873="","",IF(원본명단!$I1872="",0,COUNTIF(원본명단!$I$3:$I$6002,원본명단!$I1872)))</f>
        <v/>
      </c>
      <c r="G1873" s="11" t="str">
        <f aca="false">IF($A1873="","",IF(원본명단!$K1872="",0,COUNTIF(원본명단!$K$3:$K$6002,원본명단!$K1872)))</f>
        <v/>
      </c>
      <c r="H1873" s="11" t="str">
        <f aca="false">IF($A1873="","",IF(MAX($E1873,$F1873,$G1873)&gt;1,"중복","-"))</f>
        <v/>
      </c>
      <c r="I1873" s="11" t="str">
        <f aca="false">IF($A1873="","",IF($H1873="-","-",IF(AND(IF(원본명단!$H1872="",TRUE(),COUNTIF(원본명단!$H$3:$H1872,원본명단!$H1872)=1),IF(원본명단!$I1872="",TRUE(),COUNTIF(원본명단!$I$3:$I1872,원본명단!$I1872)=1),IF(원본명단!$K1872="",TRUE(),COUNTIF(원본명단!$K$3:$K1872,원본명단!$K1872)=1)),"첫 건","중복 건")))</f>
        <v/>
      </c>
      <c r="J1873" s="11" t="str">
        <f aca="false">IF($A1873="","",IF($H1873="-","유지",IF($I1873="첫 건","유지","확인 필요")))</f>
        <v/>
      </c>
    </row>
    <row r="1874" customFormat="false" ht="15" hidden="false" customHeight="true" outlineLevel="0" collapsed="false">
      <c r="A1874" s="11" t="str">
        <f aca="false">IF(원본명단!$A1873="","",1871)</f>
        <v/>
      </c>
      <c r="B1874" s="12" t="str">
        <f aca="false">IF($A1874="","",원본명단!$A1873)</f>
        <v/>
      </c>
      <c r="C1874" s="12" t="str">
        <f aca="false">IF($A1874="","",원본명단!$B1873)</f>
        <v/>
      </c>
      <c r="D1874" s="12" t="str">
        <f aca="false">IF($A1874="","",원본명단!$D1873)</f>
        <v/>
      </c>
      <c r="E1874" s="11" t="str">
        <f aca="false">IF($A1874="","",IF(원본명단!$H1873="",0,COUNTIF(원본명단!$H$3:$H$6002,원본명단!$H1873)))</f>
        <v/>
      </c>
      <c r="F1874" s="11" t="str">
        <f aca="false">IF($A1874="","",IF(원본명단!$I1873="",0,COUNTIF(원본명단!$I$3:$I$6002,원본명단!$I1873)))</f>
        <v/>
      </c>
      <c r="G1874" s="11" t="str">
        <f aca="false">IF($A1874="","",IF(원본명단!$K1873="",0,COUNTIF(원본명단!$K$3:$K$6002,원본명단!$K1873)))</f>
        <v/>
      </c>
      <c r="H1874" s="11" t="str">
        <f aca="false">IF($A1874="","",IF(MAX($E1874,$F1874,$G1874)&gt;1,"중복","-"))</f>
        <v/>
      </c>
      <c r="I1874" s="11" t="str">
        <f aca="false">IF($A1874="","",IF($H1874="-","-",IF(AND(IF(원본명단!$H1873="",TRUE(),COUNTIF(원본명단!$H$3:$H1873,원본명단!$H1873)=1),IF(원본명단!$I1873="",TRUE(),COUNTIF(원본명단!$I$3:$I1873,원본명단!$I1873)=1),IF(원본명단!$K1873="",TRUE(),COUNTIF(원본명단!$K$3:$K1873,원본명단!$K1873)=1)),"첫 건","중복 건")))</f>
        <v/>
      </c>
      <c r="J1874" s="11" t="str">
        <f aca="false">IF($A1874="","",IF($H1874="-","유지",IF($I1874="첫 건","유지","확인 필요")))</f>
        <v/>
      </c>
    </row>
    <row r="1875" customFormat="false" ht="15" hidden="false" customHeight="true" outlineLevel="0" collapsed="false">
      <c r="A1875" s="11" t="str">
        <f aca="false">IF(원본명단!$A1874="","",1872)</f>
        <v/>
      </c>
      <c r="B1875" s="12" t="str">
        <f aca="false">IF($A1875="","",원본명단!$A1874)</f>
        <v/>
      </c>
      <c r="C1875" s="12" t="str">
        <f aca="false">IF($A1875="","",원본명단!$B1874)</f>
        <v/>
      </c>
      <c r="D1875" s="12" t="str">
        <f aca="false">IF($A1875="","",원본명단!$D1874)</f>
        <v/>
      </c>
      <c r="E1875" s="11" t="str">
        <f aca="false">IF($A1875="","",IF(원본명단!$H1874="",0,COUNTIF(원본명단!$H$3:$H$6002,원본명단!$H1874)))</f>
        <v/>
      </c>
      <c r="F1875" s="11" t="str">
        <f aca="false">IF($A1875="","",IF(원본명단!$I1874="",0,COUNTIF(원본명단!$I$3:$I$6002,원본명단!$I1874)))</f>
        <v/>
      </c>
      <c r="G1875" s="11" t="str">
        <f aca="false">IF($A1875="","",IF(원본명단!$K1874="",0,COUNTIF(원본명단!$K$3:$K$6002,원본명단!$K1874)))</f>
        <v/>
      </c>
      <c r="H1875" s="11" t="str">
        <f aca="false">IF($A1875="","",IF(MAX($E1875,$F1875,$G1875)&gt;1,"중복","-"))</f>
        <v/>
      </c>
      <c r="I1875" s="11" t="str">
        <f aca="false">IF($A1875="","",IF($H1875="-","-",IF(AND(IF(원본명단!$H1874="",TRUE(),COUNTIF(원본명단!$H$3:$H1874,원본명단!$H1874)=1),IF(원본명단!$I1874="",TRUE(),COUNTIF(원본명단!$I$3:$I1874,원본명단!$I1874)=1),IF(원본명단!$K1874="",TRUE(),COUNTIF(원본명단!$K$3:$K1874,원본명단!$K1874)=1)),"첫 건","중복 건")))</f>
        <v/>
      </c>
      <c r="J1875" s="11" t="str">
        <f aca="false">IF($A1875="","",IF($H1875="-","유지",IF($I1875="첫 건","유지","확인 필요")))</f>
        <v/>
      </c>
    </row>
    <row r="1876" customFormat="false" ht="15" hidden="false" customHeight="true" outlineLevel="0" collapsed="false">
      <c r="A1876" s="11" t="str">
        <f aca="false">IF(원본명단!$A1875="","",1873)</f>
        <v/>
      </c>
      <c r="B1876" s="12" t="str">
        <f aca="false">IF($A1876="","",원본명단!$A1875)</f>
        <v/>
      </c>
      <c r="C1876" s="12" t="str">
        <f aca="false">IF($A1876="","",원본명단!$B1875)</f>
        <v/>
      </c>
      <c r="D1876" s="12" t="str">
        <f aca="false">IF($A1876="","",원본명단!$D1875)</f>
        <v/>
      </c>
      <c r="E1876" s="11" t="str">
        <f aca="false">IF($A1876="","",IF(원본명단!$H1875="",0,COUNTIF(원본명단!$H$3:$H$6002,원본명단!$H1875)))</f>
        <v/>
      </c>
      <c r="F1876" s="11" t="str">
        <f aca="false">IF($A1876="","",IF(원본명단!$I1875="",0,COUNTIF(원본명단!$I$3:$I$6002,원본명단!$I1875)))</f>
        <v/>
      </c>
      <c r="G1876" s="11" t="str">
        <f aca="false">IF($A1876="","",IF(원본명단!$K1875="",0,COUNTIF(원본명단!$K$3:$K$6002,원본명단!$K1875)))</f>
        <v/>
      </c>
      <c r="H1876" s="11" t="str">
        <f aca="false">IF($A1876="","",IF(MAX($E1876,$F1876,$G1876)&gt;1,"중복","-"))</f>
        <v/>
      </c>
      <c r="I1876" s="11" t="str">
        <f aca="false">IF($A1876="","",IF($H1876="-","-",IF(AND(IF(원본명단!$H1875="",TRUE(),COUNTIF(원본명단!$H$3:$H1875,원본명단!$H1875)=1),IF(원본명단!$I1875="",TRUE(),COUNTIF(원본명단!$I$3:$I1875,원본명단!$I1875)=1),IF(원본명단!$K1875="",TRUE(),COUNTIF(원본명단!$K$3:$K1875,원본명단!$K1875)=1)),"첫 건","중복 건")))</f>
        <v/>
      </c>
      <c r="J1876" s="11" t="str">
        <f aca="false">IF($A1876="","",IF($H1876="-","유지",IF($I1876="첫 건","유지","확인 필요")))</f>
        <v/>
      </c>
    </row>
    <row r="1877" customFormat="false" ht="15" hidden="false" customHeight="true" outlineLevel="0" collapsed="false">
      <c r="A1877" s="11" t="str">
        <f aca="false">IF(원본명단!$A1876="","",1874)</f>
        <v/>
      </c>
      <c r="B1877" s="12" t="str">
        <f aca="false">IF($A1877="","",원본명단!$A1876)</f>
        <v/>
      </c>
      <c r="C1877" s="12" t="str">
        <f aca="false">IF($A1877="","",원본명단!$B1876)</f>
        <v/>
      </c>
      <c r="D1877" s="12" t="str">
        <f aca="false">IF($A1877="","",원본명단!$D1876)</f>
        <v/>
      </c>
      <c r="E1877" s="11" t="str">
        <f aca="false">IF($A1877="","",IF(원본명단!$H1876="",0,COUNTIF(원본명단!$H$3:$H$6002,원본명단!$H1876)))</f>
        <v/>
      </c>
      <c r="F1877" s="11" t="str">
        <f aca="false">IF($A1877="","",IF(원본명단!$I1876="",0,COUNTIF(원본명단!$I$3:$I$6002,원본명단!$I1876)))</f>
        <v/>
      </c>
      <c r="G1877" s="11" t="str">
        <f aca="false">IF($A1877="","",IF(원본명단!$K1876="",0,COUNTIF(원본명단!$K$3:$K$6002,원본명단!$K1876)))</f>
        <v/>
      </c>
      <c r="H1877" s="11" t="str">
        <f aca="false">IF($A1877="","",IF(MAX($E1877,$F1877,$G1877)&gt;1,"중복","-"))</f>
        <v/>
      </c>
      <c r="I1877" s="11" t="str">
        <f aca="false">IF($A1877="","",IF($H1877="-","-",IF(AND(IF(원본명단!$H1876="",TRUE(),COUNTIF(원본명단!$H$3:$H1876,원본명단!$H1876)=1),IF(원본명단!$I1876="",TRUE(),COUNTIF(원본명단!$I$3:$I1876,원본명단!$I1876)=1),IF(원본명단!$K1876="",TRUE(),COUNTIF(원본명단!$K$3:$K1876,원본명단!$K1876)=1)),"첫 건","중복 건")))</f>
        <v/>
      </c>
      <c r="J1877" s="11" t="str">
        <f aca="false">IF($A1877="","",IF($H1877="-","유지",IF($I1877="첫 건","유지","확인 필요")))</f>
        <v/>
      </c>
    </row>
    <row r="1878" customFormat="false" ht="15" hidden="false" customHeight="true" outlineLevel="0" collapsed="false">
      <c r="A1878" s="11" t="str">
        <f aca="false">IF(원본명단!$A1877="","",1875)</f>
        <v/>
      </c>
      <c r="B1878" s="12" t="str">
        <f aca="false">IF($A1878="","",원본명단!$A1877)</f>
        <v/>
      </c>
      <c r="C1878" s="12" t="str">
        <f aca="false">IF($A1878="","",원본명단!$B1877)</f>
        <v/>
      </c>
      <c r="D1878" s="12" t="str">
        <f aca="false">IF($A1878="","",원본명단!$D1877)</f>
        <v/>
      </c>
      <c r="E1878" s="11" t="str">
        <f aca="false">IF($A1878="","",IF(원본명단!$H1877="",0,COUNTIF(원본명단!$H$3:$H$6002,원본명단!$H1877)))</f>
        <v/>
      </c>
      <c r="F1878" s="11" t="str">
        <f aca="false">IF($A1878="","",IF(원본명단!$I1877="",0,COUNTIF(원본명단!$I$3:$I$6002,원본명단!$I1877)))</f>
        <v/>
      </c>
      <c r="G1878" s="11" t="str">
        <f aca="false">IF($A1878="","",IF(원본명단!$K1877="",0,COUNTIF(원본명단!$K$3:$K$6002,원본명단!$K1877)))</f>
        <v/>
      </c>
      <c r="H1878" s="11" t="str">
        <f aca="false">IF($A1878="","",IF(MAX($E1878,$F1878,$G1878)&gt;1,"중복","-"))</f>
        <v/>
      </c>
      <c r="I1878" s="11" t="str">
        <f aca="false">IF($A1878="","",IF($H1878="-","-",IF(AND(IF(원본명단!$H1877="",TRUE(),COUNTIF(원본명단!$H$3:$H1877,원본명단!$H1877)=1),IF(원본명단!$I1877="",TRUE(),COUNTIF(원본명단!$I$3:$I1877,원본명단!$I1877)=1),IF(원본명단!$K1877="",TRUE(),COUNTIF(원본명단!$K$3:$K1877,원본명단!$K1877)=1)),"첫 건","중복 건")))</f>
        <v/>
      </c>
      <c r="J1878" s="11" t="str">
        <f aca="false">IF($A1878="","",IF($H1878="-","유지",IF($I1878="첫 건","유지","확인 필요")))</f>
        <v/>
      </c>
    </row>
    <row r="1879" customFormat="false" ht="15" hidden="false" customHeight="true" outlineLevel="0" collapsed="false">
      <c r="A1879" s="11" t="str">
        <f aca="false">IF(원본명단!$A1878="","",1876)</f>
        <v/>
      </c>
      <c r="B1879" s="12" t="str">
        <f aca="false">IF($A1879="","",원본명단!$A1878)</f>
        <v/>
      </c>
      <c r="C1879" s="12" t="str">
        <f aca="false">IF($A1879="","",원본명단!$B1878)</f>
        <v/>
      </c>
      <c r="D1879" s="12" t="str">
        <f aca="false">IF($A1879="","",원본명단!$D1878)</f>
        <v/>
      </c>
      <c r="E1879" s="11" t="str">
        <f aca="false">IF($A1879="","",IF(원본명단!$H1878="",0,COUNTIF(원본명단!$H$3:$H$6002,원본명단!$H1878)))</f>
        <v/>
      </c>
      <c r="F1879" s="11" t="str">
        <f aca="false">IF($A1879="","",IF(원본명단!$I1878="",0,COUNTIF(원본명단!$I$3:$I$6002,원본명단!$I1878)))</f>
        <v/>
      </c>
      <c r="G1879" s="11" t="str">
        <f aca="false">IF($A1879="","",IF(원본명단!$K1878="",0,COUNTIF(원본명단!$K$3:$K$6002,원본명단!$K1878)))</f>
        <v/>
      </c>
      <c r="H1879" s="11" t="str">
        <f aca="false">IF($A1879="","",IF(MAX($E1879,$F1879,$G1879)&gt;1,"중복","-"))</f>
        <v/>
      </c>
      <c r="I1879" s="11" t="str">
        <f aca="false">IF($A1879="","",IF($H1879="-","-",IF(AND(IF(원본명단!$H1878="",TRUE(),COUNTIF(원본명단!$H$3:$H1878,원본명단!$H1878)=1),IF(원본명단!$I1878="",TRUE(),COUNTIF(원본명단!$I$3:$I1878,원본명단!$I1878)=1),IF(원본명단!$K1878="",TRUE(),COUNTIF(원본명단!$K$3:$K1878,원본명단!$K1878)=1)),"첫 건","중복 건")))</f>
        <v/>
      </c>
      <c r="J1879" s="11" t="str">
        <f aca="false">IF($A1879="","",IF($H1879="-","유지",IF($I1879="첫 건","유지","확인 필요")))</f>
        <v/>
      </c>
    </row>
    <row r="1880" customFormat="false" ht="15" hidden="false" customHeight="true" outlineLevel="0" collapsed="false">
      <c r="A1880" s="11" t="str">
        <f aca="false">IF(원본명단!$A1879="","",1877)</f>
        <v/>
      </c>
      <c r="B1880" s="12" t="str">
        <f aca="false">IF($A1880="","",원본명단!$A1879)</f>
        <v/>
      </c>
      <c r="C1880" s="12" t="str">
        <f aca="false">IF($A1880="","",원본명단!$B1879)</f>
        <v/>
      </c>
      <c r="D1880" s="12" t="str">
        <f aca="false">IF($A1880="","",원본명단!$D1879)</f>
        <v/>
      </c>
      <c r="E1880" s="11" t="str">
        <f aca="false">IF($A1880="","",IF(원본명단!$H1879="",0,COUNTIF(원본명단!$H$3:$H$6002,원본명단!$H1879)))</f>
        <v/>
      </c>
      <c r="F1880" s="11" t="str">
        <f aca="false">IF($A1880="","",IF(원본명단!$I1879="",0,COUNTIF(원본명단!$I$3:$I$6002,원본명단!$I1879)))</f>
        <v/>
      </c>
      <c r="G1880" s="11" t="str">
        <f aca="false">IF($A1880="","",IF(원본명단!$K1879="",0,COUNTIF(원본명단!$K$3:$K$6002,원본명단!$K1879)))</f>
        <v/>
      </c>
      <c r="H1880" s="11" t="str">
        <f aca="false">IF($A1880="","",IF(MAX($E1880,$F1880,$G1880)&gt;1,"중복","-"))</f>
        <v/>
      </c>
      <c r="I1880" s="11" t="str">
        <f aca="false">IF($A1880="","",IF($H1880="-","-",IF(AND(IF(원본명단!$H1879="",TRUE(),COUNTIF(원본명단!$H$3:$H1879,원본명단!$H1879)=1),IF(원본명단!$I1879="",TRUE(),COUNTIF(원본명단!$I$3:$I1879,원본명단!$I1879)=1),IF(원본명단!$K1879="",TRUE(),COUNTIF(원본명단!$K$3:$K1879,원본명단!$K1879)=1)),"첫 건","중복 건")))</f>
        <v/>
      </c>
      <c r="J1880" s="11" t="str">
        <f aca="false">IF($A1880="","",IF($H1880="-","유지",IF($I1880="첫 건","유지","확인 필요")))</f>
        <v/>
      </c>
    </row>
    <row r="1881" customFormat="false" ht="15" hidden="false" customHeight="true" outlineLevel="0" collapsed="false">
      <c r="A1881" s="11" t="str">
        <f aca="false">IF(원본명단!$A1880="","",1878)</f>
        <v/>
      </c>
      <c r="B1881" s="12" t="str">
        <f aca="false">IF($A1881="","",원본명단!$A1880)</f>
        <v/>
      </c>
      <c r="C1881" s="12" t="str">
        <f aca="false">IF($A1881="","",원본명단!$B1880)</f>
        <v/>
      </c>
      <c r="D1881" s="12" t="str">
        <f aca="false">IF($A1881="","",원본명단!$D1880)</f>
        <v/>
      </c>
      <c r="E1881" s="11" t="str">
        <f aca="false">IF($A1881="","",IF(원본명단!$H1880="",0,COUNTIF(원본명단!$H$3:$H$6002,원본명단!$H1880)))</f>
        <v/>
      </c>
      <c r="F1881" s="11" t="str">
        <f aca="false">IF($A1881="","",IF(원본명단!$I1880="",0,COUNTIF(원본명단!$I$3:$I$6002,원본명단!$I1880)))</f>
        <v/>
      </c>
      <c r="G1881" s="11" t="str">
        <f aca="false">IF($A1881="","",IF(원본명단!$K1880="",0,COUNTIF(원본명단!$K$3:$K$6002,원본명단!$K1880)))</f>
        <v/>
      </c>
      <c r="H1881" s="11" t="str">
        <f aca="false">IF($A1881="","",IF(MAX($E1881,$F1881,$G1881)&gt;1,"중복","-"))</f>
        <v/>
      </c>
      <c r="I1881" s="11" t="str">
        <f aca="false">IF($A1881="","",IF($H1881="-","-",IF(AND(IF(원본명단!$H1880="",TRUE(),COUNTIF(원본명단!$H$3:$H1880,원본명단!$H1880)=1),IF(원본명단!$I1880="",TRUE(),COUNTIF(원본명단!$I$3:$I1880,원본명단!$I1880)=1),IF(원본명단!$K1880="",TRUE(),COUNTIF(원본명단!$K$3:$K1880,원본명단!$K1880)=1)),"첫 건","중복 건")))</f>
        <v/>
      </c>
      <c r="J1881" s="11" t="str">
        <f aca="false">IF($A1881="","",IF($H1881="-","유지",IF($I1881="첫 건","유지","확인 필요")))</f>
        <v/>
      </c>
    </row>
    <row r="1882" customFormat="false" ht="15" hidden="false" customHeight="true" outlineLevel="0" collapsed="false">
      <c r="A1882" s="11" t="str">
        <f aca="false">IF(원본명단!$A1881="","",1879)</f>
        <v/>
      </c>
      <c r="B1882" s="12" t="str">
        <f aca="false">IF($A1882="","",원본명단!$A1881)</f>
        <v/>
      </c>
      <c r="C1882" s="12" t="str">
        <f aca="false">IF($A1882="","",원본명단!$B1881)</f>
        <v/>
      </c>
      <c r="D1882" s="12" t="str">
        <f aca="false">IF($A1882="","",원본명단!$D1881)</f>
        <v/>
      </c>
      <c r="E1882" s="11" t="str">
        <f aca="false">IF($A1882="","",IF(원본명단!$H1881="",0,COUNTIF(원본명단!$H$3:$H$6002,원본명단!$H1881)))</f>
        <v/>
      </c>
      <c r="F1882" s="11" t="str">
        <f aca="false">IF($A1882="","",IF(원본명단!$I1881="",0,COUNTIF(원본명단!$I$3:$I$6002,원본명단!$I1881)))</f>
        <v/>
      </c>
      <c r="G1882" s="11" t="str">
        <f aca="false">IF($A1882="","",IF(원본명단!$K1881="",0,COUNTIF(원본명단!$K$3:$K$6002,원본명단!$K1881)))</f>
        <v/>
      </c>
      <c r="H1882" s="11" t="str">
        <f aca="false">IF($A1882="","",IF(MAX($E1882,$F1882,$G1882)&gt;1,"중복","-"))</f>
        <v/>
      </c>
      <c r="I1882" s="11" t="str">
        <f aca="false">IF($A1882="","",IF($H1882="-","-",IF(AND(IF(원본명단!$H1881="",TRUE(),COUNTIF(원본명단!$H$3:$H1881,원본명단!$H1881)=1),IF(원본명단!$I1881="",TRUE(),COUNTIF(원본명단!$I$3:$I1881,원본명단!$I1881)=1),IF(원본명단!$K1881="",TRUE(),COUNTIF(원본명단!$K$3:$K1881,원본명단!$K1881)=1)),"첫 건","중복 건")))</f>
        <v/>
      </c>
      <c r="J1882" s="11" t="str">
        <f aca="false">IF($A1882="","",IF($H1882="-","유지",IF($I1882="첫 건","유지","확인 필요")))</f>
        <v/>
      </c>
    </row>
    <row r="1883" customFormat="false" ht="15" hidden="false" customHeight="true" outlineLevel="0" collapsed="false">
      <c r="A1883" s="11" t="str">
        <f aca="false">IF(원본명단!$A1882="","",1880)</f>
        <v/>
      </c>
      <c r="B1883" s="12" t="str">
        <f aca="false">IF($A1883="","",원본명단!$A1882)</f>
        <v/>
      </c>
      <c r="C1883" s="12" t="str">
        <f aca="false">IF($A1883="","",원본명단!$B1882)</f>
        <v/>
      </c>
      <c r="D1883" s="12" t="str">
        <f aca="false">IF($A1883="","",원본명단!$D1882)</f>
        <v/>
      </c>
      <c r="E1883" s="11" t="str">
        <f aca="false">IF($A1883="","",IF(원본명단!$H1882="",0,COUNTIF(원본명단!$H$3:$H$6002,원본명단!$H1882)))</f>
        <v/>
      </c>
      <c r="F1883" s="11" t="str">
        <f aca="false">IF($A1883="","",IF(원본명단!$I1882="",0,COUNTIF(원본명단!$I$3:$I$6002,원본명단!$I1882)))</f>
        <v/>
      </c>
      <c r="G1883" s="11" t="str">
        <f aca="false">IF($A1883="","",IF(원본명단!$K1882="",0,COUNTIF(원본명단!$K$3:$K$6002,원본명단!$K1882)))</f>
        <v/>
      </c>
      <c r="H1883" s="11" t="str">
        <f aca="false">IF($A1883="","",IF(MAX($E1883,$F1883,$G1883)&gt;1,"중복","-"))</f>
        <v/>
      </c>
      <c r="I1883" s="11" t="str">
        <f aca="false">IF($A1883="","",IF($H1883="-","-",IF(AND(IF(원본명단!$H1882="",TRUE(),COUNTIF(원본명단!$H$3:$H1882,원본명단!$H1882)=1),IF(원본명단!$I1882="",TRUE(),COUNTIF(원본명단!$I$3:$I1882,원본명단!$I1882)=1),IF(원본명단!$K1882="",TRUE(),COUNTIF(원본명단!$K$3:$K1882,원본명단!$K1882)=1)),"첫 건","중복 건")))</f>
        <v/>
      </c>
      <c r="J1883" s="11" t="str">
        <f aca="false">IF($A1883="","",IF($H1883="-","유지",IF($I1883="첫 건","유지","확인 필요")))</f>
        <v/>
      </c>
    </row>
    <row r="1884" customFormat="false" ht="15" hidden="false" customHeight="true" outlineLevel="0" collapsed="false">
      <c r="A1884" s="11" t="str">
        <f aca="false">IF(원본명단!$A1883="","",1881)</f>
        <v/>
      </c>
      <c r="B1884" s="12" t="str">
        <f aca="false">IF($A1884="","",원본명단!$A1883)</f>
        <v/>
      </c>
      <c r="C1884" s="12" t="str">
        <f aca="false">IF($A1884="","",원본명단!$B1883)</f>
        <v/>
      </c>
      <c r="D1884" s="12" t="str">
        <f aca="false">IF($A1884="","",원본명단!$D1883)</f>
        <v/>
      </c>
      <c r="E1884" s="11" t="str">
        <f aca="false">IF($A1884="","",IF(원본명단!$H1883="",0,COUNTIF(원본명단!$H$3:$H$6002,원본명단!$H1883)))</f>
        <v/>
      </c>
      <c r="F1884" s="11" t="str">
        <f aca="false">IF($A1884="","",IF(원본명단!$I1883="",0,COUNTIF(원본명단!$I$3:$I$6002,원본명단!$I1883)))</f>
        <v/>
      </c>
      <c r="G1884" s="11" t="str">
        <f aca="false">IF($A1884="","",IF(원본명단!$K1883="",0,COUNTIF(원본명단!$K$3:$K$6002,원본명단!$K1883)))</f>
        <v/>
      </c>
      <c r="H1884" s="11" t="str">
        <f aca="false">IF($A1884="","",IF(MAX($E1884,$F1884,$G1884)&gt;1,"중복","-"))</f>
        <v/>
      </c>
      <c r="I1884" s="11" t="str">
        <f aca="false">IF($A1884="","",IF($H1884="-","-",IF(AND(IF(원본명단!$H1883="",TRUE(),COUNTIF(원본명단!$H$3:$H1883,원본명단!$H1883)=1),IF(원본명단!$I1883="",TRUE(),COUNTIF(원본명단!$I$3:$I1883,원본명단!$I1883)=1),IF(원본명단!$K1883="",TRUE(),COUNTIF(원본명단!$K$3:$K1883,원본명단!$K1883)=1)),"첫 건","중복 건")))</f>
        <v/>
      </c>
      <c r="J1884" s="11" t="str">
        <f aca="false">IF($A1884="","",IF($H1884="-","유지",IF($I1884="첫 건","유지","확인 필요")))</f>
        <v/>
      </c>
    </row>
    <row r="1885" customFormat="false" ht="15" hidden="false" customHeight="true" outlineLevel="0" collapsed="false">
      <c r="A1885" s="11" t="str">
        <f aca="false">IF(원본명단!$A1884="","",1882)</f>
        <v/>
      </c>
      <c r="B1885" s="12" t="str">
        <f aca="false">IF($A1885="","",원본명단!$A1884)</f>
        <v/>
      </c>
      <c r="C1885" s="12" t="str">
        <f aca="false">IF($A1885="","",원본명단!$B1884)</f>
        <v/>
      </c>
      <c r="D1885" s="12" t="str">
        <f aca="false">IF($A1885="","",원본명단!$D1884)</f>
        <v/>
      </c>
      <c r="E1885" s="11" t="str">
        <f aca="false">IF($A1885="","",IF(원본명단!$H1884="",0,COUNTIF(원본명단!$H$3:$H$6002,원본명단!$H1884)))</f>
        <v/>
      </c>
      <c r="F1885" s="11" t="str">
        <f aca="false">IF($A1885="","",IF(원본명단!$I1884="",0,COUNTIF(원본명단!$I$3:$I$6002,원본명단!$I1884)))</f>
        <v/>
      </c>
      <c r="G1885" s="11" t="str">
        <f aca="false">IF($A1885="","",IF(원본명단!$K1884="",0,COUNTIF(원본명단!$K$3:$K$6002,원본명단!$K1884)))</f>
        <v/>
      </c>
      <c r="H1885" s="11" t="str">
        <f aca="false">IF($A1885="","",IF(MAX($E1885,$F1885,$G1885)&gt;1,"중복","-"))</f>
        <v/>
      </c>
      <c r="I1885" s="11" t="str">
        <f aca="false">IF($A1885="","",IF($H1885="-","-",IF(AND(IF(원본명단!$H1884="",TRUE(),COUNTIF(원본명단!$H$3:$H1884,원본명단!$H1884)=1),IF(원본명단!$I1884="",TRUE(),COUNTIF(원본명단!$I$3:$I1884,원본명단!$I1884)=1),IF(원본명단!$K1884="",TRUE(),COUNTIF(원본명단!$K$3:$K1884,원본명단!$K1884)=1)),"첫 건","중복 건")))</f>
        <v/>
      </c>
      <c r="J1885" s="11" t="str">
        <f aca="false">IF($A1885="","",IF($H1885="-","유지",IF($I1885="첫 건","유지","확인 필요")))</f>
        <v/>
      </c>
    </row>
    <row r="1886" customFormat="false" ht="15" hidden="false" customHeight="true" outlineLevel="0" collapsed="false">
      <c r="A1886" s="11" t="str">
        <f aca="false">IF(원본명단!$A1885="","",1883)</f>
        <v/>
      </c>
      <c r="B1886" s="12" t="str">
        <f aca="false">IF($A1886="","",원본명단!$A1885)</f>
        <v/>
      </c>
      <c r="C1886" s="12" t="str">
        <f aca="false">IF($A1886="","",원본명단!$B1885)</f>
        <v/>
      </c>
      <c r="D1886" s="12" t="str">
        <f aca="false">IF($A1886="","",원본명단!$D1885)</f>
        <v/>
      </c>
      <c r="E1886" s="11" t="str">
        <f aca="false">IF($A1886="","",IF(원본명단!$H1885="",0,COUNTIF(원본명단!$H$3:$H$6002,원본명단!$H1885)))</f>
        <v/>
      </c>
      <c r="F1886" s="11" t="str">
        <f aca="false">IF($A1886="","",IF(원본명단!$I1885="",0,COUNTIF(원본명단!$I$3:$I$6002,원본명단!$I1885)))</f>
        <v/>
      </c>
      <c r="G1886" s="11" t="str">
        <f aca="false">IF($A1886="","",IF(원본명단!$K1885="",0,COUNTIF(원본명단!$K$3:$K$6002,원본명단!$K1885)))</f>
        <v/>
      </c>
      <c r="H1886" s="11" t="str">
        <f aca="false">IF($A1886="","",IF(MAX($E1886,$F1886,$G1886)&gt;1,"중복","-"))</f>
        <v/>
      </c>
      <c r="I1886" s="11" t="str">
        <f aca="false">IF($A1886="","",IF($H1886="-","-",IF(AND(IF(원본명단!$H1885="",TRUE(),COUNTIF(원본명단!$H$3:$H1885,원본명단!$H1885)=1),IF(원본명단!$I1885="",TRUE(),COUNTIF(원본명단!$I$3:$I1885,원본명단!$I1885)=1),IF(원본명단!$K1885="",TRUE(),COUNTIF(원본명단!$K$3:$K1885,원본명단!$K1885)=1)),"첫 건","중복 건")))</f>
        <v/>
      </c>
      <c r="J1886" s="11" t="str">
        <f aca="false">IF($A1886="","",IF($H1886="-","유지",IF($I1886="첫 건","유지","확인 필요")))</f>
        <v/>
      </c>
    </row>
    <row r="1887" customFormat="false" ht="15" hidden="false" customHeight="true" outlineLevel="0" collapsed="false">
      <c r="A1887" s="11" t="str">
        <f aca="false">IF(원본명단!$A1886="","",1884)</f>
        <v/>
      </c>
      <c r="B1887" s="12" t="str">
        <f aca="false">IF($A1887="","",원본명단!$A1886)</f>
        <v/>
      </c>
      <c r="C1887" s="12" t="str">
        <f aca="false">IF($A1887="","",원본명단!$B1886)</f>
        <v/>
      </c>
      <c r="D1887" s="12" t="str">
        <f aca="false">IF($A1887="","",원본명단!$D1886)</f>
        <v/>
      </c>
      <c r="E1887" s="11" t="str">
        <f aca="false">IF($A1887="","",IF(원본명단!$H1886="",0,COUNTIF(원본명단!$H$3:$H$6002,원본명단!$H1886)))</f>
        <v/>
      </c>
      <c r="F1887" s="11" t="str">
        <f aca="false">IF($A1887="","",IF(원본명단!$I1886="",0,COUNTIF(원본명단!$I$3:$I$6002,원본명단!$I1886)))</f>
        <v/>
      </c>
      <c r="G1887" s="11" t="str">
        <f aca="false">IF($A1887="","",IF(원본명단!$K1886="",0,COUNTIF(원본명단!$K$3:$K$6002,원본명단!$K1886)))</f>
        <v/>
      </c>
      <c r="H1887" s="11" t="str">
        <f aca="false">IF($A1887="","",IF(MAX($E1887,$F1887,$G1887)&gt;1,"중복","-"))</f>
        <v/>
      </c>
      <c r="I1887" s="11" t="str">
        <f aca="false">IF($A1887="","",IF($H1887="-","-",IF(AND(IF(원본명단!$H1886="",TRUE(),COUNTIF(원본명단!$H$3:$H1886,원본명단!$H1886)=1),IF(원본명단!$I1886="",TRUE(),COUNTIF(원본명단!$I$3:$I1886,원본명단!$I1886)=1),IF(원본명단!$K1886="",TRUE(),COUNTIF(원본명단!$K$3:$K1886,원본명단!$K1886)=1)),"첫 건","중복 건")))</f>
        <v/>
      </c>
      <c r="J1887" s="11" t="str">
        <f aca="false">IF($A1887="","",IF($H1887="-","유지",IF($I1887="첫 건","유지","확인 필요")))</f>
        <v/>
      </c>
    </row>
    <row r="1888" customFormat="false" ht="15" hidden="false" customHeight="true" outlineLevel="0" collapsed="false">
      <c r="A1888" s="11" t="str">
        <f aca="false">IF(원본명단!$A1887="","",1885)</f>
        <v/>
      </c>
      <c r="B1888" s="12" t="str">
        <f aca="false">IF($A1888="","",원본명단!$A1887)</f>
        <v/>
      </c>
      <c r="C1888" s="12" t="str">
        <f aca="false">IF($A1888="","",원본명단!$B1887)</f>
        <v/>
      </c>
      <c r="D1888" s="12" t="str">
        <f aca="false">IF($A1888="","",원본명단!$D1887)</f>
        <v/>
      </c>
      <c r="E1888" s="11" t="str">
        <f aca="false">IF($A1888="","",IF(원본명단!$H1887="",0,COUNTIF(원본명단!$H$3:$H$6002,원본명단!$H1887)))</f>
        <v/>
      </c>
      <c r="F1888" s="11" t="str">
        <f aca="false">IF($A1888="","",IF(원본명단!$I1887="",0,COUNTIF(원본명단!$I$3:$I$6002,원본명단!$I1887)))</f>
        <v/>
      </c>
      <c r="G1888" s="11" t="str">
        <f aca="false">IF($A1888="","",IF(원본명단!$K1887="",0,COUNTIF(원본명단!$K$3:$K$6002,원본명단!$K1887)))</f>
        <v/>
      </c>
      <c r="H1888" s="11" t="str">
        <f aca="false">IF($A1888="","",IF(MAX($E1888,$F1888,$G1888)&gt;1,"중복","-"))</f>
        <v/>
      </c>
      <c r="I1888" s="11" t="str">
        <f aca="false">IF($A1888="","",IF($H1888="-","-",IF(AND(IF(원본명단!$H1887="",TRUE(),COUNTIF(원본명단!$H$3:$H1887,원본명단!$H1887)=1),IF(원본명단!$I1887="",TRUE(),COUNTIF(원본명단!$I$3:$I1887,원본명단!$I1887)=1),IF(원본명단!$K1887="",TRUE(),COUNTIF(원본명단!$K$3:$K1887,원본명단!$K1887)=1)),"첫 건","중복 건")))</f>
        <v/>
      </c>
      <c r="J1888" s="11" t="str">
        <f aca="false">IF($A1888="","",IF($H1888="-","유지",IF($I1888="첫 건","유지","확인 필요")))</f>
        <v/>
      </c>
    </row>
    <row r="1889" customFormat="false" ht="15" hidden="false" customHeight="true" outlineLevel="0" collapsed="false">
      <c r="A1889" s="11" t="str">
        <f aca="false">IF(원본명단!$A1888="","",1886)</f>
        <v/>
      </c>
      <c r="B1889" s="12" t="str">
        <f aca="false">IF($A1889="","",원본명단!$A1888)</f>
        <v/>
      </c>
      <c r="C1889" s="12" t="str">
        <f aca="false">IF($A1889="","",원본명단!$B1888)</f>
        <v/>
      </c>
      <c r="D1889" s="12" t="str">
        <f aca="false">IF($A1889="","",원본명단!$D1888)</f>
        <v/>
      </c>
      <c r="E1889" s="11" t="str">
        <f aca="false">IF($A1889="","",IF(원본명단!$H1888="",0,COUNTIF(원본명단!$H$3:$H$6002,원본명단!$H1888)))</f>
        <v/>
      </c>
      <c r="F1889" s="11" t="str">
        <f aca="false">IF($A1889="","",IF(원본명단!$I1888="",0,COUNTIF(원본명단!$I$3:$I$6002,원본명단!$I1888)))</f>
        <v/>
      </c>
      <c r="G1889" s="11" t="str">
        <f aca="false">IF($A1889="","",IF(원본명단!$K1888="",0,COUNTIF(원본명단!$K$3:$K$6002,원본명단!$K1888)))</f>
        <v/>
      </c>
      <c r="H1889" s="11" t="str">
        <f aca="false">IF($A1889="","",IF(MAX($E1889,$F1889,$G1889)&gt;1,"중복","-"))</f>
        <v/>
      </c>
      <c r="I1889" s="11" t="str">
        <f aca="false">IF($A1889="","",IF($H1889="-","-",IF(AND(IF(원본명단!$H1888="",TRUE(),COUNTIF(원본명단!$H$3:$H1888,원본명단!$H1888)=1),IF(원본명단!$I1888="",TRUE(),COUNTIF(원본명단!$I$3:$I1888,원본명단!$I1888)=1),IF(원본명단!$K1888="",TRUE(),COUNTIF(원본명단!$K$3:$K1888,원본명단!$K1888)=1)),"첫 건","중복 건")))</f>
        <v/>
      </c>
      <c r="J1889" s="11" t="str">
        <f aca="false">IF($A1889="","",IF($H1889="-","유지",IF($I1889="첫 건","유지","확인 필요")))</f>
        <v/>
      </c>
    </row>
    <row r="1890" customFormat="false" ht="15" hidden="false" customHeight="true" outlineLevel="0" collapsed="false">
      <c r="A1890" s="11" t="str">
        <f aca="false">IF(원본명단!$A1889="","",1887)</f>
        <v/>
      </c>
      <c r="B1890" s="12" t="str">
        <f aca="false">IF($A1890="","",원본명단!$A1889)</f>
        <v/>
      </c>
      <c r="C1890" s="12" t="str">
        <f aca="false">IF($A1890="","",원본명단!$B1889)</f>
        <v/>
      </c>
      <c r="D1890" s="12" t="str">
        <f aca="false">IF($A1890="","",원본명단!$D1889)</f>
        <v/>
      </c>
      <c r="E1890" s="11" t="str">
        <f aca="false">IF($A1890="","",IF(원본명단!$H1889="",0,COUNTIF(원본명단!$H$3:$H$6002,원본명단!$H1889)))</f>
        <v/>
      </c>
      <c r="F1890" s="11" t="str">
        <f aca="false">IF($A1890="","",IF(원본명단!$I1889="",0,COUNTIF(원본명단!$I$3:$I$6002,원본명단!$I1889)))</f>
        <v/>
      </c>
      <c r="G1890" s="11" t="str">
        <f aca="false">IF($A1890="","",IF(원본명단!$K1889="",0,COUNTIF(원본명단!$K$3:$K$6002,원본명단!$K1889)))</f>
        <v/>
      </c>
      <c r="H1890" s="11" t="str">
        <f aca="false">IF($A1890="","",IF(MAX($E1890,$F1890,$G1890)&gt;1,"중복","-"))</f>
        <v/>
      </c>
      <c r="I1890" s="11" t="str">
        <f aca="false">IF($A1890="","",IF($H1890="-","-",IF(AND(IF(원본명단!$H1889="",TRUE(),COUNTIF(원본명단!$H$3:$H1889,원본명단!$H1889)=1),IF(원본명단!$I1889="",TRUE(),COUNTIF(원본명단!$I$3:$I1889,원본명단!$I1889)=1),IF(원본명단!$K1889="",TRUE(),COUNTIF(원본명단!$K$3:$K1889,원본명단!$K1889)=1)),"첫 건","중복 건")))</f>
        <v/>
      </c>
      <c r="J1890" s="11" t="str">
        <f aca="false">IF($A1890="","",IF($H1890="-","유지",IF($I1890="첫 건","유지","확인 필요")))</f>
        <v/>
      </c>
    </row>
    <row r="1891" customFormat="false" ht="15" hidden="false" customHeight="true" outlineLevel="0" collapsed="false">
      <c r="A1891" s="11" t="str">
        <f aca="false">IF(원본명단!$A1890="","",1888)</f>
        <v/>
      </c>
      <c r="B1891" s="12" t="str">
        <f aca="false">IF($A1891="","",원본명단!$A1890)</f>
        <v/>
      </c>
      <c r="C1891" s="12" t="str">
        <f aca="false">IF($A1891="","",원본명단!$B1890)</f>
        <v/>
      </c>
      <c r="D1891" s="12" t="str">
        <f aca="false">IF($A1891="","",원본명단!$D1890)</f>
        <v/>
      </c>
      <c r="E1891" s="11" t="str">
        <f aca="false">IF($A1891="","",IF(원본명단!$H1890="",0,COUNTIF(원본명단!$H$3:$H$6002,원본명단!$H1890)))</f>
        <v/>
      </c>
      <c r="F1891" s="11" t="str">
        <f aca="false">IF($A1891="","",IF(원본명단!$I1890="",0,COUNTIF(원본명단!$I$3:$I$6002,원본명단!$I1890)))</f>
        <v/>
      </c>
      <c r="G1891" s="11" t="str">
        <f aca="false">IF($A1891="","",IF(원본명단!$K1890="",0,COUNTIF(원본명단!$K$3:$K$6002,원본명단!$K1890)))</f>
        <v/>
      </c>
      <c r="H1891" s="11" t="str">
        <f aca="false">IF($A1891="","",IF(MAX($E1891,$F1891,$G1891)&gt;1,"중복","-"))</f>
        <v/>
      </c>
      <c r="I1891" s="11" t="str">
        <f aca="false">IF($A1891="","",IF($H1891="-","-",IF(AND(IF(원본명단!$H1890="",TRUE(),COUNTIF(원본명단!$H$3:$H1890,원본명단!$H1890)=1),IF(원본명단!$I1890="",TRUE(),COUNTIF(원본명단!$I$3:$I1890,원본명단!$I1890)=1),IF(원본명단!$K1890="",TRUE(),COUNTIF(원본명단!$K$3:$K1890,원본명단!$K1890)=1)),"첫 건","중복 건")))</f>
        <v/>
      </c>
      <c r="J1891" s="11" t="str">
        <f aca="false">IF($A1891="","",IF($H1891="-","유지",IF($I1891="첫 건","유지","확인 필요")))</f>
        <v/>
      </c>
    </row>
    <row r="1892" customFormat="false" ht="15" hidden="false" customHeight="true" outlineLevel="0" collapsed="false">
      <c r="A1892" s="11" t="str">
        <f aca="false">IF(원본명단!$A1891="","",1889)</f>
        <v/>
      </c>
      <c r="B1892" s="12" t="str">
        <f aca="false">IF($A1892="","",원본명단!$A1891)</f>
        <v/>
      </c>
      <c r="C1892" s="12" t="str">
        <f aca="false">IF($A1892="","",원본명단!$B1891)</f>
        <v/>
      </c>
      <c r="D1892" s="12" t="str">
        <f aca="false">IF($A1892="","",원본명단!$D1891)</f>
        <v/>
      </c>
      <c r="E1892" s="11" t="str">
        <f aca="false">IF($A1892="","",IF(원본명단!$H1891="",0,COUNTIF(원본명단!$H$3:$H$6002,원본명단!$H1891)))</f>
        <v/>
      </c>
      <c r="F1892" s="11" t="str">
        <f aca="false">IF($A1892="","",IF(원본명단!$I1891="",0,COUNTIF(원본명단!$I$3:$I$6002,원본명단!$I1891)))</f>
        <v/>
      </c>
      <c r="G1892" s="11" t="str">
        <f aca="false">IF($A1892="","",IF(원본명단!$K1891="",0,COUNTIF(원본명단!$K$3:$K$6002,원본명단!$K1891)))</f>
        <v/>
      </c>
      <c r="H1892" s="11" t="str">
        <f aca="false">IF($A1892="","",IF(MAX($E1892,$F1892,$G1892)&gt;1,"중복","-"))</f>
        <v/>
      </c>
      <c r="I1892" s="11" t="str">
        <f aca="false">IF($A1892="","",IF($H1892="-","-",IF(AND(IF(원본명단!$H1891="",TRUE(),COUNTIF(원본명단!$H$3:$H1891,원본명단!$H1891)=1),IF(원본명단!$I1891="",TRUE(),COUNTIF(원본명단!$I$3:$I1891,원본명단!$I1891)=1),IF(원본명단!$K1891="",TRUE(),COUNTIF(원본명단!$K$3:$K1891,원본명단!$K1891)=1)),"첫 건","중복 건")))</f>
        <v/>
      </c>
      <c r="J1892" s="11" t="str">
        <f aca="false">IF($A1892="","",IF($H1892="-","유지",IF($I1892="첫 건","유지","확인 필요")))</f>
        <v/>
      </c>
    </row>
    <row r="1893" customFormat="false" ht="15" hidden="false" customHeight="true" outlineLevel="0" collapsed="false">
      <c r="A1893" s="11" t="str">
        <f aca="false">IF(원본명단!$A1892="","",1890)</f>
        <v/>
      </c>
      <c r="B1893" s="12" t="str">
        <f aca="false">IF($A1893="","",원본명단!$A1892)</f>
        <v/>
      </c>
      <c r="C1893" s="12" t="str">
        <f aca="false">IF($A1893="","",원본명단!$B1892)</f>
        <v/>
      </c>
      <c r="D1893" s="12" t="str">
        <f aca="false">IF($A1893="","",원본명단!$D1892)</f>
        <v/>
      </c>
      <c r="E1893" s="11" t="str">
        <f aca="false">IF($A1893="","",IF(원본명단!$H1892="",0,COUNTIF(원본명단!$H$3:$H$6002,원본명단!$H1892)))</f>
        <v/>
      </c>
      <c r="F1893" s="11" t="str">
        <f aca="false">IF($A1893="","",IF(원본명단!$I1892="",0,COUNTIF(원본명단!$I$3:$I$6002,원본명단!$I1892)))</f>
        <v/>
      </c>
      <c r="G1893" s="11" t="str">
        <f aca="false">IF($A1893="","",IF(원본명단!$K1892="",0,COUNTIF(원본명단!$K$3:$K$6002,원본명단!$K1892)))</f>
        <v/>
      </c>
      <c r="H1893" s="11" t="str">
        <f aca="false">IF($A1893="","",IF(MAX($E1893,$F1893,$G1893)&gt;1,"중복","-"))</f>
        <v/>
      </c>
      <c r="I1893" s="11" t="str">
        <f aca="false">IF($A1893="","",IF($H1893="-","-",IF(AND(IF(원본명단!$H1892="",TRUE(),COUNTIF(원본명단!$H$3:$H1892,원본명단!$H1892)=1),IF(원본명단!$I1892="",TRUE(),COUNTIF(원본명단!$I$3:$I1892,원본명단!$I1892)=1),IF(원본명단!$K1892="",TRUE(),COUNTIF(원본명단!$K$3:$K1892,원본명단!$K1892)=1)),"첫 건","중복 건")))</f>
        <v/>
      </c>
      <c r="J1893" s="11" t="str">
        <f aca="false">IF($A1893="","",IF($H1893="-","유지",IF($I1893="첫 건","유지","확인 필요")))</f>
        <v/>
      </c>
    </row>
    <row r="1894" customFormat="false" ht="15" hidden="false" customHeight="true" outlineLevel="0" collapsed="false">
      <c r="A1894" s="11" t="str">
        <f aca="false">IF(원본명단!$A1893="","",1891)</f>
        <v/>
      </c>
      <c r="B1894" s="12" t="str">
        <f aca="false">IF($A1894="","",원본명단!$A1893)</f>
        <v/>
      </c>
      <c r="C1894" s="12" t="str">
        <f aca="false">IF($A1894="","",원본명단!$B1893)</f>
        <v/>
      </c>
      <c r="D1894" s="12" t="str">
        <f aca="false">IF($A1894="","",원본명단!$D1893)</f>
        <v/>
      </c>
      <c r="E1894" s="11" t="str">
        <f aca="false">IF($A1894="","",IF(원본명단!$H1893="",0,COUNTIF(원본명단!$H$3:$H$6002,원본명단!$H1893)))</f>
        <v/>
      </c>
      <c r="F1894" s="11" t="str">
        <f aca="false">IF($A1894="","",IF(원본명단!$I1893="",0,COUNTIF(원본명단!$I$3:$I$6002,원본명단!$I1893)))</f>
        <v/>
      </c>
      <c r="G1894" s="11" t="str">
        <f aca="false">IF($A1894="","",IF(원본명단!$K1893="",0,COUNTIF(원본명단!$K$3:$K$6002,원본명단!$K1893)))</f>
        <v/>
      </c>
      <c r="H1894" s="11" t="str">
        <f aca="false">IF($A1894="","",IF(MAX($E1894,$F1894,$G1894)&gt;1,"중복","-"))</f>
        <v/>
      </c>
      <c r="I1894" s="11" t="str">
        <f aca="false">IF($A1894="","",IF($H1894="-","-",IF(AND(IF(원본명단!$H1893="",TRUE(),COUNTIF(원본명단!$H$3:$H1893,원본명단!$H1893)=1),IF(원본명단!$I1893="",TRUE(),COUNTIF(원본명단!$I$3:$I1893,원본명단!$I1893)=1),IF(원본명단!$K1893="",TRUE(),COUNTIF(원본명단!$K$3:$K1893,원본명단!$K1893)=1)),"첫 건","중복 건")))</f>
        <v/>
      </c>
      <c r="J1894" s="11" t="str">
        <f aca="false">IF($A1894="","",IF($H1894="-","유지",IF($I1894="첫 건","유지","확인 필요")))</f>
        <v/>
      </c>
    </row>
    <row r="1895" customFormat="false" ht="15" hidden="false" customHeight="true" outlineLevel="0" collapsed="false">
      <c r="A1895" s="11" t="str">
        <f aca="false">IF(원본명단!$A1894="","",1892)</f>
        <v/>
      </c>
      <c r="B1895" s="12" t="str">
        <f aca="false">IF($A1895="","",원본명단!$A1894)</f>
        <v/>
      </c>
      <c r="C1895" s="12" t="str">
        <f aca="false">IF($A1895="","",원본명단!$B1894)</f>
        <v/>
      </c>
      <c r="D1895" s="12" t="str">
        <f aca="false">IF($A1895="","",원본명단!$D1894)</f>
        <v/>
      </c>
      <c r="E1895" s="11" t="str">
        <f aca="false">IF($A1895="","",IF(원본명단!$H1894="",0,COUNTIF(원본명단!$H$3:$H$6002,원본명단!$H1894)))</f>
        <v/>
      </c>
      <c r="F1895" s="11" t="str">
        <f aca="false">IF($A1895="","",IF(원본명단!$I1894="",0,COUNTIF(원본명단!$I$3:$I$6002,원본명단!$I1894)))</f>
        <v/>
      </c>
      <c r="G1895" s="11" t="str">
        <f aca="false">IF($A1895="","",IF(원본명단!$K1894="",0,COUNTIF(원본명단!$K$3:$K$6002,원본명단!$K1894)))</f>
        <v/>
      </c>
      <c r="H1895" s="11" t="str">
        <f aca="false">IF($A1895="","",IF(MAX($E1895,$F1895,$G1895)&gt;1,"중복","-"))</f>
        <v/>
      </c>
      <c r="I1895" s="11" t="str">
        <f aca="false">IF($A1895="","",IF($H1895="-","-",IF(AND(IF(원본명단!$H1894="",TRUE(),COUNTIF(원본명단!$H$3:$H1894,원본명단!$H1894)=1),IF(원본명단!$I1894="",TRUE(),COUNTIF(원본명단!$I$3:$I1894,원본명단!$I1894)=1),IF(원본명단!$K1894="",TRUE(),COUNTIF(원본명단!$K$3:$K1894,원본명단!$K1894)=1)),"첫 건","중복 건")))</f>
        <v/>
      </c>
      <c r="J1895" s="11" t="str">
        <f aca="false">IF($A1895="","",IF($H1895="-","유지",IF($I1895="첫 건","유지","확인 필요")))</f>
        <v/>
      </c>
    </row>
    <row r="1896" customFormat="false" ht="15" hidden="false" customHeight="true" outlineLevel="0" collapsed="false">
      <c r="A1896" s="11" t="str">
        <f aca="false">IF(원본명단!$A1895="","",1893)</f>
        <v/>
      </c>
      <c r="B1896" s="12" t="str">
        <f aca="false">IF($A1896="","",원본명단!$A1895)</f>
        <v/>
      </c>
      <c r="C1896" s="12" t="str">
        <f aca="false">IF($A1896="","",원본명단!$B1895)</f>
        <v/>
      </c>
      <c r="D1896" s="12" t="str">
        <f aca="false">IF($A1896="","",원본명단!$D1895)</f>
        <v/>
      </c>
      <c r="E1896" s="11" t="str">
        <f aca="false">IF($A1896="","",IF(원본명단!$H1895="",0,COUNTIF(원본명단!$H$3:$H$6002,원본명단!$H1895)))</f>
        <v/>
      </c>
      <c r="F1896" s="11" t="str">
        <f aca="false">IF($A1896="","",IF(원본명단!$I1895="",0,COUNTIF(원본명단!$I$3:$I$6002,원본명단!$I1895)))</f>
        <v/>
      </c>
      <c r="G1896" s="11" t="str">
        <f aca="false">IF($A1896="","",IF(원본명단!$K1895="",0,COUNTIF(원본명단!$K$3:$K$6002,원본명단!$K1895)))</f>
        <v/>
      </c>
      <c r="H1896" s="11" t="str">
        <f aca="false">IF($A1896="","",IF(MAX($E1896,$F1896,$G1896)&gt;1,"중복","-"))</f>
        <v/>
      </c>
      <c r="I1896" s="11" t="str">
        <f aca="false">IF($A1896="","",IF($H1896="-","-",IF(AND(IF(원본명단!$H1895="",TRUE(),COUNTIF(원본명단!$H$3:$H1895,원본명단!$H1895)=1),IF(원본명단!$I1895="",TRUE(),COUNTIF(원본명단!$I$3:$I1895,원본명단!$I1895)=1),IF(원본명단!$K1895="",TRUE(),COUNTIF(원본명단!$K$3:$K1895,원본명단!$K1895)=1)),"첫 건","중복 건")))</f>
        <v/>
      </c>
      <c r="J1896" s="11" t="str">
        <f aca="false">IF($A1896="","",IF($H1896="-","유지",IF($I1896="첫 건","유지","확인 필요")))</f>
        <v/>
      </c>
    </row>
    <row r="1897" customFormat="false" ht="15" hidden="false" customHeight="true" outlineLevel="0" collapsed="false">
      <c r="A1897" s="11" t="str">
        <f aca="false">IF(원본명단!$A1896="","",1894)</f>
        <v/>
      </c>
      <c r="B1897" s="12" t="str">
        <f aca="false">IF($A1897="","",원본명단!$A1896)</f>
        <v/>
      </c>
      <c r="C1897" s="12" t="str">
        <f aca="false">IF($A1897="","",원본명단!$B1896)</f>
        <v/>
      </c>
      <c r="D1897" s="12" t="str">
        <f aca="false">IF($A1897="","",원본명단!$D1896)</f>
        <v/>
      </c>
      <c r="E1897" s="11" t="str">
        <f aca="false">IF($A1897="","",IF(원본명단!$H1896="",0,COUNTIF(원본명단!$H$3:$H$6002,원본명단!$H1896)))</f>
        <v/>
      </c>
      <c r="F1897" s="11" t="str">
        <f aca="false">IF($A1897="","",IF(원본명단!$I1896="",0,COUNTIF(원본명단!$I$3:$I$6002,원본명단!$I1896)))</f>
        <v/>
      </c>
      <c r="G1897" s="11" t="str">
        <f aca="false">IF($A1897="","",IF(원본명단!$K1896="",0,COUNTIF(원본명단!$K$3:$K$6002,원본명단!$K1896)))</f>
        <v/>
      </c>
      <c r="H1897" s="11" t="str">
        <f aca="false">IF($A1897="","",IF(MAX($E1897,$F1897,$G1897)&gt;1,"중복","-"))</f>
        <v/>
      </c>
      <c r="I1897" s="11" t="str">
        <f aca="false">IF($A1897="","",IF($H1897="-","-",IF(AND(IF(원본명단!$H1896="",TRUE(),COUNTIF(원본명단!$H$3:$H1896,원본명단!$H1896)=1),IF(원본명단!$I1896="",TRUE(),COUNTIF(원본명단!$I$3:$I1896,원본명단!$I1896)=1),IF(원본명단!$K1896="",TRUE(),COUNTIF(원본명단!$K$3:$K1896,원본명단!$K1896)=1)),"첫 건","중복 건")))</f>
        <v/>
      </c>
      <c r="J1897" s="11" t="str">
        <f aca="false">IF($A1897="","",IF($H1897="-","유지",IF($I1897="첫 건","유지","확인 필요")))</f>
        <v/>
      </c>
    </row>
    <row r="1898" customFormat="false" ht="15" hidden="false" customHeight="true" outlineLevel="0" collapsed="false">
      <c r="A1898" s="11" t="str">
        <f aca="false">IF(원본명단!$A1897="","",1895)</f>
        <v/>
      </c>
      <c r="B1898" s="12" t="str">
        <f aca="false">IF($A1898="","",원본명단!$A1897)</f>
        <v/>
      </c>
      <c r="C1898" s="12" t="str">
        <f aca="false">IF($A1898="","",원본명단!$B1897)</f>
        <v/>
      </c>
      <c r="D1898" s="12" t="str">
        <f aca="false">IF($A1898="","",원본명단!$D1897)</f>
        <v/>
      </c>
      <c r="E1898" s="11" t="str">
        <f aca="false">IF($A1898="","",IF(원본명단!$H1897="",0,COUNTIF(원본명단!$H$3:$H$6002,원본명단!$H1897)))</f>
        <v/>
      </c>
      <c r="F1898" s="11" t="str">
        <f aca="false">IF($A1898="","",IF(원본명단!$I1897="",0,COUNTIF(원본명단!$I$3:$I$6002,원본명단!$I1897)))</f>
        <v/>
      </c>
      <c r="G1898" s="11" t="str">
        <f aca="false">IF($A1898="","",IF(원본명단!$K1897="",0,COUNTIF(원본명단!$K$3:$K$6002,원본명단!$K1897)))</f>
        <v/>
      </c>
      <c r="H1898" s="11" t="str">
        <f aca="false">IF($A1898="","",IF(MAX($E1898,$F1898,$G1898)&gt;1,"중복","-"))</f>
        <v/>
      </c>
      <c r="I1898" s="11" t="str">
        <f aca="false">IF($A1898="","",IF($H1898="-","-",IF(AND(IF(원본명단!$H1897="",TRUE(),COUNTIF(원본명단!$H$3:$H1897,원본명단!$H1897)=1),IF(원본명단!$I1897="",TRUE(),COUNTIF(원본명단!$I$3:$I1897,원본명단!$I1897)=1),IF(원본명단!$K1897="",TRUE(),COUNTIF(원본명단!$K$3:$K1897,원본명단!$K1897)=1)),"첫 건","중복 건")))</f>
        <v/>
      </c>
      <c r="J1898" s="11" t="str">
        <f aca="false">IF($A1898="","",IF($H1898="-","유지",IF($I1898="첫 건","유지","확인 필요")))</f>
        <v/>
      </c>
    </row>
    <row r="1899" customFormat="false" ht="15" hidden="false" customHeight="true" outlineLevel="0" collapsed="false">
      <c r="A1899" s="11" t="str">
        <f aca="false">IF(원본명단!$A1898="","",1896)</f>
        <v/>
      </c>
      <c r="B1899" s="12" t="str">
        <f aca="false">IF($A1899="","",원본명단!$A1898)</f>
        <v/>
      </c>
      <c r="C1899" s="12" t="str">
        <f aca="false">IF($A1899="","",원본명단!$B1898)</f>
        <v/>
      </c>
      <c r="D1899" s="12" t="str">
        <f aca="false">IF($A1899="","",원본명단!$D1898)</f>
        <v/>
      </c>
      <c r="E1899" s="11" t="str">
        <f aca="false">IF($A1899="","",IF(원본명단!$H1898="",0,COUNTIF(원본명단!$H$3:$H$6002,원본명단!$H1898)))</f>
        <v/>
      </c>
      <c r="F1899" s="11" t="str">
        <f aca="false">IF($A1899="","",IF(원본명단!$I1898="",0,COUNTIF(원본명단!$I$3:$I$6002,원본명단!$I1898)))</f>
        <v/>
      </c>
      <c r="G1899" s="11" t="str">
        <f aca="false">IF($A1899="","",IF(원본명단!$K1898="",0,COUNTIF(원본명단!$K$3:$K$6002,원본명단!$K1898)))</f>
        <v/>
      </c>
      <c r="H1899" s="11" t="str">
        <f aca="false">IF($A1899="","",IF(MAX($E1899,$F1899,$G1899)&gt;1,"중복","-"))</f>
        <v/>
      </c>
      <c r="I1899" s="11" t="str">
        <f aca="false">IF($A1899="","",IF($H1899="-","-",IF(AND(IF(원본명단!$H1898="",TRUE(),COUNTIF(원본명단!$H$3:$H1898,원본명단!$H1898)=1),IF(원본명단!$I1898="",TRUE(),COUNTIF(원본명단!$I$3:$I1898,원본명단!$I1898)=1),IF(원본명단!$K1898="",TRUE(),COUNTIF(원본명단!$K$3:$K1898,원본명단!$K1898)=1)),"첫 건","중복 건")))</f>
        <v/>
      </c>
      <c r="J1899" s="11" t="str">
        <f aca="false">IF($A1899="","",IF($H1899="-","유지",IF($I1899="첫 건","유지","확인 필요")))</f>
        <v/>
      </c>
    </row>
    <row r="1900" customFormat="false" ht="15" hidden="false" customHeight="true" outlineLevel="0" collapsed="false">
      <c r="A1900" s="11" t="str">
        <f aca="false">IF(원본명단!$A1899="","",1897)</f>
        <v/>
      </c>
      <c r="B1900" s="12" t="str">
        <f aca="false">IF($A1900="","",원본명단!$A1899)</f>
        <v/>
      </c>
      <c r="C1900" s="12" t="str">
        <f aca="false">IF($A1900="","",원본명단!$B1899)</f>
        <v/>
      </c>
      <c r="D1900" s="12" t="str">
        <f aca="false">IF($A1900="","",원본명단!$D1899)</f>
        <v/>
      </c>
      <c r="E1900" s="11" t="str">
        <f aca="false">IF($A1900="","",IF(원본명단!$H1899="",0,COUNTIF(원본명단!$H$3:$H$6002,원본명단!$H1899)))</f>
        <v/>
      </c>
      <c r="F1900" s="11" t="str">
        <f aca="false">IF($A1900="","",IF(원본명단!$I1899="",0,COUNTIF(원본명단!$I$3:$I$6002,원본명단!$I1899)))</f>
        <v/>
      </c>
      <c r="G1900" s="11" t="str">
        <f aca="false">IF($A1900="","",IF(원본명단!$K1899="",0,COUNTIF(원본명단!$K$3:$K$6002,원본명단!$K1899)))</f>
        <v/>
      </c>
      <c r="H1900" s="11" t="str">
        <f aca="false">IF($A1900="","",IF(MAX($E1900,$F1900,$G1900)&gt;1,"중복","-"))</f>
        <v/>
      </c>
      <c r="I1900" s="11" t="str">
        <f aca="false">IF($A1900="","",IF($H1900="-","-",IF(AND(IF(원본명단!$H1899="",TRUE(),COUNTIF(원본명단!$H$3:$H1899,원본명단!$H1899)=1),IF(원본명단!$I1899="",TRUE(),COUNTIF(원본명단!$I$3:$I1899,원본명단!$I1899)=1),IF(원본명단!$K1899="",TRUE(),COUNTIF(원본명단!$K$3:$K1899,원본명단!$K1899)=1)),"첫 건","중복 건")))</f>
        <v/>
      </c>
      <c r="J1900" s="11" t="str">
        <f aca="false">IF($A1900="","",IF($H1900="-","유지",IF($I1900="첫 건","유지","확인 필요")))</f>
        <v/>
      </c>
    </row>
    <row r="1901" customFormat="false" ht="15" hidden="false" customHeight="true" outlineLevel="0" collapsed="false">
      <c r="A1901" s="11" t="str">
        <f aca="false">IF(원본명단!$A1900="","",1898)</f>
        <v/>
      </c>
      <c r="B1901" s="12" t="str">
        <f aca="false">IF($A1901="","",원본명단!$A1900)</f>
        <v/>
      </c>
      <c r="C1901" s="12" t="str">
        <f aca="false">IF($A1901="","",원본명단!$B1900)</f>
        <v/>
      </c>
      <c r="D1901" s="12" t="str">
        <f aca="false">IF($A1901="","",원본명단!$D1900)</f>
        <v/>
      </c>
      <c r="E1901" s="11" t="str">
        <f aca="false">IF($A1901="","",IF(원본명단!$H1900="",0,COUNTIF(원본명단!$H$3:$H$6002,원본명단!$H1900)))</f>
        <v/>
      </c>
      <c r="F1901" s="11" t="str">
        <f aca="false">IF($A1901="","",IF(원본명단!$I1900="",0,COUNTIF(원본명단!$I$3:$I$6002,원본명단!$I1900)))</f>
        <v/>
      </c>
      <c r="G1901" s="11" t="str">
        <f aca="false">IF($A1901="","",IF(원본명단!$K1900="",0,COUNTIF(원본명단!$K$3:$K$6002,원본명단!$K1900)))</f>
        <v/>
      </c>
      <c r="H1901" s="11" t="str">
        <f aca="false">IF($A1901="","",IF(MAX($E1901,$F1901,$G1901)&gt;1,"중복","-"))</f>
        <v/>
      </c>
      <c r="I1901" s="11" t="str">
        <f aca="false">IF($A1901="","",IF($H1901="-","-",IF(AND(IF(원본명단!$H1900="",TRUE(),COUNTIF(원본명단!$H$3:$H1900,원본명단!$H1900)=1),IF(원본명단!$I1900="",TRUE(),COUNTIF(원본명단!$I$3:$I1900,원본명단!$I1900)=1),IF(원본명단!$K1900="",TRUE(),COUNTIF(원본명단!$K$3:$K1900,원본명단!$K1900)=1)),"첫 건","중복 건")))</f>
        <v/>
      </c>
      <c r="J1901" s="11" t="str">
        <f aca="false">IF($A1901="","",IF($H1901="-","유지",IF($I1901="첫 건","유지","확인 필요")))</f>
        <v/>
      </c>
    </row>
    <row r="1902" customFormat="false" ht="15" hidden="false" customHeight="true" outlineLevel="0" collapsed="false">
      <c r="A1902" s="11" t="str">
        <f aca="false">IF(원본명단!$A1901="","",1899)</f>
        <v/>
      </c>
      <c r="B1902" s="12" t="str">
        <f aca="false">IF($A1902="","",원본명단!$A1901)</f>
        <v/>
      </c>
      <c r="C1902" s="12" t="str">
        <f aca="false">IF($A1902="","",원본명단!$B1901)</f>
        <v/>
      </c>
      <c r="D1902" s="12" t="str">
        <f aca="false">IF($A1902="","",원본명단!$D1901)</f>
        <v/>
      </c>
      <c r="E1902" s="11" t="str">
        <f aca="false">IF($A1902="","",IF(원본명단!$H1901="",0,COUNTIF(원본명단!$H$3:$H$6002,원본명단!$H1901)))</f>
        <v/>
      </c>
      <c r="F1902" s="11" t="str">
        <f aca="false">IF($A1902="","",IF(원본명단!$I1901="",0,COUNTIF(원본명단!$I$3:$I$6002,원본명단!$I1901)))</f>
        <v/>
      </c>
      <c r="G1902" s="11" t="str">
        <f aca="false">IF($A1902="","",IF(원본명단!$K1901="",0,COUNTIF(원본명단!$K$3:$K$6002,원본명단!$K1901)))</f>
        <v/>
      </c>
      <c r="H1902" s="11" t="str">
        <f aca="false">IF($A1902="","",IF(MAX($E1902,$F1902,$G1902)&gt;1,"중복","-"))</f>
        <v/>
      </c>
      <c r="I1902" s="11" t="str">
        <f aca="false">IF($A1902="","",IF($H1902="-","-",IF(AND(IF(원본명단!$H1901="",TRUE(),COUNTIF(원본명단!$H$3:$H1901,원본명단!$H1901)=1),IF(원본명단!$I1901="",TRUE(),COUNTIF(원본명단!$I$3:$I1901,원본명단!$I1901)=1),IF(원본명단!$K1901="",TRUE(),COUNTIF(원본명단!$K$3:$K1901,원본명단!$K1901)=1)),"첫 건","중복 건")))</f>
        <v/>
      </c>
      <c r="J1902" s="11" t="str">
        <f aca="false">IF($A1902="","",IF($H1902="-","유지",IF($I1902="첫 건","유지","확인 필요")))</f>
        <v/>
      </c>
    </row>
    <row r="1903" customFormat="false" ht="15" hidden="false" customHeight="true" outlineLevel="0" collapsed="false">
      <c r="A1903" s="11" t="str">
        <f aca="false">IF(원본명단!$A1902="","",1900)</f>
        <v/>
      </c>
      <c r="B1903" s="12" t="str">
        <f aca="false">IF($A1903="","",원본명단!$A1902)</f>
        <v/>
      </c>
      <c r="C1903" s="12" t="str">
        <f aca="false">IF($A1903="","",원본명단!$B1902)</f>
        <v/>
      </c>
      <c r="D1903" s="12" t="str">
        <f aca="false">IF($A1903="","",원본명단!$D1902)</f>
        <v/>
      </c>
      <c r="E1903" s="11" t="str">
        <f aca="false">IF($A1903="","",IF(원본명단!$H1902="",0,COUNTIF(원본명단!$H$3:$H$6002,원본명단!$H1902)))</f>
        <v/>
      </c>
      <c r="F1903" s="11" t="str">
        <f aca="false">IF($A1903="","",IF(원본명단!$I1902="",0,COUNTIF(원본명단!$I$3:$I$6002,원본명단!$I1902)))</f>
        <v/>
      </c>
      <c r="G1903" s="11" t="str">
        <f aca="false">IF($A1903="","",IF(원본명단!$K1902="",0,COUNTIF(원본명단!$K$3:$K$6002,원본명단!$K1902)))</f>
        <v/>
      </c>
      <c r="H1903" s="11" t="str">
        <f aca="false">IF($A1903="","",IF(MAX($E1903,$F1903,$G1903)&gt;1,"중복","-"))</f>
        <v/>
      </c>
      <c r="I1903" s="11" t="str">
        <f aca="false">IF($A1903="","",IF($H1903="-","-",IF(AND(IF(원본명단!$H1902="",TRUE(),COUNTIF(원본명단!$H$3:$H1902,원본명단!$H1902)=1),IF(원본명단!$I1902="",TRUE(),COUNTIF(원본명단!$I$3:$I1902,원본명단!$I1902)=1),IF(원본명단!$K1902="",TRUE(),COUNTIF(원본명단!$K$3:$K1902,원본명단!$K1902)=1)),"첫 건","중복 건")))</f>
        <v/>
      </c>
      <c r="J1903" s="11" t="str">
        <f aca="false">IF($A1903="","",IF($H1903="-","유지",IF($I1903="첫 건","유지","확인 필요")))</f>
        <v/>
      </c>
    </row>
    <row r="1904" customFormat="false" ht="15" hidden="false" customHeight="true" outlineLevel="0" collapsed="false">
      <c r="A1904" s="11" t="str">
        <f aca="false">IF(원본명단!$A1903="","",1901)</f>
        <v/>
      </c>
      <c r="B1904" s="12" t="str">
        <f aca="false">IF($A1904="","",원본명단!$A1903)</f>
        <v/>
      </c>
      <c r="C1904" s="12" t="str">
        <f aca="false">IF($A1904="","",원본명단!$B1903)</f>
        <v/>
      </c>
      <c r="D1904" s="12" t="str">
        <f aca="false">IF($A1904="","",원본명단!$D1903)</f>
        <v/>
      </c>
      <c r="E1904" s="11" t="str">
        <f aca="false">IF($A1904="","",IF(원본명단!$H1903="",0,COUNTIF(원본명단!$H$3:$H$6002,원본명단!$H1903)))</f>
        <v/>
      </c>
      <c r="F1904" s="11" t="str">
        <f aca="false">IF($A1904="","",IF(원본명단!$I1903="",0,COUNTIF(원본명단!$I$3:$I$6002,원본명단!$I1903)))</f>
        <v/>
      </c>
      <c r="G1904" s="11" t="str">
        <f aca="false">IF($A1904="","",IF(원본명단!$K1903="",0,COUNTIF(원본명단!$K$3:$K$6002,원본명단!$K1903)))</f>
        <v/>
      </c>
      <c r="H1904" s="11" t="str">
        <f aca="false">IF($A1904="","",IF(MAX($E1904,$F1904,$G1904)&gt;1,"중복","-"))</f>
        <v/>
      </c>
      <c r="I1904" s="11" t="str">
        <f aca="false">IF($A1904="","",IF($H1904="-","-",IF(AND(IF(원본명단!$H1903="",TRUE(),COUNTIF(원본명단!$H$3:$H1903,원본명단!$H1903)=1),IF(원본명단!$I1903="",TRUE(),COUNTIF(원본명단!$I$3:$I1903,원본명단!$I1903)=1),IF(원본명단!$K1903="",TRUE(),COUNTIF(원본명단!$K$3:$K1903,원본명단!$K1903)=1)),"첫 건","중복 건")))</f>
        <v/>
      </c>
      <c r="J1904" s="11" t="str">
        <f aca="false">IF($A1904="","",IF($H1904="-","유지",IF($I1904="첫 건","유지","확인 필요")))</f>
        <v/>
      </c>
    </row>
    <row r="1905" customFormat="false" ht="15" hidden="false" customHeight="true" outlineLevel="0" collapsed="false">
      <c r="A1905" s="11" t="str">
        <f aca="false">IF(원본명단!$A1904="","",1902)</f>
        <v/>
      </c>
      <c r="B1905" s="12" t="str">
        <f aca="false">IF($A1905="","",원본명단!$A1904)</f>
        <v/>
      </c>
      <c r="C1905" s="12" t="str">
        <f aca="false">IF($A1905="","",원본명단!$B1904)</f>
        <v/>
      </c>
      <c r="D1905" s="12" t="str">
        <f aca="false">IF($A1905="","",원본명단!$D1904)</f>
        <v/>
      </c>
      <c r="E1905" s="11" t="str">
        <f aca="false">IF($A1905="","",IF(원본명단!$H1904="",0,COUNTIF(원본명단!$H$3:$H$6002,원본명단!$H1904)))</f>
        <v/>
      </c>
      <c r="F1905" s="11" t="str">
        <f aca="false">IF($A1905="","",IF(원본명단!$I1904="",0,COUNTIF(원본명단!$I$3:$I$6002,원본명단!$I1904)))</f>
        <v/>
      </c>
      <c r="G1905" s="11" t="str">
        <f aca="false">IF($A1905="","",IF(원본명단!$K1904="",0,COUNTIF(원본명단!$K$3:$K$6002,원본명단!$K1904)))</f>
        <v/>
      </c>
      <c r="H1905" s="11" t="str">
        <f aca="false">IF($A1905="","",IF(MAX($E1905,$F1905,$G1905)&gt;1,"중복","-"))</f>
        <v/>
      </c>
      <c r="I1905" s="11" t="str">
        <f aca="false">IF($A1905="","",IF($H1905="-","-",IF(AND(IF(원본명단!$H1904="",TRUE(),COUNTIF(원본명단!$H$3:$H1904,원본명단!$H1904)=1),IF(원본명단!$I1904="",TRUE(),COUNTIF(원본명단!$I$3:$I1904,원본명단!$I1904)=1),IF(원본명단!$K1904="",TRUE(),COUNTIF(원본명단!$K$3:$K1904,원본명단!$K1904)=1)),"첫 건","중복 건")))</f>
        <v/>
      </c>
      <c r="J1905" s="11" t="str">
        <f aca="false">IF($A1905="","",IF($H1905="-","유지",IF($I1905="첫 건","유지","확인 필요")))</f>
        <v/>
      </c>
    </row>
    <row r="1906" customFormat="false" ht="15" hidden="false" customHeight="true" outlineLevel="0" collapsed="false">
      <c r="A1906" s="11" t="str">
        <f aca="false">IF(원본명단!$A1905="","",1903)</f>
        <v/>
      </c>
      <c r="B1906" s="12" t="str">
        <f aca="false">IF($A1906="","",원본명단!$A1905)</f>
        <v/>
      </c>
      <c r="C1906" s="12" t="str">
        <f aca="false">IF($A1906="","",원본명단!$B1905)</f>
        <v/>
      </c>
      <c r="D1906" s="12" t="str">
        <f aca="false">IF($A1906="","",원본명단!$D1905)</f>
        <v/>
      </c>
      <c r="E1906" s="11" t="str">
        <f aca="false">IF($A1906="","",IF(원본명단!$H1905="",0,COUNTIF(원본명단!$H$3:$H$6002,원본명단!$H1905)))</f>
        <v/>
      </c>
      <c r="F1906" s="11" t="str">
        <f aca="false">IF($A1906="","",IF(원본명단!$I1905="",0,COUNTIF(원본명단!$I$3:$I$6002,원본명단!$I1905)))</f>
        <v/>
      </c>
      <c r="G1906" s="11" t="str">
        <f aca="false">IF($A1906="","",IF(원본명단!$K1905="",0,COUNTIF(원본명단!$K$3:$K$6002,원본명단!$K1905)))</f>
        <v/>
      </c>
      <c r="H1906" s="11" t="str">
        <f aca="false">IF($A1906="","",IF(MAX($E1906,$F1906,$G1906)&gt;1,"중복","-"))</f>
        <v/>
      </c>
      <c r="I1906" s="11" t="str">
        <f aca="false">IF($A1906="","",IF($H1906="-","-",IF(AND(IF(원본명단!$H1905="",TRUE(),COUNTIF(원본명단!$H$3:$H1905,원본명단!$H1905)=1),IF(원본명단!$I1905="",TRUE(),COUNTIF(원본명단!$I$3:$I1905,원본명단!$I1905)=1),IF(원본명단!$K1905="",TRUE(),COUNTIF(원본명단!$K$3:$K1905,원본명단!$K1905)=1)),"첫 건","중복 건")))</f>
        <v/>
      </c>
      <c r="J1906" s="11" t="str">
        <f aca="false">IF($A1906="","",IF($H1906="-","유지",IF($I1906="첫 건","유지","확인 필요")))</f>
        <v/>
      </c>
    </row>
    <row r="1907" customFormat="false" ht="15" hidden="false" customHeight="true" outlineLevel="0" collapsed="false">
      <c r="A1907" s="11" t="str">
        <f aca="false">IF(원본명단!$A1906="","",1904)</f>
        <v/>
      </c>
      <c r="B1907" s="12" t="str">
        <f aca="false">IF($A1907="","",원본명단!$A1906)</f>
        <v/>
      </c>
      <c r="C1907" s="12" t="str">
        <f aca="false">IF($A1907="","",원본명단!$B1906)</f>
        <v/>
      </c>
      <c r="D1907" s="12" t="str">
        <f aca="false">IF($A1907="","",원본명단!$D1906)</f>
        <v/>
      </c>
      <c r="E1907" s="11" t="str">
        <f aca="false">IF($A1907="","",IF(원본명단!$H1906="",0,COUNTIF(원본명단!$H$3:$H$6002,원본명단!$H1906)))</f>
        <v/>
      </c>
      <c r="F1907" s="11" t="str">
        <f aca="false">IF($A1907="","",IF(원본명단!$I1906="",0,COUNTIF(원본명단!$I$3:$I$6002,원본명단!$I1906)))</f>
        <v/>
      </c>
      <c r="G1907" s="11" t="str">
        <f aca="false">IF($A1907="","",IF(원본명단!$K1906="",0,COUNTIF(원본명단!$K$3:$K$6002,원본명단!$K1906)))</f>
        <v/>
      </c>
      <c r="H1907" s="11" t="str">
        <f aca="false">IF($A1907="","",IF(MAX($E1907,$F1907,$G1907)&gt;1,"중복","-"))</f>
        <v/>
      </c>
      <c r="I1907" s="11" t="str">
        <f aca="false">IF($A1907="","",IF($H1907="-","-",IF(AND(IF(원본명단!$H1906="",TRUE(),COUNTIF(원본명단!$H$3:$H1906,원본명단!$H1906)=1),IF(원본명단!$I1906="",TRUE(),COUNTIF(원본명단!$I$3:$I1906,원본명단!$I1906)=1),IF(원본명단!$K1906="",TRUE(),COUNTIF(원본명단!$K$3:$K1906,원본명단!$K1906)=1)),"첫 건","중복 건")))</f>
        <v/>
      </c>
      <c r="J1907" s="11" t="str">
        <f aca="false">IF($A1907="","",IF($H1907="-","유지",IF($I1907="첫 건","유지","확인 필요")))</f>
        <v/>
      </c>
    </row>
    <row r="1908" customFormat="false" ht="15" hidden="false" customHeight="true" outlineLevel="0" collapsed="false">
      <c r="A1908" s="11" t="str">
        <f aca="false">IF(원본명단!$A1907="","",1905)</f>
        <v/>
      </c>
      <c r="B1908" s="12" t="str">
        <f aca="false">IF($A1908="","",원본명단!$A1907)</f>
        <v/>
      </c>
      <c r="C1908" s="12" t="str">
        <f aca="false">IF($A1908="","",원본명단!$B1907)</f>
        <v/>
      </c>
      <c r="D1908" s="12" t="str">
        <f aca="false">IF($A1908="","",원본명단!$D1907)</f>
        <v/>
      </c>
      <c r="E1908" s="11" t="str">
        <f aca="false">IF($A1908="","",IF(원본명단!$H1907="",0,COUNTIF(원본명단!$H$3:$H$6002,원본명단!$H1907)))</f>
        <v/>
      </c>
      <c r="F1908" s="11" t="str">
        <f aca="false">IF($A1908="","",IF(원본명단!$I1907="",0,COUNTIF(원본명단!$I$3:$I$6002,원본명단!$I1907)))</f>
        <v/>
      </c>
      <c r="G1908" s="11" t="str">
        <f aca="false">IF($A1908="","",IF(원본명단!$K1907="",0,COUNTIF(원본명단!$K$3:$K$6002,원본명단!$K1907)))</f>
        <v/>
      </c>
      <c r="H1908" s="11" t="str">
        <f aca="false">IF($A1908="","",IF(MAX($E1908,$F1908,$G1908)&gt;1,"중복","-"))</f>
        <v/>
      </c>
      <c r="I1908" s="11" t="str">
        <f aca="false">IF($A1908="","",IF($H1908="-","-",IF(AND(IF(원본명단!$H1907="",TRUE(),COUNTIF(원본명단!$H$3:$H1907,원본명단!$H1907)=1),IF(원본명단!$I1907="",TRUE(),COUNTIF(원본명단!$I$3:$I1907,원본명단!$I1907)=1),IF(원본명단!$K1907="",TRUE(),COUNTIF(원본명단!$K$3:$K1907,원본명단!$K1907)=1)),"첫 건","중복 건")))</f>
        <v/>
      </c>
      <c r="J1908" s="11" t="str">
        <f aca="false">IF($A1908="","",IF($H1908="-","유지",IF($I1908="첫 건","유지","확인 필요")))</f>
        <v/>
      </c>
    </row>
    <row r="1909" customFormat="false" ht="15" hidden="false" customHeight="true" outlineLevel="0" collapsed="false">
      <c r="A1909" s="11" t="str">
        <f aca="false">IF(원본명단!$A1908="","",1906)</f>
        <v/>
      </c>
      <c r="B1909" s="12" t="str">
        <f aca="false">IF($A1909="","",원본명단!$A1908)</f>
        <v/>
      </c>
      <c r="C1909" s="12" t="str">
        <f aca="false">IF($A1909="","",원본명단!$B1908)</f>
        <v/>
      </c>
      <c r="D1909" s="12" t="str">
        <f aca="false">IF($A1909="","",원본명단!$D1908)</f>
        <v/>
      </c>
      <c r="E1909" s="11" t="str">
        <f aca="false">IF($A1909="","",IF(원본명단!$H1908="",0,COUNTIF(원본명단!$H$3:$H$6002,원본명단!$H1908)))</f>
        <v/>
      </c>
      <c r="F1909" s="11" t="str">
        <f aca="false">IF($A1909="","",IF(원본명단!$I1908="",0,COUNTIF(원본명단!$I$3:$I$6002,원본명단!$I1908)))</f>
        <v/>
      </c>
      <c r="G1909" s="11" t="str">
        <f aca="false">IF($A1909="","",IF(원본명단!$K1908="",0,COUNTIF(원본명단!$K$3:$K$6002,원본명단!$K1908)))</f>
        <v/>
      </c>
      <c r="H1909" s="11" t="str">
        <f aca="false">IF($A1909="","",IF(MAX($E1909,$F1909,$G1909)&gt;1,"중복","-"))</f>
        <v/>
      </c>
      <c r="I1909" s="11" t="str">
        <f aca="false">IF($A1909="","",IF($H1909="-","-",IF(AND(IF(원본명단!$H1908="",TRUE(),COUNTIF(원본명단!$H$3:$H1908,원본명단!$H1908)=1),IF(원본명단!$I1908="",TRUE(),COUNTIF(원본명단!$I$3:$I1908,원본명단!$I1908)=1),IF(원본명단!$K1908="",TRUE(),COUNTIF(원본명단!$K$3:$K1908,원본명단!$K1908)=1)),"첫 건","중복 건")))</f>
        <v/>
      </c>
      <c r="J1909" s="11" t="str">
        <f aca="false">IF($A1909="","",IF($H1909="-","유지",IF($I1909="첫 건","유지","확인 필요")))</f>
        <v/>
      </c>
    </row>
    <row r="1910" customFormat="false" ht="15" hidden="false" customHeight="true" outlineLevel="0" collapsed="false">
      <c r="A1910" s="11" t="str">
        <f aca="false">IF(원본명단!$A1909="","",1907)</f>
        <v/>
      </c>
      <c r="B1910" s="12" t="str">
        <f aca="false">IF($A1910="","",원본명단!$A1909)</f>
        <v/>
      </c>
      <c r="C1910" s="12" t="str">
        <f aca="false">IF($A1910="","",원본명단!$B1909)</f>
        <v/>
      </c>
      <c r="D1910" s="12" t="str">
        <f aca="false">IF($A1910="","",원본명단!$D1909)</f>
        <v/>
      </c>
      <c r="E1910" s="11" t="str">
        <f aca="false">IF($A1910="","",IF(원본명단!$H1909="",0,COUNTIF(원본명단!$H$3:$H$6002,원본명단!$H1909)))</f>
        <v/>
      </c>
      <c r="F1910" s="11" t="str">
        <f aca="false">IF($A1910="","",IF(원본명단!$I1909="",0,COUNTIF(원본명단!$I$3:$I$6002,원본명단!$I1909)))</f>
        <v/>
      </c>
      <c r="G1910" s="11" t="str">
        <f aca="false">IF($A1910="","",IF(원본명단!$K1909="",0,COUNTIF(원본명단!$K$3:$K$6002,원본명단!$K1909)))</f>
        <v/>
      </c>
      <c r="H1910" s="11" t="str">
        <f aca="false">IF($A1910="","",IF(MAX($E1910,$F1910,$G1910)&gt;1,"중복","-"))</f>
        <v/>
      </c>
      <c r="I1910" s="11" t="str">
        <f aca="false">IF($A1910="","",IF($H1910="-","-",IF(AND(IF(원본명단!$H1909="",TRUE(),COUNTIF(원본명단!$H$3:$H1909,원본명단!$H1909)=1),IF(원본명단!$I1909="",TRUE(),COUNTIF(원본명단!$I$3:$I1909,원본명단!$I1909)=1),IF(원본명단!$K1909="",TRUE(),COUNTIF(원본명단!$K$3:$K1909,원본명단!$K1909)=1)),"첫 건","중복 건")))</f>
        <v/>
      </c>
      <c r="J1910" s="11" t="str">
        <f aca="false">IF($A1910="","",IF($H1910="-","유지",IF($I1910="첫 건","유지","확인 필요")))</f>
        <v/>
      </c>
    </row>
    <row r="1911" customFormat="false" ht="15" hidden="false" customHeight="true" outlineLevel="0" collapsed="false">
      <c r="A1911" s="11" t="str">
        <f aca="false">IF(원본명단!$A1910="","",1908)</f>
        <v/>
      </c>
      <c r="B1911" s="12" t="str">
        <f aca="false">IF($A1911="","",원본명단!$A1910)</f>
        <v/>
      </c>
      <c r="C1911" s="12" t="str">
        <f aca="false">IF($A1911="","",원본명단!$B1910)</f>
        <v/>
      </c>
      <c r="D1911" s="12" t="str">
        <f aca="false">IF($A1911="","",원본명단!$D1910)</f>
        <v/>
      </c>
      <c r="E1911" s="11" t="str">
        <f aca="false">IF($A1911="","",IF(원본명단!$H1910="",0,COUNTIF(원본명단!$H$3:$H$6002,원본명단!$H1910)))</f>
        <v/>
      </c>
      <c r="F1911" s="11" t="str">
        <f aca="false">IF($A1911="","",IF(원본명단!$I1910="",0,COUNTIF(원본명단!$I$3:$I$6002,원본명단!$I1910)))</f>
        <v/>
      </c>
      <c r="G1911" s="11" t="str">
        <f aca="false">IF($A1911="","",IF(원본명단!$K1910="",0,COUNTIF(원본명단!$K$3:$K$6002,원본명단!$K1910)))</f>
        <v/>
      </c>
      <c r="H1911" s="11" t="str">
        <f aca="false">IF($A1911="","",IF(MAX($E1911,$F1911,$G1911)&gt;1,"중복","-"))</f>
        <v/>
      </c>
      <c r="I1911" s="11" t="str">
        <f aca="false">IF($A1911="","",IF($H1911="-","-",IF(AND(IF(원본명단!$H1910="",TRUE(),COUNTIF(원본명단!$H$3:$H1910,원본명단!$H1910)=1),IF(원본명단!$I1910="",TRUE(),COUNTIF(원본명단!$I$3:$I1910,원본명단!$I1910)=1),IF(원본명단!$K1910="",TRUE(),COUNTIF(원본명단!$K$3:$K1910,원본명단!$K1910)=1)),"첫 건","중복 건")))</f>
        <v/>
      </c>
      <c r="J1911" s="11" t="str">
        <f aca="false">IF($A1911="","",IF($H1911="-","유지",IF($I1911="첫 건","유지","확인 필요")))</f>
        <v/>
      </c>
    </row>
    <row r="1912" customFormat="false" ht="15" hidden="false" customHeight="true" outlineLevel="0" collapsed="false">
      <c r="A1912" s="11" t="str">
        <f aca="false">IF(원본명단!$A1911="","",1909)</f>
        <v/>
      </c>
      <c r="B1912" s="12" t="str">
        <f aca="false">IF($A1912="","",원본명단!$A1911)</f>
        <v/>
      </c>
      <c r="C1912" s="12" t="str">
        <f aca="false">IF($A1912="","",원본명단!$B1911)</f>
        <v/>
      </c>
      <c r="D1912" s="12" t="str">
        <f aca="false">IF($A1912="","",원본명단!$D1911)</f>
        <v/>
      </c>
      <c r="E1912" s="11" t="str">
        <f aca="false">IF($A1912="","",IF(원본명단!$H1911="",0,COUNTIF(원본명단!$H$3:$H$6002,원본명단!$H1911)))</f>
        <v/>
      </c>
      <c r="F1912" s="11" t="str">
        <f aca="false">IF($A1912="","",IF(원본명단!$I1911="",0,COUNTIF(원본명단!$I$3:$I$6002,원본명단!$I1911)))</f>
        <v/>
      </c>
      <c r="G1912" s="11" t="str">
        <f aca="false">IF($A1912="","",IF(원본명단!$K1911="",0,COUNTIF(원본명단!$K$3:$K$6002,원본명단!$K1911)))</f>
        <v/>
      </c>
      <c r="H1912" s="11" t="str">
        <f aca="false">IF($A1912="","",IF(MAX($E1912,$F1912,$G1912)&gt;1,"중복","-"))</f>
        <v/>
      </c>
      <c r="I1912" s="11" t="str">
        <f aca="false">IF($A1912="","",IF($H1912="-","-",IF(AND(IF(원본명단!$H1911="",TRUE(),COUNTIF(원본명단!$H$3:$H1911,원본명단!$H1911)=1),IF(원본명단!$I1911="",TRUE(),COUNTIF(원본명단!$I$3:$I1911,원본명단!$I1911)=1),IF(원본명단!$K1911="",TRUE(),COUNTIF(원본명단!$K$3:$K1911,원본명단!$K1911)=1)),"첫 건","중복 건")))</f>
        <v/>
      </c>
      <c r="J1912" s="11" t="str">
        <f aca="false">IF($A1912="","",IF($H1912="-","유지",IF($I1912="첫 건","유지","확인 필요")))</f>
        <v/>
      </c>
    </row>
    <row r="1913" customFormat="false" ht="15" hidden="false" customHeight="true" outlineLevel="0" collapsed="false">
      <c r="A1913" s="11" t="str">
        <f aca="false">IF(원본명단!$A1912="","",1910)</f>
        <v/>
      </c>
      <c r="B1913" s="12" t="str">
        <f aca="false">IF($A1913="","",원본명단!$A1912)</f>
        <v/>
      </c>
      <c r="C1913" s="12" t="str">
        <f aca="false">IF($A1913="","",원본명단!$B1912)</f>
        <v/>
      </c>
      <c r="D1913" s="12" t="str">
        <f aca="false">IF($A1913="","",원본명단!$D1912)</f>
        <v/>
      </c>
      <c r="E1913" s="11" t="str">
        <f aca="false">IF($A1913="","",IF(원본명단!$H1912="",0,COUNTIF(원본명단!$H$3:$H$6002,원본명단!$H1912)))</f>
        <v/>
      </c>
      <c r="F1913" s="11" t="str">
        <f aca="false">IF($A1913="","",IF(원본명단!$I1912="",0,COUNTIF(원본명단!$I$3:$I$6002,원본명단!$I1912)))</f>
        <v/>
      </c>
      <c r="G1913" s="11" t="str">
        <f aca="false">IF($A1913="","",IF(원본명단!$K1912="",0,COUNTIF(원본명단!$K$3:$K$6002,원본명단!$K1912)))</f>
        <v/>
      </c>
      <c r="H1913" s="11" t="str">
        <f aca="false">IF($A1913="","",IF(MAX($E1913,$F1913,$G1913)&gt;1,"중복","-"))</f>
        <v/>
      </c>
      <c r="I1913" s="11" t="str">
        <f aca="false">IF($A1913="","",IF($H1913="-","-",IF(AND(IF(원본명단!$H1912="",TRUE(),COUNTIF(원본명단!$H$3:$H1912,원본명단!$H1912)=1),IF(원본명단!$I1912="",TRUE(),COUNTIF(원본명단!$I$3:$I1912,원본명단!$I1912)=1),IF(원본명단!$K1912="",TRUE(),COUNTIF(원본명단!$K$3:$K1912,원본명단!$K1912)=1)),"첫 건","중복 건")))</f>
        <v/>
      </c>
      <c r="J1913" s="11" t="str">
        <f aca="false">IF($A1913="","",IF($H1913="-","유지",IF($I1913="첫 건","유지","확인 필요")))</f>
        <v/>
      </c>
    </row>
    <row r="1914" customFormat="false" ht="15" hidden="false" customHeight="true" outlineLevel="0" collapsed="false">
      <c r="A1914" s="11" t="str">
        <f aca="false">IF(원본명단!$A1913="","",1911)</f>
        <v/>
      </c>
      <c r="B1914" s="12" t="str">
        <f aca="false">IF($A1914="","",원본명단!$A1913)</f>
        <v/>
      </c>
      <c r="C1914" s="12" t="str">
        <f aca="false">IF($A1914="","",원본명단!$B1913)</f>
        <v/>
      </c>
      <c r="D1914" s="12" t="str">
        <f aca="false">IF($A1914="","",원본명단!$D1913)</f>
        <v/>
      </c>
      <c r="E1914" s="11" t="str">
        <f aca="false">IF($A1914="","",IF(원본명단!$H1913="",0,COUNTIF(원본명단!$H$3:$H$6002,원본명단!$H1913)))</f>
        <v/>
      </c>
      <c r="F1914" s="11" t="str">
        <f aca="false">IF($A1914="","",IF(원본명단!$I1913="",0,COUNTIF(원본명단!$I$3:$I$6002,원본명단!$I1913)))</f>
        <v/>
      </c>
      <c r="G1914" s="11" t="str">
        <f aca="false">IF($A1914="","",IF(원본명단!$K1913="",0,COUNTIF(원본명단!$K$3:$K$6002,원본명단!$K1913)))</f>
        <v/>
      </c>
      <c r="H1914" s="11" t="str">
        <f aca="false">IF($A1914="","",IF(MAX($E1914,$F1914,$G1914)&gt;1,"중복","-"))</f>
        <v/>
      </c>
      <c r="I1914" s="11" t="str">
        <f aca="false">IF($A1914="","",IF($H1914="-","-",IF(AND(IF(원본명단!$H1913="",TRUE(),COUNTIF(원본명단!$H$3:$H1913,원본명단!$H1913)=1),IF(원본명단!$I1913="",TRUE(),COUNTIF(원본명단!$I$3:$I1913,원본명단!$I1913)=1),IF(원본명단!$K1913="",TRUE(),COUNTIF(원본명단!$K$3:$K1913,원본명단!$K1913)=1)),"첫 건","중복 건")))</f>
        <v/>
      </c>
      <c r="J1914" s="11" t="str">
        <f aca="false">IF($A1914="","",IF($H1914="-","유지",IF($I1914="첫 건","유지","확인 필요")))</f>
        <v/>
      </c>
    </row>
    <row r="1915" customFormat="false" ht="15" hidden="false" customHeight="true" outlineLevel="0" collapsed="false">
      <c r="A1915" s="11" t="str">
        <f aca="false">IF(원본명단!$A1914="","",1912)</f>
        <v/>
      </c>
      <c r="B1915" s="12" t="str">
        <f aca="false">IF($A1915="","",원본명단!$A1914)</f>
        <v/>
      </c>
      <c r="C1915" s="12" t="str">
        <f aca="false">IF($A1915="","",원본명단!$B1914)</f>
        <v/>
      </c>
      <c r="D1915" s="12" t="str">
        <f aca="false">IF($A1915="","",원본명단!$D1914)</f>
        <v/>
      </c>
      <c r="E1915" s="11" t="str">
        <f aca="false">IF($A1915="","",IF(원본명단!$H1914="",0,COUNTIF(원본명단!$H$3:$H$6002,원본명단!$H1914)))</f>
        <v/>
      </c>
      <c r="F1915" s="11" t="str">
        <f aca="false">IF($A1915="","",IF(원본명단!$I1914="",0,COUNTIF(원본명단!$I$3:$I$6002,원본명단!$I1914)))</f>
        <v/>
      </c>
      <c r="G1915" s="11" t="str">
        <f aca="false">IF($A1915="","",IF(원본명단!$K1914="",0,COUNTIF(원본명단!$K$3:$K$6002,원본명단!$K1914)))</f>
        <v/>
      </c>
      <c r="H1915" s="11" t="str">
        <f aca="false">IF($A1915="","",IF(MAX($E1915,$F1915,$G1915)&gt;1,"중복","-"))</f>
        <v/>
      </c>
      <c r="I1915" s="11" t="str">
        <f aca="false">IF($A1915="","",IF($H1915="-","-",IF(AND(IF(원본명단!$H1914="",TRUE(),COUNTIF(원본명단!$H$3:$H1914,원본명단!$H1914)=1),IF(원본명단!$I1914="",TRUE(),COUNTIF(원본명단!$I$3:$I1914,원본명단!$I1914)=1),IF(원본명단!$K1914="",TRUE(),COUNTIF(원본명단!$K$3:$K1914,원본명단!$K1914)=1)),"첫 건","중복 건")))</f>
        <v/>
      </c>
      <c r="J1915" s="11" t="str">
        <f aca="false">IF($A1915="","",IF($H1915="-","유지",IF($I1915="첫 건","유지","확인 필요")))</f>
        <v/>
      </c>
    </row>
    <row r="1916" customFormat="false" ht="15" hidden="false" customHeight="true" outlineLevel="0" collapsed="false">
      <c r="A1916" s="11" t="str">
        <f aca="false">IF(원본명단!$A1915="","",1913)</f>
        <v/>
      </c>
      <c r="B1916" s="12" t="str">
        <f aca="false">IF($A1916="","",원본명단!$A1915)</f>
        <v/>
      </c>
      <c r="C1916" s="12" t="str">
        <f aca="false">IF($A1916="","",원본명단!$B1915)</f>
        <v/>
      </c>
      <c r="D1916" s="12" t="str">
        <f aca="false">IF($A1916="","",원본명단!$D1915)</f>
        <v/>
      </c>
      <c r="E1916" s="11" t="str">
        <f aca="false">IF($A1916="","",IF(원본명단!$H1915="",0,COUNTIF(원본명단!$H$3:$H$6002,원본명단!$H1915)))</f>
        <v/>
      </c>
      <c r="F1916" s="11" t="str">
        <f aca="false">IF($A1916="","",IF(원본명단!$I1915="",0,COUNTIF(원본명단!$I$3:$I$6002,원본명단!$I1915)))</f>
        <v/>
      </c>
      <c r="G1916" s="11" t="str">
        <f aca="false">IF($A1916="","",IF(원본명단!$K1915="",0,COUNTIF(원본명단!$K$3:$K$6002,원본명단!$K1915)))</f>
        <v/>
      </c>
      <c r="H1916" s="11" t="str">
        <f aca="false">IF($A1916="","",IF(MAX($E1916,$F1916,$G1916)&gt;1,"중복","-"))</f>
        <v/>
      </c>
      <c r="I1916" s="11" t="str">
        <f aca="false">IF($A1916="","",IF($H1916="-","-",IF(AND(IF(원본명단!$H1915="",TRUE(),COUNTIF(원본명단!$H$3:$H1915,원본명단!$H1915)=1),IF(원본명단!$I1915="",TRUE(),COUNTIF(원본명단!$I$3:$I1915,원본명단!$I1915)=1),IF(원본명단!$K1915="",TRUE(),COUNTIF(원본명단!$K$3:$K1915,원본명단!$K1915)=1)),"첫 건","중복 건")))</f>
        <v/>
      </c>
      <c r="J1916" s="11" t="str">
        <f aca="false">IF($A1916="","",IF($H1916="-","유지",IF($I1916="첫 건","유지","확인 필요")))</f>
        <v/>
      </c>
    </row>
    <row r="1917" customFormat="false" ht="15" hidden="false" customHeight="true" outlineLevel="0" collapsed="false">
      <c r="A1917" s="11" t="str">
        <f aca="false">IF(원본명단!$A1916="","",1914)</f>
        <v/>
      </c>
      <c r="B1917" s="12" t="str">
        <f aca="false">IF($A1917="","",원본명단!$A1916)</f>
        <v/>
      </c>
      <c r="C1917" s="12" t="str">
        <f aca="false">IF($A1917="","",원본명단!$B1916)</f>
        <v/>
      </c>
      <c r="D1917" s="12" t="str">
        <f aca="false">IF($A1917="","",원본명단!$D1916)</f>
        <v/>
      </c>
      <c r="E1917" s="11" t="str">
        <f aca="false">IF($A1917="","",IF(원본명단!$H1916="",0,COUNTIF(원본명단!$H$3:$H$6002,원본명단!$H1916)))</f>
        <v/>
      </c>
      <c r="F1917" s="11" t="str">
        <f aca="false">IF($A1917="","",IF(원본명단!$I1916="",0,COUNTIF(원본명단!$I$3:$I$6002,원본명단!$I1916)))</f>
        <v/>
      </c>
      <c r="G1917" s="11" t="str">
        <f aca="false">IF($A1917="","",IF(원본명단!$K1916="",0,COUNTIF(원본명단!$K$3:$K$6002,원본명단!$K1916)))</f>
        <v/>
      </c>
      <c r="H1917" s="11" t="str">
        <f aca="false">IF($A1917="","",IF(MAX($E1917,$F1917,$G1917)&gt;1,"중복","-"))</f>
        <v/>
      </c>
      <c r="I1917" s="11" t="str">
        <f aca="false">IF($A1917="","",IF($H1917="-","-",IF(AND(IF(원본명단!$H1916="",TRUE(),COUNTIF(원본명단!$H$3:$H1916,원본명단!$H1916)=1),IF(원본명단!$I1916="",TRUE(),COUNTIF(원본명단!$I$3:$I1916,원본명단!$I1916)=1),IF(원본명단!$K1916="",TRUE(),COUNTIF(원본명단!$K$3:$K1916,원본명단!$K1916)=1)),"첫 건","중복 건")))</f>
        <v/>
      </c>
      <c r="J1917" s="11" t="str">
        <f aca="false">IF($A1917="","",IF($H1917="-","유지",IF($I1917="첫 건","유지","확인 필요")))</f>
        <v/>
      </c>
    </row>
    <row r="1918" customFormat="false" ht="15" hidden="false" customHeight="true" outlineLevel="0" collapsed="false">
      <c r="A1918" s="11" t="str">
        <f aca="false">IF(원본명단!$A1917="","",1915)</f>
        <v/>
      </c>
      <c r="B1918" s="12" t="str">
        <f aca="false">IF($A1918="","",원본명단!$A1917)</f>
        <v/>
      </c>
      <c r="C1918" s="12" t="str">
        <f aca="false">IF($A1918="","",원본명단!$B1917)</f>
        <v/>
      </c>
      <c r="D1918" s="12" t="str">
        <f aca="false">IF($A1918="","",원본명단!$D1917)</f>
        <v/>
      </c>
      <c r="E1918" s="11" t="str">
        <f aca="false">IF($A1918="","",IF(원본명단!$H1917="",0,COUNTIF(원본명단!$H$3:$H$6002,원본명단!$H1917)))</f>
        <v/>
      </c>
      <c r="F1918" s="11" t="str">
        <f aca="false">IF($A1918="","",IF(원본명단!$I1917="",0,COUNTIF(원본명단!$I$3:$I$6002,원본명단!$I1917)))</f>
        <v/>
      </c>
      <c r="G1918" s="11" t="str">
        <f aca="false">IF($A1918="","",IF(원본명단!$K1917="",0,COUNTIF(원본명단!$K$3:$K$6002,원본명단!$K1917)))</f>
        <v/>
      </c>
      <c r="H1918" s="11" t="str">
        <f aca="false">IF($A1918="","",IF(MAX($E1918,$F1918,$G1918)&gt;1,"중복","-"))</f>
        <v/>
      </c>
      <c r="I1918" s="11" t="str">
        <f aca="false">IF($A1918="","",IF($H1918="-","-",IF(AND(IF(원본명단!$H1917="",TRUE(),COUNTIF(원본명단!$H$3:$H1917,원본명단!$H1917)=1),IF(원본명단!$I1917="",TRUE(),COUNTIF(원본명단!$I$3:$I1917,원본명단!$I1917)=1),IF(원본명단!$K1917="",TRUE(),COUNTIF(원본명단!$K$3:$K1917,원본명단!$K1917)=1)),"첫 건","중복 건")))</f>
        <v/>
      </c>
      <c r="J1918" s="11" t="str">
        <f aca="false">IF($A1918="","",IF($H1918="-","유지",IF($I1918="첫 건","유지","확인 필요")))</f>
        <v/>
      </c>
    </row>
    <row r="1919" customFormat="false" ht="15" hidden="false" customHeight="true" outlineLevel="0" collapsed="false">
      <c r="A1919" s="11" t="str">
        <f aca="false">IF(원본명단!$A1918="","",1916)</f>
        <v/>
      </c>
      <c r="B1919" s="12" t="str">
        <f aca="false">IF($A1919="","",원본명단!$A1918)</f>
        <v/>
      </c>
      <c r="C1919" s="12" t="str">
        <f aca="false">IF($A1919="","",원본명단!$B1918)</f>
        <v/>
      </c>
      <c r="D1919" s="12" t="str">
        <f aca="false">IF($A1919="","",원본명단!$D1918)</f>
        <v/>
      </c>
      <c r="E1919" s="11" t="str">
        <f aca="false">IF($A1919="","",IF(원본명단!$H1918="",0,COUNTIF(원본명단!$H$3:$H$6002,원본명단!$H1918)))</f>
        <v/>
      </c>
      <c r="F1919" s="11" t="str">
        <f aca="false">IF($A1919="","",IF(원본명단!$I1918="",0,COUNTIF(원본명단!$I$3:$I$6002,원본명단!$I1918)))</f>
        <v/>
      </c>
      <c r="G1919" s="11" t="str">
        <f aca="false">IF($A1919="","",IF(원본명단!$K1918="",0,COUNTIF(원본명단!$K$3:$K$6002,원본명단!$K1918)))</f>
        <v/>
      </c>
      <c r="H1919" s="11" t="str">
        <f aca="false">IF($A1919="","",IF(MAX($E1919,$F1919,$G1919)&gt;1,"중복","-"))</f>
        <v/>
      </c>
      <c r="I1919" s="11" t="str">
        <f aca="false">IF($A1919="","",IF($H1919="-","-",IF(AND(IF(원본명단!$H1918="",TRUE(),COUNTIF(원본명단!$H$3:$H1918,원본명단!$H1918)=1),IF(원본명단!$I1918="",TRUE(),COUNTIF(원본명단!$I$3:$I1918,원본명단!$I1918)=1),IF(원본명단!$K1918="",TRUE(),COUNTIF(원본명단!$K$3:$K1918,원본명단!$K1918)=1)),"첫 건","중복 건")))</f>
        <v/>
      </c>
      <c r="J1919" s="11" t="str">
        <f aca="false">IF($A1919="","",IF($H1919="-","유지",IF($I1919="첫 건","유지","확인 필요")))</f>
        <v/>
      </c>
    </row>
    <row r="1920" customFormat="false" ht="15" hidden="false" customHeight="true" outlineLevel="0" collapsed="false">
      <c r="A1920" s="11" t="str">
        <f aca="false">IF(원본명단!$A1919="","",1917)</f>
        <v/>
      </c>
      <c r="B1920" s="12" t="str">
        <f aca="false">IF($A1920="","",원본명단!$A1919)</f>
        <v/>
      </c>
      <c r="C1920" s="12" t="str">
        <f aca="false">IF($A1920="","",원본명단!$B1919)</f>
        <v/>
      </c>
      <c r="D1920" s="12" t="str">
        <f aca="false">IF($A1920="","",원본명단!$D1919)</f>
        <v/>
      </c>
      <c r="E1920" s="11" t="str">
        <f aca="false">IF($A1920="","",IF(원본명단!$H1919="",0,COUNTIF(원본명단!$H$3:$H$6002,원본명단!$H1919)))</f>
        <v/>
      </c>
      <c r="F1920" s="11" t="str">
        <f aca="false">IF($A1920="","",IF(원본명단!$I1919="",0,COUNTIF(원본명단!$I$3:$I$6002,원본명단!$I1919)))</f>
        <v/>
      </c>
      <c r="G1920" s="11" t="str">
        <f aca="false">IF($A1920="","",IF(원본명단!$K1919="",0,COUNTIF(원본명단!$K$3:$K$6002,원본명단!$K1919)))</f>
        <v/>
      </c>
      <c r="H1920" s="11" t="str">
        <f aca="false">IF($A1920="","",IF(MAX($E1920,$F1920,$G1920)&gt;1,"중복","-"))</f>
        <v/>
      </c>
      <c r="I1920" s="11" t="str">
        <f aca="false">IF($A1920="","",IF($H1920="-","-",IF(AND(IF(원본명단!$H1919="",TRUE(),COUNTIF(원본명단!$H$3:$H1919,원본명단!$H1919)=1),IF(원본명단!$I1919="",TRUE(),COUNTIF(원본명단!$I$3:$I1919,원본명단!$I1919)=1),IF(원본명단!$K1919="",TRUE(),COUNTIF(원본명단!$K$3:$K1919,원본명단!$K1919)=1)),"첫 건","중복 건")))</f>
        <v/>
      </c>
      <c r="J1920" s="11" t="str">
        <f aca="false">IF($A1920="","",IF($H1920="-","유지",IF($I1920="첫 건","유지","확인 필요")))</f>
        <v/>
      </c>
    </row>
    <row r="1921" customFormat="false" ht="15" hidden="false" customHeight="true" outlineLevel="0" collapsed="false">
      <c r="A1921" s="11" t="str">
        <f aca="false">IF(원본명단!$A1920="","",1918)</f>
        <v/>
      </c>
      <c r="B1921" s="12" t="str">
        <f aca="false">IF($A1921="","",원본명단!$A1920)</f>
        <v/>
      </c>
      <c r="C1921" s="12" t="str">
        <f aca="false">IF($A1921="","",원본명단!$B1920)</f>
        <v/>
      </c>
      <c r="D1921" s="12" t="str">
        <f aca="false">IF($A1921="","",원본명단!$D1920)</f>
        <v/>
      </c>
      <c r="E1921" s="11" t="str">
        <f aca="false">IF($A1921="","",IF(원본명단!$H1920="",0,COUNTIF(원본명단!$H$3:$H$6002,원본명단!$H1920)))</f>
        <v/>
      </c>
      <c r="F1921" s="11" t="str">
        <f aca="false">IF($A1921="","",IF(원본명단!$I1920="",0,COUNTIF(원본명단!$I$3:$I$6002,원본명단!$I1920)))</f>
        <v/>
      </c>
      <c r="G1921" s="11" t="str">
        <f aca="false">IF($A1921="","",IF(원본명단!$K1920="",0,COUNTIF(원본명단!$K$3:$K$6002,원본명단!$K1920)))</f>
        <v/>
      </c>
      <c r="H1921" s="11" t="str">
        <f aca="false">IF($A1921="","",IF(MAX($E1921,$F1921,$G1921)&gt;1,"중복","-"))</f>
        <v/>
      </c>
      <c r="I1921" s="11" t="str">
        <f aca="false">IF($A1921="","",IF($H1921="-","-",IF(AND(IF(원본명단!$H1920="",TRUE(),COUNTIF(원본명단!$H$3:$H1920,원본명단!$H1920)=1),IF(원본명단!$I1920="",TRUE(),COUNTIF(원본명단!$I$3:$I1920,원본명단!$I1920)=1),IF(원본명단!$K1920="",TRUE(),COUNTIF(원본명단!$K$3:$K1920,원본명단!$K1920)=1)),"첫 건","중복 건")))</f>
        <v/>
      </c>
      <c r="J1921" s="11" t="str">
        <f aca="false">IF($A1921="","",IF($H1921="-","유지",IF($I1921="첫 건","유지","확인 필요")))</f>
        <v/>
      </c>
    </row>
    <row r="1922" customFormat="false" ht="15" hidden="false" customHeight="true" outlineLevel="0" collapsed="false">
      <c r="A1922" s="11" t="str">
        <f aca="false">IF(원본명단!$A1921="","",1919)</f>
        <v/>
      </c>
      <c r="B1922" s="12" t="str">
        <f aca="false">IF($A1922="","",원본명단!$A1921)</f>
        <v/>
      </c>
      <c r="C1922" s="12" t="str">
        <f aca="false">IF($A1922="","",원본명단!$B1921)</f>
        <v/>
      </c>
      <c r="D1922" s="12" t="str">
        <f aca="false">IF($A1922="","",원본명단!$D1921)</f>
        <v/>
      </c>
      <c r="E1922" s="11" t="str">
        <f aca="false">IF($A1922="","",IF(원본명단!$H1921="",0,COUNTIF(원본명단!$H$3:$H$6002,원본명단!$H1921)))</f>
        <v/>
      </c>
      <c r="F1922" s="11" t="str">
        <f aca="false">IF($A1922="","",IF(원본명단!$I1921="",0,COUNTIF(원본명단!$I$3:$I$6002,원본명단!$I1921)))</f>
        <v/>
      </c>
      <c r="G1922" s="11" t="str">
        <f aca="false">IF($A1922="","",IF(원본명단!$K1921="",0,COUNTIF(원본명단!$K$3:$K$6002,원본명단!$K1921)))</f>
        <v/>
      </c>
      <c r="H1922" s="11" t="str">
        <f aca="false">IF($A1922="","",IF(MAX($E1922,$F1922,$G1922)&gt;1,"중복","-"))</f>
        <v/>
      </c>
      <c r="I1922" s="11" t="str">
        <f aca="false">IF($A1922="","",IF($H1922="-","-",IF(AND(IF(원본명단!$H1921="",TRUE(),COUNTIF(원본명단!$H$3:$H1921,원본명단!$H1921)=1),IF(원본명단!$I1921="",TRUE(),COUNTIF(원본명단!$I$3:$I1921,원본명단!$I1921)=1),IF(원본명단!$K1921="",TRUE(),COUNTIF(원본명단!$K$3:$K1921,원본명단!$K1921)=1)),"첫 건","중복 건")))</f>
        <v/>
      </c>
      <c r="J1922" s="11" t="str">
        <f aca="false">IF($A1922="","",IF($H1922="-","유지",IF($I1922="첫 건","유지","확인 필요")))</f>
        <v/>
      </c>
    </row>
    <row r="1923" customFormat="false" ht="15" hidden="false" customHeight="true" outlineLevel="0" collapsed="false">
      <c r="A1923" s="11" t="str">
        <f aca="false">IF(원본명단!$A1922="","",1920)</f>
        <v/>
      </c>
      <c r="B1923" s="12" t="str">
        <f aca="false">IF($A1923="","",원본명단!$A1922)</f>
        <v/>
      </c>
      <c r="C1923" s="12" t="str">
        <f aca="false">IF($A1923="","",원본명단!$B1922)</f>
        <v/>
      </c>
      <c r="D1923" s="12" t="str">
        <f aca="false">IF($A1923="","",원본명단!$D1922)</f>
        <v/>
      </c>
      <c r="E1923" s="11" t="str">
        <f aca="false">IF($A1923="","",IF(원본명단!$H1922="",0,COUNTIF(원본명단!$H$3:$H$6002,원본명단!$H1922)))</f>
        <v/>
      </c>
      <c r="F1923" s="11" t="str">
        <f aca="false">IF($A1923="","",IF(원본명단!$I1922="",0,COUNTIF(원본명단!$I$3:$I$6002,원본명단!$I1922)))</f>
        <v/>
      </c>
      <c r="G1923" s="11" t="str">
        <f aca="false">IF($A1923="","",IF(원본명단!$K1922="",0,COUNTIF(원본명단!$K$3:$K$6002,원본명단!$K1922)))</f>
        <v/>
      </c>
      <c r="H1923" s="11" t="str">
        <f aca="false">IF($A1923="","",IF(MAX($E1923,$F1923,$G1923)&gt;1,"중복","-"))</f>
        <v/>
      </c>
      <c r="I1923" s="11" t="str">
        <f aca="false">IF($A1923="","",IF($H1923="-","-",IF(AND(IF(원본명단!$H1922="",TRUE(),COUNTIF(원본명단!$H$3:$H1922,원본명단!$H1922)=1),IF(원본명단!$I1922="",TRUE(),COUNTIF(원본명단!$I$3:$I1922,원본명단!$I1922)=1),IF(원본명단!$K1922="",TRUE(),COUNTIF(원본명단!$K$3:$K1922,원본명단!$K1922)=1)),"첫 건","중복 건")))</f>
        <v/>
      </c>
      <c r="J1923" s="11" t="str">
        <f aca="false">IF($A1923="","",IF($H1923="-","유지",IF($I1923="첫 건","유지","확인 필요")))</f>
        <v/>
      </c>
    </row>
    <row r="1924" customFormat="false" ht="15" hidden="false" customHeight="true" outlineLevel="0" collapsed="false">
      <c r="A1924" s="11" t="str">
        <f aca="false">IF(원본명단!$A1923="","",1921)</f>
        <v/>
      </c>
      <c r="B1924" s="12" t="str">
        <f aca="false">IF($A1924="","",원본명단!$A1923)</f>
        <v/>
      </c>
      <c r="C1924" s="12" t="str">
        <f aca="false">IF($A1924="","",원본명단!$B1923)</f>
        <v/>
      </c>
      <c r="D1924" s="12" t="str">
        <f aca="false">IF($A1924="","",원본명단!$D1923)</f>
        <v/>
      </c>
      <c r="E1924" s="11" t="str">
        <f aca="false">IF($A1924="","",IF(원본명단!$H1923="",0,COUNTIF(원본명단!$H$3:$H$6002,원본명단!$H1923)))</f>
        <v/>
      </c>
      <c r="F1924" s="11" t="str">
        <f aca="false">IF($A1924="","",IF(원본명단!$I1923="",0,COUNTIF(원본명단!$I$3:$I$6002,원본명단!$I1923)))</f>
        <v/>
      </c>
      <c r="G1924" s="11" t="str">
        <f aca="false">IF($A1924="","",IF(원본명단!$K1923="",0,COUNTIF(원본명단!$K$3:$K$6002,원본명단!$K1923)))</f>
        <v/>
      </c>
      <c r="H1924" s="11" t="str">
        <f aca="false">IF($A1924="","",IF(MAX($E1924,$F1924,$G1924)&gt;1,"중복","-"))</f>
        <v/>
      </c>
      <c r="I1924" s="11" t="str">
        <f aca="false">IF($A1924="","",IF($H1924="-","-",IF(AND(IF(원본명단!$H1923="",TRUE(),COUNTIF(원본명단!$H$3:$H1923,원본명단!$H1923)=1),IF(원본명단!$I1923="",TRUE(),COUNTIF(원본명단!$I$3:$I1923,원본명단!$I1923)=1),IF(원본명단!$K1923="",TRUE(),COUNTIF(원본명단!$K$3:$K1923,원본명단!$K1923)=1)),"첫 건","중복 건")))</f>
        <v/>
      </c>
      <c r="J1924" s="11" t="str">
        <f aca="false">IF($A1924="","",IF($H1924="-","유지",IF($I1924="첫 건","유지","확인 필요")))</f>
        <v/>
      </c>
    </row>
    <row r="1925" customFormat="false" ht="15" hidden="false" customHeight="true" outlineLevel="0" collapsed="false">
      <c r="A1925" s="11" t="str">
        <f aca="false">IF(원본명단!$A1924="","",1922)</f>
        <v/>
      </c>
      <c r="B1925" s="12" t="str">
        <f aca="false">IF($A1925="","",원본명단!$A1924)</f>
        <v/>
      </c>
      <c r="C1925" s="12" t="str">
        <f aca="false">IF($A1925="","",원본명단!$B1924)</f>
        <v/>
      </c>
      <c r="D1925" s="12" t="str">
        <f aca="false">IF($A1925="","",원본명단!$D1924)</f>
        <v/>
      </c>
      <c r="E1925" s="11" t="str">
        <f aca="false">IF($A1925="","",IF(원본명단!$H1924="",0,COUNTIF(원본명단!$H$3:$H$6002,원본명단!$H1924)))</f>
        <v/>
      </c>
      <c r="F1925" s="11" t="str">
        <f aca="false">IF($A1925="","",IF(원본명단!$I1924="",0,COUNTIF(원본명단!$I$3:$I$6002,원본명단!$I1924)))</f>
        <v/>
      </c>
      <c r="G1925" s="11" t="str">
        <f aca="false">IF($A1925="","",IF(원본명단!$K1924="",0,COUNTIF(원본명단!$K$3:$K$6002,원본명단!$K1924)))</f>
        <v/>
      </c>
      <c r="H1925" s="11" t="str">
        <f aca="false">IF($A1925="","",IF(MAX($E1925,$F1925,$G1925)&gt;1,"중복","-"))</f>
        <v/>
      </c>
      <c r="I1925" s="11" t="str">
        <f aca="false">IF($A1925="","",IF($H1925="-","-",IF(AND(IF(원본명단!$H1924="",TRUE(),COUNTIF(원본명단!$H$3:$H1924,원본명단!$H1924)=1),IF(원본명단!$I1924="",TRUE(),COUNTIF(원본명단!$I$3:$I1924,원본명단!$I1924)=1),IF(원본명단!$K1924="",TRUE(),COUNTIF(원본명단!$K$3:$K1924,원본명단!$K1924)=1)),"첫 건","중복 건")))</f>
        <v/>
      </c>
      <c r="J1925" s="11" t="str">
        <f aca="false">IF($A1925="","",IF($H1925="-","유지",IF($I1925="첫 건","유지","확인 필요")))</f>
        <v/>
      </c>
    </row>
    <row r="1926" customFormat="false" ht="15" hidden="false" customHeight="true" outlineLevel="0" collapsed="false">
      <c r="A1926" s="11" t="str">
        <f aca="false">IF(원본명단!$A1925="","",1923)</f>
        <v/>
      </c>
      <c r="B1926" s="12" t="str">
        <f aca="false">IF($A1926="","",원본명단!$A1925)</f>
        <v/>
      </c>
      <c r="C1926" s="12" t="str">
        <f aca="false">IF($A1926="","",원본명단!$B1925)</f>
        <v/>
      </c>
      <c r="D1926" s="12" t="str">
        <f aca="false">IF($A1926="","",원본명단!$D1925)</f>
        <v/>
      </c>
      <c r="E1926" s="11" t="str">
        <f aca="false">IF($A1926="","",IF(원본명단!$H1925="",0,COUNTIF(원본명단!$H$3:$H$6002,원본명단!$H1925)))</f>
        <v/>
      </c>
      <c r="F1926" s="11" t="str">
        <f aca="false">IF($A1926="","",IF(원본명단!$I1925="",0,COUNTIF(원본명단!$I$3:$I$6002,원본명단!$I1925)))</f>
        <v/>
      </c>
      <c r="G1926" s="11" t="str">
        <f aca="false">IF($A1926="","",IF(원본명단!$K1925="",0,COUNTIF(원본명단!$K$3:$K$6002,원본명단!$K1925)))</f>
        <v/>
      </c>
      <c r="H1926" s="11" t="str">
        <f aca="false">IF($A1926="","",IF(MAX($E1926,$F1926,$G1926)&gt;1,"중복","-"))</f>
        <v/>
      </c>
      <c r="I1926" s="11" t="str">
        <f aca="false">IF($A1926="","",IF($H1926="-","-",IF(AND(IF(원본명단!$H1925="",TRUE(),COUNTIF(원본명단!$H$3:$H1925,원본명단!$H1925)=1),IF(원본명단!$I1925="",TRUE(),COUNTIF(원본명단!$I$3:$I1925,원본명단!$I1925)=1),IF(원본명단!$K1925="",TRUE(),COUNTIF(원본명단!$K$3:$K1925,원본명단!$K1925)=1)),"첫 건","중복 건")))</f>
        <v/>
      </c>
      <c r="J1926" s="11" t="str">
        <f aca="false">IF($A1926="","",IF($H1926="-","유지",IF($I1926="첫 건","유지","확인 필요")))</f>
        <v/>
      </c>
    </row>
    <row r="1927" customFormat="false" ht="15" hidden="false" customHeight="true" outlineLevel="0" collapsed="false">
      <c r="A1927" s="11" t="str">
        <f aca="false">IF(원본명단!$A1926="","",1924)</f>
        <v/>
      </c>
      <c r="B1927" s="12" t="str">
        <f aca="false">IF($A1927="","",원본명단!$A1926)</f>
        <v/>
      </c>
      <c r="C1927" s="12" t="str">
        <f aca="false">IF($A1927="","",원본명단!$B1926)</f>
        <v/>
      </c>
      <c r="D1927" s="12" t="str">
        <f aca="false">IF($A1927="","",원본명단!$D1926)</f>
        <v/>
      </c>
      <c r="E1927" s="11" t="str">
        <f aca="false">IF($A1927="","",IF(원본명단!$H1926="",0,COUNTIF(원본명단!$H$3:$H$6002,원본명단!$H1926)))</f>
        <v/>
      </c>
      <c r="F1927" s="11" t="str">
        <f aca="false">IF($A1927="","",IF(원본명단!$I1926="",0,COUNTIF(원본명단!$I$3:$I$6002,원본명단!$I1926)))</f>
        <v/>
      </c>
      <c r="G1927" s="11" t="str">
        <f aca="false">IF($A1927="","",IF(원본명단!$K1926="",0,COUNTIF(원본명단!$K$3:$K$6002,원본명단!$K1926)))</f>
        <v/>
      </c>
      <c r="H1927" s="11" t="str">
        <f aca="false">IF($A1927="","",IF(MAX($E1927,$F1927,$G1927)&gt;1,"중복","-"))</f>
        <v/>
      </c>
      <c r="I1927" s="11" t="str">
        <f aca="false">IF($A1927="","",IF($H1927="-","-",IF(AND(IF(원본명단!$H1926="",TRUE(),COUNTIF(원본명단!$H$3:$H1926,원본명단!$H1926)=1),IF(원본명단!$I1926="",TRUE(),COUNTIF(원본명단!$I$3:$I1926,원본명단!$I1926)=1),IF(원본명단!$K1926="",TRUE(),COUNTIF(원본명단!$K$3:$K1926,원본명단!$K1926)=1)),"첫 건","중복 건")))</f>
        <v/>
      </c>
      <c r="J1927" s="11" t="str">
        <f aca="false">IF($A1927="","",IF($H1927="-","유지",IF($I1927="첫 건","유지","확인 필요")))</f>
        <v/>
      </c>
    </row>
    <row r="1928" customFormat="false" ht="15" hidden="false" customHeight="true" outlineLevel="0" collapsed="false">
      <c r="A1928" s="11" t="str">
        <f aca="false">IF(원본명단!$A1927="","",1925)</f>
        <v/>
      </c>
      <c r="B1928" s="12" t="str">
        <f aca="false">IF($A1928="","",원본명단!$A1927)</f>
        <v/>
      </c>
      <c r="C1928" s="12" t="str">
        <f aca="false">IF($A1928="","",원본명단!$B1927)</f>
        <v/>
      </c>
      <c r="D1928" s="12" t="str">
        <f aca="false">IF($A1928="","",원본명단!$D1927)</f>
        <v/>
      </c>
      <c r="E1928" s="11" t="str">
        <f aca="false">IF($A1928="","",IF(원본명단!$H1927="",0,COUNTIF(원본명단!$H$3:$H$6002,원본명단!$H1927)))</f>
        <v/>
      </c>
      <c r="F1928" s="11" t="str">
        <f aca="false">IF($A1928="","",IF(원본명단!$I1927="",0,COUNTIF(원본명단!$I$3:$I$6002,원본명단!$I1927)))</f>
        <v/>
      </c>
      <c r="G1928" s="11" t="str">
        <f aca="false">IF($A1928="","",IF(원본명단!$K1927="",0,COUNTIF(원본명단!$K$3:$K$6002,원본명단!$K1927)))</f>
        <v/>
      </c>
      <c r="H1928" s="11" t="str">
        <f aca="false">IF($A1928="","",IF(MAX($E1928,$F1928,$G1928)&gt;1,"중복","-"))</f>
        <v/>
      </c>
      <c r="I1928" s="11" t="str">
        <f aca="false">IF($A1928="","",IF($H1928="-","-",IF(AND(IF(원본명단!$H1927="",TRUE(),COUNTIF(원본명단!$H$3:$H1927,원본명단!$H1927)=1),IF(원본명단!$I1927="",TRUE(),COUNTIF(원본명단!$I$3:$I1927,원본명단!$I1927)=1),IF(원본명단!$K1927="",TRUE(),COUNTIF(원본명단!$K$3:$K1927,원본명단!$K1927)=1)),"첫 건","중복 건")))</f>
        <v/>
      </c>
      <c r="J1928" s="11" t="str">
        <f aca="false">IF($A1928="","",IF($H1928="-","유지",IF($I1928="첫 건","유지","확인 필요")))</f>
        <v/>
      </c>
    </row>
    <row r="1929" customFormat="false" ht="15" hidden="false" customHeight="true" outlineLevel="0" collapsed="false">
      <c r="A1929" s="11" t="str">
        <f aca="false">IF(원본명단!$A1928="","",1926)</f>
        <v/>
      </c>
      <c r="B1929" s="12" t="str">
        <f aca="false">IF($A1929="","",원본명단!$A1928)</f>
        <v/>
      </c>
      <c r="C1929" s="12" t="str">
        <f aca="false">IF($A1929="","",원본명단!$B1928)</f>
        <v/>
      </c>
      <c r="D1929" s="12" t="str">
        <f aca="false">IF($A1929="","",원본명단!$D1928)</f>
        <v/>
      </c>
      <c r="E1929" s="11" t="str">
        <f aca="false">IF($A1929="","",IF(원본명단!$H1928="",0,COUNTIF(원본명단!$H$3:$H$6002,원본명단!$H1928)))</f>
        <v/>
      </c>
      <c r="F1929" s="11" t="str">
        <f aca="false">IF($A1929="","",IF(원본명단!$I1928="",0,COUNTIF(원본명단!$I$3:$I$6002,원본명단!$I1928)))</f>
        <v/>
      </c>
      <c r="G1929" s="11" t="str">
        <f aca="false">IF($A1929="","",IF(원본명단!$K1928="",0,COUNTIF(원본명단!$K$3:$K$6002,원본명단!$K1928)))</f>
        <v/>
      </c>
      <c r="H1929" s="11" t="str">
        <f aca="false">IF($A1929="","",IF(MAX($E1929,$F1929,$G1929)&gt;1,"중복","-"))</f>
        <v/>
      </c>
      <c r="I1929" s="11" t="str">
        <f aca="false">IF($A1929="","",IF($H1929="-","-",IF(AND(IF(원본명단!$H1928="",TRUE(),COUNTIF(원본명단!$H$3:$H1928,원본명단!$H1928)=1),IF(원본명단!$I1928="",TRUE(),COUNTIF(원본명단!$I$3:$I1928,원본명단!$I1928)=1),IF(원본명단!$K1928="",TRUE(),COUNTIF(원본명단!$K$3:$K1928,원본명단!$K1928)=1)),"첫 건","중복 건")))</f>
        <v/>
      </c>
      <c r="J1929" s="11" t="str">
        <f aca="false">IF($A1929="","",IF($H1929="-","유지",IF($I1929="첫 건","유지","확인 필요")))</f>
        <v/>
      </c>
    </row>
    <row r="1930" customFormat="false" ht="15" hidden="false" customHeight="true" outlineLevel="0" collapsed="false">
      <c r="A1930" s="11" t="str">
        <f aca="false">IF(원본명단!$A1929="","",1927)</f>
        <v/>
      </c>
      <c r="B1930" s="12" t="str">
        <f aca="false">IF($A1930="","",원본명단!$A1929)</f>
        <v/>
      </c>
      <c r="C1930" s="12" t="str">
        <f aca="false">IF($A1930="","",원본명단!$B1929)</f>
        <v/>
      </c>
      <c r="D1930" s="12" t="str">
        <f aca="false">IF($A1930="","",원본명단!$D1929)</f>
        <v/>
      </c>
      <c r="E1930" s="11" t="str">
        <f aca="false">IF($A1930="","",IF(원본명단!$H1929="",0,COUNTIF(원본명단!$H$3:$H$6002,원본명단!$H1929)))</f>
        <v/>
      </c>
      <c r="F1930" s="11" t="str">
        <f aca="false">IF($A1930="","",IF(원본명단!$I1929="",0,COUNTIF(원본명단!$I$3:$I$6002,원본명단!$I1929)))</f>
        <v/>
      </c>
      <c r="G1930" s="11" t="str">
        <f aca="false">IF($A1930="","",IF(원본명단!$K1929="",0,COUNTIF(원본명단!$K$3:$K$6002,원본명단!$K1929)))</f>
        <v/>
      </c>
      <c r="H1930" s="11" t="str">
        <f aca="false">IF($A1930="","",IF(MAX($E1930,$F1930,$G1930)&gt;1,"중복","-"))</f>
        <v/>
      </c>
      <c r="I1930" s="11" t="str">
        <f aca="false">IF($A1930="","",IF($H1930="-","-",IF(AND(IF(원본명단!$H1929="",TRUE(),COUNTIF(원본명단!$H$3:$H1929,원본명단!$H1929)=1),IF(원본명단!$I1929="",TRUE(),COUNTIF(원본명단!$I$3:$I1929,원본명단!$I1929)=1),IF(원본명단!$K1929="",TRUE(),COUNTIF(원본명단!$K$3:$K1929,원본명단!$K1929)=1)),"첫 건","중복 건")))</f>
        <v/>
      </c>
      <c r="J1930" s="11" t="str">
        <f aca="false">IF($A1930="","",IF($H1930="-","유지",IF($I1930="첫 건","유지","확인 필요")))</f>
        <v/>
      </c>
    </row>
    <row r="1931" customFormat="false" ht="15" hidden="false" customHeight="true" outlineLevel="0" collapsed="false">
      <c r="A1931" s="11" t="str">
        <f aca="false">IF(원본명단!$A1930="","",1928)</f>
        <v/>
      </c>
      <c r="B1931" s="12" t="str">
        <f aca="false">IF($A1931="","",원본명단!$A1930)</f>
        <v/>
      </c>
      <c r="C1931" s="12" t="str">
        <f aca="false">IF($A1931="","",원본명단!$B1930)</f>
        <v/>
      </c>
      <c r="D1931" s="12" t="str">
        <f aca="false">IF($A1931="","",원본명단!$D1930)</f>
        <v/>
      </c>
      <c r="E1931" s="11" t="str">
        <f aca="false">IF($A1931="","",IF(원본명단!$H1930="",0,COUNTIF(원본명단!$H$3:$H$6002,원본명단!$H1930)))</f>
        <v/>
      </c>
      <c r="F1931" s="11" t="str">
        <f aca="false">IF($A1931="","",IF(원본명단!$I1930="",0,COUNTIF(원본명단!$I$3:$I$6002,원본명단!$I1930)))</f>
        <v/>
      </c>
      <c r="G1931" s="11" t="str">
        <f aca="false">IF($A1931="","",IF(원본명단!$K1930="",0,COUNTIF(원본명단!$K$3:$K$6002,원본명단!$K1930)))</f>
        <v/>
      </c>
      <c r="H1931" s="11" t="str">
        <f aca="false">IF($A1931="","",IF(MAX($E1931,$F1931,$G1931)&gt;1,"중복","-"))</f>
        <v/>
      </c>
      <c r="I1931" s="11" t="str">
        <f aca="false">IF($A1931="","",IF($H1931="-","-",IF(AND(IF(원본명단!$H1930="",TRUE(),COUNTIF(원본명단!$H$3:$H1930,원본명단!$H1930)=1),IF(원본명단!$I1930="",TRUE(),COUNTIF(원본명단!$I$3:$I1930,원본명단!$I1930)=1),IF(원본명단!$K1930="",TRUE(),COUNTIF(원본명단!$K$3:$K1930,원본명단!$K1930)=1)),"첫 건","중복 건")))</f>
        <v/>
      </c>
      <c r="J1931" s="11" t="str">
        <f aca="false">IF($A1931="","",IF($H1931="-","유지",IF($I1931="첫 건","유지","확인 필요")))</f>
        <v/>
      </c>
    </row>
    <row r="1932" customFormat="false" ht="15" hidden="false" customHeight="true" outlineLevel="0" collapsed="false">
      <c r="A1932" s="11" t="str">
        <f aca="false">IF(원본명단!$A1931="","",1929)</f>
        <v/>
      </c>
      <c r="B1932" s="12" t="str">
        <f aca="false">IF($A1932="","",원본명단!$A1931)</f>
        <v/>
      </c>
      <c r="C1932" s="12" t="str">
        <f aca="false">IF($A1932="","",원본명단!$B1931)</f>
        <v/>
      </c>
      <c r="D1932" s="12" t="str">
        <f aca="false">IF($A1932="","",원본명단!$D1931)</f>
        <v/>
      </c>
      <c r="E1932" s="11" t="str">
        <f aca="false">IF($A1932="","",IF(원본명단!$H1931="",0,COUNTIF(원본명단!$H$3:$H$6002,원본명단!$H1931)))</f>
        <v/>
      </c>
      <c r="F1932" s="11" t="str">
        <f aca="false">IF($A1932="","",IF(원본명단!$I1931="",0,COUNTIF(원본명단!$I$3:$I$6002,원본명단!$I1931)))</f>
        <v/>
      </c>
      <c r="G1932" s="11" t="str">
        <f aca="false">IF($A1932="","",IF(원본명단!$K1931="",0,COUNTIF(원본명단!$K$3:$K$6002,원본명단!$K1931)))</f>
        <v/>
      </c>
      <c r="H1932" s="11" t="str">
        <f aca="false">IF($A1932="","",IF(MAX($E1932,$F1932,$G1932)&gt;1,"중복","-"))</f>
        <v/>
      </c>
      <c r="I1932" s="11" t="str">
        <f aca="false">IF($A1932="","",IF($H1932="-","-",IF(AND(IF(원본명단!$H1931="",TRUE(),COUNTIF(원본명단!$H$3:$H1931,원본명단!$H1931)=1),IF(원본명단!$I1931="",TRUE(),COUNTIF(원본명단!$I$3:$I1931,원본명단!$I1931)=1),IF(원본명단!$K1931="",TRUE(),COUNTIF(원본명단!$K$3:$K1931,원본명단!$K1931)=1)),"첫 건","중복 건")))</f>
        <v/>
      </c>
      <c r="J1932" s="11" t="str">
        <f aca="false">IF($A1932="","",IF($H1932="-","유지",IF($I1932="첫 건","유지","확인 필요")))</f>
        <v/>
      </c>
    </row>
    <row r="1933" customFormat="false" ht="15" hidden="false" customHeight="true" outlineLevel="0" collapsed="false">
      <c r="A1933" s="11" t="str">
        <f aca="false">IF(원본명단!$A1932="","",1930)</f>
        <v/>
      </c>
      <c r="B1933" s="12" t="str">
        <f aca="false">IF($A1933="","",원본명단!$A1932)</f>
        <v/>
      </c>
      <c r="C1933" s="12" t="str">
        <f aca="false">IF($A1933="","",원본명단!$B1932)</f>
        <v/>
      </c>
      <c r="D1933" s="12" t="str">
        <f aca="false">IF($A1933="","",원본명단!$D1932)</f>
        <v/>
      </c>
      <c r="E1933" s="11" t="str">
        <f aca="false">IF($A1933="","",IF(원본명단!$H1932="",0,COUNTIF(원본명단!$H$3:$H$6002,원본명단!$H1932)))</f>
        <v/>
      </c>
      <c r="F1933" s="11" t="str">
        <f aca="false">IF($A1933="","",IF(원본명단!$I1932="",0,COUNTIF(원본명단!$I$3:$I$6002,원본명단!$I1932)))</f>
        <v/>
      </c>
      <c r="G1933" s="11" t="str">
        <f aca="false">IF($A1933="","",IF(원본명단!$K1932="",0,COUNTIF(원본명단!$K$3:$K$6002,원본명단!$K1932)))</f>
        <v/>
      </c>
      <c r="H1933" s="11" t="str">
        <f aca="false">IF($A1933="","",IF(MAX($E1933,$F1933,$G1933)&gt;1,"중복","-"))</f>
        <v/>
      </c>
      <c r="I1933" s="11" t="str">
        <f aca="false">IF($A1933="","",IF($H1933="-","-",IF(AND(IF(원본명단!$H1932="",TRUE(),COUNTIF(원본명단!$H$3:$H1932,원본명단!$H1932)=1),IF(원본명단!$I1932="",TRUE(),COUNTIF(원본명단!$I$3:$I1932,원본명단!$I1932)=1),IF(원본명단!$K1932="",TRUE(),COUNTIF(원본명단!$K$3:$K1932,원본명단!$K1932)=1)),"첫 건","중복 건")))</f>
        <v/>
      </c>
      <c r="J1933" s="11" t="str">
        <f aca="false">IF($A1933="","",IF($H1933="-","유지",IF($I1933="첫 건","유지","확인 필요")))</f>
        <v/>
      </c>
    </row>
    <row r="1934" customFormat="false" ht="15" hidden="false" customHeight="true" outlineLevel="0" collapsed="false">
      <c r="A1934" s="11" t="str">
        <f aca="false">IF(원본명단!$A1933="","",1931)</f>
        <v/>
      </c>
      <c r="B1934" s="12" t="str">
        <f aca="false">IF($A1934="","",원본명단!$A1933)</f>
        <v/>
      </c>
      <c r="C1934" s="12" t="str">
        <f aca="false">IF($A1934="","",원본명단!$B1933)</f>
        <v/>
      </c>
      <c r="D1934" s="12" t="str">
        <f aca="false">IF($A1934="","",원본명단!$D1933)</f>
        <v/>
      </c>
      <c r="E1934" s="11" t="str">
        <f aca="false">IF($A1934="","",IF(원본명단!$H1933="",0,COUNTIF(원본명단!$H$3:$H$6002,원본명단!$H1933)))</f>
        <v/>
      </c>
      <c r="F1934" s="11" t="str">
        <f aca="false">IF($A1934="","",IF(원본명단!$I1933="",0,COUNTIF(원본명단!$I$3:$I$6002,원본명단!$I1933)))</f>
        <v/>
      </c>
      <c r="G1934" s="11" t="str">
        <f aca="false">IF($A1934="","",IF(원본명단!$K1933="",0,COUNTIF(원본명단!$K$3:$K$6002,원본명단!$K1933)))</f>
        <v/>
      </c>
      <c r="H1934" s="11" t="str">
        <f aca="false">IF($A1934="","",IF(MAX($E1934,$F1934,$G1934)&gt;1,"중복","-"))</f>
        <v/>
      </c>
      <c r="I1934" s="11" t="str">
        <f aca="false">IF($A1934="","",IF($H1934="-","-",IF(AND(IF(원본명단!$H1933="",TRUE(),COUNTIF(원본명단!$H$3:$H1933,원본명단!$H1933)=1),IF(원본명단!$I1933="",TRUE(),COUNTIF(원본명단!$I$3:$I1933,원본명단!$I1933)=1),IF(원본명단!$K1933="",TRUE(),COUNTIF(원본명단!$K$3:$K1933,원본명단!$K1933)=1)),"첫 건","중복 건")))</f>
        <v/>
      </c>
      <c r="J1934" s="11" t="str">
        <f aca="false">IF($A1934="","",IF($H1934="-","유지",IF($I1934="첫 건","유지","확인 필요")))</f>
        <v/>
      </c>
    </row>
    <row r="1935" customFormat="false" ht="15" hidden="false" customHeight="true" outlineLevel="0" collapsed="false">
      <c r="A1935" s="11" t="str">
        <f aca="false">IF(원본명단!$A1934="","",1932)</f>
        <v/>
      </c>
      <c r="B1935" s="12" t="str">
        <f aca="false">IF($A1935="","",원본명단!$A1934)</f>
        <v/>
      </c>
      <c r="C1935" s="12" t="str">
        <f aca="false">IF($A1935="","",원본명단!$B1934)</f>
        <v/>
      </c>
      <c r="D1935" s="12" t="str">
        <f aca="false">IF($A1935="","",원본명단!$D1934)</f>
        <v/>
      </c>
      <c r="E1935" s="11" t="str">
        <f aca="false">IF($A1935="","",IF(원본명단!$H1934="",0,COUNTIF(원본명단!$H$3:$H$6002,원본명단!$H1934)))</f>
        <v/>
      </c>
      <c r="F1935" s="11" t="str">
        <f aca="false">IF($A1935="","",IF(원본명단!$I1934="",0,COUNTIF(원본명단!$I$3:$I$6002,원본명단!$I1934)))</f>
        <v/>
      </c>
      <c r="G1935" s="11" t="str">
        <f aca="false">IF($A1935="","",IF(원본명단!$K1934="",0,COUNTIF(원본명단!$K$3:$K$6002,원본명단!$K1934)))</f>
        <v/>
      </c>
      <c r="H1935" s="11" t="str">
        <f aca="false">IF($A1935="","",IF(MAX($E1935,$F1935,$G1935)&gt;1,"중복","-"))</f>
        <v/>
      </c>
      <c r="I1935" s="11" t="str">
        <f aca="false">IF($A1935="","",IF($H1935="-","-",IF(AND(IF(원본명단!$H1934="",TRUE(),COUNTIF(원본명단!$H$3:$H1934,원본명단!$H1934)=1),IF(원본명단!$I1934="",TRUE(),COUNTIF(원본명단!$I$3:$I1934,원본명단!$I1934)=1),IF(원본명단!$K1934="",TRUE(),COUNTIF(원본명단!$K$3:$K1934,원본명단!$K1934)=1)),"첫 건","중복 건")))</f>
        <v/>
      </c>
      <c r="J1935" s="11" t="str">
        <f aca="false">IF($A1935="","",IF($H1935="-","유지",IF($I1935="첫 건","유지","확인 필요")))</f>
        <v/>
      </c>
    </row>
    <row r="1936" customFormat="false" ht="15" hidden="false" customHeight="true" outlineLevel="0" collapsed="false">
      <c r="A1936" s="11" t="str">
        <f aca="false">IF(원본명단!$A1935="","",1933)</f>
        <v/>
      </c>
      <c r="B1936" s="12" t="str">
        <f aca="false">IF($A1936="","",원본명단!$A1935)</f>
        <v/>
      </c>
      <c r="C1936" s="12" t="str">
        <f aca="false">IF($A1936="","",원본명단!$B1935)</f>
        <v/>
      </c>
      <c r="D1936" s="12" t="str">
        <f aca="false">IF($A1936="","",원본명단!$D1935)</f>
        <v/>
      </c>
      <c r="E1936" s="11" t="str">
        <f aca="false">IF($A1936="","",IF(원본명단!$H1935="",0,COUNTIF(원본명단!$H$3:$H$6002,원본명단!$H1935)))</f>
        <v/>
      </c>
      <c r="F1936" s="11" t="str">
        <f aca="false">IF($A1936="","",IF(원본명단!$I1935="",0,COUNTIF(원본명단!$I$3:$I$6002,원본명단!$I1935)))</f>
        <v/>
      </c>
      <c r="G1936" s="11" t="str">
        <f aca="false">IF($A1936="","",IF(원본명단!$K1935="",0,COUNTIF(원본명단!$K$3:$K$6002,원본명단!$K1935)))</f>
        <v/>
      </c>
      <c r="H1936" s="11" t="str">
        <f aca="false">IF($A1936="","",IF(MAX($E1936,$F1936,$G1936)&gt;1,"중복","-"))</f>
        <v/>
      </c>
      <c r="I1936" s="11" t="str">
        <f aca="false">IF($A1936="","",IF($H1936="-","-",IF(AND(IF(원본명단!$H1935="",TRUE(),COUNTIF(원본명단!$H$3:$H1935,원본명단!$H1935)=1),IF(원본명단!$I1935="",TRUE(),COUNTIF(원본명단!$I$3:$I1935,원본명단!$I1935)=1),IF(원본명단!$K1935="",TRUE(),COUNTIF(원본명단!$K$3:$K1935,원본명단!$K1935)=1)),"첫 건","중복 건")))</f>
        <v/>
      </c>
      <c r="J1936" s="11" t="str">
        <f aca="false">IF($A1936="","",IF($H1936="-","유지",IF($I1936="첫 건","유지","확인 필요")))</f>
        <v/>
      </c>
    </row>
    <row r="1937" customFormat="false" ht="15" hidden="false" customHeight="true" outlineLevel="0" collapsed="false">
      <c r="A1937" s="11" t="str">
        <f aca="false">IF(원본명단!$A1936="","",1934)</f>
        <v/>
      </c>
      <c r="B1937" s="12" t="str">
        <f aca="false">IF($A1937="","",원본명단!$A1936)</f>
        <v/>
      </c>
      <c r="C1937" s="12" t="str">
        <f aca="false">IF($A1937="","",원본명단!$B1936)</f>
        <v/>
      </c>
      <c r="D1937" s="12" t="str">
        <f aca="false">IF($A1937="","",원본명단!$D1936)</f>
        <v/>
      </c>
      <c r="E1937" s="11" t="str">
        <f aca="false">IF($A1937="","",IF(원본명단!$H1936="",0,COUNTIF(원본명단!$H$3:$H$6002,원본명단!$H1936)))</f>
        <v/>
      </c>
      <c r="F1937" s="11" t="str">
        <f aca="false">IF($A1937="","",IF(원본명단!$I1936="",0,COUNTIF(원본명단!$I$3:$I$6002,원본명단!$I1936)))</f>
        <v/>
      </c>
      <c r="G1937" s="11" t="str">
        <f aca="false">IF($A1937="","",IF(원본명단!$K1936="",0,COUNTIF(원본명단!$K$3:$K$6002,원본명단!$K1936)))</f>
        <v/>
      </c>
      <c r="H1937" s="11" t="str">
        <f aca="false">IF($A1937="","",IF(MAX($E1937,$F1937,$G1937)&gt;1,"중복","-"))</f>
        <v/>
      </c>
      <c r="I1937" s="11" t="str">
        <f aca="false">IF($A1937="","",IF($H1937="-","-",IF(AND(IF(원본명단!$H1936="",TRUE(),COUNTIF(원본명단!$H$3:$H1936,원본명단!$H1936)=1),IF(원본명단!$I1936="",TRUE(),COUNTIF(원본명단!$I$3:$I1936,원본명단!$I1936)=1),IF(원본명단!$K1936="",TRUE(),COUNTIF(원본명단!$K$3:$K1936,원본명단!$K1936)=1)),"첫 건","중복 건")))</f>
        <v/>
      </c>
      <c r="J1937" s="11" t="str">
        <f aca="false">IF($A1937="","",IF($H1937="-","유지",IF($I1937="첫 건","유지","확인 필요")))</f>
        <v/>
      </c>
    </row>
    <row r="1938" customFormat="false" ht="15" hidden="false" customHeight="true" outlineLevel="0" collapsed="false">
      <c r="A1938" s="11" t="str">
        <f aca="false">IF(원본명단!$A1937="","",1935)</f>
        <v/>
      </c>
      <c r="B1938" s="12" t="str">
        <f aca="false">IF($A1938="","",원본명단!$A1937)</f>
        <v/>
      </c>
      <c r="C1938" s="12" t="str">
        <f aca="false">IF($A1938="","",원본명단!$B1937)</f>
        <v/>
      </c>
      <c r="D1938" s="12" t="str">
        <f aca="false">IF($A1938="","",원본명단!$D1937)</f>
        <v/>
      </c>
      <c r="E1938" s="11" t="str">
        <f aca="false">IF($A1938="","",IF(원본명단!$H1937="",0,COUNTIF(원본명단!$H$3:$H$6002,원본명단!$H1937)))</f>
        <v/>
      </c>
      <c r="F1938" s="11" t="str">
        <f aca="false">IF($A1938="","",IF(원본명단!$I1937="",0,COUNTIF(원본명단!$I$3:$I$6002,원본명단!$I1937)))</f>
        <v/>
      </c>
      <c r="G1938" s="11" t="str">
        <f aca="false">IF($A1938="","",IF(원본명단!$K1937="",0,COUNTIF(원본명단!$K$3:$K$6002,원본명단!$K1937)))</f>
        <v/>
      </c>
      <c r="H1938" s="11" t="str">
        <f aca="false">IF($A1938="","",IF(MAX($E1938,$F1938,$G1938)&gt;1,"중복","-"))</f>
        <v/>
      </c>
      <c r="I1938" s="11" t="str">
        <f aca="false">IF($A1938="","",IF($H1938="-","-",IF(AND(IF(원본명단!$H1937="",TRUE(),COUNTIF(원본명단!$H$3:$H1937,원본명단!$H1937)=1),IF(원본명단!$I1937="",TRUE(),COUNTIF(원본명단!$I$3:$I1937,원본명단!$I1937)=1),IF(원본명단!$K1937="",TRUE(),COUNTIF(원본명단!$K$3:$K1937,원본명단!$K1937)=1)),"첫 건","중복 건")))</f>
        <v/>
      </c>
      <c r="J1938" s="11" t="str">
        <f aca="false">IF($A1938="","",IF($H1938="-","유지",IF($I1938="첫 건","유지","확인 필요")))</f>
        <v/>
      </c>
    </row>
    <row r="1939" customFormat="false" ht="15" hidden="false" customHeight="true" outlineLevel="0" collapsed="false">
      <c r="A1939" s="11" t="str">
        <f aca="false">IF(원본명단!$A1938="","",1936)</f>
        <v/>
      </c>
      <c r="B1939" s="12" t="str">
        <f aca="false">IF($A1939="","",원본명단!$A1938)</f>
        <v/>
      </c>
      <c r="C1939" s="12" t="str">
        <f aca="false">IF($A1939="","",원본명단!$B1938)</f>
        <v/>
      </c>
      <c r="D1939" s="12" t="str">
        <f aca="false">IF($A1939="","",원본명단!$D1938)</f>
        <v/>
      </c>
      <c r="E1939" s="11" t="str">
        <f aca="false">IF($A1939="","",IF(원본명단!$H1938="",0,COUNTIF(원본명단!$H$3:$H$6002,원본명단!$H1938)))</f>
        <v/>
      </c>
      <c r="F1939" s="11" t="str">
        <f aca="false">IF($A1939="","",IF(원본명단!$I1938="",0,COUNTIF(원본명단!$I$3:$I$6002,원본명단!$I1938)))</f>
        <v/>
      </c>
      <c r="G1939" s="11" t="str">
        <f aca="false">IF($A1939="","",IF(원본명단!$K1938="",0,COUNTIF(원본명단!$K$3:$K$6002,원본명단!$K1938)))</f>
        <v/>
      </c>
      <c r="H1939" s="11" t="str">
        <f aca="false">IF($A1939="","",IF(MAX($E1939,$F1939,$G1939)&gt;1,"중복","-"))</f>
        <v/>
      </c>
      <c r="I1939" s="11" t="str">
        <f aca="false">IF($A1939="","",IF($H1939="-","-",IF(AND(IF(원본명단!$H1938="",TRUE(),COUNTIF(원본명단!$H$3:$H1938,원본명단!$H1938)=1),IF(원본명단!$I1938="",TRUE(),COUNTIF(원본명단!$I$3:$I1938,원본명단!$I1938)=1),IF(원본명단!$K1938="",TRUE(),COUNTIF(원본명단!$K$3:$K1938,원본명단!$K1938)=1)),"첫 건","중복 건")))</f>
        <v/>
      </c>
      <c r="J1939" s="11" t="str">
        <f aca="false">IF($A1939="","",IF($H1939="-","유지",IF($I1939="첫 건","유지","확인 필요")))</f>
        <v/>
      </c>
    </row>
    <row r="1940" customFormat="false" ht="15" hidden="false" customHeight="true" outlineLevel="0" collapsed="false">
      <c r="A1940" s="11" t="str">
        <f aca="false">IF(원본명단!$A1939="","",1937)</f>
        <v/>
      </c>
      <c r="B1940" s="12" t="str">
        <f aca="false">IF($A1940="","",원본명단!$A1939)</f>
        <v/>
      </c>
      <c r="C1940" s="12" t="str">
        <f aca="false">IF($A1940="","",원본명단!$B1939)</f>
        <v/>
      </c>
      <c r="D1940" s="12" t="str">
        <f aca="false">IF($A1940="","",원본명단!$D1939)</f>
        <v/>
      </c>
      <c r="E1940" s="11" t="str">
        <f aca="false">IF($A1940="","",IF(원본명단!$H1939="",0,COUNTIF(원본명단!$H$3:$H$6002,원본명단!$H1939)))</f>
        <v/>
      </c>
      <c r="F1940" s="11" t="str">
        <f aca="false">IF($A1940="","",IF(원본명단!$I1939="",0,COUNTIF(원본명단!$I$3:$I$6002,원본명단!$I1939)))</f>
        <v/>
      </c>
      <c r="G1940" s="11" t="str">
        <f aca="false">IF($A1940="","",IF(원본명단!$K1939="",0,COUNTIF(원본명단!$K$3:$K$6002,원본명단!$K1939)))</f>
        <v/>
      </c>
      <c r="H1940" s="11" t="str">
        <f aca="false">IF($A1940="","",IF(MAX($E1940,$F1940,$G1940)&gt;1,"중복","-"))</f>
        <v/>
      </c>
      <c r="I1940" s="11" t="str">
        <f aca="false">IF($A1940="","",IF($H1940="-","-",IF(AND(IF(원본명단!$H1939="",TRUE(),COUNTIF(원본명단!$H$3:$H1939,원본명단!$H1939)=1),IF(원본명단!$I1939="",TRUE(),COUNTIF(원본명단!$I$3:$I1939,원본명단!$I1939)=1),IF(원본명단!$K1939="",TRUE(),COUNTIF(원본명단!$K$3:$K1939,원본명단!$K1939)=1)),"첫 건","중복 건")))</f>
        <v/>
      </c>
      <c r="J1940" s="11" t="str">
        <f aca="false">IF($A1940="","",IF($H1940="-","유지",IF($I1940="첫 건","유지","확인 필요")))</f>
        <v/>
      </c>
    </row>
    <row r="1941" customFormat="false" ht="15" hidden="false" customHeight="true" outlineLevel="0" collapsed="false">
      <c r="A1941" s="11" t="str">
        <f aca="false">IF(원본명단!$A1940="","",1938)</f>
        <v/>
      </c>
      <c r="B1941" s="12" t="str">
        <f aca="false">IF($A1941="","",원본명단!$A1940)</f>
        <v/>
      </c>
      <c r="C1941" s="12" t="str">
        <f aca="false">IF($A1941="","",원본명단!$B1940)</f>
        <v/>
      </c>
      <c r="D1941" s="12" t="str">
        <f aca="false">IF($A1941="","",원본명단!$D1940)</f>
        <v/>
      </c>
      <c r="E1941" s="11" t="str">
        <f aca="false">IF($A1941="","",IF(원본명단!$H1940="",0,COUNTIF(원본명단!$H$3:$H$6002,원본명단!$H1940)))</f>
        <v/>
      </c>
      <c r="F1941" s="11" t="str">
        <f aca="false">IF($A1941="","",IF(원본명단!$I1940="",0,COUNTIF(원본명단!$I$3:$I$6002,원본명단!$I1940)))</f>
        <v/>
      </c>
      <c r="G1941" s="11" t="str">
        <f aca="false">IF($A1941="","",IF(원본명단!$K1940="",0,COUNTIF(원본명단!$K$3:$K$6002,원본명단!$K1940)))</f>
        <v/>
      </c>
      <c r="H1941" s="11" t="str">
        <f aca="false">IF($A1941="","",IF(MAX($E1941,$F1941,$G1941)&gt;1,"중복","-"))</f>
        <v/>
      </c>
      <c r="I1941" s="11" t="str">
        <f aca="false">IF($A1941="","",IF($H1941="-","-",IF(AND(IF(원본명단!$H1940="",TRUE(),COUNTIF(원본명단!$H$3:$H1940,원본명단!$H1940)=1),IF(원본명단!$I1940="",TRUE(),COUNTIF(원본명단!$I$3:$I1940,원본명단!$I1940)=1),IF(원본명단!$K1940="",TRUE(),COUNTIF(원본명단!$K$3:$K1940,원본명단!$K1940)=1)),"첫 건","중복 건")))</f>
        <v/>
      </c>
      <c r="J1941" s="11" t="str">
        <f aca="false">IF($A1941="","",IF($H1941="-","유지",IF($I1941="첫 건","유지","확인 필요")))</f>
        <v/>
      </c>
    </row>
    <row r="1942" customFormat="false" ht="15" hidden="false" customHeight="true" outlineLevel="0" collapsed="false">
      <c r="A1942" s="11" t="str">
        <f aca="false">IF(원본명단!$A1941="","",1939)</f>
        <v/>
      </c>
      <c r="B1942" s="12" t="str">
        <f aca="false">IF($A1942="","",원본명단!$A1941)</f>
        <v/>
      </c>
      <c r="C1942" s="12" t="str">
        <f aca="false">IF($A1942="","",원본명단!$B1941)</f>
        <v/>
      </c>
      <c r="D1942" s="12" t="str">
        <f aca="false">IF($A1942="","",원본명단!$D1941)</f>
        <v/>
      </c>
      <c r="E1942" s="11" t="str">
        <f aca="false">IF($A1942="","",IF(원본명단!$H1941="",0,COUNTIF(원본명단!$H$3:$H$6002,원본명단!$H1941)))</f>
        <v/>
      </c>
      <c r="F1942" s="11" t="str">
        <f aca="false">IF($A1942="","",IF(원본명단!$I1941="",0,COUNTIF(원본명단!$I$3:$I$6002,원본명단!$I1941)))</f>
        <v/>
      </c>
      <c r="G1942" s="11" t="str">
        <f aca="false">IF($A1942="","",IF(원본명단!$K1941="",0,COUNTIF(원본명단!$K$3:$K$6002,원본명단!$K1941)))</f>
        <v/>
      </c>
      <c r="H1942" s="11" t="str">
        <f aca="false">IF($A1942="","",IF(MAX($E1942,$F1942,$G1942)&gt;1,"중복","-"))</f>
        <v/>
      </c>
      <c r="I1942" s="11" t="str">
        <f aca="false">IF($A1942="","",IF($H1942="-","-",IF(AND(IF(원본명단!$H1941="",TRUE(),COUNTIF(원본명단!$H$3:$H1941,원본명단!$H1941)=1),IF(원본명단!$I1941="",TRUE(),COUNTIF(원본명단!$I$3:$I1941,원본명단!$I1941)=1),IF(원본명단!$K1941="",TRUE(),COUNTIF(원본명단!$K$3:$K1941,원본명단!$K1941)=1)),"첫 건","중복 건")))</f>
        <v/>
      </c>
      <c r="J1942" s="11" t="str">
        <f aca="false">IF($A1942="","",IF($H1942="-","유지",IF($I1942="첫 건","유지","확인 필요")))</f>
        <v/>
      </c>
    </row>
    <row r="1943" customFormat="false" ht="15" hidden="false" customHeight="true" outlineLevel="0" collapsed="false">
      <c r="A1943" s="11" t="str">
        <f aca="false">IF(원본명단!$A1942="","",1940)</f>
        <v/>
      </c>
      <c r="B1943" s="12" t="str">
        <f aca="false">IF($A1943="","",원본명단!$A1942)</f>
        <v/>
      </c>
      <c r="C1943" s="12" t="str">
        <f aca="false">IF($A1943="","",원본명단!$B1942)</f>
        <v/>
      </c>
      <c r="D1943" s="12" t="str">
        <f aca="false">IF($A1943="","",원본명단!$D1942)</f>
        <v/>
      </c>
      <c r="E1943" s="11" t="str">
        <f aca="false">IF($A1943="","",IF(원본명단!$H1942="",0,COUNTIF(원본명단!$H$3:$H$6002,원본명단!$H1942)))</f>
        <v/>
      </c>
      <c r="F1943" s="11" t="str">
        <f aca="false">IF($A1943="","",IF(원본명단!$I1942="",0,COUNTIF(원본명단!$I$3:$I$6002,원본명단!$I1942)))</f>
        <v/>
      </c>
      <c r="G1943" s="11" t="str">
        <f aca="false">IF($A1943="","",IF(원본명단!$K1942="",0,COUNTIF(원본명단!$K$3:$K$6002,원본명단!$K1942)))</f>
        <v/>
      </c>
      <c r="H1943" s="11" t="str">
        <f aca="false">IF($A1943="","",IF(MAX($E1943,$F1943,$G1943)&gt;1,"중복","-"))</f>
        <v/>
      </c>
      <c r="I1943" s="11" t="str">
        <f aca="false">IF($A1943="","",IF($H1943="-","-",IF(AND(IF(원본명단!$H1942="",TRUE(),COUNTIF(원본명단!$H$3:$H1942,원본명단!$H1942)=1),IF(원본명단!$I1942="",TRUE(),COUNTIF(원본명단!$I$3:$I1942,원본명단!$I1942)=1),IF(원본명단!$K1942="",TRUE(),COUNTIF(원본명단!$K$3:$K1942,원본명단!$K1942)=1)),"첫 건","중복 건")))</f>
        <v/>
      </c>
      <c r="J1943" s="11" t="str">
        <f aca="false">IF($A1943="","",IF($H1943="-","유지",IF($I1943="첫 건","유지","확인 필요")))</f>
        <v/>
      </c>
    </row>
    <row r="1944" customFormat="false" ht="15" hidden="false" customHeight="true" outlineLevel="0" collapsed="false">
      <c r="A1944" s="11" t="str">
        <f aca="false">IF(원본명단!$A1943="","",1941)</f>
        <v/>
      </c>
      <c r="B1944" s="12" t="str">
        <f aca="false">IF($A1944="","",원본명단!$A1943)</f>
        <v/>
      </c>
      <c r="C1944" s="12" t="str">
        <f aca="false">IF($A1944="","",원본명단!$B1943)</f>
        <v/>
      </c>
      <c r="D1944" s="12" t="str">
        <f aca="false">IF($A1944="","",원본명단!$D1943)</f>
        <v/>
      </c>
      <c r="E1944" s="11" t="str">
        <f aca="false">IF($A1944="","",IF(원본명단!$H1943="",0,COUNTIF(원본명단!$H$3:$H$6002,원본명단!$H1943)))</f>
        <v/>
      </c>
      <c r="F1944" s="11" t="str">
        <f aca="false">IF($A1944="","",IF(원본명단!$I1943="",0,COUNTIF(원본명단!$I$3:$I$6002,원본명단!$I1943)))</f>
        <v/>
      </c>
      <c r="G1944" s="11" t="str">
        <f aca="false">IF($A1944="","",IF(원본명단!$K1943="",0,COUNTIF(원본명단!$K$3:$K$6002,원본명단!$K1943)))</f>
        <v/>
      </c>
      <c r="H1944" s="11" t="str">
        <f aca="false">IF($A1944="","",IF(MAX($E1944,$F1944,$G1944)&gt;1,"중복","-"))</f>
        <v/>
      </c>
      <c r="I1944" s="11" t="str">
        <f aca="false">IF($A1944="","",IF($H1944="-","-",IF(AND(IF(원본명단!$H1943="",TRUE(),COUNTIF(원본명단!$H$3:$H1943,원본명단!$H1943)=1),IF(원본명단!$I1943="",TRUE(),COUNTIF(원본명단!$I$3:$I1943,원본명단!$I1943)=1),IF(원본명단!$K1943="",TRUE(),COUNTIF(원본명단!$K$3:$K1943,원본명단!$K1943)=1)),"첫 건","중복 건")))</f>
        <v/>
      </c>
      <c r="J1944" s="11" t="str">
        <f aca="false">IF($A1944="","",IF($H1944="-","유지",IF($I1944="첫 건","유지","확인 필요")))</f>
        <v/>
      </c>
    </row>
    <row r="1945" customFormat="false" ht="15" hidden="false" customHeight="true" outlineLevel="0" collapsed="false">
      <c r="A1945" s="11" t="str">
        <f aca="false">IF(원본명단!$A1944="","",1942)</f>
        <v/>
      </c>
      <c r="B1945" s="12" t="str">
        <f aca="false">IF($A1945="","",원본명단!$A1944)</f>
        <v/>
      </c>
      <c r="C1945" s="12" t="str">
        <f aca="false">IF($A1945="","",원본명단!$B1944)</f>
        <v/>
      </c>
      <c r="D1945" s="12" t="str">
        <f aca="false">IF($A1945="","",원본명단!$D1944)</f>
        <v/>
      </c>
      <c r="E1945" s="11" t="str">
        <f aca="false">IF($A1945="","",IF(원본명단!$H1944="",0,COUNTIF(원본명단!$H$3:$H$6002,원본명단!$H1944)))</f>
        <v/>
      </c>
      <c r="F1945" s="11" t="str">
        <f aca="false">IF($A1945="","",IF(원본명단!$I1944="",0,COUNTIF(원본명단!$I$3:$I$6002,원본명단!$I1944)))</f>
        <v/>
      </c>
      <c r="G1945" s="11" t="str">
        <f aca="false">IF($A1945="","",IF(원본명단!$K1944="",0,COUNTIF(원본명단!$K$3:$K$6002,원본명단!$K1944)))</f>
        <v/>
      </c>
      <c r="H1945" s="11" t="str">
        <f aca="false">IF($A1945="","",IF(MAX($E1945,$F1945,$G1945)&gt;1,"중복","-"))</f>
        <v/>
      </c>
      <c r="I1945" s="11" t="str">
        <f aca="false">IF($A1945="","",IF($H1945="-","-",IF(AND(IF(원본명단!$H1944="",TRUE(),COUNTIF(원본명단!$H$3:$H1944,원본명단!$H1944)=1),IF(원본명단!$I1944="",TRUE(),COUNTIF(원본명단!$I$3:$I1944,원본명단!$I1944)=1),IF(원본명단!$K1944="",TRUE(),COUNTIF(원본명단!$K$3:$K1944,원본명단!$K1944)=1)),"첫 건","중복 건")))</f>
        <v/>
      </c>
      <c r="J1945" s="11" t="str">
        <f aca="false">IF($A1945="","",IF($H1945="-","유지",IF($I1945="첫 건","유지","확인 필요")))</f>
        <v/>
      </c>
    </row>
    <row r="1946" customFormat="false" ht="15" hidden="false" customHeight="true" outlineLevel="0" collapsed="false">
      <c r="A1946" s="11" t="str">
        <f aca="false">IF(원본명단!$A1945="","",1943)</f>
        <v/>
      </c>
      <c r="B1946" s="12" t="str">
        <f aca="false">IF($A1946="","",원본명단!$A1945)</f>
        <v/>
      </c>
      <c r="C1946" s="12" t="str">
        <f aca="false">IF($A1946="","",원본명단!$B1945)</f>
        <v/>
      </c>
      <c r="D1946" s="12" t="str">
        <f aca="false">IF($A1946="","",원본명단!$D1945)</f>
        <v/>
      </c>
      <c r="E1946" s="11" t="str">
        <f aca="false">IF($A1946="","",IF(원본명단!$H1945="",0,COUNTIF(원본명단!$H$3:$H$6002,원본명단!$H1945)))</f>
        <v/>
      </c>
      <c r="F1946" s="11" t="str">
        <f aca="false">IF($A1946="","",IF(원본명단!$I1945="",0,COUNTIF(원본명단!$I$3:$I$6002,원본명단!$I1945)))</f>
        <v/>
      </c>
      <c r="G1946" s="11" t="str">
        <f aca="false">IF($A1946="","",IF(원본명단!$K1945="",0,COUNTIF(원본명단!$K$3:$K$6002,원본명단!$K1945)))</f>
        <v/>
      </c>
      <c r="H1946" s="11" t="str">
        <f aca="false">IF($A1946="","",IF(MAX($E1946,$F1946,$G1946)&gt;1,"중복","-"))</f>
        <v/>
      </c>
      <c r="I1946" s="11" t="str">
        <f aca="false">IF($A1946="","",IF($H1946="-","-",IF(AND(IF(원본명단!$H1945="",TRUE(),COUNTIF(원본명단!$H$3:$H1945,원본명단!$H1945)=1),IF(원본명단!$I1945="",TRUE(),COUNTIF(원본명단!$I$3:$I1945,원본명단!$I1945)=1),IF(원본명단!$K1945="",TRUE(),COUNTIF(원본명단!$K$3:$K1945,원본명단!$K1945)=1)),"첫 건","중복 건")))</f>
        <v/>
      </c>
      <c r="J1946" s="11" t="str">
        <f aca="false">IF($A1946="","",IF($H1946="-","유지",IF($I1946="첫 건","유지","확인 필요")))</f>
        <v/>
      </c>
    </row>
    <row r="1947" customFormat="false" ht="15" hidden="false" customHeight="true" outlineLevel="0" collapsed="false">
      <c r="A1947" s="11" t="str">
        <f aca="false">IF(원본명단!$A1946="","",1944)</f>
        <v/>
      </c>
      <c r="B1947" s="12" t="str">
        <f aca="false">IF($A1947="","",원본명단!$A1946)</f>
        <v/>
      </c>
      <c r="C1947" s="12" t="str">
        <f aca="false">IF($A1947="","",원본명단!$B1946)</f>
        <v/>
      </c>
      <c r="D1947" s="12" t="str">
        <f aca="false">IF($A1947="","",원본명단!$D1946)</f>
        <v/>
      </c>
      <c r="E1947" s="11" t="str">
        <f aca="false">IF($A1947="","",IF(원본명단!$H1946="",0,COUNTIF(원본명단!$H$3:$H$6002,원본명단!$H1946)))</f>
        <v/>
      </c>
      <c r="F1947" s="11" t="str">
        <f aca="false">IF($A1947="","",IF(원본명단!$I1946="",0,COUNTIF(원본명단!$I$3:$I$6002,원본명단!$I1946)))</f>
        <v/>
      </c>
      <c r="G1947" s="11" t="str">
        <f aca="false">IF($A1947="","",IF(원본명단!$K1946="",0,COUNTIF(원본명단!$K$3:$K$6002,원본명단!$K1946)))</f>
        <v/>
      </c>
      <c r="H1947" s="11" t="str">
        <f aca="false">IF($A1947="","",IF(MAX($E1947,$F1947,$G1947)&gt;1,"중복","-"))</f>
        <v/>
      </c>
      <c r="I1947" s="11" t="str">
        <f aca="false">IF($A1947="","",IF($H1947="-","-",IF(AND(IF(원본명단!$H1946="",TRUE(),COUNTIF(원본명단!$H$3:$H1946,원본명단!$H1946)=1),IF(원본명단!$I1946="",TRUE(),COUNTIF(원본명단!$I$3:$I1946,원본명단!$I1946)=1),IF(원본명단!$K1946="",TRUE(),COUNTIF(원본명단!$K$3:$K1946,원본명단!$K1946)=1)),"첫 건","중복 건")))</f>
        <v/>
      </c>
      <c r="J1947" s="11" t="str">
        <f aca="false">IF($A1947="","",IF($H1947="-","유지",IF($I1947="첫 건","유지","확인 필요")))</f>
        <v/>
      </c>
    </row>
    <row r="1948" customFormat="false" ht="15" hidden="false" customHeight="true" outlineLevel="0" collapsed="false">
      <c r="A1948" s="11" t="str">
        <f aca="false">IF(원본명단!$A1947="","",1945)</f>
        <v/>
      </c>
      <c r="B1948" s="12" t="str">
        <f aca="false">IF($A1948="","",원본명단!$A1947)</f>
        <v/>
      </c>
      <c r="C1948" s="12" t="str">
        <f aca="false">IF($A1948="","",원본명단!$B1947)</f>
        <v/>
      </c>
      <c r="D1948" s="12" t="str">
        <f aca="false">IF($A1948="","",원본명단!$D1947)</f>
        <v/>
      </c>
      <c r="E1948" s="11" t="str">
        <f aca="false">IF($A1948="","",IF(원본명단!$H1947="",0,COUNTIF(원본명단!$H$3:$H$6002,원본명단!$H1947)))</f>
        <v/>
      </c>
      <c r="F1948" s="11" t="str">
        <f aca="false">IF($A1948="","",IF(원본명단!$I1947="",0,COUNTIF(원본명단!$I$3:$I$6002,원본명단!$I1947)))</f>
        <v/>
      </c>
      <c r="G1948" s="11" t="str">
        <f aca="false">IF($A1948="","",IF(원본명단!$K1947="",0,COUNTIF(원본명단!$K$3:$K$6002,원본명단!$K1947)))</f>
        <v/>
      </c>
      <c r="H1948" s="11" t="str">
        <f aca="false">IF($A1948="","",IF(MAX($E1948,$F1948,$G1948)&gt;1,"중복","-"))</f>
        <v/>
      </c>
      <c r="I1948" s="11" t="str">
        <f aca="false">IF($A1948="","",IF($H1948="-","-",IF(AND(IF(원본명단!$H1947="",TRUE(),COUNTIF(원본명단!$H$3:$H1947,원본명단!$H1947)=1),IF(원본명단!$I1947="",TRUE(),COUNTIF(원본명단!$I$3:$I1947,원본명단!$I1947)=1),IF(원본명단!$K1947="",TRUE(),COUNTIF(원본명단!$K$3:$K1947,원본명단!$K1947)=1)),"첫 건","중복 건")))</f>
        <v/>
      </c>
      <c r="J1948" s="11" t="str">
        <f aca="false">IF($A1948="","",IF($H1948="-","유지",IF($I1948="첫 건","유지","확인 필요")))</f>
        <v/>
      </c>
    </row>
    <row r="1949" customFormat="false" ht="15" hidden="false" customHeight="true" outlineLevel="0" collapsed="false">
      <c r="A1949" s="11" t="str">
        <f aca="false">IF(원본명단!$A1948="","",1946)</f>
        <v/>
      </c>
      <c r="B1949" s="12" t="str">
        <f aca="false">IF($A1949="","",원본명단!$A1948)</f>
        <v/>
      </c>
      <c r="C1949" s="12" t="str">
        <f aca="false">IF($A1949="","",원본명단!$B1948)</f>
        <v/>
      </c>
      <c r="D1949" s="12" t="str">
        <f aca="false">IF($A1949="","",원본명단!$D1948)</f>
        <v/>
      </c>
      <c r="E1949" s="11" t="str">
        <f aca="false">IF($A1949="","",IF(원본명단!$H1948="",0,COUNTIF(원본명단!$H$3:$H$6002,원본명단!$H1948)))</f>
        <v/>
      </c>
      <c r="F1949" s="11" t="str">
        <f aca="false">IF($A1949="","",IF(원본명단!$I1948="",0,COUNTIF(원본명단!$I$3:$I$6002,원본명단!$I1948)))</f>
        <v/>
      </c>
      <c r="G1949" s="11" t="str">
        <f aca="false">IF($A1949="","",IF(원본명단!$K1948="",0,COUNTIF(원본명단!$K$3:$K$6002,원본명단!$K1948)))</f>
        <v/>
      </c>
      <c r="H1949" s="11" t="str">
        <f aca="false">IF($A1949="","",IF(MAX($E1949,$F1949,$G1949)&gt;1,"중복","-"))</f>
        <v/>
      </c>
      <c r="I1949" s="11" t="str">
        <f aca="false">IF($A1949="","",IF($H1949="-","-",IF(AND(IF(원본명단!$H1948="",TRUE(),COUNTIF(원본명단!$H$3:$H1948,원본명단!$H1948)=1),IF(원본명단!$I1948="",TRUE(),COUNTIF(원본명단!$I$3:$I1948,원본명단!$I1948)=1),IF(원본명단!$K1948="",TRUE(),COUNTIF(원본명단!$K$3:$K1948,원본명단!$K1948)=1)),"첫 건","중복 건")))</f>
        <v/>
      </c>
      <c r="J1949" s="11" t="str">
        <f aca="false">IF($A1949="","",IF($H1949="-","유지",IF($I1949="첫 건","유지","확인 필요")))</f>
        <v/>
      </c>
    </row>
    <row r="1950" customFormat="false" ht="15" hidden="false" customHeight="true" outlineLevel="0" collapsed="false">
      <c r="A1950" s="11" t="str">
        <f aca="false">IF(원본명단!$A1949="","",1947)</f>
        <v/>
      </c>
      <c r="B1950" s="12" t="str">
        <f aca="false">IF($A1950="","",원본명단!$A1949)</f>
        <v/>
      </c>
      <c r="C1950" s="12" t="str">
        <f aca="false">IF($A1950="","",원본명단!$B1949)</f>
        <v/>
      </c>
      <c r="D1950" s="12" t="str">
        <f aca="false">IF($A1950="","",원본명단!$D1949)</f>
        <v/>
      </c>
      <c r="E1950" s="11" t="str">
        <f aca="false">IF($A1950="","",IF(원본명단!$H1949="",0,COUNTIF(원본명단!$H$3:$H$6002,원본명단!$H1949)))</f>
        <v/>
      </c>
      <c r="F1950" s="11" t="str">
        <f aca="false">IF($A1950="","",IF(원본명단!$I1949="",0,COUNTIF(원본명단!$I$3:$I$6002,원본명단!$I1949)))</f>
        <v/>
      </c>
      <c r="G1950" s="11" t="str">
        <f aca="false">IF($A1950="","",IF(원본명단!$K1949="",0,COUNTIF(원본명단!$K$3:$K$6002,원본명단!$K1949)))</f>
        <v/>
      </c>
      <c r="H1950" s="11" t="str">
        <f aca="false">IF($A1950="","",IF(MAX($E1950,$F1950,$G1950)&gt;1,"중복","-"))</f>
        <v/>
      </c>
      <c r="I1950" s="11" t="str">
        <f aca="false">IF($A1950="","",IF($H1950="-","-",IF(AND(IF(원본명단!$H1949="",TRUE(),COUNTIF(원본명단!$H$3:$H1949,원본명단!$H1949)=1),IF(원본명단!$I1949="",TRUE(),COUNTIF(원본명단!$I$3:$I1949,원본명단!$I1949)=1),IF(원본명단!$K1949="",TRUE(),COUNTIF(원본명단!$K$3:$K1949,원본명단!$K1949)=1)),"첫 건","중복 건")))</f>
        <v/>
      </c>
      <c r="J1950" s="11" t="str">
        <f aca="false">IF($A1950="","",IF($H1950="-","유지",IF($I1950="첫 건","유지","확인 필요")))</f>
        <v/>
      </c>
    </row>
    <row r="1951" customFormat="false" ht="15" hidden="false" customHeight="true" outlineLevel="0" collapsed="false">
      <c r="A1951" s="11" t="str">
        <f aca="false">IF(원본명단!$A1950="","",1948)</f>
        <v/>
      </c>
      <c r="B1951" s="12" t="str">
        <f aca="false">IF($A1951="","",원본명단!$A1950)</f>
        <v/>
      </c>
      <c r="C1951" s="12" t="str">
        <f aca="false">IF($A1951="","",원본명단!$B1950)</f>
        <v/>
      </c>
      <c r="D1951" s="12" t="str">
        <f aca="false">IF($A1951="","",원본명단!$D1950)</f>
        <v/>
      </c>
      <c r="E1951" s="11" t="str">
        <f aca="false">IF($A1951="","",IF(원본명단!$H1950="",0,COUNTIF(원본명단!$H$3:$H$6002,원본명단!$H1950)))</f>
        <v/>
      </c>
      <c r="F1951" s="11" t="str">
        <f aca="false">IF($A1951="","",IF(원본명단!$I1950="",0,COUNTIF(원본명단!$I$3:$I$6002,원본명단!$I1950)))</f>
        <v/>
      </c>
      <c r="G1951" s="11" t="str">
        <f aca="false">IF($A1951="","",IF(원본명단!$K1950="",0,COUNTIF(원본명단!$K$3:$K$6002,원본명단!$K1950)))</f>
        <v/>
      </c>
      <c r="H1951" s="11" t="str">
        <f aca="false">IF($A1951="","",IF(MAX($E1951,$F1951,$G1951)&gt;1,"중복","-"))</f>
        <v/>
      </c>
      <c r="I1951" s="11" t="str">
        <f aca="false">IF($A1951="","",IF($H1951="-","-",IF(AND(IF(원본명단!$H1950="",TRUE(),COUNTIF(원본명단!$H$3:$H1950,원본명단!$H1950)=1),IF(원본명단!$I1950="",TRUE(),COUNTIF(원본명단!$I$3:$I1950,원본명단!$I1950)=1),IF(원본명단!$K1950="",TRUE(),COUNTIF(원본명단!$K$3:$K1950,원본명단!$K1950)=1)),"첫 건","중복 건")))</f>
        <v/>
      </c>
      <c r="J1951" s="11" t="str">
        <f aca="false">IF($A1951="","",IF($H1951="-","유지",IF($I1951="첫 건","유지","확인 필요")))</f>
        <v/>
      </c>
    </row>
    <row r="1952" customFormat="false" ht="15" hidden="false" customHeight="true" outlineLevel="0" collapsed="false">
      <c r="A1952" s="11" t="str">
        <f aca="false">IF(원본명단!$A1951="","",1949)</f>
        <v/>
      </c>
      <c r="B1952" s="12" t="str">
        <f aca="false">IF($A1952="","",원본명단!$A1951)</f>
        <v/>
      </c>
      <c r="C1952" s="12" t="str">
        <f aca="false">IF($A1952="","",원본명단!$B1951)</f>
        <v/>
      </c>
      <c r="D1952" s="12" t="str">
        <f aca="false">IF($A1952="","",원본명단!$D1951)</f>
        <v/>
      </c>
      <c r="E1952" s="11" t="str">
        <f aca="false">IF($A1952="","",IF(원본명단!$H1951="",0,COUNTIF(원본명단!$H$3:$H$6002,원본명단!$H1951)))</f>
        <v/>
      </c>
      <c r="F1952" s="11" t="str">
        <f aca="false">IF($A1952="","",IF(원본명단!$I1951="",0,COUNTIF(원본명단!$I$3:$I$6002,원본명단!$I1951)))</f>
        <v/>
      </c>
      <c r="G1952" s="11" t="str">
        <f aca="false">IF($A1952="","",IF(원본명단!$K1951="",0,COUNTIF(원본명단!$K$3:$K$6002,원본명단!$K1951)))</f>
        <v/>
      </c>
      <c r="H1952" s="11" t="str">
        <f aca="false">IF($A1952="","",IF(MAX($E1952,$F1952,$G1952)&gt;1,"중복","-"))</f>
        <v/>
      </c>
      <c r="I1952" s="11" t="str">
        <f aca="false">IF($A1952="","",IF($H1952="-","-",IF(AND(IF(원본명단!$H1951="",TRUE(),COUNTIF(원본명단!$H$3:$H1951,원본명단!$H1951)=1),IF(원본명단!$I1951="",TRUE(),COUNTIF(원본명단!$I$3:$I1951,원본명단!$I1951)=1),IF(원본명단!$K1951="",TRUE(),COUNTIF(원본명단!$K$3:$K1951,원본명단!$K1951)=1)),"첫 건","중복 건")))</f>
        <v/>
      </c>
      <c r="J1952" s="11" t="str">
        <f aca="false">IF($A1952="","",IF($H1952="-","유지",IF($I1952="첫 건","유지","확인 필요")))</f>
        <v/>
      </c>
    </row>
    <row r="1953" customFormat="false" ht="15" hidden="false" customHeight="true" outlineLevel="0" collapsed="false">
      <c r="A1953" s="11" t="str">
        <f aca="false">IF(원본명단!$A1952="","",1950)</f>
        <v/>
      </c>
      <c r="B1953" s="12" t="str">
        <f aca="false">IF($A1953="","",원본명단!$A1952)</f>
        <v/>
      </c>
      <c r="C1953" s="12" t="str">
        <f aca="false">IF($A1953="","",원본명단!$B1952)</f>
        <v/>
      </c>
      <c r="D1953" s="12" t="str">
        <f aca="false">IF($A1953="","",원본명단!$D1952)</f>
        <v/>
      </c>
      <c r="E1953" s="11" t="str">
        <f aca="false">IF($A1953="","",IF(원본명단!$H1952="",0,COUNTIF(원본명단!$H$3:$H$6002,원본명단!$H1952)))</f>
        <v/>
      </c>
      <c r="F1953" s="11" t="str">
        <f aca="false">IF($A1953="","",IF(원본명단!$I1952="",0,COUNTIF(원본명단!$I$3:$I$6002,원본명단!$I1952)))</f>
        <v/>
      </c>
      <c r="G1953" s="11" t="str">
        <f aca="false">IF($A1953="","",IF(원본명단!$K1952="",0,COUNTIF(원본명단!$K$3:$K$6002,원본명단!$K1952)))</f>
        <v/>
      </c>
      <c r="H1953" s="11" t="str">
        <f aca="false">IF($A1953="","",IF(MAX($E1953,$F1953,$G1953)&gt;1,"중복","-"))</f>
        <v/>
      </c>
      <c r="I1953" s="11" t="str">
        <f aca="false">IF($A1953="","",IF($H1953="-","-",IF(AND(IF(원본명단!$H1952="",TRUE(),COUNTIF(원본명단!$H$3:$H1952,원본명단!$H1952)=1),IF(원본명단!$I1952="",TRUE(),COUNTIF(원본명단!$I$3:$I1952,원본명단!$I1952)=1),IF(원본명단!$K1952="",TRUE(),COUNTIF(원본명단!$K$3:$K1952,원본명단!$K1952)=1)),"첫 건","중복 건")))</f>
        <v/>
      </c>
      <c r="J1953" s="11" t="str">
        <f aca="false">IF($A1953="","",IF($H1953="-","유지",IF($I1953="첫 건","유지","확인 필요")))</f>
        <v/>
      </c>
    </row>
    <row r="1954" customFormat="false" ht="15" hidden="false" customHeight="true" outlineLevel="0" collapsed="false">
      <c r="A1954" s="11" t="str">
        <f aca="false">IF(원본명단!$A1953="","",1951)</f>
        <v/>
      </c>
      <c r="B1954" s="12" t="str">
        <f aca="false">IF($A1954="","",원본명단!$A1953)</f>
        <v/>
      </c>
      <c r="C1954" s="12" t="str">
        <f aca="false">IF($A1954="","",원본명단!$B1953)</f>
        <v/>
      </c>
      <c r="D1954" s="12" t="str">
        <f aca="false">IF($A1954="","",원본명단!$D1953)</f>
        <v/>
      </c>
      <c r="E1954" s="11" t="str">
        <f aca="false">IF($A1954="","",IF(원본명단!$H1953="",0,COUNTIF(원본명단!$H$3:$H$6002,원본명단!$H1953)))</f>
        <v/>
      </c>
      <c r="F1954" s="11" t="str">
        <f aca="false">IF($A1954="","",IF(원본명단!$I1953="",0,COUNTIF(원본명단!$I$3:$I$6002,원본명단!$I1953)))</f>
        <v/>
      </c>
      <c r="G1954" s="11" t="str">
        <f aca="false">IF($A1954="","",IF(원본명단!$K1953="",0,COUNTIF(원본명단!$K$3:$K$6002,원본명단!$K1953)))</f>
        <v/>
      </c>
      <c r="H1954" s="11" t="str">
        <f aca="false">IF($A1954="","",IF(MAX($E1954,$F1954,$G1954)&gt;1,"중복","-"))</f>
        <v/>
      </c>
      <c r="I1954" s="11" t="str">
        <f aca="false">IF($A1954="","",IF($H1954="-","-",IF(AND(IF(원본명단!$H1953="",TRUE(),COUNTIF(원본명단!$H$3:$H1953,원본명단!$H1953)=1),IF(원본명단!$I1953="",TRUE(),COUNTIF(원본명단!$I$3:$I1953,원본명단!$I1953)=1),IF(원본명단!$K1953="",TRUE(),COUNTIF(원본명단!$K$3:$K1953,원본명단!$K1953)=1)),"첫 건","중복 건")))</f>
        <v/>
      </c>
      <c r="J1954" s="11" t="str">
        <f aca="false">IF($A1954="","",IF($H1954="-","유지",IF($I1954="첫 건","유지","확인 필요")))</f>
        <v/>
      </c>
    </row>
    <row r="1955" customFormat="false" ht="15" hidden="false" customHeight="true" outlineLevel="0" collapsed="false">
      <c r="A1955" s="11" t="str">
        <f aca="false">IF(원본명단!$A1954="","",1952)</f>
        <v/>
      </c>
      <c r="B1955" s="12" t="str">
        <f aca="false">IF($A1955="","",원본명단!$A1954)</f>
        <v/>
      </c>
      <c r="C1955" s="12" t="str">
        <f aca="false">IF($A1955="","",원본명단!$B1954)</f>
        <v/>
      </c>
      <c r="D1955" s="12" t="str">
        <f aca="false">IF($A1955="","",원본명단!$D1954)</f>
        <v/>
      </c>
      <c r="E1955" s="11" t="str">
        <f aca="false">IF($A1955="","",IF(원본명단!$H1954="",0,COUNTIF(원본명단!$H$3:$H$6002,원본명단!$H1954)))</f>
        <v/>
      </c>
      <c r="F1955" s="11" t="str">
        <f aca="false">IF($A1955="","",IF(원본명단!$I1954="",0,COUNTIF(원본명단!$I$3:$I$6002,원본명단!$I1954)))</f>
        <v/>
      </c>
      <c r="G1955" s="11" t="str">
        <f aca="false">IF($A1955="","",IF(원본명단!$K1954="",0,COUNTIF(원본명단!$K$3:$K$6002,원본명단!$K1954)))</f>
        <v/>
      </c>
      <c r="H1955" s="11" t="str">
        <f aca="false">IF($A1955="","",IF(MAX($E1955,$F1955,$G1955)&gt;1,"중복","-"))</f>
        <v/>
      </c>
      <c r="I1955" s="11" t="str">
        <f aca="false">IF($A1955="","",IF($H1955="-","-",IF(AND(IF(원본명단!$H1954="",TRUE(),COUNTIF(원본명단!$H$3:$H1954,원본명단!$H1954)=1),IF(원본명단!$I1954="",TRUE(),COUNTIF(원본명단!$I$3:$I1954,원본명단!$I1954)=1),IF(원본명단!$K1954="",TRUE(),COUNTIF(원본명단!$K$3:$K1954,원본명단!$K1954)=1)),"첫 건","중복 건")))</f>
        <v/>
      </c>
      <c r="J1955" s="11" t="str">
        <f aca="false">IF($A1955="","",IF($H1955="-","유지",IF($I1955="첫 건","유지","확인 필요")))</f>
        <v/>
      </c>
    </row>
    <row r="1956" customFormat="false" ht="15" hidden="false" customHeight="true" outlineLevel="0" collapsed="false">
      <c r="A1956" s="11" t="str">
        <f aca="false">IF(원본명단!$A1955="","",1953)</f>
        <v/>
      </c>
      <c r="B1956" s="12" t="str">
        <f aca="false">IF($A1956="","",원본명단!$A1955)</f>
        <v/>
      </c>
      <c r="C1956" s="12" t="str">
        <f aca="false">IF($A1956="","",원본명단!$B1955)</f>
        <v/>
      </c>
      <c r="D1956" s="12" t="str">
        <f aca="false">IF($A1956="","",원본명단!$D1955)</f>
        <v/>
      </c>
      <c r="E1956" s="11" t="str">
        <f aca="false">IF($A1956="","",IF(원본명단!$H1955="",0,COUNTIF(원본명단!$H$3:$H$6002,원본명단!$H1955)))</f>
        <v/>
      </c>
      <c r="F1956" s="11" t="str">
        <f aca="false">IF($A1956="","",IF(원본명단!$I1955="",0,COUNTIF(원본명단!$I$3:$I$6002,원본명단!$I1955)))</f>
        <v/>
      </c>
      <c r="G1956" s="11" t="str">
        <f aca="false">IF($A1956="","",IF(원본명단!$K1955="",0,COUNTIF(원본명단!$K$3:$K$6002,원본명단!$K1955)))</f>
        <v/>
      </c>
      <c r="H1956" s="11" t="str">
        <f aca="false">IF($A1956="","",IF(MAX($E1956,$F1956,$G1956)&gt;1,"중복","-"))</f>
        <v/>
      </c>
      <c r="I1956" s="11" t="str">
        <f aca="false">IF($A1956="","",IF($H1956="-","-",IF(AND(IF(원본명단!$H1955="",TRUE(),COUNTIF(원본명단!$H$3:$H1955,원본명단!$H1955)=1),IF(원본명단!$I1955="",TRUE(),COUNTIF(원본명단!$I$3:$I1955,원본명단!$I1955)=1),IF(원본명단!$K1955="",TRUE(),COUNTIF(원본명단!$K$3:$K1955,원본명단!$K1955)=1)),"첫 건","중복 건")))</f>
        <v/>
      </c>
      <c r="J1956" s="11" t="str">
        <f aca="false">IF($A1956="","",IF($H1956="-","유지",IF($I1956="첫 건","유지","확인 필요")))</f>
        <v/>
      </c>
    </row>
    <row r="1957" customFormat="false" ht="15" hidden="false" customHeight="true" outlineLevel="0" collapsed="false">
      <c r="A1957" s="11" t="str">
        <f aca="false">IF(원본명단!$A1956="","",1954)</f>
        <v/>
      </c>
      <c r="B1957" s="12" t="str">
        <f aca="false">IF($A1957="","",원본명단!$A1956)</f>
        <v/>
      </c>
      <c r="C1957" s="12" t="str">
        <f aca="false">IF($A1957="","",원본명단!$B1956)</f>
        <v/>
      </c>
      <c r="D1957" s="12" t="str">
        <f aca="false">IF($A1957="","",원본명단!$D1956)</f>
        <v/>
      </c>
      <c r="E1957" s="11" t="str">
        <f aca="false">IF($A1957="","",IF(원본명단!$H1956="",0,COUNTIF(원본명단!$H$3:$H$6002,원본명단!$H1956)))</f>
        <v/>
      </c>
      <c r="F1957" s="11" t="str">
        <f aca="false">IF($A1957="","",IF(원본명단!$I1956="",0,COUNTIF(원본명단!$I$3:$I$6002,원본명단!$I1956)))</f>
        <v/>
      </c>
      <c r="G1957" s="11" t="str">
        <f aca="false">IF($A1957="","",IF(원본명단!$K1956="",0,COUNTIF(원본명단!$K$3:$K$6002,원본명단!$K1956)))</f>
        <v/>
      </c>
      <c r="H1957" s="11" t="str">
        <f aca="false">IF($A1957="","",IF(MAX($E1957,$F1957,$G1957)&gt;1,"중복","-"))</f>
        <v/>
      </c>
      <c r="I1957" s="11" t="str">
        <f aca="false">IF($A1957="","",IF($H1957="-","-",IF(AND(IF(원본명단!$H1956="",TRUE(),COUNTIF(원본명단!$H$3:$H1956,원본명단!$H1956)=1),IF(원본명단!$I1956="",TRUE(),COUNTIF(원본명단!$I$3:$I1956,원본명단!$I1956)=1),IF(원본명단!$K1956="",TRUE(),COUNTIF(원본명단!$K$3:$K1956,원본명단!$K1956)=1)),"첫 건","중복 건")))</f>
        <v/>
      </c>
      <c r="J1957" s="11" t="str">
        <f aca="false">IF($A1957="","",IF($H1957="-","유지",IF($I1957="첫 건","유지","확인 필요")))</f>
        <v/>
      </c>
    </row>
    <row r="1958" customFormat="false" ht="15" hidden="false" customHeight="true" outlineLevel="0" collapsed="false">
      <c r="A1958" s="11" t="str">
        <f aca="false">IF(원본명단!$A1957="","",1955)</f>
        <v/>
      </c>
      <c r="B1958" s="12" t="str">
        <f aca="false">IF($A1958="","",원본명단!$A1957)</f>
        <v/>
      </c>
      <c r="C1958" s="12" t="str">
        <f aca="false">IF($A1958="","",원본명단!$B1957)</f>
        <v/>
      </c>
      <c r="D1958" s="12" t="str">
        <f aca="false">IF($A1958="","",원본명단!$D1957)</f>
        <v/>
      </c>
      <c r="E1958" s="11" t="str">
        <f aca="false">IF($A1958="","",IF(원본명단!$H1957="",0,COUNTIF(원본명단!$H$3:$H$6002,원본명단!$H1957)))</f>
        <v/>
      </c>
      <c r="F1958" s="11" t="str">
        <f aca="false">IF($A1958="","",IF(원본명단!$I1957="",0,COUNTIF(원본명단!$I$3:$I$6002,원본명단!$I1957)))</f>
        <v/>
      </c>
      <c r="G1958" s="11" t="str">
        <f aca="false">IF($A1958="","",IF(원본명단!$K1957="",0,COUNTIF(원본명단!$K$3:$K$6002,원본명단!$K1957)))</f>
        <v/>
      </c>
      <c r="H1958" s="11" t="str">
        <f aca="false">IF($A1958="","",IF(MAX($E1958,$F1958,$G1958)&gt;1,"중복","-"))</f>
        <v/>
      </c>
      <c r="I1958" s="11" t="str">
        <f aca="false">IF($A1958="","",IF($H1958="-","-",IF(AND(IF(원본명단!$H1957="",TRUE(),COUNTIF(원본명단!$H$3:$H1957,원본명단!$H1957)=1),IF(원본명단!$I1957="",TRUE(),COUNTIF(원본명단!$I$3:$I1957,원본명단!$I1957)=1),IF(원본명단!$K1957="",TRUE(),COUNTIF(원본명단!$K$3:$K1957,원본명단!$K1957)=1)),"첫 건","중복 건")))</f>
        <v/>
      </c>
      <c r="J1958" s="11" t="str">
        <f aca="false">IF($A1958="","",IF($H1958="-","유지",IF($I1958="첫 건","유지","확인 필요")))</f>
        <v/>
      </c>
    </row>
    <row r="1959" customFormat="false" ht="15" hidden="false" customHeight="true" outlineLevel="0" collapsed="false">
      <c r="A1959" s="11" t="str">
        <f aca="false">IF(원본명단!$A1958="","",1956)</f>
        <v/>
      </c>
      <c r="B1959" s="12" t="str">
        <f aca="false">IF($A1959="","",원본명단!$A1958)</f>
        <v/>
      </c>
      <c r="C1959" s="12" t="str">
        <f aca="false">IF($A1959="","",원본명단!$B1958)</f>
        <v/>
      </c>
      <c r="D1959" s="12" t="str">
        <f aca="false">IF($A1959="","",원본명단!$D1958)</f>
        <v/>
      </c>
      <c r="E1959" s="11" t="str">
        <f aca="false">IF($A1959="","",IF(원본명단!$H1958="",0,COUNTIF(원본명단!$H$3:$H$6002,원본명단!$H1958)))</f>
        <v/>
      </c>
      <c r="F1959" s="11" t="str">
        <f aca="false">IF($A1959="","",IF(원본명단!$I1958="",0,COUNTIF(원본명단!$I$3:$I$6002,원본명단!$I1958)))</f>
        <v/>
      </c>
      <c r="G1959" s="11" t="str">
        <f aca="false">IF($A1959="","",IF(원본명단!$K1958="",0,COUNTIF(원본명단!$K$3:$K$6002,원본명단!$K1958)))</f>
        <v/>
      </c>
      <c r="H1959" s="11" t="str">
        <f aca="false">IF($A1959="","",IF(MAX($E1959,$F1959,$G1959)&gt;1,"중복","-"))</f>
        <v/>
      </c>
      <c r="I1959" s="11" t="str">
        <f aca="false">IF($A1959="","",IF($H1959="-","-",IF(AND(IF(원본명단!$H1958="",TRUE(),COUNTIF(원본명단!$H$3:$H1958,원본명단!$H1958)=1),IF(원본명단!$I1958="",TRUE(),COUNTIF(원본명단!$I$3:$I1958,원본명단!$I1958)=1),IF(원본명단!$K1958="",TRUE(),COUNTIF(원본명단!$K$3:$K1958,원본명단!$K1958)=1)),"첫 건","중복 건")))</f>
        <v/>
      </c>
      <c r="J1959" s="11" t="str">
        <f aca="false">IF($A1959="","",IF($H1959="-","유지",IF($I1959="첫 건","유지","확인 필요")))</f>
        <v/>
      </c>
    </row>
    <row r="1960" customFormat="false" ht="15" hidden="false" customHeight="true" outlineLevel="0" collapsed="false">
      <c r="A1960" s="11" t="str">
        <f aca="false">IF(원본명단!$A1959="","",1957)</f>
        <v/>
      </c>
      <c r="B1960" s="12" t="str">
        <f aca="false">IF($A1960="","",원본명단!$A1959)</f>
        <v/>
      </c>
      <c r="C1960" s="12" t="str">
        <f aca="false">IF($A1960="","",원본명단!$B1959)</f>
        <v/>
      </c>
      <c r="D1960" s="12" t="str">
        <f aca="false">IF($A1960="","",원본명단!$D1959)</f>
        <v/>
      </c>
      <c r="E1960" s="11" t="str">
        <f aca="false">IF($A1960="","",IF(원본명단!$H1959="",0,COUNTIF(원본명단!$H$3:$H$6002,원본명단!$H1959)))</f>
        <v/>
      </c>
      <c r="F1960" s="11" t="str">
        <f aca="false">IF($A1960="","",IF(원본명단!$I1959="",0,COUNTIF(원본명단!$I$3:$I$6002,원본명단!$I1959)))</f>
        <v/>
      </c>
      <c r="G1960" s="11" t="str">
        <f aca="false">IF($A1960="","",IF(원본명단!$K1959="",0,COUNTIF(원본명단!$K$3:$K$6002,원본명단!$K1959)))</f>
        <v/>
      </c>
      <c r="H1960" s="11" t="str">
        <f aca="false">IF($A1960="","",IF(MAX($E1960,$F1960,$G1960)&gt;1,"중복","-"))</f>
        <v/>
      </c>
      <c r="I1960" s="11" t="str">
        <f aca="false">IF($A1960="","",IF($H1960="-","-",IF(AND(IF(원본명단!$H1959="",TRUE(),COUNTIF(원본명단!$H$3:$H1959,원본명단!$H1959)=1),IF(원본명단!$I1959="",TRUE(),COUNTIF(원본명단!$I$3:$I1959,원본명단!$I1959)=1),IF(원본명단!$K1959="",TRUE(),COUNTIF(원본명단!$K$3:$K1959,원본명단!$K1959)=1)),"첫 건","중복 건")))</f>
        <v/>
      </c>
      <c r="J1960" s="11" t="str">
        <f aca="false">IF($A1960="","",IF($H1960="-","유지",IF($I1960="첫 건","유지","확인 필요")))</f>
        <v/>
      </c>
    </row>
    <row r="1961" customFormat="false" ht="15" hidden="false" customHeight="true" outlineLevel="0" collapsed="false">
      <c r="A1961" s="11" t="str">
        <f aca="false">IF(원본명단!$A1960="","",1958)</f>
        <v/>
      </c>
      <c r="B1961" s="12" t="str">
        <f aca="false">IF($A1961="","",원본명단!$A1960)</f>
        <v/>
      </c>
      <c r="C1961" s="12" t="str">
        <f aca="false">IF($A1961="","",원본명단!$B1960)</f>
        <v/>
      </c>
      <c r="D1961" s="12" t="str">
        <f aca="false">IF($A1961="","",원본명단!$D1960)</f>
        <v/>
      </c>
      <c r="E1961" s="11" t="str">
        <f aca="false">IF($A1961="","",IF(원본명단!$H1960="",0,COUNTIF(원본명단!$H$3:$H$6002,원본명단!$H1960)))</f>
        <v/>
      </c>
      <c r="F1961" s="11" t="str">
        <f aca="false">IF($A1961="","",IF(원본명단!$I1960="",0,COUNTIF(원본명단!$I$3:$I$6002,원본명단!$I1960)))</f>
        <v/>
      </c>
      <c r="G1961" s="11" t="str">
        <f aca="false">IF($A1961="","",IF(원본명단!$K1960="",0,COUNTIF(원본명단!$K$3:$K$6002,원본명단!$K1960)))</f>
        <v/>
      </c>
      <c r="H1961" s="11" t="str">
        <f aca="false">IF($A1961="","",IF(MAX($E1961,$F1961,$G1961)&gt;1,"중복","-"))</f>
        <v/>
      </c>
      <c r="I1961" s="11" t="str">
        <f aca="false">IF($A1961="","",IF($H1961="-","-",IF(AND(IF(원본명단!$H1960="",TRUE(),COUNTIF(원본명단!$H$3:$H1960,원본명단!$H1960)=1),IF(원본명단!$I1960="",TRUE(),COUNTIF(원본명단!$I$3:$I1960,원본명단!$I1960)=1),IF(원본명단!$K1960="",TRUE(),COUNTIF(원본명단!$K$3:$K1960,원본명단!$K1960)=1)),"첫 건","중복 건")))</f>
        <v/>
      </c>
      <c r="J1961" s="11" t="str">
        <f aca="false">IF($A1961="","",IF($H1961="-","유지",IF($I1961="첫 건","유지","확인 필요")))</f>
        <v/>
      </c>
    </row>
    <row r="1962" customFormat="false" ht="15" hidden="false" customHeight="true" outlineLevel="0" collapsed="false">
      <c r="A1962" s="11" t="str">
        <f aca="false">IF(원본명단!$A1961="","",1959)</f>
        <v/>
      </c>
      <c r="B1962" s="12" t="str">
        <f aca="false">IF($A1962="","",원본명단!$A1961)</f>
        <v/>
      </c>
      <c r="C1962" s="12" t="str">
        <f aca="false">IF($A1962="","",원본명단!$B1961)</f>
        <v/>
      </c>
      <c r="D1962" s="12" t="str">
        <f aca="false">IF($A1962="","",원본명단!$D1961)</f>
        <v/>
      </c>
      <c r="E1962" s="11" t="str">
        <f aca="false">IF($A1962="","",IF(원본명단!$H1961="",0,COUNTIF(원본명단!$H$3:$H$6002,원본명단!$H1961)))</f>
        <v/>
      </c>
      <c r="F1962" s="11" t="str">
        <f aca="false">IF($A1962="","",IF(원본명단!$I1961="",0,COUNTIF(원본명단!$I$3:$I$6002,원본명단!$I1961)))</f>
        <v/>
      </c>
      <c r="G1962" s="11" t="str">
        <f aca="false">IF($A1962="","",IF(원본명단!$K1961="",0,COUNTIF(원본명단!$K$3:$K$6002,원본명단!$K1961)))</f>
        <v/>
      </c>
      <c r="H1962" s="11" t="str">
        <f aca="false">IF($A1962="","",IF(MAX($E1962,$F1962,$G1962)&gt;1,"중복","-"))</f>
        <v/>
      </c>
      <c r="I1962" s="11" t="str">
        <f aca="false">IF($A1962="","",IF($H1962="-","-",IF(AND(IF(원본명단!$H1961="",TRUE(),COUNTIF(원본명단!$H$3:$H1961,원본명단!$H1961)=1),IF(원본명단!$I1961="",TRUE(),COUNTIF(원본명단!$I$3:$I1961,원본명단!$I1961)=1),IF(원본명단!$K1961="",TRUE(),COUNTIF(원본명단!$K$3:$K1961,원본명단!$K1961)=1)),"첫 건","중복 건")))</f>
        <v/>
      </c>
      <c r="J1962" s="11" t="str">
        <f aca="false">IF($A1962="","",IF($H1962="-","유지",IF($I1962="첫 건","유지","확인 필요")))</f>
        <v/>
      </c>
    </row>
    <row r="1963" customFormat="false" ht="15" hidden="false" customHeight="true" outlineLevel="0" collapsed="false">
      <c r="A1963" s="11" t="str">
        <f aca="false">IF(원본명단!$A1962="","",1960)</f>
        <v/>
      </c>
      <c r="B1963" s="12" t="str">
        <f aca="false">IF($A1963="","",원본명단!$A1962)</f>
        <v/>
      </c>
      <c r="C1963" s="12" t="str">
        <f aca="false">IF($A1963="","",원본명단!$B1962)</f>
        <v/>
      </c>
      <c r="D1963" s="12" t="str">
        <f aca="false">IF($A1963="","",원본명단!$D1962)</f>
        <v/>
      </c>
      <c r="E1963" s="11" t="str">
        <f aca="false">IF($A1963="","",IF(원본명단!$H1962="",0,COUNTIF(원본명단!$H$3:$H$6002,원본명단!$H1962)))</f>
        <v/>
      </c>
      <c r="F1963" s="11" t="str">
        <f aca="false">IF($A1963="","",IF(원본명단!$I1962="",0,COUNTIF(원본명단!$I$3:$I$6002,원본명단!$I1962)))</f>
        <v/>
      </c>
      <c r="G1963" s="11" t="str">
        <f aca="false">IF($A1963="","",IF(원본명단!$K1962="",0,COUNTIF(원본명단!$K$3:$K$6002,원본명단!$K1962)))</f>
        <v/>
      </c>
      <c r="H1963" s="11" t="str">
        <f aca="false">IF($A1963="","",IF(MAX($E1963,$F1963,$G1963)&gt;1,"중복","-"))</f>
        <v/>
      </c>
      <c r="I1963" s="11" t="str">
        <f aca="false">IF($A1963="","",IF($H1963="-","-",IF(AND(IF(원본명단!$H1962="",TRUE(),COUNTIF(원본명단!$H$3:$H1962,원본명단!$H1962)=1),IF(원본명단!$I1962="",TRUE(),COUNTIF(원본명단!$I$3:$I1962,원본명단!$I1962)=1),IF(원본명단!$K1962="",TRUE(),COUNTIF(원본명단!$K$3:$K1962,원본명단!$K1962)=1)),"첫 건","중복 건")))</f>
        <v/>
      </c>
      <c r="J1963" s="11" t="str">
        <f aca="false">IF($A1963="","",IF($H1963="-","유지",IF($I1963="첫 건","유지","확인 필요")))</f>
        <v/>
      </c>
    </row>
    <row r="1964" customFormat="false" ht="15" hidden="false" customHeight="true" outlineLevel="0" collapsed="false">
      <c r="A1964" s="11" t="str">
        <f aca="false">IF(원본명단!$A1963="","",1961)</f>
        <v/>
      </c>
      <c r="B1964" s="12" t="str">
        <f aca="false">IF($A1964="","",원본명단!$A1963)</f>
        <v/>
      </c>
      <c r="C1964" s="12" t="str">
        <f aca="false">IF($A1964="","",원본명단!$B1963)</f>
        <v/>
      </c>
      <c r="D1964" s="12" t="str">
        <f aca="false">IF($A1964="","",원본명단!$D1963)</f>
        <v/>
      </c>
      <c r="E1964" s="11" t="str">
        <f aca="false">IF($A1964="","",IF(원본명단!$H1963="",0,COUNTIF(원본명단!$H$3:$H$6002,원본명단!$H1963)))</f>
        <v/>
      </c>
      <c r="F1964" s="11" t="str">
        <f aca="false">IF($A1964="","",IF(원본명단!$I1963="",0,COUNTIF(원본명단!$I$3:$I$6002,원본명단!$I1963)))</f>
        <v/>
      </c>
      <c r="G1964" s="11" t="str">
        <f aca="false">IF($A1964="","",IF(원본명단!$K1963="",0,COUNTIF(원본명단!$K$3:$K$6002,원본명단!$K1963)))</f>
        <v/>
      </c>
      <c r="H1964" s="11" t="str">
        <f aca="false">IF($A1964="","",IF(MAX($E1964,$F1964,$G1964)&gt;1,"중복","-"))</f>
        <v/>
      </c>
      <c r="I1964" s="11" t="str">
        <f aca="false">IF($A1964="","",IF($H1964="-","-",IF(AND(IF(원본명단!$H1963="",TRUE(),COUNTIF(원본명단!$H$3:$H1963,원본명단!$H1963)=1),IF(원본명단!$I1963="",TRUE(),COUNTIF(원본명단!$I$3:$I1963,원본명단!$I1963)=1),IF(원본명단!$K1963="",TRUE(),COUNTIF(원본명단!$K$3:$K1963,원본명단!$K1963)=1)),"첫 건","중복 건")))</f>
        <v/>
      </c>
      <c r="J1964" s="11" t="str">
        <f aca="false">IF($A1964="","",IF($H1964="-","유지",IF($I1964="첫 건","유지","확인 필요")))</f>
        <v/>
      </c>
    </row>
    <row r="1965" customFormat="false" ht="15" hidden="false" customHeight="true" outlineLevel="0" collapsed="false">
      <c r="A1965" s="11" t="str">
        <f aca="false">IF(원본명단!$A1964="","",1962)</f>
        <v/>
      </c>
      <c r="B1965" s="12" t="str">
        <f aca="false">IF($A1965="","",원본명단!$A1964)</f>
        <v/>
      </c>
      <c r="C1965" s="12" t="str">
        <f aca="false">IF($A1965="","",원본명단!$B1964)</f>
        <v/>
      </c>
      <c r="D1965" s="12" t="str">
        <f aca="false">IF($A1965="","",원본명단!$D1964)</f>
        <v/>
      </c>
      <c r="E1965" s="11" t="str">
        <f aca="false">IF($A1965="","",IF(원본명단!$H1964="",0,COUNTIF(원본명단!$H$3:$H$6002,원본명단!$H1964)))</f>
        <v/>
      </c>
      <c r="F1965" s="11" t="str">
        <f aca="false">IF($A1965="","",IF(원본명단!$I1964="",0,COUNTIF(원본명단!$I$3:$I$6002,원본명단!$I1964)))</f>
        <v/>
      </c>
      <c r="G1965" s="11" t="str">
        <f aca="false">IF($A1965="","",IF(원본명단!$K1964="",0,COUNTIF(원본명단!$K$3:$K$6002,원본명단!$K1964)))</f>
        <v/>
      </c>
      <c r="H1965" s="11" t="str">
        <f aca="false">IF($A1965="","",IF(MAX($E1965,$F1965,$G1965)&gt;1,"중복","-"))</f>
        <v/>
      </c>
      <c r="I1965" s="11" t="str">
        <f aca="false">IF($A1965="","",IF($H1965="-","-",IF(AND(IF(원본명단!$H1964="",TRUE(),COUNTIF(원본명단!$H$3:$H1964,원본명단!$H1964)=1),IF(원본명단!$I1964="",TRUE(),COUNTIF(원본명단!$I$3:$I1964,원본명단!$I1964)=1),IF(원본명단!$K1964="",TRUE(),COUNTIF(원본명단!$K$3:$K1964,원본명단!$K1964)=1)),"첫 건","중복 건")))</f>
        <v/>
      </c>
      <c r="J1965" s="11" t="str">
        <f aca="false">IF($A1965="","",IF($H1965="-","유지",IF($I1965="첫 건","유지","확인 필요")))</f>
        <v/>
      </c>
    </row>
    <row r="1966" customFormat="false" ht="15" hidden="false" customHeight="true" outlineLevel="0" collapsed="false">
      <c r="A1966" s="11" t="str">
        <f aca="false">IF(원본명단!$A1965="","",1963)</f>
        <v/>
      </c>
      <c r="B1966" s="12" t="str">
        <f aca="false">IF($A1966="","",원본명단!$A1965)</f>
        <v/>
      </c>
      <c r="C1966" s="12" t="str">
        <f aca="false">IF($A1966="","",원본명단!$B1965)</f>
        <v/>
      </c>
      <c r="D1966" s="12" t="str">
        <f aca="false">IF($A1966="","",원본명단!$D1965)</f>
        <v/>
      </c>
      <c r="E1966" s="11" t="str">
        <f aca="false">IF($A1966="","",IF(원본명단!$H1965="",0,COUNTIF(원본명단!$H$3:$H$6002,원본명단!$H1965)))</f>
        <v/>
      </c>
      <c r="F1966" s="11" t="str">
        <f aca="false">IF($A1966="","",IF(원본명단!$I1965="",0,COUNTIF(원본명단!$I$3:$I$6002,원본명단!$I1965)))</f>
        <v/>
      </c>
      <c r="G1966" s="11" t="str">
        <f aca="false">IF($A1966="","",IF(원본명단!$K1965="",0,COUNTIF(원본명단!$K$3:$K$6002,원본명단!$K1965)))</f>
        <v/>
      </c>
      <c r="H1966" s="11" t="str">
        <f aca="false">IF($A1966="","",IF(MAX($E1966,$F1966,$G1966)&gt;1,"중복","-"))</f>
        <v/>
      </c>
      <c r="I1966" s="11" t="str">
        <f aca="false">IF($A1966="","",IF($H1966="-","-",IF(AND(IF(원본명단!$H1965="",TRUE(),COUNTIF(원본명단!$H$3:$H1965,원본명단!$H1965)=1),IF(원본명단!$I1965="",TRUE(),COUNTIF(원본명단!$I$3:$I1965,원본명단!$I1965)=1),IF(원본명단!$K1965="",TRUE(),COUNTIF(원본명단!$K$3:$K1965,원본명단!$K1965)=1)),"첫 건","중복 건")))</f>
        <v/>
      </c>
      <c r="J1966" s="11" t="str">
        <f aca="false">IF($A1966="","",IF($H1966="-","유지",IF($I1966="첫 건","유지","확인 필요")))</f>
        <v/>
      </c>
    </row>
    <row r="1967" customFormat="false" ht="15" hidden="false" customHeight="true" outlineLevel="0" collapsed="false">
      <c r="A1967" s="11" t="str">
        <f aca="false">IF(원본명단!$A1966="","",1964)</f>
        <v/>
      </c>
      <c r="B1967" s="12" t="str">
        <f aca="false">IF($A1967="","",원본명단!$A1966)</f>
        <v/>
      </c>
      <c r="C1967" s="12" t="str">
        <f aca="false">IF($A1967="","",원본명단!$B1966)</f>
        <v/>
      </c>
      <c r="D1967" s="12" t="str">
        <f aca="false">IF($A1967="","",원본명단!$D1966)</f>
        <v/>
      </c>
      <c r="E1967" s="11" t="str">
        <f aca="false">IF($A1967="","",IF(원본명단!$H1966="",0,COUNTIF(원본명단!$H$3:$H$6002,원본명단!$H1966)))</f>
        <v/>
      </c>
      <c r="F1967" s="11" t="str">
        <f aca="false">IF($A1967="","",IF(원본명단!$I1966="",0,COUNTIF(원본명단!$I$3:$I$6002,원본명단!$I1966)))</f>
        <v/>
      </c>
      <c r="G1967" s="11" t="str">
        <f aca="false">IF($A1967="","",IF(원본명단!$K1966="",0,COUNTIF(원본명단!$K$3:$K$6002,원본명단!$K1966)))</f>
        <v/>
      </c>
      <c r="H1967" s="11" t="str">
        <f aca="false">IF($A1967="","",IF(MAX($E1967,$F1967,$G1967)&gt;1,"중복","-"))</f>
        <v/>
      </c>
      <c r="I1967" s="11" t="str">
        <f aca="false">IF($A1967="","",IF($H1967="-","-",IF(AND(IF(원본명단!$H1966="",TRUE(),COUNTIF(원본명단!$H$3:$H1966,원본명단!$H1966)=1),IF(원본명단!$I1966="",TRUE(),COUNTIF(원본명단!$I$3:$I1966,원본명단!$I1966)=1),IF(원본명단!$K1966="",TRUE(),COUNTIF(원본명단!$K$3:$K1966,원본명단!$K1966)=1)),"첫 건","중복 건")))</f>
        <v/>
      </c>
      <c r="J1967" s="11" t="str">
        <f aca="false">IF($A1967="","",IF($H1967="-","유지",IF($I1967="첫 건","유지","확인 필요")))</f>
        <v/>
      </c>
    </row>
    <row r="1968" customFormat="false" ht="15" hidden="false" customHeight="true" outlineLevel="0" collapsed="false">
      <c r="A1968" s="11" t="str">
        <f aca="false">IF(원본명단!$A1967="","",1965)</f>
        <v/>
      </c>
      <c r="B1968" s="12" t="str">
        <f aca="false">IF($A1968="","",원본명단!$A1967)</f>
        <v/>
      </c>
      <c r="C1968" s="12" t="str">
        <f aca="false">IF($A1968="","",원본명단!$B1967)</f>
        <v/>
      </c>
      <c r="D1968" s="12" t="str">
        <f aca="false">IF($A1968="","",원본명단!$D1967)</f>
        <v/>
      </c>
      <c r="E1968" s="11" t="str">
        <f aca="false">IF($A1968="","",IF(원본명단!$H1967="",0,COUNTIF(원본명단!$H$3:$H$6002,원본명단!$H1967)))</f>
        <v/>
      </c>
      <c r="F1968" s="11" t="str">
        <f aca="false">IF($A1968="","",IF(원본명단!$I1967="",0,COUNTIF(원본명단!$I$3:$I$6002,원본명단!$I1967)))</f>
        <v/>
      </c>
      <c r="G1968" s="11" t="str">
        <f aca="false">IF($A1968="","",IF(원본명단!$K1967="",0,COUNTIF(원본명단!$K$3:$K$6002,원본명단!$K1967)))</f>
        <v/>
      </c>
      <c r="H1968" s="11" t="str">
        <f aca="false">IF($A1968="","",IF(MAX($E1968,$F1968,$G1968)&gt;1,"중복","-"))</f>
        <v/>
      </c>
      <c r="I1968" s="11" t="str">
        <f aca="false">IF($A1968="","",IF($H1968="-","-",IF(AND(IF(원본명단!$H1967="",TRUE(),COUNTIF(원본명단!$H$3:$H1967,원본명단!$H1967)=1),IF(원본명단!$I1967="",TRUE(),COUNTIF(원본명단!$I$3:$I1967,원본명단!$I1967)=1),IF(원본명단!$K1967="",TRUE(),COUNTIF(원본명단!$K$3:$K1967,원본명단!$K1967)=1)),"첫 건","중복 건")))</f>
        <v/>
      </c>
      <c r="J1968" s="11" t="str">
        <f aca="false">IF($A1968="","",IF($H1968="-","유지",IF($I1968="첫 건","유지","확인 필요")))</f>
        <v/>
      </c>
    </row>
    <row r="1969" customFormat="false" ht="15" hidden="false" customHeight="true" outlineLevel="0" collapsed="false">
      <c r="A1969" s="11" t="str">
        <f aca="false">IF(원본명단!$A1968="","",1966)</f>
        <v/>
      </c>
      <c r="B1969" s="12" t="str">
        <f aca="false">IF($A1969="","",원본명단!$A1968)</f>
        <v/>
      </c>
      <c r="C1969" s="12" t="str">
        <f aca="false">IF($A1969="","",원본명단!$B1968)</f>
        <v/>
      </c>
      <c r="D1969" s="12" t="str">
        <f aca="false">IF($A1969="","",원본명단!$D1968)</f>
        <v/>
      </c>
      <c r="E1969" s="11" t="str">
        <f aca="false">IF($A1969="","",IF(원본명단!$H1968="",0,COUNTIF(원본명단!$H$3:$H$6002,원본명단!$H1968)))</f>
        <v/>
      </c>
      <c r="F1969" s="11" t="str">
        <f aca="false">IF($A1969="","",IF(원본명단!$I1968="",0,COUNTIF(원본명단!$I$3:$I$6002,원본명단!$I1968)))</f>
        <v/>
      </c>
      <c r="G1969" s="11" t="str">
        <f aca="false">IF($A1969="","",IF(원본명단!$K1968="",0,COUNTIF(원본명단!$K$3:$K$6002,원본명단!$K1968)))</f>
        <v/>
      </c>
      <c r="H1969" s="11" t="str">
        <f aca="false">IF($A1969="","",IF(MAX($E1969,$F1969,$G1969)&gt;1,"중복","-"))</f>
        <v/>
      </c>
      <c r="I1969" s="11" t="str">
        <f aca="false">IF($A1969="","",IF($H1969="-","-",IF(AND(IF(원본명단!$H1968="",TRUE(),COUNTIF(원본명단!$H$3:$H1968,원본명단!$H1968)=1),IF(원본명단!$I1968="",TRUE(),COUNTIF(원본명단!$I$3:$I1968,원본명단!$I1968)=1),IF(원본명단!$K1968="",TRUE(),COUNTIF(원본명단!$K$3:$K1968,원본명단!$K1968)=1)),"첫 건","중복 건")))</f>
        <v/>
      </c>
      <c r="J1969" s="11" t="str">
        <f aca="false">IF($A1969="","",IF($H1969="-","유지",IF($I1969="첫 건","유지","확인 필요")))</f>
        <v/>
      </c>
    </row>
    <row r="1970" customFormat="false" ht="15" hidden="false" customHeight="true" outlineLevel="0" collapsed="false">
      <c r="A1970" s="11" t="str">
        <f aca="false">IF(원본명단!$A1969="","",1967)</f>
        <v/>
      </c>
      <c r="B1970" s="12" t="str">
        <f aca="false">IF($A1970="","",원본명단!$A1969)</f>
        <v/>
      </c>
      <c r="C1970" s="12" t="str">
        <f aca="false">IF($A1970="","",원본명단!$B1969)</f>
        <v/>
      </c>
      <c r="D1970" s="12" t="str">
        <f aca="false">IF($A1970="","",원본명단!$D1969)</f>
        <v/>
      </c>
      <c r="E1970" s="11" t="str">
        <f aca="false">IF($A1970="","",IF(원본명단!$H1969="",0,COUNTIF(원본명단!$H$3:$H$6002,원본명단!$H1969)))</f>
        <v/>
      </c>
      <c r="F1970" s="11" t="str">
        <f aca="false">IF($A1970="","",IF(원본명단!$I1969="",0,COUNTIF(원본명단!$I$3:$I$6002,원본명단!$I1969)))</f>
        <v/>
      </c>
      <c r="G1970" s="11" t="str">
        <f aca="false">IF($A1970="","",IF(원본명단!$K1969="",0,COUNTIF(원본명단!$K$3:$K$6002,원본명단!$K1969)))</f>
        <v/>
      </c>
      <c r="H1970" s="11" t="str">
        <f aca="false">IF($A1970="","",IF(MAX($E1970,$F1970,$G1970)&gt;1,"중복","-"))</f>
        <v/>
      </c>
      <c r="I1970" s="11" t="str">
        <f aca="false">IF($A1970="","",IF($H1970="-","-",IF(AND(IF(원본명단!$H1969="",TRUE(),COUNTIF(원본명단!$H$3:$H1969,원본명단!$H1969)=1),IF(원본명단!$I1969="",TRUE(),COUNTIF(원본명단!$I$3:$I1969,원본명단!$I1969)=1),IF(원본명단!$K1969="",TRUE(),COUNTIF(원본명단!$K$3:$K1969,원본명단!$K1969)=1)),"첫 건","중복 건")))</f>
        <v/>
      </c>
      <c r="J1970" s="11" t="str">
        <f aca="false">IF($A1970="","",IF($H1970="-","유지",IF($I1970="첫 건","유지","확인 필요")))</f>
        <v/>
      </c>
    </row>
    <row r="1971" customFormat="false" ht="15" hidden="false" customHeight="true" outlineLevel="0" collapsed="false">
      <c r="A1971" s="11" t="str">
        <f aca="false">IF(원본명단!$A1970="","",1968)</f>
        <v/>
      </c>
      <c r="B1971" s="12" t="str">
        <f aca="false">IF($A1971="","",원본명단!$A1970)</f>
        <v/>
      </c>
      <c r="C1971" s="12" t="str">
        <f aca="false">IF($A1971="","",원본명단!$B1970)</f>
        <v/>
      </c>
      <c r="D1971" s="12" t="str">
        <f aca="false">IF($A1971="","",원본명단!$D1970)</f>
        <v/>
      </c>
      <c r="E1971" s="11" t="str">
        <f aca="false">IF($A1971="","",IF(원본명단!$H1970="",0,COUNTIF(원본명단!$H$3:$H$6002,원본명단!$H1970)))</f>
        <v/>
      </c>
      <c r="F1971" s="11" t="str">
        <f aca="false">IF($A1971="","",IF(원본명단!$I1970="",0,COUNTIF(원본명단!$I$3:$I$6002,원본명단!$I1970)))</f>
        <v/>
      </c>
      <c r="G1971" s="11" t="str">
        <f aca="false">IF($A1971="","",IF(원본명단!$K1970="",0,COUNTIF(원본명단!$K$3:$K$6002,원본명단!$K1970)))</f>
        <v/>
      </c>
      <c r="H1971" s="11" t="str">
        <f aca="false">IF($A1971="","",IF(MAX($E1971,$F1971,$G1971)&gt;1,"중복","-"))</f>
        <v/>
      </c>
      <c r="I1971" s="11" t="str">
        <f aca="false">IF($A1971="","",IF($H1971="-","-",IF(AND(IF(원본명단!$H1970="",TRUE(),COUNTIF(원본명단!$H$3:$H1970,원본명단!$H1970)=1),IF(원본명단!$I1970="",TRUE(),COUNTIF(원본명단!$I$3:$I1970,원본명단!$I1970)=1),IF(원본명단!$K1970="",TRUE(),COUNTIF(원본명단!$K$3:$K1970,원본명단!$K1970)=1)),"첫 건","중복 건")))</f>
        <v/>
      </c>
      <c r="J1971" s="11" t="str">
        <f aca="false">IF($A1971="","",IF($H1971="-","유지",IF($I1971="첫 건","유지","확인 필요")))</f>
        <v/>
      </c>
    </row>
    <row r="1972" customFormat="false" ht="15" hidden="false" customHeight="true" outlineLevel="0" collapsed="false">
      <c r="A1972" s="11" t="str">
        <f aca="false">IF(원본명단!$A1971="","",1969)</f>
        <v/>
      </c>
      <c r="B1972" s="12" t="str">
        <f aca="false">IF($A1972="","",원본명단!$A1971)</f>
        <v/>
      </c>
      <c r="C1972" s="12" t="str">
        <f aca="false">IF($A1972="","",원본명단!$B1971)</f>
        <v/>
      </c>
      <c r="D1972" s="12" t="str">
        <f aca="false">IF($A1972="","",원본명단!$D1971)</f>
        <v/>
      </c>
      <c r="E1972" s="11" t="str">
        <f aca="false">IF($A1972="","",IF(원본명단!$H1971="",0,COUNTIF(원본명단!$H$3:$H$6002,원본명단!$H1971)))</f>
        <v/>
      </c>
      <c r="F1972" s="11" t="str">
        <f aca="false">IF($A1972="","",IF(원본명단!$I1971="",0,COUNTIF(원본명단!$I$3:$I$6002,원본명단!$I1971)))</f>
        <v/>
      </c>
      <c r="G1972" s="11" t="str">
        <f aca="false">IF($A1972="","",IF(원본명단!$K1971="",0,COUNTIF(원본명단!$K$3:$K$6002,원본명단!$K1971)))</f>
        <v/>
      </c>
      <c r="H1972" s="11" t="str">
        <f aca="false">IF($A1972="","",IF(MAX($E1972,$F1972,$G1972)&gt;1,"중복","-"))</f>
        <v/>
      </c>
      <c r="I1972" s="11" t="str">
        <f aca="false">IF($A1972="","",IF($H1972="-","-",IF(AND(IF(원본명단!$H1971="",TRUE(),COUNTIF(원본명단!$H$3:$H1971,원본명단!$H1971)=1),IF(원본명단!$I1971="",TRUE(),COUNTIF(원본명단!$I$3:$I1971,원본명단!$I1971)=1),IF(원본명단!$K1971="",TRUE(),COUNTIF(원본명단!$K$3:$K1971,원본명단!$K1971)=1)),"첫 건","중복 건")))</f>
        <v/>
      </c>
      <c r="J1972" s="11" t="str">
        <f aca="false">IF($A1972="","",IF($H1972="-","유지",IF($I1972="첫 건","유지","확인 필요")))</f>
        <v/>
      </c>
    </row>
    <row r="1973" customFormat="false" ht="15" hidden="false" customHeight="true" outlineLevel="0" collapsed="false">
      <c r="A1973" s="11" t="str">
        <f aca="false">IF(원본명단!$A1972="","",1970)</f>
        <v/>
      </c>
      <c r="B1973" s="12" t="str">
        <f aca="false">IF($A1973="","",원본명단!$A1972)</f>
        <v/>
      </c>
      <c r="C1973" s="12" t="str">
        <f aca="false">IF($A1973="","",원본명단!$B1972)</f>
        <v/>
      </c>
      <c r="D1973" s="12" t="str">
        <f aca="false">IF($A1973="","",원본명단!$D1972)</f>
        <v/>
      </c>
      <c r="E1973" s="11" t="str">
        <f aca="false">IF($A1973="","",IF(원본명단!$H1972="",0,COUNTIF(원본명단!$H$3:$H$6002,원본명단!$H1972)))</f>
        <v/>
      </c>
      <c r="F1973" s="11" t="str">
        <f aca="false">IF($A1973="","",IF(원본명단!$I1972="",0,COUNTIF(원본명단!$I$3:$I$6002,원본명단!$I1972)))</f>
        <v/>
      </c>
      <c r="G1973" s="11" t="str">
        <f aca="false">IF($A1973="","",IF(원본명단!$K1972="",0,COUNTIF(원본명단!$K$3:$K$6002,원본명단!$K1972)))</f>
        <v/>
      </c>
      <c r="H1973" s="11" t="str">
        <f aca="false">IF($A1973="","",IF(MAX($E1973,$F1973,$G1973)&gt;1,"중복","-"))</f>
        <v/>
      </c>
      <c r="I1973" s="11" t="str">
        <f aca="false">IF($A1973="","",IF($H1973="-","-",IF(AND(IF(원본명단!$H1972="",TRUE(),COUNTIF(원본명단!$H$3:$H1972,원본명단!$H1972)=1),IF(원본명단!$I1972="",TRUE(),COUNTIF(원본명단!$I$3:$I1972,원본명단!$I1972)=1),IF(원본명단!$K1972="",TRUE(),COUNTIF(원본명단!$K$3:$K1972,원본명단!$K1972)=1)),"첫 건","중복 건")))</f>
        <v/>
      </c>
      <c r="J1973" s="11" t="str">
        <f aca="false">IF($A1973="","",IF($H1973="-","유지",IF($I1973="첫 건","유지","확인 필요")))</f>
        <v/>
      </c>
    </row>
    <row r="1974" customFormat="false" ht="15" hidden="false" customHeight="true" outlineLevel="0" collapsed="false">
      <c r="A1974" s="11" t="str">
        <f aca="false">IF(원본명단!$A1973="","",1971)</f>
        <v/>
      </c>
      <c r="B1974" s="12" t="str">
        <f aca="false">IF($A1974="","",원본명단!$A1973)</f>
        <v/>
      </c>
      <c r="C1974" s="12" t="str">
        <f aca="false">IF($A1974="","",원본명단!$B1973)</f>
        <v/>
      </c>
      <c r="D1974" s="12" t="str">
        <f aca="false">IF($A1974="","",원본명단!$D1973)</f>
        <v/>
      </c>
      <c r="E1974" s="11" t="str">
        <f aca="false">IF($A1974="","",IF(원본명단!$H1973="",0,COUNTIF(원본명단!$H$3:$H$6002,원본명단!$H1973)))</f>
        <v/>
      </c>
      <c r="F1974" s="11" t="str">
        <f aca="false">IF($A1974="","",IF(원본명단!$I1973="",0,COUNTIF(원본명단!$I$3:$I$6002,원본명단!$I1973)))</f>
        <v/>
      </c>
      <c r="G1974" s="11" t="str">
        <f aca="false">IF($A1974="","",IF(원본명단!$K1973="",0,COUNTIF(원본명단!$K$3:$K$6002,원본명단!$K1973)))</f>
        <v/>
      </c>
      <c r="H1974" s="11" t="str">
        <f aca="false">IF($A1974="","",IF(MAX($E1974,$F1974,$G1974)&gt;1,"중복","-"))</f>
        <v/>
      </c>
      <c r="I1974" s="11" t="str">
        <f aca="false">IF($A1974="","",IF($H1974="-","-",IF(AND(IF(원본명단!$H1973="",TRUE(),COUNTIF(원본명단!$H$3:$H1973,원본명단!$H1973)=1),IF(원본명단!$I1973="",TRUE(),COUNTIF(원본명단!$I$3:$I1973,원본명단!$I1973)=1),IF(원본명단!$K1973="",TRUE(),COUNTIF(원본명단!$K$3:$K1973,원본명단!$K1973)=1)),"첫 건","중복 건")))</f>
        <v/>
      </c>
      <c r="J1974" s="11" t="str">
        <f aca="false">IF($A1974="","",IF($H1974="-","유지",IF($I1974="첫 건","유지","확인 필요")))</f>
        <v/>
      </c>
    </row>
    <row r="1975" customFormat="false" ht="15" hidden="false" customHeight="true" outlineLevel="0" collapsed="false">
      <c r="A1975" s="11" t="str">
        <f aca="false">IF(원본명단!$A1974="","",1972)</f>
        <v/>
      </c>
      <c r="B1975" s="12" t="str">
        <f aca="false">IF($A1975="","",원본명단!$A1974)</f>
        <v/>
      </c>
      <c r="C1975" s="12" t="str">
        <f aca="false">IF($A1975="","",원본명단!$B1974)</f>
        <v/>
      </c>
      <c r="D1975" s="12" t="str">
        <f aca="false">IF($A1975="","",원본명단!$D1974)</f>
        <v/>
      </c>
      <c r="E1975" s="11" t="str">
        <f aca="false">IF($A1975="","",IF(원본명단!$H1974="",0,COUNTIF(원본명단!$H$3:$H$6002,원본명단!$H1974)))</f>
        <v/>
      </c>
      <c r="F1975" s="11" t="str">
        <f aca="false">IF($A1975="","",IF(원본명단!$I1974="",0,COUNTIF(원본명단!$I$3:$I$6002,원본명단!$I1974)))</f>
        <v/>
      </c>
      <c r="G1975" s="11" t="str">
        <f aca="false">IF($A1975="","",IF(원본명단!$K1974="",0,COUNTIF(원본명단!$K$3:$K$6002,원본명단!$K1974)))</f>
        <v/>
      </c>
      <c r="H1975" s="11" t="str">
        <f aca="false">IF($A1975="","",IF(MAX($E1975,$F1975,$G1975)&gt;1,"중복","-"))</f>
        <v/>
      </c>
      <c r="I1975" s="11" t="str">
        <f aca="false">IF($A1975="","",IF($H1975="-","-",IF(AND(IF(원본명단!$H1974="",TRUE(),COUNTIF(원본명단!$H$3:$H1974,원본명단!$H1974)=1),IF(원본명단!$I1974="",TRUE(),COUNTIF(원본명단!$I$3:$I1974,원본명단!$I1974)=1),IF(원본명단!$K1974="",TRUE(),COUNTIF(원본명단!$K$3:$K1974,원본명단!$K1974)=1)),"첫 건","중복 건")))</f>
        <v/>
      </c>
      <c r="J1975" s="11" t="str">
        <f aca="false">IF($A1975="","",IF($H1975="-","유지",IF($I1975="첫 건","유지","확인 필요")))</f>
        <v/>
      </c>
    </row>
    <row r="1976" customFormat="false" ht="15" hidden="false" customHeight="true" outlineLevel="0" collapsed="false">
      <c r="A1976" s="11" t="str">
        <f aca="false">IF(원본명단!$A1975="","",1973)</f>
        <v/>
      </c>
      <c r="B1976" s="12" t="str">
        <f aca="false">IF($A1976="","",원본명단!$A1975)</f>
        <v/>
      </c>
      <c r="C1976" s="12" t="str">
        <f aca="false">IF($A1976="","",원본명단!$B1975)</f>
        <v/>
      </c>
      <c r="D1976" s="12" t="str">
        <f aca="false">IF($A1976="","",원본명단!$D1975)</f>
        <v/>
      </c>
      <c r="E1976" s="11" t="str">
        <f aca="false">IF($A1976="","",IF(원본명단!$H1975="",0,COUNTIF(원본명단!$H$3:$H$6002,원본명단!$H1975)))</f>
        <v/>
      </c>
      <c r="F1976" s="11" t="str">
        <f aca="false">IF($A1976="","",IF(원본명단!$I1975="",0,COUNTIF(원본명단!$I$3:$I$6002,원본명단!$I1975)))</f>
        <v/>
      </c>
      <c r="G1976" s="11" t="str">
        <f aca="false">IF($A1976="","",IF(원본명단!$K1975="",0,COUNTIF(원본명단!$K$3:$K$6002,원본명단!$K1975)))</f>
        <v/>
      </c>
      <c r="H1976" s="11" t="str">
        <f aca="false">IF($A1976="","",IF(MAX($E1976,$F1976,$G1976)&gt;1,"중복","-"))</f>
        <v/>
      </c>
      <c r="I1976" s="11" t="str">
        <f aca="false">IF($A1976="","",IF($H1976="-","-",IF(AND(IF(원본명단!$H1975="",TRUE(),COUNTIF(원본명단!$H$3:$H1975,원본명단!$H1975)=1),IF(원본명단!$I1975="",TRUE(),COUNTIF(원본명단!$I$3:$I1975,원본명단!$I1975)=1),IF(원본명단!$K1975="",TRUE(),COUNTIF(원본명단!$K$3:$K1975,원본명단!$K1975)=1)),"첫 건","중복 건")))</f>
        <v/>
      </c>
      <c r="J1976" s="11" t="str">
        <f aca="false">IF($A1976="","",IF($H1976="-","유지",IF($I1976="첫 건","유지","확인 필요")))</f>
        <v/>
      </c>
    </row>
    <row r="1977" customFormat="false" ht="15" hidden="false" customHeight="true" outlineLevel="0" collapsed="false">
      <c r="A1977" s="11" t="str">
        <f aca="false">IF(원본명단!$A1976="","",1974)</f>
        <v/>
      </c>
      <c r="B1977" s="12" t="str">
        <f aca="false">IF($A1977="","",원본명단!$A1976)</f>
        <v/>
      </c>
      <c r="C1977" s="12" t="str">
        <f aca="false">IF($A1977="","",원본명단!$B1976)</f>
        <v/>
      </c>
      <c r="D1977" s="12" t="str">
        <f aca="false">IF($A1977="","",원본명단!$D1976)</f>
        <v/>
      </c>
      <c r="E1977" s="11" t="str">
        <f aca="false">IF($A1977="","",IF(원본명단!$H1976="",0,COUNTIF(원본명단!$H$3:$H$6002,원본명단!$H1976)))</f>
        <v/>
      </c>
      <c r="F1977" s="11" t="str">
        <f aca="false">IF($A1977="","",IF(원본명단!$I1976="",0,COUNTIF(원본명단!$I$3:$I$6002,원본명단!$I1976)))</f>
        <v/>
      </c>
      <c r="G1977" s="11" t="str">
        <f aca="false">IF($A1977="","",IF(원본명단!$K1976="",0,COUNTIF(원본명단!$K$3:$K$6002,원본명단!$K1976)))</f>
        <v/>
      </c>
      <c r="H1977" s="11" t="str">
        <f aca="false">IF($A1977="","",IF(MAX($E1977,$F1977,$G1977)&gt;1,"중복","-"))</f>
        <v/>
      </c>
      <c r="I1977" s="11" t="str">
        <f aca="false">IF($A1977="","",IF($H1977="-","-",IF(AND(IF(원본명단!$H1976="",TRUE(),COUNTIF(원본명단!$H$3:$H1976,원본명단!$H1976)=1),IF(원본명단!$I1976="",TRUE(),COUNTIF(원본명단!$I$3:$I1976,원본명단!$I1976)=1),IF(원본명단!$K1976="",TRUE(),COUNTIF(원본명단!$K$3:$K1976,원본명단!$K1976)=1)),"첫 건","중복 건")))</f>
        <v/>
      </c>
      <c r="J1977" s="11" t="str">
        <f aca="false">IF($A1977="","",IF($H1977="-","유지",IF($I1977="첫 건","유지","확인 필요")))</f>
        <v/>
      </c>
    </row>
    <row r="1978" customFormat="false" ht="15" hidden="false" customHeight="true" outlineLevel="0" collapsed="false">
      <c r="A1978" s="11" t="str">
        <f aca="false">IF(원본명단!$A1977="","",1975)</f>
        <v/>
      </c>
      <c r="B1978" s="12" t="str">
        <f aca="false">IF($A1978="","",원본명단!$A1977)</f>
        <v/>
      </c>
      <c r="C1978" s="12" t="str">
        <f aca="false">IF($A1978="","",원본명단!$B1977)</f>
        <v/>
      </c>
      <c r="D1978" s="12" t="str">
        <f aca="false">IF($A1978="","",원본명단!$D1977)</f>
        <v/>
      </c>
      <c r="E1978" s="11" t="str">
        <f aca="false">IF($A1978="","",IF(원본명단!$H1977="",0,COUNTIF(원본명단!$H$3:$H$6002,원본명단!$H1977)))</f>
        <v/>
      </c>
      <c r="F1978" s="11" t="str">
        <f aca="false">IF($A1978="","",IF(원본명단!$I1977="",0,COUNTIF(원본명단!$I$3:$I$6002,원본명단!$I1977)))</f>
        <v/>
      </c>
      <c r="G1978" s="11" t="str">
        <f aca="false">IF($A1978="","",IF(원본명단!$K1977="",0,COUNTIF(원본명단!$K$3:$K$6002,원본명단!$K1977)))</f>
        <v/>
      </c>
      <c r="H1978" s="11" t="str">
        <f aca="false">IF($A1978="","",IF(MAX($E1978,$F1978,$G1978)&gt;1,"중복","-"))</f>
        <v/>
      </c>
      <c r="I1978" s="11" t="str">
        <f aca="false">IF($A1978="","",IF($H1978="-","-",IF(AND(IF(원본명단!$H1977="",TRUE(),COUNTIF(원본명단!$H$3:$H1977,원본명단!$H1977)=1),IF(원본명단!$I1977="",TRUE(),COUNTIF(원본명단!$I$3:$I1977,원본명단!$I1977)=1),IF(원본명단!$K1977="",TRUE(),COUNTIF(원본명단!$K$3:$K1977,원본명단!$K1977)=1)),"첫 건","중복 건")))</f>
        <v/>
      </c>
      <c r="J1978" s="11" t="str">
        <f aca="false">IF($A1978="","",IF($H1978="-","유지",IF($I1978="첫 건","유지","확인 필요")))</f>
        <v/>
      </c>
    </row>
    <row r="1979" customFormat="false" ht="15" hidden="false" customHeight="true" outlineLevel="0" collapsed="false">
      <c r="A1979" s="11" t="str">
        <f aca="false">IF(원본명단!$A1978="","",1976)</f>
        <v/>
      </c>
      <c r="B1979" s="12" t="str">
        <f aca="false">IF($A1979="","",원본명단!$A1978)</f>
        <v/>
      </c>
      <c r="C1979" s="12" t="str">
        <f aca="false">IF($A1979="","",원본명단!$B1978)</f>
        <v/>
      </c>
      <c r="D1979" s="12" t="str">
        <f aca="false">IF($A1979="","",원본명단!$D1978)</f>
        <v/>
      </c>
      <c r="E1979" s="11" t="str">
        <f aca="false">IF($A1979="","",IF(원본명단!$H1978="",0,COUNTIF(원본명단!$H$3:$H$6002,원본명단!$H1978)))</f>
        <v/>
      </c>
      <c r="F1979" s="11" t="str">
        <f aca="false">IF($A1979="","",IF(원본명단!$I1978="",0,COUNTIF(원본명단!$I$3:$I$6002,원본명단!$I1978)))</f>
        <v/>
      </c>
      <c r="G1979" s="11" t="str">
        <f aca="false">IF($A1979="","",IF(원본명단!$K1978="",0,COUNTIF(원본명단!$K$3:$K$6002,원본명단!$K1978)))</f>
        <v/>
      </c>
      <c r="H1979" s="11" t="str">
        <f aca="false">IF($A1979="","",IF(MAX($E1979,$F1979,$G1979)&gt;1,"중복","-"))</f>
        <v/>
      </c>
      <c r="I1979" s="11" t="str">
        <f aca="false">IF($A1979="","",IF($H1979="-","-",IF(AND(IF(원본명단!$H1978="",TRUE(),COUNTIF(원본명단!$H$3:$H1978,원본명단!$H1978)=1),IF(원본명단!$I1978="",TRUE(),COUNTIF(원본명단!$I$3:$I1978,원본명단!$I1978)=1),IF(원본명단!$K1978="",TRUE(),COUNTIF(원본명단!$K$3:$K1978,원본명단!$K1978)=1)),"첫 건","중복 건")))</f>
        <v/>
      </c>
      <c r="J1979" s="11" t="str">
        <f aca="false">IF($A1979="","",IF($H1979="-","유지",IF($I1979="첫 건","유지","확인 필요")))</f>
        <v/>
      </c>
    </row>
    <row r="1980" customFormat="false" ht="15" hidden="false" customHeight="true" outlineLevel="0" collapsed="false">
      <c r="A1980" s="11" t="str">
        <f aca="false">IF(원본명단!$A1979="","",1977)</f>
        <v/>
      </c>
      <c r="B1980" s="12" t="str">
        <f aca="false">IF($A1980="","",원본명단!$A1979)</f>
        <v/>
      </c>
      <c r="C1980" s="12" t="str">
        <f aca="false">IF($A1980="","",원본명단!$B1979)</f>
        <v/>
      </c>
      <c r="D1980" s="12" t="str">
        <f aca="false">IF($A1980="","",원본명단!$D1979)</f>
        <v/>
      </c>
      <c r="E1980" s="11" t="str">
        <f aca="false">IF($A1980="","",IF(원본명단!$H1979="",0,COUNTIF(원본명단!$H$3:$H$6002,원본명단!$H1979)))</f>
        <v/>
      </c>
      <c r="F1980" s="11" t="str">
        <f aca="false">IF($A1980="","",IF(원본명단!$I1979="",0,COUNTIF(원본명단!$I$3:$I$6002,원본명단!$I1979)))</f>
        <v/>
      </c>
      <c r="G1980" s="11" t="str">
        <f aca="false">IF($A1980="","",IF(원본명단!$K1979="",0,COUNTIF(원본명단!$K$3:$K$6002,원본명단!$K1979)))</f>
        <v/>
      </c>
      <c r="H1980" s="11" t="str">
        <f aca="false">IF($A1980="","",IF(MAX($E1980,$F1980,$G1980)&gt;1,"중복","-"))</f>
        <v/>
      </c>
      <c r="I1980" s="11" t="str">
        <f aca="false">IF($A1980="","",IF($H1980="-","-",IF(AND(IF(원본명단!$H1979="",TRUE(),COUNTIF(원본명단!$H$3:$H1979,원본명단!$H1979)=1),IF(원본명단!$I1979="",TRUE(),COUNTIF(원본명단!$I$3:$I1979,원본명단!$I1979)=1),IF(원본명단!$K1979="",TRUE(),COUNTIF(원본명단!$K$3:$K1979,원본명단!$K1979)=1)),"첫 건","중복 건")))</f>
        <v/>
      </c>
      <c r="J1980" s="11" t="str">
        <f aca="false">IF($A1980="","",IF($H1980="-","유지",IF($I1980="첫 건","유지","확인 필요")))</f>
        <v/>
      </c>
    </row>
    <row r="1981" customFormat="false" ht="15" hidden="false" customHeight="true" outlineLevel="0" collapsed="false">
      <c r="A1981" s="11" t="str">
        <f aca="false">IF(원본명단!$A1980="","",1978)</f>
        <v/>
      </c>
      <c r="B1981" s="12" t="str">
        <f aca="false">IF($A1981="","",원본명단!$A1980)</f>
        <v/>
      </c>
      <c r="C1981" s="12" t="str">
        <f aca="false">IF($A1981="","",원본명단!$B1980)</f>
        <v/>
      </c>
      <c r="D1981" s="12" t="str">
        <f aca="false">IF($A1981="","",원본명단!$D1980)</f>
        <v/>
      </c>
      <c r="E1981" s="11" t="str">
        <f aca="false">IF($A1981="","",IF(원본명단!$H1980="",0,COUNTIF(원본명단!$H$3:$H$6002,원본명단!$H1980)))</f>
        <v/>
      </c>
      <c r="F1981" s="11" t="str">
        <f aca="false">IF($A1981="","",IF(원본명단!$I1980="",0,COUNTIF(원본명단!$I$3:$I$6002,원본명단!$I1980)))</f>
        <v/>
      </c>
      <c r="G1981" s="11" t="str">
        <f aca="false">IF($A1981="","",IF(원본명단!$K1980="",0,COUNTIF(원본명단!$K$3:$K$6002,원본명단!$K1980)))</f>
        <v/>
      </c>
      <c r="H1981" s="11" t="str">
        <f aca="false">IF($A1981="","",IF(MAX($E1981,$F1981,$G1981)&gt;1,"중복","-"))</f>
        <v/>
      </c>
      <c r="I1981" s="11" t="str">
        <f aca="false">IF($A1981="","",IF($H1981="-","-",IF(AND(IF(원본명단!$H1980="",TRUE(),COUNTIF(원본명단!$H$3:$H1980,원본명단!$H1980)=1),IF(원본명단!$I1980="",TRUE(),COUNTIF(원본명단!$I$3:$I1980,원본명단!$I1980)=1),IF(원본명단!$K1980="",TRUE(),COUNTIF(원본명단!$K$3:$K1980,원본명단!$K1980)=1)),"첫 건","중복 건")))</f>
        <v/>
      </c>
      <c r="J1981" s="11" t="str">
        <f aca="false">IF($A1981="","",IF($H1981="-","유지",IF($I1981="첫 건","유지","확인 필요")))</f>
        <v/>
      </c>
    </row>
    <row r="1982" customFormat="false" ht="15" hidden="false" customHeight="true" outlineLevel="0" collapsed="false">
      <c r="A1982" s="11" t="str">
        <f aca="false">IF(원본명단!$A1981="","",1979)</f>
        <v/>
      </c>
      <c r="B1982" s="12" t="str">
        <f aca="false">IF($A1982="","",원본명단!$A1981)</f>
        <v/>
      </c>
      <c r="C1982" s="12" t="str">
        <f aca="false">IF($A1982="","",원본명단!$B1981)</f>
        <v/>
      </c>
      <c r="D1982" s="12" t="str">
        <f aca="false">IF($A1982="","",원본명단!$D1981)</f>
        <v/>
      </c>
      <c r="E1982" s="11" t="str">
        <f aca="false">IF($A1982="","",IF(원본명단!$H1981="",0,COUNTIF(원본명단!$H$3:$H$6002,원본명단!$H1981)))</f>
        <v/>
      </c>
      <c r="F1982" s="11" t="str">
        <f aca="false">IF($A1982="","",IF(원본명단!$I1981="",0,COUNTIF(원본명단!$I$3:$I$6002,원본명단!$I1981)))</f>
        <v/>
      </c>
      <c r="G1982" s="11" t="str">
        <f aca="false">IF($A1982="","",IF(원본명단!$K1981="",0,COUNTIF(원본명단!$K$3:$K$6002,원본명단!$K1981)))</f>
        <v/>
      </c>
      <c r="H1982" s="11" t="str">
        <f aca="false">IF($A1982="","",IF(MAX($E1982,$F1982,$G1982)&gt;1,"중복","-"))</f>
        <v/>
      </c>
      <c r="I1982" s="11" t="str">
        <f aca="false">IF($A1982="","",IF($H1982="-","-",IF(AND(IF(원본명단!$H1981="",TRUE(),COUNTIF(원본명단!$H$3:$H1981,원본명단!$H1981)=1),IF(원본명단!$I1981="",TRUE(),COUNTIF(원본명단!$I$3:$I1981,원본명단!$I1981)=1),IF(원본명단!$K1981="",TRUE(),COUNTIF(원본명단!$K$3:$K1981,원본명단!$K1981)=1)),"첫 건","중복 건")))</f>
        <v/>
      </c>
      <c r="J1982" s="11" t="str">
        <f aca="false">IF($A1982="","",IF($H1982="-","유지",IF($I1982="첫 건","유지","확인 필요")))</f>
        <v/>
      </c>
    </row>
    <row r="1983" customFormat="false" ht="15" hidden="false" customHeight="true" outlineLevel="0" collapsed="false">
      <c r="A1983" s="11" t="str">
        <f aca="false">IF(원본명단!$A1982="","",1980)</f>
        <v/>
      </c>
      <c r="B1983" s="12" t="str">
        <f aca="false">IF($A1983="","",원본명단!$A1982)</f>
        <v/>
      </c>
      <c r="C1983" s="12" t="str">
        <f aca="false">IF($A1983="","",원본명단!$B1982)</f>
        <v/>
      </c>
      <c r="D1983" s="12" t="str">
        <f aca="false">IF($A1983="","",원본명단!$D1982)</f>
        <v/>
      </c>
      <c r="E1983" s="11" t="str">
        <f aca="false">IF($A1983="","",IF(원본명단!$H1982="",0,COUNTIF(원본명단!$H$3:$H$6002,원본명단!$H1982)))</f>
        <v/>
      </c>
      <c r="F1983" s="11" t="str">
        <f aca="false">IF($A1983="","",IF(원본명단!$I1982="",0,COUNTIF(원본명단!$I$3:$I$6002,원본명단!$I1982)))</f>
        <v/>
      </c>
      <c r="G1983" s="11" t="str">
        <f aca="false">IF($A1983="","",IF(원본명단!$K1982="",0,COUNTIF(원본명단!$K$3:$K$6002,원본명단!$K1982)))</f>
        <v/>
      </c>
      <c r="H1983" s="11" t="str">
        <f aca="false">IF($A1983="","",IF(MAX($E1983,$F1983,$G1983)&gt;1,"중복","-"))</f>
        <v/>
      </c>
      <c r="I1983" s="11" t="str">
        <f aca="false">IF($A1983="","",IF($H1983="-","-",IF(AND(IF(원본명단!$H1982="",TRUE(),COUNTIF(원본명단!$H$3:$H1982,원본명단!$H1982)=1),IF(원본명단!$I1982="",TRUE(),COUNTIF(원본명단!$I$3:$I1982,원본명단!$I1982)=1),IF(원본명단!$K1982="",TRUE(),COUNTIF(원본명단!$K$3:$K1982,원본명단!$K1982)=1)),"첫 건","중복 건")))</f>
        <v/>
      </c>
      <c r="J1983" s="11" t="str">
        <f aca="false">IF($A1983="","",IF($H1983="-","유지",IF($I1983="첫 건","유지","확인 필요")))</f>
        <v/>
      </c>
    </row>
    <row r="1984" customFormat="false" ht="15" hidden="false" customHeight="true" outlineLevel="0" collapsed="false">
      <c r="A1984" s="11" t="str">
        <f aca="false">IF(원본명단!$A1983="","",1981)</f>
        <v/>
      </c>
      <c r="B1984" s="12" t="str">
        <f aca="false">IF($A1984="","",원본명단!$A1983)</f>
        <v/>
      </c>
      <c r="C1984" s="12" t="str">
        <f aca="false">IF($A1984="","",원본명단!$B1983)</f>
        <v/>
      </c>
      <c r="D1984" s="12" t="str">
        <f aca="false">IF($A1984="","",원본명단!$D1983)</f>
        <v/>
      </c>
      <c r="E1984" s="11" t="str">
        <f aca="false">IF($A1984="","",IF(원본명단!$H1983="",0,COUNTIF(원본명단!$H$3:$H$6002,원본명단!$H1983)))</f>
        <v/>
      </c>
      <c r="F1984" s="11" t="str">
        <f aca="false">IF($A1984="","",IF(원본명단!$I1983="",0,COUNTIF(원본명단!$I$3:$I$6002,원본명단!$I1983)))</f>
        <v/>
      </c>
      <c r="G1984" s="11" t="str">
        <f aca="false">IF($A1984="","",IF(원본명단!$K1983="",0,COUNTIF(원본명단!$K$3:$K$6002,원본명단!$K1983)))</f>
        <v/>
      </c>
      <c r="H1984" s="11" t="str">
        <f aca="false">IF($A1984="","",IF(MAX($E1984,$F1984,$G1984)&gt;1,"중복","-"))</f>
        <v/>
      </c>
      <c r="I1984" s="11" t="str">
        <f aca="false">IF($A1984="","",IF($H1984="-","-",IF(AND(IF(원본명단!$H1983="",TRUE(),COUNTIF(원본명단!$H$3:$H1983,원본명단!$H1983)=1),IF(원본명단!$I1983="",TRUE(),COUNTIF(원본명단!$I$3:$I1983,원본명단!$I1983)=1),IF(원본명단!$K1983="",TRUE(),COUNTIF(원본명단!$K$3:$K1983,원본명단!$K1983)=1)),"첫 건","중복 건")))</f>
        <v/>
      </c>
      <c r="J1984" s="11" t="str">
        <f aca="false">IF($A1984="","",IF($H1984="-","유지",IF($I1984="첫 건","유지","확인 필요")))</f>
        <v/>
      </c>
    </row>
    <row r="1985" customFormat="false" ht="15" hidden="false" customHeight="true" outlineLevel="0" collapsed="false">
      <c r="A1985" s="11" t="str">
        <f aca="false">IF(원본명단!$A1984="","",1982)</f>
        <v/>
      </c>
      <c r="B1985" s="12" t="str">
        <f aca="false">IF($A1985="","",원본명단!$A1984)</f>
        <v/>
      </c>
      <c r="C1985" s="12" t="str">
        <f aca="false">IF($A1985="","",원본명단!$B1984)</f>
        <v/>
      </c>
      <c r="D1985" s="12" t="str">
        <f aca="false">IF($A1985="","",원본명단!$D1984)</f>
        <v/>
      </c>
      <c r="E1985" s="11" t="str">
        <f aca="false">IF($A1985="","",IF(원본명단!$H1984="",0,COUNTIF(원본명단!$H$3:$H$6002,원본명단!$H1984)))</f>
        <v/>
      </c>
      <c r="F1985" s="11" t="str">
        <f aca="false">IF($A1985="","",IF(원본명단!$I1984="",0,COUNTIF(원본명단!$I$3:$I$6002,원본명단!$I1984)))</f>
        <v/>
      </c>
      <c r="G1985" s="11" t="str">
        <f aca="false">IF($A1985="","",IF(원본명단!$K1984="",0,COUNTIF(원본명단!$K$3:$K$6002,원본명단!$K1984)))</f>
        <v/>
      </c>
      <c r="H1985" s="11" t="str">
        <f aca="false">IF($A1985="","",IF(MAX($E1985,$F1985,$G1985)&gt;1,"중복","-"))</f>
        <v/>
      </c>
      <c r="I1985" s="11" t="str">
        <f aca="false">IF($A1985="","",IF($H1985="-","-",IF(AND(IF(원본명단!$H1984="",TRUE(),COUNTIF(원본명단!$H$3:$H1984,원본명단!$H1984)=1),IF(원본명단!$I1984="",TRUE(),COUNTIF(원본명단!$I$3:$I1984,원본명단!$I1984)=1),IF(원본명단!$K1984="",TRUE(),COUNTIF(원본명단!$K$3:$K1984,원본명단!$K1984)=1)),"첫 건","중복 건")))</f>
        <v/>
      </c>
      <c r="J1985" s="11" t="str">
        <f aca="false">IF($A1985="","",IF($H1985="-","유지",IF($I1985="첫 건","유지","확인 필요")))</f>
        <v/>
      </c>
    </row>
    <row r="1986" customFormat="false" ht="15" hidden="false" customHeight="true" outlineLevel="0" collapsed="false">
      <c r="A1986" s="11" t="str">
        <f aca="false">IF(원본명단!$A1985="","",1983)</f>
        <v/>
      </c>
      <c r="B1986" s="12" t="str">
        <f aca="false">IF($A1986="","",원본명단!$A1985)</f>
        <v/>
      </c>
      <c r="C1986" s="12" t="str">
        <f aca="false">IF($A1986="","",원본명단!$B1985)</f>
        <v/>
      </c>
      <c r="D1986" s="12" t="str">
        <f aca="false">IF($A1986="","",원본명단!$D1985)</f>
        <v/>
      </c>
      <c r="E1986" s="11" t="str">
        <f aca="false">IF($A1986="","",IF(원본명단!$H1985="",0,COUNTIF(원본명단!$H$3:$H$6002,원본명단!$H1985)))</f>
        <v/>
      </c>
      <c r="F1986" s="11" t="str">
        <f aca="false">IF($A1986="","",IF(원본명단!$I1985="",0,COUNTIF(원본명단!$I$3:$I$6002,원본명단!$I1985)))</f>
        <v/>
      </c>
      <c r="G1986" s="11" t="str">
        <f aca="false">IF($A1986="","",IF(원본명단!$K1985="",0,COUNTIF(원본명단!$K$3:$K$6002,원본명단!$K1985)))</f>
        <v/>
      </c>
      <c r="H1986" s="11" t="str">
        <f aca="false">IF($A1986="","",IF(MAX($E1986,$F1986,$G1986)&gt;1,"중복","-"))</f>
        <v/>
      </c>
      <c r="I1986" s="11" t="str">
        <f aca="false">IF($A1986="","",IF($H1986="-","-",IF(AND(IF(원본명단!$H1985="",TRUE(),COUNTIF(원본명단!$H$3:$H1985,원본명단!$H1985)=1),IF(원본명단!$I1985="",TRUE(),COUNTIF(원본명단!$I$3:$I1985,원본명단!$I1985)=1),IF(원본명단!$K1985="",TRUE(),COUNTIF(원본명단!$K$3:$K1985,원본명단!$K1985)=1)),"첫 건","중복 건")))</f>
        <v/>
      </c>
      <c r="J1986" s="11" t="str">
        <f aca="false">IF($A1986="","",IF($H1986="-","유지",IF($I1986="첫 건","유지","확인 필요")))</f>
        <v/>
      </c>
    </row>
    <row r="1987" customFormat="false" ht="15" hidden="false" customHeight="true" outlineLevel="0" collapsed="false">
      <c r="A1987" s="11" t="str">
        <f aca="false">IF(원본명단!$A1986="","",1984)</f>
        <v/>
      </c>
      <c r="B1987" s="12" t="str">
        <f aca="false">IF($A1987="","",원본명단!$A1986)</f>
        <v/>
      </c>
      <c r="C1987" s="12" t="str">
        <f aca="false">IF($A1987="","",원본명단!$B1986)</f>
        <v/>
      </c>
      <c r="D1987" s="12" t="str">
        <f aca="false">IF($A1987="","",원본명단!$D1986)</f>
        <v/>
      </c>
      <c r="E1987" s="11" t="str">
        <f aca="false">IF($A1987="","",IF(원본명단!$H1986="",0,COUNTIF(원본명단!$H$3:$H$6002,원본명단!$H1986)))</f>
        <v/>
      </c>
      <c r="F1987" s="11" t="str">
        <f aca="false">IF($A1987="","",IF(원본명단!$I1986="",0,COUNTIF(원본명단!$I$3:$I$6002,원본명단!$I1986)))</f>
        <v/>
      </c>
      <c r="G1987" s="11" t="str">
        <f aca="false">IF($A1987="","",IF(원본명단!$K1986="",0,COUNTIF(원본명단!$K$3:$K$6002,원본명단!$K1986)))</f>
        <v/>
      </c>
      <c r="H1987" s="11" t="str">
        <f aca="false">IF($A1987="","",IF(MAX($E1987,$F1987,$G1987)&gt;1,"중복","-"))</f>
        <v/>
      </c>
      <c r="I1987" s="11" t="str">
        <f aca="false">IF($A1987="","",IF($H1987="-","-",IF(AND(IF(원본명단!$H1986="",TRUE(),COUNTIF(원본명단!$H$3:$H1986,원본명단!$H1986)=1),IF(원본명단!$I1986="",TRUE(),COUNTIF(원본명단!$I$3:$I1986,원본명단!$I1986)=1),IF(원본명단!$K1986="",TRUE(),COUNTIF(원본명단!$K$3:$K1986,원본명단!$K1986)=1)),"첫 건","중복 건")))</f>
        <v/>
      </c>
      <c r="J1987" s="11" t="str">
        <f aca="false">IF($A1987="","",IF($H1987="-","유지",IF($I1987="첫 건","유지","확인 필요")))</f>
        <v/>
      </c>
    </row>
    <row r="1988" customFormat="false" ht="15" hidden="false" customHeight="true" outlineLevel="0" collapsed="false">
      <c r="A1988" s="11" t="str">
        <f aca="false">IF(원본명단!$A1987="","",1985)</f>
        <v/>
      </c>
      <c r="B1988" s="12" t="str">
        <f aca="false">IF($A1988="","",원본명단!$A1987)</f>
        <v/>
      </c>
      <c r="C1988" s="12" t="str">
        <f aca="false">IF($A1988="","",원본명단!$B1987)</f>
        <v/>
      </c>
      <c r="D1988" s="12" t="str">
        <f aca="false">IF($A1988="","",원본명단!$D1987)</f>
        <v/>
      </c>
      <c r="E1988" s="11" t="str">
        <f aca="false">IF($A1988="","",IF(원본명단!$H1987="",0,COUNTIF(원본명단!$H$3:$H$6002,원본명단!$H1987)))</f>
        <v/>
      </c>
      <c r="F1988" s="11" t="str">
        <f aca="false">IF($A1988="","",IF(원본명단!$I1987="",0,COUNTIF(원본명단!$I$3:$I$6002,원본명단!$I1987)))</f>
        <v/>
      </c>
      <c r="G1988" s="11" t="str">
        <f aca="false">IF($A1988="","",IF(원본명단!$K1987="",0,COUNTIF(원본명단!$K$3:$K$6002,원본명단!$K1987)))</f>
        <v/>
      </c>
      <c r="H1988" s="11" t="str">
        <f aca="false">IF($A1988="","",IF(MAX($E1988,$F1988,$G1988)&gt;1,"중복","-"))</f>
        <v/>
      </c>
      <c r="I1988" s="11" t="str">
        <f aca="false">IF($A1988="","",IF($H1988="-","-",IF(AND(IF(원본명단!$H1987="",TRUE(),COUNTIF(원본명단!$H$3:$H1987,원본명단!$H1987)=1),IF(원본명단!$I1987="",TRUE(),COUNTIF(원본명단!$I$3:$I1987,원본명단!$I1987)=1),IF(원본명단!$K1987="",TRUE(),COUNTIF(원본명단!$K$3:$K1987,원본명단!$K1987)=1)),"첫 건","중복 건")))</f>
        <v/>
      </c>
      <c r="J1988" s="11" t="str">
        <f aca="false">IF($A1988="","",IF($H1988="-","유지",IF($I1988="첫 건","유지","확인 필요")))</f>
        <v/>
      </c>
    </row>
    <row r="1989" customFormat="false" ht="15" hidden="false" customHeight="true" outlineLevel="0" collapsed="false">
      <c r="A1989" s="11" t="str">
        <f aca="false">IF(원본명단!$A1988="","",1986)</f>
        <v/>
      </c>
      <c r="B1989" s="12" t="str">
        <f aca="false">IF($A1989="","",원본명단!$A1988)</f>
        <v/>
      </c>
      <c r="C1989" s="12" t="str">
        <f aca="false">IF($A1989="","",원본명단!$B1988)</f>
        <v/>
      </c>
      <c r="D1989" s="12" t="str">
        <f aca="false">IF($A1989="","",원본명단!$D1988)</f>
        <v/>
      </c>
      <c r="E1989" s="11" t="str">
        <f aca="false">IF($A1989="","",IF(원본명단!$H1988="",0,COUNTIF(원본명단!$H$3:$H$6002,원본명단!$H1988)))</f>
        <v/>
      </c>
      <c r="F1989" s="11" t="str">
        <f aca="false">IF($A1989="","",IF(원본명단!$I1988="",0,COUNTIF(원본명단!$I$3:$I$6002,원본명단!$I1988)))</f>
        <v/>
      </c>
      <c r="G1989" s="11" t="str">
        <f aca="false">IF($A1989="","",IF(원본명단!$K1988="",0,COUNTIF(원본명단!$K$3:$K$6002,원본명단!$K1988)))</f>
        <v/>
      </c>
      <c r="H1989" s="11" t="str">
        <f aca="false">IF($A1989="","",IF(MAX($E1989,$F1989,$G1989)&gt;1,"중복","-"))</f>
        <v/>
      </c>
      <c r="I1989" s="11" t="str">
        <f aca="false">IF($A1989="","",IF($H1989="-","-",IF(AND(IF(원본명단!$H1988="",TRUE(),COUNTIF(원본명단!$H$3:$H1988,원본명단!$H1988)=1),IF(원본명단!$I1988="",TRUE(),COUNTIF(원본명단!$I$3:$I1988,원본명단!$I1988)=1),IF(원본명단!$K1988="",TRUE(),COUNTIF(원본명단!$K$3:$K1988,원본명단!$K1988)=1)),"첫 건","중복 건")))</f>
        <v/>
      </c>
      <c r="J1989" s="11" t="str">
        <f aca="false">IF($A1989="","",IF($H1989="-","유지",IF($I1989="첫 건","유지","확인 필요")))</f>
        <v/>
      </c>
    </row>
    <row r="1990" customFormat="false" ht="15" hidden="false" customHeight="true" outlineLevel="0" collapsed="false">
      <c r="A1990" s="11" t="str">
        <f aca="false">IF(원본명단!$A1989="","",1987)</f>
        <v/>
      </c>
      <c r="B1990" s="12" t="str">
        <f aca="false">IF($A1990="","",원본명단!$A1989)</f>
        <v/>
      </c>
      <c r="C1990" s="12" t="str">
        <f aca="false">IF($A1990="","",원본명단!$B1989)</f>
        <v/>
      </c>
      <c r="D1990" s="12" t="str">
        <f aca="false">IF($A1990="","",원본명단!$D1989)</f>
        <v/>
      </c>
      <c r="E1990" s="11" t="str">
        <f aca="false">IF($A1990="","",IF(원본명단!$H1989="",0,COUNTIF(원본명단!$H$3:$H$6002,원본명단!$H1989)))</f>
        <v/>
      </c>
      <c r="F1990" s="11" t="str">
        <f aca="false">IF($A1990="","",IF(원본명단!$I1989="",0,COUNTIF(원본명단!$I$3:$I$6002,원본명단!$I1989)))</f>
        <v/>
      </c>
      <c r="G1990" s="11" t="str">
        <f aca="false">IF($A1990="","",IF(원본명단!$K1989="",0,COUNTIF(원본명단!$K$3:$K$6002,원본명단!$K1989)))</f>
        <v/>
      </c>
      <c r="H1990" s="11" t="str">
        <f aca="false">IF($A1990="","",IF(MAX($E1990,$F1990,$G1990)&gt;1,"중복","-"))</f>
        <v/>
      </c>
      <c r="I1990" s="11" t="str">
        <f aca="false">IF($A1990="","",IF($H1990="-","-",IF(AND(IF(원본명단!$H1989="",TRUE(),COUNTIF(원본명단!$H$3:$H1989,원본명단!$H1989)=1),IF(원본명단!$I1989="",TRUE(),COUNTIF(원본명단!$I$3:$I1989,원본명단!$I1989)=1),IF(원본명단!$K1989="",TRUE(),COUNTIF(원본명단!$K$3:$K1989,원본명단!$K1989)=1)),"첫 건","중복 건")))</f>
        <v/>
      </c>
      <c r="J1990" s="11" t="str">
        <f aca="false">IF($A1990="","",IF($H1990="-","유지",IF($I1990="첫 건","유지","확인 필요")))</f>
        <v/>
      </c>
    </row>
    <row r="1991" customFormat="false" ht="15" hidden="false" customHeight="true" outlineLevel="0" collapsed="false">
      <c r="A1991" s="11" t="str">
        <f aca="false">IF(원본명단!$A1990="","",1988)</f>
        <v/>
      </c>
      <c r="B1991" s="12" t="str">
        <f aca="false">IF($A1991="","",원본명단!$A1990)</f>
        <v/>
      </c>
      <c r="C1991" s="12" t="str">
        <f aca="false">IF($A1991="","",원본명단!$B1990)</f>
        <v/>
      </c>
      <c r="D1991" s="12" t="str">
        <f aca="false">IF($A1991="","",원본명단!$D1990)</f>
        <v/>
      </c>
      <c r="E1991" s="11" t="str">
        <f aca="false">IF($A1991="","",IF(원본명단!$H1990="",0,COUNTIF(원본명단!$H$3:$H$6002,원본명단!$H1990)))</f>
        <v/>
      </c>
      <c r="F1991" s="11" t="str">
        <f aca="false">IF($A1991="","",IF(원본명단!$I1990="",0,COUNTIF(원본명단!$I$3:$I$6002,원본명단!$I1990)))</f>
        <v/>
      </c>
      <c r="G1991" s="11" t="str">
        <f aca="false">IF($A1991="","",IF(원본명단!$K1990="",0,COUNTIF(원본명단!$K$3:$K$6002,원본명단!$K1990)))</f>
        <v/>
      </c>
      <c r="H1991" s="11" t="str">
        <f aca="false">IF($A1991="","",IF(MAX($E1991,$F1991,$G1991)&gt;1,"중복","-"))</f>
        <v/>
      </c>
      <c r="I1991" s="11" t="str">
        <f aca="false">IF($A1991="","",IF($H1991="-","-",IF(AND(IF(원본명단!$H1990="",TRUE(),COUNTIF(원본명단!$H$3:$H1990,원본명단!$H1990)=1),IF(원본명단!$I1990="",TRUE(),COUNTIF(원본명단!$I$3:$I1990,원본명단!$I1990)=1),IF(원본명단!$K1990="",TRUE(),COUNTIF(원본명단!$K$3:$K1990,원본명단!$K1990)=1)),"첫 건","중복 건")))</f>
        <v/>
      </c>
      <c r="J1991" s="11" t="str">
        <f aca="false">IF($A1991="","",IF($H1991="-","유지",IF($I1991="첫 건","유지","확인 필요")))</f>
        <v/>
      </c>
    </row>
    <row r="1992" customFormat="false" ht="15" hidden="false" customHeight="true" outlineLevel="0" collapsed="false">
      <c r="A1992" s="11" t="str">
        <f aca="false">IF(원본명단!$A1991="","",1989)</f>
        <v/>
      </c>
      <c r="B1992" s="12" t="str">
        <f aca="false">IF($A1992="","",원본명단!$A1991)</f>
        <v/>
      </c>
      <c r="C1992" s="12" t="str">
        <f aca="false">IF($A1992="","",원본명단!$B1991)</f>
        <v/>
      </c>
      <c r="D1992" s="12" t="str">
        <f aca="false">IF($A1992="","",원본명단!$D1991)</f>
        <v/>
      </c>
      <c r="E1992" s="11" t="str">
        <f aca="false">IF($A1992="","",IF(원본명단!$H1991="",0,COUNTIF(원본명단!$H$3:$H$6002,원본명단!$H1991)))</f>
        <v/>
      </c>
      <c r="F1992" s="11" t="str">
        <f aca="false">IF($A1992="","",IF(원본명단!$I1991="",0,COUNTIF(원본명단!$I$3:$I$6002,원본명단!$I1991)))</f>
        <v/>
      </c>
      <c r="G1992" s="11" t="str">
        <f aca="false">IF($A1992="","",IF(원본명단!$K1991="",0,COUNTIF(원본명단!$K$3:$K$6002,원본명단!$K1991)))</f>
        <v/>
      </c>
      <c r="H1992" s="11" t="str">
        <f aca="false">IF($A1992="","",IF(MAX($E1992,$F1992,$G1992)&gt;1,"중복","-"))</f>
        <v/>
      </c>
      <c r="I1992" s="11" t="str">
        <f aca="false">IF($A1992="","",IF($H1992="-","-",IF(AND(IF(원본명단!$H1991="",TRUE(),COUNTIF(원본명단!$H$3:$H1991,원본명단!$H1991)=1),IF(원본명단!$I1991="",TRUE(),COUNTIF(원본명단!$I$3:$I1991,원본명단!$I1991)=1),IF(원본명단!$K1991="",TRUE(),COUNTIF(원본명단!$K$3:$K1991,원본명단!$K1991)=1)),"첫 건","중복 건")))</f>
        <v/>
      </c>
      <c r="J1992" s="11" t="str">
        <f aca="false">IF($A1992="","",IF($H1992="-","유지",IF($I1992="첫 건","유지","확인 필요")))</f>
        <v/>
      </c>
    </row>
    <row r="1993" customFormat="false" ht="15" hidden="false" customHeight="true" outlineLevel="0" collapsed="false">
      <c r="A1993" s="11" t="str">
        <f aca="false">IF(원본명단!$A1992="","",1990)</f>
        <v/>
      </c>
      <c r="B1993" s="12" t="str">
        <f aca="false">IF($A1993="","",원본명단!$A1992)</f>
        <v/>
      </c>
      <c r="C1993" s="12" t="str">
        <f aca="false">IF($A1993="","",원본명단!$B1992)</f>
        <v/>
      </c>
      <c r="D1993" s="12" t="str">
        <f aca="false">IF($A1993="","",원본명단!$D1992)</f>
        <v/>
      </c>
      <c r="E1993" s="11" t="str">
        <f aca="false">IF($A1993="","",IF(원본명단!$H1992="",0,COUNTIF(원본명단!$H$3:$H$6002,원본명단!$H1992)))</f>
        <v/>
      </c>
      <c r="F1993" s="11" t="str">
        <f aca="false">IF($A1993="","",IF(원본명단!$I1992="",0,COUNTIF(원본명단!$I$3:$I$6002,원본명단!$I1992)))</f>
        <v/>
      </c>
      <c r="G1993" s="11" t="str">
        <f aca="false">IF($A1993="","",IF(원본명단!$K1992="",0,COUNTIF(원본명단!$K$3:$K$6002,원본명단!$K1992)))</f>
        <v/>
      </c>
      <c r="H1993" s="11" t="str">
        <f aca="false">IF($A1993="","",IF(MAX($E1993,$F1993,$G1993)&gt;1,"중복","-"))</f>
        <v/>
      </c>
      <c r="I1993" s="11" t="str">
        <f aca="false">IF($A1993="","",IF($H1993="-","-",IF(AND(IF(원본명단!$H1992="",TRUE(),COUNTIF(원본명단!$H$3:$H1992,원본명단!$H1992)=1),IF(원본명단!$I1992="",TRUE(),COUNTIF(원본명단!$I$3:$I1992,원본명단!$I1992)=1),IF(원본명단!$K1992="",TRUE(),COUNTIF(원본명단!$K$3:$K1992,원본명단!$K1992)=1)),"첫 건","중복 건")))</f>
        <v/>
      </c>
      <c r="J1993" s="11" t="str">
        <f aca="false">IF($A1993="","",IF($H1993="-","유지",IF($I1993="첫 건","유지","확인 필요")))</f>
        <v/>
      </c>
    </row>
    <row r="1994" customFormat="false" ht="15" hidden="false" customHeight="true" outlineLevel="0" collapsed="false">
      <c r="A1994" s="11" t="str">
        <f aca="false">IF(원본명단!$A1993="","",1991)</f>
        <v/>
      </c>
      <c r="B1994" s="12" t="str">
        <f aca="false">IF($A1994="","",원본명단!$A1993)</f>
        <v/>
      </c>
      <c r="C1994" s="12" t="str">
        <f aca="false">IF($A1994="","",원본명단!$B1993)</f>
        <v/>
      </c>
      <c r="D1994" s="12" t="str">
        <f aca="false">IF($A1994="","",원본명단!$D1993)</f>
        <v/>
      </c>
      <c r="E1994" s="11" t="str">
        <f aca="false">IF($A1994="","",IF(원본명단!$H1993="",0,COUNTIF(원본명단!$H$3:$H$6002,원본명단!$H1993)))</f>
        <v/>
      </c>
      <c r="F1994" s="11" t="str">
        <f aca="false">IF($A1994="","",IF(원본명단!$I1993="",0,COUNTIF(원본명단!$I$3:$I$6002,원본명단!$I1993)))</f>
        <v/>
      </c>
      <c r="G1994" s="11" t="str">
        <f aca="false">IF($A1994="","",IF(원본명단!$K1993="",0,COUNTIF(원본명단!$K$3:$K$6002,원본명단!$K1993)))</f>
        <v/>
      </c>
      <c r="H1994" s="11" t="str">
        <f aca="false">IF($A1994="","",IF(MAX($E1994,$F1994,$G1994)&gt;1,"중복","-"))</f>
        <v/>
      </c>
      <c r="I1994" s="11" t="str">
        <f aca="false">IF($A1994="","",IF($H1994="-","-",IF(AND(IF(원본명단!$H1993="",TRUE(),COUNTIF(원본명단!$H$3:$H1993,원본명단!$H1993)=1),IF(원본명단!$I1993="",TRUE(),COUNTIF(원본명단!$I$3:$I1993,원본명단!$I1993)=1),IF(원본명단!$K1993="",TRUE(),COUNTIF(원본명단!$K$3:$K1993,원본명단!$K1993)=1)),"첫 건","중복 건")))</f>
        <v/>
      </c>
      <c r="J1994" s="11" t="str">
        <f aca="false">IF($A1994="","",IF($H1994="-","유지",IF($I1994="첫 건","유지","확인 필요")))</f>
        <v/>
      </c>
    </row>
    <row r="1995" customFormat="false" ht="15" hidden="false" customHeight="true" outlineLevel="0" collapsed="false">
      <c r="A1995" s="11" t="str">
        <f aca="false">IF(원본명단!$A1994="","",1992)</f>
        <v/>
      </c>
      <c r="B1995" s="12" t="str">
        <f aca="false">IF($A1995="","",원본명단!$A1994)</f>
        <v/>
      </c>
      <c r="C1995" s="12" t="str">
        <f aca="false">IF($A1995="","",원본명단!$B1994)</f>
        <v/>
      </c>
      <c r="D1995" s="12" t="str">
        <f aca="false">IF($A1995="","",원본명단!$D1994)</f>
        <v/>
      </c>
      <c r="E1995" s="11" t="str">
        <f aca="false">IF($A1995="","",IF(원본명단!$H1994="",0,COUNTIF(원본명단!$H$3:$H$6002,원본명단!$H1994)))</f>
        <v/>
      </c>
      <c r="F1995" s="11" t="str">
        <f aca="false">IF($A1995="","",IF(원본명단!$I1994="",0,COUNTIF(원본명단!$I$3:$I$6002,원본명단!$I1994)))</f>
        <v/>
      </c>
      <c r="G1995" s="11" t="str">
        <f aca="false">IF($A1995="","",IF(원본명단!$K1994="",0,COUNTIF(원본명단!$K$3:$K$6002,원본명단!$K1994)))</f>
        <v/>
      </c>
      <c r="H1995" s="11" t="str">
        <f aca="false">IF($A1995="","",IF(MAX($E1995,$F1995,$G1995)&gt;1,"중복","-"))</f>
        <v/>
      </c>
      <c r="I1995" s="11" t="str">
        <f aca="false">IF($A1995="","",IF($H1995="-","-",IF(AND(IF(원본명단!$H1994="",TRUE(),COUNTIF(원본명단!$H$3:$H1994,원본명단!$H1994)=1),IF(원본명단!$I1994="",TRUE(),COUNTIF(원본명단!$I$3:$I1994,원본명단!$I1994)=1),IF(원본명단!$K1994="",TRUE(),COUNTIF(원본명단!$K$3:$K1994,원본명단!$K1994)=1)),"첫 건","중복 건")))</f>
        <v/>
      </c>
      <c r="J1995" s="11" t="str">
        <f aca="false">IF($A1995="","",IF($H1995="-","유지",IF($I1995="첫 건","유지","확인 필요")))</f>
        <v/>
      </c>
    </row>
    <row r="1996" customFormat="false" ht="15" hidden="false" customHeight="true" outlineLevel="0" collapsed="false">
      <c r="A1996" s="11" t="str">
        <f aca="false">IF(원본명단!$A1995="","",1993)</f>
        <v/>
      </c>
      <c r="B1996" s="12" t="str">
        <f aca="false">IF($A1996="","",원본명단!$A1995)</f>
        <v/>
      </c>
      <c r="C1996" s="12" t="str">
        <f aca="false">IF($A1996="","",원본명단!$B1995)</f>
        <v/>
      </c>
      <c r="D1996" s="12" t="str">
        <f aca="false">IF($A1996="","",원본명단!$D1995)</f>
        <v/>
      </c>
      <c r="E1996" s="11" t="str">
        <f aca="false">IF($A1996="","",IF(원본명단!$H1995="",0,COUNTIF(원본명단!$H$3:$H$6002,원본명단!$H1995)))</f>
        <v/>
      </c>
      <c r="F1996" s="11" t="str">
        <f aca="false">IF($A1996="","",IF(원본명단!$I1995="",0,COUNTIF(원본명단!$I$3:$I$6002,원본명단!$I1995)))</f>
        <v/>
      </c>
      <c r="G1996" s="11" t="str">
        <f aca="false">IF($A1996="","",IF(원본명단!$K1995="",0,COUNTIF(원본명단!$K$3:$K$6002,원본명단!$K1995)))</f>
        <v/>
      </c>
      <c r="H1996" s="11" t="str">
        <f aca="false">IF($A1996="","",IF(MAX($E1996,$F1996,$G1996)&gt;1,"중복","-"))</f>
        <v/>
      </c>
      <c r="I1996" s="11" t="str">
        <f aca="false">IF($A1996="","",IF($H1996="-","-",IF(AND(IF(원본명단!$H1995="",TRUE(),COUNTIF(원본명단!$H$3:$H1995,원본명단!$H1995)=1),IF(원본명단!$I1995="",TRUE(),COUNTIF(원본명단!$I$3:$I1995,원본명단!$I1995)=1),IF(원본명단!$K1995="",TRUE(),COUNTIF(원본명단!$K$3:$K1995,원본명단!$K1995)=1)),"첫 건","중복 건")))</f>
        <v/>
      </c>
      <c r="J1996" s="11" t="str">
        <f aca="false">IF($A1996="","",IF($H1996="-","유지",IF($I1996="첫 건","유지","확인 필요")))</f>
        <v/>
      </c>
    </row>
    <row r="1997" customFormat="false" ht="15" hidden="false" customHeight="true" outlineLevel="0" collapsed="false">
      <c r="A1997" s="11" t="str">
        <f aca="false">IF(원본명단!$A1996="","",1994)</f>
        <v/>
      </c>
      <c r="B1997" s="12" t="str">
        <f aca="false">IF($A1997="","",원본명단!$A1996)</f>
        <v/>
      </c>
      <c r="C1997" s="12" t="str">
        <f aca="false">IF($A1997="","",원본명단!$B1996)</f>
        <v/>
      </c>
      <c r="D1997" s="12" t="str">
        <f aca="false">IF($A1997="","",원본명단!$D1996)</f>
        <v/>
      </c>
      <c r="E1997" s="11" t="str">
        <f aca="false">IF($A1997="","",IF(원본명단!$H1996="",0,COUNTIF(원본명단!$H$3:$H$6002,원본명단!$H1996)))</f>
        <v/>
      </c>
      <c r="F1997" s="11" t="str">
        <f aca="false">IF($A1997="","",IF(원본명단!$I1996="",0,COUNTIF(원본명단!$I$3:$I$6002,원본명단!$I1996)))</f>
        <v/>
      </c>
      <c r="G1997" s="11" t="str">
        <f aca="false">IF($A1997="","",IF(원본명단!$K1996="",0,COUNTIF(원본명단!$K$3:$K$6002,원본명단!$K1996)))</f>
        <v/>
      </c>
      <c r="H1997" s="11" t="str">
        <f aca="false">IF($A1997="","",IF(MAX($E1997,$F1997,$G1997)&gt;1,"중복","-"))</f>
        <v/>
      </c>
      <c r="I1997" s="11" t="str">
        <f aca="false">IF($A1997="","",IF($H1997="-","-",IF(AND(IF(원본명단!$H1996="",TRUE(),COUNTIF(원본명단!$H$3:$H1996,원본명단!$H1996)=1),IF(원본명단!$I1996="",TRUE(),COUNTIF(원본명단!$I$3:$I1996,원본명단!$I1996)=1),IF(원본명단!$K1996="",TRUE(),COUNTIF(원본명단!$K$3:$K1996,원본명단!$K1996)=1)),"첫 건","중복 건")))</f>
        <v/>
      </c>
      <c r="J1997" s="11" t="str">
        <f aca="false">IF($A1997="","",IF($H1997="-","유지",IF($I1997="첫 건","유지","확인 필요")))</f>
        <v/>
      </c>
    </row>
    <row r="1998" customFormat="false" ht="15" hidden="false" customHeight="true" outlineLevel="0" collapsed="false">
      <c r="A1998" s="11" t="str">
        <f aca="false">IF(원본명단!$A1997="","",1995)</f>
        <v/>
      </c>
      <c r="B1998" s="12" t="str">
        <f aca="false">IF($A1998="","",원본명단!$A1997)</f>
        <v/>
      </c>
      <c r="C1998" s="12" t="str">
        <f aca="false">IF($A1998="","",원본명단!$B1997)</f>
        <v/>
      </c>
      <c r="D1998" s="12" t="str">
        <f aca="false">IF($A1998="","",원본명단!$D1997)</f>
        <v/>
      </c>
      <c r="E1998" s="11" t="str">
        <f aca="false">IF($A1998="","",IF(원본명단!$H1997="",0,COUNTIF(원본명단!$H$3:$H$6002,원본명단!$H1997)))</f>
        <v/>
      </c>
      <c r="F1998" s="11" t="str">
        <f aca="false">IF($A1998="","",IF(원본명단!$I1997="",0,COUNTIF(원본명단!$I$3:$I$6002,원본명단!$I1997)))</f>
        <v/>
      </c>
      <c r="G1998" s="11" t="str">
        <f aca="false">IF($A1998="","",IF(원본명단!$K1997="",0,COUNTIF(원본명단!$K$3:$K$6002,원본명단!$K1997)))</f>
        <v/>
      </c>
      <c r="H1998" s="11" t="str">
        <f aca="false">IF($A1998="","",IF(MAX($E1998,$F1998,$G1998)&gt;1,"중복","-"))</f>
        <v/>
      </c>
      <c r="I1998" s="11" t="str">
        <f aca="false">IF($A1998="","",IF($H1998="-","-",IF(AND(IF(원본명단!$H1997="",TRUE(),COUNTIF(원본명단!$H$3:$H1997,원본명단!$H1997)=1),IF(원본명단!$I1997="",TRUE(),COUNTIF(원본명단!$I$3:$I1997,원본명단!$I1997)=1),IF(원본명단!$K1997="",TRUE(),COUNTIF(원본명단!$K$3:$K1997,원본명단!$K1997)=1)),"첫 건","중복 건")))</f>
        <v/>
      </c>
      <c r="J1998" s="11" t="str">
        <f aca="false">IF($A1998="","",IF($H1998="-","유지",IF($I1998="첫 건","유지","확인 필요")))</f>
        <v/>
      </c>
    </row>
    <row r="1999" customFormat="false" ht="15" hidden="false" customHeight="true" outlineLevel="0" collapsed="false">
      <c r="A1999" s="11" t="str">
        <f aca="false">IF(원본명단!$A1998="","",1996)</f>
        <v/>
      </c>
      <c r="B1999" s="12" t="str">
        <f aca="false">IF($A1999="","",원본명단!$A1998)</f>
        <v/>
      </c>
      <c r="C1999" s="12" t="str">
        <f aca="false">IF($A1999="","",원본명단!$B1998)</f>
        <v/>
      </c>
      <c r="D1999" s="12" t="str">
        <f aca="false">IF($A1999="","",원본명단!$D1998)</f>
        <v/>
      </c>
      <c r="E1999" s="11" t="str">
        <f aca="false">IF($A1999="","",IF(원본명단!$H1998="",0,COUNTIF(원본명단!$H$3:$H$6002,원본명단!$H1998)))</f>
        <v/>
      </c>
      <c r="F1999" s="11" t="str">
        <f aca="false">IF($A1999="","",IF(원본명단!$I1998="",0,COUNTIF(원본명단!$I$3:$I$6002,원본명단!$I1998)))</f>
        <v/>
      </c>
      <c r="G1999" s="11" t="str">
        <f aca="false">IF($A1999="","",IF(원본명단!$K1998="",0,COUNTIF(원본명단!$K$3:$K$6002,원본명단!$K1998)))</f>
        <v/>
      </c>
      <c r="H1999" s="11" t="str">
        <f aca="false">IF($A1999="","",IF(MAX($E1999,$F1999,$G1999)&gt;1,"중복","-"))</f>
        <v/>
      </c>
      <c r="I1999" s="11" t="str">
        <f aca="false">IF($A1999="","",IF($H1999="-","-",IF(AND(IF(원본명단!$H1998="",TRUE(),COUNTIF(원본명단!$H$3:$H1998,원본명단!$H1998)=1),IF(원본명단!$I1998="",TRUE(),COUNTIF(원본명단!$I$3:$I1998,원본명단!$I1998)=1),IF(원본명단!$K1998="",TRUE(),COUNTIF(원본명단!$K$3:$K1998,원본명단!$K1998)=1)),"첫 건","중복 건")))</f>
        <v/>
      </c>
      <c r="J1999" s="11" t="str">
        <f aca="false">IF($A1999="","",IF($H1999="-","유지",IF($I1999="첫 건","유지","확인 필요")))</f>
        <v/>
      </c>
    </row>
    <row r="2000" customFormat="false" ht="15" hidden="false" customHeight="true" outlineLevel="0" collapsed="false">
      <c r="A2000" s="11" t="str">
        <f aca="false">IF(원본명단!$A1999="","",1997)</f>
        <v/>
      </c>
      <c r="B2000" s="12" t="str">
        <f aca="false">IF($A2000="","",원본명단!$A1999)</f>
        <v/>
      </c>
      <c r="C2000" s="12" t="str">
        <f aca="false">IF($A2000="","",원본명단!$B1999)</f>
        <v/>
      </c>
      <c r="D2000" s="12" t="str">
        <f aca="false">IF($A2000="","",원본명단!$D1999)</f>
        <v/>
      </c>
      <c r="E2000" s="11" t="str">
        <f aca="false">IF($A2000="","",IF(원본명단!$H1999="",0,COUNTIF(원본명단!$H$3:$H$6002,원본명단!$H1999)))</f>
        <v/>
      </c>
      <c r="F2000" s="11" t="str">
        <f aca="false">IF($A2000="","",IF(원본명단!$I1999="",0,COUNTIF(원본명단!$I$3:$I$6002,원본명단!$I1999)))</f>
        <v/>
      </c>
      <c r="G2000" s="11" t="str">
        <f aca="false">IF($A2000="","",IF(원본명단!$K1999="",0,COUNTIF(원본명단!$K$3:$K$6002,원본명단!$K1999)))</f>
        <v/>
      </c>
      <c r="H2000" s="11" t="str">
        <f aca="false">IF($A2000="","",IF(MAX($E2000,$F2000,$G2000)&gt;1,"중복","-"))</f>
        <v/>
      </c>
      <c r="I2000" s="11" t="str">
        <f aca="false">IF($A2000="","",IF($H2000="-","-",IF(AND(IF(원본명단!$H1999="",TRUE(),COUNTIF(원본명단!$H$3:$H1999,원본명단!$H1999)=1),IF(원본명단!$I1999="",TRUE(),COUNTIF(원본명단!$I$3:$I1999,원본명단!$I1999)=1),IF(원본명단!$K1999="",TRUE(),COUNTIF(원본명단!$K$3:$K1999,원본명단!$K1999)=1)),"첫 건","중복 건")))</f>
        <v/>
      </c>
      <c r="J2000" s="11" t="str">
        <f aca="false">IF($A2000="","",IF($H2000="-","유지",IF($I2000="첫 건","유지","확인 필요")))</f>
        <v/>
      </c>
    </row>
    <row r="2001" customFormat="false" ht="15" hidden="false" customHeight="true" outlineLevel="0" collapsed="false">
      <c r="A2001" s="11" t="str">
        <f aca="false">IF(원본명단!$A2000="","",1998)</f>
        <v/>
      </c>
      <c r="B2001" s="12" t="str">
        <f aca="false">IF($A2001="","",원본명단!$A2000)</f>
        <v/>
      </c>
      <c r="C2001" s="12" t="str">
        <f aca="false">IF($A2001="","",원본명단!$B2000)</f>
        <v/>
      </c>
      <c r="D2001" s="12" t="str">
        <f aca="false">IF($A2001="","",원본명단!$D2000)</f>
        <v/>
      </c>
      <c r="E2001" s="11" t="str">
        <f aca="false">IF($A2001="","",IF(원본명단!$H2000="",0,COUNTIF(원본명단!$H$3:$H$6002,원본명단!$H2000)))</f>
        <v/>
      </c>
      <c r="F2001" s="11" t="str">
        <f aca="false">IF($A2001="","",IF(원본명단!$I2000="",0,COUNTIF(원본명단!$I$3:$I$6002,원본명단!$I2000)))</f>
        <v/>
      </c>
      <c r="G2001" s="11" t="str">
        <f aca="false">IF($A2001="","",IF(원본명단!$K2000="",0,COUNTIF(원본명단!$K$3:$K$6002,원본명단!$K2000)))</f>
        <v/>
      </c>
      <c r="H2001" s="11" t="str">
        <f aca="false">IF($A2001="","",IF(MAX($E2001,$F2001,$G2001)&gt;1,"중복","-"))</f>
        <v/>
      </c>
      <c r="I2001" s="11" t="str">
        <f aca="false">IF($A2001="","",IF($H2001="-","-",IF(AND(IF(원본명단!$H2000="",TRUE(),COUNTIF(원본명단!$H$3:$H2000,원본명단!$H2000)=1),IF(원본명단!$I2000="",TRUE(),COUNTIF(원본명단!$I$3:$I2000,원본명단!$I2000)=1),IF(원본명단!$K2000="",TRUE(),COUNTIF(원본명단!$K$3:$K2000,원본명단!$K2000)=1)),"첫 건","중복 건")))</f>
        <v/>
      </c>
      <c r="J2001" s="11" t="str">
        <f aca="false">IF($A2001="","",IF($H2001="-","유지",IF($I2001="첫 건","유지","확인 필요")))</f>
        <v/>
      </c>
    </row>
    <row r="2002" customFormat="false" ht="15" hidden="false" customHeight="true" outlineLevel="0" collapsed="false">
      <c r="A2002" s="11" t="str">
        <f aca="false">IF(원본명단!$A2001="","",1999)</f>
        <v/>
      </c>
      <c r="B2002" s="12" t="str">
        <f aca="false">IF($A2002="","",원본명단!$A2001)</f>
        <v/>
      </c>
      <c r="C2002" s="12" t="str">
        <f aca="false">IF($A2002="","",원본명단!$B2001)</f>
        <v/>
      </c>
      <c r="D2002" s="12" t="str">
        <f aca="false">IF($A2002="","",원본명단!$D2001)</f>
        <v/>
      </c>
      <c r="E2002" s="11" t="str">
        <f aca="false">IF($A2002="","",IF(원본명단!$H2001="",0,COUNTIF(원본명단!$H$3:$H$6002,원본명단!$H2001)))</f>
        <v/>
      </c>
      <c r="F2002" s="11" t="str">
        <f aca="false">IF($A2002="","",IF(원본명단!$I2001="",0,COUNTIF(원본명단!$I$3:$I$6002,원본명단!$I2001)))</f>
        <v/>
      </c>
      <c r="G2002" s="11" t="str">
        <f aca="false">IF($A2002="","",IF(원본명단!$K2001="",0,COUNTIF(원본명단!$K$3:$K$6002,원본명단!$K2001)))</f>
        <v/>
      </c>
      <c r="H2002" s="11" t="str">
        <f aca="false">IF($A2002="","",IF(MAX($E2002,$F2002,$G2002)&gt;1,"중복","-"))</f>
        <v/>
      </c>
      <c r="I2002" s="11" t="str">
        <f aca="false">IF($A2002="","",IF($H2002="-","-",IF(AND(IF(원본명단!$H2001="",TRUE(),COUNTIF(원본명단!$H$3:$H2001,원본명단!$H2001)=1),IF(원본명단!$I2001="",TRUE(),COUNTIF(원본명단!$I$3:$I2001,원본명단!$I2001)=1),IF(원본명단!$K2001="",TRUE(),COUNTIF(원본명단!$K$3:$K2001,원본명단!$K2001)=1)),"첫 건","중복 건")))</f>
        <v/>
      </c>
      <c r="J2002" s="11" t="str">
        <f aca="false">IF($A2002="","",IF($H2002="-","유지",IF($I2002="첫 건","유지","확인 필요")))</f>
        <v/>
      </c>
    </row>
    <row r="2003" customFormat="false" ht="15" hidden="false" customHeight="true" outlineLevel="0" collapsed="false">
      <c r="A2003" s="11" t="str">
        <f aca="false">IF(원본명단!$A2002="","",2000)</f>
        <v/>
      </c>
      <c r="B2003" s="12" t="str">
        <f aca="false">IF($A2003="","",원본명단!$A2002)</f>
        <v/>
      </c>
      <c r="C2003" s="12" t="str">
        <f aca="false">IF($A2003="","",원본명단!$B2002)</f>
        <v/>
      </c>
      <c r="D2003" s="12" t="str">
        <f aca="false">IF($A2003="","",원본명단!$D2002)</f>
        <v/>
      </c>
      <c r="E2003" s="11" t="str">
        <f aca="false">IF($A2003="","",IF(원본명단!$H2002="",0,COUNTIF(원본명단!$H$3:$H$6002,원본명단!$H2002)))</f>
        <v/>
      </c>
      <c r="F2003" s="11" t="str">
        <f aca="false">IF($A2003="","",IF(원본명단!$I2002="",0,COUNTIF(원본명단!$I$3:$I$6002,원본명단!$I2002)))</f>
        <v/>
      </c>
      <c r="G2003" s="11" t="str">
        <f aca="false">IF($A2003="","",IF(원본명단!$K2002="",0,COUNTIF(원본명단!$K$3:$K$6002,원본명단!$K2002)))</f>
        <v/>
      </c>
      <c r="H2003" s="11" t="str">
        <f aca="false">IF($A2003="","",IF(MAX($E2003,$F2003,$G2003)&gt;1,"중복","-"))</f>
        <v/>
      </c>
      <c r="I2003" s="11" t="str">
        <f aca="false">IF($A2003="","",IF($H2003="-","-",IF(AND(IF(원본명단!$H2002="",TRUE(),COUNTIF(원본명단!$H$3:$H2002,원본명단!$H2002)=1),IF(원본명단!$I2002="",TRUE(),COUNTIF(원본명단!$I$3:$I2002,원본명단!$I2002)=1),IF(원본명단!$K2002="",TRUE(),COUNTIF(원본명단!$K$3:$K2002,원본명단!$K2002)=1)),"첫 건","중복 건")))</f>
        <v/>
      </c>
      <c r="J2003" s="11" t="str">
        <f aca="false">IF($A2003="","",IF($H2003="-","유지",IF($I2003="첫 건","유지","확인 필요")))</f>
        <v/>
      </c>
    </row>
    <row r="2004" customFormat="false" ht="15" hidden="false" customHeight="true" outlineLevel="0" collapsed="false">
      <c r="A2004" s="11" t="str">
        <f aca="false">IF(원본명단!$A2003="","",2001)</f>
        <v/>
      </c>
      <c r="B2004" s="12" t="str">
        <f aca="false">IF($A2004="","",원본명단!$A2003)</f>
        <v/>
      </c>
      <c r="C2004" s="12" t="str">
        <f aca="false">IF($A2004="","",원본명단!$B2003)</f>
        <v/>
      </c>
      <c r="D2004" s="12" t="str">
        <f aca="false">IF($A2004="","",원본명단!$D2003)</f>
        <v/>
      </c>
      <c r="E2004" s="11" t="str">
        <f aca="false">IF($A2004="","",IF(원본명단!$H2003="",0,COUNTIF(원본명단!$H$3:$H$6002,원본명단!$H2003)))</f>
        <v/>
      </c>
      <c r="F2004" s="11" t="str">
        <f aca="false">IF($A2004="","",IF(원본명단!$I2003="",0,COUNTIF(원본명단!$I$3:$I$6002,원본명단!$I2003)))</f>
        <v/>
      </c>
      <c r="G2004" s="11" t="str">
        <f aca="false">IF($A2004="","",IF(원본명단!$K2003="",0,COUNTIF(원본명단!$K$3:$K$6002,원본명단!$K2003)))</f>
        <v/>
      </c>
      <c r="H2004" s="11" t="str">
        <f aca="false">IF($A2004="","",IF(MAX($E2004,$F2004,$G2004)&gt;1,"중복","-"))</f>
        <v/>
      </c>
      <c r="I2004" s="11" t="str">
        <f aca="false">IF($A2004="","",IF($H2004="-","-",IF(AND(IF(원본명단!$H2003="",TRUE(),COUNTIF(원본명단!$H$3:$H2003,원본명단!$H2003)=1),IF(원본명단!$I2003="",TRUE(),COUNTIF(원본명단!$I$3:$I2003,원본명단!$I2003)=1),IF(원본명단!$K2003="",TRUE(),COUNTIF(원본명단!$K$3:$K2003,원본명단!$K2003)=1)),"첫 건","중복 건")))</f>
        <v/>
      </c>
      <c r="J2004" s="11" t="str">
        <f aca="false">IF($A2004="","",IF($H2004="-","유지",IF($I2004="첫 건","유지","확인 필요")))</f>
        <v/>
      </c>
    </row>
    <row r="2005" customFormat="false" ht="15" hidden="false" customHeight="true" outlineLevel="0" collapsed="false">
      <c r="A2005" s="11" t="str">
        <f aca="false">IF(원본명단!$A2004="","",2002)</f>
        <v/>
      </c>
      <c r="B2005" s="12" t="str">
        <f aca="false">IF($A2005="","",원본명단!$A2004)</f>
        <v/>
      </c>
      <c r="C2005" s="12" t="str">
        <f aca="false">IF($A2005="","",원본명단!$B2004)</f>
        <v/>
      </c>
      <c r="D2005" s="12" t="str">
        <f aca="false">IF($A2005="","",원본명단!$D2004)</f>
        <v/>
      </c>
      <c r="E2005" s="11" t="str">
        <f aca="false">IF($A2005="","",IF(원본명단!$H2004="",0,COUNTIF(원본명단!$H$3:$H$6002,원본명단!$H2004)))</f>
        <v/>
      </c>
      <c r="F2005" s="11" t="str">
        <f aca="false">IF($A2005="","",IF(원본명단!$I2004="",0,COUNTIF(원본명단!$I$3:$I$6002,원본명단!$I2004)))</f>
        <v/>
      </c>
      <c r="G2005" s="11" t="str">
        <f aca="false">IF($A2005="","",IF(원본명단!$K2004="",0,COUNTIF(원본명단!$K$3:$K$6002,원본명단!$K2004)))</f>
        <v/>
      </c>
      <c r="H2005" s="11" t="str">
        <f aca="false">IF($A2005="","",IF(MAX($E2005,$F2005,$G2005)&gt;1,"중복","-"))</f>
        <v/>
      </c>
      <c r="I2005" s="11" t="str">
        <f aca="false">IF($A2005="","",IF($H2005="-","-",IF(AND(IF(원본명단!$H2004="",TRUE(),COUNTIF(원본명단!$H$3:$H2004,원본명단!$H2004)=1),IF(원본명단!$I2004="",TRUE(),COUNTIF(원본명단!$I$3:$I2004,원본명단!$I2004)=1),IF(원본명단!$K2004="",TRUE(),COUNTIF(원본명단!$K$3:$K2004,원본명단!$K2004)=1)),"첫 건","중복 건")))</f>
        <v/>
      </c>
      <c r="J2005" s="11" t="str">
        <f aca="false">IF($A2005="","",IF($H2005="-","유지",IF($I2005="첫 건","유지","확인 필요")))</f>
        <v/>
      </c>
    </row>
    <row r="2006" customFormat="false" ht="15" hidden="false" customHeight="true" outlineLevel="0" collapsed="false">
      <c r="A2006" s="11" t="str">
        <f aca="false">IF(원본명단!$A2005="","",2003)</f>
        <v/>
      </c>
      <c r="B2006" s="12" t="str">
        <f aca="false">IF($A2006="","",원본명단!$A2005)</f>
        <v/>
      </c>
      <c r="C2006" s="12" t="str">
        <f aca="false">IF($A2006="","",원본명단!$B2005)</f>
        <v/>
      </c>
      <c r="D2006" s="12" t="str">
        <f aca="false">IF($A2006="","",원본명단!$D2005)</f>
        <v/>
      </c>
      <c r="E2006" s="11" t="str">
        <f aca="false">IF($A2006="","",IF(원본명단!$H2005="",0,COUNTIF(원본명단!$H$3:$H$6002,원본명단!$H2005)))</f>
        <v/>
      </c>
      <c r="F2006" s="11" t="str">
        <f aca="false">IF($A2006="","",IF(원본명단!$I2005="",0,COUNTIF(원본명단!$I$3:$I$6002,원본명단!$I2005)))</f>
        <v/>
      </c>
      <c r="G2006" s="11" t="str">
        <f aca="false">IF($A2006="","",IF(원본명단!$K2005="",0,COUNTIF(원본명단!$K$3:$K$6002,원본명단!$K2005)))</f>
        <v/>
      </c>
      <c r="H2006" s="11" t="str">
        <f aca="false">IF($A2006="","",IF(MAX($E2006,$F2006,$G2006)&gt;1,"중복","-"))</f>
        <v/>
      </c>
      <c r="I2006" s="11" t="str">
        <f aca="false">IF($A2006="","",IF($H2006="-","-",IF(AND(IF(원본명단!$H2005="",TRUE(),COUNTIF(원본명단!$H$3:$H2005,원본명단!$H2005)=1),IF(원본명단!$I2005="",TRUE(),COUNTIF(원본명단!$I$3:$I2005,원본명단!$I2005)=1),IF(원본명단!$K2005="",TRUE(),COUNTIF(원본명단!$K$3:$K2005,원본명단!$K2005)=1)),"첫 건","중복 건")))</f>
        <v/>
      </c>
      <c r="J2006" s="11" t="str">
        <f aca="false">IF($A2006="","",IF($H2006="-","유지",IF($I2006="첫 건","유지","확인 필요")))</f>
        <v/>
      </c>
    </row>
    <row r="2007" customFormat="false" ht="15" hidden="false" customHeight="true" outlineLevel="0" collapsed="false">
      <c r="A2007" s="11" t="str">
        <f aca="false">IF(원본명단!$A2006="","",2004)</f>
        <v/>
      </c>
      <c r="B2007" s="12" t="str">
        <f aca="false">IF($A2007="","",원본명단!$A2006)</f>
        <v/>
      </c>
      <c r="C2007" s="12" t="str">
        <f aca="false">IF($A2007="","",원본명단!$B2006)</f>
        <v/>
      </c>
      <c r="D2007" s="12" t="str">
        <f aca="false">IF($A2007="","",원본명단!$D2006)</f>
        <v/>
      </c>
      <c r="E2007" s="11" t="str">
        <f aca="false">IF($A2007="","",IF(원본명단!$H2006="",0,COUNTIF(원본명단!$H$3:$H$6002,원본명단!$H2006)))</f>
        <v/>
      </c>
      <c r="F2007" s="11" t="str">
        <f aca="false">IF($A2007="","",IF(원본명단!$I2006="",0,COUNTIF(원본명단!$I$3:$I$6002,원본명단!$I2006)))</f>
        <v/>
      </c>
      <c r="G2007" s="11" t="str">
        <f aca="false">IF($A2007="","",IF(원본명단!$K2006="",0,COUNTIF(원본명단!$K$3:$K$6002,원본명단!$K2006)))</f>
        <v/>
      </c>
      <c r="H2007" s="11" t="str">
        <f aca="false">IF($A2007="","",IF(MAX($E2007,$F2007,$G2007)&gt;1,"중복","-"))</f>
        <v/>
      </c>
      <c r="I2007" s="11" t="str">
        <f aca="false">IF($A2007="","",IF($H2007="-","-",IF(AND(IF(원본명단!$H2006="",TRUE(),COUNTIF(원본명단!$H$3:$H2006,원본명단!$H2006)=1),IF(원본명단!$I2006="",TRUE(),COUNTIF(원본명단!$I$3:$I2006,원본명단!$I2006)=1),IF(원본명단!$K2006="",TRUE(),COUNTIF(원본명단!$K$3:$K2006,원본명단!$K2006)=1)),"첫 건","중복 건")))</f>
        <v/>
      </c>
      <c r="J2007" s="11" t="str">
        <f aca="false">IF($A2007="","",IF($H2007="-","유지",IF($I2007="첫 건","유지","확인 필요")))</f>
        <v/>
      </c>
    </row>
    <row r="2008" customFormat="false" ht="15" hidden="false" customHeight="true" outlineLevel="0" collapsed="false">
      <c r="A2008" s="11" t="str">
        <f aca="false">IF(원본명단!$A2007="","",2005)</f>
        <v/>
      </c>
      <c r="B2008" s="12" t="str">
        <f aca="false">IF($A2008="","",원본명단!$A2007)</f>
        <v/>
      </c>
      <c r="C2008" s="12" t="str">
        <f aca="false">IF($A2008="","",원본명단!$B2007)</f>
        <v/>
      </c>
      <c r="D2008" s="12" t="str">
        <f aca="false">IF($A2008="","",원본명단!$D2007)</f>
        <v/>
      </c>
      <c r="E2008" s="11" t="str">
        <f aca="false">IF($A2008="","",IF(원본명단!$H2007="",0,COUNTIF(원본명단!$H$3:$H$6002,원본명단!$H2007)))</f>
        <v/>
      </c>
      <c r="F2008" s="11" t="str">
        <f aca="false">IF($A2008="","",IF(원본명단!$I2007="",0,COUNTIF(원본명단!$I$3:$I$6002,원본명단!$I2007)))</f>
        <v/>
      </c>
      <c r="G2008" s="11" t="str">
        <f aca="false">IF($A2008="","",IF(원본명단!$K2007="",0,COUNTIF(원본명단!$K$3:$K$6002,원본명단!$K2007)))</f>
        <v/>
      </c>
      <c r="H2008" s="11" t="str">
        <f aca="false">IF($A2008="","",IF(MAX($E2008,$F2008,$G2008)&gt;1,"중복","-"))</f>
        <v/>
      </c>
      <c r="I2008" s="11" t="str">
        <f aca="false">IF($A2008="","",IF($H2008="-","-",IF(AND(IF(원본명단!$H2007="",TRUE(),COUNTIF(원본명단!$H$3:$H2007,원본명단!$H2007)=1),IF(원본명단!$I2007="",TRUE(),COUNTIF(원본명단!$I$3:$I2007,원본명단!$I2007)=1),IF(원본명단!$K2007="",TRUE(),COUNTIF(원본명단!$K$3:$K2007,원본명단!$K2007)=1)),"첫 건","중복 건")))</f>
        <v/>
      </c>
      <c r="J2008" s="11" t="str">
        <f aca="false">IF($A2008="","",IF($H2008="-","유지",IF($I2008="첫 건","유지","확인 필요")))</f>
        <v/>
      </c>
    </row>
    <row r="2009" customFormat="false" ht="15" hidden="false" customHeight="true" outlineLevel="0" collapsed="false">
      <c r="A2009" s="11" t="str">
        <f aca="false">IF(원본명단!$A2008="","",2006)</f>
        <v/>
      </c>
      <c r="B2009" s="12" t="str">
        <f aca="false">IF($A2009="","",원본명단!$A2008)</f>
        <v/>
      </c>
      <c r="C2009" s="12" t="str">
        <f aca="false">IF($A2009="","",원본명단!$B2008)</f>
        <v/>
      </c>
      <c r="D2009" s="12" t="str">
        <f aca="false">IF($A2009="","",원본명단!$D2008)</f>
        <v/>
      </c>
      <c r="E2009" s="11" t="str">
        <f aca="false">IF($A2009="","",IF(원본명단!$H2008="",0,COUNTIF(원본명단!$H$3:$H$6002,원본명단!$H2008)))</f>
        <v/>
      </c>
      <c r="F2009" s="11" t="str">
        <f aca="false">IF($A2009="","",IF(원본명단!$I2008="",0,COUNTIF(원본명단!$I$3:$I$6002,원본명단!$I2008)))</f>
        <v/>
      </c>
      <c r="G2009" s="11" t="str">
        <f aca="false">IF($A2009="","",IF(원본명단!$K2008="",0,COUNTIF(원본명단!$K$3:$K$6002,원본명단!$K2008)))</f>
        <v/>
      </c>
      <c r="H2009" s="11" t="str">
        <f aca="false">IF($A2009="","",IF(MAX($E2009,$F2009,$G2009)&gt;1,"중복","-"))</f>
        <v/>
      </c>
      <c r="I2009" s="11" t="str">
        <f aca="false">IF($A2009="","",IF($H2009="-","-",IF(AND(IF(원본명단!$H2008="",TRUE(),COUNTIF(원본명단!$H$3:$H2008,원본명단!$H2008)=1),IF(원본명단!$I2008="",TRUE(),COUNTIF(원본명단!$I$3:$I2008,원본명단!$I2008)=1),IF(원본명단!$K2008="",TRUE(),COUNTIF(원본명단!$K$3:$K2008,원본명단!$K2008)=1)),"첫 건","중복 건")))</f>
        <v/>
      </c>
      <c r="J2009" s="11" t="str">
        <f aca="false">IF($A2009="","",IF($H2009="-","유지",IF($I2009="첫 건","유지","확인 필요")))</f>
        <v/>
      </c>
    </row>
    <row r="2010" customFormat="false" ht="15" hidden="false" customHeight="true" outlineLevel="0" collapsed="false">
      <c r="A2010" s="11" t="str">
        <f aca="false">IF(원본명단!$A2009="","",2007)</f>
        <v/>
      </c>
      <c r="B2010" s="12" t="str">
        <f aca="false">IF($A2010="","",원본명단!$A2009)</f>
        <v/>
      </c>
      <c r="C2010" s="12" t="str">
        <f aca="false">IF($A2010="","",원본명단!$B2009)</f>
        <v/>
      </c>
      <c r="D2010" s="12" t="str">
        <f aca="false">IF($A2010="","",원본명단!$D2009)</f>
        <v/>
      </c>
      <c r="E2010" s="11" t="str">
        <f aca="false">IF($A2010="","",IF(원본명단!$H2009="",0,COUNTIF(원본명단!$H$3:$H$6002,원본명단!$H2009)))</f>
        <v/>
      </c>
      <c r="F2010" s="11" t="str">
        <f aca="false">IF($A2010="","",IF(원본명단!$I2009="",0,COUNTIF(원본명단!$I$3:$I$6002,원본명단!$I2009)))</f>
        <v/>
      </c>
      <c r="G2010" s="11" t="str">
        <f aca="false">IF($A2010="","",IF(원본명단!$K2009="",0,COUNTIF(원본명단!$K$3:$K$6002,원본명단!$K2009)))</f>
        <v/>
      </c>
      <c r="H2010" s="11" t="str">
        <f aca="false">IF($A2010="","",IF(MAX($E2010,$F2010,$G2010)&gt;1,"중복","-"))</f>
        <v/>
      </c>
      <c r="I2010" s="11" t="str">
        <f aca="false">IF($A2010="","",IF($H2010="-","-",IF(AND(IF(원본명단!$H2009="",TRUE(),COUNTIF(원본명단!$H$3:$H2009,원본명단!$H2009)=1),IF(원본명단!$I2009="",TRUE(),COUNTIF(원본명단!$I$3:$I2009,원본명단!$I2009)=1),IF(원본명단!$K2009="",TRUE(),COUNTIF(원본명단!$K$3:$K2009,원본명단!$K2009)=1)),"첫 건","중복 건")))</f>
        <v/>
      </c>
      <c r="J2010" s="11" t="str">
        <f aca="false">IF($A2010="","",IF($H2010="-","유지",IF($I2010="첫 건","유지","확인 필요")))</f>
        <v/>
      </c>
    </row>
    <row r="2011" customFormat="false" ht="15" hidden="false" customHeight="true" outlineLevel="0" collapsed="false">
      <c r="A2011" s="11" t="str">
        <f aca="false">IF(원본명단!$A2010="","",2008)</f>
        <v/>
      </c>
      <c r="B2011" s="12" t="str">
        <f aca="false">IF($A2011="","",원본명단!$A2010)</f>
        <v/>
      </c>
      <c r="C2011" s="12" t="str">
        <f aca="false">IF($A2011="","",원본명단!$B2010)</f>
        <v/>
      </c>
      <c r="D2011" s="12" t="str">
        <f aca="false">IF($A2011="","",원본명단!$D2010)</f>
        <v/>
      </c>
      <c r="E2011" s="11" t="str">
        <f aca="false">IF($A2011="","",IF(원본명단!$H2010="",0,COUNTIF(원본명단!$H$3:$H$6002,원본명단!$H2010)))</f>
        <v/>
      </c>
      <c r="F2011" s="11" t="str">
        <f aca="false">IF($A2011="","",IF(원본명단!$I2010="",0,COUNTIF(원본명단!$I$3:$I$6002,원본명단!$I2010)))</f>
        <v/>
      </c>
      <c r="G2011" s="11" t="str">
        <f aca="false">IF($A2011="","",IF(원본명단!$K2010="",0,COUNTIF(원본명단!$K$3:$K$6002,원본명단!$K2010)))</f>
        <v/>
      </c>
      <c r="H2011" s="11" t="str">
        <f aca="false">IF($A2011="","",IF(MAX($E2011,$F2011,$G2011)&gt;1,"중복","-"))</f>
        <v/>
      </c>
      <c r="I2011" s="11" t="str">
        <f aca="false">IF($A2011="","",IF($H2011="-","-",IF(AND(IF(원본명단!$H2010="",TRUE(),COUNTIF(원본명단!$H$3:$H2010,원본명단!$H2010)=1),IF(원본명단!$I2010="",TRUE(),COUNTIF(원본명단!$I$3:$I2010,원본명단!$I2010)=1),IF(원본명단!$K2010="",TRUE(),COUNTIF(원본명단!$K$3:$K2010,원본명단!$K2010)=1)),"첫 건","중복 건")))</f>
        <v/>
      </c>
      <c r="J2011" s="11" t="str">
        <f aca="false">IF($A2011="","",IF($H2011="-","유지",IF($I2011="첫 건","유지","확인 필요")))</f>
        <v/>
      </c>
    </row>
    <row r="2012" customFormat="false" ht="15" hidden="false" customHeight="true" outlineLevel="0" collapsed="false">
      <c r="A2012" s="11" t="str">
        <f aca="false">IF(원본명단!$A2011="","",2009)</f>
        <v/>
      </c>
      <c r="B2012" s="12" t="str">
        <f aca="false">IF($A2012="","",원본명단!$A2011)</f>
        <v/>
      </c>
      <c r="C2012" s="12" t="str">
        <f aca="false">IF($A2012="","",원본명단!$B2011)</f>
        <v/>
      </c>
      <c r="D2012" s="12" t="str">
        <f aca="false">IF($A2012="","",원본명단!$D2011)</f>
        <v/>
      </c>
      <c r="E2012" s="11" t="str">
        <f aca="false">IF($A2012="","",IF(원본명단!$H2011="",0,COUNTIF(원본명단!$H$3:$H$6002,원본명단!$H2011)))</f>
        <v/>
      </c>
      <c r="F2012" s="11" t="str">
        <f aca="false">IF($A2012="","",IF(원본명단!$I2011="",0,COUNTIF(원본명단!$I$3:$I$6002,원본명단!$I2011)))</f>
        <v/>
      </c>
      <c r="G2012" s="11" t="str">
        <f aca="false">IF($A2012="","",IF(원본명단!$K2011="",0,COUNTIF(원본명단!$K$3:$K$6002,원본명단!$K2011)))</f>
        <v/>
      </c>
      <c r="H2012" s="11" t="str">
        <f aca="false">IF($A2012="","",IF(MAX($E2012,$F2012,$G2012)&gt;1,"중복","-"))</f>
        <v/>
      </c>
      <c r="I2012" s="11" t="str">
        <f aca="false">IF($A2012="","",IF($H2012="-","-",IF(AND(IF(원본명단!$H2011="",TRUE(),COUNTIF(원본명단!$H$3:$H2011,원본명단!$H2011)=1),IF(원본명단!$I2011="",TRUE(),COUNTIF(원본명단!$I$3:$I2011,원본명단!$I2011)=1),IF(원본명단!$K2011="",TRUE(),COUNTIF(원본명단!$K$3:$K2011,원본명단!$K2011)=1)),"첫 건","중복 건")))</f>
        <v/>
      </c>
      <c r="J2012" s="11" t="str">
        <f aca="false">IF($A2012="","",IF($H2012="-","유지",IF($I2012="첫 건","유지","확인 필요")))</f>
        <v/>
      </c>
    </row>
    <row r="2013" customFormat="false" ht="15" hidden="false" customHeight="true" outlineLevel="0" collapsed="false">
      <c r="A2013" s="11" t="str">
        <f aca="false">IF(원본명단!$A2012="","",2010)</f>
        <v/>
      </c>
      <c r="B2013" s="12" t="str">
        <f aca="false">IF($A2013="","",원본명단!$A2012)</f>
        <v/>
      </c>
      <c r="C2013" s="12" t="str">
        <f aca="false">IF($A2013="","",원본명단!$B2012)</f>
        <v/>
      </c>
      <c r="D2013" s="12" t="str">
        <f aca="false">IF($A2013="","",원본명단!$D2012)</f>
        <v/>
      </c>
      <c r="E2013" s="11" t="str">
        <f aca="false">IF($A2013="","",IF(원본명단!$H2012="",0,COUNTIF(원본명단!$H$3:$H$6002,원본명단!$H2012)))</f>
        <v/>
      </c>
      <c r="F2013" s="11" t="str">
        <f aca="false">IF($A2013="","",IF(원본명단!$I2012="",0,COUNTIF(원본명단!$I$3:$I$6002,원본명단!$I2012)))</f>
        <v/>
      </c>
      <c r="G2013" s="11" t="str">
        <f aca="false">IF($A2013="","",IF(원본명단!$K2012="",0,COUNTIF(원본명단!$K$3:$K$6002,원본명단!$K2012)))</f>
        <v/>
      </c>
      <c r="H2013" s="11" t="str">
        <f aca="false">IF($A2013="","",IF(MAX($E2013,$F2013,$G2013)&gt;1,"중복","-"))</f>
        <v/>
      </c>
      <c r="I2013" s="11" t="str">
        <f aca="false">IF($A2013="","",IF($H2013="-","-",IF(AND(IF(원본명단!$H2012="",TRUE(),COUNTIF(원본명단!$H$3:$H2012,원본명단!$H2012)=1),IF(원본명단!$I2012="",TRUE(),COUNTIF(원본명단!$I$3:$I2012,원본명단!$I2012)=1),IF(원본명단!$K2012="",TRUE(),COUNTIF(원본명단!$K$3:$K2012,원본명단!$K2012)=1)),"첫 건","중복 건")))</f>
        <v/>
      </c>
      <c r="J2013" s="11" t="str">
        <f aca="false">IF($A2013="","",IF($H2013="-","유지",IF($I2013="첫 건","유지","확인 필요")))</f>
        <v/>
      </c>
    </row>
    <row r="2014" customFormat="false" ht="15" hidden="false" customHeight="true" outlineLevel="0" collapsed="false">
      <c r="A2014" s="11" t="str">
        <f aca="false">IF(원본명단!$A2013="","",2011)</f>
        <v/>
      </c>
      <c r="B2014" s="12" t="str">
        <f aca="false">IF($A2014="","",원본명단!$A2013)</f>
        <v/>
      </c>
      <c r="C2014" s="12" t="str">
        <f aca="false">IF($A2014="","",원본명단!$B2013)</f>
        <v/>
      </c>
      <c r="D2014" s="12" t="str">
        <f aca="false">IF($A2014="","",원본명단!$D2013)</f>
        <v/>
      </c>
      <c r="E2014" s="11" t="str">
        <f aca="false">IF($A2014="","",IF(원본명단!$H2013="",0,COUNTIF(원본명단!$H$3:$H$6002,원본명단!$H2013)))</f>
        <v/>
      </c>
      <c r="F2014" s="11" t="str">
        <f aca="false">IF($A2014="","",IF(원본명단!$I2013="",0,COUNTIF(원본명단!$I$3:$I$6002,원본명단!$I2013)))</f>
        <v/>
      </c>
      <c r="G2014" s="11" t="str">
        <f aca="false">IF($A2014="","",IF(원본명단!$K2013="",0,COUNTIF(원본명단!$K$3:$K$6002,원본명단!$K2013)))</f>
        <v/>
      </c>
      <c r="H2014" s="11" t="str">
        <f aca="false">IF($A2014="","",IF(MAX($E2014,$F2014,$G2014)&gt;1,"중복","-"))</f>
        <v/>
      </c>
      <c r="I2014" s="11" t="str">
        <f aca="false">IF($A2014="","",IF($H2014="-","-",IF(AND(IF(원본명단!$H2013="",TRUE(),COUNTIF(원본명단!$H$3:$H2013,원본명단!$H2013)=1),IF(원본명단!$I2013="",TRUE(),COUNTIF(원본명단!$I$3:$I2013,원본명단!$I2013)=1),IF(원본명단!$K2013="",TRUE(),COUNTIF(원본명단!$K$3:$K2013,원본명단!$K2013)=1)),"첫 건","중복 건")))</f>
        <v/>
      </c>
      <c r="J2014" s="11" t="str">
        <f aca="false">IF($A2014="","",IF($H2014="-","유지",IF($I2014="첫 건","유지","확인 필요")))</f>
        <v/>
      </c>
    </row>
    <row r="2015" customFormat="false" ht="15" hidden="false" customHeight="true" outlineLevel="0" collapsed="false">
      <c r="A2015" s="11" t="str">
        <f aca="false">IF(원본명단!$A2014="","",2012)</f>
        <v/>
      </c>
      <c r="B2015" s="12" t="str">
        <f aca="false">IF($A2015="","",원본명단!$A2014)</f>
        <v/>
      </c>
      <c r="C2015" s="12" t="str">
        <f aca="false">IF($A2015="","",원본명단!$B2014)</f>
        <v/>
      </c>
      <c r="D2015" s="12" t="str">
        <f aca="false">IF($A2015="","",원본명단!$D2014)</f>
        <v/>
      </c>
      <c r="E2015" s="11" t="str">
        <f aca="false">IF($A2015="","",IF(원본명단!$H2014="",0,COUNTIF(원본명단!$H$3:$H$6002,원본명단!$H2014)))</f>
        <v/>
      </c>
      <c r="F2015" s="11" t="str">
        <f aca="false">IF($A2015="","",IF(원본명단!$I2014="",0,COUNTIF(원본명단!$I$3:$I$6002,원본명단!$I2014)))</f>
        <v/>
      </c>
      <c r="G2015" s="11" t="str">
        <f aca="false">IF($A2015="","",IF(원본명단!$K2014="",0,COUNTIF(원본명단!$K$3:$K$6002,원본명단!$K2014)))</f>
        <v/>
      </c>
      <c r="H2015" s="11" t="str">
        <f aca="false">IF($A2015="","",IF(MAX($E2015,$F2015,$G2015)&gt;1,"중복","-"))</f>
        <v/>
      </c>
      <c r="I2015" s="11" t="str">
        <f aca="false">IF($A2015="","",IF($H2015="-","-",IF(AND(IF(원본명단!$H2014="",TRUE(),COUNTIF(원본명단!$H$3:$H2014,원본명단!$H2014)=1),IF(원본명단!$I2014="",TRUE(),COUNTIF(원본명단!$I$3:$I2014,원본명단!$I2014)=1),IF(원본명단!$K2014="",TRUE(),COUNTIF(원본명단!$K$3:$K2014,원본명단!$K2014)=1)),"첫 건","중복 건")))</f>
        <v/>
      </c>
      <c r="J2015" s="11" t="str">
        <f aca="false">IF($A2015="","",IF($H2015="-","유지",IF($I2015="첫 건","유지","확인 필요")))</f>
        <v/>
      </c>
    </row>
    <row r="2016" customFormat="false" ht="15" hidden="false" customHeight="true" outlineLevel="0" collapsed="false">
      <c r="A2016" s="11" t="str">
        <f aca="false">IF(원본명단!$A2015="","",2013)</f>
        <v/>
      </c>
      <c r="B2016" s="12" t="str">
        <f aca="false">IF($A2016="","",원본명단!$A2015)</f>
        <v/>
      </c>
      <c r="C2016" s="12" t="str">
        <f aca="false">IF($A2016="","",원본명단!$B2015)</f>
        <v/>
      </c>
      <c r="D2016" s="12" t="str">
        <f aca="false">IF($A2016="","",원본명단!$D2015)</f>
        <v/>
      </c>
      <c r="E2016" s="11" t="str">
        <f aca="false">IF($A2016="","",IF(원본명단!$H2015="",0,COUNTIF(원본명단!$H$3:$H$6002,원본명단!$H2015)))</f>
        <v/>
      </c>
      <c r="F2016" s="11" t="str">
        <f aca="false">IF($A2016="","",IF(원본명단!$I2015="",0,COUNTIF(원본명단!$I$3:$I$6002,원본명단!$I2015)))</f>
        <v/>
      </c>
      <c r="G2016" s="11" t="str">
        <f aca="false">IF($A2016="","",IF(원본명단!$K2015="",0,COUNTIF(원본명단!$K$3:$K$6002,원본명단!$K2015)))</f>
        <v/>
      </c>
      <c r="H2016" s="11" t="str">
        <f aca="false">IF($A2016="","",IF(MAX($E2016,$F2016,$G2016)&gt;1,"중복","-"))</f>
        <v/>
      </c>
      <c r="I2016" s="11" t="str">
        <f aca="false">IF($A2016="","",IF($H2016="-","-",IF(AND(IF(원본명단!$H2015="",TRUE(),COUNTIF(원본명단!$H$3:$H2015,원본명단!$H2015)=1),IF(원본명단!$I2015="",TRUE(),COUNTIF(원본명단!$I$3:$I2015,원본명단!$I2015)=1),IF(원본명단!$K2015="",TRUE(),COUNTIF(원본명단!$K$3:$K2015,원본명단!$K2015)=1)),"첫 건","중복 건")))</f>
        <v/>
      </c>
      <c r="J2016" s="11" t="str">
        <f aca="false">IF($A2016="","",IF($H2016="-","유지",IF($I2016="첫 건","유지","확인 필요")))</f>
        <v/>
      </c>
    </row>
    <row r="2017" customFormat="false" ht="15" hidden="false" customHeight="true" outlineLevel="0" collapsed="false">
      <c r="A2017" s="11" t="str">
        <f aca="false">IF(원본명단!$A2016="","",2014)</f>
        <v/>
      </c>
      <c r="B2017" s="12" t="str">
        <f aca="false">IF($A2017="","",원본명단!$A2016)</f>
        <v/>
      </c>
      <c r="C2017" s="12" t="str">
        <f aca="false">IF($A2017="","",원본명단!$B2016)</f>
        <v/>
      </c>
      <c r="D2017" s="12" t="str">
        <f aca="false">IF($A2017="","",원본명단!$D2016)</f>
        <v/>
      </c>
      <c r="E2017" s="11" t="str">
        <f aca="false">IF($A2017="","",IF(원본명단!$H2016="",0,COUNTIF(원본명단!$H$3:$H$6002,원본명단!$H2016)))</f>
        <v/>
      </c>
      <c r="F2017" s="11" t="str">
        <f aca="false">IF($A2017="","",IF(원본명단!$I2016="",0,COUNTIF(원본명단!$I$3:$I$6002,원본명단!$I2016)))</f>
        <v/>
      </c>
      <c r="G2017" s="11" t="str">
        <f aca="false">IF($A2017="","",IF(원본명단!$K2016="",0,COUNTIF(원본명단!$K$3:$K$6002,원본명단!$K2016)))</f>
        <v/>
      </c>
      <c r="H2017" s="11" t="str">
        <f aca="false">IF($A2017="","",IF(MAX($E2017,$F2017,$G2017)&gt;1,"중복","-"))</f>
        <v/>
      </c>
      <c r="I2017" s="11" t="str">
        <f aca="false">IF($A2017="","",IF($H2017="-","-",IF(AND(IF(원본명단!$H2016="",TRUE(),COUNTIF(원본명단!$H$3:$H2016,원본명단!$H2016)=1),IF(원본명단!$I2016="",TRUE(),COUNTIF(원본명단!$I$3:$I2016,원본명단!$I2016)=1),IF(원본명단!$K2016="",TRUE(),COUNTIF(원본명단!$K$3:$K2016,원본명단!$K2016)=1)),"첫 건","중복 건")))</f>
        <v/>
      </c>
      <c r="J2017" s="11" t="str">
        <f aca="false">IF($A2017="","",IF($H2017="-","유지",IF($I2017="첫 건","유지","확인 필요")))</f>
        <v/>
      </c>
    </row>
    <row r="2018" customFormat="false" ht="15" hidden="false" customHeight="true" outlineLevel="0" collapsed="false">
      <c r="A2018" s="11" t="str">
        <f aca="false">IF(원본명단!$A2017="","",2015)</f>
        <v/>
      </c>
      <c r="B2018" s="12" t="str">
        <f aca="false">IF($A2018="","",원본명단!$A2017)</f>
        <v/>
      </c>
      <c r="C2018" s="12" t="str">
        <f aca="false">IF($A2018="","",원본명단!$B2017)</f>
        <v/>
      </c>
      <c r="D2018" s="12" t="str">
        <f aca="false">IF($A2018="","",원본명단!$D2017)</f>
        <v/>
      </c>
      <c r="E2018" s="11" t="str">
        <f aca="false">IF($A2018="","",IF(원본명단!$H2017="",0,COUNTIF(원본명단!$H$3:$H$6002,원본명단!$H2017)))</f>
        <v/>
      </c>
      <c r="F2018" s="11" t="str">
        <f aca="false">IF($A2018="","",IF(원본명단!$I2017="",0,COUNTIF(원본명단!$I$3:$I$6002,원본명단!$I2017)))</f>
        <v/>
      </c>
      <c r="G2018" s="11" t="str">
        <f aca="false">IF($A2018="","",IF(원본명단!$K2017="",0,COUNTIF(원본명단!$K$3:$K$6002,원본명단!$K2017)))</f>
        <v/>
      </c>
      <c r="H2018" s="11" t="str">
        <f aca="false">IF($A2018="","",IF(MAX($E2018,$F2018,$G2018)&gt;1,"중복","-"))</f>
        <v/>
      </c>
      <c r="I2018" s="11" t="str">
        <f aca="false">IF($A2018="","",IF($H2018="-","-",IF(AND(IF(원본명단!$H2017="",TRUE(),COUNTIF(원본명단!$H$3:$H2017,원본명단!$H2017)=1),IF(원본명단!$I2017="",TRUE(),COUNTIF(원본명단!$I$3:$I2017,원본명단!$I2017)=1),IF(원본명단!$K2017="",TRUE(),COUNTIF(원본명단!$K$3:$K2017,원본명단!$K2017)=1)),"첫 건","중복 건")))</f>
        <v/>
      </c>
      <c r="J2018" s="11" t="str">
        <f aca="false">IF($A2018="","",IF($H2018="-","유지",IF($I2018="첫 건","유지","확인 필요")))</f>
        <v/>
      </c>
    </row>
    <row r="2019" customFormat="false" ht="15" hidden="false" customHeight="true" outlineLevel="0" collapsed="false">
      <c r="A2019" s="11" t="str">
        <f aca="false">IF(원본명단!$A2018="","",2016)</f>
        <v/>
      </c>
      <c r="B2019" s="12" t="str">
        <f aca="false">IF($A2019="","",원본명단!$A2018)</f>
        <v/>
      </c>
      <c r="C2019" s="12" t="str">
        <f aca="false">IF($A2019="","",원본명단!$B2018)</f>
        <v/>
      </c>
      <c r="D2019" s="12" t="str">
        <f aca="false">IF($A2019="","",원본명단!$D2018)</f>
        <v/>
      </c>
      <c r="E2019" s="11" t="str">
        <f aca="false">IF($A2019="","",IF(원본명단!$H2018="",0,COUNTIF(원본명단!$H$3:$H$6002,원본명단!$H2018)))</f>
        <v/>
      </c>
      <c r="F2019" s="11" t="str">
        <f aca="false">IF($A2019="","",IF(원본명단!$I2018="",0,COUNTIF(원본명단!$I$3:$I$6002,원본명단!$I2018)))</f>
        <v/>
      </c>
      <c r="G2019" s="11" t="str">
        <f aca="false">IF($A2019="","",IF(원본명단!$K2018="",0,COUNTIF(원본명단!$K$3:$K$6002,원본명단!$K2018)))</f>
        <v/>
      </c>
      <c r="H2019" s="11" t="str">
        <f aca="false">IF($A2019="","",IF(MAX($E2019,$F2019,$G2019)&gt;1,"중복","-"))</f>
        <v/>
      </c>
      <c r="I2019" s="11" t="str">
        <f aca="false">IF($A2019="","",IF($H2019="-","-",IF(AND(IF(원본명단!$H2018="",TRUE(),COUNTIF(원본명단!$H$3:$H2018,원본명단!$H2018)=1),IF(원본명단!$I2018="",TRUE(),COUNTIF(원본명단!$I$3:$I2018,원본명단!$I2018)=1),IF(원본명단!$K2018="",TRUE(),COUNTIF(원본명단!$K$3:$K2018,원본명단!$K2018)=1)),"첫 건","중복 건")))</f>
        <v/>
      </c>
      <c r="J2019" s="11" t="str">
        <f aca="false">IF($A2019="","",IF($H2019="-","유지",IF($I2019="첫 건","유지","확인 필요")))</f>
        <v/>
      </c>
    </row>
    <row r="2020" customFormat="false" ht="15" hidden="false" customHeight="true" outlineLevel="0" collapsed="false">
      <c r="A2020" s="11" t="str">
        <f aca="false">IF(원본명단!$A2019="","",2017)</f>
        <v/>
      </c>
      <c r="B2020" s="12" t="str">
        <f aca="false">IF($A2020="","",원본명단!$A2019)</f>
        <v/>
      </c>
      <c r="C2020" s="12" t="str">
        <f aca="false">IF($A2020="","",원본명단!$B2019)</f>
        <v/>
      </c>
      <c r="D2020" s="12" t="str">
        <f aca="false">IF($A2020="","",원본명단!$D2019)</f>
        <v/>
      </c>
      <c r="E2020" s="11" t="str">
        <f aca="false">IF($A2020="","",IF(원본명단!$H2019="",0,COUNTIF(원본명단!$H$3:$H$6002,원본명단!$H2019)))</f>
        <v/>
      </c>
      <c r="F2020" s="11" t="str">
        <f aca="false">IF($A2020="","",IF(원본명단!$I2019="",0,COUNTIF(원본명단!$I$3:$I$6002,원본명단!$I2019)))</f>
        <v/>
      </c>
      <c r="G2020" s="11" t="str">
        <f aca="false">IF($A2020="","",IF(원본명단!$K2019="",0,COUNTIF(원본명단!$K$3:$K$6002,원본명단!$K2019)))</f>
        <v/>
      </c>
      <c r="H2020" s="11" t="str">
        <f aca="false">IF($A2020="","",IF(MAX($E2020,$F2020,$G2020)&gt;1,"중복","-"))</f>
        <v/>
      </c>
      <c r="I2020" s="11" t="str">
        <f aca="false">IF($A2020="","",IF($H2020="-","-",IF(AND(IF(원본명단!$H2019="",TRUE(),COUNTIF(원본명단!$H$3:$H2019,원본명단!$H2019)=1),IF(원본명단!$I2019="",TRUE(),COUNTIF(원본명단!$I$3:$I2019,원본명단!$I2019)=1),IF(원본명단!$K2019="",TRUE(),COUNTIF(원본명단!$K$3:$K2019,원본명단!$K2019)=1)),"첫 건","중복 건")))</f>
        <v/>
      </c>
      <c r="J2020" s="11" t="str">
        <f aca="false">IF($A2020="","",IF($H2020="-","유지",IF($I2020="첫 건","유지","확인 필요")))</f>
        <v/>
      </c>
    </row>
    <row r="2021" customFormat="false" ht="15" hidden="false" customHeight="true" outlineLevel="0" collapsed="false">
      <c r="A2021" s="11" t="str">
        <f aca="false">IF(원본명단!$A2020="","",2018)</f>
        <v/>
      </c>
      <c r="B2021" s="12" t="str">
        <f aca="false">IF($A2021="","",원본명단!$A2020)</f>
        <v/>
      </c>
      <c r="C2021" s="12" t="str">
        <f aca="false">IF($A2021="","",원본명단!$B2020)</f>
        <v/>
      </c>
      <c r="D2021" s="12" t="str">
        <f aca="false">IF($A2021="","",원본명단!$D2020)</f>
        <v/>
      </c>
      <c r="E2021" s="11" t="str">
        <f aca="false">IF($A2021="","",IF(원본명단!$H2020="",0,COUNTIF(원본명단!$H$3:$H$6002,원본명단!$H2020)))</f>
        <v/>
      </c>
      <c r="F2021" s="11" t="str">
        <f aca="false">IF($A2021="","",IF(원본명단!$I2020="",0,COUNTIF(원본명단!$I$3:$I$6002,원본명단!$I2020)))</f>
        <v/>
      </c>
      <c r="G2021" s="11" t="str">
        <f aca="false">IF($A2021="","",IF(원본명단!$K2020="",0,COUNTIF(원본명단!$K$3:$K$6002,원본명단!$K2020)))</f>
        <v/>
      </c>
      <c r="H2021" s="11" t="str">
        <f aca="false">IF($A2021="","",IF(MAX($E2021,$F2021,$G2021)&gt;1,"중복","-"))</f>
        <v/>
      </c>
      <c r="I2021" s="11" t="str">
        <f aca="false">IF($A2021="","",IF($H2021="-","-",IF(AND(IF(원본명단!$H2020="",TRUE(),COUNTIF(원본명단!$H$3:$H2020,원본명단!$H2020)=1),IF(원본명단!$I2020="",TRUE(),COUNTIF(원본명단!$I$3:$I2020,원본명단!$I2020)=1),IF(원본명단!$K2020="",TRUE(),COUNTIF(원본명단!$K$3:$K2020,원본명단!$K2020)=1)),"첫 건","중복 건")))</f>
        <v/>
      </c>
      <c r="J2021" s="11" t="str">
        <f aca="false">IF($A2021="","",IF($H2021="-","유지",IF($I2021="첫 건","유지","확인 필요")))</f>
        <v/>
      </c>
    </row>
    <row r="2022" customFormat="false" ht="15" hidden="false" customHeight="true" outlineLevel="0" collapsed="false">
      <c r="A2022" s="11" t="str">
        <f aca="false">IF(원본명단!$A2021="","",2019)</f>
        <v/>
      </c>
      <c r="B2022" s="12" t="str">
        <f aca="false">IF($A2022="","",원본명단!$A2021)</f>
        <v/>
      </c>
      <c r="C2022" s="12" t="str">
        <f aca="false">IF($A2022="","",원본명단!$B2021)</f>
        <v/>
      </c>
      <c r="D2022" s="12" t="str">
        <f aca="false">IF($A2022="","",원본명단!$D2021)</f>
        <v/>
      </c>
      <c r="E2022" s="11" t="str">
        <f aca="false">IF($A2022="","",IF(원본명단!$H2021="",0,COUNTIF(원본명단!$H$3:$H$6002,원본명단!$H2021)))</f>
        <v/>
      </c>
      <c r="F2022" s="11" t="str">
        <f aca="false">IF($A2022="","",IF(원본명단!$I2021="",0,COUNTIF(원본명단!$I$3:$I$6002,원본명단!$I2021)))</f>
        <v/>
      </c>
      <c r="G2022" s="11" t="str">
        <f aca="false">IF($A2022="","",IF(원본명단!$K2021="",0,COUNTIF(원본명단!$K$3:$K$6002,원본명단!$K2021)))</f>
        <v/>
      </c>
      <c r="H2022" s="11" t="str">
        <f aca="false">IF($A2022="","",IF(MAX($E2022,$F2022,$G2022)&gt;1,"중복","-"))</f>
        <v/>
      </c>
      <c r="I2022" s="11" t="str">
        <f aca="false">IF($A2022="","",IF($H2022="-","-",IF(AND(IF(원본명단!$H2021="",TRUE(),COUNTIF(원본명단!$H$3:$H2021,원본명단!$H2021)=1),IF(원본명단!$I2021="",TRUE(),COUNTIF(원본명단!$I$3:$I2021,원본명단!$I2021)=1),IF(원본명단!$K2021="",TRUE(),COUNTIF(원본명단!$K$3:$K2021,원본명단!$K2021)=1)),"첫 건","중복 건")))</f>
        <v/>
      </c>
      <c r="J2022" s="11" t="str">
        <f aca="false">IF($A2022="","",IF($H2022="-","유지",IF($I2022="첫 건","유지","확인 필요")))</f>
        <v/>
      </c>
    </row>
    <row r="2023" customFormat="false" ht="15" hidden="false" customHeight="true" outlineLevel="0" collapsed="false">
      <c r="A2023" s="11" t="str">
        <f aca="false">IF(원본명단!$A2022="","",2020)</f>
        <v/>
      </c>
      <c r="B2023" s="12" t="str">
        <f aca="false">IF($A2023="","",원본명단!$A2022)</f>
        <v/>
      </c>
      <c r="C2023" s="12" t="str">
        <f aca="false">IF($A2023="","",원본명단!$B2022)</f>
        <v/>
      </c>
      <c r="D2023" s="12" t="str">
        <f aca="false">IF($A2023="","",원본명단!$D2022)</f>
        <v/>
      </c>
      <c r="E2023" s="11" t="str">
        <f aca="false">IF($A2023="","",IF(원본명단!$H2022="",0,COUNTIF(원본명단!$H$3:$H$6002,원본명단!$H2022)))</f>
        <v/>
      </c>
      <c r="F2023" s="11" t="str">
        <f aca="false">IF($A2023="","",IF(원본명단!$I2022="",0,COUNTIF(원본명단!$I$3:$I$6002,원본명단!$I2022)))</f>
        <v/>
      </c>
      <c r="G2023" s="11" t="str">
        <f aca="false">IF($A2023="","",IF(원본명단!$K2022="",0,COUNTIF(원본명단!$K$3:$K$6002,원본명단!$K2022)))</f>
        <v/>
      </c>
      <c r="H2023" s="11" t="str">
        <f aca="false">IF($A2023="","",IF(MAX($E2023,$F2023,$G2023)&gt;1,"중복","-"))</f>
        <v/>
      </c>
      <c r="I2023" s="11" t="str">
        <f aca="false">IF($A2023="","",IF($H2023="-","-",IF(AND(IF(원본명단!$H2022="",TRUE(),COUNTIF(원본명단!$H$3:$H2022,원본명단!$H2022)=1),IF(원본명단!$I2022="",TRUE(),COUNTIF(원본명단!$I$3:$I2022,원본명단!$I2022)=1),IF(원본명단!$K2022="",TRUE(),COUNTIF(원본명단!$K$3:$K2022,원본명단!$K2022)=1)),"첫 건","중복 건")))</f>
        <v/>
      </c>
      <c r="J2023" s="11" t="str">
        <f aca="false">IF($A2023="","",IF($H2023="-","유지",IF($I2023="첫 건","유지","확인 필요")))</f>
        <v/>
      </c>
    </row>
    <row r="2024" customFormat="false" ht="15" hidden="false" customHeight="true" outlineLevel="0" collapsed="false">
      <c r="A2024" s="11" t="str">
        <f aca="false">IF(원본명단!$A2023="","",2021)</f>
        <v/>
      </c>
      <c r="B2024" s="12" t="str">
        <f aca="false">IF($A2024="","",원본명단!$A2023)</f>
        <v/>
      </c>
      <c r="C2024" s="12" t="str">
        <f aca="false">IF($A2024="","",원본명단!$B2023)</f>
        <v/>
      </c>
      <c r="D2024" s="12" t="str">
        <f aca="false">IF($A2024="","",원본명단!$D2023)</f>
        <v/>
      </c>
      <c r="E2024" s="11" t="str">
        <f aca="false">IF($A2024="","",IF(원본명단!$H2023="",0,COUNTIF(원본명단!$H$3:$H$6002,원본명단!$H2023)))</f>
        <v/>
      </c>
      <c r="F2024" s="11" t="str">
        <f aca="false">IF($A2024="","",IF(원본명단!$I2023="",0,COUNTIF(원본명단!$I$3:$I$6002,원본명단!$I2023)))</f>
        <v/>
      </c>
      <c r="G2024" s="11" t="str">
        <f aca="false">IF($A2024="","",IF(원본명단!$K2023="",0,COUNTIF(원본명단!$K$3:$K$6002,원본명단!$K2023)))</f>
        <v/>
      </c>
      <c r="H2024" s="11" t="str">
        <f aca="false">IF($A2024="","",IF(MAX($E2024,$F2024,$G2024)&gt;1,"중복","-"))</f>
        <v/>
      </c>
      <c r="I2024" s="11" t="str">
        <f aca="false">IF($A2024="","",IF($H2024="-","-",IF(AND(IF(원본명단!$H2023="",TRUE(),COUNTIF(원본명단!$H$3:$H2023,원본명단!$H2023)=1),IF(원본명단!$I2023="",TRUE(),COUNTIF(원본명단!$I$3:$I2023,원본명단!$I2023)=1),IF(원본명단!$K2023="",TRUE(),COUNTIF(원본명단!$K$3:$K2023,원본명단!$K2023)=1)),"첫 건","중복 건")))</f>
        <v/>
      </c>
      <c r="J2024" s="11" t="str">
        <f aca="false">IF($A2024="","",IF($H2024="-","유지",IF($I2024="첫 건","유지","확인 필요")))</f>
        <v/>
      </c>
    </row>
    <row r="2025" customFormat="false" ht="15" hidden="false" customHeight="true" outlineLevel="0" collapsed="false">
      <c r="A2025" s="11" t="str">
        <f aca="false">IF(원본명단!$A2024="","",2022)</f>
        <v/>
      </c>
      <c r="B2025" s="12" t="str">
        <f aca="false">IF($A2025="","",원본명단!$A2024)</f>
        <v/>
      </c>
      <c r="C2025" s="12" t="str">
        <f aca="false">IF($A2025="","",원본명단!$B2024)</f>
        <v/>
      </c>
      <c r="D2025" s="12" t="str">
        <f aca="false">IF($A2025="","",원본명단!$D2024)</f>
        <v/>
      </c>
      <c r="E2025" s="11" t="str">
        <f aca="false">IF($A2025="","",IF(원본명단!$H2024="",0,COUNTIF(원본명단!$H$3:$H$6002,원본명단!$H2024)))</f>
        <v/>
      </c>
      <c r="F2025" s="11" t="str">
        <f aca="false">IF($A2025="","",IF(원본명단!$I2024="",0,COUNTIF(원본명단!$I$3:$I$6002,원본명단!$I2024)))</f>
        <v/>
      </c>
      <c r="G2025" s="11" t="str">
        <f aca="false">IF($A2025="","",IF(원본명단!$K2024="",0,COUNTIF(원본명단!$K$3:$K$6002,원본명단!$K2024)))</f>
        <v/>
      </c>
      <c r="H2025" s="11" t="str">
        <f aca="false">IF($A2025="","",IF(MAX($E2025,$F2025,$G2025)&gt;1,"중복","-"))</f>
        <v/>
      </c>
      <c r="I2025" s="11" t="str">
        <f aca="false">IF($A2025="","",IF($H2025="-","-",IF(AND(IF(원본명단!$H2024="",TRUE(),COUNTIF(원본명단!$H$3:$H2024,원본명단!$H2024)=1),IF(원본명단!$I2024="",TRUE(),COUNTIF(원본명단!$I$3:$I2024,원본명단!$I2024)=1),IF(원본명단!$K2024="",TRUE(),COUNTIF(원본명단!$K$3:$K2024,원본명단!$K2024)=1)),"첫 건","중복 건")))</f>
        <v/>
      </c>
      <c r="J2025" s="11" t="str">
        <f aca="false">IF($A2025="","",IF($H2025="-","유지",IF($I2025="첫 건","유지","확인 필요")))</f>
        <v/>
      </c>
    </row>
    <row r="2026" customFormat="false" ht="15" hidden="false" customHeight="true" outlineLevel="0" collapsed="false">
      <c r="A2026" s="11" t="str">
        <f aca="false">IF(원본명단!$A2025="","",2023)</f>
        <v/>
      </c>
      <c r="B2026" s="12" t="str">
        <f aca="false">IF($A2026="","",원본명단!$A2025)</f>
        <v/>
      </c>
      <c r="C2026" s="12" t="str">
        <f aca="false">IF($A2026="","",원본명단!$B2025)</f>
        <v/>
      </c>
      <c r="D2026" s="12" t="str">
        <f aca="false">IF($A2026="","",원본명단!$D2025)</f>
        <v/>
      </c>
      <c r="E2026" s="11" t="str">
        <f aca="false">IF($A2026="","",IF(원본명단!$H2025="",0,COUNTIF(원본명단!$H$3:$H$6002,원본명단!$H2025)))</f>
        <v/>
      </c>
      <c r="F2026" s="11" t="str">
        <f aca="false">IF($A2026="","",IF(원본명단!$I2025="",0,COUNTIF(원본명단!$I$3:$I$6002,원본명단!$I2025)))</f>
        <v/>
      </c>
      <c r="G2026" s="11" t="str">
        <f aca="false">IF($A2026="","",IF(원본명단!$K2025="",0,COUNTIF(원본명단!$K$3:$K$6002,원본명단!$K2025)))</f>
        <v/>
      </c>
      <c r="H2026" s="11" t="str">
        <f aca="false">IF($A2026="","",IF(MAX($E2026,$F2026,$G2026)&gt;1,"중복","-"))</f>
        <v/>
      </c>
      <c r="I2026" s="11" t="str">
        <f aca="false">IF($A2026="","",IF($H2026="-","-",IF(AND(IF(원본명단!$H2025="",TRUE(),COUNTIF(원본명단!$H$3:$H2025,원본명단!$H2025)=1),IF(원본명단!$I2025="",TRUE(),COUNTIF(원본명단!$I$3:$I2025,원본명단!$I2025)=1),IF(원본명단!$K2025="",TRUE(),COUNTIF(원본명단!$K$3:$K2025,원본명단!$K2025)=1)),"첫 건","중복 건")))</f>
        <v/>
      </c>
      <c r="J2026" s="11" t="str">
        <f aca="false">IF($A2026="","",IF($H2026="-","유지",IF($I2026="첫 건","유지","확인 필요")))</f>
        <v/>
      </c>
    </row>
    <row r="2027" customFormat="false" ht="15" hidden="false" customHeight="true" outlineLevel="0" collapsed="false">
      <c r="A2027" s="11" t="str">
        <f aca="false">IF(원본명단!$A2026="","",2024)</f>
        <v/>
      </c>
      <c r="B2027" s="12" t="str">
        <f aca="false">IF($A2027="","",원본명단!$A2026)</f>
        <v/>
      </c>
      <c r="C2027" s="12" t="str">
        <f aca="false">IF($A2027="","",원본명단!$B2026)</f>
        <v/>
      </c>
      <c r="D2027" s="12" t="str">
        <f aca="false">IF($A2027="","",원본명단!$D2026)</f>
        <v/>
      </c>
      <c r="E2027" s="11" t="str">
        <f aca="false">IF($A2027="","",IF(원본명단!$H2026="",0,COUNTIF(원본명단!$H$3:$H$6002,원본명단!$H2026)))</f>
        <v/>
      </c>
      <c r="F2027" s="11" t="str">
        <f aca="false">IF($A2027="","",IF(원본명단!$I2026="",0,COUNTIF(원본명단!$I$3:$I$6002,원본명단!$I2026)))</f>
        <v/>
      </c>
      <c r="G2027" s="11" t="str">
        <f aca="false">IF($A2027="","",IF(원본명단!$K2026="",0,COUNTIF(원본명단!$K$3:$K$6002,원본명단!$K2026)))</f>
        <v/>
      </c>
      <c r="H2027" s="11" t="str">
        <f aca="false">IF($A2027="","",IF(MAX($E2027,$F2027,$G2027)&gt;1,"중복","-"))</f>
        <v/>
      </c>
      <c r="I2027" s="11" t="str">
        <f aca="false">IF($A2027="","",IF($H2027="-","-",IF(AND(IF(원본명단!$H2026="",TRUE(),COUNTIF(원본명단!$H$3:$H2026,원본명단!$H2026)=1),IF(원본명단!$I2026="",TRUE(),COUNTIF(원본명단!$I$3:$I2026,원본명단!$I2026)=1),IF(원본명단!$K2026="",TRUE(),COUNTIF(원본명단!$K$3:$K2026,원본명단!$K2026)=1)),"첫 건","중복 건")))</f>
        <v/>
      </c>
      <c r="J2027" s="11" t="str">
        <f aca="false">IF($A2027="","",IF($H2027="-","유지",IF($I2027="첫 건","유지","확인 필요")))</f>
        <v/>
      </c>
    </row>
    <row r="2028" customFormat="false" ht="15" hidden="false" customHeight="true" outlineLevel="0" collapsed="false">
      <c r="A2028" s="11" t="str">
        <f aca="false">IF(원본명단!$A2027="","",2025)</f>
        <v/>
      </c>
      <c r="B2028" s="12" t="str">
        <f aca="false">IF($A2028="","",원본명단!$A2027)</f>
        <v/>
      </c>
      <c r="C2028" s="12" t="str">
        <f aca="false">IF($A2028="","",원본명단!$B2027)</f>
        <v/>
      </c>
      <c r="D2028" s="12" t="str">
        <f aca="false">IF($A2028="","",원본명단!$D2027)</f>
        <v/>
      </c>
      <c r="E2028" s="11" t="str">
        <f aca="false">IF($A2028="","",IF(원본명단!$H2027="",0,COUNTIF(원본명단!$H$3:$H$6002,원본명단!$H2027)))</f>
        <v/>
      </c>
      <c r="F2028" s="11" t="str">
        <f aca="false">IF($A2028="","",IF(원본명단!$I2027="",0,COUNTIF(원본명단!$I$3:$I$6002,원본명단!$I2027)))</f>
        <v/>
      </c>
      <c r="G2028" s="11" t="str">
        <f aca="false">IF($A2028="","",IF(원본명단!$K2027="",0,COUNTIF(원본명단!$K$3:$K$6002,원본명단!$K2027)))</f>
        <v/>
      </c>
      <c r="H2028" s="11" t="str">
        <f aca="false">IF($A2028="","",IF(MAX($E2028,$F2028,$G2028)&gt;1,"중복","-"))</f>
        <v/>
      </c>
      <c r="I2028" s="11" t="str">
        <f aca="false">IF($A2028="","",IF($H2028="-","-",IF(AND(IF(원본명단!$H2027="",TRUE(),COUNTIF(원본명단!$H$3:$H2027,원본명단!$H2027)=1),IF(원본명단!$I2027="",TRUE(),COUNTIF(원본명단!$I$3:$I2027,원본명단!$I2027)=1),IF(원본명단!$K2027="",TRUE(),COUNTIF(원본명단!$K$3:$K2027,원본명단!$K2027)=1)),"첫 건","중복 건")))</f>
        <v/>
      </c>
      <c r="J2028" s="11" t="str">
        <f aca="false">IF($A2028="","",IF($H2028="-","유지",IF($I2028="첫 건","유지","확인 필요")))</f>
        <v/>
      </c>
    </row>
    <row r="2029" customFormat="false" ht="15" hidden="false" customHeight="true" outlineLevel="0" collapsed="false">
      <c r="A2029" s="11" t="str">
        <f aca="false">IF(원본명단!$A2028="","",2026)</f>
        <v/>
      </c>
      <c r="B2029" s="12" t="str">
        <f aca="false">IF($A2029="","",원본명단!$A2028)</f>
        <v/>
      </c>
      <c r="C2029" s="12" t="str">
        <f aca="false">IF($A2029="","",원본명단!$B2028)</f>
        <v/>
      </c>
      <c r="D2029" s="12" t="str">
        <f aca="false">IF($A2029="","",원본명단!$D2028)</f>
        <v/>
      </c>
      <c r="E2029" s="11" t="str">
        <f aca="false">IF($A2029="","",IF(원본명단!$H2028="",0,COUNTIF(원본명단!$H$3:$H$6002,원본명단!$H2028)))</f>
        <v/>
      </c>
      <c r="F2029" s="11" t="str">
        <f aca="false">IF($A2029="","",IF(원본명단!$I2028="",0,COUNTIF(원본명단!$I$3:$I$6002,원본명단!$I2028)))</f>
        <v/>
      </c>
      <c r="G2029" s="11" t="str">
        <f aca="false">IF($A2029="","",IF(원본명단!$K2028="",0,COUNTIF(원본명단!$K$3:$K$6002,원본명단!$K2028)))</f>
        <v/>
      </c>
      <c r="H2029" s="11" t="str">
        <f aca="false">IF($A2029="","",IF(MAX($E2029,$F2029,$G2029)&gt;1,"중복","-"))</f>
        <v/>
      </c>
      <c r="I2029" s="11" t="str">
        <f aca="false">IF($A2029="","",IF($H2029="-","-",IF(AND(IF(원본명단!$H2028="",TRUE(),COUNTIF(원본명단!$H$3:$H2028,원본명단!$H2028)=1),IF(원본명단!$I2028="",TRUE(),COUNTIF(원본명단!$I$3:$I2028,원본명단!$I2028)=1),IF(원본명단!$K2028="",TRUE(),COUNTIF(원본명단!$K$3:$K2028,원본명단!$K2028)=1)),"첫 건","중복 건")))</f>
        <v/>
      </c>
      <c r="J2029" s="11" t="str">
        <f aca="false">IF($A2029="","",IF($H2029="-","유지",IF($I2029="첫 건","유지","확인 필요")))</f>
        <v/>
      </c>
    </row>
    <row r="2030" customFormat="false" ht="15" hidden="false" customHeight="true" outlineLevel="0" collapsed="false">
      <c r="A2030" s="11" t="str">
        <f aca="false">IF(원본명단!$A2029="","",2027)</f>
        <v/>
      </c>
      <c r="B2030" s="12" t="str">
        <f aca="false">IF($A2030="","",원본명단!$A2029)</f>
        <v/>
      </c>
      <c r="C2030" s="12" t="str">
        <f aca="false">IF($A2030="","",원본명단!$B2029)</f>
        <v/>
      </c>
      <c r="D2030" s="12" t="str">
        <f aca="false">IF($A2030="","",원본명단!$D2029)</f>
        <v/>
      </c>
      <c r="E2030" s="11" t="str">
        <f aca="false">IF($A2030="","",IF(원본명단!$H2029="",0,COUNTIF(원본명단!$H$3:$H$6002,원본명단!$H2029)))</f>
        <v/>
      </c>
      <c r="F2030" s="11" t="str">
        <f aca="false">IF($A2030="","",IF(원본명단!$I2029="",0,COUNTIF(원본명단!$I$3:$I$6002,원본명단!$I2029)))</f>
        <v/>
      </c>
      <c r="G2030" s="11" t="str">
        <f aca="false">IF($A2030="","",IF(원본명단!$K2029="",0,COUNTIF(원본명단!$K$3:$K$6002,원본명단!$K2029)))</f>
        <v/>
      </c>
      <c r="H2030" s="11" t="str">
        <f aca="false">IF($A2030="","",IF(MAX($E2030,$F2030,$G2030)&gt;1,"중복","-"))</f>
        <v/>
      </c>
      <c r="I2030" s="11" t="str">
        <f aca="false">IF($A2030="","",IF($H2030="-","-",IF(AND(IF(원본명단!$H2029="",TRUE(),COUNTIF(원본명단!$H$3:$H2029,원본명단!$H2029)=1),IF(원본명단!$I2029="",TRUE(),COUNTIF(원본명단!$I$3:$I2029,원본명단!$I2029)=1),IF(원본명단!$K2029="",TRUE(),COUNTIF(원본명단!$K$3:$K2029,원본명단!$K2029)=1)),"첫 건","중복 건")))</f>
        <v/>
      </c>
      <c r="J2030" s="11" t="str">
        <f aca="false">IF($A2030="","",IF($H2030="-","유지",IF($I2030="첫 건","유지","확인 필요")))</f>
        <v/>
      </c>
    </row>
    <row r="2031" customFormat="false" ht="15" hidden="false" customHeight="true" outlineLevel="0" collapsed="false">
      <c r="A2031" s="11" t="str">
        <f aca="false">IF(원본명단!$A2030="","",2028)</f>
        <v/>
      </c>
      <c r="B2031" s="12" t="str">
        <f aca="false">IF($A2031="","",원본명단!$A2030)</f>
        <v/>
      </c>
      <c r="C2031" s="12" t="str">
        <f aca="false">IF($A2031="","",원본명단!$B2030)</f>
        <v/>
      </c>
      <c r="D2031" s="12" t="str">
        <f aca="false">IF($A2031="","",원본명단!$D2030)</f>
        <v/>
      </c>
      <c r="E2031" s="11" t="str">
        <f aca="false">IF($A2031="","",IF(원본명단!$H2030="",0,COUNTIF(원본명단!$H$3:$H$6002,원본명단!$H2030)))</f>
        <v/>
      </c>
      <c r="F2031" s="11" t="str">
        <f aca="false">IF($A2031="","",IF(원본명단!$I2030="",0,COUNTIF(원본명단!$I$3:$I$6002,원본명단!$I2030)))</f>
        <v/>
      </c>
      <c r="G2031" s="11" t="str">
        <f aca="false">IF($A2031="","",IF(원본명단!$K2030="",0,COUNTIF(원본명단!$K$3:$K$6002,원본명단!$K2030)))</f>
        <v/>
      </c>
      <c r="H2031" s="11" t="str">
        <f aca="false">IF($A2031="","",IF(MAX($E2031,$F2031,$G2031)&gt;1,"중복","-"))</f>
        <v/>
      </c>
      <c r="I2031" s="11" t="str">
        <f aca="false">IF($A2031="","",IF($H2031="-","-",IF(AND(IF(원본명단!$H2030="",TRUE(),COUNTIF(원본명단!$H$3:$H2030,원본명단!$H2030)=1),IF(원본명단!$I2030="",TRUE(),COUNTIF(원본명단!$I$3:$I2030,원본명단!$I2030)=1),IF(원본명단!$K2030="",TRUE(),COUNTIF(원본명단!$K$3:$K2030,원본명단!$K2030)=1)),"첫 건","중복 건")))</f>
        <v/>
      </c>
      <c r="J2031" s="11" t="str">
        <f aca="false">IF($A2031="","",IF($H2031="-","유지",IF($I2031="첫 건","유지","확인 필요")))</f>
        <v/>
      </c>
    </row>
    <row r="2032" customFormat="false" ht="15" hidden="false" customHeight="true" outlineLevel="0" collapsed="false">
      <c r="A2032" s="11" t="str">
        <f aca="false">IF(원본명단!$A2031="","",2029)</f>
        <v/>
      </c>
      <c r="B2032" s="12" t="str">
        <f aca="false">IF($A2032="","",원본명단!$A2031)</f>
        <v/>
      </c>
      <c r="C2032" s="12" t="str">
        <f aca="false">IF($A2032="","",원본명단!$B2031)</f>
        <v/>
      </c>
      <c r="D2032" s="12" t="str">
        <f aca="false">IF($A2032="","",원본명단!$D2031)</f>
        <v/>
      </c>
      <c r="E2032" s="11" t="str">
        <f aca="false">IF($A2032="","",IF(원본명단!$H2031="",0,COUNTIF(원본명단!$H$3:$H$6002,원본명단!$H2031)))</f>
        <v/>
      </c>
      <c r="F2032" s="11" t="str">
        <f aca="false">IF($A2032="","",IF(원본명단!$I2031="",0,COUNTIF(원본명단!$I$3:$I$6002,원본명단!$I2031)))</f>
        <v/>
      </c>
      <c r="G2032" s="11" t="str">
        <f aca="false">IF($A2032="","",IF(원본명단!$K2031="",0,COUNTIF(원본명단!$K$3:$K$6002,원본명단!$K2031)))</f>
        <v/>
      </c>
      <c r="H2032" s="11" t="str">
        <f aca="false">IF($A2032="","",IF(MAX($E2032,$F2032,$G2032)&gt;1,"중복","-"))</f>
        <v/>
      </c>
      <c r="I2032" s="11" t="str">
        <f aca="false">IF($A2032="","",IF($H2032="-","-",IF(AND(IF(원본명단!$H2031="",TRUE(),COUNTIF(원본명단!$H$3:$H2031,원본명단!$H2031)=1),IF(원본명단!$I2031="",TRUE(),COUNTIF(원본명단!$I$3:$I2031,원본명단!$I2031)=1),IF(원본명단!$K2031="",TRUE(),COUNTIF(원본명단!$K$3:$K2031,원본명단!$K2031)=1)),"첫 건","중복 건")))</f>
        <v/>
      </c>
      <c r="J2032" s="11" t="str">
        <f aca="false">IF($A2032="","",IF($H2032="-","유지",IF($I2032="첫 건","유지","확인 필요")))</f>
        <v/>
      </c>
    </row>
    <row r="2033" customFormat="false" ht="15" hidden="false" customHeight="true" outlineLevel="0" collapsed="false">
      <c r="A2033" s="11" t="str">
        <f aca="false">IF(원본명단!$A2032="","",2030)</f>
        <v/>
      </c>
      <c r="B2033" s="12" t="str">
        <f aca="false">IF($A2033="","",원본명단!$A2032)</f>
        <v/>
      </c>
      <c r="C2033" s="12" t="str">
        <f aca="false">IF($A2033="","",원본명단!$B2032)</f>
        <v/>
      </c>
      <c r="D2033" s="12" t="str">
        <f aca="false">IF($A2033="","",원본명단!$D2032)</f>
        <v/>
      </c>
      <c r="E2033" s="11" t="str">
        <f aca="false">IF($A2033="","",IF(원본명단!$H2032="",0,COUNTIF(원본명단!$H$3:$H$6002,원본명단!$H2032)))</f>
        <v/>
      </c>
      <c r="F2033" s="11" t="str">
        <f aca="false">IF($A2033="","",IF(원본명단!$I2032="",0,COUNTIF(원본명단!$I$3:$I$6002,원본명단!$I2032)))</f>
        <v/>
      </c>
      <c r="G2033" s="11" t="str">
        <f aca="false">IF($A2033="","",IF(원본명단!$K2032="",0,COUNTIF(원본명단!$K$3:$K$6002,원본명단!$K2032)))</f>
        <v/>
      </c>
      <c r="H2033" s="11" t="str">
        <f aca="false">IF($A2033="","",IF(MAX($E2033,$F2033,$G2033)&gt;1,"중복","-"))</f>
        <v/>
      </c>
      <c r="I2033" s="11" t="str">
        <f aca="false">IF($A2033="","",IF($H2033="-","-",IF(AND(IF(원본명단!$H2032="",TRUE(),COUNTIF(원본명단!$H$3:$H2032,원본명단!$H2032)=1),IF(원본명단!$I2032="",TRUE(),COUNTIF(원본명단!$I$3:$I2032,원본명단!$I2032)=1),IF(원본명단!$K2032="",TRUE(),COUNTIF(원본명단!$K$3:$K2032,원본명단!$K2032)=1)),"첫 건","중복 건")))</f>
        <v/>
      </c>
      <c r="J2033" s="11" t="str">
        <f aca="false">IF($A2033="","",IF($H2033="-","유지",IF($I2033="첫 건","유지","확인 필요")))</f>
        <v/>
      </c>
    </row>
    <row r="2034" customFormat="false" ht="15" hidden="false" customHeight="true" outlineLevel="0" collapsed="false">
      <c r="A2034" s="11" t="str">
        <f aca="false">IF(원본명단!$A2033="","",2031)</f>
        <v/>
      </c>
      <c r="B2034" s="12" t="str">
        <f aca="false">IF($A2034="","",원본명단!$A2033)</f>
        <v/>
      </c>
      <c r="C2034" s="12" t="str">
        <f aca="false">IF($A2034="","",원본명단!$B2033)</f>
        <v/>
      </c>
      <c r="D2034" s="12" t="str">
        <f aca="false">IF($A2034="","",원본명단!$D2033)</f>
        <v/>
      </c>
      <c r="E2034" s="11" t="str">
        <f aca="false">IF($A2034="","",IF(원본명단!$H2033="",0,COUNTIF(원본명단!$H$3:$H$6002,원본명단!$H2033)))</f>
        <v/>
      </c>
      <c r="F2034" s="11" t="str">
        <f aca="false">IF($A2034="","",IF(원본명단!$I2033="",0,COUNTIF(원본명단!$I$3:$I$6002,원본명단!$I2033)))</f>
        <v/>
      </c>
      <c r="G2034" s="11" t="str">
        <f aca="false">IF($A2034="","",IF(원본명단!$K2033="",0,COUNTIF(원본명단!$K$3:$K$6002,원본명단!$K2033)))</f>
        <v/>
      </c>
      <c r="H2034" s="11" t="str">
        <f aca="false">IF($A2034="","",IF(MAX($E2034,$F2034,$G2034)&gt;1,"중복","-"))</f>
        <v/>
      </c>
      <c r="I2034" s="11" t="str">
        <f aca="false">IF($A2034="","",IF($H2034="-","-",IF(AND(IF(원본명단!$H2033="",TRUE(),COUNTIF(원본명단!$H$3:$H2033,원본명단!$H2033)=1),IF(원본명단!$I2033="",TRUE(),COUNTIF(원본명단!$I$3:$I2033,원본명단!$I2033)=1),IF(원본명단!$K2033="",TRUE(),COUNTIF(원본명단!$K$3:$K2033,원본명단!$K2033)=1)),"첫 건","중복 건")))</f>
        <v/>
      </c>
      <c r="J2034" s="11" t="str">
        <f aca="false">IF($A2034="","",IF($H2034="-","유지",IF($I2034="첫 건","유지","확인 필요")))</f>
        <v/>
      </c>
    </row>
    <row r="2035" customFormat="false" ht="15" hidden="false" customHeight="true" outlineLevel="0" collapsed="false">
      <c r="A2035" s="11" t="str">
        <f aca="false">IF(원본명단!$A2034="","",2032)</f>
        <v/>
      </c>
      <c r="B2035" s="12" t="str">
        <f aca="false">IF($A2035="","",원본명단!$A2034)</f>
        <v/>
      </c>
      <c r="C2035" s="12" t="str">
        <f aca="false">IF($A2035="","",원본명단!$B2034)</f>
        <v/>
      </c>
      <c r="D2035" s="12" t="str">
        <f aca="false">IF($A2035="","",원본명단!$D2034)</f>
        <v/>
      </c>
      <c r="E2035" s="11" t="str">
        <f aca="false">IF($A2035="","",IF(원본명단!$H2034="",0,COUNTIF(원본명단!$H$3:$H$6002,원본명단!$H2034)))</f>
        <v/>
      </c>
      <c r="F2035" s="11" t="str">
        <f aca="false">IF($A2035="","",IF(원본명단!$I2034="",0,COUNTIF(원본명단!$I$3:$I$6002,원본명단!$I2034)))</f>
        <v/>
      </c>
      <c r="G2035" s="11" t="str">
        <f aca="false">IF($A2035="","",IF(원본명단!$K2034="",0,COUNTIF(원본명단!$K$3:$K$6002,원본명단!$K2034)))</f>
        <v/>
      </c>
      <c r="H2035" s="11" t="str">
        <f aca="false">IF($A2035="","",IF(MAX($E2035,$F2035,$G2035)&gt;1,"중복","-"))</f>
        <v/>
      </c>
      <c r="I2035" s="11" t="str">
        <f aca="false">IF($A2035="","",IF($H2035="-","-",IF(AND(IF(원본명단!$H2034="",TRUE(),COUNTIF(원본명단!$H$3:$H2034,원본명단!$H2034)=1),IF(원본명단!$I2034="",TRUE(),COUNTIF(원본명단!$I$3:$I2034,원본명단!$I2034)=1),IF(원본명단!$K2034="",TRUE(),COUNTIF(원본명단!$K$3:$K2034,원본명단!$K2034)=1)),"첫 건","중복 건")))</f>
        <v/>
      </c>
      <c r="J2035" s="11" t="str">
        <f aca="false">IF($A2035="","",IF($H2035="-","유지",IF($I2035="첫 건","유지","확인 필요")))</f>
        <v/>
      </c>
    </row>
    <row r="2036" customFormat="false" ht="15" hidden="false" customHeight="true" outlineLevel="0" collapsed="false">
      <c r="A2036" s="11" t="str">
        <f aca="false">IF(원본명단!$A2035="","",2033)</f>
        <v/>
      </c>
      <c r="B2036" s="12" t="str">
        <f aca="false">IF($A2036="","",원본명단!$A2035)</f>
        <v/>
      </c>
      <c r="C2036" s="12" t="str">
        <f aca="false">IF($A2036="","",원본명단!$B2035)</f>
        <v/>
      </c>
      <c r="D2036" s="12" t="str">
        <f aca="false">IF($A2036="","",원본명단!$D2035)</f>
        <v/>
      </c>
      <c r="E2036" s="11" t="str">
        <f aca="false">IF($A2036="","",IF(원본명단!$H2035="",0,COUNTIF(원본명단!$H$3:$H$6002,원본명단!$H2035)))</f>
        <v/>
      </c>
      <c r="F2036" s="11" t="str">
        <f aca="false">IF($A2036="","",IF(원본명단!$I2035="",0,COUNTIF(원본명단!$I$3:$I$6002,원본명단!$I2035)))</f>
        <v/>
      </c>
      <c r="G2036" s="11" t="str">
        <f aca="false">IF($A2036="","",IF(원본명단!$K2035="",0,COUNTIF(원본명단!$K$3:$K$6002,원본명단!$K2035)))</f>
        <v/>
      </c>
      <c r="H2036" s="11" t="str">
        <f aca="false">IF($A2036="","",IF(MAX($E2036,$F2036,$G2036)&gt;1,"중복","-"))</f>
        <v/>
      </c>
      <c r="I2036" s="11" t="str">
        <f aca="false">IF($A2036="","",IF($H2036="-","-",IF(AND(IF(원본명단!$H2035="",TRUE(),COUNTIF(원본명단!$H$3:$H2035,원본명단!$H2035)=1),IF(원본명단!$I2035="",TRUE(),COUNTIF(원본명단!$I$3:$I2035,원본명단!$I2035)=1),IF(원본명단!$K2035="",TRUE(),COUNTIF(원본명단!$K$3:$K2035,원본명단!$K2035)=1)),"첫 건","중복 건")))</f>
        <v/>
      </c>
      <c r="J2036" s="11" t="str">
        <f aca="false">IF($A2036="","",IF($H2036="-","유지",IF($I2036="첫 건","유지","확인 필요")))</f>
        <v/>
      </c>
    </row>
    <row r="2037" customFormat="false" ht="15" hidden="false" customHeight="true" outlineLevel="0" collapsed="false">
      <c r="A2037" s="11" t="str">
        <f aca="false">IF(원본명단!$A2036="","",2034)</f>
        <v/>
      </c>
      <c r="B2037" s="12" t="str">
        <f aca="false">IF($A2037="","",원본명단!$A2036)</f>
        <v/>
      </c>
      <c r="C2037" s="12" t="str">
        <f aca="false">IF($A2037="","",원본명단!$B2036)</f>
        <v/>
      </c>
      <c r="D2037" s="12" t="str">
        <f aca="false">IF($A2037="","",원본명단!$D2036)</f>
        <v/>
      </c>
      <c r="E2037" s="11" t="str">
        <f aca="false">IF($A2037="","",IF(원본명단!$H2036="",0,COUNTIF(원본명단!$H$3:$H$6002,원본명단!$H2036)))</f>
        <v/>
      </c>
      <c r="F2037" s="11" t="str">
        <f aca="false">IF($A2037="","",IF(원본명단!$I2036="",0,COUNTIF(원본명단!$I$3:$I$6002,원본명단!$I2036)))</f>
        <v/>
      </c>
      <c r="G2037" s="11" t="str">
        <f aca="false">IF($A2037="","",IF(원본명단!$K2036="",0,COUNTIF(원본명단!$K$3:$K$6002,원본명단!$K2036)))</f>
        <v/>
      </c>
      <c r="H2037" s="11" t="str">
        <f aca="false">IF($A2037="","",IF(MAX($E2037,$F2037,$G2037)&gt;1,"중복","-"))</f>
        <v/>
      </c>
      <c r="I2037" s="11" t="str">
        <f aca="false">IF($A2037="","",IF($H2037="-","-",IF(AND(IF(원본명단!$H2036="",TRUE(),COUNTIF(원본명단!$H$3:$H2036,원본명단!$H2036)=1),IF(원본명단!$I2036="",TRUE(),COUNTIF(원본명단!$I$3:$I2036,원본명단!$I2036)=1),IF(원본명단!$K2036="",TRUE(),COUNTIF(원본명단!$K$3:$K2036,원본명단!$K2036)=1)),"첫 건","중복 건")))</f>
        <v/>
      </c>
      <c r="J2037" s="11" t="str">
        <f aca="false">IF($A2037="","",IF($H2037="-","유지",IF($I2037="첫 건","유지","확인 필요")))</f>
        <v/>
      </c>
    </row>
    <row r="2038" customFormat="false" ht="15" hidden="false" customHeight="true" outlineLevel="0" collapsed="false">
      <c r="A2038" s="11" t="str">
        <f aca="false">IF(원본명단!$A2037="","",2035)</f>
        <v/>
      </c>
      <c r="B2038" s="12" t="str">
        <f aca="false">IF($A2038="","",원본명단!$A2037)</f>
        <v/>
      </c>
      <c r="C2038" s="12" t="str">
        <f aca="false">IF($A2038="","",원본명단!$B2037)</f>
        <v/>
      </c>
      <c r="D2038" s="12" t="str">
        <f aca="false">IF($A2038="","",원본명단!$D2037)</f>
        <v/>
      </c>
      <c r="E2038" s="11" t="str">
        <f aca="false">IF($A2038="","",IF(원본명단!$H2037="",0,COUNTIF(원본명단!$H$3:$H$6002,원본명단!$H2037)))</f>
        <v/>
      </c>
      <c r="F2038" s="11" t="str">
        <f aca="false">IF($A2038="","",IF(원본명단!$I2037="",0,COUNTIF(원본명단!$I$3:$I$6002,원본명단!$I2037)))</f>
        <v/>
      </c>
      <c r="G2038" s="11" t="str">
        <f aca="false">IF($A2038="","",IF(원본명단!$K2037="",0,COUNTIF(원본명단!$K$3:$K$6002,원본명단!$K2037)))</f>
        <v/>
      </c>
      <c r="H2038" s="11" t="str">
        <f aca="false">IF($A2038="","",IF(MAX($E2038,$F2038,$G2038)&gt;1,"중복","-"))</f>
        <v/>
      </c>
      <c r="I2038" s="11" t="str">
        <f aca="false">IF($A2038="","",IF($H2038="-","-",IF(AND(IF(원본명단!$H2037="",TRUE(),COUNTIF(원본명단!$H$3:$H2037,원본명단!$H2037)=1),IF(원본명단!$I2037="",TRUE(),COUNTIF(원본명단!$I$3:$I2037,원본명단!$I2037)=1),IF(원본명단!$K2037="",TRUE(),COUNTIF(원본명단!$K$3:$K2037,원본명단!$K2037)=1)),"첫 건","중복 건")))</f>
        <v/>
      </c>
      <c r="J2038" s="11" t="str">
        <f aca="false">IF($A2038="","",IF($H2038="-","유지",IF($I2038="첫 건","유지","확인 필요")))</f>
        <v/>
      </c>
    </row>
    <row r="2039" customFormat="false" ht="15" hidden="false" customHeight="true" outlineLevel="0" collapsed="false">
      <c r="A2039" s="11" t="str">
        <f aca="false">IF(원본명단!$A2038="","",2036)</f>
        <v/>
      </c>
      <c r="B2039" s="12" t="str">
        <f aca="false">IF($A2039="","",원본명단!$A2038)</f>
        <v/>
      </c>
      <c r="C2039" s="12" t="str">
        <f aca="false">IF($A2039="","",원본명단!$B2038)</f>
        <v/>
      </c>
      <c r="D2039" s="12" t="str">
        <f aca="false">IF($A2039="","",원본명단!$D2038)</f>
        <v/>
      </c>
      <c r="E2039" s="11" t="str">
        <f aca="false">IF($A2039="","",IF(원본명단!$H2038="",0,COUNTIF(원본명단!$H$3:$H$6002,원본명단!$H2038)))</f>
        <v/>
      </c>
      <c r="F2039" s="11" t="str">
        <f aca="false">IF($A2039="","",IF(원본명단!$I2038="",0,COUNTIF(원본명단!$I$3:$I$6002,원본명단!$I2038)))</f>
        <v/>
      </c>
      <c r="G2039" s="11" t="str">
        <f aca="false">IF($A2039="","",IF(원본명단!$K2038="",0,COUNTIF(원본명단!$K$3:$K$6002,원본명단!$K2038)))</f>
        <v/>
      </c>
      <c r="H2039" s="11" t="str">
        <f aca="false">IF($A2039="","",IF(MAX($E2039,$F2039,$G2039)&gt;1,"중복","-"))</f>
        <v/>
      </c>
      <c r="I2039" s="11" t="str">
        <f aca="false">IF($A2039="","",IF($H2039="-","-",IF(AND(IF(원본명단!$H2038="",TRUE(),COUNTIF(원본명단!$H$3:$H2038,원본명단!$H2038)=1),IF(원본명단!$I2038="",TRUE(),COUNTIF(원본명단!$I$3:$I2038,원본명단!$I2038)=1),IF(원본명단!$K2038="",TRUE(),COUNTIF(원본명단!$K$3:$K2038,원본명단!$K2038)=1)),"첫 건","중복 건")))</f>
        <v/>
      </c>
      <c r="J2039" s="11" t="str">
        <f aca="false">IF($A2039="","",IF($H2039="-","유지",IF($I2039="첫 건","유지","확인 필요")))</f>
        <v/>
      </c>
    </row>
    <row r="2040" customFormat="false" ht="15" hidden="false" customHeight="true" outlineLevel="0" collapsed="false">
      <c r="A2040" s="11" t="str">
        <f aca="false">IF(원본명단!$A2039="","",2037)</f>
        <v/>
      </c>
      <c r="B2040" s="12" t="str">
        <f aca="false">IF($A2040="","",원본명단!$A2039)</f>
        <v/>
      </c>
      <c r="C2040" s="12" t="str">
        <f aca="false">IF($A2040="","",원본명단!$B2039)</f>
        <v/>
      </c>
      <c r="D2040" s="12" t="str">
        <f aca="false">IF($A2040="","",원본명단!$D2039)</f>
        <v/>
      </c>
      <c r="E2040" s="11" t="str">
        <f aca="false">IF($A2040="","",IF(원본명단!$H2039="",0,COUNTIF(원본명단!$H$3:$H$6002,원본명단!$H2039)))</f>
        <v/>
      </c>
      <c r="F2040" s="11" t="str">
        <f aca="false">IF($A2040="","",IF(원본명단!$I2039="",0,COUNTIF(원본명단!$I$3:$I$6002,원본명단!$I2039)))</f>
        <v/>
      </c>
      <c r="G2040" s="11" t="str">
        <f aca="false">IF($A2040="","",IF(원본명단!$K2039="",0,COUNTIF(원본명단!$K$3:$K$6002,원본명단!$K2039)))</f>
        <v/>
      </c>
      <c r="H2040" s="11" t="str">
        <f aca="false">IF($A2040="","",IF(MAX($E2040,$F2040,$G2040)&gt;1,"중복","-"))</f>
        <v/>
      </c>
      <c r="I2040" s="11" t="str">
        <f aca="false">IF($A2040="","",IF($H2040="-","-",IF(AND(IF(원본명단!$H2039="",TRUE(),COUNTIF(원본명단!$H$3:$H2039,원본명단!$H2039)=1),IF(원본명단!$I2039="",TRUE(),COUNTIF(원본명단!$I$3:$I2039,원본명단!$I2039)=1),IF(원본명단!$K2039="",TRUE(),COUNTIF(원본명단!$K$3:$K2039,원본명단!$K2039)=1)),"첫 건","중복 건")))</f>
        <v/>
      </c>
      <c r="J2040" s="11" t="str">
        <f aca="false">IF($A2040="","",IF($H2040="-","유지",IF($I2040="첫 건","유지","확인 필요")))</f>
        <v/>
      </c>
    </row>
    <row r="2041" customFormat="false" ht="15" hidden="false" customHeight="true" outlineLevel="0" collapsed="false">
      <c r="A2041" s="11" t="str">
        <f aca="false">IF(원본명단!$A2040="","",2038)</f>
        <v/>
      </c>
      <c r="B2041" s="12" t="str">
        <f aca="false">IF($A2041="","",원본명단!$A2040)</f>
        <v/>
      </c>
      <c r="C2041" s="12" t="str">
        <f aca="false">IF($A2041="","",원본명단!$B2040)</f>
        <v/>
      </c>
      <c r="D2041" s="12" t="str">
        <f aca="false">IF($A2041="","",원본명단!$D2040)</f>
        <v/>
      </c>
      <c r="E2041" s="11" t="str">
        <f aca="false">IF($A2041="","",IF(원본명단!$H2040="",0,COUNTIF(원본명단!$H$3:$H$6002,원본명단!$H2040)))</f>
        <v/>
      </c>
      <c r="F2041" s="11" t="str">
        <f aca="false">IF($A2041="","",IF(원본명단!$I2040="",0,COUNTIF(원본명단!$I$3:$I$6002,원본명단!$I2040)))</f>
        <v/>
      </c>
      <c r="G2041" s="11" t="str">
        <f aca="false">IF($A2041="","",IF(원본명단!$K2040="",0,COUNTIF(원본명단!$K$3:$K$6002,원본명단!$K2040)))</f>
        <v/>
      </c>
      <c r="H2041" s="11" t="str">
        <f aca="false">IF($A2041="","",IF(MAX($E2041,$F2041,$G2041)&gt;1,"중복","-"))</f>
        <v/>
      </c>
      <c r="I2041" s="11" t="str">
        <f aca="false">IF($A2041="","",IF($H2041="-","-",IF(AND(IF(원본명단!$H2040="",TRUE(),COUNTIF(원본명단!$H$3:$H2040,원본명단!$H2040)=1),IF(원본명단!$I2040="",TRUE(),COUNTIF(원본명단!$I$3:$I2040,원본명단!$I2040)=1),IF(원본명단!$K2040="",TRUE(),COUNTIF(원본명단!$K$3:$K2040,원본명단!$K2040)=1)),"첫 건","중복 건")))</f>
        <v/>
      </c>
      <c r="J2041" s="11" t="str">
        <f aca="false">IF($A2041="","",IF($H2041="-","유지",IF($I2041="첫 건","유지","확인 필요")))</f>
        <v/>
      </c>
    </row>
    <row r="2042" customFormat="false" ht="15" hidden="false" customHeight="true" outlineLevel="0" collapsed="false">
      <c r="A2042" s="11" t="str">
        <f aca="false">IF(원본명단!$A2041="","",2039)</f>
        <v/>
      </c>
      <c r="B2042" s="12" t="str">
        <f aca="false">IF($A2042="","",원본명단!$A2041)</f>
        <v/>
      </c>
      <c r="C2042" s="12" t="str">
        <f aca="false">IF($A2042="","",원본명단!$B2041)</f>
        <v/>
      </c>
      <c r="D2042" s="12" t="str">
        <f aca="false">IF($A2042="","",원본명단!$D2041)</f>
        <v/>
      </c>
      <c r="E2042" s="11" t="str">
        <f aca="false">IF($A2042="","",IF(원본명단!$H2041="",0,COUNTIF(원본명단!$H$3:$H$6002,원본명단!$H2041)))</f>
        <v/>
      </c>
      <c r="F2042" s="11" t="str">
        <f aca="false">IF($A2042="","",IF(원본명단!$I2041="",0,COUNTIF(원본명단!$I$3:$I$6002,원본명단!$I2041)))</f>
        <v/>
      </c>
      <c r="G2042" s="11" t="str">
        <f aca="false">IF($A2042="","",IF(원본명단!$K2041="",0,COUNTIF(원본명단!$K$3:$K$6002,원본명단!$K2041)))</f>
        <v/>
      </c>
      <c r="H2042" s="11" t="str">
        <f aca="false">IF($A2042="","",IF(MAX($E2042,$F2042,$G2042)&gt;1,"중복","-"))</f>
        <v/>
      </c>
      <c r="I2042" s="11" t="str">
        <f aca="false">IF($A2042="","",IF($H2042="-","-",IF(AND(IF(원본명단!$H2041="",TRUE(),COUNTIF(원본명단!$H$3:$H2041,원본명단!$H2041)=1),IF(원본명단!$I2041="",TRUE(),COUNTIF(원본명단!$I$3:$I2041,원본명단!$I2041)=1),IF(원본명단!$K2041="",TRUE(),COUNTIF(원본명단!$K$3:$K2041,원본명단!$K2041)=1)),"첫 건","중복 건")))</f>
        <v/>
      </c>
      <c r="J2042" s="11" t="str">
        <f aca="false">IF($A2042="","",IF($H2042="-","유지",IF($I2042="첫 건","유지","확인 필요")))</f>
        <v/>
      </c>
    </row>
    <row r="2043" customFormat="false" ht="15" hidden="false" customHeight="true" outlineLevel="0" collapsed="false">
      <c r="A2043" s="11" t="str">
        <f aca="false">IF(원본명단!$A2042="","",2040)</f>
        <v/>
      </c>
      <c r="B2043" s="12" t="str">
        <f aca="false">IF($A2043="","",원본명단!$A2042)</f>
        <v/>
      </c>
      <c r="C2043" s="12" t="str">
        <f aca="false">IF($A2043="","",원본명단!$B2042)</f>
        <v/>
      </c>
      <c r="D2043" s="12" t="str">
        <f aca="false">IF($A2043="","",원본명단!$D2042)</f>
        <v/>
      </c>
      <c r="E2043" s="11" t="str">
        <f aca="false">IF($A2043="","",IF(원본명단!$H2042="",0,COUNTIF(원본명단!$H$3:$H$6002,원본명단!$H2042)))</f>
        <v/>
      </c>
      <c r="F2043" s="11" t="str">
        <f aca="false">IF($A2043="","",IF(원본명단!$I2042="",0,COUNTIF(원본명단!$I$3:$I$6002,원본명단!$I2042)))</f>
        <v/>
      </c>
      <c r="G2043" s="11" t="str">
        <f aca="false">IF($A2043="","",IF(원본명단!$K2042="",0,COUNTIF(원본명단!$K$3:$K$6002,원본명단!$K2042)))</f>
        <v/>
      </c>
      <c r="H2043" s="11" t="str">
        <f aca="false">IF($A2043="","",IF(MAX($E2043,$F2043,$G2043)&gt;1,"중복","-"))</f>
        <v/>
      </c>
      <c r="I2043" s="11" t="str">
        <f aca="false">IF($A2043="","",IF($H2043="-","-",IF(AND(IF(원본명단!$H2042="",TRUE(),COUNTIF(원본명단!$H$3:$H2042,원본명단!$H2042)=1),IF(원본명단!$I2042="",TRUE(),COUNTIF(원본명단!$I$3:$I2042,원본명단!$I2042)=1),IF(원본명단!$K2042="",TRUE(),COUNTIF(원본명단!$K$3:$K2042,원본명단!$K2042)=1)),"첫 건","중복 건")))</f>
        <v/>
      </c>
      <c r="J2043" s="11" t="str">
        <f aca="false">IF($A2043="","",IF($H2043="-","유지",IF($I2043="첫 건","유지","확인 필요")))</f>
        <v/>
      </c>
    </row>
    <row r="2044" customFormat="false" ht="15" hidden="false" customHeight="true" outlineLevel="0" collapsed="false">
      <c r="A2044" s="11" t="str">
        <f aca="false">IF(원본명단!$A2043="","",2041)</f>
        <v/>
      </c>
      <c r="B2044" s="12" t="str">
        <f aca="false">IF($A2044="","",원본명단!$A2043)</f>
        <v/>
      </c>
      <c r="C2044" s="12" t="str">
        <f aca="false">IF($A2044="","",원본명단!$B2043)</f>
        <v/>
      </c>
      <c r="D2044" s="12" t="str">
        <f aca="false">IF($A2044="","",원본명단!$D2043)</f>
        <v/>
      </c>
      <c r="E2044" s="11" t="str">
        <f aca="false">IF($A2044="","",IF(원본명단!$H2043="",0,COUNTIF(원본명단!$H$3:$H$6002,원본명단!$H2043)))</f>
        <v/>
      </c>
      <c r="F2044" s="11" t="str">
        <f aca="false">IF($A2044="","",IF(원본명단!$I2043="",0,COUNTIF(원본명단!$I$3:$I$6002,원본명단!$I2043)))</f>
        <v/>
      </c>
      <c r="G2044" s="11" t="str">
        <f aca="false">IF($A2044="","",IF(원본명단!$K2043="",0,COUNTIF(원본명단!$K$3:$K$6002,원본명단!$K2043)))</f>
        <v/>
      </c>
      <c r="H2044" s="11" t="str">
        <f aca="false">IF($A2044="","",IF(MAX($E2044,$F2044,$G2044)&gt;1,"중복","-"))</f>
        <v/>
      </c>
      <c r="I2044" s="11" t="str">
        <f aca="false">IF($A2044="","",IF($H2044="-","-",IF(AND(IF(원본명단!$H2043="",TRUE(),COUNTIF(원본명단!$H$3:$H2043,원본명단!$H2043)=1),IF(원본명단!$I2043="",TRUE(),COUNTIF(원본명단!$I$3:$I2043,원본명단!$I2043)=1),IF(원본명단!$K2043="",TRUE(),COUNTIF(원본명단!$K$3:$K2043,원본명단!$K2043)=1)),"첫 건","중복 건")))</f>
        <v/>
      </c>
      <c r="J2044" s="11" t="str">
        <f aca="false">IF($A2044="","",IF($H2044="-","유지",IF($I2044="첫 건","유지","확인 필요")))</f>
        <v/>
      </c>
    </row>
    <row r="2045" customFormat="false" ht="15" hidden="false" customHeight="true" outlineLevel="0" collapsed="false">
      <c r="A2045" s="11" t="str">
        <f aca="false">IF(원본명단!$A2044="","",2042)</f>
        <v/>
      </c>
      <c r="B2045" s="12" t="str">
        <f aca="false">IF($A2045="","",원본명단!$A2044)</f>
        <v/>
      </c>
      <c r="C2045" s="12" t="str">
        <f aca="false">IF($A2045="","",원본명단!$B2044)</f>
        <v/>
      </c>
      <c r="D2045" s="12" t="str">
        <f aca="false">IF($A2045="","",원본명단!$D2044)</f>
        <v/>
      </c>
      <c r="E2045" s="11" t="str">
        <f aca="false">IF($A2045="","",IF(원본명단!$H2044="",0,COUNTIF(원본명단!$H$3:$H$6002,원본명단!$H2044)))</f>
        <v/>
      </c>
      <c r="F2045" s="11" t="str">
        <f aca="false">IF($A2045="","",IF(원본명단!$I2044="",0,COUNTIF(원본명단!$I$3:$I$6002,원본명단!$I2044)))</f>
        <v/>
      </c>
      <c r="G2045" s="11" t="str">
        <f aca="false">IF($A2045="","",IF(원본명단!$K2044="",0,COUNTIF(원본명단!$K$3:$K$6002,원본명단!$K2044)))</f>
        <v/>
      </c>
      <c r="H2045" s="11" t="str">
        <f aca="false">IF($A2045="","",IF(MAX($E2045,$F2045,$G2045)&gt;1,"중복","-"))</f>
        <v/>
      </c>
      <c r="I2045" s="11" t="str">
        <f aca="false">IF($A2045="","",IF($H2045="-","-",IF(AND(IF(원본명단!$H2044="",TRUE(),COUNTIF(원본명단!$H$3:$H2044,원본명단!$H2044)=1),IF(원본명단!$I2044="",TRUE(),COUNTIF(원본명단!$I$3:$I2044,원본명단!$I2044)=1),IF(원본명단!$K2044="",TRUE(),COUNTIF(원본명단!$K$3:$K2044,원본명단!$K2044)=1)),"첫 건","중복 건")))</f>
        <v/>
      </c>
      <c r="J2045" s="11" t="str">
        <f aca="false">IF($A2045="","",IF($H2045="-","유지",IF($I2045="첫 건","유지","확인 필요")))</f>
        <v/>
      </c>
    </row>
    <row r="2046" customFormat="false" ht="15" hidden="false" customHeight="true" outlineLevel="0" collapsed="false">
      <c r="A2046" s="11" t="str">
        <f aca="false">IF(원본명단!$A2045="","",2043)</f>
        <v/>
      </c>
      <c r="B2046" s="12" t="str">
        <f aca="false">IF($A2046="","",원본명단!$A2045)</f>
        <v/>
      </c>
      <c r="C2046" s="12" t="str">
        <f aca="false">IF($A2046="","",원본명단!$B2045)</f>
        <v/>
      </c>
      <c r="D2046" s="12" t="str">
        <f aca="false">IF($A2046="","",원본명단!$D2045)</f>
        <v/>
      </c>
      <c r="E2046" s="11" t="str">
        <f aca="false">IF($A2046="","",IF(원본명단!$H2045="",0,COUNTIF(원본명단!$H$3:$H$6002,원본명단!$H2045)))</f>
        <v/>
      </c>
      <c r="F2046" s="11" t="str">
        <f aca="false">IF($A2046="","",IF(원본명단!$I2045="",0,COUNTIF(원본명단!$I$3:$I$6002,원본명단!$I2045)))</f>
        <v/>
      </c>
      <c r="G2046" s="11" t="str">
        <f aca="false">IF($A2046="","",IF(원본명단!$K2045="",0,COUNTIF(원본명단!$K$3:$K$6002,원본명단!$K2045)))</f>
        <v/>
      </c>
      <c r="H2046" s="11" t="str">
        <f aca="false">IF($A2046="","",IF(MAX($E2046,$F2046,$G2046)&gt;1,"중복","-"))</f>
        <v/>
      </c>
      <c r="I2046" s="11" t="str">
        <f aca="false">IF($A2046="","",IF($H2046="-","-",IF(AND(IF(원본명단!$H2045="",TRUE(),COUNTIF(원본명단!$H$3:$H2045,원본명단!$H2045)=1),IF(원본명단!$I2045="",TRUE(),COUNTIF(원본명단!$I$3:$I2045,원본명단!$I2045)=1),IF(원본명단!$K2045="",TRUE(),COUNTIF(원본명단!$K$3:$K2045,원본명단!$K2045)=1)),"첫 건","중복 건")))</f>
        <v/>
      </c>
      <c r="J2046" s="11" t="str">
        <f aca="false">IF($A2046="","",IF($H2046="-","유지",IF($I2046="첫 건","유지","확인 필요")))</f>
        <v/>
      </c>
    </row>
    <row r="2047" customFormat="false" ht="15" hidden="false" customHeight="true" outlineLevel="0" collapsed="false">
      <c r="A2047" s="11" t="str">
        <f aca="false">IF(원본명단!$A2046="","",2044)</f>
        <v/>
      </c>
      <c r="B2047" s="12" t="str">
        <f aca="false">IF($A2047="","",원본명단!$A2046)</f>
        <v/>
      </c>
      <c r="C2047" s="12" t="str">
        <f aca="false">IF($A2047="","",원본명단!$B2046)</f>
        <v/>
      </c>
      <c r="D2047" s="12" t="str">
        <f aca="false">IF($A2047="","",원본명단!$D2046)</f>
        <v/>
      </c>
      <c r="E2047" s="11" t="str">
        <f aca="false">IF($A2047="","",IF(원본명단!$H2046="",0,COUNTIF(원본명단!$H$3:$H$6002,원본명단!$H2046)))</f>
        <v/>
      </c>
      <c r="F2047" s="11" t="str">
        <f aca="false">IF($A2047="","",IF(원본명단!$I2046="",0,COUNTIF(원본명단!$I$3:$I$6002,원본명단!$I2046)))</f>
        <v/>
      </c>
      <c r="G2047" s="11" t="str">
        <f aca="false">IF($A2047="","",IF(원본명단!$K2046="",0,COUNTIF(원본명단!$K$3:$K$6002,원본명단!$K2046)))</f>
        <v/>
      </c>
      <c r="H2047" s="11" t="str">
        <f aca="false">IF($A2047="","",IF(MAX($E2047,$F2047,$G2047)&gt;1,"중복","-"))</f>
        <v/>
      </c>
      <c r="I2047" s="11" t="str">
        <f aca="false">IF($A2047="","",IF($H2047="-","-",IF(AND(IF(원본명단!$H2046="",TRUE(),COUNTIF(원본명단!$H$3:$H2046,원본명단!$H2046)=1),IF(원본명단!$I2046="",TRUE(),COUNTIF(원본명단!$I$3:$I2046,원본명단!$I2046)=1),IF(원본명단!$K2046="",TRUE(),COUNTIF(원본명단!$K$3:$K2046,원본명단!$K2046)=1)),"첫 건","중복 건")))</f>
        <v/>
      </c>
      <c r="J2047" s="11" t="str">
        <f aca="false">IF($A2047="","",IF($H2047="-","유지",IF($I2047="첫 건","유지","확인 필요")))</f>
        <v/>
      </c>
    </row>
    <row r="2048" customFormat="false" ht="15" hidden="false" customHeight="true" outlineLevel="0" collapsed="false">
      <c r="A2048" s="11" t="str">
        <f aca="false">IF(원본명단!$A2047="","",2045)</f>
        <v/>
      </c>
      <c r="B2048" s="12" t="str">
        <f aca="false">IF($A2048="","",원본명단!$A2047)</f>
        <v/>
      </c>
      <c r="C2048" s="12" t="str">
        <f aca="false">IF($A2048="","",원본명단!$B2047)</f>
        <v/>
      </c>
      <c r="D2048" s="12" t="str">
        <f aca="false">IF($A2048="","",원본명단!$D2047)</f>
        <v/>
      </c>
      <c r="E2048" s="11" t="str">
        <f aca="false">IF($A2048="","",IF(원본명단!$H2047="",0,COUNTIF(원본명단!$H$3:$H$6002,원본명단!$H2047)))</f>
        <v/>
      </c>
      <c r="F2048" s="11" t="str">
        <f aca="false">IF($A2048="","",IF(원본명단!$I2047="",0,COUNTIF(원본명단!$I$3:$I$6002,원본명단!$I2047)))</f>
        <v/>
      </c>
      <c r="G2048" s="11" t="str">
        <f aca="false">IF($A2048="","",IF(원본명단!$K2047="",0,COUNTIF(원본명단!$K$3:$K$6002,원본명단!$K2047)))</f>
        <v/>
      </c>
      <c r="H2048" s="11" t="str">
        <f aca="false">IF($A2048="","",IF(MAX($E2048,$F2048,$G2048)&gt;1,"중복","-"))</f>
        <v/>
      </c>
      <c r="I2048" s="11" t="str">
        <f aca="false">IF($A2048="","",IF($H2048="-","-",IF(AND(IF(원본명단!$H2047="",TRUE(),COUNTIF(원본명단!$H$3:$H2047,원본명단!$H2047)=1),IF(원본명단!$I2047="",TRUE(),COUNTIF(원본명단!$I$3:$I2047,원본명단!$I2047)=1),IF(원본명단!$K2047="",TRUE(),COUNTIF(원본명단!$K$3:$K2047,원본명단!$K2047)=1)),"첫 건","중복 건")))</f>
        <v/>
      </c>
      <c r="J2048" s="11" t="str">
        <f aca="false">IF($A2048="","",IF($H2048="-","유지",IF($I2048="첫 건","유지","확인 필요")))</f>
        <v/>
      </c>
    </row>
    <row r="2049" customFormat="false" ht="15" hidden="false" customHeight="true" outlineLevel="0" collapsed="false">
      <c r="A2049" s="11" t="str">
        <f aca="false">IF(원본명단!$A2048="","",2046)</f>
        <v/>
      </c>
      <c r="B2049" s="12" t="str">
        <f aca="false">IF($A2049="","",원본명단!$A2048)</f>
        <v/>
      </c>
      <c r="C2049" s="12" t="str">
        <f aca="false">IF($A2049="","",원본명단!$B2048)</f>
        <v/>
      </c>
      <c r="D2049" s="12" t="str">
        <f aca="false">IF($A2049="","",원본명단!$D2048)</f>
        <v/>
      </c>
      <c r="E2049" s="11" t="str">
        <f aca="false">IF($A2049="","",IF(원본명단!$H2048="",0,COUNTIF(원본명단!$H$3:$H$6002,원본명단!$H2048)))</f>
        <v/>
      </c>
      <c r="F2049" s="11" t="str">
        <f aca="false">IF($A2049="","",IF(원본명단!$I2048="",0,COUNTIF(원본명단!$I$3:$I$6002,원본명단!$I2048)))</f>
        <v/>
      </c>
      <c r="G2049" s="11" t="str">
        <f aca="false">IF($A2049="","",IF(원본명단!$K2048="",0,COUNTIF(원본명단!$K$3:$K$6002,원본명단!$K2048)))</f>
        <v/>
      </c>
      <c r="H2049" s="11" t="str">
        <f aca="false">IF($A2049="","",IF(MAX($E2049,$F2049,$G2049)&gt;1,"중복","-"))</f>
        <v/>
      </c>
      <c r="I2049" s="11" t="str">
        <f aca="false">IF($A2049="","",IF($H2049="-","-",IF(AND(IF(원본명단!$H2048="",TRUE(),COUNTIF(원본명단!$H$3:$H2048,원본명단!$H2048)=1),IF(원본명단!$I2048="",TRUE(),COUNTIF(원본명단!$I$3:$I2048,원본명단!$I2048)=1),IF(원본명단!$K2048="",TRUE(),COUNTIF(원본명단!$K$3:$K2048,원본명단!$K2048)=1)),"첫 건","중복 건")))</f>
        <v/>
      </c>
      <c r="J2049" s="11" t="str">
        <f aca="false">IF($A2049="","",IF($H2049="-","유지",IF($I2049="첫 건","유지","확인 필요")))</f>
        <v/>
      </c>
    </row>
    <row r="2050" customFormat="false" ht="15" hidden="false" customHeight="true" outlineLevel="0" collapsed="false">
      <c r="A2050" s="11" t="str">
        <f aca="false">IF(원본명단!$A2049="","",2047)</f>
        <v/>
      </c>
      <c r="B2050" s="12" t="str">
        <f aca="false">IF($A2050="","",원본명단!$A2049)</f>
        <v/>
      </c>
      <c r="C2050" s="12" t="str">
        <f aca="false">IF($A2050="","",원본명단!$B2049)</f>
        <v/>
      </c>
      <c r="D2050" s="12" t="str">
        <f aca="false">IF($A2050="","",원본명단!$D2049)</f>
        <v/>
      </c>
      <c r="E2050" s="11" t="str">
        <f aca="false">IF($A2050="","",IF(원본명단!$H2049="",0,COUNTIF(원본명단!$H$3:$H$6002,원본명단!$H2049)))</f>
        <v/>
      </c>
      <c r="F2050" s="11" t="str">
        <f aca="false">IF($A2050="","",IF(원본명단!$I2049="",0,COUNTIF(원본명단!$I$3:$I$6002,원본명단!$I2049)))</f>
        <v/>
      </c>
      <c r="G2050" s="11" t="str">
        <f aca="false">IF($A2050="","",IF(원본명단!$K2049="",0,COUNTIF(원본명단!$K$3:$K$6002,원본명단!$K2049)))</f>
        <v/>
      </c>
      <c r="H2050" s="11" t="str">
        <f aca="false">IF($A2050="","",IF(MAX($E2050,$F2050,$G2050)&gt;1,"중복","-"))</f>
        <v/>
      </c>
      <c r="I2050" s="11" t="str">
        <f aca="false">IF($A2050="","",IF($H2050="-","-",IF(AND(IF(원본명단!$H2049="",TRUE(),COUNTIF(원본명단!$H$3:$H2049,원본명단!$H2049)=1),IF(원본명단!$I2049="",TRUE(),COUNTIF(원본명단!$I$3:$I2049,원본명단!$I2049)=1),IF(원본명단!$K2049="",TRUE(),COUNTIF(원본명단!$K$3:$K2049,원본명단!$K2049)=1)),"첫 건","중복 건")))</f>
        <v/>
      </c>
      <c r="J2050" s="11" t="str">
        <f aca="false">IF($A2050="","",IF($H2050="-","유지",IF($I2050="첫 건","유지","확인 필요")))</f>
        <v/>
      </c>
    </row>
    <row r="2051" customFormat="false" ht="15" hidden="false" customHeight="true" outlineLevel="0" collapsed="false">
      <c r="A2051" s="11" t="str">
        <f aca="false">IF(원본명단!$A2050="","",2048)</f>
        <v/>
      </c>
      <c r="B2051" s="12" t="str">
        <f aca="false">IF($A2051="","",원본명단!$A2050)</f>
        <v/>
      </c>
      <c r="C2051" s="12" t="str">
        <f aca="false">IF($A2051="","",원본명단!$B2050)</f>
        <v/>
      </c>
      <c r="D2051" s="12" t="str">
        <f aca="false">IF($A2051="","",원본명단!$D2050)</f>
        <v/>
      </c>
      <c r="E2051" s="11" t="str">
        <f aca="false">IF($A2051="","",IF(원본명단!$H2050="",0,COUNTIF(원본명단!$H$3:$H$6002,원본명단!$H2050)))</f>
        <v/>
      </c>
      <c r="F2051" s="11" t="str">
        <f aca="false">IF($A2051="","",IF(원본명단!$I2050="",0,COUNTIF(원본명단!$I$3:$I$6002,원본명단!$I2050)))</f>
        <v/>
      </c>
      <c r="G2051" s="11" t="str">
        <f aca="false">IF($A2051="","",IF(원본명단!$K2050="",0,COUNTIF(원본명단!$K$3:$K$6002,원본명단!$K2050)))</f>
        <v/>
      </c>
      <c r="H2051" s="11" t="str">
        <f aca="false">IF($A2051="","",IF(MAX($E2051,$F2051,$G2051)&gt;1,"중복","-"))</f>
        <v/>
      </c>
      <c r="I2051" s="11" t="str">
        <f aca="false">IF($A2051="","",IF($H2051="-","-",IF(AND(IF(원본명단!$H2050="",TRUE(),COUNTIF(원본명단!$H$3:$H2050,원본명단!$H2050)=1),IF(원본명단!$I2050="",TRUE(),COUNTIF(원본명단!$I$3:$I2050,원본명단!$I2050)=1),IF(원본명단!$K2050="",TRUE(),COUNTIF(원본명단!$K$3:$K2050,원본명단!$K2050)=1)),"첫 건","중복 건")))</f>
        <v/>
      </c>
      <c r="J2051" s="11" t="str">
        <f aca="false">IF($A2051="","",IF($H2051="-","유지",IF($I2051="첫 건","유지","확인 필요")))</f>
        <v/>
      </c>
    </row>
    <row r="2052" customFormat="false" ht="15" hidden="false" customHeight="true" outlineLevel="0" collapsed="false">
      <c r="A2052" s="11" t="str">
        <f aca="false">IF(원본명단!$A2051="","",2049)</f>
        <v/>
      </c>
      <c r="B2052" s="12" t="str">
        <f aca="false">IF($A2052="","",원본명단!$A2051)</f>
        <v/>
      </c>
      <c r="C2052" s="12" t="str">
        <f aca="false">IF($A2052="","",원본명단!$B2051)</f>
        <v/>
      </c>
      <c r="D2052" s="12" t="str">
        <f aca="false">IF($A2052="","",원본명단!$D2051)</f>
        <v/>
      </c>
      <c r="E2052" s="11" t="str">
        <f aca="false">IF($A2052="","",IF(원본명단!$H2051="",0,COUNTIF(원본명단!$H$3:$H$6002,원본명단!$H2051)))</f>
        <v/>
      </c>
      <c r="F2052" s="11" t="str">
        <f aca="false">IF($A2052="","",IF(원본명단!$I2051="",0,COUNTIF(원본명단!$I$3:$I$6002,원본명단!$I2051)))</f>
        <v/>
      </c>
      <c r="G2052" s="11" t="str">
        <f aca="false">IF($A2052="","",IF(원본명단!$K2051="",0,COUNTIF(원본명단!$K$3:$K$6002,원본명단!$K2051)))</f>
        <v/>
      </c>
      <c r="H2052" s="11" t="str">
        <f aca="false">IF($A2052="","",IF(MAX($E2052,$F2052,$G2052)&gt;1,"중복","-"))</f>
        <v/>
      </c>
      <c r="I2052" s="11" t="str">
        <f aca="false">IF($A2052="","",IF($H2052="-","-",IF(AND(IF(원본명단!$H2051="",TRUE(),COUNTIF(원본명단!$H$3:$H2051,원본명단!$H2051)=1),IF(원본명단!$I2051="",TRUE(),COUNTIF(원본명단!$I$3:$I2051,원본명단!$I2051)=1),IF(원본명단!$K2051="",TRUE(),COUNTIF(원본명단!$K$3:$K2051,원본명단!$K2051)=1)),"첫 건","중복 건")))</f>
        <v/>
      </c>
      <c r="J2052" s="11" t="str">
        <f aca="false">IF($A2052="","",IF($H2052="-","유지",IF($I2052="첫 건","유지","확인 필요")))</f>
        <v/>
      </c>
    </row>
    <row r="2053" customFormat="false" ht="15" hidden="false" customHeight="true" outlineLevel="0" collapsed="false">
      <c r="A2053" s="11" t="str">
        <f aca="false">IF(원본명단!$A2052="","",2050)</f>
        <v/>
      </c>
      <c r="B2053" s="12" t="str">
        <f aca="false">IF($A2053="","",원본명단!$A2052)</f>
        <v/>
      </c>
      <c r="C2053" s="12" t="str">
        <f aca="false">IF($A2053="","",원본명단!$B2052)</f>
        <v/>
      </c>
      <c r="D2053" s="12" t="str">
        <f aca="false">IF($A2053="","",원본명단!$D2052)</f>
        <v/>
      </c>
      <c r="E2053" s="11" t="str">
        <f aca="false">IF($A2053="","",IF(원본명단!$H2052="",0,COUNTIF(원본명단!$H$3:$H$6002,원본명단!$H2052)))</f>
        <v/>
      </c>
      <c r="F2053" s="11" t="str">
        <f aca="false">IF($A2053="","",IF(원본명단!$I2052="",0,COUNTIF(원본명단!$I$3:$I$6002,원본명단!$I2052)))</f>
        <v/>
      </c>
      <c r="G2053" s="11" t="str">
        <f aca="false">IF($A2053="","",IF(원본명단!$K2052="",0,COUNTIF(원본명단!$K$3:$K$6002,원본명단!$K2052)))</f>
        <v/>
      </c>
      <c r="H2053" s="11" t="str">
        <f aca="false">IF($A2053="","",IF(MAX($E2053,$F2053,$G2053)&gt;1,"중복","-"))</f>
        <v/>
      </c>
      <c r="I2053" s="11" t="str">
        <f aca="false">IF($A2053="","",IF($H2053="-","-",IF(AND(IF(원본명단!$H2052="",TRUE(),COUNTIF(원본명단!$H$3:$H2052,원본명단!$H2052)=1),IF(원본명단!$I2052="",TRUE(),COUNTIF(원본명단!$I$3:$I2052,원본명단!$I2052)=1),IF(원본명단!$K2052="",TRUE(),COUNTIF(원본명단!$K$3:$K2052,원본명단!$K2052)=1)),"첫 건","중복 건")))</f>
        <v/>
      </c>
      <c r="J2053" s="11" t="str">
        <f aca="false">IF($A2053="","",IF($H2053="-","유지",IF($I2053="첫 건","유지","확인 필요")))</f>
        <v/>
      </c>
    </row>
    <row r="2054" customFormat="false" ht="15" hidden="false" customHeight="true" outlineLevel="0" collapsed="false">
      <c r="A2054" s="11" t="str">
        <f aca="false">IF(원본명단!$A2053="","",2051)</f>
        <v/>
      </c>
      <c r="B2054" s="12" t="str">
        <f aca="false">IF($A2054="","",원본명단!$A2053)</f>
        <v/>
      </c>
      <c r="C2054" s="12" t="str">
        <f aca="false">IF($A2054="","",원본명단!$B2053)</f>
        <v/>
      </c>
      <c r="D2054" s="12" t="str">
        <f aca="false">IF($A2054="","",원본명단!$D2053)</f>
        <v/>
      </c>
      <c r="E2054" s="11" t="str">
        <f aca="false">IF($A2054="","",IF(원본명단!$H2053="",0,COUNTIF(원본명단!$H$3:$H$6002,원본명단!$H2053)))</f>
        <v/>
      </c>
      <c r="F2054" s="11" t="str">
        <f aca="false">IF($A2054="","",IF(원본명단!$I2053="",0,COUNTIF(원본명단!$I$3:$I$6002,원본명단!$I2053)))</f>
        <v/>
      </c>
      <c r="G2054" s="11" t="str">
        <f aca="false">IF($A2054="","",IF(원본명단!$K2053="",0,COUNTIF(원본명단!$K$3:$K$6002,원본명단!$K2053)))</f>
        <v/>
      </c>
      <c r="H2054" s="11" t="str">
        <f aca="false">IF($A2054="","",IF(MAX($E2054,$F2054,$G2054)&gt;1,"중복","-"))</f>
        <v/>
      </c>
      <c r="I2054" s="11" t="str">
        <f aca="false">IF($A2054="","",IF($H2054="-","-",IF(AND(IF(원본명단!$H2053="",TRUE(),COUNTIF(원본명단!$H$3:$H2053,원본명단!$H2053)=1),IF(원본명단!$I2053="",TRUE(),COUNTIF(원본명단!$I$3:$I2053,원본명단!$I2053)=1),IF(원본명단!$K2053="",TRUE(),COUNTIF(원본명단!$K$3:$K2053,원본명단!$K2053)=1)),"첫 건","중복 건")))</f>
        <v/>
      </c>
      <c r="J2054" s="11" t="str">
        <f aca="false">IF($A2054="","",IF($H2054="-","유지",IF($I2054="첫 건","유지","확인 필요")))</f>
        <v/>
      </c>
    </row>
    <row r="2055" customFormat="false" ht="15" hidden="false" customHeight="true" outlineLevel="0" collapsed="false">
      <c r="A2055" s="11" t="str">
        <f aca="false">IF(원본명단!$A2054="","",2052)</f>
        <v/>
      </c>
      <c r="B2055" s="12" t="str">
        <f aca="false">IF($A2055="","",원본명단!$A2054)</f>
        <v/>
      </c>
      <c r="C2055" s="12" t="str">
        <f aca="false">IF($A2055="","",원본명단!$B2054)</f>
        <v/>
      </c>
      <c r="D2055" s="12" t="str">
        <f aca="false">IF($A2055="","",원본명단!$D2054)</f>
        <v/>
      </c>
      <c r="E2055" s="11" t="str">
        <f aca="false">IF($A2055="","",IF(원본명단!$H2054="",0,COUNTIF(원본명단!$H$3:$H$6002,원본명단!$H2054)))</f>
        <v/>
      </c>
      <c r="F2055" s="11" t="str">
        <f aca="false">IF($A2055="","",IF(원본명단!$I2054="",0,COUNTIF(원본명단!$I$3:$I$6002,원본명단!$I2054)))</f>
        <v/>
      </c>
      <c r="G2055" s="11" t="str">
        <f aca="false">IF($A2055="","",IF(원본명단!$K2054="",0,COUNTIF(원본명단!$K$3:$K$6002,원본명단!$K2054)))</f>
        <v/>
      </c>
      <c r="H2055" s="11" t="str">
        <f aca="false">IF($A2055="","",IF(MAX($E2055,$F2055,$G2055)&gt;1,"중복","-"))</f>
        <v/>
      </c>
      <c r="I2055" s="11" t="str">
        <f aca="false">IF($A2055="","",IF($H2055="-","-",IF(AND(IF(원본명단!$H2054="",TRUE(),COUNTIF(원본명단!$H$3:$H2054,원본명단!$H2054)=1),IF(원본명단!$I2054="",TRUE(),COUNTIF(원본명단!$I$3:$I2054,원본명단!$I2054)=1),IF(원본명단!$K2054="",TRUE(),COUNTIF(원본명단!$K$3:$K2054,원본명단!$K2054)=1)),"첫 건","중복 건")))</f>
        <v/>
      </c>
      <c r="J2055" s="11" t="str">
        <f aca="false">IF($A2055="","",IF($H2055="-","유지",IF($I2055="첫 건","유지","확인 필요")))</f>
        <v/>
      </c>
    </row>
    <row r="2056" customFormat="false" ht="15" hidden="false" customHeight="true" outlineLevel="0" collapsed="false">
      <c r="A2056" s="11" t="str">
        <f aca="false">IF(원본명단!$A2055="","",2053)</f>
        <v/>
      </c>
      <c r="B2056" s="12" t="str">
        <f aca="false">IF($A2056="","",원본명단!$A2055)</f>
        <v/>
      </c>
      <c r="C2056" s="12" t="str">
        <f aca="false">IF($A2056="","",원본명단!$B2055)</f>
        <v/>
      </c>
      <c r="D2056" s="12" t="str">
        <f aca="false">IF($A2056="","",원본명단!$D2055)</f>
        <v/>
      </c>
      <c r="E2056" s="11" t="str">
        <f aca="false">IF($A2056="","",IF(원본명단!$H2055="",0,COUNTIF(원본명단!$H$3:$H$6002,원본명단!$H2055)))</f>
        <v/>
      </c>
      <c r="F2056" s="11" t="str">
        <f aca="false">IF($A2056="","",IF(원본명단!$I2055="",0,COUNTIF(원본명단!$I$3:$I$6002,원본명단!$I2055)))</f>
        <v/>
      </c>
      <c r="G2056" s="11" t="str">
        <f aca="false">IF($A2056="","",IF(원본명단!$K2055="",0,COUNTIF(원본명단!$K$3:$K$6002,원본명단!$K2055)))</f>
        <v/>
      </c>
      <c r="H2056" s="11" t="str">
        <f aca="false">IF($A2056="","",IF(MAX($E2056,$F2056,$G2056)&gt;1,"중복","-"))</f>
        <v/>
      </c>
      <c r="I2056" s="11" t="str">
        <f aca="false">IF($A2056="","",IF($H2056="-","-",IF(AND(IF(원본명단!$H2055="",TRUE(),COUNTIF(원본명단!$H$3:$H2055,원본명단!$H2055)=1),IF(원본명단!$I2055="",TRUE(),COUNTIF(원본명단!$I$3:$I2055,원본명단!$I2055)=1),IF(원본명단!$K2055="",TRUE(),COUNTIF(원본명단!$K$3:$K2055,원본명단!$K2055)=1)),"첫 건","중복 건")))</f>
        <v/>
      </c>
      <c r="J2056" s="11" t="str">
        <f aca="false">IF($A2056="","",IF($H2056="-","유지",IF($I2056="첫 건","유지","확인 필요")))</f>
        <v/>
      </c>
    </row>
    <row r="2057" customFormat="false" ht="15" hidden="false" customHeight="true" outlineLevel="0" collapsed="false">
      <c r="A2057" s="11" t="str">
        <f aca="false">IF(원본명단!$A2056="","",2054)</f>
        <v/>
      </c>
      <c r="B2057" s="12" t="str">
        <f aca="false">IF($A2057="","",원본명단!$A2056)</f>
        <v/>
      </c>
      <c r="C2057" s="12" t="str">
        <f aca="false">IF($A2057="","",원본명단!$B2056)</f>
        <v/>
      </c>
      <c r="D2057" s="12" t="str">
        <f aca="false">IF($A2057="","",원본명단!$D2056)</f>
        <v/>
      </c>
      <c r="E2057" s="11" t="str">
        <f aca="false">IF($A2057="","",IF(원본명단!$H2056="",0,COUNTIF(원본명단!$H$3:$H$6002,원본명단!$H2056)))</f>
        <v/>
      </c>
      <c r="F2057" s="11" t="str">
        <f aca="false">IF($A2057="","",IF(원본명단!$I2056="",0,COUNTIF(원본명단!$I$3:$I$6002,원본명단!$I2056)))</f>
        <v/>
      </c>
      <c r="G2057" s="11" t="str">
        <f aca="false">IF($A2057="","",IF(원본명단!$K2056="",0,COUNTIF(원본명단!$K$3:$K$6002,원본명단!$K2056)))</f>
        <v/>
      </c>
      <c r="H2057" s="11" t="str">
        <f aca="false">IF($A2057="","",IF(MAX($E2057,$F2057,$G2057)&gt;1,"중복","-"))</f>
        <v/>
      </c>
      <c r="I2057" s="11" t="str">
        <f aca="false">IF($A2057="","",IF($H2057="-","-",IF(AND(IF(원본명단!$H2056="",TRUE(),COUNTIF(원본명단!$H$3:$H2056,원본명단!$H2056)=1),IF(원본명단!$I2056="",TRUE(),COUNTIF(원본명단!$I$3:$I2056,원본명단!$I2056)=1),IF(원본명단!$K2056="",TRUE(),COUNTIF(원본명단!$K$3:$K2056,원본명단!$K2056)=1)),"첫 건","중복 건")))</f>
        <v/>
      </c>
      <c r="J2057" s="11" t="str">
        <f aca="false">IF($A2057="","",IF($H2057="-","유지",IF($I2057="첫 건","유지","확인 필요")))</f>
        <v/>
      </c>
    </row>
    <row r="2058" customFormat="false" ht="15" hidden="false" customHeight="true" outlineLevel="0" collapsed="false">
      <c r="A2058" s="11" t="str">
        <f aca="false">IF(원본명단!$A2057="","",2055)</f>
        <v/>
      </c>
      <c r="B2058" s="12" t="str">
        <f aca="false">IF($A2058="","",원본명단!$A2057)</f>
        <v/>
      </c>
      <c r="C2058" s="12" t="str">
        <f aca="false">IF($A2058="","",원본명단!$B2057)</f>
        <v/>
      </c>
      <c r="D2058" s="12" t="str">
        <f aca="false">IF($A2058="","",원본명단!$D2057)</f>
        <v/>
      </c>
      <c r="E2058" s="11" t="str">
        <f aca="false">IF($A2058="","",IF(원본명단!$H2057="",0,COUNTIF(원본명단!$H$3:$H$6002,원본명단!$H2057)))</f>
        <v/>
      </c>
      <c r="F2058" s="11" t="str">
        <f aca="false">IF($A2058="","",IF(원본명단!$I2057="",0,COUNTIF(원본명단!$I$3:$I$6002,원본명단!$I2057)))</f>
        <v/>
      </c>
      <c r="G2058" s="11" t="str">
        <f aca="false">IF($A2058="","",IF(원본명단!$K2057="",0,COUNTIF(원본명단!$K$3:$K$6002,원본명단!$K2057)))</f>
        <v/>
      </c>
      <c r="H2058" s="11" t="str">
        <f aca="false">IF($A2058="","",IF(MAX($E2058,$F2058,$G2058)&gt;1,"중복","-"))</f>
        <v/>
      </c>
      <c r="I2058" s="11" t="str">
        <f aca="false">IF($A2058="","",IF($H2058="-","-",IF(AND(IF(원본명단!$H2057="",TRUE(),COUNTIF(원본명단!$H$3:$H2057,원본명단!$H2057)=1),IF(원본명단!$I2057="",TRUE(),COUNTIF(원본명단!$I$3:$I2057,원본명단!$I2057)=1),IF(원본명단!$K2057="",TRUE(),COUNTIF(원본명단!$K$3:$K2057,원본명단!$K2057)=1)),"첫 건","중복 건")))</f>
        <v/>
      </c>
      <c r="J2058" s="11" t="str">
        <f aca="false">IF($A2058="","",IF($H2058="-","유지",IF($I2058="첫 건","유지","확인 필요")))</f>
        <v/>
      </c>
    </row>
    <row r="2059" customFormat="false" ht="15" hidden="false" customHeight="true" outlineLevel="0" collapsed="false">
      <c r="A2059" s="11" t="str">
        <f aca="false">IF(원본명단!$A2058="","",2056)</f>
        <v/>
      </c>
      <c r="B2059" s="12" t="str">
        <f aca="false">IF($A2059="","",원본명단!$A2058)</f>
        <v/>
      </c>
      <c r="C2059" s="12" t="str">
        <f aca="false">IF($A2059="","",원본명단!$B2058)</f>
        <v/>
      </c>
      <c r="D2059" s="12" t="str">
        <f aca="false">IF($A2059="","",원본명단!$D2058)</f>
        <v/>
      </c>
      <c r="E2059" s="11" t="str">
        <f aca="false">IF($A2059="","",IF(원본명단!$H2058="",0,COUNTIF(원본명단!$H$3:$H$6002,원본명단!$H2058)))</f>
        <v/>
      </c>
      <c r="F2059" s="11" t="str">
        <f aca="false">IF($A2059="","",IF(원본명단!$I2058="",0,COUNTIF(원본명단!$I$3:$I$6002,원본명단!$I2058)))</f>
        <v/>
      </c>
      <c r="G2059" s="11" t="str">
        <f aca="false">IF($A2059="","",IF(원본명단!$K2058="",0,COUNTIF(원본명단!$K$3:$K$6002,원본명단!$K2058)))</f>
        <v/>
      </c>
      <c r="H2059" s="11" t="str">
        <f aca="false">IF($A2059="","",IF(MAX($E2059,$F2059,$G2059)&gt;1,"중복","-"))</f>
        <v/>
      </c>
      <c r="I2059" s="11" t="str">
        <f aca="false">IF($A2059="","",IF($H2059="-","-",IF(AND(IF(원본명단!$H2058="",TRUE(),COUNTIF(원본명단!$H$3:$H2058,원본명단!$H2058)=1),IF(원본명단!$I2058="",TRUE(),COUNTIF(원본명단!$I$3:$I2058,원본명단!$I2058)=1),IF(원본명단!$K2058="",TRUE(),COUNTIF(원본명단!$K$3:$K2058,원본명단!$K2058)=1)),"첫 건","중복 건")))</f>
        <v/>
      </c>
      <c r="J2059" s="11" t="str">
        <f aca="false">IF($A2059="","",IF($H2059="-","유지",IF($I2059="첫 건","유지","확인 필요")))</f>
        <v/>
      </c>
    </row>
    <row r="2060" customFormat="false" ht="15" hidden="false" customHeight="true" outlineLevel="0" collapsed="false">
      <c r="A2060" s="11" t="str">
        <f aca="false">IF(원본명단!$A2059="","",2057)</f>
        <v/>
      </c>
      <c r="B2060" s="12" t="str">
        <f aca="false">IF($A2060="","",원본명단!$A2059)</f>
        <v/>
      </c>
      <c r="C2060" s="12" t="str">
        <f aca="false">IF($A2060="","",원본명단!$B2059)</f>
        <v/>
      </c>
      <c r="D2060" s="12" t="str">
        <f aca="false">IF($A2060="","",원본명단!$D2059)</f>
        <v/>
      </c>
      <c r="E2060" s="11" t="str">
        <f aca="false">IF($A2060="","",IF(원본명단!$H2059="",0,COUNTIF(원본명단!$H$3:$H$6002,원본명단!$H2059)))</f>
        <v/>
      </c>
      <c r="F2060" s="11" t="str">
        <f aca="false">IF($A2060="","",IF(원본명단!$I2059="",0,COUNTIF(원본명단!$I$3:$I$6002,원본명단!$I2059)))</f>
        <v/>
      </c>
      <c r="G2060" s="11" t="str">
        <f aca="false">IF($A2060="","",IF(원본명단!$K2059="",0,COUNTIF(원본명단!$K$3:$K$6002,원본명단!$K2059)))</f>
        <v/>
      </c>
      <c r="H2060" s="11" t="str">
        <f aca="false">IF($A2060="","",IF(MAX($E2060,$F2060,$G2060)&gt;1,"중복","-"))</f>
        <v/>
      </c>
      <c r="I2060" s="11" t="str">
        <f aca="false">IF($A2060="","",IF($H2060="-","-",IF(AND(IF(원본명단!$H2059="",TRUE(),COUNTIF(원본명단!$H$3:$H2059,원본명단!$H2059)=1),IF(원본명단!$I2059="",TRUE(),COUNTIF(원본명단!$I$3:$I2059,원본명단!$I2059)=1),IF(원본명단!$K2059="",TRUE(),COUNTIF(원본명단!$K$3:$K2059,원본명단!$K2059)=1)),"첫 건","중복 건")))</f>
        <v/>
      </c>
      <c r="J2060" s="11" t="str">
        <f aca="false">IF($A2060="","",IF($H2060="-","유지",IF($I2060="첫 건","유지","확인 필요")))</f>
        <v/>
      </c>
    </row>
    <row r="2061" customFormat="false" ht="15" hidden="false" customHeight="true" outlineLevel="0" collapsed="false">
      <c r="A2061" s="11" t="str">
        <f aca="false">IF(원본명단!$A2060="","",2058)</f>
        <v/>
      </c>
      <c r="B2061" s="12" t="str">
        <f aca="false">IF($A2061="","",원본명단!$A2060)</f>
        <v/>
      </c>
      <c r="C2061" s="12" t="str">
        <f aca="false">IF($A2061="","",원본명단!$B2060)</f>
        <v/>
      </c>
      <c r="D2061" s="12" t="str">
        <f aca="false">IF($A2061="","",원본명단!$D2060)</f>
        <v/>
      </c>
      <c r="E2061" s="11" t="str">
        <f aca="false">IF($A2061="","",IF(원본명단!$H2060="",0,COUNTIF(원본명단!$H$3:$H$6002,원본명단!$H2060)))</f>
        <v/>
      </c>
      <c r="F2061" s="11" t="str">
        <f aca="false">IF($A2061="","",IF(원본명단!$I2060="",0,COUNTIF(원본명단!$I$3:$I$6002,원본명단!$I2060)))</f>
        <v/>
      </c>
      <c r="G2061" s="11" t="str">
        <f aca="false">IF($A2061="","",IF(원본명단!$K2060="",0,COUNTIF(원본명단!$K$3:$K$6002,원본명단!$K2060)))</f>
        <v/>
      </c>
      <c r="H2061" s="11" t="str">
        <f aca="false">IF($A2061="","",IF(MAX($E2061,$F2061,$G2061)&gt;1,"중복","-"))</f>
        <v/>
      </c>
      <c r="I2061" s="11" t="str">
        <f aca="false">IF($A2061="","",IF($H2061="-","-",IF(AND(IF(원본명단!$H2060="",TRUE(),COUNTIF(원본명단!$H$3:$H2060,원본명단!$H2060)=1),IF(원본명단!$I2060="",TRUE(),COUNTIF(원본명단!$I$3:$I2060,원본명단!$I2060)=1),IF(원본명단!$K2060="",TRUE(),COUNTIF(원본명단!$K$3:$K2060,원본명단!$K2060)=1)),"첫 건","중복 건")))</f>
        <v/>
      </c>
      <c r="J2061" s="11" t="str">
        <f aca="false">IF($A2061="","",IF($H2061="-","유지",IF($I2061="첫 건","유지","확인 필요")))</f>
        <v/>
      </c>
    </row>
    <row r="2062" customFormat="false" ht="15" hidden="false" customHeight="true" outlineLevel="0" collapsed="false">
      <c r="A2062" s="11" t="str">
        <f aca="false">IF(원본명단!$A2061="","",2059)</f>
        <v/>
      </c>
      <c r="B2062" s="12" t="str">
        <f aca="false">IF($A2062="","",원본명단!$A2061)</f>
        <v/>
      </c>
      <c r="C2062" s="12" t="str">
        <f aca="false">IF($A2062="","",원본명단!$B2061)</f>
        <v/>
      </c>
      <c r="D2062" s="12" t="str">
        <f aca="false">IF($A2062="","",원본명단!$D2061)</f>
        <v/>
      </c>
      <c r="E2062" s="11" t="str">
        <f aca="false">IF($A2062="","",IF(원본명단!$H2061="",0,COUNTIF(원본명단!$H$3:$H$6002,원본명단!$H2061)))</f>
        <v/>
      </c>
      <c r="F2062" s="11" t="str">
        <f aca="false">IF($A2062="","",IF(원본명단!$I2061="",0,COUNTIF(원본명단!$I$3:$I$6002,원본명단!$I2061)))</f>
        <v/>
      </c>
      <c r="G2062" s="11" t="str">
        <f aca="false">IF($A2062="","",IF(원본명단!$K2061="",0,COUNTIF(원본명단!$K$3:$K$6002,원본명단!$K2061)))</f>
        <v/>
      </c>
      <c r="H2062" s="11" t="str">
        <f aca="false">IF($A2062="","",IF(MAX($E2062,$F2062,$G2062)&gt;1,"중복","-"))</f>
        <v/>
      </c>
      <c r="I2062" s="11" t="str">
        <f aca="false">IF($A2062="","",IF($H2062="-","-",IF(AND(IF(원본명단!$H2061="",TRUE(),COUNTIF(원본명단!$H$3:$H2061,원본명단!$H2061)=1),IF(원본명단!$I2061="",TRUE(),COUNTIF(원본명단!$I$3:$I2061,원본명단!$I2061)=1),IF(원본명단!$K2061="",TRUE(),COUNTIF(원본명단!$K$3:$K2061,원본명단!$K2061)=1)),"첫 건","중복 건")))</f>
        <v/>
      </c>
      <c r="J2062" s="11" t="str">
        <f aca="false">IF($A2062="","",IF($H2062="-","유지",IF($I2062="첫 건","유지","확인 필요")))</f>
        <v/>
      </c>
    </row>
    <row r="2063" customFormat="false" ht="15" hidden="false" customHeight="true" outlineLevel="0" collapsed="false">
      <c r="A2063" s="11" t="str">
        <f aca="false">IF(원본명단!$A2062="","",2060)</f>
        <v/>
      </c>
      <c r="B2063" s="12" t="str">
        <f aca="false">IF($A2063="","",원본명단!$A2062)</f>
        <v/>
      </c>
      <c r="C2063" s="12" t="str">
        <f aca="false">IF($A2063="","",원본명단!$B2062)</f>
        <v/>
      </c>
      <c r="D2063" s="12" t="str">
        <f aca="false">IF($A2063="","",원본명단!$D2062)</f>
        <v/>
      </c>
      <c r="E2063" s="11" t="str">
        <f aca="false">IF($A2063="","",IF(원본명단!$H2062="",0,COUNTIF(원본명단!$H$3:$H$6002,원본명단!$H2062)))</f>
        <v/>
      </c>
      <c r="F2063" s="11" t="str">
        <f aca="false">IF($A2063="","",IF(원본명단!$I2062="",0,COUNTIF(원본명단!$I$3:$I$6002,원본명단!$I2062)))</f>
        <v/>
      </c>
      <c r="G2063" s="11" t="str">
        <f aca="false">IF($A2063="","",IF(원본명단!$K2062="",0,COUNTIF(원본명단!$K$3:$K$6002,원본명단!$K2062)))</f>
        <v/>
      </c>
      <c r="H2063" s="11" t="str">
        <f aca="false">IF($A2063="","",IF(MAX($E2063,$F2063,$G2063)&gt;1,"중복","-"))</f>
        <v/>
      </c>
      <c r="I2063" s="11" t="str">
        <f aca="false">IF($A2063="","",IF($H2063="-","-",IF(AND(IF(원본명단!$H2062="",TRUE(),COUNTIF(원본명단!$H$3:$H2062,원본명단!$H2062)=1),IF(원본명단!$I2062="",TRUE(),COUNTIF(원본명단!$I$3:$I2062,원본명단!$I2062)=1),IF(원본명단!$K2062="",TRUE(),COUNTIF(원본명단!$K$3:$K2062,원본명단!$K2062)=1)),"첫 건","중복 건")))</f>
        <v/>
      </c>
      <c r="J2063" s="11" t="str">
        <f aca="false">IF($A2063="","",IF($H2063="-","유지",IF($I2063="첫 건","유지","확인 필요")))</f>
        <v/>
      </c>
    </row>
    <row r="2064" customFormat="false" ht="15" hidden="false" customHeight="true" outlineLevel="0" collapsed="false">
      <c r="A2064" s="11" t="str">
        <f aca="false">IF(원본명단!$A2063="","",2061)</f>
        <v/>
      </c>
      <c r="B2064" s="12" t="str">
        <f aca="false">IF($A2064="","",원본명단!$A2063)</f>
        <v/>
      </c>
      <c r="C2064" s="12" t="str">
        <f aca="false">IF($A2064="","",원본명단!$B2063)</f>
        <v/>
      </c>
      <c r="D2064" s="12" t="str">
        <f aca="false">IF($A2064="","",원본명단!$D2063)</f>
        <v/>
      </c>
      <c r="E2064" s="11" t="str">
        <f aca="false">IF($A2064="","",IF(원본명단!$H2063="",0,COUNTIF(원본명단!$H$3:$H$6002,원본명단!$H2063)))</f>
        <v/>
      </c>
      <c r="F2064" s="11" t="str">
        <f aca="false">IF($A2064="","",IF(원본명단!$I2063="",0,COUNTIF(원본명단!$I$3:$I$6002,원본명단!$I2063)))</f>
        <v/>
      </c>
      <c r="G2064" s="11" t="str">
        <f aca="false">IF($A2064="","",IF(원본명단!$K2063="",0,COUNTIF(원본명단!$K$3:$K$6002,원본명단!$K2063)))</f>
        <v/>
      </c>
      <c r="H2064" s="11" t="str">
        <f aca="false">IF($A2064="","",IF(MAX($E2064,$F2064,$G2064)&gt;1,"중복","-"))</f>
        <v/>
      </c>
      <c r="I2064" s="11" t="str">
        <f aca="false">IF($A2064="","",IF($H2064="-","-",IF(AND(IF(원본명단!$H2063="",TRUE(),COUNTIF(원본명단!$H$3:$H2063,원본명단!$H2063)=1),IF(원본명단!$I2063="",TRUE(),COUNTIF(원본명단!$I$3:$I2063,원본명단!$I2063)=1),IF(원본명단!$K2063="",TRUE(),COUNTIF(원본명단!$K$3:$K2063,원본명단!$K2063)=1)),"첫 건","중복 건")))</f>
        <v/>
      </c>
      <c r="J2064" s="11" t="str">
        <f aca="false">IF($A2064="","",IF($H2064="-","유지",IF($I2064="첫 건","유지","확인 필요")))</f>
        <v/>
      </c>
    </row>
    <row r="2065" customFormat="false" ht="15" hidden="false" customHeight="true" outlineLevel="0" collapsed="false">
      <c r="A2065" s="11" t="str">
        <f aca="false">IF(원본명단!$A2064="","",2062)</f>
        <v/>
      </c>
      <c r="B2065" s="12" t="str">
        <f aca="false">IF($A2065="","",원본명단!$A2064)</f>
        <v/>
      </c>
      <c r="C2065" s="12" t="str">
        <f aca="false">IF($A2065="","",원본명단!$B2064)</f>
        <v/>
      </c>
      <c r="D2065" s="12" t="str">
        <f aca="false">IF($A2065="","",원본명단!$D2064)</f>
        <v/>
      </c>
      <c r="E2065" s="11" t="str">
        <f aca="false">IF($A2065="","",IF(원본명단!$H2064="",0,COUNTIF(원본명단!$H$3:$H$6002,원본명단!$H2064)))</f>
        <v/>
      </c>
      <c r="F2065" s="11" t="str">
        <f aca="false">IF($A2065="","",IF(원본명단!$I2064="",0,COUNTIF(원본명단!$I$3:$I$6002,원본명단!$I2064)))</f>
        <v/>
      </c>
      <c r="G2065" s="11" t="str">
        <f aca="false">IF($A2065="","",IF(원본명단!$K2064="",0,COUNTIF(원본명단!$K$3:$K$6002,원본명단!$K2064)))</f>
        <v/>
      </c>
      <c r="H2065" s="11" t="str">
        <f aca="false">IF($A2065="","",IF(MAX($E2065,$F2065,$G2065)&gt;1,"중복","-"))</f>
        <v/>
      </c>
      <c r="I2065" s="11" t="str">
        <f aca="false">IF($A2065="","",IF($H2065="-","-",IF(AND(IF(원본명단!$H2064="",TRUE(),COUNTIF(원본명단!$H$3:$H2064,원본명단!$H2064)=1),IF(원본명단!$I2064="",TRUE(),COUNTIF(원본명단!$I$3:$I2064,원본명단!$I2064)=1),IF(원본명단!$K2064="",TRUE(),COUNTIF(원본명단!$K$3:$K2064,원본명단!$K2064)=1)),"첫 건","중복 건")))</f>
        <v/>
      </c>
      <c r="J2065" s="11" t="str">
        <f aca="false">IF($A2065="","",IF($H2065="-","유지",IF($I2065="첫 건","유지","확인 필요")))</f>
        <v/>
      </c>
    </row>
    <row r="2066" customFormat="false" ht="15" hidden="false" customHeight="true" outlineLevel="0" collapsed="false">
      <c r="A2066" s="11" t="str">
        <f aca="false">IF(원본명단!$A2065="","",2063)</f>
        <v/>
      </c>
      <c r="B2066" s="12" t="str">
        <f aca="false">IF($A2066="","",원본명단!$A2065)</f>
        <v/>
      </c>
      <c r="C2066" s="12" t="str">
        <f aca="false">IF($A2066="","",원본명단!$B2065)</f>
        <v/>
      </c>
      <c r="D2066" s="12" t="str">
        <f aca="false">IF($A2066="","",원본명단!$D2065)</f>
        <v/>
      </c>
      <c r="E2066" s="11" t="str">
        <f aca="false">IF($A2066="","",IF(원본명단!$H2065="",0,COUNTIF(원본명단!$H$3:$H$6002,원본명단!$H2065)))</f>
        <v/>
      </c>
      <c r="F2066" s="11" t="str">
        <f aca="false">IF($A2066="","",IF(원본명단!$I2065="",0,COUNTIF(원본명단!$I$3:$I$6002,원본명단!$I2065)))</f>
        <v/>
      </c>
      <c r="G2066" s="11" t="str">
        <f aca="false">IF($A2066="","",IF(원본명단!$K2065="",0,COUNTIF(원본명단!$K$3:$K$6002,원본명단!$K2065)))</f>
        <v/>
      </c>
      <c r="H2066" s="11" t="str">
        <f aca="false">IF($A2066="","",IF(MAX($E2066,$F2066,$G2066)&gt;1,"중복","-"))</f>
        <v/>
      </c>
      <c r="I2066" s="11" t="str">
        <f aca="false">IF($A2066="","",IF($H2066="-","-",IF(AND(IF(원본명단!$H2065="",TRUE(),COUNTIF(원본명단!$H$3:$H2065,원본명단!$H2065)=1),IF(원본명단!$I2065="",TRUE(),COUNTIF(원본명단!$I$3:$I2065,원본명단!$I2065)=1),IF(원본명단!$K2065="",TRUE(),COUNTIF(원본명단!$K$3:$K2065,원본명단!$K2065)=1)),"첫 건","중복 건")))</f>
        <v/>
      </c>
      <c r="J2066" s="11" t="str">
        <f aca="false">IF($A2066="","",IF($H2066="-","유지",IF($I2066="첫 건","유지","확인 필요")))</f>
        <v/>
      </c>
    </row>
    <row r="2067" customFormat="false" ht="15" hidden="false" customHeight="true" outlineLevel="0" collapsed="false">
      <c r="A2067" s="11" t="str">
        <f aca="false">IF(원본명단!$A2066="","",2064)</f>
        <v/>
      </c>
      <c r="B2067" s="12" t="str">
        <f aca="false">IF($A2067="","",원본명단!$A2066)</f>
        <v/>
      </c>
      <c r="C2067" s="12" t="str">
        <f aca="false">IF($A2067="","",원본명단!$B2066)</f>
        <v/>
      </c>
      <c r="D2067" s="12" t="str">
        <f aca="false">IF($A2067="","",원본명단!$D2066)</f>
        <v/>
      </c>
      <c r="E2067" s="11" t="str">
        <f aca="false">IF($A2067="","",IF(원본명단!$H2066="",0,COUNTIF(원본명단!$H$3:$H$6002,원본명단!$H2066)))</f>
        <v/>
      </c>
      <c r="F2067" s="11" t="str">
        <f aca="false">IF($A2067="","",IF(원본명단!$I2066="",0,COUNTIF(원본명단!$I$3:$I$6002,원본명단!$I2066)))</f>
        <v/>
      </c>
      <c r="G2067" s="11" t="str">
        <f aca="false">IF($A2067="","",IF(원본명단!$K2066="",0,COUNTIF(원본명단!$K$3:$K$6002,원본명단!$K2066)))</f>
        <v/>
      </c>
      <c r="H2067" s="11" t="str">
        <f aca="false">IF($A2067="","",IF(MAX($E2067,$F2067,$G2067)&gt;1,"중복","-"))</f>
        <v/>
      </c>
      <c r="I2067" s="11" t="str">
        <f aca="false">IF($A2067="","",IF($H2067="-","-",IF(AND(IF(원본명단!$H2066="",TRUE(),COUNTIF(원본명단!$H$3:$H2066,원본명단!$H2066)=1),IF(원본명단!$I2066="",TRUE(),COUNTIF(원본명단!$I$3:$I2066,원본명단!$I2066)=1),IF(원본명단!$K2066="",TRUE(),COUNTIF(원본명단!$K$3:$K2066,원본명단!$K2066)=1)),"첫 건","중복 건")))</f>
        <v/>
      </c>
      <c r="J2067" s="11" t="str">
        <f aca="false">IF($A2067="","",IF($H2067="-","유지",IF($I2067="첫 건","유지","확인 필요")))</f>
        <v/>
      </c>
    </row>
    <row r="2068" customFormat="false" ht="15" hidden="false" customHeight="true" outlineLevel="0" collapsed="false">
      <c r="A2068" s="11" t="str">
        <f aca="false">IF(원본명단!$A2067="","",2065)</f>
        <v/>
      </c>
      <c r="B2068" s="12" t="str">
        <f aca="false">IF($A2068="","",원본명단!$A2067)</f>
        <v/>
      </c>
      <c r="C2068" s="12" t="str">
        <f aca="false">IF($A2068="","",원본명단!$B2067)</f>
        <v/>
      </c>
      <c r="D2068" s="12" t="str">
        <f aca="false">IF($A2068="","",원본명단!$D2067)</f>
        <v/>
      </c>
      <c r="E2068" s="11" t="str">
        <f aca="false">IF($A2068="","",IF(원본명단!$H2067="",0,COUNTIF(원본명단!$H$3:$H$6002,원본명단!$H2067)))</f>
        <v/>
      </c>
      <c r="F2068" s="11" t="str">
        <f aca="false">IF($A2068="","",IF(원본명단!$I2067="",0,COUNTIF(원본명단!$I$3:$I$6002,원본명단!$I2067)))</f>
        <v/>
      </c>
      <c r="G2068" s="11" t="str">
        <f aca="false">IF($A2068="","",IF(원본명단!$K2067="",0,COUNTIF(원본명단!$K$3:$K$6002,원본명단!$K2067)))</f>
        <v/>
      </c>
      <c r="H2068" s="11" t="str">
        <f aca="false">IF($A2068="","",IF(MAX($E2068,$F2068,$G2068)&gt;1,"중복","-"))</f>
        <v/>
      </c>
      <c r="I2068" s="11" t="str">
        <f aca="false">IF($A2068="","",IF($H2068="-","-",IF(AND(IF(원본명단!$H2067="",TRUE(),COUNTIF(원본명단!$H$3:$H2067,원본명단!$H2067)=1),IF(원본명단!$I2067="",TRUE(),COUNTIF(원본명단!$I$3:$I2067,원본명단!$I2067)=1),IF(원본명단!$K2067="",TRUE(),COUNTIF(원본명단!$K$3:$K2067,원본명단!$K2067)=1)),"첫 건","중복 건")))</f>
        <v/>
      </c>
      <c r="J2068" s="11" t="str">
        <f aca="false">IF($A2068="","",IF($H2068="-","유지",IF($I2068="첫 건","유지","확인 필요")))</f>
        <v/>
      </c>
    </row>
    <row r="2069" customFormat="false" ht="15" hidden="false" customHeight="true" outlineLevel="0" collapsed="false">
      <c r="A2069" s="11" t="str">
        <f aca="false">IF(원본명단!$A2068="","",2066)</f>
        <v/>
      </c>
      <c r="B2069" s="12" t="str">
        <f aca="false">IF($A2069="","",원본명단!$A2068)</f>
        <v/>
      </c>
      <c r="C2069" s="12" t="str">
        <f aca="false">IF($A2069="","",원본명단!$B2068)</f>
        <v/>
      </c>
      <c r="D2069" s="12" t="str">
        <f aca="false">IF($A2069="","",원본명단!$D2068)</f>
        <v/>
      </c>
      <c r="E2069" s="11" t="str">
        <f aca="false">IF($A2069="","",IF(원본명단!$H2068="",0,COUNTIF(원본명단!$H$3:$H$6002,원본명단!$H2068)))</f>
        <v/>
      </c>
      <c r="F2069" s="11" t="str">
        <f aca="false">IF($A2069="","",IF(원본명단!$I2068="",0,COUNTIF(원본명단!$I$3:$I$6002,원본명단!$I2068)))</f>
        <v/>
      </c>
      <c r="G2069" s="11" t="str">
        <f aca="false">IF($A2069="","",IF(원본명단!$K2068="",0,COUNTIF(원본명단!$K$3:$K$6002,원본명단!$K2068)))</f>
        <v/>
      </c>
      <c r="H2069" s="11" t="str">
        <f aca="false">IF($A2069="","",IF(MAX($E2069,$F2069,$G2069)&gt;1,"중복","-"))</f>
        <v/>
      </c>
      <c r="I2069" s="11" t="str">
        <f aca="false">IF($A2069="","",IF($H2069="-","-",IF(AND(IF(원본명단!$H2068="",TRUE(),COUNTIF(원본명단!$H$3:$H2068,원본명단!$H2068)=1),IF(원본명단!$I2068="",TRUE(),COUNTIF(원본명단!$I$3:$I2068,원본명단!$I2068)=1),IF(원본명단!$K2068="",TRUE(),COUNTIF(원본명단!$K$3:$K2068,원본명단!$K2068)=1)),"첫 건","중복 건")))</f>
        <v/>
      </c>
      <c r="J2069" s="11" t="str">
        <f aca="false">IF($A2069="","",IF($H2069="-","유지",IF($I2069="첫 건","유지","확인 필요")))</f>
        <v/>
      </c>
    </row>
    <row r="2070" customFormat="false" ht="15" hidden="false" customHeight="true" outlineLevel="0" collapsed="false">
      <c r="A2070" s="11" t="str">
        <f aca="false">IF(원본명단!$A2069="","",2067)</f>
        <v/>
      </c>
      <c r="B2070" s="12" t="str">
        <f aca="false">IF($A2070="","",원본명단!$A2069)</f>
        <v/>
      </c>
      <c r="C2070" s="12" t="str">
        <f aca="false">IF($A2070="","",원본명단!$B2069)</f>
        <v/>
      </c>
      <c r="D2070" s="12" t="str">
        <f aca="false">IF($A2070="","",원본명단!$D2069)</f>
        <v/>
      </c>
      <c r="E2070" s="11" t="str">
        <f aca="false">IF($A2070="","",IF(원본명단!$H2069="",0,COUNTIF(원본명단!$H$3:$H$6002,원본명단!$H2069)))</f>
        <v/>
      </c>
      <c r="F2070" s="11" t="str">
        <f aca="false">IF($A2070="","",IF(원본명단!$I2069="",0,COUNTIF(원본명단!$I$3:$I$6002,원본명단!$I2069)))</f>
        <v/>
      </c>
      <c r="G2070" s="11" t="str">
        <f aca="false">IF($A2070="","",IF(원본명단!$K2069="",0,COUNTIF(원본명단!$K$3:$K$6002,원본명단!$K2069)))</f>
        <v/>
      </c>
      <c r="H2070" s="11" t="str">
        <f aca="false">IF($A2070="","",IF(MAX($E2070,$F2070,$G2070)&gt;1,"중복","-"))</f>
        <v/>
      </c>
      <c r="I2070" s="11" t="str">
        <f aca="false">IF($A2070="","",IF($H2070="-","-",IF(AND(IF(원본명단!$H2069="",TRUE(),COUNTIF(원본명단!$H$3:$H2069,원본명단!$H2069)=1),IF(원본명단!$I2069="",TRUE(),COUNTIF(원본명단!$I$3:$I2069,원본명단!$I2069)=1),IF(원본명단!$K2069="",TRUE(),COUNTIF(원본명단!$K$3:$K2069,원본명단!$K2069)=1)),"첫 건","중복 건")))</f>
        <v/>
      </c>
      <c r="J2070" s="11" t="str">
        <f aca="false">IF($A2070="","",IF($H2070="-","유지",IF($I2070="첫 건","유지","확인 필요")))</f>
        <v/>
      </c>
    </row>
    <row r="2071" customFormat="false" ht="15" hidden="false" customHeight="true" outlineLevel="0" collapsed="false">
      <c r="A2071" s="11" t="str">
        <f aca="false">IF(원본명단!$A2070="","",2068)</f>
        <v/>
      </c>
      <c r="B2071" s="12" t="str">
        <f aca="false">IF($A2071="","",원본명단!$A2070)</f>
        <v/>
      </c>
      <c r="C2071" s="12" t="str">
        <f aca="false">IF($A2071="","",원본명단!$B2070)</f>
        <v/>
      </c>
      <c r="D2071" s="12" t="str">
        <f aca="false">IF($A2071="","",원본명단!$D2070)</f>
        <v/>
      </c>
      <c r="E2071" s="11" t="str">
        <f aca="false">IF($A2071="","",IF(원본명단!$H2070="",0,COUNTIF(원본명단!$H$3:$H$6002,원본명단!$H2070)))</f>
        <v/>
      </c>
      <c r="F2071" s="11" t="str">
        <f aca="false">IF($A2071="","",IF(원본명단!$I2070="",0,COUNTIF(원본명단!$I$3:$I$6002,원본명단!$I2070)))</f>
        <v/>
      </c>
      <c r="G2071" s="11" t="str">
        <f aca="false">IF($A2071="","",IF(원본명단!$K2070="",0,COUNTIF(원본명단!$K$3:$K$6002,원본명단!$K2070)))</f>
        <v/>
      </c>
      <c r="H2071" s="11" t="str">
        <f aca="false">IF($A2071="","",IF(MAX($E2071,$F2071,$G2071)&gt;1,"중복","-"))</f>
        <v/>
      </c>
      <c r="I2071" s="11" t="str">
        <f aca="false">IF($A2071="","",IF($H2071="-","-",IF(AND(IF(원본명단!$H2070="",TRUE(),COUNTIF(원본명단!$H$3:$H2070,원본명단!$H2070)=1),IF(원본명단!$I2070="",TRUE(),COUNTIF(원본명단!$I$3:$I2070,원본명단!$I2070)=1),IF(원본명단!$K2070="",TRUE(),COUNTIF(원본명단!$K$3:$K2070,원본명단!$K2070)=1)),"첫 건","중복 건")))</f>
        <v/>
      </c>
      <c r="J2071" s="11" t="str">
        <f aca="false">IF($A2071="","",IF($H2071="-","유지",IF($I2071="첫 건","유지","확인 필요")))</f>
        <v/>
      </c>
    </row>
    <row r="2072" customFormat="false" ht="15" hidden="false" customHeight="true" outlineLevel="0" collapsed="false">
      <c r="A2072" s="11" t="str">
        <f aca="false">IF(원본명단!$A2071="","",2069)</f>
        <v/>
      </c>
      <c r="B2072" s="12" t="str">
        <f aca="false">IF($A2072="","",원본명단!$A2071)</f>
        <v/>
      </c>
      <c r="C2072" s="12" t="str">
        <f aca="false">IF($A2072="","",원본명단!$B2071)</f>
        <v/>
      </c>
      <c r="D2072" s="12" t="str">
        <f aca="false">IF($A2072="","",원본명단!$D2071)</f>
        <v/>
      </c>
      <c r="E2072" s="11" t="str">
        <f aca="false">IF($A2072="","",IF(원본명단!$H2071="",0,COUNTIF(원본명단!$H$3:$H$6002,원본명단!$H2071)))</f>
        <v/>
      </c>
      <c r="F2072" s="11" t="str">
        <f aca="false">IF($A2072="","",IF(원본명단!$I2071="",0,COUNTIF(원본명단!$I$3:$I$6002,원본명단!$I2071)))</f>
        <v/>
      </c>
      <c r="G2072" s="11" t="str">
        <f aca="false">IF($A2072="","",IF(원본명단!$K2071="",0,COUNTIF(원본명단!$K$3:$K$6002,원본명단!$K2071)))</f>
        <v/>
      </c>
      <c r="H2072" s="11" t="str">
        <f aca="false">IF($A2072="","",IF(MAX($E2072,$F2072,$G2072)&gt;1,"중복","-"))</f>
        <v/>
      </c>
      <c r="I2072" s="11" t="str">
        <f aca="false">IF($A2072="","",IF($H2072="-","-",IF(AND(IF(원본명단!$H2071="",TRUE(),COUNTIF(원본명단!$H$3:$H2071,원본명단!$H2071)=1),IF(원본명단!$I2071="",TRUE(),COUNTIF(원본명단!$I$3:$I2071,원본명단!$I2071)=1),IF(원본명단!$K2071="",TRUE(),COUNTIF(원본명단!$K$3:$K2071,원본명단!$K2071)=1)),"첫 건","중복 건")))</f>
        <v/>
      </c>
      <c r="J2072" s="11" t="str">
        <f aca="false">IF($A2072="","",IF($H2072="-","유지",IF($I2072="첫 건","유지","확인 필요")))</f>
        <v/>
      </c>
    </row>
    <row r="2073" customFormat="false" ht="15" hidden="false" customHeight="true" outlineLevel="0" collapsed="false">
      <c r="A2073" s="11" t="str">
        <f aca="false">IF(원본명단!$A2072="","",2070)</f>
        <v/>
      </c>
      <c r="B2073" s="12" t="str">
        <f aca="false">IF($A2073="","",원본명단!$A2072)</f>
        <v/>
      </c>
      <c r="C2073" s="12" t="str">
        <f aca="false">IF($A2073="","",원본명단!$B2072)</f>
        <v/>
      </c>
      <c r="D2073" s="12" t="str">
        <f aca="false">IF($A2073="","",원본명단!$D2072)</f>
        <v/>
      </c>
      <c r="E2073" s="11" t="str">
        <f aca="false">IF($A2073="","",IF(원본명단!$H2072="",0,COUNTIF(원본명단!$H$3:$H$6002,원본명단!$H2072)))</f>
        <v/>
      </c>
      <c r="F2073" s="11" t="str">
        <f aca="false">IF($A2073="","",IF(원본명단!$I2072="",0,COUNTIF(원본명단!$I$3:$I$6002,원본명단!$I2072)))</f>
        <v/>
      </c>
      <c r="G2073" s="11" t="str">
        <f aca="false">IF($A2073="","",IF(원본명단!$K2072="",0,COUNTIF(원본명단!$K$3:$K$6002,원본명단!$K2072)))</f>
        <v/>
      </c>
      <c r="H2073" s="11" t="str">
        <f aca="false">IF($A2073="","",IF(MAX($E2073,$F2073,$G2073)&gt;1,"중복","-"))</f>
        <v/>
      </c>
      <c r="I2073" s="11" t="str">
        <f aca="false">IF($A2073="","",IF($H2073="-","-",IF(AND(IF(원본명단!$H2072="",TRUE(),COUNTIF(원본명단!$H$3:$H2072,원본명단!$H2072)=1),IF(원본명단!$I2072="",TRUE(),COUNTIF(원본명단!$I$3:$I2072,원본명단!$I2072)=1),IF(원본명단!$K2072="",TRUE(),COUNTIF(원본명단!$K$3:$K2072,원본명단!$K2072)=1)),"첫 건","중복 건")))</f>
        <v/>
      </c>
      <c r="J2073" s="11" t="str">
        <f aca="false">IF($A2073="","",IF($H2073="-","유지",IF($I2073="첫 건","유지","확인 필요")))</f>
        <v/>
      </c>
    </row>
    <row r="2074" customFormat="false" ht="15" hidden="false" customHeight="true" outlineLevel="0" collapsed="false">
      <c r="A2074" s="11" t="str">
        <f aca="false">IF(원본명단!$A2073="","",2071)</f>
        <v/>
      </c>
      <c r="B2074" s="12" t="str">
        <f aca="false">IF($A2074="","",원본명단!$A2073)</f>
        <v/>
      </c>
      <c r="C2074" s="12" t="str">
        <f aca="false">IF($A2074="","",원본명단!$B2073)</f>
        <v/>
      </c>
      <c r="D2074" s="12" t="str">
        <f aca="false">IF($A2074="","",원본명단!$D2073)</f>
        <v/>
      </c>
      <c r="E2074" s="11" t="str">
        <f aca="false">IF($A2074="","",IF(원본명단!$H2073="",0,COUNTIF(원본명단!$H$3:$H$6002,원본명단!$H2073)))</f>
        <v/>
      </c>
      <c r="F2074" s="11" t="str">
        <f aca="false">IF($A2074="","",IF(원본명단!$I2073="",0,COUNTIF(원본명단!$I$3:$I$6002,원본명단!$I2073)))</f>
        <v/>
      </c>
      <c r="G2074" s="11" t="str">
        <f aca="false">IF($A2074="","",IF(원본명단!$K2073="",0,COUNTIF(원본명단!$K$3:$K$6002,원본명단!$K2073)))</f>
        <v/>
      </c>
      <c r="H2074" s="11" t="str">
        <f aca="false">IF($A2074="","",IF(MAX($E2074,$F2074,$G2074)&gt;1,"중복","-"))</f>
        <v/>
      </c>
      <c r="I2074" s="11" t="str">
        <f aca="false">IF($A2074="","",IF($H2074="-","-",IF(AND(IF(원본명단!$H2073="",TRUE(),COUNTIF(원본명단!$H$3:$H2073,원본명단!$H2073)=1),IF(원본명단!$I2073="",TRUE(),COUNTIF(원본명단!$I$3:$I2073,원본명단!$I2073)=1),IF(원본명단!$K2073="",TRUE(),COUNTIF(원본명단!$K$3:$K2073,원본명단!$K2073)=1)),"첫 건","중복 건")))</f>
        <v/>
      </c>
      <c r="J2074" s="11" t="str">
        <f aca="false">IF($A2074="","",IF($H2074="-","유지",IF($I2074="첫 건","유지","확인 필요")))</f>
        <v/>
      </c>
    </row>
    <row r="2075" customFormat="false" ht="15" hidden="false" customHeight="true" outlineLevel="0" collapsed="false">
      <c r="A2075" s="11" t="str">
        <f aca="false">IF(원본명단!$A2074="","",2072)</f>
        <v/>
      </c>
      <c r="B2075" s="12" t="str">
        <f aca="false">IF($A2075="","",원본명단!$A2074)</f>
        <v/>
      </c>
      <c r="C2075" s="12" t="str">
        <f aca="false">IF($A2075="","",원본명단!$B2074)</f>
        <v/>
      </c>
      <c r="D2075" s="12" t="str">
        <f aca="false">IF($A2075="","",원본명단!$D2074)</f>
        <v/>
      </c>
      <c r="E2075" s="11" t="str">
        <f aca="false">IF($A2075="","",IF(원본명단!$H2074="",0,COUNTIF(원본명단!$H$3:$H$6002,원본명단!$H2074)))</f>
        <v/>
      </c>
      <c r="F2075" s="11" t="str">
        <f aca="false">IF($A2075="","",IF(원본명단!$I2074="",0,COUNTIF(원본명단!$I$3:$I$6002,원본명단!$I2074)))</f>
        <v/>
      </c>
      <c r="G2075" s="11" t="str">
        <f aca="false">IF($A2075="","",IF(원본명단!$K2074="",0,COUNTIF(원본명단!$K$3:$K$6002,원본명단!$K2074)))</f>
        <v/>
      </c>
      <c r="H2075" s="11" t="str">
        <f aca="false">IF($A2075="","",IF(MAX($E2075,$F2075,$G2075)&gt;1,"중복","-"))</f>
        <v/>
      </c>
      <c r="I2075" s="11" t="str">
        <f aca="false">IF($A2075="","",IF($H2075="-","-",IF(AND(IF(원본명단!$H2074="",TRUE(),COUNTIF(원본명단!$H$3:$H2074,원본명단!$H2074)=1),IF(원본명단!$I2074="",TRUE(),COUNTIF(원본명단!$I$3:$I2074,원본명단!$I2074)=1),IF(원본명단!$K2074="",TRUE(),COUNTIF(원본명단!$K$3:$K2074,원본명단!$K2074)=1)),"첫 건","중복 건")))</f>
        <v/>
      </c>
      <c r="J2075" s="11" t="str">
        <f aca="false">IF($A2075="","",IF($H2075="-","유지",IF($I2075="첫 건","유지","확인 필요")))</f>
        <v/>
      </c>
    </row>
    <row r="2076" customFormat="false" ht="15" hidden="false" customHeight="true" outlineLevel="0" collapsed="false">
      <c r="A2076" s="11" t="str">
        <f aca="false">IF(원본명단!$A2075="","",2073)</f>
        <v/>
      </c>
      <c r="B2076" s="12" t="str">
        <f aca="false">IF($A2076="","",원본명단!$A2075)</f>
        <v/>
      </c>
      <c r="C2076" s="12" t="str">
        <f aca="false">IF($A2076="","",원본명단!$B2075)</f>
        <v/>
      </c>
      <c r="D2076" s="12" t="str">
        <f aca="false">IF($A2076="","",원본명단!$D2075)</f>
        <v/>
      </c>
      <c r="E2076" s="11" t="str">
        <f aca="false">IF($A2076="","",IF(원본명단!$H2075="",0,COUNTIF(원본명단!$H$3:$H$6002,원본명단!$H2075)))</f>
        <v/>
      </c>
      <c r="F2076" s="11" t="str">
        <f aca="false">IF($A2076="","",IF(원본명단!$I2075="",0,COUNTIF(원본명단!$I$3:$I$6002,원본명단!$I2075)))</f>
        <v/>
      </c>
      <c r="G2076" s="11" t="str">
        <f aca="false">IF($A2076="","",IF(원본명단!$K2075="",0,COUNTIF(원본명단!$K$3:$K$6002,원본명단!$K2075)))</f>
        <v/>
      </c>
      <c r="H2076" s="11" t="str">
        <f aca="false">IF($A2076="","",IF(MAX($E2076,$F2076,$G2076)&gt;1,"중복","-"))</f>
        <v/>
      </c>
      <c r="I2076" s="11" t="str">
        <f aca="false">IF($A2076="","",IF($H2076="-","-",IF(AND(IF(원본명단!$H2075="",TRUE(),COUNTIF(원본명단!$H$3:$H2075,원본명단!$H2075)=1),IF(원본명단!$I2075="",TRUE(),COUNTIF(원본명단!$I$3:$I2075,원본명단!$I2075)=1),IF(원본명단!$K2075="",TRUE(),COUNTIF(원본명단!$K$3:$K2075,원본명단!$K2075)=1)),"첫 건","중복 건")))</f>
        <v/>
      </c>
      <c r="J2076" s="11" t="str">
        <f aca="false">IF($A2076="","",IF($H2076="-","유지",IF($I2076="첫 건","유지","확인 필요")))</f>
        <v/>
      </c>
    </row>
    <row r="2077" customFormat="false" ht="15" hidden="false" customHeight="true" outlineLevel="0" collapsed="false">
      <c r="A2077" s="11" t="str">
        <f aca="false">IF(원본명단!$A2076="","",2074)</f>
        <v/>
      </c>
      <c r="B2077" s="12" t="str">
        <f aca="false">IF($A2077="","",원본명단!$A2076)</f>
        <v/>
      </c>
      <c r="C2077" s="12" t="str">
        <f aca="false">IF($A2077="","",원본명단!$B2076)</f>
        <v/>
      </c>
      <c r="D2077" s="12" t="str">
        <f aca="false">IF($A2077="","",원본명단!$D2076)</f>
        <v/>
      </c>
      <c r="E2077" s="11" t="str">
        <f aca="false">IF($A2077="","",IF(원본명단!$H2076="",0,COUNTIF(원본명단!$H$3:$H$6002,원본명단!$H2076)))</f>
        <v/>
      </c>
      <c r="F2077" s="11" t="str">
        <f aca="false">IF($A2077="","",IF(원본명단!$I2076="",0,COUNTIF(원본명단!$I$3:$I$6002,원본명단!$I2076)))</f>
        <v/>
      </c>
      <c r="G2077" s="11" t="str">
        <f aca="false">IF($A2077="","",IF(원본명단!$K2076="",0,COUNTIF(원본명단!$K$3:$K$6002,원본명단!$K2076)))</f>
        <v/>
      </c>
      <c r="H2077" s="11" t="str">
        <f aca="false">IF($A2077="","",IF(MAX($E2077,$F2077,$G2077)&gt;1,"중복","-"))</f>
        <v/>
      </c>
      <c r="I2077" s="11" t="str">
        <f aca="false">IF($A2077="","",IF($H2077="-","-",IF(AND(IF(원본명단!$H2076="",TRUE(),COUNTIF(원본명단!$H$3:$H2076,원본명단!$H2076)=1),IF(원본명단!$I2076="",TRUE(),COUNTIF(원본명단!$I$3:$I2076,원본명단!$I2076)=1),IF(원본명단!$K2076="",TRUE(),COUNTIF(원본명단!$K$3:$K2076,원본명단!$K2076)=1)),"첫 건","중복 건")))</f>
        <v/>
      </c>
      <c r="J2077" s="11" t="str">
        <f aca="false">IF($A2077="","",IF($H2077="-","유지",IF($I2077="첫 건","유지","확인 필요")))</f>
        <v/>
      </c>
    </row>
    <row r="2078" customFormat="false" ht="15" hidden="false" customHeight="true" outlineLevel="0" collapsed="false">
      <c r="A2078" s="11" t="str">
        <f aca="false">IF(원본명단!$A2077="","",2075)</f>
        <v/>
      </c>
      <c r="B2078" s="12" t="str">
        <f aca="false">IF($A2078="","",원본명단!$A2077)</f>
        <v/>
      </c>
      <c r="C2078" s="12" t="str">
        <f aca="false">IF($A2078="","",원본명단!$B2077)</f>
        <v/>
      </c>
      <c r="D2078" s="12" t="str">
        <f aca="false">IF($A2078="","",원본명단!$D2077)</f>
        <v/>
      </c>
      <c r="E2078" s="11" t="str">
        <f aca="false">IF($A2078="","",IF(원본명단!$H2077="",0,COUNTIF(원본명단!$H$3:$H$6002,원본명단!$H2077)))</f>
        <v/>
      </c>
      <c r="F2078" s="11" t="str">
        <f aca="false">IF($A2078="","",IF(원본명단!$I2077="",0,COUNTIF(원본명단!$I$3:$I$6002,원본명단!$I2077)))</f>
        <v/>
      </c>
      <c r="G2078" s="11" t="str">
        <f aca="false">IF($A2078="","",IF(원본명단!$K2077="",0,COUNTIF(원본명단!$K$3:$K$6002,원본명단!$K2077)))</f>
        <v/>
      </c>
      <c r="H2078" s="11" t="str">
        <f aca="false">IF($A2078="","",IF(MAX($E2078,$F2078,$G2078)&gt;1,"중복","-"))</f>
        <v/>
      </c>
      <c r="I2078" s="11" t="str">
        <f aca="false">IF($A2078="","",IF($H2078="-","-",IF(AND(IF(원본명단!$H2077="",TRUE(),COUNTIF(원본명단!$H$3:$H2077,원본명단!$H2077)=1),IF(원본명단!$I2077="",TRUE(),COUNTIF(원본명단!$I$3:$I2077,원본명단!$I2077)=1),IF(원본명단!$K2077="",TRUE(),COUNTIF(원본명단!$K$3:$K2077,원본명단!$K2077)=1)),"첫 건","중복 건")))</f>
        <v/>
      </c>
      <c r="J2078" s="11" t="str">
        <f aca="false">IF($A2078="","",IF($H2078="-","유지",IF($I2078="첫 건","유지","확인 필요")))</f>
        <v/>
      </c>
    </row>
    <row r="2079" customFormat="false" ht="15" hidden="false" customHeight="true" outlineLevel="0" collapsed="false">
      <c r="A2079" s="11" t="str">
        <f aca="false">IF(원본명단!$A2078="","",2076)</f>
        <v/>
      </c>
      <c r="B2079" s="12" t="str">
        <f aca="false">IF($A2079="","",원본명단!$A2078)</f>
        <v/>
      </c>
      <c r="C2079" s="12" t="str">
        <f aca="false">IF($A2079="","",원본명단!$B2078)</f>
        <v/>
      </c>
      <c r="D2079" s="12" t="str">
        <f aca="false">IF($A2079="","",원본명단!$D2078)</f>
        <v/>
      </c>
      <c r="E2079" s="11" t="str">
        <f aca="false">IF($A2079="","",IF(원본명단!$H2078="",0,COUNTIF(원본명단!$H$3:$H$6002,원본명단!$H2078)))</f>
        <v/>
      </c>
      <c r="F2079" s="11" t="str">
        <f aca="false">IF($A2079="","",IF(원본명단!$I2078="",0,COUNTIF(원본명단!$I$3:$I$6002,원본명단!$I2078)))</f>
        <v/>
      </c>
      <c r="G2079" s="11" t="str">
        <f aca="false">IF($A2079="","",IF(원본명단!$K2078="",0,COUNTIF(원본명단!$K$3:$K$6002,원본명단!$K2078)))</f>
        <v/>
      </c>
      <c r="H2079" s="11" t="str">
        <f aca="false">IF($A2079="","",IF(MAX($E2079,$F2079,$G2079)&gt;1,"중복","-"))</f>
        <v/>
      </c>
      <c r="I2079" s="11" t="str">
        <f aca="false">IF($A2079="","",IF($H2079="-","-",IF(AND(IF(원본명단!$H2078="",TRUE(),COUNTIF(원본명단!$H$3:$H2078,원본명단!$H2078)=1),IF(원본명단!$I2078="",TRUE(),COUNTIF(원본명단!$I$3:$I2078,원본명단!$I2078)=1),IF(원본명단!$K2078="",TRUE(),COUNTIF(원본명단!$K$3:$K2078,원본명단!$K2078)=1)),"첫 건","중복 건")))</f>
        <v/>
      </c>
      <c r="J2079" s="11" t="str">
        <f aca="false">IF($A2079="","",IF($H2079="-","유지",IF($I2079="첫 건","유지","확인 필요")))</f>
        <v/>
      </c>
    </row>
    <row r="2080" customFormat="false" ht="15" hidden="false" customHeight="true" outlineLevel="0" collapsed="false">
      <c r="A2080" s="11" t="str">
        <f aca="false">IF(원본명단!$A2079="","",2077)</f>
        <v/>
      </c>
      <c r="B2080" s="12" t="str">
        <f aca="false">IF($A2080="","",원본명단!$A2079)</f>
        <v/>
      </c>
      <c r="C2080" s="12" t="str">
        <f aca="false">IF($A2080="","",원본명단!$B2079)</f>
        <v/>
      </c>
      <c r="D2080" s="12" t="str">
        <f aca="false">IF($A2080="","",원본명단!$D2079)</f>
        <v/>
      </c>
      <c r="E2080" s="11" t="str">
        <f aca="false">IF($A2080="","",IF(원본명단!$H2079="",0,COUNTIF(원본명단!$H$3:$H$6002,원본명단!$H2079)))</f>
        <v/>
      </c>
      <c r="F2080" s="11" t="str">
        <f aca="false">IF($A2080="","",IF(원본명단!$I2079="",0,COUNTIF(원본명단!$I$3:$I$6002,원본명단!$I2079)))</f>
        <v/>
      </c>
      <c r="G2080" s="11" t="str">
        <f aca="false">IF($A2080="","",IF(원본명단!$K2079="",0,COUNTIF(원본명단!$K$3:$K$6002,원본명단!$K2079)))</f>
        <v/>
      </c>
      <c r="H2080" s="11" t="str">
        <f aca="false">IF($A2080="","",IF(MAX($E2080,$F2080,$G2080)&gt;1,"중복","-"))</f>
        <v/>
      </c>
      <c r="I2080" s="11" t="str">
        <f aca="false">IF($A2080="","",IF($H2080="-","-",IF(AND(IF(원본명단!$H2079="",TRUE(),COUNTIF(원본명단!$H$3:$H2079,원본명단!$H2079)=1),IF(원본명단!$I2079="",TRUE(),COUNTIF(원본명단!$I$3:$I2079,원본명단!$I2079)=1),IF(원본명단!$K2079="",TRUE(),COUNTIF(원본명단!$K$3:$K2079,원본명단!$K2079)=1)),"첫 건","중복 건")))</f>
        <v/>
      </c>
      <c r="J2080" s="11" t="str">
        <f aca="false">IF($A2080="","",IF($H2080="-","유지",IF($I2080="첫 건","유지","확인 필요")))</f>
        <v/>
      </c>
    </row>
    <row r="2081" customFormat="false" ht="15" hidden="false" customHeight="true" outlineLevel="0" collapsed="false">
      <c r="A2081" s="11" t="str">
        <f aca="false">IF(원본명단!$A2080="","",2078)</f>
        <v/>
      </c>
      <c r="B2081" s="12" t="str">
        <f aca="false">IF($A2081="","",원본명단!$A2080)</f>
        <v/>
      </c>
      <c r="C2081" s="12" t="str">
        <f aca="false">IF($A2081="","",원본명단!$B2080)</f>
        <v/>
      </c>
      <c r="D2081" s="12" t="str">
        <f aca="false">IF($A2081="","",원본명단!$D2080)</f>
        <v/>
      </c>
      <c r="E2081" s="11" t="str">
        <f aca="false">IF($A2081="","",IF(원본명단!$H2080="",0,COUNTIF(원본명단!$H$3:$H$6002,원본명단!$H2080)))</f>
        <v/>
      </c>
      <c r="F2081" s="11" t="str">
        <f aca="false">IF($A2081="","",IF(원본명단!$I2080="",0,COUNTIF(원본명단!$I$3:$I$6002,원본명단!$I2080)))</f>
        <v/>
      </c>
      <c r="G2081" s="11" t="str">
        <f aca="false">IF($A2081="","",IF(원본명단!$K2080="",0,COUNTIF(원본명단!$K$3:$K$6002,원본명단!$K2080)))</f>
        <v/>
      </c>
      <c r="H2081" s="11" t="str">
        <f aca="false">IF($A2081="","",IF(MAX($E2081,$F2081,$G2081)&gt;1,"중복","-"))</f>
        <v/>
      </c>
      <c r="I2081" s="11" t="str">
        <f aca="false">IF($A2081="","",IF($H2081="-","-",IF(AND(IF(원본명단!$H2080="",TRUE(),COUNTIF(원본명단!$H$3:$H2080,원본명단!$H2080)=1),IF(원본명단!$I2080="",TRUE(),COUNTIF(원본명단!$I$3:$I2080,원본명단!$I2080)=1),IF(원본명단!$K2080="",TRUE(),COUNTIF(원본명단!$K$3:$K2080,원본명단!$K2080)=1)),"첫 건","중복 건")))</f>
        <v/>
      </c>
      <c r="J2081" s="11" t="str">
        <f aca="false">IF($A2081="","",IF($H2081="-","유지",IF($I2081="첫 건","유지","확인 필요")))</f>
        <v/>
      </c>
    </row>
    <row r="2082" customFormat="false" ht="15" hidden="false" customHeight="true" outlineLevel="0" collapsed="false">
      <c r="A2082" s="11" t="str">
        <f aca="false">IF(원본명단!$A2081="","",2079)</f>
        <v/>
      </c>
      <c r="B2082" s="12" t="str">
        <f aca="false">IF($A2082="","",원본명단!$A2081)</f>
        <v/>
      </c>
      <c r="C2082" s="12" t="str">
        <f aca="false">IF($A2082="","",원본명단!$B2081)</f>
        <v/>
      </c>
      <c r="D2082" s="12" t="str">
        <f aca="false">IF($A2082="","",원본명단!$D2081)</f>
        <v/>
      </c>
      <c r="E2082" s="11" t="str">
        <f aca="false">IF($A2082="","",IF(원본명단!$H2081="",0,COUNTIF(원본명단!$H$3:$H$6002,원본명단!$H2081)))</f>
        <v/>
      </c>
      <c r="F2082" s="11" t="str">
        <f aca="false">IF($A2082="","",IF(원본명단!$I2081="",0,COUNTIF(원본명단!$I$3:$I$6002,원본명단!$I2081)))</f>
        <v/>
      </c>
      <c r="G2082" s="11" t="str">
        <f aca="false">IF($A2082="","",IF(원본명단!$K2081="",0,COUNTIF(원본명단!$K$3:$K$6002,원본명단!$K2081)))</f>
        <v/>
      </c>
      <c r="H2082" s="11" t="str">
        <f aca="false">IF($A2082="","",IF(MAX($E2082,$F2082,$G2082)&gt;1,"중복","-"))</f>
        <v/>
      </c>
      <c r="I2082" s="11" t="str">
        <f aca="false">IF($A2082="","",IF($H2082="-","-",IF(AND(IF(원본명단!$H2081="",TRUE(),COUNTIF(원본명단!$H$3:$H2081,원본명단!$H2081)=1),IF(원본명단!$I2081="",TRUE(),COUNTIF(원본명단!$I$3:$I2081,원본명단!$I2081)=1),IF(원본명단!$K2081="",TRUE(),COUNTIF(원본명단!$K$3:$K2081,원본명단!$K2081)=1)),"첫 건","중복 건")))</f>
        <v/>
      </c>
      <c r="J2082" s="11" t="str">
        <f aca="false">IF($A2082="","",IF($H2082="-","유지",IF($I2082="첫 건","유지","확인 필요")))</f>
        <v/>
      </c>
    </row>
    <row r="2083" customFormat="false" ht="15" hidden="false" customHeight="true" outlineLevel="0" collapsed="false">
      <c r="A2083" s="11" t="str">
        <f aca="false">IF(원본명단!$A2082="","",2080)</f>
        <v/>
      </c>
      <c r="B2083" s="12" t="str">
        <f aca="false">IF($A2083="","",원본명단!$A2082)</f>
        <v/>
      </c>
      <c r="C2083" s="12" t="str">
        <f aca="false">IF($A2083="","",원본명단!$B2082)</f>
        <v/>
      </c>
      <c r="D2083" s="12" t="str">
        <f aca="false">IF($A2083="","",원본명단!$D2082)</f>
        <v/>
      </c>
      <c r="E2083" s="11" t="str">
        <f aca="false">IF($A2083="","",IF(원본명단!$H2082="",0,COUNTIF(원본명단!$H$3:$H$6002,원본명단!$H2082)))</f>
        <v/>
      </c>
      <c r="F2083" s="11" t="str">
        <f aca="false">IF($A2083="","",IF(원본명단!$I2082="",0,COUNTIF(원본명단!$I$3:$I$6002,원본명단!$I2082)))</f>
        <v/>
      </c>
      <c r="G2083" s="11" t="str">
        <f aca="false">IF($A2083="","",IF(원본명단!$K2082="",0,COUNTIF(원본명단!$K$3:$K$6002,원본명단!$K2082)))</f>
        <v/>
      </c>
      <c r="H2083" s="11" t="str">
        <f aca="false">IF($A2083="","",IF(MAX($E2083,$F2083,$G2083)&gt;1,"중복","-"))</f>
        <v/>
      </c>
      <c r="I2083" s="11" t="str">
        <f aca="false">IF($A2083="","",IF($H2083="-","-",IF(AND(IF(원본명단!$H2082="",TRUE(),COUNTIF(원본명단!$H$3:$H2082,원본명단!$H2082)=1),IF(원본명단!$I2082="",TRUE(),COUNTIF(원본명단!$I$3:$I2082,원본명단!$I2082)=1),IF(원본명단!$K2082="",TRUE(),COUNTIF(원본명단!$K$3:$K2082,원본명단!$K2082)=1)),"첫 건","중복 건")))</f>
        <v/>
      </c>
      <c r="J2083" s="11" t="str">
        <f aca="false">IF($A2083="","",IF($H2083="-","유지",IF($I2083="첫 건","유지","확인 필요")))</f>
        <v/>
      </c>
    </row>
    <row r="2084" customFormat="false" ht="15" hidden="false" customHeight="true" outlineLevel="0" collapsed="false">
      <c r="A2084" s="11" t="str">
        <f aca="false">IF(원본명단!$A2083="","",2081)</f>
        <v/>
      </c>
      <c r="B2084" s="12" t="str">
        <f aca="false">IF($A2084="","",원본명단!$A2083)</f>
        <v/>
      </c>
      <c r="C2084" s="12" t="str">
        <f aca="false">IF($A2084="","",원본명단!$B2083)</f>
        <v/>
      </c>
      <c r="D2084" s="12" t="str">
        <f aca="false">IF($A2084="","",원본명단!$D2083)</f>
        <v/>
      </c>
      <c r="E2084" s="11" t="str">
        <f aca="false">IF($A2084="","",IF(원본명단!$H2083="",0,COUNTIF(원본명단!$H$3:$H$6002,원본명단!$H2083)))</f>
        <v/>
      </c>
      <c r="F2084" s="11" t="str">
        <f aca="false">IF($A2084="","",IF(원본명단!$I2083="",0,COUNTIF(원본명단!$I$3:$I$6002,원본명단!$I2083)))</f>
        <v/>
      </c>
      <c r="G2084" s="11" t="str">
        <f aca="false">IF($A2084="","",IF(원본명단!$K2083="",0,COUNTIF(원본명단!$K$3:$K$6002,원본명단!$K2083)))</f>
        <v/>
      </c>
      <c r="H2084" s="11" t="str">
        <f aca="false">IF($A2084="","",IF(MAX($E2084,$F2084,$G2084)&gt;1,"중복","-"))</f>
        <v/>
      </c>
      <c r="I2084" s="11" t="str">
        <f aca="false">IF($A2084="","",IF($H2084="-","-",IF(AND(IF(원본명단!$H2083="",TRUE(),COUNTIF(원본명단!$H$3:$H2083,원본명단!$H2083)=1),IF(원본명단!$I2083="",TRUE(),COUNTIF(원본명단!$I$3:$I2083,원본명단!$I2083)=1),IF(원본명단!$K2083="",TRUE(),COUNTIF(원본명단!$K$3:$K2083,원본명단!$K2083)=1)),"첫 건","중복 건")))</f>
        <v/>
      </c>
      <c r="J2084" s="11" t="str">
        <f aca="false">IF($A2084="","",IF($H2084="-","유지",IF($I2084="첫 건","유지","확인 필요")))</f>
        <v/>
      </c>
    </row>
    <row r="2085" customFormat="false" ht="15" hidden="false" customHeight="true" outlineLevel="0" collapsed="false">
      <c r="A2085" s="11" t="str">
        <f aca="false">IF(원본명단!$A2084="","",2082)</f>
        <v/>
      </c>
      <c r="B2085" s="12" t="str">
        <f aca="false">IF($A2085="","",원본명단!$A2084)</f>
        <v/>
      </c>
      <c r="C2085" s="12" t="str">
        <f aca="false">IF($A2085="","",원본명단!$B2084)</f>
        <v/>
      </c>
      <c r="D2085" s="12" t="str">
        <f aca="false">IF($A2085="","",원본명단!$D2084)</f>
        <v/>
      </c>
      <c r="E2085" s="11" t="str">
        <f aca="false">IF($A2085="","",IF(원본명단!$H2084="",0,COUNTIF(원본명단!$H$3:$H$6002,원본명단!$H2084)))</f>
        <v/>
      </c>
      <c r="F2085" s="11" t="str">
        <f aca="false">IF($A2085="","",IF(원본명단!$I2084="",0,COUNTIF(원본명단!$I$3:$I$6002,원본명단!$I2084)))</f>
        <v/>
      </c>
      <c r="G2085" s="11" t="str">
        <f aca="false">IF($A2085="","",IF(원본명단!$K2084="",0,COUNTIF(원본명단!$K$3:$K$6002,원본명단!$K2084)))</f>
        <v/>
      </c>
      <c r="H2085" s="11" t="str">
        <f aca="false">IF($A2085="","",IF(MAX($E2085,$F2085,$G2085)&gt;1,"중복","-"))</f>
        <v/>
      </c>
      <c r="I2085" s="11" t="str">
        <f aca="false">IF($A2085="","",IF($H2085="-","-",IF(AND(IF(원본명단!$H2084="",TRUE(),COUNTIF(원본명단!$H$3:$H2084,원본명단!$H2084)=1),IF(원본명단!$I2084="",TRUE(),COUNTIF(원본명단!$I$3:$I2084,원본명단!$I2084)=1),IF(원본명단!$K2084="",TRUE(),COUNTIF(원본명단!$K$3:$K2084,원본명단!$K2084)=1)),"첫 건","중복 건")))</f>
        <v/>
      </c>
      <c r="J2085" s="11" t="str">
        <f aca="false">IF($A2085="","",IF($H2085="-","유지",IF($I2085="첫 건","유지","확인 필요")))</f>
        <v/>
      </c>
    </row>
    <row r="2086" customFormat="false" ht="15" hidden="false" customHeight="true" outlineLevel="0" collapsed="false">
      <c r="A2086" s="11" t="str">
        <f aca="false">IF(원본명단!$A2085="","",2083)</f>
        <v/>
      </c>
      <c r="B2086" s="12" t="str">
        <f aca="false">IF($A2086="","",원본명단!$A2085)</f>
        <v/>
      </c>
      <c r="C2086" s="12" t="str">
        <f aca="false">IF($A2086="","",원본명단!$B2085)</f>
        <v/>
      </c>
      <c r="D2086" s="12" t="str">
        <f aca="false">IF($A2086="","",원본명단!$D2085)</f>
        <v/>
      </c>
      <c r="E2086" s="11" t="str">
        <f aca="false">IF($A2086="","",IF(원본명단!$H2085="",0,COUNTIF(원본명단!$H$3:$H$6002,원본명단!$H2085)))</f>
        <v/>
      </c>
      <c r="F2086" s="11" t="str">
        <f aca="false">IF($A2086="","",IF(원본명단!$I2085="",0,COUNTIF(원본명단!$I$3:$I$6002,원본명단!$I2085)))</f>
        <v/>
      </c>
      <c r="G2086" s="11" t="str">
        <f aca="false">IF($A2086="","",IF(원본명단!$K2085="",0,COUNTIF(원본명단!$K$3:$K$6002,원본명단!$K2085)))</f>
        <v/>
      </c>
      <c r="H2086" s="11" t="str">
        <f aca="false">IF($A2086="","",IF(MAX($E2086,$F2086,$G2086)&gt;1,"중복","-"))</f>
        <v/>
      </c>
      <c r="I2086" s="11" t="str">
        <f aca="false">IF($A2086="","",IF($H2086="-","-",IF(AND(IF(원본명단!$H2085="",TRUE(),COUNTIF(원본명단!$H$3:$H2085,원본명단!$H2085)=1),IF(원본명단!$I2085="",TRUE(),COUNTIF(원본명단!$I$3:$I2085,원본명단!$I2085)=1),IF(원본명단!$K2085="",TRUE(),COUNTIF(원본명단!$K$3:$K2085,원본명단!$K2085)=1)),"첫 건","중복 건")))</f>
        <v/>
      </c>
      <c r="J2086" s="11" t="str">
        <f aca="false">IF($A2086="","",IF($H2086="-","유지",IF($I2086="첫 건","유지","확인 필요")))</f>
        <v/>
      </c>
    </row>
    <row r="2087" customFormat="false" ht="15" hidden="false" customHeight="true" outlineLevel="0" collapsed="false">
      <c r="A2087" s="11" t="str">
        <f aca="false">IF(원본명단!$A2086="","",2084)</f>
        <v/>
      </c>
      <c r="B2087" s="12" t="str">
        <f aca="false">IF($A2087="","",원본명단!$A2086)</f>
        <v/>
      </c>
      <c r="C2087" s="12" t="str">
        <f aca="false">IF($A2087="","",원본명단!$B2086)</f>
        <v/>
      </c>
      <c r="D2087" s="12" t="str">
        <f aca="false">IF($A2087="","",원본명단!$D2086)</f>
        <v/>
      </c>
      <c r="E2087" s="11" t="str">
        <f aca="false">IF($A2087="","",IF(원본명단!$H2086="",0,COUNTIF(원본명단!$H$3:$H$6002,원본명단!$H2086)))</f>
        <v/>
      </c>
      <c r="F2087" s="11" t="str">
        <f aca="false">IF($A2087="","",IF(원본명단!$I2086="",0,COUNTIF(원본명단!$I$3:$I$6002,원본명단!$I2086)))</f>
        <v/>
      </c>
      <c r="G2087" s="11" t="str">
        <f aca="false">IF($A2087="","",IF(원본명단!$K2086="",0,COUNTIF(원본명단!$K$3:$K$6002,원본명단!$K2086)))</f>
        <v/>
      </c>
      <c r="H2087" s="11" t="str">
        <f aca="false">IF($A2087="","",IF(MAX($E2087,$F2087,$G2087)&gt;1,"중복","-"))</f>
        <v/>
      </c>
      <c r="I2087" s="11" t="str">
        <f aca="false">IF($A2087="","",IF($H2087="-","-",IF(AND(IF(원본명단!$H2086="",TRUE(),COUNTIF(원본명단!$H$3:$H2086,원본명단!$H2086)=1),IF(원본명단!$I2086="",TRUE(),COUNTIF(원본명단!$I$3:$I2086,원본명단!$I2086)=1),IF(원본명단!$K2086="",TRUE(),COUNTIF(원본명단!$K$3:$K2086,원본명단!$K2086)=1)),"첫 건","중복 건")))</f>
        <v/>
      </c>
      <c r="J2087" s="11" t="str">
        <f aca="false">IF($A2087="","",IF($H2087="-","유지",IF($I2087="첫 건","유지","확인 필요")))</f>
        <v/>
      </c>
    </row>
    <row r="2088" customFormat="false" ht="15" hidden="false" customHeight="true" outlineLevel="0" collapsed="false">
      <c r="A2088" s="11" t="str">
        <f aca="false">IF(원본명단!$A2087="","",2085)</f>
        <v/>
      </c>
      <c r="B2088" s="12" t="str">
        <f aca="false">IF($A2088="","",원본명단!$A2087)</f>
        <v/>
      </c>
      <c r="C2088" s="12" t="str">
        <f aca="false">IF($A2088="","",원본명단!$B2087)</f>
        <v/>
      </c>
      <c r="D2088" s="12" t="str">
        <f aca="false">IF($A2088="","",원본명단!$D2087)</f>
        <v/>
      </c>
      <c r="E2088" s="11" t="str">
        <f aca="false">IF($A2088="","",IF(원본명단!$H2087="",0,COUNTIF(원본명단!$H$3:$H$6002,원본명단!$H2087)))</f>
        <v/>
      </c>
      <c r="F2088" s="11" t="str">
        <f aca="false">IF($A2088="","",IF(원본명단!$I2087="",0,COUNTIF(원본명단!$I$3:$I$6002,원본명단!$I2087)))</f>
        <v/>
      </c>
      <c r="G2088" s="11" t="str">
        <f aca="false">IF($A2088="","",IF(원본명단!$K2087="",0,COUNTIF(원본명단!$K$3:$K$6002,원본명단!$K2087)))</f>
        <v/>
      </c>
      <c r="H2088" s="11" t="str">
        <f aca="false">IF($A2088="","",IF(MAX($E2088,$F2088,$G2088)&gt;1,"중복","-"))</f>
        <v/>
      </c>
      <c r="I2088" s="11" t="str">
        <f aca="false">IF($A2088="","",IF($H2088="-","-",IF(AND(IF(원본명단!$H2087="",TRUE(),COUNTIF(원본명단!$H$3:$H2087,원본명단!$H2087)=1),IF(원본명단!$I2087="",TRUE(),COUNTIF(원본명단!$I$3:$I2087,원본명단!$I2087)=1),IF(원본명단!$K2087="",TRUE(),COUNTIF(원본명단!$K$3:$K2087,원본명단!$K2087)=1)),"첫 건","중복 건")))</f>
        <v/>
      </c>
      <c r="J2088" s="11" t="str">
        <f aca="false">IF($A2088="","",IF($H2088="-","유지",IF($I2088="첫 건","유지","확인 필요")))</f>
        <v/>
      </c>
    </row>
    <row r="2089" customFormat="false" ht="15" hidden="false" customHeight="true" outlineLevel="0" collapsed="false">
      <c r="A2089" s="11" t="str">
        <f aca="false">IF(원본명단!$A2088="","",2086)</f>
        <v/>
      </c>
      <c r="B2089" s="12" t="str">
        <f aca="false">IF($A2089="","",원본명단!$A2088)</f>
        <v/>
      </c>
      <c r="C2089" s="12" t="str">
        <f aca="false">IF($A2089="","",원본명단!$B2088)</f>
        <v/>
      </c>
      <c r="D2089" s="12" t="str">
        <f aca="false">IF($A2089="","",원본명단!$D2088)</f>
        <v/>
      </c>
      <c r="E2089" s="11" t="str">
        <f aca="false">IF($A2089="","",IF(원본명단!$H2088="",0,COUNTIF(원본명단!$H$3:$H$6002,원본명단!$H2088)))</f>
        <v/>
      </c>
      <c r="F2089" s="11" t="str">
        <f aca="false">IF($A2089="","",IF(원본명단!$I2088="",0,COUNTIF(원본명단!$I$3:$I$6002,원본명단!$I2088)))</f>
        <v/>
      </c>
      <c r="G2089" s="11" t="str">
        <f aca="false">IF($A2089="","",IF(원본명단!$K2088="",0,COUNTIF(원본명단!$K$3:$K$6002,원본명단!$K2088)))</f>
        <v/>
      </c>
      <c r="H2089" s="11" t="str">
        <f aca="false">IF($A2089="","",IF(MAX($E2089,$F2089,$G2089)&gt;1,"중복","-"))</f>
        <v/>
      </c>
      <c r="I2089" s="11" t="str">
        <f aca="false">IF($A2089="","",IF($H2089="-","-",IF(AND(IF(원본명단!$H2088="",TRUE(),COUNTIF(원본명단!$H$3:$H2088,원본명단!$H2088)=1),IF(원본명단!$I2088="",TRUE(),COUNTIF(원본명단!$I$3:$I2088,원본명단!$I2088)=1),IF(원본명단!$K2088="",TRUE(),COUNTIF(원본명단!$K$3:$K2088,원본명단!$K2088)=1)),"첫 건","중복 건")))</f>
        <v/>
      </c>
      <c r="J2089" s="11" t="str">
        <f aca="false">IF($A2089="","",IF($H2089="-","유지",IF($I2089="첫 건","유지","확인 필요")))</f>
        <v/>
      </c>
    </row>
    <row r="2090" customFormat="false" ht="15" hidden="false" customHeight="true" outlineLevel="0" collapsed="false">
      <c r="A2090" s="11" t="str">
        <f aca="false">IF(원본명단!$A2089="","",2087)</f>
        <v/>
      </c>
      <c r="B2090" s="12" t="str">
        <f aca="false">IF($A2090="","",원본명단!$A2089)</f>
        <v/>
      </c>
      <c r="C2090" s="12" t="str">
        <f aca="false">IF($A2090="","",원본명단!$B2089)</f>
        <v/>
      </c>
      <c r="D2090" s="12" t="str">
        <f aca="false">IF($A2090="","",원본명단!$D2089)</f>
        <v/>
      </c>
      <c r="E2090" s="11" t="str">
        <f aca="false">IF($A2090="","",IF(원본명단!$H2089="",0,COUNTIF(원본명단!$H$3:$H$6002,원본명단!$H2089)))</f>
        <v/>
      </c>
      <c r="F2090" s="11" t="str">
        <f aca="false">IF($A2090="","",IF(원본명단!$I2089="",0,COUNTIF(원본명단!$I$3:$I$6002,원본명단!$I2089)))</f>
        <v/>
      </c>
      <c r="G2090" s="11" t="str">
        <f aca="false">IF($A2090="","",IF(원본명단!$K2089="",0,COUNTIF(원본명단!$K$3:$K$6002,원본명단!$K2089)))</f>
        <v/>
      </c>
      <c r="H2090" s="11" t="str">
        <f aca="false">IF($A2090="","",IF(MAX($E2090,$F2090,$G2090)&gt;1,"중복","-"))</f>
        <v/>
      </c>
      <c r="I2090" s="11" t="str">
        <f aca="false">IF($A2090="","",IF($H2090="-","-",IF(AND(IF(원본명단!$H2089="",TRUE(),COUNTIF(원본명단!$H$3:$H2089,원본명단!$H2089)=1),IF(원본명단!$I2089="",TRUE(),COUNTIF(원본명단!$I$3:$I2089,원본명단!$I2089)=1),IF(원본명단!$K2089="",TRUE(),COUNTIF(원본명단!$K$3:$K2089,원본명단!$K2089)=1)),"첫 건","중복 건")))</f>
        <v/>
      </c>
      <c r="J2090" s="11" t="str">
        <f aca="false">IF($A2090="","",IF($H2090="-","유지",IF($I2090="첫 건","유지","확인 필요")))</f>
        <v/>
      </c>
    </row>
    <row r="2091" customFormat="false" ht="15" hidden="false" customHeight="true" outlineLevel="0" collapsed="false">
      <c r="A2091" s="11" t="str">
        <f aca="false">IF(원본명단!$A2090="","",2088)</f>
        <v/>
      </c>
      <c r="B2091" s="12" t="str">
        <f aca="false">IF($A2091="","",원본명단!$A2090)</f>
        <v/>
      </c>
      <c r="C2091" s="12" t="str">
        <f aca="false">IF($A2091="","",원본명단!$B2090)</f>
        <v/>
      </c>
      <c r="D2091" s="12" t="str">
        <f aca="false">IF($A2091="","",원본명단!$D2090)</f>
        <v/>
      </c>
      <c r="E2091" s="11" t="str">
        <f aca="false">IF($A2091="","",IF(원본명단!$H2090="",0,COUNTIF(원본명단!$H$3:$H$6002,원본명단!$H2090)))</f>
        <v/>
      </c>
      <c r="F2091" s="11" t="str">
        <f aca="false">IF($A2091="","",IF(원본명단!$I2090="",0,COUNTIF(원본명단!$I$3:$I$6002,원본명단!$I2090)))</f>
        <v/>
      </c>
      <c r="G2091" s="11" t="str">
        <f aca="false">IF($A2091="","",IF(원본명단!$K2090="",0,COUNTIF(원본명단!$K$3:$K$6002,원본명단!$K2090)))</f>
        <v/>
      </c>
      <c r="H2091" s="11" t="str">
        <f aca="false">IF($A2091="","",IF(MAX($E2091,$F2091,$G2091)&gt;1,"중복","-"))</f>
        <v/>
      </c>
      <c r="I2091" s="11" t="str">
        <f aca="false">IF($A2091="","",IF($H2091="-","-",IF(AND(IF(원본명단!$H2090="",TRUE(),COUNTIF(원본명단!$H$3:$H2090,원본명단!$H2090)=1),IF(원본명단!$I2090="",TRUE(),COUNTIF(원본명단!$I$3:$I2090,원본명단!$I2090)=1),IF(원본명단!$K2090="",TRUE(),COUNTIF(원본명단!$K$3:$K2090,원본명단!$K2090)=1)),"첫 건","중복 건")))</f>
        <v/>
      </c>
      <c r="J2091" s="11" t="str">
        <f aca="false">IF($A2091="","",IF($H2091="-","유지",IF($I2091="첫 건","유지","확인 필요")))</f>
        <v/>
      </c>
    </row>
    <row r="2092" customFormat="false" ht="15" hidden="false" customHeight="true" outlineLevel="0" collapsed="false">
      <c r="A2092" s="11" t="str">
        <f aca="false">IF(원본명단!$A2091="","",2089)</f>
        <v/>
      </c>
      <c r="B2092" s="12" t="str">
        <f aca="false">IF($A2092="","",원본명단!$A2091)</f>
        <v/>
      </c>
      <c r="C2092" s="12" t="str">
        <f aca="false">IF($A2092="","",원본명단!$B2091)</f>
        <v/>
      </c>
      <c r="D2092" s="12" t="str">
        <f aca="false">IF($A2092="","",원본명단!$D2091)</f>
        <v/>
      </c>
      <c r="E2092" s="11" t="str">
        <f aca="false">IF($A2092="","",IF(원본명단!$H2091="",0,COUNTIF(원본명단!$H$3:$H$6002,원본명단!$H2091)))</f>
        <v/>
      </c>
      <c r="F2092" s="11" t="str">
        <f aca="false">IF($A2092="","",IF(원본명단!$I2091="",0,COUNTIF(원본명단!$I$3:$I$6002,원본명단!$I2091)))</f>
        <v/>
      </c>
      <c r="G2092" s="11" t="str">
        <f aca="false">IF($A2092="","",IF(원본명단!$K2091="",0,COUNTIF(원본명단!$K$3:$K$6002,원본명단!$K2091)))</f>
        <v/>
      </c>
      <c r="H2092" s="11" t="str">
        <f aca="false">IF($A2092="","",IF(MAX($E2092,$F2092,$G2092)&gt;1,"중복","-"))</f>
        <v/>
      </c>
      <c r="I2092" s="11" t="str">
        <f aca="false">IF($A2092="","",IF($H2092="-","-",IF(AND(IF(원본명단!$H2091="",TRUE(),COUNTIF(원본명단!$H$3:$H2091,원본명단!$H2091)=1),IF(원본명단!$I2091="",TRUE(),COUNTIF(원본명단!$I$3:$I2091,원본명단!$I2091)=1),IF(원본명단!$K2091="",TRUE(),COUNTIF(원본명단!$K$3:$K2091,원본명단!$K2091)=1)),"첫 건","중복 건")))</f>
        <v/>
      </c>
      <c r="J2092" s="11" t="str">
        <f aca="false">IF($A2092="","",IF($H2092="-","유지",IF($I2092="첫 건","유지","확인 필요")))</f>
        <v/>
      </c>
    </row>
    <row r="2093" customFormat="false" ht="15" hidden="false" customHeight="true" outlineLevel="0" collapsed="false">
      <c r="A2093" s="11" t="str">
        <f aca="false">IF(원본명단!$A2092="","",2090)</f>
        <v/>
      </c>
      <c r="B2093" s="12" t="str">
        <f aca="false">IF($A2093="","",원본명단!$A2092)</f>
        <v/>
      </c>
      <c r="C2093" s="12" t="str">
        <f aca="false">IF($A2093="","",원본명단!$B2092)</f>
        <v/>
      </c>
      <c r="D2093" s="12" t="str">
        <f aca="false">IF($A2093="","",원본명단!$D2092)</f>
        <v/>
      </c>
      <c r="E2093" s="11" t="str">
        <f aca="false">IF($A2093="","",IF(원본명단!$H2092="",0,COUNTIF(원본명단!$H$3:$H$6002,원본명단!$H2092)))</f>
        <v/>
      </c>
      <c r="F2093" s="11" t="str">
        <f aca="false">IF($A2093="","",IF(원본명단!$I2092="",0,COUNTIF(원본명단!$I$3:$I$6002,원본명단!$I2092)))</f>
        <v/>
      </c>
      <c r="G2093" s="11" t="str">
        <f aca="false">IF($A2093="","",IF(원본명단!$K2092="",0,COUNTIF(원본명단!$K$3:$K$6002,원본명단!$K2092)))</f>
        <v/>
      </c>
      <c r="H2093" s="11" t="str">
        <f aca="false">IF($A2093="","",IF(MAX($E2093,$F2093,$G2093)&gt;1,"중복","-"))</f>
        <v/>
      </c>
      <c r="I2093" s="11" t="str">
        <f aca="false">IF($A2093="","",IF($H2093="-","-",IF(AND(IF(원본명단!$H2092="",TRUE(),COUNTIF(원본명단!$H$3:$H2092,원본명단!$H2092)=1),IF(원본명단!$I2092="",TRUE(),COUNTIF(원본명단!$I$3:$I2092,원본명단!$I2092)=1),IF(원본명단!$K2092="",TRUE(),COUNTIF(원본명단!$K$3:$K2092,원본명단!$K2092)=1)),"첫 건","중복 건")))</f>
        <v/>
      </c>
      <c r="J2093" s="11" t="str">
        <f aca="false">IF($A2093="","",IF($H2093="-","유지",IF($I2093="첫 건","유지","확인 필요")))</f>
        <v/>
      </c>
    </row>
    <row r="2094" customFormat="false" ht="15" hidden="false" customHeight="true" outlineLevel="0" collapsed="false">
      <c r="A2094" s="11" t="str">
        <f aca="false">IF(원본명단!$A2093="","",2091)</f>
        <v/>
      </c>
      <c r="B2094" s="12" t="str">
        <f aca="false">IF($A2094="","",원본명단!$A2093)</f>
        <v/>
      </c>
      <c r="C2094" s="12" t="str">
        <f aca="false">IF($A2094="","",원본명단!$B2093)</f>
        <v/>
      </c>
      <c r="D2094" s="12" t="str">
        <f aca="false">IF($A2094="","",원본명단!$D2093)</f>
        <v/>
      </c>
      <c r="E2094" s="11" t="str">
        <f aca="false">IF($A2094="","",IF(원본명단!$H2093="",0,COUNTIF(원본명단!$H$3:$H$6002,원본명단!$H2093)))</f>
        <v/>
      </c>
      <c r="F2094" s="11" t="str">
        <f aca="false">IF($A2094="","",IF(원본명단!$I2093="",0,COUNTIF(원본명단!$I$3:$I$6002,원본명단!$I2093)))</f>
        <v/>
      </c>
      <c r="G2094" s="11" t="str">
        <f aca="false">IF($A2094="","",IF(원본명단!$K2093="",0,COUNTIF(원본명단!$K$3:$K$6002,원본명단!$K2093)))</f>
        <v/>
      </c>
      <c r="H2094" s="11" t="str">
        <f aca="false">IF($A2094="","",IF(MAX($E2094,$F2094,$G2094)&gt;1,"중복","-"))</f>
        <v/>
      </c>
      <c r="I2094" s="11" t="str">
        <f aca="false">IF($A2094="","",IF($H2094="-","-",IF(AND(IF(원본명단!$H2093="",TRUE(),COUNTIF(원본명단!$H$3:$H2093,원본명단!$H2093)=1),IF(원본명단!$I2093="",TRUE(),COUNTIF(원본명단!$I$3:$I2093,원본명단!$I2093)=1),IF(원본명단!$K2093="",TRUE(),COUNTIF(원본명단!$K$3:$K2093,원본명단!$K2093)=1)),"첫 건","중복 건")))</f>
        <v/>
      </c>
      <c r="J2094" s="11" t="str">
        <f aca="false">IF($A2094="","",IF($H2094="-","유지",IF($I2094="첫 건","유지","확인 필요")))</f>
        <v/>
      </c>
    </row>
    <row r="2095" customFormat="false" ht="15" hidden="false" customHeight="true" outlineLevel="0" collapsed="false">
      <c r="A2095" s="11" t="str">
        <f aca="false">IF(원본명단!$A2094="","",2092)</f>
        <v/>
      </c>
      <c r="B2095" s="12" t="str">
        <f aca="false">IF($A2095="","",원본명단!$A2094)</f>
        <v/>
      </c>
      <c r="C2095" s="12" t="str">
        <f aca="false">IF($A2095="","",원본명단!$B2094)</f>
        <v/>
      </c>
      <c r="D2095" s="12" t="str">
        <f aca="false">IF($A2095="","",원본명단!$D2094)</f>
        <v/>
      </c>
      <c r="E2095" s="11" t="str">
        <f aca="false">IF($A2095="","",IF(원본명단!$H2094="",0,COUNTIF(원본명단!$H$3:$H$6002,원본명단!$H2094)))</f>
        <v/>
      </c>
      <c r="F2095" s="11" t="str">
        <f aca="false">IF($A2095="","",IF(원본명단!$I2094="",0,COUNTIF(원본명단!$I$3:$I$6002,원본명단!$I2094)))</f>
        <v/>
      </c>
      <c r="G2095" s="11" t="str">
        <f aca="false">IF($A2095="","",IF(원본명단!$K2094="",0,COUNTIF(원본명단!$K$3:$K$6002,원본명단!$K2094)))</f>
        <v/>
      </c>
      <c r="H2095" s="11" t="str">
        <f aca="false">IF($A2095="","",IF(MAX($E2095,$F2095,$G2095)&gt;1,"중복","-"))</f>
        <v/>
      </c>
      <c r="I2095" s="11" t="str">
        <f aca="false">IF($A2095="","",IF($H2095="-","-",IF(AND(IF(원본명단!$H2094="",TRUE(),COUNTIF(원본명단!$H$3:$H2094,원본명단!$H2094)=1),IF(원본명단!$I2094="",TRUE(),COUNTIF(원본명단!$I$3:$I2094,원본명단!$I2094)=1),IF(원본명단!$K2094="",TRUE(),COUNTIF(원본명단!$K$3:$K2094,원본명단!$K2094)=1)),"첫 건","중복 건")))</f>
        <v/>
      </c>
      <c r="J2095" s="11" t="str">
        <f aca="false">IF($A2095="","",IF($H2095="-","유지",IF($I2095="첫 건","유지","확인 필요")))</f>
        <v/>
      </c>
    </row>
    <row r="2096" customFormat="false" ht="15" hidden="false" customHeight="true" outlineLevel="0" collapsed="false">
      <c r="A2096" s="11" t="str">
        <f aca="false">IF(원본명단!$A2095="","",2093)</f>
        <v/>
      </c>
      <c r="B2096" s="12" t="str">
        <f aca="false">IF($A2096="","",원본명단!$A2095)</f>
        <v/>
      </c>
      <c r="C2096" s="12" t="str">
        <f aca="false">IF($A2096="","",원본명단!$B2095)</f>
        <v/>
      </c>
      <c r="D2096" s="12" t="str">
        <f aca="false">IF($A2096="","",원본명단!$D2095)</f>
        <v/>
      </c>
      <c r="E2096" s="11" t="str">
        <f aca="false">IF($A2096="","",IF(원본명단!$H2095="",0,COUNTIF(원본명단!$H$3:$H$6002,원본명단!$H2095)))</f>
        <v/>
      </c>
      <c r="F2096" s="11" t="str">
        <f aca="false">IF($A2096="","",IF(원본명단!$I2095="",0,COUNTIF(원본명단!$I$3:$I$6002,원본명단!$I2095)))</f>
        <v/>
      </c>
      <c r="G2096" s="11" t="str">
        <f aca="false">IF($A2096="","",IF(원본명단!$K2095="",0,COUNTIF(원본명단!$K$3:$K$6002,원본명단!$K2095)))</f>
        <v/>
      </c>
      <c r="H2096" s="11" t="str">
        <f aca="false">IF($A2096="","",IF(MAX($E2096,$F2096,$G2096)&gt;1,"중복","-"))</f>
        <v/>
      </c>
      <c r="I2096" s="11" t="str">
        <f aca="false">IF($A2096="","",IF($H2096="-","-",IF(AND(IF(원본명단!$H2095="",TRUE(),COUNTIF(원본명단!$H$3:$H2095,원본명단!$H2095)=1),IF(원본명단!$I2095="",TRUE(),COUNTIF(원본명단!$I$3:$I2095,원본명단!$I2095)=1),IF(원본명단!$K2095="",TRUE(),COUNTIF(원본명단!$K$3:$K2095,원본명단!$K2095)=1)),"첫 건","중복 건")))</f>
        <v/>
      </c>
      <c r="J2096" s="11" t="str">
        <f aca="false">IF($A2096="","",IF($H2096="-","유지",IF($I2096="첫 건","유지","확인 필요")))</f>
        <v/>
      </c>
    </row>
    <row r="2097" customFormat="false" ht="15" hidden="false" customHeight="true" outlineLevel="0" collapsed="false">
      <c r="A2097" s="11" t="str">
        <f aca="false">IF(원본명단!$A2096="","",2094)</f>
        <v/>
      </c>
      <c r="B2097" s="12" t="str">
        <f aca="false">IF($A2097="","",원본명단!$A2096)</f>
        <v/>
      </c>
      <c r="C2097" s="12" t="str">
        <f aca="false">IF($A2097="","",원본명단!$B2096)</f>
        <v/>
      </c>
      <c r="D2097" s="12" t="str">
        <f aca="false">IF($A2097="","",원본명단!$D2096)</f>
        <v/>
      </c>
      <c r="E2097" s="11" t="str">
        <f aca="false">IF($A2097="","",IF(원본명단!$H2096="",0,COUNTIF(원본명단!$H$3:$H$6002,원본명단!$H2096)))</f>
        <v/>
      </c>
      <c r="F2097" s="11" t="str">
        <f aca="false">IF($A2097="","",IF(원본명단!$I2096="",0,COUNTIF(원본명단!$I$3:$I$6002,원본명단!$I2096)))</f>
        <v/>
      </c>
      <c r="G2097" s="11" t="str">
        <f aca="false">IF($A2097="","",IF(원본명단!$K2096="",0,COUNTIF(원본명단!$K$3:$K$6002,원본명단!$K2096)))</f>
        <v/>
      </c>
      <c r="H2097" s="11" t="str">
        <f aca="false">IF($A2097="","",IF(MAX($E2097,$F2097,$G2097)&gt;1,"중복","-"))</f>
        <v/>
      </c>
      <c r="I2097" s="11" t="str">
        <f aca="false">IF($A2097="","",IF($H2097="-","-",IF(AND(IF(원본명단!$H2096="",TRUE(),COUNTIF(원본명단!$H$3:$H2096,원본명단!$H2096)=1),IF(원본명단!$I2096="",TRUE(),COUNTIF(원본명단!$I$3:$I2096,원본명단!$I2096)=1),IF(원본명단!$K2096="",TRUE(),COUNTIF(원본명단!$K$3:$K2096,원본명단!$K2096)=1)),"첫 건","중복 건")))</f>
        <v/>
      </c>
      <c r="J2097" s="11" t="str">
        <f aca="false">IF($A2097="","",IF($H2097="-","유지",IF($I2097="첫 건","유지","확인 필요")))</f>
        <v/>
      </c>
    </row>
    <row r="2098" customFormat="false" ht="15" hidden="false" customHeight="true" outlineLevel="0" collapsed="false">
      <c r="A2098" s="11" t="str">
        <f aca="false">IF(원본명단!$A2097="","",2095)</f>
        <v/>
      </c>
      <c r="B2098" s="12" t="str">
        <f aca="false">IF($A2098="","",원본명단!$A2097)</f>
        <v/>
      </c>
      <c r="C2098" s="12" t="str">
        <f aca="false">IF($A2098="","",원본명단!$B2097)</f>
        <v/>
      </c>
      <c r="D2098" s="12" t="str">
        <f aca="false">IF($A2098="","",원본명단!$D2097)</f>
        <v/>
      </c>
      <c r="E2098" s="11" t="str">
        <f aca="false">IF($A2098="","",IF(원본명단!$H2097="",0,COUNTIF(원본명단!$H$3:$H$6002,원본명단!$H2097)))</f>
        <v/>
      </c>
      <c r="F2098" s="11" t="str">
        <f aca="false">IF($A2098="","",IF(원본명단!$I2097="",0,COUNTIF(원본명단!$I$3:$I$6002,원본명단!$I2097)))</f>
        <v/>
      </c>
      <c r="G2098" s="11" t="str">
        <f aca="false">IF($A2098="","",IF(원본명단!$K2097="",0,COUNTIF(원본명단!$K$3:$K$6002,원본명단!$K2097)))</f>
        <v/>
      </c>
      <c r="H2098" s="11" t="str">
        <f aca="false">IF($A2098="","",IF(MAX($E2098,$F2098,$G2098)&gt;1,"중복","-"))</f>
        <v/>
      </c>
      <c r="I2098" s="11" t="str">
        <f aca="false">IF($A2098="","",IF($H2098="-","-",IF(AND(IF(원본명단!$H2097="",TRUE(),COUNTIF(원본명단!$H$3:$H2097,원본명단!$H2097)=1),IF(원본명단!$I2097="",TRUE(),COUNTIF(원본명단!$I$3:$I2097,원본명단!$I2097)=1),IF(원본명단!$K2097="",TRUE(),COUNTIF(원본명단!$K$3:$K2097,원본명단!$K2097)=1)),"첫 건","중복 건")))</f>
        <v/>
      </c>
      <c r="J2098" s="11" t="str">
        <f aca="false">IF($A2098="","",IF($H2098="-","유지",IF($I2098="첫 건","유지","확인 필요")))</f>
        <v/>
      </c>
    </row>
    <row r="2099" customFormat="false" ht="15" hidden="false" customHeight="true" outlineLevel="0" collapsed="false">
      <c r="A2099" s="11" t="str">
        <f aca="false">IF(원본명단!$A2098="","",2096)</f>
        <v/>
      </c>
      <c r="B2099" s="12" t="str">
        <f aca="false">IF($A2099="","",원본명단!$A2098)</f>
        <v/>
      </c>
      <c r="C2099" s="12" t="str">
        <f aca="false">IF($A2099="","",원본명단!$B2098)</f>
        <v/>
      </c>
      <c r="D2099" s="12" t="str">
        <f aca="false">IF($A2099="","",원본명단!$D2098)</f>
        <v/>
      </c>
      <c r="E2099" s="11" t="str">
        <f aca="false">IF($A2099="","",IF(원본명단!$H2098="",0,COUNTIF(원본명단!$H$3:$H$6002,원본명단!$H2098)))</f>
        <v/>
      </c>
      <c r="F2099" s="11" t="str">
        <f aca="false">IF($A2099="","",IF(원본명단!$I2098="",0,COUNTIF(원본명단!$I$3:$I$6002,원본명단!$I2098)))</f>
        <v/>
      </c>
      <c r="G2099" s="11" t="str">
        <f aca="false">IF($A2099="","",IF(원본명단!$K2098="",0,COUNTIF(원본명단!$K$3:$K$6002,원본명단!$K2098)))</f>
        <v/>
      </c>
      <c r="H2099" s="11" t="str">
        <f aca="false">IF($A2099="","",IF(MAX($E2099,$F2099,$G2099)&gt;1,"중복","-"))</f>
        <v/>
      </c>
      <c r="I2099" s="11" t="str">
        <f aca="false">IF($A2099="","",IF($H2099="-","-",IF(AND(IF(원본명단!$H2098="",TRUE(),COUNTIF(원본명단!$H$3:$H2098,원본명단!$H2098)=1),IF(원본명단!$I2098="",TRUE(),COUNTIF(원본명단!$I$3:$I2098,원본명단!$I2098)=1),IF(원본명단!$K2098="",TRUE(),COUNTIF(원본명단!$K$3:$K2098,원본명단!$K2098)=1)),"첫 건","중복 건")))</f>
        <v/>
      </c>
      <c r="J2099" s="11" t="str">
        <f aca="false">IF($A2099="","",IF($H2099="-","유지",IF($I2099="첫 건","유지","확인 필요")))</f>
        <v/>
      </c>
    </row>
    <row r="2100" customFormat="false" ht="15" hidden="false" customHeight="true" outlineLevel="0" collapsed="false">
      <c r="A2100" s="11" t="str">
        <f aca="false">IF(원본명단!$A2099="","",2097)</f>
        <v/>
      </c>
      <c r="B2100" s="12" t="str">
        <f aca="false">IF($A2100="","",원본명단!$A2099)</f>
        <v/>
      </c>
      <c r="C2100" s="12" t="str">
        <f aca="false">IF($A2100="","",원본명단!$B2099)</f>
        <v/>
      </c>
      <c r="D2100" s="12" t="str">
        <f aca="false">IF($A2100="","",원본명단!$D2099)</f>
        <v/>
      </c>
      <c r="E2100" s="11" t="str">
        <f aca="false">IF($A2100="","",IF(원본명단!$H2099="",0,COUNTIF(원본명단!$H$3:$H$6002,원본명단!$H2099)))</f>
        <v/>
      </c>
      <c r="F2100" s="11" t="str">
        <f aca="false">IF($A2100="","",IF(원본명단!$I2099="",0,COUNTIF(원본명단!$I$3:$I$6002,원본명단!$I2099)))</f>
        <v/>
      </c>
      <c r="G2100" s="11" t="str">
        <f aca="false">IF($A2100="","",IF(원본명단!$K2099="",0,COUNTIF(원본명단!$K$3:$K$6002,원본명단!$K2099)))</f>
        <v/>
      </c>
      <c r="H2100" s="11" t="str">
        <f aca="false">IF($A2100="","",IF(MAX($E2100,$F2100,$G2100)&gt;1,"중복","-"))</f>
        <v/>
      </c>
      <c r="I2100" s="11" t="str">
        <f aca="false">IF($A2100="","",IF($H2100="-","-",IF(AND(IF(원본명단!$H2099="",TRUE(),COUNTIF(원본명단!$H$3:$H2099,원본명단!$H2099)=1),IF(원본명단!$I2099="",TRUE(),COUNTIF(원본명단!$I$3:$I2099,원본명단!$I2099)=1),IF(원본명단!$K2099="",TRUE(),COUNTIF(원본명단!$K$3:$K2099,원본명단!$K2099)=1)),"첫 건","중복 건")))</f>
        <v/>
      </c>
      <c r="J2100" s="11" t="str">
        <f aca="false">IF($A2100="","",IF($H2100="-","유지",IF($I2100="첫 건","유지","확인 필요")))</f>
        <v/>
      </c>
    </row>
    <row r="2101" customFormat="false" ht="15" hidden="false" customHeight="true" outlineLevel="0" collapsed="false">
      <c r="A2101" s="11" t="str">
        <f aca="false">IF(원본명단!$A2100="","",2098)</f>
        <v/>
      </c>
      <c r="B2101" s="12" t="str">
        <f aca="false">IF($A2101="","",원본명단!$A2100)</f>
        <v/>
      </c>
      <c r="C2101" s="12" t="str">
        <f aca="false">IF($A2101="","",원본명단!$B2100)</f>
        <v/>
      </c>
      <c r="D2101" s="12" t="str">
        <f aca="false">IF($A2101="","",원본명단!$D2100)</f>
        <v/>
      </c>
      <c r="E2101" s="11" t="str">
        <f aca="false">IF($A2101="","",IF(원본명단!$H2100="",0,COUNTIF(원본명단!$H$3:$H$6002,원본명단!$H2100)))</f>
        <v/>
      </c>
      <c r="F2101" s="11" t="str">
        <f aca="false">IF($A2101="","",IF(원본명단!$I2100="",0,COUNTIF(원본명단!$I$3:$I$6002,원본명단!$I2100)))</f>
        <v/>
      </c>
      <c r="G2101" s="11" t="str">
        <f aca="false">IF($A2101="","",IF(원본명단!$K2100="",0,COUNTIF(원본명단!$K$3:$K$6002,원본명단!$K2100)))</f>
        <v/>
      </c>
      <c r="H2101" s="11" t="str">
        <f aca="false">IF($A2101="","",IF(MAX($E2101,$F2101,$G2101)&gt;1,"중복","-"))</f>
        <v/>
      </c>
      <c r="I2101" s="11" t="str">
        <f aca="false">IF($A2101="","",IF($H2101="-","-",IF(AND(IF(원본명단!$H2100="",TRUE(),COUNTIF(원본명단!$H$3:$H2100,원본명단!$H2100)=1),IF(원본명단!$I2100="",TRUE(),COUNTIF(원본명단!$I$3:$I2100,원본명단!$I2100)=1),IF(원본명단!$K2100="",TRUE(),COUNTIF(원본명단!$K$3:$K2100,원본명단!$K2100)=1)),"첫 건","중복 건")))</f>
        <v/>
      </c>
      <c r="J2101" s="11" t="str">
        <f aca="false">IF($A2101="","",IF($H2101="-","유지",IF($I2101="첫 건","유지","확인 필요")))</f>
        <v/>
      </c>
    </row>
    <row r="2102" customFormat="false" ht="15" hidden="false" customHeight="true" outlineLevel="0" collapsed="false">
      <c r="A2102" s="11" t="str">
        <f aca="false">IF(원본명단!$A2101="","",2099)</f>
        <v/>
      </c>
      <c r="B2102" s="12" t="str">
        <f aca="false">IF($A2102="","",원본명단!$A2101)</f>
        <v/>
      </c>
      <c r="C2102" s="12" t="str">
        <f aca="false">IF($A2102="","",원본명단!$B2101)</f>
        <v/>
      </c>
      <c r="D2102" s="12" t="str">
        <f aca="false">IF($A2102="","",원본명단!$D2101)</f>
        <v/>
      </c>
      <c r="E2102" s="11" t="str">
        <f aca="false">IF($A2102="","",IF(원본명단!$H2101="",0,COUNTIF(원본명단!$H$3:$H$6002,원본명단!$H2101)))</f>
        <v/>
      </c>
      <c r="F2102" s="11" t="str">
        <f aca="false">IF($A2102="","",IF(원본명단!$I2101="",0,COUNTIF(원본명단!$I$3:$I$6002,원본명단!$I2101)))</f>
        <v/>
      </c>
      <c r="G2102" s="11" t="str">
        <f aca="false">IF($A2102="","",IF(원본명단!$K2101="",0,COUNTIF(원본명단!$K$3:$K$6002,원본명단!$K2101)))</f>
        <v/>
      </c>
      <c r="H2102" s="11" t="str">
        <f aca="false">IF($A2102="","",IF(MAX($E2102,$F2102,$G2102)&gt;1,"중복","-"))</f>
        <v/>
      </c>
      <c r="I2102" s="11" t="str">
        <f aca="false">IF($A2102="","",IF($H2102="-","-",IF(AND(IF(원본명단!$H2101="",TRUE(),COUNTIF(원본명단!$H$3:$H2101,원본명단!$H2101)=1),IF(원본명단!$I2101="",TRUE(),COUNTIF(원본명단!$I$3:$I2101,원본명단!$I2101)=1),IF(원본명단!$K2101="",TRUE(),COUNTIF(원본명단!$K$3:$K2101,원본명단!$K2101)=1)),"첫 건","중복 건")))</f>
        <v/>
      </c>
      <c r="J2102" s="11" t="str">
        <f aca="false">IF($A2102="","",IF($H2102="-","유지",IF($I2102="첫 건","유지","확인 필요")))</f>
        <v/>
      </c>
    </row>
    <row r="2103" customFormat="false" ht="15" hidden="false" customHeight="true" outlineLevel="0" collapsed="false">
      <c r="A2103" s="11" t="str">
        <f aca="false">IF(원본명단!$A2102="","",2100)</f>
        <v/>
      </c>
      <c r="B2103" s="12" t="str">
        <f aca="false">IF($A2103="","",원본명단!$A2102)</f>
        <v/>
      </c>
      <c r="C2103" s="12" t="str">
        <f aca="false">IF($A2103="","",원본명단!$B2102)</f>
        <v/>
      </c>
      <c r="D2103" s="12" t="str">
        <f aca="false">IF($A2103="","",원본명단!$D2102)</f>
        <v/>
      </c>
      <c r="E2103" s="11" t="str">
        <f aca="false">IF($A2103="","",IF(원본명단!$H2102="",0,COUNTIF(원본명단!$H$3:$H$6002,원본명단!$H2102)))</f>
        <v/>
      </c>
      <c r="F2103" s="11" t="str">
        <f aca="false">IF($A2103="","",IF(원본명단!$I2102="",0,COUNTIF(원본명단!$I$3:$I$6002,원본명단!$I2102)))</f>
        <v/>
      </c>
      <c r="G2103" s="11" t="str">
        <f aca="false">IF($A2103="","",IF(원본명단!$K2102="",0,COUNTIF(원본명단!$K$3:$K$6002,원본명단!$K2102)))</f>
        <v/>
      </c>
      <c r="H2103" s="11" t="str">
        <f aca="false">IF($A2103="","",IF(MAX($E2103,$F2103,$G2103)&gt;1,"중복","-"))</f>
        <v/>
      </c>
      <c r="I2103" s="11" t="str">
        <f aca="false">IF($A2103="","",IF($H2103="-","-",IF(AND(IF(원본명단!$H2102="",TRUE(),COUNTIF(원본명단!$H$3:$H2102,원본명단!$H2102)=1),IF(원본명단!$I2102="",TRUE(),COUNTIF(원본명단!$I$3:$I2102,원본명단!$I2102)=1),IF(원본명단!$K2102="",TRUE(),COUNTIF(원본명단!$K$3:$K2102,원본명단!$K2102)=1)),"첫 건","중복 건")))</f>
        <v/>
      </c>
      <c r="J2103" s="11" t="str">
        <f aca="false">IF($A2103="","",IF($H2103="-","유지",IF($I2103="첫 건","유지","확인 필요")))</f>
        <v/>
      </c>
    </row>
    <row r="2104" customFormat="false" ht="15" hidden="false" customHeight="true" outlineLevel="0" collapsed="false">
      <c r="A2104" s="11" t="str">
        <f aca="false">IF(원본명단!$A2103="","",2101)</f>
        <v/>
      </c>
      <c r="B2104" s="12" t="str">
        <f aca="false">IF($A2104="","",원본명단!$A2103)</f>
        <v/>
      </c>
      <c r="C2104" s="12" t="str">
        <f aca="false">IF($A2104="","",원본명단!$B2103)</f>
        <v/>
      </c>
      <c r="D2104" s="12" t="str">
        <f aca="false">IF($A2104="","",원본명단!$D2103)</f>
        <v/>
      </c>
      <c r="E2104" s="11" t="str">
        <f aca="false">IF($A2104="","",IF(원본명단!$H2103="",0,COUNTIF(원본명단!$H$3:$H$6002,원본명단!$H2103)))</f>
        <v/>
      </c>
      <c r="F2104" s="11" t="str">
        <f aca="false">IF($A2104="","",IF(원본명단!$I2103="",0,COUNTIF(원본명단!$I$3:$I$6002,원본명단!$I2103)))</f>
        <v/>
      </c>
      <c r="G2104" s="11" t="str">
        <f aca="false">IF($A2104="","",IF(원본명단!$K2103="",0,COUNTIF(원본명단!$K$3:$K$6002,원본명단!$K2103)))</f>
        <v/>
      </c>
      <c r="H2104" s="11" t="str">
        <f aca="false">IF($A2104="","",IF(MAX($E2104,$F2104,$G2104)&gt;1,"중복","-"))</f>
        <v/>
      </c>
      <c r="I2104" s="11" t="str">
        <f aca="false">IF($A2104="","",IF($H2104="-","-",IF(AND(IF(원본명단!$H2103="",TRUE(),COUNTIF(원본명단!$H$3:$H2103,원본명단!$H2103)=1),IF(원본명단!$I2103="",TRUE(),COUNTIF(원본명단!$I$3:$I2103,원본명단!$I2103)=1),IF(원본명단!$K2103="",TRUE(),COUNTIF(원본명단!$K$3:$K2103,원본명단!$K2103)=1)),"첫 건","중복 건")))</f>
        <v/>
      </c>
      <c r="J2104" s="11" t="str">
        <f aca="false">IF($A2104="","",IF($H2104="-","유지",IF($I2104="첫 건","유지","확인 필요")))</f>
        <v/>
      </c>
    </row>
    <row r="2105" customFormat="false" ht="15" hidden="false" customHeight="true" outlineLevel="0" collapsed="false">
      <c r="A2105" s="11" t="str">
        <f aca="false">IF(원본명단!$A2104="","",2102)</f>
        <v/>
      </c>
      <c r="B2105" s="12" t="str">
        <f aca="false">IF($A2105="","",원본명단!$A2104)</f>
        <v/>
      </c>
      <c r="C2105" s="12" t="str">
        <f aca="false">IF($A2105="","",원본명단!$B2104)</f>
        <v/>
      </c>
      <c r="D2105" s="12" t="str">
        <f aca="false">IF($A2105="","",원본명단!$D2104)</f>
        <v/>
      </c>
      <c r="E2105" s="11" t="str">
        <f aca="false">IF($A2105="","",IF(원본명단!$H2104="",0,COUNTIF(원본명단!$H$3:$H$6002,원본명단!$H2104)))</f>
        <v/>
      </c>
      <c r="F2105" s="11" t="str">
        <f aca="false">IF($A2105="","",IF(원본명단!$I2104="",0,COUNTIF(원본명단!$I$3:$I$6002,원본명단!$I2104)))</f>
        <v/>
      </c>
      <c r="G2105" s="11" t="str">
        <f aca="false">IF($A2105="","",IF(원본명단!$K2104="",0,COUNTIF(원본명단!$K$3:$K$6002,원본명단!$K2104)))</f>
        <v/>
      </c>
      <c r="H2105" s="11" t="str">
        <f aca="false">IF($A2105="","",IF(MAX($E2105,$F2105,$G2105)&gt;1,"중복","-"))</f>
        <v/>
      </c>
      <c r="I2105" s="11" t="str">
        <f aca="false">IF($A2105="","",IF($H2105="-","-",IF(AND(IF(원본명단!$H2104="",TRUE(),COUNTIF(원본명단!$H$3:$H2104,원본명단!$H2104)=1),IF(원본명단!$I2104="",TRUE(),COUNTIF(원본명단!$I$3:$I2104,원본명단!$I2104)=1),IF(원본명단!$K2104="",TRUE(),COUNTIF(원본명단!$K$3:$K2104,원본명단!$K2104)=1)),"첫 건","중복 건")))</f>
        <v/>
      </c>
      <c r="J2105" s="11" t="str">
        <f aca="false">IF($A2105="","",IF($H2105="-","유지",IF($I2105="첫 건","유지","확인 필요")))</f>
        <v/>
      </c>
    </row>
    <row r="2106" customFormat="false" ht="15" hidden="false" customHeight="true" outlineLevel="0" collapsed="false">
      <c r="A2106" s="11" t="str">
        <f aca="false">IF(원본명단!$A2105="","",2103)</f>
        <v/>
      </c>
      <c r="B2106" s="12" t="str">
        <f aca="false">IF($A2106="","",원본명단!$A2105)</f>
        <v/>
      </c>
      <c r="C2106" s="12" t="str">
        <f aca="false">IF($A2106="","",원본명단!$B2105)</f>
        <v/>
      </c>
      <c r="D2106" s="12" t="str">
        <f aca="false">IF($A2106="","",원본명단!$D2105)</f>
        <v/>
      </c>
      <c r="E2106" s="11" t="str">
        <f aca="false">IF($A2106="","",IF(원본명단!$H2105="",0,COUNTIF(원본명단!$H$3:$H$6002,원본명단!$H2105)))</f>
        <v/>
      </c>
      <c r="F2106" s="11" t="str">
        <f aca="false">IF($A2106="","",IF(원본명단!$I2105="",0,COUNTIF(원본명단!$I$3:$I$6002,원본명단!$I2105)))</f>
        <v/>
      </c>
      <c r="G2106" s="11" t="str">
        <f aca="false">IF($A2106="","",IF(원본명단!$K2105="",0,COUNTIF(원본명단!$K$3:$K$6002,원본명단!$K2105)))</f>
        <v/>
      </c>
      <c r="H2106" s="11" t="str">
        <f aca="false">IF($A2106="","",IF(MAX($E2106,$F2106,$G2106)&gt;1,"중복","-"))</f>
        <v/>
      </c>
      <c r="I2106" s="11" t="str">
        <f aca="false">IF($A2106="","",IF($H2106="-","-",IF(AND(IF(원본명단!$H2105="",TRUE(),COUNTIF(원본명단!$H$3:$H2105,원본명단!$H2105)=1),IF(원본명단!$I2105="",TRUE(),COUNTIF(원본명단!$I$3:$I2105,원본명단!$I2105)=1),IF(원본명단!$K2105="",TRUE(),COUNTIF(원본명단!$K$3:$K2105,원본명단!$K2105)=1)),"첫 건","중복 건")))</f>
        <v/>
      </c>
      <c r="J2106" s="11" t="str">
        <f aca="false">IF($A2106="","",IF($H2106="-","유지",IF($I2106="첫 건","유지","확인 필요")))</f>
        <v/>
      </c>
    </row>
    <row r="2107" customFormat="false" ht="15" hidden="false" customHeight="true" outlineLevel="0" collapsed="false">
      <c r="A2107" s="11" t="str">
        <f aca="false">IF(원본명단!$A2106="","",2104)</f>
        <v/>
      </c>
      <c r="B2107" s="12" t="str">
        <f aca="false">IF($A2107="","",원본명단!$A2106)</f>
        <v/>
      </c>
      <c r="C2107" s="12" t="str">
        <f aca="false">IF($A2107="","",원본명단!$B2106)</f>
        <v/>
      </c>
      <c r="D2107" s="12" t="str">
        <f aca="false">IF($A2107="","",원본명단!$D2106)</f>
        <v/>
      </c>
      <c r="E2107" s="11" t="str">
        <f aca="false">IF($A2107="","",IF(원본명단!$H2106="",0,COUNTIF(원본명단!$H$3:$H$6002,원본명단!$H2106)))</f>
        <v/>
      </c>
      <c r="F2107" s="11" t="str">
        <f aca="false">IF($A2107="","",IF(원본명단!$I2106="",0,COUNTIF(원본명단!$I$3:$I$6002,원본명단!$I2106)))</f>
        <v/>
      </c>
      <c r="G2107" s="11" t="str">
        <f aca="false">IF($A2107="","",IF(원본명단!$K2106="",0,COUNTIF(원본명단!$K$3:$K$6002,원본명단!$K2106)))</f>
        <v/>
      </c>
      <c r="H2107" s="11" t="str">
        <f aca="false">IF($A2107="","",IF(MAX($E2107,$F2107,$G2107)&gt;1,"중복","-"))</f>
        <v/>
      </c>
      <c r="I2107" s="11" t="str">
        <f aca="false">IF($A2107="","",IF($H2107="-","-",IF(AND(IF(원본명단!$H2106="",TRUE(),COUNTIF(원본명단!$H$3:$H2106,원본명단!$H2106)=1),IF(원본명단!$I2106="",TRUE(),COUNTIF(원본명단!$I$3:$I2106,원본명단!$I2106)=1),IF(원본명단!$K2106="",TRUE(),COUNTIF(원본명단!$K$3:$K2106,원본명단!$K2106)=1)),"첫 건","중복 건")))</f>
        <v/>
      </c>
      <c r="J2107" s="11" t="str">
        <f aca="false">IF($A2107="","",IF($H2107="-","유지",IF($I2107="첫 건","유지","확인 필요")))</f>
        <v/>
      </c>
    </row>
    <row r="2108" customFormat="false" ht="15" hidden="false" customHeight="true" outlineLevel="0" collapsed="false">
      <c r="A2108" s="11" t="str">
        <f aca="false">IF(원본명단!$A2107="","",2105)</f>
        <v/>
      </c>
      <c r="B2108" s="12" t="str">
        <f aca="false">IF($A2108="","",원본명단!$A2107)</f>
        <v/>
      </c>
      <c r="C2108" s="12" t="str">
        <f aca="false">IF($A2108="","",원본명단!$B2107)</f>
        <v/>
      </c>
      <c r="D2108" s="12" t="str">
        <f aca="false">IF($A2108="","",원본명단!$D2107)</f>
        <v/>
      </c>
      <c r="E2108" s="11" t="str">
        <f aca="false">IF($A2108="","",IF(원본명단!$H2107="",0,COUNTIF(원본명단!$H$3:$H$6002,원본명단!$H2107)))</f>
        <v/>
      </c>
      <c r="F2108" s="11" t="str">
        <f aca="false">IF($A2108="","",IF(원본명단!$I2107="",0,COUNTIF(원본명단!$I$3:$I$6002,원본명단!$I2107)))</f>
        <v/>
      </c>
      <c r="G2108" s="11" t="str">
        <f aca="false">IF($A2108="","",IF(원본명단!$K2107="",0,COUNTIF(원본명단!$K$3:$K$6002,원본명단!$K2107)))</f>
        <v/>
      </c>
      <c r="H2108" s="11" t="str">
        <f aca="false">IF($A2108="","",IF(MAX($E2108,$F2108,$G2108)&gt;1,"중복","-"))</f>
        <v/>
      </c>
      <c r="I2108" s="11" t="str">
        <f aca="false">IF($A2108="","",IF($H2108="-","-",IF(AND(IF(원본명단!$H2107="",TRUE(),COUNTIF(원본명단!$H$3:$H2107,원본명단!$H2107)=1),IF(원본명단!$I2107="",TRUE(),COUNTIF(원본명단!$I$3:$I2107,원본명단!$I2107)=1),IF(원본명단!$K2107="",TRUE(),COUNTIF(원본명단!$K$3:$K2107,원본명단!$K2107)=1)),"첫 건","중복 건")))</f>
        <v/>
      </c>
      <c r="J2108" s="11" t="str">
        <f aca="false">IF($A2108="","",IF($H2108="-","유지",IF($I2108="첫 건","유지","확인 필요")))</f>
        <v/>
      </c>
    </row>
    <row r="2109" customFormat="false" ht="15" hidden="false" customHeight="true" outlineLevel="0" collapsed="false">
      <c r="A2109" s="11" t="str">
        <f aca="false">IF(원본명단!$A2108="","",2106)</f>
        <v/>
      </c>
      <c r="B2109" s="12" t="str">
        <f aca="false">IF($A2109="","",원본명단!$A2108)</f>
        <v/>
      </c>
      <c r="C2109" s="12" t="str">
        <f aca="false">IF($A2109="","",원본명단!$B2108)</f>
        <v/>
      </c>
      <c r="D2109" s="12" t="str">
        <f aca="false">IF($A2109="","",원본명단!$D2108)</f>
        <v/>
      </c>
      <c r="E2109" s="11" t="str">
        <f aca="false">IF($A2109="","",IF(원본명단!$H2108="",0,COUNTIF(원본명단!$H$3:$H$6002,원본명단!$H2108)))</f>
        <v/>
      </c>
      <c r="F2109" s="11" t="str">
        <f aca="false">IF($A2109="","",IF(원본명단!$I2108="",0,COUNTIF(원본명단!$I$3:$I$6002,원본명단!$I2108)))</f>
        <v/>
      </c>
      <c r="G2109" s="11" t="str">
        <f aca="false">IF($A2109="","",IF(원본명단!$K2108="",0,COUNTIF(원본명단!$K$3:$K$6002,원본명단!$K2108)))</f>
        <v/>
      </c>
      <c r="H2109" s="11" t="str">
        <f aca="false">IF($A2109="","",IF(MAX($E2109,$F2109,$G2109)&gt;1,"중복","-"))</f>
        <v/>
      </c>
      <c r="I2109" s="11" t="str">
        <f aca="false">IF($A2109="","",IF($H2109="-","-",IF(AND(IF(원본명단!$H2108="",TRUE(),COUNTIF(원본명단!$H$3:$H2108,원본명단!$H2108)=1),IF(원본명단!$I2108="",TRUE(),COUNTIF(원본명단!$I$3:$I2108,원본명단!$I2108)=1),IF(원본명단!$K2108="",TRUE(),COUNTIF(원본명단!$K$3:$K2108,원본명단!$K2108)=1)),"첫 건","중복 건")))</f>
        <v/>
      </c>
      <c r="J2109" s="11" t="str">
        <f aca="false">IF($A2109="","",IF($H2109="-","유지",IF($I2109="첫 건","유지","확인 필요")))</f>
        <v/>
      </c>
    </row>
    <row r="2110" customFormat="false" ht="15" hidden="false" customHeight="true" outlineLevel="0" collapsed="false">
      <c r="A2110" s="11" t="str">
        <f aca="false">IF(원본명단!$A2109="","",2107)</f>
        <v/>
      </c>
      <c r="B2110" s="12" t="str">
        <f aca="false">IF($A2110="","",원본명단!$A2109)</f>
        <v/>
      </c>
      <c r="C2110" s="12" t="str">
        <f aca="false">IF($A2110="","",원본명단!$B2109)</f>
        <v/>
      </c>
      <c r="D2110" s="12" t="str">
        <f aca="false">IF($A2110="","",원본명단!$D2109)</f>
        <v/>
      </c>
      <c r="E2110" s="11" t="str">
        <f aca="false">IF($A2110="","",IF(원본명단!$H2109="",0,COUNTIF(원본명단!$H$3:$H$6002,원본명단!$H2109)))</f>
        <v/>
      </c>
      <c r="F2110" s="11" t="str">
        <f aca="false">IF($A2110="","",IF(원본명단!$I2109="",0,COUNTIF(원본명단!$I$3:$I$6002,원본명단!$I2109)))</f>
        <v/>
      </c>
      <c r="G2110" s="11" t="str">
        <f aca="false">IF($A2110="","",IF(원본명단!$K2109="",0,COUNTIF(원본명단!$K$3:$K$6002,원본명단!$K2109)))</f>
        <v/>
      </c>
      <c r="H2110" s="11" t="str">
        <f aca="false">IF($A2110="","",IF(MAX($E2110,$F2110,$G2110)&gt;1,"중복","-"))</f>
        <v/>
      </c>
      <c r="I2110" s="11" t="str">
        <f aca="false">IF($A2110="","",IF($H2110="-","-",IF(AND(IF(원본명단!$H2109="",TRUE(),COUNTIF(원본명단!$H$3:$H2109,원본명단!$H2109)=1),IF(원본명단!$I2109="",TRUE(),COUNTIF(원본명단!$I$3:$I2109,원본명단!$I2109)=1),IF(원본명단!$K2109="",TRUE(),COUNTIF(원본명단!$K$3:$K2109,원본명단!$K2109)=1)),"첫 건","중복 건")))</f>
        <v/>
      </c>
      <c r="J2110" s="11" t="str">
        <f aca="false">IF($A2110="","",IF($H2110="-","유지",IF($I2110="첫 건","유지","확인 필요")))</f>
        <v/>
      </c>
    </row>
    <row r="2111" customFormat="false" ht="15" hidden="false" customHeight="true" outlineLevel="0" collapsed="false">
      <c r="A2111" s="11" t="str">
        <f aca="false">IF(원본명단!$A2110="","",2108)</f>
        <v/>
      </c>
      <c r="B2111" s="12" t="str">
        <f aca="false">IF($A2111="","",원본명단!$A2110)</f>
        <v/>
      </c>
      <c r="C2111" s="12" t="str">
        <f aca="false">IF($A2111="","",원본명단!$B2110)</f>
        <v/>
      </c>
      <c r="D2111" s="12" t="str">
        <f aca="false">IF($A2111="","",원본명단!$D2110)</f>
        <v/>
      </c>
      <c r="E2111" s="11" t="str">
        <f aca="false">IF($A2111="","",IF(원본명단!$H2110="",0,COUNTIF(원본명단!$H$3:$H$6002,원본명단!$H2110)))</f>
        <v/>
      </c>
      <c r="F2111" s="11" t="str">
        <f aca="false">IF($A2111="","",IF(원본명단!$I2110="",0,COUNTIF(원본명단!$I$3:$I$6002,원본명단!$I2110)))</f>
        <v/>
      </c>
      <c r="G2111" s="11" t="str">
        <f aca="false">IF($A2111="","",IF(원본명단!$K2110="",0,COUNTIF(원본명단!$K$3:$K$6002,원본명단!$K2110)))</f>
        <v/>
      </c>
      <c r="H2111" s="11" t="str">
        <f aca="false">IF($A2111="","",IF(MAX($E2111,$F2111,$G2111)&gt;1,"중복","-"))</f>
        <v/>
      </c>
      <c r="I2111" s="11" t="str">
        <f aca="false">IF($A2111="","",IF($H2111="-","-",IF(AND(IF(원본명단!$H2110="",TRUE(),COUNTIF(원본명단!$H$3:$H2110,원본명단!$H2110)=1),IF(원본명단!$I2110="",TRUE(),COUNTIF(원본명단!$I$3:$I2110,원본명단!$I2110)=1),IF(원본명단!$K2110="",TRUE(),COUNTIF(원본명단!$K$3:$K2110,원본명단!$K2110)=1)),"첫 건","중복 건")))</f>
        <v/>
      </c>
      <c r="J2111" s="11" t="str">
        <f aca="false">IF($A2111="","",IF($H2111="-","유지",IF($I2111="첫 건","유지","확인 필요")))</f>
        <v/>
      </c>
    </row>
    <row r="2112" customFormat="false" ht="15" hidden="false" customHeight="true" outlineLevel="0" collapsed="false">
      <c r="A2112" s="11" t="str">
        <f aca="false">IF(원본명단!$A2111="","",2109)</f>
        <v/>
      </c>
      <c r="B2112" s="12" t="str">
        <f aca="false">IF($A2112="","",원본명단!$A2111)</f>
        <v/>
      </c>
      <c r="C2112" s="12" t="str">
        <f aca="false">IF($A2112="","",원본명단!$B2111)</f>
        <v/>
      </c>
      <c r="D2112" s="12" t="str">
        <f aca="false">IF($A2112="","",원본명단!$D2111)</f>
        <v/>
      </c>
      <c r="E2112" s="11" t="str">
        <f aca="false">IF($A2112="","",IF(원본명단!$H2111="",0,COUNTIF(원본명단!$H$3:$H$6002,원본명단!$H2111)))</f>
        <v/>
      </c>
      <c r="F2112" s="11" t="str">
        <f aca="false">IF($A2112="","",IF(원본명단!$I2111="",0,COUNTIF(원본명단!$I$3:$I$6002,원본명단!$I2111)))</f>
        <v/>
      </c>
      <c r="G2112" s="11" t="str">
        <f aca="false">IF($A2112="","",IF(원본명단!$K2111="",0,COUNTIF(원본명단!$K$3:$K$6002,원본명단!$K2111)))</f>
        <v/>
      </c>
      <c r="H2112" s="11" t="str">
        <f aca="false">IF($A2112="","",IF(MAX($E2112,$F2112,$G2112)&gt;1,"중복","-"))</f>
        <v/>
      </c>
      <c r="I2112" s="11" t="str">
        <f aca="false">IF($A2112="","",IF($H2112="-","-",IF(AND(IF(원본명단!$H2111="",TRUE(),COUNTIF(원본명단!$H$3:$H2111,원본명단!$H2111)=1),IF(원본명단!$I2111="",TRUE(),COUNTIF(원본명단!$I$3:$I2111,원본명단!$I2111)=1),IF(원본명단!$K2111="",TRUE(),COUNTIF(원본명단!$K$3:$K2111,원본명단!$K2111)=1)),"첫 건","중복 건")))</f>
        <v/>
      </c>
      <c r="J2112" s="11" t="str">
        <f aca="false">IF($A2112="","",IF($H2112="-","유지",IF($I2112="첫 건","유지","확인 필요")))</f>
        <v/>
      </c>
    </row>
    <row r="2113" customFormat="false" ht="15" hidden="false" customHeight="true" outlineLevel="0" collapsed="false">
      <c r="A2113" s="11" t="str">
        <f aca="false">IF(원본명단!$A2112="","",2110)</f>
        <v/>
      </c>
      <c r="B2113" s="12" t="str">
        <f aca="false">IF($A2113="","",원본명단!$A2112)</f>
        <v/>
      </c>
      <c r="C2113" s="12" t="str">
        <f aca="false">IF($A2113="","",원본명단!$B2112)</f>
        <v/>
      </c>
      <c r="D2113" s="12" t="str">
        <f aca="false">IF($A2113="","",원본명단!$D2112)</f>
        <v/>
      </c>
      <c r="E2113" s="11" t="str">
        <f aca="false">IF($A2113="","",IF(원본명단!$H2112="",0,COUNTIF(원본명단!$H$3:$H$6002,원본명단!$H2112)))</f>
        <v/>
      </c>
      <c r="F2113" s="11" t="str">
        <f aca="false">IF($A2113="","",IF(원본명단!$I2112="",0,COUNTIF(원본명단!$I$3:$I$6002,원본명단!$I2112)))</f>
        <v/>
      </c>
      <c r="G2113" s="11" t="str">
        <f aca="false">IF($A2113="","",IF(원본명단!$K2112="",0,COUNTIF(원본명단!$K$3:$K$6002,원본명단!$K2112)))</f>
        <v/>
      </c>
      <c r="H2113" s="11" t="str">
        <f aca="false">IF($A2113="","",IF(MAX($E2113,$F2113,$G2113)&gt;1,"중복","-"))</f>
        <v/>
      </c>
      <c r="I2113" s="11" t="str">
        <f aca="false">IF($A2113="","",IF($H2113="-","-",IF(AND(IF(원본명단!$H2112="",TRUE(),COUNTIF(원본명단!$H$3:$H2112,원본명단!$H2112)=1),IF(원본명단!$I2112="",TRUE(),COUNTIF(원본명단!$I$3:$I2112,원본명단!$I2112)=1),IF(원본명단!$K2112="",TRUE(),COUNTIF(원본명단!$K$3:$K2112,원본명단!$K2112)=1)),"첫 건","중복 건")))</f>
        <v/>
      </c>
      <c r="J2113" s="11" t="str">
        <f aca="false">IF($A2113="","",IF($H2113="-","유지",IF($I2113="첫 건","유지","확인 필요")))</f>
        <v/>
      </c>
    </row>
    <row r="2114" customFormat="false" ht="15" hidden="false" customHeight="true" outlineLevel="0" collapsed="false">
      <c r="A2114" s="11" t="str">
        <f aca="false">IF(원본명단!$A2113="","",2111)</f>
        <v/>
      </c>
      <c r="B2114" s="12" t="str">
        <f aca="false">IF($A2114="","",원본명단!$A2113)</f>
        <v/>
      </c>
      <c r="C2114" s="12" t="str">
        <f aca="false">IF($A2114="","",원본명단!$B2113)</f>
        <v/>
      </c>
      <c r="D2114" s="12" t="str">
        <f aca="false">IF($A2114="","",원본명단!$D2113)</f>
        <v/>
      </c>
      <c r="E2114" s="11" t="str">
        <f aca="false">IF($A2114="","",IF(원본명단!$H2113="",0,COUNTIF(원본명단!$H$3:$H$6002,원본명단!$H2113)))</f>
        <v/>
      </c>
      <c r="F2114" s="11" t="str">
        <f aca="false">IF($A2114="","",IF(원본명단!$I2113="",0,COUNTIF(원본명단!$I$3:$I$6002,원본명단!$I2113)))</f>
        <v/>
      </c>
      <c r="G2114" s="11" t="str">
        <f aca="false">IF($A2114="","",IF(원본명단!$K2113="",0,COUNTIF(원본명단!$K$3:$K$6002,원본명단!$K2113)))</f>
        <v/>
      </c>
      <c r="H2114" s="11" t="str">
        <f aca="false">IF($A2114="","",IF(MAX($E2114,$F2114,$G2114)&gt;1,"중복","-"))</f>
        <v/>
      </c>
      <c r="I2114" s="11" t="str">
        <f aca="false">IF($A2114="","",IF($H2114="-","-",IF(AND(IF(원본명단!$H2113="",TRUE(),COUNTIF(원본명단!$H$3:$H2113,원본명단!$H2113)=1),IF(원본명단!$I2113="",TRUE(),COUNTIF(원본명단!$I$3:$I2113,원본명단!$I2113)=1),IF(원본명단!$K2113="",TRUE(),COUNTIF(원본명단!$K$3:$K2113,원본명단!$K2113)=1)),"첫 건","중복 건")))</f>
        <v/>
      </c>
      <c r="J2114" s="11" t="str">
        <f aca="false">IF($A2114="","",IF($H2114="-","유지",IF($I2114="첫 건","유지","확인 필요")))</f>
        <v/>
      </c>
    </row>
    <row r="2115" customFormat="false" ht="15" hidden="false" customHeight="true" outlineLevel="0" collapsed="false">
      <c r="A2115" s="11" t="str">
        <f aca="false">IF(원본명단!$A2114="","",2112)</f>
        <v/>
      </c>
      <c r="B2115" s="12" t="str">
        <f aca="false">IF($A2115="","",원본명단!$A2114)</f>
        <v/>
      </c>
      <c r="C2115" s="12" t="str">
        <f aca="false">IF($A2115="","",원본명단!$B2114)</f>
        <v/>
      </c>
      <c r="D2115" s="12" t="str">
        <f aca="false">IF($A2115="","",원본명단!$D2114)</f>
        <v/>
      </c>
      <c r="E2115" s="11" t="str">
        <f aca="false">IF($A2115="","",IF(원본명단!$H2114="",0,COUNTIF(원본명단!$H$3:$H$6002,원본명단!$H2114)))</f>
        <v/>
      </c>
      <c r="F2115" s="11" t="str">
        <f aca="false">IF($A2115="","",IF(원본명단!$I2114="",0,COUNTIF(원본명단!$I$3:$I$6002,원본명단!$I2114)))</f>
        <v/>
      </c>
      <c r="G2115" s="11" t="str">
        <f aca="false">IF($A2115="","",IF(원본명단!$K2114="",0,COUNTIF(원본명단!$K$3:$K$6002,원본명단!$K2114)))</f>
        <v/>
      </c>
      <c r="H2115" s="11" t="str">
        <f aca="false">IF($A2115="","",IF(MAX($E2115,$F2115,$G2115)&gt;1,"중복","-"))</f>
        <v/>
      </c>
      <c r="I2115" s="11" t="str">
        <f aca="false">IF($A2115="","",IF($H2115="-","-",IF(AND(IF(원본명단!$H2114="",TRUE(),COUNTIF(원본명단!$H$3:$H2114,원본명단!$H2114)=1),IF(원본명단!$I2114="",TRUE(),COUNTIF(원본명단!$I$3:$I2114,원본명단!$I2114)=1),IF(원본명단!$K2114="",TRUE(),COUNTIF(원본명단!$K$3:$K2114,원본명단!$K2114)=1)),"첫 건","중복 건")))</f>
        <v/>
      </c>
      <c r="J2115" s="11" t="str">
        <f aca="false">IF($A2115="","",IF($H2115="-","유지",IF($I2115="첫 건","유지","확인 필요")))</f>
        <v/>
      </c>
    </row>
    <row r="2116" customFormat="false" ht="15" hidden="false" customHeight="true" outlineLevel="0" collapsed="false">
      <c r="A2116" s="11" t="str">
        <f aca="false">IF(원본명단!$A2115="","",2113)</f>
        <v/>
      </c>
      <c r="B2116" s="12" t="str">
        <f aca="false">IF($A2116="","",원본명단!$A2115)</f>
        <v/>
      </c>
      <c r="C2116" s="12" t="str">
        <f aca="false">IF($A2116="","",원본명단!$B2115)</f>
        <v/>
      </c>
      <c r="D2116" s="12" t="str">
        <f aca="false">IF($A2116="","",원본명단!$D2115)</f>
        <v/>
      </c>
      <c r="E2116" s="11" t="str">
        <f aca="false">IF($A2116="","",IF(원본명단!$H2115="",0,COUNTIF(원본명단!$H$3:$H$6002,원본명단!$H2115)))</f>
        <v/>
      </c>
      <c r="F2116" s="11" t="str">
        <f aca="false">IF($A2116="","",IF(원본명단!$I2115="",0,COUNTIF(원본명단!$I$3:$I$6002,원본명단!$I2115)))</f>
        <v/>
      </c>
      <c r="G2116" s="11" t="str">
        <f aca="false">IF($A2116="","",IF(원본명단!$K2115="",0,COUNTIF(원본명단!$K$3:$K$6002,원본명단!$K2115)))</f>
        <v/>
      </c>
      <c r="H2116" s="11" t="str">
        <f aca="false">IF($A2116="","",IF(MAX($E2116,$F2116,$G2116)&gt;1,"중복","-"))</f>
        <v/>
      </c>
      <c r="I2116" s="11" t="str">
        <f aca="false">IF($A2116="","",IF($H2116="-","-",IF(AND(IF(원본명단!$H2115="",TRUE(),COUNTIF(원본명단!$H$3:$H2115,원본명단!$H2115)=1),IF(원본명단!$I2115="",TRUE(),COUNTIF(원본명단!$I$3:$I2115,원본명단!$I2115)=1),IF(원본명단!$K2115="",TRUE(),COUNTIF(원본명단!$K$3:$K2115,원본명단!$K2115)=1)),"첫 건","중복 건")))</f>
        <v/>
      </c>
      <c r="J2116" s="11" t="str">
        <f aca="false">IF($A2116="","",IF($H2116="-","유지",IF($I2116="첫 건","유지","확인 필요")))</f>
        <v/>
      </c>
    </row>
    <row r="2117" customFormat="false" ht="15" hidden="false" customHeight="true" outlineLevel="0" collapsed="false">
      <c r="A2117" s="11" t="str">
        <f aca="false">IF(원본명단!$A2116="","",2114)</f>
        <v/>
      </c>
      <c r="B2117" s="12" t="str">
        <f aca="false">IF($A2117="","",원본명단!$A2116)</f>
        <v/>
      </c>
      <c r="C2117" s="12" t="str">
        <f aca="false">IF($A2117="","",원본명단!$B2116)</f>
        <v/>
      </c>
      <c r="D2117" s="12" t="str">
        <f aca="false">IF($A2117="","",원본명단!$D2116)</f>
        <v/>
      </c>
      <c r="E2117" s="11" t="str">
        <f aca="false">IF($A2117="","",IF(원본명단!$H2116="",0,COUNTIF(원본명단!$H$3:$H$6002,원본명단!$H2116)))</f>
        <v/>
      </c>
      <c r="F2117" s="11" t="str">
        <f aca="false">IF($A2117="","",IF(원본명단!$I2116="",0,COUNTIF(원본명단!$I$3:$I$6002,원본명단!$I2116)))</f>
        <v/>
      </c>
      <c r="G2117" s="11" t="str">
        <f aca="false">IF($A2117="","",IF(원본명단!$K2116="",0,COUNTIF(원본명단!$K$3:$K$6002,원본명단!$K2116)))</f>
        <v/>
      </c>
      <c r="H2117" s="11" t="str">
        <f aca="false">IF($A2117="","",IF(MAX($E2117,$F2117,$G2117)&gt;1,"중복","-"))</f>
        <v/>
      </c>
      <c r="I2117" s="11" t="str">
        <f aca="false">IF($A2117="","",IF($H2117="-","-",IF(AND(IF(원본명단!$H2116="",TRUE(),COUNTIF(원본명단!$H$3:$H2116,원본명단!$H2116)=1),IF(원본명단!$I2116="",TRUE(),COUNTIF(원본명단!$I$3:$I2116,원본명단!$I2116)=1),IF(원본명단!$K2116="",TRUE(),COUNTIF(원본명단!$K$3:$K2116,원본명단!$K2116)=1)),"첫 건","중복 건")))</f>
        <v/>
      </c>
      <c r="J2117" s="11" t="str">
        <f aca="false">IF($A2117="","",IF($H2117="-","유지",IF($I2117="첫 건","유지","확인 필요")))</f>
        <v/>
      </c>
    </row>
    <row r="2118" customFormat="false" ht="15" hidden="false" customHeight="true" outlineLevel="0" collapsed="false">
      <c r="A2118" s="11" t="str">
        <f aca="false">IF(원본명단!$A2117="","",2115)</f>
        <v/>
      </c>
      <c r="B2118" s="12" t="str">
        <f aca="false">IF($A2118="","",원본명단!$A2117)</f>
        <v/>
      </c>
      <c r="C2118" s="12" t="str">
        <f aca="false">IF($A2118="","",원본명단!$B2117)</f>
        <v/>
      </c>
      <c r="D2118" s="12" t="str">
        <f aca="false">IF($A2118="","",원본명단!$D2117)</f>
        <v/>
      </c>
      <c r="E2118" s="11" t="str">
        <f aca="false">IF($A2118="","",IF(원본명단!$H2117="",0,COUNTIF(원본명단!$H$3:$H$6002,원본명단!$H2117)))</f>
        <v/>
      </c>
      <c r="F2118" s="11" t="str">
        <f aca="false">IF($A2118="","",IF(원본명단!$I2117="",0,COUNTIF(원본명단!$I$3:$I$6002,원본명단!$I2117)))</f>
        <v/>
      </c>
      <c r="G2118" s="11" t="str">
        <f aca="false">IF($A2118="","",IF(원본명단!$K2117="",0,COUNTIF(원본명단!$K$3:$K$6002,원본명단!$K2117)))</f>
        <v/>
      </c>
      <c r="H2118" s="11" t="str">
        <f aca="false">IF($A2118="","",IF(MAX($E2118,$F2118,$G2118)&gt;1,"중복","-"))</f>
        <v/>
      </c>
      <c r="I2118" s="11" t="str">
        <f aca="false">IF($A2118="","",IF($H2118="-","-",IF(AND(IF(원본명단!$H2117="",TRUE(),COUNTIF(원본명단!$H$3:$H2117,원본명단!$H2117)=1),IF(원본명단!$I2117="",TRUE(),COUNTIF(원본명단!$I$3:$I2117,원본명단!$I2117)=1),IF(원본명단!$K2117="",TRUE(),COUNTIF(원본명단!$K$3:$K2117,원본명단!$K2117)=1)),"첫 건","중복 건")))</f>
        <v/>
      </c>
      <c r="J2118" s="11" t="str">
        <f aca="false">IF($A2118="","",IF($H2118="-","유지",IF($I2118="첫 건","유지","확인 필요")))</f>
        <v/>
      </c>
    </row>
    <row r="2119" customFormat="false" ht="15" hidden="false" customHeight="true" outlineLevel="0" collapsed="false">
      <c r="A2119" s="11" t="str">
        <f aca="false">IF(원본명단!$A2118="","",2116)</f>
        <v/>
      </c>
      <c r="B2119" s="12" t="str">
        <f aca="false">IF($A2119="","",원본명단!$A2118)</f>
        <v/>
      </c>
      <c r="C2119" s="12" t="str">
        <f aca="false">IF($A2119="","",원본명단!$B2118)</f>
        <v/>
      </c>
      <c r="D2119" s="12" t="str">
        <f aca="false">IF($A2119="","",원본명단!$D2118)</f>
        <v/>
      </c>
      <c r="E2119" s="11" t="str">
        <f aca="false">IF($A2119="","",IF(원본명단!$H2118="",0,COUNTIF(원본명단!$H$3:$H$6002,원본명단!$H2118)))</f>
        <v/>
      </c>
      <c r="F2119" s="11" t="str">
        <f aca="false">IF($A2119="","",IF(원본명단!$I2118="",0,COUNTIF(원본명단!$I$3:$I$6002,원본명단!$I2118)))</f>
        <v/>
      </c>
      <c r="G2119" s="11" t="str">
        <f aca="false">IF($A2119="","",IF(원본명단!$K2118="",0,COUNTIF(원본명단!$K$3:$K$6002,원본명단!$K2118)))</f>
        <v/>
      </c>
      <c r="H2119" s="11" t="str">
        <f aca="false">IF($A2119="","",IF(MAX($E2119,$F2119,$G2119)&gt;1,"중복","-"))</f>
        <v/>
      </c>
      <c r="I2119" s="11" t="str">
        <f aca="false">IF($A2119="","",IF($H2119="-","-",IF(AND(IF(원본명단!$H2118="",TRUE(),COUNTIF(원본명단!$H$3:$H2118,원본명단!$H2118)=1),IF(원본명단!$I2118="",TRUE(),COUNTIF(원본명단!$I$3:$I2118,원본명단!$I2118)=1),IF(원본명단!$K2118="",TRUE(),COUNTIF(원본명단!$K$3:$K2118,원본명단!$K2118)=1)),"첫 건","중복 건")))</f>
        <v/>
      </c>
      <c r="J2119" s="11" t="str">
        <f aca="false">IF($A2119="","",IF($H2119="-","유지",IF($I2119="첫 건","유지","확인 필요")))</f>
        <v/>
      </c>
    </row>
    <row r="2120" customFormat="false" ht="15" hidden="false" customHeight="true" outlineLevel="0" collapsed="false">
      <c r="A2120" s="11" t="str">
        <f aca="false">IF(원본명단!$A2119="","",2117)</f>
        <v/>
      </c>
      <c r="B2120" s="12" t="str">
        <f aca="false">IF($A2120="","",원본명단!$A2119)</f>
        <v/>
      </c>
      <c r="C2120" s="12" t="str">
        <f aca="false">IF($A2120="","",원본명단!$B2119)</f>
        <v/>
      </c>
      <c r="D2120" s="12" t="str">
        <f aca="false">IF($A2120="","",원본명단!$D2119)</f>
        <v/>
      </c>
      <c r="E2120" s="11" t="str">
        <f aca="false">IF($A2120="","",IF(원본명단!$H2119="",0,COUNTIF(원본명단!$H$3:$H$6002,원본명단!$H2119)))</f>
        <v/>
      </c>
      <c r="F2120" s="11" t="str">
        <f aca="false">IF($A2120="","",IF(원본명단!$I2119="",0,COUNTIF(원본명단!$I$3:$I$6002,원본명단!$I2119)))</f>
        <v/>
      </c>
      <c r="G2120" s="11" t="str">
        <f aca="false">IF($A2120="","",IF(원본명단!$K2119="",0,COUNTIF(원본명단!$K$3:$K$6002,원본명단!$K2119)))</f>
        <v/>
      </c>
      <c r="H2120" s="11" t="str">
        <f aca="false">IF($A2120="","",IF(MAX($E2120,$F2120,$G2120)&gt;1,"중복","-"))</f>
        <v/>
      </c>
      <c r="I2120" s="11" t="str">
        <f aca="false">IF($A2120="","",IF($H2120="-","-",IF(AND(IF(원본명단!$H2119="",TRUE(),COUNTIF(원본명단!$H$3:$H2119,원본명단!$H2119)=1),IF(원본명단!$I2119="",TRUE(),COUNTIF(원본명단!$I$3:$I2119,원본명단!$I2119)=1),IF(원본명단!$K2119="",TRUE(),COUNTIF(원본명단!$K$3:$K2119,원본명단!$K2119)=1)),"첫 건","중복 건")))</f>
        <v/>
      </c>
      <c r="J2120" s="11" t="str">
        <f aca="false">IF($A2120="","",IF($H2120="-","유지",IF($I2120="첫 건","유지","확인 필요")))</f>
        <v/>
      </c>
    </row>
    <row r="2121" customFormat="false" ht="15" hidden="false" customHeight="true" outlineLevel="0" collapsed="false">
      <c r="A2121" s="11" t="str">
        <f aca="false">IF(원본명단!$A2120="","",2118)</f>
        <v/>
      </c>
      <c r="B2121" s="12" t="str">
        <f aca="false">IF($A2121="","",원본명단!$A2120)</f>
        <v/>
      </c>
      <c r="C2121" s="12" t="str">
        <f aca="false">IF($A2121="","",원본명단!$B2120)</f>
        <v/>
      </c>
      <c r="D2121" s="12" t="str">
        <f aca="false">IF($A2121="","",원본명단!$D2120)</f>
        <v/>
      </c>
      <c r="E2121" s="11" t="str">
        <f aca="false">IF($A2121="","",IF(원본명단!$H2120="",0,COUNTIF(원본명단!$H$3:$H$6002,원본명단!$H2120)))</f>
        <v/>
      </c>
      <c r="F2121" s="11" t="str">
        <f aca="false">IF($A2121="","",IF(원본명단!$I2120="",0,COUNTIF(원본명단!$I$3:$I$6002,원본명단!$I2120)))</f>
        <v/>
      </c>
      <c r="G2121" s="11" t="str">
        <f aca="false">IF($A2121="","",IF(원본명단!$K2120="",0,COUNTIF(원본명단!$K$3:$K$6002,원본명단!$K2120)))</f>
        <v/>
      </c>
      <c r="H2121" s="11" t="str">
        <f aca="false">IF($A2121="","",IF(MAX($E2121,$F2121,$G2121)&gt;1,"중복","-"))</f>
        <v/>
      </c>
      <c r="I2121" s="11" t="str">
        <f aca="false">IF($A2121="","",IF($H2121="-","-",IF(AND(IF(원본명단!$H2120="",TRUE(),COUNTIF(원본명단!$H$3:$H2120,원본명단!$H2120)=1),IF(원본명단!$I2120="",TRUE(),COUNTIF(원본명단!$I$3:$I2120,원본명단!$I2120)=1),IF(원본명단!$K2120="",TRUE(),COUNTIF(원본명단!$K$3:$K2120,원본명단!$K2120)=1)),"첫 건","중복 건")))</f>
        <v/>
      </c>
      <c r="J2121" s="11" t="str">
        <f aca="false">IF($A2121="","",IF($H2121="-","유지",IF($I2121="첫 건","유지","확인 필요")))</f>
        <v/>
      </c>
    </row>
    <row r="2122" customFormat="false" ht="15" hidden="false" customHeight="true" outlineLevel="0" collapsed="false">
      <c r="A2122" s="11" t="str">
        <f aca="false">IF(원본명단!$A2121="","",2119)</f>
        <v/>
      </c>
      <c r="B2122" s="12" t="str">
        <f aca="false">IF($A2122="","",원본명단!$A2121)</f>
        <v/>
      </c>
      <c r="C2122" s="12" t="str">
        <f aca="false">IF($A2122="","",원본명단!$B2121)</f>
        <v/>
      </c>
      <c r="D2122" s="12" t="str">
        <f aca="false">IF($A2122="","",원본명단!$D2121)</f>
        <v/>
      </c>
      <c r="E2122" s="11" t="str">
        <f aca="false">IF($A2122="","",IF(원본명단!$H2121="",0,COUNTIF(원본명단!$H$3:$H$6002,원본명단!$H2121)))</f>
        <v/>
      </c>
      <c r="F2122" s="11" t="str">
        <f aca="false">IF($A2122="","",IF(원본명단!$I2121="",0,COUNTIF(원본명단!$I$3:$I$6002,원본명단!$I2121)))</f>
        <v/>
      </c>
      <c r="G2122" s="11" t="str">
        <f aca="false">IF($A2122="","",IF(원본명단!$K2121="",0,COUNTIF(원본명단!$K$3:$K$6002,원본명단!$K2121)))</f>
        <v/>
      </c>
      <c r="H2122" s="11" t="str">
        <f aca="false">IF($A2122="","",IF(MAX($E2122,$F2122,$G2122)&gt;1,"중복","-"))</f>
        <v/>
      </c>
      <c r="I2122" s="11" t="str">
        <f aca="false">IF($A2122="","",IF($H2122="-","-",IF(AND(IF(원본명단!$H2121="",TRUE(),COUNTIF(원본명단!$H$3:$H2121,원본명단!$H2121)=1),IF(원본명단!$I2121="",TRUE(),COUNTIF(원본명단!$I$3:$I2121,원본명단!$I2121)=1),IF(원본명단!$K2121="",TRUE(),COUNTIF(원본명단!$K$3:$K2121,원본명단!$K2121)=1)),"첫 건","중복 건")))</f>
        <v/>
      </c>
      <c r="J2122" s="11" t="str">
        <f aca="false">IF($A2122="","",IF($H2122="-","유지",IF($I2122="첫 건","유지","확인 필요")))</f>
        <v/>
      </c>
    </row>
    <row r="2123" customFormat="false" ht="15" hidden="false" customHeight="true" outlineLevel="0" collapsed="false">
      <c r="A2123" s="11" t="str">
        <f aca="false">IF(원본명단!$A2122="","",2120)</f>
        <v/>
      </c>
      <c r="B2123" s="12" t="str">
        <f aca="false">IF($A2123="","",원본명단!$A2122)</f>
        <v/>
      </c>
      <c r="C2123" s="12" t="str">
        <f aca="false">IF($A2123="","",원본명단!$B2122)</f>
        <v/>
      </c>
      <c r="D2123" s="12" t="str">
        <f aca="false">IF($A2123="","",원본명단!$D2122)</f>
        <v/>
      </c>
      <c r="E2123" s="11" t="str">
        <f aca="false">IF($A2123="","",IF(원본명단!$H2122="",0,COUNTIF(원본명단!$H$3:$H$6002,원본명단!$H2122)))</f>
        <v/>
      </c>
      <c r="F2123" s="11" t="str">
        <f aca="false">IF($A2123="","",IF(원본명단!$I2122="",0,COUNTIF(원본명단!$I$3:$I$6002,원본명단!$I2122)))</f>
        <v/>
      </c>
      <c r="G2123" s="11" t="str">
        <f aca="false">IF($A2123="","",IF(원본명단!$K2122="",0,COUNTIF(원본명단!$K$3:$K$6002,원본명단!$K2122)))</f>
        <v/>
      </c>
      <c r="H2123" s="11" t="str">
        <f aca="false">IF($A2123="","",IF(MAX($E2123,$F2123,$G2123)&gt;1,"중복","-"))</f>
        <v/>
      </c>
      <c r="I2123" s="11" t="str">
        <f aca="false">IF($A2123="","",IF($H2123="-","-",IF(AND(IF(원본명단!$H2122="",TRUE(),COUNTIF(원본명단!$H$3:$H2122,원본명단!$H2122)=1),IF(원본명단!$I2122="",TRUE(),COUNTIF(원본명단!$I$3:$I2122,원본명단!$I2122)=1),IF(원본명단!$K2122="",TRUE(),COUNTIF(원본명단!$K$3:$K2122,원본명단!$K2122)=1)),"첫 건","중복 건")))</f>
        <v/>
      </c>
      <c r="J2123" s="11" t="str">
        <f aca="false">IF($A2123="","",IF($H2123="-","유지",IF($I2123="첫 건","유지","확인 필요")))</f>
        <v/>
      </c>
    </row>
    <row r="2124" customFormat="false" ht="15" hidden="false" customHeight="true" outlineLevel="0" collapsed="false">
      <c r="A2124" s="11" t="str">
        <f aca="false">IF(원본명단!$A2123="","",2121)</f>
        <v/>
      </c>
      <c r="B2124" s="12" t="str">
        <f aca="false">IF($A2124="","",원본명단!$A2123)</f>
        <v/>
      </c>
      <c r="C2124" s="12" t="str">
        <f aca="false">IF($A2124="","",원본명단!$B2123)</f>
        <v/>
      </c>
      <c r="D2124" s="12" t="str">
        <f aca="false">IF($A2124="","",원본명단!$D2123)</f>
        <v/>
      </c>
      <c r="E2124" s="11" t="str">
        <f aca="false">IF($A2124="","",IF(원본명단!$H2123="",0,COUNTIF(원본명단!$H$3:$H$6002,원본명단!$H2123)))</f>
        <v/>
      </c>
      <c r="F2124" s="11" t="str">
        <f aca="false">IF($A2124="","",IF(원본명단!$I2123="",0,COUNTIF(원본명단!$I$3:$I$6002,원본명단!$I2123)))</f>
        <v/>
      </c>
      <c r="G2124" s="11" t="str">
        <f aca="false">IF($A2124="","",IF(원본명단!$K2123="",0,COUNTIF(원본명단!$K$3:$K$6002,원본명단!$K2123)))</f>
        <v/>
      </c>
      <c r="H2124" s="11" t="str">
        <f aca="false">IF($A2124="","",IF(MAX($E2124,$F2124,$G2124)&gt;1,"중복","-"))</f>
        <v/>
      </c>
      <c r="I2124" s="11" t="str">
        <f aca="false">IF($A2124="","",IF($H2124="-","-",IF(AND(IF(원본명단!$H2123="",TRUE(),COUNTIF(원본명단!$H$3:$H2123,원본명단!$H2123)=1),IF(원본명단!$I2123="",TRUE(),COUNTIF(원본명단!$I$3:$I2123,원본명단!$I2123)=1),IF(원본명단!$K2123="",TRUE(),COUNTIF(원본명단!$K$3:$K2123,원본명단!$K2123)=1)),"첫 건","중복 건")))</f>
        <v/>
      </c>
      <c r="J2124" s="11" t="str">
        <f aca="false">IF($A2124="","",IF($H2124="-","유지",IF($I2124="첫 건","유지","확인 필요")))</f>
        <v/>
      </c>
    </row>
    <row r="2125" customFormat="false" ht="15" hidden="false" customHeight="true" outlineLevel="0" collapsed="false">
      <c r="A2125" s="11" t="str">
        <f aca="false">IF(원본명단!$A2124="","",2122)</f>
        <v/>
      </c>
      <c r="B2125" s="12" t="str">
        <f aca="false">IF($A2125="","",원본명단!$A2124)</f>
        <v/>
      </c>
      <c r="C2125" s="12" t="str">
        <f aca="false">IF($A2125="","",원본명단!$B2124)</f>
        <v/>
      </c>
      <c r="D2125" s="12" t="str">
        <f aca="false">IF($A2125="","",원본명단!$D2124)</f>
        <v/>
      </c>
      <c r="E2125" s="11" t="str">
        <f aca="false">IF($A2125="","",IF(원본명단!$H2124="",0,COUNTIF(원본명단!$H$3:$H$6002,원본명단!$H2124)))</f>
        <v/>
      </c>
      <c r="F2125" s="11" t="str">
        <f aca="false">IF($A2125="","",IF(원본명단!$I2124="",0,COUNTIF(원본명단!$I$3:$I$6002,원본명단!$I2124)))</f>
        <v/>
      </c>
      <c r="G2125" s="11" t="str">
        <f aca="false">IF($A2125="","",IF(원본명단!$K2124="",0,COUNTIF(원본명단!$K$3:$K$6002,원본명단!$K2124)))</f>
        <v/>
      </c>
      <c r="H2125" s="11" t="str">
        <f aca="false">IF($A2125="","",IF(MAX($E2125,$F2125,$G2125)&gt;1,"중복","-"))</f>
        <v/>
      </c>
      <c r="I2125" s="11" t="str">
        <f aca="false">IF($A2125="","",IF($H2125="-","-",IF(AND(IF(원본명단!$H2124="",TRUE(),COUNTIF(원본명단!$H$3:$H2124,원본명단!$H2124)=1),IF(원본명단!$I2124="",TRUE(),COUNTIF(원본명단!$I$3:$I2124,원본명단!$I2124)=1),IF(원본명단!$K2124="",TRUE(),COUNTIF(원본명단!$K$3:$K2124,원본명단!$K2124)=1)),"첫 건","중복 건")))</f>
        <v/>
      </c>
      <c r="J2125" s="11" t="str">
        <f aca="false">IF($A2125="","",IF($H2125="-","유지",IF($I2125="첫 건","유지","확인 필요")))</f>
        <v/>
      </c>
    </row>
    <row r="2126" customFormat="false" ht="15" hidden="false" customHeight="true" outlineLevel="0" collapsed="false">
      <c r="A2126" s="11" t="str">
        <f aca="false">IF(원본명단!$A2125="","",2123)</f>
        <v/>
      </c>
      <c r="B2126" s="12" t="str">
        <f aca="false">IF($A2126="","",원본명단!$A2125)</f>
        <v/>
      </c>
      <c r="C2126" s="12" t="str">
        <f aca="false">IF($A2126="","",원본명단!$B2125)</f>
        <v/>
      </c>
      <c r="D2126" s="12" t="str">
        <f aca="false">IF($A2126="","",원본명단!$D2125)</f>
        <v/>
      </c>
      <c r="E2126" s="11" t="str">
        <f aca="false">IF($A2126="","",IF(원본명단!$H2125="",0,COUNTIF(원본명단!$H$3:$H$6002,원본명단!$H2125)))</f>
        <v/>
      </c>
      <c r="F2126" s="11" t="str">
        <f aca="false">IF($A2126="","",IF(원본명단!$I2125="",0,COUNTIF(원본명단!$I$3:$I$6002,원본명단!$I2125)))</f>
        <v/>
      </c>
      <c r="G2126" s="11" t="str">
        <f aca="false">IF($A2126="","",IF(원본명단!$K2125="",0,COUNTIF(원본명단!$K$3:$K$6002,원본명단!$K2125)))</f>
        <v/>
      </c>
      <c r="H2126" s="11" t="str">
        <f aca="false">IF($A2126="","",IF(MAX($E2126,$F2126,$G2126)&gt;1,"중복","-"))</f>
        <v/>
      </c>
      <c r="I2126" s="11" t="str">
        <f aca="false">IF($A2126="","",IF($H2126="-","-",IF(AND(IF(원본명단!$H2125="",TRUE(),COUNTIF(원본명단!$H$3:$H2125,원본명단!$H2125)=1),IF(원본명단!$I2125="",TRUE(),COUNTIF(원본명단!$I$3:$I2125,원본명단!$I2125)=1),IF(원본명단!$K2125="",TRUE(),COUNTIF(원본명단!$K$3:$K2125,원본명단!$K2125)=1)),"첫 건","중복 건")))</f>
        <v/>
      </c>
      <c r="J2126" s="11" t="str">
        <f aca="false">IF($A2126="","",IF($H2126="-","유지",IF($I2126="첫 건","유지","확인 필요")))</f>
        <v/>
      </c>
    </row>
    <row r="2127" customFormat="false" ht="15" hidden="false" customHeight="true" outlineLevel="0" collapsed="false">
      <c r="A2127" s="11" t="str">
        <f aca="false">IF(원본명단!$A2126="","",2124)</f>
        <v/>
      </c>
      <c r="B2127" s="12" t="str">
        <f aca="false">IF($A2127="","",원본명단!$A2126)</f>
        <v/>
      </c>
      <c r="C2127" s="12" t="str">
        <f aca="false">IF($A2127="","",원본명단!$B2126)</f>
        <v/>
      </c>
      <c r="D2127" s="12" t="str">
        <f aca="false">IF($A2127="","",원본명단!$D2126)</f>
        <v/>
      </c>
      <c r="E2127" s="11" t="str">
        <f aca="false">IF($A2127="","",IF(원본명단!$H2126="",0,COUNTIF(원본명단!$H$3:$H$6002,원본명단!$H2126)))</f>
        <v/>
      </c>
      <c r="F2127" s="11" t="str">
        <f aca="false">IF($A2127="","",IF(원본명단!$I2126="",0,COUNTIF(원본명단!$I$3:$I$6002,원본명단!$I2126)))</f>
        <v/>
      </c>
      <c r="G2127" s="11" t="str">
        <f aca="false">IF($A2127="","",IF(원본명단!$K2126="",0,COUNTIF(원본명단!$K$3:$K$6002,원본명단!$K2126)))</f>
        <v/>
      </c>
      <c r="H2127" s="11" t="str">
        <f aca="false">IF($A2127="","",IF(MAX($E2127,$F2127,$G2127)&gt;1,"중복","-"))</f>
        <v/>
      </c>
      <c r="I2127" s="11" t="str">
        <f aca="false">IF($A2127="","",IF($H2127="-","-",IF(AND(IF(원본명단!$H2126="",TRUE(),COUNTIF(원본명단!$H$3:$H2126,원본명단!$H2126)=1),IF(원본명단!$I2126="",TRUE(),COUNTIF(원본명단!$I$3:$I2126,원본명단!$I2126)=1),IF(원본명단!$K2126="",TRUE(),COUNTIF(원본명단!$K$3:$K2126,원본명단!$K2126)=1)),"첫 건","중복 건")))</f>
        <v/>
      </c>
      <c r="J2127" s="11" t="str">
        <f aca="false">IF($A2127="","",IF($H2127="-","유지",IF($I2127="첫 건","유지","확인 필요")))</f>
        <v/>
      </c>
    </row>
    <row r="2128" customFormat="false" ht="15" hidden="false" customHeight="true" outlineLevel="0" collapsed="false">
      <c r="A2128" s="11" t="str">
        <f aca="false">IF(원본명단!$A2127="","",2125)</f>
        <v/>
      </c>
      <c r="B2128" s="12" t="str">
        <f aca="false">IF($A2128="","",원본명단!$A2127)</f>
        <v/>
      </c>
      <c r="C2128" s="12" t="str">
        <f aca="false">IF($A2128="","",원본명단!$B2127)</f>
        <v/>
      </c>
      <c r="D2128" s="12" t="str">
        <f aca="false">IF($A2128="","",원본명단!$D2127)</f>
        <v/>
      </c>
      <c r="E2128" s="11" t="str">
        <f aca="false">IF($A2128="","",IF(원본명단!$H2127="",0,COUNTIF(원본명단!$H$3:$H$6002,원본명단!$H2127)))</f>
        <v/>
      </c>
      <c r="F2128" s="11" t="str">
        <f aca="false">IF($A2128="","",IF(원본명단!$I2127="",0,COUNTIF(원본명단!$I$3:$I$6002,원본명단!$I2127)))</f>
        <v/>
      </c>
      <c r="G2128" s="11" t="str">
        <f aca="false">IF($A2128="","",IF(원본명단!$K2127="",0,COUNTIF(원본명단!$K$3:$K$6002,원본명단!$K2127)))</f>
        <v/>
      </c>
      <c r="H2128" s="11" t="str">
        <f aca="false">IF($A2128="","",IF(MAX($E2128,$F2128,$G2128)&gt;1,"중복","-"))</f>
        <v/>
      </c>
      <c r="I2128" s="11" t="str">
        <f aca="false">IF($A2128="","",IF($H2128="-","-",IF(AND(IF(원본명단!$H2127="",TRUE(),COUNTIF(원본명단!$H$3:$H2127,원본명단!$H2127)=1),IF(원본명단!$I2127="",TRUE(),COUNTIF(원본명단!$I$3:$I2127,원본명단!$I2127)=1),IF(원본명단!$K2127="",TRUE(),COUNTIF(원본명단!$K$3:$K2127,원본명단!$K2127)=1)),"첫 건","중복 건")))</f>
        <v/>
      </c>
      <c r="J2128" s="11" t="str">
        <f aca="false">IF($A2128="","",IF($H2128="-","유지",IF($I2128="첫 건","유지","확인 필요")))</f>
        <v/>
      </c>
    </row>
    <row r="2129" customFormat="false" ht="15" hidden="false" customHeight="true" outlineLevel="0" collapsed="false">
      <c r="A2129" s="11" t="str">
        <f aca="false">IF(원본명단!$A2128="","",2126)</f>
        <v/>
      </c>
      <c r="B2129" s="12" t="str">
        <f aca="false">IF($A2129="","",원본명단!$A2128)</f>
        <v/>
      </c>
      <c r="C2129" s="12" t="str">
        <f aca="false">IF($A2129="","",원본명단!$B2128)</f>
        <v/>
      </c>
      <c r="D2129" s="12" t="str">
        <f aca="false">IF($A2129="","",원본명단!$D2128)</f>
        <v/>
      </c>
      <c r="E2129" s="11" t="str">
        <f aca="false">IF($A2129="","",IF(원본명단!$H2128="",0,COUNTIF(원본명단!$H$3:$H$6002,원본명단!$H2128)))</f>
        <v/>
      </c>
      <c r="F2129" s="11" t="str">
        <f aca="false">IF($A2129="","",IF(원본명단!$I2128="",0,COUNTIF(원본명단!$I$3:$I$6002,원본명단!$I2128)))</f>
        <v/>
      </c>
      <c r="G2129" s="11" t="str">
        <f aca="false">IF($A2129="","",IF(원본명단!$K2128="",0,COUNTIF(원본명단!$K$3:$K$6002,원본명단!$K2128)))</f>
        <v/>
      </c>
      <c r="H2129" s="11" t="str">
        <f aca="false">IF($A2129="","",IF(MAX($E2129,$F2129,$G2129)&gt;1,"중복","-"))</f>
        <v/>
      </c>
      <c r="I2129" s="11" t="str">
        <f aca="false">IF($A2129="","",IF($H2129="-","-",IF(AND(IF(원본명단!$H2128="",TRUE(),COUNTIF(원본명단!$H$3:$H2128,원본명단!$H2128)=1),IF(원본명단!$I2128="",TRUE(),COUNTIF(원본명단!$I$3:$I2128,원본명단!$I2128)=1),IF(원본명단!$K2128="",TRUE(),COUNTIF(원본명단!$K$3:$K2128,원본명단!$K2128)=1)),"첫 건","중복 건")))</f>
        <v/>
      </c>
      <c r="J2129" s="11" t="str">
        <f aca="false">IF($A2129="","",IF($H2129="-","유지",IF($I2129="첫 건","유지","확인 필요")))</f>
        <v/>
      </c>
    </row>
    <row r="2130" customFormat="false" ht="15" hidden="false" customHeight="true" outlineLevel="0" collapsed="false">
      <c r="A2130" s="11" t="str">
        <f aca="false">IF(원본명단!$A2129="","",2127)</f>
        <v/>
      </c>
      <c r="B2130" s="12" t="str">
        <f aca="false">IF($A2130="","",원본명단!$A2129)</f>
        <v/>
      </c>
      <c r="C2130" s="12" t="str">
        <f aca="false">IF($A2130="","",원본명단!$B2129)</f>
        <v/>
      </c>
      <c r="D2130" s="12" t="str">
        <f aca="false">IF($A2130="","",원본명단!$D2129)</f>
        <v/>
      </c>
      <c r="E2130" s="11" t="str">
        <f aca="false">IF($A2130="","",IF(원본명단!$H2129="",0,COUNTIF(원본명단!$H$3:$H$6002,원본명단!$H2129)))</f>
        <v/>
      </c>
      <c r="F2130" s="11" t="str">
        <f aca="false">IF($A2130="","",IF(원본명단!$I2129="",0,COUNTIF(원본명단!$I$3:$I$6002,원본명단!$I2129)))</f>
        <v/>
      </c>
      <c r="G2130" s="11" t="str">
        <f aca="false">IF($A2130="","",IF(원본명단!$K2129="",0,COUNTIF(원본명단!$K$3:$K$6002,원본명단!$K2129)))</f>
        <v/>
      </c>
      <c r="H2130" s="11" t="str">
        <f aca="false">IF($A2130="","",IF(MAX($E2130,$F2130,$G2130)&gt;1,"중복","-"))</f>
        <v/>
      </c>
      <c r="I2130" s="11" t="str">
        <f aca="false">IF($A2130="","",IF($H2130="-","-",IF(AND(IF(원본명단!$H2129="",TRUE(),COUNTIF(원본명단!$H$3:$H2129,원본명단!$H2129)=1),IF(원본명단!$I2129="",TRUE(),COUNTIF(원본명단!$I$3:$I2129,원본명단!$I2129)=1),IF(원본명단!$K2129="",TRUE(),COUNTIF(원본명단!$K$3:$K2129,원본명단!$K2129)=1)),"첫 건","중복 건")))</f>
        <v/>
      </c>
      <c r="J2130" s="11" t="str">
        <f aca="false">IF($A2130="","",IF($H2130="-","유지",IF($I2130="첫 건","유지","확인 필요")))</f>
        <v/>
      </c>
    </row>
    <row r="2131" customFormat="false" ht="15" hidden="false" customHeight="true" outlineLevel="0" collapsed="false">
      <c r="A2131" s="11" t="str">
        <f aca="false">IF(원본명단!$A2130="","",2128)</f>
        <v/>
      </c>
      <c r="B2131" s="12" t="str">
        <f aca="false">IF($A2131="","",원본명단!$A2130)</f>
        <v/>
      </c>
      <c r="C2131" s="12" t="str">
        <f aca="false">IF($A2131="","",원본명단!$B2130)</f>
        <v/>
      </c>
      <c r="D2131" s="12" t="str">
        <f aca="false">IF($A2131="","",원본명단!$D2130)</f>
        <v/>
      </c>
      <c r="E2131" s="11" t="str">
        <f aca="false">IF($A2131="","",IF(원본명단!$H2130="",0,COUNTIF(원본명단!$H$3:$H$6002,원본명단!$H2130)))</f>
        <v/>
      </c>
      <c r="F2131" s="11" t="str">
        <f aca="false">IF($A2131="","",IF(원본명단!$I2130="",0,COUNTIF(원본명단!$I$3:$I$6002,원본명단!$I2130)))</f>
        <v/>
      </c>
      <c r="G2131" s="11" t="str">
        <f aca="false">IF($A2131="","",IF(원본명단!$K2130="",0,COUNTIF(원본명단!$K$3:$K$6002,원본명단!$K2130)))</f>
        <v/>
      </c>
      <c r="H2131" s="11" t="str">
        <f aca="false">IF($A2131="","",IF(MAX($E2131,$F2131,$G2131)&gt;1,"중복","-"))</f>
        <v/>
      </c>
      <c r="I2131" s="11" t="str">
        <f aca="false">IF($A2131="","",IF($H2131="-","-",IF(AND(IF(원본명단!$H2130="",TRUE(),COUNTIF(원본명단!$H$3:$H2130,원본명단!$H2130)=1),IF(원본명단!$I2130="",TRUE(),COUNTIF(원본명단!$I$3:$I2130,원본명단!$I2130)=1),IF(원본명단!$K2130="",TRUE(),COUNTIF(원본명단!$K$3:$K2130,원본명단!$K2130)=1)),"첫 건","중복 건")))</f>
        <v/>
      </c>
      <c r="J2131" s="11" t="str">
        <f aca="false">IF($A2131="","",IF($H2131="-","유지",IF($I2131="첫 건","유지","확인 필요")))</f>
        <v/>
      </c>
    </row>
    <row r="2132" customFormat="false" ht="15" hidden="false" customHeight="true" outlineLevel="0" collapsed="false">
      <c r="A2132" s="11" t="str">
        <f aca="false">IF(원본명단!$A2131="","",2129)</f>
        <v/>
      </c>
      <c r="B2132" s="12" t="str">
        <f aca="false">IF($A2132="","",원본명단!$A2131)</f>
        <v/>
      </c>
      <c r="C2132" s="12" t="str">
        <f aca="false">IF($A2132="","",원본명단!$B2131)</f>
        <v/>
      </c>
      <c r="D2132" s="12" t="str">
        <f aca="false">IF($A2132="","",원본명단!$D2131)</f>
        <v/>
      </c>
      <c r="E2132" s="11" t="str">
        <f aca="false">IF($A2132="","",IF(원본명단!$H2131="",0,COUNTIF(원본명단!$H$3:$H$6002,원본명단!$H2131)))</f>
        <v/>
      </c>
      <c r="F2132" s="11" t="str">
        <f aca="false">IF($A2132="","",IF(원본명단!$I2131="",0,COUNTIF(원본명단!$I$3:$I$6002,원본명단!$I2131)))</f>
        <v/>
      </c>
      <c r="G2132" s="11" t="str">
        <f aca="false">IF($A2132="","",IF(원본명단!$K2131="",0,COUNTIF(원본명단!$K$3:$K$6002,원본명단!$K2131)))</f>
        <v/>
      </c>
      <c r="H2132" s="11" t="str">
        <f aca="false">IF($A2132="","",IF(MAX($E2132,$F2132,$G2132)&gt;1,"중복","-"))</f>
        <v/>
      </c>
      <c r="I2132" s="11" t="str">
        <f aca="false">IF($A2132="","",IF($H2132="-","-",IF(AND(IF(원본명단!$H2131="",TRUE(),COUNTIF(원본명단!$H$3:$H2131,원본명단!$H2131)=1),IF(원본명단!$I2131="",TRUE(),COUNTIF(원본명단!$I$3:$I2131,원본명단!$I2131)=1),IF(원본명단!$K2131="",TRUE(),COUNTIF(원본명단!$K$3:$K2131,원본명단!$K2131)=1)),"첫 건","중복 건")))</f>
        <v/>
      </c>
      <c r="J2132" s="11" t="str">
        <f aca="false">IF($A2132="","",IF($H2132="-","유지",IF($I2132="첫 건","유지","확인 필요")))</f>
        <v/>
      </c>
    </row>
    <row r="2133" customFormat="false" ht="15" hidden="false" customHeight="true" outlineLevel="0" collapsed="false">
      <c r="A2133" s="11" t="str">
        <f aca="false">IF(원본명단!$A2132="","",2130)</f>
        <v/>
      </c>
      <c r="B2133" s="12" t="str">
        <f aca="false">IF($A2133="","",원본명단!$A2132)</f>
        <v/>
      </c>
      <c r="C2133" s="12" t="str">
        <f aca="false">IF($A2133="","",원본명단!$B2132)</f>
        <v/>
      </c>
      <c r="D2133" s="12" t="str">
        <f aca="false">IF($A2133="","",원본명단!$D2132)</f>
        <v/>
      </c>
      <c r="E2133" s="11" t="str">
        <f aca="false">IF($A2133="","",IF(원본명단!$H2132="",0,COUNTIF(원본명단!$H$3:$H$6002,원본명단!$H2132)))</f>
        <v/>
      </c>
      <c r="F2133" s="11" t="str">
        <f aca="false">IF($A2133="","",IF(원본명단!$I2132="",0,COUNTIF(원본명단!$I$3:$I$6002,원본명단!$I2132)))</f>
        <v/>
      </c>
      <c r="G2133" s="11" t="str">
        <f aca="false">IF($A2133="","",IF(원본명단!$K2132="",0,COUNTIF(원본명단!$K$3:$K$6002,원본명단!$K2132)))</f>
        <v/>
      </c>
      <c r="H2133" s="11" t="str">
        <f aca="false">IF($A2133="","",IF(MAX($E2133,$F2133,$G2133)&gt;1,"중복","-"))</f>
        <v/>
      </c>
      <c r="I2133" s="11" t="str">
        <f aca="false">IF($A2133="","",IF($H2133="-","-",IF(AND(IF(원본명단!$H2132="",TRUE(),COUNTIF(원본명단!$H$3:$H2132,원본명단!$H2132)=1),IF(원본명단!$I2132="",TRUE(),COUNTIF(원본명단!$I$3:$I2132,원본명단!$I2132)=1),IF(원본명단!$K2132="",TRUE(),COUNTIF(원본명단!$K$3:$K2132,원본명단!$K2132)=1)),"첫 건","중복 건")))</f>
        <v/>
      </c>
      <c r="J2133" s="11" t="str">
        <f aca="false">IF($A2133="","",IF($H2133="-","유지",IF($I2133="첫 건","유지","확인 필요")))</f>
        <v/>
      </c>
    </row>
    <row r="2134" customFormat="false" ht="15" hidden="false" customHeight="true" outlineLevel="0" collapsed="false">
      <c r="A2134" s="11" t="str">
        <f aca="false">IF(원본명단!$A2133="","",2131)</f>
        <v/>
      </c>
      <c r="B2134" s="12" t="str">
        <f aca="false">IF($A2134="","",원본명단!$A2133)</f>
        <v/>
      </c>
      <c r="C2134" s="12" t="str">
        <f aca="false">IF($A2134="","",원본명단!$B2133)</f>
        <v/>
      </c>
      <c r="D2134" s="12" t="str">
        <f aca="false">IF($A2134="","",원본명단!$D2133)</f>
        <v/>
      </c>
      <c r="E2134" s="11" t="str">
        <f aca="false">IF($A2134="","",IF(원본명단!$H2133="",0,COUNTIF(원본명단!$H$3:$H$6002,원본명단!$H2133)))</f>
        <v/>
      </c>
      <c r="F2134" s="11" t="str">
        <f aca="false">IF($A2134="","",IF(원본명단!$I2133="",0,COUNTIF(원본명단!$I$3:$I$6002,원본명단!$I2133)))</f>
        <v/>
      </c>
      <c r="G2134" s="11" t="str">
        <f aca="false">IF($A2134="","",IF(원본명단!$K2133="",0,COUNTIF(원본명단!$K$3:$K$6002,원본명단!$K2133)))</f>
        <v/>
      </c>
      <c r="H2134" s="11" t="str">
        <f aca="false">IF($A2134="","",IF(MAX($E2134,$F2134,$G2134)&gt;1,"중복","-"))</f>
        <v/>
      </c>
      <c r="I2134" s="11" t="str">
        <f aca="false">IF($A2134="","",IF($H2134="-","-",IF(AND(IF(원본명단!$H2133="",TRUE(),COUNTIF(원본명단!$H$3:$H2133,원본명단!$H2133)=1),IF(원본명단!$I2133="",TRUE(),COUNTIF(원본명단!$I$3:$I2133,원본명단!$I2133)=1),IF(원본명단!$K2133="",TRUE(),COUNTIF(원본명단!$K$3:$K2133,원본명단!$K2133)=1)),"첫 건","중복 건")))</f>
        <v/>
      </c>
      <c r="J2134" s="11" t="str">
        <f aca="false">IF($A2134="","",IF($H2134="-","유지",IF($I2134="첫 건","유지","확인 필요")))</f>
        <v/>
      </c>
    </row>
    <row r="2135" customFormat="false" ht="15" hidden="false" customHeight="true" outlineLevel="0" collapsed="false">
      <c r="A2135" s="11" t="str">
        <f aca="false">IF(원본명단!$A2134="","",2132)</f>
        <v/>
      </c>
      <c r="B2135" s="12" t="str">
        <f aca="false">IF($A2135="","",원본명단!$A2134)</f>
        <v/>
      </c>
      <c r="C2135" s="12" t="str">
        <f aca="false">IF($A2135="","",원본명단!$B2134)</f>
        <v/>
      </c>
      <c r="D2135" s="12" t="str">
        <f aca="false">IF($A2135="","",원본명단!$D2134)</f>
        <v/>
      </c>
      <c r="E2135" s="11" t="str">
        <f aca="false">IF($A2135="","",IF(원본명단!$H2134="",0,COUNTIF(원본명단!$H$3:$H$6002,원본명단!$H2134)))</f>
        <v/>
      </c>
      <c r="F2135" s="11" t="str">
        <f aca="false">IF($A2135="","",IF(원본명단!$I2134="",0,COUNTIF(원본명단!$I$3:$I$6002,원본명단!$I2134)))</f>
        <v/>
      </c>
      <c r="G2135" s="11" t="str">
        <f aca="false">IF($A2135="","",IF(원본명단!$K2134="",0,COUNTIF(원본명단!$K$3:$K$6002,원본명단!$K2134)))</f>
        <v/>
      </c>
      <c r="H2135" s="11" t="str">
        <f aca="false">IF($A2135="","",IF(MAX($E2135,$F2135,$G2135)&gt;1,"중복","-"))</f>
        <v/>
      </c>
      <c r="I2135" s="11" t="str">
        <f aca="false">IF($A2135="","",IF($H2135="-","-",IF(AND(IF(원본명단!$H2134="",TRUE(),COUNTIF(원본명단!$H$3:$H2134,원본명단!$H2134)=1),IF(원본명단!$I2134="",TRUE(),COUNTIF(원본명단!$I$3:$I2134,원본명단!$I2134)=1),IF(원본명단!$K2134="",TRUE(),COUNTIF(원본명단!$K$3:$K2134,원본명단!$K2134)=1)),"첫 건","중복 건")))</f>
        <v/>
      </c>
      <c r="J2135" s="11" t="str">
        <f aca="false">IF($A2135="","",IF($H2135="-","유지",IF($I2135="첫 건","유지","확인 필요")))</f>
        <v/>
      </c>
    </row>
    <row r="2136" customFormat="false" ht="15" hidden="false" customHeight="true" outlineLevel="0" collapsed="false">
      <c r="A2136" s="11" t="str">
        <f aca="false">IF(원본명단!$A2135="","",2133)</f>
        <v/>
      </c>
      <c r="B2136" s="12" t="str">
        <f aca="false">IF($A2136="","",원본명단!$A2135)</f>
        <v/>
      </c>
      <c r="C2136" s="12" t="str">
        <f aca="false">IF($A2136="","",원본명단!$B2135)</f>
        <v/>
      </c>
      <c r="D2136" s="12" t="str">
        <f aca="false">IF($A2136="","",원본명단!$D2135)</f>
        <v/>
      </c>
      <c r="E2136" s="11" t="str">
        <f aca="false">IF($A2136="","",IF(원본명단!$H2135="",0,COUNTIF(원본명단!$H$3:$H$6002,원본명단!$H2135)))</f>
        <v/>
      </c>
      <c r="F2136" s="11" t="str">
        <f aca="false">IF($A2136="","",IF(원본명단!$I2135="",0,COUNTIF(원본명단!$I$3:$I$6002,원본명단!$I2135)))</f>
        <v/>
      </c>
      <c r="G2136" s="11" t="str">
        <f aca="false">IF($A2136="","",IF(원본명단!$K2135="",0,COUNTIF(원본명단!$K$3:$K$6002,원본명단!$K2135)))</f>
        <v/>
      </c>
      <c r="H2136" s="11" t="str">
        <f aca="false">IF($A2136="","",IF(MAX($E2136,$F2136,$G2136)&gt;1,"중복","-"))</f>
        <v/>
      </c>
      <c r="I2136" s="11" t="str">
        <f aca="false">IF($A2136="","",IF($H2136="-","-",IF(AND(IF(원본명단!$H2135="",TRUE(),COUNTIF(원본명단!$H$3:$H2135,원본명단!$H2135)=1),IF(원본명단!$I2135="",TRUE(),COUNTIF(원본명단!$I$3:$I2135,원본명단!$I2135)=1),IF(원본명단!$K2135="",TRUE(),COUNTIF(원본명단!$K$3:$K2135,원본명단!$K2135)=1)),"첫 건","중복 건")))</f>
        <v/>
      </c>
      <c r="J2136" s="11" t="str">
        <f aca="false">IF($A2136="","",IF($H2136="-","유지",IF($I2136="첫 건","유지","확인 필요")))</f>
        <v/>
      </c>
    </row>
    <row r="2137" customFormat="false" ht="15" hidden="false" customHeight="true" outlineLevel="0" collapsed="false">
      <c r="A2137" s="11" t="str">
        <f aca="false">IF(원본명단!$A2136="","",2134)</f>
        <v/>
      </c>
      <c r="B2137" s="12" t="str">
        <f aca="false">IF($A2137="","",원본명단!$A2136)</f>
        <v/>
      </c>
      <c r="C2137" s="12" t="str">
        <f aca="false">IF($A2137="","",원본명단!$B2136)</f>
        <v/>
      </c>
      <c r="D2137" s="12" t="str">
        <f aca="false">IF($A2137="","",원본명단!$D2136)</f>
        <v/>
      </c>
      <c r="E2137" s="11" t="str">
        <f aca="false">IF($A2137="","",IF(원본명단!$H2136="",0,COUNTIF(원본명단!$H$3:$H$6002,원본명단!$H2136)))</f>
        <v/>
      </c>
      <c r="F2137" s="11" t="str">
        <f aca="false">IF($A2137="","",IF(원본명단!$I2136="",0,COUNTIF(원본명단!$I$3:$I$6002,원본명단!$I2136)))</f>
        <v/>
      </c>
      <c r="G2137" s="11" t="str">
        <f aca="false">IF($A2137="","",IF(원본명단!$K2136="",0,COUNTIF(원본명단!$K$3:$K$6002,원본명단!$K2136)))</f>
        <v/>
      </c>
      <c r="H2137" s="11" t="str">
        <f aca="false">IF($A2137="","",IF(MAX($E2137,$F2137,$G2137)&gt;1,"중복","-"))</f>
        <v/>
      </c>
      <c r="I2137" s="11" t="str">
        <f aca="false">IF($A2137="","",IF($H2137="-","-",IF(AND(IF(원본명단!$H2136="",TRUE(),COUNTIF(원본명단!$H$3:$H2136,원본명단!$H2136)=1),IF(원본명단!$I2136="",TRUE(),COUNTIF(원본명단!$I$3:$I2136,원본명단!$I2136)=1),IF(원본명단!$K2136="",TRUE(),COUNTIF(원본명단!$K$3:$K2136,원본명단!$K2136)=1)),"첫 건","중복 건")))</f>
        <v/>
      </c>
      <c r="J2137" s="11" t="str">
        <f aca="false">IF($A2137="","",IF($H2137="-","유지",IF($I2137="첫 건","유지","확인 필요")))</f>
        <v/>
      </c>
    </row>
    <row r="2138" customFormat="false" ht="15" hidden="false" customHeight="true" outlineLevel="0" collapsed="false">
      <c r="A2138" s="11" t="str">
        <f aca="false">IF(원본명단!$A2137="","",2135)</f>
        <v/>
      </c>
      <c r="B2138" s="12" t="str">
        <f aca="false">IF($A2138="","",원본명단!$A2137)</f>
        <v/>
      </c>
      <c r="C2138" s="12" t="str">
        <f aca="false">IF($A2138="","",원본명단!$B2137)</f>
        <v/>
      </c>
      <c r="D2138" s="12" t="str">
        <f aca="false">IF($A2138="","",원본명단!$D2137)</f>
        <v/>
      </c>
      <c r="E2138" s="11" t="str">
        <f aca="false">IF($A2138="","",IF(원본명단!$H2137="",0,COUNTIF(원본명단!$H$3:$H$6002,원본명단!$H2137)))</f>
        <v/>
      </c>
      <c r="F2138" s="11" t="str">
        <f aca="false">IF($A2138="","",IF(원본명단!$I2137="",0,COUNTIF(원본명단!$I$3:$I$6002,원본명단!$I2137)))</f>
        <v/>
      </c>
      <c r="G2138" s="11" t="str">
        <f aca="false">IF($A2138="","",IF(원본명단!$K2137="",0,COUNTIF(원본명단!$K$3:$K$6002,원본명단!$K2137)))</f>
        <v/>
      </c>
      <c r="H2138" s="11" t="str">
        <f aca="false">IF($A2138="","",IF(MAX($E2138,$F2138,$G2138)&gt;1,"중복","-"))</f>
        <v/>
      </c>
      <c r="I2138" s="11" t="str">
        <f aca="false">IF($A2138="","",IF($H2138="-","-",IF(AND(IF(원본명단!$H2137="",TRUE(),COUNTIF(원본명단!$H$3:$H2137,원본명단!$H2137)=1),IF(원본명단!$I2137="",TRUE(),COUNTIF(원본명단!$I$3:$I2137,원본명단!$I2137)=1),IF(원본명단!$K2137="",TRUE(),COUNTIF(원본명단!$K$3:$K2137,원본명단!$K2137)=1)),"첫 건","중복 건")))</f>
        <v/>
      </c>
      <c r="J2138" s="11" t="str">
        <f aca="false">IF($A2138="","",IF($H2138="-","유지",IF($I2138="첫 건","유지","확인 필요")))</f>
        <v/>
      </c>
    </row>
    <row r="2139" customFormat="false" ht="15" hidden="false" customHeight="true" outlineLevel="0" collapsed="false">
      <c r="A2139" s="11" t="str">
        <f aca="false">IF(원본명단!$A2138="","",2136)</f>
        <v/>
      </c>
      <c r="B2139" s="12" t="str">
        <f aca="false">IF($A2139="","",원본명단!$A2138)</f>
        <v/>
      </c>
      <c r="C2139" s="12" t="str">
        <f aca="false">IF($A2139="","",원본명단!$B2138)</f>
        <v/>
      </c>
      <c r="D2139" s="12" t="str">
        <f aca="false">IF($A2139="","",원본명단!$D2138)</f>
        <v/>
      </c>
      <c r="E2139" s="11" t="str">
        <f aca="false">IF($A2139="","",IF(원본명단!$H2138="",0,COUNTIF(원본명단!$H$3:$H$6002,원본명단!$H2138)))</f>
        <v/>
      </c>
      <c r="F2139" s="11" t="str">
        <f aca="false">IF($A2139="","",IF(원본명단!$I2138="",0,COUNTIF(원본명단!$I$3:$I$6002,원본명단!$I2138)))</f>
        <v/>
      </c>
      <c r="G2139" s="11" t="str">
        <f aca="false">IF($A2139="","",IF(원본명단!$K2138="",0,COUNTIF(원본명단!$K$3:$K$6002,원본명단!$K2138)))</f>
        <v/>
      </c>
      <c r="H2139" s="11" t="str">
        <f aca="false">IF($A2139="","",IF(MAX($E2139,$F2139,$G2139)&gt;1,"중복","-"))</f>
        <v/>
      </c>
      <c r="I2139" s="11" t="str">
        <f aca="false">IF($A2139="","",IF($H2139="-","-",IF(AND(IF(원본명단!$H2138="",TRUE(),COUNTIF(원본명단!$H$3:$H2138,원본명단!$H2138)=1),IF(원본명단!$I2138="",TRUE(),COUNTIF(원본명단!$I$3:$I2138,원본명단!$I2138)=1),IF(원본명단!$K2138="",TRUE(),COUNTIF(원본명단!$K$3:$K2138,원본명단!$K2138)=1)),"첫 건","중복 건")))</f>
        <v/>
      </c>
      <c r="J2139" s="11" t="str">
        <f aca="false">IF($A2139="","",IF($H2139="-","유지",IF($I2139="첫 건","유지","확인 필요")))</f>
        <v/>
      </c>
    </row>
    <row r="2140" customFormat="false" ht="15" hidden="false" customHeight="true" outlineLevel="0" collapsed="false">
      <c r="A2140" s="11" t="str">
        <f aca="false">IF(원본명단!$A2139="","",2137)</f>
        <v/>
      </c>
      <c r="B2140" s="12" t="str">
        <f aca="false">IF($A2140="","",원본명단!$A2139)</f>
        <v/>
      </c>
      <c r="C2140" s="12" t="str">
        <f aca="false">IF($A2140="","",원본명단!$B2139)</f>
        <v/>
      </c>
      <c r="D2140" s="12" t="str">
        <f aca="false">IF($A2140="","",원본명단!$D2139)</f>
        <v/>
      </c>
      <c r="E2140" s="11" t="str">
        <f aca="false">IF($A2140="","",IF(원본명단!$H2139="",0,COUNTIF(원본명단!$H$3:$H$6002,원본명단!$H2139)))</f>
        <v/>
      </c>
      <c r="F2140" s="11" t="str">
        <f aca="false">IF($A2140="","",IF(원본명단!$I2139="",0,COUNTIF(원본명단!$I$3:$I$6002,원본명단!$I2139)))</f>
        <v/>
      </c>
      <c r="G2140" s="11" t="str">
        <f aca="false">IF($A2140="","",IF(원본명단!$K2139="",0,COUNTIF(원본명단!$K$3:$K$6002,원본명단!$K2139)))</f>
        <v/>
      </c>
      <c r="H2140" s="11" t="str">
        <f aca="false">IF($A2140="","",IF(MAX($E2140,$F2140,$G2140)&gt;1,"중복","-"))</f>
        <v/>
      </c>
      <c r="I2140" s="11" t="str">
        <f aca="false">IF($A2140="","",IF($H2140="-","-",IF(AND(IF(원본명단!$H2139="",TRUE(),COUNTIF(원본명단!$H$3:$H2139,원본명단!$H2139)=1),IF(원본명단!$I2139="",TRUE(),COUNTIF(원본명단!$I$3:$I2139,원본명단!$I2139)=1),IF(원본명단!$K2139="",TRUE(),COUNTIF(원본명단!$K$3:$K2139,원본명단!$K2139)=1)),"첫 건","중복 건")))</f>
        <v/>
      </c>
      <c r="J2140" s="11" t="str">
        <f aca="false">IF($A2140="","",IF($H2140="-","유지",IF($I2140="첫 건","유지","확인 필요")))</f>
        <v/>
      </c>
    </row>
    <row r="2141" customFormat="false" ht="15" hidden="false" customHeight="true" outlineLevel="0" collapsed="false">
      <c r="A2141" s="11" t="str">
        <f aca="false">IF(원본명단!$A2140="","",2138)</f>
        <v/>
      </c>
      <c r="B2141" s="12" t="str">
        <f aca="false">IF($A2141="","",원본명단!$A2140)</f>
        <v/>
      </c>
      <c r="C2141" s="12" t="str">
        <f aca="false">IF($A2141="","",원본명단!$B2140)</f>
        <v/>
      </c>
      <c r="D2141" s="12" t="str">
        <f aca="false">IF($A2141="","",원본명단!$D2140)</f>
        <v/>
      </c>
      <c r="E2141" s="11" t="str">
        <f aca="false">IF($A2141="","",IF(원본명단!$H2140="",0,COUNTIF(원본명단!$H$3:$H$6002,원본명단!$H2140)))</f>
        <v/>
      </c>
      <c r="F2141" s="11" t="str">
        <f aca="false">IF($A2141="","",IF(원본명단!$I2140="",0,COUNTIF(원본명단!$I$3:$I$6002,원본명단!$I2140)))</f>
        <v/>
      </c>
      <c r="G2141" s="11" t="str">
        <f aca="false">IF($A2141="","",IF(원본명단!$K2140="",0,COUNTIF(원본명단!$K$3:$K$6002,원본명단!$K2140)))</f>
        <v/>
      </c>
      <c r="H2141" s="11" t="str">
        <f aca="false">IF($A2141="","",IF(MAX($E2141,$F2141,$G2141)&gt;1,"중복","-"))</f>
        <v/>
      </c>
      <c r="I2141" s="11" t="str">
        <f aca="false">IF($A2141="","",IF($H2141="-","-",IF(AND(IF(원본명단!$H2140="",TRUE(),COUNTIF(원본명단!$H$3:$H2140,원본명단!$H2140)=1),IF(원본명단!$I2140="",TRUE(),COUNTIF(원본명단!$I$3:$I2140,원본명단!$I2140)=1),IF(원본명단!$K2140="",TRUE(),COUNTIF(원본명단!$K$3:$K2140,원본명단!$K2140)=1)),"첫 건","중복 건")))</f>
        <v/>
      </c>
      <c r="J2141" s="11" t="str">
        <f aca="false">IF($A2141="","",IF($H2141="-","유지",IF($I2141="첫 건","유지","확인 필요")))</f>
        <v/>
      </c>
    </row>
    <row r="2142" customFormat="false" ht="15" hidden="false" customHeight="true" outlineLevel="0" collapsed="false">
      <c r="A2142" s="11" t="str">
        <f aca="false">IF(원본명단!$A2141="","",2139)</f>
        <v/>
      </c>
      <c r="B2142" s="12" t="str">
        <f aca="false">IF($A2142="","",원본명단!$A2141)</f>
        <v/>
      </c>
      <c r="C2142" s="12" t="str">
        <f aca="false">IF($A2142="","",원본명단!$B2141)</f>
        <v/>
      </c>
      <c r="D2142" s="12" t="str">
        <f aca="false">IF($A2142="","",원본명단!$D2141)</f>
        <v/>
      </c>
      <c r="E2142" s="11" t="str">
        <f aca="false">IF($A2142="","",IF(원본명단!$H2141="",0,COUNTIF(원본명단!$H$3:$H$6002,원본명단!$H2141)))</f>
        <v/>
      </c>
      <c r="F2142" s="11" t="str">
        <f aca="false">IF($A2142="","",IF(원본명단!$I2141="",0,COUNTIF(원본명단!$I$3:$I$6002,원본명단!$I2141)))</f>
        <v/>
      </c>
      <c r="G2142" s="11" t="str">
        <f aca="false">IF($A2142="","",IF(원본명단!$K2141="",0,COUNTIF(원본명단!$K$3:$K$6002,원본명단!$K2141)))</f>
        <v/>
      </c>
      <c r="H2142" s="11" t="str">
        <f aca="false">IF($A2142="","",IF(MAX($E2142,$F2142,$G2142)&gt;1,"중복","-"))</f>
        <v/>
      </c>
      <c r="I2142" s="11" t="str">
        <f aca="false">IF($A2142="","",IF($H2142="-","-",IF(AND(IF(원본명단!$H2141="",TRUE(),COUNTIF(원본명단!$H$3:$H2141,원본명단!$H2141)=1),IF(원본명단!$I2141="",TRUE(),COUNTIF(원본명단!$I$3:$I2141,원본명단!$I2141)=1),IF(원본명단!$K2141="",TRUE(),COUNTIF(원본명단!$K$3:$K2141,원본명단!$K2141)=1)),"첫 건","중복 건")))</f>
        <v/>
      </c>
      <c r="J2142" s="11" t="str">
        <f aca="false">IF($A2142="","",IF($H2142="-","유지",IF($I2142="첫 건","유지","확인 필요")))</f>
        <v/>
      </c>
    </row>
    <row r="2143" customFormat="false" ht="15" hidden="false" customHeight="true" outlineLevel="0" collapsed="false">
      <c r="A2143" s="11" t="str">
        <f aca="false">IF(원본명단!$A2142="","",2140)</f>
        <v/>
      </c>
      <c r="B2143" s="12" t="str">
        <f aca="false">IF($A2143="","",원본명단!$A2142)</f>
        <v/>
      </c>
      <c r="C2143" s="12" t="str">
        <f aca="false">IF($A2143="","",원본명단!$B2142)</f>
        <v/>
      </c>
      <c r="D2143" s="12" t="str">
        <f aca="false">IF($A2143="","",원본명단!$D2142)</f>
        <v/>
      </c>
      <c r="E2143" s="11" t="str">
        <f aca="false">IF($A2143="","",IF(원본명단!$H2142="",0,COUNTIF(원본명단!$H$3:$H$6002,원본명단!$H2142)))</f>
        <v/>
      </c>
      <c r="F2143" s="11" t="str">
        <f aca="false">IF($A2143="","",IF(원본명단!$I2142="",0,COUNTIF(원본명단!$I$3:$I$6002,원본명단!$I2142)))</f>
        <v/>
      </c>
      <c r="G2143" s="11" t="str">
        <f aca="false">IF($A2143="","",IF(원본명단!$K2142="",0,COUNTIF(원본명단!$K$3:$K$6002,원본명단!$K2142)))</f>
        <v/>
      </c>
      <c r="H2143" s="11" t="str">
        <f aca="false">IF($A2143="","",IF(MAX($E2143,$F2143,$G2143)&gt;1,"중복","-"))</f>
        <v/>
      </c>
      <c r="I2143" s="11" t="str">
        <f aca="false">IF($A2143="","",IF($H2143="-","-",IF(AND(IF(원본명단!$H2142="",TRUE(),COUNTIF(원본명단!$H$3:$H2142,원본명단!$H2142)=1),IF(원본명단!$I2142="",TRUE(),COUNTIF(원본명단!$I$3:$I2142,원본명단!$I2142)=1),IF(원본명단!$K2142="",TRUE(),COUNTIF(원본명단!$K$3:$K2142,원본명단!$K2142)=1)),"첫 건","중복 건")))</f>
        <v/>
      </c>
      <c r="J2143" s="11" t="str">
        <f aca="false">IF($A2143="","",IF($H2143="-","유지",IF($I2143="첫 건","유지","확인 필요")))</f>
        <v/>
      </c>
    </row>
    <row r="2144" customFormat="false" ht="15" hidden="false" customHeight="true" outlineLevel="0" collapsed="false">
      <c r="A2144" s="11" t="str">
        <f aca="false">IF(원본명단!$A2143="","",2141)</f>
        <v/>
      </c>
      <c r="B2144" s="12" t="str">
        <f aca="false">IF($A2144="","",원본명단!$A2143)</f>
        <v/>
      </c>
      <c r="C2144" s="12" t="str">
        <f aca="false">IF($A2144="","",원본명단!$B2143)</f>
        <v/>
      </c>
      <c r="D2144" s="12" t="str">
        <f aca="false">IF($A2144="","",원본명단!$D2143)</f>
        <v/>
      </c>
      <c r="E2144" s="11" t="str">
        <f aca="false">IF($A2144="","",IF(원본명단!$H2143="",0,COUNTIF(원본명단!$H$3:$H$6002,원본명단!$H2143)))</f>
        <v/>
      </c>
      <c r="F2144" s="11" t="str">
        <f aca="false">IF($A2144="","",IF(원본명단!$I2143="",0,COUNTIF(원본명단!$I$3:$I$6002,원본명단!$I2143)))</f>
        <v/>
      </c>
      <c r="G2144" s="11" t="str">
        <f aca="false">IF($A2144="","",IF(원본명단!$K2143="",0,COUNTIF(원본명단!$K$3:$K$6002,원본명단!$K2143)))</f>
        <v/>
      </c>
      <c r="H2144" s="11" t="str">
        <f aca="false">IF($A2144="","",IF(MAX($E2144,$F2144,$G2144)&gt;1,"중복","-"))</f>
        <v/>
      </c>
      <c r="I2144" s="11" t="str">
        <f aca="false">IF($A2144="","",IF($H2144="-","-",IF(AND(IF(원본명단!$H2143="",TRUE(),COUNTIF(원본명단!$H$3:$H2143,원본명단!$H2143)=1),IF(원본명단!$I2143="",TRUE(),COUNTIF(원본명단!$I$3:$I2143,원본명단!$I2143)=1),IF(원본명단!$K2143="",TRUE(),COUNTIF(원본명단!$K$3:$K2143,원본명단!$K2143)=1)),"첫 건","중복 건")))</f>
        <v/>
      </c>
      <c r="J2144" s="11" t="str">
        <f aca="false">IF($A2144="","",IF($H2144="-","유지",IF($I2144="첫 건","유지","확인 필요")))</f>
        <v/>
      </c>
    </row>
    <row r="2145" customFormat="false" ht="15" hidden="false" customHeight="true" outlineLevel="0" collapsed="false">
      <c r="A2145" s="11" t="str">
        <f aca="false">IF(원본명단!$A2144="","",2142)</f>
        <v/>
      </c>
      <c r="B2145" s="12" t="str">
        <f aca="false">IF($A2145="","",원본명단!$A2144)</f>
        <v/>
      </c>
      <c r="C2145" s="12" t="str">
        <f aca="false">IF($A2145="","",원본명단!$B2144)</f>
        <v/>
      </c>
      <c r="D2145" s="12" t="str">
        <f aca="false">IF($A2145="","",원본명단!$D2144)</f>
        <v/>
      </c>
      <c r="E2145" s="11" t="str">
        <f aca="false">IF($A2145="","",IF(원본명단!$H2144="",0,COUNTIF(원본명단!$H$3:$H$6002,원본명단!$H2144)))</f>
        <v/>
      </c>
      <c r="F2145" s="11" t="str">
        <f aca="false">IF($A2145="","",IF(원본명단!$I2144="",0,COUNTIF(원본명단!$I$3:$I$6002,원본명단!$I2144)))</f>
        <v/>
      </c>
      <c r="G2145" s="11" t="str">
        <f aca="false">IF($A2145="","",IF(원본명단!$K2144="",0,COUNTIF(원본명단!$K$3:$K$6002,원본명단!$K2144)))</f>
        <v/>
      </c>
      <c r="H2145" s="11" t="str">
        <f aca="false">IF($A2145="","",IF(MAX($E2145,$F2145,$G2145)&gt;1,"중복","-"))</f>
        <v/>
      </c>
      <c r="I2145" s="11" t="str">
        <f aca="false">IF($A2145="","",IF($H2145="-","-",IF(AND(IF(원본명단!$H2144="",TRUE(),COUNTIF(원본명단!$H$3:$H2144,원본명단!$H2144)=1),IF(원본명단!$I2144="",TRUE(),COUNTIF(원본명단!$I$3:$I2144,원본명단!$I2144)=1),IF(원본명단!$K2144="",TRUE(),COUNTIF(원본명단!$K$3:$K2144,원본명단!$K2144)=1)),"첫 건","중복 건")))</f>
        <v/>
      </c>
      <c r="J2145" s="11" t="str">
        <f aca="false">IF($A2145="","",IF($H2145="-","유지",IF($I2145="첫 건","유지","확인 필요")))</f>
        <v/>
      </c>
    </row>
    <row r="2146" customFormat="false" ht="15" hidden="false" customHeight="true" outlineLevel="0" collapsed="false">
      <c r="A2146" s="11" t="str">
        <f aca="false">IF(원본명단!$A2145="","",2143)</f>
        <v/>
      </c>
      <c r="B2146" s="12" t="str">
        <f aca="false">IF($A2146="","",원본명단!$A2145)</f>
        <v/>
      </c>
      <c r="C2146" s="12" t="str">
        <f aca="false">IF($A2146="","",원본명단!$B2145)</f>
        <v/>
      </c>
      <c r="D2146" s="12" t="str">
        <f aca="false">IF($A2146="","",원본명단!$D2145)</f>
        <v/>
      </c>
      <c r="E2146" s="11" t="str">
        <f aca="false">IF($A2146="","",IF(원본명단!$H2145="",0,COUNTIF(원본명단!$H$3:$H$6002,원본명단!$H2145)))</f>
        <v/>
      </c>
      <c r="F2146" s="11" t="str">
        <f aca="false">IF($A2146="","",IF(원본명단!$I2145="",0,COUNTIF(원본명단!$I$3:$I$6002,원본명단!$I2145)))</f>
        <v/>
      </c>
      <c r="G2146" s="11" t="str">
        <f aca="false">IF($A2146="","",IF(원본명단!$K2145="",0,COUNTIF(원본명단!$K$3:$K$6002,원본명단!$K2145)))</f>
        <v/>
      </c>
      <c r="H2146" s="11" t="str">
        <f aca="false">IF($A2146="","",IF(MAX($E2146,$F2146,$G2146)&gt;1,"중복","-"))</f>
        <v/>
      </c>
      <c r="I2146" s="11" t="str">
        <f aca="false">IF($A2146="","",IF($H2146="-","-",IF(AND(IF(원본명단!$H2145="",TRUE(),COUNTIF(원본명단!$H$3:$H2145,원본명단!$H2145)=1),IF(원본명단!$I2145="",TRUE(),COUNTIF(원본명단!$I$3:$I2145,원본명단!$I2145)=1),IF(원본명단!$K2145="",TRUE(),COUNTIF(원본명단!$K$3:$K2145,원본명단!$K2145)=1)),"첫 건","중복 건")))</f>
        <v/>
      </c>
      <c r="J2146" s="11" t="str">
        <f aca="false">IF($A2146="","",IF($H2146="-","유지",IF($I2146="첫 건","유지","확인 필요")))</f>
        <v/>
      </c>
    </row>
    <row r="2147" customFormat="false" ht="15" hidden="false" customHeight="true" outlineLevel="0" collapsed="false">
      <c r="A2147" s="11" t="str">
        <f aca="false">IF(원본명단!$A2146="","",2144)</f>
        <v/>
      </c>
      <c r="B2147" s="12" t="str">
        <f aca="false">IF($A2147="","",원본명단!$A2146)</f>
        <v/>
      </c>
      <c r="C2147" s="12" t="str">
        <f aca="false">IF($A2147="","",원본명단!$B2146)</f>
        <v/>
      </c>
      <c r="D2147" s="12" t="str">
        <f aca="false">IF($A2147="","",원본명단!$D2146)</f>
        <v/>
      </c>
      <c r="E2147" s="11" t="str">
        <f aca="false">IF($A2147="","",IF(원본명단!$H2146="",0,COUNTIF(원본명단!$H$3:$H$6002,원본명단!$H2146)))</f>
        <v/>
      </c>
      <c r="F2147" s="11" t="str">
        <f aca="false">IF($A2147="","",IF(원본명단!$I2146="",0,COUNTIF(원본명단!$I$3:$I$6002,원본명단!$I2146)))</f>
        <v/>
      </c>
      <c r="G2147" s="11" t="str">
        <f aca="false">IF($A2147="","",IF(원본명단!$K2146="",0,COUNTIF(원본명단!$K$3:$K$6002,원본명단!$K2146)))</f>
        <v/>
      </c>
      <c r="H2147" s="11" t="str">
        <f aca="false">IF($A2147="","",IF(MAX($E2147,$F2147,$G2147)&gt;1,"중복","-"))</f>
        <v/>
      </c>
      <c r="I2147" s="11" t="str">
        <f aca="false">IF($A2147="","",IF($H2147="-","-",IF(AND(IF(원본명단!$H2146="",TRUE(),COUNTIF(원본명단!$H$3:$H2146,원본명단!$H2146)=1),IF(원본명단!$I2146="",TRUE(),COUNTIF(원본명단!$I$3:$I2146,원본명단!$I2146)=1),IF(원본명단!$K2146="",TRUE(),COUNTIF(원본명단!$K$3:$K2146,원본명단!$K2146)=1)),"첫 건","중복 건")))</f>
        <v/>
      </c>
      <c r="J2147" s="11" t="str">
        <f aca="false">IF($A2147="","",IF($H2147="-","유지",IF($I2147="첫 건","유지","확인 필요")))</f>
        <v/>
      </c>
    </row>
    <row r="2148" customFormat="false" ht="15" hidden="false" customHeight="true" outlineLevel="0" collapsed="false">
      <c r="A2148" s="11" t="str">
        <f aca="false">IF(원본명단!$A2147="","",2145)</f>
        <v/>
      </c>
      <c r="B2148" s="12" t="str">
        <f aca="false">IF($A2148="","",원본명단!$A2147)</f>
        <v/>
      </c>
      <c r="C2148" s="12" t="str">
        <f aca="false">IF($A2148="","",원본명단!$B2147)</f>
        <v/>
      </c>
      <c r="D2148" s="12" t="str">
        <f aca="false">IF($A2148="","",원본명단!$D2147)</f>
        <v/>
      </c>
      <c r="E2148" s="11" t="str">
        <f aca="false">IF($A2148="","",IF(원본명단!$H2147="",0,COUNTIF(원본명단!$H$3:$H$6002,원본명단!$H2147)))</f>
        <v/>
      </c>
      <c r="F2148" s="11" t="str">
        <f aca="false">IF($A2148="","",IF(원본명단!$I2147="",0,COUNTIF(원본명단!$I$3:$I$6002,원본명단!$I2147)))</f>
        <v/>
      </c>
      <c r="G2148" s="11" t="str">
        <f aca="false">IF($A2148="","",IF(원본명단!$K2147="",0,COUNTIF(원본명단!$K$3:$K$6002,원본명단!$K2147)))</f>
        <v/>
      </c>
      <c r="H2148" s="11" t="str">
        <f aca="false">IF($A2148="","",IF(MAX($E2148,$F2148,$G2148)&gt;1,"중복","-"))</f>
        <v/>
      </c>
      <c r="I2148" s="11" t="str">
        <f aca="false">IF($A2148="","",IF($H2148="-","-",IF(AND(IF(원본명단!$H2147="",TRUE(),COUNTIF(원본명단!$H$3:$H2147,원본명단!$H2147)=1),IF(원본명단!$I2147="",TRUE(),COUNTIF(원본명단!$I$3:$I2147,원본명단!$I2147)=1),IF(원본명단!$K2147="",TRUE(),COUNTIF(원본명단!$K$3:$K2147,원본명단!$K2147)=1)),"첫 건","중복 건")))</f>
        <v/>
      </c>
      <c r="J2148" s="11" t="str">
        <f aca="false">IF($A2148="","",IF($H2148="-","유지",IF($I2148="첫 건","유지","확인 필요")))</f>
        <v/>
      </c>
    </row>
    <row r="2149" customFormat="false" ht="15" hidden="false" customHeight="true" outlineLevel="0" collapsed="false">
      <c r="A2149" s="11" t="str">
        <f aca="false">IF(원본명단!$A2148="","",2146)</f>
        <v/>
      </c>
      <c r="B2149" s="12" t="str">
        <f aca="false">IF($A2149="","",원본명단!$A2148)</f>
        <v/>
      </c>
      <c r="C2149" s="12" t="str">
        <f aca="false">IF($A2149="","",원본명단!$B2148)</f>
        <v/>
      </c>
      <c r="D2149" s="12" t="str">
        <f aca="false">IF($A2149="","",원본명단!$D2148)</f>
        <v/>
      </c>
      <c r="E2149" s="11" t="str">
        <f aca="false">IF($A2149="","",IF(원본명단!$H2148="",0,COUNTIF(원본명단!$H$3:$H$6002,원본명단!$H2148)))</f>
        <v/>
      </c>
      <c r="F2149" s="11" t="str">
        <f aca="false">IF($A2149="","",IF(원본명단!$I2148="",0,COUNTIF(원본명단!$I$3:$I$6002,원본명단!$I2148)))</f>
        <v/>
      </c>
      <c r="G2149" s="11" t="str">
        <f aca="false">IF($A2149="","",IF(원본명단!$K2148="",0,COUNTIF(원본명단!$K$3:$K$6002,원본명단!$K2148)))</f>
        <v/>
      </c>
      <c r="H2149" s="11" t="str">
        <f aca="false">IF($A2149="","",IF(MAX($E2149,$F2149,$G2149)&gt;1,"중복","-"))</f>
        <v/>
      </c>
      <c r="I2149" s="11" t="str">
        <f aca="false">IF($A2149="","",IF($H2149="-","-",IF(AND(IF(원본명단!$H2148="",TRUE(),COUNTIF(원본명단!$H$3:$H2148,원본명단!$H2148)=1),IF(원본명단!$I2148="",TRUE(),COUNTIF(원본명단!$I$3:$I2148,원본명단!$I2148)=1),IF(원본명단!$K2148="",TRUE(),COUNTIF(원본명단!$K$3:$K2148,원본명단!$K2148)=1)),"첫 건","중복 건")))</f>
        <v/>
      </c>
      <c r="J2149" s="11" t="str">
        <f aca="false">IF($A2149="","",IF($H2149="-","유지",IF($I2149="첫 건","유지","확인 필요")))</f>
        <v/>
      </c>
    </row>
    <row r="2150" customFormat="false" ht="15" hidden="false" customHeight="true" outlineLevel="0" collapsed="false">
      <c r="A2150" s="11" t="str">
        <f aca="false">IF(원본명단!$A2149="","",2147)</f>
        <v/>
      </c>
      <c r="B2150" s="12" t="str">
        <f aca="false">IF($A2150="","",원본명단!$A2149)</f>
        <v/>
      </c>
      <c r="C2150" s="12" t="str">
        <f aca="false">IF($A2150="","",원본명단!$B2149)</f>
        <v/>
      </c>
      <c r="D2150" s="12" t="str">
        <f aca="false">IF($A2150="","",원본명단!$D2149)</f>
        <v/>
      </c>
      <c r="E2150" s="11" t="str">
        <f aca="false">IF($A2150="","",IF(원본명단!$H2149="",0,COUNTIF(원본명단!$H$3:$H$6002,원본명단!$H2149)))</f>
        <v/>
      </c>
      <c r="F2150" s="11" t="str">
        <f aca="false">IF($A2150="","",IF(원본명단!$I2149="",0,COUNTIF(원본명단!$I$3:$I$6002,원본명단!$I2149)))</f>
        <v/>
      </c>
      <c r="G2150" s="11" t="str">
        <f aca="false">IF($A2150="","",IF(원본명단!$K2149="",0,COUNTIF(원본명단!$K$3:$K$6002,원본명단!$K2149)))</f>
        <v/>
      </c>
      <c r="H2150" s="11" t="str">
        <f aca="false">IF($A2150="","",IF(MAX($E2150,$F2150,$G2150)&gt;1,"중복","-"))</f>
        <v/>
      </c>
      <c r="I2150" s="11" t="str">
        <f aca="false">IF($A2150="","",IF($H2150="-","-",IF(AND(IF(원본명단!$H2149="",TRUE(),COUNTIF(원본명단!$H$3:$H2149,원본명단!$H2149)=1),IF(원본명단!$I2149="",TRUE(),COUNTIF(원본명단!$I$3:$I2149,원본명단!$I2149)=1),IF(원본명단!$K2149="",TRUE(),COUNTIF(원본명단!$K$3:$K2149,원본명단!$K2149)=1)),"첫 건","중복 건")))</f>
        <v/>
      </c>
      <c r="J2150" s="11" t="str">
        <f aca="false">IF($A2150="","",IF($H2150="-","유지",IF($I2150="첫 건","유지","확인 필요")))</f>
        <v/>
      </c>
    </row>
    <row r="2151" customFormat="false" ht="15" hidden="false" customHeight="true" outlineLevel="0" collapsed="false">
      <c r="A2151" s="11" t="str">
        <f aca="false">IF(원본명단!$A2150="","",2148)</f>
        <v/>
      </c>
      <c r="B2151" s="12" t="str">
        <f aca="false">IF($A2151="","",원본명단!$A2150)</f>
        <v/>
      </c>
      <c r="C2151" s="12" t="str">
        <f aca="false">IF($A2151="","",원본명단!$B2150)</f>
        <v/>
      </c>
      <c r="D2151" s="12" t="str">
        <f aca="false">IF($A2151="","",원본명단!$D2150)</f>
        <v/>
      </c>
      <c r="E2151" s="11" t="str">
        <f aca="false">IF($A2151="","",IF(원본명단!$H2150="",0,COUNTIF(원본명단!$H$3:$H$6002,원본명단!$H2150)))</f>
        <v/>
      </c>
      <c r="F2151" s="11" t="str">
        <f aca="false">IF($A2151="","",IF(원본명단!$I2150="",0,COUNTIF(원본명단!$I$3:$I$6002,원본명단!$I2150)))</f>
        <v/>
      </c>
      <c r="G2151" s="11" t="str">
        <f aca="false">IF($A2151="","",IF(원본명단!$K2150="",0,COUNTIF(원본명단!$K$3:$K$6002,원본명단!$K2150)))</f>
        <v/>
      </c>
      <c r="H2151" s="11" t="str">
        <f aca="false">IF($A2151="","",IF(MAX($E2151,$F2151,$G2151)&gt;1,"중복","-"))</f>
        <v/>
      </c>
      <c r="I2151" s="11" t="str">
        <f aca="false">IF($A2151="","",IF($H2151="-","-",IF(AND(IF(원본명단!$H2150="",TRUE(),COUNTIF(원본명단!$H$3:$H2150,원본명단!$H2150)=1),IF(원본명단!$I2150="",TRUE(),COUNTIF(원본명단!$I$3:$I2150,원본명단!$I2150)=1),IF(원본명단!$K2150="",TRUE(),COUNTIF(원본명단!$K$3:$K2150,원본명단!$K2150)=1)),"첫 건","중복 건")))</f>
        <v/>
      </c>
      <c r="J2151" s="11" t="str">
        <f aca="false">IF($A2151="","",IF($H2151="-","유지",IF($I2151="첫 건","유지","확인 필요")))</f>
        <v/>
      </c>
    </row>
    <row r="2152" customFormat="false" ht="15" hidden="false" customHeight="true" outlineLevel="0" collapsed="false">
      <c r="A2152" s="11" t="str">
        <f aca="false">IF(원본명단!$A2151="","",2149)</f>
        <v/>
      </c>
      <c r="B2152" s="12" t="str">
        <f aca="false">IF($A2152="","",원본명단!$A2151)</f>
        <v/>
      </c>
      <c r="C2152" s="12" t="str">
        <f aca="false">IF($A2152="","",원본명단!$B2151)</f>
        <v/>
      </c>
      <c r="D2152" s="12" t="str">
        <f aca="false">IF($A2152="","",원본명단!$D2151)</f>
        <v/>
      </c>
      <c r="E2152" s="11" t="str">
        <f aca="false">IF($A2152="","",IF(원본명단!$H2151="",0,COUNTIF(원본명단!$H$3:$H$6002,원본명단!$H2151)))</f>
        <v/>
      </c>
      <c r="F2152" s="11" t="str">
        <f aca="false">IF($A2152="","",IF(원본명단!$I2151="",0,COUNTIF(원본명단!$I$3:$I$6002,원본명단!$I2151)))</f>
        <v/>
      </c>
      <c r="G2152" s="11" t="str">
        <f aca="false">IF($A2152="","",IF(원본명단!$K2151="",0,COUNTIF(원본명단!$K$3:$K$6002,원본명단!$K2151)))</f>
        <v/>
      </c>
      <c r="H2152" s="11" t="str">
        <f aca="false">IF($A2152="","",IF(MAX($E2152,$F2152,$G2152)&gt;1,"중복","-"))</f>
        <v/>
      </c>
      <c r="I2152" s="11" t="str">
        <f aca="false">IF($A2152="","",IF($H2152="-","-",IF(AND(IF(원본명단!$H2151="",TRUE(),COUNTIF(원본명단!$H$3:$H2151,원본명단!$H2151)=1),IF(원본명단!$I2151="",TRUE(),COUNTIF(원본명단!$I$3:$I2151,원본명단!$I2151)=1),IF(원본명단!$K2151="",TRUE(),COUNTIF(원본명단!$K$3:$K2151,원본명단!$K2151)=1)),"첫 건","중복 건")))</f>
        <v/>
      </c>
      <c r="J2152" s="11" t="str">
        <f aca="false">IF($A2152="","",IF($H2152="-","유지",IF($I2152="첫 건","유지","확인 필요")))</f>
        <v/>
      </c>
    </row>
    <row r="2153" customFormat="false" ht="15" hidden="false" customHeight="true" outlineLevel="0" collapsed="false">
      <c r="A2153" s="11" t="str">
        <f aca="false">IF(원본명단!$A2152="","",2150)</f>
        <v/>
      </c>
      <c r="B2153" s="12" t="str">
        <f aca="false">IF($A2153="","",원본명단!$A2152)</f>
        <v/>
      </c>
      <c r="C2153" s="12" t="str">
        <f aca="false">IF($A2153="","",원본명단!$B2152)</f>
        <v/>
      </c>
      <c r="D2153" s="12" t="str">
        <f aca="false">IF($A2153="","",원본명단!$D2152)</f>
        <v/>
      </c>
      <c r="E2153" s="11" t="str">
        <f aca="false">IF($A2153="","",IF(원본명단!$H2152="",0,COUNTIF(원본명단!$H$3:$H$6002,원본명단!$H2152)))</f>
        <v/>
      </c>
      <c r="F2153" s="11" t="str">
        <f aca="false">IF($A2153="","",IF(원본명단!$I2152="",0,COUNTIF(원본명단!$I$3:$I$6002,원본명단!$I2152)))</f>
        <v/>
      </c>
      <c r="G2153" s="11" t="str">
        <f aca="false">IF($A2153="","",IF(원본명단!$K2152="",0,COUNTIF(원본명단!$K$3:$K$6002,원본명단!$K2152)))</f>
        <v/>
      </c>
      <c r="H2153" s="11" t="str">
        <f aca="false">IF($A2153="","",IF(MAX($E2153,$F2153,$G2153)&gt;1,"중복","-"))</f>
        <v/>
      </c>
      <c r="I2153" s="11" t="str">
        <f aca="false">IF($A2153="","",IF($H2153="-","-",IF(AND(IF(원본명단!$H2152="",TRUE(),COUNTIF(원본명단!$H$3:$H2152,원본명단!$H2152)=1),IF(원본명단!$I2152="",TRUE(),COUNTIF(원본명단!$I$3:$I2152,원본명단!$I2152)=1),IF(원본명단!$K2152="",TRUE(),COUNTIF(원본명단!$K$3:$K2152,원본명단!$K2152)=1)),"첫 건","중복 건")))</f>
        <v/>
      </c>
      <c r="J2153" s="11" t="str">
        <f aca="false">IF($A2153="","",IF($H2153="-","유지",IF($I2153="첫 건","유지","확인 필요")))</f>
        <v/>
      </c>
    </row>
    <row r="2154" customFormat="false" ht="15" hidden="false" customHeight="true" outlineLevel="0" collapsed="false">
      <c r="A2154" s="11" t="str">
        <f aca="false">IF(원본명단!$A2153="","",2151)</f>
        <v/>
      </c>
      <c r="B2154" s="12" t="str">
        <f aca="false">IF($A2154="","",원본명단!$A2153)</f>
        <v/>
      </c>
      <c r="C2154" s="12" t="str">
        <f aca="false">IF($A2154="","",원본명단!$B2153)</f>
        <v/>
      </c>
      <c r="D2154" s="12" t="str">
        <f aca="false">IF($A2154="","",원본명단!$D2153)</f>
        <v/>
      </c>
      <c r="E2154" s="11" t="str">
        <f aca="false">IF($A2154="","",IF(원본명단!$H2153="",0,COUNTIF(원본명단!$H$3:$H$6002,원본명단!$H2153)))</f>
        <v/>
      </c>
      <c r="F2154" s="11" t="str">
        <f aca="false">IF($A2154="","",IF(원본명단!$I2153="",0,COUNTIF(원본명단!$I$3:$I$6002,원본명단!$I2153)))</f>
        <v/>
      </c>
      <c r="G2154" s="11" t="str">
        <f aca="false">IF($A2154="","",IF(원본명단!$K2153="",0,COUNTIF(원본명단!$K$3:$K$6002,원본명단!$K2153)))</f>
        <v/>
      </c>
      <c r="H2154" s="11" t="str">
        <f aca="false">IF($A2154="","",IF(MAX($E2154,$F2154,$G2154)&gt;1,"중복","-"))</f>
        <v/>
      </c>
      <c r="I2154" s="11" t="str">
        <f aca="false">IF($A2154="","",IF($H2154="-","-",IF(AND(IF(원본명단!$H2153="",TRUE(),COUNTIF(원본명단!$H$3:$H2153,원본명단!$H2153)=1),IF(원본명단!$I2153="",TRUE(),COUNTIF(원본명단!$I$3:$I2153,원본명단!$I2153)=1),IF(원본명단!$K2153="",TRUE(),COUNTIF(원본명단!$K$3:$K2153,원본명단!$K2153)=1)),"첫 건","중복 건")))</f>
        <v/>
      </c>
      <c r="J2154" s="11" t="str">
        <f aca="false">IF($A2154="","",IF($H2154="-","유지",IF($I2154="첫 건","유지","확인 필요")))</f>
        <v/>
      </c>
    </row>
    <row r="2155" customFormat="false" ht="15" hidden="false" customHeight="true" outlineLevel="0" collapsed="false">
      <c r="A2155" s="11" t="str">
        <f aca="false">IF(원본명단!$A2154="","",2152)</f>
        <v/>
      </c>
      <c r="B2155" s="12" t="str">
        <f aca="false">IF($A2155="","",원본명단!$A2154)</f>
        <v/>
      </c>
      <c r="C2155" s="12" t="str">
        <f aca="false">IF($A2155="","",원본명단!$B2154)</f>
        <v/>
      </c>
      <c r="D2155" s="12" t="str">
        <f aca="false">IF($A2155="","",원본명단!$D2154)</f>
        <v/>
      </c>
      <c r="E2155" s="11" t="str">
        <f aca="false">IF($A2155="","",IF(원본명단!$H2154="",0,COUNTIF(원본명단!$H$3:$H$6002,원본명단!$H2154)))</f>
        <v/>
      </c>
      <c r="F2155" s="11" t="str">
        <f aca="false">IF($A2155="","",IF(원본명단!$I2154="",0,COUNTIF(원본명단!$I$3:$I$6002,원본명단!$I2154)))</f>
        <v/>
      </c>
      <c r="G2155" s="11" t="str">
        <f aca="false">IF($A2155="","",IF(원본명단!$K2154="",0,COUNTIF(원본명단!$K$3:$K$6002,원본명단!$K2154)))</f>
        <v/>
      </c>
      <c r="H2155" s="11" t="str">
        <f aca="false">IF($A2155="","",IF(MAX($E2155,$F2155,$G2155)&gt;1,"중복","-"))</f>
        <v/>
      </c>
      <c r="I2155" s="11" t="str">
        <f aca="false">IF($A2155="","",IF($H2155="-","-",IF(AND(IF(원본명단!$H2154="",TRUE(),COUNTIF(원본명단!$H$3:$H2154,원본명단!$H2154)=1),IF(원본명단!$I2154="",TRUE(),COUNTIF(원본명단!$I$3:$I2154,원본명단!$I2154)=1),IF(원본명단!$K2154="",TRUE(),COUNTIF(원본명단!$K$3:$K2154,원본명단!$K2154)=1)),"첫 건","중복 건")))</f>
        <v/>
      </c>
      <c r="J2155" s="11" t="str">
        <f aca="false">IF($A2155="","",IF($H2155="-","유지",IF($I2155="첫 건","유지","확인 필요")))</f>
        <v/>
      </c>
    </row>
    <row r="2156" customFormat="false" ht="15" hidden="false" customHeight="true" outlineLevel="0" collapsed="false">
      <c r="A2156" s="11" t="str">
        <f aca="false">IF(원본명단!$A2155="","",2153)</f>
        <v/>
      </c>
      <c r="B2156" s="12" t="str">
        <f aca="false">IF($A2156="","",원본명단!$A2155)</f>
        <v/>
      </c>
      <c r="C2156" s="12" t="str">
        <f aca="false">IF($A2156="","",원본명단!$B2155)</f>
        <v/>
      </c>
      <c r="D2156" s="12" t="str">
        <f aca="false">IF($A2156="","",원본명단!$D2155)</f>
        <v/>
      </c>
      <c r="E2156" s="11" t="str">
        <f aca="false">IF($A2156="","",IF(원본명단!$H2155="",0,COUNTIF(원본명단!$H$3:$H$6002,원본명단!$H2155)))</f>
        <v/>
      </c>
      <c r="F2156" s="11" t="str">
        <f aca="false">IF($A2156="","",IF(원본명단!$I2155="",0,COUNTIF(원본명단!$I$3:$I$6002,원본명단!$I2155)))</f>
        <v/>
      </c>
      <c r="G2156" s="11" t="str">
        <f aca="false">IF($A2156="","",IF(원본명단!$K2155="",0,COUNTIF(원본명단!$K$3:$K$6002,원본명단!$K2155)))</f>
        <v/>
      </c>
      <c r="H2156" s="11" t="str">
        <f aca="false">IF($A2156="","",IF(MAX($E2156,$F2156,$G2156)&gt;1,"중복","-"))</f>
        <v/>
      </c>
      <c r="I2156" s="11" t="str">
        <f aca="false">IF($A2156="","",IF($H2156="-","-",IF(AND(IF(원본명단!$H2155="",TRUE(),COUNTIF(원본명단!$H$3:$H2155,원본명단!$H2155)=1),IF(원본명단!$I2155="",TRUE(),COUNTIF(원본명단!$I$3:$I2155,원본명단!$I2155)=1),IF(원본명단!$K2155="",TRUE(),COUNTIF(원본명단!$K$3:$K2155,원본명단!$K2155)=1)),"첫 건","중복 건")))</f>
        <v/>
      </c>
      <c r="J2156" s="11" t="str">
        <f aca="false">IF($A2156="","",IF($H2156="-","유지",IF($I2156="첫 건","유지","확인 필요")))</f>
        <v/>
      </c>
    </row>
    <row r="2157" customFormat="false" ht="15" hidden="false" customHeight="true" outlineLevel="0" collapsed="false">
      <c r="A2157" s="11" t="str">
        <f aca="false">IF(원본명단!$A2156="","",2154)</f>
        <v/>
      </c>
      <c r="B2157" s="12" t="str">
        <f aca="false">IF($A2157="","",원본명단!$A2156)</f>
        <v/>
      </c>
      <c r="C2157" s="12" t="str">
        <f aca="false">IF($A2157="","",원본명단!$B2156)</f>
        <v/>
      </c>
      <c r="D2157" s="12" t="str">
        <f aca="false">IF($A2157="","",원본명단!$D2156)</f>
        <v/>
      </c>
      <c r="E2157" s="11" t="str">
        <f aca="false">IF($A2157="","",IF(원본명단!$H2156="",0,COUNTIF(원본명단!$H$3:$H$6002,원본명단!$H2156)))</f>
        <v/>
      </c>
      <c r="F2157" s="11" t="str">
        <f aca="false">IF($A2157="","",IF(원본명단!$I2156="",0,COUNTIF(원본명단!$I$3:$I$6002,원본명단!$I2156)))</f>
        <v/>
      </c>
      <c r="G2157" s="11" t="str">
        <f aca="false">IF($A2157="","",IF(원본명단!$K2156="",0,COUNTIF(원본명단!$K$3:$K$6002,원본명단!$K2156)))</f>
        <v/>
      </c>
      <c r="H2157" s="11" t="str">
        <f aca="false">IF($A2157="","",IF(MAX($E2157,$F2157,$G2157)&gt;1,"중복","-"))</f>
        <v/>
      </c>
      <c r="I2157" s="11" t="str">
        <f aca="false">IF($A2157="","",IF($H2157="-","-",IF(AND(IF(원본명단!$H2156="",TRUE(),COUNTIF(원본명단!$H$3:$H2156,원본명단!$H2156)=1),IF(원본명단!$I2156="",TRUE(),COUNTIF(원본명단!$I$3:$I2156,원본명단!$I2156)=1),IF(원본명단!$K2156="",TRUE(),COUNTIF(원본명단!$K$3:$K2156,원본명단!$K2156)=1)),"첫 건","중복 건")))</f>
        <v/>
      </c>
      <c r="J2157" s="11" t="str">
        <f aca="false">IF($A2157="","",IF($H2157="-","유지",IF($I2157="첫 건","유지","확인 필요")))</f>
        <v/>
      </c>
    </row>
    <row r="2158" customFormat="false" ht="15" hidden="false" customHeight="true" outlineLevel="0" collapsed="false">
      <c r="A2158" s="11" t="str">
        <f aca="false">IF(원본명단!$A2157="","",2155)</f>
        <v/>
      </c>
      <c r="B2158" s="12" t="str">
        <f aca="false">IF($A2158="","",원본명단!$A2157)</f>
        <v/>
      </c>
      <c r="C2158" s="12" t="str">
        <f aca="false">IF($A2158="","",원본명단!$B2157)</f>
        <v/>
      </c>
      <c r="D2158" s="12" t="str">
        <f aca="false">IF($A2158="","",원본명단!$D2157)</f>
        <v/>
      </c>
      <c r="E2158" s="11" t="str">
        <f aca="false">IF($A2158="","",IF(원본명단!$H2157="",0,COUNTIF(원본명단!$H$3:$H$6002,원본명단!$H2157)))</f>
        <v/>
      </c>
      <c r="F2158" s="11" t="str">
        <f aca="false">IF($A2158="","",IF(원본명단!$I2157="",0,COUNTIF(원본명단!$I$3:$I$6002,원본명단!$I2157)))</f>
        <v/>
      </c>
      <c r="G2158" s="11" t="str">
        <f aca="false">IF($A2158="","",IF(원본명단!$K2157="",0,COUNTIF(원본명단!$K$3:$K$6002,원본명단!$K2157)))</f>
        <v/>
      </c>
      <c r="H2158" s="11" t="str">
        <f aca="false">IF($A2158="","",IF(MAX($E2158,$F2158,$G2158)&gt;1,"중복","-"))</f>
        <v/>
      </c>
      <c r="I2158" s="11" t="str">
        <f aca="false">IF($A2158="","",IF($H2158="-","-",IF(AND(IF(원본명단!$H2157="",TRUE(),COUNTIF(원본명단!$H$3:$H2157,원본명단!$H2157)=1),IF(원본명단!$I2157="",TRUE(),COUNTIF(원본명단!$I$3:$I2157,원본명단!$I2157)=1),IF(원본명단!$K2157="",TRUE(),COUNTIF(원본명단!$K$3:$K2157,원본명단!$K2157)=1)),"첫 건","중복 건")))</f>
        <v/>
      </c>
      <c r="J2158" s="11" t="str">
        <f aca="false">IF($A2158="","",IF($H2158="-","유지",IF($I2158="첫 건","유지","확인 필요")))</f>
        <v/>
      </c>
    </row>
    <row r="2159" customFormat="false" ht="15" hidden="false" customHeight="true" outlineLevel="0" collapsed="false">
      <c r="A2159" s="11" t="str">
        <f aca="false">IF(원본명단!$A2158="","",2156)</f>
        <v/>
      </c>
      <c r="B2159" s="12" t="str">
        <f aca="false">IF($A2159="","",원본명단!$A2158)</f>
        <v/>
      </c>
      <c r="C2159" s="12" t="str">
        <f aca="false">IF($A2159="","",원본명단!$B2158)</f>
        <v/>
      </c>
      <c r="D2159" s="12" t="str">
        <f aca="false">IF($A2159="","",원본명단!$D2158)</f>
        <v/>
      </c>
      <c r="E2159" s="11" t="str">
        <f aca="false">IF($A2159="","",IF(원본명단!$H2158="",0,COUNTIF(원본명단!$H$3:$H$6002,원본명단!$H2158)))</f>
        <v/>
      </c>
      <c r="F2159" s="11" t="str">
        <f aca="false">IF($A2159="","",IF(원본명단!$I2158="",0,COUNTIF(원본명단!$I$3:$I$6002,원본명단!$I2158)))</f>
        <v/>
      </c>
      <c r="G2159" s="11" t="str">
        <f aca="false">IF($A2159="","",IF(원본명단!$K2158="",0,COUNTIF(원본명단!$K$3:$K$6002,원본명단!$K2158)))</f>
        <v/>
      </c>
      <c r="H2159" s="11" t="str">
        <f aca="false">IF($A2159="","",IF(MAX($E2159,$F2159,$G2159)&gt;1,"중복","-"))</f>
        <v/>
      </c>
      <c r="I2159" s="11" t="str">
        <f aca="false">IF($A2159="","",IF($H2159="-","-",IF(AND(IF(원본명단!$H2158="",TRUE(),COUNTIF(원본명단!$H$3:$H2158,원본명단!$H2158)=1),IF(원본명단!$I2158="",TRUE(),COUNTIF(원본명단!$I$3:$I2158,원본명단!$I2158)=1),IF(원본명단!$K2158="",TRUE(),COUNTIF(원본명단!$K$3:$K2158,원본명단!$K2158)=1)),"첫 건","중복 건")))</f>
        <v/>
      </c>
      <c r="J2159" s="11" t="str">
        <f aca="false">IF($A2159="","",IF($H2159="-","유지",IF($I2159="첫 건","유지","확인 필요")))</f>
        <v/>
      </c>
    </row>
    <row r="2160" customFormat="false" ht="15" hidden="false" customHeight="true" outlineLevel="0" collapsed="false">
      <c r="A2160" s="11" t="str">
        <f aca="false">IF(원본명단!$A2159="","",2157)</f>
        <v/>
      </c>
      <c r="B2160" s="12" t="str">
        <f aca="false">IF($A2160="","",원본명단!$A2159)</f>
        <v/>
      </c>
      <c r="C2160" s="12" t="str">
        <f aca="false">IF($A2160="","",원본명단!$B2159)</f>
        <v/>
      </c>
      <c r="D2160" s="12" t="str">
        <f aca="false">IF($A2160="","",원본명단!$D2159)</f>
        <v/>
      </c>
      <c r="E2160" s="11" t="str">
        <f aca="false">IF($A2160="","",IF(원본명단!$H2159="",0,COUNTIF(원본명단!$H$3:$H$6002,원본명단!$H2159)))</f>
        <v/>
      </c>
      <c r="F2160" s="11" t="str">
        <f aca="false">IF($A2160="","",IF(원본명단!$I2159="",0,COUNTIF(원본명단!$I$3:$I$6002,원본명단!$I2159)))</f>
        <v/>
      </c>
      <c r="G2160" s="11" t="str">
        <f aca="false">IF($A2160="","",IF(원본명단!$K2159="",0,COUNTIF(원본명단!$K$3:$K$6002,원본명단!$K2159)))</f>
        <v/>
      </c>
      <c r="H2160" s="11" t="str">
        <f aca="false">IF($A2160="","",IF(MAX($E2160,$F2160,$G2160)&gt;1,"중복","-"))</f>
        <v/>
      </c>
      <c r="I2160" s="11" t="str">
        <f aca="false">IF($A2160="","",IF($H2160="-","-",IF(AND(IF(원본명단!$H2159="",TRUE(),COUNTIF(원본명단!$H$3:$H2159,원본명단!$H2159)=1),IF(원본명단!$I2159="",TRUE(),COUNTIF(원본명단!$I$3:$I2159,원본명단!$I2159)=1),IF(원본명단!$K2159="",TRUE(),COUNTIF(원본명단!$K$3:$K2159,원본명단!$K2159)=1)),"첫 건","중복 건")))</f>
        <v/>
      </c>
      <c r="J2160" s="11" t="str">
        <f aca="false">IF($A2160="","",IF($H2160="-","유지",IF($I2160="첫 건","유지","확인 필요")))</f>
        <v/>
      </c>
    </row>
    <row r="2161" customFormat="false" ht="15" hidden="false" customHeight="true" outlineLevel="0" collapsed="false">
      <c r="A2161" s="11" t="str">
        <f aca="false">IF(원본명단!$A2160="","",2158)</f>
        <v/>
      </c>
      <c r="B2161" s="12" t="str">
        <f aca="false">IF($A2161="","",원본명단!$A2160)</f>
        <v/>
      </c>
      <c r="C2161" s="12" t="str">
        <f aca="false">IF($A2161="","",원본명단!$B2160)</f>
        <v/>
      </c>
      <c r="D2161" s="12" t="str">
        <f aca="false">IF($A2161="","",원본명단!$D2160)</f>
        <v/>
      </c>
      <c r="E2161" s="11" t="str">
        <f aca="false">IF($A2161="","",IF(원본명단!$H2160="",0,COUNTIF(원본명단!$H$3:$H$6002,원본명단!$H2160)))</f>
        <v/>
      </c>
      <c r="F2161" s="11" t="str">
        <f aca="false">IF($A2161="","",IF(원본명단!$I2160="",0,COUNTIF(원본명단!$I$3:$I$6002,원본명단!$I2160)))</f>
        <v/>
      </c>
      <c r="G2161" s="11" t="str">
        <f aca="false">IF($A2161="","",IF(원본명단!$K2160="",0,COUNTIF(원본명단!$K$3:$K$6002,원본명단!$K2160)))</f>
        <v/>
      </c>
      <c r="H2161" s="11" t="str">
        <f aca="false">IF($A2161="","",IF(MAX($E2161,$F2161,$G2161)&gt;1,"중복","-"))</f>
        <v/>
      </c>
      <c r="I2161" s="11" t="str">
        <f aca="false">IF($A2161="","",IF($H2161="-","-",IF(AND(IF(원본명단!$H2160="",TRUE(),COUNTIF(원본명단!$H$3:$H2160,원본명단!$H2160)=1),IF(원본명단!$I2160="",TRUE(),COUNTIF(원본명단!$I$3:$I2160,원본명단!$I2160)=1),IF(원본명단!$K2160="",TRUE(),COUNTIF(원본명단!$K$3:$K2160,원본명단!$K2160)=1)),"첫 건","중복 건")))</f>
        <v/>
      </c>
      <c r="J2161" s="11" t="str">
        <f aca="false">IF($A2161="","",IF($H2161="-","유지",IF($I2161="첫 건","유지","확인 필요")))</f>
        <v/>
      </c>
    </row>
    <row r="2162" customFormat="false" ht="15" hidden="false" customHeight="true" outlineLevel="0" collapsed="false">
      <c r="A2162" s="11" t="str">
        <f aca="false">IF(원본명단!$A2161="","",2159)</f>
        <v/>
      </c>
      <c r="B2162" s="12" t="str">
        <f aca="false">IF($A2162="","",원본명단!$A2161)</f>
        <v/>
      </c>
      <c r="C2162" s="12" t="str">
        <f aca="false">IF($A2162="","",원본명단!$B2161)</f>
        <v/>
      </c>
      <c r="D2162" s="12" t="str">
        <f aca="false">IF($A2162="","",원본명단!$D2161)</f>
        <v/>
      </c>
      <c r="E2162" s="11" t="str">
        <f aca="false">IF($A2162="","",IF(원본명단!$H2161="",0,COUNTIF(원본명단!$H$3:$H$6002,원본명단!$H2161)))</f>
        <v/>
      </c>
      <c r="F2162" s="11" t="str">
        <f aca="false">IF($A2162="","",IF(원본명단!$I2161="",0,COUNTIF(원본명단!$I$3:$I$6002,원본명단!$I2161)))</f>
        <v/>
      </c>
      <c r="G2162" s="11" t="str">
        <f aca="false">IF($A2162="","",IF(원본명단!$K2161="",0,COUNTIF(원본명단!$K$3:$K$6002,원본명단!$K2161)))</f>
        <v/>
      </c>
      <c r="H2162" s="11" t="str">
        <f aca="false">IF($A2162="","",IF(MAX($E2162,$F2162,$G2162)&gt;1,"중복","-"))</f>
        <v/>
      </c>
      <c r="I2162" s="11" t="str">
        <f aca="false">IF($A2162="","",IF($H2162="-","-",IF(AND(IF(원본명단!$H2161="",TRUE(),COUNTIF(원본명단!$H$3:$H2161,원본명단!$H2161)=1),IF(원본명단!$I2161="",TRUE(),COUNTIF(원본명단!$I$3:$I2161,원본명단!$I2161)=1),IF(원본명단!$K2161="",TRUE(),COUNTIF(원본명단!$K$3:$K2161,원본명단!$K2161)=1)),"첫 건","중복 건")))</f>
        <v/>
      </c>
      <c r="J2162" s="11" t="str">
        <f aca="false">IF($A2162="","",IF($H2162="-","유지",IF($I2162="첫 건","유지","확인 필요")))</f>
        <v/>
      </c>
    </row>
    <row r="2163" customFormat="false" ht="15" hidden="false" customHeight="true" outlineLevel="0" collapsed="false">
      <c r="A2163" s="11" t="str">
        <f aca="false">IF(원본명단!$A2162="","",2160)</f>
        <v/>
      </c>
      <c r="B2163" s="12" t="str">
        <f aca="false">IF($A2163="","",원본명단!$A2162)</f>
        <v/>
      </c>
      <c r="C2163" s="12" t="str">
        <f aca="false">IF($A2163="","",원본명단!$B2162)</f>
        <v/>
      </c>
      <c r="D2163" s="12" t="str">
        <f aca="false">IF($A2163="","",원본명단!$D2162)</f>
        <v/>
      </c>
      <c r="E2163" s="11" t="str">
        <f aca="false">IF($A2163="","",IF(원본명단!$H2162="",0,COUNTIF(원본명단!$H$3:$H$6002,원본명단!$H2162)))</f>
        <v/>
      </c>
      <c r="F2163" s="11" t="str">
        <f aca="false">IF($A2163="","",IF(원본명단!$I2162="",0,COUNTIF(원본명단!$I$3:$I$6002,원본명단!$I2162)))</f>
        <v/>
      </c>
      <c r="G2163" s="11" t="str">
        <f aca="false">IF($A2163="","",IF(원본명단!$K2162="",0,COUNTIF(원본명단!$K$3:$K$6002,원본명단!$K2162)))</f>
        <v/>
      </c>
      <c r="H2163" s="11" t="str">
        <f aca="false">IF($A2163="","",IF(MAX($E2163,$F2163,$G2163)&gt;1,"중복","-"))</f>
        <v/>
      </c>
      <c r="I2163" s="11" t="str">
        <f aca="false">IF($A2163="","",IF($H2163="-","-",IF(AND(IF(원본명단!$H2162="",TRUE(),COUNTIF(원본명단!$H$3:$H2162,원본명단!$H2162)=1),IF(원본명단!$I2162="",TRUE(),COUNTIF(원본명단!$I$3:$I2162,원본명단!$I2162)=1),IF(원본명단!$K2162="",TRUE(),COUNTIF(원본명단!$K$3:$K2162,원본명단!$K2162)=1)),"첫 건","중복 건")))</f>
        <v/>
      </c>
      <c r="J2163" s="11" t="str">
        <f aca="false">IF($A2163="","",IF($H2163="-","유지",IF($I2163="첫 건","유지","확인 필요")))</f>
        <v/>
      </c>
    </row>
    <row r="2164" customFormat="false" ht="15" hidden="false" customHeight="true" outlineLevel="0" collapsed="false">
      <c r="A2164" s="11" t="str">
        <f aca="false">IF(원본명단!$A2163="","",2161)</f>
        <v/>
      </c>
      <c r="B2164" s="12" t="str">
        <f aca="false">IF($A2164="","",원본명단!$A2163)</f>
        <v/>
      </c>
      <c r="C2164" s="12" t="str">
        <f aca="false">IF($A2164="","",원본명단!$B2163)</f>
        <v/>
      </c>
      <c r="D2164" s="12" t="str">
        <f aca="false">IF($A2164="","",원본명단!$D2163)</f>
        <v/>
      </c>
      <c r="E2164" s="11" t="str">
        <f aca="false">IF($A2164="","",IF(원본명단!$H2163="",0,COUNTIF(원본명단!$H$3:$H$6002,원본명단!$H2163)))</f>
        <v/>
      </c>
      <c r="F2164" s="11" t="str">
        <f aca="false">IF($A2164="","",IF(원본명단!$I2163="",0,COUNTIF(원본명단!$I$3:$I$6002,원본명단!$I2163)))</f>
        <v/>
      </c>
      <c r="G2164" s="11" t="str">
        <f aca="false">IF($A2164="","",IF(원본명단!$K2163="",0,COUNTIF(원본명단!$K$3:$K$6002,원본명단!$K2163)))</f>
        <v/>
      </c>
      <c r="H2164" s="11" t="str">
        <f aca="false">IF($A2164="","",IF(MAX($E2164,$F2164,$G2164)&gt;1,"중복","-"))</f>
        <v/>
      </c>
      <c r="I2164" s="11" t="str">
        <f aca="false">IF($A2164="","",IF($H2164="-","-",IF(AND(IF(원본명단!$H2163="",TRUE(),COUNTIF(원본명단!$H$3:$H2163,원본명단!$H2163)=1),IF(원본명단!$I2163="",TRUE(),COUNTIF(원본명단!$I$3:$I2163,원본명단!$I2163)=1),IF(원본명단!$K2163="",TRUE(),COUNTIF(원본명단!$K$3:$K2163,원본명단!$K2163)=1)),"첫 건","중복 건")))</f>
        <v/>
      </c>
      <c r="J2164" s="11" t="str">
        <f aca="false">IF($A2164="","",IF($H2164="-","유지",IF($I2164="첫 건","유지","확인 필요")))</f>
        <v/>
      </c>
    </row>
    <row r="2165" customFormat="false" ht="15" hidden="false" customHeight="true" outlineLevel="0" collapsed="false">
      <c r="A2165" s="11" t="str">
        <f aca="false">IF(원본명단!$A2164="","",2162)</f>
        <v/>
      </c>
      <c r="B2165" s="12" t="str">
        <f aca="false">IF($A2165="","",원본명단!$A2164)</f>
        <v/>
      </c>
      <c r="C2165" s="12" t="str">
        <f aca="false">IF($A2165="","",원본명단!$B2164)</f>
        <v/>
      </c>
      <c r="D2165" s="12" t="str">
        <f aca="false">IF($A2165="","",원본명단!$D2164)</f>
        <v/>
      </c>
      <c r="E2165" s="11" t="str">
        <f aca="false">IF($A2165="","",IF(원본명단!$H2164="",0,COUNTIF(원본명단!$H$3:$H$6002,원본명단!$H2164)))</f>
        <v/>
      </c>
      <c r="F2165" s="11" t="str">
        <f aca="false">IF($A2165="","",IF(원본명단!$I2164="",0,COUNTIF(원본명단!$I$3:$I$6002,원본명단!$I2164)))</f>
        <v/>
      </c>
      <c r="G2165" s="11" t="str">
        <f aca="false">IF($A2165="","",IF(원본명단!$K2164="",0,COUNTIF(원본명단!$K$3:$K$6002,원본명단!$K2164)))</f>
        <v/>
      </c>
      <c r="H2165" s="11" t="str">
        <f aca="false">IF($A2165="","",IF(MAX($E2165,$F2165,$G2165)&gt;1,"중복","-"))</f>
        <v/>
      </c>
      <c r="I2165" s="11" t="str">
        <f aca="false">IF($A2165="","",IF($H2165="-","-",IF(AND(IF(원본명단!$H2164="",TRUE(),COUNTIF(원본명단!$H$3:$H2164,원본명단!$H2164)=1),IF(원본명단!$I2164="",TRUE(),COUNTIF(원본명단!$I$3:$I2164,원본명단!$I2164)=1),IF(원본명단!$K2164="",TRUE(),COUNTIF(원본명단!$K$3:$K2164,원본명단!$K2164)=1)),"첫 건","중복 건")))</f>
        <v/>
      </c>
      <c r="J2165" s="11" t="str">
        <f aca="false">IF($A2165="","",IF($H2165="-","유지",IF($I2165="첫 건","유지","확인 필요")))</f>
        <v/>
      </c>
    </row>
    <row r="2166" customFormat="false" ht="15" hidden="false" customHeight="true" outlineLevel="0" collapsed="false">
      <c r="A2166" s="11" t="str">
        <f aca="false">IF(원본명단!$A2165="","",2163)</f>
        <v/>
      </c>
      <c r="B2166" s="12" t="str">
        <f aca="false">IF($A2166="","",원본명단!$A2165)</f>
        <v/>
      </c>
      <c r="C2166" s="12" t="str">
        <f aca="false">IF($A2166="","",원본명단!$B2165)</f>
        <v/>
      </c>
      <c r="D2166" s="12" t="str">
        <f aca="false">IF($A2166="","",원본명단!$D2165)</f>
        <v/>
      </c>
      <c r="E2166" s="11" t="str">
        <f aca="false">IF($A2166="","",IF(원본명단!$H2165="",0,COUNTIF(원본명단!$H$3:$H$6002,원본명단!$H2165)))</f>
        <v/>
      </c>
      <c r="F2166" s="11" t="str">
        <f aca="false">IF($A2166="","",IF(원본명단!$I2165="",0,COUNTIF(원본명단!$I$3:$I$6002,원본명단!$I2165)))</f>
        <v/>
      </c>
      <c r="G2166" s="11" t="str">
        <f aca="false">IF($A2166="","",IF(원본명단!$K2165="",0,COUNTIF(원본명단!$K$3:$K$6002,원본명단!$K2165)))</f>
        <v/>
      </c>
      <c r="H2166" s="11" t="str">
        <f aca="false">IF($A2166="","",IF(MAX($E2166,$F2166,$G2166)&gt;1,"중복","-"))</f>
        <v/>
      </c>
      <c r="I2166" s="11" t="str">
        <f aca="false">IF($A2166="","",IF($H2166="-","-",IF(AND(IF(원본명단!$H2165="",TRUE(),COUNTIF(원본명단!$H$3:$H2165,원본명단!$H2165)=1),IF(원본명단!$I2165="",TRUE(),COUNTIF(원본명단!$I$3:$I2165,원본명단!$I2165)=1),IF(원본명단!$K2165="",TRUE(),COUNTIF(원본명단!$K$3:$K2165,원본명단!$K2165)=1)),"첫 건","중복 건")))</f>
        <v/>
      </c>
      <c r="J2166" s="11" t="str">
        <f aca="false">IF($A2166="","",IF($H2166="-","유지",IF($I2166="첫 건","유지","확인 필요")))</f>
        <v/>
      </c>
    </row>
    <row r="2167" customFormat="false" ht="15" hidden="false" customHeight="true" outlineLevel="0" collapsed="false">
      <c r="A2167" s="11" t="str">
        <f aca="false">IF(원본명단!$A2166="","",2164)</f>
        <v/>
      </c>
      <c r="B2167" s="12" t="str">
        <f aca="false">IF($A2167="","",원본명단!$A2166)</f>
        <v/>
      </c>
      <c r="C2167" s="12" t="str">
        <f aca="false">IF($A2167="","",원본명단!$B2166)</f>
        <v/>
      </c>
      <c r="D2167" s="12" t="str">
        <f aca="false">IF($A2167="","",원본명단!$D2166)</f>
        <v/>
      </c>
      <c r="E2167" s="11" t="str">
        <f aca="false">IF($A2167="","",IF(원본명단!$H2166="",0,COUNTIF(원본명단!$H$3:$H$6002,원본명단!$H2166)))</f>
        <v/>
      </c>
      <c r="F2167" s="11" t="str">
        <f aca="false">IF($A2167="","",IF(원본명단!$I2166="",0,COUNTIF(원본명단!$I$3:$I$6002,원본명단!$I2166)))</f>
        <v/>
      </c>
      <c r="G2167" s="11" t="str">
        <f aca="false">IF($A2167="","",IF(원본명단!$K2166="",0,COUNTIF(원본명단!$K$3:$K$6002,원본명단!$K2166)))</f>
        <v/>
      </c>
      <c r="H2167" s="11" t="str">
        <f aca="false">IF($A2167="","",IF(MAX($E2167,$F2167,$G2167)&gt;1,"중복","-"))</f>
        <v/>
      </c>
      <c r="I2167" s="11" t="str">
        <f aca="false">IF($A2167="","",IF($H2167="-","-",IF(AND(IF(원본명단!$H2166="",TRUE(),COUNTIF(원본명단!$H$3:$H2166,원본명단!$H2166)=1),IF(원본명단!$I2166="",TRUE(),COUNTIF(원본명단!$I$3:$I2166,원본명단!$I2166)=1),IF(원본명단!$K2166="",TRUE(),COUNTIF(원본명단!$K$3:$K2166,원본명단!$K2166)=1)),"첫 건","중복 건")))</f>
        <v/>
      </c>
      <c r="J2167" s="11" t="str">
        <f aca="false">IF($A2167="","",IF($H2167="-","유지",IF($I2167="첫 건","유지","확인 필요")))</f>
        <v/>
      </c>
    </row>
    <row r="2168" customFormat="false" ht="15" hidden="false" customHeight="true" outlineLevel="0" collapsed="false">
      <c r="A2168" s="11" t="str">
        <f aca="false">IF(원본명단!$A2167="","",2165)</f>
        <v/>
      </c>
      <c r="B2168" s="12" t="str">
        <f aca="false">IF($A2168="","",원본명단!$A2167)</f>
        <v/>
      </c>
      <c r="C2168" s="12" t="str">
        <f aca="false">IF($A2168="","",원본명단!$B2167)</f>
        <v/>
      </c>
      <c r="D2168" s="12" t="str">
        <f aca="false">IF($A2168="","",원본명단!$D2167)</f>
        <v/>
      </c>
      <c r="E2168" s="11" t="str">
        <f aca="false">IF($A2168="","",IF(원본명단!$H2167="",0,COUNTIF(원본명단!$H$3:$H$6002,원본명단!$H2167)))</f>
        <v/>
      </c>
      <c r="F2168" s="11" t="str">
        <f aca="false">IF($A2168="","",IF(원본명단!$I2167="",0,COUNTIF(원본명단!$I$3:$I$6002,원본명단!$I2167)))</f>
        <v/>
      </c>
      <c r="G2168" s="11" t="str">
        <f aca="false">IF($A2168="","",IF(원본명단!$K2167="",0,COUNTIF(원본명단!$K$3:$K$6002,원본명단!$K2167)))</f>
        <v/>
      </c>
      <c r="H2168" s="11" t="str">
        <f aca="false">IF($A2168="","",IF(MAX($E2168,$F2168,$G2168)&gt;1,"중복","-"))</f>
        <v/>
      </c>
      <c r="I2168" s="11" t="str">
        <f aca="false">IF($A2168="","",IF($H2168="-","-",IF(AND(IF(원본명단!$H2167="",TRUE(),COUNTIF(원본명단!$H$3:$H2167,원본명단!$H2167)=1),IF(원본명단!$I2167="",TRUE(),COUNTIF(원본명단!$I$3:$I2167,원본명단!$I2167)=1),IF(원본명단!$K2167="",TRUE(),COUNTIF(원본명단!$K$3:$K2167,원본명단!$K2167)=1)),"첫 건","중복 건")))</f>
        <v/>
      </c>
      <c r="J2168" s="11" t="str">
        <f aca="false">IF($A2168="","",IF($H2168="-","유지",IF($I2168="첫 건","유지","확인 필요")))</f>
        <v/>
      </c>
    </row>
    <row r="2169" customFormat="false" ht="15" hidden="false" customHeight="true" outlineLevel="0" collapsed="false">
      <c r="A2169" s="11" t="str">
        <f aca="false">IF(원본명단!$A2168="","",2166)</f>
        <v/>
      </c>
      <c r="B2169" s="12" t="str">
        <f aca="false">IF($A2169="","",원본명단!$A2168)</f>
        <v/>
      </c>
      <c r="C2169" s="12" t="str">
        <f aca="false">IF($A2169="","",원본명단!$B2168)</f>
        <v/>
      </c>
      <c r="D2169" s="12" t="str">
        <f aca="false">IF($A2169="","",원본명단!$D2168)</f>
        <v/>
      </c>
      <c r="E2169" s="11" t="str">
        <f aca="false">IF($A2169="","",IF(원본명단!$H2168="",0,COUNTIF(원본명단!$H$3:$H$6002,원본명단!$H2168)))</f>
        <v/>
      </c>
      <c r="F2169" s="11" t="str">
        <f aca="false">IF($A2169="","",IF(원본명단!$I2168="",0,COUNTIF(원본명단!$I$3:$I$6002,원본명단!$I2168)))</f>
        <v/>
      </c>
      <c r="G2169" s="11" t="str">
        <f aca="false">IF($A2169="","",IF(원본명단!$K2168="",0,COUNTIF(원본명단!$K$3:$K$6002,원본명단!$K2168)))</f>
        <v/>
      </c>
      <c r="H2169" s="11" t="str">
        <f aca="false">IF($A2169="","",IF(MAX($E2169,$F2169,$G2169)&gt;1,"중복","-"))</f>
        <v/>
      </c>
      <c r="I2169" s="11" t="str">
        <f aca="false">IF($A2169="","",IF($H2169="-","-",IF(AND(IF(원본명단!$H2168="",TRUE(),COUNTIF(원본명단!$H$3:$H2168,원본명단!$H2168)=1),IF(원본명단!$I2168="",TRUE(),COUNTIF(원본명단!$I$3:$I2168,원본명단!$I2168)=1),IF(원본명단!$K2168="",TRUE(),COUNTIF(원본명단!$K$3:$K2168,원본명단!$K2168)=1)),"첫 건","중복 건")))</f>
        <v/>
      </c>
      <c r="J2169" s="11" t="str">
        <f aca="false">IF($A2169="","",IF($H2169="-","유지",IF($I2169="첫 건","유지","확인 필요")))</f>
        <v/>
      </c>
    </row>
    <row r="2170" customFormat="false" ht="15" hidden="false" customHeight="true" outlineLevel="0" collapsed="false">
      <c r="A2170" s="11" t="str">
        <f aca="false">IF(원본명단!$A2169="","",2167)</f>
        <v/>
      </c>
      <c r="B2170" s="12" t="str">
        <f aca="false">IF($A2170="","",원본명단!$A2169)</f>
        <v/>
      </c>
      <c r="C2170" s="12" t="str">
        <f aca="false">IF($A2170="","",원본명단!$B2169)</f>
        <v/>
      </c>
      <c r="D2170" s="12" t="str">
        <f aca="false">IF($A2170="","",원본명단!$D2169)</f>
        <v/>
      </c>
      <c r="E2170" s="11" t="str">
        <f aca="false">IF($A2170="","",IF(원본명단!$H2169="",0,COUNTIF(원본명단!$H$3:$H$6002,원본명단!$H2169)))</f>
        <v/>
      </c>
      <c r="F2170" s="11" t="str">
        <f aca="false">IF($A2170="","",IF(원본명단!$I2169="",0,COUNTIF(원본명단!$I$3:$I$6002,원본명단!$I2169)))</f>
        <v/>
      </c>
      <c r="G2170" s="11" t="str">
        <f aca="false">IF($A2170="","",IF(원본명단!$K2169="",0,COUNTIF(원본명단!$K$3:$K$6002,원본명단!$K2169)))</f>
        <v/>
      </c>
      <c r="H2170" s="11" t="str">
        <f aca="false">IF($A2170="","",IF(MAX($E2170,$F2170,$G2170)&gt;1,"중복","-"))</f>
        <v/>
      </c>
      <c r="I2170" s="11" t="str">
        <f aca="false">IF($A2170="","",IF($H2170="-","-",IF(AND(IF(원본명단!$H2169="",TRUE(),COUNTIF(원본명단!$H$3:$H2169,원본명단!$H2169)=1),IF(원본명단!$I2169="",TRUE(),COUNTIF(원본명단!$I$3:$I2169,원본명단!$I2169)=1),IF(원본명단!$K2169="",TRUE(),COUNTIF(원본명단!$K$3:$K2169,원본명단!$K2169)=1)),"첫 건","중복 건")))</f>
        <v/>
      </c>
      <c r="J2170" s="11" t="str">
        <f aca="false">IF($A2170="","",IF($H2170="-","유지",IF($I2170="첫 건","유지","확인 필요")))</f>
        <v/>
      </c>
    </row>
    <row r="2171" customFormat="false" ht="15" hidden="false" customHeight="true" outlineLevel="0" collapsed="false">
      <c r="A2171" s="11" t="str">
        <f aca="false">IF(원본명단!$A2170="","",2168)</f>
        <v/>
      </c>
      <c r="B2171" s="12" t="str">
        <f aca="false">IF($A2171="","",원본명단!$A2170)</f>
        <v/>
      </c>
      <c r="C2171" s="12" t="str">
        <f aca="false">IF($A2171="","",원본명단!$B2170)</f>
        <v/>
      </c>
      <c r="D2171" s="12" t="str">
        <f aca="false">IF($A2171="","",원본명단!$D2170)</f>
        <v/>
      </c>
      <c r="E2171" s="11" t="str">
        <f aca="false">IF($A2171="","",IF(원본명단!$H2170="",0,COUNTIF(원본명단!$H$3:$H$6002,원본명단!$H2170)))</f>
        <v/>
      </c>
      <c r="F2171" s="11" t="str">
        <f aca="false">IF($A2171="","",IF(원본명단!$I2170="",0,COUNTIF(원본명단!$I$3:$I$6002,원본명단!$I2170)))</f>
        <v/>
      </c>
      <c r="G2171" s="11" t="str">
        <f aca="false">IF($A2171="","",IF(원본명단!$K2170="",0,COUNTIF(원본명단!$K$3:$K$6002,원본명단!$K2170)))</f>
        <v/>
      </c>
      <c r="H2171" s="11" t="str">
        <f aca="false">IF($A2171="","",IF(MAX($E2171,$F2171,$G2171)&gt;1,"중복","-"))</f>
        <v/>
      </c>
      <c r="I2171" s="11" t="str">
        <f aca="false">IF($A2171="","",IF($H2171="-","-",IF(AND(IF(원본명단!$H2170="",TRUE(),COUNTIF(원본명단!$H$3:$H2170,원본명단!$H2170)=1),IF(원본명단!$I2170="",TRUE(),COUNTIF(원본명단!$I$3:$I2170,원본명단!$I2170)=1),IF(원본명단!$K2170="",TRUE(),COUNTIF(원본명단!$K$3:$K2170,원본명단!$K2170)=1)),"첫 건","중복 건")))</f>
        <v/>
      </c>
      <c r="J2171" s="11" t="str">
        <f aca="false">IF($A2171="","",IF($H2171="-","유지",IF($I2171="첫 건","유지","확인 필요")))</f>
        <v/>
      </c>
    </row>
    <row r="2172" customFormat="false" ht="15" hidden="false" customHeight="true" outlineLevel="0" collapsed="false">
      <c r="A2172" s="11" t="str">
        <f aca="false">IF(원본명단!$A2171="","",2169)</f>
        <v/>
      </c>
      <c r="B2172" s="12" t="str">
        <f aca="false">IF($A2172="","",원본명단!$A2171)</f>
        <v/>
      </c>
      <c r="C2172" s="12" t="str">
        <f aca="false">IF($A2172="","",원본명단!$B2171)</f>
        <v/>
      </c>
      <c r="D2172" s="12" t="str">
        <f aca="false">IF($A2172="","",원본명단!$D2171)</f>
        <v/>
      </c>
      <c r="E2172" s="11" t="str">
        <f aca="false">IF($A2172="","",IF(원본명단!$H2171="",0,COUNTIF(원본명단!$H$3:$H$6002,원본명단!$H2171)))</f>
        <v/>
      </c>
      <c r="F2172" s="11" t="str">
        <f aca="false">IF($A2172="","",IF(원본명단!$I2171="",0,COUNTIF(원본명단!$I$3:$I$6002,원본명단!$I2171)))</f>
        <v/>
      </c>
      <c r="G2172" s="11" t="str">
        <f aca="false">IF($A2172="","",IF(원본명단!$K2171="",0,COUNTIF(원본명단!$K$3:$K$6002,원본명단!$K2171)))</f>
        <v/>
      </c>
      <c r="H2172" s="11" t="str">
        <f aca="false">IF($A2172="","",IF(MAX($E2172,$F2172,$G2172)&gt;1,"중복","-"))</f>
        <v/>
      </c>
      <c r="I2172" s="11" t="str">
        <f aca="false">IF($A2172="","",IF($H2172="-","-",IF(AND(IF(원본명단!$H2171="",TRUE(),COUNTIF(원본명단!$H$3:$H2171,원본명단!$H2171)=1),IF(원본명단!$I2171="",TRUE(),COUNTIF(원본명단!$I$3:$I2171,원본명단!$I2171)=1),IF(원본명단!$K2171="",TRUE(),COUNTIF(원본명단!$K$3:$K2171,원본명단!$K2171)=1)),"첫 건","중복 건")))</f>
        <v/>
      </c>
      <c r="J2172" s="11" t="str">
        <f aca="false">IF($A2172="","",IF($H2172="-","유지",IF($I2172="첫 건","유지","확인 필요")))</f>
        <v/>
      </c>
    </row>
    <row r="2173" customFormat="false" ht="15" hidden="false" customHeight="true" outlineLevel="0" collapsed="false">
      <c r="A2173" s="11" t="str">
        <f aca="false">IF(원본명단!$A2172="","",2170)</f>
        <v/>
      </c>
      <c r="B2173" s="12" t="str">
        <f aca="false">IF($A2173="","",원본명단!$A2172)</f>
        <v/>
      </c>
      <c r="C2173" s="12" t="str">
        <f aca="false">IF($A2173="","",원본명단!$B2172)</f>
        <v/>
      </c>
      <c r="D2173" s="12" t="str">
        <f aca="false">IF($A2173="","",원본명단!$D2172)</f>
        <v/>
      </c>
      <c r="E2173" s="11" t="str">
        <f aca="false">IF($A2173="","",IF(원본명단!$H2172="",0,COUNTIF(원본명단!$H$3:$H$6002,원본명단!$H2172)))</f>
        <v/>
      </c>
      <c r="F2173" s="11" t="str">
        <f aca="false">IF($A2173="","",IF(원본명단!$I2172="",0,COUNTIF(원본명단!$I$3:$I$6002,원본명단!$I2172)))</f>
        <v/>
      </c>
      <c r="G2173" s="11" t="str">
        <f aca="false">IF($A2173="","",IF(원본명단!$K2172="",0,COUNTIF(원본명단!$K$3:$K$6002,원본명단!$K2172)))</f>
        <v/>
      </c>
      <c r="H2173" s="11" t="str">
        <f aca="false">IF($A2173="","",IF(MAX($E2173,$F2173,$G2173)&gt;1,"중복","-"))</f>
        <v/>
      </c>
      <c r="I2173" s="11" t="str">
        <f aca="false">IF($A2173="","",IF($H2173="-","-",IF(AND(IF(원본명단!$H2172="",TRUE(),COUNTIF(원본명단!$H$3:$H2172,원본명단!$H2172)=1),IF(원본명단!$I2172="",TRUE(),COUNTIF(원본명단!$I$3:$I2172,원본명단!$I2172)=1),IF(원본명단!$K2172="",TRUE(),COUNTIF(원본명단!$K$3:$K2172,원본명단!$K2172)=1)),"첫 건","중복 건")))</f>
        <v/>
      </c>
      <c r="J2173" s="11" t="str">
        <f aca="false">IF($A2173="","",IF($H2173="-","유지",IF($I2173="첫 건","유지","확인 필요")))</f>
        <v/>
      </c>
    </row>
    <row r="2174" customFormat="false" ht="15" hidden="false" customHeight="true" outlineLevel="0" collapsed="false">
      <c r="A2174" s="11" t="str">
        <f aca="false">IF(원본명단!$A2173="","",2171)</f>
        <v/>
      </c>
      <c r="B2174" s="12" t="str">
        <f aca="false">IF($A2174="","",원본명단!$A2173)</f>
        <v/>
      </c>
      <c r="C2174" s="12" t="str">
        <f aca="false">IF($A2174="","",원본명단!$B2173)</f>
        <v/>
      </c>
      <c r="D2174" s="12" t="str">
        <f aca="false">IF($A2174="","",원본명단!$D2173)</f>
        <v/>
      </c>
      <c r="E2174" s="11" t="str">
        <f aca="false">IF($A2174="","",IF(원본명단!$H2173="",0,COUNTIF(원본명단!$H$3:$H$6002,원본명단!$H2173)))</f>
        <v/>
      </c>
      <c r="F2174" s="11" t="str">
        <f aca="false">IF($A2174="","",IF(원본명단!$I2173="",0,COUNTIF(원본명단!$I$3:$I$6002,원본명단!$I2173)))</f>
        <v/>
      </c>
      <c r="G2174" s="11" t="str">
        <f aca="false">IF($A2174="","",IF(원본명단!$K2173="",0,COUNTIF(원본명단!$K$3:$K$6002,원본명단!$K2173)))</f>
        <v/>
      </c>
      <c r="H2174" s="11" t="str">
        <f aca="false">IF($A2174="","",IF(MAX($E2174,$F2174,$G2174)&gt;1,"중복","-"))</f>
        <v/>
      </c>
      <c r="I2174" s="11" t="str">
        <f aca="false">IF($A2174="","",IF($H2174="-","-",IF(AND(IF(원본명단!$H2173="",TRUE(),COUNTIF(원본명단!$H$3:$H2173,원본명단!$H2173)=1),IF(원본명단!$I2173="",TRUE(),COUNTIF(원본명단!$I$3:$I2173,원본명단!$I2173)=1),IF(원본명단!$K2173="",TRUE(),COUNTIF(원본명단!$K$3:$K2173,원본명단!$K2173)=1)),"첫 건","중복 건")))</f>
        <v/>
      </c>
      <c r="J2174" s="11" t="str">
        <f aca="false">IF($A2174="","",IF($H2174="-","유지",IF($I2174="첫 건","유지","확인 필요")))</f>
        <v/>
      </c>
    </row>
    <row r="2175" customFormat="false" ht="15" hidden="false" customHeight="true" outlineLevel="0" collapsed="false">
      <c r="A2175" s="11" t="str">
        <f aca="false">IF(원본명단!$A2174="","",2172)</f>
        <v/>
      </c>
      <c r="B2175" s="12" t="str">
        <f aca="false">IF($A2175="","",원본명단!$A2174)</f>
        <v/>
      </c>
      <c r="C2175" s="12" t="str">
        <f aca="false">IF($A2175="","",원본명단!$B2174)</f>
        <v/>
      </c>
      <c r="D2175" s="12" t="str">
        <f aca="false">IF($A2175="","",원본명단!$D2174)</f>
        <v/>
      </c>
      <c r="E2175" s="11" t="str">
        <f aca="false">IF($A2175="","",IF(원본명단!$H2174="",0,COUNTIF(원본명단!$H$3:$H$6002,원본명단!$H2174)))</f>
        <v/>
      </c>
      <c r="F2175" s="11" t="str">
        <f aca="false">IF($A2175="","",IF(원본명단!$I2174="",0,COUNTIF(원본명단!$I$3:$I$6002,원본명단!$I2174)))</f>
        <v/>
      </c>
      <c r="G2175" s="11" t="str">
        <f aca="false">IF($A2175="","",IF(원본명단!$K2174="",0,COUNTIF(원본명단!$K$3:$K$6002,원본명단!$K2174)))</f>
        <v/>
      </c>
      <c r="H2175" s="11" t="str">
        <f aca="false">IF($A2175="","",IF(MAX($E2175,$F2175,$G2175)&gt;1,"중복","-"))</f>
        <v/>
      </c>
      <c r="I2175" s="11" t="str">
        <f aca="false">IF($A2175="","",IF($H2175="-","-",IF(AND(IF(원본명단!$H2174="",TRUE(),COUNTIF(원본명단!$H$3:$H2174,원본명단!$H2174)=1),IF(원본명단!$I2174="",TRUE(),COUNTIF(원본명단!$I$3:$I2174,원본명단!$I2174)=1),IF(원본명단!$K2174="",TRUE(),COUNTIF(원본명단!$K$3:$K2174,원본명단!$K2174)=1)),"첫 건","중복 건")))</f>
        <v/>
      </c>
      <c r="J2175" s="11" t="str">
        <f aca="false">IF($A2175="","",IF($H2175="-","유지",IF($I2175="첫 건","유지","확인 필요")))</f>
        <v/>
      </c>
    </row>
    <row r="2176" customFormat="false" ht="15" hidden="false" customHeight="true" outlineLevel="0" collapsed="false">
      <c r="A2176" s="11" t="str">
        <f aca="false">IF(원본명단!$A2175="","",2173)</f>
        <v/>
      </c>
      <c r="B2176" s="12" t="str">
        <f aca="false">IF($A2176="","",원본명단!$A2175)</f>
        <v/>
      </c>
      <c r="C2176" s="12" t="str">
        <f aca="false">IF($A2176="","",원본명단!$B2175)</f>
        <v/>
      </c>
      <c r="D2176" s="12" t="str">
        <f aca="false">IF($A2176="","",원본명단!$D2175)</f>
        <v/>
      </c>
      <c r="E2176" s="11" t="str">
        <f aca="false">IF($A2176="","",IF(원본명단!$H2175="",0,COUNTIF(원본명단!$H$3:$H$6002,원본명단!$H2175)))</f>
        <v/>
      </c>
      <c r="F2176" s="11" t="str">
        <f aca="false">IF($A2176="","",IF(원본명단!$I2175="",0,COUNTIF(원본명단!$I$3:$I$6002,원본명단!$I2175)))</f>
        <v/>
      </c>
      <c r="G2176" s="11" t="str">
        <f aca="false">IF($A2176="","",IF(원본명단!$K2175="",0,COUNTIF(원본명단!$K$3:$K$6002,원본명단!$K2175)))</f>
        <v/>
      </c>
      <c r="H2176" s="11" t="str">
        <f aca="false">IF($A2176="","",IF(MAX($E2176,$F2176,$G2176)&gt;1,"중복","-"))</f>
        <v/>
      </c>
      <c r="I2176" s="11" t="str">
        <f aca="false">IF($A2176="","",IF($H2176="-","-",IF(AND(IF(원본명단!$H2175="",TRUE(),COUNTIF(원본명단!$H$3:$H2175,원본명단!$H2175)=1),IF(원본명단!$I2175="",TRUE(),COUNTIF(원본명단!$I$3:$I2175,원본명단!$I2175)=1),IF(원본명단!$K2175="",TRUE(),COUNTIF(원본명단!$K$3:$K2175,원본명단!$K2175)=1)),"첫 건","중복 건")))</f>
        <v/>
      </c>
      <c r="J2176" s="11" t="str">
        <f aca="false">IF($A2176="","",IF($H2176="-","유지",IF($I2176="첫 건","유지","확인 필요")))</f>
        <v/>
      </c>
    </row>
    <row r="2177" customFormat="false" ht="15" hidden="false" customHeight="true" outlineLevel="0" collapsed="false">
      <c r="A2177" s="11" t="str">
        <f aca="false">IF(원본명단!$A2176="","",2174)</f>
        <v/>
      </c>
      <c r="B2177" s="12" t="str">
        <f aca="false">IF($A2177="","",원본명단!$A2176)</f>
        <v/>
      </c>
      <c r="C2177" s="12" t="str">
        <f aca="false">IF($A2177="","",원본명단!$B2176)</f>
        <v/>
      </c>
      <c r="D2177" s="12" t="str">
        <f aca="false">IF($A2177="","",원본명단!$D2176)</f>
        <v/>
      </c>
      <c r="E2177" s="11" t="str">
        <f aca="false">IF($A2177="","",IF(원본명단!$H2176="",0,COUNTIF(원본명단!$H$3:$H$6002,원본명단!$H2176)))</f>
        <v/>
      </c>
      <c r="F2177" s="11" t="str">
        <f aca="false">IF($A2177="","",IF(원본명단!$I2176="",0,COUNTIF(원본명단!$I$3:$I$6002,원본명단!$I2176)))</f>
        <v/>
      </c>
      <c r="G2177" s="11" t="str">
        <f aca="false">IF($A2177="","",IF(원본명단!$K2176="",0,COUNTIF(원본명단!$K$3:$K$6002,원본명단!$K2176)))</f>
        <v/>
      </c>
      <c r="H2177" s="11" t="str">
        <f aca="false">IF($A2177="","",IF(MAX($E2177,$F2177,$G2177)&gt;1,"중복","-"))</f>
        <v/>
      </c>
      <c r="I2177" s="11" t="str">
        <f aca="false">IF($A2177="","",IF($H2177="-","-",IF(AND(IF(원본명단!$H2176="",TRUE(),COUNTIF(원본명단!$H$3:$H2176,원본명단!$H2176)=1),IF(원본명단!$I2176="",TRUE(),COUNTIF(원본명단!$I$3:$I2176,원본명단!$I2176)=1),IF(원본명단!$K2176="",TRUE(),COUNTIF(원본명단!$K$3:$K2176,원본명단!$K2176)=1)),"첫 건","중복 건")))</f>
        <v/>
      </c>
      <c r="J2177" s="11" t="str">
        <f aca="false">IF($A2177="","",IF($H2177="-","유지",IF($I2177="첫 건","유지","확인 필요")))</f>
        <v/>
      </c>
    </row>
    <row r="2178" customFormat="false" ht="15" hidden="false" customHeight="true" outlineLevel="0" collapsed="false">
      <c r="A2178" s="11" t="str">
        <f aca="false">IF(원본명단!$A2177="","",2175)</f>
        <v/>
      </c>
      <c r="B2178" s="12" t="str">
        <f aca="false">IF($A2178="","",원본명단!$A2177)</f>
        <v/>
      </c>
      <c r="C2178" s="12" t="str">
        <f aca="false">IF($A2178="","",원본명단!$B2177)</f>
        <v/>
      </c>
      <c r="D2178" s="12" t="str">
        <f aca="false">IF($A2178="","",원본명단!$D2177)</f>
        <v/>
      </c>
      <c r="E2178" s="11" t="str">
        <f aca="false">IF($A2178="","",IF(원본명단!$H2177="",0,COUNTIF(원본명단!$H$3:$H$6002,원본명단!$H2177)))</f>
        <v/>
      </c>
      <c r="F2178" s="11" t="str">
        <f aca="false">IF($A2178="","",IF(원본명단!$I2177="",0,COUNTIF(원본명단!$I$3:$I$6002,원본명단!$I2177)))</f>
        <v/>
      </c>
      <c r="G2178" s="11" t="str">
        <f aca="false">IF($A2178="","",IF(원본명단!$K2177="",0,COUNTIF(원본명단!$K$3:$K$6002,원본명단!$K2177)))</f>
        <v/>
      </c>
      <c r="H2178" s="11" t="str">
        <f aca="false">IF($A2178="","",IF(MAX($E2178,$F2178,$G2178)&gt;1,"중복","-"))</f>
        <v/>
      </c>
      <c r="I2178" s="11" t="str">
        <f aca="false">IF($A2178="","",IF($H2178="-","-",IF(AND(IF(원본명단!$H2177="",TRUE(),COUNTIF(원본명단!$H$3:$H2177,원본명단!$H2177)=1),IF(원본명단!$I2177="",TRUE(),COUNTIF(원본명단!$I$3:$I2177,원본명단!$I2177)=1),IF(원본명단!$K2177="",TRUE(),COUNTIF(원본명단!$K$3:$K2177,원본명단!$K2177)=1)),"첫 건","중복 건")))</f>
        <v/>
      </c>
      <c r="J2178" s="11" t="str">
        <f aca="false">IF($A2178="","",IF($H2178="-","유지",IF($I2178="첫 건","유지","확인 필요")))</f>
        <v/>
      </c>
    </row>
    <row r="2179" customFormat="false" ht="15" hidden="false" customHeight="true" outlineLevel="0" collapsed="false">
      <c r="A2179" s="11" t="str">
        <f aca="false">IF(원본명단!$A2178="","",2176)</f>
        <v/>
      </c>
      <c r="B2179" s="12" t="str">
        <f aca="false">IF($A2179="","",원본명단!$A2178)</f>
        <v/>
      </c>
      <c r="C2179" s="12" t="str">
        <f aca="false">IF($A2179="","",원본명단!$B2178)</f>
        <v/>
      </c>
      <c r="D2179" s="12" t="str">
        <f aca="false">IF($A2179="","",원본명단!$D2178)</f>
        <v/>
      </c>
      <c r="E2179" s="11" t="str">
        <f aca="false">IF($A2179="","",IF(원본명단!$H2178="",0,COUNTIF(원본명단!$H$3:$H$6002,원본명단!$H2178)))</f>
        <v/>
      </c>
      <c r="F2179" s="11" t="str">
        <f aca="false">IF($A2179="","",IF(원본명단!$I2178="",0,COUNTIF(원본명단!$I$3:$I$6002,원본명단!$I2178)))</f>
        <v/>
      </c>
      <c r="G2179" s="11" t="str">
        <f aca="false">IF($A2179="","",IF(원본명단!$K2178="",0,COUNTIF(원본명단!$K$3:$K$6002,원본명단!$K2178)))</f>
        <v/>
      </c>
      <c r="H2179" s="11" t="str">
        <f aca="false">IF($A2179="","",IF(MAX($E2179,$F2179,$G2179)&gt;1,"중복","-"))</f>
        <v/>
      </c>
      <c r="I2179" s="11" t="str">
        <f aca="false">IF($A2179="","",IF($H2179="-","-",IF(AND(IF(원본명단!$H2178="",TRUE(),COUNTIF(원본명단!$H$3:$H2178,원본명단!$H2178)=1),IF(원본명단!$I2178="",TRUE(),COUNTIF(원본명단!$I$3:$I2178,원본명단!$I2178)=1),IF(원본명단!$K2178="",TRUE(),COUNTIF(원본명단!$K$3:$K2178,원본명단!$K2178)=1)),"첫 건","중복 건")))</f>
        <v/>
      </c>
      <c r="J2179" s="11" t="str">
        <f aca="false">IF($A2179="","",IF($H2179="-","유지",IF($I2179="첫 건","유지","확인 필요")))</f>
        <v/>
      </c>
    </row>
    <row r="2180" customFormat="false" ht="15" hidden="false" customHeight="true" outlineLevel="0" collapsed="false">
      <c r="A2180" s="11" t="str">
        <f aca="false">IF(원본명단!$A2179="","",2177)</f>
        <v/>
      </c>
      <c r="B2180" s="12" t="str">
        <f aca="false">IF($A2180="","",원본명단!$A2179)</f>
        <v/>
      </c>
      <c r="C2180" s="12" t="str">
        <f aca="false">IF($A2180="","",원본명단!$B2179)</f>
        <v/>
      </c>
      <c r="D2180" s="12" t="str">
        <f aca="false">IF($A2180="","",원본명단!$D2179)</f>
        <v/>
      </c>
      <c r="E2180" s="11" t="str">
        <f aca="false">IF($A2180="","",IF(원본명단!$H2179="",0,COUNTIF(원본명단!$H$3:$H$6002,원본명단!$H2179)))</f>
        <v/>
      </c>
      <c r="F2180" s="11" t="str">
        <f aca="false">IF($A2180="","",IF(원본명단!$I2179="",0,COUNTIF(원본명단!$I$3:$I$6002,원본명단!$I2179)))</f>
        <v/>
      </c>
      <c r="G2180" s="11" t="str">
        <f aca="false">IF($A2180="","",IF(원본명단!$K2179="",0,COUNTIF(원본명단!$K$3:$K$6002,원본명단!$K2179)))</f>
        <v/>
      </c>
      <c r="H2180" s="11" t="str">
        <f aca="false">IF($A2180="","",IF(MAX($E2180,$F2180,$G2180)&gt;1,"중복","-"))</f>
        <v/>
      </c>
      <c r="I2180" s="11" t="str">
        <f aca="false">IF($A2180="","",IF($H2180="-","-",IF(AND(IF(원본명단!$H2179="",TRUE(),COUNTIF(원본명단!$H$3:$H2179,원본명단!$H2179)=1),IF(원본명단!$I2179="",TRUE(),COUNTIF(원본명단!$I$3:$I2179,원본명단!$I2179)=1),IF(원본명단!$K2179="",TRUE(),COUNTIF(원본명단!$K$3:$K2179,원본명단!$K2179)=1)),"첫 건","중복 건")))</f>
        <v/>
      </c>
      <c r="J2180" s="11" t="str">
        <f aca="false">IF($A2180="","",IF($H2180="-","유지",IF($I2180="첫 건","유지","확인 필요")))</f>
        <v/>
      </c>
    </row>
    <row r="2181" customFormat="false" ht="15" hidden="false" customHeight="true" outlineLevel="0" collapsed="false">
      <c r="A2181" s="11" t="str">
        <f aca="false">IF(원본명단!$A2180="","",2178)</f>
        <v/>
      </c>
      <c r="B2181" s="12" t="str">
        <f aca="false">IF($A2181="","",원본명단!$A2180)</f>
        <v/>
      </c>
      <c r="C2181" s="12" t="str">
        <f aca="false">IF($A2181="","",원본명단!$B2180)</f>
        <v/>
      </c>
      <c r="D2181" s="12" t="str">
        <f aca="false">IF($A2181="","",원본명단!$D2180)</f>
        <v/>
      </c>
      <c r="E2181" s="11" t="str">
        <f aca="false">IF($A2181="","",IF(원본명단!$H2180="",0,COUNTIF(원본명단!$H$3:$H$6002,원본명단!$H2180)))</f>
        <v/>
      </c>
      <c r="F2181" s="11" t="str">
        <f aca="false">IF($A2181="","",IF(원본명단!$I2180="",0,COUNTIF(원본명단!$I$3:$I$6002,원본명단!$I2180)))</f>
        <v/>
      </c>
      <c r="G2181" s="11" t="str">
        <f aca="false">IF($A2181="","",IF(원본명단!$K2180="",0,COUNTIF(원본명단!$K$3:$K$6002,원본명단!$K2180)))</f>
        <v/>
      </c>
      <c r="H2181" s="11" t="str">
        <f aca="false">IF($A2181="","",IF(MAX($E2181,$F2181,$G2181)&gt;1,"중복","-"))</f>
        <v/>
      </c>
      <c r="I2181" s="11" t="str">
        <f aca="false">IF($A2181="","",IF($H2181="-","-",IF(AND(IF(원본명단!$H2180="",TRUE(),COUNTIF(원본명단!$H$3:$H2180,원본명단!$H2180)=1),IF(원본명단!$I2180="",TRUE(),COUNTIF(원본명단!$I$3:$I2180,원본명단!$I2180)=1),IF(원본명단!$K2180="",TRUE(),COUNTIF(원본명단!$K$3:$K2180,원본명단!$K2180)=1)),"첫 건","중복 건")))</f>
        <v/>
      </c>
      <c r="J2181" s="11" t="str">
        <f aca="false">IF($A2181="","",IF($H2181="-","유지",IF($I2181="첫 건","유지","확인 필요")))</f>
        <v/>
      </c>
    </row>
    <row r="2182" customFormat="false" ht="15" hidden="false" customHeight="true" outlineLevel="0" collapsed="false">
      <c r="A2182" s="11" t="str">
        <f aca="false">IF(원본명단!$A2181="","",2179)</f>
        <v/>
      </c>
      <c r="B2182" s="12" t="str">
        <f aca="false">IF($A2182="","",원본명단!$A2181)</f>
        <v/>
      </c>
      <c r="C2182" s="12" t="str">
        <f aca="false">IF($A2182="","",원본명단!$B2181)</f>
        <v/>
      </c>
      <c r="D2182" s="12" t="str">
        <f aca="false">IF($A2182="","",원본명단!$D2181)</f>
        <v/>
      </c>
      <c r="E2182" s="11" t="str">
        <f aca="false">IF($A2182="","",IF(원본명단!$H2181="",0,COUNTIF(원본명단!$H$3:$H$6002,원본명단!$H2181)))</f>
        <v/>
      </c>
      <c r="F2182" s="11" t="str">
        <f aca="false">IF($A2182="","",IF(원본명단!$I2181="",0,COUNTIF(원본명단!$I$3:$I$6002,원본명단!$I2181)))</f>
        <v/>
      </c>
      <c r="G2182" s="11" t="str">
        <f aca="false">IF($A2182="","",IF(원본명단!$K2181="",0,COUNTIF(원본명단!$K$3:$K$6002,원본명단!$K2181)))</f>
        <v/>
      </c>
      <c r="H2182" s="11" t="str">
        <f aca="false">IF($A2182="","",IF(MAX($E2182,$F2182,$G2182)&gt;1,"중복","-"))</f>
        <v/>
      </c>
      <c r="I2182" s="11" t="str">
        <f aca="false">IF($A2182="","",IF($H2182="-","-",IF(AND(IF(원본명단!$H2181="",TRUE(),COUNTIF(원본명단!$H$3:$H2181,원본명단!$H2181)=1),IF(원본명단!$I2181="",TRUE(),COUNTIF(원본명단!$I$3:$I2181,원본명단!$I2181)=1),IF(원본명단!$K2181="",TRUE(),COUNTIF(원본명단!$K$3:$K2181,원본명단!$K2181)=1)),"첫 건","중복 건")))</f>
        <v/>
      </c>
      <c r="J2182" s="11" t="str">
        <f aca="false">IF($A2182="","",IF($H2182="-","유지",IF($I2182="첫 건","유지","확인 필요")))</f>
        <v/>
      </c>
    </row>
    <row r="2183" customFormat="false" ht="15" hidden="false" customHeight="true" outlineLevel="0" collapsed="false">
      <c r="A2183" s="11" t="str">
        <f aca="false">IF(원본명단!$A2182="","",2180)</f>
        <v/>
      </c>
      <c r="B2183" s="12" t="str">
        <f aca="false">IF($A2183="","",원본명단!$A2182)</f>
        <v/>
      </c>
      <c r="C2183" s="12" t="str">
        <f aca="false">IF($A2183="","",원본명단!$B2182)</f>
        <v/>
      </c>
      <c r="D2183" s="12" t="str">
        <f aca="false">IF($A2183="","",원본명단!$D2182)</f>
        <v/>
      </c>
      <c r="E2183" s="11" t="str">
        <f aca="false">IF($A2183="","",IF(원본명단!$H2182="",0,COUNTIF(원본명단!$H$3:$H$6002,원본명단!$H2182)))</f>
        <v/>
      </c>
      <c r="F2183" s="11" t="str">
        <f aca="false">IF($A2183="","",IF(원본명단!$I2182="",0,COUNTIF(원본명단!$I$3:$I$6002,원본명단!$I2182)))</f>
        <v/>
      </c>
      <c r="G2183" s="11" t="str">
        <f aca="false">IF($A2183="","",IF(원본명단!$K2182="",0,COUNTIF(원본명단!$K$3:$K$6002,원본명단!$K2182)))</f>
        <v/>
      </c>
      <c r="H2183" s="11" t="str">
        <f aca="false">IF($A2183="","",IF(MAX($E2183,$F2183,$G2183)&gt;1,"중복","-"))</f>
        <v/>
      </c>
      <c r="I2183" s="11" t="str">
        <f aca="false">IF($A2183="","",IF($H2183="-","-",IF(AND(IF(원본명단!$H2182="",TRUE(),COUNTIF(원본명단!$H$3:$H2182,원본명단!$H2182)=1),IF(원본명단!$I2182="",TRUE(),COUNTIF(원본명단!$I$3:$I2182,원본명단!$I2182)=1),IF(원본명단!$K2182="",TRUE(),COUNTIF(원본명단!$K$3:$K2182,원본명단!$K2182)=1)),"첫 건","중복 건")))</f>
        <v/>
      </c>
      <c r="J2183" s="11" t="str">
        <f aca="false">IF($A2183="","",IF($H2183="-","유지",IF($I2183="첫 건","유지","확인 필요")))</f>
        <v/>
      </c>
    </row>
    <row r="2184" customFormat="false" ht="15" hidden="false" customHeight="true" outlineLevel="0" collapsed="false">
      <c r="A2184" s="11" t="str">
        <f aca="false">IF(원본명단!$A2183="","",2181)</f>
        <v/>
      </c>
      <c r="B2184" s="12" t="str">
        <f aca="false">IF($A2184="","",원본명단!$A2183)</f>
        <v/>
      </c>
      <c r="C2184" s="12" t="str">
        <f aca="false">IF($A2184="","",원본명단!$B2183)</f>
        <v/>
      </c>
      <c r="D2184" s="12" t="str">
        <f aca="false">IF($A2184="","",원본명단!$D2183)</f>
        <v/>
      </c>
      <c r="E2184" s="11" t="str">
        <f aca="false">IF($A2184="","",IF(원본명단!$H2183="",0,COUNTIF(원본명단!$H$3:$H$6002,원본명단!$H2183)))</f>
        <v/>
      </c>
      <c r="F2184" s="11" t="str">
        <f aca="false">IF($A2184="","",IF(원본명단!$I2183="",0,COUNTIF(원본명단!$I$3:$I$6002,원본명단!$I2183)))</f>
        <v/>
      </c>
      <c r="G2184" s="11" t="str">
        <f aca="false">IF($A2184="","",IF(원본명단!$K2183="",0,COUNTIF(원본명단!$K$3:$K$6002,원본명단!$K2183)))</f>
        <v/>
      </c>
      <c r="H2184" s="11" t="str">
        <f aca="false">IF($A2184="","",IF(MAX($E2184,$F2184,$G2184)&gt;1,"중복","-"))</f>
        <v/>
      </c>
      <c r="I2184" s="11" t="str">
        <f aca="false">IF($A2184="","",IF($H2184="-","-",IF(AND(IF(원본명단!$H2183="",TRUE(),COUNTIF(원본명단!$H$3:$H2183,원본명단!$H2183)=1),IF(원본명단!$I2183="",TRUE(),COUNTIF(원본명단!$I$3:$I2183,원본명단!$I2183)=1),IF(원본명단!$K2183="",TRUE(),COUNTIF(원본명단!$K$3:$K2183,원본명단!$K2183)=1)),"첫 건","중복 건")))</f>
        <v/>
      </c>
      <c r="J2184" s="11" t="str">
        <f aca="false">IF($A2184="","",IF($H2184="-","유지",IF($I2184="첫 건","유지","확인 필요")))</f>
        <v/>
      </c>
    </row>
    <row r="2185" customFormat="false" ht="15" hidden="false" customHeight="true" outlineLevel="0" collapsed="false">
      <c r="A2185" s="11" t="str">
        <f aca="false">IF(원본명단!$A2184="","",2182)</f>
        <v/>
      </c>
      <c r="B2185" s="12" t="str">
        <f aca="false">IF($A2185="","",원본명단!$A2184)</f>
        <v/>
      </c>
      <c r="C2185" s="12" t="str">
        <f aca="false">IF($A2185="","",원본명단!$B2184)</f>
        <v/>
      </c>
      <c r="D2185" s="12" t="str">
        <f aca="false">IF($A2185="","",원본명단!$D2184)</f>
        <v/>
      </c>
      <c r="E2185" s="11" t="str">
        <f aca="false">IF($A2185="","",IF(원본명단!$H2184="",0,COUNTIF(원본명단!$H$3:$H$6002,원본명단!$H2184)))</f>
        <v/>
      </c>
      <c r="F2185" s="11" t="str">
        <f aca="false">IF($A2185="","",IF(원본명단!$I2184="",0,COUNTIF(원본명단!$I$3:$I$6002,원본명단!$I2184)))</f>
        <v/>
      </c>
      <c r="G2185" s="11" t="str">
        <f aca="false">IF($A2185="","",IF(원본명단!$K2184="",0,COUNTIF(원본명단!$K$3:$K$6002,원본명단!$K2184)))</f>
        <v/>
      </c>
      <c r="H2185" s="11" t="str">
        <f aca="false">IF($A2185="","",IF(MAX($E2185,$F2185,$G2185)&gt;1,"중복","-"))</f>
        <v/>
      </c>
      <c r="I2185" s="11" t="str">
        <f aca="false">IF($A2185="","",IF($H2185="-","-",IF(AND(IF(원본명단!$H2184="",TRUE(),COUNTIF(원본명단!$H$3:$H2184,원본명단!$H2184)=1),IF(원본명단!$I2184="",TRUE(),COUNTIF(원본명단!$I$3:$I2184,원본명단!$I2184)=1),IF(원본명단!$K2184="",TRUE(),COUNTIF(원본명단!$K$3:$K2184,원본명단!$K2184)=1)),"첫 건","중복 건")))</f>
        <v/>
      </c>
      <c r="J2185" s="11" t="str">
        <f aca="false">IF($A2185="","",IF($H2185="-","유지",IF($I2185="첫 건","유지","확인 필요")))</f>
        <v/>
      </c>
    </row>
    <row r="2186" customFormat="false" ht="15" hidden="false" customHeight="true" outlineLevel="0" collapsed="false">
      <c r="A2186" s="11" t="str">
        <f aca="false">IF(원본명단!$A2185="","",2183)</f>
        <v/>
      </c>
      <c r="B2186" s="12" t="str">
        <f aca="false">IF($A2186="","",원본명단!$A2185)</f>
        <v/>
      </c>
      <c r="C2186" s="12" t="str">
        <f aca="false">IF($A2186="","",원본명단!$B2185)</f>
        <v/>
      </c>
      <c r="D2186" s="12" t="str">
        <f aca="false">IF($A2186="","",원본명단!$D2185)</f>
        <v/>
      </c>
      <c r="E2186" s="11" t="str">
        <f aca="false">IF($A2186="","",IF(원본명단!$H2185="",0,COUNTIF(원본명단!$H$3:$H$6002,원본명단!$H2185)))</f>
        <v/>
      </c>
      <c r="F2186" s="11" t="str">
        <f aca="false">IF($A2186="","",IF(원본명단!$I2185="",0,COUNTIF(원본명단!$I$3:$I$6002,원본명단!$I2185)))</f>
        <v/>
      </c>
      <c r="G2186" s="11" t="str">
        <f aca="false">IF($A2186="","",IF(원본명단!$K2185="",0,COUNTIF(원본명단!$K$3:$K$6002,원본명단!$K2185)))</f>
        <v/>
      </c>
      <c r="H2186" s="11" t="str">
        <f aca="false">IF($A2186="","",IF(MAX($E2186,$F2186,$G2186)&gt;1,"중복","-"))</f>
        <v/>
      </c>
      <c r="I2186" s="11" t="str">
        <f aca="false">IF($A2186="","",IF($H2186="-","-",IF(AND(IF(원본명단!$H2185="",TRUE(),COUNTIF(원본명단!$H$3:$H2185,원본명단!$H2185)=1),IF(원본명단!$I2185="",TRUE(),COUNTIF(원본명단!$I$3:$I2185,원본명단!$I2185)=1),IF(원본명단!$K2185="",TRUE(),COUNTIF(원본명단!$K$3:$K2185,원본명단!$K2185)=1)),"첫 건","중복 건")))</f>
        <v/>
      </c>
      <c r="J2186" s="11" t="str">
        <f aca="false">IF($A2186="","",IF($H2186="-","유지",IF($I2186="첫 건","유지","확인 필요")))</f>
        <v/>
      </c>
    </row>
    <row r="2187" customFormat="false" ht="15" hidden="false" customHeight="true" outlineLevel="0" collapsed="false">
      <c r="A2187" s="11" t="str">
        <f aca="false">IF(원본명단!$A2186="","",2184)</f>
        <v/>
      </c>
      <c r="B2187" s="12" t="str">
        <f aca="false">IF($A2187="","",원본명단!$A2186)</f>
        <v/>
      </c>
      <c r="C2187" s="12" t="str">
        <f aca="false">IF($A2187="","",원본명단!$B2186)</f>
        <v/>
      </c>
      <c r="D2187" s="12" t="str">
        <f aca="false">IF($A2187="","",원본명단!$D2186)</f>
        <v/>
      </c>
      <c r="E2187" s="11" t="str">
        <f aca="false">IF($A2187="","",IF(원본명단!$H2186="",0,COUNTIF(원본명단!$H$3:$H$6002,원본명단!$H2186)))</f>
        <v/>
      </c>
      <c r="F2187" s="11" t="str">
        <f aca="false">IF($A2187="","",IF(원본명단!$I2186="",0,COUNTIF(원본명단!$I$3:$I$6002,원본명단!$I2186)))</f>
        <v/>
      </c>
      <c r="G2187" s="11" t="str">
        <f aca="false">IF($A2187="","",IF(원본명단!$K2186="",0,COUNTIF(원본명단!$K$3:$K$6002,원본명단!$K2186)))</f>
        <v/>
      </c>
      <c r="H2187" s="11" t="str">
        <f aca="false">IF($A2187="","",IF(MAX($E2187,$F2187,$G2187)&gt;1,"중복","-"))</f>
        <v/>
      </c>
      <c r="I2187" s="11" t="str">
        <f aca="false">IF($A2187="","",IF($H2187="-","-",IF(AND(IF(원본명단!$H2186="",TRUE(),COUNTIF(원본명단!$H$3:$H2186,원본명단!$H2186)=1),IF(원본명단!$I2186="",TRUE(),COUNTIF(원본명단!$I$3:$I2186,원본명단!$I2186)=1),IF(원본명단!$K2186="",TRUE(),COUNTIF(원본명단!$K$3:$K2186,원본명단!$K2186)=1)),"첫 건","중복 건")))</f>
        <v/>
      </c>
      <c r="J2187" s="11" t="str">
        <f aca="false">IF($A2187="","",IF($H2187="-","유지",IF($I2187="첫 건","유지","확인 필요")))</f>
        <v/>
      </c>
    </row>
    <row r="2188" customFormat="false" ht="15" hidden="false" customHeight="true" outlineLevel="0" collapsed="false">
      <c r="A2188" s="11" t="str">
        <f aca="false">IF(원본명단!$A2187="","",2185)</f>
        <v/>
      </c>
      <c r="B2188" s="12" t="str">
        <f aca="false">IF($A2188="","",원본명단!$A2187)</f>
        <v/>
      </c>
      <c r="C2188" s="12" t="str">
        <f aca="false">IF($A2188="","",원본명단!$B2187)</f>
        <v/>
      </c>
      <c r="D2188" s="12" t="str">
        <f aca="false">IF($A2188="","",원본명단!$D2187)</f>
        <v/>
      </c>
      <c r="E2188" s="11" t="str">
        <f aca="false">IF($A2188="","",IF(원본명단!$H2187="",0,COUNTIF(원본명단!$H$3:$H$6002,원본명단!$H2187)))</f>
        <v/>
      </c>
      <c r="F2188" s="11" t="str">
        <f aca="false">IF($A2188="","",IF(원본명단!$I2187="",0,COUNTIF(원본명단!$I$3:$I$6002,원본명단!$I2187)))</f>
        <v/>
      </c>
      <c r="G2188" s="11" t="str">
        <f aca="false">IF($A2188="","",IF(원본명단!$K2187="",0,COUNTIF(원본명단!$K$3:$K$6002,원본명단!$K2187)))</f>
        <v/>
      </c>
      <c r="H2188" s="11" t="str">
        <f aca="false">IF($A2188="","",IF(MAX($E2188,$F2188,$G2188)&gt;1,"중복","-"))</f>
        <v/>
      </c>
      <c r="I2188" s="11" t="str">
        <f aca="false">IF($A2188="","",IF($H2188="-","-",IF(AND(IF(원본명단!$H2187="",TRUE(),COUNTIF(원본명단!$H$3:$H2187,원본명단!$H2187)=1),IF(원본명단!$I2187="",TRUE(),COUNTIF(원본명단!$I$3:$I2187,원본명단!$I2187)=1),IF(원본명단!$K2187="",TRUE(),COUNTIF(원본명단!$K$3:$K2187,원본명단!$K2187)=1)),"첫 건","중복 건")))</f>
        <v/>
      </c>
      <c r="J2188" s="11" t="str">
        <f aca="false">IF($A2188="","",IF($H2188="-","유지",IF($I2188="첫 건","유지","확인 필요")))</f>
        <v/>
      </c>
    </row>
    <row r="2189" customFormat="false" ht="15" hidden="false" customHeight="true" outlineLevel="0" collapsed="false">
      <c r="A2189" s="11" t="str">
        <f aca="false">IF(원본명단!$A2188="","",2186)</f>
        <v/>
      </c>
      <c r="B2189" s="12" t="str">
        <f aca="false">IF($A2189="","",원본명단!$A2188)</f>
        <v/>
      </c>
      <c r="C2189" s="12" t="str">
        <f aca="false">IF($A2189="","",원본명단!$B2188)</f>
        <v/>
      </c>
      <c r="D2189" s="12" t="str">
        <f aca="false">IF($A2189="","",원본명단!$D2188)</f>
        <v/>
      </c>
      <c r="E2189" s="11" t="str">
        <f aca="false">IF($A2189="","",IF(원본명단!$H2188="",0,COUNTIF(원본명단!$H$3:$H$6002,원본명단!$H2188)))</f>
        <v/>
      </c>
      <c r="F2189" s="11" t="str">
        <f aca="false">IF($A2189="","",IF(원본명단!$I2188="",0,COUNTIF(원본명단!$I$3:$I$6002,원본명단!$I2188)))</f>
        <v/>
      </c>
      <c r="G2189" s="11" t="str">
        <f aca="false">IF($A2189="","",IF(원본명단!$K2188="",0,COUNTIF(원본명단!$K$3:$K$6002,원본명단!$K2188)))</f>
        <v/>
      </c>
      <c r="H2189" s="11" t="str">
        <f aca="false">IF($A2189="","",IF(MAX($E2189,$F2189,$G2189)&gt;1,"중복","-"))</f>
        <v/>
      </c>
      <c r="I2189" s="11" t="str">
        <f aca="false">IF($A2189="","",IF($H2189="-","-",IF(AND(IF(원본명단!$H2188="",TRUE(),COUNTIF(원본명단!$H$3:$H2188,원본명단!$H2188)=1),IF(원본명단!$I2188="",TRUE(),COUNTIF(원본명단!$I$3:$I2188,원본명단!$I2188)=1),IF(원본명단!$K2188="",TRUE(),COUNTIF(원본명단!$K$3:$K2188,원본명단!$K2188)=1)),"첫 건","중복 건")))</f>
        <v/>
      </c>
      <c r="J2189" s="11" t="str">
        <f aca="false">IF($A2189="","",IF($H2189="-","유지",IF($I2189="첫 건","유지","확인 필요")))</f>
        <v/>
      </c>
    </row>
    <row r="2190" customFormat="false" ht="15" hidden="false" customHeight="true" outlineLevel="0" collapsed="false">
      <c r="A2190" s="11" t="str">
        <f aca="false">IF(원본명단!$A2189="","",2187)</f>
        <v/>
      </c>
      <c r="B2190" s="12" t="str">
        <f aca="false">IF($A2190="","",원본명단!$A2189)</f>
        <v/>
      </c>
      <c r="C2190" s="12" t="str">
        <f aca="false">IF($A2190="","",원본명단!$B2189)</f>
        <v/>
      </c>
      <c r="D2190" s="12" t="str">
        <f aca="false">IF($A2190="","",원본명단!$D2189)</f>
        <v/>
      </c>
      <c r="E2190" s="11" t="str">
        <f aca="false">IF($A2190="","",IF(원본명단!$H2189="",0,COUNTIF(원본명단!$H$3:$H$6002,원본명단!$H2189)))</f>
        <v/>
      </c>
      <c r="F2190" s="11" t="str">
        <f aca="false">IF($A2190="","",IF(원본명단!$I2189="",0,COUNTIF(원본명단!$I$3:$I$6002,원본명단!$I2189)))</f>
        <v/>
      </c>
      <c r="G2190" s="11" t="str">
        <f aca="false">IF($A2190="","",IF(원본명단!$K2189="",0,COUNTIF(원본명단!$K$3:$K$6002,원본명단!$K2189)))</f>
        <v/>
      </c>
      <c r="H2190" s="11" t="str">
        <f aca="false">IF($A2190="","",IF(MAX($E2190,$F2190,$G2190)&gt;1,"중복","-"))</f>
        <v/>
      </c>
      <c r="I2190" s="11" t="str">
        <f aca="false">IF($A2190="","",IF($H2190="-","-",IF(AND(IF(원본명단!$H2189="",TRUE(),COUNTIF(원본명단!$H$3:$H2189,원본명단!$H2189)=1),IF(원본명단!$I2189="",TRUE(),COUNTIF(원본명단!$I$3:$I2189,원본명단!$I2189)=1),IF(원본명단!$K2189="",TRUE(),COUNTIF(원본명단!$K$3:$K2189,원본명단!$K2189)=1)),"첫 건","중복 건")))</f>
        <v/>
      </c>
      <c r="J2190" s="11" t="str">
        <f aca="false">IF($A2190="","",IF($H2190="-","유지",IF($I2190="첫 건","유지","확인 필요")))</f>
        <v/>
      </c>
    </row>
    <row r="2191" customFormat="false" ht="15" hidden="false" customHeight="true" outlineLevel="0" collapsed="false">
      <c r="A2191" s="11" t="str">
        <f aca="false">IF(원본명단!$A2190="","",2188)</f>
        <v/>
      </c>
      <c r="B2191" s="12" t="str">
        <f aca="false">IF($A2191="","",원본명단!$A2190)</f>
        <v/>
      </c>
      <c r="C2191" s="12" t="str">
        <f aca="false">IF($A2191="","",원본명단!$B2190)</f>
        <v/>
      </c>
      <c r="D2191" s="12" t="str">
        <f aca="false">IF($A2191="","",원본명단!$D2190)</f>
        <v/>
      </c>
      <c r="E2191" s="11" t="str">
        <f aca="false">IF($A2191="","",IF(원본명단!$H2190="",0,COUNTIF(원본명단!$H$3:$H$6002,원본명단!$H2190)))</f>
        <v/>
      </c>
      <c r="F2191" s="11" t="str">
        <f aca="false">IF($A2191="","",IF(원본명단!$I2190="",0,COUNTIF(원본명단!$I$3:$I$6002,원본명단!$I2190)))</f>
        <v/>
      </c>
      <c r="G2191" s="11" t="str">
        <f aca="false">IF($A2191="","",IF(원본명단!$K2190="",0,COUNTIF(원본명단!$K$3:$K$6002,원본명단!$K2190)))</f>
        <v/>
      </c>
      <c r="H2191" s="11" t="str">
        <f aca="false">IF($A2191="","",IF(MAX($E2191,$F2191,$G2191)&gt;1,"중복","-"))</f>
        <v/>
      </c>
      <c r="I2191" s="11" t="str">
        <f aca="false">IF($A2191="","",IF($H2191="-","-",IF(AND(IF(원본명단!$H2190="",TRUE(),COUNTIF(원본명단!$H$3:$H2190,원본명단!$H2190)=1),IF(원본명단!$I2190="",TRUE(),COUNTIF(원본명단!$I$3:$I2190,원본명단!$I2190)=1),IF(원본명단!$K2190="",TRUE(),COUNTIF(원본명단!$K$3:$K2190,원본명단!$K2190)=1)),"첫 건","중복 건")))</f>
        <v/>
      </c>
      <c r="J2191" s="11" t="str">
        <f aca="false">IF($A2191="","",IF($H2191="-","유지",IF($I2191="첫 건","유지","확인 필요")))</f>
        <v/>
      </c>
    </row>
    <row r="2192" customFormat="false" ht="15" hidden="false" customHeight="true" outlineLevel="0" collapsed="false">
      <c r="A2192" s="11" t="str">
        <f aca="false">IF(원본명단!$A2191="","",2189)</f>
        <v/>
      </c>
      <c r="B2192" s="12" t="str">
        <f aca="false">IF($A2192="","",원본명단!$A2191)</f>
        <v/>
      </c>
      <c r="C2192" s="12" t="str">
        <f aca="false">IF($A2192="","",원본명단!$B2191)</f>
        <v/>
      </c>
      <c r="D2192" s="12" t="str">
        <f aca="false">IF($A2192="","",원본명단!$D2191)</f>
        <v/>
      </c>
      <c r="E2192" s="11" t="str">
        <f aca="false">IF($A2192="","",IF(원본명단!$H2191="",0,COUNTIF(원본명단!$H$3:$H$6002,원본명단!$H2191)))</f>
        <v/>
      </c>
      <c r="F2192" s="11" t="str">
        <f aca="false">IF($A2192="","",IF(원본명단!$I2191="",0,COUNTIF(원본명단!$I$3:$I$6002,원본명단!$I2191)))</f>
        <v/>
      </c>
      <c r="G2192" s="11" t="str">
        <f aca="false">IF($A2192="","",IF(원본명단!$K2191="",0,COUNTIF(원본명단!$K$3:$K$6002,원본명단!$K2191)))</f>
        <v/>
      </c>
      <c r="H2192" s="11" t="str">
        <f aca="false">IF($A2192="","",IF(MAX($E2192,$F2192,$G2192)&gt;1,"중복","-"))</f>
        <v/>
      </c>
      <c r="I2192" s="11" t="str">
        <f aca="false">IF($A2192="","",IF($H2192="-","-",IF(AND(IF(원본명단!$H2191="",TRUE(),COUNTIF(원본명단!$H$3:$H2191,원본명단!$H2191)=1),IF(원본명단!$I2191="",TRUE(),COUNTIF(원본명단!$I$3:$I2191,원본명단!$I2191)=1),IF(원본명단!$K2191="",TRUE(),COUNTIF(원본명단!$K$3:$K2191,원본명단!$K2191)=1)),"첫 건","중복 건")))</f>
        <v/>
      </c>
      <c r="J2192" s="11" t="str">
        <f aca="false">IF($A2192="","",IF($H2192="-","유지",IF($I2192="첫 건","유지","확인 필요")))</f>
        <v/>
      </c>
    </row>
    <row r="2193" customFormat="false" ht="15" hidden="false" customHeight="true" outlineLevel="0" collapsed="false">
      <c r="A2193" s="11" t="str">
        <f aca="false">IF(원본명단!$A2192="","",2190)</f>
        <v/>
      </c>
      <c r="B2193" s="12" t="str">
        <f aca="false">IF($A2193="","",원본명단!$A2192)</f>
        <v/>
      </c>
      <c r="C2193" s="12" t="str">
        <f aca="false">IF($A2193="","",원본명단!$B2192)</f>
        <v/>
      </c>
      <c r="D2193" s="12" t="str">
        <f aca="false">IF($A2193="","",원본명단!$D2192)</f>
        <v/>
      </c>
      <c r="E2193" s="11" t="str">
        <f aca="false">IF($A2193="","",IF(원본명단!$H2192="",0,COUNTIF(원본명단!$H$3:$H$6002,원본명단!$H2192)))</f>
        <v/>
      </c>
      <c r="F2193" s="11" t="str">
        <f aca="false">IF($A2193="","",IF(원본명단!$I2192="",0,COUNTIF(원본명단!$I$3:$I$6002,원본명단!$I2192)))</f>
        <v/>
      </c>
      <c r="G2193" s="11" t="str">
        <f aca="false">IF($A2193="","",IF(원본명단!$K2192="",0,COUNTIF(원본명단!$K$3:$K$6002,원본명단!$K2192)))</f>
        <v/>
      </c>
      <c r="H2193" s="11" t="str">
        <f aca="false">IF($A2193="","",IF(MAX($E2193,$F2193,$G2193)&gt;1,"중복","-"))</f>
        <v/>
      </c>
      <c r="I2193" s="11" t="str">
        <f aca="false">IF($A2193="","",IF($H2193="-","-",IF(AND(IF(원본명단!$H2192="",TRUE(),COUNTIF(원본명단!$H$3:$H2192,원본명단!$H2192)=1),IF(원본명단!$I2192="",TRUE(),COUNTIF(원본명단!$I$3:$I2192,원본명단!$I2192)=1),IF(원본명단!$K2192="",TRUE(),COUNTIF(원본명단!$K$3:$K2192,원본명단!$K2192)=1)),"첫 건","중복 건")))</f>
        <v/>
      </c>
      <c r="J2193" s="11" t="str">
        <f aca="false">IF($A2193="","",IF($H2193="-","유지",IF($I2193="첫 건","유지","확인 필요")))</f>
        <v/>
      </c>
    </row>
    <row r="2194" customFormat="false" ht="15" hidden="false" customHeight="true" outlineLevel="0" collapsed="false">
      <c r="A2194" s="11" t="str">
        <f aca="false">IF(원본명단!$A2193="","",2191)</f>
        <v/>
      </c>
      <c r="B2194" s="12" t="str">
        <f aca="false">IF($A2194="","",원본명단!$A2193)</f>
        <v/>
      </c>
      <c r="C2194" s="12" t="str">
        <f aca="false">IF($A2194="","",원본명단!$B2193)</f>
        <v/>
      </c>
      <c r="D2194" s="12" t="str">
        <f aca="false">IF($A2194="","",원본명단!$D2193)</f>
        <v/>
      </c>
      <c r="E2194" s="11" t="str">
        <f aca="false">IF($A2194="","",IF(원본명단!$H2193="",0,COUNTIF(원본명단!$H$3:$H$6002,원본명단!$H2193)))</f>
        <v/>
      </c>
      <c r="F2194" s="11" t="str">
        <f aca="false">IF($A2194="","",IF(원본명단!$I2193="",0,COUNTIF(원본명단!$I$3:$I$6002,원본명단!$I2193)))</f>
        <v/>
      </c>
      <c r="G2194" s="11" t="str">
        <f aca="false">IF($A2194="","",IF(원본명단!$K2193="",0,COUNTIF(원본명단!$K$3:$K$6002,원본명단!$K2193)))</f>
        <v/>
      </c>
      <c r="H2194" s="11" t="str">
        <f aca="false">IF($A2194="","",IF(MAX($E2194,$F2194,$G2194)&gt;1,"중복","-"))</f>
        <v/>
      </c>
      <c r="I2194" s="11" t="str">
        <f aca="false">IF($A2194="","",IF($H2194="-","-",IF(AND(IF(원본명단!$H2193="",TRUE(),COUNTIF(원본명단!$H$3:$H2193,원본명단!$H2193)=1),IF(원본명단!$I2193="",TRUE(),COUNTIF(원본명단!$I$3:$I2193,원본명단!$I2193)=1),IF(원본명단!$K2193="",TRUE(),COUNTIF(원본명단!$K$3:$K2193,원본명단!$K2193)=1)),"첫 건","중복 건")))</f>
        <v/>
      </c>
      <c r="J2194" s="11" t="str">
        <f aca="false">IF($A2194="","",IF($H2194="-","유지",IF($I2194="첫 건","유지","확인 필요")))</f>
        <v/>
      </c>
    </row>
    <row r="2195" customFormat="false" ht="15" hidden="false" customHeight="true" outlineLevel="0" collapsed="false">
      <c r="A2195" s="11" t="str">
        <f aca="false">IF(원본명단!$A2194="","",2192)</f>
        <v/>
      </c>
      <c r="B2195" s="12" t="str">
        <f aca="false">IF($A2195="","",원본명단!$A2194)</f>
        <v/>
      </c>
      <c r="C2195" s="12" t="str">
        <f aca="false">IF($A2195="","",원본명단!$B2194)</f>
        <v/>
      </c>
      <c r="D2195" s="12" t="str">
        <f aca="false">IF($A2195="","",원본명단!$D2194)</f>
        <v/>
      </c>
      <c r="E2195" s="11" t="str">
        <f aca="false">IF($A2195="","",IF(원본명단!$H2194="",0,COUNTIF(원본명단!$H$3:$H$6002,원본명단!$H2194)))</f>
        <v/>
      </c>
      <c r="F2195" s="11" t="str">
        <f aca="false">IF($A2195="","",IF(원본명단!$I2194="",0,COUNTIF(원본명단!$I$3:$I$6002,원본명단!$I2194)))</f>
        <v/>
      </c>
      <c r="G2195" s="11" t="str">
        <f aca="false">IF($A2195="","",IF(원본명단!$K2194="",0,COUNTIF(원본명단!$K$3:$K$6002,원본명단!$K2194)))</f>
        <v/>
      </c>
      <c r="H2195" s="11" t="str">
        <f aca="false">IF($A2195="","",IF(MAX($E2195,$F2195,$G2195)&gt;1,"중복","-"))</f>
        <v/>
      </c>
      <c r="I2195" s="11" t="str">
        <f aca="false">IF($A2195="","",IF($H2195="-","-",IF(AND(IF(원본명단!$H2194="",TRUE(),COUNTIF(원본명단!$H$3:$H2194,원본명단!$H2194)=1),IF(원본명단!$I2194="",TRUE(),COUNTIF(원본명단!$I$3:$I2194,원본명단!$I2194)=1),IF(원본명단!$K2194="",TRUE(),COUNTIF(원본명단!$K$3:$K2194,원본명단!$K2194)=1)),"첫 건","중복 건")))</f>
        <v/>
      </c>
      <c r="J2195" s="11" t="str">
        <f aca="false">IF($A2195="","",IF($H2195="-","유지",IF($I2195="첫 건","유지","확인 필요")))</f>
        <v/>
      </c>
    </row>
    <row r="2196" customFormat="false" ht="15" hidden="false" customHeight="true" outlineLevel="0" collapsed="false">
      <c r="A2196" s="11" t="str">
        <f aca="false">IF(원본명단!$A2195="","",2193)</f>
        <v/>
      </c>
      <c r="B2196" s="12" t="str">
        <f aca="false">IF($A2196="","",원본명단!$A2195)</f>
        <v/>
      </c>
      <c r="C2196" s="12" t="str">
        <f aca="false">IF($A2196="","",원본명단!$B2195)</f>
        <v/>
      </c>
      <c r="D2196" s="12" t="str">
        <f aca="false">IF($A2196="","",원본명단!$D2195)</f>
        <v/>
      </c>
      <c r="E2196" s="11" t="str">
        <f aca="false">IF($A2196="","",IF(원본명단!$H2195="",0,COUNTIF(원본명단!$H$3:$H$6002,원본명단!$H2195)))</f>
        <v/>
      </c>
      <c r="F2196" s="11" t="str">
        <f aca="false">IF($A2196="","",IF(원본명단!$I2195="",0,COUNTIF(원본명단!$I$3:$I$6002,원본명단!$I2195)))</f>
        <v/>
      </c>
      <c r="G2196" s="11" t="str">
        <f aca="false">IF($A2196="","",IF(원본명단!$K2195="",0,COUNTIF(원본명단!$K$3:$K$6002,원본명단!$K2195)))</f>
        <v/>
      </c>
      <c r="H2196" s="11" t="str">
        <f aca="false">IF($A2196="","",IF(MAX($E2196,$F2196,$G2196)&gt;1,"중복","-"))</f>
        <v/>
      </c>
      <c r="I2196" s="11" t="str">
        <f aca="false">IF($A2196="","",IF($H2196="-","-",IF(AND(IF(원본명단!$H2195="",TRUE(),COUNTIF(원본명단!$H$3:$H2195,원본명단!$H2195)=1),IF(원본명단!$I2195="",TRUE(),COUNTIF(원본명단!$I$3:$I2195,원본명단!$I2195)=1),IF(원본명단!$K2195="",TRUE(),COUNTIF(원본명단!$K$3:$K2195,원본명단!$K2195)=1)),"첫 건","중복 건")))</f>
        <v/>
      </c>
      <c r="J2196" s="11" t="str">
        <f aca="false">IF($A2196="","",IF($H2196="-","유지",IF($I2196="첫 건","유지","확인 필요")))</f>
        <v/>
      </c>
    </row>
    <row r="2197" customFormat="false" ht="15" hidden="false" customHeight="true" outlineLevel="0" collapsed="false">
      <c r="A2197" s="11" t="str">
        <f aca="false">IF(원본명단!$A2196="","",2194)</f>
        <v/>
      </c>
      <c r="B2197" s="12" t="str">
        <f aca="false">IF($A2197="","",원본명단!$A2196)</f>
        <v/>
      </c>
      <c r="C2197" s="12" t="str">
        <f aca="false">IF($A2197="","",원본명단!$B2196)</f>
        <v/>
      </c>
      <c r="D2197" s="12" t="str">
        <f aca="false">IF($A2197="","",원본명단!$D2196)</f>
        <v/>
      </c>
      <c r="E2197" s="11" t="str">
        <f aca="false">IF($A2197="","",IF(원본명단!$H2196="",0,COUNTIF(원본명단!$H$3:$H$6002,원본명단!$H2196)))</f>
        <v/>
      </c>
      <c r="F2197" s="11" t="str">
        <f aca="false">IF($A2197="","",IF(원본명단!$I2196="",0,COUNTIF(원본명단!$I$3:$I$6002,원본명단!$I2196)))</f>
        <v/>
      </c>
      <c r="G2197" s="11" t="str">
        <f aca="false">IF($A2197="","",IF(원본명단!$K2196="",0,COUNTIF(원본명단!$K$3:$K$6002,원본명단!$K2196)))</f>
        <v/>
      </c>
      <c r="H2197" s="11" t="str">
        <f aca="false">IF($A2197="","",IF(MAX($E2197,$F2197,$G2197)&gt;1,"중복","-"))</f>
        <v/>
      </c>
      <c r="I2197" s="11" t="str">
        <f aca="false">IF($A2197="","",IF($H2197="-","-",IF(AND(IF(원본명단!$H2196="",TRUE(),COUNTIF(원본명단!$H$3:$H2196,원본명단!$H2196)=1),IF(원본명단!$I2196="",TRUE(),COUNTIF(원본명단!$I$3:$I2196,원본명단!$I2196)=1),IF(원본명단!$K2196="",TRUE(),COUNTIF(원본명단!$K$3:$K2196,원본명단!$K2196)=1)),"첫 건","중복 건")))</f>
        <v/>
      </c>
      <c r="J2197" s="11" t="str">
        <f aca="false">IF($A2197="","",IF($H2197="-","유지",IF($I2197="첫 건","유지","확인 필요")))</f>
        <v/>
      </c>
    </row>
    <row r="2198" customFormat="false" ht="15" hidden="false" customHeight="true" outlineLevel="0" collapsed="false">
      <c r="A2198" s="11" t="str">
        <f aca="false">IF(원본명단!$A2197="","",2195)</f>
        <v/>
      </c>
      <c r="B2198" s="12" t="str">
        <f aca="false">IF($A2198="","",원본명단!$A2197)</f>
        <v/>
      </c>
      <c r="C2198" s="12" t="str">
        <f aca="false">IF($A2198="","",원본명단!$B2197)</f>
        <v/>
      </c>
      <c r="D2198" s="12" t="str">
        <f aca="false">IF($A2198="","",원본명단!$D2197)</f>
        <v/>
      </c>
      <c r="E2198" s="11" t="str">
        <f aca="false">IF($A2198="","",IF(원본명단!$H2197="",0,COUNTIF(원본명단!$H$3:$H$6002,원본명단!$H2197)))</f>
        <v/>
      </c>
      <c r="F2198" s="11" t="str">
        <f aca="false">IF($A2198="","",IF(원본명단!$I2197="",0,COUNTIF(원본명단!$I$3:$I$6002,원본명단!$I2197)))</f>
        <v/>
      </c>
      <c r="G2198" s="11" t="str">
        <f aca="false">IF($A2198="","",IF(원본명단!$K2197="",0,COUNTIF(원본명단!$K$3:$K$6002,원본명단!$K2197)))</f>
        <v/>
      </c>
      <c r="H2198" s="11" t="str">
        <f aca="false">IF($A2198="","",IF(MAX($E2198,$F2198,$G2198)&gt;1,"중복","-"))</f>
        <v/>
      </c>
      <c r="I2198" s="11" t="str">
        <f aca="false">IF($A2198="","",IF($H2198="-","-",IF(AND(IF(원본명단!$H2197="",TRUE(),COUNTIF(원본명단!$H$3:$H2197,원본명단!$H2197)=1),IF(원본명단!$I2197="",TRUE(),COUNTIF(원본명단!$I$3:$I2197,원본명단!$I2197)=1),IF(원본명단!$K2197="",TRUE(),COUNTIF(원본명단!$K$3:$K2197,원본명단!$K2197)=1)),"첫 건","중복 건")))</f>
        <v/>
      </c>
      <c r="J2198" s="11" t="str">
        <f aca="false">IF($A2198="","",IF($H2198="-","유지",IF($I2198="첫 건","유지","확인 필요")))</f>
        <v/>
      </c>
    </row>
    <row r="2199" customFormat="false" ht="15" hidden="false" customHeight="true" outlineLevel="0" collapsed="false">
      <c r="A2199" s="11" t="str">
        <f aca="false">IF(원본명단!$A2198="","",2196)</f>
        <v/>
      </c>
      <c r="B2199" s="12" t="str">
        <f aca="false">IF($A2199="","",원본명단!$A2198)</f>
        <v/>
      </c>
      <c r="C2199" s="12" t="str">
        <f aca="false">IF($A2199="","",원본명단!$B2198)</f>
        <v/>
      </c>
      <c r="D2199" s="12" t="str">
        <f aca="false">IF($A2199="","",원본명단!$D2198)</f>
        <v/>
      </c>
      <c r="E2199" s="11" t="str">
        <f aca="false">IF($A2199="","",IF(원본명단!$H2198="",0,COUNTIF(원본명단!$H$3:$H$6002,원본명단!$H2198)))</f>
        <v/>
      </c>
      <c r="F2199" s="11" t="str">
        <f aca="false">IF($A2199="","",IF(원본명단!$I2198="",0,COUNTIF(원본명단!$I$3:$I$6002,원본명단!$I2198)))</f>
        <v/>
      </c>
      <c r="G2199" s="11" t="str">
        <f aca="false">IF($A2199="","",IF(원본명단!$K2198="",0,COUNTIF(원본명단!$K$3:$K$6002,원본명단!$K2198)))</f>
        <v/>
      </c>
      <c r="H2199" s="11" t="str">
        <f aca="false">IF($A2199="","",IF(MAX($E2199,$F2199,$G2199)&gt;1,"중복","-"))</f>
        <v/>
      </c>
      <c r="I2199" s="11" t="str">
        <f aca="false">IF($A2199="","",IF($H2199="-","-",IF(AND(IF(원본명단!$H2198="",TRUE(),COUNTIF(원본명단!$H$3:$H2198,원본명단!$H2198)=1),IF(원본명단!$I2198="",TRUE(),COUNTIF(원본명단!$I$3:$I2198,원본명단!$I2198)=1),IF(원본명단!$K2198="",TRUE(),COUNTIF(원본명단!$K$3:$K2198,원본명단!$K2198)=1)),"첫 건","중복 건")))</f>
        <v/>
      </c>
      <c r="J2199" s="11" t="str">
        <f aca="false">IF($A2199="","",IF($H2199="-","유지",IF($I2199="첫 건","유지","확인 필요")))</f>
        <v/>
      </c>
    </row>
    <row r="2200" customFormat="false" ht="15" hidden="false" customHeight="true" outlineLevel="0" collapsed="false">
      <c r="A2200" s="11" t="str">
        <f aca="false">IF(원본명단!$A2199="","",2197)</f>
        <v/>
      </c>
      <c r="B2200" s="12" t="str">
        <f aca="false">IF($A2200="","",원본명단!$A2199)</f>
        <v/>
      </c>
      <c r="C2200" s="12" t="str">
        <f aca="false">IF($A2200="","",원본명단!$B2199)</f>
        <v/>
      </c>
      <c r="D2200" s="12" t="str">
        <f aca="false">IF($A2200="","",원본명단!$D2199)</f>
        <v/>
      </c>
      <c r="E2200" s="11" t="str">
        <f aca="false">IF($A2200="","",IF(원본명단!$H2199="",0,COUNTIF(원본명단!$H$3:$H$6002,원본명단!$H2199)))</f>
        <v/>
      </c>
      <c r="F2200" s="11" t="str">
        <f aca="false">IF($A2200="","",IF(원본명단!$I2199="",0,COUNTIF(원본명단!$I$3:$I$6002,원본명단!$I2199)))</f>
        <v/>
      </c>
      <c r="G2200" s="11" t="str">
        <f aca="false">IF($A2200="","",IF(원본명단!$K2199="",0,COUNTIF(원본명단!$K$3:$K$6002,원본명단!$K2199)))</f>
        <v/>
      </c>
      <c r="H2200" s="11" t="str">
        <f aca="false">IF($A2200="","",IF(MAX($E2200,$F2200,$G2200)&gt;1,"중복","-"))</f>
        <v/>
      </c>
      <c r="I2200" s="11" t="str">
        <f aca="false">IF($A2200="","",IF($H2200="-","-",IF(AND(IF(원본명단!$H2199="",TRUE(),COUNTIF(원본명단!$H$3:$H2199,원본명단!$H2199)=1),IF(원본명단!$I2199="",TRUE(),COUNTIF(원본명단!$I$3:$I2199,원본명단!$I2199)=1),IF(원본명단!$K2199="",TRUE(),COUNTIF(원본명단!$K$3:$K2199,원본명단!$K2199)=1)),"첫 건","중복 건")))</f>
        <v/>
      </c>
      <c r="J2200" s="11" t="str">
        <f aca="false">IF($A2200="","",IF($H2200="-","유지",IF($I2200="첫 건","유지","확인 필요")))</f>
        <v/>
      </c>
    </row>
    <row r="2201" customFormat="false" ht="15" hidden="false" customHeight="true" outlineLevel="0" collapsed="false">
      <c r="A2201" s="11" t="str">
        <f aca="false">IF(원본명단!$A2200="","",2198)</f>
        <v/>
      </c>
      <c r="B2201" s="12" t="str">
        <f aca="false">IF($A2201="","",원본명단!$A2200)</f>
        <v/>
      </c>
      <c r="C2201" s="12" t="str">
        <f aca="false">IF($A2201="","",원본명단!$B2200)</f>
        <v/>
      </c>
      <c r="D2201" s="12" t="str">
        <f aca="false">IF($A2201="","",원본명단!$D2200)</f>
        <v/>
      </c>
      <c r="E2201" s="11" t="str">
        <f aca="false">IF($A2201="","",IF(원본명단!$H2200="",0,COUNTIF(원본명단!$H$3:$H$6002,원본명단!$H2200)))</f>
        <v/>
      </c>
      <c r="F2201" s="11" t="str">
        <f aca="false">IF($A2201="","",IF(원본명단!$I2200="",0,COUNTIF(원본명단!$I$3:$I$6002,원본명단!$I2200)))</f>
        <v/>
      </c>
      <c r="G2201" s="11" t="str">
        <f aca="false">IF($A2201="","",IF(원본명단!$K2200="",0,COUNTIF(원본명단!$K$3:$K$6002,원본명단!$K2200)))</f>
        <v/>
      </c>
      <c r="H2201" s="11" t="str">
        <f aca="false">IF($A2201="","",IF(MAX($E2201,$F2201,$G2201)&gt;1,"중복","-"))</f>
        <v/>
      </c>
      <c r="I2201" s="11" t="str">
        <f aca="false">IF($A2201="","",IF($H2201="-","-",IF(AND(IF(원본명단!$H2200="",TRUE(),COUNTIF(원본명단!$H$3:$H2200,원본명단!$H2200)=1),IF(원본명단!$I2200="",TRUE(),COUNTIF(원본명단!$I$3:$I2200,원본명단!$I2200)=1),IF(원본명단!$K2200="",TRUE(),COUNTIF(원본명단!$K$3:$K2200,원본명단!$K2200)=1)),"첫 건","중복 건")))</f>
        <v/>
      </c>
      <c r="J2201" s="11" t="str">
        <f aca="false">IF($A2201="","",IF($H2201="-","유지",IF($I2201="첫 건","유지","확인 필요")))</f>
        <v/>
      </c>
    </row>
    <row r="2202" customFormat="false" ht="15" hidden="false" customHeight="true" outlineLevel="0" collapsed="false">
      <c r="A2202" s="11" t="str">
        <f aca="false">IF(원본명단!$A2201="","",2199)</f>
        <v/>
      </c>
      <c r="B2202" s="12" t="str">
        <f aca="false">IF($A2202="","",원본명단!$A2201)</f>
        <v/>
      </c>
      <c r="C2202" s="12" t="str">
        <f aca="false">IF($A2202="","",원본명단!$B2201)</f>
        <v/>
      </c>
      <c r="D2202" s="12" t="str">
        <f aca="false">IF($A2202="","",원본명단!$D2201)</f>
        <v/>
      </c>
      <c r="E2202" s="11" t="str">
        <f aca="false">IF($A2202="","",IF(원본명단!$H2201="",0,COUNTIF(원본명단!$H$3:$H$6002,원본명단!$H2201)))</f>
        <v/>
      </c>
      <c r="F2202" s="11" t="str">
        <f aca="false">IF($A2202="","",IF(원본명단!$I2201="",0,COUNTIF(원본명단!$I$3:$I$6002,원본명단!$I2201)))</f>
        <v/>
      </c>
      <c r="G2202" s="11" t="str">
        <f aca="false">IF($A2202="","",IF(원본명단!$K2201="",0,COUNTIF(원본명단!$K$3:$K$6002,원본명단!$K2201)))</f>
        <v/>
      </c>
      <c r="H2202" s="11" t="str">
        <f aca="false">IF($A2202="","",IF(MAX($E2202,$F2202,$G2202)&gt;1,"중복","-"))</f>
        <v/>
      </c>
      <c r="I2202" s="11" t="str">
        <f aca="false">IF($A2202="","",IF($H2202="-","-",IF(AND(IF(원본명단!$H2201="",TRUE(),COUNTIF(원본명단!$H$3:$H2201,원본명단!$H2201)=1),IF(원본명단!$I2201="",TRUE(),COUNTIF(원본명단!$I$3:$I2201,원본명단!$I2201)=1),IF(원본명단!$K2201="",TRUE(),COUNTIF(원본명단!$K$3:$K2201,원본명단!$K2201)=1)),"첫 건","중복 건")))</f>
        <v/>
      </c>
      <c r="J2202" s="11" t="str">
        <f aca="false">IF($A2202="","",IF($H2202="-","유지",IF($I2202="첫 건","유지","확인 필요")))</f>
        <v/>
      </c>
    </row>
    <row r="2203" customFormat="false" ht="15" hidden="false" customHeight="true" outlineLevel="0" collapsed="false">
      <c r="A2203" s="11" t="str">
        <f aca="false">IF(원본명단!$A2202="","",2200)</f>
        <v/>
      </c>
      <c r="B2203" s="12" t="str">
        <f aca="false">IF($A2203="","",원본명단!$A2202)</f>
        <v/>
      </c>
      <c r="C2203" s="12" t="str">
        <f aca="false">IF($A2203="","",원본명단!$B2202)</f>
        <v/>
      </c>
      <c r="D2203" s="12" t="str">
        <f aca="false">IF($A2203="","",원본명단!$D2202)</f>
        <v/>
      </c>
      <c r="E2203" s="11" t="str">
        <f aca="false">IF($A2203="","",IF(원본명단!$H2202="",0,COUNTIF(원본명단!$H$3:$H$6002,원본명단!$H2202)))</f>
        <v/>
      </c>
      <c r="F2203" s="11" t="str">
        <f aca="false">IF($A2203="","",IF(원본명단!$I2202="",0,COUNTIF(원본명단!$I$3:$I$6002,원본명단!$I2202)))</f>
        <v/>
      </c>
      <c r="G2203" s="11" t="str">
        <f aca="false">IF($A2203="","",IF(원본명단!$K2202="",0,COUNTIF(원본명단!$K$3:$K$6002,원본명단!$K2202)))</f>
        <v/>
      </c>
      <c r="H2203" s="11" t="str">
        <f aca="false">IF($A2203="","",IF(MAX($E2203,$F2203,$G2203)&gt;1,"중복","-"))</f>
        <v/>
      </c>
      <c r="I2203" s="11" t="str">
        <f aca="false">IF($A2203="","",IF($H2203="-","-",IF(AND(IF(원본명단!$H2202="",TRUE(),COUNTIF(원본명단!$H$3:$H2202,원본명단!$H2202)=1),IF(원본명단!$I2202="",TRUE(),COUNTIF(원본명단!$I$3:$I2202,원본명단!$I2202)=1),IF(원본명단!$K2202="",TRUE(),COUNTIF(원본명단!$K$3:$K2202,원본명단!$K2202)=1)),"첫 건","중복 건")))</f>
        <v/>
      </c>
      <c r="J2203" s="11" t="str">
        <f aca="false">IF($A2203="","",IF($H2203="-","유지",IF($I2203="첫 건","유지","확인 필요")))</f>
        <v/>
      </c>
    </row>
    <row r="2204" customFormat="false" ht="15" hidden="false" customHeight="true" outlineLevel="0" collapsed="false">
      <c r="A2204" s="11" t="str">
        <f aca="false">IF(원본명단!$A2203="","",2201)</f>
        <v/>
      </c>
      <c r="B2204" s="12" t="str">
        <f aca="false">IF($A2204="","",원본명단!$A2203)</f>
        <v/>
      </c>
      <c r="C2204" s="12" t="str">
        <f aca="false">IF($A2204="","",원본명단!$B2203)</f>
        <v/>
      </c>
      <c r="D2204" s="12" t="str">
        <f aca="false">IF($A2204="","",원본명단!$D2203)</f>
        <v/>
      </c>
      <c r="E2204" s="11" t="str">
        <f aca="false">IF($A2204="","",IF(원본명단!$H2203="",0,COUNTIF(원본명단!$H$3:$H$6002,원본명단!$H2203)))</f>
        <v/>
      </c>
      <c r="F2204" s="11" t="str">
        <f aca="false">IF($A2204="","",IF(원본명단!$I2203="",0,COUNTIF(원본명단!$I$3:$I$6002,원본명단!$I2203)))</f>
        <v/>
      </c>
      <c r="G2204" s="11" t="str">
        <f aca="false">IF($A2204="","",IF(원본명단!$K2203="",0,COUNTIF(원본명단!$K$3:$K$6002,원본명단!$K2203)))</f>
        <v/>
      </c>
      <c r="H2204" s="11" t="str">
        <f aca="false">IF($A2204="","",IF(MAX($E2204,$F2204,$G2204)&gt;1,"중복","-"))</f>
        <v/>
      </c>
      <c r="I2204" s="11" t="str">
        <f aca="false">IF($A2204="","",IF($H2204="-","-",IF(AND(IF(원본명단!$H2203="",TRUE(),COUNTIF(원본명단!$H$3:$H2203,원본명단!$H2203)=1),IF(원본명단!$I2203="",TRUE(),COUNTIF(원본명단!$I$3:$I2203,원본명단!$I2203)=1),IF(원본명단!$K2203="",TRUE(),COUNTIF(원본명단!$K$3:$K2203,원본명단!$K2203)=1)),"첫 건","중복 건")))</f>
        <v/>
      </c>
      <c r="J2204" s="11" t="str">
        <f aca="false">IF($A2204="","",IF($H2204="-","유지",IF($I2204="첫 건","유지","확인 필요")))</f>
        <v/>
      </c>
    </row>
    <row r="2205" customFormat="false" ht="15" hidden="false" customHeight="true" outlineLevel="0" collapsed="false">
      <c r="A2205" s="11" t="str">
        <f aca="false">IF(원본명단!$A2204="","",2202)</f>
        <v/>
      </c>
      <c r="B2205" s="12" t="str">
        <f aca="false">IF($A2205="","",원본명단!$A2204)</f>
        <v/>
      </c>
      <c r="C2205" s="12" t="str">
        <f aca="false">IF($A2205="","",원본명단!$B2204)</f>
        <v/>
      </c>
      <c r="D2205" s="12" t="str">
        <f aca="false">IF($A2205="","",원본명단!$D2204)</f>
        <v/>
      </c>
      <c r="E2205" s="11" t="str">
        <f aca="false">IF($A2205="","",IF(원본명단!$H2204="",0,COUNTIF(원본명단!$H$3:$H$6002,원본명단!$H2204)))</f>
        <v/>
      </c>
      <c r="F2205" s="11" t="str">
        <f aca="false">IF($A2205="","",IF(원본명단!$I2204="",0,COUNTIF(원본명단!$I$3:$I$6002,원본명단!$I2204)))</f>
        <v/>
      </c>
      <c r="G2205" s="11" t="str">
        <f aca="false">IF($A2205="","",IF(원본명단!$K2204="",0,COUNTIF(원본명단!$K$3:$K$6002,원본명단!$K2204)))</f>
        <v/>
      </c>
      <c r="H2205" s="11" t="str">
        <f aca="false">IF($A2205="","",IF(MAX($E2205,$F2205,$G2205)&gt;1,"중복","-"))</f>
        <v/>
      </c>
      <c r="I2205" s="11" t="str">
        <f aca="false">IF($A2205="","",IF($H2205="-","-",IF(AND(IF(원본명단!$H2204="",TRUE(),COUNTIF(원본명단!$H$3:$H2204,원본명단!$H2204)=1),IF(원본명단!$I2204="",TRUE(),COUNTIF(원본명단!$I$3:$I2204,원본명단!$I2204)=1),IF(원본명단!$K2204="",TRUE(),COUNTIF(원본명단!$K$3:$K2204,원본명단!$K2204)=1)),"첫 건","중복 건")))</f>
        <v/>
      </c>
      <c r="J2205" s="11" t="str">
        <f aca="false">IF($A2205="","",IF($H2205="-","유지",IF($I2205="첫 건","유지","확인 필요")))</f>
        <v/>
      </c>
    </row>
    <row r="2206" customFormat="false" ht="15" hidden="false" customHeight="true" outlineLevel="0" collapsed="false">
      <c r="A2206" s="11" t="str">
        <f aca="false">IF(원본명단!$A2205="","",2203)</f>
        <v/>
      </c>
      <c r="B2206" s="12" t="str">
        <f aca="false">IF($A2206="","",원본명단!$A2205)</f>
        <v/>
      </c>
      <c r="C2206" s="12" t="str">
        <f aca="false">IF($A2206="","",원본명단!$B2205)</f>
        <v/>
      </c>
      <c r="D2206" s="12" t="str">
        <f aca="false">IF($A2206="","",원본명단!$D2205)</f>
        <v/>
      </c>
      <c r="E2206" s="11" t="str">
        <f aca="false">IF($A2206="","",IF(원본명단!$H2205="",0,COUNTIF(원본명단!$H$3:$H$6002,원본명단!$H2205)))</f>
        <v/>
      </c>
      <c r="F2206" s="11" t="str">
        <f aca="false">IF($A2206="","",IF(원본명단!$I2205="",0,COUNTIF(원본명단!$I$3:$I$6002,원본명단!$I2205)))</f>
        <v/>
      </c>
      <c r="G2206" s="11" t="str">
        <f aca="false">IF($A2206="","",IF(원본명단!$K2205="",0,COUNTIF(원본명단!$K$3:$K$6002,원본명단!$K2205)))</f>
        <v/>
      </c>
      <c r="H2206" s="11" t="str">
        <f aca="false">IF($A2206="","",IF(MAX($E2206,$F2206,$G2206)&gt;1,"중복","-"))</f>
        <v/>
      </c>
      <c r="I2206" s="11" t="str">
        <f aca="false">IF($A2206="","",IF($H2206="-","-",IF(AND(IF(원본명단!$H2205="",TRUE(),COUNTIF(원본명단!$H$3:$H2205,원본명단!$H2205)=1),IF(원본명단!$I2205="",TRUE(),COUNTIF(원본명단!$I$3:$I2205,원본명단!$I2205)=1),IF(원본명단!$K2205="",TRUE(),COUNTIF(원본명단!$K$3:$K2205,원본명단!$K2205)=1)),"첫 건","중복 건")))</f>
        <v/>
      </c>
      <c r="J2206" s="11" t="str">
        <f aca="false">IF($A2206="","",IF($H2206="-","유지",IF($I2206="첫 건","유지","확인 필요")))</f>
        <v/>
      </c>
    </row>
    <row r="2207" customFormat="false" ht="15" hidden="false" customHeight="true" outlineLevel="0" collapsed="false">
      <c r="A2207" s="11" t="str">
        <f aca="false">IF(원본명단!$A2206="","",2204)</f>
        <v/>
      </c>
      <c r="B2207" s="12" t="str">
        <f aca="false">IF($A2207="","",원본명단!$A2206)</f>
        <v/>
      </c>
      <c r="C2207" s="12" t="str">
        <f aca="false">IF($A2207="","",원본명단!$B2206)</f>
        <v/>
      </c>
      <c r="D2207" s="12" t="str">
        <f aca="false">IF($A2207="","",원본명단!$D2206)</f>
        <v/>
      </c>
      <c r="E2207" s="11" t="str">
        <f aca="false">IF($A2207="","",IF(원본명단!$H2206="",0,COUNTIF(원본명단!$H$3:$H$6002,원본명단!$H2206)))</f>
        <v/>
      </c>
      <c r="F2207" s="11" t="str">
        <f aca="false">IF($A2207="","",IF(원본명단!$I2206="",0,COUNTIF(원본명단!$I$3:$I$6002,원본명단!$I2206)))</f>
        <v/>
      </c>
      <c r="G2207" s="11" t="str">
        <f aca="false">IF($A2207="","",IF(원본명단!$K2206="",0,COUNTIF(원본명단!$K$3:$K$6002,원본명단!$K2206)))</f>
        <v/>
      </c>
      <c r="H2207" s="11" t="str">
        <f aca="false">IF($A2207="","",IF(MAX($E2207,$F2207,$G2207)&gt;1,"중복","-"))</f>
        <v/>
      </c>
      <c r="I2207" s="11" t="str">
        <f aca="false">IF($A2207="","",IF($H2207="-","-",IF(AND(IF(원본명단!$H2206="",TRUE(),COUNTIF(원본명단!$H$3:$H2206,원본명단!$H2206)=1),IF(원본명단!$I2206="",TRUE(),COUNTIF(원본명단!$I$3:$I2206,원본명단!$I2206)=1),IF(원본명단!$K2206="",TRUE(),COUNTIF(원본명단!$K$3:$K2206,원본명단!$K2206)=1)),"첫 건","중복 건")))</f>
        <v/>
      </c>
      <c r="J2207" s="11" t="str">
        <f aca="false">IF($A2207="","",IF($H2207="-","유지",IF($I2207="첫 건","유지","확인 필요")))</f>
        <v/>
      </c>
    </row>
    <row r="2208" customFormat="false" ht="15" hidden="false" customHeight="true" outlineLevel="0" collapsed="false">
      <c r="A2208" s="11" t="str">
        <f aca="false">IF(원본명단!$A2207="","",2205)</f>
        <v/>
      </c>
      <c r="B2208" s="12" t="str">
        <f aca="false">IF($A2208="","",원본명단!$A2207)</f>
        <v/>
      </c>
      <c r="C2208" s="12" t="str">
        <f aca="false">IF($A2208="","",원본명단!$B2207)</f>
        <v/>
      </c>
      <c r="D2208" s="12" t="str">
        <f aca="false">IF($A2208="","",원본명단!$D2207)</f>
        <v/>
      </c>
      <c r="E2208" s="11" t="str">
        <f aca="false">IF($A2208="","",IF(원본명단!$H2207="",0,COUNTIF(원본명단!$H$3:$H$6002,원본명단!$H2207)))</f>
        <v/>
      </c>
      <c r="F2208" s="11" t="str">
        <f aca="false">IF($A2208="","",IF(원본명단!$I2207="",0,COUNTIF(원본명단!$I$3:$I$6002,원본명단!$I2207)))</f>
        <v/>
      </c>
      <c r="G2208" s="11" t="str">
        <f aca="false">IF($A2208="","",IF(원본명단!$K2207="",0,COUNTIF(원본명단!$K$3:$K$6002,원본명단!$K2207)))</f>
        <v/>
      </c>
      <c r="H2208" s="11" t="str">
        <f aca="false">IF($A2208="","",IF(MAX($E2208,$F2208,$G2208)&gt;1,"중복","-"))</f>
        <v/>
      </c>
      <c r="I2208" s="11" t="str">
        <f aca="false">IF($A2208="","",IF($H2208="-","-",IF(AND(IF(원본명단!$H2207="",TRUE(),COUNTIF(원본명단!$H$3:$H2207,원본명단!$H2207)=1),IF(원본명단!$I2207="",TRUE(),COUNTIF(원본명단!$I$3:$I2207,원본명단!$I2207)=1),IF(원본명단!$K2207="",TRUE(),COUNTIF(원본명단!$K$3:$K2207,원본명단!$K2207)=1)),"첫 건","중복 건")))</f>
        <v/>
      </c>
      <c r="J2208" s="11" t="str">
        <f aca="false">IF($A2208="","",IF($H2208="-","유지",IF($I2208="첫 건","유지","확인 필요")))</f>
        <v/>
      </c>
    </row>
    <row r="2209" customFormat="false" ht="15" hidden="false" customHeight="true" outlineLevel="0" collapsed="false">
      <c r="A2209" s="11" t="str">
        <f aca="false">IF(원본명단!$A2208="","",2206)</f>
        <v/>
      </c>
      <c r="B2209" s="12" t="str">
        <f aca="false">IF($A2209="","",원본명단!$A2208)</f>
        <v/>
      </c>
      <c r="C2209" s="12" t="str">
        <f aca="false">IF($A2209="","",원본명단!$B2208)</f>
        <v/>
      </c>
      <c r="D2209" s="12" t="str">
        <f aca="false">IF($A2209="","",원본명단!$D2208)</f>
        <v/>
      </c>
      <c r="E2209" s="11" t="str">
        <f aca="false">IF($A2209="","",IF(원본명단!$H2208="",0,COUNTIF(원본명단!$H$3:$H$6002,원본명단!$H2208)))</f>
        <v/>
      </c>
      <c r="F2209" s="11" t="str">
        <f aca="false">IF($A2209="","",IF(원본명단!$I2208="",0,COUNTIF(원본명단!$I$3:$I$6002,원본명단!$I2208)))</f>
        <v/>
      </c>
      <c r="G2209" s="11" t="str">
        <f aca="false">IF($A2209="","",IF(원본명단!$K2208="",0,COUNTIF(원본명단!$K$3:$K$6002,원본명단!$K2208)))</f>
        <v/>
      </c>
      <c r="H2209" s="11" t="str">
        <f aca="false">IF($A2209="","",IF(MAX($E2209,$F2209,$G2209)&gt;1,"중복","-"))</f>
        <v/>
      </c>
      <c r="I2209" s="11" t="str">
        <f aca="false">IF($A2209="","",IF($H2209="-","-",IF(AND(IF(원본명단!$H2208="",TRUE(),COUNTIF(원본명단!$H$3:$H2208,원본명단!$H2208)=1),IF(원본명단!$I2208="",TRUE(),COUNTIF(원본명단!$I$3:$I2208,원본명단!$I2208)=1),IF(원본명단!$K2208="",TRUE(),COUNTIF(원본명단!$K$3:$K2208,원본명단!$K2208)=1)),"첫 건","중복 건")))</f>
        <v/>
      </c>
      <c r="J2209" s="11" t="str">
        <f aca="false">IF($A2209="","",IF($H2209="-","유지",IF($I2209="첫 건","유지","확인 필요")))</f>
        <v/>
      </c>
    </row>
    <row r="2210" customFormat="false" ht="15" hidden="false" customHeight="true" outlineLevel="0" collapsed="false">
      <c r="A2210" s="11" t="str">
        <f aca="false">IF(원본명단!$A2209="","",2207)</f>
        <v/>
      </c>
      <c r="B2210" s="12" t="str">
        <f aca="false">IF($A2210="","",원본명단!$A2209)</f>
        <v/>
      </c>
      <c r="C2210" s="12" t="str">
        <f aca="false">IF($A2210="","",원본명단!$B2209)</f>
        <v/>
      </c>
      <c r="D2210" s="12" t="str">
        <f aca="false">IF($A2210="","",원본명단!$D2209)</f>
        <v/>
      </c>
      <c r="E2210" s="11" t="str">
        <f aca="false">IF($A2210="","",IF(원본명단!$H2209="",0,COUNTIF(원본명단!$H$3:$H$6002,원본명단!$H2209)))</f>
        <v/>
      </c>
      <c r="F2210" s="11" t="str">
        <f aca="false">IF($A2210="","",IF(원본명단!$I2209="",0,COUNTIF(원본명단!$I$3:$I$6002,원본명단!$I2209)))</f>
        <v/>
      </c>
      <c r="G2210" s="11" t="str">
        <f aca="false">IF($A2210="","",IF(원본명단!$K2209="",0,COUNTIF(원본명단!$K$3:$K$6002,원본명단!$K2209)))</f>
        <v/>
      </c>
      <c r="H2210" s="11" t="str">
        <f aca="false">IF($A2210="","",IF(MAX($E2210,$F2210,$G2210)&gt;1,"중복","-"))</f>
        <v/>
      </c>
      <c r="I2210" s="11" t="str">
        <f aca="false">IF($A2210="","",IF($H2210="-","-",IF(AND(IF(원본명단!$H2209="",TRUE(),COUNTIF(원본명단!$H$3:$H2209,원본명단!$H2209)=1),IF(원본명단!$I2209="",TRUE(),COUNTIF(원본명단!$I$3:$I2209,원본명단!$I2209)=1),IF(원본명단!$K2209="",TRUE(),COUNTIF(원본명단!$K$3:$K2209,원본명단!$K2209)=1)),"첫 건","중복 건")))</f>
        <v/>
      </c>
      <c r="J2210" s="11" t="str">
        <f aca="false">IF($A2210="","",IF($H2210="-","유지",IF($I2210="첫 건","유지","확인 필요")))</f>
        <v/>
      </c>
    </row>
    <row r="2211" customFormat="false" ht="15" hidden="false" customHeight="true" outlineLevel="0" collapsed="false">
      <c r="A2211" s="11" t="str">
        <f aca="false">IF(원본명단!$A2210="","",2208)</f>
        <v/>
      </c>
      <c r="B2211" s="12" t="str">
        <f aca="false">IF($A2211="","",원본명단!$A2210)</f>
        <v/>
      </c>
      <c r="C2211" s="12" t="str">
        <f aca="false">IF($A2211="","",원본명단!$B2210)</f>
        <v/>
      </c>
      <c r="D2211" s="12" t="str">
        <f aca="false">IF($A2211="","",원본명단!$D2210)</f>
        <v/>
      </c>
      <c r="E2211" s="11" t="str">
        <f aca="false">IF($A2211="","",IF(원본명단!$H2210="",0,COUNTIF(원본명단!$H$3:$H$6002,원본명단!$H2210)))</f>
        <v/>
      </c>
      <c r="F2211" s="11" t="str">
        <f aca="false">IF($A2211="","",IF(원본명단!$I2210="",0,COUNTIF(원본명단!$I$3:$I$6002,원본명단!$I2210)))</f>
        <v/>
      </c>
      <c r="G2211" s="11" t="str">
        <f aca="false">IF($A2211="","",IF(원본명단!$K2210="",0,COUNTIF(원본명단!$K$3:$K$6002,원본명단!$K2210)))</f>
        <v/>
      </c>
      <c r="H2211" s="11" t="str">
        <f aca="false">IF($A2211="","",IF(MAX($E2211,$F2211,$G2211)&gt;1,"중복","-"))</f>
        <v/>
      </c>
      <c r="I2211" s="11" t="str">
        <f aca="false">IF($A2211="","",IF($H2211="-","-",IF(AND(IF(원본명단!$H2210="",TRUE(),COUNTIF(원본명단!$H$3:$H2210,원본명단!$H2210)=1),IF(원본명단!$I2210="",TRUE(),COUNTIF(원본명단!$I$3:$I2210,원본명단!$I2210)=1),IF(원본명단!$K2210="",TRUE(),COUNTIF(원본명단!$K$3:$K2210,원본명단!$K2210)=1)),"첫 건","중복 건")))</f>
        <v/>
      </c>
      <c r="J2211" s="11" t="str">
        <f aca="false">IF($A2211="","",IF($H2211="-","유지",IF($I2211="첫 건","유지","확인 필요")))</f>
        <v/>
      </c>
    </row>
    <row r="2212" customFormat="false" ht="15" hidden="false" customHeight="true" outlineLevel="0" collapsed="false">
      <c r="A2212" s="11" t="str">
        <f aca="false">IF(원본명단!$A2211="","",2209)</f>
        <v/>
      </c>
      <c r="B2212" s="12" t="str">
        <f aca="false">IF($A2212="","",원본명단!$A2211)</f>
        <v/>
      </c>
      <c r="C2212" s="12" t="str">
        <f aca="false">IF($A2212="","",원본명단!$B2211)</f>
        <v/>
      </c>
      <c r="D2212" s="12" t="str">
        <f aca="false">IF($A2212="","",원본명단!$D2211)</f>
        <v/>
      </c>
      <c r="E2212" s="11" t="str">
        <f aca="false">IF($A2212="","",IF(원본명단!$H2211="",0,COUNTIF(원본명단!$H$3:$H$6002,원본명단!$H2211)))</f>
        <v/>
      </c>
      <c r="F2212" s="11" t="str">
        <f aca="false">IF($A2212="","",IF(원본명단!$I2211="",0,COUNTIF(원본명단!$I$3:$I$6002,원본명단!$I2211)))</f>
        <v/>
      </c>
      <c r="G2212" s="11" t="str">
        <f aca="false">IF($A2212="","",IF(원본명단!$K2211="",0,COUNTIF(원본명단!$K$3:$K$6002,원본명단!$K2211)))</f>
        <v/>
      </c>
      <c r="H2212" s="11" t="str">
        <f aca="false">IF($A2212="","",IF(MAX($E2212,$F2212,$G2212)&gt;1,"중복","-"))</f>
        <v/>
      </c>
      <c r="I2212" s="11" t="str">
        <f aca="false">IF($A2212="","",IF($H2212="-","-",IF(AND(IF(원본명단!$H2211="",TRUE(),COUNTIF(원본명단!$H$3:$H2211,원본명단!$H2211)=1),IF(원본명단!$I2211="",TRUE(),COUNTIF(원본명단!$I$3:$I2211,원본명단!$I2211)=1),IF(원본명단!$K2211="",TRUE(),COUNTIF(원본명단!$K$3:$K2211,원본명단!$K2211)=1)),"첫 건","중복 건")))</f>
        <v/>
      </c>
      <c r="J2212" s="11" t="str">
        <f aca="false">IF($A2212="","",IF($H2212="-","유지",IF($I2212="첫 건","유지","확인 필요")))</f>
        <v/>
      </c>
    </row>
    <row r="2213" customFormat="false" ht="15" hidden="false" customHeight="true" outlineLevel="0" collapsed="false">
      <c r="A2213" s="11" t="str">
        <f aca="false">IF(원본명단!$A2212="","",2210)</f>
        <v/>
      </c>
      <c r="B2213" s="12" t="str">
        <f aca="false">IF($A2213="","",원본명단!$A2212)</f>
        <v/>
      </c>
      <c r="C2213" s="12" t="str">
        <f aca="false">IF($A2213="","",원본명단!$B2212)</f>
        <v/>
      </c>
      <c r="D2213" s="12" t="str">
        <f aca="false">IF($A2213="","",원본명단!$D2212)</f>
        <v/>
      </c>
      <c r="E2213" s="11" t="str">
        <f aca="false">IF($A2213="","",IF(원본명단!$H2212="",0,COUNTIF(원본명단!$H$3:$H$6002,원본명단!$H2212)))</f>
        <v/>
      </c>
      <c r="F2213" s="11" t="str">
        <f aca="false">IF($A2213="","",IF(원본명단!$I2212="",0,COUNTIF(원본명단!$I$3:$I$6002,원본명단!$I2212)))</f>
        <v/>
      </c>
      <c r="G2213" s="11" t="str">
        <f aca="false">IF($A2213="","",IF(원본명단!$K2212="",0,COUNTIF(원본명단!$K$3:$K$6002,원본명단!$K2212)))</f>
        <v/>
      </c>
      <c r="H2213" s="11" t="str">
        <f aca="false">IF($A2213="","",IF(MAX($E2213,$F2213,$G2213)&gt;1,"중복","-"))</f>
        <v/>
      </c>
      <c r="I2213" s="11" t="str">
        <f aca="false">IF($A2213="","",IF($H2213="-","-",IF(AND(IF(원본명단!$H2212="",TRUE(),COUNTIF(원본명단!$H$3:$H2212,원본명단!$H2212)=1),IF(원본명단!$I2212="",TRUE(),COUNTIF(원본명단!$I$3:$I2212,원본명단!$I2212)=1),IF(원본명단!$K2212="",TRUE(),COUNTIF(원본명단!$K$3:$K2212,원본명단!$K2212)=1)),"첫 건","중복 건")))</f>
        <v/>
      </c>
      <c r="J2213" s="11" t="str">
        <f aca="false">IF($A2213="","",IF($H2213="-","유지",IF($I2213="첫 건","유지","확인 필요")))</f>
        <v/>
      </c>
    </row>
    <row r="2214" customFormat="false" ht="15" hidden="false" customHeight="true" outlineLevel="0" collapsed="false">
      <c r="A2214" s="11" t="str">
        <f aca="false">IF(원본명단!$A2213="","",2211)</f>
        <v/>
      </c>
      <c r="B2214" s="12" t="str">
        <f aca="false">IF($A2214="","",원본명단!$A2213)</f>
        <v/>
      </c>
      <c r="C2214" s="12" t="str">
        <f aca="false">IF($A2214="","",원본명단!$B2213)</f>
        <v/>
      </c>
      <c r="D2214" s="12" t="str">
        <f aca="false">IF($A2214="","",원본명단!$D2213)</f>
        <v/>
      </c>
      <c r="E2214" s="11" t="str">
        <f aca="false">IF($A2214="","",IF(원본명단!$H2213="",0,COUNTIF(원본명단!$H$3:$H$6002,원본명단!$H2213)))</f>
        <v/>
      </c>
      <c r="F2214" s="11" t="str">
        <f aca="false">IF($A2214="","",IF(원본명단!$I2213="",0,COUNTIF(원본명단!$I$3:$I$6002,원본명단!$I2213)))</f>
        <v/>
      </c>
      <c r="G2214" s="11" t="str">
        <f aca="false">IF($A2214="","",IF(원본명단!$K2213="",0,COUNTIF(원본명단!$K$3:$K$6002,원본명단!$K2213)))</f>
        <v/>
      </c>
      <c r="H2214" s="11" t="str">
        <f aca="false">IF($A2214="","",IF(MAX($E2214,$F2214,$G2214)&gt;1,"중복","-"))</f>
        <v/>
      </c>
      <c r="I2214" s="11" t="str">
        <f aca="false">IF($A2214="","",IF($H2214="-","-",IF(AND(IF(원본명단!$H2213="",TRUE(),COUNTIF(원본명단!$H$3:$H2213,원본명단!$H2213)=1),IF(원본명단!$I2213="",TRUE(),COUNTIF(원본명단!$I$3:$I2213,원본명단!$I2213)=1),IF(원본명단!$K2213="",TRUE(),COUNTIF(원본명단!$K$3:$K2213,원본명단!$K2213)=1)),"첫 건","중복 건")))</f>
        <v/>
      </c>
      <c r="J2214" s="11" t="str">
        <f aca="false">IF($A2214="","",IF($H2214="-","유지",IF($I2214="첫 건","유지","확인 필요")))</f>
        <v/>
      </c>
    </row>
    <row r="2215" customFormat="false" ht="15" hidden="false" customHeight="true" outlineLevel="0" collapsed="false">
      <c r="A2215" s="11" t="str">
        <f aca="false">IF(원본명단!$A2214="","",2212)</f>
        <v/>
      </c>
      <c r="B2215" s="12" t="str">
        <f aca="false">IF($A2215="","",원본명단!$A2214)</f>
        <v/>
      </c>
      <c r="C2215" s="12" t="str">
        <f aca="false">IF($A2215="","",원본명단!$B2214)</f>
        <v/>
      </c>
      <c r="D2215" s="12" t="str">
        <f aca="false">IF($A2215="","",원본명단!$D2214)</f>
        <v/>
      </c>
      <c r="E2215" s="11" t="str">
        <f aca="false">IF($A2215="","",IF(원본명단!$H2214="",0,COUNTIF(원본명단!$H$3:$H$6002,원본명단!$H2214)))</f>
        <v/>
      </c>
      <c r="F2215" s="11" t="str">
        <f aca="false">IF($A2215="","",IF(원본명단!$I2214="",0,COUNTIF(원본명단!$I$3:$I$6002,원본명단!$I2214)))</f>
        <v/>
      </c>
      <c r="G2215" s="11" t="str">
        <f aca="false">IF($A2215="","",IF(원본명단!$K2214="",0,COUNTIF(원본명단!$K$3:$K$6002,원본명단!$K2214)))</f>
        <v/>
      </c>
      <c r="H2215" s="11" t="str">
        <f aca="false">IF($A2215="","",IF(MAX($E2215,$F2215,$G2215)&gt;1,"중복","-"))</f>
        <v/>
      </c>
      <c r="I2215" s="11" t="str">
        <f aca="false">IF($A2215="","",IF($H2215="-","-",IF(AND(IF(원본명단!$H2214="",TRUE(),COUNTIF(원본명단!$H$3:$H2214,원본명단!$H2214)=1),IF(원본명단!$I2214="",TRUE(),COUNTIF(원본명단!$I$3:$I2214,원본명단!$I2214)=1),IF(원본명단!$K2214="",TRUE(),COUNTIF(원본명단!$K$3:$K2214,원본명단!$K2214)=1)),"첫 건","중복 건")))</f>
        <v/>
      </c>
      <c r="J2215" s="11" t="str">
        <f aca="false">IF($A2215="","",IF($H2215="-","유지",IF($I2215="첫 건","유지","확인 필요")))</f>
        <v/>
      </c>
    </row>
    <row r="2216" customFormat="false" ht="15" hidden="false" customHeight="true" outlineLevel="0" collapsed="false">
      <c r="A2216" s="11" t="str">
        <f aca="false">IF(원본명단!$A2215="","",2213)</f>
        <v/>
      </c>
      <c r="B2216" s="12" t="str">
        <f aca="false">IF($A2216="","",원본명단!$A2215)</f>
        <v/>
      </c>
      <c r="C2216" s="12" t="str">
        <f aca="false">IF($A2216="","",원본명단!$B2215)</f>
        <v/>
      </c>
      <c r="D2216" s="12" t="str">
        <f aca="false">IF($A2216="","",원본명단!$D2215)</f>
        <v/>
      </c>
      <c r="E2216" s="11" t="str">
        <f aca="false">IF($A2216="","",IF(원본명단!$H2215="",0,COUNTIF(원본명단!$H$3:$H$6002,원본명단!$H2215)))</f>
        <v/>
      </c>
      <c r="F2216" s="11" t="str">
        <f aca="false">IF($A2216="","",IF(원본명단!$I2215="",0,COUNTIF(원본명단!$I$3:$I$6002,원본명단!$I2215)))</f>
        <v/>
      </c>
      <c r="G2216" s="11" t="str">
        <f aca="false">IF($A2216="","",IF(원본명단!$K2215="",0,COUNTIF(원본명단!$K$3:$K$6002,원본명단!$K2215)))</f>
        <v/>
      </c>
      <c r="H2216" s="11" t="str">
        <f aca="false">IF($A2216="","",IF(MAX($E2216,$F2216,$G2216)&gt;1,"중복","-"))</f>
        <v/>
      </c>
      <c r="I2216" s="11" t="str">
        <f aca="false">IF($A2216="","",IF($H2216="-","-",IF(AND(IF(원본명단!$H2215="",TRUE(),COUNTIF(원본명단!$H$3:$H2215,원본명단!$H2215)=1),IF(원본명단!$I2215="",TRUE(),COUNTIF(원본명단!$I$3:$I2215,원본명단!$I2215)=1),IF(원본명단!$K2215="",TRUE(),COUNTIF(원본명단!$K$3:$K2215,원본명단!$K2215)=1)),"첫 건","중복 건")))</f>
        <v/>
      </c>
      <c r="J2216" s="11" t="str">
        <f aca="false">IF($A2216="","",IF($H2216="-","유지",IF($I2216="첫 건","유지","확인 필요")))</f>
        <v/>
      </c>
    </row>
    <row r="2217" customFormat="false" ht="15" hidden="false" customHeight="true" outlineLevel="0" collapsed="false">
      <c r="A2217" s="11" t="str">
        <f aca="false">IF(원본명단!$A2216="","",2214)</f>
        <v/>
      </c>
      <c r="B2217" s="12" t="str">
        <f aca="false">IF($A2217="","",원본명단!$A2216)</f>
        <v/>
      </c>
      <c r="C2217" s="12" t="str">
        <f aca="false">IF($A2217="","",원본명단!$B2216)</f>
        <v/>
      </c>
      <c r="D2217" s="12" t="str">
        <f aca="false">IF($A2217="","",원본명단!$D2216)</f>
        <v/>
      </c>
      <c r="E2217" s="11" t="str">
        <f aca="false">IF($A2217="","",IF(원본명단!$H2216="",0,COUNTIF(원본명단!$H$3:$H$6002,원본명단!$H2216)))</f>
        <v/>
      </c>
      <c r="F2217" s="11" t="str">
        <f aca="false">IF($A2217="","",IF(원본명단!$I2216="",0,COUNTIF(원본명단!$I$3:$I$6002,원본명단!$I2216)))</f>
        <v/>
      </c>
      <c r="G2217" s="11" t="str">
        <f aca="false">IF($A2217="","",IF(원본명단!$K2216="",0,COUNTIF(원본명단!$K$3:$K$6002,원본명단!$K2216)))</f>
        <v/>
      </c>
      <c r="H2217" s="11" t="str">
        <f aca="false">IF($A2217="","",IF(MAX($E2217,$F2217,$G2217)&gt;1,"중복","-"))</f>
        <v/>
      </c>
      <c r="I2217" s="11" t="str">
        <f aca="false">IF($A2217="","",IF($H2217="-","-",IF(AND(IF(원본명단!$H2216="",TRUE(),COUNTIF(원본명단!$H$3:$H2216,원본명단!$H2216)=1),IF(원본명단!$I2216="",TRUE(),COUNTIF(원본명단!$I$3:$I2216,원본명단!$I2216)=1),IF(원본명단!$K2216="",TRUE(),COUNTIF(원본명단!$K$3:$K2216,원본명단!$K2216)=1)),"첫 건","중복 건")))</f>
        <v/>
      </c>
      <c r="J2217" s="11" t="str">
        <f aca="false">IF($A2217="","",IF($H2217="-","유지",IF($I2217="첫 건","유지","확인 필요")))</f>
        <v/>
      </c>
    </row>
    <row r="2218" customFormat="false" ht="15" hidden="false" customHeight="true" outlineLevel="0" collapsed="false">
      <c r="A2218" s="11" t="str">
        <f aca="false">IF(원본명단!$A2217="","",2215)</f>
        <v/>
      </c>
      <c r="B2218" s="12" t="str">
        <f aca="false">IF($A2218="","",원본명단!$A2217)</f>
        <v/>
      </c>
      <c r="C2218" s="12" t="str">
        <f aca="false">IF($A2218="","",원본명단!$B2217)</f>
        <v/>
      </c>
      <c r="D2218" s="12" t="str">
        <f aca="false">IF($A2218="","",원본명단!$D2217)</f>
        <v/>
      </c>
      <c r="E2218" s="11" t="str">
        <f aca="false">IF($A2218="","",IF(원본명단!$H2217="",0,COUNTIF(원본명단!$H$3:$H$6002,원본명단!$H2217)))</f>
        <v/>
      </c>
      <c r="F2218" s="11" t="str">
        <f aca="false">IF($A2218="","",IF(원본명단!$I2217="",0,COUNTIF(원본명단!$I$3:$I$6002,원본명단!$I2217)))</f>
        <v/>
      </c>
      <c r="G2218" s="11" t="str">
        <f aca="false">IF($A2218="","",IF(원본명단!$K2217="",0,COUNTIF(원본명단!$K$3:$K$6002,원본명단!$K2217)))</f>
        <v/>
      </c>
      <c r="H2218" s="11" t="str">
        <f aca="false">IF($A2218="","",IF(MAX($E2218,$F2218,$G2218)&gt;1,"중복","-"))</f>
        <v/>
      </c>
      <c r="I2218" s="11" t="str">
        <f aca="false">IF($A2218="","",IF($H2218="-","-",IF(AND(IF(원본명단!$H2217="",TRUE(),COUNTIF(원본명단!$H$3:$H2217,원본명단!$H2217)=1),IF(원본명단!$I2217="",TRUE(),COUNTIF(원본명단!$I$3:$I2217,원본명단!$I2217)=1),IF(원본명단!$K2217="",TRUE(),COUNTIF(원본명단!$K$3:$K2217,원본명단!$K2217)=1)),"첫 건","중복 건")))</f>
        <v/>
      </c>
      <c r="J2218" s="11" t="str">
        <f aca="false">IF($A2218="","",IF($H2218="-","유지",IF($I2218="첫 건","유지","확인 필요")))</f>
        <v/>
      </c>
    </row>
    <row r="2219" customFormat="false" ht="15" hidden="false" customHeight="true" outlineLevel="0" collapsed="false">
      <c r="A2219" s="11" t="str">
        <f aca="false">IF(원본명단!$A2218="","",2216)</f>
        <v/>
      </c>
      <c r="B2219" s="12" t="str">
        <f aca="false">IF($A2219="","",원본명단!$A2218)</f>
        <v/>
      </c>
      <c r="C2219" s="12" t="str">
        <f aca="false">IF($A2219="","",원본명단!$B2218)</f>
        <v/>
      </c>
      <c r="D2219" s="12" t="str">
        <f aca="false">IF($A2219="","",원본명단!$D2218)</f>
        <v/>
      </c>
      <c r="E2219" s="11" t="str">
        <f aca="false">IF($A2219="","",IF(원본명단!$H2218="",0,COUNTIF(원본명단!$H$3:$H$6002,원본명단!$H2218)))</f>
        <v/>
      </c>
      <c r="F2219" s="11" t="str">
        <f aca="false">IF($A2219="","",IF(원본명단!$I2218="",0,COUNTIF(원본명단!$I$3:$I$6002,원본명단!$I2218)))</f>
        <v/>
      </c>
      <c r="G2219" s="11" t="str">
        <f aca="false">IF($A2219="","",IF(원본명단!$K2218="",0,COUNTIF(원본명단!$K$3:$K$6002,원본명단!$K2218)))</f>
        <v/>
      </c>
      <c r="H2219" s="11" t="str">
        <f aca="false">IF($A2219="","",IF(MAX($E2219,$F2219,$G2219)&gt;1,"중복","-"))</f>
        <v/>
      </c>
      <c r="I2219" s="11" t="str">
        <f aca="false">IF($A2219="","",IF($H2219="-","-",IF(AND(IF(원본명단!$H2218="",TRUE(),COUNTIF(원본명단!$H$3:$H2218,원본명단!$H2218)=1),IF(원본명단!$I2218="",TRUE(),COUNTIF(원본명단!$I$3:$I2218,원본명단!$I2218)=1),IF(원본명단!$K2218="",TRUE(),COUNTIF(원본명단!$K$3:$K2218,원본명단!$K2218)=1)),"첫 건","중복 건")))</f>
        <v/>
      </c>
      <c r="J2219" s="11" t="str">
        <f aca="false">IF($A2219="","",IF($H2219="-","유지",IF($I2219="첫 건","유지","확인 필요")))</f>
        <v/>
      </c>
    </row>
    <row r="2220" customFormat="false" ht="15" hidden="false" customHeight="true" outlineLevel="0" collapsed="false">
      <c r="A2220" s="11" t="str">
        <f aca="false">IF(원본명단!$A2219="","",2217)</f>
        <v/>
      </c>
      <c r="B2220" s="12" t="str">
        <f aca="false">IF($A2220="","",원본명단!$A2219)</f>
        <v/>
      </c>
      <c r="C2220" s="12" t="str">
        <f aca="false">IF($A2220="","",원본명단!$B2219)</f>
        <v/>
      </c>
      <c r="D2220" s="12" t="str">
        <f aca="false">IF($A2220="","",원본명단!$D2219)</f>
        <v/>
      </c>
      <c r="E2220" s="11" t="str">
        <f aca="false">IF($A2220="","",IF(원본명단!$H2219="",0,COUNTIF(원본명단!$H$3:$H$6002,원본명단!$H2219)))</f>
        <v/>
      </c>
      <c r="F2220" s="11" t="str">
        <f aca="false">IF($A2220="","",IF(원본명단!$I2219="",0,COUNTIF(원본명단!$I$3:$I$6002,원본명단!$I2219)))</f>
        <v/>
      </c>
      <c r="G2220" s="11" t="str">
        <f aca="false">IF($A2220="","",IF(원본명단!$K2219="",0,COUNTIF(원본명단!$K$3:$K$6002,원본명단!$K2219)))</f>
        <v/>
      </c>
      <c r="H2220" s="11" t="str">
        <f aca="false">IF($A2220="","",IF(MAX($E2220,$F2220,$G2220)&gt;1,"중복","-"))</f>
        <v/>
      </c>
      <c r="I2220" s="11" t="str">
        <f aca="false">IF($A2220="","",IF($H2220="-","-",IF(AND(IF(원본명단!$H2219="",TRUE(),COUNTIF(원본명단!$H$3:$H2219,원본명단!$H2219)=1),IF(원본명단!$I2219="",TRUE(),COUNTIF(원본명단!$I$3:$I2219,원본명단!$I2219)=1),IF(원본명단!$K2219="",TRUE(),COUNTIF(원본명단!$K$3:$K2219,원본명단!$K2219)=1)),"첫 건","중복 건")))</f>
        <v/>
      </c>
      <c r="J2220" s="11" t="str">
        <f aca="false">IF($A2220="","",IF($H2220="-","유지",IF($I2220="첫 건","유지","확인 필요")))</f>
        <v/>
      </c>
    </row>
    <row r="2221" customFormat="false" ht="15" hidden="false" customHeight="true" outlineLevel="0" collapsed="false">
      <c r="A2221" s="11" t="str">
        <f aca="false">IF(원본명단!$A2220="","",2218)</f>
        <v/>
      </c>
      <c r="B2221" s="12" t="str">
        <f aca="false">IF($A2221="","",원본명단!$A2220)</f>
        <v/>
      </c>
      <c r="C2221" s="12" t="str">
        <f aca="false">IF($A2221="","",원본명단!$B2220)</f>
        <v/>
      </c>
      <c r="D2221" s="12" t="str">
        <f aca="false">IF($A2221="","",원본명단!$D2220)</f>
        <v/>
      </c>
      <c r="E2221" s="11" t="str">
        <f aca="false">IF($A2221="","",IF(원본명단!$H2220="",0,COUNTIF(원본명단!$H$3:$H$6002,원본명단!$H2220)))</f>
        <v/>
      </c>
      <c r="F2221" s="11" t="str">
        <f aca="false">IF($A2221="","",IF(원본명단!$I2220="",0,COUNTIF(원본명단!$I$3:$I$6002,원본명단!$I2220)))</f>
        <v/>
      </c>
      <c r="G2221" s="11" t="str">
        <f aca="false">IF($A2221="","",IF(원본명단!$K2220="",0,COUNTIF(원본명단!$K$3:$K$6002,원본명단!$K2220)))</f>
        <v/>
      </c>
      <c r="H2221" s="11" t="str">
        <f aca="false">IF($A2221="","",IF(MAX($E2221,$F2221,$G2221)&gt;1,"중복","-"))</f>
        <v/>
      </c>
      <c r="I2221" s="11" t="str">
        <f aca="false">IF($A2221="","",IF($H2221="-","-",IF(AND(IF(원본명단!$H2220="",TRUE(),COUNTIF(원본명단!$H$3:$H2220,원본명단!$H2220)=1),IF(원본명단!$I2220="",TRUE(),COUNTIF(원본명단!$I$3:$I2220,원본명단!$I2220)=1),IF(원본명단!$K2220="",TRUE(),COUNTIF(원본명단!$K$3:$K2220,원본명단!$K2220)=1)),"첫 건","중복 건")))</f>
        <v/>
      </c>
      <c r="J2221" s="11" t="str">
        <f aca="false">IF($A2221="","",IF($H2221="-","유지",IF($I2221="첫 건","유지","확인 필요")))</f>
        <v/>
      </c>
    </row>
    <row r="2222" customFormat="false" ht="15" hidden="false" customHeight="true" outlineLevel="0" collapsed="false">
      <c r="A2222" s="11" t="str">
        <f aca="false">IF(원본명단!$A2221="","",2219)</f>
        <v/>
      </c>
      <c r="B2222" s="12" t="str">
        <f aca="false">IF($A2222="","",원본명단!$A2221)</f>
        <v/>
      </c>
      <c r="C2222" s="12" t="str">
        <f aca="false">IF($A2222="","",원본명단!$B2221)</f>
        <v/>
      </c>
      <c r="D2222" s="12" t="str">
        <f aca="false">IF($A2222="","",원본명단!$D2221)</f>
        <v/>
      </c>
      <c r="E2222" s="11" t="str">
        <f aca="false">IF($A2222="","",IF(원본명단!$H2221="",0,COUNTIF(원본명단!$H$3:$H$6002,원본명단!$H2221)))</f>
        <v/>
      </c>
      <c r="F2222" s="11" t="str">
        <f aca="false">IF($A2222="","",IF(원본명단!$I2221="",0,COUNTIF(원본명단!$I$3:$I$6002,원본명단!$I2221)))</f>
        <v/>
      </c>
      <c r="G2222" s="11" t="str">
        <f aca="false">IF($A2222="","",IF(원본명단!$K2221="",0,COUNTIF(원본명단!$K$3:$K$6002,원본명단!$K2221)))</f>
        <v/>
      </c>
      <c r="H2222" s="11" t="str">
        <f aca="false">IF($A2222="","",IF(MAX($E2222,$F2222,$G2222)&gt;1,"중복","-"))</f>
        <v/>
      </c>
      <c r="I2222" s="11" t="str">
        <f aca="false">IF($A2222="","",IF($H2222="-","-",IF(AND(IF(원본명단!$H2221="",TRUE(),COUNTIF(원본명단!$H$3:$H2221,원본명단!$H2221)=1),IF(원본명단!$I2221="",TRUE(),COUNTIF(원본명단!$I$3:$I2221,원본명단!$I2221)=1),IF(원본명단!$K2221="",TRUE(),COUNTIF(원본명단!$K$3:$K2221,원본명단!$K2221)=1)),"첫 건","중복 건")))</f>
        <v/>
      </c>
      <c r="J2222" s="11" t="str">
        <f aca="false">IF($A2222="","",IF($H2222="-","유지",IF($I2222="첫 건","유지","확인 필요")))</f>
        <v/>
      </c>
    </row>
    <row r="2223" customFormat="false" ht="15" hidden="false" customHeight="true" outlineLevel="0" collapsed="false">
      <c r="A2223" s="11" t="str">
        <f aca="false">IF(원본명단!$A2222="","",2220)</f>
        <v/>
      </c>
      <c r="B2223" s="12" t="str">
        <f aca="false">IF($A2223="","",원본명단!$A2222)</f>
        <v/>
      </c>
      <c r="C2223" s="12" t="str">
        <f aca="false">IF($A2223="","",원본명단!$B2222)</f>
        <v/>
      </c>
      <c r="D2223" s="12" t="str">
        <f aca="false">IF($A2223="","",원본명단!$D2222)</f>
        <v/>
      </c>
      <c r="E2223" s="11" t="str">
        <f aca="false">IF($A2223="","",IF(원본명단!$H2222="",0,COUNTIF(원본명단!$H$3:$H$6002,원본명단!$H2222)))</f>
        <v/>
      </c>
      <c r="F2223" s="11" t="str">
        <f aca="false">IF($A2223="","",IF(원본명단!$I2222="",0,COUNTIF(원본명단!$I$3:$I$6002,원본명단!$I2222)))</f>
        <v/>
      </c>
      <c r="G2223" s="11" t="str">
        <f aca="false">IF($A2223="","",IF(원본명단!$K2222="",0,COUNTIF(원본명단!$K$3:$K$6002,원본명단!$K2222)))</f>
        <v/>
      </c>
      <c r="H2223" s="11" t="str">
        <f aca="false">IF($A2223="","",IF(MAX($E2223,$F2223,$G2223)&gt;1,"중복","-"))</f>
        <v/>
      </c>
      <c r="I2223" s="11" t="str">
        <f aca="false">IF($A2223="","",IF($H2223="-","-",IF(AND(IF(원본명단!$H2222="",TRUE(),COUNTIF(원본명단!$H$3:$H2222,원본명단!$H2222)=1),IF(원본명단!$I2222="",TRUE(),COUNTIF(원본명단!$I$3:$I2222,원본명단!$I2222)=1),IF(원본명단!$K2222="",TRUE(),COUNTIF(원본명단!$K$3:$K2222,원본명단!$K2222)=1)),"첫 건","중복 건")))</f>
        <v/>
      </c>
      <c r="J2223" s="11" t="str">
        <f aca="false">IF($A2223="","",IF($H2223="-","유지",IF($I2223="첫 건","유지","확인 필요")))</f>
        <v/>
      </c>
    </row>
    <row r="2224" customFormat="false" ht="15" hidden="false" customHeight="true" outlineLevel="0" collapsed="false">
      <c r="A2224" s="11" t="str">
        <f aca="false">IF(원본명단!$A2223="","",2221)</f>
        <v/>
      </c>
      <c r="B2224" s="12" t="str">
        <f aca="false">IF($A2224="","",원본명단!$A2223)</f>
        <v/>
      </c>
      <c r="C2224" s="12" t="str">
        <f aca="false">IF($A2224="","",원본명단!$B2223)</f>
        <v/>
      </c>
      <c r="D2224" s="12" t="str">
        <f aca="false">IF($A2224="","",원본명단!$D2223)</f>
        <v/>
      </c>
      <c r="E2224" s="11" t="str">
        <f aca="false">IF($A2224="","",IF(원본명단!$H2223="",0,COUNTIF(원본명단!$H$3:$H$6002,원본명단!$H2223)))</f>
        <v/>
      </c>
      <c r="F2224" s="11" t="str">
        <f aca="false">IF($A2224="","",IF(원본명단!$I2223="",0,COUNTIF(원본명단!$I$3:$I$6002,원본명단!$I2223)))</f>
        <v/>
      </c>
      <c r="G2224" s="11" t="str">
        <f aca="false">IF($A2224="","",IF(원본명단!$K2223="",0,COUNTIF(원본명단!$K$3:$K$6002,원본명단!$K2223)))</f>
        <v/>
      </c>
      <c r="H2224" s="11" t="str">
        <f aca="false">IF($A2224="","",IF(MAX($E2224,$F2224,$G2224)&gt;1,"중복","-"))</f>
        <v/>
      </c>
      <c r="I2224" s="11" t="str">
        <f aca="false">IF($A2224="","",IF($H2224="-","-",IF(AND(IF(원본명단!$H2223="",TRUE(),COUNTIF(원본명단!$H$3:$H2223,원본명단!$H2223)=1),IF(원본명단!$I2223="",TRUE(),COUNTIF(원본명단!$I$3:$I2223,원본명단!$I2223)=1),IF(원본명단!$K2223="",TRUE(),COUNTIF(원본명단!$K$3:$K2223,원본명단!$K2223)=1)),"첫 건","중복 건")))</f>
        <v/>
      </c>
      <c r="J2224" s="11" t="str">
        <f aca="false">IF($A2224="","",IF($H2224="-","유지",IF($I2224="첫 건","유지","확인 필요")))</f>
        <v/>
      </c>
    </row>
    <row r="2225" customFormat="false" ht="15" hidden="false" customHeight="true" outlineLevel="0" collapsed="false">
      <c r="A2225" s="11" t="str">
        <f aca="false">IF(원본명단!$A2224="","",2222)</f>
        <v/>
      </c>
      <c r="B2225" s="12" t="str">
        <f aca="false">IF($A2225="","",원본명단!$A2224)</f>
        <v/>
      </c>
      <c r="C2225" s="12" t="str">
        <f aca="false">IF($A2225="","",원본명단!$B2224)</f>
        <v/>
      </c>
      <c r="D2225" s="12" t="str">
        <f aca="false">IF($A2225="","",원본명단!$D2224)</f>
        <v/>
      </c>
      <c r="E2225" s="11" t="str">
        <f aca="false">IF($A2225="","",IF(원본명단!$H2224="",0,COUNTIF(원본명단!$H$3:$H$6002,원본명단!$H2224)))</f>
        <v/>
      </c>
      <c r="F2225" s="11" t="str">
        <f aca="false">IF($A2225="","",IF(원본명단!$I2224="",0,COUNTIF(원본명단!$I$3:$I$6002,원본명단!$I2224)))</f>
        <v/>
      </c>
      <c r="G2225" s="11" t="str">
        <f aca="false">IF($A2225="","",IF(원본명단!$K2224="",0,COUNTIF(원본명단!$K$3:$K$6002,원본명단!$K2224)))</f>
        <v/>
      </c>
      <c r="H2225" s="11" t="str">
        <f aca="false">IF($A2225="","",IF(MAX($E2225,$F2225,$G2225)&gt;1,"중복","-"))</f>
        <v/>
      </c>
      <c r="I2225" s="11" t="str">
        <f aca="false">IF($A2225="","",IF($H2225="-","-",IF(AND(IF(원본명단!$H2224="",TRUE(),COUNTIF(원본명단!$H$3:$H2224,원본명단!$H2224)=1),IF(원본명단!$I2224="",TRUE(),COUNTIF(원본명단!$I$3:$I2224,원본명단!$I2224)=1),IF(원본명단!$K2224="",TRUE(),COUNTIF(원본명단!$K$3:$K2224,원본명단!$K2224)=1)),"첫 건","중복 건")))</f>
        <v/>
      </c>
      <c r="J2225" s="11" t="str">
        <f aca="false">IF($A2225="","",IF($H2225="-","유지",IF($I2225="첫 건","유지","확인 필요")))</f>
        <v/>
      </c>
    </row>
    <row r="2226" customFormat="false" ht="15" hidden="false" customHeight="true" outlineLevel="0" collapsed="false">
      <c r="A2226" s="11" t="str">
        <f aca="false">IF(원본명단!$A2225="","",2223)</f>
        <v/>
      </c>
      <c r="B2226" s="12" t="str">
        <f aca="false">IF($A2226="","",원본명단!$A2225)</f>
        <v/>
      </c>
      <c r="C2226" s="12" t="str">
        <f aca="false">IF($A2226="","",원본명단!$B2225)</f>
        <v/>
      </c>
      <c r="D2226" s="12" t="str">
        <f aca="false">IF($A2226="","",원본명단!$D2225)</f>
        <v/>
      </c>
      <c r="E2226" s="11" t="str">
        <f aca="false">IF($A2226="","",IF(원본명단!$H2225="",0,COUNTIF(원본명단!$H$3:$H$6002,원본명단!$H2225)))</f>
        <v/>
      </c>
      <c r="F2226" s="11" t="str">
        <f aca="false">IF($A2226="","",IF(원본명단!$I2225="",0,COUNTIF(원본명단!$I$3:$I$6002,원본명단!$I2225)))</f>
        <v/>
      </c>
      <c r="G2226" s="11" t="str">
        <f aca="false">IF($A2226="","",IF(원본명단!$K2225="",0,COUNTIF(원본명단!$K$3:$K$6002,원본명단!$K2225)))</f>
        <v/>
      </c>
      <c r="H2226" s="11" t="str">
        <f aca="false">IF($A2226="","",IF(MAX($E2226,$F2226,$G2226)&gt;1,"중복","-"))</f>
        <v/>
      </c>
      <c r="I2226" s="11" t="str">
        <f aca="false">IF($A2226="","",IF($H2226="-","-",IF(AND(IF(원본명단!$H2225="",TRUE(),COUNTIF(원본명단!$H$3:$H2225,원본명단!$H2225)=1),IF(원본명단!$I2225="",TRUE(),COUNTIF(원본명단!$I$3:$I2225,원본명단!$I2225)=1),IF(원본명단!$K2225="",TRUE(),COUNTIF(원본명단!$K$3:$K2225,원본명단!$K2225)=1)),"첫 건","중복 건")))</f>
        <v/>
      </c>
      <c r="J2226" s="11" t="str">
        <f aca="false">IF($A2226="","",IF($H2226="-","유지",IF($I2226="첫 건","유지","확인 필요")))</f>
        <v/>
      </c>
    </row>
    <row r="2227" customFormat="false" ht="15" hidden="false" customHeight="true" outlineLevel="0" collapsed="false">
      <c r="A2227" s="11" t="str">
        <f aca="false">IF(원본명단!$A2226="","",2224)</f>
        <v/>
      </c>
      <c r="B2227" s="12" t="str">
        <f aca="false">IF($A2227="","",원본명단!$A2226)</f>
        <v/>
      </c>
      <c r="C2227" s="12" t="str">
        <f aca="false">IF($A2227="","",원본명단!$B2226)</f>
        <v/>
      </c>
      <c r="D2227" s="12" t="str">
        <f aca="false">IF($A2227="","",원본명단!$D2226)</f>
        <v/>
      </c>
      <c r="E2227" s="11" t="str">
        <f aca="false">IF($A2227="","",IF(원본명단!$H2226="",0,COUNTIF(원본명단!$H$3:$H$6002,원본명단!$H2226)))</f>
        <v/>
      </c>
      <c r="F2227" s="11" t="str">
        <f aca="false">IF($A2227="","",IF(원본명단!$I2226="",0,COUNTIF(원본명단!$I$3:$I$6002,원본명단!$I2226)))</f>
        <v/>
      </c>
      <c r="G2227" s="11" t="str">
        <f aca="false">IF($A2227="","",IF(원본명단!$K2226="",0,COUNTIF(원본명단!$K$3:$K$6002,원본명단!$K2226)))</f>
        <v/>
      </c>
      <c r="H2227" s="11" t="str">
        <f aca="false">IF($A2227="","",IF(MAX($E2227,$F2227,$G2227)&gt;1,"중복","-"))</f>
        <v/>
      </c>
      <c r="I2227" s="11" t="str">
        <f aca="false">IF($A2227="","",IF($H2227="-","-",IF(AND(IF(원본명단!$H2226="",TRUE(),COUNTIF(원본명단!$H$3:$H2226,원본명단!$H2226)=1),IF(원본명단!$I2226="",TRUE(),COUNTIF(원본명단!$I$3:$I2226,원본명단!$I2226)=1),IF(원본명단!$K2226="",TRUE(),COUNTIF(원본명단!$K$3:$K2226,원본명단!$K2226)=1)),"첫 건","중복 건")))</f>
        <v/>
      </c>
      <c r="J2227" s="11" t="str">
        <f aca="false">IF($A2227="","",IF($H2227="-","유지",IF($I2227="첫 건","유지","확인 필요")))</f>
        <v/>
      </c>
    </row>
    <row r="2228" customFormat="false" ht="15" hidden="false" customHeight="true" outlineLevel="0" collapsed="false">
      <c r="A2228" s="11" t="str">
        <f aca="false">IF(원본명단!$A2227="","",2225)</f>
        <v/>
      </c>
      <c r="B2228" s="12" t="str">
        <f aca="false">IF($A2228="","",원본명단!$A2227)</f>
        <v/>
      </c>
      <c r="C2228" s="12" t="str">
        <f aca="false">IF($A2228="","",원본명단!$B2227)</f>
        <v/>
      </c>
      <c r="D2228" s="12" t="str">
        <f aca="false">IF($A2228="","",원본명단!$D2227)</f>
        <v/>
      </c>
      <c r="E2228" s="11" t="str">
        <f aca="false">IF($A2228="","",IF(원본명단!$H2227="",0,COUNTIF(원본명단!$H$3:$H$6002,원본명단!$H2227)))</f>
        <v/>
      </c>
      <c r="F2228" s="11" t="str">
        <f aca="false">IF($A2228="","",IF(원본명단!$I2227="",0,COUNTIF(원본명단!$I$3:$I$6002,원본명단!$I2227)))</f>
        <v/>
      </c>
      <c r="G2228" s="11" t="str">
        <f aca="false">IF($A2228="","",IF(원본명단!$K2227="",0,COUNTIF(원본명단!$K$3:$K$6002,원본명단!$K2227)))</f>
        <v/>
      </c>
      <c r="H2228" s="11" t="str">
        <f aca="false">IF($A2228="","",IF(MAX($E2228,$F2228,$G2228)&gt;1,"중복","-"))</f>
        <v/>
      </c>
      <c r="I2228" s="11" t="str">
        <f aca="false">IF($A2228="","",IF($H2228="-","-",IF(AND(IF(원본명단!$H2227="",TRUE(),COUNTIF(원본명단!$H$3:$H2227,원본명단!$H2227)=1),IF(원본명단!$I2227="",TRUE(),COUNTIF(원본명단!$I$3:$I2227,원본명단!$I2227)=1),IF(원본명단!$K2227="",TRUE(),COUNTIF(원본명단!$K$3:$K2227,원본명단!$K2227)=1)),"첫 건","중복 건")))</f>
        <v/>
      </c>
      <c r="J2228" s="11" t="str">
        <f aca="false">IF($A2228="","",IF($H2228="-","유지",IF($I2228="첫 건","유지","확인 필요")))</f>
        <v/>
      </c>
    </row>
    <row r="2229" customFormat="false" ht="15" hidden="false" customHeight="true" outlineLevel="0" collapsed="false">
      <c r="A2229" s="11" t="str">
        <f aca="false">IF(원본명단!$A2228="","",2226)</f>
        <v/>
      </c>
      <c r="B2229" s="12" t="str">
        <f aca="false">IF($A2229="","",원본명단!$A2228)</f>
        <v/>
      </c>
      <c r="C2229" s="12" t="str">
        <f aca="false">IF($A2229="","",원본명단!$B2228)</f>
        <v/>
      </c>
      <c r="D2229" s="12" t="str">
        <f aca="false">IF($A2229="","",원본명단!$D2228)</f>
        <v/>
      </c>
      <c r="E2229" s="11" t="str">
        <f aca="false">IF($A2229="","",IF(원본명단!$H2228="",0,COUNTIF(원본명단!$H$3:$H$6002,원본명단!$H2228)))</f>
        <v/>
      </c>
      <c r="F2229" s="11" t="str">
        <f aca="false">IF($A2229="","",IF(원본명단!$I2228="",0,COUNTIF(원본명단!$I$3:$I$6002,원본명단!$I2228)))</f>
        <v/>
      </c>
      <c r="G2229" s="11" t="str">
        <f aca="false">IF($A2229="","",IF(원본명단!$K2228="",0,COUNTIF(원본명단!$K$3:$K$6002,원본명단!$K2228)))</f>
        <v/>
      </c>
      <c r="H2229" s="11" t="str">
        <f aca="false">IF($A2229="","",IF(MAX($E2229,$F2229,$G2229)&gt;1,"중복","-"))</f>
        <v/>
      </c>
      <c r="I2229" s="11" t="str">
        <f aca="false">IF($A2229="","",IF($H2229="-","-",IF(AND(IF(원본명단!$H2228="",TRUE(),COUNTIF(원본명단!$H$3:$H2228,원본명단!$H2228)=1),IF(원본명단!$I2228="",TRUE(),COUNTIF(원본명단!$I$3:$I2228,원본명단!$I2228)=1),IF(원본명단!$K2228="",TRUE(),COUNTIF(원본명단!$K$3:$K2228,원본명단!$K2228)=1)),"첫 건","중복 건")))</f>
        <v/>
      </c>
      <c r="J2229" s="11" t="str">
        <f aca="false">IF($A2229="","",IF($H2229="-","유지",IF($I2229="첫 건","유지","확인 필요")))</f>
        <v/>
      </c>
    </row>
    <row r="2230" customFormat="false" ht="15" hidden="false" customHeight="true" outlineLevel="0" collapsed="false">
      <c r="A2230" s="11" t="str">
        <f aca="false">IF(원본명단!$A2229="","",2227)</f>
        <v/>
      </c>
      <c r="B2230" s="12" t="str">
        <f aca="false">IF($A2230="","",원본명단!$A2229)</f>
        <v/>
      </c>
      <c r="C2230" s="12" t="str">
        <f aca="false">IF($A2230="","",원본명단!$B2229)</f>
        <v/>
      </c>
      <c r="D2230" s="12" t="str">
        <f aca="false">IF($A2230="","",원본명단!$D2229)</f>
        <v/>
      </c>
      <c r="E2230" s="11" t="str">
        <f aca="false">IF($A2230="","",IF(원본명단!$H2229="",0,COUNTIF(원본명단!$H$3:$H$6002,원본명단!$H2229)))</f>
        <v/>
      </c>
      <c r="F2230" s="11" t="str">
        <f aca="false">IF($A2230="","",IF(원본명단!$I2229="",0,COUNTIF(원본명단!$I$3:$I$6002,원본명단!$I2229)))</f>
        <v/>
      </c>
      <c r="G2230" s="11" t="str">
        <f aca="false">IF($A2230="","",IF(원본명단!$K2229="",0,COUNTIF(원본명단!$K$3:$K$6002,원본명단!$K2229)))</f>
        <v/>
      </c>
      <c r="H2230" s="11" t="str">
        <f aca="false">IF($A2230="","",IF(MAX($E2230,$F2230,$G2230)&gt;1,"중복","-"))</f>
        <v/>
      </c>
      <c r="I2230" s="11" t="str">
        <f aca="false">IF($A2230="","",IF($H2230="-","-",IF(AND(IF(원본명단!$H2229="",TRUE(),COUNTIF(원본명단!$H$3:$H2229,원본명단!$H2229)=1),IF(원본명단!$I2229="",TRUE(),COUNTIF(원본명단!$I$3:$I2229,원본명단!$I2229)=1),IF(원본명단!$K2229="",TRUE(),COUNTIF(원본명단!$K$3:$K2229,원본명단!$K2229)=1)),"첫 건","중복 건")))</f>
        <v/>
      </c>
      <c r="J2230" s="11" t="str">
        <f aca="false">IF($A2230="","",IF($H2230="-","유지",IF($I2230="첫 건","유지","확인 필요")))</f>
        <v/>
      </c>
    </row>
    <row r="2231" customFormat="false" ht="15" hidden="false" customHeight="true" outlineLevel="0" collapsed="false">
      <c r="A2231" s="11" t="str">
        <f aca="false">IF(원본명단!$A2230="","",2228)</f>
        <v/>
      </c>
      <c r="B2231" s="12" t="str">
        <f aca="false">IF($A2231="","",원본명단!$A2230)</f>
        <v/>
      </c>
      <c r="C2231" s="12" t="str">
        <f aca="false">IF($A2231="","",원본명단!$B2230)</f>
        <v/>
      </c>
      <c r="D2231" s="12" t="str">
        <f aca="false">IF($A2231="","",원본명단!$D2230)</f>
        <v/>
      </c>
      <c r="E2231" s="11" t="str">
        <f aca="false">IF($A2231="","",IF(원본명단!$H2230="",0,COUNTIF(원본명단!$H$3:$H$6002,원본명단!$H2230)))</f>
        <v/>
      </c>
      <c r="F2231" s="11" t="str">
        <f aca="false">IF($A2231="","",IF(원본명단!$I2230="",0,COUNTIF(원본명단!$I$3:$I$6002,원본명단!$I2230)))</f>
        <v/>
      </c>
      <c r="G2231" s="11" t="str">
        <f aca="false">IF($A2231="","",IF(원본명단!$K2230="",0,COUNTIF(원본명단!$K$3:$K$6002,원본명단!$K2230)))</f>
        <v/>
      </c>
      <c r="H2231" s="11" t="str">
        <f aca="false">IF($A2231="","",IF(MAX($E2231,$F2231,$G2231)&gt;1,"중복","-"))</f>
        <v/>
      </c>
      <c r="I2231" s="11" t="str">
        <f aca="false">IF($A2231="","",IF($H2231="-","-",IF(AND(IF(원본명단!$H2230="",TRUE(),COUNTIF(원본명단!$H$3:$H2230,원본명단!$H2230)=1),IF(원본명단!$I2230="",TRUE(),COUNTIF(원본명단!$I$3:$I2230,원본명단!$I2230)=1),IF(원본명단!$K2230="",TRUE(),COUNTIF(원본명단!$K$3:$K2230,원본명단!$K2230)=1)),"첫 건","중복 건")))</f>
        <v/>
      </c>
      <c r="J2231" s="11" t="str">
        <f aca="false">IF($A2231="","",IF($H2231="-","유지",IF($I2231="첫 건","유지","확인 필요")))</f>
        <v/>
      </c>
    </row>
    <row r="2232" customFormat="false" ht="15" hidden="false" customHeight="true" outlineLevel="0" collapsed="false">
      <c r="A2232" s="11" t="str">
        <f aca="false">IF(원본명단!$A2231="","",2229)</f>
        <v/>
      </c>
      <c r="B2232" s="12" t="str">
        <f aca="false">IF($A2232="","",원본명단!$A2231)</f>
        <v/>
      </c>
      <c r="C2232" s="12" t="str">
        <f aca="false">IF($A2232="","",원본명단!$B2231)</f>
        <v/>
      </c>
      <c r="D2232" s="12" t="str">
        <f aca="false">IF($A2232="","",원본명단!$D2231)</f>
        <v/>
      </c>
      <c r="E2232" s="11" t="str">
        <f aca="false">IF($A2232="","",IF(원본명단!$H2231="",0,COUNTIF(원본명단!$H$3:$H$6002,원본명단!$H2231)))</f>
        <v/>
      </c>
      <c r="F2232" s="11" t="str">
        <f aca="false">IF($A2232="","",IF(원본명단!$I2231="",0,COUNTIF(원본명단!$I$3:$I$6002,원본명단!$I2231)))</f>
        <v/>
      </c>
      <c r="G2232" s="11" t="str">
        <f aca="false">IF($A2232="","",IF(원본명단!$K2231="",0,COUNTIF(원본명단!$K$3:$K$6002,원본명단!$K2231)))</f>
        <v/>
      </c>
      <c r="H2232" s="11" t="str">
        <f aca="false">IF($A2232="","",IF(MAX($E2232,$F2232,$G2232)&gt;1,"중복","-"))</f>
        <v/>
      </c>
      <c r="I2232" s="11" t="str">
        <f aca="false">IF($A2232="","",IF($H2232="-","-",IF(AND(IF(원본명단!$H2231="",TRUE(),COUNTIF(원본명단!$H$3:$H2231,원본명단!$H2231)=1),IF(원본명단!$I2231="",TRUE(),COUNTIF(원본명단!$I$3:$I2231,원본명단!$I2231)=1),IF(원본명단!$K2231="",TRUE(),COUNTIF(원본명단!$K$3:$K2231,원본명단!$K2231)=1)),"첫 건","중복 건")))</f>
        <v/>
      </c>
      <c r="J2232" s="11" t="str">
        <f aca="false">IF($A2232="","",IF($H2232="-","유지",IF($I2232="첫 건","유지","확인 필요")))</f>
        <v/>
      </c>
    </row>
    <row r="2233" customFormat="false" ht="15" hidden="false" customHeight="true" outlineLevel="0" collapsed="false">
      <c r="A2233" s="11" t="str">
        <f aca="false">IF(원본명단!$A2232="","",2230)</f>
        <v/>
      </c>
      <c r="B2233" s="12" t="str">
        <f aca="false">IF($A2233="","",원본명단!$A2232)</f>
        <v/>
      </c>
      <c r="C2233" s="12" t="str">
        <f aca="false">IF($A2233="","",원본명단!$B2232)</f>
        <v/>
      </c>
      <c r="D2233" s="12" t="str">
        <f aca="false">IF($A2233="","",원본명단!$D2232)</f>
        <v/>
      </c>
      <c r="E2233" s="11" t="str">
        <f aca="false">IF($A2233="","",IF(원본명단!$H2232="",0,COUNTIF(원본명단!$H$3:$H$6002,원본명단!$H2232)))</f>
        <v/>
      </c>
      <c r="F2233" s="11" t="str">
        <f aca="false">IF($A2233="","",IF(원본명단!$I2232="",0,COUNTIF(원본명단!$I$3:$I$6002,원본명단!$I2232)))</f>
        <v/>
      </c>
      <c r="G2233" s="11" t="str">
        <f aca="false">IF($A2233="","",IF(원본명단!$K2232="",0,COUNTIF(원본명단!$K$3:$K$6002,원본명단!$K2232)))</f>
        <v/>
      </c>
      <c r="H2233" s="11" t="str">
        <f aca="false">IF($A2233="","",IF(MAX($E2233,$F2233,$G2233)&gt;1,"중복","-"))</f>
        <v/>
      </c>
      <c r="I2233" s="11" t="str">
        <f aca="false">IF($A2233="","",IF($H2233="-","-",IF(AND(IF(원본명단!$H2232="",TRUE(),COUNTIF(원본명단!$H$3:$H2232,원본명단!$H2232)=1),IF(원본명단!$I2232="",TRUE(),COUNTIF(원본명단!$I$3:$I2232,원본명단!$I2232)=1),IF(원본명단!$K2232="",TRUE(),COUNTIF(원본명단!$K$3:$K2232,원본명단!$K2232)=1)),"첫 건","중복 건")))</f>
        <v/>
      </c>
      <c r="J2233" s="11" t="str">
        <f aca="false">IF($A2233="","",IF($H2233="-","유지",IF($I2233="첫 건","유지","확인 필요")))</f>
        <v/>
      </c>
    </row>
    <row r="2234" customFormat="false" ht="15" hidden="false" customHeight="true" outlineLevel="0" collapsed="false">
      <c r="A2234" s="11" t="str">
        <f aca="false">IF(원본명단!$A2233="","",2231)</f>
        <v/>
      </c>
      <c r="B2234" s="12" t="str">
        <f aca="false">IF($A2234="","",원본명단!$A2233)</f>
        <v/>
      </c>
      <c r="C2234" s="12" t="str">
        <f aca="false">IF($A2234="","",원본명단!$B2233)</f>
        <v/>
      </c>
      <c r="D2234" s="12" t="str">
        <f aca="false">IF($A2234="","",원본명단!$D2233)</f>
        <v/>
      </c>
      <c r="E2234" s="11" t="str">
        <f aca="false">IF($A2234="","",IF(원본명단!$H2233="",0,COUNTIF(원본명단!$H$3:$H$6002,원본명단!$H2233)))</f>
        <v/>
      </c>
      <c r="F2234" s="11" t="str">
        <f aca="false">IF($A2234="","",IF(원본명단!$I2233="",0,COUNTIF(원본명단!$I$3:$I$6002,원본명단!$I2233)))</f>
        <v/>
      </c>
      <c r="G2234" s="11" t="str">
        <f aca="false">IF($A2234="","",IF(원본명단!$K2233="",0,COUNTIF(원본명단!$K$3:$K$6002,원본명단!$K2233)))</f>
        <v/>
      </c>
      <c r="H2234" s="11" t="str">
        <f aca="false">IF($A2234="","",IF(MAX($E2234,$F2234,$G2234)&gt;1,"중복","-"))</f>
        <v/>
      </c>
      <c r="I2234" s="11" t="str">
        <f aca="false">IF($A2234="","",IF($H2234="-","-",IF(AND(IF(원본명단!$H2233="",TRUE(),COUNTIF(원본명단!$H$3:$H2233,원본명단!$H2233)=1),IF(원본명단!$I2233="",TRUE(),COUNTIF(원본명단!$I$3:$I2233,원본명단!$I2233)=1),IF(원본명단!$K2233="",TRUE(),COUNTIF(원본명단!$K$3:$K2233,원본명단!$K2233)=1)),"첫 건","중복 건")))</f>
        <v/>
      </c>
      <c r="J2234" s="11" t="str">
        <f aca="false">IF($A2234="","",IF($H2234="-","유지",IF($I2234="첫 건","유지","확인 필요")))</f>
        <v/>
      </c>
    </row>
    <row r="2235" customFormat="false" ht="15" hidden="false" customHeight="true" outlineLevel="0" collapsed="false">
      <c r="A2235" s="11" t="str">
        <f aca="false">IF(원본명단!$A2234="","",2232)</f>
        <v/>
      </c>
      <c r="B2235" s="12" t="str">
        <f aca="false">IF($A2235="","",원본명단!$A2234)</f>
        <v/>
      </c>
      <c r="C2235" s="12" t="str">
        <f aca="false">IF($A2235="","",원본명단!$B2234)</f>
        <v/>
      </c>
      <c r="D2235" s="12" t="str">
        <f aca="false">IF($A2235="","",원본명단!$D2234)</f>
        <v/>
      </c>
      <c r="E2235" s="11" t="str">
        <f aca="false">IF($A2235="","",IF(원본명단!$H2234="",0,COUNTIF(원본명단!$H$3:$H$6002,원본명단!$H2234)))</f>
        <v/>
      </c>
      <c r="F2235" s="11" t="str">
        <f aca="false">IF($A2235="","",IF(원본명단!$I2234="",0,COUNTIF(원본명단!$I$3:$I$6002,원본명단!$I2234)))</f>
        <v/>
      </c>
      <c r="G2235" s="11" t="str">
        <f aca="false">IF($A2235="","",IF(원본명단!$K2234="",0,COUNTIF(원본명단!$K$3:$K$6002,원본명단!$K2234)))</f>
        <v/>
      </c>
      <c r="H2235" s="11" t="str">
        <f aca="false">IF($A2235="","",IF(MAX($E2235,$F2235,$G2235)&gt;1,"중복","-"))</f>
        <v/>
      </c>
      <c r="I2235" s="11" t="str">
        <f aca="false">IF($A2235="","",IF($H2235="-","-",IF(AND(IF(원본명단!$H2234="",TRUE(),COUNTIF(원본명단!$H$3:$H2234,원본명단!$H2234)=1),IF(원본명단!$I2234="",TRUE(),COUNTIF(원본명단!$I$3:$I2234,원본명단!$I2234)=1),IF(원본명단!$K2234="",TRUE(),COUNTIF(원본명단!$K$3:$K2234,원본명단!$K2234)=1)),"첫 건","중복 건")))</f>
        <v/>
      </c>
      <c r="J2235" s="11" t="str">
        <f aca="false">IF($A2235="","",IF($H2235="-","유지",IF($I2235="첫 건","유지","확인 필요")))</f>
        <v/>
      </c>
    </row>
    <row r="2236" customFormat="false" ht="15" hidden="false" customHeight="true" outlineLevel="0" collapsed="false">
      <c r="A2236" s="11" t="str">
        <f aca="false">IF(원본명단!$A2235="","",2233)</f>
        <v/>
      </c>
      <c r="B2236" s="12" t="str">
        <f aca="false">IF($A2236="","",원본명단!$A2235)</f>
        <v/>
      </c>
      <c r="C2236" s="12" t="str">
        <f aca="false">IF($A2236="","",원본명단!$B2235)</f>
        <v/>
      </c>
      <c r="D2236" s="12" t="str">
        <f aca="false">IF($A2236="","",원본명단!$D2235)</f>
        <v/>
      </c>
      <c r="E2236" s="11" t="str">
        <f aca="false">IF($A2236="","",IF(원본명단!$H2235="",0,COUNTIF(원본명단!$H$3:$H$6002,원본명단!$H2235)))</f>
        <v/>
      </c>
      <c r="F2236" s="11" t="str">
        <f aca="false">IF($A2236="","",IF(원본명단!$I2235="",0,COUNTIF(원본명단!$I$3:$I$6002,원본명단!$I2235)))</f>
        <v/>
      </c>
      <c r="G2236" s="11" t="str">
        <f aca="false">IF($A2236="","",IF(원본명단!$K2235="",0,COUNTIF(원본명단!$K$3:$K$6002,원본명단!$K2235)))</f>
        <v/>
      </c>
      <c r="H2236" s="11" t="str">
        <f aca="false">IF($A2236="","",IF(MAX($E2236,$F2236,$G2236)&gt;1,"중복","-"))</f>
        <v/>
      </c>
      <c r="I2236" s="11" t="str">
        <f aca="false">IF($A2236="","",IF($H2236="-","-",IF(AND(IF(원본명단!$H2235="",TRUE(),COUNTIF(원본명단!$H$3:$H2235,원본명단!$H2235)=1),IF(원본명단!$I2235="",TRUE(),COUNTIF(원본명단!$I$3:$I2235,원본명단!$I2235)=1),IF(원본명단!$K2235="",TRUE(),COUNTIF(원본명단!$K$3:$K2235,원본명단!$K2235)=1)),"첫 건","중복 건")))</f>
        <v/>
      </c>
      <c r="J2236" s="11" t="str">
        <f aca="false">IF($A2236="","",IF($H2236="-","유지",IF($I2236="첫 건","유지","확인 필요")))</f>
        <v/>
      </c>
    </row>
    <row r="2237" customFormat="false" ht="15" hidden="false" customHeight="true" outlineLevel="0" collapsed="false">
      <c r="A2237" s="11" t="str">
        <f aca="false">IF(원본명단!$A2236="","",2234)</f>
        <v/>
      </c>
      <c r="B2237" s="12" t="str">
        <f aca="false">IF($A2237="","",원본명단!$A2236)</f>
        <v/>
      </c>
      <c r="C2237" s="12" t="str">
        <f aca="false">IF($A2237="","",원본명단!$B2236)</f>
        <v/>
      </c>
      <c r="D2237" s="12" t="str">
        <f aca="false">IF($A2237="","",원본명단!$D2236)</f>
        <v/>
      </c>
      <c r="E2237" s="11" t="str">
        <f aca="false">IF($A2237="","",IF(원본명단!$H2236="",0,COUNTIF(원본명단!$H$3:$H$6002,원본명단!$H2236)))</f>
        <v/>
      </c>
      <c r="F2237" s="11" t="str">
        <f aca="false">IF($A2237="","",IF(원본명단!$I2236="",0,COUNTIF(원본명단!$I$3:$I$6002,원본명단!$I2236)))</f>
        <v/>
      </c>
      <c r="G2237" s="11" t="str">
        <f aca="false">IF($A2237="","",IF(원본명단!$K2236="",0,COUNTIF(원본명단!$K$3:$K$6002,원본명단!$K2236)))</f>
        <v/>
      </c>
      <c r="H2237" s="11" t="str">
        <f aca="false">IF($A2237="","",IF(MAX($E2237,$F2237,$G2237)&gt;1,"중복","-"))</f>
        <v/>
      </c>
      <c r="I2237" s="11" t="str">
        <f aca="false">IF($A2237="","",IF($H2237="-","-",IF(AND(IF(원본명단!$H2236="",TRUE(),COUNTIF(원본명단!$H$3:$H2236,원본명단!$H2236)=1),IF(원본명단!$I2236="",TRUE(),COUNTIF(원본명단!$I$3:$I2236,원본명단!$I2236)=1),IF(원본명단!$K2236="",TRUE(),COUNTIF(원본명단!$K$3:$K2236,원본명단!$K2236)=1)),"첫 건","중복 건")))</f>
        <v/>
      </c>
      <c r="J2237" s="11" t="str">
        <f aca="false">IF($A2237="","",IF($H2237="-","유지",IF($I2237="첫 건","유지","확인 필요")))</f>
        <v/>
      </c>
    </row>
    <row r="2238" customFormat="false" ht="15" hidden="false" customHeight="true" outlineLevel="0" collapsed="false">
      <c r="A2238" s="11" t="str">
        <f aca="false">IF(원본명단!$A2237="","",2235)</f>
        <v/>
      </c>
      <c r="B2238" s="12" t="str">
        <f aca="false">IF($A2238="","",원본명단!$A2237)</f>
        <v/>
      </c>
      <c r="C2238" s="12" t="str">
        <f aca="false">IF($A2238="","",원본명단!$B2237)</f>
        <v/>
      </c>
      <c r="D2238" s="12" t="str">
        <f aca="false">IF($A2238="","",원본명단!$D2237)</f>
        <v/>
      </c>
      <c r="E2238" s="11" t="str">
        <f aca="false">IF($A2238="","",IF(원본명단!$H2237="",0,COUNTIF(원본명단!$H$3:$H$6002,원본명단!$H2237)))</f>
        <v/>
      </c>
      <c r="F2238" s="11" t="str">
        <f aca="false">IF($A2238="","",IF(원본명단!$I2237="",0,COUNTIF(원본명단!$I$3:$I$6002,원본명단!$I2237)))</f>
        <v/>
      </c>
      <c r="G2238" s="11" t="str">
        <f aca="false">IF($A2238="","",IF(원본명단!$K2237="",0,COUNTIF(원본명단!$K$3:$K$6002,원본명단!$K2237)))</f>
        <v/>
      </c>
      <c r="H2238" s="11" t="str">
        <f aca="false">IF($A2238="","",IF(MAX($E2238,$F2238,$G2238)&gt;1,"중복","-"))</f>
        <v/>
      </c>
      <c r="I2238" s="11" t="str">
        <f aca="false">IF($A2238="","",IF($H2238="-","-",IF(AND(IF(원본명단!$H2237="",TRUE(),COUNTIF(원본명단!$H$3:$H2237,원본명단!$H2237)=1),IF(원본명단!$I2237="",TRUE(),COUNTIF(원본명단!$I$3:$I2237,원본명단!$I2237)=1),IF(원본명단!$K2237="",TRUE(),COUNTIF(원본명단!$K$3:$K2237,원본명단!$K2237)=1)),"첫 건","중복 건")))</f>
        <v/>
      </c>
      <c r="J2238" s="11" t="str">
        <f aca="false">IF($A2238="","",IF($H2238="-","유지",IF($I2238="첫 건","유지","확인 필요")))</f>
        <v/>
      </c>
    </row>
    <row r="2239" customFormat="false" ht="15" hidden="false" customHeight="true" outlineLevel="0" collapsed="false">
      <c r="A2239" s="11" t="str">
        <f aca="false">IF(원본명단!$A2238="","",2236)</f>
        <v/>
      </c>
      <c r="B2239" s="12" t="str">
        <f aca="false">IF($A2239="","",원본명단!$A2238)</f>
        <v/>
      </c>
      <c r="C2239" s="12" t="str">
        <f aca="false">IF($A2239="","",원본명단!$B2238)</f>
        <v/>
      </c>
      <c r="D2239" s="12" t="str">
        <f aca="false">IF($A2239="","",원본명단!$D2238)</f>
        <v/>
      </c>
      <c r="E2239" s="11" t="str">
        <f aca="false">IF($A2239="","",IF(원본명단!$H2238="",0,COUNTIF(원본명단!$H$3:$H$6002,원본명단!$H2238)))</f>
        <v/>
      </c>
      <c r="F2239" s="11" t="str">
        <f aca="false">IF($A2239="","",IF(원본명단!$I2238="",0,COUNTIF(원본명단!$I$3:$I$6002,원본명단!$I2238)))</f>
        <v/>
      </c>
      <c r="G2239" s="11" t="str">
        <f aca="false">IF($A2239="","",IF(원본명단!$K2238="",0,COUNTIF(원본명단!$K$3:$K$6002,원본명단!$K2238)))</f>
        <v/>
      </c>
      <c r="H2239" s="11" t="str">
        <f aca="false">IF($A2239="","",IF(MAX($E2239,$F2239,$G2239)&gt;1,"중복","-"))</f>
        <v/>
      </c>
      <c r="I2239" s="11" t="str">
        <f aca="false">IF($A2239="","",IF($H2239="-","-",IF(AND(IF(원본명단!$H2238="",TRUE(),COUNTIF(원본명단!$H$3:$H2238,원본명단!$H2238)=1),IF(원본명단!$I2238="",TRUE(),COUNTIF(원본명단!$I$3:$I2238,원본명단!$I2238)=1),IF(원본명단!$K2238="",TRUE(),COUNTIF(원본명단!$K$3:$K2238,원본명단!$K2238)=1)),"첫 건","중복 건")))</f>
        <v/>
      </c>
      <c r="J2239" s="11" t="str">
        <f aca="false">IF($A2239="","",IF($H2239="-","유지",IF($I2239="첫 건","유지","확인 필요")))</f>
        <v/>
      </c>
    </row>
    <row r="2240" customFormat="false" ht="15" hidden="false" customHeight="true" outlineLevel="0" collapsed="false">
      <c r="A2240" s="11" t="str">
        <f aca="false">IF(원본명단!$A2239="","",2237)</f>
        <v/>
      </c>
      <c r="B2240" s="12" t="str">
        <f aca="false">IF($A2240="","",원본명단!$A2239)</f>
        <v/>
      </c>
      <c r="C2240" s="12" t="str">
        <f aca="false">IF($A2240="","",원본명단!$B2239)</f>
        <v/>
      </c>
      <c r="D2240" s="12" t="str">
        <f aca="false">IF($A2240="","",원본명단!$D2239)</f>
        <v/>
      </c>
      <c r="E2240" s="11" t="str">
        <f aca="false">IF($A2240="","",IF(원본명단!$H2239="",0,COUNTIF(원본명단!$H$3:$H$6002,원본명단!$H2239)))</f>
        <v/>
      </c>
      <c r="F2240" s="11" t="str">
        <f aca="false">IF($A2240="","",IF(원본명단!$I2239="",0,COUNTIF(원본명단!$I$3:$I$6002,원본명단!$I2239)))</f>
        <v/>
      </c>
      <c r="G2240" s="11" t="str">
        <f aca="false">IF($A2240="","",IF(원본명단!$K2239="",0,COUNTIF(원본명단!$K$3:$K$6002,원본명단!$K2239)))</f>
        <v/>
      </c>
      <c r="H2240" s="11" t="str">
        <f aca="false">IF($A2240="","",IF(MAX($E2240,$F2240,$G2240)&gt;1,"중복","-"))</f>
        <v/>
      </c>
      <c r="I2240" s="11" t="str">
        <f aca="false">IF($A2240="","",IF($H2240="-","-",IF(AND(IF(원본명단!$H2239="",TRUE(),COUNTIF(원본명단!$H$3:$H2239,원본명단!$H2239)=1),IF(원본명단!$I2239="",TRUE(),COUNTIF(원본명단!$I$3:$I2239,원본명단!$I2239)=1),IF(원본명단!$K2239="",TRUE(),COUNTIF(원본명단!$K$3:$K2239,원본명단!$K2239)=1)),"첫 건","중복 건")))</f>
        <v/>
      </c>
      <c r="J2240" s="11" t="str">
        <f aca="false">IF($A2240="","",IF($H2240="-","유지",IF($I2240="첫 건","유지","확인 필요")))</f>
        <v/>
      </c>
    </row>
    <row r="2241" customFormat="false" ht="15" hidden="false" customHeight="true" outlineLevel="0" collapsed="false">
      <c r="A2241" s="11" t="str">
        <f aca="false">IF(원본명단!$A2240="","",2238)</f>
        <v/>
      </c>
      <c r="B2241" s="12" t="str">
        <f aca="false">IF($A2241="","",원본명단!$A2240)</f>
        <v/>
      </c>
      <c r="C2241" s="12" t="str">
        <f aca="false">IF($A2241="","",원본명단!$B2240)</f>
        <v/>
      </c>
      <c r="D2241" s="12" t="str">
        <f aca="false">IF($A2241="","",원본명단!$D2240)</f>
        <v/>
      </c>
      <c r="E2241" s="11" t="str">
        <f aca="false">IF($A2241="","",IF(원본명단!$H2240="",0,COUNTIF(원본명단!$H$3:$H$6002,원본명단!$H2240)))</f>
        <v/>
      </c>
      <c r="F2241" s="11" t="str">
        <f aca="false">IF($A2241="","",IF(원본명단!$I2240="",0,COUNTIF(원본명단!$I$3:$I$6002,원본명단!$I2240)))</f>
        <v/>
      </c>
      <c r="G2241" s="11" t="str">
        <f aca="false">IF($A2241="","",IF(원본명단!$K2240="",0,COUNTIF(원본명단!$K$3:$K$6002,원본명단!$K2240)))</f>
        <v/>
      </c>
      <c r="H2241" s="11" t="str">
        <f aca="false">IF($A2241="","",IF(MAX($E2241,$F2241,$G2241)&gt;1,"중복","-"))</f>
        <v/>
      </c>
      <c r="I2241" s="11" t="str">
        <f aca="false">IF($A2241="","",IF($H2241="-","-",IF(AND(IF(원본명단!$H2240="",TRUE(),COUNTIF(원본명단!$H$3:$H2240,원본명단!$H2240)=1),IF(원본명단!$I2240="",TRUE(),COUNTIF(원본명단!$I$3:$I2240,원본명단!$I2240)=1),IF(원본명단!$K2240="",TRUE(),COUNTIF(원본명단!$K$3:$K2240,원본명단!$K2240)=1)),"첫 건","중복 건")))</f>
        <v/>
      </c>
      <c r="J2241" s="11" t="str">
        <f aca="false">IF($A2241="","",IF($H2241="-","유지",IF($I2241="첫 건","유지","확인 필요")))</f>
        <v/>
      </c>
    </row>
    <row r="2242" customFormat="false" ht="15" hidden="false" customHeight="true" outlineLevel="0" collapsed="false">
      <c r="A2242" s="11" t="str">
        <f aca="false">IF(원본명단!$A2241="","",2239)</f>
        <v/>
      </c>
      <c r="B2242" s="12" t="str">
        <f aca="false">IF($A2242="","",원본명단!$A2241)</f>
        <v/>
      </c>
      <c r="C2242" s="12" t="str">
        <f aca="false">IF($A2242="","",원본명단!$B2241)</f>
        <v/>
      </c>
      <c r="D2242" s="12" t="str">
        <f aca="false">IF($A2242="","",원본명단!$D2241)</f>
        <v/>
      </c>
      <c r="E2242" s="11" t="str">
        <f aca="false">IF($A2242="","",IF(원본명단!$H2241="",0,COUNTIF(원본명단!$H$3:$H$6002,원본명단!$H2241)))</f>
        <v/>
      </c>
      <c r="F2242" s="11" t="str">
        <f aca="false">IF($A2242="","",IF(원본명단!$I2241="",0,COUNTIF(원본명단!$I$3:$I$6002,원본명단!$I2241)))</f>
        <v/>
      </c>
      <c r="G2242" s="11" t="str">
        <f aca="false">IF($A2242="","",IF(원본명단!$K2241="",0,COUNTIF(원본명단!$K$3:$K$6002,원본명단!$K2241)))</f>
        <v/>
      </c>
      <c r="H2242" s="11" t="str">
        <f aca="false">IF($A2242="","",IF(MAX($E2242,$F2242,$G2242)&gt;1,"중복","-"))</f>
        <v/>
      </c>
      <c r="I2242" s="11" t="str">
        <f aca="false">IF($A2242="","",IF($H2242="-","-",IF(AND(IF(원본명단!$H2241="",TRUE(),COUNTIF(원본명단!$H$3:$H2241,원본명단!$H2241)=1),IF(원본명단!$I2241="",TRUE(),COUNTIF(원본명단!$I$3:$I2241,원본명단!$I2241)=1),IF(원본명단!$K2241="",TRUE(),COUNTIF(원본명단!$K$3:$K2241,원본명단!$K2241)=1)),"첫 건","중복 건")))</f>
        <v/>
      </c>
      <c r="J2242" s="11" t="str">
        <f aca="false">IF($A2242="","",IF($H2242="-","유지",IF($I2242="첫 건","유지","확인 필요")))</f>
        <v/>
      </c>
    </row>
    <row r="2243" customFormat="false" ht="15" hidden="false" customHeight="true" outlineLevel="0" collapsed="false">
      <c r="A2243" s="11" t="str">
        <f aca="false">IF(원본명단!$A2242="","",2240)</f>
        <v/>
      </c>
      <c r="B2243" s="12" t="str">
        <f aca="false">IF($A2243="","",원본명단!$A2242)</f>
        <v/>
      </c>
      <c r="C2243" s="12" t="str">
        <f aca="false">IF($A2243="","",원본명단!$B2242)</f>
        <v/>
      </c>
      <c r="D2243" s="12" t="str">
        <f aca="false">IF($A2243="","",원본명단!$D2242)</f>
        <v/>
      </c>
      <c r="E2243" s="11" t="str">
        <f aca="false">IF($A2243="","",IF(원본명단!$H2242="",0,COUNTIF(원본명단!$H$3:$H$6002,원본명단!$H2242)))</f>
        <v/>
      </c>
      <c r="F2243" s="11" t="str">
        <f aca="false">IF($A2243="","",IF(원본명단!$I2242="",0,COUNTIF(원본명단!$I$3:$I$6002,원본명단!$I2242)))</f>
        <v/>
      </c>
      <c r="G2243" s="11" t="str">
        <f aca="false">IF($A2243="","",IF(원본명단!$K2242="",0,COUNTIF(원본명단!$K$3:$K$6002,원본명단!$K2242)))</f>
        <v/>
      </c>
      <c r="H2243" s="11" t="str">
        <f aca="false">IF($A2243="","",IF(MAX($E2243,$F2243,$G2243)&gt;1,"중복","-"))</f>
        <v/>
      </c>
      <c r="I2243" s="11" t="str">
        <f aca="false">IF($A2243="","",IF($H2243="-","-",IF(AND(IF(원본명단!$H2242="",TRUE(),COUNTIF(원본명단!$H$3:$H2242,원본명단!$H2242)=1),IF(원본명단!$I2242="",TRUE(),COUNTIF(원본명단!$I$3:$I2242,원본명단!$I2242)=1),IF(원본명단!$K2242="",TRUE(),COUNTIF(원본명단!$K$3:$K2242,원본명단!$K2242)=1)),"첫 건","중복 건")))</f>
        <v/>
      </c>
      <c r="J2243" s="11" t="str">
        <f aca="false">IF($A2243="","",IF($H2243="-","유지",IF($I2243="첫 건","유지","확인 필요")))</f>
        <v/>
      </c>
    </row>
    <row r="2244" customFormat="false" ht="15" hidden="false" customHeight="true" outlineLevel="0" collapsed="false">
      <c r="A2244" s="11" t="str">
        <f aca="false">IF(원본명단!$A2243="","",2241)</f>
        <v/>
      </c>
      <c r="B2244" s="12" t="str">
        <f aca="false">IF($A2244="","",원본명단!$A2243)</f>
        <v/>
      </c>
      <c r="C2244" s="12" t="str">
        <f aca="false">IF($A2244="","",원본명단!$B2243)</f>
        <v/>
      </c>
      <c r="D2244" s="12" t="str">
        <f aca="false">IF($A2244="","",원본명단!$D2243)</f>
        <v/>
      </c>
      <c r="E2244" s="11" t="str">
        <f aca="false">IF($A2244="","",IF(원본명단!$H2243="",0,COUNTIF(원본명단!$H$3:$H$6002,원본명단!$H2243)))</f>
        <v/>
      </c>
      <c r="F2244" s="11" t="str">
        <f aca="false">IF($A2244="","",IF(원본명단!$I2243="",0,COUNTIF(원본명단!$I$3:$I$6002,원본명단!$I2243)))</f>
        <v/>
      </c>
      <c r="G2244" s="11" t="str">
        <f aca="false">IF($A2244="","",IF(원본명단!$K2243="",0,COUNTIF(원본명단!$K$3:$K$6002,원본명단!$K2243)))</f>
        <v/>
      </c>
      <c r="H2244" s="11" t="str">
        <f aca="false">IF($A2244="","",IF(MAX($E2244,$F2244,$G2244)&gt;1,"중복","-"))</f>
        <v/>
      </c>
      <c r="I2244" s="11" t="str">
        <f aca="false">IF($A2244="","",IF($H2244="-","-",IF(AND(IF(원본명단!$H2243="",TRUE(),COUNTIF(원본명단!$H$3:$H2243,원본명단!$H2243)=1),IF(원본명단!$I2243="",TRUE(),COUNTIF(원본명단!$I$3:$I2243,원본명단!$I2243)=1),IF(원본명단!$K2243="",TRUE(),COUNTIF(원본명단!$K$3:$K2243,원본명단!$K2243)=1)),"첫 건","중복 건")))</f>
        <v/>
      </c>
      <c r="J2244" s="11" t="str">
        <f aca="false">IF($A2244="","",IF($H2244="-","유지",IF($I2244="첫 건","유지","확인 필요")))</f>
        <v/>
      </c>
    </row>
    <row r="2245" customFormat="false" ht="15" hidden="false" customHeight="true" outlineLevel="0" collapsed="false">
      <c r="A2245" s="11" t="str">
        <f aca="false">IF(원본명단!$A2244="","",2242)</f>
        <v/>
      </c>
      <c r="B2245" s="12" t="str">
        <f aca="false">IF($A2245="","",원본명단!$A2244)</f>
        <v/>
      </c>
      <c r="C2245" s="12" t="str">
        <f aca="false">IF($A2245="","",원본명단!$B2244)</f>
        <v/>
      </c>
      <c r="D2245" s="12" t="str">
        <f aca="false">IF($A2245="","",원본명단!$D2244)</f>
        <v/>
      </c>
      <c r="E2245" s="11" t="str">
        <f aca="false">IF($A2245="","",IF(원본명단!$H2244="",0,COUNTIF(원본명단!$H$3:$H$6002,원본명단!$H2244)))</f>
        <v/>
      </c>
      <c r="F2245" s="11" t="str">
        <f aca="false">IF($A2245="","",IF(원본명단!$I2244="",0,COUNTIF(원본명단!$I$3:$I$6002,원본명단!$I2244)))</f>
        <v/>
      </c>
      <c r="G2245" s="11" t="str">
        <f aca="false">IF($A2245="","",IF(원본명단!$K2244="",0,COUNTIF(원본명단!$K$3:$K$6002,원본명단!$K2244)))</f>
        <v/>
      </c>
      <c r="H2245" s="11" t="str">
        <f aca="false">IF($A2245="","",IF(MAX($E2245,$F2245,$G2245)&gt;1,"중복","-"))</f>
        <v/>
      </c>
      <c r="I2245" s="11" t="str">
        <f aca="false">IF($A2245="","",IF($H2245="-","-",IF(AND(IF(원본명단!$H2244="",TRUE(),COUNTIF(원본명단!$H$3:$H2244,원본명단!$H2244)=1),IF(원본명단!$I2244="",TRUE(),COUNTIF(원본명단!$I$3:$I2244,원본명단!$I2244)=1),IF(원본명단!$K2244="",TRUE(),COUNTIF(원본명단!$K$3:$K2244,원본명단!$K2244)=1)),"첫 건","중복 건")))</f>
        <v/>
      </c>
      <c r="J2245" s="11" t="str">
        <f aca="false">IF($A2245="","",IF($H2245="-","유지",IF($I2245="첫 건","유지","확인 필요")))</f>
        <v/>
      </c>
    </row>
    <row r="2246" customFormat="false" ht="15" hidden="false" customHeight="true" outlineLevel="0" collapsed="false">
      <c r="A2246" s="11" t="str">
        <f aca="false">IF(원본명단!$A2245="","",2243)</f>
        <v/>
      </c>
      <c r="B2246" s="12" t="str">
        <f aca="false">IF($A2246="","",원본명단!$A2245)</f>
        <v/>
      </c>
      <c r="C2246" s="12" t="str">
        <f aca="false">IF($A2246="","",원본명단!$B2245)</f>
        <v/>
      </c>
      <c r="D2246" s="12" t="str">
        <f aca="false">IF($A2246="","",원본명단!$D2245)</f>
        <v/>
      </c>
      <c r="E2246" s="11" t="str">
        <f aca="false">IF($A2246="","",IF(원본명단!$H2245="",0,COUNTIF(원본명단!$H$3:$H$6002,원본명단!$H2245)))</f>
        <v/>
      </c>
      <c r="F2246" s="11" t="str">
        <f aca="false">IF($A2246="","",IF(원본명단!$I2245="",0,COUNTIF(원본명단!$I$3:$I$6002,원본명단!$I2245)))</f>
        <v/>
      </c>
      <c r="G2246" s="11" t="str">
        <f aca="false">IF($A2246="","",IF(원본명단!$K2245="",0,COUNTIF(원본명단!$K$3:$K$6002,원본명단!$K2245)))</f>
        <v/>
      </c>
      <c r="H2246" s="11" t="str">
        <f aca="false">IF($A2246="","",IF(MAX($E2246,$F2246,$G2246)&gt;1,"중복","-"))</f>
        <v/>
      </c>
      <c r="I2246" s="11" t="str">
        <f aca="false">IF($A2246="","",IF($H2246="-","-",IF(AND(IF(원본명단!$H2245="",TRUE(),COUNTIF(원본명단!$H$3:$H2245,원본명단!$H2245)=1),IF(원본명단!$I2245="",TRUE(),COUNTIF(원본명단!$I$3:$I2245,원본명단!$I2245)=1),IF(원본명단!$K2245="",TRUE(),COUNTIF(원본명단!$K$3:$K2245,원본명단!$K2245)=1)),"첫 건","중복 건")))</f>
        <v/>
      </c>
      <c r="J2246" s="11" t="str">
        <f aca="false">IF($A2246="","",IF($H2246="-","유지",IF($I2246="첫 건","유지","확인 필요")))</f>
        <v/>
      </c>
    </row>
    <row r="2247" customFormat="false" ht="15" hidden="false" customHeight="true" outlineLevel="0" collapsed="false">
      <c r="A2247" s="11" t="str">
        <f aca="false">IF(원본명단!$A2246="","",2244)</f>
        <v/>
      </c>
      <c r="B2247" s="12" t="str">
        <f aca="false">IF($A2247="","",원본명단!$A2246)</f>
        <v/>
      </c>
      <c r="C2247" s="12" t="str">
        <f aca="false">IF($A2247="","",원본명단!$B2246)</f>
        <v/>
      </c>
      <c r="D2247" s="12" t="str">
        <f aca="false">IF($A2247="","",원본명단!$D2246)</f>
        <v/>
      </c>
      <c r="E2247" s="11" t="str">
        <f aca="false">IF($A2247="","",IF(원본명단!$H2246="",0,COUNTIF(원본명단!$H$3:$H$6002,원본명단!$H2246)))</f>
        <v/>
      </c>
      <c r="F2247" s="11" t="str">
        <f aca="false">IF($A2247="","",IF(원본명단!$I2246="",0,COUNTIF(원본명단!$I$3:$I$6002,원본명단!$I2246)))</f>
        <v/>
      </c>
      <c r="G2247" s="11" t="str">
        <f aca="false">IF($A2247="","",IF(원본명단!$K2246="",0,COUNTIF(원본명단!$K$3:$K$6002,원본명단!$K2246)))</f>
        <v/>
      </c>
      <c r="H2247" s="11" t="str">
        <f aca="false">IF($A2247="","",IF(MAX($E2247,$F2247,$G2247)&gt;1,"중복","-"))</f>
        <v/>
      </c>
      <c r="I2247" s="11" t="str">
        <f aca="false">IF($A2247="","",IF($H2247="-","-",IF(AND(IF(원본명단!$H2246="",TRUE(),COUNTIF(원본명단!$H$3:$H2246,원본명단!$H2246)=1),IF(원본명단!$I2246="",TRUE(),COUNTIF(원본명단!$I$3:$I2246,원본명단!$I2246)=1),IF(원본명단!$K2246="",TRUE(),COUNTIF(원본명단!$K$3:$K2246,원본명단!$K2246)=1)),"첫 건","중복 건")))</f>
        <v/>
      </c>
      <c r="J2247" s="11" t="str">
        <f aca="false">IF($A2247="","",IF($H2247="-","유지",IF($I2247="첫 건","유지","확인 필요")))</f>
        <v/>
      </c>
    </row>
    <row r="2248" customFormat="false" ht="15" hidden="false" customHeight="true" outlineLevel="0" collapsed="false">
      <c r="A2248" s="11" t="str">
        <f aca="false">IF(원본명단!$A2247="","",2245)</f>
        <v/>
      </c>
      <c r="B2248" s="12" t="str">
        <f aca="false">IF($A2248="","",원본명단!$A2247)</f>
        <v/>
      </c>
      <c r="C2248" s="12" t="str">
        <f aca="false">IF($A2248="","",원본명단!$B2247)</f>
        <v/>
      </c>
      <c r="D2248" s="12" t="str">
        <f aca="false">IF($A2248="","",원본명단!$D2247)</f>
        <v/>
      </c>
      <c r="E2248" s="11" t="str">
        <f aca="false">IF($A2248="","",IF(원본명단!$H2247="",0,COUNTIF(원본명단!$H$3:$H$6002,원본명단!$H2247)))</f>
        <v/>
      </c>
      <c r="F2248" s="11" t="str">
        <f aca="false">IF($A2248="","",IF(원본명단!$I2247="",0,COUNTIF(원본명단!$I$3:$I$6002,원본명단!$I2247)))</f>
        <v/>
      </c>
      <c r="G2248" s="11" t="str">
        <f aca="false">IF($A2248="","",IF(원본명단!$K2247="",0,COUNTIF(원본명단!$K$3:$K$6002,원본명단!$K2247)))</f>
        <v/>
      </c>
      <c r="H2248" s="11" t="str">
        <f aca="false">IF($A2248="","",IF(MAX($E2248,$F2248,$G2248)&gt;1,"중복","-"))</f>
        <v/>
      </c>
      <c r="I2248" s="11" t="str">
        <f aca="false">IF($A2248="","",IF($H2248="-","-",IF(AND(IF(원본명단!$H2247="",TRUE(),COUNTIF(원본명단!$H$3:$H2247,원본명단!$H2247)=1),IF(원본명단!$I2247="",TRUE(),COUNTIF(원본명단!$I$3:$I2247,원본명단!$I2247)=1),IF(원본명단!$K2247="",TRUE(),COUNTIF(원본명단!$K$3:$K2247,원본명단!$K2247)=1)),"첫 건","중복 건")))</f>
        <v/>
      </c>
      <c r="J2248" s="11" t="str">
        <f aca="false">IF($A2248="","",IF($H2248="-","유지",IF($I2248="첫 건","유지","확인 필요")))</f>
        <v/>
      </c>
    </row>
    <row r="2249" customFormat="false" ht="15" hidden="false" customHeight="true" outlineLevel="0" collapsed="false">
      <c r="A2249" s="11" t="str">
        <f aca="false">IF(원본명단!$A2248="","",2246)</f>
        <v/>
      </c>
      <c r="B2249" s="12" t="str">
        <f aca="false">IF($A2249="","",원본명단!$A2248)</f>
        <v/>
      </c>
      <c r="C2249" s="12" t="str">
        <f aca="false">IF($A2249="","",원본명단!$B2248)</f>
        <v/>
      </c>
      <c r="D2249" s="12" t="str">
        <f aca="false">IF($A2249="","",원본명단!$D2248)</f>
        <v/>
      </c>
      <c r="E2249" s="11" t="str">
        <f aca="false">IF($A2249="","",IF(원본명단!$H2248="",0,COUNTIF(원본명단!$H$3:$H$6002,원본명단!$H2248)))</f>
        <v/>
      </c>
      <c r="F2249" s="11" t="str">
        <f aca="false">IF($A2249="","",IF(원본명단!$I2248="",0,COUNTIF(원본명단!$I$3:$I$6002,원본명단!$I2248)))</f>
        <v/>
      </c>
      <c r="G2249" s="11" t="str">
        <f aca="false">IF($A2249="","",IF(원본명단!$K2248="",0,COUNTIF(원본명단!$K$3:$K$6002,원본명단!$K2248)))</f>
        <v/>
      </c>
      <c r="H2249" s="11" t="str">
        <f aca="false">IF($A2249="","",IF(MAX($E2249,$F2249,$G2249)&gt;1,"중복","-"))</f>
        <v/>
      </c>
      <c r="I2249" s="11" t="str">
        <f aca="false">IF($A2249="","",IF($H2249="-","-",IF(AND(IF(원본명단!$H2248="",TRUE(),COUNTIF(원본명단!$H$3:$H2248,원본명단!$H2248)=1),IF(원본명단!$I2248="",TRUE(),COUNTIF(원본명단!$I$3:$I2248,원본명단!$I2248)=1),IF(원본명단!$K2248="",TRUE(),COUNTIF(원본명단!$K$3:$K2248,원본명단!$K2248)=1)),"첫 건","중복 건")))</f>
        <v/>
      </c>
      <c r="J2249" s="11" t="str">
        <f aca="false">IF($A2249="","",IF($H2249="-","유지",IF($I2249="첫 건","유지","확인 필요")))</f>
        <v/>
      </c>
    </row>
    <row r="2250" customFormat="false" ht="15" hidden="false" customHeight="true" outlineLevel="0" collapsed="false">
      <c r="A2250" s="11" t="str">
        <f aca="false">IF(원본명단!$A2249="","",2247)</f>
        <v/>
      </c>
      <c r="B2250" s="12" t="str">
        <f aca="false">IF($A2250="","",원본명단!$A2249)</f>
        <v/>
      </c>
      <c r="C2250" s="12" t="str">
        <f aca="false">IF($A2250="","",원본명단!$B2249)</f>
        <v/>
      </c>
      <c r="D2250" s="12" t="str">
        <f aca="false">IF($A2250="","",원본명단!$D2249)</f>
        <v/>
      </c>
      <c r="E2250" s="11" t="str">
        <f aca="false">IF($A2250="","",IF(원본명단!$H2249="",0,COUNTIF(원본명단!$H$3:$H$6002,원본명단!$H2249)))</f>
        <v/>
      </c>
      <c r="F2250" s="11" t="str">
        <f aca="false">IF($A2250="","",IF(원본명단!$I2249="",0,COUNTIF(원본명단!$I$3:$I$6002,원본명단!$I2249)))</f>
        <v/>
      </c>
      <c r="G2250" s="11" t="str">
        <f aca="false">IF($A2250="","",IF(원본명단!$K2249="",0,COUNTIF(원본명단!$K$3:$K$6002,원본명단!$K2249)))</f>
        <v/>
      </c>
      <c r="H2250" s="11" t="str">
        <f aca="false">IF($A2250="","",IF(MAX($E2250,$F2250,$G2250)&gt;1,"중복","-"))</f>
        <v/>
      </c>
      <c r="I2250" s="11" t="str">
        <f aca="false">IF($A2250="","",IF($H2250="-","-",IF(AND(IF(원본명단!$H2249="",TRUE(),COUNTIF(원본명단!$H$3:$H2249,원본명단!$H2249)=1),IF(원본명단!$I2249="",TRUE(),COUNTIF(원본명단!$I$3:$I2249,원본명단!$I2249)=1),IF(원본명단!$K2249="",TRUE(),COUNTIF(원본명단!$K$3:$K2249,원본명단!$K2249)=1)),"첫 건","중복 건")))</f>
        <v/>
      </c>
      <c r="J2250" s="11" t="str">
        <f aca="false">IF($A2250="","",IF($H2250="-","유지",IF($I2250="첫 건","유지","확인 필요")))</f>
        <v/>
      </c>
    </row>
    <row r="2251" customFormat="false" ht="15" hidden="false" customHeight="true" outlineLevel="0" collapsed="false">
      <c r="A2251" s="11" t="str">
        <f aca="false">IF(원본명단!$A2250="","",2248)</f>
        <v/>
      </c>
      <c r="B2251" s="12" t="str">
        <f aca="false">IF($A2251="","",원본명단!$A2250)</f>
        <v/>
      </c>
      <c r="C2251" s="12" t="str">
        <f aca="false">IF($A2251="","",원본명단!$B2250)</f>
        <v/>
      </c>
      <c r="D2251" s="12" t="str">
        <f aca="false">IF($A2251="","",원본명단!$D2250)</f>
        <v/>
      </c>
      <c r="E2251" s="11" t="str">
        <f aca="false">IF($A2251="","",IF(원본명단!$H2250="",0,COUNTIF(원본명단!$H$3:$H$6002,원본명단!$H2250)))</f>
        <v/>
      </c>
      <c r="F2251" s="11" t="str">
        <f aca="false">IF($A2251="","",IF(원본명단!$I2250="",0,COUNTIF(원본명단!$I$3:$I$6002,원본명단!$I2250)))</f>
        <v/>
      </c>
      <c r="G2251" s="11" t="str">
        <f aca="false">IF($A2251="","",IF(원본명단!$K2250="",0,COUNTIF(원본명단!$K$3:$K$6002,원본명단!$K2250)))</f>
        <v/>
      </c>
      <c r="H2251" s="11" t="str">
        <f aca="false">IF($A2251="","",IF(MAX($E2251,$F2251,$G2251)&gt;1,"중복","-"))</f>
        <v/>
      </c>
      <c r="I2251" s="11" t="str">
        <f aca="false">IF($A2251="","",IF($H2251="-","-",IF(AND(IF(원본명단!$H2250="",TRUE(),COUNTIF(원본명단!$H$3:$H2250,원본명단!$H2250)=1),IF(원본명단!$I2250="",TRUE(),COUNTIF(원본명단!$I$3:$I2250,원본명단!$I2250)=1),IF(원본명단!$K2250="",TRUE(),COUNTIF(원본명단!$K$3:$K2250,원본명단!$K2250)=1)),"첫 건","중복 건")))</f>
        <v/>
      </c>
      <c r="J2251" s="11" t="str">
        <f aca="false">IF($A2251="","",IF($H2251="-","유지",IF($I2251="첫 건","유지","확인 필요")))</f>
        <v/>
      </c>
    </row>
    <row r="2252" customFormat="false" ht="15" hidden="false" customHeight="true" outlineLevel="0" collapsed="false">
      <c r="A2252" s="11" t="str">
        <f aca="false">IF(원본명단!$A2251="","",2249)</f>
        <v/>
      </c>
      <c r="B2252" s="12" t="str">
        <f aca="false">IF($A2252="","",원본명단!$A2251)</f>
        <v/>
      </c>
      <c r="C2252" s="12" t="str">
        <f aca="false">IF($A2252="","",원본명단!$B2251)</f>
        <v/>
      </c>
      <c r="D2252" s="12" t="str">
        <f aca="false">IF($A2252="","",원본명단!$D2251)</f>
        <v/>
      </c>
      <c r="E2252" s="11" t="str">
        <f aca="false">IF($A2252="","",IF(원본명단!$H2251="",0,COUNTIF(원본명단!$H$3:$H$6002,원본명단!$H2251)))</f>
        <v/>
      </c>
      <c r="F2252" s="11" t="str">
        <f aca="false">IF($A2252="","",IF(원본명단!$I2251="",0,COUNTIF(원본명단!$I$3:$I$6002,원본명단!$I2251)))</f>
        <v/>
      </c>
      <c r="G2252" s="11" t="str">
        <f aca="false">IF($A2252="","",IF(원본명단!$K2251="",0,COUNTIF(원본명단!$K$3:$K$6002,원본명단!$K2251)))</f>
        <v/>
      </c>
      <c r="H2252" s="11" t="str">
        <f aca="false">IF($A2252="","",IF(MAX($E2252,$F2252,$G2252)&gt;1,"중복","-"))</f>
        <v/>
      </c>
      <c r="I2252" s="11" t="str">
        <f aca="false">IF($A2252="","",IF($H2252="-","-",IF(AND(IF(원본명단!$H2251="",TRUE(),COUNTIF(원본명단!$H$3:$H2251,원본명단!$H2251)=1),IF(원본명단!$I2251="",TRUE(),COUNTIF(원본명단!$I$3:$I2251,원본명단!$I2251)=1),IF(원본명단!$K2251="",TRUE(),COUNTIF(원본명단!$K$3:$K2251,원본명단!$K2251)=1)),"첫 건","중복 건")))</f>
        <v/>
      </c>
      <c r="J2252" s="11" t="str">
        <f aca="false">IF($A2252="","",IF($H2252="-","유지",IF($I2252="첫 건","유지","확인 필요")))</f>
        <v/>
      </c>
    </row>
    <row r="2253" customFormat="false" ht="15" hidden="false" customHeight="true" outlineLevel="0" collapsed="false">
      <c r="A2253" s="11" t="str">
        <f aca="false">IF(원본명단!$A2252="","",2250)</f>
        <v/>
      </c>
      <c r="B2253" s="12" t="str">
        <f aca="false">IF($A2253="","",원본명단!$A2252)</f>
        <v/>
      </c>
      <c r="C2253" s="12" t="str">
        <f aca="false">IF($A2253="","",원본명단!$B2252)</f>
        <v/>
      </c>
      <c r="D2253" s="12" t="str">
        <f aca="false">IF($A2253="","",원본명단!$D2252)</f>
        <v/>
      </c>
      <c r="E2253" s="11" t="str">
        <f aca="false">IF($A2253="","",IF(원본명단!$H2252="",0,COUNTIF(원본명단!$H$3:$H$6002,원본명단!$H2252)))</f>
        <v/>
      </c>
      <c r="F2253" s="11" t="str">
        <f aca="false">IF($A2253="","",IF(원본명단!$I2252="",0,COUNTIF(원본명단!$I$3:$I$6002,원본명단!$I2252)))</f>
        <v/>
      </c>
      <c r="G2253" s="11" t="str">
        <f aca="false">IF($A2253="","",IF(원본명단!$K2252="",0,COUNTIF(원본명단!$K$3:$K$6002,원본명단!$K2252)))</f>
        <v/>
      </c>
      <c r="H2253" s="11" t="str">
        <f aca="false">IF($A2253="","",IF(MAX($E2253,$F2253,$G2253)&gt;1,"중복","-"))</f>
        <v/>
      </c>
      <c r="I2253" s="11" t="str">
        <f aca="false">IF($A2253="","",IF($H2253="-","-",IF(AND(IF(원본명단!$H2252="",TRUE(),COUNTIF(원본명단!$H$3:$H2252,원본명단!$H2252)=1),IF(원본명단!$I2252="",TRUE(),COUNTIF(원본명단!$I$3:$I2252,원본명단!$I2252)=1),IF(원본명단!$K2252="",TRUE(),COUNTIF(원본명단!$K$3:$K2252,원본명단!$K2252)=1)),"첫 건","중복 건")))</f>
        <v/>
      </c>
      <c r="J2253" s="11" t="str">
        <f aca="false">IF($A2253="","",IF($H2253="-","유지",IF($I2253="첫 건","유지","확인 필요")))</f>
        <v/>
      </c>
    </row>
    <row r="2254" customFormat="false" ht="15" hidden="false" customHeight="true" outlineLevel="0" collapsed="false">
      <c r="A2254" s="11" t="str">
        <f aca="false">IF(원본명단!$A2253="","",2251)</f>
        <v/>
      </c>
      <c r="B2254" s="12" t="str">
        <f aca="false">IF($A2254="","",원본명단!$A2253)</f>
        <v/>
      </c>
      <c r="C2254" s="12" t="str">
        <f aca="false">IF($A2254="","",원본명단!$B2253)</f>
        <v/>
      </c>
      <c r="D2254" s="12" t="str">
        <f aca="false">IF($A2254="","",원본명단!$D2253)</f>
        <v/>
      </c>
      <c r="E2254" s="11" t="str">
        <f aca="false">IF($A2254="","",IF(원본명단!$H2253="",0,COUNTIF(원본명단!$H$3:$H$6002,원본명단!$H2253)))</f>
        <v/>
      </c>
      <c r="F2254" s="11" t="str">
        <f aca="false">IF($A2254="","",IF(원본명단!$I2253="",0,COUNTIF(원본명단!$I$3:$I$6002,원본명단!$I2253)))</f>
        <v/>
      </c>
      <c r="G2254" s="11" t="str">
        <f aca="false">IF($A2254="","",IF(원본명단!$K2253="",0,COUNTIF(원본명단!$K$3:$K$6002,원본명단!$K2253)))</f>
        <v/>
      </c>
      <c r="H2254" s="11" t="str">
        <f aca="false">IF($A2254="","",IF(MAX($E2254,$F2254,$G2254)&gt;1,"중복","-"))</f>
        <v/>
      </c>
      <c r="I2254" s="11" t="str">
        <f aca="false">IF($A2254="","",IF($H2254="-","-",IF(AND(IF(원본명단!$H2253="",TRUE(),COUNTIF(원본명단!$H$3:$H2253,원본명단!$H2253)=1),IF(원본명단!$I2253="",TRUE(),COUNTIF(원본명단!$I$3:$I2253,원본명단!$I2253)=1),IF(원본명단!$K2253="",TRUE(),COUNTIF(원본명단!$K$3:$K2253,원본명단!$K2253)=1)),"첫 건","중복 건")))</f>
        <v/>
      </c>
      <c r="J2254" s="11" t="str">
        <f aca="false">IF($A2254="","",IF($H2254="-","유지",IF($I2254="첫 건","유지","확인 필요")))</f>
        <v/>
      </c>
    </row>
    <row r="2255" customFormat="false" ht="15" hidden="false" customHeight="true" outlineLevel="0" collapsed="false">
      <c r="A2255" s="11" t="str">
        <f aca="false">IF(원본명단!$A2254="","",2252)</f>
        <v/>
      </c>
      <c r="B2255" s="12" t="str">
        <f aca="false">IF($A2255="","",원본명단!$A2254)</f>
        <v/>
      </c>
      <c r="C2255" s="12" t="str">
        <f aca="false">IF($A2255="","",원본명단!$B2254)</f>
        <v/>
      </c>
      <c r="D2255" s="12" t="str">
        <f aca="false">IF($A2255="","",원본명단!$D2254)</f>
        <v/>
      </c>
      <c r="E2255" s="11" t="str">
        <f aca="false">IF($A2255="","",IF(원본명단!$H2254="",0,COUNTIF(원본명단!$H$3:$H$6002,원본명단!$H2254)))</f>
        <v/>
      </c>
      <c r="F2255" s="11" t="str">
        <f aca="false">IF($A2255="","",IF(원본명단!$I2254="",0,COUNTIF(원본명단!$I$3:$I$6002,원본명단!$I2254)))</f>
        <v/>
      </c>
      <c r="G2255" s="11" t="str">
        <f aca="false">IF($A2255="","",IF(원본명단!$K2254="",0,COUNTIF(원본명단!$K$3:$K$6002,원본명단!$K2254)))</f>
        <v/>
      </c>
      <c r="H2255" s="11" t="str">
        <f aca="false">IF($A2255="","",IF(MAX($E2255,$F2255,$G2255)&gt;1,"중복","-"))</f>
        <v/>
      </c>
      <c r="I2255" s="11" t="str">
        <f aca="false">IF($A2255="","",IF($H2255="-","-",IF(AND(IF(원본명단!$H2254="",TRUE(),COUNTIF(원본명단!$H$3:$H2254,원본명단!$H2254)=1),IF(원본명단!$I2254="",TRUE(),COUNTIF(원본명단!$I$3:$I2254,원본명단!$I2254)=1),IF(원본명단!$K2254="",TRUE(),COUNTIF(원본명단!$K$3:$K2254,원본명단!$K2254)=1)),"첫 건","중복 건")))</f>
        <v/>
      </c>
      <c r="J2255" s="11" t="str">
        <f aca="false">IF($A2255="","",IF($H2255="-","유지",IF($I2255="첫 건","유지","확인 필요")))</f>
        <v/>
      </c>
    </row>
    <row r="2256" customFormat="false" ht="15" hidden="false" customHeight="true" outlineLevel="0" collapsed="false">
      <c r="A2256" s="11" t="str">
        <f aca="false">IF(원본명단!$A2255="","",2253)</f>
        <v/>
      </c>
      <c r="B2256" s="12" t="str">
        <f aca="false">IF($A2256="","",원본명단!$A2255)</f>
        <v/>
      </c>
      <c r="C2256" s="12" t="str">
        <f aca="false">IF($A2256="","",원본명단!$B2255)</f>
        <v/>
      </c>
      <c r="D2256" s="12" t="str">
        <f aca="false">IF($A2256="","",원본명단!$D2255)</f>
        <v/>
      </c>
      <c r="E2256" s="11" t="str">
        <f aca="false">IF($A2256="","",IF(원본명단!$H2255="",0,COUNTIF(원본명단!$H$3:$H$6002,원본명단!$H2255)))</f>
        <v/>
      </c>
      <c r="F2256" s="11" t="str">
        <f aca="false">IF($A2256="","",IF(원본명단!$I2255="",0,COUNTIF(원본명단!$I$3:$I$6002,원본명단!$I2255)))</f>
        <v/>
      </c>
      <c r="G2256" s="11" t="str">
        <f aca="false">IF($A2256="","",IF(원본명단!$K2255="",0,COUNTIF(원본명단!$K$3:$K$6002,원본명단!$K2255)))</f>
        <v/>
      </c>
      <c r="H2256" s="11" t="str">
        <f aca="false">IF($A2256="","",IF(MAX($E2256,$F2256,$G2256)&gt;1,"중복","-"))</f>
        <v/>
      </c>
      <c r="I2256" s="11" t="str">
        <f aca="false">IF($A2256="","",IF($H2256="-","-",IF(AND(IF(원본명단!$H2255="",TRUE(),COUNTIF(원본명단!$H$3:$H2255,원본명단!$H2255)=1),IF(원본명단!$I2255="",TRUE(),COUNTIF(원본명단!$I$3:$I2255,원본명단!$I2255)=1),IF(원본명단!$K2255="",TRUE(),COUNTIF(원본명단!$K$3:$K2255,원본명단!$K2255)=1)),"첫 건","중복 건")))</f>
        <v/>
      </c>
      <c r="J2256" s="11" t="str">
        <f aca="false">IF($A2256="","",IF($H2256="-","유지",IF($I2256="첫 건","유지","확인 필요")))</f>
        <v/>
      </c>
    </row>
    <row r="2257" customFormat="false" ht="15" hidden="false" customHeight="true" outlineLevel="0" collapsed="false">
      <c r="A2257" s="11" t="str">
        <f aca="false">IF(원본명단!$A2256="","",2254)</f>
        <v/>
      </c>
      <c r="B2257" s="12" t="str">
        <f aca="false">IF($A2257="","",원본명단!$A2256)</f>
        <v/>
      </c>
      <c r="C2257" s="12" t="str">
        <f aca="false">IF($A2257="","",원본명단!$B2256)</f>
        <v/>
      </c>
      <c r="D2257" s="12" t="str">
        <f aca="false">IF($A2257="","",원본명단!$D2256)</f>
        <v/>
      </c>
      <c r="E2257" s="11" t="str">
        <f aca="false">IF($A2257="","",IF(원본명단!$H2256="",0,COUNTIF(원본명단!$H$3:$H$6002,원본명단!$H2256)))</f>
        <v/>
      </c>
      <c r="F2257" s="11" t="str">
        <f aca="false">IF($A2257="","",IF(원본명단!$I2256="",0,COUNTIF(원본명단!$I$3:$I$6002,원본명단!$I2256)))</f>
        <v/>
      </c>
      <c r="G2257" s="11" t="str">
        <f aca="false">IF($A2257="","",IF(원본명단!$K2256="",0,COUNTIF(원본명단!$K$3:$K$6002,원본명단!$K2256)))</f>
        <v/>
      </c>
      <c r="H2257" s="11" t="str">
        <f aca="false">IF($A2257="","",IF(MAX($E2257,$F2257,$G2257)&gt;1,"중복","-"))</f>
        <v/>
      </c>
      <c r="I2257" s="11" t="str">
        <f aca="false">IF($A2257="","",IF($H2257="-","-",IF(AND(IF(원본명단!$H2256="",TRUE(),COUNTIF(원본명단!$H$3:$H2256,원본명단!$H2256)=1),IF(원본명단!$I2256="",TRUE(),COUNTIF(원본명단!$I$3:$I2256,원본명단!$I2256)=1),IF(원본명단!$K2256="",TRUE(),COUNTIF(원본명단!$K$3:$K2256,원본명단!$K2256)=1)),"첫 건","중복 건")))</f>
        <v/>
      </c>
      <c r="J2257" s="11" t="str">
        <f aca="false">IF($A2257="","",IF($H2257="-","유지",IF($I2257="첫 건","유지","확인 필요")))</f>
        <v/>
      </c>
    </row>
    <row r="2258" customFormat="false" ht="15" hidden="false" customHeight="true" outlineLevel="0" collapsed="false">
      <c r="A2258" s="11" t="str">
        <f aca="false">IF(원본명단!$A2257="","",2255)</f>
        <v/>
      </c>
      <c r="B2258" s="12" t="str">
        <f aca="false">IF($A2258="","",원본명단!$A2257)</f>
        <v/>
      </c>
      <c r="C2258" s="12" t="str">
        <f aca="false">IF($A2258="","",원본명단!$B2257)</f>
        <v/>
      </c>
      <c r="D2258" s="12" t="str">
        <f aca="false">IF($A2258="","",원본명단!$D2257)</f>
        <v/>
      </c>
      <c r="E2258" s="11" t="str">
        <f aca="false">IF($A2258="","",IF(원본명단!$H2257="",0,COUNTIF(원본명단!$H$3:$H$6002,원본명단!$H2257)))</f>
        <v/>
      </c>
      <c r="F2258" s="11" t="str">
        <f aca="false">IF($A2258="","",IF(원본명단!$I2257="",0,COUNTIF(원본명단!$I$3:$I$6002,원본명단!$I2257)))</f>
        <v/>
      </c>
      <c r="G2258" s="11" t="str">
        <f aca="false">IF($A2258="","",IF(원본명단!$K2257="",0,COUNTIF(원본명단!$K$3:$K$6002,원본명단!$K2257)))</f>
        <v/>
      </c>
      <c r="H2258" s="11" t="str">
        <f aca="false">IF($A2258="","",IF(MAX($E2258,$F2258,$G2258)&gt;1,"중복","-"))</f>
        <v/>
      </c>
      <c r="I2258" s="11" t="str">
        <f aca="false">IF($A2258="","",IF($H2258="-","-",IF(AND(IF(원본명단!$H2257="",TRUE(),COUNTIF(원본명단!$H$3:$H2257,원본명단!$H2257)=1),IF(원본명단!$I2257="",TRUE(),COUNTIF(원본명단!$I$3:$I2257,원본명단!$I2257)=1),IF(원본명단!$K2257="",TRUE(),COUNTIF(원본명단!$K$3:$K2257,원본명단!$K2257)=1)),"첫 건","중복 건")))</f>
        <v/>
      </c>
      <c r="J2258" s="11" t="str">
        <f aca="false">IF($A2258="","",IF($H2258="-","유지",IF($I2258="첫 건","유지","확인 필요")))</f>
        <v/>
      </c>
    </row>
    <row r="2259" customFormat="false" ht="15" hidden="false" customHeight="true" outlineLevel="0" collapsed="false">
      <c r="A2259" s="11" t="str">
        <f aca="false">IF(원본명단!$A2258="","",2256)</f>
        <v/>
      </c>
      <c r="B2259" s="12" t="str">
        <f aca="false">IF($A2259="","",원본명단!$A2258)</f>
        <v/>
      </c>
      <c r="C2259" s="12" t="str">
        <f aca="false">IF($A2259="","",원본명단!$B2258)</f>
        <v/>
      </c>
      <c r="D2259" s="12" t="str">
        <f aca="false">IF($A2259="","",원본명단!$D2258)</f>
        <v/>
      </c>
      <c r="E2259" s="11" t="str">
        <f aca="false">IF($A2259="","",IF(원본명단!$H2258="",0,COUNTIF(원본명단!$H$3:$H$6002,원본명단!$H2258)))</f>
        <v/>
      </c>
      <c r="F2259" s="11" t="str">
        <f aca="false">IF($A2259="","",IF(원본명단!$I2258="",0,COUNTIF(원본명단!$I$3:$I$6002,원본명단!$I2258)))</f>
        <v/>
      </c>
      <c r="G2259" s="11" t="str">
        <f aca="false">IF($A2259="","",IF(원본명단!$K2258="",0,COUNTIF(원본명단!$K$3:$K$6002,원본명단!$K2258)))</f>
        <v/>
      </c>
      <c r="H2259" s="11" t="str">
        <f aca="false">IF($A2259="","",IF(MAX($E2259,$F2259,$G2259)&gt;1,"중복","-"))</f>
        <v/>
      </c>
      <c r="I2259" s="11" t="str">
        <f aca="false">IF($A2259="","",IF($H2259="-","-",IF(AND(IF(원본명단!$H2258="",TRUE(),COUNTIF(원본명단!$H$3:$H2258,원본명단!$H2258)=1),IF(원본명단!$I2258="",TRUE(),COUNTIF(원본명단!$I$3:$I2258,원본명단!$I2258)=1),IF(원본명단!$K2258="",TRUE(),COUNTIF(원본명단!$K$3:$K2258,원본명단!$K2258)=1)),"첫 건","중복 건")))</f>
        <v/>
      </c>
      <c r="J2259" s="11" t="str">
        <f aca="false">IF($A2259="","",IF($H2259="-","유지",IF($I2259="첫 건","유지","확인 필요")))</f>
        <v/>
      </c>
    </row>
    <row r="2260" customFormat="false" ht="15" hidden="false" customHeight="true" outlineLevel="0" collapsed="false">
      <c r="A2260" s="11" t="str">
        <f aca="false">IF(원본명단!$A2259="","",2257)</f>
        <v/>
      </c>
      <c r="B2260" s="12" t="str">
        <f aca="false">IF($A2260="","",원본명단!$A2259)</f>
        <v/>
      </c>
      <c r="C2260" s="12" t="str">
        <f aca="false">IF($A2260="","",원본명단!$B2259)</f>
        <v/>
      </c>
      <c r="D2260" s="12" t="str">
        <f aca="false">IF($A2260="","",원본명단!$D2259)</f>
        <v/>
      </c>
      <c r="E2260" s="11" t="str">
        <f aca="false">IF($A2260="","",IF(원본명단!$H2259="",0,COUNTIF(원본명단!$H$3:$H$6002,원본명단!$H2259)))</f>
        <v/>
      </c>
      <c r="F2260" s="11" t="str">
        <f aca="false">IF($A2260="","",IF(원본명단!$I2259="",0,COUNTIF(원본명단!$I$3:$I$6002,원본명단!$I2259)))</f>
        <v/>
      </c>
      <c r="G2260" s="11" t="str">
        <f aca="false">IF($A2260="","",IF(원본명단!$K2259="",0,COUNTIF(원본명단!$K$3:$K$6002,원본명단!$K2259)))</f>
        <v/>
      </c>
      <c r="H2260" s="11" t="str">
        <f aca="false">IF($A2260="","",IF(MAX($E2260,$F2260,$G2260)&gt;1,"중복","-"))</f>
        <v/>
      </c>
      <c r="I2260" s="11" t="str">
        <f aca="false">IF($A2260="","",IF($H2260="-","-",IF(AND(IF(원본명단!$H2259="",TRUE(),COUNTIF(원본명단!$H$3:$H2259,원본명단!$H2259)=1),IF(원본명단!$I2259="",TRUE(),COUNTIF(원본명단!$I$3:$I2259,원본명단!$I2259)=1),IF(원본명단!$K2259="",TRUE(),COUNTIF(원본명단!$K$3:$K2259,원본명단!$K2259)=1)),"첫 건","중복 건")))</f>
        <v/>
      </c>
      <c r="J2260" s="11" t="str">
        <f aca="false">IF($A2260="","",IF($H2260="-","유지",IF($I2260="첫 건","유지","확인 필요")))</f>
        <v/>
      </c>
    </row>
    <row r="2261" customFormat="false" ht="15" hidden="false" customHeight="true" outlineLevel="0" collapsed="false">
      <c r="A2261" s="11" t="str">
        <f aca="false">IF(원본명단!$A2260="","",2258)</f>
        <v/>
      </c>
      <c r="B2261" s="12" t="str">
        <f aca="false">IF($A2261="","",원본명단!$A2260)</f>
        <v/>
      </c>
      <c r="C2261" s="12" t="str">
        <f aca="false">IF($A2261="","",원본명단!$B2260)</f>
        <v/>
      </c>
      <c r="D2261" s="12" t="str">
        <f aca="false">IF($A2261="","",원본명단!$D2260)</f>
        <v/>
      </c>
      <c r="E2261" s="11" t="str">
        <f aca="false">IF($A2261="","",IF(원본명단!$H2260="",0,COUNTIF(원본명단!$H$3:$H$6002,원본명단!$H2260)))</f>
        <v/>
      </c>
      <c r="F2261" s="11" t="str">
        <f aca="false">IF($A2261="","",IF(원본명단!$I2260="",0,COUNTIF(원본명단!$I$3:$I$6002,원본명단!$I2260)))</f>
        <v/>
      </c>
      <c r="G2261" s="11" t="str">
        <f aca="false">IF($A2261="","",IF(원본명단!$K2260="",0,COUNTIF(원본명단!$K$3:$K$6002,원본명단!$K2260)))</f>
        <v/>
      </c>
      <c r="H2261" s="11" t="str">
        <f aca="false">IF($A2261="","",IF(MAX($E2261,$F2261,$G2261)&gt;1,"중복","-"))</f>
        <v/>
      </c>
      <c r="I2261" s="11" t="str">
        <f aca="false">IF($A2261="","",IF($H2261="-","-",IF(AND(IF(원본명단!$H2260="",TRUE(),COUNTIF(원본명단!$H$3:$H2260,원본명단!$H2260)=1),IF(원본명단!$I2260="",TRUE(),COUNTIF(원본명단!$I$3:$I2260,원본명단!$I2260)=1),IF(원본명단!$K2260="",TRUE(),COUNTIF(원본명단!$K$3:$K2260,원본명단!$K2260)=1)),"첫 건","중복 건")))</f>
        <v/>
      </c>
      <c r="J2261" s="11" t="str">
        <f aca="false">IF($A2261="","",IF($H2261="-","유지",IF($I2261="첫 건","유지","확인 필요")))</f>
        <v/>
      </c>
    </row>
    <row r="2262" customFormat="false" ht="15" hidden="false" customHeight="true" outlineLevel="0" collapsed="false">
      <c r="A2262" s="11" t="str">
        <f aca="false">IF(원본명단!$A2261="","",2259)</f>
        <v/>
      </c>
      <c r="B2262" s="12" t="str">
        <f aca="false">IF($A2262="","",원본명단!$A2261)</f>
        <v/>
      </c>
      <c r="C2262" s="12" t="str">
        <f aca="false">IF($A2262="","",원본명단!$B2261)</f>
        <v/>
      </c>
      <c r="D2262" s="12" t="str">
        <f aca="false">IF($A2262="","",원본명단!$D2261)</f>
        <v/>
      </c>
      <c r="E2262" s="11" t="str">
        <f aca="false">IF($A2262="","",IF(원본명단!$H2261="",0,COUNTIF(원본명단!$H$3:$H$6002,원본명단!$H2261)))</f>
        <v/>
      </c>
      <c r="F2262" s="11" t="str">
        <f aca="false">IF($A2262="","",IF(원본명단!$I2261="",0,COUNTIF(원본명단!$I$3:$I$6002,원본명단!$I2261)))</f>
        <v/>
      </c>
      <c r="G2262" s="11" t="str">
        <f aca="false">IF($A2262="","",IF(원본명단!$K2261="",0,COUNTIF(원본명단!$K$3:$K$6002,원본명단!$K2261)))</f>
        <v/>
      </c>
      <c r="H2262" s="11" t="str">
        <f aca="false">IF($A2262="","",IF(MAX($E2262,$F2262,$G2262)&gt;1,"중복","-"))</f>
        <v/>
      </c>
      <c r="I2262" s="11" t="str">
        <f aca="false">IF($A2262="","",IF($H2262="-","-",IF(AND(IF(원본명단!$H2261="",TRUE(),COUNTIF(원본명단!$H$3:$H2261,원본명단!$H2261)=1),IF(원본명단!$I2261="",TRUE(),COUNTIF(원본명단!$I$3:$I2261,원본명단!$I2261)=1),IF(원본명단!$K2261="",TRUE(),COUNTIF(원본명단!$K$3:$K2261,원본명단!$K2261)=1)),"첫 건","중복 건")))</f>
        <v/>
      </c>
      <c r="J2262" s="11" t="str">
        <f aca="false">IF($A2262="","",IF($H2262="-","유지",IF($I2262="첫 건","유지","확인 필요")))</f>
        <v/>
      </c>
    </row>
    <row r="2263" customFormat="false" ht="15" hidden="false" customHeight="true" outlineLevel="0" collapsed="false">
      <c r="A2263" s="11" t="str">
        <f aca="false">IF(원본명단!$A2262="","",2260)</f>
        <v/>
      </c>
      <c r="B2263" s="12" t="str">
        <f aca="false">IF($A2263="","",원본명단!$A2262)</f>
        <v/>
      </c>
      <c r="C2263" s="12" t="str">
        <f aca="false">IF($A2263="","",원본명단!$B2262)</f>
        <v/>
      </c>
      <c r="D2263" s="12" t="str">
        <f aca="false">IF($A2263="","",원본명단!$D2262)</f>
        <v/>
      </c>
      <c r="E2263" s="11" t="str">
        <f aca="false">IF($A2263="","",IF(원본명단!$H2262="",0,COUNTIF(원본명단!$H$3:$H$6002,원본명단!$H2262)))</f>
        <v/>
      </c>
      <c r="F2263" s="11" t="str">
        <f aca="false">IF($A2263="","",IF(원본명단!$I2262="",0,COUNTIF(원본명단!$I$3:$I$6002,원본명단!$I2262)))</f>
        <v/>
      </c>
      <c r="G2263" s="11" t="str">
        <f aca="false">IF($A2263="","",IF(원본명단!$K2262="",0,COUNTIF(원본명단!$K$3:$K$6002,원본명단!$K2262)))</f>
        <v/>
      </c>
      <c r="H2263" s="11" t="str">
        <f aca="false">IF($A2263="","",IF(MAX($E2263,$F2263,$G2263)&gt;1,"중복","-"))</f>
        <v/>
      </c>
      <c r="I2263" s="11" t="str">
        <f aca="false">IF($A2263="","",IF($H2263="-","-",IF(AND(IF(원본명단!$H2262="",TRUE(),COUNTIF(원본명단!$H$3:$H2262,원본명단!$H2262)=1),IF(원본명단!$I2262="",TRUE(),COUNTIF(원본명단!$I$3:$I2262,원본명단!$I2262)=1),IF(원본명단!$K2262="",TRUE(),COUNTIF(원본명단!$K$3:$K2262,원본명단!$K2262)=1)),"첫 건","중복 건")))</f>
        <v/>
      </c>
      <c r="J2263" s="11" t="str">
        <f aca="false">IF($A2263="","",IF($H2263="-","유지",IF($I2263="첫 건","유지","확인 필요")))</f>
        <v/>
      </c>
    </row>
    <row r="2264" customFormat="false" ht="15" hidden="false" customHeight="true" outlineLevel="0" collapsed="false">
      <c r="A2264" s="11" t="str">
        <f aca="false">IF(원본명단!$A2263="","",2261)</f>
        <v/>
      </c>
      <c r="B2264" s="12" t="str">
        <f aca="false">IF($A2264="","",원본명단!$A2263)</f>
        <v/>
      </c>
      <c r="C2264" s="12" t="str">
        <f aca="false">IF($A2264="","",원본명단!$B2263)</f>
        <v/>
      </c>
      <c r="D2264" s="12" t="str">
        <f aca="false">IF($A2264="","",원본명단!$D2263)</f>
        <v/>
      </c>
      <c r="E2264" s="11" t="str">
        <f aca="false">IF($A2264="","",IF(원본명단!$H2263="",0,COUNTIF(원본명단!$H$3:$H$6002,원본명단!$H2263)))</f>
        <v/>
      </c>
      <c r="F2264" s="11" t="str">
        <f aca="false">IF($A2264="","",IF(원본명단!$I2263="",0,COUNTIF(원본명단!$I$3:$I$6002,원본명단!$I2263)))</f>
        <v/>
      </c>
      <c r="G2264" s="11" t="str">
        <f aca="false">IF($A2264="","",IF(원본명단!$K2263="",0,COUNTIF(원본명단!$K$3:$K$6002,원본명단!$K2263)))</f>
        <v/>
      </c>
      <c r="H2264" s="11" t="str">
        <f aca="false">IF($A2264="","",IF(MAX($E2264,$F2264,$G2264)&gt;1,"중복","-"))</f>
        <v/>
      </c>
      <c r="I2264" s="11" t="str">
        <f aca="false">IF($A2264="","",IF($H2264="-","-",IF(AND(IF(원본명단!$H2263="",TRUE(),COUNTIF(원본명단!$H$3:$H2263,원본명단!$H2263)=1),IF(원본명단!$I2263="",TRUE(),COUNTIF(원본명단!$I$3:$I2263,원본명단!$I2263)=1),IF(원본명단!$K2263="",TRUE(),COUNTIF(원본명단!$K$3:$K2263,원본명단!$K2263)=1)),"첫 건","중복 건")))</f>
        <v/>
      </c>
      <c r="J2264" s="11" t="str">
        <f aca="false">IF($A2264="","",IF($H2264="-","유지",IF($I2264="첫 건","유지","확인 필요")))</f>
        <v/>
      </c>
    </row>
    <row r="2265" customFormat="false" ht="15" hidden="false" customHeight="true" outlineLevel="0" collapsed="false">
      <c r="A2265" s="11" t="str">
        <f aca="false">IF(원본명단!$A2264="","",2262)</f>
        <v/>
      </c>
      <c r="B2265" s="12" t="str">
        <f aca="false">IF($A2265="","",원본명단!$A2264)</f>
        <v/>
      </c>
      <c r="C2265" s="12" t="str">
        <f aca="false">IF($A2265="","",원본명단!$B2264)</f>
        <v/>
      </c>
      <c r="D2265" s="12" t="str">
        <f aca="false">IF($A2265="","",원본명단!$D2264)</f>
        <v/>
      </c>
      <c r="E2265" s="11" t="str">
        <f aca="false">IF($A2265="","",IF(원본명단!$H2264="",0,COUNTIF(원본명단!$H$3:$H$6002,원본명단!$H2264)))</f>
        <v/>
      </c>
      <c r="F2265" s="11" t="str">
        <f aca="false">IF($A2265="","",IF(원본명단!$I2264="",0,COUNTIF(원본명단!$I$3:$I$6002,원본명단!$I2264)))</f>
        <v/>
      </c>
      <c r="G2265" s="11" t="str">
        <f aca="false">IF($A2265="","",IF(원본명단!$K2264="",0,COUNTIF(원본명단!$K$3:$K$6002,원본명단!$K2264)))</f>
        <v/>
      </c>
      <c r="H2265" s="11" t="str">
        <f aca="false">IF($A2265="","",IF(MAX($E2265,$F2265,$G2265)&gt;1,"중복","-"))</f>
        <v/>
      </c>
      <c r="I2265" s="11" t="str">
        <f aca="false">IF($A2265="","",IF($H2265="-","-",IF(AND(IF(원본명단!$H2264="",TRUE(),COUNTIF(원본명단!$H$3:$H2264,원본명단!$H2264)=1),IF(원본명단!$I2264="",TRUE(),COUNTIF(원본명단!$I$3:$I2264,원본명단!$I2264)=1),IF(원본명단!$K2264="",TRUE(),COUNTIF(원본명단!$K$3:$K2264,원본명단!$K2264)=1)),"첫 건","중복 건")))</f>
        <v/>
      </c>
      <c r="J2265" s="11" t="str">
        <f aca="false">IF($A2265="","",IF($H2265="-","유지",IF($I2265="첫 건","유지","확인 필요")))</f>
        <v/>
      </c>
    </row>
    <row r="2266" customFormat="false" ht="15" hidden="false" customHeight="true" outlineLevel="0" collapsed="false">
      <c r="A2266" s="11" t="str">
        <f aca="false">IF(원본명단!$A2265="","",2263)</f>
        <v/>
      </c>
      <c r="B2266" s="12" t="str">
        <f aca="false">IF($A2266="","",원본명단!$A2265)</f>
        <v/>
      </c>
      <c r="C2266" s="12" t="str">
        <f aca="false">IF($A2266="","",원본명단!$B2265)</f>
        <v/>
      </c>
      <c r="D2266" s="12" t="str">
        <f aca="false">IF($A2266="","",원본명단!$D2265)</f>
        <v/>
      </c>
      <c r="E2266" s="11" t="str">
        <f aca="false">IF($A2266="","",IF(원본명단!$H2265="",0,COUNTIF(원본명단!$H$3:$H$6002,원본명단!$H2265)))</f>
        <v/>
      </c>
      <c r="F2266" s="11" t="str">
        <f aca="false">IF($A2266="","",IF(원본명단!$I2265="",0,COUNTIF(원본명단!$I$3:$I$6002,원본명단!$I2265)))</f>
        <v/>
      </c>
      <c r="G2266" s="11" t="str">
        <f aca="false">IF($A2266="","",IF(원본명단!$K2265="",0,COUNTIF(원본명단!$K$3:$K$6002,원본명단!$K2265)))</f>
        <v/>
      </c>
      <c r="H2266" s="11" t="str">
        <f aca="false">IF($A2266="","",IF(MAX($E2266,$F2266,$G2266)&gt;1,"중복","-"))</f>
        <v/>
      </c>
      <c r="I2266" s="11" t="str">
        <f aca="false">IF($A2266="","",IF($H2266="-","-",IF(AND(IF(원본명단!$H2265="",TRUE(),COUNTIF(원본명단!$H$3:$H2265,원본명단!$H2265)=1),IF(원본명단!$I2265="",TRUE(),COUNTIF(원본명단!$I$3:$I2265,원본명단!$I2265)=1),IF(원본명단!$K2265="",TRUE(),COUNTIF(원본명단!$K$3:$K2265,원본명단!$K2265)=1)),"첫 건","중복 건")))</f>
        <v/>
      </c>
      <c r="J2266" s="11" t="str">
        <f aca="false">IF($A2266="","",IF($H2266="-","유지",IF($I2266="첫 건","유지","확인 필요")))</f>
        <v/>
      </c>
    </row>
    <row r="2267" customFormat="false" ht="15" hidden="false" customHeight="true" outlineLevel="0" collapsed="false">
      <c r="A2267" s="11" t="str">
        <f aca="false">IF(원본명단!$A2266="","",2264)</f>
        <v/>
      </c>
      <c r="B2267" s="12" t="str">
        <f aca="false">IF($A2267="","",원본명단!$A2266)</f>
        <v/>
      </c>
      <c r="C2267" s="12" t="str">
        <f aca="false">IF($A2267="","",원본명단!$B2266)</f>
        <v/>
      </c>
      <c r="D2267" s="12" t="str">
        <f aca="false">IF($A2267="","",원본명단!$D2266)</f>
        <v/>
      </c>
      <c r="E2267" s="11" t="str">
        <f aca="false">IF($A2267="","",IF(원본명단!$H2266="",0,COUNTIF(원본명단!$H$3:$H$6002,원본명단!$H2266)))</f>
        <v/>
      </c>
      <c r="F2267" s="11" t="str">
        <f aca="false">IF($A2267="","",IF(원본명단!$I2266="",0,COUNTIF(원본명단!$I$3:$I$6002,원본명단!$I2266)))</f>
        <v/>
      </c>
      <c r="G2267" s="11" t="str">
        <f aca="false">IF($A2267="","",IF(원본명단!$K2266="",0,COUNTIF(원본명단!$K$3:$K$6002,원본명단!$K2266)))</f>
        <v/>
      </c>
      <c r="H2267" s="11" t="str">
        <f aca="false">IF($A2267="","",IF(MAX($E2267,$F2267,$G2267)&gt;1,"중복","-"))</f>
        <v/>
      </c>
      <c r="I2267" s="11" t="str">
        <f aca="false">IF($A2267="","",IF($H2267="-","-",IF(AND(IF(원본명단!$H2266="",TRUE(),COUNTIF(원본명단!$H$3:$H2266,원본명단!$H2266)=1),IF(원본명단!$I2266="",TRUE(),COUNTIF(원본명단!$I$3:$I2266,원본명단!$I2266)=1),IF(원본명단!$K2266="",TRUE(),COUNTIF(원본명단!$K$3:$K2266,원본명단!$K2266)=1)),"첫 건","중복 건")))</f>
        <v/>
      </c>
      <c r="J2267" s="11" t="str">
        <f aca="false">IF($A2267="","",IF($H2267="-","유지",IF($I2267="첫 건","유지","확인 필요")))</f>
        <v/>
      </c>
    </row>
    <row r="2268" customFormat="false" ht="15" hidden="false" customHeight="true" outlineLevel="0" collapsed="false">
      <c r="A2268" s="11" t="str">
        <f aca="false">IF(원본명단!$A2267="","",2265)</f>
        <v/>
      </c>
      <c r="B2268" s="12" t="str">
        <f aca="false">IF($A2268="","",원본명단!$A2267)</f>
        <v/>
      </c>
      <c r="C2268" s="12" t="str">
        <f aca="false">IF($A2268="","",원본명단!$B2267)</f>
        <v/>
      </c>
      <c r="D2268" s="12" t="str">
        <f aca="false">IF($A2268="","",원본명단!$D2267)</f>
        <v/>
      </c>
      <c r="E2268" s="11" t="str">
        <f aca="false">IF($A2268="","",IF(원본명단!$H2267="",0,COUNTIF(원본명단!$H$3:$H$6002,원본명단!$H2267)))</f>
        <v/>
      </c>
      <c r="F2268" s="11" t="str">
        <f aca="false">IF($A2268="","",IF(원본명단!$I2267="",0,COUNTIF(원본명단!$I$3:$I$6002,원본명단!$I2267)))</f>
        <v/>
      </c>
      <c r="G2268" s="11" t="str">
        <f aca="false">IF($A2268="","",IF(원본명단!$K2267="",0,COUNTIF(원본명단!$K$3:$K$6002,원본명단!$K2267)))</f>
        <v/>
      </c>
      <c r="H2268" s="11" t="str">
        <f aca="false">IF($A2268="","",IF(MAX($E2268,$F2268,$G2268)&gt;1,"중복","-"))</f>
        <v/>
      </c>
      <c r="I2268" s="11" t="str">
        <f aca="false">IF($A2268="","",IF($H2268="-","-",IF(AND(IF(원본명단!$H2267="",TRUE(),COUNTIF(원본명단!$H$3:$H2267,원본명단!$H2267)=1),IF(원본명단!$I2267="",TRUE(),COUNTIF(원본명단!$I$3:$I2267,원본명단!$I2267)=1),IF(원본명단!$K2267="",TRUE(),COUNTIF(원본명단!$K$3:$K2267,원본명단!$K2267)=1)),"첫 건","중복 건")))</f>
        <v/>
      </c>
      <c r="J2268" s="11" t="str">
        <f aca="false">IF($A2268="","",IF($H2268="-","유지",IF($I2268="첫 건","유지","확인 필요")))</f>
        <v/>
      </c>
    </row>
    <row r="2269" customFormat="false" ht="15" hidden="false" customHeight="true" outlineLevel="0" collapsed="false">
      <c r="A2269" s="11" t="str">
        <f aca="false">IF(원본명단!$A2268="","",2266)</f>
        <v/>
      </c>
      <c r="B2269" s="12" t="str">
        <f aca="false">IF($A2269="","",원본명단!$A2268)</f>
        <v/>
      </c>
      <c r="C2269" s="12" t="str">
        <f aca="false">IF($A2269="","",원본명단!$B2268)</f>
        <v/>
      </c>
      <c r="D2269" s="12" t="str">
        <f aca="false">IF($A2269="","",원본명단!$D2268)</f>
        <v/>
      </c>
      <c r="E2269" s="11" t="str">
        <f aca="false">IF($A2269="","",IF(원본명단!$H2268="",0,COUNTIF(원본명단!$H$3:$H$6002,원본명단!$H2268)))</f>
        <v/>
      </c>
      <c r="F2269" s="11" t="str">
        <f aca="false">IF($A2269="","",IF(원본명단!$I2268="",0,COUNTIF(원본명단!$I$3:$I$6002,원본명단!$I2268)))</f>
        <v/>
      </c>
      <c r="G2269" s="11" t="str">
        <f aca="false">IF($A2269="","",IF(원본명단!$K2268="",0,COUNTIF(원본명단!$K$3:$K$6002,원본명단!$K2268)))</f>
        <v/>
      </c>
      <c r="H2269" s="11" t="str">
        <f aca="false">IF($A2269="","",IF(MAX($E2269,$F2269,$G2269)&gt;1,"중복","-"))</f>
        <v/>
      </c>
      <c r="I2269" s="11" t="str">
        <f aca="false">IF($A2269="","",IF($H2269="-","-",IF(AND(IF(원본명단!$H2268="",TRUE(),COUNTIF(원본명단!$H$3:$H2268,원본명단!$H2268)=1),IF(원본명단!$I2268="",TRUE(),COUNTIF(원본명단!$I$3:$I2268,원본명단!$I2268)=1),IF(원본명단!$K2268="",TRUE(),COUNTIF(원본명단!$K$3:$K2268,원본명단!$K2268)=1)),"첫 건","중복 건")))</f>
        <v/>
      </c>
      <c r="J2269" s="11" t="str">
        <f aca="false">IF($A2269="","",IF($H2269="-","유지",IF($I2269="첫 건","유지","확인 필요")))</f>
        <v/>
      </c>
    </row>
    <row r="2270" customFormat="false" ht="15" hidden="false" customHeight="true" outlineLevel="0" collapsed="false">
      <c r="A2270" s="11" t="str">
        <f aca="false">IF(원본명단!$A2269="","",2267)</f>
        <v/>
      </c>
      <c r="B2270" s="12" t="str">
        <f aca="false">IF($A2270="","",원본명단!$A2269)</f>
        <v/>
      </c>
      <c r="C2270" s="12" t="str">
        <f aca="false">IF($A2270="","",원본명단!$B2269)</f>
        <v/>
      </c>
      <c r="D2270" s="12" t="str">
        <f aca="false">IF($A2270="","",원본명단!$D2269)</f>
        <v/>
      </c>
      <c r="E2270" s="11" t="str">
        <f aca="false">IF($A2270="","",IF(원본명단!$H2269="",0,COUNTIF(원본명단!$H$3:$H$6002,원본명단!$H2269)))</f>
        <v/>
      </c>
      <c r="F2270" s="11" t="str">
        <f aca="false">IF($A2270="","",IF(원본명단!$I2269="",0,COUNTIF(원본명단!$I$3:$I$6002,원본명단!$I2269)))</f>
        <v/>
      </c>
      <c r="G2270" s="11" t="str">
        <f aca="false">IF($A2270="","",IF(원본명단!$K2269="",0,COUNTIF(원본명단!$K$3:$K$6002,원본명단!$K2269)))</f>
        <v/>
      </c>
      <c r="H2270" s="11" t="str">
        <f aca="false">IF($A2270="","",IF(MAX($E2270,$F2270,$G2270)&gt;1,"중복","-"))</f>
        <v/>
      </c>
      <c r="I2270" s="11" t="str">
        <f aca="false">IF($A2270="","",IF($H2270="-","-",IF(AND(IF(원본명단!$H2269="",TRUE(),COUNTIF(원본명단!$H$3:$H2269,원본명단!$H2269)=1),IF(원본명단!$I2269="",TRUE(),COUNTIF(원본명단!$I$3:$I2269,원본명단!$I2269)=1),IF(원본명단!$K2269="",TRUE(),COUNTIF(원본명단!$K$3:$K2269,원본명단!$K2269)=1)),"첫 건","중복 건")))</f>
        <v/>
      </c>
      <c r="J2270" s="11" t="str">
        <f aca="false">IF($A2270="","",IF($H2270="-","유지",IF($I2270="첫 건","유지","확인 필요")))</f>
        <v/>
      </c>
    </row>
    <row r="2271" customFormat="false" ht="15" hidden="false" customHeight="true" outlineLevel="0" collapsed="false">
      <c r="A2271" s="11" t="str">
        <f aca="false">IF(원본명단!$A2270="","",2268)</f>
        <v/>
      </c>
      <c r="B2271" s="12" t="str">
        <f aca="false">IF($A2271="","",원본명단!$A2270)</f>
        <v/>
      </c>
      <c r="C2271" s="12" t="str">
        <f aca="false">IF($A2271="","",원본명단!$B2270)</f>
        <v/>
      </c>
      <c r="D2271" s="12" t="str">
        <f aca="false">IF($A2271="","",원본명단!$D2270)</f>
        <v/>
      </c>
      <c r="E2271" s="11" t="str">
        <f aca="false">IF($A2271="","",IF(원본명단!$H2270="",0,COUNTIF(원본명단!$H$3:$H$6002,원본명단!$H2270)))</f>
        <v/>
      </c>
      <c r="F2271" s="11" t="str">
        <f aca="false">IF($A2271="","",IF(원본명단!$I2270="",0,COUNTIF(원본명단!$I$3:$I$6002,원본명단!$I2270)))</f>
        <v/>
      </c>
      <c r="G2271" s="11" t="str">
        <f aca="false">IF($A2271="","",IF(원본명단!$K2270="",0,COUNTIF(원본명단!$K$3:$K$6002,원본명단!$K2270)))</f>
        <v/>
      </c>
      <c r="H2271" s="11" t="str">
        <f aca="false">IF($A2271="","",IF(MAX($E2271,$F2271,$G2271)&gt;1,"중복","-"))</f>
        <v/>
      </c>
      <c r="I2271" s="11" t="str">
        <f aca="false">IF($A2271="","",IF($H2271="-","-",IF(AND(IF(원본명단!$H2270="",TRUE(),COUNTIF(원본명단!$H$3:$H2270,원본명단!$H2270)=1),IF(원본명단!$I2270="",TRUE(),COUNTIF(원본명단!$I$3:$I2270,원본명단!$I2270)=1),IF(원본명단!$K2270="",TRUE(),COUNTIF(원본명단!$K$3:$K2270,원본명단!$K2270)=1)),"첫 건","중복 건")))</f>
        <v/>
      </c>
      <c r="J2271" s="11" t="str">
        <f aca="false">IF($A2271="","",IF($H2271="-","유지",IF($I2271="첫 건","유지","확인 필요")))</f>
        <v/>
      </c>
    </row>
    <row r="2272" customFormat="false" ht="15" hidden="false" customHeight="true" outlineLevel="0" collapsed="false">
      <c r="A2272" s="11" t="str">
        <f aca="false">IF(원본명단!$A2271="","",2269)</f>
        <v/>
      </c>
      <c r="B2272" s="12" t="str">
        <f aca="false">IF($A2272="","",원본명단!$A2271)</f>
        <v/>
      </c>
      <c r="C2272" s="12" t="str">
        <f aca="false">IF($A2272="","",원본명단!$B2271)</f>
        <v/>
      </c>
      <c r="D2272" s="12" t="str">
        <f aca="false">IF($A2272="","",원본명단!$D2271)</f>
        <v/>
      </c>
      <c r="E2272" s="11" t="str">
        <f aca="false">IF($A2272="","",IF(원본명단!$H2271="",0,COUNTIF(원본명단!$H$3:$H$6002,원본명단!$H2271)))</f>
        <v/>
      </c>
      <c r="F2272" s="11" t="str">
        <f aca="false">IF($A2272="","",IF(원본명단!$I2271="",0,COUNTIF(원본명단!$I$3:$I$6002,원본명단!$I2271)))</f>
        <v/>
      </c>
      <c r="G2272" s="11" t="str">
        <f aca="false">IF($A2272="","",IF(원본명단!$K2271="",0,COUNTIF(원본명단!$K$3:$K$6002,원본명단!$K2271)))</f>
        <v/>
      </c>
      <c r="H2272" s="11" t="str">
        <f aca="false">IF($A2272="","",IF(MAX($E2272,$F2272,$G2272)&gt;1,"중복","-"))</f>
        <v/>
      </c>
      <c r="I2272" s="11" t="str">
        <f aca="false">IF($A2272="","",IF($H2272="-","-",IF(AND(IF(원본명단!$H2271="",TRUE(),COUNTIF(원본명단!$H$3:$H2271,원본명단!$H2271)=1),IF(원본명단!$I2271="",TRUE(),COUNTIF(원본명단!$I$3:$I2271,원본명단!$I2271)=1),IF(원본명단!$K2271="",TRUE(),COUNTIF(원본명단!$K$3:$K2271,원본명단!$K2271)=1)),"첫 건","중복 건")))</f>
        <v/>
      </c>
      <c r="J2272" s="11" t="str">
        <f aca="false">IF($A2272="","",IF($H2272="-","유지",IF($I2272="첫 건","유지","확인 필요")))</f>
        <v/>
      </c>
    </row>
    <row r="2273" customFormat="false" ht="15" hidden="false" customHeight="true" outlineLevel="0" collapsed="false">
      <c r="A2273" s="11" t="str">
        <f aca="false">IF(원본명단!$A2272="","",2270)</f>
        <v/>
      </c>
      <c r="B2273" s="12" t="str">
        <f aca="false">IF($A2273="","",원본명단!$A2272)</f>
        <v/>
      </c>
      <c r="C2273" s="12" t="str">
        <f aca="false">IF($A2273="","",원본명단!$B2272)</f>
        <v/>
      </c>
      <c r="D2273" s="12" t="str">
        <f aca="false">IF($A2273="","",원본명단!$D2272)</f>
        <v/>
      </c>
      <c r="E2273" s="11" t="str">
        <f aca="false">IF($A2273="","",IF(원본명단!$H2272="",0,COUNTIF(원본명단!$H$3:$H$6002,원본명단!$H2272)))</f>
        <v/>
      </c>
      <c r="F2273" s="11" t="str">
        <f aca="false">IF($A2273="","",IF(원본명단!$I2272="",0,COUNTIF(원본명단!$I$3:$I$6002,원본명단!$I2272)))</f>
        <v/>
      </c>
      <c r="G2273" s="11" t="str">
        <f aca="false">IF($A2273="","",IF(원본명단!$K2272="",0,COUNTIF(원본명단!$K$3:$K$6002,원본명단!$K2272)))</f>
        <v/>
      </c>
      <c r="H2273" s="11" t="str">
        <f aca="false">IF($A2273="","",IF(MAX($E2273,$F2273,$G2273)&gt;1,"중복","-"))</f>
        <v/>
      </c>
      <c r="I2273" s="11" t="str">
        <f aca="false">IF($A2273="","",IF($H2273="-","-",IF(AND(IF(원본명단!$H2272="",TRUE(),COUNTIF(원본명단!$H$3:$H2272,원본명단!$H2272)=1),IF(원본명단!$I2272="",TRUE(),COUNTIF(원본명단!$I$3:$I2272,원본명단!$I2272)=1),IF(원본명단!$K2272="",TRUE(),COUNTIF(원본명단!$K$3:$K2272,원본명단!$K2272)=1)),"첫 건","중복 건")))</f>
        <v/>
      </c>
      <c r="J2273" s="11" t="str">
        <f aca="false">IF($A2273="","",IF($H2273="-","유지",IF($I2273="첫 건","유지","확인 필요")))</f>
        <v/>
      </c>
    </row>
    <row r="2274" customFormat="false" ht="15" hidden="false" customHeight="true" outlineLevel="0" collapsed="false">
      <c r="A2274" s="11" t="str">
        <f aca="false">IF(원본명단!$A2273="","",2271)</f>
        <v/>
      </c>
      <c r="B2274" s="12" t="str">
        <f aca="false">IF($A2274="","",원본명단!$A2273)</f>
        <v/>
      </c>
      <c r="C2274" s="12" t="str">
        <f aca="false">IF($A2274="","",원본명단!$B2273)</f>
        <v/>
      </c>
      <c r="D2274" s="12" t="str">
        <f aca="false">IF($A2274="","",원본명단!$D2273)</f>
        <v/>
      </c>
      <c r="E2274" s="11" t="str">
        <f aca="false">IF($A2274="","",IF(원본명단!$H2273="",0,COUNTIF(원본명단!$H$3:$H$6002,원본명단!$H2273)))</f>
        <v/>
      </c>
      <c r="F2274" s="11" t="str">
        <f aca="false">IF($A2274="","",IF(원본명단!$I2273="",0,COUNTIF(원본명단!$I$3:$I$6002,원본명단!$I2273)))</f>
        <v/>
      </c>
      <c r="G2274" s="11" t="str">
        <f aca="false">IF($A2274="","",IF(원본명단!$K2273="",0,COUNTIF(원본명단!$K$3:$K$6002,원본명단!$K2273)))</f>
        <v/>
      </c>
      <c r="H2274" s="11" t="str">
        <f aca="false">IF($A2274="","",IF(MAX($E2274,$F2274,$G2274)&gt;1,"중복","-"))</f>
        <v/>
      </c>
      <c r="I2274" s="11" t="str">
        <f aca="false">IF($A2274="","",IF($H2274="-","-",IF(AND(IF(원본명단!$H2273="",TRUE(),COUNTIF(원본명단!$H$3:$H2273,원본명단!$H2273)=1),IF(원본명단!$I2273="",TRUE(),COUNTIF(원본명단!$I$3:$I2273,원본명단!$I2273)=1),IF(원본명단!$K2273="",TRUE(),COUNTIF(원본명단!$K$3:$K2273,원본명단!$K2273)=1)),"첫 건","중복 건")))</f>
        <v/>
      </c>
      <c r="J2274" s="11" t="str">
        <f aca="false">IF($A2274="","",IF($H2274="-","유지",IF($I2274="첫 건","유지","확인 필요")))</f>
        <v/>
      </c>
    </row>
    <row r="2275" customFormat="false" ht="15" hidden="false" customHeight="true" outlineLevel="0" collapsed="false">
      <c r="A2275" s="11" t="str">
        <f aca="false">IF(원본명단!$A2274="","",2272)</f>
        <v/>
      </c>
      <c r="B2275" s="12" t="str">
        <f aca="false">IF($A2275="","",원본명단!$A2274)</f>
        <v/>
      </c>
      <c r="C2275" s="12" t="str">
        <f aca="false">IF($A2275="","",원본명단!$B2274)</f>
        <v/>
      </c>
      <c r="D2275" s="12" t="str">
        <f aca="false">IF($A2275="","",원본명단!$D2274)</f>
        <v/>
      </c>
      <c r="E2275" s="11" t="str">
        <f aca="false">IF($A2275="","",IF(원본명단!$H2274="",0,COUNTIF(원본명단!$H$3:$H$6002,원본명단!$H2274)))</f>
        <v/>
      </c>
      <c r="F2275" s="11" t="str">
        <f aca="false">IF($A2275="","",IF(원본명단!$I2274="",0,COUNTIF(원본명단!$I$3:$I$6002,원본명단!$I2274)))</f>
        <v/>
      </c>
      <c r="G2275" s="11" t="str">
        <f aca="false">IF($A2275="","",IF(원본명단!$K2274="",0,COUNTIF(원본명단!$K$3:$K$6002,원본명단!$K2274)))</f>
        <v/>
      </c>
      <c r="H2275" s="11" t="str">
        <f aca="false">IF($A2275="","",IF(MAX($E2275,$F2275,$G2275)&gt;1,"중복","-"))</f>
        <v/>
      </c>
      <c r="I2275" s="11" t="str">
        <f aca="false">IF($A2275="","",IF($H2275="-","-",IF(AND(IF(원본명단!$H2274="",TRUE(),COUNTIF(원본명단!$H$3:$H2274,원본명단!$H2274)=1),IF(원본명단!$I2274="",TRUE(),COUNTIF(원본명단!$I$3:$I2274,원본명단!$I2274)=1),IF(원본명단!$K2274="",TRUE(),COUNTIF(원본명단!$K$3:$K2274,원본명단!$K2274)=1)),"첫 건","중복 건")))</f>
        <v/>
      </c>
      <c r="J2275" s="11" t="str">
        <f aca="false">IF($A2275="","",IF($H2275="-","유지",IF($I2275="첫 건","유지","확인 필요")))</f>
        <v/>
      </c>
    </row>
    <row r="2276" customFormat="false" ht="15" hidden="false" customHeight="true" outlineLevel="0" collapsed="false">
      <c r="A2276" s="11" t="str">
        <f aca="false">IF(원본명단!$A2275="","",2273)</f>
        <v/>
      </c>
      <c r="B2276" s="12" t="str">
        <f aca="false">IF($A2276="","",원본명단!$A2275)</f>
        <v/>
      </c>
      <c r="C2276" s="12" t="str">
        <f aca="false">IF($A2276="","",원본명단!$B2275)</f>
        <v/>
      </c>
      <c r="D2276" s="12" t="str">
        <f aca="false">IF($A2276="","",원본명단!$D2275)</f>
        <v/>
      </c>
      <c r="E2276" s="11" t="str">
        <f aca="false">IF($A2276="","",IF(원본명단!$H2275="",0,COUNTIF(원본명단!$H$3:$H$6002,원본명단!$H2275)))</f>
        <v/>
      </c>
      <c r="F2276" s="11" t="str">
        <f aca="false">IF($A2276="","",IF(원본명단!$I2275="",0,COUNTIF(원본명단!$I$3:$I$6002,원본명단!$I2275)))</f>
        <v/>
      </c>
      <c r="G2276" s="11" t="str">
        <f aca="false">IF($A2276="","",IF(원본명단!$K2275="",0,COUNTIF(원본명단!$K$3:$K$6002,원본명단!$K2275)))</f>
        <v/>
      </c>
      <c r="H2276" s="11" t="str">
        <f aca="false">IF($A2276="","",IF(MAX($E2276,$F2276,$G2276)&gt;1,"중복","-"))</f>
        <v/>
      </c>
      <c r="I2276" s="11" t="str">
        <f aca="false">IF($A2276="","",IF($H2276="-","-",IF(AND(IF(원본명단!$H2275="",TRUE(),COUNTIF(원본명단!$H$3:$H2275,원본명단!$H2275)=1),IF(원본명단!$I2275="",TRUE(),COUNTIF(원본명단!$I$3:$I2275,원본명단!$I2275)=1),IF(원본명단!$K2275="",TRUE(),COUNTIF(원본명단!$K$3:$K2275,원본명단!$K2275)=1)),"첫 건","중복 건")))</f>
        <v/>
      </c>
      <c r="J2276" s="11" t="str">
        <f aca="false">IF($A2276="","",IF($H2276="-","유지",IF($I2276="첫 건","유지","확인 필요")))</f>
        <v/>
      </c>
    </row>
    <row r="2277" customFormat="false" ht="15" hidden="false" customHeight="true" outlineLevel="0" collapsed="false">
      <c r="A2277" s="11" t="str">
        <f aca="false">IF(원본명단!$A2276="","",2274)</f>
        <v/>
      </c>
      <c r="B2277" s="12" t="str">
        <f aca="false">IF($A2277="","",원본명단!$A2276)</f>
        <v/>
      </c>
      <c r="C2277" s="12" t="str">
        <f aca="false">IF($A2277="","",원본명단!$B2276)</f>
        <v/>
      </c>
      <c r="D2277" s="12" t="str">
        <f aca="false">IF($A2277="","",원본명단!$D2276)</f>
        <v/>
      </c>
      <c r="E2277" s="11" t="str">
        <f aca="false">IF($A2277="","",IF(원본명단!$H2276="",0,COUNTIF(원본명단!$H$3:$H$6002,원본명단!$H2276)))</f>
        <v/>
      </c>
      <c r="F2277" s="11" t="str">
        <f aca="false">IF($A2277="","",IF(원본명단!$I2276="",0,COUNTIF(원본명단!$I$3:$I$6002,원본명단!$I2276)))</f>
        <v/>
      </c>
      <c r="G2277" s="11" t="str">
        <f aca="false">IF($A2277="","",IF(원본명단!$K2276="",0,COUNTIF(원본명단!$K$3:$K$6002,원본명단!$K2276)))</f>
        <v/>
      </c>
      <c r="H2277" s="11" t="str">
        <f aca="false">IF($A2277="","",IF(MAX($E2277,$F2277,$G2277)&gt;1,"중복","-"))</f>
        <v/>
      </c>
      <c r="I2277" s="11" t="str">
        <f aca="false">IF($A2277="","",IF($H2277="-","-",IF(AND(IF(원본명단!$H2276="",TRUE(),COUNTIF(원본명단!$H$3:$H2276,원본명단!$H2276)=1),IF(원본명단!$I2276="",TRUE(),COUNTIF(원본명단!$I$3:$I2276,원본명단!$I2276)=1),IF(원본명단!$K2276="",TRUE(),COUNTIF(원본명단!$K$3:$K2276,원본명단!$K2276)=1)),"첫 건","중복 건")))</f>
        <v/>
      </c>
      <c r="J2277" s="11" t="str">
        <f aca="false">IF($A2277="","",IF($H2277="-","유지",IF($I2277="첫 건","유지","확인 필요")))</f>
        <v/>
      </c>
    </row>
    <row r="2278" customFormat="false" ht="15" hidden="false" customHeight="true" outlineLevel="0" collapsed="false">
      <c r="A2278" s="11" t="str">
        <f aca="false">IF(원본명단!$A2277="","",2275)</f>
        <v/>
      </c>
      <c r="B2278" s="12" t="str">
        <f aca="false">IF($A2278="","",원본명단!$A2277)</f>
        <v/>
      </c>
      <c r="C2278" s="12" t="str">
        <f aca="false">IF($A2278="","",원본명단!$B2277)</f>
        <v/>
      </c>
      <c r="D2278" s="12" t="str">
        <f aca="false">IF($A2278="","",원본명단!$D2277)</f>
        <v/>
      </c>
      <c r="E2278" s="11" t="str">
        <f aca="false">IF($A2278="","",IF(원본명단!$H2277="",0,COUNTIF(원본명단!$H$3:$H$6002,원본명단!$H2277)))</f>
        <v/>
      </c>
      <c r="F2278" s="11" t="str">
        <f aca="false">IF($A2278="","",IF(원본명단!$I2277="",0,COUNTIF(원본명단!$I$3:$I$6002,원본명단!$I2277)))</f>
        <v/>
      </c>
      <c r="G2278" s="11" t="str">
        <f aca="false">IF($A2278="","",IF(원본명단!$K2277="",0,COUNTIF(원본명단!$K$3:$K$6002,원본명단!$K2277)))</f>
        <v/>
      </c>
      <c r="H2278" s="11" t="str">
        <f aca="false">IF($A2278="","",IF(MAX($E2278,$F2278,$G2278)&gt;1,"중복","-"))</f>
        <v/>
      </c>
      <c r="I2278" s="11" t="str">
        <f aca="false">IF($A2278="","",IF($H2278="-","-",IF(AND(IF(원본명단!$H2277="",TRUE(),COUNTIF(원본명단!$H$3:$H2277,원본명단!$H2277)=1),IF(원본명단!$I2277="",TRUE(),COUNTIF(원본명단!$I$3:$I2277,원본명단!$I2277)=1),IF(원본명단!$K2277="",TRUE(),COUNTIF(원본명단!$K$3:$K2277,원본명단!$K2277)=1)),"첫 건","중복 건")))</f>
        <v/>
      </c>
      <c r="J2278" s="11" t="str">
        <f aca="false">IF($A2278="","",IF($H2278="-","유지",IF($I2278="첫 건","유지","확인 필요")))</f>
        <v/>
      </c>
    </row>
    <row r="2279" customFormat="false" ht="15" hidden="false" customHeight="true" outlineLevel="0" collapsed="false">
      <c r="A2279" s="11" t="str">
        <f aca="false">IF(원본명단!$A2278="","",2276)</f>
        <v/>
      </c>
      <c r="B2279" s="12" t="str">
        <f aca="false">IF($A2279="","",원본명단!$A2278)</f>
        <v/>
      </c>
      <c r="C2279" s="12" t="str">
        <f aca="false">IF($A2279="","",원본명단!$B2278)</f>
        <v/>
      </c>
      <c r="D2279" s="12" t="str">
        <f aca="false">IF($A2279="","",원본명단!$D2278)</f>
        <v/>
      </c>
      <c r="E2279" s="11" t="str">
        <f aca="false">IF($A2279="","",IF(원본명단!$H2278="",0,COUNTIF(원본명단!$H$3:$H$6002,원본명단!$H2278)))</f>
        <v/>
      </c>
      <c r="F2279" s="11" t="str">
        <f aca="false">IF($A2279="","",IF(원본명단!$I2278="",0,COUNTIF(원본명단!$I$3:$I$6002,원본명단!$I2278)))</f>
        <v/>
      </c>
      <c r="G2279" s="11" t="str">
        <f aca="false">IF($A2279="","",IF(원본명단!$K2278="",0,COUNTIF(원본명단!$K$3:$K$6002,원본명단!$K2278)))</f>
        <v/>
      </c>
      <c r="H2279" s="11" t="str">
        <f aca="false">IF($A2279="","",IF(MAX($E2279,$F2279,$G2279)&gt;1,"중복","-"))</f>
        <v/>
      </c>
      <c r="I2279" s="11" t="str">
        <f aca="false">IF($A2279="","",IF($H2279="-","-",IF(AND(IF(원본명단!$H2278="",TRUE(),COUNTIF(원본명단!$H$3:$H2278,원본명단!$H2278)=1),IF(원본명단!$I2278="",TRUE(),COUNTIF(원본명단!$I$3:$I2278,원본명단!$I2278)=1),IF(원본명단!$K2278="",TRUE(),COUNTIF(원본명단!$K$3:$K2278,원본명단!$K2278)=1)),"첫 건","중복 건")))</f>
        <v/>
      </c>
      <c r="J2279" s="11" t="str">
        <f aca="false">IF($A2279="","",IF($H2279="-","유지",IF($I2279="첫 건","유지","확인 필요")))</f>
        <v/>
      </c>
    </row>
    <row r="2280" customFormat="false" ht="15" hidden="false" customHeight="true" outlineLevel="0" collapsed="false">
      <c r="A2280" s="11" t="str">
        <f aca="false">IF(원본명단!$A2279="","",2277)</f>
        <v/>
      </c>
      <c r="B2280" s="12" t="str">
        <f aca="false">IF($A2280="","",원본명단!$A2279)</f>
        <v/>
      </c>
      <c r="C2280" s="12" t="str">
        <f aca="false">IF($A2280="","",원본명단!$B2279)</f>
        <v/>
      </c>
      <c r="D2280" s="12" t="str">
        <f aca="false">IF($A2280="","",원본명단!$D2279)</f>
        <v/>
      </c>
      <c r="E2280" s="11" t="str">
        <f aca="false">IF($A2280="","",IF(원본명단!$H2279="",0,COUNTIF(원본명단!$H$3:$H$6002,원본명단!$H2279)))</f>
        <v/>
      </c>
      <c r="F2280" s="11" t="str">
        <f aca="false">IF($A2280="","",IF(원본명단!$I2279="",0,COUNTIF(원본명단!$I$3:$I$6002,원본명단!$I2279)))</f>
        <v/>
      </c>
      <c r="G2280" s="11" t="str">
        <f aca="false">IF($A2280="","",IF(원본명단!$K2279="",0,COUNTIF(원본명단!$K$3:$K$6002,원본명단!$K2279)))</f>
        <v/>
      </c>
      <c r="H2280" s="11" t="str">
        <f aca="false">IF($A2280="","",IF(MAX($E2280,$F2280,$G2280)&gt;1,"중복","-"))</f>
        <v/>
      </c>
      <c r="I2280" s="11" t="str">
        <f aca="false">IF($A2280="","",IF($H2280="-","-",IF(AND(IF(원본명단!$H2279="",TRUE(),COUNTIF(원본명단!$H$3:$H2279,원본명단!$H2279)=1),IF(원본명단!$I2279="",TRUE(),COUNTIF(원본명단!$I$3:$I2279,원본명단!$I2279)=1),IF(원본명단!$K2279="",TRUE(),COUNTIF(원본명단!$K$3:$K2279,원본명단!$K2279)=1)),"첫 건","중복 건")))</f>
        <v/>
      </c>
      <c r="J2280" s="11" t="str">
        <f aca="false">IF($A2280="","",IF($H2280="-","유지",IF($I2280="첫 건","유지","확인 필요")))</f>
        <v/>
      </c>
    </row>
    <row r="2281" customFormat="false" ht="15" hidden="false" customHeight="true" outlineLevel="0" collapsed="false">
      <c r="A2281" s="11" t="str">
        <f aca="false">IF(원본명단!$A2280="","",2278)</f>
        <v/>
      </c>
      <c r="B2281" s="12" t="str">
        <f aca="false">IF($A2281="","",원본명단!$A2280)</f>
        <v/>
      </c>
      <c r="C2281" s="12" t="str">
        <f aca="false">IF($A2281="","",원본명단!$B2280)</f>
        <v/>
      </c>
      <c r="D2281" s="12" t="str">
        <f aca="false">IF($A2281="","",원본명단!$D2280)</f>
        <v/>
      </c>
      <c r="E2281" s="11" t="str">
        <f aca="false">IF($A2281="","",IF(원본명단!$H2280="",0,COUNTIF(원본명단!$H$3:$H$6002,원본명단!$H2280)))</f>
        <v/>
      </c>
      <c r="F2281" s="11" t="str">
        <f aca="false">IF($A2281="","",IF(원본명단!$I2280="",0,COUNTIF(원본명단!$I$3:$I$6002,원본명단!$I2280)))</f>
        <v/>
      </c>
      <c r="G2281" s="11" t="str">
        <f aca="false">IF($A2281="","",IF(원본명단!$K2280="",0,COUNTIF(원본명단!$K$3:$K$6002,원본명단!$K2280)))</f>
        <v/>
      </c>
      <c r="H2281" s="11" t="str">
        <f aca="false">IF($A2281="","",IF(MAX($E2281,$F2281,$G2281)&gt;1,"중복","-"))</f>
        <v/>
      </c>
      <c r="I2281" s="11" t="str">
        <f aca="false">IF($A2281="","",IF($H2281="-","-",IF(AND(IF(원본명단!$H2280="",TRUE(),COUNTIF(원본명단!$H$3:$H2280,원본명단!$H2280)=1),IF(원본명단!$I2280="",TRUE(),COUNTIF(원본명단!$I$3:$I2280,원본명단!$I2280)=1),IF(원본명단!$K2280="",TRUE(),COUNTIF(원본명단!$K$3:$K2280,원본명단!$K2280)=1)),"첫 건","중복 건")))</f>
        <v/>
      </c>
      <c r="J2281" s="11" t="str">
        <f aca="false">IF($A2281="","",IF($H2281="-","유지",IF($I2281="첫 건","유지","확인 필요")))</f>
        <v/>
      </c>
    </row>
    <row r="2282" customFormat="false" ht="15" hidden="false" customHeight="true" outlineLevel="0" collapsed="false">
      <c r="A2282" s="11" t="str">
        <f aca="false">IF(원본명단!$A2281="","",2279)</f>
        <v/>
      </c>
      <c r="B2282" s="12" t="str">
        <f aca="false">IF($A2282="","",원본명단!$A2281)</f>
        <v/>
      </c>
      <c r="C2282" s="12" t="str">
        <f aca="false">IF($A2282="","",원본명단!$B2281)</f>
        <v/>
      </c>
      <c r="D2282" s="12" t="str">
        <f aca="false">IF($A2282="","",원본명단!$D2281)</f>
        <v/>
      </c>
      <c r="E2282" s="11" t="str">
        <f aca="false">IF($A2282="","",IF(원본명단!$H2281="",0,COUNTIF(원본명단!$H$3:$H$6002,원본명단!$H2281)))</f>
        <v/>
      </c>
      <c r="F2282" s="11" t="str">
        <f aca="false">IF($A2282="","",IF(원본명단!$I2281="",0,COUNTIF(원본명단!$I$3:$I$6002,원본명단!$I2281)))</f>
        <v/>
      </c>
      <c r="G2282" s="11" t="str">
        <f aca="false">IF($A2282="","",IF(원본명단!$K2281="",0,COUNTIF(원본명단!$K$3:$K$6002,원본명단!$K2281)))</f>
        <v/>
      </c>
      <c r="H2282" s="11" t="str">
        <f aca="false">IF($A2282="","",IF(MAX($E2282,$F2282,$G2282)&gt;1,"중복","-"))</f>
        <v/>
      </c>
      <c r="I2282" s="11" t="str">
        <f aca="false">IF($A2282="","",IF($H2282="-","-",IF(AND(IF(원본명단!$H2281="",TRUE(),COUNTIF(원본명단!$H$3:$H2281,원본명단!$H2281)=1),IF(원본명단!$I2281="",TRUE(),COUNTIF(원본명단!$I$3:$I2281,원본명단!$I2281)=1),IF(원본명단!$K2281="",TRUE(),COUNTIF(원본명단!$K$3:$K2281,원본명단!$K2281)=1)),"첫 건","중복 건")))</f>
        <v/>
      </c>
      <c r="J2282" s="11" t="str">
        <f aca="false">IF($A2282="","",IF($H2282="-","유지",IF($I2282="첫 건","유지","확인 필요")))</f>
        <v/>
      </c>
    </row>
    <row r="2283" customFormat="false" ht="15" hidden="false" customHeight="true" outlineLevel="0" collapsed="false">
      <c r="A2283" s="11" t="str">
        <f aca="false">IF(원본명단!$A2282="","",2280)</f>
        <v/>
      </c>
      <c r="B2283" s="12" t="str">
        <f aca="false">IF($A2283="","",원본명단!$A2282)</f>
        <v/>
      </c>
      <c r="C2283" s="12" t="str">
        <f aca="false">IF($A2283="","",원본명단!$B2282)</f>
        <v/>
      </c>
      <c r="D2283" s="12" t="str">
        <f aca="false">IF($A2283="","",원본명단!$D2282)</f>
        <v/>
      </c>
      <c r="E2283" s="11" t="str">
        <f aca="false">IF($A2283="","",IF(원본명단!$H2282="",0,COUNTIF(원본명단!$H$3:$H$6002,원본명단!$H2282)))</f>
        <v/>
      </c>
      <c r="F2283" s="11" t="str">
        <f aca="false">IF($A2283="","",IF(원본명단!$I2282="",0,COUNTIF(원본명단!$I$3:$I$6002,원본명단!$I2282)))</f>
        <v/>
      </c>
      <c r="G2283" s="11" t="str">
        <f aca="false">IF($A2283="","",IF(원본명단!$K2282="",0,COUNTIF(원본명단!$K$3:$K$6002,원본명단!$K2282)))</f>
        <v/>
      </c>
      <c r="H2283" s="11" t="str">
        <f aca="false">IF($A2283="","",IF(MAX($E2283,$F2283,$G2283)&gt;1,"중복","-"))</f>
        <v/>
      </c>
      <c r="I2283" s="11" t="str">
        <f aca="false">IF($A2283="","",IF($H2283="-","-",IF(AND(IF(원본명단!$H2282="",TRUE(),COUNTIF(원본명단!$H$3:$H2282,원본명단!$H2282)=1),IF(원본명단!$I2282="",TRUE(),COUNTIF(원본명단!$I$3:$I2282,원본명단!$I2282)=1),IF(원본명단!$K2282="",TRUE(),COUNTIF(원본명단!$K$3:$K2282,원본명단!$K2282)=1)),"첫 건","중복 건")))</f>
        <v/>
      </c>
      <c r="J2283" s="11" t="str">
        <f aca="false">IF($A2283="","",IF($H2283="-","유지",IF($I2283="첫 건","유지","확인 필요")))</f>
        <v/>
      </c>
    </row>
    <row r="2284" customFormat="false" ht="15" hidden="false" customHeight="true" outlineLevel="0" collapsed="false">
      <c r="A2284" s="11" t="str">
        <f aca="false">IF(원본명단!$A2283="","",2281)</f>
        <v/>
      </c>
      <c r="B2284" s="12" t="str">
        <f aca="false">IF($A2284="","",원본명단!$A2283)</f>
        <v/>
      </c>
      <c r="C2284" s="12" t="str">
        <f aca="false">IF($A2284="","",원본명단!$B2283)</f>
        <v/>
      </c>
      <c r="D2284" s="12" t="str">
        <f aca="false">IF($A2284="","",원본명단!$D2283)</f>
        <v/>
      </c>
      <c r="E2284" s="11" t="str">
        <f aca="false">IF($A2284="","",IF(원본명단!$H2283="",0,COUNTIF(원본명단!$H$3:$H$6002,원본명단!$H2283)))</f>
        <v/>
      </c>
      <c r="F2284" s="11" t="str">
        <f aca="false">IF($A2284="","",IF(원본명단!$I2283="",0,COUNTIF(원본명단!$I$3:$I$6002,원본명단!$I2283)))</f>
        <v/>
      </c>
      <c r="G2284" s="11" t="str">
        <f aca="false">IF($A2284="","",IF(원본명단!$K2283="",0,COUNTIF(원본명단!$K$3:$K$6002,원본명단!$K2283)))</f>
        <v/>
      </c>
      <c r="H2284" s="11" t="str">
        <f aca="false">IF($A2284="","",IF(MAX($E2284,$F2284,$G2284)&gt;1,"중복","-"))</f>
        <v/>
      </c>
      <c r="I2284" s="11" t="str">
        <f aca="false">IF($A2284="","",IF($H2284="-","-",IF(AND(IF(원본명단!$H2283="",TRUE(),COUNTIF(원본명단!$H$3:$H2283,원본명단!$H2283)=1),IF(원본명단!$I2283="",TRUE(),COUNTIF(원본명단!$I$3:$I2283,원본명단!$I2283)=1),IF(원본명단!$K2283="",TRUE(),COUNTIF(원본명단!$K$3:$K2283,원본명단!$K2283)=1)),"첫 건","중복 건")))</f>
        <v/>
      </c>
      <c r="J2284" s="11" t="str">
        <f aca="false">IF($A2284="","",IF($H2284="-","유지",IF($I2284="첫 건","유지","확인 필요")))</f>
        <v/>
      </c>
    </row>
    <row r="2285" customFormat="false" ht="15" hidden="false" customHeight="true" outlineLevel="0" collapsed="false">
      <c r="A2285" s="11" t="str">
        <f aca="false">IF(원본명단!$A2284="","",2282)</f>
        <v/>
      </c>
      <c r="B2285" s="12" t="str">
        <f aca="false">IF($A2285="","",원본명단!$A2284)</f>
        <v/>
      </c>
      <c r="C2285" s="12" t="str">
        <f aca="false">IF($A2285="","",원본명단!$B2284)</f>
        <v/>
      </c>
      <c r="D2285" s="12" t="str">
        <f aca="false">IF($A2285="","",원본명단!$D2284)</f>
        <v/>
      </c>
      <c r="E2285" s="11" t="str">
        <f aca="false">IF($A2285="","",IF(원본명단!$H2284="",0,COUNTIF(원본명단!$H$3:$H$6002,원본명단!$H2284)))</f>
        <v/>
      </c>
      <c r="F2285" s="11" t="str">
        <f aca="false">IF($A2285="","",IF(원본명단!$I2284="",0,COUNTIF(원본명단!$I$3:$I$6002,원본명단!$I2284)))</f>
        <v/>
      </c>
      <c r="G2285" s="11" t="str">
        <f aca="false">IF($A2285="","",IF(원본명단!$K2284="",0,COUNTIF(원본명단!$K$3:$K$6002,원본명단!$K2284)))</f>
        <v/>
      </c>
      <c r="H2285" s="11" t="str">
        <f aca="false">IF($A2285="","",IF(MAX($E2285,$F2285,$G2285)&gt;1,"중복","-"))</f>
        <v/>
      </c>
      <c r="I2285" s="11" t="str">
        <f aca="false">IF($A2285="","",IF($H2285="-","-",IF(AND(IF(원본명단!$H2284="",TRUE(),COUNTIF(원본명단!$H$3:$H2284,원본명단!$H2284)=1),IF(원본명단!$I2284="",TRUE(),COUNTIF(원본명단!$I$3:$I2284,원본명단!$I2284)=1),IF(원본명단!$K2284="",TRUE(),COUNTIF(원본명단!$K$3:$K2284,원본명단!$K2284)=1)),"첫 건","중복 건")))</f>
        <v/>
      </c>
      <c r="J2285" s="11" t="str">
        <f aca="false">IF($A2285="","",IF($H2285="-","유지",IF($I2285="첫 건","유지","확인 필요")))</f>
        <v/>
      </c>
    </row>
    <row r="2286" customFormat="false" ht="15" hidden="false" customHeight="true" outlineLevel="0" collapsed="false">
      <c r="A2286" s="11" t="str">
        <f aca="false">IF(원본명단!$A2285="","",2283)</f>
        <v/>
      </c>
      <c r="B2286" s="12" t="str">
        <f aca="false">IF($A2286="","",원본명단!$A2285)</f>
        <v/>
      </c>
      <c r="C2286" s="12" t="str">
        <f aca="false">IF($A2286="","",원본명단!$B2285)</f>
        <v/>
      </c>
      <c r="D2286" s="12" t="str">
        <f aca="false">IF($A2286="","",원본명단!$D2285)</f>
        <v/>
      </c>
      <c r="E2286" s="11" t="str">
        <f aca="false">IF($A2286="","",IF(원본명단!$H2285="",0,COUNTIF(원본명단!$H$3:$H$6002,원본명단!$H2285)))</f>
        <v/>
      </c>
      <c r="F2286" s="11" t="str">
        <f aca="false">IF($A2286="","",IF(원본명단!$I2285="",0,COUNTIF(원본명단!$I$3:$I$6002,원본명단!$I2285)))</f>
        <v/>
      </c>
      <c r="G2286" s="11" t="str">
        <f aca="false">IF($A2286="","",IF(원본명단!$K2285="",0,COUNTIF(원본명단!$K$3:$K$6002,원본명단!$K2285)))</f>
        <v/>
      </c>
      <c r="H2286" s="11" t="str">
        <f aca="false">IF($A2286="","",IF(MAX($E2286,$F2286,$G2286)&gt;1,"중복","-"))</f>
        <v/>
      </c>
      <c r="I2286" s="11" t="str">
        <f aca="false">IF($A2286="","",IF($H2286="-","-",IF(AND(IF(원본명단!$H2285="",TRUE(),COUNTIF(원본명단!$H$3:$H2285,원본명단!$H2285)=1),IF(원본명단!$I2285="",TRUE(),COUNTIF(원본명단!$I$3:$I2285,원본명단!$I2285)=1),IF(원본명단!$K2285="",TRUE(),COUNTIF(원본명단!$K$3:$K2285,원본명단!$K2285)=1)),"첫 건","중복 건")))</f>
        <v/>
      </c>
      <c r="J2286" s="11" t="str">
        <f aca="false">IF($A2286="","",IF($H2286="-","유지",IF($I2286="첫 건","유지","확인 필요")))</f>
        <v/>
      </c>
    </row>
    <row r="2287" customFormat="false" ht="15" hidden="false" customHeight="true" outlineLevel="0" collapsed="false">
      <c r="A2287" s="11" t="str">
        <f aca="false">IF(원본명단!$A2286="","",2284)</f>
        <v/>
      </c>
      <c r="B2287" s="12" t="str">
        <f aca="false">IF($A2287="","",원본명단!$A2286)</f>
        <v/>
      </c>
      <c r="C2287" s="12" t="str">
        <f aca="false">IF($A2287="","",원본명단!$B2286)</f>
        <v/>
      </c>
      <c r="D2287" s="12" t="str">
        <f aca="false">IF($A2287="","",원본명단!$D2286)</f>
        <v/>
      </c>
      <c r="E2287" s="11" t="str">
        <f aca="false">IF($A2287="","",IF(원본명단!$H2286="",0,COUNTIF(원본명단!$H$3:$H$6002,원본명단!$H2286)))</f>
        <v/>
      </c>
      <c r="F2287" s="11" t="str">
        <f aca="false">IF($A2287="","",IF(원본명단!$I2286="",0,COUNTIF(원본명단!$I$3:$I$6002,원본명단!$I2286)))</f>
        <v/>
      </c>
      <c r="G2287" s="11" t="str">
        <f aca="false">IF($A2287="","",IF(원본명단!$K2286="",0,COUNTIF(원본명단!$K$3:$K$6002,원본명단!$K2286)))</f>
        <v/>
      </c>
      <c r="H2287" s="11" t="str">
        <f aca="false">IF($A2287="","",IF(MAX($E2287,$F2287,$G2287)&gt;1,"중복","-"))</f>
        <v/>
      </c>
      <c r="I2287" s="11" t="str">
        <f aca="false">IF($A2287="","",IF($H2287="-","-",IF(AND(IF(원본명단!$H2286="",TRUE(),COUNTIF(원본명단!$H$3:$H2286,원본명단!$H2286)=1),IF(원본명단!$I2286="",TRUE(),COUNTIF(원본명단!$I$3:$I2286,원본명단!$I2286)=1),IF(원본명단!$K2286="",TRUE(),COUNTIF(원본명단!$K$3:$K2286,원본명단!$K2286)=1)),"첫 건","중복 건")))</f>
        <v/>
      </c>
      <c r="J2287" s="11" t="str">
        <f aca="false">IF($A2287="","",IF($H2287="-","유지",IF($I2287="첫 건","유지","확인 필요")))</f>
        <v/>
      </c>
    </row>
    <row r="2288" customFormat="false" ht="15" hidden="false" customHeight="true" outlineLevel="0" collapsed="false">
      <c r="A2288" s="11" t="str">
        <f aca="false">IF(원본명단!$A2287="","",2285)</f>
        <v/>
      </c>
      <c r="B2288" s="12" t="str">
        <f aca="false">IF($A2288="","",원본명단!$A2287)</f>
        <v/>
      </c>
      <c r="C2288" s="12" t="str">
        <f aca="false">IF($A2288="","",원본명단!$B2287)</f>
        <v/>
      </c>
      <c r="D2288" s="12" t="str">
        <f aca="false">IF($A2288="","",원본명단!$D2287)</f>
        <v/>
      </c>
      <c r="E2288" s="11" t="str">
        <f aca="false">IF($A2288="","",IF(원본명단!$H2287="",0,COUNTIF(원본명단!$H$3:$H$6002,원본명단!$H2287)))</f>
        <v/>
      </c>
      <c r="F2288" s="11" t="str">
        <f aca="false">IF($A2288="","",IF(원본명단!$I2287="",0,COUNTIF(원본명단!$I$3:$I$6002,원본명단!$I2287)))</f>
        <v/>
      </c>
      <c r="G2288" s="11" t="str">
        <f aca="false">IF($A2288="","",IF(원본명단!$K2287="",0,COUNTIF(원본명단!$K$3:$K$6002,원본명단!$K2287)))</f>
        <v/>
      </c>
      <c r="H2288" s="11" t="str">
        <f aca="false">IF($A2288="","",IF(MAX($E2288,$F2288,$G2288)&gt;1,"중복","-"))</f>
        <v/>
      </c>
      <c r="I2288" s="11" t="str">
        <f aca="false">IF($A2288="","",IF($H2288="-","-",IF(AND(IF(원본명단!$H2287="",TRUE(),COUNTIF(원본명단!$H$3:$H2287,원본명단!$H2287)=1),IF(원본명단!$I2287="",TRUE(),COUNTIF(원본명단!$I$3:$I2287,원본명단!$I2287)=1),IF(원본명단!$K2287="",TRUE(),COUNTIF(원본명단!$K$3:$K2287,원본명단!$K2287)=1)),"첫 건","중복 건")))</f>
        <v/>
      </c>
      <c r="J2288" s="11" t="str">
        <f aca="false">IF($A2288="","",IF($H2288="-","유지",IF($I2288="첫 건","유지","확인 필요")))</f>
        <v/>
      </c>
    </row>
    <row r="2289" customFormat="false" ht="15" hidden="false" customHeight="true" outlineLevel="0" collapsed="false">
      <c r="A2289" s="11" t="str">
        <f aca="false">IF(원본명단!$A2288="","",2286)</f>
        <v/>
      </c>
      <c r="B2289" s="12" t="str">
        <f aca="false">IF($A2289="","",원본명단!$A2288)</f>
        <v/>
      </c>
      <c r="C2289" s="12" t="str">
        <f aca="false">IF($A2289="","",원본명단!$B2288)</f>
        <v/>
      </c>
      <c r="D2289" s="12" t="str">
        <f aca="false">IF($A2289="","",원본명단!$D2288)</f>
        <v/>
      </c>
      <c r="E2289" s="11" t="str">
        <f aca="false">IF($A2289="","",IF(원본명단!$H2288="",0,COUNTIF(원본명단!$H$3:$H$6002,원본명단!$H2288)))</f>
        <v/>
      </c>
      <c r="F2289" s="11" t="str">
        <f aca="false">IF($A2289="","",IF(원본명단!$I2288="",0,COUNTIF(원본명단!$I$3:$I$6002,원본명단!$I2288)))</f>
        <v/>
      </c>
      <c r="G2289" s="11" t="str">
        <f aca="false">IF($A2289="","",IF(원본명단!$K2288="",0,COUNTIF(원본명단!$K$3:$K$6002,원본명단!$K2288)))</f>
        <v/>
      </c>
      <c r="H2289" s="11" t="str">
        <f aca="false">IF($A2289="","",IF(MAX($E2289,$F2289,$G2289)&gt;1,"중복","-"))</f>
        <v/>
      </c>
      <c r="I2289" s="11" t="str">
        <f aca="false">IF($A2289="","",IF($H2289="-","-",IF(AND(IF(원본명단!$H2288="",TRUE(),COUNTIF(원본명단!$H$3:$H2288,원본명단!$H2288)=1),IF(원본명단!$I2288="",TRUE(),COUNTIF(원본명단!$I$3:$I2288,원본명단!$I2288)=1),IF(원본명단!$K2288="",TRUE(),COUNTIF(원본명단!$K$3:$K2288,원본명단!$K2288)=1)),"첫 건","중복 건")))</f>
        <v/>
      </c>
      <c r="J2289" s="11" t="str">
        <f aca="false">IF($A2289="","",IF($H2289="-","유지",IF($I2289="첫 건","유지","확인 필요")))</f>
        <v/>
      </c>
    </row>
    <row r="2290" customFormat="false" ht="15" hidden="false" customHeight="true" outlineLevel="0" collapsed="false">
      <c r="A2290" s="11" t="str">
        <f aca="false">IF(원본명단!$A2289="","",2287)</f>
        <v/>
      </c>
      <c r="B2290" s="12" t="str">
        <f aca="false">IF($A2290="","",원본명단!$A2289)</f>
        <v/>
      </c>
      <c r="C2290" s="12" t="str">
        <f aca="false">IF($A2290="","",원본명단!$B2289)</f>
        <v/>
      </c>
      <c r="D2290" s="12" t="str">
        <f aca="false">IF($A2290="","",원본명단!$D2289)</f>
        <v/>
      </c>
      <c r="E2290" s="11" t="str">
        <f aca="false">IF($A2290="","",IF(원본명단!$H2289="",0,COUNTIF(원본명단!$H$3:$H$6002,원본명단!$H2289)))</f>
        <v/>
      </c>
      <c r="F2290" s="11" t="str">
        <f aca="false">IF($A2290="","",IF(원본명단!$I2289="",0,COUNTIF(원본명단!$I$3:$I$6002,원본명단!$I2289)))</f>
        <v/>
      </c>
      <c r="G2290" s="11" t="str">
        <f aca="false">IF($A2290="","",IF(원본명단!$K2289="",0,COUNTIF(원본명단!$K$3:$K$6002,원본명단!$K2289)))</f>
        <v/>
      </c>
      <c r="H2290" s="11" t="str">
        <f aca="false">IF($A2290="","",IF(MAX($E2290,$F2290,$G2290)&gt;1,"중복","-"))</f>
        <v/>
      </c>
      <c r="I2290" s="11" t="str">
        <f aca="false">IF($A2290="","",IF($H2290="-","-",IF(AND(IF(원본명단!$H2289="",TRUE(),COUNTIF(원본명단!$H$3:$H2289,원본명단!$H2289)=1),IF(원본명단!$I2289="",TRUE(),COUNTIF(원본명단!$I$3:$I2289,원본명단!$I2289)=1),IF(원본명단!$K2289="",TRUE(),COUNTIF(원본명단!$K$3:$K2289,원본명단!$K2289)=1)),"첫 건","중복 건")))</f>
        <v/>
      </c>
      <c r="J2290" s="11" t="str">
        <f aca="false">IF($A2290="","",IF($H2290="-","유지",IF($I2290="첫 건","유지","확인 필요")))</f>
        <v/>
      </c>
    </row>
    <row r="2291" customFormat="false" ht="15" hidden="false" customHeight="true" outlineLevel="0" collapsed="false">
      <c r="A2291" s="11" t="str">
        <f aca="false">IF(원본명단!$A2290="","",2288)</f>
        <v/>
      </c>
      <c r="B2291" s="12" t="str">
        <f aca="false">IF($A2291="","",원본명단!$A2290)</f>
        <v/>
      </c>
      <c r="C2291" s="12" t="str">
        <f aca="false">IF($A2291="","",원본명단!$B2290)</f>
        <v/>
      </c>
      <c r="D2291" s="12" t="str">
        <f aca="false">IF($A2291="","",원본명단!$D2290)</f>
        <v/>
      </c>
      <c r="E2291" s="11" t="str">
        <f aca="false">IF($A2291="","",IF(원본명단!$H2290="",0,COUNTIF(원본명단!$H$3:$H$6002,원본명단!$H2290)))</f>
        <v/>
      </c>
      <c r="F2291" s="11" t="str">
        <f aca="false">IF($A2291="","",IF(원본명단!$I2290="",0,COUNTIF(원본명단!$I$3:$I$6002,원본명단!$I2290)))</f>
        <v/>
      </c>
      <c r="G2291" s="11" t="str">
        <f aca="false">IF($A2291="","",IF(원본명단!$K2290="",0,COUNTIF(원본명단!$K$3:$K$6002,원본명단!$K2290)))</f>
        <v/>
      </c>
      <c r="H2291" s="11" t="str">
        <f aca="false">IF($A2291="","",IF(MAX($E2291,$F2291,$G2291)&gt;1,"중복","-"))</f>
        <v/>
      </c>
      <c r="I2291" s="11" t="str">
        <f aca="false">IF($A2291="","",IF($H2291="-","-",IF(AND(IF(원본명단!$H2290="",TRUE(),COUNTIF(원본명단!$H$3:$H2290,원본명단!$H2290)=1),IF(원본명단!$I2290="",TRUE(),COUNTIF(원본명단!$I$3:$I2290,원본명단!$I2290)=1),IF(원본명단!$K2290="",TRUE(),COUNTIF(원본명단!$K$3:$K2290,원본명단!$K2290)=1)),"첫 건","중복 건")))</f>
        <v/>
      </c>
      <c r="J2291" s="11" t="str">
        <f aca="false">IF($A2291="","",IF($H2291="-","유지",IF($I2291="첫 건","유지","확인 필요")))</f>
        <v/>
      </c>
    </row>
    <row r="2292" customFormat="false" ht="15" hidden="false" customHeight="true" outlineLevel="0" collapsed="false">
      <c r="A2292" s="11" t="str">
        <f aca="false">IF(원본명단!$A2291="","",2289)</f>
        <v/>
      </c>
      <c r="B2292" s="12" t="str">
        <f aca="false">IF($A2292="","",원본명단!$A2291)</f>
        <v/>
      </c>
      <c r="C2292" s="12" t="str">
        <f aca="false">IF($A2292="","",원본명단!$B2291)</f>
        <v/>
      </c>
      <c r="D2292" s="12" t="str">
        <f aca="false">IF($A2292="","",원본명단!$D2291)</f>
        <v/>
      </c>
      <c r="E2292" s="11" t="str">
        <f aca="false">IF($A2292="","",IF(원본명단!$H2291="",0,COUNTIF(원본명단!$H$3:$H$6002,원본명단!$H2291)))</f>
        <v/>
      </c>
      <c r="F2292" s="11" t="str">
        <f aca="false">IF($A2292="","",IF(원본명단!$I2291="",0,COUNTIF(원본명단!$I$3:$I$6002,원본명단!$I2291)))</f>
        <v/>
      </c>
      <c r="G2292" s="11" t="str">
        <f aca="false">IF($A2292="","",IF(원본명단!$K2291="",0,COUNTIF(원본명단!$K$3:$K$6002,원본명단!$K2291)))</f>
        <v/>
      </c>
      <c r="H2292" s="11" t="str">
        <f aca="false">IF($A2292="","",IF(MAX($E2292,$F2292,$G2292)&gt;1,"중복","-"))</f>
        <v/>
      </c>
      <c r="I2292" s="11" t="str">
        <f aca="false">IF($A2292="","",IF($H2292="-","-",IF(AND(IF(원본명단!$H2291="",TRUE(),COUNTIF(원본명단!$H$3:$H2291,원본명단!$H2291)=1),IF(원본명단!$I2291="",TRUE(),COUNTIF(원본명단!$I$3:$I2291,원본명단!$I2291)=1),IF(원본명단!$K2291="",TRUE(),COUNTIF(원본명단!$K$3:$K2291,원본명단!$K2291)=1)),"첫 건","중복 건")))</f>
        <v/>
      </c>
      <c r="J2292" s="11" t="str">
        <f aca="false">IF($A2292="","",IF($H2292="-","유지",IF($I2292="첫 건","유지","확인 필요")))</f>
        <v/>
      </c>
    </row>
    <row r="2293" customFormat="false" ht="15" hidden="false" customHeight="true" outlineLevel="0" collapsed="false">
      <c r="A2293" s="11" t="str">
        <f aca="false">IF(원본명단!$A2292="","",2290)</f>
        <v/>
      </c>
      <c r="B2293" s="12" t="str">
        <f aca="false">IF($A2293="","",원본명단!$A2292)</f>
        <v/>
      </c>
      <c r="C2293" s="12" t="str">
        <f aca="false">IF($A2293="","",원본명단!$B2292)</f>
        <v/>
      </c>
      <c r="D2293" s="12" t="str">
        <f aca="false">IF($A2293="","",원본명단!$D2292)</f>
        <v/>
      </c>
      <c r="E2293" s="11" t="str">
        <f aca="false">IF($A2293="","",IF(원본명단!$H2292="",0,COUNTIF(원본명단!$H$3:$H$6002,원본명단!$H2292)))</f>
        <v/>
      </c>
      <c r="F2293" s="11" t="str">
        <f aca="false">IF($A2293="","",IF(원본명단!$I2292="",0,COUNTIF(원본명단!$I$3:$I$6002,원본명단!$I2292)))</f>
        <v/>
      </c>
      <c r="G2293" s="11" t="str">
        <f aca="false">IF($A2293="","",IF(원본명단!$K2292="",0,COUNTIF(원본명단!$K$3:$K$6002,원본명단!$K2292)))</f>
        <v/>
      </c>
      <c r="H2293" s="11" t="str">
        <f aca="false">IF($A2293="","",IF(MAX($E2293,$F2293,$G2293)&gt;1,"중복","-"))</f>
        <v/>
      </c>
      <c r="I2293" s="11" t="str">
        <f aca="false">IF($A2293="","",IF($H2293="-","-",IF(AND(IF(원본명단!$H2292="",TRUE(),COUNTIF(원본명단!$H$3:$H2292,원본명단!$H2292)=1),IF(원본명단!$I2292="",TRUE(),COUNTIF(원본명단!$I$3:$I2292,원본명단!$I2292)=1),IF(원본명단!$K2292="",TRUE(),COUNTIF(원본명단!$K$3:$K2292,원본명단!$K2292)=1)),"첫 건","중복 건")))</f>
        <v/>
      </c>
      <c r="J2293" s="11" t="str">
        <f aca="false">IF($A2293="","",IF($H2293="-","유지",IF($I2293="첫 건","유지","확인 필요")))</f>
        <v/>
      </c>
    </row>
    <row r="2294" customFormat="false" ht="15" hidden="false" customHeight="true" outlineLevel="0" collapsed="false">
      <c r="A2294" s="11" t="str">
        <f aca="false">IF(원본명단!$A2293="","",2291)</f>
        <v/>
      </c>
      <c r="B2294" s="12" t="str">
        <f aca="false">IF($A2294="","",원본명단!$A2293)</f>
        <v/>
      </c>
      <c r="C2294" s="12" t="str">
        <f aca="false">IF($A2294="","",원본명단!$B2293)</f>
        <v/>
      </c>
      <c r="D2294" s="12" t="str">
        <f aca="false">IF($A2294="","",원본명단!$D2293)</f>
        <v/>
      </c>
      <c r="E2294" s="11" t="str">
        <f aca="false">IF($A2294="","",IF(원본명단!$H2293="",0,COUNTIF(원본명단!$H$3:$H$6002,원본명단!$H2293)))</f>
        <v/>
      </c>
      <c r="F2294" s="11" t="str">
        <f aca="false">IF($A2294="","",IF(원본명단!$I2293="",0,COUNTIF(원본명단!$I$3:$I$6002,원본명단!$I2293)))</f>
        <v/>
      </c>
      <c r="G2294" s="11" t="str">
        <f aca="false">IF($A2294="","",IF(원본명단!$K2293="",0,COUNTIF(원본명단!$K$3:$K$6002,원본명단!$K2293)))</f>
        <v/>
      </c>
      <c r="H2294" s="11" t="str">
        <f aca="false">IF($A2294="","",IF(MAX($E2294,$F2294,$G2294)&gt;1,"중복","-"))</f>
        <v/>
      </c>
      <c r="I2294" s="11" t="str">
        <f aca="false">IF($A2294="","",IF($H2294="-","-",IF(AND(IF(원본명단!$H2293="",TRUE(),COUNTIF(원본명단!$H$3:$H2293,원본명단!$H2293)=1),IF(원본명단!$I2293="",TRUE(),COUNTIF(원본명단!$I$3:$I2293,원본명단!$I2293)=1),IF(원본명단!$K2293="",TRUE(),COUNTIF(원본명단!$K$3:$K2293,원본명단!$K2293)=1)),"첫 건","중복 건")))</f>
        <v/>
      </c>
      <c r="J2294" s="11" t="str">
        <f aca="false">IF($A2294="","",IF($H2294="-","유지",IF($I2294="첫 건","유지","확인 필요")))</f>
        <v/>
      </c>
    </row>
    <row r="2295" customFormat="false" ht="15" hidden="false" customHeight="true" outlineLevel="0" collapsed="false">
      <c r="A2295" s="11" t="str">
        <f aca="false">IF(원본명단!$A2294="","",2292)</f>
        <v/>
      </c>
      <c r="B2295" s="12" t="str">
        <f aca="false">IF($A2295="","",원본명단!$A2294)</f>
        <v/>
      </c>
      <c r="C2295" s="12" t="str">
        <f aca="false">IF($A2295="","",원본명단!$B2294)</f>
        <v/>
      </c>
      <c r="D2295" s="12" t="str">
        <f aca="false">IF($A2295="","",원본명단!$D2294)</f>
        <v/>
      </c>
      <c r="E2295" s="11" t="str">
        <f aca="false">IF($A2295="","",IF(원본명단!$H2294="",0,COUNTIF(원본명단!$H$3:$H$6002,원본명단!$H2294)))</f>
        <v/>
      </c>
      <c r="F2295" s="11" t="str">
        <f aca="false">IF($A2295="","",IF(원본명단!$I2294="",0,COUNTIF(원본명단!$I$3:$I$6002,원본명단!$I2294)))</f>
        <v/>
      </c>
      <c r="G2295" s="11" t="str">
        <f aca="false">IF($A2295="","",IF(원본명단!$K2294="",0,COUNTIF(원본명단!$K$3:$K$6002,원본명단!$K2294)))</f>
        <v/>
      </c>
      <c r="H2295" s="11" t="str">
        <f aca="false">IF($A2295="","",IF(MAX($E2295,$F2295,$G2295)&gt;1,"중복","-"))</f>
        <v/>
      </c>
      <c r="I2295" s="11" t="str">
        <f aca="false">IF($A2295="","",IF($H2295="-","-",IF(AND(IF(원본명단!$H2294="",TRUE(),COUNTIF(원본명단!$H$3:$H2294,원본명단!$H2294)=1),IF(원본명단!$I2294="",TRUE(),COUNTIF(원본명단!$I$3:$I2294,원본명단!$I2294)=1),IF(원본명단!$K2294="",TRUE(),COUNTIF(원본명단!$K$3:$K2294,원본명단!$K2294)=1)),"첫 건","중복 건")))</f>
        <v/>
      </c>
      <c r="J2295" s="11" t="str">
        <f aca="false">IF($A2295="","",IF($H2295="-","유지",IF($I2295="첫 건","유지","확인 필요")))</f>
        <v/>
      </c>
    </row>
    <row r="2296" customFormat="false" ht="15" hidden="false" customHeight="true" outlineLevel="0" collapsed="false">
      <c r="A2296" s="11" t="str">
        <f aca="false">IF(원본명단!$A2295="","",2293)</f>
        <v/>
      </c>
      <c r="B2296" s="12" t="str">
        <f aca="false">IF($A2296="","",원본명단!$A2295)</f>
        <v/>
      </c>
      <c r="C2296" s="12" t="str">
        <f aca="false">IF($A2296="","",원본명단!$B2295)</f>
        <v/>
      </c>
      <c r="D2296" s="12" t="str">
        <f aca="false">IF($A2296="","",원본명단!$D2295)</f>
        <v/>
      </c>
      <c r="E2296" s="11" t="str">
        <f aca="false">IF($A2296="","",IF(원본명단!$H2295="",0,COUNTIF(원본명단!$H$3:$H$6002,원본명단!$H2295)))</f>
        <v/>
      </c>
      <c r="F2296" s="11" t="str">
        <f aca="false">IF($A2296="","",IF(원본명단!$I2295="",0,COUNTIF(원본명단!$I$3:$I$6002,원본명단!$I2295)))</f>
        <v/>
      </c>
      <c r="G2296" s="11" t="str">
        <f aca="false">IF($A2296="","",IF(원본명단!$K2295="",0,COUNTIF(원본명단!$K$3:$K$6002,원본명단!$K2295)))</f>
        <v/>
      </c>
      <c r="H2296" s="11" t="str">
        <f aca="false">IF($A2296="","",IF(MAX($E2296,$F2296,$G2296)&gt;1,"중복","-"))</f>
        <v/>
      </c>
      <c r="I2296" s="11" t="str">
        <f aca="false">IF($A2296="","",IF($H2296="-","-",IF(AND(IF(원본명단!$H2295="",TRUE(),COUNTIF(원본명단!$H$3:$H2295,원본명단!$H2295)=1),IF(원본명단!$I2295="",TRUE(),COUNTIF(원본명단!$I$3:$I2295,원본명단!$I2295)=1),IF(원본명단!$K2295="",TRUE(),COUNTIF(원본명단!$K$3:$K2295,원본명단!$K2295)=1)),"첫 건","중복 건")))</f>
        <v/>
      </c>
      <c r="J2296" s="11" t="str">
        <f aca="false">IF($A2296="","",IF($H2296="-","유지",IF($I2296="첫 건","유지","확인 필요")))</f>
        <v/>
      </c>
    </row>
    <row r="2297" customFormat="false" ht="15" hidden="false" customHeight="true" outlineLevel="0" collapsed="false">
      <c r="A2297" s="11" t="str">
        <f aca="false">IF(원본명단!$A2296="","",2294)</f>
        <v/>
      </c>
      <c r="B2297" s="12" t="str">
        <f aca="false">IF($A2297="","",원본명단!$A2296)</f>
        <v/>
      </c>
      <c r="C2297" s="12" t="str">
        <f aca="false">IF($A2297="","",원본명단!$B2296)</f>
        <v/>
      </c>
      <c r="D2297" s="12" t="str">
        <f aca="false">IF($A2297="","",원본명단!$D2296)</f>
        <v/>
      </c>
      <c r="E2297" s="11" t="str">
        <f aca="false">IF($A2297="","",IF(원본명단!$H2296="",0,COUNTIF(원본명단!$H$3:$H$6002,원본명단!$H2296)))</f>
        <v/>
      </c>
      <c r="F2297" s="11" t="str">
        <f aca="false">IF($A2297="","",IF(원본명단!$I2296="",0,COUNTIF(원본명단!$I$3:$I$6002,원본명단!$I2296)))</f>
        <v/>
      </c>
      <c r="G2297" s="11" t="str">
        <f aca="false">IF($A2297="","",IF(원본명단!$K2296="",0,COUNTIF(원본명단!$K$3:$K$6002,원본명단!$K2296)))</f>
        <v/>
      </c>
      <c r="H2297" s="11" t="str">
        <f aca="false">IF($A2297="","",IF(MAX($E2297,$F2297,$G2297)&gt;1,"중복","-"))</f>
        <v/>
      </c>
      <c r="I2297" s="11" t="str">
        <f aca="false">IF($A2297="","",IF($H2297="-","-",IF(AND(IF(원본명단!$H2296="",TRUE(),COUNTIF(원본명단!$H$3:$H2296,원본명단!$H2296)=1),IF(원본명단!$I2296="",TRUE(),COUNTIF(원본명단!$I$3:$I2296,원본명단!$I2296)=1),IF(원본명단!$K2296="",TRUE(),COUNTIF(원본명단!$K$3:$K2296,원본명단!$K2296)=1)),"첫 건","중복 건")))</f>
        <v/>
      </c>
      <c r="J2297" s="11" t="str">
        <f aca="false">IF($A2297="","",IF($H2297="-","유지",IF($I2297="첫 건","유지","확인 필요")))</f>
        <v/>
      </c>
    </row>
    <row r="2298" customFormat="false" ht="15" hidden="false" customHeight="true" outlineLevel="0" collapsed="false">
      <c r="A2298" s="11" t="str">
        <f aca="false">IF(원본명단!$A2297="","",2295)</f>
        <v/>
      </c>
      <c r="B2298" s="12" t="str">
        <f aca="false">IF($A2298="","",원본명단!$A2297)</f>
        <v/>
      </c>
      <c r="C2298" s="12" t="str">
        <f aca="false">IF($A2298="","",원본명단!$B2297)</f>
        <v/>
      </c>
      <c r="D2298" s="12" t="str">
        <f aca="false">IF($A2298="","",원본명단!$D2297)</f>
        <v/>
      </c>
      <c r="E2298" s="11" t="str">
        <f aca="false">IF($A2298="","",IF(원본명단!$H2297="",0,COUNTIF(원본명단!$H$3:$H$6002,원본명단!$H2297)))</f>
        <v/>
      </c>
      <c r="F2298" s="11" t="str">
        <f aca="false">IF($A2298="","",IF(원본명단!$I2297="",0,COUNTIF(원본명단!$I$3:$I$6002,원본명단!$I2297)))</f>
        <v/>
      </c>
      <c r="G2298" s="11" t="str">
        <f aca="false">IF($A2298="","",IF(원본명단!$K2297="",0,COUNTIF(원본명단!$K$3:$K$6002,원본명단!$K2297)))</f>
        <v/>
      </c>
      <c r="H2298" s="11" t="str">
        <f aca="false">IF($A2298="","",IF(MAX($E2298,$F2298,$G2298)&gt;1,"중복","-"))</f>
        <v/>
      </c>
      <c r="I2298" s="11" t="str">
        <f aca="false">IF($A2298="","",IF($H2298="-","-",IF(AND(IF(원본명단!$H2297="",TRUE(),COUNTIF(원본명단!$H$3:$H2297,원본명단!$H2297)=1),IF(원본명단!$I2297="",TRUE(),COUNTIF(원본명단!$I$3:$I2297,원본명단!$I2297)=1),IF(원본명단!$K2297="",TRUE(),COUNTIF(원본명단!$K$3:$K2297,원본명단!$K2297)=1)),"첫 건","중복 건")))</f>
        <v/>
      </c>
      <c r="J2298" s="11" t="str">
        <f aca="false">IF($A2298="","",IF($H2298="-","유지",IF($I2298="첫 건","유지","확인 필요")))</f>
        <v/>
      </c>
    </row>
    <row r="2299" customFormat="false" ht="15" hidden="false" customHeight="true" outlineLevel="0" collapsed="false">
      <c r="A2299" s="11" t="str">
        <f aca="false">IF(원본명단!$A2298="","",2296)</f>
        <v/>
      </c>
      <c r="B2299" s="12" t="str">
        <f aca="false">IF($A2299="","",원본명단!$A2298)</f>
        <v/>
      </c>
      <c r="C2299" s="12" t="str">
        <f aca="false">IF($A2299="","",원본명단!$B2298)</f>
        <v/>
      </c>
      <c r="D2299" s="12" t="str">
        <f aca="false">IF($A2299="","",원본명단!$D2298)</f>
        <v/>
      </c>
      <c r="E2299" s="11" t="str">
        <f aca="false">IF($A2299="","",IF(원본명단!$H2298="",0,COUNTIF(원본명단!$H$3:$H$6002,원본명단!$H2298)))</f>
        <v/>
      </c>
      <c r="F2299" s="11" t="str">
        <f aca="false">IF($A2299="","",IF(원본명단!$I2298="",0,COUNTIF(원본명단!$I$3:$I$6002,원본명단!$I2298)))</f>
        <v/>
      </c>
      <c r="G2299" s="11" t="str">
        <f aca="false">IF($A2299="","",IF(원본명단!$K2298="",0,COUNTIF(원본명단!$K$3:$K$6002,원본명단!$K2298)))</f>
        <v/>
      </c>
      <c r="H2299" s="11" t="str">
        <f aca="false">IF($A2299="","",IF(MAX($E2299,$F2299,$G2299)&gt;1,"중복","-"))</f>
        <v/>
      </c>
      <c r="I2299" s="11" t="str">
        <f aca="false">IF($A2299="","",IF($H2299="-","-",IF(AND(IF(원본명단!$H2298="",TRUE(),COUNTIF(원본명단!$H$3:$H2298,원본명단!$H2298)=1),IF(원본명단!$I2298="",TRUE(),COUNTIF(원본명단!$I$3:$I2298,원본명단!$I2298)=1),IF(원본명단!$K2298="",TRUE(),COUNTIF(원본명단!$K$3:$K2298,원본명단!$K2298)=1)),"첫 건","중복 건")))</f>
        <v/>
      </c>
      <c r="J2299" s="11" t="str">
        <f aca="false">IF($A2299="","",IF($H2299="-","유지",IF($I2299="첫 건","유지","확인 필요")))</f>
        <v/>
      </c>
    </row>
    <row r="2300" customFormat="false" ht="15" hidden="false" customHeight="true" outlineLevel="0" collapsed="false">
      <c r="A2300" s="11" t="str">
        <f aca="false">IF(원본명단!$A2299="","",2297)</f>
        <v/>
      </c>
      <c r="B2300" s="12" t="str">
        <f aca="false">IF($A2300="","",원본명단!$A2299)</f>
        <v/>
      </c>
      <c r="C2300" s="12" t="str">
        <f aca="false">IF($A2300="","",원본명단!$B2299)</f>
        <v/>
      </c>
      <c r="D2300" s="12" t="str">
        <f aca="false">IF($A2300="","",원본명단!$D2299)</f>
        <v/>
      </c>
      <c r="E2300" s="11" t="str">
        <f aca="false">IF($A2300="","",IF(원본명단!$H2299="",0,COUNTIF(원본명단!$H$3:$H$6002,원본명단!$H2299)))</f>
        <v/>
      </c>
      <c r="F2300" s="11" t="str">
        <f aca="false">IF($A2300="","",IF(원본명단!$I2299="",0,COUNTIF(원본명단!$I$3:$I$6002,원본명단!$I2299)))</f>
        <v/>
      </c>
      <c r="G2300" s="11" t="str">
        <f aca="false">IF($A2300="","",IF(원본명단!$K2299="",0,COUNTIF(원본명단!$K$3:$K$6002,원본명단!$K2299)))</f>
        <v/>
      </c>
      <c r="H2300" s="11" t="str">
        <f aca="false">IF($A2300="","",IF(MAX($E2300,$F2300,$G2300)&gt;1,"중복","-"))</f>
        <v/>
      </c>
      <c r="I2300" s="11" t="str">
        <f aca="false">IF($A2300="","",IF($H2300="-","-",IF(AND(IF(원본명단!$H2299="",TRUE(),COUNTIF(원본명단!$H$3:$H2299,원본명단!$H2299)=1),IF(원본명단!$I2299="",TRUE(),COUNTIF(원본명단!$I$3:$I2299,원본명단!$I2299)=1),IF(원본명단!$K2299="",TRUE(),COUNTIF(원본명단!$K$3:$K2299,원본명단!$K2299)=1)),"첫 건","중복 건")))</f>
        <v/>
      </c>
      <c r="J2300" s="11" t="str">
        <f aca="false">IF($A2300="","",IF($H2300="-","유지",IF($I2300="첫 건","유지","확인 필요")))</f>
        <v/>
      </c>
    </row>
    <row r="2301" customFormat="false" ht="15" hidden="false" customHeight="true" outlineLevel="0" collapsed="false">
      <c r="A2301" s="11" t="str">
        <f aca="false">IF(원본명단!$A2300="","",2298)</f>
        <v/>
      </c>
      <c r="B2301" s="12" t="str">
        <f aca="false">IF($A2301="","",원본명단!$A2300)</f>
        <v/>
      </c>
      <c r="C2301" s="12" t="str">
        <f aca="false">IF($A2301="","",원본명단!$B2300)</f>
        <v/>
      </c>
      <c r="D2301" s="12" t="str">
        <f aca="false">IF($A2301="","",원본명단!$D2300)</f>
        <v/>
      </c>
      <c r="E2301" s="11" t="str">
        <f aca="false">IF($A2301="","",IF(원본명단!$H2300="",0,COUNTIF(원본명단!$H$3:$H$6002,원본명단!$H2300)))</f>
        <v/>
      </c>
      <c r="F2301" s="11" t="str">
        <f aca="false">IF($A2301="","",IF(원본명단!$I2300="",0,COUNTIF(원본명단!$I$3:$I$6002,원본명단!$I2300)))</f>
        <v/>
      </c>
      <c r="G2301" s="11" t="str">
        <f aca="false">IF($A2301="","",IF(원본명단!$K2300="",0,COUNTIF(원본명단!$K$3:$K$6002,원본명단!$K2300)))</f>
        <v/>
      </c>
      <c r="H2301" s="11" t="str">
        <f aca="false">IF($A2301="","",IF(MAX($E2301,$F2301,$G2301)&gt;1,"중복","-"))</f>
        <v/>
      </c>
      <c r="I2301" s="11" t="str">
        <f aca="false">IF($A2301="","",IF($H2301="-","-",IF(AND(IF(원본명단!$H2300="",TRUE(),COUNTIF(원본명단!$H$3:$H2300,원본명단!$H2300)=1),IF(원본명단!$I2300="",TRUE(),COUNTIF(원본명단!$I$3:$I2300,원본명단!$I2300)=1),IF(원본명단!$K2300="",TRUE(),COUNTIF(원본명단!$K$3:$K2300,원본명단!$K2300)=1)),"첫 건","중복 건")))</f>
        <v/>
      </c>
      <c r="J2301" s="11" t="str">
        <f aca="false">IF($A2301="","",IF($H2301="-","유지",IF($I2301="첫 건","유지","확인 필요")))</f>
        <v/>
      </c>
    </row>
    <row r="2302" customFormat="false" ht="15" hidden="false" customHeight="true" outlineLevel="0" collapsed="false">
      <c r="A2302" s="11" t="str">
        <f aca="false">IF(원본명단!$A2301="","",2299)</f>
        <v/>
      </c>
      <c r="B2302" s="12" t="str">
        <f aca="false">IF($A2302="","",원본명단!$A2301)</f>
        <v/>
      </c>
      <c r="C2302" s="12" t="str">
        <f aca="false">IF($A2302="","",원본명단!$B2301)</f>
        <v/>
      </c>
      <c r="D2302" s="12" t="str">
        <f aca="false">IF($A2302="","",원본명단!$D2301)</f>
        <v/>
      </c>
      <c r="E2302" s="11" t="str">
        <f aca="false">IF($A2302="","",IF(원본명단!$H2301="",0,COUNTIF(원본명단!$H$3:$H$6002,원본명단!$H2301)))</f>
        <v/>
      </c>
      <c r="F2302" s="11" t="str">
        <f aca="false">IF($A2302="","",IF(원본명단!$I2301="",0,COUNTIF(원본명단!$I$3:$I$6002,원본명단!$I2301)))</f>
        <v/>
      </c>
      <c r="G2302" s="11" t="str">
        <f aca="false">IF($A2302="","",IF(원본명단!$K2301="",0,COUNTIF(원본명단!$K$3:$K$6002,원본명단!$K2301)))</f>
        <v/>
      </c>
      <c r="H2302" s="11" t="str">
        <f aca="false">IF($A2302="","",IF(MAX($E2302,$F2302,$G2302)&gt;1,"중복","-"))</f>
        <v/>
      </c>
      <c r="I2302" s="11" t="str">
        <f aca="false">IF($A2302="","",IF($H2302="-","-",IF(AND(IF(원본명단!$H2301="",TRUE(),COUNTIF(원본명단!$H$3:$H2301,원본명단!$H2301)=1),IF(원본명단!$I2301="",TRUE(),COUNTIF(원본명단!$I$3:$I2301,원본명단!$I2301)=1),IF(원본명단!$K2301="",TRUE(),COUNTIF(원본명단!$K$3:$K2301,원본명단!$K2301)=1)),"첫 건","중복 건")))</f>
        <v/>
      </c>
      <c r="J2302" s="11" t="str">
        <f aca="false">IF($A2302="","",IF($H2302="-","유지",IF($I2302="첫 건","유지","확인 필요")))</f>
        <v/>
      </c>
    </row>
    <row r="2303" customFormat="false" ht="15" hidden="false" customHeight="true" outlineLevel="0" collapsed="false">
      <c r="A2303" s="11" t="str">
        <f aca="false">IF(원본명단!$A2302="","",2300)</f>
        <v/>
      </c>
      <c r="B2303" s="12" t="str">
        <f aca="false">IF($A2303="","",원본명단!$A2302)</f>
        <v/>
      </c>
      <c r="C2303" s="12" t="str">
        <f aca="false">IF($A2303="","",원본명단!$B2302)</f>
        <v/>
      </c>
      <c r="D2303" s="12" t="str">
        <f aca="false">IF($A2303="","",원본명단!$D2302)</f>
        <v/>
      </c>
      <c r="E2303" s="11" t="str">
        <f aca="false">IF($A2303="","",IF(원본명단!$H2302="",0,COUNTIF(원본명단!$H$3:$H$6002,원본명단!$H2302)))</f>
        <v/>
      </c>
      <c r="F2303" s="11" t="str">
        <f aca="false">IF($A2303="","",IF(원본명단!$I2302="",0,COUNTIF(원본명단!$I$3:$I$6002,원본명단!$I2302)))</f>
        <v/>
      </c>
      <c r="G2303" s="11" t="str">
        <f aca="false">IF($A2303="","",IF(원본명단!$K2302="",0,COUNTIF(원본명단!$K$3:$K$6002,원본명단!$K2302)))</f>
        <v/>
      </c>
      <c r="H2303" s="11" t="str">
        <f aca="false">IF($A2303="","",IF(MAX($E2303,$F2303,$G2303)&gt;1,"중복","-"))</f>
        <v/>
      </c>
      <c r="I2303" s="11" t="str">
        <f aca="false">IF($A2303="","",IF($H2303="-","-",IF(AND(IF(원본명단!$H2302="",TRUE(),COUNTIF(원본명단!$H$3:$H2302,원본명단!$H2302)=1),IF(원본명단!$I2302="",TRUE(),COUNTIF(원본명단!$I$3:$I2302,원본명단!$I2302)=1),IF(원본명단!$K2302="",TRUE(),COUNTIF(원본명단!$K$3:$K2302,원본명단!$K2302)=1)),"첫 건","중복 건")))</f>
        <v/>
      </c>
      <c r="J2303" s="11" t="str">
        <f aca="false">IF($A2303="","",IF($H2303="-","유지",IF($I2303="첫 건","유지","확인 필요")))</f>
        <v/>
      </c>
    </row>
    <row r="2304" customFormat="false" ht="15" hidden="false" customHeight="true" outlineLevel="0" collapsed="false">
      <c r="A2304" s="11" t="str">
        <f aca="false">IF(원본명단!$A2303="","",2301)</f>
        <v/>
      </c>
      <c r="B2304" s="12" t="str">
        <f aca="false">IF($A2304="","",원본명단!$A2303)</f>
        <v/>
      </c>
      <c r="C2304" s="12" t="str">
        <f aca="false">IF($A2304="","",원본명단!$B2303)</f>
        <v/>
      </c>
      <c r="D2304" s="12" t="str">
        <f aca="false">IF($A2304="","",원본명단!$D2303)</f>
        <v/>
      </c>
      <c r="E2304" s="11" t="str">
        <f aca="false">IF($A2304="","",IF(원본명단!$H2303="",0,COUNTIF(원본명단!$H$3:$H$6002,원본명단!$H2303)))</f>
        <v/>
      </c>
      <c r="F2304" s="11" t="str">
        <f aca="false">IF($A2304="","",IF(원본명단!$I2303="",0,COUNTIF(원본명단!$I$3:$I$6002,원본명단!$I2303)))</f>
        <v/>
      </c>
      <c r="G2304" s="11" t="str">
        <f aca="false">IF($A2304="","",IF(원본명단!$K2303="",0,COUNTIF(원본명단!$K$3:$K$6002,원본명단!$K2303)))</f>
        <v/>
      </c>
      <c r="H2304" s="11" t="str">
        <f aca="false">IF($A2304="","",IF(MAX($E2304,$F2304,$G2304)&gt;1,"중복","-"))</f>
        <v/>
      </c>
      <c r="I2304" s="11" t="str">
        <f aca="false">IF($A2304="","",IF($H2304="-","-",IF(AND(IF(원본명단!$H2303="",TRUE(),COUNTIF(원본명단!$H$3:$H2303,원본명단!$H2303)=1),IF(원본명단!$I2303="",TRUE(),COUNTIF(원본명단!$I$3:$I2303,원본명단!$I2303)=1),IF(원본명단!$K2303="",TRUE(),COUNTIF(원본명단!$K$3:$K2303,원본명단!$K2303)=1)),"첫 건","중복 건")))</f>
        <v/>
      </c>
      <c r="J2304" s="11" t="str">
        <f aca="false">IF($A2304="","",IF($H2304="-","유지",IF($I2304="첫 건","유지","확인 필요")))</f>
        <v/>
      </c>
    </row>
    <row r="2305" customFormat="false" ht="15" hidden="false" customHeight="true" outlineLevel="0" collapsed="false">
      <c r="A2305" s="11" t="str">
        <f aca="false">IF(원본명단!$A2304="","",2302)</f>
        <v/>
      </c>
      <c r="B2305" s="12" t="str">
        <f aca="false">IF($A2305="","",원본명단!$A2304)</f>
        <v/>
      </c>
      <c r="C2305" s="12" t="str">
        <f aca="false">IF($A2305="","",원본명단!$B2304)</f>
        <v/>
      </c>
      <c r="D2305" s="12" t="str">
        <f aca="false">IF($A2305="","",원본명단!$D2304)</f>
        <v/>
      </c>
      <c r="E2305" s="11" t="str">
        <f aca="false">IF($A2305="","",IF(원본명단!$H2304="",0,COUNTIF(원본명단!$H$3:$H$6002,원본명단!$H2304)))</f>
        <v/>
      </c>
      <c r="F2305" s="11" t="str">
        <f aca="false">IF($A2305="","",IF(원본명단!$I2304="",0,COUNTIF(원본명단!$I$3:$I$6002,원본명단!$I2304)))</f>
        <v/>
      </c>
      <c r="G2305" s="11" t="str">
        <f aca="false">IF($A2305="","",IF(원본명단!$K2304="",0,COUNTIF(원본명단!$K$3:$K$6002,원본명단!$K2304)))</f>
        <v/>
      </c>
      <c r="H2305" s="11" t="str">
        <f aca="false">IF($A2305="","",IF(MAX($E2305,$F2305,$G2305)&gt;1,"중복","-"))</f>
        <v/>
      </c>
      <c r="I2305" s="11" t="str">
        <f aca="false">IF($A2305="","",IF($H2305="-","-",IF(AND(IF(원본명단!$H2304="",TRUE(),COUNTIF(원본명단!$H$3:$H2304,원본명단!$H2304)=1),IF(원본명단!$I2304="",TRUE(),COUNTIF(원본명단!$I$3:$I2304,원본명단!$I2304)=1),IF(원본명단!$K2304="",TRUE(),COUNTIF(원본명단!$K$3:$K2304,원본명단!$K2304)=1)),"첫 건","중복 건")))</f>
        <v/>
      </c>
      <c r="J2305" s="11" t="str">
        <f aca="false">IF($A2305="","",IF($H2305="-","유지",IF($I2305="첫 건","유지","확인 필요")))</f>
        <v/>
      </c>
    </row>
    <row r="2306" customFormat="false" ht="15" hidden="false" customHeight="true" outlineLevel="0" collapsed="false">
      <c r="A2306" s="11" t="str">
        <f aca="false">IF(원본명단!$A2305="","",2303)</f>
        <v/>
      </c>
      <c r="B2306" s="12" t="str">
        <f aca="false">IF($A2306="","",원본명단!$A2305)</f>
        <v/>
      </c>
      <c r="C2306" s="12" t="str">
        <f aca="false">IF($A2306="","",원본명단!$B2305)</f>
        <v/>
      </c>
      <c r="D2306" s="12" t="str">
        <f aca="false">IF($A2306="","",원본명단!$D2305)</f>
        <v/>
      </c>
      <c r="E2306" s="11" t="str">
        <f aca="false">IF($A2306="","",IF(원본명단!$H2305="",0,COUNTIF(원본명단!$H$3:$H$6002,원본명단!$H2305)))</f>
        <v/>
      </c>
      <c r="F2306" s="11" t="str">
        <f aca="false">IF($A2306="","",IF(원본명단!$I2305="",0,COUNTIF(원본명단!$I$3:$I$6002,원본명단!$I2305)))</f>
        <v/>
      </c>
      <c r="G2306" s="11" t="str">
        <f aca="false">IF($A2306="","",IF(원본명단!$K2305="",0,COUNTIF(원본명단!$K$3:$K$6002,원본명단!$K2305)))</f>
        <v/>
      </c>
      <c r="H2306" s="11" t="str">
        <f aca="false">IF($A2306="","",IF(MAX($E2306,$F2306,$G2306)&gt;1,"중복","-"))</f>
        <v/>
      </c>
      <c r="I2306" s="11" t="str">
        <f aca="false">IF($A2306="","",IF($H2306="-","-",IF(AND(IF(원본명단!$H2305="",TRUE(),COUNTIF(원본명단!$H$3:$H2305,원본명단!$H2305)=1),IF(원본명단!$I2305="",TRUE(),COUNTIF(원본명단!$I$3:$I2305,원본명단!$I2305)=1),IF(원본명단!$K2305="",TRUE(),COUNTIF(원본명단!$K$3:$K2305,원본명단!$K2305)=1)),"첫 건","중복 건")))</f>
        <v/>
      </c>
      <c r="J2306" s="11" t="str">
        <f aca="false">IF($A2306="","",IF($H2306="-","유지",IF($I2306="첫 건","유지","확인 필요")))</f>
        <v/>
      </c>
    </row>
    <row r="2307" customFormat="false" ht="15" hidden="false" customHeight="true" outlineLevel="0" collapsed="false">
      <c r="A2307" s="11" t="str">
        <f aca="false">IF(원본명단!$A2306="","",2304)</f>
        <v/>
      </c>
      <c r="B2307" s="12" t="str">
        <f aca="false">IF($A2307="","",원본명단!$A2306)</f>
        <v/>
      </c>
      <c r="C2307" s="12" t="str">
        <f aca="false">IF($A2307="","",원본명단!$B2306)</f>
        <v/>
      </c>
      <c r="D2307" s="12" t="str">
        <f aca="false">IF($A2307="","",원본명단!$D2306)</f>
        <v/>
      </c>
      <c r="E2307" s="11" t="str">
        <f aca="false">IF($A2307="","",IF(원본명단!$H2306="",0,COUNTIF(원본명단!$H$3:$H$6002,원본명단!$H2306)))</f>
        <v/>
      </c>
      <c r="F2307" s="11" t="str">
        <f aca="false">IF($A2307="","",IF(원본명단!$I2306="",0,COUNTIF(원본명단!$I$3:$I$6002,원본명단!$I2306)))</f>
        <v/>
      </c>
      <c r="G2307" s="11" t="str">
        <f aca="false">IF($A2307="","",IF(원본명단!$K2306="",0,COUNTIF(원본명단!$K$3:$K$6002,원본명단!$K2306)))</f>
        <v/>
      </c>
      <c r="H2307" s="11" t="str">
        <f aca="false">IF($A2307="","",IF(MAX($E2307,$F2307,$G2307)&gt;1,"중복","-"))</f>
        <v/>
      </c>
      <c r="I2307" s="11" t="str">
        <f aca="false">IF($A2307="","",IF($H2307="-","-",IF(AND(IF(원본명단!$H2306="",TRUE(),COUNTIF(원본명단!$H$3:$H2306,원본명단!$H2306)=1),IF(원본명단!$I2306="",TRUE(),COUNTIF(원본명단!$I$3:$I2306,원본명단!$I2306)=1),IF(원본명단!$K2306="",TRUE(),COUNTIF(원본명단!$K$3:$K2306,원본명단!$K2306)=1)),"첫 건","중복 건")))</f>
        <v/>
      </c>
      <c r="J2307" s="11" t="str">
        <f aca="false">IF($A2307="","",IF($H2307="-","유지",IF($I2307="첫 건","유지","확인 필요")))</f>
        <v/>
      </c>
    </row>
    <row r="2308" customFormat="false" ht="15" hidden="false" customHeight="true" outlineLevel="0" collapsed="false">
      <c r="A2308" s="11" t="str">
        <f aca="false">IF(원본명단!$A2307="","",2305)</f>
        <v/>
      </c>
      <c r="B2308" s="12" t="str">
        <f aca="false">IF($A2308="","",원본명단!$A2307)</f>
        <v/>
      </c>
      <c r="C2308" s="12" t="str">
        <f aca="false">IF($A2308="","",원본명단!$B2307)</f>
        <v/>
      </c>
      <c r="D2308" s="12" t="str">
        <f aca="false">IF($A2308="","",원본명단!$D2307)</f>
        <v/>
      </c>
      <c r="E2308" s="11" t="str">
        <f aca="false">IF($A2308="","",IF(원본명단!$H2307="",0,COUNTIF(원본명단!$H$3:$H$6002,원본명단!$H2307)))</f>
        <v/>
      </c>
      <c r="F2308" s="11" t="str">
        <f aca="false">IF($A2308="","",IF(원본명단!$I2307="",0,COUNTIF(원본명단!$I$3:$I$6002,원본명단!$I2307)))</f>
        <v/>
      </c>
      <c r="G2308" s="11" t="str">
        <f aca="false">IF($A2308="","",IF(원본명단!$K2307="",0,COUNTIF(원본명단!$K$3:$K$6002,원본명단!$K2307)))</f>
        <v/>
      </c>
      <c r="H2308" s="11" t="str">
        <f aca="false">IF($A2308="","",IF(MAX($E2308,$F2308,$G2308)&gt;1,"중복","-"))</f>
        <v/>
      </c>
      <c r="I2308" s="11" t="str">
        <f aca="false">IF($A2308="","",IF($H2308="-","-",IF(AND(IF(원본명단!$H2307="",TRUE(),COUNTIF(원본명단!$H$3:$H2307,원본명단!$H2307)=1),IF(원본명단!$I2307="",TRUE(),COUNTIF(원본명단!$I$3:$I2307,원본명단!$I2307)=1),IF(원본명단!$K2307="",TRUE(),COUNTIF(원본명단!$K$3:$K2307,원본명단!$K2307)=1)),"첫 건","중복 건")))</f>
        <v/>
      </c>
      <c r="J2308" s="11" t="str">
        <f aca="false">IF($A2308="","",IF($H2308="-","유지",IF($I2308="첫 건","유지","확인 필요")))</f>
        <v/>
      </c>
    </row>
    <row r="2309" customFormat="false" ht="15" hidden="false" customHeight="true" outlineLevel="0" collapsed="false">
      <c r="A2309" s="11" t="str">
        <f aca="false">IF(원본명단!$A2308="","",2306)</f>
        <v/>
      </c>
      <c r="B2309" s="12" t="str">
        <f aca="false">IF($A2309="","",원본명단!$A2308)</f>
        <v/>
      </c>
      <c r="C2309" s="12" t="str">
        <f aca="false">IF($A2309="","",원본명단!$B2308)</f>
        <v/>
      </c>
      <c r="D2309" s="12" t="str">
        <f aca="false">IF($A2309="","",원본명단!$D2308)</f>
        <v/>
      </c>
      <c r="E2309" s="11" t="str">
        <f aca="false">IF($A2309="","",IF(원본명단!$H2308="",0,COUNTIF(원본명단!$H$3:$H$6002,원본명단!$H2308)))</f>
        <v/>
      </c>
      <c r="F2309" s="11" t="str">
        <f aca="false">IF($A2309="","",IF(원본명단!$I2308="",0,COUNTIF(원본명단!$I$3:$I$6002,원본명단!$I2308)))</f>
        <v/>
      </c>
      <c r="G2309" s="11" t="str">
        <f aca="false">IF($A2309="","",IF(원본명단!$K2308="",0,COUNTIF(원본명단!$K$3:$K$6002,원본명단!$K2308)))</f>
        <v/>
      </c>
      <c r="H2309" s="11" t="str">
        <f aca="false">IF($A2309="","",IF(MAX($E2309,$F2309,$G2309)&gt;1,"중복","-"))</f>
        <v/>
      </c>
      <c r="I2309" s="11" t="str">
        <f aca="false">IF($A2309="","",IF($H2309="-","-",IF(AND(IF(원본명단!$H2308="",TRUE(),COUNTIF(원본명단!$H$3:$H2308,원본명단!$H2308)=1),IF(원본명단!$I2308="",TRUE(),COUNTIF(원본명단!$I$3:$I2308,원본명단!$I2308)=1),IF(원본명단!$K2308="",TRUE(),COUNTIF(원본명단!$K$3:$K2308,원본명단!$K2308)=1)),"첫 건","중복 건")))</f>
        <v/>
      </c>
      <c r="J2309" s="11" t="str">
        <f aca="false">IF($A2309="","",IF($H2309="-","유지",IF($I2309="첫 건","유지","확인 필요")))</f>
        <v/>
      </c>
    </row>
    <row r="2310" customFormat="false" ht="15" hidden="false" customHeight="true" outlineLevel="0" collapsed="false">
      <c r="A2310" s="11" t="str">
        <f aca="false">IF(원본명단!$A2309="","",2307)</f>
        <v/>
      </c>
      <c r="B2310" s="12" t="str">
        <f aca="false">IF($A2310="","",원본명단!$A2309)</f>
        <v/>
      </c>
      <c r="C2310" s="12" t="str">
        <f aca="false">IF($A2310="","",원본명단!$B2309)</f>
        <v/>
      </c>
      <c r="D2310" s="12" t="str">
        <f aca="false">IF($A2310="","",원본명단!$D2309)</f>
        <v/>
      </c>
      <c r="E2310" s="11" t="str">
        <f aca="false">IF($A2310="","",IF(원본명단!$H2309="",0,COUNTIF(원본명단!$H$3:$H$6002,원본명단!$H2309)))</f>
        <v/>
      </c>
      <c r="F2310" s="11" t="str">
        <f aca="false">IF($A2310="","",IF(원본명단!$I2309="",0,COUNTIF(원본명단!$I$3:$I$6002,원본명단!$I2309)))</f>
        <v/>
      </c>
      <c r="G2310" s="11" t="str">
        <f aca="false">IF($A2310="","",IF(원본명단!$K2309="",0,COUNTIF(원본명단!$K$3:$K$6002,원본명단!$K2309)))</f>
        <v/>
      </c>
      <c r="H2310" s="11" t="str">
        <f aca="false">IF($A2310="","",IF(MAX($E2310,$F2310,$G2310)&gt;1,"중복","-"))</f>
        <v/>
      </c>
      <c r="I2310" s="11" t="str">
        <f aca="false">IF($A2310="","",IF($H2310="-","-",IF(AND(IF(원본명단!$H2309="",TRUE(),COUNTIF(원본명단!$H$3:$H2309,원본명단!$H2309)=1),IF(원본명단!$I2309="",TRUE(),COUNTIF(원본명단!$I$3:$I2309,원본명단!$I2309)=1),IF(원본명단!$K2309="",TRUE(),COUNTIF(원본명단!$K$3:$K2309,원본명단!$K2309)=1)),"첫 건","중복 건")))</f>
        <v/>
      </c>
      <c r="J2310" s="11" t="str">
        <f aca="false">IF($A2310="","",IF($H2310="-","유지",IF($I2310="첫 건","유지","확인 필요")))</f>
        <v/>
      </c>
    </row>
    <row r="2311" customFormat="false" ht="15" hidden="false" customHeight="true" outlineLevel="0" collapsed="false">
      <c r="A2311" s="11" t="str">
        <f aca="false">IF(원본명단!$A2310="","",2308)</f>
        <v/>
      </c>
      <c r="B2311" s="12" t="str">
        <f aca="false">IF($A2311="","",원본명단!$A2310)</f>
        <v/>
      </c>
      <c r="C2311" s="12" t="str">
        <f aca="false">IF($A2311="","",원본명단!$B2310)</f>
        <v/>
      </c>
      <c r="D2311" s="12" t="str">
        <f aca="false">IF($A2311="","",원본명단!$D2310)</f>
        <v/>
      </c>
      <c r="E2311" s="11" t="str">
        <f aca="false">IF($A2311="","",IF(원본명단!$H2310="",0,COUNTIF(원본명단!$H$3:$H$6002,원본명단!$H2310)))</f>
        <v/>
      </c>
      <c r="F2311" s="11" t="str">
        <f aca="false">IF($A2311="","",IF(원본명단!$I2310="",0,COUNTIF(원본명단!$I$3:$I$6002,원본명단!$I2310)))</f>
        <v/>
      </c>
      <c r="G2311" s="11" t="str">
        <f aca="false">IF($A2311="","",IF(원본명단!$K2310="",0,COUNTIF(원본명단!$K$3:$K$6002,원본명단!$K2310)))</f>
        <v/>
      </c>
      <c r="H2311" s="11" t="str">
        <f aca="false">IF($A2311="","",IF(MAX($E2311,$F2311,$G2311)&gt;1,"중복","-"))</f>
        <v/>
      </c>
      <c r="I2311" s="11" t="str">
        <f aca="false">IF($A2311="","",IF($H2311="-","-",IF(AND(IF(원본명단!$H2310="",TRUE(),COUNTIF(원본명단!$H$3:$H2310,원본명단!$H2310)=1),IF(원본명단!$I2310="",TRUE(),COUNTIF(원본명단!$I$3:$I2310,원본명단!$I2310)=1),IF(원본명단!$K2310="",TRUE(),COUNTIF(원본명단!$K$3:$K2310,원본명단!$K2310)=1)),"첫 건","중복 건")))</f>
        <v/>
      </c>
      <c r="J2311" s="11" t="str">
        <f aca="false">IF($A2311="","",IF($H2311="-","유지",IF($I2311="첫 건","유지","확인 필요")))</f>
        <v/>
      </c>
    </row>
    <row r="2312" customFormat="false" ht="15" hidden="false" customHeight="true" outlineLevel="0" collapsed="false">
      <c r="A2312" s="11" t="str">
        <f aca="false">IF(원본명단!$A2311="","",2309)</f>
        <v/>
      </c>
      <c r="B2312" s="12" t="str">
        <f aca="false">IF($A2312="","",원본명단!$A2311)</f>
        <v/>
      </c>
      <c r="C2312" s="12" t="str">
        <f aca="false">IF($A2312="","",원본명단!$B2311)</f>
        <v/>
      </c>
      <c r="D2312" s="12" t="str">
        <f aca="false">IF($A2312="","",원본명단!$D2311)</f>
        <v/>
      </c>
      <c r="E2312" s="11" t="str">
        <f aca="false">IF($A2312="","",IF(원본명단!$H2311="",0,COUNTIF(원본명단!$H$3:$H$6002,원본명단!$H2311)))</f>
        <v/>
      </c>
      <c r="F2312" s="11" t="str">
        <f aca="false">IF($A2312="","",IF(원본명단!$I2311="",0,COUNTIF(원본명단!$I$3:$I$6002,원본명단!$I2311)))</f>
        <v/>
      </c>
      <c r="G2312" s="11" t="str">
        <f aca="false">IF($A2312="","",IF(원본명단!$K2311="",0,COUNTIF(원본명단!$K$3:$K$6002,원본명단!$K2311)))</f>
        <v/>
      </c>
      <c r="H2312" s="11" t="str">
        <f aca="false">IF($A2312="","",IF(MAX($E2312,$F2312,$G2312)&gt;1,"중복","-"))</f>
        <v/>
      </c>
      <c r="I2312" s="11" t="str">
        <f aca="false">IF($A2312="","",IF($H2312="-","-",IF(AND(IF(원본명단!$H2311="",TRUE(),COUNTIF(원본명단!$H$3:$H2311,원본명단!$H2311)=1),IF(원본명단!$I2311="",TRUE(),COUNTIF(원본명단!$I$3:$I2311,원본명단!$I2311)=1),IF(원본명단!$K2311="",TRUE(),COUNTIF(원본명단!$K$3:$K2311,원본명단!$K2311)=1)),"첫 건","중복 건")))</f>
        <v/>
      </c>
      <c r="J2312" s="11" t="str">
        <f aca="false">IF($A2312="","",IF($H2312="-","유지",IF($I2312="첫 건","유지","확인 필요")))</f>
        <v/>
      </c>
    </row>
    <row r="2313" customFormat="false" ht="15" hidden="false" customHeight="true" outlineLevel="0" collapsed="false">
      <c r="A2313" s="11" t="str">
        <f aca="false">IF(원본명단!$A2312="","",2310)</f>
        <v/>
      </c>
      <c r="B2313" s="12" t="str">
        <f aca="false">IF($A2313="","",원본명단!$A2312)</f>
        <v/>
      </c>
      <c r="C2313" s="12" t="str">
        <f aca="false">IF($A2313="","",원본명단!$B2312)</f>
        <v/>
      </c>
      <c r="D2313" s="12" t="str">
        <f aca="false">IF($A2313="","",원본명단!$D2312)</f>
        <v/>
      </c>
      <c r="E2313" s="11" t="str">
        <f aca="false">IF($A2313="","",IF(원본명단!$H2312="",0,COUNTIF(원본명단!$H$3:$H$6002,원본명단!$H2312)))</f>
        <v/>
      </c>
      <c r="F2313" s="11" t="str">
        <f aca="false">IF($A2313="","",IF(원본명단!$I2312="",0,COUNTIF(원본명단!$I$3:$I$6002,원본명단!$I2312)))</f>
        <v/>
      </c>
      <c r="G2313" s="11" t="str">
        <f aca="false">IF($A2313="","",IF(원본명단!$K2312="",0,COUNTIF(원본명단!$K$3:$K$6002,원본명단!$K2312)))</f>
        <v/>
      </c>
      <c r="H2313" s="11" t="str">
        <f aca="false">IF($A2313="","",IF(MAX($E2313,$F2313,$G2313)&gt;1,"중복","-"))</f>
        <v/>
      </c>
      <c r="I2313" s="11" t="str">
        <f aca="false">IF($A2313="","",IF($H2313="-","-",IF(AND(IF(원본명단!$H2312="",TRUE(),COUNTIF(원본명단!$H$3:$H2312,원본명단!$H2312)=1),IF(원본명단!$I2312="",TRUE(),COUNTIF(원본명단!$I$3:$I2312,원본명단!$I2312)=1),IF(원본명단!$K2312="",TRUE(),COUNTIF(원본명단!$K$3:$K2312,원본명단!$K2312)=1)),"첫 건","중복 건")))</f>
        <v/>
      </c>
      <c r="J2313" s="11" t="str">
        <f aca="false">IF($A2313="","",IF($H2313="-","유지",IF($I2313="첫 건","유지","확인 필요")))</f>
        <v/>
      </c>
    </row>
    <row r="2314" customFormat="false" ht="15" hidden="false" customHeight="true" outlineLevel="0" collapsed="false">
      <c r="A2314" s="11" t="str">
        <f aca="false">IF(원본명단!$A2313="","",2311)</f>
        <v/>
      </c>
      <c r="B2314" s="12" t="str">
        <f aca="false">IF($A2314="","",원본명단!$A2313)</f>
        <v/>
      </c>
      <c r="C2314" s="12" t="str">
        <f aca="false">IF($A2314="","",원본명단!$B2313)</f>
        <v/>
      </c>
      <c r="D2314" s="12" t="str">
        <f aca="false">IF($A2314="","",원본명단!$D2313)</f>
        <v/>
      </c>
      <c r="E2314" s="11" t="str">
        <f aca="false">IF($A2314="","",IF(원본명단!$H2313="",0,COUNTIF(원본명단!$H$3:$H$6002,원본명단!$H2313)))</f>
        <v/>
      </c>
      <c r="F2314" s="11" t="str">
        <f aca="false">IF($A2314="","",IF(원본명단!$I2313="",0,COUNTIF(원본명단!$I$3:$I$6002,원본명단!$I2313)))</f>
        <v/>
      </c>
      <c r="G2314" s="11" t="str">
        <f aca="false">IF($A2314="","",IF(원본명단!$K2313="",0,COUNTIF(원본명단!$K$3:$K$6002,원본명단!$K2313)))</f>
        <v/>
      </c>
      <c r="H2314" s="11" t="str">
        <f aca="false">IF($A2314="","",IF(MAX($E2314,$F2314,$G2314)&gt;1,"중복","-"))</f>
        <v/>
      </c>
      <c r="I2314" s="11" t="str">
        <f aca="false">IF($A2314="","",IF($H2314="-","-",IF(AND(IF(원본명단!$H2313="",TRUE(),COUNTIF(원본명단!$H$3:$H2313,원본명단!$H2313)=1),IF(원본명단!$I2313="",TRUE(),COUNTIF(원본명단!$I$3:$I2313,원본명단!$I2313)=1),IF(원본명단!$K2313="",TRUE(),COUNTIF(원본명단!$K$3:$K2313,원본명단!$K2313)=1)),"첫 건","중복 건")))</f>
        <v/>
      </c>
      <c r="J2314" s="11" t="str">
        <f aca="false">IF($A2314="","",IF($H2314="-","유지",IF($I2314="첫 건","유지","확인 필요")))</f>
        <v/>
      </c>
    </row>
    <row r="2315" customFormat="false" ht="15" hidden="false" customHeight="true" outlineLevel="0" collapsed="false">
      <c r="A2315" s="11" t="str">
        <f aca="false">IF(원본명단!$A2314="","",2312)</f>
        <v/>
      </c>
      <c r="B2315" s="12" t="str">
        <f aca="false">IF($A2315="","",원본명단!$A2314)</f>
        <v/>
      </c>
      <c r="C2315" s="12" t="str">
        <f aca="false">IF($A2315="","",원본명단!$B2314)</f>
        <v/>
      </c>
      <c r="D2315" s="12" t="str">
        <f aca="false">IF($A2315="","",원본명단!$D2314)</f>
        <v/>
      </c>
      <c r="E2315" s="11" t="str">
        <f aca="false">IF($A2315="","",IF(원본명단!$H2314="",0,COUNTIF(원본명단!$H$3:$H$6002,원본명단!$H2314)))</f>
        <v/>
      </c>
      <c r="F2315" s="11" t="str">
        <f aca="false">IF($A2315="","",IF(원본명단!$I2314="",0,COUNTIF(원본명단!$I$3:$I$6002,원본명단!$I2314)))</f>
        <v/>
      </c>
      <c r="G2315" s="11" t="str">
        <f aca="false">IF($A2315="","",IF(원본명단!$K2314="",0,COUNTIF(원본명단!$K$3:$K$6002,원본명단!$K2314)))</f>
        <v/>
      </c>
      <c r="H2315" s="11" t="str">
        <f aca="false">IF($A2315="","",IF(MAX($E2315,$F2315,$G2315)&gt;1,"중복","-"))</f>
        <v/>
      </c>
      <c r="I2315" s="11" t="str">
        <f aca="false">IF($A2315="","",IF($H2315="-","-",IF(AND(IF(원본명단!$H2314="",TRUE(),COUNTIF(원본명단!$H$3:$H2314,원본명단!$H2314)=1),IF(원본명단!$I2314="",TRUE(),COUNTIF(원본명단!$I$3:$I2314,원본명단!$I2314)=1),IF(원본명단!$K2314="",TRUE(),COUNTIF(원본명단!$K$3:$K2314,원본명단!$K2314)=1)),"첫 건","중복 건")))</f>
        <v/>
      </c>
      <c r="J2315" s="11" t="str">
        <f aca="false">IF($A2315="","",IF($H2315="-","유지",IF($I2315="첫 건","유지","확인 필요")))</f>
        <v/>
      </c>
    </row>
    <row r="2316" customFormat="false" ht="15" hidden="false" customHeight="true" outlineLevel="0" collapsed="false">
      <c r="A2316" s="11" t="str">
        <f aca="false">IF(원본명단!$A2315="","",2313)</f>
        <v/>
      </c>
      <c r="B2316" s="12" t="str">
        <f aca="false">IF($A2316="","",원본명단!$A2315)</f>
        <v/>
      </c>
      <c r="C2316" s="12" t="str">
        <f aca="false">IF($A2316="","",원본명단!$B2315)</f>
        <v/>
      </c>
      <c r="D2316" s="12" t="str">
        <f aca="false">IF($A2316="","",원본명단!$D2315)</f>
        <v/>
      </c>
      <c r="E2316" s="11" t="str">
        <f aca="false">IF($A2316="","",IF(원본명단!$H2315="",0,COUNTIF(원본명단!$H$3:$H$6002,원본명단!$H2315)))</f>
        <v/>
      </c>
      <c r="F2316" s="11" t="str">
        <f aca="false">IF($A2316="","",IF(원본명단!$I2315="",0,COUNTIF(원본명단!$I$3:$I$6002,원본명단!$I2315)))</f>
        <v/>
      </c>
      <c r="G2316" s="11" t="str">
        <f aca="false">IF($A2316="","",IF(원본명단!$K2315="",0,COUNTIF(원본명단!$K$3:$K$6002,원본명단!$K2315)))</f>
        <v/>
      </c>
      <c r="H2316" s="11" t="str">
        <f aca="false">IF($A2316="","",IF(MAX($E2316,$F2316,$G2316)&gt;1,"중복","-"))</f>
        <v/>
      </c>
      <c r="I2316" s="11" t="str">
        <f aca="false">IF($A2316="","",IF($H2316="-","-",IF(AND(IF(원본명단!$H2315="",TRUE(),COUNTIF(원본명단!$H$3:$H2315,원본명단!$H2315)=1),IF(원본명단!$I2315="",TRUE(),COUNTIF(원본명단!$I$3:$I2315,원본명단!$I2315)=1),IF(원본명단!$K2315="",TRUE(),COUNTIF(원본명단!$K$3:$K2315,원본명단!$K2315)=1)),"첫 건","중복 건")))</f>
        <v/>
      </c>
      <c r="J2316" s="11" t="str">
        <f aca="false">IF($A2316="","",IF($H2316="-","유지",IF($I2316="첫 건","유지","확인 필요")))</f>
        <v/>
      </c>
    </row>
    <row r="2317" customFormat="false" ht="15" hidden="false" customHeight="true" outlineLevel="0" collapsed="false">
      <c r="A2317" s="11" t="str">
        <f aca="false">IF(원본명단!$A2316="","",2314)</f>
        <v/>
      </c>
      <c r="B2317" s="12" t="str">
        <f aca="false">IF($A2317="","",원본명단!$A2316)</f>
        <v/>
      </c>
      <c r="C2317" s="12" t="str">
        <f aca="false">IF($A2317="","",원본명단!$B2316)</f>
        <v/>
      </c>
      <c r="D2317" s="12" t="str">
        <f aca="false">IF($A2317="","",원본명단!$D2316)</f>
        <v/>
      </c>
      <c r="E2317" s="11" t="str">
        <f aca="false">IF($A2317="","",IF(원본명단!$H2316="",0,COUNTIF(원본명단!$H$3:$H$6002,원본명단!$H2316)))</f>
        <v/>
      </c>
      <c r="F2317" s="11" t="str">
        <f aca="false">IF($A2317="","",IF(원본명단!$I2316="",0,COUNTIF(원본명단!$I$3:$I$6002,원본명단!$I2316)))</f>
        <v/>
      </c>
      <c r="G2317" s="11" t="str">
        <f aca="false">IF($A2317="","",IF(원본명단!$K2316="",0,COUNTIF(원본명단!$K$3:$K$6002,원본명단!$K2316)))</f>
        <v/>
      </c>
      <c r="H2317" s="11" t="str">
        <f aca="false">IF($A2317="","",IF(MAX($E2317,$F2317,$G2317)&gt;1,"중복","-"))</f>
        <v/>
      </c>
      <c r="I2317" s="11" t="str">
        <f aca="false">IF($A2317="","",IF($H2317="-","-",IF(AND(IF(원본명단!$H2316="",TRUE(),COUNTIF(원본명단!$H$3:$H2316,원본명단!$H2316)=1),IF(원본명단!$I2316="",TRUE(),COUNTIF(원본명단!$I$3:$I2316,원본명단!$I2316)=1),IF(원본명단!$K2316="",TRUE(),COUNTIF(원본명단!$K$3:$K2316,원본명단!$K2316)=1)),"첫 건","중복 건")))</f>
        <v/>
      </c>
      <c r="J2317" s="11" t="str">
        <f aca="false">IF($A2317="","",IF($H2317="-","유지",IF($I2317="첫 건","유지","확인 필요")))</f>
        <v/>
      </c>
    </row>
    <row r="2318" customFormat="false" ht="15" hidden="false" customHeight="true" outlineLevel="0" collapsed="false">
      <c r="A2318" s="11" t="str">
        <f aca="false">IF(원본명단!$A2317="","",2315)</f>
        <v/>
      </c>
      <c r="B2318" s="12" t="str">
        <f aca="false">IF($A2318="","",원본명단!$A2317)</f>
        <v/>
      </c>
      <c r="C2318" s="12" t="str">
        <f aca="false">IF($A2318="","",원본명단!$B2317)</f>
        <v/>
      </c>
      <c r="D2318" s="12" t="str">
        <f aca="false">IF($A2318="","",원본명단!$D2317)</f>
        <v/>
      </c>
      <c r="E2318" s="11" t="str">
        <f aca="false">IF($A2318="","",IF(원본명단!$H2317="",0,COUNTIF(원본명단!$H$3:$H$6002,원본명단!$H2317)))</f>
        <v/>
      </c>
      <c r="F2318" s="11" t="str">
        <f aca="false">IF($A2318="","",IF(원본명단!$I2317="",0,COUNTIF(원본명단!$I$3:$I$6002,원본명단!$I2317)))</f>
        <v/>
      </c>
      <c r="G2318" s="11" t="str">
        <f aca="false">IF($A2318="","",IF(원본명단!$K2317="",0,COUNTIF(원본명단!$K$3:$K$6002,원본명단!$K2317)))</f>
        <v/>
      </c>
      <c r="H2318" s="11" t="str">
        <f aca="false">IF($A2318="","",IF(MAX($E2318,$F2318,$G2318)&gt;1,"중복","-"))</f>
        <v/>
      </c>
      <c r="I2318" s="11" t="str">
        <f aca="false">IF($A2318="","",IF($H2318="-","-",IF(AND(IF(원본명단!$H2317="",TRUE(),COUNTIF(원본명단!$H$3:$H2317,원본명단!$H2317)=1),IF(원본명단!$I2317="",TRUE(),COUNTIF(원본명단!$I$3:$I2317,원본명단!$I2317)=1),IF(원본명단!$K2317="",TRUE(),COUNTIF(원본명단!$K$3:$K2317,원본명단!$K2317)=1)),"첫 건","중복 건")))</f>
        <v/>
      </c>
      <c r="J2318" s="11" t="str">
        <f aca="false">IF($A2318="","",IF($H2318="-","유지",IF($I2318="첫 건","유지","확인 필요")))</f>
        <v/>
      </c>
    </row>
    <row r="2319" customFormat="false" ht="15" hidden="false" customHeight="true" outlineLevel="0" collapsed="false">
      <c r="A2319" s="11" t="str">
        <f aca="false">IF(원본명단!$A2318="","",2316)</f>
        <v/>
      </c>
      <c r="B2319" s="12" t="str">
        <f aca="false">IF($A2319="","",원본명단!$A2318)</f>
        <v/>
      </c>
      <c r="C2319" s="12" t="str">
        <f aca="false">IF($A2319="","",원본명단!$B2318)</f>
        <v/>
      </c>
      <c r="D2319" s="12" t="str">
        <f aca="false">IF($A2319="","",원본명단!$D2318)</f>
        <v/>
      </c>
      <c r="E2319" s="11" t="str">
        <f aca="false">IF($A2319="","",IF(원본명단!$H2318="",0,COUNTIF(원본명단!$H$3:$H$6002,원본명단!$H2318)))</f>
        <v/>
      </c>
      <c r="F2319" s="11" t="str">
        <f aca="false">IF($A2319="","",IF(원본명단!$I2318="",0,COUNTIF(원본명단!$I$3:$I$6002,원본명단!$I2318)))</f>
        <v/>
      </c>
      <c r="G2319" s="11" t="str">
        <f aca="false">IF($A2319="","",IF(원본명단!$K2318="",0,COUNTIF(원본명단!$K$3:$K$6002,원본명단!$K2318)))</f>
        <v/>
      </c>
      <c r="H2319" s="11" t="str">
        <f aca="false">IF($A2319="","",IF(MAX($E2319,$F2319,$G2319)&gt;1,"중복","-"))</f>
        <v/>
      </c>
      <c r="I2319" s="11" t="str">
        <f aca="false">IF($A2319="","",IF($H2319="-","-",IF(AND(IF(원본명단!$H2318="",TRUE(),COUNTIF(원본명단!$H$3:$H2318,원본명단!$H2318)=1),IF(원본명단!$I2318="",TRUE(),COUNTIF(원본명단!$I$3:$I2318,원본명단!$I2318)=1),IF(원본명단!$K2318="",TRUE(),COUNTIF(원본명단!$K$3:$K2318,원본명단!$K2318)=1)),"첫 건","중복 건")))</f>
        <v/>
      </c>
      <c r="J2319" s="11" t="str">
        <f aca="false">IF($A2319="","",IF($H2319="-","유지",IF($I2319="첫 건","유지","확인 필요")))</f>
        <v/>
      </c>
    </row>
    <row r="2320" customFormat="false" ht="15" hidden="false" customHeight="true" outlineLevel="0" collapsed="false">
      <c r="A2320" s="11" t="str">
        <f aca="false">IF(원본명단!$A2319="","",2317)</f>
        <v/>
      </c>
      <c r="B2320" s="12" t="str">
        <f aca="false">IF($A2320="","",원본명단!$A2319)</f>
        <v/>
      </c>
      <c r="C2320" s="12" t="str">
        <f aca="false">IF($A2320="","",원본명단!$B2319)</f>
        <v/>
      </c>
      <c r="D2320" s="12" t="str">
        <f aca="false">IF($A2320="","",원본명단!$D2319)</f>
        <v/>
      </c>
      <c r="E2320" s="11" t="str">
        <f aca="false">IF($A2320="","",IF(원본명단!$H2319="",0,COUNTIF(원본명단!$H$3:$H$6002,원본명단!$H2319)))</f>
        <v/>
      </c>
      <c r="F2320" s="11" t="str">
        <f aca="false">IF($A2320="","",IF(원본명단!$I2319="",0,COUNTIF(원본명단!$I$3:$I$6002,원본명단!$I2319)))</f>
        <v/>
      </c>
      <c r="G2320" s="11" t="str">
        <f aca="false">IF($A2320="","",IF(원본명단!$K2319="",0,COUNTIF(원본명단!$K$3:$K$6002,원본명단!$K2319)))</f>
        <v/>
      </c>
      <c r="H2320" s="11" t="str">
        <f aca="false">IF($A2320="","",IF(MAX($E2320,$F2320,$G2320)&gt;1,"중복","-"))</f>
        <v/>
      </c>
      <c r="I2320" s="11" t="str">
        <f aca="false">IF($A2320="","",IF($H2320="-","-",IF(AND(IF(원본명단!$H2319="",TRUE(),COUNTIF(원본명단!$H$3:$H2319,원본명단!$H2319)=1),IF(원본명단!$I2319="",TRUE(),COUNTIF(원본명단!$I$3:$I2319,원본명단!$I2319)=1),IF(원본명단!$K2319="",TRUE(),COUNTIF(원본명단!$K$3:$K2319,원본명단!$K2319)=1)),"첫 건","중복 건")))</f>
        <v/>
      </c>
      <c r="J2320" s="11" t="str">
        <f aca="false">IF($A2320="","",IF($H2320="-","유지",IF($I2320="첫 건","유지","확인 필요")))</f>
        <v/>
      </c>
    </row>
    <row r="2321" customFormat="false" ht="15" hidden="false" customHeight="true" outlineLevel="0" collapsed="false">
      <c r="A2321" s="11" t="str">
        <f aca="false">IF(원본명단!$A2320="","",2318)</f>
        <v/>
      </c>
      <c r="B2321" s="12" t="str">
        <f aca="false">IF($A2321="","",원본명단!$A2320)</f>
        <v/>
      </c>
      <c r="C2321" s="12" t="str">
        <f aca="false">IF($A2321="","",원본명단!$B2320)</f>
        <v/>
      </c>
      <c r="D2321" s="12" t="str">
        <f aca="false">IF($A2321="","",원본명단!$D2320)</f>
        <v/>
      </c>
      <c r="E2321" s="11" t="str">
        <f aca="false">IF($A2321="","",IF(원본명단!$H2320="",0,COUNTIF(원본명단!$H$3:$H$6002,원본명단!$H2320)))</f>
        <v/>
      </c>
      <c r="F2321" s="11" t="str">
        <f aca="false">IF($A2321="","",IF(원본명단!$I2320="",0,COUNTIF(원본명단!$I$3:$I$6002,원본명단!$I2320)))</f>
        <v/>
      </c>
      <c r="G2321" s="11" t="str">
        <f aca="false">IF($A2321="","",IF(원본명단!$K2320="",0,COUNTIF(원본명단!$K$3:$K$6002,원본명단!$K2320)))</f>
        <v/>
      </c>
      <c r="H2321" s="11" t="str">
        <f aca="false">IF($A2321="","",IF(MAX($E2321,$F2321,$G2321)&gt;1,"중복","-"))</f>
        <v/>
      </c>
      <c r="I2321" s="11" t="str">
        <f aca="false">IF($A2321="","",IF($H2321="-","-",IF(AND(IF(원본명단!$H2320="",TRUE(),COUNTIF(원본명단!$H$3:$H2320,원본명단!$H2320)=1),IF(원본명단!$I2320="",TRUE(),COUNTIF(원본명단!$I$3:$I2320,원본명단!$I2320)=1),IF(원본명단!$K2320="",TRUE(),COUNTIF(원본명단!$K$3:$K2320,원본명단!$K2320)=1)),"첫 건","중복 건")))</f>
        <v/>
      </c>
      <c r="J2321" s="11" t="str">
        <f aca="false">IF($A2321="","",IF($H2321="-","유지",IF($I2321="첫 건","유지","확인 필요")))</f>
        <v/>
      </c>
    </row>
    <row r="2322" customFormat="false" ht="15" hidden="false" customHeight="true" outlineLevel="0" collapsed="false">
      <c r="A2322" s="11" t="str">
        <f aca="false">IF(원본명단!$A2321="","",2319)</f>
        <v/>
      </c>
      <c r="B2322" s="12" t="str">
        <f aca="false">IF($A2322="","",원본명단!$A2321)</f>
        <v/>
      </c>
      <c r="C2322" s="12" t="str">
        <f aca="false">IF($A2322="","",원본명단!$B2321)</f>
        <v/>
      </c>
      <c r="D2322" s="12" t="str">
        <f aca="false">IF($A2322="","",원본명단!$D2321)</f>
        <v/>
      </c>
      <c r="E2322" s="11" t="str">
        <f aca="false">IF($A2322="","",IF(원본명단!$H2321="",0,COUNTIF(원본명단!$H$3:$H$6002,원본명단!$H2321)))</f>
        <v/>
      </c>
      <c r="F2322" s="11" t="str">
        <f aca="false">IF($A2322="","",IF(원본명단!$I2321="",0,COUNTIF(원본명단!$I$3:$I$6002,원본명단!$I2321)))</f>
        <v/>
      </c>
      <c r="G2322" s="11" t="str">
        <f aca="false">IF($A2322="","",IF(원본명단!$K2321="",0,COUNTIF(원본명단!$K$3:$K$6002,원본명단!$K2321)))</f>
        <v/>
      </c>
      <c r="H2322" s="11" t="str">
        <f aca="false">IF($A2322="","",IF(MAX($E2322,$F2322,$G2322)&gt;1,"중복","-"))</f>
        <v/>
      </c>
      <c r="I2322" s="11" t="str">
        <f aca="false">IF($A2322="","",IF($H2322="-","-",IF(AND(IF(원본명단!$H2321="",TRUE(),COUNTIF(원본명단!$H$3:$H2321,원본명단!$H2321)=1),IF(원본명단!$I2321="",TRUE(),COUNTIF(원본명단!$I$3:$I2321,원본명단!$I2321)=1),IF(원본명단!$K2321="",TRUE(),COUNTIF(원본명단!$K$3:$K2321,원본명단!$K2321)=1)),"첫 건","중복 건")))</f>
        <v/>
      </c>
      <c r="J2322" s="11" t="str">
        <f aca="false">IF($A2322="","",IF($H2322="-","유지",IF($I2322="첫 건","유지","확인 필요")))</f>
        <v/>
      </c>
    </row>
    <row r="2323" customFormat="false" ht="15" hidden="false" customHeight="true" outlineLevel="0" collapsed="false">
      <c r="A2323" s="11" t="str">
        <f aca="false">IF(원본명단!$A2322="","",2320)</f>
        <v/>
      </c>
      <c r="B2323" s="12" t="str">
        <f aca="false">IF($A2323="","",원본명단!$A2322)</f>
        <v/>
      </c>
      <c r="C2323" s="12" t="str">
        <f aca="false">IF($A2323="","",원본명단!$B2322)</f>
        <v/>
      </c>
      <c r="D2323" s="12" t="str">
        <f aca="false">IF($A2323="","",원본명단!$D2322)</f>
        <v/>
      </c>
      <c r="E2323" s="11" t="str">
        <f aca="false">IF($A2323="","",IF(원본명단!$H2322="",0,COUNTIF(원본명단!$H$3:$H$6002,원본명단!$H2322)))</f>
        <v/>
      </c>
      <c r="F2323" s="11" t="str">
        <f aca="false">IF($A2323="","",IF(원본명단!$I2322="",0,COUNTIF(원본명단!$I$3:$I$6002,원본명단!$I2322)))</f>
        <v/>
      </c>
      <c r="G2323" s="11" t="str">
        <f aca="false">IF($A2323="","",IF(원본명단!$K2322="",0,COUNTIF(원본명단!$K$3:$K$6002,원본명단!$K2322)))</f>
        <v/>
      </c>
      <c r="H2323" s="11" t="str">
        <f aca="false">IF($A2323="","",IF(MAX($E2323,$F2323,$G2323)&gt;1,"중복","-"))</f>
        <v/>
      </c>
      <c r="I2323" s="11" t="str">
        <f aca="false">IF($A2323="","",IF($H2323="-","-",IF(AND(IF(원본명단!$H2322="",TRUE(),COUNTIF(원본명단!$H$3:$H2322,원본명단!$H2322)=1),IF(원본명단!$I2322="",TRUE(),COUNTIF(원본명단!$I$3:$I2322,원본명단!$I2322)=1),IF(원본명단!$K2322="",TRUE(),COUNTIF(원본명단!$K$3:$K2322,원본명단!$K2322)=1)),"첫 건","중복 건")))</f>
        <v/>
      </c>
      <c r="J2323" s="11" t="str">
        <f aca="false">IF($A2323="","",IF($H2323="-","유지",IF($I2323="첫 건","유지","확인 필요")))</f>
        <v/>
      </c>
    </row>
    <row r="2324" customFormat="false" ht="15" hidden="false" customHeight="true" outlineLevel="0" collapsed="false">
      <c r="A2324" s="11" t="str">
        <f aca="false">IF(원본명단!$A2323="","",2321)</f>
        <v/>
      </c>
      <c r="B2324" s="12" t="str">
        <f aca="false">IF($A2324="","",원본명단!$A2323)</f>
        <v/>
      </c>
      <c r="C2324" s="12" t="str">
        <f aca="false">IF($A2324="","",원본명단!$B2323)</f>
        <v/>
      </c>
      <c r="D2324" s="12" t="str">
        <f aca="false">IF($A2324="","",원본명단!$D2323)</f>
        <v/>
      </c>
      <c r="E2324" s="11" t="str">
        <f aca="false">IF($A2324="","",IF(원본명단!$H2323="",0,COUNTIF(원본명단!$H$3:$H$6002,원본명단!$H2323)))</f>
        <v/>
      </c>
      <c r="F2324" s="11" t="str">
        <f aca="false">IF($A2324="","",IF(원본명단!$I2323="",0,COUNTIF(원본명단!$I$3:$I$6002,원본명단!$I2323)))</f>
        <v/>
      </c>
      <c r="G2324" s="11" t="str">
        <f aca="false">IF($A2324="","",IF(원본명단!$K2323="",0,COUNTIF(원본명단!$K$3:$K$6002,원본명단!$K2323)))</f>
        <v/>
      </c>
      <c r="H2324" s="11" t="str">
        <f aca="false">IF($A2324="","",IF(MAX($E2324,$F2324,$G2324)&gt;1,"중복","-"))</f>
        <v/>
      </c>
      <c r="I2324" s="11" t="str">
        <f aca="false">IF($A2324="","",IF($H2324="-","-",IF(AND(IF(원본명단!$H2323="",TRUE(),COUNTIF(원본명단!$H$3:$H2323,원본명단!$H2323)=1),IF(원본명단!$I2323="",TRUE(),COUNTIF(원본명단!$I$3:$I2323,원본명단!$I2323)=1),IF(원본명단!$K2323="",TRUE(),COUNTIF(원본명단!$K$3:$K2323,원본명단!$K2323)=1)),"첫 건","중복 건")))</f>
        <v/>
      </c>
      <c r="J2324" s="11" t="str">
        <f aca="false">IF($A2324="","",IF($H2324="-","유지",IF($I2324="첫 건","유지","확인 필요")))</f>
        <v/>
      </c>
    </row>
    <row r="2325" customFormat="false" ht="15" hidden="false" customHeight="true" outlineLevel="0" collapsed="false">
      <c r="A2325" s="11" t="str">
        <f aca="false">IF(원본명단!$A2324="","",2322)</f>
        <v/>
      </c>
      <c r="B2325" s="12" t="str">
        <f aca="false">IF($A2325="","",원본명단!$A2324)</f>
        <v/>
      </c>
      <c r="C2325" s="12" t="str">
        <f aca="false">IF($A2325="","",원본명단!$B2324)</f>
        <v/>
      </c>
      <c r="D2325" s="12" t="str">
        <f aca="false">IF($A2325="","",원본명단!$D2324)</f>
        <v/>
      </c>
      <c r="E2325" s="11" t="str">
        <f aca="false">IF($A2325="","",IF(원본명단!$H2324="",0,COUNTIF(원본명단!$H$3:$H$6002,원본명단!$H2324)))</f>
        <v/>
      </c>
      <c r="F2325" s="11" t="str">
        <f aca="false">IF($A2325="","",IF(원본명단!$I2324="",0,COUNTIF(원본명단!$I$3:$I$6002,원본명단!$I2324)))</f>
        <v/>
      </c>
      <c r="G2325" s="11" t="str">
        <f aca="false">IF($A2325="","",IF(원본명단!$K2324="",0,COUNTIF(원본명단!$K$3:$K$6002,원본명단!$K2324)))</f>
        <v/>
      </c>
      <c r="H2325" s="11" t="str">
        <f aca="false">IF($A2325="","",IF(MAX($E2325,$F2325,$G2325)&gt;1,"중복","-"))</f>
        <v/>
      </c>
      <c r="I2325" s="11" t="str">
        <f aca="false">IF($A2325="","",IF($H2325="-","-",IF(AND(IF(원본명단!$H2324="",TRUE(),COUNTIF(원본명단!$H$3:$H2324,원본명단!$H2324)=1),IF(원본명단!$I2324="",TRUE(),COUNTIF(원본명단!$I$3:$I2324,원본명단!$I2324)=1),IF(원본명단!$K2324="",TRUE(),COUNTIF(원본명단!$K$3:$K2324,원본명단!$K2324)=1)),"첫 건","중복 건")))</f>
        <v/>
      </c>
      <c r="J2325" s="11" t="str">
        <f aca="false">IF($A2325="","",IF($H2325="-","유지",IF($I2325="첫 건","유지","확인 필요")))</f>
        <v/>
      </c>
    </row>
    <row r="2326" customFormat="false" ht="15" hidden="false" customHeight="true" outlineLevel="0" collapsed="false">
      <c r="A2326" s="11" t="str">
        <f aca="false">IF(원본명단!$A2325="","",2323)</f>
        <v/>
      </c>
      <c r="B2326" s="12" t="str">
        <f aca="false">IF($A2326="","",원본명단!$A2325)</f>
        <v/>
      </c>
      <c r="C2326" s="12" t="str">
        <f aca="false">IF($A2326="","",원본명단!$B2325)</f>
        <v/>
      </c>
      <c r="D2326" s="12" t="str">
        <f aca="false">IF($A2326="","",원본명단!$D2325)</f>
        <v/>
      </c>
      <c r="E2326" s="11" t="str">
        <f aca="false">IF($A2326="","",IF(원본명단!$H2325="",0,COUNTIF(원본명단!$H$3:$H$6002,원본명단!$H2325)))</f>
        <v/>
      </c>
      <c r="F2326" s="11" t="str">
        <f aca="false">IF($A2326="","",IF(원본명단!$I2325="",0,COUNTIF(원본명단!$I$3:$I$6002,원본명단!$I2325)))</f>
        <v/>
      </c>
      <c r="G2326" s="11" t="str">
        <f aca="false">IF($A2326="","",IF(원본명단!$K2325="",0,COUNTIF(원본명단!$K$3:$K$6002,원본명단!$K2325)))</f>
        <v/>
      </c>
      <c r="H2326" s="11" t="str">
        <f aca="false">IF($A2326="","",IF(MAX($E2326,$F2326,$G2326)&gt;1,"중복","-"))</f>
        <v/>
      </c>
      <c r="I2326" s="11" t="str">
        <f aca="false">IF($A2326="","",IF($H2326="-","-",IF(AND(IF(원본명단!$H2325="",TRUE(),COUNTIF(원본명단!$H$3:$H2325,원본명단!$H2325)=1),IF(원본명단!$I2325="",TRUE(),COUNTIF(원본명단!$I$3:$I2325,원본명단!$I2325)=1),IF(원본명단!$K2325="",TRUE(),COUNTIF(원본명단!$K$3:$K2325,원본명단!$K2325)=1)),"첫 건","중복 건")))</f>
        <v/>
      </c>
      <c r="J2326" s="11" t="str">
        <f aca="false">IF($A2326="","",IF($H2326="-","유지",IF($I2326="첫 건","유지","확인 필요")))</f>
        <v/>
      </c>
    </row>
    <row r="2327" customFormat="false" ht="15" hidden="false" customHeight="true" outlineLevel="0" collapsed="false">
      <c r="A2327" s="11" t="str">
        <f aca="false">IF(원본명단!$A2326="","",2324)</f>
        <v/>
      </c>
      <c r="B2327" s="12" t="str">
        <f aca="false">IF($A2327="","",원본명단!$A2326)</f>
        <v/>
      </c>
      <c r="C2327" s="12" t="str">
        <f aca="false">IF($A2327="","",원본명단!$B2326)</f>
        <v/>
      </c>
      <c r="D2327" s="12" t="str">
        <f aca="false">IF($A2327="","",원본명단!$D2326)</f>
        <v/>
      </c>
      <c r="E2327" s="11" t="str">
        <f aca="false">IF($A2327="","",IF(원본명단!$H2326="",0,COUNTIF(원본명단!$H$3:$H$6002,원본명단!$H2326)))</f>
        <v/>
      </c>
      <c r="F2327" s="11" t="str">
        <f aca="false">IF($A2327="","",IF(원본명단!$I2326="",0,COUNTIF(원본명단!$I$3:$I$6002,원본명단!$I2326)))</f>
        <v/>
      </c>
      <c r="G2327" s="11" t="str">
        <f aca="false">IF($A2327="","",IF(원본명단!$K2326="",0,COUNTIF(원본명단!$K$3:$K$6002,원본명단!$K2326)))</f>
        <v/>
      </c>
      <c r="H2327" s="11" t="str">
        <f aca="false">IF($A2327="","",IF(MAX($E2327,$F2327,$G2327)&gt;1,"중복","-"))</f>
        <v/>
      </c>
      <c r="I2327" s="11" t="str">
        <f aca="false">IF($A2327="","",IF($H2327="-","-",IF(AND(IF(원본명단!$H2326="",TRUE(),COUNTIF(원본명단!$H$3:$H2326,원본명단!$H2326)=1),IF(원본명단!$I2326="",TRUE(),COUNTIF(원본명단!$I$3:$I2326,원본명단!$I2326)=1),IF(원본명단!$K2326="",TRUE(),COUNTIF(원본명단!$K$3:$K2326,원본명단!$K2326)=1)),"첫 건","중복 건")))</f>
        <v/>
      </c>
      <c r="J2327" s="11" t="str">
        <f aca="false">IF($A2327="","",IF($H2327="-","유지",IF($I2327="첫 건","유지","확인 필요")))</f>
        <v/>
      </c>
    </row>
    <row r="2328" customFormat="false" ht="15" hidden="false" customHeight="true" outlineLevel="0" collapsed="false">
      <c r="A2328" s="11" t="str">
        <f aca="false">IF(원본명단!$A2327="","",2325)</f>
        <v/>
      </c>
      <c r="B2328" s="12" t="str">
        <f aca="false">IF($A2328="","",원본명단!$A2327)</f>
        <v/>
      </c>
      <c r="C2328" s="12" t="str">
        <f aca="false">IF($A2328="","",원본명단!$B2327)</f>
        <v/>
      </c>
      <c r="D2328" s="12" t="str">
        <f aca="false">IF($A2328="","",원본명단!$D2327)</f>
        <v/>
      </c>
      <c r="E2328" s="11" t="str">
        <f aca="false">IF($A2328="","",IF(원본명단!$H2327="",0,COUNTIF(원본명단!$H$3:$H$6002,원본명단!$H2327)))</f>
        <v/>
      </c>
      <c r="F2328" s="11" t="str">
        <f aca="false">IF($A2328="","",IF(원본명단!$I2327="",0,COUNTIF(원본명단!$I$3:$I$6002,원본명단!$I2327)))</f>
        <v/>
      </c>
      <c r="G2328" s="11" t="str">
        <f aca="false">IF($A2328="","",IF(원본명단!$K2327="",0,COUNTIF(원본명단!$K$3:$K$6002,원본명단!$K2327)))</f>
        <v/>
      </c>
      <c r="H2328" s="11" t="str">
        <f aca="false">IF($A2328="","",IF(MAX($E2328,$F2328,$G2328)&gt;1,"중복","-"))</f>
        <v/>
      </c>
      <c r="I2328" s="11" t="str">
        <f aca="false">IF($A2328="","",IF($H2328="-","-",IF(AND(IF(원본명단!$H2327="",TRUE(),COUNTIF(원본명단!$H$3:$H2327,원본명단!$H2327)=1),IF(원본명단!$I2327="",TRUE(),COUNTIF(원본명단!$I$3:$I2327,원본명단!$I2327)=1),IF(원본명단!$K2327="",TRUE(),COUNTIF(원본명단!$K$3:$K2327,원본명단!$K2327)=1)),"첫 건","중복 건")))</f>
        <v/>
      </c>
      <c r="J2328" s="11" t="str">
        <f aca="false">IF($A2328="","",IF($H2328="-","유지",IF($I2328="첫 건","유지","확인 필요")))</f>
        <v/>
      </c>
    </row>
    <row r="2329" customFormat="false" ht="15" hidden="false" customHeight="true" outlineLevel="0" collapsed="false">
      <c r="A2329" s="11" t="str">
        <f aca="false">IF(원본명단!$A2328="","",2326)</f>
        <v/>
      </c>
      <c r="B2329" s="12" t="str">
        <f aca="false">IF($A2329="","",원본명단!$A2328)</f>
        <v/>
      </c>
      <c r="C2329" s="12" t="str">
        <f aca="false">IF($A2329="","",원본명단!$B2328)</f>
        <v/>
      </c>
      <c r="D2329" s="12" t="str">
        <f aca="false">IF($A2329="","",원본명단!$D2328)</f>
        <v/>
      </c>
      <c r="E2329" s="11" t="str">
        <f aca="false">IF($A2329="","",IF(원본명단!$H2328="",0,COUNTIF(원본명단!$H$3:$H$6002,원본명단!$H2328)))</f>
        <v/>
      </c>
      <c r="F2329" s="11" t="str">
        <f aca="false">IF($A2329="","",IF(원본명단!$I2328="",0,COUNTIF(원본명단!$I$3:$I$6002,원본명단!$I2328)))</f>
        <v/>
      </c>
      <c r="G2329" s="11" t="str">
        <f aca="false">IF($A2329="","",IF(원본명단!$K2328="",0,COUNTIF(원본명단!$K$3:$K$6002,원본명단!$K2328)))</f>
        <v/>
      </c>
      <c r="H2329" s="11" t="str">
        <f aca="false">IF($A2329="","",IF(MAX($E2329,$F2329,$G2329)&gt;1,"중복","-"))</f>
        <v/>
      </c>
      <c r="I2329" s="11" t="str">
        <f aca="false">IF($A2329="","",IF($H2329="-","-",IF(AND(IF(원본명단!$H2328="",TRUE(),COUNTIF(원본명단!$H$3:$H2328,원본명단!$H2328)=1),IF(원본명단!$I2328="",TRUE(),COUNTIF(원본명단!$I$3:$I2328,원본명단!$I2328)=1),IF(원본명단!$K2328="",TRUE(),COUNTIF(원본명단!$K$3:$K2328,원본명단!$K2328)=1)),"첫 건","중복 건")))</f>
        <v/>
      </c>
      <c r="J2329" s="11" t="str">
        <f aca="false">IF($A2329="","",IF($H2329="-","유지",IF($I2329="첫 건","유지","확인 필요")))</f>
        <v/>
      </c>
    </row>
    <row r="2330" customFormat="false" ht="15" hidden="false" customHeight="true" outlineLevel="0" collapsed="false">
      <c r="A2330" s="11" t="str">
        <f aca="false">IF(원본명단!$A2329="","",2327)</f>
        <v/>
      </c>
      <c r="B2330" s="12" t="str">
        <f aca="false">IF($A2330="","",원본명단!$A2329)</f>
        <v/>
      </c>
      <c r="C2330" s="12" t="str">
        <f aca="false">IF($A2330="","",원본명단!$B2329)</f>
        <v/>
      </c>
      <c r="D2330" s="12" t="str">
        <f aca="false">IF($A2330="","",원본명단!$D2329)</f>
        <v/>
      </c>
      <c r="E2330" s="11" t="str">
        <f aca="false">IF($A2330="","",IF(원본명단!$H2329="",0,COUNTIF(원본명단!$H$3:$H$6002,원본명단!$H2329)))</f>
        <v/>
      </c>
      <c r="F2330" s="11" t="str">
        <f aca="false">IF($A2330="","",IF(원본명단!$I2329="",0,COUNTIF(원본명단!$I$3:$I$6002,원본명단!$I2329)))</f>
        <v/>
      </c>
      <c r="G2330" s="11" t="str">
        <f aca="false">IF($A2330="","",IF(원본명단!$K2329="",0,COUNTIF(원본명단!$K$3:$K$6002,원본명단!$K2329)))</f>
        <v/>
      </c>
      <c r="H2330" s="11" t="str">
        <f aca="false">IF($A2330="","",IF(MAX($E2330,$F2330,$G2330)&gt;1,"중복","-"))</f>
        <v/>
      </c>
      <c r="I2330" s="11" t="str">
        <f aca="false">IF($A2330="","",IF($H2330="-","-",IF(AND(IF(원본명단!$H2329="",TRUE(),COUNTIF(원본명단!$H$3:$H2329,원본명단!$H2329)=1),IF(원본명단!$I2329="",TRUE(),COUNTIF(원본명단!$I$3:$I2329,원본명단!$I2329)=1),IF(원본명단!$K2329="",TRUE(),COUNTIF(원본명단!$K$3:$K2329,원본명단!$K2329)=1)),"첫 건","중복 건")))</f>
        <v/>
      </c>
      <c r="J2330" s="11" t="str">
        <f aca="false">IF($A2330="","",IF($H2330="-","유지",IF($I2330="첫 건","유지","확인 필요")))</f>
        <v/>
      </c>
    </row>
    <row r="2331" customFormat="false" ht="15" hidden="false" customHeight="true" outlineLevel="0" collapsed="false">
      <c r="A2331" s="11" t="str">
        <f aca="false">IF(원본명단!$A2330="","",2328)</f>
        <v/>
      </c>
      <c r="B2331" s="12" t="str">
        <f aca="false">IF($A2331="","",원본명단!$A2330)</f>
        <v/>
      </c>
      <c r="C2331" s="12" t="str">
        <f aca="false">IF($A2331="","",원본명단!$B2330)</f>
        <v/>
      </c>
      <c r="D2331" s="12" t="str">
        <f aca="false">IF($A2331="","",원본명단!$D2330)</f>
        <v/>
      </c>
      <c r="E2331" s="11" t="str">
        <f aca="false">IF($A2331="","",IF(원본명단!$H2330="",0,COUNTIF(원본명단!$H$3:$H$6002,원본명단!$H2330)))</f>
        <v/>
      </c>
      <c r="F2331" s="11" t="str">
        <f aca="false">IF($A2331="","",IF(원본명단!$I2330="",0,COUNTIF(원본명단!$I$3:$I$6002,원본명단!$I2330)))</f>
        <v/>
      </c>
      <c r="G2331" s="11" t="str">
        <f aca="false">IF($A2331="","",IF(원본명단!$K2330="",0,COUNTIF(원본명단!$K$3:$K$6002,원본명단!$K2330)))</f>
        <v/>
      </c>
      <c r="H2331" s="11" t="str">
        <f aca="false">IF($A2331="","",IF(MAX($E2331,$F2331,$G2331)&gt;1,"중복","-"))</f>
        <v/>
      </c>
      <c r="I2331" s="11" t="str">
        <f aca="false">IF($A2331="","",IF($H2331="-","-",IF(AND(IF(원본명단!$H2330="",TRUE(),COUNTIF(원본명단!$H$3:$H2330,원본명단!$H2330)=1),IF(원본명단!$I2330="",TRUE(),COUNTIF(원본명단!$I$3:$I2330,원본명단!$I2330)=1),IF(원본명단!$K2330="",TRUE(),COUNTIF(원본명단!$K$3:$K2330,원본명단!$K2330)=1)),"첫 건","중복 건")))</f>
        <v/>
      </c>
      <c r="J2331" s="11" t="str">
        <f aca="false">IF($A2331="","",IF($H2331="-","유지",IF($I2331="첫 건","유지","확인 필요")))</f>
        <v/>
      </c>
    </row>
    <row r="2332" customFormat="false" ht="15" hidden="false" customHeight="true" outlineLevel="0" collapsed="false">
      <c r="A2332" s="11" t="str">
        <f aca="false">IF(원본명단!$A2331="","",2329)</f>
        <v/>
      </c>
      <c r="B2332" s="12" t="str">
        <f aca="false">IF($A2332="","",원본명단!$A2331)</f>
        <v/>
      </c>
      <c r="C2332" s="12" t="str">
        <f aca="false">IF($A2332="","",원본명단!$B2331)</f>
        <v/>
      </c>
      <c r="D2332" s="12" t="str">
        <f aca="false">IF($A2332="","",원본명단!$D2331)</f>
        <v/>
      </c>
      <c r="E2332" s="11" t="str">
        <f aca="false">IF($A2332="","",IF(원본명단!$H2331="",0,COUNTIF(원본명단!$H$3:$H$6002,원본명단!$H2331)))</f>
        <v/>
      </c>
      <c r="F2332" s="11" t="str">
        <f aca="false">IF($A2332="","",IF(원본명단!$I2331="",0,COUNTIF(원본명단!$I$3:$I$6002,원본명단!$I2331)))</f>
        <v/>
      </c>
      <c r="G2332" s="11" t="str">
        <f aca="false">IF($A2332="","",IF(원본명단!$K2331="",0,COUNTIF(원본명단!$K$3:$K$6002,원본명단!$K2331)))</f>
        <v/>
      </c>
      <c r="H2332" s="11" t="str">
        <f aca="false">IF($A2332="","",IF(MAX($E2332,$F2332,$G2332)&gt;1,"중복","-"))</f>
        <v/>
      </c>
      <c r="I2332" s="11" t="str">
        <f aca="false">IF($A2332="","",IF($H2332="-","-",IF(AND(IF(원본명단!$H2331="",TRUE(),COUNTIF(원본명단!$H$3:$H2331,원본명단!$H2331)=1),IF(원본명단!$I2331="",TRUE(),COUNTIF(원본명단!$I$3:$I2331,원본명단!$I2331)=1),IF(원본명단!$K2331="",TRUE(),COUNTIF(원본명단!$K$3:$K2331,원본명단!$K2331)=1)),"첫 건","중복 건")))</f>
        <v/>
      </c>
      <c r="J2332" s="11" t="str">
        <f aca="false">IF($A2332="","",IF($H2332="-","유지",IF($I2332="첫 건","유지","확인 필요")))</f>
        <v/>
      </c>
    </row>
    <row r="2333" customFormat="false" ht="15" hidden="false" customHeight="true" outlineLevel="0" collapsed="false">
      <c r="A2333" s="11" t="str">
        <f aca="false">IF(원본명단!$A2332="","",2330)</f>
        <v/>
      </c>
      <c r="B2333" s="12" t="str">
        <f aca="false">IF($A2333="","",원본명단!$A2332)</f>
        <v/>
      </c>
      <c r="C2333" s="12" t="str">
        <f aca="false">IF($A2333="","",원본명단!$B2332)</f>
        <v/>
      </c>
      <c r="D2333" s="12" t="str">
        <f aca="false">IF($A2333="","",원본명단!$D2332)</f>
        <v/>
      </c>
      <c r="E2333" s="11" t="str">
        <f aca="false">IF($A2333="","",IF(원본명단!$H2332="",0,COUNTIF(원본명단!$H$3:$H$6002,원본명단!$H2332)))</f>
        <v/>
      </c>
      <c r="F2333" s="11" t="str">
        <f aca="false">IF($A2333="","",IF(원본명단!$I2332="",0,COUNTIF(원본명단!$I$3:$I$6002,원본명단!$I2332)))</f>
        <v/>
      </c>
      <c r="G2333" s="11" t="str">
        <f aca="false">IF($A2333="","",IF(원본명단!$K2332="",0,COUNTIF(원본명단!$K$3:$K$6002,원본명단!$K2332)))</f>
        <v/>
      </c>
      <c r="H2333" s="11" t="str">
        <f aca="false">IF($A2333="","",IF(MAX($E2333,$F2333,$G2333)&gt;1,"중복","-"))</f>
        <v/>
      </c>
      <c r="I2333" s="11" t="str">
        <f aca="false">IF($A2333="","",IF($H2333="-","-",IF(AND(IF(원본명단!$H2332="",TRUE(),COUNTIF(원본명단!$H$3:$H2332,원본명단!$H2332)=1),IF(원본명단!$I2332="",TRUE(),COUNTIF(원본명단!$I$3:$I2332,원본명단!$I2332)=1),IF(원본명단!$K2332="",TRUE(),COUNTIF(원본명단!$K$3:$K2332,원본명단!$K2332)=1)),"첫 건","중복 건")))</f>
        <v/>
      </c>
      <c r="J2333" s="11" t="str">
        <f aca="false">IF($A2333="","",IF($H2333="-","유지",IF($I2333="첫 건","유지","확인 필요")))</f>
        <v/>
      </c>
    </row>
    <row r="2334" customFormat="false" ht="15" hidden="false" customHeight="true" outlineLevel="0" collapsed="false">
      <c r="A2334" s="11" t="str">
        <f aca="false">IF(원본명단!$A2333="","",2331)</f>
        <v/>
      </c>
      <c r="B2334" s="12" t="str">
        <f aca="false">IF($A2334="","",원본명단!$A2333)</f>
        <v/>
      </c>
      <c r="C2334" s="12" t="str">
        <f aca="false">IF($A2334="","",원본명단!$B2333)</f>
        <v/>
      </c>
      <c r="D2334" s="12" t="str">
        <f aca="false">IF($A2334="","",원본명단!$D2333)</f>
        <v/>
      </c>
      <c r="E2334" s="11" t="str">
        <f aca="false">IF($A2334="","",IF(원본명단!$H2333="",0,COUNTIF(원본명단!$H$3:$H$6002,원본명단!$H2333)))</f>
        <v/>
      </c>
      <c r="F2334" s="11" t="str">
        <f aca="false">IF($A2334="","",IF(원본명단!$I2333="",0,COUNTIF(원본명단!$I$3:$I$6002,원본명단!$I2333)))</f>
        <v/>
      </c>
      <c r="G2334" s="11" t="str">
        <f aca="false">IF($A2334="","",IF(원본명단!$K2333="",0,COUNTIF(원본명단!$K$3:$K$6002,원본명단!$K2333)))</f>
        <v/>
      </c>
      <c r="H2334" s="11" t="str">
        <f aca="false">IF($A2334="","",IF(MAX($E2334,$F2334,$G2334)&gt;1,"중복","-"))</f>
        <v/>
      </c>
      <c r="I2334" s="11" t="str">
        <f aca="false">IF($A2334="","",IF($H2334="-","-",IF(AND(IF(원본명단!$H2333="",TRUE(),COUNTIF(원본명단!$H$3:$H2333,원본명단!$H2333)=1),IF(원본명단!$I2333="",TRUE(),COUNTIF(원본명단!$I$3:$I2333,원본명단!$I2333)=1),IF(원본명단!$K2333="",TRUE(),COUNTIF(원본명단!$K$3:$K2333,원본명단!$K2333)=1)),"첫 건","중복 건")))</f>
        <v/>
      </c>
      <c r="J2334" s="11" t="str">
        <f aca="false">IF($A2334="","",IF($H2334="-","유지",IF($I2334="첫 건","유지","확인 필요")))</f>
        <v/>
      </c>
    </row>
    <row r="2335" customFormat="false" ht="15" hidden="false" customHeight="true" outlineLevel="0" collapsed="false">
      <c r="A2335" s="11" t="str">
        <f aca="false">IF(원본명단!$A2334="","",2332)</f>
        <v/>
      </c>
      <c r="B2335" s="12" t="str">
        <f aca="false">IF($A2335="","",원본명단!$A2334)</f>
        <v/>
      </c>
      <c r="C2335" s="12" t="str">
        <f aca="false">IF($A2335="","",원본명단!$B2334)</f>
        <v/>
      </c>
      <c r="D2335" s="12" t="str">
        <f aca="false">IF($A2335="","",원본명단!$D2334)</f>
        <v/>
      </c>
      <c r="E2335" s="11" t="str">
        <f aca="false">IF($A2335="","",IF(원본명단!$H2334="",0,COUNTIF(원본명단!$H$3:$H$6002,원본명단!$H2334)))</f>
        <v/>
      </c>
      <c r="F2335" s="11" t="str">
        <f aca="false">IF($A2335="","",IF(원본명단!$I2334="",0,COUNTIF(원본명단!$I$3:$I$6002,원본명단!$I2334)))</f>
        <v/>
      </c>
      <c r="G2335" s="11" t="str">
        <f aca="false">IF($A2335="","",IF(원본명단!$K2334="",0,COUNTIF(원본명단!$K$3:$K$6002,원본명단!$K2334)))</f>
        <v/>
      </c>
      <c r="H2335" s="11" t="str">
        <f aca="false">IF($A2335="","",IF(MAX($E2335,$F2335,$G2335)&gt;1,"중복","-"))</f>
        <v/>
      </c>
      <c r="I2335" s="11" t="str">
        <f aca="false">IF($A2335="","",IF($H2335="-","-",IF(AND(IF(원본명단!$H2334="",TRUE(),COUNTIF(원본명단!$H$3:$H2334,원본명단!$H2334)=1),IF(원본명단!$I2334="",TRUE(),COUNTIF(원본명단!$I$3:$I2334,원본명단!$I2334)=1),IF(원본명단!$K2334="",TRUE(),COUNTIF(원본명단!$K$3:$K2334,원본명단!$K2334)=1)),"첫 건","중복 건")))</f>
        <v/>
      </c>
      <c r="J2335" s="11" t="str">
        <f aca="false">IF($A2335="","",IF($H2335="-","유지",IF($I2335="첫 건","유지","확인 필요")))</f>
        <v/>
      </c>
    </row>
    <row r="2336" customFormat="false" ht="15" hidden="false" customHeight="true" outlineLevel="0" collapsed="false">
      <c r="A2336" s="11" t="str">
        <f aca="false">IF(원본명단!$A2335="","",2333)</f>
        <v/>
      </c>
      <c r="B2336" s="12" t="str">
        <f aca="false">IF($A2336="","",원본명단!$A2335)</f>
        <v/>
      </c>
      <c r="C2336" s="12" t="str">
        <f aca="false">IF($A2336="","",원본명단!$B2335)</f>
        <v/>
      </c>
      <c r="D2336" s="12" t="str">
        <f aca="false">IF($A2336="","",원본명단!$D2335)</f>
        <v/>
      </c>
      <c r="E2336" s="11" t="str">
        <f aca="false">IF($A2336="","",IF(원본명단!$H2335="",0,COUNTIF(원본명단!$H$3:$H$6002,원본명단!$H2335)))</f>
        <v/>
      </c>
      <c r="F2336" s="11" t="str">
        <f aca="false">IF($A2336="","",IF(원본명단!$I2335="",0,COUNTIF(원본명단!$I$3:$I$6002,원본명단!$I2335)))</f>
        <v/>
      </c>
      <c r="G2336" s="11" t="str">
        <f aca="false">IF($A2336="","",IF(원본명단!$K2335="",0,COUNTIF(원본명단!$K$3:$K$6002,원본명단!$K2335)))</f>
        <v/>
      </c>
      <c r="H2336" s="11" t="str">
        <f aca="false">IF($A2336="","",IF(MAX($E2336,$F2336,$G2336)&gt;1,"중복","-"))</f>
        <v/>
      </c>
      <c r="I2336" s="11" t="str">
        <f aca="false">IF($A2336="","",IF($H2336="-","-",IF(AND(IF(원본명단!$H2335="",TRUE(),COUNTIF(원본명단!$H$3:$H2335,원본명단!$H2335)=1),IF(원본명단!$I2335="",TRUE(),COUNTIF(원본명단!$I$3:$I2335,원본명단!$I2335)=1),IF(원본명단!$K2335="",TRUE(),COUNTIF(원본명단!$K$3:$K2335,원본명단!$K2335)=1)),"첫 건","중복 건")))</f>
        <v/>
      </c>
      <c r="J2336" s="11" t="str">
        <f aca="false">IF($A2336="","",IF($H2336="-","유지",IF($I2336="첫 건","유지","확인 필요")))</f>
        <v/>
      </c>
    </row>
    <row r="2337" customFormat="false" ht="15" hidden="false" customHeight="true" outlineLevel="0" collapsed="false">
      <c r="A2337" s="11" t="str">
        <f aca="false">IF(원본명단!$A2336="","",2334)</f>
        <v/>
      </c>
      <c r="B2337" s="12" t="str">
        <f aca="false">IF($A2337="","",원본명단!$A2336)</f>
        <v/>
      </c>
      <c r="C2337" s="12" t="str">
        <f aca="false">IF($A2337="","",원본명단!$B2336)</f>
        <v/>
      </c>
      <c r="D2337" s="12" t="str">
        <f aca="false">IF($A2337="","",원본명단!$D2336)</f>
        <v/>
      </c>
      <c r="E2337" s="11" t="str">
        <f aca="false">IF($A2337="","",IF(원본명단!$H2336="",0,COUNTIF(원본명단!$H$3:$H$6002,원본명단!$H2336)))</f>
        <v/>
      </c>
      <c r="F2337" s="11" t="str">
        <f aca="false">IF($A2337="","",IF(원본명단!$I2336="",0,COUNTIF(원본명단!$I$3:$I$6002,원본명단!$I2336)))</f>
        <v/>
      </c>
      <c r="G2337" s="11" t="str">
        <f aca="false">IF($A2337="","",IF(원본명단!$K2336="",0,COUNTIF(원본명단!$K$3:$K$6002,원본명단!$K2336)))</f>
        <v/>
      </c>
      <c r="H2337" s="11" t="str">
        <f aca="false">IF($A2337="","",IF(MAX($E2337,$F2337,$G2337)&gt;1,"중복","-"))</f>
        <v/>
      </c>
      <c r="I2337" s="11" t="str">
        <f aca="false">IF($A2337="","",IF($H2337="-","-",IF(AND(IF(원본명단!$H2336="",TRUE(),COUNTIF(원본명단!$H$3:$H2336,원본명단!$H2336)=1),IF(원본명단!$I2336="",TRUE(),COUNTIF(원본명단!$I$3:$I2336,원본명단!$I2336)=1),IF(원본명단!$K2336="",TRUE(),COUNTIF(원본명단!$K$3:$K2336,원본명단!$K2336)=1)),"첫 건","중복 건")))</f>
        <v/>
      </c>
      <c r="J2337" s="11" t="str">
        <f aca="false">IF($A2337="","",IF($H2337="-","유지",IF($I2337="첫 건","유지","확인 필요")))</f>
        <v/>
      </c>
    </row>
    <row r="2338" customFormat="false" ht="15" hidden="false" customHeight="true" outlineLevel="0" collapsed="false">
      <c r="A2338" s="11" t="str">
        <f aca="false">IF(원본명단!$A2337="","",2335)</f>
        <v/>
      </c>
      <c r="B2338" s="12" t="str">
        <f aca="false">IF($A2338="","",원본명단!$A2337)</f>
        <v/>
      </c>
      <c r="C2338" s="12" t="str">
        <f aca="false">IF($A2338="","",원본명단!$B2337)</f>
        <v/>
      </c>
      <c r="D2338" s="12" t="str">
        <f aca="false">IF($A2338="","",원본명단!$D2337)</f>
        <v/>
      </c>
      <c r="E2338" s="11" t="str">
        <f aca="false">IF($A2338="","",IF(원본명단!$H2337="",0,COUNTIF(원본명단!$H$3:$H$6002,원본명단!$H2337)))</f>
        <v/>
      </c>
      <c r="F2338" s="11" t="str">
        <f aca="false">IF($A2338="","",IF(원본명단!$I2337="",0,COUNTIF(원본명단!$I$3:$I$6002,원본명단!$I2337)))</f>
        <v/>
      </c>
      <c r="G2338" s="11" t="str">
        <f aca="false">IF($A2338="","",IF(원본명단!$K2337="",0,COUNTIF(원본명단!$K$3:$K$6002,원본명단!$K2337)))</f>
        <v/>
      </c>
      <c r="H2338" s="11" t="str">
        <f aca="false">IF($A2338="","",IF(MAX($E2338,$F2338,$G2338)&gt;1,"중복","-"))</f>
        <v/>
      </c>
      <c r="I2338" s="11" t="str">
        <f aca="false">IF($A2338="","",IF($H2338="-","-",IF(AND(IF(원본명단!$H2337="",TRUE(),COUNTIF(원본명단!$H$3:$H2337,원본명단!$H2337)=1),IF(원본명단!$I2337="",TRUE(),COUNTIF(원본명단!$I$3:$I2337,원본명단!$I2337)=1),IF(원본명단!$K2337="",TRUE(),COUNTIF(원본명단!$K$3:$K2337,원본명단!$K2337)=1)),"첫 건","중복 건")))</f>
        <v/>
      </c>
      <c r="J2338" s="11" t="str">
        <f aca="false">IF($A2338="","",IF($H2338="-","유지",IF($I2338="첫 건","유지","확인 필요")))</f>
        <v/>
      </c>
    </row>
    <row r="2339" customFormat="false" ht="15" hidden="false" customHeight="true" outlineLevel="0" collapsed="false">
      <c r="A2339" s="11" t="str">
        <f aca="false">IF(원본명단!$A2338="","",2336)</f>
        <v/>
      </c>
      <c r="B2339" s="12" t="str">
        <f aca="false">IF($A2339="","",원본명단!$A2338)</f>
        <v/>
      </c>
      <c r="C2339" s="12" t="str">
        <f aca="false">IF($A2339="","",원본명단!$B2338)</f>
        <v/>
      </c>
      <c r="D2339" s="12" t="str">
        <f aca="false">IF($A2339="","",원본명단!$D2338)</f>
        <v/>
      </c>
      <c r="E2339" s="11" t="str">
        <f aca="false">IF($A2339="","",IF(원본명단!$H2338="",0,COUNTIF(원본명단!$H$3:$H$6002,원본명단!$H2338)))</f>
        <v/>
      </c>
      <c r="F2339" s="11" t="str">
        <f aca="false">IF($A2339="","",IF(원본명단!$I2338="",0,COUNTIF(원본명단!$I$3:$I$6002,원본명단!$I2338)))</f>
        <v/>
      </c>
      <c r="G2339" s="11" t="str">
        <f aca="false">IF($A2339="","",IF(원본명단!$K2338="",0,COUNTIF(원본명단!$K$3:$K$6002,원본명단!$K2338)))</f>
        <v/>
      </c>
      <c r="H2339" s="11" t="str">
        <f aca="false">IF($A2339="","",IF(MAX($E2339,$F2339,$G2339)&gt;1,"중복","-"))</f>
        <v/>
      </c>
      <c r="I2339" s="11" t="str">
        <f aca="false">IF($A2339="","",IF($H2339="-","-",IF(AND(IF(원본명단!$H2338="",TRUE(),COUNTIF(원본명단!$H$3:$H2338,원본명단!$H2338)=1),IF(원본명단!$I2338="",TRUE(),COUNTIF(원본명단!$I$3:$I2338,원본명단!$I2338)=1),IF(원본명단!$K2338="",TRUE(),COUNTIF(원본명단!$K$3:$K2338,원본명단!$K2338)=1)),"첫 건","중복 건")))</f>
        <v/>
      </c>
      <c r="J2339" s="11" t="str">
        <f aca="false">IF($A2339="","",IF($H2339="-","유지",IF($I2339="첫 건","유지","확인 필요")))</f>
        <v/>
      </c>
    </row>
    <row r="2340" customFormat="false" ht="15" hidden="false" customHeight="true" outlineLevel="0" collapsed="false">
      <c r="A2340" s="11" t="str">
        <f aca="false">IF(원본명단!$A2339="","",2337)</f>
        <v/>
      </c>
      <c r="B2340" s="12" t="str">
        <f aca="false">IF($A2340="","",원본명단!$A2339)</f>
        <v/>
      </c>
      <c r="C2340" s="12" t="str">
        <f aca="false">IF($A2340="","",원본명단!$B2339)</f>
        <v/>
      </c>
      <c r="D2340" s="12" t="str">
        <f aca="false">IF($A2340="","",원본명단!$D2339)</f>
        <v/>
      </c>
      <c r="E2340" s="11" t="str">
        <f aca="false">IF($A2340="","",IF(원본명단!$H2339="",0,COUNTIF(원본명단!$H$3:$H$6002,원본명단!$H2339)))</f>
        <v/>
      </c>
      <c r="F2340" s="11" t="str">
        <f aca="false">IF($A2340="","",IF(원본명단!$I2339="",0,COUNTIF(원본명단!$I$3:$I$6002,원본명단!$I2339)))</f>
        <v/>
      </c>
      <c r="G2340" s="11" t="str">
        <f aca="false">IF($A2340="","",IF(원본명단!$K2339="",0,COUNTIF(원본명단!$K$3:$K$6002,원본명단!$K2339)))</f>
        <v/>
      </c>
      <c r="H2340" s="11" t="str">
        <f aca="false">IF($A2340="","",IF(MAX($E2340,$F2340,$G2340)&gt;1,"중복","-"))</f>
        <v/>
      </c>
      <c r="I2340" s="11" t="str">
        <f aca="false">IF($A2340="","",IF($H2340="-","-",IF(AND(IF(원본명단!$H2339="",TRUE(),COUNTIF(원본명단!$H$3:$H2339,원본명단!$H2339)=1),IF(원본명단!$I2339="",TRUE(),COUNTIF(원본명단!$I$3:$I2339,원본명단!$I2339)=1),IF(원본명단!$K2339="",TRUE(),COUNTIF(원본명단!$K$3:$K2339,원본명단!$K2339)=1)),"첫 건","중복 건")))</f>
        <v/>
      </c>
      <c r="J2340" s="11" t="str">
        <f aca="false">IF($A2340="","",IF($H2340="-","유지",IF($I2340="첫 건","유지","확인 필요")))</f>
        <v/>
      </c>
    </row>
    <row r="2341" customFormat="false" ht="15" hidden="false" customHeight="true" outlineLevel="0" collapsed="false">
      <c r="A2341" s="11" t="str">
        <f aca="false">IF(원본명단!$A2340="","",2338)</f>
        <v/>
      </c>
      <c r="B2341" s="12" t="str">
        <f aca="false">IF($A2341="","",원본명단!$A2340)</f>
        <v/>
      </c>
      <c r="C2341" s="12" t="str">
        <f aca="false">IF($A2341="","",원본명단!$B2340)</f>
        <v/>
      </c>
      <c r="D2341" s="12" t="str">
        <f aca="false">IF($A2341="","",원본명단!$D2340)</f>
        <v/>
      </c>
      <c r="E2341" s="11" t="str">
        <f aca="false">IF($A2341="","",IF(원본명단!$H2340="",0,COUNTIF(원본명단!$H$3:$H$6002,원본명단!$H2340)))</f>
        <v/>
      </c>
      <c r="F2341" s="11" t="str">
        <f aca="false">IF($A2341="","",IF(원본명단!$I2340="",0,COUNTIF(원본명단!$I$3:$I$6002,원본명단!$I2340)))</f>
        <v/>
      </c>
      <c r="G2341" s="11" t="str">
        <f aca="false">IF($A2341="","",IF(원본명단!$K2340="",0,COUNTIF(원본명단!$K$3:$K$6002,원본명단!$K2340)))</f>
        <v/>
      </c>
      <c r="H2341" s="11" t="str">
        <f aca="false">IF($A2341="","",IF(MAX($E2341,$F2341,$G2341)&gt;1,"중복","-"))</f>
        <v/>
      </c>
      <c r="I2341" s="11" t="str">
        <f aca="false">IF($A2341="","",IF($H2341="-","-",IF(AND(IF(원본명단!$H2340="",TRUE(),COUNTIF(원본명단!$H$3:$H2340,원본명단!$H2340)=1),IF(원본명단!$I2340="",TRUE(),COUNTIF(원본명단!$I$3:$I2340,원본명단!$I2340)=1),IF(원본명단!$K2340="",TRUE(),COUNTIF(원본명단!$K$3:$K2340,원본명단!$K2340)=1)),"첫 건","중복 건")))</f>
        <v/>
      </c>
      <c r="J2341" s="11" t="str">
        <f aca="false">IF($A2341="","",IF($H2341="-","유지",IF($I2341="첫 건","유지","확인 필요")))</f>
        <v/>
      </c>
    </row>
    <row r="2342" customFormat="false" ht="15" hidden="false" customHeight="true" outlineLevel="0" collapsed="false">
      <c r="A2342" s="11" t="str">
        <f aca="false">IF(원본명단!$A2341="","",2339)</f>
        <v/>
      </c>
      <c r="B2342" s="12" t="str">
        <f aca="false">IF($A2342="","",원본명단!$A2341)</f>
        <v/>
      </c>
      <c r="C2342" s="12" t="str">
        <f aca="false">IF($A2342="","",원본명단!$B2341)</f>
        <v/>
      </c>
      <c r="D2342" s="12" t="str">
        <f aca="false">IF($A2342="","",원본명단!$D2341)</f>
        <v/>
      </c>
      <c r="E2342" s="11" t="str">
        <f aca="false">IF($A2342="","",IF(원본명단!$H2341="",0,COUNTIF(원본명단!$H$3:$H$6002,원본명단!$H2341)))</f>
        <v/>
      </c>
      <c r="F2342" s="11" t="str">
        <f aca="false">IF($A2342="","",IF(원본명단!$I2341="",0,COUNTIF(원본명단!$I$3:$I$6002,원본명단!$I2341)))</f>
        <v/>
      </c>
      <c r="G2342" s="11" t="str">
        <f aca="false">IF($A2342="","",IF(원본명단!$K2341="",0,COUNTIF(원본명단!$K$3:$K$6002,원본명단!$K2341)))</f>
        <v/>
      </c>
      <c r="H2342" s="11" t="str">
        <f aca="false">IF($A2342="","",IF(MAX($E2342,$F2342,$G2342)&gt;1,"중복","-"))</f>
        <v/>
      </c>
      <c r="I2342" s="11" t="str">
        <f aca="false">IF($A2342="","",IF($H2342="-","-",IF(AND(IF(원본명단!$H2341="",TRUE(),COUNTIF(원본명단!$H$3:$H2341,원본명단!$H2341)=1),IF(원본명단!$I2341="",TRUE(),COUNTIF(원본명단!$I$3:$I2341,원본명단!$I2341)=1),IF(원본명단!$K2341="",TRUE(),COUNTIF(원본명단!$K$3:$K2341,원본명단!$K2341)=1)),"첫 건","중복 건")))</f>
        <v/>
      </c>
      <c r="J2342" s="11" t="str">
        <f aca="false">IF($A2342="","",IF($H2342="-","유지",IF($I2342="첫 건","유지","확인 필요")))</f>
        <v/>
      </c>
    </row>
    <row r="2343" customFormat="false" ht="15" hidden="false" customHeight="true" outlineLevel="0" collapsed="false">
      <c r="A2343" s="11" t="str">
        <f aca="false">IF(원본명단!$A2342="","",2340)</f>
        <v/>
      </c>
      <c r="B2343" s="12" t="str">
        <f aca="false">IF($A2343="","",원본명단!$A2342)</f>
        <v/>
      </c>
      <c r="C2343" s="12" t="str">
        <f aca="false">IF($A2343="","",원본명단!$B2342)</f>
        <v/>
      </c>
      <c r="D2343" s="12" t="str">
        <f aca="false">IF($A2343="","",원본명단!$D2342)</f>
        <v/>
      </c>
      <c r="E2343" s="11" t="str">
        <f aca="false">IF($A2343="","",IF(원본명단!$H2342="",0,COUNTIF(원본명단!$H$3:$H$6002,원본명단!$H2342)))</f>
        <v/>
      </c>
      <c r="F2343" s="11" t="str">
        <f aca="false">IF($A2343="","",IF(원본명단!$I2342="",0,COUNTIF(원본명단!$I$3:$I$6002,원본명단!$I2342)))</f>
        <v/>
      </c>
      <c r="G2343" s="11" t="str">
        <f aca="false">IF($A2343="","",IF(원본명단!$K2342="",0,COUNTIF(원본명단!$K$3:$K$6002,원본명단!$K2342)))</f>
        <v/>
      </c>
      <c r="H2343" s="11" t="str">
        <f aca="false">IF($A2343="","",IF(MAX($E2343,$F2343,$G2343)&gt;1,"중복","-"))</f>
        <v/>
      </c>
      <c r="I2343" s="11" t="str">
        <f aca="false">IF($A2343="","",IF($H2343="-","-",IF(AND(IF(원본명단!$H2342="",TRUE(),COUNTIF(원본명단!$H$3:$H2342,원본명단!$H2342)=1),IF(원본명단!$I2342="",TRUE(),COUNTIF(원본명단!$I$3:$I2342,원본명단!$I2342)=1),IF(원본명단!$K2342="",TRUE(),COUNTIF(원본명단!$K$3:$K2342,원본명단!$K2342)=1)),"첫 건","중복 건")))</f>
        <v/>
      </c>
      <c r="J2343" s="11" t="str">
        <f aca="false">IF($A2343="","",IF($H2343="-","유지",IF($I2343="첫 건","유지","확인 필요")))</f>
        <v/>
      </c>
    </row>
    <row r="2344" customFormat="false" ht="15" hidden="false" customHeight="true" outlineLevel="0" collapsed="false">
      <c r="A2344" s="11" t="str">
        <f aca="false">IF(원본명단!$A2343="","",2341)</f>
        <v/>
      </c>
      <c r="B2344" s="12" t="str">
        <f aca="false">IF($A2344="","",원본명단!$A2343)</f>
        <v/>
      </c>
      <c r="C2344" s="12" t="str">
        <f aca="false">IF($A2344="","",원본명단!$B2343)</f>
        <v/>
      </c>
      <c r="D2344" s="12" t="str">
        <f aca="false">IF($A2344="","",원본명단!$D2343)</f>
        <v/>
      </c>
      <c r="E2344" s="11" t="str">
        <f aca="false">IF($A2344="","",IF(원본명단!$H2343="",0,COUNTIF(원본명단!$H$3:$H$6002,원본명단!$H2343)))</f>
        <v/>
      </c>
      <c r="F2344" s="11" t="str">
        <f aca="false">IF($A2344="","",IF(원본명단!$I2343="",0,COUNTIF(원본명단!$I$3:$I$6002,원본명단!$I2343)))</f>
        <v/>
      </c>
      <c r="G2344" s="11" t="str">
        <f aca="false">IF($A2344="","",IF(원본명단!$K2343="",0,COUNTIF(원본명단!$K$3:$K$6002,원본명단!$K2343)))</f>
        <v/>
      </c>
      <c r="H2344" s="11" t="str">
        <f aca="false">IF($A2344="","",IF(MAX($E2344,$F2344,$G2344)&gt;1,"중복","-"))</f>
        <v/>
      </c>
      <c r="I2344" s="11" t="str">
        <f aca="false">IF($A2344="","",IF($H2344="-","-",IF(AND(IF(원본명단!$H2343="",TRUE(),COUNTIF(원본명단!$H$3:$H2343,원본명단!$H2343)=1),IF(원본명단!$I2343="",TRUE(),COUNTIF(원본명단!$I$3:$I2343,원본명단!$I2343)=1),IF(원본명단!$K2343="",TRUE(),COUNTIF(원본명단!$K$3:$K2343,원본명단!$K2343)=1)),"첫 건","중복 건")))</f>
        <v/>
      </c>
      <c r="J2344" s="11" t="str">
        <f aca="false">IF($A2344="","",IF($H2344="-","유지",IF($I2344="첫 건","유지","확인 필요")))</f>
        <v/>
      </c>
    </row>
    <row r="2345" customFormat="false" ht="15" hidden="false" customHeight="true" outlineLevel="0" collapsed="false">
      <c r="A2345" s="11" t="str">
        <f aca="false">IF(원본명단!$A2344="","",2342)</f>
        <v/>
      </c>
      <c r="B2345" s="12" t="str">
        <f aca="false">IF($A2345="","",원본명단!$A2344)</f>
        <v/>
      </c>
      <c r="C2345" s="12" t="str">
        <f aca="false">IF($A2345="","",원본명단!$B2344)</f>
        <v/>
      </c>
      <c r="D2345" s="12" t="str">
        <f aca="false">IF($A2345="","",원본명단!$D2344)</f>
        <v/>
      </c>
      <c r="E2345" s="11" t="str">
        <f aca="false">IF($A2345="","",IF(원본명단!$H2344="",0,COUNTIF(원본명단!$H$3:$H$6002,원본명단!$H2344)))</f>
        <v/>
      </c>
      <c r="F2345" s="11" t="str">
        <f aca="false">IF($A2345="","",IF(원본명단!$I2344="",0,COUNTIF(원본명단!$I$3:$I$6002,원본명단!$I2344)))</f>
        <v/>
      </c>
      <c r="G2345" s="11" t="str">
        <f aca="false">IF($A2345="","",IF(원본명단!$K2344="",0,COUNTIF(원본명단!$K$3:$K$6002,원본명단!$K2344)))</f>
        <v/>
      </c>
      <c r="H2345" s="11" t="str">
        <f aca="false">IF($A2345="","",IF(MAX($E2345,$F2345,$G2345)&gt;1,"중복","-"))</f>
        <v/>
      </c>
      <c r="I2345" s="11" t="str">
        <f aca="false">IF($A2345="","",IF($H2345="-","-",IF(AND(IF(원본명단!$H2344="",TRUE(),COUNTIF(원본명단!$H$3:$H2344,원본명단!$H2344)=1),IF(원본명단!$I2344="",TRUE(),COUNTIF(원본명단!$I$3:$I2344,원본명단!$I2344)=1),IF(원본명단!$K2344="",TRUE(),COUNTIF(원본명단!$K$3:$K2344,원본명단!$K2344)=1)),"첫 건","중복 건")))</f>
        <v/>
      </c>
      <c r="J2345" s="11" t="str">
        <f aca="false">IF($A2345="","",IF($H2345="-","유지",IF($I2345="첫 건","유지","확인 필요")))</f>
        <v/>
      </c>
    </row>
    <row r="2346" customFormat="false" ht="15" hidden="false" customHeight="true" outlineLevel="0" collapsed="false">
      <c r="A2346" s="11" t="str">
        <f aca="false">IF(원본명단!$A2345="","",2343)</f>
        <v/>
      </c>
      <c r="B2346" s="12" t="str">
        <f aca="false">IF($A2346="","",원본명단!$A2345)</f>
        <v/>
      </c>
      <c r="C2346" s="12" t="str">
        <f aca="false">IF($A2346="","",원본명단!$B2345)</f>
        <v/>
      </c>
      <c r="D2346" s="12" t="str">
        <f aca="false">IF($A2346="","",원본명단!$D2345)</f>
        <v/>
      </c>
      <c r="E2346" s="11" t="str">
        <f aca="false">IF($A2346="","",IF(원본명단!$H2345="",0,COUNTIF(원본명단!$H$3:$H$6002,원본명단!$H2345)))</f>
        <v/>
      </c>
      <c r="F2346" s="11" t="str">
        <f aca="false">IF($A2346="","",IF(원본명단!$I2345="",0,COUNTIF(원본명단!$I$3:$I$6002,원본명단!$I2345)))</f>
        <v/>
      </c>
      <c r="G2346" s="11" t="str">
        <f aca="false">IF($A2346="","",IF(원본명단!$K2345="",0,COUNTIF(원본명단!$K$3:$K$6002,원본명단!$K2345)))</f>
        <v/>
      </c>
      <c r="H2346" s="11" t="str">
        <f aca="false">IF($A2346="","",IF(MAX($E2346,$F2346,$G2346)&gt;1,"중복","-"))</f>
        <v/>
      </c>
      <c r="I2346" s="11" t="str">
        <f aca="false">IF($A2346="","",IF($H2346="-","-",IF(AND(IF(원본명단!$H2345="",TRUE(),COUNTIF(원본명단!$H$3:$H2345,원본명단!$H2345)=1),IF(원본명단!$I2345="",TRUE(),COUNTIF(원본명단!$I$3:$I2345,원본명단!$I2345)=1),IF(원본명단!$K2345="",TRUE(),COUNTIF(원본명단!$K$3:$K2345,원본명단!$K2345)=1)),"첫 건","중복 건")))</f>
        <v/>
      </c>
      <c r="J2346" s="11" t="str">
        <f aca="false">IF($A2346="","",IF($H2346="-","유지",IF($I2346="첫 건","유지","확인 필요")))</f>
        <v/>
      </c>
    </row>
    <row r="2347" customFormat="false" ht="15" hidden="false" customHeight="true" outlineLevel="0" collapsed="false">
      <c r="A2347" s="11" t="str">
        <f aca="false">IF(원본명단!$A2346="","",2344)</f>
        <v/>
      </c>
      <c r="B2347" s="12" t="str">
        <f aca="false">IF($A2347="","",원본명단!$A2346)</f>
        <v/>
      </c>
      <c r="C2347" s="12" t="str">
        <f aca="false">IF($A2347="","",원본명단!$B2346)</f>
        <v/>
      </c>
      <c r="D2347" s="12" t="str">
        <f aca="false">IF($A2347="","",원본명단!$D2346)</f>
        <v/>
      </c>
      <c r="E2347" s="11" t="str">
        <f aca="false">IF($A2347="","",IF(원본명단!$H2346="",0,COUNTIF(원본명단!$H$3:$H$6002,원본명단!$H2346)))</f>
        <v/>
      </c>
      <c r="F2347" s="11" t="str">
        <f aca="false">IF($A2347="","",IF(원본명단!$I2346="",0,COUNTIF(원본명단!$I$3:$I$6002,원본명단!$I2346)))</f>
        <v/>
      </c>
      <c r="G2347" s="11" t="str">
        <f aca="false">IF($A2347="","",IF(원본명단!$K2346="",0,COUNTIF(원본명단!$K$3:$K$6002,원본명단!$K2346)))</f>
        <v/>
      </c>
      <c r="H2347" s="11" t="str">
        <f aca="false">IF($A2347="","",IF(MAX($E2347,$F2347,$G2347)&gt;1,"중복","-"))</f>
        <v/>
      </c>
      <c r="I2347" s="11" t="str">
        <f aca="false">IF($A2347="","",IF($H2347="-","-",IF(AND(IF(원본명단!$H2346="",TRUE(),COUNTIF(원본명단!$H$3:$H2346,원본명단!$H2346)=1),IF(원본명단!$I2346="",TRUE(),COUNTIF(원본명단!$I$3:$I2346,원본명단!$I2346)=1),IF(원본명단!$K2346="",TRUE(),COUNTIF(원본명단!$K$3:$K2346,원본명단!$K2346)=1)),"첫 건","중복 건")))</f>
        <v/>
      </c>
      <c r="J2347" s="11" t="str">
        <f aca="false">IF($A2347="","",IF($H2347="-","유지",IF($I2347="첫 건","유지","확인 필요")))</f>
        <v/>
      </c>
    </row>
    <row r="2348" customFormat="false" ht="15" hidden="false" customHeight="true" outlineLevel="0" collapsed="false">
      <c r="A2348" s="11" t="str">
        <f aca="false">IF(원본명단!$A2347="","",2345)</f>
        <v/>
      </c>
      <c r="B2348" s="12" t="str">
        <f aca="false">IF($A2348="","",원본명단!$A2347)</f>
        <v/>
      </c>
      <c r="C2348" s="12" t="str">
        <f aca="false">IF($A2348="","",원본명단!$B2347)</f>
        <v/>
      </c>
      <c r="D2348" s="12" t="str">
        <f aca="false">IF($A2348="","",원본명단!$D2347)</f>
        <v/>
      </c>
      <c r="E2348" s="11" t="str">
        <f aca="false">IF($A2348="","",IF(원본명단!$H2347="",0,COUNTIF(원본명단!$H$3:$H$6002,원본명단!$H2347)))</f>
        <v/>
      </c>
      <c r="F2348" s="11" t="str">
        <f aca="false">IF($A2348="","",IF(원본명단!$I2347="",0,COUNTIF(원본명단!$I$3:$I$6002,원본명단!$I2347)))</f>
        <v/>
      </c>
      <c r="G2348" s="11" t="str">
        <f aca="false">IF($A2348="","",IF(원본명단!$K2347="",0,COUNTIF(원본명단!$K$3:$K$6002,원본명단!$K2347)))</f>
        <v/>
      </c>
      <c r="H2348" s="11" t="str">
        <f aca="false">IF($A2348="","",IF(MAX($E2348,$F2348,$G2348)&gt;1,"중복","-"))</f>
        <v/>
      </c>
      <c r="I2348" s="11" t="str">
        <f aca="false">IF($A2348="","",IF($H2348="-","-",IF(AND(IF(원본명단!$H2347="",TRUE(),COUNTIF(원본명단!$H$3:$H2347,원본명단!$H2347)=1),IF(원본명단!$I2347="",TRUE(),COUNTIF(원본명단!$I$3:$I2347,원본명단!$I2347)=1),IF(원본명단!$K2347="",TRUE(),COUNTIF(원본명단!$K$3:$K2347,원본명단!$K2347)=1)),"첫 건","중복 건")))</f>
        <v/>
      </c>
      <c r="J2348" s="11" t="str">
        <f aca="false">IF($A2348="","",IF($H2348="-","유지",IF($I2348="첫 건","유지","확인 필요")))</f>
        <v/>
      </c>
    </row>
    <row r="2349" customFormat="false" ht="15" hidden="false" customHeight="true" outlineLevel="0" collapsed="false">
      <c r="A2349" s="11" t="str">
        <f aca="false">IF(원본명단!$A2348="","",2346)</f>
        <v/>
      </c>
      <c r="B2349" s="12" t="str">
        <f aca="false">IF($A2349="","",원본명단!$A2348)</f>
        <v/>
      </c>
      <c r="C2349" s="12" t="str">
        <f aca="false">IF($A2349="","",원본명단!$B2348)</f>
        <v/>
      </c>
      <c r="D2349" s="12" t="str">
        <f aca="false">IF($A2349="","",원본명단!$D2348)</f>
        <v/>
      </c>
      <c r="E2349" s="11" t="str">
        <f aca="false">IF($A2349="","",IF(원본명단!$H2348="",0,COUNTIF(원본명단!$H$3:$H$6002,원본명단!$H2348)))</f>
        <v/>
      </c>
      <c r="F2349" s="11" t="str">
        <f aca="false">IF($A2349="","",IF(원본명단!$I2348="",0,COUNTIF(원본명단!$I$3:$I$6002,원본명단!$I2348)))</f>
        <v/>
      </c>
      <c r="G2349" s="11" t="str">
        <f aca="false">IF($A2349="","",IF(원본명단!$K2348="",0,COUNTIF(원본명단!$K$3:$K$6002,원본명단!$K2348)))</f>
        <v/>
      </c>
      <c r="H2349" s="11" t="str">
        <f aca="false">IF($A2349="","",IF(MAX($E2349,$F2349,$G2349)&gt;1,"중복","-"))</f>
        <v/>
      </c>
      <c r="I2349" s="11" t="str">
        <f aca="false">IF($A2349="","",IF($H2349="-","-",IF(AND(IF(원본명단!$H2348="",TRUE(),COUNTIF(원본명단!$H$3:$H2348,원본명단!$H2348)=1),IF(원본명단!$I2348="",TRUE(),COUNTIF(원본명단!$I$3:$I2348,원본명단!$I2348)=1),IF(원본명단!$K2348="",TRUE(),COUNTIF(원본명단!$K$3:$K2348,원본명단!$K2348)=1)),"첫 건","중복 건")))</f>
        <v/>
      </c>
      <c r="J2349" s="11" t="str">
        <f aca="false">IF($A2349="","",IF($H2349="-","유지",IF($I2349="첫 건","유지","확인 필요")))</f>
        <v/>
      </c>
    </row>
    <row r="2350" customFormat="false" ht="15" hidden="false" customHeight="true" outlineLevel="0" collapsed="false">
      <c r="A2350" s="11" t="str">
        <f aca="false">IF(원본명단!$A2349="","",2347)</f>
        <v/>
      </c>
      <c r="B2350" s="12" t="str">
        <f aca="false">IF($A2350="","",원본명단!$A2349)</f>
        <v/>
      </c>
      <c r="C2350" s="12" t="str">
        <f aca="false">IF($A2350="","",원본명단!$B2349)</f>
        <v/>
      </c>
      <c r="D2350" s="12" t="str">
        <f aca="false">IF($A2350="","",원본명단!$D2349)</f>
        <v/>
      </c>
      <c r="E2350" s="11" t="str">
        <f aca="false">IF($A2350="","",IF(원본명단!$H2349="",0,COUNTIF(원본명단!$H$3:$H$6002,원본명단!$H2349)))</f>
        <v/>
      </c>
      <c r="F2350" s="11" t="str">
        <f aca="false">IF($A2350="","",IF(원본명단!$I2349="",0,COUNTIF(원본명단!$I$3:$I$6002,원본명단!$I2349)))</f>
        <v/>
      </c>
      <c r="G2350" s="11" t="str">
        <f aca="false">IF($A2350="","",IF(원본명단!$K2349="",0,COUNTIF(원본명단!$K$3:$K$6002,원본명단!$K2349)))</f>
        <v/>
      </c>
      <c r="H2350" s="11" t="str">
        <f aca="false">IF($A2350="","",IF(MAX($E2350,$F2350,$G2350)&gt;1,"중복","-"))</f>
        <v/>
      </c>
      <c r="I2350" s="11" t="str">
        <f aca="false">IF($A2350="","",IF($H2350="-","-",IF(AND(IF(원본명단!$H2349="",TRUE(),COUNTIF(원본명단!$H$3:$H2349,원본명단!$H2349)=1),IF(원본명단!$I2349="",TRUE(),COUNTIF(원본명단!$I$3:$I2349,원본명단!$I2349)=1),IF(원본명단!$K2349="",TRUE(),COUNTIF(원본명단!$K$3:$K2349,원본명단!$K2349)=1)),"첫 건","중복 건")))</f>
        <v/>
      </c>
      <c r="J2350" s="11" t="str">
        <f aca="false">IF($A2350="","",IF($H2350="-","유지",IF($I2350="첫 건","유지","확인 필요")))</f>
        <v/>
      </c>
    </row>
    <row r="2351" customFormat="false" ht="15" hidden="false" customHeight="true" outlineLevel="0" collapsed="false">
      <c r="A2351" s="11" t="str">
        <f aca="false">IF(원본명단!$A2350="","",2348)</f>
        <v/>
      </c>
      <c r="B2351" s="12" t="str">
        <f aca="false">IF($A2351="","",원본명단!$A2350)</f>
        <v/>
      </c>
      <c r="C2351" s="12" t="str">
        <f aca="false">IF($A2351="","",원본명단!$B2350)</f>
        <v/>
      </c>
      <c r="D2351" s="12" t="str">
        <f aca="false">IF($A2351="","",원본명단!$D2350)</f>
        <v/>
      </c>
      <c r="E2351" s="11" t="str">
        <f aca="false">IF($A2351="","",IF(원본명단!$H2350="",0,COUNTIF(원본명단!$H$3:$H$6002,원본명단!$H2350)))</f>
        <v/>
      </c>
      <c r="F2351" s="11" t="str">
        <f aca="false">IF($A2351="","",IF(원본명단!$I2350="",0,COUNTIF(원본명단!$I$3:$I$6002,원본명단!$I2350)))</f>
        <v/>
      </c>
      <c r="G2351" s="11" t="str">
        <f aca="false">IF($A2351="","",IF(원본명단!$K2350="",0,COUNTIF(원본명단!$K$3:$K$6002,원본명단!$K2350)))</f>
        <v/>
      </c>
      <c r="H2351" s="11" t="str">
        <f aca="false">IF($A2351="","",IF(MAX($E2351,$F2351,$G2351)&gt;1,"중복","-"))</f>
        <v/>
      </c>
      <c r="I2351" s="11" t="str">
        <f aca="false">IF($A2351="","",IF($H2351="-","-",IF(AND(IF(원본명단!$H2350="",TRUE(),COUNTIF(원본명단!$H$3:$H2350,원본명단!$H2350)=1),IF(원본명단!$I2350="",TRUE(),COUNTIF(원본명단!$I$3:$I2350,원본명단!$I2350)=1),IF(원본명단!$K2350="",TRUE(),COUNTIF(원본명단!$K$3:$K2350,원본명단!$K2350)=1)),"첫 건","중복 건")))</f>
        <v/>
      </c>
      <c r="J2351" s="11" t="str">
        <f aca="false">IF($A2351="","",IF($H2351="-","유지",IF($I2351="첫 건","유지","확인 필요")))</f>
        <v/>
      </c>
    </row>
    <row r="2352" customFormat="false" ht="15" hidden="false" customHeight="true" outlineLevel="0" collapsed="false">
      <c r="A2352" s="11" t="str">
        <f aca="false">IF(원본명단!$A2351="","",2349)</f>
        <v/>
      </c>
      <c r="B2352" s="12" t="str">
        <f aca="false">IF($A2352="","",원본명단!$A2351)</f>
        <v/>
      </c>
      <c r="C2352" s="12" t="str">
        <f aca="false">IF($A2352="","",원본명단!$B2351)</f>
        <v/>
      </c>
      <c r="D2352" s="12" t="str">
        <f aca="false">IF($A2352="","",원본명단!$D2351)</f>
        <v/>
      </c>
      <c r="E2352" s="11" t="str">
        <f aca="false">IF($A2352="","",IF(원본명단!$H2351="",0,COUNTIF(원본명단!$H$3:$H$6002,원본명단!$H2351)))</f>
        <v/>
      </c>
      <c r="F2352" s="11" t="str">
        <f aca="false">IF($A2352="","",IF(원본명단!$I2351="",0,COUNTIF(원본명단!$I$3:$I$6002,원본명단!$I2351)))</f>
        <v/>
      </c>
      <c r="G2352" s="11" t="str">
        <f aca="false">IF($A2352="","",IF(원본명단!$K2351="",0,COUNTIF(원본명단!$K$3:$K$6002,원본명단!$K2351)))</f>
        <v/>
      </c>
      <c r="H2352" s="11" t="str">
        <f aca="false">IF($A2352="","",IF(MAX($E2352,$F2352,$G2352)&gt;1,"중복","-"))</f>
        <v/>
      </c>
      <c r="I2352" s="11" t="str">
        <f aca="false">IF($A2352="","",IF($H2352="-","-",IF(AND(IF(원본명단!$H2351="",TRUE(),COUNTIF(원본명단!$H$3:$H2351,원본명단!$H2351)=1),IF(원본명단!$I2351="",TRUE(),COUNTIF(원본명단!$I$3:$I2351,원본명단!$I2351)=1),IF(원본명단!$K2351="",TRUE(),COUNTIF(원본명단!$K$3:$K2351,원본명단!$K2351)=1)),"첫 건","중복 건")))</f>
        <v/>
      </c>
      <c r="J2352" s="11" t="str">
        <f aca="false">IF($A2352="","",IF($H2352="-","유지",IF($I2352="첫 건","유지","확인 필요")))</f>
        <v/>
      </c>
    </row>
    <row r="2353" customFormat="false" ht="15" hidden="false" customHeight="true" outlineLevel="0" collapsed="false">
      <c r="A2353" s="11" t="str">
        <f aca="false">IF(원본명단!$A2352="","",2350)</f>
        <v/>
      </c>
      <c r="B2353" s="12" t="str">
        <f aca="false">IF($A2353="","",원본명단!$A2352)</f>
        <v/>
      </c>
      <c r="C2353" s="12" t="str">
        <f aca="false">IF($A2353="","",원본명단!$B2352)</f>
        <v/>
      </c>
      <c r="D2353" s="12" t="str">
        <f aca="false">IF($A2353="","",원본명단!$D2352)</f>
        <v/>
      </c>
      <c r="E2353" s="11" t="str">
        <f aca="false">IF($A2353="","",IF(원본명단!$H2352="",0,COUNTIF(원본명단!$H$3:$H$6002,원본명단!$H2352)))</f>
        <v/>
      </c>
      <c r="F2353" s="11" t="str">
        <f aca="false">IF($A2353="","",IF(원본명단!$I2352="",0,COUNTIF(원본명단!$I$3:$I$6002,원본명단!$I2352)))</f>
        <v/>
      </c>
      <c r="G2353" s="11" t="str">
        <f aca="false">IF($A2353="","",IF(원본명단!$K2352="",0,COUNTIF(원본명단!$K$3:$K$6002,원본명단!$K2352)))</f>
        <v/>
      </c>
      <c r="H2353" s="11" t="str">
        <f aca="false">IF($A2353="","",IF(MAX($E2353,$F2353,$G2353)&gt;1,"중복","-"))</f>
        <v/>
      </c>
      <c r="I2353" s="11" t="str">
        <f aca="false">IF($A2353="","",IF($H2353="-","-",IF(AND(IF(원본명단!$H2352="",TRUE(),COUNTIF(원본명단!$H$3:$H2352,원본명단!$H2352)=1),IF(원본명단!$I2352="",TRUE(),COUNTIF(원본명단!$I$3:$I2352,원본명단!$I2352)=1),IF(원본명단!$K2352="",TRUE(),COUNTIF(원본명단!$K$3:$K2352,원본명단!$K2352)=1)),"첫 건","중복 건")))</f>
        <v/>
      </c>
      <c r="J2353" s="11" t="str">
        <f aca="false">IF($A2353="","",IF($H2353="-","유지",IF($I2353="첫 건","유지","확인 필요")))</f>
        <v/>
      </c>
    </row>
    <row r="2354" customFormat="false" ht="15" hidden="false" customHeight="true" outlineLevel="0" collapsed="false">
      <c r="A2354" s="11" t="str">
        <f aca="false">IF(원본명단!$A2353="","",2351)</f>
        <v/>
      </c>
      <c r="B2354" s="12" t="str">
        <f aca="false">IF($A2354="","",원본명단!$A2353)</f>
        <v/>
      </c>
      <c r="C2354" s="12" t="str">
        <f aca="false">IF($A2354="","",원본명단!$B2353)</f>
        <v/>
      </c>
      <c r="D2354" s="12" t="str">
        <f aca="false">IF($A2354="","",원본명단!$D2353)</f>
        <v/>
      </c>
      <c r="E2354" s="11" t="str">
        <f aca="false">IF($A2354="","",IF(원본명단!$H2353="",0,COUNTIF(원본명단!$H$3:$H$6002,원본명단!$H2353)))</f>
        <v/>
      </c>
      <c r="F2354" s="11" t="str">
        <f aca="false">IF($A2354="","",IF(원본명단!$I2353="",0,COUNTIF(원본명단!$I$3:$I$6002,원본명단!$I2353)))</f>
        <v/>
      </c>
      <c r="G2354" s="11" t="str">
        <f aca="false">IF($A2354="","",IF(원본명단!$K2353="",0,COUNTIF(원본명단!$K$3:$K$6002,원본명단!$K2353)))</f>
        <v/>
      </c>
      <c r="H2354" s="11" t="str">
        <f aca="false">IF($A2354="","",IF(MAX($E2354,$F2354,$G2354)&gt;1,"중복","-"))</f>
        <v/>
      </c>
      <c r="I2354" s="11" t="str">
        <f aca="false">IF($A2354="","",IF($H2354="-","-",IF(AND(IF(원본명단!$H2353="",TRUE(),COUNTIF(원본명단!$H$3:$H2353,원본명단!$H2353)=1),IF(원본명단!$I2353="",TRUE(),COUNTIF(원본명단!$I$3:$I2353,원본명단!$I2353)=1),IF(원본명단!$K2353="",TRUE(),COUNTIF(원본명단!$K$3:$K2353,원본명단!$K2353)=1)),"첫 건","중복 건")))</f>
        <v/>
      </c>
      <c r="J2354" s="11" t="str">
        <f aca="false">IF($A2354="","",IF($H2354="-","유지",IF($I2354="첫 건","유지","확인 필요")))</f>
        <v/>
      </c>
    </row>
    <row r="2355" customFormat="false" ht="15" hidden="false" customHeight="true" outlineLevel="0" collapsed="false">
      <c r="A2355" s="11" t="str">
        <f aca="false">IF(원본명단!$A2354="","",2352)</f>
        <v/>
      </c>
      <c r="B2355" s="12" t="str">
        <f aca="false">IF($A2355="","",원본명단!$A2354)</f>
        <v/>
      </c>
      <c r="C2355" s="12" t="str">
        <f aca="false">IF($A2355="","",원본명단!$B2354)</f>
        <v/>
      </c>
      <c r="D2355" s="12" t="str">
        <f aca="false">IF($A2355="","",원본명단!$D2354)</f>
        <v/>
      </c>
      <c r="E2355" s="11" t="str">
        <f aca="false">IF($A2355="","",IF(원본명단!$H2354="",0,COUNTIF(원본명단!$H$3:$H$6002,원본명단!$H2354)))</f>
        <v/>
      </c>
      <c r="F2355" s="11" t="str">
        <f aca="false">IF($A2355="","",IF(원본명단!$I2354="",0,COUNTIF(원본명단!$I$3:$I$6002,원본명단!$I2354)))</f>
        <v/>
      </c>
      <c r="G2355" s="11" t="str">
        <f aca="false">IF($A2355="","",IF(원본명단!$K2354="",0,COUNTIF(원본명단!$K$3:$K$6002,원본명단!$K2354)))</f>
        <v/>
      </c>
      <c r="H2355" s="11" t="str">
        <f aca="false">IF($A2355="","",IF(MAX($E2355,$F2355,$G2355)&gt;1,"중복","-"))</f>
        <v/>
      </c>
      <c r="I2355" s="11" t="str">
        <f aca="false">IF($A2355="","",IF($H2355="-","-",IF(AND(IF(원본명단!$H2354="",TRUE(),COUNTIF(원본명단!$H$3:$H2354,원본명단!$H2354)=1),IF(원본명단!$I2354="",TRUE(),COUNTIF(원본명단!$I$3:$I2354,원본명단!$I2354)=1),IF(원본명단!$K2354="",TRUE(),COUNTIF(원본명단!$K$3:$K2354,원본명단!$K2354)=1)),"첫 건","중복 건")))</f>
        <v/>
      </c>
      <c r="J2355" s="11" t="str">
        <f aca="false">IF($A2355="","",IF($H2355="-","유지",IF($I2355="첫 건","유지","확인 필요")))</f>
        <v/>
      </c>
    </row>
    <row r="2356" customFormat="false" ht="15" hidden="false" customHeight="true" outlineLevel="0" collapsed="false">
      <c r="A2356" s="11" t="str">
        <f aca="false">IF(원본명단!$A2355="","",2353)</f>
        <v/>
      </c>
      <c r="B2356" s="12" t="str">
        <f aca="false">IF($A2356="","",원본명단!$A2355)</f>
        <v/>
      </c>
      <c r="C2356" s="12" t="str">
        <f aca="false">IF($A2356="","",원본명단!$B2355)</f>
        <v/>
      </c>
      <c r="D2356" s="12" t="str">
        <f aca="false">IF($A2356="","",원본명단!$D2355)</f>
        <v/>
      </c>
      <c r="E2356" s="11" t="str">
        <f aca="false">IF($A2356="","",IF(원본명단!$H2355="",0,COUNTIF(원본명단!$H$3:$H$6002,원본명단!$H2355)))</f>
        <v/>
      </c>
      <c r="F2356" s="11" t="str">
        <f aca="false">IF($A2356="","",IF(원본명단!$I2355="",0,COUNTIF(원본명단!$I$3:$I$6002,원본명단!$I2355)))</f>
        <v/>
      </c>
      <c r="G2356" s="11" t="str">
        <f aca="false">IF($A2356="","",IF(원본명단!$K2355="",0,COUNTIF(원본명단!$K$3:$K$6002,원본명단!$K2355)))</f>
        <v/>
      </c>
      <c r="H2356" s="11" t="str">
        <f aca="false">IF($A2356="","",IF(MAX($E2356,$F2356,$G2356)&gt;1,"중복","-"))</f>
        <v/>
      </c>
      <c r="I2356" s="11" t="str">
        <f aca="false">IF($A2356="","",IF($H2356="-","-",IF(AND(IF(원본명단!$H2355="",TRUE(),COUNTIF(원본명단!$H$3:$H2355,원본명단!$H2355)=1),IF(원본명단!$I2355="",TRUE(),COUNTIF(원본명단!$I$3:$I2355,원본명단!$I2355)=1),IF(원본명단!$K2355="",TRUE(),COUNTIF(원본명단!$K$3:$K2355,원본명단!$K2355)=1)),"첫 건","중복 건")))</f>
        <v/>
      </c>
      <c r="J2356" s="11" t="str">
        <f aca="false">IF($A2356="","",IF($H2356="-","유지",IF($I2356="첫 건","유지","확인 필요")))</f>
        <v/>
      </c>
    </row>
    <row r="2357" customFormat="false" ht="15" hidden="false" customHeight="true" outlineLevel="0" collapsed="false">
      <c r="A2357" s="11" t="str">
        <f aca="false">IF(원본명단!$A2356="","",2354)</f>
        <v/>
      </c>
      <c r="B2357" s="12" t="str">
        <f aca="false">IF($A2357="","",원본명단!$A2356)</f>
        <v/>
      </c>
      <c r="C2357" s="12" t="str">
        <f aca="false">IF($A2357="","",원본명단!$B2356)</f>
        <v/>
      </c>
      <c r="D2357" s="12" t="str">
        <f aca="false">IF($A2357="","",원본명단!$D2356)</f>
        <v/>
      </c>
      <c r="E2357" s="11" t="str">
        <f aca="false">IF($A2357="","",IF(원본명단!$H2356="",0,COUNTIF(원본명단!$H$3:$H$6002,원본명단!$H2356)))</f>
        <v/>
      </c>
      <c r="F2357" s="11" t="str">
        <f aca="false">IF($A2357="","",IF(원본명단!$I2356="",0,COUNTIF(원본명단!$I$3:$I$6002,원본명단!$I2356)))</f>
        <v/>
      </c>
      <c r="G2357" s="11" t="str">
        <f aca="false">IF($A2357="","",IF(원본명단!$K2356="",0,COUNTIF(원본명단!$K$3:$K$6002,원본명단!$K2356)))</f>
        <v/>
      </c>
      <c r="H2357" s="11" t="str">
        <f aca="false">IF($A2357="","",IF(MAX($E2357,$F2357,$G2357)&gt;1,"중복","-"))</f>
        <v/>
      </c>
      <c r="I2357" s="11" t="str">
        <f aca="false">IF($A2357="","",IF($H2357="-","-",IF(AND(IF(원본명단!$H2356="",TRUE(),COUNTIF(원본명단!$H$3:$H2356,원본명단!$H2356)=1),IF(원본명단!$I2356="",TRUE(),COUNTIF(원본명단!$I$3:$I2356,원본명단!$I2356)=1),IF(원본명단!$K2356="",TRUE(),COUNTIF(원본명단!$K$3:$K2356,원본명단!$K2356)=1)),"첫 건","중복 건")))</f>
        <v/>
      </c>
      <c r="J2357" s="11" t="str">
        <f aca="false">IF($A2357="","",IF($H2357="-","유지",IF($I2357="첫 건","유지","확인 필요")))</f>
        <v/>
      </c>
    </row>
    <row r="2358" customFormat="false" ht="15" hidden="false" customHeight="true" outlineLevel="0" collapsed="false">
      <c r="A2358" s="11" t="str">
        <f aca="false">IF(원본명단!$A2357="","",2355)</f>
        <v/>
      </c>
      <c r="B2358" s="12" t="str">
        <f aca="false">IF($A2358="","",원본명단!$A2357)</f>
        <v/>
      </c>
      <c r="C2358" s="12" t="str">
        <f aca="false">IF($A2358="","",원본명단!$B2357)</f>
        <v/>
      </c>
      <c r="D2358" s="12" t="str">
        <f aca="false">IF($A2358="","",원본명단!$D2357)</f>
        <v/>
      </c>
      <c r="E2358" s="11" t="str">
        <f aca="false">IF($A2358="","",IF(원본명단!$H2357="",0,COUNTIF(원본명단!$H$3:$H$6002,원본명단!$H2357)))</f>
        <v/>
      </c>
      <c r="F2358" s="11" t="str">
        <f aca="false">IF($A2358="","",IF(원본명단!$I2357="",0,COUNTIF(원본명단!$I$3:$I$6002,원본명단!$I2357)))</f>
        <v/>
      </c>
      <c r="G2358" s="11" t="str">
        <f aca="false">IF($A2358="","",IF(원본명단!$K2357="",0,COUNTIF(원본명단!$K$3:$K$6002,원본명단!$K2357)))</f>
        <v/>
      </c>
      <c r="H2358" s="11" t="str">
        <f aca="false">IF($A2358="","",IF(MAX($E2358,$F2358,$G2358)&gt;1,"중복","-"))</f>
        <v/>
      </c>
      <c r="I2358" s="11" t="str">
        <f aca="false">IF($A2358="","",IF($H2358="-","-",IF(AND(IF(원본명단!$H2357="",TRUE(),COUNTIF(원본명단!$H$3:$H2357,원본명단!$H2357)=1),IF(원본명단!$I2357="",TRUE(),COUNTIF(원본명단!$I$3:$I2357,원본명단!$I2357)=1),IF(원본명단!$K2357="",TRUE(),COUNTIF(원본명단!$K$3:$K2357,원본명단!$K2357)=1)),"첫 건","중복 건")))</f>
        <v/>
      </c>
      <c r="J2358" s="11" t="str">
        <f aca="false">IF($A2358="","",IF($H2358="-","유지",IF($I2358="첫 건","유지","확인 필요")))</f>
        <v/>
      </c>
    </row>
    <row r="2359" customFormat="false" ht="15" hidden="false" customHeight="true" outlineLevel="0" collapsed="false">
      <c r="A2359" s="11" t="str">
        <f aca="false">IF(원본명단!$A2358="","",2356)</f>
        <v/>
      </c>
      <c r="B2359" s="12" t="str">
        <f aca="false">IF($A2359="","",원본명단!$A2358)</f>
        <v/>
      </c>
      <c r="C2359" s="12" t="str">
        <f aca="false">IF($A2359="","",원본명단!$B2358)</f>
        <v/>
      </c>
      <c r="D2359" s="12" t="str">
        <f aca="false">IF($A2359="","",원본명단!$D2358)</f>
        <v/>
      </c>
      <c r="E2359" s="11" t="str">
        <f aca="false">IF($A2359="","",IF(원본명단!$H2358="",0,COUNTIF(원본명단!$H$3:$H$6002,원본명단!$H2358)))</f>
        <v/>
      </c>
      <c r="F2359" s="11" t="str">
        <f aca="false">IF($A2359="","",IF(원본명단!$I2358="",0,COUNTIF(원본명단!$I$3:$I$6002,원본명단!$I2358)))</f>
        <v/>
      </c>
      <c r="G2359" s="11" t="str">
        <f aca="false">IF($A2359="","",IF(원본명단!$K2358="",0,COUNTIF(원본명단!$K$3:$K$6002,원본명단!$K2358)))</f>
        <v/>
      </c>
      <c r="H2359" s="11" t="str">
        <f aca="false">IF($A2359="","",IF(MAX($E2359,$F2359,$G2359)&gt;1,"중복","-"))</f>
        <v/>
      </c>
      <c r="I2359" s="11" t="str">
        <f aca="false">IF($A2359="","",IF($H2359="-","-",IF(AND(IF(원본명단!$H2358="",TRUE(),COUNTIF(원본명단!$H$3:$H2358,원본명단!$H2358)=1),IF(원본명단!$I2358="",TRUE(),COUNTIF(원본명단!$I$3:$I2358,원본명단!$I2358)=1),IF(원본명단!$K2358="",TRUE(),COUNTIF(원본명단!$K$3:$K2358,원본명단!$K2358)=1)),"첫 건","중복 건")))</f>
        <v/>
      </c>
      <c r="J2359" s="11" t="str">
        <f aca="false">IF($A2359="","",IF($H2359="-","유지",IF($I2359="첫 건","유지","확인 필요")))</f>
        <v/>
      </c>
    </row>
    <row r="2360" customFormat="false" ht="15" hidden="false" customHeight="true" outlineLevel="0" collapsed="false">
      <c r="A2360" s="11" t="str">
        <f aca="false">IF(원본명단!$A2359="","",2357)</f>
        <v/>
      </c>
      <c r="B2360" s="12" t="str">
        <f aca="false">IF($A2360="","",원본명단!$A2359)</f>
        <v/>
      </c>
      <c r="C2360" s="12" t="str">
        <f aca="false">IF($A2360="","",원본명단!$B2359)</f>
        <v/>
      </c>
      <c r="D2360" s="12" t="str">
        <f aca="false">IF($A2360="","",원본명단!$D2359)</f>
        <v/>
      </c>
      <c r="E2360" s="11" t="str">
        <f aca="false">IF($A2360="","",IF(원본명단!$H2359="",0,COUNTIF(원본명단!$H$3:$H$6002,원본명단!$H2359)))</f>
        <v/>
      </c>
      <c r="F2360" s="11" t="str">
        <f aca="false">IF($A2360="","",IF(원본명단!$I2359="",0,COUNTIF(원본명단!$I$3:$I$6002,원본명단!$I2359)))</f>
        <v/>
      </c>
      <c r="G2360" s="11" t="str">
        <f aca="false">IF($A2360="","",IF(원본명단!$K2359="",0,COUNTIF(원본명단!$K$3:$K$6002,원본명단!$K2359)))</f>
        <v/>
      </c>
      <c r="H2360" s="11" t="str">
        <f aca="false">IF($A2360="","",IF(MAX($E2360,$F2360,$G2360)&gt;1,"중복","-"))</f>
        <v/>
      </c>
      <c r="I2360" s="11" t="str">
        <f aca="false">IF($A2360="","",IF($H2360="-","-",IF(AND(IF(원본명단!$H2359="",TRUE(),COUNTIF(원본명단!$H$3:$H2359,원본명단!$H2359)=1),IF(원본명단!$I2359="",TRUE(),COUNTIF(원본명단!$I$3:$I2359,원본명단!$I2359)=1),IF(원본명단!$K2359="",TRUE(),COUNTIF(원본명단!$K$3:$K2359,원본명단!$K2359)=1)),"첫 건","중복 건")))</f>
        <v/>
      </c>
      <c r="J2360" s="11" t="str">
        <f aca="false">IF($A2360="","",IF($H2360="-","유지",IF($I2360="첫 건","유지","확인 필요")))</f>
        <v/>
      </c>
    </row>
    <row r="2361" customFormat="false" ht="15" hidden="false" customHeight="true" outlineLevel="0" collapsed="false">
      <c r="A2361" s="11" t="str">
        <f aca="false">IF(원본명단!$A2360="","",2358)</f>
        <v/>
      </c>
      <c r="B2361" s="12" t="str">
        <f aca="false">IF($A2361="","",원본명단!$A2360)</f>
        <v/>
      </c>
      <c r="C2361" s="12" t="str">
        <f aca="false">IF($A2361="","",원본명단!$B2360)</f>
        <v/>
      </c>
      <c r="D2361" s="12" t="str">
        <f aca="false">IF($A2361="","",원본명단!$D2360)</f>
        <v/>
      </c>
      <c r="E2361" s="11" t="str">
        <f aca="false">IF($A2361="","",IF(원본명단!$H2360="",0,COUNTIF(원본명단!$H$3:$H$6002,원본명단!$H2360)))</f>
        <v/>
      </c>
      <c r="F2361" s="11" t="str">
        <f aca="false">IF($A2361="","",IF(원본명단!$I2360="",0,COUNTIF(원본명단!$I$3:$I$6002,원본명단!$I2360)))</f>
        <v/>
      </c>
      <c r="G2361" s="11" t="str">
        <f aca="false">IF($A2361="","",IF(원본명단!$K2360="",0,COUNTIF(원본명단!$K$3:$K$6002,원본명단!$K2360)))</f>
        <v/>
      </c>
      <c r="H2361" s="11" t="str">
        <f aca="false">IF($A2361="","",IF(MAX($E2361,$F2361,$G2361)&gt;1,"중복","-"))</f>
        <v/>
      </c>
      <c r="I2361" s="11" t="str">
        <f aca="false">IF($A2361="","",IF($H2361="-","-",IF(AND(IF(원본명단!$H2360="",TRUE(),COUNTIF(원본명단!$H$3:$H2360,원본명단!$H2360)=1),IF(원본명단!$I2360="",TRUE(),COUNTIF(원본명단!$I$3:$I2360,원본명단!$I2360)=1),IF(원본명단!$K2360="",TRUE(),COUNTIF(원본명단!$K$3:$K2360,원본명단!$K2360)=1)),"첫 건","중복 건")))</f>
        <v/>
      </c>
      <c r="J2361" s="11" t="str">
        <f aca="false">IF($A2361="","",IF($H2361="-","유지",IF($I2361="첫 건","유지","확인 필요")))</f>
        <v/>
      </c>
    </row>
    <row r="2362" customFormat="false" ht="15" hidden="false" customHeight="true" outlineLevel="0" collapsed="false">
      <c r="A2362" s="11" t="str">
        <f aca="false">IF(원본명단!$A2361="","",2359)</f>
        <v/>
      </c>
      <c r="B2362" s="12" t="str">
        <f aca="false">IF($A2362="","",원본명단!$A2361)</f>
        <v/>
      </c>
      <c r="C2362" s="12" t="str">
        <f aca="false">IF($A2362="","",원본명단!$B2361)</f>
        <v/>
      </c>
      <c r="D2362" s="12" t="str">
        <f aca="false">IF($A2362="","",원본명단!$D2361)</f>
        <v/>
      </c>
      <c r="E2362" s="11" t="str">
        <f aca="false">IF($A2362="","",IF(원본명단!$H2361="",0,COUNTIF(원본명단!$H$3:$H$6002,원본명단!$H2361)))</f>
        <v/>
      </c>
      <c r="F2362" s="11" t="str">
        <f aca="false">IF($A2362="","",IF(원본명단!$I2361="",0,COUNTIF(원본명단!$I$3:$I$6002,원본명단!$I2361)))</f>
        <v/>
      </c>
      <c r="G2362" s="11" t="str">
        <f aca="false">IF($A2362="","",IF(원본명단!$K2361="",0,COUNTIF(원본명단!$K$3:$K$6002,원본명단!$K2361)))</f>
        <v/>
      </c>
      <c r="H2362" s="11" t="str">
        <f aca="false">IF($A2362="","",IF(MAX($E2362,$F2362,$G2362)&gt;1,"중복","-"))</f>
        <v/>
      </c>
      <c r="I2362" s="11" t="str">
        <f aca="false">IF($A2362="","",IF($H2362="-","-",IF(AND(IF(원본명단!$H2361="",TRUE(),COUNTIF(원본명단!$H$3:$H2361,원본명단!$H2361)=1),IF(원본명단!$I2361="",TRUE(),COUNTIF(원본명단!$I$3:$I2361,원본명단!$I2361)=1),IF(원본명단!$K2361="",TRUE(),COUNTIF(원본명단!$K$3:$K2361,원본명단!$K2361)=1)),"첫 건","중복 건")))</f>
        <v/>
      </c>
      <c r="J2362" s="11" t="str">
        <f aca="false">IF($A2362="","",IF($H2362="-","유지",IF($I2362="첫 건","유지","확인 필요")))</f>
        <v/>
      </c>
    </row>
    <row r="2363" customFormat="false" ht="15" hidden="false" customHeight="true" outlineLevel="0" collapsed="false">
      <c r="A2363" s="11" t="str">
        <f aca="false">IF(원본명단!$A2362="","",2360)</f>
        <v/>
      </c>
      <c r="B2363" s="12" t="str">
        <f aca="false">IF($A2363="","",원본명단!$A2362)</f>
        <v/>
      </c>
      <c r="C2363" s="12" t="str">
        <f aca="false">IF($A2363="","",원본명단!$B2362)</f>
        <v/>
      </c>
      <c r="D2363" s="12" t="str">
        <f aca="false">IF($A2363="","",원본명단!$D2362)</f>
        <v/>
      </c>
      <c r="E2363" s="11" t="str">
        <f aca="false">IF($A2363="","",IF(원본명단!$H2362="",0,COUNTIF(원본명단!$H$3:$H$6002,원본명단!$H2362)))</f>
        <v/>
      </c>
      <c r="F2363" s="11" t="str">
        <f aca="false">IF($A2363="","",IF(원본명단!$I2362="",0,COUNTIF(원본명단!$I$3:$I$6002,원본명단!$I2362)))</f>
        <v/>
      </c>
      <c r="G2363" s="11" t="str">
        <f aca="false">IF($A2363="","",IF(원본명단!$K2362="",0,COUNTIF(원본명단!$K$3:$K$6002,원본명단!$K2362)))</f>
        <v/>
      </c>
      <c r="H2363" s="11" t="str">
        <f aca="false">IF($A2363="","",IF(MAX($E2363,$F2363,$G2363)&gt;1,"중복","-"))</f>
        <v/>
      </c>
      <c r="I2363" s="11" t="str">
        <f aca="false">IF($A2363="","",IF($H2363="-","-",IF(AND(IF(원본명단!$H2362="",TRUE(),COUNTIF(원본명단!$H$3:$H2362,원본명단!$H2362)=1),IF(원본명단!$I2362="",TRUE(),COUNTIF(원본명단!$I$3:$I2362,원본명단!$I2362)=1),IF(원본명단!$K2362="",TRUE(),COUNTIF(원본명단!$K$3:$K2362,원본명단!$K2362)=1)),"첫 건","중복 건")))</f>
        <v/>
      </c>
      <c r="J2363" s="11" t="str">
        <f aca="false">IF($A2363="","",IF($H2363="-","유지",IF($I2363="첫 건","유지","확인 필요")))</f>
        <v/>
      </c>
    </row>
    <row r="2364" customFormat="false" ht="15" hidden="false" customHeight="true" outlineLevel="0" collapsed="false">
      <c r="A2364" s="11" t="str">
        <f aca="false">IF(원본명단!$A2363="","",2361)</f>
        <v/>
      </c>
      <c r="B2364" s="12" t="str">
        <f aca="false">IF($A2364="","",원본명단!$A2363)</f>
        <v/>
      </c>
      <c r="C2364" s="12" t="str">
        <f aca="false">IF($A2364="","",원본명단!$B2363)</f>
        <v/>
      </c>
      <c r="D2364" s="12" t="str">
        <f aca="false">IF($A2364="","",원본명단!$D2363)</f>
        <v/>
      </c>
      <c r="E2364" s="11" t="str">
        <f aca="false">IF($A2364="","",IF(원본명단!$H2363="",0,COUNTIF(원본명단!$H$3:$H$6002,원본명단!$H2363)))</f>
        <v/>
      </c>
      <c r="F2364" s="11" t="str">
        <f aca="false">IF($A2364="","",IF(원본명단!$I2363="",0,COUNTIF(원본명단!$I$3:$I$6002,원본명단!$I2363)))</f>
        <v/>
      </c>
      <c r="G2364" s="11" t="str">
        <f aca="false">IF($A2364="","",IF(원본명단!$K2363="",0,COUNTIF(원본명단!$K$3:$K$6002,원본명단!$K2363)))</f>
        <v/>
      </c>
      <c r="H2364" s="11" t="str">
        <f aca="false">IF($A2364="","",IF(MAX($E2364,$F2364,$G2364)&gt;1,"중복","-"))</f>
        <v/>
      </c>
      <c r="I2364" s="11" t="str">
        <f aca="false">IF($A2364="","",IF($H2364="-","-",IF(AND(IF(원본명단!$H2363="",TRUE(),COUNTIF(원본명단!$H$3:$H2363,원본명단!$H2363)=1),IF(원본명단!$I2363="",TRUE(),COUNTIF(원본명단!$I$3:$I2363,원본명단!$I2363)=1),IF(원본명단!$K2363="",TRUE(),COUNTIF(원본명단!$K$3:$K2363,원본명단!$K2363)=1)),"첫 건","중복 건")))</f>
        <v/>
      </c>
      <c r="J2364" s="11" t="str">
        <f aca="false">IF($A2364="","",IF($H2364="-","유지",IF($I2364="첫 건","유지","확인 필요")))</f>
        <v/>
      </c>
    </row>
    <row r="2365" customFormat="false" ht="15" hidden="false" customHeight="true" outlineLevel="0" collapsed="false">
      <c r="A2365" s="11" t="str">
        <f aca="false">IF(원본명단!$A2364="","",2362)</f>
        <v/>
      </c>
      <c r="B2365" s="12" t="str">
        <f aca="false">IF($A2365="","",원본명단!$A2364)</f>
        <v/>
      </c>
      <c r="C2365" s="12" t="str">
        <f aca="false">IF($A2365="","",원본명단!$B2364)</f>
        <v/>
      </c>
      <c r="D2365" s="12" t="str">
        <f aca="false">IF($A2365="","",원본명단!$D2364)</f>
        <v/>
      </c>
      <c r="E2365" s="11" t="str">
        <f aca="false">IF($A2365="","",IF(원본명단!$H2364="",0,COUNTIF(원본명단!$H$3:$H$6002,원본명단!$H2364)))</f>
        <v/>
      </c>
      <c r="F2365" s="11" t="str">
        <f aca="false">IF($A2365="","",IF(원본명단!$I2364="",0,COUNTIF(원본명단!$I$3:$I$6002,원본명단!$I2364)))</f>
        <v/>
      </c>
      <c r="G2365" s="11" t="str">
        <f aca="false">IF($A2365="","",IF(원본명단!$K2364="",0,COUNTIF(원본명단!$K$3:$K$6002,원본명단!$K2364)))</f>
        <v/>
      </c>
      <c r="H2365" s="11" t="str">
        <f aca="false">IF($A2365="","",IF(MAX($E2365,$F2365,$G2365)&gt;1,"중복","-"))</f>
        <v/>
      </c>
      <c r="I2365" s="11" t="str">
        <f aca="false">IF($A2365="","",IF($H2365="-","-",IF(AND(IF(원본명단!$H2364="",TRUE(),COUNTIF(원본명단!$H$3:$H2364,원본명단!$H2364)=1),IF(원본명단!$I2364="",TRUE(),COUNTIF(원본명단!$I$3:$I2364,원본명단!$I2364)=1),IF(원본명단!$K2364="",TRUE(),COUNTIF(원본명단!$K$3:$K2364,원본명단!$K2364)=1)),"첫 건","중복 건")))</f>
        <v/>
      </c>
      <c r="J2365" s="11" t="str">
        <f aca="false">IF($A2365="","",IF($H2365="-","유지",IF($I2365="첫 건","유지","확인 필요")))</f>
        <v/>
      </c>
    </row>
    <row r="2366" customFormat="false" ht="15" hidden="false" customHeight="true" outlineLevel="0" collapsed="false">
      <c r="A2366" s="11" t="str">
        <f aca="false">IF(원본명단!$A2365="","",2363)</f>
        <v/>
      </c>
      <c r="B2366" s="12" t="str">
        <f aca="false">IF($A2366="","",원본명단!$A2365)</f>
        <v/>
      </c>
      <c r="C2366" s="12" t="str">
        <f aca="false">IF($A2366="","",원본명단!$B2365)</f>
        <v/>
      </c>
      <c r="D2366" s="12" t="str">
        <f aca="false">IF($A2366="","",원본명단!$D2365)</f>
        <v/>
      </c>
      <c r="E2366" s="11" t="str">
        <f aca="false">IF($A2366="","",IF(원본명단!$H2365="",0,COUNTIF(원본명단!$H$3:$H$6002,원본명단!$H2365)))</f>
        <v/>
      </c>
      <c r="F2366" s="11" t="str">
        <f aca="false">IF($A2366="","",IF(원본명단!$I2365="",0,COUNTIF(원본명단!$I$3:$I$6002,원본명단!$I2365)))</f>
        <v/>
      </c>
      <c r="G2366" s="11" t="str">
        <f aca="false">IF($A2366="","",IF(원본명단!$K2365="",0,COUNTIF(원본명단!$K$3:$K$6002,원본명단!$K2365)))</f>
        <v/>
      </c>
      <c r="H2366" s="11" t="str">
        <f aca="false">IF($A2366="","",IF(MAX($E2366,$F2366,$G2366)&gt;1,"중복","-"))</f>
        <v/>
      </c>
      <c r="I2366" s="11" t="str">
        <f aca="false">IF($A2366="","",IF($H2366="-","-",IF(AND(IF(원본명단!$H2365="",TRUE(),COUNTIF(원본명단!$H$3:$H2365,원본명단!$H2365)=1),IF(원본명단!$I2365="",TRUE(),COUNTIF(원본명단!$I$3:$I2365,원본명단!$I2365)=1),IF(원본명단!$K2365="",TRUE(),COUNTIF(원본명단!$K$3:$K2365,원본명단!$K2365)=1)),"첫 건","중복 건")))</f>
        <v/>
      </c>
      <c r="J2366" s="11" t="str">
        <f aca="false">IF($A2366="","",IF($H2366="-","유지",IF($I2366="첫 건","유지","확인 필요")))</f>
        <v/>
      </c>
    </row>
    <row r="2367" customFormat="false" ht="15" hidden="false" customHeight="true" outlineLevel="0" collapsed="false">
      <c r="A2367" s="11" t="str">
        <f aca="false">IF(원본명단!$A2366="","",2364)</f>
        <v/>
      </c>
      <c r="B2367" s="12" t="str">
        <f aca="false">IF($A2367="","",원본명단!$A2366)</f>
        <v/>
      </c>
      <c r="C2367" s="12" t="str">
        <f aca="false">IF($A2367="","",원본명단!$B2366)</f>
        <v/>
      </c>
      <c r="D2367" s="12" t="str">
        <f aca="false">IF($A2367="","",원본명단!$D2366)</f>
        <v/>
      </c>
      <c r="E2367" s="11" t="str">
        <f aca="false">IF($A2367="","",IF(원본명단!$H2366="",0,COUNTIF(원본명단!$H$3:$H$6002,원본명단!$H2366)))</f>
        <v/>
      </c>
      <c r="F2367" s="11" t="str">
        <f aca="false">IF($A2367="","",IF(원본명단!$I2366="",0,COUNTIF(원본명단!$I$3:$I$6002,원본명단!$I2366)))</f>
        <v/>
      </c>
      <c r="G2367" s="11" t="str">
        <f aca="false">IF($A2367="","",IF(원본명단!$K2366="",0,COUNTIF(원본명단!$K$3:$K$6002,원본명단!$K2366)))</f>
        <v/>
      </c>
      <c r="H2367" s="11" t="str">
        <f aca="false">IF($A2367="","",IF(MAX($E2367,$F2367,$G2367)&gt;1,"중복","-"))</f>
        <v/>
      </c>
      <c r="I2367" s="11" t="str">
        <f aca="false">IF($A2367="","",IF($H2367="-","-",IF(AND(IF(원본명단!$H2366="",TRUE(),COUNTIF(원본명단!$H$3:$H2366,원본명단!$H2366)=1),IF(원본명단!$I2366="",TRUE(),COUNTIF(원본명단!$I$3:$I2366,원본명단!$I2366)=1),IF(원본명단!$K2366="",TRUE(),COUNTIF(원본명단!$K$3:$K2366,원본명단!$K2366)=1)),"첫 건","중복 건")))</f>
        <v/>
      </c>
      <c r="J2367" s="11" t="str">
        <f aca="false">IF($A2367="","",IF($H2367="-","유지",IF($I2367="첫 건","유지","확인 필요")))</f>
        <v/>
      </c>
    </row>
    <row r="2368" customFormat="false" ht="15" hidden="false" customHeight="true" outlineLevel="0" collapsed="false">
      <c r="A2368" s="11" t="str">
        <f aca="false">IF(원본명단!$A2367="","",2365)</f>
        <v/>
      </c>
      <c r="B2368" s="12" t="str">
        <f aca="false">IF($A2368="","",원본명단!$A2367)</f>
        <v/>
      </c>
      <c r="C2368" s="12" t="str">
        <f aca="false">IF($A2368="","",원본명단!$B2367)</f>
        <v/>
      </c>
      <c r="D2368" s="12" t="str">
        <f aca="false">IF($A2368="","",원본명단!$D2367)</f>
        <v/>
      </c>
      <c r="E2368" s="11" t="str">
        <f aca="false">IF($A2368="","",IF(원본명단!$H2367="",0,COUNTIF(원본명단!$H$3:$H$6002,원본명단!$H2367)))</f>
        <v/>
      </c>
      <c r="F2368" s="11" t="str">
        <f aca="false">IF($A2368="","",IF(원본명단!$I2367="",0,COUNTIF(원본명단!$I$3:$I$6002,원본명단!$I2367)))</f>
        <v/>
      </c>
      <c r="G2368" s="11" t="str">
        <f aca="false">IF($A2368="","",IF(원본명단!$K2367="",0,COUNTIF(원본명단!$K$3:$K$6002,원본명단!$K2367)))</f>
        <v/>
      </c>
      <c r="H2368" s="11" t="str">
        <f aca="false">IF($A2368="","",IF(MAX($E2368,$F2368,$G2368)&gt;1,"중복","-"))</f>
        <v/>
      </c>
      <c r="I2368" s="11" t="str">
        <f aca="false">IF($A2368="","",IF($H2368="-","-",IF(AND(IF(원본명단!$H2367="",TRUE(),COUNTIF(원본명단!$H$3:$H2367,원본명단!$H2367)=1),IF(원본명단!$I2367="",TRUE(),COUNTIF(원본명단!$I$3:$I2367,원본명단!$I2367)=1),IF(원본명단!$K2367="",TRUE(),COUNTIF(원본명단!$K$3:$K2367,원본명단!$K2367)=1)),"첫 건","중복 건")))</f>
        <v/>
      </c>
      <c r="J2368" s="11" t="str">
        <f aca="false">IF($A2368="","",IF($H2368="-","유지",IF($I2368="첫 건","유지","확인 필요")))</f>
        <v/>
      </c>
    </row>
    <row r="2369" customFormat="false" ht="15" hidden="false" customHeight="true" outlineLevel="0" collapsed="false">
      <c r="A2369" s="11" t="str">
        <f aca="false">IF(원본명단!$A2368="","",2366)</f>
        <v/>
      </c>
      <c r="B2369" s="12" t="str">
        <f aca="false">IF($A2369="","",원본명단!$A2368)</f>
        <v/>
      </c>
      <c r="C2369" s="12" t="str">
        <f aca="false">IF($A2369="","",원본명단!$B2368)</f>
        <v/>
      </c>
      <c r="D2369" s="12" t="str">
        <f aca="false">IF($A2369="","",원본명단!$D2368)</f>
        <v/>
      </c>
      <c r="E2369" s="11" t="str">
        <f aca="false">IF($A2369="","",IF(원본명단!$H2368="",0,COUNTIF(원본명단!$H$3:$H$6002,원본명단!$H2368)))</f>
        <v/>
      </c>
      <c r="F2369" s="11" t="str">
        <f aca="false">IF($A2369="","",IF(원본명단!$I2368="",0,COUNTIF(원본명단!$I$3:$I$6002,원본명단!$I2368)))</f>
        <v/>
      </c>
      <c r="G2369" s="11" t="str">
        <f aca="false">IF($A2369="","",IF(원본명단!$K2368="",0,COUNTIF(원본명단!$K$3:$K$6002,원본명단!$K2368)))</f>
        <v/>
      </c>
      <c r="H2369" s="11" t="str">
        <f aca="false">IF($A2369="","",IF(MAX($E2369,$F2369,$G2369)&gt;1,"중복","-"))</f>
        <v/>
      </c>
      <c r="I2369" s="11" t="str">
        <f aca="false">IF($A2369="","",IF($H2369="-","-",IF(AND(IF(원본명단!$H2368="",TRUE(),COUNTIF(원본명단!$H$3:$H2368,원본명단!$H2368)=1),IF(원본명단!$I2368="",TRUE(),COUNTIF(원본명단!$I$3:$I2368,원본명단!$I2368)=1),IF(원본명단!$K2368="",TRUE(),COUNTIF(원본명단!$K$3:$K2368,원본명단!$K2368)=1)),"첫 건","중복 건")))</f>
        <v/>
      </c>
      <c r="J2369" s="11" t="str">
        <f aca="false">IF($A2369="","",IF($H2369="-","유지",IF($I2369="첫 건","유지","확인 필요")))</f>
        <v/>
      </c>
    </row>
    <row r="2370" customFormat="false" ht="15" hidden="false" customHeight="true" outlineLevel="0" collapsed="false">
      <c r="A2370" s="11" t="str">
        <f aca="false">IF(원본명단!$A2369="","",2367)</f>
        <v/>
      </c>
      <c r="B2370" s="12" t="str">
        <f aca="false">IF($A2370="","",원본명단!$A2369)</f>
        <v/>
      </c>
      <c r="C2370" s="12" t="str">
        <f aca="false">IF($A2370="","",원본명단!$B2369)</f>
        <v/>
      </c>
      <c r="D2370" s="12" t="str">
        <f aca="false">IF($A2370="","",원본명단!$D2369)</f>
        <v/>
      </c>
      <c r="E2370" s="11" t="str">
        <f aca="false">IF($A2370="","",IF(원본명단!$H2369="",0,COUNTIF(원본명단!$H$3:$H$6002,원본명단!$H2369)))</f>
        <v/>
      </c>
      <c r="F2370" s="11" t="str">
        <f aca="false">IF($A2370="","",IF(원본명단!$I2369="",0,COUNTIF(원본명단!$I$3:$I$6002,원본명단!$I2369)))</f>
        <v/>
      </c>
      <c r="G2370" s="11" t="str">
        <f aca="false">IF($A2370="","",IF(원본명단!$K2369="",0,COUNTIF(원본명단!$K$3:$K$6002,원본명단!$K2369)))</f>
        <v/>
      </c>
      <c r="H2370" s="11" t="str">
        <f aca="false">IF($A2370="","",IF(MAX($E2370,$F2370,$G2370)&gt;1,"중복","-"))</f>
        <v/>
      </c>
      <c r="I2370" s="11" t="str">
        <f aca="false">IF($A2370="","",IF($H2370="-","-",IF(AND(IF(원본명단!$H2369="",TRUE(),COUNTIF(원본명단!$H$3:$H2369,원본명단!$H2369)=1),IF(원본명단!$I2369="",TRUE(),COUNTIF(원본명단!$I$3:$I2369,원본명단!$I2369)=1),IF(원본명단!$K2369="",TRUE(),COUNTIF(원본명단!$K$3:$K2369,원본명단!$K2369)=1)),"첫 건","중복 건")))</f>
        <v/>
      </c>
      <c r="J2370" s="11" t="str">
        <f aca="false">IF($A2370="","",IF($H2370="-","유지",IF($I2370="첫 건","유지","확인 필요")))</f>
        <v/>
      </c>
    </row>
    <row r="2371" customFormat="false" ht="15" hidden="false" customHeight="true" outlineLevel="0" collapsed="false">
      <c r="A2371" s="11" t="str">
        <f aca="false">IF(원본명단!$A2370="","",2368)</f>
        <v/>
      </c>
      <c r="B2371" s="12" t="str">
        <f aca="false">IF($A2371="","",원본명단!$A2370)</f>
        <v/>
      </c>
      <c r="C2371" s="12" t="str">
        <f aca="false">IF($A2371="","",원본명단!$B2370)</f>
        <v/>
      </c>
      <c r="D2371" s="12" t="str">
        <f aca="false">IF($A2371="","",원본명단!$D2370)</f>
        <v/>
      </c>
      <c r="E2371" s="11" t="str">
        <f aca="false">IF($A2371="","",IF(원본명단!$H2370="",0,COUNTIF(원본명단!$H$3:$H$6002,원본명단!$H2370)))</f>
        <v/>
      </c>
      <c r="F2371" s="11" t="str">
        <f aca="false">IF($A2371="","",IF(원본명단!$I2370="",0,COUNTIF(원본명단!$I$3:$I$6002,원본명단!$I2370)))</f>
        <v/>
      </c>
      <c r="G2371" s="11" t="str">
        <f aca="false">IF($A2371="","",IF(원본명단!$K2370="",0,COUNTIF(원본명단!$K$3:$K$6002,원본명단!$K2370)))</f>
        <v/>
      </c>
      <c r="H2371" s="11" t="str">
        <f aca="false">IF($A2371="","",IF(MAX($E2371,$F2371,$G2371)&gt;1,"중복","-"))</f>
        <v/>
      </c>
      <c r="I2371" s="11" t="str">
        <f aca="false">IF($A2371="","",IF($H2371="-","-",IF(AND(IF(원본명단!$H2370="",TRUE(),COUNTIF(원본명단!$H$3:$H2370,원본명단!$H2370)=1),IF(원본명단!$I2370="",TRUE(),COUNTIF(원본명단!$I$3:$I2370,원본명단!$I2370)=1),IF(원본명단!$K2370="",TRUE(),COUNTIF(원본명단!$K$3:$K2370,원본명단!$K2370)=1)),"첫 건","중복 건")))</f>
        <v/>
      </c>
      <c r="J2371" s="11" t="str">
        <f aca="false">IF($A2371="","",IF($H2371="-","유지",IF($I2371="첫 건","유지","확인 필요")))</f>
        <v/>
      </c>
    </row>
    <row r="2372" customFormat="false" ht="15" hidden="false" customHeight="true" outlineLevel="0" collapsed="false">
      <c r="A2372" s="11" t="str">
        <f aca="false">IF(원본명단!$A2371="","",2369)</f>
        <v/>
      </c>
      <c r="B2372" s="12" t="str">
        <f aca="false">IF($A2372="","",원본명단!$A2371)</f>
        <v/>
      </c>
      <c r="C2372" s="12" t="str">
        <f aca="false">IF($A2372="","",원본명단!$B2371)</f>
        <v/>
      </c>
      <c r="D2372" s="12" t="str">
        <f aca="false">IF($A2372="","",원본명단!$D2371)</f>
        <v/>
      </c>
      <c r="E2372" s="11" t="str">
        <f aca="false">IF($A2372="","",IF(원본명단!$H2371="",0,COUNTIF(원본명단!$H$3:$H$6002,원본명단!$H2371)))</f>
        <v/>
      </c>
      <c r="F2372" s="11" t="str">
        <f aca="false">IF($A2372="","",IF(원본명단!$I2371="",0,COUNTIF(원본명단!$I$3:$I$6002,원본명단!$I2371)))</f>
        <v/>
      </c>
      <c r="G2372" s="11" t="str">
        <f aca="false">IF($A2372="","",IF(원본명단!$K2371="",0,COUNTIF(원본명단!$K$3:$K$6002,원본명단!$K2371)))</f>
        <v/>
      </c>
      <c r="H2372" s="11" t="str">
        <f aca="false">IF($A2372="","",IF(MAX($E2372,$F2372,$G2372)&gt;1,"중복","-"))</f>
        <v/>
      </c>
      <c r="I2372" s="11" t="str">
        <f aca="false">IF($A2372="","",IF($H2372="-","-",IF(AND(IF(원본명단!$H2371="",TRUE(),COUNTIF(원본명단!$H$3:$H2371,원본명단!$H2371)=1),IF(원본명단!$I2371="",TRUE(),COUNTIF(원본명단!$I$3:$I2371,원본명단!$I2371)=1),IF(원본명단!$K2371="",TRUE(),COUNTIF(원본명단!$K$3:$K2371,원본명단!$K2371)=1)),"첫 건","중복 건")))</f>
        <v/>
      </c>
      <c r="J2372" s="11" t="str">
        <f aca="false">IF($A2372="","",IF($H2372="-","유지",IF($I2372="첫 건","유지","확인 필요")))</f>
        <v/>
      </c>
    </row>
    <row r="2373" customFormat="false" ht="15" hidden="false" customHeight="true" outlineLevel="0" collapsed="false">
      <c r="A2373" s="11" t="str">
        <f aca="false">IF(원본명단!$A2372="","",2370)</f>
        <v/>
      </c>
      <c r="B2373" s="12" t="str">
        <f aca="false">IF($A2373="","",원본명단!$A2372)</f>
        <v/>
      </c>
      <c r="C2373" s="12" t="str">
        <f aca="false">IF($A2373="","",원본명단!$B2372)</f>
        <v/>
      </c>
      <c r="D2373" s="12" t="str">
        <f aca="false">IF($A2373="","",원본명단!$D2372)</f>
        <v/>
      </c>
      <c r="E2373" s="11" t="str">
        <f aca="false">IF($A2373="","",IF(원본명단!$H2372="",0,COUNTIF(원본명단!$H$3:$H$6002,원본명단!$H2372)))</f>
        <v/>
      </c>
      <c r="F2373" s="11" t="str">
        <f aca="false">IF($A2373="","",IF(원본명단!$I2372="",0,COUNTIF(원본명단!$I$3:$I$6002,원본명단!$I2372)))</f>
        <v/>
      </c>
      <c r="G2373" s="11" t="str">
        <f aca="false">IF($A2373="","",IF(원본명단!$K2372="",0,COUNTIF(원본명단!$K$3:$K$6002,원본명단!$K2372)))</f>
        <v/>
      </c>
      <c r="H2373" s="11" t="str">
        <f aca="false">IF($A2373="","",IF(MAX($E2373,$F2373,$G2373)&gt;1,"중복","-"))</f>
        <v/>
      </c>
      <c r="I2373" s="11" t="str">
        <f aca="false">IF($A2373="","",IF($H2373="-","-",IF(AND(IF(원본명단!$H2372="",TRUE(),COUNTIF(원본명단!$H$3:$H2372,원본명단!$H2372)=1),IF(원본명단!$I2372="",TRUE(),COUNTIF(원본명단!$I$3:$I2372,원본명단!$I2372)=1),IF(원본명단!$K2372="",TRUE(),COUNTIF(원본명단!$K$3:$K2372,원본명단!$K2372)=1)),"첫 건","중복 건")))</f>
        <v/>
      </c>
      <c r="J2373" s="11" t="str">
        <f aca="false">IF($A2373="","",IF($H2373="-","유지",IF($I2373="첫 건","유지","확인 필요")))</f>
        <v/>
      </c>
    </row>
    <row r="2374" customFormat="false" ht="15" hidden="false" customHeight="true" outlineLevel="0" collapsed="false">
      <c r="A2374" s="11" t="str">
        <f aca="false">IF(원본명단!$A2373="","",2371)</f>
        <v/>
      </c>
      <c r="B2374" s="12" t="str">
        <f aca="false">IF($A2374="","",원본명단!$A2373)</f>
        <v/>
      </c>
      <c r="C2374" s="12" t="str">
        <f aca="false">IF($A2374="","",원본명단!$B2373)</f>
        <v/>
      </c>
      <c r="D2374" s="12" t="str">
        <f aca="false">IF($A2374="","",원본명단!$D2373)</f>
        <v/>
      </c>
      <c r="E2374" s="11" t="str">
        <f aca="false">IF($A2374="","",IF(원본명단!$H2373="",0,COUNTIF(원본명단!$H$3:$H$6002,원본명단!$H2373)))</f>
        <v/>
      </c>
      <c r="F2374" s="11" t="str">
        <f aca="false">IF($A2374="","",IF(원본명단!$I2373="",0,COUNTIF(원본명단!$I$3:$I$6002,원본명단!$I2373)))</f>
        <v/>
      </c>
      <c r="G2374" s="11" t="str">
        <f aca="false">IF($A2374="","",IF(원본명단!$K2373="",0,COUNTIF(원본명단!$K$3:$K$6002,원본명단!$K2373)))</f>
        <v/>
      </c>
      <c r="H2374" s="11" t="str">
        <f aca="false">IF($A2374="","",IF(MAX($E2374,$F2374,$G2374)&gt;1,"중복","-"))</f>
        <v/>
      </c>
      <c r="I2374" s="11" t="str">
        <f aca="false">IF($A2374="","",IF($H2374="-","-",IF(AND(IF(원본명단!$H2373="",TRUE(),COUNTIF(원본명단!$H$3:$H2373,원본명단!$H2373)=1),IF(원본명단!$I2373="",TRUE(),COUNTIF(원본명단!$I$3:$I2373,원본명단!$I2373)=1),IF(원본명단!$K2373="",TRUE(),COUNTIF(원본명단!$K$3:$K2373,원본명단!$K2373)=1)),"첫 건","중복 건")))</f>
        <v/>
      </c>
      <c r="J2374" s="11" t="str">
        <f aca="false">IF($A2374="","",IF($H2374="-","유지",IF($I2374="첫 건","유지","확인 필요")))</f>
        <v/>
      </c>
    </row>
    <row r="2375" customFormat="false" ht="15" hidden="false" customHeight="true" outlineLevel="0" collapsed="false">
      <c r="A2375" s="11" t="str">
        <f aca="false">IF(원본명단!$A2374="","",2372)</f>
        <v/>
      </c>
      <c r="B2375" s="12" t="str">
        <f aca="false">IF($A2375="","",원본명단!$A2374)</f>
        <v/>
      </c>
      <c r="C2375" s="12" t="str">
        <f aca="false">IF($A2375="","",원본명단!$B2374)</f>
        <v/>
      </c>
      <c r="D2375" s="12" t="str">
        <f aca="false">IF($A2375="","",원본명단!$D2374)</f>
        <v/>
      </c>
      <c r="E2375" s="11" t="str">
        <f aca="false">IF($A2375="","",IF(원본명단!$H2374="",0,COUNTIF(원본명단!$H$3:$H$6002,원본명단!$H2374)))</f>
        <v/>
      </c>
      <c r="F2375" s="11" t="str">
        <f aca="false">IF($A2375="","",IF(원본명단!$I2374="",0,COUNTIF(원본명단!$I$3:$I$6002,원본명단!$I2374)))</f>
        <v/>
      </c>
      <c r="G2375" s="11" t="str">
        <f aca="false">IF($A2375="","",IF(원본명단!$K2374="",0,COUNTIF(원본명단!$K$3:$K$6002,원본명단!$K2374)))</f>
        <v/>
      </c>
      <c r="H2375" s="11" t="str">
        <f aca="false">IF($A2375="","",IF(MAX($E2375,$F2375,$G2375)&gt;1,"중복","-"))</f>
        <v/>
      </c>
      <c r="I2375" s="11" t="str">
        <f aca="false">IF($A2375="","",IF($H2375="-","-",IF(AND(IF(원본명단!$H2374="",TRUE(),COUNTIF(원본명단!$H$3:$H2374,원본명단!$H2374)=1),IF(원본명단!$I2374="",TRUE(),COUNTIF(원본명단!$I$3:$I2374,원본명단!$I2374)=1),IF(원본명단!$K2374="",TRUE(),COUNTIF(원본명단!$K$3:$K2374,원본명단!$K2374)=1)),"첫 건","중복 건")))</f>
        <v/>
      </c>
      <c r="J2375" s="11" t="str">
        <f aca="false">IF($A2375="","",IF($H2375="-","유지",IF($I2375="첫 건","유지","확인 필요")))</f>
        <v/>
      </c>
    </row>
    <row r="2376" customFormat="false" ht="15" hidden="false" customHeight="true" outlineLevel="0" collapsed="false">
      <c r="A2376" s="11" t="str">
        <f aca="false">IF(원본명단!$A2375="","",2373)</f>
        <v/>
      </c>
      <c r="B2376" s="12" t="str">
        <f aca="false">IF($A2376="","",원본명단!$A2375)</f>
        <v/>
      </c>
      <c r="C2376" s="12" t="str">
        <f aca="false">IF($A2376="","",원본명단!$B2375)</f>
        <v/>
      </c>
      <c r="D2376" s="12" t="str">
        <f aca="false">IF($A2376="","",원본명단!$D2375)</f>
        <v/>
      </c>
      <c r="E2376" s="11" t="str">
        <f aca="false">IF($A2376="","",IF(원본명단!$H2375="",0,COUNTIF(원본명단!$H$3:$H$6002,원본명단!$H2375)))</f>
        <v/>
      </c>
      <c r="F2376" s="11" t="str">
        <f aca="false">IF($A2376="","",IF(원본명단!$I2375="",0,COUNTIF(원본명단!$I$3:$I$6002,원본명단!$I2375)))</f>
        <v/>
      </c>
      <c r="G2376" s="11" t="str">
        <f aca="false">IF($A2376="","",IF(원본명단!$K2375="",0,COUNTIF(원본명단!$K$3:$K$6002,원본명단!$K2375)))</f>
        <v/>
      </c>
      <c r="H2376" s="11" t="str">
        <f aca="false">IF($A2376="","",IF(MAX($E2376,$F2376,$G2376)&gt;1,"중복","-"))</f>
        <v/>
      </c>
      <c r="I2376" s="11" t="str">
        <f aca="false">IF($A2376="","",IF($H2376="-","-",IF(AND(IF(원본명단!$H2375="",TRUE(),COUNTIF(원본명단!$H$3:$H2375,원본명단!$H2375)=1),IF(원본명단!$I2375="",TRUE(),COUNTIF(원본명단!$I$3:$I2375,원본명단!$I2375)=1),IF(원본명단!$K2375="",TRUE(),COUNTIF(원본명단!$K$3:$K2375,원본명단!$K2375)=1)),"첫 건","중복 건")))</f>
        <v/>
      </c>
      <c r="J2376" s="11" t="str">
        <f aca="false">IF($A2376="","",IF($H2376="-","유지",IF($I2376="첫 건","유지","확인 필요")))</f>
        <v/>
      </c>
    </row>
    <row r="2377" customFormat="false" ht="15" hidden="false" customHeight="true" outlineLevel="0" collapsed="false">
      <c r="A2377" s="11" t="str">
        <f aca="false">IF(원본명단!$A2376="","",2374)</f>
        <v/>
      </c>
      <c r="B2377" s="12" t="str">
        <f aca="false">IF($A2377="","",원본명단!$A2376)</f>
        <v/>
      </c>
      <c r="C2377" s="12" t="str">
        <f aca="false">IF($A2377="","",원본명단!$B2376)</f>
        <v/>
      </c>
      <c r="D2377" s="12" t="str">
        <f aca="false">IF($A2377="","",원본명단!$D2376)</f>
        <v/>
      </c>
      <c r="E2377" s="11" t="str">
        <f aca="false">IF($A2377="","",IF(원본명단!$H2376="",0,COUNTIF(원본명단!$H$3:$H$6002,원본명단!$H2376)))</f>
        <v/>
      </c>
      <c r="F2377" s="11" t="str">
        <f aca="false">IF($A2377="","",IF(원본명단!$I2376="",0,COUNTIF(원본명단!$I$3:$I$6002,원본명단!$I2376)))</f>
        <v/>
      </c>
      <c r="G2377" s="11" t="str">
        <f aca="false">IF($A2377="","",IF(원본명단!$K2376="",0,COUNTIF(원본명단!$K$3:$K$6002,원본명단!$K2376)))</f>
        <v/>
      </c>
      <c r="H2377" s="11" t="str">
        <f aca="false">IF($A2377="","",IF(MAX($E2377,$F2377,$G2377)&gt;1,"중복","-"))</f>
        <v/>
      </c>
      <c r="I2377" s="11" t="str">
        <f aca="false">IF($A2377="","",IF($H2377="-","-",IF(AND(IF(원본명단!$H2376="",TRUE(),COUNTIF(원본명단!$H$3:$H2376,원본명단!$H2376)=1),IF(원본명단!$I2376="",TRUE(),COUNTIF(원본명단!$I$3:$I2376,원본명단!$I2376)=1),IF(원본명단!$K2376="",TRUE(),COUNTIF(원본명단!$K$3:$K2376,원본명단!$K2376)=1)),"첫 건","중복 건")))</f>
        <v/>
      </c>
      <c r="J2377" s="11" t="str">
        <f aca="false">IF($A2377="","",IF($H2377="-","유지",IF($I2377="첫 건","유지","확인 필요")))</f>
        <v/>
      </c>
    </row>
    <row r="2378" customFormat="false" ht="15" hidden="false" customHeight="true" outlineLevel="0" collapsed="false">
      <c r="A2378" s="11" t="str">
        <f aca="false">IF(원본명단!$A2377="","",2375)</f>
        <v/>
      </c>
      <c r="B2378" s="12" t="str">
        <f aca="false">IF($A2378="","",원본명단!$A2377)</f>
        <v/>
      </c>
      <c r="C2378" s="12" t="str">
        <f aca="false">IF($A2378="","",원본명단!$B2377)</f>
        <v/>
      </c>
      <c r="D2378" s="12" t="str">
        <f aca="false">IF($A2378="","",원본명단!$D2377)</f>
        <v/>
      </c>
      <c r="E2378" s="11" t="str">
        <f aca="false">IF($A2378="","",IF(원본명단!$H2377="",0,COUNTIF(원본명단!$H$3:$H$6002,원본명단!$H2377)))</f>
        <v/>
      </c>
      <c r="F2378" s="11" t="str">
        <f aca="false">IF($A2378="","",IF(원본명단!$I2377="",0,COUNTIF(원본명단!$I$3:$I$6002,원본명단!$I2377)))</f>
        <v/>
      </c>
      <c r="G2378" s="11" t="str">
        <f aca="false">IF($A2378="","",IF(원본명단!$K2377="",0,COUNTIF(원본명단!$K$3:$K$6002,원본명단!$K2377)))</f>
        <v/>
      </c>
      <c r="H2378" s="11" t="str">
        <f aca="false">IF($A2378="","",IF(MAX($E2378,$F2378,$G2378)&gt;1,"중복","-"))</f>
        <v/>
      </c>
      <c r="I2378" s="11" t="str">
        <f aca="false">IF($A2378="","",IF($H2378="-","-",IF(AND(IF(원본명단!$H2377="",TRUE(),COUNTIF(원본명단!$H$3:$H2377,원본명단!$H2377)=1),IF(원본명단!$I2377="",TRUE(),COUNTIF(원본명단!$I$3:$I2377,원본명단!$I2377)=1),IF(원본명단!$K2377="",TRUE(),COUNTIF(원본명단!$K$3:$K2377,원본명단!$K2377)=1)),"첫 건","중복 건")))</f>
        <v/>
      </c>
      <c r="J2378" s="11" t="str">
        <f aca="false">IF($A2378="","",IF($H2378="-","유지",IF($I2378="첫 건","유지","확인 필요")))</f>
        <v/>
      </c>
    </row>
    <row r="2379" customFormat="false" ht="15" hidden="false" customHeight="true" outlineLevel="0" collapsed="false">
      <c r="A2379" s="11" t="str">
        <f aca="false">IF(원본명단!$A2378="","",2376)</f>
        <v/>
      </c>
      <c r="B2379" s="12" t="str">
        <f aca="false">IF($A2379="","",원본명단!$A2378)</f>
        <v/>
      </c>
      <c r="C2379" s="12" t="str">
        <f aca="false">IF($A2379="","",원본명단!$B2378)</f>
        <v/>
      </c>
      <c r="D2379" s="12" t="str">
        <f aca="false">IF($A2379="","",원본명단!$D2378)</f>
        <v/>
      </c>
      <c r="E2379" s="11" t="str">
        <f aca="false">IF($A2379="","",IF(원본명단!$H2378="",0,COUNTIF(원본명단!$H$3:$H$6002,원본명단!$H2378)))</f>
        <v/>
      </c>
      <c r="F2379" s="11" t="str">
        <f aca="false">IF($A2379="","",IF(원본명단!$I2378="",0,COUNTIF(원본명단!$I$3:$I$6002,원본명단!$I2378)))</f>
        <v/>
      </c>
      <c r="G2379" s="11" t="str">
        <f aca="false">IF($A2379="","",IF(원본명단!$K2378="",0,COUNTIF(원본명단!$K$3:$K$6002,원본명단!$K2378)))</f>
        <v/>
      </c>
      <c r="H2379" s="11" t="str">
        <f aca="false">IF($A2379="","",IF(MAX($E2379,$F2379,$G2379)&gt;1,"중복","-"))</f>
        <v/>
      </c>
      <c r="I2379" s="11" t="str">
        <f aca="false">IF($A2379="","",IF($H2379="-","-",IF(AND(IF(원본명단!$H2378="",TRUE(),COUNTIF(원본명단!$H$3:$H2378,원본명단!$H2378)=1),IF(원본명단!$I2378="",TRUE(),COUNTIF(원본명단!$I$3:$I2378,원본명단!$I2378)=1),IF(원본명단!$K2378="",TRUE(),COUNTIF(원본명단!$K$3:$K2378,원본명단!$K2378)=1)),"첫 건","중복 건")))</f>
        <v/>
      </c>
      <c r="J2379" s="11" t="str">
        <f aca="false">IF($A2379="","",IF($H2379="-","유지",IF($I2379="첫 건","유지","확인 필요")))</f>
        <v/>
      </c>
    </row>
    <row r="2380" customFormat="false" ht="15" hidden="false" customHeight="true" outlineLevel="0" collapsed="false">
      <c r="A2380" s="11" t="str">
        <f aca="false">IF(원본명단!$A2379="","",2377)</f>
        <v/>
      </c>
      <c r="B2380" s="12" t="str">
        <f aca="false">IF($A2380="","",원본명단!$A2379)</f>
        <v/>
      </c>
      <c r="C2380" s="12" t="str">
        <f aca="false">IF($A2380="","",원본명단!$B2379)</f>
        <v/>
      </c>
      <c r="D2380" s="12" t="str">
        <f aca="false">IF($A2380="","",원본명단!$D2379)</f>
        <v/>
      </c>
      <c r="E2380" s="11" t="str">
        <f aca="false">IF($A2380="","",IF(원본명단!$H2379="",0,COUNTIF(원본명단!$H$3:$H$6002,원본명단!$H2379)))</f>
        <v/>
      </c>
      <c r="F2380" s="11" t="str">
        <f aca="false">IF($A2380="","",IF(원본명단!$I2379="",0,COUNTIF(원본명단!$I$3:$I$6002,원본명단!$I2379)))</f>
        <v/>
      </c>
      <c r="G2380" s="11" t="str">
        <f aca="false">IF($A2380="","",IF(원본명단!$K2379="",0,COUNTIF(원본명단!$K$3:$K$6002,원본명단!$K2379)))</f>
        <v/>
      </c>
      <c r="H2380" s="11" t="str">
        <f aca="false">IF($A2380="","",IF(MAX($E2380,$F2380,$G2380)&gt;1,"중복","-"))</f>
        <v/>
      </c>
      <c r="I2380" s="11" t="str">
        <f aca="false">IF($A2380="","",IF($H2380="-","-",IF(AND(IF(원본명단!$H2379="",TRUE(),COUNTIF(원본명단!$H$3:$H2379,원본명단!$H2379)=1),IF(원본명단!$I2379="",TRUE(),COUNTIF(원본명단!$I$3:$I2379,원본명단!$I2379)=1),IF(원본명단!$K2379="",TRUE(),COUNTIF(원본명단!$K$3:$K2379,원본명단!$K2379)=1)),"첫 건","중복 건")))</f>
        <v/>
      </c>
      <c r="J2380" s="11" t="str">
        <f aca="false">IF($A2380="","",IF($H2380="-","유지",IF($I2380="첫 건","유지","확인 필요")))</f>
        <v/>
      </c>
    </row>
    <row r="2381" customFormat="false" ht="15" hidden="false" customHeight="true" outlineLevel="0" collapsed="false">
      <c r="A2381" s="11" t="str">
        <f aca="false">IF(원본명단!$A2380="","",2378)</f>
        <v/>
      </c>
      <c r="B2381" s="12" t="str">
        <f aca="false">IF($A2381="","",원본명단!$A2380)</f>
        <v/>
      </c>
      <c r="C2381" s="12" t="str">
        <f aca="false">IF($A2381="","",원본명단!$B2380)</f>
        <v/>
      </c>
      <c r="D2381" s="12" t="str">
        <f aca="false">IF($A2381="","",원본명단!$D2380)</f>
        <v/>
      </c>
      <c r="E2381" s="11" t="str">
        <f aca="false">IF($A2381="","",IF(원본명단!$H2380="",0,COUNTIF(원본명단!$H$3:$H$6002,원본명단!$H2380)))</f>
        <v/>
      </c>
      <c r="F2381" s="11" t="str">
        <f aca="false">IF($A2381="","",IF(원본명단!$I2380="",0,COUNTIF(원본명단!$I$3:$I$6002,원본명단!$I2380)))</f>
        <v/>
      </c>
      <c r="G2381" s="11" t="str">
        <f aca="false">IF($A2381="","",IF(원본명단!$K2380="",0,COUNTIF(원본명단!$K$3:$K$6002,원본명단!$K2380)))</f>
        <v/>
      </c>
      <c r="H2381" s="11" t="str">
        <f aca="false">IF($A2381="","",IF(MAX($E2381,$F2381,$G2381)&gt;1,"중복","-"))</f>
        <v/>
      </c>
      <c r="I2381" s="11" t="str">
        <f aca="false">IF($A2381="","",IF($H2381="-","-",IF(AND(IF(원본명단!$H2380="",TRUE(),COUNTIF(원본명단!$H$3:$H2380,원본명단!$H2380)=1),IF(원본명단!$I2380="",TRUE(),COUNTIF(원본명단!$I$3:$I2380,원본명단!$I2380)=1),IF(원본명단!$K2380="",TRUE(),COUNTIF(원본명단!$K$3:$K2380,원본명단!$K2380)=1)),"첫 건","중복 건")))</f>
        <v/>
      </c>
      <c r="J2381" s="11" t="str">
        <f aca="false">IF($A2381="","",IF($H2381="-","유지",IF($I2381="첫 건","유지","확인 필요")))</f>
        <v/>
      </c>
    </row>
    <row r="2382" customFormat="false" ht="15" hidden="false" customHeight="true" outlineLevel="0" collapsed="false">
      <c r="A2382" s="11" t="str">
        <f aca="false">IF(원본명단!$A2381="","",2379)</f>
        <v/>
      </c>
      <c r="B2382" s="12" t="str">
        <f aca="false">IF($A2382="","",원본명단!$A2381)</f>
        <v/>
      </c>
      <c r="C2382" s="12" t="str">
        <f aca="false">IF($A2382="","",원본명단!$B2381)</f>
        <v/>
      </c>
      <c r="D2382" s="12" t="str">
        <f aca="false">IF($A2382="","",원본명단!$D2381)</f>
        <v/>
      </c>
      <c r="E2382" s="11" t="str">
        <f aca="false">IF($A2382="","",IF(원본명단!$H2381="",0,COUNTIF(원본명단!$H$3:$H$6002,원본명단!$H2381)))</f>
        <v/>
      </c>
      <c r="F2382" s="11" t="str">
        <f aca="false">IF($A2382="","",IF(원본명단!$I2381="",0,COUNTIF(원본명단!$I$3:$I$6002,원본명단!$I2381)))</f>
        <v/>
      </c>
      <c r="G2382" s="11" t="str">
        <f aca="false">IF($A2382="","",IF(원본명단!$K2381="",0,COUNTIF(원본명단!$K$3:$K$6002,원본명단!$K2381)))</f>
        <v/>
      </c>
      <c r="H2382" s="11" t="str">
        <f aca="false">IF($A2382="","",IF(MAX($E2382,$F2382,$G2382)&gt;1,"중복","-"))</f>
        <v/>
      </c>
      <c r="I2382" s="11" t="str">
        <f aca="false">IF($A2382="","",IF($H2382="-","-",IF(AND(IF(원본명단!$H2381="",TRUE(),COUNTIF(원본명단!$H$3:$H2381,원본명단!$H2381)=1),IF(원본명단!$I2381="",TRUE(),COUNTIF(원본명단!$I$3:$I2381,원본명단!$I2381)=1),IF(원본명단!$K2381="",TRUE(),COUNTIF(원본명단!$K$3:$K2381,원본명단!$K2381)=1)),"첫 건","중복 건")))</f>
        <v/>
      </c>
      <c r="J2382" s="11" t="str">
        <f aca="false">IF($A2382="","",IF($H2382="-","유지",IF($I2382="첫 건","유지","확인 필요")))</f>
        <v/>
      </c>
    </row>
    <row r="2383" customFormat="false" ht="15" hidden="false" customHeight="true" outlineLevel="0" collapsed="false">
      <c r="A2383" s="11" t="str">
        <f aca="false">IF(원본명단!$A2382="","",2380)</f>
        <v/>
      </c>
      <c r="B2383" s="12" t="str">
        <f aca="false">IF($A2383="","",원본명단!$A2382)</f>
        <v/>
      </c>
      <c r="C2383" s="12" t="str">
        <f aca="false">IF($A2383="","",원본명단!$B2382)</f>
        <v/>
      </c>
      <c r="D2383" s="12" t="str">
        <f aca="false">IF($A2383="","",원본명단!$D2382)</f>
        <v/>
      </c>
      <c r="E2383" s="11" t="str">
        <f aca="false">IF($A2383="","",IF(원본명단!$H2382="",0,COUNTIF(원본명단!$H$3:$H$6002,원본명단!$H2382)))</f>
        <v/>
      </c>
      <c r="F2383" s="11" t="str">
        <f aca="false">IF($A2383="","",IF(원본명단!$I2382="",0,COUNTIF(원본명단!$I$3:$I$6002,원본명단!$I2382)))</f>
        <v/>
      </c>
      <c r="G2383" s="11" t="str">
        <f aca="false">IF($A2383="","",IF(원본명단!$K2382="",0,COUNTIF(원본명단!$K$3:$K$6002,원본명단!$K2382)))</f>
        <v/>
      </c>
      <c r="H2383" s="11" t="str">
        <f aca="false">IF($A2383="","",IF(MAX($E2383,$F2383,$G2383)&gt;1,"중복","-"))</f>
        <v/>
      </c>
      <c r="I2383" s="11" t="str">
        <f aca="false">IF($A2383="","",IF($H2383="-","-",IF(AND(IF(원본명단!$H2382="",TRUE(),COUNTIF(원본명단!$H$3:$H2382,원본명단!$H2382)=1),IF(원본명단!$I2382="",TRUE(),COUNTIF(원본명단!$I$3:$I2382,원본명단!$I2382)=1),IF(원본명단!$K2382="",TRUE(),COUNTIF(원본명단!$K$3:$K2382,원본명단!$K2382)=1)),"첫 건","중복 건")))</f>
        <v/>
      </c>
      <c r="J2383" s="11" t="str">
        <f aca="false">IF($A2383="","",IF($H2383="-","유지",IF($I2383="첫 건","유지","확인 필요")))</f>
        <v/>
      </c>
    </row>
    <row r="2384" customFormat="false" ht="15" hidden="false" customHeight="true" outlineLevel="0" collapsed="false">
      <c r="A2384" s="11" t="str">
        <f aca="false">IF(원본명단!$A2383="","",2381)</f>
        <v/>
      </c>
      <c r="B2384" s="12" t="str">
        <f aca="false">IF($A2384="","",원본명단!$A2383)</f>
        <v/>
      </c>
      <c r="C2384" s="12" t="str">
        <f aca="false">IF($A2384="","",원본명단!$B2383)</f>
        <v/>
      </c>
      <c r="D2384" s="12" t="str">
        <f aca="false">IF($A2384="","",원본명단!$D2383)</f>
        <v/>
      </c>
      <c r="E2384" s="11" t="str">
        <f aca="false">IF($A2384="","",IF(원본명단!$H2383="",0,COUNTIF(원본명단!$H$3:$H$6002,원본명단!$H2383)))</f>
        <v/>
      </c>
      <c r="F2384" s="11" t="str">
        <f aca="false">IF($A2384="","",IF(원본명단!$I2383="",0,COUNTIF(원본명단!$I$3:$I$6002,원본명단!$I2383)))</f>
        <v/>
      </c>
      <c r="G2384" s="11" t="str">
        <f aca="false">IF($A2384="","",IF(원본명단!$K2383="",0,COUNTIF(원본명단!$K$3:$K$6002,원본명단!$K2383)))</f>
        <v/>
      </c>
      <c r="H2384" s="11" t="str">
        <f aca="false">IF($A2384="","",IF(MAX($E2384,$F2384,$G2384)&gt;1,"중복","-"))</f>
        <v/>
      </c>
      <c r="I2384" s="11" t="str">
        <f aca="false">IF($A2384="","",IF($H2384="-","-",IF(AND(IF(원본명단!$H2383="",TRUE(),COUNTIF(원본명단!$H$3:$H2383,원본명단!$H2383)=1),IF(원본명단!$I2383="",TRUE(),COUNTIF(원본명단!$I$3:$I2383,원본명단!$I2383)=1),IF(원본명단!$K2383="",TRUE(),COUNTIF(원본명단!$K$3:$K2383,원본명단!$K2383)=1)),"첫 건","중복 건")))</f>
        <v/>
      </c>
      <c r="J2384" s="11" t="str">
        <f aca="false">IF($A2384="","",IF($H2384="-","유지",IF($I2384="첫 건","유지","확인 필요")))</f>
        <v/>
      </c>
    </row>
    <row r="2385" customFormat="false" ht="15" hidden="false" customHeight="true" outlineLevel="0" collapsed="false">
      <c r="A2385" s="11" t="str">
        <f aca="false">IF(원본명단!$A2384="","",2382)</f>
        <v/>
      </c>
      <c r="B2385" s="12" t="str">
        <f aca="false">IF($A2385="","",원본명단!$A2384)</f>
        <v/>
      </c>
      <c r="C2385" s="12" t="str">
        <f aca="false">IF($A2385="","",원본명단!$B2384)</f>
        <v/>
      </c>
      <c r="D2385" s="12" t="str">
        <f aca="false">IF($A2385="","",원본명단!$D2384)</f>
        <v/>
      </c>
      <c r="E2385" s="11" t="str">
        <f aca="false">IF($A2385="","",IF(원본명단!$H2384="",0,COUNTIF(원본명단!$H$3:$H$6002,원본명단!$H2384)))</f>
        <v/>
      </c>
      <c r="F2385" s="11" t="str">
        <f aca="false">IF($A2385="","",IF(원본명단!$I2384="",0,COUNTIF(원본명단!$I$3:$I$6002,원본명단!$I2384)))</f>
        <v/>
      </c>
      <c r="G2385" s="11" t="str">
        <f aca="false">IF($A2385="","",IF(원본명단!$K2384="",0,COUNTIF(원본명단!$K$3:$K$6002,원본명단!$K2384)))</f>
        <v/>
      </c>
      <c r="H2385" s="11" t="str">
        <f aca="false">IF($A2385="","",IF(MAX($E2385,$F2385,$G2385)&gt;1,"중복","-"))</f>
        <v/>
      </c>
      <c r="I2385" s="11" t="str">
        <f aca="false">IF($A2385="","",IF($H2385="-","-",IF(AND(IF(원본명단!$H2384="",TRUE(),COUNTIF(원본명단!$H$3:$H2384,원본명단!$H2384)=1),IF(원본명단!$I2384="",TRUE(),COUNTIF(원본명단!$I$3:$I2384,원본명단!$I2384)=1),IF(원본명단!$K2384="",TRUE(),COUNTIF(원본명단!$K$3:$K2384,원본명단!$K2384)=1)),"첫 건","중복 건")))</f>
        <v/>
      </c>
      <c r="J2385" s="11" t="str">
        <f aca="false">IF($A2385="","",IF($H2385="-","유지",IF($I2385="첫 건","유지","확인 필요")))</f>
        <v/>
      </c>
    </row>
    <row r="2386" customFormat="false" ht="15" hidden="false" customHeight="true" outlineLevel="0" collapsed="false">
      <c r="A2386" s="11" t="str">
        <f aca="false">IF(원본명단!$A2385="","",2383)</f>
        <v/>
      </c>
      <c r="B2386" s="12" t="str">
        <f aca="false">IF($A2386="","",원본명단!$A2385)</f>
        <v/>
      </c>
      <c r="C2386" s="12" t="str">
        <f aca="false">IF($A2386="","",원본명단!$B2385)</f>
        <v/>
      </c>
      <c r="D2386" s="12" t="str">
        <f aca="false">IF($A2386="","",원본명단!$D2385)</f>
        <v/>
      </c>
      <c r="E2386" s="11" t="str">
        <f aca="false">IF($A2386="","",IF(원본명단!$H2385="",0,COUNTIF(원본명단!$H$3:$H$6002,원본명단!$H2385)))</f>
        <v/>
      </c>
      <c r="F2386" s="11" t="str">
        <f aca="false">IF($A2386="","",IF(원본명단!$I2385="",0,COUNTIF(원본명단!$I$3:$I$6002,원본명단!$I2385)))</f>
        <v/>
      </c>
      <c r="G2386" s="11" t="str">
        <f aca="false">IF($A2386="","",IF(원본명단!$K2385="",0,COUNTIF(원본명단!$K$3:$K$6002,원본명단!$K2385)))</f>
        <v/>
      </c>
      <c r="H2386" s="11" t="str">
        <f aca="false">IF($A2386="","",IF(MAX($E2386,$F2386,$G2386)&gt;1,"중복","-"))</f>
        <v/>
      </c>
      <c r="I2386" s="11" t="str">
        <f aca="false">IF($A2386="","",IF($H2386="-","-",IF(AND(IF(원본명단!$H2385="",TRUE(),COUNTIF(원본명단!$H$3:$H2385,원본명단!$H2385)=1),IF(원본명단!$I2385="",TRUE(),COUNTIF(원본명단!$I$3:$I2385,원본명단!$I2385)=1),IF(원본명단!$K2385="",TRUE(),COUNTIF(원본명단!$K$3:$K2385,원본명단!$K2385)=1)),"첫 건","중복 건")))</f>
        <v/>
      </c>
      <c r="J2386" s="11" t="str">
        <f aca="false">IF($A2386="","",IF($H2386="-","유지",IF($I2386="첫 건","유지","확인 필요")))</f>
        <v/>
      </c>
    </row>
    <row r="2387" customFormat="false" ht="15" hidden="false" customHeight="true" outlineLevel="0" collapsed="false">
      <c r="A2387" s="11" t="str">
        <f aca="false">IF(원본명단!$A2386="","",2384)</f>
        <v/>
      </c>
      <c r="B2387" s="12" t="str">
        <f aca="false">IF($A2387="","",원본명단!$A2386)</f>
        <v/>
      </c>
      <c r="C2387" s="12" t="str">
        <f aca="false">IF($A2387="","",원본명단!$B2386)</f>
        <v/>
      </c>
      <c r="D2387" s="12" t="str">
        <f aca="false">IF($A2387="","",원본명단!$D2386)</f>
        <v/>
      </c>
      <c r="E2387" s="11" t="str">
        <f aca="false">IF($A2387="","",IF(원본명단!$H2386="",0,COUNTIF(원본명단!$H$3:$H$6002,원본명단!$H2386)))</f>
        <v/>
      </c>
      <c r="F2387" s="11" t="str">
        <f aca="false">IF($A2387="","",IF(원본명단!$I2386="",0,COUNTIF(원본명단!$I$3:$I$6002,원본명단!$I2386)))</f>
        <v/>
      </c>
      <c r="G2387" s="11" t="str">
        <f aca="false">IF($A2387="","",IF(원본명단!$K2386="",0,COUNTIF(원본명단!$K$3:$K$6002,원본명단!$K2386)))</f>
        <v/>
      </c>
      <c r="H2387" s="11" t="str">
        <f aca="false">IF($A2387="","",IF(MAX($E2387,$F2387,$G2387)&gt;1,"중복","-"))</f>
        <v/>
      </c>
      <c r="I2387" s="11" t="str">
        <f aca="false">IF($A2387="","",IF($H2387="-","-",IF(AND(IF(원본명단!$H2386="",TRUE(),COUNTIF(원본명단!$H$3:$H2386,원본명단!$H2386)=1),IF(원본명단!$I2386="",TRUE(),COUNTIF(원본명단!$I$3:$I2386,원본명단!$I2386)=1),IF(원본명단!$K2386="",TRUE(),COUNTIF(원본명단!$K$3:$K2386,원본명단!$K2386)=1)),"첫 건","중복 건")))</f>
        <v/>
      </c>
      <c r="J2387" s="11" t="str">
        <f aca="false">IF($A2387="","",IF($H2387="-","유지",IF($I2387="첫 건","유지","확인 필요")))</f>
        <v/>
      </c>
    </row>
    <row r="2388" customFormat="false" ht="15" hidden="false" customHeight="true" outlineLevel="0" collapsed="false">
      <c r="A2388" s="11" t="str">
        <f aca="false">IF(원본명단!$A2387="","",2385)</f>
        <v/>
      </c>
      <c r="B2388" s="12" t="str">
        <f aca="false">IF($A2388="","",원본명단!$A2387)</f>
        <v/>
      </c>
      <c r="C2388" s="12" t="str">
        <f aca="false">IF($A2388="","",원본명단!$B2387)</f>
        <v/>
      </c>
      <c r="D2388" s="12" t="str">
        <f aca="false">IF($A2388="","",원본명단!$D2387)</f>
        <v/>
      </c>
      <c r="E2388" s="11" t="str">
        <f aca="false">IF($A2388="","",IF(원본명단!$H2387="",0,COUNTIF(원본명단!$H$3:$H$6002,원본명단!$H2387)))</f>
        <v/>
      </c>
      <c r="F2388" s="11" t="str">
        <f aca="false">IF($A2388="","",IF(원본명단!$I2387="",0,COUNTIF(원본명단!$I$3:$I$6002,원본명단!$I2387)))</f>
        <v/>
      </c>
      <c r="G2388" s="11" t="str">
        <f aca="false">IF($A2388="","",IF(원본명단!$K2387="",0,COUNTIF(원본명단!$K$3:$K$6002,원본명단!$K2387)))</f>
        <v/>
      </c>
      <c r="H2388" s="11" t="str">
        <f aca="false">IF($A2388="","",IF(MAX($E2388,$F2388,$G2388)&gt;1,"중복","-"))</f>
        <v/>
      </c>
      <c r="I2388" s="11" t="str">
        <f aca="false">IF($A2388="","",IF($H2388="-","-",IF(AND(IF(원본명단!$H2387="",TRUE(),COUNTIF(원본명단!$H$3:$H2387,원본명단!$H2387)=1),IF(원본명단!$I2387="",TRUE(),COUNTIF(원본명단!$I$3:$I2387,원본명단!$I2387)=1),IF(원본명단!$K2387="",TRUE(),COUNTIF(원본명단!$K$3:$K2387,원본명단!$K2387)=1)),"첫 건","중복 건")))</f>
        <v/>
      </c>
      <c r="J2388" s="11" t="str">
        <f aca="false">IF($A2388="","",IF($H2388="-","유지",IF($I2388="첫 건","유지","확인 필요")))</f>
        <v/>
      </c>
    </row>
    <row r="2389" customFormat="false" ht="15" hidden="false" customHeight="true" outlineLevel="0" collapsed="false">
      <c r="A2389" s="11" t="str">
        <f aca="false">IF(원본명단!$A2388="","",2386)</f>
        <v/>
      </c>
      <c r="B2389" s="12" t="str">
        <f aca="false">IF($A2389="","",원본명단!$A2388)</f>
        <v/>
      </c>
      <c r="C2389" s="12" t="str">
        <f aca="false">IF($A2389="","",원본명단!$B2388)</f>
        <v/>
      </c>
      <c r="D2389" s="12" t="str">
        <f aca="false">IF($A2389="","",원본명단!$D2388)</f>
        <v/>
      </c>
      <c r="E2389" s="11" t="str">
        <f aca="false">IF($A2389="","",IF(원본명단!$H2388="",0,COUNTIF(원본명단!$H$3:$H$6002,원본명단!$H2388)))</f>
        <v/>
      </c>
      <c r="F2389" s="11" t="str">
        <f aca="false">IF($A2389="","",IF(원본명단!$I2388="",0,COUNTIF(원본명단!$I$3:$I$6002,원본명단!$I2388)))</f>
        <v/>
      </c>
      <c r="G2389" s="11" t="str">
        <f aca="false">IF($A2389="","",IF(원본명단!$K2388="",0,COUNTIF(원본명단!$K$3:$K$6002,원본명단!$K2388)))</f>
        <v/>
      </c>
      <c r="H2389" s="11" t="str">
        <f aca="false">IF($A2389="","",IF(MAX($E2389,$F2389,$G2389)&gt;1,"중복","-"))</f>
        <v/>
      </c>
      <c r="I2389" s="11" t="str">
        <f aca="false">IF($A2389="","",IF($H2389="-","-",IF(AND(IF(원본명단!$H2388="",TRUE(),COUNTIF(원본명단!$H$3:$H2388,원본명단!$H2388)=1),IF(원본명단!$I2388="",TRUE(),COUNTIF(원본명단!$I$3:$I2388,원본명단!$I2388)=1),IF(원본명단!$K2388="",TRUE(),COUNTIF(원본명단!$K$3:$K2388,원본명단!$K2388)=1)),"첫 건","중복 건")))</f>
        <v/>
      </c>
      <c r="J2389" s="11" t="str">
        <f aca="false">IF($A2389="","",IF($H2389="-","유지",IF($I2389="첫 건","유지","확인 필요")))</f>
        <v/>
      </c>
    </row>
    <row r="2390" customFormat="false" ht="15" hidden="false" customHeight="true" outlineLevel="0" collapsed="false">
      <c r="A2390" s="11" t="str">
        <f aca="false">IF(원본명단!$A2389="","",2387)</f>
        <v/>
      </c>
      <c r="B2390" s="12" t="str">
        <f aca="false">IF($A2390="","",원본명단!$A2389)</f>
        <v/>
      </c>
      <c r="C2390" s="12" t="str">
        <f aca="false">IF($A2390="","",원본명단!$B2389)</f>
        <v/>
      </c>
      <c r="D2390" s="12" t="str">
        <f aca="false">IF($A2390="","",원본명단!$D2389)</f>
        <v/>
      </c>
      <c r="E2390" s="11" t="str">
        <f aca="false">IF($A2390="","",IF(원본명단!$H2389="",0,COUNTIF(원본명단!$H$3:$H$6002,원본명단!$H2389)))</f>
        <v/>
      </c>
      <c r="F2390" s="11" t="str">
        <f aca="false">IF($A2390="","",IF(원본명단!$I2389="",0,COUNTIF(원본명단!$I$3:$I$6002,원본명단!$I2389)))</f>
        <v/>
      </c>
      <c r="G2390" s="11" t="str">
        <f aca="false">IF($A2390="","",IF(원본명단!$K2389="",0,COUNTIF(원본명단!$K$3:$K$6002,원본명단!$K2389)))</f>
        <v/>
      </c>
      <c r="H2390" s="11" t="str">
        <f aca="false">IF($A2390="","",IF(MAX($E2390,$F2390,$G2390)&gt;1,"중복","-"))</f>
        <v/>
      </c>
      <c r="I2390" s="11" t="str">
        <f aca="false">IF($A2390="","",IF($H2390="-","-",IF(AND(IF(원본명단!$H2389="",TRUE(),COUNTIF(원본명단!$H$3:$H2389,원본명단!$H2389)=1),IF(원본명단!$I2389="",TRUE(),COUNTIF(원본명단!$I$3:$I2389,원본명단!$I2389)=1),IF(원본명단!$K2389="",TRUE(),COUNTIF(원본명단!$K$3:$K2389,원본명단!$K2389)=1)),"첫 건","중복 건")))</f>
        <v/>
      </c>
      <c r="J2390" s="11" t="str">
        <f aca="false">IF($A2390="","",IF($H2390="-","유지",IF($I2390="첫 건","유지","확인 필요")))</f>
        <v/>
      </c>
    </row>
    <row r="2391" customFormat="false" ht="15" hidden="false" customHeight="true" outlineLevel="0" collapsed="false">
      <c r="A2391" s="11" t="str">
        <f aca="false">IF(원본명단!$A2390="","",2388)</f>
        <v/>
      </c>
      <c r="B2391" s="12" t="str">
        <f aca="false">IF($A2391="","",원본명단!$A2390)</f>
        <v/>
      </c>
      <c r="C2391" s="12" t="str">
        <f aca="false">IF($A2391="","",원본명단!$B2390)</f>
        <v/>
      </c>
      <c r="D2391" s="12" t="str">
        <f aca="false">IF($A2391="","",원본명단!$D2390)</f>
        <v/>
      </c>
      <c r="E2391" s="11" t="str">
        <f aca="false">IF($A2391="","",IF(원본명단!$H2390="",0,COUNTIF(원본명단!$H$3:$H$6002,원본명단!$H2390)))</f>
        <v/>
      </c>
      <c r="F2391" s="11" t="str">
        <f aca="false">IF($A2391="","",IF(원본명단!$I2390="",0,COUNTIF(원본명단!$I$3:$I$6002,원본명단!$I2390)))</f>
        <v/>
      </c>
      <c r="G2391" s="11" t="str">
        <f aca="false">IF($A2391="","",IF(원본명단!$K2390="",0,COUNTIF(원본명단!$K$3:$K$6002,원본명단!$K2390)))</f>
        <v/>
      </c>
      <c r="H2391" s="11" t="str">
        <f aca="false">IF($A2391="","",IF(MAX($E2391,$F2391,$G2391)&gt;1,"중복","-"))</f>
        <v/>
      </c>
      <c r="I2391" s="11" t="str">
        <f aca="false">IF($A2391="","",IF($H2391="-","-",IF(AND(IF(원본명단!$H2390="",TRUE(),COUNTIF(원본명단!$H$3:$H2390,원본명단!$H2390)=1),IF(원본명단!$I2390="",TRUE(),COUNTIF(원본명단!$I$3:$I2390,원본명단!$I2390)=1),IF(원본명단!$K2390="",TRUE(),COUNTIF(원본명단!$K$3:$K2390,원본명단!$K2390)=1)),"첫 건","중복 건")))</f>
        <v/>
      </c>
      <c r="J2391" s="11" t="str">
        <f aca="false">IF($A2391="","",IF($H2391="-","유지",IF($I2391="첫 건","유지","확인 필요")))</f>
        <v/>
      </c>
    </row>
    <row r="2392" customFormat="false" ht="15" hidden="false" customHeight="true" outlineLevel="0" collapsed="false">
      <c r="A2392" s="11" t="str">
        <f aca="false">IF(원본명단!$A2391="","",2389)</f>
        <v/>
      </c>
      <c r="B2392" s="12" t="str">
        <f aca="false">IF($A2392="","",원본명단!$A2391)</f>
        <v/>
      </c>
      <c r="C2392" s="12" t="str">
        <f aca="false">IF($A2392="","",원본명단!$B2391)</f>
        <v/>
      </c>
      <c r="D2392" s="12" t="str">
        <f aca="false">IF($A2392="","",원본명단!$D2391)</f>
        <v/>
      </c>
      <c r="E2392" s="11" t="str">
        <f aca="false">IF($A2392="","",IF(원본명단!$H2391="",0,COUNTIF(원본명단!$H$3:$H$6002,원본명단!$H2391)))</f>
        <v/>
      </c>
      <c r="F2392" s="11" t="str">
        <f aca="false">IF($A2392="","",IF(원본명단!$I2391="",0,COUNTIF(원본명단!$I$3:$I$6002,원본명단!$I2391)))</f>
        <v/>
      </c>
      <c r="G2392" s="11" t="str">
        <f aca="false">IF($A2392="","",IF(원본명단!$K2391="",0,COUNTIF(원본명단!$K$3:$K$6002,원본명단!$K2391)))</f>
        <v/>
      </c>
      <c r="H2392" s="11" t="str">
        <f aca="false">IF($A2392="","",IF(MAX($E2392,$F2392,$G2392)&gt;1,"중복","-"))</f>
        <v/>
      </c>
      <c r="I2392" s="11" t="str">
        <f aca="false">IF($A2392="","",IF($H2392="-","-",IF(AND(IF(원본명단!$H2391="",TRUE(),COUNTIF(원본명단!$H$3:$H2391,원본명단!$H2391)=1),IF(원본명단!$I2391="",TRUE(),COUNTIF(원본명단!$I$3:$I2391,원본명단!$I2391)=1),IF(원본명단!$K2391="",TRUE(),COUNTIF(원본명단!$K$3:$K2391,원본명단!$K2391)=1)),"첫 건","중복 건")))</f>
        <v/>
      </c>
      <c r="J2392" s="11" t="str">
        <f aca="false">IF($A2392="","",IF($H2392="-","유지",IF($I2392="첫 건","유지","확인 필요")))</f>
        <v/>
      </c>
    </row>
    <row r="2393" customFormat="false" ht="15" hidden="false" customHeight="true" outlineLevel="0" collapsed="false">
      <c r="A2393" s="11" t="str">
        <f aca="false">IF(원본명단!$A2392="","",2390)</f>
        <v/>
      </c>
      <c r="B2393" s="12" t="str">
        <f aca="false">IF($A2393="","",원본명단!$A2392)</f>
        <v/>
      </c>
      <c r="C2393" s="12" t="str">
        <f aca="false">IF($A2393="","",원본명단!$B2392)</f>
        <v/>
      </c>
      <c r="D2393" s="12" t="str">
        <f aca="false">IF($A2393="","",원본명단!$D2392)</f>
        <v/>
      </c>
      <c r="E2393" s="11" t="str">
        <f aca="false">IF($A2393="","",IF(원본명단!$H2392="",0,COUNTIF(원본명단!$H$3:$H$6002,원본명단!$H2392)))</f>
        <v/>
      </c>
      <c r="F2393" s="11" t="str">
        <f aca="false">IF($A2393="","",IF(원본명단!$I2392="",0,COUNTIF(원본명단!$I$3:$I$6002,원본명단!$I2392)))</f>
        <v/>
      </c>
      <c r="G2393" s="11" t="str">
        <f aca="false">IF($A2393="","",IF(원본명단!$K2392="",0,COUNTIF(원본명단!$K$3:$K$6002,원본명단!$K2392)))</f>
        <v/>
      </c>
      <c r="H2393" s="11" t="str">
        <f aca="false">IF($A2393="","",IF(MAX($E2393,$F2393,$G2393)&gt;1,"중복","-"))</f>
        <v/>
      </c>
      <c r="I2393" s="11" t="str">
        <f aca="false">IF($A2393="","",IF($H2393="-","-",IF(AND(IF(원본명단!$H2392="",TRUE(),COUNTIF(원본명단!$H$3:$H2392,원본명단!$H2392)=1),IF(원본명단!$I2392="",TRUE(),COUNTIF(원본명단!$I$3:$I2392,원본명단!$I2392)=1),IF(원본명단!$K2392="",TRUE(),COUNTIF(원본명단!$K$3:$K2392,원본명단!$K2392)=1)),"첫 건","중복 건")))</f>
        <v/>
      </c>
      <c r="J2393" s="11" t="str">
        <f aca="false">IF($A2393="","",IF($H2393="-","유지",IF($I2393="첫 건","유지","확인 필요")))</f>
        <v/>
      </c>
    </row>
    <row r="2394" customFormat="false" ht="15" hidden="false" customHeight="true" outlineLevel="0" collapsed="false">
      <c r="A2394" s="11" t="str">
        <f aca="false">IF(원본명단!$A2393="","",2391)</f>
        <v/>
      </c>
      <c r="B2394" s="12" t="str">
        <f aca="false">IF($A2394="","",원본명단!$A2393)</f>
        <v/>
      </c>
      <c r="C2394" s="12" t="str">
        <f aca="false">IF($A2394="","",원본명단!$B2393)</f>
        <v/>
      </c>
      <c r="D2394" s="12" t="str">
        <f aca="false">IF($A2394="","",원본명단!$D2393)</f>
        <v/>
      </c>
      <c r="E2394" s="11" t="str">
        <f aca="false">IF($A2394="","",IF(원본명단!$H2393="",0,COUNTIF(원본명단!$H$3:$H$6002,원본명단!$H2393)))</f>
        <v/>
      </c>
      <c r="F2394" s="11" t="str">
        <f aca="false">IF($A2394="","",IF(원본명단!$I2393="",0,COUNTIF(원본명단!$I$3:$I$6002,원본명단!$I2393)))</f>
        <v/>
      </c>
      <c r="G2394" s="11" t="str">
        <f aca="false">IF($A2394="","",IF(원본명단!$K2393="",0,COUNTIF(원본명단!$K$3:$K$6002,원본명단!$K2393)))</f>
        <v/>
      </c>
      <c r="H2394" s="11" t="str">
        <f aca="false">IF($A2394="","",IF(MAX($E2394,$F2394,$G2394)&gt;1,"중복","-"))</f>
        <v/>
      </c>
      <c r="I2394" s="11" t="str">
        <f aca="false">IF($A2394="","",IF($H2394="-","-",IF(AND(IF(원본명단!$H2393="",TRUE(),COUNTIF(원본명단!$H$3:$H2393,원본명단!$H2393)=1),IF(원본명단!$I2393="",TRUE(),COUNTIF(원본명단!$I$3:$I2393,원본명단!$I2393)=1),IF(원본명단!$K2393="",TRUE(),COUNTIF(원본명단!$K$3:$K2393,원본명단!$K2393)=1)),"첫 건","중복 건")))</f>
        <v/>
      </c>
      <c r="J2394" s="11" t="str">
        <f aca="false">IF($A2394="","",IF($H2394="-","유지",IF($I2394="첫 건","유지","확인 필요")))</f>
        <v/>
      </c>
    </row>
    <row r="2395" customFormat="false" ht="15" hidden="false" customHeight="true" outlineLevel="0" collapsed="false">
      <c r="A2395" s="11" t="str">
        <f aca="false">IF(원본명단!$A2394="","",2392)</f>
        <v/>
      </c>
      <c r="B2395" s="12" t="str">
        <f aca="false">IF($A2395="","",원본명단!$A2394)</f>
        <v/>
      </c>
      <c r="C2395" s="12" t="str">
        <f aca="false">IF($A2395="","",원본명단!$B2394)</f>
        <v/>
      </c>
      <c r="D2395" s="12" t="str">
        <f aca="false">IF($A2395="","",원본명단!$D2394)</f>
        <v/>
      </c>
      <c r="E2395" s="11" t="str">
        <f aca="false">IF($A2395="","",IF(원본명단!$H2394="",0,COUNTIF(원본명단!$H$3:$H$6002,원본명단!$H2394)))</f>
        <v/>
      </c>
      <c r="F2395" s="11" t="str">
        <f aca="false">IF($A2395="","",IF(원본명단!$I2394="",0,COUNTIF(원본명단!$I$3:$I$6002,원본명단!$I2394)))</f>
        <v/>
      </c>
      <c r="G2395" s="11" t="str">
        <f aca="false">IF($A2395="","",IF(원본명단!$K2394="",0,COUNTIF(원본명단!$K$3:$K$6002,원본명단!$K2394)))</f>
        <v/>
      </c>
      <c r="H2395" s="11" t="str">
        <f aca="false">IF($A2395="","",IF(MAX($E2395,$F2395,$G2395)&gt;1,"중복","-"))</f>
        <v/>
      </c>
      <c r="I2395" s="11" t="str">
        <f aca="false">IF($A2395="","",IF($H2395="-","-",IF(AND(IF(원본명단!$H2394="",TRUE(),COUNTIF(원본명단!$H$3:$H2394,원본명단!$H2394)=1),IF(원본명단!$I2394="",TRUE(),COUNTIF(원본명단!$I$3:$I2394,원본명단!$I2394)=1),IF(원본명단!$K2394="",TRUE(),COUNTIF(원본명단!$K$3:$K2394,원본명단!$K2394)=1)),"첫 건","중복 건")))</f>
        <v/>
      </c>
      <c r="J2395" s="11" t="str">
        <f aca="false">IF($A2395="","",IF($H2395="-","유지",IF($I2395="첫 건","유지","확인 필요")))</f>
        <v/>
      </c>
    </row>
    <row r="2396" customFormat="false" ht="15" hidden="false" customHeight="true" outlineLevel="0" collapsed="false">
      <c r="A2396" s="11" t="str">
        <f aca="false">IF(원본명단!$A2395="","",2393)</f>
        <v/>
      </c>
      <c r="B2396" s="12" t="str">
        <f aca="false">IF($A2396="","",원본명단!$A2395)</f>
        <v/>
      </c>
      <c r="C2396" s="12" t="str">
        <f aca="false">IF($A2396="","",원본명단!$B2395)</f>
        <v/>
      </c>
      <c r="D2396" s="12" t="str">
        <f aca="false">IF($A2396="","",원본명단!$D2395)</f>
        <v/>
      </c>
      <c r="E2396" s="11" t="str">
        <f aca="false">IF($A2396="","",IF(원본명단!$H2395="",0,COUNTIF(원본명단!$H$3:$H$6002,원본명단!$H2395)))</f>
        <v/>
      </c>
      <c r="F2396" s="11" t="str">
        <f aca="false">IF($A2396="","",IF(원본명단!$I2395="",0,COUNTIF(원본명단!$I$3:$I$6002,원본명단!$I2395)))</f>
        <v/>
      </c>
      <c r="G2396" s="11" t="str">
        <f aca="false">IF($A2396="","",IF(원본명단!$K2395="",0,COUNTIF(원본명단!$K$3:$K$6002,원본명단!$K2395)))</f>
        <v/>
      </c>
      <c r="H2396" s="11" t="str">
        <f aca="false">IF($A2396="","",IF(MAX($E2396,$F2396,$G2396)&gt;1,"중복","-"))</f>
        <v/>
      </c>
      <c r="I2396" s="11" t="str">
        <f aca="false">IF($A2396="","",IF($H2396="-","-",IF(AND(IF(원본명단!$H2395="",TRUE(),COUNTIF(원본명단!$H$3:$H2395,원본명단!$H2395)=1),IF(원본명단!$I2395="",TRUE(),COUNTIF(원본명단!$I$3:$I2395,원본명단!$I2395)=1),IF(원본명단!$K2395="",TRUE(),COUNTIF(원본명단!$K$3:$K2395,원본명단!$K2395)=1)),"첫 건","중복 건")))</f>
        <v/>
      </c>
      <c r="J2396" s="11" t="str">
        <f aca="false">IF($A2396="","",IF($H2396="-","유지",IF($I2396="첫 건","유지","확인 필요")))</f>
        <v/>
      </c>
    </row>
    <row r="2397" customFormat="false" ht="15" hidden="false" customHeight="true" outlineLevel="0" collapsed="false">
      <c r="A2397" s="11" t="str">
        <f aca="false">IF(원본명단!$A2396="","",2394)</f>
        <v/>
      </c>
      <c r="B2397" s="12" t="str">
        <f aca="false">IF($A2397="","",원본명단!$A2396)</f>
        <v/>
      </c>
      <c r="C2397" s="12" t="str">
        <f aca="false">IF($A2397="","",원본명단!$B2396)</f>
        <v/>
      </c>
      <c r="D2397" s="12" t="str">
        <f aca="false">IF($A2397="","",원본명단!$D2396)</f>
        <v/>
      </c>
      <c r="E2397" s="11" t="str">
        <f aca="false">IF($A2397="","",IF(원본명단!$H2396="",0,COUNTIF(원본명단!$H$3:$H$6002,원본명단!$H2396)))</f>
        <v/>
      </c>
      <c r="F2397" s="11" t="str">
        <f aca="false">IF($A2397="","",IF(원본명단!$I2396="",0,COUNTIF(원본명단!$I$3:$I$6002,원본명단!$I2396)))</f>
        <v/>
      </c>
      <c r="G2397" s="11" t="str">
        <f aca="false">IF($A2397="","",IF(원본명단!$K2396="",0,COUNTIF(원본명단!$K$3:$K$6002,원본명단!$K2396)))</f>
        <v/>
      </c>
      <c r="H2397" s="11" t="str">
        <f aca="false">IF($A2397="","",IF(MAX($E2397,$F2397,$G2397)&gt;1,"중복","-"))</f>
        <v/>
      </c>
      <c r="I2397" s="11" t="str">
        <f aca="false">IF($A2397="","",IF($H2397="-","-",IF(AND(IF(원본명단!$H2396="",TRUE(),COUNTIF(원본명단!$H$3:$H2396,원본명단!$H2396)=1),IF(원본명단!$I2396="",TRUE(),COUNTIF(원본명단!$I$3:$I2396,원본명단!$I2396)=1),IF(원본명단!$K2396="",TRUE(),COUNTIF(원본명단!$K$3:$K2396,원본명단!$K2396)=1)),"첫 건","중복 건")))</f>
        <v/>
      </c>
      <c r="J2397" s="11" t="str">
        <f aca="false">IF($A2397="","",IF($H2397="-","유지",IF($I2397="첫 건","유지","확인 필요")))</f>
        <v/>
      </c>
    </row>
    <row r="2398" customFormat="false" ht="15" hidden="false" customHeight="true" outlineLevel="0" collapsed="false">
      <c r="A2398" s="11" t="str">
        <f aca="false">IF(원본명단!$A2397="","",2395)</f>
        <v/>
      </c>
      <c r="B2398" s="12" t="str">
        <f aca="false">IF($A2398="","",원본명단!$A2397)</f>
        <v/>
      </c>
      <c r="C2398" s="12" t="str">
        <f aca="false">IF($A2398="","",원본명단!$B2397)</f>
        <v/>
      </c>
      <c r="D2398" s="12" t="str">
        <f aca="false">IF($A2398="","",원본명단!$D2397)</f>
        <v/>
      </c>
      <c r="E2398" s="11" t="str">
        <f aca="false">IF($A2398="","",IF(원본명단!$H2397="",0,COUNTIF(원본명단!$H$3:$H$6002,원본명단!$H2397)))</f>
        <v/>
      </c>
      <c r="F2398" s="11" t="str">
        <f aca="false">IF($A2398="","",IF(원본명단!$I2397="",0,COUNTIF(원본명단!$I$3:$I$6002,원본명단!$I2397)))</f>
        <v/>
      </c>
      <c r="G2398" s="11" t="str">
        <f aca="false">IF($A2398="","",IF(원본명단!$K2397="",0,COUNTIF(원본명단!$K$3:$K$6002,원본명단!$K2397)))</f>
        <v/>
      </c>
      <c r="H2398" s="11" t="str">
        <f aca="false">IF($A2398="","",IF(MAX($E2398,$F2398,$G2398)&gt;1,"중복","-"))</f>
        <v/>
      </c>
      <c r="I2398" s="11" t="str">
        <f aca="false">IF($A2398="","",IF($H2398="-","-",IF(AND(IF(원본명단!$H2397="",TRUE(),COUNTIF(원본명단!$H$3:$H2397,원본명단!$H2397)=1),IF(원본명단!$I2397="",TRUE(),COUNTIF(원본명단!$I$3:$I2397,원본명단!$I2397)=1),IF(원본명단!$K2397="",TRUE(),COUNTIF(원본명단!$K$3:$K2397,원본명단!$K2397)=1)),"첫 건","중복 건")))</f>
        <v/>
      </c>
      <c r="J2398" s="11" t="str">
        <f aca="false">IF($A2398="","",IF($H2398="-","유지",IF($I2398="첫 건","유지","확인 필요")))</f>
        <v/>
      </c>
    </row>
    <row r="2399" customFormat="false" ht="15" hidden="false" customHeight="true" outlineLevel="0" collapsed="false">
      <c r="A2399" s="11" t="str">
        <f aca="false">IF(원본명단!$A2398="","",2396)</f>
        <v/>
      </c>
      <c r="B2399" s="12" t="str">
        <f aca="false">IF($A2399="","",원본명단!$A2398)</f>
        <v/>
      </c>
      <c r="C2399" s="12" t="str">
        <f aca="false">IF($A2399="","",원본명단!$B2398)</f>
        <v/>
      </c>
      <c r="D2399" s="12" t="str">
        <f aca="false">IF($A2399="","",원본명단!$D2398)</f>
        <v/>
      </c>
      <c r="E2399" s="11" t="str">
        <f aca="false">IF($A2399="","",IF(원본명단!$H2398="",0,COUNTIF(원본명단!$H$3:$H$6002,원본명단!$H2398)))</f>
        <v/>
      </c>
      <c r="F2399" s="11" t="str">
        <f aca="false">IF($A2399="","",IF(원본명단!$I2398="",0,COUNTIF(원본명단!$I$3:$I$6002,원본명단!$I2398)))</f>
        <v/>
      </c>
      <c r="G2399" s="11" t="str">
        <f aca="false">IF($A2399="","",IF(원본명단!$K2398="",0,COUNTIF(원본명단!$K$3:$K$6002,원본명단!$K2398)))</f>
        <v/>
      </c>
      <c r="H2399" s="11" t="str">
        <f aca="false">IF($A2399="","",IF(MAX($E2399,$F2399,$G2399)&gt;1,"중복","-"))</f>
        <v/>
      </c>
      <c r="I2399" s="11" t="str">
        <f aca="false">IF($A2399="","",IF($H2399="-","-",IF(AND(IF(원본명단!$H2398="",TRUE(),COUNTIF(원본명단!$H$3:$H2398,원본명단!$H2398)=1),IF(원본명단!$I2398="",TRUE(),COUNTIF(원본명단!$I$3:$I2398,원본명단!$I2398)=1),IF(원본명단!$K2398="",TRUE(),COUNTIF(원본명단!$K$3:$K2398,원본명단!$K2398)=1)),"첫 건","중복 건")))</f>
        <v/>
      </c>
      <c r="J2399" s="11" t="str">
        <f aca="false">IF($A2399="","",IF($H2399="-","유지",IF($I2399="첫 건","유지","확인 필요")))</f>
        <v/>
      </c>
    </row>
    <row r="2400" customFormat="false" ht="15" hidden="false" customHeight="true" outlineLevel="0" collapsed="false">
      <c r="A2400" s="11" t="str">
        <f aca="false">IF(원본명단!$A2399="","",2397)</f>
        <v/>
      </c>
      <c r="B2400" s="12" t="str">
        <f aca="false">IF($A2400="","",원본명단!$A2399)</f>
        <v/>
      </c>
      <c r="C2400" s="12" t="str">
        <f aca="false">IF($A2400="","",원본명단!$B2399)</f>
        <v/>
      </c>
      <c r="D2400" s="12" t="str">
        <f aca="false">IF($A2400="","",원본명단!$D2399)</f>
        <v/>
      </c>
      <c r="E2400" s="11" t="str">
        <f aca="false">IF($A2400="","",IF(원본명단!$H2399="",0,COUNTIF(원본명단!$H$3:$H$6002,원본명단!$H2399)))</f>
        <v/>
      </c>
      <c r="F2400" s="11" t="str">
        <f aca="false">IF($A2400="","",IF(원본명단!$I2399="",0,COUNTIF(원본명단!$I$3:$I$6002,원본명단!$I2399)))</f>
        <v/>
      </c>
      <c r="G2400" s="11" t="str">
        <f aca="false">IF($A2400="","",IF(원본명단!$K2399="",0,COUNTIF(원본명단!$K$3:$K$6002,원본명단!$K2399)))</f>
        <v/>
      </c>
      <c r="H2400" s="11" t="str">
        <f aca="false">IF($A2400="","",IF(MAX($E2400,$F2400,$G2400)&gt;1,"중복","-"))</f>
        <v/>
      </c>
      <c r="I2400" s="11" t="str">
        <f aca="false">IF($A2400="","",IF($H2400="-","-",IF(AND(IF(원본명단!$H2399="",TRUE(),COUNTIF(원본명단!$H$3:$H2399,원본명단!$H2399)=1),IF(원본명단!$I2399="",TRUE(),COUNTIF(원본명단!$I$3:$I2399,원본명단!$I2399)=1),IF(원본명단!$K2399="",TRUE(),COUNTIF(원본명단!$K$3:$K2399,원본명단!$K2399)=1)),"첫 건","중복 건")))</f>
        <v/>
      </c>
      <c r="J2400" s="11" t="str">
        <f aca="false">IF($A2400="","",IF($H2400="-","유지",IF($I2400="첫 건","유지","확인 필요")))</f>
        <v/>
      </c>
    </row>
    <row r="2401" customFormat="false" ht="15" hidden="false" customHeight="true" outlineLevel="0" collapsed="false">
      <c r="A2401" s="11" t="str">
        <f aca="false">IF(원본명단!$A2400="","",2398)</f>
        <v/>
      </c>
      <c r="B2401" s="12" t="str">
        <f aca="false">IF($A2401="","",원본명단!$A2400)</f>
        <v/>
      </c>
      <c r="C2401" s="12" t="str">
        <f aca="false">IF($A2401="","",원본명단!$B2400)</f>
        <v/>
      </c>
      <c r="D2401" s="12" t="str">
        <f aca="false">IF($A2401="","",원본명단!$D2400)</f>
        <v/>
      </c>
      <c r="E2401" s="11" t="str">
        <f aca="false">IF($A2401="","",IF(원본명단!$H2400="",0,COUNTIF(원본명단!$H$3:$H$6002,원본명단!$H2400)))</f>
        <v/>
      </c>
      <c r="F2401" s="11" t="str">
        <f aca="false">IF($A2401="","",IF(원본명단!$I2400="",0,COUNTIF(원본명단!$I$3:$I$6002,원본명단!$I2400)))</f>
        <v/>
      </c>
      <c r="G2401" s="11" t="str">
        <f aca="false">IF($A2401="","",IF(원본명단!$K2400="",0,COUNTIF(원본명단!$K$3:$K$6002,원본명단!$K2400)))</f>
        <v/>
      </c>
      <c r="H2401" s="11" t="str">
        <f aca="false">IF($A2401="","",IF(MAX($E2401,$F2401,$G2401)&gt;1,"중복","-"))</f>
        <v/>
      </c>
      <c r="I2401" s="11" t="str">
        <f aca="false">IF($A2401="","",IF($H2401="-","-",IF(AND(IF(원본명단!$H2400="",TRUE(),COUNTIF(원본명단!$H$3:$H2400,원본명단!$H2400)=1),IF(원본명단!$I2400="",TRUE(),COUNTIF(원본명단!$I$3:$I2400,원본명단!$I2400)=1),IF(원본명단!$K2400="",TRUE(),COUNTIF(원본명단!$K$3:$K2400,원본명단!$K2400)=1)),"첫 건","중복 건")))</f>
        <v/>
      </c>
      <c r="J2401" s="11" t="str">
        <f aca="false">IF($A2401="","",IF($H2401="-","유지",IF($I2401="첫 건","유지","확인 필요")))</f>
        <v/>
      </c>
    </row>
    <row r="2402" customFormat="false" ht="15" hidden="false" customHeight="true" outlineLevel="0" collapsed="false">
      <c r="A2402" s="11" t="str">
        <f aca="false">IF(원본명단!$A2401="","",2399)</f>
        <v/>
      </c>
      <c r="B2402" s="12" t="str">
        <f aca="false">IF($A2402="","",원본명단!$A2401)</f>
        <v/>
      </c>
      <c r="C2402" s="12" t="str">
        <f aca="false">IF($A2402="","",원본명단!$B2401)</f>
        <v/>
      </c>
      <c r="D2402" s="12" t="str">
        <f aca="false">IF($A2402="","",원본명단!$D2401)</f>
        <v/>
      </c>
      <c r="E2402" s="11" t="str">
        <f aca="false">IF($A2402="","",IF(원본명단!$H2401="",0,COUNTIF(원본명단!$H$3:$H$6002,원본명단!$H2401)))</f>
        <v/>
      </c>
      <c r="F2402" s="11" t="str">
        <f aca="false">IF($A2402="","",IF(원본명단!$I2401="",0,COUNTIF(원본명단!$I$3:$I$6002,원본명단!$I2401)))</f>
        <v/>
      </c>
      <c r="G2402" s="11" t="str">
        <f aca="false">IF($A2402="","",IF(원본명단!$K2401="",0,COUNTIF(원본명단!$K$3:$K$6002,원본명단!$K2401)))</f>
        <v/>
      </c>
      <c r="H2402" s="11" t="str">
        <f aca="false">IF($A2402="","",IF(MAX($E2402,$F2402,$G2402)&gt;1,"중복","-"))</f>
        <v/>
      </c>
      <c r="I2402" s="11" t="str">
        <f aca="false">IF($A2402="","",IF($H2402="-","-",IF(AND(IF(원본명단!$H2401="",TRUE(),COUNTIF(원본명단!$H$3:$H2401,원본명단!$H2401)=1),IF(원본명단!$I2401="",TRUE(),COUNTIF(원본명단!$I$3:$I2401,원본명단!$I2401)=1),IF(원본명단!$K2401="",TRUE(),COUNTIF(원본명단!$K$3:$K2401,원본명단!$K2401)=1)),"첫 건","중복 건")))</f>
        <v/>
      </c>
      <c r="J2402" s="11" t="str">
        <f aca="false">IF($A2402="","",IF($H2402="-","유지",IF($I2402="첫 건","유지","확인 필요")))</f>
        <v/>
      </c>
    </row>
    <row r="2403" customFormat="false" ht="15" hidden="false" customHeight="true" outlineLevel="0" collapsed="false">
      <c r="A2403" s="11" t="str">
        <f aca="false">IF(원본명단!$A2402="","",2400)</f>
        <v/>
      </c>
      <c r="B2403" s="12" t="str">
        <f aca="false">IF($A2403="","",원본명단!$A2402)</f>
        <v/>
      </c>
      <c r="C2403" s="12" t="str">
        <f aca="false">IF($A2403="","",원본명단!$B2402)</f>
        <v/>
      </c>
      <c r="D2403" s="12" t="str">
        <f aca="false">IF($A2403="","",원본명단!$D2402)</f>
        <v/>
      </c>
      <c r="E2403" s="11" t="str">
        <f aca="false">IF($A2403="","",IF(원본명단!$H2402="",0,COUNTIF(원본명단!$H$3:$H$6002,원본명단!$H2402)))</f>
        <v/>
      </c>
      <c r="F2403" s="11" t="str">
        <f aca="false">IF($A2403="","",IF(원본명단!$I2402="",0,COUNTIF(원본명단!$I$3:$I$6002,원본명단!$I2402)))</f>
        <v/>
      </c>
      <c r="G2403" s="11" t="str">
        <f aca="false">IF($A2403="","",IF(원본명단!$K2402="",0,COUNTIF(원본명단!$K$3:$K$6002,원본명단!$K2402)))</f>
        <v/>
      </c>
      <c r="H2403" s="11" t="str">
        <f aca="false">IF($A2403="","",IF(MAX($E2403,$F2403,$G2403)&gt;1,"중복","-"))</f>
        <v/>
      </c>
      <c r="I2403" s="11" t="str">
        <f aca="false">IF($A2403="","",IF($H2403="-","-",IF(AND(IF(원본명단!$H2402="",TRUE(),COUNTIF(원본명단!$H$3:$H2402,원본명단!$H2402)=1),IF(원본명단!$I2402="",TRUE(),COUNTIF(원본명단!$I$3:$I2402,원본명단!$I2402)=1),IF(원본명단!$K2402="",TRUE(),COUNTIF(원본명단!$K$3:$K2402,원본명단!$K2402)=1)),"첫 건","중복 건")))</f>
        <v/>
      </c>
      <c r="J2403" s="11" t="str">
        <f aca="false">IF($A2403="","",IF($H2403="-","유지",IF($I2403="첫 건","유지","확인 필요")))</f>
        <v/>
      </c>
    </row>
    <row r="2404" customFormat="false" ht="15" hidden="false" customHeight="true" outlineLevel="0" collapsed="false">
      <c r="A2404" s="11" t="str">
        <f aca="false">IF(원본명단!$A2403="","",2401)</f>
        <v/>
      </c>
      <c r="B2404" s="12" t="str">
        <f aca="false">IF($A2404="","",원본명단!$A2403)</f>
        <v/>
      </c>
      <c r="C2404" s="12" t="str">
        <f aca="false">IF($A2404="","",원본명단!$B2403)</f>
        <v/>
      </c>
      <c r="D2404" s="12" t="str">
        <f aca="false">IF($A2404="","",원본명단!$D2403)</f>
        <v/>
      </c>
      <c r="E2404" s="11" t="str">
        <f aca="false">IF($A2404="","",IF(원본명단!$H2403="",0,COUNTIF(원본명단!$H$3:$H$6002,원본명단!$H2403)))</f>
        <v/>
      </c>
      <c r="F2404" s="11" t="str">
        <f aca="false">IF($A2404="","",IF(원본명단!$I2403="",0,COUNTIF(원본명단!$I$3:$I$6002,원본명단!$I2403)))</f>
        <v/>
      </c>
      <c r="G2404" s="11" t="str">
        <f aca="false">IF($A2404="","",IF(원본명단!$K2403="",0,COUNTIF(원본명단!$K$3:$K$6002,원본명단!$K2403)))</f>
        <v/>
      </c>
      <c r="H2404" s="11" t="str">
        <f aca="false">IF($A2404="","",IF(MAX($E2404,$F2404,$G2404)&gt;1,"중복","-"))</f>
        <v/>
      </c>
      <c r="I2404" s="11" t="str">
        <f aca="false">IF($A2404="","",IF($H2404="-","-",IF(AND(IF(원본명단!$H2403="",TRUE(),COUNTIF(원본명단!$H$3:$H2403,원본명단!$H2403)=1),IF(원본명단!$I2403="",TRUE(),COUNTIF(원본명단!$I$3:$I2403,원본명단!$I2403)=1),IF(원본명단!$K2403="",TRUE(),COUNTIF(원본명단!$K$3:$K2403,원본명단!$K2403)=1)),"첫 건","중복 건")))</f>
        <v/>
      </c>
      <c r="J2404" s="11" t="str">
        <f aca="false">IF($A2404="","",IF($H2404="-","유지",IF($I2404="첫 건","유지","확인 필요")))</f>
        <v/>
      </c>
    </row>
    <row r="2405" customFormat="false" ht="15" hidden="false" customHeight="true" outlineLevel="0" collapsed="false">
      <c r="A2405" s="11" t="str">
        <f aca="false">IF(원본명단!$A2404="","",2402)</f>
        <v/>
      </c>
      <c r="B2405" s="12" t="str">
        <f aca="false">IF($A2405="","",원본명단!$A2404)</f>
        <v/>
      </c>
      <c r="C2405" s="12" t="str">
        <f aca="false">IF($A2405="","",원본명단!$B2404)</f>
        <v/>
      </c>
      <c r="D2405" s="12" t="str">
        <f aca="false">IF($A2405="","",원본명단!$D2404)</f>
        <v/>
      </c>
      <c r="E2405" s="11" t="str">
        <f aca="false">IF($A2405="","",IF(원본명단!$H2404="",0,COUNTIF(원본명단!$H$3:$H$6002,원본명단!$H2404)))</f>
        <v/>
      </c>
      <c r="F2405" s="11" t="str">
        <f aca="false">IF($A2405="","",IF(원본명단!$I2404="",0,COUNTIF(원본명단!$I$3:$I$6002,원본명단!$I2404)))</f>
        <v/>
      </c>
      <c r="G2405" s="11" t="str">
        <f aca="false">IF($A2405="","",IF(원본명단!$K2404="",0,COUNTIF(원본명단!$K$3:$K$6002,원본명단!$K2404)))</f>
        <v/>
      </c>
      <c r="H2405" s="11" t="str">
        <f aca="false">IF($A2405="","",IF(MAX($E2405,$F2405,$G2405)&gt;1,"중복","-"))</f>
        <v/>
      </c>
      <c r="I2405" s="11" t="str">
        <f aca="false">IF($A2405="","",IF($H2405="-","-",IF(AND(IF(원본명단!$H2404="",TRUE(),COUNTIF(원본명단!$H$3:$H2404,원본명단!$H2404)=1),IF(원본명단!$I2404="",TRUE(),COUNTIF(원본명단!$I$3:$I2404,원본명단!$I2404)=1),IF(원본명단!$K2404="",TRUE(),COUNTIF(원본명단!$K$3:$K2404,원본명단!$K2404)=1)),"첫 건","중복 건")))</f>
        <v/>
      </c>
      <c r="J2405" s="11" t="str">
        <f aca="false">IF($A2405="","",IF($H2405="-","유지",IF($I2405="첫 건","유지","확인 필요")))</f>
        <v/>
      </c>
    </row>
    <row r="2406" customFormat="false" ht="15" hidden="false" customHeight="true" outlineLevel="0" collapsed="false">
      <c r="A2406" s="11" t="str">
        <f aca="false">IF(원본명단!$A2405="","",2403)</f>
        <v/>
      </c>
      <c r="B2406" s="12" t="str">
        <f aca="false">IF($A2406="","",원본명단!$A2405)</f>
        <v/>
      </c>
      <c r="C2406" s="12" t="str">
        <f aca="false">IF($A2406="","",원본명단!$B2405)</f>
        <v/>
      </c>
      <c r="D2406" s="12" t="str">
        <f aca="false">IF($A2406="","",원본명단!$D2405)</f>
        <v/>
      </c>
      <c r="E2406" s="11" t="str">
        <f aca="false">IF($A2406="","",IF(원본명단!$H2405="",0,COUNTIF(원본명단!$H$3:$H$6002,원본명단!$H2405)))</f>
        <v/>
      </c>
      <c r="F2406" s="11" t="str">
        <f aca="false">IF($A2406="","",IF(원본명단!$I2405="",0,COUNTIF(원본명단!$I$3:$I$6002,원본명단!$I2405)))</f>
        <v/>
      </c>
      <c r="G2406" s="11" t="str">
        <f aca="false">IF($A2406="","",IF(원본명단!$K2405="",0,COUNTIF(원본명단!$K$3:$K$6002,원본명단!$K2405)))</f>
        <v/>
      </c>
      <c r="H2406" s="11" t="str">
        <f aca="false">IF($A2406="","",IF(MAX($E2406,$F2406,$G2406)&gt;1,"중복","-"))</f>
        <v/>
      </c>
      <c r="I2406" s="11" t="str">
        <f aca="false">IF($A2406="","",IF($H2406="-","-",IF(AND(IF(원본명단!$H2405="",TRUE(),COUNTIF(원본명단!$H$3:$H2405,원본명단!$H2405)=1),IF(원본명단!$I2405="",TRUE(),COUNTIF(원본명단!$I$3:$I2405,원본명단!$I2405)=1),IF(원본명단!$K2405="",TRUE(),COUNTIF(원본명단!$K$3:$K2405,원본명단!$K2405)=1)),"첫 건","중복 건")))</f>
        <v/>
      </c>
      <c r="J2406" s="11" t="str">
        <f aca="false">IF($A2406="","",IF($H2406="-","유지",IF($I2406="첫 건","유지","확인 필요")))</f>
        <v/>
      </c>
    </row>
    <row r="2407" customFormat="false" ht="15" hidden="false" customHeight="true" outlineLevel="0" collapsed="false">
      <c r="A2407" s="11" t="str">
        <f aca="false">IF(원본명단!$A2406="","",2404)</f>
        <v/>
      </c>
      <c r="B2407" s="12" t="str">
        <f aca="false">IF($A2407="","",원본명단!$A2406)</f>
        <v/>
      </c>
      <c r="C2407" s="12" t="str">
        <f aca="false">IF($A2407="","",원본명단!$B2406)</f>
        <v/>
      </c>
      <c r="D2407" s="12" t="str">
        <f aca="false">IF($A2407="","",원본명단!$D2406)</f>
        <v/>
      </c>
      <c r="E2407" s="11" t="str">
        <f aca="false">IF($A2407="","",IF(원본명단!$H2406="",0,COUNTIF(원본명단!$H$3:$H$6002,원본명단!$H2406)))</f>
        <v/>
      </c>
      <c r="F2407" s="11" t="str">
        <f aca="false">IF($A2407="","",IF(원본명단!$I2406="",0,COUNTIF(원본명단!$I$3:$I$6002,원본명단!$I2406)))</f>
        <v/>
      </c>
      <c r="G2407" s="11" t="str">
        <f aca="false">IF($A2407="","",IF(원본명단!$K2406="",0,COUNTIF(원본명단!$K$3:$K$6002,원본명단!$K2406)))</f>
        <v/>
      </c>
      <c r="H2407" s="11" t="str">
        <f aca="false">IF($A2407="","",IF(MAX($E2407,$F2407,$G2407)&gt;1,"중복","-"))</f>
        <v/>
      </c>
      <c r="I2407" s="11" t="str">
        <f aca="false">IF($A2407="","",IF($H2407="-","-",IF(AND(IF(원본명단!$H2406="",TRUE(),COUNTIF(원본명단!$H$3:$H2406,원본명단!$H2406)=1),IF(원본명단!$I2406="",TRUE(),COUNTIF(원본명단!$I$3:$I2406,원본명단!$I2406)=1),IF(원본명단!$K2406="",TRUE(),COUNTIF(원본명단!$K$3:$K2406,원본명단!$K2406)=1)),"첫 건","중복 건")))</f>
        <v/>
      </c>
      <c r="J2407" s="11" t="str">
        <f aca="false">IF($A2407="","",IF($H2407="-","유지",IF($I2407="첫 건","유지","확인 필요")))</f>
        <v/>
      </c>
    </row>
    <row r="2408" customFormat="false" ht="15" hidden="false" customHeight="true" outlineLevel="0" collapsed="false">
      <c r="A2408" s="11" t="str">
        <f aca="false">IF(원본명단!$A2407="","",2405)</f>
        <v/>
      </c>
      <c r="B2408" s="12" t="str">
        <f aca="false">IF($A2408="","",원본명단!$A2407)</f>
        <v/>
      </c>
      <c r="C2408" s="12" t="str">
        <f aca="false">IF($A2408="","",원본명단!$B2407)</f>
        <v/>
      </c>
      <c r="D2408" s="12" t="str">
        <f aca="false">IF($A2408="","",원본명단!$D2407)</f>
        <v/>
      </c>
      <c r="E2408" s="11" t="str">
        <f aca="false">IF($A2408="","",IF(원본명단!$H2407="",0,COUNTIF(원본명단!$H$3:$H$6002,원본명단!$H2407)))</f>
        <v/>
      </c>
      <c r="F2408" s="11" t="str">
        <f aca="false">IF($A2408="","",IF(원본명단!$I2407="",0,COUNTIF(원본명단!$I$3:$I$6002,원본명단!$I2407)))</f>
        <v/>
      </c>
      <c r="G2408" s="11" t="str">
        <f aca="false">IF($A2408="","",IF(원본명단!$K2407="",0,COUNTIF(원본명단!$K$3:$K$6002,원본명단!$K2407)))</f>
        <v/>
      </c>
      <c r="H2408" s="11" t="str">
        <f aca="false">IF($A2408="","",IF(MAX($E2408,$F2408,$G2408)&gt;1,"중복","-"))</f>
        <v/>
      </c>
      <c r="I2408" s="11" t="str">
        <f aca="false">IF($A2408="","",IF($H2408="-","-",IF(AND(IF(원본명단!$H2407="",TRUE(),COUNTIF(원본명단!$H$3:$H2407,원본명단!$H2407)=1),IF(원본명단!$I2407="",TRUE(),COUNTIF(원본명단!$I$3:$I2407,원본명단!$I2407)=1),IF(원본명단!$K2407="",TRUE(),COUNTIF(원본명단!$K$3:$K2407,원본명단!$K2407)=1)),"첫 건","중복 건")))</f>
        <v/>
      </c>
      <c r="J2408" s="11" t="str">
        <f aca="false">IF($A2408="","",IF($H2408="-","유지",IF($I2408="첫 건","유지","확인 필요")))</f>
        <v/>
      </c>
    </row>
    <row r="2409" customFormat="false" ht="15" hidden="false" customHeight="true" outlineLevel="0" collapsed="false">
      <c r="A2409" s="11" t="str">
        <f aca="false">IF(원본명단!$A2408="","",2406)</f>
        <v/>
      </c>
      <c r="B2409" s="12" t="str">
        <f aca="false">IF($A2409="","",원본명단!$A2408)</f>
        <v/>
      </c>
      <c r="C2409" s="12" t="str">
        <f aca="false">IF($A2409="","",원본명단!$B2408)</f>
        <v/>
      </c>
      <c r="D2409" s="12" t="str">
        <f aca="false">IF($A2409="","",원본명단!$D2408)</f>
        <v/>
      </c>
      <c r="E2409" s="11" t="str">
        <f aca="false">IF($A2409="","",IF(원본명단!$H2408="",0,COUNTIF(원본명단!$H$3:$H$6002,원본명단!$H2408)))</f>
        <v/>
      </c>
      <c r="F2409" s="11" t="str">
        <f aca="false">IF($A2409="","",IF(원본명단!$I2408="",0,COUNTIF(원본명단!$I$3:$I$6002,원본명단!$I2408)))</f>
        <v/>
      </c>
      <c r="G2409" s="11" t="str">
        <f aca="false">IF($A2409="","",IF(원본명단!$K2408="",0,COUNTIF(원본명단!$K$3:$K$6002,원본명단!$K2408)))</f>
        <v/>
      </c>
      <c r="H2409" s="11" t="str">
        <f aca="false">IF($A2409="","",IF(MAX($E2409,$F2409,$G2409)&gt;1,"중복","-"))</f>
        <v/>
      </c>
      <c r="I2409" s="11" t="str">
        <f aca="false">IF($A2409="","",IF($H2409="-","-",IF(AND(IF(원본명단!$H2408="",TRUE(),COUNTIF(원본명단!$H$3:$H2408,원본명단!$H2408)=1),IF(원본명단!$I2408="",TRUE(),COUNTIF(원본명단!$I$3:$I2408,원본명단!$I2408)=1),IF(원본명단!$K2408="",TRUE(),COUNTIF(원본명단!$K$3:$K2408,원본명단!$K2408)=1)),"첫 건","중복 건")))</f>
        <v/>
      </c>
      <c r="J2409" s="11" t="str">
        <f aca="false">IF($A2409="","",IF($H2409="-","유지",IF($I2409="첫 건","유지","확인 필요")))</f>
        <v/>
      </c>
    </row>
    <row r="2410" customFormat="false" ht="15" hidden="false" customHeight="true" outlineLevel="0" collapsed="false">
      <c r="A2410" s="11" t="str">
        <f aca="false">IF(원본명단!$A2409="","",2407)</f>
        <v/>
      </c>
      <c r="B2410" s="12" t="str">
        <f aca="false">IF($A2410="","",원본명단!$A2409)</f>
        <v/>
      </c>
      <c r="C2410" s="12" t="str">
        <f aca="false">IF($A2410="","",원본명단!$B2409)</f>
        <v/>
      </c>
      <c r="D2410" s="12" t="str">
        <f aca="false">IF($A2410="","",원본명단!$D2409)</f>
        <v/>
      </c>
      <c r="E2410" s="11" t="str">
        <f aca="false">IF($A2410="","",IF(원본명단!$H2409="",0,COUNTIF(원본명단!$H$3:$H$6002,원본명단!$H2409)))</f>
        <v/>
      </c>
      <c r="F2410" s="11" t="str">
        <f aca="false">IF($A2410="","",IF(원본명단!$I2409="",0,COUNTIF(원본명단!$I$3:$I$6002,원본명단!$I2409)))</f>
        <v/>
      </c>
      <c r="G2410" s="11" t="str">
        <f aca="false">IF($A2410="","",IF(원본명단!$K2409="",0,COUNTIF(원본명단!$K$3:$K$6002,원본명단!$K2409)))</f>
        <v/>
      </c>
      <c r="H2410" s="11" t="str">
        <f aca="false">IF($A2410="","",IF(MAX($E2410,$F2410,$G2410)&gt;1,"중복","-"))</f>
        <v/>
      </c>
      <c r="I2410" s="11" t="str">
        <f aca="false">IF($A2410="","",IF($H2410="-","-",IF(AND(IF(원본명단!$H2409="",TRUE(),COUNTIF(원본명단!$H$3:$H2409,원본명단!$H2409)=1),IF(원본명단!$I2409="",TRUE(),COUNTIF(원본명단!$I$3:$I2409,원본명단!$I2409)=1),IF(원본명단!$K2409="",TRUE(),COUNTIF(원본명단!$K$3:$K2409,원본명단!$K2409)=1)),"첫 건","중복 건")))</f>
        <v/>
      </c>
      <c r="J2410" s="11" t="str">
        <f aca="false">IF($A2410="","",IF($H2410="-","유지",IF($I2410="첫 건","유지","확인 필요")))</f>
        <v/>
      </c>
    </row>
    <row r="2411" customFormat="false" ht="15" hidden="false" customHeight="true" outlineLevel="0" collapsed="false">
      <c r="A2411" s="11" t="str">
        <f aca="false">IF(원본명단!$A2410="","",2408)</f>
        <v/>
      </c>
      <c r="B2411" s="12" t="str">
        <f aca="false">IF($A2411="","",원본명단!$A2410)</f>
        <v/>
      </c>
      <c r="C2411" s="12" t="str">
        <f aca="false">IF($A2411="","",원본명단!$B2410)</f>
        <v/>
      </c>
      <c r="D2411" s="12" t="str">
        <f aca="false">IF($A2411="","",원본명단!$D2410)</f>
        <v/>
      </c>
      <c r="E2411" s="11" t="str">
        <f aca="false">IF($A2411="","",IF(원본명단!$H2410="",0,COUNTIF(원본명단!$H$3:$H$6002,원본명단!$H2410)))</f>
        <v/>
      </c>
      <c r="F2411" s="11" t="str">
        <f aca="false">IF($A2411="","",IF(원본명단!$I2410="",0,COUNTIF(원본명단!$I$3:$I$6002,원본명단!$I2410)))</f>
        <v/>
      </c>
      <c r="G2411" s="11" t="str">
        <f aca="false">IF($A2411="","",IF(원본명단!$K2410="",0,COUNTIF(원본명단!$K$3:$K$6002,원본명단!$K2410)))</f>
        <v/>
      </c>
      <c r="H2411" s="11" t="str">
        <f aca="false">IF($A2411="","",IF(MAX($E2411,$F2411,$G2411)&gt;1,"중복","-"))</f>
        <v/>
      </c>
      <c r="I2411" s="11" t="str">
        <f aca="false">IF($A2411="","",IF($H2411="-","-",IF(AND(IF(원본명단!$H2410="",TRUE(),COUNTIF(원본명단!$H$3:$H2410,원본명단!$H2410)=1),IF(원본명단!$I2410="",TRUE(),COUNTIF(원본명단!$I$3:$I2410,원본명단!$I2410)=1),IF(원본명단!$K2410="",TRUE(),COUNTIF(원본명단!$K$3:$K2410,원본명단!$K2410)=1)),"첫 건","중복 건")))</f>
        <v/>
      </c>
      <c r="J2411" s="11" t="str">
        <f aca="false">IF($A2411="","",IF($H2411="-","유지",IF($I2411="첫 건","유지","확인 필요")))</f>
        <v/>
      </c>
    </row>
    <row r="2412" customFormat="false" ht="15" hidden="false" customHeight="true" outlineLevel="0" collapsed="false">
      <c r="A2412" s="11" t="str">
        <f aca="false">IF(원본명단!$A2411="","",2409)</f>
        <v/>
      </c>
      <c r="B2412" s="12" t="str">
        <f aca="false">IF($A2412="","",원본명단!$A2411)</f>
        <v/>
      </c>
      <c r="C2412" s="12" t="str">
        <f aca="false">IF($A2412="","",원본명단!$B2411)</f>
        <v/>
      </c>
      <c r="D2412" s="12" t="str">
        <f aca="false">IF($A2412="","",원본명단!$D2411)</f>
        <v/>
      </c>
      <c r="E2412" s="11" t="str">
        <f aca="false">IF($A2412="","",IF(원본명단!$H2411="",0,COUNTIF(원본명단!$H$3:$H$6002,원본명단!$H2411)))</f>
        <v/>
      </c>
      <c r="F2412" s="11" t="str">
        <f aca="false">IF($A2412="","",IF(원본명단!$I2411="",0,COUNTIF(원본명단!$I$3:$I$6002,원본명단!$I2411)))</f>
        <v/>
      </c>
      <c r="G2412" s="11" t="str">
        <f aca="false">IF($A2412="","",IF(원본명단!$K2411="",0,COUNTIF(원본명단!$K$3:$K$6002,원본명단!$K2411)))</f>
        <v/>
      </c>
      <c r="H2412" s="11" t="str">
        <f aca="false">IF($A2412="","",IF(MAX($E2412,$F2412,$G2412)&gt;1,"중복","-"))</f>
        <v/>
      </c>
      <c r="I2412" s="11" t="str">
        <f aca="false">IF($A2412="","",IF($H2412="-","-",IF(AND(IF(원본명단!$H2411="",TRUE(),COUNTIF(원본명단!$H$3:$H2411,원본명단!$H2411)=1),IF(원본명단!$I2411="",TRUE(),COUNTIF(원본명단!$I$3:$I2411,원본명단!$I2411)=1),IF(원본명단!$K2411="",TRUE(),COUNTIF(원본명단!$K$3:$K2411,원본명단!$K2411)=1)),"첫 건","중복 건")))</f>
        <v/>
      </c>
      <c r="J2412" s="11" t="str">
        <f aca="false">IF($A2412="","",IF($H2412="-","유지",IF($I2412="첫 건","유지","확인 필요")))</f>
        <v/>
      </c>
    </row>
    <row r="2413" customFormat="false" ht="15" hidden="false" customHeight="true" outlineLevel="0" collapsed="false">
      <c r="A2413" s="11" t="str">
        <f aca="false">IF(원본명단!$A2412="","",2410)</f>
        <v/>
      </c>
      <c r="B2413" s="12" t="str">
        <f aca="false">IF($A2413="","",원본명단!$A2412)</f>
        <v/>
      </c>
      <c r="C2413" s="12" t="str">
        <f aca="false">IF($A2413="","",원본명단!$B2412)</f>
        <v/>
      </c>
      <c r="D2413" s="12" t="str">
        <f aca="false">IF($A2413="","",원본명단!$D2412)</f>
        <v/>
      </c>
      <c r="E2413" s="11" t="str">
        <f aca="false">IF($A2413="","",IF(원본명단!$H2412="",0,COUNTIF(원본명단!$H$3:$H$6002,원본명단!$H2412)))</f>
        <v/>
      </c>
      <c r="F2413" s="11" t="str">
        <f aca="false">IF($A2413="","",IF(원본명단!$I2412="",0,COUNTIF(원본명단!$I$3:$I$6002,원본명단!$I2412)))</f>
        <v/>
      </c>
      <c r="G2413" s="11" t="str">
        <f aca="false">IF($A2413="","",IF(원본명단!$K2412="",0,COUNTIF(원본명단!$K$3:$K$6002,원본명단!$K2412)))</f>
        <v/>
      </c>
      <c r="H2413" s="11" t="str">
        <f aca="false">IF($A2413="","",IF(MAX($E2413,$F2413,$G2413)&gt;1,"중복","-"))</f>
        <v/>
      </c>
      <c r="I2413" s="11" t="str">
        <f aca="false">IF($A2413="","",IF($H2413="-","-",IF(AND(IF(원본명단!$H2412="",TRUE(),COUNTIF(원본명단!$H$3:$H2412,원본명단!$H2412)=1),IF(원본명단!$I2412="",TRUE(),COUNTIF(원본명단!$I$3:$I2412,원본명단!$I2412)=1),IF(원본명단!$K2412="",TRUE(),COUNTIF(원본명단!$K$3:$K2412,원본명단!$K2412)=1)),"첫 건","중복 건")))</f>
        <v/>
      </c>
      <c r="J2413" s="11" t="str">
        <f aca="false">IF($A2413="","",IF($H2413="-","유지",IF($I2413="첫 건","유지","확인 필요")))</f>
        <v/>
      </c>
    </row>
    <row r="2414" customFormat="false" ht="15" hidden="false" customHeight="true" outlineLevel="0" collapsed="false">
      <c r="A2414" s="11" t="str">
        <f aca="false">IF(원본명단!$A2413="","",2411)</f>
        <v/>
      </c>
      <c r="B2414" s="12" t="str">
        <f aca="false">IF($A2414="","",원본명단!$A2413)</f>
        <v/>
      </c>
      <c r="C2414" s="12" t="str">
        <f aca="false">IF($A2414="","",원본명단!$B2413)</f>
        <v/>
      </c>
      <c r="D2414" s="12" t="str">
        <f aca="false">IF($A2414="","",원본명단!$D2413)</f>
        <v/>
      </c>
      <c r="E2414" s="11" t="str">
        <f aca="false">IF($A2414="","",IF(원본명단!$H2413="",0,COUNTIF(원본명단!$H$3:$H$6002,원본명단!$H2413)))</f>
        <v/>
      </c>
      <c r="F2414" s="11" t="str">
        <f aca="false">IF($A2414="","",IF(원본명단!$I2413="",0,COUNTIF(원본명단!$I$3:$I$6002,원본명단!$I2413)))</f>
        <v/>
      </c>
      <c r="G2414" s="11" t="str">
        <f aca="false">IF($A2414="","",IF(원본명단!$K2413="",0,COUNTIF(원본명단!$K$3:$K$6002,원본명단!$K2413)))</f>
        <v/>
      </c>
      <c r="H2414" s="11" t="str">
        <f aca="false">IF($A2414="","",IF(MAX($E2414,$F2414,$G2414)&gt;1,"중복","-"))</f>
        <v/>
      </c>
      <c r="I2414" s="11" t="str">
        <f aca="false">IF($A2414="","",IF($H2414="-","-",IF(AND(IF(원본명단!$H2413="",TRUE(),COUNTIF(원본명단!$H$3:$H2413,원본명단!$H2413)=1),IF(원본명단!$I2413="",TRUE(),COUNTIF(원본명단!$I$3:$I2413,원본명단!$I2413)=1),IF(원본명단!$K2413="",TRUE(),COUNTIF(원본명단!$K$3:$K2413,원본명단!$K2413)=1)),"첫 건","중복 건")))</f>
        <v/>
      </c>
      <c r="J2414" s="11" t="str">
        <f aca="false">IF($A2414="","",IF($H2414="-","유지",IF($I2414="첫 건","유지","확인 필요")))</f>
        <v/>
      </c>
    </row>
    <row r="2415" customFormat="false" ht="15" hidden="false" customHeight="true" outlineLevel="0" collapsed="false">
      <c r="A2415" s="11" t="str">
        <f aca="false">IF(원본명단!$A2414="","",2412)</f>
        <v/>
      </c>
      <c r="B2415" s="12" t="str">
        <f aca="false">IF($A2415="","",원본명단!$A2414)</f>
        <v/>
      </c>
      <c r="C2415" s="12" t="str">
        <f aca="false">IF($A2415="","",원본명단!$B2414)</f>
        <v/>
      </c>
      <c r="D2415" s="12" t="str">
        <f aca="false">IF($A2415="","",원본명단!$D2414)</f>
        <v/>
      </c>
      <c r="E2415" s="11" t="str">
        <f aca="false">IF($A2415="","",IF(원본명단!$H2414="",0,COUNTIF(원본명단!$H$3:$H$6002,원본명단!$H2414)))</f>
        <v/>
      </c>
      <c r="F2415" s="11" t="str">
        <f aca="false">IF($A2415="","",IF(원본명단!$I2414="",0,COUNTIF(원본명단!$I$3:$I$6002,원본명단!$I2414)))</f>
        <v/>
      </c>
      <c r="G2415" s="11" t="str">
        <f aca="false">IF($A2415="","",IF(원본명단!$K2414="",0,COUNTIF(원본명단!$K$3:$K$6002,원본명단!$K2414)))</f>
        <v/>
      </c>
      <c r="H2415" s="11" t="str">
        <f aca="false">IF($A2415="","",IF(MAX($E2415,$F2415,$G2415)&gt;1,"중복","-"))</f>
        <v/>
      </c>
      <c r="I2415" s="11" t="str">
        <f aca="false">IF($A2415="","",IF($H2415="-","-",IF(AND(IF(원본명단!$H2414="",TRUE(),COUNTIF(원본명단!$H$3:$H2414,원본명단!$H2414)=1),IF(원본명단!$I2414="",TRUE(),COUNTIF(원본명단!$I$3:$I2414,원본명단!$I2414)=1),IF(원본명단!$K2414="",TRUE(),COUNTIF(원본명단!$K$3:$K2414,원본명단!$K2414)=1)),"첫 건","중복 건")))</f>
        <v/>
      </c>
      <c r="J2415" s="11" t="str">
        <f aca="false">IF($A2415="","",IF($H2415="-","유지",IF($I2415="첫 건","유지","확인 필요")))</f>
        <v/>
      </c>
    </row>
    <row r="2416" customFormat="false" ht="15" hidden="false" customHeight="true" outlineLevel="0" collapsed="false">
      <c r="A2416" s="11" t="str">
        <f aca="false">IF(원본명단!$A2415="","",2413)</f>
        <v/>
      </c>
      <c r="B2416" s="12" t="str">
        <f aca="false">IF($A2416="","",원본명단!$A2415)</f>
        <v/>
      </c>
      <c r="C2416" s="12" t="str">
        <f aca="false">IF($A2416="","",원본명단!$B2415)</f>
        <v/>
      </c>
      <c r="D2416" s="12" t="str">
        <f aca="false">IF($A2416="","",원본명단!$D2415)</f>
        <v/>
      </c>
      <c r="E2416" s="11" t="str">
        <f aca="false">IF($A2416="","",IF(원본명단!$H2415="",0,COUNTIF(원본명단!$H$3:$H$6002,원본명단!$H2415)))</f>
        <v/>
      </c>
      <c r="F2416" s="11" t="str">
        <f aca="false">IF($A2416="","",IF(원본명단!$I2415="",0,COUNTIF(원본명단!$I$3:$I$6002,원본명단!$I2415)))</f>
        <v/>
      </c>
      <c r="G2416" s="11" t="str">
        <f aca="false">IF($A2416="","",IF(원본명단!$K2415="",0,COUNTIF(원본명단!$K$3:$K$6002,원본명단!$K2415)))</f>
        <v/>
      </c>
      <c r="H2416" s="11" t="str">
        <f aca="false">IF($A2416="","",IF(MAX($E2416,$F2416,$G2416)&gt;1,"중복","-"))</f>
        <v/>
      </c>
      <c r="I2416" s="11" t="str">
        <f aca="false">IF($A2416="","",IF($H2416="-","-",IF(AND(IF(원본명단!$H2415="",TRUE(),COUNTIF(원본명단!$H$3:$H2415,원본명단!$H2415)=1),IF(원본명단!$I2415="",TRUE(),COUNTIF(원본명단!$I$3:$I2415,원본명단!$I2415)=1),IF(원본명단!$K2415="",TRUE(),COUNTIF(원본명단!$K$3:$K2415,원본명단!$K2415)=1)),"첫 건","중복 건")))</f>
        <v/>
      </c>
      <c r="J2416" s="11" t="str">
        <f aca="false">IF($A2416="","",IF($H2416="-","유지",IF($I2416="첫 건","유지","확인 필요")))</f>
        <v/>
      </c>
    </row>
    <row r="2417" customFormat="false" ht="15" hidden="false" customHeight="true" outlineLevel="0" collapsed="false">
      <c r="A2417" s="11" t="str">
        <f aca="false">IF(원본명단!$A2416="","",2414)</f>
        <v/>
      </c>
      <c r="B2417" s="12" t="str">
        <f aca="false">IF($A2417="","",원본명단!$A2416)</f>
        <v/>
      </c>
      <c r="C2417" s="12" t="str">
        <f aca="false">IF($A2417="","",원본명단!$B2416)</f>
        <v/>
      </c>
      <c r="D2417" s="12" t="str">
        <f aca="false">IF($A2417="","",원본명단!$D2416)</f>
        <v/>
      </c>
      <c r="E2417" s="11" t="str">
        <f aca="false">IF($A2417="","",IF(원본명단!$H2416="",0,COUNTIF(원본명단!$H$3:$H$6002,원본명단!$H2416)))</f>
        <v/>
      </c>
      <c r="F2417" s="11" t="str">
        <f aca="false">IF($A2417="","",IF(원본명단!$I2416="",0,COUNTIF(원본명단!$I$3:$I$6002,원본명단!$I2416)))</f>
        <v/>
      </c>
      <c r="G2417" s="11" t="str">
        <f aca="false">IF($A2417="","",IF(원본명단!$K2416="",0,COUNTIF(원본명단!$K$3:$K$6002,원본명단!$K2416)))</f>
        <v/>
      </c>
      <c r="H2417" s="11" t="str">
        <f aca="false">IF($A2417="","",IF(MAX($E2417,$F2417,$G2417)&gt;1,"중복","-"))</f>
        <v/>
      </c>
      <c r="I2417" s="11" t="str">
        <f aca="false">IF($A2417="","",IF($H2417="-","-",IF(AND(IF(원본명단!$H2416="",TRUE(),COUNTIF(원본명단!$H$3:$H2416,원본명단!$H2416)=1),IF(원본명단!$I2416="",TRUE(),COUNTIF(원본명단!$I$3:$I2416,원본명단!$I2416)=1),IF(원본명단!$K2416="",TRUE(),COUNTIF(원본명단!$K$3:$K2416,원본명단!$K2416)=1)),"첫 건","중복 건")))</f>
        <v/>
      </c>
      <c r="J2417" s="11" t="str">
        <f aca="false">IF($A2417="","",IF($H2417="-","유지",IF($I2417="첫 건","유지","확인 필요")))</f>
        <v/>
      </c>
    </row>
    <row r="2418" customFormat="false" ht="15" hidden="false" customHeight="true" outlineLevel="0" collapsed="false">
      <c r="A2418" s="11" t="str">
        <f aca="false">IF(원본명단!$A2417="","",2415)</f>
        <v/>
      </c>
      <c r="B2418" s="12" t="str">
        <f aca="false">IF($A2418="","",원본명단!$A2417)</f>
        <v/>
      </c>
      <c r="C2418" s="12" t="str">
        <f aca="false">IF($A2418="","",원본명단!$B2417)</f>
        <v/>
      </c>
      <c r="D2418" s="12" t="str">
        <f aca="false">IF($A2418="","",원본명단!$D2417)</f>
        <v/>
      </c>
      <c r="E2418" s="11" t="str">
        <f aca="false">IF($A2418="","",IF(원본명단!$H2417="",0,COUNTIF(원본명단!$H$3:$H$6002,원본명단!$H2417)))</f>
        <v/>
      </c>
      <c r="F2418" s="11" t="str">
        <f aca="false">IF($A2418="","",IF(원본명단!$I2417="",0,COUNTIF(원본명단!$I$3:$I$6002,원본명단!$I2417)))</f>
        <v/>
      </c>
      <c r="G2418" s="11" t="str">
        <f aca="false">IF($A2418="","",IF(원본명단!$K2417="",0,COUNTIF(원본명단!$K$3:$K$6002,원본명단!$K2417)))</f>
        <v/>
      </c>
      <c r="H2418" s="11" t="str">
        <f aca="false">IF($A2418="","",IF(MAX($E2418,$F2418,$G2418)&gt;1,"중복","-"))</f>
        <v/>
      </c>
      <c r="I2418" s="11" t="str">
        <f aca="false">IF($A2418="","",IF($H2418="-","-",IF(AND(IF(원본명단!$H2417="",TRUE(),COUNTIF(원본명단!$H$3:$H2417,원본명단!$H2417)=1),IF(원본명단!$I2417="",TRUE(),COUNTIF(원본명단!$I$3:$I2417,원본명단!$I2417)=1),IF(원본명단!$K2417="",TRUE(),COUNTIF(원본명단!$K$3:$K2417,원본명단!$K2417)=1)),"첫 건","중복 건")))</f>
        <v/>
      </c>
      <c r="J2418" s="11" t="str">
        <f aca="false">IF($A2418="","",IF($H2418="-","유지",IF($I2418="첫 건","유지","확인 필요")))</f>
        <v/>
      </c>
    </row>
    <row r="2419" customFormat="false" ht="15" hidden="false" customHeight="true" outlineLevel="0" collapsed="false">
      <c r="A2419" s="11" t="str">
        <f aca="false">IF(원본명단!$A2418="","",2416)</f>
        <v/>
      </c>
      <c r="B2419" s="12" t="str">
        <f aca="false">IF($A2419="","",원본명단!$A2418)</f>
        <v/>
      </c>
      <c r="C2419" s="12" t="str">
        <f aca="false">IF($A2419="","",원본명단!$B2418)</f>
        <v/>
      </c>
      <c r="D2419" s="12" t="str">
        <f aca="false">IF($A2419="","",원본명단!$D2418)</f>
        <v/>
      </c>
      <c r="E2419" s="11" t="str">
        <f aca="false">IF($A2419="","",IF(원본명단!$H2418="",0,COUNTIF(원본명단!$H$3:$H$6002,원본명단!$H2418)))</f>
        <v/>
      </c>
      <c r="F2419" s="11" t="str">
        <f aca="false">IF($A2419="","",IF(원본명단!$I2418="",0,COUNTIF(원본명단!$I$3:$I$6002,원본명단!$I2418)))</f>
        <v/>
      </c>
      <c r="G2419" s="11" t="str">
        <f aca="false">IF($A2419="","",IF(원본명단!$K2418="",0,COUNTIF(원본명단!$K$3:$K$6002,원본명단!$K2418)))</f>
        <v/>
      </c>
      <c r="H2419" s="11" t="str">
        <f aca="false">IF($A2419="","",IF(MAX($E2419,$F2419,$G2419)&gt;1,"중복","-"))</f>
        <v/>
      </c>
      <c r="I2419" s="11" t="str">
        <f aca="false">IF($A2419="","",IF($H2419="-","-",IF(AND(IF(원본명단!$H2418="",TRUE(),COUNTIF(원본명단!$H$3:$H2418,원본명단!$H2418)=1),IF(원본명단!$I2418="",TRUE(),COUNTIF(원본명단!$I$3:$I2418,원본명단!$I2418)=1),IF(원본명단!$K2418="",TRUE(),COUNTIF(원본명단!$K$3:$K2418,원본명단!$K2418)=1)),"첫 건","중복 건")))</f>
        <v/>
      </c>
      <c r="J2419" s="11" t="str">
        <f aca="false">IF($A2419="","",IF($H2419="-","유지",IF($I2419="첫 건","유지","확인 필요")))</f>
        <v/>
      </c>
    </row>
    <row r="2420" customFormat="false" ht="15" hidden="false" customHeight="true" outlineLevel="0" collapsed="false">
      <c r="A2420" s="11" t="str">
        <f aca="false">IF(원본명단!$A2419="","",2417)</f>
        <v/>
      </c>
      <c r="B2420" s="12" t="str">
        <f aca="false">IF($A2420="","",원본명단!$A2419)</f>
        <v/>
      </c>
      <c r="C2420" s="12" t="str">
        <f aca="false">IF($A2420="","",원본명단!$B2419)</f>
        <v/>
      </c>
      <c r="D2420" s="12" t="str">
        <f aca="false">IF($A2420="","",원본명단!$D2419)</f>
        <v/>
      </c>
      <c r="E2420" s="11" t="str">
        <f aca="false">IF($A2420="","",IF(원본명단!$H2419="",0,COUNTIF(원본명단!$H$3:$H$6002,원본명단!$H2419)))</f>
        <v/>
      </c>
      <c r="F2420" s="11" t="str">
        <f aca="false">IF($A2420="","",IF(원본명단!$I2419="",0,COUNTIF(원본명단!$I$3:$I$6002,원본명단!$I2419)))</f>
        <v/>
      </c>
      <c r="G2420" s="11" t="str">
        <f aca="false">IF($A2420="","",IF(원본명단!$K2419="",0,COUNTIF(원본명단!$K$3:$K$6002,원본명단!$K2419)))</f>
        <v/>
      </c>
      <c r="H2420" s="11" t="str">
        <f aca="false">IF($A2420="","",IF(MAX($E2420,$F2420,$G2420)&gt;1,"중복","-"))</f>
        <v/>
      </c>
      <c r="I2420" s="11" t="str">
        <f aca="false">IF($A2420="","",IF($H2420="-","-",IF(AND(IF(원본명단!$H2419="",TRUE(),COUNTIF(원본명단!$H$3:$H2419,원본명단!$H2419)=1),IF(원본명단!$I2419="",TRUE(),COUNTIF(원본명단!$I$3:$I2419,원본명단!$I2419)=1),IF(원본명단!$K2419="",TRUE(),COUNTIF(원본명단!$K$3:$K2419,원본명단!$K2419)=1)),"첫 건","중복 건")))</f>
        <v/>
      </c>
      <c r="J2420" s="11" t="str">
        <f aca="false">IF($A2420="","",IF($H2420="-","유지",IF($I2420="첫 건","유지","확인 필요")))</f>
        <v/>
      </c>
    </row>
    <row r="2421" customFormat="false" ht="15" hidden="false" customHeight="true" outlineLevel="0" collapsed="false">
      <c r="A2421" s="11" t="str">
        <f aca="false">IF(원본명단!$A2420="","",2418)</f>
        <v/>
      </c>
      <c r="B2421" s="12" t="str">
        <f aca="false">IF($A2421="","",원본명단!$A2420)</f>
        <v/>
      </c>
      <c r="C2421" s="12" t="str">
        <f aca="false">IF($A2421="","",원본명단!$B2420)</f>
        <v/>
      </c>
      <c r="D2421" s="12" t="str">
        <f aca="false">IF($A2421="","",원본명단!$D2420)</f>
        <v/>
      </c>
      <c r="E2421" s="11" t="str">
        <f aca="false">IF($A2421="","",IF(원본명단!$H2420="",0,COUNTIF(원본명단!$H$3:$H$6002,원본명단!$H2420)))</f>
        <v/>
      </c>
      <c r="F2421" s="11" t="str">
        <f aca="false">IF($A2421="","",IF(원본명단!$I2420="",0,COUNTIF(원본명단!$I$3:$I$6002,원본명단!$I2420)))</f>
        <v/>
      </c>
      <c r="G2421" s="11" t="str">
        <f aca="false">IF($A2421="","",IF(원본명단!$K2420="",0,COUNTIF(원본명단!$K$3:$K$6002,원본명단!$K2420)))</f>
        <v/>
      </c>
      <c r="H2421" s="11" t="str">
        <f aca="false">IF($A2421="","",IF(MAX($E2421,$F2421,$G2421)&gt;1,"중복","-"))</f>
        <v/>
      </c>
      <c r="I2421" s="11" t="str">
        <f aca="false">IF($A2421="","",IF($H2421="-","-",IF(AND(IF(원본명단!$H2420="",TRUE(),COUNTIF(원본명단!$H$3:$H2420,원본명단!$H2420)=1),IF(원본명단!$I2420="",TRUE(),COUNTIF(원본명단!$I$3:$I2420,원본명단!$I2420)=1),IF(원본명단!$K2420="",TRUE(),COUNTIF(원본명단!$K$3:$K2420,원본명단!$K2420)=1)),"첫 건","중복 건")))</f>
        <v/>
      </c>
      <c r="J2421" s="11" t="str">
        <f aca="false">IF($A2421="","",IF($H2421="-","유지",IF($I2421="첫 건","유지","확인 필요")))</f>
        <v/>
      </c>
    </row>
    <row r="2422" customFormat="false" ht="15" hidden="false" customHeight="true" outlineLevel="0" collapsed="false">
      <c r="A2422" s="11" t="str">
        <f aca="false">IF(원본명단!$A2421="","",2419)</f>
        <v/>
      </c>
      <c r="B2422" s="12" t="str">
        <f aca="false">IF($A2422="","",원본명단!$A2421)</f>
        <v/>
      </c>
      <c r="C2422" s="12" t="str">
        <f aca="false">IF($A2422="","",원본명단!$B2421)</f>
        <v/>
      </c>
      <c r="D2422" s="12" t="str">
        <f aca="false">IF($A2422="","",원본명단!$D2421)</f>
        <v/>
      </c>
      <c r="E2422" s="11" t="str">
        <f aca="false">IF($A2422="","",IF(원본명단!$H2421="",0,COUNTIF(원본명단!$H$3:$H$6002,원본명단!$H2421)))</f>
        <v/>
      </c>
      <c r="F2422" s="11" t="str">
        <f aca="false">IF($A2422="","",IF(원본명단!$I2421="",0,COUNTIF(원본명단!$I$3:$I$6002,원본명단!$I2421)))</f>
        <v/>
      </c>
      <c r="G2422" s="11" t="str">
        <f aca="false">IF($A2422="","",IF(원본명단!$K2421="",0,COUNTIF(원본명단!$K$3:$K$6002,원본명단!$K2421)))</f>
        <v/>
      </c>
      <c r="H2422" s="11" t="str">
        <f aca="false">IF($A2422="","",IF(MAX($E2422,$F2422,$G2422)&gt;1,"중복","-"))</f>
        <v/>
      </c>
      <c r="I2422" s="11" t="str">
        <f aca="false">IF($A2422="","",IF($H2422="-","-",IF(AND(IF(원본명단!$H2421="",TRUE(),COUNTIF(원본명단!$H$3:$H2421,원본명단!$H2421)=1),IF(원본명단!$I2421="",TRUE(),COUNTIF(원본명단!$I$3:$I2421,원본명단!$I2421)=1),IF(원본명단!$K2421="",TRUE(),COUNTIF(원본명단!$K$3:$K2421,원본명단!$K2421)=1)),"첫 건","중복 건")))</f>
        <v/>
      </c>
      <c r="J2422" s="11" t="str">
        <f aca="false">IF($A2422="","",IF($H2422="-","유지",IF($I2422="첫 건","유지","확인 필요")))</f>
        <v/>
      </c>
    </row>
    <row r="2423" customFormat="false" ht="15" hidden="false" customHeight="true" outlineLevel="0" collapsed="false">
      <c r="A2423" s="11" t="str">
        <f aca="false">IF(원본명단!$A2422="","",2420)</f>
        <v/>
      </c>
      <c r="B2423" s="12" t="str">
        <f aca="false">IF($A2423="","",원본명단!$A2422)</f>
        <v/>
      </c>
      <c r="C2423" s="12" t="str">
        <f aca="false">IF($A2423="","",원본명단!$B2422)</f>
        <v/>
      </c>
      <c r="D2423" s="12" t="str">
        <f aca="false">IF($A2423="","",원본명단!$D2422)</f>
        <v/>
      </c>
      <c r="E2423" s="11" t="str">
        <f aca="false">IF($A2423="","",IF(원본명단!$H2422="",0,COUNTIF(원본명단!$H$3:$H$6002,원본명단!$H2422)))</f>
        <v/>
      </c>
      <c r="F2423" s="11" t="str">
        <f aca="false">IF($A2423="","",IF(원본명단!$I2422="",0,COUNTIF(원본명단!$I$3:$I$6002,원본명단!$I2422)))</f>
        <v/>
      </c>
      <c r="G2423" s="11" t="str">
        <f aca="false">IF($A2423="","",IF(원본명단!$K2422="",0,COUNTIF(원본명단!$K$3:$K$6002,원본명단!$K2422)))</f>
        <v/>
      </c>
      <c r="H2423" s="11" t="str">
        <f aca="false">IF($A2423="","",IF(MAX($E2423,$F2423,$G2423)&gt;1,"중복","-"))</f>
        <v/>
      </c>
      <c r="I2423" s="11" t="str">
        <f aca="false">IF($A2423="","",IF($H2423="-","-",IF(AND(IF(원본명단!$H2422="",TRUE(),COUNTIF(원본명단!$H$3:$H2422,원본명단!$H2422)=1),IF(원본명단!$I2422="",TRUE(),COUNTIF(원본명단!$I$3:$I2422,원본명단!$I2422)=1),IF(원본명단!$K2422="",TRUE(),COUNTIF(원본명단!$K$3:$K2422,원본명단!$K2422)=1)),"첫 건","중복 건")))</f>
        <v/>
      </c>
      <c r="J2423" s="11" t="str">
        <f aca="false">IF($A2423="","",IF($H2423="-","유지",IF($I2423="첫 건","유지","확인 필요")))</f>
        <v/>
      </c>
    </row>
    <row r="2424" customFormat="false" ht="15" hidden="false" customHeight="true" outlineLevel="0" collapsed="false">
      <c r="A2424" s="11" t="str">
        <f aca="false">IF(원본명단!$A2423="","",2421)</f>
        <v/>
      </c>
      <c r="B2424" s="12" t="str">
        <f aca="false">IF($A2424="","",원본명단!$A2423)</f>
        <v/>
      </c>
      <c r="C2424" s="12" t="str">
        <f aca="false">IF($A2424="","",원본명단!$B2423)</f>
        <v/>
      </c>
      <c r="D2424" s="12" t="str">
        <f aca="false">IF($A2424="","",원본명단!$D2423)</f>
        <v/>
      </c>
      <c r="E2424" s="11" t="str">
        <f aca="false">IF($A2424="","",IF(원본명단!$H2423="",0,COUNTIF(원본명단!$H$3:$H$6002,원본명단!$H2423)))</f>
        <v/>
      </c>
      <c r="F2424" s="11" t="str">
        <f aca="false">IF($A2424="","",IF(원본명단!$I2423="",0,COUNTIF(원본명단!$I$3:$I$6002,원본명단!$I2423)))</f>
        <v/>
      </c>
      <c r="G2424" s="11" t="str">
        <f aca="false">IF($A2424="","",IF(원본명단!$K2423="",0,COUNTIF(원본명단!$K$3:$K$6002,원본명단!$K2423)))</f>
        <v/>
      </c>
      <c r="H2424" s="11" t="str">
        <f aca="false">IF($A2424="","",IF(MAX($E2424,$F2424,$G2424)&gt;1,"중복","-"))</f>
        <v/>
      </c>
      <c r="I2424" s="11" t="str">
        <f aca="false">IF($A2424="","",IF($H2424="-","-",IF(AND(IF(원본명단!$H2423="",TRUE(),COUNTIF(원본명단!$H$3:$H2423,원본명단!$H2423)=1),IF(원본명단!$I2423="",TRUE(),COUNTIF(원본명단!$I$3:$I2423,원본명단!$I2423)=1),IF(원본명단!$K2423="",TRUE(),COUNTIF(원본명단!$K$3:$K2423,원본명단!$K2423)=1)),"첫 건","중복 건")))</f>
        <v/>
      </c>
      <c r="J2424" s="11" t="str">
        <f aca="false">IF($A2424="","",IF($H2424="-","유지",IF($I2424="첫 건","유지","확인 필요")))</f>
        <v/>
      </c>
    </row>
    <row r="2425" customFormat="false" ht="15" hidden="false" customHeight="true" outlineLevel="0" collapsed="false">
      <c r="A2425" s="11" t="str">
        <f aca="false">IF(원본명단!$A2424="","",2422)</f>
        <v/>
      </c>
      <c r="B2425" s="12" t="str">
        <f aca="false">IF($A2425="","",원본명단!$A2424)</f>
        <v/>
      </c>
      <c r="C2425" s="12" t="str">
        <f aca="false">IF($A2425="","",원본명단!$B2424)</f>
        <v/>
      </c>
      <c r="D2425" s="12" t="str">
        <f aca="false">IF($A2425="","",원본명단!$D2424)</f>
        <v/>
      </c>
      <c r="E2425" s="11" t="str">
        <f aca="false">IF($A2425="","",IF(원본명단!$H2424="",0,COUNTIF(원본명단!$H$3:$H$6002,원본명단!$H2424)))</f>
        <v/>
      </c>
      <c r="F2425" s="11" t="str">
        <f aca="false">IF($A2425="","",IF(원본명단!$I2424="",0,COUNTIF(원본명단!$I$3:$I$6002,원본명단!$I2424)))</f>
        <v/>
      </c>
      <c r="G2425" s="11" t="str">
        <f aca="false">IF($A2425="","",IF(원본명단!$K2424="",0,COUNTIF(원본명단!$K$3:$K$6002,원본명단!$K2424)))</f>
        <v/>
      </c>
      <c r="H2425" s="11" t="str">
        <f aca="false">IF($A2425="","",IF(MAX($E2425,$F2425,$G2425)&gt;1,"중복","-"))</f>
        <v/>
      </c>
      <c r="I2425" s="11" t="str">
        <f aca="false">IF($A2425="","",IF($H2425="-","-",IF(AND(IF(원본명단!$H2424="",TRUE(),COUNTIF(원본명단!$H$3:$H2424,원본명단!$H2424)=1),IF(원본명단!$I2424="",TRUE(),COUNTIF(원본명단!$I$3:$I2424,원본명단!$I2424)=1),IF(원본명단!$K2424="",TRUE(),COUNTIF(원본명단!$K$3:$K2424,원본명단!$K2424)=1)),"첫 건","중복 건")))</f>
        <v/>
      </c>
      <c r="J2425" s="11" t="str">
        <f aca="false">IF($A2425="","",IF($H2425="-","유지",IF($I2425="첫 건","유지","확인 필요")))</f>
        <v/>
      </c>
    </row>
    <row r="2426" customFormat="false" ht="15" hidden="false" customHeight="true" outlineLevel="0" collapsed="false">
      <c r="A2426" s="11" t="str">
        <f aca="false">IF(원본명단!$A2425="","",2423)</f>
        <v/>
      </c>
      <c r="B2426" s="12" t="str">
        <f aca="false">IF($A2426="","",원본명단!$A2425)</f>
        <v/>
      </c>
      <c r="C2426" s="12" t="str">
        <f aca="false">IF($A2426="","",원본명단!$B2425)</f>
        <v/>
      </c>
      <c r="D2426" s="12" t="str">
        <f aca="false">IF($A2426="","",원본명단!$D2425)</f>
        <v/>
      </c>
      <c r="E2426" s="11" t="str">
        <f aca="false">IF($A2426="","",IF(원본명단!$H2425="",0,COUNTIF(원본명단!$H$3:$H$6002,원본명단!$H2425)))</f>
        <v/>
      </c>
      <c r="F2426" s="11" t="str">
        <f aca="false">IF($A2426="","",IF(원본명단!$I2425="",0,COUNTIF(원본명단!$I$3:$I$6002,원본명단!$I2425)))</f>
        <v/>
      </c>
      <c r="G2426" s="11" t="str">
        <f aca="false">IF($A2426="","",IF(원본명단!$K2425="",0,COUNTIF(원본명단!$K$3:$K$6002,원본명단!$K2425)))</f>
        <v/>
      </c>
      <c r="H2426" s="11" t="str">
        <f aca="false">IF($A2426="","",IF(MAX($E2426,$F2426,$G2426)&gt;1,"중복","-"))</f>
        <v/>
      </c>
      <c r="I2426" s="11" t="str">
        <f aca="false">IF($A2426="","",IF($H2426="-","-",IF(AND(IF(원본명단!$H2425="",TRUE(),COUNTIF(원본명단!$H$3:$H2425,원본명단!$H2425)=1),IF(원본명단!$I2425="",TRUE(),COUNTIF(원본명단!$I$3:$I2425,원본명단!$I2425)=1),IF(원본명단!$K2425="",TRUE(),COUNTIF(원본명단!$K$3:$K2425,원본명단!$K2425)=1)),"첫 건","중복 건")))</f>
        <v/>
      </c>
      <c r="J2426" s="11" t="str">
        <f aca="false">IF($A2426="","",IF($H2426="-","유지",IF($I2426="첫 건","유지","확인 필요")))</f>
        <v/>
      </c>
    </row>
    <row r="2427" customFormat="false" ht="15" hidden="false" customHeight="true" outlineLevel="0" collapsed="false">
      <c r="A2427" s="11" t="str">
        <f aca="false">IF(원본명단!$A2426="","",2424)</f>
        <v/>
      </c>
      <c r="B2427" s="12" t="str">
        <f aca="false">IF($A2427="","",원본명단!$A2426)</f>
        <v/>
      </c>
      <c r="C2427" s="12" t="str">
        <f aca="false">IF($A2427="","",원본명단!$B2426)</f>
        <v/>
      </c>
      <c r="D2427" s="12" t="str">
        <f aca="false">IF($A2427="","",원본명단!$D2426)</f>
        <v/>
      </c>
      <c r="E2427" s="11" t="str">
        <f aca="false">IF($A2427="","",IF(원본명단!$H2426="",0,COUNTIF(원본명단!$H$3:$H$6002,원본명단!$H2426)))</f>
        <v/>
      </c>
      <c r="F2427" s="11" t="str">
        <f aca="false">IF($A2427="","",IF(원본명단!$I2426="",0,COUNTIF(원본명단!$I$3:$I$6002,원본명단!$I2426)))</f>
        <v/>
      </c>
      <c r="G2427" s="11" t="str">
        <f aca="false">IF($A2427="","",IF(원본명단!$K2426="",0,COUNTIF(원본명단!$K$3:$K$6002,원본명단!$K2426)))</f>
        <v/>
      </c>
      <c r="H2427" s="11" t="str">
        <f aca="false">IF($A2427="","",IF(MAX($E2427,$F2427,$G2427)&gt;1,"중복","-"))</f>
        <v/>
      </c>
      <c r="I2427" s="11" t="str">
        <f aca="false">IF($A2427="","",IF($H2427="-","-",IF(AND(IF(원본명단!$H2426="",TRUE(),COUNTIF(원본명단!$H$3:$H2426,원본명단!$H2426)=1),IF(원본명단!$I2426="",TRUE(),COUNTIF(원본명단!$I$3:$I2426,원본명단!$I2426)=1),IF(원본명단!$K2426="",TRUE(),COUNTIF(원본명단!$K$3:$K2426,원본명단!$K2426)=1)),"첫 건","중복 건")))</f>
        <v/>
      </c>
      <c r="J2427" s="11" t="str">
        <f aca="false">IF($A2427="","",IF($H2427="-","유지",IF($I2427="첫 건","유지","확인 필요")))</f>
        <v/>
      </c>
    </row>
    <row r="2428" customFormat="false" ht="15" hidden="false" customHeight="true" outlineLevel="0" collapsed="false">
      <c r="A2428" s="11" t="str">
        <f aca="false">IF(원본명단!$A2427="","",2425)</f>
        <v/>
      </c>
      <c r="B2428" s="12" t="str">
        <f aca="false">IF($A2428="","",원본명단!$A2427)</f>
        <v/>
      </c>
      <c r="C2428" s="12" t="str">
        <f aca="false">IF($A2428="","",원본명단!$B2427)</f>
        <v/>
      </c>
      <c r="D2428" s="12" t="str">
        <f aca="false">IF($A2428="","",원본명단!$D2427)</f>
        <v/>
      </c>
      <c r="E2428" s="11" t="str">
        <f aca="false">IF($A2428="","",IF(원본명단!$H2427="",0,COUNTIF(원본명단!$H$3:$H$6002,원본명단!$H2427)))</f>
        <v/>
      </c>
      <c r="F2428" s="11" t="str">
        <f aca="false">IF($A2428="","",IF(원본명단!$I2427="",0,COUNTIF(원본명단!$I$3:$I$6002,원본명단!$I2427)))</f>
        <v/>
      </c>
      <c r="G2428" s="11" t="str">
        <f aca="false">IF($A2428="","",IF(원본명단!$K2427="",0,COUNTIF(원본명단!$K$3:$K$6002,원본명단!$K2427)))</f>
        <v/>
      </c>
      <c r="H2428" s="11" t="str">
        <f aca="false">IF($A2428="","",IF(MAX($E2428,$F2428,$G2428)&gt;1,"중복","-"))</f>
        <v/>
      </c>
      <c r="I2428" s="11" t="str">
        <f aca="false">IF($A2428="","",IF($H2428="-","-",IF(AND(IF(원본명단!$H2427="",TRUE(),COUNTIF(원본명단!$H$3:$H2427,원본명단!$H2427)=1),IF(원본명단!$I2427="",TRUE(),COUNTIF(원본명단!$I$3:$I2427,원본명단!$I2427)=1),IF(원본명단!$K2427="",TRUE(),COUNTIF(원본명단!$K$3:$K2427,원본명단!$K2427)=1)),"첫 건","중복 건")))</f>
        <v/>
      </c>
      <c r="J2428" s="11" t="str">
        <f aca="false">IF($A2428="","",IF($H2428="-","유지",IF($I2428="첫 건","유지","확인 필요")))</f>
        <v/>
      </c>
    </row>
    <row r="2429" customFormat="false" ht="15" hidden="false" customHeight="true" outlineLevel="0" collapsed="false">
      <c r="A2429" s="11" t="str">
        <f aca="false">IF(원본명단!$A2428="","",2426)</f>
        <v/>
      </c>
      <c r="B2429" s="12" t="str">
        <f aca="false">IF($A2429="","",원본명단!$A2428)</f>
        <v/>
      </c>
      <c r="C2429" s="12" t="str">
        <f aca="false">IF($A2429="","",원본명단!$B2428)</f>
        <v/>
      </c>
      <c r="D2429" s="12" t="str">
        <f aca="false">IF($A2429="","",원본명단!$D2428)</f>
        <v/>
      </c>
      <c r="E2429" s="11" t="str">
        <f aca="false">IF($A2429="","",IF(원본명단!$H2428="",0,COUNTIF(원본명단!$H$3:$H$6002,원본명단!$H2428)))</f>
        <v/>
      </c>
      <c r="F2429" s="11" t="str">
        <f aca="false">IF($A2429="","",IF(원본명단!$I2428="",0,COUNTIF(원본명단!$I$3:$I$6002,원본명단!$I2428)))</f>
        <v/>
      </c>
      <c r="G2429" s="11" t="str">
        <f aca="false">IF($A2429="","",IF(원본명단!$K2428="",0,COUNTIF(원본명단!$K$3:$K$6002,원본명단!$K2428)))</f>
        <v/>
      </c>
      <c r="H2429" s="11" t="str">
        <f aca="false">IF($A2429="","",IF(MAX($E2429,$F2429,$G2429)&gt;1,"중복","-"))</f>
        <v/>
      </c>
      <c r="I2429" s="11" t="str">
        <f aca="false">IF($A2429="","",IF($H2429="-","-",IF(AND(IF(원본명단!$H2428="",TRUE(),COUNTIF(원본명단!$H$3:$H2428,원본명단!$H2428)=1),IF(원본명단!$I2428="",TRUE(),COUNTIF(원본명단!$I$3:$I2428,원본명단!$I2428)=1),IF(원본명단!$K2428="",TRUE(),COUNTIF(원본명단!$K$3:$K2428,원본명단!$K2428)=1)),"첫 건","중복 건")))</f>
        <v/>
      </c>
      <c r="J2429" s="11" t="str">
        <f aca="false">IF($A2429="","",IF($H2429="-","유지",IF($I2429="첫 건","유지","확인 필요")))</f>
        <v/>
      </c>
    </row>
    <row r="2430" customFormat="false" ht="15" hidden="false" customHeight="true" outlineLevel="0" collapsed="false">
      <c r="A2430" s="11" t="str">
        <f aca="false">IF(원본명단!$A2429="","",2427)</f>
        <v/>
      </c>
      <c r="B2430" s="12" t="str">
        <f aca="false">IF($A2430="","",원본명단!$A2429)</f>
        <v/>
      </c>
      <c r="C2430" s="12" t="str">
        <f aca="false">IF($A2430="","",원본명단!$B2429)</f>
        <v/>
      </c>
      <c r="D2430" s="12" t="str">
        <f aca="false">IF($A2430="","",원본명단!$D2429)</f>
        <v/>
      </c>
      <c r="E2430" s="11" t="str">
        <f aca="false">IF($A2430="","",IF(원본명단!$H2429="",0,COUNTIF(원본명단!$H$3:$H$6002,원본명단!$H2429)))</f>
        <v/>
      </c>
      <c r="F2430" s="11" t="str">
        <f aca="false">IF($A2430="","",IF(원본명단!$I2429="",0,COUNTIF(원본명단!$I$3:$I$6002,원본명단!$I2429)))</f>
        <v/>
      </c>
      <c r="G2430" s="11" t="str">
        <f aca="false">IF($A2430="","",IF(원본명단!$K2429="",0,COUNTIF(원본명단!$K$3:$K$6002,원본명단!$K2429)))</f>
        <v/>
      </c>
      <c r="H2430" s="11" t="str">
        <f aca="false">IF($A2430="","",IF(MAX($E2430,$F2430,$G2430)&gt;1,"중복","-"))</f>
        <v/>
      </c>
      <c r="I2430" s="11" t="str">
        <f aca="false">IF($A2430="","",IF($H2430="-","-",IF(AND(IF(원본명단!$H2429="",TRUE(),COUNTIF(원본명단!$H$3:$H2429,원본명단!$H2429)=1),IF(원본명단!$I2429="",TRUE(),COUNTIF(원본명단!$I$3:$I2429,원본명단!$I2429)=1),IF(원본명단!$K2429="",TRUE(),COUNTIF(원본명단!$K$3:$K2429,원본명단!$K2429)=1)),"첫 건","중복 건")))</f>
        <v/>
      </c>
      <c r="J2430" s="11" t="str">
        <f aca="false">IF($A2430="","",IF($H2430="-","유지",IF($I2430="첫 건","유지","확인 필요")))</f>
        <v/>
      </c>
    </row>
    <row r="2431" customFormat="false" ht="15" hidden="false" customHeight="true" outlineLevel="0" collapsed="false">
      <c r="A2431" s="11" t="str">
        <f aca="false">IF(원본명단!$A2430="","",2428)</f>
        <v/>
      </c>
      <c r="B2431" s="12" t="str">
        <f aca="false">IF($A2431="","",원본명단!$A2430)</f>
        <v/>
      </c>
      <c r="C2431" s="12" t="str">
        <f aca="false">IF($A2431="","",원본명단!$B2430)</f>
        <v/>
      </c>
      <c r="D2431" s="12" t="str">
        <f aca="false">IF($A2431="","",원본명단!$D2430)</f>
        <v/>
      </c>
      <c r="E2431" s="11" t="str">
        <f aca="false">IF($A2431="","",IF(원본명단!$H2430="",0,COUNTIF(원본명단!$H$3:$H$6002,원본명단!$H2430)))</f>
        <v/>
      </c>
      <c r="F2431" s="11" t="str">
        <f aca="false">IF($A2431="","",IF(원본명단!$I2430="",0,COUNTIF(원본명단!$I$3:$I$6002,원본명단!$I2430)))</f>
        <v/>
      </c>
      <c r="G2431" s="11" t="str">
        <f aca="false">IF($A2431="","",IF(원본명단!$K2430="",0,COUNTIF(원본명단!$K$3:$K$6002,원본명단!$K2430)))</f>
        <v/>
      </c>
      <c r="H2431" s="11" t="str">
        <f aca="false">IF($A2431="","",IF(MAX($E2431,$F2431,$G2431)&gt;1,"중복","-"))</f>
        <v/>
      </c>
      <c r="I2431" s="11" t="str">
        <f aca="false">IF($A2431="","",IF($H2431="-","-",IF(AND(IF(원본명단!$H2430="",TRUE(),COUNTIF(원본명단!$H$3:$H2430,원본명단!$H2430)=1),IF(원본명단!$I2430="",TRUE(),COUNTIF(원본명단!$I$3:$I2430,원본명단!$I2430)=1),IF(원본명단!$K2430="",TRUE(),COUNTIF(원본명단!$K$3:$K2430,원본명단!$K2430)=1)),"첫 건","중복 건")))</f>
        <v/>
      </c>
      <c r="J2431" s="11" t="str">
        <f aca="false">IF($A2431="","",IF($H2431="-","유지",IF($I2431="첫 건","유지","확인 필요")))</f>
        <v/>
      </c>
    </row>
    <row r="2432" customFormat="false" ht="15" hidden="false" customHeight="true" outlineLevel="0" collapsed="false">
      <c r="A2432" s="11" t="str">
        <f aca="false">IF(원본명단!$A2431="","",2429)</f>
        <v/>
      </c>
      <c r="B2432" s="12" t="str">
        <f aca="false">IF($A2432="","",원본명단!$A2431)</f>
        <v/>
      </c>
      <c r="C2432" s="12" t="str">
        <f aca="false">IF($A2432="","",원본명단!$B2431)</f>
        <v/>
      </c>
      <c r="D2432" s="12" t="str">
        <f aca="false">IF($A2432="","",원본명단!$D2431)</f>
        <v/>
      </c>
      <c r="E2432" s="11" t="str">
        <f aca="false">IF($A2432="","",IF(원본명단!$H2431="",0,COUNTIF(원본명단!$H$3:$H$6002,원본명단!$H2431)))</f>
        <v/>
      </c>
      <c r="F2432" s="11" t="str">
        <f aca="false">IF($A2432="","",IF(원본명단!$I2431="",0,COUNTIF(원본명단!$I$3:$I$6002,원본명단!$I2431)))</f>
        <v/>
      </c>
      <c r="G2432" s="11" t="str">
        <f aca="false">IF($A2432="","",IF(원본명단!$K2431="",0,COUNTIF(원본명단!$K$3:$K$6002,원본명단!$K2431)))</f>
        <v/>
      </c>
      <c r="H2432" s="11" t="str">
        <f aca="false">IF($A2432="","",IF(MAX($E2432,$F2432,$G2432)&gt;1,"중복","-"))</f>
        <v/>
      </c>
      <c r="I2432" s="11" t="str">
        <f aca="false">IF($A2432="","",IF($H2432="-","-",IF(AND(IF(원본명단!$H2431="",TRUE(),COUNTIF(원본명단!$H$3:$H2431,원본명단!$H2431)=1),IF(원본명단!$I2431="",TRUE(),COUNTIF(원본명단!$I$3:$I2431,원본명단!$I2431)=1),IF(원본명단!$K2431="",TRUE(),COUNTIF(원본명단!$K$3:$K2431,원본명단!$K2431)=1)),"첫 건","중복 건")))</f>
        <v/>
      </c>
      <c r="J2432" s="11" t="str">
        <f aca="false">IF($A2432="","",IF($H2432="-","유지",IF($I2432="첫 건","유지","확인 필요")))</f>
        <v/>
      </c>
    </row>
    <row r="2433" customFormat="false" ht="15" hidden="false" customHeight="true" outlineLevel="0" collapsed="false">
      <c r="A2433" s="11" t="str">
        <f aca="false">IF(원본명단!$A2432="","",2430)</f>
        <v/>
      </c>
      <c r="B2433" s="12" t="str">
        <f aca="false">IF($A2433="","",원본명단!$A2432)</f>
        <v/>
      </c>
      <c r="C2433" s="12" t="str">
        <f aca="false">IF($A2433="","",원본명단!$B2432)</f>
        <v/>
      </c>
      <c r="D2433" s="12" t="str">
        <f aca="false">IF($A2433="","",원본명단!$D2432)</f>
        <v/>
      </c>
      <c r="E2433" s="11" t="str">
        <f aca="false">IF($A2433="","",IF(원본명단!$H2432="",0,COUNTIF(원본명단!$H$3:$H$6002,원본명단!$H2432)))</f>
        <v/>
      </c>
      <c r="F2433" s="11" t="str">
        <f aca="false">IF($A2433="","",IF(원본명단!$I2432="",0,COUNTIF(원본명단!$I$3:$I$6002,원본명단!$I2432)))</f>
        <v/>
      </c>
      <c r="G2433" s="11" t="str">
        <f aca="false">IF($A2433="","",IF(원본명단!$K2432="",0,COUNTIF(원본명단!$K$3:$K$6002,원본명단!$K2432)))</f>
        <v/>
      </c>
      <c r="H2433" s="11" t="str">
        <f aca="false">IF($A2433="","",IF(MAX($E2433,$F2433,$G2433)&gt;1,"중복","-"))</f>
        <v/>
      </c>
      <c r="I2433" s="11" t="str">
        <f aca="false">IF($A2433="","",IF($H2433="-","-",IF(AND(IF(원본명단!$H2432="",TRUE(),COUNTIF(원본명단!$H$3:$H2432,원본명단!$H2432)=1),IF(원본명단!$I2432="",TRUE(),COUNTIF(원본명단!$I$3:$I2432,원본명단!$I2432)=1),IF(원본명단!$K2432="",TRUE(),COUNTIF(원본명단!$K$3:$K2432,원본명단!$K2432)=1)),"첫 건","중복 건")))</f>
        <v/>
      </c>
      <c r="J2433" s="11" t="str">
        <f aca="false">IF($A2433="","",IF($H2433="-","유지",IF($I2433="첫 건","유지","확인 필요")))</f>
        <v/>
      </c>
    </row>
    <row r="2434" customFormat="false" ht="15" hidden="false" customHeight="true" outlineLevel="0" collapsed="false">
      <c r="A2434" s="11" t="str">
        <f aca="false">IF(원본명단!$A2433="","",2431)</f>
        <v/>
      </c>
      <c r="B2434" s="12" t="str">
        <f aca="false">IF($A2434="","",원본명단!$A2433)</f>
        <v/>
      </c>
      <c r="C2434" s="12" t="str">
        <f aca="false">IF($A2434="","",원본명단!$B2433)</f>
        <v/>
      </c>
      <c r="D2434" s="12" t="str">
        <f aca="false">IF($A2434="","",원본명단!$D2433)</f>
        <v/>
      </c>
      <c r="E2434" s="11" t="str">
        <f aca="false">IF($A2434="","",IF(원본명단!$H2433="",0,COUNTIF(원본명단!$H$3:$H$6002,원본명단!$H2433)))</f>
        <v/>
      </c>
      <c r="F2434" s="11" t="str">
        <f aca="false">IF($A2434="","",IF(원본명단!$I2433="",0,COUNTIF(원본명단!$I$3:$I$6002,원본명단!$I2433)))</f>
        <v/>
      </c>
      <c r="G2434" s="11" t="str">
        <f aca="false">IF($A2434="","",IF(원본명단!$K2433="",0,COUNTIF(원본명단!$K$3:$K$6002,원본명단!$K2433)))</f>
        <v/>
      </c>
      <c r="H2434" s="11" t="str">
        <f aca="false">IF($A2434="","",IF(MAX($E2434,$F2434,$G2434)&gt;1,"중복","-"))</f>
        <v/>
      </c>
      <c r="I2434" s="11" t="str">
        <f aca="false">IF($A2434="","",IF($H2434="-","-",IF(AND(IF(원본명단!$H2433="",TRUE(),COUNTIF(원본명단!$H$3:$H2433,원본명단!$H2433)=1),IF(원본명단!$I2433="",TRUE(),COUNTIF(원본명단!$I$3:$I2433,원본명단!$I2433)=1),IF(원본명단!$K2433="",TRUE(),COUNTIF(원본명단!$K$3:$K2433,원본명단!$K2433)=1)),"첫 건","중복 건")))</f>
        <v/>
      </c>
      <c r="J2434" s="11" t="str">
        <f aca="false">IF($A2434="","",IF($H2434="-","유지",IF($I2434="첫 건","유지","확인 필요")))</f>
        <v/>
      </c>
    </row>
    <row r="2435" customFormat="false" ht="15" hidden="false" customHeight="true" outlineLevel="0" collapsed="false">
      <c r="A2435" s="11" t="str">
        <f aca="false">IF(원본명단!$A2434="","",2432)</f>
        <v/>
      </c>
      <c r="B2435" s="12" t="str">
        <f aca="false">IF($A2435="","",원본명단!$A2434)</f>
        <v/>
      </c>
      <c r="C2435" s="12" t="str">
        <f aca="false">IF($A2435="","",원본명단!$B2434)</f>
        <v/>
      </c>
      <c r="D2435" s="12" t="str">
        <f aca="false">IF($A2435="","",원본명단!$D2434)</f>
        <v/>
      </c>
      <c r="E2435" s="11" t="str">
        <f aca="false">IF($A2435="","",IF(원본명단!$H2434="",0,COUNTIF(원본명단!$H$3:$H$6002,원본명단!$H2434)))</f>
        <v/>
      </c>
      <c r="F2435" s="11" t="str">
        <f aca="false">IF($A2435="","",IF(원본명단!$I2434="",0,COUNTIF(원본명단!$I$3:$I$6002,원본명단!$I2434)))</f>
        <v/>
      </c>
      <c r="G2435" s="11" t="str">
        <f aca="false">IF($A2435="","",IF(원본명단!$K2434="",0,COUNTIF(원본명단!$K$3:$K$6002,원본명단!$K2434)))</f>
        <v/>
      </c>
      <c r="H2435" s="11" t="str">
        <f aca="false">IF($A2435="","",IF(MAX($E2435,$F2435,$G2435)&gt;1,"중복","-"))</f>
        <v/>
      </c>
      <c r="I2435" s="11" t="str">
        <f aca="false">IF($A2435="","",IF($H2435="-","-",IF(AND(IF(원본명단!$H2434="",TRUE(),COUNTIF(원본명단!$H$3:$H2434,원본명단!$H2434)=1),IF(원본명단!$I2434="",TRUE(),COUNTIF(원본명단!$I$3:$I2434,원본명단!$I2434)=1),IF(원본명단!$K2434="",TRUE(),COUNTIF(원본명단!$K$3:$K2434,원본명단!$K2434)=1)),"첫 건","중복 건")))</f>
        <v/>
      </c>
      <c r="J2435" s="11" t="str">
        <f aca="false">IF($A2435="","",IF($H2435="-","유지",IF($I2435="첫 건","유지","확인 필요")))</f>
        <v/>
      </c>
    </row>
    <row r="2436" customFormat="false" ht="15" hidden="false" customHeight="true" outlineLevel="0" collapsed="false">
      <c r="A2436" s="11" t="str">
        <f aca="false">IF(원본명단!$A2435="","",2433)</f>
        <v/>
      </c>
      <c r="B2436" s="12" t="str">
        <f aca="false">IF($A2436="","",원본명단!$A2435)</f>
        <v/>
      </c>
      <c r="C2436" s="12" t="str">
        <f aca="false">IF($A2436="","",원본명단!$B2435)</f>
        <v/>
      </c>
      <c r="D2436" s="12" t="str">
        <f aca="false">IF($A2436="","",원본명단!$D2435)</f>
        <v/>
      </c>
      <c r="E2436" s="11" t="str">
        <f aca="false">IF($A2436="","",IF(원본명단!$H2435="",0,COUNTIF(원본명단!$H$3:$H$6002,원본명단!$H2435)))</f>
        <v/>
      </c>
      <c r="F2436" s="11" t="str">
        <f aca="false">IF($A2436="","",IF(원본명단!$I2435="",0,COUNTIF(원본명단!$I$3:$I$6002,원본명단!$I2435)))</f>
        <v/>
      </c>
      <c r="G2436" s="11" t="str">
        <f aca="false">IF($A2436="","",IF(원본명단!$K2435="",0,COUNTIF(원본명단!$K$3:$K$6002,원본명단!$K2435)))</f>
        <v/>
      </c>
      <c r="H2436" s="11" t="str">
        <f aca="false">IF($A2436="","",IF(MAX($E2436,$F2436,$G2436)&gt;1,"중복","-"))</f>
        <v/>
      </c>
      <c r="I2436" s="11" t="str">
        <f aca="false">IF($A2436="","",IF($H2436="-","-",IF(AND(IF(원본명단!$H2435="",TRUE(),COUNTIF(원본명단!$H$3:$H2435,원본명단!$H2435)=1),IF(원본명단!$I2435="",TRUE(),COUNTIF(원본명단!$I$3:$I2435,원본명단!$I2435)=1),IF(원본명단!$K2435="",TRUE(),COUNTIF(원본명단!$K$3:$K2435,원본명단!$K2435)=1)),"첫 건","중복 건")))</f>
        <v/>
      </c>
      <c r="J2436" s="11" t="str">
        <f aca="false">IF($A2436="","",IF($H2436="-","유지",IF($I2436="첫 건","유지","확인 필요")))</f>
        <v/>
      </c>
    </row>
    <row r="2437" customFormat="false" ht="15" hidden="false" customHeight="true" outlineLevel="0" collapsed="false">
      <c r="A2437" s="11" t="str">
        <f aca="false">IF(원본명단!$A2436="","",2434)</f>
        <v/>
      </c>
      <c r="B2437" s="12" t="str">
        <f aca="false">IF($A2437="","",원본명단!$A2436)</f>
        <v/>
      </c>
      <c r="C2437" s="12" t="str">
        <f aca="false">IF($A2437="","",원본명단!$B2436)</f>
        <v/>
      </c>
      <c r="D2437" s="12" t="str">
        <f aca="false">IF($A2437="","",원본명단!$D2436)</f>
        <v/>
      </c>
      <c r="E2437" s="11" t="str">
        <f aca="false">IF($A2437="","",IF(원본명단!$H2436="",0,COUNTIF(원본명단!$H$3:$H$6002,원본명단!$H2436)))</f>
        <v/>
      </c>
      <c r="F2437" s="11" t="str">
        <f aca="false">IF($A2437="","",IF(원본명단!$I2436="",0,COUNTIF(원본명단!$I$3:$I$6002,원본명단!$I2436)))</f>
        <v/>
      </c>
      <c r="G2437" s="11" t="str">
        <f aca="false">IF($A2437="","",IF(원본명단!$K2436="",0,COUNTIF(원본명단!$K$3:$K$6002,원본명단!$K2436)))</f>
        <v/>
      </c>
      <c r="H2437" s="11" t="str">
        <f aca="false">IF($A2437="","",IF(MAX($E2437,$F2437,$G2437)&gt;1,"중복","-"))</f>
        <v/>
      </c>
      <c r="I2437" s="11" t="str">
        <f aca="false">IF($A2437="","",IF($H2437="-","-",IF(AND(IF(원본명단!$H2436="",TRUE(),COUNTIF(원본명단!$H$3:$H2436,원본명단!$H2436)=1),IF(원본명단!$I2436="",TRUE(),COUNTIF(원본명단!$I$3:$I2436,원본명단!$I2436)=1),IF(원본명단!$K2436="",TRUE(),COUNTIF(원본명단!$K$3:$K2436,원본명단!$K2436)=1)),"첫 건","중복 건")))</f>
        <v/>
      </c>
      <c r="J2437" s="11" t="str">
        <f aca="false">IF($A2437="","",IF($H2437="-","유지",IF($I2437="첫 건","유지","확인 필요")))</f>
        <v/>
      </c>
    </row>
    <row r="2438" customFormat="false" ht="15" hidden="false" customHeight="true" outlineLevel="0" collapsed="false">
      <c r="A2438" s="11" t="str">
        <f aca="false">IF(원본명단!$A2437="","",2435)</f>
        <v/>
      </c>
      <c r="B2438" s="12" t="str">
        <f aca="false">IF($A2438="","",원본명단!$A2437)</f>
        <v/>
      </c>
      <c r="C2438" s="12" t="str">
        <f aca="false">IF($A2438="","",원본명단!$B2437)</f>
        <v/>
      </c>
      <c r="D2438" s="12" t="str">
        <f aca="false">IF($A2438="","",원본명단!$D2437)</f>
        <v/>
      </c>
      <c r="E2438" s="11" t="str">
        <f aca="false">IF($A2438="","",IF(원본명단!$H2437="",0,COUNTIF(원본명단!$H$3:$H$6002,원본명단!$H2437)))</f>
        <v/>
      </c>
      <c r="F2438" s="11" t="str">
        <f aca="false">IF($A2438="","",IF(원본명단!$I2437="",0,COUNTIF(원본명단!$I$3:$I$6002,원본명단!$I2437)))</f>
        <v/>
      </c>
      <c r="G2438" s="11" t="str">
        <f aca="false">IF($A2438="","",IF(원본명단!$K2437="",0,COUNTIF(원본명단!$K$3:$K$6002,원본명단!$K2437)))</f>
        <v/>
      </c>
      <c r="H2438" s="11" t="str">
        <f aca="false">IF($A2438="","",IF(MAX($E2438,$F2438,$G2438)&gt;1,"중복","-"))</f>
        <v/>
      </c>
      <c r="I2438" s="11" t="str">
        <f aca="false">IF($A2438="","",IF($H2438="-","-",IF(AND(IF(원본명단!$H2437="",TRUE(),COUNTIF(원본명단!$H$3:$H2437,원본명단!$H2437)=1),IF(원본명단!$I2437="",TRUE(),COUNTIF(원본명단!$I$3:$I2437,원본명단!$I2437)=1),IF(원본명단!$K2437="",TRUE(),COUNTIF(원본명단!$K$3:$K2437,원본명단!$K2437)=1)),"첫 건","중복 건")))</f>
        <v/>
      </c>
      <c r="J2438" s="11" t="str">
        <f aca="false">IF($A2438="","",IF($H2438="-","유지",IF($I2438="첫 건","유지","확인 필요")))</f>
        <v/>
      </c>
    </row>
    <row r="2439" customFormat="false" ht="15" hidden="false" customHeight="true" outlineLevel="0" collapsed="false">
      <c r="A2439" s="11" t="str">
        <f aca="false">IF(원본명단!$A2438="","",2436)</f>
        <v/>
      </c>
      <c r="B2439" s="12" t="str">
        <f aca="false">IF($A2439="","",원본명단!$A2438)</f>
        <v/>
      </c>
      <c r="C2439" s="12" t="str">
        <f aca="false">IF($A2439="","",원본명단!$B2438)</f>
        <v/>
      </c>
      <c r="D2439" s="12" t="str">
        <f aca="false">IF($A2439="","",원본명단!$D2438)</f>
        <v/>
      </c>
      <c r="E2439" s="11" t="str">
        <f aca="false">IF($A2439="","",IF(원본명단!$H2438="",0,COUNTIF(원본명단!$H$3:$H$6002,원본명단!$H2438)))</f>
        <v/>
      </c>
      <c r="F2439" s="11" t="str">
        <f aca="false">IF($A2439="","",IF(원본명단!$I2438="",0,COUNTIF(원본명단!$I$3:$I$6002,원본명단!$I2438)))</f>
        <v/>
      </c>
      <c r="G2439" s="11" t="str">
        <f aca="false">IF($A2439="","",IF(원본명단!$K2438="",0,COUNTIF(원본명단!$K$3:$K$6002,원본명단!$K2438)))</f>
        <v/>
      </c>
      <c r="H2439" s="11" t="str">
        <f aca="false">IF($A2439="","",IF(MAX($E2439,$F2439,$G2439)&gt;1,"중복","-"))</f>
        <v/>
      </c>
      <c r="I2439" s="11" t="str">
        <f aca="false">IF($A2439="","",IF($H2439="-","-",IF(AND(IF(원본명단!$H2438="",TRUE(),COUNTIF(원본명단!$H$3:$H2438,원본명단!$H2438)=1),IF(원본명단!$I2438="",TRUE(),COUNTIF(원본명단!$I$3:$I2438,원본명단!$I2438)=1),IF(원본명단!$K2438="",TRUE(),COUNTIF(원본명단!$K$3:$K2438,원본명단!$K2438)=1)),"첫 건","중복 건")))</f>
        <v/>
      </c>
      <c r="J2439" s="11" t="str">
        <f aca="false">IF($A2439="","",IF($H2439="-","유지",IF($I2439="첫 건","유지","확인 필요")))</f>
        <v/>
      </c>
    </row>
    <row r="2440" customFormat="false" ht="15" hidden="false" customHeight="true" outlineLevel="0" collapsed="false">
      <c r="A2440" s="11" t="str">
        <f aca="false">IF(원본명단!$A2439="","",2437)</f>
        <v/>
      </c>
      <c r="B2440" s="12" t="str">
        <f aca="false">IF($A2440="","",원본명단!$A2439)</f>
        <v/>
      </c>
      <c r="C2440" s="12" t="str">
        <f aca="false">IF($A2440="","",원본명단!$B2439)</f>
        <v/>
      </c>
      <c r="D2440" s="12" t="str">
        <f aca="false">IF($A2440="","",원본명단!$D2439)</f>
        <v/>
      </c>
      <c r="E2440" s="11" t="str">
        <f aca="false">IF($A2440="","",IF(원본명단!$H2439="",0,COUNTIF(원본명단!$H$3:$H$6002,원본명단!$H2439)))</f>
        <v/>
      </c>
      <c r="F2440" s="11" t="str">
        <f aca="false">IF($A2440="","",IF(원본명단!$I2439="",0,COUNTIF(원본명단!$I$3:$I$6002,원본명단!$I2439)))</f>
        <v/>
      </c>
      <c r="G2440" s="11" t="str">
        <f aca="false">IF($A2440="","",IF(원본명단!$K2439="",0,COUNTIF(원본명단!$K$3:$K$6002,원본명단!$K2439)))</f>
        <v/>
      </c>
      <c r="H2440" s="11" t="str">
        <f aca="false">IF($A2440="","",IF(MAX($E2440,$F2440,$G2440)&gt;1,"중복","-"))</f>
        <v/>
      </c>
      <c r="I2440" s="11" t="str">
        <f aca="false">IF($A2440="","",IF($H2440="-","-",IF(AND(IF(원본명단!$H2439="",TRUE(),COUNTIF(원본명단!$H$3:$H2439,원본명단!$H2439)=1),IF(원본명단!$I2439="",TRUE(),COUNTIF(원본명단!$I$3:$I2439,원본명단!$I2439)=1),IF(원본명단!$K2439="",TRUE(),COUNTIF(원본명단!$K$3:$K2439,원본명단!$K2439)=1)),"첫 건","중복 건")))</f>
        <v/>
      </c>
      <c r="J2440" s="11" t="str">
        <f aca="false">IF($A2440="","",IF($H2440="-","유지",IF($I2440="첫 건","유지","확인 필요")))</f>
        <v/>
      </c>
    </row>
    <row r="2441" customFormat="false" ht="15" hidden="false" customHeight="true" outlineLevel="0" collapsed="false">
      <c r="A2441" s="11" t="str">
        <f aca="false">IF(원본명단!$A2440="","",2438)</f>
        <v/>
      </c>
      <c r="B2441" s="12" t="str">
        <f aca="false">IF($A2441="","",원본명단!$A2440)</f>
        <v/>
      </c>
      <c r="C2441" s="12" t="str">
        <f aca="false">IF($A2441="","",원본명단!$B2440)</f>
        <v/>
      </c>
      <c r="D2441" s="12" t="str">
        <f aca="false">IF($A2441="","",원본명단!$D2440)</f>
        <v/>
      </c>
      <c r="E2441" s="11" t="str">
        <f aca="false">IF($A2441="","",IF(원본명단!$H2440="",0,COUNTIF(원본명단!$H$3:$H$6002,원본명단!$H2440)))</f>
        <v/>
      </c>
      <c r="F2441" s="11" t="str">
        <f aca="false">IF($A2441="","",IF(원본명단!$I2440="",0,COUNTIF(원본명단!$I$3:$I$6002,원본명단!$I2440)))</f>
        <v/>
      </c>
      <c r="G2441" s="11" t="str">
        <f aca="false">IF($A2441="","",IF(원본명단!$K2440="",0,COUNTIF(원본명단!$K$3:$K$6002,원본명단!$K2440)))</f>
        <v/>
      </c>
      <c r="H2441" s="11" t="str">
        <f aca="false">IF($A2441="","",IF(MAX($E2441,$F2441,$G2441)&gt;1,"중복","-"))</f>
        <v/>
      </c>
      <c r="I2441" s="11" t="str">
        <f aca="false">IF($A2441="","",IF($H2441="-","-",IF(AND(IF(원본명단!$H2440="",TRUE(),COUNTIF(원본명단!$H$3:$H2440,원본명단!$H2440)=1),IF(원본명단!$I2440="",TRUE(),COUNTIF(원본명단!$I$3:$I2440,원본명단!$I2440)=1),IF(원본명단!$K2440="",TRUE(),COUNTIF(원본명단!$K$3:$K2440,원본명단!$K2440)=1)),"첫 건","중복 건")))</f>
        <v/>
      </c>
      <c r="J2441" s="11" t="str">
        <f aca="false">IF($A2441="","",IF($H2441="-","유지",IF($I2441="첫 건","유지","확인 필요")))</f>
        <v/>
      </c>
    </row>
    <row r="2442" customFormat="false" ht="15" hidden="false" customHeight="true" outlineLevel="0" collapsed="false">
      <c r="A2442" s="11" t="str">
        <f aca="false">IF(원본명단!$A2441="","",2439)</f>
        <v/>
      </c>
      <c r="B2442" s="12" t="str">
        <f aca="false">IF($A2442="","",원본명단!$A2441)</f>
        <v/>
      </c>
      <c r="C2442" s="12" t="str">
        <f aca="false">IF($A2442="","",원본명단!$B2441)</f>
        <v/>
      </c>
      <c r="D2442" s="12" t="str">
        <f aca="false">IF($A2442="","",원본명단!$D2441)</f>
        <v/>
      </c>
      <c r="E2442" s="11" t="str">
        <f aca="false">IF($A2442="","",IF(원본명단!$H2441="",0,COUNTIF(원본명단!$H$3:$H$6002,원본명단!$H2441)))</f>
        <v/>
      </c>
      <c r="F2442" s="11" t="str">
        <f aca="false">IF($A2442="","",IF(원본명단!$I2441="",0,COUNTIF(원본명단!$I$3:$I$6002,원본명단!$I2441)))</f>
        <v/>
      </c>
      <c r="G2442" s="11" t="str">
        <f aca="false">IF($A2442="","",IF(원본명단!$K2441="",0,COUNTIF(원본명단!$K$3:$K$6002,원본명단!$K2441)))</f>
        <v/>
      </c>
      <c r="H2442" s="11" t="str">
        <f aca="false">IF($A2442="","",IF(MAX($E2442,$F2442,$G2442)&gt;1,"중복","-"))</f>
        <v/>
      </c>
      <c r="I2442" s="11" t="str">
        <f aca="false">IF($A2442="","",IF($H2442="-","-",IF(AND(IF(원본명단!$H2441="",TRUE(),COUNTIF(원본명단!$H$3:$H2441,원본명단!$H2441)=1),IF(원본명단!$I2441="",TRUE(),COUNTIF(원본명단!$I$3:$I2441,원본명단!$I2441)=1),IF(원본명단!$K2441="",TRUE(),COUNTIF(원본명단!$K$3:$K2441,원본명단!$K2441)=1)),"첫 건","중복 건")))</f>
        <v/>
      </c>
      <c r="J2442" s="11" t="str">
        <f aca="false">IF($A2442="","",IF($H2442="-","유지",IF($I2442="첫 건","유지","확인 필요")))</f>
        <v/>
      </c>
    </row>
    <row r="2443" customFormat="false" ht="15" hidden="false" customHeight="true" outlineLevel="0" collapsed="false">
      <c r="A2443" s="11" t="str">
        <f aca="false">IF(원본명단!$A2442="","",2440)</f>
        <v/>
      </c>
      <c r="B2443" s="12" t="str">
        <f aca="false">IF($A2443="","",원본명단!$A2442)</f>
        <v/>
      </c>
      <c r="C2443" s="12" t="str">
        <f aca="false">IF($A2443="","",원본명단!$B2442)</f>
        <v/>
      </c>
      <c r="D2443" s="12" t="str">
        <f aca="false">IF($A2443="","",원본명단!$D2442)</f>
        <v/>
      </c>
      <c r="E2443" s="11" t="str">
        <f aca="false">IF($A2443="","",IF(원본명단!$H2442="",0,COUNTIF(원본명단!$H$3:$H$6002,원본명단!$H2442)))</f>
        <v/>
      </c>
      <c r="F2443" s="11" t="str">
        <f aca="false">IF($A2443="","",IF(원본명단!$I2442="",0,COUNTIF(원본명단!$I$3:$I$6002,원본명단!$I2442)))</f>
        <v/>
      </c>
      <c r="G2443" s="11" t="str">
        <f aca="false">IF($A2443="","",IF(원본명단!$K2442="",0,COUNTIF(원본명단!$K$3:$K$6002,원본명단!$K2442)))</f>
        <v/>
      </c>
      <c r="H2443" s="11" t="str">
        <f aca="false">IF($A2443="","",IF(MAX($E2443,$F2443,$G2443)&gt;1,"중복","-"))</f>
        <v/>
      </c>
      <c r="I2443" s="11" t="str">
        <f aca="false">IF($A2443="","",IF($H2443="-","-",IF(AND(IF(원본명단!$H2442="",TRUE(),COUNTIF(원본명단!$H$3:$H2442,원본명단!$H2442)=1),IF(원본명단!$I2442="",TRUE(),COUNTIF(원본명단!$I$3:$I2442,원본명단!$I2442)=1),IF(원본명단!$K2442="",TRUE(),COUNTIF(원본명단!$K$3:$K2442,원본명단!$K2442)=1)),"첫 건","중복 건")))</f>
        <v/>
      </c>
      <c r="J2443" s="11" t="str">
        <f aca="false">IF($A2443="","",IF($H2443="-","유지",IF($I2443="첫 건","유지","확인 필요")))</f>
        <v/>
      </c>
    </row>
    <row r="2444" customFormat="false" ht="15" hidden="false" customHeight="true" outlineLevel="0" collapsed="false">
      <c r="A2444" s="11" t="str">
        <f aca="false">IF(원본명단!$A2443="","",2441)</f>
        <v/>
      </c>
      <c r="B2444" s="12" t="str">
        <f aca="false">IF($A2444="","",원본명단!$A2443)</f>
        <v/>
      </c>
      <c r="C2444" s="12" t="str">
        <f aca="false">IF($A2444="","",원본명단!$B2443)</f>
        <v/>
      </c>
      <c r="D2444" s="12" t="str">
        <f aca="false">IF($A2444="","",원본명단!$D2443)</f>
        <v/>
      </c>
      <c r="E2444" s="11" t="str">
        <f aca="false">IF($A2444="","",IF(원본명단!$H2443="",0,COUNTIF(원본명단!$H$3:$H$6002,원본명단!$H2443)))</f>
        <v/>
      </c>
      <c r="F2444" s="11" t="str">
        <f aca="false">IF($A2444="","",IF(원본명단!$I2443="",0,COUNTIF(원본명단!$I$3:$I$6002,원본명단!$I2443)))</f>
        <v/>
      </c>
      <c r="G2444" s="11" t="str">
        <f aca="false">IF($A2444="","",IF(원본명단!$K2443="",0,COUNTIF(원본명단!$K$3:$K$6002,원본명단!$K2443)))</f>
        <v/>
      </c>
      <c r="H2444" s="11" t="str">
        <f aca="false">IF($A2444="","",IF(MAX($E2444,$F2444,$G2444)&gt;1,"중복","-"))</f>
        <v/>
      </c>
      <c r="I2444" s="11" t="str">
        <f aca="false">IF($A2444="","",IF($H2444="-","-",IF(AND(IF(원본명단!$H2443="",TRUE(),COUNTIF(원본명단!$H$3:$H2443,원본명단!$H2443)=1),IF(원본명단!$I2443="",TRUE(),COUNTIF(원본명단!$I$3:$I2443,원본명단!$I2443)=1),IF(원본명단!$K2443="",TRUE(),COUNTIF(원본명단!$K$3:$K2443,원본명단!$K2443)=1)),"첫 건","중복 건")))</f>
        <v/>
      </c>
      <c r="J2444" s="11" t="str">
        <f aca="false">IF($A2444="","",IF($H2444="-","유지",IF($I2444="첫 건","유지","확인 필요")))</f>
        <v/>
      </c>
    </row>
    <row r="2445" customFormat="false" ht="15" hidden="false" customHeight="true" outlineLevel="0" collapsed="false">
      <c r="A2445" s="11" t="str">
        <f aca="false">IF(원본명단!$A2444="","",2442)</f>
        <v/>
      </c>
      <c r="B2445" s="12" t="str">
        <f aca="false">IF($A2445="","",원본명단!$A2444)</f>
        <v/>
      </c>
      <c r="C2445" s="12" t="str">
        <f aca="false">IF($A2445="","",원본명단!$B2444)</f>
        <v/>
      </c>
      <c r="D2445" s="12" t="str">
        <f aca="false">IF($A2445="","",원본명단!$D2444)</f>
        <v/>
      </c>
      <c r="E2445" s="11" t="str">
        <f aca="false">IF($A2445="","",IF(원본명단!$H2444="",0,COUNTIF(원본명단!$H$3:$H$6002,원본명단!$H2444)))</f>
        <v/>
      </c>
      <c r="F2445" s="11" t="str">
        <f aca="false">IF($A2445="","",IF(원본명단!$I2444="",0,COUNTIF(원본명단!$I$3:$I$6002,원본명단!$I2444)))</f>
        <v/>
      </c>
      <c r="G2445" s="11" t="str">
        <f aca="false">IF($A2445="","",IF(원본명단!$K2444="",0,COUNTIF(원본명단!$K$3:$K$6002,원본명단!$K2444)))</f>
        <v/>
      </c>
      <c r="H2445" s="11" t="str">
        <f aca="false">IF($A2445="","",IF(MAX($E2445,$F2445,$G2445)&gt;1,"중복","-"))</f>
        <v/>
      </c>
      <c r="I2445" s="11" t="str">
        <f aca="false">IF($A2445="","",IF($H2445="-","-",IF(AND(IF(원본명단!$H2444="",TRUE(),COUNTIF(원본명단!$H$3:$H2444,원본명단!$H2444)=1),IF(원본명단!$I2444="",TRUE(),COUNTIF(원본명단!$I$3:$I2444,원본명단!$I2444)=1),IF(원본명단!$K2444="",TRUE(),COUNTIF(원본명단!$K$3:$K2444,원본명단!$K2444)=1)),"첫 건","중복 건")))</f>
        <v/>
      </c>
      <c r="J2445" s="11" t="str">
        <f aca="false">IF($A2445="","",IF($H2445="-","유지",IF($I2445="첫 건","유지","확인 필요")))</f>
        <v/>
      </c>
    </row>
    <row r="2446" customFormat="false" ht="15" hidden="false" customHeight="true" outlineLevel="0" collapsed="false">
      <c r="A2446" s="11" t="str">
        <f aca="false">IF(원본명단!$A2445="","",2443)</f>
        <v/>
      </c>
      <c r="B2446" s="12" t="str">
        <f aca="false">IF($A2446="","",원본명단!$A2445)</f>
        <v/>
      </c>
      <c r="C2446" s="12" t="str">
        <f aca="false">IF($A2446="","",원본명단!$B2445)</f>
        <v/>
      </c>
      <c r="D2446" s="12" t="str">
        <f aca="false">IF($A2446="","",원본명단!$D2445)</f>
        <v/>
      </c>
      <c r="E2446" s="11" t="str">
        <f aca="false">IF($A2446="","",IF(원본명단!$H2445="",0,COUNTIF(원본명단!$H$3:$H$6002,원본명단!$H2445)))</f>
        <v/>
      </c>
      <c r="F2446" s="11" t="str">
        <f aca="false">IF($A2446="","",IF(원본명단!$I2445="",0,COUNTIF(원본명단!$I$3:$I$6002,원본명단!$I2445)))</f>
        <v/>
      </c>
      <c r="G2446" s="11" t="str">
        <f aca="false">IF($A2446="","",IF(원본명단!$K2445="",0,COUNTIF(원본명단!$K$3:$K$6002,원본명단!$K2445)))</f>
        <v/>
      </c>
      <c r="H2446" s="11" t="str">
        <f aca="false">IF($A2446="","",IF(MAX($E2446,$F2446,$G2446)&gt;1,"중복","-"))</f>
        <v/>
      </c>
      <c r="I2446" s="11" t="str">
        <f aca="false">IF($A2446="","",IF($H2446="-","-",IF(AND(IF(원본명단!$H2445="",TRUE(),COUNTIF(원본명단!$H$3:$H2445,원본명단!$H2445)=1),IF(원본명단!$I2445="",TRUE(),COUNTIF(원본명단!$I$3:$I2445,원본명단!$I2445)=1),IF(원본명단!$K2445="",TRUE(),COUNTIF(원본명단!$K$3:$K2445,원본명단!$K2445)=1)),"첫 건","중복 건")))</f>
        <v/>
      </c>
      <c r="J2446" s="11" t="str">
        <f aca="false">IF($A2446="","",IF($H2446="-","유지",IF($I2446="첫 건","유지","확인 필요")))</f>
        <v/>
      </c>
    </row>
    <row r="2447" customFormat="false" ht="15" hidden="false" customHeight="true" outlineLevel="0" collapsed="false">
      <c r="A2447" s="11" t="str">
        <f aca="false">IF(원본명단!$A2446="","",2444)</f>
        <v/>
      </c>
      <c r="B2447" s="12" t="str">
        <f aca="false">IF($A2447="","",원본명단!$A2446)</f>
        <v/>
      </c>
      <c r="C2447" s="12" t="str">
        <f aca="false">IF($A2447="","",원본명단!$B2446)</f>
        <v/>
      </c>
      <c r="D2447" s="12" t="str">
        <f aca="false">IF($A2447="","",원본명단!$D2446)</f>
        <v/>
      </c>
      <c r="E2447" s="11" t="str">
        <f aca="false">IF($A2447="","",IF(원본명단!$H2446="",0,COUNTIF(원본명단!$H$3:$H$6002,원본명단!$H2446)))</f>
        <v/>
      </c>
      <c r="F2447" s="11" t="str">
        <f aca="false">IF($A2447="","",IF(원본명단!$I2446="",0,COUNTIF(원본명단!$I$3:$I$6002,원본명단!$I2446)))</f>
        <v/>
      </c>
      <c r="G2447" s="11" t="str">
        <f aca="false">IF($A2447="","",IF(원본명단!$K2446="",0,COUNTIF(원본명단!$K$3:$K$6002,원본명단!$K2446)))</f>
        <v/>
      </c>
      <c r="H2447" s="11" t="str">
        <f aca="false">IF($A2447="","",IF(MAX($E2447,$F2447,$G2447)&gt;1,"중복","-"))</f>
        <v/>
      </c>
      <c r="I2447" s="11" t="str">
        <f aca="false">IF($A2447="","",IF($H2447="-","-",IF(AND(IF(원본명단!$H2446="",TRUE(),COUNTIF(원본명단!$H$3:$H2446,원본명단!$H2446)=1),IF(원본명단!$I2446="",TRUE(),COUNTIF(원본명단!$I$3:$I2446,원본명단!$I2446)=1),IF(원본명단!$K2446="",TRUE(),COUNTIF(원본명단!$K$3:$K2446,원본명단!$K2446)=1)),"첫 건","중복 건")))</f>
        <v/>
      </c>
      <c r="J2447" s="11" t="str">
        <f aca="false">IF($A2447="","",IF($H2447="-","유지",IF($I2447="첫 건","유지","확인 필요")))</f>
        <v/>
      </c>
    </row>
    <row r="2448" customFormat="false" ht="15" hidden="false" customHeight="true" outlineLevel="0" collapsed="false">
      <c r="A2448" s="11" t="str">
        <f aca="false">IF(원본명단!$A2447="","",2445)</f>
        <v/>
      </c>
      <c r="B2448" s="12" t="str">
        <f aca="false">IF($A2448="","",원본명단!$A2447)</f>
        <v/>
      </c>
      <c r="C2448" s="12" t="str">
        <f aca="false">IF($A2448="","",원본명단!$B2447)</f>
        <v/>
      </c>
      <c r="D2448" s="12" t="str">
        <f aca="false">IF($A2448="","",원본명단!$D2447)</f>
        <v/>
      </c>
      <c r="E2448" s="11" t="str">
        <f aca="false">IF($A2448="","",IF(원본명단!$H2447="",0,COUNTIF(원본명단!$H$3:$H$6002,원본명단!$H2447)))</f>
        <v/>
      </c>
      <c r="F2448" s="11" t="str">
        <f aca="false">IF($A2448="","",IF(원본명단!$I2447="",0,COUNTIF(원본명단!$I$3:$I$6002,원본명단!$I2447)))</f>
        <v/>
      </c>
      <c r="G2448" s="11" t="str">
        <f aca="false">IF($A2448="","",IF(원본명단!$K2447="",0,COUNTIF(원본명단!$K$3:$K$6002,원본명단!$K2447)))</f>
        <v/>
      </c>
      <c r="H2448" s="11" t="str">
        <f aca="false">IF($A2448="","",IF(MAX($E2448,$F2448,$G2448)&gt;1,"중복","-"))</f>
        <v/>
      </c>
      <c r="I2448" s="11" t="str">
        <f aca="false">IF($A2448="","",IF($H2448="-","-",IF(AND(IF(원본명단!$H2447="",TRUE(),COUNTIF(원본명단!$H$3:$H2447,원본명단!$H2447)=1),IF(원본명단!$I2447="",TRUE(),COUNTIF(원본명단!$I$3:$I2447,원본명단!$I2447)=1),IF(원본명단!$K2447="",TRUE(),COUNTIF(원본명단!$K$3:$K2447,원본명단!$K2447)=1)),"첫 건","중복 건")))</f>
        <v/>
      </c>
      <c r="J2448" s="11" t="str">
        <f aca="false">IF($A2448="","",IF($H2448="-","유지",IF($I2448="첫 건","유지","확인 필요")))</f>
        <v/>
      </c>
    </row>
    <row r="2449" customFormat="false" ht="15" hidden="false" customHeight="true" outlineLevel="0" collapsed="false">
      <c r="A2449" s="11" t="str">
        <f aca="false">IF(원본명단!$A2448="","",2446)</f>
        <v/>
      </c>
      <c r="B2449" s="12" t="str">
        <f aca="false">IF($A2449="","",원본명단!$A2448)</f>
        <v/>
      </c>
      <c r="C2449" s="12" t="str">
        <f aca="false">IF($A2449="","",원본명단!$B2448)</f>
        <v/>
      </c>
      <c r="D2449" s="12" t="str">
        <f aca="false">IF($A2449="","",원본명단!$D2448)</f>
        <v/>
      </c>
      <c r="E2449" s="11" t="str">
        <f aca="false">IF($A2449="","",IF(원본명단!$H2448="",0,COUNTIF(원본명단!$H$3:$H$6002,원본명단!$H2448)))</f>
        <v/>
      </c>
      <c r="F2449" s="11" t="str">
        <f aca="false">IF($A2449="","",IF(원본명단!$I2448="",0,COUNTIF(원본명단!$I$3:$I$6002,원본명단!$I2448)))</f>
        <v/>
      </c>
      <c r="G2449" s="11" t="str">
        <f aca="false">IF($A2449="","",IF(원본명단!$K2448="",0,COUNTIF(원본명단!$K$3:$K$6002,원본명단!$K2448)))</f>
        <v/>
      </c>
      <c r="H2449" s="11" t="str">
        <f aca="false">IF($A2449="","",IF(MAX($E2449,$F2449,$G2449)&gt;1,"중복","-"))</f>
        <v/>
      </c>
      <c r="I2449" s="11" t="str">
        <f aca="false">IF($A2449="","",IF($H2449="-","-",IF(AND(IF(원본명단!$H2448="",TRUE(),COUNTIF(원본명단!$H$3:$H2448,원본명단!$H2448)=1),IF(원본명단!$I2448="",TRUE(),COUNTIF(원본명단!$I$3:$I2448,원본명단!$I2448)=1),IF(원본명단!$K2448="",TRUE(),COUNTIF(원본명단!$K$3:$K2448,원본명단!$K2448)=1)),"첫 건","중복 건")))</f>
        <v/>
      </c>
      <c r="J2449" s="11" t="str">
        <f aca="false">IF($A2449="","",IF($H2449="-","유지",IF($I2449="첫 건","유지","확인 필요")))</f>
        <v/>
      </c>
    </row>
    <row r="2450" customFormat="false" ht="15" hidden="false" customHeight="true" outlineLevel="0" collapsed="false">
      <c r="A2450" s="11" t="str">
        <f aca="false">IF(원본명단!$A2449="","",2447)</f>
        <v/>
      </c>
      <c r="B2450" s="12" t="str">
        <f aca="false">IF($A2450="","",원본명단!$A2449)</f>
        <v/>
      </c>
      <c r="C2450" s="12" t="str">
        <f aca="false">IF($A2450="","",원본명단!$B2449)</f>
        <v/>
      </c>
      <c r="D2450" s="12" t="str">
        <f aca="false">IF($A2450="","",원본명단!$D2449)</f>
        <v/>
      </c>
      <c r="E2450" s="11" t="str">
        <f aca="false">IF($A2450="","",IF(원본명단!$H2449="",0,COUNTIF(원본명단!$H$3:$H$6002,원본명단!$H2449)))</f>
        <v/>
      </c>
      <c r="F2450" s="11" t="str">
        <f aca="false">IF($A2450="","",IF(원본명단!$I2449="",0,COUNTIF(원본명단!$I$3:$I$6002,원본명단!$I2449)))</f>
        <v/>
      </c>
      <c r="G2450" s="11" t="str">
        <f aca="false">IF($A2450="","",IF(원본명단!$K2449="",0,COUNTIF(원본명단!$K$3:$K$6002,원본명단!$K2449)))</f>
        <v/>
      </c>
      <c r="H2450" s="11" t="str">
        <f aca="false">IF($A2450="","",IF(MAX($E2450,$F2450,$G2450)&gt;1,"중복","-"))</f>
        <v/>
      </c>
      <c r="I2450" s="11" t="str">
        <f aca="false">IF($A2450="","",IF($H2450="-","-",IF(AND(IF(원본명단!$H2449="",TRUE(),COUNTIF(원본명단!$H$3:$H2449,원본명단!$H2449)=1),IF(원본명단!$I2449="",TRUE(),COUNTIF(원본명단!$I$3:$I2449,원본명단!$I2449)=1),IF(원본명단!$K2449="",TRUE(),COUNTIF(원본명단!$K$3:$K2449,원본명단!$K2449)=1)),"첫 건","중복 건")))</f>
        <v/>
      </c>
      <c r="J2450" s="11" t="str">
        <f aca="false">IF($A2450="","",IF($H2450="-","유지",IF($I2450="첫 건","유지","확인 필요")))</f>
        <v/>
      </c>
    </row>
    <row r="2451" customFormat="false" ht="15" hidden="false" customHeight="true" outlineLevel="0" collapsed="false">
      <c r="A2451" s="11" t="str">
        <f aca="false">IF(원본명단!$A2450="","",2448)</f>
        <v/>
      </c>
      <c r="B2451" s="12" t="str">
        <f aca="false">IF($A2451="","",원본명단!$A2450)</f>
        <v/>
      </c>
      <c r="C2451" s="12" t="str">
        <f aca="false">IF($A2451="","",원본명단!$B2450)</f>
        <v/>
      </c>
      <c r="D2451" s="12" t="str">
        <f aca="false">IF($A2451="","",원본명단!$D2450)</f>
        <v/>
      </c>
      <c r="E2451" s="11" t="str">
        <f aca="false">IF($A2451="","",IF(원본명단!$H2450="",0,COUNTIF(원본명단!$H$3:$H$6002,원본명단!$H2450)))</f>
        <v/>
      </c>
      <c r="F2451" s="11" t="str">
        <f aca="false">IF($A2451="","",IF(원본명단!$I2450="",0,COUNTIF(원본명단!$I$3:$I$6002,원본명단!$I2450)))</f>
        <v/>
      </c>
      <c r="G2451" s="11" t="str">
        <f aca="false">IF($A2451="","",IF(원본명단!$K2450="",0,COUNTIF(원본명단!$K$3:$K$6002,원본명단!$K2450)))</f>
        <v/>
      </c>
      <c r="H2451" s="11" t="str">
        <f aca="false">IF($A2451="","",IF(MAX($E2451,$F2451,$G2451)&gt;1,"중복","-"))</f>
        <v/>
      </c>
      <c r="I2451" s="11" t="str">
        <f aca="false">IF($A2451="","",IF($H2451="-","-",IF(AND(IF(원본명단!$H2450="",TRUE(),COUNTIF(원본명단!$H$3:$H2450,원본명단!$H2450)=1),IF(원본명단!$I2450="",TRUE(),COUNTIF(원본명단!$I$3:$I2450,원본명단!$I2450)=1),IF(원본명단!$K2450="",TRUE(),COUNTIF(원본명단!$K$3:$K2450,원본명단!$K2450)=1)),"첫 건","중복 건")))</f>
        <v/>
      </c>
      <c r="J2451" s="11" t="str">
        <f aca="false">IF($A2451="","",IF($H2451="-","유지",IF($I2451="첫 건","유지","확인 필요")))</f>
        <v/>
      </c>
    </row>
    <row r="2452" customFormat="false" ht="15" hidden="false" customHeight="true" outlineLevel="0" collapsed="false">
      <c r="A2452" s="11" t="str">
        <f aca="false">IF(원본명단!$A2451="","",2449)</f>
        <v/>
      </c>
      <c r="B2452" s="12" t="str">
        <f aca="false">IF($A2452="","",원본명단!$A2451)</f>
        <v/>
      </c>
      <c r="C2452" s="12" t="str">
        <f aca="false">IF($A2452="","",원본명단!$B2451)</f>
        <v/>
      </c>
      <c r="D2452" s="12" t="str">
        <f aca="false">IF($A2452="","",원본명단!$D2451)</f>
        <v/>
      </c>
      <c r="E2452" s="11" t="str">
        <f aca="false">IF($A2452="","",IF(원본명단!$H2451="",0,COUNTIF(원본명단!$H$3:$H$6002,원본명단!$H2451)))</f>
        <v/>
      </c>
      <c r="F2452" s="11" t="str">
        <f aca="false">IF($A2452="","",IF(원본명단!$I2451="",0,COUNTIF(원본명단!$I$3:$I$6002,원본명단!$I2451)))</f>
        <v/>
      </c>
      <c r="G2452" s="11" t="str">
        <f aca="false">IF($A2452="","",IF(원본명단!$K2451="",0,COUNTIF(원본명단!$K$3:$K$6002,원본명단!$K2451)))</f>
        <v/>
      </c>
      <c r="H2452" s="11" t="str">
        <f aca="false">IF($A2452="","",IF(MAX($E2452,$F2452,$G2452)&gt;1,"중복","-"))</f>
        <v/>
      </c>
      <c r="I2452" s="11" t="str">
        <f aca="false">IF($A2452="","",IF($H2452="-","-",IF(AND(IF(원본명단!$H2451="",TRUE(),COUNTIF(원본명단!$H$3:$H2451,원본명단!$H2451)=1),IF(원본명단!$I2451="",TRUE(),COUNTIF(원본명단!$I$3:$I2451,원본명단!$I2451)=1),IF(원본명단!$K2451="",TRUE(),COUNTIF(원본명단!$K$3:$K2451,원본명단!$K2451)=1)),"첫 건","중복 건")))</f>
        <v/>
      </c>
      <c r="J2452" s="11" t="str">
        <f aca="false">IF($A2452="","",IF($H2452="-","유지",IF($I2452="첫 건","유지","확인 필요")))</f>
        <v/>
      </c>
    </row>
    <row r="2453" customFormat="false" ht="15" hidden="false" customHeight="true" outlineLevel="0" collapsed="false">
      <c r="A2453" s="11" t="str">
        <f aca="false">IF(원본명단!$A2452="","",2450)</f>
        <v/>
      </c>
      <c r="B2453" s="12" t="str">
        <f aca="false">IF($A2453="","",원본명단!$A2452)</f>
        <v/>
      </c>
      <c r="C2453" s="12" t="str">
        <f aca="false">IF($A2453="","",원본명단!$B2452)</f>
        <v/>
      </c>
      <c r="D2453" s="12" t="str">
        <f aca="false">IF($A2453="","",원본명단!$D2452)</f>
        <v/>
      </c>
      <c r="E2453" s="11" t="str">
        <f aca="false">IF($A2453="","",IF(원본명단!$H2452="",0,COUNTIF(원본명단!$H$3:$H$6002,원본명단!$H2452)))</f>
        <v/>
      </c>
      <c r="F2453" s="11" t="str">
        <f aca="false">IF($A2453="","",IF(원본명단!$I2452="",0,COUNTIF(원본명단!$I$3:$I$6002,원본명단!$I2452)))</f>
        <v/>
      </c>
      <c r="G2453" s="11" t="str">
        <f aca="false">IF($A2453="","",IF(원본명단!$K2452="",0,COUNTIF(원본명단!$K$3:$K$6002,원본명단!$K2452)))</f>
        <v/>
      </c>
      <c r="H2453" s="11" t="str">
        <f aca="false">IF($A2453="","",IF(MAX($E2453,$F2453,$G2453)&gt;1,"중복","-"))</f>
        <v/>
      </c>
      <c r="I2453" s="11" t="str">
        <f aca="false">IF($A2453="","",IF($H2453="-","-",IF(AND(IF(원본명단!$H2452="",TRUE(),COUNTIF(원본명단!$H$3:$H2452,원본명단!$H2452)=1),IF(원본명단!$I2452="",TRUE(),COUNTIF(원본명단!$I$3:$I2452,원본명단!$I2452)=1),IF(원본명단!$K2452="",TRUE(),COUNTIF(원본명단!$K$3:$K2452,원본명단!$K2452)=1)),"첫 건","중복 건")))</f>
        <v/>
      </c>
      <c r="J2453" s="11" t="str">
        <f aca="false">IF($A2453="","",IF($H2453="-","유지",IF($I2453="첫 건","유지","확인 필요")))</f>
        <v/>
      </c>
    </row>
    <row r="2454" customFormat="false" ht="15" hidden="false" customHeight="true" outlineLevel="0" collapsed="false">
      <c r="A2454" s="11" t="str">
        <f aca="false">IF(원본명단!$A2453="","",2451)</f>
        <v/>
      </c>
      <c r="B2454" s="12" t="str">
        <f aca="false">IF($A2454="","",원본명단!$A2453)</f>
        <v/>
      </c>
      <c r="C2454" s="12" t="str">
        <f aca="false">IF($A2454="","",원본명단!$B2453)</f>
        <v/>
      </c>
      <c r="D2454" s="12" t="str">
        <f aca="false">IF($A2454="","",원본명단!$D2453)</f>
        <v/>
      </c>
      <c r="E2454" s="11" t="str">
        <f aca="false">IF($A2454="","",IF(원본명단!$H2453="",0,COUNTIF(원본명단!$H$3:$H$6002,원본명단!$H2453)))</f>
        <v/>
      </c>
      <c r="F2454" s="11" t="str">
        <f aca="false">IF($A2454="","",IF(원본명단!$I2453="",0,COUNTIF(원본명단!$I$3:$I$6002,원본명단!$I2453)))</f>
        <v/>
      </c>
      <c r="G2454" s="11" t="str">
        <f aca="false">IF($A2454="","",IF(원본명단!$K2453="",0,COUNTIF(원본명단!$K$3:$K$6002,원본명단!$K2453)))</f>
        <v/>
      </c>
      <c r="H2454" s="11" t="str">
        <f aca="false">IF($A2454="","",IF(MAX($E2454,$F2454,$G2454)&gt;1,"중복","-"))</f>
        <v/>
      </c>
      <c r="I2454" s="11" t="str">
        <f aca="false">IF($A2454="","",IF($H2454="-","-",IF(AND(IF(원본명단!$H2453="",TRUE(),COUNTIF(원본명단!$H$3:$H2453,원본명단!$H2453)=1),IF(원본명단!$I2453="",TRUE(),COUNTIF(원본명단!$I$3:$I2453,원본명단!$I2453)=1),IF(원본명단!$K2453="",TRUE(),COUNTIF(원본명단!$K$3:$K2453,원본명단!$K2453)=1)),"첫 건","중복 건")))</f>
        <v/>
      </c>
      <c r="J2454" s="11" t="str">
        <f aca="false">IF($A2454="","",IF($H2454="-","유지",IF($I2454="첫 건","유지","확인 필요")))</f>
        <v/>
      </c>
    </row>
    <row r="2455" customFormat="false" ht="15" hidden="false" customHeight="true" outlineLevel="0" collapsed="false">
      <c r="A2455" s="11" t="str">
        <f aca="false">IF(원본명단!$A2454="","",2452)</f>
        <v/>
      </c>
      <c r="B2455" s="12" t="str">
        <f aca="false">IF($A2455="","",원본명단!$A2454)</f>
        <v/>
      </c>
      <c r="C2455" s="12" t="str">
        <f aca="false">IF($A2455="","",원본명단!$B2454)</f>
        <v/>
      </c>
      <c r="D2455" s="12" t="str">
        <f aca="false">IF($A2455="","",원본명단!$D2454)</f>
        <v/>
      </c>
      <c r="E2455" s="11" t="str">
        <f aca="false">IF($A2455="","",IF(원본명단!$H2454="",0,COUNTIF(원본명단!$H$3:$H$6002,원본명단!$H2454)))</f>
        <v/>
      </c>
      <c r="F2455" s="11" t="str">
        <f aca="false">IF($A2455="","",IF(원본명단!$I2454="",0,COUNTIF(원본명단!$I$3:$I$6002,원본명단!$I2454)))</f>
        <v/>
      </c>
      <c r="G2455" s="11" t="str">
        <f aca="false">IF($A2455="","",IF(원본명단!$K2454="",0,COUNTIF(원본명단!$K$3:$K$6002,원본명단!$K2454)))</f>
        <v/>
      </c>
      <c r="H2455" s="11" t="str">
        <f aca="false">IF($A2455="","",IF(MAX($E2455,$F2455,$G2455)&gt;1,"중복","-"))</f>
        <v/>
      </c>
      <c r="I2455" s="11" t="str">
        <f aca="false">IF($A2455="","",IF($H2455="-","-",IF(AND(IF(원본명단!$H2454="",TRUE(),COUNTIF(원본명단!$H$3:$H2454,원본명단!$H2454)=1),IF(원본명단!$I2454="",TRUE(),COUNTIF(원본명단!$I$3:$I2454,원본명단!$I2454)=1),IF(원본명단!$K2454="",TRUE(),COUNTIF(원본명단!$K$3:$K2454,원본명단!$K2454)=1)),"첫 건","중복 건")))</f>
        <v/>
      </c>
      <c r="J2455" s="11" t="str">
        <f aca="false">IF($A2455="","",IF($H2455="-","유지",IF($I2455="첫 건","유지","확인 필요")))</f>
        <v/>
      </c>
    </row>
    <row r="2456" customFormat="false" ht="15" hidden="false" customHeight="true" outlineLevel="0" collapsed="false">
      <c r="A2456" s="11" t="str">
        <f aca="false">IF(원본명단!$A2455="","",2453)</f>
        <v/>
      </c>
      <c r="B2456" s="12" t="str">
        <f aca="false">IF($A2456="","",원본명단!$A2455)</f>
        <v/>
      </c>
      <c r="C2456" s="12" t="str">
        <f aca="false">IF($A2456="","",원본명단!$B2455)</f>
        <v/>
      </c>
      <c r="D2456" s="12" t="str">
        <f aca="false">IF($A2456="","",원본명단!$D2455)</f>
        <v/>
      </c>
      <c r="E2456" s="11" t="str">
        <f aca="false">IF($A2456="","",IF(원본명단!$H2455="",0,COUNTIF(원본명단!$H$3:$H$6002,원본명단!$H2455)))</f>
        <v/>
      </c>
      <c r="F2456" s="11" t="str">
        <f aca="false">IF($A2456="","",IF(원본명단!$I2455="",0,COUNTIF(원본명단!$I$3:$I$6002,원본명단!$I2455)))</f>
        <v/>
      </c>
      <c r="G2456" s="11" t="str">
        <f aca="false">IF($A2456="","",IF(원본명단!$K2455="",0,COUNTIF(원본명단!$K$3:$K$6002,원본명단!$K2455)))</f>
        <v/>
      </c>
      <c r="H2456" s="11" t="str">
        <f aca="false">IF($A2456="","",IF(MAX($E2456,$F2456,$G2456)&gt;1,"중복","-"))</f>
        <v/>
      </c>
      <c r="I2456" s="11" t="str">
        <f aca="false">IF($A2456="","",IF($H2456="-","-",IF(AND(IF(원본명단!$H2455="",TRUE(),COUNTIF(원본명단!$H$3:$H2455,원본명단!$H2455)=1),IF(원본명단!$I2455="",TRUE(),COUNTIF(원본명단!$I$3:$I2455,원본명단!$I2455)=1),IF(원본명단!$K2455="",TRUE(),COUNTIF(원본명단!$K$3:$K2455,원본명단!$K2455)=1)),"첫 건","중복 건")))</f>
        <v/>
      </c>
      <c r="J2456" s="11" t="str">
        <f aca="false">IF($A2456="","",IF($H2456="-","유지",IF($I2456="첫 건","유지","확인 필요")))</f>
        <v/>
      </c>
    </row>
    <row r="2457" customFormat="false" ht="15" hidden="false" customHeight="true" outlineLevel="0" collapsed="false">
      <c r="A2457" s="11" t="str">
        <f aca="false">IF(원본명단!$A2456="","",2454)</f>
        <v/>
      </c>
      <c r="B2457" s="12" t="str">
        <f aca="false">IF($A2457="","",원본명단!$A2456)</f>
        <v/>
      </c>
      <c r="C2457" s="12" t="str">
        <f aca="false">IF($A2457="","",원본명단!$B2456)</f>
        <v/>
      </c>
      <c r="D2457" s="12" t="str">
        <f aca="false">IF($A2457="","",원본명단!$D2456)</f>
        <v/>
      </c>
      <c r="E2457" s="11" t="str">
        <f aca="false">IF($A2457="","",IF(원본명단!$H2456="",0,COUNTIF(원본명단!$H$3:$H$6002,원본명단!$H2456)))</f>
        <v/>
      </c>
      <c r="F2457" s="11" t="str">
        <f aca="false">IF($A2457="","",IF(원본명단!$I2456="",0,COUNTIF(원본명단!$I$3:$I$6002,원본명단!$I2456)))</f>
        <v/>
      </c>
      <c r="G2457" s="11" t="str">
        <f aca="false">IF($A2457="","",IF(원본명단!$K2456="",0,COUNTIF(원본명단!$K$3:$K$6002,원본명단!$K2456)))</f>
        <v/>
      </c>
      <c r="H2457" s="11" t="str">
        <f aca="false">IF($A2457="","",IF(MAX($E2457,$F2457,$G2457)&gt;1,"중복","-"))</f>
        <v/>
      </c>
      <c r="I2457" s="11" t="str">
        <f aca="false">IF($A2457="","",IF($H2457="-","-",IF(AND(IF(원본명단!$H2456="",TRUE(),COUNTIF(원본명단!$H$3:$H2456,원본명단!$H2456)=1),IF(원본명단!$I2456="",TRUE(),COUNTIF(원본명단!$I$3:$I2456,원본명단!$I2456)=1),IF(원본명단!$K2456="",TRUE(),COUNTIF(원본명단!$K$3:$K2456,원본명단!$K2456)=1)),"첫 건","중복 건")))</f>
        <v/>
      </c>
      <c r="J2457" s="11" t="str">
        <f aca="false">IF($A2457="","",IF($H2457="-","유지",IF($I2457="첫 건","유지","확인 필요")))</f>
        <v/>
      </c>
    </row>
    <row r="2458" customFormat="false" ht="15" hidden="false" customHeight="true" outlineLevel="0" collapsed="false">
      <c r="A2458" s="11" t="str">
        <f aca="false">IF(원본명단!$A2457="","",2455)</f>
        <v/>
      </c>
      <c r="B2458" s="12" t="str">
        <f aca="false">IF($A2458="","",원본명단!$A2457)</f>
        <v/>
      </c>
      <c r="C2458" s="12" t="str">
        <f aca="false">IF($A2458="","",원본명단!$B2457)</f>
        <v/>
      </c>
      <c r="D2458" s="12" t="str">
        <f aca="false">IF($A2458="","",원본명단!$D2457)</f>
        <v/>
      </c>
      <c r="E2458" s="11" t="str">
        <f aca="false">IF($A2458="","",IF(원본명단!$H2457="",0,COUNTIF(원본명단!$H$3:$H$6002,원본명단!$H2457)))</f>
        <v/>
      </c>
      <c r="F2458" s="11" t="str">
        <f aca="false">IF($A2458="","",IF(원본명단!$I2457="",0,COUNTIF(원본명단!$I$3:$I$6002,원본명단!$I2457)))</f>
        <v/>
      </c>
      <c r="G2458" s="11" t="str">
        <f aca="false">IF($A2458="","",IF(원본명단!$K2457="",0,COUNTIF(원본명단!$K$3:$K$6002,원본명단!$K2457)))</f>
        <v/>
      </c>
      <c r="H2458" s="11" t="str">
        <f aca="false">IF($A2458="","",IF(MAX($E2458,$F2458,$G2458)&gt;1,"중복","-"))</f>
        <v/>
      </c>
      <c r="I2458" s="11" t="str">
        <f aca="false">IF($A2458="","",IF($H2458="-","-",IF(AND(IF(원본명단!$H2457="",TRUE(),COUNTIF(원본명단!$H$3:$H2457,원본명단!$H2457)=1),IF(원본명단!$I2457="",TRUE(),COUNTIF(원본명단!$I$3:$I2457,원본명단!$I2457)=1),IF(원본명단!$K2457="",TRUE(),COUNTIF(원본명단!$K$3:$K2457,원본명단!$K2457)=1)),"첫 건","중복 건")))</f>
        <v/>
      </c>
      <c r="J2458" s="11" t="str">
        <f aca="false">IF($A2458="","",IF($H2458="-","유지",IF($I2458="첫 건","유지","확인 필요")))</f>
        <v/>
      </c>
    </row>
    <row r="2459" customFormat="false" ht="15" hidden="false" customHeight="true" outlineLevel="0" collapsed="false">
      <c r="A2459" s="11" t="str">
        <f aca="false">IF(원본명단!$A2458="","",2456)</f>
        <v/>
      </c>
      <c r="B2459" s="12" t="str">
        <f aca="false">IF($A2459="","",원본명단!$A2458)</f>
        <v/>
      </c>
      <c r="C2459" s="12" t="str">
        <f aca="false">IF($A2459="","",원본명단!$B2458)</f>
        <v/>
      </c>
      <c r="D2459" s="12" t="str">
        <f aca="false">IF($A2459="","",원본명단!$D2458)</f>
        <v/>
      </c>
      <c r="E2459" s="11" t="str">
        <f aca="false">IF($A2459="","",IF(원본명단!$H2458="",0,COUNTIF(원본명단!$H$3:$H$6002,원본명단!$H2458)))</f>
        <v/>
      </c>
      <c r="F2459" s="11" t="str">
        <f aca="false">IF($A2459="","",IF(원본명단!$I2458="",0,COUNTIF(원본명단!$I$3:$I$6002,원본명단!$I2458)))</f>
        <v/>
      </c>
      <c r="G2459" s="11" t="str">
        <f aca="false">IF($A2459="","",IF(원본명단!$K2458="",0,COUNTIF(원본명단!$K$3:$K$6002,원본명단!$K2458)))</f>
        <v/>
      </c>
      <c r="H2459" s="11" t="str">
        <f aca="false">IF($A2459="","",IF(MAX($E2459,$F2459,$G2459)&gt;1,"중복","-"))</f>
        <v/>
      </c>
      <c r="I2459" s="11" t="str">
        <f aca="false">IF($A2459="","",IF($H2459="-","-",IF(AND(IF(원본명단!$H2458="",TRUE(),COUNTIF(원본명단!$H$3:$H2458,원본명단!$H2458)=1),IF(원본명단!$I2458="",TRUE(),COUNTIF(원본명단!$I$3:$I2458,원본명단!$I2458)=1),IF(원본명단!$K2458="",TRUE(),COUNTIF(원본명단!$K$3:$K2458,원본명단!$K2458)=1)),"첫 건","중복 건")))</f>
        <v/>
      </c>
      <c r="J2459" s="11" t="str">
        <f aca="false">IF($A2459="","",IF($H2459="-","유지",IF($I2459="첫 건","유지","확인 필요")))</f>
        <v/>
      </c>
    </row>
    <row r="2460" customFormat="false" ht="15" hidden="false" customHeight="true" outlineLevel="0" collapsed="false">
      <c r="A2460" s="11" t="str">
        <f aca="false">IF(원본명단!$A2459="","",2457)</f>
        <v/>
      </c>
      <c r="B2460" s="12" t="str">
        <f aca="false">IF($A2460="","",원본명단!$A2459)</f>
        <v/>
      </c>
      <c r="C2460" s="12" t="str">
        <f aca="false">IF($A2460="","",원본명단!$B2459)</f>
        <v/>
      </c>
      <c r="D2460" s="12" t="str">
        <f aca="false">IF($A2460="","",원본명단!$D2459)</f>
        <v/>
      </c>
      <c r="E2460" s="11" t="str">
        <f aca="false">IF($A2460="","",IF(원본명단!$H2459="",0,COUNTIF(원본명단!$H$3:$H$6002,원본명단!$H2459)))</f>
        <v/>
      </c>
      <c r="F2460" s="11" t="str">
        <f aca="false">IF($A2460="","",IF(원본명단!$I2459="",0,COUNTIF(원본명단!$I$3:$I$6002,원본명단!$I2459)))</f>
        <v/>
      </c>
      <c r="G2460" s="11" t="str">
        <f aca="false">IF($A2460="","",IF(원본명단!$K2459="",0,COUNTIF(원본명단!$K$3:$K$6002,원본명단!$K2459)))</f>
        <v/>
      </c>
      <c r="H2460" s="11" t="str">
        <f aca="false">IF($A2460="","",IF(MAX($E2460,$F2460,$G2460)&gt;1,"중복","-"))</f>
        <v/>
      </c>
      <c r="I2460" s="11" t="str">
        <f aca="false">IF($A2460="","",IF($H2460="-","-",IF(AND(IF(원본명단!$H2459="",TRUE(),COUNTIF(원본명단!$H$3:$H2459,원본명단!$H2459)=1),IF(원본명단!$I2459="",TRUE(),COUNTIF(원본명단!$I$3:$I2459,원본명단!$I2459)=1),IF(원본명단!$K2459="",TRUE(),COUNTIF(원본명단!$K$3:$K2459,원본명단!$K2459)=1)),"첫 건","중복 건")))</f>
        <v/>
      </c>
      <c r="J2460" s="11" t="str">
        <f aca="false">IF($A2460="","",IF($H2460="-","유지",IF($I2460="첫 건","유지","확인 필요")))</f>
        <v/>
      </c>
    </row>
    <row r="2461" customFormat="false" ht="15" hidden="false" customHeight="true" outlineLevel="0" collapsed="false">
      <c r="A2461" s="11" t="str">
        <f aca="false">IF(원본명단!$A2460="","",2458)</f>
        <v/>
      </c>
      <c r="B2461" s="12" t="str">
        <f aca="false">IF($A2461="","",원본명단!$A2460)</f>
        <v/>
      </c>
      <c r="C2461" s="12" t="str">
        <f aca="false">IF($A2461="","",원본명단!$B2460)</f>
        <v/>
      </c>
      <c r="D2461" s="12" t="str">
        <f aca="false">IF($A2461="","",원본명단!$D2460)</f>
        <v/>
      </c>
      <c r="E2461" s="11" t="str">
        <f aca="false">IF($A2461="","",IF(원본명단!$H2460="",0,COUNTIF(원본명단!$H$3:$H$6002,원본명단!$H2460)))</f>
        <v/>
      </c>
      <c r="F2461" s="11" t="str">
        <f aca="false">IF($A2461="","",IF(원본명단!$I2460="",0,COUNTIF(원본명단!$I$3:$I$6002,원본명단!$I2460)))</f>
        <v/>
      </c>
      <c r="G2461" s="11" t="str">
        <f aca="false">IF($A2461="","",IF(원본명단!$K2460="",0,COUNTIF(원본명단!$K$3:$K$6002,원본명단!$K2460)))</f>
        <v/>
      </c>
      <c r="H2461" s="11" t="str">
        <f aca="false">IF($A2461="","",IF(MAX($E2461,$F2461,$G2461)&gt;1,"중복","-"))</f>
        <v/>
      </c>
      <c r="I2461" s="11" t="str">
        <f aca="false">IF($A2461="","",IF($H2461="-","-",IF(AND(IF(원본명단!$H2460="",TRUE(),COUNTIF(원본명단!$H$3:$H2460,원본명단!$H2460)=1),IF(원본명단!$I2460="",TRUE(),COUNTIF(원본명단!$I$3:$I2460,원본명단!$I2460)=1),IF(원본명단!$K2460="",TRUE(),COUNTIF(원본명단!$K$3:$K2460,원본명단!$K2460)=1)),"첫 건","중복 건")))</f>
        <v/>
      </c>
      <c r="J2461" s="11" t="str">
        <f aca="false">IF($A2461="","",IF($H2461="-","유지",IF($I2461="첫 건","유지","확인 필요")))</f>
        <v/>
      </c>
    </row>
    <row r="2462" customFormat="false" ht="15" hidden="false" customHeight="true" outlineLevel="0" collapsed="false">
      <c r="A2462" s="11" t="str">
        <f aca="false">IF(원본명단!$A2461="","",2459)</f>
        <v/>
      </c>
      <c r="B2462" s="12" t="str">
        <f aca="false">IF($A2462="","",원본명단!$A2461)</f>
        <v/>
      </c>
      <c r="C2462" s="12" t="str">
        <f aca="false">IF($A2462="","",원본명단!$B2461)</f>
        <v/>
      </c>
      <c r="D2462" s="12" t="str">
        <f aca="false">IF($A2462="","",원본명단!$D2461)</f>
        <v/>
      </c>
      <c r="E2462" s="11" t="str">
        <f aca="false">IF($A2462="","",IF(원본명단!$H2461="",0,COUNTIF(원본명단!$H$3:$H$6002,원본명단!$H2461)))</f>
        <v/>
      </c>
      <c r="F2462" s="11" t="str">
        <f aca="false">IF($A2462="","",IF(원본명단!$I2461="",0,COUNTIF(원본명단!$I$3:$I$6002,원본명단!$I2461)))</f>
        <v/>
      </c>
      <c r="G2462" s="11" t="str">
        <f aca="false">IF($A2462="","",IF(원본명단!$K2461="",0,COUNTIF(원본명단!$K$3:$K$6002,원본명단!$K2461)))</f>
        <v/>
      </c>
      <c r="H2462" s="11" t="str">
        <f aca="false">IF($A2462="","",IF(MAX($E2462,$F2462,$G2462)&gt;1,"중복","-"))</f>
        <v/>
      </c>
      <c r="I2462" s="11" t="str">
        <f aca="false">IF($A2462="","",IF($H2462="-","-",IF(AND(IF(원본명단!$H2461="",TRUE(),COUNTIF(원본명단!$H$3:$H2461,원본명단!$H2461)=1),IF(원본명단!$I2461="",TRUE(),COUNTIF(원본명단!$I$3:$I2461,원본명단!$I2461)=1),IF(원본명단!$K2461="",TRUE(),COUNTIF(원본명단!$K$3:$K2461,원본명단!$K2461)=1)),"첫 건","중복 건")))</f>
        <v/>
      </c>
      <c r="J2462" s="11" t="str">
        <f aca="false">IF($A2462="","",IF($H2462="-","유지",IF($I2462="첫 건","유지","확인 필요")))</f>
        <v/>
      </c>
    </row>
    <row r="2463" customFormat="false" ht="15" hidden="false" customHeight="true" outlineLevel="0" collapsed="false">
      <c r="A2463" s="11" t="str">
        <f aca="false">IF(원본명단!$A2462="","",2460)</f>
        <v/>
      </c>
      <c r="B2463" s="12" t="str">
        <f aca="false">IF($A2463="","",원본명단!$A2462)</f>
        <v/>
      </c>
      <c r="C2463" s="12" t="str">
        <f aca="false">IF($A2463="","",원본명단!$B2462)</f>
        <v/>
      </c>
      <c r="D2463" s="12" t="str">
        <f aca="false">IF($A2463="","",원본명단!$D2462)</f>
        <v/>
      </c>
      <c r="E2463" s="11" t="str">
        <f aca="false">IF($A2463="","",IF(원본명단!$H2462="",0,COUNTIF(원본명단!$H$3:$H$6002,원본명단!$H2462)))</f>
        <v/>
      </c>
      <c r="F2463" s="11" t="str">
        <f aca="false">IF($A2463="","",IF(원본명단!$I2462="",0,COUNTIF(원본명단!$I$3:$I$6002,원본명단!$I2462)))</f>
        <v/>
      </c>
      <c r="G2463" s="11" t="str">
        <f aca="false">IF($A2463="","",IF(원본명단!$K2462="",0,COUNTIF(원본명단!$K$3:$K$6002,원본명단!$K2462)))</f>
        <v/>
      </c>
      <c r="H2463" s="11" t="str">
        <f aca="false">IF($A2463="","",IF(MAX($E2463,$F2463,$G2463)&gt;1,"중복","-"))</f>
        <v/>
      </c>
      <c r="I2463" s="11" t="str">
        <f aca="false">IF($A2463="","",IF($H2463="-","-",IF(AND(IF(원본명단!$H2462="",TRUE(),COUNTIF(원본명단!$H$3:$H2462,원본명단!$H2462)=1),IF(원본명단!$I2462="",TRUE(),COUNTIF(원본명단!$I$3:$I2462,원본명단!$I2462)=1),IF(원본명단!$K2462="",TRUE(),COUNTIF(원본명단!$K$3:$K2462,원본명단!$K2462)=1)),"첫 건","중복 건")))</f>
        <v/>
      </c>
      <c r="J2463" s="11" t="str">
        <f aca="false">IF($A2463="","",IF($H2463="-","유지",IF($I2463="첫 건","유지","확인 필요")))</f>
        <v/>
      </c>
    </row>
    <row r="2464" customFormat="false" ht="15" hidden="false" customHeight="true" outlineLevel="0" collapsed="false">
      <c r="A2464" s="11" t="str">
        <f aca="false">IF(원본명단!$A2463="","",2461)</f>
        <v/>
      </c>
      <c r="B2464" s="12" t="str">
        <f aca="false">IF($A2464="","",원본명단!$A2463)</f>
        <v/>
      </c>
      <c r="C2464" s="12" t="str">
        <f aca="false">IF($A2464="","",원본명단!$B2463)</f>
        <v/>
      </c>
      <c r="D2464" s="12" t="str">
        <f aca="false">IF($A2464="","",원본명단!$D2463)</f>
        <v/>
      </c>
      <c r="E2464" s="11" t="str">
        <f aca="false">IF($A2464="","",IF(원본명단!$H2463="",0,COUNTIF(원본명단!$H$3:$H$6002,원본명단!$H2463)))</f>
        <v/>
      </c>
      <c r="F2464" s="11" t="str">
        <f aca="false">IF($A2464="","",IF(원본명단!$I2463="",0,COUNTIF(원본명단!$I$3:$I$6002,원본명단!$I2463)))</f>
        <v/>
      </c>
      <c r="G2464" s="11" t="str">
        <f aca="false">IF($A2464="","",IF(원본명단!$K2463="",0,COUNTIF(원본명단!$K$3:$K$6002,원본명단!$K2463)))</f>
        <v/>
      </c>
      <c r="H2464" s="11" t="str">
        <f aca="false">IF($A2464="","",IF(MAX($E2464,$F2464,$G2464)&gt;1,"중복","-"))</f>
        <v/>
      </c>
      <c r="I2464" s="11" t="str">
        <f aca="false">IF($A2464="","",IF($H2464="-","-",IF(AND(IF(원본명단!$H2463="",TRUE(),COUNTIF(원본명단!$H$3:$H2463,원본명단!$H2463)=1),IF(원본명단!$I2463="",TRUE(),COUNTIF(원본명단!$I$3:$I2463,원본명단!$I2463)=1),IF(원본명단!$K2463="",TRUE(),COUNTIF(원본명단!$K$3:$K2463,원본명단!$K2463)=1)),"첫 건","중복 건")))</f>
        <v/>
      </c>
      <c r="J2464" s="11" t="str">
        <f aca="false">IF($A2464="","",IF($H2464="-","유지",IF($I2464="첫 건","유지","확인 필요")))</f>
        <v/>
      </c>
    </row>
    <row r="2465" customFormat="false" ht="15" hidden="false" customHeight="true" outlineLevel="0" collapsed="false">
      <c r="A2465" s="11" t="str">
        <f aca="false">IF(원본명단!$A2464="","",2462)</f>
        <v/>
      </c>
      <c r="B2465" s="12" t="str">
        <f aca="false">IF($A2465="","",원본명단!$A2464)</f>
        <v/>
      </c>
      <c r="C2465" s="12" t="str">
        <f aca="false">IF($A2465="","",원본명단!$B2464)</f>
        <v/>
      </c>
      <c r="D2465" s="12" t="str">
        <f aca="false">IF($A2465="","",원본명단!$D2464)</f>
        <v/>
      </c>
      <c r="E2465" s="11" t="str">
        <f aca="false">IF($A2465="","",IF(원본명단!$H2464="",0,COUNTIF(원본명단!$H$3:$H$6002,원본명단!$H2464)))</f>
        <v/>
      </c>
      <c r="F2465" s="11" t="str">
        <f aca="false">IF($A2465="","",IF(원본명단!$I2464="",0,COUNTIF(원본명단!$I$3:$I$6002,원본명단!$I2464)))</f>
        <v/>
      </c>
      <c r="G2465" s="11" t="str">
        <f aca="false">IF($A2465="","",IF(원본명단!$K2464="",0,COUNTIF(원본명단!$K$3:$K$6002,원본명단!$K2464)))</f>
        <v/>
      </c>
      <c r="H2465" s="11" t="str">
        <f aca="false">IF($A2465="","",IF(MAX($E2465,$F2465,$G2465)&gt;1,"중복","-"))</f>
        <v/>
      </c>
      <c r="I2465" s="11" t="str">
        <f aca="false">IF($A2465="","",IF($H2465="-","-",IF(AND(IF(원본명단!$H2464="",TRUE(),COUNTIF(원본명단!$H$3:$H2464,원본명단!$H2464)=1),IF(원본명단!$I2464="",TRUE(),COUNTIF(원본명단!$I$3:$I2464,원본명단!$I2464)=1),IF(원본명단!$K2464="",TRUE(),COUNTIF(원본명단!$K$3:$K2464,원본명단!$K2464)=1)),"첫 건","중복 건")))</f>
        <v/>
      </c>
      <c r="J2465" s="11" t="str">
        <f aca="false">IF($A2465="","",IF($H2465="-","유지",IF($I2465="첫 건","유지","확인 필요")))</f>
        <v/>
      </c>
    </row>
    <row r="2466" customFormat="false" ht="15" hidden="false" customHeight="true" outlineLevel="0" collapsed="false">
      <c r="A2466" s="11" t="str">
        <f aca="false">IF(원본명단!$A2465="","",2463)</f>
        <v/>
      </c>
      <c r="B2466" s="12" t="str">
        <f aca="false">IF($A2466="","",원본명단!$A2465)</f>
        <v/>
      </c>
      <c r="C2466" s="12" t="str">
        <f aca="false">IF($A2466="","",원본명단!$B2465)</f>
        <v/>
      </c>
      <c r="D2466" s="12" t="str">
        <f aca="false">IF($A2466="","",원본명단!$D2465)</f>
        <v/>
      </c>
      <c r="E2466" s="11" t="str">
        <f aca="false">IF($A2466="","",IF(원본명단!$H2465="",0,COUNTIF(원본명단!$H$3:$H$6002,원본명단!$H2465)))</f>
        <v/>
      </c>
      <c r="F2466" s="11" t="str">
        <f aca="false">IF($A2466="","",IF(원본명단!$I2465="",0,COUNTIF(원본명단!$I$3:$I$6002,원본명단!$I2465)))</f>
        <v/>
      </c>
      <c r="G2466" s="11" t="str">
        <f aca="false">IF($A2466="","",IF(원본명단!$K2465="",0,COUNTIF(원본명단!$K$3:$K$6002,원본명단!$K2465)))</f>
        <v/>
      </c>
      <c r="H2466" s="11" t="str">
        <f aca="false">IF($A2466="","",IF(MAX($E2466,$F2466,$G2466)&gt;1,"중복","-"))</f>
        <v/>
      </c>
      <c r="I2466" s="11" t="str">
        <f aca="false">IF($A2466="","",IF($H2466="-","-",IF(AND(IF(원본명단!$H2465="",TRUE(),COUNTIF(원본명단!$H$3:$H2465,원본명단!$H2465)=1),IF(원본명단!$I2465="",TRUE(),COUNTIF(원본명단!$I$3:$I2465,원본명단!$I2465)=1),IF(원본명단!$K2465="",TRUE(),COUNTIF(원본명단!$K$3:$K2465,원본명단!$K2465)=1)),"첫 건","중복 건")))</f>
        <v/>
      </c>
      <c r="J2466" s="11" t="str">
        <f aca="false">IF($A2466="","",IF($H2466="-","유지",IF($I2466="첫 건","유지","확인 필요")))</f>
        <v/>
      </c>
    </row>
    <row r="2467" customFormat="false" ht="15" hidden="false" customHeight="true" outlineLevel="0" collapsed="false">
      <c r="A2467" s="11" t="str">
        <f aca="false">IF(원본명단!$A2466="","",2464)</f>
        <v/>
      </c>
      <c r="B2467" s="12" t="str">
        <f aca="false">IF($A2467="","",원본명단!$A2466)</f>
        <v/>
      </c>
      <c r="C2467" s="12" t="str">
        <f aca="false">IF($A2467="","",원본명단!$B2466)</f>
        <v/>
      </c>
      <c r="D2467" s="12" t="str">
        <f aca="false">IF($A2467="","",원본명단!$D2466)</f>
        <v/>
      </c>
      <c r="E2467" s="11" t="str">
        <f aca="false">IF($A2467="","",IF(원본명단!$H2466="",0,COUNTIF(원본명단!$H$3:$H$6002,원본명단!$H2466)))</f>
        <v/>
      </c>
      <c r="F2467" s="11" t="str">
        <f aca="false">IF($A2467="","",IF(원본명단!$I2466="",0,COUNTIF(원본명단!$I$3:$I$6002,원본명단!$I2466)))</f>
        <v/>
      </c>
      <c r="G2467" s="11" t="str">
        <f aca="false">IF($A2467="","",IF(원본명단!$K2466="",0,COUNTIF(원본명단!$K$3:$K$6002,원본명단!$K2466)))</f>
        <v/>
      </c>
      <c r="H2467" s="11" t="str">
        <f aca="false">IF($A2467="","",IF(MAX($E2467,$F2467,$G2467)&gt;1,"중복","-"))</f>
        <v/>
      </c>
      <c r="I2467" s="11" t="str">
        <f aca="false">IF($A2467="","",IF($H2467="-","-",IF(AND(IF(원본명단!$H2466="",TRUE(),COUNTIF(원본명단!$H$3:$H2466,원본명단!$H2466)=1),IF(원본명단!$I2466="",TRUE(),COUNTIF(원본명단!$I$3:$I2466,원본명단!$I2466)=1),IF(원본명단!$K2466="",TRUE(),COUNTIF(원본명단!$K$3:$K2466,원본명단!$K2466)=1)),"첫 건","중복 건")))</f>
        <v/>
      </c>
      <c r="J2467" s="11" t="str">
        <f aca="false">IF($A2467="","",IF($H2467="-","유지",IF($I2467="첫 건","유지","확인 필요")))</f>
        <v/>
      </c>
    </row>
    <row r="2468" customFormat="false" ht="15" hidden="false" customHeight="true" outlineLevel="0" collapsed="false">
      <c r="A2468" s="11" t="str">
        <f aca="false">IF(원본명단!$A2467="","",2465)</f>
        <v/>
      </c>
      <c r="B2468" s="12" t="str">
        <f aca="false">IF($A2468="","",원본명단!$A2467)</f>
        <v/>
      </c>
      <c r="C2468" s="12" t="str">
        <f aca="false">IF($A2468="","",원본명단!$B2467)</f>
        <v/>
      </c>
      <c r="D2468" s="12" t="str">
        <f aca="false">IF($A2468="","",원본명단!$D2467)</f>
        <v/>
      </c>
      <c r="E2468" s="11" t="str">
        <f aca="false">IF($A2468="","",IF(원본명단!$H2467="",0,COUNTIF(원본명단!$H$3:$H$6002,원본명단!$H2467)))</f>
        <v/>
      </c>
      <c r="F2468" s="11" t="str">
        <f aca="false">IF($A2468="","",IF(원본명단!$I2467="",0,COUNTIF(원본명단!$I$3:$I$6002,원본명단!$I2467)))</f>
        <v/>
      </c>
      <c r="G2468" s="11" t="str">
        <f aca="false">IF($A2468="","",IF(원본명단!$K2467="",0,COUNTIF(원본명단!$K$3:$K$6002,원본명단!$K2467)))</f>
        <v/>
      </c>
      <c r="H2468" s="11" t="str">
        <f aca="false">IF($A2468="","",IF(MAX($E2468,$F2468,$G2468)&gt;1,"중복","-"))</f>
        <v/>
      </c>
      <c r="I2468" s="11" t="str">
        <f aca="false">IF($A2468="","",IF($H2468="-","-",IF(AND(IF(원본명단!$H2467="",TRUE(),COUNTIF(원본명단!$H$3:$H2467,원본명단!$H2467)=1),IF(원본명단!$I2467="",TRUE(),COUNTIF(원본명단!$I$3:$I2467,원본명단!$I2467)=1),IF(원본명단!$K2467="",TRUE(),COUNTIF(원본명단!$K$3:$K2467,원본명단!$K2467)=1)),"첫 건","중복 건")))</f>
        <v/>
      </c>
      <c r="J2468" s="11" t="str">
        <f aca="false">IF($A2468="","",IF($H2468="-","유지",IF($I2468="첫 건","유지","확인 필요")))</f>
        <v/>
      </c>
    </row>
    <row r="2469" customFormat="false" ht="15" hidden="false" customHeight="true" outlineLevel="0" collapsed="false">
      <c r="A2469" s="11" t="str">
        <f aca="false">IF(원본명단!$A2468="","",2466)</f>
        <v/>
      </c>
      <c r="B2469" s="12" t="str">
        <f aca="false">IF($A2469="","",원본명단!$A2468)</f>
        <v/>
      </c>
      <c r="C2469" s="12" t="str">
        <f aca="false">IF($A2469="","",원본명단!$B2468)</f>
        <v/>
      </c>
      <c r="D2469" s="12" t="str">
        <f aca="false">IF($A2469="","",원본명단!$D2468)</f>
        <v/>
      </c>
      <c r="E2469" s="11" t="str">
        <f aca="false">IF($A2469="","",IF(원본명단!$H2468="",0,COUNTIF(원본명단!$H$3:$H$6002,원본명단!$H2468)))</f>
        <v/>
      </c>
      <c r="F2469" s="11" t="str">
        <f aca="false">IF($A2469="","",IF(원본명단!$I2468="",0,COUNTIF(원본명단!$I$3:$I$6002,원본명단!$I2468)))</f>
        <v/>
      </c>
      <c r="G2469" s="11" t="str">
        <f aca="false">IF($A2469="","",IF(원본명단!$K2468="",0,COUNTIF(원본명단!$K$3:$K$6002,원본명단!$K2468)))</f>
        <v/>
      </c>
      <c r="H2469" s="11" t="str">
        <f aca="false">IF($A2469="","",IF(MAX($E2469,$F2469,$G2469)&gt;1,"중복","-"))</f>
        <v/>
      </c>
      <c r="I2469" s="11" t="str">
        <f aca="false">IF($A2469="","",IF($H2469="-","-",IF(AND(IF(원본명단!$H2468="",TRUE(),COUNTIF(원본명단!$H$3:$H2468,원본명단!$H2468)=1),IF(원본명단!$I2468="",TRUE(),COUNTIF(원본명단!$I$3:$I2468,원본명단!$I2468)=1),IF(원본명단!$K2468="",TRUE(),COUNTIF(원본명단!$K$3:$K2468,원본명단!$K2468)=1)),"첫 건","중복 건")))</f>
        <v/>
      </c>
      <c r="J2469" s="11" t="str">
        <f aca="false">IF($A2469="","",IF($H2469="-","유지",IF($I2469="첫 건","유지","확인 필요")))</f>
        <v/>
      </c>
    </row>
    <row r="2470" customFormat="false" ht="15" hidden="false" customHeight="true" outlineLevel="0" collapsed="false">
      <c r="A2470" s="11" t="str">
        <f aca="false">IF(원본명단!$A2469="","",2467)</f>
        <v/>
      </c>
      <c r="B2470" s="12" t="str">
        <f aca="false">IF($A2470="","",원본명단!$A2469)</f>
        <v/>
      </c>
      <c r="C2470" s="12" t="str">
        <f aca="false">IF($A2470="","",원본명단!$B2469)</f>
        <v/>
      </c>
      <c r="D2470" s="12" t="str">
        <f aca="false">IF($A2470="","",원본명단!$D2469)</f>
        <v/>
      </c>
      <c r="E2470" s="11" t="str">
        <f aca="false">IF($A2470="","",IF(원본명단!$H2469="",0,COUNTIF(원본명단!$H$3:$H$6002,원본명단!$H2469)))</f>
        <v/>
      </c>
      <c r="F2470" s="11" t="str">
        <f aca="false">IF($A2470="","",IF(원본명단!$I2469="",0,COUNTIF(원본명단!$I$3:$I$6002,원본명단!$I2469)))</f>
        <v/>
      </c>
      <c r="G2470" s="11" t="str">
        <f aca="false">IF($A2470="","",IF(원본명단!$K2469="",0,COUNTIF(원본명단!$K$3:$K$6002,원본명단!$K2469)))</f>
        <v/>
      </c>
      <c r="H2470" s="11" t="str">
        <f aca="false">IF($A2470="","",IF(MAX($E2470,$F2470,$G2470)&gt;1,"중복","-"))</f>
        <v/>
      </c>
      <c r="I2470" s="11" t="str">
        <f aca="false">IF($A2470="","",IF($H2470="-","-",IF(AND(IF(원본명단!$H2469="",TRUE(),COUNTIF(원본명단!$H$3:$H2469,원본명단!$H2469)=1),IF(원본명단!$I2469="",TRUE(),COUNTIF(원본명단!$I$3:$I2469,원본명단!$I2469)=1),IF(원본명단!$K2469="",TRUE(),COUNTIF(원본명단!$K$3:$K2469,원본명단!$K2469)=1)),"첫 건","중복 건")))</f>
        <v/>
      </c>
      <c r="J2470" s="11" t="str">
        <f aca="false">IF($A2470="","",IF($H2470="-","유지",IF($I2470="첫 건","유지","확인 필요")))</f>
        <v/>
      </c>
    </row>
    <row r="2471" customFormat="false" ht="15" hidden="false" customHeight="true" outlineLevel="0" collapsed="false">
      <c r="A2471" s="11" t="str">
        <f aca="false">IF(원본명단!$A2470="","",2468)</f>
        <v/>
      </c>
      <c r="B2471" s="12" t="str">
        <f aca="false">IF($A2471="","",원본명단!$A2470)</f>
        <v/>
      </c>
      <c r="C2471" s="12" t="str">
        <f aca="false">IF($A2471="","",원본명단!$B2470)</f>
        <v/>
      </c>
      <c r="D2471" s="12" t="str">
        <f aca="false">IF($A2471="","",원본명단!$D2470)</f>
        <v/>
      </c>
      <c r="E2471" s="11" t="str">
        <f aca="false">IF($A2471="","",IF(원본명단!$H2470="",0,COUNTIF(원본명단!$H$3:$H$6002,원본명단!$H2470)))</f>
        <v/>
      </c>
      <c r="F2471" s="11" t="str">
        <f aca="false">IF($A2471="","",IF(원본명단!$I2470="",0,COUNTIF(원본명단!$I$3:$I$6002,원본명단!$I2470)))</f>
        <v/>
      </c>
      <c r="G2471" s="11" t="str">
        <f aca="false">IF($A2471="","",IF(원본명단!$K2470="",0,COUNTIF(원본명단!$K$3:$K$6002,원본명단!$K2470)))</f>
        <v/>
      </c>
      <c r="H2471" s="11" t="str">
        <f aca="false">IF($A2471="","",IF(MAX($E2471,$F2471,$G2471)&gt;1,"중복","-"))</f>
        <v/>
      </c>
      <c r="I2471" s="11" t="str">
        <f aca="false">IF($A2471="","",IF($H2471="-","-",IF(AND(IF(원본명단!$H2470="",TRUE(),COUNTIF(원본명단!$H$3:$H2470,원본명단!$H2470)=1),IF(원본명단!$I2470="",TRUE(),COUNTIF(원본명단!$I$3:$I2470,원본명단!$I2470)=1),IF(원본명단!$K2470="",TRUE(),COUNTIF(원본명단!$K$3:$K2470,원본명단!$K2470)=1)),"첫 건","중복 건")))</f>
        <v/>
      </c>
      <c r="J2471" s="11" t="str">
        <f aca="false">IF($A2471="","",IF($H2471="-","유지",IF($I2471="첫 건","유지","확인 필요")))</f>
        <v/>
      </c>
    </row>
    <row r="2472" customFormat="false" ht="15" hidden="false" customHeight="true" outlineLevel="0" collapsed="false">
      <c r="A2472" s="11" t="str">
        <f aca="false">IF(원본명단!$A2471="","",2469)</f>
        <v/>
      </c>
      <c r="B2472" s="12" t="str">
        <f aca="false">IF($A2472="","",원본명단!$A2471)</f>
        <v/>
      </c>
      <c r="C2472" s="12" t="str">
        <f aca="false">IF($A2472="","",원본명단!$B2471)</f>
        <v/>
      </c>
      <c r="D2472" s="12" t="str">
        <f aca="false">IF($A2472="","",원본명단!$D2471)</f>
        <v/>
      </c>
      <c r="E2472" s="11" t="str">
        <f aca="false">IF($A2472="","",IF(원본명단!$H2471="",0,COUNTIF(원본명단!$H$3:$H$6002,원본명단!$H2471)))</f>
        <v/>
      </c>
      <c r="F2472" s="11" t="str">
        <f aca="false">IF($A2472="","",IF(원본명단!$I2471="",0,COUNTIF(원본명단!$I$3:$I$6002,원본명단!$I2471)))</f>
        <v/>
      </c>
      <c r="G2472" s="11" t="str">
        <f aca="false">IF($A2472="","",IF(원본명단!$K2471="",0,COUNTIF(원본명단!$K$3:$K$6002,원본명단!$K2471)))</f>
        <v/>
      </c>
      <c r="H2472" s="11" t="str">
        <f aca="false">IF($A2472="","",IF(MAX($E2472,$F2472,$G2472)&gt;1,"중복","-"))</f>
        <v/>
      </c>
      <c r="I2472" s="11" t="str">
        <f aca="false">IF($A2472="","",IF($H2472="-","-",IF(AND(IF(원본명단!$H2471="",TRUE(),COUNTIF(원본명단!$H$3:$H2471,원본명단!$H2471)=1),IF(원본명단!$I2471="",TRUE(),COUNTIF(원본명단!$I$3:$I2471,원본명단!$I2471)=1),IF(원본명단!$K2471="",TRUE(),COUNTIF(원본명단!$K$3:$K2471,원본명단!$K2471)=1)),"첫 건","중복 건")))</f>
        <v/>
      </c>
      <c r="J2472" s="11" t="str">
        <f aca="false">IF($A2472="","",IF($H2472="-","유지",IF($I2472="첫 건","유지","확인 필요")))</f>
        <v/>
      </c>
    </row>
    <row r="2473" customFormat="false" ht="15" hidden="false" customHeight="true" outlineLevel="0" collapsed="false">
      <c r="A2473" s="11" t="str">
        <f aca="false">IF(원본명단!$A2472="","",2470)</f>
        <v/>
      </c>
      <c r="B2473" s="12" t="str">
        <f aca="false">IF($A2473="","",원본명단!$A2472)</f>
        <v/>
      </c>
      <c r="C2473" s="12" t="str">
        <f aca="false">IF($A2473="","",원본명단!$B2472)</f>
        <v/>
      </c>
      <c r="D2473" s="12" t="str">
        <f aca="false">IF($A2473="","",원본명단!$D2472)</f>
        <v/>
      </c>
      <c r="E2473" s="11" t="str">
        <f aca="false">IF($A2473="","",IF(원본명단!$H2472="",0,COUNTIF(원본명단!$H$3:$H$6002,원본명단!$H2472)))</f>
        <v/>
      </c>
      <c r="F2473" s="11" t="str">
        <f aca="false">IF($A2473="","",IF(원본명단!$I2472="",0,COUNTIF(원본명단!$I$3:$I$6002,원본명단!$I2472)))</f>
        <v/>
      </c>
      <c r="G2473" s="11" t="str">
        <f aca="false">IF($A2473="","",IF(원본명단!$K2472="",0,COUNTIF(원본명단!$K$3:$K$6002,원본명단!$K2472)))</f>
        <v/>
      </c>
      <c r="H2473" s="11" t="str">
        <f aca="false">IF($A2473="","",IF(MAX($E2473,$F2473,$G2473)&gt;1,"중복","-"))</f>
        <v/>
      </c>
      <c r="I2473" s="11" t="str">
        <f aca="false">IF($A2473="","",IF($H2473="-","-",IF(AND(IF(원본명단!$H2472="",TRUE(),COUNTIF(원본명단!$H$3:$H2472,원본명단!$H2472)=1),IF(원본명단!$I2472="",TRUE(),COUNTIF(원본명단!$I$3:$I2472,원본명단!$I2472)=1),IF(원본명단!$K2472="",TRUE(),COUNTIF(원본명단!$K$3:$K2472,원본명단!$K2472)=1)),"첫 건","중복 건")))</f>
        <v/>
      </c>
      <c r="J2473" s="11" t="str">
        <f aca="false">IF($A2473="","",IF($H2473="-","유지",IF($I2473="첫 건","유지","확인 필요")))</f>
        <v/>
      </c>
    </row>
    <row r="2474" customFormat="false" ht="15" hidden="false" customHeight="true" outlineLevel="0" collapsed="false">
      <c r="A2474" s="11" t="str">
        <f aca="false">IF(원본명단!$A2473="","",2471)</f>
        <v/>
      </c>
      <c r="B2474" s="12" t="str">
        <f aca="false">IF($A2474="","",원본명단!$A2473)</f>
        <v/>
      </c>
      <c r="C2474" s="12" t="str">
        <f aca="false">IF($A2474="","",원본명단!$B2473)</f>
        <v/>
      </c>
      <c r="D2474" s="12" t="str">
        <f aca="false">IF($A2474="","",원본명단!$D2473)</f>
        <v/>
      </c>
      <c r="E2474" s="11" t="str">
        <f aca="false">IF($A2474="","",IF(원본명단!$H2473="",0,COUNTIF(원본명단!$H$3:$H$6002,원본명단!$H2473)))</f>
        <v/>
      </c>
      <c r="F2474" s="11" t="str">
        <f aca="false">IF($A2474="","",IF(원본명단!$I2473="",0,COUNTIF(원본명단!$I$3:$I$6002,원본명단!$I2473)))</f>
        <v/>
      </c>
      <c r="G2474" s="11" t="str">
        <f aca="false">IF($A2474="","",IF(원본명단!$K2473="",0,COUNTIF(원본명단!$K$3:$K$6002,원본명단!$K2473)))</f>
        <v/>
      </c>
      <c r="H2474" s="11" t="str">
        <f aca="false">IF($A2474="","",IF(MAX($E2474,$F2474,$G2474)&gt;1,"중복","-"))</f>
        <v/>
      </c>
      <c r="I2474" s="11" t="str">
        <f aca="false">IF($A2474="","",IF($H2474="-","-",IF(AND(IF(원본명단!$H2473="",TRUE(),COUNTIF(원본명단!$H$3:$H2473,원본명단!$H2473)=1),IF(원본명단!$I2473="",TRUE(),COUNTIF(원본명단!$I$3:$I2473,원본명단!$I2473)=1),IF(원본명단!$K2473="",TRUE(),COUNTIF(원본명단!$K$3:$K2473,원본명단!$K2473)=1)),"첫 건","중복 건")))</f>
        <v/>
      </c>
      <c r="J2474" s="11" t="str">
        <f aca="false">IF($A2474="","",IF($H2474="-","유지",IF($I2474="첫 건","유지","확인 필요")))</f>
        <v/>
      </c>
    </row>
    <row r="2475" customFormat="false" ht="15" hidden="false" customHeight="true" outlineLevel="0" collapsed="false">
      <c r="A2475" s="11" t="str">
        <f aca="false">IF(원본명단!$A2474="","",2472)</f>
        <v/>
      </c>
      <c r="B2475" s="12" t="str">
        <f aca="false">IF($A2475="","",원본명단!$A2474)</f>
        <v/>
      </c>
      <c r="C2475" s="12" t="str">
        <f aca="false">IF($A2475="","",원본명단!$B2474)</f>
        <v/>
      </c>
      <c r="D2475" s="12" t="str">
        <f aca="false">IF($A2475="","",원본명단!$D2474)</f>
        <v/>
      </c>
      <c r="E2475" s="11" t="str">
        <f aca="false">IF($A2475="","",IF(원본명단!$H2474="",0,COUNTIF(원본명단!$H$3:$H$6002,원본명단!$H2474)))</f>
        <v/>
      </c>
      <c r="F2475" s="11" t="str">
        <f aca="false">IF($A2475="","",IF(원본명단!$I2474="",0,COUNTIF(원본명단!$I$3:$I$6002,원본명단!$I2474)))</f>
        <v/>
      </c>
      <c r="G2475" s="11" t="str">
        <f aca="false">IF($A2475="","",IF(원본명단!$K2474="",0,COUNTIF(원본명단!$K$3:$K$6002,원본명단!$K2474)))</f>
        <v/>
      </c>
      <c r="H2475" s="11" t="str">
        <f aca="false">IF($A2475="","",IF(MAX($E2475,$F2475,$G2475)&gt;1,"중복","-"))</f>
        <v/>
      </c>
      <c r="I2475" s="11" t="str">
        <f aca="false">IF($A2475="","",IF($H2475="-","-",IF(AND(IF(원본명단!$H2474="",TRUE(),COUNTIF(원본명단!$H$3:$H2474,원본명단!$H2474)=1),IF(원본명단!$I2474="",TRUE(),COUNTIF(원본명단!$I$3:$I2474,원본명단!$I2474)=1),IF(원본명단!$K2474="",TRUE(),COUNTIF(원본명단!$K$3:$K2474,원본명단!$K2474)=1)),"첫 건","중복 건")))</f>
        <v/>
      </c>
      <c r="J2475" s="11" t="str">
        <f aca="false">IF($A2475="","",IF($H2475="-","유지",IF($I2475="첫 건","유지","확인 필요")))</f>
        <v/>
      </c>
    </row>
    <row r="2476" customFormat="false" ht="15" hidden="false" customHeight="true" outlineLevel="0" collapsed="false">
      <c r="A2476" s="11" t="str">
        <f aca="false">IF(원본명단!$A2475="","",2473)</f>
        <v/>
      </c>
      <c r="B2476" s="12" t="str">
        <f aca="false">IF($A2476="","",원본명단!$A2475)</f>
        <v/>
      </c>
      <c r="C2476" s="12" t="str">
        <f aca="false">IF($A2476="","",원본명단!$B2475)</f>
        <v/>
      </c>
      <c r="D2476" s="12" t="str">
        <f aca="false">IF($A2476="","",원본명단!$D2475)</f>
        <v/>
      </c>
      <c r="E2476" s="11" t="str">
        <f aca="false">IF($A2476="","",IF(원본명단!$H2475="",0,COUNTIF(원본명단!$H$3:$H$6002,원본명단!$H2475)))</f>
        <v/>
      </c>
      <c r="F2476" s="11" t="str">
        <f aca="false">IF($A2476="","",IF(원본명단!$I2475="",0,COUNTIF(원본명단!$I$3:$I$6002,원본명단!$I2475)))</f>
        <v/>
      </c>
      <c r="G2476" s="11" t="str">
        <f aca="false">IF($A2476="","",IF(원본명단!$K2475="",0,COUNTIF(원본명단!$K$3:$K$6002,원본명단!$K2475)))</f>
        <v/>
      </c>
      <c r="H2476" s="11" t="str">
        <f aca="false">IF($A2476="","",IF(MAX($E2476,$F2476,$G2476)&gt;1,"중복","-"))</f>
        <v/>
      </c>
      <c r="I2476" s="11" t="str">
        <f aca="false">IF($A2476="","",IF($H2476="-","-",IF(AND(IF(원본명단!$H2475="",TRUE(),COUNTIF(원본명단!$H$3:$H2475,원본명단!$H2475)=1),IF(원본명단!$I2475="",TRUE(),COUNTIF(원본명단!$I$3:$I2475,원본명단!$I2475)=1),IF(원본명단!$K2475="",TRUE(),COUNTIF(원본명단!$K$3:$K2475,원본명단!$K2475)=1)),"첫 건","중복 건")))</f>
        <v/>
      </c>
      <c r="J2476" s="11" t="str">
        <f aca="false">IF($A2476="","",IF($H2476="-","유지",IF($I2476="첫 건","유지","확인 필요")))</f>
        <v/>
      </c>
    </row>
    <row r="2477" customFormat="false" ht="15" hidden="false" customHeight="true" outlineLevel="0" collapsed="false">
      <c r="A2477" s="11" t="str">
        <f aca="false">IF(원본명단!$A2476="","",2474)</f>
        <v/>
      </c>
      <c r="B2477" s="12" t="str">
        <f aca="false">IF($A2477="","",원본명단!$A2476)</f>
        <v/>
      </c>
      <c r="C2477" s="12" t="str">
        <f aca="false">IF($A2477="","",원본명단!$B2476)</f>
        <v/>
      </c>
      <c r="D2477" s="12" t="str">
        <f aca="false">IF($A2477="","",원본명단!$D2476)</f>
        <v/>
      </c>
      <c r="E2477" s="11" t="str">
        <f aca="false">IF($A2477="","",IF(원본명단!$H2476="",0,COUNTIF(원본명단!$H$3:$H$6002,원본명단!$H2476)))</f>
        <v/>
      </c>
      <c r="F2477" s="11" t="str">
        <f aca="false">IF($A2477="","",IF(원본명단!$I2476="",0,COUNTIF(원본명단!$I$3:$I$6002,원본명단!$I2476)))</f>
        <v/>
      </c>
      <c r="G2477" s="11" t="str">
        <f aca="false">IF($A2477="","",IF(원본명단!$K2476="",0,COUNTIF(원본명단!$K$3:$K$6002,원본명단!$K2476)))</f>
        <v/>
      </c>
      <c r="H2477" s="11" t="str">
        <f aca="false">IF($A2477="","",IF(MAX($E2477,$F2477,$G2477)&gt;1,"중복","-"))</f>
        <v/>
      </c>
      <c r="I2477" s="11" t="str">
        <f aca="false">IF($A2477="","",IF($H2477="-","-",IF(AND(IF(원본명단!$H2476="",TRUE(),COUNTIF(원본명단!$H$3:$H2476,원본명단!$H2476)=1),IF(원본명단!$I2476="",TRUE(),COUNTIF(원본명단!$I$3:$I2476,원본명단!$I2476)=1),IF(원본명단!$K2476="",TRUE(),COUNTIF(원본명단!$K$3:$K2476,원본명단!$K2476)=1)),"첫 건","중복 건")))</f>
        <v/>
      </c>
      <c r="J2477" s="11" t="str">
        <f aca="false">IF($A2477="","",IF($H2477="-","유지",IF($I2477="첫 건","유지","확인 필요")))</f>
        <v/>
      </c>
    </row>
    <row r="2478" customFormat="false" ht="15" hidden="false" customHeight="true" outlineLevel="0" collapsed="false">
      <c r="A2478" s="11" t="str">
        <f aca="false">IF(원본명단!$A2477="","",2475)</f>
        <v/>
      </c>
      <c r="B2478" s="12" t="str">
        <f aca="false">IF($A2478="","",원본명단!$A2477)</f>
        <v/>
      </c>
      <c r="C2478" s="12" t="str">
        <f aca="false">IF($A2478="","",원본명단!$B2477)</f>
        <v/>
      </c>
      <c r="D2478" s="12" t="str">
        <f aca="false">IF($A2478="","",원본명단!$D2477)</f>
        <v/>
      </c>
      <c r="E2478" s="11" t="str">
        <f aca="false">IF($A2478="","",IF(원본명단!$H2477="",0,COUNTIF(원본명단!$H$3:$H$6002,원본명단!$H2477)))</f>
        <v/>
      </c>
      <c r="F2478" s="11" t="str">
        <f aca="false">IF($A2478="","",IF(원본명단!$I2477="",0,COUNTIF(원본명단!$I$3:$I$6002,원본명단!$I2477)))</f>
        <v/>
      </c>
      <c r="G2478" s="11" t="str">
        <f aca="false">IF($A2478="","",IF(원본명단!$K2477="",0,COUNTIF(원본명단!$K$3:$K$6002,원본명단!$K2477)))</f>
        <v/>
      </c>
      <c r="H2478" s="11" t="str">
        <f aca="false">IF($A2478="","",IF(MAX($E2478,$F2478,$G2478)&gt;1,"중복","-"))</f>
        <v/>
      </c>
      <c r="I2478" s="11" t="str">
        <f aca="false">IF($A2478="","",IF($H2478="-","-",IF(AND(IF(원본명단!$H2477="",TRUE(),COUNTIF(원본명단!$H$3:$H2477,원본명단!$H2477)=1),IF(원본명단!$I2477="",TRUE(),COUNTIF(원본명단!$I$3:$I2477,원본명단!$I2477)=1),IF(원본명단!$K2477="",TRUE(),COUNTIF(원본명단!$K$3:$K2477,원본명단!$K2477)=1)),"첫 건","중복 건")))</f>
        <v/>
      </c>
      <c r="J2478" s="11" t="str">
        <f aca="false">IF($A2478="","",IF($H2478="-","유지",IF($I2478="첫 건","유지","확인 필요")))</f>
        <v/>
      </c>
    </row>
    <row r="2479" customFormat="false" ht="15" hidden="false" customHeight="true" outlineLevel="0" collapsed="false">
      <c r="A2479" s="11" t="str">
        <f aca="false">IF(원본명단!$A2478="","",2476)</f>
        <v/>
      </c>
      <c r="B2479" s="12" t="str">
        <f aca="false">IF($A2479="","",원본명단!$A2478)</f>
        <v/>
      </c>
      <c r="C2479" s="12" t="str">
        <f aca="false">IF($A2479="","",원본명단!$B2478)</f>
        <v/>
      </c>
      <c r="D2479" s="12" t="str">
        <f aca="false">IF($A2479="","",원본명단!$D2478)</f>
        <v/>
      </c>
      <c r="E2479" s="11" t="str">
        <f aca="false">IF($A2479="","",IF(원본명단!$H2478="",0,COUNTIF(원본명단!$H$3:$H$6002,원본명단!$H2478)))</f>
        <v/>
      </c>
      <c r="F2479" s="11" t="str">
        <f aca="false">IF($A2479="","",IF(원본명단!$I2478="",0,COUNTIF(원본명단!$I$3:$I$6002,원본명단!$I2478)))</f>
        <v/>
      </c>
      <c r="G2479" s="11" t="str">
        <f aca="false">IF($A2479="","",IF(원본명단!$K2478="",0,COUNTIF(원본명단!$K$3:$K$6002,원본명단!$K2478)))</f>
        <v/>
      </c>
      <c r="H2479" s="11" t="str">
        <f aca="false">IF($A2479="","",IF(MAX($E2479,$F2479,$G2479)&gt;1,"중복","-"))</f>
        <v/>
      </c>
      <c r="I2479" s="11" t="str">
        <f aca="false">IF($A2479="","",IF($H2479="-","-",IF(AND(IF(원본명단!$H2478="",TRUE(),COUNTIF(원본명단!$H$3:$H2478,원본명단!$H2478)=1),IF(원본명단!$I2478="",TRUE(),COUNTIF(원본명단!$I$3:$I2478,원본명단!$I2478)=1),IF(원본명단!$K2478="",TRUE(),COUNTIF(원본명단!$K$3:$K2478,원본명단!$K2478)=1)),"첫 건","중복 건")))</f>
        <v/>
      </c>
      <c r="J2479" s="11" t="str">
        <f aca="false">IF($A2479="","",IF($H2479="-","유지",IF($I2479="첫 건","유지","확인 필요")))</f>
        <v/>
      </c>
    </row>
    <row r="2480" customFormat="false" ht="15" hidden="false" customHeight="true" outlineLevel="0" collapsed="false">
      <c r="A2480" s="11" t="str">
        <f aca="false">IF(원본명단!$A2479="","",2477)</f>
        <v/>
      </c>
      <c r="B2480" s="12" t="str">
        <f aca="false">IF($A2480="","",원본명단!$A2479)</f>
        <v/>
      </c>
      <c r="C2480" s="12" t="str">
        <f aca="false">IF($A2480="","",원본명단!$B2479)</f>
        <v/>
      </c>
      <c r="D2480" s="12" t="str">
        <f aca="false">IF($A2480="","",원본명단!$D2479)</f>
        <v/>
      </c>
      <c r="E2480" s="11" t="str">
        <f aca="false">IF($A2480="","",IF(원본명단!$H2479="",0,COUNTIF(원본명단!$H$3:$H$6002,원본명단!$H2479)))</f>
        <v/>
      </c>
      <c r="F2480" s="11" t="str">
        <f aca="false">IF($A2480="","",IF(원본명단!$I2479="",0,COUNTIF(원본명단!$I$3:$I$6002,원본명단!$I2479)))</f>
        <v/>
      </c>
      <c r="G2480" s="11" t="str">
        <f aca="false">IF($A2480="","",IF(원본명단!$K2479="",0,COUNTIF(원본명단!$K$3:$K$6002,원본명단!$K2479)))</f>
        <v/>
      </c>
      <c r="H2480" s="11" t="str">
        <f aca="false">IF($A2480="","",IF(MAX($E2480,$F2480,$G2480)&gt;1,"중복","-"))</f>
        <v/>
      </c>
      <c r="I2480" s="11" t="str">
        <f aca="false">IF($A2480="","",IF($H2480="-","-",IF(AND(IF(원본명단!$H2479="",TRUE(),COUNTIF(원본명단!$H$3:$H2479,원본명단!$H2479)=1),IF(원본명단!$I2479="",TRUE(),COUNTIF(원본명단!$I$3:$I2479,원본명단!$I2479)=1),IF(원본명단!$K2479="",TRUE(),COUNTIF(원본명단!$K$3:$K2479,원본명단!$K2479)=1)),"첫 건","중복 건")))</f>
        <v/>
      </c>
      <c r="J2480" s="11" t="str">
        <f aca="false">IF($A2480="","",IF($H2480="-","유지",IF($I2480="첫 건","유지","확인 필요")))</f>
        <v/>
      </c>
    </row>
    <row r="2481" customFormat="false" ht="15" hidden="false" customHeight="true" outlineLevel="0" collapsed="false">
      <c r="A2481" s="11" t="str">
        <f aca="false">IF(원본명단!$A2480="","",2478)</f>
        <v/>
      </c>
      <c r="B2481" s="12" t="str">
        <f aca="false">IF($A2481="","",원본명단!$A2480)</f>
        <v/>
      </c>
      <c r="C2481" s="12" t="str">
        <f aca="false">IF($A2481="","",원본명단!$B2480)</f>
        <v/>
      </c>
      <c r="D2481" s="12" t="str">
        <f aca="false">IF($A2481="","",원본명단!$D2480)</f>
        <v/>
      </c>
      <c r="E2481" s="11" t="str">
        <f aca="false">IF($A2481="","",IF(원본명단!$H2480="",0,COUNTIF(원본명단!$H$3:$H$6002,원본명단!$H2480)))</f>
        <v/>
      </c>
      <c r="F2481" s="11" t="str">
        <f aca="false">IF($A2481="","",IF(원본명단!$I2480="",0,COUNTIF(원본명단!$I$3:$I$6002,원본명단!$I2480)))</f>
        <v/>
      </c>
      <c r="G2481" s="11" t="str">
        <f aca="false">IF($A2481="","",IF(원본명단!$K2480="",0,COUNTIF(원본명단!$K$3:$K$6002,원본명단!$K2480)))</f>
        <v/>
      </c>
      <c r="H2481" s="11" t="str">
        <f aca="false">IF($A2481="","",IF(MAX($E2481,$F2481,$G2481)&gt;1,"중복","-"))</f>
        <v/>
      </c>
      <c r="I2481" s="11" t="str">
        <f aca="false">IF($A2481="","",IF($H2481="-","-",IF(AND(IF(원본명단!$H2480="",TRUE(),COUNTIF(원본명단!$H$3:$H2480,원본명단!$H2480)=1),IF(원본명단!$I2480="",TRUE(),COUNTIF(원본명단!$I$3:$I2480,원본명단!$I2480)=1),IF(원본명단!$K2480="",TRUE(),COUNTIF(원본명단!$K$3:$K2480,원본명단!$K2480)=1)),"첫 건","중복 건")))</f>
        <v/>
      </c>
      <c r="J2481" s="11" t="str">
        <f aca="false">IF($A2481="","",IF($H2481="-","유지",IF($I2481="첫 건","유지","확인 필요")))</f>
        <v/>
      </c>
    </row>
    <row r="2482" customFormat="false" ht="15" hidden="false" customHeight="true" outlineLevel="0" collapsed="false">
      <c r="A2482" s="11" t="str">
        <f aca="false">IF(원본명단!$A2481="","",2479)</f>
        <v/>
      </c>
      <c r="B2482" s="12" t="str">
        <f aca="false">IF($A2482="","",원본명단!$A2481)</f>
        <v/>
      </c>
      <c r="C2482" s="12" t="str">
        <f aca="false">IF($A2482="","",원본명단!$B2481)</f>
        <v/>
      </c>
      <c r="D2482" s="12" t="str">
        <f aca="false">IF($A2482="","",원본명단!$D2481)</f>
        <v/>
      </c>
      <c r="E2482" s="11" t="str">
        <f aca="false">IF($A2482="","",IF(원본명단!$H2481="",0,COUNTIF(원본명단!$H$3:$H$6002,원본명단!$H2481)))</f>
        <v/>
      </c>
      <c r="F2482" s="11" t="str">
        <f aca="false">IF($A2482="","",IF(원본명단!$I2481="",0,COUNTIF(원본명단!$I$3:$I$6002,원본명단!$I2481)))</f>
        <v/>
      </c>
      <c r="G2482" s="11" t="str">
        <f aca="false">IF($A2482="","",IF(원본명단!$K2481="",0,COUNTIF(원본명단!$K$3:$K$6002,원본명단!$K2481)))</f>
        <v/>
      </c>
      <c r="H2482" s="11" t="str">
        <f aca="false">IF($A2482="","",IF(MAX($E2482,$F2482,$G2482)&gt;1,"중복","-"))</f>
        <v/>
      </c>
      <c r="I2482" s="11" t="str">
        <f aca="false">IF($A2482="","",IF($H2482="-","-",IF(AND(IF(원본명단!$H2481="",TRUE(),COUNTIF(원본명단!$H$3:$H2481,원본명단!$H2481)=1),IF(원본명단!$I2481="",TRUE(),COUNTIF(원본명단!$I$3:$I2481,원본명단!$I2481)=1),IF(원본명단!$K2481="",TRUE(),COUNTIF(원본명단!$K$3:$K2481,원본명단!$K2481)=1)),"첫 건","중복 건")))</f>
        <v/>
      </c>
      <c r="J2482" s="11" t="str">
        <f aca="false">IF($A2482="","",IF($H2482="-","유지",IF($I2482="첫 건","유지","확인 필요")))</f>
        <v/>
      </c>
    </row>
    <row r="2483" customFormat="false" ht="15" hidden="false" customHeight="true" outlineLevel="0" collapsed="false">
      <c r="A2483" s="11" t="str">
        <f aca="false">IF(원본명단!$A2482="","",2480)</f>
        <v/>
      </c>
      <c r="B2483" s="12" t="str">
        <f aca="false">IF($A2483="","",원본명단!$A2482)</f>
        <v/>
      </c>
      <c r="C2483" s="12" t="str">
        <f aca="false">IF($A2483="","",원본명단!$B2482)</f>
        <v/>
      </c>
      <c r="D2483" s="12" t="str">
        <f aca="false">IF($A2483="","",원본명단!$D2482)</f>
        <v/>
      </c>
      <c r="E2483" s="11" t="str">
        <f aca="false">IF($A2483="","",IF(원본명단!$H2482="",0,COUNTIF(원본명단!$H$3:$H$6002,원본명단!$H2482)))</f>
        <v/>
      </c>
      <c r="F2483" s="11" t="str">
        <f aca="false">IF($A2483="","",IF(원본명단!$I2482="",0,COUNTIF(원본명단!$I$3:$I$6002,원본명단!$I2482)))</f>
        <v/>
      </c>
      <c r="G2483" s="11" t="str">
        <f aca="false">IF($A2483="","",IF(원본명단!$K2482="",0,COUNTIF(원본명단!$K$3:$K$6002,원본명단!$K2482)))</f>
        <v/>
      </c>
      <c r="H2483" s="11" t="str">
        <f aca="false">IF($A2483="","",IF(MAX($E2483,$F2483,$G2483)&gt;1,"중복","-"))</f>
        <v/>
      </c>
      <c r="I2483" s="11" t="str">
        <f aca="false">IF($A2483="","",IF($H2483="-","-",IF(AND(IF(원본명단!$H2482="",TRUE(),COUNTIF(원본명단!$H$3:$H2482,원본명단!$H2482)=1),IF(원본명단!$I2482="",TRUE(),COUNTIF(원본명단!$I$3:$I2482,원본명단!$I2482)=1),IF(원본명단!$K2482="",TRUE(),COUNTIF(원본명단!$K$3:$K2482,원본명단!$K2482)=1)),"첫 건","중복 건")))</f>
        <v/>
      </c>
      <c r="J2483" s="11" t="str">
        <f aca="false">IF($A2483="","",IF($H2483="-","유지",IF($I2483="첫 건","유지","확인 필요")))</f>
        <v/>
      </c>
    </row>
    <row r="2484" customFormat="false" ht="15" hidden="false" customHeight="true" outlineLevel="0" collapsed="false">
      <c r="A2484" s="11" t="str">
        <f aca="false">IF(원본명단!$A2483="","",2481)</f>
        <v/>
      </c>
      <c r="B2484" s="12" t="str">
        <f aca="false">IF($A2484="","",원본명단!$A2483)</f>
        <v/>
      </c>
      <c r="C2484" s="12" t="str">
        <f aca="false">IF($A2484="","",원본명단!$B2483)</f>
        <v/>
      </c>
      <c r="D2484" s="12" t="str">
        <f aca="false">IF($A2484="","",원본명단!$D2483)</f>
        <v/>
      </c>
      <c r="E2484" s="11" t="str">
        <f aca="false">IF($A2484="","",IF(원본명단!$H2483="",0,COUNTIF(원본명단!$H$3:$H$6002,원본명단!$H2483)))</f>
        <v/>
      </c>
      <c r="F2484" s="11" t="str">
        <f aca="false">IF($A2484="","",IF(원본명단!$I2483="",0,COUNTIF(원본명단!$I$3:$I$6002,원본명단!$I2483)))</f>
        <v/>
      </c>
      <c r="G2484" s="11" t="str">
        <f aca="false">IF($A2484="","",IF(원본명단!$K2483="",0,COUNTIF(원본명단!$K$3:$K$6002,원본명단!$K2483)))</f>
        <v/>
      </c>
      <c r="H2484" s="11" t="str">
        <f aca="false">IF($A2484="","",IF(MAX($E2484,$F2484,$G2484)&gt;1,"중복","-"))</f>
        <v/>
      </c>
      <c r="I2484" s="11" t="str">
        <f aca="false">IF($A2484="","",IF($H2484="-","-",IF(AND(IF(원본명단!$H2483="",TRUE(),COUNTIF(원본명단!$H$3:$H2483,원본명단!$H2483)=1),IF(원본명단!$I2483="",TRUE(),COUNTIF(원본명단!$I$3:$I2483,원본명단!$I2483)=1),IF(원본명단!$K2483="",TRUE(),COUNTIF(원본명단!$K$3:$K2483,원본명단!$K2483)=1)),"첫 건","중복 건")))</f>
        <v/>
      </c>
      <c r="J2484" s="11" t="str">
        <f aca="false">IF($A2484="","",IF($H2484="-","유지",IF($I2484="첫 건","유지","확인 필요")))</f>
        <v/>
      </c>
    </row>
    <row r="2485" customFormat="false" ht="15" hidden="false" customHeight="true" outlineLevel="0" collapsed="false">
      <c r="A2485" s="11" t="str">
        <f aca="false">IF(원본명단!$A2484="","",2482)</f>
        <v/>
      </c>
      <c r="B2485" s="12" t="str">
        <f aca="false">IF($A2485="","",원본명단!$A2484)</f>
        <v/>
      </c>
      <c r="C2485" s="12" t="str">
        <f aca="false">IF($A2485="","",원본명단!$B2484)</f>
        <v/>
      </c>
      <c r="D2485" s="12" t="str">
        <f aca="false">IF($A2485="","",원본명단!$D2484)</f>
        <v/>
      </c>
      <c r="E2485" s="11" t="str">
        <f aca="false">IF($A2485="","",IF(원본명단!$H2484="",0,COUNTIF(원본명단!$H$3:$H$6002,원본명단!$H2484)))</f>
        <v/>
      </c>
      <c r="F2485" s="11" t="str">
        <f aca="false">IF($A2485="","",IF(원본명단!$I2484="",0,COUNTIF(원본명단!$I$3:$I$6002,원본명단!$I2484)))</f>
        <v/>
      </c>
      <c r="G2485" s="11" t="str">
        <f aca="false">IF($A2485="","",IF(원본명단!$K2484="",0,COUNTIF(원본명단!$K$3:$K$6002,원본명단!$K2484)))</f>
        <v/>
      </c>
      <c r="H2485" s="11" t="str">
        <f aca="false">IF($A2485="","",IF(MAX($E2485,$F2485,$G2485)&gt;1,"중복","-"))</f>
        <v/>
      </c>
      <c r="I2485" s="11" t="str">
        <f aca="false">IF($A2485="","",IF($H2485="-","-",IF(AND(IF(원본명단!$H2484="",TRUE(),COUNTIF(원본명단!$H$3:$H2484,원본명단!$H2484)=1),IF(원본명단!$I2484="",TRUE(),COUNTIF(원본명단!$I$3:$I2484,원본명단!$I2484)=1),IF(원본명단!$K2484="",TRUE(),COUNTIF(원본명단!$K$3:$K2484,원본명단!$K2484)=1)),"첫 건","중복 건")))</f>
        <v/>
      </c>
      <c r="J2485" s="11" t="str">
        <f aca="false">IF($A2485="","",IF($H2485="-","유지",IF($I2485="첫 건","유지","확인 필요")))</f>
        <v/>
      </c>
    </row>
    <row r="2486" customFormat="false" ht="15" hidden="false" customHeight="true" outlineLevel="0" collapsed="false">
      <c r="A2486" s="11" t="str">
        <f aca="false">IF(원본명단!$A2485="","",2483)</f>
        <v/>
      </c>
      <c r="B2486" s="12" t="str">
        <f aca="false">IF($A2486="","",원본명단!$A2485)</f>
        <v/>
      </c>
      <c r="C2486" s="12" t="str">
        <f aca="false">IF($A2486="","",원본명단!$B2485)</f>
        <v/>
      </c>
      <c r="D2486" s="12" t="str">
        <f aca="false">IF($A2486="","",원본명단!$D2485)</f>
        <v/>
      </c>
      <c r="E2486" s="11" t="str">
        <f aca="false">IF($A2486="","",IF(원본명단!$H2485="",0,COUNTIF(원본명단!$H$3:$H$6002,원본명단!$H2485)))</f>
        <v/>
      </c>
      <c r="F2486" s="11" t="str">
        <f aca="false">IF($A2486="","",IF(원본명단!$I2485="",0,COUNTIF(원본명단!$I$3:$I$6002,원본명단!$I2485)))</f>
        <v/>
      </c>
      <c r="G2486" s="11" t="str">
        <f aca="false">IF($A2486="","",IF(원본명단!$K2485="",0,COUNTIF(원본명단!$K$3:$K$6002,원본명단!$K2485)))</f>
        <v/>
      </c>
      <c r="H2486" s="11" t="str">
        <f aca="false">IF($A2486="","",IF(MAX($E2486,$F2486,$G2486)&gt;1,"중복","-"))</f>
        <v/>
      </c>
      <c r="I2486" s="11" t="str">
        <f aca="false">IF($A2486="","",IF($H2486="-","-",IF(AND(IF(원본명단!$H2485="",TRUE(),COUNTIF(원본명단!$H$3:$H2485,원본명단!$H2485)=1),IF(원본명단!$I2485="",TRUE(),COUNTIF(원본명단!$I$3:$I2485,원본명단!$I2485)=1),IF(원본명단!$K2485="",TRUE(),COUNTIF(원본명단!$K$3:$K2485,원본명단!$K2485)=1)),"첫 건","중복 건")))</f>
        <v/>
      </c>
      <c r="J2486" s="11" t="str">
        <f aca="false">IF($A2486="","",IF($H2486="-","유지",IF($I2486="첫 건","유지","확인 필요")))</f>
        <v/>
      </c>
    </row>
    <row r="2487" customFormat="false" ht="15" hidden="false" customHeight="true" outlineLevel="0" collapsed="false">
      <c r="A2487" s="11" t="str">
        <f aca="false">IF(원본명단!$A2486="","",2484)</f>
        <v/>
      </c>
      <c r="B2487" s="12" t="str">
        <f aca="false">IF($A2487="","",원본명단!$A2486)</f>
        <v/>
      </c>
      <c r="C2487" s="12" t="str">
        <f aca="false">IF($A2487="","",원본명단!$B2486)</f>
        <v/>
      </c>
      <c r="D2487" s="12" t="str">
        <f aca="false">IF($A2487="","",원본명단!$D2486)</f>
        <v/>
      </c>
      <c r="E2487" s="11" t="str">
        <f aca="false">IF($A2487="","",IF(원본명단!$H2486="",0,COUNTIF(원본명단!$H$3:$H$6002,원본명단!$H2486)))</f>
        <v/>
      </c>
      <c r="F2487" s="11" t="str">
        <f aca="false">IF($A2487="","",IF(원본명단!$I2486="",0,COUNTIF(원본명단!$I$3:$I$6002,원본명단!$I2486)))</f>
        <v/>
      </c>
      <c r="G2487" s="11" t="str">
        <f aca="false">IF($A2487="","",IF(원본명단!$K2486="",0,COUNTIF(원본명단!$K$3:$K$6002,원본명단!$K2486)))</f>
        <v/>
      </c>
      <c r="H2487" s="11" t="str">
        <f aca="false">IF($A2487="","",IF(MAX($E2487,$F2487,$G2487)&gt;1,"중복","-"))</f>
        <v/>
      </c>
      <c r="I2487" s="11" t="str">
        <f aca="false">IF($A2487="","",IF($H2487="-","-",IF(AND(IF(원본명단!$H2486="",TRUE(),COUNTIF(원본명단!$H$3:$H2486,원본명단!$H2486)=1),IF(원본명단!$I2486="",TRUE(),COUNTIF(원본명단!$I$3:$I2486,원본명단!$I2486)=1),IF(원본명단!$K2486="",TRUE(),COUNTIF(원본명단!$K$3:$K2486,원본명단!$K2486)=1)),"첫 건","중복 건")))</f>
        <v/>
      </c>
      <c r="J2487" s="11" t="str">
        <f aca="false">IF($A2487="","",IF($H2487="-","유지",IF($I2487="첫 건","유지","확인 필요")))</f>
        <v/>
      </c>
    </row>
    <row r="2488" customFormat="false" ht="15" hidden="false" customHeight="true" outlineLevel="0" collapsed="false">
      <c r="A2488" s="11" t="str">
        <f aca="false">IF(원본명단!$A2487="","",2485)</f>
        <v/>
      </c>
      <c r="B2488" s="12" t="str">
        <f aca="false">IF($A2488="","",원본명단!$A2487)</f>
        <v/>
      </c>
      <c r="C2488" s="12" t="str">
        <f aca="false">IF($A2488="","",원본명단!$B2487)</f>
        <v/>
      </c>
      <c r="D2488" s="12" t="str">
        <f aca="false">IF($A2488="","",원본명단!$D2487)</f>
        <v/>
      </c>
      <c r="E2488" s="11" t="str">
        <f aca="false">IF($A2488="","",IF(원본명단!$H2487="",0,COUNTIF(원본명단!$H$3:$H$6002,원본명단!$H2487)))</f>
        <v/>
      </c>
      <c r="F2488" s="11" t="str">
        <f aca="false">IF($A2488="","",IF(원본명단!$I2487="",0,COUNTIF(원본명단!$I$3:$I$6002,원본명단!$I2487)))</f>
        <v/>
      </c>
      <c r="G2488" s="11" t="str">
        <f aca="false">IF($A2488="","",IF(원본명단!$K2487="",0,COUNTIF(원본명단!$K$3:$K$6002,원본명단!$K2487)))</f>
        <v/>
      </c>
      <c r="H2488" s="11" t="str">
        <f aca="false">IF($A2488="","",IF(MAX($E2488,$F2488,$G2488)&gt;1,"중복","-"))</f>
        <v/>
      </c>
      <c r="I2488" s="11" t="str">
        <f aca="false">IF($A2488="","",IF($H2488="-","-",IF(AND(IF(원본명단!$H2487="",TRUE(),COUNTIF(원본명단!$H$3:$H2487,원본명단!$H2487)=1),IF(원본명단!$I2487="",TRUE(),COUNTIF(원본명단!$I$3:$I2487,원본명단!$I2487)=1),IF(원본명단!$K2487="",TRUE(),COUNTIF(원본명단!$K$3:$K2487,원본명단!$K2487)=1)),"첫 건","중복 건")))</f>
        <v/>
      </c>
      <c r="J2488" s="11" t="str">
        <f aca="false">IF($A2488="","",IF($H2488="-","유지",IF($I2488="첫 건","유지","확인 필요")))</f>
        <v/>
      </c>
    </row>
    <row r="2489" customFormat="false" ht="15" hidden="false" customHeight="true" outlineLevel="0" collapsed="false">
      <c r="A2489" s="11" t="str">
        <f aca="false">IF(원본명단!$A2488="","",2486)</f>
        <v/>
      </c>
      <c r="B2489" s="12" t="str">
        <f aca="false">IF($A2489="","",원본명단!$A2488)</f>
        <v/>
      </c>
      <c r="C2489" s="12" t="str">
        <f aca="false">IF($A2489="","",원본명단!$B2488)</f>
        <v/>
      </c>
      <c r="D2489" s="12" t="str">
        <f aca="false">IF($A2489="","",원본명단!$D2488)</f>
        <v/>
      </c>
      <c r="E2489" s="11" t="str">
        <f aca="false">IF($A2489="","",IF(원본명단!$H2488="",0,COUNTIF(원본명단!$H$3:$H$6002,원본명단!$H2488)))</f>
        <v/>
      </c>
      <c r="F2489" s="11" t="str">
        <f aca="false">IF($A2489="","",IF(원본명단!$I2488="",0,COUNTIF(원본명단!$I$3:$I$6002,원본명단!$I2488)))</f>
        <v/>
      </c>
      <c r="G2489" s="11" t="str">
        <f aca="false">IF($A2489="","",IF(원본명단!$K2488="",0,COUNTIF(원본명단!$K$3:$K$6002,원본명단!$K2488)))</f>
        <v/>
      </c>
      <c r="H2489" s="11" t="str">
        <f aca="false">IF($A2489="","",IF(MAX($E2489,$F2489,$G2489)&gt;1,"중복","-"))</f>
        <v/>
      </c>
      <c r="I2489" s="11" t="str">
        <f aca="false">IF($A2489="","",IF($H2489="-","-",IF(AND(IF(원본명단!$H2488="",TRUE(),COUNTIF(원본명단!$H$3:$H2488,원본명단!$H2488)=1),IF(원본명단!$I2488="",TRUE(),COUNTIF(원본명단!$I$3:$I2488,원본명단!$I2488)=1),IF(원본명단!$K2488="",TRUE(),COUNTIF(원본명단!$K$3:$K2488,원본명단!$K2488)=1)),"첫 건","중복 건")))</f>
        <v/>
      </c>
      <c r="J2489" s="11" t="str">
        <f aca="false">IF($A2489="","",IF($H2489="-","유지",IF($I2489="첫 건","유지","확인 필요")))</f>
        <v/>
      </c>
    </row>
    <row r="2490" customFormat="false" ht="15" hidden="false" customHeight="true" outlineLevel="0" collapsed="false">
      <c r="A2490" s="11" t="str">
        <f aca="false">IF(원본명단!$A2489="","",2487)</f>
        <v/>
      </c>
      <c r="B2490" s="12" t="str">
        <f aca="false">IF($A2490="","",원본명단!$A2489)</f>
        <v/>
      </c>
      <c r="C2490" s="12" t="str">
        <f aca="false">IF($A2490="","",원본명단!$B2489)</f>
        <v/>
      </c>
      <c r="D2490" s="12" t="str">
        <f aca="false">IF($A2490="","",원본명단!$D2489)</f>
        <v/>
      </c>
      <c r="E2490" s="11" t="str">
        <f aca="false">IF($A2490="","",IF(원본명단!$H2489="",0,COUNTIF(원본명단!$H$3:$H$6002,원본명단!$H2489)))</f>
        <v/>
      </c>
      <c r="F2490" s="11" t="str">
        <f aca="false">IF($A2490="","",IF(원본명단!$I2489="",0,COUNTIF(원본명단!$I$3:$I$6002,원본명단!$I2489)))</f>
        <v/>
      </c>
      <c r="G2490" s="11" t="str">
        <f aca="false">IF($A2490="","",IF(원본명단!$K2489="",0,COUNTIF(원본명단!$K$3:$K$6002,원본명단!$K2489)))</f>
        <v/>
      </c>
      <c r="H2490" s="11" t="str">
        <f aca="false">IF($A2490="","",IF(MAX($E2490,$F2490,$G2490)&gt;1,"중복","-"))</f>
        <v/>
      </c>
      <c r="I2490" s="11" t="str">
        <f aca="false">IF($A2490="","",IF($H2490="-","-",IF(AND(IF(원본명단!$H2489="",TRUE(),COUNTIF(원본명단!$H$3:$H2489,원본명단!$H2489)=1),IF(원본명단!$I2489="",TRUE(),COUNTIF(원본명단!$I$3:$I2489,원본명단!$I2489)=1),IF(원본명단!$K2489="",TRUE(),COUNTIF(원본명단!$K$3:$K2489,원본명단!$K2489)=1)),"첫 건","중복 건")))</f>
        <v/>
      </c>
      <c r="J2490" s="11" t="str">
        <f aca="false">IF($A2490="","",IF($H2490="-","유지",IF($I2490="첫 건","유지","확인 필요")))</f>
        <v/>
      </c>
    </row>
    <row r="2491" customFormat="false" ht="15" hidden="false" customHeight="true" outlineLevel="0" collapsed="false">
      <c r="A2491" s="11" t="str">
        <f aca="false">IF(원본명단!$A2490="","",2488)</f>
        <v/>
      </c>
      <c r="B2491" s="12" t="str">
        <f aca="false">IF($A2491="","",원본명단!$A2490)</f>
        <v/>
      </c>
      <c r="C2491" s="12" t="str">
        <f aca="false">IF($A2491="","",원본명단!$B2490)</f>
        <v/>
      </c>
      <c r="D2491" s="12" t="str">
        <f aca="false">IF($A2491="","",원본명단!$D2490)</f>
        <v/>
      </c>
      <c r="E2491" s="11" t="str">
        <f aca="false">IF($A2491="","",IF(원본명단!$H2490="",0,COUNTIF(원본명단!$H$3:$H$6002,원본명단!$H2490)))</f>
        <v/>
      </c>
      <c r="F2491" s="11" t="str">
        <f aca="false">IF($A2491="","",IF(원본명단!$I2490="",0,COUNTIF(원본명단!$I$3:$I$6002,원본명단!$I2490)))</f>
        <v/>
      </c>
      <c r="G2491" s="11" t="str">
        <f aca="false">IF($A2491="","",IF(원본명단!$K2490="",0,COUNTIF(원본명단!$K$3:$K$6002,원본명단!$K2490)))</f>
        <v/>
      </c>
      <c r="H2491" s="11" t="str">
        <f aca="false">IF($A2491="","",IF(MAX($E2491,$F2491,$G2491)&gt;1,"중복","-"))</f>
        <v/>
      </c>
      <c r="I2491" s="11" t="str">
        <f aca="false">IF($A2491="","",IF($H2491="-","-",IF(AND(IF(원본명단!$H2490="",TRUE(),COUNTIF(원본명단!$H$3:$H2490,원본명단!$H2490)=1),IF(원본명단!$I2490="",TRUE(),COUNTIF(원본명단!$I$3:$I2490,원본명단!$I2490)=1),IF(원본명단!$K2490="",TRUE(),COUNTIF(원본명단!$K$3:$K2490,원본명단!$K2490)=1)),"첫 건","중복 건")))</f>
        <v/>
      </c>
      <c r="J2491" s="11" t="str">
        <f aca="false">IF($A2491="","",IF($H2491="-","유지",IF($I2491="첫 건","유지","확인 필요")))</f>
        <v/>
      </c>
    </row>
    <row r="2492" customFormat="false" ht="15" hidden="false" customHeight="true" outlineLevel="0" collapsed="false">
      <c r="A2492" s="11" t="str">
        <f aca="false">IF(원본명단!$A2491="","",2489)</f>
        <v/>
      </c>
      <c r="B2492" s="12" t="str">
        <f aca="false">IF($A2492="","",원본명단!$A2491)</f>
        <v/>
      </c>
      <c r="C2492" s="12" t="str">
        <f aca="false">IF($A2492="","",원본명단!$B2491)</f>
        <v/>
      </c>
      <c r="D2492" s="12" t="str">
        <f aca="false">IF($A2492="","",원본명단!$D2491)</f>
        <v/>
      </c>
      <c r="E2492" s="11" t="str">
        <f aca="false">IF($A2492="","",IF(원본명단!$H2491="",0,COUNTIF(원본명단!$H$3:$H$6002,원본명단!$H2491)))</f>
        <v/>
      </c>
      <c r="F2492" s="11" t="str">
        <f aca="false">IF($A2492="","",IF(원본명단!$I2491="",0,COUNTIF(원본명단!$I$3:$I$6002,원본명단!$I2491)))</f>
        <v/>
      </c>
      <c r="G2492" s="11" t="str">
        <f aca="false">IF($A2492="","",IF(원본명단!$K2491="",0,COUNTIF(원본명단!$K$3:$K$6002,원본명단!$K2491)))</f>
        <v/>
      </c>
      <c r="H2492" s="11" t="str">
        <f aca="false">IF($A2492="","",IF(MAX($E2492,$F2492,$G2492)&gt;1,"중복","-"))</f>
        <v/>
      </c>
      <c r="I2492" s="11" t="str">
        <f aca="false">IF($A2492="","",IF($H2492="-","-",IF(AND(IF(원본명단!$H2491="",TRUE(),COUNTIF(원본명단!$H$3:$H2491,원본명단!$H2491)=1),IF(원본명단!$I2491="",TRUE(),COUNTIF(원본명단!$I$3:$I2491,원본명단!$I2491)=1),IF(원본명단!$K2491="",TRUE(),COUNTIF(원본명단!$K$3:$K2491,원본명단!$K2491)=1)),"첫 건","중복 건")))</f>
        <v/>
      </c>
      <c r="J2492" s="11" t="str">
        <f aca="false">IF($A2492="","",IF($H2492="-","유지",IF($I2492="첫 건","유지","확인 필요")))</f>
        <v/>
      </c>
    </row>
    <row r="2493" customFormat="false" ht="15" hidden="false" customHeight="true" outlineLevel="0" collapsed="false">
      <c r="A2493" s="11" t="str">
        <f aca="false">IF(원본명단!$A2492="","",2490)</f>
        <v/>
      </c>
      <c r="B2493" s="12" t="str">
        <f aca="false">IF($A2493="","",원본명단!$A2492)</f>
        <v/>
      </c>
      <c r="C2493" s="12" t="str">
        <f aca="false">IF($A2493="","",원본명단!$B2492)</f>
        <v/>
      </c>
      <c r="D2493" s="12" t="str">
        <f aca="false">IF($A2493="","",원본명단!$D2492)</f>
        <v/>
      </c>
      <c r="E2493" s="11" t="str">
        <f aca="false">IF($A2493="","",IF(원본명단!$H2492="",0,COUNTIF(원본명단!$H$3:$H$6002,원본명단!$H2492)))</f>
        <v/>
      </c>
      <c r="F2493" s="11" t="str">
        <f aca="false">IF($A2493="","",IF(원본명단!$I2492="",0,COUNTIF(원본명단!$I$3:$I$6002,원본명단!$I2492)))</f>
        <v/>
      </c>
      <c r="G2493" s="11" t="str">
        <f aca="false">IF($A2493="","",IF(원본명단!$K2492="",0,COUNTIF(원본명단!$K$3:$K$6002,원본명단!$K2492)))</f>
        <v/>
      </c>
      <c r="H2493" s="11" t="str">
        <f aca="false">IF($A2493="","",IF(MAX($E2493,$F2493,$G2493)&gt;1,"중복","-"))</f>
        <v/>
      </c>
      <c r="I2493" s="11" t="str">
        <f aca="false">IF($A2493="","",IF($H2493="-","-",IF(AND(IF(원본명단!$H2492="",TRUE(),COUNTIF(원본명단!$H$3:$H2492,원본명단!$H2492)=1),IF(원본명단!$I2492="",TRUE(),COUNTIF(원본명단!$I$3:$I2492,원본명단!$I2492)=1),IF(원본명단!$K2492="",TRUE(),COUNTIF(원본명단!$K$3:$K2492,원본명단!$K2492)=1)),"첫 건","중복 건")))</f>
        <v/>
      </c>
      <c r="J2493" s="11" t="str">
        <f aca="false">IF($A2493="","",IF($H2493="-","유지",IF($I2493="첫 건","유지","확인 필요")))</f>
        <v/>
      </c>
    </row>
    <row r="2494" customFormat="false" ht="15" hidden="false" customHeight="true" outlineLevel="0" collapsed="false">
      <c r="A2494" s="11" t="str">
        <f aca="false">IF(원본명단!$A2493="","",2491)</f>
        <v/>
      </c>
      <c r="B2494" s="12" t="str">
        <f aca="false">IF($A2494="","",원본명단!$A2493)</f>
        <v/>
      </c>
      <c r="C2494" s="12" t="str">
        <f aca="false">IF($A2494="","",원본명단!$B2493)</f>
        <v/>
      </c>
      <c r="D2494" s="12" t="str">
        <f aca="false">IF($A2494="","",원본명단!$D2493)</f>
        <v/>
      </c>
      <c r="E2494" s="11" t="str">
        <f aca="false">IF($A2494="","",IF(원본명단!$H2493="",0,COUNTIF(원본명단!$H$3:$H$6002,원본명단!$H2493)))</f>
        <v/>
      </c>
      <c r="F2494" s="11" t="str">
        <f aca="false">IF($A2494="","",IF(원본명단!$I2493="",0,COUNTIF(원본명단!$I$3:$I$6002,원본명단!$I2493)))</f>
        <v/>
      </c>
      <c r="G2494" s="11" t="str">
        <f aca="false">IF($A2494="","",IF(원본명단!$K2493="",0,COUNTIF(원본명단!$K$3:$K$6002,원본명단!$K2493)))</f>
        <v/>
      </c>
      <c r="H2494" s="11" t="str">
        <f aca="false">IF($A2494="","",IF(MAX($E2494,$F2494,$G2494)&gt;1,"중복","-"))</f>
        <v/>
      </c>
      <c r="I2494" s="11" t="str">
        <f aca="false">IF($A2494="","",IF($H2494="-","-",IF(AND(IF(원본명단!$H2493="",TRUE(),COUNTIF(원본명단!$H$3:$H2493,원본명단!$H2493)=1),IF(원본명단!$I2493="",TRUE(),COUNTIF(원본명단!$I$3:$I2493,원본명단!$I2493)=1),IF(원본명단!$K2493="",TRUE(),COUNTIF(원본명단!$K$3:$K2493,원본명단!$K2493)=1)),"첫 건","중복 건")))</f>
        <v/>
      </c>
      <c r="J2494" s="11" t="str">
        <f aca="false">IF($A2494="","",IF($H2494="-","유지",IF($I2494="첫 건","유지","확인 필요")))</f>
        <v/>
      </c>
    </row>
    <row r="2495" customFormat="false" ht="15" hidden="false" customHeight="true" outlineLevel="0" collapsed="false">
      <c r="A2495" s="11" t="str">
        <f aca="false">IF(원본명단!$A2494="","",2492)</f>
        <v/>
      </c>
      <c r="B2495" s="12" t="str">
        <f aca="false">IF($A2495="","",원본명단!$A2494)</f>
        <v/>
      </c>
      <c r="C2495" s="12" t="str">
        <f aca="false">IF($A2495="","",원본명단!$B2494)</f>
        <v/>
      </c>
      <c r="D2495" s="12" t="str">
        <f aca="false">IF($A2495="","",원본명단!$D2494)</f>
        <v/>
      </c>
      <c r="E2495" s="11" t="str">
        <f aca="false">IF($A2495="","",IF(원본명단!$H2494="",0,COUNTIF(원본명단!$H$3:$H$6002,원본명단!$H2494)))</f>
        <v/>
      </c>
      <c r="F2495" s="11" t="str">
        <f aca="false">IF($A2495="","",IF(원본명단!$I2494="",0,COUNTIF(원본명단!$I$3:$I$6002,원본명단!$I2494)))</f>
        <v/>
      </c>
      <c r="G2495" s="11" t="str">
        <f aca="false">IF($A2495="","",IF(원본명단!$K2494="",0,COUNTIF(원본명단!$K$3:$K$6002,원본명단!$K2494)))</f>
        <v/>
      </c>
      <c r="H2495" s="11" t="str">
        <f aca="false">IF($A2495="","",IF(MAX($E2495,$F2495,$G2495)&gt;1,"중복","-"))</f>
        <v/>
      </c>
      <c r="I2495" s="11" t="str">
        <f aca="false">IF($A2495="","",IF($H2495="-","-",IF(AND(IF(원본명단!$H2494="",TRUE(),COUNTIF(원본명단!$H$3:$H2494,원본명단!$H2494)=1),IF(원본명단!$I2494="",TRUE(),COUNTIF(원본명단!$I$3:$I2494,원본명단!$I2494)=1),IF(원본명단!$K2494="",TRUE(),COUNTIF(원본명단!$K$3:$K2494,원본명단!$K2494)=1)),"첫 건","중복 건")))</f>
        <v/>
      </c>
      <c r="J2495" s="11" t="str">
        <f aca="false">IF($A2495="","",IF($H2495="-","유지",IF($I2495="첫 건","유지","확인 필요")))</f>
        <v/>
      </c>
    </row>
    <row r="2496" customFormat="false" ht="15" hidden="false" customHeight="true" outlineLevel="0" collapsed="false">
      <c r="A2496" s="11" t="str">
        <f aca="false">IF(원본명단!$A2495="","",2493)</f>
        <v/>
      </c>
      <c r="B2496" s="12" t="str">
        <f aca="false">IF($A2496="","",원본명단!$A2495)</f>
        <v/>
      </c>
      <c r="C2496" s="12" t="str">
        <f aca="false">IF($A2496="","",원본명단!$B2495)</f>
        <v/>
      </c>
      <c r="D2496" s="12" t="str">
        <f aca="false">IF($A2496="","",원본명단!$D2495)</f>
        <v/>
      </c>
      <c r="E2496" s="11" t="str">
        <f aca="false">IF($A2496="","",IF(원본명단!$H2495="",0,COUNTIF(원본명단!$H$3:$H$6002,원본명단!$H2495)))</f>
        <v/>
      </c>
      <c r="F2496" s="11" t="str">
        <f aca="false">IF($A2496="","",IF(원본명단!$I2495="",0,COUNTIF(원본명단!$I$3:$I$6002,원본명단!$I2495)))</f>
        <v/>
      </c>
      <c r="G2496" s="11" t="str">
        <f aca="false">IF($A2496="","",IF(원본명단!$K2495="",0,COUNTIF(원본명단!$K$3:$K$6002,원본명단!$K2495)))</f>
        <v/>
      </c>
      <c r="H2496" s="11" t="str">
        <f aca="false">IF($A2496="","",IF(MAX($E2496,$F2496,$G2496)&gt;1,"중복","-"))</f>
        <v/>
      </c>
      <c r="I2496" s="11" t="str">
        <f aca="false">IF($A2496="","",IF($H2496="-","-",IF(AND(IF(원본명단!$H2495="",TRUE(),COUNTIF(원본명단!$H$3:$H2495,원본명단!$H2495)=1),IF(원본명단!$I2495="",TRUE(),COUNTIF(원본명단!$I$3:$I2495,원본명단!$I2495)=1),IF(원본명단!$K2495="",TRUE(),COUNTIF(원본명단!$K$3:$K2495,원본명단!$K2495)=1)),"첫 건","중복 건")))</f>
        <v/>
      </c>
      <c r="J2496" s="11" t="str">
        <f aca="false">IF($A2496="","",IF($H2496="-","유지",IF($I2496="첫 건","유지","확인 필요")))</f>
        <v/>
      </c>
    </row>
    <row r="2497" customFormat="false" ht="15" hidden="false" customHeight="true" outlineLevel="0" collapsed="false">
      <c r="A2497" s="11" t="str">
        <f aca="false">IF(원본명단!$A2496="","",2494)</f>
        <v/>
      </c>
      <c r="B2497" s="12" t="str">
        <f aca="false">IF($A2497="","",원본명단!$A2496)</f>
        <v/>
      </c>
      <c r="C2497" s="12" t="str">
        <f aca="false">IF($A2497="","",원본명단!$B2496)</f>
        <v/>
      </c>
      <c r="D2497" s="12" t="str">
        <f aca="false">IF($A2497="","",원본명단!$D2496)</f>
        <v/>
      </c>
      <c r="E2497" s="11" t="str">
        <f aca="false">IF($A2497="","",IF(원본명단!$H2496="",0,COUNTIF(원본명단!$H$3:$H$6002,원본명단!$H2496)))</f>
        <v/>
      </c>
      <c r="F2497" s="11" t="str">
        <f aca="false">IF($A2497="","",IF(원본명단!$I2496="",0,COUNTIF(원본명단!$I$3:$I$6002,원본명단!$I2496)))</f>
        <v/>
      </c>
      <c r="G2497" s="11" t="str">
        <f aca="false">IF($A2497="","",IF(원본명단!$K2496="",0,COUNTIF(원본명단!$K$3:$K$6002,원본명단!$K2496)))</f>
        <v/>
      </c>
      <c r="H2497" s="11" t="str">
        <f aca="false">IF($A2497="","",IF(MAX($E2497,$F2497,$G2497)&gt;1,"중복","-"))</f>
        <v/>
      </c>
      <c r="I2497" s="11" t="str">
        <f aca="false">IF($A2497="","",IF($H2497="-","-",IF(AND(IF(원본명단!$H2496="",TRUE(),COUNTIF(원본명단!$H$3:$H2496,원본명단!$H2496)=1),IF(원본명단!$I2496="",TRUE(),COUNTIF(원본명단!$I$3:$I2496,원본명단!$I2496)=1),IF(원본명단!$K2496="",TRUE(),COUNTIF(원본명단!$K$3:$K2496,원본명단!$K2496)=1)),"첫 건","중복 건")))</f>
        <v/>
      </c>
      <c r="J2497" s="11" t="str">
        <f aca="false">IF($A2497="","",IF($H2497="-","유지",IF($I2497="첫 건","유지","확인 필요")))</f>
        <v/>
      </c>
    </row>
    <row r="2498" customFormat="false" ht="15" hidden="false" customHeight="true" outlineLevel="0" collapsed="false">
      <c r="A2498" s="11" t="str">
        <f aca="false">IF(원본명단!$A2497="","",2495)</f>
        <v/>
      </c>
      <c r="B2498" s="12" t="str">
        <f aca="false">IF($A2498="","",원본명단!$A2497)</f>
        <v/>
      </c>
      <c r="C2498" s="12" t="str">
        <f aca="false">IF($A2498="","",원본명단!$B2497)</f>
        <v/>
      </c>
      <c r="D2498" s="12" t="str">
        <f aca="false">IF($A2498="","",원본명단!$D2497)</f>
        <v/>
      </c>
      <c r="E2498" s="11" t="str">
        <f aca="false">IF($A2498="","",IF(원본명단!$H2497="",0,COUNTIF(원본명단!$H$3:$H$6002,원본명단!$H2497)))</f>
        <v/>
      </c>
      <c r="F2498" s="11" t="str">
        <f aca="false">IF($A2498="","",IF(원본명단!$I2497="",0,COUNTIF(원본명단!$I$3:$I$6002,원본명단!$I2497)))</f>
        <v/>
      </c>
      <c r="G2498" s="11" t="str">
        <f aca="false">IF($A2498="","",IF(원본명단!$K2497="",0,COUNTIF(원본명단!$K$3:$K$6002,원본명단!$K2497)))</f>
        <v/>
      </c>
      <c r="H2498" s="11" t="str">
        <f aca="false">IF($A2498="","",IF(MAX($E2498,$F2498,$G2498)&gt;1,"중복","-"))</f>
        <v/>
      </c>
      <c r="I2498" s="11" t="str">
        <f aca="false">IF($A2498="","",IF($H2498="-","-",IF(AND(IF(원본명단!$H2497="",TRUE(),COUNTIF(원본명단!$H$3:$H2497,원본명단!$H2497)=1),IF(원본명단!$I2497="",TRUE(),COUNTIF(원본명단!$I$3:$I2497,원본명단!$I2497)=1),IF(원본명단!$K2497="",TRUE(),COUNTIF(원본명단!$K$3:$K2497,원본명단!$K2497)=1)),"첫 건","중복 건")))</f>
        <v/>
      </c>
      <c r="J2498" s="11" t="str">
        <f aca="false">IF($A2498="","",IF($H2498="-","유지",IF($I2498="첫 건","유지","확인 필요")))</f>
        <v/>
      </c>
    </row>
    <row r="2499" customFormat="false" ht="15" hidden="false" customHeight="true" outlineLevel="0" collapsed="false">
      <c r="A2499" s="11" t="str">
        <f aca="false">IF(원본명단!$A2498="","",2496)</f>
        <v/>
      </c>
      <c r="B2499" s="12" t="str">
        <f aca="false">IF($A2499="","",원본명단!$A2498)</f>
        <v/>
      </c>
      <c r="C2499" s="12" t="str">
        <f aca="false">IF($A2499="","",원본명단!$B2498)</f>
        <v/>
      </c>
      <c r="D2499" s="12" t="str">
        <f aca="false">IF($A2499="","",원본명단!$D2498)</f>
        <v/>
      </c>
      <c r="E2499" s="11" t="str">
        <f aca="false">IF($A2499="","",IF(원본명단!$H2498="",0,COUNTIF(원본명단!$H$3:$H$6002,원본명단!$H2498)))</f>
        <v/>
      </c>
      <c r="F2499" s="11" t="str">
        <f aca="false">IF($A2499="","",IF(원본명단!$I2498="",0,COUNTIF(원본명단!$I$3:$I$6002,원본명단!$I2498)))</f>
        <v/>
      </c>
      <c r="G2499" s="11" t="str">
        <f aca="false">IF($A2499="","",IF(원본명단!$K2498="",0,COUNTIF(원본명단!$K$3:$K$6002,원본명단!$K2498)))</f>
        <v/>
      </c>
      <c r="H2499" s="11" t="str">
        <f aca="false">IF($A2499="","",IF(MAX($E2499,$F2499,$G2499)&gt;1,"중복","-"))</f>
        <v/>
      </c>
      <c r="I2499" s="11" t="str">
        <f aca="false">IF($A2499="","",IF($H2499="-","-",IF(AND(IF(원본명단!$H2498="",TRUE(),COUNTIF(원본명단!$H$3:$H2498,원본명단!$H2498)=1),IF(원본명단!$I2498="",TRUE(),COUNTIF(원본명단!$I$3:$I2498,원본명단!$I2498)=1),IF(원본명단!$K2498="",TRUE(),COUNTIF(원본명단!$K$3:$K2498,원본명단!$K2498)=1)),"첫 건","중복 건")))</f>
        <v/>
      </c>
      <c r="J2499" s="11" t="str">
        <f aca="false">IF($A2499="","",IF($H2499="-","유지",IF($I2499="첫 건","유지","확인 필요")))</f>
        <v/>
      </c>
    </row>
    <row r="2500" customFormat="false" ht="15" hidden="false" customHeight="true" outlineLevel="0" collapsed="false">
      <c r="A2500" s="11" t="str">
        <f aca="false">IF(원본명단!$A2499="","",2497)</f>
        <v/>
      </c>
      <c r="B2500" s="12" t="str">
        <f aca="false">IF($A2500="","",원본명단!$A2499)</f>
        <v/>
      </c>
      <c r="C2500" s="12" t="str">
        <f aca="false">IF($A2500="","",원본명단!$B2499)</f>
        <v/>
      </c>
      <c r="D2500" s="12" t="str">
        <f aca="false">IF($A2500="","",원본명단!$D2499)</f>
        <v/>
      </c>
      <c r="E2500" s="11" t="str">
        <f aca="false">IF($A2500="","",IF(원본명단!$H2499="",0,COUNTIF(원본명단!$H$3:$H$6002,원본명단!$H2499)))</f>
        <v/>
      </c>
      <c r="F2500" s="11" t="str">
        <f aca="false">IF($A2500="","",IF(원본명단!$I2499="",0,COUNTIF(원본명단!$I$3:$I$6002,원본명단!$I2499)))</f>
        <v/>
      </c>
      <c r="G2500" s="11" t="str">
        <f aca="false">IF($A2500="","",IF(원본명단!$K2499="",0,COUNTIF(원본명단!$K$3:$K$6002,원본명단!$K2499)))</f>
        <v/>
      </c>
      <c r="H2500" s="11" t="str">
        <f aca="false">IF($A2500="","",IF(MAX($E2500,$F2500,$G2500)&gt;1,"중복","-"))</f>
        <v/>
      </c>
      <c r="I2500" s="11" t="str">
        <f aca="false">IF($A2500="","",IF($H2500="-","-",IF(AND(IF(원본명단!$H2499="",TRUE(),COUNTIF(원본명단!$H$3:$H2499,원본명단!$H2499)=1),IF(원본명단!$I2499="",TRUE(),COUNTIF(원본명단!$I$3:$I2499,원본명단!$I2499)=1),IF(원본명단!$K2499="",TRUE(),COUNTIF(원본명단!$K$3:$K2499,원본명단!$K2499)=1)),"첫 건","중복 건")))</f>
        <v/>
      </c>
      <c r="J2500" s="11" t="str">
        <f aca="false">IF($A2500="","",IF($H2500="-","유지",IF($I2500="첫 건","유지","확인 필요")))</f>
        <v/>
      </c>
    </row>
    <row r="2501" customFormat="false" ht="15" hidden="false" customHeight="true" outlineLevel="0" collapsed="false">
      <c r="A2501" s="11" t="str">
        <f aca="false">IF(원본명단!$A2500="","",2498)</f>
        <v/>
      </c>
      <c r="B2501" s="12" t="str">
        <f aca="false">IF($A2501="","",원본명단!$A2500)</f>
        <v/>
      </c>
      <c r="C2501" s="12" t="str">
        <f aca="false">IF($A2501="","",원본명단!$B2500)</f>
        <v/>
      </c>
      <c r="D2501" s="12" t="str">
        <f aca="false">IF($A2501="","",원본명단!$D2500)</f>
        <v/>
      </c>
      <c r="E2501" s="11" t="str">
        <f aca="false">IF($A2501="","",IF(원본명단!$H2500="",0,COUNTIF(원본명단!$H$3:$H$6002,원본명단!$H2500)))</f>
        <v/>
      </c>
      <c r="F2501" s="11" t="str">
        <f aca="false">IF($A2501="","",IF(원본명단!$I2500="",0,COUNTIF(원본명단!$I$3:$I$6002,원본명단!$I2500)))</f>
        <v/>
      </c>
      <c r="G2501" s="11" t="str">
        <f aca="false">IF($A2501="","",IF(원본명단!$K2500="",0,COUNTIF(원본명단!$K$3:$K$6002,원본명단!$K2500)))</f>
        <v/>
      </c>
      <c r="H2501" s="11" t="str">
        <f aca="false">IF($A2501="","",IF(MAX($E2501,$F2501,$G2501)&gt;1,"중복","-"))</f>
        <v/>
      </c>
      <c r="I2501" s="11" t="str">
        <f aca="false">IF($A2501="","",IF($H2501="-","-",IF(AND(IF(원본명단!$H2500="",TRUE(),COUNTIF(원본명단!$H$3:$H2500,원본명단!$H2500)=1),IF(원본명단!$I2500="",TRUE(),COUNTIF(원본명단!$I$3:$I2500,원본명단!$I2500)=1),IF(원본명단!$K2500="",TRUE(),COUNTIF(원본명단!$K$3:$K2500,원본명단!$K2500)=1)),"첫 건","중복 건")))</f>
        <v/>
      </c>
      <c r="J2501" s="11" t="str">
        <f aca="false">IF($A2501="","",IF($H2501="-","유지",IF($I2501="첫 건","유지","확인 필요")))</f>
        <v/>
      </c>
    </row>
    <row r="2502" customFormat="false" ht="15" hidden="false" customHeight="true" outlineLevel="0" collapsed="false">
      <c r="A2502" s="11" t="str">
        <f aca="false">IF(원본명단!$A2501="","",2499)</f>
        <v/>
      </c>
      <c r="B2502" s="12" t="str">
        <f aca="false">IF($A2502="","",원본명단!$A2501)</f>
        <v/>
      </c>
      <c r="C2502" s="12" t="str">
        <f aca="false">IF($A2502="","",원본명단!$B2501)</f>
        <v/>
      </c>
      <c r="D2502" s="12" t="str">
        <f aca="false">IF($A2502="","",원본명단!$D2501)</f>
        <v/>
      </c>
      <c r="E2502" s="11" t="str">
        <f aca="false">IF($A2502="","",IF(원본명단!$H2501="",0,COUNTIF(원본명단!$H$3:$H$6002,원본명단!$H2501)))</f>
        <v/>
      </c>
      <c r="F2502" s="11" t="str">
        <f aca="false">IF($A2502="","",IF(원본명단!$I2501="",0,COUNTIF(원본명단!$I$3:$I$6002,원본명단!$I2501)))</f>
        <v/>
      </c>
      <c r="G2502" s="11" t="str">
        <f aca="false">IF($A2502="","",IF(원본명단!$K2501="",0,COUNTIF(원본명단!$K$3:$K$6002,원본명단!$K2501)))</f>
        <v/>
      </c>
      <c r="H2502" s="11" t="str">
        <f aca="false">IF($A2502="","",IF(MAX($E2502,$F2502,$G2502)&gt;1,"중복","-"))</f>
        <v/>
      </c>
      <c r="I2502" s="11" t="str">
        <f aca="false">IF($A2502="","",IF($H2502="-","-",IF(AND(IF(원본명단!$H2501="",TRUE(),COUNTIF(원본명단!$H$3:$H2501,원본명단!$H2501)=1),IF(원본명단!$I2501="",TRUE(),COUNTIF(원본명단!$I$3:$I2501,원본명단!$I2501)=1),IF(원본명단!$K2501="",TRUE(),COUNTIF(원본명단!$K$3:$K2501,원본명단!$K2501)=1)),"첫 건","중복 건")))</f>
        <v/>
      </c>
      <c r="J2502" s="11" t="str">
        <f aca="false">IF($A2502="","",IF($H2502="-","유지",IF($I2502="첫 건","유지","확인 필요")))</f>
        <v/>
      </c>
    </row>
    <row r="2503" customFormat="false" ht="15" hidden="false" customHeight="true" outlineLevel="0" collapsed="false">
      <c r="A2503" s="11" t="str">
        <f aca="false">IF(원본명단!$A2502="","",2500)</f>
        <v/>
      </c>
      <c r="B2503" s="12" t="str">
        <f aca="false">IF($A2503="","",원본명단!$A2502)</f>
        <v/>
      </c>
      <c r="C2503" s="12" t="str">
        <f aca="false">IF($A2503="","",원본명단!$B2502)</f>
        <v/>
      </c>
      <c r="D2503" s="12" t="str">
        <f aca="false">IF($A2503="","",원본명단!$D2502)</f>
        <v/>
      </c>
      <c r="E2503" s="11" t="str">
        <f aca="false">IF($A2503="","",IF(원본명단!$H2502="",0,COUNTIF(원본명단!$H$3:$H$6002,원본명단!$H2502)))</f>
        <v/>
      </c>
      <c r="F2503" s="11" t="str">
        <f aca="false">IF($A2503="","",IF(원본명단!$I2502="",0,COUNTIF(원본명단!$I$3:$I$6002,원본명단!$I2502)))</f>
        <v/>
      </c>
      <c r="G2503" s="11" t="str">
        <f aca="false">IF($A2503="","",IF(원본명단!$K2502="",0,COUNTIF(원본명단!$K$3:$K$6002,원본명단!$K2502)))</f>
        <v/>
      </c>
      <c r="H2503" s="11" t="str">
        <f aca="false">IF($A2503="","",IF(MAX($E2503,$F2503,$G2503)&gt;1,"중복","-"))</f>
        <v/>
      </c>
      <c r="I2503" s="11" t="str">
        <f aca="false">IF($A2503="","",IF($H2503="-","-",IF(AND(IF(원본명단!$H2502="",TRUE(),COUNTIF(원본명단!$H$3:$H2502,원본명단!$H2502)=1),IF(원본명단!$I2502="",TRUE(),COUNTIF(원본명단!$I$3:$I2502,원본명단!$I2502)=1),IF(원본명단!$K2502="",TRUE(),COUNTIF(원본명단!$K$3:$K2502,원본명단!$K2502)=1)),"첫 건","중복 건")))</f>
        <v/>
      </c>
      <c r="J2503" s="11" t="str">
        <f aca="false">IF($A2503="","",IF($H2503="-","유지",IF($I2503="첫 건","유지","확인 필요")))</f>
        <v/>
      </c>
    </row>
    <row r="2504" customFormat="false" ht="15" hidden="false" customHeight="true" outlineLevel="0" collapsed="false">
      <c r="A2504" s="11" t="str">
        <f aca="false">IF(원본명단!$A2503="","",2501)</f>
        <v/>
      </c>
      <c r="B2504" s="12" t="str">
        <f aca="false">IF($A2504="","",원본명단!$A2503)</f>
        <v/>
      </c>
      <c r="C2504" s="12" t="str">
        <f aca="false">IF($A2504="","",원본명단!$B2503)</f>
        <v/>
      </c>
      <c r="D2504" s="12" t="str">
        <f aca="false">IF($A2504="","",원본명단!$D2503)</f>
        <v/>
      </c>
      <c r="E2504" s="11" t="str">
        <f aca="false">IF($A2504="","",IF(원본명단!$H2503="",0,COUNTIF(원본명단!$H$3:$H$6002,원본명단!$H2503)))</f>
        <v/>
      </c>
      <c r="F2504" s="11" t="str">
        <f aca="false">IF($A2504="","",IF(원본명단!$I2503="",0,COUNTIF(원본명단!$I$3:$I$6002,원본명단!$I2503)))</f>
        <v/>
      </c>
      <c r="G2504" s="11" t="str">
        <f aca="false">IF($A2504="","",IF(원본명단!$K2503="",0,COUNTIF(원본명단!$K$3:$K$6002,원본명단!$K2503)))</f>
        <v/>
      </c>
      <c r="H2504" s="11" t="str">
        <f aca="false">IF($A2504="","",IF(MAX($E2504,$F2504,$G2504)&gt;1,"중복","-"))</f>
        <v/>
      </c>
      <c r="I2504" s="11" t="str">
        <f aca="false">IF($A2504="","",IF($H2504="-","-",IF(AND(IF(원본명단!$H2503="",TRUE(),COUNTIF(원본명단!$H$3:$H2503,원본명단!$H2503)=1),IF(원본명단!$I2503="",TRUE(),COUNTIF(원본명단!$I$3:$I2503,원본명단!$I2503)=1),IF(원본명단!$K2503="",TRUE(),COUNTIF(원본명단!$K$3:$K2503,원본명단!$K2503)=1)),"첫 건","중복 건")))</f>
        <v/>
      </c>
      <c r="J2504" s="11" t="str">
        <f aca="false">IF($A2504="","",IF($H2504="-","유지",IF($I2504="첫 건","유지","확인 필요")))</f>
        <v/>
      </c>
    </row>
    <row r="2505" customFormat="false" ht="15" hidden="false" customHeight="true" outlineLevel="0" collapsed="false">
      <c r="A2505" s="11" t="str">
        <f aca="false">IF(원본명단!$A2504="","",2502)</f>
        <v/>
      </c>
      <c r="B2505" s="12" t="str">
        <f aca="false">IF($A2505="","",원본명단!$A2504)</f>
        <v/>
      </c>
      <c r="C2505" s="12" t="str">
        <f aca="false">IF($A2505="","",원본명단!$B2504)</f>
        <v/>
      </c>
      <c r="D2505" s="12" t="str">
        <f aca="false">IF($A2505="","",원본명단!$D2504)</f>
        <v/>
      </c>
      <c r="E2505" s="11" t="str">
        <f aca="false">IF($A2505="","",IF(원본명단!$H2504="",0,COUNTIF(원본명단!$H$3:$H$6002,원본명단!$H2504)))</f>
        <v/>
      </c>
      <c r="F2505" s="11" t="str">
        <f aca="false">IF($A2505="","",IF(원본명단!$I2504="",0,COUNTIF(원본명단!$I$3:$I$6002,원본명단!$I2504)))</f>
        <v/>
      </c>
      <c r="G2505" s="11" t="str">
        <f aca="false">IF($A2505="","",IF(원본명단!$K2504="",0,COUNTIF(원본명단!$K$3:$K$6002,원본명단!$K2504)))</f>
        <v/>
      </c>
      <c r="H2505" s="11" t="str">
        <f aca="false">IF($A2505="","",IF(MAX($E2505,$F2505,$G2505)&gt;1,"중복","-"))</f>
        <v/>
      </c>
      <c r="I2505" s="11" t="str">
        <f aca="false">IF($A2505="","",IF($H2505="-","-",IF(AND(IF(원본명단!$H2504="",TRUE(),COUNTIF(원본명단!$H$3:$H2504,원본명단!$H2504)=1),IF(원본명단!$I2504="",TRUE(),COUNTIF(원본명단!$I$3:$I2504,원본명단!$I2504)=1),IF(원본명단!$K2504="",TRUE(),COUNTIF(원본명단!$K$3:$K2504,원본명단!$K2504)=1)),"첫 건","중복 건")))</f>
        <v/>
      </c>
      <c r="J2505" s="11" t="str">
        <f aca="false">IF($A2505="","",IF($H2505="-","유지",IF($I2505="첫 건","유지","확인 필요")))</f>
        <v/>
      </c>
    </row>
    <row r="2506" customFormat="false" ht="15" hidden="false" customHeight="true" outlineLevel="0" collapsed="false">
      <c r="A2506" s="11" t="str">
        <f aca="false">IF(원본명단!$A2505="","",2503)</f>
        <v/>
      </c>
      <c r="B2506" s="12" t="str">
        <f aca="false">IF($A2506="","",원본명단!$A2505)</f>
        <v/>
      </c>
      <c r="C2506" s="12" t="str">
        <f aca="false">IF($A2506="","",원본명단!$B2505)</f>
        <v/>
      </c>
      <c r="D2506" s="12" t="str">
        <f aca="false">IF($A2506="","",원본명단!$D2505)</f>
        <v/>
      </c>
      <c r="E2506" s="11" t="str">
        <f aca="false">IF($A2506="","",IF(원본명단!$H2505="",0,COUNTIF(원본명단!$H$3:$H$6002,원본명단!$H2505)))</f>
        <v/>
      </c>
      <c r="F2506" s="11" t="str">
        <f aca="false">IF($A2506="","",IF(원본명단!$I2505="",0,COUNTIF(원본명단!$I$3:$I$6002,원본명단!$I2505)))</f>
        <v/>
      </c>
      <c r="G2506" s="11" t="str">
        <f aca="false">IF($A2506="","",IF(원본명단!$K2505="",0,COUNTIF(원본명단!$K$3:$K$6002,원본명단!$K2505)))</f>
        <v/>
      </c>
      <c r="H2506" s="11" t="str">
        <f aca="false">IF($A2506="","",IF(MAX($E2506,$F2506,$G2506)&gt;1,"중복","-"))</f>
        <v/>
      </c>
      <c r="I2506" s="11" t="str">
        <f aca="false">IF($A2506="","",IF($H2506="-","-",IF(AND(IF(원본명단!$H2505="",TRUE(),COUNTIF(원본명단!$H$3:$H2505,원본명단!$H2505)=1),IF(원본명단!$I2505="",TRUE(),COUNTIF(원본명단!$I$3:$I2505,원본명단!$I2505)=1),IF(원본명단!$K2505="",TRUE(),COUNTIF(원본명단!$K$3:$K2505,원본명단!$K2505)=1)),"첫 건","중복 건")))</f>
        <v/>
      </c>
      <c r="J2506" s="11" t="str">
        <f aca="false">IF($A2506="","",IF($H2506="-","유지",IF($I2506="첫 건","유지","확인 필요")))</f>
        <v/>
      </c>
    </row>
    <row r="2507" customFormat="false" ht="15" hidden="false" customHeight="true" outlineLevel="0" collapsed="false">
      <c r="A2507" s="11" t="str">
        <f aca="false">IF(원본명단!$A2506="","",2504)</f>
        <v/>
      </c>
      <c r="B2507" s="12" t="str">
        <f aca="false">IF($A2507="","",원본명단!$A2506)</f>
        <v/>
      </c>
      <c r="C2507" s="12" t="str">
        <f aca="false">IF($A2507="","",원본명단!$B2506)</f>
        <v/>
      </c>
      <c r="D2507" s="12" t="str">
        <f aca="false">IF($A2507="","",원본명단!$D2506)</f>
        <v/>
      </c>
      <c r="E2507" s="11" t="str">
        <f aca="false">IF($A2507="","",IF(원본명단!$H2506="",0,COUNTIF(원본명단!$H$3:$H$6002,원본명단!$H2506)))</f>
        <v/>
      </c>
      <c r="F2507" s="11" t="str">
        <f aca="false">IF($A2507="","",IF(원본명단!$I2506="",0,COUNTIF(원본명단!$I$3:$I$6002,원본명단!$I2506)))</f>
        <v/>
      </c>
      <c r="G2507" s="11" t="str">
        <f aca="false">IF($A2507="","",IF(원본명단!$K2506="",0,COUNTIF(원본명단!$K$3:$K$6002,원본명단!$K2506)))</f>
        <v/>
      </c>
      <c r="H2507" s="11" t="str">
        <f aca="false">IF($A2507="","",IF(MAX($E2507,$F2507,$G2507)&gt;1,"중복","-"))</f>
        <v/>
      </c>
      <c r="I2507" s="11" t="str">
        <f aca="false">IF($A2507="","",IF($H2507="-","-",IF(AND(IF(원본명단!$H2506="",TRUE(),COUNTIF(원본명단!$H$3:$H2506,원본명단!$H2506)=1),IF(원본명단!$I2506="",TRUE(),COUNTIF(원본명단!$I$3:$I2506,원본명단!$I2506)=1),IF(원본명단!$K2506="",TRUE(),COUNTIF(원본명단!$K$3:$K2506,원본명단!$K2506)=1)),"첫 건","중복 건")))</f>
        <v/>
      </c>
      <c r="J2507" s="11" t="str">
        <f aca="false">IF($A2507="","",IF($H2507="-","유지",IF($I2507="첫 건","유지","확인 필요")))</f>
        <v/>
      </c>
    </row>
    <row r="2508" customFormat="false" ht="15" hidden="false" customHeight="true" outlineLevel="0" collapsed="false">
      <c r="A2508" s="11" t="str">
        <f aca="false">IF(원본명단!$A2507="","",2505)</f>
        <v/>
      </c>
      <c r="B2508" s="12" t="str">
        <f aca="false">IF($A2508="","",원본명단!$A2507)</f>
        <v/>
      </c>
      <c r="C2508" s="12" t="str">
        <f aca="false">IF($A2508="","",원본명단!$B2507)</f>
        <v/>
      </c>
      <c r="D2508" s="12" t="str">
        <f aca="false">IF($A2508="","",원본명단!$D2507)</f>
        <v/>
      </c>
      <c r="E2508" s="11" t="str">
        <f aca="false">IF($A2508="","",IF(원본명단!$H2507="",0,COUNTIF(원본명단!$H$3:$H$6002,원본명단!$H2507)))</f>
        <v/>
      </c>
      <c r="F2508" s="11" t="str">
        <f aca="false">IF($A2508="","",IF(원본명단!$I2507="",0,COUNTIF(원본명단!$I$3:$I$6002,원본명단!$I2507)))</f>
        <v/>
      </c>
      <c r="G2508" s="11" t="str">
        <f aca="false">IF($A2508="","",IF(원본명단!$K2507="",0,COUNTIF(원본명단!$K$3:$K$6002,원본명단!$K2507)))</f>
        <v/>
      </c>
      <c r="H2508" s="11" t="str">
        <f aca="false">IF($A2508="","",IF(MAX($E2508,$F2508,$G2508)&gt;1,"중복","-"))</f>
        <v/>
      </c>
      <c r="I2508" s="11" t="str">
        <f aca="false">IF($A2508="","",IF($H2508="-","-",IF(AND(IF(원본명단!$H2507="",TRUE(),COUNTIF(원본명단!$H$3:$H2507,원본명단!$H2507)=1),IF(원본명단!$I2507="",TRUE(),COUNTIF(원본명단!$I$3:$I2507,원본명단!$I2507)=1),IF(원본명단!$K2507="",TRUE(),COUNTIF(원본명단!$K$3:$K2507,원본명단!$K2507)=1)),"첫 건","중복 건")))</f>
        <v/>
      </c>
      <c r="J2508" s="11" t="str">
        <f aca="false">IF($A2508="","",IF($H2508="-","유지",IF($I2508="첫 건","유지","확인 필요")))</f>
        <v/>
      </c>
    </row>
    <row r="2509" customFormat="false" ht="15" hidden="false" customHeight="true" outlineLevel="0" collapsed="false">
      <c r="A2509" s="11" t="str">
        <f aca="false">IF(원본명단!$A2508="","",2506)</f>
        <v/>
      </c>
      <c r="B2509" s="12" t="str">
        <f aca="false">IF($A2509="","",원본명단!$A2508)</f>
        <v/>
      </c>
      <c r="C2509" s="12" t="str">
        <f aca="false">IF($A2509="","",원본명단!$B2508)</f>
        <v/>
      </c>
      <c r="D2509" s="12" t="str">
        <f aca="false">IF($A2509="","",원본명단!$D2508)</f>
        <v/>
      </c>
      <c r="E2509" s="11" t="str">
        <f aca="false">IF($A2509="","",IF(원본명단!$H2508="",0,COUNTIF(원본명단!$H$3:$H$6002,원본명단!$H2508)))</f>
        <v/>
      </c>
      <c r="F2509" s="11" t="str">
        <f aca="false">IF($A2509="","",IF(원본명단!$I2508="",0,COUNTIF(원본명단!$I$3:$I$6002,원본명단!$I2508)))</f>
        <v/>
      </c>
      <c r="G2509" s="11" t="str">
        <f aca="false">IF($A2509="","",IF(원본명단!$K2508="",0,COUNTIF(원본명단!$K$3:$K$6002,원본명단!$K2508)))</f>
        <v/>
      </c>
      <c r="H2509" s="11" t="str">
        <f aca="false">IF($A2509="","",IF(MAX($E2509,$F2509,$G2509)&gt;1,"중복","-"))</f>
        <v/>
      </c>
      <c r="I2509" s="11" t="str">
        <f aca="false">IF($A2509="","",IF($H2509="-","-",IF(AND(IF(원본명단!$H2508="",TRUE(),COUNTIF(원본명단!$H$3:$H2508,원본명단!$H2508)=1),IF(원본명단!$I2508="",TRUE(),COUNTIF(원본명단!$I$3:$I2508,원본명단!$I2508)=1),IF(원본명단!$K2508="",TRUE(),COUNTIF(원본명단!$K$3:$K2508,원본명단!$K2508)=1)),"첫 건","중복 건")))</f>
        <v/>
      </c>
      <c r="J2509" s="11" t="str">
        <f aca="false">IF($A2509="","",IF($H2509="-","유지",IF($I2509="첫 건","유지","확인 필요")))</f>
        <v/>
      </c>
    </row>
    <row r="2510" customFormat="false" ht="15" hidden="false" customHeight="true" outlineLevel="0" collapsed="false">
      <c r="A2510" s="11" t="str">
        <f aca="false">IF(원본명단!$A2509="","",2507)</f>
        <v/>
      </c>
      <c r="B2510" s="12" t="str">
        <f aca="false">IF($A2510="","",원본명단!$A2509)</f>
        <v/>
      </c>
      <c r="C2510" s="12" t="str">
        <f aca="false">IF($A2510="","",원본명단!$B2509)</f>
        <v/>
      </c>
      <c r="D2510" s="12" t="str">
        <f aca="false">IF($A2510="","",원본명단!$D2509)</f>
        <v/>
      </c>
      <c r="E2510" s="11" t="str">
        <f aca="false">IF($A2510="","",IF(원본명단!$H2509="",0,COUNTIF(원본명단!$H$3:$H$6002,원본명단!$H2509)))</f>
        <v/>
      </c>
      <c r="F2510" s="11" t="str">
        <f aca="false">IF($A2510="","",IF(원본명단!$I2509="",0,COUNTIF(원본명단!$I$3:$I$6002,원본명단!$I2509)))</f>
        <v/>
      </c>
      <c r="G2510" s="11" t="str">
        <f aca="false">IF($A2510="","",IF(원본명단!$K2509="",0,COUNTIF(원본명단!$K$3:$K$6002,원본명단!$K2509)))</f>
        <v/>
      </c>
      <c r="H2510" s="11" t="str">
        <f aca="false">IF($A2510="","",IF(MAX($E2510,$F2510,$G2510)&gt;1,"중복","-"))</f>
        <v/>
      </c>
      <c r="I2510" s="11" t="str">
        <f aca="false">IF($A2510="","",IF($H2510="-","-",IF(AND(IF(원본명단!$H2509="",TRUE(),COUNTIF(원본명단!$H$3:$H2509,원본명단!$H2509)=1),IF(원본명단!$I2509="",TRUE(),COUNTIF(원본명단!$I$3:$I2509,원본명단!$I2509)=1),IF(원본명단!$K2509="",TRUE(),COUNTIF(원본명단!$K$3:$K2509,원본명단!$K2509)=1)),"첫 건","중복 건")))</f>
        <v/>
      </c>
      <c r="J2510" s="11" t="str">
        <f aca="false">IF($A2510="","",IF($H2510="-","유지",IF($I2510="첫 건","유지","확인 필요")))</f>
        <v/>
      </c>
    </row>
    <row r="2511" customFormat="false" ht="15" hidden="false" customHeight="true" outlineLevel="0" collapsed="false">
      <c r="A2511" s="11" t="str">
        <f aca="false">IF(원본명단!$A2510="","",2508)</f>
        <v/>
      </c>
      <c r="B2511" s="12" t="str">
        <f aca="false">IF($A2511="","",원본명단!$A2510)</f>
        <v/>
      </c>
      <c r="C2511" s="12" t="str">
        <f aca="false">IF($A2511="","",원본명단!$B2510)</f>
        <v/>
      </c>
      <c r="D2511" s="12" t="str">
        <f aca="false">IF($A2511="","",원본명단!$D2510)</f>
        <v/>
      </c>
      <c r="E2511" s="11" t="str">
        <f aca="false">IF($A2511="","",IF(원본명단!$H2510="",0,COUNTIF(원본명단!$H$3:$H$6002,원본명단!$H2510)))</f>
        <v/>
      </c>
      <c r="F2511" s="11" t="str">
        <f aca="false">IF($A2511="","",IF(원본명단!$I2510="",0,COUNTIF(원본명단!$I$3:$I$6002,원본명단!$I2510)))</f>
        <v/>
      </c>
      <c r="G2511" s="11" t="str">
        <f aca="false">IF($A2511="","",IF(원본명단!$K2510="",0,COUNTIF(원본명단!$K$3:$K$6002,원본명단!$K2510)))</f>
        <v/>
      </c>
      <c r="H2511" s="11" t="str">
        <f aca="false">IF($A2511="","",IF(MAX($E2511,$F2511,$G2511)&gt;1,"중복","-"))</f>
        <v/>
      </c>
      <c r="I2511" s="11" t="str">
        <f aca="false">IF($A2511="","",IF($H2511="-","-",IF(AND(IF(원본명단!$H2510="",TRUE(),COUNTIF(원본명단!$H$3:$H2510,원본명단!$H2510)=1),IF(원본명단!$I2510="",TRUE(),COUNTIF(원본명단!$I$3:$I2510,원본명단!$I2510)=1),IF(원본명단!$K2510="",TRUE(),COUNTIF(원본명단!$K$3:$K2510,원본명단!$K2510)=1)),"첫 건","중복 건")))</f>
        <v/>
      </c>
      <c r="J2511" s="11" t="str">
        <f aca="false">IF($A2511="","",IF($H2511="-","유지",IF($I2511="첫 건","유지","확인 필요")))</f>
        <v/>
      </c>
    </row>
    <row r="2512" customFormat="false" ht="15" hidden="false" customHeight="true" outlineLevel="0" collapsed="false">
      <c r="A2512" s="11" t="str">
        <f aca="false">IF(원본명단!$A2511="","",2509)</f>
        <v/>
      </c>
      <c r="B2512" s="12" t="str">
        <f aca="false">IF($A2512="","",원본명단!$A2511)</f>
        <v/>
      </c>
      <c r="C2512" s="12" t="str">
        <f aca="false">IF($A2512="","",원본명단!$B2511)</f>
        <v/>
      </c>
      <c r="D2512" s="12" t="str">
        <f aca="false">IF($A2512="","",원본명단!$D2511)</f>
        <v/>
      </c>
      <c r="E2512" s="11" t="str">
        <f aca="false">IF($A2512="","",IF(원본명단!$H2511="",0,COUNTIF(원본명단!$H$3:$H$6002,원본명단!$H2511)))</f>
        <v/>
      </c>
      <c r="F2512" s="11" t="str">
        <f aca="false">IF($A2512="","",IF(원본명단!$I2511="",0,COUNTIF(원본명단!$I$3:$I$6002,원본명단!$I2511)))</f>
        <v/>
      </c>
      <c r="G2512" s="11" t="str">
        <f aca="false">IF($A2512="","",IF(원본명단!$K2511="",0,COUNTIF(원본명단!$K$3:$K$6002,원본명단!$K2511)))</f>
        <v/>
      </c>
      <c r="H2512" s="11" t="str">
        <f aca="false">IF($A2512="","",IF(MAX($E2512,$F2512,$G2512)&gt;1,"중복","-"))</f>
        <v/>
      </c>
      <c r="I2512" s="11" t="str">
        <f aca="false">IF($A2512="","",IF($H2512="-","-",IF(AND(IF(원본명단!$H2511="",TRUE(),COUNTIF(원본명단!$H$3:$H2511,원본명단!$H2511)=1),IF(원본명단!$I2511="",TRUE(),COUNTIF(원본명단!$I$3:$I2511,원본명단!$I2511)=1),IF(원본명단!$K2511="",TRUE(),COUNTIF(원본명단!$K$3:$K2511,원본명단!$K2511)=1)),"첫 건","중복 건")))</f>
        <v/>
      </c>
      <c r="J2512" s="11" t="str">
        <f aca="false">IF($A2512="","",IF($H2512="-","유지",IF($I2512="첫 건","유지","확인 필요")))</f>
        <v/>
      </c>
    </row>
    <row r="2513" customFormat="false" ht="15" hidden="false" customHeight="true" outlineLevel="0" collapsed="false">
      <c r="A2513" s="11" t="str">
        <f aca="false">IF(원본명단!$A2512="","",2510)</f>
        <v/>
      </c>
      <c r="B2513" s="12" t="str">
        <f aca="false">IF($A2513="","",원본명단!$A2512)</f>
        <v/>
      </c>
      <c r="C2513" s="12" t="str">
        <f aca="false">IF($A2513="","",원본명단!$B2512)</f>
        <v/>
      </c>
      <c r="D2513" s="12" t="str">
        <f aca="false">IF($A2513="","",원본명단!$D2512)</f>
        <v/>
      </c>
      <c r="E2513" s="11" t="str">
        <f aca="false">IF($A2513="","",IF(원본명단!$H2512="",0,COUNTIF(원본명단!$H$3:$H$6002,원본명단!$H2512)))</f>
        <v/>
      </c>
      <c r="F2513" s="11" t="str">
        <f aca="false">IF($A2513="","",IF(원본명단!$I2512="",0,COUNTIF(원본명단!$I$3:$I$6002,원본명단!$I2512)))</f>
        <v/>
      </c>
      <c r="G2513" s="11" t="str">
        <f aca="false">IF($A2513="","",IF(원본명단!$K2512="",0,COUNTIF(원본명단!$K$3:$K$6002,원본명단!$K2512)))</f>
        <v/>
      </c>
      <c r="H2513" s="11" t="str">
        <f aca="false">IF($A2513="","",IF(MAX($E2513,$F2513,$G2513)&gt;1,"중복","-"))</f>
        <v/>
      </c>
      <c r="I2513" s="11" t="str">
        <f aca="false">IF($A2513="","",IF($H2513="-","-",IF(AND(IF(원본명단!$H2512="",TRUE(),COUNTIF(원본명단!$H$3:$H2512,원본명단!$H2512)=1),IF(원본명단!$I2512="",TRUE(),COUNTIF(원본명단!$I$3:$I2512,원본명단!$I2512)=1),IF(원본명단!$K2512="",TRUE(),COUNTIF(원본명단!$K$3:$K2512,원본명단!$K2512)=1)),"첫 건","중복 건")))</f>
        <v/>
      </c>
      <c r="J2513" s="11" t="str">
        <f aca="false">IF($A2513="","",IF($H2513="-","유지",IF($I2513="첫 건","유지","확인 필요")))</f>
        <v/>
      </c>
    </row>
    <row r="2514" customFormat="false" ht="15" hidden="false" customHeight="true" outlineLevel="0" collapsed="false">
      <c r="A2514" s="11" t="str">
        <f aca="false">IF(원본명단!$A2513="","",2511)</f>
        <v/>
      </c>
      <c r="B2514" s="12" t="str">
        <f aca="false">IF($A2514="","",원본명단!$A2513)</f>
        <v/>
      </c>
      <c r="C2514" s="12" t="str">
        <f aca="false">IF($A2514="","",원본명단!$B2513)</f>
        <v/>
      </c>
      <c r="D2514" s="12" t="str">
        <f aca="false">IF($A2514="","",원본명단!$D2513)</f>
        <v/>
      </c>
      <c r="E2514" s="11" t="str">
        <f aca="false">IF($A2514="","",IF(원본명단!$H2513="",0,COUNTIF(원본명단!$H$3:$H$6002,원본명단!$H2513)))</f>
        <v/>
      </c>
      <c r="F2514" s="11" t="str">
        <f aca="false">IF($A2514="","",IF(원본명단!$I2513="",0,COUNTIF(원본명단!$I$3:$I$6002,원본명단!$I2513)))</f>
        <v/>
      </c>
      <c r="G2514" s="11" t="str">
        <f aca="false">IF($A2514="","",IF(원본명단!$K2513="",0,COUNTIF(원본명단!$K$3:$K$6002,원본명단!$K2513)))</f>
        <v/>
      </c>
      <c r="H2514" s="11" t="str">
        <f aca="false">IF($A2514="","",IF(MAX($E2514,$F2514,$G2514)&gt;1,"중복","-"))</f>
        <v/>
      </c>
      <c r="I2514" s="11" t="str">
        <f aca="false">IF($A2514="","",IF($H2514="-","-",IF(AND(IF(원본명단!$H2513="",TRUE(),COUNTIF(원본명단!$H$3:$H2513,원본명단!$H2513)=1),IF(원본명단!$I2513="",TRUE(),COUNTIF(원본명단!$I$3:$I2513,원본명단!$I2513)=1),IF(원본명단!$K2513="",TRUE(),COUNTIF(원본명단!$K$3:$K2513,원본명단!$K2513)=1)),"첫 건","중복 건")))</f>
        <v/>
      </c>
      <c r="J2514" s="11" t="str">
        <f aca="false">IF($A2514="","",IF($H2514="-","유지",IF($I2514="첫 건","유지","확인 필요")))</f>
        <v/>
      </c>
    </row>
    <row r="2515" customFormat="false" ht="15" hidden="false" customHeight="true" outlineLevel="0" collapsed="false">
      <c r="A2515" s="11" t="str">
        <f aca="false">IF(원본명단!$A2514="","",2512)</f>
        <v/>
      </c>
      <c r="B2515" s="12" t="str">
        <f aca="false">IF($A2515="","",원본명단!$A2514)</f>
        <v/>
      </c>
      <c r="C2515" s="12" t="str">
        <f aca="false">IF($A2515="","",원본명단!$B2514)</f>
        <v/>
      </c>
      <c r="D2515" s="12" t="str">
        <f aca="false">IF($A2515="","",원본명단!$D2514)</f>
        <v/>
      </c>
      <c r="E2515" s="11" t="str">
        <f aca="false">IF($A2515="","",IF(원본명단!$H2514="",0,COUNTIF(원본명단!$H$3:$H$6002,원본명단!$H2514)))</f>
        <v/>
      </c>
      <c r="F2515" s="11" t="str">
        <f aca="false">IF($A2515="","",IF(원본명단!$I2514="",0,COUNTIF(원본명단!$I$3:$I$6002,원본명단!$I2514)))</f>
        <v/>
      </c>
      <c r="G2515" s="11" t="str">
        <f aca="false">IF($A2515="","",IF(원본명단!$K2514="",0,COUNTIF(원본명단!$K$3:$K$6002,원본명단!$K2514)))</f>
        <v/>
      </c>
      <c r="H2515" s="11" t="str">
        <f aca="false">IF($A2515="","",IF(MAX($E2515,$F2515,$G2515)&gt;1,"중복","-"))</f>
        <v/>
      </c>
      <c r="I2515" s="11" t="str">
        <f aca="false">IF($A2515="","",IF($H2515="-","-",IF(AND(IF(원본명단!$H2514="",TRUE(),COUNTIF(원본명단!$H$3:$H2514,원본명단!$H2514)=1),IF(원본명단!$I2514="",TRUE(),COUNTIF(원본명단!$I$3:$I2514,원본명단!$I2514)=1),IF(원본명단!$K2514="",TRUE(),COUNTIF(원본명단!$K$3:$K2514,원본명단!$K2514)=1)),"첫 건","중복 건")))</f>
        <v/>
      </c>
      <c r="J2515" s="11" t="str">
        <f aca="false">IF($A2515="","",IF($H2515="-","유지",IF($I2515="첫 건","유지","확인 필요")))</f>
        <v/>
      </c>
    </row>
    <row r="2516" customFormat="false" ht="15" hidden="false" customHeight="true" outlineLevel="0" collapsed="false">
      <c r="A2516" s="11" t="str">
        <f aca="false">IF(원본명단!$A2515="","",2513)</f>
        <v/>
      </c>
      <c r="B2516" s="12" t="str">
        <f aca="false">IF($A2516="","",원본명단!$A2515)</f>
        <v/>
      </c>
      <c r="C2516" s="12" t="str">
        <f aca="false">IF($A2516="","",원본명단!$B2515)</f>
        <v/>
      </c>
      <c r="D2516" s="12" t="str">
        <f aca="false">IF($A2516="","",원본명단!$D2515)</f>
        <v/>
      </c>
      <c r="E2516" s="11" t="str">
        <f aca="false">IF($A2516="","",IF(원본명단!$H2515="",0,COUNTIF(원본명단!$H$3:$H$6002,원본명단!$H2515)))</f>
        <v/>
      </c>
      <c r="F2516" s="11" t="str">
        <f aca="false">IF($A2516="","",IF(원본명단!$I2515="",0,COUNTIF(원본명단!$I$3:$I$6002,원본명단!$I2515)))</f>
        <v/>
      </c>
      <c r="G2516" s="11" t="str">
        <f aca="false">IF($A2516="","",IF(원본명단!$K2515="",0,COUNTIF(원본명단!$K$3:$K$6002,원본명단!$K2515)))</f>
        <v/>
      </c>
      <c r="H2516" s="11" t="str">
        <f aca="false">IF($A2516="","",IF(MAX($E2516,$F2516,$G2516)&gt;1,"중복","-"))</f>
        <v/>
      </c>
      <c r="I2516" s="11" t="str">
        <f aca="false">IF($A2516="","",IF($H2516="-","-",IF(AND(IF(원본명단!$H2515="",TRUE(),COUNTIF(원본명단!$H$3:$H2515,원본명단!$H2515)=1),IF(원본명단!$I2515="",TRUE(),COUNTIF(원본명단!$I$3:$I2515,원본명단!$I2515)=1),IF(원본명단!$K2515="",TRUE(),COUNTIF(원본명단!$K$3:$K2515,원본명단!$K2515)=1)),"첫 건","중복 건")))</f>
        <v/>
      </c>
      <c r="J2516" s="11" t="str">
        <f aca="false">IF($A2516="","",IF($H2516="-","유지",IF($I2516="첫 건","유지","확인 필요")))</f>
        <v/>
      </c>
    </row>
    <row r="2517" customFormat="false" ht="15" hidden="false" customHeight="true" outlineLevel="0" collapsed="false">
      <c r="A2517" s="11" t="str">
        <f aca="false">IF(원본명단!$A2516="","",2514)</f>
        <v/>
      </c>
      <c r="B2517" s="12" t="str">
        <f aca="false">IF($A2517="","",원본명단!$A2516)</f>
        <v/>
      </c>
      <c r="C2517" s="12" t="str">
        <f aca="false">IF($A2517="","",원본명단!$B2516)</f>
        <v/>
      </c>
      <c r="D2517" s="12" t="str">
        <f aca="false">IF($A2517="","",원본명단!$D2516)</f>
        <v/>
      </c>
      <c r="E2517" s="11" t="str">
        <f aca="false">IF($A2517="","",IF(원본명단!$H2516="",0,COUNTIF(원본명단!$H$3:$H$6002,원본명단!$H2516)))</f>
        <v/>
      </c>
      <c r="F2517" s="11" t="str">
        <f aca="false">IF($A2517="","",IF(원본명단!$I2516="",0,COUNTIF(원본명단!$I$3:$I$6002,원본명단!$I2516)))</f>
        <v/>
      </c>
      <c r="G2517" s="11" t="str">
        <f aca="false">IF($A2517="","",IF(원본명단!$K2516="",0,COUNTIF(원본명단!$K$3:$K$6002,원본명단!$K2516)))</f>
        <v/>
      </c>
      <c r="H2517" s="11" t="str">
        <f aca="false">IF($A2517="","",IF(MAX($E2517,$F2517,$G2517)&gt;1,"중복","-"))</f>
        <v/>
      </c>
      <c r="I2517" s="11" t="str">
        <f aca="false">IF($A2517="","",IF($H2517="-","-",IF(AND(IF(원본명단!$H2516="",TRUE(),COUNTIF(원본명단!$H$3:$H2516,원본명단!$H2516)=1),IF(원본명단!$I2516="",TRUE(),COUNTIF(원본명단!$I$3:$I2516,원본명단!$I2516)=1),IF(원본명단!$K2516="",TRUE(),COUNTIF(원본명단!$K$3:$K2516,원본명단!$K2516)=1)),"첫 건","중복 건")))</f>
        <v/>
      </c>
      <c r="J2517" s="11" t="str">
        <f aca="false">IF($A2517="","",IF($H2517="-","유지",IF($I2517="첫 건","유지","확인 필요")))</f>
        <v/>
      </c>
    </row>
    <row r="2518" customFormat="false" ht="15" hidden="false" customHeight="true" outlineLevel="0" collapsed="false">
      <c r="A2518" s="11" t="str">
        <f aca="false">IF(원본명단!$A2517="","",2515)</f>
        <v/>
      </c>
      <c r="B2518" s="12" t="str">
        <f aca="false">IF($A2518="","",원본명단!$A2517)</f>
        <v/>
      </c>
      <c r="C2518" s="12" t="str">
        <f aca="false">IF($A2518="","",원본명단!$B2517)</f>
        <v/>
      </c>
      <c r="D2518" s="12" t="str">
        <f aca="false">IF($A2518="","",원본명단!$D2517)</f>
        <v/>
      </c>
      <c r="E2518" s="11" t="str">
        <f aca="false">IF($A2518="","",IF(원본명단!$H2517="",0,COUNTIF(원본명단!$H$3:$H$6002,원본명단!$H2517)))</f>
        <v/>
      </c>
      <c r="F2518" s="11" t="str">
        <f aca="false">IF($A2518="","",IF(원본명단!$I2517="",0,COUNTIF(원본명단!$I$3:$I$6002,원본명단!$I2517)))</f>
        <v/>
      </c>
      <c r="G2518" s="11" t="str">
        <f aca="false">IF($A2518="","",IF(원본명단!$K2517="",0,COUNTIF(원본명단!$K$3:$K$6002,원본명단!$K2517)))</f>
        <v/>
      </c>
      <c r="H2518" s="11" t="str">
        <f aca="false">IF($A2518="","",IF(MAX($E2518,$F2518,$G2518)&gt;1,"중복","-"))</f>
        <v/>
      </c>
      <c r="I2518" s="11" t="str">
        <f aca="false">IF($A2518="","",IF($H2518="-","-",IF(AND(IF(원본명단!$H2517="",TRUE(),COUNTIF(원본명단!$H$3:$H2517,원본명단!$H2517)=1),IF(원본명단!$I2517="",TRUE(),COUNTIF(원본명단!$I$3:$I2517,원본명단!$I2517)=1),IF(원본명단!$K2517="",TRUE(),COUNTIF(원본명단!$K$3:$K2517,원본명단!$K2517)=1)),"첫 건","중복 건")))</f>
        <v/>
      </c>
      <c r="J2518" s="11" t="str">
        <f aca="false">IF($A2518="","",IF($H2518="-","유지",IF($I2518="첫 건","유지","확인 필요")))</f>
        <v/>
      </c>
    </row>
    <row r="2519" customFormat="false" ht="15" hidden="false" customHeight="true" outlineLevel="0" collapsed="false">
      <c r="A2519" s="11" t="str">
        <f aca="false">IF(원본명단!$A2518="","",2516)</f>
        <v/>
      </c>
      <c r="B2519" s="12" t="str">
        <f aca="false">IF($A2519="","",원본명단!$A2518)</f>
        <v/>
      </c>
      <c r="C2519" s="12" t="str">
        <f aca="false">IF($A2519="","",원본명단!$B2518)</f>
        <v/>
      </c>
      <c r="D2519" s="12" t="str">
        <f aca="false">IF($A2519="","",원본명단!$D2518)</f>
        <v/>
      </c>
      <c r="E2519" s="11" t="str">
        <f aca="false">IF($A2519="","",IF(원본명단!$H2518="",0,COUNTIF(원본명단!$H$3:$H$6002,원본명단!$H2518)))</f>
        <v/>
      </c>
      <c r="F2519" s="11" t="str">
        <f aca="false">IF($A2519="","",IF(원본명단!$I2518="",0,COUNTIF(원본명단!$I$3:$I$6002,원본명단!$I2518)))</f>
        <v/>
      </c>
      <c r="G2519" s="11" t="str">
        <f aca="false">IF($A2519="","",IF(원본명단!$K2518="",0,COUNTIF(원본명단!$K$3:$K$6002,원본명단!$K2518)))</f>
        <v/>
      </c>
      <c r="H2519" s="11" t="str">
        <f aca="false">IF($A2519="","",IF(MAX($E2519,$F2519,$G2519)&gt;1,"중복","-"))</f>
        <v/>
      </c>
      <c r="I2519" s="11" t="str">
        <f aca="false">IF($A2519="","",IF($H2519="-","-",IF(AND(IF(원본명단!$H2518="",TRUE(),COUNTIF(원본명단!$H$3:$H2518,원본명단!$H2518)=1),IF(원본명단!$I2518="",TRUE(),COUNTIF(원본명단!$I$3:$I2518,원본명단!$I2518)=1),IF(원본명단!$K2518="",TRUE(),COUNTIF(원본명단!$K$3:$K2518,원본명단!$K2518)=1)),"첫 건","중복 건")))</f>
        <v/>
      </c>
      <c r="J2519" s="11" t="str">
        <f aca="false">IF($A2519="","",IF($H2519="-","유지",IF($I2519="첫 건","유지","확인 필요")))</f>
        <v/>
      </c>
    </row>
    <row r="2520" customFormat="false" ht="15" hidden="false" customHeight="true" outlineLevel="0" collapsed="false">
      <c r="A2520" s="11" t="str">
        <f aca="false">IF(원본명단!$A2519="","",2517)</f>
        <v/>
      </c>
      <c r="B2520" s="12" t="str">
        <f aca="false">IF($A2520="","",원본명단!$A2519)</f>
        <v/>
      </c>
      <c r="C2520" s="12" t="str">
        <f aca="false">IF($A2520="","",원본명단!$B2519)</f>
        <v/>
      </c>
      <c r="D2520" s="12" t="str">
        <f aca="false">IF($A2520="","",원본명단!$D2519)</f>
        <v/>
      </c>
      <c r="E2520" s="11" t="str">
        <f aca="false">IF($A2520="","",IF(원본명단!$H2519="",0,COUNTIF(원본명단!$H$3:$H$6002,원본명단!$H2519)))</f>
        <v/>
      </c>
      <c r="F2520" s="11" t="str">
        <f aca="false">IF($A2520="","",IF(원본명단!$I2519="",0,COUNTIF(원본명단!$I$3:$I$6002,원본명단!$I2519)))</f>
        <v/>
      </c>
      <c r="G2520" s="11" t="str">
        <f aca="false">IF($A2520="","",IF(원본명단!$K2519="",0,COUNTIF(원본명단!$K$3:$K$6002,원본명단!$K2519)))</f>
        <v/>
      </c>
      <c r="H2520" s="11" t="str">
        <f aca="false">IF($A2520="","",IF(MAX($E2520,$F2520,$G2520)&gt;1,"중복","-"))</f>
        <v/>
      </c>
      <c r="I2520" s="11" t="str">
        <f aca="false">IF($A2520="","",IF($H2520="-","-",IF(AND(IF(원본명단!$H2519="",TRUE(),COUNTIF(원본명단!$H$3:$H2519,원본명단!$H2519)=1),IF(원본명단!$I2519="",TRUE(),COUNTIF(원본명단!$I$3:$I2519,원본명단!$I2519)=1),IF(원본명단!$K2519="",TRUE(),COUNTIF(원본명단!$K$3:$K2519,원본명단!$K2519)=1)),"첫 건","중복 건")))</f>
        <v/>
      </c>
      <c r="J2520" s="11" t="str">
        <f aca="false">IF($A2520="","",IF($H2520="-","유지",IF($I2520="첫 건","유지","확인 필요")))</f>
        <v/>
      </c>
    </row>
    <row r="2521" customFormat="false" ht="15" hidden="false" customHeight="true" outlineLevel="0" collapsed="false">
      <c r="A2521" s="11" t="str">
        <f aca="false">IF(원본명단!$A2520="","",2518)</f>
        <v/>
      </c>
      <c r="B2521" s="12" t="str">
        <f aca="false">IF($A2521="","",원본명단!$A2520)</f>
        <v/>
      </c>
      <c r="C2521" s="12" t="str">
        <f aca="false">IF($A2521="","",원본명단!$B2520)</f>
        <v/>
      </c>
      <c r="D2521" s="12" t="str">
        <f aca="false">IF($A2521="","",원본명단!$D2520)</f>
        <v/>
      </c>
      <c r="E2521" s="11" t="str">
        <f aca="false">IF($A2521="","",IF(원본명단!$H2520="",0,COUNTIF(원본명단!$H$3:$H$6002,원본명단!$H2520)))</f>
        <v/>
      </c>
      <c r="F2521" s="11" t="str">
        <f aca="false">IF($A2521="","",IF(원본명단!$I2520="",0,COUNTIF(원본명단!$I$3:$I$6002,원본명단!$I2520)))</f>
        <v/>
      </c>
      <c r="G2521" s="11" t="str">
        <f aca="false">IF($A2521="","",IF(원본명단!$K2520="",0,COUNTIF(원본명단!$K$3:$K$6002,원본명단!$K2520)))</f>
        <v/>
      </c>
      <c r="H2521" s="11" t="str">
        <f aca="false">IF($A2521="","",IF(MAX($E2521,$F2521,$G2521)&gt;1,"중복","-"))</f>
        <v/>
      </c>
      <c r="I2521" s="11" t="str">
        <f aca="false">IF($A2521="","",IF($H2521="-","-",IF(AND(IF(원본명단!$H2520="",TRUE(),COUNTIF(원본명단!$H$3:$H2520,원본명단!$H2520)=1),IF(원본명단!$I2520="",TRUE(),COUNTIF(원본명단!$I$3:$I2520,원본명단!$I2520)=1),IF(원본명단!$K2520="",TRUE(),COUNTIF(원본명단!$K$3:$K2520,원본명단!$K2520)=1)),"첫 건","중복 건")))</f>
        <v/>
      </c>
      <c r="J2521" s="11" t="str">
        <f aca="false">IF($A2521="","",IF($H2521="-","유지",IF($I2521="첫 건","유지","확인 필요")))</f>
        <v/>
      </c>
    </row>
    <row r="2522" customFormat="false" ht="15" hidden="false" customHeight="true" outlineLevel="0" collapsed="false">
      <c r="A2522" s="11" t="str">
        <f aca="false">IF(원본명단!$A2521="","",2519)</f>
        <v/>
      </c>
      <c r="B2522" s="12" t="str">
        <f aca="false">IF($A2522="","",원본명단!$A2521)</f>
        <v/>
      </c>
      <c r="C2522" s="12" t="str">
        <f aca="false">IF($A2522="","",원본명단!$B2521)</f>
        <v/>
      </c>
      <c r="D2522" s="12" t="str">
        <f aca="false">IF($A2522="","",원본명단!$D2521)</f>
        <v/>
      </c>
      <c r="E2522" s="11" t="str">
        <f aca="false">IF($A2522="","",IF(원본명단!$H2521="",0,COUNTIF(원본명단!$H$3:$H$6002,원본명단!$H2521)))</f>
        <v/>
      </c>
      <c r="F2522" s="11" t="str">
        <f aca="false">IF($A2522="","",IF(원본명단!$I2521="",0,COUNTIF(원본명단!$I$3:$I$6002,원본명단!$I2521)))</f>
        <v/>
      </c>
      <c r="G2522" s="11" t="str">
        <f aca="false">IF($A2522="","",IF(원본명단!$K2521="",0,COUNTIF(원본명단!$K$3:$K$6002,원본명단!$K2521)))</f>
        <v/>
      </c>
      <c r="H2522" s="11" t="str">
        <f aca="false">IF($A2522="","",IF(MAX($E2522,$F2522,$G2522)&gt;1,"중복","-"))</f>
        <v/>
      </c>
      <c r="I2522" s="11" t="str">
        <f aca="false">IF($A2522="","",IF($H2522="-","-",IF(AND(IF(원본명단!$H2521="",TRUE(),COUNTIF(원본명단!$H$3:$H2521,원본명단!$H2521)=1),IF(원본명단!$I2521="",TRUE(),COUNTIF(원본명단!$I$3:$I2521,원본명단!$I2521)=1),IF(원본명단!$K2521="",TRUE(),COUNTIF(원본명단!$K$3:$K2521,원본명단!$K2521)=1)),"첫 건","중복 건")))</f>
        <v/>
      </c>
      <c r="J2522" s="11" t="str">
        <f aca="false">IF($A2522="","",IF($H2522="-","유지",IF($I2522="첫 건","유지","확인 필요")))</f>
        <v/>
      </c>
    </row>
    <row r="2523" customFormat="false" ht="15" hidden="false" customHeight="true" outlineLevel="0" collapsed="false">
      <c r="A2523" s="11" t="str">
        <f aca="false">IF(원본명단!$A2522="","",2520)</f>
        <v/>
      </c>
      <c r="B2523" s="12" t="str">
        <f aca="false">IF($A2523="","",원본명단!$A2522)</f>
        <v/>
      </c>
      <c r="C2523" s="12" t="str">
        <f aca="false">IF($A2523="","",원본명단!$B2522)</f>
        <v/>
      </c>
      <c r="D2523" s="12" t="str">
        <f aca="false">IF($A2523="","",원본명단!$D2522)</f>
        <v/>
      </c>
      <c r="E2523" s="11" t="str">
        <f aca="false">IF($A2523="","",IF(원본명단!$H2522="",0,COUNTIF(원본명단!$H$3:$H$6002,원본명단!$H2522)))</f>
        <v/>
      </c>
      <c r="F2523" s="11" t="str">
        <f aca="false">IF($A2523="","",IF(원본명단!$I2522="",0,COUNTIF(원본명단!$I$3:$I$6002,원본명단!$I2522)))</f>
        <v/>
      </c>
      <c r="G2523" s="11" t="str">
        <f aca="false">IF($A2523="","",IF(원본명단!$K2522="",0,COUNTIF(원본명단!$K$3:$K$6002,원본명단!$K2522)))</f>
        <v/>
      </c>
      <c r="H2523" s="11" t="str">
        <f aca="false">IF($A2523="","",IF(MAX($E2523,$F2523,$G2523)&gt;1,"중복","-"))</f>
        <v/>
      </c>
      <c r="I2523" s="11" t="str">
        <f aca="false">IF($A2523="","",IF($H2523="-","-",IF(AND(IF(원본명단!$H2522="",TRUE(),COUNTIF(원본명단!$H$3:$H2522,원본명단!$H2522)=1),IF(원본명단!$I2522="",TRUE(),COUNTIF(원본명단!$I$3:$I2522,원본명단!$I2522)=1),IF(원본명단!$K2522="",TRUE(),COUNTIF(원본명단!$K$3:$K2522,원본명단!$K2522)=1)),"첫 건","중복 건")))</f>
        <v/>
      </c>
      <c r="J2523" s="11" t="str">
        <f aca="false">IF($A2523="","",IF($H2523="-","유지",IF($I2523="첫 건","유지","확인 필요")))</f>
        <v/>
      </c>
    </row>
    <row r="2524" customFormat="false" ht="15" hidden="false" customHeight="true" outlineLevel="0" collapsed="false">
      <c r="A2524" s="11" t="str">
        <f aca="false">IF(원본명단!$A2523="","",2521)</f>
        <v/>
      </c>
      <c r="B2524" s="12" t="str">
        <f aca="false">IF($A2524="","",원본명단!$A2523)</f>
        <v/>
      </c>
      <c r="C2524" s="12" t="str">
        <f aca="false">IF($A2524="","",원본명단!$B2523)</f>
        <v/>
      </c>
      <c r="D2524" s="12" t="str">
        <f aca="false">IF($A2524="","",원본명단!$D2523)</f>
        <v/>
      </c>
      <c r="E2524" s="11" t="str">
        <f aca="false">IF($A2524="","",IF(원본명단!$H2523="",0,COUNTIF(원본명단!$H$3:$H$6002,원본명단!$H2523)))</f>
        <v/>
      </c>
      <c r="F2524" s="11" t="str">
        <f aca="false">IF($A2524="","",IF(원본명단!$I2523="",0,COUNTIF(원본명단!$I$3:$I$6002,원본명단!$I2523)))</f>
        <v/>
      </c>
      <c r="G2524" s="11" t="str">
        <f aca="false">IF($A2524="","",IF(원본명단!$K2523="",0,COUNTIF(원본명단!$K$3:$K$6002,원본명단!$K2523)))</f>
        <v/>
      </c>
      <c r="H2524" s="11" t="str">
        <f aca="false">IF($A2524="","",IF(MAX($E2524,$F2524,$G2524)&gt;1,"중복","-"))</f>
        <v/>
      </c>
      <c r="I2524" s="11" t="str">
        <f aca="false">IF($A2524="","",IF($H2524="-","-",IF(AND(IF(원본명단!$H2523="",TRUE(),COUNTIF(원본명단!$H$3:$H2523,원본명단!$H2523)=1),IF(원본명단!$I2523="",TRUE(),COUNTIF(원본명단!$I$3:$I2523,원본명단!$I2523)=1),IF(원본명단!$K2523="",TRUE(),COUNTIF(원본명단!$K$3:$K2523,원본명단!$K2523)=1)),"첫 건","중복 건")))</f>
        <v/>
      </c>
      <c r="J2524" s="11" t="str">
        <f aca="false">IF($A2524="","",IF($H2524="-","유지",IF($I2524="첫 건","유지","확인 필요")))</f>
        <v/>
      </c>
    </row>
    <row r="2525" customFormat="false" ht="15" hidden="false" customHeight="true" outlineLevel="0" collapsed="false">
      <c r="A2525" s="11" t="str">
        <f aca="false">IF(원본명단!$A2524="","",2522)</f>
        <v/>
      </c>
      <c r="B2525" s="12" t="str">
        <f aca="false">IF($A2525="","",원본명단!$A2524)</f>
        <v/>
      </c>
      <c r="C2525" s="12" t="str">
        <f aca="false">IF($A2525="","",원본명단!$B2524)</f>
        <v/>
      </c>
      <c r="D2525" s="12" t="str">
        <f aca="false">IF($A2525="","",원본명단!$D2524)</f>
        <v/>
      </c>
      <c r="E2525" s="11" t="str">
        <f aca="false">IF($A2525="","",IF(원본명단!$H2524="",0,COUNTIF(원본명단!$H$3:$H$6002,원본명단!$H2524)))</f>
        <v/>
      </c>
      <c r="F2525" s="11" t="str">
        <f aca="false">IF($A2525="","",IF(원본명단!$I2524="",0,COUNTIF(원본명단!$I$3:$I$6002,원본명단!$I2524)))</f>
        <v/>
      </c>
      <c r="G2525" s="11" t="str">
        <f aca="false">IF($A2525="","",IF(원본명단!$K2524="",0,COUNTIF(원본명단!$K$3:$K$6002,원본명단!$K2524)))</f>
        <v/>
      </c>
      <c r="H2525" s="11" t="str">
        <f aca="false">IF($A2525="","",IF(MAX($E2525,$F2525,$G2525)&gt;1,"중복","-"))</f>
        <v/>
      </c>
      <c r="I2525" s="11" t="str">
        <f aca="false">IF($A2525="","",IF($H2525="-","-",IF(AND(IF(원본명단!$H2524="",TRUE(),COUNTIF(원본명단!$H$3:$H2524,원본명단!$H2524)=1),IF(원본명단!$I2524="",TRUE(),COUNTIF(원본명단!$I$3:$I2524,원본명단!$I2524)=1),IF(원본명단!$K2524="",TRUE(),COUNTIF(원본명단!$K$3:$K2524,원본명단!$K2524)=1)),"첫 건","중복 건")))</f>
        <v/>
      </c>
      <c r="J2525" s="11" t="str">
        <f aca="false">IF($A2525="","",IF($H2525="-","유지",IF($I2525="첫 건","유지","확인 필요")))</f>
        <v/>
      </c>
    </row>
    <row r="2526" customFormat="false" ht="15" hidden="false" customHeight="true" outlineLevel="0" collapsed="false">
      <c r="A2526" s="11" t="str">
        <f aca="false">IF(원본명단!$A2525="","",2523)</f>
        <v/>
      </c>
      <c r="B2526" s="12" t="str">
        <f aca="false">IF($A2526="","",원본명단!$A2525)</f>
        <v/>
      </c>
      <c r="C2526" s="12" t="str">
        <f aca="false">IF($A2526="","",원본명단!$B2525)</f>
        <v/>
      </c>
      <c r="D2526" s="12" t="str">
        <f aca="false">IF($A2526="","",원본명단!$D2525)</f>
        <v/>
      </c>
      <c r="E2526" s="11" t="str">
        <f aca="false">IF($A2526="","",IF(원본명단!$H2525="",0,COUNTIF(원본명단!$H$3:$H$6002,원본명단!$H2525)))</f>
        <v/>
      </c>
      <c r="F2526" s="11" t="str">
        <f aca="false">IF($A2526="","",IF(원본명단!$I2525="",0,COUNTIF(원본명단!$I$3:$I$6002,원본명단!$I2525)))</f>
        <v/>
      </c>
      <c r="G2526" s="11" t="str">
        <f aca="false">IF($A2526="","",IF(원본명단!$K2525="",0,COUNTIF(원본명단!$K$3:$K$6002,원본명단!$K2525)))</f>
        <v/>
      </c>
      <c r="H2526" s="11" t="str">
        <f aca="false">IF($A2526="","",IF(MAX($E2526,$F2526,$G2526)&gt;1,"중복","-"))</f>
        <v/>
      </c>
      <c r="I2526" s="11" t="str">
        <f aca="false">IF($A2526="","",IF($H2526="-","-",IF(AND(IF(원본명단!$H2525="",TRUE(),COUNTIF(원본명단!$H$3:$H2525,원본명단!$H2525)=1),IF(원본명단!$I2525="",TRUE(),COUNTIF(원본명단!$I$3:$I2525,원본명단!$I2525)=1),IF(원본명단!$K2525="",TRUE(),COUNTIF(원본명단!$K$3:$K2525,원본명단!$K2525)=1)),"첫 건","중복 건")))</f>
        <v/>
      </c>
      <c r="J2526" s="11" t="str">
        <f aca="false">IF($A2526="","",IF($H2526="-","유지",IF($I2526="첫 건","유지","확인 필요")))</f>
        <v/>
      </c>
    </row>
    <row r="2527" customFormat="false" ht="15" hidden="false" customHeight="true" outlineLevel="0" collapsed="false">
      <c r="A2527" s="11" t="str">
        <f aca="false">IF(원본명단!$A2526="","",2524)</f>
        <v/>
      </c>
      <c r="B2527" s="12" t="str">
        <f aca="false">IF($A2527="","",원본명단!$A2526)</f>
        <v/>
      </c>
      <c r="C2527" s="12" t="str">
        <f aca="false">IF($A2527="","",원본명단!$B2526)</f>
        <v/>
      </c>
      <c r="D2527" s="12" t="str">
        <f aca="false">IF($A2527="","",원본명단!$D2526)</f>
        <v/>
      </c>
      <c r="E2527" s="11" t="str">
        <f aca="false">IF($A2527="","",IF(원본명단!$H2526="",0,COUNTIF(원본명단!$H$3:$H$6002,원본명단!$H2526)))</f>
        <v/>
      </c>
      <c r="F2527" s="11" t="str">
        <f aca="false">IF($A2527="","",IF(원본명단!$I2526="",0,COUNTIF(원본명단!$I$3:$I$6002,원본명단!$I2526)))</f>
        <v/>
      </c>
      <c r="G2527" s="11" t="str">
        <f aca="false">IF($A2527="","",IF(원본명단!$K2526="",0,COUNTIF(원본명단!$K$3:$K$6002,원본명단!$K2526)))</f>
        <v/>
      </c>
      <c r="H2527" s="11" t="str">
        <f aca="false">IF($A2527="","",IF(MAX($E2527,$F2527,$G2527)&gt;1,"중복","-"))</f>
        <v/>
      </c>
      <c r="I2527" s="11" t="str">
        <f aca="false">IF($A2527="","",IF($H2527="-","-",IF(AND(IF(원본명단!$H2526="",TRUE(),COUNTIF(원본명단!$H$3:$H2526,원본명단!$H2526)=1),IF(원본명단!$I2526="",TRUE(),COUNTIF(원본명단!$I$3:$I2526,원본명단!$I2526)=1),IF(원본명단!$K2526="",TRUE(),COUNTIF(원본명단!$K$3:$K2526,원본명단!$K2526)=1)),"첫 건","중복 건")))</f>
        <v/>
      </c>
      <c r="J2527" s="11" t="str">
        <f aca="false">IF($A2527="","",IF($H2527="-","유지",IF($I2527="첫 건","유지","확인 필요")))</f>
        <v/>
      </c>
    </row>
    <row r="2528" customFormat="false" ht="15" hidden="false" customHeight="true" outlineLevel="0" collapsed="false">
      <c r="A2528" s="11" t="str">
        <f aca="false">IF(원본명단!$A2527="","",2525)</f>
        <v/>
      </c>
      <c r="B2528" s="12" t="str">
        <f aca="false">IF($A2528="","",원본명단!$A2527)</f>
        <v/>
      </c>
      <c r="C2528" s="12" t="str">
        <f aca="false">IF($A2528="","",원본명단!$B2527)</f>
        <v/>
      </c>
      <c r="D2528" s="12" t="str">
        <f aca="false">IF($A2528="","",원본명단!$D2527)</f>
        <v/>
      </c>
      <c r="E2528" s="11" t="str">
        <f aca="false">IF($A2528="","",IF(원본명단!$H2527="",0,COUNTIF(원본명단!$H$3:$H$6002,원본명단!$H2527)))</f>
        <v/>
      </c>
      <c r="F2528" s="11" t="str">
        <f aca="false">IF($A2528="","",IF(원본명단!$I2527="",0,COUNTIF(원본명단!$I$3:$I$6002,원본명단!$I2527)))</f>
        <v/>
      </c>
      <c r="G2528" s="11" t="str">
        <f aca="false">IF($A2528="","",IF(원본명단!$K2527="",0,COUNTIF(원본명단!$K$3:$K$6002,원본명단!$K2527)))</f>
        <v/>
      </c>
      <c r="H2528" s="11" t="str">
        <f aca="false">IF($A2528="","",IF(MAX($E2528,$F2528,$G2528)&gt;1,"중복","-"))</f>
        <v/>
      </c>
      <c r="I2528" s="11" t="str">
        <f aca="false">IF($A2528="","",IF($H2528="-","-",IF(AND(IF(원본명단!$H2527="",TRUE(),COUNTIF(원본명단!$H$3:$H2527,원본명단!$H2527)=1),IF(원본명단!$I2527="",TRUE(),COUNTIF(원본명단!$I$3:$I2527,원본명단!$I2527)=1),IF(원본명단!$K2527="",TRUE(),COUNTIF(원본명단!$K$3:$K2527,원본명단!$K2527)=1)),"첫 건","중복 건")))</f>
        <v/>
      </c>
      <c r="J2528" s="11" t="str">
        <f aca="false">IF($A2528="","",IF($H2528="-","유지",IF($I2528="첫 건","유지","확인 필요")))</f>
        <v/>
      </c>
    </row>
    <row r="2529" customFormat="false" ht="15" hidden="false" customHeight="true" outlineLevel="0" collapsed="false">
      <c r="A2529" s="11" t="str">
        <f aca="false">IF(원본명단!$A2528="","",2526)</f>
        <v/>
      </c>
      <c r="B2529" s="12" t="str">
        <f aca="false">IF($A2529="","",원본명단!$A2528)</f>
        <v/>
      </c>
      <c r="C2529" s="12" t="str">
        <f aca="false">IF($A2529="","",원본명단!$B2528)</f>
        <v/>
      </c>
      <c r="D2529" s="12" t="str">
        <f aca="false">IF($A2529="","",원본명단!$D2528)</f>
        <v/>
      </c>
      <c r="E2529" s="11" t="str">
        <f aca="false">IF($A2529="","",IF(원본명단!$H2528="",0,COUNTIF(원본명단!$H$3:$H$6002,원본명단!$H2528)))</f>
        <v/>
      </c>
      <c r="F2529" s="11" t="str">
        <f aca="false">IF($A2529="","",IF(원본명단!$I2528="",0,COUNTIF(원본명단!$I$3:$I$6002,원본명단!$I2528)))</f>
        <v/>
      </c>
      <c r="G2529" s="11" t="str">
        <f aca="false">IF($A2529="","",IF(원본명단!$K2528="",0,COUNTIF(원본명단!$K$3:$K$6002,원본명단!$K2528)))</f>
        <v/>
      </c>
      <c r="H2529" s="11" t="str">
        <f aca="false">IF($A2529="","",IF(MAX($E2529,$F2529,$G2529)&gt;1,"중복","-"))</f>
        <v/>
      </c>
      <c r="I2529" s="11" t="str">
        <f aca="false">IF($A2529="","",IF($H2529="-","-",IF(AND(IF(원본명단!$H2528="",TRUE(),COUNTIF(원본명단!$H$3:$H2528,원본명단!$H2528)=1),IF(원본명단!$I2528="",TRUE(),COUNTIF(원본명단!$I$3:$I2528,원본명단!$I2528)=1),IF(원본명단!$K2528="",TRUE(),COUNTIF(원본명단!$K$3:$K2528,원본명단!$K2528)=1)),"첫 건","중복 건")))</f>
        <v/>
      </c>
      <c r="J2529" s="11" t="str">
        <f aca="false">IF($A2529="","",IF($H2529="-","유지",IF($I2529="첫 건","유지","확인 필요")))</f>
        <v/>
      </c>
    </row>
    <row r="2530" customFormat="false" ht="15" hidden="false" customHeight="true" outlineLevel="0" collapsed="false">
      <c r="A2530" s="11" t="str">
        <f aca="false">IF(원본명단!$A2529="","",2527)</f>
        <v/>
      </c>
      <c r="B2530" s="12" t="str">
        <f aca="false">IF($A2530="","",원본명단!$A2529)</f>
        <v/>
      </c>
      <c r="C2530" s="12" t="str">
        <f aca="false">IF($A2530="","",원본명단!$B2529)</f>
        <v/>
      </c>
      <c r="D2530" s="12" t="str">
        <f aca="false">IF($A2530="","",원본명단!$D2529)</f>
        <v/>
      </c>
      <c r="E2530" s="11" t="str">
        <f aca="false">IF($A2530="","",IF(원본명단!$H2529="",0,COUNTIF(원본명단!$H$3:$H$6002,원본명단!$H2529)))</f>
        <v/>
      </c>
      <c r="F2530" s="11" t="str">
        <f aca="false">IF($A2530="","",IF(원본명단!$I2529="",0,COUNTIF(원본명단!$I$3:$I$6002,원본명단!$I2529)))</f>
        <v/>
      </c>
      <c r="G2530" s="11" t="str">
        <f aca="false">IF($A2530="","",IF(원본명단!$K2529="",0,COUNTIF(원본명단!$K$3:$K$6002,원본명단!$K2529)))</f>
        <v/>
      </c>
      <c r="H2530" s="11" t="str">
        <f aca="false">IF($A2530="","",IF(MAX($E2530,$F2530,$G2530)&gt;1,"중복","-"))</f>
        <v/>
      </c>
      <c r="I2530" s="11" t="str">
        <f aca="false">IF($A2530="","",IF($H2530="-","-",IF(AND(IF(원본명단!$H2529="",TRUE(),COUNTIF(원본명단!$H$3:$H2529,원본명단!$H2529)=1),IF(원본명단!$I2529="",TRUE(),COUNTIF(원본명단!$I$3:$I2529,원본명단!$I2529)=1),IF(원본명단!$K2529="",TRUE(),COUNTIF(원본명단!$K$3:$K2529,원본명단!$K2529)=1)),"첫 건","중복 건")))</f>
        <v/>
      </c>
      <c r="J2530" s="11" t="str">
        <f aca="false">IF($A2530="","",IF($H2530="-","유지",IF($I2530="첫 건","유지","확인 필요")))</f>
        <v/>
      </c>
    </row>
    <row r="2531" customFormat="false" ht="15" hidden="false" customHeight="true" outlineLevel="0" collapsed="false">
      <c r="A2531" s="11" t="str">
        <f aca="false">IF(원본명단!$A2530="","",2528)</f>
        <v/>
      </c>
      <c r="B2531" s="12" t="str">
        <f aca="false">IF($A2531="","",원본명단!$A2530)</f>
        <v/>
      </c>
      <c r="C2531" s="12" t="str">
        <f aca="false">IF($A2531="","",원본명단!$B2530)</f>
        <v/>
      </c>
      <c r="D2531" s="12" t="str">
        <f aca="false">IF($A2531="","",원본명단!$D2530)</f>
        <v/>
      </c>
      <c r="E2531" s="11" t="str">
        <f aca="false">IF($A2531="","",IF(원본명단!$H2530="",0,COUNTIF(원본명단!$H$3:$H$6002,원본명단!$H2530)))</f>
        <v/>
      </c>
      <c r="F2531" s="11" t="str">
        <f aca="false">IF($A2531="","",IF(원본명단!$I2530="",0,COUNTIF(원본명단!$I$3:$I$6002,원본명단!$I2530)))</f>
        <v/>
      </c>
      <c r="G2531" s="11" t="str">
        <f aca="false">IF($A2531="","",IF(원본명단!$K2530="",0,COUNTIF(원본명단!$K$3:$K$6002,원본명단!$K2530)))</f>
        <v/>
      </c>
      <c r="H2531" s="11" t="str">
        <f aca="false">IF($A2531="","",IF(MAX($E2531,$F2531,$G2531)&gt;1,"중복","-"))</f>
        <v/>
      </c>
      <c r="I2531" s="11" t="str">
        <f aca="false">IF($A2531="","",IF($H2531="-","-",IF(AND(IF(원본명단!$H2530="",TRUE(),COUNTIF(원본명단!$H$3:$H2530,원본명단!$H2530)=1),IF(원본명단!$I2530="",TRUE(),COUNTIF(원본명단!$I$3:$I2530,원본명단!$I2530)=1),IF(원본명단!$K2530="",TRUE(),COUNTIF(원본명단!$K$3:$K2530,원본명단!$K2530)=1)),"첫 건","중복 건")))</f>
        <v/>
      </c>
      <c r="J2531" s="11" t="str">
        <f aca="false">IF($A2531="","",IF($H2531="-","유지",IF($I2531="첫 건","유지","확인 필요")))</f>
        <v/>
      </c>
    </row>
    <row r="2532" customFormat="false" ht="15" hidden="false" customHeight="true" outlineLevel="0" collapsed="false">
      <c r="A2532" s="11" t="str">
        <f aca="false">IF(원본명단!$A2531="","",2529)</f>
        <v/>
      </c>
      <c r="B2532" s="12" t="str">
        <f aca="false">IF($A2532="","",원본명단!$A2531)</f>
        <v/>
      </c>
      <c r="C2532" s="12" t="str">
        <f aca="false">IF($A2532="","",원본명단!$B2531)</f>
        <v/>
      </c>
      <c r="D2532" s="12" t="str">
        <f aca="false">IF($A2532="","",원본명단!$D2531)</f>
        <v/>
      </c>
      <c r="E2532" s="11" t="str">
        <f aca="false">IF($A2532="","",IF(원본명단!$H2531="",0,COUNTIF(원본명단!$H$3:$H$6002,원본명단!$H2531)))</f>
        <v/>
      </c>
      <c r="F2532" s="11" t="str">
        <f aca="false">IF($A2532="","",IF(원본명단!$I2531="",0,COUNTIF(원본명단!$I$3:$I$6002,원본명단!$I2531)))</f>
        <v/>
      </c>
      <c r="G2532" s="11" t="str">
        <f aca="false">IF($A2532="","",IF(원본명단!$K2531="",0,COUNTIF(원본명단!$K$3:$K$6002,원본명단!$K2531)))</f>
        <v/>
      </c>
      <c r="H2532" s="11" t="str">
        <f aca="false">IF($A2532="","",IF(MAX($E2532,$F2532,$G2532)&gt;1,"중복","-"))</f>
        <v/>
      </c>
      <c r="I2532" s="11" t="str">
        <f aca="false">IF($A2532="","",IF($H2532="-","-",IF(AND(IF(원본명단!$H2531="",TRUE(),COUNTIF(원본명단!$H$3:$H2531,원본명단!$H2531)=1),IF(원본명단!$I2531="",TRUE(),COUNTIF(원본명단!$I$3:$I2531,원본명단!$I2531)=1),IF(원본명단!$K2531="",TRUE(),COUNTIF(원본명단!$K$3:$K2531,원본명단!$K2531)=1)),"첫 건","중복 건")))</f>
        <v/>
      </c>
      <c r="J2532" s="11" t="str">
        <f aca="false">IF($A2532="","",IF($H2532="-","유지",IF($I2532="첫 건","유지","확인 필요")))</f>
        <v/>
      </c>
    </row>
    <row r="2533" customFormat="false" ht="15" hidden="false" customHeight="true" outlineLevel="0" collapsed="false">
      <c r="A2533" s="11" t="str">
        <f aca="false">IF(원본명단!$A2532="","",2530)</f>
        <v/>
      </c>
      <c r="B2533" s="12" t="str">
        <f aca="false">IF($A2533="","",원본명단!$A2532)</f>
        <v/>
      </c>
      <c r="C2533" s="12" t="str">
        <f aca="false">IF($A2533="","",원본명단!$B2532)</f>
        <v/>
      </c>
      <c r="D2533" s="12" t="str">
        <f aca="false">IF($A2533="","",원본명단!$D2532)</f>
        <v/>
      </c>
      <c r="E2533" s="11" t="str">
        <f aca="false">IF($A2533="","",IF(원본명단!$H2532="",0,COUNTIF(원본명단!$H$3:$H$6002,원본명단!$H2532)))</f>
        <v/>
      </c>
      <c r="F2533" s="11" t="str">
        <f aca="false">IF($A2533="","",IF(원본명단!$I2532="",0,COUNTIF(원본명단!$I$3:$I$6002,원본명단!$I2532)))</f>
        <v/>
      </c>
      <c r="G2533" s="11" t="str">
        <f aca="false">IF($A2533="","",IF(원본명단!$K2532="",0,COUNTIF(원본명단!$K$3:$K$6002,원본명단!$K2532)))</f>
        <v/>
      </c>
      <c r="H2533" s="11" t="str">
        <f aca="false">IF($A2533="","",IF(MAX($E2533,$F2533,$G2533)&gt;1,"중복","-"))</f>
        <v/>
      </c>
      <c r="I2533" s="11" t="str">
        <f aca="false">IF($A2533="","",IF($H2533="-","-",IF(AND(IF(원본명단!$H2532="",TRUE(),COUNTIF(원본명단!$H$3:$H2532,원본명단!$H2532)=1),IF(원본명단!$I2532="",TRUE(),COUNTIF(원본명단!$I$3:$I2532,원본명단!$I2532)=1),IF(원본명단!$K2532="",TRUE(),COUNTIF(원본명단!$K$3:$K2532,원본명단!$K2532)=1)),"첫 건","중복 건")))</f>
        <v/>
      </c>
      <c r="J2533" s="11" t="str">
        <f aca="false">IF($A2533="","",IF($H2533="-","유지",IF($I2533="첫 건","유지","확인 필요")))</f>
        <v/>
      </c>
    </row>
    <row r="2534" customFormat="false" ht="15" hidden="false" customHeight="true" outlineLevel="0" collapsed="false">
      <c r="A2534" s="11" t="str">
        <f aca="false">IF(원본명단!$A2533="","",2531)</f>
        <v/>
      </c>
      <c r="B2534" s="12" t="str">
        <f aca="false">IF($A2534="","",원본명단!$A2533)</f>
        <v/>
      </c>
      <c r="C2534" s="12" t="str">
        <f aca="false">IF($A2534="","",원본명단!$B2533)</f>
        <v/>
      </c>
      <c r="D2534" s="12" t="str">
        <f aca="false">IF($A2534="","",원본명단!$D2533)</f>
        <v/>
      </c>
      <c r="E2534" s="11" t="str">
        <f aca="false">IF($A2534="","",IF(원본명단!$H2533="",0,COUNTIF(원본명단!$H$3:$H$6002,원본명단!$H2533)))</f>
        <v/>
      </c>
      <c r="F2534" s="11" t="str">
        <f aca="false">IF($A2534="","",IF(원본명단!$I2533="",0,COUNTIF(원본명단!$I$3:$I$6002,원본명단!$I2533)))</f>
        <v/>
      </c>
      <c r="G2534" s="11" t="str">
        <f aca="false">IF($A2534="","",IF(원본명단!$K2533="",0,COUNTIF(원본명단!$K$3:$K$6002,원본명단!$K2533)))</f>
        <v/>
      </c>
      <c r="H2534" s="11" t="str">
        <f aca="false">IF($A2534="","",IF(MAX($E2534,$F2534,$G2534)&gt;1,"중복","-"))</f>
        <v/>
      </c>
      <c r="I2534" s="11" t="str">
        <f aca="false">IF($A2534="","",IF($H2534="-","-",IF(AND(IF(원본명단!$H2533="",TRUE(),COUNTIF(원본명단!$H$3:$H2533,원본명단!$H2533)=1),IF(원본명단!$I2533="",TRUE(),COUNTIF(원본명단!$I$3:$I2533,원본명단!$I2533)=1),IF(원본명단!$K2533="",TRUE(),COUNTIF(원본명단!$K$3:$K2533,원본명단!$K2533)=1)),"첫 건","중복 건")))</f>
        <v/>
      </c>
      <c r="J2534" s="11" t="str">
        <f aca="false">IF($A2534="","",IF($H2534="-","유지",IF($I2534="첫 건","유지","확인 필요")))</f>
        <v/>
      </c>
    </row>
    <row r="2535" customFormat="false" ht="15" hidden="false" customHeight="true" outlineLevel="0" collapsed="false">
      <c r="A2535" s="11" t="str">
        <f aca="false">IF(원본명단!$A2534="","",2532)</f>
        <v/>
      </c>
      <c r="B2535" s="12" t="str">
        <f aca="false">IF($A2535="","",원본명단!$A2534)</f>
        <v/>
      </c>
      <c r="C2535" s="12" t="str">
        <f aca="false">IF($A2535="","",원본명단!$B2534)</f>
        <v/>
      </c>
      <c r="D2535" s="12" t="str">
        <f aca="false">IF($A2535="","",원본명단!$D2534)</f>
        <v/>
      </c>
      <c r="E2535" s="11" t="str">
        <f aca="false">IF($A2535="","",IF(원본명단!$H2534="",0,COUNTIF(원본명단!$H$3:$H$6002,원본명단!$H2534)))</f>
        <v/>
      </c>
      <c r="F2535" s="11" t="str">
        <f aca="false">IF($A2535="","",IF(원본명단!$I2534="",0,COUNTIF(원본명단!$I$3:$I$6002,원본명단!$I2534)))</f>
        <v/>
      </c>
      <c r="G2535" s="11" t="str">
        <f aca="false">IF($A2535="","",IF(원본명단!$K2534="",0,COUNTIF(원본명단!$K$3:$K$6002,원본명단!$K2534)))</f>
        <v/>
      </c>
      <c r="H2535" s="11" t="str">
        <f aca="false">IF($A2535="","",IF(MAX($E2535,$F2535,$G2535)&gt;1,"중복","-"))</f>
        <v/>
      </c>
      <c r="I2535" s="11" t="str">
        <f aca="false">IF($A2535="","",IF($H2535="-","-",IF(AND(IF(원본명단!$H2534="",TRUE(),COUNTIF(원본명단!$H$3:$H2534,원본명단!$H2534)=1),IF(원본명단!$I2534="",TRUE(),COUNTIF(원본명단!$I$3:$I2534,원본명단!$I2534)=1),IF(원본명단!$K2534="",TRUE(),COUNTIF(원본명단!$K$3:$K2534,원본명단!$K2534)=1)),"첫 건","중복 건")))</f>
        <v/>
      </c>
      <c r="J2535" s="11" t="str">
        <f aca="false">IF($A2535="","",IF($H2535="-","유지",IF($I2535="첫 건","유지","확인 필요")))</f>
        <v/>
      </c>
    </row>
    <row r="2536" customFormat="false" ht="15" hidden="false" customHeight="true" outlineLevel="0" collapsed="false">
      <c r="A2536" s="11" t="str">
        <f aca="false">IF(원본명단!$A2535="","",2533)</f>
        <v/>
      </c>
      <c r="B2536" s="12" t="str">
        <f aca="false">IF($A2536="","",원본명단!$A2535)</f>
        <v/>
      </c>
      <c r="C2536" s="12" t="str">
        <f aca="false">IF($A2536="","",원본명단!$B2535)</f>
        <v/>
      </c>
      <c r="D2536" s="12" t="str">
        <f aca="false">IF($A2536="","",원본명단!$D2535)</f>
        <v/>
      </c>
      <c r="E2536" s="11" t="str">
        <f aca="false">IF($A2536="","",IF(원본명단!$H2535="",0,COUNTIF(원본명단!$H$3:$H$6002,원본명단!$H2535)))</f>
        <v/>
      </c>
      <c r="F2536" s="11" t="str">
        <f aca="false">IF($A2536="","",IF(원본명단!$I2535="",0,COUNTIF(원본명단!$I$3:$I$6002,원본명단!$I2535)))</f>
        <v/>
      </c>
      <c r="G2536" s="11" t="str">
        <f aca="false">IF($A2536="","",IF(원본명단!$K2535="",0,COUNTIF(원본명단!$K$3:$K$6002,원본명단!$K2535)))</f>
        <v/>
      </c>
      <c r="H2536" s="11" t="str">
        <f aca="false">IF($A2536="","",IF(MAX($E2536,$F2536,$G2536)&gt;1,"중복","-"))</f>
        <v/>
      </c>
      <c r="I2536" s="11" t="str">
        <f aca="false">IF($A2536="","",IF($H2536="-","-",IF(AND(IF(원본명단!$H2535="",TRUE(),COUNTIF(원본명단!$H$3:$H2535,원본명단!$H2535)=1),IF(원본명단!$I2535="",TRUE(),COUNTIF(원본명단!$I$3:$I2535,원본명단!$I2535)=1),IF(원본명단!$K2535="",TRUE(),COUNTIF(원본명단!$K$3:$K2535,원본명단!$K2535)=1)),"첫 건","중복 건")))</f>
        <v/>
      </c>
      <c r="J2536" s="11" t="str">
        <f aca="false">IF($A2536="","",IF($H2536="-","유지",IF($I2536="첫 건","유지","확인 필요")))</f>
        <v/>
      </c>
    </row>
    <row r="2537" customFormat="false" ht="15" hidden="false" customHeight="true" outlineLevel="0" collapsed="false">
      <c r="A2537" s="11" t="str">
        <f aca="false">IF(원본명단!$A2536="","",2534)</f>
        <v/>
      </c>
      <c r="B2537" s="12" t="str">
        <f aca="false">IF($A2537="","",원본명단!$A2536)</f>
        <v/>
      </c>
      <c r="C2537" s="12" t="str">
        <f aca="false">IF($A2537="","",원본명단!$B2536)</f>
        <v/>
      </c>
      <c r="D2537" s="12" t="str">
        <f aca="false">IF($A2537="","",원본명단!$D2536)</f>
        <v/>
      </c>
      <c r="E2537" s="11" t="str">
        <f aca="false">IF($A2537="","",IF(원본명단!$H2536="",0,COUNTIF(원본명단!$H$3:$H$6002,원본명단!$H2536)))</f>
        <v/>
      </c>
      <c r="F2537" s="11" t="str">
        <f aca="false">IF($A2537="","",IF(원본명단!$I2536="",0,COUNTIF(원본명단!$I$3:$I$6002,원본명단!$I2536)))</f>
        <v/>
      </c>
      <c r="G2537" s="11" t="str">
        <f aca="false">IF($A2537="","",IF(원본명단!$K2536="",0,COUNTIF(원본명단!$K$3:$K$6002,원본명단!$K2536)))</f>
        <v/>
      </c>
      <c r="H2537" s="11" t="str">
        <f aca="false">IF($A2537="","",IF(MAX($E2537,$F2537,$G2537)&gt;1,"중복","-"))</f>
        <v/>
      </c>
      <c r="I2537" s="11" t="str">
        <f aca="false">IF($A2537="","",IF($H2537="-","-",IF(AND(IF(원본명단!$H2536="",TRUE(),COUNTIF(원본명단!$H$3:$H2536,원본명단!$H2536)=1),IF(원본명단!$I2536="",TRUE(),COUNTIF(원본명단!$I$3:$I2536,원본명단!$I2536)=1),IF(원본명단!$K2536="",TRUE(),COUNTIF(원본명단!$K$3:$K2536,원본명단!$K2536)=1)),"첫 건","중복 건")))</f>
        <v/>
      </c>
      <c r="J2537" s="11" t="str">
        <f aca="false">IF($A2537="","",IF($H2537="-","유지",IF($I2537="첫 건","유지","확인 필요")))</f>
        <v/>
      </c>
    </row>
    <row r="2538" customFormat="false" ht="15" hidden="false" customHeight="true" outlineLevel="0" collapsed="false">
      <c r="A2538" s="11" t="str">
        <f aca="false">IF(원본명단!$A2537="","",2535)</f>
        <v/>
      </c>
      <c r="B2538" s="12" t="str">
        <f aca="false">IF($A2538="","",원본명단!$A2537)</f>
        <v/>
      </c>
      <c r="C2538" s="12" t="str">
        <f aca="false">IF($A2538="","",원본명단!$B2537)</f>
        <v/>
      </c>
      <c r="D2538" s="12" t="str">
        <f aca="false">IF($A2538="","",원본명단!$D2537)</f>
        <v/>
      </c>
      <c r="E2538" s="11" t="str">
        <f aca="false">IF($A2538="","",IF(원본명단!$H2537="",0,COUNTIF(원본명단!$H$3:$H$6002,원본명단!$H2537)))</f>
        <v/>
      </c>
      <c r="F2538" s="11" t="str">
        <f aca="false">IF($A2538="","",IF(원본명단!$I2537="",0,COUNTIF(원본명단!$I$3:$I$6002,원본명단!$I2537)))</f>
        <v/>
      </c>
      <c r="G2538" s="11" t="str">
        <f aca="false">IF($A2538="","",IF(원본명단!$K2537="",0,COUNTIF(원본명단!$K$3:$K$6002,원본명단!$K2537)))</f>
        <v/>
      </c>
      <c r="H2538" s="11" t="str">
        <f aca="false">IF($A2538="","",IF(MAX($E2538,$F2538,$G2538)&gt;1,"중복","-"))</f>
        <v/>
      </c>
      <c r="I2538" s="11" t="str">
        <f aca="false">IF($A2538="","",IF($H2538="-","-",IF(AND(IF(원본명단!$H2537="",TRUE(),COUNTIF(원본명단!$H$3:$H2537,원본명단!$H2537)=1),IF(원본명단!$I2537="",TRUE(),COUNTIF(원본명단!$I$3:$I2537,원본명단!$I2537)=1),IF(원본명단!$K2537="",TRUE(),COUNTIF(원본명단!$K$3:$K2537,원본명단!$K2537)=1)),"첫 건","중복 건")))</f>
        <v/>
      </c>
      <c r="J2538" s="11" t="str">
        <f aca="false">IF($A2538="","",IF($H2538="-","유지",IF($I2538="첫 건","유지","확인 필요")))</f>
        <v/>
      </c>
    </row>
    <row r="2539" customFormat="false" ht="15" hidden="false" customHeight="true" outlineLevel="0" collapsed="false">
      <c r="A2539" s="11" t="str">
        <f aca="false">IF(원본명단!$A2538="","",2536)</f>
        <v/>
      </c>
      <c r="B2539" s="12" t="str">
        <f aca="false">IF($A2539="","",원본명단!$A2538)</f>
        <v/>
      </c>
      <c r="C2539" s="12" t="str">
        <f aca="false">IF($A2539="","",원본명단!$B2538)</f>
        <v/>
      </c>
      <c r="D2539" s="12" t="str">
        <f aca="false">IF($A2539="","",원본명단!$D2538)</f>
        <v/>
      </c>
      <c r="E2539" s="11" t="str">
        <f aca="false">IF($A2539="","",IF(원본명단!$H2538="",0,COUNTIF(원본명단!$H$3:$H$6002,원본명단!$H2538)))</f>
        <v/>
      </c>
      <c r="F2539" s="11" t="str">
        <f aca="false">IF($A2539="","",IF(원본명단!$I2538="",0,COUNTIF(원본명단!$I$3:$I$6002,원본명단!$I2538)))</f>
        <v/>
      </c>
      <c r="G2539" s="11" t="str">
        <f aca="false">IF($A2539="","",IF(원본명단!$K2538="",0,COUNTIF(원본명단!$K$3:$K$6002,원본명단!$K2538)))</f>
        <v/>
      </c>
      <c r="H2539" s="11" t="str">
        <f aca="false">IF($A2539="","",IF(MAX($E2539,$F2539,$G2539)&gt;1,"중복","-"))</f>
        <v/>
      </c>
      <c r="I2539" s="11" t="str">
        <f aca="false">IF($A2539="","",IF($H2539="-","-",IF(AND(IF(원본명단!$H2538="",TRUE(),COUNTIF(원본명단!$H$3:$H2538,원본명단!$H2538)=1),IF(원본명단!$I2538="",TRUE(),COUNTIF(원본명단!$I$3:$I2538,원본명단!$I2538)=1),IF(원본명단!$K2538="",TRUE(),COUNTIF(원본명단!$K$3:$K2538,원본명단!$K2538)=1)),"첫 건","중복 건")))</f>
        <v/>
      </c>
      <c r="J2539" s="11" t="str">
        <f aca="false">IF($A2539="","",IF($H2539="-","유지",IF($I2539="첫 건","유지","확인 필요")))</f>
        <v/>
      </c>
    </row>
    <row r="2540" customFormat="false" ht="15" hidden="false" customHeight="true" outlineLevel="0" collapsed="false">
      <c r="A2540" s="11" t="str">
        <f aca="false">IF(원본명단!$A2539="","",2537)</f>
        <v/>
      </c>
      <c r="B2540" s="12" t="str">
        <f aca="false">IF($A2540="","",원본명단!$A2539)</f>
        <v/>
      </c>
      <c r="C2540" s="12" t="str">
        <f aca="false">IF($A2540="","",원본명단!$B2539)</f>
        <v/>
      </c>
      <c r="D2540" s="12" t="str">
        <f aca="false">IF($A2540="","",원본명단!$D2539)</f>
        <v/>
      </c>
      <c r="E2540" s="11" t="str">
        <f aca="false">IF($A2540="","",IF(원본명단!$H2539="",0,COUNTIF(원본명단!$H$3:$H$6002,원본명단!$H2539)))</f>
        <v/>
      </c>
      <c r="F2540" s="11" t="str">
        <f aca="false">IF($A2540="","",IF(원본명단!$I2539="",0,COUNTIF(원본명단!$I$3:$I$6002,원본명단!$I2539)))</f>
        <v/>
      </c>
      <c r="G2540" s="11" t="str">
        <f aca="false">IF($A2540="","",IF(원본명단!$K2539="",0,COUNTIF(원본명단!$K$3:$K$6002,원본명단!$K2539)))</f>
        <v/>
      </c>
      <c r="H2540" s="11" t="str">
        <f aca="false">IF($A2540="","",IF(MAX($E2540,$F2540,$G2540)&gt;1,"중복","-"))</f>
        <v/>
      </c>
      <c r="I2540" s="11" t="str">
        <f aca="false">IF($A2540="","",IF($H2540="-","-",IF(AND(IF(원본명단!$H2539="",TRUE(),COUNTIF(원본명단!$H$3:$H2539,원본명단!$H2539)=1),IF(원본명단!$I2539="",TRUE(),COUNTIF(원본명단!$I$3:$I2539,원본명단!$I2539)=1),IF(원본명단!$K2539="",TRUE(),COUNTIF(원본명단!$K$3:$K2539,원본명단!$K2539)=1)),"첫 건","중복 건")))</f>
        <v/>
      </c>
      <c r="J2540" s="11" t="str">
        <f aca="false">IF($A2540="","",IF($H2540="-","유지",IF($I2540="첫 건","유지","확인 필요")))</f>
        <v/>
      </c>
    </row>
    <row r="2541" customFormat="false" ht="15" hidden="false" customHeight="true" outlineLevel="0" collapsed="false">
      <c r="A2541" s="11" t="str">
        <f aca="false">IF(원본명단!$A2540="","",2538)</f>
        <v/>
      </c>
      <c r="B2541" s="12" t="str">
        <f aca="false">IF($A2541="","",원본명단!$A2540)</f>
        <v/>
      </c>
      <c r="C2541" s="12" t="str">
        <f aca="false">IF($A2541="","",원본명단!$B2540)</f>
        <v/>
      </c>
      <c r="D2541" s="12" t="str">
        <f aca="false">IF($A2541="","",원본명단!$D2540)</f>
        <v/>
      </c>
      <c r="E2541" s="11" t="str">
        <f aca="false">IF($A2541="","",IF(원본명단!$H2540="",0,COUNTIF(원본명단!$H$3:$H$6002,원본명단!$H2540)))</f>
        <v/>
      </c>
      <c r="F2541" s="11" t="str">
        <f aca="false">IF($A2541="","",IF(원본명단!$I2540="",0,COUNTIF(원본명단!$I$3:$I$6002,원본명단!$I2540)))</f>
        <v/>
      </c>
      <c r="G2541" s="11" t="str">
        <f aca="false">IF($A2541="","",IF(원본명단!$K2540="",0,COUNTIF(원본명단!$K$3:$K$6002,원본명단!$K2540)))</f>
        <v/>
      </c>
      <c r="H2541" s="11" t="str">
        <f aca="false">IF($A2541="","",IF(MAX($E2541,$F2541,$G2541)&gt;1,"중복","-"))</f>
        <v/>
      </c>
      <c r="I2541" s="11" t="str">
        <f aca="false">IF($A2541="","",IF($H2541="-","-",IF(AND(IF(원본명단!$H2540="",TRUE(),COUNTIF(원본명단!$H$3:$H2540,원본명단!$H2540)=1),IF(원본명단!$I2540="",TRUE(),COUNTIF(원본명단!$I$3:$I2540,원본명단!$I2540)=1),IF(원본명단!$K2540="",TRUE(),COUNTIF(원본명단!$K$3:$K2540,원본명단!$K2540)=1)),"첫 건","중복 건")))</f>
        <v/>
      </c>
      <c r="J2541" s="11" t="str">
        <f aca="false">IF($A2541="","",IF($H2541="-","유지",IF($I2541="첫 건","유지","확인 필요")))</f>
        <v/>
      </c>
    </row>
    <row r="2542" customFormat="false" ht="15" hidden="false" customHeight="true" outlineLevel="0" collapsed="false">
      <c r="A2542" s="11" t="str">
        <f aca="false">IF(원본명단!$A2541="","",2539)</f>
        <v/>
      </c>
      <c r="B2542" s="12" t="str">
        <f aca="false">IF($A2542="","",원본명단!$A2541)</f>
        <v/>
      </c>
      <c r="C2542" s="12" t="str">
        <f aca="false">IF($A2542="","",원본명단!$B2541)</f>
        <v/>
      </c>
      <c r="D2542" s="12" t="str">
        <f aca="false">IF($A2542="","",원본명단!$D2541)</f>
        <v/>
      </c>
      <c r="E2542" s="11" t="str">
        <f aca="false">IF($A2542="","",IF(원본명단!$H2541="",0,COUNTIF(원본명단!$H$3:$H$6002,원본명단!$H2541)))</f>
        <v/>
      </c>
      <c r="F2542" s="11" t="str">
        <f aca="false">IF($A2542="","",IF(원본명단!$I2541="",0,COUNTIF(원본명단!$I$3:$I$6002,원본명단!$I2541)))</f>
        <v/>
      </c>
      <c r="G2542" s="11" t="str">
        <f aca="false">IF($A2542="","",IF(원본명단!$K2541="",0,COUNTIF(원본명단!$K$3:$K$6002,원본명단!$K2541)))</f>
        <v/>
      </c>
      <c r="H2542" s="11" t="str">
        <f aca="false">IF($A2542="","",IF(MAX($E2542,$F2542,$G2542)&gt;1,"중복","-"))</f>
        <v/>
      </c>
      <c r="I2542" s="11" t="str">
        <f aca="false">IF($A2542="","",IF($H2542="-","-",IF(AND(IF(원본명단!$H2541="",TRUE(),COUNTIF(원본명단!$H$3:$H2541,원본명단!$H2541)=1),IF(원본명단!$I2541="",TRUE(),COUNTIF(원본명단!$I$3:$I2541,원본명단!$I2541)=1),IF(원본명단!$K2541="",TRUE(),COUNTIF(원본명단!$K$3:$K2541,원본명단!$K2541)=1)),"첫 건","중복 건")))</f>
        <v/>
      </c>
      <c r="J2542" s="11" t="str">
        <f aca="false">IF($A2542="","",IF($H2542="-","유지",IF($I2542="첫 건","유지","확인 필요")))</f>
        <v/>
      </c>
    </row>
    <row r="2543" customFormat="false" ht="15" hidden="false" customHeight="true" outlineLevel="0" collapsed="false">
      <c r="A2543" s="11" t="str">
        <f aca="false">IF(원본명단!$A2542="","",2540)</f>
        <v/>
      </c>
      <c r="B2543" s="12" t="str">
        <f aca="false">IF($A2543="","",원본명단!$A2542)</f>
        <v/>
      </c>
      <c r="C2543" s="12" t="str">
        <f aca="false">IF($A2543="","",원본명단!$B2542)</f>
        <v/>
      </c>
      <c r="D2543" s="12" t="str">
        <f aca="false">IF($A2543="","",원본명단!$D2542)</f>
        <v/>
      </c>
      <c r="E2543" s="11" t="str">
        <f aca="false">IF($A2543="","",IF(원본명단!$H2542="",0,COUNTIF(원본명단!$H$3:$H$6002,원본명단!$H2542)))</f>
        <v/>
      </c>
      <c r="F2543" s="11" t="str">
        <f aca="false">IF($A2543="","",IF(원본명단!$I2542="",0,COUNTIF(원본명단!$I$3:$I$6002,원본명단!$I2542)))</f>
        <v/>
      </c>
      <c r="G2543" s="11" t="str">
        <f aca="false">IF($A2543="","",IF(원본명단!$K2542="",0,COUNTIF(원본명단!$K$3:$K$6002,원본명단!$K2542)))</f>
        <v/>
      </c>
      <c r="H2543" s="11" t="str">
        <f aca="false">IF($A2543="","",IF(MAX($E2543,$F2543,$G2543)&gt;1,"중복","-"))</f>
        <v/>
      </c>
      <c r="I2543" s="11" t="str">
        <f aca="false">IF($A2543="","",IF($H2543="-","-",IF(AND(IF(원본명단!$H2542="",TRUE(),COUNTIF(원본명단!$H$3:$H2542,원본명단!$H2542)=1),IF(원본명단!$I2542="",TRUE(),COUNTIF(원본명단!$I$3:$I2542,원본명단!$I2542)=1),IF(원본명단!$K2542="",TRUE(),COUNTIF(원본명단!$K$3:$K2542,원본명단!$K2542)=1)),"첫 건","중복 건")))</f>
        <v/>
      </c>
      <c r="J2543" s="11" t="str">
        <f aca="false">IF($A2543="","",IF($H2543="-","유지",IF($I2543="첫 건","유지","확인 필요")))</f>
        <v/>
      </c>
    </row>
    <row r="2544" customFormat="false" ht="15" hidden="false" customHeight="true" outlineLevel="0" collapsed="false">
      <c r="A2544" s="11" t="str">
        <f aca="false">IF(원본명단!$A2543="","",2541)</f>
        <v/>
      </c>
      <c r="B2544" s="12" t="str">
        <f aca="false">IF($A2544="","",원본명단!$A2543)</f>
        <v/>
      </c>
      <c r="C2544" s="12" t="str">
        <f aca="false">IF($A2544="","",원본명단!$B2543)</f>
        <v/>
      </c>
      <c r="D2544" s="12" t="str">
        <f aca="false">IF($A2544="","",원본명단!$D2543)</f>
        <v/>
      </c>
      <c r="E2544" s="11" t="str">
        <f aca="false">IF($A2544="","",IF(원본명단!$H2543="",0,COUNTIF(원본명단!$H$3:$H$6002,원본명단!$H2543)))</f>
        <v/>
      </c>
      <c r="F2544" s="11" t="str">
        <f aca="false">IF($A2544="","",IF(원본명단!$I2543="",0,COUNTIF(원본명단!$I$3:$I$6002,원본명단!$I2543)))</f>
        <v/>
      </c>
      <c r="G2544" s="11" t="str">
        <f aca="false">IF($A2544="","",IF(원본명단!$K2543="",0,COUNTIF(원본명단!$K$3:$K$6002,원본명단!$K2543)))</f>
        <v/>
      </c>
      <c r="H2544" s="11" t="str">
        <f aca="false">IF($A2544="","",IF(MAX($E2544,$F2544,$G2544)&gt;1,"중복","-"))</f>
        <v/>
      </c>
      <c r="I2544" s="11" t="str">
        <f aca="false">IF($A2544="","",IF($H2544="-","-",IF(AND(IF(원본명단!$H2543="",TRUE(),COUNTIF(원본명단!$H$3:$H2543,원본명단!$H2543)=1),IF(원본명단!$I2543="",TRUE(),COUNTIF(원본명단!$I$3:$I2543,원본명단!$I2543)=1),IF(원본명단!$K2543="",TRUE(),COUNTIF(원본명단!$K$3:$K2543,원본명단!$K2543)=1)),"첫 건","중복 건")))</f>
        <v/>
      </c>
      <c r="J2544" s="11" t="str">
        <f aca="false">IF($A2544="","",IF($H2544="-","유지",IF($I2544="첫 건","유지","확인 필요")))</f>
        <v/>
      </c>
    </row>
    <row r="2545" customFormat="false" ht="15" hidden="false" customHeight="true" outlineLevel="0" collapsed="false">
      <c r="A2545" s="11" t="str">
        <f aca="false">IF(원본명단!$A2544="","",2542)</f>
        <v/>
      </c>
      <c r="B2545" s="12" t="str">
        <f aca="false">IF($A2545="","",원본명단!$A2544)</f>
        <v/>
      </c>
      <c r="C2545" s="12" t="str">
        <f aca="false">IF($A2545="","",원본명단!$B2544)</f>
        <v/>
      </c>
      <c r="D2545" s="12" t="str">
        <f aca="false">IF($A2545="","",원본명단!$D2544)</f>
        <v/>
      </c>
      <c r="E2545" s="11" t="str">
        <f aca="false">IF($A2545="","",IF(원본명단!$H2544="",0,COUNTIF(원본명단!$H$3:$H$6002,원본명단!$H2544)))</f>
        <v/>
      </c>
      <c r="F2545" s="11" t="str">
        <f aca="false">IF($A2545="","",IF(원본명단!$I2544="",0,COUNTIF(원본명단!$I$3:$I$6002,원본명단!$I2544)))</f>
        <v/>
      </c>
      <c r="G2545" s="11" t="str">
        <f aca="false">IF($A2545="","",IF(원본명단!$K2544="",0,COUNTIF(원본명단!$K$3:$K$6002,원본명단!$K2544)))</f>
        <v/>
      </c>
      <c r="H2545" s="11" t="str">
        <f aca="false">IF($A2545="","",IF(MAX($E2545,$F2545,$G2545)&gt;1,"중복","-"))</f>
        <v/>
      </c>
      <c r="I2545" s="11" t="str">
        <f aca="false">IF($A2545="","",IF($H2545="-","-",IF(AND(IF(원본명단!$H2544="",TRUE(),COUNTIF(원본명단!$H$3:$H2544,원본명단!$H2544)=1),IF(원본명단!$I2544="",TRUE(),COUNTIF(원본명단!$I$3:$I2544,원본명단!$I2544)=1),IF(원본명단!$K2544="",TRUE(),COUNTIF(원본명단!$K$3:$K2544,원본명단!$K2544)=1)),"첫 건","중복 건")))</f>
        <v/>
      </c>
      <c r="J2545" s="11" t="str">
        <f aca="false">IF($A2545="","",IF($H2545="-","유지",IF($I2545="첫 건","유지","확인 필요")))</f>
        <v/>
      </c>
    </row>
    <row r="2546" customFormat="false" ht="15" hidden="false" customHeight="true" outlineLevel="0" collapsed="false">
      <c r="A2546" s="11" t="str">
        <f aca="false">IF(원본명단!$A2545="","",2543)</f>
        <v/>
      </c>
      <c r="B2546" s="12" t="str">
        <f aca="false">IF($A2546="","",원본명단!$A2545)</f>
        <v/>
      </c>
      <c r="C2546" s="12" t="str">
        <f aca="false">IF($A2546="","",원본명단!$B2545)</f>
        <v/>
      </c>
      <c r="D2546" s="12" t="str">
        <f aca="false">IF($A2546="","",원본명단!$D2545)</f>
        <v/>
      </c>
      <c r="E2546" s="11" t="str">
        <f aca="false">IF($A2546="","",IF(원본명단!$H2545="",0,COUNTIF(원본명단!$H$3:$H$6002,원본명단!$H2545)))</f>
        <v/>
      </c>
      <c r="F2546" s="11" t="str">
        <f aca="false">IF($A2546="","",IF(원본명단!$I2545="",0,COUNTIF(원본명단!$I$3:$I$6002,원본명단!$I2545)))</f>
        <v/>
      </c>
      <c r="G2546" s="11" t="str">
        <f aca="false">IF($A2546="","",IF(원본명단!$K2545="",0,COUNTIF(원본명단!$K$3:$K$6002,원본명단!$K2545)))</f>
        <v/>
      </c>
      <c r="H2546" s="11" t="str">
        <f aca="false">IF($A2546="","",IF(MAX($E2546,$F2546,$G2546)&gt;1,"중복","-"))</f>
        <v/>
      </c>
      <c r="I2546" s="11" t="str">
        <f aca="false">IF($A2546="","",IF($H2546="-","-",IF(AND(IF(원본명단!$H2545="",TRUE(),COUNTIF(원본명단!$H$3:$H2545,원본명단!$H2545)=1),IF(원본명단!$I2545="",TRUE(),COUNTIF(원본명단!$I$3:$I2545,원본명단!$I2545)=1),IF(원본명단!$K2545="",TRUE(),COUNTIF(원본명단!$K$3:$K2545,원본명단!$K2545)=1)),"첫 건","중복 건")))</f>
        <v/>
      </c>
      <c r="J2546" s="11" t="str">
        <f aca="false">IF($A2546="","",IF($H2546="-","유지",IF($I2546="첫 건","유지","확인 필요")))</f>
        <v/>
      </c>
    </row>
    <row r="2547" customFormat="false" ht="15" hidden="false" customHeight="true" outlineLevel="0" collapsed="false">
      <c r="A2547" s="11" t="str">
        <f aca="false">IF(원본명단!$A2546="","",2544)</f>
        <v/>
      </c>
      <c r="B2547" s="12" t="str">
        <f aca="false">IF($A2547="","",원본명단!$A2546)</f>
        <v/>
      </c>
      <c r="C2547" s="12" t="str">
        <f aca="false">IF($A2547="","",원본명단!$B2546)</f>
        <v/>
      </c>
      <c r="D2547" s="12" t="str">
        <f aca="false">IF($A2547="","",원본명단!$D2546)</f>
        <v/>
      </c>
      <c r="E2547" s="11" t="str">
        <f aca="false">IF($A2547="","",IF(원본명단!$H2546="",0,COUNTIF(원본명단!$H$3:$H$6002,원본명단!$H2546)))</f>
        <v/>
      </c>
      <c r="F2547" s="11" t="str">
        <f aca="false">IF($A2547="","",IF(원본명단!$I2546="",0,COUNTIF(원본명단!$I$3:$I$6002,원본명단!$I2546)))</f>
        <v/>
      </c>
      <c r="G2547" s="11" t="str">
        <f aca="false">IF($A2547="","",IF(원본명단!$K2546="",0,COUNTIF(원본명단!$K$3:$K$6002,원본명단!$K2546)))</f>
        <v/>
      </c>
      <c r="H2547" s="11" t="str">
        <f aca="false">IF($A2547="","",IF(MAX($E2547,$F2547,$G2547)&gt;1,"중복","-"))</f>
        <v/>
      </c>
      <c r="I2547" s="11" t="str">
        <f aca="false">IF($A2547="","",IF($H2547="-","-",IF(AND(IF(원본명단!$H2546="",TRUE(),COUNTIF(원본명단!$H$3:$H2546,원본명단!$H2546)=1),IF(원본명단!$I2546="",TRUE(),COUNTIF(원본명단!$I$3:$I2546,원본명단!$I2546)=1),IF(원본명단!$K2546="",TRUE(),COUNTIF(원본명단!$K$3:$K2546,원본명단!$K2546)=1)),"첫 건","중복 건")))</f>
        <v/>
      </c>
      <c r="J2547" s="11" t="str">
        <f aca="false">IF($A2547="","",IF($H2547="-","유지",IF($I2547="첫 건","유지","확인 필요")))</f>
        <v/>
      </c>
    </row>
    <row r="2548" customFormat="false" ht="15" hidden="false" customHeight="true" outlineLevel="0" collapsed="false">
      <c r="A2548" s="11" t="str">
        <f aca="false">IF(원본명단!$A2547="","",2545)</f>
        <v/>
      </c>
      <c r="B2548" s="12" t="str">
        <f aca="false">IF($A2548="","",원본명단!$A2547)</f>
        <v/>
      </c>
      <c r="C2548" s="12" t="str">
        <f aca="false">IF($A2548="","",원본명단!$B2547)</f>
        <v/>
      </c>
      <c r="D2548" s="12" t="str">
        <f aca="false">IF($A2548="","",원본명단!$D2547)</f>
        <v/>
      </c>
      <c r="E2548" s="11" t="str">
        <f aca="false">IF($A2548="","",IF(원본명단!$H2547="",0,COUNTIF(원본명단!$H$3:$H$6002,원본명단!$H2547)))</f>
        <v/>
      </c>
      <c r="F2548" s="11" t="str">
        <f aca="false">IF($A2548="","",IF(원본명단!$I2547="",0,COUNTIF(원본명단!$I$3:$I$6002,원본명단!$I2547)))</f>
        <v/>
      </c>
      <c r="G2548" s="11" t="str">
        <f aca="false">IF($A2548="","",IF(원본명단!$K2547="",0,COUNTIF(원본명단!$K$3:$K$6002,원본명단!$K2547)))</f>
        <v/>
      </c>
      <c r="H2548" s="11" t="str">
        <f aca="false">IF($A2548="","",IF(MAX($E2548,$F2548,$G2548)&gt;1,"중복","-"))</f>
        <v/>
      </c>
      <c r="I2548" s="11" t="str">
        <f aca="false">IF($A2548="","",IF($H2548="-","-",IF(AND(IF(원본명단!$H2547="",TRUE(),COUNTIF(원본명단!$H$3:$H2547,원본명단!$H2547)=1),IF(원본명단!$I2547="",TRUE(),COUNTIF(원본명단!$I$3:$I2547,원본명단!$I2547)=1),IF(원본명단!$K2547="",TRUE(),COUNTIF(원본명단!$K$3:$K2547,원본명단!$K2547)=1)),"첫 건","중복 건")))</f>
        <v/>
      </c>
      <c r="J2548" s="11" t="str">
        <f aca="false">IF($A2548="","",IF($H2548="-","유지",IF($I2548="첫 건","유지","확인 필요")))</f>
        <v/>
      </c>
    </row>
    <row r="2549" customFormat="false" ht="15" hidden="false" customHeight="true" outlineLevel="0" collapsed="false">
      <c r="A2549" s="11" t="str">
        <f aca="false">IF(원본명단!$A2548="","",2546)</f>
        <v/>
      </c>
      <c r="B2549" s="12" t="str">
        <f aca="false">IF($A2549="","",원본명단!$A2548)</f>
        <v/>
      </c>
      <c r="C2549" s="12" t="str">
        <f aca="false">IF($A2549="","",원본명단!$B2548)</f>
        <v/>
      </c>
      <c r="D2549" s="12" t="str">
        <f aca="false">IF($A2549="","",원본명단!$D2548)</f>
        <v/>
      </c>
      <c r="E2549" s="11" t="str">
        <f aca="false">IF($A2549="","",IF(원본명단!$H2548="",0,COUNTIF(원본명단!$H$3:$H$6002,원본명단!$H2548)))</f>
        <v/>
      </c>
      <c r="F2549" s="11" t="str">
        <f aca="false">IF($A2549="","",IF(원본명단!$I2548="",0,COUNTIF(원본명단!$I$3:$I$6002,원본명단!$I2548)))</f>
        <v/>
      </c>
      <c r="G2549" s="11" t="str">
        <f aca="false">IF($A2549="","",IF(원본명단!$K2548="",0,COUNTIF(원본명단!$K$3:$K$6002,원본명단!$K2548)))</f>
        <v/>
      </c>
      <c r="H2549" s="11" t="str">
        <f aca="false">IF($A2549="","",IF(MAX($E2549,$F2549,$G2549)&gt;1,"중복","-"))</f>
        <v/>
      </c>
      <c r="I2549" s="11" t="str">
        <f aca="false">IF($A2549="","",IF($H2549="-","-",IF(AND(IF(원본명단!$H2548="",TRUE(),COUNTIF(원본명단!$H$3:$H2548,원본명단!$H2548)=1),IF(원본명단!$I2548="",TRUE(),COUNTIF(원본명단!$I$3:$I2548,원본명단!$I2548)=1),IF(원본명단!$K2548="",TRUE(),COUNTIF(원본명단!$K$3:$K2548,원본명단!$K2548)=1)),"첫 건","중복 건")))</f>
        <v/>
      </c>
      <c r="J2549" s="11" t="str">
        <f aca="false">IF($A2549="","",IF($H2549="-","유지",IF($I2549="첫 건","유지","확인 필요")))</f>
        <v/>
      </c>
    </row>
    <row r="2550" customFormat="false" ht="15" hidden="false" customHeight="true" outlineLevel="0" collapsed="false">
      <c r="A2550" s="11" t="str">
        <f aca="false">IF(원본명단!$A2549="","",2547)</f>
        <v/>
      </c>
      <c r="B2550" s="12" t="str">
        <f aca="false">IF($A2550="","",원본명단!$A2549)</f>
        <v/>
      </c>
      <c r="C2550" s="12" t="str">
        <f aca="false">IF($A2550="","",원본명단!$B2549)</f>
        <v/>
      </c>
      <c r="D2550" s="12" t="str">
        <f aca="false">IF($A2550="","",원본명단!$D2549)</f>
        <v/>
      </c>
      <c r="E2550" s="11" t="str">
        <f aca="false">IF($A2550="","",IF(원본명단!$H2549="",0,COUNTIF(원본명단!$H$3:$H$6002,원본명단!$H2549)))</f>
        <v/>
      </c>
      <c r="F2550" s="11" t="str">
        <f aca="false">IF($A2550="","",IF(원본명단!$I2549="",0,COUNTIF(원본명단!$I$3:$I$6002,원본명단!$I2549)))</f>
        <v/>
      </c>
      <c r="G2550" s="11" t="str">
        <f aca="false">IF($A2550="","",IF(원본명단!$K2549="",0,COUNTIF(원본명단!$K$3:$K$6002,원본명단!$K2549)))</f>
        <v/>
      </c>
      <c r="H2550" s="11" t="str">
        <f aca="false">IF($A2550="","",IF(MAX($E2550,$F2550,$G2550)&gt;1,"중복","-"))</f>
        <v/>
      </c>
      <c r="I2550" s="11" t="str">
        <f aca="false">IF($A2550="","",IF($H2550="-","-",IF(AND(IF(원본명단!$H2549="",TRUE(),COUNTIF(원본명단!$H$3:$H2549,원본명단!$H2549)=1),IF(원본명단!$I2549="",TRUE(),COUNTIF(원본명단!$I$3:$I2549,원본명단!$I2549)=1),IF(원본명단!$K2549="",TRUE(),COUNTIF(원본명단!$K$3:$K2549,원본명단!$K2549)=1)),"첫 건","중복 건")))</f>
        <v/>
      </c>
      <c r="J2550" s="11" t="str">
        <f aca="false">IF($A2550="","",IF($H2550="-","유지",IF($I2550="첫 건","유지","확인 필요")))</f>
        <v/>
      </c>
    </row>
    <row r="2551" customFormat="false" ht="15" hidden="false" customHeight="true" outlineLevel="0" collapsed="false">
      <c r="A2551" s="11" t="str">
        <f aca="false">IF(원본명단!$A2550="","",2548)</f>
        <v/>
      </c>
      <c r="B2551" s="12" t="str">
        <f aca="false">IF($A2551="","",원본명단!$A2550)</f>
        <v/>
      </c>
      <c r="C2551" s="12" t="str">
        <f aca="false">IF($A2551="","",원본명단!$B2550)</f>
        <v/>
      </c>
      <c r="D2551" s="12" t="str">
        <f aca="false">IF($A2551="","",원본명단!$D2550)</f>
        <v/>
      </c>
      <c r="E2551" s="11" t="str">
        <f aca="false">IF($A2551="","",IF(원본명단!$H2550="",0,COUNTIF(원본명단!$H$3:$H$6002,원본명단!$H2550)))</f>
        <v/>
      </c>
      <c r="F2551" s="11" t="str">
        <f aca="false">IF($A2551="","",IF(원본명단!$I2550="",0,COUNTIF(원본명단!$I$3:$I$6002,원본명단!$I2550)))</f>
        <v/>
      </c>
      <c r="G2551" s="11" t="str">
        <f aca="false">IF($A2551="","",IF(원본명단!$K2550="",0,COUNTIF(원본명단!$K$3:$K$6002,원본명단!$K2550)))</f>
        <v/>
      </c>
      <c r="H2551" s="11" t="str">
        <f aca="false">IF($A2551="","",IF(MAX($E2551,$F2551,$G2551)&gt;1,"중복","-"))</f>
        <v/>
      </c>
      <c r="I2551" s="11" t="str">
        <f aca="false">IF($A2551="","",IF($H2551="-","-",IF(AND(IF(원본명단!$H2550="",TRUE(),COUNTIF(원본명단!$H$3:$H2550,원본명단!$H2550)=1),IF(원본명단!$I2550="",TRUE(),COUNTIF(원본명단!$I$3:$I2550,원본명단!$I2550)=1),IF(원본명단!$K2550="",TRUE(),COUNTIF(원본명단!$K$3:$K2550,원본명단!$K2550)=1)),"첫 건","중복 건")))</f>
        <v/>
      </c>
      <c r="J2551" s="11" t="str">
        <f aca="false">IF($A2551="","",IF($H2551="-","유지",IF($I2551="첫 건","유지","확인 필요")))</f>
        <v/>
      </c>
    </row>
    <row r="2552" customFormat="false" ht="15" hidden="false" customHeight="true" outlineLevel="0" collapsed="false">
      <c r="A2552" s="11" t="str">
        <f aca="false">IF(원본명단!$A2551="","",2549)</f>
        <v/>
      </c>
      <c r="B2552" s="12" t="str">
        <f aca="false">IF($A2552="","",원본명단!$A2551)</f>
        <v/>
      </c>
      <c r="C2552" s="12" t="str">
        <f aca="false">IF($A2552="","",원본명단!$B2551)</f>
        <v/>
      </c>
      <c r="D2552" s="12" t="str">
        <f aca="false">IF($A2552="","",원본명단!$D2551)</f>
        <v/>
      </c>
      <c r="E2552" s="11" t="str">
        <f aca="false">IF($A2552="","",IF(원본명단!$H2551="",0,COUNTIF(원본명단!$H$3:$H$6002,원본명단!$H2551)))</f>
        <v/>
      </c>
      <c r="F2552" s="11" t="str">
        <f aca="false">IF($A2552="","",IF(원본명단!$I2551="",0,COUNTIF(원본명단!$I$3:$I$6002,원본명단!$I2551)))</f>
        <v/>
      </c>
      <c r="G2552" s="11" t="str">
        <f aca="false">IF($A2552="","",IF(원본명단!$K2551="",0,COUNTIF(원본명단!$K$3:$K$6002,원본명단!$K2551)))</f>
        <v/>
      </c>
      <c r="H2552" s="11" t="str">
        <f aca="false">IF($A2552="","",IF(MAX($E2552,$F2552,$G2552)&gt;1,"중복","-"))</f>
        <v/>
      </c>
      <c r="I2552" s="11" t="str">
        <f aca="false">IF($A2552="","",IF($H2552="-","-",IF(AND(IF(원본명단!$H2551="",TRUE(),COUNTIF(원본명단!$H$3:$H2551,원본명단!$H2551)=1),IF(원본명단!$I2551="",TRUE(),COUNTIF(원본명단!$I$3:$I2551,원본명단!$I2551)=1),IF(원본명단!$K2551="",TRUE(),COUNTIF(원본명단!$K$3:$K2551,원본명단!$K2551)=1)),"첫 건","중복 건")))</f>
        <v/>
      </c>
      <c r="J2552" s="11" t="str">
        <f aca="false">IF($A2552="","",IF($H2552="-","유지",IF($I2552="첫 건","유지","확인 필요")))</f>
        <v/>
      </c>
    </row>
    <row r="2553" customFormat="false" ht="15" hidden="false" customHeight="true" outlineLevel="0" collapsed="false">
      <c r="A2553" s="11" t="str">
        <f aca="false">IF(원본명단!$A2552="","",2550)</f>
        <v/>
      </c>
      <c r="B2553" s="12" t="str">
        <f aca="false">IF($A2553="","",원본명단!$A2552)</f>
        <v/>
      </c>
      <c r="C2553" s="12" t="str">
        <f aca="false">IF($A2553="","",원본명단!$B2552)</f>
        <v/>
      </c>
      <c r="D2553" s="12" t="str">
        <f aca="false">IF($A2553="","",원본명단!$D2552)</f>
        <v/>
      </c>
      <c r="E2553" s="11" t="str">
        <f aca="false">IF($A2553="","",IF(원본명단!$H2552="",0,COUNTIF(원본명단!$H$3:$H$6002,원본명단!$H2552)))</f>
        <v/>
      </c>
      <c r="F2553" s="11" t="str">
        <f aca="false">IF($A2553="","",IF(원본명단!$I2552="",0,COUNTIF(원본명단!$I$3:$I$6002,원본명단!$I2552)))</f>
        <v/>
      </c>
      <c r="G2553" s="11" t="str">
        <f aca="false">IF($A2553="","",IF(원본명단!$K2552="",0,COUNTIF(원본명단!$K$3:$K$6002,원본명단!$K2552)))</f>
        <v/>
      </c>
      <c r="H2553" s="11" t="str">
        <f aca="false">IF($A2553="","",IF(MAX($E2553,$F2553,$G2553)&gt;1,"중복","-"))</f>
        <v/>
      </c>
      <c r="I2553" s="11" t="str">
        <f aca="false">IF($A2553="","",IF($H2553="-","-",IF(AND(IF(원본명단!$H2552="",TRUE(),COUNTIF(원본명단!$H$3:$H2552,원본명단!$H2552)=1),IF(원본명단!$I2552="",TRUE(),COUNTIF(원본명단!$I$3:$I2552,원본명단!$I2552)=1),IF(원본명단!$K2552="",TRUE(),COUNTIF(원본명단!$K$3:$K2552,원본명단!$K2552)=1)),"첫 건","중복 건")))</f>
        <v/>
      </c>
      <c r="J2553" s="11" t="str">
        <f aca="false">IF($A2553="","",IF($H2553="-","유지",IF($I2553="첫 건","유지","확인 필요")))</f>
        <v/>
      </c>
    </row>
    <row r="2554" customFormat="false" ht="15" hidden="false" customHeight="true" outlineLevel="0" collapsed="false">
      <c r="A2554" s="11" t="str">
        <f aca="false">IF(원본명단!$A2553="","",2551)</f>
        <v/>
      </c>
      <c r="B2554" s="12" t="str">
        <f aca="false">IF($A2554="","",원본명단!$A2553)</f>
        <v/>
      </c>
      <c r="C2554" s="12" t="str">
        <f aca="false">IF($A2554="","",원본명단!$B2553)</f>
        <v/>
      </c>
      <c r="D2554" s="12" t="str">
        <f aca="false">IF($A2554="","",원본명단!$D2553)</f>
        <v/>
      </c>
      <c r="E2554" s="11" t="str">
        <f aca="false">IF($A2554="","",IF(원본명단!$H2553="",0,COUNTIF(원본명단!$H$3:$H$6002,원본명단!$H2553)))</f>
        <v/>
      </c>
      <c r="F2554" s="11" t="str">
        <f aca="false">IF($A2554="","",IF(원본명단!$I2553="",0,COUNTIF(원본명단!$I$3:$I$6002,원본명단!$I2553)))</f>
        <v/>
      </c>
      <c r="G2554" s="11" t="str">
        <f aca="false">IF($A2554="","",IF(원본명단!$K2553="",0,COUNTIF(원본명단!$K$3:$K$6002,원본명단!$K2553)))</f>
        <v/>
      </c>
      <c r="H2554" s="11" t="str">
        <f aca="false">IF($A2554="","",IF(MAX($E2554,$F2554,$G2554)&gt;1,"중복","-"))</f>
        <v/>
      </c>
      <c r="I2554" s="11" t="str">
        <f aca="false">IF($A2554="","",IF($H2554="-","-",IF(AND(IF(원본명단!$H2553="",TRUE(),COUNTIF(원본명단!$H$3:$H2553,원본명단!$H2553)=1),IF(원본명단!$I2553="",TRUE(),COUNTIF(원본명단!$I$3:$I2553,원본명단!$I2553)=1),IF(원본명단!$K2553="",TRUE(),COUNTIF(원본명단!$K$3:$K2553,원본명단!$K2553)=1)),"첫 건","중복 건")))</f>
        <v/>
      </c>
      <c r="J2554" s="11" t="str">
        <f aca="false">IF($A2554="","",IF($H2554="-","유지",IF($I2554="첫 건","유지","확인 필요")))</f>
        <v/>
      </c>
    </row>
    <row r="2555" customFormat="false" ht="15" hidden="false" customHeight="true" outlineLevel="0" collapsed="false">
      <c r="A2555" s="11" t="str">
        <f aca="false">IF(원본명단!$A2554="","",2552)</f>
        <v/>
      </c>
      <c r="B2555" s="12" t="str">
        <f aca="false">IF($A2555="","",원본명단!$A2554)</f>
        <v/>
      </c>
      <c r="C2555" s="12" t="str">
        <f aca="false">IF($A2555="","",원본명단!$B2554)</f>
        <v/>
      </c>
      <c r="D2555" s="12" t="str">
        <f aca="false">IF($A2555="","",원본명단!$D2554)</f>
        <v/>
      </c>
      <c r="E2555" s="11" t="str">
        <f aca="false">IF($A2555="","",IF(원본명단!$H2554="",0,COUNTIF(원본명단!$H$3:$H$6002,원본명단!$H2554)))</f>
        <v/>
      </c>
      <c r="F2555" s="11" t="str">
        <f aca="false">IF($A2555="","",IF(원본명단!$I2554="",0,COUNTIF(원본명단!$I$3:$I$6002,원본명단!$I2554)))</f>
        <v/>
      </c>
      <c r="G2555" s="11" t="str">
        <f aca="false">IF($A2555="","",IF(원본명단!$K2554="",0,COUNTIF(원본명단!$K$3:$K$6002,원본명단!$K2554)))</f>
        <v/>
      </c>
      <c r="H2555" s="11" t="str">
        <f aca="false">IF($A2555="","",IF(MAX($E2555,$F2555,$G2555)&gt;1,"중복","-"))</f>
        <v/>
      </c>
      <c r="I2555" s="11" t="str">
        <f aca="false">IF($A2555="","",IF($H2555="-","-",IF(AND(IF(원본명단!$H2554="",TRUE(),COUNTIF(원본명단!$H$3:$H2554,원본명단!$H2554)=1),IF(원본명단!$I2554="",TRUE(),COUNTIF(원본명단!$I$3:$I2554,원본명단!$I2554)=1),IF(원본명단!$K2554="",TRUE(),COUNTIF(원본명단!$K$3:$K2554,원본명단!$K2554)=1)),"첫 건","중복 건")))</f>
        <v/>
      </c>
      <c r="J2555" s="11" t="str">
        <f aca="false">IF($A2555="","",IF($H2555="-","유지",IF($I2555="첫 건","유지","확인 필요")))</f>
        <v/>
      </c>
    </row>
    <row r="2556" customFormat="false" ht="15" hidden="false" customHeight="true" outlineLevel="0" collapsed="false">
      <c r="A2556" s="11" t="str">
        <f aca="false">IF(원본명단!$A2555="","",2553)</f>
        <v/>
      </c>
      <c r="B2556" s="12" t="str">
        <f aca="false">IF($A2556="","",원본명단!$A2555)</f>
        <v/>
      </c>
      <c r="C2556" s="12" t="str">
        <f aca="false">IF($A2556="","",원본명단!$B2555)</f>
        <v/>
      </c>
      <c r="D2556" s="12" t="str">
        <f aca="false">IF($A2556="","",원본명단!$D2555)</f>
        <v/>
      </c>
      <c r="E2556" s="11" t="str">
        <f aca="false">IF($A2556="","",IF(원본명단!$H2555="",0,COUNTIF(원본명단!$H$3:$H$6002,원본명단!$H2555)))</f>
        <v/>
      </c>
      <c r="F2556" s="11" t="str">
        <f aca="false">IF($A2556="","",IF(원본명단!$I2555="",0,COUNTIF(원본명단!$I$3:$I$6002,원본명단!$I2555)))</f>
        <v/>
      </c>
      <c r="G2556" s="11" t="str">
        <f aca="false">IF($A2556="","",IF(원본명단!$K2555="",0,COUNTIF(원본명단!$K$3:$K$6002,원본명단!$K2555)))</f>
        <v/>
      </c>
      <c r="H2556" s="11" t="str">
        <f aca="false">IF($A2556="","",IF(MAX($E2556,$F2556,$G2556)&gt;1,"중복","-"))</f>
        <v/>
      </c>
      <c r="I2556" s="11" t="str">
        <f aca="false">IF($A2556="","",IF($H2556="-","-",IF(AND(IF(원본명단!$H2555="",TRUE(),COUNTIF(원본명단!$H$3:$H2555,원본명단!$H2555)=1),IF(원본명단!$I2555="",TRUE(),COUNTIF(원본명단!$I$3:$I2555,원본명단!$I2555)=1),IF(원본명단!$K2555="",TRUE(),COUNTIF(원본명단!$K$3:$K2555,원본명단!$K2555)=1)),"첫 건","중복 건")))</f>
        <v/>
      </c>
      <c r="J2556" s="11" t="str">
        <f aca="false">IF($A2556="","",IF($H2556="-","유지",IF($I2556="첫 건","유지","확인 필요")))</f>
        <v/>
      </c>
    </row>
    <row r="2557" customFormat="false" ht="15" hidden="false" customHeight="true" outlineLevel="0" collapsed="false">
      <c r="A2557" s="11" t="str">
        <f aca="false">IF(원본명단!$A2556="","",2554)</f>
        <v/>
      </c>
      <c r="B2557" s="12" t="str">
        <f aca="false">IF($A2557="","",원본명단!$A2556)</f>
        <v/>
      </c>
      <c r="C2557" s="12" t="str">
        <f aca="false">IF($A2557="","",원본명단!$B2556)</f>
        <v/>
      </c>
      <c r="D2557" s="12" t="str">
        <f aca="false">IF($A2557="","",원본명단!$D2556)</f>
        <v/>
      </c>
      <c r="E2557" s="11" t="str">
        <f aca="false">IF($A2557="","",IF(원본명단!$H2556="",0,COUNTIF(원본명단!$H$3:$H$6002,원본명단!$H2556)))</f>
        <v/>
      </c>
      <c r="F2557" s="11" t="str">
        <f aca="false">IF($A2557="","",IF(원본명단!$I2556="",0,COUNTIF(원본명단!$I$3:$I$6002,원본명단!$I2556)))</f>
        <v/>
      </c>
      <c r="G2557" s="11" t="str">
        <f aca="false">IF($A2557="","",IF(원본명단!$K2556="",0,COUNTIF(원본명단!$K$3:$K$6002,원본명단!$K2556)))</f>
        <v/>
      </c>
      <c r="H2557" s="11" t="str">
        <f aca="false">IF($A2557="","",IF(MAX($E2557,$F2557,$G2557)&gt;1,"중복","-"))</f>
        <v/>
      </c>
      <c r="I2557" s="11" t="str">
        <f aca="false">IF($A2557="","",IF($H2557="-","-",IF(AND(IF(원본명단!$H2556="",TRUE(),COUNTIF(원본명단!$H$3:$H2556,원본명단!$H2556)=1),IF(원본명단!$I2556="",TRUE(),COUNTIF(원본명단!$I$3:$I2556,원본명단!$I2556)=1),IF(원본명단!$K2556="",TRUE(),COUNTIF(원본명단!$K$3:$K2556,원본명단!$K2556)=1)),"첫 건","중복 건")))</f>
        <v/>
      </c>
      <c r="J2557" s="11" t="str">
        <f aca="false">IF($A2557="","",IF($H2557="-","유지",IF($I2557="첫 건","유지","확인 필요")))</f>
        <v/>
      </c>
    </row>
    <row r="2558" customFormat="false" ht="15" hidden="false" customHeight="true" outlineLevel="0" collapsed="false">
      <c r="A2558" s="11" t="str">
        <f aca="false">IF(원본명단!$A2557="","",2555)</f>
        <v/>
      </c>
      <c r="B2558" s="12" t="str">
        <f aca="false">IF($A2558="","",원본명단!$A2557)</f>
        <v/>
      </c>
      <c r="C2558" s="12" t="str">
        <f aca="false">IF($A2558="","",원본명단!$B2557)</f>
        <v/>
      </c>
      <c r="D2558" s="12" t="str">
        <f aca="false">IF($A2558="","",원본명단!$D2557)</f>
        <v/>
      </c>
      <c r="E2558" s="11" t="str">
        <f aca="false">IF($A2558="","",IF(원본명단!$H2557="",0,COUNTIF(원본명단!$H$3:$H$6002,원본명단!$H2557)))</f>
        <v/>
      </c>
      <c r="F2558" s="11" t="str">
        <f aca="false">IF($A2558="","",IF(원본명단!$I2557="",0,COUNTIF(원본명단!$I$3:$I$6002,원본명단!$I2557)))</f>
        <v/>
      </c>
      <c r="G2558" s="11" t="str">
        <f aca="false">IF($A2558="","",IF(원본명단!$K2557="",0,COUNTIF(원본명단!$K$3:$K$6002,원본명단!$K2557)))</f>
        <v/>
      </c>
      <c r="H2558" s="11" t="str">
        <f aca="false">IF($A2558="","",IF(MAX($E2558,$F2558,$G2558)&gt;1,"중복","-"))</f>
        <v/>
      </c>
      <c r="I2558" s="11" t="str">
        <f aca="false">IF($A2558="","",IF($H2558="-","-",IF(AND(IF(원본명단!$H2557="",TRUE(),COUNTIF(원본명단!$H$3:$H2557,원본명단!$H2557)=1),IF(원본명단!$I2557="",TRUE(),COUNTIF(원본명단!$I$3:$I2557,원본명단!$I2557)=1),IF(원본명단!$K2557="",TRUE(),COUNTIF(원본명단!$K$3:$K2557,원본명단!$K2557)=1)),"첫 건","중복 건")))</f>
        <v/>
      </c>
      <c r="J2558" s="11" t="str">
        <f aca="false">IF($A2558="","",IF($H2558="-","유지",IF($I2558="첫 건","유지","확인 필요")))</f>
        <v/>
      </c>
    </row>
    <row r="2559" customFormat="false" ht="15" hidden="false" customHeight="true" outlineLevel="0" collapsed="false">
      <c r="A2559" s="11" t="str">
        <f aca="false">IF(원본명단!$A2558="","",2556)</f>
        <v/>
      </c>
      <c r="B2559" s="12" t="str">
        <f aca="false">IF($A2559="","",원본명단!$A2558)</f>
        <v/>
      </c>
      <c r="C2559" s="12" t="str">
        <f aca="false">IF($A2559="","",원본명단!$B2558)</f>
        <v/>
      </c>
      <c r="D2559" s="12" t="str">
        <f aca="false">IF($A2559="","",원본명단!$D2558)</f>
        <v/>
      </c>
      <c r="E2559" s="11" t="str">
        <f aca="false">IF($A2559="","",IF(원본명단!$H2558="",0,COUNTIF(원본명단!$H$3:$H$6002,원본명단!$H2558)))</f>
        <v/>
      </c>
      <c r="F2559" s="11" t="str">
        <f aca="false">IF($A2559="","",IF(원본명단!$I2558="",0,COUNTIF(원본명단!$I$3:$I$6002,원본명단!$I2558)))</f>
        <v/>
      </c>
      <c r="G2559" s="11" t="str">
        <f aca="false">IF($A2559="","",IF(원본명단!$K2558="",0,COUNTIF(원본명단!$K$3:$K$6002,원본명단!$K2558)))</f>
        <v/>
      </c>
      <c r="H2559" s="11" t="str">
        <f aca="false">IF($A2559="","",IF(MAX($E2559,$F2559,$G2559)&gt;1,"중복","-"))</f>
        <v/>
      </c>
      <c r="I2559" s="11" t="str">
        <f aca="false">IF($A2559="","",IF($H2559="-","-",IF(AND(IF(원본명단!$H2558="",TRUE(),COUNTIF(원본명단!$H$3:$H2558,원본명단!$H2558)=1),IF(원본명단!$I2558="",TRUE(),COUNTIF(원본명단!$I$3:$I2558,원본명단!$I2558)=1),IF(원본명단!$K2558="",TRUE(),COUNTIF(원본명단!$K$3:$K2558,원본명단!$K2558)=1)),"첫 건","중복 건")))</f>
        <v/>
      </c>
      <c r="J2559" s="11" t="str">
        <f aca="false">IF($A2559="","",IF($H2559="-","유지",IF($I2559="첫 건","유지","확인 필요")))</f>
        <v/>
      </c>
    </row>
    <row r="2560" customFormat="false" ht="15" hidden="false" customHeight="true" outlineLevel="0" collapsed="false">
      <c r="A2560" s="11" t="str">
        <f aca="false">IF(원본명단!$A2559="","",2557)</f>
        <v/>
      </c>
      <c r="B2560" s="12" t="str">
        <f aca="false">IF($A2560="","",원본명단!$A2559)</f>
        <v/>
      </c>
      <c r="C2560" s="12" t="str">
        <f aca="false">IF($A2560="","",원본명단!$B2559)</f>
        <v/>
      </c>
      <c r="D2560" s="12" t="str">
        <f aca="false">IF($A2560="","",원본명단!$D2559)</f>
        <v/>
      </c>
      <c r="E2560" s="11" t="str">
        <f aca="false">IF($A2560="","",IF(원본명단!$H2559="",0,COUNTIF(원본명단!$H$3:$H$6002,원본명단!$H2559)))</f>
        <v/>
      </c>
      <c r="F2560" s="11" t="str">
        <f aca="false">IF($A2560="","",IF(원본명단!$I2559="",0,COUNTIF(원본명단!$I$3:$I$6002,원본명단!$I2559)))</f>
        <v/>
      </c>
      <c r="G2560" s="11" t="str">
        <f aca="false">IF($A2560="","",IF(원본명단!$K2559="",0,COUNTIF(원본명단!$K$3:$K$6002,원본명단!$K2559)))</f>
        <v/>
      </c>
      <c r="H2560" s="11" t="str">
        <f aca="false">IF($A2560="","",IF(MAX($E2560,$F2560,$G2560)&gt;1,"중복","-"))</f>
        <v/>
      </c>
      <c r="I2560" s="11" t="str">
        <f aca="false">IF($A2560="","",IF($H2560="-","-",IF(AND(IF(원본명단!$H2559="",TRUE(),COUNTIF(원본명단!$H$3:$H2559,원본명단!$H2559)=1),IF(원본명단!$I2559="",TRUE(),COUNTIF(원본명단!$I$3:$I2559,원본명단!$I2559)=1),IF(원본명단!$K2559="",TRUE(),COUNTIF(원본명단!$K$3:$K2559,원본명단!$K2559)=1)),"첫 건","중복 건")))</f>
        <v/>
      </c>
      <c r="J2560" s="11" t="str">
        <f aca="false">IF($A2560="","",IF($H2560="-","유지",IF($I2560="첫 건","유지","확인 필요")))</f>
        <v/>
      </c>
    </row>
    <row r="2561" customFormat="false" ht="15" hidden="false" customHeight="true" outlineLevel="0" collapsed="false">
      <c r="A2561" s="11" t="str">
        <f aca="false">IF(원본명단!$A2560="","",2558)</f>
        <v/>
      </c>
      <c r="B2561" s="12" t="str">
        <f aca="false">IF($A2561="","",원본명단!$A2560)</f>
        <v/>
      </c>
      <c r="C2561" s="12" t="str">
        <f aca="false">IF($A2561="","",원본명단!$B2560)</f>
        <v/>
      </c>
      <c r="D2561" s="12" t="str">
        <f aca="false">IF($A2561="","",원본명단!$D2560)</f>
        <v/>
      </c>
      <c r="E2561" s="11" t="str">
        <f aca="false">IF($A2561="","",IF(원본명단!$H2560="",0,COUNTIF(원본명단!$H$3:$H$6002,원본명단!$H2560)))</f>
        <v/>
      </c>
      <c r="F2561" s="11" t="str">
        <f aca="false">IF($A2561="","",IF(원본명단!$I2560="",0,COUNTIF(원본명단!$I$3:$I$6002,원본명단!$I2560)))</f>
        <v/>
      </c>
      <c r="G2561" s="11" t="str">
        <f aca="false">IF($A2561="","",IF(원본명단!$K2560="",0,COUNTIF(원본명단!$K$3:$K$6002,원본명단!$K2560)))</f>
        <v/>
      </c>
      <c r="H2561" s="11" t="str">
        <f aca="false">IF($A2561="","",IF(MAX($E2561,$F2561,$G2561)&gt;1,"중복","-"))</f>
        <v/>
      </c>
      <c r="I2561" s="11" t="str">
        <f aca="false">IF($A2561="","",IF($H2561="-","-",IF(AND(IF(원본명단!$H2560="",TRUE(),COUNTIF(원본명단!$H$3:$H2560,원본명단!$H2560)=1),IF(원본명단!$I2560="",TRUE(),COUNTIF(원본명단!$I$3:$I2560,원본명단!$I2560)=1),IF(원본명단!$K2560="",TRUE(),COUNTIF(원본명단!$K$3:$K2560,원본명단!$K2560)=1)),"첫 건","중복 건")))</f>
        <v/>
      </c>
      <c r="J2561" s="11" t="str">
        <f aca="false">IF($A2561="","",IF($H2561="-","유지",IF($I2561="첫 건","유지","확인 필요")))</f>
        <v/>
      </c>
    </row>
    <row r="2562" customFormat="false" ht="15" hidden="false" customHeight="true" outlineLevel="0" collapsed="false">
      <c r="A2562" s="11" t="str">
        <f aca="false">IF(원본명단!$A2561="","",2559)</f>
        <v/>
      </c>
      <c r="B2562" s="12" t="str">
        <f aca="false">IF($A2562="","",원본명단!$A2561)</f>
        <v/>
      </c>
      <c r="C2562" s="12" t="str">
        <f aca="false">IF($A2562="","",원본명단!$B2561)</f>
        <v/>
      </c>
      <c r="D2562" s="12" t="str">
        <f aca="false">IF($A2562="","",원본명단!$D2561)</f>
        <v/>
      </c>
      <c r="E2562" s="11" t="str">
        <f aca="false">IF($A2562="","",IF(원본명단!$H2561="",0,COUNTIF(원본명단!$H$3:$H$6002,원본명단!$H2561)))</f>
        <v/>
      </c>
      <c r="F2562" s="11" t="str">
        <f aca="false">IF($A2562="","",IF(원본명단!$I2561="",0,COUNTIF(원본명단!$I$3:$I$6002,원본명단!$I2561)))</f>
        <v/>
      </c>
      <c r="G2562" s="11" t="str">
        <f aca="false">IF($A2562="","",IF(원본명단!$K2561="",0,COUNTIF(원본명단!$K$3:$K$6002,원본명단!$K2561)))</f>
        <v/>
      </c>
      <c r="H2562" s="11" t="str">
        <f aca="false">IF($A2562="","",IF(MAX($E2562,$F2562,$G2562)&gt;1,"중복","-"))</f>
        <v/>
      </c>
      <c r="I2562" s="11" t="str">
        <f aca="false">IF($A2562="","",IF($H2562="-","-",IF(AND(IF(원본명단!$H2561="",TRUE(),COUNTIF(원본명단!$H$3:$H2561,원본명단!$H2561)=1),IF(원본명단!$I2561="",TRUE(),COUNTIF(원본명단!$I$3:$I2561,원본명단!$I2561)=1),IF(원본명단!$K2561="",TRUE(),COUNTIF(원본명단!$K$3:$K2561,원본명단!$K2561)=1)),"첫 건","중복 건")))</f>
        <v/>
      </c>
      <c r="J2562" s="11" t="str">
        <f aca="false">IF($A2562="","",IF($H2562="-","유지",IF($I2562="첫 건","유지","확인 필요")))</f>
        <v/>
      </c>
    </row>
    <row r="2563" customFormat="false" ht="15" hidden="false" customHeight="true" outlineLevel="0" collapsed="false">
      <c r="A2563" s="11" t="str">
        <f aca="false">IF(원본명단!$A2562="","",2560)</f>
        <v/>
      </c>
      <c r="B2563" s="12" t="str">
        <f aca="false">IF($A2563="","",원본명단!$A2562)</f>
        <v/>
      </c>
      <c r="C2563" s="12" t="str">
        <f aca="false">IF($A2563="","",원본명단!$B2562)</f>
        <v/>
      </c>
      <c r="D2563" s="12" t="str">
        <f aca="false">IF($A2563="","",원본명단!$D2562)</f>
        <v/>
      </c>
      <c r="E2563" s="11" t="str">
        <f aca="false">IF($A2563="","",IF(원본명단!$H2562="",0,COUNTIF(원본명단!$H$3:$H$6002,원본명단!$H2562)))</f>
        <v/>
      </c>
      <c r="F2563" s="11" t="str">
        <f aca="false">IF($A2563="","",IF(원본명단!$I2562="",0,COUNTIF(원본명단!$I$3:$I$6002,원본명단!$I2562)))</f>
        <v/>
      </c>
      <c r="G2563" s="11" t="str">
        <f aca="false">IF($A2563="","",IF(원본명단!$K2562="",0,COUNTIF(원본명단!$K$3:$K$6002,원본명단!$K2562)))</f>
        <v/>
      </c>
      <c r="H2563" s="11" t="str">
        <f aca="false">IF($A2563="","",IF(MAX($E2563,$F2563,$G2563)&gt;1,"중복","-"))</f>
        <v/>
      </c>
      <c r="I2563" s="11" t="str">
        <f aca="false">IF($A2563="","",IF($H2563="-","-",IF(AND(IF(원본명단!$H2562="",TRUE(),COUNTIF(원본명단!$H$3:$H2562,원본명단!$H2562)=1),IF(원본명단!$I2562="",TRUE(),COUNTIF(원본명단!$I$3:$I2562,원본명단!$I2562)=1),IF(원본명단!$K2562="",TRUE(),COUNTIF(원본명단!$K$3:$K2562,원본명단!$K2562)=1)),"첫 건","중복 건")))</f>
        <v/>
      </c>
      <c r="J2563" s="11" t="str">
        <f aca="false">IF($A2563="","",IF($H2563="-","유지",IF($I2563="첫 건","유지","확인 필요")))</f>
        <v/>
      </c>
    </row>
    <row r="2564" customFormat="false" ht="15" hidden="false" customHeight="true" outlineLevel="0" collapsed="false">
      <c r="A2564" s="11" t="str">
        <f aca="false">IF(원본명단!$A2563="","",2561)</f>
        <v/>
      </c>
      <c r="B2564" s="12" t="str">
        <f aca="false">IF($A2564="","",원본명단!$A2563)</f>
        <v/>
      </c>
      <c r="C2564" s="12" t="str">
        <f aca="false">IF($A2564="","",원본명단!$B2563)</f>
        <v/>
      </c>
      <c r="D2564" s="12" t="str">
        <f aca="false">IF($A2564="","",원본명단!$D2563)</f>
        <v/>
      </c>
      <c r="E2564" s="11" t="str">
        <f aca="false">IF($A2564="","",IF(원본명단!$H2563="",0,COUNTIF(원본명단!$H$3:$H$6002,원본명단!$H2563)))</f>
        <v/>
      </c>
      <c r="F2564" s="11" t="str">
        <f aca="false">IF($A2564="","",IF(원본명단!$I2563="",0,COUNTIF(원본명단!$I$3:$I$6002,원본명단!$I2563)))</f>
        <v/>
      </c>
      <c r="G2564" s="11" t="str">
        <f aca="false">IF($A2564="","",IF(원본명단!$K2563="",0,COUNTIF(원본명단!$K$3:$K$6002,원본명단!$K2563)))</f>
        <v/>
      </c>
      <c r="H2564" s="11" t="str">
        <f aca="false">IF($A2564="","",IF(MAX($E2564,$F2564,$G2564)&gt;1,"중복","-"))</f>
        <v/>
      </c>
      <c r="I2564" s="11" t="str">
        <f aca="false">IF($A2564="","",IF($H2564="-","-",IF(AND(IF(원본명단!$H2563="",TRUE(),COUNTIF(원본명단!$H$3:$H2563,원본명단!$H2563)=1),IF(원본명단!$I2563="",TRUE(),COUNTIF(원본명단!$I$3:$I2563,원본명단!$I2563)=1),IF(원본명단!$K2563="",TRUE(),COUNTIF(원본명단!$K$3:$K2563,원본명단!$K2563)=1)),"첫 건","중복 건")))</f>
        <v/>
      </c>
      <c r="J2564" s="11" t="str">
        <f aca="false">IF($A2564="","",IF($H2564="-","유지",IF($I2564="첫 건","유지","확인 필요")))</f>
        <v/>
      </c>
    </row>
    <row r="2565" customFormat="false" ht="15" hidden="false" customHeight="true" outlineLevel="0" collapsed="false">
      <c r="A2565" s="11" t="str">
        <f aca="false">IF(원본명단!$A2564="","",2562)</f>
        <v/>
      </c>
      <c r="B2565" s="12" t="str">
        <f aca="false">IF($A2565="","",원본명단!$A2564)</f>
        <v/>
      </c>
      <c r="C2565" s="12" t="str">
        <f aca="false">IF($A2565="","",원본명단!$B2564)</f>
        <v/>
      </c>
      <c r="D2565" s="12" t="str">
        <f aca="false">IF($A2565="","",원본명단!$D2564)</f>
        <v/>
      </c>
      <c r="E2565" s="11" t="str">
        <f aca="false">IF($A2565="","",IF(원본명단!$H2564="",0,COUNTIF(원본명단!$H$3:$H$6002,원본명단!$H2564)))</f>
        <v/>
      </c>
      <c r="F2565" s="11" t="str">
        <f aca="false">IF($A2565="","",IF(원본명단!$I2564="",0,COUNTIF(원본명단!$I$3:$I$6002,원본명단!$I2564)))</f>
        <v/>
      </c>
      <c r="G2565" s="11" t="str">
        <f aca="false">IF($A2565="","",IF(원본명단!$K2564="",0,COUNTIF(원본명단!$K$3:$K$6002,원본명단!$K2564)))</f>
        <v/>
      </c>
      <c r="H2565" s="11" t="str">
        <f aca="false">IF($A2565="","",IF(MAX($E2565,$F2565,$G2565)&gt;1,"중복","-"))</f>
        <v/>
      </c>
      <c r="I2565" s="11" t="str">
        <f aca="false">IF($A2565="","",IF($H2565="-","-",IF(AND(IF(원본명단!$H2564="",TRUE(),COUNTIF(원본명단!$H$3:$H2564,원본명단!$H2564)=1),IF(원본명단!$I2564="",TRUE(),COUNTIF(원본명단!$I$3:$I2564,원본명단!$I2564)=1),IF(원본명단!$K2564="",TRUE(),COUNTIF(원본명단!$K$3:$K2564,원본명단!$K2564)=1)),"첫 건","중복 건")))</f>
        <v/>
      </c>
      <c r="J2565" s="11" t="str">
        <f aca="false">IF($A2565="","",IF($H2565="-","유지",IF($I2565="첫 건","유지","확인 필요")))</f>
        <v/>
      </c>
    </row>
    <row r="2566" customFormat="false" ht="15" hidden="false" customHeight="true" outlineLevel="0" collapsed="false">
      <c r="A2566" s="11" t="str">
        <f aca="false">IF(원본명단!$A2565="","",2563)</f>
        <v/>
      </c>
      <c r="B2566" s="12" t="str">
        <f aca="false">IF($A2566="","",원본명단!$A2565)</f>
        <v/>
      </c>
      <c r="C2566" s="12" t="str">
        <f aca="false">IF($A2566="","",원본명단!$B2565)</f>
        <v/>
      </c>
      <c r="D2566" s="12" t="str">
        <f aca="false">IF($A2566="","",원본명단!$D2565)</f>
        <v/>
      </c>
      <c r="E2566" s="11" t="str">
        <f aca="false">IF($A2566="","",IF(원본명단!$H2565="",0,COUNTIF(원본명단!$H$3:$H$6002,원본명단!$H2565)))</f>
        <v/>
      </c>
      <c r="F2566" s="11" t="str">
        <f aca="false">IF($A2566="","",IF(원본명단!$I2565="",0,COUNTIF(원본명단!$I$3:$I$6002,원본명단!$I2565)))</f>
        <v/>
      </c>
      <c r="G2566" s="11" t="str">
        <f aca="false">IF($A2566="","",IF(원본명단!$K2565="",0,COUNTIF(원본명단!$K$3:$K$6002,원본명단!$K2565)))</f>
        <v/>
      </c>
      <c r="H2566" s="11" t="str">
        <f aca="false">IF($A2566="","",IF(MAX($E2566,$F2566,$G2566)&gt;1,"중복","-"))</f>
        <v/>
      </c>
      <c r="I2566" s="11" t="str">
        <f aca="false">IF($A2566="","",IF($H2566="-","-",IF(AND(IF(원본명단!$H2565="",TRUE(),COUNTIF(원본명단!$H$3:$H2565,원본명단!$H2565)=1),IF(원본명단!$I2565="",TRUE(),COUNTIF(원본명단!$I$3:$I2565,원본명단!$I2565)=1),IF(원본명단!$K2565="",TRUE(),COUNTIF(원본명단!$K$3:$K2565,원본명단!$K2565)=1)),"첫 건","중복 건")))</f>
        <v/>
      </c>
      <c r="J2566" s="11" t="str">
        <f aca="false">IF($A2566="","",IF($H2566="-","유지",IF($I2566="첫 건","유지","확인 필요")))</f>
        <v/>
      </c>
    </row>
    <row r="2567" customFormat="false" ht="15" hidden="false" customHeight="true" outlineLevel="0" collapsed="false">
      <c r="A2567" s="11" t="str">
        <f aca="false">IF(원본명단!$A2566="","",2564)</f>
        <v/>
      </c>
      <c r="B2567" s="12" t="str">
        <f aca="false">IF($A2567="","",원본명단!$A2566)</f>
        <v/>
      </c>
      <c r="C2567" s="12" t="str">
        <f aca="false">IF($A2567="","",원본명단!$B2566)</f>
        <v/>
      </c>
      <c r="D2567" s="12" t="str">
        <f aca="false">IF($A2567="","",원본명단!$D2566)</f>
        <v/>
      </c>
      <c r="E2567" s="11" t="str">
        <f aca="false">IF($A2567="","",IF(원본명단!$H2566="",0,COUNTIF(원본명단!$H$3:$H$6002,원본명단!$H2566)))</f>
        <v/>
      </c>
      <c r="F2567" s="11" t="str">
        <f aca="false">IF($A2567="","",IF(원본명단!$I2566="",0,COUNTIF(원본명단!$I$3:$I$6002,원본명단!$I2566)))</f>
        <v/>
      </c>
      <c r="G2567" s="11" t="str">
        <f aca="false">IF($A2567="","",IF(원본명단!$K2566="",0,COUNTIF(원본명단!$K$3:$K$6002,원본명단!$K2566)))</f>
        <v/>
      </c>
      <c r="H2567" s="11" t="str">
        <f aca="false">IF($A2567="","",IF(MAX($E2567,$F2567,$G2567)&gt;1,"중복","-"))</f>
        <v/>
      </c>
      <c r="I2567" s="11" t="str">
        <f aca="false">IF($A2567="","",IF($H2567="-","-",IF(AND(IF(원본명단!$H2566="",TRUE(),COUNTIF(원본명단!$H$3:$H2566,원본명단!$H2566)=1),IF(원본명단!$I2566="",TRUE(),COUNTIF(원본명단!$I$3:$I2566,원본명단!$I2566)=1),IF(원본명단!$K2566="",TRUE(),COUNTIF(원본명단!$K$3:$K2566,원본명단!$K2566)=1)),"첫 건","중복 건")))</f>
        <v/>
      </c>
      <c r="J2567" s="11" t="str">
        <f aca="false">IF($A2567="","",IF($H2567="-","유지",IF($I2567="첫 건","유지","확인 필요")))</f>
        <v/>
      </c>
    </row>
    <row r="2568" customFormat="false" ht="15" hidden="false" customHeight="true" outlineLevel="0" collapsed="false">
      <c r="A2568" s="11" t="str">
        <f aca="false">IF(원본명단!$A2567="","",2565)</f>
        <v/>
      </c>
      <c r="B2568" s="12" t="str">
        <f aca="false">IF($A2568="","",원본명단!$A2567)</f>
        <v/>
      </c>
      <c r="C2568" s="12" t="str">
        <f aca="false">IF($A2568="","",원본명단!$B2567)</f>
        <v/>
      </c>
      <c r="D2568" s="12" t="str">
        <f aca="false">IF($A2568="","",원본명단!$D2567)</f>
        <v/>
      </c>
      <c r="E2568" s="11" t="str">
        <f aca="false">IF($A2568="","",IF(원본명단!$H2567="",0,COUNTIF(원본명단!$H$3:$H$6002,원본명단!$H2567)))</f>
        <v/>
      </c>
      <c r="F2568" s="11" t="str">
        <f aca="false">IF($A2568="","",IF(원본명단!$I2567="",0,COUNTIF(원본명단!$I$3:$I$6002,원본명단!$I2567)))</f>
        <v/>
      </c>
      <c r="G2568" s="11" t="str">
        <f aca="false">IF($A2568="","",IF(원본명단!$K2567="",0,COUNTIF(원본명단!$K$3:$K$6002,원본명단!$K2567)))</f>
        <v/>
      </c>
      <c r="H2568" s="11" t="str">
        <f aca="false">IF($A2568="","",IF(MAX($E2568,$F2568,$G2568)&gt;1,"중복","-"))</f>
        <v/>
      </c>
      <c r="I2568" s="11" t="str">
        <f aca="false">IF($A2568="","",IF($H2568="-","-",IF(AND(IF(원본명단!$H2567="",TRUE(),COUNTIF(원본명단!$H$3:$H2567,원본명단!$H2567)=1),IF(원본명단!$I2567="",TRUE(),COUNTIF(원본명단!$I$3:$I2567,원본명단!$I2567)=1),IF(원본명단!$K2567="",TRUE(),COUNTIF(원본명단!$K$3:$K2567,원본명단!$K2567)=1)),"첫 건","중복 건")))</f>
        <v/>
      </c>
      <c r="J2568" s="11" t="str">
        <f aca="false">IF($A2568="","",IF($H2568="-","유지",IF($I2568="첫 건","유지","확인 필요")))</f>
        <v/>
      </c>
    </row>
    <row r="2569" customFormat="false" ht="15" hidden="false" customHeight="true" outlineLevel="0" collapsed="false">
      <c r="A2569" s="11" t="str">
        <f aca="false">IF(원본명단!$A2568="","",2566)</f>
        <v/>
      </c>
      <c r="B2569" s="12" t="str">
        <f aca="false">IF($A2569="","",원본명단!$A2568)</f>
        <v/>
      </c>
      <c r="C2569" s="12" t="str">
        <f aca="false">IF($A2569="","",원본명단!$B2568)</f>
        <v/>
      </c>
      <c r="D2569" s="12" t="str">
        <f aca="false">IF($A2569="","",원본명단!$D2568)</f>
        <v/>
      </c>
      <c r="E2569" s="11" t="str">
        <f aca="false">IF($A2569="","",IF(원본명단!$H2568="",0,COUNTIF(원본명단!$H$3:$H$6002,원본명단!$H2568)))</f>
        <v/>
      </c>
      <c r="F2569" s="11" t="str">
        <f aca="false">IF($A2569="","",IF(원본명단!$I2568="",0,COUNTIF(원본명단!$I$3:$I$6002,원본명단!$I2568)))</f>
        <v/>
      </c>
      <c r="G2569" s="11" t="str">
        <f aca="false">IF($A2569="","",IF(원본명단!$K2568="",0,COUNTIF(원본명단!$K$3:$K$6002,원본명단!$K2568)))</f>
        <v/>
      </c>
      <c r="H2569" s="11" t="str">
        <f aca="false">IF($A2569="","",IF(MAX($E2569,$F2569,$G2569)&gt;1,"중복","-"))</f>
        <v/>
      </c>
      <c r="I2569" s="11" t="str">
        <f aca="false">IF($A2569="","",IF($H2569="-","-",IF(AND(IF(원본명단!$H2568="",TRUE(),COUNTIF(원본명단!$H$3:$H2568,원본명단!$H2568)=1),IF(원본명단!$I2568="",TRUE(),COUNTIF(원본명단!$I$3:$I2568,원본명단!$I2568)=1),IF(원본명단!$K2568="",TRUE(),COUNTIF(원본명단!$K$3:$K2568,원본명단!$K2568)=1)),"첫 건","중복 건")))</f>
        <v/>
      </c>
      <c r="J2569" s="11" t="str">
        <f aca="false">IF($A2569="","",IF($H2569="-","유지",IF($I2569="첫 건","유지","확인 필요")))</f>
        <v/>
      </c>
    </row>
    <row r="2570" customFormat="false" ht="15" hidden="false" customHeight="true" outlineLevel="0" collapsed="false">
      <c r="A2570" s="11" t="str">
        <f aca="false">IF(원본명단!$A2569="","",2567)</f>
        <v/>
      </c>
      <c r="B2570" s="12" t="str">
        <f aca="false">IF($A2570="","",원본명단!$A2569)</f>
        <v/>
      </c>
      <c r="C2570" s="12" t="str">
        <f aca="false">IF($A2570="","",원본명단!$B2569)</f>
        <v/>
      </c>
      <c r="D2570" s="12" t="str">
        <f aca="false">IF($A2570="","",원본명단!$D2569)</f>
        <v/>
      </c>
      <c r="E2570" s="11" t="str">
        <f aca="false">IF($A2570="","",IF(원본명단!$H2569="",0,COUNTIF(원본명단!$H$3:$H$6002,원본명단!$H2569)))</f>
        <v/>
      </c>
      <c r="F2570" s="11" t="str">
        <f aca="false">IF($A2570="","",IF(원본명단!$I2569="",0,COUNTIF(원본명단!$I$3:$I$6002,원본명단!$I2569)))</f>
        <v/>
      </c>
      <c r="G2570" s="11" t="str">
        <f aca="false">IF($A2570="","",IF(원본명단!$K2569="",0,COUNTIF(원본명단!$K$3:$K$6002,원본명단!$K2569)))</f>
        <v/>
      </c>
      <c r="H2570" s="11" t="str">
        <f aca="false">IF($A2570="","",IF(MAX($E2570,$F2570,$G2570)&gt;1,"중복","-"))</f>
        <v/>
      </c>
      <c r="I2570" s="11" t="str">
        <f aca="false">IF($A2570="","",IF($H2570="-","-",IF(AND(IF(원본명단!$H2569="",TRUE(),COUNTIF(원본명단!$H$3:$H2569,원본명단!$H2569)=1),IF(원본명단!$I2569="",TRUE(),COUNTIF(원본명단!$I$3:$I2569,원본명단!$I2569)=1),IF(원본명단!$K2569="",TRUE(),COUNTIF(원본명단!$K$3:$K2569,원본명단!$K2569)=1)),"첫 건","중복 건")))</f>
        <v/>
      </c>
      <c r="J2570" s="11" t="str">
        <f aca="false">IF($A2570="","",IF($H2570="-","유지",IF($I2570="첫 건","유지","확인 필요")))</f>
        <v/>
      </c>
    </row>
    <row r="2571" customFormat="false" ht="15" hidden="false" customHeight="true" outlineLevel="0" collapsed="false">
      <c r="A2571" s="11" t="str">
        <f aca="false">IF(원본명단!$A2570="","",2568)</f>
        <v/>
      </c>
      <c r="B2571" s="12" t="str">
        <f aca="false">IF($A2571="","",원본명단!$A2570)</f>
        <v/>
      </c>
      <c r="C2571" s="12" t="str">
        <f aca="false">IF($A2571="","",원본명단!$B2570)</f>
        <v/>
      </c>
      <c r="D2571" s="12" t="str">
        <f aca="false">IF($A2571="","",원본명단!$D2570)</f>
        <v/>
      </c>
      <c r="E2571" s="11" t="str">
        <f aca="false">IF($A2571="","",IF(원본명단!$H2570="",0,COUNTIF(원본명단!$H$3:$H$6002,원본명단!$H2570)))</f>
        <v/>
      </c>
      <c r="F2571" s="11" t="str">
        <f aca="false">IF($A2571="","",IF(원본명단!$I2570="",0,COUNTIF(원본명단!$I$3:$I$6002,원본명단!$I2570)))</f>
        <v/>
      </c>
      <c r="G2571" s="11" t="str">
        <f aca="false">IF($A2571="","",IF(원본명단!$K2570="",0,COUNTIF(원본명단!$K$3:$K$6002,원본명단!$K2570)))</f>
        <v/>
      </c>
      <c r="H2571" s="11" t="str">
        <f aca="false">IF($A2571="","",IF(MAX($E2571,$F2571,$G2571)&gt;1,"중복","-"))</f>
        <v/>
      </c>
      <c r="I2571" s="11" t="str">
        <f aca="false">IF($A2571="","",IF($H2571="-","-",IF(AND(IF(원본명단!$H2570="",TRUE(),COUNTIF(원본명단!$H$3:$H2570,원본명단!$H2570)=1),IF(원본명단!$I2570="",TRUE(),COUNTIF(원본명단!$I$3:$I2570,원본명단!$I2570)=1),IF(원본명단!$K2570="",TRUE(),COUNTIF(원본명단!$K$3:$K2570,원본명단!$K2570)=1)),"첫 건","중복 건")))</f>
        <v/>
      </c>
      <c r="J2571" s="11" t="str">
        <f aca="false">IF($A2571="","",IF($H2571="-","유지",IF($I2571="첫 건","유지","확인 필요")))</f>
        <v/>
      </c>
    </row>
    <row r="2572" customFormat="false" ht="15" hidden="false" customHeight="true" outlineLevel="0" collapsed="false">
      <c r="A2572" s="11" t="str">
        <f aca="false">IF(원본명단!$A2571="","",2569)</f>
        <v/>
      </c>
      <c r="B2572" s="12" t="str">
        <f aca="false">IF($A2572="","",원본명단!$A2571)</f>
        <v/>
      </c>
      <c r="C2572" s="12" t="str">
        <f aca="false">IF($A2572="","",원본명단!$B2571)</f>
        <v/>
      </c>
      <c r="D2572" s="12" t="str">
        <f aca="false">IF($A2572="","",원본명단!$D2571)</f>
        <v/>
      </c>
      <c r="E2572" s="11" t="str">
        <f aca="false">IF($A2572="","",IF(원본명단!$H2571="",0,COUNTIF(원본명단!$H$3:$H$6002,원본명단!$H2571)))</f>
        <v/>
      </c>
      <c r="F2572" s="11" t="str">
        <f aca="false">IF($A2572="","",IF(원본명단!$I2571="",0,COUNTIF(원본명단!$I$3:$I$6002,원본명단!$I2571)))</f>
        <v/>
      </c>
      <c r="G2572" s="11" t="str">
        <f aca="false">IF($A2572="","",IF(원본명단!$K2571="",0,COUNTIF(원본명단!$K$3:$K$6002,원본명단!$K2571)))</f>
        <v/>
      </c>
      <c r="H2572" s="11" t="str">
        <f aca="false">IF($A2572="","",IF(MAX($E2572,$F2572,$G2572)&gt;1,"중복","-"))</f>
        <v/>
      </c>
      <c r="I2572" s="11" t="str">
        <f aca="false">IF($A2572="","",IF($H2572="-","-",IF(AND(IF(원본명단!$H2571="",TRUE(),COUNTIF(원본명단!$H$3:$H2571,원본명단!$H2571)=1),IF(원본명단!$I2571="",TRUE(),COUNTIF(원본명단!$I$3:$I2571,원본명단!$I2571)=1),IF(원본명단!$K2571="",TRUE(),COUNTIF(원본명단!$K$3:$K2571,원본명단!$K2571)=1)),"첫 건","중복 건")))</f>
        <v/>
      </c>
      <c r="J2572" s="11" t="str">
        <f aca="false">IF($A2572="","",IF($H2572="-","유지",IF($I2572="첫 건","유지","확인 필요")))</f>
        <v/>
      </c>
    </row>
    <row r="2573" customFormat="false" ht="15" hidden="false" customHeight="true" outlineLevel="0" collapsed="false">
      <c r="A2573" s="11" t="str">
        <f aca="false">IF(원본명단!$A2572="","",2570)</f>
        <v/>
      </c>
      <c r="B2573" s="12" t="str">
        <f aca="false">IF($A2573="","",원본명단!$A2572)</f>
        <v/>
      </c>
      <c r="C2573" s="12" t="str">
        <f aca="false">IF($A2573="","",원본명단!$B2572)</f>
        <v/>
      </c>
      <c r="D2573" s="12" t="str">
        <f aca="false">IF($A2573="","",원본명단!$D2572)</f>
        <v/>
      </c>
      <c r="E2573" s="11" t="str">
        <f aca="false">IF($A2573="","",IF(원본명단!$H2572="",0,COUNTIF(원본명단!$H$3:$H$6002,원본명단!$H2572)))</f>
        <v/>
      </c>
      <c r="F2573" s="11" t="str">
        <f aca="false">IF($A2573="","",IF(원본명단!$I2572="",0,COUNTIF(원본명단!$I$3:$I$6002,원본명단!$I2572)))</f>
        <v/>
      </c>
      <c r="G2573" s="11" t="str">
        <f aca="false">IF($A2573="","",IF(원본명단!$K2572="",0,COUNTIF(원본명단!$K$3:$K$6002,원본명단!$K2572)))</f>
        <v/>
      </c>
      <c r="H2573" s="11" t="str">
        <f aca="false">IF($A2573="","",IF(MAX($E2573,$F2573,$G2573)&gt;1,"중복","-"))</f>
        <v/>
      </c>
      <c r="I2573" s="11" t="str">
        <f aca="false">IF($A2573="","",IF($H2573="-","-",IF(AND(IF(원본명단!$H2572="",TRUE(),COUNTIF(원본명단!$H$3:$H2572,원본명단!$H2572)=1),IF(원본명단!$I2572="",TRUE(),COUNTIF(원본명단!$I$3:$I2572,원본명단!$I2572)=1),IF(원본명단!$K2572="",TRUE(),COUNTIF(원본명단!$K$3:$K2572,원본명단!$K2572)=1)),"첫 건","중복 건")))</f>
        <v/>
      </c>
      <c r="J2573" s="11" t="str">
        <f aca="false">IF($A2573="","",IF($H2573="-","유지",IF($I2573="첫 건","유지","확인 필요")))</f>
        <v/>
      </c>
    </row>
    <row r="2574" customFormat="false" ht="15" hidden="false" customHeight="true" outlineLevel="0" collapsed="false">
      <c r="A2574" s="11" t="str">
        <f aca="false">IF(원본명단!$A2573="","",2571)</f>
        <v/>
      </c>
      <c r="B2574" s="12" t="str">
        <f aca="false">IF($A2574="","",원본명단!$A2573)</f>
        <v/>
      </c>
      <c r="C2574" s="12" t="str">
        <f aca="false">IF($A2574="","",원본명단!$B2573)</f>
        <v/>
      </c>
      <c r="D2574" s="12" t="str">
        <f aca="false">IF($A2574="","",원본명단!$D2573)</f>
        <v/>
      </c>
      <c r="E2574" s="11" t="str">
        <f aca="false">IF($A2574="","",IF(원본명단!$H2573="",0,COUNTIF(원본명단!$H$3:$H$6002,원본명단!$H2573)))</f>
        <v/>
      </c>
      <c r="F2574" s="11" t="str">
        <f aca="false">IF($A2574="","",IF(원본명단!$I2573="",0,COUNTIF(원본명단!$I$3:$I$6002,원본명단!$I2573)))</f>
        <v/>
      </c>
      <c r="G2574" s="11" t="str">
        <f aca="false">IF($A2574="","",IF(원본명단!$K2573="",0,COUNTIF(원본명단!$K$3:$K$6002,원본명단!$K2573)))</f>
        <v/>
      </c>
      <c r="H2574" s="11" t="str">
        <f aca="false">IF($A2574="","",IF(MAX($E2574,$F2574,$G2574)&gt;1,"중복","-"))</f>
        <v/>
      </c>
      <c r="I2574" s="11" t="str">
        <f aca="false">IF($A2574="","",IF($H2574="-","-",IF(AND(IF(원본명단!$H2573="",TRUE(),COUNTIF(원본명단!$H$3:$H2573,원본명단!$H2573)=1),IF(원본명단!$I2573="",TRUE(),COUNTIF(원본명단!$I$3:$I2573,원본명단!$I2573)=1),IF(원본명단!$K2573="",TRUE(),COUNTIF(원본명단!$K$3:$K2573,원본명단!$K2573)=1)),"첫 건","중복 건")))</f>
        <v/>
      </c>
      <c r="J2574" s="11" t="str">
        <f aca="false">IF($A2574="","",IF($H2574="-","유지",IF($I2574="첫 건","유지","확인 필요")))</f>
        <v/>
      </c>
    </row>
    <row r="2575" customFormat="false" ht="15" hidden="false" customHeight="true" outlineLevel="0" collapsed="false">
      <c r="A2575" s="11" t="str">
        <f aca="false">IF(원본명단!$A2574="","",2572)</f>
        <v/>
      </c>
      <c r="B2575" s="12" t="str">
        <f aca="false">IF($A2575="","",원본명단!$A2574)</f>
        <v/>
      </c>
      <c r="C2575" s="12" t="str">
        <f aca="false">IF($A2575="","",원본명단!$B2574)</f>
        <v/>
      </c>
      <c r="D2575" s="12" t="str">
        <f aca="false">IF($A2575="","",원본명단!$D2574)</f>
        <v/>
      </c>
      <c r="E2575" s="11" t="str">
        <f aca="false">IF($A2575="","",IF(원본명단!$H2574="",0,COUNTIF(원본명단!$H$3:$H$6002,원본명단!$H2574)))</f>
        <v/>
      </c>
      <c r="F2575" s="11" t="str">
        <f aca="false">IF($A2575="","",IF(원본명단!$I2574="",0,COUNTIF(원본명단!$I$3:$I$6002,원본명단!$I2574)))</f>
        <v/>
      </c>
      <c r="G2575" s="11" t="str">
        <f aca="false">IF($A2575="","",IF(원본명단!$K2574="",0,COUNTIF(원본명단!$K$3:$K$6002,원본명단!$K2574)))</f>
        <v/>
      </c>
      <c r="H2575" s="11" t="str">
        <f aca="false">IF($A2575="","",IF(MAX($E2575,$F2575,$G2575)&gt;1,"중복","-"))</f>
        <v/>
      </c>
      <c r="I2575" s="11" t="str">
        <f aca="false">IF($A2575="","",IF($H2575="-","-",IF(AND(IF(원본명단!$H2574="",TRUE(),COUNTIF(원본명단!$H$3:$H2574,원본명단!$H2574)=1),IF(원본명단!$I2574="",TRUE(),COUNTIF(원본명단!$I$3:$I2574,원본명단!$I2574)=1),IF(원본명단!$K2574="",TRUE(),COUNTIF(원본명단!$K$3:$K2574,원본명단!$K2574)=1)),"첫 건","중복 건")))</f>
        <v/>
      </c>
      <c r="J2575" s="11" t="str">
        <f aca="false">IF($A2575="","",IF($H2575="-","유지",IF($I2575="첫 건","유지","확인 필요")))</f>
        <v/>
      </c>
    </row>
    <row r="2576" customFormat="false" ht="15" hidden="false" customHeight="true" outlineLevel="0" collapsed="false">
      <c r="A2576" s="11" t="str">
        <f aca="false">IF(원본명단!$A2575="","",2573)</f>
        <v/>
      </c>
      <c r="B2576" s="12" t="str">
        <f aca="false">IF($A2576="","",원본명단!$A2575)</f>
        <v/>
      </c>
      <c r="C2576" s="12" t="str">
        <f aca="false">IF($A2576="","",원본명단!$B2575)</f>
        <v/>
      </c>
      <c r="D2576" s="12" t="str">
        <f aca="false">IF($A2576="","",원본명단!$D2575)</f>
        <v/>
      </c>
      <c r="E2576" s="11" t="str">
        <f aca="false">IF($A2576="","",IF(원본명단!$H2575="",0,COUNTIF(원본명단!$H$3:$H$6002,원본명단!$H2575)))</f>
        <v/>
      </c>
      <c r="F2576" s="11" t="str">
        <f aca="false">IF($A2576="","",IF(원본명단!$I2575="",0,COUNTIF(원본명단!$I$3:$I$6002,원본명단!$I2575)))</f>
        <v/>
      </c>
      <c r="G2576" s="11" t="str">
        <f aca="false">IF($A2576="","",IF(원본명단!$K2575="",0,COUNTIF(원본명단!$K$3:$K$6002,원본명단!$K2575)))</f>
        <v/>
      </c>
      <c r="H2576" s="11" t="str">
        <f aca="false">IF($A2576="","",IF(MAX($E2576,$F2576,$G2576)&gt;1,"중복","-"))</f>
        <v/>
      </c>
      <c r="I2576" s="11" t="str">
        <f aca="false">IF($A2576="","",IF($H2576="-","-",IF(AND(IF(원본명단!$H2575="",TRUE(),COUNTIF(원본명단!$H$3:$H2575,원본명단!$H2575)=1),IF(원본명단!$I2575="",TRUE(),COUNTIF(원본명단!$I$3:$I2575,원본명단!$I2575)=1),IF(원본명단!$K2575="",TRUE(),COUNTIF(원본명단!$K$3:$K2575,원본명단!$K2575)=1)),"첫 건","중복 건")))</f>
        <v/>
      </c>
      <c r="J2576" s="11" t="str">
        <f aca="false">IF($A2576="","",IF($H2576="-","유지",IF($I2576="첫 건","유지","확인 필요")))</f>
        <v/>
      </c>
    </row>
    <row r="2577" customFormat="false" ht="15" hidden="false" customHeight="true" outlineLevel="0" collapsed="false">
      <c r="A2577" s="11" t="str">
        <f aca="false">IF(원본명단!$A2576="","",2574)</f>
        <v/>
      </c>
      <c r="B2577" s="12" t="str">
        <f aca="false">IF($A2577="","",원본명단!$A2576)</f>
        <v/>
      </c>
      <c r="C2577" s="12" t="str">
        <f aca="false">IF($A2577="","",원본명단!$B2576)</f>
        <v/>
      </c>
      <c r="D2577" s="12" t="str">
        <f aca="false">IF($A2577="","",원본명단!$D2576)</f>
        <v/>
      </c>
      <c r="E2577" s="11" t="str">
        <f aca="false">IF($A2577="","",IF(원본명단!$H2576="",0,COUNTIF(원본명단!$H$3:$H$6002,원본명단!$H2576)))</f>
        <v/>
      </c>
      <c r="F2577" s="11" t="str">
        <f aca="false">IF($A2577="","",IF(원본명단!$I2576="",0,COUNTIF(원본명단!$I$3:$I$6002,원본명단!$I2576)))</f>
        <v/>
      </c>
      <c r="G2577" s="11" t="str">
        <f aca="false">IF($A2577="","",IF(원본명단!$K2576="",0,COUNTIF(원본명단!$K$3:$K$6002,원본명단!$K2576)))</f>
        <v/>
      </c>
      <c r="H2577" s="11" t="str">
        <f aca="false">IF($A2577="","",IF(MAX($E2577,$F2577,$G2577)&gt;1,"중복","-"))</f>
        <v/>
      </c>
      <c r="I2577" s="11" t="str">
        <f aca="false">IF($A2577="","",IF($H2577="-","-",IF(AND(IF(원본명단!$H2576="",TRUE(),COUNTIF(원본명단!$H$3:$H2576,원본명단!$H2576)=1),IF(원본명단!$I2576="",TRUE(),COUNTIF(원본명단!$I$3:$I2576,원본명단!$I2576)=1),IF(원본명단!$K2576="",TRUE(),COUNTIF(원본명단!$K$3:$K2576,원본명단!$K2576)=1)),"첫 건","중복 건")))</f>
        <v/>
      </c>
      <c r="J2577" s="11" t="str">
        <f aca="false">IF($A2577="","",IF($H2577="-","유지",IF($I2577="첫 건","유지","확인 필요")))</f>
        <v/>
      </c>
    </row>
    <row r="2578" customFormat="false" ht="15" hidden="false" customHeight="true" outlineLevel="0" collapsed="false">
      <c r="A2578" s="11" t="str">
        <f aca="false">IF(원본명단!$A2577="","",2575)</f>
        <v/>
      </c>
      <c r="B2578" s="12" t="str">
        <f aca="false">IF($A2578="","",원본명단!$A2577)</f>
        <v/>
      </c>
      <c r="C2578" s="12" t="str">
        <f aca="false">IF($A2578="","",원본명단!$B2577)</f>
        <v/>
      </c>
      <c r="D2578" s="12" t="str">
        <f aca="false">IF($A2578="","",원본명단!$D2577)</f>
        <v/>
      </c>
      <c r="E2578" s="11" t="str">
        <f aca="false">IF($A2578="","",IF(원본명단!$H2577="",0,COUNTIF(원본명단!$H$3:$H$6002,원본명단!$H2577)))</f>
        <v/>
      </c>
      <c r="F2578" s="11" t="str">
        <f aca="false">IF($A2578="","",IF(원본명단!$I2577="",0,COUNTIF(원본명단!$I$3:$I$6002,원본명단!$I2577)))</f>
        <v/>
      </c>
      <c r="G2578" s="11" t="str">
        <f aca="false">IF($A2578="","",IF(원본명단!$K2577="",0,COUNTIF(원본명단!$K$3:$K$6002,원본명단!$K2577)))</f>
        <v/>
      </c>
      <c r="H2578" s="11" t="str">
        <f aca="false">IF($A2578="","",IF(MAX($E2578,$F2578,$G2578)&gt;1,"중복","-"))</f>
        <v/>
      </c>
      <c r="I2578" s="11" t="str">
        <f aca="false">IF($A2578="","",IF($H2578="-","-",IF(AND(IF(원본명단!$H2577="",TRUE(),COUNTIF(원본명단!$H$3:$H2577,원본명단!$H2577)=1),IF(원본명단!$I2577="",TRUE(),COUNTIF(원본명단!$I$3:$I2577,원본명단!$I2577)=1),IF(원본명단!$K2577="",TRUE(),COUNTIF(원본명단!$K$3:$K2577,원본명단!$K2577)=1)),"첫 건","중복 건")))</f>
        <v/>
      </c>
      <c r="J2578" s="11" t="str">
        <f aca="false">IF($A2578="","",IF($H2578="-","유지",IF($I2578="첫 건","유지","확인 필요")))</f>
        <v/>
      </c>
    </row>
    <row r="2579" customFormat="false" ht="15" hidden="false" customHeight="true" outlineLevel="0" collapsed="false">
      <c r="A2579" s="11" t="str">
        <f aca="false">IF(원본명단!$A2578="","",2576)</f>
        <v/>
      </c>
      <c r="B2579" s="12" t="str">
        <f aca="false">IF($A2579="","",원본명단!$A2578)</f>
        <v/>
      </c>
      <c r="C2579" s="12" t="str">
        <f aca="false">IF($A2579="","",원본명단!$B2578)</f>
        <v/>
      </c>
      <c r="D2579" s="12" t="str">
        <f aca="false">IF($A2579="","",원본명단!$D2578)</f>
        <v/>
      </c>
      <c r="E2579" s="11" t="str">
        <f aca="false">IF($A2579="","",IF(원본명단!$H2578="",0,COUNTIF(원본명단!$H$3:$H$6002,원본명단!$H2578)))</f>
        <v/>
      </c>
      <c r="F2579" s="11" t="str">
        <f aca="false">IF($A2579="","",IF(원본명단!$I2578="",0,COUNTIF(원본명단!$I$3:$I$6002,원본명단!$I2578)))</f>
        <v/>
      </c>
      <c r="G2579" s="11" t="str">
        <f aca="false">IF($A2579="","",IF(원본명단!$K2578="",0,COUNTIF(원본명단!$K$3:$K$6002,원본명단!$K2578)))</f>
        <v/>
      </c>
      <c r="H2579" s="11" t="str">
        <f aca="false">IF($A2579="","",IF(MAX($E2579,$F2579,$G2579)&gt;1,"중복","-"))</f>
        <v/>
      </c>
      <c r="I2579" s="11" t="str">
        <f aca="false">IF($A2579="","",IF($H2579="-","-",IF(AND(IF(원본명단!$H2578="",TRUE(),COUNTIF(원본명단!$H$3:$H2578,원본명단!$H2578)=1),IF(원본명단!$I2578="",TRUE(),COUNTIF(원본명단!$I$3:$I2578,원본명단!$I2578)=1),IF(원본명단!$K2578="",TRUE(),COUNTIF(원본명단!$K$3:$K2578,원본명단!$K2578)=1)),"첫 건","중복 건")))</f>
        <v/>
      </c>
      <c r="J2579" s="11" t="str">
        <f aca="false">IF($A2579="","",IF($H2579="-","유지",IF($I2579="첫 건","유지","확인 필요")))</f>
        <v/>
      </c>
    </row>
    <row r="2580" customFormat="false" ht="15" hidden="false" customHeight="true" outlineLevel="0" collapsed="false">
      <c r="A2580" s="11" t="str">
        <f aca="false">IF(원본명단!$A2579="","",2577)</f>
        <v/>
      </c>
      <c r="B2580" s="12" t="str">
        <f aca="false">IF($A2580="","",원본명단!$A2579)</f>
        <v/>
      </c>
      <c r="C2580" s="12" t="str">
        <f aca="false">IF($A2580="","",원본명단!$B2579)</f>
        <v/>
      </c>
      <c r="D2580" s="12" t="str">
        <f aca="false">IF($A2580="","",원본명단!$D2579)</f>
        <v/>
      </c>
      <c r="E2580" s="11" t="str">
        <f aca="false">IF($A2580="","",IF(원본명단!$H2579="",0,COUNTIF(원본명단!$H$3:$H$6002,원본명단!$H2579)))</f>
        <v/>
      </c>
      <c r="F2580" s="11" t="str">
        <f aca="false">IF($A2580="","",IF(원본명단!$I2579="",0,COUNTIF(원본명단!$I$3:$I$6002,원본명단!$I2579)))</f>
        <v/>
      </c>
      <c r="G2580" s="11" t="str">
        <f aca="false">IF($A2580="","",IF(원본명단!$K2579="",0,COUNTIF(원본명단!$K$3:$K$6002,원본명단!$K2579)))</f>
        <v/>
      </c>
      <c r="H2580" s="11" t="str">
        <f aca="false">IF($A2580="","",IF(MAX($E2580,$F2580,$G2580)&gt;1,"중복","-"))</f>
        <v/>
      </c>
      <c r="I2580" s="11" t="str">
        <f aca="false">IF($A2580="","",IF($H2580="-","-",IF(AND(IF(원본명단!$H2579="",TRUE(),COUNTIF(원본명단!$H$3:$H2579,원본명단!$H2579)=1),IF(원본명단!$I2579="",TRUE(),COUNTIF(원본명단!$I$3:$I2579,원본명단!$I2579)=1),IF(원본명단!$K2579="",TRUE(),COUNTIF(원본명단!$K$3:$K2579,원본명단!$K2579)=1)),"첫 건","중복 건")))</f>
        <v/>
      </c>
      <c r="J2580" s="11" t="str">
        <f aca="false">IF($A2580="","",IF($H2580="-","유지",IF($I2580="첫 건","유지","확인 필요")))</f>
        <v/>
      </c>
    </row>
    <row r="2581" customFormat="false" ht="15" hidden="false" customHeight="true" outlineLevel="0" collapsed="false">
      <c r="A2581" s="11" t="str">
        <f aca="false">IF(원본명단!$A2580="","",2578)</f>
        <v/>
      </c>
      <c r="B2581" s="12" t="str">
        <f aca="false">IF($A2581="","",원본명단!$A2580)</f>
        <v/>
      </c>
      <c r="C2581" s="12" t="str">
        <f aca="false">IF($A2581="","",원본명단!$B2580)</f>
        <v/>
      </c>
      <c r="D2581" s="12" t="str">
        <f aca="false">IF($A2581="","",원본명단!$D2580)</f>
        <v/>
      </c>
      <c r="E2581" s="11" t="str">
        <f aca="false">IF($A2581="","",IF(원본명단!$H2580="",0,COUNTIF(원본명단!$H$3:$H$6002,원본명단!$H2580)))</f>
        <v/>
      </c>
      <c r="F2581" s="11" t="str">
        <f aca="false">IF($A2581="","",IF(원본명단!$I2580="",0,COUNTIF(원본명단!$I$3:$I$6002,원본명단!$I2580)))</f>
        <v/>
      </c>
      <c r="G2581" s="11" t="str">
        <f aca="false">IF($A2581="","",IF(원본명단!$K2580="",0,COUNTIF(원본명단!$K$3:$K$6002,원본명단!$K2580)))</f>
        <v/>
      </c>
      <c r="H2581" s="11" t="str">
        <f aca="false">IF($A2581="","",IF(MAX($E2581,$F2581,$G2581)&gt;1,"중복","-"))</f>
        <v/>
      </c>
      <c r="I2581" s="11" t="str">
        <f aca="false">IF($A2581="","",IF($H2581="-","-",IF(AND(IF(원본명단!$H2580="",TRUE(),COUNTIF(원본명단!$H$3:$H2580,원본명단!$H2580)=1),IF(원본명단!$I2580="",TRUE(),COUNTIF(원본명단!$I$3:$I2580,원본명단!$I2580)=1),IF(원본명단!$K2580="",TRUE(),COUNTIF(원본명단!$K$3:$K2580,원본명단!$K2580)=1)),"첫 건","중복 건")))</f>
        <v/>
      </c>
      <c r="J2581" s="11" t="str">
        <f aca="false">IF($A2581="","",IF($H2581="-","유지",IF($I2581="첫 건","유지","확인 필요")))</f>
        <v/>
      </c>
    </row>
    <row r="2582" customFormat="false" ht="15" hidden="false" customHeight="true" outlineLevel="0" collapsed="false">
      <c r="A2582" s="11" t="str">
        <f aca="false">IF(원본명단!$A2581="","",2579)</f>
        <v/>
      </c>
      <c r="B2582" s="12" t="str">
        <f aca="false">IF($A2582="","",원본명단!$A2581)</f>
        <v/>
      </c>
      <c r="C2582" s="12" t="str">
        <f aca="false">IF($A2582="","",원본명단!$B2581)</f>
        <v/>
      </c>
      <c r="D2582" s="12" t="str">
        <f aca="false">IF($A2582="","",원본명단!$D2581)</f>
        <v/>
      </c>
      <c r="E2582" s="11" t="str">
        <f aca="false">IF($A2582="","",IF(원본명단!$H2581="",0,COUNTIF(원본명단!$H$3:$H$6002,원본명단!$H2581)))</f>
        <v/>
      </c>
      <c r="F2582" s="11" t="str">
        <f aca="false">IF($A2582="","",IF(원본명단!$I2581="",0,COUNTIF(원본명단!$I$3:$I$6002,원본명단!$I2581)))</f>
        <v/>
      </c>
      <c r="G2582" s="11" t="str">
        <f aca="false">IF($A2582="","",IF(원본명단!$K2581="",0,COUNTIF(원본명단!$K$3:$K$6002,원본명단!$K2581)))</f>
        <v/>
      </c>
      <c r="H2582" s="11" t="str">
        <f aca="false">IF($A2582="","",IF(MAX($E2582,$F2582,$G2582)&gt;1,"중복","-"))</f>
        <v/>
      </c>
      <c r="I2582" s="11" t="str">
        <f aca="false">IF($A2582="","",IF($H2582="-","-",IF(AND(IF(원본명단!$H2581="",TRUE(),COUNTIF(원본명단!$H$3:$H2581,원본명단!$H2581)=1),IF(원본명단!$I2581="",TRUE(),COUNTIF(원본명단!$I$3:$I2581,원본명단!$I2581)=1),IF(원본명단!$K2581="",TRUE(),COUNTIF(원본명단!$K$3:$K2581,원본명단!$K2581)=1)),"첫 건","중복 건")))</f>
        <v/>
      </c>
      <c r="J2582" s="11" t="str">
        <f aca="false">IF($A2582="","",IF($H2582="-","유지",IF($I2582="첫 건","유지","확인 필요")))</f>
        <v/>
      </c>
    </row>
    <row r="2583" customFormat="false" ht="15" hidden="false" customHeight="true" outlineLevel="0" collapsed="false">
      <c r="A2583" s="11" t="str">
        <f aca="false">IF(원본명단!$A2582="","",2580)</f>
        <v/>
      </c>
      <c r="B2583" s="12" t="str">
        <f aca="false">IF($A2583="","",원본명단!$A2582)</f>
        <v/>
      </c>
      <c r="C2583" s="12" t="str">
        <f aca="false">IF($A2583="","",원본명단!$B2582)</f>
        <v/>
      </c>
      <c r="D2583" s="12" t="str">
        <f aca="false">IF($A2583="","",원본명단!$D2582)</f>
        <v/>
      </c>
      <c r="E2583" s="11" t="str">
        <f aca="false">IF($A2583="","",IF(원본명단!$H2582="",0,COUNTIF(원본명단!$H$3:$H$6002,원본명단!$H2582)))</f>
        <v/>
      </c>
      <c r="F2583" s="11" t="str">
        <f aca="false">IF($A2583="","",IF(원본명단!$I2582="",0,COUNTIF(원본명단!$I$3:$I$6002,원본명단!$I2582)))</f>
        <v/>
      </c>
      <c r="G2583" s="11" t="str">
        <f aca="false">IF($A2583="","",IF(원본명단!$K2582="",0,COUNTIF(원본명단!$K$3:$K$6002,원본명단!$K2582)))</f>
        <v/>
      </c>
      <c r="H2583" s="11" t="str">
        <f aca="false">IF($A2583="","",IF(MAX($E2583,$F2583,$G2583)&gt;1,"중복","-"))</f>
        <v/>
      </c>
      <c r="I2583" s="11" t="str">
        <f aca="false">IF($A2583="","",IF($H2583="-","-",IF(AND(IF(원본명단!$H2582="",TRUE(),COUNTIF(원본명단!$H$3:$H2582,원본명단!$H2582)=1),IF(원본명단!$I2582="",TRUE(),COUNTIF(원본명단!$I$3:$I2582,원본명단!$I2582)=1),IF(원본명단!$K2582="",TRUE(),COUNTIF(원본명단!$K$3:$K2582,원본명단!$K2582)=1)),"첫 건","중복 건")))</f>
        <v/>
      </c>
      <c r="J2583" s="11" t="str">
        <f aca="false">IF($A2583="","",IF($H2583="-","유지",IF($I2583="첫 건","유지","확인 필요")))</f>
        <v/>
      </c>
    </row>
    <row r="2584" customFormat="false" ht="15" hidden="false" customHeight="true" outlineLevel="0" collapsed="false">
      <c r="A2584" s="11" t="str">
        <f aca="false">IF(원본명단!$A2583="","",2581)</f>
        <v/>
      </c>
      <c r="B2584" s="12" t="str">
        <f aca="false">IF($A2584="","",원본명단!$A2583)</f>
        <v/>
      </c>
      <c r="C2584" s="12" t="str">
        <f aca="false">IF($A2584="","",원본명단!$B2583)</f>
        <v/>
      </c>
      <c r="D2584" s="12" t="str">
        <f aca="false">IF($A2584="","",원본명단!$D2583)</f>
        <v/>
      </c>
      <c r="E2584" s="11" t="str">
        <f aca="false">IF($A2584="","",IF(원본명단!$H2583="",0,COUNTIF(원본명단!$H$3:$H$6002,원본명단!$H2583)))</f>
        <v/>
      </c>
      <c r="F2584" s="11" t="str">
        <f aca="false">IF($A2584="","",IF(원본명단!$I2583="",0,COUNTIF(원본명단!$I$3:$I$6002,원본명단!$I2583)))</f>
        <v/>
      </c>
      <c r="G2584" s="11" t="str">
        <f aca="false">IF($A2584="","",IF(원본명단!$K2583="",0,COUNTIF(원본명단!$K$3:$K$6002,원본명단!$K2583)))</f>
        <v/>
      </c>
      <c r="H2584" s="11" t="str">
        <f aca="false">IF($A2584="","",IF(MAX($E2584,$F2584,$G2584)&gt;1,"중복","-"))</f>
        <v/>
      </c>
      <c r="I2584" s="11" t="str">
        <f aca="false">IF($A2584="","",IF($H2584="-","-",IF(AND(IF(원본명단!$H2583="",TRUE(),COUNTIF(원본명단!$H$3:$H2583,원본명단!$H2583)=1),IF(원본명단!$I2583="",TRUE(),COUNTIF(원본명단!$I$3:$I2583,원본명단!$I2583)=1),IF(원본명단!$K2583="",TRUE(),COUNTIF(원본명단!$K$3:$K2583,원본명단!$K2583)=1)),"첫 건","중복 건")))</f>
        <v/>
      </c>
      <c r="J2584" s="11" t="str">
        <f aca="false">IF($A2584="","",IF($H2584="-","유지",IF($I2584="첫 건","유지","확인 필요")))</f>
        <v/>
      </c>
    </row>
    <row r="2585" customFormat="false" ht="15" hidden="false" customHeight="true" outlineLevel="0" collapsed="false">
      <c r="A2585" s="11" t="str">
        <f aca="false">IF(원본명단!$A2584="","",2582)</f>
        <v/>
      </c>
      <c r="B2585" s="12" t="str">
        <f aca="false">IF($A2585="","",원본명단!$A2584)</f>
        <v/>
      </c>
      <c r="C2585" s="12" t="str">
        <f aca="false">IF($A2585="","",원본명단!$B2584)</f>
        <v/>
      </c>
      <c r="D2585" s="12" t="str">
        <f aca="false">IF($A2585="","",원본명단!$D2584)</f>
        <v/>
      </c>
      <c r="E2585" s="11" t="str">
        <f aca="false">IF($A2585="","",IF(원본명단!$H2584="",0,COUNTIF(원본명단!$H$3:$H$6002,원본명단!$H2584)))</f>
        <v/>
      </c>
      <c r="F2585" s="11" t="str">
        <f aca="false">IF($A2585="","",IF(원본명단!$I2584="",0,COUNTIF(원본명단!$I$3:$I$6002,원본명단!$I2584)))</f>
        <v/>
      </c>
      <c r="G2585" s="11" t="str">
        <f aca="false">IF($A2585="","",IF(원본명단!$K2584="",0,COUNTIF(원본명단!$K$3:$K$6002,원본명단!$K2584)))</f>
        <v/>
      </c>
      <c r="H2585" s="11" t="str">
        <f aca="false">IF($A2585="","",IF(MAX($E2585,$F2585,$G2585)&gt;1,"중복","-"))</f>
        <v/>
      </c>
      <c r="I2585" s="11" t="str">
        <f aca="false">IF($A2585="","",IF($H2585="-","-",IF(AND(IF(원본명단!$H2584="",TRUE(),COUNTIF(원본명단!$H$3:$H2584,원본명단!$H2584)=1),IF(원본명단!$I2584="",TRUE(),COUNTIF(원본명단!$I$3:$I2584,원본명단!$I2584)=1),IF(원본명단!$K2584="",TRUE(),COUNTIF(원본명단!$K$3:$K2584,원본명단!$K2584)=1)),"첫 건","중복 건")))</f>
        <v/>
      </c>
      <c r="J2585" s="11" t="str">
        <f aca="false">IF($A2585="","",IF($H2585="-","유지",IF($I2585="첫 건","유지","확인 필요")))</f>
        <v/>
      </c>
    </row>
    <row r="2586" customFormat="false" ht="15" hidden="false" customHeight="true" outlineLevel="0" collapsed="false">
      <c r="A2586" s="11" t="str">
        <f aca="false">IF(원본명단!$A2585="","",2583)</f>
        <v/>
      </c>
      <c r="B2586" s="12" t="str">
        <f aca="false">IF($A2586="","",원본명단!$A2585)</f>
        <v/>
      </c>
      <c r="C2586" s="12" t="str">
        <f aca="false">IF($A2586="","",원본명단!$B2585)</f>
        <v/>
      </c>
      <c r="D2586" s="12" t="str">
        <f aca="false">IF($A2586="","",원본명단!$D2585)</f>
        <v/>
      </c>
      <c r="E2586" s="11" t="str">
        <f aca="false">IF($A2586="","",IF(원본명단!$H2585="",0,COUNTIF(원본명단!$H$3:$H$6002,원본명단!$H2585)))</f>
        <v/>
      </c>
      <c r="F2586" s="11" t="str">
        <f aca="false">IF($A2586="","",IF(원본명단!$I2585="",0,COUNTIF(원본명단!$I$3:$I$6002,원본명단!$I2585)))</f>
        <v/>
      </c>
      <c r="G2586" s="11" t="str">
        <f aca="false">IF($A2586="","",IF(원본명단!$K2585="",0,COUNTIF(원본명단!$K$3:$K$6002,원본명단!$K2585)))</f>
        <v/>
      </c>
      <c r="H2586" s="11" t="str">
        <f aca="false">IF($A2586="","",IF(MAX($E2586,$F2586,$G2586)&gt;1,"중복","-"))</f>
        <v/>
      </c>
      <c r="I2586" s="11" t="str">
        <f aca="false">IF($A2586="","",IF($H2586="-","-",IF(AND(IF(원본명단!$H2585="",TRUE(),COUNTIF(원본명단!$H$3:$H2585,원본명단!$H2585)=1),IF(원본명단!$I2585="",TRUE(),COUNTIF(원본명단!$I$3:$I2585,원본명단!$I2585)=1),IF(원본명단!$K2585="",TRUE(),COUNTIF(원본명단!$K$3:$K2585,원본명단!$K2585)=1)),"첫 건","중복 건")))</f>
        <v/>
      </c>
      <c r="J2586" s="11" t="str">
        <f aca="false">IF($A2586="","",IF($H2586="-","유지",IF($I2586="첫 건","유지","확인 필요")))</f>
        <v/>
      </c>
    </row>
    <row r="2587" customFormat="false" ht="15" hidden="false" customHeight="true" outlineLevel="0" collapsed="false">
      <c r="A2587" s="11" t="str">
        <f aca="false">IF(원본명단!$A2586="","",2584)</f>
        <v/>
      </c>
      <c r="B2587" s="12" t="str">
        <f aca="false">IF($A2587="","",원본명단!$A2586)</f>
        <v/>
      </c>
      <c r="C2587" s="12" t="str">
        <f aca="false">IF($A2587="","",원본명단!$B2586)</f>
        <v/>
      </c>
      <c r="D2587" s="12" t="str">
        <f aca="false">IF($A2587="","",원본명단!$D2586)</f>
        <v/>
      </c>
      <c r="E2587" s="11" t="str">
        <f aca="false">IF($A2587="","",IF(원본명단!$H2586="",0,COUNTIF(원본명단!$H$3:$H$6002,원본명단!$H2586)))</f>
        <v/>
      </c>
      <c r="F2587" s="11" t="str">
        <f aca="false">IF($A2587="","",IF(원본명단!$I2586="",0,COUNTIF(원본명단!$I$3:$I$6002,원본명단!$I2586)))</f>
        <v/>
      </c>
      <c r="G2587" s="11" t="str">
        <f aca="false">IF($A2587="","",IF(원본명단!$K2586="",0,COUNTIF(원본명단!$K$3:$K$6002,원본명단!$K2586)))</f>
        <v/>
      </c>
      <c r="H2587" s="11" t="str">
        <f aca="false">IF($A2587="","",IF(MAX($E2587,$F2587,$G2587)&gt;1,"중복","-"))</f>
        <v/>
      </c>
      <c r="I2587" s="11" t="str">
        <f aca="false">IF($A2587="","",IF($H2587="-","-",IF(AND(IF(원본명단!$H2586="",TRUE(),COUNTIF(원본명단!$H$3:$H2586,원본명단!$H2586)=1),IF(원본명단!$I2586="",TRUE(),COUNTIF(원본명단!$I$3:$I2586,원본명단!$I2586)=1),IF(원본명단!$K2586="",TRUE(),COUNTIF(원본명단!$K$3:$K2586,원본명단!$K2586)=1)),"첫 건","중복 건")))</f>
        <v/>
      </c>
      <c r="J2587" s="11" t="str">
        <f aca="false">IF($A2587="","",IF($H2587="-","유지",IF($I2587="첫 건","유지","확인 필요")))</f>
        <v/>
      </c>
    </row>
    <row r="2588" customFormat="false" ht="15" hidden="false" customHeight="true" outlineLevel="0" collapsed="false">
      <c r="A2588" s="11" t="str">
        <f aca="false">IF(원본명단!$A2587="","",2585)</f>
        <v/>
      </c>
      <c r="B2588" s="12" t="str">
        <f aca="false">IF($A2588="","",원본명단!$A2587)</f>
        <v/>
      </c>
      <c r="C2588" s="12" t="str">
        <f aca="false">IF($A2588="","",원본명단!$B2587)</f>
        <v/>
      </c>
      <c r="D2588" s="12" t="str">
        <f aca="false">IF($A2588="","",원본명단!$D2587)</f>
        <v/>
      </c>
      <c r="E2588" s="11" t="str">
        <f aca="false">IF($A2588="","",IF(원본명단!$H2587="",0,COUNTIF(원본명단!$H$3:$H$6002,원본명단!$H2587)))</f>
        <v/>
      </c>
      <c r="F2588" s="11" t="str">
        <f aca="false">IF($A2588="","",IF(원본명단!$I2587="",0,COUNTIF(원본명단!$I$3:$I$6002,원본명단!$I2587)))</f>
        <v/>
      </c>
      <c r="G2588" s="11" t="str">
        <f aca="false">IF($A2588="","",IF(원본명단!$K2587="",0,COUNTIF(원본명단!$K$3:$K$6002,원본명단!$K2587)))</f>
        <v/>
      </c>
      <c r="H2588" s="11" t="str">
        <f aca="false">IF($A2588="","",IF(MAX($E2588,$F2588,$G2588)&gt;1,"중복","-"))</f>
        <v/>
      </c>
      <c r="I2588" s="11" t="str">
        <f aca="false">IF($A2588="","",IF($H2588="-","-",IF(AND(IF(원본명단!$H2587="",TRUE(),COUNTIF(원본명단!$H$3:$H2587,원본명단!$H2587)=1),IF(원본명단!$I2587="",TRUE(),COUNTIF(원본명단!$I$3:$I2587,원본명단!$I2587)=1),IF(원본명단!$K2587="",TRUE(),COUNTIF(원본명단!$K$3:$K2587,원본명단!$K2587)=1)),"첫 건","중복 건")))</f>
        <v/>
      </c>
      <c r="J2588" s="11" t="str">
        <f aca="false">IF($A2588="","",IF($H2588="-","유지",IF($I2588="첫 건","유지","확인 필요")))</f>
        <v/>
      </c>
    </row>
    <row r="2589" customFormat="false" ht="15" hidden="false" customHeight="true" outlineLevel="0" collapsed="false">
      <c r="A2589" s="11" t="str">
        <f aca="false">IF(원본명단!$A2588="","",2586)</f>
        <v/>
      </c>
      <c r="B2589" s="12" t="str">
        <f aca="false">IF($A2589="","",원본명단!$A2588)</f>
        <v/>
      </c>
      <c r="C2589" s="12" t="str">
        <f aca="false">IF($A2589="","",원본명단!$B2588)</f>
        <v/>
      </c>
      <c r="D2589" s="12" t="str">
        <f aca="false">IF($A2589="","",원본명단!$D2588)</f>
        <v/>
      </c>
      <c r="E2589" s="11" t="str">
        <f aca="false">IF($A2589="","",IF(원본명단!$H2588="",0,COUNTIF(원본명단!$H$3:$H$6002,원본명단!$H2588)))</f>
        <v/>
      </c>
      <c r="F2589" s="11" t="str">
        <f aca="false">IF($A2589="","",IF(원본명단!$I2588="",0,COUNTIF(원본명단!$I$3:$I$6002,원본명단!$I2588)))</f>
        <v/>
      </c>
      <c r="G2589" s="11" t="str">
        <f aca="false">IF($A2589="","",IF(원본명단!$K2588="",0,COUNTIF(원본명단!$K$3:$K$6002,원본명단!$K2588)))</f>
        <v/>
      </c>
      <c r="H2589" s="11" t="str">
        <f aca="false">IF($A2589="","",IF(MAX($E2589,$F2589,$G2589)&gt;1,"중복","-"))</f>
        <v/>
      </c>
      <c r="I2589" s="11" t="str">
        <f aca="false">IF($A2589="","",IF($H2589="-","-",IF(AND(IF(원본명단!$H2588="",TRUE(),COUNTIF(원본명단!$H$3:$H2588,원본명단!$H2588)=1),IF(원본명단!$I2588="",TRUE(),COUNTIF(원본명단!$I$3:$I2588,원본명단!$I2588)=1),IF(원본명단!$K2588="",TRUE(),COUNTIF(원본명단!$K$3:$K2588,원본명단!$K2588)=1)),"첫 건","중복 건")))</f>
        <v/>
      </c>
      <c r="J2589" s="11" t="str">
        <f aca="false">IF($A2589="","",IF($H2589="-","유지",IF($I2589="첫 건","유지","확인 필요")))</f>
        <v/>
      </c>
    </row>
    <row r="2590" customFormat="false" ht="15" hidden="false" customHeight="true" outlineLevel="0" collapsed="false">
      <c r="A2590" s="11" t="str">
        <f aca="false">IF(원본명단!$A2589="","",2587)</f>
        <v/>
      </c>
      <c r="B2590" s="12" t="str">
        <f aca="false">IF($A2590="","",원본명단!$A2589)</f>
        <v/>
      </c>
      <c r="C2590" s="12" t="str">
        <f aca="false">IF($A2590="","",원본명단!$B2589)</f>
        <v/>
      </c>
      <c r="D2590" s="12" t="str">
        <f aca="false">IF($A2590="","",원본명단!$D2589)</f>
        <v/>
      </c>
      <c r="E2590" s="11" t="str">
        <f aca="false">IF($A2590="","",IF(원본명단!$H2589="",0,COUNTIF(원본명단!$H$3:$H$6002,원본명단!$H2589)))</f>
        <v/>
      </c>
      <c r="F2590" s="11" t="str">
        <f aca="false">IF($A2590="","",IF(원본명단!$I2589="",0,COUNTIF(원본명단!$I$3:$I$6002,원본명단!$I2589)))</f>
        <v/>
      </c>
      <c r="G2590" s="11" t="str">
        <f aca="false">IF($A2590="","",IF(원본명단!$K2589="",0,COUNTIF(원본명단!$K$3:$K$6002,원본명단!$K2589)))</f>
        <v/>
      </c>
      <c r="H2590" s="11" t="str">
        <f aca="false">IF($A2590="","",IF(MAX($E2590,$F2590,$G2590)&gt;1,"중복","-"))</f>
        <v/>
      </c>
      <c r="I2590" s="11" t="str">
        <f aca="false">IF($A2590="","",IF($H2590="-","-",IF(AND(IF(원본명단!$H2589="",TRUE(),COUNTIF(원본명단!$H$3:$H2589,원본명단!$H2589)=1),IF(원본명단!$I2589="",TRUE(),COUNTIF(원본명단!$I$3:$I2589,원본명단!$I2589)=1),IF(원본명단!$K2589="",TRUE(),COUNTIF(원본명단!$K$3:$K2589,원본명단!$K2589)=1)),"첫 건","중복 건")))</f>
        <v/>
      </c>
      <c r="J2590" s="11" t="str">
        <f aca="false">IF($A2590="","",IF($H2590="-","유지",IF($I2590="첫 건","유지","확인 필요")))</f>
        <v/>
      </c>
    </row>
    <row r="2591" customFormat="false" ht="15" hidden="false" customHeight="true" outlineLevel="0" collapsed="false">
      <c r="A2591" s="11" t="str">
        <f aca="false">IF(원본명단!$A2590="","",2588)</f>
        <v/>
      </c>
      <c r="B2591" s="12" t="str">
        <f aca="false">IF($A2591="","",원본명단!$A2590)</f>
        <v/>
      </c>
      <c r="C2591" s="12" t="str">
        <f aca="false">IF($A2591="","",원본명단!$B2590)</f>
        <v/>
      </c>
      <c r="D2591" s="12" t="str">
        <f aca="false">IF($A2591="","",원본명단!$D2590)</f>
        <v/>
      </c>
      <c r="E2591" s="11" t="str">
        <f aca="false">IF($A2591="","",IF(원본명단!$H2590="",0,COUNTIF(원본명단!$H$3:$H$6002,원본명단!$H2590)))</f>
        <v/>
      </c>
      <c r="F2591" s="11" t="str">
        <f aca="false">IF($A2591="","",IF(원본명단!$I2590="",0,COUNTIF(원본명단!$I$3:$I$6002,원본명단!$I2590)))</f>
        <v/>
      </c>
      <c r="G2591" s="11" t="str">
        <f aca="false">IF($A2591="","",IF(원본명단!$K2590="",0,COUNTIF(원본명단!$K$3:$K$6002,원본명단!$K2590)))</f>
        <v/>
      </c>
      <c r="H2591" s="11" t="str">
        <f aca="false">IF($A2591="","",IF(MAX($E2591,$F2591,$G2591)&gt;1,"중복","-"))</f>
        <v/>
      </c>
      <c r="I2591" s="11" t="str">
        <f aca="false">IF($A2591="","",IF($H2591="-","-",IF(AND(IF(원본명단!$H2590="",TRUE(),COUNTIF(원본명단!$H$3:$H2590,원본명단!$H2590)=1),IF(원본명단!$I2590="",TRUE(),COUNTIF(원본명단!$I$3:$I2590,원본명단!$I2590)=1),IF(원본명단!$K2590="",TRUE(),COUNTIF(원본명단!$K$3:$K2590,원본명단!$K2590)=1)),"첫 건","중복 건")))</f>
        <v/>
      </c>
      <c r="J2591" s="11" t="str">
        <f aca="false">IF($A2591="","",IF($H2591="-","유지",IF($I2591="첫 건","유지","확인 필요")))</f>
        <v/>
      </c>
    </row>
    <row r="2592" customFormat="false" ht="15" hidden="false" customHeight="true" outlineLevel="0" collapsed="false">
      <c r="A2592" s="11" t="str">
        <f aca="false">IF(원본명단!$A2591="","",2589)</f>
        <v/>
      </c>
      <c r="B2592" s="12" t="str">
        <f aca="false">IF($A2592="","",원본명단!$A2591)</f>
        <v/>
      </c>
      <c r="C2592" s="12" t="str">
        <f aca="false">IF($A2592="","",원본명단!$B2591)</f>
        <v/>
      </c>
      <c r="D2592" s="12" t="str">
        <f aca="false">IF($A2592="","",원본명단!$D2591)</f>
        <v/>
      </c>
      <c r="E2592" s="11" t="str">
        <f aca="false">IF($A2592="","",IF(원본명단!$H2591="",0,COUNTIF(원본명단!$H$3:$H$6002,원본명단!$H2591)))</f>
        <v/>
      </c>
      <c r="F2592" s="11" t="str">
        <f aca="false">IF($A2592="","",IF(원본명단!$I2591="",0,COUNTIF(원본명단!$I$3:$I$6002,원본명단!$I2591)))</f>
        <v/>
      </c>
      <c r="G2592" s="11" t="str">
        <f aca="false">IF($A2592="","",IF(원본명단!$K2591="",0,COUNTIF(원본명단!$K$3:$K$6002,원본명단!$K2591)))</f>
        <v/>
      </c>
      <c r="H2592" s="11" t="str">
        <f aca="false">IF($A2592="","",IF(MAX($E2592,$F2592,$G2592)&gt;1,"중복","-"))</f>
        <v/>
      </c>
      <c r="I2592" s="11" t="str">
        <f aca="false">IF($A2592="","",IF($H2592="-","-",IF(AND(IF(원본명단!$H2591="",TRUE(),COUNTIF(원본명단!$H$3:$H2591,원본명단!$H2591)=1),IF(원본명단!$I2591="",TRUE(),COUNTIF(원본명단!$I$3:$I2591,원본명단!$I2591)=1),IF(원본명단!$K2591="",TRUE(),COUNTIF(원본명단!$K$3:$K2591,원본명단!$K2591)=1)),"첫 건","중복 건")))</f>
        <v/>
      </c>
      <c r="J2592" s="11" t="str">
        <f aca="false">IF($A2592="","",IF($H2592="-","유지",IF($I2592="첫 건","유지","확인 필요")))</f>
        <v/>
      </c>
    </row>
    <row r="2593" customFormat="false" ht="15" hidden="false" customHeight="true" outlineLevel="0" collapsed="false">
      <c r="A2593" s="11" t="str">
        <f aca="false">IF(원본명단!$A2592="","",2590)</f>
        <v/>
      </c>
      <c r="B2593" s="12" t="str">
        <f aca="false">IF($A2593="","",원본명단!$A2592)</f>
        <v/>
      </c>
      <c r="C2593" s="12" t="str">
        <f aca="false">IF($A2593="","",원본명단!$B2592)</f>
        <v/>
      </c>
      <c r="D2593" s="12" t="str">
        <f aca="false">IF($A2593="","",원본명단!$D2592)</f>
        <v/>
      </c>
      <c r="E2593" s="11" t="str">
        <f aca="false">IF($A2593="","",IF(원본명단!$H2592="",0,COUNTIF(원본명단!$H$3:$H$6002,원본명단!$H2592)))</f>
        <v/>
      </c>
      <c r="F2593" s="11" t="str">
        <f aca="false">IF($A2593="","",IF(원본명단!$I2592="",0,COUNTIF(원본명단!$I$3:$I$6002,원본명단!$I2592)))</f>
        <v/>
      </c>
      <c r="G2593" s="11" t="str">
        <f aca="false">IF($A2593="","",IF(원본명단!$K2592="",0,COUNTIF(원본명단!$K$3:$K$6002,원본명단!$K2592)))</f>
        <v/>
      </c>
      <c r="H2593" s="11" t="str">
        <f aca="false">IF($A2593="","",IF(MAX($E2593,$F2593,$G2593)&gt;1,"중복","-"))</f>
        <v/>
      </c>
      <c r="I2593" s="11" t="str">
        <f aca="false">IF($A2593="","",IF($H2593="-","-",IF(AND(IF(원본명단!$H2592="",TRUE(),COUNTIF(원본명단!$H$3:$H2592,원본명단!$H2592)=1),IF(원본명단!$I2592="",TRUE(),COUNTIF(원본명단!$I$3:$I2592,원본명단!$I2592)=1),IF(원본명단!$K2592="",TRUE(),COUNTIF(원본명단!$K$3:$K2592,원본명단!$K2592)=1)),"첫 건","중복 건")))</f>
        <v/>
      </c>
      <c r="J2593" s="11" t="str">
        <f aca="false">IF($A2593="","",IF($H2593="-","유지",IF($I2593="첫 건","유지","확인 필요")))</f>
        <v/>
      </c>
    </row>
    <row r="2594" customFormat="false" ht="15" hidden="false" customHeight="true" outlineLevel="0" collapsed="false">
      <c r="A2594" s="11" t="str">
        <f aca="false">IF(원본명단!$A2593="","",2591)</f>
        <v/>
      </c>
      <c r="B2594" s="12" t="str">
        <f aca="false">IF($A2594="","",원본명단!$A2593)</f>
        <v/>
      </c>
      <c r="C2594" s="12" t="str">
        <f aca="false">IF($A2594="","",원본명단!$B2593)</f>
        <v/>
      </c>
      <c r="D2594" s="12" t="str">
        <f aca="false">IF($A2594="","",원본명단!$D2593)</f>
        <v/>
      </c>
      <c r="E2594" s="11" t="str">
        <f aca="false">IF($A2594="","",IF(원본명단!$H2593="",0,COUNTIF(원본명단!$H$3:$H$6002,원본명단!$H2593)))</f>
        <v/>
      </c>
      <c r="F2594" s="11" t="str">
        <f aca="false">IF($A2594="","",IF(원본명단!$I2593="",0,COUNTIF(원본명단!$I$3:$I$6002,원본명단!$I2593)))</f>
        <v/>
      </c>
      <c r="G2594" s="11" t="str">
        <f aca="false">IF($A2594="","",IF(원본명단!$K2593="",0,COUNTIF(원본명단!$K$3:$K$6002,원본명단!$K2593)))</f>
        <v/>
      </c>
      <c r="H2594" s="11" t="str">
        <f aca="false">IF($A2594="","",IF(MAX($E2594,$F2594,$G2594)&gt;1,"중복","-"))</f>
        <v/>
      </c>
      <c r="I2594" s="11" t="str">
        <f aca="false">IF($A2594="","",IF($H2594="-","-",IF(AND(IF(원본명단!$H2593="",TRUE(),COUNTIF(원본명단!$H$3:$H2593,원본명단!$H2593)=1),IF(원본명단!$I2593="",TRUE(),COUNTIF(원본명단!$I$3:$I2593,원본명단!$I2593)=1),IF(원본명단!$K2593="",TRUE(),COUNTIF(원본명단!$K$3:$K2593,원본명단!$K2593)=1)),"첫 건","중복 건")))</f>
        <v/>
      </c>
      <c r="J2594" s="11" t="str">
        <f aca="false">IF($A2594="","",IF($H2594="-","유지",IF($I2594="첫 건","유지","확인 필요")))</f>
        <v/>
      </c>
    </row>
    <row r="2595" customFormat="false" ht="15" hidden="false" customHeight="true" outlineLevel="0" collapsed="false">
      <c r="A2595" s="11" t="str">
        <f aca="false">IF(원본명단!$A2594="","",2592)</f>
        <v/>
      </c>
      <c r="B2595" s="12" t="str">
        <f aca="false">IF($A2595="","",원본명단!$A2594)</f>
        <v/>
      </c>
      <c r="C2595" s="12" t="str">
        <f aca="false">IF($A2595="","",원본명단!$B2594)</f>
        <v/>
      </c>
      <c r="D2595" s="12" t="str">
        <f aca="false">IF($A2595="","",원본명단!$D2594)</f>
        <v/>
      </c>
      <c r="E2595" s="11" t="str">
        <f aca="false">IF($A2595="","",IF(원본명단!$H2594="",0,COUNTIF(원본명단!$H$3:$H$6002,원본명단!$H2594)))</f>
        <v/>
      </c>
      <c r="F2595" s="11" t="str">
        <f aca="false">IF($A2595="","",IF(원본명단!$I2594="",0,COUNTIF(원본명단!$I$3:$I$6002,원본명단!$I2594)))</f>
        <v/>
      </c>
      <c r="G2595" s="11" t="str">
        <f aca="false">IF($A2595="","",IF(원본명단!$K2594="",0,COUNTIF(원본명단!$K$3:$K$6002,원본명단!$K2594)))</f>
        <v/>
      </c>
      <c r="H2595" s="11" t="str">
        <f aca="false">IF($A2595="","",IF(MAX($E2595,$F2595,$G2595)&gt;1,"중복","-"))</f>
        <v/>
      </c>
      <c r="I2595" s="11" t="str">
        <f aca="false">IF($A2595="","",IF($H2595="-","-",IF(AND(IF(원본명단!$H2594="",TRUE(),COUNTIF(원본명단!$H$3:$H2594,원본명단!$H2594)=1),IF(원본명단!$I2594="",TRUE(),COUNTIF(원본명단!$I$3:$I2594,원본명단!$I2594)=1),IF(원본명단!$K2594="",TRUE(),COUNTIF(원본명단!$K$3:$K2594,원본명단!$K2594)=1)),"첫 건","중복 건")))</f>
        <v/>
      </c>
      <c r="J2595" s="11" t="str">
        <f aca="false">IF($A2595="","",IF($H2595="-","유지",IF($I2595="첫 건","유지","확인 필요")))</f>
        <v/>
      </c>
    </row>
    <row r="2596" customFormat="false" ht="15" hidden="false" customHeight="true" outlineLevel="0" collapsed="false">
      <c r="A2596" s="11" t="str">
        <f aca="false">IF(원본명단!$A2595="","",2593)</f>
        <v/>
      </c>
      <c r="B2596" s="12" t="str">
        <f aca="false">IF($A2596="","",원본명단!$A2595)</f>
        <v/>
      </c>
      <c r="C2596" s="12" t="str">
        <f aca="false">IF($A2596="","",원본명단!$B2595)</f>
        <v/>
      </c>
      <c r="D2596" s="12" t="str">
        <f aca="false">IF($A2596="","",원본명단!$D2595)</f>
        <v/>
      </c>
      <c r="E2596" s="11" t="str">
        <f aca="false">IF($A2596="","",IF(원본명단!$H2595="",0,COUNTIF(원본명단!$H$3:$H$6002,원본명단!$H2595)))</f>
        <v/>
      </c>
      <c r="F2596" s="11" t="str">
        <f aca="false">IF($A2596="","",IF(원본명단!$I2595="",0,COUNTIF(원본명단!$I$3:$I$6002,원본명단!$I2595)))</f>
        <v/>
      </c>
      <c r="G2596" s="11" t="str">
        <f aca="false">IF($A2596="","",IF(원본명단!$K2595="",0,COUNTIF(원본명단!$K$3:$K$6002,원본명단!$K2595)))</f>
        <v/>
      </c>
      <c r="H2596" s="11" t="str">
        <f aca="false">IF($A2596="","",IF(MAX($E2596,$F2596,$G2596)&gt;1,"중복","-"))</f>
        <v/>
      </c>
      <c r="I2596" s="11" t="str">
        <f aca="false">IF($A2596="","",IF($H2596="-","-",IF(AND(IF(원본명단!$H2595="",TRUE(),COUNTIF(원본명단!$H$3:$H2595,원본명단!$H2595)=1),IF(원본명단!$I2595="",TRUE(),COUNTIF(원본명단!$I$3:$I2595,원본명단!$I2595)=1),IF(원본명단!$K2595="",TRUE(),COUNTIF(원본명단!$K$3:$K2595,원본명단!$K2595)=1)),"첫 건","중복 건")))</f>
        <v/>
      </c>
      <c r="J2596" s="11" t="str">
        <f aca="false">IF($A2596="","",IF($H2596="-","유지",IF($I2596="첫 건","유지","확인 필요")))</f>
        <v/>
      </c>
    </row>
    <row r="2597" customFormat="false" ht="15" hidden="false" customHeight="true" outlineLevel="0" collapsed="false">
      <c r="A2597" s="11" t="str">
        <f aca="false">IF(원본명단!$A2596="","",2594)</f>
        <v/>
      </c>
      <c r="B2597" s="12" t="str">
        <f aca="false">IF($A2597="","",원본명단!$A2596)</f>
        <v/>
      </c>
      <c r="C2597" s="12" t="str">
        <f aca="false">IF($A2597="","",원본명단!$B2596)</f>
        <v/>
      </c>
      <c r="D2597" s="12" t="str">
        <f aca="false">IF($A2597="","",원본명단!$D2596)</f>
        <v/>
      </c>
      <c r="E2597" s="11" t="str">
        <f aca="false">IF($A2597="","",IF(원본명단!$H2596="",0,COUNTIF(원본명단!$H$3:$H$6002,원본명단!$H2596)))</f>
        <v/>
      </c>
      <c r="F2597" s="11" t="str">
        <f aca="false">IF($A2597="","",IF(원본명단!$I2596="",0,COUNTIF(원본명단!$I$3:$I$6002,원본명단!$I2596)))</f>
        <v/>
      </c>
      <c r="G2597" s="11" t="str">
        <f aca="false">IF($A2597="","",IF(원본명단!$K2596="",0,COUNTIF(원본명단!$K$3:$K$6002,원본명단!$K2596)))</f>
        <v/>
      </c>
      <c r="H2597" s="11" t="str">
        <f aca="false">IF($A2597="","",IF(MAX($E2597,$F2597,$G2597)&gt;1,"중복","-"))</f>
        <v/>
      </c>
      <c r="I2597" s="11" t="str">
        <f aca="false">IF($A2597="","",IF($H2597="-","-",IF(AND(IF(원본명단!$H2596="",TRUE(),COUNTIF(원본명단!$H$3:$H2596,원본명단!$H2596)=1),IF(원본명단!$I2596="",TRUE(),COUNTIF(원본명단!$I$3:$I2596,원본명단!$I2596)=1),IF(원본명단!$K2596="",TRUE(),COUNTIF(원본명단!$K$3:$K2596,원본명단!$K2596)=1)),"첫 건","중복 건")))</f>
        <v/>
      </c>
      <c r="J2597" s="11" t="str">
        <f aca="false">IF($A2597="","",IF($H2597="-","유지",IF($I2597="첫 건","유지","확인 필요")))</f>
        <v/>
      </c>
    </row>
    <row r="2598" customFormat="false" ht="15" hidden="false" customHeight="true" outlineLevel="0" collapsed="false">
      <c r="A2598" s="11" t="str">
        <f aca="false">IF(원본명단!$A2597="","",2595)</f>
        <v/>
      </c>
      <c r="B2598" s="12" t="str">
        <f aca="false">IF($A2598="","",원본명단!$A2597)</f>
        <v/>
      </c>
      <c r="C2598" s="12" t="str">
        <f aca="false">IF($A2598="","",원본명단!$B2597)</f>
        <v/>
      </c>
      <c r="D2598" s="12" t="str">
        <f aca="false">IF($A2598="","",원본명단!$D2597)</f>
        <v/>
      </c>
      <c r="E2598" s="11" t="str">
        <f aca="false">IF($A2598="","",IF(원본명단!$H2597="",0,COUNTIF(원본명단!$H$3:$H$6002,원본명단!$H2597)))</f>
        <v/>
      </c>
      <c r="F2598" s="11" t="str">
        <f aca="false">IF($A2598="","",IF(원본명단!$I2597="",0,COUNTIF(원본명단!$I$3:$I$6002,원본명단!$I2597)))</f>
        <v/>
      </c>
      <c r="G2598" s="11" t="str">
        <f aca="false">IF($A2598="","",IF(원본명단!$K2597="",0,COUNTIF(원본명단!$K$3:$K$6002,원본명단!$K2597)))</f>
        <v/>
      </c>
      <c r="H2598" s="11" t="str">
        <f aca="false">IF($A2598="","",IF(MAX($E2598,$F2598,$G2598)&gt;1,"중복","-"))</f>
        <v/>
      </c>
      <c r="I2598" s="11" t="str">
        <f aca="false">IF($A2598="","",IF($H2598="-","-",IF(AND(IF(원본명단!$H2597="",TRUE(),COUNTIF(원본명단!$H$3:$H2597,원본명단!$H2597)=1),IF(원본명단!$I2597="",TRUE(),COUNTIF(원본명단!$I$3:$I2597,원본명단!$I2597)=1),IF(원본명단!$K2597="",TRUE(),COUNTIF(원본명단!$K$3:$K2597,원본명단!$K2597)=1)),"첫 건","중복 건")))</f>
        <v/>
      </c>
      <c r="J2598" s="11" t="str">
        <f aca="false">IF($A2598="","",IF($H2598="-","유지",IF($I2598="첫 건","유지","확인 필요")))</f>
        <v/>
      </c>
    </row>
    <row r="2599" customFormat="false" ht="15" hidden="false" customHeight="true" outlineLevel="0" collapsed="false">
      <c r="A2599" s="11" t="str">
        <f aca="false">IF(원본명단!$A2598="","",2596)</f>
        <v/>
      </c>
      <c r="B2599" s="12" t="str">
        <f aca="false">IF($A2599="","",원본명단!$A2598)</f>
        <v/>
      </c>
      <c r="C2599" s="12" t="str">
        <f aca="false">IF($A2599="","",원본명단!$B2598)</f>
        <v/>
      </c>
      <c r="D2599" s="12" t="str">
        <f aca="false">IF($A2599="","",원본명단!$D2598)</f>
        <v/>
      </c>
      <c r="E2599" s="11" t="str">
        <f aca="false">IF($A2599="","",IF(원본명단!$H2598="",0,COUNTIF(원본명단!$H$3:$H$6002,원본명단!$H2598)))</f>
        <v/>
      </c>
      <c r="F2599" s="11" t="str">
        <f aca="false">IF($A2599="","",IF(원본명단!$I2598="",0,COUNTIF(원본명단!$I$3:$I$6002,원본명단!$I2598)))</f>
        <v/>
      </c>
      <c r="G2599" s="11" t="str">
        <f aca="false">IF($A2599="","",IF(원본명단!$K2598="",0,COUNTIF(원본명단!$K$3:$K$6002,원본명단!$K2598)))</f>
        <v/>
      </c>
      <c r="H2599" s="11" t="str">
        <f aca="false">IF($A2599="","",IF(MAX($E2599,$F2599,$G2599)&gt;1,"중복","-"))</f>
        <v/>
      </c>
      <c r="I2599" s="11" t="str">
        <f aca="false">IF($A2599="","",IF($H2599="-","-",IF(AND(IF(원본명단!$H2598="",TRUE(),COUNTIF(원본명단!$H$3:$H2598,원본명단!$H2598)=1),IF(원본명단!$I2598="",TRUE(),COUNTIF(원본명단!$I$3:$I2598,원본명단!$I2598)=1),IF(원본명단!$K2598="",TRUE(),COUNTIF(원본명단!$K$3:$K2598,원본명단!$K2598)=1)),"첫 건","중복 건")))</f>
        <v/>
      </c>
      <c r="J2599" s="11" t="str">
        <f aca="false">IF($A2599="","",IF($H2599="-","유지",IF($I2599="첫 건","유지","확인 필요")))</f>
        <v/>
      </c>
    </row>
    <row r="2600" customFormat="false" ht="15" hidden="false" customHeight="true" outlineLevel="0" collapsed="false">
      <c r="A2600" s="11" t="str">
        <f aca="false">IF(원본명단!$A2599="","",2597)</f>
        <v/>
      </c>
      <c r="B2600" s="12" t="str">
        <f aca="false">IF($A2600="","",원본명단!$A2599)</f>
        <v/>
      </c>
      <c r="C2600" s="12" t="str">
        <f aca="false">IF($A2600="","",원본명단!$B2599)</f>
        <v/>
      </c>
      <c r="D2600" s="12" t="str">
        <f aca="false">IF($A2600="","",원본명단!$D2599)</f>
        <v/>
      </c>
      <c r="E2600" s="11" t="str">
        <f aca="false">IF($A2600="","",IF(원본명단!$H2599="",0,COUNTIF(원본명단!$H$3:$H$6002,원본명단!$H2599)))</f>
        <v/>
      </c>
      <c r="F2600" s="11" t="str">
        <f aca="false">IF($A2600="","",IF(원본명단!$I2599="",0,COUNTIF(원본명단!$I$3:$I$6002,원본명단!$I2599)))</f>
        <v/>
      </c>
      <c r="G2600" s="11" t="str">
        <f aca="false">IF($A2600="","",IF(원본명단!$K2599="",0,COUNTIF(원본명단!$K$3:$K$6002,원본명단!$K2599)))</f>
        <v/>
      </c>
      <c r="H2600" s="11" t="str">
        <f aca="false">IF($A2600="","",IF(MAX($E2600,$F2600,$G2600)&gt;1,"중복","-"))</f>
        <v/>
      </c>
      <c r="I2600" s="11" t="str">
        <f aca="false">IF($A2600="","",IF($H2600="-","-",IF(AND(IF(원본명단!$H2599="",TRUE(),COUNTIF(원본명단!$H$3:$H2599,원본명단!$H2599)=1),IF(원본명단!$I2599="",TRUE(),COUNTIF(원본명단!$I$3:$I2599,원본명단!$I2599)=1),IF(원본명단!$K2599="",TRUE(),COUNTIF(원본명단!$K$3:$K2599,원본명단!$K2599)=1)),"첫 건","중복 건")))</f>
        <v/>
      </c>
      <c r="J2600" s="11" t="str">
        <f aca="false">IF($A2600="","",IF($H2600="-","유지",IF($I2600="첫 건","유지","확인 필요")))</f>
        <v/>
      </c>
    </row>
    <row r="2601" customFormat="false" ht="15" hidden="false" customHeight="true" outlineLevel="0" collapsed="false">
      <c r="A2601" s="11" t="str">
        <f aca="false">IF(원본명단!$A2600="","",2598)</f>
        <v/>
      </c>
      <c r="B2601" s="12" t="str">
        <f aca="false">IF($A2601="","",원본명단!$A2600)</f>
        <v/>
      </c>
      <c r="C2601" s="12" t="str">
        <f aca="false">IF($A2601="","",원본명단!$B2600)</f>
        <v/>
      </c>
      <c r="D2601" s="12" t="str">
        <f aca="false">IF($A2601="","",원본명단!$D2600)</f>
        <v/>
      </c>
      <c r="E2601" s="11" t="str">
        <f aca="false">IF($A2601="","",IF(원본명단!$H2600="",0,COUNTIF(원본명단!$H$3:$H$6002,원본명단!$H2600)))</f>
        <v/>
      </c>
      <c r="F2601" s="11" t="str">
        <f aca="false">IF($A2601="","",IF(원본명단!$I2600="",0,COUNTIF(원본명단!$I$3:$I$6002,원본명단!$I2600)))</f>
        <v/>
      </c>
      <c r="G2601" s="11" t="str">
        <f aca="false">IF($A2601="","",IF(원본명단!$K2600="",0,COUNTIF(원본명단!$K$3:$K$6002,원본명단!$K2600)))</f>
        <v/>
      </c>
      <c r="H2601" s="11" t="str">
        <f aca="false">IF($A2601="","",IF(MAX($E2601,$F2601,$G2601)&gt;1,"중복","-"))</f>
        <v/>
      </c>
      <c r="I2601" s="11" t="str">
        <f aca="false">IF($A2601="","",IF($H2601="-","-",IF(AND(IF(원본명단!$H2600="",TRUE(),COUNTIF(원본명단!$H$3:$H2600,원본명단!$H2600)=1),IF(원본명단!$I2600="",TRUE(),COUNTIF(원본명단!$I$3:$I2600,원본명단!$I2600)=1),IF(원본명단!$K2600="",TRUE(),COUNTIF(원본명단!$K$3:$K2600,원본명단!$K2600)=1)),"첫 건","중복 건")))</f>
        <v/>
      </c>
      <c r="J2601" s="11" t="str">
        <f aca="false">IF($A2601="","",IF($H2601="-","유지",IF($I2601="첫 건","유지","확인 필요")))</f>
        <v/>
      </c>
    </row>
    <row r="2602" customFormat="false" ht="15" hidden="false" customHeight="true" outlineLevel="0" collapsed="false">
      <c r="A2602" s="11" t="str">
        <f aca="false">IF(원본명단!$A2601="","",2599)</f>
        <v/>
      </c>
      <c r="B2602" s="12" t="str">
        <f aca="false">IF($A2602="","",원본명단!$A2601)</f>
        <v/>
      </c>
      <c r="C2602" s="12" t="str">
        <f aca="false">IF($A2602="","",원본명단!$B2601)</f>
        <v/>
      </c>
      <c r="D2602" s="12" t="str">
        <f aca="false">IF($A2602="","",원본명단!$D2601)</f>
        <v/>
      </c>
      <c r="E2602" s="11" t="str">
        <f aca="false">IF($A2602="","",IF(원본명단!$H2601="",0,COUNTIF(원본명단!$H$3:$H$6002,원본명단!$H2601)))</f>
        <v/>
      </c>
      <c r="F2602" s="11" t="str">
        <f aca="false">IF($A2602="","",IF(원본명단!$I2601="",0,COUNTIF(원본명단!$I$3:$I$6002,원본명단!$I2601)))</f>
        <v/>
      </c>
      <c r="G2602" s="11" t="str">
        <f aca="false">IF($A2602="","",IF(원본명단!$K2601="",0,COUNTIF(원본명단!$K$3:$K$6002,원본명단!$K2601)))</f>
        <v/>
      </c>
      <c r="H2602" s="11" t="str">
        <f aca="false">IF($A2602="","",IF(MAX($E2602,$F2602,$G2602)&gt;1,"중복","-"))</f>
        <v/>
      </c>
      <c r="I2602" s="11" t="str">
        <f aca="false">IF($A2602="","",IF($H2602="-","-",IF(AND(IF(원본명단!$H2601="",TRUE(),COUNTIF(원본명단!$H$3:$H2601,원본명단!$H2601)=1),IF(원본명단!$I2601="",TRUE(),COUNTIF(원본명단!$I$3:$I2601,원본명단!$I2601)=1),IF(원본명단!$K2601="",TRUE(),COUNTIF(원본명단!$K$3:$K2601,원본명단!$K2601)=1)),"첫 건","중복 건")))</f>
        <v/>
      </c>
      <c r="J2602" s="11" t="str">
        <f aca="false">IF($A2602="","",IF($H2602="-","유지",IF($I2602="첫 건","유지","확인 필요")))</f>
        <v/>
      </c>
    </row>
    <row r="2603" customFormat="false" ht="15" hidden="false" customHeight="true" outlineLevel="0" collapsed="false">
      <c r="A2603" s="11" t="str">
        <f aca="false">IF(원본명단!$A2602="","",2600)</f>
        <v/>
      </c>
      <c r="B2603" s="12" t="str">
        <f aca="false">IF($A2603="","",원본명단!$A2602)</f>
        <v/>
      </c>
      <c r="C2603" s="12" t="str">
        <f aca="false">IF($A2603="","",원본명단!$B2602)</f>
        <v/>
      </c>
      <c r="D2603" s="12" t="str">
        <f aca="false">IF($A2603="","",원본명단!$D2602)</f>
        <v/>
      </c>
      <c r="E2603" s="11" t="str">
        <f aca="false">IF($A2603="","",IF(원본명단!$H2602="",0,COUNTIF(원본명단!$H$3:$H$6002,원본명단!$H2602)))</f>
        <v/>
      </c>
      <c r="F2603" s="11" t="str">
        <f aca="false">IF($A2603="","",IF(원본명단!$I2602="",0,COUNTIF(원본명단!$I$3:$I$6002,원본명단!$I2602)))</f>
        <v/>
      </c>
      <c r="G2603" s="11" t="str">
        <f aca="false">IF($A2603="","",IF(원본명단!$K2602="",0,COUNTIF(원본명단!$K$3:$K$6002,원본명단!$K2602)))</f>
        <v/>
      </c>
      <c r="H2603" s="11" t="str">
        <f aca="false">IF($A2603="","",IF(MAX($E2603,$F2603,$G2603)&gt;1,"중복","-"))</f>
        <v/>
      </c>
      <c r="I2603" s="11" t="str">
        <f aca="false">IF($A2603="","",IF($H2603="-","-",IF(AND(IF(원본명단!$H2602="",TRUE(),COUNTIF(원본명단!$H$3:$H2602,원본명단!$H2602)=1),IF(원본명단!$I2602="",TRUE(),COUNTIF(원본명단!$I$3:$I2602,원본명단!$I2602)=1),IF(원본명단!$K2602="",TRUE(),COUNTIF(원본명단!$K$3:$K2602,원본명단!$K2602)=1)),"첫 건","중복 건")))</f>
        <v/>
      </c>
      <c r="J2603" s="11" t="str">
        <f aca="false">IF($A2603="","",IF($H2603="-","유지",IF($I2603="첫 건","유지","확인 필요")))</f>
        <v/>
      </c>
    </row>
    <row r="2604" customFormat="false" ht="15" hidden="false" customHeight="true" outlineLevel="0" collapsed="false">
      <c r="A2604" s="11" t="str">
        <f aca="false">IF(원본명단!$A2603="","",2601)</f>
        <v/>
      </c>
      <c r="B2604" s="12" t="str">
        <f aca="false">IF($A2604="","",원본명단!$A2603)</f>
        <v/>
      </c>
      <c r="C2604" s="12" t="str">
        <f aca="false">IF($A2604="","",원본명단!$B2603)</f>
        <v/>
      </c>
      <c r="D2604" s="12" t="str">
        <f aca="false">IF($A2604="","",원본명단!$D2603)</f>
        <v/>
      </c>
      <c r="E2604" s="11" t="str">
        <f aca="false">IF($A2604="","",IF(원본명단!$H2603="",0,COUNTIF(원본명단!$H$3:$H$6002,원본명단!$H2603)))</f>
        <v/>
      </c>
      <c r="F2604" s="11" t="str">
        <f aca="false">IF($A2604="","",IF(원본명단!$I2603="",0,COUNTIF(원본명단!$I$3:$I$6002,원본명단!$I2603)))</f>
        <v/>
      </c>
      <c r="G2604" s="11" t="str">
        <f aca="false">IF($A2604="","",IF(원본명단!$K2603="",0,COUNTIF(원본명단!$K$3:$K$6002,원본명단!$K2603)))</f>
        <v/>
      </c>
      <c r="H2604" s="11" t="str">
        <f aca="false">IF($A2604="","",IF(MAX($E2604,$F2604,$G2604)&gt;1,"중복","-"))</f>
        <v/>
      </c>
      <c r="I2604" s="11" t="str">
        <f aca="false">IF($A2604="","",IF($H2604="-","-",IF(AND(IF(원본명단!$H2603="",TRUE(),COUNTIF(원본명단!$H$3:$H2603,원본명단!$H2603)=1),IF(원본명단!$I2603="",TRUE(),COUNTIF(원본명단!$I$3:$I2603,원본명단!$I2603)=1),IF(원본명단!$K2603="",TRUE(),COUNTIF(원본명단!$K$3:$K2603,원본명단!$K2603)=1)),"첫 건","중복 건")))</f>
        <v/>
      </c>
      <c r="J2604" s="11" t="str">
        <f aca="false">IF($A2604="","",IF($H2604="-","유지",IF($I2604="첫 건","유지","확인 필요")))</f>
        <v/>
      </c>
    </row>
    <row r="2605" customFormat="false" ht="15" hidden="false" customHeight="true" outlineLevel="0" collapsed="false">
      <c r="A2605" s="11" t="str">
        <f aca="false">IF(원본명단!$A2604="","",2602)</f>
        <v/>
      </c>
      <c r="B2605" s="12" t="str">
        <f aca="false">IF($A2605="","",원본명단!$A2604)</f>
        <v/>
      </c>
      <c r="C2605" s="12" t="str">
        <f aca="false">IF($A2605="","",원본명단!$B2604)</f>
        <v/>
      </c>
      <c r="D2605" s="12" t="str">
        <f aca="false">IF($A2605="","",원본명단!$D2604)</f>
        <v/>
      </c>
      <c r="E2605" s="11" t="str">
        <f aca="false">IF($A2605="","",IF(원본명단!$H2604="",0,COUNTIF(원본명단!$H$3:$H$6002,원본명단!$H2604)))</f>
        <v/>
      </c>
      <c r="F2605" s="11" t="str">
        <f aca="false">IF($A2605="","",IF(원본명단!$I2604="",0,COUNTIF(원본명단!$I$3:$I$6002,원본명단!$I2604)))</f>
        <v/>
      </c>
      <c r="G2605" s="11" t="str">
        <f aca="false">IF($A2605="","",IF(원본명단!$K2604="",0,COUNTIF(원본명단!$K$3:$K$6002,원본명단!$K2604)))</f>
        <v/>
      </c>
      <c r="H2605" s="11" t="str">
        <f aca="false">IF($A2605="","",IF(MAX($E2605,$F2605,$G2605)&gt;1,"중복","-"))</f>
        <v/>
      </c>
      <c r="I2605" s="11" t="str">
        <f aca="false">IF($A2605="","",IF($H2605="-","-",IF(AND(IF(원본명단!$H2604="",TRUE(),COUNTIF(원본명단!$H$3:$H2604,원본명단!$H2604)=1),IF(원본명단!$I2604="",TRUE(),COUNTIF(원본명단!$I$3:$I2604,원본명단!$I2604)=1),IF(원본명단!$K2604="",TRUE(),COUNTIF(원본명단!$K$3:$K2604,원본명단!$K2604)=1)),"첫 건","중복 건")))</f>
        <v/>
      </c>
      <c r="J2605" s="11" t="str">
        <f aca="false">IF($A2605="","",IF($H2605="-","유지",IF($I2605="첫 건","유지","확인 필요")))</f>
        <v/>
      </c>
    </row>
    <row r="2606" customFormat="false" ht="15" hidden="false" customHeight="true" outlineLevel="0" collapsed="false">
      <c r="A2606" s="11" t="str">
        <f aca="false">IF(원본명단!$A2605="","",2603)</f>
        <v/>
      </c>
      <c r="B2606" s="12" t="str">
        <f aca="false">IF($A2606="","",원본명단!$A2605)</f>
        <v/>
      </c>
      <c r="C2606" s="12" t="str">
        <f aca="false">IF($A2606="","",원본명단!$B2605)</f>
        <v/>
      </c>
      <c r="D2606" s="12" t="str">
        <f aca="false">IF($A2606="","",원본명단!$D2605)</f>
        <v/>
      </c>
      <c r="E2606" s="11" t="str">
        <f aca="false">IF($A2606="","",IF(원본명단!$H2605="",0,COUNTIF(원본명단!$H$3:$H$6002,원본명단!$H2605)))</f>
        <v/>
      </c>
      <c r="F2606" s="11" t="str">
        <f aca="false">IF($A2606="","",IF(원본명단!$I2605="",0,COUNTIF(원본명단!$I$3:$I$6002,원본명단!$I2605)))</f>
        <v/>
      </c>
      <c r="G2606" s="11" t="str">
        <f aca="false">IF($A2606="","",IF(원본명단!$K2605="",0,COUNTIF(원본명단!$K$3:$K$6002,원본명단!$K2605)))</f>
        <v/>
      </c>
      <c r="H2606" s="11" t="str">
        <f aca="false">IF($A2606="","",IF(MAX($E2606,$F2606,$G2606)&gt;1,"중복","-"))</f>
        <v/>
      </c>
      <c r="I2606" s="11" t="str">
        <f aca="false">IF($A2606="","",IF($H2606="-","-",IF(AND(IF(원본명단!$H2605="",TRUE(),COUNTIF(원본명단!$H$3:$H2605,원본명단!$H2605)=1),IF(원본명단!$I2605="",TRUE(),COUNTIF(원본명단!$I$3:$I2605,원본명단!$I2605)=1),IF(원본명단!$K2605="",TRUE(),COUNTIF(원본명단!$K$3:$K2605,원본명단!$K2605)=1)),"첫 건","중복 건")))</f>
        <v/>
      </c>
      <c r="J2606" s="11" t="str">
        <f aca="false">IF($A2606="","",IF($H2606="-","유지",IF($I2606="첫 건","유지","확인 필요")))</f>
        <v/>
      </c>
    </row>
    <row r="2607" customFormat="false" ht="15" hidden="false" customHeight="true" outlineLevel="0" collapsed="false">
      <c r="A2607" s="11" t="str">
        <f aca="false">IF(원본명단!$A2606="","",2604)</f>
        <v/>
      </c>
      <c r="B2607" s="12" t="str">
        <f aca="false">IF($A2607="","",원본명단!$A2606)</f>
        <v/>
      </c>
      <c r="C2607" s="12" t="str">
        <f aca="false">IF($A2607="","",원본명단!$B2606)</f>
        <v/>
      </c>
      <c r="D2607" s="12" t="str">
        <f aca="false">IF($A2607="","",원본명단!$D2606)</f>
        <v/>
      </c>
      <c r="E2607" s="11" t="str">
        <f aca="false">IF($A2607="","",IF(원본명단!$H2606="",0,COUNTIF(원본명단!$H$3:$H$6002,원본명단!$H2606)))</f>
        <v/>
      </c>
      <c r="F2607" s="11" t="str">
        <f aca="false">IF($A2607="","",IF(원본명단!$I2606="",0,COUNTIF(원본명단!$I$3:$I$6002,원본명단!$I2606)))</f>
        <v/>
      </c>
      <c r="G2607" s="11" t="str">
        <f aca="false">IF($A2607="","",IF(원본명단!$K2606="",0,COUNTIF(원본명단!$K$3:$K$6002,원본명단!$K2606)))</f>
        <v/>
      </c>
      <c r="H2607" s="11" t="str">
        <f aca="false">IF($A2607="","",IF(MAX($E2607,$F2607,$G2607)&gt;1,"중복","-"))</f>
        <v/>
      </c>
      <c r="I2607" s="11" t="str">
        <f aca="false">IF($A2607="","",IF($H2607="-","-",IF(AND(IF(원본명단!$H2606="",TRUE(),COUNTIF(원본명단!$H$3:$H2606,원본명단!$H2606)=1),IF(원본명단!$I2606="",TRUE(),COUNTIF(원본명단!$I$3:$I2606,원본명단!$I2606)=1),IF(원본명단!$K2606="",TRUE(),COUNTIF(원본명단!$K$3:$K2606,원본명단!$K2606)=1)),"첫 건","중복 건")))</f>
        <v/>
      </c>
      <c r="J2607" s="11" t="str">
        <f aca="false">IF($A2607="","",IF($H2607="-","유지",IF($I2607="첫 건","유지","확인 필요")))</f>
        <v/>
      </c>
    </row>
    <row r="2608" customFormat="false" ht="15" hidden="false" customHeight="true" outlineLevel="0" collapsed="false">
      <c r="A2608" s="11" t="str">
        <f aca="false">IF(원본명단!$A2607="","",2605)</f>
        <v/>
      </c>
      <c r="B2608" s="12" t="str">
        <f aca="false">IF($A2608="","",원본명단!$A2607)</f>
        <v/>
      </c>
      <c r="C2608" s="12" t="str">
        <f aca="false">IF($A2608="","",원본명단!$B2607)</f>
        <v/>
      </c>
      <c r="D2608" s="12" t="str">
        <f aca="false">IF($A2608="","",원본명단!$D2607)</f>
        <v/>
      </c>
      <c r="E2608" s="11" t="str">
        <f aca="false">IF($A2608="","",IF(원본명단!$H2607="",0,COUNTIF(원본명단!$H$3:$H$6002,원본명단!$H2607)))</f>
        <v/>
      </c>
      <c r="F2608" s="11" t="str">
        <f aca="false">IF($A2608="","",IF(원본명단!$I2607="",0,COUNTIF(원본명단!$I$3:$I$6002,원본명단!$I2607)))</f>
        <v/>
      </c>
      <c r="G2608" s="11" t="str">
        <f aca="false">IF($A2608="","",IF(원본명단!$K2607="",0,COUNTIF(원본명단!$K$3:$K$6002,원본명단!$K2607)))</f>
        <v/>
      </c>
      <c r="H2608" s="11" t="str">
        <f aca="false">IF($A2608="","",IF(MAX($E2608,$F2608,$G2608)&gt;1,"중복","-"))</f>
        <v/>
      </c>
      <c r="I2608" s="11" t="str">
        <f aca="false">IF($A2608="","",IF($H2608="-","-",IF(AND(IF(원본명단!$H2607="",TRUE(),COUNTIF(원본명단!$H$3:$H2607,원본명단!$H2607)=1),IF(원본명단!$I2607="",TRUE(),COUNTIF(원본명단!$I$3:$I2607,원본명단!$I2607)=1),IF(원본명단!$K2607="",TRUE(),COUNTIF(원본명단!$K$3:$K2607,원본명단!$K2607)=1)),"첫 건","중복 건")))</f>
        <v/>
      </c>
      <c r="J2608" s="11" t="str">
        <f aca="false">IF($A2608="","",IF($H2608="-","유지",IF($I2608="첫 건","유지","확인 필요")))</f>
        <v/>
      </c>
    </row>
    <row r="2609" customFormat="false" ht="15" hidden="false" customHeight="true" outlineLevel="0" collapsed="false">
      <c r="A2609" s="11" t="str">
        <f aca="false">IF(원본명단!$A2608="","",2606)</f>
        <v/>
      </c>
      <c r="B2609" s="12" t="str">
        <f aca="false">IF($A2609="","",원본명단!$A2608)</f>
        <v/>
      </c>
      <c r="C2609" s="12" t="str">
        <f aca="false">IF($A2609="","",원본명단!$B2608)</f>
        <v/>
      </c>
      <c r="D2609" s="12" t="str">
        <f aca="false">IF($A2609="","",원본명단!$D2608)</f>
        <v/>
      </c>
      <c r="E2609" s="11" t="str">
        <f aca="false">IF($A2609="","",IF(원본명단!$H2608="",0,COUNTIF(원본명단!$H$3:$H$6002,원본명단!$H2608)))</f>
        <v/>
      </c>
      <c r="F2609" s="11" t="str">
        <f aca="false">IF($A2609="","",IF(원본명단!$I2608="",0,COUNTIF(원본명단!$I$3:$I$6002,원본명단!$I2608)))</f>
        <v/>
      </c>
      <c r="G2609" s="11" t="str">
        <f aca="false">IF($A2609="","",IF(원본명단!$K2608="",0,COUNTIF(원본명단!$K$3:$K$6002,원본명단!$K2608)))</f>
        <v/>
      </c>
      <c r="H2609" s="11" t="str">
        <f aca="false">IF($A2609="","",IF(MAX($E2609,$F2609,$G2609)&gt;1,"중복","-"))</f>
        <v/>
      </c>
      <c r="I2609" s="11" t="str">
        <f aca="false">IF($A2609="","",IF($H2609="-","-",IF(AND(IF(원본명단!$H2608="",TRUE(),COUNTIF(원본명단!$H$3:$H2608,원본명단!$H2608)=1),IF(원본명단!$I2608="",TRUE(),COUNTIF(원본명단!$I$3:$I2608,원본명단!$I2608)=1),IF(원본명단!$K2608="",TRUE(),COUNTIF(원본명단!$K$3:$K2608,원본명단!$K2608)=1)),"첫 건","중복 건")))</f>
        <v/>
      </c>
      <c r="J2609" s="11" t="str">
        <f aca="false">IF($A2609="","",IF($H2609="-","유지",IF($I2609="첫 건","유지","확인 필요")))</f>
        <v/>
      </c>
    </row>
    <row r="2610" customFormat="false" ht="15" hidden="false" customHeight="true" outlineLevel="0" collapsed="false">
      <c r="A2610" s="11" t="str">
        <f aca="false">IF(원본명단!$A2609="","",2607)</f>
        <v/>
      </c>
      <c r="B2610" s="12" t="str">
        <f aca="false">IF($A2610="","",원본명단!$A2609)</f>
        <v/>
      </c>
      <c r="C2610" s="12" t="str">
        <f aca="false">IF($A2610="","",원본명단!$B2609)</f>
        <v/>
      </c>
      <c r="D2610" s="12" t="str">
        <f aca="false">IF($A2610="","",원본명단!$D2609)</f>
        <v/>
      </c>
      <c r="E2610" s="11" t="str">
        <f aca="false">IF($A2610="","",IF(원본명단!$H2609="",0,COUNTIF(원본명단!$H$3:$H$6002,원본명단!$H2609)))</f>
        <v/>
      </c>
      <c r="F2610" s="11" t="str">
        <f aca="false">IF($A2610="","",IF(원본명단!$I2609="",0,COUNTIF(원본명단!$I$3:$I$6002,원본명단!$I2609)))</f>
        <v/>
      </c>
      <c r="G2610" s="11" t="str">
        <f aca="false">IF($A2610="","",IF(원본명단!$K2609="",0,COUNTIF(원본명단!$K$3:$K$6002,원본명단!$K2609)))</f>
        <v/>
      </c>
      <c r="H2610" s="11" t="str">
        <f aca="false">IF($A2610="","",IF(MAX($E2610,$F2610,$G2610)&gt;1,"중복","-"))</f>
        <v/>
      </c>
      <c r="I2610" s="11" t="str">
        <f aca="false">IF($A2610="","",IF($H2610="-","-",IF(AND(IF(원본명단!$H2609="",TRUE(),COUNTIF(원본명단!$H$3:$H2609,원본명단!$H2609)=1),IF(원본명단!$I2609="",TRUE(),COUNTIF(원본명단!$I$3:$I2609,원본명단!$I2609)=1),IF(원본명단!$K2609="",TRUE(),COUNTIF(원본명단!$K$3:$K2609,원본명단!$K2609)=1)),"첫 건","중복 건")))</f>
        <v/>
      </c>
      <c r="J2610" s="11" t="str">
        <f aca="false">IF($A2610="","",IF($H2610="-","유지",IF($I2610="첫 건","유지","확인 필요")))</f>
        <v/>
      </c>
    </row>
    <row r="2611" customFormat="false" ht="15" hidden="false" customHeight="true" outlineLevel="0" collapsed="false">
      <c r="A2611" s="11" t="str">
        <f aca="false">IF(원본명단!$A2610="","",2608)</f>
        <v/>
      </c>
      <c r="B2611" s="12" t="str">
        <f aca="false">IF($A2611="","",원본명단!$A2610)</f>
        <v/>
      </c>
      <c r="C2611" s="12" t="str">
        <f aca="false">IF($A2611="","",원본명단!$B2610)</f>
        <v/>
      </c>
      <c r="D2611" s="12" t="str">
        <f aca="false">IF($A2611="","",원본명단!$D2610)</f>
        <v/>
      </c>
      <c r="E2611" s="11" t="str">
        <f aca="false">IF($A2611="","",IF(원본명단!$H2610="",0,COUNTIF(원본명단!$H$3:$H$6002,원본명단!$H2610)))</f>
        <v/>
      </c>
      <c r="F2611" s="11" t="str">
        <f aca="false">IF($A2611="","",IF(원본명단!$I2610="",0,COUNTIF(원본명단!$I$3:$I$6002,원본명단!$I2610)))</f>
        <v/>
      </c>
      <c r="G2611" s="11" t="str">
        <f aca="false">IF($A2611="","",IF(원본명단!$K2610="",0,COUNTIF(원본명단!$K$3:$K$6002,원본명단!$K2610)))</f>
        <v/>
      </c>
      <c r="H2611" s="11" t="str">
        <f aca="false">IF($A2611="","",IF(MAX($E2611,$F2611,$G2611)&gt;1,"중복","-"))</f>
        <v/>
      </c>
      <c r="I2611" s="11" t="str">
        <f aca="false">IF($A2611="","",IF($H2611="-","-",IF(AND(IF(원본명단!$H2610="",TRUE(),COUNTIF(원본명단!$H$3:$H2610,원본명단!$H2610)=1),IF(원본명단!$I2610="",TRUE(),COUNTIF(원본명단!$I$3:$I2610,원본명단!$I2610)=1),IF(원본명단!$K2610="",TRUE(),COUNTIF(원본명단!$K$3:$K2610,원본명단!$K2610)=1)),"첫 건","중복 건")))</f>
        <v/>
      </c>
      <c r="J2611" s="11" t="str">
        <f aca="false">IF($A2611="","",IF($H2611="-","유지",IF($I2611="첫 건","유지","확인 필요")))</f>
        <v/>
      </c>
    </row>
    <row r="2612" customFormat="false" ht="15" hidden="false" customHeight="true" outlineLevel="0" collapsed="false">
      <c r="A2612" s="11" t="str">
        <f aca="false">IF(원본명단!$A2611="","",2609)</f>
        <v/>
      </c>
      <c r="B2612" s="12" t="str">
        <f aca="false">IF($A2612="","",원본명단!$A2611)</f>
        <v/>
      </c>
      <c r="C2612" s="12" t="str">
        <f aca="false">IF($A2612="","",원본명단!$B2611)</f>
        <v/>
      </c>
      <c r="D2612" s="12" t="str">
        <f aca="false">IF($A2612="","",원본명단!$D2611)</f>
        <v/>
      </c>
      <c r="E2612" s="11" t="str">
        <f aca="false">IF($A2612="","",IF(원본명단!$H2611="",0,COUNTIF(원본명단!$H$3:$H$6002,원본명단!$H2611)))</f>
        <v/>
      </c>
      <c r="F2612" s="11" t="str">
        <f aca="false">IF($A2612="","",IF(원본명단!$I2611="",0,COUNTIF(원본명단!$I$3:$I$6002,원본명단!$I2611)))</f>
        <v/>
      </c>
      <c r="G2612" s="11" t="str">
        <f aca="false">IF($A2612="","",IF(원본명단!$K2611="",0,COUNTIF(원본명단!$K$3:$K$6002,원본명단!$K2611)))</f>
        <v/>
      </c>
      <c r="H2612" s="11" t="str">
        <f aca="false">IF($A2612="","",IF(MAX($E2612,$F2612,$G2612)&gt;1,"중복","-"))</f>
        <v/>
      </c>
      <c r="I2612" s="11" t="str">
        <f aca="false">IF($A2612="","",IF($H2612="-","-",IF(AND(IF(원본명단!$H2611="",TRUE(),COUNTIF(원본명단!$H$3:$H2611,원본명단!$H2611)=1),IF(원본명단!$I2611="",TRUE(),COUNTIF(원본명단!$I$3:$I2611,원본명단!$I2611)=1),IF(원본명단!$K2611="",TRUE(),COUNTIF(원본명단!$K$3:$K2611,원본명단!$K2611)=1)),"첫 건","중복 건")))</f>
        <v/>
      </c>
      <c r="J2612" s="11" t="str">
        <f aca="false">IF($A2612="","",IF($H2612="-","유지",IF($I2612="첫 건","유지","확인 필요")))</f>
        <v/>
      </c>
    </row>
    <row r="2613" customFormat="false" ht="15" hidden="false" customHeight="true" outlineLevel="0" collapsed="false">
      <c r="A2613" s="11" t="str">
        <f aca="false">IF(원본명단!$A2612="","",2610)</f>
        <v/>
      </c>
      <c r="B2613" s="12" t="str">
        <f aca="false">IF($A2613="","",원본명단!$A2612)</f>
        <v/>
      </c>
      <c r="C2613" s="12" t="str">
        <f aca="false">IF($A2613="","",원본명단!$B2612)</f>
        <v/>
      </c>
      <c r="D2613" s="12" t="str">
        <f aca="false">IF($A2613="","",원본명단!$D2612)</f>
        <v/>
      </c>
      <c r="E2613" s="11" t="str">
        <f aca="false">IF($A2613="","",IF(원본명단!$H2612="",0,COUNTIF(원본명단!$H$3:$H$6002,원본명단!$H2612)))</f>
        <v/>
      </c>
      <c r="F2613" s="11" t="str">
        <f aca="false">IF($A2613="","",IF(원본명단!$I2612="",0,COUNTIF(원본명단!$I$3:$I$6002,원본명단!$I2612)))</f>
        <v/>
      </c>
      <c r="G2613" s="11" t="str">
        <f aca="false">IF($A2613="","",IF(원본명단!$K2612="",0,COUNTIF(원본명단!$K$3:$K$6002,원본명단!$K2612)))</f>
        <v/>
      </c>
      <c r="H2613" s="11" t="str">
        <f aca="false">IF($A2613="","",IF(MAX($E2613,$F2613,$G2613)&gt;1,"중복","-"))</f>
        <v/>
      </c>
      <c r="I2613" s="11" t="str">
        <f aca="false">IF($A2613="","",IF($H2613="-","-",IF(AND(IF(원본명단!$H2612="",TRUE(),COUNTIF(원본명단!$H$3:$H2612,원본명단!$H2612)=1),IF(원본명단!$I2612="",TRUE(),COUNTIF(원본명단!$I$3:$I2612,원본명단!$I2612)=1),IF(원본명단!$K2612="",TRUE(),COUNTIF(원본명단!$K$3:$K2612,원본명단!$K2612)=1)),"첫 건","중복 건")))</f>
        <v/>
      </c>
      <c r="J2613" s="11" t="str">
        <f aca="false">IF($A2613="","",IF($H2613="-","유지",IF($I2613="첫 건","유지","확인 필요")))</f>
        <v/>
      </c>
    </row>
    <row r="2614" customFormat="false" ht="15" hidden="false" customHeight="true" outlineLevel="0" collapsed="false">
      <c r="A2614" s="11" t="str">
        <f aca="false">IF(원본명단!$A2613="","",2611)</f>
        <v/>
      </c>
      <c r="B2614" s="12" t="str">
        <f aca="false">IF($A2614="","",원본명단!$A2613)</f>
        <v/>
      </c>
      <c r="C2614" s="12" t="str">
        <f aca="false">IF($A2614="","",원본명단!$B2613)</f>
        <v/>
      </c>
      <c r="D2614" s="12" t="str">
        <f aca="false">IF($A2614="","",원본명단!$D2613)</f>
        <v/>
      </c>
      <c r="E2614" s="11" t="str">
        <f aca="false">IF($A2614="","",IF(원본명단!$H2613="",0,COUNTIF(원본명단!$H$3:$H$6002,원본명단!$H2613)))</f>
        <v/>
      </c>
      <c r="F2614" s="11" t="str">
        <f aca="false">IF($A2614="","",IF(원본명단!$I2613="",0,COUNTIF(원본명단!$I$3:$I$6002,원본명단!$I2613)))</f>
        <v/>
      </c>
      <c r="G2614" s="11" t="str">
        <f aca="false">IF($A2614="","",IF(원본명단!$K2613="",0,COUNTIF(원본명단!$K$3:$K$6002,원본명단!$K2613)))</f>
        <v/>
      </c>
      <c r="H2614" s="11" t="str">
        <f aca="false">IF($A2614="","",IF(MAX($E2614,$F2614,$G2614)&gt;1,"중복","-"))</f>
        <v/>
      </c>
      <c r="I2614" s="11" t="str">
        <f aca="false">IF($A2614="","",IF($H2614="-","-",IF(AND(IF(원본명단!$H2613="",TRUE(),COUNTIF(원본명단!$H$3:$H2613,원본명단!$H2613)=1),IF(원본명단!$I2613="",TRUE(),COUNTIF(원본명단!$I$3:$I2613,원본명단!$I2613)=1),IF(원본명단!$K2613="",TRUE(),COUNTIF(원본명단!$K$3:$K2613,원본명단!$K2613)=1)),"첫 건","중복 건")))</f>
        <v/>
      </c>
      <c r="J2614" s="11" t="str">
        <f aca="false">IF($A2614="","",IF($H2614="-","유지",IF($I2614="첫 건","유지","확인 필요")))</f>
        <v/>
      </c>
    </row>
    <row r="2615" customFormat="false" ht="15" hidden="false" customHeight="true" outlineLevel="0" collapsed="false">
      <c r="A2615" s="11" t="str">
        <f aca="false">IF(원본명단!$A2614="","",2612)</f>
        <v/>
      </c>
      <c r="B2615" s="12" t="str">
        <f aca="false">IF($A2615="","",원본명단!$A2614)</f>
        <v/>
      </c>
      <c r="C2615" s="12" t="str">
        <f aca="false">IF($A2615="","",원본명단!$B2614)</f>
        <v/>
      </c>
      <c r="D2615" s="12" t="str">
        <f aca="false">IF($A2615="","",원본명단!$D2614)</f>
        <v/>
      </c>
      <c r="E2615" s="11" t="str">
        <f aca="false">IF($A2615="","",IF(원본명단!$H2614="",0,COUNTIF(원본명단!$H$3:$H$6002,원본명단!$H2614)))</f>
        <v/>
      </c>
      <c r="F2615" s="11" t="str">
        <f aca="false">IF($A2615="","",IF(원본명단!$I2614="",0,COUNTIF(원본명단!$I$3:$I$6002,원본명단!$I2614)))</f>
        <v/>
      </c>
      <c r="G2615" s="11" t="str">
        <f aca="false">IF($A2615="","",IF(원본명단!$K2614="",0,COUNTIF(원본명단!$K$3:$K$6002,원본명단!$K2614)))</f>
        <v/>
      </c>
      <c r="H2615" s="11" t="str">
        <f aca="false">IF($A2615="","",IF(MAX($E2615,$F2615,$G2615)&gt;1,"중복","-"))</f>
        <v/>
      </c>
      <c r="I2615" s="11" t="str">
        <f aca="false">IF($A2615="","",IF($H2615="-","-",IF(AND(IF(원본명단!$H2614="",TRUE(),COUNTIF(원본명단!$H$3:$H2614,원본명단!$H2614)=1),IF(원본명단!$I2614="",TRUE(),COUNTIF(원본명단!$I$3:$I2614,원본명단!$I2614)=1),IF(원본명단!$K2614="",TRUE(),COUNTIF(원본명단!$K$3:$K2614,원본명단!$K2614)=1)),"첫 건","중복 건")))</f>
        <v/>
      </c>
      <c r="J2615" s="11" t="str">
        <f aca="false">IF($A2615="","",IF($H2615="-","유지",IF($I2615="첫 건","유지","확인 필요")))</f>
        <v/>
      </c>
    </row>
    <row r="2616" customFormat="false" ht="15" hidden="false" customHeight="true" outlineLevel="0" collapsed="false">
      <c r="A2616" s="11" t="str">
        <f aca="false">IF(원본명단!$A2615="","",2613)</f>
        <v/>
      </c>
      <c r="B2616" s="12" t="str">
        <f aca="false">IF($A2616="","",원본명단!$A2615)</f>
        <v/>
      </c>
      <c r="C2616" s="12" t="str">
        <f aca="false">IF($A2616="","",원본명단!$B2615)</f>
        <v/>
      </c>
      <c r="D2616" s="12" t="str">
        <f aca="false">IF($A2616="","",원본명단!$D2615)</f>
        <v/>
      </c>
      <c r="E2616" s="11" t="str">
        <f aca="false">IF($A2616="","",IF(원본명단!$H2615="",0,COUNTIF(원본명단!$H$3:$H$6002,원본명단!$H2615)))</f>
        <v/>
      </c>
      <c r="F2616" s="11" t="str">
        <f aca="false">IF($A2616="","",IF(원본명단!$I2615="",0,COUNTIF(원본명단!$I$3:$I$6002,원본명단!$I2615)))</f>
        <v/>
      </c>
      <c r="G2616" s="11" t="str">
        <f aca="false">IF($A2616="","",IF(원본명단!$K2615="",0,COUNTIF(원본명단!$K$3:$K$6002,원본명단!$K2615)))</f>
        <v/>
      </c>
      <c r="H2616" s="11" t="str">
        <f aca="false">IF($A2616="","",IF(MAX($E2616,$F2616,$G2616)&gt;1,"중복","-"))</f>
        <v/>
      </c>
      <c r="I2616" s="11" t="str">
        <f aca="false">IF($A2616="","",IF($H2616="-","-",IF(AND(IF(원본명단!$H2615="",TRUE(),COUNTIF(원본명단!$H$3:$H2615,원본명단!$H2615)=1),IF(원본명단!$I2615="",TRUE(),COUNTIF(원본명단!$I$3:$I2615,원본명단!$I2615)=1),IF(원본명단!$K2615="",TRUE(),COUNTIF(원본명단!$K$3:$K2615,원본명단!$K2615)=1)),"첫 건","중복 건")))</f>
        <v/>
      </c>
      <c r="J2616" s="11" t="str">
        <f aca="false">IF($A2616="","",IF($H2616="-","유지",IF($I2616="첫 건","유지","확인 필요")))</f>
        <v/>
      </c>
    </row>
    <row r="2617" customFormat="false" ht="15" hidden="false" customHeight="true" outlineLevel="0" collapsed="false">
      <c r="A2617" s="11" t="str">
        <f aca="false">IF(원본명단!$A2616="","",2614)</f>
        <v/>
      </c>
      <c r="B2617" s="12" t="str">
        <f aca="false">IF($A2617="","",원본명단!$A2616)</f>
        <v/>
      </c>
      <c r="C2617" s="12" t="str">
        <f aca="false">IF($A2617="","",원본명단!$B2616)</f>
        <v/>
      </c>
      <c r="D2617" s="12" t="str">
        <f aca="false">IF($A2617="","",원본명단!$D2616)</f>
        <v/>
      </c>
      <c r="E2617" s="11" t="str">
        <f aca="false">IF($A2617="","",IF(원본명단!$H2616="",0,COUNTIF(원본명단!$H$3:$H$6002,원본명단!$H2616)))</f>
        <v/>
      </c>
      <c r="F2617" s="11" t="str">
        <f aca="false">IF($A2617="","",IF(원본명단!$I2616="",0,COUNTIF(원본명단!$I$3:$I$6002,원본명단!$I2616)))</f>
        <v/>
      </c>
      <c r="G2617" s="11" t="str">
        <f aca="false">IF($A2617="","",IF(원본명단!$K2616="",0,COUNTIF(원본명단!$K$3:$K$6002,원본명단!$K2616)))</f>
        <v/>
      </c>
      <c r="H2617" s="11" t="str">
        <f aca="false">IF($A2617="","",IF(MAX($E2617,$F2617,$G2617)&gt;1,"중복","-"))</f>
        <v/>
      </c>
      <c r="I2617" s="11" t="str">
        <f aca="false">IF($A2617="","",IF($H2617="-","-",IF(AND(IF(원본명단!$H2616="",TRUE(),COUNTIF(원본명단!$H$3:$H2616,원본명단!$H2616)=1),IF(원본명단!$I2616="",TRUE(),COUNTIF(원본명단!$I$3:$I2616,원본명단!$I2616)=1),IF(원본명단!$K2616="",TRUE(),COUNTIF(원본명단!$K$3:$K2616,원본명단!$K2616)=1)),"첫 건","중복 건")))</f>
        <v/>
      </c>
      <c r="J2617" s="11" t="str">
        <f aca="false">IF($A2617="","",IF($H2617="-","유지",IF($I2617="첫 건","유지","확인 필요")))</f>
        <v/>
      </c>
    </row>
    <row r="2618" customFormat="false" ht="15" hidden="false" customHeight="true" outlineLevel="0" collapsed="false">
      <c r="A2618" s="11" t="str">
        <f aca="false">IF(원본명단!$A2617="","",2615)</f>
        <v/>
      </c>
      <c r="B2618" s="12" t="str">
        <f aca="false">IF($A2618="","",원본명단!$A2617)</f>
        <v/>
      </c>
      <c r="C2618" s="12" t="str">
        <f aca="false">IF($A2618="","",원본명단!$B2617)</f>
        <v/>
      </c>
      <c r="D2618" s="12" t="str">
        <f aca="false">IF($A2618="","",원본명단!$D2617)</f>
        <v/>
      </c>
      <c r="E2618" s="11" t="str">
        <f aca="false">IF($A2618="","",IF(원본명단!$H2617="",0,COUNTIF(원본명단!$H$3:$H$6002,원본명단!$H2617)))</f>
        <v/>
      </c>
      <c r="F2618" s="11" t="str">
        <f aca="false">IF($A2618="","",IF(원본명단!$I2617="",0,COUNTIF(원본명단!$I$3:$I$6002,원본명단!$I2617)))</f>
        <v/>
      </c>
      <c r="G2618" s="11" t="str">
        <f aca="false">IF($A2618="","",IF(원본명단!$K2617="",0,COUNTIF(원본명단!$K$3:$K$6002,원본명단!$K2617)))</f>
        <v/>
      </c>
      <c r="H2618" s="11" t="str">
        <f aca="false">IF($A2618="","",IF(MAX($E2618,$F2618,$G2618)&gt;1,"중복","-"))</f>
        <v/>
      </c>
      <c r="I2618" s="11" t="str">
        <f aca="false">IF($A2618="","",IF($H2618="-","-",IF(AND(IF(원본명단!$H2617="",TRUE(),COUNTIF(원본명단!$H$3:$H2617,원본명단!$H2617)=1),IF(원본명단!$I2617="",TRUE(),COUNTIF(원본명단!$I$3:$I2617,원본명단!$I2617)=1),IF(원본명단!$K2617="",TRUE(),COUNTIF(원본명단!$K$3:$K2617,원본명단!$K2617)=1)),"첫 건","중복 건")))</f>
        <v/>
      </c>
      <c r="J2618" s="11" t="str">
        <f aca="false">IF($A2618="","",IF($H2618="-","유지",IF($I2618="첫 건","유지","확인 필요")))</f>
        <v/>
      </c>
    </row>
    <row r="2619" customFormat="false" ht="15" hidden="false" customHeight="true" outlineLevel="0" collapsed="false">
      <c r="A2619" s="11" t="str">
        <f aca="false">IF(원본명단!$A2618="","",2616)</f>
        <v/>
      </c>
      <c r="B2619" s="12" t="str">
        <f aca="false">IF($A2619="","",원본명단!$A2618)</f>
        <v/>
      </c>
      <c r="C2619" s="12" t="str">
        <f aca="false">IF($A2619="","",원본명단!$B2618)</f>
        <v/>
      </c>
      <c r="D2619" s="12" t="str">
        <f aca="false">IF($A2619="","",원본명단!$D2618)</f>
        <v/>
      </c>
      <c r="E2619" s="11" t="str">
        <f aca="false">IF($A2619="","",IF(원본명단!$H2618="",0,COUNTIF(원본명단!$H$3:$H$6002,원본명단!$H2618)))</f>
        <v/>
      </c>
      <c r="F2619" s="11" t="str">
        <f aca="false">IF($A2619="","",IF(원본명단!$I2618="",0,COUNTIF(원본명단!$I$3:$I$6002,원본명단!$I2618)))</f>
        <v/>
      </c>
      <c r="G2619" s="11" t="str">
        <f aca="false">IF($A2619="","",IF(원본명단!$K2618="",0,COUNTIF(원본명단!$K$3:$K$6002,원본명단!$K2618)))</f>
        <v/>
      </c>
      <c r="H2619" s="11" t="str">
        <f aca="false">IF($A2619="","",IF(MAX($E2619,$F2619,$G2619)&gt;1,"중복","-"))</f>
        <v/>
      </c>
      <c r="I2619" s="11" t="str">
        <f aca="false">IF($A2619="","",IF($H2619="-","-",IF(AND(IF(원본명단!$H2618="",TRUE(),COUNTIF(원본명단!$H$3:$H2618,원본명단!$H2618)=1),IF(원본명단!$I2618="",TRUE(),COUNTIF(원본명단!$I$3:$I2618,원본명단!$I2618)=1),IF(원본명단!$K2618="",TRUE(),COUNTIF(원본명단!$K$3:$K2618,원본명단!$K2618)=1)),"첫 건","중복 건")))</f>
        <v/>
      </c>
      <c r="J2619" s="11" t="str">
        <f aca="false">IF($A2619="","",IF($H2619="-","유지",IF($I2619="첫 건","유지","확인 필요")))</f>
        <v/>
      </c>
    </row>
    <row r="2620" customFormat="false" ht="15" hidden="false" customHeight="true" outlineLevel="0" collapsed="false">
      <c r="A2620" s="11" t="str">
        <f aca="false">IF(원본명단!$A2619="","",2617)</f>
        <v/>
      </c>
      <c r="B2620" s="12" t="str">
        <f aca="false">IF($A2620="","",원본명단!$A2619)</f>
        <v/>
      </c>
      <c r="C2620" s="12" t="str">
        <f aca="false">IF($A2620="","",원본명단!$B2619)</f>
        <v/>
      </c>
      <c r="D2620" s="12" t="str">
        <f aca="false">IF($A2620="","",원본명단!$D2619)</f>
        <v/>
      </c>
      <c r="E2620" s="11" t="str">
        <f aca="false">IF($A2620="","",IF(원본명단!$H2619="",0,COUNTIF(원본명단!$H$3:$H$6002,원본명단!$H2619)))</f>
        <v/>
      </c>
      <c r="F2620" s="11" t="str">
        <f aca="false">IF($A2620="","",IF(원본명단!$I2619="",0,COUNTIF(원본명단!$I$3:$I$6002,원본명단!$I2619)))</f>
        <v/>
      </c>
      <c r="G2620" s="11" t="str">
        <f aca="false">IF($A2620="","",IF(원본명단!$K2619="",0,COUNTIF(원본명단!$K$3:$K$6002,원본명단!$K2619)))</f>
        <v/>
      </c>
      <c r="H2620" s="11" t="str">
        <f aca="false">IF($A2620="","",IF(MAX($E2620,$F2620,$G2620)&gt;1,"중복","-"))</f>
        <v/>
      </c>
      <c r="I2620" s="11" t="str">
        <f aca="false">IF($A2620="","",IF($H2620="-","-",IF(AND(IF(원본명단!$H2619="",TRUE(),COUNTIF(원본명단!$H$3:$H2619,원본명단!$H2619)=1),IF(원본명단!$I2619="",TRUE(),COUNTIF(원본명단!$I$3:$I2619,원본명단!$I2619)=1),IF(원본명단!$K2619="",TRUE(),COUNTIF(원본명단!$K$3:$K2619,원본명단!$K2619)=1)),"첫 건","중복 건")))</f>
        <v/>
      </c>
      <c r="J2620" s="11" t="str">
        <f aca="false">IF($A2620="","",IF($H2620="-","유지",IF($I2620="첫 건","유지","확인 필요")))</f>
        <v/>
      </c>
    </row>
    <row r="2621" customFormat="false" ht="15" hidden="false" customHeight="true" outlineLevel="0" collapsed="false">
      <c r="A2621" s="11" t="str">
        <f aca="false">IF(원본명단!$A2620="","",2618)</f>
        <v/>
      </c>
      <c r="B2621" s="12" t="str">
        <f aca="false">IF($A2621="","",원본명단!$A2620)</f>
        <v/>
      </c>
      <c r="C2621" s="12" t="str">
        <f aca="false">IF($A2621="","",원본명단!$B2620)</f>
        <v/>
      </c>
      <c r="D2621" s="12" t="str">
        <f aca="false">IF($A2621="","",원본명단!$D2620)</f>
        <v/>
      </c>
      <c r="E2621" s="11" t="str">
        <f aca="false">IF($A2621="","",IF(원본명단!$H2620="",0,COUNTIF(원본명단!$H$3:$H$6002,원본명단!$H2620)))</f>
        <v/>
      </c>
      <c r="F2621" s="11" t="str">
        <f aca="false">IF($A2621="","",IF(원본명단!$I2620="",0,COUNTIF(원본명단!$I$3:$I$6002,원본명단!$I2620)))</f>
        <v/>
      </c>
      <c r="G2621" s="11" t="str">
        <f aca="false">IF($A2621="","",IF(원본명단!$K2620="",0,COUNTIF(원본명단!$K$3:$K$6002,원본명단!$K2620)))</f>
        <v/>
      </c>
      <c r="H2621" s="11" t="str">
        <f aca="false">IF($A2621="","",IF(MAX($E2621,$F2621,$G2621)&gt;1,"중복","-"))</f>
        <v/>
      </c>
      <c r="I2621" s="11" t="str">
        <f aca="false">IF($A2621="","",IF($H2621="-","-",IF(AND(IF(원본명단!$H2620="",TRUE(),COUNTIF(원본명단!$H$3:$H2620,원본명단!$H2620)=1),IF(원본명단!$I2620="",TRUE(),COUNTIF(원본명단!$I$3:$I2620,원본명단!$I2620)=1),IF(원본명단!$K2620="",TRUE(),COUNTIF(원본명단!$K$3:$K2620,원본명단!$K2620)=1)),"첫 건","중복 건")))</f>
        <v/>
      </c>
      <c r="J2621" s="11" t="str">
        <f aca="false">IF($A2621="","",IF($H2621="-","유지",IF($I2621="첫 건","유지","확인 필요")))</f>
        <v/>
      </c>
    </row>
    <row r="2622" customFormat="false" ht="15" hidden="false" customHeight="true" outlineLevel="0" collapsed="false">
      <c r="A2622" s="11" t="str">
        <f aca="false">IF(원본명단!$A2621="","",2619)</f>
        <v/>
      </c>
      <c r="B2622" s="12" t="str">
        <f aca="false">IF($A2622="","",원본명단!$A2621)</f>
        <v/>
      </c>
      <c r="C2622" s="12" t="str">
        <f aca="false">IF($A2622="","",원본명단!$B2621)</f>
        <v/>
      </c>
      <c r="D2622" s="12" t="str">
        <f aca="false">IF($A2622="","",원본명단!$D2621)</f>
        <v/>
      </c>
      <c r="E2622" s="11" t="str">
        <f aca="false">IF($A2622="","",IF(원본명단!$H2621="",0,COUNTIF(원본명단!$H$3:$H$6002,원본명단!$H2621)))</f>
        <v/>
      </c>
      <c r="F2622" s="11" t="str">
        <f aca="false">IF($A2622="","",IF(원본명단!$I2621="",0,COUNTIF(원본명단!$I$3:$I$6002,원본명단!$I2621)))</f>
        <v/>
      </c>
      <c r="G2622" s="11" t="str">
        <f aca="false">IF($A2622="","",IF(원본명단!$K2621="",0,COUNTIF(원본명단!$K$3:$K$6002,원본명단!$K2621)))</f>
        <v/>
      </c>
      <c r="H2622" s="11" t="str">
        <f aca="false">IF($A2622="","",IF(MAX($E2622,$F2622,$G2622)&gt;1,"중복","-"))</f>
        <v/>
      </c>
      <c r="I2622" s="11" t="str">
        <f aca="false">IF($A2622="","",IF($H2622="-","-",IF(AND(IF(원본명단!$H2621="",TRUE(),COUNTIF(원본명단!$H$3:$H2621,원본명단!$H2621)=1),IF(원본명단!$I2621="",TRUE(),COUNTIF(원본명단!$I$3:$I2621,원본명단!$I2621)=1),IF(원본명단!$K2621="",TRUE(),COUNTIF(원본명단!$K$3:$K2621,원본명단!$K2621)=1)),"첫 건","중복 건")))</f>
        <v/>
      </c>
      <c r="J2622" s="11" t="str">
        <f aca="false">IF($A2622="","",IF($H2622="-","유지",IF($I2622="첫 건","유지","확인 필요")))</f>
        <v/>
      </c>
    </row>
    <row r="2623" customFormat="false" ht="15" hidden="false" customHeight="true" outlineLevel="0" collapsed="false">
      <c r="A2623" s="11" t="str">
        <f aca="false">IF(원본명단!$A2622="","",2620)</f>
        <v/>
      </c>
      <c r="B2623" s="12" t="str">
        <f aca="false">IF($A2623="","",원본명단!$A2622)</f>
        <v/>
      </c>
      <c r="C2623" s="12" t="str">
        <f aca="false">IF($A2623="","",원본명단!$B2622)</f>
        <v/>
      </c>
      <c r="D2623" s="12" t="str">
        <f aca="false">IF($A2623="","",원본명단!$D2622)</f>
        <v/>
      </c>
      <c r="E2623" s="11" t="str">
        <f aca="false">IF($A2623="","",IF(원본명단!$H2622="",0,COUNTIF(원본명단!$H$3:$H$6002,원본명단!$H2622)))</f>
        <v/>
      </c>
      <c r="F2623" s="11" t="str">
        <f aca="false">IF($A2623="","",IF(원본명단!$I2622="",0,COUNTIF(원본명단!$I$3:$I$6002,원본명단!$I2622)))</f>
        <v/>
      </c>
      <c r="G2623" s="11" t="str">
        <f aca="false">IF($A2623="","",IF(원본명단!$K2622="",0,COUNTIF(원본명단!$K$3:$K$6002,원본명단!$K2622)))</f>
        <v/>
      </c>
      <c r="H2623" s="11" t="str">
        <f aca="false">IF($A2623="","",IF(MAX($E2623,$F2623,$G2623)&gt;1,"중복","-"))</f>
        <v/>
      </c>
      <c r="I2623" s="11" t="str">
        <f aca="false">IF($A2623="","",IF($H2623="-","-",IF(AND(IF(원본명단!$H2622="",TRUE(),COUNTIF(원본명단!$H$3:$H2622,원본명단!$H2622)=1),IF(원본명단!$I2622="",TRUE(),COUNTIF(원본명단!$I$3:$I2622,원본명단!$I2622)=1),IF(원본명단!$K2622="",TRUE(),COUNTIF(원본명단!$K$3:$K2622,원본명단!$K2622)=1)),"첫 건","중복 건")))</f>
        <v/>
      </c>
      <c r="J2623" s="11" t="str">
        <f aca="false">IF($A2623="","",IF($H2623="-","유지",IF($I2623="첫 건","유지","확인 필요")))</f>
        <v/>
      </c>
    </row>
    <row r="2624" customFormat="false" ht="15" hidden="false" customHeight="true" outlineLevel="0" collapsed="false">
      <c r="A2624" s="11" t="str">
        <f aca="false">IF(원본명단!$A2623="","",2621)</f>
        <v/>
      </c>
      <c r="B2624" s="12" t="str">
        <f aca="false">IF($A2624="","",원본명단!$A2623)</f>
        <v/>
      </c>
      <c r="C2624" s="12" t="str">
        <f aca="false">IF($A2624="","",원본명단!$B2623)</f>
        <v/>
      </c>
      <c r="D2624" s="12" t="str">
        <f aca="false">IF($A2624="","",원본명단!$D2623)</f>
        <v/>
      </c>
      <c r="E2624" s="11" t="str">
        <f aca="false">IF($A2624="","",IF(원본명단!$H2623="",0,COUNTIF(원본명단!$H$3:$H$6002,원본명단!$H2623)))</f>
        <v/>
      </c>
      <c r="F2624" s="11" t="str">
        <f aca="false">IF($A2624="","",IF(원본명단!$I2623="",0,COUNTIF(원본명단!$I$3:$I$6002,원본명단!$I2623)))</f>
        <v/>
      </c>
      <c r="G2624" s="11" t="str">
        <f aca="false">IF($A2624="","",IF(원본명단!$K2623="",0,COUNTIF(원본명단!$K$3:$K$6002,원본명단!$K2623)))</f>
        <v/>
      </c>
      <c r="H2624" s="11" t="str">
        <f aca="false">IF($A2624="","",IF(MAX($E2624,$F2624,$G2624)&gt;1,"중복","-"))</f>
        <v/>
      </c>
      <c r="I2624" s="11" t="str">
        <f aca="false">IF($A2624="","",IF($H2624="-","-",IF(AND(IF(원본명단!$H2623="",TRUE(),COUNTIF(원본명단!$H$3:$H2623,원본명단!$H2623)=1),IF(원본명단!$I2623="",TRUE(),COUNTIF(원본명단!$I$3:$I2623,원본명단!$I2623)=1),IF(원본명단!$K2623="",TRUE(),COUNTIF(원본명단!$K$3:$K2623,원본명단!$K2623)=1)),"첫 건","중복 건")))</f>
        <v/>
      </c>
      <c r="J2624" s="11" t="str">
        <f aca="false">IF($A2624="","",IF($H2624="-","유지",IF($I2624="첫 건","유지","확인 필요")))</f>
        <v/>
      </c>
    </row>
    <row r="2625" customFormat="false" ht="15" hidden="false" customHeight="true" outlineLevel="0" collapsed="false">
      <c r="A2625" s="11" t="str">
        <f aca="false">IF(원본명단!$A2624="","",2622)</f>
        <v/>
      </c>
      <c r="B2625" s="12" t="str">
        <f aca="false">IF($A2625="","",원본명단!$A2624)</f>
        <v/>
      </c>
      <c r="C2625" s="12" t="str">
        <f aca="false">IF($A2625="","",원본명단!$B2624)</f>
        <v/>
      </c>
      <c r="D2625" s="12" t="str">
        <f aca="false">IF($A2625="","",원본명단!$D2624)</f>
        <v/>
      </c>
      <c r="E2625" s="11" t="str">
        <f aca="false">IF($A2625="","",IF(원본명단!$H2624="",0,COUNTIF(원본명단!$H$3:$H$6002,원본명단!$H2624)))</f>
        <v/>
      </c>
      <c r="F2625" s="11" t="str">
        <f aca="false">IF($A2625="","",IF(원본명단!$I2624="",0,COUNTIF(원본명단!$I$3:$I$6002,원본명단!$I2624)))</f>
        <v/>
      </c>
      <c r="G2625" s="11" t="str">
        <f aca="false">IF($A2625="","",IF(원본명단!$K2624="",0,COUNTIF(원본명단!$K$3:$K$6002,원본명단!$K2624)))</f>
        <v/>
      </c>
      <c r="H2625" s="11" t="str">
        <f aca="false">IF($A2625="","",IF(MAX($E2625,$F2625,$G2625)&gt;1,"중복","-"))</f>
        <v/>
      </c>
      <c r="I2625" s="11" t="str">
        <f aca="false">IF($A2625="","",IF($H2625="-","-",IF(AND(IF(원본명단!$H2624="",TRUE(),COUNTIF(원본명단!$H$3:$H2624,원본명단!$H2624)=1),IF(원본명단!$I2624="",TRUE(),COUNTIF(원본명단!$I$3:$I2624,원본명단!$I2624)=1),IF(원본명단!$K2624="",TRUE(),COUNTIF(원본명단!$K$3:$K2624,원본명단!$K2624)=1)),"첫 건","중복 건")))</f>
        <v/>
      </c>
      <c r="J2625" s="11" t="str">
        <f aca="false">IF($A2625="","",IF($H2625="-","유지",IF($I2625="첫 건","유지","확인 필요")))</f>
        <v/>
      </c>
    </row>
    <row r="2626" customFormat="false" ht="15" hidden="false" customHeight="true" outlineLevel="0" collapsed="false">
      <c r="A2626" s="11" t="str">
        <f aca="false">IF(원본명단!$A2625="","",2623)</f>
        <v/>
      </c>
      <c r="B2626" s="12" t="str">
        <f aca="false">IF($A2626="","",원본명단!$A2625)</f>
        <v/>
      </c>
      <c r="C2626" s="12" t="str">
        <f aca="false">IF($A2626="","",원본명단!$B2625)</f>
        <v/>
      </c>
      <c r="D2626" s="12" t="str">
        <f aca="false">IF($A2626="","",원본명단!$D2625)</f>
        <v/>
      </c>
      <c r="E2626" s="11" t="str">
        <f aca="false">IF($A2626="","",IF(원본명단!$H2625="",0,COUNTIF(원본명단!$H$3:$H$6002,원본명단!$H2625)))</f>
        <v/>
      </c>
      <c r="F2626" s="11" t="str">
        <f aca="false">IF($A2626="","",IF(원본명단!$I2625="",0,COUNTIF(원본명단!$I$3:$I$6002,원본명단!$I2625)))</f>
        <v/>
      </c>
      <c r="G2626" s="11" t="str">
        <f aca="false">IF($A2626="","",IF(원본명단!$K2625="",0,COUNTIF(원본명단!$K$3:$K$6002,원본명단!$K2625)))</f>
        <v/>
      </c>
      <c r="H2626" s="11" t="str">
        <f aca="false">IF($A2626="","",IF(MAX($E2626,$F2626,$G2626)&gt;1,"중복","-"))</f>
        <v/>
      </c>
      <c r="I2626" s="11" t="str">
        <f aca="false">IF($A2626="","",IF($H2626="-","-",IF(AND(IF(원본명단!$H2625="",TRUE(),COUNTIF(원본명단!$H$3:$H2625,원본명단!$H2625)=1),IF(원본명단!$I2625="",TRUE(),COUNTIF(원본명단!$I$3:$I2625,원본명단!$I2625)=1),IF(원본명단!$K2625="",TRUE(),COUNTIF(원본명단!$K$3:$K2625,원본명단!$K2625)=1)),"첫 건","중복 건")))</f>
        <v/>
      </c>
      <c r="J2626" s="11" t="str">
        <f aca="false">IF($A2626="","",IF($H2626="-","유지",IF($I2626="첫 건","유지","확인 필요")))</f>
        <v/>
      </c>
    </row>
    <row r="2627" customFormat="false" ht="15" hidden="false" customHeight="true" outlineLevel="0" collapsed="false">
      <c r="A2627" s="11" t="str">
        <f aca="false">IF(원본명단!$A2626="","",2624)</f>
        <v/>
      </c>
      <c r="B2627" s="12" t="str">
        <f aca="false">IF($A2627="","",원본명단!$A2626)</f>
        <v/>
      </c>
      <c r="C2627" s="12" t="str">
        <f aca="false">IF($A2627="","",원본명단!$B2626)</f>
        <v/>
      </c>
      <c r="D2627" s="12" t="str">
        <f aca="false">IF($A2627="","",원본명단!$D2626)</f>
        <v/>
      </c>
      <c r="E2627" s="11" t="str">
        <f aca="false">IF($A2627="","",IF(원본명단!$H2626="",0,COUNTIF(원본명단!$H$3:$H$6002,원본명단!$H2626)))</f>
        <v/>
      </c>
      <c r="F2627" s="11" t="str">
        <f aca="false">IF($A2627="","",IF(원본명단!$I2626="",0,COUNTIF(원본명단!$I$3:$I$6002,원본명단!$I2626)))</f>
        <v/>
      </c>
      <c r="G2627" s="11" t="str">
        <f aca="false">IF($A2627="","",IF(원본명단!$K2626="",0,COUNTIF(원본명단!$K$3:$K$6002,원본명단!$K2626)))</f>
        <v/>
      </c>
      <c r="H2627" s="11" t="str">
        <f aca="false">IF($A2627="","",IF(MAX($E2627,$F2627,$G2627)&gt;1,"중복","-"))</f>
        <v/>
      </c>
      <c r="I2627" s="11" t="str">
        <f aca="false">IF($A2627="","",IF($H2627="-","-",IF(AND(IF(원본명단!$H2626="",TRUE(),COUNTIF(원본명단!$H$3:$H2626,원본명단!$H2626)=1),IF(원본명단!$I2626="",TRUE(),COUNTIF(원본명단!$I$3:$I2626,원본명단!$I2626)=1),IF(원본명단!$K2626="",TRUE(),COUNTIF(원본명단!$K$3:$K2626,원본명단!$K2626)=1)),"첫 건","중복 건")))</f>
        <v/>
      </c>
      <c r="J2627" s="11" t="str">
        <f aca="false">IF($A2627="","",IF($H2627="-","유지",IF($I2627="첫 건","유지","확인 필요")))</f>
        <v/>
      </c>
    </row>
    <row r="2628" customFormat="false" ht="15" hidden="false" customHeight="true" outlineLevel="0" collapsed="false">
      <c r="A2628" s="11" t="str">
        <f aca="false">IF(원본명단!$A2627="","",2625)</f>
        <v/>
      </c>
      <c r="B2628" s="12" t="str">
        <f aca="false">IF($A2628="","",원본명단!$A2627)</f>
        <v/>
      </c>
      <c r="C2628" s="12" t="str">
        <f aca="false">IF($A2628="","",원본명단!$B2627)</f>
        <v/>
      </c>
      <c r="D2628" s="12" t="str">
        <f aca="false">IF($A2628="","",원본명단!$D2627)</f>
        <v/>
      </c>
      <c r="E2628" s="11" t="str">
        <f aca="false">IF($A2628="","",IF(원본명단!$H2627="",0,COUNTIF(원본명단!$H$3:$H$6002,원본명단!$H2627)))</f>
        <v/>
      </c>
      <c r="F2628" s="11" t="str">
        <f aca="false">IF($A2628="","",IF(원본명단!$I2627="",0,COUNTIF(원본명단!$I$3:$I$6002,원본명단!$I2627)))</f>
        <v/>
      </c>
      <c r="G2628" s="11" t="str">
        <f aca="false">IF($A2628="","",IF(원본명단!$K2627="",0,COUNTIF(원본명단!$K$3:$K$6002,원본명단!$K2627)))</f>
        <v/>
      </c>
      <c r="H2628" s="11" t="str">
        <f aca="false">IF($A2628="","",IF(MAX($E2628,$F2628,$G2628)&gt;1,"중복","-"))</f>
        <v/>
      </c>
      <c r="I2628" s="11" t="str">
        <f aca="false">IF($A2628="","",IF($H2628="-","-",IF(AND(IF(원본명단!$H2627="",TRUE(),COUNTIF(원본명단!$H$3:$H2627,원본명단!$H2627)=1),IF(원본명단!$I2627="",TRUE(),COUNTIF(원본명단!$I$3:$I2627,원본명단!$I2627)=1),IF(원본명단!$K2627="",TRUE(),COUNTIF(원본명단!$K$3:$K2627,원본명단!$K2627)=1)),"첫 건","중복 건")))</f>
        <v/>
      </c>
      <c r="J2628" s="11" t="str">
        <f aca="false">IF($A2628="","",IF($H2628="-","유지",IF($I2628="첫 건","유지","확인 필요")))</f>
        <v/>
      </c>
    </row>
    <row r="2629" customFormat="false" ht="15" hidden="false" customHeight="true" outlineLevel="0" collapsed="false">
      <c r="A2629" s="11" t="str">
        <f aca="false">IF(원본명단!$A2628="","",2626)</f>
        <v/>
      </c>
      <c r="B2629" s="12" t="str">
        <f aca="false">IF($A2629="","",원본명단!$A2628)</f>
        <v/>
      </c>
      <c r="C2629" s="12" t="str">
        <f aca="false">IF($A2629="","",원본명단!$B2628)</f>
        <v/>
      </c>
      <c r="D2629" s="12" t="str">
        <f aca="false">IF($A2629="","",원본명단!$D2628)</f>
        <v/>
      </c>
      <c r="E2629" s="11" t="str">
        <f aca="false">IF($A2629="","",IF(원본명단!$H2628="",0,COUNTIF(원본명단!$H$3:$H$6002,원본명단!$H2628)))</f>
        <v/>
      </c>
      <c r="F2629" s="11" t="str">
        <f aca="false">IF($A2629="","",IF(원본명단!$I2628="",0,COUNTIF(원본명단!$I$3:$I$6002,원본명단!$I2628)))</f>
        <v/>
      </c>
      <c r="G2629" s="11" t="str">
        <f aca="false">IF($A2629="","",IF(원본명단!$K2628="",0,COUNTIF(원본명단!$K$3:$K$6002,원본명단!$K2628)))</f>
        <v/>
      </c>
      <c r="H2629" s="11" t="str">
        <f aca="false">IF($A2629="","",IF(MAX($E2629,$F2629,$G2629)&gt;1,"중복","-"))</f>
        <v/>
      </c>
      <c r="I2629" s="11" t="str">
        <f aca="false">IF($A2629="","",IF($H2629="-","-",IF(AND(IF(원본명단!$H2628="",TRUE(),COUNTIF(원본명단!$H$3:$H2628,원본명단!$H2628)=1),IF(원본명단!$I2628="",TRUE(),COUNTIF(원본명단!$I$3:$I2628,원본명단!$I2628)=1),IF(원본명단!$K2628="",TRUE(),COUNTIF(원본명단!$K$3:$K2628,원본명단!$K2628)=1)),"첫 건","중복 건")))</f>
        <v/>
      </c>
      <c r="J2629" s="11" t="str">
        <f aca="false">IF($A2629="","",IF($H2629="-","유지",IF($I2629="첫 건","유지","확인 필요")))</f>
        <v/>
      </c>
    </row>
    <row r="2630" customFormat="false" ht="15" hidden="false" customHeight="true" outlineLevel="0" collapsed="false">
      <c r="A2630" s="11" t="str">
        <f aca="false">IF(원본명단!$A2629="","",2627)</f>
        <v/>
      </c>
      <c r="B2630" s="12" t="str">
        <f aca="false">IF($A2630="","",원본명단!$A2629)</f>
        <v/>
      </c>
      <c r="C2630" s="12" t="str">
        <f aca="false">IF($A2630="","",원본명단!$B2629)</f>
        <v/>
      </c>
      <c r="D2630" s="12" t="str">
        <f aca="false">IF($A2630="","",원본명단!$D2629)</f>
        <v/>
      </c>
      <c r="E2630" s="11" t="str">
        <f aca="false">IF($A2630="","",IF(원본명단!$H2629="",0,COUNTIF(원본명단!$H$3:$H$6002,원본명단!$H2629)))</f>
        <v/>
      </c>
      <c r="F2630" s="11" t="str">
        <f aca="false">IF($A2630="","",IF(원본명단!$I2629="",0,COUNTIF(원본명단!$I$3:$I$6002,원본명단!$I2629)))</f>
        <v/>
      </c>
      <c r="G2630" s="11" t="str">
        <f aca="false">IF($A2630="","",IF(원본명단!$K2629="",0,COUNTIF(원본명단!$K$3:$K$6002,원본명단!$K2629)))</f>
        <v/>
      </c>
      <c r="H2630" s="11" t="str">
        <f aca="false">IF($A2630="","",IF(MAX($E2630,$F2630,$G2630)&gt;1,"중복","-"))</f>
        <v/>
      </c>
      <c r="I2630" s="11" t="str">
        <f aca="false">IF($A2630="","",IF($H2630="-","-",IF(AND(IF(원본명단!$H2629="",TRUE(),COUNTIF(원본명단!$H$3:$H2629,원본명단!$H2629)=1),IF(원본명단!$I2629="",TRUE(),COUNTIF(원본명단!$I$3:$I2629,원본명단!$I2629)=1),IF(원본명단!$K2629="",TRUE(),COUNTIF(원본명단!$K$3:$K2629,원본명단!$K2629)=1)),"첫 건","중복 건")))</f>
        <v/>
      </c>
      <c r="J2630" s="11" t="str">
        <f aca="false">IF($A2630="","",IF($H2630="-","유지",IF($I2630="첫 건","유지","확인 필요")))</f>
        <v/>
      </c>
    </row>
    <row r="2631" customFormat="false" ht="15" hidden="false" customHeight="true" outlineLevel="0" collapsed="false">
      <c r="A2631" s="11" t="str">
        <f aca="false">IF(원본명단!$A2630="","",2628)</f>
        <v/>
      </c>
      <c r="B2631" s="12" t="str">
        <f aca="false">IF($A2631="","",원본명단!$A2630)</f>
        <v/>
      </c>
      <c r="C2631" s="12" t="str">
        <f aca="false">IF($A2631="","",원본명단!$B2630)</f>
        <v/>
      </c>
      <c r="D2631" s="12" t="str">
        <f aca="false">IF($A2631="","",원본명단!$D2630)</f>
        <v/>
      </c>
      <c r="E2631" s="11" t="str">
        <f aca="false">IF($A2631="","",IF(원본명단!$H2630="",0,COUNTIF(원본명단!$H$3:$H$6002,원본명단!$H2630)))</f>
        <v/>
      </c>
      <c r="F2631" s="11" t="str">
        <f aca="false">IF($A2631="","",IF(원본명단!$I2630="",0,COUNTIF(원본명단!$I$3:$I$6002,원본명단!$I2630)))</f>
        <v/>
      </c>
      <c r="G2631" s="11" t="str">
        <f aca="false">IF($A2631="","",IF(원본명단!$K2630="",0,COUNTIF(원본명단!$K$3:$K$6002,원본명단!$K2630)))</f>
        <v/>
      </c>
      <c r="H2631" s="11" t="str">
        <f aca="false">IF($A2631="","",IF(MAX($E2631,$F2631,$G2631)&gt;1,"중복","-"))</f>
        <v/>
      </c>
      <c r="I2631" s="11" t="str">
        <f aca="false">IF($A2631="","",IF($H2631="-","-",IF(AND(IF(원본명단!$H2630="",TRUE(),COUNTIF(원본명단!$H$3:$H2630,원본명단!$H2630)=1),IF(원본명단!$I2630="",TRUE(),COUNTIF(원본명단!$I$3:$I2630,원본명단!$I2630)=1),IF(원본명단!$K2630="",TRUE(),COUNTIF(원본명단!$K$3:$K2630,원본명단!$K2630)=1)),"첫 건","중복 건")))</f>
        <v/>
      </c>
      <c r="J2631" s="11" t="str">
        <f aca="false">IF($A2631="","",IF($H2631="-","유지",IF($I2631="첫 건","유지","확인 필요")))</f>
        <v/>
      </c>
    </row>
    <row r="2632" customFormat="false" ht="15" hidden="false" customHeight="true" outlineLevel="0" collapsed="false">
      <c r="A2632" s="11" t="str">
        <f aca="false">IF(원본명단!$A2631="","",2629)</f>
        <v/>
      </c>
      <c r="B2632" s="12" t="str">
        <f aca="false">IF($A2632="","",원본명단!$A2631)</f>
        <v/>
      </c>
      <c r="C2632" s="12" t="str">
        <f aca="false">IF($A2632="","",원본명단!$B2631)</f>
        <v/>
      </c>
      <c r="D2632" s="12" t="str">
        <f aca="false">IF($A2632="","",원본명단!$D2631)</f>
        <v/>
      </c>
      <c r="E2632" s="11" t="str">
        <f aca="false">IF($A2632="","",IF(원본명단!$H2631="",0,COUNTIF(원본명단!$H$3:$H$6002,원본명단!$H2631)))</f>
        <v/>
      </c>
      <c r="F2632" s="11" t="str">
        <f aca="false">IF($A2632="","",IF(원본명단!$I2631="",0,COUNTIF(원본명단!$I$3:$I$6002,원본명단!$I2631)))</f>
        <v/>
      </c>
      <c r="G2632" s="11" t="str">
        <f aca="false">IF($A2632="","",IF(원본명단!$K2631="",0,COUNTIF(원본명단!$K$3:$K$6002,원본명단!$K2631)))</f>
        <v/>
      </c>
      <c r="H2632" s="11" t="str">
        <f aca="false">IF($A2632="","",IF(MAX($E2632,$F2632,$G2632)&gt;1,"중복","-"))</f>
        <v/>
      </c>
      <c r="I2632" s="11" t="str">
        <f aca="false">IF($A2632="","",IF($H2632="-","-",IF(AND(IF(원본명단!$H2631="",TRUE(),COUNTIF(원본명단!$H$3:$H2631,원본명단!$H2631)=1),IF(원본명단!$I2631="",TRUE(),COUNTIF(원본명단!$I$3:$I2631,원본명단!$I2631)=1),IF(원본명단!$K2631="",TRUE(),COUNTIF(원본명단!$K$3:$K2631,원본명단!$K2631)=1)),"첫 건","중복 건")))</f>
        <v/>
      </c>
      <c r="J2632" s="11" t="str">
        <f aca="false">IF($A2632="","",IF($H2632="-","유지",IF($I2632="첫 건","유지","확인 필요")))</f>
        <v/>
      </c>
    </row>
    <row r="2633" customFormat="false" ht="15" hidden="false" customHeight="true" outlineLevel="0" collapsed="false">
      <c r="A2633" s="11" t="str">
        <f aca="false">IF(원본명단!$A2632="","",2630)</f>
        <v/>
      </c>
      <c r="B2633" s="12" t="str">
        <f aca="false">IF($A2633="","",원본명단!$A2632)</f>
        <v/>
      </c>
      <c r="C2633" s="12" t="str">
        <f aca="false">IF($A2633="","",원본명단!$B2632)</f>
        <v/>
      </c>
      <c r="D2633" s="12" t="str">
        <f aca="false">IF($A2633="","",원본명단!$D2632)</f>
        <v/>
      </c>
      <c r="E2633" s="11" t="str">
        <f aca="false">IF($A2633="","",IF(원본명단!$H2632="",0,COUNTIF(원본명단!$H$3:$H$6002,원본명단!$H2632)))</f>
        <v/>
      </c>
      <c r="F2633" s="11" t="str">
        <f aca="false">IF($A2633="","",IF(원본명단!$I2632="",0,COUNTIF(원본명단!$I$3:$I$6002,원본명단!$I2632)))</f>
        <v/>
      </c>
      <c r="G2633" s="11" t="str">
        <f aca="false">IF($A2633="","",IF(원본명단!$K2632="",0,COUNTIF(원본명단!$K$3:$K$6002,원본명단!$K2632)))</f>
        <v/>
      </c>
      <c r="H2633" s="11" t="str">
        <f aca="false">IF($A2633="","",IF(MAX($E2633,$F2633,$G2633)&gt;1,"중복","-"))</f>
        <v/>
      </c>
      <c r="I2633" s="11" t="str">
        <f aca="false">IF($A2633="","",IF($H2633="-","-",IF(AND(IF(원본명단!$H2632="",TRUE(),COUNTIF(원본명단!$H$3:$H2632,원본명단!$H2632)=1),IF(원본명단!$I2632="",TRUE(),COUNTIF(원본명단!$I$3:$I2632,원본명단!$I2632)=1),IF(원본명단!$K2632="",TRUE(),COUNTIF(원본명단!$K$3:$K2632,원본명단!$K2632)=1)),"첫 건","중복 건")))</f>
        <v/>
      </c>
      <c r="J2633" s="11" t="str">
        <f aca="false">IF($A2633="","",IF($H2633="-","유지",IF($I2633="첫 건","유지","확인 필요")))</f>
        <v/>
      </c>
    </row>
    <row r="2634" customFormat="false" ht="15" hidden="false" customHeight="true" outlineLevel="0" collapsed="false">
      <c r="A2634" s="11" t="str">
        <f aca="false">IF(원본명단!$A2633="","",2631)</f>
        <v/>
      </c>
      <c r="B2634" s="12" t="str">
        <f aca="false">IF($A2634="","",원본명단!$A2633)</f>
        <v/>
      </c>
      <c r="C2634" s="12" t="str">
        <f aca="false">IF($A2634="","",원본명단!$B2633)</f>
        <v/>
      </c>
      <c r="D2634" s="12" t="str">
        <f aca="false">IF($A2634="","",원본명단!$D2633)</f>
        <v/>
      </c>
      <c r="E2634" s="11" t="str">
        <f aca="false">IF($A2634="","",IF(원본명단!$H2633="",0,COUNTIF(원본명단!$H$3:$H$6002,원본명단!$H2633)))</f>
        <v/>
      </c>
      <c r="F2634" s="11" t="str">
        <f aca="false">IF($A2634="","",IF(원본명단!$I2633="",0,COUNTIF(원본명단!$I$3:$I$6002,원본명단!$I2633)))</f>
        <v/>
      </c>
      <c r="G2634" s="11" t="str">
        <f aca="false">IF($A2634="","",IF(원본명단!$K2633="",0,COUNTIF(원본명단!$K$3:$K$6002,원본명단!$K2633)))</f>
        <v/>
      </c>
      <c r="H2634" s="11" t="str">
        <f aca="false">IF($A2634="","",IF(MAX($E2634,$F2634,$G2634)&gt;1,"중복","-"))</f>
        <v/>
      </c>
      <c r="I2634" s="11" t="str">
        <f aca="false">IF($A2634="","",IF($H2634="-","-",IF(AND(IF(원본명단!$H2633="",TRUE(),COUNTIF(원본명단!$H$3:$H2633,원본명단!$H2633)=1),IF(원본명단!$I2633="",TRUE(),COUNTIF(원본명단!$I$3:$I2633,원본명단!$I2633)=1),IF(원본명단!$K2633="",TRUE(),COUNTIF(원본명단!$K$3:$K2633,원본명단!$K2633)=1)),"첫 건","중복 건")))</f>
        <v/>
      </c>
      <c r="J2634" s="11" t="str">
        <f aca="false">IF($A2634="","",IF($H2634="-","유지",IF($I2634="첫 건","유지","확인 필요")))</f>
        <v/>
      </c>
    </row>
    <row r="2635" customFormat="false" ht="15" hidden="false" customHeight="true" outlineLevel="0" collapsed="false">
      <c r="A2635" s="11" t="str">
        <f aca="false">IF(원본명단!$A2634="","",2632)</f>
        <v/>
      </c>
      <c r="B2635" s="12" t="str">
        <f aca="false">IF($A2635="","",원본명단!$A2634)</f>
        <v/>
      </c>
      <c r="C2635" s="12" t="str">
        <f aca="false">IF($A2635="","",원본명단!$B2634)</f>
        <v/>
      </c>
      <c r="D2635" s="12" t="str">
        <f aca="false">IF($A2635="","",원본명단!$D2634)</f>
        <v/>
      </c>
      <c r="E2635" s="11" t="str">
        <f aca="false">IF($A2635="","",IF(원본명단!$H2634="",0,COUNTIF(원본명단!$H$3:$H$6002,원본명단!$H2634)))</f>
        <v/>
      </c>
      <c r="F2635" s="11" t="str">
        <f aca="false">IF($A2635="","",IF(원본명단!$I2634="",0,COUNTIF(원본명단!$I$3:$I$6002,원본명단!$I2634)))</f>
        <v/>
      </c>
      <c r="G2635" s="11" t="str">
        <f aca="false">IF($A2635="","",IF(원본명단!$K2634="",0,COUNTIF(원본명단!$K$3:$K$6002,원본명단!$K2634)))</f>
        <v/>
      </c>
      <c r="H2635" s="11" t="str">
        <f aca="false">IF($A2635="","",IF(MAX($E2635,$F2635,$G2635)&gt;1,"중복","-"))</f>
        <v/>
      </c>
      <c r="I2635" s="11" t="str">
        <f aca="false">IF($A2635="","",IF($H2635="-","-",IF(AND(IF(원본명단!$H2634="",TRUE(),COUNTIF(원본명단!$H$3:$H2634,원본명단!$H2634)=1),IF(원본명단!$I2634="",TRUE(),COUNTIF(원본명단!$I$3:$I2634,원본명단!$I2634)=1),IF(원본명단!$K2634="",TRUE(),COUNTIF(원본명단!$K$3:$K2634,원본명단!$K2634)=1)),"첫 건","중복 건")))</f>
        <v/>
      </c>
      <c r="J2635" s="11" t="str">
        <f aca="false">IF($A2635="","",IF($H2635="-","유지",IF($I2635="첫 건","유지","확인 필요")))</f>
        <v/>
      </c>
    </row>
    <row r="2636" customFormat="false" ht="15" hidden="false" customHeight="true" outlineLevel="0" collapsed="false">
      <c r="A2636" s="11" t="str">
        <f aca="false">IF(원본명단!$A2635="","",2633)</f>
        <v/>
      </c>
      <c r="B2636" s="12" t="str">
        <f aca="false">IF($A2636="","",원본명단!$A2635)</f>
        <v/>
      </c>
      <c r="C2636" s="12" t="str">
        <f aca="false">IF($A2636="","",원본명단!$B2635)</f>
        <v/>
      </c>
      <c r="D2636" s="12" t="str">
        <f aca="false">IF($A2636="","",원본명단!$D2635)</f>
        <v/>
      </c>
      <c r="E2636" s="11" t="str">
        <f aca="false">IF($A2636="","",IF(원본명단!$H2635="",0,COUNTIF(원본명단!$H$3:$H$6002,원본명단!$H2635)))</f>
        <v/>
      </c>
      <c r="F2636" s="11" t="str">
        <f aca="false">IF($A2636="","",IF(원본명단!$I2635="",0,COUNTIF(원본명단!$I$3:$I$6002,원본명단!$I2635)))</f>
        <v/>
      </c>
      <c r="G2636" s="11" t="str">
        <f aca="false">IF($A2636="","",IF(원본명단!$K2635="",0,COUNTIF(원본명단!$K$3:$K$6002,원본명단!$K2635)))</f>
        <v/>
      </c>
      <c r="H2636" s="11" t="str">
        <f aca="false">IF($A2636="","",IF(MAX($E2636,$F2636,$G2636)&gt;1,"중복","-"))</f>
        <v/>
      </c>
      <c r="I2636" s="11" t="str">
        <f aca="false">IF($A2636="","",IF($H2636="-","-",IF(AND(IF(원본명단!$H2635="",TRUE(),COUNTIF(원본명단!$H$3:$H2635,원본명단!$H2635)=1),IF(원본명단!$I2635="",TRUE(),COUNTIF(원본명단!$I$3:$I2635,원본명단!$I2635)=1),IF(원본명단!$K2635="",TRUE(),COUNTIF(원본명단!$K$3:$K2635,원본명단!$K2635)=1)),"첫 건","중복 건")))</f>
        <v/>
      </c>
      <c r="J2636" s="11" t="str">
        <f aca="false">IF($A2636="","",IF($H2636="-","유지",IF($I2636="첫 건","유지","확인 필요")))</f>
        <v/>
      </c>
    </row>
    <row r="2637" customFormat="false" ht="15" hidden="false" customHeight="true" outlineLevel="0" collapsed="false">
      <c r="A2637" s="11" t="str">
        <f aca="false">IF(원본명단!$A2636="","",2634)</f>
        <v/>
      </c>
      <c r="B2637" s="12" t="str">
        <f aca="false">IF($A2637="","",원본명단!$A2636)</f>
        <v/>
      </c>
      <c r="C2637" s="12" t="str">
        <f aca="false">IF($A2637="","",원본명단!$B2636)</f>
        <v/>
      </c>
      <c r="D2637" s="12" t="str">
        <f aca="false">IF($A2637="","",원본명단!$D2636)</f>
        <v/>
      </c>
      <c r="E2637" s="11" t="str">
        <f aca="false">IF($A2637="","",IF(원본명단!$H2636="",0,COUNTIF(원본명단!$H$3:$H$6002,원본명단!$H2636)))</f>
        <v/>
      </c>
      <c r="F2637" s="11" t="str">
        <f aca="false">IF($A2637="","",IF(원본명단!$I2636="",0,COUNTIF(원본명단!$I$3:$I$6002,원본명단!$I2636)))</f>
        <v/>
      </c>
      <c r="G2637" s="11" t="str">
        <f aca="false">IF($A2637="","",IF(원본명단!$K2636="",0,COUNTIF(원본명단!$K$3:$K$6002,원본명단!$K2636)))</f>
        <v/>
      </c>
      <c r="H2637" s="11" t="str">
        <f aca="false">IF($A2637="","",IF(MAX($E2637,$F2637,$G2637)&gt;1,"중복","-"))</f>
        <v/>
      </c>
      <c r="I2637" s="11" t="str">
        <f aca="false">IF($A2637="","",IF($H2637="-","-",IF(AND(IF(원본명단!$H2636="",TRUE(),COUNTIF(원본명단!$H$3:$H2636,원본명단!$H2636)=1),IF(원본명단!$I2636="",TRUE(),COUNTIF(원본명단!$I$3:$I2636,원본명단!$I2636)=1),IF(원본명단!$K2636="",TRUE(),COUNTIF(원본명단!$K$3:$K2636,원본명단!$K2636)=1)),"첫 건","중복 건")))</f>
        <v/>
      </c>
      <c r="J2637" s="11" t="str">
        <f aca="false">IF($A2637="","",IF($H2637="-","유지",IF($I2637="첫 건","유지","확인 필요")))</f>
        <v/>
      </c>
    </row>
    <row r="2638" customFormat="false" ht="15" hidden="false" customHeight="true" outlineLevel="0" collapsed="false">
      <c r="A2638" s="11" t="str">
        <f aca="false">IF(원본명단!$A2637="","",2635)</f>
        <v/>
      </c>
      <c r="B2638" s="12" t="str">
        <f aca="false">IF($A2638="","",원본명단!$A2637)</f>
        <v/>
      </c>
      <c r="C2638" s="12" t="str">
        <f aca="false">IF($A2638="","",원본명단!$B2637)</f>
        <v/>
      </c>
      <c r="D2638" s="12" t="str">
        <f aca="false">IF($A2638="","",원본명단!$D2637)</f>
        <v/>
      </c>
      <c r="E2638" s="11" t="str">
        <f aca="false">IF($A2638="","",IF(원본명단!$H2637="",0,COUNTIF(원본명단!$H$3:$H$6002,원본명단!$H2637)))</f>
        <v/>
      </c>
      <c r="F2638" s="11" t="str">
        <f aca="false">IF($A2638="","",IF(원본명단!$I2637="",0,COUNTIF(원본명단!$I$3:$I$6002,원본명단!$I2637)))</f>
        <v/>
      </c>
      <c r="G2638" s="11" t="str">
        <f aca="false">IF($A2638="","",IF(원본명단!$K2637="",0,COUNTIF(원본명단!$K$3:$K$6002,원본명단!$K2637)))</f>
        <v/>
      </c>
      <c r="H2638" s="11" t="str">
        <f aca="false">IF($A2638="","",IF(MAX($E2638,$F2638,$G2638)&gt;1,"중복","-"))</f>
        <v/>
      </c>
      <c r="I2638" s="11" t="str">
        <f aca="false">IF($A2638="","",IF($H2638="-","-",IF(AND(IF(원본명단!$H2637="",TRUE(),COUNTIF(원본명단!$H$3:$H2637,원본명단!$H2637)=1),IF(원본명단!$I2637="",TRUE(),COUNTIF(원본명단!$I$3:$I2637,원본명단!$I2637)=1),IF(원본명단!$K2637="",TRUE(),COUNTIF(원본명단!$K$3:$K2637,원본명단!$K2637)=1)),"첫 건","중복 건")))</f>
        <v/>
      </c>
      <c r="J2638" s="11" t="str">
        <f aca="false">IF($A2638="","",IF($H2638="-","유지",IF($I2638="첫 건","유지","확인 필요")))</f>
        <v/>
      </c>
    </row>
    <row r="2639" customFormat="false" ht="15" hidden="false" customHeight="true" outlineLevel="0" collapsed="false">
      <c r="A2639" s="11" t="str">
        <f aca="false">IF(원본명단!$A2638="","",2636)</f>
        <v/>
      </c>
      <c r="B2639" s="12" t="str">
        <f aca="false">IF($A2639="","",원본명단!$A2638)</f>
        <v/>
      </c>
      <c r="C2639" s="12" t="str">
        <f aca="false">IF($A2639="","",원본명단!$B2638)</f>
        <v/>
      </c>
      <c r="D2639" s="12" t="str">
        <f aca="false">IF($A2639="","",원본명단!$D2638)</f>
        <v/>
      </c>
      <c r="E2639" s="11" t="str">
        <f aca="false">IF($A2639="","",IF(원본명단!$H2638="",0,COUNTIF(원본명단!$H$3:$H$6002,원본명단!$H2638)))</f>
        <v/>
      </c>
      <c r="F2639" s="11" t="str">
        <f aca="false">IF($A2639="","",IF(원본명단!$I2638="",0,COUNTIF(원본명단!$I$3:$I$6002,원본명단!$I2638)))</f>
        <v/>
      </c>
      <c r="G2639" s="11" t="str">
        <f aca="false">IF($A2639="","",IF(원본명단!$K2638="",0,COUNTIF(원본명단!$K$3:$K$6002,원본명단!$K2638)))</f>
        <v/>
      </c>
      <c r="H2639" s="11" t="str">
        <f aca="false">IF($A2639="","",IF(MAX($E2639,$F2639,$G2639)&gt;1,"중복","-"))</f>
        <v/>
      </c>
      <c r="I2639" s="11" t="str">
        <f aca="false">IF($A2639="","",IF($H2639="-","-",IF(AND(IF(원본명단!$H2638="",TRUE(),COUNTIF(원본명단!$H$3:$H2638,원본명단!$H2638)=1),IF(원본명단!$I2638="",TRUE(),COUNTIF(원본명단!$I$3:$I2638,원본명단!$I2638)=1),IF(원본명단!$K2638="",TRUE(),COUNTIF(원본명단!$K$3:$K2638,원본명단!$K2638)=1)),"첫 건","중복 건")))</f>
        <v/>
      </c>
      <c r="J2639" s="11" t="str">
        <f aca="false">IF($A2639="","",IF($H2639="-","유지",IF($I2639="첫 건","유지","확인 필요")))</f>
        <v/>
      </c>
    </row>
    <row r="2640" customFormat="false" ht="15" hidden="false" customHeight="true" outlineLevel="0" collapsed="false">
      <c r="A2640" s="11" t="str">
        <f aca="false">IF(원본명단!$A2639="","",2637)</f>
        <v/>
      </c>
      <c r="B2640" s="12" t="str">
        <f aca="false">IF($A2640="","",원본명단!$A2639)</f>
        <v/>
      </c>
      <c r="C2640" s="12" t="str">
        <f aca="false">IF($A2640="","",원본명단!$B2639)</f>
        <v/>
      </c>
      <c r="D2640" s="12" t="str">
        <f aca="false">IF($A2640="","",원본명단!$D2639)</f>
        <v/>
      </c>
      <c r="E2640" s="11" t="str">
        <f aca="false">IF($A2640="","",IF(원본명단!$H2639="",0,COUNTIF(원본명단!$H$3:$H$6002,원본명단!$H2639)))</f>
        <v/>
      </c>
      <c r="F2640" s="11" t="str">
        <f aca="false">IF($A2640="","",IF(원본명단!$I2639="",0,COUNTIF(원본명단!$I$3:$I$6002,원본명단!$I2639)))</f>
        <v/>
      </c>
      <c r="G2640" s="11" t="str">
        <f aca="false">IF($A2640="","",IF(원본명단!$K2639="",0,COUNTIF(원본명단!$K$3:$K$6002,원본명단!$K2639)))</f>
        <v/>
      </c>
      <c r="H2640" s="11" t="str">
        <f aca="false">IF($A2640="","",IF(MAX($E2640,$F2640,$G2640)&gt;1,"중복","-"))</f>
        <v/>
      </c>
      <c r="I2640" s="11" t="str">
        <f aca="false">IF($A2640="","",IF($H2640="-","-",IF(AND(IF(원본명단!$H2639="",TRUE(),COUNTIF(원본명단!$H$3:$H2639,원본명단!$H2639)=1),IF(원본명단!$I2639="",TRUE(),COUNTIF(원본명단!$I$3:$I2639,원본명단!$I2639)=1),IF(원본명단!$K2639="",TRUE(),COUNTIF(원본명단!$K$3:$K2639,원본명단!$K2639)=1)),"첫 건","중복 건")))</f>
        <v/>
      </c>
      <c r="J2640" s="11" t="str">
        <f aca="false">IF($A2640="","",IF($H2640="-","유지",IF($I2640="첫 건","유지","확인 필요")))</f>
        <v/>
      </c>
    </row>
    <row r="2641" customFormat="false" ht="15" hidden="false" customHeight="true" outlineLevel="0" collapsed="false">
      <c r="A2641" s="11" t="str">
        <f aca="false">IF(원본명단!$A2640="","",2638)</f>
        <v/>
      </c>
      <c r="B2641" s="12" t="str">
        <f aca="false">IF($A2641="","",원본명단!$A2640)</f>
        <v/>
      </c>
      <c r="C2641" s="12" t="str">
        <f aca="false">IF($A2641="","",원본명단!$B2640)</f>
        <v/>
      </c>
      <c r="D2641" s="12" t="str">
        <f aca="false">IF($A2641="","",원본명단!$D2640)</f>
        <v/>
      </c>
      <c r="E2641" s="11" t="str">
        <f aca="false">IF($A2641="","",IF(원본명단!$H2640="",0,COUNTIF(원본명단!$H$3:$H$6002,원본명단!$H2640)))</f>
        <v/>
      </c>
      <c r="F2641" s="11" t="str">
        <f aca="false">IF($A2641="","",IF(원본명단!$I2640="",0,COUNTIF(원본명단!$I$3:$I$6002,원본명단!$I2640)))</f>
        <v/>
      </c>
      <c r="G2641" s="11" t="str">
        <f aca="false">IF($A2641="","",IF(원본명단!$K2640="",0,COUNTIF(원본명단!$K$3:$K$6002,원본명단!$K2640)))</f>
        <v/>
      </c>
      <c r="H2641" s="11" t="str">
        <f aca="false">IF($A2641="","",IF(MAX($E2641,$F2641,$G2641)&gt;1,"중복","-"))</f>
        <v/>
      </c>
      <c r="I2641" s="11" t="str">
        <f aca="false">IF($A2641="","",IF($H2641="-","-",IF(AND(IF(원본명단!$H2640="",TRUE(),COUNTIF(원본명단!$H$3:$H2640,원본명단!$H2640)=1),IF(원본명단!$I2640="",TRUE(),COUNTIF(원본명단!$I$3:$I2640,원본명단!$I2640)=1),IF(원본명단!$K2640="",TRUE(),COUNTIF(원본명단!$K$3:$K2640,원본명단!$K2640)=1)),"첫 건","중복 건")))</f>
        <v/>
      </c>
      <c r="J2641" s="11" t="str">
        <f aca="false">IF($A2641="","",IF($H2641="-","유지",IF($I2641="첫 건","유지","확인 필요")))</f>
        <v/>
      </c>
    </row>
    <row r="2642" customFormat="false" ht="15" hidden="false" customHeight="true" outlineLevel="0" collapsed="false">
      <c r="A2642" s="11" t="str">
        <f aca="false">IF(원본명단!$A2641="","",2639)</f>
        <v/>
      </c>
      <c r="B2642" s="12" t="str">
        <f aca="false">IF($A2642="","",원본명단!$A2641)</f>
        <v/>
      </c>
      <c r="C2642" s="12" t="str">
        <f aca="false">IF($A2642="","",원본명단!$B2641)</f>
        <v/>
      </c>
      <c r="D2642" s="12" t="str">
        <f aca="false">IF($A2642="","",원본명단!$D2641)</f>
        <v/>
      </c>
      <c r="E2642" s="11" t="str">
        <f aca="false">IF($A2642="","",IF(원본명단!$H2641="",0,COUNTIF(원본명단!$H$3:$H$6002,원본명단!$H2641)))</f>
        <v/>
      </c>
      <c r="F2642" s="11" t="str">
        <f aca="false">IF($A2642="","",IF(원본명단!$I2641="",0,COUNTIF(원본명단!$I$3:$I$6002,원본명단!$I2641)))</f>
        <v/>
      </c>
      <c r="G2642" s="11" t="str">
        <f aca="false">IF($A2642="","",IF(원본명단!$K2641="",0,COUNTIF(원본명단!$K$3:$K$6002,원본명단!$K2641)))</f>
        <v/>
      </c>
      <c r="H2642" s="11" t="str">
        <f aca="false">IF($A2642="","",IF(MAX($E2642,$F2642,$G2642)&gt;1,"중복","-"))</f>
        <v/>
      </c>
      <c r="I2642" s="11" t="str">
        <f aca="false">IF($A2642="","",IF($H2642="-","-",IF(AND(IF(원본명단!$H2641="",TRUE(),COUNTIF(원본명단!$H$3:$H2641,원본명단!$H2641)=1),IF(원본명단!$I2641="",TRUE(),COUNTIF(원본명단!$I$3:$I2641,원본명단!$I2641)=1),IF(원본명단!$K2641="",TRUE(),COUNTIF(원본명단!$K$3:$K2641,원본명단!$K2641)=1)),"첫 건","중복 건")))</f>
        <v/>
      </c>
      <c r="J2642" s="11" t="str">
        <f aca="false">IF($A2642="","",IF($H2642="-","유지",IF($I2642="첫 건","유지","확인 필요")))</f>
        <v/>
      </c>
    </row>
    <row r="2643" customFormat="false" ht="15" hidden="false" customHeight="true" outlineLevel="0" collapsed="false">
      <c r="A2643" s="11" t="str">
        <f aca="false">IF(원본명단!$A2642="","",2640)</f>
        <v/>
      </c>
      <c r="B2643" s="12" t="str">
        <f aca="false">IF($A2643="","",원본명단!$A2642)</f>
        <v/>
      </c>
      <c r="C2643" s="12" t="str">
        <f aca="false">IF($A2643="","",원본명단!$B2642)</f>
        <v/>
      </c>
      <c r="D2643" s="12" t="str">
        <f aca="false">IF($A2643="","",원본명단!$D2642)</f>
        <v/>
      </c>
      <c r="E2643" s="11" t="str">
        <f aca="false">IF($A2643="","",IF(원본명단!$H2642="",0,COUNTIF(원본명단!$H$3:$H$6002,원본명단!$H2642)))</f>
        <v/>
      </c>
      <c r="F2643" s="11" t="str">
        <f aca="false">IF($A2643="","",IF(원본명단!$I2642="",0,COUNTIF(원본명단!$I$3:$I$6002,원본명단!$I2642)))</f>
        <v/>
      </c>
      <c r="G2643" s="11" t="str">
        <f aca="false">IF($A2643="","",IF(원본명단!$K2642="",0,COUNTIF(원본명단!$K$3:$K$6002,원본명단!$K2642)))</f>
        <v/>
      </c>
      <c r="H2643" s="11" t="str">
        <f aca="false">IF($A2643="","",IF(MAX($E2643,$F2643,$G2643)&gt;1,"중복","-"))</f>
        <v/>
      </c>
      <c r="I2643" s="11" t="str">
        <f aca="false">IF($A2643="","",IF($H2643="-","-",IF(AND(IF(원본명단!$H2642="",TRUE(),COUNTIF(원본명단!$H$3:$H2642,원본명단!$H2642)=1),IF(원본명단!$I2642="",TRUE(),COUNTIF(원본명단!$I$3:$I2642,원본명단!$I2642)=1),IF(원본명단!$K2642="",TRUE(),COUNTIF(원본명단!$K$3:$K2642,원본명단!$K2642)=1)),"첫 건","중복 건")))</f>
        <v/>
      </c>
      <c r="J2643" s="11" t="str">
        <f aca="false">IF($A2643="","",IF($H2643="-","유지",IF($I2643="첫 건","유지","확인 필요")))</f>
        <v/>
      </c>
    </row>
    <row r="2644" customFormat="false" ht="15" hidden="false" customHeight="true" outlineLevel="0" collapsed="false">
      <c r="A2644" s="11" t="str">
        <f aca="false">IF(원본명단!$A2643="","",2641)</f>
        <v/>
      </c>
      <c r="B2644" s="12" t="str">
        <f aca="false">IF($A2644="","",원본명단!$A2643)</f>
        <v/>
      </c>
      <c r="C2644" s="12" t="str">
        <f aca="false">IF($A2644="","",원본명단!$B2643)</f>
        <v/>
      </c>
      <c r="D2644" s="12" t="str">
        <f aca="false">IF($A2644="","",원본명단!$D2643)</f>
        <v/>
      </c>
      <c r="E2644" s="11" t="str">
        <f aca="false">IF($A2644="","",IF(원본명단!$H2643="",0,COUNTIF(원본명단!$H$3:$H$6002,원본명단!$H2643)))</f>
        <v/>
      </c>
      <c r="F2644" s="11" t="str">
        <f aca="false">IF($A2644="","",IF(원본명단!$I2643="",0,COUNTIF(원본명단!$I$3:$I$6002,원본명단!$I2643)))</f>
        <v/>
      </c>
      <c r="G2644" s="11" t="str">
        <f aca="false">IF($A2644="","",IF(원본명단!$K2643="",0,COUNTIF(원본명단!$K$3:$K$6002,원본명단!$K2643)))</f>
        <v/>
      </c>
      <c r="H2644" s="11" t="str">
        <f aca="false">IF($A2644="","",IF(MAX($E2644,$F2644,$G2644)&gt;1,"중복","-"))</f>
        <v/>
      </c>
      <c r="I2644" s="11" t="str">
        <f aca="false">IF($A2644="","",IF($H2644="-","-",IF(AND(IF(원본명단!$H2643="",TRUE(),COUNTIF(원본명단!$H$3:$H2643,원본명단!$H2643)=1),IF(원본명단!$I2643="",TRUE(),COUNTIF(원본명단!$I$3:$I2643,원본명단!$I2643)=1),IF(원본명단!$K2643="",TRUE(),COUNTIF(원본명단!$K$3:$K2643,원본명단!$K2643)=1)),"첫 건","중복 건")))</f>
        <v/>
      </c>
      <c r="J2644" s="11" t="str">
        <f aca="false">IF($A2644="","",IF($H2644="-","유지",IF($I2644="첫 건","유지","확인 필요")))</f>
        <v/>
      </c>
    </row>
    <row r="2645" customFormat="false" ht="15" hidden="false" customHeight="true" outlineLevel="0" collapsed="false">
      <c r="A2645" s="11" t="str">
        <f aca="false">IF(원본명단!$A2644="","",2642)</f>
        <v/>
      </c>
      <c r="B2645" s="12" t="str">
        <f aca="false">IF($A2645="","",원본명단!$A2644)</f>
        <v/>
      </c>
      <c r="C2645" s="12" t="str">
        <f aca="false">IF($A2645="","",원본명단!$B2644)</f>
        <v/>
      </c>
      <c r="D2645" s="12" t="str">
        <f aca="false">IF($A2645="","",원본명단!$D2644)</f>
        <v/>
      </c>
      <c r="E2645" s="11" t="str">
        <f aca="false">IF($A2645="","",IF(원본명단!$H2644="",0,COUNTIF(원본명단!$H$3:$H$6002,원본명단!$H2644)))</f>
        <v/>
      </c>
      <c r="F2645" s="11" t="str">
        <f aca="false">IF($A2645="","",IF(원본명단!$I2644="",0,COUNTIF(원본명단!$I$3:$I$6002,원본명단!$I2644)))</f>
        <v/>
      </c>
      <c r="G2645" s="11" t="str">
        <f aca="false">IF($A2645="","",IF(원본명단!$K2644="",0,COUNTIF(원본명단!$K$3:$K$6002,원본명단!$K2644)))</f>
        <v/>
      </c>
      <c r="H2645" s="11" t="str">
        <f aca="false">IF($A2645="","",IF(MAX($E2645,$F2645,$G2645)&gt;1,"중복","-"))</f>
        <v/>
      </c>
      <c r="I2645" s="11" t="str">
        <f aca="false">IF($A2645="","",IF($H2645="-","-",IF(AND(IF(원본명단!$H2644="",TRUE(),COUNTIF(원본명단!$H$3:$H2644,원본명단!$H2644)=1),IF(원본명단!$I2644="",TRUE(),COUNTIF(원본명단!$I$3:$I2644,원본명단!$I2644)=1),IF(원본명단!$K2644="",TRUE(),COUNTIF(원본명단!$K$3:$K2644,원본명단!$K2644)=1)),"첫 건","중복 건")))</f>
        <v/>
      </c>
      <c r="J2645" s="11" t="str">
        <f aca="false">IF($A2645="","",IF($H2645="-","유지",IF($I2645="첫 건","유지","확인 필요")))</f>
        <v/>
      </c>
    </row>
    <row r="2646" customFormat="false" ht="15" hidden="false" customHeight="true" outlineLevel="0" collapsed="false">
      <c r="A2646" s="11" t="str">
        <f aca="false">IF(원본명단!$A2645="","",2643)</f>
        <v/>
      </c>
      <c r="B2646" s="12" t="str">
        <f aca="false">IF($A2646="","",원본명단!$A2645)</f>
        <v/>
      </c>
      <c r="C2646" s="12" t="str">
        <f aca="false">IF($A2646="","",원본명단!$B2645)</f>
        <v/>
      </c>
      <c r="D2646" s="12" t="str">
        <f aca="false">IF($A2646="","",원본명단!$D2645)</f>
        <v/>
      </c>
      <c r="E2646" s="11" t="str">
        <f aca="false">IF($A2646="","",IF(원본명단!$H2645="",0,COUNTIF(원본명단!$H$3:$H$6002,원본명단!$H2645)))</f>
        <v/>
      </c>
      <c r="F2646" s="11" t="str">
        <f aca="false">IF($A2646="","",IF(원본명단!$I2645="",0,COUNTIF(원본명단!$I$3:$I$6002,원본명단!$I2645)))</f>
        <v/>
      </c>
      <c r="G2646" s="11" t="str">
        <f aca="false">IF($A2646="","",IF(원본명단!$K2645="",0,COUNTIF(원본명단!$K$3:$K$6002,원본명단!$K2645)))</f>
        <v/>
      </c>
      <c r="H2646" s="11" t="str">
        <f aca="false">IF($A2646="","",IF(MAX($E2646,$F2646,$G2646)&gt;1,"중복","-"))</f>
        <v/>
      </c>
      <c r="I2646" s="11" t="str">
        <f aca="false">IF($A2646="","",IF($H2646="-","-",IF(AND(IF(원본명단!$H2645="",TRUE(),COUNTIF(원본명단!$H$3:$H2645,원본명단!$H2645)=1),IF(원본명단!$I2645="",TRUE(),COUNTIF(원본명단!$I$3:$I2645,원본명단!$I2645)=1),IF(원본명단!$K2645="",TRUE(),COUNTIF(원본명단!$K$3:$K2645,원본명단!$K2645)=1)),"첫 건","중복 건")))</f>
        <v/>
      </c>
      <c r="J2646" s="11" t="str">
        <f aca="false">IF($A2646="","",IF($H2646="-","유지",IF($I2646="첫 건","유지","확인 필요")))</f>
        <v/>
      </c>
    </row>
    <row r="2647" customFormat="false" ht="15" hidden="false" customHeight="true" outlineLevel="0" collapsed="false">
      <c r="A2647" s="11" t="str">
        <f aca="false">IF(원본명단!$A2646="","",2644)</f>
        <v/>
      </c>
      <c r="B2647" s="12" t="str">
        <f aca="false">IF($A2647="","",원본명단!$A2646)</f>
        <v/>
      </c>
      <c r="C2647" s="12" t="str">
        <f aca="false">IF($A2647="","",원본명단!$B2646)</f>
        <v/>
      </c>
      <c r="D2647" s="12" t="str">
        <f aca="false">IF($A2647="","",원본명단!$D2646)</f>
        <v/>
      </c>
      <c r="E2647" s="11" t="str">
        <f aca="false">IF($A2647="","",IF(원본명단!$H2646="",0,COUNTIF(원본명단!$H$3:$H$6002,원본명단!$H2646)))</f>
        <v/>
      </c>
      <c r="F2647" s="11" t="str">
        <f aca="false">IF($A2647="","",IF(원본명단!$I2646="",0,COUNTIF(원본명단!$I$3:$I$6002,원본명단!$I2646)))</f>
        <v/>
      </c>
      <c r="G2647" s="11" t="str">
        <f aca="false">IF($A2647="","",IF(원본명단!$K2646="",0,COUNTIF(원본명단!$K$3:$K$6002,원본명단!$K2646)))</f>
        <v/>
      </c>
      <c r="H2647" s="11" t="str">
        <f aca="false">IF($A2647="","",IF(MAX($E2647,$F2647,$G2647)&gt;1,"중복","-"))</f>
        <v/>
      </c>
      <c r="I2647" s="11" t="str">
        <f aca="false">IF($A2647="","",IF($H2647="-","-",IF(AND(IF(원본명단!$H2646="",TRUE(),COUNTIF(원본명단!$H$3:$H2646,원본명단!$H2646)=1),IF(원본명단!$I2646="",TRUE(),COUNTIF(원본명단!$I$3:$I2646,원본명단!$I2646)=1),IF(원본명단!$K2646="",TRUE(),COUNTIF(원본명단!$K$3:$K2646,원본명단!$K2646)=1)),"첫 건","중복 건")))</f>
        <v/>
      </c>
      <c r="J2647" s="11" t="str">
        <f aca="false">IF($A2647="","",IF($H2647="-","유지",IF($I2647="첫 건","유지","확인 필요")))</f>
        <v/>
      </c>
    </row>
    <row r="2648" customFormat="false" ht="15" hidden="false" customHeight="true" outlineLevel="0" collapsed="false">
      <c r="A2648" s="11" t="str">
        <f aca="false">IF(원본명단!$A2647="","",2645)</f>
        <v/>
      </c>
      <c r="B2648" s="12" t="str">
        <f aca="false">IF($A2648="","",원본명단!$A2647)</f>
        <v/>
      </c>
      <c r="C2648" s="12" t="str">
        <f aca="false">IF($A2648="","",원본명단!$B2647)</f>
        <v/>
      </c>
      <c r="D2648" s="12" t="str">
        <f aca="false">IF($A2648="","",원본명단!$D2647)</f>
        <v/>
      </c>
      <c r="E2648" s="11" t="str">
        <f aca="false">IF($A2648="","",IF(원본명단!$H2647="",0,COUNTIF(원본명단!$H$3:$H$6002,원본명단!$H2647)))</f>
        <v/>
      </c>
      <c r="F2648" s="11" t="str">
        <f aca="false">IF($A2648="","",IF(원본명단!$I2647="",0,COUNTIF(원본명단!$I$3:$I$6002,원본명단!$I2647)))</f>
        <v/>
      </c>
      <c r="G2648" s="11" t="str">
        <f aca="false">IF($A2648="","",IF(원본명단!$K2647="",0,COUNTIF(원본명단!$K$3:$K$6002,원본명단!$K2647)))</f>
        <v/>
      </c>
      <c r="H2648" s="11" t="str">
        <f aca="false">IF($A2648="","",IF(MAX($E2648,$F2648,$G2648)&gt;1,"중복","-"))</f>
        <v/>
      </c>
      <c r="I2648" s="11" t="str">
        <f aca="false">IF($A2648="","",IF($H2648="-","-",IF(AND(IF(원본명단!$H2647="",TRUE(),COUNTIF(원본명단!$H$3:$H2647,원본명단!$H2647)=1),IF(원본명단!$I2647="",TRUE(),COUNTIF(원본명단!$I$3:$I2647,원본명단!$I2647)=1),IF(원본명단!$K2647="",TRUE(),COUNTIF(원본명단!$K$3:$K2647,원본명단!$K2647)=1)),"첫 건","중복 건")))</f>
        <v/>
      </c>
      <c r="J2648" s="11" t="str">
        <f aca="false">IF($A2648="","",IF($H2648="-","유지",IF($I2648="첫 건","유지","확인 필요")))</f>
        <v/>
      </c>
    </row>
    <row r="2649" customFormat="false" ht="15" hidden="false" customHeight="true" outlineLevel="0" collapsed="false">
      <c r="A2649" s="11" t="str">
        <f aca="false">IF(원본명단!$A2648="","",2646)</f>
        <v/>
      </c>
      <c r="B2649" s="12" t="str">
        <f aca="false">IF($A2649="","",원본명단!$A2648)</f>
        <v/>
      </c>
      <c r="C2649" s="12" t="str">
        <f aca="false">IF($A2649="","",원본명단!$B2648)</f>
        <v/>
      </c>
      <c r="D2649" s="12" t="str">
        <f aca="false">IF($A2649="","",원본명단!$D2648)</f>
        <v/>
      </c>
      <c r="E2649" s="11" t="str">
        <f aca="false">IF($A2649="","",IF(원본명단!$H2648="",0,COUNTIF(원본명단!$H$3:$H$6002,원본명단!$H2648)))</f>
        <v/>
      </c>
      <c r="F2649" s="11" t="str">
        <f aca="false">IF($A2649="","",IF(원본명단!$I2648="",0,COUNTIF(원본명단!$I$3:$I$6002,원본명단!$I2648)))</f>
        <v/>
      </c>
      <c r="G2649" s="11" t="str">
        <f aca="false">IF($A2649="","",IF(원본명단!$K2648="",0,COUNTIF(원본명단!$K$3:$K$6002,원본명단!$K2648)))</f>
        <v/>
      </c>
      <c r="H2649" s="11" t="str">
        <f aca="false">IF($A2649="","",IF(MAX($E2649,$F2649,$G2649)&gt;1,"중복","-"))</f>
        <v/>
      </c>
      <c r="I2649" s="11" t="str">
        <f aca="false">IF($A2649="","",IF($H2649="-","-",IF(AND(IF(원본명단!$H2648="",TRUE(),COUNTIF(원본명단!$H$3:$H2648,원본명단!$H2648)=1),IF(원본명단!$I2648="",TRUE(),COUNTIF(원본명단!$I$3:$I2648,원본명단!$I2648)=1),IF(원본명단!$K2648="",TRUE(),COUNTIF(원본명단!$K$3:$K2648,원본명단!$K2648)=1)),"첫 건","중복 건")))</f>
        <v/>
      </c>
      <c r="J2649" s="11" t="str">
        <f aca="false">IF($A2649="","",IF($H2649="-","유지",IF($I2649="첫 건","유지","확인 필요")))</f>
        <v/>
      </c>
    </row>
    <row r="2650" customFormat="false" ht="15" hidden="false" customHeight="true" outlineLevel="0" collapsed="false">
      <c r="A2650" s="11" t="str">
        <f aca="false">IF(원본명단!$A2649="","",2647)</f>
        <v/>
      </c>
      <c r="B2650" s="12" t="str">
        <f aca="false">IF($A2650="","",원본명단!$A2649)</f>
        <v/>
      </c>
      <c r="C2650" s="12" t="str">
        <f aca="false">IF($A2650="","",원본명단!$B2649)</f>
        <v/>
      </c>
      <c r="D2650" s="12" t="str">
        <f aca="false">IF($A2650="","",원본명단!$D2649)</f>
        <v/>
      </c>
      <c r="E2650" s="11" t="str">
        <f aca="false">IF($A2650="","",IF(원본명단!$H2649="",0,COUNTIF(원본명단!$H$3:$H$6002,원본명단!$H2649)))</f>
        <v/>
      </c>
      <c r="F2650" s="11" t="str">
        <f aca="false">IF($A2650="","",IF(원본명단!$I2649="",0,COUNTIF(원본명단!$I$3:$I$6002,원본명단!$I2649)))</f>
        <v/>
      </c>
      <c r="G2650" s="11" t="str">
        <f aca="false">IF($A2650="","",IF(원본명단!$K2649="",0,COUNTIF(원본명단!$K$3:$K$6002,원본명단!$K2649)))</f>
        <v/>
      </c>
      <c r="H2650" s="11" t="str">
        <f aca="false">IF($A2650="","",IF(MAX($E2650,$F2650,$G2650)&gt;1,"중복","-"))</f>
        <v/>
      </c>
      <c r="I2650" s="11" t="str">
        <f aca="false">IF($A2650="","",IF($H2650="-","-",IF(AND(IF(원본명단!$H2649="",TRUE(),COUNTIF(원본명단!$H$3:$H2649,원본명단!$H2649)=1),IF(원본명단!$I2649="",TRUE(),COUNTIF(원본명단!$I$3:$I2649,원본명단!$I2649)=1),IF(원본명단!$K2649="",TRUE(),COUNTIF(원본명단!$K$3:$K2649,원본명단!$K2649)=1)),"첫 건","중복 건")))</f>
        <v/>
      </c>
      <c r="J2650" s="11" t="str">
        <f aca="false">IF($A2650="","",IF($H2650="-","유지",IF($I2650="첫 건","유지","확인 필요")))</f>
        <v/>
      </c>
    </row>
    <row r="2651" customFormat="false" ht="15" hidden="false" customHeight="true" outlineLevel="0" collapsed="false">
      <c r="A2651" s="11" t="str">
        <f aca="false">IF(원본명단!$A2650="","",2648)</f>
        <v/>
      </c>
      <c r="B2651" s="12" t="str">
        <f aca="false">IF($A2651="","",원본명단!$A2650)</f>
        <v/>
      </c>
      <c r="C2651" s="12" t="str">
        <f aca="false">IF($A2651="","",원본명단!$B2650)</f>
        <v/>
      </c>
      <c r="D2651" s="12" t="str">
        <f aca="false">IF($A2651="","",원본명단!$D2650)</f>
        <v/>
      </c>
      <c r="E2651" s="11" t="str">
        <f aca="false">IF($A2651="","",IF(원본명단!$H2650="",0,COUNTIF(원본명단!$H$3:$H$6002,원본명단!$H2650)))</f>
        <v/>
      </c>
      <c r="F2651" s="11" t="str">
        <f aca="false">IF($A2651="","",IF(원본명단!$I2650="",0,COUNTIF(원본명단!$I$3:$I$6002,원본명단!$I2650)))</f>
        <v/>
      </c>
      <c r="G2651" s="11" t="str">
        <f aca="false">IF($A2651="","",IF(원본명단!$K2650="",0,COUNTIF(원본명단!$K$3:$K$6002,원본명단!$K2650)))</f>
        <v/>
      </c>
      <c r="H2651" s="11" t="str">
        <f aca="false">IF($A2651="","",IF(MAX($E2651,$F2651,$G2651)&gt;1,"중복","-"))</f>
        <v/>
      </c>
      <c r="I2651" s="11" t="str">
        <f aca="false">IF($A2651="","",IF($H2651="-","-",IF(AND(IF(원본명단!$H2650="",TRUE(),COUNTIF(원본명단!$H$3:$H2650,원본명단!$H2650)=1),IF(원본명단!$I2650="",TRUE(),COUNTIF(원본명단!$I$3:$I2650,원본명단!$I2650)=1),IF(원본명단!$K2650="",TRUE(),COUNTIF(원본명단!$K$3:$K2650,원본명단!$K2650)=1)),"첫 건","중복 건")))</f>
        <v/>
      </c>
      <c r="J2651" s="11" t="str">
        <f aca="false">IF($A2651="","",IF($H2651="-","유지",IF($I2651="첫 건","유지","확인 필요")))</f>
        <v/>
      </c>
    </row>
    <row r="2652" customFormat="false" ht="15" hidden="false" customHeight="true" outlineLevel="0" collapsed="false">
      <c r="A2652" s="11" t="str">
        <f aca="false">IF(원본명단!$A2651="","",2649)</f>
        <v/>
      </c>
      <c r="B2652" s="12" t="str">
        <f aca="false">IF($A2652="","",원본명단!$A2651)</f>
        <v/>
      </c>
      <c r="C2652" s="12" t="str">
        <f aca="false">IF($A2652="","",원본명단!$B2651)</f>
        <v/>
      </c>
      <c r="D2652" s="12" t="str">
        <f aca="false">IF($A2652="","",원본명단!$D2651)</f>
        <v/>
      </c>
      <c r="E2652" s="11" t="str">
        <f aca="false">IF($A2652="","",IF(원본명단!$H2651="",0,COUNTIF(원본명단!$H$3:$H$6002,원본명단!$H2651)))</f>
        <v/>
      </c>
      <c r="F2652" s="11" t="str">
        <f aca="false">IF($A2652="","",IF(원본명단!$I2651="",0,COUNTIF(원본명단!$I$3:$I$6002,원본명단!$I2651)))</f>
        <v/>
      </c>
      <c r="G2652" s="11" t="str">
        <f aca="false">IF($A2652="","",IF(원본명단!$K2651="",0,COUNTIF(원본명단!$K$3:$K$6002,원본명단!$K2651)))</f>
        <v/>
      </c>
      <c r="H2652" s="11" t="str">
        <f aca="false">IF($A2652="","",IF(MAX($E2652,$F2652,$G2652)&gt;1,"중복","-"))</f>
        <v/>
      </c>
      <c r="I2652" s="11" t="str">
        <f aca="false">IF($A2652="","",IF($H2652="-","-",IF(AND(IF(원본명단!$H2651="",TRUE(),COUNTIF(원본명단!$H$3:$H2651,원본명단!$H2651)=1),IF(원본명단!$I2651="",TRUE(),COUNTIF(원본명단!$I$3:$I2651,원본명단!$I2651)=1),IF(원본명단!$K2651="",TRUE(),COUNTIF(원본명단!$K$3:$K2651,원본명단!$K2651)=1)),"첫 건","중복 건")))</f>
        <v/>
      </c>
      <c r="J2652" s="11" t="str">
        <f aca="false">IF($A2652="","",IF($H2652="-","유지",IF($I2652="첫 건","유지","확인 필요")))</f>
        <v/>
      </c>
    </row>
    <row r="2653" customFormat="false" ht="15" hidden="false" customHeight="true" outlineLevel="0" collapsed="false">
      <c r="A2653" s="11" t="str">
        <f aca="false">IF(원본명단!$A2652="","",2650)</f>
        <v/>
      </c>
      <c r="B2653" s="12" t="str">
        <f aca="false">IF($A2653="","",원본명단!$A2652)</f>
        <v/>
      </c>
      <c r="C2653" s="12" t="str">
        <f aca="false">IF($A2653="","",원본명단!$B2652)</f>
        <v/>
      </c>
      <c r="D2653" s="12" t="str">
        <f aca="false">IF($A2653="","",원본명단!$D2652)</f>
        <v/>
      </c>
      <c r="E2653" s="11" t="str">
        <f aca="false">IF($A2653="","",IF(원본명단!$H2652="",0,COUNTIF(원본명단!$H$3:$H$6002,원본명단!$H2652)))</f>
        <v/>
      </c>
      <c r="F2653" s="11" t="str">
        <f aca="false">IF($A2653="","",IF(원본명단!$I2652="",0,COUNTIF(원본명단!$I$3:$I$6002,원본명단!$I2652)))</f>
        <v/>
      </c>
      <c r="G2653" s="11" t="str">
        <f aca="false">IF($A2653="","",IF(원본명단!$K2652="",0,COUNTIF(원본명단!$K$3:$K$6002,원본명단!$K2652)))</f>
        <v/>
      </c>
      <c r="H2653" s="11" t="str">
        <f aca="false">IF($A2653="","",IF(MAX($E2653,$F2653,$G2653)&gt;1,"중복","-"))</f>
        <v/>
      </c>
      <c r="I2653" s="11" t="str">
        <f aca="false">IF($A2653="","",IF($H2653="-","-",IF(AND(IF(원본명단!$H2652="",TRUE(),COUNTIF(원본명단!$H$3:$H2652,원본명단!$H2652)=1),IF(원본명단!$I2652="",TRUE(),COUNTIF(원본명단!$I$3:$I2652,원본명단!$I2652)=1),IF(원본명단!$K2652="",TRUE(),COUNTIF(원본명단!$K$3:$K2652,원본명단!$K2652)=1)),"첫 건","중복 건")))</f>
        <v/>
      </c>
      <c r="J2653" s="11" t="str">
        <f aca="false">IF($A2653="","",IF($H2653="-","유지",IF($I2653="첫 건","유지","확인 필요")))</f>
        <v/>
      </c>
    </row>
    <row r="2654" customFormat="false" ht="15" hidden="false" customHeight="true" outlineLevel="0" collapsed="false">
      <c r="A2654" s="11" t="str">
        <f aca="false">IF(원본명단!$A2653="","",2651)</f>
        <v/>
      </c>
      <c r="B2654" s="12" t="str">
        <f aca="false">IF($A2654="","",원본명단!$A2653)</f>
        <v/>
      </c>
      <c r="C2654" s="12" t="str">
        <f aca="false">IF($A2654="","",원본명단!$B2653)</f>
        <v/>
      </c>
      <c r="D2654" s="12" t="str">
        <f aca="false">IF($A2654="","",원본명단!$D2653)</f>
        <v/>
      </c>
      <c r="E2654" s="11" t="str">
        <f aca="false">IF($A2654="","",IF(원본명단!$H2653="",0,COUNTIF(원본명단!$H$3:$H$6002,원본명단!$H2653)))</f>
        <v/>
      </c>
      <c r="F2654" s="11" t="str">
        <f aca="false">IF($A2654="","",IF(원본명단!$I2653="",0,COUNTIF(원본명단!$I$3:$I$6002,원본명단!$I2653)))</f>
        <v/>
      </c>
      <c r="G2654" s="11" t="str">
        <f aca="false">IF($A2654="","",IF(원본명단!$K2653="",0,COUNTIF(원본명단!$K$3:$K$6002,원본명단!$K2653)))</f>
        <v/>
      </c>
      <c r="H2654" s="11" t="str">
        <f aca="false">IF($A2654="","",IF(MAX($E2654,$F2654,$G2654)&gt;1,"중복","-"))</f>
        <v/>
      </c>
      <c r="I2654" s="11" t="str">
        <f aca="false">IF($A2654="","",IF($H2654="-","-",IF(AND(IF(원본명단!$H2653="",TRUE(),COUNTIF(원본명단!$H$3:$H2653,원본명단!$H2653)=1),IF(원본명단!$I2653="",TRUE(),COUNTIF(원본명단!$I$3:$I2653,원본명단!$I2653)=1),IF(원본명단!$K2653="",TRUE(),COUNTIF(원본명단!$K$3:$K2653,원본명단!$K2653)=1)),"첫 건","중복 건")))</f>
        <v/>
      </c>
      <c r="J2654" s="11" t="str">
        <f aca="false">IF($A2654="","",IF($H2654="-","유지",IF($I2654="첫 건","유지","확인 필요")))</f>
        <v/>
      </c>
    </row>
    <row r="2655" customFormat="false" ht="15" hidden="false" customHeight="true" outlineLevel="0" collapsed="false">
      <c r="A2655" s="11" t="str">
        <f aca="false">IF(원본명단!$A2654="","",2652)</f>
        <v/>
      </c>
      <c r="B2655" s="12" t="str">
        <f aca="false">IF($A2655="","",원본명단!$A2654)</f>
        <v/>
      </c>
      <c r="C2655" s="12" t="str">
        <f aca="false">IF($A2655="","",원본명단!$B2654)</f>
        <v/>
      </c>
      <c r="D2655" s="12" t="str">
        <f aca="false">IF($A2655="","",원본명단!$D2654)</f>
        <v/>
      </c>
      <c r="E2655" s="11" t="str">
        <f aca="false">IF($A2655="","",IF(원본명단!$H2654="",0,COUNTIF(원본명단!$H$3:$H$6002,원본명단!$H2654)))</f>
        <v/>
      </c>
      <c r="F2655" s="11" t="str">
        <f aca="false">IF($A2655="","",IF(원본명단!$I2654="",0,COUNTIF(원본명단!$I$3:$I$6002,원본명단!$I2654)))</f>
        <v/>
      </c>
      <c r="G2655" s="11" t="str">
        <f aca="false">IF($A2655="","",IF(원본명단!$K2654="",0,COUNTIF(원본명단!$K$3:$K$6002,원본명단!$K2654)))</f>
        <v/>
      </c>
      <c r="H2655" s="11" t="str">
        <f aca="false">IF($A2655="","",IF(MAX($E2655,$F2655,$G2655)&gt;1,"중복","-"))</f>
        <v/>
      </c>
      <c r="I2655" s="11" t="str">
        <f aca="false">IF($A2655="","",IF($H2655="-","-",IF(AND(IF(원본명단!$H2654="",TRUE(),COUNTIF(원본명단!$H$3:$H2654,원본명단!$H2654)=1),IF(원본명단!$I2654="",TRUE(),COUNTIF(원본명단!$I$3:$I2654,원본명단!$I2654)=1),IF(원본명단!$K2654="",TRUE(),COUNTIF(원본명단!$K$3:$K2654,원본명단!$K2654)=1)),"첫 건","중복 건")))</f>
        <v/>
      </c>
      <c r="J2655" s="11" t="str">
        <f aca="false">IF($A2655="","",IF($H2655="-","유지",IF($I2655="첫 건","유지","확인 필요")))</f>
        <v/>
      </c>
    </row>
    <row r="2656" customFormat="false" ht="15" hidden="false" customHeight="true" outlineLevel="0" collapsed="false">
      <c r="A2656" s="11" t="str">
        <f aca="false">IF(원본명단!$A2655="","",2653)</f>
        <v/>
      </c>
      <c r="B2656" s="12" t="str">
        <f aca="false">IF($A2656="","",원본명단!$A2655)</f>
        <v/>
      </c>
      <c r="C2656" s="12" t="str">
        <f aca="false">IF($A2656="","",원본명단!$B2655)</f>
        <v/>
      </c>
      <c r="D2656" s="12" t="str">
        <f aca="false">IF($A2656="","",원본명단!$D2655)</f>
        <v/>
      </c>
      <c r="E2656" s="11" t="str">
        <f aca="false">IF($A2656="","",IF(원본명단!$H2655="",0,COUNTIF(원본명단!$H$3:$H$6002,원본명단!$H2655)))</f>
        <v/>
      </c>
      <c r="F2656" s="11" t="str">
        <f aca="false">IF($A2656="","",IF(원본명단!$I2655="",0,COUNTIF(원본명단!$I$3:$I$6002,원본명단!$I2655)))</f>
        <v/>
      </c>
      <c r="G2656" s="11" t="str">
        <f aca="false">IF($A2656="","",IF(원본명단!$K2655="",0,COUNTIF(원본명단!$K$3:$K$6002,원본명단!$K2655)))</f>
        <v/>
      </c>
      <c r="H2656" s="11" t="str">
        <f aca="false">IF($A2656="","",IF(MAX($E2656,$F2656,$G2656)&gt;1,"중복","-"))</f>
        <v/>
      </c>
      <c r="I2656" s="11" t="str">
        <f aca="false">IF($A2656="","",IF($H2656="-","-",IF(AND(IF(원본명단!$H2655="",TRUE(),COUNTIF(원본명단!$H$3:$H2655,원본명단!$H2655)=1),IF(원본명단!$I2655="",TRUE(),COUNTIF(원본명단!$I$3:$I2655,원본명단!$I2655)=1),IF(원본명단!$K2655="",TRUE(),COUNTIF(원본명단!$K$3:$K2655,원본명단!$K2655)=1)),"첫 건","중복 건")))</f>
        <v/>
      </c>
      <c r="J2656" s="11" t="str">
        <f aca="false">IF($A2656="","",IF($H2656="-","유지",IF($I2656="첫 건","유지","확인 필요")))</f>
        <v/>
      </c>
    </row>
    <row r="2657" customFormat="false" ht="15" hidden="false" customHeight="true" outlineLevel="0" collapsed="false">
      <c r="A2657" s="11" t="str">
        <f aca="false">IF(원본명단!$A2656="","",2654)</f>
        <v/>
      </c>
      <c r="B2657" s="12" t="str">
        <f aca="false">IF($A2657="","",원본명단!$A2656)</f>
        <v/>
      </c>
      <c r="C2657" s="12" t="str">
        <f aca="false">IF($A2657="","",원본명단!$B2656)</f>
        <v/>
      </c>
      <c r="D2657" s="12" t="str">
        <f aca="false">IF($A2657="","",원본명단!$D2656)</f>
        <v/>
      </c>
      <c r="E2657" s="11" t="str">
        <f aca="false">IF($A2657="","",IF(원본명단!$H2656="",0,COUNTIF(원본명단!$H$3:$H$6002,원본명단!$H2656)))</f>
        <v/>
      </c>
      <c r="F2657" s="11" t="str">
        <f aca="false">IF($A2657="","",IF(원본명단!$I2656="",0,COUNTIF(원본명단!$I$3:$I$6002,원본명단!$I2656)))</f>
        <v/>
      </c>
      <c r="G2657" s="11" t="str">
        <f aca="false">IF($A2657="","",IF(원본명단!$K2656="",0,COUNTIF(원본명단!$K$3:$K$6002,원본명단!$K2656)))</f>
        <v/>
      </c>
      <c r="H2657" s="11" t="str">
        <f aca="false">IF($A2657="","",IF(MAX($E2657,$F2657,$G2657)&gt;1,"중복","-"))</f>
        <v/>
      </c>
      <c r="I2657" s="11" t="str">
        <f aca="false">IF($A2657="","",IF($H2657="-","-",IF(AND(IF(원본명단!$H2656="",TRUE(),COUNTIF(원본명단!$H$3:$H2656,원본명단!$H2656)=1),IF(원본명단!$I2656="",TRUE(),COUNTIF(원본명단!$I$3:$I2656,원본명단!$I2656)=1),IF(원본명단!$K2656="",TRUE(),COUNTIF(원본명단!$K$3:$K2656,원본명단!$K2656)=1)),"첫 건","중복 건")))</f>
        <v/>
      </c>
      <c r="J2657" s="11" t="str">
        <f aca="false">IF($A2657="","",IF($H2657="-","유지",IF($I2657="첫 건","유지","확인 필요")))</f>
        <v/>
      </c>
    </row>
    <row r="2658" customFormat="false" ht="15" hidden="false" customHeight="true" outlineLevel="0" collapsed="false">
      <c r="A2658" s="11" t="str">
        <f aca="false">IF(원본명단!$A2657="","",2655)</f>
        <v/>
      </c>
      <c r="B2658" s="12" t="str">
        <f aca="false">IF($A2658="","",원본명단!$A2657)</f>
        <v/>
      </c>
      <c r="C2658" s="12" t="str">
        <f aca="false">IF($A2658="","",원본명단!$B2657)</f>
        <v/>
      </c>
      <c r="D2658" s="12" t="str">
        <f aca="false">IF($A2658="","",원본명단!$D2657)</f>
        <v/>
      </c>
      <c r="E2658" s="11" t="str">
        <f aca="false">IF($A2658="","",IF(원본명단!$H2657="",0,COUNTIF(원본명단!$H$3:$H$6002,원본명단!$H2657)))</f>
        <v/>
      </c>
      <c r="F2658" s="11" t="str">
        <f aca="false">IF($A2658="","",IF(원본명단!$I2657="",0,COUNTIF(원본명단!$I$3:$I$6002,원본명단!$I2657)))</f>
        <v/>
      </c>
      <c r="G2658" s="11" t="str">
        <f aca="false">IF($A2658="","",IF(원본명단!$K2657="",0,COUNTIF(원본명단!$K$3:$K$6002,원본명단!$K2657)))</f>
        <v/>
      </c>
      <c r="H2658" s="11" t="str">
        <f aca="false">IF($A2658="","",IF(MAX($E2658,$F2658,$G2658)&gt;1,"중복","-"))</f>
        <v/>
      </c>
      <c r="I2658" s="11" t="str">
        <f aca="false">IF($A2658="","",IF($H2658="-","-",IF(AND(IF(원본명단!$H2657="",TRUE(),COUNTIF(원본명단!$H$3:$H2657,원본명단!$H2657)=1),IF(원본명단!$I2657="",TRUE(),COUNTIF(원본명단!$I$3:$I2657,원본명단!$I2657)=1),IF(원본명단!$K2657="",TRUE(),COUNTIF(원본명단!$K$3:$K2657,원본명단!$K2657)=1)),"첫 건","중복 건")))</f>
        <v/>
      </c>
      <c r="J2658" s="11" t="str">
        <f aca="false">IF($A2658="","",IF($H2658="-","유지",IF($I2658="첫 건","유지","확인 필요")))</f>
        <v/>
      </c>
    </row>
    <row r="2659" customFormat="false" ht="15" hidden="false" customHeight="true" outlineLevel="0" collapsed="false">
      <c r="A2659" s="11" t="str">
        <f aca="false">IF(원본명단!$A2658="","",2656)</f>
        <v/>
      </c>
      <c r="B2659" s="12" t="str">
        <f aca="false">IF($A2659="","",원본명단!$A2658)</f>
        <v/>
      </c>
      <c r="C2659" s="12" t="str">
        <f aca="false">IF($A2659="","",원본명단!$B2658)</f>
        <v/>
      </c>
      <c r="D2659" s="12" t="str">
        <f aca="false">IF($A2659="","",원본명단!$D2658)</f>
        <v/>
      </c>
      <c r="E2659" s="11" t="str">
        <f aca="false">IF($A2659="","",IF(원본명단!$H2658="",0,COUNTIF(원본명단!$H$3:$H$6002,원본명단!$H2658)))</f>
        <v/>
      </c>
      <c r="F2659" s="11" t="str">
        <f aca="false">IF($A2659="","",IF(원본명단!$I2658="",0,COUNTIF(원본명단!$I$3:$I$6002,원본명단!$I2658)))</f>
        <v/>
      </c>
      <c r="G2659" s="11" t="str">
        <f aca="false">IF($A2659="","",IF(원본명단!$K2658="",0,COUNTIF(원본명단!$K$3:$K$6002,원본명단!$K2658)))</f>
        <v/>
      </c>
      <c r="H2659" s="11" t="str">
        <f aca="false">IF($A2659="","",IF(MAX($E2659,$F2659,$G2659)&gt;1,"중복","-"))</f>
        <v/>
      </c>
      <c r="I2659" s="11" t="str">
        <f aca="false">IF($A2659="","",IF($H2659="-","-",IF(AND(IF(원본명단!$H2658="",TRUE(),COUNTIF(원본명단!$H$3:$H2658,원본명단!$H2658)=1),IF(원본명단!$I2658="",TRUE(),COUNTIF(원본명단!$I$3:$I2658,원본명단!$I2658)=1),IF(원본명단!$K2658="",TRUE(),COUNTIF(원본명단!$K$3:$K2658,원본명단!$K2658)=1)),"첫 건","중복 건")))</f>
        <v/>
      </c>
      <c r="J2659" s="11" t="str">
        <f aca="false">IF($A2659="","",IF($H2659="-","유지",IF($I2659="첫 건","유지","확인 필요")))</f>
        <v/>
      </c>
    </row>
    <row r="2660" customFormat="false" ht="15" hidden="false" customHeight="true" outlineLevel="0" collapsed="false">
      <c r="A2660" s="11" t="str">
        <f aca="false">IF(원본명단!$A2659="","",2657)</f>
        <v/>
      </c>
      <c r="B2660" s="12" t="str">
        <f aca="false">IF($A2660="","",원본명단!$A2659)</f>
        <v/>
      </c>
      <c r="C2660" s="12" t="str">
        <f aca="false">IF($A2660="","",원본명단!$B2659)</f>
        <v/>
      </c>
      <c r="D2660" s="12" t="str">
        <f aca="false">IF($A2660="","",원본명단!$D2659)</f>
        <v/>
      </c>
      <c r="E2660" s="11" t="str">
        <f aca="false">IF($A2660="","",IF(원본명단!$H2659="",0,COUNTIF(원본명단!$H$3:$H$6002,원본명단!$H2659)))</f>
        <v/>
      </c>
      <c r="F2660" s="11" t="str">
        <f aca="false">IF($A2660="","",IF(원본명단!$I2659="",0,COUNTIF(원본명단!$I$3:$I$6002,원본명단!$I2659)))</f>
        <v/>
      </c>
      <c r="G2660" s="11" t="str">
        <f aca="false">IF($A2660="","",IF(원본명단!$K2659="",0,COUNTIF(원본명단!$K$3:$K$6002,원본명단!$K2659)))</f>
        <v/>
      </c>
      <c r="H2660" s="11" t="str">
        <f aca="false">IF($A2660="","",IF(MAX($E2660,$F2660,$G2660)&gt;1,"중복","-"))</f>
        <v/>
      </c>
      <c r="I2660" s="11" t="str">
        <f aca="false">IF($A2660="","",IF($H2660="-","-",IF(AND(IF(원본명단!$H2659="",TRUE(),COUNTIF(원본명단!$H$3:$H2659,원본명단!$H2659)=1),IF(원본명단!$I2659="",TRUE(),COUNTIF(원본명단!$I$3:$I2659,원본명단!$I2659)=1),IF(원본명단!$K2659="",TRUE(),COUNTIF(원본명단!$K$3:$K2659,원본명단!$K2659)=1)),"첫 건","중복 건")))</f>
        <v/>
      </c>
      <c r="J2660" s="11" t="str">
        <f aca="false">IF($A2660="","",IF($H2660="-","유지",IF($I2660="첫 건","유지","확인 필요")))</f>
        <v/>
      </c>
    </row>
    <row r="2661" customFormat="false" ht="15" hidden="false" customHeight="true" outlineLevel="0" collapsed="false">
      <c r="A2661" s="11" t="str">
        <f aca="false">IF(원본명단!$A2660="","",2658)</f>
        <v/>
      </c>
      <c r="B2661" s="12" t="str">
        <f aca="false">IF($A2661="","",원본명단!$A2660)</f>
        <v/>
      </c>
      <c r="C2661" s="12" t="str">
        <f aca="false">IF($A2661="","",원본명단!$B2660)</f>
        <v/>
      </c>
      <c r="D2661" s="12" t="str">
        <f aca="false">IF($A2661="","",원본명단!$D2660)</f>
        <v/>
      </c>
      <c r="E2661" s="11" t="str">
        <f aca="false">IF($A2661="","",IF(원본명단!$H2660="",0,COUNTIF(원본명단!$H$3:$H$6002,원본명단!$H2660)))</f>
        <v/>
      </c>
      <c r="F2661" s="11" t="str">
        <f aca="false">IF($A2661="","",IF(원본명단!$I2660="",0,COUNTIF(원본명단!$I$3:$I$6002,원본명단!$I2660)))</f>
        <v/>
      </c>
      <c r="G2661" s="11" t="str">
        <f aca="false">IF($A2661="","",IF(원본명단!$K2660="",0,COUNTIF(원본명단!$K$3:$K$6002,원본명단!$K2660)))</f>
        <v/>
      </c>
      <c r="H2661" s="11" t="str">
        <f aca="false">IF($A2661="","",IF(MAX($E2661,$F2661,$G2661)&gt;1,"중복","-"))</f>
        <v/>
      </c>
      <c r="I2661" s="11" t="str">
        <f aca="false">IF($A2661="","",IF($H2661="-","-",IF(AND(IF(원본명단!$H2660="",TRUE(),COUNTIF(원본명단!$H$3:$H2660,원본명단!$H2660)=1),IF(원본명단!$I2660="",TRUE(),COUNTIF(원본명단!$I$3:$I2660,원본명단!$I2660)=1),IF(원본명단!$K2660="",TRUE(),COUNTIF(원본명단!$K$3:$K2660,원본명단!$K2660)=1)),"첫 건","중복 건")))</f>
        <v/>
      </c>
      <c r="J2661" s="11" t="str">
        <f aca="false">IF($A2661="","",IF($H2661="-","유지",IF($I2661="첫 건","유지","확인 필요")))</f>
        <v/>
      </c>
    </row>
    <row r="2662" customFormat="false" ht="15" hidden="false" customHeight="true" outlineLevel="0" collapsed="false">
      <c r="A2662" s="11" t="str">
        <f aca="false">IF(원본명단!$A2661="","",2659)</f>
        <v/>
      </c>
      <c r="B2662" s="12" t="str">
        <f aca="false">IF($A2662="","",원본명단!$A2661)</f>
        <v/>
      </c>
      <c r="C2662" s="12" t="str">
        <f aca="false">IF($A2662="","",원본명단!$B2661)</f>
        <v/>
      </c>
      <c r="D2662" s="12" t="str">
        <f aca="false">IF($A2662="","",원본명단!$D2661)</f>
        <v/>
      </c>
      <c r="E2662" s="11" t="str">
        <f aca="false">IF($A2662="","",IF(원본명단!$H2661="",0,COUNTIF(원본명단!$H$3:$H$6002,원본명단!$H2661)))</f>
        <v/>
      </c>
      <c r="F2662" s="11" t="str">
        <f aca="false">IF($A2662="","",IF(원본명단!$I2661="",0,COUNTIF(원본명단!$I$3:$I$6002,원본명단!$I2661)))</f>
        <v/>
      </c>
      <c r="G2662" s="11" t="str">
        <f aca="false">IF($A2662="","",IF(원본명단!$K2661="",0,COUNTIF(원본명단!$K$3:$K$6002,원본명단!$K2661)))</f>
        <v/>
      </c>
      <c r="H2662" s="11" t="str">
        <f aca="false">IF($A2662="","",IF(MAX($E2662,$F2662,$G2662)&gt;1,"중복","-"))</f>
        <v/>
      </c>
      <c r="I2662" s="11" t="str">
        <f aca="false">IF($A2662="","",IF($H2662="-","-",IF(AND(IF(원본명단!$H2661="",TRUE(),COUNTIF(원본명단!$H$3:$H2661,원본명단!$H2661)=1),IF(원본명단!$I2661="",TRUE(),COUNTIF(원본명단!$I$3:$I2661,원본명단!$I2661)=1),IF(원본명단!$K2661="",TRUE(),COUNTIF(원본명단!$K$3:$K2661,원본명단!$K2661)=1)),"첫 건","중복 건")))</f>
        <v/>
      </c>
      <c r="J2662" s="11" t="str">
        <f aca="false">IF($A2662="","",IF($H2662="-","유지",IF($I2662="첫 건","유지","확인 필요")))</f>
        <v/>
      </c>
    </row>
    <row r="2663" customFormat="false" ht="15" hidden="false" customHeight="true" outlineLevel="0" collapsed="false">
      <c r="A2663" s="11" t="str">
        <f aca="false">IF(원본명단!$A2662="","",2660)</f>
        <v/>
      </c>
      <c r="B2663" s="12" t="str">
        <f aca="false">IF($A2663="","",원본명단!$A2662)</f>
        <v/>
      </c>
      <c r="C2663" s="12" t="str">
        <f aca="false">IF($A2663="","",원본명단!$B2662)</f>
        <v/>
      </c>
      <c r="D2663" s="12" t="str">
        <f aca="false">IF($A2663="","",원본명단!$D2662)</f>
        <v/>
      </c>
      <c r="E2663" s="11" t="str">
        <f aca="false">IF($A2663="","",IF(원본명단!$H2662="",0,COUNTIF(원본명단!$H$3:$H$6002,원본명단!$H2662)))</f>
        <v/>
      </c>
      <c r="F2663" s="11" t="str">
        <f aca="false">IF($A2663="","",IF(원본명단!$I2662="",0,COUNTIF(원본명단!$I$3:$I$6002,원본명단!$I2662)))</f>
        <v/>
      </c>
      <c r="G2663" s="11" t="str">
        <f aca="false">IF($A2663="","",IF(원본명단!$K2662="",0,COUNTIF(원본명단!$K$3:$K$6002,원본명단!$K2662)))</f>
        <v/>
      </c>
      <c r="H2663" s="11" t="str">
        <f aca="false">IF($A2663="","",IF(MAX($E2663,$F2663,$G2663)&gt;1,"중복","-"))</f>
        <v/>
      </c>
      <c r="I2663" s="11" t="str">
        <f aca="false">IF($A2663="","",IF($H2663="-","-",IF(AND(IF(원본명단!$H2662="",TRUE(),COUNTIF(원본명단!$H$3:$H2662,원본명단!$H2662)=1),IF(원본명단!$I2662="",TRUE(),COUNTIF(원본명단!$I$3:$I2662,원본명단!$I2662)=1),IF(원본명단!$K2662="",TRUE(),COUNTIF(원본명단!$K$3:$K2662,원본명단!$K2662)=1)),"첫 건","중복 건")))</f>
        <v/>
      </c>
      <c r="J2663" s="11" t="str">
        <f aca="false">IF($A2663="","",IF($H2663="-","유지",IF($I2663="첫 건","유지","확인 필요")))</f>
        <v/>
      </c>
    </row>
    <row r="2664" customFormat="false" ht="15" hidden="false" customHeight="true" outlineLevel="0" collapsed="false">
      <c r="A2664" s="11" t="str">
        <f aca="false">IF(원본명단!$A2663="","",2661)</f>
        <v/>
      </c>
      <c r="B2664" s="12" t="str">
        <f aca="false">IF($A2664="","",원본명단!$A2663)</f>
        <v/>
      </c>
      <c r="C2664" s="12" t="str">
        <f aca="false">IF($A2664="","",원본명단!$B2663)</f>
        <v/>
      </c>
      <c r="D2664" s="12" t="str">
        <f aca="false">IF($A2664="","",원본명단!$D2663)</f>
        <v/>
      </c>
      <c r="E2664" s="11" t="str">
        <f aca="false">IF($A2664="","",IF(원본명단!$H2663="",0,COUNTIF(원본명단!$H$3:$H$6002,원본명단!$H2663)))</f>
        <v/>
      </c>
      <c r="F2664" s="11" t="str">
        <f aca="false">IF($A2664="","",IF(원본명단!$I2663="",0,COUNTIF(원본명단!$I$3:$I$6002,원본명단!$I2663)))</f>
        <v/>
      </c>
      <c r="G2664" s="11" t="str">
        <f aca="false">IF($A2664="","",IF(원본명단!$K2663="",0,COUNTIF(원본명단!$K$3:$K$6002,원본명단!$K2663)))</f>
        <v/>
      </c>
      <c r="H2664" s="11" t="str">
        <f aca="false">IF($A2664="","",IF(MAX($E2664,$F2664,$G2664)&gt;1,"중복","-"))</f>
        <v/>
      </c>
      <c r="I2664" s="11" t="str">
        <f aca="false">IF($A2664="","",IF($H2664="-","-",IF(AND(IF(원본명단!$H2663="",TRUE(),COUNTIF(원본명단!$H$3:$H2663,원본명단!$H2663)=1),IF(원본명단!$I2663="",TRUE(),COUNTIF(원본명단!$I$3:$I2663,원본명단!$I2663)=1),IF(원본명단!$K2663="",TRUE(),COUNTIF(원본명단!$K$3:$K2663,원본명단!$K2663)=1)),"첫 건","중복 건")))</f>
        <v/>
      </c>
      <c r="J2664" s="11" t="str">
        <f aca="false">IF($A2664="","",IF($H2664="-","유지",IF($I2664="첫 건","유지","확인 필요")))</f>
        <v/>
      </c>
    </row>
    <row r="2665" customFormat="false" ht="15" hidden="false" customHeight="true" outlineLevel="0" collapsed="false">
      <c r="A2665" s="11" t="str">
        <f aca="false">IF(원본명단!$A2664="","",2662)</f>
        <v/>
      </c>
      <c r="B2665" s="12" t="str">
        <f aca="false">IF($A2665="","",원본명단!$A2664)</f>
        <v/>
      </c>
      <c r="C2665" s="12" t="str">
        <f aca="false">IF($A2665="","",원본명단!$B2664)</f>
        <v/>
      </c>
      <c r="D2665" s="12" t="str">
        <f aca="false">IF($A2665="","",원본명단!$D2664)</f>
        <v/>
      </c>
      <c r="E2665" s="11" t="str">
        <f aca="false">IF($A2665="","",IF(원본명단!$H2664="",0,COUNTIF(원본명단!$H$3:$H$6002,원본명단!$H2664)))</f>
        <v/>
      </c>
      <c r="F2665" s="11" t="str">
        <f aca="false">IF($A2665="","",IF(원본명단!$I2664="",0,COUNTIF(원본명단!$I$3:$I$6002,원본명단!$I2664)))</f>
        <v/>
      </c>
      <c r="G2665" s="11" t="str">
        <f aca="false">IF($A2665="","",IF(원본명단!$K2664="",0,COUNTIF(원본명단!$K$3:$K$6002,원본명단!$K2664)))</f>
        <v/>
      </c>
      <c r="H2665" s="11" t="str">
        <f aca="false">IF($A2665="","",IF(MAX($E2665,$F2665,$G2665)&gt;1,"중복","-"))</f>
        <v/>
      </c>
      <c r="I2665" s="11" t="str">
        <f aca="false">IF($A2665="","",IF($H2665="-","-",IF(AND(IF(원본명단!$H2664="",TRUE(),COUNTIF(원본명단!$H$3:$H2664,원본명단!$H2664)=1),IF(원본명단!$I2664="",TRUE(),COUNTIF(원본명단!$I$3:$I2664,원본명단!$I2664)=1),IF(원본명단!$K2664="",TRUE(),COUNTIF(원본명단!$K$3:$K2664,원본명단!$K2664)=1)),"첫 건","중복 건")))</f>
        <v/>
      </c>
      <c r="J2665" s="11" t="str">
        <f aca="false">IF($A2665="","",IF($H2665="-","유지",IF($I2665="첫 건","유지","확인 필요")))</f>
        <v/>
      </c>
    </row>
    <row r="2666" customFormat="false" ht="15" hidden="false" customHeight="true" outlineLevel="0" collapsed="false">
      <c r="A2666" s="11" t="str">
        <f aca="false">IF(원본명단!$A2665="","",2663)</f>
        <v/>
      </c>
      <c r="B2666" s="12" t="str">
        <f aca="false">IF($A2666="","",원본명단!$A2665)</f>
        <v/>
      </c>
      <c r="C2666" s="12" t="str">
        <f aca="false">IF($A2666="","",원본명단!$B2665)</f>
        <v/>
      </c>
      <c r="D2666" s="12" t="str">
        <f aca="false">IF($A2666="","",원본명단!$D2665)</f>
        <v/>
      </c>
      <c r="E2666" s="11" t="str">
        <f aca="false">IF($A2666="","",IF(원본명단!$H2665="",0,COUNTIF(원본명단!$H$3:$H$6002,원본명단!$H2665)))</f>
        <v/>
      </c>
      <c r="F2666" s="11" t="str">
        <f aca="false">IF($A2666="","",IF(원본명단!$I2665="",0,COUNTIF(원본명단!$I$3:$I$6002,원본명단!$I2665)))</f>
        <v/>
      </c>
      <c r="G2666" s="11" t="str">
        <f aca="false">IF($A2666="","",IF(원본명단!$K2665="",0,COUNTIF(원본명단!$K$3:$K$6002,원본명단!$K2665)))</f>
        <v/>
      </c>
      <c r="H2666" s="11" t="str">
        <f aca="false">IF($A2666="","",IF(MAX($E2666,$F2666,$G2666)&gt;1,"중복","-"))</f>
        <v/>
      </c>
      <c r="I2666" s="11" t="str">
        <f aca="false">IF($A2666="","",IF($H2666="-","-",IF(AND(IF(원본명단!$H2665="",TRUE(),COUNTIF(원본명단!$H$3:$H2665,원본명단!$H2665)=1),IF(원본명단!$I2665="",TRUE(),COUNTIF(원본명단!$I$3:$I2665,원본명단!$I2665)=1),IF(원본명단!$K2665="",TRUE(),COUNTIF(원본명단!$K$3:$K2665,원본명단!$K2665)=1)),"첫 건","중복 건")))</f>
        <v/>
      </c>
      <c r="J2666" s="11" t="str">
        <f aca="false">IF($A2666="","",IF($H2666="-","유지",IF($I2666="첫 건","유지","확인 필요")))</f>
        <v/>
      </c>
    </row>
    <row r="2667" customFormat="false" ht="15" hidden="false" customHeight="true" outlineLevel="0" collapsed="false">
      <c r="A2667" s="11" t="str">
        <f aca="false">IF(원본명단!$A2666="","",2664)</f>
        <v/>
      </c>
      <c r="B2667" s="12" t="str">
        <f aca="false">IF($A2667="","",원본명단!$A2666)</f>
        <v/>
      </c>
      <c r="C2667" s="12" t="str">
        <f aca="false">IF($A2667="","",원본명단!$B2666)</f>
        <v/>
      </c>
      <c r="D2667" s="12" t="str">
        <f aca="false">IF($A2667="","",원본명단!$D2666)</f>
        <v/>
      </c>
      <c r="E2667" s="11" t="str">
        <f aca="false">IF($A2667="","",IF(원본명단!$H2666="",0,COUNTIF(원본명단!$H$3:$H$6002,원본명단!$H2666)))</f>
        <v/>
      </c>
      <c r="F2667" s="11" t="str">
        <f aca="false">IF($A2667="","",IF(원본명단!$I2666="",0,COUNTIF(원본명단!$I$3:$I$6002,원본명단!$I2666)))</f>
        <v/>
      </c>
      <c r="G2667" s="11" t="str">
        <f aca="false">IF($A2667="","",IF(원본명단!$K2666="",0,COUNTIF(원본명단!$K$3:$K$6002,원본명단!$K2666)))</f>
        <v/>
      </c>
      <c r="H2667" s="11" t="str">
        <f aca="false">IF($A2667="","",IF(MAX($E2667,$F2667,$G2667)&gt;1,"중복","-"))</f>
        <v/>
      </c>
      <c r="I2667" s="11" t="str">
        <f aca="false">IF($A2667="","",IF($H2667="-","-",IF(AND(IF(원본명단!$H2666="",TRUE(),COUNTIF(원본명단!$H$3:$H2666,원본명단!$H2666)=1),IF(원본명단!$I2666="",TRUE(),COUNTIF(원본명단!$I$3:$I2666,원본명단!$I2666)=1),IF(원본명단!$K2666="",TRUE(),COUNTIF(원본명단!$K$3:$K2666,원본명단!$K2666)=1)),"첫 건","중복 건")))</f>
        <v/>
      </c>
      <c r="J2667" s="11" t="str">
        <f aca="false">IF($A2667="","",IF($H2667="-","유지",IF($I2667="첫 건","유지","확인 필요")))</f>
        <v/>
      </c>
    </row>
    <row r="2668" customFormat="false" ht="15" hidden="false" customHeight="true" outlineLevel="0" collapsed="false">
      <c r="A2668" s="11" t="str">
        <f aca="false">IF(원본명단!$A2667="","",2665)</f>
        <v/>
      </c>
      <c r="B2668" s="12" t="str">
        <f aca="false">IF($A2668="","",원본명단!$A2667)</f>
        <v/>
      </c>
      <c r="C2668" s="12" t="str">
        <f aca="false">IF($A2668="","",원본명단!$B2667)</f>
        <v/>
      </c>
      <c r="D2668" s="12" t="str">
        <f aca="false">IF($A2668="","",원본명단!$D2667)</f>
        <v/>
      </c>
      <c r="E2668" s="11" t="str">
        <f aca="false">IF($A2668="","",IF(원본명단!$H2667="",0,COUNTIF(원본명단!$H$3:$H$6002,원본명단!$H2667)))</f>
        <v/>
      </c>
      <c r="F2668" s="11" t="str">
        <f aca="false">IF($A2668="","",IF(원본명단!$I2667="",0,COUNTIF(원본명단!$I$3:$I$6002,원본명단!$I2667)))</f>
        <v/>
      </c>
      <c r="G2668" s="11" t="str">
        <f aca="false">IF($A2668="","",IF(원본명단!$K2667="",0,COUNTIF(원본명단!$K$3:$K$6002,원본명단!$K2667)))</f>
        <v/>
      </c>
      <c r="H2668" s="11" t="str">
        <f aca="false">IF($A2668="","",IF(MAX($E2668,$F2668,$G2668)&gt;1,"중복","-"))</f>
        <v/>
      </c>
      <c r="I2668" s="11" t="str">
        <f aca="false">IF($A2668="","",IF($H2668="-","-",IF(AND(IF(원본명단!$H2667="",TRUE(),COUNTIF(원본명단!$H$3:$H2667,원본명단!$H2667)=1),IF(원본명단!$I2667="",TRUE(),COUNTIF(원본명단!$I$3:$I2667,원본명단!$I2667)=1),IF(원본명단!$K2667="",TRUE(),COUNTIF(원본명단!$K$3:$K2667,원본명단!$K2667)=1)),"첫 건","중복 건")))</f>
        <v/>
      </c>
      <c r="J2668" s="11" t="str">
        <f aca="false">IF($A2668="","",IF($H2668="-","유지",IF($I2668="첫 건","유지","확인 필요")))</f>
        <v/>
      </c>
    </row>
    <row r="2669" customFormat="false" ht="15" hidden="false" customHeight="true" outlineLevel="0" collapsed="false">
      <c r="A2669" s="11" t="str">
        <f aca="false">IF(원본명단!$A2668="","",2666)</f>
        <v/>
      </c>
      <c r="B2669" s="12" t="str">
        <f aca="false">IF($A2669="","",원본명단!$A2668)</f>
        <v/>
      </c>
      <c r="C2669" s="12" t="str">
        <f aca="false">IF($A2669="","",원본명단!$B2668)</f>
        <v/>
      </c>
      <c r="D2669" s="12" t="str">
        <f aca="false">IF($A2669="","",원본명단!$D2668)</f>
        <v/>
      </c>
      <c r="E2669" s="11" t="str">
        <f aca="false">IF($A2669="","",IF(원본명단!$H2668="",0,COUNTIF(원본명단!$H$3:$H$6002,원본명단!$H2668)))</f>
        <v/>
      </c>
      <c r="F2669" s="11" t="str">
        <f aca="false">IF($A2669="","",IF(원본명단!$I2668="",0,COUNTIF(원본명단!$I$3:$I$6002,원본명단!$I2668)))</f>
        <v/>
      </c>
      <c r="G2669" s="11" t="str">
        <f aca="false">IF($A2669="","",IF(원본명단!$K2668="",0,COUNTIF(원본명단!$K$3:$K$6002,원본명단!$K2668)))</f>
        <v/>
      </c>
      <c r="H2669" s="11" t="str">
        <f aca="false">IF($A2669="","",IF(MAX($E2669,$F2669,$G2669)&gt;1,"중복","-"))</f>
        <v/>
      </c>
      <c r="I2669" s="11" t="str">
        <f aca="false">IF($A2669="","",IF($H2669="-","-",IF(AND(IF(원본명단!$H2668="",TRUE(),COUNTIF(원본명단!$H$3:$H2668,원본명단!$H2668)=1),IF(원본명단!$I2668="",TRUE(),COUNTIF(원본명단!$I$3:$I2668,원본명단!$I2668)=1),IF(원본명단!$K2668="",TRUE(),COUNTIF(원본명단!$K$3:$K2668,원본명단!$K2668)=1)),"첫 건","중복 건")))</f>
        <v/>
      </c>
      <c r="J2669" s="11" t="str">
        <f aca="false">IF($A2669="","",IF($H2669="-","유지",IF($I2669="첫 건","유지","확인 필요")))</f>
        <v/>
      </c>
    </row>
    <row r="2670" customFormat="false" ht="15" hidden="false" customHeight="true" outlineLevel="0" collapsed="false">
      <c r="A2670" s="11" t="str">
        <f aca="false">IF(원본명단!$A2669="","",2667)</f>
        <v/>
      </c>
      <c r="B2670" s="12" t="str">
        <f aca="false">IF($A2670="","",원본명단!$A2669)</f>
        <v/>
      </c>
      <c r="C2670" s="12" t="str">
        <f aca="false">IF($A2670="","",원본명단!$B2669)</f>
        <v/>
      </c>
      <c r="D2670" s="12" t="str">
        <f aca="false">IF($A2670="","",원본명단!$D2669)</f>
        <v/>
      </c>
      <c r="E2670" s="11" t="str">
        <f aca="false">IF($A2670="","",IF(원본명단!$H2669="",0,COUNTIF(원본명단!$H$3:$H$6002,원본명단!$H2669)))</f>
        <v/>
      </c>
      <c r="F2670" s="11" t="str">
        <f aca="false">IF($A2670="","",IF(원본명단!$I2669="",0,COUNTIF(원본명단!$I$3:$I$6002,원본명단!$I2669)))</f>
        <v/>
      </c>
      <c r="G2670" s="11" t="str">
        <f aca="false">IF($A2670="","",IF(원본명단!$K2669="",0,COUNTIF(원본명단!$K$3:$K$6002,원본명단!$K2669)))</f>
        <v/>
      </c>
      <c r="H2670" s="11" t="str">
        <f aca="false">IF($A2670="","",IF(MAX($E2670,$F2670,$G2670)&gt;1,"중복","-"))</f>
        <v/>
      </c>
      <c r="I2670" s="11" t="str">
        <f aca="false">IF($A2670="","",IF($H2670="-","-",IF(AND(IF(원본명단!$H2669="",TRUE(),COUNTIF(원본명단!$H$3:$H2669,원본명단!$H2669)=1),IF(원본명단!$I2669="",TRUE(),COUNTIF(원본명단!$I$3:$I2669,원본명단!$I2669)=1),IF(원본명단!$K2669="",TRUE(),COUNTIF(원본명단!$K$3:$K2669,원본명단!$K2669)=1)),"첫 건","중복 건")))</f>
        <v/>
      </c>
      <c r="J2670" s="11" t="str">
        <f aca="false">IF($A2670="","",IF($H2670="-","유지",IF($I2670="첫 건","유지","확인 필요")))</f>
        <v/>
      </c>
    </row>
    <row r="2671" customFormat="false" ht="15" hidden="false" customHeight="true" outlineLevel="0" collapsed="false">
      <c r="A2671" s="11" t="str">
        <f aca="false">IF(원본명단!$A2670="","",2668)</f>
        <v/>
      </c>
      <c r="B2671" s="12" t="str">
        <f aca="false">IF($A2671="","",원본명단!$A2670)</f>
        <v/>
      </c>
      <c r="C2671" s="12" t="str">
        <f aca="false">IF($A2671="","",원본명단!$B2670)</f>
        <v/>
      </c>
      <c r="D2671" s="12" t="str">
        <f aca="false">IF($A2671="","",원본명단!$D2670)</f>
        <v/>
      </c>
      <c r="E2671" s="11" t="str">
        <f aca="false">IF($A2671="","",IF(원본명단!$H2670="",0,COUNTIF(원본명단!$H$3:$H$6002,원본명단!$H2670)))</f>
        <v/>
      </c>
      <c r="F2671" s="11" t="str">
        <f aca="false">IF($A2671="","",IF(원본명단!$I2670="",0,COUNTIF(원본명단!$I$3:$I$6002,원본명단!$I2670)))</f>
        <v/>
      </c>
      <c r="G2671" s="11" t="str">
        <f aca="false">IF($A2671="","",IF(원본명단!$K2670="",0,COUNTIF(원본명단!$K$3:$K$6002,원본명단!$K2670)))</f>
        <v/>
      </c>
      <c r="H2671" s="11" t="str">
        <f aca="false">IF($A2671="","",IF(MAX($E2671,$F2671,$G2671)&gt;1,"중복","-"))</f>
        <v/>
      </c>
      <c r="I2671" s="11" t="str">
        <f aca="false">IF($A2671="","",IF($H2671="-","-",IF(AND(IF(원본명단!$H2670="",TRUE(),COUNTIF(원본명단!$H$3:$H2670,원본명단!$H2670)=1),IF(원본명단!$I2670="",TRUE(),COUNTIF(원본명단!$I$3:$I2670,원본명단!$I2670)=1),IF(원본명단!$K2670="",TRUE(),COUNTIF(원본명단!$K$3:$K2670,원본명단!$K2670)=1)),"첫 건","중복 건")))</f>
        <v/>
      </c>
      <c r="J2671" s="11" t="str">
        <f aca="false">IF($A2671="","",IF($H2671="-","유지",IF($I2671="첫 건","유지","확인 필요")))</f>
        <v/>
      </c>
    </row>
    <row r="2672" customFormat="false" ht="15" hidden="false" customHeight="true" outlineLevel="0" collapsed="false">
      <c r="A2672" s="11" t="str">
        <f aca="false">IF(원본명단!$A2671="","",2669)</f>
        <v/>
      </c>
      <c r="B2672" s="12" t="str">
        <f aca="false">IF($A2672="","",원본명단!$A2671)</f>
        <v/>
      </c>
      <c r="C2672" s="12" t="str">
        <f aca="false">IF($A2672="","",원본명단!$B2671)</f>
        <v/>
      </c>
      <c r="D2672" s="12" t="str">
        <f aca="false">IF($A2672="","",원본명단!$D2671)</f>
        <v/>
      </c>
      <c r="E2672" s="11" t="str">
        <f aca="false">IF($A2672="","",IF(원본명단!$H2671="",0,COUNTIF(원본명단!$H$3:$H$6002,원본명단!$H2671)))</f>
        <v/>
      </c>
      <c r="F2672" s="11" t="str">
        <f aca="false">IF($A2672="","",IF(원본명단!$I2671="",0,COUNTIF(원본명단!$I$3:$I$6002,원본명단!$I2671)))</f>
        <v/>
      </c>
      <c r="G2672" s="11" t="str">
        <f aca="false">IF($A2672="","",IF(원본명단!$K2671="",0,COUNTIF(원본명단!$K$3:$K$6002,원본명단!$K2671)))</f>
        <v/>
      </c>
      <c r="H2672" s="11" t="str">
        <f aca="false">IF($A2672="","",IF(MAX($E2672,$F2672,$G2672)&gt;1,"중복","-"))</f>
        <v/>
      </c>
      <c r="I2672" s="11" t="str">
        <f aca="false">IF($A2672="","",IF($H2672="-","-",IF(AND(IF(원본명단!$H2671="",TRUE(),COUNTIF(원본명단!$H$3:$H2671,원본명단!$H2671)=1),IF(원본명단!$I2671="",TRUE(),COUNTIF(원본명단!$I$3:$I2671,원본명단!$I2671)=1),IF(원본명단!$K2671="",TRUE(),COUNTIF(원본명단!$K$3:$K2671,원본명단!$K2671)=1)),"첫 건","중복 건")))</f>
        <v/>
      </c>
      <c r="J2672" s="11" t="str">
        <f aca="false">IF($A2672="","",IF($H2672="-","유지",IF($I2672="첫 건","유지","확인 필요")))</f>
        <v/>
      </c>
    </row>
    <row r="2673" customFormat="false" ht="15" hidden="false" customHeight="true" outlineLevel="0" collapsed="false">
      <c r="A2673" s="11" t="str">
        <f aca="false">IF(원본명단!$A2672="","",2670)</f>
        <v/>
      </c>
      <c r="B2673" s="12" t="str">
        <f aca="false">IF($A2673="","",원본명단!$A2672)</f>
        <v/>
      </c>
      <c r="C2673" s="12" t="str">
        <f aca="false">IF($A2673="","",원본명단!$B2672)</f>
        <v/>
      </c>
      <c r="D2673" s="12" t="str">
        <f aca="false">IF($A2673="","",원본명단!$D2672)</f>
        <v/>
      </c>
      <c r="E2673" s="11" t="str">
        <f aca="false">IF($A2673="","",IF(원본명단!$H2672="",0,COUNTIF(원본명단!$H$3:$H$6002,원본명단!$H2672)))</f>
        <v/>
      </c>
      <c r="F2673" s="11" t="str">
        <f aca="false">IF($A2673="","",IF(원본명단!$I2672="",0,COUNTIF(원본명단!$I$3:$I$6002,원본명단!$I2672)))</f>
        <v/>
      </c>
      <c r="G2673" s="11" t="str">
        <f aca="false">IF($A2673="","",IF(원본명단!$K2672="",0,COUNTIF(원본명단!$K$3:$K$6002,원본명단!$K2672)))</f>
        <v/>
      </c>
      <c r="H2673" s="11" t="str">
        <f aca="false">IF($A2673="","",IF(MAX($E2673,$F2673,$G2673)&gt;1,"중복","-"))</f>
        <v/>
      </c>
      <c r="I2673" s="11" t="str">
        <f aca="false">IF($A2673="","",IF($H2673="-","-",IF(AND(IF(원본명단!$H2672="",TRUE(),COUNTIF(원본명단!$H$3:$H2672,원본명단!$H2672)=1),IF(원본명단!$I2672="",TRUE(),COUNTIF(원본명단!$I$3:$I2672,원본명단!$I2672)=1),IF(원본명단!$K2672="",TRUE(),COUNTIF(원본명단!$K$3:$K2672,원본명단!$K2672)=1)),"첫 건","중복 건")))</f>
        <v/>
      </c>
      <c r="J2673" s="11" t="str">
        <f aca="false">IF($A2673="","",IF($H2673="-","유지",IF($I2673="첫 건","유지","확인 필요")))</f>
        <v/>
      </c>
    </row>
    <row r="2674" customFormat="false" ht="15" hidden="false" customHeight="true" outlineLevel="0" collapsed="false">
      <c r="A2674" s="11" t="str">
        <f aca="false">IF(원본명단!$A2673="","",2671)</f>
        <v/>
      </c>
      <c r="B2674" s="12" t="str">
        <f aca="false">IF($A2674="","",원본명단!$A2673)</f>
        <v/>
      </c>
      <c r="C2674" s="12" t="str">
        <f aca="false">IF($A2674="","",원본명단!$B2673)</f>
        <v/>
      </c>
      <c r="D2674" s="12" t="str">
        <f aca="false">IF($A2674="","",원본명단!$D2673)</f>
        <v/>
      </c>
      <c r="E2674" s="11" t="str">
        <f aca="false">IF($A2674="","",IF(원본명단!$H2673="",0,COUNTIF(원본명단!$H$3:$H$6002,원본명단!$H2673)))</f>
        <v/>
      </c>
      <c r="F2674" s="11" t="str">
        <f aca="false">IF($A2674="","",IF(원본명단!$I2673="",0,COUNTIF(원본명단!$I$3:$I$6002,원본명단!$I2673)))</f>
        <v/>
      </c>
      <c r="G2674" s="11" t="str">
        <f aca="false">IF($A2674="","",IF(원본명단!$K2673="",0,COUNTIF(원본명단!$K$3:$K$6002,원본명단!$K2673)))</f>
        <v/>
      </c>
      <c r="H2674" s="11" t="str">
        <f aca="false">IF($A2674="","",IF(MAX($E2674,$F2674,$G2674)&gt;1,"중복","-"))</f>
        <v/>
      </c>
      <c r="I2674" s="11" t="str">
        <f aca="false">IF($A2674="","",IF($H2674="-","-",IF(AND(IF(원본명단!$H2673="",TRUE(),COUNTIF(원본명단!$H$3:$H2673,원본명단!$H2673)=1),IF(원본명단!$I2673="",TRUE(),COUNTIF(원본명단!$I$3:$I2673,원본명단!$I2673)=1),IF(원본명단!$K2673="",TRUE(),COUNTIF(원본명단!$K$3:$K2673,원본명단!$K2673)=1)),"첫 건","중복 건")))</f>
        <v/>
      </c>
      <c r="J2674" s="11" t="str">
        <f aca="false">IF($A2674="","",IF($H2674="-","유지",IF($I2674="첫 건","유지","확인 필요")))</f>
        <v/>
      </c>
    </row>
    <row r="2675" customFormat="false" ht="15" hidden="false" customHeight="true" outlineLevel="0" collapsed="false">
      <c r="A2675" s="11" t="str">
        <f aca="false">IF(원본명단!$A2674="","",2672)</f>
        <v/>
      </c>
      <c r="B2675" s="12" t="str">
        <f aca="false">IF($A2675="","",원본명단!$A2674)</f>
        <v/>
      </c>
      <c r="C2675" s="12" t="str">
        <f aca="false">IF($A2675="","",원본명단!$B2674)</f>
        <v/>
      </c>
      <c r="D2675" s="12" t="str">
        <f aca="false">IF($A2675="","",원본명단!$D2674)</f>
        <v/>
      </c>
      <c r="E2675" s="11" t="str">
        <f aca="false">IF($A2675="","",IF(원본명단!$H2674="",0,COUNTIF(원본명단!$H$3:$H$6002,원본명단!$H2674)))</f>
        <v/>
      </c>
      <c r="F2675" s="11" t="str">
        <f aca="false">IF($A2675="","",IF(원본명단!$I2674="",0,COUNTIF(원본명단!$I$3:$I$6002,원본명단!$I2674)))</f>
        <v/>
      </c>
      <c r="G2675" s="11" t="str">
        <f aca="false">IF($A2675="","",IF(원본명단!$K2674="",0,COUNTIF(원본명단!$K$3:$K$6002,원본명단!$K2674)))</f>
        <v/>
      </c>
      <c r="H2675" s="11" t="str">
        <f aca="false">IF($A2675="","",IF(MAX($E2675,$F2675,$G2675)&gt;1,"중복","-"))</f>
        <v/>
      </c>
      <c r="I2675" s="11" t="str">
        <f aca="false">IF($A2675="","",IF($H2675="-","-",IF(AND(IF(원본명단!$H2674="",TRUE(),COUNTIF(원본명단!$H$3:$H2674,원본명단!$H2674)=1),IF(원본명단!$I2674="",TRUE(),COUNTIF(원본명단!$I$3:$I2674,원본명단!$I2674)=1),IF(원본명단!$K2674="",TRUE(),COUNTIF(원본명단!$K$3:$K2674,원본명단!$K2674)=1)),"첫 건","중복 건")))</f>
        <v/>
      </c>
      <c r="J2675" s="11" t="str">
        <f aca="false">IF($A2675="","",IF($H2675="-","유지",IF($I2675="첫 건","유지","확인 필요")))</f>
        <v/>
      </c>
    </row>
    <row r="2676" customFormat="false" ht="15" hidden="false" customHeight="true" outlineLevel="0" collapsed="false">
      <c r="A2676" s="11" t="str">
        <f aca="false">IF(원본명단!$A2675="","",2673)</f>
        <v/>
      </c>
      <c r="B2676" s="12" t="str">
        <f aca="false">IF($A2676="","",원본명단!$A2675)</f>
        <v/>
      </c>
      <c r="C2676" s="12" t="str">
        <f aca="false">IF($A2676="","",원본명단!$B2675)</f>
        <v/>
      </c>
      <c r="D2676" s="12" t="str">
        <f aca="false">IF($A2676="","",원본명단!$D2675)</f>
        <v/>
      </c>
      <c r="E2676" s="11" t="str">
        <f aca="false">IF($A2676="","",IF(원본명단!$H2675="",0,COUNTIF(원본명단!$H$3:$H$6002,원본명단!$H2675)))</f>
        <v/>
      </c>
      <c r="F2676" s="11" t="str">
        <f aca="false">IF($A2676="","",IF(원본명단!$I2675="",0,COUNTIF(원본명단!$I$3:$I$6002,원본명단!$I2675)))</f>
        <v/>
      </c>
      <c r="G2676" s="11" t="str">
        <f aca="false">IF($A2676="","",IF(원본명단!$K2675="",0,COUNTIF(원본명단!$K$3:$K$6002,원본명단!$K2675)))</f>
        <v/>
      </c>
      <c r="H2676" s="11" t="str">
        <f aca="false">IF($A2676="","",IF(MAX($E2676,$F2676,$G2676)&gt;1,"중복","-"))</f>
        <v/>
      </c>
      <c r="I2676" s="11" t="str">
        <f aca="false">IF($A2676="","",IF($H2676="-","-",IF(AND(IF(원본명단!$H2675="",TRUE(),COUNTIF(원본명단!$H$3:$H2675,원본명단!$H2675)=1),IF(원본명단!$I2675="",TRUE(),COUNTIF(원본명단!$I$3:$I2675,원본명단!$I2675)=1),IF(원본명단!$K2675="",TRUE(),COUNTIF(원본명단!$K$3:$K2675,원본명단!$K2675)=1)),"첫 건","중복 건")))</f>
        <v/>
      </c>
      <c r="J2676" s="11" t="str">
        <f aca="false">IF($A2676="","",IF($H2676="-","유지",IF($I2676="첫 건","유지","확인 필요")))</f>
        <v/>
      </c>
    </row>
    <row r="2677" customFormat="false" ht="15" hidden="false" customHeight="true" outlineLevel="0" collapsed="false">
      <c r="A2677" s="11" t="str">
        <f aca="false">IF(원본명단!$A2676="","",2674)</f>
        <v/>
      </c>
      <c r="B2677" s="12" t="str">
        <f aca="false">IF($A2677="","",원본명단!$A2676)</f>
        <v/>
      </c>
      <c r="C2677" s="12" t="str">
        <f aca="false">IF($A2677="","",원본명단!$B2676)</f>
        <v/>
      </c>
      <c r="D2677" s="12" t="str">
        <f aca="false">IF($A2677="","",원본명단!$D2676)</f>
        <v/>
      </c>
      <c r="E2677" s="11" t="str">
        <f aca="false">IF($A2677="","",IF(원본명단!$H2676="",0,COUNTIF(원본명단!$H$3:$H$6002,원본명단!$H2676)))</f>
        <v/>
      </c>
      <c r="F2677" s="11" t="str">
        <f aca="false">IF($A2677="","",IF(원본명단!$I2676="",0,COUNTIF(원본명단!$I$3:$I$6002,원본명단!$I2676)))</f>
        <v/>
      </c>
      <c r="G2677" s="11" t="str">
        <f aca="false">IF($A2677="","",IF(원본명단!$K2676="",0,COUNTIF(원본명단!$K$3:$K$6002,원본명단!$K2676)))</f>
        <v/>
      </c>
      <c r="H2677" s="11" t="str">
        <f aca="false">IF($A2677="","",IF(MAX($E2677,$F2677,$G2677)&gt;1,"중복","-"))</f>
        <v/>
      </c>
      <c r="I2677" s="11" t="str">
        <f aca="false">IF($A2677="","",IF($H2677="-","-",IF(AND(IF(원본명단!$H2676="",TRUE(),COUNTIF(원본명단!$H$3:$H2676,원본명단!$H2676)=1),IF(원본명단!$I2676="",TRUE(),COUNTIF(원본명단!$I$3:$I2676,원본명단!$I2676)=1),IF(원본명단!$K2676="",TRUE(),COUNTIF(원본명단!$K$3:$K2676,원본명단!$K2676)=1)),"첫 건","중복 건")))</f>
        <v/>
      </c>
      <c r="J2677" s="11" t="str">
        <f aca="false">IF($A2677="","",IF($H2677="-","유지",IF($I2677="첫 건","유지","확인 필요")))</f>
        <v/>
      </c>
    </row>
    <row r="2678" customFormat="false" ht="15" hidden="false" customHeight="true" outlineLevel="0" collapsed="false">
      <c r="A2678" s="11" t="str">
        <f aca="false">IF(원본명단!$A2677="","",2675)</f>
        <v/>
      </c>
      <c r="B2678" s="12" t="str">
        <f aca="false">IF($A2678="","",원본명단!$A2677)</f>
        <v/>
      </c>
      <c r="C2678" s="12" t="str">
        <f aca="false">IF($A2678="","",원본명단!$B2677)</f>
        <v/>
      </c>
      <c r="D2678" s="12" t="str">
        <f aca="false">IF($A2678="","",원본명단!$D2677)</f>
        <v/>
      </c>
      <c r="E2678" s="11" t="str">
        <f aca="false">IF($A2678="","",IF(원본명단!$H2677="",0,COUNTIF(원본명단!$H$3:$H$6002,원본명단!$H2677)))</f>
        <v/>
      </c>
      <c r="F2678" s="11" t="str">
        <f aca="false">IF($A2678="","",IF(원본명단!$I2677="",0,COUNTIF(원본명단!$I$3:$I$6002,원본명단!$I2677)))</f>
        <v/>
      </c>
      <c r="G2678" s="11" t="str">
        <f aca="false">IF($A2678="","",IF(원본명단!$K2677="",0,COUNTIF(원본명단!$K$3:$K$6002,원본명단!$K2677)))</f>
        <v/>
      </c>
      <c r="H2678" s="11" t="str">
        <f aca="false">IF($A2678="","",IF(MAX($E2678,$F2678,$G2678)&gt;1,"중복","-"))</f>
        <v/>
      </c>
      <c r="I2678" s="11" t="str">
        <f aca="false">IF($A2678="","",IF($H2678="-","-",IF(AND(IF(원본명단!$H2677="",TRUE(),COUNTIF(원본명단!$H$3:$H2677,원본명단!$H2677)=1),IF(원본명단!$I2677="",TRUE(),COUNTIF(원본명단!$I$3:$I2677,원본명단!$I2677)=1),IF(원본명단!$K2677="",TRUE(),COUNTIF(원본명단!$K$3:$K2677,원본명단!$K2677)=1)),"첫 건","중복 건")))</f>
        <v/>
      </c>
      <c r="J2678" s="11" t="str">
        <f aca="false">IF($A2678="","",IF($H2678="-","유지",IF($I2678="첫 건","유지","확인 필요")))</f>
        <v/>
      </c>
    </row>
    <row r="2679" customFormat="false" ht="15" hidden="false" customHeight="true" outlineLevel="0" collapsed="false">
      <c r="A2679" s="11" t="str">
        <f aca="false">IF(원본명단!$A2678="","",2676)</f>
        <v/>
      </c>
      <c r="B2679" s="12" t="str">
        <f aca="false">IF($A2679="","",원본명단!$A2678)</f>
        <v/>
      </c>
      <c r="C2679" s="12" t="str">
        <f aca="false">IF($A2679="","",원본명단!$B2678)</f>
        <v/>
      </c>
      <c r="D2679" s="12" t="str">
        <f aca="false">IF($A2679="","",원본명단!$D2678)</f>
        <v/>
      </c>
      <c r="E2679" s="11" t="str">
        <f aca="false">IF($A2679="","",IF(원본명단!$H2678="",0,COUNTIF(원본명단!$H$3:$H$6002,원본명단!$H2678)))</f>
        <v/>
      </c>
      <c r="F2679" s="11" t="str">
        <f aca="false">IF($A2679="","",IF(원본명단!$I2678="",0,COUNTIF(원본명단!$I$3:$I$6002,원본명단!$I2678)))</f>
        <v/>
      </c>
      <c r="G2679" s="11" t="str">
        <f aca="false">IF($A2679="","",IF(원본명단!$K2678="",0,COUNTIF(원본명단!$K$3:$K$6002,원본명단!$K2678)))</f>
        <v/>
      </c>
      <c r="H2679" s="11" t="str">
        <f aca="false">IF($A2679="","",IF(MAX($E2679,$F2679,$G2679)&gt;1,"중복","-"))</f>
        <v/>
      </c>
      <c r="I2679" s="11" t="str">
        <f aca="false">IF($A2679="","",IF($H2679="-","-",IF(AND(IF(원본명단!$H2678="",TRUE(),COUNTIF(원본명단!$H$3:$H2678,원본명단!$H2678)=1),IF(원본명단!$I2678="",TRUE(),COUNTIF(원본명단!$I$3:$I2678,원본명단!$I2678)=1),IF(원본명단!$K2678="",TRUE(),COUNTIF(원본명단!$K$3:$K2678,원본명단!$K2678)=1)),"첫 건","중복 건")))</f>
        <v/>
      </c>
      <c r="J2679" s="11" t="str">
        <f aca="false">IF($A2679="","",IF($H2679="-","유지",IF($I2679="첫 건","유지","확인 필요")))</f>
        <v/>
      </c>
    </row>
    <row r="2680" customFormat="false" ht="15" hidden="false" customHeight="true" outlineLevel="0" collapsed="false">
      <c r="A2680" s="11" t="str">
        <f aca="false">IF(원본명단!$A2679="","",2677)</f>
        <v/>
      </c>
      <c r="B2680" s="12" t="str">
        <f aca="false">IF($A2680="","",원본명단!$A2679)</f>
        <v/>
      </c>
      <c r="C2680" s="12" t="str">
        <f aca="false">IF($A2680="","",원본명단!$B2679)</f>
        <v/>
      </c>
      <c r="D2680" s="12" t="str">
        <f aca="false">IF($A2680="","",원본명단!$D2679)</f>
        <v/>
      </c>
      <c r="E2680" s="11" t="str">
        <f aca="false">IF($A2680="","",IF(원본명단!$H2679="",0,COUNTIF(원본명단!$H$3:$H$6002,원본명단!$H2679)))</f>
        <v/>
      </c>
      <c r="F2680" s="11" t="str">
        <f aca="false">IF($A2680="","",IF(원본명단!$I2679="",0,COUNTIF(원본명단!$I$3:$I$6002,원본명단!$I2679)))</f>
        <v/>
      </c>
      <c r="G2680" s="11" t="str">
        <f aca="false">IF($A2680="","",IF(원본명단!$K2679="",0,COUNTIF(원본명단!$K$3:$K$6002,원본명단!$K2679)))</f>
        <v/>
      </c>
      <c r="H2680" s="11" t="str">
        <f aca="false">IF($A2680="","",IF(MAX($E2680,$F2680,$G2680)&gt;1,"중복","-"))</f>
        <v/>
      </c>
      <c r="I2680" s="11" t="str">
        <f aca="false">IF($A2680="","",IF($H2680="-","-",IF(AND(IF(원본명단!$H2679="",TRUE(),COUNTIF(원본명단!$H$3:$H2679,원본명단!$H2679)=1),IF(원본명단!$I2679="",TRUE(),COUNTIF(원본명단!$I$3:$I2679,원본명단!$I2679)=1),IF(원본명단!$K2679="",TRUE(),COUNTIF(원본명단!$K$3:$K2679,원본명단!$K2679)=1)),"첫 건","중복 건")))</f>
        <v/>
      </c>
      <c r="J2680" s="11" t="str">
        <f aca="false">IF($A2680="","",IF($H2680="-","유지",IF($I2680="첫 건","유지","확인 필요")))</f>
        <v/>
      </c>
    </row>
    <row r="2681" customFormat="false" ht="15" hidden="false" customHeight="true" outlineLevel="0" collapsed="false">
      <c r="A2681" s="11" t="str">
        <f aca="false">IF(원본명단!$A2680="","",2678)</f>
        <v/>
      </c>
      <c r="B2681" s="12" t="str">
        <f aca="false">IF($A2681="","",원본명단!$A2680)</f>
        <v/>
      </c>
      <c r="C2681" s="12" t="str">
        <f aca="false">IF($A2681="","",원본명단!$B2680)</f>
        <v/>
      </c>
      <c r="D2681" s="12" t="str">
        <f aca="false">IF($A2681="","",원본명단!$D2680)</f>
        <v/>
      </c>
      <c r="E2681" s="11" t="str">
        <f aca="false">IF($A2681="","",IF(원본명단!$H2680="",0,COUNTIF(원본명단!$H$3:$H$6002,원본명단!$H2680)))</f>
        <v/>
      </c>
      <c r="F2681" s="11" t="str">
        <f aca="false">IF($A2681="","",IF(원본명단!$I2680="",0,COUNTIF(원본명단!$I$3:$I$6002,원본명단!$I2680)))</f>
        <v/>
      </c>
      <c r="G2681" s="11" t="str">
        <f aca="false">IF($A2681="","",IF(원본명단!$K2680="",0,COUNTIF(원본명단!$K$3:$K$6002,원본명단!$K2680)))</f>
        <v/>
      </c>
      <c r="H2681" s="11" t="str">
        <f aca="false">IF($A2681="","",IF(MAX($E2681,$F2681,$G2681)&gt;1,"중복","-"))</f>
        <v/>
      </c>
      <c r="I2681" s="11" t="str">
        <f aca="false">IF($A2681="","",IF($H2681="-","-",IF(AND(IF(원본명단!$H2680="",TRUE(),COUNTIF(원본명단!$H$3:$H2680,원본명단!$H2680)=1),IF(원본명단!$I2680="",TRUE(),COUNTIF(원본명단!$I$3:$I2680,원본명단!$I2680)=1),IF(원본명단!$K2680="",TRUE(),COUNTIF(원본명단!$K$3:$K2680,원본명단!$K2680)=1)),"첫 건","중복 건")))</f>
        <v/>
      </c>
      <c r="J2681" s="11" t="str">
        <f aca="false">IF($A2681="","",IF($H2681="-","유지",IF($I2681="첫 건","유지","확인 필요")))</f>
        <v/>
      </c>
    </row>
    <row r="2682" customFormat="false" ht="15" hidden="false" customHeight="true" outlineLevel="0" collapsed="false">
      <c r="A2682" s="11" t="str">
        <f aca="false">IF(원본명단!$A2681="","",2679)</f>
        <v/>
      </c>
      <c r="B2682" s="12" t="str">
        <f aca="false">IF($A2682="","",원본명단!$A2681)</f>
        <v/>
      </c>
      <c r="C2682" s="12" t="str">
        <f aca="false">IF($A2682="","",원본명단!$B2681)</f>
        <v/>
      </c>
      <c r="D2682" s="12" t="str">
        <f aca="false">IF($A2682="","",원본명단!$D2681)</f>
        <v/>
      </c>
      <c r="E2682" s="11" t="str">
        <f aca="false">IF($A2682="","",IF(원본명단!$H2681="",0,COUNTIF(원본명단!$H$3:$H$6002,원본명단!$H2681)))</f>
        <v/>
      </c>
      <c r="F2682" s="11" t="str">
        <f aca="false">IF($A2682="","",IF(원본명단!$I2681="",0,COUNTIF(원본명단!$I$3:$I$6002,원본명단!$I2681)))</f>
        <v/>
      </c>
      <c r="G2682" s="11" t="str">
        <f aca="false">IF($A2682="","",IF(원본명단!$K2681="",0,COUNTIF(원본명단!$K$3:$K$6002,원본명단!$K2681)))</f>
        <v/>
      </c>
      <c r="H2682" s="11" t="str">
        <f aca="false">IF($A2682="","",IF(MAX($E2682,$F2682,$G2682)&gt;1,"중복","-"))</f>
        <v/>
      </c>
      <c r="I2682" s="11" t="str">
        <f aca="false">IF($A2682="","",IF($H2682="-","-",IF(AND(IF(원본명단!$H2681="",TRUE(),COUNTIF(원본명단!$H$3:$H2681,원본명단!$H2681)=1),IF(원본명단!$I2681="",TRUE(),COUNTIF(원본명단!$I$3:$I2681,원본명단!$I2681)=1),IF(원본명단!$K2681="",TRUE(),COUNTIF(원본명단!$K$3:$K2681,원본명단!$K2681)=1)),"첫 건","중복 건")))</f>
        <v/>
      </c>
      <c r="J2682" s="11" t="str">
        <f aca="false">IF($A2682="","",IF($H2682="-","유지",IF($I2682="첫 건","유지","확인 필요")))</f>
        <v/>
      </c>
    </row>
    <row r="2683" customFormat="false" ht="15" hidden="false" customHeight="true" outlineLevel="0" collapsed="false">
      <c r="A2683" s="11" t="str">
        <f aca="false">IF(원본명단!$A2682="","",2680)</f>
        <v/>
      </c>
      <c r="B2683" s="12" t="str">
        <f aca="false">IF($A2683="","",원본명단!$A2682)</f>
        <v/>
      </c>
      <c r="C2683" s="12" t="str">
        <f aca="false">IF($A2683="","",원본명단!$B2682)</f>
        <v/>
      </c>
      <c r="D2683" s="12" t="str">
        <f aca="false">IF($A2683="","",원본명단!$D2682)</f>
        <v/>
      </c>
      <c r="E2683" s="11" t="str">
        <f aca="false">IF($A2683="","",IF(원본명단!$H2682="",0,COUNTIF(원본명단!$H$3:$H$6002,원본명단!$H2682)))</f>
        <v/>
      </c>
      <c r="F2683" s="11" t="str">
        <f aca="false">IF($A2683="","",IF(원본명단!$I2682="",0,COUNTIF(원본명단!$I$3:$I$6002,원본명단!$I2682)))</f>
        <v/>
      </c>
      <c r="G2683" s="11" t="str">
        <f aca="false">IF($A2683="","",IF(원본명단!$K2682="",0,COUNTIF(원본명단!$K$3:$K$6002,원본명단!$K2682)))</f>
        <v/>
      </c>
      <c r="H2683" s="11" t="str">
        <f aca="false">IF($A2683="","",IF(MAX($E2683,$F2683,$G2683)&gt;1,"중복","-"))</f>
        <v/>
      </c>
      <c r="I2683" s="11" t="str">
        <f aca="false">IF($A2683="","",IF($H2683="-","-",IF(AND(IF(원본명단!$H2682="",TRUE(),COUNTIF(원본명단!$H$3:$H2682,원본명단!$H2682)=1),IF(원본명단!$I2682="",TRUE(),COUNTIF(원본명단!$I$3:$I2682,원본명단!$I2682)=1),IF(원본명단!$K2682="",TRUE(),COUNTIF(원본명단!$K$3:$K2682,원본명단!$K2682)=1)),"첫 건","중복 건")))</f>
        <v/>
      </c>
      <c r="J2683" s="11" t="str">
        <f aca="false">IF($A2683="","",IF($H2683="-","유지",IF($I2683="첫 건","유지","확인 필요")))</f>
        <v/>
      </c>
    </row>
    <row r="2684" customFormat="false" ht="15" hidden="false" customHeight="true" outlineLevel="0" collapsed="false">
      <c r="A2684" s="11" t="str">
        <f aca="false">IF(원본명단!$A2683="","",2681)</f>
        <v/>
      </c>
      <c r="B2684" s="12" t="str">
        <f aca="false">IF($A2684="","",원본명단!$A2683)</f>
        <v/>
      </c>
      <c r="C2684" s="12" t="str">
        <f aca="false">IF($A2684="","",원본명단!$B2683)</f>
        <v/>
      </c>
      <c r="D2684" s="12" t="str">
        <f aca="false">IF($A2684="","",원본명단!$D2683)</f>
        <v/>
      </c>
      <c r="E2684" s="11" t="str">
        <f aca="false">IF($A2684="","",IF(원본명단!$H2683="",0,COUNTIF(원본명단!$H$3:$H$6002,원본명단!$H2683)))</f>
        <v/>
      </c>
      <c r="F2684" s="11" t="str">
        <f aca="false">IF($A2684="","",IF(원본명단!$I2683="",0,COUNTIF(원본명단!$I$3:$I$6002,원본명단!$I2683)))</f>
        <v/>
      </c>
      <c r="G2684" s="11" t="str">
        <f aca="false">IF($A2684="","",IF(원본명단!$K2683="",0,COUNTIF(원본명단!$K$3:$K$6002,원본명단!$K2683)))</f>
        <v/>
      </c>
      <c r="H2684" s="11" t="str">
        <f aca="false">IF($A2684="","",IF(MAX($E2684,$F2684,$G2684)&gt;1,"중복","-"))</f>
        <v/>
      </c>
      <c r="I2684" s="11" t="str">
        <f aca="false">IF($A2684="","",IF($H2684="-","-",IF(AND(IF(원본명단!$H2683="",TRUE(),COUNTIF(원본명단!$H$3:$H2683,원본명단!$H2683)=1),IF(원본명단!$I2683="",TRUE(),COUNTIF(원본명단!$I$3:$I2683,원본명단!$I2683)=1),IF(원본명단!$K2683="",TRUE(),COUNTIF(원본명단!$K$3:$K2683,원본명단!$K2683)=1)),"첫 건","중복 건")))</f>
        <v/>
      </c>
      <c r="J2684" s="11" t="str">
        <f aca="false">IF($A2684="","",IF($H2684="-","유지",IF($I2684="첫 건","유지","확인 필요")))</f>
        <v/>
      </c>
    </row>
    <row r="2685" customFormat="false" ht="15" hidden="false" customHeight="true" outlineLevel="0" collapsed="false">
      <c r="A2685" s="11" t="str">
        <f aca="false">IF(원본명단!$A2684="","",2682)</f>
        <v/>
      </c>
      <c r="B2685" s="12" t="str">
        <f aca="false">IF($A2685="","",원본명단!$A2684)</f>
        <v/>
      </c>
      <c r="C2685" s="12" t="str">
        <f aca="false">IF($A2685="","",원본명단!$B2684)</f>
        <v/>
      </c>
      <c r="D2685" s="12" t="str">
        <f aca="false">IF($A2685="","",원본명단!$D2684)</f>
        <v/>
      </c>
      <c r="E2685" s="11" t="str">
        <f aca="false">IF($A2685="","",IF(원본명단!$H2684="",0,COUNTIF(원본명단!$H$3:$H$6002,원본명단!$H2684)))</f>
        <v/>
      </c>
      <c r="F2685" s="11" t="str">
        <f aca="false">IF($A2685="","",IF(원본명단!$I2684="",0,COUNTIF(원본명단!$I$3:$I$6002,원본명단!$I2684)))</f>
        <v/>
      </c>
      <c r="G2685" s="11" t="str">
        <f aca="false">IF($A2685="","",IF(원본명단!$K2684="",0,COUNTIF(원본명단!$K$3:$K$6002,원본명단!$K2684)))</f>
        <v/>
      </c>
      <c r="H2685" s="11" t="str">
        <f aca="false">IF($A2685="","",IF(MAX($E2685,$F2685,$G2685)&gt;1,"중복","-"))</f>
        <v/>
      </c>
      <c r="I2685" s="11" t="str">
        <f aca="false">IF($A2685="","",IF($H2685="-","-",IF(AND(IF(원본명단!$H2684="",TRUE(),COUNTIF(원본명단!$H$3:$H2684,원본명단!$H2684)=1),IF(원본명단!$I2684="",TRUE(),COUNTIF(원본명단!$I$3:$I2684,원본명단!$I2684)=1),IF(원본명단!$K2684="",TRUE(),COUNTIF(원본명단!$K$3:$K2684,원본명단!$K2684)=1)),"첫 건","중복 건")))</f>
        <v/>
      </c>
      <c r="J2685" s="11" t="str">
        <f aca="false">IF($A2685="","",IF($H2685="-","유지",IF($I2685="첫 건","유지","확인 필요")))</f>
        <v/>
      </c>
    </row>
    <row r="2686" customFormat="false" ht="15" hidden="false" customHeight="true" outlineLevel="0" collapsed="false">
      <c r="A2686" s="11" t="str">
        <f aca="false">IF(원본명단!$A2685="","",2683)</f>
        <v/>
      </c>
      <c r="B2686" s="12" t="str">
        <f aca="false">IF($A2686="","",원본명단!$A2685)</f>
        <v/>
      </c>
      <c r="C2686" s="12" t="str">
        <f aca="false">IF($A2686="","",원본명단!$B2685)</f>
        <v/>
      </c>
      <c r="D2686" s="12" t="str">
        <f aca="false">IF($A2686="","",원본명단!$D2685)</f>
        <v/>
      </c>
      <c r="E2686" s="11" t="str">
        <f aca="false">IF($A2686="","",IF(원본명단!$H2685="",0,COUNTIF(원본명단!$H$3:$H$6002,원본명단!$H2685)))</f>
        <v/>
      </c>
      <c r="F2686" s="11" t="str">
        <f aca="false">IF($A2686="","",IF(원본명단!$I2685="",0,COUNTIF(원본명단!$I$3:$I$6002,원본명단!$I2685)))</f>
        <v/>
      </c>
      <c r="G2686" s="11" t="str">
        <f aca="false">IF($A2686="","",IF(원본명단!$K2685="",0,COUNTIF(원본명단!$K$3:$K$6002,원본명단!$K2685)))</f>
        <v/>
      </c>
      <c r="H2686" s="11" t="str">
        <f aca="false">IF($A2686="","",IF(MAX($E2686,$F2686,$G2686)&gt;1,"중복","-"))</f>
        <v/>
      </c>
      <c r="I2686" s="11" t="str">
        <f aca="false">IF($A2686="","",IF($H2686="-","-",IF(AND(IF(원본명단!$H2685="",TRUE(),COUNTIF(원본명단!$H$3:$H2685,원본명단!$H2685)=1),IF(원본명단!$I2685="",TRUE(),COUNTIF(원본명단!$I$3:$I2685,원본명단!$I2685)=1),IF(원본명단!$K2685="",TRUE(),COUNTIF(원본명단!$K$3:$K2685,원본명단!$K2685)=1)),"첫 건","중복 건")))</f>
        <v/>
      </c>
      <c r="J2686" s="11" t="str">
        <f aca="false">IF($A2686="","",IF($H2686="-","유지",IF($I2686="첫 건","유지","확인 필요")))</f>
        <v/>
      </c>
    </row>
    <row r="2687" customFormat="false" ht="15" hidden="false" customHeight="true" outlineLevel="0" collapsed="false">
      <c r="A2687" s="11" t="str">
        <f aca="false">IF(원본명단!$A2686="","",2684)</f>
        <v/>
      </c>
      <c r="B2687" s="12" t="str">
        <f aca="false">IF($A2687="","",원본명단!$A2686)</f>
        <v/>
      </c>
      <c r="C2687" s="12" t="str">
        <f aca="false">IF($A2687="","",원본명단!$B2686)</f>
        <v/>
      </c>
      <c r="D2687" s="12" t="str">
        <f aca="false">IF($A2687="","",원본명단!$D2686)</f>
        <v/>
      </c>
      <c r="E2687" s="11" t="str">
        <f aca="false">IF($A2687="","",IF(원본명단!$H2686="",0,COUNTIF(원본명단!$H$3:$H$6002,원본명단!$H2686)))</f>
        <v/>
      </c>
      <c r="F2687" s="11" t="str">
        <f aca="false">IF($A2687="","",IF(원본명단!$I2686="",0,COUNTIF(원본명단!$I$3:$I$6002,원본명단!$I2686)))</f>
        <v/>
      </c>
      <c r="G2687" s="11" t="str">
        <f aca="false">IF($A2687="","",IF(원본명단!$K2686="",0,COUNTIF(원본명단!$K$3:$K$6002,원본명단!$K2686)))</f>
        <v/>
      </c>
      <c r="H2687" s="11" t="str">
        <f aca="false">IF($A2687="","",IF(MAX($E2687,$F2687,$G2687)&gt;1,"중복","-"))</f>
        <v/>
      </c>
      <c r="I2687" s="11" t="str">
        <f aca="false">IF($A2687="","",IF($H2687="-","-",IF(AND(IF(원본명단!$H2686="",TRUE(),COUNTIF(원본명단!$H$3:$H2686,원본명단!$H2686)=1),IF(원본명단!$I2686="",TRUE(),COUNTIF(원본명단!$I$3:$I2686,원본명단!$I2686)=1),IF(원본명단!$K2686="",TRUE(),COUNTIF(원본명단!$K$3:$K2686,원본명단!$K2686)=1)),"첫 건","중복 건")))</f>
        <v/>
      </c>
      <c r="J2687" s="11" t="str">
        <f aca="false">IF($A2687="","",IF($H2687="-","유지",IF($I2687="첫 건","유지","확인 필요")))</f>
        <v/>
      </c>
    </row>
    <row r="2688" customFormat="false" ht="15" hidden="false" customHeight="true" outlineLevel="0" collapsed="false">
      <c r="A2688" s="11" t="str">
        <f aca="false">IF(원본명단!$A2687="","",2685)</f>
        <v/>
      </c>
      <c r="B2688" s="12" t="str">
        <f aca="false">IF($A2688="","",원본명단!$A2687)</f>
        <v/>
      </c>
      <c r="C2688" s="12" t="str">
        <f aca="false">IF($A2688="","",원본명단!$B2687)</f>
        <v/>
      </c>
      <c r="D2688" s="12" t="str">
        <f aca="false">IF($A2688="","",원본명단!$D2687)</f>
        <v/>
      </c>
      <c r="E2688" s="11" t="str">
        <f aca="false">IF($A2688="","",IF(원본명단!$H2687="",0,COUNTIF(원본명단!$H$3:$H$6002,원본명단!$H2687)))</f>
        <v/>
      </c>
      <c r="F2688" s="11" t="str">
        <f aca="false">IF($A2688="","",IF(원본명단!$I2687="",0,COUNTIF(원본명단!$I$3:$I$6002,원본명단!$I2687)))</f>
        <v/>
      </c>
      <c r="G2688" s="11" t="str">
        <f aca="false">IF($A2688="","",IF(원본명단!$K2687="",0,COUNTIF(원본명단!$K$3:$K$6002,원본명단!$K2687)))</f>
        <v/>
      </c>
      <c r="H2688" s="11" t="str">
        <f aca="false">IF($A2688="","",IF(MAX($E2688,$F2688,$G2688)&gt;1,"중복","-"))</f>
        <v/>
      </c>
      <c r="I2688" s="11" t="str">
        <f aca="false">IF($A2688="","",IF($H2688="-","-",IF(AND(IF(원본명단!$H2687="",TRUE(),COUNTIF(원본명단!$H$3:$H2687,원본명단!$H2687)=1),IF(원본명단!$I2687="",TRUE(),COUNTIF(원본명단!$I$3:$I2687,원본명단!$I2687)=1),IF(원본명단!$K2687="",TRUE(),COUNTIF(원본명단!$K$3:$K2687,원본명단!$K2687)=1)),"첫 건","중복 건")))</f>
        <v/>
      </c>
      <c r="J2688" s="11" t="str">
        <f aca="false">IF($A2688="","",IF($H2688="-","유지",IF($I2688="첫 건","유지","확인 필요")))</f>
        <v/>
      </c>
    </row>
    <row r="2689" customFormat="false" ht="15" hidden="false" customHeight="true" outlineLevel="0" collapsed="false">
      <c r="A2689" s="11" t="str">
        <f aca="false">IF(원본명단!$A2688="","",2686)</f>
        <v/>
      </c>
      <c r="B2689" s="12" t="str">
        <f aca="false">IF($A2689="","",원본명단!$A2688)</f>
        <v/>
      </c>
      <c r="C2689" s="12" t="str">
        <f aca="false">IF($A2689="","",원본명단!$B2688)</f>
        <v/>
      </c>
      <c r="D2689" s="12" t="str">
        <f aca="false">IF($A2689="","",원본명단!$D2688)</f>
        <v/>
      </c>
      <c r="E2689" s="11" t="str">
        <f aca="false">IF($A2689="","",IF(원본명단!$H2688="",0,COUNTIF(원본명단!$H$3:$H$6002,원본명단!$H2688)))</f>
        <v/>
      </c>
      <c r="F2689" s="11" t="str">
        <f aca="false">IF($A2689="","",IF(원본명단!$I2688="",0,COUNTIF(원본명단!$I$3:$I$6002,원본명단!$I2688)))</f>
        <v/>
      </c>
      <c r="G2689" s="11" t="str">
        <f aca="false">IF($A2689="","",IF(원본명단!$K2688="",0,COUNTIF(원본명단!$K$3:$K$6002,원본명단!$K2688)))</f>
        <v/>
      </c>
      <c r="H2689" s="11" t="str">
        <f aca="false">IF($A2689="","",IF(MAX($E2689,$F2689,$G2689)&gt;1,"중복","-"))</f>
        <v/>
      </c>
      <c r="I2689" s="11" t="str">
        <f aca="false">IF($A2689="","",IF($H2689="-","-",IF(AND(IF(원본명단!$H2688="",TRUE(),COUNTIF(원본명단!$H$3:$H2688,원본명단!$H2688)=1),IF(원본명단!$I2688="",TRUE(),COUNTIF(원본명단!$I$3:$I2688,원본명단!$I2688)=1),IF(원본명단!$K2688="",TRUE(),COUNTIF(원본명단!$K$3:$K2688,원본명단!$K2688)=1)),"첫 건","중복 건")))</f>
        <v/>
      </c>
      <c r="J2689" s="11" t="str">
        <f aca="false">IF($A2689="","",IF($H2689="-","유지",IF($I2689="첫 건","유지","확인 필요")))</f>
        <v/>
      </c>
    </row>
    <row r="2690" customFormat="false" ht="15" hidden="false" customHeight="true" outlineLevel="0" collapsed="false">
      <c r="A2690" s="11" t="str">
        <f aca="false">IF(원본명단!$A2689="","",2687)</f>
        <v/>
      </c>
      <c r="B2690" s="12" t="str">
        <f aca="false">IF($A2690="","",원본명단!$A2689)</f>
        <v/>
      </c>
      <c r="C2690" s="12" t="str">
        <f aca="false">IF($A2690="","",원본명단!$B2689)</f>
        <v/>
      </c>
      <c r="D2690" s="12" t="str">
        <f aca="false">IF($A2690="","",원본명단!$D2689)</f>
        <v/>
      </c>
      <c r="E2690" s="11" t="str">
        <f aca="false">IF($A2690="","",IF(원본명단!$H2689="",0,COUNTIF(원본명단!$H$3:$H$6002,원본명단!$H2689)))</f>
        <v/>
      </c>
      <c r="F2690" s="11" t="str">
        <f aca="false">IF($A2690="","",IF(원본명단!$I2689="",0,COUNTIF(원본명단!$I$3:$I$6002,원본명단!$I2689)))</f>
        <v/>
      </c>
      <c r="G2690" s="11" t="str">
        <f aca="false">IF($A2690="","",IF(원본명단!$K2689="",0,COUNTIF(원본명단!$K$3:$K$6002,원본명단!$K2689)))</f>
        <v/>
      </c>
      <c r="H2690" s="11" t="str">
        <f aca="false">IF($A2690="","",IF(MAX($E2690,$F2690,$G2690)&gt;1,"중복","-"))</f>
        <v/>
      </c>
      <c r="I2690" s="11" t="str">
        <f aca="false">IF($A2690="","",IF($H2690="-","-",IF(AND(IF(원본명단!$H2689="",TRUE(),COUNTIF(원본명단!$H$3:$H2689,원본명단!$H2689)=1),IF(원본명단!$I2689="",TRUE(),COUNTIF(원본명단!$I$3:$I2689,원본명단!$I2689)=1),IF(원본명단!$K2689="",TRUE(),COUNTIF(원본명단!$K$3:$K2689,원본명단!$K2689)=1)),"첫 건","중복 건")))</f>
        <v/>
      </c>
      <c r="J2690" s="11" t="str">
        <f aca="false">IF($A2690="","",IF($H2690="-","유지",IF($I2690="첫 건","유지","확인 필요")))</f>
        <v/>
      </c>
    </row>
    <row r="2691" customFormat="false" ht="15" hidden="false" customHeight="true" outlineLevel="0" collapsed="false">
      <c r="A2691" s="11" t="str">
        <f aca="false">IF(원본명단!$A2690="","",2688)</f>
        <v/>
      </c>
      <c r="B2691" s="12" t="str">
        <f aca="false">IF($A2691="","",원본명단!$A2690)</f>
        <v/>
      </c>
      <c r="C2691" s="12" t="str">
        <f aca="false">IF($A2691="","",원본명단!$B2690)</f>
        <v/>
      </c>
      <c r="D2691" s="12" t="str">
        <f aca="false">IF($A2691="","",원본명단!$D2690)</f>
        <v/>
      </c>
      <c r="E2691" s="11" t="str">
        <f aca="false">IF($A2691="","",IF(원본명단!$H2690="",0,COUNTIF(원본명단!$H$3:$H$6002,원본명단!$H2690)))</f>
        <v/>
      </c>
      <c r="F2691" s="11" t="str">
        <f aca="false">IF($A2691="","",IF(원본명단!$I2690="",0,COUNTIF(원본명단!$I$3:$I$6002,원본명단!$I2690)))</f>
        <v/>
      </c>
      <c r="G2691" s="11" t="str">
        <f aca="false">IF($A2691="","",IF(원본명단!$K2690="",0,COUNTIF(원본명단!$K$3:$K$6002,원본명단!$K2690)))</f>
        <v/>
      </c>
      <c r="H2691" s="11" t="str">
        <f aca="false">IF($A2691="","",IF(MAX($E2691,$F2691,$G2691)&gt;1,"중복","-"))</f>
        <v/>
      </c>
      <c r="I2691" s="11" t="str">
        <f aca="false">IF($A2691="","",IF($H2691="-","-",IF(AND(IF(원본명단!$H2690="",TRUE(),COUNTIF(원본명단!$H$3:$H2690,원본명단!$H2690)=1),IF(원본명단!$I2690="",TRUE(),COUNTIF(원본명단!$I$3:$I2690,원본명단!$I2690)=1),IF(원본명단!$K2690="",TRUE(),COUNTIF(원본명단!$K$3:$K2690,원본명단!$K2690)=1)),"첫 건","중복 건")))</f>
        <v/>
      </c>
      <c r="J2691" s="11" t="str">
        <f aca="false">IF($A2691="","",IF($H2691="-","유지",IF($I2691="첫 건","유지","확인 필요")))</f>
        <v/>
      </c>
    </row>
    <row r="2692" customFormat="false" ht="15" hidden="false" customHeight="true" outlineLevel="0" collapsed="false">
      <c r="A2692" s="11" t="str">
        <f aca="false">IF(원본명단!$A2691="","",2689)</f>
        <v/>
      </c>
      <c r="B2692" s="12" t="str">
        <f aca="false">IF($A2692="","",원본명단!$A2691)</f>
        <v/>
      </c>
      <c r="C2692" s="12" t="str">
        <f aca="false">IF($A2692="","",원본명단!$B2691)</f>
        <v/>
      </c>
      <c r="D2692" s="12" t="str">
        <f aca="false">IF($A2692="","",원본명단!$D2691)</f>
        <v/>
      </c>
      <c r="E2692" s="11" t="str">
        <f aca="false">IF($A2692="","",IF(원본명단!$H2691="",0,COUNTIF(원본명단!$H$3:$H$6002,원본명단!$H2691)))</f>
        <v/>
      </c>
      <c r="F2692" s="11" t="str">
        <f aca="false">IF($A2692="","",IF(원본명단!$I2691="",0,COUNTIF(원본명단!$I$3:$I$6002,원본명단!$I2691)))</f>
        <v/>
      </c>
      <c r="G2692" s="11" t="str">
        <f aca="false">IF($A2692="","",IF(원본명단!$K2691="",0,COUNTIF(원본명단!$K$3:$K$6002,원본명단!$K2691)))</f>
        <v/>
      </c>
      <c r="H2692" s="11" t="str">
        <f aca="false">IF($A2692="","",IF(MAX($E2692,$F2692,$G2692)&gt;1,"중복","-"))</f>
        <v/>
      </c>
      <c r="I2692" s="11" t="str">
        <f aca="false">IF($A2692="","",IF($H2692="-","-",IF(AND(IF(원본명단!$H2691="",TRUE(),COUNTIF(원본명단!$H$3:$H2691,원본명단!$H2691)=1),IF(원본명단!$I2691="",TRUE(),COUNTIF(원본명단!$I$3:$I2691,원본명단!$I2691)=1),IF(원본명단!$K2691="",TRUE(),COUNTIF(원본명단!$K$3:$K2691,원본명단!$K2691)=1)),"첫 건","중복 건")))</f>
        <v/>
      </c>
      <c r="J2692" s="11" t="str">
        <f aca="false">IF($A2692="","",IF($H2692="-","유지",IF($I2692="첫 건","유지","확인 필요")))</f>
        <v/>
      </c>
    </row>
    <row r="2693" customFormat="false" ht="15" hidden="false" customHeight="true" outlineLevel="0" collapsed="false">
      <c r="A2693" s="11" t="str">
        <f aca="false">IF(원본명단!$A2692="","",2690)</f>
        <v/>
      </c>
      <c r="B2693" s="12" t="str">
        <f aca="false">IF($A2693="","",원본명단!$A2692)</f>
        <v/>
      </c>
      <c r="C2693" s="12" t="str">
        <f aca="false">IF($A2693="","",원본명단!$B2692)</f>
        <v/>
      </c>
      <c r="D2693" s="12" t="str">
        <f aca="false">IF($A2693="","",원본명단!$D2692)</f>
        <v/>
      </c>
      <c r="E2693" s="11" t="str">
        <f aca="false">IF($A2693="","",IF(원본명단!$H2692="",0,COUNTIF(원본명단!$H$3:$H$6002,원본명단!$H2692)))</f>
        <v/>
      </c>
      <c r="F2693" s="11" t="str">
        <f aca="false">IF($A2693="","",IF(원본명단!$I2692="",0,COUNTIF(원본명단!$I$3:$I$6002,원본명단!$I2692)))</f>
        <v/>
      </c>
      <c r="G2693" s="11" t="str">
        <f aca="false">IF($A2693="","",IF(원본명단!$K2692="",0,COUNTIF(원본명단!$K$3:$K$6002,원본명단!$K2692)))</f>
        <v/>
      </c>
      <c r="H2693" s="11" t="str">
        <f aca="false">IF($A2693="","",IF(MAX($E2693,$F2693,$G2693)&gt;1,"중복","-"))</f>
        <v/>
      </c>
      <c r="I2693" s="11" t="str">
        <f aca="false">IF($A2693="","",IF($H2693="-","-",IF(AND(IF(원본명단!$H2692="",TRUE(),COUNTIF(원본명단!$H$3:$H2692,원본명단!$H2692)=1),IF(원본명단!$I2692="",TRUE(),COUNTIF(원본명단!$I$3:$I2692,원본명단!$I2692)=1),IF(원본명단!$K2692="",TRUE(),COUNTIF(원본명단!$K$3:$K2692,원본명단!$K2692)=1)),"첫 건","중복 건")))</f>
        <v/>
      </c>
      <c r="J2693" s="11" t="str">
        <f aca="false">IF($A2693="","",IF($H2693="-","유지",IF($I2693="첫 건","유지","확인 필요")))</f>
        <v/>
      </c>
    </row>
    <row r="2694" customFormat="false" ht="15" hidden="false" customHeight="true" outlineLevel="0" collapsed="false">
      <c r="A2694" s="11" t="str">
        <f aca="false">IF(원본명단!$A2693="","",2691)</f>
        <v/>
      </c>
      <c r="B2694" s="12" t="str">
        <f aca="false">IF($A2694="","",원본명단!$A2693)</f>
        <v/>
      </c>
      <c r="C2694" s="12" t="str">
        <f aca="false">IF($A2694="","",원본명단!$B2693)</f>
        <v/>
      </c>
      <c r="D2694" s="12" t="str">
        <f aca="false">IF($A2694="","",원본명단!$D2693)</f>
        <v/>
      </c>
      <c r="E2694" s="11" t="str">
        <f aca="false">IF($A2694="","",IF(원본명단!$H2693="",0,COUNTIF(원본명단!$H$3:$H$6002,원본명단!$H2693)))</f>
        <v/>
      </c>
      <c r="F2694" s="11" t="str">
        <f aca="false">IF($A2694="","",IF(원본명단!$I2693="",0,COUNTIF(원본명단!$I$3:$I$6002,원본명단!$I2693)))</f>
        <v/>
      </c>
      <c r="G2694" s="11" t="str">
        <f aca="false">IF($A2694="","",IF(원본명단!$K2693="",0,COUNTIF(원본명단!$K$3:$K$6002,원본명단!$K2693)))</f>
        <v/>
      </c>
      <c r="H2694" s="11" t="str">
        <f aca="false">IF($A2694="","",IF(MAX($E2694,$F2694,$G2694)&gt;1,"중복","-"))</f>
        <v/>
      </c>
      <c r="I2694" s="11" t="str">
        <f aca="false">IF($A2694="","",IF($H2694="-","-",IF(AND(IF(원본명단!$H2693="",TRUE(),COUNTIF(원본명단!$H$3:$H2693,원본명단!$H2693)=1),IF(원본명단!$I2693="",TRUE(),COUNTIF(원본명단!$I$3:$I2693,원본명단!$I2693)=1),IF(원본명단!$K2693="",TRUE(),COUNTIF(원본명단!$K$3:$K2693,원본명단!$K2693)=1)),"첫 건","중복 건")))</f>
        <v/>
      </c>
      <c r="J2694" s="11" t="str">
        <f aca="false">IF($A2694="","",IF($H2694="-","유지",IF($I2694="첫 건","유지","확인 필요")))</f>
        <v/>
      </c>
    </row>
    <row r="2695" customFormat="false" ht="15" hidden="false" customHeight="true" outlineLevel="0" collapsed="false">
      <c r="A2695" s="11" t="str">
        <f aca="false">IF(원본명단!$A2694="","",2692)</f>
        <v/>
      </c>
      <c r="B2695" s="12" t="str">
        <f aca="false">IF($A2695="","",원본명단!$A2694)</f>
        <v/>
      </c>
      <c r="C2695" s="12" t="str">
        <f aca="false">IF($A2695="","",원본명단!$B2694)</f>
        <v/>
      </c>
      <c r="D2695" s="12" t="str">
        <f aca="false">IF($A2695="","",원본명단!$D2694)</f>
        <v/>
      </c>
      <c r="E2695" s="11" t="str">
        <f aca="false">IF($A2695="","",IF(원본명단!$H2694="",0,COUNTIF(원본명단!$H$3:$H$6002,원본명단!$H2694)))</f>
        <v/>
      </c>
      <c r="F2695" s="11" t="str">
        <f aca="false">IF($A2695="","",IF(원본명단!$I2694="",0,COUNTIF(원본명단!$I$3:$I$6002,원본명단!$I2694)))</f>
        <v/>
      </c>
      <c r="G2695" s="11" t="str">
        <f aca="false">IF($A2695="","",IF(원본명단!$K2694="",0,COUNTIF(원본명단!$K$3:$K$6002,원본명단!$K2694)))</f>
        <v/>
      </c>
      <c r="H2695" s="11" t="str">
        <f aca="false">IF($A2695="","",IF(MAX($E2695,$F2695,$G2695)&gt;1,"중복","-"))</f>
        <v/>
      </c>
      <c r="I2695" s="11" t="str">
        <f aca="false">IF($A2695="","",IF($H2695="-","-",IF(AND(IF(원본명단!$H2694="",TRUE(),COUNTIF(원본명단!$H$3:$H2694,원본명단!$H2694)=1),IF(원본명단!$I2694="",TRUE(),COUNTIF(원본명단!$I$3:$I2694,원본명단!$I2694)=1),IF(원본명단!$K2694="",TRUE(),COUNTIF(원본명단!$K$3:$K2694,원본명단!$K2694)=1)),"첫 건","중복 건")))</f>
        <v/>
      </c>
      <c r="J2695" s="11" t="str">
        <f aca="false">IF($A2695="","",IF($H2695="-","유지",IF($I2695="첫 건","유지","확인 필요")))</f>
        <v/>
      </c>
    </row>
    <row r="2696" customFormat="false" ht="15" hidden="false" customHeight="true" outlineLevel="0" collapsed="false">
      <c r="A2696" s="11" t="str">
        <f aca="false">IF(원본명단!$A2695="","",2693)</f>
        <v/>
      </c>
      <c r="B2696" s="12" t="str">
        <f aca="false">IF($A2696="","",원본명단!$A2695)</f>
        <v/>
      </c>
      <c r="C2696" s="12" t="str">
        <f aca="false">IF($A2696="","",원본명단!$B2695)</f>
        <v/>
      </c>
      <c r="D2696" s="12" t="str">
        <f aca="false">IF($A2696="","",원본명단!$D2695)</f>
        <v/>
      </c>
      <c r="E2696" s="11" t="str">
        <f aca="false">IF($A2696="","",IF(원본명단!$H2695="",0,COUNTIF(원본명단!$H$3:$H$6002,원본명단!$H2695)))</f>
        <v/>
      </c>
      <c r="F2696" s="11" t="str">
        <f aca="false">IF($A2696="","",IF(원본명단!$I2695="",0,COUNTIF(원본명단!$I$3:$I$6002,원본명단!$I2695)))</f>
        <v/>
      </c>
      <c r="G2696" s="11" t="str">
        <f aca="false">IF($A2696="","",IF(원본명단!$K2695="",0,COUNTIF(원본명단!$K$3:$K$6002,원본명단!$K2695)))</f>
        <v/>
      </c>
      <c r="H2696" s="11" t="str">
        <f aca="false">IF($A2696="","",IF(MAX($E2696,$F2696,$G2696)&gt;1,"중복","-"))</f>
        <v/>
      </c>
      <c r="I2696" s="11" t="str">
        <f aca="false">IF($A2696="","",IF($H2696="-","-",IF(AND(IF(원본명단!$H2695="",TRUE(),COUNTIF(원본명단!$H$3:$H2695,원본명단!$H2695)=1),IF(원본명단!$I2695="",TRUE(),COUNTIF(원본명단!$I$3:$I2695,원본명단!$I2695)=1),IF(원본명단!$K2695="",TRUE(),COUNTIF(원본명단!$K$3:$K2695,원본명단!$K2695)=1)),"첫 건","중복 건")))</f>
        <v/>
      </c>
      <c r="J2696" s="11" t="str">
        <f aca="false">IF($A2696="","",IF($H2696="-","유지",IF($I2696="첫 건","유지","확인 필요")))</f>
        <v/>
      </c>
    </row>
    <row r="2697" customFormat="false" ht="15" hidden="false" customHeight="true" outlineLevel="0" collapsed="false">
      <c r="A2697" s="11" t="str">
        <f aca="false">IF(원본명단!$A2696="","",2694)</f>
        <v/>
      </c>
      <c r="B2697" s="12" t="str">
        <f aca="false">IF($A2697="","",원본명단!$A2696)</f>
        <v/>
      </c>
      <c r="C2697" s="12" t="str">
        <f aca="false">IF($A2697="","",원본명단!$B2696)</f>
        <v/>
      </c>
      <c r="D2697" s="12" t="str">
        <f aca="false">IF($A2697="","",원본명단!$D2696)</f>
        <v/>
      </c>
      <c r="E2697" s="11" t="str">
        <f aca="false">IF($A2697="","",IF(원본명단!$H2696="",0,COUNTIF(원본명단!$H$3:$H$6002,원본명단!$H2696)))</f>
        <v/>
      </c>
      <c r="F2697" s="11" t="str">
        <f aca="false">IF($A2697="","",IF(원본명단!$I2696="",0,COUNTIF(원본명단!$I$3:$I$6002,원본명단!$I2696)))</f>
        <v/>
      </c>
      <c r="G2697" s="11" t="str">
        <f aca="false">IF($A2697="","",IF(원본명단!$K2696="",0,COUNTIF(원본명단!$K$3:$K$6002,원본명단!$K2696)))</f>
        <v/>
      </c>
      <c r="H2697" s="11" t="str">
        <f aca="false">IF($A2697="","",IF(MAX($E2697,$F2697,$G2697)&gt;1,"중복","-"))</f>
        <v/>
      </c>
      <c r="I2697" s="11" t="str">
        <f aca="false">IF($A2697="","",IF($H2697="-","-",IF(AND(IF(원본명단!$H2696="",TRUE(),COUNTIF(원본명단!$H$3:$H2696,원본명단!$H2696)=1),IF(원본명단!$I2696="",TRUE(),COUNTIF(원본명단!$I$3:$I2696,원본명단!$I2696)=1),IF(원본명단!$K2696="",TRUE(),COUNTIF(원본명단!$K$3:$K2696,원본명단!$K2696)=1)),"첫 건","중복 건")))</f>
        <v/>
      </c>
      <c r="J2697" s="11" t="str">
        <f aca="false">IF($A2697="","",IF($H2697="-","유지",IF($I2697="첫 건","유지","확인 필요")))</f>
        <v/>
      </c>
    </row>
    <row r="2698" customFormat="false" ht="15" hidden="false" customHeight="true" outlineLevel="0" collapsed="false">
      <c r="A2698" s="11" t="str">
        <f aca="false">IF(원본명단!$A2697="","",2695)</f>
        <v/>
      </c>
      <c r="B2698" s="12" t="str">
        <f aca="false">IF($A2698="","",원본명단!$A2697)</f>
        <v/>
      </c>
      <c r="C2698" s="12" t="str">
        <f aca="false">IF($A2698="","",원본명단!$B2697)</f>
        <v/>
      </c>
      <c r="D2698" s="12" t="str">
        <f aca="false">IF($A2698="","",원본명단!$D2697)</f>
        <v/>
      </c>
      <c r="E2698" s="11" t="str">
        <f aca="false">IF($A2698="","",IF(원본명단!$H2697="",0,COUNTIF(원본명단!$H$3:$H$6002,원본명단!$H2697)))</f>
        <v/>
      </c>
      <c r="F2698" s="11" t="str">
        <f aca="false">IF($A2698="","",IF(원본명단!$I2697="",0,COUNTIF(원본명단!$I$3:$I$6002,원본명단!$I2697)))</f>
        <v/>
      </c>
      <c r="G2698" s="11" t="str">
        <f aca="false">IF($A2698="","",IF(원본명단!$K2697="",0,COUNTIF(원본명단!$K$3:$K$6002,원본명단!$K2697)))</f>
        <v/>
      </c>
      <c r="H2698" s="11" t="str">
        <f aca="false">IF($A2698="","",IF(MAX($E2698,$F2698,$G2698)&gt;1,"중복","-"))</f>
        <v/>
      </c>
      <c r="I2698" s="11" t="str">
        <f aca="false">IF($A2698="","",IF($H2698="-","-",IF(AND(IF(원본명단!$H2697="",TRUE(),COUNTIF(원본명단!$H$3:$H2697,원본명단!$H2697)=1),IF(원본명단!$I2697="",TRUE(),COUNTIF(원본명단!$I$3:$I2697,원본명단!$I2697)=1),IF(원본명단!$K2697="",TRUE(),COUNTIF(원본명단!$K$3:$K2697,원본명단!$K2697)=1)),"첫 건","중복 건")))</f>
        <v/>
      </c>
      <c r="J2698" s="11" t="str">
        <f aca="false">IF($A2698="","",IF($H2698="-","유지",IF($I2698="첫 건","유지","확인 필요")))</f>
        <v/>
      </c>
    </row>
    <row r="2699" customFormat="false" ht="15" hidden="false" customHeight="true" outlineLevel="0" collapsed="false">
      <c r="A2699" s="11" t="str">
        <f aca="false">IF(원본명단!$A2698="","",2696)</f>
        <v/>
      </c>
      <c r="B2699" s="12" t="str">
        <f aca="false">IF($A2699="","",원본명단!$A2698)</f>
        <v/>
      </c>
      <c r="C2699" s="12" t="str">
        <f aca="false">IF($A2699="","",원본명단!$B2698)</f>
        <v/>
      </c>
      <c r="D2699" s="12" t="str">
        <f aca="false">IF($A2699="","",원본명단!$D2698)</f>
        <v/>
      </c>
      <c r="E2699" s="11" t="str">
        <f aca="false">IF($A2699="","",IF(원본명단!$H2698="",0,COUNTIF(원본명단!$H$3:$H$6002,원본명단!$H2698)))</f>
        <v/>
      </c>
      <c r="F2699" s="11" t="str">
        <f aca="false">IF($A2699="","",IF(원본명단!$I2698="",0,COUNTIF(원본명단!$I$3:$I$6002,원본명단!$I2698)))</f>
        <v/>
      </c>
      <c r="G2699" s="11" t="str">
        <f aca="false">IF($A2699="","",IF(원본명단!$K2698="",0,COUNTIF(원본명단!$K$3:$K$6002,원본명단!$K2698)))</f>
        <v/>
      </c>
      <c r="H2699" s="11" t="str">
        <f aca="false">IF($A2699="","",IF(MAX($E2699,$F2699,$G2699)&gt;1,"중복","-"))</f>
        <v/>
      </c>
      <c r="I2699" s="11" t="str">
        <f aca="false">IF($A2699="","",IF($H2699="-","-",IF(AND(IF(원본명단!$H2698="",TRUE(),COUNTIF(원본명단!$H$3:$H2698,원본명단!$H2698)=1),IF(원본명단!$I2698="",TRUE(),COUNTIF(원본명단!$I$3:$I2698,원본명단!$I2698)=1),IF(원본명단!$K2698="",TRUE(),COUNTIF(원본명단!$K$3:$K2698,원본명단!$K2698)=1)),"첫 건","중복 건")))</f>
        <v/>
      </c>
      <c r="J2699" s="11" t="str">
        <f aca="false">IF($A2699="","",IF($H2699="-","유지",IF($I2699="첫 건","유지","확인 필요")))</f>
        <v/>
      </c>
    </row>
    <row r="2700" customFormat="false" ht="15" hidden="false" customHeight="true" outlineLevel="0" collapsed="false">
      <c r="A2700" s="11" t="str">
        <f aca="false">IF(원본명단!$A2699="","",2697)</f>
        <v/>
      </c>
      <c r="B2700" s="12" t="str">
        <f aca="false">IF($A2700="","",원본명단!$A2699)</f>
        <v/>
      </c>
      <c r="C2700" s="12" t="str">
        <f aca="false">IF($A2700="","",원본명단!$B2699)</f>
        <v/>
      </c>
      <c r="D2700" s="12" t="str">
        <f aca="false">IF($A2700="","",원본명단!$D2699)</f>
        <v/>
      </c>
      <c r="E2700" s="11" t="str">
        <f aca="false">IF($A2700="","",IF(원본명단!$H2699="",0,COUNTIF(원본명단!$H$3:$H$6002,원본명단!$H2699)))</f>
        <v/>
      </c>
      <c r="F2700" s="11" t="str">
        <f aca="false">IF($A2700="","",IF(원본명단!$I2699="",0,COUNTIF(원본명단!$I$3:$I$6002,원본명단!$I2699)))</f>
        <v/>
      </c>
      <c r="G2700" s="11" t="str">
        <f aca="false">IF($A2700="","",IF(원본명단!$K2699="",0,COUNTIF(원본명단!$K$3:$K$6002,원본명단!$K2699)))</f>
        <v/>
      </c>
      <c r="H2700" s="11" t="str">
        <f aca="false">IF($A2700="","",IF(MAX($E2700,$F2700,$G2700)&gt;1,"중복","-"))</f>
        <v/>
      </c>
      <c r="I2700" s="11" t="str">
        <f aca="false">IF($A2700="","",IF($H2700="-","-",IF(AND(IF(원본명단!$H2699="",TRUE(),COUNTIF(원본명단!$H$3:$H2699,원본명단!$H2699)=1),IF(원본명단!$I2699="",TRUE(),COUNTIF(원본명단!$I$3:$I2699,원본명단!$I2699)=1),IF(원본명단!$K2699="",TRUE(),COUNTIF(원본명단!$K$3:$K2699,원본명단!$K2699)=1)),"첫 건","중복 건")))</f>
        <v/>
      </c>
      <c r="J2700" s="11" t="str">
        <f aca="false">IF($A2700="","",IF($H2700="-","유지",IF($I2700="첫 건","유지","확인 필요")))</f>
        <v/>
      </c>
    </row>
    <row r="2701" customFormat="false" ht="15" hidden="false" customHeight="true" outlineLevel="0" collapsed="false">
      <c r="A2701" s="11" t="str">
        <f aca="false">IF(원본명단!$A2700="","",2698)</f>
        <v/>
      </c>
      <c r="B2701" s="12" t="str">
        <f aca="false">IF($A2701="","",원본명단!$A2700)</f>
        <v/>
      </c>
      <c r="C2701" s="12" t="str">
        <f aca="false">IF($A2701="","",원본명단!$B2700)</f>
        <v/>
      </c>
      <c r="D2701" s="12" t="str">
        <f aca="false">IF($A2701="","",원본명단!$D2700)</f>
        <v/>
      </c>
      <c r="E2701" s="11" t="str">
        <f aca="false">IF($A2701="","",IF(원본명단!$H2700="",0,COUNTIF(원본명단!$H$3:$H$6002,원본명단!$H2700)))</f>
        <v/>
      </c>
      <c r="F2701" s="11" t="str">
        <f aca="false">IF($A2701="","",IF(원본명단!$I2700="",0,COUNTIF(원본명단!$I$3:$I$6002,원본명단!$I2700)))</f>
        <v/>
      </c>
      <c r="G2701" s="11" t="str">
        <f aca="false">IF($A2701="","",IF(원본명단!$K2700="",0,COUNTIF(원본명단!$K$3:$K$6002,원본명단!$K2700)))</f>
        <v/>
      </c>
      <c r="H2701" s="11" t="str">
        <f aca="false">IF($A2701="","",IF(MAX($E2701,$F2701,$G2701)&gt;1,"중복","-"))</f>
        <v/>
      </c>
      <c r="I2701" s="11" t="str">
        <f aca="false">IF($A2701="","",IF($H2701="-","-",IF(AND(IF(원본명단!$H2700="",TRUE(),COUNTIF(원본명단!$H$3:$H2700,원본명단!$H2700)=1),IF(원본명단!$I2700="",TRUE(),COUNTIF(원본명단!$I$3:$I2700,원본명단!$I2700)=1),IF(원본명단!$K2700="",TRUE(),COUNTIF(원본명단!$K$3:$K2700,원본명단!$K2700)=1)),"첫 건","중복 건")))</f>
        <v/>
      </c>
      <c r="J2701" s="11" t="str">
        <f aca="false">IF($A2701="","",IF($H2701="-","유지",IF($I2701="첫 건","유지","확인 필요")))</f>
        <v/>
      </c>
    </row>
    <row r="2702" customFormat="false" ht="15" hidden="false" customHeight="true" outlineLevel="0" collapsed="false">
      <c r="A2702" s="11" t="str">
        <f aca="false">IF(원본명단!$A2701="","",2699)</f>
        <v/>
      </c>
      <c r="B2702" s="12" t="str">
        <f aca="false">IF($A2702="","",원본명단!$A2701)</f>
        <v/>
      </c>
      <c r="C2702" s="12" t="str">
        <f aca="false">IF($A2702="","",원본명단!$B2701)</f>
        <v/>
      </c>
      <c r="D2702" s="12" t="str">
        <f aca="false">IF($A2702="","",원본명단!$D2701)</f>
        <v/>
      </c>
      <c r="E2702" s="11" t="str">
        <f aca="false">IF($A2702="","",IF(원본명단!$H2701="",0,COUNTIF(원본명단!$H$3:$H$6002,원본명단!$H2701)))</f>
        <v/>
      </c>
      <c r="F2702" s="11" t="str">
        <f aca="false">IF($A2702="","",IF(원본명단!$I2701="",0,COUNTIF(원본명단!$I$3:$I$6002,원본명단!$I2701)))</f>
        <v/>
      </c>
      <c r="G2702" s="11" t="str">
        <f aca="false">IF($A2702="","",IF(원본명단!$K2701="",0,COUNTIF(원본명단!$K$3:$K$6002,원본명단!$K2701)))</f>
        <v/>
      </c>
      <c r="H2702" s="11" t="str">
        <f aca="false">IF($A2702="","",IF(MAX($E2702,$F2702,$G2702)&gt;1,"중복","-"))</f>
        <v/>
      </c>
      <c r="I2702" s="11" t="str">
        <f aca="false">IF($A2702="","",IF($H2702="-","-",IF(AND(IF(원본명단!$H2701="",TRUE(),COUNTIF(원본명단!$H$3:$H2701,원본명단!$H2701)=1),IF(원본명단!$I2701="",TRUE(),COUNTIF(원본명단!$I$3:$I2701,원본명단!$I2701)=1),IF(원본명단!$K2701="",TRUE(),COUNTIF(원본명단!$K$3:$K2701,원본명단!$K2701)=1)),"첫 건","중복 건")))</f>
        <v/>
      </c>
      <c r="J2702" s="11" t="str">
        <f aca="false">IF($A2702="","",IF($H2702="-","유지",IF($I2702="첫 건","유지","확인 필요")))</f>
        <v/>
      </c>
    </row>
    <row r="2703" customFormat="false" ht="15" hidden="false" customHeight="true" outlineLevel="0" collapsed="false">
      <c r="A2703" s="11" t="str">
        <f aca="false">IF(원본명단!$A2702="","",2700)</f>
        <v/>
      </c>
      <c r="B2703" s="12" t="str">
        <f aca="false">IF($A2703="","",원본명단!$A2702)</f>
        <v/>
      </c>
      <c r="C2703" s="12" t="str">
        <f aca="false">IF($A2703="","",원본명단!$B2702)</f>
        <v/>
      </c>
      <c r="D2703" s="12" t="str">
        <f aca="false">IF($A2703="","",원본명단!$D2702)</f>
        <v/>
      </c>
      <c r="E2703" s="11" t="str">
        <f aca="false">IF($A2703="","",IF(원본명단!$H2702="",0,COUNTIF(원본명단!$H$3:$H$6002,원본명단!$H2702)))</f>
        <v/>
      </c>
      <c r="F2703" s="11" t="str">
        <f aca="false">IF($A2703="","",IF(원본명단!$I2702="",0,COUNTIF(원본명단!$I$3:$I$6002,원본명단!$I2702)))</f>
        <v/>
      </c>
      <c r="G2703" s="11" t="str">
        <f aca="false">IF($A2703="","",IF(원본명단!$K2702="",0,COUNTIF(원본명단!$K$3:$K$6002,원본명단!$K2702)))</f>
        <v/>
      </c>
      <c r="H2703" s="11" t="str">
        <f aca="false">IF($A2703="","",IF(MAX($E2703,$F2703,$G2703)&gt;1,"중복","-"))</f>
        <v/>
      </c>
      <c r="I2703" s="11" t="str">
        <f aca="false">IF($A2703="","",IF($H2703="-","-",IF(AND(IF(원본명단!$H2702="",TRUE(),COUNTIF(원본명단!$H$3:$H2702,원본명단!$H2702)=1),IF(원본명단!$I2702="",TRUE(),COUNTIF(원본명단!$I$3:$I2702,원본명단!$I2702)=1),IF(원본명단!$K2702="",TRUE(),COUNTIF(원본명단!$K$3:$K2702,원본명단!$K2702)=1)),"첫 건","중복 건")))</f>
        <v/>
      </c>
      <c r="J2703" s="11" t="str">
        <f aca="false">IF($A2703="","",IF($H2703="-","유지",IF($I2703="첫 건","유지","확인 필요")))</f>
        <v/>
      </c>
    </row>
    <row r="2704" customFormat="false" ht="15" hidden="false" customHeight="true" outlineLevel="0" collapsed="false">
      <c r="A2704" s="11" t="str">
        <f aca="false">IF(원본명단!$A2703="","",2701)</f>
        <v/>
      </c>
      <c r="B2704" s="12" t="str">
        <f aca="false">IF($A2704="","",원본명단!$A2703)</f>
        <v/>
      </c>
      <c r="C2704" s="12" t="str">
        <f aca="false">IF($A2704="","",원본명단!$B2703)</f>
        <v/>
      </c>
      <c r="D2704" s="12" t="str">
        <f aca="false">IF($A2704="","",원본명단!$D2703)</f>
        <v/>
      </c>
      <c r="E2704" s="11" t="str">
        <f aca="false">IF($A2704="","",IF(원본명단!$H2703="",0,COUNTIF(원본명단!$H$3:$H$6002,원본명단!$H2703)))</f>
        <v/>
      </c>
      <c r="F2704" s="11" t="str">
        <f aca="false">IF($A2704="","",IF(원본명단!$I2703="",0,COUNTIF(원본명단!$I$3:$I$6002,원본명단!$I2703)))</f>
        <v/>
      </c>
      <c r="G2704" s="11" t="str">
        <f aca="false">IF($A2704="","",IF(원본명단!$K2703="",0,COUNTIF(원본명단!$K$3:$K$6002,원본명단!$K2703)))</f>
        <v/>
      </c>
      <c r="H2704" s="11" t="str">
        <f aca="false">IF($A2704="","",IF(MAX($E2704,$F2704,$G2704)&gt;1,"중복","-"))</f>
        <v/>
      </c>
      <c r="I2704" s="11" t="str">
        <f aca="false">IF($A2704="","",IF($H2704="-","-",IF(AND(IF(원본명단!$H2703="",TRUE(),COUNTIF(원본명단!$H$3:$H2703,원본명단!$H2703)=1),IF(원본명단!$I2703="",TRUE(),COUNTIF(원본명단!$I$3:$I2703,원본명단!$I2703)=1),IF(원본명단!$K2703="",TRUE(),COUNTIF(원본명단!$K$3:$K2703,원본명단!$K2703)=1)),"첫 건","중복 건")))</f>
        <v/>
      </c>
      <c r="J2704" s="11" t="str">
        <f aca="false">IF($A2704="","",IF($H2704="-","유지",IF($I2704="첫 건","유지","확인 필요")))</f>
        <v/>
      </c>
    </row>
    <row r="2705" customFormat="false" ht="15" hidden="false" customHeight="true" outlineLevel="0" collapsed="false">
      <c r="A2705" s="11" t="str">
        <f aca="false">IF(원본명단!$A2704="","",2702)</f>
        <v/>
      </c>
      <c r="B2705" s="12" t="str">
        <f aca="false">IF($A2705="","",원본명단!$A2704)</f>
        <v/>
      </c>
      <c r="C2705" s="12" t="str">
        <f aca="false">IF($A2705="","",원본명단!$B2704)</f>
        <v/>
      </c>
      <c r="D2705" s="12" t="str">
        <f aca="false">IF($A2705="","",원본명단!$D2704)</f>
        <v/>
      </c>
      <c r="E2705" s="11" t="str">
        <f aca="false">IF($A2705="","",IF(원본명단!$H2704="",0,COUNTIF(원본명단!$H$3:$H$6002,원본명단!$H2704)))</f>
        <v/>
      </c>
      <c r="F2705" s="11" t="str">
        <f aca="false">IF($A2705="","",IF(원본명단!$I2704="",0,COUNTIF(원본명단!$I$3:$I$6002,원본명단!$I2704)))</f>
        <v/>
      </c>
      <c r="G2705" s="11" t="str">
        <f aca="false">IF($A2705="","",IF(원본명단!$K2704="",0,COUNTIF(원본명단!$K$3:$K$6002,원본명단!$K2704)))</f>
        <v/>
      </c>
      <c r="H2705" s="11" t="str">
        <f aca="false">IF($A2705="","",IF(MAX($E2705,$F2705,$G2705)&gt;1,"중복","-"))</f>
        <v/>
      </c>
      <c r="I2705" s="11" t="str">
        <f aca="false">IF($A2705="","",IF($H2705="-","-",IF(AND(IF(원본명단!$H2704="",TRUE(),COUNTIF(원본명단!$H$3:$H2704,원본명단!$H2704)=1),IF(원본명단!$I2704="",TRUE(),COUNTIF(원본명단!$I$3:$I2704,원본명단!$I2704)=1),IF(원본명단!$K2704="",TRUE(),COUNTIF(원본명단!$K$3:$K2704,원본명단!$K2704)=1)),"첫 건","중복 건")))</f>
        <v/>
      </c>
      <c r="J2705" s="11" t="str">
        <f aca="false">IF($A2705="","",IF($H2705="-","유지",IF($I2705="첫 건","유지","확인 필요")))</f>
        <v/>
      </c>
    </row>
    <row r="2706" customFormat="false" ht="15" hidden="false" customHeight="true" outlineLevel="0" collapsed="false">
      <c r="A2706" s="11" t="str">
        <f aca="false">IF(원본명단!$A2705="","",2703)</f>
        <v/>
      </c>
      <c r="B2706" s="12" t="str">
        <f aca="false">IF($A2706="","",원본명단!$A2705)</f>
        <v/>
      </c>
      <c r="C2706" s="12" t="str">
        <f aca="false">IF($A2706="","",원본명단!$B2705)</f>
        <v/>
      </c>
      <c r="D2706" s="12" t="str">
        <f aca="false">IF($A2706="","",원본명단!$D2705)</f>
        <v/>
      </c>
      <c r="E2706" s="11" t="str">
        <f aca="false">IF($A2706="","",IF(원본명단!$H2705="",0,COUNTIF(원본명단!$H$3:$H$6002,원본명단!$H2705)))</f>
        <v/>
      </c>
      <c r="F2706" s="11" t="str">
        <f aca="false">IF($A2706="","",IF(원본명단!$I2705="",0,COUNTIF(원본명단!$I$3:$I$6002,원본명단!$I2705)))</f>
        <v/>
      </c>
      <c r="G2706" s="11" t="str">
        <f aca="false">IF($A2706="","",IF(원본명단!$K2705="",0,COUNTIF(원본명단!$K$3:$K$6002,원본명단!$K2705)))</f>
        <v/>
      </c>
      <c r="H2706" s="11" t="str">
        <f aca="false">IF($A2706="","",IF(MAX($E2706,$F2706,$G2706)&gt;1,"중복","-"))</f>
        <v/>
      </c>
      <c r="I2706" s="11" t="str">
        <f aca="false">IF($A2706="","",IF($H2706="-","-",IF(AND(IF(원본명단!$H2705="",TRUE(),COUNTIF(원본명단!$H$3:$H2705,원본명단!$H2705)=1),IF(원본명단!$I2705="",TRUE(),COUNTIF(원본명단!$I$3:$I2705,원본명단!$I2705)=1),IF(원본명단!$K2705="",TRUE(),COUNTIF(원본명단!$K$3:$K2705,원본명단!$K2705)=1)),"첫 건","중복 건")))</f>
        <v/>
      </c>
      <c r="J2706" s="11" t="str">
        <f aca="false">IF($A2706="","",IF($H2706="-","유지",IF($I2706="첫 건","유지","확인 필요")))</f>
        <v/>
      </c>
    </row>
    <row r="2707" customFormat="false" ht="15" hidden="false" customHeight="true" outlineLevel="0" collapsed="false">
      <c r="A2707" s="11" t="str">
        <f aca="false">IF(원본명단!$A2706="","",2704)</f>
        <v/>
      </c>
      <c r="B2707" s="12" t="str">
        <f aca="false">IF($A2707="","",원본명단!$A2706)</f>
        <v/>
      </c>
      <c r="C2707" s="12" t="str">
        <f aca="false">IF($A2707="","",원본명단!$B2706)</f>
        <v/>
      </c>
      <c r="D2707" s="12" t="str">
        <f aca="false">IF($A2707="","",원본명단!$D2706)</f>
        <v/>
      </c>
      <c r="E2707" s="11" t="str">
        <f aca="false">IF($A2707="","",IF(원본명단!$H2706="",0,COUNTIF(원본명단!$H$3:$H$6002,원본명단!$H2706)))</f>
        <v/>
      </c>
      <c r="F2707" s="11" t="str">
        <f aca="false">IF($A2707="","",IF(원본명단!$I2706="",0,COUNTIF(원본명단!$I$3:$I$6002,원본명단!$I2706)))</f>
        <v/>
      </c>
      <c r="G2707" s="11" t="str">
        <f aca="false">IF($A2707="","",IF(원본명단!$K2706="",0,COUNTIF(원본명단!$K$3:$K$6002,원본명단!$K2706)))</f>
        <v/>
      </c>
      <c r="H2707" s="11" t="str">
        <f aca="false">IF($A2707="","",IF(MAX($E2707,$F2707,$G2707)&gt;1,"중복","-"))</f>
        <v/>
      </c>
      <c r="I2707" s="11" t="str">
        <f aca="false">IF($A2707="","",IF($H2707="-","-",IF(AND(IF(원본명단!$H2706="",TRUE(),COUNTIF(원본명단!$H$3:$H2706,원본명단!$H2706)=1),IF(원본명단!$I2706="",TRUE(),COUNTIF(원본명단!$I$3:$I2706,원본명단!$I2706)=1),IF(원본명단!$K2706="",TRUE(),COUNTIF(원본명단!$K$3:$K2706,원본명단!$K2706)=1)),"첫 건","중복 건")))</f>
        <v/>
      </c>
      <c r="J2707" s="11" t="str">
        <f aca="false">IF($A2707="","",IF($H2707="-","유지",IF($I2707="첫 건","유지","확인 필요")))</f>
        <v/>
      </c>
    </row>
    <row r="2708" customFormat="false" ht="15" hidden="false" customHeight="true" outlineLevel="0" collapsed="false">
      <c r="A2708" s="11" t="str">
        <f aca="false">IF(원본명단!$A2707="","",2705)</f>
        <v/>
      </c>
      <c r="B2708" s="12" t="str">
        <f aca="false">IF($A2708="","",원본명단!$A2707)</f>
        <v/>
      </c>
      <c r="C2708" s="12" t="str">
        <f aca="false">IF($A2708="","",원본명단!$B2707)</f>
        <v/>
      </c>
      <c r="D2708" s="12" t="str">
        <f aca="false">IF($A2708="","",원본명단!$D2707)</f>
        <v/>
      </c>
      <c r="E2708" s="11" t="str">
        <f aca="false">IF($A2708="","",IF(원본명단!$H2707="",0,COUNTIF(원본명단!$H$3:$H$6002,원본명단!$H2707)))</f>
        <v/>
      </c>
      <c r="F2708" s="11" t="str">
        <f aca="false">IF($A2708="","",IF(원본명단!$I2707="",0,COUNTIF(원본명단!$I$3:$I$6002,원본명단!$I2707)))</f>
        <v/>
      </c>
      <c r="G2708" s="11" t="str">
        <f aca="false">IF($A2708="","",IF(원본명단!$K2707="",0,COUNTIF(원본명단!$K$3:$K$6002,원본명단!$K2707)))</f>
        <v/>
      </c>
      <c r="H2708" s="11" t="str">
        <f aca="false">IF($A2708="","",IF(MAX($E2708,$F2708,$G2708)&gt;1,"중복","-"))</f>
        <v/>
      </c>
      <c r="I2708" s="11" t="str">
        <f aca="false">IF($A2708="","",IF($H2708="-","-",IF(AND(IF(원본명단!$H2707="",TRUE(),COUNTIF(원본명단!$H$3:$H2707,원본명단!$H2707)=1),IF(원본명단!$I2707="",TRUE(),COUNTIF(원본명단!$I$3:$I2707,원본명단!$I2707)=1),IF(원본명단!$K2707="",TRUE(),COUNTIF(원본명단!$K$3:$K2707,원본명단!$K2707)=1)),"첫 건","중복 건")))</f>
        <v/>
      </c>
      <c r="J2708" s="11" t="str">
        <f aca="false">IF($A2708="","",IF($H2708="-","유지",IF($I2708="첫 건","유지","확인 필요")))</f>
        <v/>
      </c>
    </row>
    <row r="2709" customFormat="false" ht="15" hidden="false" customHeight="true" outlineLevel="0" collapsed="false">
      <c r="A2709" s="11" t="str">
        <f aca="false">IF(원본명단!$A2708="","",2706)</f>
        <v/>
      </c>
      <c r="B2709" s="12" t="str">
        <f aca="false">IF($A2709="","",원본명단!$A2708)</f>
        <v/>
      </c>
      <c r="C2709" s="12" t="str">
        <f aca="false">IF($A2709="","",원본명단!$B2708)</f>
        <v/>
      </c>
      <c r="D2709" s="12" t="str">
        <f aca="false">IF($A2709="","",원본명단!$D2708)</f>
        <v/>
      </c>
      <c r="E2709" s="11" t="str">
        <f aca="false">IF($A2709="","",IF(원본명단!$H2708="",0,COUNTIF(원본명단!$H$3:$H$6002,원본명단!$H2708)))</f>
        <v/>
      </c>
      <c r="F2709" s="11" t="str">
        <f aca="false">IF($A2709="","",IF(원본명단!$I2708="",0,COUNTIF(원본명단!$I$3:$I$6002,원본명단!$I2708)))</f>
        <v/>
      </c>
      <c r="G2709" s="11" t="str">
        <f aca="false">IF($A2709="","",IF(원본명단!$K2708="",0,COUNTIF(원본명단!$K$3:$K$6002,원본명단!$K2708)))</f>
        <v/>
      </c>
      <c r="H2709" s="11" t="str">
        <f aca="false">IF($A2709="","",IF(MAX($E2709,$F2709,$G2709)&gt;1,"중복","-"))</f>
        <v/>
      </c>
      <c r="I2709" s="11" t="str">
        <f aca="false">IF($A2709="","",IF($H2709="-","-",IF(AND(IF(원본명단!$H2708="",TRUE(),COUNTIF(원본명단!$H$3:$H2708,원본명단!$H2708)=1),IF(원본명단!$I2708="",TRUE(),COUNTIF(원본명단!$I$3:$I2708,원본명단!$I2708)=1),IF(원본명단!$K2708="",TRUE(),COUNTIF(원본명단!$K$3:$K2708,원본명단!$K2708)=1)),"첫 건","중복 건")))</f>
        <v/>
      </c>
      <c r="J2709" s="11" t="str">
        <f aca="false">IF($A2709="","",IF($H2709="-","유지",IF($I2709="첫 건","유지","확인 필요")))</f>
        <v/>
      </c>
    </row>
    <row r="2710" customFormat="false" ht="15" hidden="false" customHeight="true" outlineLevel="0" collapsed="false">
      <c r="A2710" s="11" t="str">
        <f aca="false">IF(원본명단!$A2709="","",2707)</f>
        <v/>
      </c>
      <c r="B2710" s="12" t="str">
        <f aca="false">IF($A2710="","",원본명단!$A2709)</f>
        <v/>
      </c>
      <c r="C2710" s="12" t="str">
        <f aca="false">IF($A2710="","",원본명단!$B2709)</f>
        <v/>
      </c>
      <c r="D2710" s="12" t="str">
        <f aca="false">IF($A2710="","",원본명단!$D2709)</f>
        <v/>
      </c>
      <c r="E2710" s="11" t="str">
        <f aca="false">IF($A2710="","",IF(원본명단!$H2709="",0,COUNTIF(원본명단!$H$3:$H$6002,원본명단!$H2709)))</f>
        <v/>
      </c>
      <c r="F2710" s="11" t="str">
        <f aca="false">IF($A2710="","",IF(원본명단!$I2709="",0,COUNTIF(원본명단!$I$3:$I$6002,원본명단!$I2709)))</f>
        <v/>
      </c>
      <c r="G2710" s="11" t="str">
        <f aca="false">IF($A2710="","",IF(원본명단!$K2709="",0,COUNTIF(원본명단!$K$3:$K$6002,원본명단!$K2709)))</f>
        <v/>
      </c>
      <c r="H2710" s="11" t="str">
        <f aca="false">IF($A2710="","",IF(MAX($E2710,$F2710,$G2710)&gt;1,"중복","-"))</f>
        <v/>
      </c>
      <c r="I2710" s="11" t="str">
        <f aca="false">IF($A2710="","",IF($H2710="-","-",IF(AND(IF(원본명단!$H2709="",TRUE(),COUNTIF(원본명단!$H$3:$H2709,원본명단!$H2709)=1),IF(원본명단!$I2709="",TRUE(),COUNTIF(원본명단!$I$3:$I2709,원본명단!$I2709)=1),IF(원본명단!$K2709="",TRUE(),COUNTIF(원본명단!$K$3:$K2709,원본명단!$K2709)=1)),"첫 건","중복 건")))</f>
        <v/>
      </c>
      <c r="J2710" s="11" t="str">
        <f aca="false">IF($A2710="","",IF($H2710="-","유지",IF($I2710="첫 건","유지","확인 필요")))</f>
        <v/>
      </c>
    </row>
    <row r="2711" customFormat="false" ht="15" hidden="false" customHeight="true" outlineLevel="0" collapsed="false">
      <c r="A2711" s="11" t="str">
        <f aca="false">IF(원본명단!$A2710="","",2708)</f>
        <v/>
      </c>
      <c r="B2711" s="12" t="str">
        <f aca="false">IF($A2711="","",원본명단!$A2710)</f>
        <v/>
      </c>
      <c r="C2711" s="12" t="str">
        <f aca="false">IF($A2711="","",원본명단!$B2710)</f>
        <v/>
      </c>
      <c r="D2711" s="12" t="str">
        <f aca="false">IF($A2711="","",원본명단!$D2710)</f>
        <v/>
      </c>
      <c r="E2711" s="11" t="str">
        <f aca="false">IF($A2711="","",IF(원본명단!$H2710="",0,COUNTIF(원본명단!$H$3:$H$6002,원본명단!$H2710)))</f>
        <v/>
      </c>
      <c r="F2711" s="11" t="str">
        <f aca="false">IF($A2711="","",IF(원본명단!$I2710="",0,COUNTIF(원본명단!$I$3:$I$6002,원본명단!$I2710)))</f>
        <v/>
      </c>
      <c r="G2711" s="11" t="str">
        <f aca="false">IF($A2711="","",IF(원본명단!$K2710="",0,COUNTIF(원본명단!$K$3:$K$6002,원본명단!$K2710)))</f>
        <v/>
      </c>
      <c r="H2711" s="11" t="str">
        <f aca="false">IF($A2711="","",IF(MAX($E2711,$F2711,$G2711)&gt;1,"중복","-"))</f>
        <v/>
      </c>
      <c r="I2711" s="11" t="str">
        <f aca="false">IF($A2711="","",IF($H2711="-","-",IF(AND(IF(원본명단!$H2710="",TRUE(),COUNTIF(원본명단!$H$3:$H2710,원본명단!$H2710)=1),IF(원본명단!$I2710="",TRUE(),COUNTIF(원본명단!$I$3:$I2710,원본명단!$I2710)=1),IF(원본명단!$K2710="",TRUE(),COUNTIF(원본명단!$K$3:$K2710,원본명단!$K2710)=1)),"첫 건","중복 건")))</f>
        <v/>
      </c>
      <c r="J2711" s="11" t="str">
        <f aca="false">IF($A2711="","",IF($H2711="-","유지",IF($I2711="첫 건","유지","확인 필요")))</f>
        <v/>
      </c>
    </row>
    <row r="2712" customFormat="false" ht="15" hidden="false" customHeight="true" outlineLevel="0" collapsed="false">
      <c r="A2712" s="11" t="str">
        <f aca="false">IF(원본명단!$A2711="","",2709)</f>
        <v/>
      </c>
      <c r="B2712" s="12" t="str">
        <f aca="false">IF($A2712="","",원본명단!$A2711)</f>
        <v/>
      </c>
      <c r="C2712" s="12" t="str">
        <f aca="false">IF($A2712="","",원본명단!$B2711)</f>
        <v/>
      </c>
      <c r="D2712" s="12" t="str">
        <f aca="false">IF($A2712="","",원본명단!$D2711)</f>
        <v/>
      </c>
      <c r="E2712" s="11" t="str">
        <f aca="false">IF($A2712="","",IF(원본명단!$H2711="",0,COUNTIF(원본명단!$H$3:$H$6002,원본명단!$H2711)))</f>
        <v/>
      </c>
      <c r="F2712" s="11" t="str">
        <f aca="false">IF($A2712="","",IF(원본명단!$I2711="",0,COUNTIF(원본명단!$I$3:$I$6002,원본명단!$I2711)))</f>
        <v/>
      </c>
      <c r="G2712" s="11" t="str">
        <f aca="false">IF($A2712="","",IF(원본명단!$K2711="",0,COUNTIF(원본명단!$K$3:$K$6002,원본명단!$K2711)))</f>
        <v/>
      </c>
      <c r="H2712" s="11" t="str">
        <f aca="false">IF($A2712="","",IF(MAX($E2712,$F2712,$G2712)&gt;1,"중복","-"))</f>
        <v/>
      </c>
      <c r="I2712" s="11" t="str">
        <f aca="false">IF($A2712="","",IF($H2712="-","-",IF(AND(IF(원본명단!$H2711="",TRUE(),COUNTIF(원본명단!$H$3:$H2711,원본명단!$H2711)=1),IF(원본명단!$I2711="",TRUE(),COUNTIF(원본명단!$I$3:$I2711,원본명단!$I2711)=1),IF(원본명단!$K2711="",TRUE(),COUNTIF(원본명단!$K$3:$K2711,원본명단!$K2711)=1)),"첫 건","중복 건")))</f>
        <v/>
      </c>
      <c r="J2712" s="11" t="str">
        <f aca="false">IF($A2712="","",IF($H2712="-","유지",IF($I2712="첫 건","유지","확인 필요")))</f>
        <v/>
      </c>
    </row>
    <row r="2713" customFormat="false" ht="15" hidden="false" customHeight="true" outlineLevel="0" collapsed="false">
      <c r="A2713" s="11" t="str">
        <f aca="false">IF(원본명단!$A2712="","",2710)</f>
        <v/>
      </c>
      <c r="B2713" s="12" t="str">
        <f aca="false">IF($A2713="","",원본명단!$A2712)</f>
        <v/>
      </c>
      <c r="C2713" s="12" t="str">
        <f aca="false">IF($A2713="","",원본명단!$B2712)</f>
        <v/>
      </c>
      <c r="D2713" s="12" t="str">
        <f aca="false">IF($A2713="","",원본명단!$D2712)</f>
        <v/>
      </c>
      <c r="E2713" s="11" t="str">
        <f aca="false">IF($A2713="","",IF(원본명단!$H2712="",0,COUNTIF(원본명단!$H$3:$H$6002,원본명단!$H2712)))</f>
        <v/>
      </c>
      <c r="F2713" s="11" t="str">
        <f aca="false">IF($A2713="","",IF(원본명단!$I2712="",0,COUNTIF(원본명단!$I$3:$I$6002,원본명단!$I2712)))</f>
        <v/>
      </c>
      <c r="G2713" s="11" t="str">
        <f aca="false">IF($A2713="","",IF(원본명단!$K2712="",0,COUNTIF(원본명단!$K$3:$K$6002,원본명단!$K2712)))</f>
        <v/>
      </c>
      <c r="H2713" s="11" t="str">
        <f aca="false">IF($A2713="","",IF(MAX($E2713,$F2713,$G2713)&gt;1,"중복","-"))</f>
        <v/>
      </c>
      <c r="I2713" s="11" t="str">
        <f aca="false">IF($A2713="","",IF($H2713="-","-",IF(AND(IF(원본명단!$H2712="",TRUE(),COUNTIF(원본명단!$H$3:$H2712,원본명단!$H2712)=1),IF(원본명단!$I2712="",TRUE(),COUNTIF(원본명단!$I$3:$I2712,원본명단!$I2712)=1),IF(원본명단!$K2712="",TRUE(),COUNTIF(원본명단!$K$3:$K2712,원본명단!$K2712)=1)),"첫 건","중복 건")))</f>
        <v/>
      </c>
      <c r="J2713" s="11" t="str">
        <f aca="false">IF($A2713="","",IF($H2713="-","유지",IF($I2713="첫 건","유지","확인 필요")))</f>
        <v/>
      </c>
    </row>
    <row r="2714" customFormat="false" ht="15" hidden="false" customHeight="true" outlineLevel="0" collapsed="false">
      <c r="A2714" s="11" t="str">
        <f aca="false">IF(원본명단!$A2713="","",2711)</f>
        <v/>
      </c>
      <c r="B2714" s="12" t="str">
        <f aca="false">IF($A2714="","",원본명단!$A2713)</f>
        <v/>
      </c>
      <c r="C2714" s="12" t="str">
        <f aca="false">IF($A2714="","",원본명단!$B2713)</f>
        <v/>
      </c>
      <c r="D2714" s="12" t="str">
        <f aca="false">IF($A2714="","",원본명단!$D2713)</f>
        <v/>
      </c>
      <c r="E2714" s="11" t="str">
        <f aca="false">IF($A2714="","",IF(원본명단!$H2713="",0,COUNTIF(원본명단!$H$3:$H$6002,원본명단!$H2713)))</f>
        <v/>
      </c>
      <c r="F2714" s="11" t="str">
        <f aca="false">IF($A2714="","",IF(원본명단!$I2713="",0,COUNTIF(원본명단!$I$3:$I$6002,원본명단!$I2713)))</f>
        <v/>
      </c>
      <c r="G2714" s="11" t="str">
        <f aca="false">IF($A2714="","",IF(원본명단!$K2713="",0,COUNTIF(원본명단!$K$3:$K$6002,원본명단!$K2713)))</f>
        <v/>
      </c>
      <c r="H2714" s="11" t="str">
        <f aca="false">IF($A2714="","",IF(MAX($E2714,$F2714,$G2714)&gt;1,"중복","-"))</f>
        <v/>
      </c>
      <c r="I2714" s="11" t="str">
        <f aca="false">IF($A2714="","",IF($H2714="-","-",IF(AND(IF(원본명단!$H2713="",TRUE(),COUNTIF(원본명단!$H$3:$H2713,원본명단!$H2713)=1),IF(원본명단!$I2713="",TRUE(),COUNTIF(원본명단!$I$3:$I2713,원본명단!$I2713)=1),IF(원본명단!$K2713="",TRUE(),COUNTIF(원본명단!$K$3:$K2713,원본명단!$K2713)=1)),"첫 건","중복 건")))</f>
        <v/>
      </c>
      <c r="J2714" s="11" t="str">
        <f aca="false">IF($A2714="","",IF($H2714="-","유지",IF($I2714="첫 건","유지","확인 필요")))</f>
        <v/>
      </c>
    </row>
    <row r="2715" customFormat="false" ht="15" hidden="false" customHeight="true" outlineLevel="0" collapsed="false">
      <c r="A2715" s="11" t="str">
        <f aca="false">IF(원본명단!$A2714="","",2712)</f>
        <v/>
      </c>
      <c r="B2715" s="12" t="str">
        <f aca="false">IF($A2715="","",원본명단!$A2714)</f>
        <v/>
      </c>
      <c r="C2715" s="12" t="str">
        <f aca="false">IF($A2715="","",원본명단!$B2714)</f>
        <v/>
      </c>
      <c r="D2715" s="12" t="str">
        <f aca="false">IF($A2715="","",원본명단!$D2714)</f>
        <v/>
      </c>
      <c r="E2715" s="11" t="str">
        <f aca="false">IF($A2715="","",IF(원본명단!$H2714="",0,COUNTIF(원본명단!$H$3:$H$6002,원본명단!$H2714)))</f>
        <v/>
      </c>
      <c r="F2715" s="11" t="str">
        <f aca="false">IF($A2715="","",IF(원본명단!$I2714="",0,COUNTIF(원본명단!$I$3:$I$6002,원본명단!$I2714)))</f>
        <v/>
      </c>
      <c r="G2715" s="11" t="str">
        <f aca="false">IF($A2715="","",IF(원본명단!$K2714="",0,COUNTIF(원본명단!$K$3:$K$6002,원본명단!$K2714)))</f>
        <v/>
      </c>
      <c r="H2715" s="11" t="str">
        <f aca="false">IF($A2715="","",IF(MAX($E2715,$F2715,$G2715)&gt;1,"중복","-"))</f>
        <v/>
      </c>
      <c r="I2715" s="11" t="str">
        <f aca="false">IF($A2715="","",IF($H2715="-","-",IF(AND(IF(원본명단!$H2714="",TRUE(),COUNTIF(원본명단!$H$3:$H2714,원본명단!$H2714)=1),IF(원본명단!$I2714="",TRUE(),COUNTIF(원본명단!$I$3:$I2714,원본명단!$I2714)=1),IF(원본명단!$K2714="",TRUE(),COUNTIF(원본명단!$K$3:$K2714,원본명단!$K2714)=1)),"첫 건","중복 건")))</f>
        <v/>
      </c>
      <c r="J2715" s="11" t="str">
        <f aca="false">IF($A2715="","",IF($H2715="-","유지",IF($I2715="첫 건","유지","확인 필요")))</f>
        <v/>
      </c>
    </row>
    <row r="2716" customFormat="false" ht="15" hidden="false" customHeight="true" outlineLevel="0" collapsed="false">
      <c r="A2716" s="11" t="str">
        <f aca="false">IF(원본명단!$A2715="","",2713)</f>
        <v/>
      </c>
      <c r="B2716" s="12" t="str">
        <f aca="false">IF($A2716="","",원본명단!$A2715)</f>
        <v/>
      </c>
      <c r="C2716" s="12" t="str">
        <f aca="false">IF($A2716="","",원본명단!$B2715)</f>
        <v/>
      </c>
      <c r="D2716" s="12" t="str">
        <f aca="false">IF($A2716="","",원본명단!$D2715)</f>
        <v/>
      </c>
      <c r="E2716" s="11" t="str">
        <f aca="false">IF($A2716="","",IF(원본명단!$H2715="",0,COUNTIF(원본명단!$H$3:$H$6002,원본명단!$H2715)))</f>
        <v/>
      </c>
      <c r="F2716" s="11" t="str">
        <f aca="false">IF($A2716="","",IF(원본명단!$I2715="",0,COUNTIF(원본명단!$I$3:$I$6002,원본명단!$I2715)))</f>
        <v/>
      </c>
      <c r="G2716" s="11" t="str">
        <f aca="false">IF($A2716="","",IF(원본명단!$K2715="",0,COUNTIF(원본명단!$K$3:$K$6002,원본명단!$K2715)))</f>
        <v/>
      </c>
      <c r="H2716" s="11" t="str">
        <f aca="false">IF($A2716="","",IF(MAX($E2716,$F2716,$G2716)&gt;1,"중복","-"))</f>
        <v/>
      </c>
      <c r="I2716" s="11" t="str">
        <f aca="false">IF($A2716="","",IF($H2716="-","-",IF(AND(IF(원본명단!$H2715="",TRUE(),COUNTIF(원본명단!$H$3:$H2715,원본명단!$H2715)=1),IF(원본명단!$I2715="",TRUE(),COUNTIF(원본명단!$I$3:$I2715,원본명단!$I2715)=1),IF(원본명단!$K2715="",TRUE(),COUNTIF(원본명단!$K$3:$K2715,원본명단!$K2715)=1)),"첫 건","중복 건")))</f>
        <v/>
      </c>
      <c r="J2716" s="11" t="str">
        <f aca="false">IF($A2716="","",IF($H2716="-","유지",IF($I2716="첫 건","유지","확인 필요")))</f>
        <v/>
      </c>
    </row>
    <row r="2717" customFormat="false" ht="15" hidden="false" customHeight="true" outlineLevel="0" collapsed="false">
      <c r="A2717" s="11" t="str">
        <f aca="false">IF(원본명단!$A2716="","",2714)</f>
        <v/>
      </c>
      <c r="B2717" s="12" t="str">
        <f aca="false">IF($A2717="","",원본명단!$A2716)</f>
        <v/>
      </c>
      <c r="C2717" s="12" t="str">
        <f aca="false">IF($A2717="","",원본명단!$B2716)</f>
        <v/>
      </c>
      <c r="D2717" s="12" t="str">
        <f aca="false">IF($A2717="","",원본명단!$D2716)</f>
        <v/>
      </c>
      <c r="E2717" s="11" t="str">
        <f aca="false">IF($A2717="","",IF(원본명단!$H2716="",0,COUNTIF(원본명단!$H$3:$H$6002,원본명단!$H2716)))</f>
        <v/>
      </c>
      <c r="F2717" s="11" t="str">
        <f aca="false">IF($A2717="","",IF(원본명단!$I2716="",0,COUNTIF(원본명단!$I$3:$I$6002,원본명단!$I2716)))</f>
        <v/>
      </c>
      <c r="G2717" s="11" t="str">
        <f aca="false">IF($A2717="","",IF(원본명단!$K2716="",0,COUNTIF(원본명단!$K$3:$K$6002,원본명단!$K2716)))</f>
        <v/>
      </c>
      <c r="H2717" s="11" t="str">
        <f aca="false">IF($A2717="","",IF(MAX($E2717,$F2717,$G2717)&gt;1,"중복","-"))</f>
        <v/>
      </c>
      <c r="I2717" s="11" t="str">
        <f aca="false">IF($A2717="","",IF($H2717="-","-",IF(AND(IF(원본명단!$H2716="",TRUE(),COUNTIF(원본명단!$H$3:$H2716,원본명단!$H2716)=1),IF(원본명단!$I2716="",TRUE(),COUNTIF(원본명단!$I$3:$I2716,원본명단!$I2716)=1),IF(원본명단!$K2716="",TRUE(),COUNTIF(원본명단!$K$3:$K2716,원본명단!$K2716)=1)),"첫 건","중복 건")))</f>
        <v/>
      </c>
      <c r="J2717" s="11" t="str">
        <f aca="false">IF($A2717="","",IF($H2717="-","유지",IF($I2717="첫 건","유지","확인 필요")))</f>
        <v/>
      </c>
    </row>
    <row r="2718" customFormat="false" ht="15" hidden="false" customHeight="true" outlineLevel="0" collapsed="false">
      <c r="A2718" s="11" t="str">
        <f aca="false">IF(원본명단!$A2717="","",2715)</f>
        <v/>
      </c>
      <c r="B2718" s="12" t="str">
        <f aca="false">IF($A2718="","",원본명단!$A2717)</f>
        <v/>
      </c>
      <c r="C2718" s="12" t="str">
        <f aca="false">IF($A2718="","",원본명단!$B2717)</f>
        <v/>
      </c>
      <c r="D2718" s="12" t="str">
        <f aca="false">IF($A2718="","",원본명단!$D2717)</f>
        <v/>
      </c>
      <c r="E2718" s="11" t="str">
        <f aca="false">IF($A2718="","",IF(원본명단!$H2717="",0,COUNTIF(원본명단!$H$3:$H$6002,원본명단!$H2717)))</f>
        <v/>
      </c>
      <c r="F2718" s="11" t="str">
        <f aca="false">IF($A2718="","",IF(원본명단!$I2717="",0,COUNTIF(원본명단!$I$3:$I$6002,원본명단!$I2717)))</f>
        <v/>
      </c>
      <c r="G2718" s="11" t="str">
        <f aca="false">IF($A2718="","",IF(원본명단!$K2717="",0,COUNTIF(원본명단!$K$3:$K$6002,원본명단!$K2717)))</f>
        <v/>
      </c>
      <c r="H2718" s="11" t="str">
        <f aca="false">IF($A2718="","",IF(MAX($E2718,$F2718,$G2718)&gt;1,"중복","-"))</f>
        <v/>
      </c>
      <c r="I2718" s="11" t="str">
        <f aca="false">IF($A2718="","",IF($H2718="-","-",IF(AND(IF(원본명단!$H2717="",TRUE(),COUNTIF(원본명단!$H$3:$H2717,원본명단!$H2717)=1),IF(원본명단!$I2717="",TRUE(),COUNTIF(원본명단!$I$3:$I2717,원본명단!$I2717)=1),IF(원본명단!$K2717="",TRUE(),COUNTIF(원본명단!$K$3:$K2717,원본명단!$K2717)=1)),"첫 건","중복 건")))</f>
        <v/>
      </c>
      <c r="J2718" s="11" t="str">
        <f aca="false">IF($A2718="","",IF($H2718="-","유지",IF($I2718="첫 건","유지","확인 필요")))</f>
        <v/>
      </c>
    </row>
    <row r="2719" customFormat="false" ht="15" hidden="false" customHeight="true" outlineLevel="0" collapsed="false">
      <c r="A2719" s="11" t="str">
        <f aca="false">IF(원본명단!$A2718="","",2716)</f>
        <v/>
      </c>
      <c r="B2719" s="12" t="str">
        <f aca="false">IF($A2719="","",원본명단!$A2718)</f>
        <v/>
      </c>
      <c r="C2719" s="12" t="str">
        <f aca="false">IF($A2719="","",원본명단!$B2718)</f>
        <v/>
      </c>
      <c r="D2719" s="12" t="str">
        <f aca="false">IF($A2719="","",원본명단!$D2718)</f>
        <v/>
      </c>
      <c r="E2719" s="11" t="str">
        <f aca="false">IF($A2719="","",IF(원본명단!$H2718="",0,COUNTIF(원본명단!$H$3:$H$6002,원본명단!$H2718)))</f>
        <v/>
      </c>
      <c r="F2719" s="11" t="str">
        <f aca="false">IF($A2719="","",IF(원본명단!$I2718="",0,COUNTIF(원본명단!$I$3:$I$6002,원본명단!$I2718)))</f>
        <v/>
      </c>
      <c r="G2719" s="11" t="str">
        <f aca="false">IF($A2719="","",IF(원본명단!$K2718="",0,COUNTIF(원본명단!$K$3:$K$6002,원본명단!$K2718)))</f>
        <v/>
      </c>
      <c r="H2719" s="11" t="str">
        <f aca="false">IF($A2719="","",IF(MAX($E2719,$F2719,$G2719)&gt;1,"중복","-"))</f>
        <v/>
      </c>
      <c r="I2719" s="11" t="str">
        <f aca="false">IF($A2719="","",IF($H2719="-","-",IF(AND(IF(원본명단!$H2718="",TRUE(),COUNTIF(원본명단!$H$3:$H2718,원본명단!$H2718)=1),IF(원본명단!$I2718="",TRUE(),COUNTIF(원본명단!$I$3:$I2718,원본명단!$I2718)=1),IF(원본명단!$K2718="",TRUE(),COUNTIF(원본명단!$K$3:$K2718,원본명단!$K2718)=1)),"첫 건","중복 건")))</f>
        <v/>
      </c>
      <c r="J2719" s="11" t="str">
        <f aca="false">IF($A2719="","",IF($H2719="-","유지",IF($I2719="첫 건","유지","확인 필요")))</f>
        <v/>
      </c>
    </row>
    <row r="2720" customFormat="false" ht="15" hidden="false" customHeight="true" outlineLevel="0" collapsed="false">
      <c r="A2720" s="11" t="str">
        <f aca="false">IF(원본명단!$A2719="","",2717)</f>
        <v/>
      </c>
      <c r="B2720" s="12" t="str">
        <f aca="false">IF($A2720="","",원본명단!$A2719)</f>
        <v/>
      </c>
      <c r="C2720" s="12" t="str">
        <f aca="false">IF($A2720="","",원본명단!$B2719)</f>
        <v/>
      </c>
      <c r="D2720" s="12" t="str">
        <f aca="false">IF($A2720="","",원본명단!$D2719)</f>
        <v/>
      </c>
      <c r="E2720" s="11" t="str">
        <f aca="false">IF($A2720="","",IF(원본명단!$H2719="",0,COUNTIF(원본명단!$H$3:$H$6002,원본명단!$H2719)))</f>
        <v/>
      </c>
      <c r="F2720" s="11" t="str">
        <f aca="false">IF($A2720="","",IF(원본명단!$I2719="",0,COUNTIF(원본명단!$I$3:$I$6002,원본명단!$I2719)))</f>
        <v/>
      </c>
      <c r="G2720" s="11" t="str">
        <f aca="false">IF($A2720="","",IF(원본명단!$K2719="",0,COUNTIF(원본명단!$K$3:$K$6002,원본명단!$K2719)))</f>
        <v/>
      </c>
      <c r="H2720" s="11" t="str">
        <f aca="false">IF($A2720="","",IF(MAX($E2720,$F2720,$G2720)&gt;1,"중복","-"))</f>
        <v/>
      </c>
      <c r="I2720" s="11" t="str">
        <f aca="false">IF($A2720="","",IF($H2720="-","-",IF(AND(IF(원본명단!$H2719="",TRUE(),COUNTIF(원본명단!$H$3:$H2719,원본명단!$H2719)=1),IF(원본명단!$I2719="",TRUE(),COUNTIF(원본명단!$I$3:$I2719,원본명단!$I2719)=1),IF(원본명단!$K2719="",TRUE(),COUNTIF(원본명단!$K$3:$K2719,원본명단!$K2719)=1)),"첫 건","중복 건")))</f>
        <v/>
      </c>
      <c r="J2720" s="11" t="str">
        <f aca="false">IF($A2720="","",IF($H2720="-","유지",IF($I2720="첫 건","유지","확인 필요")))</f>
        <v/>
      </c>
    </row>
    <row r="2721" customFormat="false" ht="15" hidden="false" customHeight="true" outlineLevel="0" collapsed="false">
      <c r="A2721" s="11" t="str">
        <f aca="false">IF(원본명단!$A2720="","",2718)</f>
        <v/>
      </c>
      <c r="B2721" s="12" t="str">
        <f aca="false">IF($A2721="","",원본명단!$A2720)</f>
        <v/>
      </c>
      <c r="C2721" s="12" t="str">
        <f aca="false">IF($A2721="","",원본명단!$B2720)</f>
        <v/>
      </c>
      <c r="D2721" s="12" t="str">
        <f aca="false">IF($A2721="","",원본명단!$D2720)</f>
        <v/>
      </c>
      <c r="E2721" s="11" t="str">
        <f aca="false">IF($A2721="","",IF(원본명단!$H2720="",0,COUNTIF(원본명단!$H$3:$H$6002,원본명단!$H2720)))</f>
        <v/>
      </c>
      <c r="F2721" s="11" t="str">
        <f aca="false">IF($A2721="","",IF(원본명단!$I2720="",0,COUNTIF(원본명단!$I$3:$I$6002,원본명단!$I2720)))</f>
        <v/>
      </c>
      <c r="G2721" s="11" t="str">
        <f aca="false">IF($A2721="","",IF(원본명단!$K2720="",0,COUNTIF(원본명단!$K$3:$K$6002,원본명단!$K2720)))</f>
        <v/>
      </c>
      <c r="H2721" s="11" t="str">
        <f aca="false">IF($A2721="","",IF(MAX($E2721,$F2721,$G2721)&gt;1,"중복","-"))</f>
        <v/>
      </c>
      <c r="I2721" s="11" t="str">
        <f aca="false">IF($A2721="","",IF($H2721="-","-",IF(AND(IF(원본명단!$H2720="",TRUE(),COUNTIF(원본명단!$H$3:$H2720,원본명단!$H2720)=1),IF(원본명단!$I2720="",TRUE(),COUNTIF(원본명단!$I$3:$I2720,원본명단!$I2720)=1),IF(원본명단!$K2720="",TRUE(),COUNTIF(원본명단!$K$3:$K2720,원본명단!$K2720)=1)),"첫 건","중복 건")))</f>
        <v/>
      </c>
      <c r="J2721" s="11" t="str">
        <f aca="false">IF($A2721="","",IF($H2721="-","유지",IF($I2721="첫 건","유지","확인 필요")))</f>
        <v/>
      </c>
    </row>
    <row r="2722" customFormat="false" ht="15" hidden="false" customHeight="true" outlineLevel="0" collapsed="false">
      <c r="A2722" s="11" t="str">
        <f aca="false">IF(원본명단!$A2721="","",2719)</f>
        <v/>
      </c>
      <c r="B2722" s="12" t="str">
        <f aca="false">IF($A2722="","",원본명단!$A2721)</f>
        <v/>
      </c>
      <c r="C2722" s="12" t="str">
        <f aca="false">IF($A2722="","",원본명단!$B2721)</f>
        <v/>
      </c>
      <c r="D2722" s="12" t="str">
        <f aca="false">IF($A2722="","",원본명단!$D2721)</f>
        <v/>
      </c>
      <c r="E2722" s="11" t="str">
        <f aca="false">IF($A2722="","",IF(원본명단!$H2721="",0,COUNTIF(원본명단!$H$3:$H$6002,원본명단!$H2721)))</f>
        <v/>
      </c>
      <c r="F2722" s="11" t="str">
        <f aca="false">IF($A2722="","",IF(원본명단!$I2721="",0,COUNTIF(원본명단!$I$3:$I$6002,원본명단!$I2721)))</f>
        <v/>
      </c>
      <c r="G2722" s="11" t="str">
        <f aca="false">IF($A2722="","",IF(원본명단!$K2721="",0,COUNTIF(원본명단!$K$3:$K$6002,원본명단!$K2721)))</f>
        <v/>
      </c>
      <c r="H2722" s="11" t="str">
        <f aca="false">IF($A2722="","",IF(MAX($E2722,$F2722,$G2722)&gt;1,"중복","-"))</f>
        <v/>
      </c>
      <c r="I2722" s="11" t="str">
        <f aca="false">IF($A2722="","",IF($H2722="-","-",IF(AND(IF(원본명단!$H2721="",TRUE(),COUNTIF(원본명단!$H$3:$H2721,원본명단!$H2721)=1),IF(원본명단!$I2721="",TRUE(),COUNTIF(원본명단!$I$3:$I2721,원본명단!$I2721)=1),IF(원본명단!$K2721="",TRUE(),COUNTIF(원본명단!$K$3:$K2721,원본명단!$K2721)=1)),"첫 건","중복 건")))</f>
        <v/>
      </c>
      <c r="J2722" s="11" t="str">
        <f aca="false">IF($A2722="","",IF($H2722="-","유지",IF($I2722="첫 건","유지","확인 필요")))</f>
        <v/>
      </c>
    </row>
    <row r="2723" customFormat="false" ht="15" hidden="false" customHeight="true" outlineLevel="0" collapsed="false">
      <c r="A2723" s="11" t="str">
        <f aca="false">IF(원본명단!$A2722="","",2720)</f>
        <v/>
      </c>
      <c r="B2723" s="12" t="str">
        <f aca="false">IF($A2723="","",원본명단!$A2722)</f>
        <v/>
      </c>
      <c r="C2723" s="12" t="str">
        <f aca="false">IF($A2723="","",원본명단!$B2722)</f>
        <v/>
      </c>
      <c r="D2723" s="12" t="str">
        <f aca="false">IF($A2723="","",원본명단!$D2722)</f>
        <v/>
      </c>
      <c r="E2723" s="11" t="str">
        <f aca="false">IF($A2723="","",IF(원본명단!$H2722="",0,COUNTIF(원본명단!$H$3:$H$6002,원본명단!$H2722)))</f>
        <v/>
      </c>
      <c r="F2723" s="11" t="str">
        <f aca="false">IF($A2723="","",IF(원본명단!$I2722="",0,COUNTIF(원본명단!$I$3:$I$6002,원본명단!$I2722)))</f>
        <v/>
      </c>
      <c r="G2723" s="11" t="str">
        <f aca="false">IF($A2723="","",IF(원본명단!$K2722="",0,COUNTIF(원본명단!$K$3:$K$6002,원본명단!$K2722)))</f>
        <v/>
      </c>
      <c r="H2723" s="11" t="str">
        <f aca="false">IF($A2723="","",IF(MAX($E2723,$F2723,$G2723)&gt;1,"중복","-"))</f>
        <v/>
      </c>
      <c r="I2723" s="11" t="str">
        <f aca="false">IF($A2723="","",IF($H2723="-","-",IF(AND(IF(원본명단!$H2722="",TRUE(),COUNTIF(원본명단!$H$3:$H2722,원본명단!$H2722)=1),IF(원본명단!$I2722="",TRUE(),COUNTIF(원본명단!$I$3:$I2722,원본명단!$I2722)=1),IF(원본명단!$K2722="",TRUE(),COUNTIF(원본명단!$K$3:$K2722,원본명단!$K2722)=1)),"첫 건","중복 건")))</f>
        <v/>
      </c>
      <c r="J2723" s="11" t="str">
        <f aca="false">IF($A2723="","",IF($H2723="-","유지",IF($I2723="첫 건","유지","확인 필요")))</f>
        <v/>
      </c>
    </row>
    <row r="2724" customFormat="false" ht="15" hidden="false" customHeight="true" outlineLevel="0" collapsed="false">
      <c r="A2724" s="11" t="str">
        <f aca="false">IF(원본명단!$A2723="","",2721)</f>
        <v/>
      </c>
      <c r="B2724" s="12" t="str">
        <f aca="false">IF($A2724="","",원본명단!$A2723)</f>
        <v/>
      </c>
      <c r="C2724" s="12" t="str">
        <f aca="false">IF($A2724="","",원본명단!$B2723)</f>
        <v/>
      </c>
      <c r="D2724" s="12" t="str">
        <f aca="false">IF($A2724="","",원본명단!$D2723)</f>
        <v/>
      </c>
      <c r="E2724" s="11" t="str">
        <f aca="false">IF($A2724="","",IF(원본명단!$H2723="",0,COUNTIF(원본명단!$H$3:$H$6002,원본명단!$H2723)))</f>
        <v/>
      </c>
      <c r="F2724" s="11" t="str">
        <f aca="false">IF($A2724="","",IF(원본명단!$I2723="",0,COUNTIF(원본명단!$I$3:$I$6002,원본명단!$I2723)))</f>
        <v/>
      </c>
      <c r="G2724" s="11" t="str">
        <f aca="false">IF($A2724="","",IF(원본명단!$K2723="",0,COUNTIF(원본명단!$K$3:$K$6002,원본명단!$K2723)))</f>
        <v/>
      </c>
      <c r="H2724" s="11" t="str">
        <f aca="false">IF($A2724="","",IF(MAX($E2724,$F2724,$G2724)&gt;1,"중복","-"))</f>
        <v/>
      </c>
      <c r="I2724" s="11" t="str">
        <f aca="false">IF($A2724="","",IF($H2724="-","-",IF(AND(IF(원본명단!$H2723="",TRUE(),COUNTIF(원본명단!$H$3:$H2723,원본명단!$H2723)=1),IF(원본명단!$I2723="",TRUE(),COUNTIF(원본명단!$I$3:$I2723,원본명단!$I2723)=1),IF(원본명단!$K2723="",TRUE(),COUNTIF(원본명단!$K$3:$K2723,원본명단!$K2723)=1)),"첫 건","중복 건")))</f>
        <v/>
      </c>
      <c r="J2724" s="11" t="str">
        <f aca="false">IF($A2724="","",IF($H2724="-","유지",IF($I2724="첫 건","유지","확인 필요")))</f>
        <v/>
      </c>
    </row>
    <row r="2725" customFormat="false" ht="15" hidden="false" customHeight="true" outlineLevel="0" collapsed="false">
      <c r="A2725" s="11" t="str">
        <f aca="false">IF(원본명단!$A2724="","",2722)</f>
        <v/>
      </c>
      <c r="B2725" s="12" t="str">
        <f aca="false">IF($A2725="","",원본명단!$A2724)</f>
        <v/>
      </c>
      <c r="C2725" s="12" t="str">
        <f aca="false">IF($A2725="","",원본명단!$B2724)</f>
        <v/>
      </c>
      <c r="D2725" s="12" t="str">
        <f aca="false">IF($A2725="","",원본명단!$D2724)</f>
        <v/>
      </c>
      <c r="E2725" s="11" t="str">
        <f aca="false">IF($A2725="","",IF(원본명단!$H2724="",0,COUNTIF(원본명단!$H$3:$H$6002,원본명단!$H2724)))</f>
        <v/>
      </c>
      <c r="F2725" s="11" t="str">
        <f aca="false">IF($A2725="","",IF(원본명단!$I2724="",0,COUNTIF(원본명단!$I$3:$I$6002,원본명단!$I2724)))</f>
        <v/>
      </c>
      <c r="G2725" s="11" t="str">
        <f aca="false">IF($A2725="","",IF(원본명단!$K2724="",0,COUNTIF(원본명단!$K$3:$K$6002,원본명단!$K2724)))</f>
        <v/>
      </c>
      <c r="H2725" s="11" t="str">
        <f aca="false">IF($A2725="","",IF(MAX($E2725,$F2725,$G2725)&gt;1,"중복","-"))</f>
        <v/>
      </c>
      <c r="I2725" s="11" t="str">
        <f aca="false">IF($A2725="","",IF($H2725="-","-",IF(AND(IF(원본명단!$H2724="",TRUE(),COUNTIF(원본명단!$H$3:$H2724,원본명단!$H2724)=1),IF(원본명단!$I2724="",TRUE(),COUNTIF(원본명단!$I$3:$I2724,원본명단!$I2724)=1),IF(원본명단!$K2724="",TRUE(),COUNTIF(원본명단!$K$3:$K2724,원본명단!$K2724)=1)),"첫 건","중복 건")))</f>
        <v/>
      </c>
      <c r="J2725" s="11" t="str">
        <f aca="false">IF($A2725="","",IF($H2725="-","유지",IF($I2725="첫 건","유지","확인 필요")))</f>
        <v/>
      </c>
    </row>
    <row r="2726" customFormat="false" ht="15" hidden="false" customHeight="true" outlineLevel="0" collapsed="false">
      <c r="A2726" s="11" t="str">
        <f aca="false">IF(원본명단!$A2725="","",2723)</f>
        <v/>
      </c>
      <c r="B2726" s="12" t="str">
        <f aca="false">IF($A2726="","",원본명단!$A2725)</f>
        <v/>
      </c>
      <c r="C2726" s="12" t="str">
        <f aca="false">IF($A2726="","",원본명단!$B2725)</f>
        <v/>
      </c>
      <c r="D2726" s="12" t="str">
        <f aca="false">IF($A2726="","",원본명단!$D2725)</f>
        <v/>
      </c>
      <c r="E2726" s="11" t="str">
        <f aca="false">IF($A2726="","",IF(원본명단!$H2725="",0,COUNTIF(원본명단!$H$3:$H$6002,원본명단!$H2725)))</f>
        <v/>
      </c>
      <c r="F2726" s="11" t="str">
        <f aca="false">IF($A2726="","",IF(원본명단!$I2725="",0,COUNTIF(원본명단!$I$3:$I$6002,원본명단!$I2725)))</f>
        <v/>
      </c>
      <c r="G2726" s="11" t="str">
        <f aca="false">IF($A2726="","",IF(원본명단!$K2725="",0,COUNTIF(원본명단!$K$3:$K$6002,원본명단!$K2725)))</f>
        <v/>
      </c>
      <c r="H2726" s="11" t="str">
        <f aca="false">IF($A2726="","",IF(MAX($E2726,$F2726,$G2726)&gt;1,"중복","-"))</f>
        <v/>
      </c>
      <c r="I2726" s="11" t="str">
        <f aca="false">IF($A2726="","",IF($H2726="-","-",IF(AND(IF(원본명단!$H2725="",TRUE(),COUNTIF(원본명단!$H$3:$H2725,원본명단!$H2725)=1),IF(원본명단!$I2725="",TRUE(),COUNTIF(원본명단!$I$3:$I2725,원본명단!$I2725)=1),IF(원본명단!$K2725="",TRUE(),COUNTIF(원본명단!$K$3:$K2725,원본명단!$K2725)=1)),"첫 건","중복 건")))</f>
        <v/>
      </c>
      <c r="J2726" s="11" t="str">
        <f aca="false">IF($A2726="","",IF($H2726="-","유지",IF($I2726="첫 건","유지","확인 필요")))</f>
        <v/>
      </c>
    </row>
    <row r="2727" customFormat="false" ht="15" hidden="false" customHeight="true" outlineLevel="0" collapsed="false">
      <c r="A2727" s="11" t="str">
        <f aca="false">IF(원본명단!$A2726="","",2724)</f>
        <v/>
      </c>
      <c r="B2727" s="12" t="str">
        <f aca="false">IF($A2727="","",원본명단!$A2726)</f>
        <v/>
      </c>
      <c r="C2727" s="12" t="str">
        <f aca="false">IF($A2727="","",원본명단!$B2726)</f>
        <v/>
      </c>
      <c r="D2727" s="12" t="str">
        <f aca="false">IF($A2727="","",원본명단!$D2726)</f>
        <v/>
      </c>
      <c r="E2727" s="11" t="str">
        <f aca="false">IF($A2727="","",IF(원본명단!$H2726="",0,COUNTIF(원본명단!$H$3:$H$6002,원본명단!$H2726)))</f>
        <v/>
      </c>
      <c r="F2727" s="11" t="str">
        <f aca="false">IF($A2727="","",IF(원본명단!$I2726="",0,COUNTIF(원본명단!$I$3:$I$6002,원본명단!$I2726)))</f>
        <v/>
      </c>
      <c r="G2727" s="11" t="str">
        <f aca="false">IF($A2727="","",IF(원본명단!$K2726="",0,COUNTIF(원본명단!$K$3:$K$6002,원본명단!$K2726)))</f>
        <v/>
      </c>
      <c r="H2727" s="11" t="str">
        <f aca="false">IF($A2727="","",IF(MAX($E2727,$F2727,$G2727)&gt;1,"중복","-"))</f>
        <v/>
      </c>
      <c r="I2727" s="11" t="str">
        <f aca="false">IF($A2727="","",IF($H2727="-","-",IF(AND(IF(원본명단!$H2726="",TRUE(),COUNTIF(원본명단!$H$3:$H2726,원본명단!$H2726)=1),IF(원본명단!$I2726="",TRUE(),COUNTIF(원본명단!$I$3:$I2726,원본명단!$I2726)=1),IF(원본명단!$K2726="",TRUE(),COUNTIF(원본명단!$K$3:$K2726,원본명단!$K2726)=1)),"첫 건","중복 건")))</f>
        <v/>
      </c>
      <c r="J2727" s="11" t="str">
        <f aca="false">IF($A2727="","",IF($H2727="-","유지",IF($I2727="첫 건","유지","확인 필요")))</f>
        <v/>
      </c>
    </row>
    <row r="2728" customFormat="false" ht="15" hidden="false" customHeight="true" outlineLevel="0" collapsed="false">
      <c r="A2728" s="11" t="str">
        <f aca="false">IF(원본명단!$A2727="","",2725)</f>
        <v/>
      </c>
      <c r="B2728" s="12" t="str">
        <f aca="false">IF($A2728="","",원본명단!$A2727)</f>
        <v/>
      </c>
      <c r="C2728" s="12" t="str">
        <f aca="false">IF($A2728="","",원본명단!$B2727)</f>
        <v/>
      </c>
      <c r="D2728" s="12" t="str">
        <f aca="false">IF($A2728="","",원본명단!$D2727)</f>
        <v/>
      </c>
      <c r="E2728" s="11" t="str">
        <f aca="false">IF($A2728="","",IF(원본명단!$H2727="",0,COUNTIF(원본명단!$H$3:$H$6002,원본명단!$H2727)))</f>
        <v/>
      </c>
      <c r="F2728" s="11" t="str">
        <f aca="false">IF($A2728="","",IF(원본명단!$I2727="",0,COUNTIF(원본명단!$I$3:$I$6002,원본명단!$I2727)))</f>
        <v/>
      </c>
      <c r="G2728" s="11" t="str">
        <f aca="false">IF($A2728="","",IF(원본명단!$K2727="",0,COUNTIF(원본명단!$K$3:$K$6002,원본명단!$K2727)))</f>
        <v/>
      </c>
      <c r="H2728" s="11" t="str">
        <f aca="false">IF($A2728="","",IF(MAX($E2728,$F2728,$G2728)&gt;1,"중복","-"))</f>
        <v/>
      </c>
      <c r="I2728" s="11" t="str">
        <f aca="false">IF($A2728="","",IF($H2728="-","-",IF(AND(IF(원본명단!$H2727="",TRUE(),COUNTIF(원본명단!$H$3:$H2727,원본명단!$H2727)=1),IF(원본명단!$I2727="",TRUE(),COUNTIF(원본명단!$I$3:$I2727,원본명단!$I2727)=1),IF(원본명단!$K2727="",TRUE(),COUNTIF(원본명단!$K$3:$K2727,원본명단!$K2727)=1)),"첫 건","중복 건")))</f>
        <v/>
      </c>
      <c r="J2728" s="11" t="str">
        <f aca="false">IF($A2728="","",IF($H2728="-","유지",IF($I2728="첫 건","유지","확인 필요")))</f>
        <v/>
      </c>
    </row>
    <row r="2729" customFormat="false" ht="15" hidden="false" customHeight="true" outlineLevel="0" collapsed="false">
      <c r="A2729" s="11" t="str">
        <f aca="false">IF(원본명단!$A2728="","",2726)</f>
        <v/>
      </c>
      <c r="B2729" s="12" t="str">
        <f aca="false">IF($A2729="","",원본명단!$A2728)</f>
        <v/>
      </c>
      <c r="C2729" s="12" t="str">
        <f aca="false">IF($A2729="","",원본명단!$B2728)</f>
        <v/>
      </c>
      <c r="D2729" s="12" t="str">
        <f aca="false">IF($A2729="","",원본명단!$D2728)</f>
        <v/>
      </c>
      <c r="E2729" s="11" t="str">
        <f aca="false">IF($A2729="","",IF(원본명단!$H2728="",0,COUNTIF(원본명단!$H$3:$H$6002,원본명단!$H2728)))</f>
        <v/>
      </c>
      <c r="F2729" s="11" t="str">
        <f aca="false">IF($A2729="","",IF(원본명단!$I2728="",0,COUNTIF(원본명단!$I$3:$I$6002,원본명단!$I2728)))</f>
        <v/>
      </c>
      <c r="G2729" s="11" t="str">
        <f aca="false">IF($A2729="","",IF(원본명단!$K2728="",0,COUNTIF(원본명단!$K$3:$K$6002,원본명단!$K2728)))</f>
        <v/>
      </c>
      <c r="H2729" s="11" t="str">
        <f aca="false">IF($A2729="","",IF(MAX($E2729,$F2729,$G2729)&gt;1,"중복","-"))</f>
        <v/>
      </c>
      <c r="I2729" s="11" t="str">
        <f aca="false">IF($A2729="","",IF($H2729="-","-",IF(AND(IF(원본명단!$H2728="",TRUE(),COUNTIF(원본명단!$H$3:$H2728,원본명단!$H2728)=1),IF(원본명단!$I2728="",TRUE(),COUNTIF(원본명단!$I$3:$I2728,원본명단!$I2728)=1),IF(원본명단!$K2728="",TRUE(),COUNTIF(원본명단!$K$3:$K2728,원본명단!$K2728)=1)),"첫 건","중복 건")))</f>
        <v/>
      </c>
      <c r="J2729" s="11" t="str">
        <f aca="false">IF($A2729="","",IF($H2729="-","유지",IF($I2729="첫 건","유지","확인 필요")))</f>
        <v/>
      </c>
    </row>
    <row r="2730" customFormat="false" ht="15" hidden="false" customHeight="true" outlineLevel="0" collapsed="false">
      <c r="A2730" s="11" t="str">
        <f aca="false">IF(원본명단!$A2729="","",2727)</f>
        <v/>
      </c>
      <c r="B2730" s="12" t="str">
        <f aca="false">IF($A2730="","",원본명단!$A2729)</f>
        <v/>
      </c>
      <c r="C2730" s="12" t="str">
        <f aca="false">IF($A2730="","",원본명단!$B2729)</f>
        <v/>
      </c>
      <c r="D2730" s="12" t="str">
        <f aca="false">IF($A2730="","",원본명단!$D2729)</f>
        <v/>
      </c>
      <c r="E2730" s="11" t="str">
        <f aca="false">IF($A2730="","",IF(원본명단!$H2729="",0,COUNTIF(원본명단!$H$3:$H$6002,원본명단!$H2729)))</f>
        <v/>
      </c>
      <c r="F2730" s="11" t="str">
        <f aca="false">IF($A2730="","",IF(원본명단!$I2729="",0,COUNTIF(원본명단!$I$3:$I$6002,원본명단!$I2729)))</f>
        <v/>
      </c>
      <c r="G2730" s="11" t="str">
        <f aca="false">IF($A2730="","",IF(원본명단!$K2729="",0,COUNTIF(원본명단!$K$3:$K$6002,원본명단!$K2729)))</f>
        <v/>
      </c>
      <c r="H2730" s="11" t="str">
        <f aca="false">IF($A2730="","",IF(MAX($E2730,$F2730,$G2730)&gt;1,"중복","-"))</f>
        <v/>
      </c>
      <c r="I2730" s="11" t="str">
        <f aca="false">IF($A2730="","",IF($H2730="-","-",IF(AND(IF(원본명단!$H2729="",TRUE(),COUNTIF(원본명단!$H$3:$H2729,원본명단!$H2729)=1),IF(원본명단!$I2729="",TRUE(),COUNTIF(원본명단!$I$3:$I2729,원본명단!$I2729)=1),IF(원본명단!$K2729="",TRUE(),COUNTIF(원본명단!$K$3:$K2729,원본명단!$K2729)=1)),"첫 건","중복 건")))</f>
        <v/>
      </c>
      <c r="J2730" s="11" t="str">
        <f aca="false">IF($A2730="","",IF($H2730="-","유지",IF($I2730="첫 건","유지","확인 필요")))</f>
        <v/>
      </c>
    </row>
    <row r="2731" customFormat="false" ht="15" hidden="false" customHeight="true" outlineLevel="0" collapsed="false">
      <c r="A2731" s="11" t="str">
        <f aca="false">IF(원본명단!$A2730="","",2728)</f>
        <v/>
      </c>
      <c r="B2731" s="12" t="str">
        <f aca="false">IF($A2731="","",원본명단!$A2730)</f>
        <v/>
      </c>
      <c r="C2731" s="12" t="str">
        <f aca="false">IF($A2731="","",원본명단!$B2730)</f>
        <v/>
      </c>
      <c r="D2731" s="12" t="str">
        <f aca="false">IF($A2731="","",원본명단!$D2730)</f>
        <v/>
      </c>
      <c r="E2731" s="11" t="str">
        <f aca="false">IF($A2731="","",IF(원본명단!$H2730="",0,COUNTIF(원본명단!$H$3:$H$6002,원본명단!$H2730)))</f>
        <v/>
      </c>
      <c r="F2731" s="11" t="str">
        <f aca="false">IF($A2731="","",IF(원본명단!$I2730="",0,COUNTIF(원본명단!$I$3:$I$6002,원본명단!$I2730)))</f>
        <v/>
      </c>
      <c r="G2731" s="11" t="str">
        <f aca="false">IF($A2731="","",IF(원본명단!$K2730="",0,COUNTIF(원본명단!$K$3:$K$6002,원본명단!$K2730)))</f>
        <v/>
      </c>
      <c r="H2731" s="11" t="str">
        <f aca="false">IF($A2731="","",IF(MAX($E2731,$F2731,$G2731)&gt;1,"중복","-"))</f>
        <v/>
      </c>
      <c r="I2731" s="11" t="str">
        <f aca="false">IF($A2731="","",IF($H2731="-","-",IF(AND(IF(원본명단!$H2730="",TRUE(),COUNTIF(원본명단!$H$3:$H2730,원본명단!$H2730)=1),IF(원본명단!$I2730="",TRUE(),COUNTIF(원본명단!$I$3:$I2730,원본명단!$I2730)=1),IF(원본명단!$K2730="",TRUE(),COUNTIF(원본명단!$K$3:$K2730,원본명단!$K2730)=1)),"첫 건","중복 건")))</f>
        <v/>
      </c>
      <c r="J2731" s="11" t="str">
        <f aca="false">IF($A2731="","",IF($H2731="-","유지",IF($I2731="첫 건","유지","확인 필요")))</f>
        <v/>
      </c>
    </row>
    <row r="2732" customFormat="false" ht="15" hidden="false" customHeight="true" outlineLevel="0" collapsed="false">
      <c r="A2732" s="11" t="str">
        <f aca="false">IF(원본명단!$A2731="","",2729)</f>
        <v/>
      </c>
      <c r="B2732" s="12" t="str">
        <f aca="false">IF($A2732="","",원본명단!$A2731)</f>
        <v/>
      </c>
      <c r="C2732" s="12" t="str">
        <f aca="false">IF($A2732="","",원본명단!$B2731)</f>
        <v/>
      </c>
      <c r="D2732" s="12" t="str">
        <f aca="false">IF($A2732="","",원본명단!$D2731)</f>
        <v/>
      </c>
      <c r="E2732" s="11" t="str">
        <f aca="false">IF($A2732="","",IF(원본명단!$H2731="",0,COUNTIF(원본명단!$H$3:$H$6002,원본명단!$H2731)))</f>
        <v/>
      </c>
      <c r="F2732" s="11" t="str">
        <f aca="false">IF($A2732="","",IF(원본명단!$I2731="",0,COUNTIF(원본명단!$I$3:$I$6002,원본명단!$I2731)))</f>
        <v/>
      </c>
      <c r="G2732" s="11" t="str">
        <f aca="false">IF($A2732="","",IF(원본명단!$K2731="",0,COUNTIF(원본명단!$K$3:$K$6002,원본명단!$K2731)))</f>
        <v/>
      </c>
      <c r="H2732" s="11" t="str">
        <f aca="false">IF($A2732="","",IF(MAX($E2732,$F2732,$G2732)&gt;1,"중복","-"))</f>
        <v/>
      </c>
      <c r="I2732" s="11" t="str">
        <f aca="false">IF($A2732="","",IF($H2732="-","-",IF(AND(IF(원본명단!$H2731="",TRUE(),COUNTIF(원본명단!$H$3:$H2731,원본명단!$H2731)=1),IF(원본명단!$I2731="",TRUE(),COUNTIF(원본명단!$I$3:$I2731,원본명단!$I2731)=1),IF(원본명단!$K2731="",TRUE(),COUNTIF(원본명단!$K$3:$K2731,원본명단!$K2731)=1)),"첫 건","중복 건")))</f>
        <v/>
      </c>
      <c r="J2732" s="11" t="str">
        <f aca="false">IF($A2732="","",IF($H2732="-","유지",IF($I2732="첫 건","유지","확인 필요")))</f>
        <v/>
      </c>
    </row>
    <row r="2733" customFormat="false" ht="15" hidden="false" customHeight="true" outlineLevel="0" collapsed="false">
      <c r="A2733" s="11" t="str">
        <f aca="false">IF(원본명단!$A2732="","",2730)</f>
        <v/>
      </c>
      <c r="B2733" s="12" t="str">
        <f aca="false">IF($A2733="","",원본명단!$A2732)</f>
        <v/>
      </c>
      <c r="C2733" s="12" t="str">
        <f aca="false">IF($A2733="","",원본명단!$B2732)</f>
        <v/>
      </c>
      <c r="D2733" s="12" t="str">
        <f aca="false">IF($A2733="","",원본명단!$D2732)</f>
        <v/>
      </c>
      <c r="E2733" s="11" t="str">
        <f aca="false">IF($A2733="","",IF(원본명단!$H2732="",0,COUNTIF(원본명단!$H$3:$H$6002,원본명단!$H2732)))</f>
        <v/>
      </c>
      <c r="F2733" s="11" t="str">
        <f aca="false">IF($A2733="","",IF(원본명단!$I2732="",0,COUNTIF(원본명단!$I$3:$I$6002,원본명단!$I2732)))</f>
        <v/>
      </c>
      <c r="G2733" s="11" t="str">
        <f aca="false">IF($A2733="","",IF(원본명단!$K2732="",0,COUNTIF(원본명단!$K$3:$K$6002,원본명단!$K2732)))</f>
        <v/>
      </c>
      <c r="H2733" s="11" t="str">
        <f aca="false">IF($A2733="","",IF(MAX($E2733,$F2733,$G2733)&gt;1,"중복","-"))</f>
        <v/>
      </c>
      <c r="I2733" s="11" t="str">
        <f aca="false">IF($A2733="","",IF($H2733="-","-",IF(AND(IF(원본명단!$H2732="",TRUE(),COUNTIF(원본명단!$H$3:$H2732,원본명단!$H2732)=1),IF(원본명단!$I2732="",TRUE(),COUNTIF(원본명단!$I$3:$I2732,원본명단!$I2732)=1),IF(원본명단!$K2732="",TRUE(),COUNTIF(원본명단!$K$3:$K2732,원본명단!$K2732)=1)),"첫 건","중복 건")))</f>
        <v/>
      </c>
      <c r="J2733" s="11" t="str">
        <f aca="false">IF($A2733="","",IF($H2733="-","유지",IF($I2733="첫 건","유지","확인 필요")))</f>
        <v/>
      </c>
    </row>
    <row r="2734" customFormat="false" ht="15" hidden="false" customHeight="true" outlineLevel="0" collapsed="false">
      <c r="A2734" s="11" t="str">
        <f aca="false">IF(원본명단!$A2733="","",2731)</f>
        <v/>
      </c>
      <c r="B2734" s="12" t="str">
        <f aca="false">IF($A2734="","",원본명단!$A2733)</f>
        <v/>
      </c>
      <c r="C2734" s="12" t="str">
        <f aca="false">IF($A2734="","",원본명단!$B2733)</f>
        <v/>
      </c>
      <c r="D2734" s="12" t="str">
        <f aca="false">IF($A2734="","",원본명단!$D2733)</f>
        <v/>
      </c>
      <c r="E2734" s="11" t="str">
        <f aca="false">IF($A2734="","",IF(원본명단!$H2733="",0,COUNTIF(원본명단!$H$3:$H$6002,원본명단!$H2733)))</f>
        <v/>
      </c>
      <c r="F2734" s="11" t="str">
        <f aca="false">IF($A2734="","",IF(원본명단!$I2733="",0,COUNTIF(원본명단!$I$3:$I$6002,원본명단!$I2733)))</f>
        <v/>
      </c>
      <c r="G2734" s="11" t="str">
        <f aca="false">IF($A2734="","",IF(원본명단!$K2733="",0,COUNTIF(원본명단!$K$3:$K$6002,원본명단!$K2733)))</f>
        <v/>
      </c>
      <c r="H2734" s="11" t="str">
        <f aca="false">IF($A2734="","",IF(MAX($E2734,$F2734,$G2734)&gt;1,"중복","-"))</f>
        <v/>
      </c>
      <c r="I2734" s="11" t="str">
        <f aca="false">IF($A2734="","",IF($H2734="-","-",IF(AND(IF(원본명단!$H2733="",TRUE(),COUNTIF(원본명단!$H$3:$H2733,원본명단!$H2733)=1),IF(원본명단!$I2733="",TRUE(),COUNTIF(원본명단!$I$3:$I2733,원본명단!$I2733)=1),IF(원본명단!$K2733="",TRUE(),COUNTIF(원본명단!$K$3:$K2733,원본명단!$K2733)=1)),"첫 건","중복 건")))</f>
        <v/>
      </c>
      <c r="J2734" s="11" t="str">
        <f aca="false">IF($A2734="","",IF($H2734="-","유지",IF($I2734="첫 건","유지","확인 필요")))</f>
        <v/>
      </c>
    </row>
    <row r="2735" customFormat="false" ht="15" hidden="false" customHeight="true" outlineLevel="0" collapsed="false">
      <c r="A2735" s="11" t="str">
        <f aca="false">IF(원본명단!$A2734="","",2732)</f>
        <v/>
      </c>
      <c r="B2735" s="12" t="str">
        <f aca="false">IF($A2735="","",원본명단!$A2734)</f>
        <v/>
      </c>
      <c r="C2735" s="12" t="str">
        <f aca="false">IF($A2735="","",원본명단!$B2734)</f>
        <v/>
      </c>
      <c r="D2735" s="12" t="str">
        <f aca="false">IF($A2735="","",원본명단!$D2734)</f>
        <v/>
      </c>
      <c r="E2735" s="11" t="str">
        <f aca="false">IF($A2735="","",IF(원본명단!$H2734="",0,COUNTIF(원본명단!$H$3:$H$6002,원본명단!$H2734)))</f>
        <v/>
      </c>
      <c r="F2735" s="11" t="str">
        <f aca="false">IF($A2735="","",IF(원본명단!$I2734="",0,COUNTIF(원본명단!$I$3:$I$6002,원본명단!$I2734)))</f>
        <v/>
      </c>
      <c r="G2735" s="11" t="str">
        <f aca="false">IF($A2735="","",IF(원본명단!$K2734="",0,COUNTIF(원본명단!$K$3:$K$6002,원본명단!$K2734)))</f>
        <v/>
      </c>
      <c r="H2735" s="11" t="str">
        <f aca="false">IF($A2735="","",IF(MAX($E2735,$F2735,$G2735)&gt;1,"중복","-"))</f>
        <v/>
      </c>
      <c r="I2735" s="11" t="str">
        <f aca="false">IF($A2735="","",IF($H2735="-","-",IF(AND(IF(원본명단!$H2734="",TRUE(),COUNTIF(원본명단!$H$3:$H2734,원본명단!$H2734)=1),IF(원본명단!$I2734="",TRUE(),COUNTIF(원본명단!$I$3:$I2734,원본명단!$I2734)=1),IF(원본명단!$K2734="",TRUE(),COUNTIF(원본명단!$K$3:$K2734,원본명단!$K2734)=1)),"첫 건","중복 건")))</f>
        <v/>
      </c>
      <c r="J2735" s="11" t="str">
        <f aca="false">IF($A2735="","",IF($H2735="-","유지",IF($I2735="첫 건","유지","확인 필요")))</f>
        <v/>
      </c>
    </row>
    <row r="2736" customFormat="false" ht="15" hidden="false" customHeight="true" outlineLevel="0" collapsed="false">
      <c r="A2736" s="11" t="str">
        <f aca="false">IF(원본명단!$A2735="","",2733)</f>
        <v/>
      </c>
      <c r="B2736" s="12" t="str">
        <f aca="false">IF($A2736="","",원본명단!$A2735)</f>
        <v/>
      </c>
      <c r="C2736" s="12" t="str">
        <f aca="false">IF($A2736="","",원본명단!$B2735)</f>
        <v/>
      </c>
      <c r="D2736" s="12" t="str">
        <f aca="false">IF($A2736="","",원본명단!$D2735)</f>
        <v/>
      </c>
      <c r="E2736" s="11" t="str">
        <f aca="false">IF($A2736="","",IF(원본명단!$H2735="",0,COUNTIF(원본명단!$H$3:$H$6002,원본명단!$H2735)))</f>
        <v/>
      </c>
      <c r="F2736" s="11" t="str">
        <f aca="false">IF($A2736="","",IF(원본명단!$I2735="",0,COUNTIF(원본명단!$I$3:$I$6002,원본명단!$I2735)))</f>
        <v/>
      </c>
      <c r="G2736" s="11" t="str">
        <f aca="false">IF($A2736="","",IF(원본명단!$K2735="",0,COUNTIF(원본명단!$K$3:$K$6002,원본명단!$K2735)))</f>
        <v/>
      </c>
      <c r="H2736" s="11" t="str">
        <f aca="false">IF($A2736="","",IF(MAX($E2736,$F2736,$G2736)&gt;1,"중복","-"))</f>
        <v/>
      </c>
      <c r="I2736" s="11" t="str">
        <f aca="false">IF($A2736="","",IF($H2736="-","-",IF(AND(IF(원본명단!$H2735="",TRUE(),COUNTIF(원본명단!$H$3:$H2735,원본명단!$H2735)=1),IF(원본명단!$I2735="",TRUE(),COUNTIF(원본명단!$I$3:$I2735,원본명단!$I2735)=1),IF(원본명단!$K2735="",TRUE(),COUNTIF(원본명단!$K$3:$K2735,원본명단!$K2735)=1)),"첫 건","중복 건")))</f>
        <v/>
      </c>
      <c r="J2736" s="11" t="str">
        <f aca="false">IF($A2736="","",IF($H2736="-","유지",IF($I2736="첫 건","유지","확인 필요")))</f>
        <v/>
      </c>
    </row>
    <row r="2737" customFormat="false" ht="15" hidden="false" customHeight="true" outlineLevel="0" collapsed="false">
      <c r="A2737" s="11" t="str">
        <f aca="false">IF(원본명단!$A2736="","",2734)</f>
        <v/>
      </c>
      <c r="B2737" s="12" t="str">
        <f aca="false">IF($A2737="","",원본명단!$A2736)</f>
        <v/>
      </c>
      <c r="C2737" s="12" t="str">
        <f aca="false">IF($A2737="","",원본명단!$B2736)</f>
        <v/>
      </c>
      <c r="D2737" s="12" t="str">
        <f aca="false">IF($A2737="","",원본명단!$D2736)</f>
        <v/>
      </c>
      <c r="E2737" s="11" t="str">
        <f aca="false">IF($A2737="","",IF(원본명단!$H2736="",0,COUNTIF(원본명단!$H$3:$H$6002,원본명단!$H2736)))</f>
        <v/>
      </c>
      <c r="F2737" s="11" t="str">
        <f aca="false">IF($A2737="","",IF(원본명단!$I2736="",0,COUNTIF(원본명단!$I$3:$I$6002,원본명단!$I2736)))</f>
        <v/>
      </c>
      <c r="G2737" s="11" t="str">
        <f aca="false">IF($A2737="","",IF(원본명단!$K2736="",0,COUNTIF(원본명단!$K$3:$K$6002,원본명단!$K2736)))</f>
        <v/>
      </c>
      <c r="H2737" s="11" t="str">
        <f aca="false">IF($A2737="","",IF(MAX($E2737,$F2737,$G2737)&gt;1,"중복","-"))</f>
        <v/>
      </c>
      <c r="I2737" s="11" t="str">
        <f aca="false">IF($A2737="","",IF($H2737="-","-",IF(AND(IF(원본명단!$H2736="",TRUE(),COUNTIF(원본명단!$H$3:$H2736,원본명단!$H2736)=1),IF(원본명단!$I2736="",TRUE(),COUNTIF(원본명단!$I$3:$I2736,원본명단!$I2736)=1),IF(원본명단!$K2736="",TRUE(),COUNTIF(원본명단!$K$3:$K2736,원본명단!$K2736)=1)),"첫 건","중복 건")))</f>
        <v/>
      </c>
      <c r="J2737" s="11" t="str">
        <f aca="false">IF($A2737="","",IF($H2737="-","유지",IF($I2737="첫 건","유지","확인 필요")))</f>
        <v/>
      </c>
    </row>
    <row r="2738" customFormat="false" ht="15" hidden="false" customHeight="true" outlineLevel="0" collapsed="false">
      <c r="A2738" s="11" t="str">
        <f aca="false">IF(원본명단!$A2737="","",2735)</f>
        <v/>
      </c>
      <c r="B2738" s="12" t="str">
        <f aca="false">IF($A2738="","",원본명단!$A2737)</f>
        <v/>
      </c>
      <c r="C2738" s="12" t="str">
        <f aca="false">IF($A2738="","",원본명단!$B2737)</f>
        <v/>
      </c>
      <c r="D2738" s="12" t="str">
        <f aca="false">IF($A2738="","",원본명단!$D2737)</f>
        <v/>
      </c>
      <c r="E2738" s="11" t="str">
        <f aca="false">IF($A2738="","",IF(원본명단!$H2737="",0,COUNTIF(원본명단!$H$3:$H$6002,원본명단!$H2737)))</f>
        <v/>
      </c>
      <c r="F2738" s="11" t="str">
        <f aca="false">IF($A2738="","",IF(원본명단!$I2737="",0,COUNTIF(원본명단!$I$3:$I$6002,원본명단!$I2737)))</f>
        <v/>
      </c>
      <c r="G2738" s="11" t="str">
        <f aca="false">IF($A2738="","",IF(원본명단!$K2737="",0,COUNTIF(원본명단!$K$3:$K$6002,원본명단!$K2737)))</f>
        <v/>
      </c>
      <c r="H2738" s="11" t="str">
        <f aca="false">IF($A2738="","",IF(MAX($E2738,$F2738,$G2738)&gt;1,"중복","-"))</f>
        <v/>
      </c>
      <c r="I2738" s="11" t="str">
        <f aca="false">IF($A2738="","",IF($H2738="-","-",IF(AND(IF(원본명단!$H2737="",TRUE(),COUNTIF(원본명단!$H$3:$H2737,원본명단!$H2737)=1),IF(원본명단!$I2737="",TRUE(),COUNTIF(원본명단!$I$3:$I2737,원본명단!$I2737)=1),IF(원본명단!$K2737="",TRUE(),COUNTIF(원본명단!$K$3:$K2737,원본명단!$K2737)=1)),"첫 건","중복 건")))</f>
        <v/>
      </c>
      <c r="J2738" s="11" t="str">
        <f aca="false">IF($A2738="","",IF($H2738="-","유지",IF($I2738="첫 건","유지","확인 필요")))</f>
        <v/>
      </c>
    </row>
    <row r="2739" customFormat="false" ht="15" hidden="false" customHeight="true" outlineLevel="0" collapsed="false">
      <c r="A2739" s="11" t="str">
        <f aca="false">IF(원본명단!$A2738="","",2736)</f>
        <v/>
      </c>
      <c r="B2739" s="12" t="str">
        <f aca="false">IF($A2739="","",원본명단!$A2738)</f>
        <v/>
      </c>
      <c r="C2739" s="12" t="str">
        <f aca="false">IF($A2739="","",원본명단!$B2738)</f>
        <v/>
      </c>
      <c r="D2739" s="12" t="str">
        <f aca="false">IF($A2739="","",원본명단!$D2738)</f>
        <v/>
      </c>
      <c r="E2739" s="11" t="str">
        <f aca="false">IF($A2739="","",IF(원본명단!$H2738="",0,COUNTIF(원본명단!$H$3:$H$6002,원본명단!$H2738)))</f>
        <v/>
      </c>
      <c r="F2739" s="11" t="str">
        <f aca="false">IF($A2739="","",IF(원본명단!$I2738="",0,COUNTIF(원본명단!$I$3:$I$6002,원본명단!$I2738)))</f>
        <v/>
      </c>
      <c r="G2739" s="11" t="str">
        <f aca="false">IF($A2739="","",IF(원본명단!$K2738="",0,COUNTIF(원본명단!$K$3:$K$6002,원본명단!$K2738)))</f>
        <v/>
      </c>
      <c r="H2739" s="11" t="str">
        <f aca="false">IF($A2739="","",IF(MAX($E2739,$F2739,$G2739)&gt;1,"중복","-"))</f>
        <v/>
      </c>
      <c r="I2739" s="11" t="str">
        <f aca="false">IF($A2739="","",IF($H2739="-","-",IF(AND(IF(원본명단!$H2738="",TRUE(),COUNTIF(원본명단!$H$3:$H2738,원본명단!$H2738)=1),IF(원본명단!$I2738="",TRUE(),COUNTIF(원본명단!$I$3:$I2738,원본명단!$I2738)=1),IF(원본명단!$K2738="",TRUE(),COUNTIF(원본명단!$K$3:$K2738,원본명단!$K2738)=1)),"첫 건","중복 건")))</f>
        <v/>
      </c>
      <c r="J2739" s="11" t="str">
        <f aca="false">IF($A2739="","",IF($H2739="-","유지",IF($I2739="첫 건","유지","확인 필요")))</f>
        <v/>
      </c>
    </row>
    <row r="2740" customFormat="false" ht="15" hidden="false" customHeight="true" outlineLevel="0" collapsed="false">
      <c r="A2740" s="11" t="str">
        <f aca="false">IF(원본명단!$A2739="","",2737)</f>
        <v/>
      </c>
      <c r="B2740" s="12" t="str">
        <f aca="false">IF($A2740="","",원본명단!$A2739)</f>
        <v/>
      </c>
      <c r="C2740" s="12" t="str">
        <f aca="false">IF($A2740="","",원본명단!$B2739)</f>
        <v/>
      </c>
      <c r="D2740" s="12" t="str">
        <f aca="false">IF($A2740="","",원본명단!$D2739)</f>
        <v/>
      </c>
      <c r="E2740" s="11" t="str">
        <f aca="false">IF($A2740="","",IF(원본명단!$H2739="",0,COUNTIF(원본명단!$H$3:$H$6002,원본명단!$H2739)))</f>
        <v/>
      </c>
      <c r="F2740" s="11" t="str">
        <f aca="false">IF($A2740="","",IF(원본명단!$I2739="",0,COUNTIF(원본명단!$I$3:$I$6002,원본명단!$I2739)))</f>
        <v/>
      </c>
      <c r="G2740" s="11" t="str">
        <f aca="false">IF($A2740="","",IF(원본명단!$K2739="",0,COUNTIF(원본명단!$K$3:$K$6002,원본명단!$K2739)))</f>
        <v/>
      </c>
      <c r="H2740" s="11" t="str">
        <f aca="false">IF($A2740="","",IF(MAX($E2740,$F2740,$G2740)&gt;1,"중복","-"))</f>
        <v/>
      </c>
      <c r="I2740" s="11" t="str">
        <f aca="false">IF($A2740="","",IF($H2740="-","-",IF(AND(IF(원본명단!$H2739="",TRUE(),COUNTIF(원본명단!$H$3:$H2739,원본명단!$H2739)=1),IF(원본명단!$I2739="",TRUE(),COUNTIF(원본명단!$I$3:$I2739,원본명단!$I2739)=1),IF(원본명단!$K2739="",TRUE(),COUNTIF(원본명단!$K$3:$K2739,원본명단!$K2739)=1)),"첫 건","중복 건")))</f>
        <v/>
      </c>
      <c r="J2740" s="11" t="str">
        <f aca="false">IF($A2740="","",IF($H2740="-","유지",IF($I2740="첫 건","유지","확인 필요")))</f>
        <v/>
      </c>
    </row>
    <row r="2741" customFormat="false" ht="15" hidden="false" customHeight="true" outlineLevel="0" collapsed="false">
      <c r="A2741" s="11" t="str">
        <f aca="false">IF(원본명단!$A2740="","",2738)</f>
        <v/>
      </c>
      <c r="B2741" s="12" t="str">
        <f aca="false">IF($A2741="","",원본명단!$A2740)</f>
        <v/>
      </c>
      <c r="C2741" s="12" t="str">
        <f aca="false">IF($A2741="","",원본명단!$B2740)</f>
        <v/>
      </c>
      <c r="D2741" s="12" t="str">
        <f aca="false">IF($A2741="","",원본명단!$D2740)</f>
        <v/>
      </c>
      <c r="E2741" s="11" t="str">
        <f aca="false">IF($A2741="","",IF(원본명단!$H2740="",0,COUNTIF(원본명단!$H$3:$H$6002,원본명단!$H2740)))</f>
        <v/>
      </c>
      <c r="F2741" s="11" t="str">
        <f aca="false">IF($A2741="","",IF(원본명단!$I2740="",0,COUNTIF(원본명단!$I$3:$I$6002,원본명단!$I2740)))</f>
        <v/>
      </c>
      <c r="G2741" s="11" t="str">
        <f aca="false">IF($A2741="","",IF(원본명단!$K2740="",0,COUNTIF(원본명단!$K$3:$K$6002,원본명단!$K2740)))</f>
        <v/>
      </c>
      <c r="H2741" s="11" t="str">
        <f aca="false">IF($A2741="","",IF(MAX($E2741,$F2741,$G2741)&gt;1,"중복","-"))</f>
        <v/>
      </c>
      <c r="I2741" s="11" t="str">
        <f aca="false">IF($A2741="","",IF($H2741="-","-",IF(AND(IF(원본명단!$H2740="",TRUE(),COUNTIF(원본명단!$H$3:$H2740,원본명단!$H2740)=1),IF(원본명단!$I2740="",TRUE(),COUNTIF(원본명단!$I$3:$I2740,원본명단!$I2740)=1),IF(원본명단!$K2740="",TRUE(),COUNTIF(원본명단!$K$3:$K2740,원본명단!$K2740)=1)),"첫 건","중복 건")))</f>
        <v/>
      </c>
      <c r="J2741" s="11" t="str">
        <f aca="false">IF($A2741="","",IF($H2741="-","유지",IF($I2741="첫 건","유지","확인 필요")))</f>
        <v/>
      </c>
    </row>
    <row r="2742" customFormat="false" ht="15" hidden="false" customHeight="true" outlineLevel="0" collapsed="false">
      <c r="A2742" s="11" t="str">
        <f aca="false">IF(원본명단!$A2741="","",2739)</f>
        <v/>
      </c>
      <c r="B2742" s="12" t="str">
        <f aca="false">IF($A2742="","",원본명단!$A2741)</f>
        <v/>
      </c>
      <c r="C2742" s="12" t="str">
        <f aca="false">IF($A2742="","",원본명단!$B2741)</f>
        <v/>
      </c>
      <c r="D2742" s="12" t="str">
        <f aca="false">IF($A2742="","",원본명단!$D2741)</f>
        <v/>
      </c>
      <c r="E2742" s="11" t="str">
        <f aca="false">IF($A2742="","",IF(원본명단!$H2741="",0,COUNTIF(원본명단!$H$3:$H$6002,원본명단!$H2741)))</f>
        <v/>
      </c>
      <c r="F2742" s="11" t="str">
        <f aca="false">IF($A2742="","",IF(원본명단!$I2741="",0,COUNTIF(원본명단!$I$3:$I$6002,원본명단!$I2741)))</f>
        <v/>
      </c>
      <c r="G2742" s="11" t="str">
        <f aca="false">IF($A2742="","",IF(원본명단!$K2741="",0,COUNTIF(원본명단!$K$3:$K$6002,원본명단!$K2741)))</f>
        <v/>
      </c>
      <c r="H2742" s="11" t="str">
        <f aca="false">IF($A2742="","",IF(MAX($E2742,$F2742,$G2742)&gt;1,"중복","-"))</f>
        <v/>
      </c>
      <c r="I2742" s="11" t="str">
        <f aca="false">IF($A2742="","",IF($H2742="-","-",IF(AND(IF(원본명단!$H2741="",TRUE(),COUNTIF(원본명단!$H$3:$H2741,원본명단!$H2741)=1),IF(원본명단!$I2741="",TRUE(),COUNTIF(원본명단!$I$3:$I2741,원본명단!$I2741)=1),IF(원본명단!$K2741="",TRUE(),COUNTIF(원본명단!$K$3:$K2741,원본명단!$K2741)=1)),"첫 건","중복 건")))</f>
        <v/>
      </c>
      <c r="J2742" s="11" t="str">
        <f aca="false">IF($A2742="","",IF($H2742="-","유지",IF($I2742="첫 건","유지","확인 필요")))</f>
        <v/>
      </c>
    </row>
    <row r="2743" customFormat="false" ht="15" hidden="false" customHeight="true" outlineLevel="0" collapsed="false">
      <c r="A2743" s="11" t="str">
        <f aca="false">IF(원본명단!$A2742="","",2740)</f>
        <v/>
      </c>
      <c r="B2743" s="12" t="str">
        <f aca="false">IF($A2743="","",원본명단!$A2742)</f>
        <v/>
      </c>
      <c r="C2743" s="12" t="str">
        <f aca="false">IF($A2743="","",원본명단!$B2742)</f>
        <v/>
      </c>
      <c r="D2743" s="12" t="str">
        <f aca="false">IF($A2743="","",원본명단!$D2742)</f>
        <v/>
      </c>
      <c r="E2743" s="11" t="str">
        <f aca="false">IF($A2743="","",IF(원본명단!$H2742="",0,COUNTIF(원본명단!$H$3:$H$6002,원본명단!$H2742)))</f>
        <v/>
      </c>
      <c r="F2743" s="11" t="str">
        <f aca="false">IF($A2743="","",IF(원본명단!$I2742="",0,COUNTIF(원본명단!$I$3:$I$6002,원본명단!$I2742)))</f>
        <v/>
      </c>
      <c r="G2743" s="11" t="str">
        <f aca="false">IF($A2743="","",IF(원본명단!$K2742="",0,COUNTIF(원본명단!$K$3:$K$6002,원본명단!$K2742)))</f>
        <v/>
      </c>
      <c r="H2743" s="11" t="str">
        <f aca="false">IF($A2743="","",IF(MAX($E2743,$F2743,$G2743)&gt;1,"중복","-"))</f>
        <v/>
      </c>
      <c r="I2743" s="11" t="str">
        <f aca="false">IF($A2743="","",IF($H2743="-","-",IF(AND(IF(원본명단!$H2742="",TRUE(),COUNTIF(원본명단!$H$3:$H2742,원본명단!$H2742)=1),IF(원본명단!$I2742="",TRUE(),COUNTIF(원본명단!$I$3:$I2742,원본명단!$I2742)=1),IF(원본명단!$K2742="",TRUE(),COUNTIF(원본명단!$K$3:$K2742,원본명단!$K2742)=1)),"첫 건","중복 건")))</f>
        <v/>
      </c>
      <c r="J2743" s="11" t="str">
        <f aca="false">IF($A2743="","",IF($H2743="-","유지",IF($I2743="첫 건","유지","확인 필요")))</f>
        <v/>
      </c>
    </row>
    <row r="2744" customFormat="false" ht="15" hidden="false" customHeight="true" outlineLevel="0" collapsed="false">
      <c r="A2744" s="11" t="str">
        <f aca="false">IF(원본명단!$A2743="","",2741)</f>
        <v/>
      </c>
      <c r="B2744" s="12" t="str">
        <f aca="false">IF($A2744="","",원본명단!$A2743)</f>
        <v/>
      </c>
      <c r="C2744" s="12" t="str">
        <f aca="false">IF($A2744="","",원본명단!$B2743)</f>
        <v/>
      </c>
      <c r="D2744" s="12" t="str">
        <f aca="false">IF($A2744="","",원본명단!$D2743)</f>
        <v/>
      </c>
      <c r="E2744" s="11" t="str">
        <f aca="false">IF($A2744="","",IF(원본명단!$H2743="",0,COUNTIF(원본명단!$H$3:$H$6002,원본명단!$H2743)))</f>
        <v/>
      </c>
      <c r="F2744" s="11" t="str">
        <f aca="false">IF($A2744="","",IF(원본명단!$I2743="",0,COUNTIF(원본명단!$I$3:$I$6002,원본명단!$I2743)))</f>
        <v/>
      </c>
      <c r="G2744" s="11" t="str">
        <f aca="false">IF($A2744="","",IF(원본명단!$K2743="",0,COUNTIF(원본명단!$K$3:$K$6002,원본명단!$K2743)))</f>
        <v/>
      </c>
      <c r="H2744" s="11" t="str">
        <f aca="false">IF($A2744="","",IF(MAX($E2744,$F2744,$G2744)&gt;1,"중복","-"))</f>
        <v/>
      </c>
      <c r="I2744" s="11" t="str">
        <f aca="false">IF($A2744="","",IF($H2744="-","-",IF(AND(IF(원본명단!$H2743="",TRUE(),COUNTIF(원본명단!$H$3:$H2743,원본명단!$H2743)=1),IF(원본명단!$I2743="",TRUE(),COUNTIF(원본명단!$I$3:$I2743,원본명단!$I2743)=1),IF(원본명단!$K2743="",TRUE(),COUNTIF(원본명단!$K$3:$K2743,원본명단!$K2743)=1)),"첫 건","중복 건")))</f>
        <v/>
      </c>
      <c r="J2744" s="11" t="str">
        <f aca="false">IF($A2744="","",IF($H2744="-","유지",IF($I2744="첫 건","유지","확인 필요")))</f>
        <v/>
      </c>
    </row>
    <row r="2745" customFormat="false" ht="15" hidden="false" customHeight="true" outlineLevel="0" collapsed="false">
      <c r="A2745" s="11" t="str">
        <f aca="false">IF(원본명단!$A2744="","",2742)</f>
        <v/>
      </c>
      <c r="B2745" s="12" t="str">
        <f aca="false">IF($A2745="","",원본명단!$A2744)</f>
        <v/>
      </c>
      <c r="C2745" s="12" t="str">
        <f aca="false">IF($A2745="","",원본명단!$B2744)</f>
        <v/>
      </c>
      <c r="D2745" s="12" t="str">
        <f aca="false">IF($A2745="","",원본명단!$D2744)</f>
        <v/>
      </c>
      <c r="E2745" s="11" t="str">
        <f aca="false">IF($A2745="","",IF(원본명단!$H2744="",0,COUNTIF(원본명단!$H$3:$H$6002,원본명단!$H2744)))</f>
        <v/>
      </c>
      <c r="F2745" s="11" t="str">
        <f aca="false">IF($A2745="","",IF(원본명단!$I2744="",0,COUNTIF(원본명단!$I$3:$I$6002,원본명단!$I2744)))</f>
        <v/>
      </c>
      <c r="G2745" s="11" t="str">
        <f aca="false">IF($A2745="","",IF(원본명단!$K2744="",0,COUNTIF(원본명단!$K$3:$K$6002,원본명단!$K2744)))</f>
        <v/>
      </c>
      <c r="H2745" s="11" t="str">
        <f aca="false">IF($A2745="","",IF(MAX($E2745,$F2745,$G2745)&gt;1,"중복","-"))</f>
        <v/>
      </c>
      <c r="I2745" s="11" t="str">
        <f aca="false">IF($A2745="","",IF($H2745="-","-",IF(AND(IF(원본명단!$H2744="",TRUE(),COUNTIF(원본명단!$H$3:$H2744,원본명단!$H2744)=1),IF(원본명단!$I2744="",TRUE(),COUNTIF(원본명단!$I$3:$I2744,원본명단!$I2744)=1),IF(원본명단!$K2744="",TRUE(),COUNTIF(원본명단!$K$3:$K2744,원본명단!$K2744)=1)),"첫 건","중복 건")))</f>
        <v/>
      </c>
      <c r="J2745" s="11" t="str">
        <f aca="false">IF($A2745="","",IF($H2745="-","유지",IF($I2745="첫 건","유지","확인 필요")))</f>
        <v/>
      </c>
    </row>
    <row r="2746" customFormat="false" ht="15" hidden="false" customHeight="true" outlineLevel="0" collapsed="false">
      <c r="A2746" s="11" t="str">
        <f aca="false">IF(원본명단!$A2745="","",2743)</f>
        <v/>
      </c>
      <c r="B2746" s="12" t="str">
        <f aca="false">IF($A2746="","",원본명단!$A2745)</f>
        <v/>
      </c>
      <c r="C2746" s="12" t="str">
        <f aca="false">IF($A2746="","",원본명단!$B2745)</f>
        <v/>
      </c>
      <c r="D2746" s="12" t="str">
        <f aca="false">IF($A2746="","",원본명단!$D2745)</f>
        <v/>
      </c>
      <c r="E2746" s="11" t="str">
        <f aca="false">IF($A2746="","",IF(원본명단!$H2745="",0,COUNTIF(원본명단!$H$3:$H$6002,원본명단!$H2745)))</f>
        <v/>
      </c>
      <c r="F2746" s="11" t="str">
        <f aca="false">IF($A2746="","",IF(원본명단!$I2745="",0,COUNTIF(원본명단!$I$3:$I$6002,원본명단!$I2745)))</f>
        <v/>
      </c>
      <c r="G2746" s="11" t="str">
        <f aca="false">IF($A2746="","",IF(원본명단!$K2745="",0,COUNTIF(원본명단!$K$3:$K$6002,원본명단!$K2745)))</f>
        <v/>
      </c>
      <c r="H2746" s="11" t="str">
        <f aca="false">IF($A2746="","",IF(MAX($E2746,$F2746,$G2746)&gt;1,"중복","-"))</f>
        <v/>
      </c>
      <c r="I2746" s="11" t="str">
        <f aca="false">IF($A2746="","",IF($H2746="-","-",IF(AND(IF(원본명단!$H2745="",TRUE(),COUNTIF(원본명단!$H$3:$H2745,원본명단!$H2745)=1),IF(원본명단!$I2745="",TRUE(),COUNTIF(원본명단!$I$3:$I2745,원본명단!$I2745)=1),IF(원본명단!$K2745="",TRUE(),COUNTIF(원본명단!$K$3:$K2745,원본명단!$K2745)=1)),"첫 건","중복 건")))</f>
        <v/>
      </c>
      <c r="J2746" s="11" t="str">
        <f aca="false">IF($A2746="","",IF($H2746="-","유지",IF($I2746="첫 건","유지","확인 필요")))</f>
        <v/>
      </c>
    </row>
    <row r="2747" customFormat="false" ht="15" hidden="false" customHeight="true" outlineLevel="0" collapsed="false">
      <c r="A2747" s="11" t="str">
        <f aca="false">IF(원본명단!$A2746="","",2744)</f>
        <v/>
      </c>
      <c r="B2747" s="12" t="str">
        <f aca="false">IF($A2747="","",원본명단!$A2746)</f>
        <v/>
      </c>
      <c r="C2747" s="12" t="str">
        <f aca="false">IF($A2747="","",원본명단!$B2746)</f>
        <v/>
      </c>
      <c r="D2747" s="12" t="str">
        <f aca="false">IF($A2747="","",원본명단!$D2746)</f>
        <v/>
      </c>
      <c r="E2747" s="11" t="str">
        <f aca="false">IF($A2747="","",IF(원본명단!$H2746="",0,COUNTIF(원본명단!$H$3:$H$6002,원본명단!$H2746)))</f>
        <v/>
      </c>
      <c r="F2747" s="11" t="str">
        <f aca="false">IF($A2747="","",IF(원본명단!$I2746="",0,COUNTIF(원본명단!$I$3:$I$6002,원본명단!$I2746)))</f>
        <v/>
      </c>
      <c r="G2747" s="11" t="str">
        <f aca="false">IF($A2747="","",IF(원본명단!$K2746="",0,COUNTIF(원본명단!$K$3:$K$6002,원본명단!$K2746)))</f>
        <v/>
      </c>
      <c r="H2747" s="11" t="str">
        <f aca="false">IF($A2747="","",IF(MAX($E2747,$F2747,$G2747)&gt;1,"중복","-"))</f>
        <v/>
      </c>
      <c r="I2747" s="11" t="str">
        <f aca="false">IF($A2747="","",IF($H2747="-","-",IF(AND(IF(원본명단!$H2746="",TRUE(),COUNTIF(원본명단!$H$3:$H2746,원본명단!$H2746)=1),IF(원본명단!$I2746="",TRUE(),COUNTIF(원본명단!$I$3:$I2746,원본명단!$I2746)=1),IF(원본명단!$K2746="",TRUE(),COUNTIF(원본명단!$K$3:$K2746,원본명단!$K2746)=1)),"첫 건","중복 건")))</f>
        <v/>
      </c>
      <c r="J2747" s="11" t="str">
        <f aca="false">IF($A2747="","",IF($H2747="-","유지",IF($I2747="첫 건","유지","확인 필요")))</f>
        <v/>
      </c>
    </row>
    <row r="2748" customFormat="false" ht="15" hidden="false" customHeight="true" outlineLevel="0" collapsed="false">
      <c r="A2748" s="11" t="str">
        <f aca="false">IF(원본명단!$A2747="","",2745)</f>
        <v/>
      </c>
      <c r="B2748" s="12" t="str">
        <f aca="false">IF($A2748="","",원본명단!$A2747)</f>
        <v/>
      </c>
      <c r="C2748" s="12" t="str">
        <f aca="false">IF($A2748="","",원본명단!$B2747)</f>
        <v/>
      </c>
      <c r="D2748" s="12" t="str">
        <f aca="false">IF($A2748="","",원본명단!$D2747)</f>
        <v/>
      </c>
      <c r="E2748" s="11" t="str">
        <f aca="false">IF($A2748="","",IF(원본명단!$H2747="",0,COUNTIF(원본명단!$H$3:$H$6002,원본명단!$H2747)))</f>
        <v/>
      </c>
      <c r="F2748" s="11" t="str">
        <f aca="false">IF($A2748="","",IF(원본명단!$I2747="",0,COUNTIF(원본명단!$I$3:$I$6002,원본명단!$I2747)))</f>
        <v/>
      </c>
      <c r="G2748" s="11" t="str">
        <f aca="false">IF($A2748="","",IF(원본명단!$K2747="",0,COUNTIF(원본명단!$K$3:$K$6002,원본명단!$K2747)))</f>
        <v/>
      </c>
      <c r="H2748" s="11" t="str">
        <f aca="false">IF($A2748="","",IF(MAX($E2748,$F2748,$G2748)&gt;1,"중복","-"))</f>
        <v/>
      </c>
      <c r="I2748" s="11" t="str">
        <f aca="false">IF($A2748="","",IF($H2748="-","-",IF(AND(IF(원본명단!$H2747="",TRUE(),COUNTIF(원본명단!$H$3:$H2747,원본명단!$H2747)=1),IF(원본명단!$I2747="",TRUE(),COUNTIF(원본명단!$I$3:$I2747,원본명단!$I2747)=1),IF(원본명단!$K2747="",TRUE(),COUNTIF(원본명단!$K$3:$K2747,원본명단!$K2747)=1)),"첫 건","중복 건")))</f>
        <v/>
      </c>
      <c r="J2748" s="11" t="str">
        <f aca="false">IF($A2748="","",IF($H2748="-","유지",IF($I2748="첫 건","유지","확인 필요")))</f>
        <v/>
      </c>
    </row>
    <row r="2749" customFormat="false" ht="15" hidden="false" customHeight="true" outlineLevel="0" collapsed="false">
      <c r="A2749" s="11" t="str">
        <f aca="false">IF(원본명단!$A2748="","",2746)</f>
        <v/>
      </c>
      <c r="B2749" s="12" t="str">
        <f aca="false">IF($A2749="","",원본명단!$A2748)</f>
        <v/>
      </c>
      <c r="C2749" s="12" t="str">
        <f aca="false">IF($A2749="","",원본명단!$B2748)</f>
        <v/>
      </c>
      <c r="D2749" s="12" t="str">
        <f aca="false">IF($A2749="","",원본명단!$D2748)</f>
        <v/>
      </c>
      <c r="E2749" s="11" t="str">
        <f aca="false">IF($A2749="","",IF(원본명단!$H2748="",0,COUNTIF(원본명단!$H$3:$H$6002,원본명단!$H2748)))</f>
        <v/>
      </c>
      <c r="F2749" s="11" t="str">
        <f aca="false">IF($A2749="","",IF(원본명단!$I2748="",0,COUNTIF(원본명단!$I$3:$I$6002,원본명단!$I2748)))</f>
        <v/>
      </c>
      <c r="G2749" s="11" t="str">
        <f aca="false">IF($A2749="","",IF(원본명단!$K2748="",0,COUNTIF(원본명단!$K$3:$K$6002,원본명단!$K2748)))</f>
        <v/>
      </c>
      <c r="H2749" s="11" t="str">
        <f aca="false">IF($A2749="","",IF(MAX($E2749,$F2749,$G2749)&gt;1,"중복","-"))</f>
        <v/>
      </c>
      <c r="I2749" s="11" t="str">
        <f aca="false">IF($A2749="","",IF($H2749="-","-",IF(AND(IF(원본명단!$H2748="",TRUE(),COUNTIF(원본명단!$H$3:$H2748,원본명단!$H2748)=1),IF(원본명단!$I2748="",TRUE(),COUNTIF(원본명단!$I$3:$I2748,원본명단!$I2748)=1),IF(원본명단!$K2748="",TRUE(),COUNTIF(원본명단!$K$3:$K2748,원본명단!$K2748)=1)),"첫 건","중복 건")))</f>
        <v/>
      </c>
      <c r="J2749" s="11" t="str">
        <f aca="false">IF($A2749="","",IF($H2749="-","유지",IF($I2749="첫 건","유지","확인 필요")))</f>
        <v/>
      </c>
    </row>
    <row r="2750" customFormat="false" ht="15" hidden="false" customHeight="true" outlineLevel="0" collapsed="false">
      <c r="A2750" s="11" t="str">
        <f aca="false">IF(원본명단!$A2749="","",2747)</f>
        <v/>
      </c>
      <c r="B2750" s="12" t="str">
        <f aca="false">IF($A2750="","",원본명단!$A2749)</f>
        <v/>
      </c>
      <c r="C2750" s="12" t="str">
        <f aca="false">IF($A2750="","",원본명단!$B2749)</f>
        <v/>
      </c>
      <c r="D2750" s="12" t="str">
        <f aca="false">IF($A2750="","",원본명단!$D2749)</f>
        <v/>
      </c>
      <c r="E2750" s="11" t="str">
        <f aca="false">IF($A2750="","",IF(원본명단!$H2749="",0,COUNTIF(원본명단!$H$3:$H$6002,원본명단!$H2749)))</f>
        <v/>
      </c>
      <c r="F2750" s="11" t="str">
        <f aca="false">IF($A2750="","",IF(원본명단!$I2749="",0,COUNTIF(원본명단!$I$3:$I$6002,원본명단!$I2749)))</f>
        <v/>
      </c>
      <c r="G2750" s="11" t="str">
        <f aca="false">IF($A2750="","",IF(원본명단!$K2749="",0,COUNTIF(원본명단!$K$3:$K$6002,원본명단!$K2749)))</f>
        <v/>
      </c>
      <c r="H2750" s="11" t="str">
        <f aca="false">IF($A2750="","",IF(MAX($E2750,$F2750,$G2750)&gt;1,"중복","-"))</f>
        <v/>
      </c>
      <c r="I2750" s="11" t="str">
        <f aca="false">IF($A2750="","",IF($H2750="-","-",IF(AND(IF(원본명단!$H2749="",TRUE(),COUNTIF(원본명단!$H$3:$H2749,원본명단!$H2749)=1),IF(원본명단!$I2749="",TRUE(),COUNTIF(원본명단!$I$3:$I2749,원본명단!$I2749)=1),IF(원본명단!$K2749="",TRUE(),COUNTIF(원본명단!$K$3:$K2749,원본명단!$K2749)=1)),"첫 건","중복 건")))</f>
        <v/>
      </c>
      <c r="J2750" s="11" t="str">
        <f aca="false">IF($A2750="","",IF($H2750="-","유지",IF($I2750="첫 건","유지","확인 필요")))</f>
        <v/>
      </c>
    </row>
    <row r="2751" customFormat="false" ht="15" hidden="false" customHeight="true" outlineLevel="0" collapsed="false">
      <c r="A2751" s="11" t="str">
        <f aca="false">IF(원본명단!$A2750="","",2748)</f>
        <v/>
      </c>
      <c r="B2751" s="12" t="str">
        <f aca="false">IF($A2751="","",원본명단!$A2750)</f>
        <v/>
      </c>
      <c r="C2751" s="12" t="str">
        <f aca="false">IF($A2751="","",원본명단!$B2750)</f>
        <v/>
      </c>
      <c r="D2751" s="12" t="str">
        <f aca="false">IF($A2751="","",원본명단!$D2750)</f>
        <v/>
      </c>
      <c r="E2751" s="11" t="str">
        <f aca="false">IF($A2751="","",IF(원본명단!$H2750="",0,COUNTIF(원본명단!$H$3:$H$6002,원본명단!$H2750)))</f>
        <v/>
      </c>
      <c r="F2751" s="11" t="str">
        <f aca="false">IF($A2751="","",IF(원본명단!$I2750="",0,COUNTIF(원본명단!$I$3:$I$6002,원본명단!$I2750)))</f>
        <v/>
      </c>
      <c r="G2751" s="11" t="str">
        <f aca="false">IF($A2751="","",IF(원본명단!$K2750="",0,COUNTIF(원본명단!$K$3:$K$6002,원본명단!$K2750)))</f>
        <v/>
      </c>
      <c r="H2751" s="11" t="str">
        <f aca="false">IF($A2751="","",IF(MAX($E2751,$F2751,$G2751)&gt;1,"중복","-"))</f>
        <v/>
      </c>
      <c r="I2751" s="11" t="str">
        <f aca="false">IF($A2751="","",IF($H2751="-","-",IF(AND(IF(원본명단!$H2750="",TRUE(),COUNTIF(원본명단!$H$3:$H2750,원본명단!$H2750)=1),IF(원본명단!$I2750="",TRUE(),COUNTIF(원본명단!$I$3:$I2750,원본명단!$I2750)=1),IF(원본명단!$K2750="",TRUE(),COUNTIF(원본명단!$K$3:$K2750,원본명단!$K2750)=1)),"첫 건","중복 건")))</f>
        <v/>
      </c>
      <c r="J2751" s="11" t="str">
        <f aca="false">IF($A2751="","",IF($H2751="-","유지",IF($I2751="첫 건","유지","확인 필요")))</f>
        <v/>
      </c>
    </row>
    <row r="2752" customFormat="false" ht="15" hidden="false" customHeight="true" outlineLevel="0" collapsed="false">
      <c r="A2752" s="11" t="str">
        <f aca="false">IF(원본명단!$A2751="","",2749)</f>
        <v/>
      </c>
      <c r="B2752" s="12" t="str">
        <f aca="false">IF($A2752="","",원본명단!$A2751)</f>
        <v/>
      </c>
      <c r="C2752" s="12" t="str">
        <f aca="false">IF($A2752="","",원본명단!$B2751)</f>
        <v/>
      </c>
      <c r="D2752" s="12" t="str">
        <f aca="false">IF($A2752="","",원본명단!$D2751)</f>
        <v/>
      </c>
      <c r="E2752" s="11" t="str">
        <f aca="false">IF($A2752="","",IF(원본명단!$H2751="",0,COUNTIF(원본명단!$H$3:$H$6002,원본명단!$H2751)))</f>
        <v/>
      </c>
      <c r="F2752" s="11" t="str">
        <f aca="false">IF($A2752="","",IF(원본명단!$I2751="",0,COUNTIF(원본명단!$I$3:$I$6002,원본명단!$I2751)))</f>
        <v/>
      </c>
      <c r="G2752" s="11" t="str">
        <f aca="false">IF($A2752="","",IF(원본명단!$K2751="",0,COUNTIF(원본명단!$K$3:$K$6002,원본명단!$K2751)))</f>
        <v/>
      </c>
      <c r="H2752" s="11" t="str">
        <f aca="false">IF($A2752="","",IF(MAX($E2752,$F2752,$G2752)&gt;1,"중복","-"))</f>
        <v/>
      </c>
      <c r="I2752" s="11" t="str">
        <f aca="false">IF($A2752="","",IF($H2752="-","-",IF(AND(IF(원본명단!$H2751="",TRUE(),COUNTIF(원본명단!$H$3:$H2751,원본명단!$H2751)=1),IF(원본명단!$I2751="",TRUE(),COUNTIF(원본명단!$I$3:$I2751,원본명단!$I2751)=1),IF(원본명단!$K2751="",TRUE(),COUNTIF(원본명단!$K$3:$K2751,원본명단!$K2751)=1)),"첫 건","중복 건")))</f>
        <v/>
      </c>
      <c r="J2752" s="11" t="str">
        <f aca="false">IF($A2752="","",IF($H2752="-","유지",IF($I2752="첫 건","유지","확인 필요")))</f>
        <v/>
      </c>
    </row>
    <row r="2753" customFormat="false" ht="15" hidden="false" customHeight="true" outlineLevel="0" collapsed="false">
      <c r="A2753" s="11" t="str">
        <f aca="false">IF(원본명단!$A2752="","",2750)</f>
        <v/>
      </c>
      <c r="B2753" s="12" t="str">
        <f aca="false">IF($A2753="","",원본명단!$A2752)</f>
        <v/>
      </c>
      <c r="C2753" s="12" t="str">
        <f aca="false">IF($A2753="","",원본명단!$B2752)</f>
        <v/>
      </c>
      <c r="D2753" s="12" t="str">
        <f aca="false">IF($A2753="","",원본명단!$D2752)</f>
        <v/>
      </c>
      <c r="E2753" s="11" t="str">
        <f aca="false">IF($A2753="","",IF(원본명단!$H2752="",0,COUNTIF(원본명단!$H$3:$H$6002,원본명단!$H2752)))</f>
        <v/>
      </c>
      <c r="F2753" s="11" t="str">
        <f aca="false">IF($A2753="","",IF(원본명단!$I2752="",0,COUNTIF(원본명단!$I$3:$I$6002,원본명단!$I2752)))</f>
        <v/>
      </c>
      <c r="G2753" s="11" t="str">
        <f aca="false">IF($A2753="","",IF(원본명단!$K2752="",0,COUNTIF(원본명단!$K$3:$K$6002,원본명단!$K2752)))</f>
        <v/>
      </c>
      <c r="H2753" s="11" t="str">
        <f aca="false">IF($A2753="","",IF(MAX($E2753,$F2753,$G2753)&gt;1,"중복","-"))</f>
        <v/>
      </c>
      <c r="I2753" s="11" t="str">
        <f aca="false">IF($A2753="","",IF($H2753="-","-",IF(AND(IF(원본명단!$H2752="",TRUE(),COUNTIF(원본명단!$H$3:$H2752,원본명단!$H2752)=1),IF(원본명단!$I2752="",TRUE(),COUNTIF(원본명단!$I$3:$I2752,원본명단!$I2752)=1),IF(원본명단!$K2752="",TRUE(),COUNTIF(원본명단!$K$3:$K2752,원본명단!$K2752)=1)),"첫 건","중복 건")))</f>
        <v/>
      </c>
      <c r="J2753" s="11" t="str">
        <f aca="false">IF($A2753="","",IF($H2753="-","유지",IF($I2753="첫 건","유지","확인 필요")))</f>
        <v/>
      </c>
    </row>
    <row r="2754" customFormat="false" ht="15" hidden="false" customHeight="true" outlineLevel="0" collapsed="false">
      <c r="A2754" s="11" t="str">
        <f aca="false">IF(원본명단!$A2753="","",2751)</f>
        <v/>
      </c>
      <c r="B2754" s="12" t="str">
        <f aca="false">IF($A2754="","",원본명단!$A2753)</f>
        <v/>
      </c>
      <c r="C2754" s="12" t="str">
        <f aca="false">IF($A2754="","",원본명단!$B2753)</f>
        <v/>
      </c>
      <c r="D2754" s="12" t="str">
        <f aca="false">IF($A2754="","",원본명단!$D2753)</f>
        <v/>
      </c>
      <c r="E2754" s="11" t="str">
        <f aca="false">IF($A2754="","",IF(원본명단!$H2753="",0,COUNTIF(원본명단!$H$3:$H$6002,원본명단!$H2753)))</f>
        <v/>
      </c>
      <c r="F2754" s="11" t="str">
        <f aca="false">IF($A2754="","",IF(원본명단!$I2753="",0,COUNTIF(원본명단!$I$3:$I$6002,원본명단!$I2753)))</f>
        <v/>
      </c>
      <c r="G2754" s="11" t="str">
        <f aca="false">IF($A2754="","",IF(원본명단!$K2753="",0,COUNTIF(원본명단!$K$3:$K$6002,원본명단!$K2753)))</f>
        <v/>
      </c>
      <c r="H2754" s="11" t="str">
        <f aca="false">IF($A2754="","",IF(MAX($E2754,$F2754,$G2754)&gt;1,"중복","-"))</f>
        <v/>
      </c>
      <c r="I2754" s="11" t="str">
        <f aca="false">IF($A2754="","",IF($H2754="-","-",IF(AND(IF(원본명단!$H2753="",TRUE(),COUNTIF(원본명단!$H$3:$H2753,원본명단!$H2753)=1),IF(원본명단!$I2753="",TRUE(),COUNTIF(원본명단!$I$3:$I2753,원본명단!$I2753)=1),IF(원본명단!$K2753="",TRUE(),COUNTIF(원본명단!$K$3:$K2753,원본명단!$K2753)=1)),"첫 건","중복 건")))</f>
        <v/>
      </c>
      <c r="J2754" s="11" t="str">
        <f aca="false">IF($A2754="","",IF($H2754="-","유지",IF($I2754="첫 건","유지","확인 필요")))</f>
        <v/>
      </c>
    </row>
    <row r="2755" customFormat="false" ht="15" hidden="false" customHeight="true" outlineLevel="0" collapsed="false">
      <c r="A2755" s="11" t="str">
        <f aca="false">IF(원본명단!$A2754="","",2752)</f>
        <v/>
      </c>
      <c r="B2755" s="12" t="str">
        <f aca="false">IF($A2755="","",원본명단!$A2754)</f>
        <v/>
      </c>
      <c r="C2755" s="12" t="str">
        <f aca="false">IF($A2755="","",원본명단!$B2754)</f>
        <v/>
      </c>
      <c r="D2755" s="12" t="str">
        <f aca="false">IF($A2755="","",원본명단!$D2754)</f>
        <v/>
      </c>
      <c r="E2755" s="11" t="str">
        <f aca="false">IF($A2755="","",IF(원본명단!$H2754="",0,COUNTIF(원본명단!$H$3:$H$6002,원본명단!$H2754)))</f>
        <v/>
      </c>
      <c r="F2755" s="11" t="str">
        <f aca="false">IF($A2755="","",IF(원본명단!$I2754="",0,COUNTIF(원본명단!$I$3:$I$6002,원본명단!$I2754)))</f>
        <v/>
      </c>
      <c r="G2755" s="11" t="str">
        <f aca="false">IF($A2755="","",IF(원본명단!$K2754="",0,COUNTIF(원본명단!$K$3:$K$6002,원본명단!$K2754)))</f>
        <v/>
      </c>
      <c r="H2755" s="11" t="str">
        <f aca="false">IF($A2755="","",IF(MAX($E2755,$F2755,$G2755)&gt;1,"중복","-"))</f>
        <v/>
      </c>
      <c r="I2755" s="11" t="str">
        <f aca="false">IF($A2755="","",IF($H2755="-","-",IF(AND(IF(원본명단!$H2754="",TRUE(),COUNTIF(원본명단!$H$3:$H2754,원본명단!$H2754)=1),IF(원본명단!$I2754="",TRUE(),COUNTIF(원본명단!$I$3:$I2754,원본명단!$I2754)=1),IF(원본명단!$K2754="",TRUE(),COUNTIF(원본명단!$K$3:$K2754,원본명단!$K2754)=1)),"첫 건","중복 건")))</f>
        <v/>
      </c>
      <c r="J2755" s="11" t="str">
        <f aca="false">IF($A2755="","",IF($H2755="-","유지",IF($I2755="첫 건","유지","확인 필요")))</f>
        <v/>
      </c>
    </row>
    <row r="2756" customFormat="false" ht="15" hidden="false" customHeight="true" outlineLevel="0" collapsed="false">
      <c r="A2756" s="11" t="str">
        <f aca="false">IF(원본명단!$A2755="","",2753)</f>
        <v/>
      </c>
      <c r="B2756" s="12" t="str">
        <f aca="false">IF($A2756="","",원본명단!$A2755)</f>
        <v/>
      </c>
      <c r="C2756" s="12" t="str">
        <f aca="false">IF($A2756="","",원본명단!$B2755)</f>
        <v/>
      </c>
      <c r="D2756" s="12" t="str">
        <f aca="false">IF($A2756="","",원본명단!$D2755)</f>
        <v/>
      </c>
      <c r="E2756" s="11" t="str">
        <f aca="false">IF($A2756="","",IF(원본명단!$H2755="",0,COUNTIF(원본명단!$H$3:$H$6002,원본명단!$H2755)))</f>
        <v/>
      </c>
      <c r="F2756" s="11" t="str">
        <f aca="false">IF($A2756="","",IF(원본명단!$I2755="",0,COUNTIF(원본명단!$I$3:$I$6002,원본명단!$I2755)))</f>
        <v/>
      </c>
      <c r="G2756" s="11" t="str">
        <f aca="false">IF($A2756="","",IF(원본명단!$K2755="",0,COUNTIF(원본명단!$K$3:$K$6002,원본명단!$K2755)))</f>
        <v/>
      </c>
      <c r="H2756" s="11" t="str">
        <f aca="false">IF($A2756="","",IF(MAX($E2756,$F2756,$G2756)&gt;1,"중복","-"))</f>
        <v/>
      </c>
      <c r="I2756" s="11" t="str">
        <f aca="false">IF($A2756="","",IF($H2756="-","-",IF(AND(IF(원본명단!$H2755="",TRUE(),COUNTIF(원본명단!$H$3:$H2755,원본명단!$H2755)=1),IF(원본명단!$I2755="",TRUE(),COUNTIF(원본명단!$I$3:$I2755,원본명단!$I2755)=1),IF(원본명단!$K2755="",TRUE(),COUNTIF(원본명단!$K$3:$K2755,원본명단!$K2755)=1)),"첫 건","중복 건")))</f>
        <v/>
      </c>
      <c r="J2756" s="11" t="str">
        <f aca="false">IF($A2756="","",IF($H2756="-","유지",IF($I2756="첫 건","유지","확인 필요")))</f>
        <v/>
      </c>
    </row>
    <row r="2757" customFormat="false" ht="15" hidden="false" customHeight="true" outlineLevel="0" collapsed="false">
      <c r="A2757" s="11" t="str">
        <f aca="false">IF(원본명단!$A2756="","",2754)</f>
        <v/>
      </c>
      <c r="B2757" s="12" t="str">
        <f aca="false">IF($A2757="","",원본명단!$A2756)</f>
        <v/>
      </c>
      <c r="C2757" s="12" t="str">
        <f aca="false">IF($A2757="","",원본명단!$B2756)</f>
        <v/>
      </c>
      <c r="D2757" s="12" t="str">
        <f aca="false">IF($A2757="","",원본명단!$D2756)</f>
        <v/>
      </c>
      <c r="E2757" s="11" t="str">
        <f aca="false">IF($A2757="","",IF(원본명단!$H2756="",0,COUNTIF(원본명단!$H$3:$H$6002,원본명단!$H2756)))</f>
        <v/>
      </c>
      <c r="F2757" s="11" t="str">
        <f aca="false">IF($A2757="","",IF(원본명단!$I2756="",0,COUNTIF(원본명단!$I$3:$I$6002,원본명단!$I2756)))</f>
        <v/>
      </c>
      <c r="G2757" s="11" t="str">
        <f aca="false">IF($A2757="","",IF(원본명단!$K2756="",0,COUNTIF(원본명단!$K$3:$K$6002,원본명단!$K2756)))</f>
        <v/>
      </c>
      <c r="H2757" s="11" t="str">
        <f aca="false">IF($A2757="","",IF(MAX($E2757,$F2757,$G2757)&gt;1,"중복","-"))</f>
        <v/>
      </c>
      <c r="I2757" s="11" t="str">
        <f aca="false">IF($A2757="","",IF($H2757="-","-",IF(AND(IF(원본명단!$H2756="",TRUE(),COUNTIF(원본명단!$H$3:$H2756,원본명단!$H2756)=1),IF(원본명단!$I2756="",TRUE(),COUNTIF(원본명단!$I$3:$I2756,원본명단!$I2756)=1),IF(원본명단!$K2756="",TRUE(),COUNTIF(원본명단!$K$3:$K2756,원본명단!$K2756)=1)),"첫 건","중복 건")))</f>
        <v/>
      </c>
      <c r="J2757" s="11" t="str">
        <f aca="false">IF($A2757="","",IF($H2757="-","유지",IF($I2757="첫 건","유지","확인 필요")))</f>
        <v/>
      </c>
    </row>
    <row r="2758" customFormat="false" ht="15" hidden="false" customHeight="true" outlineLevel="0" collapsed="false">
      <c r="A2758" s="11" t="str">
        <f aca="false">IF(원본명단!$A2757="","",2755)</f>
        <v/>
      </c>
      <c r="B2758" s="12" t="str">
        <f aca="false">IF($A2758="","",원본명단!$A2757)</f>
        <v/>
      </c>
      <c r="C2758" s="12" t="str">
        <f aca="false">IF($A2758="","",원본명단!$B2757)</f>
        <v/>
      </c>
      <c r="D2758" s="12" t="str">
        <f aca="false">IF($A2758="","",원본명단!$D2757)</f>
        <v/>
      </c>
      <c r="E2758" s="11" t="str">
        <f aca="false">IF($A2758="","",IF(원본명단!$H2757="",0,COUNTIF(원본명단!$H$3:$H$6002,원본명단!$H2757)))</f>
        <v/>
      </c>
      <c r="F2758" s="11" t="str">
        <f aca="false">IF($A2758="","",IF(원본명단!$I2757="",0,COUNTIF(원본명단!$I$3:$I$6002,원본명단!$I2757)))</f>
        <v/>
      </c>
      <c r="G2758" s="11" t="str">
        <f aca="false">IF($A2758="","",IF(원본명단!$K2757="",0,COUNTIF(원본명단!$K$3:$K$6002,원본명단!$K2757)))</f>
        <v/>
      </c>
      <c r="H2758" s="11" t="str">
        <f aca="false">IF($A2758="","",IF(MAX($E2758,$F2758,$G2758)&gt;1,"중복","-"))</f>
        <v/>
      </c>
      <c r="I2758" s="11" t="str">
        <f aca="false">IF($A2758="","",IF($H2758="-","-",IF(AND(IF(원본명단!$H2757="",TRUE(),COUNTIF(원본명단!$H$3:$H2757,원본명단!$H2757)=1),IF(원본명단!$I2757="",TRUE(),COUNTIF(원본명단!$I$3:$I2757,원본명단!$I2757)=1),IF(원본명단!$K2757="",TRUE(),COUNTIF(원본명단!$K$3:$K2757,원본명단!$K2757)=1)),"첫 건","중복 건")))</f>
        <v/>
      </c>
      <c r="J2758" s="11" t="str">
        <f aca="false">IF($A2758="","",IF($H2758="-","유지",IF($I2758="첫 건","유지","확인 필요")))</f>
        <v/>
      </c>
    </row>
    <row r="2759" customFormat="false" ht="15" hidden="false" customHeight="true" outlineLevel="0" collapsed="false">
      <c r="A2759" s="11" t="str">
        <f aca="false">IF(원본명단!$A2758="","",2756)</f>
        <v/>
      </c>
      <c r="B2759" s="12" t="str">
        <f aca="false">IF($A2759="","",원본명단!$A2758)</f>
        <v/>
      </c>
      <c r="C2759" s="12" t="str">
        <f aca="false">IF($A2759="","",원본명단!$B2758)</f>
        <v/>
      </c>
      <c r="D2759" s="12" t="str">
        <f aca="false">IF($A2759="","",원본명단!$D2758)</f>
        <v/>
      </c>
      <c r="E2759" s="11" t="str">
        <f aca="false">IF($A2759="","",IF(원본명단!$H2758="",0,COUNTIF(원본명단!$H$3:$H$6002,원본명단!$H2758)))</f>
        <v/>
      </c>
      <c r="F2759" s="11" t="str">
        <f aca="false">IF($A2759="","",IF(원본명단!$I2758="",0,COUNTIF(원본명단!$I$3:$I$6002,원본명단!$I2758)))</f>
        <v/>
      </c>
      <c r="G2759" s="11" t="str">
        <f aca="false">IF($A2759="","",IF(원본명단!$K2758="",0,COUNTIF(원본명단!$K$3:$K$6002,원본명단!$K2758)))</f>
        <v/>
      </c>
      <c r="H2759" s="11" t="str">
        <f aca="false">IF($A2759="","",IF(MAX($E2759,$F2759,$G2759)&gt;1,"중복","-"))</f>
        <v/>
      </c>
      <c r="I2759" s="11" t="str">
        <f aca="false">IF($A2759="","",IF($H2759="-","-",IF(AND(IF(원본명단!$H2758="",TRUE(),COUNTIF(원본명단!$H$3:$H2758,원본명단!$H2758)=1),IF(원본명단!$I2758="",TRUE(),COUNTIF(원본명단!$I$3:$I2758,원본명단!$I2758)=1),IF(원본명단!$K2758="",TRUE(),COUNTIF(원본명단!$K$3:$K2758,원본명단!$K2758)=1)),"첫 건","중복 건")))</f>
        <v/>
      </c>
      <c r="J2759" s="11" t="str">
        <f aca="false">IF($A2759="","",IF($H2759="-","유지",IF($I2759="첫 건","유지","확인 필요")))</f>
        <v/>
      </c>
    </row>
    <row r="2760" customFormat="false" ht="15" hidden="false" customHeight="true" outlineLevel="0" collapsed="false">
      <c r="A2760" s="11" t="str">
        <f aca="false">IF(원본명단!$A2759="","",2757)</f>
        <v/>
      </c>
      <c r="B2760" s="12" t="str">
        <f aca="false">IF($A2760="","",원본명단!$A2759)</f>
        <v/>
      </c>
      <c r="C2760" s="12" t="str">
        <f aca="false">IF($A2760="","",원본명단!$B2759)</f>
        <v/>
      </c>
      <c r="D2760" s="12" t="str">
        <f aca="false">IF($A2760="","",원본명단!$D2759)</f>
        <v/>
      </c>
      <c r="E2760" s="11" t="str">
        <f aca="false">IF($A2760="","",IF(원본명단!$H2759="",0,COUNTIF(원본명단!$H$3:$H$6002,원본명단!$H2759)))</f>
        <v/>
      </c>
      <c r="F2760" s="11" t="str">
        <f aca="false">IF($A2760="","",IF(원본명단!$I2759="",0,COUNTIF(원본명단!$I$3:$I$6002,원본명단!$I2759)))</f>
        <v/>
      </c>
      <c r="G2760" s="11" t="str">
        <f aca="false">IF($A2760="","",IF(원본명단!$K2759="",0,COUNTIF(원본명단!$K$3:$K$6002,원본명단!$K2759)))</f>
        <v/>
      </c>
      <c r="H2760" s="11" t="str">
        <f aca="false">IF($A2760="","",IF(MAX($E2760,$F2760,$G2760)&gt;1,"중복","-"))</f>
        <v/>
      </c>
      <c r="I2760" s="11" t="str">
        <f aca="false">IF($A2760="","",IF($H2760="-","-",IF(AND(IF(원본명단!$H2759="",TRUE(),COUNTIF(원본명단!$H$3:$H2759,원본명단!$H2759)=1),IF(원본명단!$I2759="",TRUE(),COUNTIF(원본명단!$I$3:$I2759,원본명단!$I2759)=1),IF(원본명단!$K2759="",TRUE(),COUNTIF(원본명단!$K$3:$K2759,원본명단!$K2759)=1)),"첫 건","중복 건")))</f>
        <v/>
      </c>
      <c r="J2760" s="11" t="str">
        <f aca="false">IF($A2760="","",IF($H2760="-","유지",IF($I2760="첫 건","유지","확인 필요")))</f>
        <v/>
      </c>
    </row>
    <row r="2761" customFormat="false" ht="15" hidden="false" customHeight="true" outlineLevel="0" collapsed="false">
      <c r="A2761" s="11" t="str">
        <f aca="false">IF(원본명단!$A2760="","",2758)</f>
        <v/>
      </c>
      <c r="B2761" s="12" t="str">
        <f aca="false">IF($A2761="","",원본명단!$A2760)</f>
        <v/>
      </c>
      <c r="C2761" s="12" t="str">
        <f aca="false">IF($A2761="","",원본명단!$B2760)</f>
        <v/>
      </c>
      <c r="D2761" s="12" t="str">
        <f aca="false">IF($A2761="","",원본명단!$D2760)</f>
        <v/>
      </c>
      <c r="E2761" s="11" t="str">
        <f aca="false">IF($A2761="","",IF(원본명단!$H2760="",0,COUNTIF(원본명단!$H$3:$H$6002,원본명단!$H2760)))</f>
        <v/>
      </c>
      <c r="F2761" s="11" t="str">
        <f aca="false">IF($A2761="","",IF(원본명단!$I2760="",0,COUNTIF(원본명단!$I$3:$I$6002,원본명단!$I2760)))</f>
        <v/>
      </c>
      <c r="G2761" s="11" t="str">
        <f aca="false">IF($A2761="","",IF(원본명단!$K2760="",0,COUNTIF(원본명단!$K$3:$K$6002,원본명단!$K2760)))</f>
        <v/>
      </c>
      <c r="H2761" s="11" t="str">
        <f aca="false">IF($A2761="","",IF(MAX($E2761,$F2761,$G2761)&gt;1,"중복","-"))</f>
        <v/>
      </c>
      <c r="I2761" s="11" t="str">
        <f aca="false">IF($A2761="","",IF($H2761="-","-",IF(AND(IF(원본명단!$H2760="",TRUE(),COUNTIF(원본명단!$H$3:$H2760,원본명단!$H2760)=1),IF(원본명단!$I2760="",TRUE(),COUNTIF(원본명단!$I$3:$I2760,원본명단!$I2760)=1),IF(원본명단!$K2760="",TRUE(),COUNTIF(원본명단!$K$3:$K2760,원본명단!$K2760)=1)),"첫 건","중복 건")))</f>
        <v/>
      </c>
      <c r="J2761" s="11" t="str">
        <f aca="false">IF($A2761="","",IF($H2761="-","유지",IF($I2761="첫 건","유지","확인 필요")))</f>
        <v/>
      </c>
    </row>
    <row r="2762" customFormat="false" ht="15" hidden="false" customHeight="true" outlineLevel="0" collapsed="false">
      <c r="A2762" s="11" t="str">
        <f aca="false">IF(원본명단!$A2761="","",2759)</f>
        <v/>
      </c>
      <c r="B2762" s="12" t="str">
        <f aca="false">IF($A2762="","",원본명단!$A2761)</f>
        <v/>
      </c>
      <c r="C2762" s="12" t="str">
        <f aca="false">IF($A2762="","",원본명단!$B2761)</f>
        <v/>
      </c>
      <c r="D2762" s="12" t="str">
        <f aca="false">IF($A2762="","",원본명단!$D2761)</f>
        <v/>
      </c>
      <c r="E2762" s="11" t="str">
        <f aca="false">IF($A2762="","",IF(원본명단!$H2761="",0,COUNTIF(원본명단!$H$3:$H$6002,원본명단!$H2761)))</f>
        <v/>
      </c>
      <c r="F2762" s="11" t="str">
        <f aca="false">IF($A2762="","",IF(원본명단!$I2761="",0,COUNTIF(원본명단!$I$3:$I$6002,원본명단!$I2761)))</f>
        <v/>
      </c>
      <c r="G2762" s="11" t="str">
        <f aca="false">IF($A2762="","",IF(원본명단!$K2761="",0,COUNTIF(원본명단!$K$3:$K$6002,원본명단!$K2761)))</f>
        <v/>
      </c>
      <c r="H2762" s="11" t="str">
        <f aca="false">IF($A2762="","",IF(MAX($E2762,$F2762,$G2762)&gt;1,"중복","-"))</f>
        <v/>
      </c>
      <c r="I2762" s="11" t="str">
        <f aca="false">IF($A2762="","",IF($H2762="-","-",IF(AND(IF(원본명단!$H2761="",TRUE(),COUNTIF(원본명단!$H$3:$H2761,원본명단!$H2761)=1),IF(원본명단!$I2761="",TRUE(),COUNTIF(원본명단!$I$3:$I2761,원본명단!$I2761)=1),IF(원본명단!$K2761="",TRUE(),COUNTIF(원본명단!$K$3:$K2761,원본명단!$K2761)=1)),"첫 건","중복 건")))</f>
        <v/>
      </c>
      <c r="J2762" s="11" t="str">
        <f aca="false">IF($A2762="","",IF($H2762="-","유지",IF($I2762="첫 건","유지","확인 필요")))</f>
        <v/>
      </c>
    </row>
    <row r="2763" customFormat="false" ht="15" hidden="false" customHeight="true" outlineLevel="0" collapsed="false">
      <c r="A2763" s="11" t="str">
        <f aca="false">IF(원본명단!$A2762="","",2760)</f>
        <v/>
      </c>
      <c r="B2763" s="12" t="str">
        <f aca="false">IF($A2763="","",원본명단!$A2762)</f>
        <v/>
      </c>
      <c r="C2763" s="12" t="str">
        <f aca="false">IF($A2763="","",원본명단!$B2762)</f>
        <v/>
      </c>
      <c r="D2763" s="12" t="str">
        <f aca="false">IF($A2763="","",원본명단!$D2762)</f>
        <v/>
      </c>
      <c r="E2763" s="11" t="str">
        <f aca="false">IF($A2763="","",IF(원본명단!$H2762="",0,COUNTIF(원본명단!$H$3:$H$6002,원본명단!$H2762)))</f>
        <v/>
      </c>
      <c r="F2763" s="11" t="str">
        <f aca="false">IF($A2763="","",IF(원본명단!$I2762="",0,COUNTIF(원본명단!$I$3:$I$6002,원본명단!$I2762)))</f>
        <v/>
      </c>
      <c r="G2763" s="11" t="str">
        <f aca="false">IF($A2763="","",IF(원본명단!$K2762="",0,COUNTIF(원본명단!$K$3:$K$6002,원본명단!$K2762)))</f>
        <v/>
      </c>
      <c r="H2763" s="11" t="str">
        <f aca="false">IF($A2763="","",IF(MAX($E2763,$F2763,$G2763)&gt;1,"중복","-"))</f>
        <v/>
      </c>
      <c r="I2763" s="11" t="str">
        <f aca="false">IF($A2763="","",IF($H2763="-","-",IF(AND(IF(원본명단!$H2762="",TRUE(),COUNTIF(원본명단!$H$3:$H2762,원본명단!$H2762)=1),IF(원본명단!$I2762="",TRUE(),COUNTIF(원본명단!$I$3:$I2762,원본명단!$I2762)=1),IF(원본명단!$K2762="",TRUE(),COUNTIF(원본명단!$K$3:$K2762,원본명단!$K2762)=1)),"첫 건","중복 건")))</f>
        <v/>
      </c>
      <c r="J2763" s="11" t="str">
        <f aca="false">IF($A2763="","",IF($H2763="-","유지",IF($I2763="첫 건","유지","확인 필요")))</f>
        <v/>
      </c>
    </row>
    <row r="2764" customFormat="false" ht="15" hidden="false" customHeight="true" outlineLevel="0" collapsed="false">
      <c r="A2764" s="11" t="str">
        <f aca="false">IF(원본명단!$A2763="","",2761)</f>
        <v/>
      </c>
      <c r="B2764" s="12" t="str">
        <f aca="false">IF($A2764="","",원본명단!$A2763)</f>
        <v/>
      </c>
      <c r="C2764" s="12" t="str">
        <f aca="false">IF($A2764="","",원본명단!$B2763)</f>
        <v/>
      </c>
      <c r="D2764" s="12" t="str">
        <f aca="false">IF($A2764="","",원본명단!$D2763)</f>
        <v/>
      </c>
      <c r="E2764" s="11" t="str">
        <f aca="false">IF($A2764="","",IF(원본명단!$H2763="",0,COUNTIF(원본명단!$H$3:$H$6002,원본명단!$H2763)))</f>
        <v/>
      </c>
      <c r="F2764" s="11" t="str">
        <f aca="false">IF($A2764="","",IF(원본명단!$I2763="",0,COUNTIF(원본명단!$I$3:$I$6002,원본명단!$I2763)))</f>
        <v/>
      </c>
      <c r="G2764" s="11" t="str">
        <f aca="false">IF($A2764="","",IF(원본명단!$K2763="",0,COUNTIF(원본명단!$K$3:$K$6002,원본명단!$K2763)))</f>
        <v/>
      </c>
      <c r="H2764" s="11" t="str">
        <f aca="false">IF($A2764="","",IF(MAX($E2764,$F2764,$G2764)&gt;1,"중복","-"))</f>
        <v/>
      </c>
      <c r="I2764" s="11" t="str">
        <f aca="false">IF($A2764="","",IF($H2764="-","-",IF(AND(IF(원본명단!$H2763="",TRUE(),COUNTIF(원본명단!$H$3:$H2763,원본명단!$H2763)=1),IF(원본명단!$I2763="",TRUE(),COUNTIF(원본명단!$I$3:$I2763,원본명단!$I2763)=1),IF(원본명단!$K2763="",TRUE(),COUNTIF(원본명단!$K$3:$K2763,원본명단!$K2763)=1)),"첫 건","중복 건")))</f>
        <v/>
      </c>
      <c r="J2764" s="11" t="str">
        <f aca="false">IF($A2764="","",IF($H2764="-","유지",IF($I2764="첫 건","유지","확인 필요")))</f>
        <v/>
      </c>
    </row>
    <row r="2765" customFormat="false" ht="15" hidden="false" customHeight="true" outlineLevel="0" collapsed="false">
      <c r="A2765" s="11" t="str">
        <f aca="false">IF(원본명단!$A2764="","",2762)</f>
        <v/>
      </c>
      <c r="B2765" s="12" t="str">
        <f aca="false">IF($A2765="","",원본명단!$A2764)</f>
        <v/>
      </c>
      <c r="C2765" s="12" t="str">
        <f aca="false">IF($A2765="","",원본명단!$B2764)</f>
        <v/>
      </c>
      <c r="D2765" s="12" t="str">
        <f aca="false">IF($A2765="","",원본명단!$D2764)</f>
        <v/>
      </c>
      <c r="E2765" s="11" t="str">
        <f aca="false">IF($A2765="","",IF(원본명단!$H2764="",0,COUNTIF(원본명단!$H$3:$H$6002,원본명단!$H2764)))</f>
        <v/>
      </c>
      <c r="F2765" s="11" t="str">
        <f aca="false">IF($A2765="","",IF(원본명단!$I2764="",0,COUNTIF(원본명단!$I$3:$I$6002,원본명단!$I2764)))</f>
        <v/>
      </c>
      <c r="G2765" s="11" t="str">
        <f aca="false">IF($A2765="","",IF(원본명단!$K2764="",0,COUNTIF(원본명단!$K$3:$K$6002,원본명단!$K2764)))</f>
        <v/>
      </c>
      <c r="H2765" s="11" t="str">
        <f aca="false">IF($A2765="","",IF(MAX($E2765,$F2765,$G2765)&gt;1,"중복","-"))</f>
        <v/>
      </c>
      <c r="I2765" s="11" t="str">
        <f aca="false">IF($A2765="","",IF($H2765="-","-",IF(AND(IF(원본명단!$H2764="",TRUE(),COUNTIF(원본명단!$H$3:$H2764,원본명단!$H2764)=1),IF(원본명단!$I2764="",TRUE(),COUNTIF(원본명단!$I$3:$I2764,원본명단!$I2764)=1),IF(원본명단!$K2764="",TRUE(),COUNTIF(원본명단!$K$3:$K2764,원본명단!$K2764)=1)),"첫 건","중복 건")))</f>
        <v/>
      </c>
      <c r="J2765" s="11" t="str">
        <f aca="false">IF($A2765="","",IF($H2765="-","유지",IF($I2765="첫 건","유지","확인 필요")))</f>
        <v/>
      </c>
    </row>
    <row r="2766" customFormat="false" ht="15" hidden="false" customHeight="true" outlineLevel="0" collapsed="false">
      <c r="A2766" s="11" t="str">
        <f aca="false">IF(원본명단!$A2765="","",2763)</f>
        <v/>
      </c>
      <c r="B2766" s="12" t="str">
        <f aca="false">IF($A2766="","",원본명단!$A2765)</f>
        <v/>
      </c>
      <c r="C2766" s="12" t="str">
        <f aca="false">IF($A2766="","",원본명단!$B2765)</f>
        <v/>
      </c>
      <c r="D2766" s="12" t="str">
        <f aca="false">IF($A2766="","",원본명단!$D2765)</f>
        <v/>
      </c>
      <c r="E2766" s="11" t="str">
        <f aca="false">IF($A2766="","",IF(원본명단!$H2765="",0,COUNTIF(원본명단!$H$3:$H$6002,원본명단!$H2765)))</f>
        <v/>
      </c>
      <c r="F2766" s="11" t="str">
        <f aca="false">IF($A2766="","",IF(원본명단!$I2765="",0,COUNTIF(원본명단!$I$3:$I$6002,원본명단!$I2765)))</f>
        <v/>
      </c>
      <c r="G2766" s="11" t="str">
        <f aca="false">IF($A2766="","",IF(원본명단!$K2765="",0,COUNTIF(원본명단!$K$3:$K$6002,원본명단!$K2765)))</f>
        <v/>
      </c>
      <c r="H2766" s="11" t="str">
        <f aca="false">IF($A2766="","",IF(MAX($E2766,$F2766,$G2766)&gt;1,"중복","-"))</f>
        <v/>
      </c>
      <c r="I2766" s="11" t="str">
        <f aca="false">IF($A2766="","",IF($H2766="-","-",IF(AND(IF(원본명단!$H2765="",TRUE(),COUNTIF(원본명단!$H$3:$H2765,원본명단!$H2765)=1),IF(원본명단!$I2765="",TRUE(),COUNTIF(원본명단!$I$3:$I2765,원본명단!$I2765)=1),IF(원본명단!$K2765="",TRUE(),COUNTIF(원본명단!$K$3:$K2765,원본명단!$K2765)=1)),"첫 건","중복 건")))</f>
        <v/>
      </c>
      <c r="J2766" s="11" t="str">
        <f aca="false">IF($A2766="","",IF($H2766="-","유지",IF($I2766="첫 건","유지","확인 필요")))</f>
        <v/>
      </c>
    </row>
    <row r="2767" customFormat="false" ht="15" hidden="false" customHeight="true" outlineLevel="0" collapsed="false">
      <c r="A2767" s="11" t="str">
        <f aca="false">IF(원본명단!$A2766="","",2764)</f>
        <v/>
      </c>
      <c r="B2767" s="12" t="str">
        <f aca="false">IF($A2767="","",원본명단!$A2766)</f>
        <v/>
      </c>
      <c r="C2767" s="12" t="str">
        <f aca="false">IF($A2767="","",원본명단!$B2766)</f>
        <v/>
      </c>
      <c r="D2767" s="12" t="str">
        <f aca="false">IF($A2767="","",원본명단!$D2766)</f>
        <v/>
      </c>
      <c r="E2767" s="11" t="str">
        <f aca="false">IF($A2767="","",IF(원본명단!$H2766="",0,COUNTIF(원본명단!$H$3:$H$6002,원본명단!$H2766)))</f>
        <v/>
      </c>
      <c r="F2767" s="11" t="str">
        <f aca="false">IF($A2767="","",IF(원본명단!$I2766="",0,COUNTIF(원본명단!$I$3:$I$6002,원본명단!$I2766)))</f>
        <v/>
      </c>
      <c r="G2767" s="11" t="str">
        <f aca="false">IF($A2767="","",IF(원본명단!$K2766="",0,COUNTIF(원본명단!$K$3:$K$6002,원본명단!$K2766)))</f>
        <v/>
      </c>
      <c r="H2767" s="11" t="str">
        <f aca="false">IF($A2767="","",IF(MAX($E2767,$F2767,$G2767)&gt;1,"중복","-"))</f>
        <v/>
      </c>
      <c r="I2767" s="11" t="str">
        <f aca="false">IF($A2767="","",IF($H2767="-","-",IF(AND(IF(원본명단!$H2766="",TRUE(),COUNTIF(원본명단!$H$3:$H2766,원본명단!$H2766)=1),IF(원본명단!$I2766="",TRUE(),COUNTIF(원본명단!$I$3:$I2766,원본명단!$I2766)=1),IF(원본명단!$K2766="",TRUE(),COUNTIF(원본명단!$K$3:$K2766,원본명단!$K2766)=1)),"첫 건","중복 건")))</f>
        <v/>
      </c>
      <c r="J2767" s="11" t="str">
        <f aca="false">IF($A2767="","",IF($H2767="-","유지",IF($I2767="첫 건","유지","확인 필요")))</f>
        <v/>
      </c>
    </row>
    <row r="2768" customFormat="false" ht="15" hidden="false" customHeight="true" outlineLevel="0" collapsed="false">
      <c r="A2768" s="11" t="str">
        <f aca="false">IF(원본명단!$A2767="","",2765)</f>
        <v/>
      </c>
      <c r="B2768" s="12" t="str">
        <f aca="false">IF($A2768="","",원본명단!$A2767)</f>
        <v/>
      </c>
      <c r="C2768" s="12" t="str">
        <f aca="false">IF($A2768="","",원본명단!$B2767)</f>
        <v/>
      </c>
      <c r="D2768" s="12" t="str">
        <f aca="false">IF($A2768="","",원본명단!$D2767)</f>
        <v/>
      </c>
      <c r="E2768" s="11" t="str">
        <f aca="false">IF($A2768="","",IF(원본명단!$H2767="",0,COUNTIF(원본명단!$H$3:$H$6002,원본명단!$H2767)))</f>
        <v/>
      </c>
      <c r="F2768" s="11" t="str">
        <f aca="false">IF($A2768="","",IF(원본명단!$I2767="",0,COUNTIF(원본명단!$I$3:$I$6002,원본명단!$I2767)))</f>
        <v/>
      </c>
      <c r="G2768" s="11" t="str">
        <f aca="false">IF($A2768="","",IF(원본명단!$K2767="",0,COUNTIF(원본명단!$K$3:$K$6002,원본명단!$K2767)))</f>
        <v/>
      </c>
      <c r="H2768" s="11" t="str">
        <f aca="false">IF($A2768="","",IF(MAX($E2768,$F2768,$G2768)&gt;1,"중복","-"))</f>
        <v/>
      </c>
      <c r="I2768" s="11" t="str">
        <f aca="false">IF($A2768="","",IF($H2768="-","-",IF(AND(IF(원본명단!$H2767="",TRUE(),COUNTIF(원본명단!$H$3:$H2767,원본명단!$H2767)=1),IF(원본명단!$I2767="",TRUE(),COUNTIF(원본명단!$I$3:$I2767,원본명단!$I2767)=1),IF(원본명단!$K2767="",TRUE(),COUNTIF(원본명단!$K$3:$K2767,원본명단!$K2767)=1)),"첫 건","중복 건")))</f>
        <v/>
      </c>
      <c r="J2768" s="11" t="str">
        <f aca="false">IF($A2768="","",IF($H2768="-","유지",IF($I2768="첫 건","유지","확인 필요")))</f>
        <v/>
      </c>
    </row>
    <row r="2769" customFormat="false" ht="15" hidden="false" customHeight="true" outlineLevel="0" collapsed="false">
      <c r="A2769" s="11" t="str">
        <f aca="false">IF(원본명단!$A2768="","",2766)</f>
        <v/>
      </c>
      <c r="B2769" s="12" t="str">
        <f aca="false">IF($A2769="","",원본명단!$A2768)</f>
        <v/>
      </c>
      <c r="C2769" s="12" t="str">
        <f aca="false">IF($A2769="","",원본명단!$B2768)</f>
        <v/>
      </c>
      <c r="D2769" s="12" t="str">
        <f aca="false">IF($A2769="","",원본명단!$D2768)</f>
        <v/>
      </c>
      <c r="E2769" s="11" t="str">
        <f aca="false">IF($A2769="","",IF(원본명단!$H2768="",0,COUNTIF(원본명단!$H$3:$H$6002,원본명단!$H2768)))</f>
        <v/>
      </c>
      <c r="F2769" s="11" t="str">
        <f aca="false">IF($A2769="","",IF(원본명단!$I2768="",0,COUNTIF(원본명단!$I$3:$I$6002,원본명단!$I2768)))</f>
        <v/>
      </c>
      <c r="G2769" s="11" t="str">
        <f aca="false">IF($A2769="","",IF(원본명단!$K2768="",0,COUNTIF(원본명단!$K$3:$K$6002,원본명단!$K2768)))</f>
        <v/>
      </c>
      <c r="H2769" s="11" t="str">
        <f aca="false">IF($A2769="","",IF(MAX($E2769,$F2769,$G2769)&gt;1,"중복","-"))</f>
        <v/>
      </c>
      <c r="I2769" s="11" t="str">
        <f aca="false">IF($A2769="","",IF($H2769="-","-",IF(AND(IF(원본명단!$H2768="",TRUE(),COUNTIF(원본명단!$H$3:$H2768,원본명단!$H2768)=1),IF(원본명단!$I2768="",TRUE(),COUNTIF(원본명단!$I$3:$I2768,원본명단!$I2768)=1),IF(원본명단!$K2768="",TRUE(),COUNTIF(원본명단!$K$3:$K2768,원본명단!$K2768)=1)),"첫 건","중복 건")))</f>
        <v/>
      </c>
      <c r="J2769" s="11" t="str">
        <f aca="false">IF($A2769="","",IF($H2769="-","유지",IF($I2769="첫 건","유지","확인 필요")))</f>
        <v/>
      </c>
    </row>
    <row r="2770" customFormat="false" ht="15" hidden="false" customHeight="true" outlineLevel="0" collapsed="false">
      <c r="A2770" s="11" t="str">
        <f aca="false">IF(원본명단!$A2769="","",2767)</f>
        <v/>
      </c>
      <c r="B2770" s="12" t="str">
        <f aca="false">IF($A2770="","",원본명단!$A2769)</f>
        <v/>
      </c>
      <c r="C2770" s="12" t="str">
        <f aca="false">IF($A2770="","",원본명단!$B2769)</f>
        <v/>
      </c>
      <c r="D2770" s="12" t="str">
        <f aca="false">IF($A2770="","",원본명단!$D2769)</f>
        <v/>
      </c>
      <c r="E2770" s="11" t="str">
        <f aca="false">IF($A2770="","",IF(원본명단!$H2769="",0,COUNTIF(원본명단!$H$3:$H$6002,원본명단!$H2769)))</f>
        <v/>
      </c>
      <c r="F2770" s="11" t="str">
        <f aca="false">IF($A2770="","",IF(원본명단!$I2769="",0,COUNTIF(원본명단!$I$3:$I$6002,원본명단!$I2769)))</f>
        <v/>
      </c>
      <c r="G2770" s="11" t="str">
        <f aca="false">IF($A2770="","",IF(원본명단!$K2769="",0,COUNTIF(원본명단!$K$3:$K$6002,원본명단!$K2769)))</f>
        <v/>
      </c>
      <c r="H2770" s="11" t="str">
        <f aca="false">IF($A2770="","",IF(MAX($E2770,$F2770,$G2770)&gt;1,"중복","-"))</f>
        <v/>
      </c>
      <c r="I2770" s="11" t="str">
        <f aca="false">IF($A2770="","",IF($H2770="-","-",IF(AND(IF(원본명단!$H2769="",TRUE(),COUNTIF(원본명단!$H$3:$H2769,원본명단!$H2769)=1),IF(원본명단!$I2769="",TRUE(),COUNTIF(원본명단!$I$3:$I2769,원본명단!$I2769)=1),IF(원본명단!$K2769="",TRUE(),COUNTIF(원본명단!$K$3:$K2769,원본명단!$K2769)=1)),"첫 건","중복 건")))</f>
        <v/>
      </c>
      <c r="J2770" s="11" t="str">
        <f aca="false">IF($A2770="","",IF($H2770="-","유지",IF($I2770="첫 건","유지","확인 필요")))</f>
        <v/>
      </c>
    </row>
    <row r="2771" customFormat="false" ht="15" hidden="false" customHeight="true" outlineLevel="0" collapsed="false">
      <c r="A2771" s="11" t="str">
        <f aca="false">IF(원본명단!$A2770="","",2768)</f>
        <v/>
      </c>
      <c r="B2771" s="12" t="str">
        <f aca="false">IF($A2771="","",원본명단!$A2770)</f>
        <v/>
      </c>
      <c r="C2771" s="12" t="str">
        <f aca="false">IF($A2771="","",원본명단!$B2770)</f>
        <v/>
      </c>
      <c r="D2771" s="12" t="str">
        <f aca="false">IF($A2771="","",원본명단!$D2770)</f>
        <v/>
      </c>
      <c r="E2771" s="11" t="str">
        <f aca="false">IF($A2771="","",IF(원본명단!$H2770="",0,COUNTIF(원본명단!$H$3:$H$6002,원본명단!$H2770)))</f>
        <v/>
      </c>
      <c r="F2771" s="11" t="str">
        <f aca="false">IF($A2771="","",IF(원본명단!$I2770="",0,COUNTIF(원본명단!$I$3:$I$6002,원본명단!$I2770)))</f>
        <v/>
      </c>
      <c r="G2771" s="11" t="str">
        <f aca="false">IF($A2771="","",IF(원본명단!$K2770="",0,COUNTIF(원본명단!$K$3:$K$6002,원본명단!$K2770)))</f>
        <v/>
      </c>
      <c r="H2771" s="11" t="str">
        <f aca="false">IF($A2771="","",IF(MAX($E2771,$F2771,$G2771)&gt;1,"중복","-"))</f>
        <v/>
      </c>
      <c r="I2771" s="11" t="str">
        <f aca="false">IF($A2771="","",IF($H2771="-","-",IF(AND(IF(원본명단!$H2770="",TRUE(),COUNTIF(원본명단!$H$3:$H2770,원본명단!$H2770)=1),IF(원본명단!$I2770="",TRUE(),COUNTIF(원본명단!$I$3:$I2770,원본명단!$I2770)=1),IF(원본명단!$K2770="",TRUE(),COUNTIF(원본명단!$K$3:$K2770,원본명단!$K2770)=1)),"첫 건","중복 건")))</f>
        <v/>
      </c>
      <c r="J2771" s="11" t="str">
        <f aca="false">IF($A2771="","",IF($H2771="-","유지",IF($I2771="첫 건","유지","확인 필요")))</f>
        <v/>
      </c>
    </row>
    <row r="2772" customFormat="false" ht="15" hidden="false" customHeight="true" outlineLevel="0" collapsed="false">
      <c r="A2772" s="11" t="str">
        <f aca="false">IF(원본명단!$A2771="","",2769)</f>
        <v/>
      </c>
      <c r="B2772" s="12" t="str">
        <f aca="false">IF($A2772="","",원본명단!$A2771)</f>
        <v/>
      </c>
      <c r="C2772" s="12" t="str">
        <f aca="false">IF($A2772="","",원본명단!$B2771)</f>
        <v/>
      </c>
      <c r="D2772" s="12" t="str">
        <f aca="false">IF($A2772="","",원본명단!$D2771)</f>
        <v/>
      </c>
      <c r="E2772" s="11" t="str">
        <f aca="false">IF($A2772="","",IF(원본명단!$H2771="",0,COUNTIF(원본명단!$H$3:$H$6002,원본명단!$H2771)))</f>
        <v/>
      </c>
      <c r="F2772" s="11" t="str">
        <f aca="false">IF($A2772="","",IF(원본명단!$I2771="",0,COUNTIF(원본명단!$I$3:$I$6002,원본명단!$I2771)))</f>
        <v/>
      </c>
      <c r="G2772" s="11" t="str">
        <f aca="false">IF($A2772="","",IF(원본명단!$K2771="",0,COUNTIF(원본명단!$K$3:$K$6002,원본명단!$K2771)))</f>
        <v/>
      </c>
      <c r="H2772" s="11" t="str">
        <f aca="false">IF($A2772="","",IF(MAX($E2772,$F2772,$G2772)&gt;1,"중복","-"))</f>
        <v/>
      </c>
      <c r="I2772" s="11" t="str">
        <f aca="false">IF($A2772="","",IF($H2772="-","-",IF(AND(IF(원본명단!$H2771="",TRUE(),COUNTIF(원본명단!$H$3:$H2771,원본명단!$H2771)=1),IF(원본명단!$I2771="",TRUE(),COUNTIF(원본명단!$I$3:$I2771,원본명단!$I2771)=1),IF(원본명단!$K2771="",TRUE(),COUNTIF(원본명단!$K$3:$K2771,원본명단!$K2771)=1)),"첫 건","중복 건")))</f>
        <v/>
      </c>
      <c r="J2772" s="11" t="str">
        <f aca="false">IF($A2772="","",IF($H2772="-","유지",IF($I2772="첫 건","유지","확인 필요")))</f>
        <v/>
      </c>
    </row>
    <row r="2773" customFormat="false" ht="15" hidden="false" customHeight="true" outlineLevel="0" collapsed="false">
      <c r="A2773" s="11" t="str">
        <f aca="false">IF(원본명단!$A2772="","",2770)</f>
        <v/>
      </c>
      <c r="B2773" s="12" t="str">
        <f aca="false">IF($A2773="","",원본명단!$A2772)</f>
        <v/>
      </c>
      <c r="C2773" s="12" t="str">
        <f aca="false">IF($A2773="","",원본명단!$B2772)</f>
        <v/>
      </c>
      <c r="D2773" s="12" t="str">
        <f aca="false">IF($A2773="","",원본명단!$D2772)</f>
        <v/>
      </c>
      <c r="E2773" s="11" t="str">
        <f aca="false">IF($A2773="","",IF(원본명단!$H2772="",0,COUNTIF(원본명단!$H$3:$H$6002,원본명단!$H2772)))</f>
        <v/>
      </c>
      <c r="F2773" s="11" t="str">
        <f aca="false">IF($A2773="","",IF(원본명단!$I2772="",0,COUNTIF(원본명단!$I$3:$I$6002,원본명단!$I2772)))</f>
        <v/>
      </c>
      <c r="G2773" s="11" t="str">
        <f aca="false">IF($A2773="","",IF(원본명단!$K2772="",0,COUNTIF(원본명단!$K$3:$K$6002,원본명단!$K2772)))</f>
        <v/>
      </c>
      <c r="H2773" s="11" t="str">
        <f aca="false">IF($A2773="","",IF(MAX($E2773,$F2773,$G2773)&gt;1,"중복","-"))</f>
        <v/>
      </c>
      <c r="I2773" s="11" t="str">
        <f aca="false">IF($A2773="","",IF($H2773="-","-",IF(AND(IF(원본명단!$H2772="",TRUE(),COUNTIF(원본명단!$H$3:$H2772,원본명단!$H2772)=1),IF(원본명단!$I2772="",TRUE(),COUNTIF(원본명단!$I$3:$I2772,원본명단!$I2772)=1),IF(원본명단!$K2772="",TRUE(),COUNTIF(원본명단!$K$3:$K2772,원본명단!$K2772)=1)),"첫 건","중복 건")))</f>
        <v/>
      </c>
      <c r="J2773" s="11" t="str">
        <f aca="false">IF($A2773="","",IF($H2773="-","유지",IF($I2773="첫 건","유지","확인 필요")))</f>
        <v/>
      </c>
    </row>
    <row r="2774" customFormat="false" ht="15" hidden="false" customHeight="true" outlineLevel="0" collapsed="false">
      <c r="A2774" s="11" t="str">
        <f aca="false">IF(원본명단!$A2773="","",2771)</f>
        <v/>
      </c>
      <c r="B2774" s="12" t="str">
        <f aca="false">IF($A2774="","",원본명단!$A2773)</f>
        <v/>
      </c>
      <c r="C2774" s="12" t="str">
        <f aca="false">IF($A2774="","",원본명단!$B2773)</f>
        <v/>
      </c>
      <c r="D2774" s="12" t="str">
        <f aca="false">IF($A2774="","",원본명단!$D2773)</f>
        <v/>
      </c>
      <c r="E2774" s="11" t="str">
        <f aca="false">IF($A2774="","",IF(원본명단!$H2773="",0,COUNTIF(원본명단!$H$3:$H$6002,원본명단!$H2773)))</f>
        <v/>
      </c>
      <c r="F2774" s="11" t="str">
        <f aca="false">IF($A2774="","",IF(원본명단!$I2773="",0,COUNTIF(원본명단!$I$3:$I$6002,원본명단!$I2773)))</f>
        <v/>
      </c>
      <c r="G2774" s="11" t="str">
        <f aca="false">IF($A2774="","",IF(원본명단!$K2773="",0,COUNTIF(원본명단!$K$3:$K$6002,원본명단!$K2773)))</f>
        <v/>
      </c>
      <c r="H2774" s="11" t="str">
        <f aca="false">IF($A2774="","",IF(MAX($E2774,$F2774,$G2774)&gt;1,"중복","-"))</f>
        <v/>
      </c>
      <c r="I2774" s="11" t="str">
        <f aca="false">IF($A2774="","",IF($H2774="-","-",IF(AND(IF(원본명단!$H2773="",TRUE(),COUNTIF(원본명단!$H$3:$H2773,원본명단!$H2773)=1),IF(원본명단!$I2773="",TRUE(),COUNTIF(원본명단!$I$3:$I2773,원본명단!$I2773)=1),IF(원본명단!$K2773="",TRUE(),COUNTIF(원본명단!$K$3:$K2773,원본명단!$K2773)=1)),"첫 건","중복 건")))</f>
        <v/>
      </c>
      <c r="J2774" s="11" t="str">
        <f aca="false">IF($A2774="","",IF($H2774="-","유지",IF($I2774="첫 건","유지","확인 필요")))</f>
        <v/>
      </c>
    </row>
    <row r="2775" customFormat="false" ht="15" hidden="false" customHeight="true" outlineLevel="0" collapsed="false">
      <c r="A2775" s="11" t="str">
        <f aca="false">IF(원본명단!$A2774="","",2772)</f>
        <v/>
      </c>
      <c r="B2775" s="12" t="str">
        <f aca="false">IF($A2775="","",원본명단!$A2774)</f>
        <v/>
      </c>
      <c r="C2775" s="12" t="str">
        <f aca="false">IF($A2775="","",원본명단!$B2774)</f>
        <v/>
      </c>
      <c r="D2775" s="12" t="str">
        <f aca="false">IF($A2775="","",원본명단!$D2774)</f>
        <v/>
      </c>
      <c r="E2775" s="11" t="str">
        <f aca="false">IF($A2775="","",IF(원본명단!$H2774="",0,COUNTIF(원본명단!$H$3:$H$6002,원본명단!$H2774)))</f>
        <v/>
      </c>
      <c r="F2775" s="11" t="str">
        <f aca="false">IF($A2775="","",IF(원본명단!$I2774="",0,COUNTIF(원본명단!$I$3:$I$6002,원본명단!$I2774)))</f>
        <v/>
      </c>
      <c r="G2775" s="11" t="str">
        <f aca="false">IF($A2775="","",IF(원본명단!$K2774="",0,COUNTIF(원본명단!$K$3:$K$6002,원본명단!$K2774)))</f>
        <v/>
      </c>
      <c r="H2775" s="11" t="str">
        <f aca="false">IF($A2775="","",IF(MAX($E2775,$F2775,$G2775)&gt;1,"중복","-"))</f>
        <v/>
      </c>
      <c r="I2775" s="11" t="str">
        <f aca="false">IF($A2775="","",IF($H2775="-","-",IF(AND(IF(원본명단!$H2774="",TRUE(),COUNTIF(원본명단!$H$3:$H2774,원본명단!$H2774)=1),IF(원본명단!$I2774="",TRUE(),COUNTIF(원본명단!$I$3:$I2774,원본명단!$I2774)=1),IF(원본명단!$K2774="",TRUE(),COUNTIF(원본명단!$K$3:$K2774,원본명단!$K2774)=1)),"첫 건","중복 건")))</f>
        <v/>
      </c>
      <c r="J2775" s="11" t="str">
        <f aca="false">IF($A2775="","",IF($H2775="-","유지",IF($I2775="첫 건","유지","확인 필요")))</f>
        <v/>
      </c>
    </row>
    <row r="2776" customFormat="false" ht="15" hidden="false" customHeight="true" outlineLevel="0" collapsed="false">
      <c r="A2776" s="11" t="str">
        <f aca="false">IF(원본명단!$A2775="","",2773)</f>
        <v/>
      </c>
      <c r="B2776" s="12" t="str">
        <f aca="false">IF($A2776="","",원본명단!$A2775)</f>
        <v/>
      </c>
      <c r="C2776" s="12" t="str">
        <f aca="false">IF($A2776="","",원본명단!$B2775)</f>
        <v/>
      </c>
      <c r="D2776" s="12" t="str">
        <f aca="false">IF($A2776="","",원본명단!$D2775)</f>
        <v/>
      </c>
      <c r="E2776" s="11" t="str">
        <f aca="false">IF($A2776="","",IF(원본명단!$H2775="",0,COUNTIF(원본명단!$H$3:$H$6002,원본명단!$H2775)))</f>
        <v/>
      </c>
      <c r="F2776" s="11" t="str">
        <f aca="false">IF($A2776="","",IF(원본명단!$I2775="",0,COUNTIF(원본명단!$I$3:$I$6002,원본명단!$I2775)))</f>
        <v/>
      </c>
      <c r="G2776" s="11" t="str">
        <f aca="false">IF($A2776="","",IF(원본명단!$K2775="",0,COUNTIF(원본명단!$K$3:$K$6002,원본명단!$K2775)))</f>
        <v/>
      </c>
      <c r="H2776" s="11" t="str">
        <f aca="false">IF($A2776="","",IF(MAX($E2776,$F2776,$G2776)&gt;1,"중복","-"))</f>
        <v/>
      </c>
      <c r="I2776" s="11" t="str">
        <f aca="false">IF($A2776="","",IF($H2776="-","-",IF(AND(IF(원본명단!$H2775="",TRUE(),COUNTIF(원본명단!$H$3:$H2775,원본명단!$H2775)=1),IF(원본명단!$I2775="",TRUE(),COUNTIF(원본명단!$I$3:$I2775,원본명단!$I2775)=1),IF(원본명단!$K2775="",TRUE(),COUNTIF(원본명단!$K$3:$K2775,원본명단!$K2775)=1)),"첫 건","중복 건")))</f>
        <v/>
      </c>
      <c r="J2776" s="11" t="str">
        <f aca="false">IF($A2776="","",IF($H2776="-","유지",IF($I2776="첫 건","유지","확인 필요")))</f>
        <v/>
      </c>
    </row>
    <row r="2777" customFormat="false" ht="15" hidden="false" customHeight="true" outlineLevel="0" collapsed="false">
      <c r="A2777" s="11" t="str">
        <f aca="false">IF(원본명단!$A2776="","",2774)</f>
        <v/>
      </c>
      <c r="B2777" s="12" t="str">
        <f aca="false">IF($A2777="","",원본명단!$A2776)</f>
        <v/>
      </c>
      <c r="C2777" s="12" t="str">
        <f aca="false">IF($A2777="","",원본명단!$B2776)</f>
        <v/>
      </c>
      <c r="D2777" s="12" t="str">
        <f aca="false">IF($A2777="","",원본명단!$D2776)</f>
        <v/>
      </c>
      <c r="E2777" s="11" t="str">
        <f aca="false">IF($A2777="","",IF(원본명단!$H2776="",0,COUNTIF(원본명단!$H$3:$H$6002,원본명단!$H2776)))</f>
        <v/>
      </c>
      <c r="F2777" s="11" t="str">
        <f aca="false">IF($A2777="","",IF(원본명단!$I2776="",0,COUNTIF(원본명단!$I$3:$I$6002,원본명단!$I2776)))</f>
        <v/>
      </c>
      <c r="G2777" s="11" t="str">
        <f aca="false">IF($A2777="","",IF(원본명단!$K2776="",0,COUNTIF(원본명단!$K$3:$K$6002,원본명단!$K2776)))</f>
        <v/>
      </c>
      <c r="H2777" s="11" t="str">
        <f aca="false">IF($A2777="","",IF(MAX($E2777,$F2777,$G2777)&gt;1,"중복","-"))</f>
        <v/>
      </c>
      <c r="I2777" s="11" t="str">
        <f aca="false">IF($A2777="","",IF($H2777="-","-",IF(AND(IF(원본명단!$H2776="",TRUE(),COUNTIF(원본명단!$H$3:$H2776,원본명단!$H2776)=1),IF(원본명단!$I2776="",TRUE(),COUNTIF(원본명단!$I$3:$I2776,원본명단!$I2776)=1),IF(원본명단!$K2776="",TRUE(),COUNTIF(원본명단!$K$3:$K2776,원본명단!$K2776)=1)),"첫 건","중복 건")))</f>
        <v/>
      </c>
      <c r="J2777" s="11" t="str">
        <f aca="false">IF($A2777="","",IF($H2777="-","유지",IF($I2777="첫 건","유지","확인 필요")))</f>
        <v/>
      </c>
    </row>
    <row r="2778" customFormat="false" ht="15" hidden="false" customHeight="true" outlineLevel="0" collapsed="false">
      <c r="A2778" s="11" t="str">
        <f aca="false">IF(원본명단!$A2777="","",2775)</f>
        <v/>
      </c>
      <c r="B2778" s="12" t="str">
        <f aca="false">IF($A2778="","",원본명단!$A2777)</f>
        <v/>
      </c>
      <c r="C2778" s="12" t="str">
        <f aca="false">IF($A2778="","",원본명단!$B2777)</f>
        <v/>
      </c>
      <c r="D2778" s="12" t="str">
        <f aca="false">IF($A2778="","",원본명단!$D2777)</f>
        <v/>
      </c>
      <c r="E2778" s="11" t="str">
        <f aca="false">IF($A2778="","",IF(원본명단!$H2777="",0,COUNTIF(원본명단!$H$3:$H$6002,원본명단!$H2777)))</f>
        <v/>
      </c>
      <c r="F2778" s="11" t="str">
        <f aca="false">IF($A2778="","",IF(원본명단!$I2777="",0,COUNTIF(원본명단!$I$3:$I$6002,원본명단!$I2777)))</f>
        <v/>
      </c>
      <c r="G2778" s="11" t="str">
        <f aca="false">IF($A2778="","",IF(원본명단!$K2777="",0,COUNTIF(원본명단!$K$3:$K$6002,원본명단!$K2777)))</f>
        <v/>
      </c>
      <c r="H2778" s="11" t="str">
        <f aca="false">IF($A2778="","",IF(MAX($E2778,$F2778,$G2778)&gt;1,"중복","-"))</f>
        <v/>
      </c>
      <c r="I2778" s="11" t="str">
        <f aca="false">IF($A2778="","",IF($H2778="-","-",IF(AND(IF(원본명단!$H2777="",TRUE(),COUNTIF(원본명단!$H$3:$H2777,원본명단!$H2777)=1),IF(원본명단!$I2777="",TRUE(),COUNTIF(원본명단!$I$3:$I2777,원본명단!$I2777)=1),IF(원본명단!$K2777="",TRUE(),COUNTIF(원본명단!$K$3:$K2777,원본명단!$K2777)=1)),"첫 건","중복 건")))</f>
        <v/>
      </c>
      <c r="J2778" s="11" t="str">
        <f aca="false">IF($A2778="","",IF($H2778="-","유지",IF($I2778="첫 건","유지","확인 필요")))</f>
        <v/>
      </c>
    </row>
    <row r="2779" customFormat="false" ht="15" hidden="false" customHeight="true" outlineLevel="0" collapsed="false">
      <c r="A2779" s="11" t="str">
        <f aca="false">IF(원본명단!$A2778="","",2776)</f>
        <v/>
      </c>
      <c r="B2779" s="12" t="str">
        <f aca="false">IF($A2779="","",원본명단!$A2778)</f>
        <v/>
      </c>
      <c r="C2779" s="12" t="str">
        <f aca="false">IF($A2779="","",원본명단!$B2778)</f>
        <v/>
      </c>
      <c r="D2779" s="12" t="str">
        <f aca="false">IF($A2779="","",원본명단!$D2778)</f>
        <v/>
      </c>
      <c r="E2779" s="11" t="str">
        <f aca="false">IF($A2779="","",IF(원본명단!$H2778="",0,COUNTIF(원본명단!$H$3:$H$6002,원본명단!$H2778)))</f>
        <v/>
      </c>
      <c r="F2779" s="11" t="str">
        <f aca="false">IF($A2779="","",IF(원본명단!$I2778="",0,COUNTIF(원본명단!$I$3:$I$6002,원본명단!$I2778)))</f>
        <v/>
      </c>
      <c r="G2779" s="11" t="str">
        <f aca="false">IF($A2779="","",IF(원본명단!$K2778="",0,COUNTIF(원본명단!$K$3:$K$6002,원본명단!$K2778)))</f>
        <v/>
      </c>
      <c r="H2779" s="11" t="str">
        <f aca="false">IF($A2779="","",IF(MAX($E2779,$F2779,$G2779)&gt;1,"중복","-"))</f>
        <v/>
      </c>
      <c r="I2779" s="11" t="str">
        <f aca="false">IF($A2779="","",IF($H2779="-","-",IF(AND(IF(원본명단!$H2778="",TRUE(),COUNTIF(원본명단!$H$3:$H2778,원본명단!$H2778)=1),IF(원본명단!$I2778="",TRUE(),COUNTIF(원본명단!$I$3:$I2778,원본명단!$I2778)=1),IF(원본명단!$K2778="",TRUE(),COUNTIF(원본명단!$K$3:$K2778,원본명단!$K2778)=1)),"첫 건","중복 건")))</f>
        <v/>
      </c>
      <c r="J2779" s="11" t="str">
        <f aca="false">IF($A2779="","",IF($H2779="-","유지",IF($I2779="첫 건","유지","확인 필요")))</f>
        <v/>
      </c>
    </row>
    <row r="2780" customFormat="false" ht="15" hidden="false" customHeight="true" outlineLevel="0" collapsed="false">
      <c r="A2780" s="11" t="str">
        <f aca="false">IF(원본명단!$A2779="","",2777)</f>
        <v/>
      </c>
      <c r="B2780" s="12" t="str">
        <f aca="false">IF($A2780="","",원본명단!$A2779)</f>
        <v/>
      </c>
      <c r="C2780" s="12" t="str">
        <f aca="false">IF($A2780="","",원본명단!$B2779)</f>
        <v/>
      </c>
      <c r="D2780" s="12" t="str">
        <f aca="false">IF($A2780="","",원본명단!$D2779)</f>
        <v/>
      </c>
      <c r="E2780" s="11" t="str">
        <f aca="false">IF($A2780="","",IF(원본명단!$H2779="",0,COUNTIF(원본명단!$H$3:$H$6002,원본명단!$H2779)))</f>
        <v/>
      </c>
      <c r="F2780" s="11" t="str">
        <f aca="false">IF($A2780="","",IF(원본명단!$I2779="",0,COUNTIF(원본명단!$I$3:$I$6002,원본명단!$I2779)))</f>
        <v/>
      </c>
      <c r="G2780" s="11" t="str">
        <f aca="false">IF($A2780="","",IF(원본명단!$K2779="",0,COUNTIF(원본명단!$K$3:$K$6002,원본명단!$K2779)))</f>
        <v/>
      </c>
      <c r="H2780" s="11" t="str">
        <f aca="false">IF($A2780="","",IF(MAX($E2780,$F2780,$G2780)&gt;1,"중복","-"))</f>
        <v/>
      </c>
      <c r="I2780" s="11" t="str">
        <f aca="false">IF($A2780="","",IF($H2780="-","-",IF(AND(IF(원본명단!$H2779="",TRUE(),COUNTIF(원본명단!$H$3:$H2779,원본명단!$H2779)=1),IF(원본명단!$I2779="",TRUE(),COUNTIF(원본명단!$I$3:$I2779,원본명단!$I2779)=1),IF(원본명단!$K2779="",TRUE(),COUNTIF(원본명단!$K$3:$K2779,원본명단!$K2779)=1)),"첫 건","중복 건")))</f>
        <v/>
      </c>
      <c r="J2780" s="11" t="str">
        <f aca="false">IF($A2780="","",IF($H2780="-","유지",IF($I2780="첫 건","유지","확인 필요")))</f>
        <v/>
      </c>
    </row>
    <row r="2781" customFormat="false" ht="15" hidden="false" customHeight="true" outlineLevel="0" collapsed="false">
      <c r="A2781" s="11" t="str">
        <f aca="false">IF(원본명단!$A2780="","",2778)</f>
        <v/>
      </c>
      <c r="B2781" s="12" t="str">
        <f aca="false">IF($A2781="","",원본명단!$A2780)</f>
        <v/>
      </c>
      <c r="C2781" s="12" t="str">
        <f aca="false">IF($A2781="","",원본명단!$B2780)</f>
        <v/>
      </c>
      <c r="D2781" s="12" t="str">
        <f aca="false">IF($A2781="","",원본명단!$D2780)</f>
        <v/>
      </c>
      <c r="E2781" s="11" t="str">
        <f aca="false">IF($A2781="","",IF(원본명단!$H2780="",0,COUNTIF(원본명단!$H$3:$H$6002,원본명단!$H2780)))</f>
        <v/>
      </c>
      <c r="F2781" s="11" t="str">
        <f aca="false">IF($A2781="","",IF(원본명단!$I2780="",0,COUNTIF(원본명단!$I$3:$I$6002,원본명단!$I2780)))</f>
        <v/>
      </c>
      <c r="G2781" s="11" t="str">
        <f aca="false">IF($A2781="","",IF(원본명단!$K2780="",0,COUNTIF(원본명단!$K$3:$K$6002,원본명단!$K2780)))</f>
        <v/>
      </c>
      <c r="H2781" s="11" t="str">
        <f aca="false">IF($A2781="","",IF(MAX($E2781,$F2781,$G2781)&gt;1,"중복","-"))</f>
        <v/>
      </c>
      <c r="I2781" s="11" t="str">
        <f aca="false">IF($A2781="","",IF($H2781="-","-",IF(AND(IF(원본명단!$H2780="",TRUE(),COUNTIF(원본명단!$H$3:$H2780,원본명단!$H2780)=1),IF(원본명단!$I2780="",TRUE(),COUNTIF(원본명단!$I$3:$I2780,원본명단!$I2780)=1),IF(원본명단!$K2780="",TRUE(),COUNTIF(원본명단!$K$3:$K2780,원본명단!$K2780)=1)),"첫 건","중복 건")))</f>
        <v/>
      </c>
      <c r="J2781" s="11" t="str">
        <f aca="false">IF($A2781="","",IF($H2781="-","유지",IF($I2781="첫 건","유지","확인 필요")))</f>
        <v/>
      </c>
    </row>
    <row r="2782" customFormat="false" ht="15" hidden="false" customHeight="true" outlineLevel="0" collapsed="false">
      <c r="A2782" s="11" t="str">
        <f aca="false">IF(원본명단!$A2781="","",2779)</f>
        <v/>
      </c>
      <c r="B2782" s="12" t="str">
        <f aca="false">IF($A2782="","",원본명단!$A2781)</f>
        <v/>
      </c>
      <c r="C2782" s="12" t="str">
        <f aca="false">IF($A2782="","",원본명단!$B2781)</f>
        <v/>
      </c>
      <c r="D2782" s="12" t="str">
        <f aca="false">IF($A2782="","",원본명단!$D2781)</f>
        <v/>
      </c>
      <c r="E2782" s="11" t="str">
        <f aca="false">IF($A2782="","",IF(원본명단!$H2781="",0,COUNTIF(원본명단!$H$3:$H$6002,원본명단!$H2781)))</f>
        <v/>
      </c>
      <c r="F2782" s="11" t="str">
        <f aca="false">IF($A2782="","",IF(원본명단!$I2781="",0,COUNTIF(원본명단!$I$3:$I$6002,원본명단!$I2781)))</f>
        <v/>
      </c>
      <c r="G2782" s="11" t="str">
        <f aca="false">IF($A2782="","",IF(원본명단!$K2781="",0,COUNTIF(원본명단!$K$3:$K$6002,원본명단!$K2781)))</f>
        <v/>
      </c>
      <c r="H2782" s="11" t="str">
        <f aca="false">IF($A2782="","",IF(MAX($E2782,$F2782,$G2782)&gt;1,"중복","-"))</f>
        <v/>
      </c>
      <c r="I2782" s="11" t="str">
        <f aca="false">IF($A2782="","",IF($H2782="-","-",IF(AND(IF(원본명단!$H2781="",TRUE(),COUNTIF(원본명단!$H$3:$H2781,원본명단!$H2781)=1),IF(원본명단!$I2781="",TRUE(),COUNTIF(원본명단!$I$3:$I2781,원본명단!$I2781)=1),IF(원본명단!$K2781="",TRUE(),COUNTIF(원본명단!$K$3:$K2781,원본명단!$K2781)=1)),"첫 건","중복 건")))</f>
        <v/>
      </c>
      <c r="J2782" s="11" t="str">
        <f aca="false">IF($A2782="","",IF($H2782="-","유지",IF($I2782="첫 건","유지","확인 필요")))</f>
        <v/>
      </c>
    </row>
    <row r="2783" customFormat="false" ht="15" hidden="false" customHeight="true" outlineLevel="0" collapsed="false">
      <c r="A2783" s="11" t="str">
        <f aca="false">IF(원본명단!$A2782="","",2780)</f>
        <v/>
      </c>
      <c r="B2783" s="12" t="str">
        <f aca="false">IF($A2783="","",원본명단!$A2782)</f>
        <v/>
      </c>
      <c r="C2783" s="12" t="str">
        <f aca="false">IF($A2783="","",원본명단!$B2782)</f>
        <v/>
      </c>
      <c r="D2783" s="12" t="str">
        <f aca="false">IF($A2783="","",원본명단!$D2782)</f>
        <v/>
      </c>
      <c r="E2783" s="11" t="str">
        <f aca="false">IF($A2783="","",IF(원본명단!$H2782="",0,COUNTIF(원본명단!$H$3:$H$6002,원본명단!$H2782)))</f>
        <v/>
      </c>
      <c r="F2783" s="11" t="str">
        <f aca="false">IF($A2783="","",IF(원본명단!$I2782="",0,COUNTIF(원본명단!$I$3:$I$6002,원본명단!$I2782)))</f>
        <v/>
      </c>
      <c r="G2783" s="11" t="str">
        <f aca="false">IF($A2783="","",IF(원본명단!$K2782="",0,COUNTIF(원본명단!$K$3:$K$6002,원본명단!$K2782)))</f>
        <v/>
      </c>
      <c r="H2783" s="11" t="str">
        <f aca="false">IF($A2783="","",IF(MAX($E2783,$F2783,$G2783)&gt;1,"중복","-"))</f>
        <v/>
      </c>
      <c r="I2783" s="11" t="str">
        <f aca="false">IF($A2783="","",IF($H2783="-","-",IF(AND(IF(원본명단!$H2782="",TRUE(),COUNTIF(원본명단!$H$3:$H2782,원본명단!$H2782)=1),IF(원본명단!$I2782="",TRUE(),COUNTIF(원본명단!$I$3:$I2782,원본명단!$I2782)=1),IF(원본명단!$K2782="",TRUE(),COUNTIF(원본명단!$K$3:$K2782,원본명단!$K2782)=1)),"첫 건","중복 건")))</f>
        <v/>
      </c>
      <c r="J2783" s="11" t="str">
        <f aca="false">IF($A2783="","",IF($H2783="-","유지",IF($I2783="첫 건","유지","확인 필요")))</f>
        <v/>
      </c>
    </row>
    <row r="2784" customFormat="false" ht="15" hidden="false" customHeight="true" outlineLevel="0" collapsed="false">
      <c r="A2784" s="11" t="str">
        <f aca="false">IF(원본명단!$A2783="","",2781)</f>
        <v/>
      </c>
      <c r="B2784" s="12" t="str">
        <f aca="false">IF($A2784="","",원본명단!$A2783)</f>
        <v/>
      </c>
      <c r="C2784" s="12" t="str">
        <f aca="false">IF($A2784="","",원본명단!$B2783)</f>
        <v/>
      </c>
      <c r="D2784" s="12" t="str">
        <f aca="false">IF($A2784="","",원본명단!$D2783)</f>
        <v/>
      </c>
      <c r="E2784" s="11" t="str">
        <f aca="false">IF($A2784="","",IF(원본명단!$H2783="",0,COUNTIF(원본명단!$H$3:$H$6002,원본명단!$H2783)))</f>
        <v/>
      </c>
      <c r="F2784" s="11" t="str">
        <f aca="false">IF($A2784="","",IF(원본명단!$I2783="",0,COUNTIF(원본명단!$I$3:$I$6002,원본명단!$I2783)))</f>
        <v/>
      </c>
      <c r="G2784" s="11" t="str">
        <f aca="false">IF($A2784="","",IF(원본명단!$K2783="",0,COUNTIF(원본명단!$K$3:$K$6002,원본명단!$K2783)))</f>
        <v/>
      </c>
      <c r="H2784" s="11" t="str">
        <f aca="false">IF($A2784="","",IF(MAX($E2784,$F2784,$G2784)&gt;1,"중복","-"))</f>
        <v/>
      </c>
      <c r="I2784" s="11" t="str">
        <f aca="false">IF($A2784="","",IF($H2784="-","-",IF(AND(IF(원본명단!$H2783="",TRUE(),COUNTIF(원본명단!$H$3:$H2783,원본명단!$H2783)=1),IF(원본명단!$I2783="",TRUE(),COUNTIF(원본명단!$I$3:$I2783,원본명단!$I2783)=1),IF(원본명단!$K2783="",TRUE(),COUNTIF(원본명단!$K$3:$K2783,원본명단!$K2783)=1)),"첫 건","중복 건")))</f>
        <v/>
      </c>
      <c r="J2784" s="11" t="str">
        <f aca="false">IF($A2784="","",IF($H2784="-","유지",IF($I2784="첫 건","유지","확인 필요")))</f>
        <v/>
      </c>
    </row>
    <row r="2785" customFormat="false" ht="15" hidden="false" customHeight="true" outlineLevel="0" collapsed="false">
      <c r="A2785" s="11" t="str">
        <f aca="false">IF(원본명단!$A2784="","",2782)</f>
        <v/>
      </c>
      <c r="B2785" s="12" t="str">
        <f aca="false">IF($A2785="","",원본명단!$A2784)</f>
        <v/>
      </c>
      <c r="C2785" s="12" t="str">
        <f aca="false">IF($A2785="","",원본명단!$B2784)</f>
        <v/>
      </c>
      <c r="D2785" s="12" t="str">
        <f aca="false">IF($A2785="","",원본명단!$D2784)</f>
        <v/>
      </c>
      <c r="E2785" s="11" t="str">
        <f aca="false">IF($A2785="","",IF(원본명단!$H2784="",0,COUNTIF(원본명단!$H$3:$H$6002,원본명단!$H2784)))</f>
        <v/>
      </c>
      <c r="F2785" s="11" t="str">
        <f aca="false">IF($A2785="","",IF(원본명단!$I2784="",0,COUNTIF(원본명단!$I$3:$I$6002,원본명단!$I2784)))</f>
        <v/>
      </c>
      <c r="G2785" s="11" t="str">
        <f aca="false">IF($A2785="","",IF(원본명단!$K2784="",0,COUNTIF(원본명단!$K$3:$K$6002,원본명단!$K2784)))</f>
        <v/>
      </c>
      <c r="H2785" s="11" t="str">
        <f aca="false">IF($A2785="","",IF(MAX($E2785,$F2785,$G2785)&gt;1,"중복","-"))</f>
        <v/>
      </c>
      <c r="I2785" s="11" t="str">
        <f aca="false">IF($A2785="","",IF($H2785="-","-",IF(AND(IF(원본명단!$H2784="",TRUE(),COUNTIF(원본명단!$H$3:$H2784,원본명단!$H2784)=1),IF(원본명단!$I2784="",TRUE(),COUNTIF(원본명단!$I$3:$I2784,원본명단!$I2784)=1),IF(원본명단!$K2784="",TRUE(),COUNTIF(원본명단!$K$3:$K2784,원본명단!$K2784)=1)),"첫 건","중복 건")))</f>
        <v/>
      </c>
      <c r="J2785" s="11" t="str">
        <f aca="false">IF($A2785="","",IF($H2785="-","유지",IF($I2785="첫 건","유지","확인 필요")))</f>
        <v/>
      </c>
    </row>
    <row r="2786" customFormat="false" ht="15" hidden="false" customHeight="true" outlineLevel="0" collapsed="false">
      <c r="A2786" s="11" t="str">
        <f aca="false">IF(원본명단!$A2785="","",2783)</f>
        <v/>
      </c>
      <c r="B2786" s="12" t="str">
        <f aca="false">IF($A2786="","",원본명단!$A2785)</f>
        <v/>
      </c>
      <c r="C2786" s="12" t="str">
        <f aca="false">IF($A2786="","",원본명단!$B2785)</f>
        <v/>
      </c>
      <c r="D2786" s="12" t="str">
        <f aca="false">IF($A2786="","",원본명단!$D2785)</f>
        <v/>
      </c>
      <c r="E2786" s="11" t="str">
        <f aca="false">IF($A2786="","",IF(원본명단!$H2785="",0,COUNTIF(원본명단!$H$3:$H$6002,원본명단!$H2785)))</f>
        <v/>
      </c>
      <c r="F2786" s="11" t="str">
        <f aca="false">IF($A2786="","",IF(원본명단!$I2785="",0,COUNTIF(원본명단!$I$3:$I$6002,원본명단!$I2785)))</f>
        <v/>
      </c>
      <c r="G2786" s="11" t="str">
        <f aca="false">IF($A2786="","",IF(원본명단!$K2785="",0,COUNTIF(원본명단!$K$3:$K$6002,원본명단!$K2785)))</f>
        <v/>
      </c>
      <c r="H2786" s="11" t="str">
        <f aca="false">IF($A2786="","",IF(MAX($E2786,$F2786,$G2786)&gt;1,"중복","-"))</f>
        <v/>
      </c>
      <c r="I2786" s="11" t="str">
        <f aca="false">IF($A2786="","",IF($H2786="-","-",IF(AND(IF(원본명단!$H2785="",TRUE(),COUNTIF(원본명단!$H$3:$H2785,원본명단!$H2785)=1),IF(원본명단!$I2785="",TRUE(),COUNTIF(원본명단!$I$3:$I2785,원본명단!$I2785)=1),IF(원본명단!$K2785="",TRUE(),COUNTIF(원본명단!$K$3:$K2785,원본명단!$K2785)=1)),"첫 건","중복 건")))</f>
        <v/>
      </c>
      <c r="J2786" s="11" t="str">
        <f aca="false">IF($A2786="","",IF($H2786="-","유지",IF($I2786="첫 건","유지","확인 필요")))</f>
        <v/>
      </c>
    </row>
    <row r="2787" customFormat="false" ht="15" hidden="false" customHeight="true" outlineLevel="0" collapsed="false">
      <c r="A2787" s="11" t="str">
        <f aca="false">IF(원본명단!$A2786="","",2784)</f>
        <v/>
      </c>
      <c r="B2787" s="12" t="str">
        <f aca="false">IF($A2787="","",원본명단!$A2786)</f>
        <v/>
      </c>
      <c r="C2787" s="12" t="str">
        <f aca="false">IF($A2787="","",원본명단!$B2786)</f>
        <v/>
      </c>
      <c r="D2787" s="12" t="str">
        <f aca="false">IF($A2787="","",원본명단!$D2786)</f>
        <v/>
      </c>
      <c r="E2787" s="11" t="str">
        <f aca="false">IF($A2787="","",IF(원본명단!$H2786="",0,COUNTIF(원본명단!$H$3:$H$6002,원본명단!$H2786)))</f>
        <v/>
      </c>
      <c r="F2787" s="11" t="str">
        <f aca="false">IF($A2787="","",IF(원본명단!$I2786="",0,COUNTIF(원본명단!$I$3:$I$6002,원본명단!$I2786)))</f>
        <v/>
      </c>
      <c r="G2787" s="11" t="str">
        <f aca="false">IF($A2787="","",IF(원본명단!$K2786="",0,COUNTIF(원본명단!$K$3:$K$6002,원본명단!$K2786)))</f>
        <v/>
      </c>
      <c r="H2787" s="11" t="str">
        <f aca="false">IF($A2787="","",IF(MAX($E2787,$F2787,$G2787)&gt;1,"중복","-"))</f>
        <v/>
      </c>
      <c r="I2787" s="11" t="str">
        <f aca="false">IF($A2787="","",IF($H2787="-","-",IF(AND(IF(원본명단!$H2786="",TRUE(),COUNTIF(원본명단!$H$3:$H2786,원본명단!$H2786)=1),IF(원본명단!$I2786="",TRUE(),COUNTIF(원본명단!$I$3:$I2786,원본명단!$I2786)=1),IF(원본명단!$K2786="",TRUE(),COUNTIF(원본명단!$K$3:$K2786,원본명단!$K2786)=1)),"첫 건","중복 건")))</f>
        <v/>
      </c>
      <c r="J2787" s="11" t="str">
        <f aca="false">IF($A2787="","",IF($H2787="-","유지",IF($I2787="첫 건","유지","확인 필요")))</f>
        <v/>
      </c>
    </row>
    <row r="2788" customFormat="false" ht="15" hidden="false" customHeight="true" outlineLevel="0" collapsed="false">
      <c r="A2788" s="11" t="str">
        <f aca="false">IF(원본명단!$A2787="","",2785)</f>
        <v/>
      </c>
      <c r="B2788" s="12" t="str">
        <f aca="false">IF($A2788="","",원본명단!$A2787)</f>
        <v/>
      </c>
      <c r="C2788" s="12" t="str">
        <f aca="false">IF($A2788="","",원본명단!$B2787)</f>
        <v/>
      </c>
      <c r="D2788" s="12" t="str">
        <f aca="false">IF($A2788="","",원본명단!$D2787)</f>
        <v/>
      </c>
      <c r="E2788" s="11" t="str">
        <f aca="false">IF($A2788="","",IF(원본명단!$H2787="",0,COUNTIF(원본명단!$H$3:$H$6002,원본명단!$H2787)))</f>
        <v/>
      </c>
      <c r="F2788" s="11" t="str">
        <f aca="false">IF($A2788="","",IF(원본명단!$I2787="",0,COUNTIF(원본명단!$I$3:$I$6002,원본명단!$I2787)))</f>
        <v/>
      </c>
      <c r="G2788" s="11" t="str">
        <f aca="false">IF($A2788="","",IF(원본명단!$K2787="",0,COUNTIF(원본명단!$K$3:$K$6002,원본명단!$K2787)))</f>
        <v/>
      </c>
      <c r="H2788" s="11" t="str">
        <f aca="false">IF($A2788="","",IF(MAX($E2788,$F2788,$G2788)&gt;1,"중복","-"))</f>
        <v/>
      </c>
      <c r="I2788" s="11" t="str">
        <f aca="false">IF($A2788="","",IF($H2788="-","-",IF(AND(IF(원본명단!$H2787="",TRUE(),COUNTIF(원본명단!$H$3:$H2787,원본명단!$H2787)=1),IF(원본명단!$I2787="",TRUE(),COUNTIF(원본명단!$I$3:$I2787,원본명단!$I2787)=1),IF(원본명단!$K2787="",TRUE(),COUNTIF(원본명단!$K$3:$K2787,원본명단!$K2787)=1)),"첫 건","중복 건")))</f>
        <v/>
      </c>
      <c r="J2788" s="11" t="str">
        <f aca="false">IF($A2788="","",IF($H2788="-","유지",IF($I2788="첫 건","유지","확인 필요")))</f>
        <v/>
      </c>
    </row>
    <row r="2789" customFormat="false" ht="15" hidden="false" customHeight="true" outlineLevel="0" collapsed="false">
      <c r="A2789" s="11" t="str">
        <f aca="false">IF(원본명단!$A2788="","",2786)</f>
        <v/>
      </c>
      <c r="B2789" s="12" t="str">
        <f aca="false">IF($A2789="","",원본명단!$A2788)</f>
        <v/>
      </c>
      <c r="C2789" s="12" t="str">
        <f aca="false">IF($A2789="","",원본명단!$B2788)</f>
        <v/>
      </c>
      <c r="D2789" s="12" t="str">
        <f aca="false">IF($A2789="","",원본명단!$D2788)</f>
        <v/>
      </c>
      <c r="E2789" s="11" t="str">
        <f aca="false">IF($A2789="","",IF(원본명단!$H2788="",0,COUNTIF(원본명단!$H$3:$H$6002,원본명단!$H2788)))</f>
        <v/>
      </c>
      <c r="F2789" s="11" t="str">
        <f aca="false">IF($A2789="","",IF(원본명단!$I2788="",0,COUNTIF(원본명단!$I$3:$I$6002,원본명단!$I2788)))</f>
        <v/>
      </c>
      <c r="G2789" s="11" t="str">
        <f aca="false">IF($A2789="","",IF(원본명단!$K2788="",0,COUNTIF(원본명단!$K$3:$K$6002,원본명단!$K2788)))</f>
        <v/>
      </c>
      <c r="H2789" s="11" t="str">
        <f aca="false">IF($A2789="","",IF(MAX($E2789,$F2789,$G2789)&gt;1,"중복","-"))</f>
        <v/>
      </c>
      <c r="I2789" s="11" t="str">
        <f aca="false">IF($A2789="","",IF($H2789="-","-",IF(AND(IF(원본명단!$H2788="",TRUE(),COUNTIF(원본명단!$H$3:$H2788,원본명단!$H2788)=1),IF(원본명단!$I2788="",TRUE(),COUNTIF(원본명단!$I$3:$I2788,원본명단!$I2788)=1),IF(원본명단!$K2788="",TRUE(),COUNTIF(원본명단!$K$3:$K2788,원본명단!$K2788)=1)),"첫 건","중복 건")))</f>
        <v/>
      </c>
      <c r="J2789" s="11" t="str">
        <f aca="false">IF($A2789="","",IF($H2789="-","유지",IF($I2789="첫 건","유지","확인 필요")))</f>
        <v/>
      </c>
    </row>
    <row r="2790" customFormat="false" ht="15" hidden="false" customHeight="true" outlineLevel="0" collapsed="false">
      <c r="A2790" s="11" t="str">
        <f aca="false">IF(원본명단!$A2789="","",2787)</f>
        <v/>
      </c>
      <c r="B2790" s="12" t="str">
        <f aca="false">IF($A2790="","",원본명단!$A2789)</f>
        <v/>
      </c>
      <c r="C2790" s="12" t="str">
        <f aca="false">IF($A2790="","",원본명단!$B2789)</f>
        <v/>
      </c>
      <c r="D2790" s="12" t="str">
        <f aca="false">IF($A2790="","",원본명단!$D2789)</f>
        <v/>
      </c>
      <c r="E2790" s="11" t="str">
        <f aca="false">IF($A2790="","",IF(원본명단!$H2789="",0,COUNTIF(원본명단!$H$3:$H$6002,원본명단!$H2789)))</f>
        <v/>
      </c>
      <c r="F2790" s="11" t="str">
        <f aca="false">IF($A2790="","",IF(원본명단!$I2789="",0,COUNTIF(원본명단!$I$3:$I$6002,원본명단!$I2789)))</f>
        <v/>
      </c>
      <c r="G2790" s="11" t="str">
        <f aca="false">IF($A2790="","",IF(원본명단!$K2789="",0,COUNTIF(원본명단!$K$3:$K$6002,원본명단!$K2789)))</f>
        <v/>
      </c>
      <c r="H2790" s="11" t="str">
        <f aca="false">IF($A2790="","",IF(MAX($E2790,$F2790,$G2790)&gt;1,"중복","-"))</f>
        <v/>
      </c>
      <c r="I2790" s="11" t="str">
        <f aca="false">IF($A2790="","",IF($H2790="-","-",IF(AND(IF(원본명단!$H2789="",TRUE(),COUNTIF(원본명단!$H$3:$H2789,원본명단!$H2789)=1),IF(원본명단!$I2789="",TRUE(),COUNTIF(원본명단!$I$3:$I2789,원본명단!$I2789)=1),IF(원본명단!$K2789="",TRUE(),COUNTIF(원본명단!$K$3:$K2789,원본명단!$K2789)=1)),"첫 건","중복 건")))</f>
        <v/>
      </c>
      <c r="J2790" s="11" t="str">
        <f aca="false">IF($A2790="","",IF($H2790="-","유지",IF($I2790="첫 건","유지","확인 필요")))</f>
        <v/>
      </c>
    </row>
    <row r="2791" customFormat="false" ht="15" hidden="false" customHeight="true" outlineLevel="0" collapsed="false">
      <c r="A2791" s="11" t="str">
        <f aca="false">IF(원본명단!$A2790="","",2788)</f>
        <v/>
      </c>
      <c r="B2791" s="12" t="str">
        <f aca="false">IF($A2791="","",원본명단!$A2790)</f>
        <v/>
      </c>
      <c r="C2791" s="12" t="str">
        <f aca="false">IF($A2791="","",원본명단!$B2790)</f>
        <v/>
      </c>
      <c r="D2791" s="12" t="str">
        <f aca="false">IF($A2791="","",원본명단!$D2790)</f>
        <v/>
      </c>
      <c r="E2791" s="11" t="str">
        <f aca="false">IF($A2791="","",IF(원본명단!$H2790="",0,COUNTIF(원본명단!$H$3:$H$6002,원본명단!$H2790)))</f>
        <v/>
      </c>
      <c r="F2791" s="11" t="str">
        <f aca="false">IF($A2791="","",IF(원본명단!$I2790="",0,COUNTIF(원본명단!$I$3:$I$6002,원본명단!$I2790)))</f>
        <v/>
      </c>
      <c r="G2791" s="11" t="str">
        <f aca="false">IF($A2791="","",IF(원본명단!$K2790="",0,COUNTIF(원본명단!$K$3:$K$6002,원본명단!$K2790)))</f>
        <v/>
      </c>
      <c r="H2791" s="11" t="str">
        <f aca="false">IF($A2791="","",IF(MAX($E2791,$F2791,$G2791)&gt;1,"중복","-"))</f>
        <v/>
      </c>
      <c r="I2791" s="11" t="str">
        <f aca="false">IF($A2791="","",IF($H2791="-","-",IF(AND(IF(원본명단!$H2790="",TRUE(),COUNTIF(원본명단!$H$3:$H2790,원본명단!$H2790)=1),IF(원본명단!$I2790="",TRUE(),COUNTIF(원본명단!$I$3:$I2790,원본명단!$I2790)=1),IF(원본명단!$K2790="",TRUE(),COUNTIF(원본명단!$K$3:$K2790,원본명단!$K2790)=1)),"첫 건","중복 건")))</f>
        <v/>
      </c>
      <c r="J2791" s="11" t="str">
        <f aca="false">IF($A2791="","",IF($H2791="-","유지",IF($I2791="첫 건","유지","확인 필요")))</f>
        <v/>
      </c>
    </row>
    <row r="2792" customFormat="false" ht="15" hidden="false" customHeight="true" outlineLevel="0" collapsed="false">
      <c r="A2792" s="11" t="str">
        <f aca="false">IF(원본명단!$A2791="","",2789)</f>
        <v/>
      </c>
      <c r="B2792" s="12" t="str">
        <f aca="false">IF($A2792="","",원본명단!$A2791)</f>
        <v/>
      </c>
      <c r="C2792" s="12" t="str">
        <f aca="false">IF($A2792="","",원본명단!$B2791)</f>
        <v/>
      </c>
      <c r="D2792" s="12" t="str">
        <f aca="false">IF($A2792="","",원본명단!$D2791)</f>
        <v/>
      </c>
      <c r="E2792" s="11" t="str">
        <f aca="false">IF($A2792="","",IF(원본명단!$H2791="",0,COUNTIF(원본명단!$H$3:$H$6002,원본명단!$H2791)))</f>
        <v/>
      </c>
      <c r="F2792" s="11" t="str">
        <f aca="false">IF($A2792="","",IF(원본명단!$I2791="",0,COUNTIF(원본명단!$I$3:$I$6002,원본명단!$I2791)))</f>
        <v/>
      </c>
      <c r="G2792" s="11" t="str">
        <f aca="false">IF($A2792="","",IF(원본명단!$K2791="",0,COUNTIF(원본명단!$K$3:$K$6002,원본명단!$K2791)))</f>
        <v/>
      </c>
      <c r="H2792" s="11" t="str">
        <f aca="false">IF($A2792="","",IF(MAX($E2792,$F2792,$G2792)&gt;1,"중복","-"))</f>
        <v/>
      </c>
      <c r="I2792" s="11" t="str">
        <f aca="false">IF($A2792="","",IF($H2792="-","-",IF(AND(IF(원본명단!$H2791="",TRUE(),COUNTIF(원본명단!$H$3:$H2791,원본명단!$H2791)=1),IF(원본명단!$I2791="",TRUE(),COUNTIF(원본명단!$I$3:$I2791,원본명단!$I2791)=1),IF(원본명단!$K2791="",TRUE(),COUNTIF(원본명단!$K$3:$K2791,원본명단!$K2791)=1)),"첫 건","중복 건")))</f>
        <v/>
      </c>
      <c r="J2792" s="11" t="str">
        <f aca="false">IF($A2792="","",IF($H2792="-","유지",IF($I2792="첫 건","유지","확인 필요")))</f>
        <v/>
      </c>
    </row>
    <row r="2793" customFormat="false" ht="15" hidden="false" customHeight="true" outlineLevel="0" collapsed="false">
      <c r="A2793" s="11" t="str">
        <f aca="false">IF(원본명단!$A2792="","",2790)</f>
        <v/>
      </c>
      <c r="B2793" s="12" t="str">
        <f aca="false">IF($A2793="","",원본명단!$A2792)</f>
        <v/>
      </c>
      <c r="C2793" s="12" t="str">
        <f aca="false">IF($A2793="","",원본명단!$B2792)</f>
        <v/>
      </c>
      <c r="D2793" s="12" t="str">
        <f aca="false">IF($A2793="","",원본명단!$D2792)</f>
        <v/>
      </c>
      <c r="E2793" s="11" t="str">
        <f aca="false">IF($A2793="","",IF(원본명단!$H2792="",0,COUNTIF(원본명단!$H$3:$H$6002,원본명단!$H2792)))</f>
        <v/>
      </c>
      <c r="F2793" s="11" t="str">
        <f aca="false">IF($A2793="","",IF(원본명단!$I2792="",0,COUNTIF(원본명단!$I$3:$I$6002,원본명단!$I2792)))</f>
        <v/>
      </c>
      <c r="G2793" s="11" t="str">
        <f aca="false">IF($A2793="","",IF(원본명단!$K2792="",0,COUNTIF(원본명단!$K$3:$K$6002,원본명단!$K2792)))</f>
        <v/>
      </c>
      <c r="H2793" s="11" t="str">
        <f aca="false">IF($A2793="","",IF(MAX($E2793,$F2793,$G2793)&gt;1,"중복","-"))</f>
        <v/>
      </c>
      <c r="I2793" s="11" t="str">
        <f aca="false">IF($A2793="","",IF($H2793="-","-",IF(AND(IF(원본명단!$H2792="",TRUE(),COUNTIF(원본명단!$H$3:$H2792,원본명단!$H2792)=1),IF(원본명단!$I2792="",TRUE(),COUNTIF(원본명단!$I$3:$I2792,원본명단!$I2792)=1),IF(원본명단!$K2792="",TRUE(),COUNTIF(원본명단!$K$3:$K2792,원본명단!$K2792)=1)),"첫 건","중복 건")))</f>
        <v/>
      </c>
      <c r="J2793" s="11" t="str">
        <f aca="false">IF($A2793="","",IF($H2793="-","유지",IF($I2793="첫 건","유지","확인 필요")))</f>
        <v/>
      </c>
    </row>
    <row r="2794" customFormat="false" ht="15" hidden="false" customHeight="true" outlineLevel="0" collapsed="false">
      <c r="A2794" s="11" t="str">
        <f aca="false">IF(원본명단!$A2793="","",2791)</f>
        <v/>
      </c>
      <c r="B2794" s="12" t="str">
        <f aca="false">IF($A2794="","",원본명단!$A2793)</f>
        <v/>
      </c>
      <c r="C2794" s="12" t="str">
        <f aca="false">IF($A2794="","",원본명단!$B2793)</f>
        <v/>
      </c>
      <c r="D2794" s="12" t="str">
        <f aca="false">IF($A2794="","",원본명단!$D2793)</f>
        <v/>
      </c>
      <c r="E2794" s="11" t="str">
        <f aca="false">IF($A2794="","",IF(원본명단!$H2793="",0,COUNTIF(원본명단!$H$3:$H$6002,원본명단!$H2793)))</f>
        <v/>
      </c>
      <c r="F2794" s="11" t="str">
        <f aca="false">IF($A2794="","",IF(원본명단!$I2793="",0,COUNTIF(원본명단!$I$3:$I$6002,원본명단!$I2793)))</f>
        <v/>
      </c>
      <c r="G2794" s="11" t="str">
        <f aca="false">IF($A2794="","",IF(원본명단!$K2793="",0,COUNTIF(원본명단!$K$3:$K$6002,원본명단!$K2793)))</f>
        <v/>
      </c>
      <c r="H2794" s="11" t="str">
        <f aca="false">IF($A2794="","",IF(MAX($E2794,$F2794,$G2794)&gt;1,"중복","-"))</f>
        <v/>
      </c>
      <c r="I2794" s="11" t="str">
        <f aca="false">IF($A2794="","",IF($H2794="-","-",IF(AND(IF(원본명단!$H2793="",TRUE(),COUNTIF(원본명단!$H$3:$H2793,원본명단!$H2793)=1),IF(원본명단!$I2793="",TRUE(),COUNTIF(원본명단!$I$3:$I2793,원본명단!$I2793)=1),IF(원본명단!$K2793="",TRUE(),COUNTIF(원본명단!$K$3:$K2793,원본명단!$K2793)=1)),"첫 건","중복 건")))</f>
        <v/>
      </c>
      <c r="J2794" s="11" t="str">
        <f aca="false">IF($A2794="","",IF($H2794="-","유지",IF($I2794="첫 건","유지","확인 필요")))</f>
        <v/>
      </c>
    </row>
    <row r="2795" customFormat="false" ht="15" hidden="false" customHeight="true" outlineLevel="0" collapsed="false">
      <c r="A2795" s="11" t="str">
        <f aca="false">IF(원본명단!$A2794="","",2792)</f>
        <v/>
      </c>
      <c r="B2795" s="12" t="str">
        <f aca="false">IF($A2795="","",원본명단!$A2794)</f>
        <v/>
      </c>
      <c r="C2795" s="12" t="str">
        <f aca="false">IF($A2795="","",원본명단!$B2794)</f>
        <v/>
      </c>
      <c r="D2795" s="12" t="str">
        <f aca="false">IF($A2795="","",원본명단!$D2794)</f>
        <v/>
      </c>
      <c r="E2795" s="11" t="str">
        <f aca="false">IF($A2795="","",IF(원본명단!$H2794="",0,COUNTIF(원본명단!$H$3:$H$6002,원본명단!$H2794)))</f>
        <v/>
      </c>
      <c r="F2795" s="11" t="str">
        <f aca="false">IF($A2795="","",IF(원본명단!$I2794="",0,COUNTIF(원본명단!$I$3:$I$6002,원본명단!$I2794)))</f>
        <v/>
      </c>
      <c r="G2795" s="11" t="str">
        <f aca="false">IF($A2795="","",IF(원본명단!$K2794="",0,COUNTIF(원본명단!$K$3:$K$6002,원본명단!$K2794)))</f>
        <v/>
      </c>
      <c r="H2795" s="11" t="str">
        <f aca="false">IF($A2795="","",IF(MAX($E2795,$F2795,$G2795)&gt;1,"중복","-"))</f>
        <v/>
      </c>
      <c r="I2795" s="11" t="str">
        <f aca="false">IF($A2795="","",IF($H2795="-","-",IF(AND(IF(원본명단!$H2794="",TRUE(),COUNTIF(원본명단!$H$3:$H2794,원본명단!$H2794)=1),IF(원본명단!$I2794="",TRUE(),COUNTIF(원본명단!$I$3:$I2794,원본명단!$I2794)=1),IF(원본명단!$K2794="",TRUE(),COUNTIF(원본명단!$K$3:$K2794,원본명단!$K2794)=1)),"첫 건","중복 건")))</f>
        <v/>
      </c>
      <c r="J2795" s="11" t="str">
        <f aca="false">IF($A2795="","",IF($H2795="-","유지",IF($I2795="첫 건","유지","확인 필요")))</f>
        <v/>
      </c>
    </row>
    <row r="2796" customFormat="false" ht="15" hidden="false" customHeight="true" outlineLevel="0" collapsed="false">
      <c r="A2796" s="11" t="str">
        <f aca="false">IF(원본명단!$A2795="","",2793)</f>
        <v/>
      </c>
      <c r="B2796" s="12" t="str">
        <f aca="false">IF($A2796="","",원본명단!$A2795)</f>
        <v/>
      </c>
      <c r="C2796" s="12" t="str">
        <f aca="false">IF($A2796="","",원본명단!$B2795)</f>
        <v/>
      </c>
      <c r="D2796" s="12" t="str">
        <f aca="false">IF($A2796="","",원본명단!$D2795)</f>
        <v/>
      </c>
      <c r="E2796" s="11" t="str">
        <f aca="false">IF($A2796="","",IF(원본명단!$H2795="",0,COUNTIF(원본명단!$H$3:$H$6002,원본명단!$H2795)))</f>
        <v/>
      </c>
      <c r="F2796" s="11" t="str">
        <f aca="false">IF($A2796="","",IF(원본명단!$I2795="",0,COUNTIF(원본명단!$I$3:$I$6002,원본명단!$I2795)))</f>
        <v/>
      </c>
      <c r="G2796" s="11" t="str">
        <f aca="false">IF($A2796="","",IF(원본명단!$K2795="",0,COUNTIF(원본명단!$K$3:$K$6002,원본명단!$K2795)))</f>
        <v/>
      </c>
      <c r="H2796" s="11" t="str">
        <f aca="false">IF($A2796="","",IF(MAX($E2796,$F2796,$G2796)&gt;1,"중복","-"))</f>
        <v/>
      </c>
      <c r="I2796" s="11" t="str">
        <f aca="false">IF($A2796="","",IF($H2796="-","-",IF(AND(IF(원본명단!$H2795="",TRUE(),COUNTIF(원본명단!$H$3:$H2795,원본명단!$H2795)=1),IF(원본명단!$I2795="",TRUE(),COUNTIF(원본명단!$I$3:$I2795,원본명단!$I2795)=1),IF(원본명단!$K2795="",TRUE(),COUNTIF(원본명단!$K$3:$K2795,원본명단!$K2795)=1)),"첫 건","중복 건")))</f>
        <v/>
      </c>
      <c r="J2796" s="11" t="str">
        <f aca="false">IF($A2796="","",IF($H2796="-","유지",IF($I2796="첫 건","유지","확인 필요")))</f>
        <v/>
      </c>
    </row>
    <row r="2797" customFormat="false" ht="15" hidden="false" customHeight="true" outlineLevel="0" collapsed="false">
      <c r="A2797" s="11" t="str">
        <f aca="false">IF(원본명단!$A2796="","",2794)</f>
        <v/>
      </c>
      <c r="B2797" s="12" t="str">
        <f aca="false">IF($A2797="","",원본명단!$A2796)</f>
        <v/>
      </c>
      <c r="C2797" s="12" t="str">
        <f aca="false">IF($A2797="","",원본명단!$B2796)</f>
        <v/>
      </c>
      <c r="D2797" s="12" t="str">
        <f aca="false">IF($A2797="","",원본명단!$D2796)</f>
        <v/>
      </c>
      <c r="E2797" s="11" t="str">
        <f aca="false">IF($A2797="","",IF(원본명단!$H2796="",0,COUNTIF(원본명단!$H$3:$H$6002,원본명단!$H2796)))</f>
        <v/>
      </c>
      <c r="F2797" s="11" t="str">
        <f aca="false">IF($A2797="","",IF(원본명단!$I2796="",0,COUNTIF(원본명단!$I$3:$I$6002,원본명단!$I2796)))</f>
        <v/>
      </c>
      <c r="G2797" s="11" t="str">
        <f aca="false">IF($A2797="","",IF(원본명단!$K2796="",0,COUNTIF(원본명단!$K$3:$K$6002,원본명단!$K2796)))</f>
        <v/>
      </c>
      <c r="H2797" s="11" t="str">
        <f aca="false">IF($A2797="","",IF(MAX($E2797,$F2797,$G2797)&gt;1,"중복","-"))</f>
        <v/>
      </c>
      <c r="I2797" s="11" t="str">
        <f aca="false">IF($A2797="","",IF($H2797="-","-",IF(AND(IF(원본명단!$H2796="",TRUE(),COUNTIF(원본명단!$H$3:$H2796,원본명단!$H2796)=1),IF(원본명단!$I2796="",TRUE(),COUNTIF(원본명단!$I$3:$I2796,원본명단!$I2796)=1),IF(원본명단!$K2796="",TRUE(),COUNTIF(원본명단!$K$3:$K2796,원본명단!$K2796)=1)),"첫 건","중복 건")))</f>
        <v/>
      </c>
      <c r="J2797" s="11" t="str">
        <f aca="false">IF($A2797="","",IF($H2797="-","유지",IF($I2797="첫 건","유지","확인 필요")))</f>
        <v/>
      </c>
    </row>
    <row r="2798" customFormat="false" ht="15" hidden="false" customHeight="true" outlineLevel="0" collapsed="false">
      <c r="A2798" s="11" t="str">
        <f aca="false">IF(원본명단!$A2797="","",2795)</f>
        <v/>
      </c>
      <c r="B2798" s="12" t="str">
        <f aca="false">IF($A2798="","",원본명단!$A2797)</f>
        <v/>
      </c>
      <c r="C2798" s="12" t="str">
        <f aca="false">IF($A2798="","",원본명단!$B2797)</f>
        <v/>
      </c>
      <c r="D2798" s="12" t="str">
        <f aca="false">IF($A2798="","",원본명단!$D2797)</f>
        <v/>
      </c>
      <c r="E2798" s="11" t="str">
        <f aca="false">IF($A2798="","",IF(원본명단!$H2797="",0,COUNTIF(원본명단!$H$3:$H$6002,원본명단!$H2797)))</f>
        <v/>
      </c>
      <c r="F2798" s="11" t="str">
        <f aca="false">IF($A2798="","",IF(원본명단!$I2797="",0,COUNTIF(원본명단!$I$3:$I$6002,원본명단!$I2797)))</f>
        <v/>
      </c>
      <c r="G2798" s="11" t="str">
        <f aca="false">IF($A2798="","",IF(원본명단!$K2797="",0,COUNTIF(원본명단!$K$3:$K$6002,원본명단!$K2797)))</f>
        <v/>
      </c>
      <c r="H2798" s="11" t="str">
        <f aca="false">IF($A2798="","",IF(MAX($E2798,$F2798,$G2798)&gt;1,"중복","-"))</f>
        <v/>
      </c>
      <c r="I2798" s="11" t="str">
        <f aca="false">IF($A2798="","",IF($H2798="-","-",IF(AND(IF(원본명단!$H2797="",TRUE(),COUNTIF(원본명단!$H$3:$H2797,원본명단!$H2797)=1),IF(원본명단!$I2797="",TRUE(),COUNTIF(원본명단!$I$3:$I2797,원본명단!$I2797)=1),IF(원본명단!$K2797="",TRUE(),COUNTIF(원본명단!$K$3:$K2797,원본명단!$K2797)=1)),"첫 건","중복 건")))</f>
        <v/>
      </c>
      <c r="J2798" s="11" t="str">
        <f aca="false">IF($A2798="","",IF($H2798="-","유지",IF($I2798="첫 건","유지","확인 필요")))</f>
        <v/>
      </c>
    </row>
    <row r="2799" customFormat="false" ht="15" hidden="false" customHeight="true" outlineLevel="0" collapsed="false">
      <c r="A2799" s="11" t="str">
        <f aca="false">IF(원본명단!$A2798="","",2796)</f>
        <v/>
      </c>
      <c r="B2799" s="12" t="str">
        <f aca="false">IF($A2799="","",원본명단!$A2798)</f>
        <v/>
      </c>
      <c r="C2799" s="12" t="str">
        <f aca="false">IF($A2799="","",원본명단!$B2798)</f>
        <v/>
      </c>
      <c r="D2799" s="12" t="str">
        <f aca="false">IF($A2799="","",원본명단!$D2798)</f>
        <v/>
      </c>
      <c r="E2799" s="11" t="str">
        <f aca="false">IF($A2799="","",IF(원본명단!$H2798="",0,COUNTIF(원본명단!$H$3:$H$6002,원본명단!$H2798)))</f>
        <v/>
      </c>
      <c r="F2799" s="11" t="str">
        <f aca="false">IF($A2799="","",IF(원본명단!$I2798="",0,COUNTIF(원본명단!$I$3:$I$6002,원본명단!$I2798)))</f>
        <v/>
      </c>
      <c r="G2799" s="11" t="str">
        <f aca="false">IF($A2799="","",IF(원본명단!$K2798="",0,COUNTIF(원본명단!$K$3:$K$6002,원본명단!$K2798)))</f>
        <v/>
      </c>
      <c r="H2799" s="11" t="str">
        <f aca="false">IF($A2799="","",IF(MAX($E2799,$F2799,$G2799)&gt;1,"중복","-"))</f>
        <v/>
      </c>
      <c r="I2799" s="11" t="str">
        <f aca="false">IF($A2799="","",IF($H2799="-","-",IF(AND(IF(원본명단!$H2798="",TRUE(),COUNTIF(원본명단!$H$3:$H2798,원본명단!$H2798)=1),IF(원본명단!$I2798="",TRUE(),COUNTIF(원본명단!$I$3:$I2798,원본명단!$I2798)=1),IF(원본명단!$K2798="",TRUE(),COUNTIF(원본명단!$K$3:$K2798,원본명단!$K2798)=1)),"첫 건","중복 건")))</f>
        <v/>
      </c>
      <c r="J2799" s="11" t="str">
        <f aca="false">IF($A2799="","",IF($H2799="-","유지",IF($I2799="첫 건","유지","확인 필요")))</f>
        <v/>
      </c>
    </row>
    <row r="2800" customFormat="false" ht="15" hidden="false" customHeight="true" outlineLevel="0" collapsed="false">
      <c r="A2800" s="11" t="str">
        <f aca="false">IF(원본명단!$A2799="","",2797)</f>
        <v/>
      </c>
      <c r="B2800" s="12" t="str">
        <f aca="false">IF($A2800="","",원본명단!$A2799)</f>
        <v/>
      </c>
      <c r="C2800" s="12" t="str">
        <f aca="false">IF($A2800="","",원본명단!$B2799)</f>
        <v/>
      </c>
      <c r="D2800" s="12" t="str">
        <f aca="false">IF($A2800="","",원본명단!$D2799)</f>
        <v/>
      </c>
      <c r="E2800" s="11" t="str">
        <f aca="false">IF($A2800="","",IF(원본명단!$H2799="",0,COUNTIF(원본명단!$H$3:$H$6002,원본명단!$H2799)))</f>
        <v/>
      </c>
      <c r="F2800" s="11" t="str">
        <f aca="false">IF($A2800="","",IF(원본명단!$I2799="",0,COUNTIF(원본명단!$I$3:$I$6002,원본명단!$I2799)))</f>
        <v/>
      </c>
      <c r="G2800" s="11" t="str">
        <f aca="false">IF($A2800="","",IF(원본명단!$K2799="",0,COUNTIF(원본명단!$K$3:$K$6002,원본명단!$K2799)))</f>
        <v/>
      </c>
      <c r="H2800" s="11" t="str">
        <f aca="false">IF($A2800="","",IF(MAX($E2800,$F2800,$G2800)&gt;1,"중복","-"))</f>
        <v/>
      </c>
      <c r="I2800" s="11" t="str">
        <f aca="false">IF($A2800="","",IF($H2800="-","-",IF(AND(IF(원본명단!$H2799="",TRUE(),COUNTIF(원본명단!$H$3:$H2799,원본명단!$H2799)=1),IF(원본명단!$I2799="",TRUE(),COUNTIF(원본명단!$I$3:$I2799,원본명단!$I2799)=1),IF(원본명단!$K2799="",TRUE(),COUNTIF(원본명단!$K$3:$K2799,원본명단!$K2799)=1)),"첫 건","중복 건")))</f>
        <v/>
      </c>
      <c r="J2800" s="11" t="str">
        <f aca="false">IF($A2800="","",IF($H2800="-","유지",IF($I2800="첫 건","유지","확인 필요")))</f>
        <v/>
      </c>
    </row>
    <row r="2801" customFormat="false" ht="15" hidden="false" customHeight="true" outlineLevel="0" collapsed="false">
      <c r="A2801" s="11" t="str">
        <f aca="false">IF(원본명단!$A2800="","",2798)</f>
        <v/>
      </c>
      <c r="B2801" s="12" t="str">
        <f aca="false">IF($A2801="","",원본명단!$A2800)</f>
        <v/>
      </c>
      <c r="C2801" s="12" t="str">
        <f aca="false">IF($A2801="","",원본명단!$B2800)</f>
        <v/>
      </c>
      <c r="D2801" s="12" t="str">
        <f aca="false">IF($A2801="","",원본명단!$D2800)</f>
        <v/>
      </c>
      <c r="E2801" s="11" t="str">
        <f aca="false">IF($A2801="","",IF(원본명단!$H2800="",0,COUNTIF(원본명단!$H$3:$H$6002,원본명단!$H2800)))</f>
        <v/>
      </c>
      <c r="F2801" s="11" t="str">
        <f aca="false">IF($A2801="","",IF(원본명단!$I2800="",0,COUNTIF(원본명단!$I$3:$I$6002,원본명단!$I2800)))</f>
        <v/>
      </c>
      <c r="G2801" s="11" t="str">
        <f aca="false">IF($A2801="","",IF(원본명단!$K2800="",0,COUNTIF(원본명단!$K$3:$K$6002,원본명단!$K2800)))</f>
        <v/>
      </c>
      <c r="H2801" s="11" t="str">
        <f aca="false">IF($A2801="","",IF(MAX($E2801,$F2801,$G2801)&gt;1,"중복","-"))</f>
        <v/>
      </c>
      <c r="I2801" s="11" t="str">
        <f aca="false">IF($A2801="","",IF($H2801="-","-",IF(AND(IF(원본명단!$H2800="",TRUE(),COUNTIF(원본명단!$H$3:$H2800,원본명단!$H2800)=1),IF(원본명단!$I2800="",TRUE(),COUNTIF(원본명단!$I$3:$I2800,원본명단!$I2800)=1),IF(원본명단!$K2800="",TRUE(),COUNTIF(원본명단!$K$3:$K2800,원본명단!$K2800)=1)),"첫 건","중복 건")))</f>
        <v/>
      </c>
      <c r="J2801" s="11" t="str">
        <f aca="false">IF($A2801="","",IF($H2801="-","유지",IF($I2801="첫 건","유지","확인 필요")))</f>
        <v/>
      </c>
    </row>
    <row r="2802" customFormat="false" ht="15" hidden="false" customHeight="true" outlineLevel="0" collapsed="false">
      <c r="A2802" s="11" t="str">
        <f aca="false">IF(원본명단!$A2801="","",2799)</f>
        <v/>
      </c>
      <c r="B2802" s="12" t="str">
        <f aca="false">IF($A2802="","",원본명단!$A2801)</f>
        <v/>
      </c>
      <c r="C2802" s="12" t="str">
        <f aca="false">IF($A2802="","",원본명단!$B2801)</f>
        <v/>
      </c>
      <c r="D2802" s="12" t="str">
        <f aca="false">IF($A2802="","",원본명단!$D2801)</f>
        <v/>
      </c>
      <c r="E2802" s="11" t="str">
        <f aca="false">IF($A2802="","",IF(원본명단!$H2801="",0,COUNTIF(원본명단!$H$3:$H$6002,원본명단!$H2801)))</f>
        <v/>
      </c>
      <c r="F2802" s="11" t="str">
        <f aca="false">IF($A2802="","",IF(원본명단!$I2801="",0,COUNTIF(원본명단!$I$3:$I$6002,원본명단!$I2801)))</f>
        <v/>
      </c>
      <c r="G2802" s="11" t="str">
        <f aca="false">IF($A2802="","",IF(원본명단!$K2801="",0,COUNTIF(원본명단!$K$3:$K$6002,원본명단!$K2801)))</f>
        <v/>
      </c>
      <c r="H2802" s="11" t="str">
        <f aca="false">IF($A2802="","",IF(MAX($E2802,$F2802,$G2802)&gt;1,"중복","-"))</f>
        <v/>
      </c>
      <c r="I2802" s="11" t="str">
        <f aca="false">IF($A2802="","",IF($H2802="-","-",IF(AND(IF(원본명단!$H2801="",TRUE(),COUNTIF(원본명단!$H$3:$H2801,원본명단!$H2801)=1),IF(원본명단!$I2801="",TRUE(),COUNTIF(원본명단!$I$3:$I2801,원본명단!$I2801)=1),IF(원본명단!$K2801="",TRUE(),COUNTIF(원본명단!$K$3:$K2801,원본명단!$K2801)=1)),"첫 건","중복 건")))</f>
        <v/>
      </c>
      <c r="J2802" s="11" t="str">
        <f aca="false">IF($A2802="","",IF($H2802="-","유지",IF($I2802="첫 건","유지","확인 필요")))</f>
        <v/>
      </c>
    </row>
    <row r="2803" customFormat="false" ht="15" hidden="false" customHeight="true" outlineLevel="0" collapsed="false">
      <c r="A2803" s="11" t="str">
        <f aca="false">IF(원본명단!$A2802="","",2800)</f>
        <v/>
      </c>
      <c r="B2803" s="12" t="str">
        <f aca="false">IF($A2803="","",원본명단!$A2802)</f>
        <v/>
      </c>
      <c r="C2803" s="12" t="str">
        <f aca="false">IF($A2803="","",원본명단!$B2802)</f>
        <v/>
      </c>
      <c r="D2803" s="12" t="str">
        <f aca="false">IF($A2803="","",원본명단!$D2802)</f>
        <v/>
      </c>
      <c r="E2803" s="11" t="str">
        <f aca="false">IF($A2803="","",IF(원본명단!$H2802="",0,COUNTIF(원본명단!$H$3:$H$6002,원본명단!$H2802)))</f>
        <v/>
      </c>
      <c r="F2803" s="11" t="str">
        <f aca="false">IF($A2803="","",IF(원본명단!$I2802="",0,COUNTIF(원본명단!$I$3:$I$6002,원본명단!$I2802)))</f>
        <v/>
      </c>
      <c r="G2803" s="11" t="str">
        <f aca="false">IF($A2803="","",IF(원본명단!$K2802="",0,COUNTIF(원본명단!$K$3:$K$6002,원본명단!$K2802)))</f>
        <v/>
      </c>
      <c r="H2803" s="11" t="str">
        <f aca="false">IF($A2803="","",IF(MAX($E2803,$F2803,$G2803)&gt;1,"중복","-"))</f>
        <v/>
      </c>
      <c r="I2803" s="11" t="str">
        <f aca="false">IF($A2803="","",IF($H2803="-","-",IF(AND(IF(원본명단!$H2802="",TRUE(),COUNTIF(원본명단!$H$3:$H2802,원본명단!$H2802)=1),IF(원본명단!$I2802="",TRUE(),COUNTIF(원본명단!$I$3:$I2802,원본명단!$I2802)=1),IF(원본명단!$K2802="",TRUE(),COUNTIF(원본명단!$K$3:$K2802,원본명단!$K2802)=1)),"첫 건","중복 건")))</f>
        <v/>
      </c>
      <c r="J2803" s="11" t="str">
        <f aca="false">IF($A2803="","",IF($H2803="-","유지",IF($I2803="첫 건","유지","확인 필요")))</f>
        <v/>
      </c>
    </row>
    <row r="2804" customFormat="false" ht="15" hidden="false" customHeight="true" outlineLevel="0" collapsed="false">
      <c r="A2804" s="11" t="str">
        <f aca="false">IF(원본명단!$A2803="","",2801)</f>
        <v/>
      </c>
      <c r="B2804" s="12" t="str">
        <f aca="false">IF($A2804="","",원본명단!$A2803)</f>
        <v/>
      </c>
      <c r="C2804" s="12" t="str">
        <f aca="false">IF($A2804="","",원본명단!$B2803)</f>
        <v/>
      </c>
      <c r="D2804" s="12" t="str">
        <f aca="false">IF($A2804="","",원본명단!$D2803)</f>
        <v/>
      </c>
      <c r="E2804" s="11" t="str">
        <f aca="false">IF($A2804="","",IF(원본명단!$H2803="",0,COUNTIF(원본명단!$H$3:$H$6002,원본명단!$H2803)))</f>
        <v/>
      </c>
      <c r="F2804" s="11" t="str">
        <f aca="false">IF($A2804="","",IF(원본명단!$I2803="",0,COUNTIF(원본명단!$I$3:$I$6002,원본명단!$I2803)))</f>
        <v/>
      </c>
      <c r="G2804" s="11" t="str">
        <f aca="false">IF($A2804="","",IF(원본명단!$K2803="",0,COUNTIF(원본명단!$K$3:$K$6002,원본명단!$K2803)))</f>
        <v/>
      </c>
      <c r="H2804" s="11" t="str">
        <f aca="false">IF($A2804="","",IF(MAX($E2804,$F2804,$G2804)&gt;1,"중복","-"))</f>
        <v/>
      </c>
      <c r="I2804" s="11" t="str">
        <f aca="false">IF($A2804="","",IF($H2804="-","-",IF(AND(IF(원본명단!$H2803="",TRUE(),COUNTIF(원본명단!$H$3:$H2803,원본명단!$H2803)=1),IF(원본명단!$I2803="",TRUE(),COUNTIF(원본명단!$I$3:$I2803,원본명단!$I2803)=1),IF(원본명단!$K2803="",TRUE(),COUNTIF(원본명단!$K$3:$K2803,원본명단!$K2803)=1)),"첫 건","중복 건")))</f>
        <v/>
      </c>
      <c r="J2804" s="11" t="str">
        <f aca="false">IF($A2804="","",IF($H2804="-","유지",IF($I2804="첫 건","유지","확인 필요")))</f>
        <v/>
      </c>
    </row>
    <row r="2805" customFormat="false" ht="15" hidden="false" customHeight="true" outlineLevel="0" collapsed="false">
      <c r="A2805" s="11" t="str">
        <f aca="false">IF(원본명단!$A2804="","",2802)</f>
        <v/>
      </c>
      <c r="B2805" s="12" t="str">
        <f aca="false">IF($A2805="","",원본명단!$A2804)</f>
        <v/>
      </c>
      <c r="C2805" s="12" t="str">
        <f aca="false">IF($A2805="","",원본명단!$B2804)</f>
        <v/>
      </c>
      <c r="D2805" s="12" t="str">
        <f aca="false">IF($A2805="","",원본명단!$D2804)</f>
        <v/>
      </c>
      <c r="E2805" s="11" t="str">
        <f aca="false">IF($A2805="","",IF(원본명단!$H2804="",0,COUNTIF(원본명단!$H$3:$H$6002,원본명단!$H2804)))</f>
        <v/>
      </c>
      <c r="F2805" s="11" t="str">
        <f aca="false">IF($A2805="","",IF(원본명단!$I2804="",0,COUNTIF(원본명단!$I$3:$I$6002,원본명단!$I2804)))</f>
        <v/>
      </c>
      <c r="G2805" s="11" t="str">
        <f aca="false">IF($A2805="","",IF(원본명단!$K2804="",0,COUNTIF(원본명단!$K$3:$K$6002,원본명단!$K2804)))</f>
        <v/>
      </c>
      <c r="H2805" s="11" t="str">
        <f aca="false">IF($A2805="","",IF(MAX($E2805,$F2805,$G2805)&gt;1,"중복","-"))</f>
        <v/>
      </c>
      <c r="I2805" s="11" t="str">
        <f aca="false">IF($A2805="","",IF($H2805="-","-",IF(AND(IF(원본명단!$H2804="",TRUE(),COUNTIF(원본명단!$H$3:$H2804,원본명단!$H2804)=1),IF(원본명단!$I2804="",TRUE(),COUNTIF(원본명단!$I$3:$I2804,원본명단!$I2804)=1),IF(원본명단!$K2804="",TRUE(),COUNTIF(원본명단!$K$3:$K2804,원본명단!$K2804)=1)),"첫 건","중복 건")))</f>
        <v/>
      </c>
      <c r="J2805" s="11" t="str">
        <f aca="false">IF($A2805="","",IF($H2805="-","유지",IF($I2805="첫 건","유지","확인 필요")))</f>
        <v/>
      </c>
    </row>
    <row r="2806" customFormat="false" ht="15" hidden="false" customHeight="true" outlineLevel="0" collapsed="false">
      <c r="A2806" s="11" t="str">
        <f aca="false">IF(원본명단!$A2805="","",2803)</f>
        <v/>
      </c>
      <c r="B2806" s="12" t="str">
        <f aca="false">IF($A2806="","",원본명단!$A2805)</f>
        <v/>
      </c>
      <c r="C2806" s="12" t="str">
        <f aca="false">IF($A2806="","",원본명단!$B2805)</f>
        <v/>
      </c>
      <c r="D2806" s="12" t="str">
        <f aca="false">IF($A2806="","",원본명단!$D2805)</f>
        <v/>
      </c>
      <c r="E2806" s="11" t="str">
        <f aca="false">IF($A2806="","",IF(원본명단!$H2805="",0,COUNTIF(원본명단!$H$3:$H$6002,원본명단!$H2805)))</f>
        <v/>
      </c>
      <c r="F2806" s="11" t="str">
        <f aca="false">IF($A2806="","",IF(원본명단!$I2805="",0,COUNTIF(원본명단!$I$3:$I$6002,원본명단!$I2805)))</f>
        <v/>
      </c>
      <c r="G2806" s="11" t="str">
        <f aca="false">IF($A2806="","",IF(원본명단!$K2805="",0,COUNTIF(원본명단!$K$3:$K$6002,원본명단!$K2805)))</f>
        <v/>
      </c>
      <c r="H2806" s="11" t="str">
        <f aca="false">IF($A2806="","",IF(MAX($E2806,$F2806,$G2806)&gt;1,"중복","-"))</f>
        <v/>
      </c>
      <c r="I2806" s="11" t="str">
        <f aca="false">IF($A2806="","",IF($H2806="-","-",IF(AND(IF(원본명단!$H2805="",TRUE(),COUNTIF(원본명단!$H$3:$H2805,원본명단!$H2805)=1),IF(원본명단!$I2805="",TRUE(),COUNTIF(원본명단!$I$3:$I2805,원본명단!$I2805)=1),IF(원본명단!$K2805="",TRUE(),COUNTIF(원본명단!$K$3:$K2805,원본명단!$K2805)=1)),"첫 건","중복 건")))</f>
        <v/>
      </c>
      <c r="J2806" s="11" t="str">
        <f aca="false">IF($A2806="","",IF($H2806="-","유지",IF($I2806="첫 건","유지","확인 필요")))</f>
        <v/>
      </c>
    </row>
    <row r="2807" customFormat="false" ht="15" hidden="false" customHeight="true" outlineLevel="0" collapsed="false">
      <c r="A2807" s="11" t="str">
        <f aca="false">IF(원본명단!$A2806="","",2804)</f>
        <v/>
      </c>
      <c r="B2807" s="12" t="str">
        <f aca="false">IF($A2807="","",원본명단!$A2806)</f>
        <v/>
      </c>
      <c r="C2807" s="12" t="str">
        <f aca="false">IF($A2807="","",원본명단!$B2806)</f>
        <v/>
      </c>
      <c r="D2807" s="12" t="str">
        <f aca="false">IF($A2807="","",원본명단!$D2806)</f>
        <v/>
      </c>
      <c r="E2807" s="11" t="str">
        <f aca="false">IF($A2807="","",IF(원본명단!$H2806="",0,COUNTIF(원본명단!$H$3:$H$6002,원본명단!$H2806)))</f>
        <v/>
      </c>
      <c r="F2807" s="11" t="str">
        <f aca="false">IF($A2807="","",IF(원본명단!$I2806="",0,COUNTIF(원본명단!$I$3:$I$6002,원본명단!$I2806)))</f>
        <v/>
      </c>
      <c r="G2807" s="11" t="str">
        <f aca="false">IF($A2807="","",IF(원본명단!$K2806="",0,COUNTIF(원본명단!$K$3:$K$6002,원본명단!$K2806)))</f>
        <v/>
      </c>
      <c r="H2807" s="11" t="str">
        <f aca="false">IF($A2807="","",IF(MAX($E2807,$F2807,$G2807)&gt;1,"중복","-"))</f>
        <v/>
      </c>
      <c r="I2807" s="11" t="str">
        <f aca="false">IF($A2807="","",IF($H2807="-","-",IF(AND(IF(원본명단!$H2806="",TRUE(),COUNTIF(원본명단!$H$3:$H2806,원본명단!$H2806)=1),IF(원본명단!$I2806="",TRUE(),COUNTIF(원본명단!$I$3:$I2806,원본명단!$I2806)=1),IF(원본명단!$K2806="",TRUE(),COUNTIF(원본명단!$K$3:$K2806,원본명단!$K2806)=1)),"첫 건","중복 건")))</f>
        <v/>
      </c>
      <c r="J2807" s="11" t="str">
        <f aca="false">IF($A2807="","",IF($H2807="-","유지",IF($I2807="첫 건","유지","확인 필요")))</f>
        <v/>
      </c>
    </row>
    <row r="2808" customFormat="false" ht="15" hidden="false" customHeight="true" outlineLevel="0" collapsed="false">
      <c r="A2808" s="11" t="str">
        <f aca="false">IF(원본명단!$A2807="","",2805)</f>
        <v/>
      </c>
      <c r="B2808" s="12" t="str">
        <f aca="false">IF($A2808="","",원본명단!$A2807)</f>
        <v/>
      </c>
      <c r="C2808" s="12" t="str">
        <f aca="false">IF($A2808="","",원본명단!$B2807)</f>
        <v/>
      </c>
      <c r="D2808" s="12" t="str">
        <f aca="false">IF($A2808="","",원본명단!$D2807)</f>
        <v/>
      </c>
      <c r="E2808" s="11" t="str">
        <f aca="false">IF($A2808="","",IF(원본명단!$H2807="",0,COUNTIF(원본명단!$H$3:$H$6002,원본명단!$H2807)))</f>
        <v/>
      </c>
      <c r="F2808" s="11" t="str">
        <f aca="false">IF($A2808="","",IF(원본명단!$I2807="",0,COUNTIF(원본명단!$I$3:$I$6002,원본명단!$I2807)))</f>
        <v/>
      </c>
      <c r="G2808" s="11" t="str">
        <f aca="false">IF($A2808="","",IF(원본명단!$K2807="",0,COUNTIF(원본명단!$K$3:$K$6002,원본명단!$K2807)))</f>
        <v/>
      </c>
      <c r="H2808" s="11" t="str">
        <f aca="false">IF($A2808="","",IF(MAX($E2808,$F2808,$G2808)&gt;1,"중복","-"))</f>
        <v/>
      </c>
      <c r="I2808" s="11" t="str">
        <f aca="false">IF($A2808="","",IF($H2808="-","-",IF(AND(IF(원본명단!$H2807="",TRUE(),COUNTIF(원본명단!$H$3:$H2807,원본명단!$H2807)=1),IF(원본명단!$I2807="",TRUE(),COUNTIF(원본명단!$I$3:$I2807,원본명단!$I2807)=1),IF(원본명단!$K2807="",TRUE(),COUNTIF(원본명단!$K$3:$K2807,원본명단!$K2807)=1)),"첫 건","중복 건")))</f>
        <v/>
      </c>
      <c r="J2808" s="11" t="str">
        <f aca="false">IF($A2808="","",IF($H2808="-","유지",IF($I2808="첫 건","유지","확인 필요")))</f>
        <v/>
      </c>
    </row>
    <row r="2809" customFormat="false" ht="15" hidden="false" customHeight="true" outlineLevel="0" collapsed="false">
      <c r="A2809" s="11" t="str">
        <f aca="false">IF(원본명단!$A2808="","",2806)</f>
        <v/>
      </c>
      <c r="B2809" s="12" t="str">
        <f aca="false">IF($A2809="","",원본명단!$A2808)</f>
        <v/>
      </c>
      <c r="C2809" s="12" t="str">
        <f aca="false">IF($A2809="","",원본명단!$B2808)</f>
        <v/>
      </c>
      <c r="D2809" s="12" t="str">
        <f aca="false">IF($A2809="","",원본명단!$D2808)</f>
        <v/>
      </c>
      <c r="E2809" s="11" t="str">
        <f aca="false">IF($A2809="","",IF(원본명단!$H2808="",0,COUNTIF(원본명단!$H$3:$H$6002,원본명단!$H2808)))</f>
        <v/>
      </c>
      <c r="F2809" s="11" t="str">
        <f aca="false">IF($A2809="","",IF(원본명단!$I2808="",0,COUNTIF(원본명단!$I$3:$I$6002,원본명단!$I2808)))</f>
        <v/>
      </c>
      <c r="G2809" s="11" t="str">
        <f aca="false">IF($A2809="","",IF(원본명단!$K2808="",0,COUNTIF(원본명단!$K$3:$K$6002,원본명단!$K2808)))</f>
        <v/>
      </c>
      <c r="H2809" s="11" t="str">
        <f aca="false">IF($A2809="","",IF(MAX($E2809,$F2809,$G2809)&gt;1,"중복","-"))</f>
        <v/>
      </c>
      <c r="I2809" s="11" t="str">
        <f aca="false">IF($A2809="","",IF($H2809="-","-",IF(AND(IF(원본명단!$H2808="",TRUE(),COUNTIF(원본명단!$H$3:$H2808,원본명단!$H2808)=1),IF(원본명단!$I2808="",TRUE(),COUNTIF(원본명단!$I$3:$I2808,원본명단!$I2808)=1),IF(원본명단!$K2808="",TRUE(),COUNTIF(원본명단!$K$3:$K2808,원본명단!$K2808)=1)),"첫 건","중복 건")))</f>
        <v/>
      </c>
      <c r="J2809" s="11" t="str">
        <f aca="false">IF($A2809="","",IF($H2809="-","유지",IF($I2809="첫 건","유지","확인 필요")))</f>
        <v/>
      </c>
    </row>
    <row r="2810" customFormat="false" ht="15" hidden="false" customHeight="true" outlineLevel="0" collapsed="false">
      <c r="A2810" s="11" t="str">
        <f aca="false">IF(원본명단!$A2809="","",2807)</f>
        <v/>
      </c>
      <c r="B2810" s="12" t="str">
        <f aca="false">IF($A2810="","",원본명단!$A2809)</f>
        <v/>
      </c>
      <c r="C2810" s="12" t="str">
        <f aca="false">IF($A2810="","",원본명단!$B2809)</f>
        <v/>
      </c>
      <c r="D2810" s="12" t="str">
        <f aca="false">IF($A2810="","",원본명단!$D2809)</f>
        <v/>
      </c>
      <c r="E2810" s="11" t="str">
        <f aca="false">IF($A2810="","",IF(원본명단!$H2809="",0,COUNTIF(원본명단!$H$3:$H$6002,원본명단!$H2809)))</f>
        <v/>
      </c>
      <c r="F2810" s="11" t="str">
        <f aca="false">IF($A2810="","",IF(원본명단!$I2809="",0,COUNTIF(원본명단!$I$3:$I$6002,원본명단!$I2809)))</f>
        <v/>
      </c>
      <c r="G2810" s="11" t="str">
        <f aca="false">IF($A2810="","",IF(원본명단!$K2809="",0,COUNTIF(원본명단!$K$3:$K$6002,원본명단!$K2809)))</f>
        <v/>
      </c>
      <c r="H2810" s="11" t="str">
        <f aca="false">IF($A2810="","",IF(MAX($E2810,$F2810,$G2810)&gt;1,"중복","-"))</f>
        <v/>
      </c>
      <c r="I2810" s="11" t="str">
        <f aca="false">IF($A2810="","",IF($H2810="-","-",IF(AND(IF(원본명단!$H2809="",TRUE(),COUNTIF(원본명단!$H$3:$H2809,원본명단!$H2809)=1),IF(원본명단!$I2809="",TRUE(),COUNTIF(원본명단!$I$3:$I2809,원본명단!$I2809)=1),IF(원본명단!$K2809="",TRUE(),COUNTIF(원본명단!$K$3:$K2809,원본명단!$K2809)=1)),"첫 건","중복 건")))</f>
        <v/>
      </c>
      <c r="J2810" s="11" t="str">
        <f aca="false">IF($A2810="","",IF($H2810="-","유지",IF($I2810="첫 건","유지","확인 필요")))</f>
        <v/>
      </c>
    </row>
    <row r="2811" customFormat="false" ht="15" hidden="false" customHeight="true" outlineLevel="0" collapsed="false">
      <c r="A2811" s="11" t="str">
        <f aca="false">IF(원본명단!$A2810="","",2808)</f>
        <v/>
      </c>
      <c r="B2811" s="12" t="str">
        <f aca="false">IF($A2811="","",원본명단!$A2810)</f>
        <v/>
      </c>
      <c r="C2811" s="12" t="str">
        <f aca="false">IF($A2811="","",원본명단!$B2810)</f>
        <v/>
      </c>
      <c r="D2811" s="12" t="str">
        <f aca="false">IF($A2811="","",원본명단!$D2810)</f>
        <v/>
      </c>
      <c r="E2811" s="11" t="str">
        <f aca="false">IF($A2811="","",IF(원본명단!$H2810="",0,COUNTIF(원본명단!$H$3:$H$6002,원본명단!$H2810)))</f>
        <v/>
      </c>
      <c r="F2811" s="11" t="str">
        <f aca="false">IF($A2811="","",IF(원본명단!$I2810="",0,COUNTIF(원본명단!$I$3:$I$6002,원본명단!$I2810)))</f>
        <v/>
      </c>
      <c r="G2811" s="11" t="str">
        <f aca="false">IF($A2811="","",IF(원본명단!$K2810="",0,COUNTIF(원본명단!$K$3:$K$6002,원본명단!$K2810)))</f>
        <v/>
      </c>
      <c r="H2811" s="11" t="str">
        <f aca="false">IF($A2811="","",IF(MAX($E2811,$F2811,$G2811)&gt;1,"중복","-"))</f>
        <v/>
      </c>
      <c r="I2811" s="11" t="str">
        <f aca="false">IF($A2811="","",IF($H2811="-","-",IF(AND(IF(원본명단!$H2810="",TRUE(),COUNTIF(원본명단!$H$3:$H2810,원본명단!$H2810)=1),IF(원본명단!$I2810="",TRUE(),COUNTIF(원본명단!$I$3:$I2810,원본명단!$I2810)=1),IF(원본명단!$K2810="",TRUE(),COUNTIF(원본명단!$K$3:$K2810,원본명단!$K2810)=1)),"첫 건","중복 건")))</f>
        <v/>
      </c>
      <c r="J2811" s="11" t="str">
        <f aca="false">IF($A2811="","",IF($H2811="-","유지",IF($I2811="첫 건","유지","확인 필요")))</f>
        <v/>
      </c>
    </row>
    <row r="2812" customFormat="false" ht="15" hidden="false" customHeight="true" outlineLevel="0" collapsed="false">
      <c r="A2812" s="11" t="str">
        <f aca="false">IF(원본명단!$A2811="","",2809)</f>
        <v/>
      </c>
      <c r="B2812" s="12" t="str">
        <f aca="false">IF($A2812="","",원본명단!$A2811)</f>
        <v/>
      </c>
      <c r="C2812" s="12" t="str">
        <f aca="false">IF($A2812="","",원본명단!$B2811)</f>
        <v/>
      </c>
      <c r="D2812" s="12" t="str">
        <f aca="false">IF($A2812="","",원본명단!$D2811)</f>
        <v/>
      </c>
      <c r="E2812" s="11" t="str">
        <f aca="false">IF($A2812="","",IF(원본명단!$H2811="",0,COUNTIF(원본명단!$H$3:$H$6002,원본명단!$H2811)))</f>
        <v/>
      </c>
      <c r="F2812" s="11" t="str">
        <f aca="false">IF($A2812="","",IF(원본명단!$I2811="",0,COUNTIF(원본명단!$I$3:$I$6002,원본명단!$I2811)))</f>
        <v/>
      </c>
      <c r="G2812" s="11" t="str">
        <f aca="false">IF($A2812="","",IF(원본명단!$K2811="",0,COUNTIF(원본명단!$K$3:$K$6002,원본명단!$K2811)))</f>
        <v/>
      </c>
      <c r="H2812" s="11" t="str">
        <f aca="false">IF($A2812="","",IF(MAX($E2812,$F2812,$G2812)&gt;1,"중복","-"))</f>
        <v/>
      </c>
      <c r="I2812" s="11" t="str">
        <f aca="false">IF($A2812="","",IF($H2812="-","-",IF(AND(IF(원본명단!$H2811="",TRUE(),COUNTIF(원본명단!$H$3:$H2811,원본명단!$H2811)=1),IF(원본명단!$I2811="",TRUE(),COUNTIF(원본명단!$I$3:$I2811,원본명단!$I2811)=1),IF(원본명단!$K2811="",TRUE(),COUNTIF(원본명단!$K$3:$K2811,원본명단!$K2811)=1)),"첫 건","중복 건")))</f>
        <v/>
      </c>
      <c r="J2812" s="11" t="str">
        <f aca="false">IF($A2812="","",IF($H2812="-","유지",IF($I2812="첫 건","유지","확인 필요")))</f>
        <v/>
      </c>
    </row>
    <row r="2813" customFormat="false" ht="15" hidden="false" customHeight="true" outlineLevel="0" collapsed="false">
      <c r="A2813" s="11" t="str">
        <f aca="false">IF(원본명단!$A2812="","",2810)</f>
        <v/>
      </c>
      <c r="B2813" s="12" t="str">
        <f aca="false">IF($A2813="","",원본명단!$A2812)</f>
        <v/>
      </c>
      <c r="C2813" s="12" t="str">
        <f aca="false">IF($A2813="","",원본명단!$B2812)</f>
        <v/>
      </c>
      <c r="D2813" s="12" t="str">
        <f aca="false">IF($A2813="","",원본명단!$D2812)</f>
        <v/>
      </c>
      <c r="E2813" s="11" t="str">
        <f aca="false">IF($A2813="","",IF(원본명단!$H2812="",0,COUNTIF(원본명단!$H$3:$H$6002,원본명단!$H2812)))</f>
        <v/>
      </c>
      <c r="F2813" s="11" t="str">
        <f aca="false">IF($A2813="","",IF(원본명단!$I2812="",0,COUNTIF(원본명단!$I$3:$I$6002,원본명단!$I2812)))</f>
        <v/>
      </c>
      <c r="G2813" s="11" t="str">
        <f aca="false">IF($A2813="","",IF(원본명단!$K2812="",0,COUNTIF(원본명단!$K$3:$K$6002,원본명단!$K2812)))</f>
        <v/>
      </c>
      <c r="H2813" s="11" t="str">
        <f aca="false">IF($A2813="","",IF(MAX($E2813,$F2813,$G2813)&gt;1,"중복","-"))</f>
        <v/>
      </c>
      <c r="I2813" s="11" t="str">
        <f aca="false">IF($A2813="","",IF($H2813="-","-",IF(AND(IF(원본명단!$H2812="",TRUE(),COUNTIF(원본명단!$H$3:$H2812,원본명단!$H2812)=1),IF(원본명단!$I2812="",TRUE(),COUNTIF(원본명단!$I$3:$I2812,원본명단!$I2812)=1),IF(원본명단!$K2812="",TRUE(),COUNTIF(원본명단!$K$3:$K2812,원본명단!$K2812)=1)),"첫 건","중복 건")))</f>
        <v/>
      </c>
      <c r="J2813" s="11" t="str">
        <f aca="false">IF($A2813="","",IF($H2813="-","유지",IF($I2813="첫 건","유지","확인 필요")))</f>
        <v/>
      </c>
    </row>
    <row r="2814" customFormat="false" ht="15" hidden="false" customHeight="true" outlineLevel="0" collapsed="false">
      <c r="A2814" s="11" t="str">
        <f aca="false">IF(원본명단!$A2813="","",2811)</f>
        <v/>
      </c>
      <c r="B2814" s="12" t="str">
        <f aca="false">IF($A2814="","",원본명단!$A2813)</f>
        <v/>
      </c>
      <c r="C2814" s="12" t="str">
        <f aca="false">IF($A2814="","",원본명단!$B2813)</f>
        <v/>
      </c>
      <c r="D2814" s="12" t="str">
        <f aca="false">IF($A2814="","",원본명단!$D2813)</f>
        <v/>
      </c>
      <c r="E2814" s="11" t="str">
        <f aca="false">IF($A2814="","",IF(원본명단!$H2813="",0,COUNTIF(원본명단!$H$3:$H$6002,원본명단!$H2813)))</f>
        <v/>
      </c>
      <c r="F2814" s="11" t="str">
        <f aca="false">IF($A2814="","",IF(원본명단!$I2813="",0,COUNTIF(원본명단!$I$3:$I$6002,원본명단!$I2813)))</f>
        <v/>
      </c>
      <c r="G2814" s="11" t="str">
        <f aca="false">IF($A2814="","",IF(원본명단!$K2813="",0,COUNTIF(원본명단!$K$3:$K$6002,원본명단!$K2813)))</f>
        <v/>
      </c>
      <c r="H2814" s="11" t="str">
        <f aca="false">IF($A2814="","",IF(MAX($E2814,$F2814,$G2814)&gt;1,"중복","-"))</f>
        <v/>
      </c>
      <c r="I2814" s="11" t="str">
        <f aca="false">IF($A2814="","",IF($H2814="-","-",IF(AND(IF(원본명단!$H2813="",TRUE(),COUNTIF(원본명단!$H$3:$H2813,원본명단!$H2813)=1),IF(원본명단!$I2813="",TRUE(),COUNTIF(원본명단!$I$3:$I2813,원본명단!$I2813)=1),IF(원본명단!$K2813="",TRUE(),COUNTIF(원본명단!$K$3:$K2813,원본명단!$K2813)=1)),"첫 건","중복 건")))</f>
        <v/>
      </c>
      <c r="J2814" s="11" t="str">
        <f aca="false">IF($A2814="","",IF($H2814="-","유지",IF($I2814="첫 건","유지","확인 필요")))</f>
        <v/>
      </c>
    </row>
    <row r="2815" customFormat="false" ht="15" hidden="false" customHeight="true" outlineLevel="0" collapsed="false">
      <c r="A2815" s="11" t="str">
        <f aca="false">IF(원본명단!$A2814="","",2812)</f>
        <v/>
      </c>
      <c r="B2815" s="12" t="str">
        <f aca="false">IF($A2815="","",원본명단!$A2814)</f>
        <v/>
      </c>
      <c r="C2815" s="12" t="str">
        <f aca="false">IF($A2815="","",원본명단!$B2814)</f>
        <v/>
      </c>
      <c r="D2815" s="12" t="str">
        <f aca="false">IF($A2815="","",원본명단!$D2814)</f>
        <v/>
      </c>
      <c r="E2815" s="11" t="str">
        <f aca="false">IF($A2815="","",IF(원본명단!$H2814="",0,COUNTIF(원본명단!$H$3:$H$6002,원본명단!$H2814)))</f>
        <v/>
      </c>
      <c r="F2815" s="11" t="str">
        <f aca="false">IF($A2815="","",IF(원본명단!$I2814="",0,COUNTIF(원본명단!$I$3:$I$6002,원본명단!$I2814)))</f>
        <v/>
      </c>
      <c r="G2815" s="11" t="str">
        <f aca="false">IF($A2815="","",IF(원본명단!$K2814="",0,COUNTIF(원본명단!$K$3:$K$6002,원본명단!$K2814)))</f>
        <v/>
      </c>
      <c r="H2815" s="11" t="str">
        <f aca="false">IF($A2815="","",IF(MAX($E2815,$F2815,$G2815)&gt;1,"중복","-"))</f>
        <v/>
      </c>
      <c r="I2815" s="11" t="str">
        <f aca="false">IF($A2815="","",IF($H2815="-","-",IF(AND(IF(원본명단!$H2814="",TRUE(),COUNTIF(원본명단!$H$3:$H2814,원본명단!$H2814)=1),IF(원본명단!$I2814="",TRUE(),COUNTIF(원본명단!$I$3:$I2814,원본명단!$I2814)=1),IF(원본명단!$K2814="",TRUE(),COUNTIF(원본명단!$K$3:$K2814,원본명단!$K2814)=1)),"첫 건","중복 건")))</f>
        <v/>
      </c>
      <c r="J2815" s="11" t="str">
        <f aca="false">IF($A2815="","",IF($H2815="-","유지",IF($I2815="첫 건","유지","확인 필요")))</f>
        <v/>
      </c>
    </row>
    <row r="2816" customFormat="false" ht="15" hidden="false" customHeight="true" outlineLevel="0" collapsed="false">
      <c r="A2816" s="11" t="str">
        <f aca="false">IF(원본명단!$A2815="","",2813)</f>
        <v/>
      </c>
      <c r="B2816" s="12" t="str">
        <f aca="false">IF($A2816="","",원본명단!$A2815)</f>
        <v/>
      </c>
      <c r="C2816" s="12" t="str">
        <f aca="false">IF($A2816="","",원본명단!$B2815)</f>
        <v/>
      </c>
      <c r="D2816" s="12" t="str">
        <f aca="false">IF($A2816="","",원본명단!$D2815)</f>
        <v/>
      </c>
      <c r="E2816" s="11" t="str">
        <f aca="false">IF($A2816="","",IF(원본명단!$H2815="",0,COUNTIF(원본명단!$H$3:$H$6002,원본명단!$H2815)))</f>
        <v/>
      </c>
      <c r="F2816" s="11" t="str">
        <f aca="false">IF($A2816="","",IF(원본명단!$I2815="",0,COUNTIF(원본명단!$I$3:$I$6002,원본명단!$I2815)))</f>
        <v/>
      </c>
      <c r="G2816" s="11" t="str">
        <f aca="false">IF($A2816="","",IF(원본명단!$K2815="",0,COUNTIF(원본명단!$K$3:$K$6002,원본명단!$K2815)))</f>
        <v/>
      </c>
      <c r="H2816" s="11" t="str">
        <f aca="false">IF($A2816="","",IF(MAX($E2816,$F2816,$G2816)&gt;1,"중복","-"))</f>
        <v/>
      </c>
      <c r="I2816" s="11" t="str">
        <f aca="false">IF($A2816="","",IF($H2816="-","-",IF(AND(IF(원본명단!$H2815="",TRUE(),COUNTIF(원본명단!$H$3:$H2815,원본명단!$H2815)=1),IF(원본명단!$I2815="",TRUE(),COUNTIF(원본명단!$I$3:$I2815,원본명단!$I2815)=1),IF(원본명단!$K2815="",TRUE(),COUNTIF(원본명단!$K$3:$K2815,원본명단!$K2815)=1)),"첫 건","중복 건")))</f>
        <v/>
      </c>
      <c r="J2816" s="11" t="str">
        <f aca="false">IF($A2816="","",IF($H2816="-","유지",IF($I2816="첫 건","유지","확인 필요")))</f>
        <v/>
      </c>
    </row>
    <row r="2817" customFormat="false" ht="15" hidden="false" customHeight="true" outlineLevel="0" collapsed="false">
      <c r="A2817" s="11" t="str">
        <f aca="false">IF(원본명단!$A2816="","",2814)</f>
        <v/>
      </c>
      <c r="B2817" s="12" t="str">
        <f aca="false">IF($A2817="","",원본명단!$A2816)</f>
        <v/>
      </c>
      <c r="C2817" s="12" t="str">
        <f aca="false">IF($A2817="","",원본명단!$B2816)</f>
        <v/>
      </c>
      <c r="D2817" s="12" t="str">
        <f aca="false">IF($A2817="","",원본명단!$D2816)</f>
        <v/>
      </c>
      <c r="E2817" s="11" t="str">
        <f aca="false">IF($A2817="","",IF(원본명단!$H2816="",0,COUNTIF(원본명단!$H$3:$H$6002,원본명단!$H2816)))</f>
        <v/>
      </c>
      <c r="F2817" s="11" t="str">
        <f aca="false">IF($A2817="","",IF(원본명단!$I2816="",0,COUNTIF(원본명단!$I$3:$I$6002,원본명단!$I2816)))</f>
        <v/>
      </c>
      <c r="G2817" s="11" t="str">
        <f aca="false">IF($A2817="","",IF(원본명단!$K2816="",0,COUNTIF(원본명단!$K$3:$K$6002,원본명단!$K2816)))</f>
        <v/>
      </c>
      <c r="H2817" s="11" t="str">
        <f aca="false">IF($A2817="","",IF(MAX($E2817,$F2817,$G2817)&gt;1,"중복","-"))</f>
        <v/>
      </c>
      <c r="I2817" s="11" t="str">
        <f aca="false">IF($A2817="","",IF($H2817="-","-",IF(AND(IF(원본명단!$H2816="",TRUE(),COUNTIF(원본명단!$H$3:$H2816,원본명단!$H2816)=1),IF(원본명단!$I2816="",TRUE(),COUNTIF(원본명단!$I$3:$I2816,원본명단!$I2816)=1),IF(원본명단!$K2816="",TRUE(),COUNTIF(원본명단!$K$3:$K2816,원본명단!$K2816)=1)),"첫 건","중복 건")))</f>
        <v/>
      </c>
      <c r="J2817" s="11" t="str">
        <f aca="false">IF($A2817="","",IF($H2817="-","유지",IF($I2817="첫 건","유지","확인 필요")))</f>
        <v/>
      </c>
    </row>
    <row r="2818" customFormat="false" ht="15" hidden="false" customHeight="true" outlineLevel="0" collapsed="false">
      <c r="A2818" s="11" t="str">
        <f aca="false">IF(원본명단!$A2817="","",2815)</f>
        <v/>
      </c>
      <c r="B2818" s="12" t="str">
        <f aca="false">IF($A2818="","",원본명단!$A2817)</f>
        <v/>
      </c>
      <c r="C2818" s="12" t="str">
        <f aca="false">IF($A2818="","",원본명단!$B2817)</f>
        <v/>
      </c>
      <c r="D2818" s="12" t="str">
        <f aca="false">IF($A2818="","",원본명단!$D2817)</f>
        <v/>
      </c>
      <c r="E2818" s="11" t="str">
        <f aca="false">IF($A2818="","",IF(원본명단!$H2817="",0,COUNTIF(원본명단!$H$3:$H$6002,원본명단!$H2817)))</f>
        <v/>
      </c>
      <c r="F2818" s="11" t="str">
        <f aca="false">IF($A2818="","",IF(원본명단!$I2817="",0,COUNTIF(원본명단!$I$3:$I$6002,원본명단!$I2817)))</f>
        <v/>
      </c>
      <c r="G2818" s="11" t="str">
        <f aca="false">IF($A2818="","",IF(원본명단!$K2817="",0,COUNTIF(원본명단!$K$3:$K$6002,원본명단!$K2817)))</f>
        <v/>
      </c>
      <c r="H2818" s="11" t="str">
        <f aca="false">IF($A2818="","",IF(MAX($E2818,$F2818,$G2818)&gt;1,"중복","-"))</f>
        <v/>
      </c>
      <c r="I2818" s="11" t="str">
        <f aca="false">IF($A2818="","",IF($H2818="-","-",IF(AND(IF(원본명단!$H2817="",TRUE(),COUNTIF(원본명단!$H$3:$H2817,원본명단!$H2817)=1),IF(원본명단!$I2817="",TRUE(),COUNTIF(원본명단!$I$3:$I2817,원본명단!$I2817)=1),IF(원본명단!$K2817="",TRUE(),COUNTIF(원본명단!$K$3:$K2817,원본명단!$K2817)=1)),"첫 건","중복 건")))</f>
        <v/>
      </c>
      <c r="J2818" s="11" t="str">
        <f aca="false">IF($A2818="","",IF($H2818="-","유지",IF($I2818="첫 건","유지","확인 필요")))</f>
        <v/>
      </c>
    </row>
    <row r="2819" customFormat="false" ht="15" hidden="false" customHeight="true" outlineLevel="0" collapsed="false">
      <c r="A2819" s="11" t="str">
        <f aca="false">IF(원본명단!$A2818="","",2816)</f>
        <v/>
      </c>
      <c r="B2819" s="12" t="str">
        <f aca="false">IF($A2819="","",원본명단!$A2818)</f>
        <v/>
      </c>
      <c r="C2819" s="12" t="str">
        <f aca="false">IF($A2819="","",원본명단!$B2818)</f>
        <v/>
      </c>
      <c r="D2819" s="12" t="str">
        <f aca="false">IF($A2819="","",원본명단!$D2818)</f>
        <v/>
      </c>
      <c r="E2819" s="11" t="str">
        <f aca="false">IF($A2819="","",IF(원본명단!$H2818="",0,COUNTIF(원본명단!$H$3:$H$6002,원본명단!$H2818)))</f>
        <v/>
      </c>
      <c r="F2819" s="11" t="str">
        <f aca="false">IF($A2819="","",IF(원본명단!$I2818="",0,COUNTIF(원본명단!$I$3:$I$6002,원본명단!$I2818)))</f>
        <v/>
      </c>
      <c r="G2819" s="11" t="str">
        <f aca="false">IF($A2819="","",IF(원본명단!$K2818="",0,COUNTIF(원본명단!$K$3:$K$6002,원본명단!$K2818)))</f>
        <v/>
      </c>
      <c r="H2819" s="11" t="str">
        <f aca="false">IF($A2819="","",IF(MAX($E2819,$F2819,$G2819)&gt;1,"중복","-"))</f>
        <v/>
      </c>
      <c r="I2819" s="11" t="str">
        <f aca="false">IF($A2819="","",IF($H2819="-","-",IF(AND(IF(원본명단!$H2818="",TRUE(),COUNTIF(원본명단!$H$3:$H2818,원본명단!$H2818)=1),IF(원본명단!$I2818="",TRUE(),COUNTIF(원본명단!$I$3:$I2818,원본명단!$I2818)=1),IF(원본명단!$K2818="",TRUE(),COUNTIF(원본명단!$K$3:$K2818,원본명단!$K2818)=1)),"첫 건","중복 건")))</f>
        <v/>
      </c>
      <c r="J2819" s="11" t="str">
        <f aca="false">IF($A2819="","",IF($H2819="-","유지",IF($I2819="첫 건","유지","확인 필요")))</f>
        <v/>
      </c>
    </row>
    <row r="2820" customFormat="false" ht="15" hidden="false" customHeight="true" outlineLevel="0" collapsed="false">
      <c r="A2820" s="11" t="str">
        <f aca="false">IF(원본명단!$A2819="","",2817)</f>
        <v/>
      </c>
      <c r="B2820" s="12" t="str">
        <f aca="false">IF($A2820="","",원본명단!$A2819)</f>
        <v/>
      </c>
      <c r="C2820" s="12" t="str">
        <f aca="false">IF($A2820="","",원본명단!$B2819)</f>
        <v/>
      </c>
      <c r="D2820" s="12" t="str">
        <f aca="false">IF($A2820="","",원본명단!$D2819)</f>
        <v/>
      </c>
      <c r="E2820" s="11" t="str">
        <f aca="false">IF($A2820="","",IF(원본명단!$H2819="",0,COUNTIF(원본명단!$H$3:$H$6002,원본명단!$H2819)))</f>
        <v/>
      </c>
      <c r="F2820" s="11" t="str">
        <f aca="false">IF($A2820="","",IF(원본명단!$I2819="",0,COUNTIF(원본명단!$I$3:$I$6002,원본명단!$I2819)))</f>
        <v/>
      </c>
      <c r="G2820" s="11" t="str">
        <f aca="false">IF($A2820="","",IF(원본명단!$K2819="",0,COUNTIF(원본명단!$K$3:$K$6002,원본명단!$K2819)))</f>
        <v/>
      </c>
      <c r="H2820" s="11" t="str">
        <f aca="false">IF($A2820="","",IF(MAX($E2820,$F2820,$G2820)&gt;1,"중복","-"))</f>
        <v/>
      </c>
      <c r="I2820" s="11" t="str">
        <f aca="false">IF($A2820="","",IF($H2820="-","-",IF(AND(IF(원본명단!$H2819="",TRUE(),COUNTIF(원본명단!$H$3:$H2819,원본명단!$H2819)=1),IF(원본명단!$I2819="",TRUE(),COUNTIF(원본명단!$I$3:$I2819,원본명단!$I2819)=1),IF(원본명단!$K2819="",TRUE(),COUNTIF(원본명단!$K$3:$K2819,원본명단!$K2819)=1)),"첫 건","중복 건")))</f>
        <v/>
      </c>
      <c r="J2820" s="11" t="str">
        <f aca="false">IF($A2820="","",IF($H2820="-","유지",IF($I2820="첫 건","유지","확인 필요")))</f>
        <v/>
      </c>
    </row>
    <row r="2821" customFormat="false" ht="15" hidden="false" customHeight="true" outlineLevel="0" collapsed="false">
      <c r="A2821" s="11" t="str">
        <f aca="false">IF(원본명단!$A2820="","",2818)</f>
        <v/>
      </c>
      <c r="B2821" s="12" t="str">
        <f aca="false">IF($A2821="","",원본명단!$A2820)</f>
        <v/>
      </c>
      <c r="C2821" s="12" t="str">
        <f aca="false">IF($A2821="","",원본명단!$B2820)</f>
        <v/>
      </c>
      <c r="D2821" s="12" t="str">
        <f aca="false">IF($A2821="","",원본명단!$D2820)</f>
        <v/>
      </c>
      <c r="E2821" s="11" t="str">
        <f aca="false">IF($A2821="","",IF(원본명단!$H2820="",0,COUNTIF(원본명단!$H$3:$H$6002,원본명단!$H2820)))</f>
        <v/>
      </c>
      <c r="F2821" s="11" t="str">
        <f aca="false">IF($A2821="","",IF(원본명단!$I2820="",0,COUNTIF(원본명단!$I$3:$I$6002,원본명단!$I2820)))</f>
        <v/>
      </c>
      <c r="G2821" s="11" t="str">
        <f aca="false">IF($A2821="","",IF(원본명단!$K2820="",0,COUNTIF(원본명단!$K$3:$K$6002,원본명단!$K2820)))</f>
        <v/>
      </c>
      <c r="H2821" s="11" t="str">
        <f aca="false">IF($A2821="","",IF(MAX($E2821,$F2821,$G2821)&gt;1,"중복","-"))</f>
        <v/>
      </c>
      <c r="I2821" s="11" t="str">
        <f aca="false">IF($A2821="","",IF($H2821="-","-",IF(AND(IF(원본명단!$H2820="",TRUE(),COUNTIF(원본명단!$H$3:$H2820,원본명단!$H2820)=1),IF(원본명단!$I2820="",TRUE(),COUNTIF(원본명단!$I$3:$I2820,원본명단!$I2820)=1),IF(원본명단!$K2820="",TRUE(),COUNTIF(원본명단!$K$3:$K2820,원본명단!$K2820)=1)),"첫 건","중복 건")))</f>
        <v/>
      </c>
      <c r="J2821" s="11" t="str">
        <f aca="false">IF($A2821="","",IF($H2821="-","유지",IF($I2821="첫 건","유지","확인 필요")))</f>
        <v/>
      </c>
    </row>
    <row r="2822" customFormat="false" ht="15" hidden="false" customHeight="true" outlineLevel="0" collapsed="false">
      <c r="A2822" s="11" t="str">
        <f aca="false">IF(원본명단!$A2821="","",2819)</f>
        <v/>
      </c>
      <c r="B2822" s="12" t="str">
        <f aca="false">IF($A2822="","",원본명단!$A2821)</f>
        <v/>
      </c>
      <c r="C2822" s="12" t="str">
        <f aca="false">IF($A2822="","",원본명단!$B2821)</f>
        <v/>
      </c>
      <c r="D2822" s="12" t="str">
        <f aca="false">IF($A2822="","",원본명단!$D2821)</f>
        <v/>
      </c>
      <c r="E2822" s="11" t="str">
        <f aca="false">IF($A2822="","",IF(원본명단!$H2821="",0,COUNTIF(원본명단!$H$3:$H$6002,원본명단!$H2821)))</f>
        <v/>
      </c>
      <c r="F2822" s="11" t="str">
        <f aca="false">IF($A2822="","",IF(원본명단!$I2821="",0,COUNTIF(원본명단!$I$3:$I$6002,원본명단!$I2821)))</f>
        <v/>
      </c>
      <c r="G2822" s="11" t="str">
        <f aca="false">IF($A2822="","",IF(원본명단!$K2821="",0,COUNTIF(원본명단!$K$3:$K$6002,원본명단!$K2821)))</f>
        <v/>
      </c>
      <c r="H2822" s="11" t="str">
        <f aca="false">IF($A2822="","",IF(MAX($E2822,$F2822,$G2822)&gt;1,"중복","-"))</f>
        <v/>
      </c>
      <c r="I2822" s="11" t="str">
        <f aca="false">IF($A2822="","",IF($H2822="-","-",IF(AND(IF(원본명단!$H2821="",TRUE(),COUNTIF(원본명단!$H$3:$H2821,원본명단!$H2821)=1),IF(원본명단!$I2821="",TRUE(),COUNTIF(원본명단!$I$3:$I2821,원본명단!$I2821)=1),IF(원본명단!$K2821="",TRUE(),COUNTIF(원본명단!$K$3:$K2821,원본명단!$K2821)=1)),"첫 건","중복 건")))</f>
        <v/>
      </c>
      <c r="J2822" s="11" t="str">
        <f aca="false">IF($A2822="","",IF($H2822="-","유지",IF($I2822="첫 건","유지","확인 필요")))</f>
        <v/>
      </c>
    </row>
    <row r="2823" customFormat="false" ht="15" hidden="false" customHeight="true" outlineLevel="0" collapsed="false">
      <c r="A2823" s="11" t="str">
        <f aca="false">IF(원본명단!$A2822="","",2820)</f>
        <v/>
      </c>
      <c r="B2823" s="12" t="str">
        <f aca="false">IF($A2823="","",원본명단!$A2822)</f>
        <v/>
      </c>
      <c r="C2823" s="12" t="str">
        <f aca="false">IF($A2823="","",원본명단!$B2822)</f>
        <v/>
      </c>
      <c r="D2823" s="12" t="str">
        <f aca="false">IF($A2823="","",원본명단!$D2822)</f>
        <v/>
      </c>
      <c r="E2823" s="11" t="str">
        <f aca="false">IF($A2823="","",IF(원본명단!$H2822="",0,COUNTIF(원본명단!$H$3:$H$6002,원본명단!$H2822)))</f>
        <v/>
      </c>
      <c r="F2823" s="11" t="str">
        <f aca="false">IF($A2823="","",IF(원본명단!$I2822="",0,COUNTIF(원본명단!$I$3:$I$6002,원본명단!$I2822)))</f>
        <v/>
      </c>
      <c r="G2823" s="11" t="str">
        <f aca="false">IF($A2823="","",IF(원본명단!$K2822="",0,COUNTIF(원본명단!$K$3:$K$6002,원본명단!$K2822)))</f>
        <v/>
      </c>
      <c r="H2823" s="11" t="str">
        <f aca="false">IF($A2823="","",IF(MAX($E2823,$F2823,$G2823)&gt;1,"중복","-"))</f>
        <v/>
      </c>
      <c r="I2823" s="11" t="str">
        <f aca="false">IF($A2823="","",IF($H2823="-","-",IF(AND(IF(원본명단!$H2822="",TRUE(),COUNTIF(원본명단!$H$3:$H2822,원본명단!$H2822)=1),IF(원본명단!$I2822="",TRUE(),COUNTIF(원본명단!$I$3:$I2822,원본명단!$I2822)=1),IF(원본명단!$K2822="",TRUE(),COUNTIF(원본명단!$K$3:$K2822,원본명단!$K2822)=1)),"첫 건","중복 건")))</f>
        <v/>
      </c>
      <c r="J2823" s="11" t="str">
        <f aca="false">IF($A2823="","",IF($H2823="-","유지",IF($I2823="첫 건","유지","확인 필요")))</f>
        <v/>
      </c>
    </row>
    <row r="2824" customFormat="false" ht="15" hidden="false" customHeight="true" outlineLevel="0" collapsed="false">
      <c r="A2824" s="11" t="str">
        <f aca="false">IF(원본명단!$A2823="","",2821)</f>
        <v/>
      </c>
      <c r="B2824" s="12" t="str">
        <f aca="false">IF($A2824="","",원본명단!$A2823)</f>
        <v/>
      </c>
      <c r="C2824" s="12" t="str">
        <f aca="false">IF($A2824="","",원본명단!$B2823)</f>
        <v/>
      </c>
      <c r="D2824" s="12" t="str">
        <f aca="false">IF($A2824="","",원본명단!$D2823)</f>
        <v/>
      </c>
      <c r="E2824" s="11" t="str">
        <f aca="false">IF($A2824="","",IF(원본명단!$H2823="",0,COUNTIF(원본명단!$H$3:$H$6002,원본명단!$H2823)))</f>
        <v/>
      </c>
      <c r="F2824" s="11" t="str">
        <f aca="false">IF($A2824="","",IF(원본명단!$I2823="",0,COUNTIF(원본명단!$I$3:$I$6002,원본명단!$I2823)))</f>
        <v/>
      </c>
      <c r="G2824" s="11" t="str">
        <f aca="false">IF($A2824="","",IF(원본명단!$K2823="",0,COUNTIF(원본명단!$K$3:$K$6002,원본명단!$K2823)))</f>
        <v/>
      </c>
      <c r="H2824" s="11" t="str">
        <f aca="false">IF($A2824="","",IF(MAX($E2824,$F2824,$G2824)&gt;1,"중복","-"))</f>
        <v/>
      </c>
      <c r="I2824" s="11" t="str">
        <f aca="false">IF($A2824="","",IF($H2824="-","-",IF(AND(IF(원본명단!$H2823="",TRUE(),COUNTIF(원본명단!$H$3:$H2823,원본명단!$H2823)=1),IF(원본명단!$I2823="",TRUE(),COUNTIF(원본명단!$I$3:$I2823,원본명단!$I2823)=1),IF(원본명단!$K2823="",TRUE(),COUNTIF(원본명단!$K$3:$K2823,원본명단!$K2823)=1)),"첫 건","중복 건")))</f>
        <v/>
      </c>
      <c r="J2824" s="11" t="str">
        <f aca="false">IF($A2824="","",IF($H2824="-","유지",IF($I2824="첫 건","유지","확인 필요")))</f>
        <v/>
      </c>
    </row>
    <row r="2825" customFormat="false" ht="15" hidden="false" customHeight="true" outlineLevel="0" collapsed="false">
      <c r="A2825" s="11" t="str">
        <f aca="false">IF(원본명단!$A2824="","",2822)</f>
        <v/>
      </c>
      <c r="B2825" s="12" t="str">
        <f aca="false">IF($A2825="","",원본명단!$A2824)</f>
        <v/>
      </c>
      <c r="C2825" s="12" t="str">
        <f aca="false">IF($A2825="","",원본명단!$B2824)</f>
        <v/>
      </c>
      <c r="D2825" s="12" t="str">
        <f aca="false">IF($A2825="","",원본명단!$D2824)</f>
        <v/>
      </c>
      <c r="E2825" s="11" t="str">
        <f aca="false">IF($A2825="","",IF(원본명단!$H2824="",0,COUNTIF(원본명단!$H$3:$H$6002,원본명단!$H2824)))</f>
        <v/>
      </c>
      <c r="F2825" s="11" t="str">
        <f aca="false">IF($A2825="","",IF(원본명단!$I2824="",0,COUNTIF(원본명단!$I$3:$I$6002,원본명단!$I2824)))</f>
        <v/>
      </c>
      <c r="G2825" s="11" t="str">
        <f aca="false">IF($A2825="","",IF(원본명단!$K2824="",0,COUNTIF(원본명단!$K$3:$K$6002,원본명단!$K2824)))</f>
        <v/>
      </c>
      <c r="H2825" s="11" t="str">
        <f aca="false">IF($A2825="","",IF(MAX($E2825,$F2825,$G2825)&gt;1,"중복","-"))</f>
        <v/>
      </c>
      <c r="I2825" s="11" t="str">
        <f aca="false">IF($A2825="","",IF($H2825="-","-",IF(AND(IF(원본명단!$H2824="",TRUE(),COUNTIF(원본명단!$H$3:$H2824,원본명단!$H2824)=1),IF(원본명단!$I2824="",TRUE(),COUNTIF(원본명단!$I$3:$I2824,원본명단!$I2824)=1),IF(원본명단!$K2824="",TRUE(),COUNTIF(원본명단!$K$3:$K2824,원본명단!$K2824)=1)),"첫 건","중복 건")))</f>
        <v/>
      </c>
      <c r="J2825" s="11" t="str">
        <f aca="false">IF($A2825="","",IF($H2825="-","유지",IF($I2825="첫 건","유지","확인 필요")))</f>
        <v/>
      </c>
    </row>
    <row r="2826" customFormat="false" ht="15" hidden="false" customHeight="true" outlineLevel="0" collapsed="false">
      <c r="A2826" s="11" t="str">
        <f aca="false">IF(원본명단!$A2825="","",2823)</f>
        <v/>
      </c>
      <c r="B2826" s="12" t="str">
        <f aca="false">IF($A2826="","",원본명단!$A2825)</f>
        <v/>
      </c>
      <c r="C2826" s="12" t="str">
        <f aca="false">IF($A2826="","",원본명단!$B2825)</f>
        <v/>
      </c>
      <c r="D2826" s="12" t="str">
        <f aca="false">IF($A2826="","",원본명단!$D2825)</f>
        <v/>
      </c>
      <c r="E2826" s="11" t="str">
        <f aca="false">IF($A2826="","",IF(원본명단!$H2825="",0,COUNTIF(원본명단!$H$3:$H$6002,원본명단!$H2825)))</f>
        <v/>
      </c>
      <c r="F2826" s="11" t="str">
        <f aca="false">IF($A2826="","",IF(원본명단!$I2825="",0,COUNTIF(원본명단!$I$3:$I$6002,원본명단!$I2825)))</f>
        <v/>
      </c>
      <c r="G2826" s="11" t="str">
        <f aca="false">IF($A2826="","",IF(원본명단!$K2825="",0,COUNTIF(원본명단!$K$3:$K$6002,원본명단!$K2825)))</f>
        <v/>
      </c>
      <c r="H2826" s="11" t="str">
        <f aca="false">IF($A2826="","",IF(MAX($E2826,$F2826,$G2826)&gt;1,"중복","-"))</f>
        <v/>
      </c>
      <c r="I2826" s="11" t="str">
        <f aca="false">IF($A2826="","",IF($H2826="-","-",IF(AND(IF(원본명단!$H2825="",TRUE(),COUNTIF(원본명단!$H$3:$H2825,원본명단!$H2825)=1),IF(원본명단!$I2825="",TRUE(),COUNTIF(원본명단!$I$3:$I2825,원본명단!$I2825)=1),IF(원본명단!$K2825="",TRUE(),COUNTIF(원본명단!$K$3:$K2825,원본명단!$K2825)=1)),"첫 건","중복 건")))</f>
        <v/>
      </c>
      <c r="J2826" s="11" t="str">
        <f aca="false">IF($A2826="","",IF($H2826="-","유지",IF($I2826="첫 건","유지","확인 필요")))</f>
        <v/>
      </c>
    </row>
    <row r="2827" customFormat="false" ht="15" hidden="false" customHeight="true" outlineLevel="0" collapsed="false">
      <c r="A2827" s="11" t="str">
        <f aca="false">IF(원본명단!$A2826="","",2824)</f>
        <v/>
      </c>
      <c r="B2827" s="12" t="str">
        <f aca="false">IF($A2827="","",원본명단!$A2826)</f>
        <v/>
      </c>
      <c r="C2827" s="12" t="str">
        <f aca="false">IF($A2827="","",원본명단!$B2826)</f>
        <v/>
      </c>
      <c r="D2827" s="12" t="str">
        <f aca="false">IF($A2827="","",원본명단!$D2826)</f>
        <v/>
      </c>
      <c r="E2827" s="11" t="str">
        <f aca="false">IF($A2827="","",IF(원본명단!$H2826="",0,COUNTIF(원본명단!$H$3:$H$6002,원본명단!$H2826)))</f>
        <v/>
      </c>
      <c r="F2827" s="11" t="str">
        <f aca="false">IF($A2827="","",IF(원본명단!$I2826="",0,COUNTIF(원본명단!$I$3:$I$6002,원본명단!$I2826)))</f>
        <v/>
      </c>
      <c r="G2827" s="11" t="str">
        <f aca="false">IF($A2827="","",IF(원본명단!$K2826="",0,COUNTIF(원본명단!$K$3:$K$6002,원본명단!$K2826)))</f>
        <v/>
      </c>
      <c r="H2827" s="11" t="str">
        <f aca="false">IF($A2827="","",IF(MAX($E2827,$F2827,$G2827)&gt;1,"중복","-"))</f>
        <v/>
      </c>
      <c r="I2827" s="11" t="str">
        <f aca="false">IF($A2827="","",IF($H2827="-","-",IF(AND(IF(원본명단!$H2826="",TRUE(),COUNTIF(원본명단!$H$3:$H2826,원본명단!$H2826)=1),IF(원본명단!$I2826="",TRUE(),COUNTIF(원본명단!$I$3:$I2826,원본명단!$I2826)=1),IF(원본명단!$K2826="",TRUE(),COUNTIF(원본명단!$K$3:$K2826,원본명단!$K2826)=1)),"첫 건","중복 건")))</f>
        <v/>
      </c>
      <c r="J2827" s="11" t="str">
        <f aca="false">IF($A2827="","",IF($H2827="-","유지",IF($I2827="첫 건","유지","확인 필요")))</f>
        <v/>
      </c>
    </row>
    <row r="2828" customFormat="false" ht="15" hidden="false" customHeight="true" outlineLevel="0" collapsed="false">
      <c r="A2828" s="11" t="str">
        <f aca="false">IF(원본명단!$A2827="","",2825)</f>
        <v/>
      </c>
      <c r="B2828" s="12" t="str">
        <f aca="false">IF($A2828="","",원본명단!$A2827)</f>
        <v/>
      </c>
      <c r="C2828" s="12" t="str">
        <f aca="false">IF($A2828="","",원본명단!$B2827)</f>
        <v/>
      </c>
      <c r="D2828" s="12" t="str">
        <f aca="false">IF($A2828="","",원본명단!$D2827)</f>
        <v/>
      </c>
      <c r="E2828" s="11" t="str">
        <f aca="false">IF($A2828="","",IF(원본명단!$H2827="",0,COUNTIF(원본명단!$H$3:$H$6002,원본명단!$H2827)))</f>
        <v/>
      </c>
      <c r="F2828" s="11" t="str">
        <f aca="false">IF($A2828="","",IF(원본명단!$I2827="",0,COUNTIF(원본명단!$I$3:$I$6002,원본명단!$I2827)))</f>
        <v/>
      </c>
      <c r="G2828" s="11" t="str">
        <f aca="false">IF($A2828="","",IF(원본명단!$K2827="",0,COUNTIF(원본명단!$K$3:$K$6002,원본명단!$K2827)))</f>
        <v/>
      </c>
      <c r="H2828" s="11" t="str">
        <f aca="false">IF($A2828="","",IF(MAX($E2828,$F2828,$G2828)&gt;1,"중복","-"))</f>
        <v/>
      </c>
      <c r="I2828" s="11" t="str">
        <f aca="false">IF($A2828="","",IF($H2828="-","-",IF(AND(IF(원본명단!$H2827="",TRUE(),COUNTIF(원본명단!$H$3:$H2827,원본명단!$H2827)=1),IF(원본명단!$I2827="",TRUE(),COUNTIF(원본명단!$I$3:$I2827,원본명단!$I2827)=1),IF(원본명단!$K2827="",TRUE(),COUNTIF(원본명단!$K$3:$K2827,원본명단!$K2827)=1)),"첫 건","중복 건")))</f>
        <v/>
      </c>
      <c r="J2828" s="11" t="str">
        <f aca="false">IF($A2828="","",IF($H2828="-","유지",IF($I2828="첫 건","유지","확인 필요")))</f>
        <v/>
      </c>
    </row>
    <row r="2829" customFormat="false" ht="15" hidden="false" customHeight="true" outlineLevel="0" collapsed="false">
      <c r="A2829" s="11" t="str">
        <f aca="false">IF(원본명단!$A2828="","",2826)</f>
        <v/>
      </c>
      <c r="B2829" s="12" t="str">
        <f aca="false">IF($A2829="","",원본명단!$A2828)</f>
        <v/>
      </c>
      <c r="C2829" s="12" t="str">
        <f aca="false">IF($A2829="","",원본명단!$B2828)</f>
        <v/>
      </c>
      <c r="D2829" s="12" t="str">
        <f aca="false">IF($A2829="","",원본명단!$D2828)</f>
        <v/>
      </c>
      <c r="E2829" s="11" t="str">
        <f aca="false">IF($A2829="","",IF(원본명단!$H2828="",0,COUNTIF(원본명단!$H$3:$H$6002,원본명단!$H2828)))</f>
        <v/>
      </c>
      <c r="F2829" s="11" t="str">
        <f aca="false">IF($A2829="","",IF(원본명단!$I2828="",0,COUNTIF(원본명단!$I$3:$I$6002,원본명단!$I2828)))</f>
        <v/>
      </c>
      <c r="G2829" s="11" t="str">
        <f aca="false">IF($A2829="","",IF(원본명단!$K2828="",0,COUNTIF(원본명단!$K$3:$K$6002,원본명단!$K2828)))</f>
        <v/>
      </c>
      <c r="H2829" s="11" t="str">
        <f aca="false">IF($A2829="","",IF(MAX($E2829,$F2829,$G2829)&gt;1,"중복","-"))</f>
        <v/>
      </c>
      <c r="I2829" s="11" t="str">
        <f aca="false">IF($A2829="","",IF($H2829="-","-",IF(AND(IF(원본명단!$H2828="",TRUE(),COUNTIF(원본명단!$H$3:$H2828,원본명단!$H2828)=1),IF(원본명단!$I2828="",TRUE(),COUNTIF(원본명단!$I$3:$I2828,원본명단!$I2828)=1),IF(원본명단!$K2828="",TRUE(),COUNTIF(원본명단!$K$3:$K2828,원본명단!$K2828)=1)),"첫 건","중복 건")))</f>
        <v/>
      </c>
      <c r="J2829" s="11" t="str">
        <f aca="false">IF($A2829="","",IF($H2829="-","유지",IF($I2829="첫 건","유지","확인 필요")))</f>
        <v/>
      </c>
    </row>
    <row r="2830" customFormat="false" ht="15" hidden="false" customHeight="true" outlineLevel="0" collapsed="false">
      <c r="A2830" s="11" t="str">
        <f aca="false">IF(원본명단!$A2829="","",2827)</f>
        <v/>
      </c>
      <c r="B2830" s="12" t="str">
        <f aca="false">IF($A2830="","",원본명단!$A2829)</f>
        <v/>
      </c>
      <c r="C2830" s="12" t="str">
        <f aca="false">IF($A2830="","",원본명단!$B2829)</f>
        <v/>
      </c>
      <c r="D2830" s="12" t="str">
        <f aca="false">IF($A2830="","",원본명단!$D2829)</f>
        <v/>
      </c>
      <c r="E2830" s="11" t="str">
        <f aca="false">IF($A2830="","",IF(원본명단!$H2829="",0,COUNTIF(원본명단!$H$3:$H$6002,원본명단!$H2829)))</f>
        <v/>
      </c>
      <c r="F2830" s="11" t="str">
        <f aca="false">IF($A2830="","",IF(원본명단!$I2829="",0,COUNTIF(원본명단!$I$3:$I$6002,원본명단!$I2829)))</f>
        <v/>
      </c>
      <c r="G2830" s="11" t="str">
        <f aca="false">IF($A2830="","",IF(원본명단!$K2829="",0,COUNTIF(원본명단!$K$3:$K$6002,원본명단!$K2829)))</f>
        <v/>
      </c>
      <c r="H2830" s="11" t="str">
        <f aca="false">IF($A2830="","",IF(MAX($E2830,$F2830,$G2830)&gt;1,"중복","-"))</f>
        <v/>
      </c>
      <c r="I2830" s="11" t="str">
        <f aca="false">IF($A2830="","",IF($H2830="-","-",IF(AND(IF(원본명단!$H2829="",TRUE(),COUNTIF(원본명단!$H$3:$H2829,원본명단!$H2829)=1),IF(원본명단!$I2829="",TRUE(),COUNTIF(원본명단!$I$3:$I2829,원본명단!$I2829)=1),IF(원본명단!$K2829="",TRUE(),COUNTIF(원본명단!$K$3:$K2829,원본명단!$K2829)=1)),"첫 건","중복 건")))</f>
        <v/>
      </c>
      <c r="J2830" s="11" t="str">
        <f aca="false">IF($A2830="","",IF($H2830="-","유지",IF($I2830="첫 건","유지","확인 필요")))</f>
        <v/>
      </c>
    </row>
    <row r="2831" customFormat="false" ht="15" hidden="false" customHeight="true" outlineLevel="0" collapsed="false">
      <c r="A2831" s="11" t="str">
        <f aca="false">IF(원본명단!$A2830="","",2828)</f>
        <v/>
      </c>
      <c r="B2831" s="12" t="str">
        <f aca="false">IF($A2831="","",원본명단!$A2830)</f>
        <v/>
      </c>
      <c r="C2831" s="12" t="str">
        <f aca="false">IF($A2831="","",원본명단!$B2830)</f>
        <v/>
      </c>
      <c r="D2831" s="12" t="str">
        <f aca="false">IF($A2831="","",원본명단!$D2830)</f>
        <v/>
      </c>
      <c r="E2831" s="11" t="str">
        <f aca="false">IF($A2831="","",IF(원본명단!$H2830="",0,COUNTIF(원본명단!$H$3:$H$6002,원본명단!$H2830)))</f>
        <v/>
      </c>
      <c r="F2831" s="11" t="str">
        <f aca="false">IF($A2831="","",IF(원본명단!$I2830="",0,COUNTIF(원본명단!$I$3:$I$6002,원본명단!$I2830)))</f>
        <v/>
      </c>
      <c r="G2831" s="11" t="str">
        <f aca="false">IF($A2831="","",IF(원본명단!$K2830="",0,COUNTIF(원본명단!$K$3:$K$6002,원본명단!$K2830)))</f>
        <v/>
      </c>
      <c r="H2831" s="11" t="str">
        <f aca="false">IF($A2831="","",IF(MAX($E2831,$F2831,$G2831)&gt;1,"중복","-"))</f>
        <v/>
      </c>
      <c r="I2831" s="11" t="str">
        <f aca="false">IF($A2831="","",IF($H2831="-","-",IF(AND(IF(원본명단!$H2830="",TRUE(),COUNTIF(원본명단!$H$3:$H2830,원본명단!$H2830)=1),IF(원본명단!$I2830="",TRUE(),COUNTIF(원본명단!$I$3:$I2830,원본명단!$I2830)=1),IF(원본명단!$K2830="",TRUE(),COUNTIF(원본명단!$K$3:$K2830,원본명단!$K2830)=1)),"첫 건","중복 건")))</f>
        <v/>
      </c>
      <c r="J2831" s="11" t="str">
        <f aca="false">IF($A2831="","",IF($H2831="-","유지",IF($I2831="첫 건","유지","확인 필요")))</f>
        <v/>
      </c>
    </row>
    <row r="2832" customFormat="false" ht="15" hidden="false" customHeight="true" outlineLevel="0" collapsed="false">
      <c r="A2832" s="11" t="str">
        <f aca="false">IF(원본명단!$A2831="","",2829)</f>
        <v/>
      </c>
      <c r="B2832" s="12" t="str">
        <f aca="false">IF($A2832="","",원본명단!$A2831)</f>
        <v/>
      </c>
      <c r="C2832" s="12" t="str">
        <f aca="false">IF($A2832="","",원본명단!$B2831)</f>
        <v/>
      </c>
      <c r="D2832" s="12" t="str">
        <f aca="false">IF($A2832="","",원본명단!$D2831)</f>
        <v/>
      </c>
      <c r="E2832" s="11" t="str">
        <f aca="false">IF($A2832="","",IF(원본명단!$H2831="",0,COUNTIF(원본명단!$H$3:$H$6002,원본명단!$H2831)))</f>
        <v/>
      </c>
      <c r="F2832" s="11" t="str">
        <f aca="false">IF($A2832="","",IF(원본명단!$I2831="",0,COUNTIF(원본명단!$I$3:$I$6002,원본명단!$I2831)))</f>
        <v/>
      </c>
      <c r="G2832" s="11" t="str">
        <f aca="false">IF($A2832="","",IF(원본명단!$K2831="",0,COUNTIF(원본명단!$K$3:$K$6002,원본명단!$K2831)))</f>
        <v/>
      </c>
      <c r="H2832" s="11" t="str">
        <f aca="false">IF($A2832="","",IF(MAX($E2832,$F2832,$G2832)&gt;1,"중복","-"))</f>
        <v/>
      </c>
      <c r="I2832" s="11" t="str">
        <f aca="false">IF($A2832="","",IF($H2832="-","-",IF(AND(IF(원본명단!$H2831="",TRUE(),COUNTIF(원본명단!$H$3:$H2831,원본명단!$H2831)=1),IF(원본명단!$I2831="",TRUE(),COUNTIF(원본명단!$I$3:$I2831,원본명단!$I2831)=1),IF(원본명단!$K2831="",TRUE(),COUNTIF(원본명단!$K$3:$K2831,원본명단!$K2831)=1)),"첫 건","중복 건")))</f>
        <v/>
      </c>
      <c r="J2832" s="11" t="str">
        <f aca="false">IF($A2832="","",IF($H2832="-","유지",IF($I2832="첫 건","유지","확인 필요")))</f>
        <v/>
      </c>
    </row>
    <row r="2833" customFormat="false" ht="15" hidden="false" customHeight="true" outlineLevel="0" collapsed="false">
      <c r="A2833" s="11" t="str">
        <f aca="false">IF(원본명단!$A2832="","",2830)</f>
        <v/>
      </c>
      <c r="B2833" s="12" t="str">
        <f aca="false">IF($A2833="","",원본명단!$A2832)</f>
        <v/>
      </c>
      <c r="C2833" s="12" t="str">
        <f aca="false">IF($A2833="","",원본명단!$B2832)</f>
        <v/>
      </c>
      <c r="D2833" s="12" t="str">
        <f aca="false">IF($A2833="","",원본명단!$D2832)</f>
        <v/>
      </c>
      <c r="E2833" s="11" t="str">
        <f aca="false">IF($A2833="","",IF(원본명단!$H2832="",0,COUNTIF(원본명단!$H$3:$H$6002,원본명단!$H2832)))</f>
        <v/>
      </c>
      <c r="F2833" s="11" t="str">
        <f aca="false">IF($A2833="","",IF(원본명단!$I2832="",0,COUNTIF(원본명단!$I$3:$I$6002,원본명단!$I2832)))</f>
        <v/>
      </c>
      <c r="G2833" s="11" t="str">
        <f aca="false">IF($A2833="","",IF(원본명단!$K2832="",0,COUNTIF(원본명단!$K$3:$K$6002,원본명단!$K2832)))</f>
        <v/>
      </c>
      <c r="H2833" s="11" t="str">
        <f aca="false">IF($A2833="","",IF(MAX($E2833,$F2833,$G2833)&gt;1,"중복","-"))</f>
        <v/>
      </c>
      <c r="I2833" s="11" t="str">
        <f aca="false">IF($A2833="","",IF($H2833="-","-",IF(AND(IF(원본명단!$H2832="",TRUE(),COUNTIF(원본명단!$H$3:$H2832,원본명단!$H2832)=1),IF(원본명단!$I2832="",TRUE(),COUNTIF(원본명단!$I$3:$I2832,원본명단!$I2832)=1),IF(원본명단!$K2832="",TRUE(),COUNTIF(원본명단!$K$3:$K2832,원본명단!$K2832)=1)),"첫 건","중복 건")))</f>
        <v/>
      </c>
      <c r="J2833" s="11" t="str">
        <f aca="false">IF($A2833="","",IF($H2833="-","유지",IF($I2833="첫 건","유지","확인 필요")))</f>
        <v/>
      </c>
    </row>
    <row r="2834" customFormat="false" ht="15" hidden="false" customHeight="true" outlineLevel="0" collapsed="false">
      <c r="A2834" s="11" t="str">
        <f aca="false">IF(원본명단!$A2833="","",2831)</f>
        <v/>
      </c>
      <c r="B2834" s="12" t="str">
        <f aca="false">IF($A2834="","",원본명단!$A2833)</f>
        <v/>
      </c>
      <c r="C2834" s="12" t="str">
        <f aca="false">IF($A2834="","",원본명단!$B2833)</f>
        <v/>
      </c>
      <c r="D2834" s="12" t="str">
        <f aca="false">IF($A2834="","",원본명단!$D2833)</f>
        <v/>
      </c>
      <c r="E2834" s="11" t="str">
        <f aca="false">IF($A2834="","",IF(원본명단!$H2833="",0,COUNTIF(원본명단!$H$3:$H$6002,원본명단!$H2833)))</f>
        <v/>
      </c>
      <c r="F2834" s="11" t="str">
        <f aca="false">IF($A2834="","",IF(원본명단!$I2833="",0,COUNTIF(원본명단!$I$3:$I$6002,원본명단!$I2833)))</f>
        <v/>
      </c>
      <c r="G2834" s="11" t="str">
        <f aca="false">IF($A2834="","",IF(원본명단!$K2833="",0,COUNTIF(원본명단!$K$3:$K$6002,원본명단!$K2833)))</f>
        <v/>
      </c>
      <c r="H2834" s="11" t="str">
        <f aca="false">IF($A2834="","",IF(MAX($E2834,$F2834,$G2834)&gt;1,"중복","-"))</f>
        <v/>
      </c>
      <c r="I2834" s="11" t="str">
        <f aca="false">IF($A2834="","",IF($H2834="-","-",IF(AND(IF(원본명단!$H2833="",TRUE(),COUNTIF(원본명단!$H$3:$H2833,원본명단!$H2833)=1),IF(원본명단!$I2833="",TRUE(),COUNTIF(원본명단!$I$3:$I2833,원본명단!$I2833)=1),IF(원본명단!$K2833="",TRUE(),COUNTIF(원본명단!$K$3:$K2833,원본명단!$K2833)=1)),"첫 건","중복 건")))</f>
        <v/>
      </c>
      <c r="J2834" s="11" t="str">
        <f aca="false">IF($A2834="","",IF($H2834="-","유지",IF($I2834="첫 건","유지","확인 필요")))</f>
        <v/>
      </c>
    </row>
    <row r="2835" customFormat="false" ht="15" hidden="false" customHeight="true" outlineLevel="0" collapsed="false">
      <c r="A2835" s="11" t="str">
        <f aca="false">IF(원본명단!$A2834="","",2832)</f>
        <v/>
      </c>
      <c r="B2835" s="12" t="str">
        <f aca="false">IF($A2835="","",원본명단!$A2834)</f>
        <v/>
      </c>
      <c r="C2835" s="12" t="str">
        <f aca="false">IF($A2835="","",원본명단!$B2834)</f>
        <v/>
      </c>
      <c r="D2835" s="12" t="str">
        <f aca="false">IF($A2835="","",원본명단!$D2834)</f>
        <v/>
      </c>
      <c r="E2835" s="11" t="str">
        <f aca="false">IF($A2835="","",IF(원본명단!$H2834="",0,COUNTIF(원본명단!$H$3:$H$6002,원본명단!$H2834)))</f>
        <v/>
      </c>
      <c r="F2835" s="11" t="str">
        <f aca="false">IF($A2835="","",IF(원본명단!$I2834="",0,COUNTIF(원본명단!$I$3:$I$6002,원본명단!$I2834)))</f>
        <v/>
      </c>
      <c r="G2835" s="11" t="str">
        <f aca="false">IF($A2835="","",IF(원본명단!$K2834="",0,COUNTIF(원본명단!$K$3:$K$6002,원본명단!$K2834)))</f>
        <v/>
      </c>
      <c r="H2835" s="11" t="str">
        <f aca="false">IF($A2835="","",IF(MAX($E2835,$F2835,$G2835)&gt;1,"중복","-"))</f>
        <v/>
      </c>
      <c r="I2835" s="11" t="str">
        <f aca="false">IF($A2835="","",IF($H2835="-","-",IF(AND(IF(원본명단!$H2834="",TRUE(),COUNTIF(원본명단!$H$3:$H2834,원본명단!$H2834)=1),IF(원본명단!$I2834="",TRUE(),COUNTIF(원본명단!$I$3:$I2834,원본명단!$I2834)=1),IF(원본명단!$K2834="",TRUE(),COUNTIF(원본명단!$K$3:$K2834,원본명단!$K2834)=1)),"첫 건","중복 건")))</f>
        <v/>
      </c>
      <c r="J2835" s="11" t="str">
        <f aca="false">IF($A2835="","",IF($H2835="-","유지",IF($I2835="첫 건","유지","확인 필요")))</f>
        <v/>
      </c>
    </row>
    <row r="2836" customFormat="false" ht="15" hidden="false" customHeight="true" outlineLevel="0" collapsed="false">
      <c r="A2836" s="11" t="str">
        <f aca="false">IF(원본명단!$A2835="","",2833)</f>
        <v/>
      </c>
      <c r="B2836" s="12" t="str">
        <f aca="false">IF($A2836="","",원본명단!$A2835)</f>
        <v/>
      </c>
      <c r="C2836" s="12" t="str">
        <f aca="false">IF($A2836="","",원본명단!$B2835)</f>
        <v/>
      </c>
      <c r="D2836" s="12" t="str">
        <f aca="false">IF($A2836="","",원본명단!$D2835)</f>
        <v/>
      </c>
      <c r="E2836" s="11" t="str">
        <f aca="false">IF($A2836="","",IF(원본명단!$H2835="",0,COUNTIF(원본명단!$H$3:$H$6002,원본명단!$H2835)))</f>
        <v/>
      </c>
      <c r="F2836" s="11" t="str">
        <f aca="false">IF($A2836="","",IF(원본명단!$I2835="",0,COUNTIF(원본명단!$I$3:$I$6002,원본명단!$I2835)))</f>
        <v/>
      </c>
      <c r="G2836" s="11" t="str">
        <f aca="false">IF($A2836="","",IF(원본명단!$K2835="",0,COUNTIF(원본명단!$K$3:$K$6002,원본명단!$K2835)))</f>
        <v/>
      </c>
      <c r="H2836" s="11" t="str">
        <f aca="false">IF($A2836="","",IF(MAX($E2836,$F2836,$G2836)&gt;1,"중복","-"))</f>
        <v/>
      </c>
      <c r="I2836" s="11" t="str">
        <f aca="false">IF($A2836="","",IF($H2836="-","-",IF(AND(IF(원본명단!$H2835="",TRUE(),COUNTIF(원본명단!$H$3:$H2835,원본명단!$H2835)=1),IF(원본명단!$I2835="",TRUE(),COUNTIF(원본명단!$I$3:$I2835,원본명단!$I2835)=1),IF(원본명단!$K2835="",TRUE(),COUNTIF(원본명단!$K$3:$K2835,원본명단!$K2835)=1)),"첫 건","중복 건")))</f>
        <v/>
      </c>
      <c r="J2836" s="11" t="str">
        <f aca="false">IF($A2836="","",IF($H2836="-","유지",IF($I2836="첫 건","유지","확인 필요")))</f>
        <v/>
      </c>
    </row>
    <row r="2837" customFormat="false" ht="15" hidden="false" customHeight="true" outlineLevel="0" collapsed="false">
      <c r="A2837" s="11" t="str">
        <f aca="false">IF(원본명단!$A2836="","",2834)</f>
        <v/>
      </c>
      <c r="B2837" s="12" t="str">
        <f aca="false">IF($A2837="","",원본명단!$A2836)</f>
        <v/>
      </c>
      <c r="C2837" s="12" t="str">
        <f aca="false">IF($A2837="","",원본명단!$B2836)</f>
        <v/>
      </c>
      <c r="D2837" s="12" t="str">
        <f aca="false">IF($A2837="","",원본명단!$D2836)</f>
        <v/>
      </c>
      <c r="E2837" s="11" t="str">
        <f aca="false">IF($A2837="","",IF(원본명단!$H2836="",0,COUNTIF(원본명단!$H$3:$H$6002,원본명단!$H2836)))</f>
        <v/>
      </c>
      <c r="F2837" s="11" t="str">
        <f aca="false">IF($A2837="","",IF(원본명단!$I2836="",0,COUNTIF(원본명단!$I$3:$I$6002,원본명단!$I2836)))</f>
        <v/>
      </c>
      <c r="G2837" s="11" t="str">
        <f aca="false">IF($A2837="","",IF(원본명단!$K2836="",0,COUNTIF(원본명단!$K$3:$K$6002,원본명단!$K2836)))</f>
        <v/>
      </c>
      <c r="H2837" s="11" t="str">
        <f aca="false">IF($A2837="","",IF(MAX($E2837,$F2837,$G2837)&gt;1,"중복","-"))</f>
        <v/>
      </c>
      <c r="I2837" s="11" t="str">
        <f aca="false">IF($A2837="","",IF($H2837="-","-",IF(AND(IF(원본명단!$H2836="",TRUE(),COUNTIF(원본명단!$H$3:$H2836,원본명단!$H2836)=1),IF(원본명단!$I2836="",TRUE(),COUNTIF(원본명단!$I$3:$I2836,원본명단!$I2836)=1),IF(원본명단!$K2836="",TRUE(),COUNTIF(원본명단!$K$3:$K2836,원본명단!$K2836)=1)),"첫 건","중복 건")))</f>
        <v/>
      </c>
      <c r="J2837" s="11" t="str">
        <f aca="false">IF($A2837="","",IF($H2837="-","유지",IF($I2837="첫 건","유지","확인 필요")))</f>
        <v/>
      </c>
    </row>
    <row r="2838" customFormat="false" ht="15" hidden="false" customHeight="true" outlineLevel="0" collapsed="false">
      <c r="A2838" s="11" t="str">
        <f aca="false">IF(원본명단!$A2837="","",2835)</f>
        <v/>
      </c>
      <c r="B2838" s="12" t="str">
        <f aca="false">IF($A2838="","",원본명단!$A2837)</f>
        <v/>
      </c>
      <c r="C2838" s="12" t="str">
        <f aca="false">IF($A2838="","",원본명단!$B2837)</f>
        <v/>
      </c>
      <c r="D2838" s="12" t="str">
        <f aca="false">IF($A2838="","",원본명단!$D2837)</f>
        <v/>
      </c>
      <c r="E2838" s="11" t="str">
        <f aca="false">IF($A2838="","",IF(원본명단!$H2837="",0,COUNTIF(원본명단!$H$3:$H$6002,원본명단!$H2837)))</f>
        <v/>
      </c>
      <c r="F2838" s="11" t="str">
        <f aca="false">IF($A2838="","",IF(원본명단!$I2837="",0,COUNTIF(원본명단!$I$3:$I$6002,원본명단!$I2837)))</f>
        <v/>
      </c>
      <c r="G2838" s="11" t="str">
        <f aca="false">IF($A2838="","",IF(원본명단!$K2837="",0,COUNTIF(원본명단!$K$3:$K$6002,원본명단!$K2837)))</f>
        <v/>
      </c>
      <c r="H2838" s="11" t="str">
        <f aca="false">IF($A2838="","",IF(MAX($E2838,$F2838,$G2838)&gt;1,"중복","-"))</f>
        <v/>
      </c>
      <c r="I2838" s="11" t="str">
        <f aca="false">IF($A2838="","",IF($H2838="-","-",IF(AND(IF(원본명단!$H2837="",TRUE(),COUNTIF(원본명단!$H$3:$H2837,원본명단!$H2837)=1),IF(원본명단!$I2837="",TRUE(),COUNTIF(원본명단!$I$3:$I2837,원본명단!$I2837)=1),IF(원본명단!$K2837="",TRUE(),COUNTIF(원본명단!$K$3:$K2837,원본명단!$K2837)=1)),"첫 건","중복 건")))</f>
        <v/>
      </c>
      <c r="J2838" s="11" t="str">
        <f aca="false">IF($A2838="","",IF($H2838="-","유지",IF($I2838="첫 건","유지","확인 필요")))</f>
        <v/>
      </c>
    </row>
    <row r="2839" customFormat="false" ht="15" hidden="false" customHeight="true" outlineLevel="0" collapsed="false">
      <c r="A2839" s="11" t="str">
        <f aca="false">IF(원본명단!$A2838="","",2836)</f>
        <v/>
      </c>
      <c r="B2839" s="12" t="str">
        <f aca="false">IF($A2839="","",원본명단!$A2838)</f>
        <v/>
      </c>
      <c r="C2839" s="12" t="str">
        <f aca="false">IF($A2839="","",원본명단!$B2838)</f>
        <v/>
      </c>
      <c r="D2839" s="12" t="str">
        <f aca="false">IF($A2839="","",원본명단!$D2838)</f>
        <v/>
      </c>
      <c r="E2839" s="11" t="str">
        <f aca="false">IF($A2839="","",IF(원본명단!$H2838="",0,COUNTIF(원본명단!$H$3:$H$6002,원본명단!$H2838)))</f>
        <v/>
      </c>
      <c r="F2839" s="11" t="str">
        <f aca="false">IF($A2839="","",IF(원본명단!$I2838="",0,COUNTIF(원본명단!$I$3:$I$6002,원본명단!$I2838)))</f>
        <v/>
      </c>
      <c r="G2839" s="11" t="str">
        <f aca="false">IF($A2839="","",IF(원본명단!$K2838="",0,COUNTIF(원본명단!$K$3:$K$6002,원본명단!$K2838)))</f>
        <v/>
      </c>
      <c r="H2839" s="11" t="str">
        <f aca="false">IF($A2839="","",IF(MAX($E2839,$F2839,$G2839)&gt;1,"중복","-"))</f>
        <v/>
      </c>
      <c r="I2839" s="11" t="str">
        <f aca="false">IF($A2839="","",IF($H2839="-","-",IF(AND(IF(원본명단!$H2838="",TRUE(),COUNTIF(원본명단!$H$3:$H2838,원본명단!$H2838)=1),IF(원본명단!$I2838="",TRUE(),COUNTIF(원본명단!$I$3:$I2838,원본명단!$I2838)=1),IF(원본명단!$K2838="",TRUE(),COUNTIF(원본명단!$K$3:$K2838,원본명단!$K2838)=1)),"첫 건","중복 건")))</f>
        <v/>
      </c>
      <c r="J2839" s="11" t="str">
        <f aca="false">IF($A2839="","",IF($H2839="-","유지",IF($I2839="첫 건","유지","확인 필요")))</f>
        <v/>
      </c>
    </row>
    <row r="2840" customFormat="false" ht="15" hidden="false" customHeight="true" outlineLevel="0" collapsed="false">
      <c r="A2840" s="11" t="str">
        <f aca="false">IF(원본명단!$A2839="","",2837)</f>
        <v/>
      </c>
      <c r="B2840" s="12" t="str">
        <f aca="false">IF($A2840="","",원본명단!$A2839)</f>
        <v/>
      </c>
      <c r="C2840" s="12" t="str">
        <f aca="false">IF($A2840="","",원본명단!$B2839)</f>
        <v/>
      </c>
      <c r="D2840" s="12" t="str">
        <f aca="false">IF($A2840="","",원본명단!$D2839)</f>
        <v/>
      </c>
      <c r="E2840" s="11" t="str">
        <f aca="false">IF($A2840="","",IF(원본명단!$H2839="",0,COUNTIF(원본명단!$H$3:$H$6002,원본명단!$H2839)))</f>
        <v/>
      </c>
      <c r="F2840" s="11" t="str">
        <f aca="false">IF($A2840="","",IF(원본명단!$I2839="",0,COUNTIF(원본명단!$I$3:$I$6002,원본명단!$I2839)))</f>
        <v/>
      </c>
      <c r="G2840" s="11" t="str">
        <f aca="false">IF($A2840="","",IF(원본명단!$K2839="",0,COUNTIF(원본명단!$K$3:$K$6002,원본명단!$K2839)))</f>
        <v/>
      </c>
      <c r="H2840" s="11" t="str">
        <f aca="false">IF($A2840="","",IF(MAX($E2840,$F2840,$G2840)&gt;1,"중복","-"))</f>
        <v/>
      </c>
      <c r="I2840" s="11" t="str">
        <f aca="false">IF($A2840="","",IF($H2840="-","-",IF(AND(IF(원본명단!$H2839="",TRUE(),COUNTIF(원본명단!$H$3:$H2839,원본명단!$H2839)=1),IF(원본명단!$I2839="",TRUE(),COUNTIF(원본명단!$I$3:$I2839,원본명단!$I2839)=1),IF(원본명단!$K2839="",TRUE(),COUNTIF(원본명단!$K$3:$K2839,원본명단!$K2839)=1)),"첫 건","중복 건")))</f>
        <v/>
      </c>
      <c r="J2840" s="11" t="str">
        <f aca="false">IF($A2840="","",IF($H2840="-","유지",IF($I2840="첫 건","유지","확인 필요")))</f>
        <v/>
      </c>
    </row>
    <row r="2841" customFormat="false" ht="15" hidden="false" customHeight="true" outlineLevel="0" collapsed="false">
      <c r="A2841" s="11" t="str">
        <f aca="false">IF(원본명단!$A2840="","",2838)</f>
        <v/>
      </c>
      <c r="B2841" s="12" t="str">
        <f aca="false">IF($A2841="","",원본명단!$A2840)</f>
        <v/>
      </c>
      <c r="C2841" s="12" t="str">
        <f aca="false">IF($A2841="","",원본명단!$B2840)</f>
        <v/>
      </c>
      <c r="D2841" s="12" t="str">
        <f aca="false">IF($A2841="","",원본명단!$D2840)</f>
        <v/>
      </c>
      <c r="E2841" s="11" t="str">
        <f aca="false">IF($A2841="","",IF(원본명단!$H2840="",0,COUNTIF(원본명단!$H$3:$H$6002,원본명단!$H2840)))</f>
        <v/>
      </c>
      <c r="F2841" s="11" t="str">
        <f aca="false">IF($A2841="","",IF(원본명단!$I2840="",0,COUNTIF(원본명단!$I$3:$I$6002,원본명단!$I2840)))</f>
        <v/>
      </c>
      <c r="G2841" s="11" t="str">
        <f aca="false">IF($A2841="","",IF(원본명단!$K2840="",0,COUNTIF(원본명단!$K$3:$K$6002,원본명단!$K2840)))</f>
        <v/>
      </c>
      <c r="H2841" s="11" t="str">
        <f aca="false">IF($A2841="","",IF(MAX($E2841,$F2841,$G2841)&gt;1,"중복","-"))</f>
        <v/>
      </c>
      <c r="I2841" s="11" t="str">
        <f aca="false">IF($A2841="","",IF($H2841="-","-",IF(AND(IF(원본명단!$H2840="",TRUE(),COUNTIF(원본명단!$H$3:$H2840,원본명단!$H2840)=1),IF(원본명단!$I2840="",TRUE(),COUNTIF(원본명단!$I$3:$I2840,원본명단!$I2840)=1),IF(원본명단!$K2840="",TRUE(),COUNTIF(원본명단!$K$3:$K2840,원본명단!$K2840)=1)),"첫 건","중복 건")))</f>
        <v/>
      </c>
      <c r="J2841" s="11" t="str">
        <f aca="false">IF($A2841="","",IF($H2841="-","유지",IF($I2841="첫 건","유지","확인 필요")))</f>
        <v/>
      </c>
    </row>
    <row r="2842" customFormat="false" ht="15" hidden="false" customHeight="true" outlineLevel="0" collapsed="false">
      <c r="A2842" s="11" t="str">
        <f aca="false">IF(원본명단!$A2841="","",2839)</f>
        <v/>
      </c>
      <c r="B2842" s="12" t="str">
        <f aca="false">IF($A2842="","",원본명단!$A2841)</f>
        <v/>
      </c>
      <c r="C2842" s="12" t="str">
        <f aca="false">IF($A2842="","",원본명단!$B2841)</f>
        <v/>
      </c>
      <c r="D2842" s="12" t="str">
        <f aca="false">IF($A2842="","",원본명단!$D2841)</f>
        <v/>
      </c>
      <c r="E2842" s="11" t="str">
        <f aca="false">IF($A2842="","",IF(원본명단!$H2841="",0,COUNTIF(원본명단!$H$3:$H$6002,원본명단!$H2841)))</f>
        <v/>
      </c>
      <c r="F2842" s="11" t="str">
        <f aca="false">IF($A2842="","",IF(원본명단!$I2841="",0,COUNTIF(원본명단!$I$3:$I$6002,원본명단!$I2841)))</f>
        <v/>
      </c>
      <c r="G2842" s="11" t="str">
        <f aca="false">IF($A2842="","",IF(원본명단!$K2841="",0,COUNTIF(원본명단!$K$3:$K$6002,원본명단!$K2841)))</f>
        <v/>
      </c>
      <c r="H2842" s="11" t="str">
        <f aca="false">IF($A2842="","",IF(MAX($E2842,$F2842,$G2842)&gt;1,"중복","-"))</f>
        <v/>
      </c>
      <c r="I2842" s="11" t="str">
        <f aca="false">IF($A2842="","",IF($H2842="-","-",IF(AND(IF(원본명단!$H2841="",TRUE(),COUNTIF(원본명단!$H$3:$H2841,원본명단!$H2841)=1),IF(원본명단!$I2841="",TRUE(),COUNTIF(원본명단!$I$3:$I2841,원본명단!$I2841)=1),IF(원본명단!$K2841="",TRUE(),COUNTIF(원본명단!$K$3:$K2841,원본명단!$K2841)=1)),"첫 건","중복 건")))</f>
        <v/>
      </c>
      <c r="J2842" s="11" t="str">
        <f aca="false">IF($A2842="","",IF($H2842="-","유지",IF($I2842="첫 건","유지","확인 필요")))</f>
        <v/>
      </c>
    </row>
    <row r="2843" customFormat="false" ht="15" hidden="false" customHeight="true" outlineLevel="0" collapsed="false">
      <c r="A2843" s="11" t="str">
        <f aca="false">IF(원본명단!$A2842="","",2840)</f>
        <v/>
      </c>
      <c r="B2843" s="12" t="str">
        <f aca="false">IF($A2843="","",원본명단!$A2842)</f>
        <v/>
      </c>
      <c r="C2843" s="12" t="str">
        <f aca="false">IF($A2843="","",원본명단!$B2842)</f>
        <v/>
      </c>
      <c r="D2843" s="12" t="str">
        <f aca="false">IF($A2843="","",원본명단!$D2842)</f>
        <v/>
      </c>
      <c r="E2843" s="11" t="str">
        <f aca="false">IF($A2843="","",IF(원본명단!$H2842="",0,COUNTIF(원본명단!$H$3:$H$6002,원본명단!$H2842)))</f>
        <v/>
      </c>
      <c r="F2843" s="11" t="str">
        <f aca="false">IF($A2843="","",IF(원본명단!$I2842="",0,COUNTIF(원본명단!$I$3:$I$6002,원본명단!$I2842)))</f>
        <v/>
      </c>
      <c r="G2843" s="11" t="str">
        <f aca="false">IF($A2843="","",IF(원본명단!$K2842="",0,COUNTIF(원본명단!$K$3:$K$6002,원본명단!$K2842)))</f>
        <v/>
      </c>
      <c r="H2843" s="11" t="str">
        <f aca="false">IF($A2843="","",IF(MAX($E2843,$F2843,$G2843)&gt;1,"중복","-"))</f>
        <v/>
      </c>
      <c r="I2843" s="11" t="str">
        <f aca="false">IF($A2843="","",IF($H2843="-","-",IF(AND(IF(원본명단!$H2842="",TRUE(),COUNTIF(원본명단!$H$3:$H2842,원본명단!$H2842)=1),IF(원본명단!$I2842="",TRUE(),COUNTIF(원본명단!$I$3:$I2842,원본명단!$I2842)=1),IF(원본명단!$K2842="",TRUE(),COUNTIF(원본명단!$K$3:$K2842,원본명단!$K2842)=1)),"첫 건","중복 건")))</f>
        <v/>
      </c>
      <c r="J2843" s="11" t="str">
        <f aca="false">IF($A2843="","",IF($H2843="-","유지",IF($I2843="첫 건","유지","확인 필요")))</f>
        <v/>
      </c>
    </row>
    <row r="2844" customFormat="false" ht="15" hidden="false" customHeight="true" outlineLevel="0" collapsed="false">
      <c r="A2844" s="11" t="str">
        <f aca="false">IF(원본명단!$A2843="","",2841)</f>
        <v/>
      </c>
      <c r="B2844" s="12" t="str">
        <f aca="false">IF($A2844="","",원본명단!$A2843)</f>
        <v/>
      </c>
      <c r="C2844" s="12" t="str">
        <f aca="false">IF($A2844="","",원본명단!$B2843)</f>
        <v/>
      </c>
      <c r="D2844" s="12" t="str">
        <f aca="false">IF($A2844="","",원본명단!$D2843)</f>
        <v/>
      </c>
      <c r="E2844" s="11" t="str">
        <f aca="false">IF($A2844="","",IF(원본명단!$H2843="",0,COUNTIF(원본명단!$H$3:$H$6002,원본명단!$H2843)))</f>
        <v/>
      </c>
      <c r="F2844" s="11" t="str">
        <f aca="false">IF($A2844="","",IF(원본명단!$I2843="",0,COUNTIF(원본명단!$I$3:$I$6002,원본명단!$I2843)))</f>
        <v/>
      </c>
      <c r="G2844" s="11" t="str">
        <f aca="false">IF($A2844="","",IF(원본명단!$K2843="",0,COUNTIF(원본명단!$K$3:$K$6002,원본명단!$K2843)))</f>
        <v/>
      </c>
      <c r="H2844" s="11" t="str">
        <f aca="false">IF($A2844="","",IF(MAX($E2844,$F2844,$G2844)&gt;1,"중복","-"))</f>
        <v/>
      </c>
      <c r="I2844" s="11" t="str">
        <f aca="false">IF($A2844="","",IF($H2844="-","-",IF(AND(IF(원본명단!$H2843="",TRUE(),COUNTIF(원본명단!$H$3:$H2843,원본명단!$H2843)=1),IF(원본명단!$I2843="",TRUE(),COUNTIF(원본명단!$I$3:$I2843,원본명단!$I2843)=1),IF(원본명단!$K2843="",TRUE(),COUNTIF(원본명단!$K$3:$K2843,원본명단!$K2843)=1)),"첫 건","중복 건")))</f>
        <v/>
      </c>
      <c r="J2844" s="11" t="str">
        <f aca="false">IF($A2844="","",IF($H2844="-","유지",IF($I2844="첫 건","유지","확인 필요")))</f>
        <v/>
      </c>
    </row>
    <row r="2845" customFormat="false" ht="15" hidden="false" customHeight="true" outlineLevel="0" collapsed="false">
      <c r="A2845" s="11" t="str">
        <f aca="false">IF(원본명단!$A2844="","",2842)</f>
        <v/>
      </c>
      <c r="B2845" s="12" t="str">
        <f aca="false">IF($A2845="","",원본명단!$A2844)</f>
        <v/>
      </c>
      <c r="C2845" s="12" t="str">
        <f aca="false">IF($A2845="","",원본명단!$B2844)</f>
        <v/>
      </c>
      <c r="D2845" s="12" t="str">
        <f aca="false">IF($A2845="","",원본명단!$D2844)</f>
        <v/>
      </c>
      <c r="E2845" s="11" t="str">
        <f aca="false">IF($A2845="","",IF(원본명단!$H2844="",0,COUNTIF(원본명단!$H$3:$H$6002,원본명단!$H2844)))</f>
        <v/>
      </c>
      <c r="F2845" s="11" t="str">
        <f aca="false">IF($A2845="","",IF(원본명단!$I2844="",0,COUNTIF(원본명단!$I$3:$I$6002,원본명단!$I2844)))</f>
        <v/>
      </c>
      <c r="G2845" s="11" t="str">
        <f aca="false">IF($A2845="","",IF(원본명단!$K2844="",0,COUNTIF(원본명단!$K$3:$K$6002,원본명단!$K2844)))</f>
        <v/>
      </c>
      <c r="H2845" s="11" t="str">
        <f aca="false">IF($A2845="","",IF(MAX($E2845,$F2845,$G2845)&gt;1,"중복","-"))</f>
        <v/>
      </c>
      <c r="I2845" s="11" t="str">
        <f aca="false">IF($A2845="","",IF($H2845="-","-",IF(AND(IF(원본명단!$H2844="",TRUE(),COUNTIF(원본명단!$H$3:$H2844,원본명단!$H2844)=1),IF(원본명단!$I2844="",TRUE(),COUNTIF(원본명단!$I$3:$I2844,원본명단!$I2844)=1),IF(원본명단!$K2844="",TRUE(),COUNTIF(원본명단!$K$3:$K2844,원본명단!$K2844)=1)),"첫 건","중복 건")))</f>
        <v/>
      </c>
      <c r="J2845" s="11" t="str">
        <f aca="false">IF($A2845="","",IF($H2845="-","유지",IF($I2845="첫 건","유지","확인 필요")))</f>
        <v/>
      </c>
    </row>
    <row r="2846" customFormat="false" ht="15" hidden="false" customHeight="true" outlineLevel="0" collapsed="false">
      <c r="A2846" s="11" t="str">
        <f aca="false">IF(원본명단!$A2845="","",2843)</f>
        <v/>
      </c>
      <c r="B2846" s="12" t="str">
        <f aca="false">IF($A2846="","",원본명단!$A2845)</f>
        <v/>
      </c>
      <c r="C2846" s="12" t="str">
        <f aca="false">IF($A2846="","",원본명단!$B2845)</f>
        <v/>
      </c>
      <c r="D2846" s="12" t="str">
        <f aca="false">IF($A2846="","",원본명단!$D2845)</f>
        <v/>
      </c>
      <c r="E2846" s="11" t="str">
        <f aca="false">IF($A2846="","",IF(원본명단!$H2845="",0,COUNTIF(원본명단!$H$3:$H$6002,원본명단!$H2845)))</f>
        <v/>
      </c>
      <c r="F2846" s="11" t="str">
        <f aca="false">IF($A2846="","",IF(원본명단!$I2845="",0,COUNTIF(원본명단!$I$3:$I$6002,원본명단!$I2845)))</f>
        <v/>
      </c>
      <c r="G2846" s="11" t="str">
        <f aca="false">IF($A2846="","",IF(원본명단!$K2845="",0,COUNTIF(원본명단!$K$3:$K$6002,원본명단!$K2845)))</f>
        <v/>
      </c>
      <c r="H2846" s="11" t="str">
        <f aca="false">IF($A2846="","",IF(MAX($E2846,$F2846,$G2846)&gt;1,"중복","-"))</f>
        <v/>
      </c>
      <c r="I2846" s="11" t="str">
        <f aca="false">IF($A2846="","",IF($H2846="-","-",IF(AND(IF(원본명단!$H2845="",TRUE(),COUNTIF(원본명단!$H$3:$H2845,원본명단!$H2845)=1),IF(원본명단!$I2845="",TRUE(),COUNTIF(원본명단!$I$3:$I2845,원본명단!$I2845)=1),IF(원본명단!$K2845="",TRUE(),COUNTIF(원본명단!$K$3:$K2845,원본명단!$K2845)=1)),"첫 건","중복 건")))</f>
        <v/>
      </c>
      <c r="J2846" s="11" t="str">
        <f aca="false">IF($A2846="","",IF($H2846="-","유지",IF($I2846="첫 건","유지","확인 필요")))</f>
        <v/>
      </c>
    </row>
    <row r="2847" customFormat="false" ht="15" hidden="false" customHeight="true" outlineLevel="0" collapsed="false">
      <c r="A2847" s="11" t="str">
        <f aca="false">IF(원본명단!$A2846="","",2844)</f>
        <v/>
      </c>
      <c r="B2847" s="12" t="str">
        <f aca="false">IF($A2847="","",원본명단!$A2846)</f>
        <v/>
      </c>
      <c r="C2847" s="12" t="str">
        <f aca="false">IF($A2847="","",원본명단!$B2846)</f>
        <v/>
      </c>
      <c r="D2847" s="12" t="str">
        <f aca="false">IF($A2847="","",원본명단!$D2846)</f>
        <v/>
      </c>
      <c r="E2847" s="11" t="str">
        <f aca="false">IF($A2847="","",IF(원본명단!$H2846="",0,COUNTIF(원본명단!$H$3:$H$6002,원본명단!$H2846)))</f>
        <v/>
      </c>
      <c r="F2847" s="11" t="str">
        <f aca="false">IF($A2847="","",IF(원본명단!$I2846="",0,COUNTIF(원본명단!$I$3:$I$6002,원본명단!$I2846)))</f>
        <v/>
      </c>
      <c r="G2847" s="11" t="str">
        <f aca="false">IF($A2847="","",IF(원본명단!$K2846="",0,COUNTIF(원본명단!$K$3:$K$6002,원본명단!$K2846)))</f>
        <v/>
      </c>
      <c r="H2847" s="11" t="str">
        <f aca="false">IF($A2847="","",IF(MAX($E2847,$F2847,$G2847)&gt;1,"중복","-"))</f>
        <v/>
      </c>
      <c r="I2847" s="11" t="str">
        <f aca="false">IF($A2847="","",IF($H2847="-","-",IF(AND(IF(원본명단!$H2846="",TRUE(),COUNTIF(원본명단!$H$3:$H2846,원본명단!$H2846)=1),IF(원본명단!$I2846="",TRUE(),COUNTIF(원본명단!$I$3:$I2846,원본명단!$I2846)=1),IF(원본명단!$K2846="",TRUE(),COUNTIF(원본명단!$K$3:$K2846,원본명단!$K2846)=1)),"첫 건","중복 건")))</f>
        <v/>
      </c>
      <c r="J2847" s="11" t="str">
        <f aca="false">IF($A2847="","",IF($H2847="-","유지",IF($I2847="첫 건","유지","확인 필요")))</f>
        <v/>
      </c>
    </row>
    <row r="2848" customFormat="false" ht="15" hidden="false" customHeight="true" outlineLevel="0" collapsed="false">
      <c r="A2848" s="11" t="str">
        <f aca="false">IF(원본명단!$A2847="","",2845)</f>
        <v/>
      </c>
      <c r="B2848" s="12" t="str">
        <f aca="false">IF($A2848="","",원본명단!$A2847)</f>
        <v/>
      </c>
      <c r="C2848" s="12" t="str">
        <f aca="false">IF($A2848="","",원본명단!$B2847)</f>
        <v/>
      </c>
      <c r="D2848" s="12" t="str">
        <f aca="false">IF($A2848="","",원본명단!$D2847)</f>
        <v/>
      </c>
      <c r="E2848" s="11" t="str">
        <f aca="false">IF($A2848="","",IF(원본명단!$H2847="",0,COUNTIF(원본명단!$H$3:$H$6002,원본명단!$H2847)))</f>
        <v/>
      </c>
      <c r="F2848" s="11" t="str">
        <f aca="false">IF($A2848="","",IF(원본명단!$I2847="",0,COUNTIF(원본명단!$I$3:$I$6002,원본명단!$I2847)))</f>
        <v/>
      </c>
      <c r="G2848" s="11" t="str">
        <f aca="false">IF($A2848="","",IF(원본명단!$K2847="",0,COUNTIF(원본명단!$K$3:$K$6002,원본명단!$K2847)))</f>
        <v/>
      </c>
      <c r="H2848" s="11" t="str">
        <f aca="false">IF($A2848="","",IF(MAX($E2848,$F2848,$G2848)&gt;1,"중복","-"))</f>
        <v/>
      </c>
      <c r="I2848" s="11" t="str">
        <f aca="false">IF($A2848="","",IF($H2848="-","-",IF(AND(IF(원본명단!$H2847="",TRUE(),COUNTIF(원본명단!$H$3:$H2847,원본명단!$H2847)=1),IF(원본명단!$I2847="",TRUE(),COUNTIF(원본명단!$I$3:$I2847,원본명단!$I2847)=1),IF(원본명단!$K2847="",TRUE(),COUNTIF(원본명단!$K$3:$K2847,원본명단!$K2847)=1)),"첫 건","중복 건")))</f>
        <v/>
      </c>
      <c r="J2848" s="11" t="str">
        <f aca="false">IF($A2848="","",IF($H2848="-","유지",IF($I2848="첫 건","유지","확인 필요")))</f>
        <v/>
      </c>
    </row>
    <row r="2849" customFormat="false" ht="15" hidden="false" customHeight="true" outlineLevel="0" collapsed="false">
      <c r="A2849" s="11" t="str">
        <f aca="false">IF(원본명단!$A2848="","",2846)</f>
        <v/>
      </c>
      <c r="B2849" s="12" t="str">
        <f aca="false">IF($A2849="","",원본명단!$A2848)</f>
        <v/>
      </c>
      <c r="C2849" s="12" t="str">
        <f aca="false">IF($A2849="","",원본명단!$B2848)</f>
        <v/>
      </c>
      <c r="D2849" s="12" t="str">
        <f aca="false">IF($A2849="","",원본명단!$D2848)</f>
        <v/>
      </c>
      <c r="E2849" s="11" t="str">
        <f aca="false">IF($A2849="","",IF(원본명단!$H2848="",0,COUNTIF(원본명단!$H$3:$H$6002,원본명단!$H2848)))</f>
        <v/>
      </c>
      <c r="F2849" s="11" t="str">
        <f aca="false">IF($A2849="","",IF(원본명단!$I2848="",0,COUNTIF(원본명단!$I$3:$I$6002,원본명단!$I2848)))</f>
        <v/>
      </c>
      <c r="G2849" s="11" t="str">
        <f aca="false">IF($A2849="","",IF(원본명단!$K2848="",0,COUNTIF(원본명단!$K$3:$K$6002,원본명단!$K2848)))</f>
        <v/>
      </c>
      <c r="H2849" s="11" t="str">
        <f aca="false">IF($A2849="","",IF(MAX($E2849,$F2849,$G2849)&gt;1,"중복","-"))</f>
        <v/>
      </c>
      <c r="I2849" s="11" t="str">
        <f aca="false">IF($A2849="","",IF($H2849="-","-",IF(AND(IF(원본명단!$H2848="",TRUE(),COUNTIF(원본명단!$H$3:$H2848,원본명단!$H2848)=1),IF(원본명단!$I2848="",TRUE(),COUNTIF(원본명단!$I$3:$I2848,원본명단!$I2848)=1),IF(원본명단!$K2848="",TRUE(),COUNTIF(원본명단!$K$3:$K2848,원본명단!$K2848)=1)),"첫 건","중복 건")))</f>
        <v/>
      </c>
      <c r="J2849" s="11" t="str">
        <f aca="false">IF($A2849="","",IF($H2849="-","유지",IF($I2849="첫 건","유지","확인 필요")))</f>
        <v/>
      </c>
    </row>
    <row r="2850" customFormat="false" ht="15" hidden="false" customHeight="true" outlineLevel="0" collapsed="false">
      <c r="A2850" s="11" t="str">
        <f aca="false">IF(원본명단!$A2849="","",2847)</f>
        <v/>
      </c>
      <c r="B2850" s="12" t="str">
        <f aca="false">IF($A2850="","",원본명단!$A2849)</f>
        <v/>
      </c>
      <c r="C2850" s="12" t="str">
        <f aca="false">IF($A2850="","",원본명단!$B2849)</f>
        <v/>
      </c>
      <c r="D2850" s="12" t="str">
        <f aca="false">IF($A2850="","",원본명단!$D2849)</f>
        <v/>
      </c>
      <c r="E2850" s="11" t="str">
        <f aca="false">IF($A2850="","",IF(원본명단!$H2849="",0,COUNTIF(원본명단!$H$3:$H$6002,원본명단!$H2849)))</f>
        <v/>
      </c>
      <c r="F2850" s="11" t="str">
        <f aca="false">IF($A2850="","",IF(원본명단!$I2849="",0,COUNTIF(원본명단!$I$3:$I$6002,원본명단!$I2849)))</f>
        <v/>
      </c>
      <c r="G2850" s="11" t="str">
        <f aca="false">IF($A2850="","",IF(원본명단!$K2849="",0,COUNTIF(원본명단!$K$3:$K$6002,원본명단!$K2849)))</f>
        <v/>
      </c>
      <c r="H2850" s="11" t="str">
        <f aca="false">IF($A2850="","",IF(MAX($E2850,$F2850,$G2850)&gt;1,"중복","-"))</f>
        <v/>
      </c>
      <c r="I2850" s="11" t="str">
        <f aca="false">IF($A2850="","",IF($H2850="-","-",IF(AND(IF(원본명단!$H2849="",TRUE(),COUNTIF(원본명단!$H$3:$H2849,원본명단!$H2849)=1),IF(원본명단!$I2849="",TRUE(),COUNTIF(원본명단!$I$3:$I2849,원본명단!$I2849)=1),IF(원본명단!$K2849="",TRUE(),COUNTIF(원본명단!$K$3:$K2849,원본명단!$K2849)=1)),"첫 건","중복 건")))</f>
        <v/>
      </c>
      <c r="J2850" s="11" t="str">
        <f aca="false">IF($A2850="","",IF($H2850="-","유지",IF($I2850="첫 건","유지","확인 필요")))</f>
        <v/>
      </c>
    </row>
    <row r="2851" customFormat="false" ht="15" hidden="false" customHeight="true" outlineLevel="0" collapsed="false">
      <c r="A2851" s="11" t="str">
        <f aca="false">IF(원본명단!$A2850="","",2848)</f>
        <v/>
      </c>
      <c r="B2851" s="12" t="str">
        <f aca="false">IF($A2851="","",원본명단!$A2850)</f>
        <v/>
      </c>
      <c r="C2851" s="12" t="str">
        <f aca="false">IF($A2851="","",원본명단!$B2850)</f>
        <v/>
      </c>
      <c r="D2851" s="12" t="str">
        <f aca="false">IF($A2851="","",원본명단!$D2850)</f>
        <v/>
      </c>
      <c r="E2851" s="11" t="str">
        <f aca="false">IF($A2851="","",IF(원본명단!$H2850="",0,COUNTIF(원본명단!$H$3:$H$6002,원본명단!$H2850)))</f>
        <v/>
      </c>
      <c r="F2851" s="11" t="str">
        <f aca="false">IF($A2851="","",IF(원본명단!$I2850="",0,COUNTIF(원본명단!$I$3:$I$6002,원본명단!$I2850)))</f>
        <v/>
      </c>
      <c r="G2851" s="11" t="str">
        <f aca="false">IF($A2851="","",IF(원본명단!$K2850="",0,COUNTIF(원본명단!$K$3:$K$6002,원본명단!$K2850)))</f>
        <v/>
      </c>
      <c r="H2851" s="11" t="str">
        <f aca="false">IF($A2851="","",IF(MAX($E2851,$F2851,$G2851)&gt;1,"중복","-"))</f>
        <v/>
      </c>
      <c r="I2851" s="11" t="str">
        <f aca="false">IF($A2851="","",IF($H2851="-","-",IF(AND(IF(원본명단!$H2850="",TRUE(),COUNTIF(원본명단!$H$3:$H2850,원본명단!$H2850)=1),IF(원본명단!$I2850="",TRUE(),COUNTIF(원본명단!$I$3:$I2850,원본명단!$I2850)=1),IF(원본명단!$K2850="",TRUE(),COUNTIF(원본명단!$K$3:$K2850,원본명단!$K2850)=1)),"첫 건","중복 건")))</f>
        <v/>
      </c>
      <c r="J2851" s="11" t="str">
        <f aca="false">IF($A2851="","",IF($H2851="-","유지",IF($I2851="첫 건","유지","확인 필요")))</f>
        <v/>
      </c>
    </row>
    <row r="2852" customFormat="false" ht="15" hidden="false" customHeight="true" outlineLevel="0" collapsed="false">
      <c r="A2852" s="11" t="str">
        <f aca="false">IF(원본명단!$A2851="","",2849)</f>
        <v/>
      </c>
      <c r="B2852" s="12" t="str">
        <f aca="false">IF($A2852="","",원본명단!$A2851)</f>
        <v/>
      </c>
      <c r="C2852" s="12" t="str">
        <f aca="false">IF($A2852="","",원본명단!$B2851)</f>
        <v/>
      </c>
      <c r="D2852" s="12" t="str">
        <f aca="false">IF($A2852="","",원본명단!$D2851)</f>
        <v/>
      </c>
      <c r="E2852" s="11" t="str">
        <f aca="false">IF($A2852="","",IF(원본명단!$H2851="",0,COUNTIF(원본명단!$H$3:$H$6002,원본명단!$H2851)))</f>
        <v/>
      </c>
      <c r="F2852" s="11" t="str">
        <f aca="false">IF($A2852="","",IF(원본명단!$I2851="",0,COUNTIF(원본명단!$I$3:$I$6002,원본명단!$I2851)))</f>
        <v/>
      </c>
      <c r="G2852" s="11" t="str">
        <f aca="false">IF($A2852="","",IF(원본명단!$K2851="",0,COUNTIF(원본명단!$K$3:$K$6002,원본명단!$K2851)))</f>
        <v/>
      </c>
      <c r="H2852" s="11" t="str">
        <f aca="false">IF($A2852="","",IF(MAX($E2852,$F2852,$G2852)&gt;1,"중복","-"))</f>
        <v/>
      </c>
      <c r="I2852" s="11" t="str">
        <f aca="false">IF($A2852="","",IF($H2852="-","-",IF(AND(IF(원본명단!$H2851="",TRUE(),COUNTIF(원본명단!$H$3:$H2851,원본명단!$H2851)=1),IF(원본명단!$I2851="",TRUE(),COUNTIF(원본명단!$I$3:$I2851,원본명단!$I2851)=1),IF(원본명단!$K2851="",TRUE(),COUNTIF(원본명단!$K$3:$K2851,원본명단!$K2851)=1)),"첫 건","중복 건")))</f>
        <v/>
      </c>
      <c r="J2852" s="11" t="str">
        <f aca="false">IF($A2852="","",IF($H2852="-","유지",IF($I2852="첫 건","유지","확인 필요")))</f>
        <v/>
      </c>
    </row>
    <row r="2853" customFormat="false" ht="15" hidden="false" customHeight="true" outlineLevel="0" collapsed="false">
      <c r="A2853" s="11" t="str">
        <f aca="false">IF(원본명단!$A2852="","",2850)</f>
        <v/>
      </c>
      <c r="B2853" s="12" t="str">
        <f aca="false">IF($A2853="","",원본명단!$A2852)</f>
        <v/>
      </c>
      <c r="C2853" s="12" t="str">
        <f aca="false">IF($A2853="","",원본명단!$B2852)</f>
        <v/>
      </c>
      <c r="D2853" s="12" t="str">
        <f aca="false">IF($A2853="","",원본명단!$D2852)</f>
        <v/>
      </c>
      <c r="E2853" s="11" t="str">
        <f aca="false">IF($A2853="","",IF(원본명단!$H2852="",0,COUNTIF(원본명단!$H$3:$H$6002,원본명단!$H2852)))</f>
        <v/>
      </c>
      <c r="F2853" s="11" t="str">
        <f aca="false">IF($A2853="","",IF(원본명단!$I2852="",0,COUNTIF(원본명단!$I$3:$I$6002,원본명단!$I2852)))</f>
        <v/>
      </c>
      <c r="G2853" s="11" t="str">
        <f aca="false">IF($A2853="","",IF(원본명단!$K2852="",0,COUNTIF(원본명단!$K$3:$K$6002,원본명단!$K2852)))</f>
        <v/>
      </c>
      <c r="H2853" s="11" t="str">
        <f aca="false">IF($A2853="","",IF(MAX($E2853,$F2853,$G2853)&gt;1,"중복","-"))</f>
        <v/>
      </c>
      <c r="I2853" s="11" t="str">
        <f aca="false">IF($A2853="","",IF($H2853="-","-",IF(AND(IF(원본명단!$H2852="",TRUE(),COUNTIF(원본명단!$H$3:$H2852,원본명단!$H2852)=1),IF(원본명단!$I2852="",TRUE(),COUNTIF(원본명단!$I$3:$I2852,원본명단!$I2852)=1),IF(원본명단!$K2852="",TRUE(),COUNTIF(원본명단!$K$3:$K2852,원본명단!$K2852)=1)),"첫 건","중복 건")))</f>
        <v/>
      </c>
      <c r="J2853" s="11" t="str">
        <f aca="false">IF($A2853="","",IF($H2853="-","유지",IF($I2853="첫 건","유지","확인 필요")))</f>
        <v/>
      </c>
    </row>
    <row r="2854" customFormat="false" ht="15" hidden="false" customHeight="true" outlineLevel="0" collapsed="false">
      <c r="A2854" s="11" t="str">
        <f aca="false">IF(원본명단!$A2853="","",2851)</f>
        <v/>
      </c>
      <c r="B2854" s="12" t="str">
        <f aca="false">IF($A2854="","",원본명단!$A2853)</f>
        <v/>
      </c>
      <c r="C2854" s="12" t="str">
        <f aca="false">IF($A2854="","",원본명단!$B2853)</f>
        <v/>
      </c>
      <c r="D2854" s="12" t="str">
        <f aca="false">IF($A2854="","",원본명단!$D2853)</f>
        <v/>
      </c>
      <c r="E2854" s="11" t="str">
        <f aca="false">IF($A2854="","",IF(원본명단!$H2853="",0,COUNTIF(원본명단!$H$3:$H$6002,원본명단!$H2853)))</f>
        <v/>
      </c>
      <c r="F2854" s="11" t="str">
        <f aca="false">IF($A2854="","",IF(원본명단!$I2853="",0,COUNTIF(원본명단!$I$3:$I$6002,원본명단!$I2853)))</f>
        <v/>
      </c>
      <c r="G2854" s="11" t="str">
        <f aca="false">IF($A2854="","",IF(원본명단!$K2853="",0,COUNTIF(원본명단!$K$3:$K$6002,원본명단!$K2853)))</f>
        <v/>
      </c>
      <c r="H2854" s="11" t="str">
        <f aca="false">IF($A2854="","",IF(MAX($E2854,$F2854,$G2854)&gt;1,"중복","-"))</f>
        <v/>
      </c>
      <c r="I2854" s="11" t="str">
        <f aca="false">IF($A2854="","",IF($H2854="-","-",IF(AND(IF(원본명단!$H2853="",TRUE(),COUNTIF(원본명단!$H$3:$H2853,원본명단!$H2853)=1),IF(원본명단!$I2853="",TRUE(),COUNTIF(원본명단!$I$3:$I2853,원본명단!$I2853)=1),IF(원본명단!$K2853="",TRUE(),COUNTIF(원본명단!$K$3:$K2853,원본명단!$K2853)=1)),"첫 건","중복 건")))</f>
        <v/>
      </c>
      <c r="J2854" s="11" t="str">
        <f aca="false">IF($A2854="","",IF($H2854="-","유지",IF($I2854="첫 건","유지","확인 필요")))</f>
        <v/>
      </c>
    </row>
    <row r="2855" customFormat="false" ht="15" hidden="false" customHeight="true" outlineLevel="0" collapsed="false">
      <c r="A2855" s="11" t="str">
        <f aca="false">IF(원본명단!$A2854="","",2852)</f>
        <v/>
      </c>
      <c r="B2855" s="12" t="str">
        <f aca="false">IF($A2855="","",원본명단!$A2854)</f>
        <v/>
      </c>
      <c r="C2855" s="12" t="str">
        <f aca="false">IF($A2855="","",원본명단!$B2854)</f>
        <v/>
      </c>
      <c r="D2855" s="12" t="str">
        <f aca="false">IF($A2855="","",원본명단!$D2854)</f>
        <v/>
      </c>
      <c r="E2855" s="11" t="str">
        <f aca="false">IF($A2855="","",IF(원본명단!$H2854="",0,COUNTIF(원본명단!$H$3:$H$6002,원본명단!$H2854)))</f>
        <v/>
      </c>
      <c r="F2855" s="11" t="str">
        <f aca="false">IF($A2855="","",IF(원본명단!$I2854="",0,COUNTIF(원본명단!$I$3:$I$6002,원본명단!$I2854)))</f>
        <v/>
      </c>
      <c r="G2855" s="11" t="str">
        <f aca="false">IF($A2855="","",IF(원본명단!$K2854="",0,COUNTIF(원본명단!$K$3:$K$6002,원본명단!$K2854)))</f>
        <v/>
      </c>
      <c r="H2855" s="11" t="str">
        <f aca="false">IF($A2855="","",IF(MAX($E2855,$F2855,$G2855)&gt;1,"중복","-"))</f>
        <v/>
      </c>
      <c r="I2855" s="11" t="str">
        <f aca="false">IF($A2855="","",IF($H2855="-","-",IF(AND(IF(원본명단!$H2854="",TRUE(),COUNTIF(원본명단!$H$3:$H2854,원본명단!$H2854)=1),IF(원본명단!$I2854="",TRUE(),COUNTIF(원본명단!$I$3:$I2854,원본명단!$I2854)=1),IF(원본명단!$K2854="",TRUE(),COUNTIF(원본명단!$K$3:$K2854,원본명단!$K2854)=1)),"첫 건","중복 건")))</f>
        <v/>
      </c>
      <c r="J2855" s="11" t="str">
        <f aca="false">IF($A2855="","",IF($H2855="-","유지",IF($I2855="첫 건","유지","확인 필요")))</f>
        <v/>
      </c>
    </row>
    <row r="2856" customFormat="false" ht="15" hidden="false" customHeight="true" outlineLevel="0" collapsed="false">
      <c r="A2856" s="11" t="str">
        <f aca="false">IF(원본명단!$A2855="","",2853)</f>
        <v/>
      </c>
      <c r="B2856" s="12" t="str">
        <f aca="false">IF($A2856="","",원본명단!$A2855)</f>
        <v/>
      </c>
      <c r="C2856" s="12" t="str">
        <f aca="false">IF($A2856="","",원본명단!$B2855)</f>
        <v/>
      </c>
      <c r="D2856" s="12" t="str">
        <f aca="false">IF($A2856="","",원본명단!$D2855)</f>
        <v/>
      </c>
      <c r="E2856" s="11" t="str">
        <f aca="false">IF($A2856="","",IF(원본명단!$H2855="",0,COUNTIF(원본명단!$H$3:$H$6002,원본명단!$H2855)))</f>
        <v/>
      </c>
      <c r="F2856" s="11" t="str">
        <f aca="false">IF($A2856="","",IF(원본명단!$I2855="",0,COUNTIF(원본명단!$I$3:$I$6002,원본명단!$I2855)))</f>
        <v/>
      </c>
      <c r="G2856" s="11" t="str">
        <f aca="false">IF($A2856="","",IF(원본명단!$K2855="",0,COUNTIF(원본명단!$K$3:$K$6002,원본명단!$K2855)))</f>
        <v/>
      </c>
      <c r="H2856" s="11" t="str">
        <f aca="false">IF($A2856="","",IF(MAX($E2856,$F2856,$G2856)&gt;1,"중복","-"))</f>
        <v/>
      </c>
      <c r="I2856" s="11" t="str">
        <f aca="false">IF($A2856="","",IF($H2856="-","-",IF(AND(IF(원본명단!$H2855="",TRUE(),COUNTIF(원본명단!$H$3:$H2855,원본명단!$H2855)=1),IF(원본명단!$I2855="",TRUE(),COUNTIF(원본명단!$I$3:$I2855,원본명단!$I2855)=1),IF(원본명단!$K2855="",TRUE(),COUNTIF(원본명단!$K$3:$K2855,원본명단!$K2855)=1)),"첫 건","중복 건")))</f>
        <v/>
      </c>
      <c r="J2856" s="11" t="str">
        <f aca="false">IF($A2856="","",IF($H2856="-","유지",IF($I2856="첫 건","유지","확인 필요")))</f>
        <v/>
      </c>
    </row>
    <row r="2857" customFormat="false" ht="15" hidden="false" customHeight="true" outlineLevel="0" collapsed="false">
      <c r="A2857" s="11" t="str">
        <f aca="false">IF(원본명단!$A2856="","",2854)</f>
        <v/>
      </c>
      <c r="B2857" s="12" t="str">
        <f aca="false">IF($A2857="","",원본명단!$A2856)</f>
        <v/>
      </c>
      <c r="C2857" s="12" t="str">
        <f aca="false">IF($A2857="","",원본명단!$B2856)</f>
        <v/>
      </c>
      <c r="D2857" s="12" t="str">
        <f aca="false">IF($A2857="","",원본명단!$D2856)</f>
        <v/>
      </c>
      <c r="E2857" s="11" t="str">
        <f aca="false">IF($A2857="","",IF(원본명단!$H2856="",0,COUNTIF(원본명단!$H$3:$H$6002,원본명단!$H2856)))</f>
        <v/>
      </c>
      <c r="F2857" s="11" t="str">
        <f aca="false">IF($A2857="","",IF(원본명단!$I2856="",0,COUNTIF(원본명단!$I$3:$I$6002,원본명단!$I2856)))</f>
        <v/>
      </c>
      <c r="G2857" s="11" t="str">
        <f aca="false">IF($A2857="","",IF(원본명단!$K2856="",0,COUNTIF(원본명단!$K$3:$K$6002,원본명단!$K2856)))</f>
        <v/>
      </c>
      <c r="H2857" s="11" t="str">
        <f aca="false">IF($A2857="","",IF(MAX($E2857,$F2857,$G2857)&gt;1,"중복","-"))</f>
        <v/>
      </c>
      <c r="I2857" s="11" t="str">
        <f aca="false">IF($A2857="","",IF($H2857="-","-",IF(AND(IF(원본명단!$H2856="",TRUE(),COUNTIF(원본명단!$H$3:$H2856,원본명단!$H2856)=1),IF(원본명단!$I2856="",TRUE(),COUNTIF(원본명단!$I$3:$I2856,원본명단!$I2856)=1),IF(원본명단!$K2856="",TRUE(),COUNTIF(원본명단!$K$3:$K2856,원본명단!$K2856)=1)),"첫 건","중복 건")))</f>
        <v/>
      </c>
      <c r="J2857" s="11" t="str">
        <f aca="false">IF($A2857="","",IF($H2857="-","유지",IF($I2857="첫 건","유지","확인 필요")))</f>
        <v/>
      </c>
    </row>
    <row r="2858" customFormat="false" ht="15" hidden="false" customHeight="true" outlineLevel="0" collapsed="false">
      <c r="A2858" s="11" t="str">
        <f aca="false">IF(원본명단!$A2857="","",2855)</f>
        <v/>
      </c>
      <c r="B2858" s="12" t="str">
        <f aca="false">IF($A2858="","",원본명단!$A2857)</f>
        <v/>
      </c>
      <c r="C2858" s="12" t="str">
        <f aca="false">IF($A2858="","",원본명단!$B2857)</f>
        <v/>
      </c>
      <c r="D2858" s="12" t="str">
        <f aca="false">IF($A2858="","",원본명단!$D2857)</f>
        <v/>
      </c>
      <c r="E2858" s="11" t="str">
        <f aca="false">IF($A2858="","",IF(원본명단!$H2857="",0,COUNTIF(원본명단!$H$3:$H$6002,원본명단!$H2857)))</f>
        <v/>
      </c>
      <c r="F2858" s="11" t="str">
        <f aca="false">IF($A2858="","",IF(원본명단!$I2857="",0,COUNTIF(원본명단!$I$3:$I$6002,원본명단!$I2857)))</f>
        <v/>
      </c>
      <c r="G2858" s="11" t="str">
        <f aca="false">IF($A2858="","",IF(원본명단!$K2857="",0,COUNTIF(원본명단!$K$3:$K$6002,원본명단!$K2857)))</f>
        <v/>
      </c>
      <c r="H2858" s="11" t="str">
        <f aca="false">IF($A2858="","",IF(MAX($E2858,$F2858,$G2858)&gt;1,"중복","-"))</f>
        <v/>
      </c>
      <c r="I2858" s="11" t="str">
        <f aca="false">IF($A2858="","",IF($H2858="-","-",IF(AND(IF(원본명단!$H2857="",TRUE(),COUNTIF(원본명단!$H$3:$H2857,원본명단!$H2857)=1),IF(원본명단!$I2857="",TRUE(),COUNTIF(원본명단!$I$3:$I2857,원본명단!$I2857)=1),IF(원본명단!$K2857="",TRUE(),COUNTIF(원본명단!$K$3:$K2857,원본명단!$K2857)=1)),"첫 건","중복 건")))</f>
        <v/>
      </c>
      <c r="J2858" s="11" t="str">
        <f aca="false">IF($A2858="","",IF($H2858="-","유지",IF($I2858="첫 건","유지","확인 필요")))</f>
        <v/>
      </c>
    </row>
    <row r="2859" customFormat="false" ht="15" hidden="false" customHeight="true" outlineLevel="0" collapsed="false">
      <c r="A2859" s="11" t="str">
        <f aca="false">IF(원본명단!$A2858="","",2856)</f>
        <v/>
      </c>
      <c r="B2859" s="12" t="str">
        <f aca="false">IF($A2859="","",원본명단!$A2858)</f>
        <v/>
      </c>
      <c r="C2859" s="12" t="str">
        <f aca="false">IF($A2859="","",원본명단!$B2858)</f>
        <v/>
      </c>
      <c r="D2859" s="12" t="str">
        <f aca="false">IF($A2859="","",원본명단!$D2858)</f>
        <v/>
      </c>
      <c r="E2859" s="11" t="str">
        <f aca="false">IF($A2859="","",IF(원본명단!$H2858="",0,COUNTIF(원본명단!$H$3:$H$6002,원본명단!$H2858)))</f>
        <v/>
      </c>
      <c r="F2859" s="11" t="str">
        <f aca="false">IF($A2859="","",IF(원본명단!$I2858="",0,COUNTIF(원본명단!$I$3:$I$6002,원본명단!$I2858)))</f>
        <v/>
      </c>
      <c r="G2859" s="11" t="str">
        <f aca="false">IF($A2859="","",IF(원본명단!$K2858="",0,COUNTIF(원본명단!$K$3:$K$6002,원본명단!$K2858)))</f>
        <v/>
      </c>
      <c r="H2859" s="11" t="str">
        <f aca="false">IF($A2859="","",IF(MAX($E2859,$F2859,$G2859)&gt;1,"중복","-"))</f>
        <v/>
      </c>
      <c r="I2859" s="11" t="str">
        <f aca="false">IF($A2859="","",IF($H2859="-","-",IF(AND(IF(원본명단!$H2858="",TRUE(),COUNTIF(원본명단!$H$3:$H2858,원본명단!$H2858)=1),IF(원본명단!$I2858="",TRUE(),COUNTIF(원본명단!$I$3:$I2858,원본명단!$I2858)=1),IF(원본명단!$K2858="",TRUE(),COUNTIF(원본명단!$K$3:$K2858,원본명단!$K2858)=1)),"첫 건","중복 건")))</f>
        <v/>
      </c>
      <c r="J2859" s="11" t="str">
        <f aca="false">IF($A2859="","",IF($H2859="-","유지",IF($I2859="첫 건","유지","확인 필요")))</f>
        <v/>
      </c>
    </row>
    <row r="2860" customFormat="false" ht="15" hidden="false" customHeight="true" outlineLevel="0" collapsed="false">
      <c r="A2860" s="11" t="str">
        <f aca="false">IF(원본명단!$A2859="","",2857)</f>
        <v/>
      </c>
      <c r="B2860" s="12" t="str">
        <f aca="false">IF($A2860="","",원본명단!$A2859)</f>
        <v/>
      </c>
      <c r="C2860" s="12" t="str">
        <f aca="false">IF($A2860="","",원본명단!$B2859)</f>
        <v/>
      </c>
      <c r="D2860" s="12" t="str">
        <f aca="false">IF($A2860="","",원본명단!$D2859)</f>
        <v/>
      </c>
      <c r="E2860" s="11" t="str">
        <f aca="false">IF($A2860="","",IF(원본명단!$H2859="",0,COUNTIF(원본명단!$H$3:$H$6002,원본명단!$H2859)))</f>
        <v/>
      </c>
      <c r="F2860" s="11" t="str">
        <f aca="false">IF($A2860="","",IF(원본명단!$I2859="",0,COUNTIF(원본명단!$I$3:$I$6002,원본명단!$I2859)))</f>
        <v/>
      </c>
      <c r="G2860" s="11" t="str">
        <f aca="false">IF($A2860="","",IF(원본명단!$K2859="",0,COUNTIF(원본명단!$K$3:$K$6002,원본명단!$K2859)))</f>
        <v/>
      </c>
      <c r="H2860" s="11" t="str">
        <f aca="false">IF($A2860="","",IF(MAX($E2860,$F2860,$G2860)&gt;1,"중복","-"))</f>
        <v/>
      </c>
      <c r="I2860" s="11" t="str">
        <f aca="false">IF($A2860="","",IF($H2860="-","-",IF(AND(IF(원본명단!$H2859="",TRUE(),COUNTIF(원본명단!$H$3:$H2859,원본명단!$H2859)=1),IF(원본명단!$I2859="",TRUE(),COUNTIF(원본명단!$I$3:$I2859,원본명단!$I2859)=1),IF(원본명단!$K2859="",TRUE(),COUNTIF(원본명단!$K$3:$K2859,원본명단!$K2859)=1)),"첫 건","중복 건")))</f>
        <v/>
      </c>
      <c r="J2860" s="11" t="str">
        <f aca="false">IF($A2860="","",IF($H2860="-","유지",IF($I2860="첫 건","유지","확인 필요")))</f>
        <v/>
      </c>
    </row>
    <row r="2861" customFormat="false" ht="15" hidden="false" customHeight="true" outlineLevel="0" collapsed="false">
      <c r="A2861" s="11" t="str">
        <f aca="false">IF(원본명단!$A2860="","",2858)</f>
        <v/>
      </c>
      <c r="B2861" s="12" t="str">
        <f aca="false">IF($A2861="","",원본명단!$A2860)</f>
        <v/>
      </c>
      <c r="C2861" s="12" t="str">
        <f aca="false">IF($A2861="","",원본명단!$B2860)</f>
        <v/>
      </c>
      <c r="D2861" s="12" t="str">
        <f aca="false">IF($A2861="","",원본명단!$D2860)</f>
        <v/>
      </c>
      <c r="E2861" s="11" t="str">
        <f aca="false">IF($A2861="","",IF(원본명단!$H2860="",0,COUNTIF(원본명단!$H$3:$H$6002,원본명단!$H2860)))</f>
        <v/>
      </c>
      <c r="F2861" s="11" t="str">
        <f aca="false">IF($A2861="","",IF(원본명단!$I2860="",0,COUNTIF(원본명단!$I$3:$I$6002,원본명단!$I2860)))</f>
        <v/>
      </c>
      <c r="G2861" s="11" t="str">
        <f aca="false">IF($A2861="","",IF(원본명단!$K2860="",0,COUNTIF(원본명단!$K$3:$K$6002,원본명단!$K2860)))</f>
        <v/>
      </c>
      <c r="H2861" s="11" t="str">
        <f aca="false">IF($A2861="","",IF(MAX($E2861,$F2861,$G2861)&gt;1,"중복","-"))</f>
        <v/>
      </c>
      <c r="I2861" s="11" t="str">
        <f aca="false">IF($A2861="","",IF($H2861="-","-",IF(AND(IF(원본명단!$H2860="",TRUE(),COUNTIF(원본명단!$H$3:$H2860,원본명단!$H2860)=1),IF(원본명단!$I2860="",TRUE(),COUNTIF(원본명단!$I$3:$I2860,원본명단!$I2860)=1),IF(원본명단!$K2860="",TRUE(),COUNTIF(원본명단!$K$3:$K2860,원본명단!$K2860)=1)),"첫 건","중복 건")))</f>
        <v/>
      </c>
      <c r="J2861" s="11" t="str">
        <f aca="false">IF($A2861="","",IF($H2861="-","유지",IF($I2861="첫 건","유지","확인 필요")))</f>
        <v/>
      </c>
    </row>
    <row r="2862" customFormat="false" ht="15" hidden="false" customHeight="true" outlineLevel="0" collapsed="false">
      <c r="A2862" s="11" t="str">
        <f aca="false">IF(원본명단!$A2861="","",2859)</f>
        <v/>
      </c>
      <c r="B2862" s="12" t="str">
        <f aca="false">IF($A2862="","",원본명단!$A2861)</f>
        <v/>
      </c>
      <c r="C2862" s="12" t="str">
        <f aca="false">IF($A2862="","",원본명단!$B2861)</f>
        <v/>
      </c>
      <c r="D2862" s="12" t="str">
        <f aca="false">IF($A2862="","",원본명단!$D2861)</f>
        <v/>
      </c>
      <c r="E2862" s="11" t="str">
        <f aca="false">IF($A2862="","",IF(원본명단!$H2861="",0,COUNTIF(원본명단!$H$3:$H$6002,원본명단!$H2861)))</f>
        <v/>
      </c>
      <c r="F2862" s="11" t="str">
        <f aca="false">IF($A2862="","",IF(원본명단!$I2861="",0,COUNTIF(원본명단!$I$3:$I$6002,원본명단!$I2861)))</f>
        <v/>
      </c>
      <c r="G2862" s="11" t="str">
        <f aca="false">IF($A2862="","",IF(원본명단!$K2861="",0,COUNTIF(원본명단!$K$3:$K$6002,원본명단!$K2861)))</f>
        <v/>
      </c>
      <c r="H2862" s="11" t="str">
        <f aca="false">IF($A2862="","",IF(MAX($E2862,$F2862,$G2862)&gt;1,"중복","-"))</f>
        <v/>
      </c>
      <c r="I2862" s="11" t="str">
        <f aca="false">IF($A2862="","",IF($H2862="-","-",IF(AND(IF(원본명단!$H2861="",TRUE(),COUNTIF(원본명단!$H$3:$H2861,원본명단!$H2861)=1),IF(원본명단!$I2861="",TRUE(),COUNTIF(원본명단!$I$3:$I2861,원본명단!$I2861)=1),IF(원본명단!$K2861="",TRUE(),COUNTIF(원본명단!$K$3:$K2861,원본명단!$K2861)=1)),"첫 건","중복 건")))</f>
        <v/>
      </c>
      <c r="J2862" s="11" t="str">
        <f aca="false">IF($A2862="","",IF($H2862="-","유지",IF($I2862="첫 건","유지","확인 필요")))</f>
        <v/>
      </c>
    </row>
    <row r="2863" customFormat="false" ht="15" hidden="false" customHeight="true" outlineLevel="0" collapsed="false">
      <c r="A2863" s="11" t="str">
        <f aca="false">IF(원본명단!$A2862="","",2860)</f>
        <v/>
      </c>
      <c r="B2863" s="12" t="str">
        <f aca="false">IF($A2863="","",원본명단!$A2862)</f>
        <v/>
      </c>
      <c r="C2863" s="12" t="str">
        <f aca="false">IF($A2863="","",원본명단!$B2862)</f>
        <v/>
      </c>
      <c r="D2863" s="12" t="str">
        <f aca="false">IF($A2863="","",원본명단!$D2862)</f>
        <v/>
      </c>
      <c r="E2863" s="11" t="str">
        <f aca="false">IF($A2863="","",IF(원본명단!$H2862="",0,COUNTIF(원본명단!$H$3:$H$6002,원본명단!$H2862)))</f>
        <v/>
      </c>
      <c r="F2863" s="11" t="str">
        <f aca="false">IF($A2863="","",IF(원본명단!$I2862="",0,COUNTIF(원본명단!$I$3:$I$6002,원본명단!$I2862)))</f>
        <v/>
      </c>
      <c r="G2863" s="11" t="str">
        <f aca="false">IF($A2863="","",IF(원본명단!$K2862="",0,COUNTIF(원본명단!$K$3:$K$6002,원본명단!$K2862)))</f>
        <v/>
      </c>
      <c r="H2863" s="11" t="str">
        <f aca="false">IF($A2863="","",IF(MAX($E2863,$F2863,$G2863)&gt;1,"중복","-"))</f>
        <v/>
      </c>
      <c r="I2863" s="11" t="str">
        <f aca="false">IF($A2863="","",IF($H2863="-","-",IF(AND(IF(원본명단!$H2862="",TRUE(),COUNTIF(원본명단!$H$3:$H2862,원본명단!$H2862)=1),IF(원본명단!$I2862="",TRUE(),COUNTIF(원본명단!$I$3:$I2862,원본명단!$I2862)=1),IF(원본명단!$K2862="",TRUE(),COUNTIF(원본명단!$K$3:$K2862,원본명단!$K2862)=1)),"첫 건","중복 건")))</f>
        <v/>
      </c>
      <c r="J2863" s="11" t="str">
        <f aca="false">IF($A2863="","",IF($H2863="-","유지",IF($I2863="첫 건","유지","확인 필요")))</f>
        <v/>
      </c>
    </row>
    <row r="2864" customFormat="false" ht="15" hidden="false" customHeight="true" outlineLevel="0" collapsed="false">
      <c r="A2864" s="11" t="str">
        <f aca="false">IF(원본명단!$A2863="","",2861)</f>
        <v/>
      </c>
      <c r="B2864" s="12" t="str">
        <f aca="false">IF($A2864="","",원본명단!$A2863)</f>
        <v/>
      </c>
      <c r="C2864" s="12" t="str">
        <f aca="false">IF($A2864="","",원본명단!$B2863)</f>
        <v/>
      </c>
      <c r="D2864" s="12" t="str">
        <f aca="false">IF($A2864="","",원본명단!$D2863)</f>
        <v/>
      </c>
      <c r="E2864" s="11" t="str">
        <f aca="false">IF($A2864="","",IF(원본명단!$H2863="",0,COUNTIF(원본명단!$H$3:$H$6002,원본명단!$H2863)))</f>
        <v/>
      </c>
      <c r="F2864" s="11" t="str">
        <f aca="false">IF($A2864="","",IF(원본명단!$I2863="",0,COUNTIF(원본명단!$I$3:$I$6002,원본명단!$I2863)))</f>
        <v/>
      </c>
      <c r="G2864" s="11" t="str">
        <f aca="false">IF($A2864="","",IF(원본명단!$K2863="",0,COUNTIF(원본명단!$K$3:$K$6002,원본명단!$K2863)))</f>
        <v/>
      </c>
      <c r="H2864" s="11" t="str">
        <f aca="false">IF($A2864="","",IF(MAX($E2864,$F2864,$G2864)&gt;1,"중복","-"))</f>
        <v/>
      </c>
      <c r="I2864" s="11" t="str">
        <f aca="false">IF($A2864="","",IF($H2864="-","-",IF(AND(IF(원본명단!$H2863="",TRUE(),COUNTIF(원본명단!$H$3:$H2863,원본명단!$H2863)=1),IF(원본명단!$I2863="",TRUE(),COUNTIF(원본명단!$I$3:$I2863,원본명단!$I2863)=1),IF(원본명단!$K2863="",TRUE(),COUNTIF(원본명단!$K$3:$K2863,원본명단!$K2863)=1)),"첫 건","중복 건")))</f>
        <v/>
      </c>
      <c r="J2864" s="11" t="str">
        <f aca="false">IF($A2864="","",IF($H2864="-","유지",IF($I2864="첫 건","유지","확인 필요")))</f>
        <v/>
      </c>
    </row>
    <row r="2865" customFormat="false" ht="15" hidden="false" customHeight="true" outlineLevel="0" collapsed="false">
      <c r="A2865" s="11" t="str">
        <f aca="false">IF(원본명단!$A2864="","",2862)</f>
        <v/>
      </c>
      <c r="B2865" s="12" t="str">
        <f aca="false">IF($A2865="","",원본명단!$A2864)</f>
        <v/>
      </c>
      <c r="C2865" s="12" t="str">
        <f aca="false">IF($A2865="","",원본명단!$B2864)</f>
        <v/>
      </c>
      <c r="D2865" s="12" t="str">
        <f aca="false">IF($A2865="","",원본명단!$D2864)</f>
        <v/>
      </c>
      <c r="E2865" s="11" t="str">
        <f aca="false">IF($A2865="","",IF(원본명단!$H2864="",0,COUNTIF(원본명단!$H$3:$H$6002,원본명단!$H2864)))</f>
        <v/>
      </c>
      <c r="F2865" s="11" t="str">
        <f aca="false">IF($A2865="","",IF(원본명단!$I2864="",0,COUNTIF(원본명단!$I$3:$I$6002,원본명단!$I2864)))</f>
        <v/>
      </c>
      <c r="G2865" s="11" t="str">
        <f aca="false">IF($A2865="","",IF(원본명단!$K2864="",0,COUNTIF(원본명단!$K$3:$K$6002,원본명단!$K2864)))</f>
        <v/>
      </c>
      <c r="H2865" s="11" t="str">
        <f aca="false">IF($A2865="","",IF(MAX($E2865,$F2865,$G2865)&gt;1,"중복","-"))</f>
        <v/>
      </c>
      <c r="I2865" s="11" t="str">
        <f aca="false">IF($A2865="","",IF($H2865="-","-",IF(AND(IF(원본명단!$H2864="",TRUE(),COUNTIF(원본명단!$H$3:$H2864,원본명단!$H2864)=1),IF(원본명단!$I2864="",TRUE(),COUNTIF(원본명단!$I$3:$I2864,원본명단!$I2864)=1),IF(원본명단!$K2864="",TRUE(),COUNTIF(원본명단!$K$3:$K2864,원본명단!$K2864)=1)),"첫 건","중복 건")))</f>
        <v/>
      </c>
      <c r="J2865" s="11" t="str">
        <f aca="false">IF($A2865="","",IF($H2865="-","유지",IF($I2865="첫 건","유지","확인 필요")))</f>
        <v/>
      </c>
    </row>
    <row r="2866" customFormat="false" ht="15" hidden="false" customHeight="true" outlineLevel="0" collapsed="false">
      <c r="A2866" s="11" t="str">
        <f aca="false">IF(원본명단!$A2865="","",2863)</f>
        <v/>
      </c>
      <c r="B2866" s="12" t="str">
        <f aca="false">IF($A2866="","",원본명단!$A2865)</f>
        <v/>
      </c>
      <c r="C2866" s="12" t="str">
        <f aca="false">IF($A2866="","",원본명단!$B2865)</f>
        <v/>
      </c>
      <c r="D2866" s="12" t="str">
        <f aca="false">IF($A2866="","",원본명단!$D2865)</f>
        <v/>
      </c>
      <c r="E2866" s="11" t="str">
        <f aca="false">IF($A2866="","",IF(원본명단!$H2865="",0,COUNTIF(원본명단!$H$3:$H$6002,원본명단!$H2865)))</f>
        <v/>
      </c>
      <c r="F2866" s="11" t="str">
        <f aca="false">IF($A2866="","",IF(원본명단!$I2865="",0,COUNTIF(원본명단!$I$3:$I$6002,원본명단!$I2865)))</f>
        <v/>
      </c>
      <c r="G2866" s="11" t="str">
        <f aca="false">IF($A2866="","",IF(원본명단!$K2865="",0,COUNTIF(원본명단!$K$3:$K$6002,원본명단!$K2865)))</f>
        <v/>
      </c>
      <c r="H2866" s="11" t="str">
        <f aca="false">IF($A2866="","",IF(MAX($E2866,$F2866,$G2866)&gt;1,"중복","-"))</f>
        <v/>
      </c>
      <c r="I2866" s="11" t="str">
        <f aca="false">IF($A2866="","",IF($H2866="-","-",IF(AND(IF(원본명단!$H2865="",TRUE(),COUNTIF(원본명단!$H$3:$H2865,원본명단!$H2865)=1),IF(원본명단!$I2865="",TRUE(),COUNTIF(원본명단!$I$3:$I2865,원본명단!$I2865)=1),IF(원본명단!$K2865="",TRUE(),COUNTIF(원본명단!$K$3:$K2865,원본명단!$K2865)=1)),"첫 건","중복 건")))</f>
        <v/>
      </c>
      <c r="J2866" s="11" t="str">
        <f aca="false">IF($A2866="","",IF($H2866="-","유지",IF($I2866="첫 건","유지","확인 필요")))</f>
        <v/>
      </c>
    </row>
    <row r="2867" customFormat="false" ht="15" hidden="false" customHeight="true" outlineLevel="0" collapsed="false">
      <c r="A2867" s="11" t="str">
        <f aca="false">IF(원본명단!$A2866="","",2864)</f>
        <v/>
      </c>
      <c r="B2867" s="12" t="str">
        <f aca="false">IF($A2867="","",원본명단!$A2866)</f>
        <v/>
      </c>
      <c r="C2867" s="12" t="str">
        <f aca="false">IF($A2867="","",원본명단!$B2866)</f>
        <v/>
      </c>
      <c r="D2867" s="12" t="str">
        <f aca="false">IF($A2867="","",원본명단!$D2866)</f>
        <v/>
      </c>
      <c r="E2867" s="11" t="str">
        <f aca="false">IF($A2867="","",IF(원본명단!$H2866="",0,COUNTIF(원본명단!$H$3:$H$6002,원본명단!$H2866)))</f>
        <v/>
      </c>
      <c r="F2867" s="11" t="str">
        <f aca="false">IF($A2867="","",IF(원본명단!$I2866="",0,COUNTIF(원본명단!$I$3:$I$6002,원본명단!$I2866)))</f>
        <v/>
      </c>
      <c r="G2867" s="11" t="str">
        <f aca="false">IF($A2867="","",IF(원본명단!$K2866="",0,COUNTIF(원본명단!$K$3:$K$6002,원본명단!$K2866)))</f>
        <v/>
      </c>
      <c r="H2867" s="11" t="str">
        <f aca="false">IF($A2867="","",IF(MAX($E2867,$F2867,$G2867)&gt;1,"중복","-"))</f>
        <v/>
      </c>
      <c r="I2867" s="11" t="str">
        <f aca="false">IF($A2867="","",IF($H2867="-","-",IF(AND(IF(원본명단!$H2866="",TRUE(),COUNTIF(원본명단!$H$3:$H2866,원본명단!$H2866)=1),IF(원본명단!$I2866="",TRUE(),COUNTIF(원본명단!$I$3:$I2866,원본명단!$I2866)=1),IF(원본명단!$K2866="",TRUE(),COUNTIF(원본명단!$K$3:$K2866,원본명단!$K2866)=1)),"첫 건","중복 건")))</f>
        <v/>
      </c>
      <c r="J2867" s="11" t="str">
        <f aca="false">IF($A2867="","",IF($H2867="-","유지",IF($I2867="첫 건","유지","확인 필요")))</f>
        <v/>
      </c>
    </row>
    <row r="2868" customFormat="false" ht="15" hidden="false" customHeight="true" outlineLevel="0" collapsed="false">
      <c r="A2868" s="11" t="str">
        <f aca="false">IF(원본명단!$A2867="","",2865)</f>
        <v/>
      </c>
      <c r="B2868" s="12" t="str">
        <f aca="false">IF($A2868="","",원본명단!$A2867)</f>
        <v/>
      </c>
      <c r="C2868" s="12" t="str">
        <f aca="false">IF($A2868="","",원본명단!$B2867)</f>
        <v/>
      </c>
      <c r="D2868" s="12" t="str">
        <f aca="false">IF($A2868="","",원본명단!$D2867)</f>
        <v/>
      </c>
      <c r="E2868" s="11" t="str">
        <f aca="false">IF($A2868="","",IF(원본명단!$H2867="",0,COUNTIF(원본명단!$H$3:$H$6002,원본명단!$H2867)))</f>
        <v/>
      </c>
      <c r="F2868" s="11" t="str">
        <f aca="false">IF($A2868="","",IF(원본명단!$I2867="",0,COUNTIF(원본명단!$I$3:$I$6002,원본명단!$I2867)))</f>
        <v/>
      </c>
      <c r="G2868" s="11" t="str">
        <f aca="false">IF($A2868="","",IF(원본명단!$K2867="",0,COUNTIF(원본명단!$K$3:$K$6002,원본명단!$K2867)))</f>
        <v/>
      </c>
      <c r="H2868" s="11" t="str">
        <f aca="false">IF($A2868="","",IF(MAX($E2868,$F2868,$G2868)&gt;1,"중복","-"))</f>
        <v/>
      </c>
      <c r="I2868" s="11" t="str">
        <f aca="false">IF($A2868="","",IF($H2868="-","-",IF(AND(IF(원본명단!$H2867="",TRUE(),COUNTIF(원본명단!$H$3:$H2867,원본명단!$H2867)=1),IF(원본명단!$I2867="",TRUE(),COUNTIF(원본명단!$I$3:$I2867,원본명단!$I2867)=1),IF(원본명단!$K2867="",TRUE(),COUNTIF(원본명단!$K$3:$K2867,원본명단!$K2867)=1)),"첫 건","중복 건")))</f>
        <v/>
      </c>
      <c r="J2868" s="11" t="str">
        <f aca="false">IF($A2868="","",IF($H2868="-","유지",IF($I2868="첫 건","유지","확인 필요")))</f>
        <v/>
      </c>
    </row>
    <row r="2869" customFormat="false" ht="15" hidden="false" customHeight="true" outlineLevel="0" collapsed="false">
      <c r="A2869" s="11" t="str">
        <f aca="false">IF(원본명단!$A2868="","",2866)</f>
        <v/>
      </c>
      <c r="B2869" s="12" t="str">
        <f aca="false">IF($A2869="","",원본명단!$A2868)</f>
        <v/>
      </c>
      <c r="C2869" s="12" t="str">
        <f aca="false">IF($A2869="","",원본명단!$B2868)</f>
        <v/>
      </c>
      <c r="D2869" s="12" t="str">
        <f aca="false">IF($A2869="","",원본명단!$D2868)</f>
        <v/>
      </c>
      <c r="E2869" s="11" t="str">
        <f aca="false">IF($A2869="","",IF(원본명단!$H2868="",0,COUNTIF(원본명단!$H$3:$H$6002,원본명단!$H2868)))</f>
        <v/>
      </c>
      <c r="F2869" s="11" t="str">
        <f aca="false">IF($A2869="","",IF(원본명단!$I2868="",0,COUNTIF(원본명단!$I$3:$I$6002,원본명단!$I2868)))</f>
        <v/>
      </c>
      <c r="G2869" s="11" t="str">
        <f aca="false">IF($A2869="","",IF(원본명단!$K2868="",0,COUNTIF(원본명단!$K$3:$K$6002,원본명단!$K2868)))</f>
        <v/>
      </c>
      <c r="H2869" s="11" t="str">
        <f aca="false">IF($A2869="","",IF(MAX($E2869,$F2869,$G2869)&gt;1,"중복","-"))</f>
        <v/>
      </c>
      <c r="I2869" s="11" t="str">
        <f aca="false">IF($A2869="","",IF($H2869="-","-",IF(AND(IF(원본명단!$H2868="",TRUE(),COUNTIF(원본명단!$H$3:$H2868,원본명단!$H2868)=1),IF(원본명단!$I2868="",TRUE(),COUNTIF(원본명단!$I$3:$I2868,원본명단!$I2868)=1),IF(원본명단!$K2868="",TRUE(),COUNTIF(원본명단!$K$3:$K2868,원본명단!$K2868)=1)),"첫 건","중복 건")))</f>
        <v/>
      </c>
      <c r="J2869" s="11" t="str">
        <f aca="false">IF($A2869="","",IF($H2869="-","유지",IF($I2869="첫 건","유지","확인 필요")))</f>
        <v/>
      </c>
    </row>
    <row r="2870" customFormat="false" ht="15" hidden="false" customHeight="true" outlineLevel="0" collapsed="false">
      <c r="A2870" s="11" t="str">
        <f aca="false">IF(원본명단!$A2869="","",2867)</f>
        <v/>
      </c>
      <c r="B2870" s="12" t="str">
        <f aca="false">IF($A2870="","",원본명단!$A2869)</f>
        <v/>
      </c>
      <c r="C2870" s="12" t="str">
        <f aca="false">IF($A2870="","",원본명단!$B2869)</f>
        <v/>
      </c>
      <c r="D2870" s="12" t="str">
        <f aca="false">IF($A2870="","",원본명단!$D2869)</f>
        <v/>
      </c>
      <c r="E2870" s="11" t="str">
        <f aca="false">IF($A2870="","",IF(원본명단!$H2869="",0,COUNTIF(원본명단!$H$3:$H$6002,원본명단!$H2869)))</f>
        <v/>
      </c>
      <c r="F2870" s="11" t="str">
        <f aca="false">IF($A2870="","",IF(원본명단!$I2869="",0,COUNTIF(원본명단!$I$3:$I$6002,원본명단!$I2869)))</f>
        <v/>
      </c>
      <c r="G2870" s="11" t="str">
        <f aca="false">IF($A2870="","",IF(원본명단!$K2869="",0,COUNTIF(원본명단!$K$3:$K$6002,원본명단!$K2869)))</f>
        <v/>
      </c>
      <c r="H2870" s="11" t="str">
        <f aca="false">IF($A2870="","",IF(MAX($E2870,$F2870,$G2870)&gt;1,"중복","-"))</f>
        <v/>
      </c>
      <c r="I2870" s="11" t="str">
        <f aca="false">IF($A2870="","",IF($H2870="-","-",IF(AND(IF(원본명단!$H2869="",TRUE(),COUNTIF(원본명단!$H$3:$H2869,원본명단!$H2869)=1),IF(원본명단!$I2869="",TRUE(),COUNTIF(원본명단!$I$3:$I2869,원본명단!$I2869)=1),IF(원본명단!$K2869="",TRUE(),COUNTIF(원본명단!$K$3:$K2869,원본명단!$K2869)=1)),"첫 건","중복 건")))</f>
        <v/>
      </c>
      <c r="J2870" s="11" t="str">
        <f aca="false">IF($A2870="","",IF($H2870="-","유지",IF($I2870="첫 건","유지","확인 필요")))</f>
        <v/>
      </c>
    </row>
    <row r="2871" customFormat="false" ht="15" hidden="false" customHeight="true" outlineLevel="0" collapsed="false">
      <c r="A2871" s="11" t="str">
        <f aca="false">IF(원본명단!$A2870="","",2868)</f>
        <v/>
      </c>
      <c r="B2871" s="12" t="str">
        <f aca="false">IF($A2871="","",원본명단!$A2870)</f>
        <v/>
      </c>
      <c r="C2871" s="12" t="str">
        <f aca="false">IF($A2871="","",원본명단!$B2870)</f>
        <v/>
      </c>
      <c r="D2871" s="12" t="str">
        <f aca="false">IF($A2871="","",원본명단!$D2870)</f>
        <v/>
      </c>
      <c r="E2871" s="11" t="str">
        <f aca="false">IF($A2871="","",IF(원본명단!$H2870="",0,COUNTIF(원본명단!$H$3:$H$6002,원본명단!$H2870)))</f>
        <v/>
      </c>
      <c r="F2871" s="11" t="str">
        <f aca="false">IF($A2871="","",IF(원본명단!$I2870="",0,COUNTIF(원본명단!$I$3:$I$6002,원본명단!$I2870)))</f>
        <v/>
      </c>
      <c r="G2871" s="11" t="str">
        <f aca="false">IF($A2871="","",IF(원본명단!$K2870="",0,COUNTIF(원본명단!$K$3:$K$6002,원본명단!$K2870)))</f>
        <v/>
      </c>
      <c r="H2871" s="11" t="str">
        <f aca="false">IF($A2871="","",IF(MAX($E2871,$F2871,$G2871)&gt;1,"중복","-"))</f>
        <v/>
      </c>
      <c r="I2871" s="11" t="str">
        <f aca="false">IF($A2871="","",IF($H2871="-","-",IF(AND(IF(원본명단!$H2870="",TRUE(),COUNTIF(원본명단!$H$3:$H2870,원본명단!$H2870)=1),IF(원본명단!$I2870="",TRUE(),COUNTIF(원본명단!$I$3:$I2870,원본명단!$I2870)=1),IF(원본명단!$K2870="",TRUE(),COUNTIF(원본명단!$K$3:$K2870,원본명단!$K2870)=1)),"첫 건","중복 건")))</f>
        <v/>
      </c>
      <c r="J2871" s="11" t="str">
        <f aca="false">IF($A2871="","",IF($H2871="-","유지",IF($I2871="첫 건","유지","확인 필요")))</f>
        <v/>
      </c>
    </row>
    <row r="2872" customFormat="false" ht="15" hidden="false" customHeight="true" outlineLevel="0" collapsed="false">
      <c r="A2872" s="11" t="str">
        <f aca="false">IF(원본명단!$A2871="","",2869)</f>
        <v/>
      </c>
      <c r="B2872" s="12" t="str">
        <f aca="false">IF($A2872="","",원본명단!$A2871)</f>
        <v/>
      </c>
      <c r="C2872" s="12" t="str">
        <f aca="false">IF($A2872="","",원본명단!$B2871)</f>
        <v/>
      </c>
      <c r="D2872" s="12" t="str">
        <f aca="false">IF($A2872="","",원본명단!$D2871)</f>
        <v/>
      </c>
      <c r="E2872" s="11" t="str">
        <f aca="false">IF($A2872="","",IF(원본명단!$H2871="",0,COUNTIF(원본명단!$H$3:$H$6002,원본명단!$H2871)))</f>
        <v/>
      </c>
      <c r="F2872" s="11" t="str">
        <f aca="false">IF($A2872="","",IF(원본명단!$I2871="",0,COUNTIF(원본명단!$I$3:$I$6002,원본명단!$I2871)))</f>
        <v/>
      </c>
      <c r="G2872" s="11" t="str">
        <f aca="false">IF($A2872="","",IF(원본명단!$K2871="",0,COUNTIF(원본명단!$K$3:$K$6002,원본명단!$K2871)))</f>
        <v/>
      </c>
      <c r="H2872" s="11" t="str">
        <f aca="false">IF($A2872="","",IF(MAX($E2872,$F2872,$G2872)&gt;1,"중복","-"))</f>
        <v/>
      </c>
      <c r="I2872" s="11" t="str">
        <f aca="false">IF($A2872="","",IF($H2872="-","-",IF(AND(IF(원본명단!$H2871="",TRUE(),COUNTIF(원본명단!$H$3:$H2871,원본명단!$H2871)=1),IF(원본명단!$I2871="",TRUE(),COUNTIF(원본명단!$I$3:$I2871,원본명단!$I2871)=1),IF(원본명단!$K2871="",TRUE(),COUNTIF(원본명단!$K$3:$K2871,원본명단!$K2871)=1)),"첫 건","중복 건")))</f>
        <v/>
      </c>
      <c r="J2872" s="11" t="str">
        <f aca="false">IF($A2872="","",IF($H2872="-","유지",IF($I2872="첫 건","유지","확인 필요")))</f>
        <v/>
      </c>
    </row>
    <row r="2873" customFormat="false" ht="15" hidden="false" customHeight="true" outlineLevel="0" collapsed="false">
      <c r="A2873" s="11" t="str">
        <f aca="false">IF(원본명단!$A2872="","",2870)</f>
        <v/>
      </c>
      <c r="B2873" s="12" t="str">
        <f aca="false">IF($A2873="","",원본명단!$A2872)</f>
        <v/>
      </c>
      <c r="C2873" s="12" t="str">
        <f aca="false">IF($A2873="","",원본명단!$B2872)</f>
        <v/>
      </c>
      <c r="D2873" s="12" t="str">
        <f aca="false">IF($A2873="","",원본명단!$D2872)</f>
        <v/>
      </c>
      <c r="E2873" s="11" t="str">
        <f aca="false">IF($A2873="","",IF(원본명단!$H2872="",0,COUNTIF(원본명단!$H$3:$H$6002,원본명단!$H2872)))</f>
        <v/>
      </c>
      <c r="F2873" s="11" t="str">
        <f aca="false">IF($A2873="","",IF(원본명단!$I2872="",0,COUNTIF(원본명단!$I$3:$I$6002,원본명단!$I2872)))</f>
        <v/>
      </c>
      <c r="G2873" s="11" t="str">
        <f aca="false">IF($A2873="","",IF(원본명단!$K2872="",0,COUNTIF(원본명단!$K$3:$K$6002,원본명단!$K2872)))</f>
        <v/>
      </c>
      <c r="H2873" s="11" t="str">
        <f aca="false">IF($A2873="","",IF(MAX($E2873,$F2873,$G2873)&gt;1,"중복","-"))</f>
        <v/>
      </c>
      <c r="I2873" s="11" t="str">
        <f aca="false">IF($A2873="","",IF($H2873="-","-",IF(AND(IF(원본명단!$H2872="",TRUE(),COUNTIF(원본명단!$H$3:$H2872,원본명단!$H2872)=1),IF(원본명단!$I2872="",TRUE(),COUNTIF(원본명단!$I$3:$I2872,원본명단!$I2872)=1),IF(원본명단!$K2872="",TRUE(),COUNTIF(원본명단!$K$3:$K2872,원본명단!$K2872)=1)),"첫 건","중복 건")))</f>
        <v/>
      </c>
      <c r="J2873" s="11" t="str">
        <f aca="false">IF($A2873="","",IF($H2873="-","유지",IF($I2873="첫 건","유지","확인 필요")))</f>
        <v/>
      </c>
    </row>
    <row r="2874" customFormat="false" ht="15" hidden="false" customHeight="true" outlineLevel="0" collapsed="false">
      <c r="A2874" s="11" t="str">
        <f aca="false">IF(원본명단!$A2873="","",2871)</f>
        <v/>
      </c>
      <c r="B2874" s="12" t="str">
        <f aca="false">IF($A2874="","",원본명단!$A2873)</f>
        <v/>
      </c>
      <c r="C2874" s="12" t="str">
        <f aca="false">IF($A2874="","",원본명단!$B2873)</f>
        <v/>
      </c>
      <c r="D2874" s="12" t="str">
        <f aca="false">IF($A2874="","",원본명단!$D2873)</f>
        <v/>
      </c>
      <c r="E2874" s="11" t="str">
        <f aca="false">IF($A2874="","",IF(원본명단!$H2873="",0,COUNTIF(원본명단!$H$3:$H$6002,원본명단!$H2873)))</f>
        <v/>
      </c>
      <c r="F2874" s="11" t="str">
        <f aca="false">IF($A2874="","",IF(원본명단!$I2873="",0,COUNTIF(원본명단!$I$3:$I$6002,원본명단!$I2873)))</f>
        <v/>
      </c>
      <c r="G2874" s="11" t="str">
        <f aca="false">IF($A2874="","",IF(원본명단!$K2873="",0,COUNTIF(원본명단!$K$3:$K$6002,원본명단!$K2873)))</f>
        <v/>
      </c>
      <c r="H2874" s="11" t="str">
        <f aca="false">IF($A2874="","",IF(MAX($E2874,$F2874,$G2874)&gt;1,"중복","-"))</f>
        <v/>
      </c>
      <c r="I2874" s="11" t="str">
        <f aca="false">IF($A2874="","",IF($H2874="-","-",IF(AND(IF(원본명단!$H2873="",TRUE(),COUNTIF(원본명단!$H$3:$H2873,원본명단!$H2873)=1),IF(원본명단!$I2873="",TRUE(),COUNTIF(원본명단!$I$3:$I2873,원본명단!$I2873)=1),IF(원본명단!$K2873="",TRUE(),COUNTIF(원본명단!$K$3:$K2873,원본명단!$K2873)=1)),"첫 건","중복 건")))</f>
        <v/>
      </c>
      <c r="J2874" s="11" t="str">
        <f aca="false">IF($A2874="","",IF($H2874="-","유지",IF($I2874="첫 건","유지","확인 필요")))</f>
        <v/>
      </c>
    </row>
    <row r="2875" customFormat="false" ht="15" hidden="false" customHeight="true" outlineLevel="0" collapsed="false">
      <c r="A2875" s="11" t="str">
        <f aca="false">IF(원본명단!$A2874="","",2872)</f>
        <v/>
      </c>
      <c r="B2875" s="12" t="str">
        <f aca="false">IF($A2875="","",원본명단!$A2874)</f>
        <v/>
      </c>
      <c r="C2875" s="12" t="str">
        <f aca="false">IF($A2875="","",원본명단!$B2874)</f>
        <v/>
      </c>
      <c r="D2875" s="12" t="str">
        <f aca="false">IF($A2875="","",원본명단!$D2874)</f>
        <v/>
      </c>
      <c r="E2875" s="11" t="str">
        <f aca="false">IF($A2875="","",IF(원본명단!$H2874="",0,COUNTIF(원본명단!$H$3:$H$6002,원본명단!$H2874)))</f>
        <v/>
      </c>
      <c r="F2875" s="11" t="str">
        <f aca="false">IF($A2875="","",IF(원본명단!$I2874="",0,COUNTIF(원본명단!$I$3:$I$6002,원본명단!$I2874)))</f>
        <v/>
      </c>
      <c r="G2875" s="11" t="str">
        <f aca="false">IF($A2875="","",IF(원본명단!$K2874="",0,COUNTIF(원본명단!$K$3:$K$6002,원본명단!$K2874)))</f>
        <v/>
      </c>
      <c r="H2875" s="11" t="str">
        <f aca="false">IF($A2875="","",IF(MAX($E2875,$F2875,$G2875)&gt;1,"중복","-"))</f>
        <v/>
      </c>
      <c r="I2875" s="11" t="str">
        <f aca="false">IF($A2875="","",IF($H2875="-","-",IF(AND(IF(원본명단!$H2874="",TRUE(),COUNTIF(원본명단!$H$3:$H2874,원본명단!$H2874)=1),IF(원본명단!$I2874="",TRUE(),COUNTIF(원본명단!$I$3:$I2874,원본명단!$I2874)=1),IF(원본명단!$K2874="",TRUE(),COUNTIF(원본명단!$K$3:$K2874,원본명단!$K2874)=1)),"첫 건","중복 건")))</f>
        <v/>
      </c>
      <c r="J2875" s="11" t="str">
        <f aca="false">IF($A2875="","",IF($H2875="-","유지",IF($I2875="첫 건","유지","확인 필요")))</f>
        <v/>
      </c>
    </row>
    <row r="2876" customFormat="false" ht="15" hidden="false" customHeight="true" outlineLevel="0" collapsed="false">
      <c r="A2876" s="11" t="str">
        <f aca="false">IF(원본명단!$A2875="","",2873)</f>
        <v/>
      </c>
      <c r="B2876" s="12" t="str">
        <f aca="false">IF($A2876="","",원본명단!$A2875)</f>
        <v/>
      </c>
      <c r="C2876" s="12" t="str">
        <f aca="false">IF($A2876="","",원본명단!$B2875)</f>
        <v/>
      </c>
      <c r="D2876" s="12" t="str">
        <f aca="false">IF($A2876="","",원본명단!$D2875)</f>
        <v/>
      </c>
      <c r="E2876" s="11" t="str">
        <f aca="false">IF($A2876="","",IF(원본명단!$H2875="",0,COUNTIF(원본명단!$H$3:$H$6002,원본명단!$H2875)))</f>
        <v/>
      </c>
      <c r="F2876" s="11" t="str">
        <f aca="false">IF($A2876="","",IF(원본명단!$I2875="",0,COUNTIF(원본명단!$I$3:$I$6002,원본명단!$I2875)))</f>
        <v/>
      </c>
      <c r="G2876" s="11" t="str">
        <f aca="false">IF($A2876="","",IF(원본명단!$K2875="",0,COUNTIF(원본명단!$K$3:$K$6002,원본명단!$K2875)))</f>
        <v/>
      </c>
      <c r="H2876" s="11" t="str">
        <f aca="false">IF($A2876="","",IF(MAX($E2876,$F2876,$G2876)&gt;1,"중복","-"))</f>
        <v/>
      </c>
      <c r="I2876" s="11" t="str">
        <f aca="false">IF($A2876="","",IF($H2876="-","-",IF(AND(IF(원본명단!$H2875="",TRUE(),COUNTIF(원본명단!$H$3:$H2875,원본명단!$H2875)=1),IF(원본명단!$I2875="",TRUE(),COUNTIF(원본명단!$I$3:$I2875,원본명단!$I2875)=1),IF(원본명단!$K2875="",TRUE(),COUNTIF(원본명단!$K$3:$K2875,원본명단!$K2875)=1)),"첫 건","중복 건")))</f>
        <v/>
      </c>
      <c r="J2876" s="11" t="str">
        <f aca="false">IF($A2876="","",IF($H2876="-","유지",IF($I2876="첫 건","유지","확인 필요")))</f>
        <v/>
      </c>
    </row>
    <row r="2877" customFormat="false" ht="15" hidden="false" customHeight="true" outlineLevel="0" collapsed="false">
      <c r="A2877" s="11" t="str">
        <f aca="false">IF(원본명단!$A2876="","",2874)</f>
        <v/>
      </c>
      <c r="B2877" s="12" t="str">
        <f aca="false">IF($A2877="","",원본명단!$A2876)</f>
        <v/>
      </c>
      <c r="C2877" s="12" t="str">
        <f aca="false">IF($A2877="","",원본명단!$B2876)</f>
        <v/>
      </c>
      <c r="D2877" s="12" t="str">
        <f aca="false">IF($A2877="","",원본명단!$D2876)</f>
        <v/>
      </c>
      <c r="E2877" s="11" t="str">
        <f aca="false">IF($A2877="","",IF(원본명단!$H2876="",0,COUNTIF(원본명단!$H$3:$H$6002,원본명단!$H2876)))</f>
        <v/>
      </c>
      <c r="F2877" s="11" t="str">
        <f aca="false">IF($A2877="","",IF(원본명단!$I2876="",0,COUNTIF(원본명단!$I$3:$I$6002,원본명단!$I2876)))</f>
        <v/>
      </c>
      <c r="G2877" s="11" t="str">
        <f aca="false">IF($A2877="","",IF(원본명단!$K2876="",0,COUNTIF(원본명단!$K$3:$K$6002,원본명단!$K2876)))</f>
        <v/>
      </c>
      <c r="H2877" s="11" t="str">
        <f aca="false">IF($A2877="","",IF(MAX($E2877,$F2877,$G2877)&gt;1,"중복","-"))</f>
        <v/>
      </c>
      <c r="I2877" s="11" t="str">
        <f aca="false">IF($A2877="","",IF($H2877="-","-",IF(AND(IF(원본명단!$H2876="",TRUE(),COUNTIF(원본명단!$H$3:$H2876,원본명단!$H2876)=1),IF(원본명단!$I2876="",TRUE(),COUNTIF(원본명단!$I$3:$I2876,원본명단!$I2876)=1),IF(원본명단!$K2876="",TRUE(),COUNTIF(원본명단!$K$3:$K2876,원본명단!$K2876)=1)),"첫 건","중복 건")))</f>
        <v/>
      </c>
      <c r="J2877" s="11" t="str">
        <f aca="false">IF($A2877="","",IF($H2877="-","유지",IF($I2877="첫 건","유지","확인 필요")))</f>
        <v/>
      </c>
    </row>
    <row r="2878" customFormat="false" ht="15" hidden="false" customHeight="true" outlineLevel="0" collapsed="false">
      <c r="A2878" s="11" t="str">
        <f aca="false">IF(원본명단!$A2877="","",2875)</f>
        <v/>
      </c>
      <c r="B2878" s="12" t="str">
        <f aca="false">IF($A2878="","",원본명단!$A2877)</f>
        <v/>
      </c>
      <c r="C2878" s="12" t="str">
        <f aca="false">IF($A2878="","",원본명단!$B2877)</f>
        <v/>
      </c>
      <c r="D2878" s="12" t="str">
        <f aca="false">IF($A2878="","",원본명단!$D2877)</f>
        <v/>
      </c>
      <c r="E2878" s="11" t="str">
        <f aca="false">IF($A2878="","",IF(원본명단!$H2877="",0,COUNTIF(원본명단!$H$3:$H$6002,원본명단!$H2877)))</f>
        <v/>
      </c>
      <c r="F2878" s="11" t="str">
        <f aca="false">IF($A2878="","",IF(원본명단!$I2877="",0,COUNTIF(원본명단!$I$3:$I$6002,원본명단!$I2877)))</f>
        <v/>
      </c>
      <c r="G2878" s="11" t="str">
        <f aca="false">IF($A2878="","",IF(원본명단!$K2877="",0,COUNTIF(원본명단!$K$3:$K$6002,원본명단!$K2877)))</f>
        <v/>
      </c>
      <c r="H2878" s="11" t="str">
        <f aca="false">IF($A2878="","",IF(MAX($E2878,$F2878,$G2878)&gt;1,"중복","-"))</f>
        <v/>
      </c>
      <c r="I2878" s="11" t="str">
        <f aca="false">IF($A2878="","",IF($H2878="-","-",IF(AND(IF(원본명단!$H2877="",TRUE(),COUNTIF(원본명단!$H$3:$H2877,원본명단!$H2877)=1),IF(원본명단!$I2877="",TRUE(),COUNTIF(원본명단!$I$3:$I2877,원본명단!$I2877)=1),IF(원본명단!$K2877="",TRUE(),COUNTIF(원본명단!$K$3:$K2877,원본명단!$K2877)=1)),"첫 건","중복 건")))</f>
        <v/>
      </c>
      <c r="J2878" s="11" t="str">
        <f aca="false">IF($A2878="","",IF($H2878="-","유지",IF($I2878="첫 건","유지","확인 필요")))</f>
        <v/>
      </c>
    </row>
    <row r="2879" customFormat="false" ht="15" hidden="false" customHeight="true" outlineLevel="0" collapsed="false">
      <c r="A2879" s="11" t="str">
        <f aca="false">IF(원본명단!$A2878="","",2876)</f>
        <v/>
      </c>
      <c r="B2879" s="12" t="str">
        <f aca="false">IF($A2879="","",원본명단!$A2878)</f>
        <v/>
      </c>
      <c r="C2879" s="12" t="str">
        <f aca="false">IF($A2879="","",원본명단!$B2878)</f>
        <v/>
      </c>
      <c r="D2879" s="12" t="str">
        <f aca="false">IF($A2879="","",원본명단!$D2878)</f>
        <v/>
      </c>
      <c r="E2879" s="11" t="str">
        <f aca="false">IF($A2879="","",IF(원본명단!$H2878="",0,COUNTIF(원본명단!$H$3:$H$6002,원본명단!$H2878)))</f>
        <v/>
      </c>
      <c r="F2879" s="11" t="str">
        <f aca="false">IF($A2879="","",IF(원본명단!$I2878="",0,COUNTIF(원본명단!$I$3:$I$6002,원본명단!$I2878)))</f>
        <v/>
      </c>
      <c r="G2879" s="11" t="str">
        <f aca="false">IF($A2879="","",IF(원본명단!$K2878="",0,COUNTIF(원본명단!$K$3:$K$6002,원본명단!$K2878)))</f>
        <v/>
      </c>
      <c r="H2879" s="11" t="str">
        <f aca="false">IF($A2879="","",IF(MAX($E2879,$F2879,$G2879)&gt;1,"중복","-"))</f>
        <v/>
      </c>
      <c r="I2879" s="11" t="str">
        <f aca="false">IF($A2879="","",IF($H2879="-","-",IF(AND(IF(원본명단!$H2878="",TRUE(),COUNTIF(원본명단!$H$3:$H2878,원본명단!$H2878)=1),IF(원본명단!$I2878="",TRUE(),COUNTIF(원본명단!$I$3:$I2878,원본명단!$I2878)=1),IF(원본명단!$K2878="",TRUE(),COUNTIF(원본명단!$K$3:$K2878,원본명단!$K2878)=1)),"첫 건","중복 건")))</f>
        <v/>
      </c>
      <c r="J2879" s="11" t="str">
        <f aca="false">IF($A2879="","",IF($H2879="-","유지",IF($I2879="첫 건","유지","확인 필요")))</f>
        <v/>
      </c>
    </row>
    <row r="2880" customFormat="false" ht="15" hidden="false" customHeight="true" outlineLevel="0" collapsed="false">
      <c r="A2880" s="11" t="str">
        <f aca="false">IF(원본명단!$A2879="","",2877)</f>
        <v/>
      </c>
      <c r="B2880" s="12" t="str">
        <f aca="false">IF($A2880="","",원본명단!$A2879)</f>
        <v/>
      </c>
      <c r="C2880" s="12" t="str">
        <f aca="false">IF($A2880="","",원본명단!$B2879)</f>
        <v/>
      </c>
      <c r="D2880" s="12" t="str">
        <f aca="false">IF($A2880="","",원본명단!$D2879)</f>
        <v/>
      </c>
      <c r="E2880" s="11" t="str">
        <f aca="false">IF($A2880="","",IF(원본명단!$H2879="",0,COUNTIF(원본명단!$H$3:$H$6002,원본명단!$H2879)))</f>
        <v/>
      </c>
      <c r="F2880" s="11" t="str">
        <f aca="false">IF($A2880="","",IF(원본명단!$I2879="",0,COUNTIF(원본명단!$I$3:$I$6002,원본명단!$I2879)))</f>
        <v/>
      </c>
      <c r="G2880" s="11" t="str">
        <f aca="false">IF($A2880="","",IF(원본명단!$K2879="",0,COUNTIF(원본명단!$K$3:$K$6002,원본명단!$K2879)))</f>
        <v/>
      </c>
      <c r="H2880" s="11" t="str">
        <f aca="false">IF($A2880="","",IF(MAX($E2880,$F2880,$G2880)&gt;1,"중복","-"))</f>
        <v/>
      </c>
      <c r="I2880" s="11" t="str">
        <f aca="false">IF($A2880="","",IF($H2880="-","-",IF(AND(IF(원본명단!$H2879="",TRUE(),COUNTIF(원본명단!$H$3:$H2879,원본명단!$H2879)=1),IF(원본명단!$I2879="",TRUE(),COUNTIF(원본명단!$I$3:$I2879,원본명단!$I2879)=1),IF(원본명단!$K2879="",TRUE(),COUNTIF(원본명단!$K$3:$K2879,원본명단!$K2879)=1)),"첫 건","중복 건")))</f>
        <v/>
      </c>
      <c r="J2880" s="11" t="str">
        <f aca="false">IF($A2880="","",IF($H2880="-","유지",IF($I2880="첫 건","유지","확인 필요")))</f>
        <v/>
      </c>
    </row>
    <row r="2881" customFormat="false" ht="15" hidden="false" customHeight="true" outlineLevel="0" collapsed="false">
      <c r="A2881" s="11" t="str">
        <f aca="false">IF(원본명단!$A2880="","",2878)</f>
        <v/>
      </c>
      <c r="B2881" s="12" t="str">
        <f aca="false">IF($A2881="","",원본명단!$A2880)</f>
        <v/>
      </c>
      <c r="C2881" s="12" t="str">
        <f aca="false">IF($A2881="","",원본명단!$B2880)</f>
        <v/>
      </c>
      <c r="D2881" s="12" t="str">
        <f aca="false">IF($A2881="","",원본명단!$D2880)</f>
        <v/>
      </c>
      <c r="E2881" s="11" t="str">
        <f aca="false">IF($A2881="","",IF(원본명단!$H2880="",0,COUNTIF(원본명단!$H$3:$H$6002,원본명단!$H2880)))</f>
        <v/>
      </c>
      <c r="F2881" s="11" t="str">
        <f aca="false">IF($A2881="","",IF(원본명단!$I2880="",0,COUNTIF(원본명단!$I$3:$I$6002,원본명단!$I2880)))</f>
        <v/>
      </c>
      <c r="G2881" s="11" t="str">
        <f aca="false">IF($A2881="","",IF(원본명단!$K2880="",0,COUNTIF(원본명단!$K$3:$K$6002,원본명단!$K2880)))</f>
        <v/>
      </c>
      <c r="H2881" s="11" t="str">
        <f aca="false">IF($A2881="","",IF(MAX($E2881,$F2881,$G2881)&gt;1,"중복","-"))</f>
        <v/>
      </c>
      <c r="I2881" s="11" t="str">
        <f aca="false">IF($A2881="","",IF($H2881="-","-",IF(AND(IF(원본명단!$H2880="",TRUE(),COUNTIF(원본명단!$H$3:$H2880,원본명단!$H2880)=1),IF(원본명단!$I2880="",TRUE(),COUNTIF(원본명단!$I$3:$I2880,원본명단!$I2880)=1),IF(원본명단!$K2880="",TRUE(),COUNTIF(원본명단!$K$3:$K2880,원본명단!$K2880)=1)),"첫 건","중복 건")))</f>
        <v/>
      </c>
      <c r="J2881" s="11" t="str">
        <f aca="false">IF($A2881="","",IF($H2881="-","유지",IF($I2881="첫 건","유지","확인 필요")))</f>
        <v/>
      </c>
    </row>
    <row r="2882" customFormat="false" ht="15" hidden="false" customHeight="true" outlineLevel="0" collapsed="false">
      <c r="A2882" s="11" t="str">
        <f aca="false">IF(원본명단!$A2881="","",2879)</f>
        <v/>
      </c>
      <c r="B2882" s="12" t="str">
        <f aca="false">IF($A2882="","",원본명단!$A2881)</f>
        <v/>
      </c>
      <c r="C2882" s="12" t="str">
        <f aca="false">IF($A2882="","",원본명단!$B2881)</f>
        <v/>
      </c>
      <c r="D2882" s="12" t="str">
        <f aca="false">IF($A2882="","",원본명단!$D2881)</f>
        <v/>
      </c>
      <c r="E2882" s="11" t="str">
        <f aca="false">IF($A2882="","",IF(원본명단!$H2881="",0,COUNTIF(원본명단!$H$3:$H$6002,원본명단!$H2881)))</f>
        <v/>
      </c>
      <c r="F2882" s="11" t="str">
        <f aca="false">IF($A2882="","",IF(원본명단!$I2881="",0,COUNTIF(원본명단!$I$3:$I$6002,원본명단!$I2881)))</f>
        <v/>
      </c>
      <c r="G2882" s="11" t="str">
        <f aca="false">IF($A2882="","",IF(원본명단!$K2881="",0,COUNTIF(원본명단!$K$3:$K$6002,원본명단!$K2881)))</f>
        <v/>
      </c>
      <c r="H2882" s="11" t="str">
        <f aca="false">IF($A2882="","",IF(MAX($E2882,$F2882,$G2882)&gt;1,"중복","-"))</f>
        <v/>
      </c>
      <c r="I2882" s="11" t="str">
        <f aca="false">IF($A2882="","",IF($H2882="-","-",IF(AND(IF(원본명단!$H2881="",TRUE(),COUNTIF(원본명단!$H$3:$H2881,원본명단!$H2881)=1),IF(원본명단!$I2881="",TRUE(),COUNTIF(원본명단!$I$3:$I2881,원본명단!$I2881)=1),IF(원본명단!$K2881="",TRUE(),COUNTIF(원본명단!$K$3:$K2881,원본명단!$K2881)=1)),"첫 건","중복 건")))</f>
        <v/>
      </c>
      <c r="J2882" s="11" t="str">
        <f aca="false">IF($A2882="","",IF($H2882="-","유지",IF($I2882="첫 건","유지","확인 필요")))</f>
        <v/>
      </c>
    </row>
    <row r="2883" customFormat="false" ht="15" hidden="false" customHeight="true" outlineLevel="0" collapsed="false">
      <c r="A2883" s="11" t="str">
        <f aca="false">IF(원본명단!$A2882="","",2880)</f>
        <v/>
      </c>
      <c r="B2883" s="12" t="str">
        <f aca="false">IF($A2883="","",원본명단!$A2882)</f>
        <v/>
      </c>
      <c r="C2883" s="12" t="str">
        <f aca="false">IF($A2883="","",원본명단!$B2882)</f>
        <v/>
      </c>
      <c r="D2883" s="12" t="str">
        <f aca="false">IF($A2883="","",원본명단!$D2882)</f>
        <v/>
      </c>
      <c r="E2883" s="11" t="str">
        <f aca="false">IF($A2883="","",IF(원본명단!$H2882="",0,COUNTIF(원본명단!$H$3:$H$6002,원본명단!$H2882)))</f>
        <v/>
      </c>
      <c r="F2883" s="11" t="str">
        <f aca="false">IF($A2883="","",IF(원본명단!$I2882="",0,COUNTIF(원본명단!$I$3:$I$6002,원본명단!$I2882)))</f>
        <v/>
      </c>
      <c r="G2883" s="11" t="str">
        <f aca="false">IF($A2883="","",IF(원본명단!$K2882="",0,COUNTIF(원본명단!$K$3:$K$6002,원본명단!$K2882)))</f>
        <v/>
      </c>
      <c r="H2883" s="11" t="str">
        <f aca="false">IF($A2883="","",IF(MAX($E2883,$F2883,$G2883)&gt;1,"중복","-"))</f>
        <v/>
      </c>
      <c r="I2883" s="11" t="str">
        <f aca="false">IF($A2883="","",IF($H2883="-","-",IF(AND(IF(원본명단!$H2882="",TRUE(),COUNTIF(원본명단!$H$3:$H2882,원본명단!$H2882)=1),IF(원본명단!$I2882="",TRUE(),COUNTIF(원본명단!$I$3:$I2882,원본명단!$I2882)=1),IF(원본명단!$K2882="",TRUE(),COUNTIF(원본명단!$K$3:$K2882,원본명단!$K2882)=1)),"첫 건","중복 건")))</f>
        <v/>
      </c>
      <c r="J2883" s="11" t="str">
        <f aca="false">IF($A2883="","",IF($H2883="-","유지",IF($I2883="첫 건","유지","확인 필요")))</f>
        <v/>
      </c>
    </row>
    <row r="2884" customFormat="false" ht="15" hidden="false" customHeight="true" outlineLevel="0" collapsed="false">
      <c r="A2884" s="11" t="str">
        <f aca="false">IF(원본명단!$A2883="","",2881)</f>
        <v/>
      </c>
      <c r="B2884" s="12" t="str">
        <f aca="false">IF($A2884="","",원본명단!$A2883)</f>
        <v/>
      </c>
      <c r="C2884" s="12" t="str">
        <f aca="false">IF($A2884="","",원본명단!$B2883)</f>
        <v/>
      </c>
      <c r="D2884" s="12" t="str">
        <f aca="false">IF($A2884="","",원본명단!$D2883)</f>
        <v/>
      </c>
      <c r="E2884" s="11" t="str">
        <f aca="false">IF($A2884="","",IF(원본명단!$H2883="",0,COUNTIF(원본명단!$H$3:$H$6002,원본명단!$H2883)))</f>
        <v/>
      </c>
      <c r="F2884" s="11" t="str">
        <f aca="false">IF($A2884="","",IF(원본명단!$I2883="",0,COUNTIF(원본명단!$I$3:$I$6002,원본명단!$I2883)))</f>
        <v/>
      </c>
      <c r="G2884" s="11" t="str">
        <f aca="false">IF($A2884="","",IF(원본명단!$K2883="",0,COUNTIF(원본명단!$K$3:$K$6002,원본명단!$K2883)))</f>
        <v/>
      </c>
      <c r="H2884" s="11" t="str">
        <f aca="false">IF($A2884="","",IF(MAX($E2884,$F2884,$G2884)&gt;1,"중복","-"))</f>
        <v/>
      </c>
      <c r="I2884" s="11" t="str">
        <f aca="false">IF($A2884="","",IF($H2884="-","-",IF(AND(IF(원본명단!$H2883="",TRUE(),COUNTIF(원본명단!$H$3:$H2883,원본명단!$H2883)=1),IF(원본명단!$I2883="",TRUE(),COUNTIF(원본명단!$I$3:$I2883,원본명단!$I2883)=1),IF(원본명단!$K2883="",TRUE(),COUNTIF(원본명단!$K$3:$K2883,원본명단!$K2883)=1)),"첫 건","중복 건")))</f>
        <v/>
      </c>
      <c r="J2884" s="11" t="str">
        <f aca="false">IF($A2884="","",IF($H2884="-","유지",IF($I2884="첫 건","유지","확인 필요")))</f>
        <v/>
      </c>
    </row>
    <row r="2885" customFormat="false" ht="15" hidden="false" customHeight="true" outlineLevel="0" collapsed="false">
      <c r="A2885" s="11" t="str">
        <f aca="false">IF(원본명단!$A2884="","",2882)</f>
        <v/>
      </c>
      <c r="B2885" s="12" t="str">
        <f aca="false">IF($A2885="","",원본명단!$A2884)</f>
        <v/>
      </c>
      <c r="C2885" s="12" t="str">
        <f aca="false">IF($A2885="","",원본명단!$B2884)</f>
        <v/>
      </c>
      <c r="D2885" s="12" t="str">
        <f aca="false">IF($A2885="","",원본명단!$D2884)</f>
        <v/>
      </c>
      <c r="E2885" s="11" t="str">
        <f aca="false">IF($A2885="","",IF(원본명단!$H2884="",0,COUNTIF(원본명단!$H$3:$H$6002,원본명단!$H2884)))</f>
        <v/>
      </c>
      <c r="F2885" s="11" t="str">
        <f aca="false">IF($A2885="","",IF(원본명단!$I2884="",0,COUNTIF(원본명단!$I$3:$I$6002,원본명단!$I2884)))</f>
        <v/>
      </c>
      <c r="G2885" s="11" t="str">
        <f aca="false">IF($A2885="","",IF(원본명단!$K2884="",0,COUNTIF(원본명단!$K$3:$K$6002,원본명단!$K2884)))</f>
        <v/>
      </c>
      <c r="H2885" s="11" t="str">
        <f aca="false">IF($A2885="","",IF(MAX($E2885,$F2885,$G2885)&gt;1,"중복","-"))</f>
        <v/>
      </c>
      <c r="I2885" s="11" t="str">
        <f aca="false">IF($A2885="","",IF($H2885="-","-",IF(AND(IF(원본명단!$H2884="",TRUE(),COUNTIF(원본명단!$H$3:$H2884,원본명단!$H2884)=1),IF(원본명단!$I2884="",TRUE(),COUNTIF(원본명단!$I$3:$I2884,원본명단!$I2884)=1),IF(원본명단!$K2884="",TRUE(),COUNTIF(원본명단!$K$3:$K2884,원본명단!$K2884)=1)),"첫 건","중복 건")))</f>
        <v/>
      </c>
      <c r="J2885" s="11" t="str">
        <f aca="false">IF($A2885="","",IF($H2885="-","유지",IF($I2885="첫 건","유지","확인 필요")))</f>
        <v/>
      </c>
    </row>
    <row r="2886" customFormat="false" ht="15" hidden="false" customHeight="true" outlineLevel="0" collapsed="false">
      <c r="A2886" s="11" t="str">
        <f aca="false">IF(원본명단!$A2885="","",2883)</f>
        <v/>
      </c>
      <c r="B2886" s="12" t="str">
        <f aca="false">IF($A2886="","",원본명단!$A2885)</f>
        <v/>
      </c>
      <c r="C2886" s="12" t="str">
        <f aca="false">IF($A2886="","",원본명단!$B2885)</f>
        <v/>
      </c>
      <c r="D2886" s="12" t="str">
        <f aca="false">IF($A2886="","",원본명단!$D2885)</f>
        <v/>
      </c>
      <c r="E2886" s="11" t="str">
        <f aca="false">IF($A2886="","",IF(원본명단!$H2885="",0,COUNTIF(원본명단!$H$3:$H$6002,원본명단!$H2885)))</f>
        <v/>
      </c>
      <c r="F2886" s="11" t="str">
        <f aca="false">IF($A2886="","",IF(원본명단!$I2885="",0,COUNTIF(원본명단!$I$3:$I$6002,원본명단!$I2885)))</f>
        <v/>
      </c>
      <c r="G2886" s="11" t="str">
        <f aca="false">IF($A2886="","",IF(원본명단!$K2885="",0,COUNTIF(원본명단!$K$3:$K$6002,원본명단!$K2885)))</f>
        <v/>
      </c>
      <c r="H2886" s="11" t="str">
        <f aca="false">IF($A2886="","",IF(MAX($E2886,$F2886,$G2886)&gt;1,"중복","-"))</f>
        <v/>
      </c>
      <c r="I2886" s="11" t="str">
        <f aca="false">IF($A2886="","",IF($H2886="-","-",IF(AND(IF(원본명단!$H2885="",TRUE(),COUNTIF(원본명단!$H$3:$H2885,원본명단!$H2885)=1),IF(원본명단!$I2885="",TRUE(),COUNTIF(원본명단!$I$3:$I2885,원본명단!$I2885)=1),IF(원본명단!$K2885="",TRUE(),COUNTIF(원본명단!$K$3:$K2885,원본명단!$K2885)=1)),"첫 건","중복 건")))</f>
        <v/>
      </c>
      <c r="J2886" s="11" t="str">
        <f aca="false">IF($A2886="","",IF($H2886="-","유지",IF($I2886="첫 건","유지","확인 필요")))</f>
        <v/>
      </c>
    </row>
    <row r="2887" customFormat="false" ht="15" hidden="false" customHeight="true" outlineLevel="0" collapsed="false">
      <c r="A2887" s="11" t="str">
        <f aca="false">IF(원본명단!$A2886="","",2884)</f>
        <v/>
      </c>
      <c r="B2887" s="12" t="str">
        <f aca="false">IF($A2887="","",원본명단!$A2886)</f>
        <v/>
      </c>
      <c r="C2887" s="12" t="str">
        <f aca="false">IF($A2887="","",원본명단!$B2886)</f>
        <v/>
      </c>
      <c r="D2887" s="12" t="str">
        <f aca="false">IF($A2887="","",원본명단!$D2886)</f>
        <v/>
      </c>
      <c r="E2887" s="11" t="str">
        <f aca="false">IF($A2887="","",IF(원본명단!$H2886="",0,COUNTIF(원본명단!$H$3:$H$6002,원본명단!$H2886)))</f>
        <v/>
      </c>
      <c r="F2887" s="11" t="str">
        <f aca="false">IF($A2887="","",IF(원본명단!$I2886="",0,COUNTIF(원본명단!$I$3:$I$6002,원본명단!$I2886)))</f>
        <v/>
      </c>
      <c r="G2887" s="11" t="str">
        <f aca="false">IF($A2887="","",IF(원본명단!$K2886="",0,COUNTIF(원본명단!$K$3:$K$6002,원본명단!$K2886)))</f>
        <v/>
      </c>
      <c r="H2887" s="11" t="str">
        <f aca="false">IF($A2887="","",IF(MAX($E2887,$F2887,$G2887)&gt;1,"중복","-"))</f>
        <v/>
      </c>
      <c r="I2887" s="11" t="str">
        <f aca="false">IF($A2887="","",IF($H2887="-","-",IF(AND(IF(원본명단!$H2886="",TRUE(),COUNTIF(원본명단!$H$3:$H2886,원본명단!$H2886)=1),IF(원본명단!$I2886="",TRUE(),COUNTIF(원본명단!$I$3:$I2886,원본명단!$I2886)=1),IF(원본명단!$K2886="",TRUE(),COUNTIF(원본명단!$K$3:$K2886,원본명단!$K2886)=1)),"첫 건","중복 건")))</f>
        <v/>
      </c>
      <c r="J2887" s="11" t="str">
        <f aca="false">IF($A2887="","",IF($H2887="-","유지",IF($I2887="첫 건","유지","확인 필요")))</f>
        <v/>
      </c>
    </row>
    <row r="2888" customFormat="false" ht="15" hidden="false" customHeight="true" outlineLevel="0" collapsed="false">
      <c r="A2888" s="11" t="str">
        <f aca="false">IF(원본명단!$A2887="","",2885)</f>
        <v/>
      </c>
      <c r="B2888" s="12" t="str">
        <f aca="false">IF($A2888="","",원본명단!$A2887)</f>
        <v/>
      </c>
      <c r="C2888" s="12" t="str">
        <f aca="false">IF($A2888="","",원본명단!$B2887)</f>
        <v/>
      </c>
      <c r="D2888" s="12" t="str">
        <f aca="false">IF($A2888="","",원본명단!$D2887)</f>
        <v/>
      </c>
      <c r="E2888" s="11" t="str">
        <f aca="false">IF($A2888="","",IF(원본명단!$H2887="",0,COUNTIF(원본명단!$H$3:$H$6002,원본명단!$H2887)))</f>
        <v/>
      </c>
      <c r="F2888" s="11" t="str">
        <f aca="false">IF($A2888="","",IF(원본명단!$I2887="",0,COUNTIF(원본명단!$I$3:$I$6002,원본명단!$I2887)))</f>
        <v/>
      </c>
      <c r="G2888" s="11" t="str">
        <f aca="false">IF($A2888="","",IF(원본명단!$K2887="",0,COUNTIF(원본명단!$K$3:$K$6002,원본명단!$K2887)))</f>
        <v/>
      </c>
      <c r="H2888" s="11" t="str">
        <f aca="false">IF($A2888="","",IF(MAX($E2888,$F2888,$G2888)&gt;1,"중복","-"))</f>
        <v/>
      </c>
      <c r="I2888" s="11" t="str">
        <f aca="false">IF($A2888="","",IF($H2888="-","-",IF(AND(IF(원본명단!$H2887="",TRUE(),COUNTIF(원본명단!$H$3:$H2887,원본명단!$H2887)=1),IF(원본명단!$I2887="",TRUE(),COUNTIF(원본명단!$I$3:$I2887,원본명단!$I2887)=1),IF(원본명단!$K2887="",TRUE(),COUNTIF(원본명단!$K$3:$K2887,원본명단!$K2887)=1)),"첫 건","중복 건")))</f>
        <v/>
      </c>
      <c r="J2888" s="11" t="str">
        <f aca="false">IF($A2888="","",IF($H2888="-","유지",IF($I2888="첫 건","유지","확인 필요")))</f>
        <v/>
      </c>
    </row>
    <row r="2889" customFormat="false" ht="15" hidden="false" customHeight="true" outlineLevel="0" collapsed="false">
      <c r="A2889" s="11" t="str">
        <f aca="false">IF(원본명단!$A2888="","",2886)</f>
        <v/>
      </c>
      <c r="B2889" s="12" t="str">
        <f aca="false">IF($A2889="","",원본명단!$A2888)</f>
        <v/>
      </c>
      <c r="C2889" s="12" t="str">
        <f aca="false">IF($A2889="","",원본명단!$B2888)</f>
        <v/>
      </c>
      <c r="D2889" s="12" t="str">
        <f aca="false">IF($A2889="","",원본명단!$D2888)</f>
        <v/>
      </c>
      <c r="E2889" s="11" t="str">
        <f aca="false">IF($A2889="","",IF(원본명단!$H2888="",0,COUNTIF(원본명단!$H$3:$H$6002,원본명단!$H2888)))</f>
        <v/>
      </c>
      <c r="F2889" s="11" t="str">
        <f aca="false">IF($A2889="","",IF(원본명단!$I2888="",0,COUNTIF(원본명단!$I$3:$I$6002,원본명단!$I2888)))</f>
        <v/>
      </c>
      <c r="G2889" s="11" t="str">
        <f aca="false">IF($A2889="","",IF(원본명단!$K2888="",0,COUNTIF(원본명단!$K$3:$K$6002,원본명단!$K2888)))</f>
        <v/>
      </c>
      <c r="H2889" s="11" t="str">
        <f aca="false">IF($A2889="","",IF(MAX($E2889,$F2889,$G2889)&gt;1,"중복","-"))</f>
        <v/>
      </c>
      <c r="I2889" s="11" t="str">
        <f aca="false">IF($A2889="","",IF($H2889="-","-",IF(AND(IF(원본명단!$H2888="",TRUE(),COUNTIF(원본명단!$H$3:$H2888,원본명단!$H2888)=1),IF(원본명단!$I2888="",TRUE(),COUNTIF(원본명단!$I$3:$I2888,원본명단!$I2888)=1),IF(원본명단!$K2888="",TRUE(),COUNTIF(원본명단!$K$3:$K2888,원본명단!$K2888)=1)),"첫 건","중복 건")))</f>
        <v/>
      </c>
      <c r="J2889" s="11" t="str">
        <f aca="false">IF($A2889="","",IF($H2889="-","유지",IF($I2889="첫 건","유지","확인 필요")))</f>
        <v/>
      </c>
    </row>
    <row r="2890" customFormat="false" ht="15" hidden="false" customHeight="true" outlineLevel="0" collapsed="false">
      <c r="A2890" s="11" t="str">
        <f aca="false">IF(원본명단!$A2889="","",2887)</f>
        <v/>
      </c>
      <c r="B2890" s="12" t="str">
        <f aca="false">IF($A2890="","",원본명단!$A2889)</f>
        <v/>
      </c>
      <c r="C2890" s="12" t="str">
        <f aca="false">IF($A2890="","",원본명단!$B2889)</f>
        <v/>
      </c>
      <c r="D2890" s="12" t="str">
        <f aca="false">IF($A2890="","",원본명단!$D2889)</f>
        <v/>
      </c>
      <c r="E2890" s="11" t="str">
        <f aca="false">IF($A2890="","",IF(원본명단!$H2889="",0,COUNTIF(원본명단!$H$3:$H$6002,원본명단!$H2889)))</f>
        <v/>
      </c>
      <c r="F2890" s="11" t="str">
        <f aca="false">IF($A2890="","",IF(원본명단!$I2889="",0,COUNTIF(원본명단!$I$3:$I$6002,원본명단!$I2889)))</f>
        <v/>
      </c>
      <c r="G2890" s="11" t="str">
        <f aca="false">IF($A2890="","",IF(원본명단!$K2889="",0,COUNTIF(원본명단!$K$3:$K$6002,원본명단!$K2889)))</f>
        <v/>
      </c>
      <c r="H2890" s="11" t="str">
        <f aca="false">IF($A2890="","",IF(MAX($E2890,$F2890,$G2890)&gt;1,"중복","-"))</f>
        <v/>
      </c>
      <c r="I2890" s="11" t="str">
        <f aca="false">IF($A2890="","",IF($H2890="-","-",IF(AND(IF(원본명단!$H2889="",TRUE(),COUNTIF(원본명단!$H$3:$H2889,원본명단!$H2889)=1),IF(원본명단!$I2889="",TRUE(),COUNTIF(원본명단!$I$3:$I2889,원본명단!$I2889)=1),IF(원본명단!$K2889="",TRUE(),COUNTIF(원본명단!$K$3:$K2889,원본명단!$K2889)=1)),"첫 건","중복 건")))</f>
        <v/>
      </c>
      <c r="J2890" s="11" t="str">
        <f aca="false">IF($A2890="","",IF($H2890="-","유지",IF($I2890="첫 건","유지","확인 필요")))</f>
        <v/>
      </c>
    </row>
    <row r="2891" customFormat="false" ht="15" hidden="false" customHeight="true" outlineLevel="0" collapsed="false">
      <c r="A2891" s="11" t="str">
        <f aca="false">IF(원본명단!$A2890="","",2888)</f>
        <v/>
      </c>
      <c r="B2891" s="12" t="str">
        <f aca="false">IF($A2891="","",원본명단!$A2890)</f>
        <v/>
      </c>
      <c r="C2891" s="12" t="str">
        <f aca="false">IF($A2891="","",원본명단!$B2890)</f>
        <v/>
      </c>
      <c r="D2891" s="12" t="str">
        <f aca="false">IF($A2891="","",원본명단!$D2890)</f>
        <v/>
      </c>
      <c r="E2891" s="11" t="str">
        <f aca="false">IF($A2891="","",IF(원본명단!$H2890="",0,COUNTIF(원본명단!$H$3:$H$6002,원본명단!$H2890)))</f>
        <v/>
      </c>
      <c r="F2891" s="11" t="str">
        <f aca="false">IF($A2891="","",IF(원본명단!$I2890="",0,COUNTIF(원본명단!$I$3:$I$6002,원본명단!$I2890)))</f>
        <v/>
      </c>
      <c r="G2891" s="11" t="str">
        <f aca="false">IF($A2891="","",IF(원본명단!$K2890="",0,COUNTIF(원본명단!$K$3:$K$6002,원본명단!$K2890)))</f>
        <v/>
      </c>
      <c r="H2891" s="11" t="str">
        <f aca="false">IF($A2891="","",IF(MAX($E2891,$F2891,$G2891)&gt;1,"중복","-"))</f>
        <v/>
      </c>
      <c r="I2891" s="11" t="str">
        <f aca="false">IF($A2891="","",IF($H2891="-","-",IF(AND(IF(원본명단!$H2890="",TRUE(),COUNTIF(원본명단!$H$3:$H2890,원본명단!$H2890)=1),IF(원본명단!$I2890="",TRUE(),COUNTIF(원본명단!$I$3:$I2890,원본명단!$I2890)=1),IF(원본명단!$K2890="",TRUE(),COUNTIF(원본명단!$K$3:$K2890,원본명단!$K2890)=1)),"첫 건","중복 건")))</f>
        <v/>
      </c>
      <c r="J2891" s="11" t="str">
        <f aca="false">IF($A2891="","",IF($H2891="-","유지",IF($I2891="첫 건","유지","확인 필요")))</f>
        <v/>
      </c>
    </row>
    <row r="2892" customFormat="false" ht="15" hidden="false" customHeight="true" outlineLevel="0" collapsed="false">
      <c r="A2892" s="11" t="str">
        <f aca="false">IF(원본명단!$A2891="","",2889)</f>
        <v/>
      </c>
      <c r="B2892" s="12" t="str">
        <f aca="false">IF($A2892="","",원본명단!$A2891)</f>
        <v/>
      </c>
      <c r="C2892" s="12" t="str">
        <f aca="false">IF($A2892="","",원본명단!$B2891)</f>
        <v/>
      </c>
      <c r="D2892" s="12" t="str">
        <f aca="false">IF($A2892="","",원본명단!$D2891)</f>
        <v/>
      </c>
      <c r="E2892" s="11" t="str">
        <f aca="false">IF($A2892="","",IF(원본명단!$H2891="",0,COUNTIF(원본명단!$H$3:$H$6002,원본명단!$H2891)))</f>
        <v/>
      </c>
      <c r="F2892" s="11" t="str">
        <f aca="false">IF($A2892="","",IF(원본명단!$I2891="",0,COUNTIF(원본명단!$I$3:$I$6002,원본명단!$I2891)))</f>
        <v/>
      </c>
      <c r="G2892" s="11" t="str">
        <f aca="false">IF($A2892="","",IF(원본명단!$K2891="",0,COUNTIF(원본명단!$K$3:$K$6002,원본명단!$K2891)))</f>
        <v/>
      </c>
      <c r="H2892" s="11" t="str">
        <f aca="false">IF($A2892="","",IF(MAX($E2892,$F2892,$G2892)&gt;1,"중복","-"))</f>
        <v/>
      </c>
      <c r="I2892" s="11" t="str">
        <f aca="false">IF($A2892="","",IF($H2892="-","-",IF(AND(IF(원본명단!$H2891="",TRUE(),COUNTIF(원본명단!$H$3:$H2891,원본명단!$H2891)=1),IF(원본명단!$I2891="",TRUE(),COUNTIF(원본명단!$I$3:$I2891,원본명단!$I2891)=1),IF(원본명단!$K2891="",TRUE(),COUNTIF(원본명단!$K$3:$K2891,원본명단!$K2891)=1)),"첫 건","중복 건")))</f>
        <v/>
      </c>
      <c r="J2892" s="11" t="str">
        <f aca="false">IF($A2892="","",IF($H2892="-","유지",IF($I2892="첫 건","유지","확인 필요")))</f>
        <v/>
      </c>
    </row>
    <row r="2893" customFormat="false" ht="15" hidden="false" customHeight="true" outlineLevel="0" collapsed="false">
      <c r="A2893" s="11" t="str">
        <f aca="false">IF(원본명단!$A2892="","",2890)</f>
        <v/>
      </c>
      <c r="B2893" s="12" t="str">
        <f aca="false">IF($A2893="","",원본명단!$A2892)</f>
        <v/>
      </c>
      <c r="C2893" s="12" t="str">
        <f aca="false">IF($A2893="","",원본명단!$B2892)</f>
        <v/>
      </c>
      <c r="D2893" s="12" t="str">
        <f aca="false">IF($A2893="","",원본명단!$D2892)</f>
        <v/>
      </c>
      <c r="E2893" s="11" t="str">
        <f aca="false">IF($A2893="","",IF(원본명단!$H2892="",0,COUNTIF(원본명단!$H$3:$H$6002,원본명단!$H2892)))</f>
        <v/>
      </c>
      <c r="F2893" s="11" t="str">
        <f aca="false">IF($A2893="","",IF(원본명단!$I2892="",0,COUNTIF(원본명단!$I$3:$I$6002,원본명단!$I2892)))</f>
        <v/>
      </c>
      <c r="G2893" s="11" t="str">
        <f aca="false">IF($A2893="","",IF(원본명단!$K2892="",0,COUNTIF(원본명단!$K$3:$K$6002,원본명단!$K2892)))</f>
        <v/>
      </c>
      <c r="H2893" s="11" t="str">
        <f aca="false">IF($A2893="","",IF(MAX($E2893,$F2893,$G2893)&gt;1,"중복","-"))</f>
        <v/>
      </c>
      <c r="I2893" s="11" t="str">
        <f aca="false">IF($A2893="","",IF($H2893="-","-",IF(AND(IF(원본명단!$H2892="",TRUE(),COUNTIF(원본명단!$H$3:$H2892,원본명단!$H2892)=1),IF(원본명단!$I2892="",TRUE(),COUNTIF(원본명단!$I$3:$I2892,원본명단!$I2892)=1),IF(원본명단!$K2892="",TRUE(),COUNTIF(원본명단!$K$3:$K2892,원본명단!$K2892)=1)),"첫 건","중복 건")))</f>
        <v/>
      </c>
      <c r="J2893" s="11" t="str">
        <f aca="false">IF($A2893="","",IF($H2893="-","유지",IF($I2893="첫 건","유지","확인 필요")))</f>
        <v/>
      </c>
    </row>
    <row r="2894" customFormat="false" ht="15" hidden="false" customHeight="true" outlineLevel="0" collapsed="false">
      <c r="A2894" s="11" t="str">
        <f aca="false">IF(원본명단!$A2893="","",2891)</f>
        <v/>
      </c>
      <c r="B2894" s="12" t="str">
        <f aca="false">IF($A2894="","",원본명단!$A2893)</f>
        <v/>
      </c>
      <c r="C2894" s="12" t="str">
        <f aca="false">IF($A2894="","",원본명단!$B2893)</f>
        <v/>
      </c>
      <c r="D2894" s="12" t="str">
        <f aca="false">IF($A2894="","",원본명단!$D2893)</f>
        <v/>
      </c>
      <c r="E2894" s="11" t="str">
        <f aca="false">IF($A2894="","",IF(원본명단!$H2893="",0,COUNTIF(원본명단!$H$3:$H$6002,원본명단!$H2893)))</f>
        <v/>
      </c>
      <c r="F2894" s="11" t="str">
        <f aca="false">IF($A2894="","",IF(원본명단!$I2893="",0,COUNTIF(원본명단!$I$3:$I$6002,원본명단!$I2893)))</f>
        <v/>
      </c>
      <c r="G2894" s="11" t="str">
        <f aca="false">IF($A2894="","",IF(원본명단!$K2893="",0,COUNTIF(원본명단!$K$3:$K$6002,원본명단!$K2893)))</f>
        <v/>
      </c>
      <c r="H2894" s="11" t="str">
        <f aca="false">IF($A2894="","",IF(MAX($E2894,$F2894,$G2894)&gt;1,"중복","-"))</f>
        <v/>
      </c>
      <c r="I2894" s="11" t="str">
        <f aca="false">IF($A2894="","",IF($H2894="-","-",IF(AND(IF(원본명단!$H2893="",TRUE(),COUNTIF(원본명단!$H$3:$H2893,원본명단!$H2893)=1),IF(원본명단!$I2893="",TRUE(),COUNTIF(원본명단!$I$3:$I2893,원본명단!$I2893)=1),IF(원본명단!$K2893="",TRUE(),COUNTIF(원본명단!$K$3:$K2893,원본명단!$K2893)=1)),"첫 건","중복 건")))</f>
        <v/>
      </c>
      <c r="J2894" s="11" t="str">
        <f aca="false">IF($A2894="","",IF($H2894="-","유지",IF($I2894="첫 건","유지","확인 필요")))</f>
        <v/>
      </c>
    </row>
    <row r="2895" customFormat="false" ht="15" hidden="false" customHeight="true" outlineLevel="0" collapsed="false">
      <c r="A2895" s="11" t="str">
        <f aca="false">IF(원본명단!$A2894="","",2892)</f>
        <v/>
      </c>
      <c r="B2895" s="12" t="str">
        <f aca="false">IF($A2895="","",원본명단!$A2894)</f>
        <v/>
      </c>
      <c r="C2895" s="12" t="str">
        <f aca="false">IF($A2895="","",원본명단!$B2894)</f>
        <v/>
      </c>
      <c r="D2895" s="12" t="str">
        <f aca="false">IF($A2895="","",원본명단!$D2894)</f>
        <v/>
      </c>
      <c r="E2895" s="11" t="str">
        <f aca="false">IF($A2895="","",IF(원본명단!$H2894="",0,COUNTIF(원본명단!$H$3:$H$6002,원본명단!$H2894)))</f>
        <v/>
      </c>
      <c r="F2895" s="11" t="str">
        <f aca="false">IF($A2895="","",IF(원본명단!$I2894="",0,COUNTIF(원본명단!$I$3:$I$6002,원본명단!$I2894)))</f>
        <v/>
      </c>
      <c r="G2895" s="11" t="str">
        <f aca="false">IF($A2895="","",IF(원본명단!$K2894="",0,COUNTIF(원본명단!$K$3:$K$6002,원본명단!$K2894)))</f>
        <v/>
      </c>
      <c r="H2895" s="11" t="str">
        <f aca="false">IF($A2895="","",IF(MAX($E2895,$F2895,$G2895)&gt;1,"중복","-"))</f>
        <v/>
      </c>
      <c r="I2895" s="11" t="str">
        <f aca="false">IF($A2895="","",IF($H2895="-","-",IF(AND(IF(원본명단!$H2894="",TRUE(),COUNTIF(원본명단!$H$3:$H2894,원본명단!$H2894)=1),IF(원본명단!$I2894="",TRUE(),COUNTIF(원본명단!$I$3:$I2894,원본명단!$I2894)=1),IF(원본명단!$K2894="",TRUE(),COUNTIF(원본명단!$K$3:$K2894,원본명단!$K2894)=1)),"첫 건","중복 건")))</f>
        <v/>
      </c>
      <c r="J2895" s="11" t="str">
        <f aca="false">IF($A2895="","",IF($H2895="-","유지",IF($I2895="첫 건","유지","확인 필요")))</f>
        <v/>
      </c>
    </row>
    <row r="2896" customFormat="false" ht="15" hidden="false" customHeight="true" outlineLevel="0" collapsed="false">
      <c r="A2896" s="11" t="str">
        <f aca="false">IF(원본명단!$A2895="","",2893)</f>
        <v/>
      </c>
      <c r="B2896" s="12" t="str">
        <f aca="false">IF($A2896="","",원본명단!$A2895)</f>
        <v/>
      </c>
      <c r="C2896" s="12" t="str">
        <f aca="false">IF($A2896="","",원본명단!$B2895)</f>
        <v/>
      </c>
      <c r="D2896" s="12" t="str">
        <f aca="false">IF($A2896="","",원본명단!$D2895)</f>
        <v/>
      </c>
      <c r="E2896" s="11" t="str">
        <f aca="false">IF($A2896="","",IF(원본명단!$H2895="",0,COUNTIF(원본명단!$H$3:$H$6002,원본명단!$H2895)))</f>
        <v/>
      </c>
      <c r="F2896" s="11" t="str">
        <f aca="false">IF($A2896="","",IF(원본명단!$I2895="",0,COUNTIF(원본명단!$I$3:$I$6002,원본명단!$I2895)))</f>
        <v/>
      </c>
      <c r="G2896" s="11" t="str">
        <f aca="false">IF($A2896="","",IF(원본명단!$K2895="",0,COUNTIF(원본명단!$K$3:$K$6002,원본명단!$K2895)))</f>
        <v/>
      </c>
      <c r="H2896" s="11" t="str">
        <f aca="false">IF($A2896="","",IF(MAX($E2896,$F2896,$G2896)&gt;1,"중복","-"))</f>
        <v/>
      </c>
      <c r="I2896" s="11" t="str">
        <f aca="false">IF($A2896="","",IF($H2896="-","-",IF(AND(IF(원본명단!$H2895="",TRUE(),COUNTIF(원본명단!$H$3:$H2895,원본명단!$H2895)=1),IF(원본명단!$I2895="",TRUE(),COUNTIF(원본명단!$I$3:$I2895,원본명단!$I2895)=1),IF(원본명단!$K2895="",TRUE(),COUNTIF(원본명단!$K$3:$K2895,원본명단!$K2895)=1)),"첫 건","중복 건")))</f>
        <v/>
      </c>
      <c r="J2896" s="11" t="str">
        <f aca="false">IF($A2896="","",IF($H2896="-","유지",IF($I2896="첫 건","유지","확인 필요")))</f>
        <v/>
      </c>
    </row>
    <row r="2897" customFormat="false" ht="15" hidden="false" customHeight="true" outlineLevel="0" collapsed="false">
      <c r="A2897" s="11" t="str">
        <f aca="false">IF(원본명단!$A2896="","",2894)</f>
        <v/>
      </c>
      <c r="B2897" s="12" t="str">
        <f aca="false">IF($A2897="","",원본명단!$A2896)</f>
        <v/>
      </c>
      <c r="C2897" s="12" t="str">
        <f aca="false">IF($A2897="","",원본명단!$B2896)</f>
        <v/>
      </c>
      <c r="D2897" s="12" t="str">
        <f aca="false">IF($A2897="","",원본명단!$D2896)</f>
        <v/>
      </c>
      <c r="E2897" s="11" t="str">
        <f aca="false">IF($A2897="","",IF(원본명단!$H2896="",0,COUNTIF(원본명단!$H$3:$H$6002,원본명단!$H2896)))</f>
        <v/>
      </c>
      <c r="F2897" s="11" t="str">
        <f aca="false">IF($A2897="","",IF(원본명단!$I2896="",0,COUNTIF(원본명단!$I$3:$I$6002,원본명단!$I2896)))</f>
        <v/>
      </c>
      <c r="G2897" s="11" t="str">
        <f aca="false">IF($A2897="","",IF(원본명단!$K2896="",0,COUNTIF(원본명단!$K$3:$K$6002,원본명단!$K2896)))</f>
        <v/>
      </c>
      <c r="H2897" s="11" t="str">
        <f aca="false">IF($A2897="","",IF(MAX($E2897,$F2897,$G2897)&gt;1,"중복","-"))</f>
        <v/>
      </c>
      <c r="I2897" s="11" t="str">
        <f aca="false">IF($A2897="","",IF($H2897="-","-",IF(AND(IF(원본명단!$H2896="",TRUE(),COUNTIF(원본명단!$H$3:$H2896,원본명단!$H2896)=1),IF(원본명단!$I2896="",TRUE(),COUNTIF(원본명단!$I$3:$I2896,원본명단!$I2896)=1),IF(원본명단!$K2896="",TRUE(),COUNTIF(원본명단!$K$3:$K2896,원본명단!$K2896)=1)),"첫 건","중복 건")))</f>
        <v/>
      </c>
      <c r="J2897" s="11" t="str">
        <f aca="false">IF($A2897="","",IF($H2897="-","유지",IF($I2897="첫 건","유지","확인 필요")))</f>
        <v/>
      </c>
    </row>
    <row r="2898" customFormat="false" ht="15" hidden="false" customHeight="true" outlineLevel="0" collapsed="false">
      <c r="A2898" s="11" t="str">
        <f aca="false">IF(원본명단!$A2897="","",2895)</f>
        <v/>
      </c>
      <c r="B2898" s="12" t="str">
        <f aca="false">IF($A2898="","",원본명단!$A2897)</f>
        <v/>
      </c>
      <c r="C2898" s="12" t="str">
        <f aca="false">IF($A2898="","",원본명단!$B2897)</f>
        <v/>
      </c>
      <c r="D2898" s="12" t="str">
        <f aca="false">IF($A2898="","",원본명단!$D2897)</f>
        <v/>
      </c>
      <c r="E2898" s="11" t="str">
        <f aca="false">IF($A2898="","",IF(원본명단!$H2897="",0,COUNTIF(원본명단!$H$3:$H$6002,원본명단!$H2897)))</f>
        <v/>
      </c>
      <c r="F2898" s="11" t="str">
        <f aca="false">IF($A2898="","",IF(원본명단!$I2897="",0,COUNTIF(원본명단!$I$3:$I$6002,원본명단!$I2897)))</f>
        <v/>
      </c>
      <c r="G2898" s="11" t="str">
        <f aca="false">IF($A2898="","",IF(원본명단!$K2897="",0,COUNTIF(원본명단!$K$3:$K$6002,원본명단!$K2897)))</f>
        <v/>
      </c>
      <c r="H2898" s="11" t="str">
        <f aca="false">IF($A2898="","",IF(MAX($E2898,$F2898,$G2898)&gt;1,"중복","-"))</f>
        <v/>
      </c>
      <c r="I2898" s="11" t="str">
        <f aca="false">IF($A2898="","",IF($H2898="-","-",IF(AND(IF(원본명단!$H2897="",TRUE(),COUNTIF(원본명단!$H$3:$H2897,원본명단!$H2897)=1),IF(원본명단!$I2897="",TRUE(),COUNTIF(원본명단!$I$3:$I2897,원본명단!$I2897)=1),IF(원본명단!$K2897="",TRUE(),COUNTIF(원본명단!$K$3:$K2897,원본명단!$K2897)=1)),"첫 건","중복 건")))</f>
        <v/>
      </c>
      <c r="J2898" s="11" t="str">
        <f aca="false">IF($A2898="","",IF($H2898="-","유지",IF($I2898="첫 건","유지","확인 필요")))</f>
        <v/>
      </c>
    </row>
    <row r="2899" customFormat="false" ht="15" hidden="false" customHeight="true" outlineLevel="0" collapsed="false">
      <c r="A2899" s="11" t="str">
        <f aca="false">IF(원본명단!$A2898="","",2896)</f>
        <v/>
      </c>
      <c r="B2899" s="12" t="str">
        <f aca="false">IF($A2899="","",원본명단!$A2898)</f>
        <v/>
      </c>
      <c r="C2899" s="12" t="str">
        <f aca="false">IF($A2899="","",원본명단!$B2898)</f>
        <v/>
      </c>
      <c r="D2899" s="12" t="str">
        <f aca="false">IF($A2899="","",원본명단!$D2898)</f>
        <v/>
      </c>
      <c r="E2899" s="11" t="str">
        <f aca="false">IF($A2899="","",IF(원본명단!$H2898="",0,COUNTIF(원본명단!$H$3:$H$6002,원본명단!$H2898)))</f>
        <v/>
      </c>
      <c r="F2899" s="11" t="str">
        <f aca="false">IF($A2899="","",IF(원본명단!$I2898="",0,COUNTIF(원본명단!$I$3:$I$6002,원본명단!$I2898)))</f>
        <v/>
      </c>
      <c r="G2899" s="11" t="str">
        <f aca="false">IF($A2899="","",IF(원본명단!$K2898="",0,COUNTIF(원본명단!$K$3:$K$6002,원본명단!$K2898)))</f>
        <v/>
      </c>
      <c r="H2899" s="11" t="str">
        <f aca="false">IF($A2899="","",IF(MAX($E2899,$F2899,$G2899)&gt;1,"중복","-"))</f>
        <v/>
      </c>
      <c r="I2899" s="11" t="str">
        <f aca="false">IF($A2899="","",IF($H2899="-","-",IF(AND(IF(원본명단!$H2898="",TRUE(),COUNTIF(원본명단!$H$3:$H2898,원본명단!$H2898)=1),IF(원본명단!$I2898="",TRUE(),COUNTIF(원본명단!$I$3:$I2898,원본명단!$I2898)=1),IF(원본명단!$K2898="",TRUE(),COUNTIF(원본명단!$K$3:$K2898,원본명단!$K2898)=1)),"첫 건","중복 건")))</f>
        <v/>
      </c>
      <c r="J2899" s="11" t="str">
        <f aca="false">IF($A2899="","",IF($H2899="-","유지",IF($I2899="첫 건","유지","확인 필요")))</f>
        <v/>
      </c>
    </row>
    <row r="2900" customFormat="false" ht="15" hidden="false" customHeight="true" outlineLevel="0" collapsed="false">
      <c r="A2900" s="11" t="str">
        <f aca="false">IF(원본명단!$A2899="","",2897)</f>
        <v/>
      </c>
      <c r="B2900" s="12" t="str">
        <f aca="false">IF($A2900="","",원본명단!$A2899)</f>
        <v/>
      </c>
      <c r="C2900" s="12" t="str">
        <f aca="false">IF($A2900="","",원본명단!$B2899)</f>
        <v/>
      </c>
      <c r="D2900" s="12" t="str">
        <f aca="false">IF($A2900="","",원본명단!$D2899)</f>
        <v/>
      </c>
      <c r="E2900" s="11" t="str">
        <f aca="false">IF($A2900="","",IF(원본명단!$H2899="",0,COUNTIF(원본명단!$H$3:$H$6002,원본명단!$H2899)))</f>
        <v/>
      </c>
      <c r="F2900" s="11" t="str">
        <f aca="false">IF($A2900="","",IF(원본명단!$I2899="",0,COUNTIF(원본명단!$I$3:$I$6002,원본명단!$I2899)))</f>
        <v/>
      </c>
      <c r="G2900" s="11" t="str">
        <f aca="false">IF($A2900="","",IF(원본명단!$K2899="",0,COUNTIF(원본명단!$K$3:$K$6002,원본명단!$K2899)))</f>
        <v/>
      </c>
      <c r="H2900" s="11" t="str">
        <f aca="false">IF($A2900="","",IF(MAX($E2900,$F2900,$G2900)&gt;1,"중복","-"))</f>
        <v/>
      </c>
      <c r="I2900" s="11" t="str">
        <f aca="false">IF($A2900="","",IF($H2900="-","-",IF(AND(IF(원본명단!$H2899="",TRUE(),COUNTIF(원본명단!$H$3:$H2899,원본명단!$H2899)=1),IF(원본명단!$I2899="",TRUE(),COUNTIF(원본명단!$I$3:$I2899,원본명단!$I2899)=1),IF(원본명단!$K2899="",TRUE(),COUNTIF(원본명단!$K$3:$K2899,원본명단!$K2899)=1)),"첫 건","중복 건")))</f>
        <v/>
      </c>
      <c r="J2900" s="11" t="str">
        <f aca="false">IF($A2900="","",IF($H2900="-","유지",IF($I2900="첫 건","유지","확인 필요")))</f>
        <v/>
      </c>
    </row>
    <row r="2901" customFormat="false" ht="15" hidden="false" customHeight="true" outlineLevel="0" collapsed="false">
      <c r="A2901" s="11" t="str">
        <f aca="false">IF(원본명단!$A2900="","",2898)</f>
        <v/>
      </c>
      <c r="B2901" s="12" t="str">
        <f aca="false">IF($A2901="","",원본명단!$A2900)</f>
        <v/>
      </c>
      <c r="C2901" s="12" t="str">
        <f aca="false">IF($A2901="","",원본명단!$B2900)</f>
        <v/>
      </c>
      <c r="D2901" s="12" t="str">
        <f aca="false">IF($A2901="","",원본명단!$D2900)</f>
        <v/>
      </c>
      <c r="E2901" s="11" t="str">
        <f aca="false">IF($A2901="","",IF(원본명단!$H2900="",0,COUNTIF(원본명단!$H$3:$H$6002,원본명단!$H2900)))</f>
        <v/>
      </c>
      <c r="F2901" s="11" t="str">
        <f aca="false">IF($A2901="","",IF(원본명단!$I2900="",0,COUNTIF(원본명단!$I$3:$I$6002,원본명단!$I2900)))</f>
        <v/>
      </c>
      <c r="G2901" s="11" t="str">
        <f aca="false">IF($A2901="","",IF(원본명단!$K2900="",0,COUNTIF(원본명단!$K$3:$K$6002,원본명단!$K2900)))</f>
        <v/>
      </c>
      <c r="H2901" s="11" t="str">
        <f aca="false">IF($A2901="","",IF(MAX($E2901,$F2901,$G2901)&gt;1,"중복","-"))</f>
        <v/>
      </c>
      <c r="I2901" s="11" t="str">
        <f aca="false">IF($A2901="","",IF($H2901="-","-",IF(AND(IF(원본명단!$H2900="",TRUE(),COUNTIF(원본명단!$H$3:$H2900,원본명단!$H2900)=1),IF(원본명단!$I2900="",TRUE(),COUNTIF(원본명단!$I$3:$I2900,원본명단!$I2900)=1),IF(원본명단!$K2900="",TRUE(),COUNTIF(원본명단!$K$3:$K2900,원본명단!$K2900)=1)),"첫 건","중복 건")))</f>
        <v/>
      </c>
      <c r="J2901" s="11" t="str">
        <f aca="false">IF($A2901="","",IF($H2901="-","유지",IF($I2901="첫 건","유지","확인 필요")))</f>
        <v/>
      </c>
    </row>
    <row r="2902" customFormat="false" ht="15" hidden="false" customHeight="true" outlineLevel="0" collapsed="false">
      <c r="A2902" s="11" t="str">
        <f aca="false">IF(원본명단!$A2901="","",2899)</f>
        <v/>
      </c>
      <c r="B2902" s="12" t="str">
        <f aca="false">IF($A2902="","",원본명단!$A2901)</f>
        <v/>
      </c>
      <c r="C2902" s="12" t="str">
        <f aca="false">IF($A2902="","",원본명단!$B2901)</f>
        <v/>
      </c>
      <c r="D2902" s="12" t="str">
        <f aca="false">IF($A2902="","",원본명단!$D2901)</f>
        <v/>
      </c>
      <c r="E2902" s="11" t="str">
        <f aca="false">IF($A2902="","",IF(원본명단!$H2901="",0,COUNTIF(원본명단!$H$3:$H$6002,원본명단!$H2901)))</f>
        <v/>
      </c>
      <c r="F2902" s="11" t="str">
        <f aca="false">IF($A2902="","",IF(원본명단!$I2901="",0,COUNTIF(원본명단!$I$3:$I$6002,원본명단!$I2901)))</f>
        <v/>
      </c>
      <c r="G2902" s="11" t="str">
        <f aca="false">IF($A2902="","",IF(원본명단!$K2901="",0,COUNTIF(원본명단!$K$3:$K$6002,원본명단!$K2901)))</f>
        <v/>
      </c>
      <c r="H2902" s="11" t="str">
        <f aca="false">IF($A2902="","",IF(MAX($E2902,$F2902,$G2902)&gt;1,"중복","-"))</f>
        <v/>
      </c>
      <c r="I2902" s="11" t="str">
        <f aca="false">IF($A2902="","",IF($H2902="-","-",IF(AND(IF(원본명단!$H2901="",TRUE(),COUNTIF(원본명단!$H$3:$H2901,원본명단!$H2901)=1),IF(원본명단!$I2901="",TRUE(),COUNTIF(원본명단!$I$3:$I2901,원본명단!$I2901)=1),IF(원본명단!$K2901="",TRUE(),COUNTIF(원본명단!$K$3:$K2901,원본명단!$K2901)=1)),"첫 건","중복 건")))</f>
        <v/>
      </c>
      <c r="J2902" s="11" t="str">
        <f aca="false">IF($A2902="","",IF($H2902="-","유지",IF($I2902="첫 건","유지","확인 필요")))</f>
        <v/>
      </c>
    </row>
    <row r="2903" customFormat="false" ht="15" hidden="false" customHeight="true" outlineLevel="0" collapsed="false">
      <c r="A2903" s="11" t="str">
        <f aca="false">IF(원본명단!$A2902="","",2900)</f>
        <v/>
      </c>
      <c r="B2903" s="12" t="str">
        <f aca="false">IF($A2903="","",원본명단!$A2902)</f>
        <v/>
      </c>
      <c r="C2903" s="12" t="str">
        <f aca="false">IF($A2903="","",원본명단!$B2902)</f>
        <v/>
      </c>
      <c r="D2903" s="12" t="str">
        <f aca="false">IF($A2903="","",원본명단!$D2902)</f>
        <v/>
      </c>
      <c r="E2903" s="11" t="str">
        <f aca="false">IF($A2903="","",IF(원본명단!$H2902="",0,COUNTIF(원본명단!$H$3:$H$6002,원본명단!$H2902)))</f>
        <v/>
      </c>
      <c r="F2903" s="11" t="str">
        <f aca="false">IF($A2903="","",IF(원본명단!$I2902="",0,COUNTIF(원본명단!$I$3:$I$6002,원본명단!$I2902)))</f>
        <v/>
      </c>
      <c r="G2903" s="11" t="str">
        <f aca="false">IF($A2903="","",IF(원본명단!$K2902="",0,COUNTIF(원본명단!$K$3:$K$6002,원본명단!$K2902)))</f>
        <v/>
      </c>
      <c r="H2903" s="11" t="str">
        <f aca="false">IF($A2903="","",IF(MAX($E2903,$F2903,$G2903)&gt;1,"중복","-"))</f>
        <v/>
      </c>
      <c r="I2903" s="11" t="str">
        <f aca="false">IF($A2903="","",IF($H2903="-","-",IF(AND(IF(원본명단!$H2902="",TRUE(),COUNTIF(원본명단!$H$3:$H2902,원본명단!$H2902)=1),IF(원본명단!$I2902="",TRUE(),COUNTIF(원본명단!$I$3:$I2902,원본명단!$I2902)=1),IF(원본명단!$K2902="",TRUE(),COUNTIF(원본명단!$K$3:$K2902,원본명단!$K2902)=1)),"첫 건","중복 건")))</f>
        <v/>
      </c>
      <c r="J2903" s="11" t="str">
        <f aca="false">IF($A2903="","",IF($H2903="-","유지",IF($I2903="첫 건","유지","확인 필요")))</f>
        <v/>
      </c>
    </row>
    <row r="2904" customFormat="false" ht="15" hidden="false" customHeight="true" outlineLevel="0" collapsed="false">
      <c r="A2904" s="11" t="str">
        <f aca="false">IF(원본명단!$A2903="","",2901)</f>
        <v/>
      </c>
      <c r="B2904" s="12" t="str">
        <f aca="false">IF($A2904="","",원본명단!$A2903)</f>
        <v/>
      </c>
      <c r="C2904" s="12" t="str">
        <f aca="false">IF($A2904="","",원본명단!$B2903)</f>
        <v/>
      </c>
      <c r="D2904" s="12" t="str">
        <f aca="false">IF($A2904="","",원본명단!$D2903)</f>
        <v/>
      </c>
      <c r="E2904" s="11" t="str">
        <f aca="false">IF($A2904="","",IF(원본명단!$H2903="",0,COUNTIF(원본명단!$H$3:$H$6002,원본명단!$H2903)))</f>
        <v/>
      </c>
      <c r="F2904" s="11" t="str">
        <f aca="false">IF($A2904="","",IF(원본명단!$I2903="",0,COUNTIF(원본명단!$I$3:$I$6002,원본명단!$I2903)))</f>
        <v/>
      </c>
      <c r="G2904" s="11" t="str">
        <f aca="false">IF($A2904="","",IF(원본명단!$K2903="",0,COUNTIF(원본명단!$K$3:$K$6002,원본명단!$K2903)))</f>
        <v/>
      </c>
      <c r="H2904" s="11" t="str">
        <f aca="false">IF($A2904="","",IF(MAX($E2904,$F2904,$G2904)&gt;1,"중복","-"))</f>
        <v/>
      </c>
      <c r="I2904" s="11" t="str">
        <f aca="false">IF($A2904="","",IF($H2904="-","-",IF(AND(IF(원본명단!$H2903="",TRUE(),COUNTIF(원본명단!$H$3:$H2903,원본명단!$H2903)=1),IF(원본명단!$I2903="",TRUE(),COUNTIF(원본명단!$I$3:$I2903,원본명단!$I2903)=1),IF(원본명단!$K2903="",TRUE(),COUNTIF(원본명단!$K$3:$K2903,원본명단!$K2903)=1)),"첫 건","중복 건")))</f>
        <v/>
      </c>
      <c r="J2904" s="11" t="str">
        <f aca="false">IF($A2904="","",IF($H2904="-","유지",IF($I2904="첫 건","유지","확인 필요")))</f>
        <v/>
      </c>
    </row>
    <row r="2905" customFormat="false" ht="15" hidden="false" customHeight="true" outlineLevel="0" collapsed="false">
      <c r="A2905" s="11" t="str">
        <f aca="false">IF(원본명단!$A2904="","",2902)</f>
        <v/>
      </c>
      <c r="B2905" s="12" t="str">
        <f aca="false">IF($A2905="","",원본명단!$A2904)</f>
        <v/>
      </c>
      <c r="C2905" s="12" t="str">
        <f aca="false">IF($A2905="","",원본명단!$B2904)</f>
        <v/>
      </c>
      <c r="D2905" s="12" t="str">
        <f aca="false">IF($A2905="","",원본명단!$D2904)</f>
        <v/>
      </c>
      <c r="E2905" s="11" t="str">
        <f aca="false">IF($A2905="","",IF(원본명단!$H2904="",0,COUNTIF(원본명단!$H$3:$H$6002,원본명단!$H2904)))</f>
        <v/>
      </c>
      <c r="F2905" s="11" t="str">
        <f aca="false">IF($A2905="","",IF(원본명단!$I2904="",0,COUNTIF(원본명단!$I$3:$I$6002,원본명단!$I2904)))</f>
        <v/>
      </c>
      <c r="G2905" s="11" t="str">
        <f aca="false">IF($A2905="","",IF(원본명단!$K2904="",0,COUNTIF(원본명단!$K$3:$K$6002,원본명단!$K2904)))</f>
        <v/>
      </c>
      <c r="H2905" s="11" t="str">
        <f aca="false">IF($A2905="","",IF(MAX($E2905,$F2905,$G2905)&gt;1,"중복","-"))</f>
        <v/>
      </c>
      <c r="I2905" s="11" t="str">
        <f aca="false">IF($A2905="","",IF($H2905="-","-",IF(AND(IF(원본명단!$H2904="",TRUE(),COUNTIF(원본명단!$H$3:$H2904,원본명단!$H2904)=1),IF(원본명단!$I2904="",TRUE(),COUNTIF(원본명단!$I$3:$I2904,원본명단!$I2904)=1),IF(원본명단!$K2904="",TRUE(),COUNTIF(원본명단!$K$3:$K2904,원본명단!$K2904)=1)),"첫 건","중복 건")))</f>
        <v/>
      </c>
      <c r="J2905" s="11" t="str">
        <f aca="false">IF($A2905="","",IF($H2905="-","유지",IF($I2905="첫 건","유지","확인 필요")))</f>
        <v/>
      </c>
    </row>
    <row r="2906" customFormat="false" ht="15" hidden="false" customHeight="true" outlineLevel="0" collapsed="false">
      <c r="A2906" s="11" t="str">
        <f aca="false">IF(원본명단!$A2905="","",2903)</f>
        <v/>
      </c>
      <c r="B2906" s="12" t="str">
        <f aca="false">IF($A2906="","",원본명단!$A2905)</f>
        <v/>
      </c>
      <c r="C2906" s="12" t="str">
        <f aca="false">IF($A2906="","",원본명단!$B2905)</f>
        <v/>
      </c>
      <c r="D2906" s="12" t="str">
        <f aca="false">IF($A2906="","",원본명단!$D2905)</f>
        <v/>
      </c>
      <c r="E2906" s="11" t="str">
        <f aca="false">IF($A2906="","",IF(원본명단!$H2905="",0,COUNTIF(원본명단!$H$3:$H$6002,원본명단!$H2905)))</f>
        <v/>
      </c>
      <c r="F2906" s="11" t="str">
        <f aca="false">IF($A2906="","",IF(원본명단!$I2905="",0,COUNTIF(원본명단!$I$3:$I$6002,원본명단!$I2905)))</f>
        <v/>
      </c>
      <c r="G2906" s="11" t="str">
        <f aca="false">IF($A2906="","",IF(원본명단!$K2905="",0,COUNTIF(원본명단!$K$3:$K$6002,원본명단!$K2905)))</f>
        <v/>
      </c>
      <c r="H2906" s="11" t="str">
        <f aca="false">IF($A2906="","",IF(MAX($E2906,$F2906,$G2906)&gt;1,"중복","-"))</f>
        <v/>
      </c>
      <c r="I2906" s="11" t="str">
        <f aca="false">IF($A2906="","",IF($H2906="-","-",IF(AND(IF(원본명단!$H2905="",TRUE(),COUNTIF(원본명단!$H$3:$H2905,원본명단!$H2905)=1),IF(원본명단!$I2905="",TRUE(),COUNTIF(원본명단!$I$3:$I2905,원본명단!$I2905)=1),IF(원본명단!$K2905="",TRUE(),COUNTIF(원본명단!$K$3:$K2905,원본명단!$K2905)=1)),"첫 건","중복 건")))</f>
        <v/>
      </c>
      <c r="J2906" s="11" t="str">
        <f aca="false">IF($A2906="","",IF($H2906="-","유지",IF($I2906="첫 건","유지","확인 필요")))</f>
        <v/>
      </c>
    </row>
    <row r="2907" customFormat="false" ht="15" hidden="false" customHeight="true" outlineLevel="0" collapsed="false">
      <c r="A2907" s="11" t="str">
        <f aca="false">IF(원본명단!$A2906="","",2904)</f>
        <v/>
      </c>
      <c r="B2907" s="12" t="str">
        <f aca="false">IF($A2907="","",원본명단!$A2906)</f>
        <v/>
      </c>
      <c r="C2907" s="12" t="str">
        <f aca="false">IF($A2907="","",원본명단!$B2906)</f>
        <v/>
      </c>
      <c r="D2907" s="12" t="str">
        <f aca="false">IF($A2907="","",원본명단!$D2906)</f>
        <v/>
      </c>
      <c r="E2907" s="11" t="str">
        <f aca="false">IF($A2907="","",IF(원본명단!$H2906="",0,COUNTIF(원본명단!$H$3:$H$6002,원본명단!$H2906)))</f>
        <v/>
      </c>
      <c r="F2907" s="11" t="str">
        <f aca="false">IF($A2907="","",IF(원본명단!$I2906="",0,COUNTIF(원본명단!$I$3:$I$6002,원본명단!$I2906)))</f>
        <v/>
      </c>
      <c r="G2907" s="11" t="str">
        <f aca="false">IF($A2907="","",IF(원본명단!$K2906="",0,COUNTIF(원본명단!$K$3:$K$6002,원본명단!$K2906)))</f>
        <v/>
      </c>
      <c r="H2907" s="11" t="str">
        <f aca="false">IF($A2907="","",IF(MAX($E2907,$F2907,$G2907)&gt;1,"중복","-"))</f>
        <v/>
      </c>
      <c r="I2907" s="11" t="str">
        <f aca="false">IF($A2907="","",IF($H2907="-","-",IF(AND(IF(원본명단!$H2906="",TRUE(),COUNTIF(원본명단!$H$3:$H2906,원본명단!$H2906)=1),IF(원본명단!$I2906="",TRUE(),COUNTIF(원본명단!$I$3:$I2906,원본명단!$I2906)=1),IF(원본명단!$K2906="",TRUE(),COUNTIF(원본명단!$K$3:$K2906,원본명단!$K2906)=1)),"첫 건","중복 건")))</f>
        <v/>
      </c>
      <c r="J2907" s="11" t="str">
        <f aca="false">IF($A2907="","",IF($H2907="-","유지",IF($I2907="첫 건","유지","확인 필요")))</f>
        <v/>
      </c>
    </row>
    <row r="2908" customFormat="false" ht="15" hidden="false" customHeight="true" outlineLevel="0" collapsed="false">
      <c r="A2908" s="11" t="str">
        <f aca="false">IF(원본명단!$A2907="","",2905)</f>
        <v/>
      </c>
      <c r="B2908" s="12" t="str">
        <f aca="false">IF($A2908="","",원본명단!$A2907)</f>
        <v/>
      </c>
      <c r="C2908" s="12" t="str">
        <f aca="false">IF($A2908="","",원본명단!$B2907)</f>
        <v/>
      </c>
      <c r="D2908" s="12" t="str">
        <f aca="false">IF($A2908="","",원본명단!$D2907)</f>
        <v/>
      </c>
      <c r="E2908" s="11" t="str">
        <f aca="false">IF($A2908="","",IF(원본명단!$H2907="",0,COUNTIF(원본명단!$H$3:$H$6002,원본명단!$H2907)))</f>
        <v/>
      </c>
      <c r="F2908" s="11" t="str">
        <f aca="false">IF($A2908="","",IF(원본명단!$I2907="",0,COUNTIF(원본명단!$I$3:$I$6002,원본명단!$I2907)))</f>
        <v/>
      </c>
      <c r="G2908" s="11" t="str">
        <f aca="false">IF($A2908="","",IF(원본명단!$K2907="",0,COUNTIF(원본명단!$K$3:$K$6002,원본명단!$K2907)))</f>
        <v/>
      </c>
      <c r="H2908" s="11" t="str">
        <f aca="false">IF($A2908="","",IF(MAX($E2908,$F2908,$G2908)&gt;1,"중복","-"))</f>
        <v/>
      </c>
      <c r="I2908" s="11" t="str">
        <f aca="false">IF($A2908="","",IF($H2908="-","-",IF(AND(IF(원본명단!$H2907="",TRUE(),COUNTIF(원본명단!$H$3:$H2907,원본명단!$H2907)=1),IF(원본명단!$I2907="",TRUE(),COUNTIF(원본명단!$I$3:$I2907,원본명단!$I2907)=1),IF(원본명단!$K2907="",TRUE(),COUNTIF(원본명단!$K$3:$K2907,원본명단!$K2907)=1)),"첫 건","중복 건")))</f>
        <v/>
      </c>
      <c r="J2908" s="11" t="str">
        <f aca="false">IF($A2908="","",IF($H2908="-","유지",IF($I2908="첫 건","유지","확인 필요")))</f>
        <v/>
      </c>
    </row>
    <row r="2909" customFormat="false" ht="15" hidden="false" customHeight="true" outlineLevel="0" collapsed="false">
      <c r="A2909" s="11" t="str">
        <f aca="false">IF(원본명단!$A2908="","",2906)</f>
        <v/>
      </c>
      <c r="B2909" s="12" t="str">
        <f aca="false">IF($A2909="","",원본명단!$A2908)</f>
        <v/>
      </c>
      <c r="C2909" s="12" t="str">
        <f aca="false">IF($A2909="","",원본명단!$B2908)</f>
        <v/>
      </c>
      <c r="D2909" s="12" t="str">
        <f aca="false">IF($A2909="","",원본명단!$D2908)</f>
        <v/>
      </c>
      <c r="E2909" s="11" t="str">
        <f aca="false">IF($A2909="","",IF(원본명단!$H2908="",0,COUNTIF(원본명단!$H$3:$H$6002,원본명단!$H2908)))</f>
        <v/>
      </c>
      <c r="F2909" s="11" t="str">
        <f aca="false">IF($A2909="","",IF(원본명단!$I2908="",0,COUNTIF(원본명단!$I$3:$I$6002,원본명단!$I2908)))</f>
        <v/>
      </c>
      <c r="G2909" s="11" t="str">
        <f aca="false">IF($A2909="","",IF(원본명단!$K2908="",0,COUNTIF(원본명단!$K$3:$K$6002,원본명단!$K2908)))</f>
        <v/>
      </c>
      <c r="H2909" s="11" t="str">
        <f aca="false">IF($A2909="","",IF(MAX($E2909,$F2909,$G2909)&gt;1,"중복","-"))</f>
        <v/>
      </c>
      <c r="I2909" s="11" t="str">
        <f aca="false">IF($A2909="","",IF($H2909="-","-",IF(AND(IF(원본명단!$H2908="",TRUE(),COUNTIF(원본명단!$H$3:$H2908,원본명단!$H2908)=1),IF(원본명단!$I2908="",TRUE(),COUNTIF(원본명단!$I$3:$I2908,원본명단!$I2908)=1),IF(원본명단!$K2908="",TRUE(),COUNTIF(원본명단!$K$3:$K2908,원본명단!$K2908)=1)),"첫 건","중복 건")))</f>
        <v/>
      </c>
      <c r="J2909" s="11" t="str">
        <f aca="false">IF($A2909="","",IF($H2909="-","유지",IF($I2909="첫 건","유지","확인 필요")))</f>
        <v/>
      </c>
    </row>
    <row r="2910" customFormat="false" ht="15" hidden="false" customHeight="true" outlineLevel="0" collapsed="false">
      <c r="A2910" s="11" t="str">
        <f aca="false">IF(원본명단!$A2909="","",2907)</f>
        <v/>
      </c>
      <c r="B2910" s="12" t="str">
        <f aca="false">IF($A2910="","",원본명단!$A2909)</f>
        <v/>
      </c>
      <c r="C2910" s="12" t="str">
        <f aca="false">IF($A2910="","",원본명단!$B2909)</f>
        <v/>
      </c>
      <c r="D2910" s="12" t="str">
        <f aca="false">IF($A2910="","",원본명단!$D2909)</f>
        <v/>
      </c>
      <c r="E2910" s="11" t="str">
        <f aca="false">IF($A2910="","",IF(원본명단!$H2909="",0,COUNTIF(원본명단!$H$3:$H$6002,원본명단!$H2909)))</f>
        <v/>
      </c>
      <c r="F2910" s="11" t="str">
        <f aca="false">IF($A2910="","",IF(원본명단!$I2909="",0,COUNTIF(원본명단!$I$3:$I$6002,원본명단!$I2909)))</f>
        <v/>
      </c>
      <c r="G2910" s="11" t="str">
        <f aca="false">IF($A2910="","",IF(원본명단!$K2909="",0,COUNTIF(원본명단!$K$3:$K$6002,원본명단!$K2909)))</f>
        <v/>
      </c>
      <c r="H2910" s="11" t="str">
        <f aca="false">IF($A2910="","",IF(MAX($E2910,$F2910,$G2910)&gt;1,"중복","-"))</f>
        <v/>
      </c>
      <c r="I2910" s="11" t="str">
        <f aca="false">IF($A2910="","",IF($H2910="-","-",IF(AND(IF(원본명단!$H2909="",TRUE(),COUNTIF(원본명단!$H$3:$H2909,원본명단!$H2909)=1),IF(원본명단!$I2909="",TRUE(),COUNTIF(원본명단!$I$3:$I2909,원본명단!$I2909)=1),IF(원본명단!$K2909="",TRUE(),COUNTIF(원본명단!$K$3:$K2909,원본명단!$K2909)=1)),"첫 건","중복 건")))</f>
        <v/>
      </c>
      <c r="J2910" s="11" t="str">
        <f aca="false">IF($A2910="","",IF($H2910="-","유지",IF($I2910="첫 건","유지","확인 필요")))</f>
        <v/>
      </c>
    </row>
    <row r="2911" customFormat="false" ht="15" hidden="false" customHeight="true" outlineLevel="0" collapsed="false">
      <c r="A2911" s="11" t="str">
        <f aca="false">IF(원본명단!$A2910="","",2908)</f>
        <v/>
      </c>
      <c r="B2911" s="12" t="str">
        <f aca="false">IF($A2911="","",원본명단!$A2910)</f>
        <v/>
      </c>
      <c r="C2911" s="12" t="str">
        <f aca="false">IF($A2911="","",원본명단!$B2910)</f>
        <v/>
      </c>
      <c r="D2911" s="12" t="str">
        <f aca="false">IF($A2911="","",원본명단!$D2910)</f>
        <v/>
      </c>
      <c r="E2911" s="11" t="str">
        <f aca="false">IF($A2911="","",IF(원본명단!$H2910="",0,COUNTIF(원본명단!$H$3:$H$6002,원본명단!$H2910)))</f>
        <v/>
      </c>
      <c r="F2911" s="11" t="str">
        <f aca="false">IF($A2911="","",IF(원본명단!$I2910="",0,COUNTIF(원본명단!$I$3:$I$6002,원본명단!$I2910)))</f>
        <v/>
      </c>
      <c r="G2911" s="11" t="str">
        <f aca="false">IF($A2911="","",IF(원본명단!$K2910="",0,COUNTIF(원본명단!$K$3:$K$6002,원본명단!$K2910)))</f>
        <v/>
      </c>
      <c r="H2911" s="11" t="str">
        <f aca="false">IF($A2911="","",IF(MAX($E2911,$F2911,$G2911)&gt;1,"중복","-"))</f>
        <v/>
      </c>
      <c r="I2911" s="11" t="str">
        <f aca="false">IF($A2911="","",IF($H2911="-","-",IF(AND(IF(원본명단!$H2910="",TRUE(),COUNTIF(원본명단!$H$3:$H2910,원본명단!$H2910)=1),IF(원본명단!$I2910="",TRUE(),COUNTIF(원본명단!$I$3:$I2910,원본명단!$I2910)=1),IF(원본명단!$K2910="",TRUE(),COUNTIF(원본명단!$K$3:$K2910,원본명단!$K2910)=1)),"첫 건","중복 건")))</f>
        <v/>
      </c>
      <c r="J2911" s="11" t="str">
        <f aca="false">IF($A2911="","",IF($H2911="-","유지",IF($I2911="첫 건","유지","확인 필요")))</f>
        <v/>
      </c>
    </row>
    <row r="2912" customFormat="false" ht="15" hidden="false" customHeight="true" outlineLevel="0" collapsed="false">
      <c r="A2912" s="11" t="str">
        <f aca="false">IF(원본명단!$A2911="","",2909)</f>
        <v/>
      </c>
      <c r="B2912" s="12" t="str">
        <f aca="false">IF($A2912="","",원본명단!$A2911)</f>
        <v/>
      </c>
      <c r="C2912" s="12" t="str">
        <f aca="false">IF($A2912="","",원본명단!$B2911)</f>
        <v/>
      </c>
      <c r="D2912" s="12" t="str">
        <f aca="false">IF($A2912="","",원본명단!$D2911)</f>
        <v/>
      </c>
      <c r="E2912" s="11" t="str">
        <f aca="false">IF($A2912="","",IF(원본명단!$H2911="",0,COUNTIF(원본명단!$H$3:$H$6002,원본명단!$H2911)))</f>
        <v/>
      </c>
      <c r="F2912" s="11" t="str">
        <f aca="false">IF($A2912="","",IF(원본명단!$I2911="",0,COUNTIF(원본명단!$I$3:$I$6002,원본명단!$I2911)))</f>
        <v/>
      </c>
      <c r="G2912" s="11" t="str">
        <f aca="false">IF($A2912="","",IF(원본명단!$K2911="",0,COUNTIF(원본명단!$K$3:$K$6002,원본명단!$K2911)))</f>
        <v/>
      </c>
      <c r="H2912" s="11" t="str">
        <f aca="false">IF($A2912="","",IF(MAX($E2912,$F2912,$G2912)&gt;1,"중복","-"))</f>
        <v/>
      </c>
      <c r="I2912" s="11" t="str">
        <f aca="false">IF($A2912="","",IF($H2912="-","-",IF(AND(IF(원본명단!$H2911="",TRUE(),COUNTIF(원본명단!$H$3:$H2911,원본명단!$H2911)=1),IF(원본명단!$I2911="",TRUE(),COUNTIF(원본명단!$I$3:$I2911,원본명단!$I2911)=1),IF(원본명단!$K2911="",TRUE(),COUNTIF(원본명단!$K$3:$K2911,원본명단!$K2911)=1)),"첫 건","중복 건")))</f>
        <v/>
      </c>
      <c r="J2912" s="11" t="str">
        <f aca="false">IF($A2912="","",IF($H2912="-","유지",IF($I2912="첫 건","유지","확인 필요")))</f>
        <v/>
      </c>
    </row>
    <row r="2913" customFormat="false" ht="15" hidden="false" customHeight="true" outlineLevel="0" collapsed="false">
      <c r="A2913" s="11" t="str">
        <f aca="false">IF(원본명단!$A2912="","",2910)</f>
        <v/>
      </c>
      <c r="B2913" s="12" t="str">
        <f aca="false">IF($A2913="","",원본명단!$A2912)</f>
        <v/>
      </c>
      <c r="C2913" s="12" t="str">
        <f aca="false">IF($A2913="","",원본명단!$B2912)</f>
        <v/>
      </c>
      <c r="D2913" s="12" t="str">
        <f aca="false">IF($A2913="","",원본명단!$D2912)</f>
        <v/>
      </c>
      <c r="E2913" s="11" t="str">
        <f aca="false">IF($A2913="","",IF(원본명단!$H2912="",0,COUNTIF(원본명단!$H$3:$H$6002,원본명단!$H2912)))</f>
        <v/>
      </c>
      <c r="F2913" s="11" t="str">
        <f aca="false">IF($A2913="","",IF(원본명단!$I2912="",0,COUNTIF(원본명단!$I$3:$I$6002,원본명단!$I2912)))</f>
        <v/>
      </c>
      <c r="G2913" s="11" t="str">
        <f aca="false">IF($A2913="","",IF(원본명단!$K2912="",0,COUNTIF(원본명단!$K$3:$K$6002,원본명단!$K2912)))</f>
        <v/>
      </c>
      <c r="H2913" s="11" t="str">
        <f aca="false">IF($A2913="","",IF(MAX($E2913,$F2913,$G2913)&gt;1,"중복","-"))</f>
        <v/>
      </c>
      <c r="I2913" s="11" t="str">
        <f aca="false">IF($A2913="","",IF($H2913="-","-",IF(AND(IF(원본명단!$H2912="",TRUE(),COUNTIF(원본명단!$H$3:$H2912,원본명단!$H2912)=1),IF(원본명단!$I2912="",TRUE(),COUNTIF(원본명단!$I$3:$I2912,원본명단!$I2912)=1),IF(원본명단!$K2912="",TRUE(),COUNTIF(원본명단!$K$3:$K2912,원본명단!$K2912)=1)),"첫 건","중복 건")))</f>
        <v/>
      </c>
      <c r="J2913" s="11" t="str">
        <f aca="false">IF($A2913="","",IF($H2913="-","유지",IF($I2913="첫 건","유지","확인 필요")))</f>
        <v/>
      </c>
    </row>
    <row r="2914" customFormat="false" ht="15" hidden="false" customHeight="true" outlineLevel="0" collapsed="false">
      <c r="A2914" s="11" t="str">
        <f aca="false">IF(원본명단!$A2913="","",2911)</f>
        <v/>
      </c>
      <c r="B2914" s="12" t="str">
        <f aca="false">IF($A2914="","",원본명단!$A2913)</f>
        <v/>
      </c>
      <c r="C2914" s="12" t="str">
        <f aca="false">IF($A2914="","",원본명단!$B2913)</f>
        <v/>
      </c>
      <c r="D2914" s="12" t="str">
        <f aca="false">IF($A2914="","",원본명단!$D2913)</f>
        <v/>
      </c>
      <c r="E2914" s="11" t="str">
        <f aca="false">IF($A2914="","",IF(원본명단!$H2913="",0,COUNTIF(원본명단!$H$3:$H$6002,원본명단!$H2913)))</f>
        <v/>
      </c>
      <c r="F2914" s="11" t="str">
        <f aca="false">IF($A2914="","",IF(원본명단!$I2913="",0,COUNTIF(원본명단!$I$3:$I$6002,원본명단!$I2913)))</f>
        <v/>
      </c>
      <c r="G2914" s="11" t="str">
        <f aca="false">IF($A2914="","",IF(원본명단!$K2913="",0,COUNTIF(원본명단!$K$3:$K$6002,원본명단!$K2913)))</f>
        <v/>
      </c>
      <c r="H2914" s="11" t="str">
        <f aca="false">IF($A2914="","",IF(MAX($E2914,$F2914,$G2914)&gt;1,"중복","-"))</f>
        <v/>
      </c>
      <c r="I2914" s="11" t="str">
        <f aca="false">IF($A2914="","",IF($H2914="-","-",IF(AND(IF(원본명단!$H2913="",TRUE(),COUNTIF(원본명단!$H$3:$H2913,원본명단!$H2913)=1),IF(원본명단!$I2913="",TRUE(),COUNTIF(원본명단!$I$3:$I2913,원본명단!$I2913)=1),IF(원본명단!$K2913="",TRUE(),COUNTIF(원본명단!$K$3:$K2913,원본명단!$K2913)=1)),"첫 건","중복 건")))</f>
        <v/>
      </c>
      <c r="J2914" s="11" t="str">
        <f aca="false">IF($A2914="","",IF($H2914="-","유지",IF($I2914="첫 건","유지","확인 필요")))</f>
        <v/>
      </c>
    </row>
    <row r="2915" customFormat="false" ht="15" hidden="false" customHeight="true" outlineLevel="0" collapsed="false">
      <c r="A2915" s="11" t="str">
        <f aca="false">IF(원본명단!$A2914="","",2912)</f>
        <v/>
      </c>
      <c r="B2915" s="12" t="str">
        <f aca="false">IF($A2915="","",원본명단!$A2914)</f>
        <v/>
      </c>
      <c r="C2915" s="12" t="str">
        <f aca="false">IF($A2915="","",원본명단!$B2914)</f>
        <v/>
      </c>
      <c r="D2915" s="12" t="str">
        <f aca="false">IF($A2915="","",원본명단!$D2914)</f>
        <v/>
      </c>
      <c r="E2915" s="11" t="str">
        <f aca="false">IF($A2915="","",IF(원본명단!$H2914="",0,COUNTIF(원본명단!$H$3:$H$6002,원본명단!$H2914)))</f>
        <v/>
      </c>
      <c r="F2915" s="11" t="str">
        <f aca="false">IF($A2915="","",IF(원본명단!$I2914="",0,COUNTIF(원본명단!$I$3:$I$6002,원본명단!$I2914)))</f>
        <v/>
      </c>
      <c r="G2915" s="11" t="str">
        <f aca="false">IF($A2915="","",IF(원본명단!$K2914="",0,COUNTIF(원본명단!$K$3:$K$6002,원본명단!$K2914)))</f>
        <v/>
      </c>
      <c r="H2915" s="11" t="str">
        <f aca="false">IF($A2915="","",IF(MAX($E2915,$F2915,$G2915)&gt;1,"중복","-"))</f>
        <v/>
      </c>
      <c r="I2915" s="11" t="str">
        <f aca="false">IF($A2915="","",IF($H2915="-","-",IF(AND(IF(원본명단!$H2914="",TRUE(),COUNTIF(원본명단!$H$3:$H2914,원본명단!$H2914)=1),IF(원본명단!$I2914="",TRUE(),COUNTIF(원본명단!$I$3:$I2914,원본명단!$I2914)=1),IF(원본명단!$K2914="",TRUE(),COUNTIF(원본명단!$K$3:$K2914,원본명단!$K2914)=1)),"첫 건","중복 건")))</f>
        <v/>
      </c>
      <c r="J2915" s="11" t="str">
        <f aca="false">IF($A2915="","",IF($H2915="-","유지",IF($I2915="첫 건","유지","확인 필요")))</f>
        <v/>
      </c>
    </row>
    <row r="2916" customFormat="false" ht="15" hidden="false" customHeight="true" outlineLevel="0" collapsed="false">
      <c r="A2916" s="11" t="str">
        <f aca="false">IF(원본명단!$A2915="","",2913)</f>
        <v/>
      </c>
      <c r="B2916" s="12" t="str">
        <f aca="false">IF($A2916="","",원본명단!$A2915)</f>
        <v/>
      </c>
      <c r="C2916" s="12" t="str">
        <f aca="false">IF($A2916="","",원본명단!$B2915)</f>
        <v/>
      </c>
      <c r="D2916" s="12" t="str">
        <f aca="false">IF($A2916="","",원본명단!$D2915)</f>
        <v/>
      </c>
      <c r="E2916" s="11" t="str">
        <f aca="false">IF($A2916="","",IF(원본명단!$H2915="",0,COUNTIF(원본명단!$H$3:$H$6002,원본명단!$H2915)))</f>
        <v/>
      </c>
      <c r="F2916" s="11" t="str">
        <f aca="false">IF($A2916="","",IF(원본명단!$I2915="",0,COUNTIF(원본명단!$I$3:$I$6002,원본명단!$I2915)))</f>
        <v/>
      </c>
      <c r="G2916" s="11" t="str">
        <f aca="false">IF($A2916="","",IF(원본명단!$K2915="",0,COUNTIF(원본명단!$K$3:$K$6002,원본명단!$K2915)))</f>
        <v/>
      </c>
      <c r="H2916" s="11" t="str">
        <f aca="false">IF($A2916="","",IF(MAX($E2916,$F2916,$G2916)&gt;1,"중복","-"))</f>
        <v/>
      </c>
      <c r="I2916" s="11" t="str">
        <f aca="false">IF($A2916="","",IF($H2916="-","-",IF(AND(IF(원본명단!$H2915="",TRUE(),COUNTIF(원본명단!$H$3:$H2915,원본명단!$H2915)=1),IF(원본명단!$I2915="",TRUE(),COUNTIF(원본명단!$I$3:$I2915,원본명단!$I2915)=1),IF(원본명단!$K2915="",TRUE(),COUNTIF(원본명단!$K$3:$K2915,원본명단!$K2915)=1)),"첫 건","중복 건")))</f>
        <v/>
      </c>
      <c r="J2916" s="11" t="str">
        <f aca="false">IF($A2916="","",IF($H2916="-","유지",IF($I2916="첫 건","유지","확인 필요")))</f>
        <v/>
      </c>
    </row>
    <row r="2917" customFormat="false" ht="15" hidden="false" customHeight="true" outlineLevel="0" collapsed="false">
      <c r="A2917" s="11" t="str">
        <f aca="false">IF(원본명단!$A2916="","",2914)</f>
        <v/>
      </c>
      <c r="B2917" s="12" t="str">
        <f aca="false">IF($A2917="","",원본명단!$A2916)</f>
        <v/>
      </c>
      <c r="C2917" s="12" t="str">
        <f aca="false">IF($A2917="","",원본명단!$B2916)</f>
        <v/>
      </c>
      <c r="D2917" s="12" t="str">
        <f aca="false">IF($A2917="","",원본명단!$D2916)</f>
        <v/>
      </c>
      <c r="E2917" s="11" t="str">
        <f aca="false">IF($A2917="","",IF(원본명단!$H2916="",0,COUNTIF(원본명단!$H$3:$H$6002,원본명단!$H2916)))</f>
        <v/>
      </c>
      <c r="F2917" s="11" t="str">
        <f aca="false">IF($A2917="","",IF(원본명단!$I2916="",0,COUNTIF(원본명단!$I$3:$I$6002,원본명단!$I2916)))</f>
        <v/>
      </c>
      <c r="G2917" s="11" t="str">
        <f aca="false">IF($A2917="","",IF(원본명단!$K2916="",0,COUNTIF(원본명단!$K$3:$K$6002,원본명단!$K2916)))</f>
        <v/>
      </c>
      <c r="H2917" s="11" t="str">
        <f aca="false">IF($A2917="","",IF(MAX($E2917,$F2917,$G2917)&gt;1,"중복","-"))</f>
        <v/>
      </c>
      <c r="I2917" s="11" t="str">
        <f aca="false">IF($A2917="","",IF($H2917="-","-",IF(AND(IF(원본명단!$H2916="",TRUE(),COUNTIF(원본명단!$H$3:$H2916,원본명단!$H2916)=1),IF(원본명단!$I2916="",TRUE(),COUNTIF(원본명단!$I$3:$I2916,원본명단!$I2916)=1),IF(원본명단!$K2916="",TRUE(),COUNTIF(원본명단!$K$3:$K2916,원본명단!$K2916)=1)),"첫 건","중복 건")))</f>
        <v/>
      </c>
      <c r="J2917" s="11" t="str">
        <f aca="false">IF($A2917="","",IF($H2917="-","유지",IF($I2917="첫 건","유지","확인 필요")))</f>
        <v/>
      </c>
    </row>
    <row r="2918" customFormat="false" ht="15" hidden="false" customHeight="true" outlineLevel="0" collapsed="false">
      <c r="A2918" s="11" t="str">
        <f aca="false">IF(원본명단!$A2917="","",2915)</f>
        <v/>
      </c>
      <c r="B2918" s="12" t="str">
        <f aca="false">IF($A2918="","",원본명단!$A2917)</f>
        <v/>
      </c>
      <c r="C2918" s="12" t="str">
        <f aca="false">IF($A2918="","",원본명단!$B2917)</f>
        <v/>
      </c>
      <c r="D2918" s="12" t="str">
        <f aca="false">IF($A2918="","",원본명단!$D2917)</f>
        <v/>
      </c>
      <c r="E2918" s="11" t="str">
        <f aca="false">IF($A2918="","",IF(원본명단!$H2917="",0,COUNTIF(원본명단!$H$3:$H$6002,원본명단!$H2917)))</f>
        <v/>
      </c>
      <c r="F2918" s="11" t="str">
        <f aca="false">IF($A2918="","",IF(원본명단!$I2917="",0,COUNTIF(원본명단!$I$3:$I$6002,원본명단!$I2917)))</f>
        <v/>
      </c>
      <c r="G2918" s="11" t="str">
        <f aca="false">IF($A2918="","",IF(원본명단!$K2917="",0,COUNTIF(원본명단!$K$3:$K$6002,원본명단!$K2917)))</f>
        <v/>
      </c>
      <c r="H2918" s="11" t="str">
        <f aca="false">IF($A2918="","",IF(MAX($E2918,$F2918,$G2918)&gt;1,"중복","-"))</f>
        <v/>
      </c>
      <c r="I2918" s="11" t="str">
        <f aca="false">IF($A2918="","",IF($H2918="-","-",IF(AND(IF(원본명단!$H2917="",TRUE(),COUNTIF(원본명단!$H$3:$H2917,원본명단!$H2917)=1),IF(원본명단!$I2917="",TRUE(),COUNTIF(원본명단!$I$3:$I2917,원본명단!$I2917)=1),IF(원본명단!$K2917="",TRUE(),COUNTIF(원본명단!$K$3:$K2917,원본명단!$K2917)=1)),"첫 건","중복 건")))</f>
        <v/>
      </c>
      <c r="J2918" s="11" t="str">
        <f aca="false">IF($A2918="","",IF($H2918="-","유지",IF($I2918="첫 건","유지","확인 필요")))</f>
        <v/>
      </c>
    </row>
    <row r="2919" customFormat="false" ht="15" hidden="false" customHeight="true" outlineLevel="0" collapsed="false">
      <c r="A2919" s="11" t="str">
        <f aca="false">IF(원본명단!$A2918="","",2916)</f>
        <v/>
      </c>
      <c r="B2919" s="12" t="str">
        <f aca="false">IF($A2919="","",원본명단!$A2918)</f>
        <v/>
      </c>
      <c r="C2919" s="12" t="str">
        <f aca="false">IF($A2919="","",원본명단!$B2918)</f>
        <v/>
      </c>
      <c r="D2919" s="12" t="str">
        <f aca="false">IF($A2919="","",원본명단!$D2918)</f>
        <v/>
      </c>
      <c r="E2919" s="11" t="str">
        <f aca="false">IF($A2919="","",IF(원본명단!$H2918="",0,COUNTIF(원본명단!$H$3:$H$6002,원본명단!$H2918)))</f>
        <v/>
      </c>
      <c r="F2919" s="11" t="str">
        <f aca="false">IF($A2919="","",IF(원본명단!$I2918="",0,COUNTIF(원본명단!$I$3:$I$6002,원본명단!$I2918)))</f>
        <v/>
      </c>
      <c r="G2919" s="11" t="str">
        <f aca="false">IF($A2919="","",IF(원본명단!$K2918="",0,COUNTIF(원본명단!$K$3:$K$6002,원본명단!$K2918)))</f>
        <v/>
      </c>
      <c r="H2919" s="11" t="str">
        <f aca="false">IF($A2919="","",IF(MAX($E2919,$F2919,$G2919)&gt;1,"중복","-"))</f>
        <v/>
      </c>
      <c r="I2919" s="11" t="str">
        <f aca="false">IF($A2919="","",IF($H2919="-","-",IF(AND(IF(원본명단!$H2918="",TRUE(),COUNTIF(원본명단!$H$3:$H2918,원본명단!$H2918)=1),IF(원본명단!$I2918="",TRUE(),COUNTIF(원본명단!$I$3:$I2918,원본명단!$I2918)=1),IF(원본명단!$K2918="",TRUE(),COUNTIF(원본명단!$K$3:$K2918,원본명단!$K2918)=1)),"첫 건","중복 건")))</f>
        <v/>
      </c>
      <c r="J2919" s="11" t="str">
        <f aca="false">IF($A2919="","",IF($H2919="-","유지",IF($I2919="첫 건","유지","확인 필요")))</f>
        <v/>
      </c>
    </row>
    <row r="2920" customFormat="false" ht="15" hidden="false" customHeight="true" outlineLevel="0" collapsed="false">
      <c r="A2920" s="11" t="str">
        <f aca="false">IF(원본명단!$A2919="","",2917)</f>
        <v/>
      </c>
      <c r="B2920" s="12" t="str">
        <f aca="false">IF($A2920="","",원본명단!$A2919)</f>
        <v/>
      </c>
      <c r="C2920" s="12" t="str">
        <f aca="false">IF($A2920="","",원본명단!$B2919)</f>
        <v/>
      </c>
      <c r="D2920" s="12" t="str">
        <f aca="false">IF($A2920="","",원본명단!$D2919)</f>
        <v/>
      </c>
      <c r="E2920" s="11" t="str">
        <f aca="false">IF($A2920="","",IF(원본명단!$H2919="",0,COUNTIF(원본명단!$H$3:$H$6002,원본명단!$H2919)))</f>
        <v/>
      </c>
      <c r="F2920" s="11" t="str">
        <f aca="false">IF($A2920="","",IF(원본명단!$I2919="",0,COUNTIF(원본명단!$I$3:$I$6002,원본명단!$I2919)))</f>
        <v/>
      </c>
      <c r="G2920" s="11" t="str">
        <f aca="false">IF($A2920="","",IF(원본명단!$K2919="",0,COUNTIF(원본명단!$K$3:$K$6002,원본명단!$K2919)))</f>
        <v/>
      </c>
      <c r="H2920" s="11" t="str">
        <f aca="false">IF($A2920="","",IF(MAX($E2920,$F2920,$G2920)&gt;1,"중복","-"))</f>
        <v/>
      </c>
      <c r="I2920" s="11" t="str">
        <f aca="false">IF($A2920="","",IF($H2920="-","-",IF(AND(IF(원본명단!$H2919="",TRUE(),COUNTIF(원본명단!$H$3:$H2919,원본명단!$H2919)=1),IF(원본명단!$I2919="",TRUE(),COUNTIF(원본명단!$I$3:$I2919,원본명단!$I2919)=1),IF(원본명단!$K2919="",TRUE(),COUNTIF(원본명단!$K$3:$K2919,원본명단!$K2919)=1)),"첫 건","중복 건")))</f>
        <v/>
      </c>
      <c r="J2920" s="11" t="str">
        <f aca="false">IF($A2920="","",IF($H2920="-","유지",IF($I2920="첫 건","유지","확인 필요")))</f>
        <v/>
      </c>
    </row>
    <row r="2921" customFormat="false" ht="15" hidden="false" customHeight="true" outlineLevel="0" collapsed="false">
      <c r="A2921" s="11" t="str">
        <f aca="false">IF(원본명단!$A2920="","",2918)</f>
        <v/>
      </c>
      <c r="B2921" s="12" t="str">
        <f aca="false">IF($A2921="","",원본명단!$A2920)</f>
        <v/>
      </c>
      <c r="C2921" s="12" t="str">
        <f aca="false">IF($A2921="","",원본명단!$B2920)</f>
        <v/>
      </c>
      <c r="D2921" s="12" t="str">
        <f aca="false">IF($A2921="","",원본명단!$D2920)</f>
        <v/>
      </c>
      <c r="E2921" s="11" t="str">
        <f aca="false">IF($A2921="","",IF(원본명단!$H2920="",0,COUNTIF(원본명단!$H$3:$H$6002,원본명단!$H2920)))</f>
        <v/>
      </c>
      <c r="F2921" s="11" t="str">
        <f aca="false">IF($A2921="","",IF(원본명단!$I2920="",0,COUNTIF(원본명단!$I$3:$I$6002,원본명단!$I2920)))</f>
        <v/>
      </c>
      <c r="G2921" s="11" t="str">
        <f aca="false">IF($A2921="","",IF(원본명단!$K2920="",0,COUNTIF(원본명단!$K$3:$K$6002,원본명단!$K2920)))</f>
        <v/>
      </c>
      <c r="H2921" s="11" t="str">
        <f aca="false">IF($A2921="","",IF(MAX($E2921,$F2921,$G2921)&gt;1,"중복","-"))</f>
        <v/>
      </c>
      <c r="I2921" s="11" t="str">
        <f aca="false">IF($A2921="","",IF($H2921="-","-",IF(AND(IF(원본명단!$H2920="",TRUE(),COUNTIF(원본명단!$H$3:$H2920,원본명단!$H2920)=1),IF(원본명단!$I2920="",TRUE(),COUNTIF(원본명단!$I$3:$I2920,원본명단!$I2920)=1),IF(원본명단!$K2920="",TRUE(),COUNTIF(원본명단!$K$3:$K2920,원본명단!$K2920)=1)),"첫 건","중복 건")))</f>
        <v/>
      </c>
      <c r="J2921" s="11" t="str">
        <f aca="false">IF($A2921="","",IF($H2921="-","유지",IF($I2921="첫 건","유지","확인 필요")))</f>
        <v/>
      </c>
    </row>
    <row r="2922" customFormat="false" ht="15" hidden="false" customHeight="true" outlineLevel="0" collapsed="false">
      <c r="A2922" s="11" t="str">
        <f aca="false">IF(원본명단!$A2921="","",2919)</f>
        <v/>
      </c>
      <c r="B2922" s="12" t="str">
        <f aca="false">IF($A2922="","",원본명단!$A2921)</f>
        <v/>
      </c>
      <c r="C2922" s="12" t="str">
        <f aca="false">IF($A2922="","",원본명단!$B2921)</f>
        <v/>
      </c>
      <c r="D2922" s="12" t="str">
        <f aca="false">IF($A2922="","",원본명단!$D2921)</f>
        <v/>
      </c>
      <c r="E2922" s="11" t="str">
        <f aca="false">IF($A2922="","",IF(원본명단!$H2921="",0,COUNTIF(원본명단!$H$3:$H$6002,원본명단!$H2921)))</f>
        <v/>
      </c>
      <c r="F2922" s="11" t="str">
        <f aca="false">IF($A2922="","",IF(원본명단!$I2921="",0,COUNTIF(원본명단!$I$3:$I$6002,원본명단!$I2921)))</f>
        <v/>
      </c>
      <c r="G2922" s="11" t="str">
        <f aca="false">IF($A2922="","",IF(원본명단!$K2921="",0,COUNTIF(원본명단!$K$3:$K$6002,원본명단!$K2921)))</f>
        <v/>
      </c>
      <c r="H2922" s="11" t="str">
        <f aca="false">IF($A2922="","",IF(MAX($E2922,$F2922,$G2922)&gt;1,"중복","-"))</f>
        <v/>
      </c>
      <c r="I2922" s="11" t="str">
        <f aca="false">IF($A2922="","",IF($H2922="-","-",IF(AND(IF(원본명단!$H2921="",TRUE(),COUNTIF(원본명단!$H$3:$H2921,원본명단!$H2921)=1),IF(원본명단!$I2921="",TRUE(),COUNTIF(원본명단!$I$3:$I2921,원본명단!$I2921)=1),IF(원본명단!$K2921="",TRUE(),COUNTIF(원본명단!$K$3:$K2921,원본명단!$K2921)=1)),"첫 건","중복 건")))</f>
        <v/>
      </c>
      <c r="J2922" s="11" t="str">
        <f aca="false">IF($A2922="","",IF($H2922="-","유지",IF($I2922="첫 건","유지","확인 필요")))</f>
        <v/>
      </c>
    </row>
    <row r="2923" customFormat="false" ht="15" hidden="false" customHeight="true" outlineLevel="0" collapsed="false">
      <c r="A2923" s="11" t="str">
        <f aca="false">IF(원본명단!$A2922="","",2920)</f>
        <v/>
      </c>
      <c r="B2923" s="12" t="str">
        <f aca="false">IF($A2923="","",원본명단!$A2922)</f>
        <v/>
      </c>
      <c r="C2923" s="12" t="str">
        <f aca="false">IF($A2923="","",원본명단!$B2922)</f>
        <v/>
      </c>
      <c r="D2923" s="12" t="str">
        <f aca="false">IF($A2923="","",원본명단!$D2922)</f>
        <v/>
      </c>
      <c r="E2923" s="11" t="str">
        <f aca="false">IF($A2923="","",IF(원본명단!$H2922="",0,COUNTIF(원본명단!$H$3:$H$6002,원본명단!$H2922)))</f>
        <v/>
      </c>
      <c r="F2923" s="11" t="str">
        <f aca="false">IF($A2923="","",IF(원본명단!$I2922="",0,COUNTIF(원본명단!$I$3:$I$6002,원본명단!$I2922)))</f>
        <v/>
      </c>
      <c r="G2923" s="11" t="str">
        <f aca="false">IF($A2923="","",IF(원본명단!$K2922="",0,COUNTIF(원본명단!$K$3:$K$6002,원본명단!$K2922)))</f>
        <v/>
      </c>
      <c r="H2923" s="11" t="str">
        <f aca="false">IF($A2923="","",IF(MAX($E2923,$F2923,$G2923)&gt;1,"중복","-"))</f>
        <v/>
      </c>
      <c r="I2923" s="11" t="str">
        <f aca="false">IF($A2923="","",IF($H2923="-","-",IF(AND(IF(원본명단!$H2922="",TRUE(),COUNTIF(원본명단!$H$3:$H2922,원본명단!$H2922)=1),IF(원본명단!$I2922="",TRUE(),COUNTIF(원본명단!$I$3:$I2922,원본명단!$I2922)=1),IF(원본명단!$K2922="",TRUE(),COUNTIF(원본명단!$K$3:$K2922,원본명단!$K2922)=1)),"첫 건","중복 건")))</f>
        <v/>
      </c>
      <c r="J2923" s="11" t="str">
        <f aca="false">IF($A2923="","",IF($H2923="-","유지",IF($I2923="첫 건","유지","확인 필요")))</f>
        <v/>
      </c>
    </row>
    <row r="2924" customFormat="false" ht="15" hidden="false" customHeight="true" outlineLevel="0" collapsed="false">
      <c r="A2924" s="11" t="str">
        <f aca="false">IF(원본명단!$A2923="","",2921)</f>
        <v/>
      </c>
      <c r="B2924" s="12" t="str">
        <f aca="false">IF($A2924="","",원본명단!$A2923)</f>
        <v/>
      </c>
      <c r="C2924" s="12" t="str">
        <f aca="false">IF($A2924="","",원본명단!$B2923)</f>
        <v/>
      </c>
      <c r="D2924" s="12" t="str">
        <f aca="false">IF($A2924="","",원본명단!$D2923)</f>
        <v/>
      </c>
      <c r="E2924" s="11" t="str">
        <f aca="false">IF($A2924="","",IF(원본명단!$H2923="",0,COUNTIF(원본명단!$H$3:$H$6002,원본명단!$H2923)))</f>
        <v/>
      </c>
      <c r="F2924" s="11" t="str">
        <f aca="false">IF($A2924="","",IF(원본명단!$I2923="",0,COUNTIF(원본명단!$I$3:$I$6002,원본명단!$I2923)))</f>
        <v/>
      </c>
      <c r="G2924" s="11" t="str">
        <f aca="false">IF($A2924="","",IF(원본명단!$K2923="",0,COUNTIF(원본명단!$K$3:$K$6002,원본명단!$K2923)))</f>
        <v/>
      </c>
      <c r="H2924" s="11" t="str">
        <f aca="false">IF($A2924="","",IF(MAX($E2924,$F2924,$G2924)&gt;1,"중복","-"))</f>
        <v/>
      </c>
      <c r="I2924" s="11" t="str">
        <f aca="false">IF($A2924="","",IF($H2924="-","-",IF(AND(IF(원본명단!$H2923="",TRUE(),COUNTIF(원본명단!$H$3:$H2923,원본명단!$H2923)=1),IF(원본명단!$I2923="",TRUE(),COUNTIF(원본명단!$I$3:$I2923,원본명단!$I2923)=1),IF(원본명단!$K2923="",TRUE(),COUNTIF(원본명단!$K$3:$K2923,원본명단!$K2923)=1)),"첫 건","중복 건")))</f>
        <v/>
      </c>
      <c r="J2924" s="11" t="str">
        <f aca="false">IF($A2924="","",IF($H2924="-","유지",IF($I2924="첫 건","유지","확인 필요")))</f>
        <v/>
      </c>
    </row>
    <row r="2925" customFormat="false" ht="15" hidden="false" customHeight="true" outlineLevel="0" collapsed="false">
      <c r="A2925" s="11" t="str">
        <f aca="false">IF(원본명단!$A2924="","",2922)</f>
        <v/>
      </c>
      <c r="B2925" s="12" t="str">
        <f aca="false">IF($A2925="","",원본명단!$A2924)</f>
        <v/>
      </c>
      <c r="C2925" s="12" t="str">
        <f aca="false">IF($A2925="","",원본명단!$B2924)</f>
        <v/>
      </c>
      <c r="D2925" s="12" t="str">
        <f aca="false">IF($A2925="","",원본명단!$D2924)</f>
        <v/>
      </c>
      <c r="E2925" s="11" t="str">
        <f aca="false">IF($A2925="","",IF(원본명단!$H2924="",0,COUNTIF(원본명단!$H$3:$H$6002,원본명단!$H2924)))</f>
        <v/>
      </c>
      <c r="F2925" s="11" t="str">
        <f aca="false">IF($A2925="","",IF(원본명단!$I2924="",0,COUNTIF(원본명단!$I$3:$I$6002,원본명단!$I2924)))</f>
        <v/>
      </c>
      <c r="G2925" s="11" t="str">
        <f aca="false">IF($A2925="","",IF(원본명단!$K2924="",0,COUNTIF(원본명단!$K$3:$K$6002,원본명단!$K2924)))</f>
        <v/>
      </c>
      <c r="H2925" s="11" t="str">
        <f aca="false">IF($A2925="","",IF(MAX($E2925,$F2925,$G2925)&gt;1,"중복","-"))</f>
        <v/>
      </c>
      <c r="I2925" s="11" t="str">
        <f aca="false">IF($A2925="","",IF($H2925="-","-",IF(AND(IF(원본명단!$H2924="",TRUE(),COUNTIF(원본명단!$H$3:$H2924,원본명단!$H2924)=1),IF(원본명단!$I2924="",TRUE(),COUNTIF(원본명단!$I$3:$I2924,원본명단!$I2924)=1),IF(원본명단!$K2924="",TRUE(),COUNTIF(원본명단!$K$3:$K2924,원본명단!$K2924)=1)),"첫 건","중복 건")))</f>
        <v/>
      </c>
      <c r="J2925" s="11" t="str">
        <f aca="false">IF($A2925="","",IF($H2925="-","유지",IF($I2925="첫 건","유지","확인 필요")))</f>
        <v/>
      </c>
    </row>
    <row r="2926" customFormat="false" ht="15" hidden="false" customHeight="true" outlineLevel="0" collapsed="false">
      <c r="A2926" s="11" t="str">
        <f aca="false">IF(원본명단!$A2925="","",2923)</f>
        <v/>
      </c>
      <c r="B2926" s="12" t="str">
        <f aca="false">IF($A2926="","",원본명단!$A2925)</f>
        <v/>
      </c>
      <c r="C2926" s="12" t="str">
        <f aca="false">IF($A2926="","",원본명단!$B2925)</f>
        <v/>
      </c>
      <c r="D2926" s="12" t="str">
        <f aca="false">IF($A2926="","",원본명단!$D2925)</f>
        <v/>
      </c>
      <c r="E2926" s="11" t="str">
        <f aca="false">IF($A2926="","",IF(원본명단!$H2925="",0,COUNTIF(원본명단!$H$3:$H$6002,원본명단!$H2925)))</f>
        <v/>
      </c>
      <c r="F2926" s="11" t="str">
        <f aca="false">IF($A2926="","",IF(원본명단!$I2925="",0,COUNTIF(원본명단!$I$3:$I$6002,원본명단!$I2925)))</f>
        <v/>
      </c>
      <c r="G2926" s="11" t="str">
        <f aca="false">IF($A2926="","",IF(원본명단!$K2925="",0,COUNTIF(원본명단!$K$3:$K$6002,원본명단!$K2925)))</f>
        <v/>
      </c>
      <c r="H2926" s="11" t="str">
        <f aca="false">IF($A2926="","",IF(MAX($E2926,$F2926,$G2926)&gt;1,"중복","-"))</f>
        <v/>
      </c>
      <c r="I2926" s="11" t="str">
        <f aca="false">IF($A2926="","",IF($H2926="-","-",IF(AND(IF(원본명단!$H2925="",TRUE(),COUNTIF(원본명단!$H$3:$H2925,원본명단!$H2925)=1),IF(원본명단!$I2925="",TRUE(),COUNTIF(원본명단!$I$3:$I2925,원본명단!$I2925)=1),IF(원본명단!$K2925="",TRUE(),COUNTIF(원본명단!$K$3:$K2925,원본명단!$K2925)=1)),"첫 건","중복 건")))</f>
        <v/>
      </c>
      <c r="J2926" s="11" t="str">
        <f aca="false">IF($A2926="","",IF($H2926="-","유지",IF($I2926="첫 건","유지","확인 필요")))</f>
        <v/>
      </c>
    </row>
    <row r="2927" customFormat="false" ht="15" hidden="false" customHeight="true" outlineLevel="0" collapsed="false">
      <c r="A2927" s="11" t="str">
        <f aca="false">IF(원본명단!$A2926="","",2924)</f>
        <v/>
      </c>
      <c r="B2927" s="12" t="str">
        <f aca="false">IF($A2927="","",원본명단!$A2926)</f>
        <v/>
      </c>
      <c r="C2927" s="12" t="str">
        <f aca="false">IF($A2927="","",원본명단!$B2926)</f>
        <v/>
      </c>
      <c r="D2927" s="12" t="str">
        <f aca="false">IF($A2927="","",원본명단!$D2926)</f>
        <v/>
      </c>
      <c r="E2927" s="11" t="str">
        <f aca="false">IF($A2927="","",IF(원본명단!$H2926="",0,COUNTIF(원본명단!$H$3:$H$6002,원본명단!$H2926)))</f>
        <v/>
      </c>
      <c r="F2927" s="11" t="str">
        <f aca="false">IF($A2927="","",IF(원본명단!$I2926="",0,COUNTIF(원본명단!$I$3:$I$6002,원본명단!$I2926)))</f>
        <v/>
      </c>
      <c r="G2927" s="11" t="str">
        <f aca="false">IF($A2927="","",IF(원본명단!$K2926="",0,COUNTIF(원본명단!$K$3:$K$6002,원본명단!$K2926)))</f>
        <v/>
      </c>
      <c r="H2927" s="11" t="str">
        <f aca="false">IF($A2927="","",IF(MAX($E2927,$F2927,$G2927)&gt;1,"중복","-"))</f>
        <v/>
      </c>
      <c r="I2927" s="11" t="str">
        <f aca="false">IF($A2927="","",IF($H2927="-","-",IF(AND(IF(원본명단!$H2926="",TRUE(),COUNTIF(원본명단!$H$3:$H2926,원본명단!$H2926)=1),IF(원본명단!$I2926="",TRUE(),COUNTIF(원본명단!$I$3:$I2926,원본명단!$I2926)=1),IF(원본명단!$K2926="",TRUE(),COUNTIF(원본명단!$K$3:$K2926,원본명단!$K2926)=1)),"첫 건","중복 건")))</f>
        <v/>
      </c>
      <c r="J2927" s="11" t="str">
        <f aca="false">IF($A2927="","",IF($H2927="-","유지",IF($I2927="첫 건","유지","확인 필요")))</f>
        <v/>
      </c>
    </row>
    <row r="2928" customFormat="false" ht="15" hidden="false" customHeight="true" outlineLevel="0" collapsed="false">
      <c r="A2928" s="11" t="str">
        <f aca="false">IF(원본명단!$A2927="","",2925)</f>
        <v/>
      </c>
      <c r="B2928" s="12" t="str">
        <f aca="false">IF($A2928="","",원본명단!$A2927)</f>
        <v/>
      </c>
      <c r="C2928" s="12" t="str">
        <f aca="false">IF($A2928="","",원본명단!$B2927)</f>
        <v/>
      </c>
      <c r="D2928" s="12" t="str">
        <f aca="false">IF($A2928="","",원본명단!$D2927)</f>
        <v/>
      </c>
      <c r="E2928" s="11" t="str">
        <f aca="false">IF($A2928="","",IF(원본명단!$H2927="",0,COUNTIF(원본명단!$H$3:$H$6002,원본명단!$H2927)))</f>
        <v/>
      </c>
      <c r="F2928" s="11" t="str">
        <f aca="false">IF($A2928="","",IF(원본명단!$I2927="",0,COUNTIF(원본명단!$I$3:$I$6002,원본명단!$I2927)))</f>
        <v/>
      </c>
      <c r="G2928" s="11" t="str">
        <f aca="false">IF($A2928="","",IF(원본명단!$K2927="",0,COUNTIF(원본명단!$K$3:$K$6002,원본명단!$K2927)))</f>
        <v/>
      </c>
      <c r="H2928" s="11" t="str">
        <f aca="false">IF($A2928="","",IF(MAX($E2928,$F2928,$G2928)&gt;1,"중복","-"))</f>
        <v/>
      </c>
      <c r="I2928" s="11" t="str">
        <f aca="false">IF($A2928="","",IF($H2928="-","-",IF(AND(IF(원본명단!$H2927="",TRUE(),COUNTIF(원본명단!$H$3:$H2927,원본명단!$H2927)=1),IF(원본명단!$I2927="",TRUE(),COUNTIF(원본명단!$I$3:$I2927,원본명단!$I2927)=1),IF(원본명단!$K2927="",TRUE(),COUNTIF(원본명단!$K$3:$K2927,원본명단!$K2927)=1)),"첫 건","중복 건")))</f>
        <v/>
      </c>
      <c r="J2928" s="11" t="str">
        <f aca="false">IF($A2928="","",IF($H2928="-","유지",IF($I2928="첫 건","유지","확인 필요")))</f>
        <v/>
      </c>
    </row>
    <row r="2929" customFormat="false" ht="15" hidden="false" customHeight="true" outlineLevel="0" collapsed="false">
      <c r="A2929" s="11" t="str">
        <f aca="false">IF(원본명단!$A2928="","",2926)</f>
        <v/>
      </c>
      <c r="B2929" s="12" t="str">
        <f aca="false">IF($A2929="","",원본명단!$A2928)</f>
        <v/>
      </c>
      <c r="C2929" s="12" t="str">
        <f aca="false">IF($A2929="","",원본명단!$B2928)</f>
        <v/>
      </c>
      <c r="D2929" s="12" t="str">
        <f aca="false">IF($A2929="","",원본명단!$D2928)</f>
        <v/>
      </c>
      <c r="E2929" s="11" t="str">
        <f aca="false">IF($A2929="","",IF(원본명단!$H2928="",0,COUNTIF(원본명단!$H$3:$H$6002,원본명단!$H2928)))</f>
        <v/>
      </c>
      <c r="F2929" s="11" t="str">
        <f aca="false">IF($A2929="","",IF(원본명단!$I2928="",0,COUNTIF(원본명단!$I$3:$I$6002,원본명단!$I2928)))</f>
        <v/>
      </c>
      <c r="G2929" s="11" t="str">
        <f aca="false">IF($A2929="","",IF(원본명단!$K2928="",0,COUNTIF(원본명단!$K$3:$K$6002,원본명단!$K2928)))</f>
        <v/>
      </c>
      <c r="H2929" s="11" t="str">
        <f aca="false">IF($A2929="","",IF(MAX($E2929,$F2929,$G2929)&gt;1,"중복","-"))</f>
        <v/>
      </c>
      <c r="I2929" s="11" t="str">
        <f aca="false">IF($A2929="","",IF($H2929="-","-",IF(AND(IF(원본명단!$H2928="",TRUE(),COUNTIF(원본명단!$H$3:$H2928,원본명단!$H2928)=1),IF(원본명단!$I2928="",TRUE(),COUNTIF(원본명단!$I$3:$I2928,원본명단!$I2928)=1),IF(원본명단!$K2928="",TRUE(),COUNTIF(원본명단!$K$3:$K2928,원본명단!$K2928)=1)),"첫 건","중복 건")))</f>
        <v/>
      </c>
      <c r="J2929" s="11" t="str">
        <f aca="false">IF($A2929="","",IF($H2929="-","유지",IF($I2929="첫 건","유지","확인 필요")))</f>
        <v/>
      </c>
    </row>
    <row r="2930" customFormat="false" ht="15" hidden="false" customHeight="true" outlineLevel="0" collapsed="false">
      <c r="A2930" s="11" t="str">
        <f aca="false">IF(원본명단!$A2929="","",2927)</f>
        <v/>
      </c>
      <c r="B2930" s="12" t="str">
        <f aca="false">IF($A2930="","",원본명단!$A2929)</f>
        <v/>
      </c>
      <c r="C2930" s="12" t="str">
        <f aca="false">IF($A2930="","",원본명단!$B2929)</f>
        <v/>
      </c>
      <c r="D2930" s="12" t="str">
        <f aca="false">IF($A2930="","",원본명단!$D2929)</f>
        <v/>
      </c>
      <c r="E2930" s="11" t="str">
        <f aca="false">IF($A2930="","",IF(원본명단!$H2929="",0,COUNTIF(원본명단!$H$3:$H$6002,원본명단!$H2929)))</f>
        <v/>
      </c>
      <c r="F2930" s="11" t="str">
        <f aca="false">IF($A2930="","",IF(원본명단!$I2929="",0,COUNTIF(원본명단!$I$3:$I$6002,원본명단!$I2929)))</f>
        <v/>
      </c>
      <c r="G2930" s="11" t="str">
        <f aca="false">IF($A2930="","",IF(원본명단!$K2929="",0,COUNTIF(원본명단!$K$3:$K$6002,원본명단!$K2929)))</f>
        <v/>
      </c>
      <c r="H2930" s="11" t="str">
        <f aca="false">IF($A2930="","",IF(MAX($E2930,$F2930,$G2930)&gt;1,"중복","-"))</f>
        <v/>
      </c>
      <c r="I2930" s="11" t="str">
        <f aca="false">IF($A2930="","",IF($H2930="-","-",IF(AND(IF(원본명단!$H2929="",TRUE(),COUNTIF(원본명단!$H$3:$H2929,원본명단!$H2929)=1),IF(원본명단!$I2929="",TRUE(),COUNTIF(원본명단!$I$3:$I2929,원본명단!$I2929)=1),IF(원본명단!$K2929="",TRUE(),COUNTIF(원본명단!$K$3:$K2929,원본명단!$K2929)=1)),"첫 건","중복 건")))</f>
        <v/>
      </c>
      <c r="J2930" s="11" t="str">
        <f aca="false">IF($A2930="","",IF($H2930="-","유지",IF($I2930="첫 건","유지","확인 필요")))</f>
        <v/>
      </c>
    </row>
    <row r="2931" customFormat="false" ht="15" hidden="false" customHeight="true" outlineLevel="0" collapsed="false">
      <c r="A2931" s="11" t="str">
        <f aca="false">IF(원본명단!$A2930="","",2928)</f>
        <v/>
      </c>
      <c r="B2931" s="12" t="str">
        <f aca="false">IF($A2931="","",원본명단!$A2930)</f>
        <v/>
      </c>
      <c r="C2931" s="12" t="str">
        <f aca="false">IF($A2931="","",원본명단!$B2930)</f>
        <v/>
      </c>
      <c r="D2931" s="12" t="str">
        <f aca="false">IF($A2931="","",원본명단!$D2930)</f>
        <v/>
      </c>
      <c r="E2931" s="11" t="str">
        <f aca="false">IF($A2931="","",IF(원본명단!$H2930="",0,COUNTIF(원본명단!$H$3:$H$6002,원본명단!$H2930)))</f>
        <v/>
      </c>
      <c r="F2931" s="11" t="str">
        <f aca="false">IF($A2931="","",IF(원본명단!$I2930="",0,COUNTIF(원본명단!$I$3:$I$6002,원본명단!$I2930)))</f>
        <v/>
      </c>
      <c r="G2931" s="11" t="str">
        <f aca="false">IF($A2931="","",IF(원본명단!$K2930="",0,COUNTIF(원본명단!$K$3:$K$6002,원본명단!$K2930)))</f>
        <v/>
      </c>
      <c r="H2931" s="11" t="str">
        <f aca="false">IF($A2931="","",IF(MAX($E2931,$F2931,$G2931)&gt;1,"중복","-"))</f>
        <v/>
      </c>
      <c r="I2931" s="11" t="str">
        <f aca="false">IF($A2931="","",IF($H2931="-","-",IF(AND(IF(원본명단!$H2930="",TRUE(),COUNTIF(원본명단!$H$3:$H2930,원본명단!$H2930)=1),IF(원본명단!$I2930="",TRUE(),COUNTIF(원본명단!$I$3:$I2930,원본명단!$I2930)=1),IF(원본명단!$K2930="",TRUE(),COUNTIF(원본명단!$K$3:$K2930,원본명단!$K2930)=1)),"첫 건","중복 건")))</f>
        <v/>
      </c>
      <c r="J2931" s="11" t="str">
        <f aca="false">IF($A2931="","",IF($H2931="-","유지",IF($I2931="첫 건","유지","확인 필요")))</f>
        <v/>
      </c>
    </row>
    <row r="2932" customFormat="false" ht="15" hidden="false" customHeight="true" outlineLevel="0" collapsed="false">
      <c r="A2932" s="11" t="str">
        <f aca="false">IF(원본명단!$A2931="","",2929)</f>
        <v/>
      </c>
      <c r="B2932" s="12" t="str">
        <f aca="false">IF($A2932="","",원본명단!$A2931)</f>
        <v/>
      </c>
      <c r="C2932" s="12" t="str">
        <f aca="false">IF($A2932="","",원본명단!$B2931)</f>
        <v/>
      </c>
      <c r="D2932" s="12" t="str">
        <f aca="false">IF($A2932="","",원본명단!$D2931)</f>
        <v/>
      </c>
      <c r="E2932" s="11" t="str">
        <f aca="false">IF($A2932="","",IF(원본명단!$H2931="",0,COUNTIF(원본명단!$H$3:$H$6002,원본명단!$H2931)))</f>
        <v/>
      </c>
      <c r="F2932" s="11" t="str">
        <f aca="false">IF($A2932="","",IF(원본명단!$I2931="",0,COUNTIF(원본명단!$I$3:$I$6002,원본명단!$I2931)))</f>
        <v/>
      </c>
      <c r="G2932" s="11" t="str">
        <f aca="false">IF($A2932="","",IF(원본명단!$K2931="",0,COUNTIF(원본명단!$K$3:$K$6002,원본명단!$K2931)))</f>
        <v/>
      </c>
      <c r="H2932" s="11" t="str">
        <f aca="false">IF($A2932="","",IF(MAX($E2932,$F2932,$G2932)&gt;1,"중복","-"))</f>
        <v/>
      </c>
      <c r="I2932" s="11" t="str">
        <f aca="false">IF($A2932="","",IF($H2932="-","-",IF(AND(IF(원본명단!$H2931="",TRUE(),COUNTIF(원본명단!$H$3:$H2931,원본명단!$H2931)=1),IF(원본명단!$I2931="",TRUE(),COUNTIF(원본명단!$I$3:$I2931,원본명단!$I2931)=1),IF(원본명단!$K2931="",TRUE(),COUNTIF(원본명단!$K$3:$K2931,원본명단!$K2931)=1)),"첫 건","중복 건")))</f>
        <v/>
      </c>
      <c r="J2932" s="11" t="str">
        <f aca="false">IF($A2932="","",IF($H2932="-","유지",IF($I2932="첫 건","유지","확인 필요")))</f>
        <v/>
      </c>
    </row>
    <row r="2933" customFormat="false" ht="15" hidden="false" customHeight="true" outlineLevel="0" collapsed="false">
      <c r="A2933" s="11" t="str">
        <f aca="false">IF(원본명단!$A2932="","",2930)</f>
        <v/>
      </c>
      <c r="B2933" s="12" t="str">
        <f aca="false">IF($A2933="","",원본명단!$A2932)</f>
        <v/>
      </c>
      <c r="C2933" s="12" t="str">
        <f aca="false">IF($A2933="","",원본명단!$B2932)</f>
        <v/>
      </c>
      <c r="D2933" s="12" t="str">
        <f aca="false">IF($A2933="","",원본명단!$D2932)</f>
        <v/>
      </c>
      <c r="E2933" s="11" t="str">
        <f aca="false">IF($A2933="","",IF(원본명단!$H2932="",0,COUNTIF(원본명단!$H$3:$H$6002,원본명단!$H2932)))</f>
        <v/>
      </c>
      <c r="F2933" s="11" t="str">
        <f aca="false">IF($A2933="","",IF(원본명단!$I2932="",0,COUNTIF(원본명단!$I$3:$I$6002,원본명단!$I2932)))</f>
        <v/>
      </c>
      <c r="G2933" s="11" t="str">
        <f aca="false">IF($A2933="","",IF(원본명단!$K2932="",0,COUNTIF(원본명단!$K$3:$K$6002,원본명단!$K2932)))</f>
        <v/>
      </c>
      <c r="H2933" s="11" t="str">
        <f aca="false">IF($A2933="","",IF(MAX($E2933,$F2933,$G2933)&gt;1,"중복","-"))</f>
        <v/>
      </c>
      <c r="I2933" s="11" t="str">
        <f aca="false">IF($A2933="","",IF($H2933="-","-",IF(AND(IF(원본명단!$H2932="",TRUE(),COUNTIF(원본명단!$H$3:$H2932,원본명단!$H2932)=1),IF(원본명단!$I2932="",TRUE(),COUNTIF(원본명단!$I$3:$I2932,원본명단!$I2932)=1),IF(원본명단!$K2932="",TRUE(),COUNTIF(원본명단!$K$3:$K2932,원본명단!$K2932)=1)),"첫 건","중복 건")))</f>
        <v/>
      </c>
      <c r="J2933" s="11" t="str">
        <f aca="false">IF($A2933="","",IF($H2933="-","유지",IF($I2933="첫 건","유지","확인 필요")))</f>
        <v/>
      </c>
    </row>
    <row r="2934" customFormat="false" ht="15" hidden="false" customHeight="true" outlineLevel="0" collapsed="false">
      <c r="A2934" s="11" t="str">
        <f aca="false">IF(원본명단!$A2933="","",2931)</f>
        <v/>
      </c>
      <c r="B2934" s="12" t="str">
        <f aca="false">IF($A2934="","",원본명단!$A2933)</f>
        <v/>
      </c>
      <c r="C2934" s="12" t="str">
        <f aca="false">IF($A2934="","",원본명단!$B2933)</f>
        <v/>
      </c>
      <c r="D2934" s="12" t="str">
        <f aca="false">IF($A2934="","",원본명단!$D2933)</f>
        <v/>
      </c>
      <c r="E2934" s="11" t="str">
        <f aca="false">IF($A2934="","",IF(원본명단!$H2933="",0,COUNTIF(원본명단!$H$3:$H$6002,원본명단!$H2933)))</f>
        <v/>
      </c>
      <c r="F2934" s="11" t="str">
        <f aca="false">IF($A2934="","",IF(원본명단!$I2933="",0,COUNTIF(원본명단!$I$3:$I$6002,원본명단!$I2933)))</f>
        <v/>
      </c>
      <c r="G2934" s="11" t="str">
        <f aca="false">IF($A2934="","",IF(원본명단!$K2933="",0,COUNTIF(원본명단!$K$3:$K$6002,원본명단!$K2933)))</f>
        <v/>
      </c>
      <c r="H2934" s="11" t="str">
        <f aca="false">IF($A2934="","",IF(MAX($E2934,$F2934,$G2934)&gt;1,"중복","-"))</f>
        <v/>
      </c>
      <c r="I2934" s="11" t="str">
        <f aca="false">IF($A2934="","",IF($H2934="-","-",IF(AND(IF(원본명단!$H2933="",TRUE(),COUNTIF(원본명단!$H$3:$H2933,원본명단!$H2933)=1),IF(원본명단!$I2933="",TRUE(),COUNTIF(원본명단!$I$3:$I2933,원본명단!$I2933)=1),IF(원본명단!$K2933="",TRUE(),COUNTIF(원본명단!$K$3:$K2933,원본명단!$K2933)=1)),"첫 건","중복 건")))</f>
        <v/>
      </c>
      <c r="J2934" s="11" t="str">
        <f aca="false">IF($A2934="","",IF($H2934="-","유지",IF($I2934="첫 건","유지","확인 필요")))</f>
        <v/>
      </c>
    </row>
    <row r="2935" customFormat="false" ht="15" hidden="false" customHeight="true" outlineLevel="0" collapsed="false">
      <c r="A2935" s="11" t="str">
        <f aca="false">IF(원본명단!$A2934="","",2932)</f>
        <v/>
      </c>
      <c r="B2935" s="12" t="str">
        <f aca="false">IF($A2935="","",원본명단!$A2934)</f>
        <v/>
      </c>
      <c r="C2935" s="12" t="str">
        <f aca="false">IF($A2935="","",원본명단!$B2934)</f>
        <v/>
      </c>
      <c r="D2935" s="12" t="str">
        <f aca="false">IF($A2935="","",원본명단!$D2934)</f>
        <v/>
      </c>
      <c r="E2935" s="11" t="str">
        <f aca="false">IF($A2935="","",IF(원본명단!$H2934="",0,COUNTIF(원본명단!$H$3:$H$6002,원본명단!$H2934)))</f>
        <v/>
      </c>
      <c r="F2935" s="11" t="str">
        <f aca="false">IF($A2935="","",IF(원본명단!$I2934="",0,COUNTIF(원본명단!$I$3:$I$6002,원본명단!$I2934)))</f>
        <v/>
      </c>
      <c r="G2935" s="11" t="str">
        <f aca="false">IF($A2935="","",IF(원본명단!$K2934="",0,COUNTIF(원본명단!$K$3:$K$6002,원본명단!$K2934)))</f>
        <v/>
      </c>
      <c r="H2935" s="11" t="str">
        <f aca="false">IF($A2935="","",IF(MAX($E2935,$F2935,$G2935)&gt;1,"중복","-"))</f>
        <v/>
      </c>
      <c r="I2935" s="11" t="str">
        <f aca="false">IF($A2935="","",IF($H2935="-","-",IF(AND(IF(원본명단!$H2934="",TRUE(),COUNTIF(원본명단!$H$3:$H2934,원본명단!$H2934)=1),IF(원본명단!$I2934="",TRUE(),COUNTIF(원본명단!$I$3:$I2934,원본명단!$I2934)=1),IF(원본명단!$K2934="",TRUE(),COUNTIF(원본명단!$K$3:$K2934,원본명단!$K2934)=1)),"첫 건","중복 건")))</f>
        <v/>
      </c>
      <c r="J2935" s="11" t="str">
        <f aca="false">IF($A2935="","",IF($H2935="-","유지",IF($I2935="첫 건","유지","확인 필요")))</f>
        <v/>
      </c>
    </row>
    <row r="2936" customFormat="false" ht="15" hidden="false" customHeight="true" outlineLevel="0" collapsed="false">
      <c r="A2936" s="11" t="str">
        <f aca="false">IF(원본명단!$A2935="","",2933)</f>
        <v/>
      </c>
      <c r="B2936" s="12" t="str">
        <f aca="false">IF($A2936="","",원본명단!$A2935)</f>
        <v/>
      </c>
      <c r="C2936" s="12" t="str">
        <f aca="false">IF($A2936="","",원본명단!$B2935)</f>
        <v/>
      </c>
      <c r="D2936" s="12" t="str">
        <f aca="false">IF($A2936="","",원본명단!$D2935)</f>
        <v/>
      </c>
      <c r="E2936" s="11" t="str">
        <f aca="false">IF($A2936="","",IF(원본명단!$H2935="",0,COUNTIF(원본명단!$H$3:$H$6002,원본명단!$H2935)))</f>
        <v/>
      </c>
      <c r="F2936" s="11" t="str">
        <f aca="false">IF($A2936="","",IF(원본명단!$I2935="",0,COUNTIF(원본명단!$I$3:$I$6002,원본명단!$I2935)))</f>
        <v/>
      </c>
      <c r="G2936" s="11" t="str">
        <f aca="false">IF($A2936="","",IF(원본명단!$K2935="",0,COUNTIF(원본명단!$K$3:$K$6002,원본명단!$K2935)))</f>
        <v/>
      </c>
      <c r="H2936" s="11" t="str">
        <f aca="false">IF($A2936="","",IF(MAX($E2936,$F2936,$G2936)&gt;1,"중복","-"))</f>
        <v/>
      </c>
      <c r="I2936" s="11" t="str">
        <f aca="false">IF($A2936="","",IF($H2936="-","-",IF(AND(IF(원본명단!$H2935="",TRUE(),COUNTIF(원본명단!$H$3:$H2935,원본명단!$H2935)=1),IF(원본명단!$I2935="",TRUE(),COUNTIF(원본명단!$I$3:$I2935,원본명단!$I2935)=1),IF(원본명단!$K2935="",TRUE(),COUNTIF(원본명단!$K$3:$K2935,원본명단!$K2935)=1)),"첫 건","중복 건")))</f>
        <v/>
      </c>
      <c r="J2936" s="11" t="str">
        <f aca="false">IF($A2936="","",IF($H2936="-","유지",IF($I2936="첫 건","유지","확인 필요")))</f>
        <v/>
      </c>
    </row>
    <row r="2937" customFormat="false" ht="15" hidden="false" customHeight="true" outlineLevel="0" collapsed="false">
      <c r="A2937" s="11" t="str">
        <f aca="false">IF(원본명단!$A2936="","",2934)</f>
        <v/>
      </c>
      <c r="B2937" s="12" t="str">
        <f aca="false">IF($A2937="","",원본명단!$A2936)</f>
        <v/>
      </c>
      <c r="C2937" s="12" t="str">
        <f aca="false">IF($A2937="","",원본명단!$B2936)</f>
        <v/>
      </c>
      <c r="D2937" s="12" t="str">
        <f aca="false">IF($A2937="","",원본명단!$D2936)</f>
        <v/>
      </c>
      <c r="E2937" s="11" t="str">
        <f aca="false">IF($A2937="","",IF(원본명단!$H2936="",0,COUNTIF(원본명단!$H$3:$H$6002,원본명단!$H2936)))</f>
        <v/>
      </c>
      <c r="F2937" s="11" t="str">
        <f aca="false">IF($A2937="","",IF(원본명단!$I2936="",0,COUNTIF(원본명단!$I$3:$I$6002,원본명단!$I2936)))</f>
        <v/>
      </c>
      <c r="G2937" s="11" t="str">
        <f aca="false">IF($A2937="","",IF(원본명단!$K2936="",0,COUNTIF(원본명단!$K$3:$K$6002,원본명단!$K2936)))</f>
        <v/>
      </c>
      <c r="H2937" s="11" t="str">
        <f aca="false">IF($A2937="","",IF(MAX($E2937,$F2937,$G2937)&gt;1,"중복","-"))</f>
        <v/>
      </c>
      <c r="I2937" s="11" t="str">
        <f aca="false">IF($A2937="","",IF($H2937="-","-",IF(AND(IF(원본명단!$H2936="",TRUE(),COUNTIF(원본명단!$H$3:$H2936,원본명단!$H2936)=1),IF(원본명단!$I2936="",TRUE(),COUNTIF(원본명단!$I$3:$I2936,원본명단!$I2936)=1),IF(원본명단!$K2936="",TRUE(),COUNTIF(원본명단!$K$3:$K2936,원본명단!$K2936)=1)),"첫 건","중복 건")))</f>
        <v/>
      </c>
      <c r="J2937" s="11" t="str">
        <f aca="false">IF($A2937="","",IF($H2937="-","유지",IF($I2937="첫 건","유지","확인 필요")))</f>
        <v/>
      </c>
    </row>
    <row r="2938" customFormat="false" ht="15" hidden="false" customHeight="true" outlineLevel="0" collapsed="false">
      <c r="A2938" s="11" t="str">
        <f aca="false">IF(원본명단!$A2937="","",2935)</f>
        <v/>
      </c>
      <c r="B2938" s="12" t="str">
        <f aca="false">IF($A2938="","",원본명단!$A2937)</f>
        <v/>
      </c>
      <c r="C2938" s="12" t="str">
        <f aca="false">IF($A2938="","",원본명단!$B2937)</f>
        <v/>
      </c>
      <c r="D2938" s="12" t="str">
        <f aca="false">IF($A2938="","",원본명단!$D2937)</f>
        <v/>
      </c>
      <c r="E2938" s="11" t="str">
        <f aca="false">IF($A2938="","",IF(원본명단!$H2937="",0,COUNTIF(원본명단!$H$3:$H$6002,원본명단!$H2937)))</f>
        <v/>
      </c>
      <c r="F2938" s="11" t="str">
        <f aca="false">IF($A2938="","",IF(원본명단!$I2937="",0,COUNTIF(원본명단!$I$3:$I$6002,원본명단!$I2937)))</f>
        <v/>
      </c>
      <c r="G2938" s="11" t="str">
        <f aca="false">IF($A2938="","",IF(원본명단!$K2937="",0,COUNTIF(원본명단!$K$3:$K$6002,원본명단!$K2937)))</f>
        <v/>
      </c>
      <c r="H2938" s="11" t="str">
        <f aca="false">IF($A2938="","",IF(MAX($E2938,$F2938,$G2938)&gt;1,"중복","-"))</f>
        <v/>
      </c>
      <c r="I2938" s="11" t="str">
        <f aca="false">IF($A2938="","",IF($H2938="-","-",IF(AND(IF(원본명단!$H2937="",TRUE(),COUNTIF(원본명단!$H$3:$H2937,원본명단!$H2937)=1),IF(원본명단!$I2937="",TRUE(),COUNTIF(원본명단!$I$3:$I2937,원본명단!$I2937)=1),IF(원본명단!$K2937="",TRUE(),COUNTIF(원본명단!$K$3:$K2937,원본명단!$K2937)=1)),"첫 건","중복 건")))</f>
        <v/>
      </c>
      <c r="J2938" s="11" t="str">
        <f aca="false">IF($A2938="","",IF($H2938="-","유지",IF($I2938="첫 건","유지","확인 필요")))</f>
        <v/>
      </c>
    </row>
    <row r="2939" customFormat="false" ht="15" hidden="false" customHeight="true" outlineLevel="0" collapsed="false">
      <c r="A2939" s="11" t="str">
        <f aca="false">IF(원본명단!$A2938="","",2936)</f>
        <v/>
      </c>
      <c r="B2939" s="12" t="str">
        <f aca="false">IF($A2939="","",원본명단!$A2938)</f>
        <v/>
      </c>
      <c r="C2939" s="12" t="str">
        <f aca="false">IF($A2939="","",원본명단!$B2938)</f>
        <v/>
      </c>
      <c r="D2939" s="12" t="str">
        <f aca="false">IF($A2939="","",원본명단!$D2938)</f>
        <v/>
      </c>
      <c r="E2939" s="11" t="str">
        <f aca="false">IF($A2939="","",IF(원본명단!$H2938="",0,COUNTIF(원본명단!$H$3:$H$6002,원본명단!$H2938)))</f>
        <v/>
      </c>
      <c r="F2939" s="11" t="str">
        <f aca="false">IF($A2939="","",IF(원본명단!$I2938="",0,COUNTIF(원본명단!$I$3:$I$6002,원본명단!$I2938)))</f>
        <v/>
      </c>
      <c r="G2939" s="11" t="str">
        <f aca="false">IF($A2939="","",IF(원본명단!$K2938="",0,COUNTIF(원본명단!$K$3:$K$6002,원본명단!$K2938)))</f>
        <v/>
      </c>
      <c r="H2939" s="11" t="str">
        <f aca="false">IF($A2939="","",IF(MAX($E2939,$F2939,$G2939)&gt;1,"중복","-"))</f>
        <v/>
      </c>
      <c r="I2939" s="11" t="str">
        <f aca="false">IF($A2939="","",IF($H2939="-","-",IF(AND(IF(원본명단!$H2938="",TRUE(),COUNTIF(원본명단!$H$3:$H2938,원본명단!$H2938)=1),IF(원본명단!$I2938="",TRUE(),COUNTIF(원본명단!$I$3:$I2938,원본명단!$I2938)=1),IF(원본명단!$K2938="",TRUE(),COUNTIF(원본명단!$K$3:$K2938,원본명단!$K2938)=1)),"첫 건","중복 건")))</f>
        <v/>
      </c>
      <c r="J2939" s="11" t="str">
        <f aca="false">IF($A2939="","",IF($H2939="-","유지",IF($I2939="첫 건","유지","확인 필요")))</f>
        <v/>
      </c>
    </row>
    <row r="2940" customFormat="false" ht="15" hidden="false" customHeight="true" outlineLevel="0" collapsed="false">
      <c r="A2940" s="11" t="str">
        <f aca="false">IF(원본명단!$A2939="","",2937)</f>
        <v/>
      </c>
      <c r="B2940" s="12" t="str">
        <f aca="false">IF($A2940="","",원본명단!$A2939)</f>
        <v/>
      </c>
      <c r="C2940" s="12" t="str">
        <f aca="false">IF($A2940="","",원본명단!$B2939)</f>
        <v/>
      </c>
      <c r="D2940" s="12" t="str">
        <f aca="false">IF($A2940="","",원본명단!$D2939)</f>
        <v/>
      </c>
      <c r="E2940" s="11" t="str">
        <f aca="false">IF($A2940="","",IF(원본명단!$H2939="",0,COUNTIF(원본명단!$H$3:$H$6002,원본명단!$H2939)))</f>
        <v/>
      </c>
      <c r="F2940" s="11" t="str">
        <f aca="false">IF($A2940="","",IF(원본명단!$I2939="",0,COUNTIF(원본명단!$I$3:$I$6002,원본명단!$I2939)))</f>
        <v/>
      </c>
      <c r="G2940" s="11" t="str">
        <f aca="false">IF($A2940="","",IF(원본명단!$K2939="",0,COUNTIF(원본명단!$K$3:$K$6002,원본명단!$K2939)))</f>
        <v/>
      </c>
      <c r="H2940" s="11" t="str">
        <f aca="false">IF($A2940="","",IF(MAX($E2940,$F2940,$G2940)&gt;1,"중복","-"))</f>
        <v/>
      </c>
      <c r="I2940" s="11" t="str">
        <f aca="false">IF($A2940="","",IF($H2940="-","-",IF(AND(IF(원본명단!$H2939="",TRUE(),COUNTIF(원본명단!$H$3:$H2939,원본명단!$H2939)=1),IF(원본명단!$I2939="",TRUE(),COUNTIF(원본명단!$I$3:$I2939,원본명단!$I2939)=1),IF(원본명단!$K2939="",TRUE(),COUNTIF(원본명단!$K$3:$K2939,원본명단!$K2939)=1)),"첫 건","중복 건")))</f>
        <v/>
      </c>
      <c r="J2940" s="11" t="str">
        <f aca="false">IF($A2940="","",IF($H2940="-","유지",IF($I2940="첫 건","유지","확인 필요")))</f>
        <v/>
      </c>
    </row>
    <row r="2941" customFormat="false" ht="15" hidden="false" customHeight="true" outlineLevel="0" collapsed="false">
      <c r="A2941" s="11" t="str">
        <f aca="false">IF(원본명단!$A2940="","",2938)</f>
        <v/>
      </c>
      <c r="B2941" s="12" t="str">
        <f aca="false">IF($A2941="","",원본명단!$A2940)</f>
        <v/>
      </c>
      <c r="C2941" s="12" t="str">
        <f aca="false">IF($A2941="","",원본명단!$B2940)</f>
        <v/>
      </c>
      <c r="D2941" s="12" t="str">
        <f aca="false">IF($A2941="","",원본명단!$D2940)</f>
        <v/>
      </c>
      <c r="E2941" s="11" t="str">
        <f aca="false">IF($A2941="","",IF(원본명단!$H2940="",0,COUNTIF(원본명단!$H$3:$H$6002,원본명단!$H2940)))</f>
        <v/>
      </c>
      <c r="F2941" s="11" t="str">
        <f aca="false">IF($A2941="","",IF(원본명단!$I2940="",0,COUNTIF(원본명단!$I$3:$I$6002,원본명단!$I2940)))</f>
        <v/>
      </c>
      <c r="G2941" s="11" t="str">
        <f aca="false">IF($A2941="","",IF(원본명단!$K2940="",0,COUNTIF(원본명단!$K$3:$K$6002,원본명단!$K2940)))</f>
        <v/>
      </c>
      <c r="H2941" s="11" t="str">
        <f aca="false">IF($A2941="","",IF(MAX($E2941,$F2941,$G2941)&gt;1,"중복","-"))</f>
        <v/>
      </c>
      <c r="I2941" s="11" t="str">
        <f aca="false">IF($A2941="","",IF($H2941="-","-",IF(AND(IF(원본명단!$H2940="",TRUE(),COUNTIF(원본명단!$H$3:$H2940,원본명단!$H2940)=1),IF(원본명단!$I2940="",TRUE(),COUNTIF(원본명단!$I$3:$I2940,원본명단!$I2940)=1),IF(원본명단!$K2940="",TRUE(),COUNTIF(원본명단!$K$3:$K2940,원본명단!$K2940)=1)),"첫 건","중복 건")))</f>
        <v/>
      </c>
      <c r="J2941" s="11" t="str">
        <f aca="false">IF($A2941="","",IF($H2941="-","유지",IF($I2941="첫 건","유지","확인 필요")))</f>
        <v/>
      </c>
    </row>
    <row r="2942" customFormat="false" ht="15" hidden="false" customHeight="true" outlineLevel="0" collapsed="false">
      <c r="A2942" s="11" t="str">
        <f aca="false">IF(원본명단!$A2941="","",2939)</f>
        <v/>
      </c>
      <c r="B2942" s="12" t="str">
        <f aca="false">IF($A2942="","",원본명단!$A2941)</f>
        <v/>
      </c>
      <c r="C2942" s="12" t="str">
        <f aca="false">IF($A2942="","",원본명단!$B2941)</f>
        <v/>
      </c>
      <c r="D2942" s="12" t="str">
        <f aca="false">IF($A2942="","",원본명단!$D2941)</f>
        <v/>
      </c>
      <c r="E2942" s="11" t="str">
        <f aca="false">IF($A2942="","",IF(원본명단!$H2941="",0,COUNTIF(원본명단!$H$3:$H$6002,원본명단!$H2941)))</f>
        <v/>
      </c>
      <c r="F2942" s="11" t="str">
        <f aca="false">IF($A2942="","",IF(원본명단!$I2941="",0,COUNTIF(원본명단!$I$3:$I$6002,원본명단!$I2941)))</f>
        <v/>
      </c>
      <c r="G2942" s="11" t="str">
        <f aca="false">IF($A2942="","",IF(원본명단!$K2941="",0,COUNTIF(원본명단!$K$3:$K$6002,원본명단!$K2941)))</f>
        <v/>
      </c>
      <c r="H2942" s="11" t="str">
        <f aca="false">IF($A2942="","",IF(MAX($E2942,$F2942,$G2942)&gt;1,"중복","-"))</f>
        <v/>
      </c>
      <c r="I2942" s="11" t="str">
        <f aca="false">IF($A2942="","",IF($H2942="-","-",IF(AND(IF(원본명단!$H2941="",TRUE(),COUNTIF(원본명단!$H$3:$H2941,원본명단!$H2941)=1),IF(원본명단!$I2941="",TRUE(),COUNTIF(원본명단!$I$3:$I2941,원본명단!$I2941)=1),IF(원본명단!$K2941="",TRUE(),COUNTIF(원본명단!$K$3:$K2941,원본명단!$K2941)=1)),"첫 건","중복 건")))</f>
        <v/>
      </c>
      <c r="J2942" s="11" t="str">
        <f aca="false">IF($A2942="","",IF($H2942="-","유지",IF($I2942="첫 건","유지","확인 필요")))</f>
        <v/>
      </c>
    </row>
    <row r="2943" customFormat="false" ht="15" hidden="false" customHeight="true" outlineLevel="0" collapsed="false">
      <c r="A2943" s="11" t="str">
        <f aca="false">IF(원본명단!$A2942="","",2940)</f>
        <v/>
      </c>
      <c r="B2943" s="12" t="str">
        <f aca="false">IF($A2943="","",원본명단!$A2942)</f>
        <v/>
      </c>
      <c r="C2943" s="12" t="str">
        <f aca="false">IF($A2943="","",원본명단!$B2942)</f>
        <v/>
      </c>
      <c r="D2943" s="12" t="str">
        <f aca="false">IF($A2943="","",원본명단!$D2942)</f>
        <v/>
      </c>
      <c r="E2943" s="11" t="str">
        <f aca="false">IF($A2943="","",IF(원본명단!$H2942="",0,COUNTIF(원본명단!$H$3:$H$6002,원본명단!$H2942)))</f>
        <v/>
      </c>
      <c r="F2943" s="11" t="str">
        <f aca="false">IF($A2943="","",IF(원본명단!$I2942="",0,COUNTIF(원본명단!$I$3:$I$6002,원본명단!$I2942)))</f>
        <v/>
      </c>
      <c r="G2943" s="11" t="str">
        <f aca="false">IF($A2943="","",IF(원본명단!$K2942="",0,COUNTIF(원본명단!$K$3:$K$6002,원본명단!$K2942)))</f>
        <v/>
      </c>
      <c r="H2943" s="11" t="str">
        <f aca="false">IF($A2943="","",IF(MAX($E2943,$F2943,$G2943)&gt;1,"중복","-"))</f>
        <v/>
      </c>
      <c r="I2943" s="11" t="str">
        <f aca="false">IF($A2943="","",IF($H2943="-","-",IF(AND(IF(원본명단!$H2942="",TRUE(),COUNTIF(원본명단!$H$3:$H2942,원본명단!$H2942)=1),IF(원본명단!$I2942="",TRUE(),COUNTIF(원본명단!$I$3:$I2942,원본명단!$I2942)=1),IF(원본명단!$K2942="",TRUE(),COUNTIF(원본명단!$K$3:$K2942,원본명단!$K2942)=1)),"첫 건","중복 건")))</f>
        <v/>
      </c>
      <c r="J2943" s="11" t="str">
        <f aca="false">IF($A2943="","",IF($H2943="-","유지",IF($I2943="첫 건","유지","확인 필요")))</f>
        <v/>
      </c>
    </row>
    <row r="2944" customFormat="false" ht="15" hidden="false" customHeight="true" outlineLevel="0" collapsed="false">
      <c r="A2944" s="11" t="str">
        <f aca="false">IF(원본명단!$A2943="","",2941)</f>
        <v/>
      </c>
      <c r="B2944" s="12" t="str">
        <f aca="false">IF($A2944="","",원본명단!$A2943)</f>
        <v/>
      </c>
      <c r="C2944" s="12" t="str">
        <f aca="false">IF($A2944="","",원본명단!$B2943)</f>
        <v/>
      </c>
      <c r="D2944" s="12" t="str">
        <f aca="false">IF($A2944="","",원본명단!$D2943)</f>
        <v/>
      </c>
      <c r="E2944" s="11" t="str">
        <f aca="false">IF($A2944="","",IF(원본명단!$H2943="",0,COUNTIF(원본명단!$H$3:$H$6002,원본명단!$H2943)))</f>
        <v/>
      </c>
      <c r="F2944" s="11" t="str">
        <f aca="false">IF($A2944="","",IF(원본명단!$I2943="",0,COUNTIF(원본명단!$I$3:$I$6002,원본명단!$I2943)))</f>
        <v/>
      </c>
      <c r="G2944" s="11" t="str">
        <f aca="false">IF($A2944="","",IF(원본명단!$K2943="",0,COUNTIF(원본명단!$K$3:$K$6002,원본명단!$K2943)))</f>
        <v/>
      </c>
      <c r="H2944" s="11" t="str">
        <f aca="false">IF($A2944="","",IF(MAX($E2944,$F2944,$G2944)&gt;1,"중복","-"))</f>
        <v/>
      </c>
      <c r="I2944" s="11" t="str">
        <f aca="false">IF($A2944="","",IF($H2944="-","-",IF(AND(IF(원본명단!$H2943="",TRUE(),COUNTIF(원본명단!$H$3:$H2943,원본명단!$H2943)=1),IF(원본명단!$I2943="",TRUE(),COUNTIF(원본명단!$I$3:$I2943,원본명단!$I2943)=1),IF(원본명단!$K2943="",TRUE(),COUNTIF(원본명단!$K$3:$K2943,원본명단!$K2943)=1)),"첫 건","중복 건")))</f>
        <v/>
      </c>
      <c r="J2944" s="11" t="str">
        <f aca="false">IF($A2944="","",IF($H2944="-","유지",IF($I2944="첫 건","유지","확인 필요")))</f>
        <v/>
      </c>
    </row>
    <row r="2945" customFormat="false" ht="15" hidden="false" customHeight="true" outlineLevel="0" collapsed="false">
      <c r="A2945" s="11" t="str">
        <f aca="false">IF(원본명단!$A2944="","",2942)</f>
        <v/>
      </c>
      <c r="B2945" s="12" t="str">
        <f aca="false">IF($A2945="","",원본명단!$A2944)</f>
        <v/>
      </c>
      <c r="C2945" s="12" t="str">
        <f aca="false">IF($A2945="","",원본명단!$B2944)</f>
        <v/>
      </c>
      <c r="D2945" s="12" t="str">
        <f aca="false">IF($A2945="","",원본명단!$D2944)</f>
        <v/>
      </c>
      <c r="E2945" s="11" t="str">
        <f aca="false">IF($A2945="","",IF(원본명단!$H2944="",0,COUNTIF(원본명단!$H$3:$H$6002,원본명단!$H2944)))</f>
        <v/>
      </c>
      <c r="F2945" s="11" t="str">
        <f aca="false">IF($A2945="","",IF(원본명단!$I2944="",0,COUNTIF(원본명단!$I$3:$I$6002,원본명단!$I2944)))</f>
        <v/>
      </c>
      <c r="G2945" s="11" t="str">
        <f aca="false">IF($A2945="","",IF(원본명단!$K2944="",0,COUNTIF(원본명단!$K$3:$K$6002,원본명단!$K2944)))</f>
        <v/>
      </c>
      <c r="H2945" s="11" t="str">
        <f aca="false">IF($A2945="","",IF(MAX($E2945,$F2945,$G2945)&gt;1,"중복","-"))</f>
        <v/>
      </c>
      <c r="I2945" s="11" t="str">
        <f aca="false">IF($A2945="","",IF($H2945="-","-",IF(AND(IF(원본명단!$H2944="",TRUE(),COUNTIF(원본명단!$H$3:$H2944,원본명단!$H2944)=1),IF(원본명단!$I2944="",TRUE(),COUNTIF(원본명단!$I$3:$I2944,원본명단!$I2944)=1),IF(원본명단!$K2944="",TRUE(),COUNTIF(원본명단!$K$3:$K2944,원본명단!$K2944)=1)),"첫 건","중복 건")))</f>
        <v/>
      </c>
      <c r="J2945" s="11" t="str">
        <f aca="false">IF($A2945="","",IF($H2945="-","유지",IF($I2945="첫 건","유지","확인 필요")))</f>
        <v/>
      </c>
    </row>
    <row r="2946" customFormat="false" ht="15" hidden="false" customHeight="true" outlineLevel="0" collapsed="false">
      <c r="A2946" s="11" t="str">
        <f aca="false">IF(원본명단!$A2945="","",2943)</f>
        <v/>
      </c>
      <c r="B2946" s="12" t="str">
        <f aca="false">IF($A2946="","",원본명단!$A2945)</f>
        <v/>
      </c>
      <c r="C2946" s="12" t="str">
        <f aca="false">IF($A2946="","",원본명단!$B2945)</f>
        <v/>
      </c>
      <c r="D2946" s="12" t="str">
        <f aca="false">IF($A2946="","",원본명단!$D2945)</f>
        <v/>
      </c>
      <c r="E2946" s="11" t="str">
        <f aca="false">IF($A2946="","",IF(원본명단!$H2945="",0,COUNTIF(원본명단!$H$3:$H$6002,원본명단!$H2945)))</f>
        <v/>
      </c>
      <c r="F2946" s="11" t="str">
        <f aca="false">IF($A2946="","",IF(원본명단!$I2945="",0,COUNTIF(원본명단!$I$3:$I$6002,원본명단!$I2945)))</f>
        <v/>
      </c>
      <c r="G2946" s="11" t="str">
        <f aca="false">IF($A2946="","",IF(원본명단!$K2945="",0,COUNTIF(원본명단!$K$3:$K$6002,원본명단!$K2945)))</f>
        <v/>
      </c>
      <c r="H2946" s="11" t="str">
        <f aca="false">IF($A2946="","",IF(MAX($E2946,$F2946,$G2946)&gt;1,"중복","-"))</f>
        <v/>
      </c>
      <c r="I2946" s="11" t="str">
        <f aca="false">IF($A2946="","",IF($H2946="-","-",IF(AND(IF(원본명단!$H2945="",TRUE(),COUNTIF(원본명단!$H$3:$H2945,원본명단!$H2945)=1),IF(원본명단!$I2945="",TRUE(),COUNTIF(원본명단!$I$3:$I2945,원본명단!$I2945)=1),IF(원본명단!$K2945="",TRUE(),COUNTIF(원본명단!$K$3:$K2945,원본명단!$K2945)=1)),"첫 건","중복 건")))</f>
        <v/>
      </c>
      <c r="J2946" s="11" t="str">
        <f aca="false">IF($A2946="","",IF($H2946="-","유지",IF($I2946="첫 건","유지","확인 필요")))</f>
        <v/>
      </c>
    </row>
    <row r="2947" customFormat="false" ht="15" hidden="false" customHeight="true" outlineLevel="0" collapsed="false">
      <c r="A2947" s="11" t="str">
        <f aca="false">IF(원본명단!$A2946="","",2944)</f>
        <v/>
      </c>
      <c r="B2947" s="12" t="str">
        <f aca="false">IF($A2947="","",원본명단!$A2946)</f>
        <v/>
      </c>
      <c r="C2947" s="12" t="str">
        <f aca="false">IF($A2947="","",원본명단!$B2946)</f>
        <v/>
      </c>
      <c r="D2947" s="12" t="str">
        <f aca="false">IF($A2947="","",원본명단!$D2946)</f>
        <v/>
      </c>
      <c r="E2947" s="11" t="str">
        <f aca="false">IF($A2947="","",IF(원본명단!$H2946="",0,COUNTIF(원본명단!$H$3:$H$6002,원본명단!$H2946)))</f>
        <v/>
      </c>
      <c r="F2947" s="11" t="str">
        <f aca="false">IF($A2947="","",IF(원본명단!$I2946="",0,COUNTIF(원본명단!$I$3:$I$6002,원본명단!$I2946)))</f>
        <v/>
      </c>
      <c r="G2947" s="11" t="str">
        <f aca="false">IF($A2947="","",IF(원본명단!$K2946="",0,COUNTIF(원본명단!$K$3:$K$6002,원본명단!$K2946)))</f>
        <v/>
      </c>
      <c r="H2947" s="11" t="str">
        <f aca="false">IF($A2947="","",IF(MAX($E2947,$F2947,$G2947)&gt;1,"중복","-"))</f>
        <v/>
      </c>
      <c r="I2947" s="11" t="str">
        <f aca="false">IF($A2947="","",IF($H2947="-","-",IF(AND(IF(원본명단!$H2946="",TRUE(),COUNTIF(원본명단!$H$3:$H2946,원본명단!$H2946)=1),IF(원본명단!$I2946="",TRUE(),COUNTIF(원본명단!$I$3:$I2946,원본명단!$I2946)=1),IF(원본명단!$K2946="",TRUE(),COUNTIF(원본명단!$K$3:$K2946,원본명단!$K2946)=1)),"첫 건","중복 건")))</f>
        <v/>
      </c>
      <c r="J2947" s="11" t="str">
        <f aca="false">IF($A2947="","",IF($H2947="-","유지",IF($I2947="첫 건","유지","확인 필요")))</f>
        <v/>
      </c>
    </row>
    <row r="2948" customFormat="false" ht="15" hidden="false" customHeight="true" outlineLevel="0" collapsed="false">
      <c r="A2948" s="11" t="str">
        <f aca="false">IF(원본명단!$A2947="","",2945)</f>
        <v/>
      </c>
      <c r="B2948" s="12" t="str">
        <f aca="false">IF($A2948="","",원본명단!$A2947)</f>
        <v/>
      </c>
      <c r="C2948" s="12" t="str">
        <f aca="false">IF($A2948="","",원본명단!$B2947)</f>
        <v/>
      </c>
      <c r="D2948" s="12" t="str">
        <f aca="false">IF($A2948="","",원본명단!$D2947)</f>
        <v/>
      </c>
      <c r="E2948" s="11" t="str">
        <f aca="false">IF($A2948="","",IF(원본명단!$H2947="",0,COUNTIF(원본명단!$H$3:$H$6002,원본명단!$H2947)))</f>
        <v/>
      </c>
      <c r="F2948" s="11" t="str">
        <f aca="false">IF($A2948="","",IF(원본명단!$I2947="",0,COUNTIF(원본명단!$I$3:$I$6002,원본명단!$I2947)))</f>
        <v/>
      </c>
      <c r="G2948" s="11" t="str">
        <f aca="false">IF($A2948="","",IF(원본명단!$K2947="",0,COUNTIF(원본명단!$K$3:$K$6002,원본명단!$K2947)))</f>
        <v/>
      </c>
      <c r="H2948" s="11" t="str">
        <f aca="false">IF($A2948="","",IF(MAX($E2948,$F2948,$G2948)&gt;1,"중복","-"))</f>
        <v/>
      </c>
      <c r="I2948" s="11" t="str">
        <f aca="false">IF($A2948="","",IF($H2948="-","-",IF(AND(IF(원본명단!$H2947="",TRUE(),COUNTIF(원본명단!$H$3:$H2947,원본명단!$H2947)=1),IF(원본명단!$I2947="",TRUE(),COUNTIF(원본명단!$I$3:$I2947,원본명단!$I2947)=1),IF(원본명단!$K2947="",TRUE(),COUNTIF(원본명단!$K$3:$K2947,원본명단!$K2947)=1)),"첫 건","중복 건")))</f>
        <v/>
      </c>
      <c r="J2948" s="11" t="str">
        <f aca="false">IF($A2948="","",IF($H2948="-","유지",IF($I2948="첫 건","유지","확인 필요")))</f>
        <v/>
      </c>
    </row>
    <row r="2949" customFormat="false" ht="15" hidden="false" customHeight="true" outlineLevel="0" collapsed="false">
      <c r="A2949" s="11" t="str">
        <f aca="false">IF(원본명단!$A2948="","",2946)</f>
        <v/>
      </c>
      <c r="B2949" s="12" t="str">
        <f aca="false">IF($A2949="","",원본명단!$A2948)</f>
        <v/>
      </c>
      <c r="C2949" s="12" t="str">
        <f aca="false">IF($A2949="","",원본명단!$B2948)</f>
        <v/>
      </c>
      <c r="D2949" s="12" t="str">
        <f aca="false">IF($A2949="","",원본명단!$D2948)</f>
        <v/>
      </c>
      <c r="E2949" s="11" t="str">
        <f aca="false">IF($A2949="","",IF(원본명단!$H2948="",0,COUNTIF(원본명단!$H$3:$H$6002,원본명단!$H2948)))</f>
        <v/>
      </c>
      <c r="F2949" s="11" t="str">
        <f aca="false">IF($A2949="","",IF(원본명단!$I2948="",0,COUNTIF(원본명단!$I$3:$I$6002,원본명단!$I2948)))</f>
        <v/>
      </c>
      <c r="G2949" s="11" t="str">
        <f aca="false">IF($A2949="","",IF(원본명단!$K2948="",0,COUNTIF(원본명단!$K$3:$K$6002,원본명단!$K2948)))</f>
        <v/>
      </c>
      <c r="H2949" s="11" t="str">
        <f aca="false">IF($A2949="","",IF(MAX($E2949,$F2949,$G2949)&gt;1,"중복","-"))</f>
        <v/>
      </c>
      <c r="I2949" s="11" t="str">
        <f aca="false">IF($A2949="","",IF($H2949="-","-",IF(AND(IF(원본명단!$H2948="",TRUE(),COUNTIF(원본명단!$H$3:$H2948,원본명단!$H2948)=1),IF(원본명단!$I2948="",TRUE(),COUNTIF(원본명단!$I$3:$I2948,원본명단!$I2948)=1),IF(원본명단!$K2948="",TRUE(),COUNTIF(원본명단!$K$3:$K2948,원본명단!$K2948)=1)),"첫 건","중복 건")))</f>
        <v/>
      </c>
      <c r="J2949" s="11" t="str">
        <f aca="false">IF($A2949="","",IF($H2949="-","유지",IF($I2949="첫 건","유지","확인 필요")))</f>
        <v/>
      </c>
    </row>
    <row r="2950" customFormat="false" ht="15" hidden="false" customHeight="true" outlineLevel="0" collapsed="false">
      <c r="A2950" s="11" t="str">
        <f aca="false">IF(원본명단!$A2949="","",2947)</f>
        <v/>
      </c>
      <c r="B2950" s="12" t="str">
        <f aca="false">IF($A2950="","",원본명단!$A2949)</f>
        <v/>
      </c>
      <c r="C2950" s="12" t="str">
        <f aca="false">IF($A2950="","",원본명단!$B2949)</f>
        <v/>
      </c>
      <c r="D2950" s="12" t="str">
        <f aca="false">IF($A2950="","",원본명단!$D2949)</f>
        <v/>
      </c>
      <c r="E2950" s="11" t="str">
        <f aca="false">IF($A2950="","",IF(원본명단!$H2949="",0,COUNTIF(원본명단!$H$3:$H$6002,원본명단!$H2949)))</f>
        <v/>
      </c>
      <c r="F2950" s="11" t="str">
        <f aca="false">IF($A2950="","",IF(원본명단!$I2949="",0,COUNTIF(원본명단!$I$3:$I$6002,원본명단!$I2949)))</f>
        <v/>
      </c>
      <c r="G2950" s="11" t="str">
        <f aca="false">IF($A2950="","",IF(원본명단!$K2949="",0,COUNTIF(원본명단!$K$3:$K$6002,원본명단!$K2949)))</f>
        <v/>
      </c>
      <c r="H2950" s="11" t="str">
        <f aca="false">IF($A2950="","",IF(MAX($E2950,$F2950,$G2950)&gt;1,"중복","-"))</f>
        <v/>
      </c>
      <c r="I2950" s="11" t="str">
        <f aca="false">IF($A2950="","",IF($H2950="-","-",IF(AND(IF(원본명단!$H2949="",TRUE(),COUNTIF(원본명단!$H$3:$H2949,원본명단!$H2949)=1),IF(원본명단!$I2949="",TRUE(),COUNTIF(원본명단!$I$3:$I2949,원본명단!$I2949)=1),IF(원본명단!$K2949="",TRUE(),COUNTIF(원본명단!$K$3:$K2949,원본명단!$K2949)=1)),"첫 건","중복 건")))</f>
        <v/>
      </c>
      <c r="J2950" s="11" t="str">
        <f aca="false">IF($A2950="","",IF($H2950="-","유지",IF($I2950="첫 건","유지","확인 필요")))</f>
        <v/>
      </c>
    </row>
    <row r="2951" customFormat="false" ht="15" hidden="false" customHeight="true" outlineLevel="0" collapsed="false">
      <c r="A2951" s="11" t="str">
        <f aca="false">IF(원본명단!$A2950="","",2948)</f>
        <v/>
      </c>
      <c r="B2951" s="12" t="str">
        <f aca="false">IF($A2951="","",원본명단!$A2950)</f>
        <v/>
      </c>
      <c r="C2951" s="12" t="str">
        <f aca="false">IF($A2951="","",원본명단!$B2950)</f>
        <v/>
      </c>
      <c r="D2951" s="12" t="str">
        <f aca="false">IF($A2951="","",원본명단!$D2950)</f>
        <v/>
      </c>
      <c r="E2951" s="11" t="str">
        <f aca="false">IF($A2951="","",IF(원본명단!$H2950="",0,COUNTIF(원본명단!$H$3:$H$6002,원본명단!$H2950)))</f>
        <v/>
      </c>
      <c r="F2951" s="11" t="str">
        <f aca="false">IF($A2951="","",IF(원본명단!$I2950="",0,COUNTIF(원본명단!$I$3:$I$6002,원본명단!$I2950)))</f>
        <v/>
      </c>
      <c r="G2951" s="11" t="str">
        <f aca="false">IF($A2951="","",IF(원본명단!$K2950="",0,COUNTIF(원본명단!$K$3:$K$6002,원본명단!$K2950)))</f>
        <v/>
      </c>
      <c r="H2951" s="11" t="str">
        <f aca="false">IF($A2951="","",IF(MAX($E2951,$F2951,$G2951)&gt;1,"중복","-"))</f>
        <v/>
      </c>
      <c r="I2951" s="11" t="str">
        <f aca="false">IF($A2951="","",IF($H2951="-","-",IF(AND(IF(원본명단!$H2950="",TRUE(),COUNTIF(원본명단!$H$3:$H2950,원본명단!$H2950)=1),IF(원본명단!$I2950="",TRUE(),COUNTIF(원본명단!$I$3:$I2950,원본명단!$I2950)=1),IF(원본명단!$K2950="",TRUE(),COUNTIF(원본명단!$K$3:$K2950,원본명단!$K2950)=1)),"첫 건","중복 건")))</f>
        <v/>
      </c>
      <c r="J2951" s="11" t="str">
        <f aca="false">IF($A2951="","",IF($H2951="-","유지",IF($I2951="첫 건","유지","확인 필요")))</f>
        <v/>
      </c>
    </row>
    <row r="2952" customFormat="false" ht="15" hidden="false" customHeight="true" outlineLevel="0" collapsed="false">
      <c r="A2952" s="11" t="str">
        <f aca="false">IF(원본명단!$A2951="","",2949)</f>
        <v/>
      </c>
      <c r="B2952" s="12" t="str">
        <f aca="false">IF($A2952="","",원본명단!$A2951)</f>
        <v/>
      </c>
      <c r="C2952" s="12" t="str">
        <f aca="false">IF($A2952="","",원본명단!$B2951)</f>
        <v/>
      </c>
      <c r="D2952" s="12" t="str">
        <f aca="false">IF($A2952="","",원본명단!$D2951)</f>
        <v/>
      </c>
      <c r="E2952" s="11" t="str">
        <f aca="false">IF($A2952="","",IF(원본명단!$H2951="",0,COUNTIF(원본명단!$H$3:$H$6002,원본명단!$H2951)))</f>
        <v/>
      </c>
      <c r="F2952" s="11" t="str">
        <f aca="false">IF($A2952="","",IF(원본명단!$I2951="",0,COUNTIF(원본명단!$I$3:$I$6002,원본명단!$I2951)))</f>
        <v/>
      </c>
      <c r="G2952" s="11" t="str">
        <f aca="false">IF($A2952="","",IF(원본명단!$K2951="",0,COUNTIF(원본명단!$K$3:$K$6002,원본명단!$K2951)))</f>
        <v/>
      </c>
      <c r="H2952" s="11" t="str">
        <f aca="false">IF($A2952="","",IF(MAX($E2952,$F2952,$G2952)&gt;1,"중복","-"))</f>
        <v/>
      </c>
      <c r="I2952" s="11" t="str">
        <f aca="false">IF($A2952="","",IF($H2952="-","-",IF(AND(IF(원본명단!$H2951="",TRUE(),COUNTIF(원본명단!$H$3:$H2951,원본명단!$H2951)=1),IF(원본명단!$I2951="",TRUE(),COUNTIF(원본명단!$I$3:$I2951,원본명단!$I2951)=1),IF(원본명단!$K2951="",TRUE(),COUNTIF(원본명단!$K$3:$K2951,원본명단!$K2951)=1)),"첫 건","중복 건")))</f>
        <v/>
      </c>
      <c r="J2952" s="11" t="str">
        <f aca="false">IF($A2952="","",IF($H2952="-","유지",IF($I2952="첫 건","유지","확인 필요")))</f>
        <v/>
      </c>
    </row>
    <row r="2953" customFormat="false" ht="15" hidden="false" customHeight="true" outlineLevel="0" collapsed="false">
      <c r="A2953" s="11" t="str">
        <f aca="false">IF(원본명단!$A2952="","",2950)</f>
        <v/>
      </c>
      <c r="B2953" s="12" t="str">
        <f aca="false">IF($A2953="","",원본명단!$A2952)</f>
        <v/>
      </c>
      <c r="C2953" s="12" t="str">
        <f aca="false">IF($A2953="","",원본명단!$B2952)</f>
        <v/>
      </c>
      <c r="D2953" s="12" t="str">
        <f aca="false">IF($A2953="","",원본명단!$D2952)</f>
        <v/>
      </c>
      <c r="E2953" s="11" t="str">
        <f aca="false">IF($A2953="","",IF(원본명단!$H2952="",0,COUNTIF(원본명단!$H$3:$H$6002,원본명단!$H2952)))</f>
        <v/>
      </c>
      <c r="F2953" s="11" t="str">
        <f aca="false">IF($A2953="","",IF(원본명단!$I2952="",0,COUNTIF(원본명단!$I$3:$I$6002,원본명단!$I2952)))</f>
        <v/>
      </c>
      <c r="G2953" s="11" t="str">
        <f aca="false">IF($A2953="","",IF(원본명단!$K2952="",0,COUNTIF(원본명단!$K$3:$K$6002,원본명단!$K2952)))</f>
        <v/>
      </c>
      <c r="H2953" s="11" t="str">
        <f aca="false">IF($A2953="","",IF(MAX($E2953,$F2953,$G2953)&gt;1,"중복","-"))</f>
        <v/>
      </c>
      <c r="I2953" s="11" t="str">
        <f aca="false">IF($A2953="","",IF($H2953="-","-",IF(AND(IF(원본명단!$H2952="",TRUE(),COUNTIF(원본명단!$H$3:$H2952,원본명단!$H2952)=1),IF(원본명단!$I2952="",TRUE(),COUNTIF(원본명단!$I$3:$I2952,원본명단!$I2952)=1),IF(원본명단!$K2952="",TRUE(),COUNTIF(원본명단!$K$3:$K2952,원본명단!$K2952)=1)),"첫 건","중복 건")))</f>
        <v/>
      </c>
      <c r="J2953" s="11" t="str">
        <f aca="false">IF($A2953="","",IF($H2953="-","유지",IF($I2953="첫 건","유지","확인 필요")))</f>
        <v/>
      </c>
    </row>
    <row r="2954" customFormat="false" ht="15" hidden="false" customHeight="true" outlineLevel="0" collapsed="false">
      <c r="A2954" s="11" t="str">
        <f aca="false">IF(원본명단!$A2953="","",2951)</f>
        <v/>
      </c>
      <c r="B2954" s="12" t="str">
        <f aca="false">IF($A2954="","",원본명단!$A2953)</f>
        <v/>
      </c>
      <c r="C2954" s="12" t="str">
        <f aca="false">IF($A2954="","",원본명단!$B2953)</f>
        <v/>
      </c>
      <c r="D2954" s="12" t="str">
        <f aca="false">IF($A2954="","",원본명단!$D2953)</f>
        <v/>
      </c>
      <c r="E2954" s="11" t="str">
        <f aca="false">IF($A2954="","",IF(원본명단!$H2953="",0,COUNTIF(원본명단!$H$3:$H$6002,원본명단!$H2953)))</f>
        <v/>
      </c>
      <c r="F2954" s="11" t="str">
        <f aca="false">IF($A2954="","",IF(원본명단!$I2953="",0,COUNTIF(원본명단!$I$3:$I$6002,원본명단!$I2953)))</f>
        <v/>
      </c>
      <c r="G2954" s="11" t="str">
        <f aca="false">IF($A2954="","",IF(원본명단!$K2953="",0,COUNTIF(원본명단!$K$3:$K$6002,원본명단!$K2953)))</f>
        <v/>
      </c>
      <c r="H2954" s="11" t="str">
        <f aca="false">IF($A2954="","",IF(MAX($E2954,$F2954,$G2954)&gt;1,"중복","-"))</f>
        <v/>
      </c>
      <c r="I2954" s="11" t="str">
        <f aca="false">IF($A2954="","",IF($H2954="-","-",IF(AND(IF(원본명단!$H2953="",TRUE(),COUNTIF(원본명단!$H$3:$H2953,원본명단!$H2953)=1),IF(원본명단!$I2953="",TRUE(),COUNTIF(원본명단!$I$3:$I2953,원본명단!$I2953)=1),IF(원본명단!$K2953="",TRUE(),COUNTIF(원본명단!$K$3:$K2953,원본명단!$K2953)=1)),"첫 건","중복 건")))</f>
        <v/>
      </c>
      <c r="J2954" s="11" t="str">
        <f aca="false">IF($A2954="","",IF($H2954="-","유지",IF($I2954="첫 건","유지","확인 필요")))</f>
        <v/>
      </c>
    </row>
    <row r="2955" customFormat="false" ht="15" hidden="false" customHeight="true" outlineLevel="0" collapsed="false">
      <c r="A2955" s="11" t="str">
        <f aca="false">IF(원본명단!$A2954="","",2952)</f>
        <v/>
      </c>
      <c r="B2955" s="12" t="str">
        <f aca="false">IF($A2955="","",원본명단!$A2954)</f>
        <v/>
      </c>
      <c r="C2955" s="12" t="str">
        <f aca="false">IF($A2955="","",원본명단!$B2954)</f>
        <v/>
      </c>
      <c r="D2955" s="12" t="str">
        <f aca="false">IF($A2955="","",원본명단!$D2954)</f>
        <v/>
      </c>
      <c r="E2955" s="11" t="str">
        <f aca="false">IF($A2955="","",IF(원본명단!$H2954="",0,COUNTIF(원본명단!$H$3:$H$6002,원본명단!$H2954)))</f>
        <v/>
      </c>
      <c r="F2955" s="11" t="str">
        <f aca="false">IF($A2955="","",IF(원본명단!$I2954="",0,COUNTIF(원본명단!$I$3:$I$6002,원본명단!$I2954)))</f>
        <v/>
      </c>
      <c r="G2955" s="11" t="str">
        <f aca="false">IF($A2955="","",IF(원본명단!$K2954="",0,COUNTIF(원본명단!$K$3:$K$6002,원본명단!$K2954)))</f>
        <v/>
      </c>
      <c r="H2955" s="11" t="str">
        <f aca="false">IF($A2955="","",IF(MAX($E2955,$F2955,$G2955)&gt;1,"중복","-"))</f>
        <v/>
      </c>
      <c r="I2955" s="11" t="str">
        <f aca="false">IF($A2955="","",IF($H2955="-","-",IF(AND(IF(원본명단!$H2954="",TRUE(),COUNTIF(원본명단!$H$3:$H2954,원본명단!$H2954)=1),IF(원본명단!$I2954="",TRUE(),COUNTIF(원본명단!$I$3:$I2954,원본명단!$I2954)=1),IF(원본명단!$K2954="",TRUE(),COUNTIF(원본명단!$K$3:$K2954,원본명단!$K2954)=1)),"첫 건","중복 건")))</f>
        <v/>
      </c>
      <c r="J2955" s="11" t="str">
        <f aca="false">IF($A2955="","",IF($H2955="-","유지",IF($I2955="첫 건","유지","확인 필요")))</f>
        <v/>
      </c>
    </row>
    <row r="2956" customFormat="false" ht="15" hidden="false" customHeight="true" outlineLevel="0" collapsed="false">
      <c r="A2956" s="11" t="str">
        <f aca="false">IF(원본명단!$A2955="","",2953)</f>
        <v/>
      </c>
      <c r="B2956" s="12" t="str">
        <f aca="false">IF($A2956="","",원본명단!$A2955)</f>
        <v/>
      </c>
      <c r="C2956" s="12" t="str">
        <f aca="false">IF($A2956="","",원본명단!$B2955)</f>
        <v/>
      </c>
      <c r="D2956" s="12" t="str">
        <f aca="false">IF($A2956="","",원본명단!$D2955)</f>
        <v/>
      </c>
      <c r="E2956" s="11" t="str">
        <f aca="false">IF($A2956="","",IF(원본명단!$H2955="",0,COUNTIF(원본명단!$H$3:$H$6002,원본명단!$H2955)))</f>
        <v/>
      </c>
      <c r="F2956" s="11" t="str">
        <f aca="false">IF($A2956="","",IF(원본명단!$I2955="",0,COUNTIF(원본명단!$I$3:$I$6002,원본명단!$I2955)))</f>
        <v/>
      </c>
      <c r="G2956" s="11" t="str">
        <f aca="false">IF($A2956="","",IF(원본명단!$K2955="",0,COUNTIF(원본명단!$K$3:$K$6002,원본명단!$K2955)))</f>
        <v/>
      </c>
      <c r="H2956" s="11" t="str">
        <f aca="false">IF($A2956="","",IF(MAX($E2956,$F2956,$G2956)&gt;1,"중복","-"))</f>
        <v/>
      </c>
      <c r="I2956" s="11" t="str">
        <f aca="false">IF($A2956="","",IF($H2956="-","-",IF(AND(IF(원본명단!$H2955="",TRUE(),COUNTIF(원본명단!$H$3:$H2955,원본명단!$H2955)=1),IF(원본명단!$I2955="",TRUE(),COUNTIF(원본명단!$I$3:$I2955,원본명단!$I2955)=1),IF(원본명단!$K2955="",TRUE(),COUNTIF(원본명단!$K$3:$K2955,원본명단!$K2955)=1)),"첫 건","중복 건")))</f>
        <v/>
      </c>
      <c r="J2956" s="11" t="str">
        <f aca="false">IF($A2956="","",IF($H2956="-","유지",IF($I2956="첫 건","유지","확인 필요")))</f>
        <v/>
      </c>
    </row>
    <row r="2957" customFormat="false" ht="15" hidden="false" customHeight="true" outlineLevel="0" collapsed="false">
      <c r="A2957" s="11" t="str">
        <f aca="false">IF(원본명단!$A2956="","",2954)</f>
        <v/>
      </c>
      <c r="B2957" s="12" t="str">
        <f aca="false">IF($A2957="","",원본명단!$A2956)</f>
        <v/>
      </c>
      <c r="C2957" s="12" t="str">
        <f aca="false">IF($A2957="","",원본명단!$B2956)</f>
        <v/>
      </c>
      <c r="D2957" s="12" t="str">
        <f aca="false">IF($A2957="","",원본명단!$D2956)</f>
        <v/>
      </c>
      <c r="E2957" s="11" t="str">
        <f aca="false">IF($A2957="","",IF(원본명단!$H2956="",0,COUNTIF(원본명단!$H$3:$H$6002,원본명단!$H2956)))</f>
        <v/>
      </c>
      <c r="F2957" s="11" t="str">
        <f aca="false">IF($A2957="","",IF(원본명단!$I2956="",0,COUNTIF(원본명단!$I$3:$I$6002,원본명단!$I2956)))</f>
        <v/>
      </c>
      <c r="G2957" s="11" t="str">
        <f aca="false">IF($A2957="","",IF(원본명단!$K2956="",0,COUNTIF(원본명단!$K$3:$K$6002,원본명단!$K2956)))</f>
        <v/>
      </c>
      <c r="H2957" s="11" t="str">
        <f aca="false">IF($A2957="","",IF(MAX($E2957,$F2957,$G2957)&gt;1,"중복","-"))</f>
        <v/>
      </c>
      <c r="I2957" s="11" t="str">
        <f aca="false">IF($A2957="","",IF($H2957="-","-",IF(AND(IF(원본명단!$H2956="",TRUE(),COUNTIF(원본명단!$H$3:$H2956,원본명단!$H2956)=1),IF(원본명단!$I2956="",TRUE(),COUNTIF(원본명단!$I$3:$I2956,원본명단!$I2956)=1),IF(원본명단!$K2956="",TRUE(),COUNTIF(원본명단!$K$3:$K2956,원본명단!$K2956)=1)),"첫 건","중복 건")))</f>
        <v/>
      </c>
      <c r="J2957" s="11" t="str">
        <f aca="false">IF($A2957="","",IF($H2957="-","유지",IF($I2957="첫 건","유지","확인 필요")))</f>
        <v/>
      </c>
    </row>
    <row r="2958" customFormat="false" ht="15" hidden="false" customHeight="true" outlineLevel="0" collapsed="false">
      <c r="A2958" s="11" t="str">
        <f aca="false">IF(원본명단!$A2957="","",2955)</f>
        <v/>
      </c>
      <c r="B2958" s="12" t="str">
        <f aca="false">IF($A2958="","",원본명단!$A2957)</f>
        <v/>
      </c>
      <c r="C2958" s="12" t="str">
        <f aca="false">IF($A2958="","",원본명단!$B2957)</f>
        <v/>
      </c>
      <c r="D2958" s="12" t="str">
        <f aca="false">IF($A2958="","",원본명단!$D2957)</f>
        <v/>
      </c>
      <c r="E2958" s="11" t="str">
        <f aca="false">IF($A2958="","",IF(원본명단!$H2957="",0,COUNTIF(원본명단!$H$3:$H$6002,원본명단!$H2957)))</f>
        <v/>
      </c>
      <c r="F2958" s="11" t="str">
        <f aca="false">IF($A2958="","",IF(원본명단!$I2957="",0,COUNTIF(원본명단!$I$3:$I$6002,원본명단!$I2957)))</f>
        <v/>
      </c>
      <c r="G2958" s="11" t="str">
        <f aca="false">IF($A2958="","",IF(원본명단!$K2957="",0,COUNTIF(원본명단!$K$3:$K$6002,원본명단!$K2957)))</f>
        <v/>
      </c>
      <c r="H2958" s="11" t="str">
        <f aca="false">IF($A2958="","",IF(MAX($E2958,$F2958,$G2958)&gt;1,"중복","-"))</f>
        <v/>
      </c>
      <c r="I2958" s="11" t="str">
        <f aca="false">IF($A2958="","",IF($H2958="-","-",IF(AND(IF(원본명단!$H2957="",TRUE(),COUNTIF(원본명단!$H$3:$H2957,원본명단!$H2957)=1),IF(원본명단!$I2957="",TRUE(),COUNTIF(원본명단!$I$3:$I2957,원본명단!$I2957)=1),IF(원본명단!$K2957="",TRUE(),COUNTIF(원본명단!$K$3:$K2957,원본명단!$K2957)=1)),"첫 건","중복 건")))</f>
        <v/>
      </c>
      <c r="J2958" s="11" t="str">
        <f aca="false">IF($A2958="","",IF($H2958="-","유지",IF($I2958="첫 건","유지","확인 필요")))</f>
        <v/>
      </c>
    </row>
    <row r="2959" customFormat="false" ht="15" hidden="false" customHeight="true" outlineLevel="0" collapsed="false">
      <c r="A2959" s="11" t="str">
        <f aca="false">IF(원본명단!$A2958="","",2956)</f>
        <v/>
      </c>
      <c r="B2959" s="12" t="str">
        <f aca="false">IF($A2959="","",원본명단!$A2958)</f>
        <v/>
      </c>
      <c r="C2959" s="12" t="str">
        <f aca="false">IF($A2959="","",원본명단!$B2958)</f>
        <v/>
      </c>
      <c r="D2959" s="12" t="str">
        <f aca="false">IF($A2959="","",원본명단!$D2958)</f>
        <v/>
      </c>
      <c r="E2959" s="11" t="str">
        <f aca="false">IF($A2959="","",IF(원본명단!$H2958="",0,COUNTIF(원본명단!$H$3:$H$6002,원본명단!$H2958)))</f>
        <v/>
      </c>
      <c r="F2959" s="11" t="str">
        <f aca="false">IF($A2959="","",IF(원본명단!$I2958="",0,COUNTIF(원본명단!$I$3:$I$6002,원본명단!$I2958)))</f>
        <v/>
      </c>
      <c r="G2959" s="11" t="str">
        <f aca="false">IF($A2959="","",IF(원본명단!$K2958="",0,COUNTIF(원본명단!$K$3:$K$6002,원본명단!$K2958)))</f>
        <v/>
      </c>
      <c r="H2959" s="11" t="str">
        <f aca="false">IF($A2959="","",IF(MAX($E2959,$F2959,$G2959)&gt;1,"중복","-"))</f>
        <v/>
      </c>
      <c r="I2959" s="11" t="str">
        <f aca="false">IF($A2959="","",IF($H2959="-","-",IF(AND(IF(원본명단!$H2958="",TRUE(),COUNTIF(원본명단!$H$3:$H2958,원본명단!$H2958)=1),IF(원본명단!$I2958="",TRUE(),COUNTIF(원본명단!$I$3:$I2958,원본명단!$I2958)=1),IF(원본명단!$K2958="",TRUE(),COUNTIF(원본명단!$K$3:$K2958,원본명단!$K2958)=1)),"첫 건","중복 건")))</f>
        <v/>
      </c>
      <c r="J2959" s="11" t="str">
        <f aca="false">IF($A2959="","",IF($H2959="-","유지",IF($I2959="첫 건","유지","확인 필요")))</f>
        <v/>
      </c>
    </row>
    <row r="2960" customFormat="false" ht="15" hidden="false" customHeight="true" outlineLevel="0" collapsed="false">
      <c r="A2960" s="11" t="str">
        <f aca="false">IF(원본명단!$A2959="","",2957)</f>
        <v/>
      </c>
      <c r="B2960" s="12" t="str">
        <f aca="false">IF($A2960="","",원본명단!$A2959)</f>
        <v/>
      </c>
      <c r="C2960" s="12" t="str">
        <f aca="false">IF($A2960="","",원본명단!$B2959)</f>
        <v/>
      </c>
      <c r="D2960" s="12" t="str">
        <f aca="false">IF($A2960="","",원본명단!$D2959)</f>
        <v/>
      </c>
      <c r="E2960" s="11" t="str">
        <f aca="false">IF($A2960="","",IF(원본명단!$H2959="",0,COUNTIF(원본명단!$H$3:$H$6002,원본명단!$H2959)))</f>
        <v/>
      </c>
      <c r="F2960" s="11" t="str">
        <f aca="false">IF($A2960="","",IF(원본명단!$I2959="",0,COUNTIF(원본명단!$I$3:$I$6002,원본명단!$I2959)))</f>
        <v/>
      </c>
      <c r="G2960" s="11" t="str">
        <f aca="false">IF($A2960="","",IF(원본명단!$K2959="",0,COUNTIF(원본명단!$K$3:$K$6002,원본명단!$K2959)))</f>
        <v/>
      </c>
      <c r="H2960" s="11" t="str">
        <f aca="false">IF($A2960="","",IF(MAX($E2960,$F2960,$G2960)&gt;1,"중복","-"))</f>
        <v/>
      </c>
      <c r="I2960" s="11" t="str">
        <f aca="false">IF($A2960="","",IF($H2960="-","-",IF(AND(IF(원본명단!$H2959="",TRUE(),COUNTIF(원본명단!$H$3:$H2959,원본명단!$H2959)=1),IF(원본명단!$I2959="",TRUE(),COUNTIF(원본명단!$I$3:$I2959,원본명단!$I2959)=1),IF(원본명단!$K2959="",TRUE(),COUNTIF(원본명단!$K$3:$K2959,원본명단!$K2959)=1)),"첫 건","중복 건")))</f>
        <v/>
      </c>
      <c r="J2960" s="11" t="str">
        <f aca="false">IF($A2960="","",IF($H2960="-","유지",IF($I2960="첫 건","유지","확인 필요")))</f>
        <v/>
      </c>
    </row>
    <row r="2961" customFormat="false" ht="15" hidden="false" customHeight="true" outlineLevel="0" collapsed="false">
      <c r="A2961" s="11" t="str">
        <f aca="false">IF(원본명단!$A2960="","",2958)</f>
        <v/>
      </c>
      <c r="B2961" s="12" t="str">
        <f aca="false">IF($A2961="","",원본명단!$A2960)</f>
        <v/>
      </c>
      <c r="C2961" s="12" t="str">
        <f aca="false">IF($A2961="","",원본명단!$B2960)</f>
        <v/>
      </c>
      <c r="D2961" s="12" t="str">
        <f aca="false">IF($A2961="","",원본명단!$D2960)</f>
        <v/>
      </c>
      <c r="E2961" s="11" t="str">
        <f aca="false">IF($A2961="","",IF(원본명단!$H2960="",0,COUNTIF(원본명단!$H$3:$H$6002,원본명단!$H2960)))</f>
        <v/>
      </c>
      <c r="F2961" s="11" t="str">
        <f aca="false">IF($A2961="","",IF(원본명단!$I2960="",0,COUNTIF(원본명단!$I$3:$I$6002,원본명단!$I2960)))</f>
        <v/>
      </c>
      <c r="G2961" s="11" t="str">
        <f aca="false">IF($A2961="","",IF(원본명단!$K2960="",0,COUNTIF(원본명단!$K$3:$K$6002,원본명단!$K2960)))</f>
        <v/>
      </c>
      <c r="H2961" s="11" t="str">
        <f aca="false">IF($A2961="","",IF(MAX($E2961,$F2961,$G2961)&gt;1,"중복","-"))</f>
        <v/>
      </c>
      <c r="I2961" s="11" t="str">
        <f aca="false">IF($A2961="","",IF($H2961="-","-",IF(AND(IF(원본명단!$H2960="",TRUE(),COUNTIF(원본명단!$H$3:$H2960,원본명단!$H2960)=1),IF(원본명단!$I2960="",TRUE(),COUNTIF(원본명단!$I$3:$I2960,원본명단!$I2960)=1),IF(원본명단!$K2960="",TRUE(),COUNTIF(원본명단!$K$3:$K2960,원본명단!$K2960)=1)),"첫 건","중복 건")))</f>
        <v/>
      </c>
      <c r="J2961" s="11" t="str">
        <f aca="false">IF($A2961="","",IF($H2961="-","유지",IF($I2961="첫 건","유지","확인 필요")))</f>
        <v/>
      </c>
    </row>
    <row r="2962" customFormat="false" ht="15" hidden="false" customHeight="true" outlineLevel="0" collapsed="false">
      <c r="A2962" s="11" t="str">
        <f aca="false">IF(원본명단!$A2961="","",2959)</f>
        <v/>
      </c>
      <c r="B2962" s="12" t="str">
        <f aca="false">IF($A2962="","",원본명단!$A2961)</f>
        <v/>
      </c>
      <c r="C2962" s="12" t="str">
        <f aca="false">IF($A2962="","",원본명단!$B2961)</f>
        <v/>
      </c>
      <c r="D2962" s="12" t="str">
        <f aca="false">IF($A2962="","",원본명단!$D2961)</f>
        <v/>
      </c>
      <c r="E2962" s="11" t="str">
        <f aca="false">IF($A2962="","",IF(원본명단!$H2961="",0,COUNTIF(원본명단!$H$3:$H$6002,원본명단!$H2961)))</f>
        <v/>
      </c>
      <c r="F2962" s="11" t="str">
        <f aca="false">IF($A2962="","",IF(원본명단!$I2961="",0,COUNTIF(원본명단!$I$3:$I$6002,원본명단!$I2961)))</f>
        <v/>
      </c>
      <c r="G2962" s="11" t="str">
        <f aca="false">IF($A2962="","",IF(원본명단!$K2961="",0,COUNTIF(원본명단!$K$3:$K$6002,원본명단!$K2961)))</f>
        <v/>
      </c>
      <c r="H2962" s="11" t="str">
        <f aca="false">IF($A2962="","",IF(MAX($E2962,$F2962,$G2962)&gt;1,"중복","-"))</f>
        <v/>
      </c>
      <c r="I2962" s="11" t="str">
        <f aca="false">IF($A2962="","",IF($H2962="-","-",IF(AND(IF(원본명단!$H2961="",TRUE(),COUNTIF(원본명단!$H$3:$H2961,원본명단!$H2961)=1),IF(원본명단!$I2961="",TRUE(),COUNTIF(원본명단!$I$3:$I2961,원본명단!$I2961)=1),IF(원본명단!$K2961="",TRUE(),COUNTIF(원본명단!$K$3:$K2961,원본명단!$K2961)=1)),"첫 건","중복 건")))</f>
        <v/>
      </c>
      <c r="J2962" s="11" t="str">
        <f aca="false">IF($A2962="","",IF($H2962="-","유지",IF($I2962="첫 건","유지","확인 필요")))</f>
        <v/>
      </c>
    </row>
    <row r="2963" customFormat="false" ht="15" hidden="false" customHeight="true" outlineLevel="0" collapsed="false">
      <c r="A2963" s="11" t="str">
        <f aca="false">IF(원본명단!$A2962="","",2960)</f>
        <v/>
      </c>
      <c r="B2963" s="12" t="str">
        <f aca="false">IF($A2963="","",원본명단!$A2962)</f>
        <v/>
      </c>
      <c r="C2963" s="12" t="str">
        <f aca="false">IF($A2963="","",원본명단!$B2962)</f>
        <v/>
      </c>
      <c r="D2963" s="12" t="str">
        <f aca="false">IF($A2963="","",원본명단!$D2962)</f>
        <v/>
      </c>
      <c r="E2963" s="11" t="str">
        <f aca="false">IF($A2963="","",IF(원본명단!$H2962="",0,COUNTIF(원본명단!$H$3:$H$6002,원본명단!$H2962)))</f>
        <v/>
      </c>
      <c r="F2963" s="11" t="str">
        <f aca="false">IF($A2963="","",IF(원본명단!$I2962="",0,COUNTIF(원본명단!$I$3:$I$6002,원본명단!$I2962)))</f>
        <v/>
      </c>
      <c r="G2963" s="11" t="str">
        <f aca="false">IF($A2963="","",IF(원본명단!$K2962="",0,COUNTIF(원본명단!$K$3:$K$6002,원본명단!$K2962)))</f>
        <v/>
      </c>
      <c r="H2963" s="11" t="str">
        <f aca="false">IF($A2963="","",IF(MAX($E2963,$F2963,$G2963)&gt;1,"중복","-"))</f>
        <v/>
      </c>
      <c r="I2963" s="11" t="str">
        <f aca="false">IF($A2963="","",IF($H2963="-","-",IF(AND(IF(원본명단!$H2962="",TRUE(),COUNTIF(원본명단!$H$3:$H2962,원본명단!$H2962)=1),IF(원본명단!$I2962="",TRUE(),COUNTIF(원본명단!$I$3:$I2962,원본명단!$I2962)=1),IF(원본명단!$K2962="",TRUE(),COUNTIF(원본명단!$K$3:$K2962,원본명단!$K2962)=1)),"첫 건","중복 건")))</f>
        <v/>
      </c>
      <c r="J2963" s="11" t="str">
        <f aca="false">IF($A2963="","",IF($H2963="-","유지",IF($I2963="첫 건","유지","확인 필요")))</f>
        <v/>
      </c>
    </row>
    <row r="2964" customFormat="false" ht="15" hidden="false" customHeight="true" outlineLevel="0" collapsed="false">
      <c r="A2964" s="11" t="str">
        <f aca="false">IF(원본명단!$A2963="","",2961)</f>
        <v/>
      </c>
      <c r="B2964" s="12" t="str">
        <f aca="false">IF($A2964="","",원본명단!$A2963)</f>
        <v/>
      </c>
      <c r="C2964" s="12" t="str">
        <f aca="false">IF($A2964="","",원본명단!$B2963)</f>
        <v/>
      </c>
      <c r="D2964" s="12" t="str">
        <f aca="false">IF($A2964="","",원본명단!$D2963)</f>
        <v/>
      </c>
      <c r="E2964" s="11" t="str">
        <f aca="false">IF($A2964="","",IF(원본명단!$H2963="",0,COUNTIF(원본명단!$H$3:$H$6002,원본명단!$H2963)))</f>
        <v/>
      </c>
      <c r="F2964" s="11" t="str">
        <f aca="false">IF($A2964="","",IF(원본명단!$I2963="",0,COUNTIF(원본명단!$I$3:$I$6002,원본명단!$I2963)))</f>
        <v/>
      </c>
      <c r="G2964" s="11" t="str">
        <f aca="false">IF($A2964="","",IF(원본명단!$K2963="",0,COUNTIF(원본명단!$K$3:$K$6002,원본명단!$K2963)))</f>
        <v/>
      </c>
      <c r="H2964" s="11" t="str">
        <f aca="false">IF($A2964="","",IF(MAX($E2964,$F2964,$G2964)&gt;1,"중복","-"))</f>
        <v/>
      </c>
      <c r="I2964" s="11" t="str">
        <f aca="false">IF($A2964="","",IF($H2964="-","-",IF(AND(IF(원본명단!$H2963="",TRUE(),COUNTIF(원본명단!$H$3:$H2963,원본명단!$H2963)=1),IF(원본명단!$I2963="",TRUE(),COUNTIF(원본명단!$I$3:$I2963,원본명단!$I2963)=1),IF(원본명단!$K2963="",TRUE(),COUNTIF(원본명단!$K$3:$K2963,원본명단!$K2963)=1)),"첫 건","중복 건")))</f>
        <v/>
      </c>
      <c r="J2964" s="11" t="str">
        <f aca="false">IF($A2964="","",IF($H2964="-","유지",IF($I2964="첫 건","유지","확인 필요")))</f>
        <v/>
      </c>
    </row>
    <row r="2965" customFormat="false" ht="15" hidden="false" customHeight="true" outlineLevel="0" collapsed="false">
      <c r="A2965" s="11" t="str">
        <f aca="false">IF(원본명단!$A2964="","",2962)</f>
        <v/>
      </c>
      <c r="B2965" s="12" t="str">
        <f aca="false">IF($A2965="","",원본명단!$A2964)</f>
        <v/>
      </c>
      <c r="C2965" s="12" t="str">
        <f aca="false">IF($A2965="","",원본명단!$B2964)</f>
        <v/>
      </c>
      <c r="D2965" s="12" t="str">
        <f aca="false">IF($A2965="","",원본명단!$D2964)</f>
        <v/>
      </c>
      <c r="E2965" s="11" t="str">
        <f aca="false">IF($A2965="","",IF(원본명단!$H2964="",0,COUNTIF(원본명단!$H$3:$H$6002,원본명단!$H2964)))</f>
        <v/>
      </c>
      <c r="F2965" s="11" t="str">
        <f aca="false">IF($A2965="","",IF(원본명단!$I2964="",0,COUNTIF(원본명단!$I$3:$I$6002,원본명단!$I2964)))</f>
        <v/>
      </c>
      <c r="G2965" s="11" t="str">
        <f aca="false">IF($A2965="","",IF(원본명단!$K2964="",0,COUNTIF(원본명단!$K$3:$K$6002,원본명단!$K2964)))</f>
        <v/>
      </c>
      <c r="H2965" s="11" t="str">
        <f aca="false">IF($A2965="","",IF(MAX($E2965,$F2965,$G2965)&gt;1,"중복","-"))</f>
        <v/>
      </c>
      <c r="I2965" s="11" t="str">
        <f aca="false">IF($A2965="","",IF($H2965="-","-",IF(AND(IF(원본명단!$H2964="",TRUE(),COUNTIF(원본명단!$H$3:$H2964,원본명단!$H2964)=1),IF(원본명단!$I2964="",TRUE(),COUNTIF(원본명단!$I$3:$I2964,원본명단!$I2964)=1),IF(원본명단!$K2964="",TRUE(),COUNTIF(원본명단!$K$3:$K2964,원본명단!$K2964)=1)),"첫 건","중복 건")))</f>
        <v/>
      </c>
      <c r="J2965" s="11" t="str">
        <f aca="false">IF($A2965="","",IF($H2965="-","유지",IF($I2965="첫 건","유지","확인 필요")))</f>
        <v/>
      </c>
    </row>
    <row r="2966" customFormat="false" ht="15" hidden="false" customHeight="true" outlineLevel="0" collapsed="false">
      <c r="A2966" s="11" t="str">
        <f aca="false">IF(원본명단!$A2965="","",2963)</f>
        <v/>
      </c>
      <c r="B2966" s="12" t="str">
        <f aca="false">IF($A2966="","",원본명단!$A2965)</f>
        <v/>
      </c>
      <c r="C2966" s="12" t="str">
        <f aca="false">IF($A2966="","",원본명단!$B2965)</f>
        <v/>
      </c>
      <c r="D2966" s="12" t="str">
        <f aca="false">IF($A2966="","",원본명단!$D2965)</f>
        <v/>
      </c>
      <c r="E2966" s="11" t="str">
        <f aca="false">IF($A2966="","",IF(원본명단!$H2965="",0,COUNTIF(원본명단!$H$3:$H$6002,원본명단!$H2965)))</f>
        <v/>
      </c>
      <c r="F2966" s="11" t="str">
        <f aca="false">IF($A2966="","",IF(원본명단!$I2965="",0,COUNTIF(원본명단!$I$3:$I$6002,원본명단!$I2965)))</f>
        <v/>
      </c>
      <c r="G2966" s="11" t="str">
        <f aca="false">IF($A2966="","",IF(원본명단!$K2965="",0,COUNTIF(원본명단!$K$3:$K$6002,원본명단!$K2965)))</f>
        <v/>
      </c>
      <c r="H2966" s="11" t="str">
        <f aca="false">IF($A2966="","",IF(MAX($E2966,$F2966,$G2966)&gt;1,"중복","-"))</f>
        <v/>
      </c>
      <c r="I2966" s="11" t="str">
        <f aca="false">IF($A2966="","",IF($H2966="-","-",IF(AND(IF(원본명단!$H2965="",TRUE(),COUNTIF(원본명단!$H$3:$H2965,원본명단!$H2965)=1),IF(원본명단!$I2965="",TRUE(),COUNTIF(원본명단!$I$3:$I2965,원본명단!$I2965)=1),IF(원본명단!$K2965="",TRUE(),COUNTIF(원본명단!$K$3:$K2965,원본명단!$K2965)=1)),"첫 건","중복 건")))</f>
        <v/>
      </c>
      <c r="J2966" s="11" t="str">
        <f aca="false">IF($A2966="","",IF($H2966="-","유지",IF($I2966="첫 건","유지","확인 필요")))</f>
        <v/>
      </c>
    </row>
    <row r="2967" customFormat="false" ht="15" hidden="false" customHeight="true" outlineLevel="0" collapsed="false">
      <c r="A2967" s="11" t="str">
        <f aca="false">IF(원본명단!$A2966="","",2964)</f>
        <v/>
      </c>
      <c r="B2967" s="12" t="str">
        <f aca="false">IF($A2967="","",원본명단!$A2966)</f>
        <v/>
      </c>
      <c r="C2967" s="12" t="str">
        <f aca="false">IF($A2967="","",원본명단!$B2966)</f>
        <v/>
      </c>
      <c r="D2967" s="12" t="str">
        <f aca="false">IF($A2967="","",원본명단!$D2966)</f>
        <v/>
      </c>
      <c r="E2967" s="11" t="str">
        <f aca="false">IF($A2967="","",IF(원본명단!$H2966="",0,COUNTIF(원본명단!$H$3:$H$6002,원본명단!$H2966)))</f>
        <v/>
      </c>
      <c r="F2967" s="11" t="str">
        <f aca="false">IF($A2967="","",IF(원본명단!$I2966="",0,COUNTIF(원본명단!$I$3:$I$6002,원본명단!$I2966)))</f>
        <v/>
      </c>
      <c r="G2967" s="11" t="str">
        <f aca="false">IF($A2967="","",IF(원본명단!$K2966="",0,COUNTIF(원본명단!$K$3:$K$6002,원본명단!$K2966)))</f>
        <v/>
      </c>
      <c r="H2967" s="11" t="str">
        <f aca="false">IF($A2967="","",IF(MAX($E2967,$F2967,$G2967)&gt;1,"중복","-"))</f>
        <v/>
      </c>
      <c r="I2967" s="11" t="str">
        <f aca="false">IF($A2967="","",IF($H2967="-","-",IF(AND(IF(원본명단!$H2966="",TRUE(),COUNTIF(원본명단!$H$3:$H2966,원본명단!$H2966)=1),IF(원본명단!$I2966="",TRUE(),COUNTIF(원본명단!$I$3:$I2966,원본명단!$I2966)=1),IF(원본명단!$K2966="",TRUE(),COUNTIF(원본명단!$K$3:$K2966,원본명단!$K2966)=1)),"첫 건","중복 건")))</f>
        <v/>
      </c>
      <c r="J2967" s="11" t="str">
        <f aca="false">IF($A2967="","",IF($H2967="-","유지",IF($I2967="첫 건","유지","확인 필요")))</f>
        <v/>
      </c>
    </row>
    <row r="2968" customFormat="false" ht="15" hidden="false" customHeight="true" outlineLevel="0" collapsed="false">
      <c r="A2968" s="11" t="str">
        <f aca="false">IF(원본명단!$A2967="","",2965)</f>
        <v/>
      </c>
      <c r="B2968" s="12" t="str">
        <f aca="false">IF($A2968="","",원본명단!$A2967)</f>
        <v/>
      </c>
      <c r="C2968" s="12" t="str">
        <f aca="false">IF($A2968="","",원본명단!$B2967)</f>
        <v/>
      </c>
      <c r="D2968" s="12" t="str">
        <f aca="false">IF($A2968="","",원본명단!$D2967)</f>
        <v/>
      </c>
      <c r="E2968" s="11" t="str">
        <f aca="false">IF($A2968="","",IF(원본명단!$H2967="",0,COUNTIF(원본명단!$H$3:$H$6002,원본명단!$H2967)))</f>
        <v/>
      </c>
      <c r="F2968" s="11" t="str">
        <f aca="false">IF($A2968="","",IF(원본명단!$I2967="",0,COUNTIF(원본명단!$I$3:$I$6002,원본명단!$I2967)))</f>
        <v/>
      </c>
      <c r="G2968" s="11" t="str">
        <f aca="false">IF($A2968="","",IF(원본명단!$K2967="",0,COUNTIF(원본명단!$K$3:$K$6002,원본명단!$K2967)))</f>
        <v/>
      </c>
      <c r="H2968" s="11" t="str">
        <f aca="false">IF($A2968="","",IF(MAX($E2968,$F2968,$G2968)&gt;1,"중복","-"))</f>
        <v/>
      </c>
      <c r="I2968" s="11" t="str">
        <f aca="false">IF($A2968="","",IF($H2968="-","-",IF(AND(IF(원본명단!$H2967="",TRUE(),COUNTIF(원본명단!$H$3:$H2967,원본명단!$H2967)=1),IF(원본명단!$I2967="",TRUE(),COUNTIF(원본명단!$I$3:$I2967,원본명단!$I2967)=1),IF(원본명단!$K2967="",TRUE(),COUNTIF(원본명단!$K$3:$K2967,원본명단!$K2967)=1)),"첫 건","중복 건")))</f>
        <v/>
      </c>
      <c r="J2968" s="11" t="str">
        <f aca="false">IF($A2968="","",IF($H2968="-","유지",IF($I2968="첫 건","유지","확인 필요")))</f>
        <v/>
      </c>
    </row>
    <row r="2969" customFormat="false" ht="15" hidden="false" customHeight="true" outlineLevel="0" collapsed="false">
      <c r="A2969" s="11" t="str">
        <f aca="false">IF(원본명단!$A2968="","",2966)</f>
        <v/>
      </c>
      <c r="B2969" s="12" t="str">
        <f aca="false">IF($A2969="","",원본명단!$A2968)</f>
        <v/>
      </c>
      <c r="C2969" s="12" t="str">
        <f aca="false">IF($A2969="","",원본명단!$B2968)</f>
        <v/>
      </c>
      <c r="D2969" s="12" t="str">
        <f aca="false">IF($A2969="","",원본명단!$D2968)</f>
        <v/>
      </c>
      <c r="E2969" s="11" t="str">
        <f aca="false">IF($A2969="","",IF(원본명단!$H2968="",0,COUNTIF(원본명단!$H$3:$H$6002,원본명단!$H2968)))</f>
        <v/>
      </c>
      <c r="F2969" s="11" t="str">
        <f aca="false">IF($A2969="","",IF(원본명단!$I2968="",0,COUNTIF(원본명단!$I$3:$I$6002,원본명단!$I2968)))</f>
        <v/>
      </c>
      <c r="G2969" s="11" t="str">
        <f aca="false">IF($A2969="","",IF(원본명단!$K2968="",0,COUNTIF(원본명단!$K$3:$K$6002,원본명단!$K2968)))</f>
        <v/>
      </c>
      <c r="H2969" s="11" t="str">
        <f aca="false">IF($A2969="","",IF(MAX($E2969,$F2969,$G2969)&gt;1,"중복","-"))</f>
        <v/>
      </c>
      <c r="I2969" s="11" t="str">
        <f aca="false">IF($A2969="","",IF($H2969="-","-",IF(AND(IF(원본명단!$H2968="",TRUE(),COUNTIF(원본명단!$H$3:$H2968,원본명단!$H2968)=1),IF(원본명단!$I2968="",TRUE(),COUNTIF(원본명단!$I$3:$I2968,원본명단!$I2968)=1),IF(원본명단!$K2968="",TRUE(),COUNTIF(원본명단!$K$3:$K2968,원본명단!$K2968)=1)),"첫 건","중복 건")))</f>
        <v/>
      </c>
      <c r="J2969" s="11" t="str">
        <f aca="false">IF($A2969="","",IF($H2969="-","유지",IF($I2969="첫 건","유지","확인 필요")))</f>
        <v/>
      </c>
    </row>
    <row r="2970" customFormat="false" ht="15" hidden="false" customHeight="true" outlineLevel="0" collapsed="false">
      <c r="A2970" s="11" t="str">
        <f aca="false">IF(원본명단!$A2969="","",2967)</f>
        <v/>
      </c>
      <c r="B2970" s="12" t="str">
        <f aca="false">IF($A2970="","",원본명단!$A2969)</f>
        <v/>
      </c>
      <c r="C2970" s="12" t="str">
        <f aca="false">IF($A2970="","",원본명단!$B2969)</f>
        <v/>
      </c>
      <c r="D2970" s="12" t="str">
        <f aca="false">IF($A2970="","",원본명단!$D2969)</f>
        <v/>
      </c>
      <c r="E2970" s="11" t="str">
        <f aca="false">IF($A2970="","",IF(원본명단!$H2969="",0,COUNTIF(원본명단!$H$3:$H$6002,원본명단!$H2969)))</f>
        <v/>
      </c>
      <c r="F2970" s="11" t="str">
        <f aca="false">IF($A2970="","",IF(원본명단!$I2969="",0,COUNTIF(원본명단!$I$3:$I$6002,원본명단!$I2969)))</f>
        <v/>
      </c>
      <c r="G2970" s="11" t="str">
        <f aca="false">IF($A2970="","",IF(원본명단!$K2969="",0,COUNTIF(원본명단!$K$3:$K$6002,원본명단!$K2969)))</f>
        <v/>
      </c>
      <c r="H2970" s="11" t="str">
        <f aca="false">IF($A2970="","",IF(MAX($E2970,$F2970,$G2970)&gt;1,"중복","-"))</f>
        <v/>
      </c>
      <c r="I2970" s="11" t="str">
        <f aca="false">IF($A2970="","",IF($H2970="-","-",IF(AND(IF(원본명단!$H2969="",TRUE(),COUNTIF(원본명단!$H$3:$H2969,원본명단!$H2969)=1),IF(원본명단!$I2969="",TRUE(),COUNTIF(원본명단!$I$3:$I2969,원본명단!$I2969)=1),IF(원본명단!$K2969="",TRUE(),COUNTIF(원본명단!$K$3:$K2969,원본명단!$K2969)=1)),"첫 건","중복 건")))</f>
        <v/>
      </c>
      <c r="J2970" s="11" t="str">
        <f aca="false">IF($A2970="","",IF($H2970="-","유지",IF($I2970="첫 건","유지","확인 필요")))</f>
        <v/>
      </c>
    </row>
    <row r="2971" customFormat="false" ht="15" hidden="false" customHeight="true" outlineLevel="0" collapsed="false">
      <c r="A2971" s="11" t="str">
        <f aca="false">IF(원본명단!$A2970="","",2968)</f>
        <v/>
      </c>
      <c r="B2971" s="12" t="str">
        <f aca="false">IF($A2971="","",원본명단!$A2970)</f>
        <v/>
      </c>
      <c r="C2971" s="12" t="str">
        <f aca="false">IF($A2971="","",원본명단!$B2970)</f>
        <v/>
      </c>
      <c r="D2971" s="12" t="str">
        <f aca="false">IF($A2971="","",원본명단!$D2970)</f>
        <v/>
      </c>
      <c r="E2971" s="11" t="str">
        <f aca="false">IF($A2971="","",IF(원본명단!$H2970="",0,COUNTIF(원본명단!$H$3:$H$6002,원본명단!$H2970)))</f>
        <v/>
      </c>
      <c r="F2971" s="11" t="str">
        <f aca="false">IF($A2971="","",IF(원본명단!$I2970="",0,COUNTIF(원본명단!$I$3:$I$6002,원본명단!$I2970)))</f>
        <v/>
      </c>
      <c r="G2971" s="11" t="str">
        <f aca="false">IF($A2971="","",IF(원본명단!$K2970="",0,COUNTIF(원본명단!$K$3:$K$6002,원본명단!$K2970)))</f>
        <v/>
      </c>
      <c r="H2971" s="11" t="str">
        <f aca="false">IF($A2971="","",IF(MAX($E2971,$F2971,$G2971)&gt;1,"중복","-"))</f>
        <v/>
      </c>
      <c r="I2971" s="11" t="str">
        <f aca="false">IF($A2971="","",IF($H2971="-","-",IF(AND(IF(원본명단!$H2970="",TRUE(),COUNTIF(원본명단!$H$3:$H2970,원본명단!$H2970)=1),IF(원본명단!$I2970="",TRUE(),COUNTIF(원본명단!$I$3:$I2970,원본명단!$I2970)=1),IF(원본명단!$K2970="",TRUE(),COUNTIF(원본명단!$K$3:$K2970,원본명단!$K2970)=1)),"첫 건","중복 건")))</f>
        <v/>
      </c>
      <c r="J2971" s="11" t="str">
        <f aca="false">IF($A2971="","",IF($H2971="-","유지",IF($I2971="첫 건","유지","확인 필요")))</f>
        <v/>
      </c>
    </row>
    <row r="2972" customFormat="false" ht="15" hidden="false" customHeight="true" outlineLevel="0" collapsed="false">
      <c r="A2972" s="11" t="str">
        <f aca="false">IF(원본명단!$A2971="","",2969)</f>
        <v/>
      </c>
      <c r="B2972" s="12" t="str">
        <f aca="false">IF($A2972="","",원본명단!$A2971)</f>
        <v/>
      </c>
      <c r="C2972" s="12" t="str">
        <f aca="false">IF($A2972="","",원본명단!$B2971)</f>
        <v/>
      </c>
      <c r="D2972" s="12" t="str">
        <f aca="false">IF($A2972="","",원본명단!$D2971)</f>
        <v/>
      </c>
      <c r="E2972" s="11" t="str">
        <f aca="false">IF($A2972="","",IF(원본명단!$H2971="",0,COUNTIF(원본명단!$H$3:$H$6002,원본명단!$H2971)))</f>
        <v/>
      </c>
      <c r="F2972" s="11" t="str">
        <f aca="false">IF($A2972="","",IF(원본명단!$I2971="",0,COUNTIF(원본명단!$I$3:$I$6002,원본명단!$I2971)))</f>
        <v/>
      </c>
      <c r="G2972" s="11" t="str">
        <f aca="false">IF($A2972="","",IF(원본명단!$K2971="",0,COUNTIF(원본명단!$K$3:$K$6002,원본명단!$K2971)))</f>
        <v/>
      </c>
      <c r="H2972" s="11" t="str">
        <f aca="false">IF($A2972="","",IF(MAX($E2972,$F2972,$G2972)&gt;1,"중복","-"))</f>
        <v/>
      </c>
      <c r="I2972" s="11" t="str">
        <f aca="false">IF($A2972="","",IF($H2972="-","-",IF(AND(IF(원본명단!$H2971="",TRUE(),COUNTIF(원본명단!$H$3:$H2971,원본명단!$H2971)=1),IF(원본명단!$I2971="",TRUE(),COUNTIF(원본명단!$I$3:$I2971,원본명단!$I2971)=1),IF(원본명단!$K2971="",TRUE(),COUNTIF(원본명단!$K$3:$K2971,원본명단!$K2971)=1)),"첫 건","중복 건")))</f>
        <v/>
      </c>
      <c r="J2972" s="11" t="str">
        <f aca="false">IF($A2972="","",IF($H2972="-","유지",IF($I2972="첫 건","유지","확인 필요")))</f>
        <v/>
      </c>
    </row>
    <row r="2973" customFormat="false" ht="15" hidden="false" customHeight="true" outlineLevel="0" collapsed="false">
      <c r="A2973" s="11" t="str">
        <f aca="false">IF(원본명단!$A2972="","",2970)</f>
        <v/>
      </c>
      <c r="B2973" s="12" t="str">
        <f aca="false">IF($A2973="","",원본명단!$A2972)</f>
        <v/>
      </c>
      <c r="C2973" s="12" t="str">
        <f aca="false">IF($A2973="","",원본명단!$B2972)</f>
        <v/>
      </c>
      <c r="D2973" s="12" t="str">
        <f aca="false">IF($A2973="","",원본명단!$D2972)</f>
        <v/>
      </c>
      <c r="E2973" s="11" t="str">
        <f aca="false">IF($A2973="","",IF(원본명단!$H2972="",0,COUNTIF(원본명단!$H$3:$H$6002,원본명단!$H2972)))</f>
        <v/>
      </c>
      <c r="F2973" s="11" t="str">
        <f aca="false">IF($A2973="","",IF(원본명단!$I2972="",0,COUNTIF(원본명단!$I$3:$I$6002,원본명단!$I2972)))</f>
        <v/>
      </c>
      <c r="G2973" s="11" t="str">
        <f aca="false">IF($A2973="","",IF(원본명단!$K2972="",0,COUNTIF(원본명단!$K$3:$K$6002,원본명단!$K2972)))</f>
        <v/>
      </c>
      <c r="H2973" s="11" t="str">
        <f aca="false">IF($A2973="","",IF(MAX($E2973,$F2973,$G2973)&gt;1,"중복","-"))</f>
        <v/>
      </c>
      <c r="I2973" s="11" t="str">
        <f aca="false">IF($A2973="","",IF($H2973="-","-",IF(AND(IF(원본명단!$H2972="",TRUE(),COUNTIF(원본명단!$H$3:$H2972,원본명단!$H2972)=1),IF(원본명단!$I2972="",TRUE(),COUNTIF(원본명단!$I$3:$I2972,원본명단!$I2972)=1),IF(원본명단!$K2972="",TRUE(),COUNTIF(원본명단!$K$3:$K2972,원본명단!$K2972)=1)),"첫 건","중복 건")))</f>
        <v/>
      </c>
      <c r="J2973" s="11" t="str">
        <f aca="false">IF($A2973="","",IF($H2973="-","유지",IF($I2973="첫 건","유지","확인 필요")))</f>
        <v/>
      </c>
    </row>
    <row r="2974" customFormat="false" ht="15" hidden="false" customHeight="true" outlineLevel="0" collapsed="false">
      <c r="A2974" s="11" t="str">
        <f aca="false">IF(원본명단!$A2973="","",2971)</f>
        <v/>
      </c>
      <c r="B2974" s="12" t="str">
        <f aca="false">IF($A2974="","",원본명단!$A2973)</f>
        <v/>
      </c>
      <c r="C2974" s="12" t="str">
        <f aca="false">IF($A2974="","",원본명단!$B2973)</f>
        <v/>
      </c>
      <c r="D2974" s="12" t="str">
        <f aca="false">IF($A2974="","",원본명단!$D2973)</f>
        <v/>
      </c>
      <c r="E2974" s="11" t="str">
        <f aca="false">IF($A2974="","",IF(원본명단!$H2973="",0,COUNTIF(원본명단!$H$3:$H$6002,원본명단!$H2973)))</f>
        <v/>
      </c>
      <c r="F2974" s="11" t="str">
        <f aca="false">IF($A2974="","",IF(원본명단!$I2973="",0,COUNTIF(원본명단!$I$3:$I$6002,원본명단!$I2973)))</f>
        <v/>
      </c>
      <c r="G2974" s="11" t="str">
        <f aca="false">IF($A2974="","",IF(원본명단!$K2973="",0,COUNTIF(원본명단!$K$3:$K$6002,원본명단!$K2973)))</f>
        <v/>
      </c>
      <c r="H2974" s="11" t="str">
        <f aca="false">IF($A2974="","",IF(MAX($E2974,$F2974,$G2974)&gt;1,"중복","-"))</f>
        <v/>
      </c>
      <c r="I2974" s="11" t="str">
        <f aca="false">IF($A2974="","",IF($H2974="-","-",IF(AND(IF(원본명단!$H2973="",TRUE(),COUNTIF(원본명단!$H$3:$H2973,원본명단!$H2973)=1),IF(원본명단!$I2973="",TRUE(),COUNTIF(원본명단!$I$3:$I2973,원본명단!$I2973)=1),IF(원본명단!$K2973="",TRUE(),COUNTIF(원본명단!$K$3:$K2973,원본명단!$K2973)=1)),"첫 건","중복 건")))</f>
        <v/>
      </c>
      <c r="J2974" s="11" t="str">
        <f aca="false">IF($A2974="","",IF($H2974="-","유지",IF($I2974="첫 건","유지","확인 필요")))</f>
        <v/>
      </c>
    </row>
    <row r="2975" customFormat="false" ht="15" hidden="false" customHeight="true" outlineLevel="0" collapsed="false">
      <c r="A2975" s="11" t="str">
        <f aca="false">IF(원본명단!$A2974="","",2972)</f>
        <v/>
      </c>
      <c r="B2975" s="12" t="str">
        <f aca="false">IF($A2975="","",원본명단!$A2974)</f>
        <v/>
      </c>
      <c r="C2975" s="12" t="str">
        <f aca="false">IF($A2975="","",원본명단!$B2974)</f>
        <v/>
      </c>
      <c r="D2975" s="12" t="str">
        <f aca="false">IF($A2975="","",원본명단!$D2974)</f>
        <v/>
      </c>
      <c r="E2975" s="11" t="str">
        <f aca="false">IF($A2975="","",IF(원본명단!$H2974="",0,COUNTIF(원본명단!$H$3:$H$6002,원본명단!$H2974)))</f>
        <v/>
      </c>
      <c r="F2975" s="11" t="str">
        <f aca="false">IF($A2975="","",IF(원본명단!$I2974="",0,COUNTIF(원본명단!$I$3:$I$6002,원본명단!$I2974)))</f>
        <v/>
      </c>
      <c r="G2975" s="11" t="str">
        <f aca="false">IF($A2975="","",IF(원본명단!$K2974="",0,COUNTIF(원본명단!$K$3:$K$6002,원본명단!$K2974)))</f>
        <v/>
      </c>
      <c r="H2975" s="11" t="str">
        <f aca="false">IF($A2975="","",IF(MAX($E2975,$F2975,$G2975)&gt;1,"중복","-"))</f>
        <v/>
      </c>
      <c r="I2975" s="11" t="str">
        <f aca="false">IF($A2975="","",IF($H2975="-","-",IF(AND(IF(원본명단!$H2974="",TRUE(),COUNTIF(원본명단!$H$3:$H2974,원본명단!$H2974)=1),IF(원본명단!$I2974="",TRUE(),COUNTIF(원본명단!$I$3:$I2974,원본명단!$I2974)=1),IF(원본명단!$K2974="",TRUE(),COUNTIF(원본명단!$K$3:$K2974,원본명단!$K2974)=1)),"첫 건","중복 건")))</f>
        <v/>
      </c>
      <c r="J2975" s="11" t="str">
        <f aca="false">IF($A2975="","",IF($H2975="-","유지",IF($I2975="첫 건","유지","확인 필요")))</f>
        <v/>
      </c>
    </row>
    <row r="2976" customFormat="false" ht="15" hidden="false" customHeight="true" outlineLevel="0" collapsed="false">
      <c r="A2976" s="11" t="str">
        <f aca="false">IF(원본명단!$A2975="","",2973)</f>
        <v/>
      </c>
      <c r="B2976" s="12" t="str">
        <f aca="false">IF($A2976="","",원본명단!$A2975)</f>
        <v/>
      </c>
      <c r="C2976" s="12" t="str">
        <f aca="false">IF($A2976="","",원본명단!$B2975)</f>
        <v/>
      </c>
      <c r="D2976" s="12" t="str">
        <f aca="false">IF($A2976="","",원본명단!$D2975)</f>
        <v/>
      </c>
      <c r="E2976" s="11" t="str">
        <f aca="false">IF($A2976="","",IF(원본명단!$H2975="",0,COUNTIF(원본명단!$H$3:$H$6002,원본명단!$H2975)))</f>
        <v/>
      </c>
      <c r="F2976" s="11" t="str">
        <f aca="false">IF($A2976="","",IF(원본명단!$I2975="",0,COUNTIF(원본명단!$I$3:$I$6002,원본명단!$I2975)))</f>
        <v/>
      </c>
      <c r="G2976" s="11" t="str">
        <f aca="false">IF($A2976="","",IF(원본명단!$K2975="",0,COUNTIF(원본명단!$K$3:$K$6002,원본명단!$K2975)))</f>
        <v/>
      </c>
      <c r="H2976" s="11" t="str">
        <f aca="false">IF($A2976="","",IF(MAX($E2976,$F2976,$G2976)&gt;1,"중복","-"))</f>
        <v/>
      </c>
      <c r="I2976" s="11" t="str">
        <f aca="false">IF($A2976="","",IF($H2976="-","-",IF(AND(IF(원본명단!$H2975="",TRUE(),COUNTIF(원본명단!$H$3:$H2975,원본명단!$H2975)=1),IF(원본명단!$I2975="",TRUE(),COUNTIF(원본명단!$I$3:$I2975,원본명단!$I2975)=1),IF(원본명단!$K2975="",TRUE(),COUNTIF(원본명단!$K$3:$K2975,원본명단!$K2975)=1)),"첫 건","중복 건")))</f>
        <v/>
      </c>
      <c r="J2976" s="11" t="str">
        <f aca="false">IF($A2976="","",IF($H2976="-","유지",IF($I2976="첫 건","유지","확인 필요")))</f>
        <v/>
      </c>
    </row>
    <row r="2977" customFormat="false" ht="15" hidden="false" customHeight="true" outlineLevel="0" collapsed="false">
      <c r="A2977" s="11" t="str">
        <f aca="false">IF(원본명단!$A2976="","",2974)</f>
        <v/>
      </c>
      <c r="B2977" s="12" t="str">
        <f aca="false">IF($A2977="","",원본명단!$A2976)</f>
        <v/>
      </c>
      <c r="C2977" s="12" t="str">
        <f aca="false">IF($A2977="","",원본명단!$B2976)</f>
        <v/>
      </c>
      <c r="D2977" s="12" t="str">
        <f aca="false">IF($A2977="","",원본명단!$D2976)</f>
        <v/>
      </c>
      <c r="E2977" s="11" t="str">
        <f aca="false">IF($A2977="","",IF(원본명단!$H2976="",0,COUNTIF(원본명단!$H$3:$H$6002,원본명단!$H2976)))</f>
        <v/>
      </c>
      <c r="F2977" s="11" t="str">
        <f aca="false">IF($A2977="","",IF(원본명단!$I2976="",0,COUNTIF(원본명단!$I$3:$I$6002,원본명단!$I2976)))</f>
        <v/>
      </c>
      <c r="G2977" s="11" t="str">
        <f aca="false">IF($A2977="","",IF(원본명단!$K2976="",0,COUNTIF(원본명단!$K$3:$K$6002,원본명단!$K2976)))</f>
        <v/>
      </c>
      <c r="H2977" s="11" t="str">
        <f aca="false">IF($A2977="","",IF(MAX($E2977,$F2977,$G2977)&gt;1,"중복","-"))</f>
        <v/>
      </c>
      <c r="I2977" s="11" t="str">
        <f aca="false">IF($A2977="","",IF($H2977="-","-",IF(AND(IF(원본명단!$H2976="",TRUE(),COUNTIF(원본명단!$H$3:$H2976,원본명단!$H2976)=1),IF(원본명단!$I2976="",TRUE(),COUNTIF(원본명단!$I$3:$I2976,원본명단!$I2976)=1),IF(원본명단!$K2976="",TRUE(),COUNTIF(원본명단!$K$3:$K2976,원본명단!$K2976)=1)),"첫 건","중복 건")))</f>
        <v/>
      </c>
      <c r="J2977" s="11" t="str">
        <f aca="false">IF($A2977="","",IF($H2977="-","유지",IF($I2977="첫 건","유지","확인 필요")))</f>
        <v/>
      </c>
    </row>
    <row r="2978" customFormat="false" ht="15" hidden="false" customHeight="true" outlineLevel="0" collapsed="false">
      <c r="A2978" s="11" t="str">
        <f aca="false">IF(원본명단!$A2977="","",2975)</f>
        <v/>
      </c>
      <c r="B2978" s="12" t="str">
        <f aca="false">IF($A2978="","",원본명단!$A2977)</f>
        <v/>
      </c>
      <c r="C2978" s="12" t="str">
        <f aca="false">IF($A2978="","",원본명단!$B2977)</f>
        <v/>
      </c>
      <c r="D2978" s="12" t="str">
        <f aca="false">IF($A2978="","",원본명단!$D2977)</f>
        <v/>
      </c>
      <c r="E2978" s="11" t="str">
        <f aca="false">IF($A2978="","",IF(원본명단!$H2977="",0,COUNTIF(원본명단!$H$3:$H$6002,원본명단!$H2977)))</f>
        <v/>
      </c>
      <c r="F2978" s="11" t="str">
        <f aca="false">IF($A2978="","",IF(원본명단!$I2977="",0,COUNTIF(원본명단!$I$3:$I$6002,원본명단!$I2977)))</f>
        <v/>
      </c>
      <c r="G2978" s="11" t="str">
        <f aca="false">IF($A2978="","",IF(원본명단!$K2977="",0,COUNTIF(원본명단!$K$3:$K$6002,원본명단!$K2977)))</f>
        <v/>
      </c>
      <c r="H2978" s="11" t="str">
        <f aca="false">IF($A2978="","",IF(MAX($E2978,$F2978,$G2978)&gt;1,"중복","-"))</f>
        <v/>
      </c>
      <c r="I2978" s="11" t="str">
        <f aca="false">IF($A2978="","",IF($H2978="-","-",IF(AND(IF(원본명단!$H2977="",TRUE(),COUNTIF(원본명단!$H$3:$H2977,원본명단!$H2977)=1),IF(원본명단!$I2977="",TRUE(),COUNTIF(원본명단!$I$3:$I2977,원본명단!$I2977)=1),IF(원본명단!$K2977="",TRUE(),COUNTIF(원본명단!$K$3:$K2977,원본명단!$K2977)=1)),"첫 건","중복 건")))</f>
        <v/>
      </c>
      <c r="J2978" s="11" t="str">
        <f aca="false">IF($A2978="","",IF($H2978="-","유지",IF($I2978="첫 건","유지","확인 필요")))</f>
        <v/>
      </c>
    </row>
    <row r="2979" customFormat="false" ht="15" hidden="false" customHeight="true" outlineLevel="0" collapsed="false">
      <c r="A2979" s="11" t="str">
        <f aca="false">IF(원본명단!$A2978="","",2976)</f>
        <v/>
      </c>
      <c r="B2979" s="12" t="str">
        <f aca="false">IF($A2979="","",원본명단!$A2978)</f>
        <v/>
      </c>
      <c r="C2979" s="12" t="str">
        <f aca="false">IF($A2979="","",원본명단!$B2978)</f>
        <v/>
      </c>
      <c r="D2979" s="12" t="str">
        <f aca="false">IF($A2979="","",원본명단!$D2978)</f>
        <v/>
      </c>
      <c r="E2979" s="11" t="str">
        <f aca="false">IF($A2979="","",IF(원본명단!$H2978="",0,COUNTIF(원본명단!$H$3:$H$6002,원본명단!$H2978)))</f>
        <v/>
      </c>
      <c r="F2979" s="11" t="str">
        <f aca="false">IF($A2979="","",IF(원본명단!$I2978="",0,COUNTIF(원본명단!$I$3:$I$6002,원본명단!$I2978)))</f>
        <v/>
      </c>
      <c r="G2979" s="11" t="str">
        <f aca="false">IF($A2979="","",IF(원본명단!$K2978="",0,COUNTIF(원본명단!$K$3:$K$6002,원본명단!$K2978)))</f>
        <v/>
      </c>
      <c r="H2979" s="11" t="str">
        <f aca="false">IF($A2979="","",IF(MAX($E2979,$F2979,$G2979)&gt;1,"중복","-"))</f>
        <v/>
      </c>
      <c r="I2979" s="11" t="str">
        <f aca="false">IF($A2979="","",IF($H2979="-","-",IF(AND(IF(원본명단!$H2978="",TRUE(),COUNTIF(원본명단!$H$3:$H2978,원본명단!$H2978)=1),IF(원본명단!$I2978="",TRUE(),COUNTIF(원본명단!$I$3:$I2978,원본명단!$I2978)=1),IF(원본명단!$K2978="",TRUE(),COUNTIF(원본명단!$K$3:$K2978,원본명단!$K2978)=1)),"첫 건","중복 건")))</f>
        <v/>
      </c>
      <c r="J2979" s="11" t="str">
        <f aca="false">IF($A2979="","",IF($H2979="-","유지",IF($I2979="첫 건","유지","확인 필요")))</f>
        <v/>
      </c>
    </row>
    <row r="2980" customFormat="false" ht="15" hidden="false" customHeight="true" outlineLevel="0" collapsed="false">
      <c r="A2980" s="11" t="str">
        <f aca="false">IF(원본명단!$A2979="","",2977)</f>
        <v/>
      </c>
      <c r="B2980" s="12" t="str">
        <f aca="false">IF($A2980="","",원본명단!$A2979)</f>
        <v/>
      </c>
      <c r="C2980" s="12" t="str">
        <f aca="false">IF($A2980="","",원본명단!$B2979)</f>
        <v/>
      </c>
      <c r="D2980" s="12" t="str">
        <f aca="false">IF($A2980="","",원본명단!$D2979)</f>
        <v/>
      </c>
      <c r="E2980" s="11" t="str">
        <f aca="false">IF($A2980="","",IF(원본명단!$H2979="",0,COUNTIF(원본명단!$H$3:$H$6002,원본명단!$H2979)))</f>
        <v/>
      </c>
      <c r="F2980" s="11" t="str">
        <f aca="false">IF($A2980="","",IF(원본명단!$I2979="",0,COUNTIF(원본명단!$I$3:$I$6002,원본명단!$I2979)))</f>
        <v/>
      </c>
      <c r="G2980" s="11" t="str">
        <f aca="false">IF($A2980="","",IF(원본명단!$K2979="",0,COUNTIF(원본명단!$K$3:$K$6002,원본명단!$K2979)))</f>
        <v/>
      </c>
      <c r="H2980" s="11" t="str">
        <f aca="false">IF($A2980="","",IF(MAX($E2980,$F2980,$G2980)&gt;1,"중복","-"))</f>
        <v/>
      </c>
      <c r="I2980" s="11" t="str">
        <f aca="false">IF($A2980="","",IF($H2980="-","-",IF(AND(IF(원본명단!$H2979="",TRUE(),COUNTIF(원본명단!$H$3:$H2979,원본명단!$H2979)=1),IF(원본명단!$I2979="",TRUE(),COUNTIF(원본명단!$I$3:$I2979,원본명단!$I2979)=1),IF(원본명단!$K2979="",TRUE(),COUNTIF(원본명단!$K$3:$K2979,원본명단!$K2979)=1)),"첫 건","중복 건")))</f>
        <v/>
      </c>
      <c r="J2980" s="11" t="str">
        <f aca="false">IF($A2980="","",IF($H2980="-","유지",IF($I2980="첫 건","유지","확인 필요")))</f>
        <v/>
      </c>
    </row>
    <row r="2981" customFormat="false" ht="15" hidden="false" customHeight="true" outlineLevel="0" collapsed="false">
      <c r="A2981" s="11" t="str">
        <f aca="false">IF(원본명단!$A2980="","",2978)</f>
        <v/>
      </c>
      <c r="B2981" s="12" t="str">
        <f aca="false">IF($A2981="","",원본명단!$A2980)</f>
        <v/>
      </c>
      <c r="C2981" s="12" t="str">
        <f aca="false">IF($A2981="","",원본명단!$B2980)</f>
        <v/>
      </c>
      <c r="D2981" s="12" t="str">
        <f aca="false">IF($A2981="","",원본명단!$D2980)</f>
        <v/>
      </c>
      <c r="E2981" s="11" t="str">
        <f aca="false">IF($A2981="","",IF(원본명단!$H2980="",0,COUNTIF(원본명단!$H$3:$H$6002,원본명단!$H2980)))</f>
        <v/>
      </c>
      <c r="F2981" s="11" t="str">
        <f aca="false">IF($A2981="","",IF(원본명단!$I2980="",0,COUNTIF(원본명단!$I$3:$I$6002,원본명단!$I2980)))</f>
        <v/>
      </c>
      <c r="G2981" s="11" t="str">
        <f aca="false">IF($A2981="","",IF(원본명단!$K2980="",0,COUNTIF(원본명단!$K$3:$K$6002,원본명단!$K2980)))</f>
        <v/>
      </c>
      <c r="H2981" s="11" t="str">
        <f aca="false">IF($A2981="","",IF(MAX($E2981,$F2981,$G2981)&gt;1,"중복","-"))</f>
        <v/>
      </c>
      <c r="I2981" s="11" t="str">
        <f aca="false">IF($A2981="","",IF($H2981="-","-",IF(AND(IF(원본명단!$H2980="",TRUE(),COUNTIF(원본명단!$H$3:$H2980,원본명단!$H2980)=1),IF(원본명단!$I2980="",TRUE(),COUNTIF(원본명단!$I$3:$I2980,원본명단!$I2980)=1),IF(원본명단!$K2980="",TRUE(),COUNTIF(원본명단!$K$3:$K2980,원본명단!$K2980)=1)),"첫 건","중복 건")))</f>
        <v/>
      </c>
      <c r="J2981" s="11" t="str">
        <f aca="false">IF($A2981="","",IF($H2981="-","유지",IF($I2981="첫 건","유지","확인 필요")))</f>
        <v/>
      </c>
    </row>
    <row r="2982" customFormat="false" ht="15" hidden="false" customHeight="true" outlineLevel="0" collapsed="false">
      <c r="A2982" s="11" t="str">
        <f aca="false">IF(원본명단!$A2981="","",2979)</f>
        <v/>
      </c>
      <c r="B2982" s="12" t="str">
        <f aca="false">IF($A2982="","",원본명단!$A2981)</f>
        <v/>
      </c>
      <c r="C2982" s="12" t="str">
        <f aca="false">IF($A2982="","",원본명단!$B2981)</f>
        <v/>
      </c>
      <c r="D2982" s="12" t="str">
        <f aca="false">IF($A2982="","",원본명단!$D2981)</f>
        <v/>
      </c>
      <c r="E2982" s="11" t="str">
        <f aca="false">IF($A2982="","",IF(원본명단!$H2981="",0,COUNTIF(원본명단!$H$3:$H$6002,원본명단!$H2981)))</f>
        <v/>
      </c>
      <c r="F2982" s="11" t="str">
        <f aca="false">IF($A2982="","",IF(원본명단!$I2981="",0,COUNTIF(원본명단!$I$3:$I$6002,원본명단!$I2981)))</f>
        <v/>
      </c>
      <c r="G2982" s="11" t="str">
        <f aca="false">IF($A2982="","",IF(원본명단!$K2981="",0,COUNTIF(원본명단!$K$3:$K$6002,원본명단!$K2981)))</f>
        <v/>
      </c>
      <c r="H2982" s="11" t="str">
        <f aca="false">IF($A2982="","",IF(MAX($E2982,$F2982,$G2982)&gt;1,"중복","-"))</f>
        <v/>
      </c>
      <c r="I2982" s="11" t="str">
        <f aca="false">IF($A2982="","",IF($H2982="-","-",IF(AND(IF(원본명단!$H2981="",TRUE(),COUNTIF(원본명단!$H$3:$H2981,원본명단!$H2981)=1),IF(원본명단!$I2981="",TRUE(),COUNTIF(원본명단!$I$3:$I2981,원본명단!$I2981)=1),IF(원본명단!$K2981="",TRUE(),COUNTIF(원본명단!$K$3:$K2981,원본명단!$K2981)=1)),"첫 건","중복 건")))</f>
        <v/>
      </c>
      <c r="J2982" s="11" t="str">
        <f aca="false">IF($A2982="","",IF($H2982="-","유지",IF($I2982="첫 건","유지","확인 필요")))</f>
        <v/>
      </c>
    </row>
    <row r="2983" customFormat="false" ht="15" hidden="false" customHeight="true" outlineLevel="0" collapsed="false">
      <c r="A2983" s="11" t="str">
        <f aca="false">IF(원본명단!$A2982="","",2980)</f>
        <v/>
      </c>
      <c r="B2983" s="12" t="str">
        <f aca="false">IF($A2983="","",원본명단!$A2982)</f>
        <v/>
      </c>
      <c r="C2983" s="12" t="str">
        <f aca="false">IF($A2983="","",원본명단!$B2982)</f>
        <v/>
      </c>
      <c r="D2983" s="12" t="str">
        <f aca="false">IF($A2983="","",원본명단!$D2982)</f>
        <v/>
      </c>
      <c r="E2983" s="11" t="str">
        <f aca="false">IF($A2983="","",IF(원본명단!$H2982="",0,COUNTIF(원본명단!$H$3:$H$6002,원본명단!$H2982)))</f>
        <v/>
      </c>
      <c r="F2983" s="11" t="str">
        <f aca="false">IF($A2983="","",IF(원본명단!$I2982="",0,COUNTIF(원본명단!$I$3:$I$6002,원본명단!$I2982)))</f>
        <v/>
      </c>
      <c r="G2983" s="11" t="str">
        <f aca="false">IF($A2983="","",IF(원본명단!$K2982="",0,COUNTIF(원본명단!$K$3:$K$6002,원본명단!$K2982)))</f>
        <v/>
      </c>
      <c r="H2983" s="11" t="str">
        <f aca="false">IF($A2983="","",IF(MAX($E2983,$F2983,$G2983)&gt;1,"중복","-"))</f>
        <v/>
      </c>
      <c r="I2983" s="11" t="str">
        <f aca="false">IF($A2983="","",IF($H2983="-","-",IF(AND(IF(원본명단!$H2982="",TRUE(),COUNTIF(원본명단!$H$3:$H2982,원본명단!$H2982)=1),IF(원본명단!$I2982="",TRUE(),COUNTIF(원본명단!$I$3:$I2982,원본명단!$I2982)=1),IF(원본명단!$K2982="",TRUE(),COUNTIF(원본명단!$K$3:$K2982,원본명단!$K2982)=1)),"첫 건","중복 건")))</f>
        <v/>
      </c>
      <c r="J2983" s="11" t="str">
        <f aca="false">IF($A2983="","",IF($H2983="-","유지",IF($I2983="첫 건","유지","확인 필요")))</f>
        <v/>
      </c>
    </row>
    <row r="2984" customFormat="false" ht="15" hidden="false" customHeight="true" outlineLevel="0" collapsed="false">
      <c r="A2984" s="11" t="str">
        <f aca="false">IF(원본명단!$A2983="","",2981)</f>
        <v/>
      </c>
      <c r="B2984" s="12" t="str">
        <f aca="false">IF($A2984="","",원본명단!$A2983)</f>
        <v/>
      </c>
      <c r="C2984" s="12" t="str">
        <f aca="false">IF($A2984="","",원본명단!$B2983)</f>
        <v/>
      </c>
      <c r="D2984" s="12" t="str">
        <f aca="false">IF($A2984="","",원본명단!$D2983)</f>
        <v/>
      </c>
      <c r="E2984" s="11" t="str">
        <f aca="false">IF($A2984="","",IF(원본명단!$H2983="",0,COUNTIF(원본명단!$H$3:$H$6002,원본명단!$H2983)))</f>
        <v/>
      </c>
      <c r="F2984" s="11" t="str">
        <f aca="false">IF($A2984="","",IF(원본명단!$I2983="",0,COUNTIF(원본명단!$I$3:$I$6002,원본명단!$I2983)))</f>
        <v/>
      </c>
      <c r="G2984" s="11" t="str">
        <f aca="false">IF($A2984="","",IF(원본명단!$K2983="",0,COUNTIF(원본명단!$K$3:$K$6002,원본명단!$K2983)))</f>
        <v/>
      </c>
      <c r="H2984" s="11" t="str">
        <f aca="false">IF($A2984="","",IF(MAX($E2984,$F2984,$G2984)&gt;1,"중복","-"))</f>
        <v/>
      </c>
      <c r="I2984" s="11" t="str">
        <f aca="false">IF($A2984="","",IF($H2984="-","-",IF(AND(IF(원본명단!$H2983="",TRUE(),COUNTIF(원본명단!$H$3:$H2983,원본명단!$H2983)=1),IF(원본명단!$I2983="",TRUE(),COUNTIF(원본명단!$I$3:$I2983,원본명단!$I2983)=1),IF(원본명단!$K2983="",TRUE(),COUNTIF(원본명단!$K$3:$K2983,원본명단!$K2983)=1)),"첫 건","중복 건")))</f>
        <v/>
      </c>
      <c r="J2984" s="11" t="str">
        <f aca="false">IF($A2984="","",IF($H2984="-","유지",IF($I2984="첫 건","유지","확인 필요")))</f>
        <v/>
      </c>
    </row>
    <row r="2985" customFormat="false" ht="15" hidden="false" customHeight="true" outlineLevel="0" collapsed="false">
      <c r="A2985" s="11" t="str">
        <f aca="false">IF(원본명단!$A2984="","",2982)</f>
        <v/>
      </c>
      <c r="B2985" s="12" t="str">
        <f aca="false">IF($A2985="","",원본명단!$A2984)</f>
        <v/>
      </c>
      <c r="C2985" s="12" t="str">
        <f aca="false">IF($A2985="","",원본명단!$B2984)</f>
        <v/>
      </c>
      <c r="D2985" s="12" t="str">
        <f aca="false">IF($A2985="","",원본명단!$D2984)</f>
        <v/>
      </c>
      <c r="E2985" s="11" t="str">
        <f aca="false">IF($A2985="","",IF(원본명단!$H2984="",0,COUNTIF(원본명단!$H$3:$H$6002,원본명단!$H2984)))</f>
        <v/>
      </c>
      <c r="F2985" s="11" t="str">
        <f aca="false">IF($A2985="","",IF(원본명단!$I2984="",0,COUNTIF(원본명단!$I$3:$I$6002,원본명단!$I2984)))</f>
        <v/>
      </c>
      <c r="G2985" s="11" t="str">
        <f aca="false">IF($A2985="","",IF(원본명단!$K2984="",0,COUNTIF(원본명단!$K$3:$K$6002,원본명단!$K2984)))</f>
        <v/>
      </c>
      <c r="H2985" s="11" t="str">
        <f aca="false">IF($A2985="","",IF(MAX($E2985,$F2985,$G2985)&gt;1,"중복","-"))</f>
        <v/>
      </c>
      <c r="I2985" s="11" t="str">
        <f aca="false">IF($A2985="","",IF($H2985="-","-",IF(AND(IF(원본명단!$H2984="",TRUE(),COUNTIF(원본명단!$H$3:$H2984,원본명단!$H2984)=1),IF(원본명단!$I2984="",TRUE(),COUNTIF(원본명단!$I$3:$I2984,원본명단!$I2984)=1),IF(원본명단!$K2984="",TRUE(),COUNTIF(원본명단!$K$3:$K2984,원본명단!$K2984)=1)),"첫 건","중복 건")))</f>
        <v/>
      </c>
      <c r="J2985" s="11" t="str">
        <f aca="false">IF($A2985="","",IF($H2985="-","유지",IF($I2985="첫 건","유지","확인 필요")))</f>
        <v/>
      </c>
    </row>
    <row r="2986" customFormat="false" ht="15" hidden="false" customHeight="true" outlineLevel="0" collapsed="false">
      <c r="A2986" s="11" t="str">
        <f aca="false">IF(원본명단!$A2985="","",2983)</f>
        <v/>
      </c>
      <c r="B2986" s="12" t="str">
        <f aca="false">IF($A2986="","",원본명단!$A2985)</f>
        <v/>
      </c>
      <c r="C2986" s="12" t="str">
        <f aca="false">IF($A2986="","",원본명단!$B2985)</f>
        <v/>
      </c>
      <c r="D2986" s="12" t="str">
        <f aca="false">IF($A2986="","",원본명단!$D2985)</f>
        <v/>
      </c>
      <c r="E2986" s="11" t="str">
        <f aca="false">IF($A2986="","",IF(원본명단!$H2985="",0,COUNTIF(원본명단!$H$3:$H$6002,원본명단!$H2985)))</f>
        <v/>
      </c>
      <c r="F2986" s="11" t="str">
        <f aca="false">IF($A2986="","",IF(원본명단!$I2985="",0,COUNTIF(원본명단!$I$3:$I$6002,원본명단!$I2985)))</f>
        <v/>
      </c>
      <c r="G2986" s="11" t="str">
        <f aca="false">IF($A2986="","",IF(원본명단!$K2985="",0,COUNTIF(원본명단!$K$3:$K$6002,원본명단!$K2985)))</f>
        <v/>
      </c>
      <c r="H2986" s="11" t="str">
        <f aca="false">IF($A2986="","",IF(MAX($E2986,$F2986,$G2986)&gt;1,"중복","-"))</f>
        <v/>
      </c>
      <c r="I2986" s="11" t="str">
        <f aca="false">IF($A2986="","",IF($H2986="-","-",IF(AND(IF(원본명단!$H2985="",TRUE(),COUNTIF(원본명단!$H$3:$H2985,원본명단!$H2985)=1),IF(원본명단!$I2985="",TRUE(),COUNTIF(원본명단!$I$3:$I2985,원본명단!$I2985)=1),IF(원본명단!$K2985="",TRUE(),COUNTIF(원본명단!$K$3:$K2985,원본명단!$K2985)=1)),"첫 건","중복 건")))</f>
        <v/>
      </c>
      <c r="J2986" s="11" t="str">
        <f aca="false">IF($A2986="","",IF($H2986="-","유지",IF($I2986="첫 건","유지","확인 필요")))</f>
        <v/>
      </c>
    </row>
    <row r="2987" customFormat="false" ht="15" hidden="false" customHeight="true" outlineLevel="0" collapsed="false">
      <c r="A2987" s="11" t="str">
        <f aca="false">IF(원본명단!$A2986="","",2984)</f>
        <v/>
      </c>
      <c r="B2987" s="12" t="str">
        <f aca="false">IF($A2987="","",원본명단!$A2986)</f>
        <v/>
      </c>
      <c r="C2987" s="12" t="str">
        <f aca="false">IF($A2987="","",원본명단!$B2986)</f>
        <v/>
      </c>
      <c r="D2987" s="12" t="str">
        <f aca="false">IF($A2987="","",원본명단!$D2986)</f>
        <v/>
      </c>
      <c r="E2987" s="11" t="str">
        <f aca="false">IF($A2987="","",IF(원본명단!$H2986="",0,COUNTIF(원본명단!$H$3:$H$6002,원본명단!$H2986)))</f>
        <v/>
      </c>
      <c r="F2987" s="11" t="str">
        <f aca="false">IF($A2987="","",IF(원본명단!$I2986="",0,COUNTIF(원본명단!$I$3:$I$6002,원본명단!$I2986)))</f>
        <v/>
      </c>
      <c r="G2987" s="11" t="str">
        <f aca="false">IF($A2987="","",IF(원본명단!$K2986="",0,COUNTIF(원본명단!$K$3:$K$6002,원본명단!$K2986)))</f>
        <v/>
      </c>
      <c r="H2987" s="11" t="str">
        <f aca="false">IF($A2987="","",IF(MAX($E2987,$F2987,$G2987)&gt;1,"중복","-"))</f>
        <v/>
      </c>
      <c r="I2987" s="11" t="str">
        <f aca="false">IF($A2987="","",IF($H2987="-","-",IF(AND(IF(원본명단!$H2986="",TRUE(),COUNTIF(원본명단!$H$3:$H2986,원본명단!$H2986)=1),IF(원본명단!$I2986="",TRUE(),COUNTIF(원본명단!$I$3:$I2986,원본명단!$I2986)=1),IF(원본명단!$K2986="",TRUE(),COUNTIF(원본명단!$K$3:$K2986,원본명단!$K2986)=1)),"첫 건","중복 건")))</f>
        <v/>
      </c>
      <c r="J2987" s="11" t="str">
        <f aca="false">IF($A2987="","",IF($H2987="-","유지",IF($I2987="첫 건","유지","확인 필요")))</f>
        <v/>
      </c>
    </row>
    <row r="2988" customFormat="false" ht="15" hidden="false" customHeight="true" outlineLevel="0" collapsed="false">
      <c r="A2988" s="11" t="str">
        <f aca="false">IF(원본명단!$A2987="","",2985)</f>
        <v/>
      </c>
      <c r="B2988" s="12" t="str">
        <f aca="false">IF($A2988="","",원본명단!$A2987)</f>
        <v/>
      </c>
      <c r="C2988" s="12" t="str">
        <f aca="false">IF($A2988="","",원본명단!$B2987)</f>
        <v/>
      </c>
      <c r="D2988" s="12" t="str">
        <f aca="false">IF($A2988="","",원본명단!$D2987)</f>
        <v/>
      </c>
      <c r="E2988" s="11" t="str">
        <f aca="false">IF($A2988="","",IF(원본명단!$H2987="",0,COUNTIF(원본명단!$H$3:$H$6002,원본명단!$H2987)))</f>
        <v/>
      </c>
      <c r="F2988" s="11" t="str">
        <f aca="false">IF($A2988="","",IF(원본명단!$I2987="",0,COUNTIF(원본명단!$I$3:$I$6002,원본명단!$I2987)))</f>
        <v/>
      </c>
      <c r="G2988" s="11" t="str">
        <f aca="false">IF($A2988="","",IF(원본명단!$K2987="",0,COUNTIF(원본명단!$K$3:$K$6002,원본명단!$K2987)))</f>
        <v/>
      </c>
      <c r="H2988" s="11" t="str">
        <f aca="false">IF($A2988="","",IF(MAX($E2988,$F2988,$G2988)&gt;1,"중복","-"))</f>
        <v/>
      </c>
      <c r="I2988" s="11" t="str">
        <f aca="false">IF($A2988="","",IF($H2988="-","-",IF(AND(IF(원본명단!$H2987="",TRUE(),COUNTIF(원본명단!$H$3:$H2987,원본명단!$H2987)=1),IF(원본명단!$I2987="",TRUE(),COUNTIF(원본명단!$I$3:$I2987,원본명단!$I2987)=1),IF(원본명단!$K2987="",TRUE(),COUNTIF(원본명단!$K$3:$K2987,원본명단!$K2987)=1)),"첫 건","중복 건")))</f>
        <v/>
      </c>
      <c r="J2988" s="11" t="str">
        <f aca="false">IF($A2988="","",IF($H2988="-","유지",IF($I2988="첫 건","유지","확인 필요")))</f>
        <v/>
      </c>
    </row>
    <row r="2989" customFormat="false" ht="15" hidden="false" customHeight="true" outlineLevel="0" collapsed="false">
      <c r="A2989" s="11" t="str">
        <f aca="false">IF(원본명단!$A2988="","",2986)</f>
        <v/>
      </c>
      <c r="B2989" s="12" t="str">
        <f aca="false">IF($A2989="","",원본명단!$A2988)</f>
        <v/>
      </c>
      <c r="C2989" s="12" t="str">
        <f aca="false">IF($A2989="","",원본명단!$B2988)</f>
        <v/>
      </c>
      <c r="D2989" s="12" t="str">
        <f aca="false">IF($A2989="","",원본명단!$D2988)</f>
        <v/>
      </c>
      <c r="E2989" s="11" t="str">
        <f aca="false">IF($A2989="","",IF(원본명단!$H2988="",0,COUNTIF(원본명단!$H$3:$H$6002,원본명단!$H2988)))</f>
        <v/>
      </c>
      <c r="F2989" s="11" t="str">
        <f aca="false">IF($A2989="","",IF(원본명단!$I2988="",0,COUNTIF(원본명단!$I$3:$I$6002,원본명단!$I2988)))</f>
        <v/>
      </c>
      <c r="G2989" s="11" t="str">
        <f aca="false">IF($A2989="","",IF(원본명단!$K2988="",0,COUNTIF(원본명단!$K$3:$K$6002,원본명단!$K2988)))</f>
        <v/>
      </c>
      <c r="H2989" s="11" t="str">
        <f aca="false">IF($A2989="","",IF(MAX($E2989,$F2989,$G2989)&gt;1,"중복","-"))</f>
        <v/>
      </c>
      <c r="I2989" s="11" t="str">
        <f aca="false">IF($A2989="","",IF($H2989="-","-",IF(AND(IF(원본명단!$H2988="",TRUE(),COUNTIF(원본명단!$H$3:$H2988,원본명단!$H2988)=1),IF(원본명단!$I2988="",TRUE(),COUNTIF(원본명단!$I$3:$I2988,원본명단!$I2988)=1),IF(원본명단!$K2988="",TRUE(),COUNTIF(원본명단!$K$3:$K2988,원본명단!$K2988)=1)),"첫 건","중복 건")))</f>
        <v/>
      </c>
      <c r="J2989" s="11" t="str">
        <f aca="false">IF($A2989="","",IF($H2989="-","유지",IF($I2989="첫 건","유지","확인 필요")))</f>
        <v/>
      </c>
    </row>
    <row r="2990" customFormat="false" ht="15" hidden="false" customHeight="true" outlineLevel="0" collapsed="false">
      <c r="A2990" s="11" t="str">
        <f aca="false">IF(원본명단!$A2989="","",2987)</f>
        <v/>
      </c>
      <c r="B2990" s="12" t="str">
        <f aca="false">IF($A2990="","",원본명단!$A2989)</f>
        <v/>
      </c>
      <c r="C2990" s="12" t="str">
        <f aca="false">IF($A2990="","",원본명단!$B2989)</f>
        <v/>
      </c>
      <c r="D2990" s="12" t="str">
        <f aca="false">IF($A2990="","",원본명단!$D2989)</f>
        <v/>
      </c>
      <c r="E2990" s="11" t="str">
        <f aca="false">IF($A2990="","",IF(원본명단!$H2989="",0,COUNTIF(원본명단!$H$3:$H$6002,원본명단!$H2989)))</f>
        <v/>
      </c>
      <c r="F2990" s="11" t="str">
        <f aca="false">IF($A2990="","",IF(원본명단!$I2989="",0,COUNTIF(원본명단!$I$3:$I$6002,원본명단!$I2989)))</f>
        <v/>
      </c>
      <c r="G2990" s="11" t="str">
        <f aca="false">IF($A2990="","",IF(원본명단!$K2989="",0,COUNTIF(원본명단!$K$3:$K$6002,원본명단!$K2989)))</f>
        <v/>
      </c>
      <c r="H2990" s="11" t="str">
        <f aca="false">IF($A2990="","",IF(MAX($E2990,$F2990,$G2990)&gt;1,"중복","-"))</f>
        <v/>
      </c>
      <c r="I2990" s="11" t="str">
        <f aca="false">IF($A2990="","",IF($H2990="-","-",IF(AND(IF(원본명단!$H2989="",TRUE(),COUNTIF(원본명단!$H$3:$H2989,원본명단!$H2989)=1),IF(원본명단!$I2989="",TRUE(),COUNTIF(원본명단!$I$3:$I2989,원본명단!$I2989)=1),IF(원본명단!$K2989="",TRUE(),COUNTIF(원본명단!$K$3:$K2989,원본명단!$K2989)=1)),"첫 건","중복 건")))</f>
        <v/>
      </c>
      <c r="J2990" s="11" t="str">
        <f aca="false">IF($A2990="","",IF($H2990="-","유지",IF($I2990="첫 건","유지","확인 필요")))</f>
        <v/>
      </c>
    </row>
    <row r="2991" customFormat="false" ht="15" hidden="false" customHeight="true" outlineLevel="0" collapsed="false">
      <c r="A2991" s="11" t="str">
        <f aca="false">IF(원본명단!$A2990="","",2988)</f>
        <v/>
      </c>
      <c r="B2991" s="12" t="str">
        <f aca="false">IF($A2991="","",원본명단!$A2990)</f>
        <v/>
      </c>
      <c r="C2991" s="12" t="str">
        <f aca="false">IF($A2991="","",원본명단!$B2990)</f>
        <v/>
      </c>
      <c r="D2991" s="12" t="str">
        <f aca="false">IF($A2991="","",원본명단!$D2990)</f>
        <v/>
      </c>
      <c r="E2991" s="11" t="str">
        <f aca="false">IF($A2991="","",IF(원본명단!$H2990="",0,COUNTIF(원본명단!$H$3:$H$6002,원본명단!$H2990)))</f>
        <v/>
      </c>
      <c r="F2991" s="11" t="str">
        <f aca="false">IF($A2991="","",IF(원본명단!$I2990="",0,COUNTIF(원본명단!$I$3:$I$6002,원본명단!$I2990)))</f>
        <v/>
      </c>
      <c r="G2991" s="11" t="str">
        <f aca="false">IF($A2991="","",IF(원본명단!$K2990="",0,COUNTIF(원본명단!$K$3:$K$6002,원본명단!$K2990)))</f>
        <v/>
      </c>
      <c r="H2991" s="11" t="str">
        <f aca="false">IF($A2991="","",IF(MAX($E2991,$F2991,$G2991)&gt;1,"중복","-"))</f>
        <v/>
      </c>
      <c r="I2991" s="11" t="str">
        <f aca="false">IF($A2991="","",IF($H2991="-","-",IF(AND(IF(원본명단!$H2990="",TRUE(),COUNTIF(원본명단!$H$3:$H2990,원본명단!$H2990)=1),IF(원본명단!$I2990="",TRUE(),COUNTIF(원본명단!$I$3:$I2990,원본명단!$I2990)=1),IF(원본명단!$K2990="",TRUE(),COUNTIF(원본명단!$K$3:$K2990,원본명단!$K2990)=1)),"첫 건","중복 건")))</f>
        <v/>
      </c>
      <c r="J2991" s="11" t="str">
        <f aca="false">IF($A2991="","",IF($H2991="-","유지",IF($I2991="첫 건","유지","확인 필요")))</f>
        <v/>
      </c>
    </row>
    <row r="2992" customFormat="false" ht="15" hidden="false" customHeight="true" outlineLevel="0" collapsed="false">
      <c r="A2992" s="11" t="str">
        <f aca="false">IF(원본명단!$A2991="","",2989)</f>
        <v/>
      </c>
      <c r="B2992" s="12" t="str">
        <f aca="false">IF($A2992="","",원본명단!$A2991)</f>
        <v/>
      </c>
      <c r="C2992" s="12" t="str">
        <f aca="false">IF($A2992="","",원본명단!$B2991)</f>
        <v/>
      </c>
      <c r="D2992" s="12" t="str">
        <f aca="false">IF($A2992="","",원본명단!$D2991)</f>
        <v/>
      </c>
      <c r="E2992" s="11" t="str">
        <f aca="false">IF($A2992="","",IF(원본명단!$H2991="",0,COUNTIF(원본명단!$H$3:$H$6002,원본명단!$H2991)))</f>
        <v/>
      </c>
      <c r="F2992" s="11" t="str">
        <f aca="false">IF($A2992="","",IF(원본명단!$I2991="",0,COUNTIF(원본명단!$I$3:$I$6002,원본명단!$I2991)))</f>
        <v/>
      </c>
      <c r="G2992" s="11" t="str">
        <f aca="false">IF($A2992="","",IF(원본명단!$K2991="",0,COUNTIF(원본명단!$K$3:$K$6002,원본명단!$K2991)))</f>
        <v/>
      </c>
      <c r="H2992" s="11" t="str">
        <f aca="false">IF($A2992="","",IF(MAX($E2992,$F2992,$G2992)&gt;1,"중복","-"))</f>
        <v/>
      </c>
      <c r="I2992" s="11" t="str">
        <f aca="false">IF($A2992="","",IF($H2992="-","-",IF(AND(IF(원본명단!$H2991="",TRUE(),COUNTIF(원본명단!$H$3:$H2991,원본명단!$H2991)=1),IF(원본명단!$I2991="",TRUE(),COUNTIF(원본명단!$I$3:$I2991,원본명단!$I2991)=1),IF(원본명단!$K2991="",TRUE(),COUNTIF(원본명단!$K$3:$K2991,원본명단!$K2991)=1)),"첫 건","중복 건")))</f>
        <v/>
      </c>
      <c r="J2992" s="11" t="str">
        <f aca="false">IF($A2992="","",IF($H2992="-","유지",IF($I2992="첫 건","유지","확인 필요")))</f>
        <v/>
      </c>
    </row>
    <row r="2993" customFormat="false" ht="15" hidden="false" customHeight="true" outlineLevel="0" collapsed="false">
      <c r="A2993" s="11" t="str">
        <f aca="false">IF(원본명단!$A2992="","",2990)</f>
        <v/>
      </c>
      <c r="B2993" s="12" t="str">
        <f aca="false">IF($A2993="","",원본명단!$A2992)</f>
        <v/>
      </c>
      <c r="C2993" s="12" t="str">
        <f aca="false">IF($A2993="","",원본명단!$B2992)</f>
        <v/>
      </c>
      <c r="D2993" s="12" t="str">
        <f aca="false">IF($A2993="","",원본명단!$D2992)</f>
        <v/>
      </c>
      <c r="E2993" s="11" t="str">
        <f aca="false">IF($A2993="","",IF(원본명단!$H2992="",0,COUNTIF(원본명단!$H$3:$H$6002,원본명단!$H2992)))</f>
        <v/>
      </c>
      <c r="F2993" s="11" t="str">
        <f aca="false">IF($A2993="","",IF(원본명단!$I2992="",0,COUNTIF(원본명단!$I$3:$I$6002,원본명단!$I2992)))</f>
        <v/>
      </c>
      <c r="G2993" s="11" t="str">
        <f aca="false">IF($A2993="","",IF(원본명단!$K2992="",0,COUNTIF(원본명단!$K$3:$K$6002,원본명단!$K2992)))</f>
        <v/>
      </c>
      <c r="H2993" s="11" t="str">
        <f aca="false">IF($A2993="","",IF(MAX($E2993,$F2993,$G2993)&gt;1,"중복","-"))</f>
        <v/>
      </c>
      <c r="I2993" s="11" t="str">
        <f aca="false">IF($A2993="","",IF($H2993="-","-",IF(AND(IF(원본명단!$H2992="",TRUE(),COUNTIF(원본명단!$H$3:$H2992,원본명단!$H2992)=1),IF(원본명단!$I2992="",TRUE(),COUNTIF(원본명단!$I$3:$I2992,원본명단!$I2992)=1),IF(원본명단!$K2992="",TRUE(),COUNTIF(원본명단!$K$3:$K2992,원본명단!$K2992)=1)),"첫 건","중복 건")))</f>
        <v/>
      </c>
      <c r="J2993" s="11" t="str">
        <f aca="false">IF($A2993="","",IF($H2993="-","유지",IF($I2993="첫 건","유지","확인 필요")))</f>
        <v/>
      </c>
    </row>
    <row r="2994" customFormat="false" ht="15" hidden="false" customHeight="true" outlineLevel="0" collapsed="false">
      <c r="A2994" s="11" t="str">
        <f aca="false">IF(원본명단!$A2993="","",2991)</f>
        <v/>
      </c>
      <c r="B2994" s="12" t="str">
        <f aca="false">IF($A2994="","",원본명단!$A2993)</f>
        <v/>
      </c>
      <c r="C2994" s="12" t="str">
        <f aca="false">IF($A2994="","",원본명단!$B2993)</f>
        <v/>
      </c>
      <c r="D2994" s="12" t="str">
        <f aca="false">IF($A2994="","",원본명단!$D2993)</f>
        <v/>
      </c>
      <c r="E2994" s="11" t="str">
        <f aca="false">IF($A2994="","",IF(원본명단!$H2993="",0,COUNTIF(원본명단!$H$3:$H$6002,원본명단!$H2993)))</f>
        <v/>
      </c>
      <c r="F2994" s="11" t="str">
        <f aca="false">IF($A2994="","",IF(원본명단!$I2993="",0,COUNTIF(원본명단!$I$3:$I$6002,원본명단!$I2993)))</f>
        <v/>
      </c>
      <c r="G2994" s="11" t="str">
        <f aca="false">IF($A2994="","",IF(원본명단!$K2993="",0,COUNTIF(원본명단!$K$3:$K$6002,원본명단!$K2993)))</f>
        <v/>
      </c>
      <c r="H2994" s="11" t="str">
        <f aca="false">IF($A2994="","",IF(MAX($E2994,$F2994,$G2994)&gt;1,"중복","-"))</f>
        <v/>
      </c>
      <c r="I2994" s="11" t="str">
        <f aca="false">IF($A2994="","",IF($H2994="-","-",IF(AND(IF(원본명단!$H2993="",TRUE(),COUNTIF(원본명단!$H$3:$H2993,원본명단!$H2993)=1),IF(원본명단!$I2993="",TRUE(),COUNTIF(원본명단!$I$3:$I2993,원본명단!$I2993)=1),IF(원본명단!$K2993="",TRUE(),COUNTIF(원본명단!$K$3:$K2993,원본명단!$K2993)=1)),"첫 건","중복 건")))</f>
        <v/>
      </c>
      <c r="J2994" s="11" t="str">
        <f aca="false">IF($A2994="","",IF($H2994="-","유지",IF($I2994="첫 건","유지","확인 필요")))</f>
        <v/>
      </c>
    </row>
    <row r="2995" customFormat="false" ht="15" hidden="false" customHeight="true" outlineLevel="0" collapsed="false">
      <c r="A2995" s="11" t="str">
        <f aca="false">IF(원본명단!$A2994="","",2992)</f>
        <v/>
      </c>
      <c r="B2995" s="12" t="str">
        <f aca="false">IF($A2995="","",원본명단!$A2994)</f>
        <v/>
      </c>
      <c r="C2995" s="12" t="str">
        <f aca="false">IF($A2995="","",원본명단!$B2994)</f>
        <v/>
      </c>
      <c r="D2995" s="12" t="str">
        <f aca="false">IF($A2995="","",원본명단!$D2994)</f>
        <v/>
      </c>
      <c r="E2995" s="11" t="str">
        <f aca="false">IF($A2995="","",IF(원본명단!$H2994="",0,COUNTIF(원본명단!$H$3:$H$6002,원본명단!$H2994)))</f>
        <v/>
      </c>
      <c r="F2995" s="11" t="str">
        <f aca="false">IF($A2995="","",IF(원본명단!$I2994="",0,COUNTIF(원본명단!$I$3:$I$6002,원본명단!$I2994)))</f>
        <v/>
      </c>
      <c r="G2995" s="11" t="str">
        <f aca="false">IF($A2995="","",IF(원본명단!$K2994="",0,COUNTIF(원본명단!$K$3:$K$6002,원본명단!$K2994)))</f>
        <v/>
      </c>
      <c r="H2995" s="11" t="str">
        <f aca="false">IF($A2995="","",IF(MAX($E2995,$F2995,$G2995)&gt;1,"중복","-"))</f>
        <v/>
      </c>
      <c r="I2995" s="11" t="str">
        <f aca="false">IF($A2995="","",IF($H2995="-","-",IF(AND(IF(원본명단!$H2994="",TRUE(),COUNTIF(원본명단!$H$3:$H2994,원본명단!$H2994)=1),IF(원본명단!$I2994="",TRUE(),COUNTIF(원본명단!$I$3:$I2994,원본명단!$I2994)=1),IF(원본명단!$K2994="",TRUE(),COUNTIF(원본명단!$K$3:$K2994,원본명단!$K2994)=1)),"첫 건","중복 건")))</f>
        <v/>
      </c>
      <c r="J2995" s="11" t="str">
        <f aca="false">IF($A2995="","",IF($H2995="-","유지",IF($I2995="첫 건","유지","확인 필요")))</f>
        <v/>
      </c>
    </row>
    <row r="2996" customFormat="false" ht="15" hidden="false" customHeight="true" outlineLevel="0" collapsed="false">
      <c r="A2996" s="11" t="str">
        <f aca="false">IF(원본명단!$A2995="","",2993)</f>
        <v/>
      </c>
      <c r="B2996" s="12" t="str">
        <f aca="false">IF($A2996="","",원본명단!$A2995)</f>
        <v/>
      </c>
      <c r="C2996" s="12" t="str">
        <f aca="false">IF($A2996="","",원본명단!$B2995)</f>
        <v/>
      </c>
      <c r="D2996" s="12" t="str">
        <f aca="false">IF($A2996="","",원본명단!$D2995)</f>
        <v/>
      </c>
      <c r="E2996" s="11" t="str">
        <f aca="false">IF($A2996="","",IF(원본명단!$H2995="",0,COUNTIF(원본명단!$H$3:$H$6002,원본명단!$H2995)))</f>
        <v/>
      </c>
      <c r="F2996" s="11" t="str">
        <f aca="false">IF($A2996="","",IF(원본명단!$I2995="",0,COUNTIF(원본명단!$I$3:$I$6002,원본명단!$I2995)))</f>
        <v/>
      </c>
      <c r="G2996" s="11" t="str">
        <f aca="false">IF($A2996="","",IF(원본명단!$K2995="",0,COUNTIF(원본명단!$K$3:$K$6002,원본명단!$K2995)))</f>
        <v/>
      </c>
      <c r="H2996" s="11" t="str">
        <f aca="false">IF($A2996="","",IF(MAX($E2996,$F2996,$G2996)&gt;1,"중복","-"))</f>
        <v/>
      </c>
      <c r="I2996" s="11" t="str">
        <f aca="false">IF($A2996="","",IF($H2996="-","-",IF(AND(IF(원본명단!$H2995="",TRUE(),COUNTIF(원본명단!$H$3:$H2995,원본명단!$H2995)=1),IF(원본명단!$I2995="",TRUE(),COUNTIF(원본명단!$I$3:$I2995,원본명단!$I2995)=1),IF(원본명단!$K2995="",TRUE(),COUNTIF(원본명단!$K$3:$K2995,원본명단!$K2995)=1)),"첫 건","중복 건")))</f>
        <v/>
      </c>
      <c r="J2996" s="11" t="str">
        <f aca="false">IF($A2996="","",IF($H2996="-","유지",IF($I2996="첫 건","유지","확인 필요")))</f>
        <v/>
      </c>
    </row>
    <row r="2997" customFormat="false" ht="15" hidden="false" customHeight="true" outlineLevel="0" collapsed="false">
      <c r="A2997" s="11" t="str">
        <f aca="false">IF(원본명단!$A2996="","",2994)</f>
        <v/>
      </c>
      <c r="B2997" s="12" t="str">
        <f aca="false">IF($A2997="","",원본명단!$A2996)</f>
        <v/>
      </c>
      <c r="C2997" s="12" t="str">
        <f aca="false">IF($A2997="","",원본명단!$B2996)</f>
        <v/>
      </c>
      <c r="D2997" s="12" t="str">
        <f aca="false">IF($A2997="","",원본명단!$D2996)</f>
        <v/>
      </c>
      <c r="E2997" s="11" t="str">
        <f aca="false">IF($A2997="","",IF(원본명단!$H2996="",0,COUNTIF(원본명단!$H$3:$H$6002,원본명단!$H2996)))</f>
        <v/>
      </c>
      <c r="F2997" s="11" t="str">
        <f aca="false">IF($A2997="","",IF(원본명단!$I2996="",0,COUNTIF(원본명단!$I$3:$I$6002,원본명단!$I2996)))</f>
        <v/>
      </c>
      <c r="G2997" s="11" t="str">
        <f aca="false">IF($A2997="","",IF(원본명단!$K2996="",0,COUNTIF(원본명단!$K$3:$K$6002,원본명단!$K2996)))</f>
        <v/>
      </c>
      <c r="H2997" s="11" t="str">
        <f aca="false">IF($A2997="","",IF(MAX($E2997,$F2997,$G2997)&gt;1,"중복","-"))</f>
        <v/>
      </c>
      <c r="I2997" s="11" t="str">
        <f aca="false">IF($A2997="","",IF($H2997="-","-",IF(AND(IF(원본명단!$H2996="",TRUE(),COUNTIF(원본명단!$H$3:$H2996,원본명단!$H2996)=1),IF(원본명단!$I2996="",TRUE(),COUNTIF(원본명단!$I$3:$I2996,원본명단!$I2996)=1),IF(원본명단!$K2996="",TRUE(),COUNTIF(원본명단!$K$3:$K2996,원본명단!$K2996)=1)),"첫 건","중복 건")))</f>
        <v/>
      </c>
      <c r="J2997" s="11" t="str">
        <f aca="false">IF($A2997="","",IF($H2997="-","유지",IF($I2997="첫 건","유지","확인 필요")))</f>
        <v/>
      </c>
    </row>
    <row r="2998" customFormat="false" ht="15" hidden="false" customHeight="true" outlineLevel="0" collapsed="false">
      <c r="A2998" s="11" t="str">
        <f aca="false">IF(원본명단!$A2997="","",2995)</f>
        <v/>
      </c>
      <c r="B2998" s="12" t="str">
        <f aca="false">IF($A2998="","",원본명단!$A2997)</f>
        <v/>
      </c>
      <c r="C2998" s="12" t="str">
        <f aca="false">IF($A2998="","",원본명단!$B2997)</f>
        <v/>
      </c>
      <c r="D2998" s="12" t="str">
        <f aca="false">IF($A2998="","",원본명단!$D2997)</f>
        <v/>
      </c>
      <c r="E2998" s="11" t="str">
        <f aca="false">IF($A2998="","",IF(원본명단!$H2997="",0,COUNTIF(원본명단!$H$3:$H$6002,원본명단!$H2997)))</f>
        <v/>
      </c>
      <c r="F2998" s="11" t="str">
        <f aca="false">IF($A2998="","",IF(원본명단!$I2997="",0,COUNTIF(원본명단!$I$3:$I$6002,원본명단!$I2997)))</f>
        <v/>
      </c>
      <c r="G2998" s="11" t="str">
        <f aca="false">IF($A2998="","",IF(원본명단!$K2997="",0,COUNTIF(원본명단!$K$3:$K$6002,원본명단!$K2997)))</f>
        <v/>
      </c>
      <c r="H2998" s="11" t="str">
        <f aca="false">IF($A2998="","",IF(MAX($E2998,$F2998,$G2998)&gt;1,"중복","-"))</f>
        <v/>
      </c>
      <c r="I2998" s="11" t="str">
        <f aca="false">IF($A2998="","",IF($H2998="-","-",IF(AND(IF(원본명단!$H2997="",TRUE(),COUNTIF(원본명단!$H$3:$H2997,원본명단!$H2997)=1),IF(원본명단!$I2997="",TRUE(),COUNTIF(원본명단!$I$3:$I2997,원본명단!$I2997)=1),IF(원본명단!$K2997="",TRUE(),COUNTIF(원본명단!$K$3:$K2997,원본명단!$K2997)=1)),"첫 건","중복 건")))</f>
        <v/>
      </c>
      <c r="J2998" s="11" t="str">
        <f aca="false">IF($A2998="","",IF($H2998="-","유지",IF($I2998="첫 건","유지","확인 필요")))</f>
        <v/>
      </c>
    </row>
    <row r="2999" customFormat="false" ht="15" hidden="false" customHeight="true" outlineLevel="0" collapsed="false">
      <c r="A2999" s="11" t="str">
        <f aca="false">IF(원본명단!$A2998="","",2996)</f>
        <v/>
      </c>
      <c r="B2999" s="12" t="str">
        <f aca="false">IF($A2999="","",원본명단!$A2998)</f>
        <v/>
      </c>
      <c r="C2999" s="12" t="str">
        <f aca="false">IF($A2999="","",원본명단!$B2998)</f>
        <v/>
      </c>
      <c r="D2999" s="12" t="str">
        <f aca="false">IF($A2999="","",원본명단!$D2998)</f>
        <v/>
      </c>
      <c r="E2999" s="11" t="str">
        <f aca="false">IF($A2999="","",IF(원본명단!$H2998="",0,COUNTIF(원본명단!$H$3:$H$6002,원본명단!$H2998)))</f>
        <v/>
      </c>
      <c r="F2999" s="11" t="str">
        <f aca="false">IF($A2999="","",IF(원본명단!$I2998="",0,COUNTIF(원본명단!$I$3:$I$6002,원본명단!$I2998)))</f>
        <v/>
      </c>
      <c r="G2999" s="11" t="str">
        <f aca="false">IF($A2999="","",IF(원본명단!$K2998="",0,COUNTIF(원본명단!$K$3:$K$6002,원본명단!$K2998)))</f>
        <v/>
      </c>
      <c r="H2999" s="11" t="str">
        <f aca="false">IF($A2999="","",IF(MAX($E2999,$F2999,$G2999)&gt;1,"중복","-"))</f>
        <v/>
      </c>
      <c r="I2999" s="11" t="str">
        <f aca="false">IF($A2999="","",IF($H2999="-","-",IF(AND(IF(원본명단!$H2998="",TRUE(),COUNTIF(원본명단!$H$3:$H2998,원본명단!$H2998)=1),IF(원본명단!$I2998="",TRUE(),COUNTIF(원본명단!$I$3:$I2998,원본명단!$I2998)=1),IF(원본명단!$K2998="",TRUE(),COUNTIF(원본명단!$K$3:$K2998,원본명단!$K2998)=1)),"첫 건","중복 건")))</f>
        <v/>
      </c>
      <c r="J2999" s="11" t="str">
        <f aca="false">IF($A2999="","",IF($H2999="-","유지",IF($I2999="첫 건","유지","확인 필요")))</f>
        <v/>
      </c>
    </row>
    <row r="3000" customFormat="false" ht="15" hidden="false" customHeight="true" outlineLevel="0" collapsed="false">
      <c r="A3000" s="11" t="str">
        <f aca="false">IF(원본명단!$A2999="","",2997)</f>
        <v/>
      </c>
      <c r="B3000" s="12" t="str">
        <f aca="false">IF($A3000="","",원본명단!$A2999)</f>
        <v/>
      </c>
      <c r="C3000" s="12" t="str">
        <f aca="false">IF($A3000="","",원본명단!$B2999)</f>
        <v/>
      </c>
      <c r="D3000" s="12" t="str">
        <f aca="false">IF($A3000="","",원본명단!$D2999)</f>
        <v/>
      </c>
      <c r="E3000" s="11" t="str">
        <f aca="false">IF($A3000="","",IF(원본명단!$H2999="",0,COUNTIF(원본명단!$H$3:$H$6002,원본명단!$H2999)))</f>
        <v/>
      </c>
      <c r="F3000" s="11" t="str">
        <f aca="false">IF($A3000="","",IF(원본명단!$I2999="",0,COUNTIF(원본명단!$I$3:$I$6002,원본명단!$I2999)))</f>
        <v/>
      </c>
      <c r="G3000" s="11" t="str">
        <f aca="false">IF($A3000="","",IF(원본명단!$K2999="",0,COUNTIF(원본명단!$K$3:$K$6002,원본명단!$K2999)))</f>
        <v/>
      </c>
      <c r="H3000" s="11" t="str">
        <f aca="false">IF($A3000="","",IF(MAX($E3000,$F3000,$G3000)&gt;1,"중복","-"))</f>
        <v/>
      </c>
      <c r="I3000" s="11" t="str">
        <f aca="false">IF($A3000="","",IF($H3000="-","-",IF(AND(IF(원본명단!$H2999="",TRUE(),COUNTIF(원본명단!$H$3:$H2999,원본명단!$H2999)=1),IF(원본명단!$I2999="",TRUE(),COUNTIF(원본명단!$I$3:$I2999,원본명단!$I2999)=1),IF(원본명단!$K2999="",TRUE(),COUNTIF(원본명단!$K$3:$K2999,원본명단!$K2999)=1)),"첫 건","중복 건")))</f>
        <v/>
      </c>
      <c r="J3000" s="11" t="str">
        <f aca="false">IF($A3000="","",IF($H3000="-","유지",IF($I3000="첫 건","유지","확인 필요")))</f>
        <v/>
      </c>
    </row>
    <row r="3001" customFormat="false" ht="15" hidden="false" customHeight="true" outlineLevel="0" collapsed="false">
      <c r="A3001" s="11" t="str">
        <f aca="false">IF(원본명단!$A3000="","",2998)</f>
        <v/>
      </c>
      <c r="B3001" s="12" t="str">
        <f aca="false">IF($A3001="","",원본명단!$A3000)</f>
        <v/>
      </c>
      <c r="C3001" s="12" t="str">
        <f aca="false">IF($A3001="","",원본명단!$B3000)</f>
        <v/>
      </c>
      <c r="D3001" s="12" t="str">
        <f aca="false">IF($A3001="","",원본명단!$D3000)</f>
        <v/>
      </c>
      <c r="E3001" s="11" t="str">
        <f aca="false">IF($A3001="","",IF(원본명단!$H3000="",0,COUNTIF(원본명단!$H$3:$H$6002,원본명단!$H3000)))</f>
        <v/>
      </c>
      <c r="F3001" s="11" t="str">
        <f aca="false">IF($A3001="","",IF(원본명단!$I3000="",0,COUNTIF(원본명단!$I$3:$I$6002,원본명단!$I3000)))</f>
        <v/>
      </c>
      <c r="G3001" s="11" t="str">
        <f aca="false">IF($A3001="","",IF(원본명단!$K3000="",0,COUNTIF(원본명단!$K$3:$K$6002,원본명단!$K3000)))</f>
        <v/>
      </c>
      <c r="H3001" s="11" t="str">
        <f aca="false">IF($A3001="","",IF(MAX($E3001,$F3001,$G3001)&gt;1,"중복","-"))</f>
        <v/>
      </c>
      <c r="I3001" s="11" t="str">
        <f aca="false">IF($A3001="","",IF($H3001="-","-",IF(AND(IF(원본명단!$H3000="",TRUE(),COUNTIF(원본명단!$H$3:$H3000,원본명단!$H3000)=1),IF(원본명단!$I3000="",TRUE(),COUNTIF(원본명단!$I$3:$I3000,원본명단!$I3000)=1),IF(원본명단!$K3000="",TRUE(),COUNTIF(원본명단!$K$3:$K3000,원본명단!$K3000)=1)),"첫 건","중복 건")))</f>
        <v/>
      </c>
      <c r="J3001" s="11" t="str">
        <f aca="false">IF($A3001="","",IF($H3001="-","유지",IF($I3001="첫 건","유지","확인 필요")))</f>
        <v/>
      </c>
    </row>
    <row r="3002" customFormat="false" ht="15" hidden="false" customHeight="true" outlineLevel="0" collapsed="false">
      <c r="A3002" s="11" t="str">
        <f aca="false">IF(원본명단!$A3001="","",2999)</f>
        <v/>
      </c>
      <c r="B3002" s="12" t="str">
        <f aca="false">IF($A3002="","",원본명단!$A3001)</f>
        <v/>
      </c>
      <c r="C3002" s="12" t="str">
        <f aca="false">IF($A3002="","",원본명단!$B3001)</f>
        <v/>
      </c>
      <c r="D3002" s="12" t="str">
        <f aca="false">IF($A3002="","",원본명단!$D3001)</f>
        <v/>
      </c>
      <c r="E3002" s="11" t="str">
        <f aca="false">IF($A3002="","",IF(원본명단!$H3001="",0,COUNTIF(원본명단!$H$3:$H$6002,원본명단!$H3001)))</f>
        <v/>
      </c>
      <c r="F3002" s="11" t="str">
        <f aca="false">IF($A3002="","",IF(원본명단!$I3001="",0,COUNTIF(원본명단!$I$3:$I$6002,원본명단!$I3001)))</f>
        <v/>
      </c>
      <c r="G3002" s="11" t="str">
        <f aca="false">IF($A3002="","",IF(원본명단!$K3001="",0,COUNTIF(원본명단!$K$3:$K$6002,원본명단!$K3001)))</f>
        <v/>
      </c>
      <c r="H3002" s="11" t="str">
        <f aca="false">IF($A3002="","",IF(MAX($E3002,$F3002,$G3002)&gt;1,"중복","-"))</f>
        <v/>
      </c>
      <c r="I3002" s="11" t="str">
        <f aca="false">IF($A3002="","",IF($H3002="-","-",IF(AND(IF(원본명단!$H3001="",TRUE(),COUNTIF(원본명단!$H$3:$H3001,원본명단!$H3001)=1),IF(원본명단!$I3001="",TRUE(),COUNTIF(원본명단!$I$3:$I3001,원본명단!$I3001)=1),IF(원본명단!$K3001="",TRUE(),COUNTIF(원본명단!$K$3:$K3001,원본명단!$K3001)=1)),"첫 건","중복 건")))</f>
        <v/>
      </c>
      <c r="J3002" s="11" t="str">
        <f aca="false">IF($A3002="","",IF($H3002="-","유지",IF($I3002="첫 건","유지","확인 필요")))</f>
        <v/>
      </c>
    </row>
    <row r="3003" customFormat="false" ht="15" hidden="false" customHeight="true" outlineLevel="0" collapsed="false">
      <c r="A3003" s="11" t="str">
        <f aca="false">IF(원본명단!$A3002="","",3000)</f>
        <v/>
      </c>
      <c r="B3003" s="12" t="str">
        <f aca="false">IF($A3003="","",원본명단!$A3002)</f>
        <v/>
      </c>
      <c r="C3003" s="12" t="str">
        <f aca="false">IF($A3003="","",원본명단!$B3002)</f>
        <v/>
      </c>
      <c r="D3003" s="12" t="str">
        <f aca="false">IF($A3003="","",원본명단!$D3002)</f>
        <v/>
      </c>
      <c r="E3003" s="11" t="str">
        <f aca="false">IF($A3003="","",IF(원본명단!$H3002="",0,COUNTIF(원본명단!$H$3:$H$6002,원본명단!$H3002)))</f>
        <v/>
      </c>
      <c r="F3003" s="11" t="str">
        <f aca="false">IF($A3003="","",IF(원본명단!$I3002="",0,COUNTIF(원본명단!$I$3:$I$6002,원본명단!$I3002)))</f>
        <v/>
      </c>
      <c r="G3003" s="11" t="str">
        <f aca="false">IF($A3003="","",IF(원본명단!$K3002="",0,COUNTIF(원본명단!$K$3:$K$6002,원본명단!$K3002)))</f>
        <v/>
      </c>
      <c r="H3003" s="11" t="str">
        <f aca="false">IF($A3003="","",IF(MAX($E3003,$F3003,$G3003)&gt;1,"중복","-"))</f>
        <v/>
      </c>
      <c r="I3003" s="11" t="str">
        <f aca="false">IF($A3003="","",IF($H3003="-","-",IF(AND(IF(원본명단!$H3002="",TRUE(),COUNTIF(원본명단!$H$3:$H3002,원본명단!$H3002)=1),IF(원본명단!$I3002="",TRUE(),COUNTIF(원본명단!$I$3:$I3002,원본명단!$I3002)=1),IF(원본명단!$K3002="",TRUE(),COUNTIF(원본명단!$K$3:$K3002,원본명단!$K3002)=1)),"첫 건","중복 건")))</f>
        <v/>
      </c>
      <c r="J3003" s="11" t="str">
        <f aca="false">IF($A3003="","",IF($H3003="-","유지",IF($I3003="첫 건","유지","확인 필요")))</f>
        <v/>
      </c>
    </row>
    <row r="3004" customFormat="false" ht="15" hidden="false" customHeight="true" outlineLevel="0" collapsed="false">
      <c r="A3004" s="11" t="str">
        <f aca="false">IF(원본명단!$A3003="","",3001)</f>
        <v/>
      </c>
      <c r="B3004" s="12" t="str">
        <f aca="false">IF($A3004="","",원본명단!$A3003)</f>
        <v/>
      </c>
      <c r="C3004" s="12" t="str">
        <f aca="false">IF($A3004="","",원본명단!$B3003)</f>
        <v/>
      </c>
      <c r="D3004" s="12" t="str">
        <f aca="false">IF($A3004="","",원본명단!$D3003)</f>
        <v/>
      </c>
      <c r="E3004" s="11" t="str">
        <f aca="false">IF($A3004="","",IF(원본명단!$H3003="",0,COUNTIF(원본명단!$H$3:$H$6002,원본명단!$H3003)))</f>
        <v/>
      </c>
      <c r="F3004" s="11" t="str">
        <f aca="false">IF($A3004="","",IF(원본명단!$I3003="",0,COUNTIF(원본명단!$I$3:$I$6002,원본명단!$I3003)))</f>
        <v/>
      </c>
      <c r="G3004" s="11" t="str">
        <f aca="false">IF($A3004="","",IF(원본명단!$K3003="",0,COUNTIF(원본명단!$K$3:$K$6002,원본명단!$K3003)))</f>
        <v/>
      </c>
      <c r="H3004" s="11" t="str">
        <f aca="false">IF($A3004="","",IF(MAX($E3004,$F3004,$G3004)&gt;1,"중복","-"))</f>
        <v/>
      </c>
      <c r="I3004" s="11" t="str">
        <f aca="false">IF($A3004="","",IF($H3004="-","-",IF(AND(IF(원본명단!$H3003="",TRUE(),COUNTIF(원본명단!$H$3:$H3003,원본명단!$H3003)=1),IF(원본명단!$I3003="",TRUE(),COUNTIF(원본명단!$I$3:$I3003,원본명단!$I3003)=1),IF(원본명단!$K3003="",TRUE(),COUNTIF(원본명단!$K$3:$K3003,원본명단!$K3003)=1)),"첫 건","중복 건")))</f>
        <v/>
      </c>
      <c r="J3004" s="11" t="str">
        <f aca="false">IF($A3004="","",IF($H3004="-","유지",IF($I3004="첫 건","유지","확인 필요")))</f>
        <v/>
      </c>
    </row>
    <row r="3005" customFormat="false" ht="15" hidden="false" customHeight="true" outlineLevel="0" collapsed="false">
      <c r="A3005" s="11" t="str">
        <f aca="false">IF(원본명단!$A3004="","",3002)</f>
        <v/>
      </c>
      <c r="B3005" s="12" t="str">
        <f aca="false">IF($A3005="","",원본명단!$A3004)</f>
        <v/>
      </c>
      <c r="C3005" s="12" t="str">
        <f aca="false">IF($A3005="","",원본명단!$B3004)</f>
        <v/>
      </c>
      <c r="D3005" s="12" t="str">
        <f aca="false">IF($A3005="","",원본명단!$D3004)</f>
        <v/>
      </c>
      <c r="E3005" s="11" t="str">
        <f aca="false">IF($A3005="","",IF(원본명단!$H3004="",0,COUNTIF(원본명단!$H$3:$H$6002,원본명단!$H3004)))</f>
        <v/>
      </c>
      <c r="F3005" s="11" t="str">
        <f aca="false">IF($A3005="","",IF(원본명단!$I3004="",0,COUNTIF(원본명단!$I$3:$I$6002,원본명단!$I3004)))</f>
        <v/>
      </c>
      <c r="G3005" s="11" t="str">
        <f aca="false">IF($A3005="","",IF(원본명단!$K3004="",0,COUNTIF(원본명단!$K$3:$K$6002,원본명단!$K3004)))</f>
        <v/>
      </c>
      <c r="H3005" s="11" t="str">
        <f aca="false">IF($A3005="","",IF(MAX($E3005,$F3005,$G3005)&gt;1,"중복","-"))</f>
        <v/>
      </c>
      <c r="I3005" s="11" t="str">
        <f aca="false">IF($A3005="","",IF($H3005="-","-",IF(AND(IF(원본명단!$H3004="",TRUE(),COUNTIF(원본명단!$H$3:$H3004,원본명단!$H3004)=1),IF(원본명단!$I3004="",TRUE(),COUNTIF(원본명단!$I$3:$I3004,원본명단!$I3004)=1),IF(원본명단!$K3004="",TRUE(),COUNTIF(원본명단!$K$3:$K3004,원본명단!$K3004)=1)),"첫 건","중복 건")))</f>
        <v/>
      </c>
      <c r="J3005" s="11" t="str">
        <f aca="false">IF($A3005="","",IF($H3005="-","유지",IF($I3005="첫 건","유지","확인 필요")))</f>
        <v/>
      </c>
    </row>
    <row r="3006" customFormat="false" ht="15" hidden="false" customHeight="true" outlineLevel="0" collapsed="false">
      <c r="A3006" s="11" t="str">
        <f aca="false">IF(원본명단!$A3005="","",3003)</f>
        <v/>
      </c>
      <c r="B3006" s="12" t="str">
        <f aca="false">IF($A3006="","",원본명단!$A3005)</f>
        <v/>
      </c>
      <c r="C3006" s="12" t="str">
        <f aca="false">IF($A3006="","",원본명단!$B3005)</f>
        <v/>
      </c>
      <c r="D3006" s="12" t="str">
        <f aca="false">IF($A3006="","",원본명단!$D3005)</f>
        <v/>
      </c>
      <c r="E3006" s="11" t="str">
        <f aca="false">IF($A3006="","",IF(원본명단!$H3005="",0,COUNTIF(원본명단!$H$3:$H$6002,원본명단!$H3005)))</f>
        <v/>
      </c>
      <c r="F3006" s="11" t="str">
        <f aca="false">IF($A3006="","",IF(원본명단!$I3005="",0,COUNTIF(원본명단!$I$3:$I$6002,원본명단!$I3005)))</f>
        <v/>
      </c>
      <c r="G3006" s="11" t="str">
        <f aca="false">IF($A3006="","",IF(원본명단!$K3005="",0,COUNTIF(원본명단!$K$3:$K$6002,원본명단!$K3005)))</f>
        <v/>
      </c>
      <c r="H3006" s="11" t="str">
        <f aca="false">IF($A3006="","",IF(MAX($E3006,$F3006,$G3006)&gt;1,"중복","-"))</f>
        <v/>
      </c>
      <c r="I3006" s="11" t="str">
        <f aca="false">IF($A3006="","",IF($H3006="-","-",IF(AND(IF(원본명단!$H3005="",TRUE(),COUNTIF(원본명단!$H$3:$H3005,원본명단!$H3005)=1),IF(원본명단!$I3005="",TRUE(),COUNTIF(원본명단!$I$3:$I3005,원본명단!$I3005)=1),IF(원본명단!$K3005="",TRUE(),COUNTIF(원본명단!$K$3:$K3005,원본명단!$K3005)=1)),"첫 건","중복 건")))</f>
        <v/>
      </c>
      <c r="J3006" s="11" t="str">
        <f aca="false">IF($A3006="","",IF($H3006="-","유지",IF($I3006="첫 건","유지","확인 필요")))</f>
        <v/>
      </c>
    </row>
    <row r="3007" customFormat="false" ht="15" hidden="false" customHeight="true" outlineLevel="0" collapsed="false">
      <c r="A3007" s="11" t="str">
        <f aca="false">IF(원본명단!$A3006="","",3004)</f>
        <v/>
      </c>
      <c r="B3007" s="12" t="str">
        <f aca="false">IF($A3007="","",원본명단!$A3006)</f>
        <v/>
      </c>
      <c r="C3007" s="12" t="str">
        <f aca="false">IF($A3007="","",원본명단!$B3006)</f>
        <v/>
      </c>
      <c r="D3007" s="12" t="str">
        <f aca="false">IF($A3007="","",원본명단!$D3006)</f>
        <v/>
      </c>
      <c r="E3007" s="11" t="str">
        <f aca="false">IF($A3007="","",IF(원본명단!$H3006="",0,COUNTIF(원본명단!$H$3:$H$6002,원본명단!$H3006)))</f>
        <v/>
      </c>
      <c r="F3007" s="11" t="str">
        <f aca="false">IF($A3007="","",IF(원본명단!$I3006="",0,COUNTIF(원본명단!$I$3:$I$6002,원본명단!$I3006)))</f>
        <v/>
      </c>
      <c r="G3007" s="11" t="str">
        <f aca="false">IF($A3007="","",IF(원본명단!$K3006="",0,COUNTIF(원본명단!$K$3:$K$6002,원본명단!$K3006)))</f>
        <v/>
      </c>
      <c r="H3007" s="11" t="str">
        <f aca="false">IF($A3007="","",IF(MAX($E3007,$F3007,$G3007)&gt;1,"중복","-"))</f>
        <v/>
      </c>
      <c r="I3007" s="11" t="str">
        <f aca="false">IF($A3007="","",IF($H3007="-","-",IF(AND(IF(원본명단!$H3006="",TRUE(),COUNTIF(원본명단!$H$3:$H3006,원본명단!$H3006)=1),IF(원본명단!$I3006="",TRUE(),COUNTIF(원본명단!$I$3:$I3006,원본명단!$I3006)=1),IF(원본명단!$K3006="",TRUE(),COUNTIF(원본명단!$K$3:$K3006,원본명단!$K3006)=1)),"첫 건","중복 건")))</f>
        <v/>
      </c>
      <c r="J3007" s="11" t="str">
        <f aca="false">IF($A3007="","",IF($H3007="-","유지",IF($I3007="첫 건","유지","확인 필요")))</f>
        <v/>
      </c>
    </row>
    <row r="3008" customFormat="false" ht="15" hidden="false" customHeight="true" outlineLevel="0" collapsed="false">
      <c r="A3008" s="11" t="str">
        <f aca="false">IF(원본명단!$A3007="","",3005)</f>
        <v/>
      </c>
      <c r="B3008" s="12" t="str">
        <f aca="false">IF($A3008="","",원본명단!$A3007)</f>
        <v/>
      </c>
      <c r="C3008" s="12" t="str">
        <f aca="false">IF($A3008="","",원본명단!$B3007)</f>
        <v/>
      </c>
      <c r="D3008" s="12" t="str">
        <f aca="false">IF($A3008="","",원본명단!$D3007)</f>
        <v/>
      </c>
      <c r="E3008" s="11" t="str">
        <f aca="false">IF($A3008="","",IF(원본명단!$H3007="",0,COUNTIF(원본명단!$H$3:$H$6002,원본명단!$H3007)))</f>
        <v/>
      </c>
      <c r="F3008" s="11" t="str">
        <f aca="false">IF($A3008="","",IF(원본명단!$I3007="",0,COUNTIF(원본명단!$I$3:$I$6002,원본명단!$I3007)))</f>
        <v/>
      </c>
      <c r="G3008" s="11" t="str">
        <f aca="false">IF($A3008="","",IF(원본명단!$K3007="",0,COUNTIF(원본명단!$K$3:$K$6002,원본명단!$K3007)))</f>
        <v/>
      </c>
      <c r="H3008" s="11" t="str">
        <f aca="false">IF($A3008="","",IF(MAX($E3008,$F3008,$G3008)&gt;1,"중복","-"))</f>
        <v/>
      </c>
      <c r="I3008" s="11" t="str">
        <f aca="false">IF($A3008="","",IF($H3008="-","-",IF(AND(IF(원본명단!$H3007="",TRUE(),COUNTIF(원본명단!$H$3:$H3007,원본명단!$H3007)=1),IF(원본명단!$I3007="",TRUE(),COUNTIF(원본명단!$I$3:$I3007,원본명단!$I3007)=1),IF(원본명단!$K3007="",TRUE(),COUNTIF(원본명단!$K$3:$K3007,원본명단!$K3007)=1)),"첫 건","중복 건")))</f>
        <v/>
      </c>
      <c r="J3008" s="11" t="str">
        <f aca="false">IF($A3008="","",IF($H3008="-","유지",IF($I3008="첫 건","유지","확인 필요")))</f>
        <v/>
      </c>
    </row>
    <row r="3009" customFormat="false" ht="15" hidden="false" customHeight="true" outlineLevel="0" collapsed="false">
      <c r="A3009" s="11" t="str">
        <f aca="false">IF(원본명단!$A3008="","",3006)</f>
        <v/>
      </c>
      <c r="B3009" s="12" t="str">
        <f aca="false">IF($A3009="","",원본명단!$A3008)</f>
        <v/>
      </c>
      <c r="C3009" s="12" t="str">
        <f aca="false">IF($A3009="","",원본명단!$B3008)</f>
        <v/>
      </c>
      <c r="D3009" s="12" t="str">
        <f aca="false">IF($A3009="","",원본명단!$D3008)</f>
        <v/>
      </c>
      <c r="E3009" s="11" t="str">
        <f aca="false">IF($A3009="","",IF(원본명단!$H3008="",0,COUNTIF(원본명단!$H$3:$H$6002,원본명단!$H3008)))</f>
        <v/>
      </c>
      <c r="F3009" s="11" t="str">
        <f aca="false">IF($A3009="","",IF(원본명단!$I3008="",0,COUNTIF(원본명단!$I$3:$I$6002,원본명단!$I3008)))</f>
        <v/>
      </c>
      <c r="G3009" s="11" t="str">
        <f aca="false">IF($A3009="","",IF(원본명단!$K3008="",0,COUNTIF(원본명단!$K$3:$K$6002,원본명단!$K3008)))</f>
        <v/>
      </c>
      <c r="H3009" s="11" t="str">
        <f aca="false">IF($A3009="","",IF(MAX($E3009,$F3009,$G3009)&gt;1,"중복","-"))</f>
        <v/>
      </c>
      <c r="I3009" s="11" t="str">
        <f aca="false">IF($A3009="","",IF($H3009="-","-",IF(AND(IF(원본명단!$H3008="",TRUE(),COUNTIF(원본명단!$H$3:$H3008,원본명단!$H3008)=1),IF(원본명단!$I3008="",TRUE(),COUNTIF(원본명단!$I$3:$I3008,원본명단!$I3008)=1),IF(원본명단!$K3008="",TRUE(),COUNTIF(원본명단!$K$3:$K3008,원본명단!$K3008)=1)),"첫 건","중복 건")))</f>
        <v/>
      </c>
      <c r="J3009" s="11" t="str">
        <f aca="false">IF($A3009="","",IF($H3009="-","유지",IF($I3009="첫 건","유지","확인 필요")))</f>
        <v/>
      </c>
    </row>
    <row r="3010" customFormat="false" ht="15" hidden="false" customHeight="true" outlineLevel="0" collapsed="false">
      <c r="A3010" s="11" t="str">
        <f aca="false">IF(원본명단!$A3009="","",3007)</f>
        <v/>
      </c>
      <c r="B3010" s="12" t="str">
        <f aca="false">IF($A3010="","",원본명단!$A3009)</f>
        <v/>
      </c>
      <c r="C3010" s="12" t="str">
        <f aca="false">IF($A3010="","",원본명단!$B3009)</f>
        <v/>
      </c>
      <c r="D3010" s="12" t="str">
        <f aca="false">IF($A3010="","",원본명단!$D3009)</f>
        <v/>
      </c>
      <c r="E3010" s="11" t="str">
        <f aca="false">IF($A3010="","",IF(원본명단!$H3009="",0,COUNTIF(원본명단!$H$3:$H$6002,원본명단!$H3009)))</f>
        <v/>
      </c>
      <c r="F3010" s="11" t="str">
        <f aca="false">IF($A3010="","",IF(원본명단!$I3009="",0,COUNTIF(원본명단!$I$3:$I$6002,원본명단!$I3009)))</f>
        <v/>
      </c>
      <c r="G3010" s="11" t="str">
        <f aca="false">IF($A3010="","",IF(원본명단!$K3009="",0,COUNTIF(원본명단!$K$3:$K$6002,원본명단!$K3009)))</f>
        <v/>
      </c>
      <c r="H3010" s="11" t="str">
        <f aca="false">IF($A3010="","",IF(MAX($E3010,$F3010,$G3010)&gt;1,"중복","-"))</f>
        <v/>
      </c>
      <c r="I3010" s="11" t="str">
        <f aca="false">IF($A3010="","",IF($H3010="-","-",IF(AND(IF(원본명단!$H3009="",TRUE(),COUNTIF(원본명단!$H$3:$H3009,원본명단!$H3009)=1),IF(원본명단!$I3009="",TRUE(),COUNTIF(원본명단!$I$3:$I3009,원본명단!$I3009)=1),IF(원본명단!$K3009="",TRUE(),COUNTIF(원본명단!$K$3:$K3009,원본명단!$K3009)=1)),"첫 건","중복 건")))</f>
        <v/>
      </c>
      <c r="J3010" s="11" t="str">
        <f aca="false">IF($A3010="","",IF($H3010="-","유지",IF($I3010="첫 건","유지","확인 필요")))</f>
        <v/>
      </c>
    </row>
    <row r="3011" customFormat="false" ht="15" hidden="false" customHeight="true" outlineLevel="0" collapsed="false">
      <c r="A3011" s="11" t="str">
        <f aca="false">IF(원본명단!$A3010="","",3008)</f>
        <v/>
      </c>
      <c r="B3011" s="12" t="str">
        <f aca="false">IF($A3011="","",원본명단!$A3010)</f>
        <v/>
      </c>
      <c r="C3011" s="12" t="str">
        <f aca="false">IF($A3011="","",원본명단!$B3010)</f>
        <v/>
      </c>
      <c r="D3011" s="12" t="str">
        <f aca="false">IF($A3011="","",원본명단!$D3010)</f>
        <v/>
      </c>
      <c r="E3011" s="11" t="str">
        <f aca="false">IF($A3011="","",IF(원본명단!$H3010="",0,COUNTIF(원본명단!$H$3:$H$6002,원본명단!$H3010)))</f>
        <v/>
      </c>
      <c r="F3011" s="11" t="str">
        <f aca="false">IF($A3011="","",IF(원본명단!$I3010="",0,COUNTIF(원본명단!$I$3:$I$6002,원본명단!$I3010)))</f>
        <v/>
      </c>
      <c r="G3011" s="11" t="str">
        <f aca="false">IF($A3011="","",IF(원본명단!$K3010="",0,COUNTIF(원본명단!$K$3:$K$6002,원본명단!$K3010)))</f>
        <v/>
      </c>
      <c r="H3011" s="11" t="str">
        <f aca="false">IF($A3011="","",IF(MAX($E3011,$F3011,$G3011)&gt;1,"중복","-"))</f>
        <v/>
      </c>
      <c r="I3011" s="11" t="str">
        <f aca="false">IF($A3011="","",IF($H3011="-","-",IF(AND(IF(원본명단!$H3010="",TRUE(),COUNTIF(원본명단!$H$3:$H3010,원본명단!$H3010)=1),IF(원본명단!$I3010="",TRUE(),COUNTIF(원본명단!$I$3:$I3010,원본명단!$I3010)=1),IF(원본명단!$K3010="",TRUE(),COUNTIF(원본명단!$K$3:$K3010,원본명단!$K3010)=1)),"첫 건","중복 건")))</f>
        <v/>
      </c>
      <c r="J3011" s="11" t="str">
        <f aca="false">IF($A3011="","",IF($H3011="-","유지",IF($I3011="첫 건","유지","확인 필요")))</f>
        <v/>
      </c>
    </row>
    <row r="3012" customFormat="false" ht="15" hidden="false" customHeight="true" outlineLevel="0" collapsed="false">
      <c r="A3012" s="11" t="str">
        <f aca="false">IF(원본명단!$A3011="","",3009)</f>
        <v/>
      </c>
      <c r="B3012" s="12" t="str">
        <f aca="false">IF($A3012="","",원본명단!$A3011)</f>
        <v/>
      </c>
      <c r="C3012" s="12" t="str">
        <f aca="false">IF($A3012="","",원본명단!$B3011)</f>
        <v/>
      </c>
      <c r="D3012" s="12" t="str">
        <f aca="false">IF($A3012="","",원본명단!$D3011)</f>
        <v/>
      </c>
      <c r="E3012" s="11" t="str">
        <f aca="false">IF($A3012="","",IF(원본명단!$H3011="",0,COUNTIF(원본명단!$H$3:$H$6002,원본명단!$H3011)))</f>
        <v/>
      </c>
      <c r="F3012" s="11" t="str">
        <f aca="false">IF($A3012="","",IF(원본명단!$I3011="",0,COUNTIF(원본명단!$I$3:$I$6002,원본명단!$I3011)))</f>
        <v/>
      </c>
      <c r="G3012" s="11" t="str">
        <f aca="false">IF($A3012="","",IF(원본명단!$K3011="",0,COUNTIF(원본명단!$K$3:$K$6002,원본명단!$K3011)))</f>
        <v/>
      </c>
      <c r="H3012" s="11" t="str">
        <f aca="false">IF($A3012="","",IF(MAX($E3012,$F3012,$G3012)&gt;1,"중복","-"))</f>
        <v/>
      </c>
      <c r="I3012" s="11" t="str">
        <f aca="false">IF($A3012="","",IF($H3012="-","-",IF(AND(IF(원본명단!$H3011="",TRUE(),COUNTIF(원본명단!$H$3:$H3011,원본명단!$H3011)=1),IF(원본명단!$I3011="",TRUE(),COUNTIF(원본명단!$I$3:$I3011,원본명단!$I3011)=1),IF(원본명단!$K3011="",TRUE(),COUNTIF(원본명단!$K$3:$K3011,원본명단!$K3011)=1)),"첫 건","중복 건")))</f>
        <v/>
      </c>
      <c r="J3012" s="11" t="str">
        <f aca="false">IF($A3012="","",IF($H3012="-","유지",IF($I3012="첫 건","유지","확인 필요")))</f>
        <v/>
      </c>
    </row>
    <row r="3013" customFormat="false" ht="15" hidden="false" customHeight="true" outlineLevel="0" collapsed="false">
      <c r="A3013" s="11" t="str">
        <f aca="false">IF(원본명단!$A3012="","",3010)</f>
        <v/>
      </c>
      <c r="B3013" s="12" t="str">
        <f aca="false">IF($A3013="","",원본명단!$A3012)</f>
        <v/>
      </c>
      <c r="C3013" s="12" t="str">
        <f aca="false">IF($A3013="","",원본명단!$B3012)</f>
        <v/>
      </c>
      <c r="D3013" s="12" t="str">
        <f aca="false">IF($A3013="","",원본명단!$D3012)</f>
        <v/>
      </c>
      <c r="E3013" s="11" t="str">
        <f aca="false">IF($A3013="","",IF(원본명단!$H3012="",0,COUNTIF(원본명단!$H$3:$H$6002,원본명단!$H3012)))</f>
        <v/>
      </c>
      <c r="F3013" s="11" t="str">
        <f aca="false">IF($A3013="","",IF(원본명단!$I3012="",0,COUNTIF(원본명단!$I$3:$I$6002,원본명단!$I3012)))</f>
        <v/>
      </c>
      <c r="G3013" s="11" t="str">
        <f aca="false">IF($A3013="","",IF(원본명단!$K3012="",0,COUNTIF(원본명단!$K$3:$K$6002,원본명단!$K3012)))</f>
        <v/>
      </c>
      <c r="H3013" s="11" t="str">
        <f aca="false">IF($A3013="","",IF(MAX($E3013,$F3013,$G3013)&gt;1,"중복","-"))</f>
        <v/>
      </c>
      <c r="I3013" s="11" t="str">
        <f aca="false">IF($A3013="","",IF($H3013="-","-",IF(AND(IF(원본명단!$H3012="",TRUE(),COUNTIF(원본명단!$H$3:$H3012,원본명단!$H3012)=1),IF(원본명단!$I3012="",TRUE(),COUNTIF(원본명단!$I$3:$I3012,원본명단!$I3012)=1),IF(원본명단!$K3012="",TRUE(),COUNTIF(원본명단!$K$3:$K3012,원본명단!$K3012)=1)),"첫 건","중복 건")))</f>
        <v/>
      </c>
      <c r="J3013" s="11" t="str">
        <f aca="false">IF($A3013="","",IF($H3013="-","유지",IF($I3013="첫 건","유지","확인 필요")))</f>
        <v/>
      </c>
    </row>
    <row r="3014" customFormat="false" ht="15" hidden="false" customHeight="true" outlineLevel="0" collapsed="false">
      <c r="A3014" s="11" t="str">
        <f aca="false">IF(원본명단!$A3013="","",3011)</f>
        <v/>
      </c>
      <c r="B3014" s="12" t="str">
        <f aca="false">IF($A3014="","",원본명단!$A3013)</f>
        <v/>
      </c>
      <c r="C3014" s="12" t="str">
        <f aca="false">IF($A3014="","",원본명단!$B3013)</f>
        <v/>
      </c>
      <c r="D3014" s="12" t="str">
        <f aca="false">IF($A3014="","",원본명단!$D3013)</f>
        <v/>
      </c>
      <c r="E3014" s="11" t="str">
        <f aca="false">IF($A3014="","",IF(원본명단!$H3013="",0,COUNTIF(원본명단!$H$3:$H$6002,원본명단!$H3013)))</f>
        <v/>
      </c>
      <c r="F3014" s="11" t="str">
        <f aca="false">IF($A3014="","",IF(원본명단!$I3013="",0,COUNTIF(원본명단!$I$3:$I$6002,원본명단!$I3013)))</f>
        <v/>
      </c>
      <c r="G3014" s="11" t="str">
        <f aca="false">IF($A3014="","",IF(원본명단!$K3013="",0,COUNTIF(원본명단!$K$3:$K$6002,원본명단!$K3013)))</f>
        <v/>
      </c>
      <c r="H3014" s="11" t="str">
        <f aca="false">IF($A3014="","",IF(MAX($E3014,$F3014,$G3014)&gt;1,"중복","-"))</f>
        <v/>
      </c>
      <c r="I3014" s="11" t="str">
        <f aca="false">IF($A3014="","",IF($H3014="-","-",IF(AND(IF(원본명단!$H3013="",TRUE(),COUNTIF(원본명단!$H$3:$H3013,원본명단!$H3013)=1),IF(원본명단!$I3013="",TRUE(),COUNTIF(원본명단!$I$3:$I3013,원본명단!$I3013)=1),IF(원본명단!$K3013="",TRUE(),COUNTIF(원본명단!$K$3:$K3013,원본명단!$K3013)=1)),"첫 건","중복 건")))</f>
        <v/>
      </c>
      <c r="J3014" s="11" t="str">
        <f aca="false">IF($A3014="","",IF($H3014="-","유지",IF($I3014="첫 건","유지","확인 필요")))</f>
        <v/>
      </c>
    </row>
    <row r="3015" customFormat="false" ht="15" hidden="false" customHeight="true" outlineLevel="0" collapsed="false">
      <c r="A3015" s="11" t="str">
        <f aca="false">IF(원본명단!$A3014="","",3012)</f>
        <v/>
      </c>
      <c r="B3015" s="12" t="str">
        <f aca="false">IF($A3015="","",원본명단!$A3014)</f>
        <v/>
      </c>
      <c r="C3015" s="12" t="str">
        <f aca="false">IF($A3015="","",원본명단!$B3014)</f>
        <v/>
      </c>
      <c r="D3015" s="12" t="str">
        <f aca="false">IF($A3015="","",원본명단!$D3014)</f>
        <v/>
      </c>
      <c r="E3015" s="11" t="str">
        <f aca="false">IF($A3015="","",IF(원본명단!$H3014="",0,COUNTIF(원본명단!$H$3:$H$6002,원본명단!$H3014)))</f>
        <v/>
      </c>
      <c r="F3015" s="11" t="str">
        <f aca="false">IF($A3015="","",IF(원본명단!$I3014="",0,COUNTIF(원본명단!$I$3:$I$6002,원본명단!$I3014)))</f>
        <v/>
      </c>
      <c r="G3015" s="11" t="str">
        <f aca="false">IF($A3015="","",IF(원본명단!$K3014="",0,COUNTIF(원본명단!$K$3:$K$6002,원본명단!$K3014)))</f>
        <v/>
      </c>
      <c r="H3015" s="11" t="str">
        <f aca="false">IF($A3015="","",IF(MAX($E3015,$F3015,$G3015)&gt;1,"중복","-"))</f>
        <v/>
      </c>
      <c r="I3015" s="11" t="str">
        <f aca="false">IF($A3015="","",IF($H3015="-","-",IF(AND(IF(원본명단!$H3014="",TRUE(),COUNTIF(원본명단!$H$3:$H3014,원본명단!$H3014)=1),IF(원본명단!$I3014="",TRUE(),COUNTIF(원본명단!$I$3:$I3014,원본명단!$I3014)=1),IF(원본명단!$K3014="",TRUE(),COUNTIF(원본명단!$K$3:$K3014,원본명단!$K3014)=1)),"첫 건","중복 건")))</f>
        <v/>
      </c>
      <c r="J3015" s="11" t="str">
        <f aca="false">IF($A3015="","",IF($H3015="-","유지",IF($I3015="첫 건","유지","확인 필요")))</f>
        <v/>
      </c>
    </row>
    <row r="3016" customFormat="false" ht="15" hidden="false" customHeight="true" outlineLevel="0" collapsed="false">
      <c r="A3016" s="11" t="str">
        <f aca="false">IF(원본명단!$A3015="","",3013)</f>
        <v/>
      </c>
      <c r="B3016" s="12" t="str">
        <f aca="false">IF($A3016="","",원본명단!$A3015)</f>
        <v/>
      </c>
      <c r="C3016" s="12" t="str">
        <f aca="false">IF($A3016="","",원본명단!$B3015)</f>
        <v/>
      </c>
      <c r="D3016" s="12" t="str">
        <f aca="false">IF($A3016="","",원본명단!$D3015)</f>
        <v/>
      </c>
      <c r="E3016" s="11" t="str">
        <f aca="false">IF($A3016="","",IF(원본명단!$H3015="",0,COUNTIF(원본명단!$H$3:$H$6002,원본명단!$H3015)))</f>
        <v/>
      </c>
      <c r="F3016" s="11" t="str">
        <f aca="false">IF($A3016="","",IF(원본명단!$I3015="",0,COUNTIF(원본명단!$I$3:$I$6002,원본명단!$I3015)))</f>
        <v/>
      </c>
      <c r="G3016" s="11" t="str">
        <f aca="false">IF($A3016="","",IF(원본명단!$K3015="",0,COUNTIF(원본명단!$K$3:$K$6002,원본명단!$K3015)))</f>
        <v/>
      </c>
      <c r="H3016" s="11" t="str">
        <f aca="false">IF($A3016="","",IF(MAX($E3016,$F3016,$G3016)&gt;1,"중복","-"))</f>
        <v/>
      </c>
      <c r="I3016" s="11" t="str">
        <f aca="false">IF($A3016="","",IF($H3016="-","-",IF(AND(IF(원본명단!$H3015="",TRUE(),COUNTIF(원본명단!$H$3:$H3015,원본명단!$H3015)=1),IF(원본명단!$I3015="",TRUE(),COUNTIF(원본명단!$I$3:$I3015,원본명단!$I3015)=1),IF(원본명단!$K3015="",TRUE(),COUNTIF(원본명단!$K$3:$K3015,원본명단!$K3015)=1)),"첫 건","중복 건")))</f>
        <v/>
      </c>
      <c r="J3016" s="11" t="str">
        <f aca="false">IF($A3016="","",IF($H3016="-","유지",IF($I3016="첫 건","유지","확인 필요")))</f>
        <v/>
      </c>
    </row>
    <row r="3017" customFormat="false" ht="15" hidden="false" customHeight="true" outlineLevel="0" collapsed="false">
      <c r="A3017" s="11" t="str">
        <f aca="false">IF(원본명단!$A3016="","",3014)</f>
        <v/>
      </c>
      <c r="B3017" s="12" t="str">
        <f aca="false">IF($A3017="","",원본명단!$A3016)</f>
        <v/>
      </c>
      <c r="C3017" s="12" t="str">
        <f aca="false">IF($A3017="","",원본명단!$B3016)</f>
        <v/>
      </c>
      <c r="D3017" s="12" t="str">
        <f aca="false">IF($A3017="","",원본명단!$D3016)</f>
        <v/>
      </c>
      <c r="E3017" s="11" t="str">
        <f aca="false">IF($A3017="","",IF(원본명단!$H3016="",0,COUNTIF(원본명단!$H$3:$H$6002,원본명단!$H3016)))</f>
        <v/>
      </c>
      <c r="F3017" s="11" t="str">
        <f aca="false">IF($A3017="","",IF(원본명단!$I3016="",0,COUNTIF(원본명단!$I$3:$I$6002,원본명단!$I3016)))</f>
        <v/>
      </c>
      <c r="G3017" s="11" t="str">
        <f aca="false">IF($A3017="","",IF(원본명단!$K3016="",0,COUNTIF(원본명단!$K$3:$K$6002,원본명단!$K3016)))</f>
        <v/>
      </c>
      <c r="H3017" s="11" t="str">
        <f aca="false">IF($A3017="","",IF(MAX($E3017,$F3017,$G3017)&gt;1,"중복","-"))</f>
        <v/>
      </c>
      <c r="I3017" s="11" t="str">
        <f aca="false">IF($A3017="","",IF($H3017="-","-",IF(AND(IF(원본명단!$H3016="",TRUE(),COUNTIF(원본명단!$H$3:$H3016,원본명단!$H3016)=1),IF(원본명단!$I3016="",TRUE(),COUNTIF(원본명단!$I$3:$I3016,원본명단!$I3016)=1),IF(원본명단!$K3016="",TRUE(),COUNTIF(원본명단!$K$3:$K3016,원본명단!$K3016)=1)),"첫 건","중복 건")))</f>
        <v/>
      </c>
      <c r="J3017" s="11" t="str">
        <f aca="false">IF($A3017="","",IF($H3017="-","유지",IF($I3017="첫 건","유지","확인 필요")))</f>
        <v/>
      </c>
    </row>
    <row r="3018" customFormat="false" ht="15" hidden="false" customHeight="true" outlineLevel="0" collapsed="false">
      <c r="A3018" s="11" t="str">
        <f aca="false">IF(원본명단!$A3017="","",3015)</f>
        <v/>
      </c>
      <c r="B3018" s="12" t="str">
        <f aca="false">IF($A3018="","",원본명단!$A3017)</f>
        <v/>
      </c>
      <c r="C3018" s="12" t="str">
        <f aca="false">IF($A3018="","",원본명단!$B3017)</f>
        <v/>
      </c>
      <c r="D3018" s="12" t="str">
        <f aca="false">IF($A3018="","",원본명단!$D3017)</f>
        <v/>
      </c>
      <c r="E3018" s="11" t="str">
        <f aca="false">IF($A3018="","",IF(원본명단!$H3017="",0,COUNTIF(원본명단!$H$3:$H$6002,원본명단!$H3017)))</f>
        <v/>
      </c>
      <c r="F3018" s="11" t="str">
        <f aca="false">IF($A3018="","",IF(원본명단!$I3017="",0,COUNTIF(원본명단!$I$3:$I$6002,원본명단!$I3017)))</f>
        <v/>
      </c>
      <c r="G3018" s="11" t="str">
        <f aca="false">IF($A3018="","",IF(원본명단!$K3017="",0,COUNTIF(원본명단!$K$3:$K$6002,원본명단!$K3017)))</f>
        <v/>
      </c>
      <c r="H3018" s="11" t="str">
        <f aca="false">IF($A3018="","",IF(MAX($E3018,$F3018,$G3018)&gt;1,"중복","-"))</f>
        <v/>
      </c>
      <c r="I3018" s="11" t="str">
        <f aca="false">IF($A3018="","",IF($H3018="-","-",IF(AND(IF(원본명단!$H3017="",TRUE(),COUNTIF(원본명단!$H$3:$H3017,원본명단!$H3017)=1),IF(원본명단!$I3017="",TRUE(),COUNTIF(원본명단!$I$3:$I3017,원본명단!$I3017)=1),IF(원본명단!$K3017="",TRUE(),COUNTIF(원본명단!$K$3:$K3017,원본명단!$K3017)=1)),"첫 건","중복 건")))</f>
        <v/>
      </c>
      <c r="J3018" s="11" t="str">
        <f aca="false">IF($A3018="","",IF($H3018="-","유지",IF($I3018="첫 건","유지","확인 필요")))</f>
        <v/>
      </c>
    </row>
    <row r="3019" customFormat="false" ht="15" hidden="false" customHeight="true" outlineLevel="0" collapsed="false">
      <c r="A3019" s="11" t="str">
        <f aca="false">IF(원본명단!$A3018="","",3016)</f>
        <v/>
      </c>
      <c r="B3019" s="12" t="str">
        <f aca="false">IF($A3019="","",원본명단!$A3018)</f>
        <v/>
      </c>
      <c r="C3019" s="12" t="str">
        <f aca="false">IF($A3019="","",원본명단!$B3018)</f>
        <v/>
      </c>
      <c r="D3019" s="12" t="str">
        <f aca="false">IF($A3019="","",원본명단!$D3018)</f>
        <v/>
      </c>
      <c r="E3019" s="11" t="str">
        <f aca="false">IF($A3019="","",IF(원본명단!$H3018="",0,COUNTIF(원본명단!$H$3:$H$6002,원본명단!$H3018)))</f>
        <v/>
      </c>
      <c r="F3019" s="11" t="str">
        <f aca="false">IF($A3019="","",IF(원본명단!$I3018="",0,COUNTIF(원본명단!$I$3:$I$6002,원본명단!$I3018)))</f>
        <v/>
      </c>
      <c r="G3019" s="11" t="str">
        <f aca="false">IF($A3019="","",IF(원본명단!$K3018="",0,COUNTIF(원본명단!$K$3:$K$6002,원본명단!$K3018)))</f>
        <v/>
      </c>
      <c r="H3019" s="11" t="str">
        <f aca="false">IF($A3019="","",IF(MAX($E3019,$F3019,$G3019)&gt;1,"중복","-"))</f>
        <v/>
      </c>
      <c r="I3019" s="11" t="str">
        <f aca="false">IF($A3019="","",IF($H3019="-","-",IF(AND(IF(원본명단!$H3018="",TRUE(),COUNTIF(원본명단!$H$3:$H3018,원본명단!$H3018)=1),IF(원본명단!$I3018="",TRUE(),COUNTIF(원본명단!$I$3:$I3018,원본명단!$I3018)=1),IF(원본명단!$K3018="",TRUE(),COUNTIF(원본명단!$K$3:$K3018,원본명단!$K3018)=1)),"첫 건","중복 건")))</f>
        <v/>
      </c>
      <c r="J3019" s="11" t="str">
        <f aca="false">IF($A3019="","",IF($H3019="-","유지",IF($I3019="첫 건","유지","확인 필요")))</f>
        <v/>
      </c>
    </row>
    <row r="3020" customFormat="false" ht="15" hidden="false" customHeight="true" outlineLevel="0" collapsed="false">
      <c r="A3020" s="11" t="str">
        <f aca="false">IF(원본명단!$A3019="","",3017)</f>
        <v/>
      </c>
      <c r="B3020" s="12" t="str">
        <f aca="false">IF($A3020="","",원본명단!$A3019)</f>
        <v/>
      </c>
      <c r="C3020" s="12" t="str">
        <f aca="false">IF($A3020="","",원본명단!$B3019)</f>
        <v/>
      </c>
      <c r="D3020" s="12" t="str">
        <f aca="false">IF($A3020="","",원본명단!$D3019)</f>
        <v/>
      </c>
      <c r="E3020" s="11" t="str">
        <f aca="false">IF($A3020="","",IF(원본명단!$H3019="",0,COUNTIF(원본명단!$H$3:$H$6002,원본명단!$H3019)))</f>
        <v/>
      </c>
      <c r="F3020" s="11" t="str">
        <f aca="false">IF($A3020="","",IF(원본명단!$I3019="",0,COUNTIF(원본명단!$I$3:$I$6002,원본명단!$I3019)))</f>
        <v/>
      </c>
      <c r="G3020" s="11" t="str">
        <f aca="false">IF($A3020="","",IF(원본명단!$K3019="",0,COUNTIF(원본명단!$K$3:$K$6002,원본명단!$K3019)))</f>
        <v/>
      </c>
      <c r="H3020" s="11" t="str">
        <f aca="false">IF($A3020="","",IF(MAX($E3020,$F3020,$G3020)&gt;1,"중복","-"))</f>
        <v/>
      </c>
      <c r="I3020" s="11" t="str">
        <f aca="false">IF($A3020="","",IF($H3020="-","-",IF(AND(IF(원본명단!$H3019="",TRUE(),COUNTIF(원본명단!$H$3:$H3019,원본명단!$H3019)=1),IF(원본명단!$I3019="",TRUE(),COUNTIF(원본명단!$I$3:$I3019,원본명단!$I3019)=1),IF(원본명단!$K3019="",TRUE(),COUNTIF(원본명단!$K$3:$K3019,원본명단!$K3019)=1)),"첫 건","중복 건")))</f>
        <v/>
      </c>
      <c r="J3020" s="11" t="str">
        <f aca="false">IF($A3020="","",IF($H3020="-","유지",IF($I3020="첫 건","유지","확인 필요")))</f>
        <v/>
      </c>
    </row>
    <row r="3021" customFormat="false" ht="15" hidden="false" customHeight="true" outlineLevel="0" collapsed="false">
      <c r="A3021" s="11" t="str">
        <f aca="false">IF(원본명단!$A3020="","",3018)</f>
        <v/>
      </c>
      <c r="B3021" s="12" t="str">
        <f aca="false">IF($A3021="","",원본명단!$A3020)</f>
        <v/>
      </c>
      <c r="C3021" s="12" t="str">
        <f aca="false">IF($A3021="","",원본명단!$B3020)</f>
        <v/>
      </c>
      <c r="D3021" s="12" t="str">
        <f aca="false">IF($A3021="","",원본명단!$D3020)</f>
        <v/>
      </c>
      <c r="E3021" s="11" t="str">
        <f aca="false">IF($A3021="","",IF(원본명단!$H3020="",0,COUNTIF(원본명단!$H$3:$H$6002,원본명단!$H3020)))</f>
        <v/>
      </c>
      <c r="F3021" s="11" t="str">
        <f aca="false">IF($A3021="","",IF(원본명단!$I3020="",0,COUNTIF(원본명단!$I$3:$I$6002,원본명단!$I3020)))</f>
        <v/>
      </c>
      <c r="G3021" s="11" t="str">
        <f aca="false">IF($A3021="","",IF(원본명단!$K3020="",0,COUNTIF(원본명단!$K$3:$K$6002,원본명단!$K3020)))</f>
        <v/>
      </c>
      <c r="H3021" s="11" t="str">
        <f aca="false">IF($A3021="","",IF(MAX($E3021,$F3021,$G3021)&gt;1,"중복","-"))</f>
        <v/>
      </c>
      <c r="I3021" s="11" t="str">
        <f aca="false">IF($A3021="","",IF($H3021="-","-",IF(AND(IF(원본명단!$H3020="",TRUE(),COUNTIF(원본명단!$H$3:$H3020,원본명단!$H3020)=1),IF(원본명단!$I3020="",TRUE(),COUNTIF(원본명단!$I$3:$I3020,원본명단!$I3020)=1),IF(원본명단!$K3020="",TRUE(),COUNTIF(원본명단!$K$3:$K3020,원본명단!$K3020)=1)),"첫 건","중복 건")))</f>
        <v/>
      </c>
      <c r="J3021" s="11" t="str">
        <f aca="false">IF($A3021="","",IF($H3021="-","유지",IF($I3021="첫 건","유지","확인 필요")))</f>
        <v/>
      </c>
    </row>
    <row r="3022" customFormat="false" ht="15" hidden="false" customHeight="true" outlineLevel="0" collapsed="false">
      <c r="A3022" s="11" t="str">
        <f aca="false">IF(원본명단!$A3021="","",3019)</f>
        <v/>
      </c>
      <c r="B3022" s="12" t="str">
        <f aca="false">IF($A3022="","",원본명단!$A3021)</f>
        <v/>
      </c>
      <c r="C3022" s="12" t="str">
        <f aca="false">IF($A3022="","",원본명단!$B3021)</f>
        <v/>
      </c>
      <c r="D3022" s="12" t="str">
        <f aca="false">IF($A3022="","",원본명단!$D3021)</f>
        <v/>
      </c>
      <c r="E3022" s="11" t="str">
        <f aca="false">IF($A3022="","",IF(원본명단!$H3021="",0,COUNTIF(원본명단!$H$3:$H$6002,원본명단!$H3021)))</f>
        <v/>
      </c>
      <c r="F3022" s="11" t="str">
        <f aca="false">IF($A3022="","",IF(원본명단!$I3021="",0,COUNTIF(원본명단!$I$3:$I$6002,원본명단!$I3021)))</f>
        <v/>
      </c>
      <c r="G3022" s="11" t="str">
        <f aca="false">IF($A3022="","",IF(원본명단!$K3021="",0,COUNTIF(원본명단!$K$3:$K$6002,원본명단!$K3021)))</f>
        <v/>
      </c>
      <c r="H3022" s="11" t="str">
        <f aca="false">IF($A3022="","",IF(MAX($E3022,$F3022,$G3022)&gt;1,"중복","-"))</f>
        <v/>
      </c>
      <c r="I3022" s="11" t="str">
        <f aca="false">IF($A3022="","",IF($H3022="-","-",IF(AND(IF(원본명단!$H3021="",TRUE(),COUNTIF(원본명단!$H$3:$H3021,원본명단!$H3021)=1),IF(원본명단!$I3021="",TRUE(),COUNTIF(원본명단!$I$3:$I3021,원본명단!$I3021)=1),IF(원본명단!$K3021="",TRUE(),COUNTIF(원본명단!$K$3:$K3021,원본명단!$K3021)=1)),"첫 건","중복 건")))</f>
        <v/>
      </c>
      <c r="J3022" s="11" t="str">
        <f aca="false">IF($A3022="","",IF($H3022="-","유지",IF($I3022="첫 건","유지","확인 필요")))</f>
        <v/>
      </c>
    </row>
    <row r="3023" customFormat="false" ht="15" hidden="false" customHeight="true" outlineLevel="0" collapsed="false">
      <c r="A3023" s="11" t="str">
        <f aca="false">IF(원본명단!$A3022="","",3020)</f>
        <v/>
      </c>
      <c r="B3023" s="12" t="str">
        <f aca="false">IF($A3023="","",원본명단!$A3022)</f>
        <v/>
      </c>
      <c r="C3023" s="12" t="str">
        <f aca="false">IF($A3023="","",원본명단!$B3022)</f>
        <v/>
      </c>
      <c r="D3023" s="12" t="str">
        <f aca="false">IF($A3023="","",원본명단!$D3022)</f>
        <v/>
      </c>
      <c r="E3023" s="11" t="str">
        <f aca="false">IF($A3023="","",IF(원본명단!$H3022="",0,COUNTIF(원본명단!$H$3:$H$6002,원본명단!$H3022)))</f>
        <v/>
      </c>
      <c r="F3023" s="11" t="str">
        <f aca="false">IF($A3023="","",IF(원본명단!$I3022="",0,COUNTIF(원본명단!$I$3:$I$6002,원본명단!$I3022)))</f>
        <v/>
      </c>
      <c r="G3023" s="11" t="str">
        <f aca="false">IF($A3023="","",IF(원본명단!$K3022="",0,COUNTIF(원본명단!$K$3:$K$6002,원본명단!$K3022)))</f>
        <v/>
      </c>
      <c r="H3023" s="11" t="str">
        <f aca="false">IF($A3023="","",IF(MAX($E3023,$F3023,$G3023)&gt;1,"중복","-"))</f>
        <v/>
      </c>
      <c r="I3023" s="11" t="str">
        <f aca="false">IF($A3023="","",IF($H3023="-","-",IF(AND(IF(원본명단!$H3022="",TRUE(),COUNTIF(원본명단!$H$3:$H3022,원본명단!$H3022)=1),IF(원본명단!$I3022="",TRUE(),COUNTIF(원본명단!$I$3:$I3022,원본명단!$I3022)=1),IF(원본명단!$K3022="",TRUE(),COUNTIF(원본명단!$K$3:$K3022,원본명단!$K3022)=1)),"첫 건","중복 건")))</f>
        <v/>
      </c>
      <c r="J3023" s="11" t="str">
        <f aca="false">IF($A3023="","",IF($H3023="-","유지",IF($I3023="첫 건","유지","확인 필요")))</f>
        <v/>
      </c>
    </row>
    <row r="3024" customFormat="false" ht="15" hidden="false" customHeight="true" outlineLevel="0" collapsed="false">
      <c r="A3024" s="11" t="str">
        <f aca="false">IF(원본명단!$A3023="","",3021)</f>
        <v/>
      </c>
      <c r="B3024" s="12" t="str">
        <f aca="false">IF($A3024="","",원본명단!$A3023)</f>
        <v/>
      </c>
      <c r="C3024" s="12" t="str">
        <f aca="false">IF($A3024="","",원본명단!$B3023)</f>
        <v/>
      </c>
      <c r="D3024" s="12" t="str">
        <f aca="false">IF($A3024="","",원본명단!$D3023)</f>
        <v/>
      </c>
      <c r="E3024" s="11" t="str">
        <f aca="false">IF($A3024="","",IF(원본명단!$H3023="",0,COUNTIF(원본명단!$H$3:$H$6002,원본명단!$H3023)))</f>
        <v/>
      </c>
      <c r="F3024" s="11" t="str">
        <f aca="false">IF($A3024="","",IF(원본명단!$I3023="",0,COUNTIF(원본명단!$I$3:$I$6002,원본명단!$I3023)))</f>
        <v/>
      </c>
      <c r="G3024" s="11" t="str">
        <f aca="false">IF($A3024="","",IF(원본명단!$K3023="",0,COUNTIF(원본명단!$K$3:$K$6002,원본명단!$K3023)))</f>
        <v/>
      </c>
      <c r="H3024" s="11" t="str">
        <f aca="false">IF($A3024="","",IF(MAX($E3024,$F3024,$G3024)&gt;1,"중복","-"))</f>
        <v/>
      </c>
      <c r="I3024" s="11" t="str">
        <f aca="false">IF($A3024="","",IF($H3024="-","-",IF(AND(IF(원본명단!$H3023="",TRUE(),COUNTIF(원본명단!$H$3:$H3023,원본명단!$H3023)=1),IF(원본명단!$I3023="",TRUE(),COUNTIF(원본명단!$I$3:$I3023,원본명단!$I3023)=1),IF(원본명단!$K3023="",TRUE(),COUNTIF(원본명단!$K$3:$K3023,원본명단!$K3023)=1)),"첫 건","중복 건")))</f>
        <v/>
      </c>
      <c r="J3024" s="11" t="str">
        <f aca="false">IF($A3024="","",IF($H3024="-","유지",IF($I3024="첫 건","유지","확인 필요")))</f>
        <v/>
      </c>
    </row>
    <row r="3025" customFormat="false" ht="15" hidden="false" customHeight="true" outlineLevel="0" collapsed="false">
      <c r="A3025" s="11" t="str">
        <f aca="false">IF(원본명단!$A3024="","",3022)</f>
        <v/>
      </c>
      <c r="B3025" s="12" t="str">
        <f aca="false">IF($A3025="","",원본명단!$A3024)</f>
        <v/>
      </c>
      <c r="C3025" s="12" t="str">
        <f aca="false">IF($A3025="","",원본명단!$B3024)</f>
        <v/>
      </c>
      <c r="D3025" s="12" t="str">
        <f aca="false">IF($A3025="","",원본명단!$D3024)</f>
        <v/>
      </c>
      <c r="E3025" s="11" t="str">
        <f aca="false">IF($A3025="","",IF(원본명단!$H3024="",0,COUNTIF(원본명단!$H$3:$H$6002,원본명단!$H3024)))</f>
        <v/>
      </c>
      <c r="F3025" s="11" t="str">
        <f aca="false">IF($A3025="","",IF(원본명단!$I3024="",0,COUNTIF(원본명단!$I$3:$I$6002,원본명단!$I3024)))</f>
        <v/>
      </c>
      <c r="G3025" s="11" t="str">
        <f aca="false">IF($A3025="","",IF(원본명단!$K3024="",0,COUNTIF(원본명단!$K$3:$K$6002,원본명단!$K3024)))</f>
        <v/>
      </c>
      <c r="H3025" s="11" t="str">
        <f aca="false">IF($A3025="","",IF(MAX($E3025,$F3025,$G3025)&gt;1,"중복","-"))</f>
        <v/>
      </c>
      <c r="I3025" s="11" t="str">
        <f aca="false">IF($A3025="","",IF($H3025="-","-",IF(AND(IF(원본명단!$H3024="",TRUE(),COUNTIF(원본명단!$H$3:$H3024,원본명단!$H3024)=1),IF(원본명단!$I3024="",TRUE(),COUNTIF(원본명단!$I$3:$I3024,원본명단!$I3024)=1),IF(원본명단!$K3024="",TRUE(),COUNTIF(원본명단!$K$3:$K3024,원본명단!$K3024)=1)),"첫 건","중복 건")))</f>
        <v/>
      </c>
      <c r="J3025" s="11" t="str">
        <f aca="false">IF($A3025="","",IF($H3025="-","유지",IF($I3025="첫 건","유지","확인 필요")))</f>
        <v/>
      </c>
    </row>
    <row r="3026" customFormat="false" ht="15" hidden="false" customHeight="true" outlineLevel="0" collapsed="false">
      <c r="A3026" s="11" t="str">
        <f aca="false">IF(원본명단!$A3025="","",3023)</f>
        <v/>
      </c>
      <c r="B3026" s="12" t="str">
        <f aca="false">IF($A3026="","",원본명단!$A3025)</f>
        <v/>
      </c>
      <c r="C3026" s="12" t="str">
        <f aca="false">IF($A3026="","",원본명단!$B3025)</f>
        <v/>
      </c>
      <c r="D3026" s="12" t="str">
        <f aca="false">IF($A3026="","",원본명단!$D3025)</f>
        <v/>
      </c>
      <c r="E3026" s="11" t="str">
        <f aca="false">IF($A3026="","",IF(원본명단!$H3025="",0,COUNTIF(원본명단!$H$3:$H$6002,원본명단!$H3025)))</f>
        <v/>
      </c>
      <c r="F3026" s="11" t="str">
        <f aca="false">IF($A3026="","",IF(원본명단!$I3025="",0,COUNTIF(원본명단!$I$3:$I$6002,원본명단!$I3025)))</f>
        <v/>
      </c>
      <c r="G3026" s="11" t="str">
        <f aca="false">IF($A3026="","",IF(원본명단!$K3025="",0,COUNTIF(원본명단!$K$3:$K$6002,원본명단!$K3025)))</f>
        <v/>
      </c>
      <c r="H3026" s="11" t="str">
        <f aca="false">IF($A3026="","",IF(MAX($E3026,$F3026,$G3026)&gt;1,"중복","-"))</f>
        <v/>
      </c>
      <c r="I3026" s="11" t="str">
        <f aca="false">IF($A3026="","",IF($H3026="-","-",IF(AND(IF(원본명단!$H3025="",TRUE(),COUNTIF(원본명단!$H$3:$H3025,원본명단!$H3025)=1),IF(원본명단!$I3025="",TRUE(),COUNTIF(원본명단!$I$3:$I3025,원본명단!$I3025)=1),IF(원본명단!$K3025="",TRUE(),COUNTIF(원본명단!$K$3:$K3025,원본명단!$K3025)=1)),"첫 건","중복 건")))</f>
        <v/>
      </c>
      <c r="J3026" s="11" t="str">
        <f aca="false">IF($A3026="","",IF($H3026="-","유지",IF($I3026="첫 건","유지","확인 필요")))</f>
        <v/>
      </c>
    </row>
    <row r="3027" customFormat="false" ht="15" hidden="false" customHeight="true" outlineLevel="0" collapsed="false">
      <c r="A3027" s="11" t="str">
        <f aca="false">IF(원본명단!$A3026="","",3024)</f>
        <v/>
      </c>
      <c r="B3027" s="12" t="str">
        <f aca="false">IF($A3027="","",원본명단!$A3026)</f>
        <v/>
      </c>
      <c r="C3027" s="12" t="str">
        <f aca="false">IF($A3027="","",원본명단!$B3026)</f>
        <v/>
      </c>
      <c r="D3027" s="12" t="str">
        <f aca="false">IF($A3027="","",원본명단!$D3026)</f>
        <v/>
      </c>
      <c r="E3027" s="11" t="str">
        <f aca="false">IF($A3027="","",IF(원본명단!$H3026="",0,COUNTIF(원본명단!$H$3:$H$6002,원본명단!$H3026)))</f>
        <v/>
      </c>
      <c r="F3027" s="11" t="str">
        <f aca="false">IF($A3027="","",IF(원본명단!$I3026="",0,COUNTIF(원본명단!$I$3:$I$6002,원본명단!$I3026)))</f>
        <v/>
      </c>
      <c r="G3027" s="11" t="str">
        <f aca="false">IF($A3027="","",IF(원본명단!$K3026="",0,COUNTIF(원본명단!$K$3:$K$6002,원본명단!$K3026)))</f>
        <v/>
      </c>
      <c r="H3027" s="11" t="str">
        <f aca="false">IF($A3027="","",IF(MAX($E3027,$F3027,$G3027)&gt;1,"중복","-"))</f>
        <v/>
      </c>
      <c r="I3027" s="11" t="str">
        <f aca="false">IF($A3027="","",IF($H3027="-","-",IF(AND(IF(원본명단!$H3026="",TRUE(),COUNTIF(원본명단!$H$3:$H3026,원본명단!$H3026)=1),IF(원본명단!$I3026="",TRUE(),COUNTIF(원본명단!$I$3:$I3026,원본명단!$I3026)=1),IF(원본명단!$K3026="",TRUE(),COUNTIF(원본명단!$K$3:$K3026,원본명단!$K3026)=1)),"첫 건","중복 건")))</f>
        <v/>
      </c>
      <c r="J3027" s="11" t="str">
        <f aca="false">IF($A3027="","",IF($H3027="-","유지",IF($I3027="첫 건","유지","확인 필요")))</f>
        <v/>
      </c>
    </row>
    <row r="3028" customFormat="false" ht="15" hidden="false" customHeight="true" outlineLevel="0" collapsed="false">
      <c r="A3028" s="11" t="str">
        <f aca="false">IF(원본명단!$A3027="","",3025)</f>
        <v/>
      </c>
      <c r="B3028" s="12" t="str">
        <f aca="false">IF($A3028="","",원본명단!$A3027)</f>
        <v/>
      </c>
      <c r="C3028" s="12" t="str">
        <f aca="false">IF($A3028="","",원본명단!$B3027)</f>
        <v/>
      </c>
      <c r="D3028" s="12" t="str">
        <f aca="false">IF($A3028="","",원본명단!$D3027)</f>
        <v/>
      </c>
      <c r="E3028" s="11" t="str">
        <f aca="false">IF($A3028="","",IF(원본명단!$H3027="",0,COUNTIF(원본명단!$H$3:$H$6002,원본명단!$H3027)))</f>
        <v/>
      </c>
      <c r="F3028" s="11" t="str">
        <f aca="false">IF($A3028="","",IF(원본명단!$I3027="",0,COUNTIF(원본명단!$I$3:$I$6002,원본명단!$I3027)))</f>
        <v/>
      </c>
      <c r="G3028" s="11" t="str">
        <f aca="false">IF($A3028="","",IF(원본명단!$K3027="",0,COUNTIF(원본명단!$K$3:$K$6002,원본명단!$K3027)))</f>
        <v/>
      </c>
      <c r="H3028" s="11" t="str">
        <f aca="false">IF($A3028="","",IF(MAX($E3028,$F3028,$G3028)&gt;1,"중복","-"))</f>
        <v/>
      </c>
      <c r="I3028" s="11" t="str">
        <f aca="false">IF($A3028="","",IF($H3028="-","-",IF(AND(IF(원본명단!$H3027="",TRUE(),COUNTIF(원본명단!$H$3:$H3027,원본명단!$H3027)=1),IF(원본명단!$I3027="",TRUE(),COUNTIF(원본명단!$I$3:$I3027,원본명단!$I3027)=1),IF(원본명단!$K3027="",TRUE(),COUNTIF(원본명단!$K$3:$K3027,원본명단!$K3027)=1)),"첫 건","중복 건")))</f>
        <v/>
      </c>
      <c r="J3028" s="11" t="str">
        <f aca="false">IF($A3028="","",IF($H3028="-","유지",IF($I3028="첫 건","유지","확인 필요")))</f>
        <v/>
      </c>
    </row>
    <row r="3029" customFormat="false" ht="15" hidden="false" customHeight="true" outlineLevel="0" collapsed="false">
      <c r="A3029" s="11" t="str">
        <f aca="false">IF(원본명단!$A3028="","",3026)</f>
        <v/>
      </c>
      <c r="B3029" s="12" t="str">
        <f aca="false">IF($A3029="","",원본명단!$A3028)</f>
        <v/>
      </c>
      <c r="C3029" s="12" t="str">
        <f aca="false">IF($A3029="","",원본명단!$B3028)</f>
        <v/>
      </c>
      <c r="D3029" s="12" t="str">
        <f aca="false">IF($A3029="","",원본명단!$D3028)</f>
        <v/>
      </c>
      <c r="E3029" s="11" t="str">
        <f aca="false">IF($A3029="","",IF(원본명단!$H3028="",0,COUNTIF(원본명단!$H$3:$H$6002,원본명단!$H3028)))</f>
        <v/>
      </c>
      <c r="F3029" s="11" t="str">
        <f aca="false">IF($A3029="","",IF(원본명단!$I3028="",0,COUNTIF(원본명단!$I$3:$I$6002,원본명단!$I3028)))</f>
        <v/>
      </c>
      <c r="G3029" s="11" t="str">
        <f aca="false">IF($A3029="","",IF(원본명단!$K3028="",0,COUNTIF(원본명단!$K$3:$K$6002,원본명단!$K3028)))</f>
        <v/>
      </c>
      <c r="H3029" s="11" t="str">
        <f aca="false">IF($A3029="","",IF(MAX($E3029,$F3029,$G3029)&gt;1,"중복","-"))</f>
        <v/>
      </c>
      <c r="I3029" s="11" t="str">
        <f aca="false">IF($A3029="","",IF($H3029="-","-",IF(AND(IF(원본명단!$H3028="",TRUE(),COUNTIF(원본명단!$H$3:$H3028,원본명단!$H3028)=1),IF(원본명단!$I3028="",TRUE(),COUNTIF(원본명단!$I$3:$I3028,원본명단!$I3028)=1),IF(원본명단!$K3028="",TRUE(),COUNTIF(원본명단!$K$3:$K3028,원본명단!$K3028)=1)),"첫 건","중복 건")))</f>
        <v/>
      </c>
      <c r="J3029" s="11" t="str">
        <f aca="false">IF($A3029="","",IF($H3029="-","유지",IF($I3029="첫 건","유지","확인 필요")))</f>
        <v/>
      </c>
    </row>
    <row r="3030" customFormat="false" ht="15" hidden="false" customHeight="true" outlineLevel="0" collapsed="false">
      <c r="A3030" s="11" t="str">
        <f aca="false">IF(원본명단!$A3029="","",3027)</f>
        <v/>
      </c>
      <c r="B3030" s="12" t="str">
        <f aca="false">IF($A3030="","",원본명단!$A3029)</f>
        <v/>
      </c>
      <c r="C3030" s="12" t="str">
        <f aca="false">IF($A3030="","",원본명단!$B3029)</f>
        <v/>
      </c>
      <c r="D3030" s="12" t="str">
        <f aca="false">IF($A3030="","",원본명단!$D3029)</f>
        <v/>
      </c>
      <c r="E3030" s="11" t="str">
        <f aca="false">IF($A3030="","",IF(원본명단!$H3029="",0,COUNTIF(원본명단!$H$3:$H$6002,원본명단!$H3029)))</f>
        <v/>
      </c>
      <c r="F3030" s="11" t="str">
        <f aca="false">IF($A3030="","",IF(원본명단!$I3029="",0,COUNTIF(원본명단!$I$3:$I$6002,원본명단!$I3029)))</f>
        <v/>
      </c>
      <c r="G3030" s="11" t="str">
        <f aca="false">IF($A3030="","",IF(원본명단!$K3029="",0,COUNTIF(원본명단!$K$3:$K$6002,원본명단!$K3029)))</f>
        <v/>
      </c>
      <c r="H3030" s="11" t="str">
        <f aca="false">IF($A3030="","",IF(MAX($E3030,$F3030,$G3030)&gt;1,"중복","-"))</f>
        <v/>
      </c>
      <c r="I3030" s="11" t="str">
        <f aca="false">IF($A3030="","",IF($H3030="-","-",IF(AND(IF(원본명단!$H3029="",TRUE(),COUNTIF(원본명단!$H$3:$H3029,원본명단!$H3029)=1),IF(원본명단!$I3029="",TRUE(),COUNTIF(원본명단!$I$3:$I3029,원본명단!$I3029)=1),IF(원본명단!$K3029="",TRUE(),COUNTIF(원본명단!$K$3:$K3029,원본명단!$K3029)=1)),"첫 건","중복 건")))</f>
        <v/>
      </c>
      <c r="J3030" s="11" t="str">
        <f aca="false">IF($A3030="","",IF($H3030="-","유지",IF($I3030="첫 건","유지","확인 필요")))</f>
        <v/>
      </c>
    </row>
    <row r="3031" customFormat="false" ht="15" hidden="false" customHeight="true" outlineLevel="0" collapsed="false">
      <c r="A3031" s="11" t="str">
        <f aca="false">IF(원본명단!$A3030="","",3028)</f>
        <v/>
      </c>
      <c r="B3031" s="12" t="str">
        <f aca="false">IF($A3031="","",원본명단!$A3030)</f>
        <v/>
      </c>
      <c r="C3031" s="12" t="str">
        <f aca="false">IF($A3031="","",원본명단!$B3030)</f>
        <v/>
      </c>
      <c r="D3031" s="12" t="str">
        <f aca="false">IF($A3031="","",원본명단!$D3030)</f>
        <v/>
      </c>
      <c r="E3031" s="11" t="str">
        <f aca="false">IF($A3031="","",IF(원본명단!$H3030="",0,COUNTIF(원본명단!$H$3:$H$6002,원본명단!$H3030)))</f>
        <v/>
      </c>
      <c r="F3031" s="11" t="str">
        <f aca="false">IF($A3031="","",IF(원본명단!$I3030="",0,COUNTIF(원본명단!$I$3:$I$6002,원본명단!$I3030)))</f>
        <v/>
      </c>
      <c r="G3031" s="11" t="str">
        <f aca="false">IF($A3031="","",IF(원본명단!$K3030="",0,COUNTIF(원본명단!$K$3:$K$6002,원본명단!$K3030)))</f>
        <v/>
      </c>
      <c r="H3031" s="11" t="str">
        <f aca="false">IF($A3031="","",IF(MAX($E3031,$F3031,$G3031)&gt;1,"중복","-"))</f>
        <v/>
      </c>
      <c r="I3031" s="11" t="str">
        <f aca="false">IF($A3031="","",IF($H3031="-","-",IF(AND(IF(원본명단!$H3030="",TRUE(),COUNTIF(원본명단!$H$3:$H3030,원본명단!$H3030)=1),IF(원본명단!$I3030="",TRUE(),COUNTIF(원본명단!$I$3:$I3030,원본명단!$I3030)=1),IF(원본명단!$K3030="",TRUE(),COUNTIF(원본명단!$K$3:$K3030,원본명단!$K3030)=1)),"첫 건","중복 건")))</f>
        <v/>
      </c>
      <c r="J3031" s="11" t="str">
        <f aca="false">IF($A3031="","",IF($H3031="-","유지",IF($I3031="첫 건","유지","확인 필요")))</f>
        <v/>
      </c>
    </row>
    <row r="3032" customFormat="false" ht="15" hidden="false" customHeight="true" outlineLevel="0" collapsed="false">
      <c r="A3032" s="11" t="str">
        <f aca="false">IF(원본명단!$A3031="","",3029)</f>
        <v/>
      </c>
      <c r="B3032" s="12" t="str">
        <f aca="false">IF($A3032="","",원본명단!$A3031)</f>
        <v/>
      </c>
      <c r="C3032" s="12" t="str">
        <f aca="false">IF($A3032="","",원본명단!$B3031)</f>
        <v/>
      </c>
      <c r="D3032" s="12" t="str">
        <f aca="false">IF($A3032="","",원본명단!$D3031)</f>
        <v/>
      </c>
      <c r="E3032" s="11" t="str">
        <f aca="false">IF($A3032="","",IF(원본명단!$H3031="",0,COUNTIF(원본명단!$H$3:$H$6002,원본명단!$H3031)))</f>
        <v/>
      </c>
      <c r="F3032" s="11" t="str">
        <f aca="false">IF($A3032="","",IF(원본명단!$I3031="",0,COUNTIF(원본명단!$I$3:$I$6002,원본명단!$I3031)))</f>
        <v/>
      </c>
      <c r="G3032" s="11" t="str">
        <f aca="false">IF($A3032="","",IF(원본명단!$K3031="",0,COUNTIF(원본명단!$K$3:$K$6002,원본명단!$K3031)))</f>
        <v/>
      </c>
      <c r="H3032" s="11" t="str">
        <f aca="false">IF($A3032="","",IF(MAX($E3032,$F3032,$G3032)&gt;1,"중복","-"))</f>
        <v/>
      </c>
      <c r="I3032" s="11" t="str">
        <f aca="false">IF($A3032="","",IF($H3032="-","-",IF(AND(IF(원본명단!$H3031="",TRUE(),COUNTIF(원본명단!$H$3:$H3031,원본명단!$H3031)=1),IF(원본명단!$I3031="",TRUE(),COUNTIF(원본명단!$I$3:$I3031,원본명단!$I3031)=1),IF(원본명단!$K3031="",TRUE(),COUNTIF(원본명단!$K$3:$K3031,원본명단!$K3031)=1)),"첫 건","중복 건")))</f>
        <v/>
      </c>
      <c r="J3032" s="11" t="str">
        <f aca="false">IF($A3032="","",IF($H3032="-","유지",IF($I3032="첫 건","유지","확인 필요")))</f>
        <v/>
      </c>
    </row>
    <row r="3033" customFormat="false" ht="15" hidden="false" customHeight="true" outlineLevel="0" collapsed="false">
      <c r="A3033" s="11" t="str">
        <f aca="false">IF(원본명단!$A3032="","",3030)</f>
        <v/>
      </c>
      <c r="B3033" s="12" t="str">
        <f aca="false">IF($A3033="","",원본명단!$A3032)</f>
        <v/>
      </c>
      <c r="C3033" s="12" t="str">
        <f aca="false">IF($A3033="","",원본명단!$B3032)</f>
        <v/>
      </c>
      <c r="D3033" s="12" t="str">
        <f aca="false">IF($A3033="","",원본명단!$D3032)</f>
        <v/>
      </c>
      <c r="E3033" s="11" t="str">
        <f aca="false">IF($A3033="","",IF(원본명단!$H3032="",0,COUNTIF(원본명단!$H$3:$H$6002,원본명단!$H3032)))</f>
        <v/>
      </c>
      <c r="F3033" s="11" t="str">
        <f aca="false">IF($A3033="","",IF(원본명단!$I3032="",0,COUNTIF(원본명단!$I$3:$I$6002,원본명단!$I3032)))</f>
        <v/>
      </c>
      <c r="G3033" s="11" t="str">
        <f aca="false">IF($A3033="","",IF(원본명단!$K3032="",0,COUNTIF(원본명단!$K$3:$K$6002,원본명단!$K3032)))</f>
        <v/>
      </c>
      <c r="H3033" s="11" t="str">
        <f aca="false">IF($A3033="","",IF(MAX($E3033,$F3033,$G3033)&gt;1,"중복","-"))</f>
        <v/>
      </c>
      <c r="I3033" s="11" t="str">
        <f aca="false">IF($A3033="","",IF($H3033="-","-",IF(AND(IF(원본명단!$H3032="",TRUE(),COUNTIF(원본명단!$H$3:$H3032,원본명단!$H3032)=1),IF(원본명단!$I3032="",TRUE(),COUNTIF(원본명단!$I$3:$I3032,원본명단!$I3032)=1),IF(원본명단!$K3032="",TRUE(),COUNTIF(원본명단!$K$3:$K3032,원본명단!$K3032)=1)),"첫 건","중복 건")))</f>
        <v/>
      </c>
      <c r="J3033" s="11" t="str">
        <f aca="false">IF($A3033="","",IF($H3033="-","유지",IF($I3033="첫 건","유지","확인 필요")))</f>
        <v/>
      </c>
    </row>
    <row r="3034" customFormat="false" ht="15" hidden="false" customHeight="true" outlineLevel="0" collapsed="false">
      <c r="A3034" s="11" t="str">
        <f aca="false">IF(원본명단!$A3033="","",3031)</f>
        <v/>
      </c>
      <c r="B3034" s="12" t="str">
        <f aca="false">IF($A3034="","",원본명단!$A3033)</f>
        <v/>
      </c>
      <c r="C3034" s="12" t="str">
        <f aca="false">IF($A3034="","",원본명단!$B3033)</f>
        <v/>
      </c>
      <c r="D3034" s="12" t="str">
        <f aca="false">IF($A3034="","",원본명단!$D3033)</f>
        <v/>
      </c>
      <c r="E3034" s="11" t="str">
        <f aca="false">IF($A3034="","",IF(원본명단!$H3033="",0,COUNTIF(원본명단!$H$3:$H$6002,원본명단!$H3033)))</f>
        <v/>
      </c>
      <c r="F3034" s="11" t="str">
        <f aca="false">IF($A3034="","",IF(원본명단!$I3033="",0,COUNTIF(원본명단!$I$3:$I$6002,원본명단!$I3033)))</f>
        <v/>
      </c>
      <c r="G3034" s="11" t="str">
        <f aca="false">IF($A3034="","",IF(원본명단!$K3033="",0,COUNTIF(원본명단!$K$3:$K$6002,원본명단!$K3033)))</f>
        <v/>
      </c>
      <c r="H3034" s="11" t="str">
        <f aca="false">IF($A3034="","",IF(MAX($E3034,$F3034,$G3034)&gt;1,"중복","-"))</f>
        <v/>
      </c>
      <c r="I3034" s="11" t="str">
        <f aca="false">IF($A3034="","",IF($H3034="-","-",IF(AND(IF(원본명단!$H3033="",TRUE(),COUNTIF(원본명단!$H$3:$H3033,원본명단!$H3033)=1),IF(원본명단!$I3033="",TRUE(),COUNTIF(원본명단!$I$3:$I3033,원본명단!$I3033)=1),IF(원본명단!$K3033="",TRUE(),COUNTIF(원본명단!$K$3:$K3033,원본명단!$K3033)=1)),"첫 건","중복 건")))</f>
        <v/>
      </c>
      <c r="J3034" s="11" t="str">
        <f aca="false">IF($A3034="","",IF($H3034="-","유지",IF($I3034="첫 건","유지","확인 필요")))</f>
        <v/>
      </c>
    </row>
    <row r="3035" customFormat="false" ht="15" hidden="false" customHeight="true" outlineLevel="0" collapsed="false">
      <c r="A3035" s="11" t="str">
        <f aca="false">IF(원본명단!$A3034="","",3032)</f>
        <v/>
      </c>
      <c r="B3035" s="12" t="str">
        <f aca="false">IF($A3035="","",원본명단!$A3034)</f>
        <v/>
      </c>
      <c r="C3035" s="12" t="str">
        <f aca="false">IF($A3035="","",원본명단!$B3034)</f>
        <v/>
      </c>
      <c r="D3035" s="12" t="str">
        <f aca="false">IF($A3035="","",원본명단!$D3034)</f>
        <v/>
      </c>
      <c r="E3035" s="11" t="str">
        <f aca="false">IF($A3035="","",IF(원본명단!$H3034="",0,COUNTIF(원본명단!$H$3:$H$6002,원본명단!$H3034)))</f>
        <v/>
      </c>
      <c r="F3035" s="11" t="str">
        <f aca="false">IF($A3035="","",IF(원본명단!$I3034="",0,COUNTIF(원본명단!$I$3:$I$6002,원본명단!$I3034)))</f>
        <v/>
      </c>
      <c r="G3035" s="11" t="str">
        <f aca="false">IF($A3035="","",IF(원본명단!$K3034="",0,COUNTIF(원본명단!$K$3:$K$6002,원본명단!$K3034)))</f>
        <v/>
      </c>
      <c r="H3035" s="11" t="str">
        <f aca="false">IF($A3035="","",IF(MAX($E3035,$F3035,$G3035)&gt;1,"중복","-"))</f>
        <v/>
      </c>
      <c r="I3035" s="11" t="str">
        <f aca="false">IF($A3035="","",IF($H3035="-","-",IF(AND(IF(원본명단!$H3034="",TRUE(),COUNTIF(원본명단!$H$3:$H3034,원본명단!$H3034)=1),IF(원본명단!$I3034="",TRUE(),COUNTIF(원본명단!$I$3:$I3034,원본명단!$I3034)=1),IF(원본명단!$K3034="",TRUE(),COUNTIF(원본명단!$K$3:$K3034,원본명단!$K3034)=1)),"첫 건","중복 건")))</f>
        <v/>
      </c>
      <c r="J3035" s="11" t="str">
        <f aca="false">IF($A3035="","",IF($H3035="-","유지",IF($I3035="첫 건","유지","확인 필요")))</f>
        <v/>
      </c>
    </row>
    <row r="3036" customFormat="false" ht="15" hidden="false" customHeight="true" outlineLevel="0" collapsed="false">
      <c r="A3036" s="11" t="str">
        <f aca="false">IF(원본명단!$A3035="","",3033)</f>
        <v/>
      </c>
      <c r="B3036" s="12" t="str">
        <f aca="false">IF($A3036="","",원본명단!$A3035)</f>
        <v/>
      </c>
      <c r="C3036" s="12" t="str">
        <f aca="false">IF($A3036="","",원본명단!$B3035)</f>
        <v/>
      </c>
      <c r="D3036" s="12" t="str">
        <f aca="false">IF($A3036="","",원본명단!$D3035)</f>
        <v/>
      </c>
      <c r="E3036" s="11" t="str">
        <f aca="false">IF($A3036="","",IF(원본명단!$H3035="",0,COUNTIF(원본명단!$H$3:$H$6002,원본명단!$H3035)))</f>
        <v/>
      </c>
      <c r="F3036" s="11" t="str">
        <f aca="false">IF($A3036="","",IF(원본명단!$I3035="",0,COUNTIF(원본명단!$I$3:$I$6002,원본명단!$I3035)))</f>
        <v/>
      </c>
      <c r="G3036" s="11" t="str">
        <f aca="false">IF($A3036="","",IF(원본명단!$K3035="",0,COUNTIF(원본명단!$K$3:$K$6002,원본명단!$K3035)))</f>
        <v/>
      </c>
      <c r="H3036" s="11" t="str">
        <f aca="false">IF($A3036="","",IF(MAX($E3036,$F3036,$G3036)&gt;1,"중복","-"))</f>
        <v/>
      </c>
      <c r="I3036" s="11" t="str">
        <f aca="false">IF($A3036="","",IF($H3036="-","-",IF(AND(IF(원본명단!$H3035="",TRUE(),COUNTIF(원본명단!$H$3:$H3035,원본명단!$H3035)=1),IF(원본명단!$I3035="",TRUE(),COUNTIF(원본명단!$I$3:$I3035,원본명단!$I3035)=1),IF(원본명단!$K3035="",TRUE(),COUNTIF(원본명단!$K$3:$K3035,원본명단!$K3035)=1)),"첫 건","중복 건")))</f>
        <v/>
      </c>
      <c r="J3036" s="11" t="str">
        <f aca="false">IF($A3036="","",IF($H3036="-","유지",IF($I3036="첫 건","유지","확인 필요")))</f>
        <v/>
      </c>
    </row>
    <row r="3037" customFormat="false" ht="15" hidden="false" customHeight="true" outlineLevel="0" collapsed="false">
      <c r="A3037" s="11" t="str">
        <f aca="false">IF(원본명단!$A3036="","",3034)</f>
        <v/>
      </c>
      <c r="B3037" s="12" t="str">
        <f aca="false">IF($A3037="","",원본명단!$A3036)</f>
        <v/>
      </c>
      <c r="C3037" s="12" t="str">
        <f aca="false">IF($A3037="","",원본명단!$B3036)</f>
        <v/>
      </c>
      <c r="D3037" s="12" t="str">
        <f aca="false">IF($A3037="","",원본명단!$D3036)</f>
        <v/>
      </c>
      <c r="E3037" s="11" t="str">
        <f aca="false">IF($A3037="","",IF(원본명단!$H3036="",0,COUNTIF(원본명단!$H$3:$H$6002,원본명단!$H3036)))</f>
        <v/>
      </c>
      <c r="F3037" s="11" t="str">
        <f aca="false">IF($A3037="","",IF(원본명단!$I3036="",0,COUNTIF(원본명단!$I$3:$I$6002,원본명단!$I3036)))</f>
        <v/>
      </c>
      <c r="G3037" s="11" t="str">
        <f aca="false">IF($A3037="","",IF(원본명단!$K3036="",0,COUNTIF(원본명단!$K$3:$K$6002,원본명단!$K3036)))</f>
        <v/>
      </c>
      <c r="H3037" s="11" t="str">
        <f aca="false">IF($A3037="","",IF(MAX($E3037,$F3037,$G3037)&gt;1,"중복","-"))</f>
        <v/>
      </c>
      <c r="I3037" s="11" t="str">
        <f aca="false">IF($A3037="","",IF($H3037="-","-",IF(AND(IF(원본명단!$H3036="",TRUE(),COUNTIF(원본명단!$H$3:$H3036,원본명단!$H3036)=1),IF(원본명단!$I3036="",TRUE(),COUNTIF(원본명단!$I$3:$I3036,원본명단!$I3036)=1),IF(원본명단!$K3036="",TRUE(),COUNTIF(원본명단!$K$3:$K3036,원본명단!$K3036)=1)),"첫 건","중복 건")))</f>
        <v/>
      </c>
      <c r="J3037" s="11" t="str">
        <f aca="false">IF($A3037="","",IF($H3037="-","유지",IF($I3037="첫 건","유지","확인 필요")))</f>
        <v/>
      </c>
    </row>
    <row r="3038" customFormat="false" ht="15" hidden="false" customHeight="true" outlineLevel="0" collapsed="false">
      <c r="A3038" s="11" t="str">
        <f aca="false">IF(원본명단!$A3037="","",3035)</f>
        <v/>
      </c>
      <c r="B3038" s="12" t="str">
        <f aca="false">IF($A3038="","",원본명단!$A3037)</f>
        <v/>
      </c>
      <c r="C3038" s="12" t="str">
        <f aca="false">IF($A3038="","",원본명단!$B3037)</f>
        <v/>
      </c>
      <c r="D3038" s="12" t="str">
        <f aca="false">IF($A3038="","",원본명단!$D3037)</f>
        <v/>
      </c>
      <c r="E3038" s="11" t="str">
        <f aca="false">IF($A3038="","",IF(원본명단!$H3037="",0,COUNTIF(원본명단!$H$3:$H$6002,원본명단!$H3037)))</f>
        <v/>
      </c>
      <c r="F3038" s="11" t="str">
        <f aca="false">IF($A3038="","",IF(원본명단!$I3037="",0,COUNTIF(원본명단!$I$3:$I$6002,원본명단!$I3037)))</f>
        <v/>
      </c>
      <c r="G3038" s="11" t="str">
        <f aca="false">IF($A3038="","",IF(원본명단!$K3037="",0,COUNTIF(원본명단!$K$3:$K$6002,원본명단!$K3037)))</f>
        <v/>
      </c>
      <c r="H3038" s="11" t="str">
        <f aca="false">IF($A3038="","",IF(MAX($E3038,$F3038,$G3038)&gt;1,"중복","-"))</f>
        <v/>
      </c>
      <c r="I3038" s="11" t="str">
        <f aca="false">IF($A3038="","",IF($H3038="-","-",IF(AND(IF(원본명단!$H3037="",TRUE(),COUNTIF(원본명단!$H$3:$H3037,원본명단!$H3037)=1),IF(원본명단!$I3037="",TRUE(),COUNTIF(원본명단!$I$3:$I3037,원본명단!$I3037)=1),IF(원본명단!$K3037="",TRUE(),COUNTIF(원본명단!$K$3:$K3037,원본명단!$K3037)=1)),"첫 건","중복 건")))</f>
        <v/>
      </c>
      <c r="J3038" s="11" t="str">
        <f aca="false">IF($A3038="","",IF($H3038="-","유지",IF($I3038="첫 건","유지","확인 필요")))</f>
        <v/>
      </c>
    </row>
    <row r="3039" customFormat="false" ht="15" hidden="false" customHeight="true" outlineLevel="0" collapsed="false">
      <c r="A3039" s="11" t="str">
        <f aca="false">IF(원본명단!$A3038="","",3036)</f>
        <v/>
      </c>
      <c r="B3039" s="12" t="str">
        <f aca="false">IF($A3039="","",원본명단!$A3038)</f>
        <v/>
      </c>
      <c r="C3039" s="12" t="str">
        <f aca="false">IF($A3039="","",원본명단!$B3038)</f>
        <v/>
      </c>
      <c r="D3039" s="12" t="str">
        <f aca="false">IF($A3039="","",원본명단!$D3038)</f>
        <v/>
      </c>
      <c r="E3039" s="11" t="str">
        <f aca="false">IF($A3039="","",IF(원본명단!$H3038="",0,COUNTIF(원본명단!$H$3:$H$6002,원본명단!$H3038)))</f>
        <v/>
      </c>
      <c r="F3039" s="11" t="str">
        <f aca="false">IF($A3039="","",IF(원본명단!$I3038="",0,COUNTIF(원본명단!$I$3:$I$6002,원본명단!$I3038)))</f>
        <v/>
      </c>
      <c r="G3039" s="11" t="str">
        <f aca="false">IF($A3039="","",IF(원본명단!$K3038="",0,COUNTIF(원본명단!$K$3:$K$6002,원본명단!$K3038)))</f>
        <v/>
      </c>
      <c r="H3039" s="11" t="str">
        <f aca="false">IF($A3039="","",IF(MAX($E3039,$F3039,$G3039)&gt;1,"중복","-"))</f>
        <v/>
      </c>
      <c r="I3039" s="11" t="str">
        <f aca="false">IF($A3039="","",IF($H3039="-","-",IF(AND(IF(원본명단!$H3038="",TRUE(),COUNTIF(원본명단!$H$3:$H3038,원본명단!$H3038)=1),IF(원본명단!$I3038="",TRUE(),COUNTIF(원본명단!$I$3:$I3038,원본명단!$I3038)=1),IF(원본명단!$K3038="",TRUE(),COUNTIF(원본명단!$K$3:$K3038,원본명단!$K3038)=1)),"첫 건","중복 건")))</f>
        <v/>
      </c>
      <c r="J3039" s="11" t="str">
        <f aca="false">IF($A3039="","",IF($H3039="-","유지",IF($I3039="첫 건","유지","확인 필요")))</f>
        <v/>
      </c>
    </row>
    <row r="3040" customFormat="false" ht="15" hidden="false" customHeight="true" outlineLevel="0" collapsed="false">
      <c r="A3040" s="11" t="str">
        <f aca="false">IF(원본명단!$A3039="","",3037)</f>
        <v/>
      </c>
      <c r="B3040" s="12" t="str">
        <f aca="false">IF($A3040="","",원본명단!$A3039)</f>
        <v/>
      </c>
      <c r="C3040" s="12" t="str">
        <f aca="false">IF($A3040="","",원본명단!$B3039)</f>
        <v/>
      </c>
      <c r="D3040" s="12" t="str">
        <f aca="false">IF($A3040="","",원본명단!$D3039)</f>
        <v/>
      </c>
      <c r="E3040" s="11" t="str">
        <f aca="false">IF($A3040="","",IF(원본명단!$H3039="",0,COUNTIF(원본명단!$H$3:$H$6002,원본명단!$H3039)))</f>
        <v/>
      </c>
      <c r="F3040" s="11" t="str">
        <f aca="false">IF($A3040="","",IF(원본명단!$I3039="",0,COUNTIF(원본명단!$I$3:$I$6002,원본명단!$I3039)))</f>
        <v/>
      </c>
      <c r="G3040" s="11" t="str">
        <f aca="false">IF($A3040="","",IF(원본명단!$K3039="",0,COUNTIF(원본명단!$K$3:$K$6002,원본명단!$K3039)))</f>
        <v/>
      </c>
      <c r="H3040" s="11" t="str">
        <f aca="false">IF($A3040="","",IF(MAX($E3040,$F3040,$G3040)&gt;1,"중복","-"))</f>
        <v/>
      </c>
      <c r="I3040" s="11" t="str">
        <f aca="false">IF($A3040="","",IF($H3040="-","-",IF(AND(IF(원본명단!$H3039="",TRUE(),COUNTIF(원본명단!$H$3:$H3039,원본명단!$H3039)=1),IF(원본명단!$I3039="",TRUE(),COUNTIF(원본명단!$I$3:$I3039,원본명단!$I3039)=1),IF(원본명단!$K3039="",TRUE(),COUNTIF(원본명단!$K$3:$K3039,원본명단!$K3039)=1)),"첫 건","중복 건")))</f>
        <v/>
      </c>
      <c r="J3040" s="11" t="str">
        <f aca="false">IF($A3040="","",IF($H3040="-","유지",IF($I3040="첫 건","유지","확인 필요")))</f>
        <v/>
      </c>
    </row>
    <row r="3041" customFormat="false" ht="15" hidden="false" customHeight="true" outlineLevel="0" collapsed="false">
      <c r="A3041" s="11" t="str">
        <f aca="false">IF(원본명단!$A3040="","",3038)</f>
        <v/>
      </c>
      <c r="B3041" s="12" t="str">
        <f aca="false">IF($A3041="","",원본명단!$A3040)</f>
        <v/>
      </c>
      <c r="C3041" s="12" t="str">
        <f aca="false">IF($A3041="","",원본명단!$B3040)</f>
        <v/>
      </c>
      <c r="D3041" s="12" t="str">
        <f aca="false">IF($A3041="","",원본명단!$D3040)</f>
        <v/>
      </c>
      <c r="E3041" s="11" t="str">
        <f aca="false">IF($A3041="","",IF(원본명단!$H3040="",0,COUNTIF(원본명단!$H$3:$H$6002,원본명단!$H3040)))</f>
        <v/>
      </c>
      <c r="F3041" s="11" t="str">
        <f aca="false">IF($A3041="","",IF(원본명단!$I3040="",0,COUNTIF(원본명단!$I$3:$I$6002,원본명단!$I3040)))</f>
        <v/>
      </c>
      <c r="G3041" s="11" t="str">
        <f aca="false">IF($A3041="","",IF(원본명단!$K3040="",0,COUNTIF(원본명단!$K$3:$K$6002,원본명단!$K3040)))</f>
        <v/>
      </c>
      <c r="H3041" s="11" t="str">
        <f aca="false">IF($A3041="","",IF(MAX($E3041,$F3041,$G3041)&gt;1,"중복","-"))</f>
        <v/>
      </c>
      <c r="I3041" s="11" t="str">
        <f aca="false">IF($A3041="","",IF($H3041="-","-",IF(AND(IF(원본명단!$H3040="",TRUE(),COUNTIF(원본명단!$H$3:$H3040,원본명단!$H3040)=1),IF(원본명단!$I3040="",TRUE(),COUNTIF(원본명단!$I$3:$I3040,원본명단!$I3040)=1),IF(원본명단!$K3040="",TRUE(),COUNTIF(원본명단!$K$3:$K3040,원본명단!$K3040)=1)),"첫 건","중복 건")))</f>
        <v/>
      </c>
      <c r="J3041" s="11" t="str">
        <f aca="false">IF($A3041="","",IF($H3041="-","유지",IF($I3041="첫 건","유지","확인 필요")))</f>
        <v/>
      </c>
    </row>
    <row r="3042" customFormat="false" ht="15" hidden="false" customHeight="true" outlineLevel="0" collapsed="false">
      <c r="A3042" s="11" t="str">
        <f aca="false">IF(원본명단!$A3041="","",3039)</f>
        <v/>
      </c>
      <c r="B3042" s="12" t="str">
        <f aca="false">IF($A3042="","",원본명단!$A3041)</f>
        <v/>
      </c>
      <c r="C3042" s="12" t="str">
        <f aca="false">IF($A3042="","",원본명단!$B3041)</f>
        <v/>
      </c>
      <c r="D3042" s="12" t="str">
        <f aca="false">IF($A3042="","",원본명단!$D3041)</f>
        <v/>
      </c>
      <c r="E3042" s="11" t="str">
        <f aca="false">IF($A3042="","",IF(원본명단!$H3041="",0,COUNTIF(원본명단!$H$3:$H$6002,원본명단!$H3041)))</f>
        <v/>
      </c>
      <c r="F3042" s="11" t="str">
        <f aca="false">IF($A3042="","",IF(원본명단!$I3041="",0,COUNTIF(원본명단!$I$3:$I$6002,원본명단!$I3041)))</f>
        <v/>
      </c>
      <c r="G3042" s="11" t="str">
        <f aca="false">IF($A3042="","",IF(원본명단!$K3041="",0,COUNTIF(원본명단!$K$3:$K$6002,원본명단!$K3041)))</f>
        <v/>
      </c>
      <c r="H3042" s="11" t="str">
        <f aca="false">IF($A3042="","",IF(MAX($E3042,$F3042,$G3042)&gt;1,"중복","-"))</f>
        <v/>
      </c>
      <c r="I3042" s="11" t="str">
        <f aca="false">IF($A3042="","",IF($H3042="-","-",IF(AND(IF(원본명단!$H3041="",TRUE(),COUNTIF(원본명단!$H$3:$H3041,원본명단!$H3041)=1),IF(원본명단!$I3041="",TRUE(),COUNTIF(원본명단!$I$3:$I3041,원본명단!$I3041)=1),IF(원본명단!$K3041="",TRUE(),COUNTIF(원본명단!$K$3:$K3041,원본명단!$K3041)=1)),"첫 건","중복 건")))</f>
        <v/>
      </c>
      <c r="J3042" s="11" t="str">
        <f aca="false">IF($A3042="","",IF($H3042="-","유지",IF($I3042="첫 건","유지","확인 필요")))</f>
        <v/>
      </c>
    </row>
    <row r="3043" customFormat="false" ht="15" hidden="false" customHeight="true" outlineLevel="0" collapsed="false">
      <c r="A3043" s="11" t="str">
        <f aca="false">IF(원본명단!$A3042="","",3040)</f>
        <v/>
      </c>
      <c r="B3043" s="12" t="str">
        <f aca="false">IF($A3043="","",원본명단!$A3042)</f>
        <v/>
      </c>
      <c r="C3043" s="12" t="str">
        <f aca="false">IF($A3043="","",원본명단!$B3042)</f>
        <v/>
      </c>
      <c r="D3043" s="12" t="str">
        <f aca="false">IF($A3043="","",원본명단!$D3042)</f>
        <v/>
      </c>
      <c r="E3043" s="11" t="str">
        <f aca="false">IF($A3043="","",IF(원본명단!$H3042="",0,COUNTIF(원본명단!$H$3:$H$6002,원본명단!$H3042)))</f>
        <v/>
      </c>
      <c r="F3043" s="11" t="str">
        <f aca="false">IF($A3043="","",IF(원본명단!$I3042="",0,COUNTIF(원본명단!$I$3:$I$6002,원본명단!$I3042)))</f>
        <v/>
      </c>
      <c r="G3043" s="11" t="str">
        <f aca="false">IF($A3043="","",IF(원본명단!$K3042="",0,COUNTIF(원본명단!$K$3:$K$6002,원본명단!$K3042)))</f>
        <v/>
      </c>
      <c r="H3043" s="11" t="str">
        <f aca="false">IF($A3043="","",IF(MAX($E3043,$F3043,$G3043)&gt;1,"중복","-"))</f>
        <v/>
      </c>
      <c r="I3043" s="11" t="str">
        <f aca="false">IF($A3043="","",IF($H3043="-","-",IF(AND(IF(원본명단!$H3042="",TRUE(),COUNTIF(원본명단!$H$3:$H3042,원본명단!$H3042)=1),IF(원본명단!$I3042="",TRUE(),COUNTIF(원본명단!$I$3:$I3042,원본명단!$I3042)=1),IF(원본명단!$K3042="",TRUE(),COUNTIF(원본명단!$K$3:$K3042,원본명단!$K3042)=1)),"첫 건","중복 건")))</f>
        <v/>
      </c>
      <c r="J3043" s="11" t="str">
        <f aca="false">IF($A3043="","",IF($H3043="-","유지",IF($I3043="첫 건","유지","확인 필요")))</f>
        <v/>
      </c>
    </row>
    <row r="3044" customFormat="false" ht="15" hidden="false" customHeight="true" outlineLevel="0" collapsed="false">
      <c r="A3044" s="11" t="str">
        <f aca="false">IF(원본명단!$A3043="","",3041)</f>
        <v/>
      </c>
      <c r="B3044" s="12" t="str">
        <f aca="false">IF($A3044="","",원본명단!$A3043)</f>
        <v/>
      </c>
      <c r="C3044" s="12" t="str">
        <f aca="false">IF($A3044="","",원본명단!$B3043)</f>
        <v/>
      </c>
      <c r="D3044" s="12" t="str">
        <f aca="false">IF($A3044="","",원본명단!$D3043)</f>
        <v/>
      </c>
      <c r="E3044" s="11" t="str">
        <f aca="false">IF($A3044="","",IF(원본명단!$H3043="",0,COUNTIF(원본명단!$H$3:$H$6002,원본명단!$H3043)))</f>
        <v/>
      </c>
      <c r="F3044" s="11" t="str">
        <f aca="false">IF($A3044="","",IF(원본명단!$I3043="",0,COUNTIF(원본명단!$I$3:$I$6002,원본명단!$I3043)))</f>
        <v/>
      </c>
      <c r="G3044" s="11" t="str">
        <f aca="false">IF($A3044="","",IF(원본명단!$K3043="",0,COUNTIF(원본명단!$K$3:$K$6002,원본명단!$K3043)))</f>
        <v/>
      </c>
      <c r="H3044" s="11" t="str">
        <f aca="false">IF($A3044="","",IF(MAX($E3044,$F3044,$G3044)&gt;1,"중복","-"))</f>
        <v/>
      </c>
      <c r="I3044" s="11" t="str">
        <f aca="false">IF($A3044="","",IF($H3044="-","-",IF(AND(IF(원본명단!$H3043="",TRUE(),COUNTIF(원본명단!$H$3:$H3043,원본명단!$H3043)=1),IF(원본명단!$I3043="",TRUE(),COUNTIF(원본명단!$I$3:$I3043,원본명단!$I3043)=1),IF(원본명단!$K3043="",TRUE(),COUNTIF(원본명단!$K$3:$K3043,원본명단!$K3043)=1)),"첫 건","중복 건")))</f>
        <v/>
      </c>
      <c r="J3044" s="11" t="str">
        <f aca="false">IF($A3044="","",IF($H3044="-","유지",IF($I3044="첫 건","유지","확인 필요")))</f>
        <v/>
      </c>
    </row>
    <row r="3045" customFormat="false" ht="15" hidden="false" customHeight="true" outlineLevel="0" collapsed="false">
      <c r="A3045" s="11" t="str">
        <f aca="false">IF(원본명단!$A3044="","",3042)</f>
        <v/>
      </c>
      <c r="B3045" s="12" t="str">
        <f aca="false">IF($A3045="","",원본명단!$A3044)</f>
        <v/>
      </c>
      <c r="C3045" s="12" t="str">
        <f aca="false">IF($A3045="","",원본명단!$B3044)</f>
        <v/>
      </c>
      <c r="D3045" s="12" t="str">
        <f aca="false">IF($A3045="","",원본명단!$D3044)</f>
        <v/>
      </c>
      <c r="E3045" s="11" t="str">
        <f aca="false">IF($A3045="","",IF(원본명단!$H3044="",0,COUNTIF(원본명단!$H$3:$H$6002,원본명단!$H3044)))</f>
        <v/>
      </c>
      <c r="F3045" s="11" t="str">
        <f aca="false">IF($A3045="","",IF(원본명단!$I3044="",0,COUNTIF(원본명단!$I$3:$I$6002,원본명단!$I3044)))</f>
        <v/>
      </c>
      <c r="G3045" s="11" t="str">
        <f aca="false">IF($A3045="","",IF(원본명단!$K3044="",0,COUNTIF(원본명단!$K$3:$K$6002,원본명단!$K3044)))</f>
        <v/>
      </c>
      <c r="H3045" s="11" t="str">
        <f aca="false">IF($A3045="","",IF(MAX($E3045,$F3045,$G3045)&gt;1,"중복","-"))</f>
        <v/>
      </c>
      <c r="I3045" s="11" t="str">
        <f aca="false">IF($A3045="","",IF($H3045="-","-",IF(AND(IF(원본명단!$H3044="",TRUE(),COUNTIF(원본명단!$H$3:$H3044,원본명단!$H3044)=1),IF(원본명단!$I3044="",TRUE(),COUNTIF(원본명단!$I$3:$I3044,원본명단!$I3044)=1),IF(원본명단!$K3044="",TRUE(),COUNTIF(원본명단!$K$3:$K3044,원본명단!$K3044)=1)),"첫 건","중복 건")))</f>
        <v/>
      </c>
      <c r="J3045" s="11" t="str">
        <f aca="false">IF($A3045="","",IF($H3045="-","유지",IF($I3045="첫 건","유지","확인 필요")))</f>
        <v/>
      </c>
    </row>
    <row r="3046" customFormat="false" ht="15" hidden="false" customHeight="true" outlineLevel="0" collapsed="false">
      <c r="A3046" s="11" t="str">
        <f aca="false">IF(원본명단!$A3045="","",3043)</f>
        <v/>
      </c>
      <c r="B3046" s="12" t="str">
        <f aca="false">IF($A3046="","",원본명단!$A3045)</f>
        <v/>
      </c>
      <c r="C3046" s="12" t="str">
        <f aca="false">IF($A3046="","",원본명단!$B3045)</f>
        <v/>
      </c>
      <c r="D3046" s="12" t="str">
        <f aca="false">IF($A3046="","",원본명단!$D3045)</f>
        <v/>
      </c>
      <c r="E3046" s="11" t="str">
        <f aca="false">IF($A3046="","",IF(원본명단!$H3045="",0,COUNTIF(원본명단!$H$3:$H$6002,원본명단!$H3045)))</f>
        <v/>
      </c>
      <c r="F3046" s="11" t="str">
        <f aca="false">IF($A3046="","",IF(원본명단!$I3045="",0,COUNTIF(원본명단!$I$3:$I$6002,원본명단!$I3045)))</f>
        <v/>
      </c>
      <c r="G3046" s="11" t="str">
        <f aca="false">IF($A3046="","",IF(원본명단!$K3045="",0,COUNTIF(원본명단!$K$3:$K$6002,원본명단!$K3045)))</f>
        <v/>
      </c>
      <c r="H3046" s="11" t="str">
        <f aca="false">IF($A3046="","",IF(MAX($E3046,$F3046,$G3046)&gt;1,"중복","-"))</f>
        <v/>
      </c>
      <c r="I3046" s="11" t="str">
        <f aca="false">IF($A3046="","",IF($H3046="-","-",IF(AND(IF(원본명단!$H3045="",TRUE(),COUNTIF(원본명단!$H$3:$H3045,원본명단!$H3045)=1),IF(원본명단!$I3045="",TRUE(),COUNTIF(원본명단!$I$3:$I3045,원본명단!$I3045)=1),IF(원본명단!$K3045="",TRUE(),COUNTIF(원본명단!$K$3:$K3045,원본명단!$K3045)=1)),"첫 건","중복 건")))</f>
        <v/>
      </c>
      <c r="J3046" s="11" t="str">
        <f aca="false">IF($A3046="","",IF($H3046="-","유지",IF($I3046="첫 건","유지","확인 필요")))</f>
        <v/>
      </c>
    </row>
    <row r="3047" customFormat="false" ht="15" hidden="false" customHeight="true" outlineLevel="0" collapsed="false">
      <c r="A3047" s="11" t="str">
        <f aca="false">IF(원본명단!$A3046="","",3044)</f>
        <v/>
      </c>
      <c r="B3047" s="12" t="str">
        <f aca="false">IF($A3047="","",원본명단!$A3046)</f>
        <v/>
      </c>
      <c r="C3047" s="12" t="str">
        <f aca="false">IF($A3047="","",원본명단!$B3046)</f>
        <v/>
      </c>
      <c r="D3047" s="12" t="str">
        <f aca="false">IF($A3047="","",원본명단!$D3046)</f>
        <v/>
      </c>
      <c r="E3047" s="11" t="str">
        <f aca="false">IF($A3047="","",IF(원본명단!$H3046="",0,COUNTIF(원본명단!$H$3:$H$6002,원본명단!$H3046)))</f>
        <v/>
      </c>
      <c r="F3047" s="11" t="str">
        <f aca="false">IF($A3047="","",IF(원본명단!$I3046="",0,COUNTIF(원본명단!$I$3:$I$6002,원본명단!$I3046)))</f>
        <v/>
      </c>
      <c r="G3047" s="11" t="str">
        <f aca="false">IF($A3047="","",IF(원본명단!$K3046="",0,COUNTIF(원본명단!$K$3:$K$6002,원본명단!$K3046)))</f>
        <v/>
      </c>
      <c r="H3047" s="11" t="str">
        <f aca="false">IF($A3047="","",IF(MAX($E3047,$F3047,$G3047)&gt;1,"중복","-"))</f>
        <v/>
      </c>
      <c r="I3047" s="11" t="str">
        <f aca="false">IF($A3047="","",IF($H3047="-","-",IF(AND(IF(원본명단!$H3046="",TRUE(),COUNTIF(원본명단!$H$3:$H3046,원본명단!$H3046)=1),IF(원본명단!$I3046="",TRUE(),COUNTIF(원본명단!$I$3:$I3046,원본명단!$I3046)=1),IF(원본명단!$K3046="",TRUE(),COUNTIF(원본명단!$K$3:$K3046,원본명단!$K3046)=1)),"첫 건","중복 건")))</f>
        <v/>
      </c>
      <c r="J3047" s="11" t="str">
        <f aca="false">IF($A3047="","",IF($H3047="-","유지",IF($I3047="첫 건","유지","확인 필요")))</f>
        <v/>
      </c>
    </row>
    <row r="3048" customFormat="false" ht="15" hidden="false" customHeight="true" outlineLevel="0" collapsed="false">
      <c r="A3048" s="11" t="str">
        <f aca="false">IF(원본명단!$A3047="","",3045)</f>
        <v/>
      </c>
      <c r="B3048" s="12" t="str">
        <f aca="false">IF($A3048="","",원본명단!$A3047)</f>
        <v/>
      </c>
      <c r="C3048" s="12" t="str">
        <f aca="false">IF($A3048="","",원본명단!$B3047)</f>
        <v/>
      </c>
      <c r="D3048" s="12" t="str">
        <f aca="false">IF($A3048="","",원본명단!$D3047)</f>
        <v/>
      </c>
      <c r="E3048" s="11" t="str">
        <f aca="false">IF($A3048="","",IF(원본명단!$H3047="",0,COUNTIF(원본명단!$H$3:$H$6002,원본명단!$H3047)))</f>
        <v/>
      </c>
      <c r="F3048" s="11" t="str">
        <f aca="false">IF($A3048="","",IF(원본명단!$I3047="",0,COUNTIF(원본명단!$I$3:$I$6002,원본명단!$I3047)))</f>
        <v/>
      </c>
      <c r="G3048" s="11" t="str">
        <f aca="false">IF($A3048="","",IF(원본명단!$K3047="",0,COUNTIF(원본명단!$K$3:$K$6002,원본명단!$K3047)))</f>
        <v/>
      </c>
      <c r="H3048" s="11" t="str">
        <f aca="false">IF($A3048="","",IF(MAX($E3048,$F3048,$G3048)&gt;1,"중복","-"))</f>
        <v/>
      </c>
      <c r="I3048" s="11" t="str">
        <f aca="false">IF($A3048="","",IF($H3048="-","-",IF(AND(IF(원본명단!$H3047="",TRUE(),COUNTIF(원본명단!$H$3:$H3047,원본명단!$H3047)=1),IF(원본명단!$I3047="",TRUE(),COUNTIF(원본명단!$I$3:$I3047,원본명단!$I3047)=1),IF(원본명단!$K3047="",TRUE(),COUNTIF(원본명단!$K$3:$K3047,원본명단!$K3047)=1)),"첫 건","중복 건")))</f>
        <v/>
      </c>
      <c r="J3048" s="11" t="str">
        <f aca="false">IF($A3048="","",IF($H3048="-","유지",IF($I3048="첫 건","유지","확인 필요")))</f>
        <v/>
      </c>
    </row>
    <row r="3049" customFormat="false" ht="15" hidden="false" customHeight="true" outlineLevel="0" collapsed="false">
      <c r="A3049" s="11" t="str">
        <f aca="false">IF(원본명단!$A3048="","",3046)</f>
        <v/>
      </c>
      <c r="B3049" s="12" t="str">
        <f aca="false">IF($A3049="","",원본명단!$A3048)</f>
        <v/>
      </c>
      <c r="C3049" s="12" t="str">
        <f aca="false">IF($A3049="","",원본명단!$B3048)</f>
        <v/>
      </c>
      <c r="D3049" s="12" t="str">
        <f aca="false">IF($A3049="","",원본명단!$D3048)</f>
        <v/>
      </c>
      <c r="E3049" s="11" t="str">
        <f aca="false">IF($A3049="","",IF(원본명단!$H3048="",0,COUNTIF(원본명단!$H$3:$H$6002,원본명단!$H3048)))</f>
        <v/>
      </c>
      <c r="F3049" s="11" t="str">
        <f aca="false">IF($A3049="","",IF(원본명단!$I3048="",0,COUNTIF(원본명단!$I$3:$I$6002,원본명단!$I3048)))</f>
        <v/>
      </c>
      <c r="G3049" s="11" t="str">
        <f aca="false">IF($A3049="","",IF(원본명단!$K3048="",0,COUNTIF(원본명단!$K$3:$K$6002,원본명단!$K3048)))</f>
        <v/>
      </c>
      <c r="H3049" s="11" t="str">
        <f aca="false">IF($A3049="","",IF(MAX($E3049,$F3049,$G3049)&gt;1,"중복","-"))</f>
        <v/>
      </c>
      <c r="I3049" s="11" t="str">
        <f aca="false">IF($A3049="","",IF($H3049="-","-",IF(AND(IF(원본명단!$H3048="",TRUE(),COUNTIF(원본명단!$H$3:$H3048,원본명단!$H3048)=1),IF(원본명단!$I3048="",TRUE(),COUNTIF(원본명단!$I$3:$I3048,원본명단!$I3048)=1),IF(원본명단!$K3048="",TRUE(),COUNTIF(원본명단!$K$3:$K3048,원본명단!$K3048)=1)),"첫 건","중복 건")))</f>
        <v/>
      </c>
      <c r="J3049" s="11" t="str">
        <f aca="false">IF($A3049="","",IF($H3049="-","유지",IF($I3049="첫 건","유지","확인 필요")))</f>
        <v/>
      </c>
    </row>
    <row r="3050" customFormat="false" ht="15" hidden="false" customHeight="true" outlineLevel="0" collapsed="false">
      <c r="A3050" s="11" t="str">
        <f aca="false">IF(원본명단!$A3049="","",3047)</f>
        <v/>
      </c>
      <c r="B3050" s="12" t="str">
        <f aca="false">IF($A3050="","",원본명단!$A3049)</f>
        <v/>
      </c>
      <c r="C3050" s="12" t="str">
        <f aca="false">IF($A3050="","",원본명단!$B3049)</f>
        <v/>
      </c>
      <c r="D3050" s="12" t="str">
        <f aca="false">IF($A3050="","",원본명단!$D3049)</f>
        <v/>
      </c>
      <c r="E3050" s="11" t="str">
        <f aca="false">IF($A3050="","",IF(원본명단!$H3049="",0,COUNTIF(원본명단!$H$3:$H$6002,원본명단!$H3049)))</f>
        <v/>
      </c>
      <c r="F3050" s="11" t="str">
        <f aca="false">IF($A3050="","",IF(원본명단!$I3049="",0,COUNTIF(원본명단!$I$3:$I$6002,원본명단!$I3049)))</f>
        <v/>
      </c>
      <c r="G3050" s="11" t="str">
        <f aca="false">IF($A3050="","",IF(원본명단!$K3049="",0,COUNTIF(원본명단!$K$3:$K$6002,원본명단!$K3049)))</f>
        <v/>
      </c>
      <c r="H3050" s="11" t="str">
        <f aca="false">IF($A3050="","",IF(MAX($E3050,$F3050,$G3050)&gt;1,"중복","-"))</f>
        <v/>
      </c>
      <c r="I3050" s="11" t="str">
        <f aca="false">IF($A3050="","",IF($H3050="-","-",IF(AND(IF(원본명단!$H3049="",TRUE(),COUNTIF(원본명단!$H$3:$H3049,원본명단!$H3049)=1),IF(원본명단!$I3049="",TRUE(),COUNTIF(원본명단!$I$3:$I3049,원본명단!$I3049)=1),IF(원본명단!$K3049="",TRUE(),COUNTIF(원본명단!$K$3:$K3049,원본명단!$K3049)=1)),"첫 건","중복 건")))</f>
        <v/>
      </c>
      <c r="J3050" s="11" t="str">
        <f aca="false">IF($A3050="","",IF($H3050="-","유지",IF($I3050="첫 건","유지","확인 필요")))</f>
        <v/>
      </c>
    </row>
    <row r="3051" customFormat="false" ht="15" hidden="false" customHeight="true" outlineLevel="0" collapsed="false">
      <c r="A3051" s="11" t="str">
        <f aca="false">IF(원본명단!$A3050="","",3048)</f>
        <v/>
      </c>
      <c r="B3051" s="12" t="str">
        <f aca="false">IF($A3051="","",원본명단!$A3050)</f>
        <v/>
      </c>
      <c r="C3051" s="12" t="str">
        <f aca="false">IF($A3051="","",원본명단!$B3050)</f>
        <v/>
      </c>
      <c r="D3051" s="12" t="str">
        <f aca="false">IF($A3051="","",원본명단!$D3050)</f>
        <v/>
      </c>
      <c r="E3051" s="11" t="str">
        <f aca="false">IF($A3051="","",IF(원본명단!$H3050="",0,COUNTIF(원본명단!$H$3:$H$6002,원본명단!$H3050)))</f>
        <v/>
      </c>
      <c r="F3051" s="11" t="str">
        <f aca="false">IF($A3051="","",IF(원본명단!$I3050="",0,COUNTIF(원본명단!$I$3:$I$6002,원본명단!$I3050)))</f>
        <v/>
      </c>
      <c r="G3051" s="11" t="str">
        <f aca="false">IF($A3051="","",IF(원본명단!$K3050="",0,COUNTIF(원본명단!$K$3:$K$6002,원본명단!$K3050)))</f>
        <v/>
      </c>
      <c r="H3051" s="11" t="str">
        <f aca="false">IF($A3051="","",IF(MAX($E3051,$F3051,$G3051)&gt;1,"중복","-"))</f>
        <v/>
      </c>
      <c r="I3051" s="11" t="str">
        <f aca="false">IF($A3051="","",IF($H3051="-","-",IF(AND(IF(원본명단!$H3050="",TRUE(),COUNTIF(원본명단!$H$3:$H3050,원본명단!$H3050)=1),IF(원본명단!$I3050="",TRUE(),COUNTIF(원본명단!$I$3:$I3050,원본명단!$I3050)=1),IF(원본명단!$K3050="",TRUE(),COUNTIF(원본명단!$K$3:$K3050,원본명단!$K3050)=1)),"첫 건","중복 건")))</f>
        <v/>
      </c>
      <c r="J3051" s="11" t="str">
        <f aca="false">IF($A3051="","",IF($H3051="-","유지",IF($I3051="첫 건","유지","확인 필요")))</f>
        <v/>
      </c>
    </row>
    <row r="3052" customFormat="false" ht="15" hidden="false" customHeight="true" outlineLevel="0" collapsed="false">
      <c r="A3052" s="11" t="str">
        <f aca="false">IF(원본명단!$A3051="","",3049)</f>
        <v/>
      </c>
      <c r="B3052" s="12" t="str">
        <f aca="false">IF($A3052="","",원본명단!$A3051)</f>
        <v/>
      </c>
      <c r="C3052" s="12" t="str">
        <f aca="false">IF($A3052="","",원본명단!$B3051)</f>
        <v/>
      </c>
      <c r="D3052" s="12" t="str">
        <f aca="false">IF($A3052="","",원본명단!$D3051)</f>
        <v/>
      </c>
      <c r="E3052" s="11" t="str">
        <f aca="false">IF($A3052="","",IF(원본명단!$H3051="",0,COUNTIF(원본명단!$H$3:$H$6002,원본명단!$H3051)))</f>
        <v/>
      </c>
      <c r="F3052" s="11" t="str">
        <f aca="false">IF($A3052="","",IF(원본명단!$I3051="",0,COUNTIF(원본명단!$I$3:$I$6002,원본명단!$I3051)))</f>
        <v/>
      </c>
      <c r="G3052" s="11" t="str">
        <f aca="false">IF($A3052="","",IF(원본명단!$K3051="",0,COUNTIF(원본명단!$K$3:$K$6002,원본명단!$K3051)))</f>
        <v/>
      </c>
      <c r="H3052" s="11" t="str">
        <f aca="false">IF($A3052="","",IF(MAX($E3052,$F3052,$G3052)&gt;1,"중복","-"))</f>
        <v/>
      </c>
      <c r="I3052" s="11" t="str">
        <f aca="false">IF($A3052="","",IF($H3052="-","-",IF(AND(IF(원본명단!$H3051="",TRUE(),COUNTIF(원본명단!$H$3:$H3051,원본명단!$H3051)=1),IF(원본명단!$I3051="",TRUE(),COUNTIF(원본명단!$I$3:$I3051,원본명단!$I3051)=1),IF(원본명단!$K3051="",TRUE(),COUNTIF(원본명단!$K$3:$K3051,원본명단!$K3051)=1)),"첫 건","중복 건")))</f>
        <v/>
      </c>
      <c r="J3052" s="11" t="str">
        <f aca="false">IF($A3052="","",IF($H3052="-","유지",IF($I3052="첫 건","유지","확인 필요")))</f>
        <v/>
      </c>
    </row>
    <row r="3053" customFormat="false" ht="15" hidden="false" customHeight="true" outlineLevel="0" collapsed="false">
      <c r="A3053" s="11" t="str">
        <f aca="false">IF(원본명단!$A3052="","",3050)</f>
        <v/>
      </c>
      <c r="B3053" s="12" t="str">
        <f aca="false">IF($A3053="","",원본명단!$A3052)</f>
        <v/>
      </c>
      <c r="C3053" s="12" t="str">
        <f aca="false">IF($A3053="","",원본명단!$B3052)</f>
        <v/>
      </c>
      <c r="D3053" s="12" t="str">
        <f aca="false">IF($A3053="","",원본명단!$D3052)</f>
        <v/>
      </c>
      <c r="E3053" s="11" t="str">
        <f aca="false">IF($A3053="","",IF(원본명단!$H3052="",0,COUNTIF(원본명단!$H$3:$H$6002,원본명단!$H3052)))</f>
        <v/>
      </c>
      <c r="F3053" s="11" t="str">
        <f aca="false">IF($A3053="","",IF(원본명단!$I3052="",0,COUNTIF(원본명단!$I$3:$I$6002,원본명단!$I3052)))</f>
        <v/>
      </c>
      <c r="G3053" s="11" t="str">
        <f aca="false">IF($A3053="","",IF(원본명단!$K3052="",0,COUNTIF(원본명단!$K$3:$K$6002,원본명단!$K3052)))</f>
        <v/>
      </c>
      <c r="H3053" s="11" t="str">
        <f aca="false">IF($A3053="","",IF(MAX($E3053,$F3053,$G3053)&gt;1,"중복","-"))</f>
        <v/>
      </c>
      <c r="I3053" s="11" t="str">
        <f aca="false">IF($A3053="","",IF($H3053="-","-",IF(AND(IF(원본명단!$H3052="",TRUE(),COUNTIF(원본명단!$H$3:$H3052,원본명단!$H3052)=1),IF(원본명단!$I3052="",TRUE(),COUNTIF(원본명단!$I$3:$I3052,원본명단!$I3052)=1),IF(원본명단!$K3052="",TRUE(),COUNTIF(원본명단!$K$3:$K3052,원본명단!$K3052)=1)),"첫 건","중복 건")))</f>
        <v/>
      </c>
      <c r="J3053" s="11" t="str">
        <f aca="false">IF($A3053="","",IF($H3053="-","유지",IF($I3053="첫 건","유지","확인 필요")))</f>
        <v/>
      </c>
    </row>
    <row r="3054" customFormat="false" ht="15" hidden="false" customHeight="true" outlineLevel="0" collapsed="false">
      <c r="A3054" s="11" t="str">
        <f aca="false">IF(원본명단!$A3053="","",3051)</f>
        <v/>
      </c>
      <c r="B3054" s="12" t="str">
        <f aca="false">IF($A3054="","",원본명단!$A3053)</f>
        <v/>
      </c>
      <c r="C3054" s="12" t="str">
        <f aca="false">IF($A3054="","",원본명단!$B3053)</f>
        <v/>
      </c>
      <c r="D3054" s="12" t="str">
        <f aca="false">IF($A3054="","",원본명단!$D3053)</f>
        <v/>
      </c>
      <c r="E3054" s="11" t="str">
        <f aca="false">IF($A3054="","",IF(원본명단!$H3053="",0,COUNTIF(원본명단!$H$3:$H$6002,원본명단!$H3053)))</f>
        <v/>
      </c>
      <c r="F3054" s="11" t="str">
        <f aca="false">IF($A3054="","",IF(원본명단!$I3053="",0,COUNTIF(원본명단!$I$3:$I$6002,원본명단!$I3053)))</f>
        <v/>
      </c>
      <c r="G3054" s="11" t="str">
        <f aca="false">IF($A3054="","",IF(원본명단!$K3053="",0,COUNTIF(원본명단!$K$3:$K$6002,원본명단!$K3053)))</f>
        <v/>
      </c>
      <c r="H3054" s="11" t="str">
        <f aca="false">IF($A3054="","",IF(MAX($E3054,$F3054,$G3054)&gt;1,"중복","-"))</f>
        <v/>
      </c>
      <c r="I3054" s="11" t="str">
        <f aca="false">IF($A3054="","",IF($H3054="-","-",IF(AND(IF(원본명단!$H3053="",TRUE(),COUNTIF(원본명단!$H$3:$H3053,원본명단!$H3053)=1),IF(원본명단!$I3053="",TRUE(),COUNTIF(원본명단!$I$3:$I3053,원본명단!$I3053)=1),IF(원본명단!$K3053="",TRUE(),COUNTIF(원본명단!$K$3:$K3053,원본명단!$K3053)=1)),"첫 건","중복 건")))</f>
        <v/>
      </c>
      <c r="J3054" s="11" t="str">
        <f aca="false">IF($A3054="","",IF($H3054="-","유지",IF($I3054="첫 건","유지","확인 필요")))</f>
        <v/>
      </c>
    </row>
    <row r="3055" customFormat="false" ht="15" hidden="false" customHeight="true" outlineLevel="0" collapsed="false">
      <c r="A3055" s="11" t="str">
        <f aca="false">IF(원본명단!$A3054="","",3052)</f>
        <v/>
      </c>
      <c r="B3055" s="12" t="str">
        <f aca="false">IF($A3055="","",원본명단!$A3054)</f>
        <v/>
      </c>
      <c r="C3055" s="12" t="str">
        <f aca="false">IF($A3055="","",원본명단!$B3054)</f>
        <v/>
      </c>
      <c r="D3055" s="12" t="str">
        <f aca="false">IF($A3055="","",원본명단!$D3054)</f>
        <v/>
      </c>
      <c r="E3055" s="11" t="str">
        <f aca="false">IF($A3055="","",IF(원본명단!$H3054="",0,COUNTIF(원본명단!$H$3:$H$6002,원본명단!$H3054)))</f>
        <v/>
      </c>
      <c r="F3055" s="11" t="str">
        <f aca="false">IF($A3055="","",IF(원본명단!$I3054="",0,COUNTIF(원본명단!$I$3:$I$6002,원본명단!$I3054)))</f>
        <v/>
      </c>
      <c r="G3055" s="11" t="str">
        <f aca="false">IF($A3055="","",IF(원본명단!$K3054="",0,COUNTIF(원본명단!$K$3:$K$6002,원본명단!$K3054)))</f>
        <v/>
      </c>
      <c r="H3055" s="11" t="str">
        <f aca="false">IF($A3055="","",IF(MAX($E3055,$F3055,$G3055)&gt;1,"중복","-"))</f>
        <v/>
      </c>
      <c r="I3055" s="11" t="str">
        <f aca="false">IF($A3055="","",IF($H3055="-","-",IF(AND(IF(원본명단!$H3054="",TRUE(),COUNTIF(원본명단!$H$3:$H3054,원본명단!$H3054)=1),IF(원본명단!$I3054="",TRUE(),COUNTIF(원본명단!$I$3:$I3054,원본명단!$I3054)=1),IF(원본명단!$K3054="",TRUE(),COUNTIF(원본명단!$K$3:$K3054,원본명단!$K3054)=1)),"첫 건","중복 건")))</f>
        <v/>
      </c>
      <c r="J3055" s="11" t="str">
        <f aca="false">IF($A3055="","",IF($H3055="-","유지",IF($I3055="첫 건","유지","확인 필요")))</f>
        <v/>
      </c>
    </row>
    <row r="3056" customFormat="false" ht="15" hidden="false" customHeight="true" outlineLevel="0" collapsed="false">
      <c r="A3056" s="11" t="str">
        <f aca="false">IF(원본명단!$A3055="","",3053)</f>
        <v/>
      </c>
      <c r="B3056" s="12" t="str">
        <f aca="false">IF($A3056="","",원본명단!$A3055)</f>
        <v/>
      </c>
      <c r="C3056" s="12" t="str">
        <f aca="false">IF($A3056="","",원본명단!$B3055)</f>
        <v/>
      </c>
      <c r="D3056" s="12" t="str">
        <f aca="false">IF($A3056="","",원본명단!$D3055)</f>
        <v/>
      </c>
      <c r="E3056" s="11" t="str">
        <f aca="false">IF($A3056="","",IF(원본명단!$H3055="",0,COUNTIF(원본명단!$H$3:$H$6002,원본명단!$H3055)))</f>
        <v/>
      </c>
      <c r="F3056" s="11" t="str">
        <f aca="false">IF($A3056="","",IF(원본명단!$I3055="",0,COUNTIF(원본명단!$I$3:$I$6002,원본명단!$I3055)))</f>
        <v/>
      </c>
      <c r="G3056" s="11" t="str">
        <f aca="false">IF($A3056="","",IF(원본명단!$K3055="",0,COUNTIF(원본명단!$K$3:$K$6002,원본명단!$K3055)))</f>
        <v/>
      </c>
      <c r="H3056" s="11" t="str">
        <f aca="false">IF($A3056="","",IF(MAX($E3056,$F3056,$G3056)&gt;1,"중복","-"))</f>
        <v/>
      </c>
      <c r="I3056" s="11" t="str">
        <f aca="false">IF($A3056="","",IF($H3056="-","-",IF(AND(IF(원본명단!$H3055="",TRUE(),COUNTIF(원본명단!$H$3:$H3055,원본명단!$H3055)=1),IF(원본명단!$I3055="",TRUE(),COUNTIF(원본명단!$I$3:$I3055,원본명단!$I3055)=1),IF(원본명단!$K3055="",TRUE(),COUNTIF(원본명단!$K$3:$K3055,원본명단!$K3055)=1)),"첫 건","중복 건")))</f>
        <v/>
      </c>
      <c r="J3056" s="11" t="str">
        <f aca="false">IF($A3056="","",IF($H3056="-","유지",IF($I3056="첫 건","유지","확인 필요")))</f>
        <v/>
      </c>
    </row>
    <row r="3057" customFormat="false" ht="15" hidden="false" customHeight="true" outlineLevel="0" collapsed="false">
      <c r="A3057" s="11" t="str">
        <f aca="false">IF(원본명단!$A3056="","",3054)</f>
        <v/>
      </c>
      <c r="B3057" s="12" t="str">
        <f aca="false">IF($A3057="","",원본명단!$A3056)</f>
        <v/>
      </c>
      <c r="C3057" s="12" t="str">
        <f aca="false">IF($A3057="","",원본명단!$B3056)</f>
        <v/>
      </c>
      <c r="D3057" s="12" t="str">
        <f aca="false">IF($A3057="","",원본명단!$D3056)</f>
        <v/>
      </c>
      <c r="E3057" s="11" t="str">
        <f aca="false">IF($A3057="","",IF(원본명단!$H3056="",0,COUNTIF(원본명단!$H$3:$H$6002,원본명단!$H3056)))</f>
        <v/>
      </c>
      <c r="F3057" s="11" t="str">
        <f aca="false">IF($A3057="","",IF(원본명단!$I3056="",0,COUNTIF(원본명단!$I$3:$I$6002,원본명단!$I3056)))</f>
        <v/>
      </c>
      <c r="G3057" s="11" t="str">
        <f aca="false">IF($A3057="","",IF(원본명단!$K3056="",0,COUNTIF(원본명단!$K$3:$K$6002,원본명단!$K3056)))</f>
        <v/>
      </c>
      <c r="H3057" s="11" t="str">
        <f aca="false">IF($A3057="","",IF(MAX($E3057,$F3057,$G3057)&gt;1,"중복","-"))</f>
        <v/>
      </c>
      <c r="I3057" s="11" t="str">
        <f aca="false">IF($A3057="","",IF($H3057="-","-",IF(AND(IF(원본명단!$H3056="",TRUE(),COUNTIF(원본명단!$H$3:$H3056,원본명단!$H3056)=1),IF(원본명단!$I3056="",TRUE(),COUNTIF(원본명단!$I$3:$I3056,원본명단!$I3056)=1),IF(원본명단!$K3056="",TRUE(),COUNTIF(원본명단!$K$3:$K3056,원본명단!$K3056)=1)),"첫 건","중복 건")))</f>
        <v/>
      </c>
      <c r="J3057" s="11" t="str">
        <f aca="false">IF($A3057="","",IF($H3057="-","유지",IF($I3057="첫 건","유지","확인 필요")))</f>
        <v/>
      </c>
    </row>
    <row r="3058" customFormat="false" ht="15" hidden="false" customHeight="true" outlineLevel="0" collapsed="false">
      <c r="A3058" s="11" t="str">
        <f aca="false">IF(원본명단!$A3057="","",3055)</f>
        <v/>
      </c>
      <c r="B3058" s="12" t="str">
        <f aca="false">IF($A3058="","",원본명단!$A3057)</f>
        <v/>
      </c>
      <c r="C3058" s="12" t="str">
        <f aca="false">IF($A3058="","",원본명단!$B3057)</f>
        <v/>
      </c>
      <c r="D3058" s="12" t="str">
        <f aca="false">IF($A3058="","",원본명단!$D3057)</f>
        <v/>
      </c>
      <c r="E3058" s="11" t="str">
        <f aca="false">IF($A3058="","",IF(원본명단!$H3057="",0,COUNTIF(원본명단!$H$3:$H$6002,원본명단!$H3057)))</f>
        <v/>
      </c>
      <c r="F3058" s="11" t="str">
        <f aca="false">IF($A3058="","",IF(원본명단!$I3057="",0,COUNTIF(원본명단!$I$3:$I$6002,원본명단!$I3057)))</f>
        <v/>
      </c>
      <c r="G3058" s="11" t="str">
        <f aca="false">IF($A3058="","",IF(원본명단!$K3057="",0,COUNTIF(원본명단!$K$3:$K$6002,원본명단!$K3057)))</f>
        <v/>
      </c>
      <c r="H3058" s="11" t="str">
        <f aca="false">IF($A3058="","",IF(MAX($E3058,$F3058,$G3058)&gt;1,"중복","-"))</f>
        <v/>
      </c>
      <c r="I3058" s="11" t="str">
        <f aca="false">IF($A3058="","",IF($H3058="-","-",IF(AND(IF(원본명단!$H3057="",TRUE(),COUNTIF(원본명단!$H$3:$H3057,원본명단!$H3057)=1),IF(원본명단!$I3057="",TRUE(),COUNTIF(원본명단!$I$3:$I3057,원본명단!$I3057)=1),IF(원본명단!$K3057="",TRUE(),COUNTIF(원본명단!$K$3:$K3057,원본명단!$K3057)=1)),"첫 건","중복 건")))</f>
        <v/>
      </c>
      <c r="J3058" s="11" t="str">
        <f aca="false">IF($A3058="","",IF($H3058="-","유지",IF($I3058="첫 건","유지","확인 필요")))</f>
        <v/>
      </c>
    </row>
    <row r="3059" customFormat="false" ht="15" hidden="false" customHeight="true" outlineLevel="0" collapsed="false">
      <c r="A3059" s="11" t="str">
        <f aca="false">IF(원본명단!$A3058="","",3056)</f>
        <v/>
      </c>
      <c r="B3059" s="12" t="str">
        <f aca="false">IF($A3059="","",원본명단!$A3058)</f>
        <v/>
      </c>
      <c r="C3059" s="12" t="str">
        <f aca="false">IF($A3059="","",원본명단!$B3058)</f>
        <v/>
      </c>
      <c r="D3059" s="12" t="str">
        <f aca="false">IF($A3059="","",원본명단!$D3058)</f>
        <v/>
      </c>
      <c r="E3059" s="11" t="str">
        <f aca="false">IF($A3059="","",IF(원본명단!$H3058="",0,COUNTIF(원본명단!$H$3:$H$6002,원본명단!$H3058)))</f>
        <v/>
      </c>
      <c r="F3059" s="11" t="str">
        <f aca="false">IF($A3059="","",IF(원본명단!$I3058="",0,COUNTIF(원본명단!$I$3:$I$6002,원본명단!$I3058)))</f>
        <v/>
      </c>
      <c r="G3059" s="11" t="str">
        <f aca="false">IF($A3059="","",IF(원본명단!$K3058="",0,COUNTIF(원본명단!$K$3:$K$6002,원본명단!$K3058)))</f>
        <v/>
      </c>
      <c r="H3059" s="11" t="str">
        <f aca="false">IF($A3059="","",IF(MAX($E3059,$F3059,$G3059)&gt;1,"중복","-"))</f>
        <v/>
      </c>
      <c r="I3059" s="11" t="str">
        <f aca="false">IF($A3059="","",IF($H3059="-","-",IF(AND(IF(원본명단!$H3058="",TRUE(),COUNTIF(원본명단!$H$3:$H3058,원본명단!$H3058)=1),IF(원본명단!$I3058="",TRUE(),COUNTIF(원본명단!$I$3:$I3058,원본명단!$I3058)=1),IF(원본명단!$K3058="",TRUE(),COUNTIF(원본명단!$K$3:$K3058,원본명단!$K3058)=1)),"첫 건","중복 건")))</f>
        <v/>
      </c>
      <c r="J3059" s="11" t="str">
        <f aca="false">IF($A3059="","",IF($H3059="-","유지",IF($I3059="첫 건","유지","확인 필요")))</f>
        <v/>
      </c>
    </row>
    <row r="3060" customFormat="false" ht="15" hidden="false" customHeight="true" outlineLevel="0" collapsed="false">
      <c r="A3060" s="11" t="str">
        <f aca="false">IF(원본명단!$A3059="","",3057)</f>
        <v/>
      </c>
      <c r="B3060" s="12" t="str">
        <f aca="false">IF($A3060="","",원본명단!$A3059)</f>
        <v/>
      </c>
      <c r="C3060" s="12" t="str">
        <f aca="false">IF($A3060="","",원본명단!$B3059)</f>
        <v/>
      </c>
      <c r="D3060" s="12" t="str">
        <f aca="false">IF($A3060="","",원본명단!$D3059)</f>
        <v/>
      </c>
      <c r="E3060" s="11" t="str">
        <f aca="false">IF($A3060="","",IF(원본명단!$H3059="",0,COUNTIF(원본명단!$H$3:$H$6002,원본명단!$H3059)))</f>
        <v/>
      </c>
      <c r="F3060" s="11" t="str">
        <f aca="false">IF($A3060="","",IF(원본명단!$I3059="",0,COUNTIF(원본명단!$I$3:$I$6002,원본명단!$I3059)))</f>
        <v/>
      </c>
      <c r="G3060" s="11" t="str">
        <f aca="false">IF($A3060="","",IF(원본명단!$K3059="",0,COUNTIF(원본명단!$K$3:$K$6002,원본명단!$K3059)))</f>
        <v/>
      </c>
      <c r="H3060" s="11" t="str">
        <f aca="false">IF($A3060="","",IF(MAX($E3060,$F3060,$G3060)&gt;1,"중복","-"))</f>
        <v/>
      </c>
      <c r="I3060" s="11" t="str">
        <f aca="false">IF($A3060="","",IF($H3060="-","-",IF(AND(IF(원본명단!$H3059="",TRUE(),COUNTIF(원본명단!$H$3:$H3059,원본명단!$H3059)=1),IF(원본명단!$I3059="",TRUE(),COUNTIF(원본명단!$I$3:$I3059,원본명단!$I3059)=1),IF(원본명단!$K3059="",TRUE(),COUNTIF(원본명단!$K$3:$K3059,원본명단!$K3059)=1)),"첫 건","중복 건")))</f>
        <v/>
      </c>
      <c r="J3060" s="11" t="str">
        <f aca="false">IF($A3060="","",IF($H3060="-","유지",IF($I3060="첫 건","유지","확인 필요")))</f>
        <v/>
      </c>
    </row>
    <row r="3061" customFormat="false" ht="15" hidden="false" customHeight="true" outlineLevel="0" collapsed="false">
      <c r="A3061" s="11" t="str">
        <f aca="false">IF(원본명단!$A3060="","",3058)</f>
        <v/>
      </c>
      <c r="B3061" s="12" t="str">
        <f aca="false">IF($A3061="","",원본명단!$A3060)</f>
        <v/>
      </c>
      <c r="C3061" s="12" t="str">
        <f aca="false">IF($A3061="","",원본명단!$B3060)</f>
        <v/>
      </c>
      <c r="D3061" s="12" t="str">
        <f aca="false">IF($A3061="","",원본명단!$D3060)</f>
        <v/>
      </c>
      <c r="E3061" s="11" t="str">
        <f aca="false">IF($A3061="","",IF(원본명단!$H3060="",0,COUNTIF(원본명단!$H$3:$H$6002,원본명단!$H3060)))</f>
        <v/>
      </c>
      <c r="F3061" s="11" t="str">
        <f aca="false">IF($A3061="","",IF(원본명단!$I3060="",0,COUNTIF(원본명단!$I$3:$I$6002,원본명단!$I3060)))</f>
        <v/>
      </c>
      <c r="G3061" s="11" t="str">
        <f aca="false">IF($A3061="","",IF(원본명단!$K3060="",0,COUNTIF(원본명단!$K$3:$K$6002,원본명단!$K3060)))</f>
        <v/>
      </c>
      <c r="H3061" s="11" t="str">
        <f aca="false">IF($A3061="","",IF(MAX($E3061,$F3061,$G3061)&gt;1,"중복","-"))</f>
        <v/>
      </c>
      <c r="I3061" s="11" t="str">
        <f aca="false">IF($A3061="","",IF($H3061="-","-",IF(AND(IF(원본명단!$H3060="",TRUE(),COUNTIF(원본명단!$H$3:$H3060,원본명단!$H3060)=1),IF(원본명단!$I3060="",TRUE(),COUNTIF(원본명단!$I$3:$I3060,원본명단!$I3060)=1),IF(원본명단!$K3060="",TRUE(),COUNTIF(원본명단!$K$3:$K3060,원본명단!$K3060)=1)),"첫 건","중복 건")))</f>
        <v/>
      </c>
      <c r="J3061" s="11" t="str">
        <f aca="false">IF($A3061="","",IF($H3061="-","유지",IF($I3061="첫 건","유지","확인 필요")))</f>
        <v/>
      </c>
    </row>
    <row r="3062" customFormat="false" ht="15" hidden="false" customHeight="true" outlineLevel="0" collapsed="false">
      <c r="A3062" s="11" t="str">
        <f aca="false">IF(원본명단!$A3061="","",3059)</f>
        <v/>
      </c>
      <c r="B3062" s="12" t="str">
        <f aca="false">IF($A3062="","",원본명단!$A3061)</f>
        <v/>
      </c>
      <c r="C3062" s="12" t="str">
        <f aca="false">IF($A3062="","",원본명단!$B3061)</f>
        <v/>
      </c>
      <c r="D3062" s="12" t="str">
        <f aca="false">IF($A3062="","",원본명단!$D3061)</f>
        <v/>
      </c>
      <c r="E3062" s="11" t="str">
        <f aca="false">IF($A3062="","",IF(원본명단!$H3061="",0,COUNTIF(원본명단!$H$3:$H$6002,원본명단!$H3061)))</f>
        <v/>
      </c>
      <c r="F3062" s="11" t="str">
        <f aca="false">IF($A3062="","",IF(원본명단!$I3061="",0,COUNTIF(원본명단!$I$3:$I$6002,원본명단!$I3061)))</f>
        <v/>
      </c>
      <c r="G3062" s="11" t="str">
        <f aca="false">IF($A3062="","",IF(원본명단!$K3061="",0,COUNTIF(원본명단!$K$3:$K$6002,원본명단!$K3061)))</f>
        <v/>
      </c>
      <c r="H3062" s="11" t="str">
        <f aca="false">IF($A3062="","",IF(MAX($E3062,$F3062,$G3062)&gt;1,"중복","-"))</f>
        <v/>
      </c>
      <c r="I3062" s="11" t="str">
        <f aca="false">IF($A3062="","",IF($H3062="-","-",IF(AND(IF(원본명단!$H3061="",TRUE(),COUNTIF(원본명단!$H$3:$H3061,원본명단!$H3061)=1),IF(원본명단!$I3061="",TRUE(),COUNTIF(원본명단!$I$3:$I3061,원본명단!$I3061)=1),IF(원본명단!$K3061="",TRUE(),COUNTIF(원본명단!$K$3:$K3061,원본명단!$K3061)=1)),"첫 건","중복 건")))</f>
        <v/>
      </c>
      <c r="J3062" s="11" t="str">
        <f aca="false">IF($A3062="","",IF($H3062="-","유지",IF($I3062="첫 건","유지","확인 필요")))</f>
        <v/>
      </c>
    </row>
    <row r="3063" customFormat="false" ht="15" hidden="false" customHeight="true" outlineLevel="0" collapsed="false">
      <c r="A3063" s="11" t="str">
        <f aca="false">IF(원본명단!$A3062="","",3060)</f>
        <v/>
      </c>
      <c r="B3063" s="12" t="str">
        <f aca="false">IF($A3063="","",원본명단!$A3062)</f>
        <v/>
      </c>
      <c r="C3063" s="12" t="str">
        <f aca="false">IF($A3063="","",원본명단!$B3062)</f>
        <v/>
      </c>
      <c r="D3063" s="12" t="str">
        <f aca="false">IF($A3063="","",원본명단!$D3062)</f>
        <v/>
      </c>
      <c r="E3063" s="11" t="str">
        <f aca="false">IF($A3063="","",IF(원본명단!$H3062="",0,COUNTIF(원본명단!$H$3:$H$6002,원본명단!$H3062)))</f>
        <v/>
      </c>
      <c r="F3063" s="11" t="str">
        <f aca="false">IF($A3063="","",IF(원본명단!$I3062="",0,COUNTIF(원본명단!$I$3:$I$6002,원본명단!$I3062)))</f>
        <v/>
      </c>
      <c r="G3063" s="11" t="str">
        <f aca="false">IF($A3063="","",IF(원본명단!$K3062="",0,COUNTIF(원본명단!$K$3:$K$6002,원본명단!$K3062)))</f>
        <v/>
      </c>
      <c r="H3063" s="11" t="str">
        <f aca="false">IF($A3063="","",IF(MAX($E3063,$F3063,$G3063)&gt;1,"중복","-"))</f>
        <v/>
      </c>
      <c r="I3063" s="11" t="str">
        <f aca="false">IF($A3063="","",IF($H3063="-","-",IF(AND(IF(원본명단!$H3062="",TRUE(),COUNTIF(원본명단!$H$3:$H3062,원본명단!$H3062)=1),IF(원본명단!$I3062="",TRUE(),COUNTIF(원본명단!$I$3:$I3062,원본명단!$I3062)=1),IF(원본명단!$K3062="",TRUE(),COUNTIF(원본명단!$K$3:$K3062,원본명단!$K3062)=1)),"첫 건","중복 건")))</f>
        <v/>
      </c>
      <c r="J3063" s="11" t="str">
        <f aca="false">IF($A3063="","",IF($H3063="-","유지",IF($I3063="첫 건","유지","확인 필요")))</f>
        <v/>
      </c>
    </row>
    <row r="3064" customFormat="false" ht="15" hidden="false" customHeight="true" outlineLevel="0" collapsed="false">
      <c r="A3064" s="11" t="str">
        <f aca="false">IF(원본명단!$A3063="","",3061)</f>
        <v/>
      </c>
      <c r="B3064" s="12" t="str">
        <f aca="false">IF($A3064="","",원본명단!$A3063)</f>
        <v/>
      </c>
      <c r="C3064" s="12" t="str">
        <f aca="false">IF($A3064="","",원본명단!$B3063)</f>
        <v/>
      </c>
      <c r="D3064" s="12" t="str">
        <f aca="false">IF($A3064="","",원본명단!$D3063)</f>
        <v/>
      </c>
      <c r="E3064" s="11" t="str">
        <f aca="false">IF($A3064="","",IF(원본명단!$H3063="",0,COUNTIF(원본명단!$H$3:$H$6002,원본명단!$H3063)))</f>
        <v/>
      </c>
      <c r="F3064" s="11" t="str">
        <f aca="false">IF($A3064="","",IF(원본명단!$I3063="",0,COUNTIF(원본명단!$I$3:$I$6002,원본명단!$I3063)))</f>
        <v/>
      </c>
      <c r="G3064" s="11" t="str">
        <f aca="false">IF($A3064="","",IF(원본명단!$K3063="",0,COUNTIF(원본명단!$K$3:$K$6002,원본명단!$K3063)))</f>
        <v/>
      </c>
      <c r="H3064" s="11" t="str">
        <f aca="false">IF($A3064="","",IF(MAX($E3064,$F3064,$G3064)&gt;1,"중복","-"))</f>
        <v/>
      </c>
      <c r="I3064" s="11" t="str">
        <f aca="false">IF($A3064="","",IF($H3064="-","-",IF(AND(IF(원본명단!$H3063="",TRUE(),COUNTIF(원본명단!$H$3:$H3063,원본명단!$H3063)=1),IF(원본명단!$I3063="",TRUE(),COUNTIF(원본명단!$I$3:$I3063,원본명단!$I3063)=1),IF(원본명단!$K3063="",TRUE(),COUNTIF(원본명단!$K$3:$K3063,원본명단!$K3063)=1)),"첫 건","중복 건")))</f>
        <v/>
      </c>
      <c r="J3064" s="11" t="str">
        <f aca="false">IF($A3064="","",IF($H3064="-","유지",IF($I3064="첫 건","유지","확인 필요")))</f>
        <v/>
      </c>
    </row>
    <row r="3065" customFormat="false" ht="15" hidden="false" customHeight="true" outlineLevel="0" collapsed="false">
      <c r="A3065" s="11" t="str">
        <f aca="false">IF(원본명단!$A3064="","",3062)</f>
        <v/>
      </c>
      <c r="B3065" s="12" t="str">
        <f aca="false">IF($A3065="","",원본명단!$A3064)</f>
        <v/>
      </c>
      <c r="C3065" s="12" t="str">
        <f aca="false">IF($A3065="","",원본명단!$B3064)</f>
        <v/>
      </c>
      <c r="D3065" s="12" t="str">
        <f aca="false">IF($A3065="","",원본명단!$D3064)</f>
        <v/>
      </c>
      <c r="E3065" s="11" t="str">
        <f aca="false">IF($A3065="","",IF(원본명단!$H3064="",0,COUNTIF(원본명단!$H$3:$H$6002,원본명단!$H3064)))</f>
        <v/>
      </c>
      <c r="F3065" s="11" t="str">
        <f aca="false">IF($A3065="","",IF(원본명단!$I3064="",0,COUNTIF(원본명단!$I$3:$I$6002,원본명단!$I3064)))</f>
        <v/>
      </c>
      <c r="G3065" s="11" t="str">
        <f aca="false">IF($A3065="","",IF(원본명단!$K3064="",0,COUNTIF(원본명단!$K$3:$K$6002,원본명단!$K3064)))</f>
        <v/>
      </c>
      <c r="H3065" s="11" t="str">
        <f aca="false">IF($A3065="","",IF(MAX($E3065,$F3065,$G3065)&gt;1,"중복","-"))</f>
        <v/>
      </c>
      <c r="I3065" s="11" t="str">
        <f aca="false">IF($A3065="","",IF($H3065="-","-",IF(AND(IF(원본명단!$H3064="",TRUE(),COUNTIF(원본명단!$H$3:$H3064,원본명단!$H3064)=1),IF(원본명단!$I3064="",TRUE(),COUNTIF(원본명단!$I$3:$I3064,원본명단!$I3064)=1),IF(원본명단!$K3064="",TRUE(),COUNTIF(원본명단!$K$3:$K3064,원본명단!$K3064)=1)),"첫 건","중복 건")))</f>
        <v/>
      </c>
      <c r="J3065" s="11" t="str">
        <f aca="false">IF($A3065="","",IF($H3065="-","유지",IF($I3065="첫 건","유지","확인 필요")))</f>
        <v/>
      </c>
    </row>
    <row r="3066" customFormat="false" ht="15" hidden="false" customHeight="true" outlineLevel="0" collapsed="false">
      <c r="A3066" s="11" t="str">
        <f aca="false">IF(원본명단!$A3065="","",3063)</f>
        <v/>
      </c>
      <c r="B3066" s="12" t="str">
        <f aca="false">IF($A3066="","",원본명단!$A3065)</f>
        <v/>
      </c>
      <c r="C3066" s="12" t="str">
        <f aca="false">IF($A3066="","",원본명단!$B3065)</f>
        <v/>
      </c>
      <c r="D3066" s="12" t="str">
        <f aca="false">IF($A3066="","",원본명단!$D3065)</f>
        <v/>
      </c>
      <c r="E3066" s="11" t="str">
        <f aca="false">IF($A3066="","",IF(원본명단!$H3065="",0,COUNTIF(원본명단!$H$3:$H$6002,원본명단!$H3065)))</f>
        <v/>
      </c>
      <c r="F3066" s="11" t="str">
        <f aca="false">IF($A3066="","",IF(원본명단!$I3065="",0,COUNTIF(원본명단!$I$3:$I$6002,원본명단!$I3065)))</f>
        <v/>
      </c>
      <c r="G3066" s="11" t="str">
        <f aca="false">IF($A3066="","",IF(원본명단!$K3065="",0,COUNTIF(원본명단!$K$3:$K$6002,원본명단!$K3065)))</f>
        <v/>
      </c>
      <c r="H3066" s="11" t="str">
        <f aca="false">IF($A3066="","",IF(MAX($E3066,$F3066,$G3066)&gt;1,"중복","-"))</f>
        <v/>
      </c>
      <c r="I3066" s="11" t="str">
        <f aca="false">IF($A3066="","",IF($H3066="-","-",IF(AND(IF(원본명단!$H3065="",TRUE(),COUNTIF(원본명단!$H$3:$H3065,원본명단!$H3065)=1),IF(원본명단!$I3065="",TRUE(),COUNTIF(원본명단!$I$3:$I3065,원본명단!$I3065)=1),IF(원본명단!$K3065="",TRUE(),COUNTIF(원본명단!$K$3:$K3065,원본명단!$K3065)=1)),"첫 건","중복 건")))</f>
        <v/>
      </c>
      <c r="J3066" s="11" t="str">
        <f aca="false">IF($A3066="","",IF($H3066="-","유지",IF($I3066="첫 건","유지","확인 필요")))</f>
        <v/>
      </c>
    </row>
    <row r="3067" customFormat="false" ht="15" hidden="false" customHeight="true" outlineLevel="0" collapsed="false">
      <c r="A3067" s="11" t="str">
        <f aca="false">IF(원본명단!$A3066="","",3064)</f>
        <v/>
      </c>
      <c r="B3067" s="12" t="str">
        <f aca="false">IF($A3067="","",원본명단!$A3066)</f>
        <v/>
      </c>
      <c r="C3067" s="12" t="str">
        <f aca="false">IF($A3067="","",원본명단!$B3066)</f>
        <v/>
      </c>
      <c r="D3067" s="12" t="str">
        <f aca="false">IF($A3067="","",원본명단!$D3066)</f>
        <v/>
      </c>
      <c r="E3067" s="11" t="str">
        <f aca="false">IF($A3067="","",IF(원본명단!$H3066="",0,COUNTIF(원본명단!$H$3:$H$6002,원본명단!$H3066)))</f>
        <v/>
      </c>
      <c r="F3067" s="11" t="str">
        <f aca="false">IF($A3067="","",IF(원본명단!$I3066="",0,COUNTIF(원본명단!$I$3:$I$6002,원본명단!$I3066)))</f>
        <v/>
      </c>
      <c r="G3067" s="11" t="str">
        <f aca="false">IF($A3067="","",IF(원본명단!$K3066="",0,COUNTIF(원본명단!$K$3:$K$6002,원본명단!$K3066)))</f>
        <v/>
      </c>
      <c r="H3067" s="11" t="str">
        <f aca="false">IF($A3067="","",IF(MAX($E3067,$F3067,$G3067)&gt;1,"중복","-"))</f>
        <v/>
      </c>
      <c r="I3067" s="11" t="str">
        <f aca="false">IF($A3067="","",IF($H3067="-","-",IF(AND(IF(원본명단!$H3066="",TRUE(),COUNTIF(원본명단!$H$3:$H3066,원본명단!$H3066)=1),IF(원본명단!$I3066="",TRUE(),COUNTIF(원본명단!$I$3:$I3066,원본명단!$I3066)=1),IF(원본명단!$K3066="",TRUE(),COUNTIF(원본명단!$K$3:$K3066,원본명단!$K3066)=1)),"첫 건","중복 건")))</f>
        <v/>
      </c>
      <c r="J3067" s="11" t="str">
        <f aca="false">IF($A3067="","",IF($H3067="-","유지",IF($I3067="첫 건","유지","확인 필요")))</f>
        <v/>
      </c>
    </row>
    <row r="3068" customFormat="false" ht="15" hidden="false" customHeight="true" outlineLevel="0" collapsed="false">
      <c r="A3068" s="11" t="str">
        <f aca="false">IF(원본명단!$A3067="","",3065)</f>
        <v/>
      </c>
      <c r="B3068" s="12" t="str">
        <f aca="false">IF($A3068="","",원본명단!$A3067)</f>
        <v/>
      </c>
      <c r="C3068" s="12" t="str">
        <f aca="false">IF($A3068="","",원본명단!$B3067)</f>
        <v/>
      </c>
      <c r="D3068" s="12" t="str">
        <f aca="false">IF($A3068="","",원본명단!$D3067)</f>
        <v/>
      </c>
      <c r="E3068" s="11" t="str">
        <f aca="false">IF($A3068="","",IF(원본명단!$H3067="",0,COUNTIF(원본명단!$H$3:$H$6002,원본명단!$H3067)))</f>
        <v/>
      </c>
      <c r="F3068" s="11" t="str">
        <f aca="false">IF($A3068="","",IF(원본명단!$I3067="",0,COUNTIF(원본명단!$I$3:$I$6002,원본명단!$I3067)))</f>
        <v/>
      </c>
      <c r="G3068" s="11" t="str">
        <f aca="false">IF($A3068="","",IF(원본명단!$K3067="",0,COUNTIF(원본명단!$K$3:$K$6002,원본명단!$K3067)))</f>
        <v/>
      </c>
      <c r="H3068" s="11" t="str">
        <f aca="false">IF($A3068="","",IF(MAX($E3068,$F3068,$G3068)&gt;1,"중복","-"))</f>
        <v/>
      </c>
      <c r="I3068" s="11" t="str">
        <f aca="false">IF($A3068="","",IF($H3068="-","-",IF(AND(IF(원본명단!$H3067="",TRUE(),COUNTIF(원본명단!$H$3:$H3067,원본명단!$H3067)=1),IF(원본명단!$I3067="",TRUE(),COUNTIF(원본명단!$I$3:$I3067,원본명단!$I3067)=1),IF(원본명단!$K3067="",TRUE(),COUNTIF(원본명단!$K$3:$K3067,원본명단!$K3067)=1)),"첫 건","중복 건")))</f>
        <v/>
      </c>
      <c r="J3068" s="11" t="str">
        <f aca="false">IF($A3068="","",IF($H3068="-","유지",IF($I3068="첫 건","유지","확인 필요")))</f>
        <v/>
      </c>
    </row>
    <row r="3069" customFormat="false" ht="15" hidden="false" customHeight="true" outlineLevel="0" collapsed="false">
      <c r="A3069" s="11" t="str">
        <f aca="false">IF(원본명단!$A3068="","",3066)</f>
        <v/>
      </c>
      <c r="B3069" s="12" t="str">
        <f aca="false">IF($A3069="","",원본명단!$A3068)</f>
        <v/>
      </c>
      <c r="C3069" s="12" t="str">
        <f aca="false">IF($A3069="","",원본명단!$B3068)</f>
        <v/>
      </c>
      <c r="D3069" s="12" t="str">
        <f aca="false">IF($A3069="","",원본명단!$D3068)</f>
        <v/>
      </c>
      <c r="E3069" s="11" t="str">
        <f aca="false">IF($A3069="","",IF(원본명단!$H3068="",0,COUNTIF(원본명단!$H$3:$H$6002,원본명단!$H3068)))</f>
        <v/>
      </c>
      <c r="F3069" s="11" t="str">
        <f aca="false">IF($A3069="","",IF(원본명단!$I3068="",0,COUNTIF(원본명단!$I$3:$I$6002,원본명단!$I3068)))</f>
        <v/>
      </c>
      <c r="G3069" s="11" t="str">
        <f aca="false">IF($A3069="","",IF(원본명단!$K3068="",0,COUNTIF(원본명단!$K$3:$K$6002,원본명단!$K3068)))</f>
        <v/>
      </c>
      <c r="H3069" s="11" t="str">
        <f aca="false">IF($A3069="","",IF(MAX($E3069,$F3069,$G3069)&gt;1,"중복","-"))</f>
        <v/>
      </c>
      <c r="I3069" s="11" t="str">
        <f aca="false">IF($A3069="","",IF($H3069="-","-",IF(AND(IF(원본명단!$H3068="",TRUE(),COUNTIF(원본명단!$H$3:$H3068,원본명단!$H3068)=1),IF(원본명단!$I3068="",TRUE(),COUNTIF(원본명단!$I$3:$I3068,원본명단!$I3068)=1),IF(원본명단!$K3068="",TRUE(),COUNTIF(원본명단!$K$3:$K3068,원본명단!$K3068)=1)),"첫 건","중복 건")))</f>
        <v/>
      </c>
      <c r="J3069" s="11" t="str">
        <f aca="false">IF($A3069="","",IF($H3069="-","유지",IF($I3069="첫 건","유지","확인 필요")))</f>
        <v/>
      </c>
    </row>
    <row r="3070" customFormat="false" ht="15" hidden="false" customHeight="true" outlineLevel="0" collapsed="false">
      <c r="A3070" s="11" t="str">
        <f aca="false">IF(원본명단!$A3069="","",3067)</f>
        <v/>
      </c>
      <c r="B3070" s="12" t="str">
        <f aca="false">IF($A3070="","",원본명단!$A3069)</f>
        <v/>
      </c>
      <c r="C3070" s="12" t="str">
        <f aca="false">IF($A3070="","",원본명단!$B3069)</f>
        <v/>
      </c>
      <c r="D3070" s="12" t="str">
        <f aca="false">IF($A3070="","",원본명단!$D3069)</f>
        <v/>
      </c>
      <c r="E3070" s="11" t="str">
        <f aca="false">IF($A3070="","",IF(원본명단!$H3069="",0,COUNTIF(원본명단!$H$3:$H$6002,원본명단!$H3069)))</f>
        <v/>
      </c>
      <c r="F3070" s="11" t="str">
        <f aca="false">IF($A3070="","",IF(원본명단!$I3069="",0,COUNTIF(원본명단!$I$3:$I$6002,원본명단!$I3069)))</f>
        <v/>
      </c>
      <c r="G3070" s="11" t="str">
        <f aca="false">IF($A3070="","",IF(원본명단!$K3069="",0,COUNTIF(원본명단!$K$3:$K$6002,원본명단!$K3069)))</f>
        <v/>
      </c>
      <c r="H3070" s="11" t="str">
        <f aca="false">IF($A3070="","",IF(MAX($E3070,$F3070,$G3070)&gt;1,"중복","-"))</f>
        <v/>
      </c>
      <c r="I3070" s="11" t="str">
        <f aca="false">IF($A3070="","",IF($H3070="-","-",IF(AND(IF(원본명단!$H3069="",TRUE(),COUNTIF(원본명단!$H$3:$H3069,원본명단!$H3069)=1),IF(원본명단!$I3069="",TRUE(),COUNTIF(원본명단!$I$3:$I3069,원본명단!$I3069)=1),IF(원본명단!$K3069="",TRUE(),COUNTIF(원본명단!$K$3:$K3069,원본명단!$K3069)=1)),"첫 건","중복 건")))</f>
        <v/>
      </c>
      <c r="J3070" s="11" t="str">
        <f aca="false">IF($A3070="","",IF($H3070="-","유지",IF($I3070="첫 건","유지","확인 필요")))</f>
        <v/>
      </c>
    </row>
    <row r="3071" customFormat="false" ht="15" hidden="false" customHeight="true" outlineLevel="0" collapsed="false">
      <c r="A3071" s="11" t="str">
        <f aca="false">IF(원본명단!$A3070="","",3068)</f>
        <v/>
      </c>
      <c r="B3071" s="12" t="str">
        <f aca="false">IF($A3071="","",원본명단!$A3070)</f>
        <v/>
      </c>
      <c r="C3071" s="12" t="str">
        <f aca="false">IF($A3071="","",원본명단!$B3070)</f>
        <v/>
      </c>
      <c r="D3071" s="12" t="str">
        <f aca="false">IF($A3071="","",원본명단!$D3070)</f>
        <v/>
      </c>
      <c r="E3071" s="11" t="str">
        <f aca="false">IF($A3071="","",IF(원본명단!$H3070="",0,COUNTIF(원본명단!$H$3:$H$6002,원본명단!$H3070)))</f>
        <v/>
      </c>
      <c r="F3071" s="11" t="str">
        <f aca="false">IF($A3071="","",IF(원본명단!$I3070="",0,COUNTIF(원본명단!$I$3:$I$6002,원본명단!$I3070)))</f>
        <v/>
      </c>
      <c r="G3071" s="11" t="str">
        <f aca="false">IF($A3071="","",IF(원본명단!$K3070="",0,COUNTIF(원본명단!$K$3:$K$6002,원본명단!$K3070)))</f>
        <v/>
      </c>
      <c r="H3071" s="11" t="str">
        <f aca="false">IF($A3071="","",IF(MAX($E3071,$F3071,$G3071)&gt;1,"중복","-"))</f>
        <v/>
      </c>
      <c r="I3071" s="11" t="str">
        <f aca="false">IF($A3071="","",IF($H3071="-","-",IF(AND(IF(원본명단!$H3070="",TRUE(),COUNTIF(원본명단!$H$3:$H3070,원본명단!$H3070)=1),IF(원본명단!$I3070="",TRUE(),COUNTIF(원본명단!$I$3:$I3070,원본명단!$I3070)=1),IF(원본명단!$K3070="",TRUE(),COUNTIF(원본명단!$K$3:$K3070,원본명단!$K3070)=1)),"첫 건","중복 건")))</f>
        <v/>
      </c>
      <c r="J3071" s="11" t="str">
        <f aca="false">IF($A3071="","",IF($H3071="-","유지",IF($I3071="첫 건","유지","확인 필요")))</f>
        <v/>
      </c>
    </row>
    <row r="3072" customFormat="false" ht="15" hidden="false" customHeight="true" outlineLevel="0" collapsed="false">
      <c r="A3072" s="11" t="str">
        <f aca="false">IF(원본명단!$A3071="","",3069)</f>
        <v/>
      </c>
      <c r="B3072" s="12" t="str">
        <f aca="false">IF($A3072="","",원본명단!$A3071)</f>
        <v/>
      </c>
      <c r="C3072" s="12" t="str">
        <f aca="false">IF($A3072="","",원본명단!$B3071)</f>
        <v/>
      </c>
      <c r="D3072" s="12" t="str">
        <f aca="false">IF($A3072="","",원본명단!$D3071)</f>
        <v/>
      </c>
      <c r="E3072" s="11" t="str">
        <f aca="false">IF($A3072="","",IF(원본명단!$H3071="",0,COUNTIF(원본명단!$H$3:$H$6002,원본명단!$H3071)))</f>
        <v/>
      </c>
      <c r="F3072" s="11" t="str">
        <f aca="false">IF($A3072="","",IF(원본명단!$I3071="",0,COUNTIF(원본명단!$I$3:$I$6002,원본명단!$I3071)))</f>
        <v/>
      </c>
      <c r="G3072" s="11" t="str">
        <f aca="false">IF($A3072="","",IF(원본명단!$K3071="",0,COUNTIF(원본명단!$K$3:$K$6002,원본명단!$K3071)))</f>
        <v/>
      </c>
      <c r="H3072" s="11" t="str">
        <f aca="false">IF($A3072="","",IF(MAX($E3072,$F3072,$G3072)&gt;1,"중복","-"))</f>
        <v/>
      </c>
      <c r="I3072" s="11" t="str">
        <f aca="false">IF($A3072="","",IF($H3072="-","-",IF(AND(IF(원본명단!$H3071="",TRUE(),COUNTIF(원본명단!$H$3:$H3071,원본명단!$H3071)=1),IF(원본명단!$I3071="",TRUE(),COUNTIF(원본명단!$I$3:$I3071,원본명단!$I3071)=1),IF(원본명단!$K3071="",TRUE(),COUNTIF(원본명단!$K$3:$K3071,원본명단!$K3071)=1)),"첫 건","중복 건")))</f>
        <v/>
      </c>
      <c r="J3072" s="11" t="str">
        <f aca="false">IF($A3072="","",IF($H3072="-","유지",IF($I3072="첫 건","유지","확인 필요")))</f>
        <v/>
      </c>
    </row>
    <row r="3073" customFormat="false" ht="15" hidden="false" customHeight="true" outlineLevel="0" collapsed="false">
      <c r="A3073" s="11" t="str">
        <f aca="false">IF(원본명단!$A3072="","",3070)</f>
        <v/>
      </c>
      <c r="B3073" s="12" t="str">
        <f aca="false">IF($A3073="","",원본명단!$A3072)</f>
        <v/>
      </c>
      <c r="C3073" s="12" t="str">
        <f aca="false">IF($A3073="","",원본명단!$B3072)</f>
        <v/>
      </c>
      <c r="D3073" s="12" t="str">
        <f aca="false">IF($A3073="","",원본명단!$D3072)</f>
        <v/>
      </c>
      <c r="E3073" s="11" t="str">
        <f aca="false">IF($A3073="","",IF(원본명단!$H3072="",0,COUNTIF(원본명단!$H$3:$H$6002,원본명단!$H3072)))</f>
        <v/>
      </c>
      <c r="F3073" s="11" t="str">
        <f aca="false">IF($A3073="","",IF(원본명단!$I3072="",0,COUNTIF(원본명단!$I$3:$I$6002,원본명단!$I3072)))</f>
        <v/>
      </c>
      <c r="G3073" s="11" t="str">
        <f aca="false">IF($A3073="","",IF(원본명단!$K3072="",0,COUNTIF(원본명단!$K$3:$K$6002,원본명단!$K3072)))</f>
        <v/>
      </c>
      <c r="H3073" s="11" t="str">
        <f aca="false">IF($A3073="","",IF(MAX($E3073,$F3073,$G3073)&gt;1,"중복","-"))</f>
        <v/>
      </c>
      <c r="I3073" s="11" t="str">
        <f aca="false">IF($A3073="","",IF($H3073="-","-",IF(AND(IF(원본명단!$H3072="",TRUE(),COUNTIF(원본명단!$H$3:$H3072,원본명단!$H3072)=1),IF(원본명단!$I3072="",TRUE(),COUNTIF(원본명단!$I$3:$I3072,원본명단!$I3072)=1),IF(원본명단!$K3072="",TRUE(),COUNTIF(원본명단!$K$3:$K3072,원본명단!$K3072)=1)),"첫 건","중복 건")))</f>
        <v/>
      </c>
      <c r="J3073" s="11" t="str">
        <f aca="false">IF($A3073="","",IF($H3073="-","유지",IF($I3073="첫 건","유지","확인 필요")))</f>
        <v/>
      </c>
    </row>
    <row r="3074" customFormat="false" ht="15" hidden="false" customHeight="true" outlineLevel="0" collapsed="false">
      <c r="A3074" s="11" t="str">
        <f aca="false">IF(원본명단!$A3073="","",3071)</f>
        <v/>
      </c>
      <c r="B3074" s="12" t="str">
        <f aca="false">IF($A3074="","",원본명단!$A3073)</f>
        <v/>
      </c>
      <c r="C3074" s="12" t="str">
        <f aca="false">IF($A3074="","",원본명단!$B3073)</f>
        <v/>
      </c>
      <c r="D3074" s="12" t="str">
        <f aca="false">IF($A3074="","",원본명단!$D3073)</f>
        <v/>
      </c>
      <c r="E3074" s="11" t="str">
        <f aca="false">IF($A3074="","",IF(원본명단!$H3073="",0,COUNTIF(원본명단!$H$3:$H$6002,원본명단!$H3073)))</f>
        <v/>
      </c>
      <c r="F3074" s="11" t="str">
        <f aca="false">IF($A3074="","",IF(원본명단!$I3073="",0,COUNTIF(원본명단!$I$3:$I$6002,원본명단!$I3073)))</f>
        <v/>
      </c>
      <c r="G3074" s="11" t="str">
        <f aca="false">IF($A3074="","",IF(원본명단!$K3073="",0,COUNTIF(원본명단!$K$3:$K$6002,원본명단!$K3073)))</f>
        <v/>
      </c>
      <c r="H3074" s="11" t="str">
        <f aca="false">IF($A3074="","",IF(MAX($E3074,$F3074,$G3074)&gt;1,"중복","-"))</f>
        <v/>
      </c>
      <c r="I3074" s="11" t="str">
        <f aca="false">IF($A3074="","",IF($H3074="-","-",IF(AND(IF(원본명단!$H3073="",TRUE(),COUNTIF(원본명단!$H$3:$H3073,원본명단!$H3073)=1),IF(원본명단!$I3073="",TRUE(),COUNTIF(원본명단!$I$3:$I3073,원본명단!$I3073)=1),IF(원본명단!$K3073="",TRUE(),COUNTIF(원본명단!$K$3:$K3073,원본명단!$K3073)=1)),"첫 건","중복 건")))</f>
        <v/>
      </c>
      <c r="J3074" s="11" t="str">
        <f aca="false">IF($A3074="","",IF($H3074="-","유지",IF($I3074="첫 건","유지","확인 필요")))</f>
        <v/>
      </c>
    </row>
    <row r="3075" customFormat="false" ht="15" hidden="false" customHeight="true" outlineLevel="0" collapsed="false">
      <c r="A3075" s="11" t="str">
        <f aca="false">IF(원본명단!$A3074="","",3072)</f>
        <v/>
      </c>
      <c r="B3075" s="12" t="str">
        <f aca="false">IF($A3075="","",원본명단!$A3074)</f>
        <v/>
      </c>
      <c r="C3075" s="12" t="str">
        <f aca="false">IF($A3075="","",원본명단!$B3074)</f>
        <v/>
      </c>
      <c r="D3075" s="12" t="str">
        <f aca="false">IF($A3075="","",원본명단!$D3074)</f>
        <v/>
      </c>
      <c r="E3075" s="11" t="str">
        <f aca="false">IF($A3075="","",IF(원본명단!$H3074="",0,COUNTIF(원본명단!$H$3:$H$6002,원본명단!$H3074)))</f>
        <v/>
      </c>
      <c r="F3075" s="11" t="str">
        <f aca="false">IF($A3075="","",IF(원본명단!$I3074="",0,COUNTIF(원본명단!$I$3:$I$6002,원본명단!$I3074)))</f>
        <v/>
      </c>
      <c r="G3075" s="11" t="str">
        <f aca="false">IF($A3075="","",IF(원본명단!$K3074="",0,COUNTIF(원본명단!$K$3:$K$6002,원본명단!$K3074)))</f>
        <v/>
      </c>
      <c r="H3075" s="11" t="str">
        <f aca="false">IF($A3075="","",IF(MAX($E3075,$F3075,$G3075)&gt;1,"중복","-"))</f>
        <v/>
      </c>
      <c r="I3075" s="11" t="str">
        <f aca="false">IF($A3075="","",IF($H3075="-","-",IF(AND(IF(원본명단!$H3074="",TRUE(),COUNTIF(원본명단!$H$3:$H3074,원본명단!$H3074)=1),IF(원본명단!$I3074="",TRUE(),COUNTIF(원본명단!$I$3:$I3074,원본명단!$I3074)=1),IF(원본명단!$K3074="",TRUE(),COUNTIF(원본명단!$K$3:$K3074,원본명단!$K3074)=1)),"첫 건","중복 건")))</f>
        <v/>
      </c>
      <c r="J3075" s="11" t="str">
        <f aca="false">IF($A3075="","",IF($H3075="-","유지",IF($I3075="첫 건","유지","확인 필요")))</f>
        <v/>
      </c>
    </row>
    <row r="3076" customFormat="false" ht="15" hidden="false" customHeight="true" outlineLevel="0" collapsed="false">
      <c r="A3076" s="11" t="str">
        <f aca="false">IF(원본명단!$A3075="","",3073)</f>
        <v/>
      </c>
      <c r="B3076" s="12" t="str">
        <f aca="false">IF($A3076="","",원본명단!$A3075)</f>
        <v/>
      </c>
      <c r="C3076" s="12" t="str">
        <f aca="false">IF($A3076="","",원본명단!$B3075)</f>
        <v/>
      </c>
      <c r="D3076" s="12" t="str">
        <f aca="false">IF($A3076="","",원본명단!$D3075)</f>
        <v/>
      </c>
      <c r="E3076" s="11" t="str">
        <f aca="false">IF($A3076="","",IF(원본명단!$H3075="",0,COUNTIF(원본명단!$H$3:$H$6002,원본명단!$H3075)))</f>
        <v/>
      </c>
      <c r="F3076" s="11" t="str">
        <f aca="false">IF($A3076="","",IF(원본명단!$I3075="",0,COUNTIF(원본명단!$I$3:$I$6002,원본명단!$I3075)))</f>
        <v/>
      </c>
      <c r="G3076" s="11" t="str">
        <f aca="false">IF($A3076="","",IF(원본명단!$K3075="",0,COUNTIF(원본명단!$K$3:$K$6002,원본명단!$K3075)))</f>
        <v/>
      </c>
      <c r="H3076" s="11" t="str">
        <f aca="false">IF($A3076="","",IF(MAX($E3076,$F3076,$G3076)&gt;1,"중복","-"))</f>
        <v/>
      </c>
      <c r="I3076" s="11" t="str">
        <f aca="false">IF($A3076="","",IF($H3076="-","-",IF(AND(IF(원본명단!$H3075="",TRUE(),COUNTIF(원본명단!$H$3:$H3075,원본명단!$H3075)=1),IF(원본명단!$I3075="",TRUE(),COUNTIF(원본명단!$I$3:$I3075,원본명단!$I3075)=1),IF(원본명단!$K3075="",TRUE(),COUNTIF(원본명단!$K$3:$K3075,원본명단!$K3075)=1)),"첫 건","중복 건")))</f>
        <v/>
      </c>
      <c r="J3076" s="11" t="str">
        <f aca="false">IF($A3076="","",IF($H3076="-","유지",IF($I3076="첫 건","유지","확인 필요")))</f>
        <v/>
      </c>
    </row>
    <row r="3077" customFormat="false" ht="15" hidden="false" customHeight="true" outlineLevel="0" collapsed="false">
      <c r="A3077" s="11" t="str">
        <f aca="false">IF(원본명단!$A3076="","",3074)</f>
        <v/>
      </c>
      <c r="B3077" s="12" t="str">
        <f aca="false">IF($A3077="","",원본명단!$A3076)</f>
        <v/>
      </c>
      <c r="C3077" s="12" t="str">
        <f aca="false">IF($A3077="","",원본명단!$B3076)</f>
        <v/>
      </c>
      <c r="D3077" s="12" t="str">
        <f aca="false">IF($A3077="","",원본명단!$D3076)</f>
        <v/>
      </c>
      <c r="E3077" s="11" t="str">
        <f aca="false">IF($A3077="","",IF(원본명단!$H3076="",0,COUNTIF(원본명단!$H$3:$H$6002,원본명단!$H3076)))</f>
        <v/>
      </c>
      <c r="F3077" s="11" t="str">
        <f aca="false">IF($A3077="","",IF(원본명단!$I3076="",0,COUNTIF(원본명단!$I$3:$I$6002,원본명단!$I3076)))</f>
        <v/>
      </c>
      <c r="G3077" s="11" t="str">
        <f aca="false">IF($A3077="","",IF(원본명단!$K3076="",0,COUNTIF(원본명단!$K$3:$K$6002,원본명단!$K3076)))</f>
        <v/>
      </c>
      <c r="H3077" s="11" t="str">
        <f aca="false">IF($A3077="","",IF(MAX($E3077,$F3077,$G3077)&gt;1,"중복","-"))</f>
        <v/>
      </c>
      <c r="I3077" s="11" t="str">
        <f aca="false">IF($A3077="","",IF($H3077="-","-",IF(AND(IF(원본명단!$H3076="",TRUE(),COUNTIF(원본명단!$H$3:$H3076,원본명단!$H3076)=1),IF(원본명단!$I3076="",TRUE(),COUNTIF(원본명단!$I$3:$I3076,원본명단!$I3076)=1),IF(원본명단!$K3076="",TRUE(),COUNTIF(원본명단!$K$3:$K3076,원본명단!$K3076)=1)),"첫 건","중복 건")))</f>
        <v/>
      </c>
      <c r="J3077" s="11" t="str">
        <f aca="false">IF($A3077="","",IF($H3077="-","유지",IF($I3077="첫 건","유지","확인 필요")))</f>
        <v/>
      </c>
    </row>
    <row r="3078" customFormat="false" ht="15" hidden="false" customHeight="true" outlineLevel="0" collapsed="false">
      <c r="A3078" s="11" t="str">
        <f aca="false">IF(원본명단!$A3077="","",3075)</f>
        <v/>
      </c>
      <c r="B3078" s="12" t="str">
        <f aca="false">IF($A3078="","",원본명단!$A3077)</f>
        <v/>
      </c>
      <c r="C3078" s="12" t="str">
        <f aca="false">IF($A3078="","",원본명단!$B3077)</f>
        <v/>
      </c>
      <c r="D3078" s="12" t="str">
        <f aca="false">IF($A3078="","",원본명단!$D3077)</f>
        <v/>
      </c>
      <c r="E3078" s="11" t="str">
        <f aca="false">IF($A3078="","",IF(원본명단!$H3077="",0,COUNTIF(원본명단!$H$3:$H$6002,원본명단!$H3077)))</f>
        <v/>
      </c>
      <c r="F3078" s="11" t="str">
        <f aca="false">IF($A3078="","",IF(원본명단!$I3077="",0,COUNTIF(원본명단!$I$3:$I$6002,원본명단!$I3077)))</f>
        <v/>
      </c>
      <c r="G3078" s="11" t="str">
        <f aca="false">IF($A3078="","",IF(원본명단!$K3077="",0,COUNTIF(원본명단!$K$3:$K$6002,원본명단!$K3077)))</f>
        <v/>
      </c>
      <c r="H3078" s="11" t="str">
        <f aca="false">IF($A3078="","",IF(MAX($E3078,$F3078,$G3078)&gt;1,"중복","-"))</f>
        <v/>
      </c>
      <c r="I3078" s="11" t="str">
        <f aca="false">IF($A3078="","",IF($H3078="-","-",IF(AND(IF(원본명단!$H3077="",TRUE(),COUNTIF(원본명단!$H$3:$H3077,원본명단!$H3077)=1),IF(원본명단!$I3077="",TRUE(),COUNTIF(원본명단!$I$3:$I3077,원본명단!$I3077)=1),IF(원본명단!$K3077="",TRUE(),COUNTIF(원본명단!$K$3:$K3077,원본명단!$K3077)=1)),"첫 건","중복 건")))</f>
        <v/>
      </c>
      <c r="J3078" s="11" t="str">
        <f aca="false">IF($A3078="","",IF($H3078="-","유지",IF($I3078="첫 건","유지","확인 필요")))</f>
        <v/>
      </c>
    </row>
    <row r="3079" customFormat="false" ht="15" hidden="false" customHeight="true" outlineLevel="0" collapsed="false">
      <c r="A3079" s="11" t="str">
        <f aca="false">IF(원본명단!$A3078="","",3076)</f>
        <v/>
      </c>
      <c r="B3079" s="12" t="str">
        <f aca="false">IF($A3079="","",원본명단!$A3078)</f>
        <v/>
      </c>
      <c r="C3079" s="12" t="str">
        <f aca="false">IF($A3079="","",원본명단!$B3078)</f>
        <v/>
      </c>
      <c r="D3079" s="12" t="str">
        <f aca="false">IF($A3079="","",원본명단!$D3078)</f>
        <v/>
      </c>
      <c r="E3079" s="11" t="str">
        <f aca="false">IF($A3079="","",IF(원본명단!$H3078="",0,COUNTIF(원본명단!$H$3:$H$6002,원본명단!$H3078)))</f>
        <v/>
      </c>
      <c r="F3079" s="11" t="str">
        <f aca="false">IF($A3079="","",IF(원본명단!$I3078="",0,COUNTIF(원본명단!$I$3:$I$6002,원본명단!$I3078)))</f>
        <v/>
      </c>
      <c r="G3079" s="11" t="str">
        <f aca="false">IF($A3079="","",IF(원본명단!$K3078="",0,COUNTIF(원본명단!$K$3:$K$6002,원본명단!$K3078)))</f>
        <v/>
      </c>
      <c r="H3079" s="11" t="str">
        <f aca="false">IF($A3079="","",IF(MAX($E3079,$F3079,$G3079)&gt;1,"중복","-"))</f>
        <v/>
      </c>
      <c r="I3079" s="11" t="str">
        <f aca="false">IF($A3079="","",IF($H3079="-","-",IF(AND(IF(원본명단!$H3078="",TRUE(),COUNTIF(원본명단!$H$3:$H3078,원본명단!$H3078)=1),IF(원본명단!$I3078="",TRUE(),COUNTIF(원본명단!$I$3:$I3078,원본명단!$I3078)=1),IF(원본명단!$K3078="",TRUE(),COUNTIF(원본명단!$K$3:$K3078,원본명단!$K3078)=1)),"첫 건","중복 건")))</f>
        <v/>
      </c>
      <c r="J3079" s="11" t="str">
        <f aca="false">IF($A3079="","",IF($H3079="-","유지",IF($I3079="첫 건","유지","확인 필요")))</f>
        <v/>
      </c>
    </row>
    <row r="3080" customFormat="false" ht="15" hidden="false" customHeight="true" outlineLevel="0" collapsed="false">
      <c r="A3080" s="11" t="str">
        <f aca="false">IF(원본명단!$A3079="","",3077)</f>
        <v/>
      </c>
      <c r="B3080" s="12" t="str">
        <f aca="false">IF($A3080="","",원본명단!$A3079)</f>
        <v/>
      </c>
      <c r="C3080" s="12" t="str">
        <f aca="false">IF($A3080="","",원본명단!$B3079)</f>
        <v/>
      </c>
      <c r="D3080" s="12" t="str">
        <f aca="false">IF($A3080="","",원본명단!$D3079)</f>
        <v/>
      </c>
      <c r="E3080" s="11" t="str">
        <f aca="false">IF($A3080="","",IF(원본명단!$H3079="",0,COUNTIF(원본명단!$H$3:$H$6002,원본명단!$H3079)))</f>
        <v/>
      </c>
      <c r="F3080" s="11" t="str">
        <f aca="false">IF($A3080="","",IF(원본명단!$I3079="",0,COUNTIF(원본명단!$I$3:$I$6002,원본명단!$I3079)))</f>
        <v/>
      </c>
      <c r="G3080" s="11" t="str">
        <f aca="false">IF($A3080="","",IF(원본명단!$K3079="",0,COUNTIF(원본명단!$K$3:$K$6002,원본명단!$K3079)))</f>
        <v/>
      </c>
      <c r="H3080" s="11" t="str">
        <f aca="false">IF($A3080="","",IF(MAX($E3080,$F3080,$G3080)&gt;1,"중복","-"))</f>
        <v/>
      </c>
      <c r="I3080" s="11" t="str">
        <f aca="false">IF($A3080="","",IF($H3080="-","-",IF(AND(IF(원본명단!$H3079="",TRUE(),COUNTIF(원본명단!$H$3:$H3079,원본명단!$H3079)=1),IF(원본명단!$I3079="",TRUE(),COUNTIF(원본명단!$I$3:$I3079,원본명단!$I3079)=1),IF(원본명단!$K3079="",TRUE(),COUNTIF(원본명단!$K$3:$K3079,원본명단!$K3079)=1)),"첫 건","중복 건")))</f>
        <v/>
      </c>
      <c r="J3080" s="11" t="str">
        <f aca="false">IF($A3080="","",IF($H3080="-","유지",IF($I3080="첫 건","유지","확인 필요")))</f>
        <v/>
      </c>
    </row>
    <row r="3081" customFormat="false" ht="15" hidden="false" customHeight="true" outlineLevel="0" collapsed="false">
      <c r="A3081" s="11" t="str">
        <f aca="false">IF(원본명단!$A3080="","",3078)</f>
        <v/>
      </c>
      <c r="B3081" s="12" t="str">
        <f aca="false">IF($A3081="","",원본명단!$A3080)</f>
        <v/>
      </c>
      <c r="C3081" s="12" t="str">
        <f aca="false">IF($A3081="","",원본명단!$B3080)</f>
        <v/>
      </c>
      <c r="D3081" s="12" t="str">
        <f aca="false">IF($A3081="","",원본명단!$D3080)</f>
        <v/>
      </c>
      <c r="E3081" s="11" t="str">
        <f aca="false">IF($A3081="","",IF(원본명단!$H3080="",0,COUNTIF(원본명단!$H$3:$H$6002,원본명단!$H3080)))</f>
        <v/>
      </c>
      <c r="F3081" s="11" t="str">
        <f aca="false">IF($A3081="","",IF(원본명단!$I3080="",0,COUNTIF(원본명단!$I$3:$I$6002,원본명단!$I3080)))</f>
        <v/>
      </c>
      <c r="G3081" s="11" t="str">
        <f aca="false">IF($A3081="","",IF(원본명단!$K3080="",0,COUNTIF(원본명단!$K$3:$K$6002,원본명단!$K3080)))</f>
        <v/>
      </c>
      <c r="H3081" s="11" t="str">
        <f aca="false">IF($A3081="","",IF(MAX($E3081,$F3081,$G3081)&gt;1,"중복","-"))</f>
        <v/>
      </c>
      <c r="I3081" s="11" t="str">
        <f aca="false">IF($A3081="","",IF($H3081="-","-",IF(AND(IF(원본명단!$H3080="",TRUE(),COUNTIF(원본명단!$H$3:$H3080,원본명단!$H3080)=1),IF(원본명단!$I3080="",TRUE(),COUNTIF(원본명단!$I$3:$I3080,원본명단!$I3080)=1),IF(원본명단!$K3080="",TRUE(),COUNTIF(원본명단!$K$3:$K3080,원본명단!$K3080)=1)),"첫 건","중복 건")))</f>
        <v/>
      </c>
      <c r="J3081" s="11" t="str">
        <f aca="false">IF($A3081="","",IF($H3081="-","유지",IF($I3081="첫 건","유지","확인 필요")))</f>
        <v/>
      </c>
    </row>
    <row r="3082" customFormat="false" ht="15" hidden="false" customHeight="true" outlineLevel="0" collapsed="false">
      <c r="A3082" s="11" t="str">
        <f aca="false">IF(원본명단!$A3081="","",3079)</f>
        <v/>
      </c>
      <c r="B3082" s="12" t="str">
        <f aca="false">IF($A3082="","",원본명단!$A3081)</f>
        <v/>
      </c>
      <c r="C3082" s="12" t="str">
        <f aca="false">IF($A3082="","",원본명단!$B3081)</f>
        <v/>
      </c>
      <c r="D3082" s="12" t="str">
        <f aca="false">IF($A3082="","",원본명단!$D3081)</f>
        <v/>
      </c>
      <c r="E3082" s="11" t="str">
        <f aca="false">IF($A3082="","",IF(원본명단!$H3081="",0,COUNTIF(원본명단!$H$3:$H$6002,원본명단!$H3081)))</f>
        <v/>
      </c>
      <c r="F3082" s="11" t="str">
        <f aca="false">IF($A3082="","",IF(원본명단!$I3081="",0,COUNTIF(원본명단!$I$3:$I$6002,원본명단!$I3081)))</f>
        <v/>
      </c>
      <c r="G3082" s="11" t="str">
        <f aca="false">IF($A3082="","",IF(원본명단!$K3081="",0,COUNTIF(원본명단!$K$3:$K$6002,원본명단!$K3081)))</f>
        <v/>
      </c>
      <c r="H3082" s="11" t="str">
        <f aca="false">IF($A3082="","",IF(MAX($E3082,$F3082,$G3082)&gt;1,"중복","-"))</f>
        <v/>
      </c>
      <c r="I3082" s="11" t="str">
        <f aca="false">IF($A3082="","",IF($H3082="-","-",IF(AND(IF(원본명단!$H3081="",TRUE(),COUNTIF(원본명단!$H$3:$H3081,원본명단!$H3081)=1),IF(원본명단!$I3081="",TRUE(),COUNTIF(원본명단!$I$3:$I3081,원본명단!$I3081)=1),IF(원본명단!$K3081="",TRUE(),COUNTIF(원본명단!$K$3:$K3081,원본명단!$K3081)=1)),"첫 건","중복 건")))</f>
        <v/>
      </c>
      <c r="J3082" s="11" t="str">
        <f aca="false">IF($A3082="","",IF($H3082="-","유지",IF($I3082="첫 건","유지","확인 필요")))</f>
        <v/>
      </c>
    </row>
    <row r="3083" customFormat="false" ht="15" hidden="false" customHeight="true" outlineLevel="0" collapsed="false">
      <c r="A3083" s="11" t="str">
        <f aca="false">IF(원본명단!$A3082="","",3080)</f>
        <v/>
      </c>
      <c r="B3083" s="12" t="str">
        <f aca="false">IF($A3083="","",원본명단!$A3082)</f>
        <v/>
      </c>
      <c r="C3083" s="12" t="str">
        <f aca="false">IF($A3083="","",원본명단!$B3082)</f>
        <v/>
      </c>
      <c r="D3083" s="12" t="str">
        <f aca="false">IF($A3083="","",원본명단!$D3082)</f>
        <v/>
      </c>
      <c r="E3083" s="11" t="str">
        <f aca="false">IF($A3083="","",IF(원본명단!$H3082="",0,COUNTIF(원본명단!$H$3:$H$6002,원본명단!$H3082)))</f>
        <v/>
      </c>
      <c r="F3083" s="11" t="str">
        <f aca="false">IF($A3083="","",IF(원본명단!$I3082="",0,COUNTIF(원본명단!$I$3:$I$6002,원본명단!$I3082)))</f>
        <v/>
      </c>
      <c r="G3083" s="11" t="str">
        <f aca="false">IF($A3083="","",IF(원본명단!$K3082="",0,COUNTIF(원본명단!$K$3:$K$6002,원본명단!$K3082)))</f>
        <v/>
      </c>
      <c r="H3083" s="11" t="str">
        <f aca="false">IF($A3083="","",IF(MAX($E3083,$F3083,$G3083)&gt;1,"중복","-"))</f>
        <v/>
      </c>
      <c r="I3083" s="11" t="str">
        <f aca="false">IF($A3083="","",IF($H3083="-","-",IF(AND(IF(원본명단!$H3082="",TRUE(),COUNTIF(원본명단!$H$3:$H3082,원본명단!$H3082)=1),IF(원본명단!$I3082="",TRUE(),COUNTIF(원본명단!$I$3:$I3082,원본명단!$I3082)=1),IF(원본명단!$K3082="",TRUE(),COUNTIF(원본명단!$K$3:$K3082,원본명단!$K3082)=1)),"첫 건","중복 건")))</f>
        <v/>
      </c>
      <c r="J3083" s="11" t="str">
        <f aca="false">IF($A3083="","",IF($H3083="-","유지",IF($I3083="첫 건","유지","확인 필요")))</f>
        <v/>
      </c>
    </row>
    <row r="3084" customFormat="false" ht="15" hidden="false" customHeight="true" outlineLevel="0" collapsed="false">
      <c r="A3084" s="11" t="str">
        <f aca="false">IF(원본명단!$A3083="","",3081)</f>
        <v/>
      </c>
      <c r="B3084" s="12" t="str">
        <f aca="false">IF($A3084="","",원본명단!$A3083)</f>
        <v/>
      </c>
      <c r="C3084" s="12" t="str">
        <f aca="false">IF($A3084="","",원본명단!$B3083)</f>
        <v/>
      </c>
      <c r="D3084" s="12" t="str">
        <f aca="false">IF($A3084="","",원본명단!$D3083)</f>
        <v/>
      </c>
      <c r="E3084" s="11" t="str">
        <f aca="false">IF($A3084="","",IF(원본명단!$H3083="",0,COUNTIF(원본명단!$H$3:$H$6002,원본명단!$H3083)))</f>
        <v/>
      </c>
      <c r="F3084" s="11" t="str">
        <f aca="false">IF($A3084="","",IF(원본명단!$I3083="",0,COUNTIF(원본명단!$I$3:$I$6002,원본명단!$I3083)))</f>
        <v/>
      </c>
      <c r="G3084" s="11" t="str">
        <f aca="false">IF($A3084="","",IF(원본명단!$K3083="",0,COUNTIF(원본명단!$K$3:$K$6002,원본명단!$K3083)))</f>
        <v/>
      </c>
      <c r="H3084" s="11" t="str">
        <f aca="false">IF($A3084="","",IF(MAX($E3084,$F3084,$G3084)&gt;1,"중복","-"))</f>
        <v/>
      </c>
      <c r="I3084" s="11" t="str">
        <f aca="false">IF($A3084="","",IF($H3084="-","-",IF(AND(IF(원본명단!$H3083="",TRUE(),COUNTIF(원본명단!$H$3:$H3083,원본명단!$H3083)=1),IF(원본명단!$I3083="",TRUE(),COUNTIF(원본명단!$I$3:$I3083,원본명단!$I3083)=1),IF(원본명단!$K3083="",TRUE(),COUNTIF(원본명단!$K$3:$K3083,원본명단!$K3083)=1)),"첫 건","중복 건")))</f>
        <v/>
      </c>
      <c r="J3084" s="11" t="str">
        <f aca="false">IF($A3084="","",IF($H3084="-","유지",IF($I3084="첫 건","유지","확인 필요")))</f>
        <v/>
      </c>
    </row>
    <row r="3085" customFormat="false" ht="15" hidden="false" customHeight="true" outlineLevel="0" collapsed="false">
      <c r="A3085" s="11" t="str">
        <f aca="false">IF(원본명단!$A3084="","",3082)</f>
        <v/>
      </c>
      <c r="B3085" s="12" t="str">
        <f aca="false">IF($A3085="","",원본명단!$A3084)</f>
        <v/>
      </c>
      <c r="C3085" s="12" t="str">
        <f aca="false">IF($A3085="","",원본명단!$B3084)</f>
        <v/>
      </c>
      <c r="D3085" s="12" t="str">
        <f aca="false">IF($A3085="","",원본명단!$D3084)</f>
        <v/>
      </c>
      <c r="E3085" s="11" t="str">
        <f aca="false">IF($A3085="","",IF(원본명단!$H3084="",0,COUNTIF(원본명단!$H$3:$H$6002,원본명단!$H3084)))</f>
        <v/>
      </c>
      <c r="F3085" s="11" t="str">
        <f aca="false">IF($A3085="","",IF(원본명단!$I3084="",0,COUNTIF(원본명단!$I$3:$I$6002,원본명단!$I3084)))</f>
        <v/>
      </c>
      <c r="G3085" s="11" t="str">
        <f aca="false">IF($A3085="","",IF(원본명단!$K3084="",0,COUNTIF(원본명단!$K$3:$K$6002,원본명단!$K3084)))</f>
        <v/>
      </c>
      <c r="H3085" s="11" t="str">
        <f aca="false">IF($A3085="","",IF(MAX($E3085,$F3085,$G3085)&gt;1,"중복","-"))</f>
        <v/>
      </c>
      <c r="I3085" s="11" t="str">
        <f aca="false">IF($A3085="","",IF($H3085="-","-",IF(AND(IF(원본명단!$H3084="",TRUE(),COUNTIF(원본명단!$H$3:$H3084,원본명단!$H3084)=1),IF(원본명단!$I3084="",TRUE(),COUNTIF(원본명단!$I$3:$I3084,원본명단!$I3084)=1),IF(원본명단!$K3084="",TRUE(),COUNTIF(원본명단!$K$3:$K3084,원본명단!$K3084)=1)),"첫 건","중복 건")))</f>
        <v/>
      </c>
      <c r="J3085" s="11" t="str">
        <f aca="false">IF($A3085="","",IF($H3085="-","유지",IF($I3085="첫 건","유지","확인 필요")))</f>
        <v/>
      </c>
    </row>
    <row r="3086" customFormat="false" ht="15" hidden="false" customHeight="true" outlineLevel="0" collapsed="false">
      <c r="A3086" s="11" t="str">
        <f aca="false">IF(원본명단!$A3085="","",3083)</f>
        <v/>
      </c>
      <c r="B3086" s="12" t="str">
        <f aca="false">IF($A3086="","",원본명단!$A3085)</f>
        <v/>
      </c>
      <c r="C3086" s="12" t="str">
        <f aca="false">IF($A3086="","",원본명단!$B3085)</f>
        <v/>
      </c>
      <c r="D3086" s="12" t="str">
        <f aca="false">IF($A3086="","",원본명단!$D3085)</f>
        <v/>
      </c>
      <c r="E3086" s="11" t="str">
        <f aca="false">IF($A3086="","",IF(원본명단!$H3085="",0,COUNTIF(원본명단!$H$3:$H$6002,원본명단!$H3085)))</f>
        <v/>
      </c>
      <c r="F3086" s="11" t="str">
        <f aca="false">IF($A3086="","",IF(원본명단!$I3085="",0,COUNTIF(원본명단!$I$3:$I$6002,원본명단!$I3085)))</f>
        <v/>
      </c>
      <c r="G3086" s="11" t="str">
        <f aca="false">IF($A3086="","",IF(원본명단!$K3085="",0,COUNTIF(원본명단!$K$3:$K$6002,원본명단!$K3085)))</f>
        <v/>
      </c>
      <c r="H3086" s="11" t="str">
        <f aca="false">IF($A3086="","",IF(MAX($E3086,$F3086,$G3086)&gt;1,"중복","-"))</f>
        <v/>
      </c>
      <c r="I3086" s="11" t="str">
        <f aca="false">IF($A3086="","",IF($H3086="-","-",IF(AND(IF(원본명단!$H3085="",TRUE(),COUNTIF(원본명단!$H$3:$H3085,원본명단!$H3085)=1),IF(원본명단!$I3085="",TRUE(),COUNTIF(원본명단!$I$3:$I3085,원본명단!$I3085)=1),IF(원본명단!$K3085="",TRUE(),COUNTIF(원본명단!$K$3:$K3085,원본명단!$K3085)=1)),"첫 건","중복 건")))</f>
        <v/>
      </c>
      <c r="J3086" s="11" t="str">
        <f aca="false">IF($A3086="","",IF($H3086="-","유지",IF($I3086="첫 건","유지","확인 필요")))</f>
        <v/>
      </c>
    </row>
    <row r="3087" customFormat="false" ht="15" hidden="false" customHeight="true" outlineLevel="0" collapsed="false">
      <c r="A3087" s="11" t="str">
        <f aca="false">IF(원본명단!$A3086="","",3084)</f>
        <v/>
      </c>
      <c r="B3087" s="12" t="str">
        <f aca="false">IF($A3087="","",원본명단!$A3086)</f>
        <v/>
      </c>
      <c r="C3087" s="12" t="str">
        <f aca="false">IF($A3087="","",원본명단!$B3086)</f>
        <v/>
      </c>
      <c r="D3087" s="12" t="str">
        <f aca="false">IF($A3087="","",원본명단!$D3086)</f>
        <v/>
      </c>
      <c r="E3087" s="11" t="str">
        <f aca="false">IF($A3087="","",IF(원본명단!$H3086="",0,COUNTIF(원본명단!$H$3:$H$6002,원본명단!$H3086)))</f>
        <v/>
      </c>
      <c r="F3087" s="11" t="str">
        <f aca="false">IF($A3087="","",IF(원본명단!$I3086="",0,COUNTIF(원본명단!$I$3:$I$6002,원본명단!$I3086)))</f>
        <v/>
      </c>
      <c r="G3087" s="11" t="str">
        <f aca="false">IF($A3087="","",IF(원본명단!$K3086="",0,COUNTIF(원본명단!$K$3:$K$6002,원본명단!$K3086)))</f>
        <v/>
      </c>
      <c r="H3087" s="11" t="str">
        <f aca="false">IF($A3087="","",IF(MAX($E3087,$F3087,$G3087)&gt;1,"중복","-"))</f>
        <v/>
      </c>
      <c r="I3087" s="11" t="str">
        <f aca="false">IF($A3087="","",IF($H3087="-","-",IF(AND(IF(원본명단!$H3086="",TRUE(),COUNTIF(원본명단!$H$3:$H3086,원본명단!$H3086)=1),IF(원본명단!$I3086="",TRUE(),COUNTIF(원본명단!$I$3:$I3086,원본명단!$I3086)=1),IF(원본명단!$K3086="",TRUE(),COUNTIF(원본명단!$K$3:$K3086,원본명단!$K3086)=1)),"첫 건","중복 건")))</f>
        <v/>
      </c>
      <c r="J3087" s="11" t="str">
        <f aca="false">IF($A3087="","",IF($H3087="-","유지",IF($I3087="첫 건","유지","확인 필요")))</f>
        <v/>
      </c>
    </row>
    <row r="3088" customFormat="false" ht="15" hidden="false" customHeight="true" outlineLevel="0" collapsed="false">
      <c r="A3088" s="11" t="str">
        <f aca="false">IF(원본명단!$A3087="","",3085)</f>
        <v/>
      </c>
      <c r="B3088" s="12" t="str">
        <f aca="false">IF($A3088="","",원본명단!$A3087)</f>
        <v/>
      </c>
      <c r="C3088" s="12" t="str">
        <f aca="false">IF($A3088="","",원본명단!$B3087)</f>
        <v/>
      </c>
      <c r="D3088" s="12" t="str">
        <f aca="false">IF($A3088="","",원본명단!$D3087)</f>
        <v/>
      </c>
      <c r="E3088" s="11" t="str">
        <f aca="false">IF($A3088="","",IF(원본명단!$H3087="",0,COUNTIF(원본명단!$H$3:$H$6002,원본명단!$H3087)))</f>
        <v/>
      </c>
      <c r="F3088" s="11" t="str">
        <f aca="false">IF($A3088="","",IF(원본명단!$I3087="",0,COUNTIF(원본명단!$I$3:$I$6002,원본명단!$I3087)))</f>
        <v/>
      </c>
      <c r="G3088" s="11" t="str">
        <f aca="false">IF($A3088="","",IF(원본명단!$K3087="",0,COUNTIF(원본명단!$K$3:$K$6002,원본명단!$K3087)))</f>
        <v/>
      </c>
      <c r="H3088" s="11" t="str">
        <f aca="false">IF($A3088="","",IF(MAX($E3088,$F3088,$G3088)&gt;1,"중복","-"))</f>
        <v/>
      </c>
      <c r="I3088" s="11" t="str">
        <f aca="false">IF($A3088="","",IF($H3088="-","-",IF(AND(IF(원본명단!$H3087="",TRUE(),COUNTIF(원본명단!$H$3:$H3087,원본명단!$H3087)=1),IF(원본명단!$I3087="",TRUE(),COUNTIF(원본명단!$I$3:$I3087,원본명단!$I3087)=1),IF(원본명단!$K3087="",TRUE(),COUNTIF(원본명단!$K$3:$K3087,원본명단!$K3087)=1)),"첫 건","중복 건")))</f>
        <v/>
      </c>
      <c r="J3088" s="11" t="str">
        <f aca="false">IF($A3088="","",IF($H3088="-","유지",IF($I3088="첫 건","유지","확인 필요")))</f>
        <v/>
      </c>
    </row>
    <row r="3089" customFormat="false" ht="15" hidden="false" customHeight="true" outlineLevel="0" collapsed="false">
      <c r="A3089" s="11" t="str">
        <f aca="false">IF(원본명단!$A3088="","",3086)</f>
        <v/>
      </c>
      <c r="B3089" s="12" t="str">
        <f aca="false">IF($A3089="","",원본명단!$A3088)</f>
        <v/>
      </c>
      <c r="C3089" s="12" t="str">
        <f aca="false">IF($A3089="","",원본명단!$B3088)</f>
        <v/>
      </c>
      <c r="D3089" s="12" t="str">
        <f aca="false">IF($A3089="","",원본명단!$D3088)</f>
        <v/>
      </c>
      <c r="E3089" s="11" t="str">
        <f aca="false">IF($A3089="","",IF(원본명단!$H3088="",0,COUNTIF(원본명단!$H$3:$H$6002,원본명단!$H3088)))</f>
        <v/>
      </c>
      <c r="F3089" s="11" t="str">
        <f aca="false">IF($A3089="","",IF(원본명단!$I3088="",0,COUNTIF(원본명단!$I$3:$I$6002,원본명단!$I3088)))</f>
        <v/>
      </c>
      <c r="G3089" s="11" t="str">
        <f aca="false">IF($A3089="","",IF(원본명단!$K3088="",0,COUNTIF(원본명단!$K$3:$K$6002,원본명단!$K3088)))</f>
        <v/>
      </c>
      <c r="H3089" s="11" t="str">
        <f aca="false">IF($A3089="","",IF(MAX($E3089,$F3089,$G3089)&gt;1,"중복","-"))</f>
        <v/>
      </c>
      <c r="I3089" s="11" t="str">
        <f aca="false">IF($A3089="","",IF($H3089="-","-",IF(AND(IF(원본명단!$H3088="",TRUE(),COUNTIF(원본명단!$H$3:$H3088,원본명단!$H3088)=1),IF(원본명단!$I3088="",TRUE(),COUNTIF(원본명단!$I$3:$I3088,원본명단!$I3088)=1),IF(원본명단!$K3088="",TRUE(),COUNTIF(원본명단!$K$3:$K3088,원본명단!$K3088)=1)),"첫 건","중복 건")))</f>
        <v/>
      </c>
      <c r="J3089" s="11" t="str">
        <f aca="false">IF($A3089="","",IF($H3089="-","유지",IF($I3089="첫 건","유지","확인 필요")))</f>
        <v/>
      </c>
    </row>
    <row r="3090" customFormat="false" ht="15" hidden="false" customHeight="true" outlineLevel="0" collapsed="false">
      <c r="A3090" s="11" t="str">
        <f aca="false">IF(원본명단!$A3089="","",3087)</f>
        <v/>
      </c>
      <c r="B3090" s="12" t="str">
        <f aca="false">IF($A3090="","",원본명단!$A3089)</f>
        <v/>
      </c>
      <c r="C3090" s="12" t="str">
        <f aca="false">IF($A3090="","",원본명단!$B3089)</f>
        <v/>
      </c>
      <c r="D3090" s="12" t="str">
        <f aca="false">IF($A3090="","",원본명단!$D3089)</f>
        <v/>
      </c>
      <c r="E3090" s="11" t="str">
        <f aca="false">IF($A3090="","",IF(원본명단!$H3089="",0,COUNTIF(원본명단!$H$3:$H$6002,원본명단!$H3089)))</f>
        <v/>
      </c>
      <c r="F3090" s="11" t="str">
        <f aca="false">IF($A3090="","",IF(원본명단!$I3089="",0,COUNTIF(원본명단!$I$3:$I$6002,원본명단!$I3089)))</f>
        <v/>
      </c>
      <c r="G3090" s="11" t="str">
        <f aca="false">IF($A3090="","",IF(원본명단!$K3089="",0,COUNTIF(원본명단!$K$3:$K$6002,원본명단!$K3089)))</f>
        <v/>
      </c>
      <c r="H3090" s="11" t="str">
        <f aca="false">IF($A3090="","",IF(MAX($E3090,$F3090,$G3090)&gt;1,"중복","-"))</f>
        <v/>
      </c>
      <c r="I3090" s="11" t="str">
        <f aca="false">IF($A3090="","",IF($H3090="-","-",IF(AND(IF(원본명단!$H3089="",TRUE(),COUNTIF(원본명단!$H$3:$H3089,원본명단!$H3089)=1),IF(원본명단!$I3089="",TRUE(),COUNTIF(원본명단!$I$3:$I3089,원본명단!$I3089)=1),IF(원본명단!$K3089="",TRUE(),COUNTIF(원본명단!$K$3:$K3089,원본명단!$K3089)=1)),"첫 건","중복 건")))</f>
        <v/>
      </c>
      <c r="J3090" s="11" t="str">
        <f aca="false">IF($A3090="","",IF($H3090="-","유지",IF($I3090="첫 건","유지","확인 필요")))</f>
        <v/>
      </c>
    </row>
    <row r="3091" customFormat="false" ht="15" hidden="false" customHeight="true" outlineLevel="0" collapsed="false">
      <c r="A3091" s="11" t="str">
        <f aca="false">IF(원본명단!$A3090="","",3088)</f>
        <v/>
      </c>
      <c r="B3091" s="12" t="str">
        <f aca="false">IF($A3091="","",원본명단!$A3090)</f>
        <v/>
      </c>
      <c r="C3091" s="12" t="str">
        <f aca="false">IF($A3091="","",원본명단!$B3090)</f>
        <v/>
      </c>
      <c r="D3091" s="12" t="str">
        <f aca="false">IF($A3091="","",원본명단!$D3090)</f>
        <v/>
      </c>
      <c r="E3091" s="11" t="str">
        <f aca="false">IF($A3091="","",IF(원본명단!$H3090="",0,COUNTIF(원본명단!$H$3:$H$6002,원본명단!$H3090)))</f>
        <v/>
      </c>
      <c r="F3091" s="11" t="str">
        <f aca="false">IF($A3091="","",IF(원본명단!$I3090="",0,COUNTIF(원본명단!$I$3:$I$6002,원본명단!$I3090)))</f>
        <v/>
      </c>
      <c r="G3091" s="11" t="str">
        <f aca="false">IF($A3091="","",IF(원본명단!$K3090="",0,COUNTIF(원본명단!$K$3:$K$6002,원본명단!$K3090)))</f>
        <v/>
      </c>
      <c r="H3091" s="11" t="str">
        <f aca="false">IF($A3091="","",IF(MAX($E3091,$F3091,$G3091)&gt;1,"중복","-"))</f>
        <v/>
      </c>
      <c r="I3091" s="11" t="str">
        <f aca="false">IF($A3091="","",IF($H3091="-","-",IF(AND(IF(원본명단!$H3090="",TRUE(),COUNTIF(원본명단!$H$3:$H3090,원본명단!$H3090)=1),IF(원본명단!$I3090="",TRUE(),COUNTIF(원본명단!$I$3:$I3090,원본명단!$I3090)=1),IF(원본명단!$K3090="",TRUE(),COUNTIF(원본명단!$K$3:$K3090,원본명단!$K3090)=1)),"첫 건","중복 건")))</f>
        <v/>
      </c>
      <c r="J3091" s="11" t="str">
        <f aca="false">IF($A3091="","",IF($H3091="-","유지",IF($I3091="첫 건","유지","확인 필요")))</f>
        <v/>
      </c>
    </row>
    <row r="3092" customFormat="false" ht="15" hidden="false" customHeight="true" outlineLevel="0" collapsed="false">
      <c r="A3092" s="11" t="str">
        <f aca="false">IF(원본명단!$A3091="","",3089)</f>
        <v/>
      </c>
      <c r="B3092" s="12" t="str">
        <f aca="false">IF($A3092="","",원본명단!$A3091)</f>
        <v/>
      </c>
      <c r="C3092" s="12" t="str">
        <f aca="false">IF($A3092="","",원본명단!$B3091)</f>
        <v/>
      </c>
      <c r="D3092" s="12" t="str">
        <f aca="false">IF($A3092="","",원본명단!$D3091)</f>
        <v/>
      </c>
      <c r="E3092" s="11" t="str">
        <f aca="false">IF($A3092="","",IF(원본명단!$H3091="",0,COUNTIF(원본명단!$H$3:$H$6002,원본명단!$H3091)))</f>
        <v/>
      </c>
      <c r="F3092" s="11" t="str">
        <f aca="false">IF($A3092="","",IF(원본명단!$I3091="",0,COUNTIF(원본명단!$I$3:$I$6002,원본명단!$I3091)))</f>
        <v/>
      </c>
      <c r="G3092" s="11" t="str">
        <f aca="false">IF($A3092="","",IF(원본명단!$K3091="",0,COUNTIF(원본명단!$K$3:$K$6002,원본명단!$K3091)))</f>
        <v/>
      </c>
      <c r="H3092" s="11" t="str">
        <f aca="false">IF($A3092="","",IF(MAX($E3092,$F3092,$G3092)&gt;1,"중복","-"))</f>
        <v/>
      </c>
      <c r="I3092" s="11" t="str">
        <f aca="false">IF($A3092="","",IF($H3092="-","-",IF(AND(IF(원본명단!$H3091="",TRUE(),COUNTIF(원본명단!$H$3:$H3091,원본명단!$H3091)=1),IF(원본명단!$I3091="",TRUE(),COUNTIF(원본명단!$I$3:$I3091,원본명단!$I3091)=1),IF(원본명단!$K3091="",TRUE(),COUNTIF(원본명단!$K$3:$K3091,원본명단!$K3091)=1)),"첫 건","중복 건")))</f>
        <v/>
      </c>
      <c r="J3092" s="11" t="str">
        <f aca="false">IF($A3092="","",IF($H3092="-","유지",IF($I3092="첫 건","유지","확인 필요")))</f>
        <v/>
      </c>
    </row>
    <row r="3093" customFormat="false" ht="15" hidden="false" customHeight="true" outlineLevel="0" collapsed="false">
      <c r="A3093" s="11" t="str">
        <f aca="false">IF(원본명단!$A3092="","",3090)</f>
        <v/>
      </c>
      <c r="B3093" s="12" t="str">
        <f aca="false">IF($A3093="","",원본명단!$A3092)</f>
        <v/>
      </c>
      <c r="C3093" s="12" t="str">
        <f aca="false">IF($A3093="","",원본명단!$B3092)</f>
        <v/>
      </c>
      <c r="D3093" s="12" t="str">
        <f aca="false">IF($A3093="","",원본명단!$D3092)</f>
        <v/>
      </c>
      <c r="E3093" s="11" t="str">
        <f aca="false">IF($A3093="","",IF(원본명단!$H3092="",0,COUNTIF(원본명단!$H$3:$H$6002,원본명단!$H3092)))</f>
        <v/>
      </c>
      <c r="F3093" s="11" t="str">
        <f aca="false">IF($A3093="","",IF(원본명단!$I3092="",0,COUNTIF(원본명단!$I$3:$I$6002,원본명단!$I3092)))</f>
        <v/>
      </c>
      <c r="G3093" s="11" t="str">
        <f aca="false">IF($A3093="","",IF(원본명단!$K3092="",0,COUNTIF(원본명단!$K$3:$K$6002,원본명단!$K3092)))</f>
        <v/>
      </c>
      <c r="H3093" s="11" t="str">
        <f aca="false">IF($A3093="","",IF(MAX($E3093,$F3093,$G3093)&gt;1,"중복","-"))</f>
        <v/>
      </c>
      <c r="I3093" s="11" t="str">
        <f aca="false">IF($A3093="","",IF($H3093="-","-",IF(AND(IF(원본명단!$H3092="",TRUE(),COUNTIF(원본명단!$H$3:$H3092,원본명단!$H3092)=1),IF(원본명단!$I3092="",TRUE(),COUNTIF(원본명단!$I$3:$I3092,원본명단!$I3092)=1),IF(원본명단!$K3092="",TRUE(),COUNTIF(원본명단!$K$3:$K3092,원본명단!$K3092)=1)),"첫 건","중복 건")))</f>
        <v/>
      </c>
      <c r="J3093" s="11" t="str">
        <f aca="false">IF($A3093="","",IF($H3093="-","유지",IF($I3093="첫 건","유지","확인 필요")))</f>
        <v/>
      </c>
    </row>
    <row r="3094" customFormat="false" ht="15" hidden="false" customHeight="true" outlineLevel="0" collapsed="false">
      <c r="A3094" s="11" t="str">
        <f aca="false">IF(원본명단!$A3093="","",3091)</f>
        <v/>
      </c>
      <c r="B3094" s="12" t="str">
        <f aca="false">IF($A3094="","",원본명단!$A3093)</f>
        <v/>
      </c>
      <c r="C3094" s="12" t="str">
        <f aca="false">IF($A3094="","",원본명단!$B3093)</f>
        <v/>
      </c>
      <c r="D3094" s="12" t="str">
        <f aca="false">IF($A3094="","",원본명단!$D3093)</f>
        <v/>
      </c>
      <c r="E3094" s="11" t="str">
        <f aca="false">IF($A3094="","",IF(원본명단!$H3093="",0,COUNTIF(원본명단!$H$3:$H$6002,원본명단!$H3093)))</f>
        <v/>
      </c>
      <c r="F3094" s="11" t="str">
        <f aca="false">IF($A3094="","",IF(원본명단!$I3093="",0,COUNTIF(원본명단!$I$3:$I$6002,원본명단!$I3093)))</f>
        <v/>
      </c>
      <c r="G3094" s="11" t="str">
        <f aca="false">IF($A3094="","",IF(원본명단!$K3093="",0,COUNTIF(원본명단!$K$3:$K$6002,원본명단!$K3093)))</f>
        <v/>
      </c>
      <c r="H3094" s="11" t="str">
        <f aca="false">IF($A3094="","",IF(MAX($E3094,$F3094,$G3094)&gt;1,"중복","-"))</f>
        <v/>
      </c>
      <c r="I3094" s="11" t="str">
        <f aca="false">IF($A3094="","",IF($H3094="-","-",IF(AND(IF(원본명단!$H3093="",TRUE(),COUNTIF(원본명단!$H$3:$H3093,원본명단!$H3093)=1),IF(원본명단!$I3093="",TRUE(),COUNTIF(원본명단!$I$3:$I3093,원본명단!$I3093)=1),IF(원본명단!$K3093="",TRUE(),COUNTIF(원본명단!$K$3:$K3093,원본명단!$K3093)=1)),"첫 건","중복 건")))</f>
        <v/>
      </c>
      <c r="J3094" s="11" t="str">
        <f aca="false">IF($A3094="","",IF($H3094="-","유지",IF($I3094="첫 건","유지","확인 필요")))</f>
        <v/>
      </c>
    </row>
    <row r="3095" customFormat="false" ht="15" hidden="false" customHeight="true" outlineLevel="0" collapsed="false">
      <c r="A3095" s="11" t="str">
        <f aca="false">IF(원본명단!$A3094="","",3092)</f>
        <v/>
      </c>
      <c r="B3095" s="12" t="str">
        <f aca="false">IF($A3095="","",원본명단!$A3094)</f>
        <v/>
      </c>
      <c r="C3095" s="12" t="str">
        <f aca="false">IF($A3095="","",원본명단!$B3094)</f>
        <v/>
      </c>
      <c r="D3095" s="12" t="str">
        <f aca="false">IF($A3095="","",원본명단!$D3094)</f>
        <v/>
      </c>
      <c r="E3095" s="11" t="str">
        <f aca="false">IF($A3095="","",IF(원본명단!$H3094="",0,COUNTIF(원본명단!$H$3:$H$6002,원본명단!$H3094)))</f>
        <v/>
      </c>
      <c r="F3095" s="11" t="str">
        <f aca="false">IF($A3095="","",IF(원본명단!$I3094="",0,COUNTIF(원본명단!$I$3:$I$6002,원본명단!$I3094)))</f>
        <v/>
      </c>
      <c r="G3095" s="11" t="str">
        <f aca="false">IF($A3095="","",IF(원본명단!$K3094="",0,COUNTIF(원본명단!$K$3:$K$6002,원본명단!$K3094)))</f>
        <v/>
      </c>
      <c r="H3095" s="11" t="str">
        <f aca="false">IF($A3095="","",IF(MAX($E3095,$F3095,$G3095)&gt;1,"중복","-"))</f>
        <v/>
      </c>
      <c r="I3095" s="11" t="str">
        <f aca="false">IF($A3095="","",IF($H3095="-","-",IF(AND(IF(원본명단!$H3094="",TRUE(),COUNTIF(원본명단!$H$3:$H3094,원본명단!$H3094)=1),IF(원본명단!$I3094="",TRUE(),COUNTIF(원본명단!$I$3:$I3094,원본명단!$I3094)=1),IF(원본명단!$K3094="",TRUE(),COUNTIF(원본명단!$K$3:$K3094,원본명단!$K3094)=1)),"첫 건","중복 건")))</f>
        <v/>
      </c>
      <c r="J3095" s="11" t="str">
        <f aca="false">IF($A3095="","",IF($H3095="-","유지",IF($I3095="첫 건","유지","확인 필요")))</f>
        <v/>
      </c>
    </row>
    <row r="3096" customFormat="false" ht="15" hidden="false" customHeight="true" outlineLevel="0" collapsed="false">
      <c r="A3096" s="11" t="str">
        <f aca="false">IF(원본명단!$A3095="","",3093)</f>
        <v/>
      </c>
      <c r="B3096" s="12" t="str">
        <f aca="false">IF($A3096="","",원본명단!$A3095)</f>
        <v/>
      </c>
      <c r="C3096" s="12" t="str">
        <f aca="false">IF($A3096="","",원본명단!$B3095)</f>
        <v/>
      </c>
      <c r="D3096" s="12" t="str">
        <f aca="false">IF($A3096="","",원본명단!$D3095)</f>
        <v/>
      </c>
      <c r="E3096" s="11" t="str">
        <f aca="false">IF($A3096="","",IF(원본명단!$H3095="",0,COUNTIF(원본명단!$H$3:$H$6002,원본명단!$H3095)))</f>
        <v/>
      </c>
      <c r="F3096" s="11" t="str">
        <f aca="false">IF($A3096="","",IF(원본명단!$I3095="",0,COUNTIF(원본명단!$I$3:$I$6002,원본명단!$I3095)))</f>
        <v/>
      </c>
      <c r="G3096" s="11" t="str">
        <f aca="false">IF($A3096="","",IF(원본명단!$K3095="",0,COUNTIF(원본명단!$K$3:$K$6002,원본명단!$K3095)))</f>
        <v/>
      </c>
      <c r="H3096" s="11" t="str">
        <f aca="false">IF($A3096="","",IF(MAX($E3096,$F3096,$G3096)&gt;1,"중복","-"))</f>
        <v/>
      </c>
      <c r="I3096" s="11" t="str">
        <f aca="false">IF($A3096="","",IF($H3096="-","-",IF(AND(IF(원본명단!$H3095="",TRUE(),COUNTIF(원본명단!$H$3:$H3095,원본명단!$H3095)=1),IF(원본명단!$I3095="",TRUE(),COUNTIF(원본명단!$I$3:$I3095,원본명단!$I3095)=1),IF(원본명단!$K3095="",TRUE(),COUNTIF(원본명단!$K$3:$K3095,원본명단!$K3095)=1)),"첫 건","중복 건")))</f>
        <v/>
      </c>
      <c r="J3096" s="11" t="str">
        <f aca="false">IF($A3096="","",IF($H3096="-","유지",IF($I3096="첫 건","유지","확인 필요")))</f>
        <v/>
      </c>
    </row>
    <row r="3097" customFormat="false" ht="15" hidden="false" customHeight="true" outlineLevel="0" collapsed="false">
      <c r="A3097" s="11" t="str">
        <f aca="false">IF(원본명단!$A3096="","",3094)</f>
        <v/>
      </c>
      <c r="B3097" s="12" t="str">
        <f aca="false">IF($A3097="","",원본명단!$A3096)</f>
        <v/>
      </c>
      <c r="C3097" s="12" t="str">
        <f aca="false">IF($A3097="","",원본명단!$B3096)</f>
        <v/>
      </c>
      <c r="D3097" s="12" t="str">
        <f aca="false">IF($A3097="","",원본명단!$D3096)</f>
        <v/>
      </c>
      <c r="E3097" s="11" t="str">
        <f aca="false">IF($A3097="","",IF(원본명단!$H3096="",0,COUNTIF(원본명단!$H$3:$H$6002,원본명단!$H3096)))</f>
        <v/>
      </c>
      <c r="F3097" s="11" t="str">
        <f aca="false">IF($A3097="","",IF(원본명단!$I3096="",0,COUNTIF(원본명단!$I$3:$I$6002,원본명단!$I3096)))</f>
        <v/>
      </c>
      <c r="G3097" s="11" t="str">
        <f aca="false">IF($A3097="","",IF(원본명단!$K3096="",0,COUNTIF(원본명단!$K$3:$K$6002,원본명단!$K3096)))</f>
        <v/>
      </c>
      <c r="H3097" s="11" t="str">
        <f aca="false">IF($A3097="","",IF(MAX($E3097,$F3097,$G3097)&gt;1,"중복","-"))</f>
        <v/>
      </c>
      <c r="I3097" s="11" t="str">
        <f aca="false">IF($A3097="","",IF($H3097="-","-",IF(AND(IF(원본명단!$H3096="",TRUE(),COUNTIF(원본명단!$H$3:$H3096,원본명단!$H3096)=1),IF(원본명단!$I3096="",TRUE(),COUNTIF(원본명단!$I$3:$I3096,원본명단!$I3096)=1),IF(원본명단!$K3096="",TRUE(),COUNTIF(원본명단!$K$3:$K3096,원본명단!$K3096)=1)),"첫 건","중복 건")))</f>
        <v/>
      </c>
      <c r="J3097" s="11" t="str">
        <f aca="false">IF($A3097="","",IF($H3097="-","유지",IF($I3097="첫 건","유지","확인 필요")))</f>
        <v/>
      </c>
    </row>
    <row r="3098" customFormat="false" ht="15" hidden="false" customHeight="true" outlineLevel="0" collapsed="false">
      <c r="A3098" s="11" t="str">
        <f aca="false">IF(원본명단!$A3097="","",3095)</f>
        <v/>
      </c>
      <c r="B3098" s="12" t="str">
        <f aca="false">IF($A3098="","",원본명단!$A3097)</f>
        <v/>
      </c>
      <c r="C3098" s="12" t="str">
        <f aca="false">IF($A3098="","",원본명단!$B3097)</f>
        <v/>
      </c>
      <c r="D3098" s="12" t="str">
        <f aca="false">IF($A3098="","",원본명단!$D3097)</f>
        <v/>
      </c>
      <c r="E3098" s="11" t="str">
        <f aca="false">IF($A3098="","",IF(원본명단!$H3097="",0,COUNTIF(원본명단!$H$3:$H$6002,원본명단!$H3097)))</f>
        <v/>
      </c>
      <c r="F3098" s="11" t="str">
        <f aca="false">IF($A3098="","",IF(원본명단!$I3097="",0,COUNTIF(원본명단!$I$3:$I$6002,원본명단!$I3097)))</f>
        <v/>
      </c>
      <c r="G3098" s="11" t="str">
        <f aca="false">IF($A3098="","",IF(원본명단!$K3097="",0,COUNTIF(원본명단!$K$3:$K$6002,원본명단!$K3097)))</f>
        <v/>
      </c>
      <c r="H3098" s="11" t="str">
        <f aca="false">IF($A3098="","",IF(MAX($E3098,$F3098,$G3098)&gt;1,"중복","-"))</f>
        <v/>
      </c>
      <c r="I3098" s="11" t="str">
        <f aca="false">IF($A3098="","",IF($H3098="-","-",IF(AND(IF(원본명단!$H3097="",TRUE(),COUNTIF(원본명단!$H$3:$H3097,원본명단!$H3097)=1),IF(원본명단!$I3097="",TRUE(),COUNTIF(원본명단!$I$3:$I3097,원본명단!$I3097)=1),IF(원본명단!$K3097="",TRUE(),COUNTIF(원본명단!$K$3:$K3097,원본명단!$K3097)=1)),"첫 건","중복 건")))</f>
        <v/>
      </c>
      <c r="J3098" s="11" t="str">
        <f aca="false">IF($A3098="","",IF($H3098="-","유지",IF($I3098="첫 건","유지","확인 필요")))</f>
        <v/>
      </c>
    </row>
    <row r="3099" customFormat="false" ht="15" hidden="false" customHeight="true" outlineLevel="0" collapsed="false">
      <c r="A3099" s="11" t="str">
        <f aca="false">IF(원본명단!$A3098="","",3096)</f>
        <v/>
      </c>
      <c r="B3099" s="12" t="str">
        <f aca="false">IF($A3099="","",원본명단!$A3098)</f>
        <v/>
      </c>
      <c r="C3099" s="12" t="str">
        <f aca="false">IF($A3099="","",원본명단!$B3098)</f>
        <v/>
      </c>
      <c r="D3099" s="12" t="str">
        <f aca="false">IF($A3099="","",원본명단!$D3098)</f>
        <v/>
      </c>
      <c r="E3099" s="11" t="str">
        <f aca="false">IF($A3099="","",IF(원본명단!$H3098="",0,COUNTIF(원본명단!$H$3:$H$6002,원본명단!$H3098)))</f>
        <v/>
      </c>
      <c r="F3099" s="11" t="str">
        <f aca="false">IF($A3099="","",IF(원본명단!$I3098="",0,COUNTIF(원본명단!$I$3:$I$6002,원본명단!$I3098)))</f>
        <v/>
      </c>
      <c r="G3099" s="11" t="str">
        <f aca="false">IF($A3099="","",IF(원본명단!$K3098="",0,COUNTIF(원본명단!$K$3:$K$6002,원본명단!$K3098)))</f>
        <v/>
      </c>
      <c r="H3099" s="11" t="str">
        <f aca="false">IF($A3099="","",IF(MAX($E3099,$F3099,$G3099)&gt;1,"중복","-"))</f>
        <v/>
      </c>
      <c r="I3099" s="11" t="str">
        <f aca="false">IF($A3099="","",IF($H3099="-","-",IF(AND(IF(원본명단!$H3098="",TRUE(),COUNTIF(원본명단!$H$3:$H3098,원본명단!$H3098)=1),IF(원본명단!$I3098="",TRUE(),COUNTIF(원본명단!$I$3:$I3098,원본명단!$I3098)=1),IF(원본명단!$K3098="",TRUE(),COUNTIF(원본명단!$K$3:$K3098,원본명단!$K3098)=1)),"첫 건","중복 건")))</f>
        <v/>
      </c>
      <c r="J3099" s="11" t="str">
        <f aca="false">IF($A3099="","",IF($H3099="-","유지",IF($I3099="첫 건","유지","확인 필요")))</f>
        <v/>
      </c>
    </row>
    <row r="3100" customFormat="false" ht="15" hidden="false" customHeight="true" outlineLevel="0" collapsed="false">
      <c r="A3100" s="11" t="str">
        <f aca="false">IF(원본명단!$A3099="","",3097)</f>
        <v/>
      </c>
      <c r="B3100" s="12" t="str">
        <f aca="false">IF($A3100="","",원본명단!$A3099)</f>
        <v/>
      </c>
      <c r="C3100" s="12" t="str">
        <f aca="false">IF($A3100="","",원본명단!$B3099)</f>
        <v/>
      </c>
      <c r="D3100" s="12" t="str">
        <f aca="false">IF($A3100="","",원본명단!$D3099)</f>
        <v/>
      </c>
      <c r="E3100" s="11" t="str">
        <f aca="false">IF($A3100="","",IF(원본명단!$H3099="",0,COUNTIF(원본명단!$H$3:$H$6002,원본명단!$H3099)))</f>
        <v/>
      </c>
      <c r="F3100" s="11" t="str">
        <f aca="false">IF($A3100="","",IF(원본명단!$I3099="",0,COUNTIF(원본명단!$I$3:$I$6002,원본명단!$I3099)))</f>
        <v/>
      </c>
      <c r="G3100" s="11" t="str">
        <f aca="false">IF($A3100="","",IF(원본명단!$K3099="",0,COUNTIF(원본명단!$K$3:$K$6002,원본명단!$K3099)))</f>
        <v/>
      </c>
      <c r="H3100" s="11" t="str">
        <f aca="false">IF($A3100="","",IF(MAX($E3100,$F3100,$G3100)&gt;1,"중복","-"))</f>
        <v/>
      </c>
      <c r="I3100" s="11" t="str">
        <f aca="false">IF($A3100="","",IF($H3100="-","-",IF(AND(IF(원본명단!$H3099="",TRUE(),COUNTIF(원본명단!$H$3:$H3099,원본명단!$H3099)=1),IF(원본명단!$I3099="",TRUE(),COUNTIF(원본명단!$I$3:$I3099,원본명단!$I3099)=1),IF(원본명단!$K3099="",TRUE(),COUNTIF(원본명단!$K$3:$K3099,원본명단!$K3099)=1)),"첫 건","중복 건")))</f>
        <v/>
      </c>
      <c r="J3100" s="11" t="str">
        <f aca="false">IF($A3100="","",IF($H3100="-","유지",IF($I3100="첫 건","유지","확인 필요")))</f>
        <v/>
      </c>
    </row>
    <row r="3101" customFormat="false" ht="15" hidden="false" customHeight="true" outlineLevel="0" collapsed="false">
      <c r="A3101" s="11" t="str">
        <f aca="false">IF(원본명단!$A3100="","",3098)</f>
        <v/>
      </c>
      <c r="B3101" s="12" t="str">
        <f aca="false">IF($A3101="","",원본명단!$A3100)</f>
        <v/>
      </c>
      <c r="C3101" s="12" t="str">
        <f aca="false">IF($A3101="","",원본명단!$B3100)</f>
        <v/>
      </c>
      <c r="D3101" s="12" t="str">
        <f aca="false">IF($A3101="","",원본명단!$D3100)</f>
        <v/>
      </c>
      <c r="E3101" s="11" t="str">
        <f aca="false">IF($A3101="","",IF(원본명단!$H3100="",0,COUNTIF(원본명단!$H$3:$H$6002,원본명단!$H3100)))</f>
        <v/>
      </c>
      <c r="F3101" s="11" t="str">
        <f aca="false">IF($A3101="","",IF(원본명단!$I3100="",0,COUNTIF(원본명단!$I$3:$I$6002,원본명단!$I3100)))</f>
        <v/>
      </c>
      <c r="G3101" s="11" t="str">
        <f aca="false">IF($A3101="","",IF(원본명단!$K3100="",0,COUNTIF(원본명단!$K$3:$K$6002,원본명단!$K3100)))</f>
        <v/>
      </c>
      <c r="H3101" s="11" t="str">
        <f aca="false">IF($A3101="","",IF(MAX($E3101,$F3101,$G3101)&gt;1,"중복","-"))</f>
        <v/>
      </c>
      <c r="I3101" s="11" t="str">
        <f aca="false">IF($A3101="","",IF($H3101="-","-",IF(AND(IF(원본명단!$H3100="",TRUE(),COUNTIF(원본명단!$H$3:$H3100,원본명단!$H3100)=1),IF(원본명단!$I3100="",TRUE(),COUNTIF(원본명단!$I$3:$I3100,원본명단!$I3100)=1),IF(원본명단!$K3100="",TRUE(),COUNTIF(원본명단!$K$3:$K3100,원본명단!$K3100)=1)),"첫 건","중복 건")))</f>
        <v/>
      </c>
      <c r="J3101" s="11" t="str">
        <f aca="false">IF($A3101="","",IF($H3101="-","유지",IF($I3101="첫 건","유지","확인 필요")))</f>
        <v/>
      </c>
    </row>
    <row r="3102" customFormat="false" ht="15" hidden="false" customHeight="true" outlineLevel="0" collapsed="false">
      <c r="A3102" s="11" t="str">
        <f aca="false">IF(원본명단!$A3101="","",3099)</f>
        <v/>
      </c>
      <c r="B3102" s="12" t="str">
        <f aca="false">IF($A3102="","",원본명단!$A3101)</f>
        <v/>
      </c>
      <c r="C3102" s="12" t="str">
        <f aca="false">IF($A3102="","",원본명단!$B3101)</f>
        <v/>
      </c>
      <c r="D3102" s="12" t="str">
        <f aca="false">IF($A3102="","",원본명단!$D3101)</f>
        <v/>
      </c>
      <c r="E3102" s="11" t="str">
        <f aca="false">IF($A3102="","",IF(원본명단!$H3101="",0,COUNTIF(원본명단!$H$3:$H$6002,원본명단!$H3101)))</f>
        <v/>
      </c>
      <c r="F3102" s="11" t="str">
        <f aca="false">IF($A3102="","",IF(원본명단!$I3101="",0,COUNTIF(원본명단!$I$3:$I$6002,원본명단!$I3101)))</f>
        <v/>
      </c>
      <c r="G3102" s="11" t="str">
        <f aca="false">IF($A3102="","",IF(원본명단!$K3101="",0,COUNTIF(원본명단!$K$3:$K$6002,원본명단!$K3101)))</f>
        <v/>
      </c>
      <c r="H3102" s="11" t="str">
        <f aca="false">IF($A3102="","",IF(MAX($E3102,$F3102,$G3102)&gt;1,"중복","-"))</f>
        <v/>
      </c>
      <c r="I3102" s="11" t="str">
        <f aca="false">IF($A3102="","",IF($H3102="-","-",IF(AND(IF(원본명단!$H3101="",TRUE(),COUNTIF(원본명단!$H$3:$H3101,원본명단!$H3101)=1),IF(원본명단!$I3101="",TRUE(),COUNTIF(원본명단!$I$3:$I3101,원본명단!$I3101)=1),IF(원본명단!$K3101="",TRUE(),COUNTIF(원본명단!$K$3:$K3101,원본명단!$K3101)=1)),"첫 건","중복 건")))</f>
        <v/>
      </c>
      <c r="J3102" s="11" t="str">
        <f aca="false">IF($A3102="","",IF($H3102="-","유지",IF($I3102="첫 건","유지","확인 필요")))</f>
        <v/>
      </c>
    </row>
    <row r="3103" customFormat="false" ht="15" hidden="false" customHeight="true" outlineLevel="0" collapsed="false">
      <c r="A3103" s="11" t="str">
        <f aca="false">IF(원본명단!$A3102="","",3100)</f>
        <v/>
      </c>
      <c r="B3103" s="12" t="str">
        <f aca="false">IF($A3103="","",원본명단!$A3102)</f>
        <v/>
      </c>
      <c r="C3103" s="12" t="str">
        <f aca="false">IF($A3103="","",원본명단!$B3102)</f>
        <v/>
      </c>
      <c r="D3103" s="12" t="str">
        <f aca="false">IF($A3103="","",원본명단!$D3102)</f>
        <v/>
      </c>
      <c r="E3103" s="11" t="str">
        <f aca="false">IF($A3103="","",IF(원본명단!$H3102="",0,COUNTIF(원본명단!$H$3:$H$6002,원본명단!$H3102)))</f>
        <v/>
      </c>
      <c r="F3103" s="11" t="str">
        <f aca="false">IF($A3103="","",IF(원본명단!$I3102="",0,COUNTIF(원본명단!$I$3:$I$6002,원본명단!$I3102)))</f>
        <v/>
      </c>
      <c r="G3103" s="11" t="str">
        <f aca="false">IF($A3103="","",IF(원본명단!$K3102="",0,COUNTIF(원본명단!$K$3:$K$6002,원본명단!$K3102)))</f>
        <v/>
      </c>
      <c r="H3103" s="11" t="str">
        <f aca="false">IF($A3103="","",IF(MAX($E3103,$F3103,$G3103)&gt;1,"중복","-"))</f>
        <v/>
      </c>
      <c r="I3103" s="11" t="str">
        <f aca="false">IF($A3103="","",IF($H3103="-","-",IF(AND(IF(원본명단!$H3102="",TRUE(),COUNTIF(원본명단!$H$3:$H3102,원본명단!$H3102)=1),IF(원본명단!$I3102="",TRUE(),COUNTIF(원본명단!$I$3:$I3102,원본명단!$I3102)=1),IF(원본명단!$K3102="",TRUE(),COUNTIF(원본명단!$K$3:$K3102,원본명단!$K3102)=1)),"첫 건","중복 건")))</f>
        <v/>
      </c>
      <c r="J3103" s="11" t="str">
        <f aca="false">IF($A3103="","",IF($H3103="-","유지",IF($I3103="첫 건","유지","확인 필요")))</f>
        <v/>
      </c>
    </row>
    <row r="3104" customFormat="false" ht="15" hidden="false" customHeight="true" outlineLevel="0" collapsed="false">
      <c r="A3104" s="11" t="str">
        <f aca="false">IF(원본명단!$A3103="","",3101)</f>
        <v/>
      </c>
      <c r="B3104" s="12" t="str">
        <f aca="false">IF($A3104="","",원본명단!$A3103)</f>
        <v/>
      </c>
      <c r="C3104" s="12" t="str">
        <f aca="false">IF($A3104="","",원본명단!$B3103)</f>
        <v/>
      </c>
      <c r="D3104" s="12" t="str">
        <f aca="false">IF($A3104="","",원본명단!$D3103)</f>
        <v/>
      </c>
      <c r="E3104" s="11" t="str">
        <f aca="false">IF($A3104="","",IF(원본명단!$H3103="",0,COUNTIF(원본명단!$H$3:$H$6002,원본명단!$H3103)))</f>
        <v/>
      </c>
      <c r="F3104" s="11" t="str">
        <f aca="false">IF($A3104="","",IF(원본명단!$I3103="",0,COUNTIF(원본명단!$I$3:$I$6002,원본명단!$I3103)))</f>
        <v/>
      </c>
      <c r="G3104" s="11" t="str">
        <f aca="false">IF($A3104="","",IF(원본명단!$K3103="",0,COUNTIF(원본명단!$K$3:$K$6002,원본명단!$K3103)))</f>
        <v/>
      </c>
      <c r="H3104" s="11" t="str">
        <f aca="false">IF($A3104="","",IF(MAX($E3104,$F3104,$G3104)&gt;1,"중복","-"))</f>
        <v/>
      </c>
      <c r="I3104" s="11" t="str">
        <f aca="false">IF($A3104="","",IF($H3104="-","-",IF(AND(IF(원본명단!$H3103="",TRUE(),COUNTIF(원본명단!$H$3:$H3103,원본명단!$H3103)=1),IF(원본명단!$I3103="",TRUE(),COUNTIF(원본명단!$I$3:$I3103,원본명단!$I3103)=1),IF(원본명단!$K3103="",TRUE(),COUNTIF(원본명단!$K$3:$K3103,원본명단!$K3103)=1)),"첫 건","중복 건")))</f>
        <v/>
      </c>
      <c r="J3104" s="11" t="str">
        <f aca="false">IF($A3104="","",IF($H3104="-","유지",IF($I3104="첫 건","유지","확인 필요")))</f>
        <v/>
      </c>
    </row>
    <row r="3105" customFormat="false" ht="15" hidden="false" customHeight="true" outlineLevel="0" collapsed="false">
      <c r="A3105" s="11" t="str">
        <f aca="false">IF(원본명단!$A3104="","",3102)</f>
        <v/>
      </c>
      <c r="B3105" s="12" t="str">
        <f aca="false">IF($A3105="","",원본명단!$A3104)</f>
        <v/>
      </c>
      <c r="C3105" s="12" t="str">
        <f aca="false">IF($A3105="","",원본명단!$B3104)</f>
        <v/>
      </c>
      <c r="D3105" s="12" t="str">
        <f aca="false">IF($A3105="","",원본명단!$D3104)</f>
        <v/>
      </c>
      <c r="E3105" s="11" t="str">
        <f aca="false">IF($A3105="","",IF(원본명단!$H3104="",0,COUNTIF(원본명단!$H$3:$H$6002,원본명단!$H3104)))</f>
        <v/>
      </c>
      <c r="F3105" s="11" t="str">
        <f aca="false">IF($A3105="","",IF(원본명단!$I3104="",0,COUNTIF(원본명단!$I$3:$I$6002,원본명단!$I3104)))</f>
        <v/>
      </c>
      <c r="G3105" s="11" t="str">
        <f aca="false">IF($A3105="","",IF(원본명단!$K3104="",0,COUNTIF(원본명단!$K$3:$K$6002,원본명단!$K3104)))</f>
        <v/>
      </c>
      <c r="H3105" s="11" t="str">
        <f aca="false">IF($A3105="","",IF(MAX($E3105,$F3105,$G3105)&gt;1,"중복","-"))</f>
        <v/>
      </c>
      <c r="I3105" s="11" t="str">
        <f aca="false">IF($A3105="","",IF($H3105="-","-",IF(AND(IF(원본명단!$H3104="",TRUE(),COUNTIF(원본명단!$H$3:$H3104,원본명단!$H3104)=1),IF(원본명단!$I3104="",TRUE(),COUNTIF(원본명단!$I$3:$I3104,원본명단!$I3104)=1),IF(원본명단!$K3104="",TRUE(),COUNTIF(원본명단!$K$3:$K3104,원본명단!$K3104)=1)),"첫 건","중복 건")))</f>
        <v/>
      </c>
      <c r="J3105" s="11" t="str">
        <f aca="false">IF($A3105="","",IF($H3105="-","유지",IF($I3105="첫 건","유지","확인 필요")))</f>
        <v/>
      </c>
    </row>
    <row r="3106" customFormat="false" ht="15" hidden="false" customHeight="true" outlineLevel="0" collapsed="false">
      <c r="A3106" s="11" t="str">
        <f aca="false">IF(원본명단!$A3105="","",3103)</f>
        <v/>
      </c>
      <c r="B3106" s="12" t="str">
        <f aca="false">IF($A3106="","",원본명단!$A3105)</f>
        <v/>
      </c>
      <c r="C3106" s="12" t="str">
        <f aca="false">IF($A3106="","",원본명단!$B3105)</f>
        <v/>
      </c>
      <c r="D3106" s="12" t="str">
        <f aca="false">IF($A3106="","",원본명단!$D3105)</f>
        <v/>
      </c>
      <c r="E3106" s="11" t="str">
        <f aca="false">IF($A3106="","",IF(원본명단!$H3105="",0,COUNTIF(원본명단!$H$3:$H$6002,원본명단!$H3105)))</f>
        <v/>
      </c>
      <c r="F3106" s="11" t="str">
        <f aca="false">IF($A3106="","",IF(원본명단!$I3105="",0,COUNTIF(원본명단!$I$3:$I$6002,원본명단!$I3105)))</f>
        <v/>
      </c>
      <c r="G3106" s="11" t="str">
        <f aca="false">IF($A3106="","",IF(원본명단!$K3105="",0,COUNTIF(원본명단!$K$3:$K$6002,원본명단!$K3105)))</f>
        <v/>
      </c>
      <c r="H3106" s="11" t="str">
        <f aca="false">IF($A3106="","",IF(MAX($E3106,$F3106,$G3106)&gt;1,"중복","-"))</f>
        <v/>
      </c>
      <c r="I3106" s="11" t="str">
        <f aca="false">IF($A3106="","",IF($H3106="-","-",IF(AND(IF(원본명단!$H3105="",TRUE(),COUNTIF(원본명단!$H$3:$H3105,원본명단!$H3105)=1),IF(원본명단!$I3105="",TRUE(),COUNTIF(원본명단!$I$3:$I3105,원본명단!$I3105)=1),IF(원본명단!$K3105="",TRUE(),COUNTIF(원본명단!$K$3:$K3105,원본명단!$K3105)=1)),"첫 건","중복 건")))</f>
        <v/>
      </c>
      <c r="J3106" s="11" t="str">
        <f aca="false">IF($A3106="","",IF($H3106="-","유지",IF($I3106="첫 건","유지","확인 필요")))</f>
        <v/>
      </c>
    </row>
    <row r="3107" customFormat="false" ht="15" hidden="false" customHeight="true" outlineLevel="0" collapsed="false">
      <c r="A3107" s="11" t="str">
        <f aca="false">IF(원본명단!$A3106="","",3104)</f>
        <v/>
      </c>
      <c r="B3107" s="12" t="str">
        <f aca="false">IF($A3107="","",원본명단!$A3106)</f>
        <v/>
      </c>
      <c r="C3107" s="12" t="str">
        <f aca="false">IF($A3107="","",원본명단!$B3106)</f>
        <v/>
      </c>
      <c r="D3107" s="12" t="str">
        <f aca="false">IF($A3107="","",원본명단!$D3106)</f>
        <v/>
      </c>
      <c r="E3107" s="11" t="str">
        <f aca="false">IF($A3107="","",IF(원본명단!$H3106="",0,COUNTIF(원본명단!$H$3:$H$6002,원본명단!$H3106)))</f>
        <v/>
      </c>
      <c r="F3107" s="11" t="str">
        <f aca="false">IF($A3107="","",IF(원본명단!$I3106="",0,COUNTIF(원본명단!$I$3:$I$6002,원본명단!$I3106)))</f>
        <v/>
      </c>
      <c r="G3107" s="11" t="str">
        <f aca="false">IF($A3107="","",IF(원본명단!$K3106="",0,COUNTIF(원본명단!$K$3:$K$6002,원본명단!$K3106)))</f>
        <v/>
      </c>
      <c r="H3107" s="11" t="str">
        <f aca="false">IF($A3107="","",IF(MAX($E3107,$F3107,$G3107)&gt;1,"중복","-"))</f>
        <v/>
      </c>
      <c r="I3107" s="11" t="str">
        <f aca="false">IF($A3107="","",IF($H3107="-","-",IF(AND(IF(원본명단!$H3106="",TRUE(),COUNTIF(원본명단!$H$3:$H3106,원본명단!$H3106)=1),IF(원본명단!$I3106="",TRUE(),COUNTIF(원본명단!$I$3:$I3106,원본명단!$I3106)=1),IF(원본명단!$K3106="",TRUE(),COUNTIF(원본명단!$K$3:$K3106,원본명단!$K3106)=1)),"첫 건","중복 건")))</f>
        <v/>
      </c>
      <c r="J3107" s="11" t="str">
        <f aca="false">IF($A3107="","",IF($H3107="-","유지",IF($I3107="첫 건","유지","확인 필요")))</f>
        <v/>
      </c>
    </row>
    <row r="3108" customFormat="false" ht="15" hidden="false" customHeight="true" outlineLevel="0" collapsed="false">
      <c r="A3108" s="11" t="str">
        <f aca="false">IF(원본명단!$A3107="","",3105)</f>
        <v/>
      </c>
      <c r="B3108" s="12" t="str">
        <f aca="false">IF($A3108="","",원본명단!$A3107)</f>
        <v/>
      </c>
      <c r="C3108" s="12" t="str">
        <f aca="false">IF($A3108="","",원본명단!$B3107)</f>
        <v/>
      </c>
      <c r="D3108" s="12" t="str">
        <f aca="false">IF($A3108="","",원본명단!$D3107)</f>
        <v/>
      </c>
      <c r="E3108" s="11" t="str">
        <f aca="false">IF($A3108="","",IF(원본명단!$H3107="",0,COUNTIF(원본명단!$H$3:$H$6002,원본명단!$H3107)))</f>
        <v/>
      </c>
      <c r="F3108" s="11" t="str">
        <f aca="false">IF($A3108="","",IF(원본명단!$I3107="",0,COUNTIF(원본명단!$I$3:$I$6002,원본명단!$I3107)))</f>
        <v/>
      </c>
      <c r="G3108" s="11" t="str">
        <f aca="false">IF($A3108="","",IF(원본명단!$K3107="",0,COUNTIF(원본명단!$K$3:$K$6002,원본명단!$K3107)))</f>
        <v/>
      </c>
      <c r="H3108" s="11" t="str">
        <f aca="false">IF($A3108="","",IF(MAX($E3108,$F3108,$G3108)&gt;1,"중복","-"))</f>
        <v/>
      </c>
      <c r="I3108" s="11" t="str">
        <f aca="false">IF($A3108="","",IF($H3108="-","-",IF(AND(IF(원본명단!$H3107="",TRUE(),COUNTIF(원본명단!$H$3:$H3107,원본명단!$H3107)=1),IF(원본명단!$I3107="",TRUE(),COUNTIF(원본명단!$I$3:$I3107,원본명단!$I3107)=1),IF(원본명단!$K3107="",TRUE(),COUNTIF(원본명단!$K$3:$K3107,원본명단!$K3107)=1)),"첫 건","중복 건")))</f>
        <v/>
      </c>
      <c r="J3108" s="11" t="str">
        <f aca="false">IF($A3108="","",IF($H3108="-","유지",IF($I3108="첫 건","유지","확인 필요")))</f>
        <v/>
      </c>
    </row>
    <row r="3109" customFormat="false" ht="15" hidden="false" customHeight="true" outlineLevel="0" collapsed="false">
      <c r="A3109" s="11" t="str">
        <f aca="false">IF(원본명단!$A3108="","",3106)</f>
        <v/>
      </c>
      <c r="B3109" s="12" t="str">
        <f aca="false">IF($A3109="","",원본명단!$A3108)</f>
        <v/>
      </c>
      <c r="C3109" s="12" t="str">
        <f aca="false">IF($A3109="","",원본명단!$B3108)</f>
        <v/>
      </c>
      <c r="D3109" s="12" t="str">
        <f aca="false">IF($A3109="","",원본명단!$D3108)</f>
        <v/>
      </c>
      <c r="E3109" s="11" t="str">
        <f aca="false">IF($A3109="","",IF(원본명단!$H3108="",0,COUNTIF(원본명단!$H$3:$H$6002,원본명단!$H3108)))</f>
        <v/>
      </c>
      <c r="F3109" s="11" t="str">
        <f aca="false">IF($A3109="","",IF(원본명단!$I3108="",0,COUNTIF(원본명단!$I$3:$I$6002,원본명단!$I3108)))</f>
        <v/>
      </c>
      <c r="G3109" s="11" t="str">
        <f aca="false">IF($A3109="","",IF(원본명단!$K3108="",0,COUNTIF(원본명단!$K$3:$K$6002,원본명단!$K3108)))</f>
        <v/>
      </c>
      <c r="H3109" s="11" t="str">
        <f aca="false">IF($A3109="","",IF(MAX($E3109,$F3109,$G3109)&gt;1,"중복","-"))</f>
        <v/>
      </c>
      <c r="I3109" s="11" t="str">
        <f aca="false">IF($A3109="","",IF($H3109="-","-",IF(AND(IF(원본명단!$H3108="",TRUE(),COUNTIF(원본명단!$H$3:$H3108,원본명단!$H3108)=1),IF(원본명단!$I3108="",TRUE(),COUNTIF(원본명단!$I$3:$I3108,원본명단!$I3108)=1),IF(원본명단!$K3108="",TRUE(),COUNTIF(원본명단!$K$3:$K3108,원본명단!$K3108)=1)),"첫 건","중복 건")))</f>
        <v/>
      </c>
      <c r="J3109" s="11" t="str">
        <f aca="false">IF($A3109="","",IF($H3109="-","유지",IF($I3109="첫 건","유지","확인 필요")))</f>
        <v/>
      </c>
    </row>
    <row r="3110" customFormat="false" ht="15" hidden="false" customHeight="true" outlineLevel="0" collapsed="false">
      <c r="A3110" s="11" t="str">
        <f aca="false">IF(원본명단!$A3109="","",3107)</f>
        <v/>
      </c>
      <c r="B3110" s="12" t="str">
        <f aca="false">IF($A3110="","",원본명단!$A3109)</f>
        <v/>
      </c>
      <c r="C3110" s="12" t="str">
        <f aca="false">IF($A3110="","",원본명단!$B3109)</f>
        <v/>
      </c>
      <c r="D3110" s="12" t="str">
        <f aca="false">IF($A3110="","",원본명단!$D3109)</f>
        <v/>
      </c>
      <c r="E3110" s="11" t="str">
        <f aca="false">IF($A3110="","",IF(원본명단!$H3109="",0,COUNTIF(원본명단!$H$3:$H$6002,원본명단!$H3109)))</f>
        <v/>
      </c>
      <c r="F3110" s="11" t="str">
        <f aca="false">IF($A3110="","",IF(원본명단!$I3109="",0,COUNTIF(원본명단!$I$3:$I$6002,원본명단!$I3109)))</f>
        <v/>
      </c>
      <c r="G3110" s="11" t="str">
        <f aca="false">IF($A3110="","",IF(원본명단!$K3109="",0,COUNTIF(원본명단!$K$3:$K$6002,원본명단!$K3109)))</f>
        <v/>
      </c>
      <c r="H3110" s="11" t="str">
        <f aca="false">IF($A3110="","",IF(MAX($E3110,$F3110,$G3110)&gt;1,"중복","-"))</f>
        <v/>
      </c>
      <c r="I3110" s="11" t="str">
        <f aca="false">IF($A3110="","",IF($H3110="-","-",IF(AND(IF(원본명단!$H3109="",TRUE(),COUNTIF(원본명단!$H$3:$H3109,원본명단!$H3109)=1),IF(원본명단!$I3109="",TRUE(),COUNTIF(원본명단!$I$3:$I3109,원본명단!$I3109)=1),IF(원본명단!$K3109="",TRUE(),COUNTIF(원본명단!$K$3:$K3109,원본명단!$K3109)=1)),"첫 건","중복 건")))</f>
        <v/>
      </c>
      <c r="J3110" s="11" t="str">
        <f aca="false">IF($A3110="","",IF($H3110="-","유지",IF($I3110="첫 건","유지","확인 필요")))</f>
        <v/>
      </c>
    </row>
    <row r="3111" customFormat="false" ht="15" hidden="false" customHeight="true" outlineLevel="0" collapsed="false">
      <c r="A3111" s="11" t="str">
        <f aca="false">IF(원본명단!$A3110="","",3108)</f>
        <v/>
      </c>
      <c r="B3111" s="12" t="str">
        <f aca="false">IF($A3111="","",원본명단!$A3110)</f>
        <v/>
      </c>
      <c r="C3111" s="12" t="str">
        <f aca="false">IF($A3111="","",원본명단!$B3110)</f>
        <v/>
      </c>
      <c r="D3111" s="12" t="str">
        <f aca="false">IF($A3111="","",원본명단!$D3110)</f>
        <v/>
      </c>
      <c r="E3111" s="11" t="str">
        <f aca="false">IF($A3111="","",IF(원본명단!$H3110="",0,COUNTIF(원본명단!$H$3:$H$6002,원본명단!$H3110)))</f>
        <v/>
      </c>
      <c r="F3111" s="11" t="str">
        <f aca="false">IF($A3111="","",IF(원본명단!$I3110="",0,COUNTIF(원본명단!$I$3:$I$6002,원본명단!$I3110)))</f>
        <v/>
      </c>
      <c r="G3111" s="11" t="str">
        <f aca="false">IF($A3111="","",IF(원본명단!$K3110="",0,COUNTIF(원본명단!$K$3:$K$6002,원본명단!$K3110)))</f>
        <v/>
      </c>
      <c r="H3111" s="11" t="str">
        <f aca="false">IF($A3111="","",IF(MAX($E3111,$F3111,$G3111)&gt;1,"중복","-"))</f>
        <v/>
      </c>
      <c r="I3111" s="11" t="str">
        <f aca="false">IF($A3111="","",IF($H3111="-","-",IF(AND(IF(원본명단!$H3110="",TRUE(),COUNTIF(원본명단!$H$3:$H3110,원본명단!$H3110)=1),IF(원본명단!$I3110="",TRUE(),COUNTIF(원본명단!$I$3:$I3110,원본명단!$I3110)=1),IF(원본명단!$K3110="",TRUE(),COUNTIF(원본명단!$K$3:$K3110,원본명단!$K3110)=1)),"첫 건","중복 건")))</f>
        <v/>
      </c>
      <c r="J3111" s="11" t="str">
        <f aca="false">IF($A3111="","",IF($H3111="-","유지",IF($I3111="첫 건","유지","확인 필요")))</f>
        <v/>
      </c>
    </row>
    <row r="3112" customFormat="false" ht="15" hidden="false" customHeight="true" outlineLevel="0" collapsed="false">
      <c r="A3112" s="11" t="str">
        <f aca="false">IF(원본명단!$A3111="","",3109)</f>
        <v/>
      </c>
      <c r="B3112" s="12" t="str">
        <f aca="false">IF($A3112="","",원본명단!$A3111)</f>
        <v/>
      </c>
      <c r="C3112" s="12" t="str">
        <f aca="false">IF($A3112="","",원본명단!$B3111)</f>
        <v/>
      </c>
      <c r="D3112" s="12" t="str">
        <f aca="false">IF($A3112="","",원본명단!$D3111)</f>
        <v/>
      </c>
      <c r="E3112" s="11" t="str">
        <f aca="false">IF($A3112="","",IF(원본명단!$H3111="",0,COUNTIF(원본명단!$H$3:$H$6002,원본명단!$H3111)))</f>
        <v/>
      </c>
      <c r="F3112" s="11" t="str">
        <f aca="false">IF($A3112="","",IF(원본명단!$I3111="",0,COUNTIF(원본명단!$I$3:$I$6002,원본명단!$I3111)))</f>
        <v/>
      </c>
      <c r="G3112" s="11" t="str">
        <f aca="false">IF($A3112="","",IF(원본명단!$K3111="",0,COUNTIF(원본명단!$K$3:$K$6002,원본명단!$K3111)))</f>
        <v/>
      </c>
      <c r="H3112" s="11" t="str">
        <f aca="false">IF($A3112="","",IF(MAX($E3112,$F3112,$G3112)&gt;1,"중복","-"))</f>
        <v/>
      </c>
      <c r="I3112" s="11" t="str">
        <f aca="false">IF($A3112="","",IF($H3112="-","-",IF(AND(IF(원본명단!$H3111="",TRUE(),COUNTIF(원본명단!$H$3:$H3111,원본명단!$H3111)=1),IF(원본명단!$I3111="",TRUE(),COUNTIF(원본명단!$I$3:$I3111,원본명단!$I3111)=1),IF(원본명단!$K3111="",TRUE(),COUNTIF(원본명단!$K$3:$K3111,원본명단!$K3111)=1)),"첫 건","중복 건")))</f>
        <v/>
      </c>
      <c r="J3112" s="11" t="str">
        <f aca="false">IF($A3112="","",IF($H3112="-","유지",IF($I3112="첫 건","유지","확인 필요")))</f>
        <v/>
      </c>
    </row>
    <row r="3113" customFormat="false" ht="15" hidden="false" customHeight="true" outlineLevel="0" collapsed="false">
      <c r="A3113" s="11" t="str">
        <f aca="false">IF(원본명단!$A3112="","",3110)</f>
        <v/>
      </c>
      <c r="B3113" s="12" t="str">
        <f aca="false">IF($A3113="","",원본명단!$A3112)</f>
        <v/>
      </c>
      <c r="C3113" s="12" t="str">
        <f aca="false">IF($A3113="","",원본명단!$B3112)</f>
        <v/>
      </c>
      <c r="D3113" s="12" t="str">
        <f aca="false">IF($A3113="","",원본명단!$D3112)</f>
        <v/>
      </c>
      <c r="E3113" s="11" t="str">
        <f aca="false">IF($A3113="","",IF(원본명단!$H3112="",0,COUNTIF(원본명단!$H$3:$H$6002,원본명단!$H3112)))</f>
        <v/>
      </c>
      <c r="F3113" s="11" t="str">
        <f aca="false">IF($A3113="","",IF(원본명단!$I3112="",0,COUNTIF(원본명단!$I$3:$I$6002,원본명단!$I3112)))</f>
        <v/>
      </c>
      <c r="G3113" s="11" t="str">
        <f aca="false">IF($A3113="","",IF(원본명단!$K3112="",0,COUNTIF(원본명단!$K$3:$K$6002,원본명단!$K3112)))</f>
        <v/>
      </c>
      <c r="H3113" s="11" t="str">
        <f aca="false">IF($A3113="","",IF(MAX($E3113,$F3113,$G3113)&gt;1,"중복","-"))</f>
        <v/>
      </c>
      <c r="I3113" s="11" t="str">
        <f aca="false">IF($A3113="","",IF($H3113="-","-",IF(AND(IF(원본명단!$H3112="",TRUE(),COUNTIF(원본명단!$H$3:$H3112,원본명단!$H3112)=1),IF(원본명단!$I3112="",TRUE(),COUNTIF(원본명단!$I$3:$I3112,원본명단!$I3112)=1),IF(원본명단!$K3112="",TRUE(),COUNTIF(원본명단!$K$3:$K3112,원본명단!$K3112)=1)),"첫 건","중복 건")))</f>
        <v/>
      </c>
      <c r="J3113" s="11" t="str">
        <f aca="false">IF($A3113="","",IF($H3113="-","유지",IF($I3113="첫 건","유지","확인 필요")))</f>
        <v/>
      </c>
    </row>
    <row r="3114" customFormat="false" ht="15" hidden="false" customHeight="true" outlineLevel="0" collapsed="false">
      <c r="A3114" s="11" t="str">
        <f aca="false">IF(원본명단!$A3113="","",3111)</f>
        <v/>
      </c>
      <c r="B3114" s="12" t="str">
        <f aca="false">IF($A3114="","",원본명단!$A3113)</f>
        <v/>
      </c>
      <c r="C3114" s="12" t="str">
        <f aca="false">IF($A3114="","",원본명단!$B3113)</f>
        <v/>
      </c>
      <c r="D3114" s="12" t="str">
        <f aca="false">IF($A3114="","",원본명단!$D3113)</f>
        <v/>
      </c>
      <c r="E3114" s="11" t="str">
        <f aca="false">IF($A3114="","",IF(원본명단!$H3113="",0,COUNTIF(원본명단!$H$3:$H$6002,원본명단!$H3113)))</f>
        <v/>
      </c>
      <c r="F3114" s="11" t="str">
        <f aca="false">IF($A3114="","",IF(원본명단!$I3113="",0,COUNTIF(원본명단!$I$3:$I$6002,원본명단!$I3113)))</f>
        <v/>
      </c>
      <c r="G3114" s="11" t="str">
        <f aca="false">IF($A3114="","",IF(원본명단!$K3113="",0,COUNTIF(원본명단!$K$3:$K$6002,원본명단!$K3113)))</f>
        <v/>
      </c>
      <c r="H3114" s="11" t="str">
        <f aca="false">IF($A3114="","",IF(MAX($E3114,$F3114,$G3114)&gt;1,"중복","-"))</f>
        <v/>
      </c>
      <c r="I3114" s="11" t="str">
        <f aca="false">IF($A3114="","",IF($H3114="-","-",IF(AND(IF(원본명단!$H3113="",TRUE(),COUNTIF(원본명단!$H$3:$H3113,원본명단!$H3113)=1),IF(원본명단!$I3113="",TRUE(),COUNTIF(원본명단!$I$3:$I3113,원본명단!$I3113)=1),IF(원본명단!$K3113="",TRUE(),COUNTIF(원본명단!$K$3:$K3113,원본명단!$K3113)=1)),"첫 건","중복 건")))</f>
        <v/>
      </c>
      <c r="J3114" s="11" t="str">
        <f aca="false">IF($A3114="","",IF($H3114="-","유지",IF($I3114="첫 건","유지","확인 필요")))</f>
        <v/>
      </c>
    </row>
    <row r="3115" customFormat="false" ht="15" hidden="false" customHeight="true" outlineLevel="0" collapsed="false">
      <c r="A3115" s="11" t="str">
        <f aca="false">IF(원본명단!$A3114="","",3112)</f>
        <v/>
      </c>
      <c r="B3115" s="12" t="str">
        <f aca="false">IF($A3115="","",원본명단!$A3114)</f>
        <v/>
      </c>
      <c r="C3115" s="12" t="str">
        <f aca="false">IF($A3115="","",원본명단!$B3114)</f>
        <v/>
      </c>
      <c r="D3115" s="12" t="str">
        <f aca="false">IF($A3115="","",원본명단!$D3114)</f>
        <v/>
      </c>
      <c r="E3115" s="11" t="str">
        <f aca="false">IF($A3115="","",IF(원본명단!$H3114="",0,COUNTIF(원본명단!$H$3:$H$6002,원본명단!$H3114)))</f>
        <v/>
      </c>
      <c r="F3115" s="11" t="str">
        <f aca="false">IF($A3115="","",IF(원본명단!$I3114="",0,COUNTIF(원본명단!$I$3:$I$6002,원본명단!$I3114)))</f>
        <v/>
      </c>
      <c r="G3115" s="11" t="str">
        <f aca="false">IF($A3115="","",IF(원본명단!$K3114="",0,COUNTIF(원본명단!$K$3:$K$6002,원본명단!$K3114)))</f>
        <v/>
      </c>
      <c r="H3115" s="11" t="str">
        <f aca="false">IF($A3115="","",IF(MAX($E3115,$F3115,$G3115)&gt;1,"중복","-"))</f>
        <v/>
      </c>
      <c r="I3115" s="11" t="str">
        <f aca="false">IF($A3115="","",IF($H3115="-","-",IF(AND(IF(원본명단!$H3114="",TRUE(),COUNTIF(원본명단!$H$3:$H3114,원본명단!$H3114)=1),IF(원본명단!$I3114="",TRUE(),COUNTIF(원본명단!$I$3:$I3114,원본명단!$I3114)=1),IF(원본명단!$K3114="",TRUE(),COUNTIF(원본명단!$K$3:$K3114,원본명단!$K3114)=1)),"첫 건","중복 건")))</f>
        <v/>
      </c>
      <c r="J3115" s="11" t="str">
        <f aca="false">IF($A3115="","",IF($H3115="-","유지",IF($I3115="첫 건","유지","확인 필요")))</f>
        <v/>
      </c>
    </row>
    <row r="3116" customFormat="false" ht="15" hidden="false" customHeight="true" outlineLevel="0" collapsed="false">
      <c r="A3116" s="11" t="str">
        <f aca="false">IF(원본명단!$A3115="","",3113)</f>
        <v/>
      </c>
      <c r="B3116" s="12" t="str">
        <f aca="false">IF($A3116="","",원본명단!$A3115)</f>
        <v/>
      </c>
      <c r="C3116" s="12" t="str">
        <f aca="false">IF($A3116="","",원본명단!$B3115)</f>
        <v/>
      </c>
      <c r="D3116" s="12" t="str">
        <f aca="false">IF($A3116="","",원본명단!$D3115)</f>
        <v/>
      </c>
      <c r="E3116" s="11" t="str">
        <f aca="false">IF($A3116="","",IF(원본명단!$H3115="",0,COUNTIF(원본명단!$H$3:$H$6002,원본명단!$H3115)))</f>
        <v/>
      </c>
      <c r="F3116" s="11" t="str">
        <f aca="false">IF($A3116="","",IF(원본명단!$I3115="",0,COUNTIF(원본명단!$I$3:$I$6002,원본명단!$I3115)))</f>
        <v/>
      </c>
      <c r="G3116" s="11" t="str">
        <f aca="false">IF($A3116="","",IF(원본명단!$K3115="",0,COUNTIF(원본명단!$K$3:$K$6002,원본명단!$K3115)))</f>
        <v/>
      </c>
      <c r="H3116" s="11" t="str">
        <f aca="false">IF($A3116="","",IF(MAX($E3116,$F3116,$G3116)&gt;1,"중복","-"))</f>
        <v/>
      </c>
      <c r="I3116" s="11" t="str">
        <f aca="false">IF($A3116="","",IF($H3116="-","-",IF(AND(IF(원본명단!$H3115="",TRUE(),COUNTIF(원본명단!$H$3:$H3115,원본명단!$H3115)=1),IF(원본명단!$I3115="",TRUE(),COUNTIF(원본명단!$I$3:$I3115,원본명단!$I3115)=1),IF(원본명단!$K3115="",TRUE(),COUNTIF(원본명단!$K$3:$K3115,원본명단!$K3115)=1)),"첫 건","중복 건")))</f>
        <v/>
      </c>
      <c r="J3116" s="11" t="str">
        <f aca="false">IF($A3116="","",IF($H3116="-","유지",IF($I3116="첫 건","유지","확인 필요")))</f>
        <v/>
      </c>
    </row>
    <row r="3117" customFormat="false" ht="15" hidden="false" customHeight="true" outlineLevel="0" collapsed="false">
      <c r="A3117" s="11" t="str">
        <f aca="false">IF(원본명단!$A3116="","",3114)</f>
        <v/>
      </c>
      <c r="B3117" s="12" t="str">
        <f aca="false">IF($A3117="","",원본명단!$A3116)</f>
        <v/>
      </c>
      <c r="C3117" s="12" t="str">
        <f aca="false">IF($A3117="","",원본명단!$B3116)</f>
        <v/>
      </c>
      <c r="D3117" s="12" t="str">
        <f aca="false">IF($A3117="","",원본명단!$D3116)</f>
        <v/>
      </c>
      <c r="E3117" s="11" t="str">
        <f aca="false">IF($A3117="","",IF(원본명단!$H3116="",0,COUNTIF(원본명단!$H$3:$H$6002,원본명단!$H3116)))</f>
        <v/>
      </c>
      <c r="F3117" s="11" t="str">
        <f aca="false">IF($A3117="","",IF(원본명단!$I3116="",0,COUNTIF(원본명단!$I$3:$I$6002,원본명단!$I3116)))</f>
        <v/>
      </c>
      <c r="G3117" s="11" t="str">
        <f aca="false">IF($A3117="","",IF(원본명단!$K3116="",0,COUNTIF(원본명단!$K$3:$K$6002,원본명단!$K3116)))</f>
        <v/>
      </c>
      <c r="H3117" s="11" t="str">
        <f aca="false">IF($A3117="","",IF(MAX($E3117,$F3117,$G3117)&gt;1,"중복","-"))</f>
        <v/>
      </c>
      <c r="I3117" s="11" t="str">
        <f aca="false">IF($A3117="","",IF($H3117="-","-",IF(AND(IF(원본명단!$H3116="",TRUE(),COUNTIF(원본명단!$H$3:$H3116,원본명단!$H3116)=1),IF(원본명단!$I3116="",TRUE(),COUNTIF(원본명단!$I$3:$I3116,원본명단!$I3116)=1),IF(원본명단!$K3116="",TRUE(),COUNTIF(원본명단!$K$3:$K3116,원본명단!$K3116)=1)),"첫 건","중복 건")))</f>
        <v/>
      </c>
      <c r="J3117" s="11" t="str">
        <f aca="false">IF($A3117="","",IF($H3117="-","유지",IF($I3117="첫 건","유지","확인 필요")))</f>
        <v/>
      </c>
    </row>
    <row r="3118" customFormat="false" ht="15" hidden="false" customHeight="true" outlineLevel="0" collapsed="false">
      <c r="A3118" s="11" t="str">
        <f aca="false">IF(원본명단!$A3117="","",3115)</f>
        <v/>
      </c>
      <c r="B3118" s="12" t="str">
        <f aca="false">IF($A3118="","",원본명단!$A3117)</f>
        <v/>
      </c>
      <c r="C3118" s="12" t="str">
        <f aca="false">IF($A3118="","",원본명단!$B3117)</f>
        <v/>
      </c>
      <c r="D3118" s="12" t="str">
        <f aca="false">IF($A3118="","",원본명단!$D3117)</f>
        <v/>
      </c>
      <c r="E3118" s="11" t="str">
        <f aca="false">IF($A3118="","",IF(원본명단!$H3117="",0,COUNTIF(원본명단!$H$3:$H$6002,원본명단!$H3117)))</f>
        <v/>
      </c>
      <c r="F3118" s="11" t="str">
        <f aca="false">IF($A3118="","",IF(원본명단!$I3117="",0,COUNTIF(원본명단!$I$3:$I$6002,원본명단!$I3117)))</f>
        <v/>
      </c>
      <c r="G3118" s="11" t="str">
        <f aca="false">IF($A3118="","",IF(원본명단!$K3117="",0,COUNTIF(원본명단!$K$3:$K$6002,원본명단!$K3117)))</f>
        <v/>
      </c>
      <c r="H3118" s="11" t="str">
        <f aca="false">IF($A3118="","",IF(MAX($E3118,$F3118,$G3118)&gt;1,"중복","-"))</f>
        <v/>
      </c>
      <c r="I3118" s="11" t="str">
        <f aca="false">IF($A3118="","",IF($H3118="-","-",IF(AND(IF(원본명단!$H3117="",TRUE(),COUNTIF(원본명단!$H$3:$H3117,원본명단!$H3117)=1),IF(원본명단!$I3117="",TRUE(),COUNTIF(원본명단!$I$3:$I3117,원본명단!$I3117)=1),IF(원본명단!$K3117="",TRUE(),COUNTIF(원본명단!$K$3:$K3117,원본명단!$K3117)=1)),"첫 건","중복 건")))</f>
        <v/>
      </c>
      <c r="J3118" s="11" t="str">
        <f aca="false">IF($A3118="","",IF($H3118="-","유지",IF($I3118="첫 건","유지","확인 필요")))</f>
        <v/>
      </c>
    </row>
    <row r="3119" customFormat="false" ht="15" hidden="false" customHeight="true" outlineLevel="0" collapsed="false">
      <c r="A3119" s="11" t="str">
        <f aca="false">IF(원본명단!$A3118="","",3116)</f>
        <v/>
      </c>
      <c r="B3119" s="12" t="str">
        <f aca="false">IF($A3119="","",원본명단!$A3118)</f>
        <v/>
      </c>
      <c r="C3119" s="12" t="str">
        <f aca="false">IF($A3119="","",원본명단!$B3118)</f>
        <v/>
      </c>
      <c r="D3119" s="12" t="str">
        <f aca="false">IF($A3119="","",원본명단!$D3118)</f>
        <v/>
      </c>
      <c r="E3119" s="11" t="str">
        <f aca="false">IF($A3119="","",IF(원본명단!$H3118="",0,COUNTIF(원본명단!$H$3:$H$6002,원본명단!$H3118)))</f>
        <v/>
      </c>
      <c r="F3119" s="11" t="str">
        <f aca="false">IF($A3119="","",IF(원본명단!$I3118="",0,COUNTIF(원본명단!$I$3:$I$6002,원본명단!$I3118)))</f>
        <v/>
      </c>
      <c r="G3119" s="11" t="str">
        <f aca="false">IF($A3119="","",IF(원본명단!$K3118="",0,COUNTIF(원본명단!$K$3:$K$6002,원본명단!$K3118)))</f>
        <v/>
      </c>
      <c r="H3119" s="11" t="str">
        <f aca="false">IF($A3119="","",IF(MAX($E3119,$F3119,$G3119)&gt;1,"중복","-"))</f>
        <v/>
      </c>
      <c r="I3119" s="11" t="str">
        <f aca="false">IF($A3119="","",IF($H3119="-","-",IF(AND(IF(원본명단!$H3118="",TRUE(),COUNTIF(원본명단!$H$3:$H3118,원본명단!$H3118)=1),IF(원본명단!$I3118="",TRUE(),COUNTIF(원본명단!$I$3:$I3118,원본명단!$I3118)=1),IF(원본명단!$K3118="",TRUE(),COUNTIF(원본명단!$K$3:$K3118,원본명단!$K3118)=1)),"첫 건","중복 건")))</f>
        <v/>
      </c>
      <c r="J3119" s="11" t="str">
        <f aca="false">IF($A3119="","",IF($H3119="-","유지",IF($I3119="첫 건","유지","확인 필요")))</f>
        <v/>
      </c>
    </row>
    <row r="3120" customFormat="false" ht="15" hidden="false" customHeight="true" outlineLevel="0" collapsed="false">
      <c r="A3120" s="11" t="str">
        <f aca="false">IF(원본명단!$A3119="","",3117)</f>
        <v/>
      </c>
      <c r="B3120" s="12" t="str">
        <f aca="false">IF($A3120="","",원본명단!$A3119)</f>
        <v/>
      </c>
      <c r="C3120" s="12" t="str">
        <f aca="false">IF($A3120="","",원본명단!$B3119)</f>
        <v/>
      </c>
      <c r="D3120" s="12" t="str">
        <f aca="false">IF($A3120="","",원본명단!$D3119)</f>
        <v/>
      </c>
      <c r="E3120" s="11" t="str">
        <f aca="false">IF($A3120="","",IF(원본명단!$H3119="",0,COUNTIF(원본명단!$H$3:$H$6002,원본명단!$H3119)))</f>
        <v/>
      </c>
      <c r="F3120" s="11" t="str">
        <f aca="false">IF($A3120="","",IF(원본명단!$I3119="",0,COUNTIF(원본명단!$I$3:$I$6002,원본명단!$I3119)))</f>
        <v/>
      </c>
      <c r="G3120" s="11" t="str">
        <f aca="false">IF($A3120="","",IF(원본명단!$K3119="",0,COUNTIF(원본명단!$K$3:$K$6002,원본명단!$K3119)))</f>
        <v/>
      </c>
      <c r="H3120" s="11" t="str">
        <f aca="false">IF($A3120="","",IF(MAX($E3120,$F3120,$G3120)&gt;1,"중복","-"))</f>
        <v/>
      </c>
      <c r="I3120" s="11" t="str">
        <f aca="false">IF($A3120="","",IF($H3120="-","-",IF(AND(IF(원본명단!$H3119="",TRUE(),COUNTIF(원본명단!$H$3:$H3119,원본명단!$H3119)=1),IF(원본명단!$I3119="",TRUE(),COUNTIF(원본명단!$I$3:$I3119,원본명단!$I3119)=1),IF(원본명단!$K3119="",TRUE(),COUNTIF(원본명단!$K$3:$K3119,원본명단!$K3119)=1)),"첫 건","중복 건")))</f>
        <v/>
      </c>
      <c r="J3120" s="11" t="str">
        <f aca="false">IF($A3120="","",IF($H3120="-","유지",IF($I3120="첫 건","유지","확인 필요")))</f>
        <v/>
      </c>
    </row>
    <row r="3121" customFormat="false" ht="15" hidden="false" customHeight="true" outlineLevel="0" collapsed="false">
      <c r="A3121" s="11" t="str">
        <f aca="false">IF(원본명단!$A3120="","",3118)</f>
        <v/>
      </c>
      <c r="B3121" s="12" t="str">
        <f aca="false">IF($A3121="","",원본명단!$A3120)</f>
        <v/>
      </c>
      <c r="C3121" s="12" t="str">
        <f aca="false">IF($A3121="","",원본명단!$B3120)</f>
        <v/>
      </c>
      <c r="D3121" s="12" t="str">
        <f aca="false">IF($A3121="","",원본명단!$D3120)</f>
        <v/>
      </c>
      <c r="E3121" s="11" t="str">
        <f aca="false">IF($A3121="","",IF(원본명단!$H3120="",0,COUNTIF(원본명단!$H$3:$H$6002,원본명단!$H3120)))</f>
        <v/>
      </c>
      <c r="F3121" s="11" t="str">
        <f aca="false">IF($A3121="","",IF(원본명단!$I3120="",0,COUNTIF(원본명단!$I$3:$I$6002,원본명단!$I3120)))</f>
        <v/>
      </c>
      <c r="G3121" s="11" t="str">
        <f aca="false">IF($A3121="","",IF(원본명단!$K3120="",0,COUNTIF(원본명단!$K$3:$K$6002,원본명단!$K3120)))</f>
        <v/>
      </c>
      <c r="H3121" s="11" t="str">
        <f aca="false">IF($A3121="","",IF(MAX($E3121,$F3121,$G3121)&gt;1,"중복","-"))</f>
        <v/>
      </c>
      <c r="I3121" s="11" t="str">
        <f aca="false">IF($A3121="","",IF($H3121="-","-",IF(AND(IF(원본명단!$H3120="",TRUE(),COUNTIF(원본명단!$H$3:$H3120,원본명단!$H3120)=1),IF(원본명단!$I3120="",TRUE(),COUNTIF(원본명단!$I$3:$I3120,원본명단!$I3120)=1),IF(원본명단!$K3120="",TRUE(),COUNTIF(원본명단!$K$3:$K3120,원본명단!$K3120)=1)),"첫 건","중복 건")))</f>
        <v/>
      </c>
      <c r="J3121" s="11" t="str">
        <f aca="false">IF($A3121="","",IF($H3121="-","유지",IF($I3121="첫 건","유지","확인 필요")))</f>
        <v/>
      </c>
    </row>
    <row r="3122" customFormat="false" ht="15" hidden="false" customHeight="true" outlineLevel="0" collapsed="false">
      <c r="A3122" s="11" t="str">
        <f aca="false">IF(원본명단!$A3121="","",3119)</f>
        <v/>
      </c>
      <c r="B3122" s="12" t="str">
        <f aca="false">IF($A3122="","",원본명단!$A3121)</f>
        <v/>
      </c>
      <c r="C3122" s="12" t="str">
        <f aca="false">IF($A3122="","",원본명단!$B3121)</f>
        <v/>
      </c>
      <c r="D3122" s="12" t="str">
        <f aca="false">IF($A3122="","",원본명단!$D3121)</f>
        <v/>
      </c>
      <c r="E3122" s="11" t="str">
        <f aca="false">IF($A3122="","",IF(원본명단!$H3121="",0,COUNTIF(원본명단!$H$3:$H$6002,원본명단!$H3121)))</f>
        <v/>
      </c>
      <c r="F3122" s="11" t="str">
        <f aca="false">IF($A3122="","",IF(원본명단!$I3121="",0,COUNTIF(원본명단!$I$3:$I$6002,원본명단!$I3121)))</f>
        <v/>
      </c>
      <c r="G3122" s="11" t="str">
        <f aca="false">IF($A3122="","",IF(원본명단!$K3121="",0,COUNTIF(원본명단!$K$3:$K$6002,원본명단!$K3121)))</f>
        <v/>
      </c>
      <c r="H3122" s="11" t="str">
        <f aca="false">IF($A3122="","",IF(MAX($E3122,$F3122,$G3122)&gt;1,"중복","-"))</f>
        <v/>
      </c>
      <c r="I3122" s="11" t="str">
        <f aca="false">IF($A3122="","",IF($H3122="-","-",IF(AND(IF(원본명단!$H3121="",TRUE(),COUNTIF(원본명단!$H$3:$H3121,원본명단!$H3121)=1),IF(원본명단!$I3121="",TRUE(),COUNTIF(원본명단!$I$3:$I3121,원본명단!$I3121)=1),IF(원본명단!$K3121="",TRUE(),COUNTIF(원본명단!$K$3:$K3121,원본명단!$K3121)=1)),"첫 건","중복 건")))</f>
        <v/>
      </c>
      <c r="J3122" s="11" t="str">
        <f aca="false">IF($A3122="","",IF($H3122="-","유지",IF($I3122="첫 건","유지","확인 필요")))</f>
        <v/>
      </c>
    </row>
    <row r="3123" customFormat="false" ht="15" hidden="false" customHeight="true" outlineLevel="0" collapsed="false">
      <c r="A3123" s="11" t="str">
        <f aca="false">IF(원본명단!$A3122="","",3120)</f>
        <v/>
      </c>
      <c r="B3123" s="12" t="str">
        <f aca="false">IF($A3123="","",원본명단!$A3122)</f>
        <v/>
      </c>
      <c r="C3123" s="12" t="str">
        <f aca="false">IF($A3123="","",원본명단!$B3122)</f>
        <v/>
      </c>
      <c r="D3123" s="12" t="str">
        <f aca="false">IF($A3123="","",원본명단!$D3122)</f>
        <v/>
      </c>
      <c r="E3123" s="11" t="str">
        <f aca="false">IF($A3123="","",IF(원본명단!$H3122="",0,COUNTIF(원본명단!$H$3:$H$6002,원본명단!$H3122)))</f>
        <v/>
      </c>
      <c r="F3123" s="11" t="str">
        <f aca="false">IF($A3123="","",IF(원본명단!$I3122="",0,COUNTIF(원본명단!$I$3:$I$6002,원본명단!$I3122)))</f>
        <v/>
      </c>
      <c r="G3123" s="11" t="str">
        <f aca="false">IF($A3123="","",IF(원본명단!$K3122="",0,COUNTIF(원본명단!$K$3:$K$6002,원본명단!$K3122)))</f>
        <v/>
      </c>
      <c r="H3123" s="11" t="str">
        <f aca="false">IF($A3123="","",IF(MAX($E3123,$F3123,$G3123)&gt;1,"중복","-"))</f>
        <v/>
      </c>
      <c r="I3123" s="11" t="str">
        <f aca="false">IF($A3123="","",IF($H3123="-","-",IF(AND(IF(원본명단!$H3122="",TRUE(),COUNTIF(원본명단!$H$3:$H3122,원본명단!$H3122)=1),IF(원본명단!$I3122="",TRUE(),COUNTIF(원본명단!$I$3:$I3122,원본명단!$I3122)=1),IF(원본명단!$K3122="",TRUE(),COUNTIF(원본명단!$K$3:$K3122,원본명단!$K3122)=1)),"첫 건","중복 건")))</f>
        <v/>
      </c>
      <c r="J3123" s="11" t="str">
        <f aca="false">IF($A3123="","",IF($H3123="-","유지",IF($I3123="첫 건","유지","확인 필요")))</f>
        <v/>
      </c>
    </row>
    <row r="3124" customFormat="false" ht="15" hidden="false" customHeight="true" outlineLevel="0" collapsed="false">
      <c r="A3124" s="11" t="str">
        <f aca="false">IF(원본명단!$A3123="","",3121)</f>
        <v/>
      </c>
      <c r="B3124" s="12" t="str">
        <f aca="false">IF($A3124="","",원본명단!$A3123)</f>
        <v/>
      </c>
      <c r="C3124" s="12" t="str">
        <f aca="false">IF($A3124="","",원본명단!$B3123)</f>
        <v/>
      </c>
      <c r="D3124" s="12" t="str">
        <f aca="false">IF($A3124="","",원본명단!$D3123)</f>
        <v/>
      </c>
      <c r="E3124" s="11" t="str">
        <f aca="false">IF($A3124="","",IF(원본명단!$H3123="",0,COUNTIF(원본명단!$H$3:$H$6002,원본명단!$H3123)))</f>
        <v/>
      </c>
      <c r="F3124" s="11" t="str">
        <f aca="false">IF($A3124="","",IF(원본명단!$I3123="",0,COUNTIF(원본명단!$I$3:$I$6002,원본명단!$I3123)))</f>
        <v/>
      </c>
      <c r="G3124" s="11" t="str">
        <f aca="false">IF($A3124="","",IF(원본명단!$K3123="",0,COUNTIF(원본명단!$K$3:$K$6002,원본명단!$K3123)))</f>
        <v/>
      </c>
      <c r="H3124" s="11" t="str">
        <f aca="false">IF($A3124="","",IF(MAX($E3124,$F3124,$G3124)&gt;1,"중복","-"))</f>
        <v/>
      </c>
      <c r="I3124" s="11" t="str">
        <f aca="false">IF($A3124="","",IF($H3124="-","-",IF(AND(IF(원본명단!$H3123="",TRUE(),COUNTIF(원본명단!$H$3:$H3123,원본명단!$H3123)=1),IF(원본명단!$I3123="",TRUE(),COUNTIF(원본명단!$I$3:$I3123,원본명단!$I3123)=1),IF(원본명단!$K3123="",TRUE(),COUNTIF(원본명단!$K$3:$K3123,원본명단!$K3123)=1)),"첫 건","중복 건")))</f>
        <v/>
      </c>
      <c r="J3124" s="11" t="str">
        <f aca="false">IF($A3124="","",IF($H3124="-","유지",IF($I3124="첫 건","유지","확인 필요")))</f>
        <v/>
      </c>
    </row>
    <row r="3125" customFormat="false" ht="15" hidden="false" customHeight="true" outlineLevel="0" collapsed="false">
      <c r="A3125" s="11" t="str">
        <f aca="false">IF(원본명단!$A3124="","",3122)</f>
        <v/>
      </c>
      <c r="B3125" s="12" t="str">
        <f aca="false">IF($A3125="","",원본명단!$A3124)</f>
        <v/>
      </c>
      <c r="C3125" s="12" t="str">
        <f aca="false">IF($A3125="","",원본명단!$B3124)</f>
        <v/>
      </c>
      <c r="D3125" s="12" t="str">
        <f aca="false">IF($A3125="","",원본명단!$D3124)</f>
        <v/>
      </c>
      <c r="E3125" s="11" t="str">
        <f aca="false">IF($A3125="","",IF(원본명단!$H3124="",0,COUNTIF(원본명단!$H$3:$H$6002,원본명단!$H3124)))</f>
        <v/>
      </c>
      <c r="F3125" s="11" t="str">
        <f aca="false">IF($A3125="","",IF(원본명단!$I3124="",0,COUNTIF(원본명단!$I$3:$I$6002,원본명단!$I3124)))</f>
        <v/>
      </c>
      <c r="G3125" s="11" t="str">
        <f aca="false">IF($A3125="","",IF(원본명단!$K3124="",0,COUNTIF(원본명단!$K$3:$K$6002,원본명단!$K3124)))</f>
        <v/>
      </c>
      <c r="H3125" s="11" t="str">
        <f aca="false">IF($A3125="","",IF(MAX($E3125,$F3125,$G3125)&gt;1,"중복","-"))</f>
        <v/>
      </c>
      <c r="I3125" s="11" t="str">
        <f aca="false">IF($A3125="","",IF($H3125="-","-",IF(AND(IF(원본명단!$H3124="",TRUE(),COUNTIF(원본명단!$H$3:$H3124,원본명단!$H3124)=1),IF(원본명단!$I3124="",TRUE(),COUNTIF(원본명단!$I$3:$I3124,원본명단!$I3124)=1),IF(원본명단!$K3124="",TRUE(),COUNTIF(원본명단!$K$3:$K3124,원본명단!$K3124)=1)),"첫 건","중복 건")))</f>
        <v/>
      </c>
      <c r="J3125" s="11" t="str">
        <f aca="false">IF($A3125="","",IF($H3125="-","유지",IF($I3125="첫 건","유지","확인 필요")))</f>
        <v/>
      </c>
    </row>
    <row r="3126" customFormat="false" ht="15" hidden="false" customHeight="true" outlineLevel="0" collapsed="false">
      <c r="A3126" s="11" t="str">
        <f aca="false">IF(원본명단!$A3125="","",3123)</f>
        <v/>
      </c>
      <c r="B3126" s="12" t="str">
        <f aca="false">IF($A3126="","",원본명단!$A3125)</f>
        <v/>
      </c>
      <c r="C3126" s="12" t="str">
        <f aca="false">IF($A3126="","",원본명단!$B3125)</f>
        <v/>
      </c>
      <c r="D3126" s="12" t="str">
        <f aca="false">IF($A3126="","",원본명단!$D3125)</f>
        <v/>
      </c>
      <c r="E3126" s="11" t="str">
        <f aca="false">IF($A3126="","",IF(원본명단!$H3125="",0,COUNTIF(원본명단!$H$3:$H$6002,원본명단!$H3125)))</f>
        <v/>
      </c>
      <c r="F3126" s="11" t="str">
        <f aca="false">IF($A3126="","",IF(원본명단!$I3125="",0,COUNTIF(원본명단!$I$3:$I$6002,원본명단!$I3125)))</f>
        <v/>
      </c>
      <c r="G3126" s="11" t="str">
        <f aca="false">IF($A3126="","",IF(원본명단!$K3125="",0,COUNTIF(원본명단!$K$3:$K$6002,원본명단!$K3125)))</f>
        <v/>
      </c>
      <c r="H3126" s="11" t="str">
        <f aca="false">IF($A3126="","",IF(MAX($E3126,$F3126,$G3126)&gt;1,"중복","-"))</f>
        <v/>
      </c>
      <c r="I3126" s="11" t="str">
        <f aca="false">IF($A3126="","",IF($H3126="-","-",IF(AND(IF(원본명단!$H3125="",TRUE(),COUNTIF(원본명단!$H$3:$H3125,원본명단!$H3125)=1),IF(원본명단!$I3125="",TRUE(),COUNTIF(원본명단!$I$3:$I3125,원본명단!$I3125)=1),IF(원본명단!$K3125="",TRUE(),COUNTIF(원본명단!$K$3:$K3125,원본명단!$K3125)=1)),"첫 건","중복 건")))</f>
        <v/>
      </c>
      <c r="J3126" s="11" t="str">
        <f aca="false">IF($A3126="","",IF($H3126="-","유지",IF($I3126="첫 건","유지","확인 필요")))</f>
        <v/>
      </c>
    </row>
    <row r="3127" customFormat="false" ht="15" hidden="false" customHeight="true" outlineLevel="0" collapsed="false">
      <c r="A3127" s="11" t="str">
        <f aca="false">IF(원본명단!$A3126="","",3124)</f>
        <v/>
      </c>
      <c r="B3127" s="12" t="str">
        <f aca="false">IF($A3127="","",원본명단!$A3126)</f>
        <v/>
      </c>
      <c r="C3127" s="12" t="str">
        <f aca="false">IF($A3127="","",원본명단!$B3126)</f>
        <v/>
      </c>
      <c r="D3127" s="12" t="str">
        <f aca="false">IF($A3127="","",원본명단!$D3126)</f>
        <v/>
      </c>
      <c r="E3127" s="11" t="str">
        <f aca="false">IF($A3127="","",IF(원본명단!$H3126="",0,COUNTIF(원본명단!$H$3:$H$6002,원본명단!$H3126)))</f>
        <v/>
      </c>
      <c r="F3127" s="11" t="str">
        <f aca="false">IF($A3127="","",IF(원본명단!$I3126="",0,COUNTIF(원본명단!$I$3:$I$6002,원본명단!$I3126)))</f>
        <v/>
      </c>
      <c r="G3127" s="11" t="str">
        <f aca="false">IF($A3127="","",IF(원본명단!$K3126="",0,COUNTIF(원본명단!$K$3:$K$6002,원본명단!$K3126)))</f>
        <v/>
      </c>
      <c r="H3127" s="11" t="str">
        <f aca="false">IF($A3127="","",IF(MAX($E3127,$F3127,$G3127)&gt;1,"중복","-"))</f>
        <v/>
      </c>
      <c r="I3127" s="11" t="str">
        <f aca="false">IF($A3127="","",IF($H3127="-","-",IF(AND(IF(원본명단!$H3126="",TRUE(),COUNTIF(원본명단!$H$3:$H3126,원본명단!$H3126)=1),IF(원본명단!$I3126="",TRUE(),COUNTIF(원본명단!$I$3:$I3126,원본명단!$I3126)=1),IF(원본명단!$K3126="",TRUE(),COUNTIF(원본명단!$K$3:$K3126,원본명단!$K3126)=1)),"첫 건","중복 건")))</f>
        <v/>
      </c>
      <c r="J3127" s="11" t="str">
        <f aca="false">IF($A3127="","",IF($H3127="-","유지",IF($I3127="첫 건","유지","확인 필요")))</f>
        <v/>
      </c>
    </row>
    <row r="3128" customFormat="false" ht="15" hidden="false" customHeight="true" outlineLevel="0" collapsed="false">
      <c r="A3128" s="11" t="str">
        <f aca="false">IF(원본명단!$A3127="","",3125)</f>
        <v/>
      </c>
      <c r="B3128" s="12" t="str">
        <f aca="false">IF($A3128="","",원본명단!$A3127)</f>
        <v/>
      </c>
      <c r="C3128" s="12" t="str">
        <f aca="false">IF($A3128="","",원본명단!$B3127)</f>
        <v/>
      </c>
      <c r="D3128" s="12" t="str">
        <f aca="false">IF($A3128="","",원본명단!$D3127)</f>
        <v/>
      </c>
      <c r="E3128" s="11" t="str">
        <f aca="false">IF($A3128="","",IF(원본명단!$H3127="",0,COUNTIF(원본명단!$H$3:$H$6002,원본명단!$H3127)))</f>
        <v/>
      </c>
      <c r="F3128" s="11" t="str">
        <f aca="false">IF($A3128="","",IF(원본명단!$I3127="",0,COUNTIF(원본명단!$I$3:$I$6002,원본명단!$I3127)))</f>
        <v/>
      </c>
      <c r="G3128" s="11" t="str">
        <f aca="false">IF($A3128="","",IF(원본명단!$K3127="",0,COUNTIF(원본명단!$K$3:$K$6002,원본명단!$K3127)))</f>
        <v/>
      </c>
      <c r="H3128" s="11" t="str">
        <f aca="false">IF($A3128="","",IF(MAX($E3128,$F3128,$G3128)&gt;1,"중복","-"))</f>
        <v/>
      </c>
      <c r="I3128" s="11" t="str">
        <f aca="false">IF($A3128="","",IF($H3128="-","-",IF(AND(IF(원본명단!$H3127="",TRUE(),COUNTIF(원본명단!$H$3:$H3127,원본명단!$H3127)=1),IF(원본명단!$I3127="",TRUE(),COUNTIF(원본명단!$I$3:$I3127,원본명단!$I3127)=1),IF(원본명단!$K3127="",TRUE(),COUNTIF(원본명단!$K$3:$K3127,원본명단!$K3127)=1)),"첫 건","중복 건")))</f>
        <v/>
      </c>
      <c r="J3128" s="11" t="str">
        <f aca="false">IF($A3128="","",IF($H3128="-","유지",IF($I3128="첫 건","유지","확인 필요")))</f>
        <v/>
      </c>
    </row>
    <row r="3129" customFormat="false" ht="15" hidden="false" customHeight="true" outlineLevel="0" collapsed="false">
      <c r="A3129" s="11" t="str">
        <f aca="false">IF(원본명단!$A3128="","",3126)</f>
        <v/>
      </c>
      <c r="B3129" s="12" t="str">
        <f aca="false">IF($A3129="","",원본명단!$A3128)</f>
        <v/>
      </c>
      <c r="C3129" s="12" t="str">
        <f aca="false">IF($A3129="","",원본명단!$B3128)</f>
        <v/>
      </c>
      <c r="D3129" s="12" t="str">
        <f aca="false">IF($A3129="","",원본명단!$D3128)</f>
        <v/>
      </c>
      <c r="E3129" s="11" t="str">
        <f aca="false">IF($A3129="","",IF(원본명단!$H3128="",0,COUNTIF(원본명단!$H$3:$H$6002,원본명단!$H3128)))</f>
        <v/>
      </c>
      <c r="F3129" s="11" t="str">
        <f aca="false">IF($A3129="","",IF(원본명단!$I3128="",0,COUNTIF(원본명단!$I$3:$I$6002,원본명단!$I3128)))</f>
        <v/>
      </c>
      <c r="G3129" s="11" t="str">
        <f aca="false">IF($A3129="","",IF(원본명단!$K3128="",0,COUNTIF(원본명단!$K$3:$K$6002,원본명단!$K3128)))</f>
        <v/>
      </c>
      <c r="H3129" s="11" t="str">
        <f aca="false">IF($A3129="","",IF(MAX($E3129,$F3129,$G3129)&gt;1,"중복","-"))</f>
        <v/>
      </c>
      <c r="I3129" s="11" t="str">
        <f aca="false">IF($A3129="","",IF($H3129="-","-",IF(AND(IF(원본명단!$H3128="",TRUE(),COUNTIF(원본명단!$H$3:$H3128,원본명단!$H3128)=1),IF(원본명단!$I3128="",TRUE(),COUNTIF(원본명단!$I$3:$I3128,원본명단!$I3128)=1),IF(원본명단!$K3128="",TRUE(),COUNTIF(원본명단!$K$3:$K3128,원본명단!$K3128)=1)),"첫 건","중복 건")))</f>
        <v/>
      </c>
      <c r="J3129" s="11" t="str">
        <f aca="false">IF($A3129="","",IF($H3129="-","유지",IF($I3129="첫 건","유지","확인 필요")))</f>
        <v/>
      </c>
    </row>
    <row r="3130" customFormat="false" ht="15" hidden="false" customHeight="true" outlineLevel="0" collapsed="false">
      <c r="A3130" s="11" t="str">
        <f aca="false">IF(원본명단!$A3129="","",3127)</f>
        <v/>
      </c>
      <c r="B3130" s="12" t="str">
        <f aca="false">IF($A3130="","",원본명단!$A3129)</f>
        <v/>
      </c>
      <c r="C3130" s="12" t="str">
        <f aca="false">IF($A3130="","",원본명단!$B3129)</f>
        <v/>
      </c>
      <c r="D3130" s="12" t="str">
        <f aca="false">IF($A3130="","",원본명단!$D3129)</f>
        <v/>
      </c>
      <c r="E3130" s="11" t="str">
        <f aca="false">IF($A3130="","",IF(원본명단!$H3129="",0,COUNTIF(원본명단!$H$3:$H$6002,원본명단!$H3129)))</f>
        <v/>
      </c>
      <c r="F3130" s="11" t="str">
        <f aca="false">IF($A3130="","",IF(원본명단!$I3129="",0,COUNTIF(원본명단!$I$3:$I$6002,원본명단!$I3129)))</f>
        <v/>
      </c>
      <c r="G3130" s="11" t="str">
        <f aca="false">IF($A3130="","",IF(원본명단!$K3129="",0,COUNTIF(원본명단!$K$3:$K$6002,원본명단!$K3129)))</f>
        <v/>
      </c>
      <c r="H3130" s="11" t="str">
        <f aca="false">IF($A3130="","",IF(MAX($E3130,$F3130,$G3130)&gt;1,"중복","-"))</f>
        <v/>
      </c>
      <c r="I3130" s="11" t="str">
        <f aca="false">IF($A3130="","",IF($H3130="-","-",IF(AND(IF(원본명단!$H3129="",TRUE(),COUNTIF(원본명단!$H$3:$H3129,원본명단!$H3129)=1),IF(원본명단!$I3129="",TRUE(),COUNTIF(원본명단!$I$3:$I3129,원본명단!$I3129)=1),IF(원본명단!$K3129="",TRUE(),COUNTIF(원본명단!$K$3:$K3129,원본명단!$K3129)=1)),"첫 건","중복 건")))</f>
        <v/>
      </c>
      <c r="J3130" s="11" t="str">
        <f aca="false">IF($A3130="","",IF($H3130="-","유지",IF($I3130="첫 건","유지","확인 필요")))</f>
        <v/>
      </c>
    </row>
    <row r="3131" customFormat="false" ht="15" hidden="false" customHeight="true" outlineLevel="0" collapsed="false">
      <c r="A3131" s="11" t="str">
        <f aca="false">IF(원본명단!$A3130="","",3128)</f>
        <v/>
      </c>
      <c r="B3131" s="12" t="str">
        <f aca="false">IF($A3131="","",원본명단!$A3130)</f>
        <v/>
      </c>
      <c r="C3131" s="12" t="str">
        <f aca="false">IF($A3131="","",원본명단!$B3130)</f>
        <v/>
      </c>
      <c r="D3131" s="12" t="str">
        <f aca="false">IF($A3131="","",원본명단!$D3130)</f>
        <v/>
      </c>
      <c r="E3131" s="11" t="str">
        <f aca="false">IF($A3131="","",IF(원본명단!$H3130="",0,COUNTIF(원본명단!$H$3:$H$6002,원본명단!$H3130)))</f>
        <v/>
      </c>
      <c r="F3131" s="11" t="str">
        <f aca="false">IF($A3131="","",IF(원본명단!$I3130="",0,COUNTIF(원본명단!$I$3:$I$6002,원본명단!$I3130)))</f>
        <v/>
      </c>
      <c r="G3131" s="11" t="str">
        <f aca="false">IF($A3131="","",IF(원본명단!$K3130="",0,COUNTIF(원본명단!$K$3:$K$6002,원본명단!$K3130)))</f>
        <v/>
      </c>
      <c r="H3131" s="11" t="str">
        <f aca="false">IF($A3131="","",IF(MAX($E3131,$F3131,$G3131)&gt;1,"중복","-"))</f>
        <v/>
      </c>
      <c r="I3131" s="11" t="str">
        <f aca="false">IF($A3131="","",IF($H3131="-","-",IF(AND(IF(원본명단!$H3130="",TRUE(),COUNTIF(원본명단!$H$3:$H3130,원본명단!$H3130)=1),IF(원본명단!$I3130="",TRUE(),COUNTIF(원본명단!$I$3:$I3130,원본명단!$I3130)=1),IF(원본명단!$K3130="",TRUE(),COUNTIF(원본명단!$K$3:$K3130,원본명단!$K3130)=1)),"첫 건","중복 건")))</f>
        <v/>
      </c>
      <c r="J3131" s="11" t="str">
        <f aca="false">IF($A3131="","",IF($H3131="-","유지",IF($I3131="첫 건","유지","확인 필요")))</f>
        <v/>
      </c>
    </row>
    <row r="3132" customFormat="false" ht="15" hidden="false" customHeight="true" outlineLevel="0" collapsed="false">
      <c r="A3132" s="11" t="str">
        <f aca="false">IF(원본명단!$A3131="","",3129)</f>
        <v/>
      </c>
      <c r="B3132" s="12" t="str">
        <f aca="false">IF($A3132="","",원본명단!$A3131)</f>
        <v/>
      </c>
      <c r="C3132" s="12" t="str">
        <f aca="false">IF($A3132="","",원본명단!$B3131)</f>
        <v/>
      </c>
      <c r="D3132" s="12" t="str">
        <f aca="false">IF($A3132="","",원본명단!$D3131)</f>
        <v/>
      </c>
      <c r="E3132" s="11" t="str">
        <f aca="false">IF($A3132="","",IF(원본명단!$H3131="",0,COUNTIF(원본명단!$H$3:$H$6002,원본명단!$H3131)))</f>
        <v/>
      </c>
      <c r="F3132" s="11" t="str">
        <f aca="false">IF($A3132="","",IF(원본명단!$I3131="",0,COUNTIF(원본명단!$I$3:$I$6002,원본명단!$I3131)))</f>
        <v/>
      </c>
      <c r="G3132" s="11" t="str">
        <f aca="false">IF($A3132="","",IF(원본명단!$K3131="",0,COUNTIF(원본명단!$K$3:$K$6002,원본명단!$K3131)))</f>
        <v/>
      </c>
      <c r="H3132" s="11" t="str">
        <f aca="false">IF($A3132="","",IF(MAX($E3132,$F3132,$G3132)&gt;1,"중복","-"))</f>
        <v/>
      </c>
      <c r="I3132" s="11" t="str">
        <f aca="false">IF($A3132="","",IF($H3132="-","-",IF(AND(IF(원본명단!$H3131="",TRUE(),COUNTIF(원본명단!$H$3:$H3131,원본명단!$H3131)=1),IF(원본명단!$I3131="",TRUE(),COUNTIF(원본명단!$I$3:$I3131,원본명단!$I3131)=1),IF(원본명단!$K3131="",TRUE(),COUNTIF(원본명단!$K$3:$K3131,원본명단!$K3131)=1)),"첫 건","중복 건")))</f>
        <v/>
      </c>
      <c r="J3132" s="11" t="str">
        <f aca="false">IF($A3132="","",IF($H3132="-","유지",IF($I3132="첫 건","유지","확인 필요")))</f>
        <v/>
      </c>
    </row>
    <row r="3133" customFormat="false" ht="15" hidden="false" customHeight="true" outlineLevel="0" collapsed="false">
      <c r="A3133" s="11" t="str">
        <f aca="false">IF(원본명단!$A3132="","",3130)</f>
        <v/>
      </c>
      <c r="B3133" s="12" t="str">
        <f aca="false">IF($A3133="","",원본명단!$A3132)</f>
        <v/>
      </c>
      <c r="C3133" s="12" t="str">
        <f aca="false">IF($A3133="","",원본명단!$B3132)</f>
        <v/>
      </c>
      <c r="D3133" s="12" t="str">
        <f aca="false">IF($A3133="","",원본명단!$D3132)</f>
        <v/>
      </c>
      <c r="E3133" s="11" t="str">
        <f aca="false">IF($A3133="","",IF(원본명단!$H3132="",0,COUNTIF(원본명단!$H$3:$H$6002,원본명단!$H3132)))</f>
        <v/>
      </c>
      <c r="F3133" s="11" t="str">
        <f aca="false">IF($A3133="","",IF(원본명단!$I3132="",0,COUNTIF(원본명단!$I$3:$I$6002,원본명단!$I3132)))</f>
        <v/>
      </c>
      <c r="G3133" s="11" t="str">
        <f aca="false">IF($A3133="","",IF(원본명단!$K3132="",0,COUNTIF(원본명단!$K$3:$K$6002,원본명단!$K3132)))</f>
        <v/>
      </c>
      <c r="H3133" s="11" t="str">
        <f aca="false">IF($A3133="","",IF(MAX($E3133,$F3133,$G3133)&gt;1,"중복","-"))</f>
        <v/>
      </c>
      <c r="I3133" s="11" t="str">
        <f aca="false">IF($A3133="","",IF($H3133="-","-",IF(AND(IF(원본명단!$H3132="",TRUE(),COUNTIF(원본명단!$H$3:$H3132,원본명단!$H3132)=1),IF(원본명단!$I3132="",TRUE(),COUNTIF(원본명단!$I$3:$I3132,원본명단!$I3132)=1),IF(원본명단!$K3132="",TRUE(),COUNTIF(원본명단!$K$3:$K3132,원본명단!$K3132)=1)),"첫 건","중복 건")))</f>
        <v/>
      </c>
      <c r="J3133" s="11" t="str">
        <f aca="false">IF($A3133="","",IF($H3133="-","유지",IF($I3133="첫 건","유지","확인 필요")))</f>
        <v/>
      </c>
    </row>
    <row r="3134" customFormat="false" ht="15" hidden="false" customHeight="true" outlineLevel="0" collapsed="false">
      <c r="A3134" s="11" t="str">
        <f aca="false">IF(원본명단!$A3133="","",3131)</f>
        <v/>
      </c>
      <c r="B3134" s="12" t="str">
        <f aca="false">IF($A3134="","",원본명단!$A3133)</f>
        <v/>
      </c>
      <c r="C3134" s="12" t="str">
        <f aca="false">IF($A3134="","",원본명단!$B3133)</f>
        <v/>
      </c>
      <c r="D3134" s="12" t="str">
        <f aca="false">IF($A3134="","",원본명단!$D3133)</f>
        <v/>
      </c>
      <c r="E3134" s="11" t="str">
        <f aca="false">IF($A3134="","",IF(원본명단!$H3133="",0,COUNTIF(원본명단!$H$3:$H$6002,원본명단!$H3133)))</f>
        <v/>
      </c>
      <c r="F3134" s="11" t="str">
        <f aca="false">IF($A3134="","",IF(원본명단!$I3133="",0,COUNTIF(원본명단!$I$3:$I$6002,원본명단!$I3133)))</f>
        <v/>
      </c>
      <c r="G3134" s="11" t="str">
        <f aca="false">IF($A3134="","",IF(원본명단!$K3133="",0,COUNTIF(원본명단!$K$3:$K$6002,원본명단!$K3133)))</f>
        <v/>
      </c>
      <c r="H3134" s="11" t="str">
        <f aca="false">IF($A3134="","",IF(MAX($E3134,$F3134,$G3134)&gt;1,"중복","-"))</f>
        <v/>
      </c>
      <c r="I3134" s="11" t="str">
        <f aca="false">IF($A3134="","",IF($H3134="-","-",IF(AND(IF(원본명단!$H3133="",TRUE(),COUNTIF(원본명단!$H$3:$H3133,원본명단!$H3133)=1),IF(원본명단!$I3133="",TRUE(),COUNTIF(원본명단!$I$3:$I3133,원본명단!$I3133)=1),IF(원본명단!$K3133="",TRUE(),COUNTIF(원본명단!$K$3:$K3133,원본명단!$K3133)=1)),"첫 건","중복 건")))</f>
        <v/>
      </c>
      <c r="J3134" s="11" t="str">
        <f aca="false">IF($A3134="","",IF($H3134="-","유지",IF($I3134="첫 건","유지","확인 필요")))</f>
        <v/>
      </c>
    </row>
    <row r="3135" customFormat="false" ht="15" hidden="false" customHeight="true" outlineLevel="0" collapsed="false">
      <c r="A3135" s="11" t="str">
        <f aca="false">IF(원본명단!$A3134="","",3132)</f>
        <v/>
      </c>
      <c r="B3135" s="12" t="str">
        <f aca="false">IF($A3135="","",원본명단!$A3134)</f>
        <v/>
      </c>
      <c r="C3135" s="12" t="str">
        <f aca="false">IF($A3135="","",원본명단!$B3134)</f>
        <v/>
      </c>
      <c r="D3135" s="12" t="str">
        <f aca="false">IF($A3135="","",원본명단!$D3134)</f>
        <v/>
      </c>
      <c r="E3135" s="11" t="str">
        <f aca="false">IF($A3135="","",IF(원본명단!$H3134="",0,COUNTIF(원본명단!$H$3:$H$6002,원본명단!$H3134)))</f>
        <v/>
      </c>
      <c r="F3135" s="11" t="str">
        <f aca="false">IF($A3135="","",IF(원본명단!$I3134="",0,COUNTIF(원본명단!$I$3:$I$6002,원본명단!$I3134)))</f>
        <v/>
      </c>
      <c r="G3135" s="11" t="str">
        <f aca="false">IF($A3135="","",IF(원본명단!$K3134="",0,COUNTIF(원본명단!$K$3:$K$6002,원본명단!$K3134)))</f>
        <v/>
      </c>
      <c r="H3135" s="11" t="str">
        <f aca="false">IF($A3135="","",IF(MAX($E3135,$F3135,$G3135)&gt;1,"중복","-"))</f>
        <v/>
      </c>
      <c r="I3135" s="11" t="str">
        <f aca="false">IF($A3135="","",IF($H3135="-","-",IF(AND(IF(원본명단!$H3134="",TRUE(),COUNTIF(원본명단!$H$3:$H3134,원본명단!$H3134)=1),IF(원본명단!$I3134="",TRUE(),COUNTIF(원본명단!$I$3:$I3134,원본명단!$I3134)=1),IF(원본명단!$K3134="",TRUE(),COUNTIF(원본명단!$K$3:$K3134,원본명단!$K3134)=1)),"첫 건","중복 건")))</f>
        <v/>
      </c>
      <c r="J3135" s="11" t="str">
        <f aca="false">IF($A3135="","",IF($H3135="-","유지",IF($I3135="첫 건","유지","확인 필요")))</f>
        <v/>
      </c>
    </row>
    <row r="3136" customFormat="false" ht="15" hidden="false" customHeight="true" outlineLevel="0" collapsed="false">
      <c r="A3136" s="11" t="str">
        <f aca="false">IF(원본명단!$A3135="","",3133)</f>
        <v/>
      </c>
      <c r="B3136" s="12" t="str">
        <f aca="false">IF($A3136="","",원본명단!$A3135)</f>
        <v/>
      </c>
      <c r="C3136" s="12" t="str">
        <f aca="false">IF($A3136="","",원본명단!$B3135)</f>
        <v/>
      </c>
      <c r="D3136" s="12" t="str">
        <f aca="false">IF($A3136="","",원본명단!$D3135)</f>
        <v/>
      </c>
      <c r="E3136" s="11" t="str">
        <f aca="false">IF($A3136="","",IF(원본명단!$H3135="",0,COUNTIF(원본명단!$H$3:$H$6002,원본명단!$H3135)))</f>
        <v/>
      </c>
      <c r="F3136" s="11" t="str">
        <f aca="false">IF($A3136="","",IF(원본명단!$I3135="",0,COUNTIF(원본명단!$I$3:$I$6002,원본명단!$I3135)))</f>
        <v/>
      </c>
      <c r="G3136" s="11" t="str">
        <f aca="false">IF($A3136="","",IF(원본명단!$K3135="",0,COUNTIF(원본명단!$K$3:$K$6002,원본명단!$K3135)))</f>
        <v/>
      </c>
      <c r="H3136" s="11" t="str">
        <f aca="false">IF($A3136="","",IF(MAX($E3136,$F3136,$G3136)&gt;1,"중복","-"))</f>
        <v/>
      </c>
      <c r="I3136" s="11" t="str">
        <f aca="false">IF($A3136="","",IF($H3136="-","-",IF(AND(IF(원본명단!$H3135="",TRUE(),COUNTIF(원본명단!$H$3:$H3135,원본명단!$H3135)=1),IF(원본명단!$I3135="",TRUE(),COUNTIF(원본명단!$I$3:$I3135,원본명단!$I3135)=1),IF(원본명단!$K3135="",TRUE(),COUNTIF(원본명단!$K$3:$K3135,원본명단!$K3135)=1)),"첫 건","중복 건")))</f>
        <v/>
      </c>
      <c r="J3136" s="11" t="str">
        <f aca="false">IF($A3136="","",IF($H3136="-","유지",IF($I3136="첫 건","유지","확인 필요")))</f>
        <v/>
      </c>
    </row>
    <row r="3137" customFormat="false" ht="15" hidden="false" customHeight="true" outlineLevel="0" collapsed="false">
      <c r="A3137" s="11" t="str">
        <f aca="false">IF(원본명단!$A3136="","",3134)</f>
        <v/>
      </c>
      <c r="B3137" s="12" t="str">
        <f aca="false">IF($A3137="","",원본명단!$A3136)</f>
        <v/>
      </c>
      <c r="C3137" s="12" t="str">
        <f aca="false">IF($A3137="","",원본명단!$B3136)</f>
        <v/>
      </c>
      <c r="D3137" s="12" t="str">
        <f aca="false">IF($A3137="","",원본명단!$D3136)</f>
        <v/>
      </c>
      <c r="E3137" s="11" t="str">
        <f aca="false">IF($A3137="","",IF(원본명단!$H3136="",0,COUNTIF(원본명단!$H$3:$H$6002,원본명단!$H3136)))</f>
        <v/>
      </c>
      <c r="F3137" s="11" t="str">
        <f aca="false">IF($A3137="","",IF(원본명단!$I3136="",0,COUNTIF(원본명단!$I$3:$I$6002,원본명단!$I3136)))</f>
        <v/>
      </c>
      <c r="G3137" s="11" t="str">
        <f aca="false">IF($A3137="","",IF(원본명단!$K3136="",0,COUNTIF(원본명단!$K$3:$K$6002,원본명단!$K3136)))</f>
        <v/>
      </c>
      <c r="H3137" s="11" t="str">
        <f aca="false">IF($A3137="","",IF(MAX($E3137,$F3137,$G3137)&gt;1,"중복","-"))</f>
        <v/>
      </c>
      <c r="I3137" s="11" t="str">
        <f aca="false">IF($A3137="","",IF($H3137="-","-",IF(AND(IF(원본명단!$H3136="",TRUE(),COUNTIF(원본명단!$H$3:$H3136,원본명단!$H3136)=1),IF(원본명단!$I3136="",TRUE(),COUNTIF(원본명단!$I$3:$I3136,원본명단!$I3136)=1),IF(원본명단!$K3136="",TRUE(),COUNTIF(원본명단!$K$3:$K3136,원본명단!$K3136)=1)),"첫 건","중복 건")))</f>
        <v/>
      </c>
      <c r="J3137" s="11" t="str">
        <f aca="false">IF($A3137="","",IF($H3137="-","유지",IF($I3137="첫 건","유지","확인 필요")))</f>
        <v/>
      </c>
    </row>
    <row r="3138" customFormat="false" ht="15" hidden="false" customHeight="true" outlineLevel="0" collapsed="false">
      <c r="A3138" s="11" t="str">
        <f aca="false">IF(원본명단!$A3137="","",3135)</f>
        <v/>
      </c>
      <c r="B3138" s="12" t="str">
        <f aca="false">IF($A3138="","",원본명단!$A3137)</f>
        <v/>
      </c>
      <c r="C3138" s="12" t="str">
        <f aca="false">IF($A3138="","",원본명단!$B3137)</f>
        <v/>
      </c>
      <c r="D3138" s="12" t="str">
        <f aca="false">IF($A3138="","",원본명단!$D3137)</f>
        <v/>
      </c>
      <c r="E3138" s="11" t="str">
        <f aca="false">IF($A3138="","",IF(원본명단!$H3137="",0,COUNTIF(원본명단!$H$3:$H$6002,원본명단!$H3137)))</f>
        <v/>
      </c>
      <c r="F3138" s="11" t="str">
        <f aca="false">IF($A3138="","",IF(원본명단!$I3137="",0,COUNTIF(원본명단!$I$3:$I$6002,원본명단!$I3137)))</f>
        <v/>
      </c>
      <c r="G3138" s="11" t="str">
        <f aca="false">IF($A3138="","",IF(원본명단!$K3137="",0,COUNTIF(원본명단!$K$3:$K$6002,원본명단!$K3137)))</f>
        <v/>
      </c>
      <c r="H3138" s="11" t="str">
        <f aca="false">IF($A3138="","",IF(MAX($E3138,$F3138,$G3138)&gt;1,"중복","-"))</f>
        <v/>
      </c>
      <c r="I3138" s="11" t="str">
        <f aca="false">IF($A3138="","",IF($H3138="-","-",IF(AND(IF(원본명단!$H3137="",TRUE(),COUNTIF(원본명단!$H$3:$H3137,원본명단!$H3137)=1),IF(원본명단!$I3137="",TRUE(),COUNTIF(원본명단!$I$3:$I3137,원본명단!$I3137)=1),IF(원본명단!$K3137="",TRUE(),COUNTIF(원본명단!$K$3:$K3137,원본명단!$K3137)=1)),"첫 건","중복 건")))</f>
        <v/>
      </c>
      <c r="J3138" s="11" t="str">
        <f aca="false">IF($A3138="","",IF($H3138="-","유지",IF($I3138="첫 건","유지","확인 필요")))</f>
        <v/>
      </c>
    </row>
    <row r="3139" customFormat="false" ht="15" hidden="false" customHeight="true" outlineLevel="0" collapsed="false">
      <c r="A3139" s="11" t="str">
        <f aca="false">IF(원본명단!$A3138="","",3136)</f>
        <v/>
      </c>
      <c r="B3139" s="12" t="str">
        <f aca="false">IF($A3139="","",원본명단!$A3138)</f>
        <v/>
      </c>
      <c r="C3139" s="12" t="str">
        <f aca="false">IF($A3139="","",원본명단!$B3138)</f>
        <v/>
      </c>
      <c r="D3139" s="12" t="str">
        <f aca="false">IF($A3139="","",원본명단!$D3138)</f>
        <v/>
      </c>
      <c r="E3139" s="11" t="str">
        <f aca="false">IF($A3139="","",IF(원본명단!$H3138="",0,COUNTIF(원본명단!$H$3:$H$6002,원본명단!$H3138)))</f>
        <v/>
      </c>
      <c r="F3139" s="11" t="str">
        <f aca="false">IF($A3139="","",IF(원본명단!$I3138="",0,COUNTIF(원본명단!$I$3:$I$6002,원본명단!$I3138)))</f>
        <v/>
      </c>
      <c r="G3139" s="11" t="str">
        <f aca="false">IF($A3139="","",IF(원본명단!$K3138="",0,COUNTIF(원본명단!$K$3:$K$6002,원본명단!$K3138)))</f>
        <v/>
      </c>
      <c r="H3139" s="11" t="str">
        <f aca="false">IF($A3139="","",IF(MAX($E3139,$F3139,$G3139)&gt;1,"중복","-"))</f>
        <v/>
      </c>
      <c r="I3139" s="11" t="str">
        <f aca="false">IF($A3139="","",IF($H3139="-","-",IF(AND(IF(원본명단!$H3138="",TRUE(),COUNTIF(원본명단!$H$3:$H3138,원본명단!$H3138)=1),IF(원본명단!$I3138="",TRUE(),COUNTIF(원본명단!$I$3:$I3138,원본명단!$I3138)=1),IF(원본명단!$K3138="",TRUE(),COUNTIF(원본명단!$K$3:$K3138,원본명단!$K3138)=1)),"첫 건","중복 건")))</f>
        <v/>
      </c>
      <c r="J3139" s="11" t="str">
        <f aca="false">IF($A3139="","",IF($H3139="-","유지",IF($I3139="첫 건","유지","확인 필요")))</f>
        <v/>
      </c>
    </row>
    <row r="3140" customFormat="false" ht="15" hidden="false" customHeight="true" outlineLevel="0" collapsed="false">
      <c r="A3140" s="11" t="str">
        <f aca="false">IF(원본명단!$A3139="","",3137)</f>
        <v/>
      </c>
      <c r="B3140" s="12" t="str">
        <f aca="false">IF($A3140="","",원본명단!$A3139)</f>
        <v/>
      </c>
      <c r="C3140" s="12" t="str">
        <f aca="false">IF($A3140="","",원본명단!$B3139)</f>
        <v/>
      </c>
      <c r="D3140" s="12" t="str">
        <f aca="false">IF($A3140="","",원본명단!$D3139)</f>
        <v/>
      </c>
      <c r="E3140" s="11" t="str">
        <f aca="false">IF($A3140="","",IF(원본명단!$H3139="",0,COUNTIF(원본명단!$H$3:$H$6002,원본명단!$H3139)))</f>
        <v/>
      </c>
      <c r="F3140" s="11" t="str">
        <f aca="false">IF($A3140="","",IF(원본명단!$I3139="",0,COUNTIF(원본명단!$I$3:$I$6002,원본명단!$I3139)))</f>
        <v/>
      </c>
      <c r="G3140" s="11" t="str">
        <f aca="false">IF($A3140="","",IF(원본명단!$K3139="",0,COUNTIF(원본명단!$K$3:$K$6002,원본명단!$K3139)))</f>
        <v/>
      </c>
      <c r="H3140" s="11" t="str">
        <f aca="false">IF($A3140="","",IF(MAX($E3140,$F3140,$G3140)&gt;1,"중복","-"))</f>
        <v/>
      </c>
      <c r="I3140" s="11" t="str">
        <f aca="false">IF($A3140="","",IF($H3140="-","-",IF(AND(IF(원본명단!$H3139="",TRUE(),COUNTIF(원본명단!$H$3:$H3139,원본명단!$H3139)=1),IF(원본명단!$I3139="",TRUE(),COUNTIF(원본명단!$I$3:$I3139,원본명단!$I3139)=1),IF(원본명단!$K3139="",TRUE(),COUNTIF(원본명단!$K$3:$K3139,원본명단!$K3139)=1)),"첫 건","중복 건")))</f>
        <v/>
      </c>
      <c r="J3140" s="11" t="str">
        <f aca="false">IF($A3140="","",IF($H3140="-","유지",IF($I3140="첫 건","유지","확인 필요")))</f>
        <v/>
      </c>
    </row>
    <row r="3141" customFormat="false" ht="15" hidden="false" customHeight="true" outlineLevel="0" collapsed="false">
      <c r="A3141" s="11" t="str">
        <f aca="false">IF(원본명단!$A3140="","",3138)</f>
        <v/>
      </c>
      <c r="B3141" s="12" t="str">
        <f aca="false">IF($A3141="","",원본명단!$A3140)</f>
        <v/>
      </c>
      <c r="C3141" s="12" t="str">
        <f aca="false">IF($A3141="","",원본명단!$B3140)</f>
        <v/>
      </c>
      <c r="D3141" s="12" t="str">
        <f aca="false">IF($A3141="","",원본명단!$D3140)</f>
        <v/>
      </c>
      <c r="E3141" s="11" t="str">
        <f aca="false">IF($A3141="","",IF(원본명단!$H3140="",0,COUNTIF(원본명단!$H$3:$H$6002,원본명단!$H3140)))</f>
        <v/>
      </c>
      <c r="F3141" s="11" t="str">
        <f aca="false">IF($A3141="","",IF(원본명단!$I3140="",0,COUNTIF(원본명단!$I$3:$I$6002,원본명단!$I3140)))</f>
        <v/>
      </c>
      <c r="G3141" s="11" t="str">
        <f aca="false">IF($A3141="","",IF(원본명단!$K3140="",0,COUNTIF(원본명단!$K$3:$K$6002,원본명단!$K3140)))</f>
        <v/>
      </c>
      <c r="H3141" s="11" t="str">
        <f aca="false">IF($A3141="","",IF(MAX($E3141,$F3141,$G3141)&gt;1,"중복","-"))</f>
        <v/>
      </c>
      <c r="I3141" s="11" t="str">
        <f aca="false">IF($A3141="","",IF($H3141="-","-",IF(AND(IF(원본명단!$H3140="",TRUE(),COUNTIF(원본명단!$H$3:$H3140,원본명단!$H3140)=1),IF(원본명단!$I3140="",TRUE(),COUNTIF(원본명단!$I$3:$I3140,원본명단!$I3140)=1),IF(원본명단!$K3140="",TRUE(),COUNTIF(원본명단!$K$3:$K3140,원본명단!$K3140)=1)),"첫 건","중복 건")))</f>
        <v/>
      </c>
      <c r="J3141" s="11" t="str">
        <f aca="false">IF($A3141="","",IF($H3141="-","유지",IF($I3141="첫 건","유지","확인 필요")))</f>
        <v/>
      </c>
    </row>
    <row r="3142" customFormat="false" ht="15" hidden="false" customHeight="true" outlineLevel="0" collapsed="false">
      <c r="A3142" s="11" t="str">
        <f aca="false">IF(원본명단!$A3141="","",3139)</f>
        <v/>
      </c>
      <c r="B3142" s="12" t="str">
        <f aca="false">IF($A3142="","",원본명단!$A3141)</f>
        <v/>
      </c>
      <c r="C3142" s="12" t="str">
        <f aca="false">IF($A3142="","",원본명단!$B3141)</f>
        <v/>
      </c>
      <c r="D3142" s="12" t="str">
        <f aca="false">IF($A3142="","",원본명단!$D3141)</f>
        <v/>
      </c>
      <c r="E3142" s="11" t="str">
        <f aca="false">IF($A3142="","",IF(원본명단!$H3141="",0,COUNTIF(원본명단!$H$3:$H$6002,원본명단!$H3141)))</f>
        <v/>
      </c>
      <c r="F3142" s="11" t="str">
        <f aca="false">IF($A3142="","",IF(원본명단!$I3141="",0,COUNTIF(원본명단!$I$3:$I$6002,원본명단!$I3141)))</f>
        <v/>
      </c>
      <c r="G3142" s="11" t="str">
        <f aca="false">IF($A3142="","",IF(원본명단!$K3141="",0,COUNTIF(원본명단!$K$3:$K$6002,원본명단!$K3141)))</f>
        <v/>
      </c>
      <c r="H3142" s="11" t="str">
        <f aca="false">IF($A3142="","",IF(MAX($E3142,$F3142,$G3142)&gt;1,"중복","-"))</f>
        <v/>
      </c>
      <c r="I3142" s="11" t="str">
        <f aca="false">IF($A3142="","",IF($H3142="-","-",IF(AND(IF(원본명단!$H3141="",TRUE(),COUNTIF(원본명단!$H$3:$H3141,원본명단!$H3141)=1),IF(원본명단!$I3141="",TRUE(),COUNTIF(원본명단!$I$3:$I3141,원본명단!$I3141)=1),IF(원본명단!$K3141="",TRUE(),COUNTIF(원본명단!$K$3:$K3141,원본명단!$K3141)=1)),"첫 건","중복 건")))</f>
        <v/>
      </c>
      <c r="J3142" s="11" t="str">
        <f aca="false">IF($A3142="","",IF($H3142="-","유지",IF($I3142="첫 건","유지","확인 필요")))</f>
        <v/>
      </c>
    </row>
    <row r="3143" customFormat="false" ht="15" hidden="false" customHeight="true" outlineLevel="0" collapsed="false">
      <c r="A3143" s="11" t="str">
        <f aca="false">IF(원본명단!$A3142="","",3140)</f>
        <v/>
      </c>
      <c r="B3143" s="12" t="str">
        <f aca="false">IF($A3143="","",원본명단!$A3142)</f>
        <v/>
      </c>
      <c r="C3143" s="12" t="str">
        <f aca="false">IF($A3143="","",원본명단!$B3142)</f>
        <v/>
      </c>
      <c r="D3143" s="12" t="str">
        <f aca="false">IF($A3143="","",원본명단!$D3142)</f>
        <v/>
      </c>
      <c r="E3143" s="11" t="str">
        <f aca="false">IF($A3143="","",IF(원본명단!$H3142="",0,COUNTIF(원본명단!$H$3:$H$6002,원본명단!$H3142)))</f>
        <v/>
      </c>
      <c r="F3143" s="11" t="str">
        <f aca="false">IF($A3143="","",IF(원본명단!$I3142="",0,COUNTIF(원본명단!$I$3:$I$6002,원본명단!$I3142)))</f>
        <v/>
      </c>
      <c r="G3143" s="11" t="str">
        <f aca="false">IF($A3143="","",IF(원본명단!$K3142="",0,COUNTIF(원본명단!$K$3:$K$6002,원본명단!$K3142)))</f>
        <v/>
      </c>
      <c r="H3143" s="11" t="str">
        <f aca="false">IF($A3143="","",IF(MAX($E3143,$F3143,$G3143)&gt;1,"중복","-"))</f>
        <v/>
      </c>
      <c r="I3143" s="11" t="str">
        <f aca="false">IF($A3143="","",IF($H3143="-","-",IF(AND(IF(원본명단!$H3142="",TRUE(),COUNTIF(원본명단!$H$3:$H3142,원본명단!$H3142)=1),IF(원본명단!$I3142="",TRUE(),COUNTIF(원본명단!$I$3:$I3142,원본명단!$I3142)=1),IF(원본명단!$K3142="",TRUE(),COUNTIF(원본명단!$K$3:$K3142,원본명단!$K3142)=1)),"첫 건","중복 건")))</f>
        <v/>
      </c>
      <c r="J3143" s="11" t="str">
        <f aca="false">IF($A3143="","",IF($H3143="-","유지",IF($I3143="첫 건","유지","확인 필요")))</f>
        <v/>
      </c>
    </row>
    <row r="3144" customFormat="false" ht="15" hidden="false" customHeight="true" outlineLevel="0" collapsed="false">
      <c r="A3144" s="11" t="str">
        <f aca="false">IF(원본명단!$A3143="","",3141)</f>
        <v/>
      </c>
      <c r="B3144" s="12" t="str">
        <f aca="false">IF($A3144="","",원본명단!$A3143)</f>
        <v/>
      </c>
      <c r="C3144" s="12" t="str">
        <f aca="false">IF($A3144="","",원본명단!$B3143)</f>
        <v/>
      </c>
      <c r="D3144" s="12" t="str">
        <f aca="false">IF($A3144="","",원본명단!$D3143)</f>
        <v/>
      </c>
      <c r="E3144" s="11" t="str">
        <f aca="false">IF($A3144="","",IF(원본명단!$H3143="",0,COUNTIF(원본명단!$H$3:$H$6002,원본명단!$H3143)))</f>
        <v/>
      </c>
      <c r="F3144" s="11" t="str">
        <f aca="false">IF($A3144="","",IF(원본명단!$I3143="",0,COUNTIF(원본명단!$I$3:$I$6002,원본명단!$I3143)))</f>
        <v/>
      </c>
      <c r="G3144" s="11" t="str">
        <f aca="false">IF($A3144="","",IF(원본명단!$K3143="",0,COUNTIF(원본명단!$K$3:$K$6002,원본명단!$K3143)))</f>
        <v/>
      </c>
      <c r="H3144" s="11" t="str">
        <f aca="false">IF($A3144="","",IF(MAX($E3144,$F3144,$G3144)&gt;1,"중복","-"))</f>
        <v/>
      </c>
      <c r="I3144" s="11" t="str">
        <f aca="false">IF($A3144="","",IF($H3144="-","-",IF(AND(IF(원본명단!$H3143="",TRUE(),COUNTIF(원본명단!$H$3:$H3143,원본명단!$H3143)=1),IF(원본명단!$I3143="",TRUE(),COUNTIF(원본명단!$I$3:$I3143,원본명단!$I3143)=1),IF(원본명단!$K3143="",TRUE(),COUNTIF(원본명단!$K$3:$K3143,원본명단!$K3143)=1)),"첫 건","중복 건")))</f>
        <v/>
      </c>
      <c r="J3144" s="11" t="str">
        <f aca="false">IF($A3144="","",IF($H3144="-","유지",IF($I3144="첫 건","유지","확인 필요")))</f>
        <v/>
      </c>
    </row>
    <row r="3145" customFormat="false" ht="15" hidden="false" customHeight="true" outlineLevel="0" collapsed="false">
      <c r="A3145" s="11" t="str">
        <f aca="false">IF(원본명단!$A3144="","",3142)</f>
        <v/>
      </c>
      <c r="B3145" s="12" t="str">
        <f aca="false">IF($A3145="","",원본명단!$A3144)</f>
        <v/>
      </c>
      <c r="C3145" s="12" t="str">
        <f aca="false">IF($A3145="","",원본명단!$B3144)</f>
        <v/>
      </c>
      <c r="D3145" s="12" t="str">
        <f aca="false">IF($A3145="","",원본명단!$D3144)</f>
        <v/>
      </c>
      <c r="E3145" s="11" t="str">
        <f aca="false">IF($A3145="","",IF(원본명단!$H3144="",0,COUNTIF(원본명단!$H$3:$H$6002,원본명단!$H3144)))</f>
        <v/>
      </c>
      <c r="F3145" s="11" t="str">
        <f aca="false">IF($A3145="","",IF(원본명단!$I3144="",0,COUNTIF(원본명단!$I$3:$I$6002,원본명단!$I3144)))</f>
        <v/>
      </c>
      <c r="G3145" s="11" t="str">
        <f aca="false">IF($A3145="","",IF(원본명단!$K3144="",0,COUNTIF(원본명단!$K$3:$K$6002,원본명단!$K3144)))</f>
        <v/>
      </c>
      <c r="H3145" s="11" t="str">
        <f aca="false">IF($A3145="","",IF(MAX($E3145,$F3145,$G3145)&gt;1,"중복","-"))</f>
        <v/>
      </c>
      <c r="I3145" s="11" t="str">
        <f aca="false">IF($A3145="","",IF($H3145="-","-",IF(AND(IF(원본명단!$H3144="",TRUE(),COUNTIF(원본명단!$H$3:$H3144,원본명단!$H3144)=1),IF(원본명단!$I3144="",TRUE(),COUNTIF(원본명단!$I$3:$I3144,원본명단!$I3144)=1),IF(원본명단!$K3144="",TRUE(),COUNTIF(원본명단!$K$3:$K3144,원본명단!$K3144)=1)),"첫 건","중복 건")))</f>
        <v/>
      </c>
      <c r="J3145" s="11" t="str">
        <f aca="false">IF($A3145="","",IF($H3145="-","유지",IF($I3145="첫 건","유지","확인 필요")))</f>
        <v/>
      </c>
    </row>
    <row r="3146" customFormat="false" ht="15" hidden="false" customHeight="true" outlineLevel="0" collapsed="false">
      <c r="A3146" s="11" t="str">
        <f aca="false">IF(원본명단!$A3145="","",3143)</f>
        <v/>
      </c>
      <c r="B3146" s="12" t="str">
        <f aca="false">IF($A3146="","",원본명단!$A3145)</f>
        <v/>
      </c>
      <c r="C3146" s="12" t="str">
        <f aca="false">IF($A3146="","",원본명단!$B3145)</f>
        <v/>
      </c>
      <c r="D3146" s="12" t="str">
        <f aca="false">IF($A3146="","",원본명단!$D3145)</f>
        <v/>
      </c>
      <c r="E3146" s="11" t="str">
        <f aca="false">IF($A3146="","",IF(원본명단!$H3145="",0,COUNTIF(원본명단!$H$3:$H$6002,원본명단!$H3145)))</f>
        <v/>
      </c>
      <c r="F3146" s="11" t="str">
        <f aca="false">IF($A3146="","",IF(원본명단!$I3145="",0,COUNTIF(원본명단!$I$3:$I$6002,원본명단!$I3145)))</f>
        <v/>
      </c>
      <c r="G3146" s="11" t="str">
        <f aca="false">IF($A3146="","",IF(원본명단!$K3145="",0,COUNTIF(원본명단!$K$3:$K$6002,원본명단!$K3145)))</f>
        <v/>
      </c>
      <c r="H3146" s="11" t="str">
        <f aca="false">IF($A3146="","",IF(MAX($E3146,$F3146,$G3146)&gt;1,"중복","-"))</f>
        <v/>
      </c>
      <c r="I3146" s="11" t="str">
        <f aca="false">IF($A3146="","",IF($H3146="-","-",IF(AND(IF(원본명단!$H3145="",TRUE(),COUNTIF(원본명단!$H$3:$H3145,원본명단!$H3145)=1),IF(원본명단!$I3145="",TRUE(),COUNTIF(원본명단!$I$3:$I3145,원본명단!$I3145)=1),IF(원본명단!$K3145="",TRUE(),COUNTIF(원본명단!$K$3:$K3145,원본명단!$K3145)=1)),"첫 건","중복 건")))</f>
        <v/>
      </c>
      <c r="J3146" s="11" t="str">
        <f aca="false">IF($A3146="","",IF($H3146="-","유지",IF($I3146="첫 건","유지","확인 필요")))</f>
        <v/>
      </c>
    </row>
    <row r="3147" customFormat="false" ht="15" hidden="false" customHeight="true" outlineLevel="0" collapsed="false">
      <c r="A3147" s="11" t="str">
        <f aca="false">IF(원본명단!$A3146="","",3144)</f>
        <v/>
      </c>
      <c r="B3147" s="12" t="str">
        <f aca="false">IF($A3147="","",원본명단!$A3146)</f>
        <v/>
      </c>
      <c r="C3147" s="12" t="str">
        <f aca="false">IF($A3147="","",원본명단!$B3146)</f>
        <v/>
      </c>
      <c r="D3147" s="12" t="str">
        <f aca="false">IF($A3147="","",원본명단!$D3146)</f>
        <v/>
      </c>
      <c r="E3147" s="11" t="str">
        <f aca="false">IF($A3147="","",IF(원본명단!$H3146="",0,COUNTIF(원본명단!$H$3:$H$6002,원본명단!$H3146)))</f>
        <v/>
      </c>
      <c r="F3147" s="11" t="str">
        <f aca="false">IF($A3147="","",IF(원본명단!$I3146="",0,COUNTIF(원본명단!$I$3:$I$6002,원본명단!$I3146)))</f>
        <v/>
      </c>
      <c r="G3147" s="11" t="str">
        <f aca="false">IF($A3147="","",IF(원본명단!$K3146="",0,COUNTIF(원본명단!$K$3:$K$6002,원본명단!$K3146)))</f>
        <v/>
      </c>
      <c r="H3147" s="11" t="str">
        <f aca="false">IF($A3147="","",IF(MAX($E3147,$F3147,$G3147)&gt;1,"중복","-"))</f>
        <v/>
      </c>
      <c r="I3147" s="11" t="str">
        <f aca="false">IF($A3147="","",IF($H3147="-","-",IF(AND(IF(원본명단!$H3146="",TRUE(),COUNTIF(원본명단!$H$3:$H3146,원본명단!$H3146)=1),IF(원본명단!$I3146="",TRUE(),COUNTIF(원본명단!$I$3:$I3146,원본명단!$I3146)=1),IF(원본명단!$K3146="",TRUE(),COUNTIF(원본명단!$K$3:$K3146,원본명단!$K3146)=1)),"첫 건","중복 건")))</f>
        <v/>
      </c>
      <c r="J3147" s="11" t="str">
        <f aca="false">IF($A3147="","",IF($H3147="-","유지",IF($I3147="첫 건","유지","확인 필요")))</f>
        <v/>
      </c>
    </row>
    <row r="3148" customFormat="false" ht="15" hidden="false" customHeight="true" outlineLevel="0" collapsed="false">
      <c r="A3148" s="11" t="str">
        <f aca="false">IF(원본명단!$A3147="","",3145)</f>
        <v/>
      </c>
      <c r="B3148" s="12" t="str">
        <f aca="false">IF($A3148="","",원본명단!$A3147)</f>
        <v/>
      </c>
      <c r="C3148" s="12" t="str">
        <f aca="false">IF($A3148="","",원본명단!$B3147)</f>
        <v/>
      </c>
      <c r="D3148" s="12" t="str">
        <f aca="false">IF($A3148="","",원본명단!$D3147)</f>
        <v/>
      </c>
      <c r="E3148" s="11" t="str">
        <f aca="false">IF($A3148="","",IF(원본명단!$H3147="",0,COUNTIF(원본명단!$H$3:$H$6002,원본명단!$H3147)))</f>
        <v/>
      </c>
      <c r="F3148" s="11" t="str">
        <f aca="false">IF($A3148="","",IF(원본명단!$I3147="",0,COUNTIF(원본명단!$I$3:$I$6002,원본명단!$I3147)))</f>
        <v/>
      </c>
      <c r="G3148" s="11" t="str">
        <f aca="false">IF($A3148="","",IF(원본명단!$K3147="",0,COUNTIF(원본명단!$K$3:$K$6002,원본명단!$K3147)))</f>
        <v/>
      </c>
      <c r="H3148" s="11" t="str">
        <f aca="false">IF($A3148="","",IF(MAX($E3148,$F3148,$G3148)&gt;1,"중복","-"))</f>
        <v/>
      </c>
      <c r="I3148" s="11" t="str">
        <f aca="false">IF($A3148="","",IF($H3148="-","-",IF(AND(IF(원본명단!$H3147="",TRUE(),COUNTIF(원본명단!$H$3:$H3147,원본명단!$H3147)=1),IF(원본명단!$I3147="",TRUE(),COUNTIF(원본명단!$I$3:$I3147,원본명단!$I3147)=1),IF(원본명단!$K3147="",TRUE(),COUNTIF(원본명단!$K$3:$K3147,원본명단!$K3147)=1)),"첫 건","중복 건")))</f>
        <v/>
      </c>
      <c r="J3148" s="11" t="str">
        <f aca="false">IF($A3148="","",IF($H3148="-","유지",IF($I3148="첫 건","유지","확인 필요")))</f>
        <v/>
      </c>
    </row>
    <row r="3149" customFormat="false" ht="15" hidden="false" customHeight="true" outlineLevel="0" collapsed="false">
      <c r="A3149" s="11" t="str">
        <f aca="false">IF(원본명단!$A3148="","",3146)</f>
        <v/>
      </c>
      <c r="B3149" s="12" t="str">
        <f aca="false">IF($A3149="","",원본명단!$A3148)</f>
        <v/>
      </c>
      <c r="C3149" s="12" t="str">
        <f aca="false">IF($A3149="","",원본명단!$B3148)</f>
        <v/>
      </c>
      <c r="D3149" s="12" t="str">
        <f aca="false">IF($A3149="","",원본명단!$D3148)</f>
        <v/>
      </c>
      <c r="E3149" s="11" t="str">
        <f aca="false">IF($A3149="","",IF(원본명단!$H3148="",0,COUNTIF(원본명단!$H$3:$H$6002,원본명단!$H3148)))</f>
        <v/>
      </c>
      <c r="F3149" s="11" t="str">
        <f aca="false">IF($A3149="","",IF(원본명단!$I3148="",0,COUNTIF(원본명단!$I$3:$I$6002,원본명단!$I3148)))</f>
        <v/>
      </c>
      <c r="G3149" s="11" t="str">
        <f aca="false">IF($A3149="","",IF(원본명단!$K3148="",0,COUNTIF(원본명단!$K$3:$K$6002,원본명단!$K3148)))</f>
        <v/>
      </c>
      <c r="H3149" s="11" t="str">
        <f aca="false">IF($A3149="","",IF(MAX($E3149,$F3149,$G3149)&gt;1,"중복","-"))</f>
        <v/>
      </c>
      <c r="I3149" s="11" t="str">
        <f aca="false">IF($A3149="","",IF($H3149="-","-",IF(AND(IF(원본명단!$H3148="",TRUE(),COUNTIF(원본명단!$H$3:$H3148,원본명단!$H3148)=1),IF(원본명단!$I3148="",TRUE(),COUNTIF(원본명단!$I$3:$I3148,원본명단!$I3148)=1),IF(원본명단!$K3148="",TRUE(),COUNTIF(원본명단!$K$3:$K3148,원본명단!$K3148)=1)),"첫 건","중복 건")))</f>
        <v/>
      </c>
      <c r="J3149" s="11" t="str">
        <f aca="false">IF($A3149="","",IF($H3149="-","유지",IF($I3149="첫 건","유지","확인 필요")))</f>
        <v/>
      </c>
    </row>
    <row r="3150" customFormat="false" ht="15" hidden="false" customHeight="true" outlineLevel="0" collapsed="false">
      <c r="A3150" s="11" t="str">
        <f aca="false">IF(원본명단!$A3149="","",3147)</f>
        <v/>
      </c>
      <c r="B3150" s="12" t="str">
        <f aca="false">IF($A3150="","",원본명단!$A3149)</f>
        <v/>
      </c>
      <c r="C3150" s="12" t="str">
        <f aca="false">IF($A3150="","",원본명단!$B3149)</f>
        <v/>
      </c>
      <c r="D3150" s="12" t="str">
        <f aca="false">IF($A3150="","",원본명단!$D3149)</f>
        <v/>
      </c>
      <c r="E3150" s="11" t="str">
        <f aca="false">IF($A3150="","",IF(원본명단!$H3149="",0,COUNTIF(원본명단!$H$3:$H$6002,원본명단!$H3149)))</f>
        <v/>
      </c>
      <c r="F3150" s="11" t="str">
        <f aca="false">IF($A3150="","",IF(원본명단!$I3149="",0,COUNTIF(원본명단!$I$3:$I$6002,원본명단!$I3149)))</f>
        <v/>
      </c>
      <c r="G3150" s="11" t="str">
        <f aca="false">IF($A3150="","",IF(원본명단!$K3149="",0,COUNTIF(원본명단!$K$3:$K$6002,원본명단!$K3149)))</f>
        <v/>
      </c>
      <c r="H3150" s="11" t="str">
        <f aca="false">IF($A3150="","",IF(MAX($E3150,$F3150,$G3150)&gt;1,"중복","-"))</f>
        <v/>
      </c>
      <c r="I3150" s="11" t="str">
        <f aca="false">IF($A3150="","",IF($H3150="-","-",IF(AND(IF(원본명단!$H3149="",TRUE(),COUNTIF(원본명단!$H$3:$H3149,원본명단!$H3149)=1),IF(원본명단!$I3149="",TRUE(),COUNTIF(원본명단!$I$3:$I3149,원본명단!$I3149)=1),IF(원본명단!$K3149="",TRUE(),COUNTIF(원본명단!$K$3:$K3149,원본명단!$K3149)=1)),"첫 건","중복 건")))</f>
        <v/>
      </c>
      <c r="J3150" s="11" t="str">
        <f aca="false">IF($A3150="","",IF($H3150="-","유지",IF($I3150="첫 건","유지","확인 필요")))</f>
        <v/>
      </c>
    </row>
    <row r="3151" customFormat="false" ht="15" hidden="false" customHeight="true" outlineLevel="0" collapsed="false">
      <c r="A3151" s="11" t="str">
        <f aca="false">IF(원본명단!$A3150="","",3148)</f>
        <v/>
      </c>
      <c r="B3151" s="12" t="str">
        <f aca="false">IF($A3151="","",원본명단!$A3150)</f>
        <v/>
      </c>
      <c r="C3151" s="12" t="str">
        <f aca="false">IF($A3151="","",원본명단!$B3150)</f>
        <v/>
      </c>
      <c r="D3151" s="12" t="str">
        <f aca="false">IF($A3151="","",원본명단!$D3150)</f>
        <v/>
      </c>
      <c r="E3151" s="11" t="str">
        <f aca="false">IF($A3151="","",IF(원본명단!$H3150="",0,COUNTIF(원본명단!$H$3:$H$6002,원본명단!$H3150)))</f>
        <v/>
      </c>
      <c r="F3151" s="11" t="str">
        <f aca="false">IF($A3151="","",IF(원본명단!$I3150="",0,COUNTIF(원본명단!$I$3:$I$6002,원본명단!$I3150)))</f>
        <v/>
      </c>
      <c r="G3151" s="11" t="str">
        <f aca="false">IF($A3151="","",IF(원본명단!$K3150="",0,COUNTIF(원본명단!$K$3:$K$6002,원본명단!$K3150)))</f>
        <v/>
      </c>
      <c r="H3151" s="11" t="str">
        <f aca="false">IF($A3151="","",IF(MAX($E3151,$F3151,$G3151)&gt;1,"중복","-"))</f>
        <v/>
      </c>
      <c r="I3151" s="11" t="str">
        <f aca="false">IF($A3151="","",IF($H3151="-","-",IF(AND(IF(원본명단!$H3150="",TRUE(),COUNTIF(원본명단!$H$3:$H3150,원본명단!$H3150)=1),IF(원본명단!$I3150="",TRUE(),COUNTIF(원본명단!$I$3:$I3150,원본명단!$I3150)=1),IF(원본명단!$K3150="",TRUE(),COUNTIF(원본명단!$K$3:$K3150,원본명단!$K3150)=1)),"첫 건","중복 건")))</f>
        <v/>
      </c>
      <c r="J3151" s="11" t="str">
        <f aca="false">IF($A3151="","",IF($H3151="-","유지",IF($I3151="첫 건","유지","확인 필요")))</f>
        <v/>
      </c>
    </row>
    <row r="3152" customFormat="false" ht="15" hidden="false" customHeight="true" outlineLevel="0" collapsed="false">
      <c r="A3152" s="11" t="str">
        <f aca="false">IF(원본명단!$A3151="","",3149)</f>
        <v/>
      </c>
      <c r="B3152" s="12" t="str">
        <f aca="false">IF($A3152="","",원본명단!$A3151)</f>
        <v/>
      </c>
      <c r="C3152" s="12" t="str">
        <f aca="false">IF($A3152="","",원본명단!$B3151)</f>
        <v/>
      </c>
      <c r="D3152" s="12" t="str">
        <f aca="false">IF($A3152="","",원본명단!$D3151)</f>
        <v/>
      </c>
      <c r="E3152" s="11" t="str">
        <f aca="false">IF($A3152="","",IF(원본명단!$H3151="",0,COUNTIF(원본명단!$H$3:$H$6002,원본명단!$H3151)))</f>
        <v/>
      </c>
      <c r="F3152" s="11" t="str">
        <f aca="false">IF($A3152="","",IF(원본명단!$I3151="",0,COUNTIF(원본명단!$I$3:$I$6002,원본명단!$I3151)))</f>
        <v/>
      </c>
      <c r="G3152" s="11" t="str">
        <f aca="false">IF($A3152="","",IF(원본명단!$K3151="",0,COUNTIF(원본명단!$K$3:$K$6002,원본명단!$K3151)))</f>
        <v/>
      </c>
      <c r="H3152" s="11" t="str">
        <f aca="false">IF($A3152="","",IF(MAX($E3152,$F3152,$G3152)&gt;1,"중복","-"))</f>
        <v/>
      </c>
      <c r="I3152" s="11" t="str">
        <f aca="false">IF($A3152="","",IF($H3152="-","-",IF(AND(IF(원본명단!$H3151="",TRUE(),COUNTIF(원본명단!$H$3:$H3151,원본명단!$H3151)=1),IF(원본명단!$I3151="",TRUE(),COUNTIF(원본명단!$I$3:$I3151,원본명단!$I3151)=1),IF(원본명단!$K3151="",TRUE(),COUNTIF(원본명단!$K$3:$K3151,원본명단!$K3151)=1)),"첫 건","중복 건")))</f>
        <v/>
      </c>
      <c r="J3152" s="11" t="str">
        <f aca="false">IF($A3152="","",IF($H3152="-","유지",IF($I3152="첫 건","유지","확인 필요")))</f>
        <v/>
      </c>
    </row>
    <row r="3153" customFormat="false" ht="15" hidden="false" customHeight="true" outlineLevel="0" collapsed="false">
      <c r="A3153" s="11" t="str">
        <f aca="false">IF(원본명단!$A3152="","",3150)</f>
        <v/>
      </c>
      <c r="B3153" s="12" t="str">
        <f aca="false">IF($A3153="","",원본명단!$A3152)</f>
        <v/>
      </c>
      <c r="C3153" s="12" t="str">
        <f aca="false">IF($A3153="","",원본명단!$B3152)</f>
        <v/>
      </c>
      <c r="D3153" s="12" t="str">
        <f aca="false">IF($A3153="","",원본명단!$D3152)</f>
        <v/>
      </c>
      <c r="E3153" s="11" t="str">
        <f aca="false">IF($A3153="","",IF(원본명단!$H3152="",0,COUNTIF(원본명단!$H$3:$H$6002,원본명단!$H3152)))</f>
        <v/>
      </c>
      <c r="F3153" s="11" t="str">
        <f aca="false">IF($A3153="","",IF(원본명단!$I3152="",0,COUNTIF(원본명단!$I$3:$I$6002,원본명단!$I3152)))</f>
        <v/>
      </c>
      <c r="G3153" s="11" t="str">
        <f aca="false">IF($A3153="","",IF(원본명단!$K3152="",0,COUNTIF(원본명단!$K$3:$K$6002,원본명단!$K3152)))</f>
        <v/>
      </c>
      <c r="H3153" s="11" t="str">
        <f aca="false">IF($A3153="","",IF(MAX($E3153,$F3153,$G3153)&gt;1,"중복","-"))</f>
        <v/>
      </c>
      <c r="I3153" s="11" t="str">
        <f aca="false">IF($A3153="","",IF($H3153="-","-",IF(AND(IF(원본명단!$H3152="",TRUE(),COUNTIF(원본명단!$H$3:$H3152,원본명단!$H3152)=1),IF(원본명단!$I3152="",TRUE(),COUNTIF(원본명단!$I$3:$I3152,원본명단!$I3152)=1),IF(원본명단!$K3152="",TRUE(),COUNTIF(원본명단!$K$3:$K3152,원본명단!$K3152)=1)),"첫 건","중복 건")))</f>
        <v/>
      </c>
      <c r="J3153" s="11" t="str">
        <f aca="false">IF($A3153="","",IF($H3153="-","유지",IF($I3153="첫 건","유지","확인 필요")))</f>
        <v/>
      </c>
    </row>
    <row r="3154" customFormat="false" ht="15" hidden="false" customHeight="true" outlineLevel="0" collapsed="false">
      <c r="A3154" s="11" t="str">
        <f aca="false">IF(원본명단!$A3153="","",3151)</f>
        <v/>
      </c>
      <c r="B3154" s="12" t="str">
        <f aca="false">IF($A3154="","",원본명단!$A3153)</f>
        <v/>
      </c>
      <c r="C3154" s="12" t="str">
        <f aca="false">IF($A3154="","",원본명단!$B3153)</f>
        <v/>
      </c>
      <c r="D3154" s="12" t="str">
        <f aca="false">IF($A3154="","",원본명단!$D3153)</f>
        <v/>
      </c>
      <c r="E3154" s="11" t="str">
        <f aca="false">IF($A3154="","",IF(원본명단!$H3153="",0,COUNTIF(원본명단!$H$3:$H$6002,원본명단!$H3153)))</f>
        <v/>
      </c>
      <c r="F3154" s="11" t="str">
        <f aca="false">IF($A3154="","",IF(원본명단!$I3153="",0,COUNTIF(원본명단!$I$3:$I$6002,원본명단!$I3153)))</f>
        <v/>
      </c>
      <c r="G3154" s="11" t="str">
        <f aca="false">IF($A3154="","",IF(원본명단!$K3153="",0,COUNTIF(원본명단!$K$3:$K$6002,원본명단!$K3153)))</f>
        <v/>
      </c>
      <c r="H3154" s="11" t="str">
        <f aca="false">IF($A3154="","",IF(MAX($E3154,$F3154,$G3154)&gt;1,"중복","-"))</f>
        <v/>
      </c>
      <c r="I3154" s="11" t="str">
        <f aca="false">IF($A3154="","",IF($H3154="-","-",IF(AND(IF(원본명단!$H3153="",TRUE(),COUNTIF(원본명단!$H$3:$H3153,원본명단!$H3153)=1),IF(원본명단!$I3153="",TRUE(),COUNTIF(원본명단!$I$3:$I3153,원본명단!$I3153)=1),IF(원본명단!$K3153="",TRUE(),COUNTIF(원본명단!$K$3:$K3153,원본명단!$K3153)=1)),"첫 건","중복 건")))</f>
        <v/>
      </c>
      <c r="J3154" s="11" t="str">
        <f aca="false">IF($A3154="","",IF($H3154="-","유지",IF($I3154="첫 건","유지","확인 필요")))</f>
        <v/>
      </c>
    </row>
    <row r="3155" customFormat="false" ht="15" hidden="false" customHeight="true" outlineLevel="0" collapsed="false">
      <c r="A3155" s="11" t="str">
        <f aca="false">IF(원본명단!$A3154="","",3152)</f>
        <v/>
      </c>
      <c r="B3155" s="12" t="str">
        <f aca="false">IF($A3155="","",원본명단!$A3154)</f>
        <v/>
      </c>
      <c r="C3155" s="12" t="str">
        <f aca="false">IF($A3155="","",원본명단!$B3154)</f>
        <v/>
      </c>
      <c r="D3155" s="12" t="str">
        <f aca="false">IF($A3155="","",원본명단!$D3154)</f>
        <v/>
      </c>
      <c r="E3155" s="11" t="str">
        <f aca="false">IF($A3155="","",IF(원본명단!$H3154="",0,COUNTIF(원본명단!$H$3:$H$6002,원본명단!$H3154)))</f>
        <v/>
      </c>
      <c r="F3155" s="11" t="str">
        <f aca="false">IF($A3155="","",IF(원본명단!$I3154="",0,COUNTIF(원본명단!$I$3:$I$6002,원본명단!$I3154)))</f>
        <v/>
      </c>
      <c r="G3155" s="11" t="str">
        <f aca="false">IF($A3155="","",IF(원본명단!$K3154="",0,COUNTIF(원본명단!$K$3:$K$6002,원본명단!$K3154)))</f>
        <v/>
      </c>
      <c r="H3155" s="11" t="str">
        <f aca="false">IF($A3155="","",IF(MAX($E3155,$F3155,$G3155)&gt;1,"중복","-"))</f>
        <v/>
      </c>
      <c r="I3155" s="11" t="str">
        <f aca="false">IF($A3155="","",IF($H3155="-","-",IF(AND(IF(원본명단!$H3154="",TRUE(),COUNTIF(원본명단!$H$3:$H3154,원본명단!$H3154)=1),IF(원본명단!$I3154="",TRUE(),COUNTIF(원본명단!$I$3:$I3154,원본명단!$I3154)=1),IF(원본명단!$K3154="",TRUE(),COUNTIF(원본명단!$K$3:$K3154,원본명단!$K3154)=1)),"첫 건","중복 건")))</f>
        <v/>
      </c>
      <c r="J3155" s="11" t="str">
        <f aca="false">IF($A3155="","",IF($H3155="-","유지",IF($I3155="첫 건","유지","확인 필요")))</f>
        <v/>
      </c>
    </row>
    <row r="3156" customFormat="false" ht="15" hidden="false" customHeight="true" outlineLevel="0" collapsed="false">
      <c r="A3156" s="11" t="str">
        <f aca="false">IF(원본명단!$A3155="","",3153)</f>
        <v/>
      </c>
      <c r="B3156" s="12" t="str">
        <f aca="false">IF($A3156="","",원본명단!$A3155)</f>
        <v/>
      </c>
      <c r="C3156" s="12" t="str">
        <f aca="false">IF($A3156="","",원본명단!$B3155)</f>
        <v/>
      </c>
      <c r="D3156" s="12" t="str">
        <f aca="false">IF($A3156="","",원본명단!$D3155)</f>
        <v/>
      </c>
      <c r="E3156" s="11" t="str">
        <f aca="false">IF($A3156="","",IF(원본명단!$H3155="",0,COUNTIF(원본명단!$H$3:$H$6002,원본명단!$H3155)))</f>
        <v/>
      </c>
      <c r="F3156" s="11" t="str">
        <f aca="false">IF($A3156="","",IF(원본명단!$I3155="",0,COUNTIF(원본명단!$I$3:$I$6002,원본명단!$I3155)))</f>
        <v/>
      </c>
      <c r="G3156" s="11" t="str">
        <f aca="false">IF($A3156="","",IF(원본명단!$K3155="",0,COUNTIF(원본명단!$K$3:$K$6002,원본명단!$K3155)))</f>
        <v/>
      </c>
      <c r="H3156" s="11" t="str">
        <f aca="false">IF($A3156="","",IF(MAX($E3156,$F3156,$G3156)&gt;1,"중복","-"))</f>
        <v/>
      </c>
      <c r="I3156" s="11" t="str">
        <f aca="false">IF($A3156="","",IF($H3156="-","-",IF(AND(IF(원본명단!$H3155="",TRUE(),COUNTIF(원본명단!$H$3:$H3155,원본명단!$H3155)=1),IF(원본명단!$I3155="",TRUE(),COUNTIF(원본명단!$I$3:$I3155,원본명단!$I3155)=1),IF(원본명단!$K3155="",TRUE(),COUNTIF(원본명단!$K$3:$K3155,원본명단!$K3155)=1)),"첫 건","중복 건")))</f>
        <v/>
      </c>
      <c r="J3156" s="11" t="str">
        <f aca="false">IF($A3156="","",IF($H3156="-","유지",IF($I3156="첫 건","유지","확인 필요")))</f>
        <v/>
      </c>
    </row>
    <row r="3157" customFormat="false" ht="15" hidden="false" customHeight="true" outlineLevel="0" collapsed="false">
      <c r="A3157" s="11" t="str">
        <f aca="false">IF(원본명단!$A3156="","",3154)</f>
        <v/>
      </c>
      <c r="B3157" s="12" t="str">
        <f aca="false">IF($A3157="","",원본명단!$A3156)</f>
        <v/>
      </c>
      <c r="C3157" s="12" t="str">
        <f aca="false">IF($A3157="","",원본명단!$B3156)</f>
        <v/>
      </c>
      <c r="D3157" s="12" t="str">
        <f aca="false">IF($A3157="","",원본명단!$D3156)</f>
        <v/>
      </c>
      <c r="E3157" s="11" t="str">
        <f aca="false">IF($A3157="","",IF(원본명단!$H3156="",0,COUNTIF(원본명단!$H$3:$H$6002,원본명단!$H3156)))</f>
        <v/>
      </c>
      <c r="F3157" s="11" t="str">
        <f aca="false">IF($A3157="","",IF(원본명단!$I3156="",0,COUNTIF(원본명단!$I$3:$I$6002,원본명단!$I3156)))</f>
        <v/>
      </c>
      <c r="G3157" s="11" t="str">
        <f aca="false">IF($A3157="","",IF(원본명단!$K3156="",0,COUNTIF(원본명단!$K$3:$K$6002,원본명단!$K3156)))</f>
        <v/>
      </c>
      <c r="H3157" s="11" t="str">
        <f aca="false">IF($A3157="","",IF(MAX($E3157,$F3157,$G3157)&gt;1,"중복","-"))</f>
        <v/>
      </c>
      <c r="I3157" s="11" t="str">
        <f aca="false">IF($A3157="","",IF($H3157="-","-",IF(AND(IF(원본명단!$H3156="",TRUE(),COUNTIF(원본명단!$H$3:$H3156,원본명단!$H3156)=1),IF(원본명단!$I3156="",TRUE(),COUNTIF(원본명단!$I$3:$I3156,원본명단!$I3156)=1),IF(원본명단!$K3156="",TRUE(),COUNTIF(원본명단!$K$3:$K3156,원본명단!$K3156)=1)),"첫 건","중복 건")))</f>
        <v/>
      </c>
      <c r="J3157" s="11" t="str">
        <f aca="false">IF($A3157="","",IF($H3157="-","유지",IF($I3157="첫 건","유지","확인 필요")))</f>
        <v/>
      </c>
    </row>
    <row r="3158" customFormat="false" ht="15" hidden="false" customHeight="true" outlineLevel="0" collapsed="false">
      <c r="A3158" s="11" t="str">
        <f aca="false">IF(원본명단!$A3157="","",3155)</f>
        <v/>
      </c>
      <c r="B3158" s="12" t="str">
        <f aca="false">IF($A3158="","",원본명단!$A3157)</f>
        <v/>
      </c>
      <c r="C3158" s="12" t="str">
        <f aca="false">IF($A3158="","",원본명단!$B3157)</f>
        <v/>
      </c>
      <c r="D3158" s="12" t="str">
        <f aca="false">IF($A3158="","",원본명단!$D3157)</f>
        <v/>
      </c>
      <c r="E3158" s="11" t="str">
        <f aca="false">IF($A3158="","",IF(원본명단!$H3157="",0,COUNTIF(원본명단!$H$3:$H$6002,원본명단!$H3157)))</f>
        <v/>
      </c>
      <c r="F3158" s="11" t="str">
        <f aca="false">IF($A3158="","",IF(원본명단!$I3157="",0,COUNTIF(원본명단!$I$3:$I$6002,원본명단!$I3157)))</f>
        <v/>
      </c>
      <c r="G3158" s="11" t="str">
        <f aca="false">IF($A3158="","",IF(원본명단!$K3157="",0,COUNTIF(원본명단!$K$3:$K$6002,원본명단!$K3157)))</f>
        <v/>
      </c>
      <c r="H3158" s="11" t="str">
        <f aca="false">IF($A3158="","",IF(MAX($E3158,$F3158,$G3158)&gt;1,"중복","-"))</f>
        <v/>
      </c>
      <c r="I3158" s="11" t="str">
        <f aca="false">IF($A3158="","",IF($H3158="-","-",IF(AND(IF(원본명단!$H3157="",TRUE(),COUNTIF(원본명단!$H$3:$H3157,원본명단!$H3157)=1),IF(원본명단!$I3157="",TRUE(),COUNTIF(원본명단!$I$3:$I3157,원본명단!$I3157)=1),IF(원본명단!$K3157="",TRUE(),COUNTIF(원본명단!$K$3:$K3157,원본명단!$K3157)=1)),"첫 건","중복 건")))</f>
        <v/>
      </c>
      <c r="J3158" s="11" t="str">
        <f aca="false">IF($A3158="","",IF($H3158="-","유지",IF($I3158="첫 건","유지","확인 필요")))</f>
        <v/>
      </c>
    </row>
    <row r="3159" customFormat="false" ht="15" hidden="false" customHeight="true" outlineLevel="0" collapsed="false">
      <c r="A3159" s="11" t="str">
        <f aca="false">IF(원본명단!$A3158="","",3156)</f>
        <v/>
      </c>
      <c r="B3159" s="12" t="str">
        <f aca="false">IF($A3159="","",원본명단!$A3158)</f>
        <v/>
      </c>
      <c r="C3159" s="12" t="str">
        <f aca="false">IF($A3159="","",원본명단!$B3158)</f>
        <v/>
      </c>
      <c r="D3159" s="12" t="str">
        <f aca="false">IF($A3159="","",원본명단!$D3158)</f>
        <v/>
      </c>
      <c r="E3159" s="11" t="str">
        <f aca="false">IF($A3159="","",IF(원본명단!$H3158="",0,COUNTIF(원본명단!$H$3:$H$6002,원본명단!$H3158)))</f>
        <v/>
      </c>
      <c r="F3159" s="11" t="str">
        <f aca="false">IF($A3159="","",IF(원본명단!$I3158="",0,COUNTIF(원본명단!$I$3:$I$6002,원본명단!$I3158)))</f>
        <v/>
      </c>
      <c r="G3159" s="11" t="str">
        <f aca="false">IF($A3159="","",IF(원본명단!$K3158="",0,COUNTIF(원본명단!$K$3:$K$6002,원본명단!$K3158)))</f>
        <v/>
      </c>
      <c r="H3159" s="11" t="str">
        <f aca="false">IF($A3159="","",IF(MAX($E3159,$F3159,$G3159)&gt;1,"중복","-"))</f>
        <v/>
      </c>
      <c r="I3159" s="11" t="str">
        <f aca="false">IF($A3159="","",IF($H3159="-","-",IF(AND(IF(원본명단!$H3158="",TRUE(),COUNTIF(원본명단!$H$3:$H3158,원본명단!$H3158)=1),IF(원본명단!$I3158="",TRUE(),COUNTIF(원본명단!$I$3:$I3158,원본명단!$I3158)=1),IF(원본명단!$K3158="",TRUE(),COUNTIF(원본명단!$K$3:$K3158,원본명단!$K3158)=1)),"첫 건","중복 건")))</f>
        <v/>
      </c>
      <c r="J3159" s="11" t="str">
        <f aca="false">IF($A3159="","",IF($H3159="-","유지",IF($I3159="첫 건","유지","확인 필요")))</f>
        <v/>
      </c>
    </row>
    <row r="3160" customFormat="false" ht="15" hidden="false" customHeight="true" outlineLevel="0" collapsed="false">
      <c r="A3160" s="11" t="str">
        <f aca="false">IF(원본명단!$A3159="","",3157)</f>
        <v/>
      </c>
      <c r="B3160" s="12" t="str">
        <f aca="false">IF($A3160="","",원본명단!$A3159)</f>
        <v/>
      </c>
      <c r="C3160" s="12" t="str">
        <f aca="false">IF($A3160="","",원본명단!$B3159)</f>
        <v/>
      </c>
      <c r="D3160" s="12" t="str">
        <f aca="false">IF($A3160="","",원본명단!$D3159)</f>
        <v/>
      </c>
      <c r="E3160" s="11" t="str">
        <f aca="false">IF($A3160="","",IF(원본명단!$H3159="",0,COUNTIF(원본명단!$H$3:$H$6002,원본명단!$H3159)))</f>
        <v/>
      </c>
      <c r="F3160" s="11" t="str">
        <f aca="false">IF($A3160="","",IF(원본명단!$I3159="",0,COUNTIF(원본명단!$I$3:$I$6002,원본명단!$I3159)))</f>
        <v/>
      </c>
      <c r="G3160" s="11" t="str">
        <f aca="false">IF($A3160="","",IF(원본명단!$K3159="",0,COUNTIF(원본명단!$K$3:$K$6002,원본명단!$K3159)))</f>
        <v/>
      </c>
      <c r="H3160" s="11" t="str">
        <f aca="false">IF($A3160="","",IF(MAX($E3160,$F3160,$G3160)&gt;1,"중복","-"))</f>
        <v/>
      </c>
      <c r="I3160" s="11" t="str">
        <f aca="false">IF($A3160="","",IF($H3160="-","-",IF(AND(IF(원본명단!$H3159="",TRUE(),COUNTIF(원본명단!$H$3:$H3159,원본명단!$H3159)=1),IF(원본명단!$I3159="",TRUE(),COUNTIF(원본명단!$I$3:$I3159,원본명단!$I3159)=1),IF(원본명단!$K3159="",TRUE(),COUNTIF(원본명단!$K$3:$K3159,원본명단!$K3159)=1)),"첫 건","중복 건")))</f>
        <v/>
      </c>
      <c r="J3160" s="11" t="str">
        <f aca="false">IF($A3160="","",IF($H3160="-","유지",IF($I3160="첫 건","유지","확인 필요")))</f>
        <v/>
      </c>
    </row>
    <row r="3161" customFormat="false" ht="15" hidden="false" customHeight="true" outlineLevel="0" collapsed="false">
      <c r="A3161" s="11" t="str">
        <f aca="false">IF(원본명단!$A3160="","",3158)</f>
        <v/>
      </c>
      <c r="B3161" s="12" t="str">
        <f aca="false">IF($A3161="","",원본명단!$A3160)</f>
        <v/>
      </c>
      <c r="C3161" s="12" t="str">
        <f aca="false">IF($A3161="","",원본명단!$B3160)</f>
        <v/>
      </c>
      <c r="D3161" s="12" t="str">
        <f aca="false">IF($A3161="","",원본명단!$D3160)</f>
        <v/>
      </c>
      <c r="E3161" s="11" t="str">
        <f aca="false">IF($A3161="","",IF(원본명단!$H3160="",0,COUNTIF(원본명단!$H$3:$H$6002,원본명단!$H3160)))</f>
        <v/>
      </c>
      <c r="F3161" s="11" t="str">
        <f aca="false">IF($A3161="","",IF(원본명단!$I3160="",0,COUNTIF(원본명단!$I$3:$I$6002,원본명단!$I3160)))</f>
        <v/>
      </c>
      <c r="G3161" s="11" t="str">
        <f aca="false">IF($A3161="","",IF(원본명단!$K3160="",0,COUNTIF(원본명단!$K$3:$K$6002,원본명단!$K3160)))</f>
        <v/>
      </c>
      <c r="H3161" s="11" t="str">
        <f aca="false">IF($A3161="","",IF(MAX($E3161,$F3161,$G3161)&gt;1,"중복","-"))</f>
        <v/>
      </c>
      <c r="I3161" s="11" t="str">
        <f aca="false">IF($A3161="","",IF($H3161="-","-",IF(AND(IF(원본명단!$H3160="",TRUE(),COUNTIF(원본명단!$H$3:$H3160,원본명단!$H3160)=1),IF(원본명단!$I3160="",TRUE(),COUNTIF(원본명단!$I$3:$I3160,원본명단!$I3160)=1),IF(원본명단!$K3160="",TRUE(),COUNTIF(원본명단!$K$3:$K3160,원본명단!$K3160)=1)),"첫 건","중복 건")))</f>
        <v/>
      </c>
      <c r="J3161" s="11" t="str">
        <f aca="false">IF($A3161="","",IF($H3161="-","유지",IF($I3161="첫 건","유지","확인 필요")))</f>
        <v/>
      </c>
    </row>
    <row r="3162" customFormat="false" ht="15" hidden="false" customHeight="true" outlineLevel="0" collapsed="false">
      <c r="A3162" s="11" t="str">
        <f aca="false">IF(원본명단!$A3161="","",3159)</f>
        <v/>
      </c>
      <c r="B3162" s="12" t="str">
        <f aca="false">IF($A3162="","",원본명단!$A3161)</f>
        <v/>
      </c>
      <c r="C3162" s="12" t="str">
        <f aca="false">IF($A3162="","",원본명단!$B3161)</f>
        <v/>
      </c>
      <c r="D3162" s="12" t="str">
        <f aca="false">IF($A3162="","",원본명단!$D3161)</f>
        <v/>
      </c>
      <c r="E3162" s="11" t="str">
        <f aca="false">IF($A3162="","",IF(원본명단!$H3161="",0,COUNTIF(원본명단!$H$3:$H$6002,원본명단!$H3161)))</f>
        <v/>
      </c>
      <c r="F3162" s="11" t="str">
        <f aca="false">IF($A3162="","",IF(원본명단!$I3161="",0,COUNTIF(원본명단!$I$3:$I$6002,원본명단!$I3161)))</f>
        <v/>
      </c>
      <c r="G3162" s="11" t="str">
        <f aca="false">IF($A3162="","",IF(원본명단!$K3161="",0,COUNTIF(원본명단!$K$3:$K$6002,원본명단!$K3161)))</f>
        <v/>
      </c>
      <c r="H3162" s="11" t="str">
        <f aca="false">IF($A3162="","",IF(MAX($E3162,$F3162,$G3162)&gt;1,"중복","-"))</f>
        <v/>
      </c>
      <c r="I3162" s="11" t="str">
        <f aca="false">IF($A3162="","",IF($H3162="-","-",IF(AND(IF(원본명단!$H3161="",TRUE(),COUNTIF(원본명단!$H$3:$H3161,원본명단!$H3161)=1),IF(원본명단!$I3161="",TRUE(),COUNTIF(원본명단!$I$3:$I3161,원본명단!$I3161)=1),IF(원본명단!$K3161="",TRUE(),COUNTIF(원본명단!$K$3:$K3161,원본명단!$K3161)=1)),"첫 건","중복 건")))</f>
        <v/>
      </c>
      <c r="J3162" s="11" t="str">
        <f aca="false">IF($A3162="","",IF($H3162="-","유지",IF($I3162="첫 건","유지","확인 필요")))</f>
        <v/>
      </c>
    </row>
    <row r="3163" customFormat="false" ht="15" hidden="false" customHeight="true" outlineLevel="0" collapsed="false">
      <c r="A3163" s="11" t="str">
        <f aca="false">IF(원본명단!$A3162="","",3160)</f>
        <v/>
      </c>
      <c r="B3163" s="12" t="str">
        <f aca="false">IF($A3163="","",원본명단!$A3162)</f>
        <v/>
      </c>
      <c r="C3163" s="12" t="str">
        <f aca="false">IF($A3163="","",원본명단!$B3162)</f>
        <v/>
      </c>
      <c r="D3163" s="12" t="str">
        <f aca="false">IF($A3163="","",원본명단!$D3162)</f>
        <v/>
      </c>
      <c r="E3163" s="11" t="str">
        <f aca="false">IF($A3163="","",IF(원본명단!$H3162="",0,COUNTIF(원본명단!$H$3:$H$6002,원본명단!$H3162)))</f>
        <v/>
      </c>
      <c r="F3163" s="11" t="str">
        <f aca="false">IF($A3163="","",IF(원본명단!$I3162="",0,COUNTIF(원본명단!$I$3:$I$6002,원본명단!$I3162)))</f>
        <v/>
      </c>
      <c r="G3163" s="11" t="str">
        <f aca="false">IF($A3163="","",IF(원본명단!$K3162="",0,COUNTIF(원본명단!$K$3:$K$6002,원본명단!$K3162)))</f>
        <v/>
      </c>
      <c r="H3163" s="11" t="str">
        <f aca="false">IF($A3163="","",IF(MAX($E3163,$F3163,$G3163)&gt;1,"중복","-"))</f>
        <v/>
      </c>
      <c r="I3163" s="11" t="str">
        <f aca="false">IF($A3163="","",IF($H3163="-","-",IF(AND(IF(원본명단!$H3162="",TRUE(),COUNTIF(원본명단!$H$3:$H3162,원본명단!$H3162)=1),IF(원본명단!$I3162="",TRUE(),COUNTIF(원본명단!$I$3:$I3162,원본명단!$I3162)=1),IF(원본명단!$K3162="",TRUE(),COUNTIF(원본명단!$K$3:$K3162,원본명단!$K3162)=1)),"첫 건","중복 건")))</f>
        <v/>
      </c>
      <c r="J3163" s="11" t="str">
        <f aca="false">IF($A3163="","",IF($H3163="-","유지",IF($I3163="첫 건","유지","확인 필요")))</f>
        <v/>
      </c>
    </row>
    <row r="3164" customFormat="false" ht="15" hidden="false" customHeight="true" outlineLevel="0" collapsed="false">
      <c r="A3164" s="11" t="str">
        <f aca="false">IF(원본명단!$A3163="","",3161)</f>
        <v/>
      </c>
      <c r="B3164" s="12" t="str">
        <f aca="false">IF($A3164="","",원본명단!$A3163)</f>
        <v/>
      </c>
      <c r="C3164" s="12" t="str">
        <f aca="false">IF($A3164="","",원본명단!$B3163)</f>
        <v/>
      </c>
      <c r="D3164" s="12" t="str">
        <f aca="false">IF($A3164="","",원본명단!$D3163)</f>
        <v/>
      </c>
      <c r="E3164" s="11" t="str">
        <f aca="false">IF($A3164="","",IF(원본명단!$H3163="",0,COUNTIF(원본명단!$H$3:$H$6002,원본명단!$H3163)))</f>
        <v/>
      </c>
      <c r="F3164" s="11" t="str">
        <f aca="false">IF($A3164="","",IF(원본명단!$I3163="",0,COUNTIF(원본명단!$I$3:$I$6002,원본명단!$I3163)))</f>
        <v/>
      </c>
      <c r="G3164" s="11" t="str">
        <f aca="false">IF($A3164="","",IF(원본명단!$K3163="",0,COUNTIF(원본명단!$K$3:$K$6002,원본명단!$K3163)))</f>
        <v/>
      </c>
      <c r="H3164" s="11" t="str">
        <f aca="false">IF($A3164="","",IF(MAX($E3164,$F3164,$G3164)&gt;1,"중복","-"))</f>
        <v/>
      </c>
      <c r="I3164" s="11" t="str">
        <f aca="false">IF($A3164="","",IF($H3164="-","-",IF(AND(IF(원본명단!$H3163="",TRUE(),COUNTIF(원본명단!$H$3:$H3163,원본명단!$H3163)=1),IF(원본명단!$I3163="",TRUE(),COUNTIF(원본명단!$I$3:$I3163,원본명단!$I3163)=1),IF(원본명단!$K3163="",TRUE(),COUNTIF(원본명단!$K$3:$K3163,원본명단!$K3163)=1)),"첫 건","중복 건")))</f>
        <v/>
      </c>
      <c r="J3164" s="11" t="str">
        <f aca="false">IF($A3164="","",IF($H3164="-","유지",IF($I3164="첫 건","유지","확인 필요")))</f>
        <v/>
      </c>
    </row>
    <row r="3165" customFormat="false" ht="15" hidden="false" customHeight="true" outlineLevel="0" collapsed="false">
      <c r="A3165" s="11" t="str">
        <f aca="false">IF(원본명단!$A3164="","",3162)</f>
        <v/>
      </c>
      <c r="B3165" s="12" t="str">
        <f aca="false">IF($A3165="","",원본명단!$A3164)</f>
        <v/>
      </c>
      <c r="C3165" s="12" t="str">
        <f aca="false">IF($A3165="","",원본명단!$B3164)</f>
        <v/>
      </c>
      <c r="D3165" s="12" t="str">
        <f aca="false">IF($A3165="","",원본명단!$D3164)</f>
        <v/>
      </c>
      <c r="E3165" s="11" t="str">
        <f aca="false">IF($A3165="","",IF(원본명단!$H3164="",0,COUNTIF(원본명단!$H$3:$H$6002,원본명단!$H3164)))</f>
        <v/>
      </c>
      <c r="F3165" s="11" t="str">
        <f aca="false">IF($A3165="","",IF(원본명단!$I3164="",0,COUNTIF(원본명단!$I$3:$I$6002,원본명단!$I3164)))</f>
        <v/>
      </c>
      <c r="G3165" s="11" t="str">
        <f aca="false">IF($A3165="","",IF(원본명단!$K3164="",0,COUNTIF(원본명단!$K$3:$K$6002,원본명단!$K3164)))</f>
        <v/>
      </c>
      <c r="H3165" s="11" t="str">
        <f aca="false">IF($A3165="","",IF(MAX($E3165,$F3165,$G3165)&gt;1,"중복","-"))</f>
        <v/>
      </c>
      <c r="I3165" s="11" t="str">
        <f aca="false">IF($A3165="","",IF($H3165="-","-",IF(AND(IF(원본명단!$H3164="",TRUE(),COUNTIF(원본명단!$H$3:$H3164,원본명단!$H3164)=1),IF(원본명단!$I3164="",TRUE(),COUNTIF(원본명단!$I$3:$I3164,원본명단!$I3164)=1),IF(원본명단!$K3164="",TRUE(),COUNTIF(원본명단!$K$3:$K3164,원본명단!$K3164)=1)),"첫 건","중복 건")))</f>
        <v/>
      </c>
      <c r="J3165" s="11" t="str">
        <f aca="false">IF($A3165="","",IF($H3165="-","유지",IF($I3165="첫 건","유지","확인 필요")))</f>
        <v/>
      </c>
    </row>
    <row r="3166" customFormat="false" ht="15" hidden="false" customHeight="true" outlineLevel="0" collapsed="false">
      <c r="A3166" s="11" t="str">
        <f aca="false">IF(원본명단!$A3165="","",3163)</f>
        <v/>
      </c>
      <c r="B3166" s="12" t="str">
        <f aca="false">IF($A3166="","",원본명단!$A3165)</f>
        <v/>
      </c>
      <c r="C3166" s="12" t="str">
        <f aca="false">IF($A3166="","",원본명단!$B3165)</f>
        <v/>
      </c>
      <c r="D3166" s="12" t="str">
        <f aca="false">IF($A3166="","",원본명단!$D3165)</f>
        <v/>
      </c>
      <c r="E3166" s="11" t="str">
        <f aca="false">IF($A3166="","",IF(원본명단!$H3165="",0,COUNTIF(원본명단!$H$3:$H$6002,원본명단!$H3165)))</f>
        <v/>
      </c>
      <c r="F3166" s="11" t="str">
        <f aca="false">IF($A3166="","",IF(원본명단!$I3165="",0,COUNTIF(원본명단!$I$3:$I$6002,원본명단!$I3165)))</f>
        <v/>
      </c>
      <c r="G3166" s="11" t="str">
        <f aca="false">IF($A3166="","",IF(원본명단!$K3165="",0,COUNTIF(원본명단!$K$3:$K$6002,원본명단!$K3165)))</f>
        <v/>
      </c>
      <c r="H3166" s="11" t="str">
        <f aca="false">IF($A3166="","",IF(MAX($E3166,$F3166,$G3166)&gt;1,"중복","-"))</f>
        <v/>
      </c>
      <c r="I3166" s="11" t="str">
        <f aca="false">IF($A3166="","",IF($H3166="-","-",IF(AND(IF(원본명단!$H3165="",TRUE(),COUNTIF(원본명단!$H$3:$H3165,원본명단!$H3165)=1),IF(원본명단!$I3165="",TRUE(),COUNTIF(원본명단!$I$3:$I3165,원본명단!$I3165)=1),IF(원본명단!$K3165="",TRUE(),COUNTIF(원본명단!$K$3:$K3165,원본명단!$K3165)=1)),"첫 건","중복 건")))</f>
        <v/>
      </c>
      <c r="J3166" s="11" t="str">
        <f aca="false">IF($A3166="","",IF($H3166="-","유지",IF($I3166="첫 건","유지","확인 필요")))</f>
        <v/>
      </c>
    </row>
    <row r="3167" customFormat="false" ht="15" hidden="false" customHeight="true" outlineLevel="0" collapsed="false">
      <c r="A3167" s="11" t="str">
        <f aca="false">IF(원본명단!$A3166="","",3164)</f>
        <v/>
      </c>
      <c r="B3167" s="12" t="str">
        <f aca="false">IF($A3167="","",원본명단!$A3166)</f>
        <v/>
      </c>
      <c r="C3167" s="12" t="str">
        <f aca="false">IF($A3167="","",원본명단!$B3166)</f>
        <v/>
      </c>
      <c r="D3167" s="12" t="str">
        <f aca="false">IF($A3167="","",원본명단!$D3166)</f>
        <v/>
      </c>
      <c r="E3167" s="11" t="str">
        <f aca="false">IF($A3167="","",IF(원본명단!$H3166="",0,COUNTIF(원본명단!$H$3:$H$6002,원본명단!$H3166)))</f>
        <v/>
      </c>
      <c r="F3167" s="11" t="str">
        <f aca="false">IF($A3167="","",IF(원본명단!$I3166="",0,COUNTIF(원본명단!$I$3:$I$6002,원본명단!$I3166)))</f>
        <v/>
      </c>
      <c r="G3167" s="11" t="str">
        <f aca="false">IF($A3167="","",IF(원본명단!$K3166="",0,COUNTIF(원본명단!$K$3:$K$6002,원본명단!$K3166)))</f>
        <v/>
      </c>
      <c r="H3167" s="11" t="str">
        <f aca="false">IF($A3167="","",IF(MAX($E3167,$F3167,$G3167)&gt;1,"중복","-"))</f>
        <v/>
      </c>
      <c r="I3167" s="11" t="str">
        <f aca="false">IF($A3167="","",IF($H3167="-","-",IF(AND(IF(원본명단!$H3166="",TRUE(),COUNTIF(원본명단!$H$3:$H3166,원본명단!$H3166)=1),IF(원본명단!$I3166="",TRUE(),COUNTIF(원본명단!$I$3:$I3166,원본명단!$I3166)=1),IF(원본명단!$K3166="",TRUE(),COUNTIF(원본명단!$K$3:$K3166,원본명단!$K3166)=1)),"첫 건","중복 건")))</f>
        <v/>
      </c>
      <c r="J3167" s="11" t="str">
        <f aca="false">IF($A3167="","",IF($H3167="-","유지",IF($I3167="첫 건","유지","확인 필요")))</f>
        <v/>
      </c>
    </row>
    <row r="3168" customFormat="false" ht="15" hidden="false" customHeight="true" outlineLevel="0" collapsed="false">
      <c r="A3168" s="11" t="str">
        <f aca="false">IF(원본명단!$A3167="","",3165)</f>
        <v/>
      </c>
      <c r="B3168" s="12" t="str">
        <f aca="false">IF($A3168="","",원본명단!$A3167)</f>
        <v/>
      </c>
      <c r="C3168" s="12" t="str">
        <f aca="false">IF($A3168="","",원본명단!$B3167)</f>
        <v/>
      </c>
      <c r="D3168" s="12" t="str">
        <f aca="false">IF($A3168="","",원본명단!$D3167)</f>
        <v/>
      </c>
      <c r="E3168" s="11" t="str">
        <f aca="false">IF($A3168="","",IF(원본명단!$H3167="",0,COUNTIF(원본명단!$H$3:$H$6002,원본명단!$H3167)))</f>
        <v/>
      </c>
      <c r="F3168" s="11" t="str">
        <f aca="false">IF($A3168="","",IF(원본명단!$I3167="",0,COUNTIF(원본명단!$I$3:$I$6002,원본명단!$I3167)))</f>
        <v/>
      </c>
      <c r="G3168" s="11" t="str">
        <f aca="false">IF($A3168="","",IF(원본명단!$K3167="",0,COUNTIF(원본명단!$K$3:$K$6002,원본명단!$K3167)))</f>
        <v/>
      </c>
      <c r="H3168" s="11" t="str">
        <f aca="false">IF($A3168="","",IF(MAX($E3168,$F3168,$G3168)&gt;1,"중복","-"))</f>
        <v/>
      </c>
      <c r="I3168" s="11" t="str">
        <f aca="false">IF($A3168="","",IF($H3168="-","-",IF(AND(IF(원본명단!$H3167="",TRUE(),COUNTIF(원본명단!$H$3:$H3167,원본명단!$H3167)=1),IF(원본명단!$I3167="",TRUE(),COUNTIF(원본명단!$I$3:$I3167,원본명단!$I3167)=1),IF(원본명단!$K3167="",TRUE(),COUNTIF(원본명단!$K$3:$K3167,원본명단!$K3167)=1)),"첫 건","중복 건")))</f>
        <v/>
      </c>
      <c r="J3168" s="11" t="str">
        <f aca="false">IF($A3168="","",IF($H3168="-","유지",IF($I3168="첫 건","유지","확인 필요")))</f>
        <v/>
      </c>
    </row>
    <row r="3169" customFormat="false" ht="15" hidden="false" customHeight="true" outlineLevel="0" collapsed="false">
      <c r="A3169" s="11" t="str">
        <f aca="false">IF(원본명단!$A3168="","",3166)</f>
        <v/>
      </c>
      <c r="B3169" s="12" t="str">
        <f aca="false">IF($A3169="","",원본명단!$A3168)</f>
        <v/>
      </c>
      <c r="C3169" s="12" t="str">
        <f aca="false">IF($A3169="","",원본명단!$B3168)</f>
        <v/>
      </c>
      <c r="D3169" s="12" t="str">
        <f aca="false">IF($A3169="","",원본명단!$D3168)</f>
        <v/>
      </c>
      <c r="E3169" s="11" t="str">
        <f aca="false">IF($A3169="","",IF(원본명단!$H3168="",0,COUNTIF(원본명단!$H$3:$H$6002,원본명단!$H3168)))</f>
        <v/>
      </c>
      <c r="F3169" s="11" t="str">
        <f aca="false">IF($A3169="","",IF(원본명단!$I3168="",0,COUNTIF(원본명단!$I$3:$I$6002,원본명단!$I3168)))</f>
        <v/>
      </c>
      <c r="G3169" s="11" t="str">
        <f aca="false">IF($A3169="","",IF(원본명단!$K3168="",0,COUNTIF(원본명단!$K$3:$K$6002,원본명단!$K3168)))</f>
        <v/>
      </c>
      <c r="H3169" s="11" t="str">
        <f aca="false">IF($A3169="","",IF(MAX($E3169,$F3169,$G3169)&gt;1,"중복","-"))</f>
        <v/>
      </c>
      <c r="I3169" s="11" t="str">
        <f aca="false">IF($A3169="","",IF($H3169="-","-",IF(AND(IF(원본명단!$H3168="",TRUE(),COUNTIF(원본명단!$H$3:$H3168,원본명단!$H3168)=1),IF(원본명단!$I3168="",TRUE(),COUNTIF(원본명단!$I$3:$I3168,원본명단!$I3168)=1),IF(원본명단!$K3168="",TRUE(),COUNTIF(원본명단!$K$3:$K3168,원본명단!$K3168)=1)),"첫 건","중복 건")))</f>
        <v/>
      </c>
      <c r="J3169" s="11" t="str">
        <f aca="false">IF($A3169="","",IF($H3169="-","유지",IF($I3169="첫 건","유지","확인 필요")))</f>
        <v/>
      </c>
    </row>
    <row r="3170" customFormat="false" ht="15" hidden="false" customHeight="true" outlineLevel="0" collapsed="false">
      <c r="A3170" s="11" t="str">
        <f aca="false">IF(원본명단!$A3169="","",3167)</f>
        <v/>
      </c>
      <c r="B3170" s="12" t="str">
        <f aca="false">IF($A3170="","",원본명단!$A3169)</f>
        <v/>
      </c>
      <c r="C3170" s="12" t="str">
        <f aca="false">IF($A3170="","",원본명단!$B3169)</f>
        <v/>
      </c>
      <c r="D3170" s="12" t="str">
        <f aca="false">IF($A3170="","",원본명단!$D3169)</f>
        <v/>
      </c>
      <c r="E3170" s="11" t="str">
        <f aca="false">IF($A3170="","",IF(원본명단!$H3169="",0,COUNTIF(원본명단!$H$3:$H$6002,원본명단!$H3169)))</f>
        <v/>
      </c>
      <c r="F3170" s="11" t="str">
        <f aca="false">IF($A3170="","",IF(원본명단!$I3169="",0,COUNTIF(원본명단!$I$3:$I$6002,원본명단!$I3169)))</f>
        <v/>
      </c>
      <c r="G3170" s="11" t="str">
        <f aca="false">IF($A3170="","",IF(원본명단!$K3169="",0,COUNTIF(원본명단!$K$3:$K$6002,원본명단!$K3169)))</f>
        <v/>
      </c>
      <c r="H3170" s="11" t="str">
        <f aca="false">IF($A3170="","",IF(MAX($E3170,$F3170,$G3170)&gt;1,"중복","-"))</f>
        <v/>
      </c>
      <c r="I3170" s="11" t="str">
        <f aca="false">IF($A3170="","",IF($H3170="-","-",IF(AND(IF(원본명단!$H3169="",TRUE(),COUNTIF(원본명단!$H$3:$H3169,원본명단!$H3169)=1),IF(원본명단!$I3169="",TRUE(),COUNTIF(원본명단!$I$3:$I3169,원본명단!$I3169)=1),IF(원본명단!$K3169="",TRUE(),COUNTIF(원본명단!$K$3:$K3169,원본명단!$K3169)=1)),"첫 건","중복 건")))</f>
        <v/>
      </c>
      <c r="J3170" s="11" t="str">
        <f aca="false">IF($A3170="","",IF($H3170="-","유지",IF($I3170="첫 건","유지","확인 필요")))</f>
        <v/>
      </c>
    </row>
    <row r="3171" customFormat="false" ht="15" hidden="false" customHeight="true" outlineLevel="0" collapsed="false">
      <c r="A3171" s="11" t="str">
        <f aca="false">IF(원본명단!$A3170="","",3168)</f>
        <v/>
      </c>
      <c r="B3171" s="12" t="str">
        <f aca="false">IF($A3171="","",원본명단!$A3170)</f>
        <v/>
      </c>
      <c r="C3171" s="12" t="str">
        <f aca="false">IF($A3171="","",원본명단!$B3170)</f>
        <v/>
      </c>
      <c r="D3171" s="12" t="str">
        <f aca="false">IF($A3171="","",원본명단!$D3170)</f>
        <v/>
      </c>
      <c r="E3171" s="11" t="str">
        <f aca="false">IF($A3171="","",IF(원본명단!$H3170="",0,COUNTIF(원본명단!$H$3:$H$6002,원본명단!$H3170)))</f>
        <v/>
      </c>
      <c r="F3171" s="11" t="str">
        <f aca="false">IF($A3171="","",IF(원본명단!$I3170="",0,COUNTIF(원본명단!$I$3:$I$6002,원본명단!$I3170)))</f>
        <v/>
      </c>
      <c r="G3171" s="11" t="str">
        <f aca="false">IF($A3171="","",IF(원본명단!$K3170="",0,COUNTIF(원본명단!$K$3:$K$6002,원본명단!$K3170)))</f>
        <v/>
      </c>
      <c r="H3171" s="11" t="str">
        <f aca="false">IF($A3171="","",IF(MAX($E3171,$F3171,$G3171)&gt;1,"중복","-"))</f>
        <v/>
      </c>
      <c r="I3171" s="11" t="str">
        <f aca="false">IF($A3171="","",IF($H3171="-","-",IF(AND(IF(원본명단!$H3170="",TRUE(),COUNTIF(원본명단!$H$3:$H3170,원본명단!$H3170)=1),IF(원본명단!$I3170="",TRUE(),COUNTIF(원본명단!$I$3:$I3170,원본명단!$I3170)=1),IF(원본명단!$K3170="",TRUE(),COUNTIF(원본명단!$K$3:$K3170,원본명단!$K3170)=1)),"첫 건","중복 건")))</f>
        <v/>
      </c>
      <c r="J3171" s="11" t="str">
        <f aca="false">IF($A3171="","",IF($H3171="-","유지",IF($I3171="첫 건","유지","확인 필요")))</f>
        <v/>
      </c>
    </row>
    <row r="3172" customFormat="false" ht="15" hidden="false" customHeight="true" outlineLevel="0" collapsed="false">
      <c r="A3172" s="11" t="str">
        <f aca="false">IF(원본명단!$A3171="","",3169)</f>
        <v/>
      </c>
      <c r="B3172" s="12" t="str">
        <f aca="false">IF($A3172="","",원본명단!$A3171)</f>
        <v/>
      </c>
      <c r="C3172" s="12" t="str">
        <f aca="false">IF($A3172="","",원본명단!$B3171)</f>
        <v/>
      </c>
      <c r="D3172" s="12" t="str">
        <f aca="false">IF($A3172="","",원본명단!$D3171)</f>
        <v/>
      </c>
      <c r="E3172" s="11" t="str">
        <f aca="false">IF($A3172="","",IF(원본명단!$H3171="",0,COUNTIF(원본명단!$H$3:$H$6002,원본명단!$H3171)))</f>
        <v/>
      </c>
      <c r="F3172" s="11" t="str">
        <f aca="false">IF($A3172="","",IF(원본명단!$I3171="",0,COUNTIF(원본명단!$I$3:$I$6002,원본명단!$I3171)))</f>
        <v/>
      </c>
      <c r="G3172" s="11" t="str">
        <f aca="false">IF($A3172="","",IF(원본명단!$K3171="",0,COUNTIF(원본명단!$K$3:$K$6002,원본명단!$K3171)))</f>
        <v/>
      </c>
      <c r="H3172" s="11" t="str">
        <f aca="false">IF($A3172="","",IF(MAX($E3172,$F3172,$G3172)&gt;1,"중복","-"))</f>
        <v/>
      </c>
      <c r="I3172" s="11" t="str">
        <f aca="false">IF($A3172="","",IF($H3172="-","-",IF(AND(IF(원본명단!$H3171="",TRUE(),COUNTIF(원본명단!$H$3:$H3171,원본명단!$H3171)=1),IF(원본명단!$I3171="",TRUE(),COUNTIF(원본명단!$I$3:$I3171,원본명단!$I3171)=1),IF(원본명단!$K3171="",TRUE(),COUNTIF(원본명단!$K$3:$K3171,원본명단!$K3171)=1)),"첫 건","중복 건")))</f>
        <v/>
      </c>
      <c r="J3172" s="11" t="str">
        <f aca="false">IF($A3172="","",IF($H3172="-","유지",IF($I3172="첫 건","유지","확인 필요")))</f>
        <v/>
      </c>
    </row>
    <row r="3173" customFormat="false" ht="15" hidden="false" customHeight="true" outlineLevel="0" collapsed="false">
      <c r="A3173" s="11" t="str">
        <f aca="false">IF(원본명단!$A3172="","",3170)</f>
        <v/>
      </c>
      <c r="B3173" s="12" t="str">
        <f aca="false">IF($A3173="","",원본명단!$A3172)</f>
        <v/>
      </c>
      <c r="C3173" s="12" t="str">
        <f aca="false">IF($A3173="","",원본명단!$B3172)</f>
        <v/>
      </c>
      <c r="D3173" s="12" t="str">
        <f aca="false">IF($A3173="","",원본명단!$D3172)</f>
        <v/>
      </c>
      <c r="E3173" s="11" t="str">
        <f aca="false">IF($A3173="","",IF(원본명단!$H3172="",0,COUNTIF(원본명단!$H$3:$H$6002,원본명단!$H3172)))</f>
        <v/>
      </c>
      <c r="F3173" s="11" t="str">
        <f aca="false">IF($A3173="","",IF(원본명단!$I3172="",0,COUNTIF(원본명단!$I$3:$I$6002,원본명단!$I3172)))</f>
        <v/>
      </c>
      <c r="G3173" s="11" t="str">
        <f aca="false">IF($A3173="","",IF(원본명단!$K3172="",0,COUNTIF(원본명단!$K$3:$K$6002,원본명단!$K3172)))</f>
        <v/>
      </c>
      <c r="H3173" s="11" t="str">
        <f aca="false">IF($A3173="","",IF(MAX($E3173,$F3173,$G3173)&gt;1,"중복","-"))</f>
        <v/>
      </c>
      <c r="I3173" s="11" t="str">
        <f aca="false">IF($A3173="","",IF($H3173="-","-",IF(AND(IF(원본명단!$H3172="",TRUE(),COUNTIF(원본명단!$H$3:$H3172,원본명단!$H3172)=1),IF(원본명단!$I3172="",TRUE(),COUNTIF(원본명단!$I$3:$I3172,원본명단!$I3172)=1),IF(원본명단!$K3172="",TRUE(),COUNTIF(원본명단!$K$3:$K3172,원본명단!$K3172)=1)),"첫 건","중복 건")))</f>
        <v/>
      </c>
      <c r="J3173" s="11" t="str">
        <f aca="false">IF($A3173="","",IF($H3173="-","유지",IF($I3173="첫 건","유지","확인 필요")))</f>
        <v/>
      </c>
    </row>
    <row r="3174" customFormat="false" ht="15" hidden="false" customHeight="true" outlineLevel="0" collapsed="false">
      <c r="A3174" s="11" t="str">
        <f aca="false">IF(원본명단!$A3173="","",3171)</f>
        <v/>
      </c>
      <c r="B3174" s="12" t="str">
        <f aca="false">IF($A3174="","",원본명단!$A3173)</f>
        <v/>
      </c>
      <c r="C3174" s="12" t="str">
        <f aca="false">IF($A3174="","",원본명단!$B3173)</f>
        <v/>
      </c>
      <c r="D3174" s="12" t="str">
        <f aca="false">IF($A3174="","",원본명단!$D3173)</f>
        <v/>
      </c>
      <c r="E3174" s="11" t="str">
        <f aca="false">IF($A3174="","",IF(원본명단!$H3173="",0,COUNTIF(원본명단!$H$3:$H$6002,원본명단!$H3173)))</f>
        <v/>
      </c>
      <c r="F3174" s="11" t="str">
        <f aca="false">IF($A3174="","",IF(원본명단!$I3173="",0,COUNTIF(원본명단!$I$3:$I$6002,원본명단!$I3173)))</f>
        <v/>
      </c>
      <c r="G3174" s="11" t="str">
        <f aca="false">IF($A3174="","",IF(원본명단!$K3173="",0,COUNTIF(원본명단!$K$3:$K$6002,원본명단!$K3173)))</f>
        <v/>
      </c>
      <c r="H3174" s="11" t="str">
        <f aca="false">IF($A3174="","",IF(MAX($E3174,$F3174,$G3174)&gt;1,"중복","-"))</f>
        <v/>
      </c>
      <c r="I3174" s="11" t="str">
        <f aca="false">IF($A3174="","",IF($H3174="-","-",IF(AND(IF(원본명단!$H3173="",TRUE(),COUNTIF(원본명단!$H$3:$H3173,원본명단!$H3173)=1),IF(원본명단!$I3173="",TRUE(),COUNTIF(원본명단!$I$3:$I3173,원본명단!$I3173)=1),IF(원본명단!$K3173="",TRUE(),COUNTIF(원본명단!$K$3:$K3173,원본명단!$K3173)=1)),"첫 건","중복 건")))</f>
        <v/>
      </c>
      <c r="J3174" s="11" t="str">
        <f aca="false">IF($A3174="","",IF($H3174="-","유지",IF($I3174="첫 건","유지","확인 필요")))</f>
        <v/>
      </c>
    </row>
    <row r="3175" customFormat="false" ht="15" hidden="false" customHeight="true" outlineLevel="0" collapsed="false">
      <c r="A3175" s="11" t="str">
        <f aca="false">IF(원본명단!$A3174="","",3172)</f>
        <v/>
      </c>
      <c r="B3175" s="12" t="str">
        <f aca="false">IF($A3175="","",원본명단!$A3174)</f>
        <v/>
      </c>
      <c r="C3175" s="12" t="str">
        <f aca="false">IF($A3175="","",원본명단!$B3174)</f>
        <v/>
      </c>
      <c r="D3175" s="12" t="str">
        <f aca="false">IF($A3175="","",원본명단!$D3174)</f>
        <v/>
      </c>
      <c r="E3175" s="11" t="str">
        <f aca="false">IF($A3175="","",IF(원본명단!$H3174="",0,COUNTIF(원본명단!$H$3:$H$6002,원본명단!$H3174)))</f>
        <v/>
      </c>
      <c r="F3175" s="11" t="str">
        <f aca="false">IF($A3175="","",IF(원본명단!$I3174="",0,COUNTIF(원본명단!$I$3:$I$6002,원본명단!$I3174)))</f>
        <v/>
      </c>
      <c r="G3175" s="11" t="str">
        <f aca="false">IF($A3175="","",IF(원본명단!$K3174="",0,COUNTIF(원본명단!$K$3:$K$6002,원본명단!$K3174)))</f>
        <v/>
      </c>
      <c r="H3175" s="11" t="str">
        <f aca="false">IF($A3175="","",IF(MAX($E3175,$F3175,$G3175)&gt;1,"중복","-"))</f>
        <v/>
      </c>
      <c r="I3175" s="11" t="str">
        <f aca="false">IF($A3175="","",IF($H3175="-","-",IF(AND(IF(원본명단!$H3174="",TRUE(),COUNTIF(원본명단!$H$3:$H3174,원본명단!$H3174)=1),IF(원본명단!$I3174="",TRUE(),COUNTIF(원본명단!$I$3:$I3174,원본명단!$I3174)=1),IF(원본명단!$K3174="",TRUE(),COUNTIF(원본명단!$K$3:$K3174,원본명단!$K3174)=1)),"첫 건","중복 건")))</f>
        <v/>
      </c>
      <c r="J3175" s="11" t="str">
        <f aca="false">IF($A3175="","",IF($H3175="-","유지",IF($I3175="첫 건","유지","확인 필요")))</f>
        <v/>
      </c>
    </row>
    <row r="3176" customFormat="false" ht="15" hidden="false" customHeight="true" outlineLevel="0" collapsed="false">
      <c r="A3176" s="11" t="str">
        <f aca="false">IF(원본명단!$A3175="","",3173)</f>
        <v/>
      </c>
      <c r="B3176" s="12" t="str">
        <f aca="false">IF($A3176="","",원본명단!$A3175)</f>
        <v/>
      </c>
      <c r="C3176" s="12" t="str">
        <f aca="false">IF($A3176="","",원본명단!$B3175)</f>
        <v/>
      </c>
      <c r="D3176" s="12" t="str">
        <f aca="false">IF($A3176="","",원본명단!$D3175)</f>
        <v/>
      </c>
      <c r="E3176" s="11" t="str">
        <f aca="false">IF($A3176="","",IF(원본명단!$H3175="",0,COUNTIF(원본명단!$H$3:$H$6002,원본명단!$H3175)))</f>
        <v/>
      </c>
      <c r="F3176" s="11" t="str">
        <f aca="false">IF($A3176="","",IF(원본명단!$I3175="",0,COUNTIF(원본명단!$I$3:$I$6002,원본명단!$I3175)))</f>
        <v/>
      </c>
      <c r="G3176" s="11" t="str">
        <f aca="false">IF($A3176="","",IF(원본명단!$K3175="",0,COUNTIF(원본명단!$K$3:$K$6002,원본명단!$K3175)))</f>
        <v/>
      </c>
      <c r="H3176" s="11" t="str">
        <f aca="false">IF($A3176="","",IF(MAX($E3176,$F3176,$G3176)&gt;1,"중복","-"))</f>
        <v/>
      </c>
      <c r="I3176" s="11" t="str">
        <f aca="false">IF($A3176="","",IF($H3176="-","-",IF(AND(IF(원본명단!$H3175="",TRUE(),COUNTIF(원본명단!$H$3:$H3175,원본명단!$H3175)=1),IF(원본명단!$I3175="",TRUE(),COUNTIF(원본명단!$I$3:$I3175,원본명단!$I3175)=1),IF(원본명단!$K3175="",TRUE(),COUNTIF(원본명단!$K$3:$K3175,원본명단!$K3175)=1)),"첫 건","중복 건")))</f>
        <v/>
      </c>
      <c r="J3176" s="11" t="str">
        <f aca="false">IF($A3176="","",IF($H3176="-","유지",IF($I3176="첫 건","유지","확인 필요")))</f>
        <v/>
      </c>
    </row>
    <row r="3177" customFormat="false" ht="15" hidden="false" customHeight="true" outlineLevel="0" collapsed="false">
      <c r="A3177" s="11" t="str">
        <f aca="false">IF(원본명단!$A3176="","",3174)</f>
        <v/>
      </c>
      <c r="B3177" s="12" t="str">
        <f aca="false">IF($A3177="","",원본명단!$A3176)</f>
        <v/>
      </c>
      <c r="C3177" s="12" t="str">
        <f aca="false">IF($A3177="","",원본명단!$B3176)</f>
        <v/>
      </c>
      <c r="D3177" s="12" t="str">
        <f aca="false">IF($A3177="","",원본명단!$D3176)</f>
        <v/>
      </c>
      <c r="E3177" s="11" t="str">
        <f aca="false">IF($A3177="","",IF(원본명단!$H3176="",0,COUNTIF(원본명단!$H$3:$H$6002,원본명단!$H3176)))</f>
        <v/>
      </c>
      <c r="F3177" s="11" t="str">
        <f aca="false">IF($A3177="","",IF(원본명단!$I3176="",0,COUNTIF(원본명단!$I$3:$I$6002,원본명단!$I3176)))</f>
        <v/>
      </c>
      <c r="G3177" s="11" t="str">
        <f aca="false">IF($A3177="","",IF(원본명단!$K3176="",0,COUNTIF(원본명단!$K$3:$K$6002,원본명단!$K3176)))</f>
        <v/>
      </c>
      <c r="H3177" s="11" t="str">
        <f aca="false">IF($A3177="","",IF(MAX($E3177,$F3177,$G3177)&gt;1,"중복","-"))</f>
        <v/>
      </c>
      <c r="I3177" s="11" t="str">
        <f aca="false">IF($A3177="","",IF($H3177="-","-",IF(AND(IF(원본명단!$H3176="",TRUE(),COUNTIF(원본명단!$H$3:$H3176,원본명단!$H3176)=1),IF(원본명단!$I3176="",TRUE(),COUNTIF(원본명단!$I$3:$I3176,원본명단!$I3176)=1),IF(원본명단!$K3176="",TRUE(),COUNTIF(원본명단!$K$3:$K3176,원본명단!$K3176)=1)),"첫 건","중복 건")))</f>
        <v/>
      </c>
      <c r="J3177" s="11" t="str">
        <f aca="false">IF($A3177="","",IF($H3177="-","유지",IF($I3177="첫 건","유지","확인 필요")))</f>
        <v/>
      </c>
    </row>
    <row r="3178" customFormat="false" ht="15" hidden="false" customHeight="true" outlineLevel="0" collapsed="false">
      <c r="A3178" s="11" t="str">
        <f aca="false">IF(원본명단!$A3177="","",3175)</f>
        <v/>
      </c>
      <c r="B3178" s="12" t="str">
        <f aca="false">IF($A3178="","",원본명단!$A3177)</f>
        <v/>
      </c>
      <c r="C3178" s="12" t="str">
        <f aca="false">IF($A3178="","",원본명단!$B3177)</f>
        <v/>
      </c>
      <c r="D3178" s="12" t="str">
        <f aca="false">IF($A3178="","",원본명단!$D3177)</f>
        <v/>
      </c>
      <c r="E3178" s="11" t="str">
        <f aca="false">IF($A3178="","",IF(원본명단!$H3177="",0,COUNTIF(원본명단!$H$3:$H$6002,원본명단!$H3177)))</f>
        <v/>
      </c>
      <c r="F3178" s="11" t="str">
        <f aca="false">IF($A3178="","",IF(원본명단!$I3177="",0,COUNTIF(원본명단!$I$3:$I$6002,원본명단!$I3177)))</f>
        <v/>
      </c>
      <c r="G3178" s="11" t="str">
        <f aca="false">IF($A3178="","",IF(원본명단!$K3177="",0,COUNTIF(원본명단!$K$3:$K$6002,원본명단!$K3177)))</f>
        <v/>
      </c>
      <c r="H3178" s="11" t="str">
        <f aca="false">IF($A3178="","",IF(MAX($E3178,$F3178,$G3178)&gt;1,"중복","-"))</f>
        <v/>
      </c>
      <c r="I3178" s="11" t="str">
        <f aca="false">IF($A3178="","",IF($H3178="-","-",IF(AND(IF(원본명단!$H3177="",TRUE(),COUNTIF(원본명단!$H$3:$H3177,원본명단!$H3177)=1),IF(원본명단!$I3177="",TRUE(),COUNTIF(원본명단!$I$3:$I3177,원본명단!$I3177)=1),IF(원본명단!$K3177="",TRUE(),COUNTIF(원본명단!$K$3:$K3177,원본명단!$K3177)=1)),"첫 건","중복 건")))</f>
        <v/>
      </c>
      <c r="J3178" s="11" t="str">
        <f aca="false">IF($A3178="","",IF($H3178="-","유지",IF($I3178="첫 건","유지","확인 필요")))</f>
        <v/>
      </c>
    </row>
    <row r="3179" customFormat="false" ht="15" hidden="false" customHeight="true" outlineLevel="0" collapsed="false">
      <c r="A3179" s="11" t="str">
        <f aca="false">IF(원본명단!$A3178="","",3176)</f>
        <v/>
      </c>
      <c r="B3179" s="12" t="str">
        <f aca="false">IF($A3179="","",원본명단!$A3178)</f>
        <v/>
      </c>
      <c r="C3179" s="12" t="str">
        <f aca="false">IF($A3179="","",원본명단!$B3178)</f>
        <v/>
      </c>
      <c r="D3179" s="12" t="str">
        <f aca="false">IF($A3179="","",원본명단!$D3178)</f>
        <v/>
      </c>
      <c r="E3179" s="11" t="str">
        <f aca="false">IF($A3179="","",IF(원본명단!$H3178="",0,COUNTIF(원본명단!$H$3:$H$6002,원본명단!$H3178)))</f>
        <v/>
      </c>
      <c r="F3179" s="11" t="str">
        <f aca="false">IF($A3179="","",IF(원본명단!$I3178="",0,COUNTIF(원본명단!$I$3:$I$6002,원본명단!$I3178)))</f>
        <v/>
      </c>
      <c r="G3179" s="11" t="str">
        <f aca="false">IF($A3179="","",IF(원본명단!$K3178="",0,COUNTIF(원본명단!$K$3:$K$6002,원본명단!$K3178)))</f>
        <v/>
      </c>
      <c r="H3179" s="11" t="str">
        <f aca="false">IF($A3179="","",IF(MAX($E3179,$F3179,$G3179)&gt;1,"중복","-"))</f>
        <v/>
      </c>
      <c r="I3179" s="11" t="str">
        <f aca="false">IF($A3179="","",IF($H3179="-","-",IF(AND(IF(원본명단!$H3178="",TRUE(),COUNTIF(원본명단!$H$3:$H3178,원본명단!$H3178)=1),IF(원본명단!$I3178="",TRUE(),COUNTIF(원본명단!$I$3:$I3178,원본명단!$I3178)=1),IF(원본명단!$K3178="",TRUE(),COUNTIF(원본명단!$K$3:$K3178,원본명단!$K3178)=1)),"첫 건","중복 건")))</f>
        <v/>
      </c>
      <c r="J3179" s="11" t="str">
        <f aca="false">IF($A3179="","",IF($H3179="-","유지",IF($I3179="첫 건","유지","확인 필요")))</f>
        <v/>
      </c>
    </row>
    <row r="3180" customFormat="false" ht="15" hidden="false" customHeight="true" outlineLevel="0" collapsed="false">
      <c r="A3180" s="11" t="str">
        <f aca="false">IF(원본명단!$A3179="","",3177)</f>
        <v/>
      </c>
      <c r="B3180" s="12" t="str">
        <f aca="false">IF($A3180="","",원본명단!$A3179)</f>
        <v/>
      </c>
      <c r="C3180" s="12" t="str">
        <f aca="false">IF($A3180="","",원본명단!$B3179)</f>
        <v/>
      </c>
      <c r="D3180" s="12" t="str">
        <f aca="false">IF($A3180="","",원본명단!$D3179)</f>
        <v/>
      </c>
      <c r="E3180" s="11" t="str">
        <f aca="false">IF($A3180="","",IF(원본명단!$H3179="",0,COUNTIF(원본명단!$H$3:$H$6002,원본명단!$H3179)))</f>
        <v/>
      </c>
      <c r="F3180" s="11" t="str">
        <f aca="false">IF($A3180="","",IF(원본명단!$I3179="",0,COUNTIF(원본명단!$I$3:$I$6002,원본명단!$I3179)))</f>
        <v/>
      </c>
      <c r="G3180" s="11" t="str">
        <f aca="false">IF($A3180="","",IF(원본명단!$K3179="",0,COUNTIF(원본명단!$K$3:$K$6002,원본명단!$K3179)))</f>
        <v/>
      </c>
      <c r="H3180" s="11" t="str">
        <f aca="false">IF($A3180="","",IF(MAX($E3180,$F3180,$G3180)&gt;1,"중복","-"))</f>
        <v/>
      </c>
      <c r="I3180" s="11" t="str">
        <f aca="false">IF($A3180="","",IF($H3180="-","-",IF(AND(IF(원본명단!$H3179="",TRUE(),COUNTIF(원본명단!$H$3:$H3179,원본명단!$H3179)=1),IF(원본명단!$I3179="",TRUE(),COUNTIF(원본명단!$I$3:$I3179,원본명단!$I3179)=1),IF(원본명단!$K3179="",TRUE(),COUNTIF(원본명단!$K$3:$K3179,원본명단!$K3179)=1)),"첫 건","중복 건")))</f>
        <v/>
      </c>
      <c r="J3180" s="11" t="str">
        <f aca="false">IF($A3180="","",IF($H3180="-","유지",IF($I3180="첫 건","유지","확인 필요")))</f>
        <v/>
      </c>
    </row>
    <row r="3181" customFormat="false" ht="15" hidden="false" customHeight="true" outlineLevel="0" collapsed="false">
      <c r="A3181" s="11" t="str">
        <f aca="false">IF(원본명단!$A3180="","",3178)</f>
        <v/>
      </c>
      <c r="B3181" s="12" t="str">
        <f aca="false">IF($A3181="","",원본명단!$A3180)</f>
        <v/>
      </c>
      <c r="C3181" s="12" t="str">
        <f aca="false">IF($A3181="","",원본명단!$B3180)</f>
        <v/>
      </c>
      <c r="D3181" s="12" t="str">
        <f aca="false">IF($A3181="","",원본명단!$D3180)</f>
        <v/>
      </c>
      <c r="E3181" s="11" t="str">
        <f aca="false">IF($A3181="","",IF(원본명단!$H3180="",0,COUNTIF(원본명단!$H$3:$H$6002,원본명단!$H3180)))</f>
        <v/>
      </c>
      <c r="F3181" s="11" t="str">
        <f aca="false">IF($A3181="","",IF(원본명단!$I3180="",0,COUNTIF(원본명단!$I$3:$I$6002,원본명단!$I3180)))</f>
        <v/>
      </c>
      <c r="G3181" s="11" t="str">
        <f aca="false">IF($A3181="","",IF(원본명단!$K3180="",0,COUNTIF(원본명단!$K$3:$K$6002,원본명단!$K3180)))</f>
        <v/>
      </c>
      <c r="H3181" s="11" t="str">
        <f aca="false">IF($A3181="","",IF(MAX($E3181,$F3181,$G3181)&gt;1,"중복","-"))</f>
        <v/>
      </c>
      <c r="I3181" s="11" t="str">
        <f aca="false">IF($A3181="","",IF($H3181="-","-",IF(AND(IF(원본명단!$H3180="",TRUE(),COUNTIF(원본명단!$H$3:$H3180,원본명단!$H3180)=1),IF(원본명단!$I3180="",TRUE(),COUNTIF(원본명단!$I$3:$I3180,원본명단!$I3180)=1),IF(원본명단!$K3180="",TRUE(),COUNTIF(원본명단!$K$3:$K3180,원본명단!$K3180)=1)),"첫 건","중복 건")))</f>
        <v/>
      </c>
      <c r="J3181" s="11" t="str">
        <f aca="false">IF($A3181="","",IF($H3181="-","유지",IF($I3181="첫 건","유지","확인 필요")))</f>
        <v/>
      </c>
    </row>
    <row r="3182" customFormat="false" ht="15" hidden="false" customHeight="true" outlineLevel="0" collapsed="false">
      <c r="A3182" s="11" t="str">
        <f aca="false">IF(원본명단!$A3181="","",3179)</f>
        <v/>
      </c>
      <c r="B3182" s="12" t="str">
        <f aca="false">IF($A3182="","",원본명단!$A3181)</f>
        <v/>
      </c>
      <c r="C3182" s="12" t="str">
        <f aca="false">IF($A3182="","",원본명단!$B3181)</f>
        <v/>
      </c>
      <c r="D3182" s="12" t="str">
        <f aca="false">IF($A3182="","",원본명단!$D3181)</f>
        <v/>
      </c>
      <c r="E3182" s="11" t="str">
        <f aca="false">IF($A3182="","",IF(원본명단!$H3181="",0,COUNTIF(원본명단!$H$3:$H$6002,원본명단!$H3181)))</f>
        <v/>
      </c>
      <c r="F3182" s="11" t="str">
        <f aca="false">IF($A3182="","",IF(원본명단!$I3181="",0,COUNTIF(원본명단!$I$3:$I$6002,원본명단!$I3181)))</f>
        <v/>
      </c>
      <c r="G3182" s="11" t="str">
        <f aca="false">IF($A3182="","",IF(원본명단!$K3181="",0,COUNTIF(원본명단!$K$3:$K$6002,원본명단!$K3181)))</f>
        <v/>
      </c>
      <c r="H3182" s="11" t="str">
        <f aca="false">IF($A3182="","",IF(MAX($E3182,$F3182,$G3182)&gt;1,"중복","-"))</f>
        <v/>
      </c>
      <c r="I3182" s="11" t="str">
        <f aca="false">IF($A3182="","",IF($H3182="-","-",IF(AND(IF(원본명단!$H3181="",TRUE(),COUNTIF(원본명단!$H$3:$H3181,원본명단!$H3181)=1),IF(원본명단!$I3181="",TRUE(),COUNTIF(원본명단!$I$3:$I3181,원본명단!$I3181)=1),IF(원본명단!$K3181="",TRUE(),COUNTIF(원본명단!$K$3:$K3181,원본명단!$K3181)=1)),"첫 건","중복 건")))</f>
        <v/>
      </c>
      <c r="J3182" s="11" t="str">
        <f aca="false">IF($A3182="","",IF($H3182="-","유지",IF($I3182="첫 건","유지","확인 필요")))</f>
        <v/>
      </c>
    </row>
    <row r="3183" customFormat="false" ht="15" hidden="false" customHeight="true" outlineLevel="0" collapsed="false">
      <c r="A3183" s="11" t="str">
        <f aca="false">IF(원본명단!$A3182="","",3180)</f>
        <v/>
      </c>
      <c r="B3183" s="12" t="str">
        <f aca="false">IF($A3183="","",원본명단!$A3182)</f>
        <v/>
      </c>
      <c r="C3183" s="12" t="str">
        <f aca="false">IF($A3183="","",원본명단!$B3182)</f>
        <v/>
      </c>
      <c r="D3183" s="12" t="str">
        <f aca="false">IF($A3183="","",원본명단!$D3182)</f>
        <v/>
      </c>
      <c r="E3183" s="11" t="str">
        <f aca="false">IF($A3183="","",IF(원본명단!$H3182="",0,COUNTIF(원본명단!$H$3:$H$6002,원본명단!$H3182)))</f>
        <v/>
      </c>
      <c r="F3183" s="11" t="str">
        <f aca="false">IF($A3183="","",IF(원본명단!$I3182="",0,COUNTIF(원본명단!$I$3:$I$6002,원본명단!$I3182)))</f>
        <v/>
      </c>
      <c r="G3183" s="11" t="str">
        <f aca="false">IF($A3183="","",IF(원본명단!$K3182="",0,COUNTIF(원본명단!$K$3:$K$6002,원본명단!$K3182)))</f>
        <v/>
      </c>
      <c r="H3183" s="11" t="str">
        <f aca="false">IF($A3183="","",IF(MAX($E3183,$F3183,$G3183)&gt;1,"중복","-"))</f>
        <v/>
      </c>
      <c r="I3183" s="11" t="str">
        <f aca="false">IF($A3183="","",IF($H3183="-","-",IF(AND(IF(원본명단!$H3182="",TRUE(),COUNTIF(원본명단!$H$3:$H3182,원본명단!$H3182)=1),IF(원본명단!$I3182="",TRUE(),COUNTIF(원본명단!$I$3:$I3182,원본명단!$I3182)=1),IF(원본명단!$K3182="",TRUE(),COUNTIF(원본명단!$K$3:$K3182,원본명단!$K3182)=1)),"첫 건","중복 건")))</f>
        <v/>
      </c>
      <c r="J3183" s="11" t="str">
        <f aca="false">IF($A3183="","",IF($H3183="-","유지",IF($I3183="첫 건","유지","확인 필요")))</f>
        <v/>
      </c>
    </row>
    <row r="3184" customFormat="false" ht="15" hidden="false" customHeight="true" outlineLevel="0" collapsed="false">
      <c r="A3184" s="11" t="str">
        <f aca="false">IF(원본명단!$A3183="","",3181)</f>
        <v/>
      </c>
      <c r="B3184" s="12" t="str">
        <f aca="false">IF($A3184="","",원본명단!$A3183)</f>
        <v/>
      </c>
      <c r="C3184" s="12" t="str">
        <f aca="false">IF($A3184="","",원본명단!$B3183)</f>
        <v/>
      </c>
      <c r="D3184" s="12" t="str">
        <f aca="false">IF($A3184="","",원본명단!$D3183)</f>
        <v/>
      </c>
      <c r="E3184" s="11" t="str">
        <f aca="false">IF($A3184="","",IF(원본명단!$H3183="",0,COUNTIF(원본명단!$H$3:$H$6002,원본명단!$H3183)))</f>
        <v/>
      </c>
      <c r="F3184" s="11" t="str">
        <f aca="false">IF($A3184="","",IF(원본명단!$I3183="",0,COUNTIF(원본명단!$I$3:$I$6002,원본명단!$I3183)))</f>
        <v/>
      </c>
      <c r="G3184" s="11" t="str">
        <f aca="false">IF($A3184="","",IF(원본명단!$K3183="",0,COUNTIF(원본명단!$K$3:$K$6002,원본명단!$K3183)))</f>
        <v/>
      </c>
      <c r="H3184" s="11" t="str">
        <f aca="false">IF($A3184="","",IF(MAX($E3184,$F3184,$G3184)&gt;1,"중복","-"))</f>
        <v/>
      </c>
      <c r="I3184" s="11" t="str">
        <f aca="false">IF($A3184="","",IF($H3184="-","-",IF(AND(IF(원본명단!$H3183="",TRUE(),COUNTIF(원본명단!$H$3:$H3183,원본명단!$H3183)=1),IF(원본명단!$I3183="",TRUE(),COUNTIF(원본명단!$I$3:$I3183,원본명단!$I3183)=1),IF(원본명단!$K3183="",TRUE(),COUNTIF(원본명단!$K$3:$K3183,원본명단!$K3183)=1)),"첫 건","중복 건")))</f>
        <v/>
      </c>
      <c r="J3184" s="11" t="str">
        <f aca="false">IF($A3184="","",IF($H3184="-","유지",IF($I3184="첫 건","유지","확인 필요")))</f>
        <v/>
      </c>
    </row>
    <row r="3185" customFormat="false" ht="15" hidden="false" customHeight="true" outlineLevel="0" collapsed="false">
      <c r="A3185" s="11" t="str">
        <f aca="false">IF(원본명단!$A3184="","",3182)</f>
        <v/>
      </c>
      <c r="B3185" s="12" t="str">
        <f aca="false">IF($A3185="","",원본명단!$A3184)</f>
        <v/>
      </c>
      <c r="C3185" s="12" t="str">
        <f aca="false">IF($A3185="","",원본명단!$B3184)</f>
        <v/>
      </c>
      <c r="D3185" s="12" t="str">
        <f aca="false">IF($A3185="","",원본명단!$D3184)</f>
        <v/>
      </c>
      <c r="E3185" s="11" t="str">
        <f aca="false">IF($A3185="","",IF(원본명단!$H3184="",0,COUNTIF(원본명단!$H$3:$H$6002,원본명단!$H3184)))</f>
        <v/>
      </c>
      <c r="F3185" s="11" t="str">
        <f aca="false">IF($A3185="","",IF(원본명단!$I3184="",0,COUNTIF(원본명단!$I$3:$I$6002,원본명단!$I3184)))</f>
        <v/>
      </c>
      <c r="G3185" s="11" t="str">
        <f aca="false">IF($A3185="","",IF(원본명단!$K3184="",0,COUNTIF(원본명단!$K$3:$K$6002,원본명단!$K3184)))</f>
        <v/>
      </c>
      <c r="H3185" s="11" t="str">
        <f aca="false">IF($A3185="","",IF(MAX($E3185,$F3185,$G3185)&gt;1,"중복","-"))</f>
        <v/>
      </c>
      <c r="I3185" s="11" t="str">
        <f aca="false">IF($A3185="","",IF($H3185="-","-",IF(AND(IF(원본명단!$H3184="",TRUE(),COUNTIF(원본명단!$H$3:$H3184,원본명단!$H3184)=1),IF(원본명단!$I3184="",TRUE(),COUNTIF(원본명단!$I$3:$I3184,원본명단!$I3184)=1),IF(원본명단!$K3184="",TRUE(),COUNTIF(원본명단!$K$3:$K3184,원본명단!$K3184)=1)),"첫 건","중복 건")))</f>
        <v/>
      </c>
      <c r="J3185" s="11" t="str">
        <f aca="false">IF($A3185="","",IF($H3185="-","유지",IF($I3185="첫 건","유지","확인 필요")))</f>
        <v/>
      </c>
    </row>
    <row r="3186" customFormat="false" ht="15" hidden="false" customHeight="true" outlineLevel="0" collapsed="false">
      <c r="A3186" s="11" t="str">
        <f aca="false">IF(원본명단!$A3185="","",3183)</f>
        <v/>
      </c>
      <c r="B3186" s="12" t="str">
        <f aca="false">IF($A3186="","",원본명단!$A3185)</f>
        <v/>
      </c>
      <c r="C3186" s="12" t="str">
        <f aca="false">IF($A3186="","",원본명단!$B3185)</f>
        <v/>
      </c>
      <c r="D3186" s="12" t="str">
        <f aca="false">IF($A3186="","",원본명단!$D3185)</f>
        <v/>
      </c>
      <c r="E3186" s="11" t="str">
        <f aca="false">IF($A3186="","",IF(원본명단!$H3185="",0,COUNTIF(원본명단!$H$3:$H$6002,원본명단!$H3185)))</f>
        <v/>
      </c>
      <c r="F3186" s="11" t="str">
        <f aca="false">IF($A3186="","",IF(원본명단!$I3185="",0,COUNTIF(원본명단!$I$3:$I$6002,원본명단!$I3185)))</f>
        <v/>
      </c>
      <c r="G3186" s="11" t="str">
        <f aca="false">IF($A3186="","",IF(원본명단!$K3185="",0,COUNTIF(원본명단!$K$3:$K$6002,원본명단!$K3185)))</f>
        <v/>
      </c>
      <c r="H3186" s="11" t="str">
        <f aca="false">IF($A3186="","",IF(MAX($E3186,$F3186,$G3186)&gt;1,"중복","-"))</f>
        <v/>
      </c>
      <c r="I3186" s="11" t="str">
        <f aca="false">IF($A3186="","",IF($H3186="-","-",IF(AND(IF(원본명단!$H3185="",TRUE(),COUNTIF(원본명단!$H$3:$H3185,원본명단!$H3185)=1),IF(원본명단!$I3185="",TRUE(),COUNTIF(원본명단!$I$3:$I3185,원본명단!$I3185)=1),IF(원본명단!$K3185="",TRUE(),COUNTIF(원본명단!$K$3:$K3185,원본명단!$K3185)=1)),"첫 건","중복 건")))</f>
        <v/>
      </c>
      <c r="J3186" s="11" t="str">
        <f aca="false">IF($A3186="","",IF($H3186="-","유지",IF($I3186="첫 건","유지","확인 필요")))</f>
        <v/>
      </c>
    </row>
    <row r="3187" customFormat="false" ht="15" hidden="false" customHeight="true" outlineLevel="0" collapsed="false">
      <c r="A3187" s="11" t="str">
        <f aca="false">IF(원본명단!$A3186="","",3184)</f>
        <v/>
      </c>
      <c r="B3187" s="12" t="str">
        <f aca="false">IF($A3187="","",원본명단!$A3186)</f>
        <v/>
      </c>
      <c r="C3187" s="12" t="str">
        <f aca="false">IF($A3187="","",원본명단!$B3186)</f>
        <v/>
      </c>
      <c r="D3187" s="12" t="str">
        <f aca="false">IF($A3187="","",원본명단!$D3186)</f>
        <v/>
      </c>
      <c r="E3187" s="11" t="str">
        <f aca="false">IF($A3187="","",IF(원본명단!$H3186="",0,COUNTIF(원본명단!$H$3:$H$6002,원본명단!$H3186)))</f>
        <v/>
      </c>
      <c r="F3187" s="11" t="str">
        <f aca="false">IF($A3187="","",IF(원본명단!$I3186="",0,COUNTIF(원본명단!$I$3:$I$6002,원본명단!$I3186)))</f>
        <v/>
      </c>
      <c r="G3187" s="11" t="str">
        <f aca="false">IF($A3187="","",IF(원본명단!$K3186="",0,COUNTIF(원본명단!$K$3:$K$6002,원본명단!$K3186)))</f>
        <v/>
      </c>
      <c r="H3187" s="11" t="str">
        <f aca="false">IF($A3187="","",IF(MAX($E3187,$F3187,$G3187)&gt;1,"중복","-"))</f>
        <v/>
      </c>
      <c r="I3187" s="11" t="str">
        <f aca="false">IF($A3187="","",IF($H3187="-","-",IF(AND(IF(원본명단!$H3186="",TRUE(),COUNTIF(원본명단!$H$3:$H3186,원본명단!$H3186)=1),IF(원본명단!$I3186="",TRUE(),COUNTIF(원본명단!$I$3:$I3186,원본명단!$I3186)=1),IF(원본명단!$K3186="",TRUE(),COUNTIF(원본명단!$K$3:$K3186,원본명단!$K3186)=1)),"첫 건","중복 건")))</f>
        <v/>
      </c>
      <c r="J3187" s="11" t="str">
        <f aca="false">IF($A3187="","",IF($H3187="-","유지",IF($I3187="첫 건","유지","확인 필요")))</f>
        <v/>
      </c>
    </row>
    <row r="3188" customFormat="false" ht="15" hidden="false" customHeight="true" outlineLevel="0" collapsed="false">
      <c r="A3188" s="11" t="str">
        <f aca="false">IF(원본명단!$A3187="","",3185)</f>
        <v/>
      </c>
      <c r="B3188" s="12" t="str">
        <f aca="false">IF($A3188="","",원본명단!$A3187)</f>
        <v/>
      </c>
      <c r="C3188" s="12" t="str">
        <f aca="false">IF($A3188="","",원본명단!$B3187)</f>
        <v/>
      </c>
      <c r="D3188" s="12" t="str">
        <f aca="false">IF($A3188="","",원본명단!$D3187)</f>
        <v/>
      </c>
      <c r="E3188" s="11" t="str">
        <f aca="false">IF($A3188="","",IF(원본명단!$H3187="",0,COUNTIF(원본명단!$H$3:$H$6002,원본명단!$H3187)))</f>
        <v/>
      </c>
      <c r="F3188" s="11" t="str">
        <f aca="false">IF($A3188="","",IF(원본명단!$I3187="",0,COUNTIF(원본명단!$I$3:$I$6002,원본명단!$I3187)))</f>
        <v/>
      </c>
      <c r="G3188" s="11" t="str">
        <f aca="false">IF($A3188="","",IF(원본명단!$K3187="",0,COUNTIF(원본명단!$K$3:$K$6002,원본명단!$K3187)))</f>
        <v/>
      </c>
      <c r="H3188" s="11" t="str">
        <f aca="false">IF($A3188="","",IF(MAX($E3188,$F3188,$G3188)&gt;1,"중복","-"))</f>
        <v/>
      </c>
      <c r="I3188" s="11" t="str">
        <f aca="false">IF($A3188="","",IF($H3188="-","-",IF(AND(IF(원본명단!$H3187="",TRUE(),COUNTIF(원본명단!$H$3:$H3187,원본명단!$H3187)=1),IF(원본명단!$I3187="",TRUE(),COUNTIF(원본명단!$I$3:$I3187,원본명단!$I3187)=1),IF(원본명단!$K3187="",TRUE(),COUNTIF(원본명단!$K$3:$K3187,원본명단!$K3187)=1)),"첫 건","중복 건")))</f>
        <v/>
      </c>
      <c r="J3188" s="11" t="str">
        <f aca="false">IF($A3188="","",IF($H3188="-","유지",IF($I3188="첫 건","유지","확인 필요")))</f>
        <v/>
      </c>
    </row>
    <row r="3189" customFormat="false" ht="15" hidden="false" customHeight="true" outlineLevel="0" collapsed="false">
      <c r="A3189" s="11" t="str">
        <f aca="false">IF(원본명단!$A3188="","",3186)</f>
        <v/>
      </c>
      <c r="B3189" s="12" t="str">
        <f aca="false">IF($A3189="","",원본명단!$A3188)</f>
        <v/>
      </c>
      <c r="C3189" s="12" t="str">
        <f aca="false">IF($A3189="","",원본명단!$B3188)</f>
        <v/>
      </c>
      <c r="D3189" s="12" t="str">
        <f aca="false">IF($A3189="","",원본명단!$D3188)</f>
        <v/>
      </c>
      <c r="E3189" s="11" t="str">
        <f aca="false">IF($A3189="","",IF(원본명단!$H3188="",0,COUNTIF(원본명단!$H$3:$H$6002,원본명단!$H3188)))</f>
        <v/>
      </c>
      <c r="F3189" s="11" t="str">
        <f aca="false">IF($A3189="","",IF(원본명단!$I3188="",0,COUNTIF(원본명단!$I$3:$I$6002,원본명단!$I3188)))</f>
        <v/>
      </c>
      <c r="G3189" s="11" t="str">
        <f aca="false">IF($A3189="","",IF(원본명단!$K3188="",0,COUNTIF(원본명단!$K$3:$K$6002,원본명단!$K3188)))</f>
        <v/>
      </c>
      <c r="H3189" s="11" t="str">
        <f aca="false">IF($A3189="","",IF(MAX($E3189,$F3189,$G3189)&gt;1,"중복","-"))</f>
        <v/>
      </c>
      <c r="I3189" s="11" t="str">
        <f aca="false">IF($A3189="","",IF($H3189="-","-",IF(AND(IF(원본명단!$H3188="",TRUE(),COUNTIF(원본명단!$H$3:$H3188,원본명단!$H3188)=1),IF(원본명단!$I3188="",TRUE(),COUNTIF(원본명단!$I$3:$I3188,원본명단!$I3188)=1),IF(원본명단!$K3188="",TRUE(),COUNTIF(원본명단!$K$3:$K3188,원본명단!$K3188)=1)),"첫 건","중복 건")))</f>
        <v/>
      </c>
      <c r="J3189" s="11" t="str">
        <f aca="false">IF($A3189="","",IF($H3189="-","유지",IF($I3189="첫 건","유지","확인 필요")))</f>
        <v/>
      </c>
    </row>
    <row r="3190" customFormat="false" ht="15" hidden="false" customHeight="true" outlineLevel="0" collapsed="false">
      <c r="A3190" s="11" t="str">
        <f aca="false">IF(원본명단!$A3189="","",3187)</f>
        <v/>
      </c>
      <c r="B3190" s="12" t="str">
        <f aca="false">IF($A3190="","",원본명단!$A3189)</f>
        <v/>
      </c>
      <c r="C3190" s="12" t="str">
        <f aca="false">IF($A3190="","",원본명단!$B3189)</f>
        <v/>
      </c>
      <c r="D3190" s="12" t="str">
        <f aca="false">IF($A3190="","",원본명단!$D3189)</f>
        <v/>
      </c>
      <c r="E3190" s="11" t="str">
        <f aca="false">IF($A3190="","",IF(원본명단!$H3189="",0,COUNTIF(원본명단!$H$3:$H$6002,원본명단!$H3189)))</f>
        <v/>
      </c>
      <c r="F3190" s="11" t="str">
        <f aca="false">IF($A3190="","",IF(원본명단!$I3189="",0,COUNTIF(원본명단!$I$3:$I$6002,원본명단!$I3189)))</f>
        <v/>
      </c>
      <c r="G3190" s="11" t="str">
        <f aca="false">IF($A3190="","",IF(원본명단!$K3189="",0,COUNTIF(원본명단!$K$3:$K$6002,원본명단!$K3189)))</f>
        <v/>
      </c>
      <c r="H3190" s="11" t="str">
        <f aca="false">IF($A3190="","",IF(MAX($E3190,$F3190,$G3190)&gt;1,"중복","-"))</f>
        <v/>
      </c>
      <c r="I3190" s="11" t="str">
        <f aca="false">IF($A3190="","",IF($H3190="-","-",IF(AND(IF(원본명단!$H3189="",TRUE(),COUNTIF(원본명단!$H$3:$H3189,원본명단!$H3189)=1),IF(원본명단!$I3189="",TRUE(),COUNTIF(원본명단!$I$3:$I3189,원본명단!$I3189)=1),IF(원본명단!$K3189="",TRUE(),COUNTIF(원본명단!$K$3:$K3189,원본명단!$K3189)=1)),"첫 건","중복 건")))</f>
        <v/>
      </c>
      <c r="J3190" s="11" t="str">
        <f aca="false">IF($A3190="","",IF($H3190="-","유지",IF($I3190="첫 건","유지","확인 필요")))</f>
        <v/>
      </c>
    </row>
    <row r="3191" customFormat="false" ht="15" hidden="false" customHeight="true" outlineLevel="0" collapsed="false">
      <c r="A3191" s="11" t="str">
        <f aca="false">IF(원본명단!$A3190="","",3188)</f>
        <v/>
      </c>
      <c r="B3191" s="12" t="str">
        <f aca="false">IF($A3191="","",원본명단!$A3190)</f>
        <v/>
      </c>
      <c r="C3191" s="12" t="str">
        <f aca="false">IF($A3191="","",원본명단!$B3190)</f>
        <v/>
      </c>
      <c r="D3191" s="12" t="str">
        <f aca="false">IF($A3191="","",원본명단!$D3190)</f>
        <v/>
      </c>
      <c r="E3191" s="11" t="str">
        <f aca="false">IF($A3191="","",IF(원본명단!$H3190="",0,COUNTIF(원본명단!$H$3:$H$6002,원본명단!$H3190)))</f>
        <v/>
      </c>
      <c r="F3191" s="11" t="str">
        <f aca="false">IF($A3191="","",IF(원본명단!$I3190="",0,COUNTIF(원본명단!$I$3:$I$6002,원본명단!$I3190)))</f>
        <v/>
      </c>
      <c r="G3191" s="11" t="str">
        <f aca="false">IF($A3191="","",IF(원본명단!$K3190="",0,COUNTIF(원본명단!$K$3:$K$6002,원본명단!$K3190)))</f>
        <v/>
      </c>
      <c r="H3191" s="11" t="str">
        <f aca="false">IF($A3191="","",IF(MAX($E3191,$F3191,$G3191)&gt;1,"중복","-"))</f>
        <v/>
      </c>
      <c r="I3191" s="11" t="str">
        <f aca="false">IF($A3191="","",IF($H3191="-","-",IF(AND(IF(원본명단!$H3190="",TRUE(),COUNTIF(원본명단!$H$3:$H3190,원본명단!$H3190)=1),IF(원본명단!$I3190="",TRUE(),COUNTIF(원본명단!$I$3:$I3190,원본명단!$I3190)=1),IF(원본명단!$K3190="",TRUE(),COUNTIF(원본명단!$K$3:$K3190,원본명단!$K3190)=1)),"첫 건","중복 건")))</f>
        <v/>
      </c>
      <c r="J3191" s="11" t="str">
        <f aca="false">IF($A3191="","",IF($H3191="-","유지",IF($I3191="첫 건","유지","확인 필요")))</f>
        <v/>
      </c>
    </row>
    <row r="3192" customFormat="false" ht="15" hidden="false" customHeight="true" outlineLevel="0" collapsed="false">
      <c r="A3192" s="11" t="str">
        <f aca="false">IF(원본명단!$A3191="","",3189)</f>
        <v/>
      </c>
      <c r="B3192" s="12" t="str">
        <f aca="false">IF($A3192="","",원본명단!$A3191)</f>
        <v/>
      </c>
      <c r="C3192" s="12" t="str">
        <f aca="false">IF($A3192="","",원본명단!$B3191)</f>
        <v/>
      </c>
      <c r="D3192" s="12" t="str">
        <f aca="false">IF($A3192="","",원본명단!$D3191)</f>
        <v/>
      </c>
      <c r="E3192" s="11" t="str">
        <f aca="false">IF($A3192="","",IF(원본명단!$H3191="",0,COUNTIF(원본명단!$H$3:$H$6002,원본명단!$H3191)))</f>
        <v/>
      </c>
      <c r="F3192" s="11" t="str">
        <f aca="false">IF($A3192="","",IF(원본명단!$I3191="",0,COUNTIF(원본명단!$I$3:$I$6002,원본명단!$I3191)))</f>
        <v/>
      </c>
      <c r="G3192" s="11" t="str">
        <f aca="false">IF($A3192="","",IF(원본명단!$K3191="",0,COUNTIF(원본명단!$K$3:$K$6002,원본명단!$K3191)))</f>
        <v/>
      </c>
      <c r="H3192" s="11" t="str">
        <f aca="false">IF($A3192="","",IF(MAX($E3192,$F3192,$G3192)&gt;1,"중복","-"))</f>
        <v/>
      </c>
      <c r="I3192" s="11" t="str">
        <f aca="false">IF($A3192="","",IF($H3192="-","-",IF(AND(IF(원본명단!$H3191="",TRUE(),COUNTIF(원본명단!$H$3:$H3191,원본명단!$H3191)=1),IF(원본명단!$I3191="",TRUE(),COUNTIF(원본명단!$I$3:$I3191,원본명단!$I3191)=1),IF(원본명단!$K3191="",TRUE(),COUNTIF(원본명단!$K$3:$K3191,원본명단!$K3191)=1)),"첫 건","중복 건")))</f>
        <v/>
      </c>
      <c r="J3192" s="11" t="str">
        <f aca="false">IF($A3192="","",IF($H3192="-","유지",IF($I3192="첫 건","유지","확인 필요")))</f>
        <v/>
      </c>
    </row>
    <row r="3193" customFormat="false" ht="15" hidden="false" customHeight="true" outlineLevel="0" collapsed="false">
      <c r="A3193" s="11" t="str">
        <f aca="false">IF(원본명단!$A3192="","",3190)</f>
        <v/>
      </c>
      <c r="B3193" s="12" t="str">
        <f aca="false">IF($A3193="","",원본명단!$A3192)</f>
        <v/>
      </c>
      <c r="C3193" s="12" t="str">
        <f aca="false">IF($A3193="","",원본명단!$B3192)</f>
        <v/>
      </c>
      <c r="D3193" s="12" t="str">
        <f aca="false">IF($A3193="","",원본명단!$D3192)</f>
        <v/>
      </c>
      <c r="E3193" s="11" t="str">
        <f aca="false">IF($A3193="","",IF(원본명단!$H3192="",0,COUNTIF(원본명단!$H$3:$H$6002,원본명단!$H3192)))</f>
        <v/>
      </c>
      <c r="F3193" s="11" t="str">
        <f aca="false">IF($A3193="","",IF(원본명단!$I3192="",0,COUNTIF(원본명단!$I$3:$I$6002,원본명단!$I3192)))</f>
        <v/>
      </c>
      <c r="G3193" s="11" t="str">
        <f aca="false">IF($A3193="","",IF(원본명단!$K3192="",0,COUNTIF(원본명단!$K$3:$K$6002,원본명단!$K3192)))</f>
        <v/>
      </c>
      <c r="H3193" s="11" t="str">
        <f aca="false">IF($A3193="","",IF(MAX($E3193,$F3193,$G3193)&gt;1,"중복","-"))</f>
        <v/>
      </c>
      <c r="I3193" s="11" t="str">
        <f aca="false">IF($A3193="","",IF($H3193="-","-",IF(AND(IF(원본명단!$H3192="",TRUE(),COUNTIF(원본명단!$H$3:$H3192,원본명단!$H3192)=1),IF(원본명단!$I3192="",TRUE(),COUNTIF(원본명단!$I$3:$I3192,원본명단!$I3192)=1),IF(원본명단!$K3192="",TRUE(),COUNTIF(원본명단!$K$3:$K3192,원본명단!$K3192)=1)),"첫 건","중복 건")))</f>
        <v/>
      </c>
      <c r="J3193" s="11" t="str">
        <f aca="false">IF($A3193="","",IF($H3193="-","유지",IF($I3193="첫 건","유지","확인 필요")))</f>
        <v/>
      </c>
    </row>
    <row r="3194" customFormat="false" ht="15" hidden="false" customHeight="true" outlineLevel="0" collapsed="false">
      <c r="A3194" s="11" t="str">
        <f aca="false">IF(원본명단!$A3193="","",3191)</f>
        <v/>
      </c>
      <c r="B3194" s="12" t="str">
        <f aca="false">IF($A3194="","",원본명단!$A3193)</f>
        <v/>
      </c>
      <c r="C3194" s="12" t="str">
        <f aca="false">IF($A3194="","",원본명단!$B3193)</f>
        <v/>
      </c>
      <c r="D3194" s="12" t="str">
        <f aca="false">IF($A3194="","",원본명단!$D3193)</f>
        <v/>
      </c>
      <c r="E3194" s="11" t="str">
        <f aca="false">IF($A3194="","",IF(원본명단!$H3193="",0,COUNTIF(원본명단!$H$3:$H$6002,원본명단!$H3193)))</f>
        <v/>
      </c>
      <c r="F3194" s="11" t="str">
        <f aca="false">IF($A3194="","",IF(원본명단!$I3193="",0,COUNTIF(원본명단!$I$3:$I$6002,원본명단!$I3193)))</f>
        <v/>
      </c>
      <c r="G3194" s="11" t="str">
        <f aca="false">IF($A3194="","",IF(원본명단!$K3193="",0,COUNTIF(원본명단!$K$3:$K$6002,원본명단!$K3193)))</f>
        <v/>
      </c>
      <c r="H3194" s="11" t="str">
        <f aca="false">IF($A3194="","",IF(MAX($E3194,$F3194,$G3194)&gt;1,"중복","-"))</f>
        <v/>
      </c>
      <c r="I3194" s="11" t="str">
        <f aca="false">IF($A3194="","",IF($H3194="-","-",IF(AND(IF(원본명단!$H3193="",TRUE(),COUNTIF(원본명단!$H$3:$H3193,원본명단!$H3193)=1),IF(원본명단!$I3193="",TRUE(),COUNTIF(원본명단!$I$3:$I3193,원본명단!$I3193)=1),IF(원본명단!$K3193="",TRUE(),COUNTIF(원본명단!$K$3:$K3193,원본명단!$K3193)=1)),"첫 건","중복 건")))</f>
        <v/>
      </c>
      <c r="J3194" s="11" t="str">
        <f aca="false">IF($A3194="","",IF($H3194="-","유지",IF($I3194="첫 건","유지","확인 필요")))</f>
        <v/>
      </c>
    </row>
    <row r="3195" customFormat="false" ht="15" hidden="false" customHeight="true" outlineLevel="0" collapsed="false">
      <c r="A3195" s="11" t="str">
        <f aca="false">IF(원본명단!$A3194="","",3192)</f>
        <v/>
      </c>
      <c r="B3195" s="12" t="str">
        <f aca="false">IF($A3195="","",원본명단!$A3194)</f>
        <v/>
      </c>
      <c r="C3195" s="12" t="str">
        <f aca="false">IF($A3195="","",원본명단!$B3194)</f>
        <v/>
      </c>
      <c r="D3195" s="12" t="str">
        <f aca="false">IF($A3195="","",원본명단!$D3194)</f>
        <v/>
      </c>
      <c r="E3195" s="11" t="str">
        <f aca="false">IF($A3195="","",IF(원본명단!$H3194="",0,COUNTIF(원본명단!$H$3:$H$6002,원본명단!$H3194)))</f>
        <v/>
      </c>
      <c r="F3195" s="11" t="str">
        <f aca="false">IF($A3195="","",IF(원본명단!$I3194="",0,COUNTIF(원본명단!$I$3:$I$6002,원본명단!$I3194)))</f>
        <v/>
      </c>
      <c r="G3195" s="11" t="str">
        <f aca="false">IF($A3195="","",IF(원본명단!$K3194="",0,COUNTIF(원본명단!$K$3:$K$6002,원본명단!$K3194)))</f>
        <v/>
      </c>
      <c r="H3195" s="11" t="str">
        <f aca="false">IF($A3195="","",IF(MAX($E3195,$F3195,$G3195)&gt;1,"중복","-"))</f>
        <v/>
      </c>
      <c r="I3195" s="11" t="str">
        <f aca="false">IF($A3195="","",IF($H3195="-","-",IF(AND(IF(원본명단!$H3194="",TRUE(),COUNTIF(원본명단!$H$3:$H3194,원본명단!$H3194)=1),IF(원본명단!$I3194="",TRUE(),COUNTIF(원본명단!$I$3:$I3194,원본명단!$I3194)=1),IF(원본명단!$K3194="",TRUE(),COUNTIF(원본명단!$K$3:$K3194,원본명단!$K3194)=1)),"첫 건","중복 건")))</f>
        <v/>
      </c>
      <c r="J3195" s="11" t="str">
        <f aca="false">IF($A3195="","",IF($H3195="-","유지",IF($I3195="첫 건","유지","확인 필요")))</f>
        <v/>
      </c>
    </row>
    <row r="3196" customFormat="false" ht="15" hidden="false" customHeight="true" outlineLevel="0" collapsed="false">
      <c r="A3196" s="11" t="str">
        <f aca="false">IF(원본명단!$A3195="","",3193)</f>
        <v/>
      </c>
      <c r="B3196" s="12" t="str">
        <f aca="false">IF($A3196="","",원본명단!$A3195)</f>
        <v/>
      </c>
      <c r="C3196" s="12" t="str">
        <f aca="false">IF($A3196="","",원본명단!$B3195)</f>
        <v/>
      </c>
      <c r="D3196" s="12" t="str">
        <f aca="false">IF($A3196="","",원본명단!$D3195)</f>
        <v/>
      </c>
      <c r="E3196" s="11" t="str">
        <f aca="false">IF($A3196="","",IF(원본명단!$H3195="",0,COUNTIF(원본명단!$H$3:$H$6002,원본명단!$H3195)))</f>
        <v/>
      </c>
      <c r="F3196" s="11" t="str">
        <f aca="false">IF($A3196="","",IF(원본명단!$I3195="",0,COUNTIF(원본명단!$I$3:$I$6002,원본명단!$I3195)))</f>
        <v/>
      </c>
      <c r="G3196" s="11" t="str">
        <f aca="false">IF($A3196="","",IF(원본명단!$K3195="",0,COUNTIF(원본명단!$K$3:$K$6002,원본명단!$K3195)))</f>
        <v/>
      </c>
      <c r="H3196" s="11" t="str">
        <f aca="false">IF($A3196="","",IF(MAX($E3196,$F3196,$G3196)&gt;1,"중복","-"))</f>
        <v/>
      </c>
      <c r="I3196" s="11" t="str">
        <f aca="false">IF($A3196="","",IF($H3196="-","-",IF(AND(IF(원본명단!$H3195="",TRUE(),COUNTIF(원본명단!$H$3:$H3195,원본명단!$H3195)=1),IF(원본명단!$I3195="",TRUE(),COUNTIF(원본명단!$I$3:$I3195,원본명단!$I3195)=1),IF(원본명단!$K3195="",TRUE(),COUNTIF(원본명단!$K$3:$K3195,원본명단!$K3195)=1)),"첫 건","중복 건")))</f>
        <v/>
      </c>
      <c r="J3196" s="11" t="str">
        <f aca="false">IF($A3196="","",IF($H3196="-","유지",IF($I3196="첫 건","유지","확인 필요")))</f>
        <v/>
      </c>
    </row>
    <row r="3197" customFormat="false" ht="15" hidden="false" customHeight="true" outlineLevel="0" collapsed="false">
      <c r="A3197" s="11" t="str">
        <f aca="false">IF(원본명단!$A3196="","",3194)</f>
        <v/>
      </c>
      <c r="B3197" s="12" t="str">
        <f aca="false">IF($A3197="","",원본명단!$A3196)</f>
        <v/>
      </c>
      <c r="C3197" s="12" t="str">
        <f aca="false">IF($A3197="","",원본명단!$B3196)</f>
        <v/>
      </c>
      <c r="D3197" s="12" t="str">
        <f aca="false">IF($A3197="","",원본명단!$D3196)</f>
        <v/>
      </c>
      <c r="E3197" s="11" t="str">
        <f aca="false">IF($A3197="","",IF(원본명단!$H3196="",0,COUNTIF(원본명단!$H$3:$H$6002,원본명단!$H3196)))</f>
        <v/>
      </c>
      <c r="F3197" s="11" t="str">
        <f aca="false">IF($A3197="","",IF(원본명단!$I3196="",0,COUNTIF(원본명단!$I$3:$I$6002,원본명단!$I3196)))</f>
        <v/>
      </c>
      <c r="G3197" s="11" t="str">
        <f aca="false">IF($A3197="","",IF(원본명단!$K3196="",0,COUNTIF(원본명단!$K$3:$K$6002,원본명단!$K3196)))</f>
        <v/>
      </c>
      <c r="H3197" s="11" t="str">
        <f aca="false">IF($A3197="","",IF(MAX($E3197,$F3197,$G3197)&gt;1,"중복","-"))</f>
        <v/>
      </c>
      <c r="I3197" s="11" t="str">
        <f aca="false">IF($A3197="","",IF($H3197="-","-",IF(AND(IF(원본명단!$H3196="",TRUE(),COUNTIF(원본명단!$H$3:$H3196,원본명단!$H3196)=1),IF(원본명단!$I3196="",TRUE(),COUNTIF(원본명단!$I$3:$I3196,원본명단!$I3196)=1),IF(원본명단!$K3196="",TRUE(),COUNTIF(원본명단!$K$3:$K3196,원본명단!$K3196)=1)),"첫 건","중복 건")))</f>
        <v/>
      </c>
      <c r="J3197" s="11" t="str">
        <f aca="false">IF($A3197="","",IF($H3197="-","유지",IF($I3197="첫 건","유지","확인 필요")))</f>
        <v/>
      </c>
    </row>
    <row r="3198" customFormat="false" ht="15" hidden="false" customHeight="true" outlineLevel="0" collapsed="false">
      <c r="A3198" s="11" t="str">
        <f aca="false">IF(원본명단!$A3197="","",3195)</f>
        <v/>
      </c>
      <c r="B3198" s="12" t="str">
        <f aca="false">IF($A3198="","",원본명단!$A3197)</f>
        <v/>
      </c>
      <c r="C3198" s="12" t="str">
        <f aca="false">IF($A3198="","",원본명단!$B3197)</f>
        <v/>
      </c>
      <c r="D3198" s="12" t="str">
        <f aca="false">IF($A3198="","",원본명단!$D3197)</f>
        <v/>
      </c>
      <c r="E3198" s="11" t="str">
        <f aca="false">IF($A3198="","",IF(원본명단!$H3197="",0,COUNTIF(원본명단!$H$3:$H$6002,원본명단!$H3197)))</f>
        <v/>
      </c>
      <c r="F3198" s="11" t="str">
        <f aca="false">IF($A3198="","",IF(원본명단!$I3197="",0,COUNTIF(원본명단!$I$3:$I$6002,원본명단!$I3197)))</f>
        <v/>
      </c>
      <c r="G3198" s="11" t="str">
        <f aca="false">IF($A3198="","",IF(원본명단!$K3197="",0,COUNTIF(원본명단!$K$3:$K$6002,원본명단!$K3197)))</f>
        <v/>
      </c>
      <c r="H3198" s="11" t="str">
        <f aca="false">IF($A3198="","",IF(MAX($E3198,$F3198,$G3198)&gt;1,"중복","-"))</f>
        <v/>
      </c>
      <c r="I3198" s="11" t="str">
        <f aca="false">IF($A3198="","",IF($H3198="-","-",IF(AND(IF(원본명단!$H3197="",TRUE(),COUNTIF(원본명단!$H$3:$H3197,원본명단!$H3197)=1),IF(원본명단!$I3197="",TRUE(),COUNTIF(원본명단!$I$3:$I3197,원본명단!$I3197)=1),IF(원본명단!$K3197="",TRUE(),COUNTIF(원본명단!$K$3:$K3197,원본명단!$K3197)=1)),"첫 건","중복 건")))</f>
        <v/>
      </c>
      <c r="J3198" s="11" t="str">
        <f aca="false">IF($A3198="","",IF($H3198="-","유지",IF($I3198="첫 건","유지","확인 필요")))</f>
        <v/>
      </c>
    </row>
    <row r="3199" customFormat="false" ht="15" hidden="false" customHeight="true" outlineLevel="0" collapsed="false">
      <c r="A3199" s="11" t="str">
        <f aca="false">IF(원본명단!$A3198="","",3196)</f>
        <v/>
      </c>
      <c r="B3199" s="12" t="str">
        <f aca="false">IF($A3199="","",원본명단!$A3198)</f>
        <v/>
      </c>
      <c r="C3199" s="12" t="str">
        <f aca="false">IF($A3199="","",원본명단!$B3198)</f>
        <v/>
      </c>
      <c r="D3199" s="12" t="str">
        <f aca="false">IF($A3199="","",원본명단!$D3198)</f>
        <v/>
      </c>
      <c r="E3199" s="11" t="str">
        <f aca="false">IF($A3199="","",IF(원본명단!$H3198="",0,COUNTIF(원본명단!$H$3:$H$6002,원본명단!$H3198)))</f>
        <v/>
      </c>
      <c r="F3199" s="11" t="str">
        <f aca="false">IF($A3199="","",IF(원본명단!$I3198="",0,COUNTIF(원본명단!$I$3:$I$6002,원본명단!$I3198)))</f>
        <v/>
      </c>
      <c r="G3199" s="11" t="str">
        <f aca="false">IF($A3199="","",IF(원본명단!$K3198="",0,COUNTIF(원본명단!$K$3:$K$6002,원본명단!$K3198)))</f>
        <v/>
      </c>
      <c r="H3199" s="11" t="str">
        <f aca="false">IF($A3199="","",IF(MAX($E3199,$F3199,$G3199)&gt;1,"중복","-"))</f>
        <v/>
      </c>
      <c r="I3199" s="11" t="str">
        <f aca="false">IF($A3199="","",IF($H3199="-","-",IF(AND(IF(원본명단!$H3198="",TRUE(),COUNTIF(원본명단!$H$3:$H3198,원본명단!$H3198)=1),IF(원본명단!$I3198="",TRUE(),COUNTIF(원본명단!$I$3:$I3198,원본명단!$I3198)=1),IF(원본명단!$K3198="",TRUE(),COUNTIF(원본명단!$K$3:$K3198,원본명단!$K3198)=1)),"첫 건","중복 건")))</f>
        <v/>
      </c>
      <c r="J3199" s="11" t="str">
        <f aca="false">IF($A3199="","",IF($H3199="-","유지",IF($I3199="첫 건","유지","확인 필요")))</f>
        <v/>
      </c>
    </row>
    <row r="3200" customFormat="false" ht="15" hidden="false" customHeight="true" outlineLevel="0" collapsed="false">
      <c r="A3200" s="11" t="str">
        <f aca="false">IF(원본명단!$A3199="","",3197)</f>
        <v/>
      </c>
      <c r="B3200" s="12" t="str">
        <f aca="false">IF($A3200="","",원본명단!$A3199)</f>
        <v/>
      </c>
      <c r="C3200" s="12" t="str">
        <f aca="false">IF($A3200="","",원본명단!$B3199)</f>
        <v/>
      </c>
      <c r="D3200" s="12" t="str">
        <f aca="false">IF($A3200="","",원본명단!$D3199)</f>
        <v/>
      </c>
      <c r="E3200" s="11" t="str">
        <f aca="false">IF($A3200="","",IF(원본명단!$H3199="",0,COUNTIF(원본명단!$H$3:$H$6002,원본명단!$H3199)))</f>
        <v/>
      </c>
      <c r="F3200" s="11" t="str">
        <f aca="false">IF($A3200="","",IF(원본명단!$I3199="",0,COUNTIF(원본명단!$I$3:$I$6002,원본명단!$I3199)))</f>
        <v/>
      </c>
      <c r="G3200" s="11" t="str">
        <f aca="false">IF($A3200="","",IF(원본명단!$K3199="",0,COUNTIF(원본명단!$K$3:$K$6002,원본명단!$K3199)))</f>
        <v/>
      </c>
      <c r="H3200" s="11" t="str">
        <f aca="false">IF($A3200="","",IF(MAX($E3200,$F3200,$G3200)&gt;1,"중복","-"))</f>
        <v/>
      </c>
      <c r="I3200" s="11" t="str">
        <f aca="false">IF($A3200="","",IF($H3200="-","-",IF(AND(IF(원본명단!$H3199="",TRUE(),COUNTIF(원본명단!$H$3:$H3199,원본명단!$H3199)=1),IF(원본명단!$I3199="",TRUE(),COUNTIF(원본명단!$I$3:$I3199,원본명단!$I3199)=1),IF(원본명단!$K3199="",TRUE(),COUNTIF(원본명단!$K$3:$K3199,원본명단!$K3199)=1)),"첫 건","중복 건")))</f>
        <v/>
      </c>
      <c r="J3200" s="11" t="str">
        <f aca="false">IF($A3200="","",IF($H3200="-","유지",IF($I3200="첫 건","유지","확인 필요")))</f>
        <v/>
      </c>
    </row>
    <row r="3201" customFormat="false" ht="15" hidden="false" customHeight="true" outlineLevel="0" collapsed="false">
      <c r="A3201" s="11" t="str">
        <f aca="false">IF(원본명단!$A3200="","",3198)</f>
        <v/>
      </c>
      <c r="B3201" s="12" t="str">
        <f aca="false">IF($A3201="","",원본명단!$A3200)</f>
        <v/>
      </c>
      <c r="C3201" s="12" t="str">
        <f aca="false">IF($A3201="","",원본명단!$B3200)</f>
        <v/>
      </c>
      <c r="D3201" s="12" t="str">
        <f aca="false">IF($A3201="","",원본명단!$D3200)</f>
        <v/>
      </c>
      <c r="E3201" s="11" t="str">
        <f aca="false">IF($A3201="","",IF(원본명단!$H3200="",0,COUNTIF(원본명단!$H$3:$H$6002,원본명단!$H3200)))</f>
        <v/>
      </c>
      <c r="F3201" s="11" t="str">
        <f aca="false">IF($A3201="","",IF(원본명단!$I3200="",0,COUNTIF(원본명단!$I$3:$I$6002,원본명단!$I3200)))</f>
        <v/>
      </c>
      <c r="G3201" s="11" t="str">
        <f aca="false">IF($A3201="","",IF(원본명단!$K3200="",0,COUNTIF(원본명단!$K$3:$K$6002,원본명단!$K3200)))</f>
        <v/>
      </c>
      <c r="H3201" s="11" t="str">
        <f aca="false">IF($A3201="","",IF(MAX($E3201,$F3201,$G3201)&gt;1,"중복","-"))</f>
        <v/>
      </c>
      <c r="I3201" s="11" t="str">
        <f aca="false">IF($A3201="","",IF($H3201="-","-",IF(AND(IF(원본명단!$H3200="",TRUE(),COUNTIF(원본명단!$H$3:$H3200,원본명단!$H3200)=1),IF(원본명단!$I3200="",TRUE(),COUNTIF(원본명단!$I$3:$I3200,원본명단!$I3200)=1),IF(원본명단!$K3200="",TRUE(),COUNTIF(원본명단!$K$3:$K3200,원본명단!$K3200)=1)),"첫 건","중복 건")))</f>
        <v/>
      </c>
      <c r="J3201" s="11" t="str">
        <f aca="false">IF($A3201="","",IF($H3201="-","유지",IF($I3201="첫 건","유지","확인 필요")))</f>
        <v/>
      </c>
    </row>
    <row r="3202" customFormat="false" ht="15" hidden="false" customHeight="true" outlineLevel="0" collapsed="false">
      <c r="A3202" s="11" t="str">
        <f aca="false">IF(원본명단!$A3201="","",3199)</f>
        <v/>
      </c>
      <c r="B3202" s="12" t="str">
        <f aca="false">IF($A3202="","",원본명단!$A3201)</f>
        <v/>
      </c>
      <c r="C3202" s="12" t="str">
        <f aca="false">IF($A3202="","",원본명단!$B3201)</f>
        <v/>
      </c>
      <c r="D3202" s="12" t="str">
        <f aca="false">IF($A3202="","",원본명단!$D3201)</f>
        <v/>
      </c>
      <c r="E3202" s="11" t="str">
        <f aca="false">IF($A3202="","",IF(원본명단!$H3201="",0,COUNTIF(원본명단!$H$3:$H$6002,원본명단!$H3201)))</f>
        <v/>
      </c>
      <c r="F3202" s="11" t="str">
        <f aca="false">IF($A3202="","",IF(원본명단!$I3201="",0,COUNTIF(원본명단!$I$3:$I$6002,원본명단!$I3201)))</f>
        <v/>
      </c>
      <c r="G3202" s="11" t="str">
        <f aca="false">IF($A3202="","",IF(원본명단!$K3201="",0,COUNTIF(원본명단!$K$3:$K$6002,원본명단!$K3201)))</f>
        <v/>
      </c>
      <c r="H3202" s="11" t="str">
        <f aca="false">IF($A3202="","",IF(MAX($E3202,$F3202,$G3202)&gt;1,"중복","-"))</f>
        <v/>
      </c>
      <c r="I3202" s="11" t="str">
        <f aca="false">IF($A3202="","",IF($H3202="-","-",IF(AND(IF(원본명단!$H3201="",TRUE(),COUNTIF(원본명단!$H$3:$H3201,원본명단!$H3201)=1),IF(원본명단!$I3201="",TRUE(),COUNTIF(원본명단!$I$3:$I3201,원본명단!$I3201)=1),IF(원본명단!$K3201="",TRUE(),COUNTIF(원본명단!$K$3:$K3201,원본명단!$K3201)=1)),"첫 건","중복 건")))</f>
        <v/>
      </c>
      <c r="J3202" s="11" t="str">
        <f aca="false">IF($A3202="","",IF($H3202="-","유지",IF($I3202="첫 건","유지","확인 필요")))</f>
        <v/>
      </c>
    </row>
    <row r="3203" customFormat="false" ht="15" hidden="false" customHeight="true" outlineLevel="0" collapsed="false">
      <c r="A3203" s="11" t="str">
        <f aca="false">IF(원본명단!$A3202="","",3200)</f>
        <v/>
      </c>
      <c r="B3203" s="12" t="str">
        <f aca="false">IF($A3203="","",원본명단!$A3202)</f>
        <v/>
      </c>
      <c r="C3203" s="12" t="str">
        <f aca="false">IF($A3203="","",원본명단!$B3202)</f>
        <v/>
      </c>
      <c r="D3203" s="12" t="str">
        <f aca="false">IF($A3203="","",원본명단!$D3202)</f>
        <v/>
      </c>
      <c r="E3203" s="11" t="str">
        <f aca="false">IF($A3203="","",IF(원본명단!$H3202="",0,COUNTIF(원본명단!$H$3:$H$6002,원본명단!$H3202)))</f>
        <v/>
      </c>
      <c r="F3203" s="11" t="str">
        <f aca="false">IF($A3203="","",IF(원본명단!$I3202="",0,COUNTIF(원본명단!$I$3:$I$6002,원본명단!$I3202)))</f>
        <v/>
      </c>
      <c r="G3203" s="11" t="str">
        <f aca="false">IF($A3203="","",IF(원본명단!$K3202="",0,COUNTIF(원본명단!$K$3:$K$6002,원본명단!$K3202)))</f>
        <v/>
      </c>
      <c r="H3203" s="11" t="str">
        <f aca="false">IF($A3203="","",IF(MAX($E3203,$F3203,$G3203)&gt;1,"중복","-"))</f>
        <v/>
      </c>
      <c r="I3203" s="11" t="str">
        <f aca="false">IF($A3203="","",IF($H3203="-","-",IF(AND(IF(원본명단!$H3202="",TRUE(),COUNTIF(원본명단!$H$3:$H3202,원본명단!$H3202)=1),IF(원본명단!$I3202="",TRUE(),COUNTIF(원본명단!$I$3:$I3202,원본명단!$I3202)=1),IF(원본명단!$K3202="",TRUE(),COUNTIF(원본명단!$K$3:$K3202,원본명단!$K3202)=1)),"첫 건","중복 건")))</f>
        <v/>
      </c>
      <c r="J3203" s="11" t="str">
        <f aca="false">IF($A3203="","",IF($H3203="-","유지",IF($I3203="첫 건","유지","확인 필요")))</f>
        <v/>
      </c>
    </row>
    <row r="3204" customFormat="false" ht="15" hidden="false" customHeight="true" outlineLevel="0" collapsed="false">
      <c r="A3204" s="11" t="str">
        <f aca="false">IF(원본명단!$A3203="","",3201)</f>
        <v/>
      </c>
      <c r="B3204" s="12" t="str">
        <f aca="false">IF($A3204="","",원본명단!$A3203)</f>
        <v/>
      </c>
      <c r="C3204" s="12" t="str">
        <f aca="false">IF($A3204="","",원본명단!$B3203)</f>
        <v/>
      </c>
      <c r="D3204" s="12" t="str">
        <f aca="false">IF($A3204="","",원본명단!$D3203)</f>
        <v/>
      </c>
      <c r="E3204" s="11" t="str">
        <f aca="false">IF($A3204="","",IF(원본명단!$H3203="",0,COUNTIF(원본명단!$H$3:$H$6002,원본명단!$H3203)))</f>
        <v/>
      </c>
      <c r="F3204" s="11" t="str">
        <f aca="false">IF($A3204="","",IF(원본명단!$I3203="",0,COUNTIF(원본명단!$I$3:$I$6002,원본명단!$I3203)))</f>
        <v/>
      </c>
      <c r="G3204" s="11" t="str">
        <f aca="false">IF($A3204="","",IF(원본명단!$K3203="",0,COUNTIF(원본명단!$K$3:$K$6002,원본명단!$K3203)))</f>
        <v/>
      </c>
      <c r="H3204" s="11" t="str">
        <f aca="false">IF($A3204="","",IF(MAX($E3204,$F3204,$G3204)&gt;1,"중복","-"))</f>
        <v/>
      </c>
      <c r="I3204" s="11" t="str">
        <f aca="false">IF($A3204="","",IF($H3204="-","-",IF(AND(IF(원본명단!$H3203="",TRUE(),COUNTIF(원본명단!$H$3:$H3203,원본명단!$H3203)=1),IF(원본명단!$I3203="",TRUE(),COUNTIF(원본명단!$I$3:$I3203,원본명단!$I3203)=1),IF(원본명단!$K3203="",TRUE(),COUNTIF(원본명단!$K$3:$K3203,원본명단!$K3203)=1)),"첫 건","중복 건")))</f>
        <v/>
      </c>
      <c r="J3204" s="11" t="str">
        <f aca="false">IF($A3204="","",IF($H3204="-","유지",IF($I3204="첫 건","유지","확인 필요")))</f>
        <v/>
      </c>
    </row>
    <row r="3205" customFormat="false" ht="15" hidden="false" customHeight="true" outlineLevel="0" collapsed="false">
      <c r="A3205" s="11" t="str">
        <f aca="false">IF(원본명단!$A3204="","",3202)</f>
        <v/>
      </c>
      <c r="B3205" s="12" t="str">
        <f aca="false">IF($A3205="","",원본명단!$A3204)</f>
        <v/>
      </c>
      <c r="C3205" s="12" t="str">
        <f aca="false">IF($A3205="","",원본명단!$B3204)</f>
        <v/>
      </c>
      <c r="D3205" s="12" t="str">
        <f aca="false">IF($A3205="","",원본명단!$D3204)</f>
        <v/>
      </c>
      <c r="E3205" s="11" t="str">
        <f aca="false">IF($A3205="","",IF(원본명단!$H3204="",0,COUNTIF(원본명단!$H$3:$H$6002,원본명단!$H3204)))</f>
        <v/>
      </c>
      <c r="F3205" s="11" t="str">
        <f aca="false">IF($A3205="","",IF(원본명단!$I3204="",0,COUNTIF(원본명단!$I$3:$I$6002,원본명단!$I3204)))</f>
        <v/>
      </c>
      <c r="G3205" s="11" t="str">
        <f aca="false">IF($A3205="","",IF(원본명단!$K3204="",0,COUNTIF(원본명단!$K$3:$K$6002,원본명단!$K3204)))</f>
        <v/>
      </c>
      <c r="H3205" s="11" t="str">
        <f aca="false">IF($A3205="","",IF(MAX($E3205,$F3205,$G3205)&gt;1,"중복","-"))</f>
        <v/>
      </c>
      <c r="I3205" s="11" t="str">
        <f aca="false">IF($A3205="","",IF($H3205="-","-",IF(AND(IF(원본명단!$H3204="",TRUE(),COUNTIF(원본명단!$H$3:$H3204,원본명단!$H3204)=1),IF(원본명단!$I3204="",TRUE(),COUNTIF(원본명단!$I$3:$I3204,원본명단!$I3204)=1),IF(원본명단!$K3204="",TRUE(),COUNTIF(원본명단!$K$3:$K3204,원본명단!$K3204)=1)),"첫 건","중복 건")))</f>
        <v/>
      </c>
      <c r="J3205" s="11" t="str">
        <f aca="false">IF($A3205="","",IF($H3205="-","유지",IF($I3205="첫 건","유지","확인 필요")))</f>
        <v/>
      </c>
    </row>
    <row r="3206" customFormat="false" ht="15" hidden="false" customHeight="true" outlineLevel="0" collapsed="false">
      <c r="A3206" s="11" t="str">
        <f aca="false">IF(원본명단!$A3205="","",3203)</f>
        <v/>
      </c>
      <c r="B3206" s="12" t="str">
        <f aca="false">IF($A3206="","",원본명단!$A3205)</f>
        <v/>
      </c>
      <c r="C3206" s="12" t="str">
        <f aca="false">IF($A3206="","",원본명단!$B3205)</f>
        <v/>
      </c>
      <c r="D3206" s="12" t="str">
        <f aca="false">IF($A3206="","",원본명단!$D3205)</f>
        <v/>
      </c>
      <c r="E3206" s="11" t="str">
        <f aca="false">IF($A3206="","",IF(원본명단!$H3205="",0,COUNTIF(원본명단!$H$3:$H$6002,원본명단!$H3205)))</f>
        <v/>
      </c>
      <c r="F3206" s="11" t="str">
        <f aca="false">IF($A3206="","",IF(원본명단!$I3205="",0,COUNTIF(원본명단!$I$3:$I$6002,원본명단!$I3205)))</f>
        <v/>
      </c>
      <c r="G3206" s="11" t="str">
        <f aca="false">IF($A3206="","",IF(원본명단!$K3205="",0,COUNTIF(원본명단!$K$3:$K$6002,원본명단!$K3205)))</f>
        <v/>
      </c>
      <c r="H3206" s="11" t="str">
        <f aca="false">IF($A3206="","",IF(MAX($E3206,$F3206,$G3206)&gt;1,"중복","-"))</f>
        <v/>
      </c>
      <c r="I3206" s="11" t="str">
        <f aca="false">IF($A3206="","",IF($H3206="-","-",IF(AND(IF(원본명단!$H3205="",TRUE(),COUNTIF(원본명단!$H$3:$H3205,원본명단!$H3205)=1),IF(원본명단!$I3205="",TRUE(),COUNTIF(원본명단!$I$3:$I3205,원본명단!$I3205)=1),IF(원본명단!$K3205="",TRUE(),COUNTIF(원본명단!$K$3:$K3205,원본명단!$K3205)=1)),"첫 건","중복 건")))</f>
        <v/>
      </c>
      <c r="J3206" s="11" t="str">
        <f aca="false">IF($A3206="","",IF($H3206="-","유지",IF($I3206="첫 건","유지","확인 필요")))</f>
        <v/>
      </c>
    </row>
    <row r="3207" customFormat="false" ht="15" hidden="false" customHeight="true" outlineLevel="0" collapsed="false">
      <c r="A3207" s="11" t="str">
        <f aca="false">IF(원본명단!$A3206="","",3204)</f>
        <v/>
      </c>
      <c r="B3207" s="12" t="str">
        <f aca="false">IF($A3207="","",원본명단!$A3206)</f>
        <v/>
      </c>
      <c r="C3207" s="12" t="str">
        <f aca="false">IF($A3207="","",원본명단!$B3206)</f>
        <v/>
      </c>
      <c r="D3207" s="12" t="str">
        <f aca="false">IF($A3207="","",원본명단!$D3206)</f>
        <v/>
      </c>
      <c r="E3207" s="11" t="str">
        <f aca="false">IF($A3207="","",IF(원본명단!$H3206="",0,COUNTIF(원본명단!$H$3:$H$6002,원본명단!$H3206)))</f>
        <v/>
      </c>
      <c r="F3207" s="11" t="str">
        <f aca="false">IF($A3207="","",IF(원본명단!$I3206="",0,COUNTIF(원본명단!$I$3:$I$6002,원본명단!$I3206)))</f>
        <v/>
      </c>
      <c r="G3207" s="11" t="str">
        <f aca="false">IF($A3207="","",IF(원본명단!$K3206="",0,COUNTIF(원본명단!$K$3:$K$6002,원본명단!$K3206)))</f>
        <v/>
      </c>
      <c r="H3207" s="11" t="str">
        <f aca="false">IF($A3207="","",IF(MAX($E3207,$F3207,$G3207)&gt;1,"중복","-"))</f>
        <v/>
      </c>
      <c r="I3207" s="11" t="str">
        <f aca="false">IF($A3207="","",IF($H3207="-","-",IF(AND(IF(원본명단!$H3206="",TRUE(),COUNTIF(원본명단!$H$3:$H3206,원본명단!$H3206)=1),IF(원본명단!$I3206="",TRUE(),COUNTIF(원본명단!$I$3:$I3206,원본명단!$I3206)=1),IF(원본명단!$K3206="",TRUE(),COUNTIF(원본명단!$K$3:$K3206,원본명단!$K3206)=1)),"첫 건","중복 건")))</f>
        <v/>
      </c>
      <c r="J3207" s="11" t="str">
        <f aca="false">IF($A3207="","",IF($H3207="-","유지",IF($I3207="첫 건","유지","확인 필요")))</f>
        <v/>
      </c>
    </row>
    <row r="3208" customFormat="false" ht="15" hidden="false" customHeight="true" outlineLevel="0" collapsed="false">
      <c r="A3208" s="11" t="str">
        <f aca="false">IF(원본명단!$A3207="","",3205)</f>
        <v/>
      </c>
      <c r="B3208" s="12" t="str">
        <f aca="false">IF($A3208="","",원본명단!$A3207)</f>
        <v/>
      </c>
      <c r="C3208" s="12" t="str">
        <f aca="false">IF($A3208="","",원본명단!$B3207)</f>
        <v/>
      </c>
      <c r="D3208" s="12" t="str">
        <f aca="false">IF($A3208="","",원본명단!$D3207)</f>
        <v/>
      </c>
      <c r="E3208" s="11" t="str">
        <f aca="false">IF($A3208="","",IF(원본명단!$H3207="",0,COUNTIF(원본명단!$H$3:$H$6002,원본명단!$H3207)))</f>
        <v/>
      </c>
      <c r="F3208" s="11" t="str">
        <f aca="false">IF($A3208="","",IF(원본명단!$I3207="",0,COUNTIF(원본명단!$I$3:$I$6002,원본명단!$I3207)))</f>
        <v/>
      </c>
      <c r="G3208" s="11" t="str">
        <f aca="false">IF($A3208="","",IF(원본명단!$K3207="",0,COUNTIF(원본명단!$K$3:$K$6002,원본명단!$K3207)))</f>
        <v/>
      </c>
      <c r="H3208" s="11" t="str">
        <f aca="false">IF($A3208="","",IF(MAX($E3208,$F3208,$G3208)&gt;1,"중복","-"))</f>
        <v/>
      </c>
      <c r="I3208" s="11" t="str">
        <f aca="false">IF($A3208="","",IF($H3208="-","-",IF(AND(IF(원본명단!$H3207="",TRUE(),COUNTIF(원본명단!$H$3:$H3207,원본명단!$H3207)=1),IF(원본명단!$I3207="",TRUE(),COUNTIF(원본명단!$I$3:$I3207,원본명단!$I3207)=1),IF(원본명단!$K3207="",TRUE(),COUNTIF(원본명단!$K$3:$K3207,원본명단!$K3207)=1)),"첫 건","중복 건")))</f>
        <v/>
      </c>
      <c r="J3208" s="11" t="str">
        <f aca="false">IF($A3208="","",IF($H3208="-","유지",IF($I3208="첫 건","유지","확인 필요")))</f>
        <v/>
      </c>
    </row>
    <row r="3209" customFormat="false" ht="15" hidden="false" customHeight="true" outlineLevel="0" collapsed="false">
      <c r="A3209" s="11" t="str">
        <f aca="false">IF(원본명단!$A3208="","",3206)</f>
        <v/>
      </c>
      <c r="B3209" s="12" t="str">
        <f aca="false">IF($A3209="","",원본명단!$A3208)</f>
        <v/>
      </c>
      <c r="C3209" s="12" t="str">
        <f aca="false">IF($A3209="","",원본명단!$B3208)</f>
        <v/>
      </c>
      <c r="D3209" s="12" t="str">
        <f aca="false">IF($A3209="","",원본명단!$D3208)</f>
        <v/>
      </c>
      <c r="E3209" s="11" t="str">
        <f aca="false">IF($A3209="","",IF(원본명단!$H3208="",0,COUNTIF(원본명단!$H$3:$H$6002,원본명단!$H3208)))</f>
        <v/>
      </c>
      <c r="F3209" s="11" t="str">
        <f aca="false">IF($A3209="","",IF(원본명단!$I3208="",0,COUNTIF(원본명단!$I$3:$I$6002,원본명단!$I3208)))</f>
        <v/>
      </c>
      <c r="G3209" s="11" t="str">
        <f aca="false">IF($A3209="","",IF(원본명단!$K3208="",0,COUNTIF(원본명단!$K$3:$K$6002,원본명단!$K3208)))</f>
        <v/>
      </c>
      <c r="H3209" s="11" t="str">
        <f aca="false">IF($A3209="","",IF(MAX($E3209,$F3209,$G3209)&gt;1,"중복","-"))</f>
        <v/>
      </c>
      <c r="I3209" s="11" t="str">
        <f aca="false">IF($A3209="","",IF($H3209="-","-",IF(AND(IF(원본명단!$H3208="",TRUE(),COUNTIF(원본명단!$H$3:$H3208,원본명단!$H3208)=1),IF(원본명단!$I3208="",TRUE(),COUNTIF(원본명단!$I$3:$I3208,원본명단!$I3208)=1),IF(원본명단!$K3208="",TRUE(),COUNTIF(원본명단!$K$3:$K3208,원본명단!$K3208)=1)),"첫 건","중복 건")))</f>
        <v/>
      </c>
      <c r="J3209" s="11" t="str">
        <f aca="false">IF($A3209="","",IF($H3209="-","유지",IF($I3209="첫 건","유지","확인 필요")))</f>
        <v/>
      </c>
    </row>
    <row r="3210" customFormat="false" ht="15" hidden="false" customHeight="true" outlineLevel="0" collapsed="false">
      <c r="A3210" s="11" t="str">
        <f aca="false">IF(원본명단!$A3209="","",3207)</f>
        <v/>
      </c>
      <c r="B3210" s="12" t="str">
        <f aca="false">IF($A3210="","",원본명단!$A3209)</f>
        <v/>
      </c>
      <c r="C3210" s="12" t="str">
        <f aca="false">IF($A3210="","",원본명단!$B3209)</f>
        <v/>
      </c>
      <c r="D3210" s="12" t="str">
        <f aca="false">IF($A3210="","",원본명단!$D3209)</f>
        <v/>
      </c>
      <c r="E3210" s="11" t="str">
        <f aca="false">IF($A3210="","",IF(원본명단!$H3209="",0,COUNTIF(원본명단!$H$3:$H$6002,원본명단!$H3209)))</f>
        <v/>
      </c>
      <c r="F3210" s="11" t="str">
        <f aca="false">IF($A3210="","",IF(원본명단!$I3209="",0,COUNTIF(원본명단!$I$3:$I$6002,원본명단!$I3209)))</f>
        <v/>
      </c>
      <c r="G3210" s="11" t="str">
        <f aca="false">IF($A3210="","",IF(원본명단!$K3209="",0,COUNTIF(원본명단!$K$3:$K$6002,원본명단!$K3209)))</f>
        <v/>
      </c>
      <c r="H3210" s="11" t="str">
        <f aca="false">IF($A3210="","",IF(MAX($E3210,$F3210,$G3210)&gt;1,"중복","-"))</f>
        <v/>
      </c>
      <c r="I3210" s="11" t="str">
        <f aca="false">IF($A3210="","",IF($H3210="-","-",IF(AND(IF(원본명단!$H3209="",TRUE(),COUNTIF(원본명단!$H$3:$H3209,원본명단!$H3209)=1),IF(원본명단!$I3209="",TRUE(),COUNTIF(원본명단!$I$3:$I3209,원본명단!$I3209)=1),IF(원본명단!$K3209="",TRUE(),COUNTIF(원본명단!$K$3:$K3209,원본명단!$K3209)=1)),"첫 건","중복 건")))</f>
        <v/>
      </c>
      <c r="J3210" s="11" t="str">
        <f aca="false">IF($A3210="","",IF($H3210="-","유지",IF($I3210="첫 건","유지","확인 필요")))</f>
        <v/>
      </c>
    </row>
    <row r="3211" customFormat="false" ht="15" hidden="false" customHeight="true" outlineLevel="0" collapsed="false">
      <c r="A3211" s="11" t="str">
        <f aca="false">IF(원본명단!$A3210="","",3208)</f>
        <v/>
      </c>
      <c r="B3211" s="12" t="str">
        <f aca="false">IF($A3211="","",원본명단!$A3210)</f>
        <v/>
      </c>
      <c r="C3211" s="12" t="str">
        <f aca="false">IF($A3211="","",원본명단!$B3210)</f>
        <v/>
      </c>
      <c r="D3211" s="12" t="str">
        <f aca="false">IF($A3211="","",원본명단!$D3210)</f>
        <v/>
      </c>
      <c r="E3211" s="11" t="str">
        <f aca="false">IF($A3211="","",IF(원본명단!$H3210="",0,COUNTIF(원본명단!$H$3:$H$6002,원본명단!$H3210)))</f>
        <v/>
      </c>
      <c r="F3211" s="11" t="str">
        <f aca="false">IF($A3211="","",IF(원본명단!$I3210="",0,COUNTIF(원본명단!$I$3:$I$6002,원본명단!$I3210)))</f>
        <v/>
      </c>
      <c r="G3211" s="11" t="str">
        <f aca="false">IF($A3211="","",IF(원본명단!$K3210="",0,COUNTIF(원본명단!$K$3:$K$6002,원본명단!$K3210)))</f>
        <v/>
      </c>
      <c r="H3211" s="11" t="str">
        <f aca="false">IF($A3211="","",IF(MAX($E3211,$F3211,$G3211)&gt;1,"중복","-"))</f>
        <v/>
      </c>
      <c r="I3211" s="11" t="str">
        <f aca="false">IF($A3211="","",IF($H3211="-","-",IF(AND(IF(원본명단!$H3210="",TRUE(),COUNTIF(원본명단!$H$3:$H3210,원본명단!$H3210)=1),IF(원본명단!$I3210="",TRUE(),COUNTIF(원본명단!$I$3:$I3210,원본명단!$I3210)=1),IF(원본명단!$K3210="",TRUE(),COUNTIF(원본명단!$K$3:$K3210,원본명단!$K3210)=1)),"첫 건","중복 건")))</f>
        <v/>
      </c>
      <c r="J3211" s="11" t="str">
        <f aca="false">IF($A3211="","",IF($H3211="-","유지",IF($I3211="첫 건","유지","확인 필요")))</f>
        <v/>
      </c>
    </row>
    <row r="3212" customFormat="false" ht="15" hidden="false" customHeight="true" outlineLevel="0" collapsed="false">
      <c r="A3212" s="11" t="str">
        <f aca="false">IF(원본명단!$A3211="","",3209)</f>
        <v/>
      </c>
      <c r="B3212" s="12" t="str">
        <f aca="false">IF($A3212="","",원본명단!$A3211)</f>
        <v/>
      </c>
      <c r="C3212" s="12" t="str">
        <f aca="false">IF($A3212="","",원본명단!$B3211)</f>
        <v/>
      </c>
      <c r="D3212" s="12" t="str">
        <f aca="false">IF($A3212="","",원본명단!$D3211)</f>
        <v/>
      </c>
      <c r="E3212" s="11" t="str">
        <f aca="false">IF($A3212="","",IF(원본명단!$H3211="",0,COUNTIF(원본명단!$H$3:$H$6002,원본명단!$H3211)))</f>
        <v/>
      </c>
      <c r="F3212" s="11" t="str">
        <f aca="false">IF($A3212="","",IF(원본명단!$I3211="",0,COUNTIF(원본명단!$I$3:$I$6002,원본명단!$I3211)))</f>
        <v/>
      </c>
      <c r="G3212" s="11" t="str">
        <f aca="false">IF($A3212="","",IF(원본명단!$K3211="",0,COUNTIF(원본명단!$K$3:$K$6002,원본명단!$K3211)))</f>
        <v/>
      </c>
      <c r="H3212" s="11" t="str">
        <f aca="false">IF($A3212="","",IF(MAX($E3212,$F3212,$G3212)&gt;1,"중복","-"))</f>
        <v/>
      </c>
      <c r="I3212" s="11" t="str">
        <f aca="false">IF($A3212="","",IF($H3212="-","-",IF(AND(IF(원본명단!$H3211="",TRUE(),COUNTIF(원본명단!$H$3:$H3211,원본명단!$H3211)=1),IF(원본명단!$I3211="",TRUE(),COUNTIF(원본명단!$I$3:$I3211,원본명단!$I3211)=1),IF(원본명단!$K3211="",TRUE(),COUNTIF(원본명단!$K$3:$K3211,원본명단!$K3211)=1)),"첫 건","중복 건")))</f>
        <v/>
      </c>
      <c r="J3212" s="11" t="str">
        <f aca="false">IF($A3212="","",IF($H3212="-","유지",IF($I3212="첫 건","유지","확인 필요")))</f>
        <v/>
      </c>
    </row>
    <row r="3213" customFormat="false" ht="15" hidden="false" customHeight="true" outlineLevel="0" collapsed="false">
      <c r="A3213" s="11" t="str">
        <f aca="false">IF(원본명단!$A3212="","",3210)</f>
        <v/>
      </c>
      <c r="B3213" s="12" t="str">
        <f aca="false">IF($A3213="","",원본명단!$A3212)</f>
        <v/>
      </c>
      <c r="C3213" s="12" t="str">
        <f aca="false">IF($A3213="","",원본명단!$B3212)</f>
        <v/>
      </c>
      <c r="D3213" s="12" t="str">
        <f aca="false">IF($A3213="","",원본명단!$D3212)</f>
        <v/>
      </c>
      <c r="E3213" s="11" t="str">
        <f aca="false">IF($A3213="","",IF(원본명단!$H3212="",0,COUNTIF(원본명단!$H$3:$H$6002,원본명단!$H3212)))</f>
        <v/>
      </c>
      <c r="F3213" s="11" t="str">
        <f aca="false">IF($A3213="","",IF(원본명단!$I3212="",0,COUNTIF(원본명단!$I$3:$I$6002,원본명단!$I3212)))</f>
        <v/>
      </c>
      <c r="G3213" s="11" t="str">
        <f aca="false">IF($A3213="","",IF(원본명단!$K3212="",0,COUNTIF(원본명단!$K$3:$K$6002,원본명단!$K3212)))</f>
        <v/>
      </c>
      <c r="H3213" s="11" t="str">
        <f aca="false">IF($A3213="","",IF(MAX($E3213,$F3213,$G3213)&gt;1,"중복","-"))</f>
        <v/>
      </c>
      <c r="I3213" s="11" t="str">
        <f aca="false">IF($A3213="","",IF($H3213="-","-",IF(AND(IF(원본명단!$H3212="",TRUE(),COUNTIF(원본명단!$H$3:$H3212,원본명단!$H3212)=1),IF(원본명단!$I3212="",TRUE(),COUNTIF(원본명단!$I$3:$I3212,원본명단!$I3212)=1),IF(원본명단!$K3212="",TRUE(),COUNTIF(원본명단!$K$3:$K3212,원본명단!$K3212)=1)),"첫 건","중복 건")))</f>
        <v/>
      </c>
      <c r="J3213" s="11" t="str">
        <f aca="false">IF($A3213="","",IF($H3213="-","유지",IF($I3213="첫 건","유지","확인 필요")))</f>
        <v/>
      </c>
    </row>
    <row r="3214" customFormat="false" ht="15" hidden="false" customHeight="true" outlineLevel="0" collapsed="false">
      <c r="A3214" s="11" t="str">
        <f aca="false">IF(원본명단!$A3213="","",3211)</f>
        <v/>
      </c>
      <c r="B3214" s="12" t="str">
        <f aca="false">IF($A3214="","",원본명단!$A3213)</f>
        <v/>
      </c>
      <c r="C3214" s="12" t="str">
        <f aca="false">IF($A3214="","",원본명단!$B3213)</f>
        <v/>
      </c>
      <c r="D3214" s="12" t="str">
        <f aca="false">IF($A3214="","",원본명단!$D3213)</f>
        <v/>
      </c>
      <c r="E3214" s="11" t="str">
        <f aca="false">IF($A3214="","",IF(원본명단!$H3213="",0,COUNTIF(원본명단!$H$3:$H$6002,원본명단!$H3213)))</f>
        <v/>
      </c>
      <c r="F3214" s="11" t="str">
        <f aca="false">IF($A3214="","",IF(원본명단!$I3213="",0,COUNTIF(원본명단!$I$3:$I$6002,원본명단!$I3213)))</f>
        <v/>
      </c>
      <c r="G3214" s="11" t="str">
        <f aca="false">IF($A3214="","",IF(원본명단!$K3213="",0,COUNTIF(원본명단!$K$3:$K$6002,원본명단!$K3213)))</f>
        <v/>
      </c>
      <c r="H3214" s="11" t="str">
        <f aca="false">IF($A3214="","",IF(MAX($E3214,$F3214,$G3214)&gt;1,"중복","-"))</f>
        <v/>
      </c>
      <c r="I3214" s="11" t="str">
        <f aca="false">IF($A3214="","",IF($H3214="-","-",IF(AND(IF(원본명단!$H3213="",TRUE(),COUNTIF(원본명단!$H$3:$H3213,원본명단!$H3213)=1),IF(원본명단!$I3213="",TRUE(),COUNTIF(원본명단!$I$3:$I3213,원본명단!$I3213)=1),IF(원본명단!$K3213="",TRUE(),COUNTIF(원본명단!$K$3:$K3213,원본명단!$K3213)=1)),"첫 건","중복 건")))</f>
        <v/>
      </c>
      <c r="J3214" s="11" t="str">
        <f aca="false">IF($A3214="","",IF($H3214="-","유지",IF($I3214="첫 건","유지","확인 필요")))</f>
        <v/>
      </c>
    </row>
    <row r="3215" customFormat="false" ht="15" hidden="false" customHeight="true" outlineLevel="0" collapsed="false">
      <c r="A3215" s="11" t="str">
        <f aca="false">IF(원본명단!$A3214="","",3212)</f>
        <v/>
      </c>
      <c r="B3215" s="12" t="str">
        <f aca="false">IF($A3215="","",원본명단!$A3214)</f>
        <v/>
      </c>
      <c r="C3215" s="12" t="str">
        <f aca="false">IF($A3215="","",원본명단!$B3214)</f>
        <v/>
      </c>
      <c r="D3215" s="12" t="str">
        <f aca="false">IF($A3215="","",원본명단!$D3214)</f>
        <v/>
      </c>
      <c r="E3215" s="11" t="str">
        <f aca="false">IF($A3215="","",IF(원본명단!$H3214="",0,COUNTIF(원본명단!$H$3:$H$6002,원본명단!$H3214)))</f>
        <v/>
      </c>
      <c r="F3215" s="11" t="str">
        <f aca="false">IF($A3215="","",IF(원본명단!$I3214="",0,COUNTIF(원본명단!$I$3:$I$6002,원본명단!$I3214)))</f>
        <v/>
      </c>
      <c r="G3215" s="11" t="str">
        <f aca="false">IF($A3215="","",IF(원본명단!$K3214="",0,COUNTIF(원본명단!$K$3:$K$6002,원본명단!$K3214)))</f>
        <v/>
      </c>
      <c r="H3215" s="11" t="str">
        <f aca="false">IF($A3215="","",IF(MAX($E3215,$F3215,$G3215)&gt;1,"중복","-"))</f>
        <v/>
      </c>
      <c r="I3215" s="11" t="str">
        <f aca="false">IF($A3215="","",IF($H3215="-","-",IF(AND(IF(원본명단!$H3214="",TRUE(),COUNTIF(원본명단!$H$3:$H3214,원본명단!$H3214)=1),IF(원본명단!$I3214="",TRUE(),COUNTIF(원본명단!$I$3:$I3214,원본명단!$I3214)=1),IF(원본명단!$K3214="",TRUE(),COUNTIF(원본명단!$K$3:$K3214,원본명단!$K3214)=1)),"첫 건","중복 건")))</f>
        <v/>
      </c>
      <c r="J3215" s="11" t="str">
        <f aca="false">IF($A3215="","",IF($H3215="-","유지",IF($I3215="첫 건","유지","확인 필요")))</f>
        <v/>
      </c>
    </row>
    <row r="3216" customFormat="false" ht="15" hidden="false" customHeight="true" outlineLevel="0" collapsed="false">
      <c r="A3216" s="11" t="str">
        <f aca="false">IF(원본명단!$A3215="","",3213)</f>
        <v/>
      </c>
      <c r="B3216" s="12" t="str">
        <f aca="false">IF($A3216="","",원본명단!$A3215)</f>
        <v/>
      </c>
      <c r="C3216" s="12" t="str">
        <f aca="false">IF($A3216="","",원본명단!$B3215)</f>
        <v/>
      </c>
      <c r="D3216" s="12" t="str">
        <f aca="false">IF($A3216="","",원본명단!$D3215)</f>
        <v/>
      </c>
      <c r="E3216" s="11" t="str">
        <f aca="false">IF($A3216="","",IF(원본명단!$H3215="",0,COUNTIF(원본명단!$H$3:$H$6002,원본명단!$H3215)))</f>
        <v/>
      </c>
      <c r="F3216" s="11" t="str">
        <f aca="false">IF($A3216="","",IF(원본명단!$I3215="",0,COUNTIF(원본명단!$I$3:$I$6002,원본명단!$I3215)))</f>
        <v/>
      </c>
      <c r="G3216" s="11" t="str">
        <f aca="false">IF($A3216="","",IF(원본명단!$K3215="",0,COUNTIF(원본명단!$K$3:$K$6002,원본명단!$K3215)))</f>
        <v/>
      </c>
      <c r="H3216" s="11" t="str">
        <f aca="false">IF($A3216="","",IF(MAX($E3216,$F3216,$G3216)&gt;1,"중복","-"))</f>
        <v/>
      </c>
      <c r="I3216" s="11" t="str">
        <f aca="false">IF($A3216="","",IF($H3216="-","-",IF(AND(IF(원본명단!$H3215="",TRUE(),COUNTIF(원본명단!$H$3:$H3215,원본명단!$H3215)=1),IF(원본명단!$I3215="",TRUE(),COUNTIF(원본명단!$I$3:$I3215,원본명단!$I3215)=1),IF(원본명단!$K3215="",TRUE(),COUNTIF(원본명단!$K$3:$K3215,원본명단!$K3215)=1)),"첫 건","중복 건")))</f>
        <v/>
      </c>
      <c r="J3216" s="11" t="str">
        <f aca="false">IF($A3216="","",IF($H3216="-","유지",IF($I3216="첫 건","유지","확인 필요")))</f>
        <v/>
      </c>
    </row>
    <row r="3217" customFormat="false" ht="15" hidden="false" customHeight="true" outlineLevel="0" collapsed="false">
      <c r="A3217" s="11" t="str">
        <f aca="false">IF(원본명단!$A3216="","",3214)</f>
        <v/>
      </c>
      <c r="B3217" s="12" t="str">
        <f aca="false">IF($A3217="","",원본명단!$A3216)</f>
        <v/>
      </c>
      <c r="C3217" s="12" t="str">
        <f aca="false">IF($A3217="","",원본명단!$B3216)</f>
        <v/>
      </c>
      <c r="D3217" s="12" t="str">
        <f aca="false">IF($A3217="","",원본명단!$D3216)</f>
        <v/>
      </c>
      <c r="E3217" s="11" t="str">
        <f aca="false">IF($A3217="","",IF(원본명단!$H3216="",0,COUNTIF(원본명단!$H$3:$H$6002,원본명단!$H3216)))</f>
        <v/>
      </c>
      <c r="F3217" s="11" t="str">
        <f aca="false">IF($A3217="","",IF(원본명단!$I3216="",0,COUNTIF(원본명단!$I$3:$I$6002,원본명단!$I3216)))</f>
        <v/>
      </c>
      <c r="G3217" s="11" t="str">
        <f aca="false">IF($A3217="","",IF(원본명단!$K3216="",0,COUNTIF(원본명단!$K$3:$K$6002,원본명단!$K3216)))</f>
        <v/>
      </c>
      <c r="H3217" s="11" t="str">
        <f aca="false">IF($A3217="","",IF(MAX($E3217,$F3217,$G3217)&gt;1,"중복","-"))</f>
        <v/>
      </c>
      <c r="I3217" s="11" t="str">
        <f aca="false">IF($A3217="","",IF($H3217="-","-",IF(AND(IF(원본명단!$H3216="",TRUE(),COUNTIF(원본명단!$H$3:$H3216,원본명단!$H3216)=1),IF(원본명단!$I3216="",TRUE(),COUNTIF(원본명단!$I$3:$I3216,원본명단!$I3216)=1),IF(원본명단!$K3216="",TRUE(),COUNTIF(원본명단!$K$3:$K3216,원본명단!$K3216)=1)),"첫 건","중복 건")))</f>
        <v/>
      </c>
      <c r="J3217" s="11" t="str">
        <f aca="false">IF($A3217="","",IF($H3217="-","유지",IF($I3217="첫 건","유지","확인 필요")))</f>
        <v/>
      </c>
    </row>
    <row r="3218" customFormat="false" ht="15" hidden="false" customHeight="true" outlineLevel="0" collapsed="false">
      <c r="A3218" s="11" t="str">
        <f aca="false">IF(원본명단!$A3217="","",3215)</f>
        <v/>
      </c>
      <c r="B3218" s="12" t="str">
        <f aca="false">IF($A3218="","",원본명단!$A3217)</f>
        <v/>
      </c>
      <c r="C3218" s="12" t="str">
        <f aca="false">IF($A3218="","",원본명단!$B3217)</f>
        <v/>
      </c>
      <c r="D3218" s="12" t="str">
        <f aca="false">IF($A3218="","",원본명단!$D3217)</f>
        <v/>
      </c>
      <c r="E3218" s="11" t="str">
        <f aca="false">IF($A3218="","",IF(원본명단!$H3217="",0,COUNTIF(원본명단!$H$3:$H$6002,원본명단!$H3217)))</f>
        <v/>
      </c>
      <c r="F3218" s="11" t="str">
        <f aca="false">IF($A3218="","",IF(원본명단!$I3217="",0,COUNTIF(원본명단!$I$3:$I$6002,원본명단!$I3217)))</f>
        <v/>
      </c>
      <c r="G3218" s="11" t="str">
        <f aca="false">IF($A3218="","",IF(원본명단!$K3217="",0,COUNTIF(원본명단!$K$3:$K$6002,원본명단!$K3217)))</f>
        <v/>
      </c>
      <c r="H3218" s="11" t="str">
        <f aca="false">IF($A3218="","",IF(MAX($E3218,$F3218,$G3218)&gt;1,"중복","-"))</f>
        <v/>
      </c>
      <c r="I3218" s="11" t="str">
        <f aca="false">IF($A3218="","",IF($H3218="-","-",IF(AND(IF(원본명단!$H3217="",TRUE(),COUNTIF(원본명단!$H$3:$H3217,원본명단!$H3217)=1),IF(원본명단!$I3217="",TRUE(),COUNTIF(원본명단!$I$3:$I3217,원본명단!$I3217)=1),IF(원본명단!$K3217="",TRUE(),COUNTIF(원본명단!$K$3:$K3217,원본명단!$K3217)=1)),"첫 건","중복 건")))</f>
        <v/>
      </c>
      <c r="J3218" s="11" t="str">
        <f aca="false">IF($A3218="","",IF($H3218="-","유지",IF($I3218="첫 건","유지","확인 필요")))</f>
        <v/>
      </c>
    </row>
    <row r="3219" customFormat="false" ht="15" hidden="false" customHeight="true" outlineLevel="0" collapsed="false">
      <c r="A3219" s="11" t="str">
        <f aca="false">IF(원본명단!$A3218="","",3216)</f>
        <v/>
      </c>
      <c r="B3219" s="12" t="str">
        <f aca="false">IF($A3219="","",원본명단!$A3218)</f>
        <v/>
      </c>
      <c r="C3219" s="12" t="str">
        <f aca="false">IF($A3219="","",원본명단!$B3218)</f>
        <v/>
      </c>
      <c r="D3219" s="12" t="str">
        <f aca="false">IF($A3219="","",원본명단!$D3218)</f>
        <v/>
      </c>
      <c r="E3219" s="11" t="str">
        <f aca="false">IF($A3219="","",IF(원본명단!$H3218="",0,COUNTIF(원본명단!$H$3:$H$6002,원본명단!$H3218)))</f>
        <v/>
      </c>
      <c r="F3219" s="11" t="str">
        <f aca="false">IF($A3219="","",IF(원본명단!$I3218="",0,COUNTIF(원본명단!$I$3:$I$6002,원본명단!$I3218)))</f>
        <v/>
      </c>
      <c r="G3219" s="11" t="str">
        <f aca="false">IF($A3219="","",IF(원본명단!$K3218="",0,COUNTIF(원본명단!$K$3:$K$6002,원본명단!$K3218)))</f>
        <v/>
      </c>
      <c r="H3219" s="11" t="str">
        <f aca="false">IF($A3219="","",IF(MAX($E3219,$F3219,$G3219)&gt;1,"중복","-"))</f>
        <v/>
      </c>
      <c r="I3219" s="11" t="str">
        <f aca="false">IF($A3219="","",IF($H3219="-","-",IF(AND(IF(원본명단!$H3218="",TRUE(),COUNTIF(원본명단!$H$3:$H3218,원본명단!$H3218)=1),IF(원본명단!$I3218="",TRUE(),COUNTIF(원본명단!$I$3:$I3218,원본명단!$I3218)=1),IF(원본명단!$K3218="",TRUE(),COUNTIF(원본명단!$K$3:$K3218,원본명단!$K3218)=1)),"첫 건","중복 건")))</f>
        <v/>
      </c>
      <c r="J3219" s="11" t="str">
        <f aca="false">IF($A3219="","",IF($H3219="-","유지",IF($I3219="첫 건","유지","확인 필요")))</f>
        <v/>
      </c>
    </row>
    <row r="3220" customFormat="false" ht="15" hidden="false" customHeight="true" outlineLevel="0" collapsed="false">
      <c r="A3220" s="11" t="str">
        <f aca="false">IF(원본명단!$A3219="","",3217)</f>
        <v/>
      </c>
      <c r="B3220" s="12" t="str">
        <f aca="false">IF($A3220="","",원본명단!$A3219)</f>
        <v/>
      </c>
      <c r="C3220" s="12" t="str">
        <f aca="false">IF($A3220="","",원본명단!$B3219)</f>
        <v/>
      </c>
      <c r="D3220" s="12" t="str">
        <f aca="false">IF($A3220="","",원본명단!$D3219)</f>
        <v/>
      </c>
      <c r="E3220" s="11" t="str">
        <f aca="false">IF($A3220="","",IF(원본명단!$H3219="",0,COUNTIF(원본명단!$H$3:$H$6002,원본명단!$H3219)))</f>
        <v/>
      </c>
      <c r="F3220" s="11" t="str">
        <f aca="false">IF($A3220="","",IF(원본명단!$I3219="",0,COUNTIF(원본명단!$I$3:$I$6002,원본명단!$I3219)))</f>
        <v/>
      </c>
      <c r="G3220" s="11" t="str">
        <f aca="false">IF($A3220="","",IF(원본명단!$K3219="",0,COUNTIF(원본명단!$K$3:$K$6002,원본명단!$K3219)))</f>
        <v/>
      </c>
      <c r="H3220" s="11" t="str">
        <f aca="false">IF($A3220="","",IF(MAX($E3220,$F3220,$G3220)&gt;1,"중복","-"))</f>
        <v/>
      </c>
      <c r="I3220" s="11" t="str">
        <f aca="false">IF($A3220="","",IF($H3220="-","-",IF(AND(IF(원본명단!$H3219="",TRUE(),COUNTIF(원본명단!$H$3:$H3219,원본명단!$H3219)=1),IF(원본명단!$I3219="",TRUE(),COUNTIF(원본명단!$I$3:$I3219,원본명단!$I3219)=1),IF(원본명단!$K3219="",TRUE(),COUNTIF(원본명단!$K$3:$K3219,원본명단!$K3219)=1)),"첫 건","중복 건")))</f>
        <v/>
      </c>
      <c r="J3220" s="11" t="str">
        <f aca="false">IF($A3220="","",IF($H3220="-","유지",IF($I3220="첫 건","유지","확인 필요")))</f>
        <v/>
      </c>
    </row>
    <row r="3221" customFormat="false" ht="15" hidden="false" customHeight="true" outlineLevel="0" collapsed="false">
      <c r="A3221" s="11" t="str">
        <f aca="false">IF(원본명단!$A3220="","",3218)</f>
        <v/>
      </c>
      <c r="B3221" s="12" t="str">
        <f aca="false">IF($A3221="","",원본명단!$A3220)</f>
        <v/>
      </c>
      <c r="C3221" s="12" t="str">
        <f aca="false">IF($A3221="","",원본명단!$B3220)</f>
        <v/>
      </c>
      <c r="D3221" s="12" t="str">
        <f aca="false">IF($A3221="","",원본명단!$D3220)</f>
        <v/>
      </c>
      <c r="E3221" s="11" t="str">
        <f aca="false">IF($A3221="","",IF(원본명단!$H3220="",0,COUNTIF(원본명단!$H$3:$H$6002,원본명단!$H3220)))</f>
        <v/>
      </c>
      <c r="F3221" s="11" t="str">
        <f aca="false">IF($A3221="","",IF(원본명단!$I3220="",0,COUNTIF(원본명단!$I$3:$I$6002,원본명단!$I3220)))</f>
        <v/>
      </c>
      <c r="G3221" s="11" t="str">
        <f aca="false">IF($A3221="","",IF(원본명단!$K3220="",0,COUNTIF(원본명단!$K$3:$K$6002,원본명단!$K3220)))</f>
        <v/>
      </c>
      <c r="H3221" s="11" t="str">
        <f aca="false">IF($A3221="","",IF(MAX($E3221,$F3221,$G3221)&gt;1,"중복","-"))</f>
        <v/>
      </c>
      <c r="I3221" s="11" t="str">
        <f aca="false">IF($A3221="","",IF($H3221="-","-",IF(AND(IF(원본명단!$H3220="",TRUE(),COUNTIF(원본명단!$H$3:$H3220,원본명단!$H3220)=1),IF(원본명단!$I3220="",TRUE(),COUNTIF(원본명단!$I$3:$I3220,원본명단!$I3220)=1),IF(원본명단!$K3220="",TRUE(),COUNTIF(원본명단!$K$3:$K3220,원본명단!$K3220)=1)),"첫 건","중복 건")))</f>
        <v/>
      </c>
      <c r="J3221" s="11" t="str">
        <f aca="false">IF($A3221="","",IF($H3221="-","유지",IF($I3221="첫 건","유지","확인 필요")))</f>
        <v/>
      </c>
    </row>
    <row r="3222" customFormat="false" ht="15" hidden="false" customHeight="true" outlineLevel="0" collapsed="false">
      <c r="A3222" s="11" t="str">
        <f aca="false">IF(원본명단!$A3221="","",3219)</f>
        <v/>
      </c>
      <c r="B3222" s="12" t="str">
        <f aca="false">IF($A3222="","",원본명단!$A3221)</f>
        <v/>
      </c>
      <c r="C3222" s="12" t="str">
        <f aca="false">IF($A3222="","",원본명단!$B3221)</f>
        <v/>
      </c>
      <c r="D3222" s="12" t="str">
        <f aca="false">IF($A3222="","",원본명단!$D3221)</f>
        <v/>
      </c>
      <c r="E3222" s="11" t="str">
        <f aca="false">IF($A3222="","",IF(원본명단!$H3221="",0,COUNTIF(원본명단!$H$3:$H$6002,원본명단!$H3221)))</f>
        <v/>
      </c>
      <c r="F3222" s="11" t="str">
        <f aca="false">IF($A3222="","",IF(원본명단!$I3221="",0,COUNTIF(원본명단!$I$3:$I$6002,원본명단!$I3221)))</f>
        <v/>
      </c>
      <c r="G3222" s="11" t="str">
        <f aca="false">IF($A3222="","",IF(원본명단!$K3221="",0,COUNTIF(원본명단!$K$3:$K$6002,원본명단!$K3221)))</f>
        <v/>
      </c>
      <c r="H3222" s="11" t="str">
        <f aca="false">IF($A3222="","",IF(MAX($E3222,$F3222,$G3222)&gt;1,"중복","-"))</f>
        <v/>
      </c>
      <c r="I3222" s="11" t="str">
        <f aca="false">IF($A3222="","",IF($H3222="-","-",IF(AND(IF(원본명단!$H3221="",TRUE(),COUNTIF(원본명단!$H$3:$H3221,원본명단!$H3221)=1),IF(원본명단!$I3221="",TRUE(),COUNTIF(원본명단!$I$3:$I3221,원본명단!$I3221)=1),IF(원본명단!$K3221="",TRUE(),COUNTIF(원본명단!$K$3:$K3221,원본명단!$K3221)=1)),"첫 건","중복 건")))</f>
        <v/>
      </c>
      <c r="J3222" s="11" t="str">
        <f aca="false">IF($A3222="","",IF($H3222="-","유지",IF($I3222="첫 건","유지","확인 필요")))</f>
        <v/>
      </c>
    </row>
    <row r="3223" customFormat="false" ht="15" hidden="false" customHeight="true" outlineLevel="0" collapsed="false">
      <c r="A3223" s="11" t="str">
        <f aca="false">IF(원본명단!$A3222="","",3220)</f>
        <v/>
      </c>
      <c r="B3223" s="12" t="str">
        <f aca="false">IF($A3223="","",원본명단!$A3222)</f>
        <v/>
      </c>
      <c r="C3223" s="12" t="str">
        <f aca="false">IF($A3223="","",원본명단!$B3222)</f>
        <v/>
      </c>
      <c r="D3223" s="12" t="str">
        <f aca="false">IF($A3223="","",원본명단!$D3222)</f>
        <v/>
      </c>
      <c r="E3223" s="11" t="str">
        <f aca="false">IF($A3223="","",IF(원본명단!$H3222="",0,COUNTIF(원본명단!$H$3:$H$6002,원본명단!$H3222)))</f>
        <v/>
      </c>
      <c r="F3223" s="11" t="str">
        <f aca="false">IF($A3223="","",IF(원본명단!$I3222="",0,COUNTIF(원본명단!$I$3:$I$6002,원본명단!$I3222)))</f>
        <v/>
      </c>
      <c r="G3223" s="11" t="str">
        <f aca="false">IF($A3223="","",IF(원본명단!$K3222="",0,COUNTIF(원본명단!$K$3:$K$6002,원본명단!$K3222)))</f>
        <v/>
      </c>
      <c r="H3223" s="11" t="str">
        <f aca="false">IF($A3223="","",IF(MAX($E3223,$F3223,$G3223)&gt;1,"중복","-"))</f>
        <v/>
      </c>
      <c r="I3223" s="11" t="str">
        <f aca="false">IF($A3223="","",IF($H3223="-","-",IF(AND(IF(원본명단!$H3222="",TRUE(),COUNTIF(원본명단!$H$3:$H3222,원본명단!$H3222)=1),IF(원본명단!$I3222="",TRUE(),COUNTIF(원본명단!$I$3:$I3222,원본명단!$I3222)=1),IF(원본명단!$K3222="",TRUE(),COUNTIF(원본명단!$K$3:$K3222,원본명단!$K3222)=1)),"첫 건","중복 건")))</f>
        <v/>
      </c>
      <c r="J3223" s="11" t="str">
        <f aca="false">IF($A3223="","",IF($H3223="-","유지",IF($I3223="첫 건","유지","확인 필요")))</f>
        <v/>
      </c>
    </row>
    <row r="3224" customFormat="false" ht="15" hidden="false" customHeight="true" outlineLevel="0" collapsed="false">
      <c r="A3224" s="11" t="str">
        <f aca="false">IF(원본명단!$A3223="","",3221)</f>
        <v/>
      </c>
      <c r="B3224" s="12" t="str">
        <f aca="false">IF($A3224="","",원본명단!$A3223)</f>
        <v/>
      </c>
      <c r="C3224" s="12" t="str">
        <f aca="false">IF($A3224="","",원본명단!$B3223)</f>
        <v/>
      </c>
      <c r="D3224" s="12" t="str">
        <f aca="false">IF($A3224="","",원본명단!$D3223)</f>
        <v/>
      </c>
      <c r="E3224" s="11" t="str">
        <f aca="false">IF($A3224="","",IF(원본명단!$H3223="",0,COUNTIF(원본명단!$H$3:$H$6002,원본명단!$H3223)))</f>
        <v/>
      </c>
      <c r="F3224" s="11" t="str">
        <f aca="false">IF($A3224="","",IF(원본명단!$I3223="",0,COUNTIF(원본명단!$I$3:$I$6002,원본명단!$I3223)))</f>
        <v/>
      </c>
      <c r="G3224" s="11" t="str">
        <f aca="false">IF($A3224="","",IF(원본명단!$K3223="",0,COUNTIF(원본명단!$K$3:$K$6002,원본명단!$K3223)))</f>
        <v/>
      </c>
      <c r="H3224" s="11" t="str">
        <f aca="false">IF($A3224="","",IF(MAX($E3224,$F3224,$G3224)&gt;1,"중복","-"))</f>
        <v/>
      </c>
      <c r="I3224" s="11" t="str">
        <f aca="false">IF($A3224="","",IF($H3224="-","-",IF(AND(IF(원본명단!$H3223="",TRUE(),COUNTIF(원본명단!$H$3:$H3223,원본명단!$H3223)=1),IF(원본명단!$I3223="",TRUE(),COUNTIF(원본명단!$I$3:$I3223,원본명단!$I3223)=1),IF(원본명단!$K3223="",TRUE(),COUNTIF(원본명단!$K$3:$K3223,원본명단!$K3223)=1)),"첫 건","중복 건")))</f>
        <v/>
      </c>
      <c r="J3224" s="11" t="str">
        <f aca="false">IF($A3224="","",IF($H3224="-","유지",IF($I3224="첫 건","유지","확인 필요")))</f>
        <v/>
      </c>
    </row>
    <row r="3225" customFormat="false" ht="15" hidden="false" customHeight="true" outlineLevel="0" collapsed="false">
      <c r="A3225" s="11" t="str">
        <f aca="false">IF(원본명단!$A3224="","",3222)</f>
        <v/>
      </c>
      <c r="B3225" s="12" t="str">
        <f aca="false">IF($A3225="","",원본명단!$A3224)</f>
        <v/>
      </c>
      <c r="C3225" s="12" t="str">
        <f aca="false">IF($A3225="","",원본명단!$B3224)</f>
        <v/>
      </c>
      <c r="D3225" s="12" t="str">
        <f aca="false">IF($A3225="","",원본명단!$D3224)</f>
        <v/>
      </c>
      <c r="E3225" s="11" t="str">
        <f aca="false">IF($A3225="","",IF(원본명단!$H3224="",0,COUNTIF(원본명단!$H$3:$H$6002,원본명단!$H3224)))</f>
        <v/>
      </c>
      <c r="F3225" s="11" t="str">
        <f aca="false">IF($A3225="","",IF(원본명단!$I3224="",0,COUNTIF(원본명단!$I$3:$I$6002,원본명단!$I3224)))</f>
        <v/>
      </c>
      <c r="G3225" s="11" t="str">
        <f aca="false">IF($A3225="","",IF(원본명단!$K3224="",0,COUNTIF(원본명단!$K$3:$K$6002,원본명단!$K3224)))</f>
        <v/>
      </c>
      <c r="H3225" s="11" t="str">
        <f aca="false">IF($A3225="","",IF(MAX($E3225,$F3225,$G3225)&gt;1,"중복","-"))</f>
        <v/>
      </c>
      <c r="I3225" s="11" t="str">
        <f aca="false">IF($A3225="","",IF($H3225="-","-",IF(AND(IF(원본명단!$H3224="",TRUE(),COUNTIF(원본명단!$H$3:$H3224,원본명단!$H3224)=1),IF(원본명단!$I3224="",TRUE(),COUNTIF(원본명단!$I$3:$I3224,원본명단!$I3224)=1),IF(원본명단!$K3224="",TRUE(),COUNTIF(원본명단!$K$3:$K3224,원본명단!$K3224)=1)),"첫 건","중복 건")))</f>
        <v/>
      </c>
      <c r="J3225" s="11" t="str">
        <f aca="false">IF($A3225="","",IF($H3225="-","유지",IF($I3225="첫 건","유지","확인 필요")))</f>
        <v/>
      </c>
    </row>
    <row r="3226" customFormat="false" ht="15" hidden="false" customHeight="true" outlineLevel="0" collapsed="false">
      <c r="A3226" s="11" t="str">
        <f aca="false">IF(원본명단!$A3225="","",3223)</f>
        <v/>
      </c>
      <c r="B3226" s="12" t="str">
        <f aca="false">IF($A3226="","",원본명단!$A3225)</f>
        <v/>
      </c>
      <c r="C3226" s="12" t="str">
        <f aca="false">IF($A3226="","",원본명단!$B3225)</f>
        <v/>
      </c>
      <c r="D3226" s="12" t="str">
        <f aca="false">IF($A3226="","",원본명단!$D3225)</f>
        <v/>
      </c>
      <c r="E3226" s="11" t="str">
        <f aca="false">IF($A3226="","",IF(원본명단!$H3225="",0,COUNTIF(원본명단!$H$3:$H$6002,원본명단!$H3225)))</f>
        <v/>
      </c>
      <c r="F3226" s="11" t="str">
        <f aca="false">IF($A3226="","",IF(원본명단!$I3225="",0,COUNTIF(원본명단!$I$3:$I$6002,원본명단!$I3225)))</f>
        <v/>
      </c>
      <c r="G3226" s="11" t="str">
        <f aca="false">IF($A3226="","",IF(원본명단!$K3225="",0,COUNTIF(원본명단!$K$3:$K$6002,원본명단!$K3225)))</f>
        <v/>
      </c>
      <c r="H3226" s="11" t="str">
        <f aca="false">IF($A3226="","",IF(MAX($E3226,$F3226,$G3226)&gt;1,"중복","-"))</f>
        <v/>
      </c>
      <c r="I3226" s="11" t="str">
        <f aca="false">IF($A3226="","",IF($H3226="-","-",IF(AND(IF(원본명단!$H3225="",TRUE(),COUNTIF(원본명단!$H$3:$H3225,원본명단!$H3225)=1),IF(원본명단!$I3225="",TRUE(),COUNTIF(원본명단!$I$3:$I3225,원본명단!$I3225)=1),IF(원본명단!$K3225="",TRUE(),COUNTIF(원본명단!$K$3:$K3225,원본명단!$K3225)=1)),"첫 건","중복 건")))</f>
        <v/>
      </c>
      <c r="J3226" s="11" t="str">
        <f aca="false">IF($A3226="","",IF($H3226="-","유지",IF($I3226="첫 건","유지","확인 필요")))</f>
        <v/>
      </c>
    </row>
    <row r="3227" customFormat="false" ht="15" hidden="false" customHeight="true" outlineLevel="0" collapsed="false">
      <c r="A3227" s="11" t="str">
        <f aca="false">IF(원본명단!$A3226="","",3224)</f>
        <v/>
      </c>
      <c r="B3227" s="12" t="str">
        <f aca="false">IF($A3227="","",원본명단!$A3226)</f>
        <v/>
      </c>
      <c r="C3227" s="12" t="str">
        <f aca="false">IF($A3227="","",원본명단!$B3226)</f>
        <v/>
      </c>
      <c r="D3227" s="12" t="str">
        <f aca="false">IF($A3227="","",원본명단!$D3226)</f>
        <v/>
      </c>
      <c r="E3227" s="11" t="str">
        <f aca="false">IF($A3227="","",IF(원본명단!$H3226="",0,COUNTIF(원본명단!$H$3:$H$6002,원본명단!$H3226)))</f>
        <v/>
      </c>
      <c r="F3227" s="11" t="str">
        <f aca="false">IF($A3227="","",IF(원본명단!$I3226="",0,COUNTIF(원본명단!$I$3:$I$6002,원본명단!$I3226)))</f>
        <v/>
      </c>
      <c r="G3227" s="11" t="str">
        <f aca="false">IF($A3227="","",IF(원본명단!$K3226="",0,COUNTIF(원본명단!$K$3:$K$6002,원본명단!$K3226)))</f>
        <v/>
      </c>
      <c r="H3227" s="11" t="str">
        <f aca="false">IF($A3227="","",IF(MAX($E3227,$F3227,$G3227)&gt;1,"중복","-"))</f>
        <v/>
      </c>
      <c r="I3227" s="11" t="str">
        <f aca="false">IF($A3227="","",IF($H3227="-","-",IF(AND(IF(원본명단!$H3226="",TRUE(),COUNTIF(원본명단!$H$3:$H3226,원본명단!$H3226)=1),IF(원본명단!$I3226="",TRUE(),COUNTIF(원본명단!$I$3:$I3226,원본명단!$I3226)=1),IF(원본명단!$K3226="",TRUE(),COUNTIF(원본명단!$K$3:$K3226,원본명단!$K3226)=1)),"첫 건","중복 건")))</f>
        <v/>
      </c>
      <c r="J3227" s="11" t="str">
        <f aca="false">IF($A3227="","",IF($H3227="-","유지",IF($I3227="첫 건","유지","확인 필요")))</f>
        <v/>
      </c>
    </row>
    <row r="3228" customFormat="false" ht="15" hidden="false" customHeight="true" outlineLevel="0" collapsed="false">
      <c r="A3228" s="11" t="str">
        <f aca="false">IF(원본명단!$A3227="","",3225)</f>
        <v/>
      </c>
      <c r="B3228" s="12" t="str">
        <f aca="false">IF($A3228="","",원본명단!$A3227)</f>
        <v/>
      </c>
      <c r="C3228" s="12" t="str">
        <f aca="false">IF($A3228="","",원본명단!$B3227)</f>
        <v/>
      </c>
      <c r="D3228" s="12" t="str">
        <f aca="false">IF($A3228="","",원본명단!$D3227)</f>
        <v/>
      </c>
      <c r="E3228" s="11" t="str">
        <f aca="false">IF($A3228="","",IF(원본명단!$H3227="",0,COUNTIF(원본명단!$H$3:$H$6002,원본명단!$H3227)))</f>
        <v/>
      </c>
      <c r="F3228" s="11" t="str">
        <f aca="false">IF($A3228="","",IF(원본명단!$I3227="",0,COUNTIF(원본명단!$I$3:$I$6002,원본명단!$I3227)))</f>
        <v/>
      </c>
      <c r="G3228" s="11" t="str">
        <f aca="false">IF($A3228="","",IF(원본명단!$K3227="",0,COUNTIF(원본명단!$K$3:$K$6002,원본명단!$K3227)))</f>
        <v/>
      </c>
      <c r="H3228" s="11" t="str">
        <f aca="false">IF($A3228="","",IF(MAX($E3228,$F3228,$G3228)&gt;1,"중복","-"))</f>
        <v/>
      </c>
      <c r="I3228" s="11" t="str">
        <f aca="false">IF($A3228="","",IF($H3228="-","-",IF(AND(IF(원본명단!$H3227="",TRUE(),COUNTIF(원본명단!$H$3:$H3227,원본명단!$H3227)=1),IF(원본명단!$I3227="",TRUE(),COUNTIF(원본명단!$I$3:$I3227,원본명단!$I3227)=1),IF(원본명단!$K3227="",TRUE(),COUNTIF(원본명단!$K$3:$K3227,원본명단!$K3227)=1)),"첫 건","중복 건")))</f>
        <v/>
      </c>
      <c r="J3228" s="11" t="str">
        <f aca="false">IF($A3228="","",IF($H3228="-","유지",IF($I3228="첫 건","유지","확인 필요")))</f>
        <v/>
      </c>
    </row>
    <row r="3229" customFormat="false" ht="15" hidden="false" customHeight="true" outlineLevel="0" collapsed="false">
      <c r="A3229" s="11" t="str">
        <f aca="false">IF(원본명단!$A3228="","",3226)</f>
        <v/>
      </c>
      <c r="B3229" s="12" t="str">
        <f aca="false">IF($A3229="","",원본명단!$A3228)</f>
        <v/>
      </c>
      <c r="C3229" s="12" t="str">
        <f aca="false">IF($A3229="","",원본명단!$B3228)</f>
        <v/>
      </c>
      <c r="D3229" s="12" t="str">
        <f aca="false">IF($A3229="","",원본명단!$D3228)</f>
        <v/>
      </c>
      <c r="E3229" s="11" t="str">
        <f aca="false">IF($A3229="","",IF(원본명단!$H3228="",0,COUNTIF(원본명단!$H$3:$H$6002,원본명단!$H3228)))</f>
        <v/>
      </c>
      <c r="F3229" s="11" t="str">
        <f aca="false">IF($A3229="","",IF(원본명단!$I3228="",0,COUNTIF(원본명단!$I$3:$I$6002,원본명단!$I3228)))</f>
        <v/>
      </c>
      <c r="G3229" s="11" t="str">
        <f aca="false">IF($A3229="","",IF(원본명단!$K3228="",0,COUNTIF(원본명단!$K$3:$K$6002,원본명단!$K3228)))</f>
        <v/>
      </c>
      <c r="H3229" s="11" t="str">
        <f aca="false">IF($A3229="","",IF(MAX($E3229,$F3229,$G3229)&gt;1,"중복","-"))</f>
        <v/>
      </c>
      <c r="I3229" s="11" t="str">
        <f aca="false">IF($A3229="","",IF($H3229="-","-",IF(AND(IF(원본명단!$H3228="",TRUE(),COUNTIF(원본명단!$H$3:$H3228,원본명단!$H3228)=1),IF(원본명단!$I3228="",TRUE(),COUNTIF(원본명단!$I$3:$I3228,원본명단!$I3228)=1),IF(원본명단!$K3228="",TRUE(),COUNTIF(원본명단!$K$3:$K3228,원본명단!$K3228)=1)),"첫 건","중복 건")))</f>
        <v/>
      </c>
      <c r="J3229" s="11" t="str">
        <f aca="false">IF($A3229="","",IF($H3229="-","유지",IF($I3229="첫 건","유지","확인 필요")))</f>
        <v/>
      </c>
    </row>
    <row r="3230" customFormat="false" ht="15" hidden="false" customHeight="true" outlineLevel="0" collapsed="false">
      <c r="A3230" s="11" t="str">
        <f aca="false">IF(원본명단!$A3229="","",3227)</f>
        <v/>
      </c>
      <c r="B3230" s="12" t="str">
        <f aca="false">IF($A3230="","",원본명단!$A3229)</f>
        <v/>
      </c>
      <c r="C3230" s="12" t="str">
        <f aca="false">IF($A3230="","",원본명단!$B3229)</f>
        <v/>
      </c>
      <c r="D3230" s="12" t="str">
        <f aca="false">IF($A3230="","",원본명단!$D3229)</f>
        <v/>
      </c>
      <c r="E3230" s="11" t="str">
        <f aca="false">IF($A3230="","",IF(원본명단!$H3229="",0,COUNTIF(원본명단!$H$3:$H$6002,원본명단!$H3229)))</f>
        <v/>
      </c>
      <c r="F3230" s="11" t="str">
        <f aca="false">IF($A3230="","",IF(원본명단!$I3229="",0,COUNTIF(원본명단!$I$3:$I$6002,원본명단!$I3229)))</f>
        <v/>
      </c>
      <c r="G3230" s="11" t="str">
        <f aca="false">IF($A3230="","",IF(원본명단!$K3229="",0,COUNTIF(원본명단!$K$3:$K$6002,원본명단!$K3229)))</f>
        <v/>
      </c>
      <c r="H3230" s="11" t="str">
        <f aca="false">IF($A3230="","",IF(MAX($E3230,$F3230,$G3230)&gt;1,"중복","-"))</f>
        <v/>
      </c>
      <c r="I3230" s="11" t="str">
        <f aca="false">IF($A3230="","",IF($H3230="-","-",IF(AND(IF(원본명단!$H3229="",TRUE(),COUNTIF(원본명단!$H$3:$H3229,원본명단!$H3229)=1),IF(원본명단!$I3229="",TRUE(),COUNTIF(원본명단!$I$3:$I3229,원본명단!$I3229)=1),IF(원본명단!$K3229="",TRUE(),COUNTIF(원본명단!$K$3:$K3229,원본명단!$K3229)=1)),"첫 건","중복 건")))</f>
        <v/>
      </c>
      <c r="J3230" s="11" t="str">
        <f aca="false">IF($A3230="","",IF($H3230="-","유지",IF($I3230="첫 건","유지","확인 필요")))</f>
        <v/>
      </c>
    </row>
    <row r="3231" customFormat="false" ht="15" hidden="false" customHeight="true" outlineLevel="0" collapsed="false">
      <c r="A3231" s="11" t="str">
        <f aca="false">IF(원본명단!$A3230="","",3228)</f>
        <v/>
      </c>
      <c r="B3231" s="12" t="str">
        <f aca="false">IF($A3231="","",원본명단!$A3230)</f>
        <v/>
      </c>
      <c r="C3231" s="12" t="str">
        <f aca="false">IF($A3231="","",원본명단!$B3230)</f>
        <v/>
      </c>
      <c r="D3231" s="12" t="str">
        <f aca="false">IF($A3231="","",원본명단!$D3230)</f>
        <v/>
      </c>
      <c r="E3231" s="11" t="str">
        <f aca="false">IF($A3231="","",IF(원본명단!$H3230="",0,COUNTIF(원본명단!$H$3:$H$6002,원본명단!$H3230)))</f>
        <v/>
      </c>
      <c r="F3231" s="11" t="str">
        <f aca="false">IF($A3231="","",IF(원본명단!$I3230="",0,COUNTIF(원본명단!$I$3:$I$6002,원본명단!$I3230)))</f>
        <v/>
      </c>
      <c r="G3231" s="11" t="str">
        <f aca="false">IF($A3231="","",IF(원본명단!$K3230="",0,COUNTIF(원본명단!$K$3:$K$6002,원본명단!$K3230)))</f>
        <v/>
      </c>
      <c r="H3231" s="11" t="str">
        <f aca="false">IF($A3231="","",IF(MAX($E3231,$F3231,$G3231)&gt;1,"중복","-"))</f>
        <v/>
      </c>
      <c r="I3231" s="11" t="str">
        <f aca="false">IF($A3231="","",IF($H3231="-","-",IF(AND(IF(원본명단!$H3230="",TRUE(),COUNTIF(원본명단!$H$3:$H3230,원본명단!$H3230)=1),IF(원본명단!$I3230="",TRUE(),COUNTIF(원본명단!$I$3:$I3230,원본명단!$I3230)=1),IF(원본명단!$K3230="",TRUE(),COUNTIF(원본명단!$K$3:$K3230,원본명단!$K3230)=1)),"첫 건","중복 건")))</f>
        <v/>
      </c>
      <c r="J3231" s="11" t="str">
        <f aca="false">IF($A3231="","",IF($H3231="-","유지",IF($I3231="첫 건","유지","확인 필요")))</f>
        <v/>
      </c>
    </row>
    <row r="3232" customFormat="false" ht="15" hidden="false" customHeight="true" outlineLevel="0" collapsed="false">
      <c r="A3232" s="11" t="str">
        <f aca="false">IF(원본명단!$A3231="","",3229)</f>
        <v/>
      </c>
      <c r="B3232" s="12" t="str">
        <f aca="false">IF($A3232="","",원본명단!$A3231)</f>
        <v/>
      </c>
      <c r="C3232" s="12" t="str">
        <f aca="false">IF($A3232="","",원본명단!$B3231)</f>
        <v/>
      </c>
      <c r="D3232" s="12" t="str">
        <f aca="false">IF($A3232="","",원본명단!$D3231)</f>
        <v/>
      </c>
      <c r="E3232" s="11" t="str">
        <f aca="false">IF($A3232="","",IF(원본명단!$H3231="",0,COUNTIF(원본명단!$H$3:$H$6002,원본명단!$H3231)))</f>
        <v/>
      </c>
      <c r="F3232" s="11" t="str">
        <f aca="false">IF($A3232="","",IF(원본명단!$I3231="",0,COUNTIF(원본명단!$I$3:$I$6002,원본명단!$I3231)))</f>
        <v/>
      </c>
      <c r="G3232" s="11" t="str">
        <f aca="false">IF($A3232="","",IF(원본명단!$K3231="",0,COUNTIF(원본명단!$K$3:$K$6002,원본명단!$K3231)))</f>
        <v/>
      </c>
      <c r="H3232" s="11" t="str">
        <f aca="false">IF($A3232="","",IF(MAX($E3232,$F3232,$G3232)&gt;1,"중복","-"))</f>
        <v/>
      </c>
      <c r="I3232" s="11" t="str">
        <f aca="false">IF($A3232="","",IF($H3232="-","-",IF(AND(IF(원본명단!$H3231="",TRUE(),COUNTIF(원본명단!$H$3:$H3231,원본명단!$H3231)=1),IF(원본명단!$I3231="",TRUE(),COUNTIF(원본명단!$I$3:$I3231,원본명단!$I3231)=1),IF(원본명단!$K3231="",TRUE(),COUNTIF(원본명단!$K$3:$K3231,원본명단!$K3231)=1)),"첫 건","중복 건")))</f>
        <v/>
      </c>
      <c r="J3232" s="11" t="str">
        <f aca="false">IF($A3232="","",IF($H3232="-","유지",IF($I3232="첫 건","유지","확인 필요")))</f>
        <v/>
      </c>
    </row>
    <row r="3233" customFormat="false" ht="15" hidden="false" customHeight="true" outlineLevel="0" collapsed="false">
      <c r="A3233" s="11" t="str">
        <f aca="false">IF(원본명단!$A3232="","",3230)</f>
        <v/>
      </c>
      <c r="B3233" s="12" t="str">
        <f aca="false">IF($A3233="","",원본명단!$A3232)</f>
        <v/>
      </c>
      <c r="C3233" s="12" t="str">
        <f aca="false">IF($A3233="","",원본명단!$B3232)</f>
        <v/>
      </c>
      <c r="D3233" s="12" t="str">
        <f aca="false">IF($A3233="","",원본명단!$D3232)</f>
        <v/>
      </c>
      <c r="E3233" s="11" t="str">
        <f aca="false">IF($A3233="","",IF(원본명단!$H3232="",0,COUNTIF(원본명단!$H$3:$H$6002,원본명단!$H3232)))</f>
        <v/>
      </c>
      <c r="F3233" s="11" t="str">
        <f aca="false">IF($A3233="","",IF(원본명단!$I3232="",0,COUNTIF(원본명단!$I$3:$I$6002,원본명단!$I3232)))</f>
        <v/>
      </c>
      <c r="G3233" s="11" t="str">
        <f aca="false">IF($A3233="","",IF(원본명단!$K3232="",0,COUNTIF(원본명단!$K$3:$K$6002,원본명단!$K3232)))</f>
        <v/>
      </c>
      <c r="H3233" s="11" t="str">
        <f aca="false">IF($A3233="","",IF(MAX($E3233,$F3233,$G3233)&gt;1,"중복","-"))</f>
        <v/>
      </c>
      <c r="I3233" s="11" t="str">
        <f aca="false">IF($A3233="","",IF($H3233="-","-",IF(AND(IF(원본명단!$H3232="",TRUE(),COUNTIF(원본명단!$H$3:$H3232,원본명단!$H3232)=1),IF(원본명단!$I3232="",TRUE(),COUNTIF(원본명단!$I$3:$I3232,원본명단!$I3232)=1),IF(원본명단!$K3232="",TRUE(),COUNTIF(원본명단!$K$3:$K3232,원본명단!$K3232)=1)),"첫 건","중복 건")))</f>
        <v/>
      </c>
      <c r="J3233" s="11" t="str">
        <f aca="false">IF($A3233="","",IF($H3233="-","유지",IF($I3233="첫 건","유지","확인 필요")))</f>
        <v/>
      </c>
    </row>
    <row r="3234" customFormat="false" ht="15" hidden="false" customHeight="true" outlineLevel="0" collapsed="false">
      <c r="A3234" s="11" t="str">
        <f aca="false">IF(원본명단!$A3233="","",3231)</f>
        <v/>
      </c>
      <c r="B3234" s="12" t="str">
        <f aca="false">IF($A3234="","",원본명단!$A3233)</f>
        <v/>
      </c>
      <c r="C3234" s="12" t="str">
        <f aca="false">IF($A3234="","",원본명단!$B3233)</f>
        <v/>
      </c>
      <c r="D3234" s="12" t="str">
        <f aca="false">IF($A3234="","",원본명단!$D3233)</f>
        <v/>
      </c>
      <c r="E3234" s="11" t="str">
        <f aca="false">IF($A3234="","",IF(원본명단!$H3233="",0,COUNTIF(원본명단!$H$3:$H$6002,원본명단!$H3233)))</f>
        <v/>
      </c>
      <c r="F3234" s="11" t="str">
        <f aca="false">IF($A3234="","",IF(원본명단!$I3233="",0,COUNTIF(원본명단!$I$3:$I$6002,원본명단!$I3233)))</f>
        <v/>
      </c>
      <c r="G3234" s="11" t="str">
        <f aca="false">IF($A3234="","",IF(원본명단!$K3233="",0,COUNTIF(원본명단!$K$3:$K$6002,원본명단!$K3233)))</f>
        <v/>
      </c>
      <c r="H3234" s="11" t="str">
        <f aca="false">IF($A3234="","",IF(MAX($E3234,$F3234,$G3234)&gt;1,"중복","-"))</f>
        <v/>
      </c>
      <c r="I3234" s="11" t="str">
        <f aca="false">IF($A3234="","",IF($H3234="-","-",IF(AND(IF(원본명단!$H3233="",TRUE(),COUNTIF(원본명단!$H$3:$H3233,원본명단!$H3233)=1),IF(원본명단!$I3233="",TRUE(),COUNTIF(원본명단!$I$3:$I3233,원본명단!$I3233)=1),IF(원본명단!$K3233="",TRUE(),COUNTIF(원본명단!$K$3:$K3233,원본명단!$K3233)=1)),"첫 건","중복 건")))</f>
        <v/>
      </c>
      <c r="J3234" s="11" t="str">
        <f aca="false">IF($A3234="","",IF($H3234="-","유지",IF($I3234="첫 건","유지","확인 필요")))</f>
        <v/>
      </c>
    </row>
    <row r="3235" customFormat="false" ht="15" hidden="false" customHeight="true" outlineLevel="0" collapsed="false">
      <c r="A3235" s="11" t="str">
        <f aca="false">IF(원본명단!$A3234="","",3232)</f>
        <v/>
      </c>
      <c r="B3235" s="12" t="str">
        <f aca="false">IF($A3235="","",원본명단!$A3234)</f>
        <v/>
      </c>
      <c r="C3235" s="12" t="str">
        <f aca="false">IF($A3235="","",원본명단!$B3234)</f>
        <v/>
      </c>
      <c r="D3235" s="12" t="str">
        <f aca="false">IF($A3235="","",원본명단!$D3234)</f>
        <v/>
      </c>
      <c r="E3235" s="11" t="str">
        <f aca="false">IF($A3235="","",IF(원본명단!$H3234="",0,COUNTIF(원본명단!$H$3:$H$6002,원본명단!$H3234)))</f>
        <v/>
      </c>
      <c r="F3235" s="11" t="str">
        <f aca="false">IF($A3235="","",IF(원본명단!$I3234="",0,COUNTIF(원본명단!$I$3:$I$6002,원본명단!$I3234)))</f>
        <v/>
      </c>
      <c r="G3235" s="11" t="str">
        <f aca="false">IF($A3235="","",IF(원본명단!$K3234="",0,COUNTIF(원본명단!$K$3:$K$6002,원본명단!$K3234)))</f>
        <v/>
      </c>
      <c r="H3235" s="11" t="str">
        <f aca="false">IF($A3235="","",IF(MAX($E3235,$F3235,$G3235)&gt;1,"중복","-"))</f>
        <v/>
      </c>
      <c r="I3235" s="11" t="str">
        <f aca="false">IF($A3235="","",IF($H3235="-","-",IF(AND(IF(원본명단!$H3234="",TRUE(),COUNTIF(원본명단!$H$3:$H3234,원본명단!$H3234)=1),IF(원본명단!$I3234="",TRUE(),COUNTIF(원본명단!$I$3:$I3234,원본명단!$I3234)=1),IF(원본명단!$K3234="",TRUE(),COUNTIF(원본명단!$K$3:$K3234,원본명단!$K3234)=1)),"첫 건","중복 건")))</f>
        <v/>
      </c>
      <c r="J3235" s="11" t="str">
        <f aca="false">IF($A3235="","",IF($H3235="-","유지",IF($I3235="첫 건","유지","확인 필요")))</f>
        <v/>
      </c>
    </row>
    <row r="3236" customFormat="false" ht="15" hidden="false" customHeight="true" outlineLevel="0" collapsed="false">
      <c r="A3236" s="11" t="str">
        <f aca="false">IF(원본명단!$A3235="","",3233)</f>
        <v/>
      </c>
      <c r="B3236" s="12" t="str">
        <f aca="false">IF($A3236="","",원본명단!$A3235)</f>
        <v/>
      </c>
      <c r="C3236" s="12" t="str">
        <f aca="false">IF($A3236="","",원본명단!$B3235)</f>
        <v/>
      </c>
      <c r="D3236" s="12" t="str">
        <f aca="false">IF($A3236="","",원본명단!$D3235)</f>
        <v/>
      </c>
      <c r="E3236" s="11" t="str">
        <f aca="false">IF($A3236="","",IF(원본명단!$H3235="",0,COUNTIF(원본명단!$H$3:$H$6002,원본명단!$H3235)))</f>
        <v/>
      </c>
      <c r="F3236" s="11" t="str">
        <f aca="false">IF($A3236="","",IF(원본명단!$I3235="",0,COUNTIF(원본명단!$I$3:$I$6002,원본명단!$I3235)))</f>
        <v/>
      </c>
      <c r="G3236" s="11" t="str">
        <f aca="false">IF($A3236="","",IF(원본명단!$K3235="",0,COUNTIF(원본명단!$K$3:$K$6002,원본명단!$K3235)))</f>
        <v/>
      </c>
      <c r="H3236" s="11" t="str">
        <f aca="false">IF($A3236="","",IF(MAX($E3236,$F3236,$G3236)&gt;1,"중복","-"))</f>
        <v/>
      </c>
      <c r="I3236" s="11" t="str">
        <f aca="false">IF($A3236="","",IF($H3236="-","-",IF(AND(IF(원본명단!$H3235="",TRUE(),COUNTIF(원본명단!$H$3:$H3235,원본명단!$H3235)=1),IF(원본명단!$I3235="",TRUE(),COUNTIF(원본명단!$I$3:$I3235,원본명단!$I3235)=1),IF(원본명단!$K3235="",TRUE(),COUNTIF(원본명단!$K$3:$K3235,원본명단!$K3235)=1)),"첫 건","중복 건")))</f>
        <v/>
      </c>
      <c r="J3236" s="11" t="str">
        <f aca="false">IF($A3236="","",IF($H3236="-","유지",IF($I3236="첫 건","유지","확인 필요")))</f>
        <v/>
      </c>
    </row>
    <row r="3237" customFormat="false" ht="15" hidden="false" customHeight="true" outlineLevel="0" collapsed="false">
      <c r="A3237" s="11" t="str">
        <f aca="false">IF(원본명단!$A3236="","",3234)</f>
        <v/>
      </c>
      <c r="B3237" s="12" t="str">
        <f aca="false">IF($A3237="","",원본명단!$A3236)</f>
        <v/>
      </c>
      <c r="C3237" s="12" t="str">
        <f aca="false">IF($A3237="","",원본명단!$B3236)</f>
        <v/>
      </c>
      <c r="D3237" s="12" t="str">
        <f aca="false">IF($A3237="","",원본명단!$D3236)</f>
        <v/>
      </c>
      <c r="E3237" s="11" t="str">
        <f aca="false">IF($A3237="","",IF(원본명단!$H3236="",0,COUNTIF(원본명단!$H$3:$H$6002,원본명단!$H3236)))</f>
        <v/>
      </c>
      <c r="F3237" s="11" t="str">
        <f aca="false">IF($A3237="","",IF(원본명단!$I3236="",0,COUNTIF(원본명단!$I$3:$I$6002,원본명단!$I3236)))</f>
        <v/>
      </c>
      <c r="G3237" s="11" t="str">
        <f aca="false">IF($A3237="","",IF(원본명단!$K3236="",0,COUNTIF(원본명단!$K$3:$K$6002,원본명단!$K3236)))</f>
        <v/>
      </c>
      <c r="H3237" s="11" t="str">
        <f aca="false">IF($A3237="","",IF(MAX($E3237,$F3237,$G3237)&gt;1,"중복","-"))</f>
        <v/>
      </c>
      <c r="I3237" s="11" t="str">
        <f aca="false">IF($A3237="","",IF($H3237="-","-",IF(AND(IF(원본명단!$H3236="",TRUE(),COUNTIF(원본명단!$H$3:$H3236,원본명단!$H3236)=1),IF(원본명단!$I3236="",TRUE(),COUNTIF(원본명단!$I$3:$I3236,원본명단!$I3236)=1),IF(원본명단!$K3236="",TRUE(),COUNTIF(원본명단!$K$3:$K3236,원본명단!$K3236)=1)),"첫 건","중복 건")))</f>
        <v/>
      </c>
      <c r="J3237" s="11" t="str">
        <f aca="false">IF($A3237="","",IF($H3237="-","유지",IF($I3237="첫 건","유지","확인 필요")))</f>
        <v/>
      </c>
    </row>
    <row r="3238" customFormat="false" ht="15" hidden="false" customHeight="true" outlineLevel="0" collapsed="false">
      <c r="A3238" s="11" t="str">
        <f aca="false">IF(원본명단!$A3237="","",3235)</f>
        <v/>
      </c>
      <c r="B3238" s="12" t="str">
        <f aca="false">IF($A3238="","",원본명단!$A3237)</f>
        <v/>
      </c>
      <c r="C3238" s="12" t="str">
        <f aca="false">IF($A3238="","",원본명단!$B3237)</f>
        <v/>
      </c>
      <c r="D3238" s="12" t="str">
        <f aca="false">IF($A3238="","",원본명단!$D3237)</f>
        <v/>
      </c>
      <c r="E3238" s="11" t="str">
        <f aca="false">IF($A3238="","",IF(원본명단!$H3237="",0,COUNTIF(원본명단!$H$3:$H$6002,원본명단!$H3237)))</f>
        <v/>
      </c>
      <c r="F3238" s="11" t="str">
        <f aca="false">IF($A3238="","",IF(원본명단!$I3237="",0,COUNTIF(원본명단!$I$3:$I$6002,원본명단!$I3237)))</f>
        <v/>
      </c>
      <c r="G3238" s="11" t="str">
        <f aca="false">IF($A3238="","",IF(원본명단!$K3237="",0,COUNTIF(원본명단!$K$3:$K$6002,원본명단!$K3237)))</f>
        <v/>
      </c>
      <c r="H3238" s="11" t="str">
        <f aca="false">IF($A3238="","",IF(MAX($E3238,$F3238,$G3238)&gt;1,"중복","-"))</f>
        <v/>
      </c>
      <c r="I3238" s="11" t="str">
        <f aca="false">IF($A3238="","",IF($H3238="-","-",IF(AND(IF(원본명단!$H3237="",TRUE(),COUNTIF(원본명단!$H$3:$H3237,원본명단!$H3237)=1),IF(원본명단!$I3237="",TRUE(),COUNTIF(원본명단!$I$3:$I3237,원본명단!$I3237)=1),IF(원본명단!$K3237="",TRUE(),COUNTIF(원본명단!$K$3:$K3237,원본명단!$K3237)=1)),"첫 건","중복 건")))</f>
        <v/>
      </c>
      <c r="J3238" s="11" t="str">
        <f aca="false">IF($A3238="","",IF($H3238="-","유지",IF($I3238="첫 건","유지","확인 필요")))</f>
        <v/>
      </c>
    </row>
    <row r="3239" customFormat="false" ht="15" hidden="false" customHeight="true" outlineLevel="0" collapsed="false">
      <c r="A3239" s="11" t="str">
        <f aca="false">IF(원본명단!$A3238="","",3236)</f>
        <v/>
      </c>
      <c r="B3239" s="12" t="str">
        <f aca="false">IF($A3239="","",원본명단!$A3238)</f>
        <v/>
      </c>
      <c r="C3239" s="12" t="str">
        <f aca="false">IF($A3239="","",원본명단!$B3238)</f>
        <v/>
      </c>
      <c r="D3239" s="12" t="str">
        <f aca="false">IF($A3239="","",원본명단!$D3238)</f>
        <v/>
      </c>
      <c r="E3239" s="11" t="str">
        <f aca="false">IF($A3239="","",IF(원본명단!$H3238="",0,COUNTIF(원본명단!$H$3:$H$6002,원본명단!$H3238)))</f>
        <v/>
      </c>
      <c r="F3239" s="11" t="str">
        <f aca="false">IF($A3239="","",IF(원본명단!$I3238="",0,COUNTIF(원본명단!$I$3:$I$6002,원본명단!$I3238)))</f>
        <v/>
      </c>
      <c r="G3239" s="11" t="str">
        <f aca="false">IF($A3239="","",IF(원본명단!$K3238="",0,COUNTIF(원본명단!$K$3:$K$6002,원본명단!$K3238)))</f>
        <v/>
      </c>
      <c r="H3239" s="11" t="str">
        <f aca="false">IF($A3239="","",IF(MAX($E3239,$F3239,$G3239)&gt;1,"중복","-"))</f>
        <v/>
      </c>
      <c r="I3239" s="11" t="str">
        <f aca="false">IF($A3239="","",IF($H3239="-","-",IF(AND(IF(원본명단!$H3238="",TRUE(),COUNTIF(원본명단!$H$3:$H3238,원본명단!$H3238)=1),IF(원본명단!$I3238="",TRUE(),COUNTIF(원본명단!$I$3:$I3238,원본명단!$I3238)=1),IF(원본명단!$K3238="",TRUE(),COUNTIF(원본명단!$K$3:$K3238,원본명단!$K3238)=1)),"첫 건","중복 건")))</f>
        <v/>
      </c>
      <c r="J3239" s="11" t="str">
        <f aca="false">IF($A3239="","",IF($H3239="-","유지",IF($I3239="첫 건","유지","확인 필요")))</f>
        <v/>
      </c>
    </row>
    <row r="3240" customFormat="false" ht="15" hidden="false" customHeight="true" outlineLevel="0" collapsed="false">
      <c r="A3240" s="11" t="str">
        <f aca="false">IF(원본명단!$A3239="","",3237)</f>
        <v/>
      </c>
      <c r="B3240" s="12" t="str">
        <f aca="false">IF($A3240="","",원본명단!$A3239)</f>
        <v/>
      </c>
      <c r="C3240" s="12" t="str">
        <f aca="false">IF($A3240="","",원본명단!$B3239)</f>
        <v/>
      </c>
      <c r="D3240" s="12" t="str">
        <f aca="false">IF($A3240="","",원본명단!$D3239)</f>
        <v/>
      </c>
      <c r="E3240" s="11" t="str">
        <f aca="false">IF($A3240="","",IF(원본명단!$H3239="",0,COUNTIF(원본명단!$H$3:$H$6002,원본명단!$H3239)))</f>
        <v/>
      </c>
      <c r="F3240" s="11" t="str">
        <f aca="false">IF($A3240="","",IF(원본명단!$I3239="",0,COUNTIF(원본명단!$I$3:$I$6002,원본명단!$I3239)))</f>
        <v/>
      </c>
      <c r="G3240" s="11" t="str">
        <f aca="false">IF($A3240="","",IF(원본명단!$K3239="",0,COUNTIF(원본명단!$K$3:$K$6002,원본명단!$K3239)))</f>
        <v/>
      </c>
      <c r="H3240" s="11" t="str">
        <f aca="false">IF($A3240="","",IF(MAX($E3240,$F3240,$G3240)&gt;1,"중복","-"))</f>
        <v/>
      </c>
      <c r="I3240" s="11" t="str">
        <f aca="false">IF($A3240="","",IF($H3240="-","-",IF(AND(IF(원본명단!$H3239="",TRUE(),COUNTIF(원본명단!$H$3:$H3239,원본명단!$H3239)=1),IF(원본명단!$I3239="",TRUE(),COUNTIF(원본명단!$I$3:$I3239,원본명단!$I3239)=1),IF(원본명단!$K3239="",TRUE(),COUNTIF(원본명단!$K$3:$K3239,원본명단!$K3239)=1)),"첫 건","중복 건")))</f>
        <v/>
      </c>
      <c r="J3240" s="11" t="str">
        <f aca="false">IF($A3240="","",IF($H3240="-","유지",IF($I3240="첫 건","유지","확인 필요")))</f>
        <v/>
      </c>
    </row>
    <row r="3241" customFormat="false" ht="15" hidden="false" customHeight="true" outlineLevel="0" collapsed="false">
      <c r="A3241" s="11" t="str">
        <f aca="false">IF(원본명단!$A3240="","",3238)</f>
        <v/>
      </c>
      <c r="B3241" s="12" t="str">
        <f aca="false">IF($A3241="","",원본명단!$A3240)</f>
        <v/>
      </c>
      <c r="C3241" s="12" t="str">
        <f aca="false">IF($A3241="","",원본명단!$B3240)</f>
        <v/>
      </c>
      <c r="D3241" s="12" t="str">
        <f aca="false">IF($A3241="","",원본명단!$D3240)</f>
        <v/>
      </c>
      <c r="E3241" s="11" t="str">
        <f aca="false">IF($A3241="","",IF(원본명단!$H3240="",0,COUNTIF(원본명단!$H$3:$H$6002,원본명단!$H3240)))</f>
        <v/>
      </c>
      <c r="F3241" s="11" t="str">
        <f aca="false">IF($A3241="","",IF(원본명단!$I3240="",0,COUNTIF(원본명단!$I$3:$I$6002,원본명단!$I3240)))</f>
        <v/>
      </c>
      <c r="G3241" s="11" t="str">
        <f aca="false">IF($A3241="","",IF(원본명단!$K3240="",0,COUNTIF(원본명단!$K$3:$K$6002,원본명단!$K3240)))</f>
        <v/>
      </c>
      <c r="H3241" s="11" t="str">
        <f aca="false">IF($A3241="","",IF(MAX($E3241,$F3241,$G3241)&gt;1,"중복","-"))</f>
        <v/>
      </c>
      <c r="I3241" s="11" t="str">
        <f aca="false">IF($A3241="","",IF($H3241="-","-",IF(AND(IF(원본명단!$H3240="",TRUE(),COUNTIF(원본명단!$H$3:$H3240,원본명단!$H3240)=1),IF(원본명단!$I3240="",TRUE(),COUNTIF(원본명단!$I$3:$I3240,원본명단!$I3240)=1),IF(원본명단!$K3240="",TRUE(),COUNTIF(원본명단!$K$3:$K3240,원본명단!$K3240)=1)),"첫 건","중복 건")))</f>
        <v/>
      </c>
      <c r="J3241" s="11" t="str">
        <f aca="false">IF($A3241="","",IF($H3241="-","유지",IF($I3241="첫 건","유지","확인 필요")))</f>
        <v/>
      </c>
    </row>
    <row r="3242" customFormat="false" ht="15" hidden="false" customHeight="true" outlineLevel="0" collapsed="false">
      <c r="A3242" s="11" t="str">
        <f aca="false">IF(원본명단!$A3241="","",3239)</f>
        <v/>
      </c>
      <c r="B3242" s="12" t="str">
        <f aca="false">IF($A3242="","",원본명단!$A3241)</f>
        <v/>
      </c>
      <c r="C3242" s="12" t="str">
        <f aca="false">IF($A3242="","",원본명단!$B3241)</f>
        <v/>
      </c>
      <c r="D3242" s="12" t="str">
        <f aca="false">IF($A3242="","",원본명단!$D3241)</f>
        <v/>
      </c>
      <c r="E3242" s="11" t="str">
        <f aca="false">IF($A3242="","",IF(원본명단!$H3241="",0,COUNTIF(원본명단!$H$3:$H$6002,원본명단!$H3241)))</f>
        <v/>
      </c>
      <c r="F3242" s="11" t="str">
        <f aca="false">IF($A3242="","",IF(원본명단!$I3241="",0,COUNTIF(원본명단!$I$3:$I$6002,원본명단!$I3241)))</f>
        <v/>
      </c>
      <c r="G3242" s="11" t="str">
        <f aca="false">IF($A3242="","",IF(원본명단!$K3241="",0,COUNTIF(원본명단!$K$3:$K$6002,원본명단!$K3241)))</f>
        <v/>
      </c>
      <c r="H3242" s="11" t="str">
        <f aca="false">IF($A3242="","",IF(MAX($E3242,$F3242,$G3242)&gt;1,"중복","-"))</f>
        <v/>
      </c>
      <c r="I3242" s="11" t="str">
        <f aca="false">IF($A3242="","",IF($H3242="-","-",IF(AND(IF(원본명단!$H3241="",TRUE(),COUNTIF(원본명단!$H$3:$H3241,원본명단!$H3241)=1),IF(원본명단!$I3241="",TRUE(),COUNTIF(원본명단!$I$3:$I3241,원본명단!$I3241)=1),IF(원본명단!$K3241="",TRUE(),COUNTIF(원본명단!$K$3:$K3241,원본명단!$K3241)=1)),"첫 건","중복 건")))</f>
        <v/>
      </c>
      <c r="J3242" s="11" t="str">
        <f aca="false">IF($A3242="","",IF($H3242="-","유지",IF($I3242="첫 건","유지","확인 필요")))</f>
        <v/>
      </c>
    </row>
    <row r="3243" customFormat="false" ht="15" hidden="false" customHeight="true" outlineLevel="0" collapsed="false">
      <c r="A3243" s="11" t="str">
        <f aca="false">IF(원본명단!$A3242="","",3240)</f>
        <v/>
      </c>
      <c r="B3243" s="12" t="str">
        <f aca="false">IF($A3243="","",원본명단!$A3242)</f>
        <v/>
      </c>
      <c r="C3243" s="12" t="str">
        <f aca="false">IF($A3243="","",원본명단!$B3242)</f>
        <v/>
      </c>
      <c r="D3243" s="12" t="str">
        <f aca="false">IF($A3243="","",원본명단!$D3242)</f>
        <v/>
      </c>
      <c r="E3243" s="11" t="str">
        <f aca="false">IF($A3243="","",IF(원본명단!$H3242="",0,COUNTIF(원본명단!$H$3:$H$6002,원본명단!$H3242)))</f>
        <v/>
      </c>
      <c r="F3243" s="11" t="str">
        <f aca="false">IF($A3243="","",IF(원본명단!$I3242="",0,COUNTIF(원본명단!$I$3:$I$6002,원본명단!$I3242)))</f>
        <v/>
      </c>
      <c r="G3243" s="11" t="str">
        <f aca="false">IF($A3243="","",IF(원본명단!$K3242="",0,COUNTIF(원본명단!$K$3:$K$6002,원본명단!$K3242)))</f>
        <v/>
      </c>
      <c r="H3243" s="11" t="str">
        <f aca="false">IF($A3243="","",IF(MAX($E3243,$F3243,$G3243)&gt;1,"중복","-"))</f>
        <v/>
      </c>
      <c r="I3243" s="11" t="str">
        <f aca="false">IF($A3243="","",IF($H3243="-","-",IF(AND(IF(원본명단!$H3242="",TRUE(),COUNTIF(원본명단!$H$3:$H3242,원본명단!$H3242)=1),IF(원본명단!$I3242="",TRUE(),COUNTIF(원본명단!$I$3:$I3242,원본명단!$I3242)=1),IF(원본명단!$K3242="",TRUE(),COUNTIF(원본명단!$K$3:$K3242,원본명단!$K3242)=1)),"첫 건","중복 건")))</f>
        <v/>
      </c>
      <c r="J3243" s="11" t="str">
        <f aca="false">IF($A3243="","",IF($H3243="-","유지",IF($I3243="첫 건","유지","확인 필요")))</f>
        <v/>
      </c>
    </row>
    <row r="3244" customFormat="false" ht="15" hidden="false" customHeight="true" outlineLevel="0" collapsed="false">
      <c r="A3244" s="11" t="str">
        <f aca="false">IF(원본명단!$A3243="","",3241)</f>
        <v/>
      </c>
      <c r="B3244" s="12" t="str">
        <f aca="false">IF($A3244="","",원본명단!$A3243)</f>
        <v/>
      </c>
      <c r="C3244" s="12" t="str">
        <f aca="false">IF($A3244="","",원본명단!$B3243)</f>
        <v/>
      </c>
      <c r="D3244" s="12" t="str">
        <f aca="false">IF($A3244="","",원본명단!$D3243)</f>
        <v/>
      </c>
      <c r="E3244" s="11" t="str">
        <f aca="false">IF($A3244="","",IF(원본명단!$H3243="",0,COUNTIF(원본명단!$H$3:$H$6002,원본명단!$H3243)))</f>
        <v/>
      </c>
      <c r="F3244" s="11" t="str">
        <f aca="false">IF($A3244="","",IF(원본명단!$I3243="",0,COUNTIF(원본명단!$I$3:$I$6002,원본명단!$I3243)))</f>
        <v/>
      </c>
      <c r="G3244" s="11" t="str">
        <f aca="false">IF($A3244="","",IF(원본명단!$K3243="",0,COUNTIF(원본명단!$K$3:$K$6002,원본명단!$K3243)))</f>
        <v/>
      </c>
      <c r="H3244" s="11" t="str">
        <f aca="false">IF($A3244="","",IF(MAX($E3244,$F3244,$G3244)&gt;1,"중복","-"))</f>
        <v/>
      </c>
      <c r="I3244" s="11" t="str">
        <f aca="false">IF($A3244="","",IF($H3244="-","-",IF(AND(IF(원본명단!$H3243="",TRUE(),COUNTIF(원본명단!$H$3:$H3243,원본명단!$H3243)=1),IF(원본명단!$I3243="",TRUE(),COUNTIF(원본명단!$I$3:$I3243,원본명단!$I3243)=1),IF(원본명단!$K3243="",TRUE(),COUNTIF(원본명단!$K$3:$K3243,원본명단!$K3243)=1)),"첫 건","중복 건")))</f>
        <v/>
      </c>
      <c r="J3244" s="11" t="str">
        <f aca="false">IF($A3244="","",IF($H3244="-","유지",IF($I3244="첫 건","유지","확인 필요")))</f>
        <v/>
      </c>
    </row>
    <row r="3245" customFormat="false" ht="15" hidden="false" customHeight="true" outlineLevel="0" collapsed="false">
      <c r="A3245" s="11" t="str">
        <f aca="false">IF(원본명단!$A3244="","",3242)</f>
        <v/>
      </c>
      <c r="B3245" s="12" t="str">
        <f aca="false">IF($A3245="","",원본명단!$A3244)</f>
        <v/>
      </c>
      <c r="C3245" s="12" t="str">
        <f aca="false">IF($A3245="","",원본명단!$B3244)</f>
        <v/>
      </c>
      <c r="D3245" s="12" t="str">
        <f aca="false">IF($A3245="","",원본명단!$D3244)</f>
        <v/>
      </c>
      <c r="E3245" s="11" t="str">
        <f aca="false">IF($A3245="","",IF(원본명단!$H3244="",0,COUNTIF(원본명단!$H$3:$H$6002,원본명단!$H3244)))</f>
        <v/>
      </c>
      <c r="F3245" s="11" t="str">
        <f aca="false">IF($A3245="","",IF(원본명단!$I3244="",0,COUNTIF(원본명단!$I$3:$I$6002,원본명단!$I3244)))</f>
        <v/>
      </c>
      <c r="G3245" s="11" t="str">
        <f aca="false">IF($A3245="","",IF(원본명단!$K3244="",0,COUNTIF(원본명단!$K$3:$K$6002,원본명단!$K3244)))</f>
        <v/>
      </c>
      <c r="H3245" s="11" t="str">
        <f aca="false">IF($A3245="","",IF(MAX($E3245,$F3245,$G3245)&gt;1,"중복","-"))</f>
        <v/>
      </c>
      <c r="I3245" s="11" t="str">
        <f aca="false">IF($A3245="","",IF($H3245="-","-",IF(AND(IF(원본명단!$H3244="",TRUE(),COUNTIF(원본명단!$H$3:$H3244,원본명단!$H3244)=1),IF(원본명단!$I3244="",TRUE(),COUNTIF(원본명단!$I$3:$I3244,원본명단!$I3244)=1),IF(원본명단!$K3244="",TRUE(),COUNTIF(원본명단!$K$3:$K3244,원본명단!$K3244)=1)),"첫 건","중복 건")))</f>
        <v/>
      </c>
      <c r="J3245" s="11" t="str">
        <f aca="false">IF($A3245="","",IF($H3245="-","유지",IF($I3245="첫 건","유지","확인 필요")))</f>
        <v/>
      </c>
    </row>
    <row r="3246" customFormat="false" ht="15" hidden="false" customHeight="true" outlineLevel="0" collapsed="false">
      <c r="A3246" s="11" t="str">
        <f aca="false">IF(원본명단!$A3245="","",3243)</f>
        <v/>
      </c>
      <c r="B3246" s="12" t="str">
        <f aca="false">IF($A3246="","",원본명단!$A3245)</f>
        <v/>
      </c>
      <c r="C3246" s="12" t="str">
        <f aca="false">IF($A3246="","",원본명단!$B3245)</f>
        <v/>
      </c>
      <c r="D3246" s="12" t="str">
        <f aca="false">IF($A3246="","",원본명단!$D3245)</f>
        <v/>
      </c>
      <c r="E3246" s="11" t="str">
        <f aca="false">IF($A3246="","",IF(원본명단!$H3245="",0,COUNTIF(원본명단!$H$3:$H$6002,원본명단!$H3245)))</f>
        <v/>
      </c>
      <c r="F3246" s="11" t="str">
        <f aca="false">IF($A3246="","",IF(원본명단!$I3245="",0,COUNTIF(원본명단!$I$3:$I$6002,원본명단!$I3245)))</f>
        <v/>
      </c>
      <c r="G3246" s="11" t="str">
        <f aca="false">IF($A3246="","",IF(원본명단!$K3245="",0,COUNTIF(원본명단!$K$3:$K$6002,원본명단!$K3245)))</f>
        <v/>
      </c>
      <c r="H3246" s="11" t="str">
        <f aca="false">IF($A3246="","",IF(MAX($E3246,$F3246,$G3246)&gt;1,"중복","-"))</f>
        <v/>
      </c>
      <c r="I3246" s="11" t="str">
        <f aca="false">IF($A3246="","",IF($H3246="-","-",IF(AND(IF(원본명단!$H3245="",TRUE(),COUNTIF(원본명단!$H$3:$H3245,원본명단!$H3245)=1),IF(원본명단!$I3245="",TRUE(),COUNTIF(원본명단!$I$3:$I3245,원본명단!$I3245)=1),IF(원본명단!$K3245="",TRUE(),COUNTIF(원본명단!$K$3:$K3245,원본명단!$K3245)=1)),"첫 건","중복 건")))</f>
        <v/>
      </c>
      <c r="J3246" s="11" t="str">
        <f aca="false">IF($A3246="","",IF($H3246="-","유지",IF($I3246="첫 건","유지","확인 필요")))</f>
        <v/>
      </c>
    </row>
    <row r="3247" customFormat="false" ht="15" hidden="false" customHeight="true" outlineLevel="0" collapsed="false">
      <c r="A3247" s="11" t="str">
        <f aca="false">IF(원본명단!$A3246="","",3244)</f>
        <v/>
      </c>
      <c r="B3247" s="12" t="str">
        <f aca="false">IF($A3247="","",원본명단!$A3246)</f>
        <v/>
      </c>
      <c r="C3247" s="12" t="str">
        <f aca="false">IF($A3247="","",원본명단!$B3246)</f>
        <v/>
      </c>
      <c r="D3247" s="12" t="str">
        <f aca="false">IF($A3247="","",원본명단!$D3246)</f>
        <v/>
      </c>
      <c r="E3247" s="11" t="str">
        <f aca="false">IF($A3247="","",IF(원본명단!$H3246="",0,COUNTIF(원본명단!$H$3:$H$6002,원본명단!$H3246)))</f>
        <v/>
      </c>
      <c r="F3247" s="11" t="str">
        <f aca="false">IF($A3247="","",IF(원본명단!$I3246="",0,COUNTIF(원본명단!$I$3:$I$6002,원본명단!$I3246)))</f>
        <v/>
      </c>
      <c r="G3247" s="11" t="str">
        <f aca="false">IF($A3247="","",IF(원본명단!$K3246="",0,COUNTIF(원본명단!$K$3:$K$6002,원본명단!$K3246)))</f>
        <v/>
      </c>
      <c r="H3247" s="11" t="str">
        <f aca="false">IF($A3247="","",IF(MAX($E3247,$F3247,$G3247)&gt;1,"중복","-"))</f>
        <v/>
      </c>
      <c r="I3247" s="11" t="str">
        <f aca="false">IF($A3247="","",IF($H3247="-","-",IF(AND(IF(원본명단!$H3246="",TRUE(),COUNTIF(원본명단!$H$3:$H3246,원본명단!$H3246)=1),IF(원본명단!$I3246="",TRUE(),COUNTIF(원본명단!$I$3:$I3246,원본명단!$I3246)=1),IF(원본명단!$K3246="",TRUE(),COUNTIF(원본명단!$K$3:$K3246,원본명단!$K3246)=1)),"첫 건","중복 건")))</f>
        <v/>
      </c>
      <c r="J3247" s="11" t="str">
        <f aca="false">IF($A3247="","",IF($H3247="-","유지",IF($I3247="첫 건","유지","확인 필요")))</f>
        <v/>
      </c>
    </row>
    <row r="3248" customFormat="false" ht="15" hidden="false" customHeight="true" outlineLevel="0" collapsed="false">
      <c r="A3248" s="11" t="str">
        <f aca="false">IF(원본명단!$A3247="","",3245)</f>
        <v/>
      </c>
      <c r="B3248" s="12" t="str">
        <f aca="false">IF($A3248="","",원본명단!$A3247)</f>
        <v/>
      </c>
      <c r="C3248" s="12" t="str">
        <f aca="false">IF($A3248="","",원본명단!$B3247)</f>
        <v/>
      </c>
      <c r="D3248" s="12" t="str">
        <f aca="false">IF($A3248="","",원본명단!$D3247)</f>
        <v/>
      </c>
      <c r="E3248" s="11" t="str">
        <f aca="false">IF($A3248="","",IF(원본명단!$H3247="",0,COUNTIF(원본명단!$H$3:$H$6002,원본명단!$H3247)))</f>
        <v/>
      </c>
      <c r="F3248" s="11" t="str">
        <f aca="false">IF($A3248="","",IF(원본명단!$I3247="",0,COUNTIF(원본명단!$I$3:$I$6002,원본명단!$I3247)))</f>
        <v/>
      </c>
      <c r="G3248" s="11" t="str">
        <f aca="false">IF($A3248="","",IF(원본명단!$K3247="",0,COUNTIF(원본명단!$K$3:$K$6002,원본명단!$K3247)))</f>
        <v/>
      </c>
      <c r="H3248" s="11" t="str">
        <f aca="false">IF($A3248="","",IF(MAX($E3248,$F3248,$G3248)&gt;1,"중복","-"))</f>
        <v/>
      </c>
      <c r="I3248" s="11" t="str">
        <f aca="false">IF($A3248="","",IF($H3248="-","-",IF(AND(IF(원본명단!$H3247="",TRUE(),COUNTIF(원본명단!$H$3:$H3247,원본명단!$H3247)=1),IF(원본명단!$I3247="",TRUE(),COUNTIF(원본명단!$I$3:$I3247,원본명단!$I3247)=1),IF(원본명단!$K3247="",TRUE(),COUNTIF(원본명단!$K$3:$K3247,원본명단!$K3247)=1)),"첫 건","중복 건")))</f>
        <v/>
      </c>
      <c r="J3248" s="11" t="str">
        <f aca="false">IF($A3248="","",IF($H3248="-","유지",IF($I3248="첫 건","유지","확인 필요")))</f>
        <v/>
      </c>
    </row>
    <row r="3249" customFormat="false" ht="15" hidden="false" customHeight="true" outlineLevel="0" collapsed="false">
      <c r="A3249" s="11" t="str">
        <f aca="false">IF(원본명단!$A3248="","",3246)</f>
        <v/>
      </c>
      <c r="B3249" s="12" t="str">
        <f aca="false">IF($A3249="","",원본명단!$A3248)</f>
        <v/>
      </c>
      <c r="C3249" s="12" t="str">
        <f aca="false">IF($A3249="","",원본명단!$B3248)</f>
        <v/>
      </c>
      <c r="D3249" s="12" t="str">
        <f aca="false">IF($A3249="","",원본명단!$D3248)</f>
        <v/>
      </c>
      <c r="E3249" s="11" t="str">
        <f aca="false">IF($A3249="","",IF(원본명단!$H3248="",0,COUNTIF(원본명단!$H$3:$H$6002,원본명단!$H3248)))</f>
        <v/>
      </c>
      <c r="F3249" s="11" t="str">
        <f aca="false">IF($A3249="","",IF(원본명단!$I3248="",0,COUNTIF(원본명단!$I$3:$I$6002,원본명단!$I3248)))</f>
        <v/>
      </c>
      <c r="G3249" s="11" t="str">
        <f aca="false">IF($A3249="","",IF(원본명단!$K3248="",0,COUNTIF(원본명단!$K$3:$K$6002,원본명단!$K3248)))</f>
        <v/>
      </c>
      <c r="H3249" s="11" t="str">
        <f aca="false">IF($A3249="","",IF(MAX($E3249,$F3249,$G3249)&gt;1,"중복","-"))</f>
        <v/>
      </c>
      <c r="I3249" s="11" t="str">
        <f aca="false">IF($A3249="","",IF($H3249="-","-",IF(AND(IF(원본명단!$H3248="",TRUE(),COUNTIF(원본명단!$H$3:$H3248,원본명단!$H3248)=1),IF(원본명단!$I3248="",TRUE(),COUNTIF(원본명단!$I$3:$I3248,원본명단!$I3248)=1),IF(원본명단!$K3248="",TRUE(),COUNTIF(원본명단!$K$3:$K3248,원본명단!$K3248)=1)),"첫 건","중복 건")))</f>
        <v/>
      </c>
      <c r="J3249" s="11" t="str">
        <f aca="false">IF($A3249="","",IF($H3249="-","유지",IF($I3249="첫 건","유지","확인 필요")))</f>
        <v/>
      </c>
    </row>
    <row r="3250" customFormat="false" ht="15" hidden="false" customHeight="true" outlineLevel="0" collapsed="false">
      <c r="A3250" s="11" t="str">
        <f aca="false">IF(원본명단!$A3249="","",3247)</f>
        <v/>
      </c>
      <c r="B3250" s="12" t="str">
        <f aca="false">IF($A3250="","",원본명단!$A3249)</f>
        <v/>
      </c>
      <c r="C3250" s="12" t="str">
        <f aca="false">IF($A3250="","",원본명단!$B3249)</f>
        <v/>
      </c>
      <c r="D3250" s="12" t="str">
        <f aca="false">IF($A3250="","",원본명단!$D3249)</f>
        <v/>
      </c>
      <c r="E3250" s="11" t="str">
        <f aca="false">IF($A3250="","",IF(원본명단!$H3249="",0,COUNTIF(원본명단!$H$3:$H$6002,원본명단!$H3249)))</f>
        <v/>
      </c>
      <c r="F3250" s="11" t="str">
        <f aca="false">IF($A3250="","",IF(원본명단!$I3249="",0,COUNTIF(원본명단!$I$3:$I$6002,원본명단!$I3249)))</f>
        <v/>
      </c>
      <c r="G3250" s="11" t="str">
        <f aca="false">IF($A3250="","",IF(원본명단!$K3249="",0,COUNTIF(원본명단!$K$3:$K$6002,원본명단!$K3249)))</f>
        <v/>
      </c>
      <c r="H3250" s="11" t="str">
        <f aca="false">IF($A3250="","",IF(MAX($E3250,$F3250,$G3250)&gt;1,"중복","-"))</f>
        <v/>
      </c>
      <c r="I3250" s="11" t="str">
        <f aca="false">IF($A3250="","",IF($H3250="-","-",IF(AND(IF(원본명단!$H3249="",TRUE(),COUNTIF(원본명단!$H$3:$H3249,원본명단!$H3249)=1),IF(원본명단!$I3249="",TRUE(),COUNTIF(원본명단!$I$3:$I3249,원본명단!$I3249)=1),IF(원본명단!$K3249="",TRUE(),COUNTIF(원본명단!$K$3:$K3249,원본명단!$K3249)=1)),"첫 건","중복 건")))</f>
        <v/>
      </c>
      <c r="J3250" s="11" t="str">
        <f aca="false">IF($A3250="","",IF($H3250="-","유지",IF($I3250="첫 건","유지","확인 필요")))</f>
        <v/>
      </c>
    </row>
    <row r="3251" customFormat="false" ht="15" hidden="false" customHeight="true" outlineLevel="0" collapsed="false">
      <c r="A3251" s="11" t="str">
        <f aca="false">IF(원본명단!$A3250="","",3248)</f>
        <v/>
      </c>
      <c r="B3251" s="12" t="str">
        <f aca="false">IF($A3251="","",원본명단!$A3250)</f>
        <v/>
      </c>
      <c r="C3251" s="12" t="str">
        <f aca="false">IF($A3251="","",원본명단!$B3250)</f>
        <v/>
      </c>
      <c r="D3251" s="12" t="str">
        <f aca="false">IF($A3251="","",원본명단!$D3250)</f>
        <v/>
      </c>
      <c r="E3251" s="11" t="str">
        <f aca="false">IF($A3251="","",IF(원본명단!$H3250="",0,COUNTIF(원본명단!$H$3:$H$6002,원본명단!$H3250)))</f>
        <v/>
      </c>
      <c r="F3251" s="11" t="str">
        <f aca="false">IF($A3251="","",IF(원본명단!$I3250="",0,COUNTIF(원본명단!$I$3:$I$6002,원본명단!$I3250)))</f>
        <v/>
      </c>
      <c r="G3251" s="11" t="str">
        <f aca="false">IF($A3251="","",IF(원본명단!$K3250="",0,COUNTIF(원본명단!$K$3:$K$6002,원본명단!$K3250)))</f>
        <v/>
      </c>
      <c r="H3251" s="11" t="str">
        <f aca="false">IF($A3251="","",IF(MAX($E3251,$F3251,$G3251)&gt;1,"중복","-"))</f>
        <v/>
      </c>
      <c r="I3251" s="11" t="str">
        <f aca="false">IF($A3251="","",IF($H3251="-","-",IF(AND(IF(원본명단!$H3250="",TRUE(),COUNTIF(원본명단!$H$3:$H3250,원본명단!$H3250)=1),IF(원본명단!$I3250="",TRUE(),COUNTIF(원본명단!$I$3:$I3250,원본명단!$I3250)=1),IF(원본명단!$K3250="",TRUE(),COUNTIF(원본명단!$K$3:$K3250,원본명단!$K3250)=1)),"첫 건","중복 건")))</f>
        <v/>
      </c>
      <c r="J3251" s="11" t="str">
        <f aca="false">IF($A3251="","",IF($H3251="-","유지",IF($I3251="첫 건","유지","확인 필요")))</f>
        <v/>
      </c>
    </row>
    <row r="3252" customFormat="false" ht="15" hidden="false" customHeight="true" outlineLevel="0" collapsed="false">
      <c r="A3252" s="11" t="str">
        <f aca="false">IF(원본명단!$A3251="","",3249)</f>
        <v/>
      </c>
      <c r="B3252" s="12" t="str">
        <f aca="false">IF($A3252="","",원본명단!$A3251)</f>
        <v/>
      </c>
      <c r="C3252" s="12" t="str">
        <f aca="false">IF($A3252="","",원본명단!$B3251)</f>
        <v/>
      </c>
      <c r="D3252" s="12" t="str">
        <f aca="false">IF($A3252="","",원본명단!$D3251)</f>
        <v/>
      </c>
      <c r="E3252" s="11" t="str">
        <f aca="false">IF($A3252="","",IF(원본명단!$H3251="",0,COUNTIF(원본명단!$H$3:$H$6002,원본명단!$H3251)))</f>
        <v/>
      </c>
      <c r="F3252" s="11" t="str">
        <f aca="false">IF($A3252="","",IF(원본명단!$I3251="",0,COUNTIF(원본명단!$I$3:$I$6002,원본명단!$I3251)))</f>
        <v/>
      </c>
      <c r="G3252" s="11" t="str">
        <f aca="false">IF($A3252="","",IF(원본명단!$K3251="",0,COUNTIF(원본명단!$K$3:$K$6002,원본명단!$K3251)))</f>
        <v/>
      </c>
      <c r="H3252" s="11" t="str">
        <f aca="false">IF($A3252="","",IF(MAX($E3252,$F3252,$G3252)&gt;1,"중복","-"))</f>
        <v/>
      </c>
      <c r="I3252" s="11" t="str">
        <f aca="false">IF($A3252="","",IF($H3252="-","-",IF(AND(IF(원본명단!$H3251="",TRUE(),COUNTIF(원본명단!$H$3:$H3251,원본명단!$H3251)=1),IF(원본명단!$I3251="",TRUE(),COUNTIF(원본명단!$I$3:$I3251,원본명단!$I3251)=1),IF(원본명단!$K3251="",TRUE(),COUNTIF(원본명단!$K$3:$K3251,원본명단!$K3251)=1)),"첫 건","중복 건")))</f>
        <v/>
      </c>
      <c r="J3252" s="11" t="str">
        <f aca="false">IF($A3252="","",IF($H3252="-","유지",IF($I3252="첫 건","유지","확인 필요")))</f>
        <v/>
      </c>
    </row>
    <row r="3253" customFormat="false" ht="15" hidden="false" customHeight="true" outlineLevel="0" collapsed="false">
      <c r="A3253" s="11" t="str">
        <f aca="false">IF(원본명단!$A3252="","",3250)</f>
        <v/>
      </c>
      <c r="B3253" s="12" t="str">
        <f aca="false">IF($A3253="","",원본명단!$A3252)</f>
        <v/>
      </c>
      <c r="C3253" s="12" t="str">
        <f aca="false">IF($A3253="","",원본명단!$B3252)</f>
        <v/>
      </c>
      <c r="D3253" s="12" t="str">
        <f aca="false">IF($A3253="","",원본명단!$D3252)</f>
        <v/>
      </c>
      <c r="E3253" s="11" t="str">
        <f aca="false">IF($A3253="","",IF(원본명단!$H3252="",0,COUNTIF(원본명단!$H$3:$H$6002,원본명단!$H3252)))</f>
        <v/>
      </c>
      <c r="F3253" s="11" t="str">
        <f aca="false">IF($A3253="","",IF(원본명단!$I3252="",0,COUNTIF(원본명단!$I$3:$I$6002,원본명단!$I3252)))</f>
        <v/>
      </c>
      <c r="G3253" s="11" t="str">
        <f aca="false">IF($A3253="","",IF(원본명단!$K3252="",0,COUNTIF(원본명단!$K$3:$K$6002,원본명단!$K3252)))</f>
        <v/>
      </c>
      <c r="H3253" s="11" t="str">
        <f aca="false">IF($A3253="","",IF(MAX($E3253,$F3253,$G3253)&gt;1,"중복","-"))</f>
        <v/>
      </c>
      <c r="I3253" s="11" t="str">
        <f aca="false">IF($A3253="","",IF($H3253="-","-",IF(AND(IF(원본명단!$H3252="",TRUE(),COUNTIF(원본명단!$H$3:$H3252,원본명단!$H3252)=1),IF(원본명단!$I3252="",TRUE(),COUNTIF(원본명단!$I$3:$I3252,원본명단!$I3252)=1),IF(원본명단!$K3252="",TRUE(),COUNTIF(원본명단!$K$3:$K3252,원본명단!$K3252)=1)),"첫 건","중복 건")))</f>
        <v/>
      </c>
      <c r="J3253" s="11" t="str">
        <f aca="false">IF($A3253="","",IF($H3253="-","유지",IF($I3253="첫 건","유지","확인 필요")))</f>
        <v/>
      </c>
    </row>
    <row r="3254" customFormat="false" ht="15" hidden="false" customHeight="true" outlineLevel="0" collapsed="false">
      <c r="A3254" s="11" t="str">
        <f aca="false">IF(원본명단!$A3253="","",3251)</f>
        <v/>
      </c>
      <c r="B3254" s="12" t="str">
        <f aca="false">IF($A3254="","",원본명단!$A3253)</f>
        <v/>
      </c>
      <c r="C3254" s="12" t="str">
        <f aca="false">IF($A3254="","",원본명단!$B3253)</f>
        <v/>
      </c>
      <c r="D3254" s="12" t="str">
        <f aca="false">IF($A3254="","",원본명단!$D3253)</f>
        <v/>
      </c>
      <c r="E3254" s="11" t="str">
        <f aca="false">IF($A3254="","",IF(원본명단!$H3253="",0,COUNTIF(원본명단!$H$3:$H$6002,원본명단!$H3253)))</f>
        <v/>
      </c>
      <c r="F3254" s="11" t="str">
        <f aca="false">IF($A3254="","",IF(원본명단!$I3253="",0,COUNTIF(원본명단!$I$3:$I$6002,원본명단!$I3253)))</f>
        <v/>
      </c>
      <c r="G3254" s="11" t="str">
        <f aca="false">IF($A3254="","",IF(원본명단!$K3253="",0,COUNTIF(원본명단!$K$3:$K$6002,원본명단!$K3253)))</f>
        <v/>
      </c>
      <c r="H3254" s="11" t="str">
        <f aca="false">IF($A3254="","",IF(MAX($E3254,$F3254,$G3254)&gt;1,"중복","-"))</f>
        <v/>
      </c>
      <c r="I3254" s="11" t="str">
        <f aca="false">IF($A3254="","",IF($H3254="-","-",IF(AND(IF(원본명단!$H3253="",TRUE(),COUNTIF(원본명단!$H$3:$H3253,원본명단!$H3253)=1),IF(원본명단!$I3253="",TRUE(),COUNTIF(원본명단!$I$3:$I3253,원본명단!$I3253)=1),IF(원본명단!$K3253="",TRUE(),COUNTIF(원본명단!$K$3:$K3253,원본명단!$K3253)=1)),"첫 건","중복 건")))</f>
        <v/>
      </c>
      <c r="J3254" s="11" t="str">
        <f aca="false">IF($A3254="","",IF($H3254="-","유지",IF($I3254="첫 건","유지","확인 필요")))</f>
        <v/>
      </c>
    </row>
    <row r="3255" customFormat="false" ht="15" hidden="false" customHeight="true" outlineLevel="0" collapsed="false">
      <c r="A3255" s="11" t="str">
        <f aca="false">IF(원본명단!$A3254="","",3252)</f>
        <v/>
      </c>
      <c r="B3255" s="12" t="str">
        <f aca="false">IF($A3255="","",원본명단!$A3254)</f>
        <v/>
      </c>
      <c r="C3255" s="12" t="str">
        <f aca="false">IF($A3255="","",원본명단!$B3254)</f>
        <v/>
      </c>
      <c r="D3255" s="12" t="str">
        <f aca="false">IF($A3255="","",원본명단!$D3254)</f>
        <v/>
      </c>
      <c r="E3255" s="11" t="str">
        <f aca="false">IF($A3255="","",IF(원본명단!$H3254="",0,COUNTIF(원본명단!$H$3:$H$6002,원본명단!$H3254)))</f>
        <v/>
      </c>
      <c r="F3255" s="11" t="str">
        <f aca="false">IF($A3255="","",IF(원본명단!$I3254="",0,COUNTIF(원본명단!$I$3:$I$6002,원본명단!$I3254)))</f>
        <v/>
      </c>
      <c r="G3255" s="11" t="str">
        <f aca="false">IF($A3255="","",IF(원본명단!$K3254="",0,COUNTIF(원본명단!$K$3:$K$6002,원본명단!$K3254)))</f>
        <v/>
      </c>
      <c r="H3255" s="11" t="str">
        <f aca="false">IF($A3255="","",IF(MAX($E3255,$F3255,$G3255)&gt;1,"중복","-"))</f>
        <v/>
      </c>
      <c r="I3255" s="11" t="str">
        <f aca="false">IF($A3255="","",IF($H3255="-","-",IF(AND(IF(원본명단!$H3254="",TRUE(),COUNTIF(원본명단!$H$3:$H3254,원본명단!$H3254)=1),IF(원본명단!$I3254="",TRUE(),COUNTIF(원본명단!$I$3:$I3254,원본명단!$I3254)=1),IF(원본명단!$K3254="",TRUE(),COUNTIF(원본명단!$K$3:$K3254,원본명단!$K3254)=1)),"첫 건","중복 건")))</f>
        <v/>
      </c>
      <c r="J3255" s="11" t="str">
        <f aca="false">IF($A3255="","",IF($H3255="-","유지",IF($I3255="첫 건","유지","확인 필요")))</f>
        <v/>
      </c>
    </row>
    <row r="3256" customFormat="false" ht="15" hidden="false" customHeight="true" outlineLevel="0" collapsed="false">
      <c r="A3256" s="11" t="str">
        <f aca="false">IF(원본명단!$A3255="","",3253)</f>
        <v/>
      </c>
      <c r="B3256" s="12" t="str">
        <f aca="false">IF($A3256="","",원본명단!$A3255)</f>
        <v/>
      </c>
      <c r="C3256" s="12" t="str">
        <f aca="false">IF($A3256="","",원본명단!$B3255)</f>
        <v/>
      </c>
      <c r="D3256" s="12" t="str">
        <f aca="false">IF($A3256="","",원본명단!$D3255)</f>
        <v/>
      </c>
      <c r="E3256" s="11" t="str">
        <f aca="false">IF($A3256="","",IF(원본명단!$H3255="",0,COUNTIF(원본명단!$H$3:$H$6002,원본명단!$H3255)))</f>
        <v/>
      </c>
      <c r="F3256" s="11" t="str">
        <f aca="false">IF($A3256="","",IF(원본명단!$I3255="",0,COUNTIF(원본명단!$I$3:$I$6002,원본명단!$I3255)))</f>
        <v/>
      </c>
      <c r="G3256" s="11" t="str">
        <f aca="false">IF($A3256="","",IF(원본명단!$K3255="",0,COUNTIF(원본명단!$K$3:$K$6002,원본명단!$K3255)))</f>
        <v/>
      </c>
      <c r="H3256" s="11" t="str">
        <f aca="false">IF($A3256="","",IF(MAX($E3256,$F3256,$G3256)&gt;1,"중복","-"))</f>
        <v/>
      </c>
      <c r="I3256" s="11" t="str">
        <f aca="false">IF($A3256="","",IF($H3256="-","-",IF(AND(IF(원본명단!$H3255="",TRUE(),COUNTIF(원본명단!$H$3:$H3255,원본명단!$H3255)=1),IF(원본명단!$I3255="",TRUE(),COUNTIF(원본명단!$I$3:$I3255,원본명단!$I3255)=1),IF(원본명단!$K3255="",TRUE(),COUNTIF(원본명단!$K$3:$K3255,원본명단!$K3255)=1)),"첫 건","중복 건")))</f>
        <v/>
      </c>
      <c r="J3256" s="11" t="str">
        <f aca="false">IF($A3256="","",IF($H3256="-","유지",IF($I3256="첫 건","유지","확인 필요")))</f>
        <v/>
      </c>
    </row>
    <row r="3257" customFormat="false" ht="15" hidden="false" customHeight="true" outlineLevel="0" collapsed="false">
      <c r="A3257" s="11" t="str">
        <f aca="false">IF(원본명단!$A3256="","",3254)</f>
        <v/>
      </c>
      <c r="B3257" s="12" t="str">
        <f aca="false">IF($A3257="","",원본명단!$A3256)</f>
        <v/>
      </c>
      <c r="C3257" s="12" t="str">
        <f aca="false">IF($A3257="","",원본명단!$B3256)</f>
        <v/>
      </c>
      <c r="D3257" s="12" t="str">
        <f aca="false">IF($A3257="","",원본명단!$D3256)</f>
        <v/>
      </c>
      <c r="E3257" s="11" t="str">
        <f aca="false">IF($A3257="","",IF(원본명단!$H3256="",0,COUNTIF(원본명단!$H$3:$H$6002,원본명단!$H3256)))</f>
        <v/>
      </c>
      <c r="F3257" s="11" t="str">
        <f aca="false">IF($A3257="","",IF(원본명단!$I3256="",0,COUNTIF(원본명단!$I$3:$I$6002,원본명단!$I3256)))</f>
        <v/>
      </c>
      <c r="G3257" s="11" t="str">
        <f aca="false">IF($A3257="","",IF(원본명단!$K3256="",0,COUNTIF(원본명단!$K$3:$K$6002,원본명단!$K3256)))</f>
        <v/>
      </c>
      <c r="H3257" s="11" t="str">
        <f aca="false">IF($A3257="","",IF(MAX($E3257,$F3257,$G3257)&gt;1,"중복","-"))</f>
        <v/>
      </c>
      <c r="I3257" s="11" t="str">
        <f aca="false">IF($A3257="","",IF($H3257="-","-",IF(AND(IF(원본명단!$H3256="",TRUE(),COUNTIF(원본명단!$H$3:$H3256,원본명단!$H3256)=1),IF(원본명단!$I3256="",TRUE(),COUNTIF(원본명단!$I$3:$I3256,원본명단!$I3256)=1),IF(원본명단!$K3256="",TRUE(),COUNTIF(원본명단!$K$3:$K3256,원본명단!$K3256)=1)),"첫 건","중복 건")))</f>
        <v/>
      </c>
      <c r="J3257" s="11" t="str">
        <f aca="false">IF($A3257="","",IF($H3257="-","유지",IF($I3257="첫 건","유지","확인 필요")))</f>
        <v/>
      </c>
    </row>
    <row r="3258" customFormat="false" ht="15" hidden="false" customHeight="true" outlineLevel="0" collapsed="false">
      <c r="A3258" s="11" t="str">
        <f aca="false">IF(원본명단!$A3257="","",3255)</f>
        <v/>
      </c>
      <c r="B3258" s="12" t="str">
        <f aca="false">IF($A3258="","",원본명단!$A3257)</f>
        <v/>
      </c>
      <c r="C3258" s="12" t="str">
        <f aca="false">IF($A3258="","",원본명단!$B3257)</f>
        <v/>
      </c>
      <c r="D3258" s="12" t="str">
        <f aca="false">IF($A3258="","",원본명단!$D3257)</f>
        <v/>
      </c>
      <c r="E3258" s="11" t="str">
        <f aca="false">IF($A3258="","",IF(원본명단!$H3257="",0,COUNTIF(원본명단!$H$3:$H$6002,원본명단!$H3257)))</f>
        <v/>
      </c>
      <c r="F3258" s="11" t="str">
        <f aca="false">IF($A3258="","",IF(원본명단!$I3257="",0,COUNTIF(원본명단!$I$3:$I$6002,원본명단!$I3257)))</f>
        <v/>
      </c>
      <c r="G3258" s="11" t="str">
        <f aca="false">IF($A3258="","",IF(원본명단!$K3257="",0,COUNTIF(원본명단!$K$3:$K$6002,원본명단!$K3257)))</f>
        <v/>
      </c>
      <c r="H3258" s="11" t="str">
        <f aca="false">IF($A3258="","",IF(MAX($E3258,$F3258,$G3258)&gt;1,"중복","-"))</f>
        <v/>
      </c>
      <c r="I3258" s="11" t="str">
        <f aca="false">IF($A3258="","",IF($H3258="-","-",IF(AND(IF(원본명단!$H3257="",TRUE(),COUNTIF(원본명단!$H$3:$H3257,원본명단!$H3257)=1),IF(원본명단!$I3257="",TRUE(),COUNTIF(원본명단!$I$3:$I3257,원본명단!$I3257)=1),IF(원본명단!$K3257="",TRUE(),COUNTIF(원본명단!$K$3:$K3257,원본명단!$K3257)=1)),"첫 건","중복 건")))</f>
        <v/>
      </c>
      <c r="J3258" s="11" t="str">
        <f aca="false">IF($A3258="","",IF($H3258="-","유지",IF($I3258="첫 건","유지","확인 필요")))</f>
        <v/>
      </c>
    </row>
    <row r="3259" customFormat="false" ht="15" hidden="false" customHeight="true" outlineLevel="0" collapsed="false">
      <c r="A3259" s="11" t="str">
        <f aca="false">IF(원본명단!$A3258="","",3256)</f>
        <v/>
      </c>
      <c r="B3259" s="12" t="str">
        <f aca="false">IF($A3259="","",원본명단!$A3258)</f>
        <v/>
      </c>
      <c r="C3259" s="12" t="str">
        <f aca="false">IF($A3259="","",원본명단!$B3258)</f>
        <v/>
      </c>
      <c r="D3259" s="12" t="str">
        <f aca="false">IF($A3259="","",원본명단!$D3258)</f>
        <v/>
      </c>
      <c r="E3259" s="11" t="str">
        <f aca="false">IF($A3259="","",IF(원본명단!$H3258="",0,COUNTIF(원본명단!$H$3:$H$6002,원본명단!$H3258)))</f>
        <v/>
      </c>
      <c r="F3259" s="11" t="str">
        <f aca="false">IF($A3259="","",IF(원본명단!$I3258="",0,COUNTIF(원본명단!$I$3:$I$6002,원본명단!$I3258)))</f>
        <v/>
      </c>
      <c r="G3259" s="11" t="str">
        <f aca="false">IF($A3259="","",IF(원본명단!$K3258="",0,COUNTIF(원본명단!$K$3:$K$6002,원본명단!$K3258)))</f>
        <v/>
      </c>
      <c r="H3259" s="11" t="str">
        <f aca="false">IF($A3259="","",IF(MAX($E3259,$F3259,$G3259)&gt;1,"중복","-"))</f>
        <v/>
      </c>
      <c r="I3259" s="11" t="str">
        <f aca="false">IF($A3259="","",IF($H3259="-","-",IF(AND(IF(원본명단!$H3258="",TRUE(),COUNTIF(원본명단!$H$3:$H3258,원본명단!$H3258)=1),IF(원본명단!$I3258="",TRUE(),COUNTIF(원본명단!$I$3:$I3258,원본명단!$I3258)=1),IF(원본명단!$K3258="",TRUE(),COUNTIF(원본명단!$K$3:$K3258,원본명단!$K3258)=1)),"첫 건","중복 건")))</f>
        <v/>
      </c>
      <c r="J3259" s="11" t="str">
        <f aca="false">IF($A3259="","",IF($H3259="-","유지",IF($I3259="첫 건","유지","확인 필요")))</f>
        <v/>
      </c>
    </row>
    <row r="3260" customFormat="false" ht="15" hidden="false" customHeight="true" outlineLevel="0" collapsed="false">
      <c r="A3260" s="11" t="str">
        <f aca="false">IF(원본명단!$A3259="","",3257)</f>
        <v/>
      </c>
      <c r="B3260" s="12" t="str">
        <f aca="false">IF($A3260="","",원본명단!$A3259)</f>
        <v/>
      </c>
      <c r="C3260" s="12" t="str">
        <f aca="false">IF($A3260="","",원본명단!$B3259)</f>
        <v/>
      </c>
      <c r="D3260" s="12" t="str">
        <f aca="false">IF($A3260="","",원본명단!$D3259)</f>
        <v/>
      </c>
      <c r="E3260" s="11" t="str">
        <f aca="false">IF($A3260="","",IF(원본명단!$H3259="",0,COUNTIF(원본명단!$H$3:$H$6002,원본명단!$H3259)))</f>
        <v/>
      </c>
      <c r="F3260" s="11" t="str">
        <f aca="false">IF($A3260="","",IF(원본명단!$I3259="",0,COUNTIF(원본명단!$I$3:$I$6002,원본명단!$I3259)))</f>
        <v/>
      </c>
      <c r="G3260" s="11" t="str">
        <f aca="false">IF($A3260="","",IF(원본명단!$K3259="",0,COUNTIF(원본명단!$K$3:$K$6002,원본명단!$K3259)))</f>
        <v/>
      </c>
      <c r="H3260" s="11" t="str">
        <f aca="false">IF($A3260="","",IF(MAX($E3260,$F3260,$G3260)&gt;1,"중복","-"))</f>
        <v/>
      </c>
      <c r="I3260" s="11" t="str">
        <f aca="false">IF($A3260="","",IF($H3260="-","-",IF(AND(IF(원본명단!$H3259="",TRUE(),COUNTIF(원본명단!$H$3:$H3259,원본명단!$H3259)=1),IF(원본명단!$I3259="",TRUE(),COUNTIF(원본명단!$I$3:$I3259,원본명단!$I3259)=1),IF(원본명단!$K3259="",TRUE(),COUNTIF(원본명단!$K$3:$K3259,원본명단!$K3259)=1)),"첫 건","중복 건")))</f>
        <v/>
      </c>
      <c r="J3260" s="11" t="str">
        <f aca="false">IF($A3260="","",IF($H3260="-","유지",IF($I3260="첫 건","유지","확인 필요")))</f>
        <v/>
      </c>
    </row>
    <row r="3261" customFormat="false" ht="15" hidden="false" customHeight="true" outlineLevel="0" collapsed="false">
      <c r="A3261" s="11" t="str">
        <f aca="false">IF(원본명단!$A3260="","",3258)</f>
        <v/>
      </c>
      <c r="B3261" s="12" t="str">
        <f aca="false">IF($A3261="","",원본명단!$A3260)</f>
        <v/>
      </c>
      <c r="C3261" s="12" t="str">
        <f aca="false">IF($A3261="","",원본명단!$B3260)</f>
        <v/>
      </c>
      <c r="D3261" s="12" t="str">
        <f aca="false">IF($A3261="","",원본명단!$D3260)</f>
        <v/>
      </c>
      <c r="E3261" s="11" t="str">
        <f aca="false">IF($A3261="","",IF(원본명단!$H3260="",0,COUNTIF(원본명단!$H$3:$H$6002,원본명단!$H3260)))</f>
        <v/>
      </c>
      <c r="F3261" s="11" t="str">
        <f aca="false">IF($A3261="","",IF(원본명단!$I3260="",0,COUNTIF(원본명단!$I$3:$I$6002,원본명단!$I3260)))</f>
        <v/>
      </c>
      <c r="G3261" s="11" t="str">
        <f aca="false">IF($A3261="","",IF(원본명단!$K3260="",0,COUNTIF(원본명단!$K$3:$K$6002,원본명단!$K3260)))</f>
        <v/>
      </c>
      <c r="H3261" s="11" t="str">
        <f aca="false">IF($A3261="","",IF(MAX($E3261,$F3261,$G3261)&gt;1,"중복","-"))</f>
        <v/>
      </c>
      <c r="I3261" s="11" t="str">
        <f aca="false">IF($A3261="","",IF($H3261="-","-",IF(AND(IF(원본명단!$H3260="",TRUE(),COUNTIF(원본명단!$H$3:$H3260,원본명단!$H3260)=1),IF(원본명단!$I3260="",TRUE(),COUNTIF(원본명단!$I$3:$I3260,원본명단!$I3260)=1),IF(원본명단!$K3260="",TRUE(),COUNTIF(원본명단!$K$3:$K3260,원본명단!$K3260)=1)),"첫 건","중복 건")))</f>
        <v/>
      </c>
      <c r="J3261" s="11" t="str">
        <f aca="false">IF($A3261="","",IF($H3261="-","유지",IF($I3261="첫 건","유지","확인 필요")))</f>
        <v/>
      </c>
    </row>
    <row r="3262" customFormat="false" ht="15" hidden="false" customHeight="true" outlineLevel="0" collapsed="false">
      <c r="A3262" s="11" t="str">
        <f aca="false">IF(원본명단!$A3261="","",3259)</f>
        <v/>
      </c>
      <c r="B3262" s="12" t="str">
        <f aca="false">IF($A3262="","",원본명단!$A3261)</f>
        <v/>
      </c>
      <c r="C3262" s="12" t="str">
        <f aca="false">IF($A3262="","",원본명단!$B3261)</f>
        <v/>
      </c>
      <c r="D3262" s="12" t="str">
        <f aca="false">IF($A3262="","",원본명단!$D3261)</f>
        <v/>
      </c>
      <c r="E3262" s="11" t="str">
        <f aca="false">IF($A3262="","",IF(원본명단!$H3261="",0,COUNTIF(원본명단!$H$3:$H$6002,원본명단!$H3261)))</f>
        <v/>
      </c>
      <c r="F3262" s="11" t="str">
        <f aca="false">IF($A3262="","",IF(원본명단!$I3261="",0,COUNTIF(원본명단!$I$3:$I$6002,원본명단!$I3261)))</f>
        <v/>
      </c>
      <c r="G3262" s="11" t="str">
        <f aca="false">IF($A3262="","",IF(원본명단!$K3261="",0,COUNTIF(원본명단!$K$3:$K$6002,원본명단!$K3261)))</f>
        <v/>
      </c>
      <c r="H3262" s="11" t="str">
        <f aca="false">IF($A3262="","",IF(MAX($E3262,$F3262,$G3262)&gt;1,"중복","-"))</f>
        <v/>
      </c>
      <c r="I3262" s="11" t="str">
        <f aca="false">IF($A3262="","",IF($H3262="-","-",IF(AND(IF(원본명단!$H3261="",TRUE(),COUNTIF(원본명단!$H$3:$H3261,원본명단!$H3261)=1),IF(원본명단!$I3261="",TRUE(),COUNTIF(원본명단!$I$3:$I3261,원본명단!$I3261)=1),IF(원본명단!$K3261="",TRUE(),COUNTIF(원본명단!$K$3:$K3261,원본명단!$K3261)=1)),"첫 건","중복 건")))</f>
        <v/>
      </c>
      <c r="J3262" s="11" t="str">
        <f aca="false">IF($A3262="","",IF($H3262="-","유지",IF($I3262="첫 건","유지","확인 필요")))</f>
        <v/>
      </c>
    </row>
    <row r="3263" customFormat="false" ht="15" hidden="false" customHeight="true" outlineLevel="0" collapsed="false">
      <c r="A3263" s="11" t="str">
        <f aca="false">IF(원본명단!$A3262="","",3260)</f>
        <v/>
      </c>
      <c r="B3263" s="12" t="str">
        <f aca="false">IF($A3263="","",원본명단!$A3262)</f>
        <v/>
      </c>
      <c r="C3263" s="12" t="str">
        <f aca="false">IF($A3263="","",원본명단!$B3262)</f>
        <v/>
      </c>
      <c r="D3263" s="12" t="str">
        <f aca="false">IF($A3263="","",원본명단!$D3262)</f>
        <v/>
      </c>
      <c r="E3263" s="11" t="str">
        <f aca="false">IF($A3263="","",IF(원본명단!$H3262="",0,COUNTIF(원본명단!$H$3:$H$6002,원본명단!$H3262)))</f>
        <v/>
      </c>
      <c r="F3263" s="11" t="str">
        <f aca="false">IF($A3263="","",IF(원본명단!$I3262="",0,COUNTIF(원본명단!$I$3:$I$6002,원본명단!$I3262)))</f>
        <v/>
      </c>
      <c r="G3263" s="11" t="str">
        <f aca="false">IF($A3263="","",IF(원본명단!$K3262="",0,COUNTIF(원본명단!$K$3:$K$6002,원본명단!$K3262)))</f>
        <v/>
      </c>
      <c r="H3263" s="11" t="str">
        <f aca="false">IF($A3263="","",IF(MAX($E3263,$F3263,$G3263)&gt;1,"중복","-"))</f>
        <v/>
      </c>
      <c r="I3263" s="11" t="str">
        <f aca="false">IF($A3263="","",IF($H3263="-","-",IF(AND(IF(원본명단!$H3262="",TRUE(),COUNTIF(원본명단!$H$3:$H3262,원본명단!$H3262)=1),IF(원본명단!$I3262="",TRUE(),COUNTIF(원본명단!$I$3:$I3262,원본명단!$I3262)=1),IF(원본명단!$K3262="",TRUE(),COUNTIF(원본명단!$K$3:$K3262,원본명단!$K3262)=1)),"첫 건","중복 건")))</f>
        <v/>
      </c>
      <c r="J3263" s="11" t="str">
        <f aca="false">IF($A3263="","",IF($H3263="-","유지",IF($I3263="첫 건","유지","확인 필요")))</f>
        <v/>
      </c>
    </row>
    <row r="3264" customFormat="false" ht="15" hidden="false" customHeight="true" outlineLevel="0" collapsed="false">
      <c r="A3264" s="11" t="str">
        <f aca="false">IF(원본명단!$A3263="","",3261)</f>
        <v/>
      </c>
      <c r="B3264" s="12" t="str">
        <f aca="false">IF($A3264="","",원본명단!$A3263)</f>
        <v/>
      </c>
      <c r="C3264" s="12" t="str">
        <f aca="false">IF($A3264="","",원본명단!$B3263)</f>
        <v/>
      </c>
      <c r="D3264" s="12" t="str">
        <f aca="false">IF($A3264="","",원본명단!$D3263)</f>
        <v/>
      </c>
      <c r="E3264" s="11" t="str">
        <f aca="false">IF($A3264="","",IF(원본명단!$H3263="",0,COUNTIF(원본명단!$H$3:$H$6002,원본명단!$H3263)))</f>
        <v/>
      </c>
      <c r="F3264" s="11" t="str">
        <f aca="false">IF($A3264="","",IF(원본명단!$I3263="",0,COUNTIF(원본명단!$I$3:$I$6002,원본명단!$I3263)))</f>
        <v/>
      </c>
      <c r="G3264" s="11" t="str">
        <f aca="false">IF($A3264="","",IF(원본명단!$K3263="",0,COUNTIF(원본명단!$K$3:$K$6002,원본명단!$K3263)))</f>
        <v/>
      </c>
      <c r="H3264" s="11" t="str">
        <f aca="false">IF($A3264="","",IF(MAX($E3264,$F3264,$G3264)&gt;1,"중복","-"))</f>
        <v/>
      </c>
      <c r="I3264" s="11" t="str">
        <f aca="false">IF($A3264="","",IF($H3264="-","-",IF(AND(IF(원본명단!$H3263="",TRUE(),COUNTIF(원본명단!$H$3:$H3263,원본명단!$H3263)=1),IF(원본명단!$I3263="",TRUE(),COUNTIF(원본명단!$I$3:$I3263,원본명단!$I3263)=1),IF(원본명단!$K3263="",TRUE(),COUNTIF(원본명단!$K$3:$K3263,원본명단!$K3263)=1)),"첫 건","중복 건")))</f>
        <v/>
      </c>
      <c r="J3264" s="11" t="str">
        <f aca="false">IF($A3264="","",IF($H3264="-","유지",IF($I3264="첫 건","유지","확인 필요")))</f>
        <v/>
      </c>
    </row>
    <row r="3265" customFormat="false" ht="15" hidden="false" customHeight="true" outlineLevel="0" collapsed="false">
      <c r="A3265" s="11" t="str">
        <f aca="false">IF(원본명단!$A3264="","",3262)</f>
        <v/>
      </c>
      <c r="B3265" s="12" t="str">
        <f aca="false">IF($A3265="","",원본명단!$A3264)</f>
        <v/>
      </c>
      <c r="C3265" s="12" t="str">
        <f aca="false">IF($A3265="","",원본명단!$B3264)</f>
        <v/>
      </c>
      <c r="D3265" s="12" t="str">
        <f aca="false">IF($A3265="","",원본명단!$D3264)</f>
        <v/>
      </c>
      <c r="E3265" s="11" t="str">
        <f aca="false">IF($A3265="","",IF(원본명단!$H3264="",0,COUNTIF(원본명단!$H$3:$H$6002,원본명단!$H3264)))</f>
        <v/>
      </c>
      <c r="F3265" s="11" t="str">
        <f aca="false">IF($A3265="","",IF(원본명단!$I3264="",0,COUNTIF(원본명단!$I$3:$I$6002,원본명단!$I3264)))</f>
        <v/>
      </c>
      <c r="G3265" s="11" t="str">
        <f aca="false">IF($A3265="","",IF(원본명단!$K3264="",0,COUNTIF(원본명단!$K$3:$K$6002,원본명단!$K3264)))</f>
        <v/>
      </c>
      <c r="H3265" s="11" t="str">
        <f aca="false">IF($A3265="","",IF(MAX($E3265,$F3265,$G3265)&gt;1,"중복","-"))</f>
        <v/>
      </c>
      <c r="I3265" s="11" t="str">
        <f aca="false">IF($A3265="","",IF($H3265="-","-",IF(AND(IF(원본명단!$H3264="",TRUE(),COUNTIF(원본명단!$H$3:$H3264,원본명단!$H3264)=1),IF(원본명단!$I3264="",TRUE(),COUNTIF(원본명단!$I$3:$I3264,원본명단!$I3264)=1),IF(원본명단!$K3264="",TRUE(),COUNTIF(원본명단!$K$3:$K3264,원본명단!$K3264)=1)),"첫 건","중복 건")))</f>
        <v/>
      </c>
      <c r="J3265" s="11" t="str">
        <f aca="false">IF($A3265="","",IF($H3265="-","유지",IF($I3265="첫 건","유지","확인 필요")))</f>
        <v/>
      </c>
    </row>
    <row r="3266" customFormat="false" ht="15" hidden="false" customHeight="true" outlineLevel="0" collapsed="false">
      <c r="A3266" s="11" t="str">
        <f aca="false">IF(원본명단!$A3265="","",3263)</f>
        <v/>
      </c>
      <c r="B3266" s="12" t="str">
        <f aca="false">IF($A3266="","",원본명단!$A3265)</f>
        <v/>
      </c>
      <c r="C3266" s="12" t="str">
        <f aca="false">IF($A3266="","",원본명단!$B3265)</f>
        <v/>
      </c>
      <c r="D3266" s="12" t="str">
        <f aca="false">IF($A3266="","",원본명단!$D3265)</f>
        <v/>
      </c>
      <c r="E3266" s="11" t="str">
        <f aca="false">IF($A3266="","",IF(원본명단!$H3265="",0,COUNTIF(원본명단!$H$3:$H$6002,원본명단!$H3265)))</f>
        <v/>
      </c>
      <c r="F3266" s="11" t="str">
        <f aca="false">IF($A3266="","",IF(원본명단!$I3265="",0,COUNTIF(원본명단!$I$3:$I$6002,원본명단!$I3265)))</f>
        <v/>
      </c>
      <c r="G3266" s="11" t="str">
        <f aca="false">IF($A3266="","",IF(원본명단!$K3265="",0,COUNTIF(원본명단!$K$3:$K$6002,원본명단!$K3265)))</f>
        <v/>
      </c>
      <c r="H3266" s="11" t="str">
        <f aca="false">IF($A3266="","",IF(MAX($E3266,$F3266,$G3266)&gt;1,"중복","-"))</f>
        <v/>
      </c>
      <c r="I3266" s="11" t="str">
        <f aca="false">IF($A3266="","",IF($H3266="-","-",IF(AND(IF(원본명단!$H3265="",TRUE(),COUNTIF(원본명단!$H$3:$H3265,원본명단!$H3265)=1),IF(원본명단!$I3265="",TRUE(),COUNTIF(원본명단!$I$3:$I3265,원본명단!$I3265)=1),IF(원본명단!$K3265="",TRUE(),COUNTIF(원본명단!$K$3:$K3265,원본명단!$K3265)=1)),"첫 건","중복 건")))</f>
        <v/>
      </c>
      <c r="J3266" s="11" t="str">
        <f aca="false">IF($A3266="","",IF($H3266="-","유지",IF($I3266="첫 건","유지","확인 필요")))</f>
        <v/>
      </c>
    </row>
    <row r="3267" customFormat="false" ht="15" hidden="false" customHeight="true" outlineLevel="0" collapsed="false">
      <c r="A3267" s="11" t="str">
        <f aca="false">IF(원본명단!$A3266="","",3264)</f>
        <v/>
      </c>
      <c r="B3267" s="12" t="str">
        <f aca="false">IF($A3267="","",원본명단!$A3266)</f>
        <v/>
      </c>
      <c r="C3267" s="12" t="str">
        <f aca="false">IF($A3267="","",원본명단!$B3266)</f>
        <v/>
      </c>
      <c r="D3267" s="12" t="str">
        <f aca="false">IF($A3267="","",원본명단!$D3266)</f>
        <v/>
      </c>
      <c r="E3267" s="11" t="str">
        <f aca="false">IF($A3267="","",IF(원본명단!$H3266="",0,COUNTIF(원본명단!$H$3:$H$6002,원본명단!$H3266)))</f>
        <v/>
      </c>
      <c r="F3267" s="11" t="str">
        <f aca="false">IF($A3267="","",IF(원본명단!$I3266="",0,COUNTIF(원본명단!$I$3:$I$6002,원본명단!$I3266)))</f>
        <v/>
      </c>
      <c r="G3267" s="11" t="str">
        <f aca="false">IF($A3267="","",IF(원본명단!$K3266="",0,COUNTIF(원본명단!$K$3:$K$6002,원본명단!$K3266)))</f>
        <v/>
      </c>
      <c r="H3267" s="11" t="str">
        <f aca="false">IF($A3267="","",IF(MAX($E3267,$F3267,$G3267)&gt;1,"중복","-"))</f>
        <v/>
      </c>
      <c r="I3267" s="11" t="str">
        <f aca="false">IF($A3267="","",IF($H3267="-","-",IF(AND(IF(원본명단!$H3266="",TRUE(),COUNTIF(원본명단!$H$3:$H3266,원본명단!$H3266)=1),IF(원본명단!$I3266="",TRUE(),COUNTIF(원본명단!$I$3:$I3266,원본명단!$I3266)=1),IF(원본명단!$K3266="",TRUE(),COUNTIF(원본명단!$K$3:$K3266,원본명단!$K3266)=1)),"첫 건","중복 건")))</f>
        <v/>
      </c>
      <c r="J3267" s="11" t="str">
        <f aca="false">IF($A3267="","",IF($H3267="-","유지",IF($I3267="첫 건","유지","확인 필요")))</f>
        <v/>
      </c>
    </row>
    <row r="3268" customFormat="false" ht="15" hidden="false" customHeight="true" outlineLevel="0" collapsed="false">
      <c r="A3268" s="11" t="str">
        <f aca="false">IF(원본명단!$A3267="","",3265)</f>
        <v/>
      </c>
      <c r="B3268" s="12" t="str">
        <f aca="false">IF($A3268="","",원본명단!$A3267)</f>
        <v/>
      </c>
      <c r="C3268" s="12" t="str">
        <f aca="false">IF($A3268="","",원본명단!$B3267)</f>
        <v/>
      </c>
      <c r="D3268" s="12" t="str">
        <f aca="false">IF($A3268="","",원본명단!$D3267)</f>
        <v/>
      </c>
      <c r="E3268" s="11" t="str">
        <f aca="false">IF($A3268="","",IF(원본명단!$H3267="",0,COUNTIF(원본명단!$H$3:$H$6002,원본명단!$H3267)))</f>
        <v/>
      </c>
      <c r="F3268" s="11" t="str">
        <f aca="false">IF($A3268="","",IF(원본명단!$I3267="",0,COUNTIF(원본명단!$I$3:$I$6002,원본명단!$I3267)))</f>
        <v/>
      </c>
      <c r="G3268" s="11" t="str">
        <f aca="false">IF($A3268="","",IF(원본명단!$K3267="",0,COUNTIF(원본명단!$K$3:$K$6002,원본명단!$K3267)))</f>
        <v/>
      </c>
      <c r="H3268" s="11" t="str">
        <f aca="false">IF($A3268="","",IF(MAX($E3268,$F3268,$G3268)&gt;1,"중복","-"))</f>
        <v/>
      </c>
      <c r="I3268" s="11" t="str">
        <f aca="false">IF($A3268="","",IF($H3268="-","-",IF(AND(IF(원본명단!$H3267="",TRUE(),COUNTIF(원본명단!$H$3:$H3267,원본명단!$H3267)=1),IF(원본명단!$I3267="",TRUE(),COUNTIF(원본명단!$I$3:$I3267,원본명단!$I3267)=1),IF(원본명단!$K3267="",TRUE(),COUNTIF(원본명단!$K$3:$K3267,원본명단!$K3267)=1)),"첫 건","중복 건")))</f>
        <v/>
      </c>
      <c r="J3268" s="11" t="str">
        <f aca="false">IF($A3268="","",IF($H3268="-","유지",IF($I3268="첫 건","유지","확인 필요")))</f>
        <v/>
      </c>
    </row>
    <row r="3269" customFormat="false" ht="15" hidden="false" customHeight="true" outlineLevel="0" collapsed="false">
      <c r="A3269" s="11" t="str">
        <f aca="false">IF(원본명단!$A3268="","",3266)</f>
        <v/>
      </c>
      <c r="B3269" s="12" t="str">
        <f aca="false">IF($A3269="","",원본명단!$A3268)</f>
        <v/>
      </c>
      <c r="C3269" s="12" t="str">
        <f aca="false">IF($A3269="","",원본명단!$B3268)</f>
        <v/>
      </c>
      <c r="D3269" s="12" t="str">
        <f aca="false">IF($A3269="","",원본명단!$D3268)</f>
        <v/>
      </c>
      <c r="E3269" s="11" t="str">
        <f aca="false">IF($A3269="","",IF(원본명단!$H3268="",0,COUNTIF(원본명단!$H$3:$H$6002,원본명단!$H3268)))</f>
        <v/>
      </c>
      <c r="F3269" s="11" t="str">
        <f aca="false">IF($A3269="","",IF(원본명단!$I3268="",0,COUNTIF(원본명단!$I$3:$I$6002,원본명단!$I3268)))</f>
        <v/>
      </c>
      <c r="G3269" s="11" t="str">
        <f aca="false">IF($A3269="","",IF(원본명단!$K3268="",0,COUNTIF(원본명단!$K$3:$K$6002,원본명단!$K3268)))</f>
        <v/>
      </c>
      <c r="H3269" s="11" t="str">
        <f aca="false">IF($A3269="","",IF(MAX($E3269,$F3269,$G3269)&gt;1,"중복","-"))</f>
        <v/>
      </c>
      <c r="I3269" s="11" t="str">
        <f aca="false">IF($A3269="","",IF($H3269="-","-",IF(AND(IF(원본명단!$H3268="",TRUE(),COUNTIF(원본명단!$H$3:$H3268,원본명단!$H3268)=1),IF(원본명단!$I3268="",TRUE(),COUNTIF(원본명단!$I$3:$I3268,원본명단!$I3268)=1),IF(원본명단!$K3268="",TRUE(),COUNTIF(원본명단!$K$3:$K3268,원본명단!$K3268)=1)),"첫 건","중복 건")))</f>
        <v/>
      </c>
      <c r="J3269" s="11" t="str">
        <f aca="false">IF($A3269="","",IF($H3269="-","유지",IF($I3269="첫 건","유지","확인 필요")))</f>
        <v/>
      </c>
    </row>
    <row r="3270" customFormat="false" ht="15" hidden="false" customHeight="true" outlineLevel="0" collapsed="false">
      <c r="A3270" s="11" t="str">
        <f aca="false">IF(원본명단!$A3269="","",3267)</f>
        <v/>
      </c>
      <c r="B3270" s="12" t="str">
        <f aca="false">IF($A3270="","",원본명단!$A3269)</f>
        <v/>
      </c>
      <c r="C3270" s="12" t="str">
        <f aca="false">IF($A3270="","",원본명단!$B3269)</f>
        <v/>
      </c>
      <c r="D3270" s="12" t="str">
        <f aca="false">IF($A3270="","",원본명단!$D3269)</f>
        <v/>
      </c>
      <c r="E3270" s="11" t="str">
        <f aca="false">IF($A3270="","",IF(원본명단!$H3269="",0,COUNTIF(원본명단!$H$3:$H$6002,원본명단!$H3269)))</f>
        <v/>
      </c>
      <c r="F3270" s="11" t="str">
        <f aca="false">IF($A3270="","",IF(원본명단!$I3269="",0,COUNTIF(원본명단!$I$3:$I$6002,원본명단!$I3269)))</f>
        <v/>
      </c>
      <c r="G3270" s="11" t="str">
        <f aca="false">IF($A3270="","",IF(원본명단!$K3269="",0,COUNTIF(원본명단!$K$3:$K$6002,원본명단!$K3269)))</f>
        <v/>
      </c>
      <c r="H3270" s="11" t="str">
        <f aca="false">IF($A3270="","",IF(MAX($E3270,$F3270,$G3270)&gt;1,"중복","-"))</f>
        <v/>
      </c>
      <c r="I3270" s="11" t="str">
        <f aca="false">IF($A3270="","",IF($H3270="-","-",IF(AND(IF(원본명단!$H3269="",TRUE(),COUNTIF(원본명단!$H$3:$H3269,원본명단!$H3269)=1),IF(원본명단!$I3269="",TRUE(),COUNTIF(원본명단!$I$3:$I3269,원본명단!$I3269)=1),IF(원본명단!$K3269="",TRUE(),COUNTIF(원본명단!$K$3:$K3269,원본명단!$K3269)=1)),"첫 건","중복 건")))</f>
        <v/>
      </c>
      <c r="J3270" s="11" t="str">
        <f aca="false">IF($A3270="","",IF($H3270="-","유지",IF($I3270="첫 건","유지","확인 필요")))</f>
        <v/>
      </c>
    </row>
    <row r="3271" customFormat="false" ht="15" hidden="false" customHeight="true" outlineLevel="0" collapsed="false">
      <c r="A3271" s="11" t="str">
        <f aca="false">IF(원본명단!$A3270="","",3268)</f>
        <v/>
      </c>
      <c r="B3271" s="12" t="str">
        <f aca="false">IF($A3271="","",원본명단!$A3270)</f>
        <v/>
      </c>
      <c r="C3271" s="12" t="str">
        <f aca="false">IF($A3271="","",원본명단!$B3270)</f>
        <v/>
      </c>
      <c r="D3271" s="12" t="str">
        <f aca="false">IF($A3271="","",원본명단!$D3270)</f>
        <v/>
      </c>
      <c r="E3271" s="11" t="str">
        <f aca="false">IF($A3271="","",IF(원본명단!$H3270="",0,COUNTIF(원본명단!$H$3:$H$6002,원본명단!$H3270)))</f>
        <v/>
      </c>
      <c r="F3271" s="11" t="str">
        <f aca="false">IF($A3271="","",IF(원본명단!$I3270="",0,COUNTIF(원본명단!$I$3:$I$6002,원본명단!$I3270)))</f>
        <v/>
      </c>
      <c r="G3271" s="11" t="str">
        <f aca="false">IF($A3271="","",IF(원본명단!$K3270="",0,COUNTIF(원본명단!$K$3:$K$6002,원본명단!$K3270)))</f>
        <v/>
      </c>
      <c r="H3271" s="11" t="str">
        <f aca="false">IF($A3271="","",IF(MAX($E3271,$F3271,$G3271)&gt;1,"중복","-"))</f>
        <v/>
      </c>
      <c r="I3271" s="11" t="str">
        <f aca="false">IF($A3271="","",IF($H3271="-","-",IF(AND(IF(원본명단!$H3270="",TRUE(),COUNTIF(원본명단!$H$3:$H3270,원본명단!$H3270)=1),IF(원본명단!$I3270="",TRUE(),COUNTIF(원본명단!$I$3:$I3270,원본명단!$I3270)=1),IF(원본명단!$K3270="",TRUE(),COUNTIF(원본명단!$K$3:$K3270,원본명단!$K3270)=1)),"첫 건","중복 건")))</f>
        <v/>
      </c>
      <c r="J3271" s="11" t="str">
        <f aca="false">IF($A3271="","",IF($H3271="-","유지",IF($I3271="첫 건","유지","확인 필요")))</f>
        <v/>
      </c>
    </row>
    <row r="3272" customFormat="false" ht="15" hidden="false" customHeight="true" outlineLevel="0" collapsed="false">
      <c r="A3272" s="11" t="str">
        <f aca="false">IF(원본명단!$A3271="","",3269)</f>
        <v/>
      </c>
      <c r="B3272" s="12" t="str">
        <f aca="false">IF($A3272="","",원본명단!$A3271)</f>
        <v/>
      </c>
      <c r="C3272" s="12" t="str">
        <f aca="false">IF($A3272="","",원본명단!$B3271)</f>
        <v/>
      </c>
      <c r="D3272" s="12" t="str">
        <f aca="false">IF($A3272="","",원본명단!$D3271)</f>
        <v/>
      </c>
      <c r="E3272" s="11" t="str">
        <f aca="false">IF($A3272="","",IF(원본명단!$H3271="",0,COUNTIF(원본명단!$H$3:$H$6002,원본명단!$H3271)))</f>
        <v/>
      </c>
      <c r="F3272" s="11" t="str">
        <f aca="false">IF($A3272="","",IF(원본명단!$I3271="",0,COUNTIF(원본명단!$I$3:$I$6002,원본명단!$I3271)))</f>
        <v/>
      </c>
      <c r="G3272" s="11" t="str">
        <f aca="false">IF($A3272="","",IF(원본명단!$K3271="",0,COUNTIF(원본명단!$K$3:$K$6002,원본명단!$K3271)))</f>
        <v/>
      </c>
      <c r="H3272" s="11" t="str">
        <f aca="false">IF($A3272="","",IF(MAX($E3272,$F3272,$G3272)&gt;1,"중복","-"))</f>
        <v/>
      </c>
      <c r="I3272" s="11" t="str">
        <f aca="false">IF($A3272="","",IF($H3272="-","-",IF(AND(IF(원본명단!$H3271="",TRUE(),COUNTIF(원본명단!$H$3:$H3271,원본명단!$H3271)=1),IF(원본명단!$I3271="",TRUE(),COUNTIF(원본명단!$I$3:$I3271,원본명단!$I3271)=1),IF(원본명단!$K3271="",TRUE(),COUNTIF(원본명단!$K$3:$K3271,원본명단!$K3271)=1)),"첫 건","중복 건")))</f>
        <v/>
      </c>
      <c r="J3272" s="11" t="str">
        <f aca="false">IF($A3272="","",IF($H3272="-","유지",IF($I3272="첫 건","유지","확인 필요")))</f>
        <v/>
      </c>
    </row>
    <row r="3273" customFormat="false" ht="15" hidden="false" customHeight="true" outlineLevel="0" collapsed="false">
      <c r="A3273" s="11" t="str">
        <f aca="false">IF(원본명단!$A3272="","",3270)</f>
        <v/>
      </c>
      <c r="B3273" s="12" t="str">
        <f aca="false">IF($A3273="","",원본명단!$A3272)</f>
        <v/>
      </c>
      <c r="C3273" s="12" t="str">
        <f aca="false">IF($A3273="","",원본명단!$B3272)</f>
        <v/>
      </c>
      <c r="D3273" s="12" t="str">
        <f aca="false">IF($A3273="","",원본명단!$D3272)</f>
        <v/>
      </c>
      <c r="E3273" s="11" t="str">
        <f aca="false">IF($A3273="","",IF(원본명단!$H3272="",0,COUNTIF(원본명단!$H$3:$H$6002,원본명단!$H3272)))</f>
        <v/>
      </c>
      <c r="F3273" s="11" t="str">
        <f aca="false">IF($A3273="","",IF(원본명단!$I3272="",0,COUNTIF(원본명단!$I$3:$I$6002,원본명단!$I3272)))</f>
        <v/>
      </c>
      <c r="G3273" s="11" t="str">
        <f aca="false">IF($A3273="","",IF(원본명단!$K3272="",0,COUNTIF(원본명단!$K$3:$K$6002,원본명단!$K3272)))</f>
        <v/>
      </c>
      <c r="H3273" s="11" t="str">
        <f aca="false">IF($A3273="","",IF(MAX($E3273,$F3273,$G3273)&gt;1,"중복","-"))</f>
        <v/>
      </c>
      <c r="I3273" s="11" t="str">
        <f aca="false">IF($A3273="","",IF($H3273="-","-",IF(AND(IF(원본명단!$H3272="",TRUE(),COUNTIF(원본명단!$H$3:$H3272,원본명단!$H3272)=1),IF(원본명단!$I3272="",TRUE(),COUNTIF(원본명단!$I$3:$I3272,원본명단!$I3272)=1),IF(원본명단!$K3272="",TRUE(),COUNTIF(원본명단!$K$3:$K3272,원본명단!$K3272)=1)),"첫 건","중복 건")))</f>
        <v/>
      </c>
      <c r="J3273" s="11" t="str">
        <f aca="false">IF($A3273="","",IF($H3273="-","유지",IF($I3273="첫 건","유지","확인 필요")))</f>
        <v/>
      </c>
    </row>
    <row r="3274" customFormat="false" ht="15" hidden="false" customHeight="true" outlineLevel="0" collapsed="false">
      <c r="A3274" s="11" t="str">
        <f aca="false">IF(원본명단!$A3273="","",3271)</f>
        <v/>
      </c>
      <c r="B3274" s="12" t="str">
        <f aca="false">IF($A3274="","",원본명단!$A3273)</f>
        <v/>
      </c>
      <c r="C3274" s="12" t="str">
        <f aca="false">IF($A3274="","",원본명단!$B3273)</f>
        <v/>
      </c>
      <c r="D3274" s="12" t="str">
        <f aca="false">IF($A3274="","",원본명단!$D3273)</f>
        <v/>
      </c>
      <c r="E3274" s="11" t="str">
        <f aca="false">IF($A3274="","",IF(원본명단!$H3273="",0,COUNTIF(원본명단!$H$3:$H$6002,원본명단!$H3273)))</f>
        <v/>
      </c>
      <c r="F3274" s="11" t="str">
        <f aca="false">IF($A3274="","",IF(원본명단!$I3273="",0,COUNTIF(원본명단!$I$3:$I$6002,원본명단!$I3273)))</f>
        <v/>
      </c>
      <c r="G3274" s="11" t="str">
        <f aca="false">IF($A3274="","",IF(원본명단!$K3273="",0,COUNTIF(원본명단!$K$3:$K$6002,원본명단!$K3273)))</f>
        <v/>
      </c>
      <c r="H3274" s="11" t="str">
        <f aca="false">IF($A3274="","",IF(MAX($E3274,$F3274,$G3274)&gt;1,"중복","-"))</f>
        <v/>
      </c>
      <c r="I3274" s="11" t="str">
        <f aca="false">IF($A3274="","",IF($H3274="-","-",IF(AND(IF(원본명단!$H3273="",TRUE(),COUNTIF(원본명단!$H$3:$H3273,원본명단!$H3273)=1),IF(원본명단!$I3273="",TRUE(),COUNTIF(원본명단!$I$3:$I3273,원본명단!$I3273)=1),IF(원본명단!$K3273="",TRUE(),COUNTIF(원본명단!$K$3:$K3273,원본명단!$K3273)=1)),"첫 건","중복 건")))</f>
        <v/>
      </c>
      <c r="J3274" s="11" t="str">
        <f aca="false">IF($A3274="","",IF($H3274="-","유지",IF($I3274="첫 건","유지","확인 필요")))</f>
        <v/>
      </c>
    </row>
    <row r="3275" customFormat="false" ht="15" hidden="false" customHeight="true" outlineLevel="0" collapsed="false">
      <c r="A3275" s="11" t="str">
        <f aca="false">IF(원본명단!$A3274="","",3272)</f>
        <v/>
      </c>
      <c r="B3275" s="12" t="str">
        <f aca="false">IF($A3275="","",원본명단!$A3274)</f>
        <v/>
      </c>
      <c r="C3275" s="12" t="str">
        <f aca="false">IF($A3275="","",원본명단!$B3274)</f>
        <v/>
      </c>
      <c r="D3275" s="12" t="str">
        <f aca="false">IF($A3275="","",원본명단!$D3274)</f>
        <v/>
      </c>
      <c r="E3275" s="11" t="str">
        <f aca="false">IF($A3275="","",IF(원본명단!$H3274="",0,COUNTIF(원본명단!$H$3:$H$6002,원본명단!$H3274)))</f>
        <v/>
      </c>
      <c r="F3275" s="11" t="str">
        <f aca="false">IF($A3275="","",IF(원본명단!$I3274="",0,COUNTIF(원본명단!$I$3:$I$6002,원본명단!$I3274)))</f>
        <v/>
      </c>
      <c r="G3275" s="11" t="str">
        <f aca="false">IF($A3275="","",IF(원본명단!$K3274="",0,COUNTIF(원본명단!$K$3:$K$6002,원본명단!$K3274)))</f>
        <v/>
      </c>
      <c r="H3275" s="11" t="str">
        <f aca="false">IF($A3275="","",IF(MAX($E3275,$F3275,$G3275)&gt;1,"중복","-"))</f>
        <v/>
      </c>
      <c r="I3275" s="11" t="str">
        <f aca="false">IF($A3275="","",IF($H3275="-","-",IF(AND(IF(원본명단!$H3274="",TRUE(),COUNTIF(원본명단!$H$3:$H3274,원본명단!$H3274)=1),IF(원본명단!$I3274="",TRUE(),COUNTIF(원본명단!$I$3:$I3274,원본명단!$I3274)=1),IF(원본명단!$K3274="",TRUE(),COUNTIF(원본명단!$K$3:$K3274,원본명단!$K3274)=1)),"첫 건","중복 건")))</f>
        <v/>
      </c>
      <c r="J3275" s="11" t="str">
        <f aca="false">IF($A3275="","",IF($H3275="-","유지",IF($I3275="첫 건","유지","확인 필요")))</f>
        <v/>
      </c>
    </row>
    <row r="3276" customFormat="false" ht="15" hidden="false" customHeight="true" outlineLevel="0" collapsed="false">
      <c r="A3276" s="11" t="str">
        <f aca="false">IF(원본명단!$A3275="","",3273)</f>
        <v/>
      </c>
      <c r="B3276" s="12" t="str">
        <f aca="false">IF($A3276="","",원본명단!$A3275)</f>
        <v/>
      </c>
      <c r="C3276" s="12" t="str">
        <f aca="false">IF($A3276="","",원본명단!$B3275)</f>
        <v/>
      </c>
      <c r="D3276" s="12" t="str">
        <f aca="false">IF($A3276="","",원본명단!$D3275)</f>
        <v/>
      </c>
      <c r="E3276" s="11" t="str">
        <f aca="false">IF($A3276="","",IF(원본명단!$H3275="",0,COUNTIF(원본명단!$H$3:$H$6002,원본명단!$H3275)))</f>
        <v/>
      </c>
      <c r="F3276" s="11" t="str">
        <f aca="false">IF($A3276="","",IF(원본명단!$I3275="",0,COUNTIF(원본명단!$I$3:$I$6002,원본명단!$I3275)))</f>
        <v/>
      </c>
      <c r="G3276" s="11" t="str">
        <f aca="false">IF($A3276="","",IF(원본명단!$K3275="",0,COUNTIF(원본명단!$K$3:$K$6002,원본명단!$K3275)))</f>
        <v/>
      </c>
      <c r="H3276" s="11" t="str">
        <f aca="false">IF($A3276="","",IF(MAX($E3276,$F3276,$G3276)&gt;1,"중복","-"))</f>
        <v/>
      </c>
      <c r="I3276" s="11" t="str">
        <f aca="false">IF($A3276="","",IF($H3276="-","-",IF(AND(IF(원본명단!$H3275="",TRUE(),COUNTIF(원본명단!$H$3:$H3275,원본명단!$H3275)=1),IF(원본명단!$I3275="",TRUE(),COUNTIF(원본명단!$I$3:$I3275,원본명단!$I3275)=1),IF(원본명단!$K3275="",TRUE(),COUNTIF(원본명단!$K$3:$K3275,원본명단!$K3275)=1)),"첫 건","중복 건")))</f>
        <v/>
      </c>
      <c r="J3276" s="11" t="str">
        <f aca="false">IF($A3276="","",IF($H3276="-","유지",IF($I3276="첫 건","유지","확인 필요")))</f>
        <v/>
      </c>
    </row>
    <row r="3277" customFormat="false" ht="15" hidden="false" customHeight="true" outlineLevel="0" collapsed="false">
      <c r="A3277" s="11" t="str">
        <f aca="false">IF(원본명단!$A3276="","",3274)</f>
        <v/>
      </c>
      <c r="B3277" s="12" t="str">
        <f aca="false">IF($A3277="","",원본명단!$A3276)</f>
        <v/>
      </c>
      <c r="C3277" s="12" t="str">
        <f aca="false">IF($A3277="","",원본명단!$B3276)</f>
        <v/>
      </c>
      <c r="D3277" s="12" t="str">
        <f aca="false">IF($A3277="","",원본명단!$D3276)</f>
        <v/>
      </c>
      <c r="E3277" s="11" t="str">
        <f aca="false">IF($A3277="","",IF(원본명단!$H3276="",0,COUNTIF(원본명단!$H$3:$H$6002,원본명단!$H3276)))</f>
        <v/>
      </c>
      <c r="F3277" s="11" t="str">
        <f aca="false">IF($A3277="","",IF(원본명단!$I3276="",0,COUNTIF(원본명단!$I$3:$I$6002,원본명단!$I3276)))</f>
        <v/>
      </c>
      <c r="G3277" s="11" t="str">
        <f aca="false">IF($A3277="","",IF(원본명단!$K3276="",0,COUNTIF(원본명단!$K$3:$K$6002,원본명단!$K3276)))</f>
        <v/>
      </c>
      <c r="H3277" s="11" t="str">
        <f aca="false">IF($A3277="","",IF(MAX($E3277,$F3277,$G3277)&gt;1,"중복","-"))</f>
        <v/>
      </c>
      <c r="I3277" s="11" t="str">
        <f aca="false">IF($A3277="","",IF($H3277="-","-",IF(AND(IF(원본명단!$H3276="",TRUE(),COUNTIF(원본명단!$H$3:$H3276,원본명단!$H3276)=1),IF(원본명단!$I3276="",TRUE(),COUNTIF(원본명단!$I$3:$I3276,원본명단!$I3276)=1),IF(원본명단!$K3276="",TRUE(),COUNTIF(원본명단!$K$3:$K3276,원본명단!$K3276)=1)),"첫 건","중복 건")))</f>
        <v/>
      </c>
      <c r="J3277" s="11" t="str">
        <f aca="false">IF($A3277="","",IF($H3277="-","유지",IF($I3277="첫 건","유지","확인 필요")))</f>
        <v/>
      </c>
    </row>
    <row r="3278" customFormat="false" ht="15" hidden="false" customHeight="true" outlineLevel="0" collapsed="false">
      <c r="A3278" s="11" t="str">
        <f aca="false">IF(원본명단!$A3277="","",3275)</f>
        <v/>
      </c>
      <c r="B3278" s="12" t="str">
        <f aca="false">IF($A3278="","",원본명단!$A3277)</f>
        <v/>
      </c>
      <c r="C3278" s="12" t="str">
        <f aca="false">IF($A3278="","",원본명단!$B3277)</f>
        <v/>
      </c>
      <c r="D3278" s="12" t="str">
        <f aca="false">IF($A3278="","",원본명단!$D3277)</f>
        <v/>
      </c>
      <c r="E3278" s="11" t="str">
        <f aca="false">IF($A3278="","",IF(원본명단!$H3277="",0,COUNTIF(원본명단!$H$3:$H$6002,원본명단!$H3277)))</f>
        <v/>
      </c>
      <c r="F3278" s="11" t="str">
        <f aca="false">IF($A3278="","",IF(원본명단!$I3277="",0,COUNTIF(원본명단!$I$3:$I$6002,원본명단!$I3277)))</f>
        <v/>
      </c>
      <c r="G3278" s="11" t="str">
        <f aca="false">IF($A3278="","",IF(원본명단!$K3277="",0,COUNTIF(원본명단!$K$3:$K$6002,원본명단!$K3277)))</f>
        <v/>
      </c>
      <c r="H3278" s="11" t="str">
        <f aca="false">IF($A3278="","",IF(MAX($E3278,$F3278,$G3278)&gt;1,"중복","-"))</f>
        <v/>
      </c>
      <c r="I3278" s="11" t="str">
        <f aca="false">IF($A3278="","",IF($H3278="-","-",IF(AND(IF(원본명단!$H3277="",TRUE(),COUNTIF(원본명단!$H$3:$H3277,원본명단!$H3277)=1),IF(원본명단!$I3277="",TRUE(),COUNTIF(원본명단!$I$3:$I3277,원본명단!$I3277)=1),IF(원본명단!$K3277="",TRUE(),COUNTIF(원본명단!$K$3:$K3277,원본명단!$K3277)=1)),"첫 건","중복 건")))</f>
        <v/>
      </c>
      <c r="J3278" s="11" t="str">
        <f aca="false">IF($A3278="","",IF($H3278="-","유지",IF($I3278="첫 건","유지","확인 필요")))</f>
        <v/>
      </c>
    </row>
    <row r="3279" customFormat="false" ht="15" hidden="false" customHeight="true" outlineLevel="0" collapsed="false">
      <c r="A3279" s="11" t="str">
        <f aca="false">IF(원본명단!$A3278="","",3276)</f>
        <v/>
      </c>
      <c r="B3279" s="12" t="str">
        <f aca="false">IF($A3279="","",원본명단!$A3278)</f>
        <v/>
      </c>
      <c r="C3279" s="12" t="str">
        <f aca="false">IF($A3279="","",원본명단!$B3278)</f>
        <v/>
      </c>
      <c r="D3279" s="12" t="str">
        <f aca="false">IF($A3279="","",원본명단!$D3278)</f>
        <v/>
      </c>
      <c r="E3279" s="11" t="str">
        <f aca="false">IF($A3279="","",IF(원본명단!$H3278="",0,COUNTIF(원본명단!$H$3:$H$6002,원본명단!$H3278)))</f>
        <v/>
      </c>
      <c r="F3279" s="11" t="str">
        <f aca="false">IF($A3279="","",IF(원본명단!$I3278="",0,COUNTIF(원본명단!$I$3:$I$6002,원본명단!$I3278)))</f>
        <v/>
      </c>
      <c r="G3279" s="11" t="str">
        <f aca="false">IF($A3279="","",IF(원본명단!$K3278="",0,COUNTIF(원본명단!$K$3:$K$6002,원본명단!$K3278)))</f>
        <v/>
      </c>
      <c r="H3279" s="11" t="str">
        <f aca="false">IF($A3279="","",IF(MAX($E3279,$F3279,$G3279)&gt;1,"중복","-"))</f>
        <v/>
      </c>
      <c r="I3279" s="11" t="str">
        <f aca="false">IF($A3279="","",IF($H3279="-","-",IF(AND(IF(원본명단!$H3278="",TRUE(),COUNTIF(원본명단!$H$3:$H3278,원본명단!$H3278)=1),IF(원본명단!$I3278="",TRUE(),COUNTIF(원본명단!$I$3:$I3278,원본명단!$I3278)=1),IF(원본명단!$K3278="",TRUE(),COUNTIF(원본명단!$K$3:$K3278,원본명단!$K3278)=1)),"첫 건","중복 건")))</f>
        <v/>
      </c>
      <c r="J3279" s="11" t="str">
        <f aca="false">IF($A3279="","",IF($H3279="-","유지",IF($I3279="첫 건","유지","확인 필요")))</f>
        <v/>
      </c>
    </row>
    <row r="3280" customFormat="false" ht="15" hidden="false" customHeight="true" outlineLevel="0" collapsed="false">
      <c r="A3280" s="11" t="str">
        <f aca="false">IF(원본명단!$A3279="","",3277)</f>
        <v/>
      </c>
      <c r="B3280" s="12" t="str">
        <f aca="false">IF($A3280="","",원본명단!$A3279)</f>
        <v/>
      </c>
      <c r="C3280" s="12" t="str">
        <f aca="false">IF($A3280="","",원본명단!$B3279)</f>
        <v/>
      </c>
      <c r="D3280" s="12" t="str">
        <f aca="false">IF($A3280="","",원본명단!$D3279)</f>
        <v/>
      </c>
      <c r="E3280" s="11" t="str">
        <f aca="false">IF($A3280="","",IF(원본명단!$H3279="",0,COUNTIF(원본명단!$H$3:$H$6002,원본명단!$H3279)))</f>
        <v/>
      </c>
      <c r="F3280" s="11" t="str">
        <f aca="false">IF($A3280="","",IF(원본명단!$I3279="",0,COUNTIF(원본명단!$I$3:$I$6002,원본명단!$I3279)))</f>
        <v/>
      </c>
      <c r="G3280" s="11" t="str">
        <f aca="false">IF($A3280="","",IF(원본명단!$K3279="",0,COUNTIF(원본명단!$K$3:$K$6002,원본명단!$K3279)))</f>
        <v/>
      </c>
      <c r="H3280" s="11" t="str">
        <f aca="false">IF($A3280="","",IF(MAX($E3280,$F3280,$G3280)&gt;1,"중복","-"))</f>
        <v/>
      </c>
      <c r="I3280" s="11" t="str">
        <f aca="false">IF($A3280="","",IF($H3280="-","-",IF(AND(IF(원본명단!$H3279="",TRUE(),COUNTIF(원본명단!$H$3:$H3279,원본명단!$H3279)=1),IF(원본명단!$I3279="",TRUE(),COUNTIF(원본명단!$I$3:$I3279,원본명단!$I3279)=1),IF(원본명단!$K3279="",TRUE(),COUNTIF(원본명단!$K$3:$K3279,원본명단!$K3279)=1)),"첫 건","중복 건")))</f>
        <v/>
      </c>
      <c r="J3280" s="11" t="str">
        <f aca="false">IF($A3280="","",IF($H3280="-","유지",IF($I3280="첫 건","유지","확인 필요")))</f>
        <v/>
      </c>
    </row>
    <row r="3281" customFormat="false" ht="15" hidden="false" customHeight="true" outlineLevel="0" collapsed="false">
      <c r="A3281" s="11" t="str">
        <f aca="false">IF(원본명단!$A3280="","",3278)</f>
        <v/>
      </c>
      <c r="B3281" s="12" t="str">
        <f aca="false">IF($A3281="","",원본명단!$A3280)</f>
        <v/>
      </c>
      <c r="C3281" s="12" t="str">
        <f aca="false">IF($A3281="","",원본명단!$B3280)</f>
        <v/>
      </c>
      <c r="D3281" s="12" t="str">
        <f aca="false">IF($A3281="","",원본명단!$D3280)</f>
        <v/>
      </c>
      <c r="E3281" s="11" t="str">
        <f aca="false">IF($A3281="","",IF(원본명단!$H3280="",0,COUNTIF(원본명단!$H$3:$H$6002,원본명단!$H3280)))</f>
        <v/>
      </c>
      <c r="F3281" s="11" t="str">
        <f aca="false">IF($A3281="","",IF(원본명단!$I3280="",0,COUNTIF(원본명단!$I$3:$I$6002,원본명단!$I3280)))</f>
        <v/>
      </c>
      <c r="G3281" s="11" t="str">
        <f aca="false">IF($A3281="","",IF(원본명단!$K3280="",0,COUNTIF(원본명단!$K$3:$K$6002,원본명단!$K3280)))</f>
        <v/>
      </c>
      <c r="H3281" s="11" t="str">
        <f aca="false">IF($A3281="","",IF(MAX($E3281,$F3281,$G3281)&gt;1,"중복","-"))</f>
        <v/>
      </c>
      <c r="I3281" s="11" t="str">
        <f aca="false">IF($A3281="","",IF($H3281="-","-",IF(AND(IF(원본명단!$H3280="",TRUE(),COUNTIF(원본명단!$H$3:$H3280,원본명단!$H3280)=1),IF(원본명단!$I3280="",TRUE(),COUNTIF(원본명단!$I$3:$I3280,원본명단!$I3280)=1),IF(원본명단!$K3280="",TRUE(),COUNTIF(원본명단!$K$3:$K3280,원본명단!$K3280)=1)),"첫 건","중복 건")))</f>
        <v/>
      </c>
      <c r="J3281" s="11" t="str">
        <f aca="false">IF($A3281="","",IF($H3281="-","유지",IF($I3281="첫 건","유지","확인 필요")))</f>
        <v/>
      </c>
    </row>
    <row r="3282" customFormat="false" ht="15" hidden="false" customHeight="true" outlineLevel="0" collapsed="false">
      <c r="A3282" s="11" t="str">
        <f aca="false">IF(원본명단!$A3281="","",3279)</f>
        <v/>
      </c>
      <c r="B3282" s="12" t="str">
        <f aca="false">IF($A3282="","",원본명단!$A3281)</f>
        <v/>
      </c>
      <c r="C3282" s="12" t="str">
        <f aca="false">IF($A3282="","",원본명단!$B3281)</f>
        <v/>
      </c>
      <c r="D3282" s="12" t="str">
        <f aca="false">IF($A3282="","",원본명단!$D3281)</f>
        <v/>
      </c>
      <c r="E3282" s="11" t="str">
        <f aca="false">IF($A3282="","",IF(원본명단!$H3281="",0,COUNTIF(원본명단!$H$3:$H$6002,원본명단!$H3281)))</f>
        <v/>
      </c>
      <c r="F3282" s="11" t="str">
        <f aca="false">IF($A3282="","",IF(원본명단!$I3281="",0,COUNTIF(원본명단!$I$3:$I$6002,원본명단!$I3281)))</f>
        <v/>
      </c>
      <c r="G3282" s="11" t="str">
        <f aca="false">IF($A3282="","",IF(원본명단!$K3281="",0,COUNTIF(원본명단!$K$3:$K$6002,원본명단!$K3281)))</f>
        <v/>
      </c>
      <c r="H3282" s="11" t="str">
        <f aca="false">IF($A3282="","",IF(MAX($E3282,$F3282,$G3282)&gt;1,"중복","-"))</f>
        <v/>
      </c>
      <c r="I3282" s="11" t="str">
        <f aca="false">IF($A3282="","",IF($H3282="-","-",IF(AND(IF(원본명단!$H3281="",TRUE(),COUNTIF(원본명단!$H$3:$H3281,원본명단!$H3281)=1),IF(원본명단!$I3281="",TRUE(),COUNTIF(원본명단!$I$3:$I3281,원본명단!$I3281)=1),IF(원본명단!$K3281="",TRUE(),COUNTIF(원본명단!$K$3:$K3281,원본명단!$K3281)=1)),"첫 건","중복 건")))</f>
        <v/>
      </c>
      <c r="J3282" s="11" t="str">
        <f aca="false">IF($A3282="","",IF($H3282="-","유지",IF($I3282="첫 건","유지","확인 필요")))</f>
        <v/>
      </c>
    </row>
    <row r="3283" customFormat="false" ht="15" hidden="false" customHeight="true" outlineLevel="0" collapsed="false">
      <c r="A3283" s="11" t="str">
        <f aca="false">IF(원본명단!$A3282="","",3280)</f>
        <v/>
      </c>
      <c r="B3283" s="12" t="str">
        <f aca="false">IF($A3283="","",원본명단!$A3282)</f>
        <v/>
      </c>
      <c r="C3283" s="12" t="str">
        <f aca="false">IF($A3283="","",원본명단!$B3282)</f>
        <v/>
      </c>
      <c r="D3283" s="12" t="str">
        <f aca="false">IF($A3283="","",원본명단!$D3282)</f>
        <v/>
      </c>
      <c r="E3283" s="11" t="str">
        <f aca="false">IF($A3283="","",IF(원본명단!$H3282="",0,COUNTIF(원본명단!$H$3:$H$6002,원본명단!$H3282)))</f>
        <v/>
      </c>
      <c r="F3283" s="11" t="str">
        <f aca="false">IF($A3283="","",IF(원본명단!$I3282="",0,COUNTIF(원본명단!$I$3:$I$6002,원본명단!$I3282)))</f>
        <v/>
      </c>
      <c r="G3283" s="11" t="str">
        <f aca="false">IF($A3283="","",IF(원본명단!$K3282="",0,COUNTIF(원본명단!$K$3:$K$6002,원본명단!$K3282)))</f>
        <v/>
      </c>
      <c r="H3283" s="11" t="str">
        <f aca="false">IF($A3283="","",IF(MAX($E3283,$F3283,$G3283)&gt;1,"중복","-"))</f>
        <v/>
      </c>
      <c r="I3283" s="11" t="str">
        <f aca="false">IF($A3283="","",IF($H3283="-","-",IF(AND(IF(원본명단!$H3282="",TRUE(),COUNTIF(원본명단!$H$3:$H3282,원본명단!$H3282)=1),IF(원본명단!$I3282="",TRUE(),COUNTIF(원본명단!$I$3:$I3282,원본명단!$I3282)=1),IF(원본명단!$K3282="",TRUE(),COUNTIF(원본명단!$K$3:$K3282,원본명단!$K3282)=1)),"첫 건","중복 건")))</f>
        <v/>
      </c>
      <c r="J3283" s="11" t="str">
        <f aca="false">IF($A3283="","",IF($H3283="-","유지",IF($I3283="첫 건","유지","확인 필요")))</f>
        <v/>
      </c>
    </row>
    <row r="3284" customFormat="false" ht="15" hidden="false" customHeight="true" outlineLevel="0" collapsed="false">
      <c r="A3284" s="11" t="str">
        <f aca="false">IF(원본명단!$A3283="","",3281)</f>
        <v/>
      </c>
      <c r="B3284" s="12" t="str">
        <f aca="false">IF($A3284="","",원본명단!$A3283)</f>
        <v/>
      </c>
      <c r="C3284" s="12" t="str">
        <f aca="false">IF($A3284="","",원본명단!$B3283)</f>
        <v/>
      </c>
      <c r="D3284" s="12" t="str">
        <f aca="false">IF($A3284="","",원본명단!$D3283)</f>
        <v/>
      </c>
      <c r="E3284" s="11" t="str">
        <f aca="false">IF($A3284="","",IF(원본명단!$H3283="",0,COUNTIF(원본명단!$H$3:$H$6002,원본명단!$H3283)))</f>
        <v/>
      </c>
      <c r="F3284" s="11" t="str">
        <f aca="false">IF($A3284="","",IF(원본명단!$I3283="",0,COUNTIF(원본명단!$I$3:$I$6002,원본명단!$I3283)))</f>
        <v/>
      </c>
      <c r="G3284" s="11" t="str">
        <f aca="false">IF($A3284="","",IF(원본명단!$K3283="",0,COUNTIF(원본명단!$K$3:$K$6002,원본명단!$K3283)))</f>
        <v/>
      </c>
      <c r="H3284" s="11" t="str">
        <f aca="false">IF($A3284="","",IF(MAX($E3284,$F3284,$G3284)&gt;1,"중복","-"))</f>
        <v/>
      </c>
      <c r="I3284" s="11" t="str">
        <f aca="false">IF($A3284="","",IF($H3284="-","-",IF(AND(IF(원본명단!$H3283="",TRUE(),COUNTIF(원본명단!$H$3:$H3283,원본명단!$H3283)=1),IF(원본명단!$I3283="",TRUE(),COUNTIF(원본명단!$I$3:$I3283,원본명단!$I3283)=1),IF(원본명단!$K3283="",TRUE(),COUNTIF(원본명단!$K$3:$K3283,원본명단!$K3283)=1)),"첫 건","중복 건")))</f>
        <v/>
      </c>
      <c r="J3284" s="11" t="str">
        <f aca="false">IF($A3284="","",IF($H3284="-","유지",IF($I3284="첫 건","유지","확인 필요")))</f>
        <v/>
      </c>
    </row>
    <row r="3285" customFormat="false" ht="15" hidden="false" customHeight="true" outlineLevel="0" collapsed="false">
      <c r="A3285" s="11" t="str">
        <f aca="false">IF(원본명단!$A3284="","",3282)</f>
        <v/>
      </c>
      <c r="B3285" s="12" t="str">
        <f aca="false">IF($A3285="","",원본명단!$A3284)</f>
        <v/>
      </c>
      <c r="C3285" s="12" t="str">
        <f aca="false">IF($A3285="","",원본명단!$B3284)</f>
        <v/>
      </c>
      <c r="D3285" s="12" t="str">
        <f aca="false">IF($A3285="","",원본명단!$D3284)</f>
        <v/>
      </c>
      <c r="E3285" s="11" t="str">
        <f aca="false">IF($A3285="","",IF(원본명단!$H3284="",0,COUNTIF(원본명단!$H$3:$H$6002,원본명단!$H3284)))</f>
        <v/>
      </c>
      <c r="F3285" s="11" t="str">
        <f aca="false">IF($A3285="","",IF(원본명단!$I3284="",0,COUNTIF(원본명단!$I$3:$I$6002,원본명단!$I3284)))</f>
        <v/>
      </c>
      <c r="G3285" s="11" t="str">
        <f aca="false">IF($A3285="","",IF(원본명단!$K3284="",0,COUNTIF(원본명단!$K$3:$K$6002,원본명단!$K3284)))</f>
        <v/>
      </c>
      <c r="H3285" s="11" t="str">
        <f aca="false">IF($A3285="","",IF(MAX($E3285,$F3285,$G3285)&gt;1,"중복","-"))</f>
        <v/>
      </c>
      <c r="I3285" s="11" t="str">
        <f aca="false">IF($A3285="","",IF($H3285="-","-",IF(AND(IF(원본명단!$H3284="",TRUE(),COUNTIF(원본명단!$H$3:$H3284,원본명단!$H3284)=1),IF(원본명단!$I3284="",TRUE(),COUNTIF(원본명단!$I$3:$I3284,원본명단!$I3284)=1),IF(원본명단!$K3284="",TRUE(),COUNTIF(원본명단!$K$3:$K3284,원본명단!$K3284)=1)),"첫 건","중복 건")))</f>
        <v/>
      </c>
      <c r="J3285" s="11" t="str">
        <f aca="false">IF($A3285="","",IF($H3285="-","유지",IF($I3285="첫 건","유지","확인 필요")))</f>
        <v/>
      </c>
    </row>
    <row r="3286" customFormat="false" ht="15" hidden="false" customHeight="true" outlineLevel="0" collapsed="false">
      <c r="A3286" s="11" t="str">
        <f aca="false">IF(원본명단!$A3285="","",3283)</f>
        <v/>
      </c>
      <c r="B3286" s="12" t="str">
        <f aca="false">IF($A3286="","",원본명단!$A3285)</f>
        <v/>
      </c>
      <c r="C3286" s="12" t="str">
        <f aca="false">IF($A3286="","",원본명단!$B3285)</f>
        <v/>
      </c>
      <c r="D3286" s="12" t="str">
        <f aca="false">IF($A3286="","",원본명단!$D3285)</f>
        <v/>
      </c>
      <c r="E3286" s="11" t="str">
        <f aca="false">IF($A3286="","",IF(원본명단!$H3285="",0,COUNTIF(원본명단!$H$3:$H$6002,원본명단!$H3285)))</f>
        <v/>
      </c>
      <c r="F3286" s="11" t="str">
        <f aca="false">IF($A3286="","",IF(원본명단!$I3285="",0,COUNTIF(원본명단!$I$3:$I$6002,원본명단!$I3285)))</f>
        <v/>
      </c>
      <c r="G3286" s="11" t="str">
        <f aca="false">IF($A3286="","",IF(원본명단!$K3285="",0,COUNTIF(원본명단!$K$3:$K$6002,원본명단!$K3285)))</f>
        <v/>
      </c>
      <c r="H3286" s="11" t="str">
        <f aca="false">IF($A3286="","",IF(MAX($E3286,$F3286,$G3286)&gt;1,"중복","-"))</f>
        <v/>
      </c>
      <c r="I3286" s="11" t="str">
        <f aca="false">IF($A3286="","",IF($H3286="-","-",IF(AND(IF(원본명단!$H3285="",TRUE(),COUNTIF(원본명단!$H$3:$H3285,원본명단!$H3285)=1),IF(원본명단!$I3285="",TRUE(),COUNTIF(원본명단!$I$3:$I3285,원본명단!$I3285)=1),IF(원본명단!$K3285="",TRUE(),COUNTIF(원본명단!$K$3:$K3285,원본명단!$K3285)=1)),"첫 건","중복 건")))</f>
        <v/>
      </c>
      <c r="J3286" s="11" t="str">
        <f aca="false">IF($A3286="","",IF($H3286="-","유지",IF($I3286="첫 건","유지","확인 필요")))</f>
        <v/>
      </c>
    </row>
    <row r="3287" customFormat="false" ht="15" hidden="false" customHeight="true" outlineLevel="0" collapsed="false">
      <c r="A3287" s="11" t="str">
        <f aca="false">IF(원본명단!$A3286="","",3284)</f>
        <v/>
      </c>
      <c r="B3287" s="12" t="str">
        <f aca="false">IF($A3287="","",원본명단!$A3286)</f>
        <v/>
      </c>
      <c r="C3287" s="12" t="str">
        <f aca="false">IF($A3287="","",원본명단!$B3286)</f>
        <v/>
      </c>
      <c r="D3287" s="12" t="str">
        <f aca="false">IF($A3287="","",원본명단!$D3286)</f>
        <v/>
      </c>
      <c r="E3287" s="11" t="str">
        <f aca="false">IF($A3287="","",IF(원본명단!$H3286="",0,COUNTIF(원본명단!$H$3:$H$6002,원본명단!$H3286)))</f>
        <v/>
      </c>
      <c r="F3287" s="11" t="str">
        <f aca="false">IF($A3287="","",IF(원본명단!$I3286="",0,COUNTIF(원본명단!$I$3:$I$6002,원본명단!$I3286)))</f>
        <v/>
      </c>
      <c r="G3287" s="11" t="str">
        <f aca="false">IF($A3287="","",IF(원본명단!$K3286="",0,COUNTIF(원본명단!$K$3:$K$6002,원본명단!$K3286)))</f>
        <v/>
      </c>
      <c r="H3287" s="11" t="str">
        <f aca="false">IF($A3287="","",IF(MAX($E3287,$F3287,$G3287)&gt;1,"중복","-"))</f>
        <v/>
      </c>
      <c r="I3287" s="11" t="str">
        <f aca="false">IF($A3287="","",IF($H3287="-","-",IF(AND(IF(원본명단!$H3286="",TRUE(),COUNTIF(원본명단!$H$3:$H3286,원본명단!$H3286)=1),IF(원본명단!$I3286="",TRUE(),COUNTIF(원본명단!$I$3:$I3286,원본명단!$I3286)=1),IF(원본명단!$K3286="",TRUE(),COUNTIF(원본명단!$K$3:$K3286,원본명단!$K3286)=1)),"첫 건","중복 건")))</f>
        <v/>
      </c>
      <c r="J3287" s="11" t="str">
        <f aca="false">IF($A3287="","",IF($H3287="-","유지",IF($I3287="첫 건","유지","확인 필요")))</f>
        <v/>
      </c>
    </row>
    <row r="3288" customFormat="false" ht="15" hidden="false" customHeight="true" outlineLevel="0" collapsed="false">
      <c r="A3288" s="11" t="str">
        <f aca="false">IF(원본명단!$A3287="","",3285)</f>
        <v/>
      </c>
      <c r="B3288" s="12" t="str">
        <f aca="false">IF($A3288="","",원본명단!$A3287)</f>
        <v/>
      </c>
      <c r="C3288" s="12" t="str">
        <f aca="false">IF($A3288="","",원본명단!$B3287)</f>
        <v/>
      </c>
      <c r="D3288" s="12" t="str">
        <f aca="false">IF($A3288="","",원본명단!$D3287)</f>
        <v/>
      </c>
      <c r="E3288" s="11" t="str">
        <f aca="false">IF($A3288="","",IF(원본명단!$H3287="",0,COUNTIF(원본명단!$H$3:$H$6002,원본명단!$H3287)))</f>
        <v/>
      </c>
      <c r="F3288" s="11" t="str">
        <f aca="false">IF($A3288="","",IF(원본명단!$I3287="",0,COUNTIF(원본명단!$I$3:$I$6002,원본명단!$I3287)))</f>
        <v/>
      </c>
      <c r="G3288" s="11" t="str">
        <f aca="false">IF($A3288="","",IF(원본명단!$K3287="",0,COUNTIF(원본명단!$K$3:$K$6002,원본명단!$K3287)))</f>
        <v/>
      </c>
      <c r="H3288" s="11" t="str">
        <f aca="false">IF($A3288="","",IF(MAX($E3288,$F3288,$G3288)&gt;1,"중복","-"))</f>
        <v/>
      </c>
      <c r="I3288" s="11" t="str">
        <f aca="false">IF($A3288="","",IF($H3288="-","-",IF(AND(IF(원본명단!$H3287="",TRUE(),COUNTIF(원본명단!$H$3:$H3287,원본명단!$H3287)=1),IF(원본명단!$I3287="",TRUE(),COUNTIF(원본명단!$I$3:$I3287,원본명단!$I3287)=1),IF(원본명단!$K3287="",TRUE(),COUNTIF(원본명단!$K$3:$K3287,원본명단!$K3287)=1)),"첫 건","중복 건")))</f>
        <v/>
      </c>
      <c r="J3288" s="11" t="str">
        <f aca="false">IF($A3288="","",IF($H3288="-","유지",IF($I3288="첫 건","유지","확인 필요")))</f>
        <v/>
      </c>
    </row>
    <row r="3289" customFormat="false" ht="15" hidden="false" customHeight="true" outlineLevel="0" collapsed="false">
      <c r="A3289" s="11" t="str">
        <f aca="false">IF(원본명단!$A3288="","",3286)</f>
        <v/>
      </c>
      <c r="B3289" s="12" t="str">
        <f aca="false">IF($A3289="","",원본명단!$A3288)</f>
        <v/>
      </c>
      <c r="C3289" s="12" t="str">
        <f aca="false">IF($A3289="","",원본명단!$B3288)</f>
        <v/>
      </c>
      <c r="D3289" s="12" t="str">
        <f aca="false">IF($A3289="","",원본명단!$D3288)</f>
        <v/>
      </c>
      <c r="E3289" s="11" t="str">
        <f aca="false">IF($A3289="","",IF(원본명단!$H3288="",0,COUNTIF(원본명단!$H$3:$H$6002,원본명단!$H3288)))</f>
        <v/>
      </c>
      <c r="F3289" s="11" t="str">
        <f aca="false">IF($A3289="","",IF(원본명단!$I3288="",0,COUNTIF(원본명단!$I$3:$I$6002,원본명단!$I3288)))</f>
        <v/>
      </c>
      <c r="G3289" s="11" t="str">
        <f aca="false">IF($A3289="","",IF(원본명단!$K3288="",0,COUNTIF(원본명단!$K$3:$K$6002,원본명단!$K3288)))</f>
        <v/>
      </c>
      <c r="H3289" s="11" t="str">
        <f aca="false">IF($A3289="","",IF(MAX($E3289,$F3289,$G3289)&gt;1,"중복","-"))</f>
        <v/>
      </c>
      <c r="I3289" s="11" t="str">
        <f aca="false">IF($A3289="","",IF($H3289="-","-",IF(AND(IF(원본명단!$H3288="",TRUE(),COUNTIF(원본명단!$H$3:$H3288,원본명단!$H3288)=1),IF(원본명단!$I3288="",TRUE(),COUNTIF(원본명단!$I$3:$I3288,원본명단!$I3288)=1),IF(원본명단!$K3288="",TRUE(),COUNTIF(원본명단!$K$3:$K3288,원본명단!$K3288)=1)),"첫 건","중복 건")))</f>
        <v/>
      </c>
      <c r="J3289" s="11" t="str">
        <f aca="false">IF($A3289="","",IF($H3289="-","유지",IF($I3289="첫 건","유지","확인 필요")))</f>
        <v/>
      </c>
    </row>
    <row r="3290" customFormat="false" ht="15" hidden="false" customHeight="true" outlineLevel="0" collapsed="false">
      <c r="A3290" s="11" t="str">
        <f aca="false">IF(원본명단!$A3289="","",3287)</f>
        <v/>
      </c>
      <c r="B3290" s="12" t="str">
        <f aca="false">IF($A3290="","",원본명단!$A3289)</f>
        <v/>
      </c>
      <c r="C3290" s="12" t="str">
        <f aca="false">IF($A3290="","",원본명단!$B3289)</f>
        <v/>
      </c>
      <c r="D3290" s="12" t="str">
        <f aca="false">IF($A3290="","",원본명단!$D3289)</f>
        <v/>
      </c>
      <c r="E3290" s="11" t="str">
        <f aca="false">IF($A3290="","",IF(원본명단!$H3289="",0,COUNTIF(원본명단!$H$3:$H$6002,원본명단!$H3289)))</f>
        <v/>
      </c>
      <c r="F3290" s="11" t="str">
        <f aca="false">IF($A3290="","",IF(원본명단!$I3289="",0,COUNTIF(원본명단!$I$3:$I$6002,원본명단!$I3289)))</f>
        <v/>
      </c>
      <c r="G3290" s="11" t="str">
        <f aca="false">IF($A3290="","",IF(원본명단!$K3289="",0,COUNTIF(원본명단!$K$3:$K$6002,원본명단!$K3289)))</f>
        <v/>
      </c>
      <c r="H3290" s="11" t="str">
        <f aca="false">IF($A3290="","",IF(MAX($E3290,$F3290,$G3290)&gt;1,"중복","-"))</f>
        <v/>
      </c>
      <c r="I3290" s="11" t="str">
        <f aca="false">IF($A3290="","",IF($H3290="-","-",IF(AND(IF(원본명단!$H3289="",TRUE(),COUNTIF(원본명단!$H$3:$H3289,원본명단!$H3289)=1),IF(원본명단!$I3289="",TRUE(),COUNTIF(원본명단!$I$3:$I3289,원본명단!$I3289)=1),IF(원본명단!$K3289="",TRUE(),COUNTIF(원본명단!$K$3:$K3289,원본명단!$K3289)=1)),"첫 건","중복 건")))</f>
        <v/>
      </c>
      <c r="J3290" s="11" t="str">
        <f aca="false">IF($A3290="","",IF($H3290="-","유지",IF($I3290="첫 건","유지","확인 필요")))</f>
        <v/>
      </c>
    </row>
    <row r="3291" customFormat="false" ht="15" hidden="false" customHeight="true" outlineLevel="0" collapsed="false">
      <c r="A3291" s="11" t="str">
        <f aca="false">IF(원본명단!$A3290="","",3288)</f>
        <v/>
      </c>
      <c r="B3291" s="12" t="str">
        <f aca="false">IF($A3291="","",원본명단!$A3290)</f>
        <v/>
      </c>
      <c r="C3291" s="12" t="str">
        <f aca="false">IF($A3291="","",원본명단!$B3290)</f>
        <v/>
      </c>
      <c r="D3291" s="12" t="str">
        <f aca="false">IF($A3291="","",원본명단!$D3290)</f>
        <v/>
      </c>
      <c r="E3291" s="11" t="str">
        <f aca="false">IF($A3291="","",IF(원본명단!$H3290="",0,COUNTIF(원본명단!$H$3:$H$6002,원본명단!$H3290)))</f>
        <v/>
      </c>
      <c r="F3291" s="11" t="str">
        <f aca="false">IF($A3291="","",IF(원본명단!$I3290="",0,COUNTIF(원본명단!$I$3:$I$6002,원본명단!$I3290)))</f>
        <v/>
      </c>
      <c r="G3291" s="11" t="str">
        <f aca="false">IF($A3291="","",IF(원본명단!$K3290="",0,COUNTIF(원본명단!$K$3:$K$6002,원본명단!$K3290)))</f>
        <v/>
      </c>
      <c r="H3291" s="11" t="str">
        <f aca="false">IF($A3291="","",IF(MAX($E3291,$F3291,$G3291)&gt;1,"중복","-"))</f>
        <v/>
      </c>
      <c r="I3291" s="11" t="str">
        <f aca="false">IF($A3291="","",IF($H3291="-","-",IF(AND(IF(원본명단!$H3290="",TRUE(),COUNTIF(원본명단!$H$3:$H3290,원본명단!$H3290)=1),IF(원본명단!$I3290="",TRUE(),COUNTIF(원본명단!$I$3:$I3290,원본명단!$I3290)=1),IF(원본명단!$K3290="",TRUE(),COUNTIF(원본명단!$K$3:$K3290,원본명단!$K3290)=1)),"첫 건","중복 건")))</f>
        <v/>
      </c>
      <c r="J3291" s="11" t="str">
        <f aca="false">IF($A3291="","",IF($H3291="-","유지",IF($I3291="첫 건","유지","확인 필요")))</f>
        <v/>
      </c>
    </row>
    <row r="3292" customFormat="false" ht="15" hidden="false" customHeight="true" outlineLevel="0" collapsed="false">
      <c r="A3292" s="11" t="str">
        <f aca="false">IF(원본명단!$A3291="","",3289)</f>
        <v/>
      </c>
      <c r="B3292" s="12" t="str">
        <f aca="false">IF($A3292="","",원본명단!$A3291)</f>
        <v/>
      </c>
      <c r="C3292" s="12" t="str">
        <f aca="false">IF($A3292="","",원본명단!$B3291)</f>
        <v/>
      </c>
      <c r="D3292" s="12" t="str">
        <f aca="false">IF($A3292="","",원본명단!$D3291)</f>
        <v/>
      </c>
      <c r="E3292" s="11" t="str">
        <f aca="false">IF($A3292="","",IF(원본명단!$H3291="",0,COUNTIF(원본명단!$H$3:$H$6002,원본명단!$H3291)))</f>
        <v/>
      </c>
      <c r="F3292" s="11" t="str">
        <f aca="false">IF($A3292="","",IF(원본명단!$I3291="",0,COUNTIF(원본명단!$I$3:$I$6002,원본명단!$I3291)))</f>
        <v/>
      </c>
      <c r="G3292" s="11" t="str">
        <f aca="false">IF($A3292="","",IF(원본명단!$K3291="",0,COUNTIF(원본명단!$K$3:$K$6002,원본명단!$K3291)))</f>
        <v/>
      </c>
      <c r="H3292" s="11" t="str">
        <f aca="false">IF($A3292="","",IF(MAX($E3292,$F3292,$G3292)&gt;1,"중복","-"))</f>
        <v/>
      </c>
      <c r="I3292" s="11" t="str">
        <f aca="false">IF($A3292="","",IF($H3292="-","-",IF(AND(IF(원본명단!$H3291="",TRUE(),COUNTIF(원본명단!$H$3:$H3291,원본명단!$H3291)=1),IF(원본명단!$I3291="",TRUE(),COUNTIF(원본명단!$I$3:$I3291,원본명단!$I3291)=1),IF(원본명단!$K3291="",TRUE(),COUNTIF(원본명단!$K$3:$K3291,원본명단!$K3291)=1)),"첫 건","중복 건")))</f>
        <v/>
      </c>
      <c r="J3292" s="11" t="str">
        <f aca="false">IF($A3292="","",IF($H3292="-","유지",IF($I3292="첫 건","유지","확인 필요")))</f>
        <v/>
      </c>
    </row>
    <row r="3293" customFormat="false" ht="15" hidden="false" customHeight="true" outlineLevel="0" collapsed="false">
      <c r="A3293" s="11" t="str">
        <f aca="false">IF(원본명단!$A3292="","",3290)</f>
        <v/>
      </c>
      <c r="B3293" s="12" t="str">
        <f aca="false">IF($A3293="","",원본명단!$A3292)</f>
        <v/>
      </c>
      <c r="C3293" s="12" t="str">
        <f aca="false">IF($A3293="","",원본명단!$B3292)</f>
        <v/>
      </c>
      <c r="D3293" s="12" t="str">
        <f aca="false">IF($A3293="","",원본명단!$D3292)</f>
        <v/>
      </c>
      <c r="E3293" s="11" t="str">
        <f aca="false">IF($A3293="","",IF(원본명단!$H3292="",0,COUNTIF(원본명단!$H$3:$H$6002,원본명단!$H3292)))</f>
        <v/>
      </c>
      <c r="F3293" s="11" t="str">
        <f aca="false">IF($A3293="","",IF(원본명단!$I3292="",0,COUNTIF(원본명단!$I$3:$I$6002,원본명단!$I3292)))</f>
        <v/>
      </c>
      <c r="G3293" s="11" t="str">
        <f aca="false">IF($A3293="","",IF(원본명단!$K3292="",0,COUNTIF(원본명단!$K$3:$K$6002,원본명단!$K3292)))</f>
        <v/>
      </c>
      <c r="H3293" s="11" t="str">
        <f aca="false">IF($A3293="","",IF(MAX($E3293,$F3293,$G3293)&gt;1,"중복","-"))</f>
        <v/>
      </c>
      <c r="I3293" s="11" t="str">
        <f aca="false">IF($A3293="","",IF($H3293="-","-",IF(AND(IF(원본명단!$H3292="",TRUE(),COUNTIF(원본명단!$H$3:$H3292,원본명단!$H3292)=1),IF(원본명단!$I3292="",TRUE(),COUNTIF(원본명단!$I$3:$I3292,원본명단!$I3292)=1),IF(원본명단!$K3292="",TRUE(),COUNTIF(원본명단!$K$3:$K3292,원본명단!$K3292)=1)),"첫 건","중복 건")))</f>
        <v/>
      </c>
      <c r="J3293" s="11" t="str">
        <f aca="false">IF($A3293="","",IF($H3293="-","유지",IF($I3293="첫 건","유지","확인 필요")))</f>
        <v/>
      </c>
    </row>
    <row r="3294" customFormat="false" ht="15" hidden="false" customHeight="true" outlineLevel="0" collapsed="false">
      <c r="A3294" s="11" t="str">
        <f aca="false">IF(원본명단!$A3293="","",3291)</f>
        <v/>
      </c>
      <c r="B3294" s="12" t="str">
        <f aca="false">IF($A3294="","",원본명단!$A3293)</f>
        <v/>
      </c>
      <c r="C3294" s="12" t="str">
        <f aca="false">IF($A3294="","",원본명단!$B3293)</f>
        <v/>
      </c>
      <c r="D3294" s="12" t="str">
        <f aca="false">IF($A3294="","",원본명단!$D3293)</f>
        <v/>
      </c>
      <c r="E3294" s="11" t="str">
        <f aca="false">IF($A3294="","",IF(원본명단!$H3293="",0,COUNTIF(원본명단!$H$3:$H$6002,원본명단!$H3293)))</f>
        <v/>
      </c>
      <c r="F3294" s="11" t="str">
        <f aca="false">IF($A3294="","",IF(원본명단!$I3293="",0,COUNTIF(원본명단!$I$3:$I$6002,원본명단!$I3293)))</f>
        <v/>
      </c>
      <c r="G3294" s="11" t="str">
        <f aca="false">IF($A3294="","",IF(원본명단!$K3293="",0,COUNTIF(원본명단!$K$3:$K$6002,원본명단!$K3293)))</f>
        <v/>
      </c>
      <c r="H3294" s="11" t="str">
        <f aca="false">IF($A3294="","",IF(MAX($E3294,$F3294,$G3294)&gt;1,"중복","-"))</f>
        <v/>
      </c>
      <c r="I3294" s="11" t="str">
        <f aca="false">IF($A3294="","",IF($H3294="-","-",IF(AND(IF(원본명단!$H3293="",TRUE(),COUNTIF(원본명단!$H$3:$H3293,원본명단!$H3293)=1),IF(원본명단!$I3293="",TRUE(),COUNTIF(원본명단!$I$3:$I3293,원본명단!$I3293)=1),IF(원본명단!$K3293="",TRUE(),COUNTIF(원본명단!$K$3:$K3293,원본명단!$K3293)=1)),"첫 건","중복 건")))</f>
        <v/>
      </c>
      <c r="J3294" s="11" t="str">
        <f aca="false">IF($A3294="","",IF($H3294="-","유지",IF($I3294="첫 건","유지","확인 필요")))</f>
        <v/>
      </c>
    </row>
    <row r="3295" customFormat="false" ht="15" hidden="false" customHeight="true" outlineLevel="0" collapsed="false">
      <c r="A3295" s="11" t="str">
        <f aca="false">IF(원본명단!$A3294="","",3292)</f>
        <v/>
      </c>
      <c r="B3295" s="12" t="str">
        <f aca="false">IF($A3295="","",원본명단!$A3294)</f>
        <v/>
      </c>
      <c r="C3295" s="12" t="str">
        <f aca="false">IF($A3295="","",원본명단!$B3294)</f>
        <v/>
      </c>
      <c r="D3295" s="12" t="str">
        <f aca="false">IF($A3295="","",원본명단!$D3294)</f>
        <v/>
      </c>
      <c r="E3295" s="11" t="str">
        <f aca="false">IF($A3295="","",IF(원본명단!$H3294="",0,COUNTIF(원본명단!$H$3:$H$6002,원본명단!$H3294)))</f>
        <v/>
      </c>
      <c r="F3295" s="11" t="str">
        <f aca="false">IF($A3295="","",IF(원본명단!$I3294="",0,COUNTIF(원본명단!$I$3:$I$6002,원본명단!$I3294)))</f>
        <v/>
      </c>
      <c r="G3295" s="11" t="str">
        <f aca="false">IF($A3295="","",IF(원본명단!$K3294="",0,COUNTIF(원본명단!$K$3:$K$6002,원본명단!$K3294)))</f>
        <v/>
      </c>
      <c r="H3295" s="11" t="str">
        <f aca="false">IF($A3295="","",IF(MAX($E3295,$F3295,$G3295)&gt;1,"중복","-"))</f>
        <v/>
      </c>
      <c r="I3295" s="11" t="str">
        <f aca="false">IF($A3295="","",IF($H3295="-","-",IF(AND(IF(원본명단!$H3294="",TRUE(),COUNTIF(원본명단!$H$3:$H3294,원본명단!$H3294)=1),IF(원본명단!$I3294="",TRUE(),COUNTIF(원본명단!$I$3:$I3294,원본명단!$I3294)=1),IF(원본명단!$K3294="",TRUE(),COUNTIF(원본명단!$K$3:$K3294,원본명단!$K3294)=1)),"첫 건","중복 건")))</f>
        <v/>
      </c>
      <c r="J3295" s="11" t="str">
        <f aca="false">IF($A3295="","",IF($H3295="-","유지",IF($I3295="첫 건","유지","확인 필요")))</f>
        <v/>
      </c>
    </row>
    <row r="3296" customFormat="false" ht="15" hidden="false" customHeight="true" outlineLevel="0" collapsed="false">
      <c r="A3296" s="11" t="str">
        <f aca="false">IF(원본명단!$A3295="","",3293)</f>
        <v/>
      </c>
      <c r="B3296" s="12" t="str">
        <f aca="false">IF($A3296="","",원본명단!$A3295)</f>
        <v/>
      </c>
      <c r="C3296" s="12" t="str">
        <f aca="false">IF($A3296="","",원본명단!$B3295)</f>
        <v/>
      </c>
      <c r="D3296" s="12" t="str">
        <f aca="false">IF($A3296="","",원본명단!$D3295)</f>
        <v/>
      </c>
      <c r="E3296" s="11" t="str">
        <f aca="false">IF($A3296="","",IF(원본명단!$H3295="",0,COUNTIF(원본명단!$H$3:$H$6002,원본명단!$H3295)))</f>
        <v/>
      </c>
      <c r="F3296" s="11" t="str">
        <f aca="false">IF($A3296="","",IF(원본명단!$I3295="",0,COUNTIF(원본명단!$I$3:$I$6002,원본명단!$I3295)))</f>
        <v/>
      </c>
      <c r="G3296" s="11" t="str">
        <f aca="false">IF($A3296="","",IF(원본명단!$K3295="",0,COUNTIF(원본명단!$K$3:$K$6002,원본명단!$K3295)))</f>
        <v/>
      </c>
      <c r="H3296" s="11" t="str">
        <f aca="false">IF($A3296="","",IF(MAX($E3296,$F3296,$G3296)&gt;1,"중복","-"))</f>
        <v/>
      </c>
      <c r="I3296" s="11" t="str">
        <f aca="false">IF($A3296="","",IF($H3296="-","-",IF(AND(IF(원본명단!$H3295="",TRUE(),COUNTIF(원본명단!$H$3:$H3295,원본명단!$H3295)=1),IF(원본명단!$I3295="",TRUE(),COUNTIF(원본명단!$I$3:$I3295,원본명단!$I3295)=1),IF(원본명단!$K3295="",TRUE(),COUNTIF(원본명단!$K$3:$K3295,원본명단!$K3295)=1)),"첫 건","중복 건")))</f>
        <v/>
      </c>
      <c r="J3296" s="11" t="str">
        <f aca="false">IF($A3296="","",IF($H3296="-","유지",IF($I3296="첫 건","유지","확인 필요")))</f>
        <v/>
      </c>
    </row>
    <row r="3297" customFormat="false" ht="15" hidden="false" customHeight="true" outlineLevel="0" collapsed="false">
      <c r="A3297" s="11" t="str">
        <f aca="false">IF(원본명단!$A3296="","",3294)</f>
        <v/>
      </c>
      <c r="B3297" s="12" t="str">
        <f aca="false">IF($A3297="","",원본명단!$A3296)</f>
        <v/>
      </c>
      <c r="C3297" s="12" t="str">
        <f aca="false">IF($A3297="","",원본명단!$B3296)</f>
        <v/>
      </c>
      <c r="D3297" s="12" t="str">
        <f aca="false">IF($A3297="","",원본명단!$D3296)</f>
        <v/>
      </c>
      <c r="E3297" s="11" t="str">
        <f aca="false">IF($A3297="","",IF(원본명단!$H3296="",0,COUNTIF(원본명단!$H$3:$H$6002,원본명단!$H3296)))</f>
        <v/>
      </c>
      <c r="F3297" s="11" t="str">
        <f aca="false">IF($A3297="","",IF(원본명단!$I3296="",0,COUNTIF(원본명단!$I$3:$I$6002,원본명단!$I3296)))</f>
        <v/>
      </c>
      <c r="G3297" s="11" t="str">
        <f aca="false">IF($A3297="","",IF(원본명단!$K3296="",0,COUNTIF(원본명단!$K$3:$K$6002,원본명단!$K3296)))</f>
        <v/>
      </c>
      <c r="H3297" s="11" t="str">
        <f aca="false">IF($A3297="","",IF(MAX($E3297,$F3297,$G3297)&gt;1,"중복","-"))</f>
        <v/>
      </c>
      <c r="I3297" s="11" t="str">
        <f aca="false">IF($A3297="","",IF($H3297="-","-",IF(AND(IF(원본명단!$H3296="",TRUE(),COUNTIF(원본명단!$H$3:$H3296,원본명단!$H3296)=1),IF(원본명단!$I3296="",TRUE(),COUNTIF(원본명단!$I$3:$I3296,원본명단!$I3296)=1),IF(원본명단!$K3296="",TRUE(),COUNTIF(원본명단!$K$3:$K3296,원본명단!$K3296)=1)),"첫 건","중복 건")))</f>
        <v/>
      </c>
      <c r="J3297" s="11" t="str">
        <f aca="false">IF($A3297="","",IF($H3297="-","유지",IF($I3297="첫 건","유지","확인 필요")))</f>
        <v/>
      </c>
    </row>
    <row r="3298" customFormat="false" ht="15" hidden="false" customHeight="true" outlineLevel="0" collapsed="false">
      <c r="A3298" s="11" t="str">
        <f aca="false">IF(원본명단!$A3297="","",3295)</f>
        <v/>
      </c>
      <c r="B3298" s="12" t="str">
        <f aca="false">IF($A3298="","",원본명단!$A3297)</f>
        <v/>
      </c>
      <c r="C3298" s="12" t="str">
        <f aca="false">IF($A3298="","",원본명단!$B3297)</f>
        <v/>
      </c>
      <c r="D3298" s="12" t="str">
        <f aca="false">IF($A3298="","",원본명단!$D3297)</f>
        <v/>
      </c>
      <c r="E3298" s="11" t="str">
        <f aca="false">IF($A3298="","",IF(원본명단!$H3297="",0,COUNTIF(원본명단!$H$3:$H$6002,원본명단!$H3297)))</f>
        <v/>
      </c>
      <c r="F3298" s="11" t="str">
        <f aca="false">IF($A3298="","",IF(원본명단!$I3297="",0,COUNTIF(원본명단!$I$3:$I$6002,원본명단!$I3297)))</f>
        <v/>
      </c>
      <c r="G3298" s="11" t="str">
        <f aca="false">IF($A3298="","",IF(원본명단!$K3297="",0,COUNTIF(원본명단!$K$3:$K$6002,원본명단!$K3297)))</f>
        <v/>
      </c>
      <c r="H3298" s="11" t="str">
        <f aca="false">IF($A3298="","",IF(MAX($E3298,$F3298,$G3298)&gt;1,"중복","-"))</f>
        <v/>
      </c>
      <c r="I3298" s="11" t="str">
        <f aca="false">IF($A3298="","",IF($H3298="-","-",IF(AND(IF(원본명단!$H3297="",TRUE(),COUNTIF(원본명단!$H$3:$H3297,원본명단!$H3297)=1),IF(원본명단!$I3297="",TRUE(),COUNTIF(원본명단!$I$3:$I3297,원본명단!$I3297)=1),IF(원본명단!$K3297="",TRUE(),COUNTIF(원본명단!$K$3:$K3297,원본명단!$K3297)=1)),"첫 건","중복 건")))</f>
        <v/>
      </c>
      <c r="J3298" s="11" t="str">
        <f aca="false">IF($A3298="","",IF($H3298="-","유지",IF($I3298="첫 건","유지","확인 필요")))</f>
        <v/>
      </c>
    </row>
    <row r="3299" customFormat="false" ht="15" hidden="false" customHeight="true" outlineLevel="0" collapsed="false">
      <c r="A3299" s="11" t="str">
        <f aca="false">IF(원본명단!$A3298="","",3296)</f>
        <v/>
      </c>
      <c r="B3299" s="12" t="str">
        <f aca="false">IF($A3299="","",원본명단!$A3298)</f>
        <v/>
      </c>
      <c r="C3299" s="12" t="str">
        <f aca="false">IF($A3299="","",원본명단!$B3298)</f>
        <v/>
      </c>
      <c r="D3299" s="12" t="str">
        <f aca="false">IF($A3299="","",원본명단!$D3298)</f>
        <v/>
      </c>
      <c r="E3299" s="11" t="str">
        <f aca="false">IF($A3299="","",IF(원본명단!$H3298="",0,COUNTIF(원본명단!$H$3:$H$6002,원본명단!$H3298)))</f>
        <v/>
      </c>
      <c r="F3299" s="11" t="str">
        <f aca="false">IF($A3299="","",IF(원본명단!$I3298="",0,COUNTIF(원본명단!$I$3:$I$6002,원본명단!$I3298)))</f>
        <v/>
      </c>
      <c r="G3299" s="11" t="str">
        <f aca="false">IF($A3299="","",IF(원본명단!$K3298="",0,COUNTIF(원본명단!$K$3:$K$6002,원본명단!$K3298)))</f>
        <v/>
      </c>
      <c r="H3299" s="11" t="str">
        <f aca="false">IF($A3299="","",IF(MAX($E3299,$F3299,$G3299)&gt;1,"중복","-"))</f>
        <v/>
      </c>
      <c r="I3299" s="11" t="str">
        <f aca="false">IF($A3299="","",IF($H3299="-","-",IF(AND(IF(원본명단!$H3298="",TRUE(),COUNTIF(원본명단!$H$3:$H3298,원본명단!$H3298)=1),IF(원본명단!$I3298="",TRUE(),COUNTIF(원본명단!$I$3:$I3298,원본명단!$I3298)=1),IF(원본명단!$K3298="",TRUE(),COUNTIF(원본명단!$K$3:$K3298,원본명단!$K3298)=1)),"첫 건","중복 건")))</f>
        <v/>
      </c>
      <c r="J3299" s="11" t="str">
        <f aca="false">IF($A3299="","",IF($H3299="-","유지",IF($I3299="첫 건","유지","확인 필요")))</f>
        <v/>
      </c>
    </row>
    <row r="3300" customFormat="false" ht="15" hidden="false" customHeight="true" outlineLevel="0" collapsed="false">
      <c r="A3300" s="11" t="str">
        <f aca="false">IF(원본명단!$A3299="","",3297)</f>
        <v/>
      </c>
      <c r="B3300" s="12" t="str">
        <f aca="false">IF($A3300="","",원본명단!$A3299)</f>
        <v/>
      </c>
      <c r="C3300" s="12" t="str">
        <f aca="false">IF($A3300="","",원본명단!$B3299)</f>
        <v/>
      </c>
      <c r="D3300" s="12" t="str">
        <f aca="false">IF($A3300="","",원본명단!$D3299)</f>
        <v/>
      </c>
      <c r="E3300" s="11" t="str">
        <f aca="false">IF($A3300="","",IF(원본명단!$H3299="",0,COUNTIF(원본명단!$H$3:$H$6002,원본명단!$H3299)))</f>
        <v/>
      </c>
      <c r="F3300" s="11" t="str">
        <f aca="false">IF($A3300="","",IF(원본명단!$I3299="",0,COUNTIF(원본명단!$I$3:$I$6002,원본명단!$I3299)))</f>
        <v/>
      </c>
      <c r="G3300" s="11" t="str">
        <f aca="false">IF($A3300="","",IF(원본명단!$K3299="",0,COUNTIF(원본명단!$K$3:$K$6002,원본명단!$K3299)))</f>
        <v/>
      </c>
      <c r="H3300" s="11" t="str">
        <f aca="false">IF($A3300="","",IF(MAX($E3300,$F3300,$G3300)&gt;1,"중복","-"))</f>
        <v/>
      </c>
      <c r="I3300" s="11" t="str">
        <f aca="false">IF($A3300="","",IF($H3300="-","-",IF(AND(IF(원본명단!$H3299="",TRUE(),COUNTIF(원본명단!$H$3:$H3299,원본명단!$H3299)=1),IF(원본명단!$I3299="",TRUE(),COUNTIF(원본명단!$I$3:$I3299,원본명단!$I3299)=1),IF(원본명단!$K3299="",TRUE(),COUNTIF(원본명단!$K$3:$K3299,원본명단!$K3299)=1)),"첫 건","중복 건")))</f>
        <v/>
      </c>
      <c r="J3300" s="11" t="str">
        <f aca="false">IF($A3300="","",IF($H3300="-","유지",IF($I3300="첫 건","유지","확인 필요")))</f>
        <v/>
      </c>
    </row>
    <row r="3301" customFormat="false" ht="15" hidden="false" customHeight="true" outlineLevel="0" collapsed="false">
      <c r="A3301" s="11" t="str">
        <f aca="false">IF(원본명단!$A3300="","",3298)</f>
        <v/>
      </c>
      <c r="B3301" s="12" t="str">
        <f aca="false">IF($A3301="","",원본명단!$A3300)</f>
        <v/>
      </c>
      <c r="C3301" s="12" t="str">
        <f aca="false">IF($A3301="","",원본명단!$B3300)</f>
        <v/>
      </c>
      <c r="D3301" s="12" t="str">
        <f aca="false">IF($A3301="","",원본명단!$D3300)</f>
        <v/>
      </c>
      <c r="E3301" s="11" t="str">
        <f aca="false">IF($A3301="","",IF(원본명단!$H3300="",0,COUNTIF(원본명단!$H$3:$H$6002,원본명단!$H3300)))</f>
        <v/>
      </c>
      <c r="F3301" s="11" t="str">
        <f aca="false">IF($A3301="","",IF(원본명단!$I3300="",0,COUNTIF(원본명단!$I$3:$I$6002,원본명단!$I3300)))</f>
        <v/>
      </c>
      <c r="G3301" s="11" t="str">
        <f aca="false">IF($A3301="","",IF(원본명단!$K3300="",0,COUNTIF(원본명단!$K$3:$K$6002,원본명단!$K3300)))</f>
        <v/>
      </c>
      <c r="H3301" s="11" t="str">
        <f aca="false">IF($A3301="","",IF(MAX($E3301,$F3301,$G3301)&gt;1,"중복","-"))</f>
        <v/>
      </c>
      <c r="I3301" s="11" t="str">
        <f aca="false">IF($A3301="","",IF($H3301="-","-",IF(AND(IF(원본명단!$H3300="",TRUE(),COUNTIF(원본명단!$H$3:$H3300,원본명단!$H3300)=1),IF(원본명단!$I3300="",TRUE(),COUNTIF(원본명단!$I$3:$I3300,원본명단!$I3300)=1),IF(원본명단!$K3300="",TRUE(),COUNTIF(원본명단!$K$3:$K3300,원본명단!$K3300)=1)),"첫 건","중복 건")))</f>
        <v/>
      </c>
      <c r="J3301" s="11" t="str">
        <f aca="false">IF($A3301="","",IF($H3301="-","유지",IF($I3301="첫 건","유지","확인 필요")))</f>
        <v/>
      </c>
    </row>
    <row r="3302" customFormat="false" ht="15" hidden="false" customHeight="true" outlineLevel="0" collapsed="false">
      <c r="A3302" s="11" t="str">
        <f aca="false">IF(원본명단!$A3301="","",3299)</f>
        <v/>
      </c>
      <c r="B3302" s="12" t="str">
        <f aca="false">IF($A3302="","",원본명단!$A3301)</f>
        <v/>
      </c>
      <c r="C3302" s="12" t="str">
        <f aca="false">IF($A3302="","",원본명단!$B3301)</f>
        <v/>
      </c>
      <c r="D3302" s="12" t="str">
        <f aca="false">IF($A3302="","",원본명단!$D3301)</f>
        <v/>
      </c>
      <c r="E3302" s="11" t="str">
        <f aca="false">IF($A3302="","",IF(원본명단!$H3301="",0,COUNTIF(원본명단!$H$3:$H$6002,원본명단!$H3301)))</f>
        <v/>
      </c>
      <c r="F3302" s="11" t="str">
        <f aca="false">IF($A3302="","",IF(원본명단!$I3301="",0,COUNTIF(원본명단!$I$3:$I$6002,원본명단!$I3301)))</f>
        <v/>
      </c>
      <c r="G3302" s="11" t="str">
        <f aca="false">IF($A3302="","",IF(원본명단!$K3301="",0,COUNTIF(원본명단!$K$3:$K$6002,원본명단!$K3301)))</f>
        <v/>
      </c>
      <c r="H3302" s="11" t="str">
        <f aca="false">IF($A3302="","",IF(MAX($E3302,$F3302,$G3302)&gt;1,"중복","-"))</f>
        <v/>
      </c>
      <c r="I3302" s="11" t="str">
        <f aca="false">IF($A3302="","",IF($H3302="-","-",IF(AND(IF(원본명단!$H3301="",TRUE(),COUNTIF(원본명단!$H$3:$H3301,원본명단!$H3301)=1),IF(원본명단!$I3301="",TRUE(),COUNTIF(원본명단!$I$3:$I3301,원본명단!$I3301)=1),IF(원본명단!$K3301="",TRUE(),COUNTIF(원본명단!$K$3:$K3301,원본명단!$K3301)=1)),"첫 건","중복 건")))</f>
        <v/>
      </c>
      <c r="J3302" s="11" t="str">
        <f aca="false">IF($A3302="","",IF($H3302="-","유지",IF($I3302="첫 건","유지","확인 필요")))</f>
        <v/>
      </c>
    </row>
    <row r="3303" customFormat="false" ht="15" hidden="false" customHeight="true" outlineLevel="0" collapsed="false">
      <c r="A3303" s="11" t="str">
        <f aca="false">IF(원본명단!$A3302="","",3300)</f>
        <v/>
      </c>
      <c r="B3303" s="12" t="str">
        <f aca="false">IF($A3303="","",원본명단!$A3302)</f>
        <v/>
      </c>
      <c r="C3303" s="12" t="str">
        <f aca="false">IF($A3303="","",원본명단!$B3302)</f>
        <v/>
      </c>
      <c r="D3303" s="12" t="str">
        <f aca="false">IF($A3303="","",원본명단!$D3302)</f>
        <v/>
      </c>
      <c r="E3303" s="11" t="str">
        <f aca="false">IF($A3303="","",IF(원본명단!$H3302="",0,COUNTIF(원본명단!$H$3:$H$6002,원본명단!$H3302)))</f>
        <v/>
      </c>
      <c r="F3303" s="11" t="str">
        <f aca="false">IF($A3303="","",IF(원본명단!$I3302="",0,COUNTIF(원본명단!$I$3:$I$6002,원본명단!$I3302)))</f>
        <v/>
      </c>
      <c r="G3303" s="11" t="str">
        <f aca="false">IF($A3303="","",IF(원본명단!$K3302="",0,COUNTIF(원본명단!$K$3:$K$6002,원본명단!$K3302)))</f>
        <v/>
      </c>
      <c r="H3303" s="11" t="str">
        <f aca="false">IF($A3303="","",IF(MAX($E3303,$F3303,$G3303)&gt;1,"중복","-"))</f>
        <v/>
      </c>
      <c r="I3303" s="11" t="str">
        <f aca="false">IF($A3303="","",IF($H3303="-","-",IF(AND(IF(원본명단!$H3302="",TRUE(),COUNTIF(원본명단!$H$3:$H3302,원본명단!$H3302)=1),IF(원본명단!$I3302="",TRUE(),COUNTIF(원본명단!$I$3:$I3302,원본명단!$I3302)=1),IF(원본명단!$K3302="",TRUE(),COUNTIF(원본명단!$K$3:$K3302,원본명단!$K3302)=1)),"첫 건","중복 건")))</f>
        <v/>
      </c>
      <c r="J3303" s="11" t="str">
        <f aca="false">IF($A3303="","",IF($H3303="-","유지",IF($I3303="첫 건","유지","확인 필요")))</f>
        <v/>
      </c>
    </row>
    <row r="3304" customFormat="false" ht="15" hidden="false" customHeight="true" outlineLevel="0" collapsed="false">
      <c r="A3304" s="11" t="str">
        <f aca="false">IF(원본명단!$A3303="","",3301)</f>
        <v/>
      </c>
      <c r="B3304" s="12" t="str">
        <f aca="false">IF($A3304="","",원본명단!$A3303)</f>
        <v/>
      </c>
      <c r="C3304" s="12" t="str">
        <f aca="false">IF($A3304="","",원본명단!$B3303)</f>
        <v/>
      </c>
      <c r="D3304" s="12" t="str">
        <f aca="false">IF($A3304="","",원본명단!$D3303)</f>
        <v/>
      </c>
      <c r="E3304" s="11" t="str">
        <f aca="false">IF($A3304="","",IF(원본명단!$H3303="",0,COUNTIF(원본명단!$H$3:$H$6002,원본명단!$H3303)))</f>
        <v/>
      </c>
      <c r="F3304" s="11" t="str">
        <f aca="false">IF($A3304="","",IF(원본명단!$I3303="",0,COUNTIF(원본명단!$I$3:$I$6002,원본명단!$I3303)))</f>
        <v/>
      </c>
      <c r="G3304" s="11" t="str">
        <f aca="false">IF($A3304="","",IF(원본명단!$K3303="",0,COUNTIF(원본명단!$K$3:$K$6002,원본명단!$K3303)))</f>
        <v/>
      </c>
      <c r="H3304" s="11" t="str">
        <f aca="false">IF($A3304="","",IF(MAX($E3304,$F3304,$G3304)&gt;1,"중복","-"))</f>
        <v/>
      </c>
      <c r="I3304" s="11" t="str">
        <f aca="false">IF($A3304="","",IF($H3304="-","-",IF(AND(IF(원본명단!$H3303="",TRUE(),COUNTIF(원본명단!$H$3:$H3303,원본명단!$H3303)=1),IF(원본명단!$I3303="",TRUE(),COUNTIF(원본명단!$I$3:$I3303,원본명단!$I3303)=1),IF(원본명단!$K3303="",TRUE(),COUNTIF(원본명단!$K$3:$K3303,원본명단!$K3303)=1)),"첫 건","중복 건")))</f>
        <v/>
      </c>
      <c r="J3304" s="11" t="str">
        <f aca="false">IF($A3304="","",IF($H3304="-","유지",IF($I3304="첫 건","유지","확인 필요")))</f>
        <v/>
      </c>
    </row>
    <row r="3305" customFormat="false" ht="15" hidden="false" customHeight="true" outlineLevel="0" collapsed="false">
      <c r="A3305" s="11" t="str">
        <f aca="false">IF(원본명단!$A3304="","",3302)</f>
        <v/>
      </c>
      <c r="B3305" s="12" t="str">
        <f aca="false">IF($A3305="","",원본명단!$A3304)</f>
        <v/>
      </c>
      <c r="C3305" s="12" t="str">
        <f aca="false">IF($A3305="","",원본명단!$B3304)</f>
        <v/>
      </c>
      <c r="D3305" s="12" t="str">
        <f aca="false">IF($A3305="","",원본명단!$D3304)</f>
        <v/>
      </c>
      <c r="E3305" s="11" t="str">
        <f aca="false">IF($A3305="","",IF(원본명단!$H3304="",0,COUNTIF(원본명단!$H$3:$H$6002,원본명단!$H3304)))</f>
        <v/>
      </c>
      <c r="F3305" s="11" t="str">
        <f aca="false">IF($A3305="","",IF(원본명단!$I3304="",0,COUNTIF(원본명단!$I$3:$I$6002,원본명단!$I3304)))</f>
        <v/>
      </c>
      <c r="G3305" s="11" t="str">
        <f aca="false">IF($A3305="","",IF(원본명단!$K3304="",0,COUNTIF(원본명단!$K$3:$K$6002,원본명단!$K3304)))</f>
        <v/>
      </c>
      <c r="H3305" s="11" t="str">
        <f aca="false">IF($A3305="","",IF(MAX($E3305,$F3305,$G3305)&gt;1,"중복","-"))</f>
        <v/>
      </c>
      <c r="I3305" s="11" t="str">
        <f aca="false">IF($A3305="","",IF($H3305="-","-",IF(AND(IF(원본명단!$H3304="",TRUE(),COUNTIF(원본명단!$H$3:$H3304,원본명단!$H3304)=1),IF(원본명단!$I3304="",TRUE(),COUNTIF(원본명단!$I$3:$I3304,원본명단!$I3304)=1),IF(원본명단!$K3304="",TRUE(),COUNTIF(원본명단!$K$3:$K3304,원본명단!$K3304)=1)),"첫 건","중복 건")))</f>
        <v/>
      </c>
      <c r="J3305" s="11" t="str">
        <f aca="false">IF($A3305="","",IF($H3305="-","유지",IF($I3305="첫 건","유지","확인 필요")))</f>
        <v/>
      </c>
    </row>
    <row r="3306" customFormat="false" ht="15" hidden="false" customHeight="true" outlineLevel="0" collapsed="false">
      <c r="A3306" s="11" t="str">
        <f aca="false">IF(원본명단!$A3305="","",3303)</f>
        <v/>
      </c>
      <c r="B3306" s="12" t="str">
        <f aca="false">IF($A3306="","",원본명단!$A3305)</f>
        <v/>
      </c>
      <c r="C3306" s="12" t="str">
        <f aca="false">IF($A3306="","",원본명단!$B3305)</f>
        <v/>
      </c>
      <c r="D3306" s="12" t="str">
        <f aca="false">IF($A3306="","",원본명단!$D3305)</f>
        <v/>
      </c>
      <c r="E3306" s="11" t="str">
        <f aca="false">IF($A3306="","",IF(원본명단!$H3305="",0,COUNTIF(원본명단!$H$3:$H$6002,원본명단!$H3305)))</f>
        <v/>
      </c>
      <c r="F3306" s="11" t="str">
        <f aca="false">IF($A3306="","",IF(원본명단!$I3305="",0,COUNTIF(원본명단!$I$3:$I$6002,원본명단!$I3305)))</f>
        <v/>
      </c>
      <c r="G3306" s="11" t="str">
        <f aca="false">IF($A3306="","",IF(원본명단!$K3305="",0,COUNTIF(원본명단!$K$3:$K$6002,원본명단!$K3305)))</f>
        <v/>
      </c>
      <c r="H3306" s="11" t="str">
        <f aca="false">IF($A3306="","",IF(MAX($E3306,$F3306,$G3306)&gt;1,"중복","-"))</f>
        <v/>
      </c>
      <c r="I3306" s="11" t="str">
        <f aca="false">IF($A3306="","",IF($H3306="-","-",IF(AND(IF(원본명단!$H3305="",TRUE(),COUNTIF(원본명단!$H$3:$H3305,원본명단!$H3305)=1),IF(원본명단!$I3305="",TRUE(),COUNTIF(원본명단!$I$3:$I3305,원본명단!$I3305)=1),IF(원본명단!$K3305="",TRUE(),COUNTIF(원본명단!$K$3:$K3305,원본명단!$K3305)=1)),"첫 건","중복 건")))</f>
        <v/>
      </c>
      <c r="J3306" s="11" t="str">
        <f aca="false">IF($A3306="","",IF($H3306="-","유지",IF($I3306="첫 건","유지","확인 필요")))</f>
        <v/>
      </c>
    </row>
    <row r="3307" customFormat="false" ht="15" hidden="false" customHeight="true" outlineLevel="0" collapsed="false">
      <c r="A3307" s="11" t="str">
        <f aca="false">IF(원본명단!$A3306="","",3304)</f>
        <v/>
      </c>
      <c r="B3307" s="12" t="str">
        <f aca="false">IF($A3307="","",원본명단!$A3306)</f>
        <v/>
      </c>
      <c r="C3307" s="12" t="str">
        <f aca="false">IF($A3307="","",원본명단!$B3306)</f>
        <v/>
      </c>
      <c r="D3307" s="12" t="str">
        <f aca="false">IF($A3307="","",원본명단!$D3306)</f>
        <v/>
      </c>
      <c r="E3307" s="11" t="str">
        <f aca="false">IF($A3307="","",IF(원본명단!$H3306="",0,COUNTIF(원본명단!$H$3:$H$6002,원본명단!$H3306)))</f>
        <v/>
      </c>
      <c r="F3307" s="11" t="str">
        <f aca="false">IF($A3307="","",IF(원본명단!$I3306="",0,COUNTIF(원본명단!$I$3:$I$6002,원본명단!$I3306)))</f>
        <v/>
      </c>
      <c r="G3307" s="11" t="str">
        <f aca="false">IF($A3307="","",IF(원본명단!$K3306="",0,COUNTIF(원본명단!$K$3:$K$6002,원본명단!$K3306)))</f>
        <v/>
      </c>
      <c r="H3307" s="11" t="str">
        <f aca="false">IF($A3307="","",IF(MAX($E3307,$F3307,$G3307)&gt;1,"중복","-"))</f>
        <v/>
      </c>
      <c r="I3307" s="11" t="str">
        <f aca="false">IF($A3307="","",IF($H3307="-","-",IF(AND(IF(원본명단!$H3306="",TRUE(),COUNTIF(원본명단!$H$3:$H3306,원본명단!$H3306)=1),IF(원본명단!$I3306="",TRUE(),COUNTIF(원본명단!$I$3:$I3306,원본명단!$I3306)=1),IF(원본명단!$K3306="",TRUE(),COUNTIF(원본명단!$K$3:$K3306,원본명단!$K3306)=1)),"첫 건","중복 건")))</f>
        <v/>
      </c>
      <c r="J3307" s="11" t="str">
        <f aca="false">IF($A3307="","",IF($H3307="-","유지",IF($I3307="첫 건","유지","확인 필요")))</f>
        <v/>
      </c>
    </row>
    <row r="3308" customFormat="false" ht="15" hidden="false" customHeight="true" outlineLevel="0" collapsed="false">
      <c r="A3308" s="11" t="str">
        <f aca="false">IF(원본명단!$A3307="","",3305)</f>
        <v/>
      </c>
      <c r="B3308" s="12" t="str">
        <f aca="false">IF($A3308="","",원본명단!$A3307)</f>
        <v/>
      </c>
      <c r="C3308" s="12" t="str">
        <f aca="false">IF($A3308="","",원본명단!$B3307)</f>
        <v/>
      </c>
      <c r="D3308" s="12" t="str">
        <f aca="false">IF($A3308="","",원본명단!$D3307)</f>
        <v/>
      </c>
      <c r="E3308" s="11" t="str">
        <f aca="false">IF($A3308="","",IF(원본명단!$H3307="",0,COUNTIF(원본명단!$H$3:$H$6002,원본명단!$H3307)))</f>
        <v/>
      </c>
      <c r="F3308" s="11" t="str">
        <f aca="false">IF($A3308="","",IF(원본명단!$I3307="",0,COUNTIF(원본명단!$I$3:$I$6002,원본명단!$I3307)))</f>
        <v/>
      </c>
      <c r="G3308" s="11" t="str">
        <f aca="false">IF($A3308="","",IF(원본명단!$K3307="",0,COUNTIF(원본명단!$K$3:$K$6002,원본명단!$K3307)))</f>
        <v/>
      </c>
      <c r="H3308" s="11" t="str">
        <f aca="false">IF($A3308="","",IF(MAX($E3308,$F3308,$G3308)&gt;1,"중복","-"))</f>
        <v/>
      </c>
      <c r="I3308" s="11" t="str">
        <f aca="false">IF($A3308="","",IF($H3308="-","-",IF(AND(IF(원본명단!$H3307="",TRUE(),COUNTIF(원본명단!$H$3:$H3307,원본명단!$H3307)=1),IF(원본명단!$I3307="",TRUE(),COUNTIF(원본명단!$I$3:$I3307,원본명단!$I3307)=1),IF(원본명단!$K3307="",TRUE(),COUNTIF(원본명단!$K$3:$K3307,원본명단!$K3307)=1)),"첫 건","중복 건")))</f>
        <v/>
      </c>
      <c r="J3308" s="11" t="str">
        <f aca="false">IF($A3308="","",IF($H3308="-","유지",IF($I3308="첫 건","유지","확인 필요")))</f>
        <v/>
      </c>
    </row>
    <row r="3309" customFormat="false" ht="15" hidden="false" customHeight="true" outlineLevel="0" collapsed="false">
      <c r="A3309" s="11" t="str">
        <f aca="false">IF(원본명단!$A3308="","",3306)</f>
        <v/>
      </c>
      <c r="B3309" s="12" t="str">
        <f aca="false">IF($A3309="","",원본명단!$A3308)</f>
        <v/>
      </c>
      <c r="C3309" s="12" t="str">
        <f aca="false">IF($A3309="","",원본명단!$B3308)</f>
        <v/>
      </c>
      <c r="D3309" s="12" t="str">
        <f aca="false">IF($A3309="","",원본명단!$D3308)</f>
        <v/>
      </c>
      <c r="E3309" s="11" t="str">
        <f aca="false">IF($A3309="","",IF(원본명단!$H3308="",0,COUNTIF(원본명단!$H$3:$H$6002,원본명단!$H3308)))</f>
        <v/>
      </c>
      <c r="F3309" s="11" t="str">
        <f aca="false">IF($A3309="","",IF(원본명단!$I3308="",0,COUNTIF(원본명단!$I$3:$I$6002,원본명단!$I3308)))</f>
        <v/>
      </c>
      <c r="G3309" s="11" t="str">
        <f aca="false">IF($A3309="","",IF(원본명단!$K3308="",0,COUNTIF(원본명단!$K$3:$K$6002,원본명단!$K3308)))</f>
        <v/>
      </c>
      <c r="H3309" s="11" t="str">
        <f aca="false">IF($A3309="","",IF(MAX($E3309,$F3309,$G3309)&gt;1,"중복","-"))</f>
        <v/>
      </c>
      <c r="I3309" s="11" t="str">
        <f aca="false">IF($A3309="","",IF($H3309="-","-",IF(AND(IF(원본명단!$H3308="",TRUE(),COUNTIF(원본명단!$H$3:$H3308,원본명단!$H3308)=1),IF(원본명단!$I3308="",TRUE(),COUNTIF(원본명단!$I$3:$I3308,원본명단!$I3308)=1),IF(원본명단!$K3308="",TRUE(),COUNTIF(원본명단!$K$3:$K3308,원본명단!$K3308)=1)),"첫 건","중복 건")))</f>
        <v/>
      </c>
      <c r="J3309" s="11" t="str">
        <f aca="false">IF($A3309="","",IF($H3309="-","유지",IF($I3309="첫 건","유지","확인 필요")))</f>
        <v/>
      </c>
    </row>
    <row r="3310" customFormat="false" ht="15" hidden="false" customHeight="true" outlineLevel="0" collapsed="false">
      <c r="A3310" s="11" t="str">
        <f aca="false">IF(원본명단!$A3309="","",3307)</f>
        <v/>
      </c>
      <c r="B3310" s="12" t="str">
        <f aca="false">IF($A3310="","",원본명단!$A3309)</f>
        <v/>
      </c>
      <c r="C3310" s="12" t="str">
        <f aca="false">IF($A3310="","",원본명단!$B3309)</f>
        <v/>
      </c>
      <c r="D3310" s="12" t="str">
        <f aca="false">IF($A3310="","",원본명단!$D3309)</f>
        <v/>
      </c>
      <c r="E3310" s="11" t="str">
        <f aca="false">IF($A3310="","",IF(원본명단!$H3309="",0,COUNTIF(원본명단!$H$3:$H$6002,원본명단!$H3309)))</f>
        <v/>
      </c>
      <c r="F3310" s="11" t="str">
        <f aca="false">IF($A3310="","",IF(원본명단!$I3309="",0,COUNTIF(원본명단!$I$3:$I$6002,원본명단!$I3309)))</f>
        <v/>
      </c>
      <c r="G3310" s="11" t="str">
        <f aca="false">IF($A3310="","",IF(원본명단!$K3309="",0,COUNTIF(원본명단!$K$3:$K$6002,원본명단!$K3309)))</f>
        <v/>
      </c>
      <c r="H3310" s="11" t="str">
        <f aca="false">IF($A3310="","",IF(MAX($E3310,$F3310,$G3310)&gt;1,"중복","-"))</f>
        <v/>
      </c>
      <c r="I3310" s="11" t="str">
        <f aca="false">IF($A3310="","",IF($H3310="-","-",IF(AND(IF(원본명단!$H3309="",TRUE(),COUNTIF(원본명단!$H$3:$H3309,원본명단!$H3309)=1),IF(원본명단!$I3309="",TRUE(),COUNTIF(원본명단!$I$3:$I3309,원본명단!$I3309)=1),IF(원본명단!$K3309="",TRUE(),COUNTIF(원본명단!$K$3:$K3309,원본명단!$K3309)=1)),"첫 건","중복 건")))</f>
        <v/>
      </c>
      <c r="J3310" s="11" t="str">
        <f aca="false">IF($A3310="","",IF($H3310="-","유지",IF($I3310="첫 건","유지","확인 필요")))</f>
        <v/>
      </c>
    </row>
    <row r="3311" customFormat="false" ht="15" hidden="false" customHeight="true" outlineLevel="0" collapsed="false">
      <c r="A3311" s="11" t="str">
        <f aca="false">IF(원본명단!$A3310="","",3308)</f>
        <v/>
      </c>
      <c r="B3311" s="12" t="str">
        <f aca="false">IF($A3311="","",원본명단!$A3310)</f>
        <v/>
      </c>
      <c r="C3311" s="12" t="str">
        <f aca="false">IF($A3311="","",원본명단!$B3310)</f>
        <v/>
      </c>
      <c r="D3311" s="12" t="str">
        <f aca="false">IF($A3311="","",원본명단!$D3310)</f>
        <v/>
      </c>
      <c r="E3311" s="11" t="str">
        <f aca="false">IF($A3311="","",IF(원본명단!$H3310="",0,COUNTIF(원본명단!$H$3:$H$6002,원본명단!$H3310)))</f>
        <v/>
      </c>
      <c r="F3311" s="11" t="str">
        <f aca="false">IF($A3311="","",IF(원본명단!$I3310="",0,COUNTIF(원본명단!$I$3:$I$6002,원본명단!$I3310)))</f>
        <v/>
      </c>
      <c r="G3311" s="11" t="str">
        <f aca="false">IF($A3311="","",IF(원본명단!$K3310="",0,COUNTIF(원본명단!$K$3:$K$6002,원본명단!$K3310)))</f>
        <v/>
      </c>
      <c r="H3311" s="11" t="str">
        <f aca="false">IF($A3311="","",IF(MAX($E3311,$F3311,$G3311)&gt;1,"중복","-"))</f>
        <v/>
      </c>
      <c r="I3311" s="11" t="str">
        <f aca="false">IF($A3311="","",IF($H3311="-","-",IF(AND(IF(원본명단!$H3310="",TRUE(),COUNTIF(원본명단!$H$3:$H3310,원본명단!$H3310)=1),IF(원본명단!$I3310="",TRUE(),COUNTIF(원본명단!$I$3:$I3310,원본명단!$I3310)=1),IF(원본명단!$K3310="",TRUE(),COUNTIF(원본명단!$K$3:$K3310,원본명단!$K3310)=1)),"첫 건","중복 건")))</f>
        <v/>
      </c>
      <c r="J3311" s="11" t="str">
        <f aca="false">IF($A3311="","",IF($H3311="-","유지",IF($I3311="첫 건","유지","확인 필요")))</f>
        <v/>
      </c>
    </row>
    <row r="3312" customFormat="false" ht="15" hidden="false" customHeight="true" outlineLevel="0" collapsed="false">
      <c r="A3312" s="11" t="str">
        <f aca="false">IF(원본명단!$A3311="","",3309)</f>
        <v/>
      </c>
      <c r="B3312" s="12" t="str">
        <f aca="false">IF($A3312="","",원본명단!$A3311)</f>
        <v/>
      </c>
      <c r="C3312" s="12" t="str">
        <f aca="false">IF($A3312="","",원본명단!$B3311)</f>
        <v/>
      </c>
      <c r="D3312" s="12" t="str">
        <f aca="false">IF($A3312="","",원본명단!$D3311)</f>
        <v/>
      </c>
      <c r="E3312" s="11" t="str">
        <f aca="false">IF($A3312="","",IF(원본명단!$H3311="",0,COUNTIF(원본명단!$H$3:$H$6002,원본명단!$H3311)))</f>
        <v/>
      </c>
      <c r="F3312" s="11" t="str">
        <f aca="false">IF($A3312="","",IF(원본명단!$I3311="",0,COUNTIF(원본명단!$I$3:$I$6002,원본명단!$I3311)))</f>
        <v/>
      </c>
      <c r="G3312" s="11" t="str">
        <f aca="false">IF($A3312="","",IF(원본명단!$K3311="",0,COUNTIF(원본명단!$K$3:$K$6002,원본명단!$K3311)))</f>
        <v/>
      </c>
      <c r="H3312" s="11" t="str">
        <f aca="false">IF($A3312="","",IF(MAX($E3312,$F3312,$G3312)&gt;1,"중복","-"))</f>
        <v/>
      </c>
      <c r="I3312" s="11" t="str">
        <f aca="false">IF($A3312="","",IF($H3312="-","-",IF(AND(IF(원본명단!$H3311="",TRUE(),COUNTIF(원본명단!$H$3:$H3311,원본명단!$H3311)=1),IF(원본명단!$I3311="",TRUE(),COUNTIF(원본명단!$I$3:$I3311,원본명단!$I3311)=1),IF(원본명단!$K3311="",TRUE(),COUNTIF(원본명단!$K$3:$K3311,원본명단!$K3311)=1)),"첫 건","중복 건")))</f>
        <v/>
      </c>
      <c r="J3312" s="11" t="str">
        <f aca="false">IF($A3312="","",IF($H3312="-","유지",IF($I3312="첫 건","유지","확인 필요")))</f>
        <v/>
      </c>
    </row>
    <row r="3313" customFormat="false" ht="15" hidden="false" customHeight="true" outlineLevel="0" collapsed="false">
      <c r="A3313" s="11" t="str">
        <f aca="false">IF(원본명단!$A3312="","",3310)</f>
        <v/>
      </c>
      <c r="B3313" s="12" t="str">
        <f aca="false">IF($A3313="","",원본명단!$A3312)</f>
        <v/>
      </c>
      <c r="C3313" s="12" t="str">
        <f aca="false">IF($A3313="","",원본명단!$B3312)</f>
        <v/>
      </c>
      <c r="D3313" s="12" t="str">
        <f aca="false">IF($A3313="","",원본명단!$D3312)</f>
        <v/>
      </c>
      <c r="E3313" s="11" t="str">
        <f aca="false">IF($A3313="","",IF(원본명단!$H3312="",0,COUNTIF(원본명단!$H$3:$H$6002,원본명단!$H3312)))</f>
        <v/>
      </c>
      <c r="F3313" s="11" t="str">
        <f aca="false">IF($A3313="","",IF(원본명단!$I3312="",0,COUNTIF(원본명단!$I$3:$I$6002,원본명단!$I3312)))</f>
        <v/>
      </c>
      <c r="G3313" s="11" t="str">
        <f aca="false">IF($A3313="","",IF(원본명단!$K3312="",0,COUNTIF(원본명단!$K$3:$K$6002,원본명단!$K3312)))</f>
        <v/>
      </c>
      <c r="H3313" s="11" t="str">
        <f aca="false">IF($A3313="","",IF(MAX($E3313,$F3313,$G3313)&gt;1,"중복","-"))</f>
        <v/>
      </c>
      <c r="I3313" s="11" t="str">
        <f aca="false">IF($A3313="","",IF($H3313="-","-",IF(AND(IF(원본명단!$H3312="",TRUE(),COUNTIF(원본명단!$H$3:$H3312,원본명단!$H3312)=1),IF(원본명단!$I3312="",TRUE(),COUNTIF(원본명단!$I$3:$I3312,원본명단!$I3312)=1),IF(원본명단!$K3312="",TRUE(),COUNTIF(원본명단!$K$3:$K3312,원본명단!$K3312)=1)),"첫 건","중복 건")))</f>
        <v/>
      </c>
      <c r="J3313" s="11" t="str">
        <f aca="false">IF($A3313="","",IF($H3313="-","유지",IF($I3313="첫 건","유지","확인 필요")))</f>
        <v/>
      </c>
    </row>
    <row r="3314" customFormat="false" ht="15" hidden="false" customHeight="true" outlineLevel="0" collapsed="false">
      <c r="A3314" s="11" t="str">
        <f aca="false">IF(원본명단!$A3313="","",3311)</f>
        <v/>
      </c>
      <c r="B3314" s="12" t="str">
        <f aca="false">IF($A3314="","",원본명단!$A3313)</f>
        <v/>
      </c>
      <c r="C3314" s="12" t="str">
        <f aca="false">IF($A3314="","",원본명단!$B3313)</f>
        <v/>
      </c>
      <c r="D3314" s="12" t="str">
        <f aca="false">IF($A3314="","",원본명단!$D3313)</f>
        <v/>
      </c>
      <c r="E3314" s="11" t="str">
        <f aca="false">IF($A3314="","",IF(원본명단!$H3313="",0,COUNTIF(원본명단!$H$3:$H$6002,원본명단!$H3313)))</f>
        <v/>
      </c>
      <c r="F3314" s="11" t="str">
        <f aca="false">IF($A3314="","",IF(원본명단!$I3313="",0,COUNTIF(원본명단!$I$3:$I$6002,원본명단!$I3313)))</f>
        <v/>
      </c>
      <c r="G3314" s="11" t="str">
        <f aca="false">IF($A3314="","",IF(원본명단!$K3313="",0,COUNTIF(원본명단!$K$3:$K$6002,원본명단!$K3313)))</f>
        <v/>
      </c>
      <c r="H3314" s="11" t="str">
        <f aca="false">IF($A3314="","",IF(MAX($E3314,$F3314,$G3314)&gt;1,"중복","-"))</f>
        <v/>
      </c>
      <c r="I3314" s="11" t="str">
        <f aca="false">IF($A3314="","",IF($H3314="-","-",IF(AND(IF(원본명단!$H3313="",TRUE(),COUNTIF(원본명단!$H$3:$H3313,원본명단!$H3313)=1),IF(원본명단!$I3313="",TRUE(),COUNTIF(원본명단!$I$3:$I3313,원본명단!$I3313)=1),IF(원본명단!$K3313="",TRUE(),COUNTIF(원본명단!$K$3:$K3313,원본명단!$K3313)=1)),"첫 건","중복 건")))</f>
        <v/>
      </c>
      <c r="J3314" s="11" t="str">
        <f aca="false">IF($A3314="","",IF($H3314="-","유지",IF($I3314="첫 건","유지","확인 필요")))</f>
        <v/>
      </c>
    </row>
    <row r="3315" customFormat="false" ht="15" hidden="false" customHeight="true" outlineLevel="0" collapsed="false">
      <c r="A3315" s="11" t="str">
        <f aca="false">IF(원본명단!$A3314="","",3312)</f>
        <v/>
      </c>
      <c r="B3315" s="12" t="str">
        <f aca="false">IF($A3315="","",원본명단!$A3314)</f>
        <v/>
      </c>
      <c r="C3315" s="12" t="str">
        <f aca="false">IF($A3315="","",원본명단!$B3314)</f>
        <v/>
      </c>
      <c r="D3315" s="12" t="str">
        <f aca="false">IF($A3315="","",원본명단!$D3314)</f>
        <v/>
      </c>
      <c r="E3315" s="11" t="str">
        <f aca="false">IF($A3315="","",IF(원본명단!$H3314="",0,COUNTIF(원본명단!$H$3:$H$6002,원본명단!$H3314)))</f>
        <v/>
      </c>
      <c r="F3315" s="11" t="str">
        <f aca="false">IF($A3315="","",IF(원본명단!$I3314="",0,COUNTIF(원본명단!$I$3:$I$6002,원본명단!$I3314)))</f>
        <v/>
      </c>
      <c r="G3315" s="11" t="str">
        <f aca="false">IF($A3315="","",IF(원본명단!$K3314="",0,COUNTIF(원본명단!$K$3:$K$6002,원본명단!$K3314)))</f>
        <v/>
      </c>
      <c r="H3315" s="11" t="str">
        <f aca="false">IF($A3315="","",IF(MAX($E3315,$F3315,$G3315)&gt;1,"중복","-"))</f>
        <v/>
      </c>
      <c r="I3315" s="11" t="str">
        <f aca="false">IF($A3315="","",IF($H3315="-","-",IF(AND(IF(원본명단!$H3314="",TRUE(),COUNTIF(원본명단!$H$3:$H3314,원본명단!$H3314)=1),IF(원본명단!$I3314="",TRUE(),COUNTIF(원본명단!$I$3:$I3314,원본명단!$I3314)=1),IF(원본명단!$K3314="",TRUE(),COUNTIF(원본명단!$K$3:$K3314,원본명단!$K3314)=1)),"첫 건","중복 건")))</f>
        <v/>
      </c>
      <c r="J3315" s="11" t="str">
        <f aca="false">IF($A3315="","",IF($H3315="-","유지",IF($I3315="첫 건","유지","확인 필요")))</f>
        <v/>
      </c>
    </row>
    <row r="3316" customFormat="false" ht="15" hidden="false" customHeight="true" outlineLevel="0" collapsed="false">
      <c r="A3316" s="11" t="str">
        <f aca="false">IF(원본명단!$A3315="","",3313)</f>
        <v/>
      </c>
      <c r="B3316" s="12" t="str">
        <f aca="false">IF($A3316="","",원본명단!$A3315)</f>
        <v/>
      </c>
      <c r="C3316" s="12" t="str">
        <f aca="false">IF($A3316="","",원본명단!$B3315)</f>
        <v/>
      </c>
      <c r="D3316" s="12" t="str">
        <f aca="false">IF($A3316="","",원본명단!$D3315)</f>
        <v/>
      </c>
      <c r="E3316" s="11" t="str">
        <f aca="false">IF($A3316="","",IF(원본명단!$H3315="",0,COUNTIF(원본명단!$H$3:$H$6002,원본명단!$H3315)))</f>
        <v/>
      </c>
      <c r="F3316" s="11" t="str">
        <f aca="false">IF($A3316="","",IF(원본명단!$I3315="",0,COUNTIF(원본명단!$I$3:$I$6002,원본명단!$I3315)))</f>
        <v/>
      </c>
      <c r="G3316" s="11" t="str">
        <f aca="false">IF($A3316="","",IF(원본명단!$K3315="",0,COUNTIF(원본명단!$K$3:$K$6002,원본명단!$K3315)))</f>
        <v/>
      </c>
      <c r="H3316" s="11" t="str">
        <f aca="false">IF($A3316="","",IF(MAX($E3316,$F3316,$G3316)&gt;1,"중복","-"))</f>
        <v/>
      </c>
      <c r="I3316" s="11" t="str">
        <f aca="false">IF($A3316="","",IF($H3316="-","-",IF(AND(IF(원본명단!$H3315="",TRUE(),COUNTIF(원본명단!$H$3:$H3315,원본명단!$H3315)=1),IF(원본명단!$I3315="",TRUE(),COUNTIF(원본명단!$I$3:$I3315,원본명단!$I3315)=1),IF(원본명단!$K3315="",TRUE(),COUNTIF(원본명단!$K$3:$K3315,원본명단!$K3315)=1)),"첫 건","중복 건")))</f>
        <v/>
      </c>
      <c r="J3316" s="11" t="str">
        <f aca="false">IF($A3316="","",IF($H3316="-","유지",IF($I3316="첫 건","유지","확인 필요")))</f>
        <v/>
      </c>
    </row>
    <row r="3317" customFormat="false" ht="15" hidden="false" customHeight="true" outlineLevel="0" collapsed="false">
      <c r="A3317" s="11" t="str">
        <f aca="false">IF(원본명단!$A3316="","",3314)</f>
        <v/>
      </c>
      <c r="B3317" s="12" t="str">
        <f aca="false">IF($A3317="","",원본명단!$A3316)</f>
        <v/>
      </c>
      <c r="C3317" s="12" t="str">
        <f aca="false">IF($A3317="","",원본명단!$B3316)</f>
        <v/>
      </c>
      <c r="D3317" s="12" t="str">
        <f aca="false">IF($A3317="","",원본명단!$D3316)</f>
        <v/>
      </c>
      <c r="E3317" s="11" t="str">
        <f aca="false">IF($A3317="","",IF(원본명단!$H3316="",0,COUNTIF(원본명단!$H$3:$H$6002,원본명단!$H3316)))</f>
        <v/>
      </c>
      <c r="F3317" s="11" t="str">
        <f aca="false">IF($A3317="","",IF(원본명단!$I3316="",0,COUNTIF(원본명단!$I$3:$I$6002,원본명단!$I3316)))</f>
        <v/>
      </c>
      <c r="G3317" s="11" t="str">
        <f aca="false">IF($A3317="","",IF(원본명단!$K3316="",0,COUNTIF(원본명단!$K$3:$K$6002,원본명단!$K3316)))</f>
        <v/>
      </c>
      <c r="H3317" s="11" t="str">
        <f aca="false">IF($A3317="","",IF(MAX($E3317,$F3317,$G3317)&gt;1,"중복","-"))</f>
        <v/>
      </c>
      <c r="I3317" s="11" t="str">
        <f aca="false">IF($A3317="","",IF($H3317="-","-",IF(AND(IF(원본명단!$H3316="",TRUE(),COUNTIF(원본명단!$H$3:$H3316,원본명단!$H3316)=1),IF(원본명단!$I3316="",TRUE(),COUNTIF(원본명단!$I$3:$I3316,원본명단!$I3316)=1),IF(원본명단!$K3316="",TRUE(),COUNTIF(원본명단!$K$3:$K3316,원본명단!$K3316)=1)),"첫 건","중복 건")))</f>
        <v/>
      </c>
      <c r="J3317" s="11" t="str">
        <f aca="false">IF($A3317="","",IF($H3317="-","유지",IF($I3317="첫 건","유지","확인 필요")))</f>
        <v/>
      </c>
    </row>
    <row r="3318" customFormat="false" ht="15" hidden="false" customHeight="true" outlineLevel="0" collapsed="false">
      <c r="A3318" s="11" t="str">
        <f aca="false">IF(원본명단!$A3317="","",3315)</f>
        <v/>
      </c>
      <c r="B3318" s="12" t="str">
        <f aca="false">IF($A3318="","",원본명단!$A3317)</f>
        <v/>
      </c>
      <c r="C3318" s="12" t="str">
        <f aca="false">IF($A3318="","",원본명단!$B3317)</f>
        <v/>
      </c>
      <c r="D3318" s="12" t="str">
        <f aca="false">IF($A3318="","",원본명단!$D3317)</f>
        <v/>
      </c>
      <c r="E3318" s="11" t="str">
        <f aca="false">IF($A3318="","",IF(원본명단!$H3317="",0,COUNTIF(원본명단!$H$3:$H$6002,원본명단!$H3317)))</f>
        <v/>
      </c>
      <c r="F3318" s="11" t="str">
        <f aca="false">IF($A3318="","",IF(원본명단!$I3317="",0,COUNTIF(원본명단!$I$3:$I$6002,원본명단!$I3317)))</f>
        <v/>
      </c>
      <c r="G3318" s="11" t="str">
        <f aca="false">IF($A3318="","",IF(원본명단!$K3317="",0,COUNTIF(원본명단!$K$3:$K$6002,원본명단!$K3317)))</f>
        <v/>
      </c>
      <c r="H3318" s="11" t="str">
        <f aca="false">IF($A3318="","",IF(MAX($E3318,$F3318,$G3318)&gt;1,"중복","-"))</f>
        <v/>
      </c>
      <c r="I3318" s="11" t="str">
        <f aca="false">IF($A3318="","",IF($H3318="-","-",IF(AND(IF(원본명단!$H3317="",TRUE(),COUNTIF(원본명단!$H$3:$H3317,원본명단!$H3317)=1),IF(원본명단!$I3317="",TRUE(),COUNTIF(원본명단!$I$3:$I3317,원본명단!$I3317)=1),IF(원본명단!$K3317="",TRUE(),COUNTIF(원본명단!$K$3:$K3317,원본명단!$K3317)=1)),"첫 건","중복 건")))</f>
        <v/>
      </c>
      <c r="J3318" s="11" t="str">
        <f aca="false">IF($A3318="","",IF($H3318="-","유지",IF($I3318="첫 건","유지","확인 필요")))</f>
        <v/>
      </c>
    </row>
    <row r="3319" customFormat="false" ht="15" hidden="false" customHeight="true" outlineLevel="0" collapsed="false">
      <c r="A3319" s="11" t="str">
        <f aca="false">IF(원본명단!$A3318="","",3316)</f>
        <v/>
      </c>
      <c r="B3319" s="12" t="str">
        <f aca="false">IF($A3319="","",원본명단!$A3318)</f>
        <v/>
      </c>
      <c r="C3319" s="12" t="str">
        <f aca="false">IF($A3319="","",원본명단!$B3318)</f>
        <v/>
      </c>
      <c r="D3319" s="12" t="str">
        <f aca="false">IF($A3319="","",원본명단!$D3318)</f>
        <v/>
      </c>
      <c r="E3319" s="11" t="str">
        <f aca="false">IF($A3319="","",IF(원본명단!$H3318="",0,COUNTIF(원본명단!$H$3:$H$6002,원본명단!$H3318)))</f>
        <v/>
      </c>
      <c r="F3319" s="11" t="str">
        <f aca="false">IF($A3319="","",IF(원본명단!$I3318="",0,COUNTIF(원본명단!$I$3:$I$6002,원본명단!$I3318)))</f>
        <v/>
      </c>
      <c r="G3319" s="11" t="str">
        <f aca="false">IF($A3319="","",IF(원본명단!$K3318="",0,COUNTIF(원본명단!$K$3:$K$6002,원본명단!$K3318)))</f>
        <v/>
      </c>
      <c r="H3319" s="11" t="str">
        <f aca="false">IF($A3319="","",IF(MAX($E3319,$F3319,$G3319)&gt;1,"중복","-"))</f>
        <v/>
      </c>
      <c r="I3319" s="11" t="str">
        <f aca="false">IF($A3319="","",IF($H3319="-","-",IF(AND(IF(원본명단!$H3318="",TRUE(),COUNTIF(원본명단!$H$3:$H3318,원본명단!$H3318)=1),IF(원본명단!$I3318="",TRUE(),COUNTIF(원본명단!$I$3:$I3318,원본명단!$I3318)=1),IF(원본명단!$K3318="",TRUE(),COUNTIF(원본명단!$K$3:$K3318,원본명단!$K3318)=1)),"첫 건","중복 건")))</f>
        <v/>
      </c>
      <c r="J3319" s="11" t="str">
        <f aca="false">IF($A3319="","",IF($H3319="-","유지",IF($I3319="첫 건","유지","확인 필요")))</f>
        <v/>
      </c>
    </row>
    <row r="3320" customFormat="false" ht="15" hidden="false" customHeight="true" outlineLevel="0" collapsed="false">
      <c r="A3320" s="11" t="str">
        <f aca="false">IF(원본명단!$A3319="","",3317)</f>
        <v/>
      </c>
      <c r="B3320" s="12" t="str">
        <f aca="false">IF($A3320="","",원본명단!$A3319)</f>
        <v/>
      </c>
      <c r="C3320" s="12" t="str">
        <f aca="false">IF($A3320="","",원본명단!$B3319)</f>
        <v/>
      </c>
      <c r="D3320" s="12" t="str">
        <f aca="false">IF($A3320="","",원본명단!$D3319)</f>
        <v/>
      </c>
      <c r="E3320" s="11" t="str">
        <f aca="false">IF($A3320="","",IF(원본명단!$H3319="",0,COUNTIF(원본명단!$H$3:$H$6002,원본명단!$H3319)))</f>
        <v/>
      </c>
      <c r="F3320" s="11" t="str">
        <f aca="false">IF($A3320="","",IF(원본명단!$I3319="",0,COUNTIF(원본명단!$I$3:$I$6002,원본명단!$I3319)))</f>
        <v/>
      </c>
      <c r="G3320" s="11" t="str">
        <f aca="false">IF($A3320="","",IF(원본명단!$K3319="",0,COUNTIF(원본명단!$K$3:$K$6002,원본명단!$K3319)))</f>
        <v/>
      </c>
      <c r="H3320" s="11" t="str">
        <f aca="false">IF($A3320="","",IF(MAX($E3320,$F3320,$G3320)&gt;1,"중복","-"))</f>
        <v/>
      </c>
      <c r="I3320" s="11" t="str">
        <f aca="false">IF($A3320="","",IF($H3320="-","-",IF(AND(IF(원본명단!$H3319="",TRUE(),COUNTIF(원본명단!$H$3:$H3319,원본명단!$H3319)=1),IF(원본명단!$I3319="",TRUE(),COUNTIF(원본명단!$I$3:$I3319,원본명단!$I3319)=1),IF(원본명단!$K3319="",TRUE(),COUNTIF(원본명단!$K$3:$K3319,원본명단!$K3319)=1)),"첫 건","중복 건")))</f>
        <v/>
      </c>
      <c r="J3320" s="11" t="str">
        <f aca="false">IF($A3320="","",IF($H3320="-","유지",IF($I3320="첫 건","유지","확인 필요")))</f>
        <v/>
      </c>
    </row>
    <row r="3321" customFormat="false" ht="15" hidden="false" customHeight="true" outlineLevel="0" collapsed="false">
      <c r="A3321" s="11" t="str">
        <f aca="false">IF(원본명단!$A3320="","",3318)</f>
        <v/>
      </c>
      <c r="B3321" s="12" t="str">
        <f aca="false">IF($A3321="","",원본명단!$A3320)</f>
        <v/>
      </c>
      <c r="C3321" s="12" t="str">
        <f aca="false">IF($A3321="","",원본명단!$B3320)</f>
        <v/>
      </c>
      <c r="D3321" s="12" t="str">
        <f aca="false">IF($A3321="","",원본명단!$D3320)</f>
        <v/>
      </c>
      <c r="E3321" s="11" t="str">
        <f aca="false">IF($A3321="","",IF(원본명단!$H3320="",0,COUNTIF(원본명단!$H$3:$H$6002,원본명단!$H3320)))</f>
        <v/>
      </c>
      <c r="F3321" s="11" t="str">
        <f aca="false">IF($A3321="","",IF(원본명단!$I3320="",0,COUNTIF(원본명단!$I$3:$I$6002,원본명단!$I3320)))</f>
        <v/>
      </c>
      <c r="G3321" s="11" t="str">
        <f aca="false">IF($A3321="","",IF(원본명단!$K3320="",0,COUNTIF(원본명단!$K$3:$K$6002,원본명단!$K3320)))</f>
        <v/>
      </c>
      <c r="H3321" s="11" t="str">
        <f aca="false">IF($A3321="","",IF(MAX($E3321,$F3321,$G3321)&gt;1,"중복","-"))</f>
        <v/>
      </c>
      <c r="I3321" s="11" t="str">
        <f aca="false">IF($A3321="","",IF($H3321="-","-",IF(AND(IF(원본명단!$H3320="",TRUE(),COUNTIF(원본명단!$H$3:$H3320,원본명단!$H3320)=1),IF(원본명단!$I3320="",TRUE(),COUNTIF(원본명단!$I$3:$I3320,원본명단!$I3320)=1),IF(원본명단!$K3320="",TRUE(),COUNTIF(원본명단!$K$3:$K3320,원본명단!$K3320)=1)),"첫 건","중복 건")))</f>
        <v/>
      </c>
      <c r="J3321" s="11" t="str">
        <f aca="false">IF($A3321="","",IF($H3321="-","유지",IF($I3321="첫 건","유지","확인 필요")))</f>
        <v/>
      </c>
    </row>
    <row r="3322" customFormat="false" ht="15" hidden="false" customHeight="true" outlineLevel="0" collapsed="false">
      <c r="A3322" s="11" t="str">
        <f aca="false">IF(원본명단!$A3321="","",3319)</f>
        <v/>
      </c>
      <c r="B3322" s="12" t="str">
        <f aca="false">IF($A3322="","",원본명단!$A3321)</f>
        <v/>
      </c>
      <c r="C3322" s="12" t="str">
        <f aca="false">IF($A3322="","",원본명단!$B3321)</f>
        <v/>
      </c>
      <c r="D3322" s="12" t="str">
        <f aca="false">IF($A3322="","",원본명단!$D3321)</f>
        <v/>
      </c>
      <c r="E3322" s="11" t="str">
        <f aca="false">IF($A3322="","",IF(원본명단!$H3321="",0,COUNTIF(원본명단!$H$3:$H$6002,원본명단!$H3321)))</f>
        <v/>
      </c>
      <c r="F3322" s="11" t="str">
        <f aca="false">IF($A3322="","",IF(원본명단!$I3321="",0,COUNTIF(원본명단!$I$3:$I$6002,원본명단!$I3321)))</f>
        <v/>
      </c>
      <c r="G3322" s="11" t="str">
        <f aca="false">IF($A3322="","",IF(원본명단!$K3321="",0,COUNTIF(원본명단!$K$3:$K$6002,원본명단!$K3321)))</f>
        <v/>
      </c>
      <c r="H3322" s="11" t="str">
        <f aca="false">IF($A3322="","",IF(MAX($E3322,$F3322,$G3322)&gt;1,"중복","-"))</f>
        <v/>
      </c>
      <c r="I3322" s="11" t="str">
        <f aca="false">IF($A3322="","",IF($H3322="-","-",IF(AND(IF(원본명단!$H3321="",TRUE(),COUNTIF(원본명단!$H$3:$H3321,원본명단!$H3321)=1),IF(원본명단!$I3321="",TRUE(),COUNTIF(원본명단!$I$3:$I3321,원본명단!$I3321)=1),IF(원본명단!$K3321="",TRUE(),COUNTIF(원본명단!$K$3:$K3321,원본명단!$K3321)=1)),"첫 건","중복 건")))</f>
        <v/>
      </c>
      <c r="J3322" s="11" t="str">
        <f aca="false">IF($A3322="","",IF($H3322="-","유지",IF($I3322="첫 건","유지","확인 필요")))</f>
        <v/>
      </c>
    </row>
    <row r="3323" customFormat="false" ht="15" hidden="false" customHeight="true" outlineLevel="0" collapsed="false">
      <c r="A3323" s="11" t="str">
        <f aca="false">IF(원본명단!$A3322="","",3320)</f>
        <v/>
      </c>
      <c r="B3323" s="12" t="str">
        <f aca="false">IF($A3323="","",원본명단!$A3322)</f>
        <v/>
      </c>
      <c r="C3323" s="12" t="str">
        <f aca="false">IF($A3323="","",원본명단!$B3322)</f>
        <v/>
      </c>
      <c r="D3323" s="12" t="str">
        <f aca="false">IF($A3323="","",원본명단!$D3322)</f>
        <v/>
      </c>
      <c r="E3323" s="11" t="str">
        <f aca="false">IF($A3323="","",IF(원본명단!$H3322="",0,COUNTIF(원본명단!$H$3:$H$6002,원본명단!$H3322)))</f>
        <v/>
      </c>
      <c r="F3323" s="11" t="str">
        <f aca="false">IF($A3323="","",IF(원본명단!$I3322="",0,COUNTIF(원본명단!$I$3:$I$6002,원본명단!$I3322)))</f>
        <v/>
      </c>
      <c r="G3323" s="11" t="str">
        <f aca="false">IF($A3323="","",IF(원본명단!$K3322="",0,COUNTIF(원본명단!$K$3:$K$6002,원본명단!$K3322)))</f>
        <v/>
      </c>
      <c r="H3323" s="11" t="str">
        <f aca="false">IF($A3323="","",IF(MAX($E3323,$F3323,$G3323)&gt;1,"중복","-"))</f>
        <v/>
      </c>
      <c r="I3323" s="11" t="str">
        <f aca="false">IF($A3323="","",IF($H3323="-","-",IF(AND(IF(원본명단!$H3322="",TRUE(),COUNTIF(원본명단!$H$3:$H3322,원본명단!$H3322)=1),IF(원본명단!$I3322="",TRUE(),COUNTIF(원본명단!$I$3:$I3322,원본명단!$I3322)=1),IF(원본명단!$K3322="",TRUE(),COUNTIF(원본명단!$K$3:$K3322,원본명단!$K3322)=1)),"첫 건","중복 건")))</f>
        <v/>
      </c>
      <c r="J3323" s="11" t="str">
        <f aca="false">IF($A3323="","",IF($H3323="-","유지",IF($I3323="첫 건","유지","확인 필요")))</f>
        <v/>
      </c>
    </row>
    <row r="3324" customFormat="false" ht="15" hidden="false" customHeight="true" outlineLevel="0" collapsed="false">
      <c r="A3324" s="11" t="str">
        <f aca="false">IF(원본명단!$A3323="","",3321)</f>
        <v/>
      </c>
      <c r="B3324" s="12" t="str">
        <f aca="false">IF($A3324="","",원본명단!$A3323)</f>
        <v/>
      </c>
      <c r="C3324" s="12" t="str">
        <f aca="false">IF($A3324="","",원본명단!$B3323)</f>
        <v/>
      </c>
      <c r="D3324" s="12" t="str">
        <f aca="false">IF($A3324="","",원본명단!$D3323)</f>
        <v/>
      </c>
      <c r="E3324" s="11" t="str">
        <f aca="false">IF($A3324="","",IF(원본명단!$H3323="",0,COUNTIF(원본명단!$H$3:$H$6002,원본명단!$H3323)))</f>
        <v/>
      </c>
      <c r="F3324" s="11" t="str">
        <f aca="false">IF($A3324="","",IF(원본명단!$I3323="",0,COUNTIF(원본명단!$I$3:$I$6002,원본명단!$I3323)))</f>
        <v/>
      </c>
      <c r="G3324" s="11" t="str">
        <f aca="false">IF($A3324="","",IF(원본명단!$K3323="",0,COUNTIF(원본명단!$K$3:$K$6002,원본명단!$K3323)))</f>
        <v/>
      </c>
      <c r="H3324" s="11" t="str">
        <f aca="false">IF($A3324="","",IF(MAX($E3324,$F3324,$G3324)&gt;1,"중복","-"))</f>
        <v/>
      </c>
      <c r="I3324" s="11" t="str">
        <f aca="false">IF($A3324="","",IF($H3324="-","-",IF(AND(IF(원본명단!$H3323="",TRUE(),COUNTIF(원본명단!$H$3:$H3323,원본명단!$H3323)=1),IF(원본명단!$I3323="",TRUE(),COUNTIF(원본명단!$I$3:$I3323,원본명단!$I3323)=1),IF(원본명단!$K3323="",TRUE(),COUNTIF(원본명단!$K$3:$K3323,원본명단!$K3323)=1)),"첫 건","중복 건")))</f>
        <v/>
      </c>
      <c r="J3324" s="11" t="str">
        <f aca="false">IF($A3324="","",IF($H3324="-","유지",IF($I3324="첫 건","유지","확인 필요")))</f>
        <v/>
      </c>
    </row>
    <row r="3325" customFormat="false" ht="15" hidden="false" customHeight="true" outlineLevel="0" collapsed="false">
      <c r="A3325" s="11" t="str">
        <f aca="false">IF(원본명단!$A3324="","",3322)</f>
        <v/>
      </c>
      <c r="B3325" s="12" t="str">
        <f aca="false">IF($A3325="","",원본명단!$A3324)</f>
        <v/>
      </c>
      <c r="C3325" s="12" t="str">
        <f aca="false">IF($A3325="","",원본명단!$B3324)</f>
        <v/>
      </c>
      <c r="D3325" s="12" t="str">
        <f aca="false">IF($A3325="","",원본명단!$D3324)</f>
        <v/>
      </c>
      <c r="E3325" s="11" t="str">
        <f aca="false">IF($A3325="","",IF(원본명단!$H3324="",0,COUNTIF(원본명단!$H$3:$H$6002,원본명단!$H3324)))</f>
        <v/>
      </c>
      <c r="F3325" s="11" t="str">
        <f aca="false">IF($A3325="","",IF(원본명단!$I3324="",0,COUNTIF(원본명단!$I$3:$I$6002,원본명단!$I3324)))</f>
        <v/>
      </c>
      <c r="G3325" s="11" t="str">
        <f aca="false">IF($A3325="","",IF(원본명단!$K3324="",0,COUNTIF(원본명단!$K$3:$K$6002,원본명단!$K3324)))</f>
        <v/>
      </c>
      <c r="H3325" s="11" t="str">
        <f aca="false">IF($A3325="","",IF(MAX($E3325,$F3325,$G3325)&gt;1,"중복","-"))</f>
        <v/>
      </c>
      <c r="I3325" s="11" t="str">
        <f aca="false">IF($A3325="","",IF($H3325="-","-",IF(AND(IF(원본명단!$H3324="",TRUE(),COUNTIF(원본명단!$H$3:$H3324,원본명단!$H3324)=1),IF(원본명단!$I3324="",TRUE(),COUNTIF(원본명단!$I$3:$I3324,원본명단!$I3324)=1),IF(원본명단!$K3324="",TRUE(),COUNTIF(원본명단!$K$3:$K3324,원본명단!$K3324)=1)),"첫 건","중복 건")))</f>
        <v/>
      </c>
      <c r="J3325" s="11" t="str">
        <f aca="false">IF($A3325="","",IF($H3325="-","유지",IF($I3325="첫 건","유지","확인 필요")))</f>
        <v/>
      </c>
    </row>
    <row r="3326" customFormat="false" ht="15" hidden="false" customHeight="true" outlineLevel="0" collapsed="false">
      <c r="A3326" s="11" t="str">
        <f aca="false">IF(원본명단!$A3325="","",3323)</f>
        <v/>
      </c>
      <c r="B3326" s="12" t="str">
        <f aca="false">IF($A3326="","",원본명단!$A3325)</f>
        <v/>
      </c>
      <c r="C3326" s="12" t="str">
        <f aca="false">IF($A3326="","",원본명단!$B3325)</f>
        <v/>
      </c>
      <c r="D3326" s="12" t="str">
        <f aca="false">IF($A3326="","",원본명단!$D3325)</f>
        <v/>
      </c>
      <c r="E3326" s="11" t="str">
        <f aca="false">IF($A3326="","",IF(원본명단!$H3325="",0,COUNTIF(원본명단!$H$3:$H$6002,원본명단!$H3325)))</f>
        <v/>
      </c>
      <c r="F3326" s="11" t="str">
        <f aca="false">IF($A3326="","",IF(원본명단!$I3325="",0,COUNTIF(원본명단!$I$3:$I$6002,원본명단!$I3325)))</f>
        <v/>
      </c>
      <c r="G3326" s="11" t="str">
        <f aca="false">IF($A3326="","",IF(원본명단!$K3325="",0,COUNTIF(원본명단!$K$3:$K$6002,원본명단!$K3325)))</f>
        <v/>
      </c>
      <c r="H3326" s="11" t="str">
        <f aca="false">IF($A3326="","",IF(MAX($E3326,$F3326,$G3326)&gt;1,"중복","-"))</f>
        <v/>
      </c>
      <c r="I3326" s="11" t="str">
        <f aca="false">IF($A3326="","",IF($H3326="-","-",IF(AND(IF(원본명단!$H3325="",TRUE(),COUNTIF(원본명단!$H$3:$H3325,원본명단!$H3325)=1),IF(원본명단!$I3325="",TRUE(),COUNTIF(원본명단!$I$3:$I3325,원본명단!$I3325)=1),IF(원본명단!$K3325="",TRUE(),COUNTIF(원본명단!$K$3:$K3325,원본명단!$K3325)=1)),"첫 건","중복 건")))</f>
        <v/>
      </c>
      <c r="J3326" s="11" t="str">
        <f aca="false">IF($A3326="","",IF($H3326="-","유지",IF($I3326="첫 건","유지","확인 필요")))</f>
        <v/>
      </c>
    </row>
    <row r="3327" customFormat="false" ht="15" hidden="false" customHeight="true" outlineLevel="0" collapsed="false">
      <c r="A3327" s="11" t="str">
        <f aca="false">IF(원본명단!$A3326="","",3324)</f>
        <v/>
      </c>
      <c r="B3327" s="12" t="str">
        <f aca="false">IF($A3327="","",원본명단!$A3326)</f>
        <v/>
      </c>
      <c r="C3327" s="12" t="str">
        <f aca="false">IF($A3327="","",원본명단!$B3326)</f>
        <v/>
      </c>
      <c r="D3327" s="12" t="str">
        <f aca="false">IF($A3327="","",원본명단!$D3326)</f>
        <v/>
      </c>
      <c r="E3327" s="11" t="str">
        <f aca="false">IF($A3327="","",IF(원본명단!$H3326="",0,COUNTIF(원본명단!$H$3:$H$6002,원본명단!$H3326)))</f>
        <v/>
      </c>
      <c r="F3327" s="11" t="str">
        <f aca="false">IF($A3327="","",IF(원본명단!$I3326="",0,COUNTIF(원본명단!$I$3:$I$6002,원본명단!$I3326)))</f>
        <v/>
      </c>
      <c r="G3327" s="11" t="str">
        <f aca="false">IF($A3327="","",IF(원본명단!$K3326="",0,COUNTIF(원본명단!$K$3:$K$6002,원본명단!$K3326)))</f>
        <v/>
      </c>
      <c r="H3327" s="11" t="str">
        <f aca="false">IF($A3327="","",IF(MAX($E3327,$F3327,$G3327)&gt;1,"중복","-"))</f>
        <v/>
      </c>
      <c r="I3327" s="11" t="str">
        <f aca="false">IF($A3327="","",IF($H3327="-","-",IF(AND(IF(원본명단!$H3326="",TRUE(),COUNTIF(원본명단!$H$3:$H3326,원본명단!$H3326)=1),IF(원본명단!$I3326="",TRUE(),COUNTIF(원본명단!$I$3:$I3326,원본명단!$I3326)=1),IF(원본명단!$K3326="",TRUE(),COUNTIF(원본명단!$K$3:$K3326,원본명단!$K3326)=1)),"첫 건","중복 건")))</f>
        <v/>
      </c>
      <c r="J3327" s="11" t="str">
        <f aca="false">IF($A3327="","",IF($H3327="-","유지",IF($I3327="첫 건","유지","확인 필요")))</f>
        <v/>
      </c>
    </row>
    <row r="3328" customFormat="false" ht="15" hidden="false" customHeight="true" outlineLevel="0" collapsed="false">
      <c r="A3328" s="11" t="str">
        <f aca="false">IF(원본명단!$A3327="","",3325)</f>
        <v/>
      </c>
      <c r="B3328" s="12" t="str">
        <f aca="false">IF($A3328="","",원본명단!$A3327)</f>
        <v/>
      </c>
      <c r="C3328" s="12" t="str">
        <f aca="false">IF($A3328="","",원본명단!$B3327)</f>
        <v/>
      </c>
      <c r="D3328" s="12" t="str">
        <f aca="false">IF($A3328="","",원본명단!$D3327)</f>
        <v/>
      </c>
      <c r="E3328" s="11" t="str">
        <f aca="false">IF($A3328="","",IF(원본명단!$H3327="",0,COUNTIF(원본명단!$H$3:$H$6002,원본명단!$H3327)))</f>
        <v/>
      </c>
      <c r="F3328" s="11" t="str">
        <f aca="false">IF($A3328="","",IF(원본명단!$I3327="",0,COUNTIF(원본명단!$I$3:$I$6002,원본명단!$I3327)))</f>
        <v/>
      </c>
      <c r="G3328" s="11" t="str">
        <f aca="false">IF($A3328="","",IF(원본명단!$K3327="",0,COUNTIF(원본명단!$K$3:$K$6002,원본명단!$K3327)))</f>
        <v/>
      </c>
      <c r="H3328" s="11" t="str">
        <f aca="false">IF($A3328="","",IF(MAX($E3328,$F3328,$G3328)&gt;1,"중복","-"))</f>
        <v/>
      </c>
      <c r="I3328" s="11" t="str">
        <f aca="false">IF($A3328="","",IF($H3328="-","-",IF(AND(IF(원본명단!$H3327="",TRUE(),COUNTIF(원본명단!$H$3:$H3327,원본명단!$H3327)=1),IF(원본명단!$I3327="",TRUE(),COUNTIF(원본명단!$I$3:$I3327,원본명단!$I3327)=1),IF(원본명단!$K3327="",TRUE(),COUNTIF(원본명단!$K$3:$K3327,원본명단!$K3327)=1)),"첫 건","중복 건")))</f>
        <v/>
      </c>
      <c r="J3328" s="11" t="str">
        <f aca="false">IF($A3328="","",IF($H3328="-","유지",IF($I3328="첫 건","유지","확인 필요")))</f>
        <v/>
      </c>
    </row>
    <row r="3329" customFormat="false" ht="15" hidden="false" customHeight="true" outlineLevel="0" collapsed="false">
      <c r="A3329" s="11" t="str">
        <f aca="false">IF(원본명단!$A3328="","",3326)</f>
        <v/>
      </c>
      <c r="B3329" s="12" t="str">
        <f aca="false">IF($A3329="","",원본명단!$A3328)</f>
        <v/>
      </c>
      <c r="C3329" s="12" t="str">
        <f aca="false">IF($A3329="","",원본명단!$B3328)</f>
        <v/>
      </c>
      <c r="D3329" s="12" t="str">
        <f aca="false">IF($A3329="","",원본명단!$D3328)</f>
        <v/>
      </c>
      <c r="E3329" s="11" t="str">
        <f aca="false">IF($A3329="","",IF(원본명단!$H3328="",0,COUNTIF(원본명단!$H$3:$H$6002,원본명단!$H3328)))</f>
        <v/>
      </c>
      <c r="F3329" s="11" t="str">
        <f aca="false">IF($A3329="","",IF(원본명단!$I3328="",0,COUNTIF(원본명단!$I$3:$I$6002,원본명단!$I3328)))</f>
        <v/>
      </c>
      <c r="G3329" s="11" t="str">
        <f aca="false">IF($A3329="","",IF(원본명단!$K3328="",0,COUNTIF(원본명단!$K$3:$K$6002,원본명단!$K3328)))</f>
        <v/>
      </c>
      <c r="H3329" s="11" t="str">
        <f aca="false">IF($A3329="","",IF(MAX($E3329,$F3329,$G3329)&gt;1,"중복","-"))</f>
        <v/>
      </c>
      <c r="I3329" s="11" t="str">
        <f aca="false">IF($A3329="","",IF($H3329="-","-",IF(AND(IF(원본명단!$H3328="",TRUE(),COUNTIF(원본명단!$H$3:$H3328,원본명단!$H3328)=1),IF(원본명단!$I3328="",TRUE(),COUNTIF(원본명단!$I$3:$I3328,원본명단!$I3328)=1),IF(원본명단!$K3328="",TRUE(),COUNTIF(원본명단!$K$3:$K3328,원본명단!$K3328)=1)),"첫 건","중복 건")))</f>
        <v/>
      </c>
      <c r="J3329" s="11" t="str">
        <f aca="false">IF($A3329="","",IF($H3329="-","유지",IF($I3329="첫 건","유지","확인 필요")))</f>
        <v/>
      </c>
    </row>
    <row r="3330" customFormat="false" ht="15" hidden="false" customHeight="true" outlineLevel="0" collapsed="false">
      <c r="A3330" s="11" t="str">
        <f aca="false">IF(원본명단!$A3329="","",3327)</f>
        <v/>
      </c>
      <c r="B3330" s="12" t="str">
        <f aca="false">IF($A3330="","",원본명단!$A3329)</f>
        <v/>
      </c>
      <c r="C3330" s="12" t="str">
        <f aca="false">IF($A3330="","",원본명단!$B3329)</f>
        <v/>
      </c>
      <c r="D3330" s="12" t="str">
        <f aca="false">IF($A3330="","",원본명단!$D3329)</f>
        <v/>
      </c>
      <c r="E3330" s="11" t="str">
        <f aca="false">IF($A3330="","",IF(원본명단!$H3329="",0,COUNTIF(원본명단!$H$3:$H$6002,원본명단!$H3329)))</f>
        <v/>
      </c>
      <c r="F3330" s="11" t="str">
        <f aca="false">IF($A3330="","",IF(원본명단!$I3329="",0,COUNTIF(원본명단!$I$3:$I$6002,원본명단!$I3329)))</f>
        <v/>
      </c>
      <c r="G3330" s="11" t="str">
        <f aca="false">IF($A3330="","",IF(원본명단!$K3329="",0,COUNTIF(원본명단!$K$3:$K$6002,원본명단!$K3329)))</f>
        <v/>
      </c>
      <c r="H3330" s="11" t="str">
        <f aca="false">IF($A3330="","",IF(MAX($E3330,$F3330,$G3330)&gt;1,"중복","-"))</f>
        <v/>
      </c>
      <c r="I3330" s="11" t="str">
        <f aca="false">IF($A3330="","",IF($H3330="-","-",IF(AND(IF(원본명단!$H3329="",TRUE(),COUNTIF(원본명단!$H$3:$H3329,원본명단!$H3329)=1),IF(원본명단!$I3329="",TRUE(),COUNTIF(원본명단!$I$3:$I3329,원본명단!$I3329)=1),IF(원본명단!$K3329="",TRUE(),COUNTIF(원본명단!$K$3:$K3329,원본명단!$K3329)=1)),"첫 건","중복 건")))</f>
        <v/>
      </c>
      <c r="J3330" s="11" t="str">
        <f aca="false">IF($A3330="","",IF($H3330="-","유지",IF($I3330="첫 건","유지","확인 필요")))</f>
        <v/>
      </c>
    </row>
    <row r="3331" customFormat="false" ht="15" hidden="false" customHeight="true" outlineLevel="0" collapsed="false">
      <c r="A3331" s="11" t="str">
        <f aca="false">IF(원본명단!$A3330="","",3328)</f>
        <v/>
      </c>
      <c r="B3331" s="12" t="str">
        <f aca="false">IF($A3331="","",원본명단!$A3330)</f>
        <v/>
      </c>
      <c r="C3331" s="12" t="str">
        <f aca="false">IF($A3331="","",원본명단!$B3330)</f>
        <v/>
      </c>
      <c r="D3331" s="12" t="str">
        <f aca="false">IF($A3331="","",원본명단!$D3330)</f>
        <v/>
      </c>
      <c r="E3331" s="11" t="str">
        <f aca="false">IF($A3331="","",IF(원본명단!$H3330="",0,COUNTIF(원본명단!$H$3:$H$6002,원본명단!$H3330)))</f>
        <v/>
      </c>
      <c r="F3331" s="11" t="str">
        <f aca="false">IF($A3331="","",IF(원본명단!$I3330="",0,COUNTIF(원본명단!$I$3:$I$6002,원본명단!$I3330)))</f>
        <v/>
      </c>
      <c r="G3331" s="11" t="str">
        <f aca="false">IF($A3331="","",IF(원본명단!$K3330="",0,COUNTIF(원본명단!$K$3:$K$6002,원본명단!$K3330)))</f>
        <v/>
      </c>
      <c r="H3331" s="11" t="str">
        <f aca="false">IF($A3331="","",IF(MAX($E3331,$F3331,$G3331)&gt;1,"중복","-"))</f>
        <v/>
      </c>
      <c r="I3331" s="11" t="str">
        <f aca="false">IF($A3331="","",IF($H3331="-","-",IF(AND(IF(원본명단!$H3330="",TRUE(),COUNTIF(원본명단!$H$3:$H3330,원본명단!$H3330)=1),IF(원본명단!$I3330="",TRUE(),COUNTIF(원본명단!$I$3:$I3330,원본명단!$I3330)=1),IF(원본명단!$K3330="",TRUE(),COUNTIF(원본명단!$K$3:$K3330,원본명단!$K3330)=1)),"첫 건","중복 건")))</f>
        <v/>
      </c>
      <c r="J3331" s="11" t="str">
        <f aca="false">IF($A3331="","",IF($H3331="-","유지",IF($I3331="첫 건","유지","확인 필요")))</f>
        <v/>
      </c>
    </row>
    <row r="3332" customFormat="false" ht="15" hidden="false" customHeight="true" outlineLevel="0" collapsed="false">
      <c r="A3332" s="11" t="str">
        <f aca="false">IF(원본명단!$A3331="","",3329)</f>
        <v/>
      </c>
      <c r="B3332" s="12" t="str">
        <f aca="false">IF($A3332="","",원본명단!$A3331)</f>
        <v/>
      </c>
      <c r="C3332" s="12" t="str">
        <f aca="false">IF($A3332="","",원본명단!$B3331)</f>
        <v/>
      </c>
      <c r="D3332" s="12" t="str">
        <f aca="false">IF($A3332="","",원본명단!$D3331)</f>
        <v/>
      </c>
      <c r="E3332" s="11" t="str">
        <f aca="false">IF($A3332="","",IF(원본명단!$H3331="",0,COUNTIF(원본명단!$H$3:$H$6002,원본명단!$H3331)))</f>
        <v/>
      </c>
      <c r="F3332" s="11" t="str">
        <f aca="false">IF($A3332="","",IF(원본명단!$I3331="",0,COUNTIF(원본명단!$I$3:$I$6002,원본명단!$I3331)))</f>
        <v/>
      </c>
      <c r="G3332" s="11" t="str">
        <f aca="false">IF($A3332="","",IF(원본명단!$K3331="",0,COUNTIF(원본명단!$K$3:$K$6002,원본명단!$K3331)))</f>
        <v/>
      </c>
      <c r="H3332" s="11" t="str">
        <f aca="false">IF($A3332="","",IF(MAX($E3332,$F3332,$G3332)&gt;1,"중복","-"))</f>
        <v/>
      </c>
      <c r="I3332" s="11" t="str">
        <f aca="false">IF($A3332="","",IF($H3332="-","-",IF(AND(IF(원본명단!$H3331="",TRUE(),COUNTIF(원본명단!$H$3:$H3331,원본명단!$H3331)=1),IF(원본명단!$I3331="",TRUE(),COUNTIF(원본명단!$I$3:$I3331,원본명단!$I3331)=1),IF(원본명단!$K3331="",TRUE(),COUNTIF(원본명단!$K$3:$K3331,원본명단!$K3331)=1)),"첫 건","중복 건")))</f>
        <v/>
      </c>
      <c r="J3332" s="11" t="str">
        <f aca="false">IF($A3332="","",IF($H3332="-","유지",IF($I3332="첫 건","유지","확인 필요")))</f>
        <v/>
      </c>
    </row>
    <row r="3333" customFormat="false" ht="15" hidden="false" customHeight="true" outlineLevel="0" collapsed="false">
      <c r="A3333" s="11" t="str">
        <f aca="false">IF(원본명단!$A3332="","",3330)</f>
        <v/>
      </c>
      <c r="B3333" s="12" t="str">
        <f aca="false">IF($A3333="","",원본명단!$A3332)</f>
        <v/>
      </c>
      <c r="C3333" s="12" t="str">
        <f aca="false">IF($A3333="","",원본명단!$B3332)</f>
        <v/>
      </c>
      <c r="D3333" s="12" t="str">
        <f aca="false">IF($A3333="","",원본명단!$D3332)</f>
        <v/>
      </c>
      <c r="E3333" s="11" t="str">
        <f aca="false">IF($A3333="","",IF(원본명단!$H3332="",0,COUNTIF(원본명단!$H$3:$H$6002,원본명단!$H3332)))</f>
        <v/>
      </c>
      <c r="F3333" s="11" t="str">
        <f aca="false">IF($A3333="","",IF(원본명단!$I3332="",0,COUNTIF(원본명단!$I$3:$I$6002,원본명단!$I3332)))</f>
        <v/>
      </c>
      <c r="G3333" s="11" t="str">
        <f aca="false">IF($A3333="","",IF(원본명단!$K3332="",0,COUNTIF(원본명단!$K$3:$K$6002,원본명단!$K3332)))</f>
        <v/>
      </c>
      <c r="H3333" s="11" t="str">
        <f aca="false">IF($A3333="","",IF(MAX($E3333,$F3333,$G3333)&gt;1,"중복","-"))</f>
        <v/>
      </c>
      <c r="I3333" s="11" t="str">
        <f aca="false">IF($A3333="","",IF($H3333="-","-",IF(AND(IF(원본명단!$H3332="",TRUE(),COUNTIF(원본명단!$H$3:$H3332,원본명단!$H3332)=1),IF(원본명단!$I3332="",TRUE(),COUNTIF(원본명단!$I$3:$I3332,원본명단!$I3332)=1),IF(원본명단!$K3332="",TRUE(),COUNTIF(원본명단!$K$3:$K3332,원본명단!$K3332)=1)),"첫 건","중복 건")))</f>
        <v/>
      </c>
      <c r="J3333" s="11" t="str">
        <f aca="false">IF($A3333="","",IF($H3333="-","유지",IF($I3333="첫 건","유지","확인 필요")))</f>
        <v/>
      </c>
    </row>
    <row r="3334" customFormat="false" ht="15" hidden="false" customHeight="true" outlineLevel="0" collapsed="false">
      <c r="A3334" s="11" t="str">
        <f aca="false">IF(원본명단!$A3333="","",3331)</f>
        <v/>
      </c>
      <c r="B3334" s="12" t="str">
        <f aca="false">IF($A3334="","",원본명단!$A3333)</f>
        <v/>
      </c>
      <c r="C3334" s="12" t="str">
        <f aca="false">IF($A3334="","",원본명단!$B3333)</f>
        <v/>
      </c>
      <c r="D3334" s="12" t="str">
        <f aca="false">IF($A3334="","",원본명단!$D3333)</f>
        <v/>
      </c>
      <c r="E3334" s="11" t="str">
        <f aca="false">IF($A3334="","",IF(원본명단!$H3333="",0,COUNTIF(원본명단!$H$3:$H$6002,원본명단!$H3333)))</f>
        <v/>
      </c>
      <c r="F3334" s="11" t="str">
        <f aca="false">IF($A3334="","",IF(원본명단!$I3333="",0,COUNTIF(원본명단!$I$3:$I$6002,원본명단!$I3333)))</f>
        <v/>
      </c>
      <c r="G3334" s="11" t="str">
        <f aca="false">IF($A3334="","",IF(원본명단!$K3333="",0,COUNTIF(원본명단!$K$3:$K$6002,원본명단!$K3333)))</f>
        <v/>
      </c>
      <c r="H3334" s="11" t="str">
        <f aca="false">IF($A3334="","",IF(MAX($E3334,$F3334,$G3334)&gt;1,"중복","-"))</f>
        <v/>
      </c>
      <c r="I3334" s="11" t="str">
        <f aca="false">IF($A3334="","",IF($H3334="-","-",IF(AND(IF(원본명단!$H3333="",TRUE(),COUNTIF(원본명단!$H$3:$H3333,원본명단!$H3333)=1),IF(원본명단!$I3333="",TRUE(),COUNTIF(원본명단!$I$3:$I3333,원본명단!$I3333)=1),IF(원본명단!$K3333="",TRUE(),COUNTIF(원본명단!$K$3:$K3333,원본명단!$K3333)=1)),"첫 건","중복 건")))</f>
        <v/>
      </c>
      <c r="J3334" s="11" t="str">
        <f aca="false">IF($A3334="","",IF($H3334="-","유지",IF($I3334="첫 건","유지","확인 필요")))</f>
        <v/>
      </c>
    </row>
    <row r="3335" customFormat="false" ht="15" hidden="false" customHeight="true" outlineLevel="0" collapsed="false">
      <c r="A3335" s="11" t="str">
        <f aca="false">IF(원본명단!$A3334="","",3332)</f>
        <v/>
      </c>
      <c r="B3335" s="12" t="str">
        <f aca="false">IF($A3335="","",원본명단!$A3334)</f>
        <v/>
      </c>
      <c r="C3335" s="12" t="str">
        <f aca="false">IF($A3335="","",원본명단!$B3334)</f>
        <v/>
      </c>
      <c r="D3335" s="12" t="str">
        <f aca="false">IF($A3335="","",원본명단!$D3334)</f>
        <v/>
      </c>
      <c r="E3335" s="11" t="str">
        <f aca="false">IF($A3335="","",IF(원본명단!$H3334="",0,COUNTIF(원본명단!$H$3:$H$6002,원본명단!$H3334)))</f>
        <v/>
      </c>
      <c r="F3335" s="11" t="str">
        <f aca="false">IF($A3335="","",IF(원본명단!$I3334="",0,COUNTIF(원본명단!$I$3:$I$6002,원본명단!$I3334)))</f>
        <v/>
      </c>
      <c r="G3335" s="11" t="str">
        <f aca="false">IF($A3335="","",IF(원본명단!$K3334="",0,COUNTIF(원본명단!$K$3:$K$6002,원본명단!$K3334)))</f>
        <v/>
      </c>
      <c r="H3335" s="11" t="str">
        <f aca="false">IF($A3335="","",IF(MAX($E3335,$F3335,$G3335)&gt;1,"중복","-"))</f>
        <v/>
      </c>
      <c r="I3335" s="11" t="str">
        <f aca="false">IF($A3335="","",IF($H3335="-","-",IF(AND(IF(원본명단!$H3334="",TRUE(),COUNTIF(원본명단!$H$3:$H3334,원본명단!$H3334)=1),IF(원본명단!$I3334="",TRUE(),COUNTIF(원본명단!$I$3:$I3334,원본명단!$I3334)=1),IF(원본명단!$K3334="",TRUE(),COUNTIF(원본명단!$K$3:$K3334,원본명단!$K3334)=1)),"첫 건","중복 건")))</f>
        <v/>
      </c>
      <c r="J3335" s="11" t="str">
        <f aca="false">IF($A3335="","",IF($H3335="-","유지",IF($I3335="첫 건","유지","확인 필요")))</f>
        <v/>
      </c>
    </row>
    <row r="3336" customFormat="false" ht="15" hidden="false" customHeight="true" outlineLevel="0" collapsed="false">
      <c r="A3336" s="11" t="str">
        <f aca="false">IF(원본명단!$A3335="","",3333)</f>
        <v/>
      </c>
      <c r="B3336" s="12" t="str">
        <f aca="false">IF($A3336="","",원본명단!$A3335)</f>
        <v/>
      </c>
      <c r="C3336" s="12" t="str">
        <f aca="false">IF($A3336="","",원본명단!$B3335)</f>
        <v/>
      </c>
      <c r="D3336" s="12" t="str">
        <f aca="false">IF($A3336="","",원본명단!$D3335)</f>
        <v/>
      </c>
      <c r="E3336" s="11" t="str">
        <f aca="false">IF($A3336="","",IF(원본명단!$H3335="",0,COUNTIF(원본명단!$H$3:$H$6002,원본명단!$H3335)))</f>
        <v/>
      </c>
      <c r="F3336" s="11" t="str">
        <f aca="false">IF($A3336="","",IF(원본명단!$I3335="",0,COUNTIF(원본명단!$I$3:$I$6002,원본명단!$I3335)))</f>
        <v/>
      </c>
      <c r="G3336" s="11" t="str">
        <f aca="false">IF($A3336="","",IF(원본명단!$K3335="",0,COUNTIF(원본명단!$K$3:$K$6002,원본명단!$K3335)))</f>
        <v/>
      </c>
      <c r="H3336" s="11" t="str">
        <f aca="false">IF($A3336="","",IF(MAX($E3336,$F3336,$G3336)&gt;1,"중복","-"))</f>
        <v/>
      </c>
      <c r="I3336" s="11" t="str">
        <f aca="false">IF($A3336="","",IF($H3336="-","-",IF(AND(IF(원본명단!$H3335="",TRUE(),COUNTIF(원본명단!$H$3:$H3335,원본명단!$H3335)=1),IF(원본명단!$I3335="",TRUE(),COUNTIF(원본명단!$I$3:$I3335,원본명단!$I3335)=1),IF(원본명단!$K3335="",TRUE(),COUNTIF(원본명단!$K$3:$K3335,원본명단!$K3335)=1)),"첫 건","중복 건")))</f>
        <v/>
      </c>
      <c r="J3336" s="11" t="str">
        <f aca="false">IF($A3336="","",IF($H3336="-","유지",IF($I3336="첫 건","유지","확인 필요")))</f>
        <v/>
      </c>
    </row>
    <row r="3337" customFormat="false" ht="15" hidden="false" customHeight="true" outlineLevel="0" collapsed="false">
      <c r="A3337" s="11" t="str">
        <f aca="false">IF(원본명단!$A3336="","",3334)</f>
        <v/>
      </c>
      <c r="B3337" s="12" t="str">
        <f aca="false">IF($A3337="","",원본명단!$A3336)</f>
        <v/>
      </c>
      <c r="C3337" s="12" t="str">
        <f aca="false">IF($A3337="","",원본명단!$B3336)</f>
        <v/>
      </c>
      <c r="D3337" s="12" t="str">
        <f aca="false">IF($A3337="","",원본명단!$D3336)</f>
        <v/>
      </c>
      <c r="E3337" s="11" t="str">
        <f aca="false">IF($A3337="","",IF(원본명단!$H3336="",0,COUNTIF(원본명단!$H$3:$H$6002,원본명단!$H3336)))</f>
        <v/>
      </c>
      <c r="F3337" s="11" t="str">
        <f aca="false">IF($A3337="","",IF(원본명단!$I3336="",0,COUNTIF(원본명단!$I$3:$I$6002,원본명단!$I3336)))</f>
        <v/>
      </c>
      <c r="G3337" s="11" t="str">
        <f aca="false">IF($A3337="","",IF(원본명단!$K3336="",0,COUNTIF(원본명단!$K$3:$K$6002,원본명단!$K3336)))</f>
        <v/>
      </c>
      <c r="H3337" s="11" t="str">
        <f aca="false">IF($A3337="","",IF(MAX($E3337,$F3337,$G3337)&gt;1,"중복","-"))</f>
        <v/>
      </c>
      <c r="I3337" s="11" t="str">
        <f aca="false">IF($A3337="","",IF($H3337="-","-",IF(AND(IF(원본명단!$H3336="",TRUE(),COUNTIF(원본명단!$H$3:$H3336,원본명단!$H3336)=1),IF(원본명단!$I3336="",TRUE(),COUNTIF(원본명단!$I$3:$I3336,원본명단!$I3336)=1),IF(원본명단!$K3336="",TRUE(),COUNTIF(원본명단!$K$3:$K3336,원본명단!$K3336)=1)),"첫 건","중복 건")))</f>
        <v/>
      </c>
      <c r="J3337" s="11" t="str">
        <f aca="false">IF($A3337="","",IF($H3337="-","유지",IF($I3337="첫 건","유지","확인 필요")))</f>
        <v/>
      </c>
    </row>
    <row r="3338" customFormat="false" ht="15" hidden="false" customHeight="true" outlineLevel="0" collapsed="false">
      <c r="A3338" s="11" t="str">
        <f aca="false">IF(원본명단!$A3337="","",3335)</f>
        <v/>
      </c>
      <c r="B3338" s="12" t="str">
        <f aca="false">IF($A3338="","",원본명단!$A3337)</f>
        <v/>
      </c>
      <c r="C3338" s="12" t="str">
        <f aca="false">IF($A3338="","",원본명단!$B3337)</f>
        <v/>
      </c>
      <c r="D3338" s="12" t="str">
        <f aca="false">IF($A3338="","",원본명단!$D3337)</f>
        <v/>
      </c>
      <c r="E3338" s="11" t="str">
        <f aca="false">IF($A3338="","",IF(원본명단!$H3337="",0,COUNTIF(원본명단!$H$3:$H$6002,원본명단!$H3337)))</f>
        <v/>
      </c>
      <c r="F3338" s="11" t="str">
        <f aca="false">IF($A3338="","",IF(원본명단!$I3337="",0,COUNTIF(원본명단!$I$3:$I$6002,원본명단!$I3337)))</f>
        <v/>
      </c>
      <c r="G3338" s="11" t="str">
        <f aca="false">IF($A3338="","",IF(원본명단!$K3337="",0,COUNTIF(원본명단!$K$3:$K$6002,원본명단!$K3337)))</f>
        <v/>
      </c>
      <c r="H3338" s="11" t="str">
        <f aca="false">IF($A3338="","",IF(MAX($E3338,$F3338,$G3338)&gt;1,"중복","-"))</f>
        <v/>
      </c>
      <c r="I3338" s="11" t="str">
        <f aca="false">IF($A3338="","",IF($H3338="-","-",IF(AND(IF(원본명단!$H3337="",TRUE(),COUNTIF(원본명단!$H$3:$H3337,원본명단!$H3337)=1),IF(원본명단!$I3337="",TRUE(),COUNTIF(원본명단!$I$3:$I3337,원본명단!$I3337)=1),IF(원본명단!$K3337="",TRUE(),COUNTIF(원본명단!$K$3:$K3337,원본명단!$K3337)=1)),"첫 건","중복 건")))</f>
        <v/>
      </c>
      <c r="J3338" s="11" t="str">
        <f aca="false">IF($A3338="","",IF($H3338="-","유지",IF($I3338="첫 건","유지","확인 필요")))</f>
        <v/>
      </c>
    </row>
    <row r="3339" customFormat="false" ht="15" hidden="false" customHeight="true" outlineLevel="0" collapsed="false">
      <c r="A3339" s="11" t="str">
        <f aca="false">IF(원본명단!$A3338="","",3336)</f>
        <v/>
      </c>
      <c r="B3339" s="12" t="str">
        <f aca="false">IF($A3339="","",원본명단!$A3338)</f>
        <v/>
      </c>
      <c r="C3339" s="12" t="str">
        <f aca="false">IF($A3339="","",원본명단!$B3338)</f>
        <v/>
      </c>
      <c r="D3339" s="12" t="str">
        <f aca="false">IF($A3339="","",원본명단!$D3338)</f>
        <v/>
      </c>
      <c r="E3339" s="11" t="str">
        <f aca="false">IF($A3339="","",IF(원본명단!$H3338="",0,COUNTIF(원본명단!$H$3:$H$6002,원본명단!$H3338)))</f>
        <v/>
      </c>
      <c r="F3339" s="11" t="str">
        <f aca="false">IF($A3339="","",IF(원본명단!$I3338="",0,COUNTIF(원본명단!$I$3:$I$6002,원본명단!$I3338)))</f>
        <v/>
      </c>
      <c r="G3339" s="11" t="str">
        <f aca="false">IF($A3339="","",IF(원본명단!$K3338="",0,COUNTIF(원본명단!$K$3:$K$6002,원본명단!$K3338)))</f>
        <v/>
      </c>
      <c r="H3339" s="11" t="str">
        <f aca="false">IF($A3339="","",IF(MAX($E3339,$F3339,$G3339)&gt;1,"중복","-"))</f>
        <v/>
      </c>
      <c r="I3339" s="11" t="str">
        <f aca="false">IF($A3339="","",IF($H3339="-","-",IF(AND(IF(원본명단!$H3338="",TRUE(),COUNTIF(원본명단!$H$3:$H3338,원본명단!$H3338)=1),IF(원본명단!$I3338="",TRUE(),COUNTIF(원본명단!$I$3:$I3338,원본명단!$I3338)=1),IF(원본명단!$K3338="",TRUE(),COUNTIF(원본명단!$K$3:$K3338,원본명단!$K3338)=1)),"첫 건","중복 건")))</f>
        <v/>
      </c>
      <c r="J3339" s="11" t="str">
        <f aca="false">IF($A3339="","",IF($H3339="-","유지",IF($I3339="첫 건","유지","확인 필요")))</f>
        <v/>
      </c>
    </row>
    <row r="3340" customFormat="false" ht="15" hidden="false" customHeight="true" outlineLevel="0" collapsed="false">
      <c r="A3340" s="11" t="str">
        <f aca="false">IF(원본명단!$A3339="","",3337)</f>
        <v/>
      </c>
      <c r="B3340" s="12" t="str">
        <f aca="false">IF($A3340="","",원본명단!$A3339)</f>
        <v/>
      </c>
      <c r="C3340" s="12" t="str">
        <f aca="false">IF($A3340="","",원본명단!$B3339)</f>
        <v/>
      </c>
      <c r="D3340" s="12" t="str">
        <f aca="false">IF($A3340="","",원본명단!$D3339)</f>
        <v/>
      </c>
      <c r="E3340" s="11" t="str">
        <f aca="false">IF($A3340="","",IF(원본명단!$H3339="",0,COUNTIF(원본명단!$H$3:$H$6002,원본명단!$H3339)))</f>
        <v/>
      </c>
      <c r="F3340" s="11" t="str">
        <f aca="false">IF($A3340="","",IF(원본명단!$I3339="",0,COUNTIF(원본명단!$I$3:$I$6002,원본명단!$I3339)))</f>
        <v/>
      </c>
      <c r="G3340" s="11" t="str">
        <f aca="false">IF($A3340="","",IF(원본명단!$K3339="",0,COUNTIF(원본명단!$K$3:$K$6002,원본명단!$K3339)))</f>
        <v/>
      </c>
      <c r="H3340" s="11" t="str">
        <f aca="false">IF($A3340="","",IF(MAX($E3340,$F3340,$G3340)&gt;1,"중복","-"))</f>
        <v/>
      </c>
      <c r="I3340" s="11" t="str">
        <f aca="false">IF($A3340="","",IF($H3340="-","-",IF(AND(IF(원본명단!$H3339="",TRUE(),COUNTIF(원본명단!$H$3:$H3339,원본명단!$H3339)=1),IF(원본명단!$I3339="",TRUE(),COUNTIF(원본명단!$I$3:$I3339,원본명단!$I3339)=1),IF(원본명단!$K3339="",TRUE(),COUNTIF(원본명단!$K$3:$K3339,원본명단!$K3339)=1)),"첫 건","중복 건")))</f>
        <v/>
      </c>
      <c r="J3340" s="11" t="str">
        <f aca="false">IF($A3340="","",IF($H3340="-","유지",IF($I3340="첫 건","유지","확인 필요")))</f>
        <v/>
      </c>
    </row>
    <row r="3341" customFormat="false" ht="15" hidden="false" customHeight="true" outlineLevel="0" collapsed="false">
      <c r="A3341" s="11" t="str">
        <f aca="false">IF(원본명단!$A3340="","",3338)</f>
        <v/>
      </c>
      <c r="B3341" s="12" t="str">
        <f aca="false">IF($A3341="","",원본명단!$A3340)</f>
        <v/>
      </c>
      <c r="C3341" s="12" t="str">
        <f aca="false">IF($A3341="","",원본명단!$B3340)</f>
        <v/>
      </c>
      <c r="D3341" s="12" t="str">
        <f aca="false">IF($A3341="","",원본명단!$D3340)</f>
        <v/>
      </c>
      <c r="E3341" s="11" t="str">
        <f aca="false">IF($A3341="","",IF(원본명단!$H3340="",0,COUNTIF(원본명단!$H$3:$H$6002,원본명단!$H3340)))</f>
        <v/>
      </c>
      <c r="F3341" s="11" t="str">
        <f aca="false">IF($A3341="","",IF(원본명단!$I3340="",0,COUNTIF(원본명단!$I$3:$I$6002,원본명단!$I3340)))</f>
        <v/>
      </c>
      <c r="G3341" s="11" t="str">
        <f aca="false">IF($A3341="","",IF(원본명단!$K3340="",0,COUNTIF(원본명단!$K$3:$K$6002,원본명단!$K3340)))</f>
        <v/>
      </c>
      <c r="H3341" s="11" t="str">
        <f aca="false">IF($A3341="","",IF(MAX($E3341,$F3341,$G3341)&gt;1,"중복","-"))</f>
        <v/>
      </c>
      <c r="I3341" s="11" t="str">
        <f aca="false">IF($A3341="","",IF($H3341="-","-",IF(AND(IF(원본명단!$H3340="",TRUE(),COUNTIF(원본명단!$H$3:$H3340,원본명단!$H3340)=1),IF(원본명단!$I3340="",TRUE(),COUNTIF(원본명단!$I$3:$I3340,원본명단!$I3340)=1),IF(원본명단!$K3340="",TRUE(),COUNTIF(원본명단!$K$3:$K3340,원본명단!$K3340)=1)),"첫 건","중복 건")))</f>
        <v/>
      </c>
      <c r="J3341" s="11" t="str">
        <f aca="false">IF($A3341="","",IF($H3341="-","유지",IF($I3341="첫 건","유지","확인 필요")))</f>
        <v/>
      </c>
    </row>
    <row r="3342" customFormat="false" ht="15" hidden="false" customHeight="true" outlineLevel="0" collapsed="false">
      <c r="A3342" s="11" t="str">
        <f aca="false">IF(원본명단!$A3341="","",3339)</f>
        <v/>
      </c>
      <c r="B3342" s="12" t="str">
        <f aca="false">IF($A3342="","",원본명단!$A3341)</f>
        <v/>
      </c>
      <c r="C3342" s="12" t="str">
        <f aca="false">IF($A3342="","",원본명단!$B3341)</f>
        <v/>
      </c>
      <c r="D3342" s="12" t="str">
        <f aca="false">IF($A3342="","",원본명단!$D3341)</f>
        <v/>
      </c>
      <c r="E3342" s="11" t="str">
        <f aca="false">IF($A3342="","",IF(원본명단!$H3341="",0,COUNTIF(원본명단!$H$3:$H$6002,원본명단!$H3341)))</f>
        <v/>
      </c>
      <c r="F3342" s="11" t="str">
        <f aca="false">IF($A3342="","",IF(원본명단!$I3341="",0,COUNTIF(원본명단!$I$3:$I$6002,원본명단!$I3341)))</f>
        <v/>
      </c>
      <c r="G3342" s="11" t="str">
        <f aca="false">IF($A3342="","",IF(원본명단!$K3341="",0,COUNTIF(원본명단!$K$3:$K$6002,원본명단!$K3341)))</f>
        <v/>
      </c>
      <c r="H3342" s="11" t="str">
        <f aca="false">IF($A3342="","",IF(MAX($E3342,$F3342,$G3342)&gt;1,"중복","-"))</f>
        <v/>
      </c>
      <c r="I3342" s="11" t="str">
        <f aca="false">IF($A3342="","",IF($H3342="-","-",IF(AND(IF(원본명단!$H3341="",TRUE(),COUNTIF(원본명단!$H$3:$H3341,원본명단!$H3341)=1),IF(원본명단!$I3341="",TRUE(),COUNTIF(원본명단!$I$3:$I3341,원본명단!$I3341)=1),IF(원본명단!$K3341="",TRUE(),COUNTIF(원본명단!$K$3:$K3341,원본명단!$K3341)=1)),"첫 건","중복 건")))</f>
        <v/>
      </c>
      <c r="J3342" s="11" t="str">
        <f aca="false">IF($A3342="","",IF($H3342="-","유지",IF($I3342="첫 건","유지","확인 필요")))</f>
        <v/>
      </c>
    </row>
    <row r="3343" customFormat="false" ht="15" hidden="false" customHeight="true" outlineLevel="0" collapsed="false">
      <c r="A3343" s="11" t="str">
        <f aca="false">IF(원본명단!$A3342="","",3340)</f>
        <v/>
      </c>
      <c r="B3343" s="12" t="str">
        <f aca="false">IF($A3343="","",원본명단!$A3342)</f>
        <v/>
      </c>
      <c r="C3343" s="12" t="str">
        <f aca="false">IF($A3343="","",원본명단!$B3342)</f>
        <v/>
      </c>
      <c r="D3343" s="12" t="str">
        <f aca="false">IF($A3343="","",원본명단!$D3342)</f>
        <v/>
      </c>
      <c r="E3343" s="11" t="str">
        <f aca="false">IF($A3343="","",IF(원본명단!$H3342="",0,COUNTIF(원본명단!$H$3:$H$6002,원본명단!$H3342)))</f>
        <v/>
      </c>
      <c r="F3343" s="11" t="str">
        <f aca="false">IF($A3343="","",IF(원본명단!$I3342="",0,COUNTIF(원본명단!$I$3:$I$6002,원본명단!$I3342)))</f>
        <v/>
      </c>
      <c r="G3343" s="11" t="str">
        <f aca="false">IF($A3343="","",IF(원본명단!$K3342="",0,COUNTIF(원본명단!$K$3:$K$6002,원본명단!$K3342)))</f>
        <v/>
      </c>
      <c r="H3343" s="11" t="str">
        <f aca="false">IF($A3343="","",IF(MAX($E3343,$F3343,$G3343)&gt;1,"중복","-"))</f>
        <v/>
      </c>
      <c r="I3343" s="11" t="str">
        <f aca="false">IF($A3343="","",IF($H3343="-","-",IF(AND(IF(원본명단!$H3342="",TRUE(),COUNTIF(원본명단!$H$3:$H3342,원본명단!$H3342)=1),IF(원본명단!$I3342="",TRUE(),COUNTIF(원본명단!$I$3:$I3342,원본명단!$I3342)=1),IF(원본명단!$K3342="",TRUE(),COUNTIF(원본명단!$K$3:$K3342,원본명단!$K3342)=1)),"첫 건","중복 건")))</f>
        <v/>
      </c>
      <c r="J3343" s="11" t="str">
        <f aca="false">IF($A3343="","",IF($H3343="-","유지",IF($I3343="첫 건","유지","확인 필요")))</f>
        <v/>
      </c>
    </row>
    <row r="3344" customFormat="false" ht="15" hidden="false" customHeight="true" outlineLevel="0" collapsed="false">
      <c r="A3344" s="11" t="str">
        <f aca="false">IF(원본명단!$A3343="","",3341)</f>
        <v/>
      </c>
      <c r="B3344" s="12" t="str">
        <f aca="false">IF($A3344="","",원본명단!$A3343)</f>
        <v/>
      </c>
      <c r="C3344" s="12" t="str">
        <f aca="false">IF($A3344="","",원본명단!$B3343)</f>
        <v/>
      </c>
      <c r="D3344" s="12" t="str">
        <f aca="false">IF($A3344="","",원본명단!$D3343)</f>
        <v/>
      </c>
      <c r="E3344" s="11" t="str">
        <f aca="false">IF($A3344="","",IF(원본명단!$H3343="",0,COUNTIF(원본명단!$H$3:$H$6002,원본명단!$H3343)))</f>
        <v/>
      </c>
      <c r="F3344" s="11" t="str">
        <f aca="false">IF($A3344="","",IF(원본명단!$I3343="",0,COUNTIF(원본명단!$I$3:$I$6002,원본명단!$I3343)))</f>
        <v/>
      </c>
      <c r="G3344" s="11" t="str">
        <f aca="false">IF($A3344="","",IF(원본명단!$K3343="",0,COUNTIF(원본명단!$K$3:$K$6002,원본명단!$K3343)))</f>
        <v/>
      </c>
      <c r="H3344" s="11" t="str">
        <f aca="false">IF($A3344="","",IF(MAX($E3344,$F3344,$G3344)&gt;1,"중복","-"))</f>
        <v/>
      </c>
      <c r="I3344" s="11" t="str">
        <f aca="false">IF($A3344="","",IF($H3344="-","-",IF(AND(IF(원본명단!$H3343="",TRUE(),COUNTIF(원본명단!$H$3:$H3343,원본명단!$H3343)=1),IF(원본명단!$I3343="",TRUE(),COUNTIF(원본명단!$I$3:$I3343,원본명단!$I3343)=1),IF(원본명단!$K3343="",TRUE(),COUNTIF(원본명단!$K$3:$K3343,원본명단!$K3343)=1)),"첫 건","중복 건")))</f>
        <v/>
      </c>
      <c r="J3344" s="11" t="str">
        <f aca="false">IF($A3344="","",IF($H3344="-","유지",IF($I3344="첫 건","유지","확인 필요")))</f>
        <v/>
      </c>
    </row>
    <row r="3345" customFormat="false" ht="15" hidden="false" customHeight="true" outlineLevel="0" collapsed="false">
      <c r="A3345" s="11" t="str">
        <f aca="false">IF(원본명단!$A3344="","",3342)</f>
        <v/>
      </c>
      <c r="B3345" s="12" t="str">
        <f aca="false">IF($A3345="","",원본명단!$A3344)</f>
        <v/>
      </c>
      <c r="C3345" s="12" t="str">
        <f aca="false">IF($A3345="","",원본명단!$B3344)</f>
        <v/>
      </c>
      <c r="D3345" s="12" t="str">
        <f aca="false">IF($A3345="","",원본명단!$D3344)</f>
        <v/>
      </c>
      <c r="E3345" s="11" t="str">
        <f aca="false">IF($A3345="","",IF(원본명단!$H3344="",0,COUNTIF(원본명단!$H$3:$H$6002,원본명단!$H3344)))</f>
        <v/>
      </c>
      <c r="F3345" s="11" t="str">
        <f aca="false">IF($A3345="","",IF(원본명단!$I3344="",0,COUNTIF(원본명단!$I$3:$I$6002,원본명단!$I3344)))</f>
        <v/>
      </c>
      <c r="G3345" s="11" t="str">
        <f aca="false">IF($A3345="","",IF(원본명단!$K3344="",0,COUNTIF(원본명단!$K$3:$K$6002,원본명단!$K3344)))</f>
        <v/>
      </c>
      <c r="H3345" s="11" t="str">
        <f aca="false">IF($A3345="","",IF(MAX($E3345,$F3345,$G3345)&gt;1,"중복","-"))</f>
        <v/>
      </c>
      <c r="I3345" s="11" t="str">
        <f aca="false">IF($A3345="","",IF($H3345="-","-",IF(AND(IF(원본명단!$H3344="",TRUE(),COUNTIF(원본명단!$H$3:$H3344,원본명단!$H3344)=1),IF(원본명단!$I3344="",TRUE(),COUNTIF(원본명단!$I$3:$I3344,원본명단!$I3344)=1),IF(원본명단!$K3344="",TRUE(),COUNTIF(원본명단!$K$3:$K3344,원본명단!$K3344)=1)),"첫 건","중복 건")))</f>
        <v/>
      </c>
      <c r="J3345" s="11" t="str">
        <f aca="false">IF($A3345="","",IF($H3345="-","유지",IF($I3345="첫 건","유지","확인 필요")))</f>
        <v/>
      </c>
    </row>
    <row r="3346" customFormat="false" ht="15" hidden="false" customHeight="true" outlineLevel="0" collapsed="false">
      <c r="A3346" s="11" t="str">
        <f aca="false">IF(원본명단!$A3345="","",3343)</f>
        <v/>
      </c>
      <c r="B3346" s="12" t="str">
        <f aca="false">IF($A3346="","",원본명단!$A3345)</f>
        <v/>
      </c>
      <c r="C3346" s="12" t="str">
        <f aca="false">IF($A3346="","",원본명단!$B3345)</f>
        <v/>
      </c>
      <c r="D3346" s="12" t="str">
        <f aca="false">IF($A3346="","",원본명단!$D3345)</f>
        <v/>
      </c>
      <c r="E3346" s="11" t="str">
        <f aca="false">IF($A3346="","",IF(원본명단!$H3345="",0,COUNTIF(원본명단!$H$3:$H$6002,원본명단!$H3345)))</f>
        <v/>
      </c>
      <c r="F3346" s="11" t="str">
        <f aca="false">IF($A3346="","",IF(원본명단!$I3345="",0,COUNTIF(원본명단!$I$3:$I$6002,원본명단!$I3345)))</f>
        <v/>
      </c>
      <c r="G3346" s="11" t="str">
        <f aca="false">IF($A3346="","",IF(원본명단!$K3345="",0,COUNTIF(원본명단!$K$3:$K$6002,원본명단!$K3345)))</f>
        <v/>
      </c>
      <c r="H3346" s="11" t="str">
        <f aca="false">IF($A3346="","",IF(MAX($E3346,$F3346,$G3346)&gt;1,"중복","-"))</f>
        <v/>
      </c>
      <c r="I3346" s="11" t="str">
        <f aca="false">IF($A3346="","",IF($H3346="-","-",IF(AND(IF(원본명단!$H3345="",TRUE(),COUNTIF(원본명단!$H$3:$H3345,원본명단!$H3345)=1),IF(원본명단!$I3345="",TRUE(),COUNTIF(원본명단!$I$3:$I3345,원본명단!$I3345)=1),IF(원본명단!$K3345="",TRUE(),COUNTIF(원본명단!$K$3:$K3345,원본명단!$K3345)=1)),"첫 건","중복 건")))</f>
        <v/>
      </c>
      <c r="J3346" s="11" t="str">
        <f aca="false">IF($A3346="","",IF($H3346="-","유지",IF($I3346="첫 건","유지","확인 필요")))</f>
        <v/>
      </c>
    </row>
    <row r="3347" customFormat="false" ht="15" hidden="false" customHeight="true" outlineLevel="0" collapsed="false">
      <c r="A3347" s="11" t="str">
        <f aca="false">IF(원본명단!$A3346="","",3344)</f>
        <v/>
      </c>
      <c r="B3347" s="12" t="str">
        <f aca="false">IF($A3347="","",원본명단!$A3346)</f>
        <v/>
      </c>
      <c r="C3347" s="12" t="str">
        <f aca="false">IF($A3347="","",원본명단!$B3346)</f>
        <v/>
      </c>
      <c r="D3347" s="12" t="str">
        <f aca="false">IF($A3347="","",원본명단!$D3346)</f>
        <v/>
      </c>
      <c r="E3347" s="11" t="str">
        <f aca="false">IF($A3347="","",IF(원본명단!$H3346="",0,COUNTIF(원본명단!$H$3:$H$6002,원본명단!$H3346)))</f>
        <v/>
      </c>
      <c r="F3347" s="11" t="str">
        <f aca="false">IF($A3347="","",IF(원본명단!$I3346="",0,COUNTIF(원본명단!$I$3:$I$6002,원본명단!$I3346)))</f>
        <v/>
      </c>
      <c r="G3347" s="11" t="str">
        <f aca="false">IF($A3347="","",IF(원본명단!$K3346="",0,COUNTIF(원본명단!$K$3:$K$6002,원본명단!$K3346)))</f>
        <v/>
      </c>
      <c r="H3347" s="11" t="str">
        <f aca="false">IF($A3347="","",IF(MAX($E3347,$F3347,$G3347)&gt;1,"중복","-"))</f>
        <v/>
      </c>
      <c r="I3347" s="11" t="str">
        <f aca="false">IF($A3347="","",IF($H3347="-","-",IF(AND(IF(원본명단!$H3346="",TRUE(),COUNTIF(원본명단!$H$3:$H3346,원본명단!$H3346)=1),IF(원본명단!$I3346="",TRUE(),COUNTIF(원본명단!$I$3:$I3346,원본명단!$I3346)=1),IF(원본명단!$K3346="",TRUE(),COUNTIF(원본명단!$K$3:$K3346,원본명단!$K3346)=1)),"첫 건","중복 건")))</f>
        <v/>
      </c>
      <c r="J3347" s="11" t="str">
        <f aca="false">IF($A3347="","",IF($H3347="-","유지",IF($I3347="첫 건","유지","확인 필요")))</f>
        <v/>
      </c>
    </row>
    <row r="3348" customFormat="false" ht="15" hidden="false" customHeight="true" outlineLevel="0" collapsed="false">
      <c r="A3348" s="11" t="str">
        <f aca="false">IF(원본명단!$A3347="","",3345)</f>
        <v/>
      </c>
      <c r="B3348" s="12" t="str">
        <f aca="false">IF($A3348="","",원본명단!$A3347)</f>
        <v/>
      </c>
      <c r="C3348" s="12" t="str">
        <f aca="false">IF($A3348="","",원본명단!$B3347)</f>
        <v/>
      </c>
      <c r="D3348" s="12" t="str">
        <f aca="false">IF($A3348="","",원본명단!$D3347)</f>
        <v/>
      </c>
      <c r="E3348" s="11" t="str">
        <f aca="false">IF($A3348="","",IF(원본명단!$H3347="",0,COUNTIF(원본명단!$H$3:$H$6002,원본명단!$H3347)))</f>
        <v/>
      </c>
      <c r="F3348" s="11" t="str">
        <f aca="false">IF($A3348="","",IF(원본명단!$I3347="",0,COUNTIF(원본명단!$I$3:$I$6002,원본명단!$I3347)))</f>
        <v/>
      </c>
      <c r="G3348" s="11" t="str">
        <f aca="false">IF($A3348="","",IF(원본명단!$K3347="",0,COUNTIF(원본명단!$K$3:$K$6002,원본명단!$K3347)))</f>
        <v/>
      </c>
      <c r="H3348" s="11" t="str">
        <f aca="false">IF($A3348="","",IF(MAX($E3348,$F3348,$G3348)&gt;1,"중복","-"))</f>
        <v/>
      </c>
      <c r="I3348" s="11" t="str">
        <f aca="false">IF($A3348="","",IF($H3348="-","-",IF(AND(IF(원본명단!$H3347="",TRUE(),COUNTIF(원본명단!$H$3:$H3347,원본명단!$H3347)=1),IF(원본명단!$I3347="",TRUE(),COUNTIF(원본명단!$I$3:$I3347,원본명단!$I3347)=1),IF(원본명단!$K3347="",TRUE(),COUNTIF(원본명단!$K$3:$K3347,원본명단!$K3347)=1)),"첫 건","중복 건")))</f>
        <v/>
      </c>
      <c r="J3348" s="11" t="str">
        <f aca="false">IF($A3348="","",IF($H3348="-","유지",IF($I3348="첫 건","유지","확인 필요")))</f>
        <v/>
      </c>
    </row>
    <row r="3349" customFormat="false" ht="15" hidden="false" customHeight="true" outlineLevel="0" collapsed="false">
      <c r="A3349" s="11" t="str">
        <f aca="false">IF(원본명단!$A3348="","",3346)</f>
        <v/>
      </c>
      <c r="B3349" s="12" t="str">
        <f aca="false">IF($A3349="","",원본명단!$A3348)</f>
        <v/>
      </c>
      <c r="C3349" s="12" t="str">
        <f aca="false">IF($A3349="","",원본명단!$B3348)</f>
        <v/>
      </c>
      <c r="D3349" s="12" t="str">
        <f aca="false">IF($A3349="","",원본명단!$D3348)</f>
        <v/>
      </c>
      <c r="E3349" s="11" t="str">
        <f aca="false">IF($A3349="","",IF(원본명단!$H3348="",0,COUNTIF(원본명단!$H$3:$H$6002,원본명단!$H3348)))</f>
        <v/>
      </c>
      <c r="F3349" s="11" t="str">
        <f aca="false">IF($A3349="","",IF(원본명단!$I3348="",0,COUNTIF(원본명단!$I$3:$I$6002,원본명단!$I3348)))</f>
        <v/>
      </c>
      <c r="G3349" s="11" t="str">
        <f aca="false">IF($A3349="","",IF(원본명단!$K3348="",0,COUNTIF(원본명단!$K$3:$K$6002,원본명단!$K3348)))</f>
        <v/>
      </c>
      <c r="H3349" s="11" t="str">
        <f aca="false">IF($A3349="","",IF(MAX($E3349,$F3349,$G3349)&gt;1,"중복","-"))</f>
        <v/>
      </c>
      <c r="I3349" s="11" t="str">
        <f aca="false">IF($A3349="","",IF($H3349="-","-",IF(AND(IF(원본명단!$H3348="",TRUE(),COUNTIF(원본명단!$H$3:$H3348,원본명단!$H3348)=1),IF(원본명단!$I3348="",TRUE(),COUNTIF(원본명단!$I$3:$I3348,원본명단!$I3348)=1),IF(원본명단!$K3348="",TRUE(),COUNTIF(원본명단!$K$3:$K3348,원본명단!$K3348)=1)),"첫 건","중복 건")))</f>
        <v/>
      </c>
      <c r="J3349" s="11" t="str">
        <f aca="false">IF($A3349="","",IF($H3349="-","유지",IF($I3349="첫 건","유지","확인 필요")))</f>
        <v/>
      </c>
    </row>
    <row r="3350" customFormat="false" ht="15" hidden="false" customHeight="true" outlineLevel="0" collapsed="false">
      <c r="A3350" s="11" t="str">
        <f aca="false">IF(원본명단!$A3349="","",3347)</f>
        <v/>
      </c>
      <c r="B3350" s="12" t="str">
        <f aca="false">IF($A3350="","",원본명단!$A3349)</f>
        <v/>
      </c>
      <c r="C3350" s="12" t="str">
        <f aca="false">IF($A3350="","",원본명단!$B3349)</f>
        <v/>
      </c>
      <c r="D3350" s="12" t="str">
        <f aca="false">IF($A3350="","",원본명단!$D3349)</f>
        <v/>
      </c>
      <c r="E3350" s="11" t="str">
        <f aca="false">IF($A3350="","",IF(원본명단!$H3349="",0,COUNTIF(원본명단!$H$3:$H$6002,원본명단!$H3349)))</f>
        <v/>
      </c>
      <c r="F3350" s="11" t="str">
        <f aca="false">IF($A3350="","",IF(원본명단!$I3349="",0,COUNTIF(원본명단!$I$3:$I$6002,원본명단!$I3349)))</f>
        <v/>
      </c>
      <c r="G3350" s="11" t="str">
        <f aca="false">IF($A3350="","",IF(원본명단!$K3349="",0,COUNTIF(원본명단!$K$3:$K$6002,원본명단!$K3349)))</f>
        <v/>
      </c>
      <c r="H3350" s="11" t="str">
        <f aca="false">IF($A3350="","",IF(MAX($E3350,$F3350,$G3350)&gt;1,"중복","-"))</f>
        <v/>
      </c>
      <c r="I3350" s="11" t="str">
        <f aca="false">IF($A3350="","",IF($H3350="-","-",IF(AND(IF(원본명단!$H3349="",TRUE(),COUNTIF(원본명단!$H$3:$H3349,원본명단!$H3349)=1),IF(원본명단!$I3349="",TRUE(),COUNTIF(원본명단!$I$3:$I3349,원본명단!$I3349)=1),IF(원본명단!$K3349="",TRUE(),COUNTIF(원본명단!$K$3:$K3349,원본명단!$K3349)=1)),"첫 건","중복 건")))</f>
        <v/>
      </c>
      <c r="J3350" s="11" t="str">
        <f aca="false">IF($A3350="","",IF($H3350="-","유지",IF($I3350="첫 건","유지","확인 필요")))</f>
        <v/>
      </c>
    </row>
    <row r="3351" customFormat="false" ht="15" hidden="false" customHeight="true" outlineLevel="0" collapsed="false">
      <c r="A3351" s="11" t="str">
        <f aca="false">IF(원본명단!$A3350="","",3348)</f>
        <v/>
      </c>
      <c r="B3351" s="12" t="str">
        <f aca="false">IF($A3351="","",원본명단!$A3350)</f>
        <v/>
      </c>
      <c r="C3351" s="12" t="str">
        <f aca="false">IF($A3351="","",원본명단!$B3350)</f>
        <v/>
      </c>
      <c r="D3351" s="12" t="str">
        <f aca="false">IF($A3351="","",원본명단!$D3350)</f>
        <v/>
      </c>
      <c r="E3351" s="11" t="str">
        <f aca="false">IF($A3351="","",IF(원본명단!$H3350="",0,COUNTIF(원본명단!$H$3:$H$6002,원본명단!$H3350)))</f>
        <v/>
      </c>
      <c r="F3351" s="11" t="str">
        <f aca="false">IF($A3351="","",IF(원본명단!$I3350="",0,COUNTIF(원본명단!$I$3:$I$6002,원본명단!$I3350)))</f>
        <v/>
      </c>
      <c r="G3351" s="11" t="str">
        <f aca="false">IF($A3351="","",IF(원본명단!$K3350="",0,COUNTIF(원본명단!$K$3:$K$6002,원본명단!$K3350)))</f>
        <v/>
      </c>
      <c r="H3351" s="11" t="str">
        <f aca="false">IF($A3351="","",IF(MAX($E3351,$F3351,$G3351)&gt;1,"중복","-"))</f>
        <v/>
      </c>
      <c r="I3351" s="11" t="str">
        <f aca="false">IF($A3351="","",IF($H3351="-","-",IF(AND(IF(원본명단!$H3350="",TRUE(),COUNTIF(원본명단!$H$3:$H3350,원본명단!$H3350)=1),IF(원본명단!$I3350="",TRUE(),COUNTIF(원본명단!$I$3:$I3350,원본명단!$I3350)=1),IF(원본명단!$K3350="",TRUE(),COUNTIF(원본명단!$K$3:$K3350,원본명단!$K3350)=1)),"첫 건","중복 건")))</f>
        <v/>
      </c>
      <c r="J3351" s="11" t="str">
        <f aca="false">IF($A3351="","",IF($H3351="-","유지",IF($I3351="첫 건","유지","확인 필요")))</f>
        <v/>
      </c>
    </row>
    <row r="3352" customFormat="false" ht="15" hidden="false" customHeight="true" outlineLevel="0" collapsed="false">
      <c r="A3352" s="11" t="str">
        <f aca="false">IF(원본명단!$A3351="","",3349)</f>
        <v/>
      </c>
      <c r="B3352" s="12" t="str">
        <f aca="false">IF($A3352="","",원본명단!$A3351)</f>
        <v/>
      </c>
      <c r="C3352" s="12" t="str">
        <f aca="false">IF($A3352="","",원본명단!$B3351)</f>
        <v/>
      </c>
      <c r="D3352" s="12" t="str">
        <f aca="false">IF($A3352="","",원본명단!$D3351)</f>
        <v/>
      </c>
      <c r="E3352" s="11" t="str">
        <f aca="false">IF($A3352="","",IF(원본명단!$H3351="",0,COUNTIF(원본명단!$H$3:$H$6002,원본명단!$H3351)))</f>
        <v/>
      </c>
      <c r="F3352" s="11" t="str">
        <f aca="false">IF($A3352="","",IF(원본명단!$I3351="",0,COUNTIF(원본명단!$I$3:$I$6002,원본명단!$I3351)))</f>
        <v/>
      </c>
      <c r="G3352" s="11" t="str">
        <f aca="false">IF($A3352="","",IF(원본명단!$K3351="",0,COUNTIF(원본명단!$K$3:$K$6002,원본명단!$K3351)))</f>
        <v/>
      </c>
      <c r="H3352" s="11" t="str">
        <f aca="false">IF($A3352="","",IF(MAX($E3352,$F3352,$G3352)&gt;1,"중복","-"))</f>
        <v/>
      </c>
      <c r="I3352" s="11" t="str">
        <f aca="false">IF($A3352="","",IF($H3352="-","-",IF(AND(IF(원본명단!$H3351="",TRUE(),COUNTIF(원본명단!$H$3:$H3351,원본명단!$H3351)=1),IF(원본명단!$I3351="",TRUE(),COUNTIF(원본명단!$I$3:$I3351,원본명단!$I3351)=1),IF(원본명단!$K3351="",TRUE(),COUNTIF(원본명단!$K$3:$K3351,원본명단!$K3351)=1)),"첫 건","중복 건")))</f>
        <v/>
      </c>
      <c r="J3352" s="11" t="str">
        <f aca="false">IF($A3352="","",IF($H3352="-","유지",IF($I3352="첫 건","유지","확인 필요")))</f>
        <v/>
      </c>
    </row>
    <row r="3353" customFormat="false" ht="15" hidden="false" customHeight="true" outlineLevel="0" collapsed="false">
      <c r="A3353" s="11" t="str">
        <f aca="false">IF(원본명단!$A3352="","",3350)</f>
        <v/>
      </c>
      <c r="B3353" s="12" t="str">
        <f aca="false">IF($A3353="","",원본명단!$A3352)</f>
        <v/>
      </c>
      <c r="C3353" s="12" t="str">
        <f aca="false">IF($A3353="","",원본명단!$B3352)</f>
        <v/>
      </c>
      <c r="D3353" s="12" t="str">
        <f aca="false">IF($A3353="","",원본명단!$D3352)</f>
        <v/>
      </c>
      <c r="E3353" s="11" t="str">
        <f aca="false">IF($A3353="","",IF(원본명단!$H3352="",0,COUNTIF(원본명단!$H$3:$H$6002,원본명단!$H3352)))</f>
        <v/>
      </c>
      <c r="F3353" s="11" t="str">
        <f aca="false">IF($A3353="","",IF(원본명단!$I3352="",0,COUNTIF(원본명단!$I$3:$I$6002,원본명단!$I3352)))</f>
        <v/>
      </c>
      <c r="G3353" s="11" t="str">
        <f aca="false">IF($A3353="","",IF(원본명단!$K3352="",0,COUNTIF(원본명단!$K$3:$K$6002,원본명단!$K3352)))</f>
        <v/>
      </c>
      <c r="H3353" s="11" t="str">
        <f aca="false">IF($A3353="","",IF(MAX($E3353,$F3353,$G3353)&gt;1,"중복","-"))</f>
        <v/>
      </c>
      <c r="I3353" s="11" t="str">
        <f aca="false">IF($A3353="","",IF($H3353="-","-",IF(AND(IF(원본명단!$H3352="",TRUE(),COUNTIF(원본명단!$H$3:$H3352,원본명단!$H3352)=1),IF(원본명단!$I3352="",TRUE(),COUNTIF(원본명단!$I$3:$I3352,원본명단!$I3352)=1),IF(원본명단!$K3352="",TRUE(),COUNTIF(원본명단!$K$3:$K3352,원본명단!$K3352)=1)),"첫 건","중복 건")))</f>
        <v/>
      </c>
      <c r="J3353" s="11" t="str">
        <f aca="false">IF($A3353="","",IF($H3353="-","유지",IF($I3353="첫 건","유지","확인 필요")))</f>
        <v/>
      </c>
    </row>
    <row r="3354" customFormat="false" ht="15" hidden="false" customHeight="true" outlineLevel="0" collapsed="false">
      <c r="A3354" s="11" t="str">
        <f aca="false">IF(원본명단!$A3353="","",3351)</f>
        <v/>
      </c>
      <c r="B3354" s="12" t="str">
        <f aca="false">IF($A3354="","",원본명단!$A3353)</f>
        <v/>
      </c>
      <c r="C3354" s="12" t="str">
        <f aca="false">IF($A3354="","",원본명단!$B3353)</f>
        <v/>
      </c>
      <c r="D3354" s="12" t="str">
        <f aca="false">IF($A3354="","",원본명단!$D3353)</f>
        <v/>
      </c>
      <c r="E3354" s="11" t="str">
        <f aca="false">IF($A3354="","",IF(원본명단!$H3353="",0,COUNTIF(원본명단!$H$3:$H$6002,원본명단!$H3353)))</f>
        <v/>
      </c>
      <c r="F3354" s="11" t="str">
        <f aca="false">IF($A3354="","",IF(원본명단!$I3353="",0,COUNTIF(원본명단!$I$3:$I$6002,원본명단!$I3353)))</f>
        <v/>
      </c>
      <c r="G3354" s="11" t="str">
        <f aca="false">IF($A3354="","",IF(원본명단!$K3353="",0,COUNTIF(원본명단!$K$3:$K$6002,원본명단!$K3353)))</f>
        <v/>
      </c>
      <c r="H3354" s="11" t="str">
        <f aca="false">IF($A3354="","",IF(MAX($E3354,$F3354,$G3354)&gt;1,"중복","-"))</f>
        <v/>
      </c>
      <c r="I3354" s="11" t="str">
        <f aca="false">IF($A3354="","",IF($H3354="-","-",IF(AND(IF(원본명단!$H3353="",TRUE(),COUNTIF(원본명단!$H$3:$H3353,원본명단!$H3353)=1),IF(원본명단!$I3353="",TRUE(),COUNTIF(원본명단!$I$3:$I3353,원본명단!$I3353)=1),IF(원본명단!$K3353="",TRUE(),COUNTIF(원본명단!$K$3:$K3353,원본명단!$K3353)=1)),"첫 건","중복 건")))</f>
        <v/>
      </c>
      <c r="J3354" s="11" t="str">
        <f aca="false">IF($A3354="","",IF($H3354="-","유지",IF($I3354="첫 건","유지","확인 필요")))</f>
        <v/>
      </c>
    </row>
    <row r="3355" customFormat="false" ht="15" hidden="false" customHeight="true" outlineLevel="0" collapsed="false">
      <c r="A3355" s="11" t="str">
        <f aca="false">IF(원본명단!$A3354="","",3352)</f>
        <v/>
      </c>
      <c r="B3355" s="12" t="str">
        <f aca="false">IF($A3355="","",원본명단!$A3354)</f>
        <v/>
      </c>
      <c r="C3355" s="12" t="str">
        <f aca="false">IF($A3355="","",원본명단!$B3354)</f>
        <v/>
      </c>
      <c r="D3355" s="12" t="str">
        <f aca="false">IF($A3355="","",원본명단!$D3354)</f>
        <v/>
      </c>
      <c r="E3355" s="11" t="str">
        <f aca="false">IF($A3355="","",IF(원본명단!$H3354="",0,COUNTIF(원본명단!$H$3:$H$6002,원본명단!$H3354)))</f>
        <v/>
      </c>
      <c r="F3355" s="11" t="str">
        <f aca="false">IF($A3355="","",IF(원본명단!$I3354="",0,COUNTIF(원본명단!$I$3:$I$6002,원본명단!$I3354)))</f>
        <v/>
      </c>
      <c r="G3355" s="11" t="str">
        <f aca="false">IF($A3355="","",IF(원본명단!$K3354="",0,COUNTIF(원본명단!$K$3:$K$6002,원본명단!$K3354)))</f>
        <v/>
      </c>
      <c r="H3355" s="11" t="str">
        <f aca="false">IF($A3355="","",IF(MAX($E3355,$F3355,$G3355)&gt;1,"중복","-"))</f>
        <v/>
      </c>
      <c r="I3355" s="11" t="str">
        <f aca="false">IF($A3355="","",IF($H3355="-","-",IF(AND(IF(원본명단!$H3354="",TRUE(),COUNTIF(원본명단!$H$3:$H3354,원본명단!$H3354)=1),IF(원본명단!$I3354="",TRUE(),COUNTIF(원본명단!$I$3:$I3354,원본명단!$I3354)=1),IF(원본명단!$K3354="",TRUE(),COUNTIF(원본명단!$K$3:$K3354,원본명단!$K3354)=1)),"첫 건","중복 건")))</f>
        <v/>
      </c>
      <c r="J3355" s="11" t="str">
        <f aca="false">IF($A3355="","",IF($H3355="-","유지",IF($I3355="첫 건","유지","확인 필요")))</f>
        <v/>
      </c>
    </row>
    <row r="3356" customFormat="false" ht="15" hidden="false" customHeight="true" outlineLevel="0" collapsed="false">
      <c r="A3356" s="11" t="str">
        <f aca="false">IF(원본명단!$A3355="","",3353)</f>
        <v/>
      </c>
      <c r="B3356" s="12" t="str">
        <f aca="false">IF($A3356="","",원본명단!$A3355)</f>
        <v/>
      </c>
      <c r="C3356" s="12" t="str">
        <f aca="false">IF($A3356="","",원본명단!$B3355)</f>
        <v/>
      </c>
      <c r="D3356" s="12" t="str">
        <f aca="false">IF($A3356="","",원본명단!$D3355)</f>
        <v/>
      </c>
      <c r="E3356" s="11" t="str">
        <f aca="false">IF($A3356="","",IF(원본명단!$H3355="",0,COUNTIF(원본명단!$H$3:$H$6002,원본명단!$H3355)))</f>
        <v/>
      </c>
      <c r="F3356" s="11" t="str">
        <f aca="false">IF($A3356="","",IF(원본명단!$I3355="",0,COUNTIF(원본명단!$I$3:$I$6002,원본명단!$I3355)))</f>
        <v/>
      </c>
      <c r="G3356" s="11" t="str">
        <f aca="false">IF($A3356="","",IF(원본명단!$K3355="",0,COUNTIF(원본명단!$K$3:$K$6002,원본명단!$K3355)))</f>
        <v/>
      </c>
      <c r="H3356" s="11" t="str">
        <f aca="false">IF($A3356="","",IF(MAX($E3356,$F3356,$G3356)&gt;1,"중복","-"))</f>
        <v/>
      </c>
      <c r="I3356" s="11" t="str">
        <f aca="false">IF($A3356="","",IF($H3356="-","-",IF(AND(IF(원본명단!$H3355="",TRUE(),COUNTIF(원본명단!$H$3:$H3355,원본명단!$H3355)=1),IF(원본명단!$I3355="",TRUE(),COUNTIF(원본명단!$I$3:$I3355,원본명단!$I3355)=1),IF(원본명단!$K3355="",TRUE(),COUNTIF(원본명단!$K$3:$K3355,원본명단!$K3355)=1)),"첫 건","중복 건")))</f>
        <v/>
      </c>
      <c r="J3356" s="11" t="str">
        <f aca="false">IF($A3356="","",IF($H3356="-","유지",IF($I3356="첫 건","유지","확인 필요")))</f>
        <v/>
      </c>
    </row>
    <row r="3357" customFormat="false" ht="15" hidden="false" customHeight="true" outlineLevel="0" collapsed="false">
      <c r="A3357" s="11" t="str">
        <f aca="false">IF(원본명단!$A3356="","",3354)</f>
        <v/>
      </c>
      <c r="B3357" s="12" t="str">
        <f aca="false">IF($A3357="","",원본명단!$A3356)</f>
        <v/>
      </c>
      <c r="C3357" s="12" t="str">
        <f aca="false">IF($A3357="","",원본명단!$B3356)</f>
        <v/>
      </c>
      <c r="D3357" s="12" t="str">
        <f aca="false">IF($A3357="","",원본명단!$D3356)</f>
        <v/>
      </c>
      <c r="E3357" s="11" t="str">
        <f aca="false">IF($A3357="","",IF(원본명단!$H3356="",0,COUNTIF(원본명단!$H$3:$H$6002,원본명단!$H3356)))</f>
        <v/>
      </c>
      <c r="F3357" s="11" t="str">
        <f aca="false">IF($A3357="","",IF(원본명단!$I3356="",0,COUNTIF(원본명단!$I$3:$I$6002,원본명단!$I3356)))</f>
        <v/>
      </c>
      <c r="G3357" s="11" t="str">
        <f aca="false">IF($A3357="","",IF(원본명단!$K3356="",0,COUNTIF(원본명단!$K$3:$K$6002,원본명단!$K3356)))</f>
        <v/>
      </c>
      <c r="H3357" s="11" t="str">
        <f aca="false">IF($A3357="","",IF(MAX($E3357,$F3357,$G3357)&gt;1,"중복","-"))</f>
        <v/>
      </c>
      <c r="I3357" s="11" t="str">
        <f aca="false">IF($A3357="","",IF($H3357="-","-",IF(AND(IF(원본명단!$H3356="",TRUE(),COUNTIF(원본명단!$H$3:$H3356,원본명단!$H3356)=1),IF(원본명단!$I3356="",TRUE(),COUNTIF(원본명단!$I$3:$I3356,원본명단!$I3356)=1),IF(원본명단!$K3356="",TRUE(),COUNTIF(원본명단!$K$3:$K3356,원본명단!$K3356)=1)),"첫 건","중복 건")))</f>
        <v/>
      </c>
      <c r="J3357" s="11" t="str">
        <f aca="false">IF($A3357="","",IF($H3357="-","유지",IF($I3357="첫 건","유지","확인 필요")))</f>
        <v/>
      </c>
    </row>
    <row r="3358" customFormat="false" ht="15" hidden="false" customHeight="true" outlineLevel="0" collapsed="false">
      <c r="A3358" s="11" t="str">
        <f aca="false">IF(원본명단!$A3357="","",3355)</f>
        <v/>
      </c>
      <c r="B3358" s="12" t="str">
        <f aca="false">IF($A3358="","",원본명단!$A3357)</f>
        <v/>
      </c>
      <c r="C3358" s="12" t="str">
        <f aca="false">IF($A3358="","",원본명단!$B3357)</f>
        <v/>
      </c>
      <c r="D3358" s="12" t="str">
        <f aca="false">IF($A3358="","",원본명단!$D3357)</f>
        <v/>
      </c>
      <c r="E3358" s="11" t="str">
        <f aca="false">IF($A3358="","",IF(원본명단!$H3357="",0,COUNTIF(원본명단!$H$3:$H$6002,원본명단!$H3357)))</f>
        <v/>
      </c>
      <c r="F3358" s="11" t="str">
        <f aca="false">IF($A3358="","",IF(원본명단!$I3357="",0,COUNTIF(원본명단!$I$3:$I$6002,원본명단!$I3357)))</f>
        <v/>
      </c>
      <c r="G3358" s="11" t="str">
        <f aca="false">IF($A3358="","",IF(원본명단!$K3357="",0,COUNTIF(원본명단!$K$3:$K$6002,원본명단!$K3357)))</f>
        <v/>
      </c>
      <c r="H3358" s="11" t="str">
        <f aca="false">IF($A3358="","",IF(MAX($E3358,$F3358,$G3358)&gt;1,"중복","-"))</f>
        <v/>
      </c>
      <c r="I3358" s="11" t="str">
        <f aca="false">IF($A3358="","",IF($H3358="-","-",IF(AND(IF(원본명단!$H3357="",TRUE(),COUNTIF(원본명단!$H$3:$H3357,원본명단!$H3357)=1),IF(원본명단!$I3357="",TRUE(),COUNTIF(원본명단!$I$3:$I3357,원본명단!$I3357)=1),IF(원본명단!$K3357="",TRUE(),COUNTIF(원본명단!$K$3:$K3357,원본명단!$K3357)=1)),"첫 건","중복 건")))</f>
        <v/>
      </c>
      <c r="J3358" s="11" t="str">
        <f aca="false">IF($A3358="","",IF($H3358="-","유지",IF($I3358="첫 건","유지","확인 필요")))</f>
        <v/>
      </c>
    </row>
    <row r="3359" customFormat="false" ht="15" hidden="false" customHeight="true" outlineLevel="0" collapsed="false">
      <c r="A3359" s="11" t="str">
        <f aca="false">IF(원본명단!$A3358="","",3356)</f>
        <v/>
      </c>
      <c r="B3359" s="12" t="str">
        <f aca="false">IF($A3359="","",원본명단!$A3358)</f>
        <v/>
      </c>
      <c r="C3359" s="12" t="str">
        <f aca="false">IF($A3359="","",원본명단!$B3358)</f>
        <v/>
      </c>
      <c r="D3359" s="12" t="str">
        <f aca="false">IF($A3359="","",원본명단!$D3358)</f>
        <v/>
      </c>
      <c r="E3359" s="11" t="str">
        <f aca="false">IF($A3359="","",IF(원본명단!$H3358="",0,COUNTIF(원본명단!$H$3:$H$6002,원본명단!$H3358)))</f>
        <v/>
      </c>
      <c r="F3359" s="11" t="str">
        <f aca="false">IF($A3359="","",IF(원본명단!$I3358="",0,COUNTIF(원본명단!$I$3:$I$6002,원본명단!$I3358)))</f>
        <v/>
      </c>
      <c r="G3359" s="11" t="str">
        <f aca="false">IF($A3359="","",IF(원본명단!$K3358="",0,COUNTIF(원본명단!$K$3:$K$6002,원본명단!$K3358)))</f>
        <v/>
      </c>
      <c r="H3359" s="11" t="str">
        <f aca="false">IF($A3359="","",IF(MAX($E3359,$F3359,$G3359)&gt;1,"중복","-"))</f>
        <v/>
      </c>
      <c r="I3359" s="11" t="str">
        <f aca="false">IF($A3359="","",IF($H3359="-","-",IF(AND(IF(원본명단!$H3358="",TRUE(),COUNTIF(원본명단!$H$3:$H3358,원본명단!$H3358)=1),IF(원본명단!$I3358="",TRUE(),COUNTIF(원본명단!$I$3:$I3358,원본명단!$I3358)=1),IF(원본명단!$K3358="",TRUE(),COUNTIF(원본명단!$K$3:$K3358,원본명단!$K3358)=1)),"첫 건","중복 건")))</f>
        <v/>
      </c>
      <c r="J3359" s="11" t="str">
        <f aca="false">IF($A3359="","",IF($H3359="-","유지",IF($I3359="첫 건","유지","확인 필요")))</f>
        <v/>
      </c>
    </row>
    <row r="3360" customFormat="false" ht="15" hidden="false" customHeight="true" outlineLevel="0" collapsed="false">
      <c r="A3360" s="11" t="str">
        <f aca="false">IF(원본명단!$A3359="","",3357)</f>
        <v/>
      </c>
      <c r="B3360" s="12" t="str">
        <f aca="false">IF($A3360="","",원본명단!$A3359)</f>
        <v/>
      </c>
      <c r="C3360" s="12" t="str">
        <f aca="false">IF($A3360="","",원본명단!$B3359)</f>
        <v/>
      </c>
      <c r="D3360" s="12" t="str">
        <f aca="false">IF($A3360="","",원본명단!$D3359)</f>
        <v/>
      </c>
      <c r="E3360" s="11" t="str">
        <f aca="false">IF($A3360="","",IF(원본명단!$H3359="",0,COUNTIF(원본명단!$H$3:$H$6002,원본명단!$H3359)))</f>
        <v/>
      </c>
      <c r="F3360" s="11" t="str">
        <f aca="false">IF($A3360="","",IF(원본명단!$I3359="",0,COUNTIF(원본명단!$I$3:$I$6002,원본명단!$I3359)))</f>
        <v/>
      </c>
      <c r="G3360" s="11" t="str">
        <f aca="false">IF($A3360="","",IF(원본명단!$K3359="",0,COUNTIF(원본명단!$K$3:$K$6002,원본명단!$K3359)))</f>
        <v/>
      </c>
      <c r="H3360" s="11" t="str">
        <f aca="false">IF($A3360="","",IF(MAX($E3360,$F3360,$G3360)&gt;1,"중복","-"))</f>
        <v/>
      </c>
      <c r="I3360" s="11" t="str">
        <f aca="false">IF($A3360="","",IF($H3360="-","-",IF(AND(IF(원본명단!$H3359="",TRUE(),COUNTIF(원본명단!$H$3:$H3359,원본명단!$H3359)=1),IF(원본명단!$I3359="",TRUE(),COUNTIF(원본명단!$I$3:$I3359,원본명단!$I3359)=1),IF(원본명단!$K3359="",TRUE(),COUNTIF(원본명단!$K$3:$K3359,원본명단!$K3359)=1)),"첫 건","중복 건")))</f>
        <v/>
      </c>
      <c r="J3360" s="11" t="str">
        <f aca="false">IF($A3360="","",IF($H3360="-","유지",IF($I3360="첫 건","유지","확인 필요")))</f>
        <v/>
      </c>
    </row>
    <row r="3361" customFormat="false" ht="15" hidden="false" customHeight="true" outlineLevel="0" collapsed="false">
      <c r="A3361" s="11" t="str">
        <f aca="false">IF(원본명단!$A3360="","",3358)</f>
        <v/>
      </c>
      <c r="B3361" s="12" t="str">
        <f aca="false">IF($A3361="","",원본명단!$A3360)</f>
        <v/>
      </c>
      <c r="C3361" s="12" t="str">
        <f aca="false">IF($A3361="","",원본명단!$B3360)</f>
        <v/>
      </c>
      <c r="D3361" s="12" t="str">
        <f aca="false">IF($A3361="","",원본명단!$D3360)</f>
        <v/>
      </c>
      <c r="E3361" s="11" t="str">
        <f aca="false">IF($A3361="","",IF(원본명단!$H3360="",0,COUNTIF(원본명단!$H$3:$H$6002,원본명단!$H3360)))</f>
        <v/>
      </c>
      <c r="F3361" s="11" t="str">
        <f aca="false">IF($A3361="","",IF(원본명단!$I3360="",0,COUNTIF(원본명단!$I$3:$I$6002,원본명단!$I3360)))</f>
        <v/>
      </c>
      <c r="G3361" s="11" t="str">
        <f aca="false">IF($A3361="","",IF(원본명단!$K3360="",0,COUNTIF(원본명단!$K$3:$K$6002,원본명단!$K3360)))</f>
        <v/>
      </c>
      <c r="H3361" s="11" t="str">
        <f aca="false">IF($A3361="","",IF(MAX($E3361,$F3361,$G3361)&gt;1,"중복","-"))</f>
        <v/>
      </c>
      <c r="I3361" s="11" t="str">
        <f aca="false">IF($A3361="","",IF($H3361="-","-",IF(AND(IF(원본명단!$H3360="",TRUE(),COUNTIF(원본명단!$H$3:$H3360,원본명단!$H3360)=1),IF(원본명단!$I3360="",TRUE(),COUNTIF(원본명단!$I$3:$I3360,원본명단!$I3360)=1),IF(원본명단!$K3360="",TRUE(),COUNTIF(원본명단!$K$3:$K3360,원본명단!$K3360)=1)),"첫 건","중복 건")))</f>
        <v/>
      </c>
      <c r="J3361" s="11" t="str">
        <f aca="false">IF($A3361="","",IF($H3361="-","유지",IF($I3361="첫 건","유지","확인 필요")))</f>
        <v/>
      </c>
    </row>
    <row r="3362" customFormat="false" ht="15" hidden="false" customHeight="true" outlineLevel="0" collapsed="false">
      <c r="A3362" s="11" t="str">
        <f aca="false">IF(원본명단!$A3361="","",3359)</f>
        <v/>
      </c>
      <c r="B3362" s="12" t="str">
        <f aca="false">IF($A3362="","",원본명단!$A3361)</f>
        <v/>
      </c>
      <c r="C3362" s="12" t="str">
        <f aca="false">IF($A3362="","",원본명단!$B3361)</f>
        <v/>
      </c>
      <c r="D3362" s="12" t="str">
        <f aca="false">IF($A3362="","",원본명단!$D3361)</f>
        <v/>
      </c>
      <c r="E3362" s="11" t="str">
        <f aca="false">IF($A3362="","",IF(원본명단!$H3361="",0,COUNTIF(원본명단!$H$3:$H$6002,원본명단!$H3361)))</f>
        <v/>
      </c>
      <c r="F3362" s="11" t="str">
        <f aca="false">IF($A3362="","",IF(원본명단!$I3361="",0,COUNTIF(원본명단!$I$3:$I$6002,원본명단!$I3361)))</f>
        <v/>
      </c>
      <c r="G3362" s="11" t="str">
        <f aca="false">IF($A3362="","",IF(원본명단!$K3361="",0,COUNTIF(원본명단!$K$3:$K$6002,원본명단!$K3361)))</f>
        <v/>
      </c>
      <c r="H3362" s="11" t="str">
        <f aca="false">IF($A3362="","",IF(MAX($E3362,$F3362,$G3362)&gt;1,"중복","-"))</f>
        <v/>
      </c>
      <c r="I3362" s="11" t="str">
        <f aca="false">IF($A3362="","",IF($H3362="-","-",IF(AND(IF(원본명단!$H3361="",TRUE(),COUNTIF(원본명단!$H$3:$H3361,원본명단!$H3361)=1),IF(원본명단!$I3361="",TRUE(),COUNTIF(원본명단!$I$3:$I3361,원본명단!$I3361)=1),IF(원본명단!$K3361="",TRUE(),COUNTIF(원본명단!$K$3:$K3361,원본명단!$K3361)=1)),"첫 건","중복 건")))</f>
        <v/>
      </c>
      <c r="J3362" s="11" t="str">
        <f aca="false">IF($A3362="","",IF($H3362="-","유지",IF($I3362="첫 건","유지","확인 필요")))</f>
        <v/>
      </c>
    </row>
    <row r="3363" customFormat="false" ht="15" hidden="false" customHeight="true" outlineLevel="0" collapsed="false">
      <c r="A3363" s="11" t="str">
        <f aca="false">IF(원본명단!$A3362="","",3360)</f>
        <v/>
      </c>
      <c r="B3363" s="12" t="str">
        <f aca="false">IF($A3363="","",원본명단!$A3362)</f>
        <v/>
      </c>
      <c r="C3363" s="12" t="str">
        <f aca="false">IF($A3363="","",원본명단!$B3362)</f>
        <v/>
      </c>
      <c r="D3363" s="12" t="str">
        <f aca="false">IF($A3363="","",원본명단!$D3362)</f>
        <v/>
      </c>
      <c r="E3363" s="11" t="str">
        <f aca="false">IF($A3363="","",IF(원본명단!$H3362="",0,COUNTIF(원본명단!$H$3:$H$6002,원본명단!$H3362)))</f>
        <v/>
      </c>
      <c r="F3363" s="11" t="str">
        <f aca="false">IF($A3363="","",IF(원본명단!$I3362="",0,COUNTIF(원본명단!$I$3:$I$6002,원본명단!$I3362)))</f>
        <v/>
      </c>
      <c r="G3363" s="11" t="str">
        <f aca="false">IF($A3363="","",IF(원본명단!$K3362="",0,COUNTIF(원본명단!$K$3:$K$6002,원본명단!$K3362)))</f>
        <v/>
      </c>
      <c r="H3363" s="11" t="str">
        <f aca="false">IF($A3363="","",IF(MAX($E3363,$F3363,$G3363)&gt;1,"중복","-"))</f>
        <v/>
      </c>
      <c r="I3363" s="11" t="str">
        <f aca="false">IF($A3363="","",IF($H3363="-","-",IF(AND(IF(원본명단!$H3362="",TRUE(),COUNTIF(원본명단!$H$3:$H3362,원본명단!$H3362)=1),IF(원본명단!$I3362="",TRUE(),COUNTIF(원본명단!$I$3:$I3362,원본명단!$I3362)=1),IF(원본명단!$K3362="",TRUE(),COUNTIF(원본명단!$K$3:$K3362,원본명단!$K3362)=1)),"첫 건","중복 건")))</f>
        <v/>
      </c>
      <c r="J3363" s="11" t="str">
        <f aca="false">IF($A3363="","",IF($H3363="-","유지",IF($I3363="첫 건","유지","확인 필요")))</f>
        <v/>
      </c>
    </row>
    <row r="3364" customFormat="false" ht="15" hidden="false" customHeight="true" outlineLevel="0" collapsed="false">
      <c r="A3364" s="11" t="str">
        <f aca="false">IF(원본명단!$A3363="","",3361)</f>
        <v/>
      </c>
      <c r="B3364" s="12" t="str">
        <f aca="false">IF($A3364="","",원본명단!$A3363)</f>
        <v/>
      </c>
      <c r="C3364" s="12" t="str">
        <f aca="false">IF($A3364="","",원본명단!$B3363)</f>
        <v/>
      </c>
      <c r="D3364" s="12" t="str">
        <f aca="false">IF($A3364="","",원본명단!$D3363)</f>
        <v/>
      </c>
      <c r="E3364" s="11" t="str">
        <f aca="false">IF($A3364="","",IF(원본명단!$H3363="",0,COUNTIF(원본명단!$H$3:$H$6002,원본명단!$H3363)))</f>
        <v/>
      </c>
      <c r="F3364" s="11" t="str">
        <f aca="false">IF($A3364="","",IF(원본명단!$I3363="",0,COUNTIF(원본명단!$I$3:$I$6002,원본명단!$I3363)))</f>
        <v/>
      </c>
      <c r="G3364" s="11" t="str">
        <f aca="false">IF($A3364="","",IF(원본명단!$K3363="",0,COUNTIF(원본명단!$K$3:$K$6002,원본명단!$K3363)))</f>
        <v/>
      </c>
      <c r="H3364" s="11" t="str">
        <f aca="false">IF($A3364="","",IF(MAX($E3364,$F3364,$G3364)&gt;1,"중복","-"))</f>
        <v/>
      </c>
      <c r="I3364" s="11" t="str">
        <f aca="false">IF($A3364="","",IF($H3364="-","-",IF(AND(IF(원본명단!$H3363="",TRUE(),COUNTIF(원본명단!$H$3:$H3363,원본명단!$H3363)=1),IF(원본명단!$I3363="",TRUE(),COUNTIF(원본명단!$I$3:$I3363,원본명단!$I3363)=1),IF(원본명단!$K3363="",TRUE(),COUNTIF(원본명단!$K$3:$K3363,원본명단!$K3363)=1)),"첫 건","중복 건")))</f>
        <v/>
      </c>
      <c r="J3364" s="11" t="str">
        <f aca="false">IF($A3364="","",IF($H3364="-","유지",IF($I3364="첫 건","유지","확인 필요")))</f>
        <v/>
      </c>
    </row>
    <row r="3365" customFormat="false" ht="15" hidden="false" customHeight="true" outlineLevel="0" collapsed="false">
      <c r="A3365" s="11" t="str">
        <f aca="false">IF(원본명단!$A3364="","",3362)</f>
        <v/>
      </c>
      <c r="B3365" s="12" t="str">
        <f aca="false">IF($A3365="","",원본명단!$A3364)</f>
        <v/>
      </c>
      <c r="C3365" s="12" t="str">
        <f aca="false">IF($A3365="","",원본명단!$B3364)</f>
        <v/>
      </c>
      <c r="D3365" s="12" t="str">
        <f aca="false">IF($A3365="","",원본명단!$D3364)</f>
        <v/>
      </c>
      <c r="E3365" s="11" t="str">
        <f aca="false">IF($A3365="","",IF(원본명단!$H3364="",0,COUNTIF(원본명단!$H$3:$H$6002,원본명단!$H3364)))</f>
        <v/>
      </c>
      <c r="F3365" s="11" t="str">
        <f aca="false">IF($A3365="","",IF(원본명단!$I3364="",0,COUNTIF(원본명단!$I$3:$I$6002,원본명단!$I3364)))</f>
        <v/>
      </c>
      <c r="G3365" s="11" t="str">
        <f aca="false">IF($A3365="","",IF(원본명단!$K3364="",0,COUNTIF(원본명단!$K$3:$K$6002,원본명단!$K3364)))</f>
        <v/>
      </c>
      <c r="H3365" s="11" t="str">
        <f aca="false">IF($A3365="","",IF(MAX($E3365,$F3365,$G3365)&gt;1,"중복","-"))</f>
        <v/>
      </c>
      <c r="I3365" s="11" t="str">
        <f aca="false">IF($A3365="","",IF($H3365="-","-",IF(AND(IF(원본명단!$H3364="",TRUE(),COUNTIF(원본명단!$H$3:$H3364,원본명단!$H3364)=1),IF(원본명단!$I3364="",TRUE(),COUNTIF(원본명단!$I$3:$I3364,원본명단!$I3364)=1),IF(원본명단!$K3364="",TRUE(),COUNTIF(원본명단!$K$3:$K3364,원본명단!$K3364)=1)),"첫 건","중복 건")))</f>
        <v/>
      </c>
      <c r="J3365" s="11" t="str">
        <f aca="false">IF($A3365="","",IF($H3365="-","유지",IF($I3365="첫 건","유지","확인 필요")))</f>
        <v/>
      </c>
    </row>
    <row r="3366" customFormat="false" ht="15" hidden="false" customHeight="true" outlineLevel="0" collapsed="false">
      <c r="A3366" s="11" t="str">
        <f aca="false">IF(원본명단!$A3365="","",3363)</f>
        <v/>
      </c>
      <c r="B3366" s="12" t="str">
        <f aca="false">IF($A3366="","",원본명단!$A3365)</f>
        <v/>
      </c>
      <c r="C3366" s="12" t="str">
        <f aca="false">IF($A3366="","",원본명단!$B3365)</f>
        <v/>
      </c>
      <c r="D3366" s="12" t="str">
        <f aca="false">IF($A3366="","",원본명단!$D3365)</f>
        <v/>
      </c>
      <c r="E3366" s="11" t="str">
        <f aca="false">IF($A3366="","",IF(원본명단!$H3365="",0,COUNTIF(원본명단!$H$3:$H$6002,원본명단!$H3365)))</f>
        <v/>
      </c>
      <c r="F3366" s="11" t="str">
        <f aca="false">IF($A3366="","",IF(원본명단!$I3365="",0,COUNTIF(원본명단!$I$3:$I$6002,원본명단!$I3365)))</f>
        <v/>
      </c>
      <c r="G3366" s="11" t="str">
        <f aca="false">IF($A3366="","",IF(원본명단!$K3365="",0,COUNTIF(원본명단!$K$3:$K$6002,원본명단!$K3365)))</f>
        <v/>
      </c>
      <c r="H3366" s="11" t="str">
        <f aca="false">IF($A3366="","",IF(MAX($E3366,$F3366,$G3366)&gt;1,"중복","-"))</f>
        <v/>
      </c>
      <c r="I3366" s="11" t="str">
        <f aca="false">IF($A3366="","",IF($H3366="-","-",IF(AND(IF(원본명단!$H3365="",TRUE(),COUNTIF(원본명단!$H$3:$H3365,원본명단!$H3365)=1),IF(원본명단!$I3365="",TRUE(),COUNTIF(원본명단!$I$3:$I3365,원본명단!$I3365)=1),IF(원본명단!$K3365="",TRUE(),COUNTIF(원본명단!$K$3:$K3365,원본명단!$K3365)=1)),"첫 건","중복 건")))</f>
        <v/>
      </c>
      <c r="J3366" s="11" t="str">
        <f aca="false">IF($A3366="","",IF($H3366="-","유지",IF($I3366="첫 건","유지","확인 필요")))</f>
        <v/>
      </c>
    </row>
    <row r="3367" customFormat="false" ht="15" hidden="false" customHeight="true" outlineLevel="0" collapsed="false">
      <c r="A3367" s="11" t="str">
        <f aca="false">IF(원본명단!$A3366="","",3364)</f>
        <v/>
      </c>
      <c r="B3367" s="12" t="str">
        <f aca="false">IF($A3367="","",원본명단!$A3366)</f>
        <v/>
      </c>
      <c r="C3367" s="12" t="str">
        <f aca="false">IF($A3367="","",원본명단!$B3366)</f>
        <v/>
      </c>
      <c r="D3367" s="12" t="str">
        <f aca="false">IF($A3367="","",원본명단!$D3366)</f>
        <v/>
      </c>
      <c r="E3367" s="11" t="str">
        <f aca="false">IF($A3367="","",IF(원본명단!$H3366="",0,COUNTIF(원본명단!$H$3:$H$6002,원본명단!$H3366)))</f>
        <v/>
      </c>
      <c r="F3367" s="11" t="str">
        <f aca="false">IF($A3367="","",IF(원본명단!$I3366="",0,COUNTIF(원본명단!$I$3:$I$6002,원본명단!$I3366)))</f>
        <v/>
      </c>
      <c r="G3367" s="11" t="str">
        <f aca="false">IF($A3367="","",IF(원본명단!$K3366="",0,COUNTIF(원본명단!$K$3:$K$6002,원본명단!$K3366)))</f>
        <v/>
      </c>
      <c r="H3367" s="11" t="str">
        <f aca="false">IF($A3367="","",IF(MAX($E3367,$F3367,$G3367)&gt;1,"중복","-"))</f>
        <v/>
      </c>
      <c r="I3367" s="11" t="str">
        <f aca="false">IF($A3367="","",IF($H3367="-","-",IF(AND(IF(원본명단!$H3366="",TRUE(),COUNTIF(원본명단!$H$3:$H3366,원본명단!$H3366)=1),IF(원본명단!$I3366="",TRUE(),COUNTIF(원본명단!$I$3:$I3366,원본명단!$I3366)=1),IF(원본명단!$K3366="",TRUE(),COUNTIF(원본명단!$K$3:$K3366,원본명단!$K3366)=1)),"첫 건","중복 건")))</f>
        <v/>
      </c>
      <c r="J3367" s="11" t="str">
        <f aca="false">IF($A3367="","",IF($H3367="-","유지",IF($I3367="첫 건","유지","확인 필요")))</f>
        <v/>
      </c>
    </row>
    <row r="3368" customFormat="false" ht="15" hidden="false" customHeight="true" outlineLevel="0" collapsed="false">
      <c r="A3368" s="11" t="str">
        <f aca="false">IF(원본명단!$A3367="","",3365)</f>
        <v/>
      </c>
      <c r="B3368" s="12" t="str">
        <f aca="false">IF($A3368="","",원본명단!$A3367)</f>
        <v/>
      </c>
      <c r="C3368" s="12" t="str">
        <f aca="false">IF($A3368="","",원본명단!$B3367)</f>
        <v/>
      </c>
      <c r="D3368" s="12" t="str">
        <f aca="false">IF($A3368="","",원본명단!$D3367)</f>
        <v/>
      </c>
      <c r="E3368" s="11" t="str">
        <f aca="false">IF($A3368="","",IF(원본명단!$H3367="",0,COUNTIF(원본명단!$H$3:$H$6002,원본명단!$H3367)))</f>
        <v/>
      </c>
      <c r="F3368" s="11" t="str">
        <f aca="false">IF($A3368="","",IF(원본명단!$I3367="",0,COUNTIF(원본명단!$I$3:$I$6002,원본명단!$I3367)))</f>
        <v/>
      </c>
      <c r="G3368" s="11" t="str">
        <f aca="false">IF($A3368="","",IF(원본명단!$K3367="",0,COUNTIF(원본명단!$K$3:$K$6002,원본명단!$K3367)))</f>
        <v/>
      </c>
      <c r="H3368" s="11" t="str">
        <f aca="false">IF($A3368="","",IF(MAX($E3368,$F3368,$G3368)&gt;1,"중복","-"))</f>
        <v/>
      </c>
      <c r="I3368" s="11" t="str">
        <f aca="false">IF($A3368="","",IF($H3368="-","-",IF(AND(IF(원본명단!$H3367="",TRUE(),COUNTIF(원본명단!$H$3:$H3367,원본명단!$H3367)=1),IF(원본명단!$I3367="",TRUE(),COUNTIF(원본명단!$I$3:$I3367,원본명단!$I3367)=1),IF(원본명단!$K3367="",TRUE(),COUNTIF(원본명단!$K$3:$K3367,원본명단!$K3367)=1)),"첫 건","중복 건")))</f>
        <v/>
      </c>
      <c r="J3368" s="11" t="str">
        <f aca="false">IF($A3368="","",IF($H3368="-","유지",IF($I3368="첫 건","유지","확인 필요")))</f>
        <v/>
      </c>
    </row>
    <row r="3369" customFormat="false" ht="15" hidden="false" customHeight="true" outlineLevel="0" collapsed="false">
      <c r="A3369" s="11" t="str">
        <f aca="false">IF(원본명단!$A3368="","",3366)</f>
        <v/>
      </c>
      <c r="B3369" s="12" t="str">
        <f aca="false">IF($A3369="","",원본명단!$A3368)</f>
        <v/>
      </c>
      <c r="C3369" s="12" t="str">
        <f aca="false">IF($A3369="","",원본명단!$B3368)</f>
        <v/>
      </c>
      <c r="D3369" s="12" t="str">
        <f aca="false">IF($A3369="","",원본명단!$D3368)</f>
        <v/>
      </c>
      <c r="E3369" s="11" t="str">
        <f aca="false">IF($A3369="","",IF(원본명단!$H3368="",0,COUNTIF(원본명단!$H$3:$H$6002,원본명단!$H3368)))</f>
        <v/>
      </c>
      <c r="F3369" s="11" t="str">
        <f aca="false">IF($A3369="","",IF(원본명단!$I3368="",0,COUNTIF(원본명단!$I$3:$I$6002,원본명단!$I3368)))</f>
        <v/>
      </c>
      <c r="G3369" s="11" t="str">
        <f aca="false">IF($A3369="","",IF(원본명단!$K3368="",0,COUNTIF(원본명단!$K$3:$K$6002,원본명단!$K3368)))</f>
        <v/>
      </c>
      <c r="H3369" s="11" t="str">
        <f aca="false">IF($A3369="","",IF(MAX($E3369,$F3369,$G3369)&gt;1,"중복","-"))</f>
        <v/>
      </c>
      <c r="I3369" s="11" t="str">
        <f aca="false">IF($A3369="","",IF($H3369="-","-",IF(AND(IF(원본명단!$H3368="",TRUE(),COUNTIF(원본명단!$H$3:$H3368,원본명단!$H3368)=1),IF(원본명단!$I3368="",TRUE(),COUNTIF(원본명단!$I$3:$I3368,원본명단!$I3368)=1),IF(원본명단!$K3368="",TRUE(),COUNTIF(원본명단!$K$3:$K3368,원본명단!$K3368)=1)),"첫 건","중복 건")))</f>
        <v/>
      </c>
      <c r="J3369" s="11" t="str">
        <f aca="false">IF($A3369="","",IF($H3369="-","유지",IF($I3369="첫 건","유지","확인 필요")))</f>
        <v/>
      </c>
    </row>
    <row r="3370" customFormat="false" ht="15" hidden="false" customHeight="true" outlineLevel="0" collapsed="false">
      <c r="A3370" s="11" t="str">
        <f aca="false">IF(원본명단!$A3369="","",3367)</f>
        <v/>
      </c>
      <c r="B3370" s="12" t="str">
        <f aca="false">IF($A3370="","",원본명단!$A3369)</f>
        <v/>
      </c>
      <c r="C3370" s="12" t="str">
        <f aca="false">IF($A3370="","",원본명단!$B3369)</f>
        <v/>
      </c>
      <c r="D3370" s="12" t="str">
        <f aca="false">IF($A3370="","",원본명단!$D3369)</f>
        <v/>
      </c>
      <c r="E3370" s="11" t="str">
        <f aca="false">IF($A3370="","",IF(원본명단!$H3369="",0,COUNTIF(원본명단!$H$3:$H$6002,원본명단!$H3369)))</f>
        <v/>
      </c>
      <c r="F3370" s="11" t="str">
        <f aca="false">IF($A3370="","",IF(원본명단!$I3369="",0,COUNTIF(원본명단!$I$3:$I$6002,원본명단!$I3369)))</f>
        <v/>
      </c>
      <c r="G3370" s="11" t="str">
        <f aca="false">IF($A3370="","",IF(원본명단!$K3369="",0,COUNTIF(원본명단!$K$3:$K$6002,원본명단!$K3369)))</f>
        <v/>
      </c>
      <c r="H3370" s="11" t="str">
        <f aca="false">IF($A3370="","",IF(MAX($E3370,$F3370,$G3370)&gt;1,"중복","-"))</f>
        <v/>
      </c>
      <c r="I3370" s="11" t="str">
        <f aca="false">IF($A3370="","",IF($H3370="-","-",IF(AND(IF(원본명단!$H3369="",TRUE(),COUNTIF(원본명단!$H$3:$H3369,원본명단!$H3369)=1),IF(원본명단!$I3369="",TRUE(),COUNTIF(원본명단!$I$3:$I3369,원본명단!$I3369)=1),IF(원본명단!$K3369="",TRUE(),COUNTIF(원본명단!$K$3:$K3369,원본명단!$K3369)=1)),"첫 건","중복 건")))</f>
        <v/>
      </c>
      <c r="J3370" s="11" t="str">
        <f aca="false">IF($A3370="","",IF($H3370="-","유지",IF($I3370="첫 건","유지","확인 필요")))</f>
        <v/>
      </c>
    </row>
    <row r="3371" customFormat="false" ht="15" hidden="false" customHeight="true" outlineLevel="0" collapsed="false">
      <c r="A3371" s="11" t="str">
        <f aca="false">IF(원본명단!$A3370="","",3368)</f>
        <v/>
      </c>
      <c r="B3371" s="12" t="str">
        <f aca="false">IF($A3371="","",원본명단!$A3370)</f>
        <v/>
      </c>
      <c r="C3371" s="12" t="str">
        <f aca="false">IF($A3371="","",원본명단!$B3370)</f>
        <v/>
      </c>
      <c r="D3371" s="12" t="str">
        <f aca="false">IF($A3371="","",원본명단!$D3370)</f>
        <v/>
      </c>
      <c r="E3371" s="11" t="str">
        <f aca="false">IF($A3371="","",IF(원본명단!$H3370="",0,COUNTIF(원본명단!$H$3:$H$6002,원본명단!$H3370)))</f>
        <v/>
      </c>
      <c r="F3371" s="11" t="str">
        <f aca="false">IF($A3371="","",IF(원본명단!$I3370="",0,COUNTIF(원본명단!$I$3:$I$6002,원본명단!$I3370)))</f>
        <v/>
      </c>
      <c r="G3371" s="11" t="str">
        <f aca="false">IF($A3371="","",IF(원본명단!$K3370="",0,COUNTIF(원본명단!$K$3:$K$6002,원본명단!$K3370)))</f>
        <v/>
      </c>
      <c r="H3371" s="11" t="str">
        <f aca="false">IF($A3371="","",IF(MAX($E3371,$F3371,$G3371)&gt;1,"중복","-"))</f>
        <v/>
      </c>
      <c r="I3371" s="11" t="str">
        <f aca="false">IF($A3371="","",IF($H3371="-","-",IF(AND(IF(원본명단!$H3370="",TRUE(),COUNTIF(원본명단!$H$3:$H3370,원본명단!$H3370)=1),IF(원본명단!$I3370="",TRUE(),COUNTIF(원본명단!$I$3:$I3370,원본명단!$I3370)=1),IF(원본명단!$K3370="",TRUE(),COUNTIF(원본명단!$K$3:$K3370,원본명단!$K3370)=1)),"첫 건","중복 건")))</f>
        <v/>
      </c>
      <c r="J3371" s="11" t="str">
        <f aca="false">IF($A3371="","",IF($H3371="-","유지",IF($I3371="첫 건","유지","확인 필요")))</f>
        <v/>
      </c>
    </row>
    <row r="3372" customFormat="false" ht="15" hidden="false" customHeight="true" outlineLevel="0" collapsed="false">
      <c r="A3372" s="11" t="str">
        <f aca="false">IF(원본명단!$A3371="","",3369)</f>
        <v/>
      </c>
      <c r="B3372" s="12" t="str">
        <f aca="false">IF($A3372="","",원본명단!$A3371)</f>
        <v/>
      </c>
      <c r="C3372" s="12" t="str">
        <f aca="false">IF($A3372="","",원본명단!$B3371)</f>
        <v/>
      </c>
      <c r="D3372" s="12" t="str">
        <f aca="false">IF($A3372="","",원본명단!$D3371)</f>
        <v/>
      </c>
      <c r="E3372" s="11" t="str">
        <f aca="false">IF($A3372="","",IF(원본명단!$H3371="",0,COUNTIF(원본명단!$H$3:$H$6002,원본명단!$H3371)))</f>
        <v/>
      </c>
      <c r="F3372" s="11" t="str">
        <f aca="false">IF($A3372="","",IF(원본명단!$I3371="",0,COUNTIF(원본명단!$I$3:$I$6002,원본명단!$I3371)))</f>
        <v/>
      </c>
      <c r="G3372" s="11" t="str">
        <f aca="false">IF($A3372="","",IF(원본명단!$K3371="",0,COUNTIF(원본명단!$K$3:$K$6002,원본명단!$K3371)))</f>
        <v/>
      </c>
      <c r="H3372" s="11" t="str">
        <f aca="false">IF($A3372="","",IF(MAX($E3372,$F3372,$G3372)&gt;1,"중복","-"))</f>
        <v/>
      </c>
      <c r="I3372" s="11" t="str">
        <f aca="false">IF($A3372="","",IF($H3372="-","-",IF(AND(IF(원본명단!$H3371="",TRUE(),COUNTIF(원본명단!$H$3:$H3371,원본명단!$H3371)=1),IF(원본명단!$I3371="",TRUE(),COUNTIF(원본명단!$I$3:$I3371,원본명단!$I3371)=1),IF(원본명단!$K3371="",TRUE(),COUNTIF(원본명단!$K$3:$K3371,원본명단!$K3371)=1)),"첫 건","중복 건")))</f>
        <v/>
      </c>
      <c r="J3372" s="11" t="str">
        <f aca="false">IF($A3372="","",IF($H3372="-","유지",IF($I3372="첫 건","유지","확인 필요")))</f>
        <v/>
      </c>
    </row>
    <row r="3373" customFormat="false" ht="15" hidden="false" customHeight="true" outlineLevel="0" collapsed="false">
      <c r="A3373" s="11" t="str">
        <f aca="false">IF(원본명단!$A3372="","",3370)</f>
        <v/>
      </c>
      <c r="B3373" s="12" t="str">
        <f aca="false">IF($A3373="","",원본명단!$A3372)</f>
        <v/>
      </c>
      <c r="C3373" s="12" t="str">
        <f aca="false">IF($A3373="","",원본명단!$B3372)</f>
        <v/>
      </c>
      <c r="D3373" s="12" t="str">
        <f aca="false">IF($A3373="","",원본명단!$D3372)</f>
        <v/>
      </c>
      <c r="E3373" s="11" t="str">
        <f aca="false">IF($A3373="","",IF(원본명단!$H3372="",0,COUNTIF(원본명단!$H$3:$H$6002,원본명단!$H3372)))</f>
        <v/>
      </c>
      <c r="F3373" s="11" t="str">
        <f aca="false">IF($A3373="","",IF(원본명단!$I3372="",0,COUNTIF(원본명단!$I$3:$I$6002,원본명단!$I3372)))</f>
        <v/>
      </c>
      <c r="G3373" s="11" t="str">
        <f aca="false">IF($A3373="","",IF(원본명단!$K3372="",0,COUNTIF(원본명단!$K$3:$K$6002,원본명단!$K3372)))</f>
        <v/>
      </c>
      <c r="H3373" s="11" t="str">
        <f aca="false">IF($A3373="","",IF(MAX($E3373,$F3373,$G3373)&gt;1,"중복","-"))</f>
        <v/>
      </c>
      <c r="I3373" s="11" t="str">
        <f aca="false">IF($A3373="","",IF($H3373="-","-",IF(AND(IF(원본명단!$H3372="",TRUE(),COUNTIF(원본명단!$H$3:$H3372,원본명단!$H3372)=1),IF(원본명단!$I3372="",TRUE(),COUNTIF(원본명단!$I$3:$I3372,원본명단!$I3372)=1),IF(원본명단!$K3372="",TRUE(),COUNTIF(원본명단!$K$3:$K3372,원본명단!$K3372)=1)),"첫 건","중복 건")))</f>
        <v/>
      </c>
      <c r="J3373" s="11" t="str">
        <f aca="false">IF($A3373="","",IF($H3373="-","유지",IF($I3373="첫 건","유지","확인 필요")))</f>
        <v/>
      </c>
    </row>
    <row r="3374" customFormat="false" ht="15" hidden="false" customHeight="true" outlineLevel="0" collapsed="false">
      <c r="A3374" s="11" t="str">
        <f aca="false">IF(원본명단!$A3373="","",3371)</f>
        <v/>
      </c>
      <c r="B3374" s="12" t="str">
        <f aca="false">IF($A3374="","",원본명단!$A3373)</f>
        <v/>
      </c>
      <c r="C3374" s="12" t="str">
        <f aca="false">IF($A3374="","",원본명단!$B3373)</f>
        <v/>
      </c>
      <c r="D3374" s="12" t="str">
        <f aca="false">IF($A3374="","",원본명단!$D3373)</f>
        <v/>
      </c>
      <c r="E3374" s="11" t="str">
        <f aca="false">IF($A3374="","",IF(원본명단!$H3373="",0,COUNTIF(원본명단!$H$3:$H$6002,원본명단!$H3373)))</f>
        <v/>
      </c>
      <c r="F3374" s="11" t="str">
        <f aca="false">IF($A3374="","",IF(원본명단!$I3373="",0,COUNTIF(원본명단!$I$3:$I$6002,원본명단!$I3373)))</f>
        <v/>
      </c>
      <c r="G3374" s="11" t="str">
        <f aca="false">IF($A3374="","",IF(원본명단!$K3373="",0,COUNTIF(원본명단!$K$3:$K$6002,원본명단!$K3373)))</f>
        <v/>
      </c>
      <c r="H3374" s="11" t="str">
        <f aca="false">IF($A3374="","",IF(MAX($E3374,$F3374,$G3374)&gt;1,"중복","-"))</f>
        <v/>
      </c>
      <c r="I3374" s="11" t="str">
        <f aca="false">IF($A3374="","",IF($H3374="-","-",IF(AND(IF(원본명단!$H3373="",TRUE(),COUNTIF(원본명단!$H$3:$H3373,원본명단!$H3373)=1),IF(원본명단!$I3373="",TRUE(),COUNTIF(원본명단!$I$3:$I3373,원본명단!$I3373)=1),IF(원본명단!$K3373="",TRUE(),COUNTIF(원본명단!$K$3:$K3373,원본명단!$K3373)=1)),"첫 건","중복 건")))</f>
        <v/>
      </c>
      <c r="J3374" s="11" t="str">
        <f aca="false">IF($A3374="","",IF($H3374="-","유지",IF($I3374="첫 건","유지","확인 필요")))</f>
        <v/>
      </c>
    </row>
    <row r="3375" customFormat="false" ht="15" hidden="false" customHeight="true" outlineLevel="0" collapsed="false">
      <c r="A3375" s="11" t="str">
        <f aca="false">IF(원본명단!$A3374="","",3372)</f>
        <v/>
      </c>
      <c r="B3375" s="12" t="str">
        <f aca="false">IF($A3375="","",원본명단!$A3374)</f>
        <v/>
      </c>
      <c r="C3375" s="12" t="str">
        <f aca="false">IF($A3375="","",원본명단!$B3374)</f>
        <v/>
      </c>
      <c r="D3375" s="12" t="str">
        <f aca="false">IF($A3375="","",원본명단!$D3374)</f>
        <v/>
      </c>
      <c r="E3375" s="11" t="str">
        <f aca="false">IF($A3375="","",IF(원본명단!$H3374="",0,COUNTIF(원본명단!$H$3:$H$6002,원본명단!$H3374)))</f>
        <v/>
      </c>
      <c r="F3375" s="11" t="str">
        <f aca="false">IF($A3375="","",IF(원본명단!$I3374="",0,COUNTIF(원본명단!$I$3:$I$6002,원본명단!$I3374)))</f>
        <v/>
      </c>
      <c r="G3375" s="11" t="str">
        <f aca="false">IF($A3375="","",IF(원본명단!$K3374="",0,COUNTIF(원본명단!$K$3:$K$6002,원본명단!$K3374)))</f>
        <v/>
      </c>
      <c r="H3375" s="11" t="str">
        <f aca="false">IF($A3375="","",IF(MAX($E3375,$F3375,$G3375)&gt;1,"중복","-"))</f>
        <v/>
      </c>
      <c r="I3375" s="11" t="str">
        <f aca="false">IF($A3375="","",IF($H3375="-","-",IF(AND(IF(원본명단!$H3374="",TRUE(),COUNTIF(원본명단!$H$3:$H3374,원본명단!$H3374)=1),IF(원본명단!$I3374="",TRUE(),COUNTIF(원본명단!$I$3:$I3374,원본명단!$I3374)=1),IF(원본명단!$K3374="",TRUE(),COUNTIF(원본명단!$K$3:$K3374,원본명단!$K3374)=1)),"첫 건","중복 건")))</f>
        <v/>
      </c>
      <c r="J3375" s="11" t="str">
        <f aca="false">IF($A3375="","",IF($H3375="-","유지",IF($I3375="첫 건","유지","확인 필요")))</f>
        <v/>
      </c>
    </row>
    <row r="3376" customFormat="false" ht="15" hidden="false" customHeight="true" outlineLevel="0" collapsed="false">
      <c r="A3376" s="11" t="str">
        <f aca="false">IF(원본명단!$A3375="","",3373)</f>
        <v/>
      </c>
      <c r="B3376" s="12" t="str">
        <f aca="false">IF($A3376="","",원본명단!$A3375)</f>
        <v/>
      </c>
      <c r="C3376" s="12" t="str">
        <f aca="false">IF($A3376="","",원본명단!$B3375)</f>
        <v/>
      </c>
      <c r="D3376" s="12" t="str">
        <f aca="false">IF($A3376="","",원본명단!$D3375)</f>
        <v/>
      </c>
      <c r="E3376" s="11" t="str">
        <f aca="false">IF($A3376="","",IF(원본명단!$H3375="",0,COUNTIF(원본명단!$H$3:$H$6002,원본명단!$H3375)))</f>
        <v/>
      </c>
      <c r="F3376" s="11" t="str">
        <f aca="false">IF($A3376="","",IF(원본명단!$I3375="",0,COUNTIF(원본명단!$I$3:$I$6002,원본명단!$I3375)))</f>
        <v/>
      </c>
      <c r="G3376" s="11" t="str">
        <f aca="false">IF($A3376="","",IF(원본명단!$K3375="",0,COUNTIF(원본명단!$K$3:$K$6002,원본명단!$K3375)))</f>
        <v/>
      </c>
      <c r="H3376" s="11" t="str">
        <f aca="false">IF($A3376="","",IF(MAX($E3376,$F3376,$G3376)&gt;1,"중복","-"))</f>
        <v/>
      </c>
      <c r="I3376" s="11" t="str">
        <f aca="false">IF($A3376="","",IF($H3376="-","-",IF(AND(IF(원본명단!$H3375="",TRUE(),COUNTIF(원본명단!$H$3:$H3375,원본명단!$H3375)=1),IF(원본명단!$I3375="",TRUE(),COUNTIF(원본명단!$I$3:$I3375,원본명단!$I3375)=1),IF(원본명단!$K3375="",TRUE(),COUNTIF(원본명단!$K$3:$K3375,원본명단!$K3375)=1)),"첫 건","중복 건")))</f>
        <v/>
      </c>
      <c r="J3376" s="11" t="str">
        <f aca="false">IF($A3376="","",IF($H3376="-","유지",IF($I3376="첫 건","유지","확인 필요")))</f>
        <v/>
      </c>
    </row>
    <row r="3377" customFormat="false" ht="15" hidden="false" customHeight="true" outlineLevel="0" collapsed="false">
      <c r="A3377" s="11" t="str">
        <f aca="false">IF(원본명단!$A3376="","",3374)</f>
        <v/>
      </c>
      <c r="B3377" s="12" t="str">
        <f aca="false">IF($A3377="","",원본명단!$A3376)</f>
        <v/>
      </c>
      <c r="C3377" s="12" t="str">
        <f aca="false">IF($A3377="","",원본명단!$B3376)</f>
        <v/>
      </c>
      <c r="D3377" s="12" t="str">
        <f aca="false">IF($A3377="","",원본명단!$D3376)</f>
        <v/>
      </c>
      <c r="E3377" s="11" t="str">
        <f aca="false">IF($A3377="","",IF(원본명단!$H3376="",0,COUNTIF(원본명단!$H$3:$H$6002,원본명단!$H3376)))</f>
        <v/>
      </c>
      <c r="F3377" s="11" t="str">
        <f aca="false">IF($A3377="","",IF(원본명단!$I3376="",0,COUNTIF(원본명단!$I$3:$I$6002,원본명단!$I3376)))</f>
        <v/>
      </c>
      <c r="G3377" s="11" t="str">
        <f aca="false">IF($A3377="","",IF(원본명단!$K3376="",0,COUNTIF(원본명단!$K$3:$K$6002,원본명단!$K3376)))</f>
        <v/>
      </c>
      <c r="H3377" s="11" t="str">
        <f aca="false">IF($A3377="","",IF(MAX($E3377,$F3377,$G3377)&gt;1,"중복","-"))</f>
        <v/>
      </c>
      <c r="I3377" s="11" t="str">
        <f aca="false">IF($A3377="","",IF($H3377="-","-",IF(AND(IF(원본명단!$H3376="",TRUE(),COUNTIF(원본명단!$H$3:$H3376,원본명단!$H3376)=1),IF(원본명단!$I3376="",TRUE(),COUNTIF(원본명단!$I$3:$I3376,원본명단!$I3376)=1),IF(원본명단!$K3376="",TRUE(),COUNTIF(원본명단!$K$3:$K3376,원본명단!$K3376)=1)),"첫 건","중복 건")))</f>
        <v/>
      </c>
      <c r="J3377" s="11" t="str">
        <f aca="false">IF($A3377="","",IF($H3377="-","유지",IF($I3377="첫 건","유지","확인 필요")))</f>
        <v/>
      </c>
    </row>
    <row r="3378" customFormat="false" ht="15" hidden="false" customHeight="true" outlineLevel="0" collapsed="false">
      <c r="A3378" s="11" t="str">
        <f aca="false">IF(원본명단!$A3377="","",3375)</f>
        <v/>
      </c>
      <c r="B3378" s="12" t="str">
        <f aca="false">IF($A3378="","",원본명단!$A3377)</f>
        <v/>
      </c>
      <c r="C3378" s="12" t="str">
        <f aca="false">IF($A3378="","",원본명단!$B3377)</f>
        <v/>
      </c>
      <c r="D3378" s="12" t="str">
        <f aca="false">IF($A3378="","",원본명단!$D3377)</f>
        <v/>
      </c>
      <c r="E3378" s="11" t="str">
        <f aca="false">IF($A3378="","",IF(원본명단!$H3377="",0,COUNTIF(원본명단!$H$3:$H$6002,원본명단!$H3377)))</f>
        <v/>
      </c>
      <c r="F3378" s="11" t="str">
        <f aca="false">IF($A3378="","",IF(원본명단!$I3377="",0,COUNTIF(원본명단!$I$3:$I$6002,원본명단!$I3377)))</f>
        <v/>
      </c>
      <c r="G3378" s="11" t="str">
        <f aca="false">IF($A3378="","",IF(원본명단!$K3377="",0,COUNTIF(원본명단!$K$3:$K$6002,원본명단!$K3377)))</f>
        <v/>
      </c>
      <c r="H3378" s="11" t="str">
        <f aca="false">IF($A3378="","",IF(MAX($E3378,$F3378,$G3378)&gt;1,"중복","-"))</f>
        <v/>
      </c>
      <c r="I3378" s="11" t="str">
        <f aca="false">IF($A3378="","",IF($H3378="-","-",IF(AND(IF(원본명단!$H3377="",TRUE(),COUNTIF(원본명단!$H$3:$H3377,원본명단!$H3377)=1),IF(원본명단!$I3377="",TRUE(),COUNTIF(원본명단!$I$3:$I3377,원본명단!$I3377)=1),IF(원본명단!$K3377="",TRUE(),COUNTIF(원본명단!$K$3:$K3377,원본명단!$K3377)=1)),"첫 건","중복 건")))</f>
        <v/>
      </c>
      <c r="J3378" s="11" t="str">
        <f aca="false">IF($A3378="","",IF($H3378="-","유지",IF($I3378="첫 건","유지","확인 필요")))</f>
        <v/>
      </c>
    </row>
    <row r="3379" customFormat="false" ht="15" hidden="false" customHeight="true" outlineLevel="0" collapsed="false">
      <c r="A3379" s="11" t="str">
        <f aca="false">IF(원본명단!$A3378="","",3376)</f>
        <v/>
      </c>
      <c r="B3379" s="12" t="str">
        <f aca="false">IF($A3379="","",원본명단!$A3378)</f>
        <v/>
      </c>
      <c r="C3379" s="12" t="str">
        <f aca="false">IF($A3379="","",원본명단!$B3378)</f>
        <v/>
      </c>
      <c r="D3379" s="12" t="str">
        <f aca="false">IF($A3379="","",원본명단!$D3378)</f>
        <v/>
      </c>
      <c r="E3379" s="11" t="str">
        <f aca="false">IF($A3379="","",IF(원본명단!$H3378="",0,COUNTIF(원본명단!$H$3:$H$6002,원본명단!$H3378)))</f>
        <v/>
      </c>
      <c r="F3379" s="11" t="str">
        <f aca="false">IF($A3379="","",IF(원본명단!$I3378="",0,COUNTIF(원본명단!$I$3:$I$6002,원본명단!$I3378)))</f>
        <v/>
      </c>
      <c r="G3379" s="11" t="str">
        <f aca="false">IF($A3379="","",IF(원본명단!$K3378="",0,COUNTIF(원본명단!$K$3:$K$6002,원본명단!$K3378)))</f>
        <v/>
      </c>
      <c r="H3379" s="11" t="str">
        <f aca="false">IF($A3379="","",IF(MAX($E3379,$F3379,$G3379)&gt;1,"중복","-"))</f>
        <v/>
      </c>
      <c r="I3379" s="11" t="str">
        <f aca="false">IF($A3379="","",IF($H3379="-","-",IF(AND(IF(원본명단!$H3378="",TRUE(),COUNTIF(원본명단!$H$3:$H3378,원본명단!$H3378)=1),IF(원본명단!$I3378="",TRUE(),COUNTIF(원본명단!$I$3:$I3378,원본명단!$I3378)=1),IF(원본명단!$K3378="",TRUE(),COUNTIF(원본명단!$K$3:$K3378,원본명단!$K3378)=1)),"첫 건","중복 건")))</f>
        <v/>
      </c>
      <c r="J3379" s="11" t="str">
        <f aca="false">IF($A3379="","",IF($H3379="-","유지",IF($I3379="첫 건","유지","확인 필요")))</f>
        <v/>
      </c>
    </row>
    <row r="3380" customFormat="false" ht="15" hidden="false" customHeight="true" outlineLevel="0" collapsed="false">
      <c r="A3380" s="11" t="str">
        <f aca="false">IF(원본명단!$A3379="","",3377)</f>
        <v/>
      </c>
      <c r="B3380" s="12" t="str">
        <f aca="false">IF($A3380="","",원본명단!$A3379)</f>
        <v/>
      </c>
      <c r="C3380" s="12" t="str">
        <f aca="false">IF($A3380="","",원본명단!$B3379)</f>
        <v/>
      </c>
      <c r="D3380" s="12" t="str">
        <f aca="false">IF($A3380="","",원본명단!$D3379)</f>
        <v/>
      </c>
      <c r="E3380" s="11" t="str">
        <f aca="false">IF($A3380="","",IF(원본명단!$H3379="",0,COUNTIF(원본명단!$H$3:$H$6002,원본명단!$H3379)))</f>
        <v/>
      </c>
      <c r="F3380" s="11" t="str">
        <f aca="false">IF($A3380="","",IF(원본명단!$I3379="",0,COUNTIF(원본명단!$I$3:$I$6002,원본명단!$I3379)))</f>
        <v/>
      </c>
      <c r="G3380" s="11" t="str">
        <f aca="false">IF($A3380="","",IF(원본명단!$K3379="",0,COUNTIF(원본명단!$K$3:$K$6002,원본명단!$K3379)))</f>
        <v/>
      </c>
      <c r="H3380" s="11" t="str">
        <f aca="false">IF($A3380="","",IF(MAX($E3380,$F3380,$G3380)&gt;1,"중복","-"))</f>
        <v/>
      </c>
      <c r="I3380" s="11" t="str">
        <f aca="false">IF($A3380="","",IF($H3380="-","-",IF(AND(IF(원본명단!$H3379="",TRUE(),COUNTIF(원본명단!$H$3:$H3379,원본명단!$H3379)=1),IF(원본명단!$I3379="",TRUE(),COUNTIF(원본명단!$I$3:$I3379,원본명단!$I3379)=1),IF(원본명단!$K3379="",TRUE(),COUNTIF(원본명단!$K$3:$K3379,원본명단!$K3379)=1)),"첫 건","중복 건")))</f>
        <v/>
      </c>
      <c r="J3380" s="11" t="str">
        <f aca="false">IF($A3380="","",IF($H3380="-","유지",IF($I3380="첫 건","유지","확인 필요")))</f>
        <v/>
      </c>
    </row>
    <row r="3381" customFormat="false" ht="15" hidden="false" customHeight="true" outlineLevel="0" collapsed="false">
      <c r="A3381" s="11" t="str">
        <f aca="false">IF(원본명단!$A3380="","",3378)</f>
        <v/>
      </c>
      <c r="B3381" s="12" t="str">
        <f aca="false">IF($A3381="","",원본명단!$A3380)</f>
        <v/>
      </c>
      <c r="C3381" s="12" t="str">
        <f aca="false">IF($A3381="","",원본명단!$B3380)</f>
        <v/>
      </c>
      <c r="D3381" s="12" t="str">
        <f aca="false">IF($A3381="","",원본명단!$D3380)</f>
        <v/>
      </c>
      <c r="E3381" s="11" t="str">
        <f aca="false">IF($A3381="","",IF(원본명단!$H3380="",0,COUNTIF(원본명단!$H$3:$H$6002,원본명단!$H3380)))</f>
        <v/>
      </c>
      <c r="F3381" s="11" t="str">
        <f aca="false">IF($A3381="","",IF(원본명단!$I3380="",0,COUNTIF(원본명단!$I$3:$I$6002,원본명단!$I3380)))</f>
        <v/>
      </c>
      <c r="G3381" s="11" t="str">
        <f aca="false">IF($A3381="","",IF(원본명단!$K3380="",0,COUNTIF(원본명단!$K$3:$K$6002,원본명단!$K3380)))</f>
        <v/>
      </c>
      <c r="H3381" s="11" t="str">
        <f aca="false">IF($A3381="","",IF(MAX($E3381,$F3381,$G3381)&gt;1,"중복","-"))</f>
        <v/>
      </c>
      <c r="I3381" s="11" t="str">
        <f aca="false">IF($A3381="","",IF($H3381="-","-",IF(AND(IF(원본명단!$H3380="",TRUE(),COUNTIF(원본명단!$H$3:$H3380,원본명단!$H3380)=1),IF(원본명단!$I3380="",TRUE(),COUNTIF(원본명단!$I$3:$I3380,원본명단!$I3380)=1),IF(원본명단!$K3380="",TRUE(),COUNTIF(원본명단!$K$3:$K3380,원본명단!$K3380)=1)),"첫 건","중복 건")))</f>
        <v/>
      </c>
      <c r="J3381" s="11" t="str">
        <f aca="false">IF($A3381="","",IF($H3381="-","유지",IF($I3381="첫 건","유지","확인 필요")))</f>
        <v/>
      </c>
    </row>
    <row r="3382" customFormat="false" ht="15" hidden="false" customHeight="true" outlineLevel="0" collapsed="false">
      <c r="A3382" s="11" t="str">
        <f aca="false">IF(원본명단!$A3381="","",3379)</f>
        <v/>
      </c>
      <c r="B3382" s="12" t="str">
        <f aca="false">IF($A3382="","",원본명단!$A3381)</f>
        <v/>
      </c>
      <c r="C3382" s="12" t="str">
        <f aca="false">IF($A3382="","",원본명단!$B3381)</f>
        <v/>
      </c>
      <c r="D3382" s="12" t="str">
        <f aca="false">IF($A3382="","",원본명단!$D3381)</f>
        <v/>
      </c>
      <c r="E3382" s="11" t="str">
        <f aca="false">IF($A3382="","",IF(원본명단!$H3381="",0,COUNTIF(원본명단!$H$3:$H$6002,원본명단!$H3381)))</f>
        <v/>
      </c>
      <c r="F3382" s="11" t="str">
        <f aca="false">IF($A3382="","",IF(원본명단!$I3381="",0,COUNTIF(원본명단!$I$3:$I$6002,원본명단!$I3381)))</f>
        <v/>
      </c>
      <c r="G3382" s="11" t="str">
        <f aca="false">IF($A3382="","",IF(원본명단!$K3381="",0,COUNTIF(원본명단!$K$3:$K$6002,원본명단!$K3381)))</f>
        <v/>
      </c>
      <c r="H3382" s="11" t="str">
        <f aca="false">IF($A3382="","",IF(MAX($E3382,$F3382,$G3382)&gt;1,"중복","-"))</f>
        <v/>
      </c>
      <c r="I3382" s="11" t="str">
        <f aca="false">IF($A3382="","",IF($H3382="-","-",IF(AND(IF(원본명단!$H3381="",TRUE(),COUNTIF(원본명단!$H$3:$H3381,원본명단!$H3381)=1),IF(원본명단!$I3381="",TRUE(),COUNTIF(원본명단!$I$3:$I3381,원본명단!$I3381)=1),IF(원본명단!$K3381="",TRUE(),COUNTIF(원본명단!$K$3:$K3381,원본명단!$K3381)=1)),"첫 건","중복 건")))</f>
        <v/>
      </c>
      <c r="J3382" s="11" t="str">
        <f aca="false">IF($A3382="","",IF($H3382="-","유지",IF($I3382="첫 건","유지","확인 필요")))</f>
        <v/>
      </c>
    </row>
    <row r="3383" customFormat="false" ht="15" hidden="false" customHeight="true" outlineLevel="0" collapsed="false">
      <c r="A3383" s="11" t="str">
        <f aca="false">IF(원본명단!$A3382="","",3380)</f>
        <v/>
      </c>
      <c r="B3383" s="12" t="str">
        <f aca="false">IF($A3383="","",원본명단!$A3382)</f>
        <v/>
      </c>
      <c r="C3383" s="12" t="str">
        <f aca="false">IF($A3383="","",원본명단!$B3382)</f>
        <v/>
      </c>
      <c r="D3383" s="12" t="str">
        <f aca="false">IF($A3383="","",원본명단!$D3382)</f>
        <v/>
      </c>
      <c r="E3383" s="11" t="str">
        <f aca="false">IF($A3383="","",IF(원본명단!$H3382="",0,COUNTIF(원본명단!$H$3:$H$6002,원본명단!$H3382)))</f>
        <v/>
      </c>
      <c r="F3383" s="11" t="str">
        <f aca="false">IF($A3383="","",IF(원본명단!$I3382="",0,COUNTIF(원본명단!$I$3:$I$6002,원본명단!$I3382)))</f>
        <v/>
      </c>
      <c r="G3383" s="11" t="str">
        <f aca="false">IF($A3383="","",IF(원본명단!$K3382="",0,COUNTIF(원본명단!$K$3:$K$6002,원본명단!$K3382)))</f>
        <v/>
      </c>
      <c r="H3383" s="11" t="str">
        <f aca="false">IF($A3383="","",IF(MAX($E3383,$F3383,$G3383)&gt;1,"중복","-"))</f>
        <v/>
      </c>
      <c r="I3383" s="11" t="str">
        <f aca="false">IF($A3383="","",IF($H3383="-","-",IF(AND(IF(원본명단!$H3382="",TRUE(),COUNTIF(원본명단!$H$3:$H3382,원본명단!$H3382)=1),IF(원본명단!$I3382="",TRUE(),COUNTIF(원본명단!$I$3:$I3382,원본명단!$I3382)=1),IF(원본명단!$K3382="",TRUE(),COUNTIF(원본명단!$K$3:$K3382,원본명단!$K3382)=1)),"첫 건","중복 건")))</f>
        <v/>
      </c>
      <c r="J3383" s="11" t="str">
        <f aca="false">IF($A3383="","",IF($H3383="-","유지",IF($I3383="첫 건","유지","확인 필요")))</f>
        <v/>
      </c>
    </row>
    <row r="3384" customFormat="false" ht="15" hidden="false" customHeight="true" outlineLevel="0" collapsed="false">
      <c r="A3384" s="11" t="str">
        <f aca="false">IF(원본명단!$A3383="","",3381)</f>
        <v/>
      </c>
      <c r="B3384" s="12" t="str">
        <f aca="false">IF($A3384="","",원본명단!$A3383)</f>
        <v/>
      </c>
      <c r="C3384" s="12" t="str">
        <f aca="false">IF($A3384="","",원본명단!$B3383)</f>
        <v/>
      </c>
      <c r="D3384" s="12" t="str">
        <f aca="false">IF($A3384="","",원본명단!$D3383)</f>
        <v/>
      </c>
      <c r="E3384" s="11" t="str">
        <f aca="false">IF($A3384="","",IF(원본명단!$H3383="",0,COUNTIF(원본명단!$H$3:$H$6002,원본명단!$H3383)))</f>
        <v/>
      </c>
      <c r="F3384" s="11" t="str">
        <f aca="false">IF($A3384="","",IF(원본명단!$I3383="",0,COUNTIF(원본명단!$I$3:$I$6002,원본명단!$I3383)))</f>
        <v/>
      </c>
      <c r="G3384" s="11" t="str">
        <f aca="false">IF($A3384="","",IF(원본명단!$K3383="",0,COUNTIF(원본명단!$K$3:$K$6002,원본명단!$K3383)))</f>
        <v/>
      </c>
      <c r="H3384" s="11" t="str">
        <f aca="false">IF($A3384="","",IF(MAX($E3384,$F3384,$G3384)&gt;1,"중복","-"))</f>
        <v/>
      </c>
      <c r="I3384" s="11" t="str">
        <f aca="false">IF($A3384="","",IF($H3384="-","-",IF(AND(IF(원본명단!$H3383="",TRUE(),COUNTIF(원본명단!$H$3:$H3383,원본명단!$H3383)=1),IF(원본명단!$I3383="",TRUE(),COUNTIF(원본명단!$I$3:$I3383,원본명단!$I3383)=1),IF(원본명단!$K3383="",TRUE(),COUNTIF(원본명단!$K$3:$K3383,원본명단!$K3383)=1)),"첫 건","중복 건")))</f>
        <v/>
      </c>
      <c r="J3384" s="11" t="str">
        <f aca="false">IF($A3384="","",IF($H3384="-","유지",IF($I3384="첫 건","유지","확인 필요")))</f>
        <v/>
      </c>
    </row>
    <row r="3385" customFormat="false" ht="15" hidden="false" customHeight="true" outlineLevel="0" collapsed="false">
      <c r="A3385" s="11" t="str">
        <f aca="false">IF(원본명단!$A3384="","",3382)</f>
        <v/>
      </c>
      <c r="B3385" s="12" t="str">
        <f aca="false">IF($A3385="","",원본명단!$A3384)</f>
        <v/>
      </c>
      <c r="C3385" s="12" t="str">
        <f aca="false">IF($A3385="","",원본명단!$B3384)</f>
        <v/>
      </c>
      <c r="D3385" s="12" t="str">
        <f aca="false">IF($A3385="","",원본명단!$D3384)</f>
        <v/>
      </c>
      <c r="E3385" s="11" t="str">
        <f aca="false">IF($A3385="","",IF(원본명단!$H3384="",0,COUNTIF(원본명단!$H$3:$H$6002,원본명단!$H3384)))</f>
        <v/>
      </c>
      <c r="F3385" s="11" t="str">
        <f aca="false">IF($A3385="","",IF(원본명단!$I3384="",0,COUNTIF(원본명단!$I$3:$I$6002,원본명단!$I3384)))</f>
        <v/>
      </c>
      <c r="G3385" s="11" t="str">
        <f aca="false">IF($A3385="","",IF(원본명단!$K3384="",0,COUNTIF(원본명단!$K$3:$K$6002,원본명단!$K3384)))</f>
        <v/>
      </c>
      <c r="H3385" s="11" t="str">
        <f aca="false">IF($A3385="","",IF(MAX($E3385,$F3385,$G3385)&gt;1,"중복","-"))</f>
        <v/>
      </c>
      <c r="I3385" s="11" t="str">
        <f aca="false">IF($A3385="","",IF($H3385="-","-",IF(AND(IF(원본명단!$H3384="",TRUE(),COUNTIF(원본명단!$H$3:$H3384,원본명단!$H3384)=1),IF(원본명단!$I3384="",TRUE(),COUNTIF(원본명단!$I$3:$I3384,원본명단!$I3384)=1),IF(원본명단!$K3384="",TRUE(),COUNTIF(원본명단!$K$3:$K3384,원본명단!$K3384)=1)),"첫 건","중복 건")))</f>
        <v/>
      </c>
      <c r="J3385" s="11" t="str">
        <f aca="false">IF($A3385="","",IF($H3385="-","유지",IF($I3385="첫 건","유지","확인 필요")))</f>
        <v/>
      </c>
    </row>
    <row r="3386" customFormat="false" ht="15" hidden="false" customHeight="true" outlineLevel="0" collapsed="false">
      <c r="A3386" s="11" t="str">
        <f aca="false">IF(원본명단!$A3385="","",3383)</f>
        <v/>
      </c>
      <c r="B3386" s="12" t="str">
        <f aca="false">IF($A3386="","",원본명단!$A3385)</f>
        <v/>
      </c>
      <c r="C3386" s="12" t="str">
        <f aca="false">IF($A3386="","",원본명단!$B3385)</f>
        <v/>
      </c>
      <c r="D3386" s="12" t="str">
        <f aca="false">IF($A3386="","",원본명단!$D3385)</f>
        <v/>
      </c>
      <c r="E3386" s="11" t="str">
        <f aca="false">IF($A3386="","",IF(원본명단!$H3385="",0,COUNTIF(원본명단!$H$3:$H$6002,원본명단!$H3385)))</f>
        <v/>
      </c>
      <c r="F3386" s="11" t="str">
        <f aca="false">IF($A3386="","",IF(원본명단!$I3385="",0,COUNTIF(원본명단!$I$3:$I$6002,원본명단!$I3385)))</f>
        <v/>
      </c>
      <c r="G3386" s="11" t="str">
        <f aca="false">IF($A3386="","",IF(원본명단!$K3385="",0,COUNTIF(원본명단!$K$3:$K$6002,원본명단!$K3385)))</f>
        <v/>
      </c>
      <c r="H3386" s="11" t="str">
        <f aca="false">IF($A3386="","",IF(MAX($E3386,$F3386,$G3386)&gt;1,"중복","-"))</f>
        <v/>
      </c>
      <c r="I3386" s="11" t="str">
        <f aca="false">IF($A3386="","",IF($H3386="-","-",IF(AND(IF(원본명단!$H3385="",TRUE(),COUNTIF(원본명단!$H$3:$H3385,원본명단!$H3385)=1),IF(원본명단!$I3385="",TRUE(),COUNTIF(원본명단!$I$3:$I3385,원본명단!$I3385)=1),IF(원본명단!$K3385="",TRUE(),COUNTIF(원본명단!$K$3:$K3385,원본명단!$K3385)=1)),"첫 건","중복 건")))</f>
        <v/>
      </c>
      <c r="J3386" s="11" t="str">
        <f aca="false">IF($A3386="","",IF($H3386="-","유지",IF($I3386="첫 건","유지","확인 필요")))</f>
        <v/>
      </c>
    </row>
    <row r="3387" customFormat="false" ht="15" hidden="false" customHeight="true" outlineLevel="0" collapsed="false">
      <c r="A3387" s="11" t="str">
        <f aca="false">IF(원본명단!$A3386="","",3384)</f>
        <v/>
      </c>
      <c r="B3387" s="12" t="str">
        <f aca="false">IF($A3387="","",원본명단!$A3386)</f>
        <v/>
      </c>
      <c r="C3387" s="12" t="str">
        <f aca="false">IF($A3387="","",원본명단!$B3386)</f>
        <v/>
      </c>
      <c r="D3387" s="12" t="str">
        <f aca="false">IF($A3387="","",원본명단!$D3386)</f>
        <v/>
      </c>
      <c r="E3387" s="11" t="str">
        <f aca="false">IF($A3387="","",IF(원본명단!$H3386="",0,COUNTIF(원본명단!$H$3:$H$6002,원본명단!$H3386)))</f>
        <v/>
      </c>
      <c r="F3387" s="11" t="str">
        <f aca="false">IF($A3387="","",IF(원본명단!$I3386="",0,COUNTIF(원본명단!$I$3:$I$6002,원본명단!$I3386)))</f>
        <v/>
      </c>
      <c r="G3387" s="11" t="str">
        <f aca="false">IF($A3387="","",IF(원본명단!$K3386="",0,COUNTIF(원본명단!$K$3:$K$6002,원본명단!$K3386)))</f>
        <v/>
      </c>
      <c r="H3387" s="11" t="str">
        <f aca="false">IF($A3387="","",IF(MAX($E3387,$F3387,$G3387)&gt;1,"중복","-"))</f>
        <v/>
      </c>
      <c r="I3387" s="11" t="str">
        <f aca="false">IF($A3387="","",IF($H3387="-","-",IF(AND(IF(원본명단!$H3386="",TRUE(),COUNTIF(원본명단!$H$3:$H3386,원본명단!$H3386)=1),IF(원본명단!$I3386="",TRUE(),COUNTIF(원본명단!$I$3:$I3386,원본명단!$I3386)=1),IF(원본명단!$K3386="",TRUE(),COUNTIF(원본명단!$K$3:$K3386,원본명단!$K3386)=1)),"첫 건","중복 건")))</f>
        <v/>
      </c>
      <c r="J3387" s="11" t="str">
        <f aca="false">IF($A3387="","",IF($H3387="-","유지",IF($I3387="첫 건","유지","확인 필요")))</f>
        <v/>
      </c>
    </row>
    <row r="3388" customFormat="false" ht="15" hidden="false" customHeight="true" outlineLevel="0" collapsed="false">
      <c r="A3388" s="11" t="str">
        <f aca="false">IF(원본명단!$A3387="","",3385)</f>
        <v/>
      </c>
      <c r="B3388" s="12" t="str">
        <f aca="false">IF($A3388="","",원본명단!$A3387)</f>
        <v/>
      </c>
      <c r="C3388" s="12" t="str">
        <f aca="false">IF($A3388="","",원본명단!$B3387)</f>
        <v/>
      </c>
      <c r="D3388" s="12" t="str">
        <f aca="false">IF($A3388="","",원본명단!$D3387)</f>
        <v/>
      </c>
      <c r="E3388" s="11" t="str">
        <f aca="false">IF($A3388="","",IF(원본명단!$H3387="",0,COUNTIF(원본명단!$H$3:$H$6002,원본명단!$H3387)))</f>
        <v/>
      </c>
      <c r="F3388" s="11" t="str">
        <f aca="false">IF($A3388="","",IF(원본명단!$I3387="",0,COUNTIF(원본명단!$I$3:$I$6002,원본명단!$I3387)))</f>
        <v/>
      </c>
      <c r="G3388" s="11" t="str">
        <f aca="false">IF($A3388="","",IF(원본명단!$K3387="",0,COUNTIF(원본명단!$K$3:$K$6002,원본명단!$K3387)))</f>
        <v/>
      </c>
      <c r="H3388" s="11" t="str">
        <f aca="false">IF($A3388="","",IF(MAX($E3388,$F3388,$G3388)&gt;1,"중복","-"))</f>
        <v/>
      </c>
      <c r="I3388" s="11" t="str">
        <f aca="false">IF($A3388="","",IF($H3388="-","-",IF(AND(IF(원본명단!$H3387="",TRUE(),COUNTIF(원본명단!$H$3:$H3387,원본명단!$H3387)=1),IF(원본명단!$I3387="",TRUE(),COUNTIF(원본명단!$I$3:$I3387,원본명단!$I3387)=1),IF(원본명단!$K3387="",TRUE(),COUNTIF(원본명단!$K$3:$K3387,원본명단!$K3387)=1)),"첫 건","중복 건")))</f>
        <v/>
      </c>
      <c r="J3388" s="11" t="str">
        <f aca="false">IF($A3388="","",IF($H3388="-","유지",IF($I3388="첫 건","유지","확인 필요")))</f>
        <v/>
      </c>
    </row>
    <row r="3389" customFormat="false" ht="15" hidden="false" customHeight="true" outlineLevel="0" collapsed="false">
      <c r="A3389" s="11" t="str">
        <f aca="false">IF(원본명단!$A3388="","",3386)</f>
        <v/>
      </c>
      <c r="B3389" s="12" t="str">
        <f aca="false">IF($A3389="","",원본명단!$A3388)</f>
        <v/>
      </c>
      <c r="C3389" s="12" t="str">
        <f aca="false">IF($A3389="","",원본명단!$B3388)</f>
        <v/>
      </c>
      <c r="D3389" s="12" t="str">
        <f aca="false">IF($A3389="","",원본명단!$D3388)</f>
        <v/>
      </c>
      <c r="E3389" s="11" t="str">
        <f aca="false">IF($A3389="","",IF(원본명단!$H3388="",0,COUNTIF(원본명단!$H$3:$H$6002,원본명단!$H3388)))</f>
        <v/>
      </c>
      <c r="F3389" s="11" t="str">
        <f aca="false">IF($A3389="","",IF(원본명단!$I3388="",0,COUNTIF(원본명단!$I$3:$I$6002,원본명단!$I3388)))</f>
        <v/>
      </c>
      <c r="G3389" s="11" t="str">
        <f aca="false">IF($A3389="","",IF(원본명단!$K3388="",0,COUNTIF(원본명단!$K$3:$K$6002,원본명단!$K3388)))</f>
        <v/>
      </c>
      <c r="H3389" s="11" t="str">
        <f aca="false">IF($A3389="","",IF(MAX($E3389,$F3389,$G3389)&gt;1,"중복","-"))</f>
        <v/>
      </c>
      <c r="I3389" s="11" t="str">
        <f aca="false">IF($A3389="","",IF($H3389="-","-",IF(AND(IF(원본명단!$H3388="",TRUE(),COUNTIF(원본명단!$H$3:$H3388,원본명단!$H3388)=1),IF(원본명단!$I3388="",TRUE(),COUNTIF(원본명단!$I$3:$I3388,원본명단!$I3388)=1),IF(원본명단!$K3388="",TRUE(),COUNTIF(원본명단!$K$3:$K3388,원본명단!$K3388)=1)),"첫 건","중복 건")))</f>
        <v/>
      </c>
      <c r="J3389" s="11" t="str">
        <f aca="false">IF($A3389="","",IF($H3389="-","유지",IF($I3389="첫 건","유지","확인 필요")))</f>
        <v/>
      </c>
    </row>
    <row r="3390" customFormat="false" ht="15" hidden="false" customHeight="true" outlineLevel="0" collapsed="false">
      <c r="A3390" s="11" t="str">
        <f aca="false">IF(원본명단!$A3389="","",3387)</f>
        <v/>
      </c>
      <c r="B3390" s="12" t="str">
        <f aca="false">IF($A3390="","",원본명단!$A3389)</f>
        <v/>
      </c>
      <c r="C3390" s="12" t="str">
        <f aca="false">IF($A3390="","",원본명단!$B3389)</f>
        <v/>
      </c>
      <c r="D3390" s="12" t="str">
        <f aca="false">IF($A3390="","",원본명단!$D3389)</f>
        <v/>
      </c>
      <c r="E3390" s="11" t="str">
        <f aca="false">IF($A3390="","",IF(원본명단!$H3389="",0,COUNTIF(원본명단!$H$3:$H$6002,원본명단!$H3389)))</f>
        <v/>
      </c>
      <c r="F3390" s="11" t="str">
        <f aca="false">IF($A3390="","",IF(원본명단!$I3389="",0,COUNTIF(원본명단!$I$3:$I$6002,원본명단!$I3389)))</f>
        <v/>
      </c>
      <c r="G3390" s="11" t="str">
        <f aca="false">IF($A3390="","",IF(원본명단!$K3389="",0,COUNTIF(원본명단!$K$3:$K$6002,원본명단!$K3389)))</f>
        <v/>
      </c>
      <c r="H3390" s="11" t="str">
        <f aca="false">IF($A3390="","",IF(MAX($E3390,$F3390,$G3390)&gt;1,"중복","-"))</f>
        <v/>
      </c>
      <c r="I3390" s="11" t="str">
        <f aca="false">IF($A3390="","",IF($H3390="-","-",IF(AND(IF(원본명단!$H3389="",TRUE(),COUNTIF(원본명단!$H$3:$H3389,원본명단!$H3389)=1),IF(원본명단!$I3389="",TRUE(),COUNTIF(원본명단!$I$3:$I3389,원본명단!$I3389)=1),IF(원본명단!$K3389="",TRUE(),COUNTIF(원본명단!$K$3:$K3389,원본명단!$K3389)=1)),"첫 건","중복 건")))</f>
        <v/>
      </c>
      <c r="J3390" s="11" t="str">
        <f aca="false">IF($A3390="","",IF($H3390="-","유지",IF($I3390="첫 건","유지","확인 필요")))</f>
        <v/>
      </c>
    </row>
    <row r="3391" customFormat="false" ht="15" hidden="false" customHeight="true" outlineLevel="0" collapsed="false">
      <c r="A3391" s="11" t="str">
        <f aca="false">IF(원본명단!$A3390="","",3388)</f>
        <v/>
      </c>
      <c r="B3391" s="12" t="str">
        <f aca="false">IF($A3391="","",원본명단!$A3390)</f>
        <v/>
      </c>
      <c r="C3391" s="12" t="str">
        <f aca="false">IF($A3391="","",원본명단!$B3390)</f>
        <v/>
      </c>
      <c r="D3391" s="12" t="str">
        <f aca="false">IF($A3391="","",원본명단!$D3390)</f>
        <v/>
      </c>
      <c r="E3391" s="11" t="str">
        <f aca="false">IF($A3391="","",IF(원본명단!$H3390="",0,COUNTIF(원본명단!$H$3:$H$6002,원본명단!$H3390)))</f>
        <v/>
      </c>
      <c r="F3391" s="11" t="str">
        <f aca="false">IF($A3391="","",IF(원본명단!$I3390="",0,COUNTIF(원본명단!$I$3:$I$6002,원본명단!$I3390)))</f>
        <v/>
      </c>
      <c r="G3391" s="11" t="str">
        <f aca="false">IF($A3391="","",IF(원본명단!$K3390="",0,COUNTIF(원본명단!$K$3:$K$6002,원본명단!$K3390)))</f>
        <v/>
      </c>
      <c r="H3391" s="11" t="str">
        <f aca="false">IF($A3391="","",IF(MAX($E3391,$F3391,$G3391)&gt;1,"중복","-"))</f>
        <v/>
      </c>
      <c r="I3391" s="11" t="str">
        <f aca="false">IF($A3391="","",IF($H3391="-","-",IF(AND(IF(원본명단!$H3390="",TRUE(),COUNTIF(원본명단!$H$3:$H3390,원본명단!$H3390)=1),IF(원본명단!$I3390="",TRUE(),COUNTIF(원본명단!$I$3:$I3390,원본명단!$I3390)=1),IF(원본명단!$K3390="",TRUE(),COUNTIF(원본명단!$K$3:$K3390,원본명단!$K3390)=1)),"첫 건","중복 건")))</f>
        <v/>
      </c>
      <c r="J3391" s="11" t="str">
        <f aca="false">IF($A3391="","",IF($H3391="-","유지",IF($I3391="첫 건","유지","확인 필요")))</f>
        <v/>
      </c>
    </row>
    <row r="3392" customFormat="false" ht="15" hidden="false" customHeight="true" outlineLevel="0" collapsed="false">
      <c r="A3392" s="11" t="str">
        <f aca="false">IF(원본명단!$A3391="","",3389)</f>
        <v/>
      </c>
      <c r="B3392" s="12" t="str">
        <f aca="false">IF($A3392="","",원본명단!$A3391)</f>
        <v/>
      </c>
      <c r="C3392" s="12" t="str">
        <f aca="false">IF($A3392="","",원본명단!$B3391)</f>
        <v/>
      </c>
      <c r="D3392" s="12" t="str">
        <f aca="false">IF($A3392="","",원본명단!$D3391)</f>
        <v/>
      </c>
      <c r="E3392" s="11" t="str">
        <f aca="false">IF($A3392="","",IF(원본명단!$H3391="",0,COUNTIF(원본명단!$H$3:$H$6002,원본명단!$H3391)))</f>
        <v/>
      </c>
      <c r="F3392" s="11" t="str">
        <f aca="false">IF($A3392="","",IF(원본명단!$I3391="",0,COUNTIF(원본명단!$I$3:$I$6002,원본명단!$I3391)))</f>
        <v/>
      </c>
      <c r="G3392" s="11" t="str">
        <f aca="false">IF($A3392="","",IF(원본명단!$K3391="",0,COUNTIF(원본명단!$K$3:$K$6002,원본명단!$K3391)))</f>
        <v/>
      </c>
      <c r="H3392" s="11" t="str">
        <f aca="false">IF($A3392="","",IF(MAX($E3392,$F3392,$G3392)&gt;1,"중복","-"))</f>
        <v/>
      </c>
      <c r="I3392" s="11" t="str">
        <f aca="false">IF($A3392="","",IF($H3392="-","-",IF(AND(IF(원본명단!$H3391="",TRUE(),COUNTIF(원본명단!$H$3:$H3391,원본명단!$H3391)=1),IF(원본명단!$I3391="",TRUE(),COUNTIF(원본명단!$I$3:$I3391,원본명단!$I3391)=1),IF(원본명단!$K3391="",TRUE(),COUNTIF(원본명단!$K$3:$K3391,원본명단!$K3391)=1)),"첫 건","중복 건")))</f>
        <v/>
      </c>
      <c r="J3392" s="11" t="str">
        <f aca="false">IF($A3392="","",IF($H3392="-","유지",IF($I3392="첫 건","유지","확인 필요")))</f>
        <v/>
      </c>
    </row>
    <row r="3393" customFormat="false" ht="15" hidden="false" customHeight="true" outlineLevel="0" collapsed="false">
      <c r="A3393" s="11" t="str">
        <f aca="false">IF(원본명단!$A3392="","",3390)</f>
        <v/>
      </c>
      <c r="B3393" s="12" t="str">
        <f aca="false">IF($A3393="","",원본명단!$A3392)</f>
        <v/>
      </c>
      <c r="C3393" s="12" t="str">
        <f aca="false">IF($A3393="","",원본명단!$B3392)</f>
        <v/>
      </c>
      <c r="D3393" s="12" t="str">
        <f aca="false">IF($A3393="","",원본명단!$D3392)</f>
        <v/>
      </c>
      <c r="E3393" s="11" t="str">
        <f aca="false">IF($A3393="","",IF(원본명단!$H3392="",0,COUNTIF(원본명단!$H$3:$H$6002,원본명단!$H3392)))</f>
        <v/>
      </c>
      <c r="F3393" s="11" t="str">
        <f aca="false">IF($A3393="","",IF(원본명단!$I3392="",0,COUNTIF(원본명단!$I$3:$I$6002,원본명단!$I3392)))</f>
        <v/>
      </c>
      <c r="G3393" s="11" t="str">
        <f aca="false">IF($A3393="","",IF(원본명단!$K3392="",0,COUNTIF(원본명단!$K$3:$K$6002,원본명단!$K3392)))</f>
        <v/>
      </c>
      <c r="H3393" s="11" t="str">
        <f aca="false">IF($A3393="","",IF(MAX($E3393,$F3393,$G3393)&gt;1,"중복","-"))</f>
        <v/>
      </c>
      <c r="I3393" s="11" t="str">
        <f aca="false">IF($A3393="","",IF($H3393="-","-",IF(AND(IF(원본명단!$H3392="",TRUE(),COUNTIF(원본명단!$H$3:$H3392,원본명단!$H3392)=1),IF(원본명단!$I3392="",TRUE(),COUNTIF(원본명단!$I$3:$I3392,원본명단!$I3392)=1),IF(원본명단!$K3392="",TRUE(),COUNTIF(원본명단!$K$3:$K3392,원본명단!$K3392)=1)),"첫 건","중복 건")))</f>
        <v/>
      </c>
      <c r="J3393" s="11" t="str">
        <f aca="false">IF($A3393="","",IF($H3393="-","유지",IF($I3393="첫 건","유지","확인 필요")))</f>
        <v/>
      </c>
    </row>
    <row r="3394" customFormat="false" ht="15" hidden="false" customHeight="true" outlineLevel="0" collapsed="false">
      <c r="A3394" s="11" t="str">
        <f aca="false">IF(원본명단!$A3393="","",3391)</f>
        <v/>
      </c>
      <c r="B3394" s="12" t="str">
        <f aca="false">IF($A3394="","",원본명단!$A3393)</f>
        <v/>
      </c>
      <c r="C3394" s="12" t="str">
        <f aca="false">IF($A3394="","",원본명단!$B3393)</f>
        <v/>
      </c>
      <c r="D3394" s="12" t="str">
        <f aca="false">IF($A3394="","",원본명단!$D3393)</f>
        <v/>
      </c>
      <c r="E3394" s="11" t="str">
        <f aca="false">IF($A3394="","",IF(원본명단!$H3393="",0,COUNTIF(원본명단!$H$3:$H$6002,원본명단!$H3393)))</f>
        <v/>
      </c>
      <c r="F3394" s="11" t="str">
        <f aca="false">IF($A3394="","",IF(원본명단!$I3393="",0,COUNTIF(원본명단!$I$3:$I$6002,원본명단!$I3393)))</f>
        <v/>
      </c>
      <c r="G3394" s="11" t="str">
        <f aca="false">IF($A3394="","",IF(원본명단!$K3393="",0,COUNTIF(원본명단!$K$3:$K$6002,원본명단!$K3393)))</f>
        <v/>
      </c>
      <c r="H3394" s="11" t="str">
        <f aca="false">IF($A3394="","",IF(MAX($E3394,$F3394,$G3394)&gt;1,"중복","-"))</f>
        <v/>
      </c>
      <c r="I3394" s="11" t="str">
        <f aca="false">IF($A3394="","",IF($H3394="-","-",IF(AND(IF(원본명단!$H3393="",TRUE(),COUNTIF(원본명단!$H$3:$H3393,원본명단!$H3393)=1),IF(원본명단!$I3393="",TRUE(),COUNTIF(원본명단!$I$3:$I3393,원본명단!$I3393)=1),IF(원본명단!$K3393="",TRUE(),COUNTIF(원본명단!$K$3:$K3393,원본명단!$K3393)=1)),"첫 건","중복 건")))</f>
        <v/>
      </c>
      <c r="J3394" s="11" t="str">
        <f aca="false">IF($A3394="","",IF($H3394="-","유지",IF($I3394="첫 건","유지","확인 필요")))</f>
        <v/>
      </c>
    </row>
    <row r="3395" customFormat="false" ht="15" hidden="false" customHeight="true" outlineLevel="0" collapsed="false">
      <c r="A3395" s="11" t="str">
        <f aca="false">IF(원본명단!$A3394="","",3392)</f>
        <v/>
      </c>
      <c r="B3395" s="12" t="str">
        <f aca="false">IF($A3395="","",원본명단!$A3394)</f>
        <v/>
      </c>
      <c r="C3395" s="12" t="str">
        <f aca="false">IF($A3395="","",원본명단!$B3394)</f>
        <v/>
      </c>
      <c r="D3395" s="12" t="str">
        <f aca="false">IF($A3395="","",원본명단!$D3394)</f>
        <v/>
      </c>
      <c r="E3395" s="11" t="str">
        <f aca="false">IF($A3395="","",IF(원본명단!$H3394="",0,COUNTIF(원본명단!$H$3:$H$6002,원본명단!$H3394)))</f>
        <v/>
      </c>
      <c r="F3395" s="11" t="str">
        <f aca="false">IF($A3395="","",IF(원본명단!$I3394="",0,COUNTIF(원본명단!$I$3:$I$6002,원본명단!$I3394)))</f>
        <v/>
      </c>
      <c r="G3395" s="11" t="str">
        <f aca="false">IF($A3395="","",IF(원본명단!$K3394="",0,COUNTIF(원본명단!$K$3:$K$6002,원본명단!$K3394)))</f>
        <v/>
      </c>
      <c r="H3395" s="11" t="str">
        <f aca="false">IF($A3395="","",IF(MAX($E3395,$F3395,$G3395)&gt;1,"중복","-"))</f>
        <v/>
      </c>
      <c r="I3395" s="11" t="str">
        <f aca="false">IF($A3395="","",IF($H3395="-","-",IF(AND(IF(원본명단!$H3394="",TRUE(),COUNTIF(원본명단!$H$3:$H3394,원본명단!$H3394)=1),IF(원본명단!$I3394="",TRUE(),COUNTIF(원본명단!$I$3:$I3394,원본명단!$I3394)=1),IF(원본명단!$K3394="",TRUE(),COUNTIF(원본명단!$K$3:$K3394,원본명단!$K3394)=1)),"첫 건","중복 건")))</f>
        <v/>
      </c>
      <c r="J3395" s="11" t="str">
        <f aca="false">IF($A3395="","",IF($H3395="-","유지",IF($I3395="첫 건","유지","확인 필요")))</f>
        <v/>
      </c>
    </row>
    <row r="3396" customFormat="false" ht="15" hidden="false" customHeight="true" outlineLevel="0" collapsed="false">
      <c r="A3396" s="11" t="str">
        <f aca="false">IF(원본명단!$A3395="","",3393)</f>
        <v/>
      </c>
      <c r="B3396" s="12" t="str">
        <f aca="false">IF($A3396="","",원본명단!$A3395)</f>
        <v/>
      </c>
      <c r="C3396" s="12" t="str">
        <f aca="false">IF($A3396="","",원본명단!$B3395)</f>
        <v/>
      </c>
      <c r="D3396" s="12" t="str">
        <f aca="false">IF($A3396="","",원본명단!$D3395)</f>
        <v/>
      </c>
      <c r="E3396" s="11" t="str">
        <f aca="false">IF($A3396="","",IF(원본명단!$H3395="",0,COUNTIF(원본명단!$H$3:$H$6002,원본명단!$H3395)))</f>
        <v/>
      </c>
      <c r="F3396" s="11" t="str">
        <f aca="false">IF($A3396="","",IF(원본명단!$I3395="",0,COUNTIF(원본명단!$I$3:$I$6002,원본명단!$I3395)))</f>
        <v/>
      </c>
      <c r="G3396" s="11" t="str">
        <f aca="false">IF($A3396="","",IF(원본명단!$K3395="",0,COUNTIF(원본명단!$K$3:$K$6002,원본명단!$K3395)))</f>
        <v/>
      </c>
      <c r="H3396" s="11" t="str">
        <f aca="false">IF($A3396="","",IF(MAX($E3396,$F3396,$G3396)&gt;1,"중복","-"))</f>
        <v/>
      </c>
      <c r="I3396" s="11" t="str">
        <f aca="false">IF($A3396="","",IF($H3396="-","-",IF(AND(IF(원본명단!$H3395="",TRUE(),COUNTIF(원본명단!$H$3:$H3395,원본명단!$H3395)=1),IF(원본명단!$I3395="",TRUE(),COUNTIF(원본명단!$I$3:$I3395,원본명단!$I3395)=1),IF(원본명단!$K3395="",TRUE(),COUNTIF(원본명단!$K$3:$K3395,원본명단!$K3395)=1)),"첫 건","중복 건")))</f>
        <v/>
      </c>
      <c r="J3396" s="11" t="str">
        <f aca="false">IF($A3396="","",IF($H3396="-","유지",IF($I3396="첫 건","유지","확인 필요")))</f>
        <v/>
      </c>
    </row>
    <row r="3397" customFormat="false" ht="15" hidden="false" customHeight="true" outlineLevel="0" collapsed="false">
      <c r="A3397" s="11" t="str">
        <f aca="false">IF(원본명단!$A3396="","",3394)</f>
        <v/>
      </c>
      <c r="B3397" s="12" t="str">
        <f aca="false">IF($A3397="","",원본명단!$A3396)</f>
        <v/>
      </c>
      <c r="C3397" s="12" t="str">
        <f aca="false">IF($A3397="","",원본명단!$B3396)</f>
        <v/>
      </c>
      <c r="D3397" s="12" t="str">
        <f aca="false">IF($A3397="","",원본명단!$D3396)</f>
        <v/>
      </c>
      <c r="E3397" s="11" t="str">
        <f aca="false">IF($A3397="","",IF(원본명단!$H3396="",0,COUNTIF(원본명단!$H$3:$H$6002,원본명단!$H3396)))</f>
        <v/>
      </c>
      <c r="F3397" s="11" t="str">
        <f aca="false">IF($A3397="","",IF(원본명단!$I3396="",0,COUNTIF(원본명단!$I$3:$I$6002,원본명단!$I3396)))</f>
        <v/>
      </c>
      <c r="G3397" s="11" t="str">
        <f aca="false">IF($A3397="","",IF(원본명단!$K3396="",0,COUNTIF(원본명단!$K$3:$K$6002,원본명단!$K3396)))</f>
        <v/>
      </c>
      <c r="H3397" s="11" t="str">
        <f aca="false">IF($A3397="","",IF(MAX($E3397,$F3397,$G3397)&gt;1,"중복","-"))</f>
        <v/>
      </c>
      <c r="I3397" s="11" t="str">
        <f aca="false">IF($A3397="","",IF($H3397="-","-",IF(AND(IF(원본명단!$H3396="",TRUE(),COUNTIF(원본명단!$H$3:$H3396,원본명단!$H3396)=1),IF(원본명단!$I3396="",TRUE(),COUNTIF(원본명단!$I$3:$I3396,원본명단!$I3396)=1),IF(원본명단!$K3396="",TRUE(),COUNTIF(원본명단!$K$3:$K3396,원본명단!$K3396)=1)),"첫 건","중복 건")))</f>
        <v/>
      </c>
      <c r="J3397" s="11" t="str">
        <f aca="false">IF($A3397="","",IF($H3397="-","유지",IF($I3397="첫 건","유지","확인 필요")))</f>
        <v/>
      </c>
    </row>
    <row r="3398" customFormat="false" ht="15" hidden="false" customHeight="true" outlineLevel="0" collapsed="false">
      <c r="A3398" s="11" t="str">
        <f aca="false">IF(원본명단!$A3397="","",3395)</f>
        <v/>
      </c>
      <c r="B3398" s="12" t="str">
        <f aca="false">IF($A3398="","",원본명단!$A3397)</f>
        <v/>
      </c>
      <c r="C3398" s="12" t="str">
        <f aca="false">IF($A3398="","",원본명단!$B3397)</f>
        <v/>
      </c>
      <c r="D3398" s="12" t="str">
        <f aca="false">IF($A3398="","",원본명단!$D3397)</f>
        <v/>
      </c>
      <c r="E3398" s="11" t="str">
        <f aca="false">IF($A3398="","",IF(원본명단!$H3397="",0,COUNTIF(원본명단!$H$3:$H$6002,원본명단!$H3397)))</f>
        <v/>
      </c>
      <c r="F3398" s="11" t="str">
        <f aca="false">IF($A3398="","",IF(원본명단!$I3397="",0,COUNTIF(원본명단!$I$3:$I$6002,원본명단!$I3397)))</f>
        <v/>
      </c>
      <c r="G3398" s="11" t="str">
        <f aca="false">IF($A3398="","",IF(원본명단!$K3397="",0,COUNTIF(원본명단!$K$3:$K$6002,원본명단!$K3397)))</f>
        <v/>
      </c>
      <c r="H3398" s="11" t="str">
        <f aca="false">IF($A3398="","",IF(MAX($E3398,$F3398,$G3398)&gt;1,"중복","-"))</f>
        <v/>
      </c>
      <c r="I3398" s="11" t="str">
        <f aca="false">IF($A3398="","",IF($H3398="-","-",IF(AND(IF(원본명단!$H3397="",TRUE(),COUNTIF(원본명단!$H$3:$H3397,원본명단!$H3397)=1),IF(원본명단!$I3397="",TRUE(),COUNTIF(원본명단!$I$3:$I3397,원본명단!$I3397)=1),IF(원본명단!$K3397="",TRUE(),COUNTIF(원본명단!$K$3:$K3397,원본명단!$K3397)=1)),"첫 건","중복 건")))</f>
        <v/>
      </c>
      <c r="J3398" s="11" t="str">
        <f aca="false">IF($A3398="","",IF($H3398="-","유지",IF($I3398="첫 건","유지","확인 필요")))</f>
        <v/>
      </c>
    </row>
    <row r="3399" customFormat="false" ht="15" hidden="false" customHeight="true" outlineLevel="0" collapsed="false">
      <c r="A3399" s="11" t="str">
        <f aca="false">IF(원본명단!$A3398="","",3396)</f>
        <v/>
      </c>
      <c r="B3399" s="12" t="str">
        <f aca="false">IF($A3399="","",원본명단!$A3398)</f>
        <v/>
      </c>
      <c r="C3399" s="12" t="str">
        <f aca="false">IF($A3399="","",원본명단!$B3398)</f>
        <v/>
      </c>
      <c r="D3399" s="12" t="str">
        <f aca="false">IF($A3399="","",원본명단!$D3398)</f>
        <v/>
      </c>
      <c r="E3399" s="11" t="str">
        <f aca="false">IF($A3399="","",IF(원본명단!$H3398="",0,COUNTIF(원본명단!$H$3:$H$6002,원본명단!$H3398)))</f>
        <v/>
      </c>
      <c r="F3399" s="11" t="str">
        <f aca="false">IF($A3399="","",IF(원본명단!$I3398="",0,COUNTIF(원본명단!$I$3:$I$6002,원본명단!$I3398)))</f>
        <v/>
      </c>
      <c r="G3399" s="11" t="str">
        <f aca="false">IF($A3399="","",IF(원본명단!$K3398="",0,COUNTIF(원본명단!$K$3:$K$6002,원본명단!$K3398)))</f>
        <v/>
      </c>
      <c r="H3399" s="11" t="str">
        <f aca="false">IF($A3399="","",IF(MAX($E3399,$F3399,$G3399)&gt;1,"중복","-"))</f>
        <v/>
      </c>
      <c r="I3399" s="11" t="str">
        <f aca="false">IF($A3399="","",IF($H3399="-","-",IF(AND(IF(원본명단!$H3398="",TRUE(),COUNTIF(원본명단!$H$3:$H3398,원본명단!$H3398)=1),IF(원본명단!$I3398="",TRUE(),COUNTIF(원본명단!$I$3:$I3398,원본명단!$I3398)=1),IF(원본명단!$K3398="",TRUE(),COUNTIF(원본명단!$K$3:$K3398,원본명단!$K3398)=1)),"첫 건","중복 건")))</f>
        <v/>
      </c>
      <c r="J3399" s="11" t="str">
        <f aca="false">IF($A3399="","",IF($H3399="-","유지",IF($I3399="첫 건","유지","확인 필요")))</f>
        <v/>
      </c>
    </row>
    <row r="3400" customFormat="false" ht="15" hidden="false" customHeight="true" outlineLevel="0" collapsed="false">
      <c r="A3400" s="11" t="str">
        <f aca="false">IF(원본명단!$A3399="","",3397)</f>
        <v/>
      </c>
      <c r="B3400" s="12" t="str">
        <f aca="false">IF($A3400="","",원본명단!$A3399)</f>
        <v/>
      </c>
      <c r="C3400" s="12" t="str">
        <f aca="false">IF($A3400="","",원본명단!$B3399)</f>
        <v/>
      </c>
      <c r="D3400" s="12" t="str">
        <f aca="false">IF($A3400="","",원본명단!$D3399)</f>
        <v/>
      </c>
      <c r="E3400" s="11" t="str">
        <f aca="false">IF($A3400="","",IF(원본명단!$H3399="",0,COUNTIF(원본명단!$H$3:$H$6002,원본명단!$H3399)))</f>
        <v/>
      </c>
      <c r="F3400" s="11" t="str">
        <f aca="false">IF($A3400="","",IF(원본명단!$I3399="",0,COUNTIF(원본명단!$I$3:$I$6002,원본명단!$I3399)))</f>
        <v/>
      </c>
      <c r="G3400" s="11" t="str">
        <f aca="false">IF($A3400="","",IF(원본명단!$K3399="",0,COUNTIF(원본명단!$K$3:$K$6002,원본명단!$K3399)))</f>
        <v/>
      </c>
      <c r="H3400" s="11" t="str">
        <f aca="false">IF($A3400="","",IF(MAX($E3400,$F3400,$G3400)&gt;1,"중복","-"))</f>
        <v/>
      </c>
      <c r="I3400" s="11" t="str">
        <f aca="false">IF($A3400="","",IF($H3400="-","-",IF(AND(IF(원본명단!$H3399="",TRUE(),COUNTIF(원본명단!$H$3:$H3399,원본명단!$H3399)=1),IF(원본명단!$I3399="",TRUE(),COUNTIF(원본명단!$I$3:$I3399,원본명단!$I3399)=1),IF(원본명단!$K3399="",TRUE(),COUNTIF(원본명단!$K$3:$K3399,원본명단!$K3399)=1)),"첫 건","중복 건")))</f>
        <v/>
      </c>
      <c r="J3400" s="11" t="str">
        <f aca="false">IF($A3400="","",IF($H3400="-","유지",IF($I3400="첫 건","유지","확인 필요")))</f>
        <v/>
      </c>
    </row>
    <row r="3401" customFormat="false" ht="15" hidden="false" customHeight="true" outlineLevel="0" collapsed="false">
      <c r="A3401" s="11" t="str">
        <f aca="false">IF(원본명단!$A3400="","",3398)</f>
        <v/>
      </c>
      <c r="B3401" s="12" t="str">
        <f aca="false">IF($A3401="","",원본명단!$A3400)</f>
        <v/>
      </c>
      <c r="C3401" s="12" t="str">
        <f aca="false">IF($A3401="","",원본명단!$B3400)</f>
        <v/>
      </c>
      <c r="D3401" s="12" t="str">
        <f aca="false">IF($A3401="","",원본명단!$D3400)</f>
        <v/>
      </c>
      <c r="E3401" s="11" t="str">
        <f aca="false">IF($A3401="","",IF(원본명단!$H3400="",0,COUNTIF(원본명단!$H$3:$H$6002,원본명단!$H3400)))</f>
        <v/>
      </c>
      <c r="F3401" s="11" t="str">
        <f aca="false">IF($A3401="","",IF(원본명단!$I3400="",0,COUNTIF(원본명단!$I$3:$I$6002,원본명단!$I3400)))</f>
        <v/>
      </c>
      <c r="G3401" s="11" t="str">
        <f aca="false">IF($A3401="","",IF(원본명단!$K3400="",0,COUNTIF(원본명단!$K$3:$K$6002,원본명단!$K3400)))</f>
        <v/>
      </c>
      <c r="H3401" s="11" t="str">
        <f aca="false">IF($A3401="","",IF(MAX($E3401,$F3401,$G3401)&gt;1,"중복","-"))</f>
        <v/>
      </c>
      <c r="I3401" s="11" t="str">
        <f aca="false">IF($A3401="","",IF($H3401="-","-",IF(AND(IF(원본명단!$H3400="",TRUE(),COUNTIF(원본명단!$H$3:$H3400,원본명단!$H3400)=1),IF(원본명단!$I3400="",TRUE(),COUNTIF(원본명단!$I$3:$I3400,원본명단!$I3400)=1),IF(원본명단!$K3400="",TRUE(),COUNTIF(원본명단!$K$3:$K3400,원본명단!$K3400)=1)),"첫 건","중복 건")))</f>
        <v/>
      </c>
      <c r="J3401" s="11" t="str">
        <f aca="false">IF($A3401="","",IF($H3401="-","유지",IF($I3401="첫 건","유지","확인 필요")))</f>
        <v/>
      </c>
    </row>
    <row r="3402" customFormat="false" ht="15" hidden="false" customHeight="true" outlineLevel="0" collapsed="false">
      <c r="A3402" s="11" t="str">
        <f aca="false">IF(원본명단!$A3401="","",3399)</f>
        <v/>
      </c>
      <c r="B3402" s="12" t="str">
        <f aca="false">IF($A3402="","",원본명단!$A3401)</f>
        <v/>
      </c>
      <c r="C3402" s="12" t="str">
        <f aca="false">IF($A3402="","",원본명단!$B3401)</f>
        <v/>
      </c>
      <c r="D3402" s="12" t="str">
        <f aca="false">IF($A3402="","",원본명단!$D3401)</f>
        <v/>
      </c>
      <c r="E3402" s="11" t="str">
        <f aca="false">IF($A3402="","",IF(원본명단!$H3401="",0,COUNTIF(원본명단!$H$3:$H$6002,원본명단!$H3401)))</f>
        <v/>
      </c>
      <c r="F3402" s="11" t="str">
        <f aca="false">IF($A3402="","",IF(원본명단!$I3401="",0,COUNTIF(원본명단!$I$3:$I$6002,원본명단!$I3401)))</f>
        <v/>
      </c>
      <c r="G3402" s="11" t="str">
        <f aca="false">IF($A3402="","",IF(원본명단!$K3401="",0,COUNTIF(원본명단!$K$3:$K$6002,원본명단!$K3401)))</f>
        <v/>
      </c>
      <c r="H3402" s="11" t="str">
        <f aca="false">IF($A3402="","",IF(MAX($E3402,$F3402,$G3402)&gt;1,"중복","-"))</f>
        <v/>
      </c>
      <c r="I3402" s="11" t="str">
        <f aca="false">IF($A3402="","",IF($H3402="-","-",IF(AND(IF(원본명단!$H3401="",TRUE(),COUNTIF(원본명단!$H$3:$H3401,원본명단!$H3401)=1),IF(원본명단!$I3401="",TRUE(),COUNTIF(원본명단!$I$3:$I3401,원본명단!$I3401)=1),IF(원본명단!$K3401="",TRUE(),COUNTIF(원본명단!$K$3:$K3401,원본명단!$K3401)=1)),"첫 건","중복 건")))</f>
        <v/>
      </c>
      <c r="J3402" s="11" t="str">
        <f aca="false">IF($A3402="","",IF($H3402="-","유지",IF($I3402="첫 건","유지","확인 필요")))</f>
        <v/>
      </c>
    </row>
    <row r="3403" customFormat="false" ht="15" hidden="false" customHeight="true" outlineLevel="0" collapsed="false">
      <c r="A3403" s="11" t="str">
        <f aca="false">IF(원본명단!$A3402="","",3400)</f>
        <v/>
      </c>
      <c r="B3403" s="12" t="str">
        <f aca="false">IF($A3403="","",원본명단!$A3402)</f>
        <v/>
      </c>
      <c r="C3403" s="12" t="str">
        <f aca="false">IF($A3403="","",원본명단!$B3402)</f>
        <v/>
      </c>
      <c r="D3403" s="12" t="str">
        <f aca="false">IF($A3403="","",원본명단!$D3402)</f>
        <v/>
      </c>
      <c r="E3403" s="11" t="str">
        <f aca="false">IF($A3403="","",IF(원본명단!$H3402="",0,COUNTIF(원본명단!$H$3:$H$6002,원본명단!$H3402)))</f>
        <v/>
      </c>
      <c r="F3403" s="11" t="str">
        <f aca="false">IF($A3403="","",IF(원본명단!$I3402="",0,COUNTIF(원본명단!$I$3:$I$6002,원본명단!$I3402)))</f>
        <v/>
      </c>
      <c r="G3403" s="11" t="str">
        <f aca="false">IF($A3403="","",IF(원본명단!$K3402="",0,COUNTIF(원본명단!$K$3:$K$6002,원본명단!$K3402)))</f>
        <v/>
      </c>
      <c r="H3403" s="11" t="str">
        <f aca="false">IF($A3403="","",IF(MAX($E3403,$F3403,$G3403)&gt;1,"중복","-"))</f>
        <v/>
      </c>
      <c r="I3403" s="11" t="str">
        <f aca="false">IF($A3403="","",IF($H3403="-","-",IF(AND(IF(원본명단!$H3402="",TRUE(),COUNTIF(원본명단!$H$3:$H3402,원본명단!$H3402)=1),IF(원본명단!$I3402="",TRUE(),COUNTIF(원본명단!$I$3:$I3402,원본명단!$I3402)=1),IF(원본명단!$K3402="",TRUE(),COUNTIF(원본명단!$K$3:$K3402,원본명단!$K3402)=1)),"첫 건","중복 건")))</f>
        <v/>
      </c>
      <c r="J3403" s="11" t="str">
        <f aca="false">IF($A3403="","",IF($H3403="-","유지",IF($I3403="첫 건","유지","확인 필요")))</f>
        <v/>
      </c>
    </row>
    <row r="3404" customFormat="false" ht="15" hidden="false" customHeight="true" outlineLevel="0" collapsed="false">
      <c r="A3404" s="11" t="str">
        <f aca="false">IF(원본명단!$A3403="","",3401)</f>
        <v/>
      </c>
      <c r="B3404" s="12" t="str">
        <f aca="false">IF($A3404="","",원본명단!$A3403)</f>
        <v/>
      </c>
      <c r="C3404" s="12" t="str">
        <f aca="false">IF($A3404="","",원본명단!$B3403)</f>
        <v/>
      </c>
      <c r="D3404" s="12" t="str">
        <f aca="false">IF($A3404="","",원본명단!$D3403)</f>
        <v/>
      </c>
      <c r="E3404" s="11" t="str">
        <f aca="false">IF($A3404="","",IF(원본명단!$H3403="",0,COUNTIF(원본명단!$H$3:$H$6002,원본명단!$H3403)))</f>
        <v/>
      </c>
      <c r="F3404" s="11" t="str">
        <f aca="false">IF($A3404="","",IF(원본명단!$I3403="",0,COUNTIF(원본명단!$I$3:$I$6002,원본명단!$I3403)))</f>
        <v/>
      </c>
      <c r="G3404" s="11" t="str">
        <f aca="false">IF($A3404="","",IF(원본명단!$K3403="",0,COUNTIF(원본명단!$K$3:$K$6002,원본명단!$K3403)))</f>
        <v/>
      </c>
      <c r="H3404" s="11" t="str">
        <f aca="false">IF($A3404="","",IF(MAX($E3404,$F3404,$G3404)&gt;1,"중복","-"))</f>
        <v/>
      </c>
      <c r="I3404" s="11" t="str">
        <f aca="false">IF($A3404="","",IF($H3404="-","-",IF(AND(IF(원본명단!$H3403="",TRUE(),COUNTIF(원본명단!$H$3:$H3403,원본명단!$H3403)=1),IF(원본명단!$I3403="",TRUE(),COUNTIF(원본명단!$I$3:$I3403,원본명단!$I3403)=1),IF(원본명단!$K3403="",TRUE(),COUNTIF(원본명단!$K$3:$K3403,원본명단!$K3403)=1)),"첫 건","중복 건")))</f>
        <v/>
      </c>
      <c r="J3404" s="11" t="str">
        <f aca="false">IF($A3404="","",IF($H3404="-","유지",IF($I3404="첫 건","유지","확인 필요")))</f>
        <v/>
      </c>
    </row>
    <row r="3405" customFormat="false" ht="15" hidden="false" customHeight="true" outlineLevel="0" collapsed="false">
      <c r="A3405" s="11" t="str">
        <f aca="false">IF(원본명단!$A3404="","",3402)</f>
        <v/>
      </c>
      <c r="B3405" s="12" t="str">
        <f aca="false">IF($A3405="","",원본명단!$A3404)</f>
        <v/>
      </c>
      <c r="C3405" s="12" t="str">
        <f aca="false">IF($A3405="","",원본명단!$B3404)</f>
        <v/>
      </c>
      <c r="D3405" s="12" t="str">
        <f aca="false">IF($A3405="","",원본명단!$D3404)</f>
        <v/>
      </c>
      <c r="E3405" s="11" t="str">
        <f aca="false">IF($A3405="","",IF(원본명단!$H3404="",0,COUNTIF(원본명단!$H$3:$H$6002,원본명단!$H3404)))</f>
        <v/>
      </c>
      <c r="F3405" s="11" t="str">
        <f aca="false">IF($A3405="","",IF(원본명단!$I3404="",0,COUNTIF(원본명단!$I$3:$I$6002,원본명단!$I3404)))</f>
        <v/>
      </c>
      <c r="G3405" s="11" t="str">
        <f aca="false">IF($A3405="","",IF(원본명단!$K3404="",0,COUNTIF(원본명단!$K$3:$K$6002,원본명단!$K3404)))</f>
        <v/>
      </c>
      <c r="H3405" s="11" t="str">
        <f aca="false">IF($A3405="","",IF(MAX($E3405,$F3405,$G3405)&gt;1,"중복","-"))</f>
        <v/>
      </c>
      <c r="I3405" s="11" t="str">
        <f aca="false">IF($A3405="","",IF($H3405="-","-",IF(AND(IF(원본명단!$H3404="",TRUE(),COUNTIF(원본명단!$H$3:$H3404,원본명단!$H3404)=1),IF(원본명단!$I3404="",TRUE(),COUNTIF(원본명단!$I$3:$I3404,원본명단!$I3404)=1),IF(원본명단!$K3404="",TRUE(),COUNTIF(원본명단!$K$3:$K3404,원본명단!$K3404)=1)),"첫 건","중복 건")))</f>
        <v/>
      </c>
      <c r="J3405" s="11" t="str">
        <f aca="false">IF($A3405="","",IF($H3405="-","유지",IF($I3405="첫 건","유지","확인 필요")))</f>
        <v/>
      </c>
    </row>
    <row r="3406" customFormat="false" ht="15" hidden="false" customHeight="true" outlineLevel="0" collapsed="false">
      <c r="A3406" s="11" t="str">
        <f aca="false">IF(원본명단!$A3405="","",3403)</f>
        <v/>
      </c>
      <c r="B3406" s="12" t="str">
        <f aca="false">IF($A3406="","",원본명단!$A3405)</f>
        <v/>
      </c>
      <c r="C3406" s="12" t="str">
        <f aca="false">IF($A3406="","",원본명단!$B3405)</f>
        <v/>
      </c>
      <c r="D3406" s="12" t="str">
        <f aca="false">IF($A3406="","",원본명단!$D3405)</f>
        <v/>
      </c>
      <c r="E3406" s="11" t="str">
        <f aca="false">IF($A3406="","",IF(원본명단!$H3405="",0,COUNTIF(원본명단!$H$3:$H$6002,원본명단!$H3405)))</f>
        <v/>
      </c>
      <c r="F3406" s="11" t="str">
        <f aca="false">IF($A3406="","",IF(원본명단!$I3405="",0,COUNTIF(원본명단!$I$3:$I$6002,원본명단!$I3405)))</f>
        <v/>
      </c>
      <c r="G3406" s="11" t="str">
        <f aca="false">IF($A3406="","",IF(원본명단!$K3405="",0,COUNTIF(원본명단!$K$3:$K$6002,원본명단!$K3405)))</f>
        <v/>
      </c>
      <c r="H3406" s="11" t="str">
        <f aca="false">IF($A3406="","",IF(MAX($E3406,$F3406,$G3406)&gt;1,"중복","-"))</f>
        <v/>
      </c>
      <c r="I3406" s="11" t="str">
        <f aca="false">IF($A3406="","",IF($H3406="-","-",IF(AND(IF(원본명단!$H3405="",TRUE(),COUNTIF(원본명단!$H$3:$H3405,원본명단!$H3405)=1),IF(원본명단!$I3405="",TRUE(),COUNTIF(원본명단!$I$3:$I3405,원본명단!$I3405)=1),IF(원본명단!$K3405="",TRUE(),COUNTIF(원본명단!$K$3:$K3405,원본명단!$K3405)=1)),"첫 건","중복 건")))</f>
        <v/>
      </c>
      <c r="J3406" s="11" t="str">
        <f aca="false">IF($A3406="","",IF($H3406="-","유지",IF($I3406="첫 건","유지","확인 필요")))</f>
        <v/>
      </c>
    </row>
    <row r="3407" customFormat="false" ht="15" hidden="false" customHeight="true" outlineLevel="0" collapsed="false">
      <c r="A3407" s="11" t="str">
        <f aca="false">IF(원본명단!$A3406="","",3404)</f>
        <v/>
      </c>
      <c r="B3407" s="12" t="str">
        <f aca="false">IF($A3407="","",원본명단!$A3406)</f>
        <v/>
      </c>
      <c r="C3407" s="12" t="str">
        <f aca="false">IF($A3407="","",원본명단!$B3406)</f>
        <v/>
      </c>
      <c r="D3407" s="12" t="str">
        <f aca="false">IF($A3407="","",원본명단!$D3406)</f>
        <v/>
      </c>
      <c r="E3407" s="11" t="str">
        <f aca="false">IF($A3407="","",IF(원본명단!$H3406="",0,COUNTIF(원본명단!$H$3:$H$6002,원본명단!$H3406)))</f>
        <v/>
      </c>
      <c r="F3407" s="11" t="str">
        <f aca="false">IF($A3407="","",IF(원본명단!$I3406="",0,COUNTIF(원본명단!$I$3:$I$6002,원본명단!$I3406)))</f>
        <v/>
      </c>
      <c r="G3407" s="11" t="str">
        <f aca="false">IF($A3407="","",IF(원본명단!$K3406="",0,COUNTIF(원본명단!$K$3:$K$6002,원본명단!$K3406)))</f>
        <v/>
      </c>
      <c r="H3407" s="11" t="str">
        <f aca="false">IF($A3407="","",IF(MAX($E3407,$F3407,$G3407)&gt;1,"중복","-"))</f>
        <v/>
      </c>
      <c r="I3407" s="11" t="str">
        <f aca="false">IF($A3407="","",IF($H3407="-","-",IF(AND(IF(원본명단!$H3406="",TRUE(),COUNTIF(원본명단!$H$3:$H3406,원본명단!$H3406)=1),IF(원본명단!$I3406="",TRUE(),COUNTIF(원본명단!$I$3:$I3406,원본명단!$I3406)=1),IF(원본명단!$K3406="",TRUE(),COUNTIF(원본명단!$K$3:$K3406,원본명단!$K3406)=1)),"첫 건","중복 건")))</f>
        <v/>
      </c>
      <c r="J3407" s="11" t="str">
        <f aca="false">IF($A3407="","",IF($H3407="-","유지",IF($I3407="첫 건","유지","확인 필요")))</f>
        <v/>
      </c>
    </row>
    <row r="3408" customFormat="false" ht="15" hidden="false" customHeight="true" outlineLevel="0" collapsed="false">
      <c r="A3408" s="11" t="str">
        <f aca="false">IF(원본명단!$A3407="","",3405)</f>
        <v/>
      </c>
      <c r="B3408" s="12" t="str">
        <f aca="false">IF($A3408="","",원본명단!$A3407)</f>
        <v/>
      </c>
      <c r="C3408" s="12" t="str">
        <f aca="false">IF($A3408="","",원본명단!$B3407)</f>
        <v/>
      </c>
      <c r="D3408" s="12" t="str">
        <f aca="false">IF($A3408="","",원본명단!$D3407)</f>
        <v/>
      </c>
      <c r="E3408" s="11" t="str">
        <f aca="false">IF($A3408="","",IF(원본명단!$H3407="",0,COUNTIF(원본명단!$H$3:$H$6002,원본명단!$H3407)))</f>
        <v/>
      </c>
      <c r="F3408" s="11" t="str">
        <f aca="false">IF($A3408="","",IF(원본명단!$I3407="",0,COUNTIF(원본명단!$I$3:$I$6002,원본명단!$I3407)))</f>
        <v/>
      </c>
      <c r="G3408" s="11" t="str">
        <f aca="false">IF($A3408="","",IF(원본명단!$K3407="",0,COUNTIF(원본명단!$K$3:$K$6002,원본명단!$K3407)))</f>
        <v/>
      </c>
      <c r="H3408" s="11" t="str">
        <f aca="false">IF($A3408="","",IF(MAX($E3408,$F3408,$G3408)&gt;1,"중복","-"))</f>
        <v/>
      </c>
      <c r="I3408" s="11" t="str">
        <f aca="false">IF($A3408="","",IF($H3408="-","-",IF(AND(IF(원본명단!$H3407="",TRUE(),COUNTIF(원본명단!$H$3:$H3407,원본명단!$H3407)=1),IF(원본명단!$I3407="",TRUE(),COUNTIF(원본명단!$I$3:$I3407,원본명단!$I3407)=1),IF(원본명단!$K3407="",TRUE(),COUNTIF(원본명단!$K$3:$K3407,원본명단!$K3407)=1)),"첫 건","중복 건")))</f>
        <v/>
      </c>
      <c r="J3408" s="11" t="str">
        <f aca="false">IF($A3408="","",IF($H3408="-","유지",IF($I3408="첫 건","유지","확인 필요")))</f>
        <v/>
      </c>
    </row>
    <row r="3409" customFormat="false" ht="15" hidden="false" customHeight="true" outlineLevel="0" collapsed="false">
      <c r="A3409" s="11" t="str">
        <f aca="false">IF(원본명단!$A3408="","",3406)</f>
        <v/>
      </c>
      <c r="B3409" s="12" t="str">
        <f aca="false">IF($A3409="","",원본명단!$A3408)</f>
        <v/>
      </c>
      <c r="C3409" s="12" t="str">
        <f aca="false">IF($A3409="","",원본명단!$B3408)</f>
        <v/>
      </c>
      <c r="D3409" s="12" t="str">
        <f aca="false">IF($A3409="","",원본명단!$D3408)</f>
        <v/>
      </c>
      <c r="E3409" s="11" t="str">
        <f aca="false">IF($A3409="","",IF(원본명단!$H3408="",0,COUNTIF(원본명단!$H$3:$H$6002,원본명단!$H3408)))</f>
        <v/>
      </c>
      <c r="F3409" s="11" t="str">
        <f aca="false">IF($A3409="","",IF(원본명단!$I3408="",0,COUNTIF(원본명단!$I$3:$I$6002,원본명단!$I3408)))</f>
        <v/>
      </c>
      <c r="G3409" s="11" t="str">
        <f aca="false">IF($A3409="","",IF(원본명단!$K3408="",0,COUNTIF(원본명단!$K$3:$K$6002,원본명단!$K3408)))</f>
        <v/>
      </c>
      <c r="H3409" s="11" t="str">
        <f aca="false">IF($A3409="","",IF(MAX($E3409,$F3409,$G3409)&gt;1,"중복","-"))</f>
        <v/>
      </c>
      <c r="I3409" s="11" t="str">
        <f aca="false">IF($A3409="","",IF($H3409="-","-",IF(AND(IF(원본명단!$H3408="",TRUE(),COUNTIF(원본명단!$H$3:$H3408,원본명단!$H3408)=1),IF(원본명단!$I3408="",TRUE(),COUNTIF(원본명단!$I$3:$I3408,원본명단!$I3408)=1),IF(원본명단!$K3408="",TRUE(),COUNTIF(원본명단!$K$3:$K3408,원본명단!$K3408)=1)),"첫 건","중복 건")))</f>
        <v/>
      </c>
      <c r="J3409" s="11" t="str">
        <f aca="false">IF($A3409="","",IF($H3409="-","유지",IF($I3409="첫 건","유지","확인 필요")))</f>
        <v/>
      </c>
    </row>
    <row r="3410" customFormat="false" ht="15" hidden="false" customHeight="true" outlineLevel="0" collapsed="false">
      <c r="A3410" s="11" t="str">
        <f aca="false">IF(원본명단!$A3409="","",3407)</f>
        <v/>
      </c>
      <c r="B3410" s="12" t="str">
        <f aca="false">IF($A3410="","",원본명단!$A3409)</f>
        <v/>
      </c>
      <c r="C3410" s="12" t="str">
        <f aca="false">IF($A3410="","",원본명단!$B3409)</f>
        <v/>
      </c>
      <c r="D3410" s="12" t="str">
        <f aca="false">IF($A3410="","",원본명단!$D3409)</f>
        <v/>
      </c>
      <c r="E3410" s="11" t="str">
        <f aca="false">IF($A3410="","",IF(원본명단!$H3409="",0,COUNTIF(원본명단!$H$3:$H$6002,원본명단!$H3409)))</f>
        <v/>
      </c>
      <c r="F3410" s="11" t="str">
        <f aca="false">IF($A3410="","",IF(원본명단!$I3409="",0,COUNTIF(원본명단!$I$3:$I$6002,원본명단!$I3409)))</f>
        <v/>
      </c>
      <c r="G3410" s="11" t="str">
        <f aca="false">IF($A3410="","",IF(원본명단!$K3409="",0,COUNTIF(원본명단!$K$3:$K$6002,원본명단!$K3409)))</f>
        <v/>
      </c>
      <c r="H3410" s="11" t="str">
        <f aca="false">IF($A3410="","",IF(MAX($E3410,$F3410,$G3410)&gt;1,"중복","-"))</f>
        <v/>
      </c>
      <c r="I3410" s="11" t="str">
        <f aca="false">IF($A3410="","",IF($H3410="-","-",IF(AND(IF(원본명단!$H3409="",TRUE(),COUNTIF(원본명단!$H$3:$H3409,원본명단!$H3409)=1),IF(원본명단!$I3409="",TRUE(),COUNTIF(원본명단!$I$3:$I3409,원본명단!$I3409)=1),IF(원본명단!$K3409="",TRUE(),COUNTIF(원본명단!$K$3:$K3409,원본명단!$K3409)=1)),"첫 건","중복 건")))</f>
        <v/>
      </c>
      <c r="J3410" s="11" t="str">
        <f aca="false">IF($A3410="","",IF($H3410="-","유지",IF($I3410="첫 건","유지","확인 필요")))</f>
        <v/>
      </c>
    </row>
    <row r="3411" customFormat="false" ht="15" hidden="false" customHeight="true" outlineLevel="0" collapsed="false">
      <c r="A3411" s="11" t="str">
        <f aca="false">IF(원본명단!$A3410="","",3408)</f>
        <v/>
      </c>
      <c r="B3411" s="12" t="str">
        <f aca="false">IF($A3411="","",원본명단!$A3410)</f>
        <v/>
      </c>
      <c r="C3411" s="12" t="str">
        <f aca="false">IF($A3411="","",원본명단!$B3410)</f>
        <v/>
      </c>
      <c r="D3411" s="12" t="str">
        <f aca="false">IF($A3411="","",원본명단!$D3410)</f>
        <v/>
      </c>
      <c r="E3411" s="11" t="str">
        <f aca="false">IF($A3411="","",IF(원본명단!$H3410="",0,COUNTIF(원본명단!$H$3:$H$6002,원본명단!$H3410)))</f>
        <v/>
      </c>
      <c r="F3411" s="11" t="str">
        <f aca="false">IF($A3411="","",IF(원본명단!$I3410="",0,COUNTIF(원본명단!$I$3:$I$6002,원본명단!$I3410)))</f>
        <v/>
      </c>
      <c r="G3411" s="11" t="str">
        <f aca="false">IF($A3411="","",IF(원본명단!$K3410="",0,COUNTIF(원본명단!$K$3:$K$6002,원본명단!$K3410)))</f>
        <v/>
      </c>
      <c r="H3411" s="11" t="str">
        <f aca="false">IF($A3411="","",IF(MAX($E3411,$F3411,$G3411)&gt;1,"중복","-"))</f>
        <v/>
      </c>
      <c r="I3411" s="11" t="str">
        <f aca="false">IF($A3411="","",IF($H3411="-","-",IF(AND(IF(원본명단!$H3410="",TRUE(),COUNTIF(원본명단!$H$3:$H3410,원본명단!$H3410)=1),IF(원본명단!$I3410="",TRUE(),COUNTIF(원본명단!$I$3:$I3410,원본명단!$I3410)=1),IF(원본명단!$K3410="",TRUE(),COUNTIF(원본명단!$K$3:$K3410,원본명단!$K3410)=1)),"첫 건","중복 건")))</f>
        <v/>
      </c>
      <c r="J3411" s="11" t="str">
        <f aca="false">IF($A3411="","",IF($H3411="-","유지",IF($I3411="첫 건","유지","확인 필요")))</f>
        <v/>
      </c>
    </row>
    <row r="3412" customFormat="false" ht="15" hidden="false" customHeight="true" outlineLevel="0" collapsed="false">
      <c r="A3412" s="11" t="str">
        <f aca="false">IF(원본명단!$A3411="","",3409)</f>
        <v/>
      </c>
      <c r="B3412" s="12" t="str">
        <f aca="false">IF($A3412="","",원본명단!$A3411)</f>
        <v/>
      </c>
      <c r="C3412" s="12" t="str">
        <f aca="false">IF($A3412="","",원본명단!$B3411)</f>
        <v/>
      </c>
      <c r="D3412" s="12" t="str">
        <f aca="false">IF($A3412="","",원본명단!$D3411)</f>
        <v/>
      </c>
      <c r="E3412" s="11" t="str">
        <f aca="false">IF($A3412="","",IF(원본명단!$H3411="",0,COUNTIF(원본명단!$H$3:$H$6002,원본명단!$H3411)))</f>
        <v/>
      </c>
      <c r="F3412" s="11" t="str">
        <f aca="false">IF($A3412="","",IF(원본명단!$I3411="",0,COUNTIF(원본명단!$I$3:$I$6002,원본명단!$I3411)))</f>
        <v/>
      </c>
      <c r="G3412" s="11" t="str">
        <f aca="false">IF($A3412="","",IF(원본명단!$K3411="",0,COUNTIF(원본명단!$K$3:$K$6002,원본명단!$K3411)))</f>
        <v/>
      </c>
      <c r="H3412" s="11" t="str">
        <f aca="false">IF($A3412="","",IF(MAX($E3412,$F3412,$G3412)&gt;1,"중복","-"))</f>
        <v/>
      </c>
      <c r="I3412" s="11" t="str">
        <f aca="false">IF($A3412="","",IF($H3412="-","-",IF(AND(IF(원본명단!$H3411="",TRUE(),COUNTIF(원본명단!$H$3:$H3411,원본명단!$H3411)=1),IF(원본명단!$I3411="",TRUE(),COUNTIF(원본명단!$I$3:$I3411,원본명단!$I3411)=1),IF(원본명단!$K3411="",TRUE(),COUNTIF(원본명단!$K$3:$K3411,원본명단!$K3411)=1)),"첫 건","중복 건")))</f>
        <v/>
      </c>
      <c r="J3412" s="11" t="str">
        <f aca="false">IF($A3412="","",IF($H3412="-","유지",IF($I3412="첫 건","유지","확인 필요")))</f>
        <v/>
      </c>
    </row>
    <row r="3413" customFormat="false" ht="15" hidden="false" customHeight="true" outlineLevel="0" collapsed="false">
      <c r="A3413" s="11" t="str">
        <f aca="false">IF(원본명단!$A3412="","",3410)</f>
        <v/>
      </c>
      <c r="B3413" s="12" t="str">
        <f aca="false">IF($A3413="","",원본명단!$A3412)</f>
        <v/>
      </c>
      <c r="C3413" s="12" t="str">
        <f aca="false">IF($A3413="","",원본명단!$B3412)</f>
        <v/>
      </c>
      <c r="D3413" s="12" t="str">
        <f aca="false">IF($A3413="","",원본명단!$D3412)</f>
        <v/>
      </c>
      <c r="E3413" s="11" t="str">
        <f aca="false">IF($A3413="","",IF(원본명단!$H3412="",0,COUNTIF(원본명단!$H$3:$H$6002,원본명단!$H3412)))</f>
        <v/>
      </c>
      <c r="F3413" s="11" t="str">
        <f aca="false">IF($A3413="","",IF(원본명단!$I3412="",0,COUNTIF(원본명단!$I$3:$I$6002,원본명단!$I3412)))</f>
        <v/>
      </c>
      <c r="G3413" s="11" t="str">
        <f aca="false">IF($A3413="","",IF(원본명단!$K3412="",0,COUNTIF(원본명단!$K$3:$K$6002,원본명단!$K3412)))</f>
        <v/>
      </c>
      <c r="H3413" s="11" t="str">
        <f aca="false">IF($A3413="","",IF(MAX($E3413,$F3413,$G3413)&gt;1,"중복","-"))</f>
        <v/>
      </c>
      <c r="I3413" s="11" t="str">
        <f aca="false">IF($A3413="","",IF($H3413="-","-",IF(AND(IF(원본명단!$H3412="",TRUE(),COUNTIF(원본명단!$H$3:$H3412,원본명단!$H3412)=1),IF(원본명단!$I3412="",TRUE(),COUNTIF(원본명단!$I$3:$I3412,원본명단!$I3412)=1),IF(원본명단!$K3412="",TRUE(),COUNTIF(원본명단!$K$3:$K3412,원본명단!$K3412)=1)),"첫 건","중복 건")))</f>
        <v/>
      </c>
      <c r="J3413" s="11" t="str">
        <f aca="false">IF($A3413="","",IF($H3413="-","유지",IF($I3413="첫 건","유지","확인 필요")))</f>
        <v/>
      </c>
    </row>
    <row r="3414" customFormat="false" ht="15" hidden="false" customHeight="true" outlineLevel="0" collapsed="false">
      <c r="A3414" s="11" t="str">
        <f aca="false">IF(원본명단!$A3413="","",3411)</f>
        <v/>
      </c>
      <c r="B3414" s="12" t="str">
        <f aca="false">IF($A3414="","",원본명단!$A3413)</f>
        <v/>
      </c>
      <c r="C3414" s="12" t="str">
        <f aca="false">IF($A3414="","",원본명단!$B3413)</f>
        <v/>
      </c>
      <c r="D3414" s="12" t="str">
        <f aca="false">IF($A3414="","",원본명단!$D3413)</f>
        <v/>
      </c>
      <c r="E3414" s="11" t="str">
        <f aca="false">IF($A3414="","",IF(원본명단!$H3413="",0,COUNTIF(원본명단!$H$3:$H$6002,원본명단!$H3413)))</f>
        <v/>
      </c>
      <c r="F3414" s="11" t="str">
        <f aca="false">IF($A3414="","",IF(원본명단!$I3413="",0,COUNTIF(원본명단!$I$3:$I$6002,원본명단!$I3413)))</f>
        <v/>
      </c>
      <c r="G3414" s="11" t="str">
        <f aca="false">IF($A3414="","",IF(원본명단!$K3413="",0,COUNTIF(원본명단!$K$3:$K$6002,원본명단!$K3413)))</f>
        <v/>
      </c>
      <c r="H3414" s="11" t="str">
        <f aca="false">IF($A3414="","",IF(MAX($E3414,$F3414,$G3414)&gt;1,"중복","-"))</f>
        <v/>
      </c>
      <c r="I3414" s="11" t="str">
        <f aca="false">IF($A3414="","",IF($H3414="-","-",IF(AND(IF(원본명단!$H3413="",TRUE(),COUNTIF(원본명단!$H$3:$H3413,원본명단!$H3413)=1),IF(원본명단!$I3413="",TRUE(),COUNTIF(원본명단!$I$3:$I3413,원본명단!$I3413)=1),IF(원본명단!$K3413="",TRUE(),COUNTIF(원본명단!$K$3:$K3413,원본명단!$K3413)=1)),"첫 건","중복 건")))</f>
        <v/>
      </c>
      <c r="J3414" s="11" t="str">
        <f aca="false">IF($A3414="","",IF($H3414="-","유지",IF($I3414="첫 건","유지","확인 필요")))</f>
        <v/>
      </c>
    </row>
    <row r="3415" customFormat="false" ht="15" hidden="false" customHeight="true" outlineLevel="0" collapsed="false">
      <c r="A3415" s="11" t="str">
        <f aca="false">IF(원본명단!$A3414="","",3412)</f>
        <v/>
      </c>
      <c r="B3415" s="12" t="str">
        <f aca="false">IF($A3415="","",원본명단!$A3414)</f>
        <v/>
      </c>
      <c r="C3415" s="12" t="str">
        <f aca="false">IF($A3415="","",원본명단!$B3414)</f>
        <v/>
      </c>
      <c r="D3415" s="12" t="str">
        <f aca="false">IF($A3415="","",원본명단!$D3414)</f>
        <v/>
      </c>
      <c r="E3415" s="11" t="str">
        <f aca="false">IF($A3415="","",IF(원본명단!$H3414="",0,COUNTIF(원본명단!$H$3:$H$6002,원본명단!$H3414)))</f>
        <v/>
      </c>
      <c r="F3415" s="11" t="str">
        <f aca="false">IF($A3415="","",IF(원본명단!$I3414="",0,COUNTIF(원본명단!$I$3:$I$6002,원본명단!$I3414)))</f>
        <v/>
      </c>
      <c r="G3415" s="11" t="str">
        <f aca="false">IF($A3415="","",IF(원본명단!$K3414="",0,COUNTIF(원본명단!$K$3:$K$6002,원본명단!$K3414)))</f>
        <v/>
      </c>
      <c r="H3415" s="11" t="str">
        <f aca="false">IF($A3415="","",IF(MAX($E3415,$F3415,$G3415)&gt;1,"중복","-"))</f>
        <v/>
      </c>
      <c r="I3415" s="11" t="str">
        <f aca="false">IF($A3415="","",IF($H3415="-","-",IF(AND(IF(원본명단!$H3414="",TRUE(),COUNTIF(원본명단!$H$3:$H3414,원본명단!$H3414)=1),IF(원본명단!$I3414="",TRUE(),COUNTIF(원본명단!$I$3:$I3414,원본명단!$I3414)=1),IF(원본명단!$K3414="",TRUE(),COUNTIF(원본명단!$K$3:$K3414,원본명단!$K3414)=1)),"첫 건","중복 건")))</f>
        <v/>
      </c>
      <c r="J3415" s="11" t="str">
        <f aca="false">IF($A3415="","",IF($H3415="-","유지",IF($I3415="첫 건","유지","확인 필요")))</f>
        <v/>
      </c>
    </row>
    <row r="3416" customFormat="false" ht="15" hidden="false" customHeight="true" outlineLevel="0" collapsed="false">
      <c r="A3416" s="11" t="str">
        <f aca="false">IF(원본명단!$A3415="","",3413)</f>
        <v/>
      </c>
      <c r="B3416" s="12" t="str">
        <f aca="false">IF($A3416="","",원본명단!$A3415)</f>
        <v/>
      </c>
      <c r="C3416" s="12" t="str">
        <f aca="false">IF($A3416="","",원본명단!$B3415)</f>
        <v/>
      </c>
      <c r="D3416" s="12" t="str">
        <f aca="false">IF($A3416="","",원본명단!$D3415)</f>
        <v/>
      </c>
      <c r="E3416" s="11" t="str">
        <f aca="false">IF($A3416="","",IF(원본명단!$H3415="",0,COUNTIF(원본명단!$H$3:$H$6002,원본명단!$H3415)))</f>
        <v/>
      </c>
      <c r="F3416" s="11" t="str">
        <f aca="false">IF($A3416="","",IF(원본명단!$I3415="",0,COUNTIF(원본명단!$I$3:$I$6002,원본명단!$I3415)))</f>
        <v/>
      </c>
      <c r="G3416" s="11" t="str">
        <f aca="false">IF($A3416="","",IF(원본명단!$K3415="",0,COUNTIF(원본명단!$K$3:$K$6002,원본명단!$K3415)))</f>
        <v/>
      </c>
      <c r="H3416" s="11" t="str">
        <f aca="false">IF($A3416="","",IF(MAX($E3416,$F3416,$G3416)&gt;1,"중복","-"))</f>
        <v/>
      </c>
      <c r="I3416" s="11" t="str">
        <f aca="false">IF($A3416="","",IF($H3416="-","-",IF(AND(IF(원본명단!$H3415="",TRUE(),COUNTIF(원본명단!$H$3:$H3415,원본명단!$H3415)=1),IF(원본명단!$I3415="",TRUE(),COUNTIF(원본명단!$I$3:$I3415,원본명단!$I3415)=1),IF(원본명단!$K3415="",TRUE(),COUNTIF(원본명단!$K$3:$K3415,원본명단!$K3415)=1)),"첫 건","중복 건")))</f>
        <v/>
      </c>
      <c r="J3416" s="11" t="str">
        <f aca="false">IF($A3416="","",IF($H3416="-","유지",IF($I3416="첫 건","유지","확인 필요")))</f>
        <v/>
      </c>
    </row>
    <row r="3417" customFormat="false" ht="15" hidden="false" customHeight="true" outlineLevel="0" collapsed="false">
      <c r="A3417" s="11" t="str">
        <f aca="false">IF(원본명단!$A3416="","",3414)</f>
        <v/>
      </c>
      <c r="B3417" s="12" t="str">
        <f aca="false">IF($A3417="","",원본명단!$A3416)</f>
        <v/>
      </c>
      <c r="C3417" s="12" t="str">
        <f aca="false">IF($A3417="","",원본명단!$B3416)</f>
        <v/>
      </c>
      <c r="D3417" s="12" t="str">
        <f aca="false">IF($A3417="","",원본명단!$D3416)</f>
        <v/>
      </c>
      <c r="E3417" s="11" t="str">
        <f aca="false">IF($A3417="","",IF(원본명단!$H3416="",0,COUNTIF(원본명단!$H$3:$H$6002,원본명단!$H3416)))</f>
        <v/>
      </c>
      <c r="F3417" s="11" t="str">
        <f aca="false">IF($A3417="","",IF(원본명단!$I3416="",0,COUNTIF(원본명단!$I$3:$I$6002,원본명단!$I3416)))</f>
        <v/>
      </c>
      <c r="G3417" s="11" t="str">
        <f aca="false">IF($A3417="","",IF(원본명단!$K3416="",0,COUNTIF(원본명단!$K$3:$K$6002,원본명단!$K3416)))</f>
        <v/>
      </c>
      <c r="H3417" s="11" t="str">
        <f aca="false">IF($A3417="","",IF(MAX($E3417,$F3417,$G3417)&gt;1,"중복","-"))</f>
        <v/>
      </c>
      <c r="I3417" s="11" t="str">
        <f aca="false">IF($A3417="","",IF($H3417="-","-",IF(AND(IF(원본명단!$H3416="",TRUE(),COUNTIF(원본명단!$H$3:$H3416,원본명단!$H3416)=1),IF(원본명단!$I3416="",TRUE(),COUNTIF(원본명단!$I$3:$I3416,원본명단!$I3416)=1),IF(원본명단!$K3416="",TRUE(),COUNTIF(원본명단!$K$3:$K3416,원본명단!$K3416)=1)),"첫 건","중복 건")))</f>
        <v/>
      </c>
      <c r="J3417" s="11" t="str">
        <f aca="false">IF($A3417="","",IF($H3417="-","유지",IF($I3417="첫 건","유지","확인 필요")))</f>
        <v/>
      </c>
    </row>
    <row r="3418" customFormat="false" ht="15" hidden="false" customHeight="true" outlineLevel="0" collapsed="false">
      <c r="A3418" s="11" t="str">
        <f aca="false">IF(원본명단!$A3417="","",3415)</f>
        <v/>
      </c>
      <c r="B3418" s="12" t="str">
        <f aca="false">IF($A3418="","",원본명단!$A3417)</f>
        <v/>
      </c>
      <c r="C3418" s="12" t="str">
        <f aca="false">IF($A3418="","",원본명단!$B3417)</f>
        <v/>
      </c>
      <c r="D3418" s="12" t="str">
        <f aca="false">IF($A3418="","",원본명단!$D3417)</f>
        <v/>
      </c>
      <c r="E3418" s="11" t="str">
        <f aca="false">IF($A3418="","",IF(원본명단!$H3417="",0,COUNTIF(원본명단!$H$3:$H$6002,원본명단!$H3417)))</f>
        <v/>
      </c>
      <c r="F3418" s="11" t="str">
        <f aca="false">IF($A3418="","",IF(원본명단!$I3417="",0,COUNTIF(원본명단!$I$3:$I$6002,원본명단!$I3417)))</f>
        <v/>
      </c>
      <c r="G3418" s="11" t="str">
        <f aca="false">IF($A3418="","",IF(원본명단!$K3417="",0,COUNTIF(원본명단!$K$3:$K$6002,원본명단!$K3417)))</f>
        <v/>
      </c>
      <c r="H3418" s="11" t="str">
        <f aca="false">IF($A3418="","",IF(MAX($E3418,$F3418,$G3418)&gt;1,"중복","-"))</f>
        <v/>
      </c>
      <c r="I3418" s="11" t="str">
        <f aca="false">IF($A3418="","",IF($H3418="-","-",IF(AND(IF(원본명단!$H3417="",TRUE(),COUNTIF(원본명단!$H$3:$H3417,원본명단!$H3417)=1),IF(원본명단!$I3417="",TRUE(),COUNTIF(원본명단!$I$3:$I3417,원본명단!$I3417)=1),IF(원본명단!$K3417="",TRUE(),COUNTIF(원본명단!$K$3:$K3417,원본명단!$K3417)=1)),"첫 건","중복 건")))</f>
        <v/>
      </c>
      <c r="J3418" s="11" t="str">
        <f aca="false">IF($A3418="","",IF($H3418="-","유지",IF($I3418="첫 건","유지","확인 필요")))</f>
        <v/>
      </c>
    </row>
    <row r="3419" customFormat="false" ht="15" hidden="false" customHeight="true" outlineLevel="0" collapsed="false">
      <c r="A3419" s="11" t="str">
        <f aca="false">IF(원본명단!$A3418="","",3416)</f>
        <v/>
      </c>
      <c r="B3419" s="12" t="str">
        <f aca="false">IF($A3419="","",원본명단!$A3418)</f>
        <v/>
      </c>
      <c r="C3419" s="12" t="str">
        <f aca="false">IF($A3419="","",원본명단!$B3418)</f>
        <v/>
      </c>
      <c r="D3419" s="12" t="str">
        <f aca="false">IF($A3419="","",원본명단!$D3418)</f>
        <v/>
      </c>
      <c r="E3419" s="11" t="str">
        <f aca="false">IF($A3419="","",IF(원본명단!$H3418="",0,COUNTIF(원본명단!$H$3:$H$6002,원본명단!$H3418)))</f>
        <v/>
      </c>
      <c r="F3419" s="11" t="str">
        <f aca="false">IF($A3419="","",IF(원본명단!$I3418="",0,COUNTIF(원본명단!$I$3:$I$6002,원본명단!$I3418)))</f>
        <v/>
      </c>
      <c r="G3419" s="11" t="str">
        <f aca="false">IF($A3419="","",IF(원본명단!$K3418="",0,COUNTIF(원본명단!$K$3:$K$6002,원본명단!$K3418)))</f>
        <v/>
      </c>
      <c r="H3419" s="11" t="str">
        <f aca="false">IF($A3419="","",IF(MAX($E3419,$F3419,$G3419)&gt;1,"중복","-"))</f>
        <v/>
      </c>
      <c r="I3419" s="11" t="str">
        <f aca="false">IF($A3419="","",IF($H3419="-","-",IF(AND(IF(원본명단!$H3418="",TRUE(),COUNTIF(원본명단!$H$3:$H3418,원본명단!$H3418)=1),IF(원본명단!$I3418="",TRUE(),COUNTIF(원본명단!$I$3:$I3418,원본명단!$I3418)=1),IF(원본명단!$K3418="",TRUE(),COUNTIF(원본명단!$K$3:$K3418,원본명단!$K3418)=1)),"첫 건","중복 건")))</f>
        <v/>
      </c>
      <c r="J3419" s="11" t="str">
        <f aca="false">IF($A3419="","",IF($H3419="-","유지",IF($I3419="첫 건","유지","확인 필요")))</f>
        <v/>
      </c>
    </row>
    <row r="3420" customFormat="false" ht="15" hidden="false" customHeight="true" outlineLevel="0" collapsed="false">
      <c r="A3420" s="11" t="str">
        <f aca="false">IF(원본명단!$A3419="","",3417)</f>
        <v/>
      </c>
      <c r="B3420" s="12" t="str">
        <f aca="false">IF($A3420="","",원본명단!$A3419)</f>
        <v/>
      </c>
      <c r="C3420" s="12" t="str">
        <f aca="false">IF($A3420="","",원본명단!$B3419)</f>
        <v/>
      </c>
      <c r="D3420" s="12" t="str">
        <f aca="false">IF($A3420="","",원본명단!$D3419)</f>
        <v/>
      </c>
      <c r="E3420" s="11" t="str">
        <f aca="false">IF($A3420="","",IF(원본명단!$H3419="",0,COUNTIF(원본명단!$H$3:$H$6002,원본명단!$H3419)))</f>
        <v/>
      </c>
      <c r="F3420" s="11" t="str">
        <f aca="false">IF($A3420="","",IF(원본명단!$I3419="",0,COUNTIF(원본명단!$I$3:$I$6002,원본명단!$I3419)))</f>
        <v/>
      </c>
      <c r="G3420" s="11" t="str">
        <f aca="false">IF($A3420="","",IF(원본명단!$K3419="",0,COUNTIF(원본명단!$K$3:$K$6002,원본명단!$K3419)))</f>
        <v/>
      </c>
      <c r="H3420" s="11" t="str">
        <f aca="false">IF($A3420="","",IF(MAX($E3420,$F3420,$G3420)&gt;1,"중복","-"))</f>
        <v/>
      </c>
      <c r="I3420" s="11" t="str">
        <f aca="false">IF($A3420="","",IF($H3420="-","-",IF(AND(IF(원본명단!$H3419="",TRUE(),COUNTIF(원본명단!$H$3:$H3419,원본명단!$H3419)=1),IF(원본명단!$I3419="",TRUE(),COUNTIF(원본명단!$I$3:$I3419,원본명단!$I3419)=1),IF(원본명단!$K3419="",TRUE(),COUNTIF(원본명단!$K$3:$K3419,원본명단!$K3419)=1)),"첫 건","중복 건")))</f>
        <v/>
      </c>
      <c r="J3420" s="11" t="str">
        <f aca="false">IF($A3420="","",IF($H3420="-","유지",IF($I3420="첫 건","유지","확인 필요")))</f>
        <v/>
      </c>
    </row>
    <row r="3421" customFormat="false" ht="15" hidden="false" customHeight="true" outlineLevel="0" collapsed="false">
      <c r="A3421" s="11" t="str">
        <f aca="false">IF(원본명단!$A3420="","",3418)</f>
        <v/>
      </c>
      <c r="B3421" s="12" t="str">
        <f aca="false">IF($A3421="","",원본명단!$A3420)</f>
        <v/>
      </c>
      <c r="C3421" s="12" t="str">
        <f aca="false">IF($A3421="","",원본명단!$B3420)</f>
        <v/>
      </c>
      <c r="D3421" s="12" t="str">
        <f aca="false">IF($A3421="","",원본명단!$D3420)</f>
        <v/>
      </c>
      <c r="E3421" s="11" t="str">
        <f aca="false">IF($A3421="","",IF(원본명단!$H3420="",0,COUNTIF(원본명단!$H$3:$H$6002,원본명단!$H3420)))</f>
        <v/>
      </c>
      <c r="F3421" s="11" t="str">
        <f aca="false">IF($A3421="","",IF(원본명단!$I3420="",0,COUNTIF(원본명단!$I$3:$I$6002,원본명단!$I3420)))</f>
        <v/>
      </c>
      <c r="G3421" s="11" t="str">
        <f aca="false">IF($A3421="","",IF(원본명단!$K3420="",0,COUNTIF(원본명단!$K$3:$K$6002,원본명단!$K3420)))</f>
        <v/>
      </c>
      <c r="H3421" s="11" t="str">
        <f aca="false">IF($A3421="","",IF(MAX($E3421,$F3421,$G3421)&gt;1,"중복","-"))</f>
        <v/>
      </c>
      <c r="I3421" s="11" t="str">
        <f aca="false">IF($A3421="","",IF($H3421="-","-",IF(AND(IF(원본명단!$H3420="",TRUE(),COUNTIF(원본명단!$H$3:$H3420,원본명단!$H3420)=1),IF(원본명단!$I3420="",TRUE(),COUNTIF(원본명단!$I$3:$I3420,원본명단!$I3420)=1),IF(원본명단!$K3420="",TRUE(),COUNTIF(원본명단!$K$3:$K3420,원본명단!$K3420)=1)),"첫 건","중복 건")))</f>
        <v/>
      </c>
      <c r="J3421" s="11" t="str">
        <f aca="false">IF($A3421="","",IF($H3421="-","유지",IF($I3421="첫 건","유지","확인 필요")))</f>
        <v/>
      </c>
    </row>
    <row r="3422" customFormat="false" ht="15" hidden="false" customHeight="true" outlineLevel="0" collapsed="false">
      <c r="A3422" s="11" t="str">
        <f aca="false">IF(원본명단!$A3421="","",3419)</f>
        <v/>
      </c>
      <c r="B3422" s="12" t="str">
        <f aca="false">IF($A3422="","",원본명단!$A3421)</f>
        <v/>
      </c>
      <c r="C3422" s="12" t="str">
        <f aca="false">IF($A3422="","",원본명단!$B3421)</f>
        <v/>
      </c>
      <c r="D3422" s="12" t="str">
        <f aca="false">IF($A3422="","",원본명단!$D3421)</f>
        <v/>
      </c>
      <c r="E3422" s="11" t="str">
        <f aca="false">IF($A3422="","",IF(원본명단!$H3421="",0,COUNTIF(원본명단!$H$3:$H$6002,원본명단!$H3421)))</f>
        <v/>
      </c>
      <c r="F3422" s="11" t="str">
        <f aca="false">IF($A3422="","",IF(원본명단!$I3421="",0,COUNTIF(원본명단!$I$3:$I$6002,원본명단!$I3421)))</f>
        <v/>
      </c>
      <c r="G3422" s="11" t="str">
        <f aca="false">IF($A3422="","",IF(원본명단!$K3421="",0,COUNTIF(원본명단!$K$3:$K$6002,원본명단!$K3421)))</f>
        <v/>
      </c>
      <c r="H3422" s="11" t="str">
        <f aca="false">IF($A3422="","",IF(MAX($E3422,$F3422,$G3422)&gt;1,"중복","-"))</f>
        <v/>
      </c>
      <c r="I3422" s="11" t="str">
        <f aca="false">IF($A3422="","",IF($H3422="-","-",IF(AND(IF(원본명단!$H3421="",TRUE(),COUNTIF(원본명단!$H$3:$H3421,원본명단!$H3421)=1),IF(원본명단!$I3421="",TRUE(),COUNTIF(원본명단!$I$3:$I3421,원본명단!$I3421)=1),IF(원본명단!$K3421="",TRUE(),COUNTIF(원본명단!$K$3:$K3421,원본명단!$K3421)=1)),"첫 건","중복 건")))</f>
        <v/>
      </c>
      <c r="J3422" s="11" t="str">
        <f aca="false">IF($A3422="","",IF($H3422="-","유지",IF($I3422="첫 건","유지","확인 필요")))</f>
        <v/>
      </c>
    </row>
    <row r="3423" customFormat="false" ht="15" hidden="false" customHeight="true" outlineLevel="0" collapsed="false">
      <c r="A3423" s="11" t="str">
        <f aca="false">IF(원본명단!$A3422="","",3420)</f>
        <v/>
      </c>
      <c r="B3423" s="12" t="str">
        <f aca="false">IF($A3423="","",원본명단!$A3422)</f>
        <v/>
      </c>
      <c r="C3423" s="12" t="str">
        <f aca="false">IF($A3423="","",원본명단!$B3422)</f>
        <v/>
      </c>
      <c r="D3423" s="12" t="str">
        <f aca="false">IF($A3423="","",원본명단!$D3422)</f>
        <v/>
      </c>
      <c r="E3423" s="11" t="str">
        <f aca="false">IF($A3423="","",IF(원본명단!$H3422="",0,COUNTIF(원본명단!$H$3:$H$6002,원본명단!$H3422)))</f>
        <v/>
      </c>
      <c r="F3423" s="11" t="str">
        <f aca="false">IF($A3423="","",IF(원본명단!$I3422="",0,COUNTIF(원본명단!$I$3:$I$6002,원본명단!$I3422)))</f>
        <v/>
      </c>
      <c r="G3423" s="11" t="str">
        <f aca="false">IF($A3423="","",IF(원본명단!$K3422="",0,COUNTIF(원본명단!$K$3:$K$6002,원본명단!$K3422)))</f>
        <v/>
      </c>
      <c r="H3423" s="11" t="str">
        <f aca="false">IF($A3423="","",IF(MAX($E3423,$F3423,$G3423)&gt;1,"중복","-"))</f>
        <v/>
      </c>
      <c r="I3423" s="11" t="str">
        <f aca="false">IF($A3423="","",IF($H3423="-","-",IF(AND(IF(원본명단!$H3422="",TRUE(),COUNTIF(원본명단!$H$3:$H3422,원본명단!$H3422)=1),IF(원본명단!$I3422="",TRUE(),COUNTIF(원본명단!$I$3:$I3422,원본명단!$I3422)=1),IF(원본명단!$K3422="",TRUE(),COUNTIF(원본명단!$K$3:$K3422,원본명단!$K3422)=1)),"첫 건","중복 건")))</f>
        <v/>
      </c>
      <c r="J3423" s="11" t="str">
        <f aca="false">IF($A3423="","",IF($H3423="-","유지",IF($I3423="첫 건","유지","확인 필요")))</f>
        <v/>
      </c>
    </row>
    <row r="3424" customFormat="false" ht="15" hidden="false" customHeight="true" outlineLevel="0" collapsed="false">
      <c r="A3424" s="11" t="str">
        <f aca="false">IF(원본명단!$A3423="","",3421)</f>
        <v/>
      </c>
      <c r="B3424" s="12" t="str">
        <f aca="false">IF($A3424="","",원본명단!$A3423)</f>
        <v/>
      </c>
      <c r="C3424" s="12" t="str">
        <f aca="false">IF($A3424="","",원본명단!$B3423)</f>
        <v/>
      </c>
      <c r="D3424" s="12" t="str">
        <f aca="false">IF($A3424="","",원본명단!$D3423)</f>
        <v/>
      </c>
      <c r="E3424" s="11" t="str">
        <f aca="false">IF($A3424="","",IF(원본명단!$H3423="",0,COUNTIF(원본명단!$H$3:$H$6002,원본명단!$H3423)))</f>
        <v/>
      </c>
      <c r="F3424" s="11" t="str">
        <f aca="false">IF($A3424="","",IF(원본명단!$I3423="",0,COUNTIF(원본명단!$I$3:$I$6002,원본명단!$I3423)))</f>
        <v/>
      </c>
      <c r="G3424" s="11" t="str">
        <f aca="false">IF($A3424="","",IF(원본명단!$K3423="",0,COUNTIF(원본명단!$K$3:$K$6002,원본명단!$K3423)))</f>
        <v/>
      </c>
      <c r="H3424" s="11" t="str">
        <f aca="false">IF($A3424="","",IF(MAX($E3424,$F3424,$G3424)&gt;1,"중복","-"))</f>
        <v/>
      </c>
      <c r="I3424" s="11" t="str">
        <f aca="false">IF($A3424="","",IF($H3424="-","-",IF(AND(IF(원본명단!$H3423="",TRUE(),COUNTIF(원본명단!$H$3:$H3423,원본명단!$H3423)=1),IF(원본명단!$I3423="",TRUE(),COUNTIF(원본명단!$I$3:$I3423,원본명단!$I3423)=1),IF(원본명단!$K3423="",TRUE(),COUNTIF(원본명단!$K$3:$K3423,원본명단!$K3423)=1)),"첫 건","중복 건")))</f>
        <v/>
      </c>
      <c r="J3424" s="11" t="str">
        <f aca="false">IF($A3424="","",IF($H3424="-","유지",IF($I3424="첫 건","유지","확인 필요")))</f>
        <v/>
      </c>
    </row>
    <row r="3425" customFormat="false" ht="15" hidden="false" customHeight="true" outlineLevel="0" collapsed="false">
      <c r="A3425" s="11" t="str">
        <f aca="false">IF(원본명단!$A3424="","",3422)</f>
        <v/>
      </c>
      <c r="B3425" s="12" t="str">
        <f aca="false">IF($A3425="","",원본명단!$A3424)</f>
        <v/>
      </c>
      <c r="C3425" s="12" t="str">
        <f aca="false">IF($A3425="","",원본명단!$B3424)</f>
        <v/>
      </c>
      <c r="D3425" s="12" t="str">
        <f aca="false">IF($A3425="","",원본명단!$D3424)</f>
        <v/>
      </c>
      <c r="E3425" s="11" t="str">
        <f aca="false">IF($A3425="","",IF(원본명단!$H3424="",0,COUNTIF(원본명단!$H$3:$H$6002,원본명단!$H3424)))</f>
        <v/>
      </c>
      <c r="F3425" s="11" t="str">
        <f aca="false">IF($A3425="","",IF(원본명단!$I3424="",0,COUNTIF(원본명단!$I$3:$I$6002,원본명단!$I3424)))</f>
        <v/>
      </c>
      <c r="G3425" s="11" t="str">
        <f aca="false">IF($A3425="","",IF(원본명단!$K3424="",0,COUNTIF(원본명단!$K$3:$K$6002,원본명단!$K3424)))</f>
        <v/>
      </c>
      <c r="H3425" s="11" t="str">
        <f aca="false">IF($A3425="","",IF(MAX($E3425,$F3425,$G3425)&gt;1,"중복","-"))</f>
        <v/>
      </c>
      <c r="I3425" s="11" t="str">
        <f aca="false">IF($A3425="","",IF($H3425="-","-",IF(AND(IF(원본명단!$H3424="",TRUE(),COUNTIF(원본명단!$H$3:$H3424,원본명단!$H3424)=1),IF(원본명단!$I3424="",TRUE(),COUNTIF(원본명단!$I$3:$I3424,원본명단!$I3424)=1),IF(원본명단!$K3424="",TRUE(),COUNTIF(원본명단!$K$3:$K3424,원본명단!$K3424)=1)),"첫 건","중복 건")))</f>
        <v/>
      </c>
      <c r="J3425" s="11" t="str">
        <f aca="false">IF($A3425="","",IF($H3425="-","유지",IF($I3425="첫 건","유지","확인 필요")))</f>
        <v/>
      </c>
    </row>
    <row r="3426" customFormat="false" ht="15" hidden="false" customHeight="true" outlineLevel="0" collapsed="false">
      <c r="A3426" s="11" t="str">
        <f aca="false">IF(원본명단!$A3425="","",3423)</f>
        <v/>
      </c>
      <c r="B3426" s="12" t="str">
        <f aca="false">IF($A3426="","",원본명단!$A3425)</f>
        <v/>
      </c>
      <c r="C3426" s="12" t="str">
        <f aca="false">IF($A3426="","",원본명단!$B3425)</f>
        <v/>
      </c>
      <c r="D3426" s="12" t="str">
        <f aca="false">IF($A3426="","",원본명단!$D3425)</f>
        <v/>
      </c>
      <c r="E3426" s="11" t="str">
        <f aca="false">IF($A3426="","",IF(원본명단!$H3425="",0,COUNTIF(원본명단!$H$3:$H$6002,원본명단!$H3425)))</f>
        <v/>
      </c>
      <c r="F3426" s="11" t="str">
        <f aca="false">IF($A3426="","",IF(원본명단!$I3425="",0,COUNTIF(원본명단!$I$3:$I$6002,원본명단!$I3425)))</f>
        <v/>
      </c>
      <c r="G3426" s="11" t="str">
        <f aca="false">IF($A3426="","",IF(원본명단!$K3425="",0,COUNTIF(원본명단!$K$3:$K$6002,원본명단!$K3425)))</f>
        <v/>
      </c>
      <c r="H3426" s="11" t="str">
        <f aca="false">IF($A3426="","",IF(MAX($E3426,$F3426,$G3426)&gt;1,"중복","-"))</f>
        <v/>
      </c>
      <c r="I3426" s="11" t="str">
        <f aca="false">IF($A3426="","",IF($H3426="-","-",IF(AND(IF(원본명단!$H3425="",TRUE(),COUNTIF(원본명단!$H$3:$H3425,원본명단!$H3425)=1),IF(원본명단!$I3425="",TRUE(),COUNTIF(원본명단!$I$3:$I3425,원본명단!$I3425)=1),IF(원본명단!$K3425="",TRUE(),COUNTIF(원본명단!$K$3:$K3425,원본명단!$K3425)=1)),"첫 건","중복 건")))</f>
        <v/>
      </c>
      <c r="J3426" s="11" t="str">
        <f aca="false">IF($A3426="","",IF($H3426="-","유지",IF($I3426="첫 건","유지","확인 필요")))</f>
        <v/>
      </c>
    </row>
    <row r="3427" customFormat="false" ht="15" hidden="false" customHeight="true" outlineLevel="0" collapsed="false">
      <c r="A3427" s="11" t="str">
        <f aca="false">IF(원본명단!$A3426="","",3424)</f>
        <v/>
      </c>
      <c r="B3427" s="12" t="str">
        <f aca="false">IF($A3427="","",원본명단!$A3426)</f>
        <v/>
      </c>
      <c r="C3427" s="12" t="str">
        <f aca="false">IF($A3427="","",원본명단!$B3426)</f>
        <v/>
      </c>
      <c r="D3427" s="12" t="str">
        <f aca="false">IF($A3427="","",원본명단!$D3426)</f>
        <v/>
      </c>
      <c r="E3427" s="11" t="str">
        <f aca="false">IF($A3427="","",IF(원본명단!$H3426="",0,COUNTIF(원본명단!$H$3:$H$6002,원본명단!$H3426)))</f>
        <v/>
      </c>
      <c r="F3427" s="11" t="str">
        <f aca="false">IF($A3427="","",IF(원본명단!$I3426="",0,COUNTIF(원본명단!$I$3:$I$6002,원본명단!$I3426)))</f>
        <v/>
      </c>
      <c r="G3427" s="11" t="str">
        <f aca="false">IF($A3427="","",IF(원본명단!$K3426="",0,COUNTIF(원본명단!$K$3:$K$6002,원본명단!$K3426)))</f>
        <v/>
      </c>
      <c r="H3427" s="11" t="str">
        <f aca="false">IF($A3427="","",IF(MAX($E3427,$F3427,$G3427)&gt;1,"중복","-"))</f>
        <v/>
      </c>
      <c r="I3427" s="11" t="str">
        <f aca="false">IF($A3427="","",IF($H3427="-","-",IF(AND(IF(원본명단!$H3426="",TRUE(),COUNTIF(원본명단!$H$3:$H3426,원본명단!$H3426)=1),IF(원본명단!$I3426="",TRUE(),COUNTIF(원본명단!$I$3:$I3426,원본명단!$I3426)=1),IF(원본명단!$K3426="",TRUE(),COUNTIF(원본명단!$K$3:$K3426,원본명단!$K3426)=1)),"첫 건","중복 건")))</f>
        <v/>
      </c>
      <c r="J3427" s="11" t="str">
        <f aca="false">IF($A3427="","",IF($H3427="-","유지",IF($I3427="첫 건","유지","확인 필요")))</f>
        <v/>
      </c>
    </row>
    <row r="3428" customFormat="false" ht="15" hidden="false" customHeight="true" outlineLevel="0" collapsed="false">
      <c r="A3428" s="11" t="str">
        <f aca="false">IF(원본명단!$A3427="","",3425)</f>
        <v/>
      </c>
      <c r="B3428" s="12" t="str">
        <f aca="false">IF($A3428="","",원본명단!$A3427)</f>
        <v/>
      </c>
      <c r="C3428" s="12" t="str">
        <f aca="false">IF($A3428="","",원본명단!$B3427)</f>
        <v/>
      </c>
      <c r="D3428" s="12" t="str">
        <f aca="false">IF($A3428="","",원본명단!$D3427)</f>
        <v/>
      </c>
      <c r="E3428" s="11" t="str">
        <f aca="false">IF($A3428="","",IF(원본명단!$H3427="",0,COUNTIF(원본명단!$H$3:$H$6002,원본명단!$H3427)))</f>
        <v/>
      </c>
      <c r="F3428" s="11" t="str">
        <f aca="false">IF($A3428="","",IF(원본명단!$I3427="",0,COUNTIF(원본명단!$I$3:$I$6002,원본명단!$I3427)))</f>
        <v/>
      </c>
      <c r="G3428" s="11" t="str">
        <f aca="false">IF($A3428="","",IF(원본명단!$K3427="",0,COUNTIF(원본명단!$K$3:$K$6002,원본명단!$K3427)))</f>
        <v/>
      </c>
      <c r="H3428" s="11" t="str">
        <f aca="false">IF($A3428="","",IF(MAX($E3428,$F3428,$G3428)&gt;1,"중복","-"))</f>
        <v/>
      </c>
      <c r="I3428" s="11" t="str">
        <f aca="false">IF($A3428="","",IF($H3428="-","-",IF(AND(IF(원본명단!$H3427="",TRUE(),COUNTIF(원본명단!$H$3:$H3427,원본명단!$H3427)=1),IF(원본명단!$I3427="",TRUE(),COUNTIF(원본명단!$I$3:$I3427,원본명단!$I3427)=1),IF(원본명단!$K3427="",TRUE(),COUNTIF(원본명단!$K$3:$K3427,원본명단!$K3427)=1)),"첫 건","중복 건")))</f>
        <v/>
      </c>
      <c r="J3428" s="11" t="str">
        <f aca="false">IF($A3428="","",IF($H3428="-","유지",IF($I3428="첫 건","유지","확인 필요")))</f>
        <v/>
      </c>
    </row>
    <row r="3429" customFormat="false" ht="15" hidden="false" customHeight="true" outlineLevel="0" collapsed="false">
      <c r="A3429" s="11" t="str">
        <f aca="false">IF(원본명단!$A3428="","",3426)</f>
        <v/>
      </c>
      <c r="B3429" s="12" t="str">
        <f aca="false">IF($A3429="","",원본명단!$A3428)</f>
        <v/>
      </c>
      <c r="C3429" s="12" t="str">
        <f aca="false">IF($A3429="","",원본명단!$B3428)</f>
        <v/>
      </c>
      <c r="D3429" s="12" t="str">
        <f aca="false">IF($A3429="","",원본명단!$D3428)</f>
        <v/>
      </c>
      <c r="E3429" s="11" t="str">
        <f aca="false">IF($A3429="","",IF(원본명단!$H3428="",0,COUNTIF(원본명단!$H$3:$H$6002,원본명단!$H3428)))</f>
        <v/>
      </c>
      <c r="F3429" s="11" t="str">
        <f aca="false">IF($A3429="","",IF(원본명단!$I3428="",0,COUNTIF(원본명단!$I$3:$I$6002,원본명단!$I3428)))</f>
        <v/>
      </c>
      <c r="G3429" s="11" t="str">
        <f aca="false">IF($A3429="","",IF(원본명단!$K3428="",0,COUNTIF(원본명단!$K$3:$K$6002,원본명단!$K3428)))</f>
        <v/>
      </c>
      <c r="H3429" s="11" t="str">
        <f aca="false">IF($A3429="","",IF(MAX($E3429,$F3429,$G3429)&gt;1,"중복","-"))</f>
        <v/>
      </c>
      <c r="I3429" s="11" t="str">
        <f aca="false">IF($A3429="","",IF($H3429="-","-",IF(AND(IF(원본명단!$H3428="",TRUE(),COUNTIF(원본명단!$H$3:$H3428,원본명단!$H3428)=1),IF(원본명단!$I3428="",TRUE(),COUNTIF(원본명단!$I$3:$I3428,원본명단!$I3428)=1),IF(원본명단!$K3428="",TRUE(),COUNTIF(원본명단!$K$3:$K3428,원본명단!$K3428)=1)),"첫 건","중복 건")))</f>
        <v/>
      </c>
      <c r="J3429" s="11" t="str">
        <f aca="false">IF($A3429="","",IF($H3429="-","유지",IF($I3429="첫 건","유지","확인 필요")))</f>
        <v/>
      </c>
    </row>
    <row r="3430" customFormat="false" ht="15" hidden="false" customHeight="true" outlineLevel="0" collapsed="false">
      <c r="A3430" s="11" t="str">
        <f aca="false">IF(원본명단!$A3429="","",3427)</f>
        <v/>
      </c>
      <c r="B3430" s="12" t="str">
        <f aca="false">IF($A3430="","",원본명단!$A3429)</f>
        <v/>
      </c>
      <c r="C3430" s="12" t="str">
        <f aca="false">IF($A3430="","",원본명단!$B3429)</f>
        <v/>
      </c>
      <c r="D3430" s="12" t="str">
        <f aca="false">IF($A3430="","",원본명단!$D3429)</f>
        <v/>
      </c>
      <c r="E3430" s="11" t="str">
        <f aca="false">IF($A3430="","",IF(원본명단!$H3429="",0,COUNTIF(원본명단!$H$3:$H$6002,원본명단!$H3429)))</f>
        <v/>
      </c>
      <c r="F3430" s="11" t="str">
        <f aca="false">IF($A3430="","",IF(원본명단!$I3429="",0,COUNTIF(원본명단!$I$3:$I$6002,원본명단!$I3429)))</f>
        <v/>
      </c>
      <c r="G3430" s="11" t="str">
        <f aca="false">IF($A3430="","",IF(원본명단!$K3429="",0,COUNTIF(원본명단!$K$3:$K$6002,원본명단!$K3429)))</f>
        <v/>
      </c>
      <c r="H3430" s="11" t="str">
        <f aca="false">IF($A3430="","",IF(MAX($E3430,$F3430,$G3430)&gt;1,"중복","-"))</f>
        <v/>
      </c>
      <c r="I3430" s="11" t="str">
        <f aca="false">IF($A3430="","",IF($H3430="-","-",IF(AND(IF(원본명단!$H3429="",TRUE(),COUNTIF(원본명단!$H$3:$H3429,원본명단!$H3429)=1),IF(원본명단!$I3429="",TRUE(),COUNTIF(원본명단!$I$3:$I3429,원본명단!$I3429)=1),IF(원본명단!$K3429="",TRUE(),COUNTIF(원본명단!$K$3:$K3429,원본명단!$K3429)=1)),"첫 건","중복 건")))</f>
        <v/>
      </c>
      <c r="J3430" s="11" t="str">
        <f aca="false">IF($A3430="","",IF($H3430="-","유지",IF($I3430="첫 건","유지","확인 필요")))</f>
        <v/>
      </c>
    </row>
    <row r="3431" customFormat="false" ht="15" hidden="false" customHeight="true" outlineLevel="0" collapsed="false">
      <c r="A3431" s="11" t="str">
        <f aca="false">IF(원본명단!$A3430="","",3428)</f>
        <v/>
      </c>
      <c r="B3431" s="12" t="str">
        <f aca="false">IF($A3431="","",원본명단!$A3430)</f>
        <v/>
      </c>
      <c r="C3431" s="12" t="str">
        <f aca="false">IF($A3431="","",원본명단!$B3430)</f>
        <v/>
      </c>
      <c r="D3431" s="12" t="str">
        <f aca="false">IF($A3431="","",원본명단!$D3430)</f>
        <v/>
      </c>
      <c r="E3431" s="11" t="str">
        <f aca="false">IF($A3431="","",IF(원본명단!$H3430="",0,COUNTIF(원본명단!$H$3:$H$6002,원본명단!$H3430)))</f>
        <v/>
      </c>
      <c r="F3431" s="11" t="str">
        <f aca="false">IF($A3431="","",IF(원본명단!$I3430="",0,COUNTIF(원본명단!$I$3:$I$6002,원본명단!$I3430)))</f>
        <v/>
      </c>
      <c r="G3431" s="11" t="str">
        <f aca="false">IF($A3431="","",IF(원본명단!$K3430="",0,COUNTIF(원본명단!$K$3:$K$6002,원본명단!$K3430)))</f>
        <v/>
      </c>
      <c r="H3431" s="11" t="str">
        <f aca="false">IF($A3431="","",IF(MAX($E3431,$F3431,$G3431)&gt;1,"중복","-"))</f>
        <v/>
      </c>
      <c r="I3431" s="11" t="str">
        <f aca="false">IF($A3431="","",IF($H3431="-","-",IF(AND(IF(원본명단!$H3430="",TRUE(),COUNTIF(원본명단!$H$3:$H3430,원본명단!$H3430)=1),IF(원본명단!$I3430="",TRUE(),COUNTIF(원본명단!$I$3:$I3430,원본명단!$I3430)=1),IF(원본명단!$K3430="",TRUE(),COUNTIF(원본명단!$K$3:$K3430,원본명단!$K3430)=1)),"첫 건","중복 건")))</f>
        <v/>
      </c>
      <c r="J3431" s="11" t="str">
        <f aca="false">IF($A3431="","",IF($H3431="-","유지",IF($I3431="첫 건","유지","확인 필요")))</f>
        <v/>
      </c>
    </row>
    <row r="3432" customFormat="false" ht="15" hidden="false" customHeight="true" outlineLevel="0" collapsed="false">
      <c r="A3432" s="11" t="str">
        <f aca="false">IF(원본명단!$A3431="","",3429)</f>
        <v/>
      </c>
      <c r="B3432" s="12" t="str">
        <f aca="false">IF($A3432="","",원본명단!$A3431)</f>
        <v/>
      </c>
      <c r="C3432" s="12" t="str">
        <f aca="false">IF($A3432="","",원본명단!$B3431)</f>
        <v/>
      </c>
      <c r="D3432" s="12" t="str">
        <f aca="false">IF($A3432="","",원본명단!$D3431)</f>
        <v/>
      </c>
      <c r="E3432" s="11" t="str">
        <f aca="false">IF($A3432="","",IF(원본명단!$H3431="",0,COUNTIF(원본명단!$H$3:$H$6002,원본명단!$H3431)))</f>
        <v/>
      </c>
      <c r="F3432" s="11" t="str">
        <f aca="false">IF($A3432="","",IF(원본명단!$I3431="",0,COUNTIF(원본명단!$I$3:$I$6002,원본명단!$I3431)))</f>
        <v/>
      </c>
      <c r="G3432" s="11" t="str">
        <f aca="false">IF($A3432="","",IF(원본명단!$K3431="",0,COUNTIF(원본명단!$K$3:$K$6002,원본명단!$K3431)))</f>
        <v/>
      </c>
      <c r="H3432" s="11" t="str">
        <f aca="false">IF($A3432="","",IF(MAX($E3432,$F3432,$G3432)&gt;1,"중복","-"))</f>
        <v/>
      </c>
      <c r="I3432" s="11" t="str">
        <f aca="false">IF($A3432="","",IF($H3432="-","-",IF(AND(IF(원본명단!$H3431="",TRUE(),COUNTIF(원본명단!$H$3:$H3431,원본명단!$H3431)=1),IF(원본명단!$I3431="",TRUE(),COUNTIF(원본명단!$I$3:$I3431,원본명단!$I3431)=1),IF(원본명단!$K3431="",TRUE(),COUNTIF(원본명단!$K$3:$K3431,원본명단!$K3431)=1)),"첫 건","중복 건")))</f>
        <v/>
      </c>
      <c r="J3432" s="11" t="str">
        <f aca="false">IF($A3432="","",IF($H3432="-","유지",IF($I3432="첫 건","유지","확인 필요")))</f>
        <v/>
      </c>
    </row>
    <row r="3433" customFormat="false" ht="15" hidden="false" customHeight="true" outlineLevel="0" collapsed="false">
      <c r="A3433" s="11" t="str">
        <f aca="false">IF(원본명단!$A3432="","",3430)</f>
        <v/>
      </c>
      <c r="B3433" s="12" t="str">
        <f aca="false">IF($A3433="","",원본명단!$A3432)</f>
        <v/>
      </c>
      <c r="C3433" s="12" t="str">
        <f aca="false">IF($A3433="","",원본명단!$B3432)</f>
        <v/>
      </c>
      <c r="D3433" s="12" t="str">
        <f aca="false">IF($A3433="","",원본명단!$D3432)</f>
        <v/>
      </c>
      <c r="E3433" s="11" t="str">
        <f aca="false">IF($A3433="","",IF(원본명단!$H3432="",0,COUNTIF(원본명단!$H$3:$H$6002,원본명단!$H3432)))</f>
        <v/>
      </c>
      <c r="F3433" s="11" t="str">
        <f aca="false">IF($A3433="","",IF(원본명단!$I3432="",0,COUNTIF(원본명단!$I$3:$I$6002,원본명단!$I3432)))</f>
        <v/>
      </c>
      <c r="G3433" s="11" t="str">
        <f aca="false">IF($A3433="","",IF(원본명단!$K3432="",0,COUNTIF(원본명단!$K$3:$K$6002,원본명단!$K3432)))</f>
        <v/>
      </c>
      <c r="H3433" s="11" t="str">
        <f aca="false">IF($A3433="","",IF(MAX($E3433,$F3433,$G3433)&gt;1,"중복","-"))</f>
        <v/>
      </c>
      <c r="I3433" s="11" t="str">
        <f aca="false">IF($A3433="","",IF($H3433="-","-",IF(AND(IF(원본명단!$H3432="",TRUE(),COUNTIF(원본명단!$H$3:$H3432,원본명단!$H3432)=1),IF(원본명단!$I3432="",TRUE(),COUNTIF(원본명단!$I$3:$I3432,원본명단!$I3432)=1),IF(원본명단!$K3432="",TRUE(),COUNTIF(원본명단!$K$3:$K3432,원본명단!$K3432)=1)),"첫 건","중복 건")))</f>
        <v/>
      </c>
      <c r="J3433" s="11" t="str">
        <f aca="false">IF($A3433="","",IF($H3433="-","유지",IF($I3433="첫 건","유지","확인 필요")))</f>
        <v/>
      </c>
    </row>
    <row r="3434" customFormat="false" ht="15" hidden="false" customHeight="true" outlineLevel="0" collapsed="false">
      <c r="A3434" s="11" t="str">
        <f aca="false">IF(원본명단!$A3433="","",3431)</f>
        <v/>
      </c>
      <c r="B3434" s="12" t="str">
        <f aca="false">IF($A3434="","",원본명단!$A3433)</f>
        <v/>
      </c>
      <c r="C3434" s="12" t="str">
        <f aca="false">IF($A3434="","",원본명단!$B3433)</f>
        <v/>
      </c>
      <c r="D3434" s="12" t="str">
        <f aca="false">IF($A3434="","",원본명단!$D3433)</f>
        <v/>
      </c>
      <c r="E3434" s="11" t="str">
        <f aca="false">IF($A3434="","",IF(원본명단!$H3433="",0,COUNTIF(원본명단!$H$3:$H$6002,원본명단!$H3433)))</f>
        <v/>
      </c>
      <c r="F3434" s="11" t="str">
        <f aca="false">IF($A3434="","",IF(원본명단!$I3433="",0,COUNTIF(원본명단!$I$3:$I$6002,원본명단!$I3433)))</f>
        <v/>
      </c>
      <c r="G3434" s="11" t="str">
        <f aca="false">IF($A3434="","",IF(원본명단!$K3433="",0,COUNTIF(원본명단!$K$3:$K$6002,원본명단!$K3433)))</f>
        <v/>
      </c>
      <c r="H3434" s="11" t="str">
        <f aca="false">IF($A3434="","",IF(MAX($E3434,$F3434,$G3434)&gt;1,"중복","-"))</f>
        <v/>
      </c>
      <c r="I3434" s="11" t="str">
        <f aca="false">IF($A3434="","",IF($H3434="-","-",IF(AND(IF(원본명단!$H3433="",TRUE(),COUNTIF(원본명단!$H$3:$H3433,원본명단!$H3433)=1),IF(원본명단!$I3433="",TRUE(),COUNTIF(원본명단!$I$3:$I3433,원본명단!$I3433)=1),IF(원본명단!$K3433="",TRUE(),COUNTIF(원본명단!$K$3:$K3433,원본명단!$K3433)=1)),"첫 건","중복 건")))</f>
        <v/>
      </c>
      <c r="J3434" s="11" t="str">
        <f aca="false">IF($A3434="","",IF($H3434="-","유지",IF($I3434="첫 건","유지","확인 필요")))</f>
        <v/>
      </c>
    </row>
    <row r="3435" customFormat="false" ht="15" hidden="false" customHeight="true" outlineLevel="0" collapsed="false">
      <c r="A3435" s="11" t="str">
        <f aca="false">IF(원본명단!$A3434="","",3432)</f>
        <v/>
      </c>
      <c r="B3435" s="12" t="str">
        <f aca="false">IF($A3435="","",원본명단!$A3434)</f>
        <v/>
      </c>
      <c r="C3435" s="12" t="str">
        <f aca="false">IF($A3435="","",원본명단!$B3434)</f>
        <v/>
      </c>
      <c r="D3435" s="12" t="str">
        <f aca="false">IF($A3435="","",원본명단!$D3434)</f>
        <v/>
      </c>
      <c r="E3435" s="11" t="str">
        <f aca="false">IF($A3435="","",IF(원본명단!$H3434="",0,COUNTIF(원본명단!$H$3:$H$6002,원본명단!$H3434)))</f>
        <v/>
      </c>
      <c r="F3435" s="11" t="str">
        <f aca="false">IF($A3435="","",IF(원본명단!$I3434="",0,COUNTIF(원본명단!$I$3:$I$6002,원본명단!$I3434)))</f>
        <v/>
      </c>
      <c r="G3435" s="11" t="str">
        <f aca="false">IF($A3435="","",IF(원본명단!$K3434="",0,COUNTIF(원본명단!$K$3:$K$6002,원본명단!$K3434)))</f>
        <v/>
      </c>
      <c r="H3435" s="11" t="str">
        <f aca="false">IF($A3435="","",IF(MAX($E3435,$F3435,$G3435)&gt;1,"중복","-"))</f>
        <v/>
      </c>
      <c r="I3435" s="11" t="str">
        <f aca="false">IF($A3435="","",IF($H3435="-","-",IF(AND(IF(원본명단!$H3434="",TRUE(),COUNTIF(원본명단!$H$3:$H3434,원본명단!$H3434)=1),IF(원본명단!$I3434="",TRUE(),COUNTIF(원본명단!$I$3:$I3434,원본명단!$I3434)=1),IF(원본명단!$K3434="",TRUE(),COUNTIF(원본명단!$K$3:$K3434,원본명단!$K3434)=1)),"첫 건","중복 건")))</f>
        <v/>
      </c>
      <c r="J3435" s="11" t="str">
        <f aca="false">IF($A3435="","",IF($H3435="-","유지",IF($I3435="첫 건","유지","확인 필요")))</f>
        <v/>
      </c>
    </row>
    <row r="3436" customFormat="false" ht="15" hidden="false" customHeight="true" outlineLevel="0" collapsed="false">
      <c r="A3436" s="11" t="str">
        <f aca="false">IF(원본명단!$A3435="","",3433)</f>
        <v/>
      </c>
      <c r="B3436" s="12" t="str">
        <f aca="false">IF($A3436="","",원본명단!$A3435)</f>
        <v/>
      </c>
      <c r="C3436" s="12" t="str">
        <f aca="false">IF($A3436="","",원본명단!$B3435)</f>
        <v/>
      </c>
      <c r="D3436" s="12" t="str">
        <f aca="false">IF($A3436="","",원본명단!$D3435)</f>
        <v/>
      </c>
      <c r="E3436" s="11" t="str">
        <f aca="false">IF($A3436="","",IF(원본명단!$H3435="",0,COUNTIF(원본명단!$H$3:$H$6002,원본명단!$H3435)))</f>
        <v/>
      </c>
      <c r="F3436" s="11" t="str">
        <f aca="false">IF($A3436="","",IF(원본명단!$I3435="",0,COUNTIF(원본명단!$I$3:$I$6002,원본명단!$I3435)))</f>
        <v/>
      </c>
      <c r="G3436" s="11" t="str">
        <f aca="false">IF($A3436="","",IF(원본명단!$K3435="",0,COUNTIF(원본명단!$K$3:$K$6002,원본명단!$K3435)))</f>
        <v/>
      </c>
      <c r="H3436" s="11" t="str">
        <f aca="false">IF($A3436="","",IF(MAX($E3436,$F3436,$G3436)&gt;1,"중복","-"))</f>
        <v/>
      </c>
      <c r="I3436" s="11" t="str">
        <f aca="false">IF($A3436="","",IF($H3436="-","-",IF(AND(IF(원본명단!$H3435="",TRUE(),COUNTIF(원본명단!$H$3:$H3435,원본명단!$H3435)=1),IF(원본명단!$I3435="",TRUE(),COUNTIF(원본명단!$I$3:$I3435,원본명단!$I3435)=1),IF(원본명단!$K3435="",TRUE(),COUNTIF(원본명단!$K$3:$K3435,원본명단!$K3435)=1)),"첫 건","중복 건")))</f>
        <v/>
      </c>
      <c r="J3436" s="11" t="str">
        <f aca="false">IF($A3436="","",IF($H3436="-","유지",IF($I3436="첫 건","유지","확인 필요")))</f>
        <v/>
      </c>
    </row>
    <row r="3437" customFormat="false" ht="15" hidden="false" customHeight="true" outlineLevel="0" collapsed="false">
      <c r="A3437" s="11" t="str">
        <f aca="false">IF(원본명단!$A3436="","",3434)</f>
        <v/>
      </c>
      <c r="B3437" s="12" t="str">
        <f aca="false">IF($A3437="","",원본명단!$A3436)</f>
        <v/>
      </c>
      <c r="C3437" s="12" t="str">
        <f aca="false">IF($A3437="","",원본명단!$B3436)</f>
        <v/>
      </c>
      <c r="D3437" s="12" t="str">
        <f aca="false">IF($A3437="","",원본명단!$D3436)</f>
        <v/>
      </c>
      <c r="E3437" s="11" t="str">
        <f aca="false">IF($A3437="","",IF(원본명단!$H3436="",0,COUNTIF(원본명단!$H$3:$H$6002,원본명단!$H3436)))</f>
        <v/>
      </c>
      <c r="F3437" s="11" t="str">
        <f aca="false">IF($A3437="","",IF(원본명단!$I3436="",0,COUNTIF(원본명단!$I$3:$I$6002,원본명단!$I3436)))</f>
        <v/>
      </c>
      <c r="G3437" s="11" t="str">
        <f aca="false">IF($A3437="","",IF(원본명단!$K3436="",0,COUNTIF(원본명단!$K$3:$K$6002,원본명단!$K3436)))</f>
        <v/>
      </c>
      <c r="H3437" s="11" t="str">
        <f aca="false">IF($A3437="","",IF(MAX($E3437,$F3437,$G3437)&gt;1,"중복","-"))</f>
        <v/>
      </c>
      <c r="I3437" s="11" t="str">
        <f aca="false">IF($A3437="","",IF($H3437="-","-",IF(AND(IF(원본명단!$H3436="",TRUE(),COUNTIF(원본명단!$H$3:$H3436,원본명단!$H3436)=1),IF(원본명단!$I3436="",TRUE(),COUNTIF(원본명단!$I$3:$I3436,원본명단!$I3436)=1),IF(원본명단!$K3436="",TRUE(),COUNTIF(원본명단!$K$3:$K3436,원본명단!$K3436)=1)),"첫 건","중복 건")))</f>
        <v/>
      </c>
      <c r="J3437" s="11" t="str">
        <f aca="false">IF($A3437="","",IF($H3437="-","유지",IF($I3437="첫 건","유지","확인 필요")))</f>
        <v/>
      </c>
    </row>
    <row r="3438" customFormat="false" ht="15" hidden="false" customHeight="true" outlineLevel="0" collapsed="false">
      <c r="A3438" s="11" t="str">
        <f aca="false">IF(원본명단!$A3437="","",3435)</f>
        <v/>
      </c>
      <c r="B3438" s="12" t="str">
        <f aca="false">IF($A3438="","",원본명단!$A3437)</f>
        <v/>
      </c>
      <c r="C3438" s="12" t="str">
        <f aca="false">IF($A3438="","",원본명단!$B3437)</f>
        <v/>
      </c>
      <c r="D3438" s="12" t="str">
        <f aca="false">IF($A3438="","",원본명단!$D3437)</f>
        <v/>
      </c>
      <c r="E3438" s="11" t="str">
        <f aca="false">IF($A3438="","",IF(원본명단!$H3437="",0,COUNTIF(원본명단!$H$3:$H$6002,원본명단!$H3437)))</f>
        <v/>
      </c>
      <c r="F3438" s="11" t="str">
        <f aca="false">IF($A3438="","",IF(원본명단!$I3437="",0,COUNTIF(원본명단!$I$3:$I$6002,원본명단!$I3437)))</f>
        <v/>
      </c>
      <c r="G3438" s="11" t="str">
        <f aca="false">IF($A3438="","",IF(원본명단!$K3437="",0,COUNTIF(원본명단!$K$3:$K$6002,원본명단!$K3437)))</f>
        <v/>
      </c>
      <c r="H3438" s="11" t="str">
        <f aca="false">IF($A3438="","",IF(MAX($E3438,$F3438,$G3438)&gt;1,"중복","-"))</f>
        <v/>
      </c>
      <c r="I3438" s="11" t="str">
        <f aca="false">IF($A3438="","",IF($H3438="-","-",IF(AND(IF(원본명단!$H3437="",TRUE(),COUNTIF(원본명단!$H$3:$H3437,원본명단!$H3437)=1),IF(원본명단!$I3437="",TRUE(),COUNTIF(원본명단!$I$3:$I3437,원본명단!$I3437)=1),IF(원본명단!$K3437="",TRUE(),COUNTIF(원본명단!$K$3:$K3437,원본명단!$K3437)=1)),"첫 건","중복 건")))</f>
        <v/>
      </c>
      <c r="J3438" s="11" t="str">
        <f aca="false">IF($A3438="","",IF($H3438="-","유지",IF($I3438="첫 건","유지","확인 필요")))</f>
        <v/>
      </c>
    </row>
    <row r="3439" customFormat="false" ht="15" hidden="false" customHeight="true" outlineLevel="0" collapsed="false">
      <c r="A3439" s="11" t="str">
        <f aca="false">IF(원본명단!$A3438="","",3436)</f>
        <v/>
      </c>
      <c r="B3439" s="12" t="str">
        <f aca="false">IF($A3439="","",원본명단!$A3438)</f>
        <v/>
      </c>
      <c r="C3439" s="12" t="str">
        <f aca="false">IF($A3439="","",원본명단!$B3438)</f>
        <v/>
      </c>
      <c r="D3439" s="12" t="str">
        <f aca="false">IF($A3439="","",원본명단!$D3438)</f>
        <v/>
      </c>
      <c r="E3439" s="11" t="str">
        <f aca="false">IF($A3439="","",IF(원본명단!$H3438="",0,COUNTIF(원본명단!$H$3:$H$6002,원본명단!$H3438)))</f>
        <v/>
      </c>
      <c r="F3439" s="11" t="str">
        <f aca="false">IF($A3439="","",IF(원본명단!$I3438="",0,COUNTIF(원본명단!$I$3:$I$6002,원본명단!$I3438)))</f>
        <v/>
      </c>
      <c r="G3439" s="11" t="str">
        <f aca="false">IF($A3439="","",IF(원본명단!$K3438="",0,COUNTIF(원본명단!$K$3:$K$6002,원본명단!$K3438)))</f>
        <v/>
      </c>
      <c r="H3439" s="11" t="str">
        <f aca="false">IF($A3439="","",IF(MAX($E3439,$F3439,$G3439)&gt;1,"중복","-"))</f>
        <v/>
      </c>
      <c r="I3439" s="11" t="str">
        <f aca="false">IF($A3439="","",IF($H3439="-","-",IF(AND(IF(원본명단!$H3438="",TRUE(),COUNTIF(원본명단!$H$3:$H3438,원본명단!$H3438)=1),IF(원본명단!$I3438="",TRUE(),COUNTIF(원본명단!$I$3:$I3438,원본명단!$I3438)=1),IF(원본명단!$K3438="",TRUE(),COUNTIF(원본명단!$K$3:$K3438,원본명단!$K3438)=1)),"첫 건","중복 건")))</f>
        <v/>
      </c>
      <c r="J3439" s="11" t="str">
        <f aca="false">IF($A3439="","",IF($H3439="-","유지",IF($I3439="첫 건","유지","확인 필요")))</f>
        <v/>
      </c>
    </row>
    <row r="3440" customFormat="false" ht="15" hidden="false" customHeight="true" outlineLevel="0" collapsed="false">
      <c r="A3440" s="11" t="str">
        <f aca="false">IF(원본명단!$A3439="","",3437)</f>
        <v/>
      </c>
      <c r="B3440" s="12" t="str">
        <f aca="false">IF($A3440="","",원본명단!$A3439)</f>
        <v/>
      </c>
      <c r="C3440" s="12" t="str">
        <f aca="false">IF($A3440="","",원본명단!$B3439)</f>
        <v/>
      </c>
      <c r="D3440" s="12" t="str">
        <f aca="false">IF($A3440="","",원본명단!$D3439)</f>
        <v/>
      </c>
      <c r="E3440" s="11" t="str">
        <f aca="false">IF($A3440="","",IF(원본명단!$H3439="",0,COUNTIF(원본명단!$H$3:$H$6002,원본명단!$H3439)))</f>
        <v/>
      </c>
      <c r="F3440" s="11" t="str">
        <f aca="false">IF($A3440="","",IF(원본명단!$I3439="",0,COUNTIF(원본명단!$I$3:$I$6002,원본명단!$I3439)))</f>
        <v/>
      </c>
      <c r="G3440" s="11" t="str">
        <f aca="false">IF($A3440="","",IF(원본명단!$K3439="",0,COUNTIF(원본명단!$K$3:$K$6002,원본명단!$K3439)))</f>
        <v/>
      </c>
      <c r="H3440" s="11" t="str">
        <f aca="false">IF($A3440="","",IF(MAX($E3440,$F3440,$G3440)&gt;1,"중복","-"))</f>
        <v/>
      </c>
      <c r="I3440" s="11" t="str">
        <f aca="false">IF($A3440="","",IF($H3440="-","-",IF(AND(IF(원본명단!$H3439="",TRUE(),COUNTIF(원본명단!$H$3:$H3439,원본명단!$H3439)=1),IF(원본명단!$I3439="",TRUE(),COUNTIF(원본명단!$I$3:$I3439,원본명단!$I3439)=1),IF(원본명단!$K3439="",TRUE(),COUNTIF(원본명단!$K$3:$K3439,원본명단!$K3439)=1)),"첫 건","중복 건")))</f>
        <v/>
      </c>
      <c r="J3440" s="11" t="str">
        <f aca="false">IF($A3440="","",IF($H3440="-","유지",IF($I3440="첫 건","유지","확인 필요")))</f>
        <v/>
      </c>
    </row>
    <row r="3441" customFormat="false" ht="15" hidden="false" customHeight="true" outlineLevel="0" collapsed="false">
      <c r="A3441" s="11" t="str">
        <f aca="false">IF(원본명단!$A3440="","",3438)</f>
        <v/>
      </c>
      <c r="B3441" s="12" t="str">
        <f aca="false">IF($A3441="","",원본명단!$A3440)</f>
        <v/>
      </c>
      <c r="C3441" s="12" t="str">
        <f aca="false">IF($A3441="","",원본명단!$B3440)</f>
        <v/>
      </c>
      <c r="D3441" s="12" t="str">
        <f aca="false">IF($A3441="","",원본명단!$D3440)</f>
        <v/>
      </c>
      <c r="E3441" s="11" t="str">
        <f aca="false">IF($A3441="","",IF(원본명단!$H3440="",0,COUNTIF(원본명단!$H$3:$H$6002,원본명단!$H3440)))</f>
        <v/>
      </c>
      <c r="F3441" s="11" t="str">
        <f aca="false">IF($A3441="","",IF(원본명단!$I3440="",0,COUNTIF(원본명단!$I$3:$I$6002,원본명단!$I3440)))</f>
        <v/>
      </c>
      <c r="G3441" s="11" t="str">
        <f aca="false">IF($A3441="","",IF(원본명단!$K3440="",0,COUNTIF(원본명단!$K$3:$K$6002,원본명단!$K3440)))</f>
        <v/>
      </c>
      <c r="H3441" s="11" t="str">
        <f aca="false">IF($A3441="","",IF(MAX($E3441,$F3441,$G3441)&gt;1,"중복","-"))</f>
        <v/>
      </c>
      <c r="I3441" s="11" t="str">
        <f aca="false">IF($A3441="","",IF($H3441="-","-",IF(AND(IF(원본명단!$H3440="",TRUE(),COUNTIF(원본명단!$H$3:$H3440,원본명단!$H3440)=1),IF(원본명단!$I3440="",TRUE(),COUNTIF(원본명단!$I$3:$I3440,원본명단!$I3440)=1),IF(원본명단!$K3440="",TRUE(),COUNTIF(원본명단!$K$3:$K3440,원본명단!$K3440)=1)),"첫 건","중복 건")))</f>
        <v/>
      </c>
      <c r="J3441" s="11" t="str">
        <f aca="false">IF($A3441="","",IF($H3441="-","유지",IF($I3441="첫 건","유지","확인 필요")))</f>
        <v/>
      </c>
    </row>
    <row r="3442" customFormat="false" ht="15" hidden="false" customHeight="true" outlineLevel="0" collapsed="false">
      <c r="A3442" s="11" t="str">
        <f aca="false">IF(원본명단!$A3441="","",3439)</f>
        <v/>
      </c>
      <c r="B3442" s="12" t="str">
        <f aca="false">IF($A3442="","",원본명단!$A3441)</f>
        <v/>
      </c>
      <c r="C3442" s="12" t="str">
        <f aca="false">IF($A3442="","",원본명단!$B3441)</f>
        <v/>
      </c>
      <c r="D3442" s="12" t="str">
        <f aca="false">IF($A3442="","",원본명단!$D3441)</f>
        <v/>
      </c>
      <c r="E3442" s="11" t="str">
        <f aca="false">IF($A3442="","",IF(원본명단!$H3441="",0,COUNTIF(원본명단!$H$3:$H$6002,원본명단!$H3441)))</f>
        <v/>
      </c>
      <c r="F3442" s="11" t="str">
        <f aca="false">IF($A3442="","",IF(원본명단!$I3441="",0,COUNTIF(원본명단!$I$3:$I$6002,원본명단!$I3441)))</f>
        <v/>
      </c>
      <c r="G3442" s="11" t="str">
        <f aca="false">IF($A3442="","",IF(원본명단!$K3441="",0,COUNTIF(원본명단!$K$3:$K$6002,원본명단!$K3441)))</f>
        <v/>
      </c>
      <c r="H3442" s="11" t="str">
        <f aca="false">IF($A3442="","",IF(MAX($E3442,$F3442,$G3442)&gt;1,"중복","-"))</f>
        <v/>
      </c>
      <c r="I3442" s="11" t="str">
        <f aca="false">IF($A3442="","",IF($H3442="-","-",IF(AND(IF(원본명단!$H3441="",TRUE(),COUNTIF(원본명단!$H$3:$H3441,원본명단!$H3441)=1),IF(원본명단!$I3441="",TRUE(),COUNTIF(원본명단!$I$3:$I3441,원본명단!$I3441)=1),IF(원본명단!$K3441="",TRUE(),COUNTIF(원본명단!$K$3:$K3441,원본명단!$K3441)=1)),"첫 건","중복 건")))</f>
        <v/>
      </c>
      <c r="J3442" s="11" t="str">
        <f aca="false">IF($A3442="","",IF($H3442="-","유지",IF($I3442="첫 건","유지","확인 필요")))</f>
        <v/>
      </c>
    </row>
    <row r="3443" customFormat="false" ht="15" hidden="false" customHeight="true" outlineLevel="0" collapsed="false">
      <c r="A3443" s="11" t="str">
        <f aca="false">IF(원본명단!$A3442="","",3440)</f>
        <v/>
      </c>
      <c r="B3443" s="12" t="str">
        <f aca="false">IF($A3443="","",원본명단!$A3442)</f>
        <v/>
      </c>
      <c r="C3443" s="12" t="str">
        <f aca="false">IF($A3443="","",원본명단!$B3442)</f>
        <v/>
      </c>
      <c r="D3443" s="12" t="str">
        <f aca="false">IF($A3443="","",원본명단!$D3442)</f>
        <v/>
      </c>
      <c r="E3443" s="11" t="str">
        <f aca="false">IF($A3443="","",IF(원본명단!$H3442="",0,COUNTIF(원본명단!$H$3:$H$6002,원본명단!$H3442)))</f>
        <v/>
      </c>
      <c r="F3443" s="11" t="str">
        <f aca="false">IF($A3443="","",IF(원본명단!$I3442="",0,COUNTIF(원본명단!$I$3:$I$6002,원본명단!$I3442)))</f>
        <v/>
      </c>
      <c r="G3443" s="11" t="str">
        <f aca="false">IF($A3443="","",IF(원본명단!$K3442="",0,COUNTIF(원본명단!$K$3:$K$6002,원본명단!$K3442)))</f>
        <v/>
      </c>
      <c r="H3443" s="11" t="str">
        <f aca="false">IF($A3443="","",IF(MAX($E3443,$F3443,$G3443)&gt;1,"중복","-"))</f>
        <v/>
      </c>
      <c r="I3443" s="11" t="str">
        <f aca="false">IF($A3443="","",IF($H3443="-","-",IF(AND(IF(원본명단!$H3442="",TRUE(),COUNTIF(원본명단!$H$3:$H3442,원본명단!$H3442)=1),IF(원본명단!$I3442="",TRUE(),COUNTIF(원본명단!$I$3:$I3442,원본명단!$I3442)=1),IF(원본명단!$K3442="",TRUE(),COUNTIF(원본명단!$K$3:$K3442,원본명단!$K3442)=1)),"첫 건","중복 건")))</f>
        <v/>
      </c>
      <c r="J3443" s="11" t="str">
        <f aca="false">IF($A3443="","",IF($H3443="-","유지",IF($I3443="첫 건","유지","확인 필요")))</f>
        <v/>
      </c>
    </row>
    <row r="3444" customFormat="false" ht="15" hidden="false" customHeight="true" outlineLevel="0" collapsed="false">
      <c r="A3444" s="11" t="str">
        <f aca="false">IF(원본명단!$A3443="","",3441)</f>
        <v/>
      </c>
      <c r="B3444" s="12" t="str">
        <f aca="false">IF($A3444="","",원본명단!$A3443)</f>
        <v/>
      </c>
      <c r="C3444" s="12" t="str">
        <f aca="false">IF($A3444="","",원본명단!$B3443)</f>
        <v/>
      </c>
      <c r="D3444" s="12" t="str">
        <f aca="false">IF($A3444="","",원본명단!$D3443)</f>
        <v/>
      </c>
      <c r="E3444" s="11" t="str">
        <f aca="false">IF($A3444="","",IF(원본명단!$H3443="",0,COUNTIF(원본명단!$H$3:$H$6002,원본명단!$H3443)))</f>
        <v/>
      </c>
      <c r="F3444" s="11" t="str">
        <f aca="false">IF($A3444="","",IF(원본명단!$I3443="",0,COUNTIF(원본명단!$I$3:$I$6002,원본명단!$I3443)))</f>
        <v/>
      </c>
      <c r="G3444" s="11" t="str">
        <f aca="false">IF($A3444="","",IF(원본명단!$K3443="",0,COUNTIF(원본명단!$K$3:$K$6002,원본명단!$K3443)))</f>
        <v/>
      </c>
      <c r="H3444" s="11" t="str">
        <f aca="false">IF($A3444="","",IF(MAX($E3444,$F3444,$G3444)&gt;1,"중복","-"))</f>
        <v/>
      </c>
      <c r="I3444" s="11" t="str">
        <f aca="false">IF($A3444="","",IF($H3444="-","-",IF(AND(IF(원본명단!$H3443="",TRUE(),COUNTIF(원본명단!$H$3:$H3443,원본명단!$H3443)=1),IF(원본명단!$I3443="",TRUE(),COUNTIF(원본명단!$I$3:$I3443,원본명단!$I3443)=1),IF(원본명단!$K3443="",TRUE(),COUNTIF(원본명단!$K$3:$K3443,원본명단!$K3443)=1)),"첫 건","중복 건")))</f>
        <v/>
      </c>
      <c r="J3444" s="11" t="str">
        <f aca="false">IF($A3444="","",IF($H3444="-","유지",IF($I3444="첫 건","유지","확인 필요")))</f>
        <v/>
      </c>
    </row>
    <row r="3445" customFormat="false" ht="15" hidden="false" customHeight="true" outlineLevel="0" collapsed="false">
      <c r="A3445" s="11" t="str">
        <f aca="false">IF(원본명단!$A3444="","",3442)</f>
        <v/>
      </c>
      <c r="B3445" s="12" t="str">
        <f aca="false">IF($A3445="","",원본명단!$A3444)</f>
        <v/>
      </c>
      <c r="C3445" s="12" t="str">
        <f aca="false">IF($A3445="","",원본명단!$B3444)</f>
        <v/>
      </c>
      <c r="D3445" s="12" t="str">
        <f aca="false">IF($A3445="","",원본명단!$D3444)</f>
        <v/>
      </c>
      <c r="E3445" s="11" t="str">
        <f aca="false">IF($A3445="","",IF(원본명단!$H3444="",0,COUNTIF(원본명단!$H$3:$H$6002,원본명단!$H3444)))</f>
        <v/>
      </c>
      <c r="F3445" s="11" t="str">
        <f aca="false">IF($A3445="","",IF(원본명단!$I3444="",0,COUNTIF(원본명단!$I$3:$I$6002,원본명단!$I3444)))</f>
        <v/>
      </c>
      <c r="G3445" s="11" t="str">
        <f aca="false">IF($A3445="","",IF(원본명단!$K3444="",0,COUNTIF(원본명단!$K$3:$K$6002,원본명단!$K3444)))</f>
        <v/>
      </c>
      <c r="H3445" s="11" t="str">
        <f aca="false">IF($A3445="","",IF(MAX($E3445,$F3445,$G3445)&gt;1,"중복","-"))</f>
        <v/>
      </c>
      <c r="I3445" s="11" t="str">
        <f aca="false">IF($A3445="","",IF($H3445="-","-",IF(AND(IF(원본명단!$H3444="",TRUE(),COUNTIF(원본명단!$H$3:$H3444,원본명단!$H3444)=1),IF(원본명단!$I3444="",TRUE(),COUNTIF(원본명단!$I$3:$I3444,원본명단!$I3444)=1),IF(원본명단!$K3444="",TRUE(),COUNTIF(원본명단!$K$3:$K3444,원본명단!$K3444)=1)),"첫 건","중복 건")))</f>
        <v/>
      </c>
      <c r="J3445" s="11" t="str">
        <f aca="false">IF($A3445="","",IF($H3445="-","유지",IF($I3445="첫 건","유지","확인 필요")))</f>
        <v/>
      </c>
    </row>
    <row r="3446" customFormat="false" ht="15" hidden="false" customHeight="true" outlineLevel="0" collapsed="false">
      <c r="A3446" s="11" t="str">
        <f aca="false">IF(원본명단!$A3445="","",3443)</f>
        <v/>
      </c>
      <c r="B3446" s="12" t="str">
        <f aca="false">IF($A3446="","",원본명단!$A3445)</f>
        <v/>
      </c>
      <c r="C3446" s="12" t="str">
        <f aca="false">IF($A3446="","",원본명단!$B3445)</f>
        <v/>
      </c>
      <c r="D3446" s="12" t="str">
        <f aca="false">IF($A3446="","",원본명단!$D3445)</f>
        <v/>
      </c>
      <c r="E3446" s="11" t="str">
        <f aca="false">IF($A3446="","",IF(원본명단!$H3445="",0,COUNTIF(원본명단!$H$3:$H$6002,원본명단!$H3445)))</f>
        <v/>
      </c>
      <c r="F3446" s="11" t="str">
        <f aca="false">IF($A3446="","",IF(원본명단!$I3445="",0,COUNTIF(원본명단!$I$3:$I$6002,원본명단!$I3445)))</f>
        <v/>
      </c>
      <c r="G3446" s="11" t="str">
        <f aca="false">IF($A3446="","",IF(원본명단!$K3445="",0,COUNTIF(원본명단!$K$3:$K$6002,원본명단!$K3445)))</f>
        <v/>
      </c>
      <c r="H3446" s="11" t="str">
        <f aca="false">IF($A3446="","",IF(MAX($E3446,$F3446,$G3446)&gt;1,"중복","-"))</f>
        <v/>
      </c>
      <c r="I3446" s="11" t="str">
        <f aca="false">IF($A3446="","",IF($H3446="-","-",IF(AND(IF(원본명단!$H3445="",TRUE(),COUNTIF(원본명단!$H$3:$H3445,원본명단!$H3445)=1),IF(원본명단!$I3445="",TRUE(),COUNTIF(원본명단!$I$3:$I3445,원본명단!$I3445)=1),IF(원본명단!$K3445="",TRUE(),COUNTIF(원본명단!$K$3:$K3445,원본명단!$K3445)=1)),"첫 건","중복 건")))</f>
        <v/>
      </c>
      <c r="J3446" s="11" t="str">
        <f aca="false">IF($A3446="","",IF($H3446="-","유지",IF($I3446="첫 건","유지","확인 필요")))</f>
        <v/>
      </c>
    </row>
    <row r="3447" customFormat="false" ht="15" hidden="false" customHeight="true" outlineLevel="0" collapsed="false">
      <c r="A3447" s="11" t="str">
        <f aca="false">IF(원본명단!$A3446="","",3444)</f>
        <v/>
      </c>
      <c r="B3447" s="12" t="str">
        <f aca="false">IF($A3447="","",원본명단!$A3446)</f>
        <v/>
      </c>
      <c r="C3447" s="12" t="str">
        <f aca="false">IF($A3447="","",원본명단!$B3446)</f>
        <v/>
      </c>
      <c r="D3447" s="12" t="str">
        <f aca="false">IF($A3447="","",원본명단!$D3446)</f>
        <v/>
      </c>
      <c r="E3447" s="11" t="str">
        <f aca="false">IF($A3447="","",IF(원본명단!$H3446="",0,COUNTIF(원본명단!$H$3:$H$6002,원본명단!$H3446)))</f>
        <v/>
      </c>
      <c r="F3447" s="11" t="str">
        <f aca="false">IF($A3447="","",IF(원본명단!$I3446="",0,COUNTIF(원본명단!$I$3:$I$6002,원본명단!$I3446)))</f>
        <v/>
      </c>
      <c r="G3447" s="11" t="str">
        <f aca="false">IF($A3447="","",IF(원본명단!$K3446="",0,COUNTIF(원본명단!$K$3:$K$6002,원본명단!$K3446)))</f>
        <v/>
      </c>
      <c r="H3447" s="11" t="str">
        <f aca="false">IF($A3447="","",IF(MAX($E3447,$F3447,$G3447)&gt;1,"중복","-"))</f>
        <v/>
      </c>
      <c r="I3447" s="11" t="str">
        <f aca="false">IF($A3447="","",IF($H3447="-","-",IF(AND(IF(원본명단!$H3446="",TRUE(),COUNTIF(원본명단!$H$3:$H3446,원본명단!$H3446)=1),IF(원본명단!$I3446="",TRUE(),COUNTIF(원본명단!$I$3:$I3446,원본명단!$I3446)=1),IF(원본명단!$K3446="",TRUE(),COUNTIF(원본명단!$K$3:$K3446,원본명단!$K3446)=1)),"첫 건","중복 건")))</f>
        <v/>
      </c>
      <c r="J3447" s="11" t="str">
        <f aca="false">IF($A3447="","",IF($H3447="-","유지",IF($I3447="첫 건","유지","확인 필요")))</f>
        <v/>
      </c>
    </row>
    <row r="3448" customFormat="false" ht="15" hidden="false" customHeight="true" outlineLevel="0" collapsed="false">
      <c r="A3448" s="11" t="str">
        <f aca="false">IF(원본명단!$A3447="","",3445)</f>
        <v/>
      </c>
      <c r="B3448" s="12" t="str">
        <f aca="false">IF($A3448="","",원본명단!$A3447)</f>
        <v/>
      </c>
      <c r="C3448" s="12" t="str">
        <f aca="false">IF($A3448="","",원본명단!$B3447)</f>
        <v/>
      </c>
      <c r="D3448" s="12" t="str">
        <f aca="false">IF($A3448="","",원본명단!$D3447)</f>
        <v/>
      </c>
      <c r="E3448" s="11" t="str">
        <f aca="false">IF($A3448="","",IF(원본명단!$H3447="",0,COUNTIF(원본명단!$H$3:$H$6002,원본명단!$H3447)))</f>
        <v/>
      </c>
      <c r="F3448" s="11" t="str">
        <f aca="false">IF($A3448="","",IF(원본명단!$I3447="",0,COUNTIF(원본명단!$I$3:$I$6002,원본명단!$I3447)))</f>
        <v/>
      </c>
      <c r="G3448" s="11" t="str">
        <f aca="false">IF($A3448="","",IF(원본명단!$K3447="",0,COUNTIF(원본명단!$K$3:$K$6002,원본명단!$K3447)))</f>
        <v/>
      </c>
      <c r="H3448" s="11" t="str">
        <f aca="false">IF($A3448="","",IF(MAX($E3448,$F3448,$G3448)&gt;1,"중복","-"))</f>
        <v/>
      </c>
      <c r="I3448" s="11" t="str">
        <f aca="false">IF($A3448="","",IF($H3448="-","-",IF(AND(IF(원본명단!$H3447="",TRUE(),COUNTIF(원본명단!$H$3:$H3447,원본명단!$H3447)=1),IF(원본명단!$I3447="",TRUE(),COUNTIF(원본명단!$I$3:$I3447,원본명단!$I3447)=1),IF(원본명단!$K3447="",TRUE(),COUNTIF(원본명단!$K$3:$K3447,원본명단!$K3447)=1)),"첫 건","중복 건")))</f>
        <v/>
      </c>
      <c r="J3448" s="11" t="str">
        <f aca="false">IF($A3448="","",IF($H3448="-","유지",IF($I3448="첫 건","유지","확인 필요")))</f>
        <v/>
      </c>
    </row>
    <row r="3449" customFormat="false" ht="15" hidden="false" customHeight="true" outlineLevel="0" collapsed="false">
      <c r="A3449" s="11" t="str">
        <f aca="false">IF(원본명단!$A3448="","",3446)</f>
        <v/>
      </c>
      <c r="B3449" s="12" t="str">
        <f aca="false">IF($A3449="","",원본명단!$A3448)</f>
        <v/>
      </c>
      <c r="C3449" s="12" t="str">
        <f aca="false">IF($A3449="","",원본명단!$B3448)</f>
        <v/>
      </c>
      <c r="D3449" s="12" t="str">
        <f aca="false">IF($A3449="","",원본명단!$D3448)</f>
        <v/>
      </c>
      <c r="E3449" s="11" t="str">
        <f aca="false">IF($A3449="","",IF(원본명단!$H3448="",0,COUNTIF(원본명단!$H$3:$H$6002,원본명단!$H3448)))</f>
        <v/>
      </c>
      <c r="F3449" s="11" t="str">
        <f aca="false">IF($A3449="","",IF(원본명단!$I3448="",0,COUNTIF(원본명단!$I$3:$I$6002,원본명단!$I3448)))</f>
        <v/>
      </c>
      <c r="G3449" s="11" t="str">
        <f aca="false">IF($A3449="","",IF(원본명단!$K3448="",0,COUNTIF(원본명단!$K$3:$K$6002,원본명단!$K3448)))</f>
        <v/>
      </c>
      <c r="H3449" s="11" t="str">
        <f aca="false">IF($A3449="","",IF(MAX($E3449,$F3449,$G3449)&gt;1,"중복","-"))</f>
        <v/>
      </c>
      <c r="I3449" s="11" t="str">
        <f aca="false">IF($A3449="","",IF($H3449="-","-",IF(AND(IF(원본명단!$H3448="",TRUE(),COUNTIF(원본명단!$H$3:$H3448,원본명단!$H3448)=1),IF(원본명단!$I3448="",TRUE(),COUNTIF(원본명단!$I$3:$I3448,원본명단!$I3448)=1),IF(원본명단!$K3448="",TRUE(),COUNTIF(원본명단!$K$3:$K3448,원본명단!$K3448)=1)),"첫 건","중복 건")))</f>
        <v/>
      </c>
      <c r="J3449" s="11" t="str">
        <f aca="false">IF($A3449="","",IF($H3449="-","유지",IF($I3449="첫 건","유지","확인 필요")))</f>
        <v/>
      </c>
    </row>
    <row r="3450" customFormat="false" ht="15" hidden="false" customHeight="true" outlineLevel="0" collapsed="false">
      <c r="A3450" s="11" t="str">
        <f aca="false">IF(원본명단!$A3449="","",3447)</f>
        <v/>
      </c>
      <c r="B3450" s="12" t="str">
        <f aca="false">IF($A3450="","",원본명단!$A3449)</f>
        <v/>
      </c>
      <c r="C3450" s="12" t="str">
        <f aca="false">IF($A3450="","",원본명단!$B3449)</f>
        <v/>
      </c>
      <c r="D3450" s="12" t="str">
        <f aca="false">IF($A3450="","",원본명단!$D3449)</f>
        <v/>
      </c>
      <c r="E3450" s="11" t="str">
        <f aca="false">IF($A3450="","",IF(원본명단!$H3449="",0,COUNTIF(원본명단!$H$3:$H$6002,원본명단!$H3449)))</f>
        <v/>
      </c>
      <c r="F3450" s="11" t="str">
        <f aca="false">IF($A3450="","",IF(원본명단!$I3449="",0,COUNTIF(원본명단!$I$3:$I$6002,원본명단!$I3449)))</f>
        <v/>
      </c>
      <c r="G3450" s="11" t="str">
        <f aca="false">IF($A3450="","",IF(원본명단!$K3449="",0,COUNTIF(원본명단!$K$3:$K$6002,원본명단!$K3449)))</f>
        <v/>
      </c>
      <c r="H3450" s="11" t="str">
        <f aca="false">IF($A3450="","",IF(MAX($E3450,$F3450,$G3450)&gt;1,"중복","-"))</f>
        <v/>
      </c>
      <c r="I3450" s="11" t="str">
        <f aca="false">IF($A3450="","",IF($H3450="-","-",IF(AND(IF(원본명단!$H3449="",TRUE(),COUNTIF(원본명단!$H$3:$H3449,원본명단!$H3449)=1),IF(원본명단!$I3449="",TRUE(),COUNTIF(원본명단!$I$3:$I3449,원본명단!$I3449)=1),IF(원본명단!$K3449="",TRUE(),COUNTIF(원본명단!$K$3:$K3449,원본명단!$K3449)=1)),"첫 건","중복 건")))</f>
        <v/>
      </c>
      <c r="J3450" s="11" t="str">
        <f aca="false">IF($A3450="","",IF($H3450="-","유지",IF($I3450="첫 건","유지","확인 필요")))</f>
        <v/>
      </c>
    </row>
    <row r="3451" customFormat="false" ht="15" hidden="false" customHeight="true" outlineLevel="0" collapsed="false">
      <c r="A3451" s="11" t="str">
        <f aca="false">IF(원본명단!$A3450="","",3448)</f>
        <v/>
      </c>
      <c r="B3451" s="12" t="str">
        <f aca="false">IF($A3451="","",원본명단!$A3450)</f>
        <v/>
      </c>
      <c r="C3451" s="12" t="str">
        <f aca="false">IF($A3451="","",원본명단!$B3450)</f>
        <v/>
      </c>
      <c r="D3451" s="12" t="str">
        <f aca="false">IF($A3451="","",원본명단!$D3450)</f>
        <v/>
      </c>
      <c r="E3451" s="11" t="str">
        <f aca="false">IF($A3451="","",IF(원본명단!$H3450="",0,COUNTIF(원본명단!$H$3:$H$6002,원본명단!$H3450)))</f>
        <v/>
      </c>
      <c r="F3451" s="11" t="str">
        <f aca="false">IF($A3451="","",IF(원본명단!$I3450="",0,COUNTIF(원본명단!$I$3:$I$6002,원본명단!$I3450)))</f>
        <v/>
      </c>
      <c r="G3451" s="11" t="str">
        <f aca="false">IF($A3451="","",IF(원본명단!$K3450="",0,COUNTIF(원본명단!$K$3:$K$6002,원본명단!$K3450)))</f>
        <v/>
      </c>
      <c r="H3451" s="11" t="str">
        <f aca="false">IF($A3451="","",IF(MAX($E3451,$F3451,$G3451)&gt;1,"중복","-"))</f>
        <v/>
      </c>
      <c r="I3451" s="11" t="str">
        <f aca="false">IF($A3451="","",IF($H3451="-","-",IF(AND(IF(원본명단!$H3450="",TRUE(),COUNTIF(원본명단!$H$3:$H3450,원본명단!$H3450)=1),IF(원본명단!$I3450="",TRUE(),COUNTIF(원본명단!$I$3:$I3450,원본명단!$I3450)=1),IF(원본명단!$K3450="",TRUE(),COUNTIF(원본명단!$K$3:$K3450,원본명단!$K3450)=1)),"첫 건","중복 건")))</f>
        <v/>
      </c>
      <c r="J3451" s="11" t="str">
        <f aca="false">IF($A3451="","",IF($H3451="-","유지",IF($I3451="첫 건","유지","확인 필요")))</f>
        <v/>
      </c>
    </row>
    <row r="3452" customFormat="false" ht="15" hidden="false" customHeight="true" outlineLevel="0" collapsed="false">
      <c r="A3452" s="11" t="str">
        <f aca="false">IF(원본명단!$A3451="","",3449)</f>
        <v/>
      </c>
      <c r="B3452" s="12" t="str">
        <f aca="false">IF($A3452="","",원본명단!$A3451)</f>
        <v/>
      </c>
      <c r="C3452" s="12" t="str">
        <f aca="false">IF($A3452="","",원본명단!$B3451)</f>
        <v/>
      </c>
      <c r="D3452" s="12" t="str">
        <f aca="false">IF($A3452="","",원본명단!$D3451)</f>
        <v/>
      </c>
      <c r="E3452" s="11" t="str">
        <f aca="false">IF($A3452="","",IF(원본명단!$H3451="",0,COUNTIF(원본명단!$H$3:$H$6002,원본명단!$H3451)))</f>
        <v/>
      </c>
      <c r="F3452" s="11" t="str">
        <f aca="false">IF($A3452="","",IF(원본명단!$I3451="",0,COUNTIF(원본명단!$I$3:$I$6002,원본명단!$I3451)))</f>
        <v/>
      </c>
      <c r="G3452" s="11" t="str">
        <f aca="false">IF($A3452="","",IF(원본명단!$K3451="",0,COUNTIF(원본명단!$K$3:$K$6002,원본명단!$K3451)))</f>
        <v/>
      </c>
      <c r="H3452" s="11" t="str">
        <f aca="false">IF($A3452="","",IF(MAX($E3452,$F3452,$G3452)&gt;1,"중복","-"))</f>
        <v/>
      </c>
      <c r="I3452" s="11" t="str">
        <f aca="false">IF($A3452="","",IF($H3452="-","-",IF(AND(IF(원본명단!$H3451="",TRUE(),COUNTIF(원본명단!$H$3:$H3451,원본명단!$H3451)=1),IF(원본명단!$I3451="",TRUE(),COUNTIF(원본명단!$I$3:$I3451,원본명단!$I3451)=1),IF(원본명단!$K3451="",TRUE(),COUNTIF(원본명단!$K$3:$K3451,원본명단!$K3451)=1)),"첫 건","중복 건")))</f>
        <v/>
      </c>
      <c r="J3452" s="11" t="str">
        <f aca="false">IF($A3452="","",IF($H3452="-","유지",IF($I3452="첫 건","유지","확인 필요")))</f>
        <v/>
      </c>
    </row>
    <row r="3453" customFormat="false" ht="15" hidden="false" customHeight="true" outlineLevel="0" collapsed="false">
      <c r="A3453" s="11" t="str">
        <f aca="false">IF(원본명단!$A3452="","",3450)</f>
        <v/>
      </c>
      <c r="B3453" s="12" t="str">
        <f aca="false">IF($A3453="","",원본명단!$A3452)</f>
        <v/>
      </c>
      <c r="C3453" s="12" t="str">
        <f aca="false">IF($A3453="","",원본명단!$B3452)</f>
        <v/>
      </c>
      <c r="D3453" s="12" t="str">
        <f aca="false">IF($A3453="","",원본명단!$D3452)</f>
        <v/>
      </c>
      <c r="E3453" s="11" t="str">
        <f aca="false">IF($A3453="","",IF(원본명단!$H3452="",0,COUNTIF(원본명단!$H$3:$H$6002,원본명단!$H3452)))</f>
        <v/>
      </c>
      <c r="F3453" s="11" t="str">
        <f aca="false">IF($A3453="","",IF(원본명단!$I3452="",0,COUNTIF(원본명단!$I$3:$I$6002,원본명단!$I3452)))</f>
        <v/>
      </c>
      <c r="G3453" s="11" t="str">
        <f aca="false">IF($A3453="","",IF(원본명단!$K3452="",0,COUNTIF(원본명단!$K$3:$K$6002,원본명단!$K3452)))</f>
        <v/>
      </c>
      <c r="H3453" s="11" t="str">
        <f aca="false">IF($A3453="","",IF(MAX($E3453,$F3453,$G3453)&gt;1,"중복","-"))</f>
        <v/>
      </c>
      <c r="I3453" s="11" t="str">
        <f aca="false">IF($A3453="","",IF($H3453="-","-",IF(AND(IF(원본명단!$H3452="",TRUE(),COUNTIF(원본명단!$H$3:$H3452,원본명단!$H3452)=1),IF(원본명단!$I3452="",TRUE(),COUNTIF(원본명단!$I$3:$I3452,원본명단!$I3452)=1),IF(원본명단!$K3452="",TRUE(),COUNTIF(원본명단!$K$3:$K3452,원본명단!$K3452)=1)),"첫 건","중복 건")))</f>
        <v/>
      </c>
      <c r="J3453" s="11" t="str">
        <f aca="false">IF($A3453="","",IF($H3453="-","유지",IF($I3453="첫 건","유지","확인 필요")))</f>
        <v/>
      </c>
    </row>
    <row r="3454" customFormat="false" ht="15" hidden="false" customHeight="true" outlineLevel="0" collapsed="false">
      <c r="A3454" s="11" t="str">
        <f aca="false">IF(원본명단!$A3453="","",3451)</f>
        <v/>
      </c>
      <c r="B3454" s="12" t="str">
        <f aca="false">IF($A3454="","",원본명단!$A3453)</f>
        <v/>
      </c>
      <c r="C3454" s="12" t="str">
        <f aca="false">IF($A3454="","",원본명단!$B3453)</f>
        <v/>
      </c>
      <c r="D3454" s="12" t="str">
        <f aca="false">IF($A3454="","",원본명단!$D3453)</f>
        <v/>
      </c>
      <c r="E3454" s="11" t="str">
        <f aca="false">IF($A3454="","",IF(원본명단!$H3453="",0,COUNTIF(원본명단!$H$3:$H$6002,원본명단!$H3453)))</f>
        <v/>
      </c>
      <c r="F3454" s="11" t="str">
        <f aca="false">IF($A3454="","",IF(원본명단!$I3453="",0,COUNTIF(원본명단!$I$3:$I$6002,원본명단!$I3453)))</f>
        <v/>
      </c>
      <c r="G3454" s="11" t="str">
        <f aca="false">IF($A3454="","",IF(원본명단!$K3453="",0,COUNTIF(원본명단!$K$3:$K$6002,원본명단!$K3453)))</f>
        <v/>
      </c>
      <c r="H3454" s="11" t="str">
        <f aca="false">IF($A3454="","",IF(MAX($E3454,$F3454,$G3454)&gt;1,"중복","-"))</f>
        <v/>
      </c>
      <c r="I3454" s="11" t="str">
        <f aca="false">IF($A3454="","",IF($H3454="-","-",IF(AND(IF(원본명단!$H3453="",TRUE(),COUNTIF(원본명단!$H$3:$H3453,원본명단!$H3453)=1),IF(원본명단!$I3453="",TRUE(),COUNTIF(원본명단!$I$3:$I3453,원본명단!$I3453)=1),IF(원본명단!$K3453="",TRUE(),COUNTIF(원본명단!$K$3:$K3453,원본명단!$K3453)=1)),"첫 건","중복 건")))</f>
        <v/>
      </c>
      <c r="J3454" s="11" t="str">
        <f aca="false">IF($A3454="","",IF($H3454="-","유지",IF($I3454="첫 건","유지","확인 필요")))</f>
        <v/>
      </c>
    </row>
    <row r="3455" customFormat="false" ht="15" hidden="false" customHeight="true" outlineLevel="0" collapsed="false">
      <c r="A3455" s="11" t="str">
        <f aca="false">IF(원본명단!$A3454="","",3452)</f>
        <v/>
      </c>
      <c r="B3455" s="12" t="str">
        <f aca="false">IF($A3455="","",원본명단!$A3454)</f>
        <v/>
      </c>
      <c r="C3455" s="12" t="str">
        <f aca="false">IF($A3455="","",원본명단!$B3454)</f>
        <v/>
      </c>
      <c r="D3455" s="12" t="str">
        <f aca="false">IF($A3455="","",원본명단!$D3454)</f>
        <v/>
      </c>
      <c r="E3455" s="11" t="str">
        <f aca="false">IF($A3455="","",IF(원본명단!$H3454="",0,COUNTIF(원본명단!$H$3:$H$6002,원본명단!$H3454)))</f>
        <v/>
      </c>
      <c r="F3455" s="11" t="str">
        <f aca="false">IF($A3455="","",IF(원본명단!$I3454="",0,COUNTIF(원본명단!$I$3:$I$6002,원본명단!$I3454)))</f>
        <v/>
      </c>
      <c r="G3455" s="11" t="str">
        <f aca="false">IF($A3455="","",IF(원본명단!$K3454="",0,COUNTIF(원본명단!$K$3:$K$6002,원본명단!$K3454)))</f>
        <v/>
      </c>
      <c r="H3455" s="11" t="str">
        <f aca="false">IF($A3455="","",IF(MAX($E3455,$F3455,$G3455)&gt;1,"중복","-"))</f>
        <v/>
      </c>
      <c r="I3455" s="11" t="str">
        <f aca="false">IF($A3455="","",IF($H3455="-","-",IF(AND(IF(원본명단!$H3454="",TRUE(),COUNTIF(원본명단!$H$3:$H3454,원본명단!$H3454)=1),IF(원본명단!$I3454="",TRUE(),COUNTIF(원본명단!$I$3:$I3454,원본명단!$I3454)=1),IF(원본명단!$K3454="",TRUE(),COUNTIF(원본명단!$K$3:$K3454,원본명단!$K3454)=1)),"첫 건","중복 건")))</f>
        <v/>
      </c>
      <c r="J3455" s="11" t="str">
        <f aca="false">IF($A3455="","",IF($H3455="-","유지",IF($I3455="첫 건","유지","확인 필요")))</f>
        <v/>
      </c>
    </row>
    <row r="3456" customFormat="false" ht="15" hidden="false" customHeight="true" outlineLevel="0" collapsed="false">
      <c r="A3456" s="11" t="str">
        <f aca="false">IF(원본명단!$A3455="","",3453)</f>
        <v/>
      </c>
      <c r="B3456" s="12" t="str">
        <f aca="false">IF($A3456="","",원본명단!$A3455)</f>
        <v/>
      </c>
      <c r="C3456" s="12" t="str">
        <f aca="false">IF($A3456="","",원본명단!$B3455)</f>
        <v/>
      </c>
      <c r="D3456" s="12" t="str">
        <f aca="false">IF($A3456="","",원본명단!$D3455)</f>
        <v/>
      </c>
      <c r="E3456" s="11" t="str">
        <f aca="false">IF($A3456="","",IF(원본명단!$H3455="",0,COUNTIF(원본명단!$H$3:$H$6002,원본명단!$H3455)))</f>
        <v/>
      </c>
      <c r="F3456" s="11" t="str">
        <f aca="false">IF($A3456="","",IF(원본명단!$I3455="",0,COUNTIF(원본명단!$I$3:$I$6002,원본명단!$I3455)))</f>
        <v/>
      </c>
      <c r="G3456" s="11" t="str">
        <f aca="false">IF($A3456="","",IF(원본명단!$K3455="",0,COUNTIF(원본명단!$K$3:$K$6002,원본명단!$K3455)))</f>
        <v/>
      </c>
      <c r="H3456" s="11" t="str">
        <f aca="false">IF($A3456="","",IF(MAX($E3456,$F3456,$G3456)&gt;1,"중복","-"))</f>
        <v/>
      </c>
      <c r="I3456" s="11" t="str">
        <f aca="false">IF($A3456="","",IF($H3456="-","-",IF(AND(IF(원본명단!$H3455="",TRUE(),COUNTIF(원본명단!$H$3:$H3455,원본명단!$H3455)=1),IF(원본명단!$I3455="",TRUE(),COUNTIF(원본명단!$I$3:$I3455,원본명단!$I3455)=1),IF(원본명단!$K3455="",TRUE(),COUNTIF(원본명단!$K$3:$K3455,원본명단!$K3455)=1)),"첫 건","중복 건")))</f>
        <v/>
      </c>
      <c r="J3456" s="11" t="str">
        <f aca="false">IF($A3456="","",IF($H3456="-","유지",IF($I3456="첫 건","유지","확인 필요")))</f>
        <v/>
      </c>
    </row>
    <row r="3457" customFormat="false" ht="15" hidden="false" customHeight="true" outlineLevel="0" collapsed="false">
      <c r="A3457" s="11" t="str">
        <f aca="false">IF(원본명단!$A3456="","",3454)</f>
        <v/>
      </c>
      <c r="B3457" s="12" t="str">
        <f aca="false">IF($A3457="","",원본명단!$A3456)</f>
        <v/>
      </c>
      <c r="C3457" s="12" t="str">
        <f aca="false">IF($A3457="","",원본명단!$B3456)</f>
        <v/>
      </c>
      <c r="D3457" s="12" t="str">
        <f aca="false">IF($A3457="","",원본명단!$D3456)</f>
        <v/>
      </c>
      <c r="E3457" s="11" t="str">
        <f aca="false">IF($A3457="","",IF(원본명단!$H3456="",0,COUNTIF(원본명단!$H$3:$H$6002,원본명단!$H3456)))</f>
        <v/>
      </c>
      <c r="F3457" s="11" t="str">
        <f aca="false">IF($A3457="","",IF(원본명단!$I3456="",0,COUNTIF(원본명단!$I$3:$I$6002,원본명단!$I3456)))</f>
        <v/>
      </c>
      <c r="G3457" s="11" t="str">
        <f aca="false">IF($A3457="","",IF(원본명단!$K3456="",0,COUNTIF(원본명단!$K$3:$K$6002,원본명단!$K3456)))</f>
        <v/>
      </c>
      <c r="H3457" s="11" t="str">
        <f aca="false">IF($A3457="","",IF(MAX($E3457,$F3457,$G3457)&gt;1,"중복","-"))</f>
        <v/>
      </c>
      <c r="I3457" s="11" t="str">
        <f aca="false">IF($A3457="","",IF($H3457="-","-",IF(AND(IF(원본명단!$H3456="",TRUE(),COUNTIF(원본명단!$H$3:$H3456,원본명단!$H3456)=1),IF(원본명단!$I3456="",TRUE(),COUNTIF(원본명단!$I$3:$I3456,원본명단!$I3456)=1),IF(원본명단!$K3456="",TRUE(),COUNTIF(원본명단!$K$3:$K3456,원본명단!$K3456)=1)),"첫 건","중복 건")))</f>
        <v/>
      </c>
      <c r="J3457" s="11" t="str">
        <f aca="false">IF($A3457="","",IF($H3457="-","유지",IF($I3457="첫 건","유지","확인 필요")))</f>
        <v/>
      </c>
    </row>
    <row r="3458" customFormat="false" ht="15" hidden="false" customHeight="true" outlineLevel="0" collapsed="false">
      <c r="A3458" s="11" t="str">
        <f aca="false">IF(원본명단!$A3457="","",3455)</f>
        <v/>
      </c>
      <c r="B3458" s="12" t="str">
        <f aca="false">IF($A3458="","",원본명단!$A3457)</f>
        <v/>
      </c>
      <c r="C3458" s="12" t="str">
        <f aca="false">IF($A3458="","",원본명단!$B3457)</f>
        <v/>
      </c>
      <c r="D3458" s="12" t="str">
        <f aca="false">IF($A3458="","",원본명단!$D3457)</f>
        <v/>
      </c>
      <c r="E3458" s="11" t="str">
        <f aca="false">IF($A3458="","",IF(원본명단!$H3457="",0,COUNTIF(원본명단!$H$3:$H$6002,원본명단!$H3457)))</f>
        <v/>
      </c>
      <c r="F3458" s="11" t="str">
        <f aca="false">IF($A3458="","",IF(원본명단!$I3457="",0,COUNTIF(원본명단!$I$3:$I$6002,원본명단!$I3457)))</f>
        <v/>
      </c>
      <c r="G3458" s="11" t="str">
        <f aca="false">IF($A3458="","",IF(원본명단!$K3457="",0,COUNTIF(원본명단!$K$3:$K$6002,원본명단!$K3457)))</f>
        <v/>
      </c>
      <c r="H3458" s="11" t="str">
        <f aca="false">IF($A3458="","",IF(MAX($E3458,$F3458,$G3458)&gt;1,"중복","-"))</f>
        <v/>
      </c>
      <c r="I3458" s="11" t="str">
        <f aca="false">IF($A3458="","",IF($H3458="-","-",IF(AND(IF(원본명단!$H3457="",TRUE(),COUNTIF(원본명단!$H$3:$H3457,원본명단!$H3457)=1),IF(원본명단!$I3457="",TRUE(),COUNTIF(원본명단!$I$3:$I3457,원본명단!$I3457)=1),IF(원본명단!$K3457="",TRUE(),COUNTIF(원본명단!$K$3:$K3457,원본명단!$K3457)=1)),"첫 건","중복 건")))</f>
        <v/>
      </c>
      <c r="J3458" s="11" t="str">
        <f aca="false">IF($A3458="","",IF($H3458="-","유지",IF($I3458="첫 건","유지","확인 필요")))</f>
        <v/>
      </c>
    </row>
    <row r="3459" customFormat="false" ht="15" hidden="false" customHeight="true" outlineLevel="0" collapsed="false">
      <c r="A3459" s="11" t="str">
        <f aca="false">IF(원본명단!$A3458="","",3456)</f>
        <v/>
      </c>
      <c r="B3459" s="12" t="str">
        <f aca="false">IF($A3459="","",원본명단!$A3458)</f>
        <v/>
      </c>
      <c r="C3459" s="12" t="str">
        <f aca="false">IF($A3459="","",원본명단!$B3458)</f>
        <v/>
      </c>
      <c r="D3459" s="12" t="str">
        <f aca="false">IF($A3459="","",원본명단!$D3458)</f>
        <v/>
      </c>
      <c r="E3459" s="11" t="str">
        <f aca="false">IF($A3459="","",IF(원본명단!$H3458="",0,COUNTIF(원본명단!$H$3:$H$6002,원본명단!$H3458)))</f>
        <v/>
      </c>
      <c r="F3459" s="11" t="str">
        <f aca="false">IF($A3459="","",IF(원본명단!$I3458="",0,COUNTIF(원본명단!$I$3:$I$6002,원본명단!$I3458)))</f>
        <v/>
      </c>
      <c r="G3459" s="11" t="str">
        <f aca="false">IF($A3459="","",IF(원본명단!$K3458="",0,COUNTIF(원본명단!$K$3:$K$6002,원본명단!$K3458)))</f>
        <v/>
      </c>
      <c r="H3459" s="11" t="str">
        <f aca="false">IF($A3459="","",IF(MAX($E3459,$F3459,$G3459)&gt;1,"중복","-"))</f>
        <v/>
      </c>
      <c r="I3459" s="11" t="str">
        <f aca="false">IF($A3459="","",IF($H3459="-","-",IF(AND(IF(원본명단!$H3458="",TRUE(),COUNTIF(원본명단!$H$3:$H3458,원본명단!$H3458)=1),IF(원본명단!$I3458="",TRUE(),COUNTIF(원본명단!$I$3:$I3458,원본명단!$I3458)=1),IF(원본명단!$K3458="",TRUE(),COUNTIF(원본명단!$K$3:$K3458,원본명단!$K3458)=1)),"첫 건","중복 건")))</f>
        <v/>
      </c>
      <c r="J3459" s="11" t="str">
        <f aca="false">IF($A3459="","",IF($H3459="-","유지",IF($I3459="첫 건","유지","확인 필요")))</f>
        <v/>
      </c>
    </row>
    <row r="3460" customFormat="false" ht="15" hidden="false" customHeight="true" outlineLevel="0" collapsed="false">
      <c r="A3460" s="11" t="str">
        <f aca="false">IF(원본명단!$A3459="","",3457)</f>
        <v/>
      </c>
      <c r="B3460" s="12" t="str">
        <f aca="false">IF($A3460="","",원본명단!$A3459)</f>
        <v/>
      </c>
      <c r="C3460" s="12" t="str">
        <f aca="false">IF($A3460="","",원본명단!$B3459)</f>
        <v/>
      </c>
      <c r="D3460" s="12" t="str">
        <f aca="false">IF($A3460="","",원본명단!$D3459)</f>
        <v/>
      </c>
      <c r="E3460" s="11" t="str">
        <f aca="false">IF($A3460="","",IF(원본명단!$H3459="",0,COUNTIF(원본명단!$H$3:$H$6002,원본명단!$H3459)))</f>
        <v/>
      </c>
      <c r="F3460" s="11" t="str">
        <f aca="false">IF($A3460="","",IF(원본명단!$I3459="",0,COUNTIF(원본명단!$I$3:$I$6002,원본명단!$I3459)))</f>
        <v/>
      </c>
      <c r="G3460" s="11" t="str">
        <f aca="false">IF($A3460="","",IF(원본명단!$K3459="",0,COUNTIF(원본명단!$K$3:$K$6002,원본명단!$K3459)))</f>
        <v/>
      </c>
      <c r="H3460" s="11" t="str">
        <f aca="false">IF($A3460="","",IF(MAX($E3460,$F3460,$G3460)&gt;1,"중복","-"))</f>
        <v/>
      </c>
      <c r="I3460" s="11" t="str">
        <f aca="false">IF($A3460="","",IF($H3460="-","-",IF(AND(IF(원본명단!$H3459="",TRUE(),COUNTIF(원본명단!$H$3:$H3459,원본명단!$H3459)=1),IF(원본명단!$I3459="",TRUE(),COUNTIF(원본명단!$I$3:$I3459,원본명단!$I3459)=1),IF(원본명단!$K3459="",TRUE(),COUNTIF(원본명단!$K$3:$K3459,원본명단!$K3459)=1)),"첫 건","중복 건")))</f>
        <v/>
      </c>
      <c r="J3460" s="11" t="str">
        <f aca="false">IF($A3460="","",IF($H3460="-","유지",IF($I3460="첫 건","유지","확인 필요")))</f>
        <v/>
      </c>
    </row>
    <row r="3461" customFormat="false" ht="15" hidden="false" customHeight="true" outlineLevel="0" collapsed="false">
      <c r="A3461" s="11" t="str">
        <f aca="false">IF(원본명단!$A3460="","",3458)</f>
        <v/>
      </c>
      <c r="B3461" s="12" t="str">
        <f aca="false">IF($A3461="","",원본명단!$A3460)</f>
        <v/>
      </c>
      <c r="C3461" s="12" t="str">
        <f aca="false">IF($A3461="","",원본명단!$B3460)</f>
        <v/>
      </c>
      <c r="D3461" s="12" t="str">
        <f aca="false">IF($A3461="","",원본명단!$D3460)</f>
        <v/>
      </c>
      <c r="E3461" s="11" t="str">
        <f aca="false">IF($A3461="","",IF(원본명단!$H3460="",0,COUNTIF(원본명단!$H$3:$H$6002,원본명단!$H3460)))</f>
        <v/>
      </c>
      <c r="F3461" s="11" t="str">
        <f aca="false">IF($A3461="","",IF(원본명단!$I3460="",0,COUNTIF(원본명단!$I$3:$I$6002,원본명단!$I3460)))</f>
        <v/>
      </c>
      <c r="G3461" s="11" t="str">
        <f aca="false">IF($A3461="","",IF(원본명단!$K3460="",0,COUNTIF(원본명단!$K$3:$K$6002,원본명단!$K3460)))</f>
        <v/>
      </c>
      <c r="H3461" s="11" t="str">
        <f aca="false">IF($A3461="","",IF(MAX($E3461,$F3461,$G3461)&gt;1,"중복","-"))</f>
        <v/>
      </c>
      <c r="I3461" s="11" t="str">
        <f aca="false">IF($A3461="","",IF($H3461="-","-",IF(AND(IF(원본명단!$H3460="",TRUE(),COUNTIF(원본명단!$H$3:$H3460,원본명단!$H3460)=1),IF(원본명단!$I3460="",TRUE(),COUNTIF(원본명단!$I$3:$I3460,원본명단!$I3460)=1),IF(원본명단!$K3460="",TRUE(),COUNTIF(원본명단!$K$3:$K3460,원본명단!$K3460)=1)),"첫 건","중복 건")))</f>
        <v/>
      </c>
      <c r="J3461" s="11" t="str">
        <f aca="false">IF($A3461="","",IF($H3461="-","유지",IF($I3461="첫 건","유지","확인 필요")))</f>
        <v/>
      </c>
    </row>
    <row r="3462" customFormat="false" ht="15" hidden="false" customHeight="true" outlineLevel="0" collapsed="false">
      <c r="A3462" s="11" t="str">
        <f aca="false">IF(원본명단!$A3461="","",3459)</f>
        <v/>
      </c>
      <c r="B3462" s="12" t="str">
        <f aca="false">IF($A3462="","",원본명단!$A3461)</f>
        <v/>
      </c>
      <c r="C3462" s="12" t="str">
        <f aca="false">IF($A3462="","",원본명단!$B3461)</f>
        <v/>
      </c>
      <c r="D3462" s="12" t="str">
        <f aca="false">IF($A3462="","",원본명단!$D3461)</f>
        <v/>
      </c>
      <c r="E3462" s="11" t="str">
        <f aca="false">IF($A3462="","",IF(원본명단!$H3461="",0,COUNTIF(원본명단!$H$3:$H$6002,원본명단!$H3461)))</f>
        <v/>
      </c>
      <c r="F3462" s="11" t="str">
        <f aca="false">IF($A3462="","",IF(원본명단!$I3461="",0,COUNTIF(원본명단!$I$3:$I$6002,원본명단!$I3461)))</f>
        <v/>
      </c>
      <c r="G3462" s="11" t="str">
        <f aca="false">IF($A3462="","",IF(원본명단!$K3461="",0,COUNTIF(원본명단!$K$3:$K$6002,원본명단!$K3461)))</f>
        <v/>
      </c>
      <c r="H3462" s="11" t="str">
        <f aca="false">IF($A3462="","",IF(MAX($E3462,$F3462,$G3462)&gt;1,"중복","-"))</f>
        <v/>
      </c>
      <c r="I3462" s="11" t="str">
        <f aca="false">IF($A3462="","",IF($H3462="-","-",IF(AND(IF(원본명단!$H3461="",TRUE(),COUNTIF(원본명단!$H$3:$H3461,원본명단!$H3461)=1),IF(원본명단!$I3461="",TRUE(),COUNTIF(원본명단!$I$3:$I3461,원본명단!$I3461)=1),IF(원본명단!$K3461="",TRUE(),COUNTIF(원본명단!$K$3:$K3461,원본명단!$K3461)=1)),"첫 건","중복 건")))</f>
        <v/>
      </c>
      <c r="J3462" s="11" t="str">
        <f aca="false">IF($A3462="","",IF($H3462="-","유지",IF($I3462="첫 건","유지","확인 필요")))</f>
        <v/>
      </c>
    </row>
    <row r="3463" customFormat="false" ht="15" hidden="false" customHeight="true" outlineLevel="0" collapsed="false">
      <c r="A3463" s="11" t="str">
        <f aca="false">IF(원본명단!$A3462="","",3460)</f>
        <v/>
      </c>
      <c r="B3463" s="12" t="str">
        <f aca="false">IF($A3463="","",원본명단!$A3462)</f>
        <v/>
      </c>
      <c r="C3463" s="12" t="str">
        <f aca="false">IF($A3463="","",원본명단!$B3462)</f>
        <v/>
      </c>
      <c r="D3463" s="12" t="str">
        <f aca="false">IF($A3463="","",원본명단!$D3462)</f>
        <v/>
      </c>
      <c r="E3463" s="11" t="str">
        <f aca="false">IF($A3463="","",IF(원본명단!$H3462="",0,COUNTIF(원본명단!$H$3:$H$6002,원본명단!$H3462)))</f>
        <v/>
      </c>
      <c r="F3463" s="11" t="str">
        <f aca="false">IF($A3463="","",IF(원본명단!$I3462="",0,COUNTIF(원본명단!$I$3:$I$6002,원본명단!$I3462)))</f>
        <v/>
      </c>
      <c r="G3463" s="11" t="str">
        <f aca="false">IF($A3463="","",IF(원본명단!$K3462="",0,COUNTIF(원본명단!$K$3:$K$6002,원본명단!$K3462)))</f>
        <v/>
      </c>
      <c r="H3463" s="11" t="str">
        <f aca="false">IF($A3463="","",IF(MAX($E3463,$F3463,$G3463)&gt;1,"중복","-"))</f>
        <v/>
      </c>
      <c r="I3463" s="11" t="str">
        <f aca="false">IF($A3463="","",IF($H3463="-","-",IF(AND(IF(원본명단!$H3462="",TRUE(),COUNTIF(원본명단!$H$3:$H3462,원본명단!$H3462)=1),IF(원본명단!$I3462="",TRUE(),COUNTIF(원본명단!$I$3:$I3462,원본명단!$I3462)=1),IF(원본명단!$K3462="",TRUE(),COUNTIF(원본명단!$K$3:$K3462,원본명단!$K3462)=1)),"첫 건","중복 건")))</f>
        <v/>
      </c>
      <c r="J3463" s="11" t="str">
        <f aca="false">IF($A3463="","",IF($H3463="-","유지",IF($I3463="첫 건","유지","확인 필요")))</f>
        <v/>
      </c>
    </row>
    <row r="3464" customFormat="false" ht="15" hidden="false" customHeight="true" outlineLevel="0" collapsed="false">
      <c r="A3464" s="11" t="str">
        <f aca="false">IF(원본명단!$A3463="","",3461)</f>
        <v/>
      </c>
      <c r="B3464" s="12" t="str">
        <f aca="false">IF($A3464="","",원본명단!$A3463)</f>
        <v/>
      </c>
      <c r="C3464" s="12" t="str">
        <f aca="false">IF($A3464="","",원본명단!$B3463)</f>
        <v/>
      </c>
      <c r="D3464" s="12" t="str">
        <f aca="false">IF($A3464="","",원본명단!$D3463)</f>
        <v/>
      </c>
      <c r="E3464" s="11" t="str">
        <f aca="false">IF($A3464="","",IF(원본명단!$H3463="",0,COUNTIF(원본명단!$H$3:$H$6002,원본명단!$H3463)))</f>
        <v/>
      </c>
      <c r="F3464" s="11" t="str">
        <f aca="false">IF($A3464="","",IF(원본명단!$I3463="",0,COUNTIF(원본명단!$I$3:$I$6002,원본명단!$I3463)))</f>
        <v/>
      </c>
      <c r="G3464" s="11" t="str">
        <f aca="false">IF($A3464="","",IF(원본명단!$K3463="",0,COUNTIF(원본명단!$K$3:$K$6002,원본명단!$K3463)))</f>
        <v/>
      </c>
      <c r="H3464" s="11" t="str">
        <f aca="false">IF($A3464="","",IF(MAX($E3464,$F3464,$G3464)&gt;1,"중복","-"))</f>
        <v/>
      </c>
      <c r="I3464" s="11" t="str">
        <f aca="false">IF($A3464="","",IF($H3464="-","-",IF(AND(IF(원본명단!$H3463="",TRUE(),COUNTIF(원본명단!$H$3:$H3463,원본명단!$H3463)=1),IF(원본명단!$I3463="",TRUE(),COUNTIF(원본명단!$I$3:$I3463,원본명단!$I3463)=1),IF(원본명단!$K3463="",TRUE(),COUNTIF(원본명단!$K$3:$K3463,원본명단!$K3463)=1)),"첫 건","중복 건")))</f>
        <v/>
      </c>
      <c r="J3464" s="11" t="str">
        <f aca="false">IF($A3464="","",IF($H3464="-","유지",IF($I3464="첫 건","유지","확인 필요")))</f>
        <v/>
      </c>
    </row>
    <row r="3465" customFormat="false" ht="15" hidden="false" customHeight="true" outlineLevel="0" collapsed="false">
      <c r="A3465" s="11" t="str">
        <f aca="false">IF(원본명단!$A3464="","",3462)</f>
        <v/>
      </c>
      <c r="B3465" s="12" t="str">
        <f aca="false">IF($A3465="","",원본명단!$A3464)</f>
        <v/>
      </c>
      <c r="C3465" s="12" t="str">
        <f aca="false">IF($A3465="","",원본명단!$B3464)</f>
        <v/>
      </c>
      <c r="D3465" s="12" t="str">
        <f aca="false">IF($A3465="","",원본명단!$D3464)</f>
        <v/>
      </c>
      <c r="E3465" s="11" t="str">
        <f aca="false">IF($A3465="","",IF(원본명단!$H3464="",0,COUNTIF(원본명단!$H$3:$H$6002,원본명단!$H3464)))</f>
        <v/>
      </c>
      <c r="F3465" s="11" t="str">
        <f aca="false">IF($A3465="","",IF(원본명단!$I3464="",0,COUNTIF(원본명단!$I$3:$I$6002,원본명단!$I3464)))</f>
        <v/>
      </c>
      <c r="G3465" s="11" t="str">
        <f aca="false">IF($A3465="","",IF(원본명단!$K3464="",0,COUNTIF(원본명단!$K$3:$K$6002,원본명단!$K3464)))</f>
        <v/>
      </c>
      <c r="H3465" s="11" t="str">
        <f aca="false">IF($A3465="","",IF(MAX($E3465,$F3465,$G3465)&gt;1,"중복","-"))</f>
        <v/>
      </c>
      <c r="I3465" s="11" t="str">
        <f aca="false">IF($A3465="","",IF($H3465="-","-",IF(AND(IF(원본명단!$H3464="",TRUE(),COUNTIF(원본명단!$H$3:$H3464,원본명단!$H3464)=1),IF(원본명단!$I3464="",TRUE(),COUNTIF(원본명단!$I$3:$I3464,원본명단!$I3464)=1),IF(원본명단!$K3464="",TRUE(),COUNTIF(원본명단!$K$3:$K3464,원본명단!$K3464)=1)),"첫 건","중복 건")))</f>
        <v/>
      </c>
      <c r="J3465" s="11" t="str">
        <f aca="false">IF($A3465="","",IF($H3465="-","유지",IF($I3465="첫 건","유지","확인 필요")))</f>
        <v/>
      </c>
    </row>
    <row r="3466" customFormat="false" ht="15" hidden="false" customHeight="true" outlineLevel="0" collapsed="false">
      <c r="A3466" s="11" t="str">
        <f aca="false">IF(원본명단!$A3465="","",3463)</f>
        <v/>
      </c>
      <c r="B3466" s="12" t="str">
        <f aca="false">IF($A3466="","",원본명단!$A3465)</f>
        <v/>
      </c>
      <c r="C3466" s="12" t="str">
        <f aca="false">IF($A3466="","",원본명단!$B3465)</f>
        <v/>
      </c>
      <c r="D3466" s="12" t="str">
        <f aca="false">IF($A3466="","",원본명단!$D3465)</f>
        <v/>
      </c>
      <c r="E3466" s="11" t="str">
        <f aca="false">IF($A3466="","",IF(원본명단!$H3465="",0,COUNTIF(원본명단!$H$3:$H$6002,원본명단!$H3465)))</f>
        <v/>
      </c>
      <c r="F3466" s="11" t="str">
        <f aca="false">IF($A3466="","",IF(원본명단!$I3465="",0,COUNTIF(원본명단!$I$3:$I$6002,원본명단!$I3465)))</f>
        <v/>
      </c>
      <c r="G3466" s="11" t="str">
        <f aca="false">IF($A3466="","",IF(원본명단!$K3465="",0,COUNTIF(원본명단!$K$3:$K$6002,원본명단!$K3465)))</f>
        <v/>
      </c>
      <c r="H3466" s="11" t="str">
        <f aca="false">IF($A3466="","",IF(MAX($E3466,$F3466,$G3466)&gt;1,"중복","-"))</f>
        <v/>
      </c>
      <c r="I3466" s="11" t="str">
        <f aca="false">IF($A3466="","",IF($H3466="-","-",IF(AND(IF(원본명단!$H3465="",TRUE(),COUNTIF(원본명단!$H$3:$H3465,원본명단!$H3465)=1),IF(원본명단!$I3465="",TRUE(),COUNTIF(원본명단!$I$3:$I3465,원본명단!$I3465)=1),IF(원본명단!$K3465="",TRUE(),COUNTIF(원본명단!$K$3:$K3465,원본명단!$K3465)=1)),"첫 건","중복 건")))</f>
        <v/>
      </c>
      <c r="J3466" s="11" t="str">
        <f aca="false">IF($A3466="","",IF($H3466="-","유지",IF($I3466="첫 건","유지","확인 필요")))</f>
        <v/>
      </c>
    </row>
    <row r="3467" customFormat="false" ht="15" hidden="false" customHeight="true" outlineLevel="0" collapsed="false">
      <c r="A3467" s="11" t="str">
        <f aca="false">IF(원본명단!$A3466="","",3464)</f>
        <v/>
      </c>
      <c r="B3467" s="12" t="str">
        <f aca="false">IF($A3467="","",원본명단!$A3466)</f>
        <v/>
      </c>
      <c r="C3467" s="12" t="str">
        <f aca="false">IF($A3467="","",원본명단!$B3466)</f>
        <v/>
      </c>
      <c r="D3467" s="12" t="str">
        <f aca="false">IF($A3467="","",원본명단!$D3466)</f>
        <v/>
      </c>
      <c r="E3467" s="11" t="str">
        <f aca="false">IF($A3467="","",IF(원본명단!$H3466="",0,COUNTIF(원본명단!$H$3:$H$6002,원본명단!$H3466)))</f>
        <v/>
      </c>
      <c r="F3467" s="11" t="str">
        <f aca="false">IF($A3467="","",IF(원본명단!$I3466="",0,COUNTIF(원본명단!$I$3:$I$6002,원본명단!$I3466)))</f>
        <v/>
      </c>
      <c r="G3467" s="11" t="str">
        <f aca="false">IF($A3467="","",IF(원본명단!$K3466="",0,COUNTIF(원본명단!$K$3:$K$6002,원본명단!$K3466)))</f>
        <v/>
      </c>
      <c r="H3467" s="11" t="str">
        <f aca="false">IF($A3467="","",IF(MAX($E3467,$F3467,$G3467)&gt;1,"중복","-"))</f>
        <v/>
      </c>
      <c r="I3467" s="11" t="str">
        <f aca="false">IF($A3467="","",IF($H3467="-","-",IF(AND(IF(원본명단!$H3466="",TRUE(),COUNTIF(원본명단!$H$3:$H3466,원본명단!$H3466)=1),IF(원본명단!$I3466="",TRUE(),COUNTIF(원본명단!$I$3:$I3466,원본명단!$I3466)=1),IF(원본명단!$K3466="",TRUE(),COUNTIF(원본명단!$K$3:$K3466,원본명단!$K3466)=1)),"첫 건","중복 건")))</f>
        <v/>
      </c>
      <c r="J3467" s="11" t="str">
        <f aca="false">IF($A3467="","",IF($H3467="-","유지",IF($I3467="첫 건","유지","확인 필요")))</f>
        <v/>
      </c>
    </row>
    <row r="3468" customFormat="false" ht="15" hidden="false" customHeight="true" outlineLevel="0" collapsed="false">
      <c r="A3468" s="11" t="str">
        <f aca="false">IF(원본명단!$A3467="","",3465)</f>
        <v/>
      </c>
      <c r="B3468" s="12" t="str">
        <f aca="false">IF($A3468="","",원본명단!$A3467)</f>
        <v/>
      </c>
      <c r="C3468" s="12" t="str">
        <f aca="false">IF($A3468="","",원본명단!$B3467)</f>
        <v/>
      </c>
      <c r="D3468" s="12" t="str">
        <f aca="false">IF($A3468="","",원본명단!$D3467)</f>
        <v/>
      </c>
      <c r="E3468" s="11" t="str">
        <f aca="false">IF($A3468="","",IF(원본명단!$H3467="",0,COUNTIF(원본명단!$H$3:$H$6002,원본명단!$H3467)))</f>
        <v/>
      </c>
      <c r="F3468" s="11" t="str">
        <f aca="false">IF($A3468="","",IF(원본명단!$I3467="",0,COUNTIF(원본명단!$I$3:$I$6002,원본명단!$I3467)))</f>
        <v/>
      </c>
      <c r="G3468" s="11" t="str">
        <f aca="false">IF($A3468="","",IF(원본명단!$K3467="",0,COUNTIF(원본명단!$K$3:$K$6002,원본명단!$K3467)))</f>
        <v/>
      </c>
      <c r="H3468" s="11" t="str">
        <f aca="false">IF($A3468="","",IF(MAX($E3468,$F3468,$G3468)&gt;1,"중복","-"))</f>
        <v/>
      </c>
      <c r="I3468" s="11" t="str">
        <f aca="false">IF($A3468="","",IF($H3468="-","-",IF(AND(IF(원본명단!$H3467="",TRUE(),COUNTIF(원본명단!$H$3:$H3467,원본명단!$H3467)=1),IF(원본명단!$I3467="",TRUE(),COUNTIF(원본명단!$I$3:$I3467,원본명단!$I3467)=1),IF(원본명단!$K3467="",TRUE(),COUNTIF(원본명단!$K$3:$K3467,원본명단!$K3467)=1)),"첫 건","중복 건")))</f>
        <v/>
      </c>
      <c r="J3468" s="11" t="str">
        <f aca="false">IF($A3468="","",IF($H3468="-","유지",IF($I3468="첫 건","유지","확인 필요")))</f>
        <v/>
      </c>
    </row>
    <row r="3469" customFormat="false" ht="15" hidden="false" customHeight="true" outlineLevel="0" collapsed="false">
      <c r="A3469" s="11" t="str">
        <f aca="false">IF(원본명단!$A3468="","",3466)</f>
        <v/>
      </c>
      <c r="B3469" s="12" t="str">
        <f aca="false">IF($A3469="","",원본명단!$A3468)</f>
        <v/>
      </c>
      <c r="C3469" s="12" t="str">
        <f aca="false">IF($A3469="","",원본명단!$B3468)</f>
        <v/>
      </c>
      <c r="D3469" s="12" t="str">
        <f aca="false">IF($A3469="","",원본명단!$D3468)</f>
        <v/>
      </c>
      <c r="E3469" s="11" t="str">
        <f aca="false">IF($A3469="","",IF(원본명단!$H3468="",0,COUNTIF(원본명단!$H$3:$H$6002,원본명단!$H3468)))</f>
        <v/>
      </c>
      <c r="F3469" s="11" t="str">
        <f aca="false">IF($A3469="","",IF(원본명단!$I3468="",0,COUNTIF(원본명단!$I$3:$I$6002,원본명단!$I3468)))</f>
        <v/>
      </c>
      <c r="G3469" s="11" t="str">
        <f aca="false">IF($A3469="","",IF(원본명단!$K3468="",0,COUNTIF(원본명단!$K$3:$K$6002,원본명단!$K3468)))</f>
        <v/>
      </c>
      <c r="H3469" s="11" t="str">
        <f aca="false">IF($A3469="","",IF(MAX($E3469,$F3469,$G3469)&gt;1,"중복","-"))</f>
        <v/>
      </c>
      <c r="I3469" s="11" t="str">
        <f aca="false">IF($A3469="","",IF($H3469="-","-",IF(AND(IF(원본명단!$H3468="",TRUE(),COUNTIF(원본명단!$H$3:$H3468,원본명단!$H3468)=1),IF(원본명단!$I3468="",TRUE(),COUNTIF(원본명단!$I$3:$I3468,원본명단!$I3468)=1),IF(원본명단!$K3468="",TRUE(),COUNTIF(원본명단!$K$3:$K3468,원본명단!$K3468)=1)),"첫 건","중복 건")))</f>
        <v/>
      </c>
      <c r="J3469" s="11" t="str">
        <f aca="false">IF($A3469="","",IF($H3469="-","유지",IF($I3469="첫 건","유지","확인 필요")))</f>
        <v/>
      </c>
    </row>
    <row r="3470" customFormat="false" ht="15" hidden="false" customHeight="true" outlineLevel="0" collapsed="false">
      <c r="A3470" s="11" t="str">
        <f aca="false">IF(원본명단!$A3469="","",3467)</f>
        <v/>
      </c>
      <c r="B3470" s="12" t="str">
        <f aca="false">IF($A3470="","",원본명단!$A3469)</f>
        <v/>
      </c>
      <c r="C3470" s="12" t="str">
        <f aca="false">IF($A3470="","",원본명단!$B3469)</f>
        <v/>
      </c>
      <c r="D3470" s="12" t="str">
        <f aca="false">IF($A3470="","",원본명단!$D3469)</f>
        <v/>
      </c>
      <c r="E3470" s="11" t="str">
        <f aca="false">IF($A3470="","",IF(원본명단!$H3469="",0,COUNTIF(원본명단!$H$3:$H$6002,원본명단!$H3469)))</f>
        <v/>
      </c>
      <c r="F3470" s="11" t="str">
        <f aca="false">IF($A3470="","",IF(원본명단!$I3469="",0,COUNTIF(원본명단!$I$3:$I$6002,원본명단!$I3469)))</f>
        <v/>
      </c>
      <c r="G3470" s="11" t="str">
        <f aca="false">IF($A3470="","",IF(원본명단!$K3469="",0,COUNTIF(원본명단!$K$3:$K$6002,원본명단!$K3469)))</f>
        <v/>
      </c>
      <c r="H3470" s="11" t="str">
        <f aca="false">IF($A3470="","",IF(MAX($E3470,$F3470,$G3470)&gt;1,"중복","-"))</f>
        <v/>
      </c>
      <c r="I3470" s="11" t="str">
        <f aca="false">IF($A3470="","",IF($H3470="-","-",IF(AND(IF(원본명단!$H3469="",TRUE(),COUNTIF(원본명단!$H$3:$H3469,원본명단!$H3469)=1),IF(원본명단!$I3469="",TRUE(),COUNTIF(원본명단!$I$3:$I3469,원본명단!$I3469)=1),IF(원본명단!$K3469="",TRUE(),COUNTIF(원본명단!$K$3:$K3469,원본명단!$K3469)=1)),"첫 건","중복 건")))</f>
        <v/>
      </c>
      <c r="J3470" s="11" t="str">
        <f aca="false">IF($A3470="","",IF($H3470="-","유지",IF($I3470="첫 건","유지","확인 필요")))</f>
        <v/>
      </c>
    </row>
    <row r="3471" customFormat="false" ht="15" hidden="false" customHeight="true" outlineLevel="0" collapsed="false">
      <c r="A3471" s="11" t="str">
        <f aca="false">IF(원본명단!$A3470="","",3468)</f>
        <v/>
      </c>
      <c r="B3471" s="12" t="str">
        <f aca="false">IF($A3471="","",원본명단!$A3470)</f>
        <v/>
      </c>
      <c r="C3471" s="12" t="str">
        <f aca="false">IF($A3471="","",원본명단!$B3470)</f>
        <v/>
      </c>
      <c r="D3471" s="12" t="str">
        <f aca="false">IF($A3471="","",원본명단!$D3470)</f>
        <v/>
      </c>
      <c r="E3471" s="11" t="str">
        <f aca="false">IF($A3471="","",IF(원본명단!$H3470="",0,COUNTIF(원본명단!$H$3:$H$6002,원본명단!$H3470)))</f>
        <v/>
      </c>
      <c r="F3471" s="11" t="str">
        <f aca="false">IF($A3471="","",IF(원본명단!$I3470="",0,COUNTIF(원본명단!$I$3:$I$6002,원본명단!$I3470)))</f>
        <v/>
      </c>
      <c r="G3471" s="11" t="str">
        <f aca="false">IF($A3471="","",IF(원본명단!$K3470="",0,COUNTIF(원본명단!$K$3:$K$6002,원본명단!$K3470)))</f>
        <v/>
      </c>
      <c r="H3471" s="11" t="str">
        <f aca="false">IF($A3471="","",IF(MAX($E3471,$F3471,$G3471)&gt;1,"중복","-"))</f>
        <v/>
      </c>
      <c r="I3471" s="11" t="str">
        <f aca="false">IF($A3471="","",IF($H3471="-","-",IF(AND(IF(원본명단!$H3470="",TRUE(),COUNTIF(원본명단!$H$3:$H3470,원본명단!$H3470)=1),IF(원본명단!$I3470="",TRUE(),COUNTIF(원본명단!$I$3:$I3470,원본명단!$I3470)=1),IF(원본명단!$K3470="",TRUE(),COUNTIF(원본명단!$K$3:$K3470,원본명단!$K3470)=1)),"첫 건","중복 건")))</f>
        <v/>
      </c>
      <c r="J3471" s="11" t="str">
        <f aca="false">IF($A3471="","",IF($H3471="-","유지",IF($I3471="첫 건","유지","확인 필요")))</f>
        <v/>
      </c>
    </row>
    <row r="3472" customFormat="false" ht="15" hidden="false" customHeight="true" outlineLevel="0" collapsed="false">
      <c r="A3472" s="11" t="str">
        <f aca="false">IF(원본명단!$A3471="","",3469)</f>
        <v/>
      </c>
      <c r="B3472" s="12" t="str">
        <f aca="false">IF($A3472="","",원본명단!$A3471)</f>
        <v/>
      </c>
      <c r="C3472" s="12" t="str">
        <f aca="false">IF($A3472="","",원본명단!$B3471)</f>
        <v/>
      </c>
      <c r="D3472" s="12" t="str">
        <f aca="false">IF($A3472="","",원본명단!$D3471)</f>
        <v/>
      </c>
      <c r="E3472" s="11" t="str">
        <f aca="false">IF($A3472="","",IF(원본명단!$H3471="",0,COUNTIF(원본명단!$H$3:$H$6002,원본명단!$H3471)))</f>
        <v/>
      </c>
      <c r="F3472" s="11" t="str">
        <f aca="false">IF($A3472="","",IF(원본명단!$I3471="",0,COUNTIF(원본명단!$I$3:$I$6002,원본명단!$I3471)))</f>
        <v/>
      </c>
      <c r="G3472" s="11" t="str">
        <f aca="false">IF($A3472="","",IF(원본명단!$K3471="",0,COUNTIF(원본명단!$K$3:$K$6002,원본명단!$K3471)))</f>
        <v/>
      </c>
      <c r="H3472" s="11" t="str">
        <f aca="false">IF($A3472="","",IF(MAX($E3472,$F3472,$G3472)&gt;1,"중복","-"))</f>
        <v/>
      </c>
      <c r="I3472" s="11" t="str">
        <f aca="false">IF($A3472="","",IF($H3472="-","-",IF(AND(IF(원본명단!$H3471="",TRUE(),COUNTIF(원본명단!$H$3:$H3471,원본명단!$H3471)=1),IF(원본명단!$I3471="",TRUE(),COUNTIF(원본명단!$I$3:$I3471,원본명단!$I3471)=1),IF(원본명단!$K3471="",TRUE(),COUNTIF(원본명단!$K$3:$K3471,원본명단!$K3471)=1)),"첫 건","중복 건")))</f>
        <v/>
      </c>
      <c r="J3472" s="11" t="str">
        <f aca="false">IF($A3472="","",IF($H3472="-","유지",IF($I3472="첫 건","유지","확인 필요")))</f>
        <v/>
      </c>
    </row>
    <row r="3473" customFormat="false" ht="15" hidden="false" customHeight="true" outlineLevel="0" collapsed="false">
      <c r="A3473" s="11" t="str">
        <f aca="false">IF(원본명단!$A3472="","",3470)</f>
        <v/>
      </c>
      <c r="B3473" s="12" t="str">
        <f aca="false">IF($A3473="","",원본명단!$A3472)</f>
        <v/>
      </c>
      <c r="C3473" s="12" t="str">
        <f aca="false">IF($A3473="","",원본명단!$B3472)</f>
        <v/>
      </c>
      <c r="D3473" s="12" t="str">
        <f aca="false">IF($A3473="","",원본명단!$D3472)</f>
        <v/>
      </c>
      <c r="E3473" s="11" t="str">
        <f aca="false">IF($A3473="","",IF(원본명단!$H3472="",0,COUNTIF(원본명단!$H$3:$H$6002,원본명단!$H3472)))</f>
        <v/>
      </c>
      <c r="F3473" s="11" t="str">
        <f aca="false">IF($A3473="","",IF(원본명단!$I3472="",0,COUNTIF(원본명단!$I$3:$I$6002,원본명단!$I3472)))</f>
        <v/>
      </c>
      <c r="G3473" s="11" t="str">
        <f aca="false">IF($A3473="","",IF(원본명단!$K3472="",0,COUNTIF(원본명단!$K$3:$K$6002,원본명단!$K3472)))</f>
        <v/>
      </c>
      <c r="H3473" s="11" t="str">
        <f aca="false">IF($A3473="","",IF(MAX($E3473,$F3473,$G3473)&gt;1,"중복","-"))</f>
        <v/>
      </c>
      <c r="I3473" s="11" t="str">
        <f aca="false">IF($A3473="","",IF($H3473="-","-",IF(AND(IF(원본명단!$H3472="",TRUE(),COUNTIF(원본명단!$H$3:$H3472,원본명단!$H3472)=1),IF(원본명단!$I3472="",TRUE(),COUNTIF(원본명단!$I$3:$I3472,원본명단!$I3472)=1),IF(원본명단!$K3472="",TRUE(),COUNTIF(원본명단!$K$3:$K3472,원본명단!$K3472)=1)),"첫 건","중복 건")))</f>
        <v/>
      </c>
      <c r="J3473" s="11" t="str">
        <f aca="false">IF($A3473="","",IF($H3473="-","유지",IF($I3473="첫 건","유지","확인 필요")))</f>
        <v/>
      </c>
    </row>
    <row r="3474" customFormat="false" ht="15" hidden="false" customHeight="true" outlineLevel="0" collapsed="false">
      <c r="A3474" s="11" t="str">
        <f aca="false">IF(원본명단!$A3473="","",3471)</f>
        <v/>
      </c>
      <c r="B3474" s="12" t="str">
        <f aca="false">IF($A3474="","",원본명단!$A3473)</f>
        <v/>
      </c>
      <c r="C3474" s="12" t="str">
        <f aca="false">IF($A3474="","",원본명단!$B3473)</f>
        <v/>
      </c>
      <c r="D3474" s="12" t="str">
        <f aca="false">IF($A3474="","",원본명단!$D3473)</f>
        <v/>
      </c>
      <c r="E3474" s="11" t="str">
        <f aca="false">IF($A3474="","",IF(원본명단!$H3473="",0,COUNTIF(원본명단!$H$3:$H$6002,원본명단!$H3473)))</f>
        <v/>
      </c>
      <c r="F3474" s="11" t="str">
        <f aca="false">IF($A3474="","",IF(원본명단!$I3473="",0,COUNTIF(원본명단!$I$3:$I$6002,원본명단!$I3473)))</f>
        <v/>
      </c>
      <c r="G3474" s="11" t="str">
        <f aca="false">IF($A3474="","",IF(원본명단!$K3473="",0,COUNTIF(원본명단!$K$3:$K$6002,원본명단!$K3473)))</f>
        <v/>
      </c>
      <c r="H3474" s="11" t="str">
        <f aca="false">IF($A3474="","",IF(MAX($E3474,$F3474,$G3474)&gt;1,"중복","-"))</f>
        <v/>
      </c>
      <c r="I3474" s="11" t="str">
        <f aca="false">IF($A3474="","",IF($H3474="-","-",IF(AND(IF(원본명단!$H3473="",TRUE(),COUNTIF(원본명단!$H$3:$H3473,원본명단!$H3473)=1),IF(원본명단!$I3473="",TRUE(),COUNTIF(원본명단!$I$3:$I3473,원본명단!$I3473)=1),IF(원본명단!$K3473="",TRUE(),COUNTIF(원본명단!$K$3:$K3473,원본명단!$K3473)=1)),"첫 건","중복 건")))</f>
        <v/>
      </c>
      <c r="J3474" s="11" t="str">
        <f aca="false">IF($A3474="","",IF($H3474="-","유지",IF($I3474="첫 건","유지","확인 필요")))</f>
        <v/>
      </c>
    </row>
    <row r="3475" customFormat="false" ht="15" hidden="false" customHeight="true" outlineLevel="0" collapsed="false">
      <c r="A3475" s="11" t="str">
        <f aca="false">IF(원본명단!$A3474="","",3472)</f>
        <v/>
      </c>
      <c r="B3475" s="12" t="str">
        <f aca="false">IF($A3475="","",원본명단!$A3474)</f>
        <v/>
      </c>
      <c r="C3475" s="12" t="str">
        <f aca="false">IF($A3475="","",원본명단!$B3474)</f>
        <v/>
      </c>
      <c r="D3475" s="12" t="str">
        <f aca="false">IF($A3475="","",원본명단!$D3474)</f>
        <v/>
      </c>
      <c r="E3475" s="11" t="str">
        <f aca="false">IF($A3475="","",IF(원본명단!$H3474="",0,COUNTIF(원본명단!$H$3:$H$6002,원본명단!$H3474)))</f>
        <v/>
      </c>
      <c r="F3475" s="11" t="str">
        <f aca="false">IF($A3475="","",IF(원본명단!$I3474="",0,COUNTIF(원본명단!$I$3:$I$6002,원본명단!$I3474)))</f>
        <v/>
      </c>
      <c r="G3475" s="11" t="str">
        <f aca="false">IF($A3475="","",IF(원본명단!$K3474="",0,COUNTIF(원본명단!$K$3:$K$6002,원본명단!$K3474)))</f>
        <v/>
      </c>
      <c r="H3475" s="11" t="str">
        <f aca="false">IF($A3475="","",IF(MAX($E3475,$F3475,$G3475)&gt;1,"중복","-"))</f>
        <v/>
      </c>
      <c r="I3475" s="11" t="str">
        <f aca="false">IF($A3475="","",IF($H3475="-","-",IF(AND(IF(원본명단!$H3474="",TRUE(),COUNTIF(원본명단!$H$3:$H3474,원본명단!$H3474)=1),IF(원본명단!$I3474="",TRUE(),COUNTIF(원본명단!$I$3:$I3474,원본명단!$I3474)=1),IF(원본명단!$K3474="",TRUE(),COUNTIF(원본명단!$K$3:$K3474,원본명단!$K3474)=1)),"첫 건","중복 건")))</f>
        <v/>
      </c>
      <c r="J3475" s="11" t="str">
        <f aca="false">IF($A3475="","",IF($H3475="-","유지",IF($I3475="첫 건","유지","확인 필요")))</f>
        <v/>
      </c>
    </row>
    <row r="3476" customFormat="false" ht="15" hidden="false" customHeight="true" outlineLevel="0" collapsed="false">
      <c r="A3476" s="11" t="str">
        <f aca="false">IF(원본명단!$A3475="","",3473)</f>
        <v/>
      </c>
      <c r="B3476" s="12" t="str">
        <f aca="false">IF($A3476="","",원본명단!$A3475)</f>
        <v/>
      </c>
      <c r="C3476" s="12" t="str">
        <f aca="false">IF($A3476="","",원본명단!$B3475)</f>
        <v/>
      </c>
      <c r="D3476" s="12" t="str">
        <f aca="false">IF($A3476="","",원본명단!$D3475)</f>
        <v/>
      </c>
      <c r="E3476" s="11" t="str">
        <f aca="false">IF($A3476="","",IF(원본명단!$H3475="",0,COUNTIF(원본명단!$H$3:$H$6002,원본명단!$H3475)))</f>
        <v/>
      </c>
      <c r="F3476" s="11" t="str">
        <f aca="false">IF($A3476="","",IF(원본명단!$I3475="",0,COUNTIF(원본명단!$I$3:$I$6002,원본명단!$I3475)))</f>
        <v/>
      </c>
      <c r="G3476" s="11" t="str">
        <f aca="false">IF($A3476="","",IF(원본명단!$K3475="",0,COUNTIF(원본명단!$K$3:$K$6002,원본명단!$K3475)))</f>
        <v/>
      </c>
      <c r="H3476" s="11" t="str">
        <f aca="false">IF($A3476="","",IF(MAX($E3476,$F3476,$G3476)&gt;1,"중복","-"))</f>
        <v/>
      </c>
      <c r="I3476" s="11" t="str">
        <f aca="false">IF($A3476="","",IF($H3476="-","-",IF(AND(IF(원본명단!$H3475="",TRUE(),COUNTIF(원본명단!$H$3:$H3475,원본명단!$H3475)=1),IF(원본명단!$I3475="",TRUE(),COUNTIF(원본명단!$I$3:$I3475,원본명단!$I3475)=1),IF(원본명단!$K3475="",TRUE(),COUNTIF(원본명단!$K$3:$K3475,원본명단!$K3475)=1)),"첫 건","중복 건")))</f>
        <v/>
      </c>
      <c r="J3476" s="11" t="str">
        <f aca="false">IF($A3476="","",IF($H3476="-","유지",IF($I3476="첫 건","유지","확인 필요")))</f>
        <v/>
      </c>
    </row>
    <row r="3477" customFormat="false" ht="15" hidden="false" customHeight="true" outlineLevel="0" collapsed="false">
      <c r="A3477" s="11" t="str">
        <f aca="false">IF(원본명단!$A3476="","",3474)</f>
        <v/>
      </c>
      <c r="B3477" s="12" t="str">
        <f aca="false">IF($A3477="","",원본명단!$A3476)</f>
        <v/>
      </c>
      <c r="C3477" s="12" t="str">
        <f aca="false">IF($A3477="","",원본명단!$B3476)</f>
        <v/>
      </c>
      <c r="D3477" s="12" t="str">
        <f aca="false">IF($A3477="","",원본명단!$D3476)</f>
        <v/>
      </c>
      <c r="E3477" s="11" t="str">
        <f aca="false">IF($A3477="","",IF(원본명단!$H3476="",0,COUNTIF(원본명단!$H$3:$H$6002,원본명단!$H3476)))</f>
        <v/>
      </c>
      <c r="F3477" s="11" t="str">
        <f aca="false">IF($A3477="","",IF(원본명단!$I3476="",0,COUNTIF(원본명단!$I$3:$I$6002,원본명단!$I3476)))</f>
        <v/>
      </c>
      <c r="G3477" s="11" t="str">
        <f aca="false">IF($A3477="","",IF(원본명단!$K3476="",0,COUNTIF(원본명단!$K$3:$K$6002,원본명단!$K3476)))</f>
        <v/>
      </c>
      <c r="H3477" s="11" t="str">
        <f aca="false">IF($A3477="","",IF(MAX($E3477,$F3477,$G3477)&gt;1,"중복","-"))</f>
        <v/>
      </c>
      <c r="I3477" s="11" t="str">
        <f aca="false">IF($A3477="","",IF($H3477="-","-",IF(AND(IF(원본명단!$H3476="",TRUE(),COUNTIF(원본명단!$H$3:$H3476,원본명단!$H3476)=1),IF(원본명단!$I3476="",TRUE(),COUNTIF(원본명단!$I$3:$I3476,원본명단!$I3476)=1),IF(원본명단!$K3476="",TRUE(),COUNTIF(원본명단!$K$3:$K3476,원본명단!$K3476)=1)),"첫 건","중복 건")))</f>
        <v/>
      </c>
      <c r="J3477" s="11" t="str">
        <f aca="false">IF($A3477="","",IF($H3477="-","유지",IF($I3477="첫 건","유지","확인 필요")))</f>
        <v/>
      </c>
    </row>
    <row r="3478" customFormat="false" ht="15" hidden="false" customHeight="true" outlineLevel="0" collapsed="false">
      <c r="A3478" s="11" t="str">
        <f aca="false">IF(원본명단!$A3477="","",3475)</f>
        <v/>
      </c>
      <c r="B3478" s="12" t="str">
        <f aca="false">IF($A3478="","",원본명단!$A3477)</f>
        <v/>
      </c>
      <c r="C3478" s="12" t="str">
        <f aca="false">IF($A3478="","",원본명단!$B3477)</f>
        <v/>
      </c>
      <c r="D3478" s="12" t="str">
        <f aca="false">IF($A3478="","",원본명단!$D3477)</f>
        <v/>
      </c>
      <c r="E3478" s="11" t="str">
        <f aca="false">IF($A3478="","",IF(원본명단!$H3477="",0,COUNTIF(원본명단!$H$3:$H$6002,원본명단!$H3477)))</f>
        <v/>
      </c>
      <c r="F3478" s="11" t="str">
        <f aca="false">IF($A3478="","",IF(원본명단!$I3477="",0,COUNTIF(원본명단!$I$3:$I$6002,원본명단!$I3477)))</f>
        <v/>
      </c>
      <c r="G3478" s="11" t="str">
        <f aca="false">IF($A3478="","",IF(원본명단!$K3477="",0,COUNTIF(원본명단!$K$3:$K$6002,원본명단!$K3477)))</f>
        <v/>
      </c>
      <c r="H3478" s="11" t="str">
        <f aca="false">IF($A3478="","",IF(MAX($E3478,$F3478,$G3478)&gt;1,"중복","-"))</f>
        <v/>
      </c>
      <c r="I3478" s="11" t="str">
        <f aca="false">IF($A3478="","",IF($H3478="-","-",IF(AND(IF(원본명단!$H3477="",TRUE(),COUNTIF(원본명단!$H$3:$H3477,원본명단!$H3477)=1),IF(원본명단!$I3477="",TRUE(),COUNTIF(원본명단!$I$3:$I3477,원본명단!$I3477)=1),IF(원본명단!$K3477="",TRUE(),COUNTIF(원본명단!$K$3:$K3477,원본명단!$K3477)=1)),"첫 건","중복 건")))</f>
        <v/>
      </c>
      <c r="J3478" s="11" t="str">
        <f aca="false">IF($A3478="","",IF($H3478="-","유지",IF($I3478="첫 건","유지","확인 필요")))</f>
        <v/>
      </c>
    </row>
    <row r="3479" customFormat="false" ht="15" hidden="false" customHeight="true" outlineLevel="0" collapsed="false">
      <c r="A3479" s="11" t="str">
        <f aca="false">IF(원본명단!$A3478="","",3476)</f>
        <v/>
      </c>
      <c r="B3479" s="12" t="str">
        <f aca="false">IF($A3479="","",원본명단!$A3478)</f>
        <v/>
      </c>
      <c r="C3479" s="12" t="str">
        <f aca="false">IF($A3479="","",원본명단!$B3478)</f>
        <v/>
      </c>
      <c r="D3479" s="12" t="str">
        <f aca="false">IF($A3479="","",원본명단!$D3478)</f>
        <v/>
      </c>
      <c r="E3479" s="11" t="str">
        <f aca="false">IF($A3479="","",IF(원본명단!$H3478="",0,COUNTIF(원본명단!$H$3:$H$6002,원본명단!$H3478)))</f>
        <v/>
      </c>
      <c r="F3479" s="11" t="str">
        <f aca="false">IF($A3479="","",IF(원본명단!$I3478="",0,COUNTIF(원본명단!$I$3:$I$6002,원본명단!$I3478)))</f>
        <v/>
      </c>
      <c r="G3479" s="11" t="str">
        <f aca="false">IF($A3479="","",IF(원본명단!$K3478="",0,COUNTIF(원본명단!$K$3:$K$6002,원본명단!$K3478)))</f>
        <v/>
      </c>
      <c r="H3479" s="11" t="str">
        <f aca="false">IF($A3479="","",IF(MAX($E3479,$F3479,$G3479)&gt;1,"중복","-"))</f>
        <v/>
      </c>
      <c r="I3479" s="11" t="str">
        <f aca="false">IF($A3479="","",IF($H3479="-","-",IF(AND(IF(원본명단!$H3478="",TRUE(),COUNTIF(원본명단!$H$3:$H3478,원본명단!$H3478)=1),IF(원본명단!$I3478="",TRUE(),COUNTIF(원본명단!$I$3:$I3478,원본명단!$I3478)=1),IF(원본명단!$K3478="",TRUE(),COUNTIF(원본명단!$K$3:$K3478,원본명단!$K3478)=1)),"첫 건","중복 건")))</f>
        <v/>
      </c>
      <c r="J3479" s="11" t="str">
        <f aca="false">IF($A3479="","",IF($H3479="-","유지",IF($I3479="첫 건","유지","확인 필요")))</f>
        <v/>
      </c>
    </row>
    <row r="3480" customFormat="false" ht="15" hidden="false" customHeight="true" outlineLevel="0" collapsed="false">
      <c r="A3480" s="11" t="str">
        <f aca="false">IF(원본명단!$A3479="","",3477)</f>
        <v/>
      </c>
      <c r="B3480" s="12" t="str">
        <f aca="false">IF($A3480="","",원본명단!$A3479)</f>
        <v/>
      </c>
      <c r="C3480" s="12" t="str">
        <f aca="false">IF($A3480="","",원본명단!$B3479)</f>
        <v/>
      </c>
      <c r="D3480" s="12" t="str">
        <f aca="false">IF($A3480="","",원본명단!$D3479)</f>
        <v/>
      </c>
      <c r="E3480" s="11" t="str">
        <f aca="false">IF($A3480="","",IF(원본명단!$H3479="",0,COUNTIF(원본명단!$H$3:$H$6002,원본명단!$H3479)))</f>
        <v/>
      </c>
      <c r="F3480" s="11" t="str">
        <f aca="false">IF($A3480="","",IF(원본명단!$I3479="",0,COUNTIF(원본명단!$I$3:$I$6002,원본명단!$I3479)))</f>
        <v/>
      </c>
      <c r="G3480" s="11" t="str">
        <f aca="false">IF($A3480="","",IF(원본명단!$K3479="",0,COUNTIF(원본명단!$K$3:$K$6002,원본명단!$K3479)))</f>
        <v/>
      </c>
      <c r="H3480" s="11" t="str">
        <f aca="false">IF($A3480="","",IF(MAX($E3480,$F3480,$G3480)&gt;1,"중복","-"))</f>
        <v/>
      </c>
      <c r="I3480" s="11" t="str">
        <f aca="false">IF($A3480="","",IF($H3480="-","-",IF(AND(IF(원본명단!$H3479="",TRUE(),COUNTIF(원본명단!$H$3:$H3479,원본명단!$H3479)=1),IF(원본명단!$I3479="",TRUE(),COUNTIF(원본명단!$I$3:$I3479,원본명단!$I3479)=1),IF(원본명단!$K3479="",TRUE(),COUNTIF(원본명단!$K$3:$K3479,원본명단!$K3479)=1)),"첫 건","중복 건")))</f>
        <v/>
      </c>
      <c r="J3480" s="11" t="str">
        <f aca="false">IF($A3480="","",IF($H3480="-","유지",IF($I3480="첫 건","유지","확인 필요")))</f>
        <v/>
      </c>
    </row>
    <row r="3481" customFormat="false" ht="15" hidden="false" customHeight="true" outlineLevel="0" collapsed="false">
      <c r="A3481" s="11" t="str">
        <f aca="false">IF(원본명단!$A3480="","",3478)</f>
        <v/>
      </c>
      <c r="B3481" s="12" t="str">
        <f aca="false">IF($A3481="","",원본명단!$A3480)</f>
        <v/>
      </c>
      <c r="C3481" s="12" t="str">
        <f aca="false">IF($A3481="","",원본명단!$B3480)</f>
        <v/>
      </c>
      <c r="D3481" s="12" t="str">
        <f aca="false">IF($A3481="","",원본명단!$D3480)</f>
        <v/>
      </c>
      <c r="E3481" s="11" t="str">
        <f aca="false">IF($A3481="","",IF(원본명단!$H3480="",0,COUNTIF(원본명단!$H$3:$H$6002,원본명단!$H3480)))</f>
        <v/>
      </c>
      <c r="F3481" s="11" t="str">
        <f aca="false">IF($A3481="","",IF(원본명단!$I3480="",0,COUNTIF(원본명단!$I$3:$I$6002,원본명단!$I3480)))</f>
        <v/>
      </c>
      <c r="G3481" s="11" t="str">
        <f aca="false">IF($A3481="","",IF(원본명단!$K3480="",0,COUNTIF(원본명단!$K$3:$K$6002,원본명단!$K3480)))</f>
        <v/>
      </c>
      <c r="H3481" s="11" t="str">
        <f aca="false">IF($A3481="","",IF(MAX($E3481,$F3481,$G3481)&gt;1,"중복","-"))</f>
        <v/>
      </c>
      <c r="I3481" s="11" t="str">
        <f aca="false">IF($A3481="","",IF($H3481="-","-",IF(AND(IF(원본명단!$H3480="",TRUE(),COUNTIF(원본명단!$H$3:$H3480,원본명단!$H3480)=1),IF(원본명단!$I3480="",TRUE(),COUNTIF(원본명단!$I$3:$I3480,원본명단!$I3480)=1),IF(원본명단!$K3480="",TRUE(),COUNTIF(원본명단!$K$3:$K3480,원본명단!$K3480)=1)),"첫 건","중복 건")))</f>
        <v/>
      </c>
      <c r="J3481" s="11" t="str">
        <f aca="false">IF($A3481="","",IF($H3481="-","유지",IF($I3481="첫 건","유지","확인 필요")))</f>
        <v/>
      </c>
    </row>
    <row r="3482" customFormat="false" ht="15" hidden="false" customHeight="true" outlineLevel="0" collapsed="false">
      <c r="A3482" s="11" t="str">
        <f aca="false">IF(원본명단!$A3481="","",3479)</f>
        <v/>
      </c>
      <c r="B3482" s="12" t="str">
        <f aca="false">IF($A3482="","",원본명단!$A3481)</f>
        <v/>
      </c>
      <c r="C3482" s="12" t="str">
        <f aca="false">IF($A3482="","",원본명단!$B3481)</f>
        <v/>
      </c>
      <c r="D3482" s="12" t="str">
        <f aca="false">IF($A3482="","",원본명단!$D3481)</f>
        <v/>
      </c>
      <c r="E3482" s="11" t="str">
        <f aca="false">IF($A3482="","",IF(원본명단!$H3481="",0,COUNTIF(원본명단!$H$3:$H$6002,원본명단!$H3481)))</f>
        <v/>
      </c>
      <c r="F3482" s="11" t="str">
        <f aca="false">IF($A3482="","",IF(원본명단!$I3481="",0,COUNTIF(원본명단!$I$3:$I$6002,원본명단!$I3481)))</f>
        <v/>
      </c>
      <c r="G3482" s="11" t="str">
        <f aca="false">IF($A3482="","",IF(원본명단!$K3481="",0,COUNTIF(원본명단!$K$3:$K$6002,원본명단!$K3481)))</f>
        <v/>
      </c>
      <c r="H3482" s="11" t="str">
        <f aca="false">IF($A3482="","",IF(MAX($E3482,$F3482,$G3482)&gt;1,"중복","-"))</f>
        <v/>
      </c>
      <c r="I3482" s="11" t="str">
        <f aca="false">IF($A3482="","",IF($H3482="-","-",IF(AND(IF(원본명단!$H3481="",TRUE(),COUNTIF(원본명단!$H$3:$H3481,원본명단!$H3481)=1),IF(원본명단!$I3481="",TRUE(),COUNTIF(원본명단!$I$3:$I3481,원본명단!$I3481)=1),IF(원본명단!$K3481="",TRUE(),COUNTIF(원본명단!$K$3:$K3481,원본명단!$K3481)=1)),"첫 건","중복 건")))</f>
        <v/>
      </c>
      <c r="J3482" s="11" t="str">
        <f aca="false">IF($A3482="","",IF($H3482="-","유지",IF($I3482="첫 건","유지","확인 필요")))</f>
        <v/>
      </c>
    </row>
    <row r="3483" customFormat="false" ht="15" hidden="false" customHeight="true" outlineLevel="0" collapsed="false">
      <c r="A3483" s="11" t="str">
        <f aca="false">IF(원본명단!$A3482="","",3480)</f>
        <v/>
      </c>
      <c r="B3483" s="12" t="str">
        <f aca="false">IF($A3483="","",원본명단!$A3482)</f>
        <v/>
      </c>
      <c r="C3483" s="12" t="str">
        <f aca="false">IF($A3483="","",원본명단!$B3482)</f>
        <v/>
      </c>
      <c r="D3483" s="12" t="str">
        <f aca="false">IF($A3483="","",원본명단!$D3482)</f>
        <v/>
      </c>
      <c r="E3483" s="11" t="str">
        <f aca="false">IF($A3483="","",IF(원본명단!$H3482="",0,COUNTIF(원본명단!$H$3:$H$6002,원본명단!$H3482)))</f>
        <v/>
      </c>
      <c r="F3483" s="11" t="str">
        <f aca="false">IF($A3483="","",IF(원본명단!$I3482="",0,COUNTIF(원본명단!$I$3:$I$6002,원본명단!$I3482)))</f>
        <v/>
      </c>
      <c r="G3483" s="11" t="str">
        <f aca="false">IF($A3483="","",IF(원본명단!$K3482="",0,COUNTIF(원본명단!$K$3:$K$6002,원본명단!$K3482)))</f>
        <v/>
      </c>
      <c r="H3483" s="11" t="str">
        <f aca="false">IF($A3483="","",IF(MAX($E3483,$F3483,$G3483)&gt;1,"중복","-"))</f>
        <v/>
      </c>
      <c r="I3483" s="11" t="str">
        <f aca="false">IF($A3483="","",IF($H3483="-","-",IF(AND(IF(원본명단!$H3482="",TRUE(),COUNTIF(원본명단!$H$3:$H3482,원본명단!$H3482)=1),IF(원본명단!$I3482="",TRUE(),COUNTIF(원본명단!$I$3:$I3482,원본명단!$I3482)=1),IF(원본명단!$K3482="",TRUE(),COUNTIF(원본명단!$K$3:$K3482,원본명단!$K3482)=1)),"첫 건","중복 건")))</f>
        <v/>
      </c>
      <c r="J3483" s="11" t="str">
        <f aca="false">IF($A3483="","",IF($H3483="-","유지",IF($I3483="첫 건","유지","확인 필요")))</f>
        <v/>
      </c>
    </row>
    <row r="3484" customFormat="false" ht="15" hidden="false" customHeight="true" outlineLevel="0" collapsed="false">
      <c r="A3484" s="11" t="str">
        <f aca="false">IF(원본명단!$A3483="","",3481)</f>
        <v/>
      </c>
      <c r="B3484" s="12" t="str">
        <f aca="false">IF($A3484="","",원본명단!$A3483)</f>
        <v/>
      </c>
      <c r="C3484" s="12" t="str">
        <f aca="false">IF($A3484="","",원본명단!$B3483)</f>
        <v/>
      </c>
      <c r="D3484" s="12" t="str">
        <f aca="false">IF($A3484="","",원본명단!$D3483)</f>
        <v/>
      </c>
      <c r="E3484" s="11" t="str">
        <f aca="false">IF($A3484="","",IF(원본명단!$H3483="",0,COUNTIF(원본명단!$H$3:$H$6002,원본명단!$H3483)))</f>
        <v/>
      </c>
      <c r="F3484" s="11" t="str">
        <f aca="false">IF($A3484="","",IF(원본명단!$I3483="",0,COUNTIF(원본명단!$I$3:$I$6002,원본명단!$I3483)))</f>
        <v/>
      </c>
      <c r="G3484" s="11" t="str">
        <f aca="false">IF($A3484="","",IF(원본명단!$K3483="",0,COUNTIF(원본명단!$K$3:$K$6002,원본명단!$K3483)))</f>
        <v/>
      </c>
      <c r="H3484" s="11" t="str">
        <f aca="false">IF($A3484="","",IF(MAX($E3484,$F3484,$G3484)&gt;1,"중복","-"))</f>
        <v/>
      </c>
      <c r="I3484" s="11" t="str">
        <f aca="false">IF($A3484="","",IF($H3484="-","-",IF(AND(IF(원본명단!$H3483="",TRUE(),COUNTIF(원본명단!$H$3:$H3483,원본명단!$H3483)=1),IF(원본명단!$I3483="",TRUE(),COUNTIF(원본명단!$I$3:$I3483,원본명단!$I3483)=1),IF(원본명단!$K3483="",TRUE(),COUNTIF(원본명단!$K$3:$K3483,원본명단!$K3483)=1)),"첫 건","중복 건")))</f>
        <v/>
      </c>
      <c r="J3484" s="11" t="str">
        <f aca="false">IF($A3484="","",IF($H3484="-","유지",IF($I3484="첫 건","유지","확인 필요")))</f>
        <v/>
      </c>
    </row>
    <row r="3485" customFormat="false" ht="15" hidden="false" customHeight="true" outlineLevel="0" collapsed="false">
      <c r="A3485" s="11" t="str">
        <f aca="false">IF(원본명단!$A3484="","",3482)</f>
        <v/>
      </c>
      <c r="B3485" s="12" t="str">
        <f aca="false">IF($A3485="","",원본명단!$A3484)</f>
        <v/>
      </c>
      <c r="C3485" s="12" t="str">
        <f aca="false">IF($A3485="","",원본명단!$B3484)</f>
        <v/>
      </c>
      <c r="D3485" s="12" t="str">
        <f aca="false">IF($A3485="","",원본명단!$D3484)</f>
        <v/>
      </c>
      <c r="E3485" s="11" t="str">
        <f aca="false">IF($A3485="","",IF(원본명단!$H3484="",0,COUNTIF(원본명단!$H$3:$H$6002,원본명단!$H3484)))</f>
        <v/>
      </c>
      <c r="F3485" s="11" t="str">
        <f aca="false">IF($A3485="","",IF(원본명단!$I3484="",0,COUNTIF(원본명단!$I$3:$I$6002,원본명단!$I3484)))</f>
        <v/>
      </c>
      <c r="G3485" s="11" t="str">
        <f aca="false">IF($A3485="","",IF(원본명단!$K3484="",0,COUNTIF(원본명단!$K$3:$K$6002,원본명단!$K3484)))</f>
        <v/>
      </c>
      <c r="H3485" s="11" t="str">
        <f aca="false">IF($A3485="","",IF(MAX($E3485,$F3485,$G3485)&gt;1,"중복","-"))</f>
        <v/>
      </c>
      <c r="I3485" s="11" t="str">
        <f aca="false">IF($A3485="","",IF($H3485="-","-",IF(AND(IF(원본명단!$H3484="",TRUE(),COUNTIF(원본명단!$H$3:$H3484,원본명단!$H3484)=1),IF(원본명단!$I3484="",TRUE(),COUNTIF(원본명단!$I$3:$I3484,원본명단!$I3484)=1),IF(원본명단!$K3484="",TRUE(),COUNTIF(원본명단!$K$3:$K3484,원본명단!$K3484)=1)),"첫 건","중복 건")))</f>
        <v/>
      </c>
      <c r="J3485" s="11" t="str">
        <f aca="false">IF($A3485="","",IF($H3485="-","유지",IF($I3485="첫 건","유지","확인 필요")))</f>
        <v/>
      </c>
    </row>
    <row r="3486" customFormat="false" ht="15" hidden="false" customHeight="true" outlineLevel="0" collapsed="false">
      <c r="A3486" s="11" t="str">
        <f aca="false">IF(원본명단!$A3485="","",3483)</f>
        <v/>
      </c>
      <c r="B3486" s="12" t="str">
        <f aca="false">IF($A3486="","",원본명단!$A3485)</f>
        <v/>
      </c>
      <c r="C3486" s="12" t="str">
        <f aca="false">IF($A3486="","",원본명단!$B3485)</f>
        <v/>
      </c>
      <c r="D3486" s="12" t="str">
        <f aca="false">IF($A3486="","",원본명단!$D3485)</f>
        <v/>
      </c>
      <c r="E3486" s="11" t="str">
        <f aca="false">IF($A3486="","",IF(원본명단!$H3485="",0,COUNTIF(원본명단!$H$3:$H$6002,원본명단!$H3485)))</f>
        <v/>
      </c>
      <c r="F3486" s="11" t="str">
        <f aca="false">IF($A3486="","",IF(원본명단!$I3485="",0,COUNTIF(원본명단!$I$3:$I$6002,원본명단!$I3485)))</f>
        <v/>
      </c>
      <c r="G3486" s="11" t="str">
        <f aca="false">IF($A3486="","",IF(원본명단!$K3485="",0,COUNTIF(원본명단!$K$3:$K$6002,원본명단!$K3485)))</f>
        <v/>
      </c>
      <c r="H3486" s="11" t="str">
        <f aca="false">IF($A3486="","",IF(MAX($E3486,$F3486,$G3486)&gt;1,"중복","-"))</f>
        <v/>
      </c>
      <c r="I3486" s="11" t="str">
        <f aca="false">IF($A3486="","",IF($H3486="-","-",IF(AND(IF(원본명단!$H3485="",TRUE(),COUNTIF(원본명단!$H$3:$H3485,원본명단!$H3485)=1),IF(원본명단!$I3485="",TRUE(),COUNTIF(원본명단!$I$3:$I3485,원본명단!$I3485)=1),IF(원본명단!$K3485="",TRUE(),COUNTIF(원본명단!$K$3:$K3485,원본명단!$K3485)=1)),"첫 건","중복 건")))</f>
        <v/>
      </c>
      <c r="J3486" s="11" t="str">
        <f aca="false">IF($A3486="","",IF($H3486="-","유지",IF($I3486="첫 건","유지","확인 필요")))</f>
        <v/>
      </c>
    </row>
    <row r="3487" customFormat="false" ht="15" hidden="false" customHeight="true" outlineLevel="0" collapsed="false">
      <c r="A3487" s="11" t="str">
        <f aca="false">IF(원본명단!$A3486="","",3484)</f>
        <v/>
      </c>
      <c r="B3487" s="12" t="str">
        <f aca="false">IF($A3487="","",원본명단!$A3486)</f>
        <v/>
      </c>
      <c r="C3487" s="12" t="str">
        <f aca="false">IF($A3487="","",원본명단!$B3486)</f>
        <v/>
      </c>
      <c r="D3487" s="12" t="str">
        <f aca="false">IF($A3487="","",원본명단!$D3486)</f>
        <v/>
      </c>
      <c r="E3487" s="11" t="str">
        <f aca="false">IF($A3487="","",IF(원본명단!$H3486="",0,COUNTIF(원본명단!$H$3:$H$6002,원본명단!$H3486)))</f>
        <v/>
      </c>
      <c r="F3487" s="11" t="str">
        <f aca="false">IF($A3487="","",IF(원본명단!$I3486="",0,COUNTIF(원본명단!$I$3:$I$6002,원본명단!$I3486)))</f>
        <v/>
      </c>
      <c r="G3487" s="11" t="str">
        <f aca="false">IF($A3487="","",IF(원본명단!$K3486="",0,COUNTIF(원본명단!$K$3:$K$6002,원본명단!$K3486)))</f>
        <v/>
      </c>
      <c r="H3487" s="11" t="str">
        <f aca="false">IF($A3487="","",IF(MAX($E3487,$F3487,$G3487)&gt;1,"중복","-"))</f>
        <v/>
      </c>
      <c r="I3487" s="11" t="str">
        <f aca="false">IF($A3487="","",IF($H3487="-","-",IF(AND(IF(원본명단!$H3486="",TRUE(),COUNTIF(원본명단!$H$3:$H3486,원본명단!$H3486)=1),IF(원본명단!$I3486="",TRUE(),COUNTIF(원본명단!$I$3:$I3486,원본명단!$I3486)=1),IF(원본명단!$K3486="",TRUE(),COUNTIF(원본명단!$K$3:$K3486,원본명단!$K3486)=1)),"첫 건","중복 건")))</f>
        <v/>
      </c>
      <c r="J3487" s="11" t="str">
        <f aca="false">IF($A3487="","",IF($H3487="-","유지",IF($I3487="첫 건","유지","확인 필요")))</f>
        <v/>
      </c>
    </row>
    <row r="3488" customFormat="false" ht="15" hidden="false" customHeight="true" outlineLevel="0" collapsed="false">
      <c r="A3488" s="11" t="str">
        <f aca="false">IF(원본명단!$A3487="","",3485)</f>
        <v/>
      </c>
      <c r="B3488" s="12" t="str">
        <f aca="false">IF($A3488="","",원본명단!$A3487)</f>
        <v/>
      </c>
      <c r="C3488" s="12" t="str">
        <f aca="false">IF($A3488="","",원본명단!$B3487)</f>
        <v/>
      </c>
      <c r="D3488" s="12" t="str">
        <f aca="false">IF($A3488="","",원본명단!$D3487)</f>
        <v/>
      </c>
      <c r="E3488" s="11" t="str">
        <f aca="false">IF($A3488="","",IF(원본명단!$H3487="",0,COUNTIF(원본명단!$H$3:$H$6002,원본명단!$H3487)))</f>
        <v/>
      </c>
      <c r="F3488" s="11" t="str">
        <f aca="false">IF($A3488="","",IF(원본명단!$I3487="",0,COUNTIF(원본명단!$I$3:$I$6002,원본명단!$I3487)))</f>
        <v/>
      </c>
      <c r="G3488" s="11" t="str">
        <f aca="false">IF($A3488="","",IF(원본명단!$K3487="",0,COUNTIF(원본명단!$K$3:$K$6002,원본명단!$K3487)))</f>
        <v/>
      </c>
      <c r="H3488" s="11" t="str">
        <f aca="false">IF($A3488="","",IF(MAX($E3488,$F3488,$G3488)&gt;1,"중복","-"))</f>
        <v/>
      </c>
      <c r="I3488" s="11" t="str">
        <f aca="false">IF($A3488="","",IF($H3488="-","-",IF(AND(IF(원본명단!$H3487="",TRUE(),COUNTIF(원본명단!$H$3:$H3487,원본명단!$H3487)=1),IF(원본명단!$I3487="",TRUE(),COUNTIF(원본명단!$I$3:$I3487,원본명단!$I3487)=1),IF(원본명단!$K3487="",TRUE(),COUNTIF(원본명단!$K$3:$K3487,원본명단!$K3487)=1)),"첫 건","중복 건")))</f>
        <v/>
      </c>
      <c r="J3488" s="11" t="str">
        <f aca="false">IF($A3488="","",IF($H3488="-","유지",IF($I3488="첫 건","유지","확인 필요")))</f>
        <v/>
      </c>
    </row>
    <row r="3489" customFormat="false" ht="15" hidden="false" customHeight="true" outlineLevel="0" collapsed="false">
      <c r="A3489" s="11" t="str">
        <f aca="false">IF(원본명단!$A3488="","",3486)</f>
        <v/>
      </c>
      <c r="B3489" s="12" t="str">
        <f aca="false">IF($A3489="","",원본명단!$A3488)</f>
        <v/>
      </c>
      <c r="C3489" s="12" t="str">
        <f aca="false">IF($A3489="","",원본명단!$B3488)</f>
        <v/>
      </c>
      <c r="D3489" s="12" t="str">
        <f aca="false">IF($A3489="","",원본명단!$D3488)</f>
        <v/>
      </c>
      <c r="E3489" s="11" t="str">
        <f aca="false">IF($A3489="","",IF(원본명단!$H3488="",0,COUNTIF(원본명단!$H$3:$H$6002,원본명단!$H3488)))</f>
        <v/>
      </c>
      <c r="F3489" s="11" t="str">
        <f aca="false">IF($A3489="","",IF(원본명단!$I3488="",0,COUNTIF(원본명단!$I$3:$I$6002,원본명단!$I3488)))</f>
        <v/>
      </c>
      <c r="G3489" s="11" t="str">
        <f aca="false">IF($A3489="","",IF(원본명단!$K3488="",0,COUNTIF(원본명단!$K$3:$K$6002,원본명단!$K3488)))</f>
        <v/>
      </c>
      <c r="H3489" s="11" t="str">
        <f aca="false">IF($A3489="","",IF(MAX($E3489,$F3489,$G3489)&gt;1,"중복","-"))</f>
        <v/>
      </c>
      <c r="I3489" s="11" t="str">
        <f aca="false">IF($A3489="","",IF($H3489="-","-",IF(AND(IF(원본명단!$H3488="",TRUE(),COUNTIF(원본명단!$H$3:$H3488,원본명단!$H3488)=1),IF(원본명단!$I3488="",TRUE(),COUNTIF(원본명단!$I$3:$I3488,원본명단!$I3488)=1),IF(원본명단!$K3488="",TRUE(),COUNTIF(원본명단!$K$3:$K3488,원본명단!$K3488)=1)),"첫 건","중복 건")))</f>
        <v/>
      </c>
      <c r="J3489" s="11" t="str">
        <f aca="false">IF($A3489="","",IF($H3489="-","유지",IF($I3489="첫 건","유지","확인 필요")))</f>
        <v/>
      </c>
    </row>
    <row r="3490" customFormat="false" ht="15" hidden="false" customHeight="true" outlineLevel="0" collapsed="false">
      <c r="A3490" s="11" t="str">
        <f aca="false">IF(원본명단!$A3489="","",3487)</f>
        <v/>
      </c>
      <c r="B3490" s="12" t="str">
        <f aca="false">IF($A3490="","",원본명단!$A3489)</f>
        <v/>
      </c>
      <c r="C3490" s="12" t="str">
        <f aca="false">IF($A3490="","",원본명단!$B3489)</f>
        <v/>
      </c>
      <c r="D3490" s="12" t="str">
        <f aca="false">IF($A3490="","",원본명단!$D3489)</f>
        <v/>
      </c>
      <c r="E3490" s="11" t="str">
        <f aca="false">IF($A3490="","",IF(원본명단!$H3489="",0,COUNTIF(원본명단!$H$3:$H$6002,원본명단!$H3489)))</f>
        <v/>
      </c>
      <c r="F3490" s="11" t="str">
        <f aca="false">IF($A3490="","",IF(원본명단!$I3489="",0,COUNTIF(원본명단!$I$3:$I$6002,원본명단!$I3489)))</f>
        <v/>
      </c>
      <c r="G3490" s="11" t="str">
        <f aca="false">IF($A3490="","",IF(원본명단!$K3489="",0,COUNTIF(원본명단!$K$3:$K$6002,원본명단!$K3489)))</f>
        <v/>
      </c>
      <c r="H3490" s="11" t="str">
        <f aca="false">IF($A3490="","",IF(MAX($E3490,$F3490,$G3490)&gt;1,"중복","-"))</f>
        <v/>
      </c>
      <c r="I3490" s="11" t="str">
        <f aca="false">IF($A3490="","",IF($H3490="-","-",IF(AND(IF(원본명단!$H3489="",TRUE(),COUNTIF(원본명단!$H$3:$H3489,원본명단!$H3489)=1),IF(원본명단!$I3489="",TRUE(),COUNTIF(원본명단!$I$3:$I3489,원본명단!$I3489)=1),IF(원본명단!$K3489="",TRUE(),COUNTIF(원본명단!$K$3:$K3489,원본명단!$K3489)=1)),"첫 건","중복 건")))</f>
        <v/>
      </c>
      <c r="J3490" s="11" t="str">
        <f aca="false">IF($A3490="","",IF($H3490="-","유지",IF($I3490="첫 건","유지","확인 필요")))</f>
        <v/>
      </c>
    </row>
    <row r="3491" customFormat="false" ht="15" hidden="false" customHeight="true" outlineLevel="0" collapsed="false">
      <c r="A3491" s="11" t="str">
        <f aca="false">IF(원본명단!$A3490="","",3488)</f>
        <v/>
      </c>
      <c r="B3491" s="12" t="str">
        <f aca="false">IF($A3491="","",원본명단!$A3490)</f>
        <v/>
      </c>
      <c r="C3491" s="12" t="str">
        <f aca="false">IF($A3491="","",원본명단!$B3490)</f>
        <v/>
      </c>
      <c r="D3491" s="12" t="str">
        <f aca="false">IF($A3491="","",원본명단!$D3490)</f>
        <v/>
      </c>
      <c r="E3491" s="11" t="str">
        <f aca="false">IF($A3491="","",IF(원본명단!$H3490="",0,COUNTIF(원본명단!$H$3:$H$6002,원본명단!$H3490)))</f>
        <v/>
      </c>
      <c r="F3491" s="11" t="str">
        <f aca="false">IF($A3491="","",IF(원본명단!$I3490="",0,COUNTIF(원본명단!$I$3:$I$6002,원본명단!$I3490)))</f>
        <v/>
      </c>
      <c r="G3491" s="11" t="str">
        <f aca="false">IF($A3491="","",IF(원본명단!$K3490="",0,COUNTIF(원본명단!$K$3:$K$6002,원본명단!$K3490)))</f>
        <v/>
      </c>
      <c r="H3491" s="11" t="str">
        <f aca="false">IF($A3491="","",IF(MAX($E3491,$F3491,$G3491)&gt;1,"중복","-"))</f>
        <v/>
      </c>
      <c r="I3491" s="11" t="str">
        <f aca="false">IF($A3491="","",IF($H3491="-","-",IF(AND(IF(원본명단!$H3490="",TRUE(),COUNTIF(원본명단!$H$3:$H3490,원본명단!$H3490)=1),IF(원본명단!$I3490="",TRUE(),COUNTIF(원본명단!$I$3:$I3490,원본명단!$I3490)=1),IF(원본명단!$K3490="",TRUE(),COUNTIF(원본명단!$K$3:$K3490,원본명단!$K3490)=1)),"첫 건","중복 건")))</f>
        <v/>
      </c>
      <c r="J3491" s="11" t="str">
        <f aca="false">IF($A3491="","",IF($H3491="-","유지",IF($I3491="첫 건","유지","확인 필요")))</f>
        <v/>
      </c>
    </row>
    <row r="3492" customFormat="false" ht="15" hidden="false" customHeight="true" outlineLevel="0" collapsed="false">
      <c r="A3492" s="11" t="str">
        <f aca="false">IF(원본명단!$A3491="","",3489)</f>
        <v/>
      </c>
      <c r="B3492" s="12" t="str">
        <f aca="false">IF($A3492="","",원본명단!$A3491)</f>
        <v/>
      </c>
      <c r="C3492" s="12" t="str">
        <f aca="false">IF($A3492="","",원본명단!$B3491)</f>
        <v/>
      </c>
      <c r="D3492" s="12" t="str">
        <f aca="false">IF($A3492="","",원본명단!$D3491)</f>
        <v/>
      </c>
      <c r="E3492" s="11" t="str">
        <f aca="false">IF($A3492="","",IF(원본명단!$H3491="",0,COUNTIF(원본명단!$H$3:$H$6002,원본명단!$H3491)))</f>
        <v/>
      </c>
      <c r="F3492" s="11" t="str">
        <f aca="false">IF($A3492="","",IF(원본명단!$I3491="",0,COUNTIF(원본명단!$I$3:$I$6002,원본명단!$I3491)))</f>
        <v/>
      </c>
      <c r="G3492" s="11" t="str">
        <f aca="false">IF($A3492="","",IF(원본명단!$K3491="",0,COUNTIF(원본명단!$K$3:$K$6002,원본명단!$K3491)))</f>
        <v/>
      </c>
      <c r="H3492" s="11" t="str">
        <f aca="false">IF($A3492="","",IF(MAX($E3492,$F3492,$G3492)&gt;1,"중복","-"))</f>
        <v/>
      </c>
      <c r="I3492" s="11" t="str">
        <f aca="false">IF($A3492="","",IF($H3492="-","-",IF(AND(IF(원본명단!$H3491="",TRUE(),COUNTIF(원본명단!$H$3:$H3491,원본명단!$H3491)=1),IF(원본명단!$I3491="",TRUE(),COUNTIF(원본명단!$I$3:$I3491,원본명단!$I3491)=1),IF(원본명단!$K3491="",TRUE(),COUNTIF(원본명단!$K$3:$K3491,원본명단!$K3491)=1)),"첫 건","중복 건")))</f>
        <v/>
      </c>
      <c r="J3492" s="11" t="str">
        <f aca="false">IF($A3492="","",IF($H3492="-","유지",IF($I3492="첫 건","유지","확인 필요")))</f>
        <v/>
      </c>
    </row>
    <row r="3493" customFormat="false" ht="15" hidden="false" customHeight="true" outlineLevel="0" collapsed="false">
      <c r="A3493" s="11" t="str">
        <f aca="false">IF(원본명단!$A3492="","",3490)</f>
        <v/>
      </c>
      <c r="B3493" s="12" t="str">
        <f aca="false">IF($A3493="","",원본명단!$A3492)</f>
        <v/>
      </c>
      <c r="C3493" s="12" t="str">
        <f aca="false">IF($A3493="","",원본명단!$B3492)</f>
        <v/>
      </c>
      <c r="D3493" s="12" t="str">
        <f aca="false">IF($A3493="","",원본명단!$D3492)</f>
        <v/>
      </c>
      <c r="E3493" s="11" t="str">
        <f aca="false">IF($A3493="","",IF(원본명단!$H3492="",0,COUNTIF(원본명단!$H$3:$H$6002,원본명단!$H3492)))</f>
        <v/>
      </c>
      <c r="F3493" s="11" t="str">
        <f aca="false">IF($A3493="","",IF(원본명단!$I3492="",0,COUNTIF(원본명단!$I$3:$I$6002,원본명단!$I3492)))</f>
        <v/>
      </c>
      <c r="G3493" s="11" t="str">
        <f aca="false">IF($A3493="","",IF(원본명단!$K3492="",0,COUNTIF(원본명단!$K$3:$K$6002,원본명단!$K3492)))</f>
        <v/>
      </c>
      <c r="H3493" s="11" t="str">
        <f aca="false">IF($A3493="","",IF(MAX($E3493,$F3493,$G3493)&gt;1,"중복","-"))</f>
        <v/>
      </c>
      <c r="I3493" s="11" t="str">
        <f aca="false">IF($A3493="","",IF($H3493="-","-",IF(AND(IF(원본명단!$H3492="",TRUE(),COUNTIF(원본명단!$H$3:$H3492,원본명단!$H3492)=1),IF(원본명단!$I3492="",TRUE(),COUNTIF(원본명단!$I$3:$I3492,원본명단!$I3492)=1),IF(원본명단!$K3492="",TRUE(),COUNTIF(원본명단!$K$3:$K3492,원본명단!$K3492)=1)),"첫 건","중복 건")))</f>
        <v/>
      </c>
      <c r="J3493" s="11" t="str">
        <f aca="false">IF($A3493="","",IF($H3493="-","유지",IF($I3493="첫 건","유지","확인 필요")))</f>
        <v/>
      </c>
    </row>
    <row r="3494" customFormat="false" ht="15" hidden="false" customHeight="true" outlineLevel="0" collapsed="false">
      <c r="A3494" s="11" t="str">
        <f aca="false">IF(원본명단!$A3493="","",3491)</f>
        <v/>
      </c>
      <c r="B3494" s="12" t="str">
        <f aca="false">IF($A3494="","",원본명단!$A3493)</f>
        <v/>
      </c>
      <c r="C3494" s="12" t="str">
        <f aca="false">IF($A3494="","",원본명단!$B3493)</f>
        <v/>
      </c>
      <c r="D3494" s="12" t="str">
        <f aca="false">IF($A3494="","",원본명단!$D3493)</f>
        <v/>
      </c>
      <c r="E3494" s="11" t="str">
        <f aca="false">IF($A3494="","",IF(원본명단!$H3493="",0,COUNTIF(원본명단!$H$3:$H$6002,원본명단!$H3493)))</f>
        <v/>
      </c>
      <c r="F3494" s="11" t="str">
        <f aca="false">IF($A3494="","",IF(원본명단!$I3493="",0,COUNTIF(원본명단!$I$3:$I$6002,원본명단!$I3493)))</f>
        <v/>
      </c>
      <c r="G3494" s="11" t="str">
        <f aca="false">IF($A3494="","",IF(원본명단!$K3493="",0,COUNTIF(원본명단!$K$3:$K$6002,원본명단!$K3493)))</f>
        <v/>
      </c>
      <c r="H3494" s="11" t="str">
        <f aca="false">IF($A3494="","",IF(MAX($E3494,$F3494,$G3494)&gt;1,"중복","-"))</f>
        <v/>
      </c>
      <c r="I3494" s="11" t="str">
        <f aca="false">IF($A3494="","",IF($H3494="-","-",IF(AND(IF(원본명단!$H3493="",TRUE(),COUNTIF(원본명단!$H$3:$H3493,원본명단!$H3493)=1),IF(원본명단!$I3493="",TRUE(),COUNTIF(원본명단!$I$3:$I3493,원본명단!$I3493)=1),IF(원본명단!$K3493="",TRUE(),COUNTIF(원본명단!$K$3:$K3493,원본명단!$K3493)=1)),"첫 건","중복 건")))</f>
        <v/>
      </c>
      <c r="J3494" s="11" t="str">
        <f aca="false">IF($A3494="","",IF($H3494="-","유지",IF($I3494="첫 건","유지","확인 필요")))</f>
        <v/>
      </c>
    </row>
    <row r="3495" customFormat="false" ht="15" hidden="false" customHeight="true" outlineLevel="0" collapsed="false">
      <c r="A3495" s="11" t="str">
        <f aca="false">IF(원본명단!$A3494="","",3492)</f>
        <v/>
      </c>
      <c r="B3495" s="12" t="str">
        <f aca="false">IF($A3495="","",원본명단!$A3494)</f>
        <v/>
      </c>
      <c r="C3495" s="12" t="str">
        <f aca="false">IF($A3495="","",원본명단!$B3494)</f>
        <v/>
      </c>
      <c r="D3495" s="12" t="str">
        <f aca="false">IF($A3495="","",원본명단!$D3494)</f>
        <v/>
      </c>
      <c r="E3495" s="11" t="str">
        <f aca="false">IF($A3495="","",IF(원본명단!$H3494="",0,COUNTIF(원본명단!$H$3:$H$6002,원본명단!$H3494)))</f>
        <v/>
      </c>
      <c r="F3495" s="11" t="str">
        <f aca="false">IF($A3495="","",IF(원본명단!$I3494="",0,COUNTIF(원본명단!$I$3:$I$6002,원본명단!$I3494)))</f>
        <v/>
      </c>
      <c r="G3495" s="11" t="str">
        <f aca="false">IF($A3495="","",IF(원본명단!$K3494="",0,COUNTIF(원본명단!$K$3:$K$6002,원본명단!$K3494)))</f>
        <v/>
      </c>
      <c r="H3495" s="11" t="str">
        <f aca="false">IF($A3495="","",IF(MAX($E3495,$F3495,$G3495)&gt;1,"중복","-"))</f>
        <v/>
      </c>
      <c r="I3495" s="11" t="str">
        <f aca="false">IF($A3495="","",IF($H3495="-","-",IF(AND(IF(원본명단!$H3494="",TRUE(),COUNTIF(원본명단!$H$3:$H3494,원본명단!$H3494)=1),IF(원본명단!$I3494="",TRUE(),COUNTIF(원본명단!$I$3:$I3494,원본명단!$I3494)=1),IF(원본명단!$K3494="",TRUE(),COUNTIF(원본명단!$K$3:$K3494,원본명단!$K3494)=1)),"첫 건","중복 건")))</f>
        <v/>
      </c>
      <c r="J3495" s="11" t="str">
        <f aca="false">IF($A3495="","",IF($H3495="-","유지",IF($I3495="첫 건","유지","확인 필요")))</f>
        <v/>
      </c>
    </row>
    <row r="3496" customFormat="false" ht="15" hidden="false" customHeight="true" outlineLevel="0" collapsed="false">
      <c r="A3496" s="11" t="str">
        <f aca="false">IF(원본명단!$A3495="","",3493)</f>
        <v/>
      </c>
      <c r="B3496" s="12" t="str">
        <f aca="false">IF($A3496="","",원본명단!$A3495)</f>
        <v/>
      </c>
      <c r="C3496" s="12" t="str">
        <f aca="false">IF($A3496="","",원본명단!$B3495)</f>
        <v/>
      </c>
      <c r="D3496" s="12" t="str">
        <f aca="false">IF($A3496="","",원본명단!$D3495)</f>
        <v/>
      </c>
      <c r="E3496" s="11" t="str">
        <f aca="false">IF($A3496="","",IF(원본명단!$H3495="",0,COUNTIF(원본명단!$H$3:$H$6002,원본명단!$H3495)))</f>
        <v/>
      </c>
      <c r="F3496" s="11" t="str">
        <f aca="false">IF($A3496="","",IF(원본명단!$I3495="",0,COUNTIF(원본명단!$I$3:$I$6002,원본명단!$I3495)))</f>
        <v/>
      </c>
      <c r="G3496" s="11" t="str">
        <f aca="false">IF($A3496="","",IF(원본명단!$K3495="",0,COUNTIF(원본명단!$K$3:$K$6002,원본명단!$K3495)))</f>
        <v/>
      </c>
      <c r="H3496" s="11" t="str">
        <f aca="false">IF($A3496="","",IF(MAX($E3496,$F3496,$G3496)&gt;1,"중복","-"))</f>
        <v/>
      </c>
      <c r="I3496" s="11" t="str">
        <f aca="false">IF($A3496="","",IF($H3496="-","-",IF(AND(IF(원본명단!$H3495="",TRUE(),COUNTIF(원본명단!$H$3:$H3495,원본명단!$H3495)=1),IF(원본명단!$I3495="",TRUE(),COUNTIF(원본명단!$I$3:$I3495,원본명단!$I3495)=1),IF(원본명단!$K3495="",TRUE(),COUNTIF(원본명단!$K$3:$K3495,원본명단!$K3495)=1)),"첫 건","중복 건")))</f>
        <v/>
      </c>
      <c r="J3496" s="11" t="str">
        <f aca="false">IF($A3496="","",IF($H3496="-","유지",IF($I3496="첫 건","유지","확인 필요")))</f>
        <v/>
      </c>
    </row>
    <row r="3497" customFormat="false" ht="15" hidden="false" customHeight="true" outlineLevel="0" collapsed="false">
      <c r="A3497" s="11" t="str">
        <f aca="false">IF(원본명단!$A3496="","",3494)</f>
        <v/>
      </c>
      <c r="B3497" s="12" t="str">
        <f aca="false">IF($A3497="","",원본명단!$A3496)</f>
        <v/>
      </c>
      <c r="C3497" s="12" t="str">
        <f aca="false">IF($A3497="","",원본명단!$B3496)</f>
        <v/>
      </c>
      <c r="D3497" s="12" t="str">
        <f aca="false">IF($A3497="","",원본명단!$D3496)</f>
        <v/>
      </c>
      <c r="E3497" s="11" t="str">
        <f aca="false">IF($A3497="","",IF(원본명단!$H3496="",0,COUNTIF(원본명단!$H$3:$H$6002,원본명단!$H3496)))</f>
        <v/>
      </c>
      <c r="F3497" s="11" t="str">
        <f aca="false">IF($A3497="","",IF(원본명단!$I3496="",0,COUNTIF(원본명단!$I$3:$I$6002,원본명단!$I3496)))</f>
        <v/>
      </c>
      <c r="G3497" s="11" t="str">
        <f aca="false">IF($A3497="","",IF(원본명단!$K3496="",0,COUNTIF(원본명단!$K$3:$K$6002,원본명단!$K3496)))</f>
        <v/>
      </c>
      <c r="H3497" s="11" t="str">
        <f aca="false">IF($A3497="","",IF(MAX($E3497,$F3497,$G3497)&gt;1,"중복","-"))</f>
        <v/>
      </c>
      <c r="I3497" s="11" t="str">
        <f aca="false">IF($A3497="","",IF($H3497="-","-",IF(AND(IF(원본명단!$H3496="",TRUE(),COUNTIF(원본명단!$H$3:$H3496,원본명단!$H3496)=1),IF(원본명단!$I3496="",TRUE(),COUNTIF(원본명단!$I$3:$I3496,원본명단!$I3496)=1),IF(원본명단!$K3496="",TRUE(),COUNTIF(원본명단!$K$3:$K3496,원본명단!$K3496)=1)),"첫 건","중복 건")))</f>
        <v/>
      </c>
      <c r="J3497" s="11" t="str">
        <f aca="false">IF($A3497="","",IF($H3497="-","유지",IF($I3497="첫 건","유지","확인 필요")))</f>
        <v/>
      </c>
    </row>
    <row r="3498" customFormat="false" ht="15" hidden="false" customHeight="true" outlineLevel="0" collapsed="false">
      <c r="A3498" s="11" t="str">
        <f aca="false">IF(원본명단!$A3497="","",3495)</f>
        <v/>
      </c>
      <c r="B3498" s="12" t="str">
        <f aca="false">IF($A3498="","",원본명단!$A3497)</f>
        <v/>
      </c>
      <c r="C3498" s="12" t="str">
        <f aca="false">IF($A3498="","",원본명단!$B3497)</f>
        <v/>
      </c>
      <c r="D3498" s="12" t="str">
        <f aca="false">IF($A3498="","",원본명단!$D3497)</f>
        <v/>
      </c>
      <c r="E3498" s="11" t="str">
        <f aca="false">IF($A3498="","",IF(원본명단!$H3497="",0,COUNTIF(원본명단!$H$3:$H$6002,원본명단!$H3497)))</f>
        <v/>
      </c>
      <c r="F3498" s="11" t="str">
        <f aca="false">IF($A3498="","",IF(원본명단!$I3497="",0,COUNTIF(원본명단!$I$3:$I$6002,원본명단!$I3497)))</f>
        <v/>
      </c>
      <c r="G3498" s="11" t="str">
        <f aca="false">IF($A3498="","",IF(원본명단!$K3497="",0,COUNTIF(원본명단!$K$3:$K$6002,원본명단!$K3497)))</f>
        <v/>
      </c>
      <c r="H3498" s="11" t="str">
        <f aca="false">IF($A3498="","",IF(MAX($E3498,$F3498,$G3498)&gt;1,"중복","-"))</f>
        <v/>
      </c>
      <c r="I3498" s="11" t="str">
        <f aca="false">IF($A3498="","",IF($H3498="-","-",IF(AND(IF(원본명단!$H3497="",TRUE(),COUNTIF(원본명단!$H$3:$H3497,원본명단!$H3497)=1),IF(원본명단!$I3497="",TRUE(),COUNTIF(원본명단!$I$3:$I3497,원본명단!$I3497)=1),IF(원본명단!$K3497="",TRUE(),COUNTIF(원본명단!$K$3:$K3497,원본명단!$K3497)=1)),"첫 건","중복 건")))</f>
        <v/>
      </c>
      <c r="J3498" s="11" t="str">
        <f aca="false">IF($A3498="","",IF($H3498="-","유지",IF($I3498="첫 건","유지","확인 필요")))</f>
        <v/>
      </c>
    </row>
    <row r="3499" customFormat="false" ht="15" hidden="false" customHeight="true" outlineLevel="0" collapsed="false">
      <c r="A3499" s="11" t="str">
        <f aca="false">IF(원본명단!$A3498="","",3496)</f>
        <v/>
      </c>
      <c r="B3499" s="12" t="str">
        <f aca="false">IF($A3499="","",원본명단!$A3498)</f>
        <v/>
      </c>
      <c r="C3499" s="12" t="str">
        <f aca="false">IF($A3499="","",원본명단!$B3498)</f>
        <v/>
      </c>
      <c r="D3499" s="12" t="str">
        <f aca="false">IF($A3499="","",원본명단!$D3498)</f>
        <v/>
      </c>
      <c r="E3499" s="11" t="str">
        <f aca="false">IF($A3499="","",IF(원본명단!$H3498="",0,COUNTIF(원본명단!$H$3:$H$6002,원본명단!$H3498)))</f>
        <v/>
      </c>
      <c r="F3499" s="11" t="str">
        <f aca="false">IF($A3499="","",IF(원본명단!$I3498="",0,COUNTIF(원본명단!$I$3:$I$6002,원본명단!$I3498)))</f>
        <v/>
      </c>
      <c r="G3499" s="11" t="str">
        <f aca="false">IF($A3499="","",IF(원본명단!$K3498="",0,COUNTIF(원본명단!$K$3:$K$6002,원본명단!$K3498)))</f>
        <v/>
      </c>
      <c r="H3499" s="11" t="str">
        <f aca="false">IF($A3499="","",IF(MAX($E3499,$F3499,$G3499)&gt;1,"중복","-"))</f>
        <v/>
      </c>
      <c r="I3499" s="11" t="str">
        <f aca="false">IF($A3499="","",IF($H3499="-","-",IF(AND(IF(원본명단!$H3498="",TRUE(),COUNTIF(원본명단!$H$3:$H3498,원본명단!$H3498)=1),IF(원본명단!$I3498="",TRUE(),COUNTIF(원본명단!$I$3:$I3498,원본명단!$I3498)=1),IF(원본명단!$K3498="",TRUE(),COUNTIF(원본명단!$K$3:$K3498,원본명단!$K3498)=1)),"첫 건","중복 건")))</f>
        <v/>
      </c>
      <c r="J3499" s="11" t="str">
        <f aca="false">IF($A3499="","",IF($H3499="-","유지",IF($I3499="첫 건","유지","확인 필요")))</f>
        <v/>
      </c>
    </row>
    <row r="3500" customFormat="false" ht="15" hidden="false" customHeight="true" outlineLevel="0" collapsed="false">
      <c r="A3500" s="11" t="str">
        <f aca="false">IF(원본명단!$A3499="","",3497)</f>
        <v/>
      </c>
      <c r="B3500" s="12" t="str">
        <f aca="false">IF($A3500="","",원본명단!$A3499)</f>
        <v/>
      </c>
      <c r="C3500" s="12" t="str">
        <f aca="false">IF($A3500="","",원본명단!$B3499)</f>
        <v/>
      </c>
      <c r="D3500" s="12" t="str">
        <f aca="false">IF($A3500="","",원본명단!$D3499)</f>
        <v/>
      </c>
      <c r="E3500" s="11" t="str">
        <f aca="false">IF($A3500="","",IF(원본명단!$H3499="",0,COUNTIF(원본명단!$H$3:$H$6002,원본명단!$H3499)))</f>
        <v/>
      </c>
      <c r="F3500" s="11" t="str">
        <f aca="false">IF($A3500="","",IF(원본명단!$I3499="",0,COUNTIF(원본명단!$I$3:$I$6002,원본명단!$I3499)))</f>
        <v/>
      </c>
      <c r="G3500" s="11" t="str">
        <f aca="false">IF($A3500="","",IF(원본명단!$K3499="",0,COUNTIF(원본명단!$K$3:$K$6002,원본명단!$K3499)))</f>
        <v/>
      </c>
      <c r="H3500" s="11" t="str">
        <f aca="false">IF($A3500="","",IF(MAX($E3500,$F3500,$G3500)&gt;1,"중복","-"))</f>
        <v/>
      </c>
      <c r="I3500" s="11" t="str">
        <f aca="false">IF($A3500="","",IF($H3500="-","-",IF(AND(IF(원본명단!$H3499="",TRUE(),COUNTIF(원본명단!$H$3:$H3499,원본명단!$H3499)=1),IF(원본명단!$I3499="",TRUE(),COUNTIF(원본명단!$I$3:$I3499,원본명단!$I3499)=1),IF(원본명단!$K3499="",TRUE(),COUNTIF(원본명단!$K$3:$K3499,원본명단!$K3499)=1)),"첫 건","중복 건")))</f>
        <v/>
      </c>
      <c r="J3500" s="11" t="str">
        <f aca="false">IF($A3500="","",IF($H3500="-","유지",IF($I3500="첫 건","유지","확인 필요")))</f>
        <v/>
      </c>
    </row>
    <row r="3501" customFormat="false" ht="15" hidden="false" customHeight="true" outlineLevel="0" collapsed="false">
      <c r="A3501" s="11" t="str">
        <f aca="false">IF(원본명단!$A3500="","",3498)</f>
        <v/>
      </c>
      <c r="B3501" s="12" t="str">
        <f aca="false">IF($A3501="","",원본명단!$A3500)</f>
        <v/>
      </c>
      <c r="C3501" s="12" t="str">
        <f aca="false">IF($A3501="","",원본명단!$B3500)</f>
        <v/>
      </c>
      <c r="D3501" s="12" t="str">
        <f aca="false">IF($A3501="","",원본명단!$D3500)</f>
        <v/>
      </c>
      <c r="E3501" s="11" t="str">
        <f aca="false">IF($A3501="","",IF(원본명단!$H3500="",0,COUNTIF(원본명단!$H$3:$H$6002,원본명단!$H3500)))</f>
        <v/>
      </c>
      <c r="F3501" s="11" t="str">
        <f aca="false">IF($A3501="","",IF(원본명단!$I3500="",0,COUNTIF(원본명단!$I$3:$I$6002,원본명단!$I3500)))</f>
        <v/>
      </c>
      <c r="G3501" s="11" t="str">
        <f aca="false">IF($A3501="","",IF(원본명단!$K3500="",0,COUNTIF(원본명단!$K$3:$K$6002,원본명단!$K3500)))</f>
        <v/>
      </c>
      <c r="H3501" s="11" t="str">
        <f aca="false">IF($A3501="","",IF(MAX($E3501,$F3501,$G3501)&gt;1,"중복","-"))</f>
        <v/>
      </c>
      <c r="I3501" s="11" t="str">
        <f aca="false">IF($A3501="","",IF($H3501="-","-",IF(AND(IF(원본명단!$H3500="",TRUE(),COUNTIF(원본명단!$H$3:$H3500,원본명단!$H3500)=1),IF(원본명단!$I3500="",TRUE(),COUNTIF(원본명단!$I$3:$I3500,원본명단!$I3500)=1),IF(원본명단!$K3500="",TRUE(),COUNTIF(원본명단!$K$3:$K3500,원본명단!$K3500)=1)),"첫 건","중복 건")))</f>
        <v/>
      </c>
      <c r="J3501" s="11" t="str">
        <f aca="false">IF($A3501="","",IF($H3501="-","유지",IF($I3501="첫 건","유지","확인 필요")))</f>
        <v/>
      </c>
    </row>
    <row r="3502" customFormat="false" ht="15" hidden="false" customHeight="true" outlineLevel="0" collapsed="false">
      <c r="A3502" s="11" t="str">
        <f aca="false">IF(원본명단!$A3501="","",3499)</f>
        <v/>
      </c>
      <c r="B3502" s="12" t="str">
        <f aca="false">IF($A3502="","",원본명단!$A3501)</f>
        <v/>
      </c>
      <c r="C3502" s="12" t="str">
        <f aca="false">IF($A3502="","",원본명단!$B3501)</f>
        <v/>
      </c>
      <c r="D3502" s="12" t="str">
        <f aca="false">IF($A3502="","",원본명단!$D3501)</f>
        <v/>
      </c>
      <c r="E3502" s="11" t="str">
        <f aca="false">IF($A3502="","",IF(원본명단!$H3501="",0,COUNTIF(원본명단!$H$3:$H$6002,원본명단!$H3501)))</f>
        <v/>
      </c>
      <c r="F3502" s="11" t="str">
        <f aca="false">IF($A3502="","",IF(원본명단!$I3501="",0,COUNTIF(원본명단!$I$3:$I$6002,원본명단!$I3501)))</f>
        <v/>
      </c>
      <c r="G3502" s="11" t="str">
        <f aca="false">IF($A3502="","",IF(원본명단!$K3501="",0,COUNTIF(원본명단!$K$3:$K$6002,원본명단!$K3501)))</f>
        <v/>
      </c>
      <c r="H3502" s="11" t="str">
        <f aca="false">IF($A3502="","",IF(MAX($E3502,$F3502,$G3502)&gt;1,"중복","-"))</f>
        <v/>
      </c>
      <c r="I3502" s="11" t="str">
        <f aca="false">IF($A3502="","",IF($H3502="-","-",IF(AND(IF(원본명단!$H3501="",TRUE(),COUNTIF(원본명단!$H$3:$H3501,원본명단!$H3501)=1),IF(원본명단!$I3501="",TRUE(),COUNTIF(원본명단!$I$3:$I3501,원본명단!$I3501)=1),IF(원본명단!$K3501="",TRUE(),COUNTIF(원본명단!$K$3:$K3501,원본명단!$K3501)=1)),"첫 건","중복 건")))</f>
        <v/>
      </c>
      <c r="J3502" s="11" t="str">
        <f aca="false">IF($A3502="","",IF($H3502="-","유지",IF($I3502="첫 건","유지","확인 필요")))</f>
        <v/>
      </c>
    </row>
    <row r="3503" customFormat="false" ht="15" hidden="false" customHeight="true" outlineLevel="0" collapsed="false">
      <c r="A3503" s="11" t="str">
        <f aca="false">IF(원본명단!$A3502="","",3500)</f>
        <v/>
      </c>
      <c r="B3503" s="12" t="str">
        <f aca="false">IF($A3503="","",원본명단!$A3502)</f>
        <v/>
      </c>
      <c r="C3503" s="12" t="str">
        <f aca="false">IF($A3503="","",원본명단!$B3502)</f>
        <v/>
      </c>
      <c r="D3503" s="12" t="str">
        <f aca="false">IF($A3503="","",원본명단!$D3502)</f>
        <v/>
      </c>
      <c r="E3503" s="11" t="str">
        <f aca="false">IF($A3503="","",IF(원본명단!$H3502="",0,COUNTIF(원본명단!$H$3:$H$6002,원본명단!$H3502)))</f>
        <v/>
      </c>
      <c r="F3503" s="11" t="str">
        <f aca="false">IF($A3503="","",IF(원본명단!$I3502="",0,COUNTIF(원본명단!$I$3:$I$6002,원본명단!$I3502)))</f>
        <v/>
      </c>
      <c r="G3503" s="11" t="str">
        <f aca="false">IF($A3503="","",IF(원본명단!$K3502="",0,COUNTIF(원본명단!$K$3:$K$6002,원본명단!$K3502)))</f>
        <v/>
      </c>
      <c r="H3503" s="11" t="str">
        <f aca="false">IF($A3503="","",IF(MAX($E3503,$F3503,$G3503)&gt;1,"중복","-"))</f>
        <v/>
      </c>
      <c r="I3503" s="11" t="str">
        <f aca="false">IF($A3503="","",IF($H3503="-","-",IF(AND(IF(원본명단!$H3502="",TRUE(),COUNTIF(원본명단!$H$3:$H3502,원본명단!$H3502)=1),IF(원본명단!$I3502="",TRUE(),COUNTIF(원본명단!$I$3:$I3502,원본명단!$I3502)=1),IF(원본명단!$K3502="",TRUE(),COUNTIF(원본명단!$K$3:$K3502,원본명단!$K3502)=1)),"첫 건","중복 건")))</f>
        <v/>
      </c>
      <c r="J3503" s="11" t="str">
        <f aca="false">IF($A3503="","",IF($H3503="-","유지",IF($I3503="첫 건","유지","확인 필요")))</f>
        <v/>
      </c>
    </row>
    <row r="3504" customFormat="false" ht="15" hidden="false" customHeight="true" outlineLevel="0" collapsed="false">
      <c r="A3504" s="11" t="str">
        <f aca="false">IF(원본명단!$A3503="","",3501)</f>
        <v/>
      </c>
      <c r="B3504" s="12" t="str">
        <f aca="false">IF($A3504="","",원본명단!$A3503)</f>
        <v/>
      </c>
      <c r="C3504" s="12" t="str">
        <f aca="false">IF($A3504="","",원본명단!$B3503)</f>
        <v/>
      </c>
      <c r="D3504" s="12" t="str">
        <f aca="false">IF($A3504="","",원본명단!$D3503)</f>
        <v/>
      </c>
      <c r="E3504" s="11" t="str">
        <f aca="false">IF($A3504="","",IF(원본명단!$H3503="",0,COUNTIF(원본명단!$H$3:$H$6002,원본명단!$H3503)))</f>
        <v/>
      </c>
      <c r="F3504" s="11" t="str">
        <f aca="false">IF($A3504="","",IF(원본명단!$I3503="",0,COUNTIF(원본명단!$I$3:$I$6002,원본명단!$I3503)))</f>
        <v/>
      </c>
      <c r="G3504" s="11" t="str">
        <f aca="false">IF($A3504="","",IF(원본명단!$K3503="",0,COUNTIF(원본명단!$K$3:$K$6002,원본명단!$K3503)))</f>
        <v/>
      </c>
      <c r="H3504" s="11" t="str">
        <f aca="false">IF($A3504="","",IF(MAX($E3504,$F3504,$G3504)&gt;1,"중복","-"))</f>
        <v/>
      </c>
      <c r="I3504" s="11" t="str">
        <f aca="false">IF($A3504="","",IF($H3504="-","-",IF(AND(IF(원본명단!$H3503="",TRUE(),COUNTIF(원본명단!$H$3:$H3503,원본명단!$H3503)=1),IF(원본명단!$I3503="",TRUE(),COUNTIF(원본명단!$I$3:$I3503,원본명단!$I3503)=1),IF(원본명단!$K3503="",TRUE(),COUNTIF(원본명단!$K$3:$K3503,원본명단!$K3503)=1)),"첫 건","중복 건")))</f>
        <v/>
      </c>
      <c r="J3504" s="11" t="str">
        <f aca="false">IF($A3504="","",IF($H3504="-","유지",IF($I3504="첫 건","유지","확인 필요")))</f>
        <v/>
      </c>
    </row>
    <row r="3505" customFormat="false" ht="15" hidden="false" customHeight="true" outlineLevel="0" collapsed="false">
      <c r="A3505" s="11" t="str">
        <f aca="false">IF(원본명단!$A3504="","",3502)</f>
        <v/>
      </c>
      <c r="B3505" s="12" t="str">
        <f aca="false">IF($A3505="","",원본명단!$A3504)</f>
        <v/>
      </c>
      <c r="C3505" s="12" t="str">
        <f aca="false">IF($A3505="","",원본명단!$B3504)</f>
        <v/>
      </c>
      <c r="D3505" s="12" t="str">
        <f aca="false">IF($A3505="","",원본명단!$D3504)</f>
        <v/>
      </c>
      <c r="E3505" s="11" t="str">
        <f aca="false">IF($A3505="","",IF(원본명단!$H3504="",0,COUNTIF(원본명단!$H$3:$H$6002,원본명단!$H3504)))</f>
        <v/>
      </c>
      <c r="F3505" s="11" t="str">
        <f aca="false">IF($A3505="","",IF(원본명단!$I3504="",0,COUNTIF(원본명단!$I$3:$I$6002,원본명단!$I3504)))</f>
        <v/>
      </c>
      <c r="G3505" s="11" t="str">
        <f aca="false">IF($A3505="","",IF(원본명단!$K3504="",0,COUNTIF(원본명단!$K$3:$K$6002,원본명단!$K3504)))</f>
        <v/>
      </c>
      <c r="H3505" s="11" t="str">
        <f aca="false">IF($A3505="","",IF(MAX($E3505,$F3505,$G3505)&gt;1,"중복","-"))</f>
        <v/>
      </c>
      <c r="I3505" s="11" t="str">
        <f aca="false">IF($A3505="","",IF($H3505="-","-",IF(AND(IF(원본명단!$H3504="",TRUE(),COUNTIF(원본명단!$H$3:$H3504,원본명단!$H3504)=1),IF(원본명단!$I3504="",TRUE(),COUNTIF(원본명단!$I$3:$I3504,원본명단!$I3504)=1),IF(원본명단!$K3504="",TRUE(),COUNTIF(원본명단!$K$3:$K3504,원본명단!$K3504)=1)),"첫 건","중복 건")))</f>
        <v/>
      </c>
      <c r="J3505" s="11" t="str">
        <f aca="false">IF($A3505="","",IF($H3505="-","유지",IF($I3505="첫 건","유지","확인 필요")))</f>
        <v/>
      </c>
    </row>
    <row r="3506" customFormat="false" ht="15" hidden="false" customHeight="true" outlineLevel="0" collapsed="false">
      <c r="A3506" s="11" t="str">
        <f aca="false">IF(원본명단!$A3505="","",3503)</f>
        <v/>
      </c>
      <c r="B3506" s="12" t="str">
        <f aca="false">IF($A3506="","",원본명단!$A3505)</f>
        <v/>
      </c>
      <c r="C3506" s="12" t="str">
        <f aca="false">IF($A3506="","",원본명단!$B3505)</f>
        <v/>
      </c>
      <c r="D3506" s="12" t="str">
        <f aca="false">IF($A3506="","",원본명단!$D3505)</f>
        <v/>
      </c>
      <c r="E3506" s="11" t="str">
        <f aca="false">IF($A3506="","",IF(원본명단!$H3505="",0,COUNTIF(원본명단!$H$3:$H$6002,원본명단!$H3505)))</f>
        <v/>
      </c>
      <c r="F3506" s="11" t="str">
        <f aca="false">IF($A3506="","",IF(원본명단!$I3505="",0,COUNTIF(원본명단!$I$3:$I$6002,원본명단!$I3505)))</f>
        <v/>
      </c>
      <c r="G3506" s="11" t="str">
        <f aca="false">IF($A3506="","",IF(원본명단!$K3505="",0,COUNTIF(원본명단!$K$3:$K$6002,원본명단!$K3505)))</f>
        <v/>
      </c>
      <c r="H3506" s="11" t="str">
        <f aca="false">IF($A3506="","",IF(MAX($E3506,$F3506,$G3506)&gt;1,"중복","-"))</f>
        <v/>
      </c>
      <c r="I3506" s="11" t="str">
        <f aca="false">IF($A3506="","",IF($H3506="-","-",IF(AND(IF(원본명단!$H3505="",TRUE(),COUNTIF(원본명단!$H$3:$H3505,원본명단!$H3505)=1),IF(원본명단!$I3505="",TRUE(),COUNTIF(원본명단!$I$3:$I3505,원본명단!$I3505)=1),IF(원본명단!$K3505="",TRUE(),COUNTIF(원본명단!$K$3:$K3505,원본명단!$K3505)=1)),"첫 건","중복 건")))</f>
        <v/>
      </c>
      <c r="J3506" s="11" t="str">
        <f aca="false">IF($A3506="","",IF($H3506="-","유지",IF($I3506="첫 건","유지","확인 필요")))</f>
        <v/>
      </c>
    </row>
    <row r="3507" customFormat="false" ht="15" hidden="false" customHeight="true" outlineLevel="0" collapsed="false">
      <c r="A3507" s="11" t="str">
        <f aca="false">IF(원본명단!$A3506="","",3504)</f>
        <v/>
      </c>
      <c r="B3507" s="12" t="str">
        <f aca="false">IF($A3507="","",원본명단!$A3506)</f>
        <v/>
      </c>
      <c r="C3507" s="12" t="str">
        <f aca="false">IF($A3507="","",원본명단!$B3506)</f>
        <v/>
      </c>
      <c r="D3507" s="12" t="str">
        <f aca="false">IF($A3507="","",원본명단!$D3506)</f>
        <v/>
      </c>
      <c r="E3507" s="11" t="str">
        <f aca="false">IF($A3507="","",IF(원본명단!$H3506="",0,COUNTIF(원본명단!$H$3:$H$6002,원본명단!$H3506)))</f>
        <v/>
      </c>
      <c r="F3507" s="11" t="str">
        <f aca="false">IF($A3507="","",IF(원본명단!$I3506="",0,COUNTIF(원본명단!$I$3:$I$6002,원본명단!$I3506)))</f>
        <v/>
      </c>
      <c r="G3507" s="11" t="str">
        <f aca="false">IF($A3507="","",IF(원본명단!$K3506="",0,COUNTIF(원본명단!$K$3:$K$6002,원본명단!$K3506)))</f>
        <v/>
      </c>
      <c r="H3507" s="11" t="str">
        <f aca="false">IF($A3507="","",IF(MAX($E3507,$F3507,$G3507)&gt;1,"중복","-"))</f>
        <v/>
      </c>
      <c r="I3507" s="11" t="str">
        <f aca="false">IF($A3507="","",IF($H3507="-","-",IF(AND(IF(원본명단!$H3506="",TRUE(),COUNTIF(원본명단!$H$3:$H3506,원본명단!$H3506)=1),IF(원본명단!$I3506="",TRUE(),COUNTIF(원본명단!$I$3:$I3506,원본명단!$I3506)=1),IF(원본명단!$K3506="",TRUE(),COUNTIF(원본명단!$K$3:$K3506,원본명단!$K3506)=1)),"첫 건","중복 건")))</f>
        <v/>
      </c>
      <c r="J3507" s="11" t="str">
        <f aca="false">IF($A3507="","",IF($H3507="-","유지",IF($I3507="첫 건","유지","확인 필요")))</f>
        <v/>
      </c>
    </row>
    <row r="3508" customFormat="false" ht="15" hidden="false" customHeight="true" outlineLevel="0" collapsed="false">
      <c r="A3508" s="11" t="str">
        <f aca="false">IF(원본명단!$A3507="","",3505)</f>
        <v/>
      </c>
      <c r="B3508" s="12" t="str">
        <f aca="false">IF($A3508="","",원본명단!$A3507)</f>
        <v/>
      </c>
      <c r="C3508" s="12" t="str">
        <f aca="false">IF($A3508="","",원본명단!$B3507)</f>
        <v/>
      </c>
      <c r="D3508" s="12" t="str">
        <f aca="false">IF($A3508="","",원본명단!$D3507)</f>
        <v/>
      </c>
      <c r="E3508" s="11" t="str">
        <f aca="false">IF($A3508="","",IF(원본명단!$H3507="",0,COUNTIF(원본명단!$H$3:$H$6002,원본명단!$H3507)))</f>
        <v/>
      </c>
      <c r="F3508" s="11" t="str">
        <f aca="false">IF($A3508="","",IF(원본명단!$I3507="",0,COUNTIF(원본명단!$I$3:$I$6002,원본명단!$I3507)))</f>
        <v/>
      </c>
      <c r="G3508" s="11" t="str">
        <f aca="false">IF($A3508="","",IF(원본명단!$K3507="",0,COUNTIF(원본명단!$K$3:$K$6002,원본명단!$K3507)))</f>
        <v/>
      </c>
      <c r="H3508" s="11" t="str">
        <f aca="false">IF($A3508="","",IF(MAX($E3508,$F3508,$G3508)&gt;1,"중복","-"))</f>
        <v/>
      </c>
      <c r="I3508" s="11" t="str">
        <f aca="false">IF($A3508="","",IF($H3508="-","-",IF(AND(IF(원본명단!$H3507="",TRUE(),COUNTIF(원본명단!$H$3:$H3507,원본명단!$H3507)=1),IF(원본명단!$I3507="",TRUE(),COUNTIF(원본명단!$I$3:$I3507,원본명단!$I3507)=1),IF(원본명단!$K3507="",TRUE(),COUNTIF(원본명단!$K$3:$K3507,원본명단!$K3507)=1)),"첫 건","중복 건")))</f>
        <v/>
      </c>
      <c r="J3508" s="11" t="str">
        <f aca="false">IF($A3508="","",IF($H3508="-","유지",IF($I3508="첫 건","유지","확인 필요")))</f>
        <v/>
      </c>
    </row>
    <row r="3509" customFormat="false" ht="15" hidden="false" customHeight="true" outlineLevel="0" collapsed="false">
      <c r="A3509" s="11" t="str">
        <f aca="false">IF(원본명단!$A3508="","",3506)</f>
        <v/>
      </c>
      <c r="B3509" s="12" t="str">
        <f aca="false">IF($A3509="","",원본명단!$A3508)</f>
        <v/>
      </c>
      <c r="C3509" s="12" t="str">
        <f aca="false">IF($A3509="","",원본명단!$B3508)</f>
        <v/>
      </c>
      <c r="D3509" s="12" t="str">
        <f aca="false">IF($A3509="","",원본명단!$D3508)</f>
        <v/>
      </c>
      <c r="E3509" s="11" t="str">
        <f aca="false">IF($A3509="","",IF(원본명단!$H3508="",0,COUNTIF(원본명단!$H$3:$H$6002,원본명단!$H3508)))</f>
        <v/>
      </c>
      <c r="F3509" s="11" t="str">
        <f aca="false">IF($A3509="","",IF(원본명단!$I3508="",0,COUNTIF(원본명단!$I$3:$I$6002,원본명단!$I3508)))</f>
        <v/>
      </c>
      <c r="G3509" s="11" t="str">
        <f aca="false">IF($A3509="","",IF(원본명단!$K3508="",0,COUNTIF(원본명단!$K$3:$K$6002,원본명단!$K3508)))</f>
        <v/>
      </c>
      <c r="H3509" s="11" t="str">
        <f aca="false">IF($A3509="","",IF(MAX($E3509,$F3509,$G3509)&gt;1,"중복","-"))</f>
        <v/>
      </c>
      <c r="I3509" s="11" t="str">
        <f aca="false">IF($A3509="","",IF($H3509="-","-",IF(AND(IF(원본명단!$H3508="",TRUE(),COUNTIF(원본명단!$H$3:$H3508,원본명단!$H3508)=1),IF(원본명단!$I3508="",TRUE(),COUNTIF(원본명단!$I$3:$I3508,원본명단!$I3508)=1),IF(원본명단!$K3508="",TRUE(),COUNTIF(원본명단!$K$3:$K3508,원본명단!$K3508)=1)),"첫 건","중복 건")))</f>
        <v/>
      </c>
      <c r="J3509" s="11" t="str">
        <f aca="false">IF($A3509="","",IF($H3509="-","유지",IF($I3509="첫 건","유지","확인 필요")))</f>
        <v/>
      </c>
    </row>
    <row r="3510" customFormat="false" ht="15" hidden="false" customHeight="true" outlineLevel="0" collapsed="false">
      <c r="A3510" s="11" t="str">
        <f aca="false">IF(원본명단!$A3509="","",3507)</f>
        <v/>
      </c>
      <c r="B3510" s="12" t="str">
        <f aca="false">IF($A3510="","",원본명단!$A3509)</f>
        <v/>
      </c>
      <c r="C3510" s="12" t="str">
        <f aca="false">IF($A3510="","",원본명단!$B3509)</f>
        <v/>
      </c>
      <c r="D3510" s="12" t="str">
        <f aca="false">IF($A3510="","",원본명단!$D3509)</f>
        <v/>
      </c>
      <c r="E3510" s="11" t="str">
        <f aca="false">IF($A3510="","",IF(원본명단!$H3509="",0,COUNTIF(원본명단!$H$3:$H$6002,원본명단!$H3509)))</f>
        <v/>
      </c>
      <c r="F3510" s="11" t="str">
        <f aca="false">IF($A3510="","",IF(원본명단!$I3509="",0,COUNTIF(원본명단!$I$3:$I$6002,원본명단!$I3509)))</f>
        <v/>
      </c>
      <c r="G3510" s="11" t="str">
        <f aca="false">IF($A3510="","",IF(원본명단!$K3509="",0,COUNTIF(원본명단!$K$3:$K$6002,원본명단!$K3509)))</f>
        <v/>
      </c>
      <c r="H3510" s="11" t="str">
        <f aca="false">IF($A3510="","",IF(MAX($E3510,$F3510,$G3510)&gt;1,"중복","-"))</f>
        <v/>
      </c>
      <c r="I3510" s="11" t="str">
        <f aca="false">IF($A3510="","",IF($H3510="-","-",IF(AND(IF(원본명단!$H3509="",TRUE(),COUNTIF(원본명단!$H$3:$H3509,원본명단!$H3509)=1),IF(원본명단!$I3509="",TRUE(),COUNTIF(원본명단!$I$3:$I3509,원본명단!$I3509)=1),IF(원본명단!$K3509="",TRUE(),COUNTIF(원본명단!$K$3:$K3509,원본명단!$K3509)=1)),"첫 건","중복 건")))</f>
        <v/>
      </c>
      <c r="J3510" s="11" t="str">
        <f aca="false">IF($A3510="","",IF($H3510="-","유지",IF($I3510="첫 건","유지","확인 필요")))</f>
        <v/>
      </c>
    </row>
    <row r="3511" customFormat="false" ht="15" hidden="false" customHeight="true" outlineLevel="0" collapsed="false">
      <c r="A3511" s="11" t="str">
        <f aca="false">IF(원본명단!$A3510="","",3508)</f>
        <v/>
      </c>
      <c r="B3511" s="12" t="str">
        <f aca="false">IF($A3511="","",원본명단!$A3510)</f>
        <v/>
      </c>
      <c r="C3511" s="12" t="str">
        <f aca="false">IF($A3511="","",원본명단!$B3510)</f>
        <v/>
      </c>
      <c r="D3511" s="12" t="str">
        <f aca="false">IF($A3511="","",원본명단!$D3510)</f>
        <v/>
      </c>
      <c r="E3511" s="11" t="str">
        <f aca="false">IF($A3511="","",IF(원본명단!$H3510="",0,COUNTIF(원본명단!$H$3:$H$6002,원본명단!$H3510)))</f>
        <v/>
      </c>
      <c r="F3511" s="11" t="str">
        <f aca="false">IF($A3511="","",IF(원본명단!$I3510="",0,COUNTIF(원본명단!$I$3:$I$6002,원본명단!$I3510)))</f>
        <v/>
      </c>
      <c r="G3511" s="11" t="str">
        <f aca="false">IF($A3511="","",IF(원본명단!$K3510="",0,COUNTIF(원본명단!$K$3:$K$6002,원본명단!$K3510)))</f>
        <v/>
      </c>
      <c r="H3511" s="11" t="str">
        <f aca="false">IF($A3511="","",IF(MAX($E3511,$F3511,$G3511)&gt;1,"중복","-"))</f>
        <v/>
      </c>
      <c r="I3511" s="11" t="str">
        <f aca="false">IF($A3511="","",IF($H3511="-","-",IF(AND(IF(원본명단!$H3510="",TRUE(),COUNTIF(원본명단!$H$3:$H3510,원본명단!$H3510)=1),IF(원본명단!$I3510="",TRUE(),COUNTIF(원본명단!$I$3:$I3510,원본명단!$I3510)=1),IF(원본명단!$K3510="",TRUE(),COUNTIF(원본명단!$K$3:$K3510,원본명단!$K3510)=1)),"첫 건","중복 건")))</f>
        <v/>
      </c>
      <c r="J3511" s="11" t="str">
        <f aca="false">IF($A3511="","",IF($H3511="-","유지",IF($I3511="첫 건","유지","확인 필요")))</f>
        <v/>
      </c>
    </row>
    <row r="3512" customFormat="false" ht="15" hidden="false" customHeight="true" outlineLevel="0" collapsed="false">
      <c r="A3512" s="11" t="str">
        <f aca="false">IF(원본명단!$A3511="","",3509)</f>
        <v/>
      </c>
      <c r="B3512" s="12" t="str">
        <f aca="false">IF($A3512="","",원본명단!$A3511)</f>
        <v/>
      </c>
      <c r="C3512" s="12" t="str">
        <f aca="false">IF($A3512="","",원본명단!$B3511)</f>
        <v/>
      </c>
      <c r="D3512" s="12" t="str">
        <f aca="false">IF($A3512="","",원본명단!$D3511)</f>
        <v/>
      </c>
      <c r="E3512" s="11" t="str">
        <f aca="false">IF($A3512="","",IF(원본명단!$H3511="",0,COUNTIF(원본명단!$H$3:$H$6002,원본명단!$H3511)))</f>
        <v/>
      </c>
      <c r="F3512" s="11" t="str">
        <f aca="false">IF($A3512="","",IF(원본명단!$I3511="",0,COUNTIF(원본명단!$I$3:$I$6002,원본명단!$I3511)))</f>
        <v/>
      </c>
      <c r="G3512" s="11" t="str">
        <f aca="false">IF($A3512="","",IF(원본명단!$K3511="",0,COUNTIF(원본명단!$K$3:$K$6002,원본명단!$K3511)))</f>
        <v/>
      </c>
      <c r="H3512" s="11" t="str">
        <f aca="false">IF($A3512="","",IF(MAX($E3512,$F3512,$G3512)&gt;1,"중복","-"))</f>
        <v/>
      </c>
      <c r="I3512" s="11" t="str">
        <f aca="false">IF($A3512="","",IF($H3512="-","-",IF(AND(IF(원본명단!$H3511="",TRUE(),COUNTIF(원본명단!$H$3:$H3511,원본명단!$H3511)=1),IF(원본명단!$I3511="",TRUE(),COUNTIF(원본명단!$I$3:$I3511,원본명단!$I3511)=1),IF(원본명단!$K3511="",TRUE(),COUNTIF(원본명단!$K$3:$K3511,원본명단!$K3511)=1)),"첫 건","중복 건")))</f>
        <v/>
      </c>
      <c r="J3512" s="11" t="str">
        <f aca="false">IF($A3512="","",IF($H3512="-","유지",IF($I3512="첫 건","유지","확인 필요")))</f>
        <v/>
      </c>
    </row>
    <row r="3513" customFormat="false" ht="15" hidden="false" customHeight="true" outlineLevel="0" collapsed="false">
      <c r="A3513" s="11" t="str">
        <f aca="false">IF(원본명단!$A3512="","",3510)</f>
        <v/>
      </c>
      <c r="B3513" s="12" t="str">
        <f aca="false">IF($A3513="","",원본명단!$A3512)</f>
        <v/>
      </c>
      <c r="C3513" s="12" t="str">
        <f aca="false">IF($A3513="","",원본명단!$B3512)</f>
        <v/>
      </c>
      <c r="D3513" s="12" t="str">
        <f aca="false">IF($A3513="","",원본명단!$D3512)</f>
        <v/>
      </c>
      <c r="E3513" s="11" t="str">
        <f aca="false">IF($A3513="","",IF(원본명단!$H3512="",0,COUNTIF(원본명단!$H$3:$H$6002,원본명단!$H3512)))</f>
        <v/>
      </c>
      <c r="F3513" s="11" t="str">
        <f aca="false">IF($A3513="","",IF(원본명단!$I3512="",0,COUNTIF(원본명단!$I$3:$I$6002,원본명단!$I3512)))</f>
        <v/>
      </c>
      <c r="G3513" s="11" t="str">
        <f aca="false">IF($A3513="","",IF(원본명단!$K3512="",0,COUNTIF(원본명단!$K$3:$K$6002,원본명단!$K3512)))</f>
        <v/>
      </c>
      <c r="H3513" s="11" t="str">
        <f aca="false">IF($A3513="","",IF(MAX($E3513,$F3513,$G3513)&gt;1,"중복","-"))</f>
        <v/>
      </c>
      <c r="I3513" s="11" t="str">
        <f aca="false">IF($A3513="","",IF($H3513="-","-",IF(AND(IF(원본명단!$H3512="",TRUE(),COUNTIF(원본명단!$H$3:$H3512,원본명단!$H3512)=1),IF(원본명단!$I3512="",TRUE(),COUNTIF(원본명단!$I$3:$I3512,원본명단!$I3512)=1),IF(원본명단!$K3512="",TRUE(),COUNTIF(원본명단!$K$3:$K3512,원본명단!$K3512)=1)),"첫 건","중복 건")))</f>
        <v/>
      </c>
      <c r="J3513" s="11" t="str">
        <f aca="false">IF($A3513="","",IF($H3513="-","유지",IF($I3513="첫 건","유지","확인 필요")))</f>
        <v/>
      </c>
    </row>
    <row r="3514" customFormat="false" ht="15" hidden="false" customHeight="true" outlineLevel="0" collapsed="false">
      <c r="A3514" s="11" t="str">
        <f aca="false">IF(원본명단!$A3513="","",3511)</f>
        <v/>
      </c>
      <c r="B3514" s="12" t="str">
        <f aca="false">IF($A3514="","",원본명단!$A3513)</f>
        <v/>
      </c>
      <c r="C3514" s="12" t="str">
        <f aca="false">IF($A3514="","",원본명단!$B3513)</f>
        <v/>
      </c>
      <c r="D3514" s="12" t="str">
        <f aca="false">IF($A3514="","",원본명단!$D3513)</f>
        <v/>
      </c>
      <c r="E3514" s="11" t="str">
        <f aca="false">IF($A3514="","",IF(원본명단!$H3513="",0,COUNTIF(원본명단!$H$3:$H$6002,원본명단!$H3513)))</f>
        <v/>
      </c>
      <c r="F3514" s="11" t="str">
        <f aca="false">IF($A3514="","",IF(원본명단!$I3513="",0,COUNTIF(원본명단!$I$3:$I$6002,원본명단!$I3513)))</f>
        <v/>
      </c>
      <c r="G3514" s="11" t="str">
        <f aca="false">IF($A3514="","",IF(원본명단!$K3513="",0,COUNTIF(원본명단!$K$3:$K$6002,원본명단!$K3513)))</f>
        <v/>
      </c>
      <c r="H3514" s="11" t="str">
        <f aca="false">IF($A3514="","",IF(MAX($E3514,$F3514,$G3514)&gt;1,"중복","-"))</f>
        <v/>
      </c>
      <c r="I3514" s="11" t="str">
        <f aca="false">IF($A3514="","",IF($H3514="-","-",IF(AND(IF(원본명단!$H3513="",TRUE(),COUNTIF(원본명단!$H$3:$H3513,원본명단!$H3513)=1),IF(원본명단!$I3513="",TRUE(),COUNTIF(원본명단!$I$3:$I3513,원본명단!$I3513)=1),IF(원본명단!$K3513="",TRUE(),COUNTIF(원본명단!$K$3:$K3513,원본명단!$K3513)=1)),"첫 건","중복 건")))</f>
        <v/>
      </c>
      <c r="J3514" s="11" t="str">
        <f aca="false">IF($A3514="","",IF($H3514="-","유지",IF($I3514="첫 건","유지","확인 필요")))</f>
        <v/>
      </c>
    </row>
    <row r="3515" customFormat="false" ht="15" hidden="false" customHeight="true" outlineLevel="0" collapsed="false">
      <c r="A3515" s="11" t="str">
        <f aca="false">IF(원본명단!$A3514="","",3512)</f>
        <v/>
      </c>
      <c r="B3515" s="12" t="str">
        <f aca="false">IF($A3515="","",원본명단!$A3514)</f>
        <v/>
      </c>
      <c r="C3515" s="12" t="str">
        <f aca="false">IF($A3515="","",원본명단!$B3514)</f>
        <v/>
      </c>
      <c r="D3515" s="12" t="str">
        <f aca="false">IF($A3515="","",원본명단!$D3514)</f>
        <v/>
      </c>
      <c r="E3515" s="11" t="str">
        <f aca="false">IF($A3515="","",IF(원본명단!$H3514="",0,COUNTIF(원본명단!$H$3:$H$6002,원본명단!$H3514)))</f>
        <v/>
      </c>
      <c r="F3515" s="11" t="str">
        <f aca="false">IF($A3515="","",IF(원본명단!$I3514="",0,COUNTIF(원본명단!$I$3:$I$6002,원본명단!$I3514)))</f>
        <v/>
      </c>
      <c r="G3515" s="11" t="str">
        <f aca="false">IF($A3515="","",IF(원본명단!$K3514="",0,COUNTIF(원본명단!$K$3:$K$6002,원본명단!$K3514)))</f>
        <v/>
      </c>
      <c r="H3515" s="11" t="str">
        <f aca="false">IF($A3515="","",IF(MAX($E3515,$F3515,$G3515)&gt;1,"중복","-"))</f>
        <v/>
      </c>
      <c r="I3515" s="11" t="str">
        <f aca="false">IF($A3515="","",IF($H3515="-","-",IF(AND(IF(원본명단!$H3514="",TRUE(),COUNTIF(원본명단!$H$3:$H3514,원본명단!$H3514)=1),IF(원본명단!$I3514="",TRUE(),COUNTIF(원본명단!$I$3:$I3514,원본명단!$I3514)=1),IF(원본명단!$K3514="",TRUE(),COUNTIF(원본명단!$K$3:$K3514,원본명단!$K3514)=1)),"첫 건","중복 건")))</f>
        <v/>
      </c>
      <c r="J3515" s="11" t="str">
        <f aca="false">IF($A3515="","",IF($H3515="-","유지",IF($I3515="첫 건","유지","확인 필요")))</f>
        <v/>
      </c>
    </row>
    <row r="3516" customFormat="false" ht="15" hidden="false" customHeight="true" outlineLevel="0" collapsed="false">
      <c r="A3516" s="11" t="str">
        <f aca="false">IF(원본명단!$A3515="","",3513)</f>
        <v/>
      </c>
      <c r="B3516" s="12" t="str">
        <f aca="false">IF($A3516="","",원본명단!$A3515)</f>
        <v/>
      </c>
      <c r="C3516" s="12" t="str">
        <f aca="false">IF($A3516="","",원본명단!$B3515)</f>
        <v/>
      </c>
      <c r="D3516" s="12" t="str">
        <f aca="false">IF($A3516="","",원본명단!$D3515)</f>
        <v/>
      </c>
      <c r="E3516" s="11" t="str">
        <f aca="false">IF($A3516="","",IF(원본명단!$H3515="",0,COUNTIF(원본명단!$H$3:$H$6002,원본명단!$H3515)))</f>
        <v/>
      </c>
      <c r="F3516" s="11" t="str">
        <f aca="false">IF($A3516="","",IF(원본명단!$I3515="",0,COUNTIF(원본명단!$I$3:$I$6002,원본명단!$I3515)))</f>
        <v/>
      </c>
      <c r="G3516" s="11" t="str">
        <f aca="false">IF($A3516="","",IF(원본명단!$K3515="",0,COUNTIF(원본명단!$K$3:$K$6002,원본명단!$K3515)))</f>
        <v/>
      </c>
      <c r="H3516" s="11" t="str">
        <f aca="false">IF($A3516="","",IF(MAX($E3516,$F3516,$G3516)&gt;1,"중복","-"))</f>
        <v/>
      </c>
      <c r="I3516" s="11" t="str">
        <f aca="false">IF($A3516="","",IF($H3516="-","-",IF(AND(IF(원본명단!$H3515="",TRUE(),COUNTIF(원본명단!$H$3:$H3515,원본명단!$H3515)=1),IF(원본명단!$I3515="",TRUE(),COUNTIF(원본명단!$I$3:$I3515,원본명단!$I3515)=1),IF(원본명단!$K3515="",TRUE(),COUNTIF(원본명단!$K$3:$K3515,원본명단!$K3515)=1)),"첫 건","중복 건")))</f>
        <v/>
      </c>
      <c r="J3516" s="11" t="str">
        <f aca="false">IF($A3516="","",IF($H3516="-","유지",IF($I3516="첫 건","유지","확인 필요")))</f>
        <v/>
      </c>
    </row>
    <row r="3517" customFormat="false" ht="15" hidden="false" customHeight="true" outlineLevel="0" collapsed="false">
      <c r="A3517" s="11" t="str">
        <f aca="false">IF(원본명단!$A3516="","",3514)</f>
        <v/>
      </c>
      <c r="B3517" s="12" t="str">
        <f aca="false">IF($A3517="","",원본명단!$A3516)</f>
        <v/>
      </c>
      <c r="C3517" s="12" t="str">
        <f aca="false">IF($A3517="","",원본명단!$B3516)</f>
        <v/>
      </c>
      <c r="D3517" s="12" t="str">
        <f aca="false">IF($A3517="","",원본명단!$D3516)</f>
        <v/>
      </c>
      <c r="E3517" s="11" t="str">
        <f aca="false">IF($A3517="","",IF(원본명단!$H3516="",0,COUNTIF(원본명단!$H$3:$H$6002,원본명단!$H3516)))</f>
        <v/>
      </c>
      <c r="F3517" s="11" t="str">
        <f aca="false">IF($A3517="","",IF(원본명단!$I3516="",0,COUNTIF(원본명단!$I$3:$I$6002,원본명단!$I3516)))</f>
        <v/>
      </c>
      <c r="G3517" s="11" t="str">
        <f aca="false">IF($A3517="","",IF(원본명단!$K3516="",0,COUNTIF(원본명단!$K$3:$K$6002,원본명단!$K3516)))</f>
        <v/>
      </c>
      <c r="H3517" s="11" t="str">
        <f aca="false">IF($A3517="","",IF(MAX($E3517,$F3517,$G3517)&gt;1,"중복","-"))</f>
        <v/>
      </c>
      <c r="I3517" s="11" t="str">
        <f aca="false">IF($A3517="","",IF($H3517="-","-",IF(AND(IF(원본명단!$H3516="",TRUE(),COUNTIF(원본명단!$H$3:$H3516,원본명단!$H3516)=1),IF(원본명단!$I3516="",TRUE(),COUNTIF(원본명단!$I$3:$I3516,원본명단!$I3516)=1),IF(원본명단!$K3516="",TRUE(),COUNTIF(원본명단!$K$3:$K3516,원본명단!$K3516)=1)),"첫 건","중복 건")))</f>
        <v/>
      </c>
      <c r="J3517" s="11" t="str">
        <f aca="false">IF($A3517="","",IF($H3517="-","유지",IF($I3517="첫 건","유지","확인 필요")))</f>
        <v/>
      </c>
    </row>
    <row r="3518" customFormat="false" ht="15" hidden="false" customHeight="true" outlineLevel="0" collapsed="false">
      <c r="A3518" s="11" t="str">
        <f aca="false">IF(원본명단!$A3517="","",3515)</f>
        <v/>
      </c>
      <c r="B3518" s="12" t="str">
        <f aca="false">IF($A3518="","",원본명단!$A3517)</f>
        <v/>
      </c>
      <c r="C3518" s="12" t="str">
        <f aca="false">IF($A3518="","",원본명단!$B3517)</f>
        <v/>
      </c>
      <c r="D3518" s="12" t="str">
        <f aca="false">IF($A3518="","",원본명단!$D3517)</f>
        <v/>
      </c>
      <c r="E3518" s="11" t="str">
        <f aca="false">IF($A3518="","",IF(원본명단!$H3517="",0,COUNTIF(원본명단!$H$3:$H$6002,원본명단!$H3517)))</f>
        <v/>
      </c>
      <c r="F3518" s="11" t="str">
        <f aca="false">IF($A3518="","",IF(원본명단!$I3517="",0,COUNTIF(원본명단!$I$3:$I$6002,원본명단!$I3517)))</f>
        <v/>
      </c>
      <c r="G3518" s="11" t="str">
        <f aca="false">IF($A3518="","",IF(원본명단!$K3517="",0,COUNTIF(원본명단!$K$3:$K$6002,원본명단!$K3517)))</f>
        <v/>
      </c>
      <c r="H3518" s="11" t="str">
        <f aca="false">IF($A3518="","",IF(MAX($E3518,$F3518,$G3518)&gt;1,"중복","-"))</f>
        <v/>
      </c>
      <c r="I3518" s="11" t="str">
        <f aca="false">IF($A3518="","",IF($H3518="-","-",IF(AND(IF(원본명단!$H3517="",TRUE(),COUNTIF(원본명단!$H$3:$H3517,원본명단!$H3517)=1),IF(원본명단!$I3517="",TRUE(),COUNTIF(원본명단!$I$3:$I3517,원본명단!$I3517)=1),IF(원본명단!$K3517="",TRUE(),COUNTIF(원본명단!$K$3:$K3517,원본명단!$K3517)=1)),"첫 건","중복 건")))</f>
        <v/>
      </c>
      <c r="J3518" s="11" t="str">
        <f aca="false">IF($A3518="","",IF($H3518="-","유지",IF($I3518="첫 건","유지","확인 필요")))</f>
        <v/>
      </c>
    </row>
    <row r="3519" customFormat="false" ht="15" hidden="false" customHeight="true" outlineLevel="0" collapsed="false">
      <c r="A3519" s="11" t="str">
        <f aca="false">IF(원본명단!$A3518="","",3516)</f>
        <v/>
      </c>
      <c r="B3519" s="12" t="str">
        <f aca="false">IF($A3519="","",원본명단!$A3518)</f>
        <v/>
      </c>
      <c r="C3519" s="12" t="str">
        <f aca="false">IF($A3519="","",원본명단!$B3518)</f>
        <v/>
      </c>
      <c r="D3519" s="12" t="str">
        <f aca="false">IF($A3519="","",원본명단!$D3518)</f>
        <v/>
      </c>
      <c r="E3519" s="11" t="str">
        <f aca="false">IF($A3519="","",IF(원본명단!$H3518="",0,COUNTIF(원본명단!$H$3:$H$6002,원본명단!$H3518)))</f>
        <v/>
      </c>
      <c r="F3519" s="11" t="str">
        <f aca="false">IF($A3519="","",IF(원본명단!$I3518="",0,COUNTIF(원본명단!$I$3:$I$6002,원본명단!$I3518)))</f>
        <v/>
      </c>
      <c r="G3519" s="11" t="str">
        <f aca="false">IF($A3519="","",IF(원본명단!$K3518="",0,COUNTIF(원본명단!$K$3:$K$6002,원본명단!$K3518)))</f>
        <v/>
      </c>
      <c r="H3519" s="11" t="str">
        <f aca="false">IF($A3519="","",IF(MAX($E3519,$F3519,$G3519)&gt;1,"중복","-"))</f>
        <v/>
      </c>
      <c r="I3519" s="11" t="str">
        <f aca="false">IF($A3519="","",IF($H3519="-","-",IF(AND(IF(원본명단!$H3518="",TRUE(),COUNTIF(원본명단!$H$3:$H3518,원본명단!$H3518)=1),IF(원본명단!$I3518="",TRUE(),COUNTIF(원본명단!$I$3:$I3518,원본명단!$I3518)=1),IF(원본명단!$K3518="",TRUE(),COUNTIF(원본명단!$K$3:$K3518,원본명단!$K3518)=1)),"첫 건","중복 건")))</f>
        <v/>
      </c>
      <c r="J3519" s="11" t="str">
        <f aca="false">IF($A3519="","",IF($H3519="-","유지",IF($I3519="첫 건","유지","확인 필요")))</f>
        <v/>
      </c>
    </row>
    <row r="3520" customFormat="false" ht="15" hidden="false" customHeight="true" outlineLevel="0" collapsed="false">
      <c r="A3520" s="11" t="str">
        <f aca="false">IF(원본명단!$A3519="","",3517)</f>
        <v/>
      </c>
      <c r="B3520" s="12" t="str">
        <f aca="false">IF($A3520="","",원본명단!$A3519)</f>
        <v/>
      </c>
      <c r="C3520" s="12" t="str">
        <f aca="false">IF($A3520="","",원본명단!$B3519)</f>
        <v/>
      </c>
      <c r="D3520" s="12" t="str">
        <f aca="false">IF($A3520="","",원본명단!$D3519)</f>
        <v/>
      </c>
      <c r="E3520" s="11" t="str">
        <f aca="false">IF($A3520="","",IF(원본명단!$H3519="",0,COUNTIF(원본명단!$H$3:$H$6002,원본명단!$H3519)))</f>
        <v/>
      </c>
      <c r="F3520" s="11" t="str">
        <f aca="false">IF($A3520="","",IF(원본명단!$I3519="",0,COUNTIF(원본명단!$I$3:$I$6002,원본명단!$I3519)))</f>
        <v/>
      </c>
      <c r="G3520" s="11" t="str">
        <f aca="false">IF($A3520="","",IF(원본명단!$K3519="",0,COUNTIF(원본명단!$K$3:$K$6002,원본명단!$K3519)))</f>
        <v/>
      </c>
      <c r="H3520" s="11" t="str">
        <f aca="false">IF($A3520="","",IF(MAX($E3520,$F3520,$G3520)&gt;1,"중복","-"))</f>
        <v/>
      </c>
      <c r="I3520" s="11" t="str">
        <f aca="false">IF($A3520="","",IF($H3520="-","-",IF(AND(IF(원본명단!$H3519="",TRUE(),COUNTIF(원본명단!$H$3:$H3519,원본명단!$H3519)=1),IF(원본명단!$I3519="",TRUE(),COUNTIF(원본명단!$I$3:$I3519,원본명단!$I3519)=1),IF(원본명단!$K3519="",TRUE(),COUNTIF(원본명단!$K$3:$K3519,원본명단!$K3519)=1)),"첫 건","중복 건")))</f>
        <v/>
      </c>
      <c r="J3520" s="11" t="str">
        <f aca="false">IF($A3520="","",IF($H3520="-","유지",IF($I3520="첫 건","유지","확인 필요")))</f>
        <v/>
      </c>
    </row>
    <row r="3521" customFormat="false" ht="15" hidden="false" customHeight="true" outlineLevel="0" collapsed="false">
      <c r="A3521" s="11" t="str">
        <f aca="false">IF(원본명단!$A3520="","",3518)</f>
        <v/>
      </c>
      <c r="B3521" s="12" t="str">
        <f aca="false">IF($A3521="","",원본명단!$A3520)</f>
        <v/>
      </c>
      <c r="C3521" s="12" t="str">
        <f aca="false">IF($A3521="","",원본명단!$B3520)</f>
        <v/>
      </c>
      <c r="D3521" s="12" t="str">
        <f aca="false">IF($A3521="","",원본명단!$D3520)</f>
        <v/>
      </c>
      <c r="E3521" s="11" t="str">
        <f aca="false">IF($A3521="","",IF(원본명단!$H3520="",0,COUNTIF(원본명단!$H$3:$H$6002,원본명단!$H3520)))</f>
        <v/>
      </c>
      <c r="F3521" s="11" t="str">
        <f aca="false">IF($A3521="","",IF(원본명단!$I3520="",0,COUNTIF(원본명단!$I$3:$I$6002,원본명단!$I3520)))</f>
        <v/>
      </c>
      <c r="G3521" s="11" t="str">
        <f aca="false">IF($A3521="","",IF(원본명단!$K3520="",0,COUNTIF(원본명단!$K$3:$K$6002,원본명단!$K3520)))</f>
        <v/>
      </c>
      <c r="H3521" s="11" t="str">
        <f aca="false">IF($A3521="","",IF(MAX($E3521,$F3521,$G3521)&gt;1,"중복","-"))</f>
        <v/>
      </c>
      <c r="I3521" s="11" t="str">
        <f aca="false">IF($A3521="","",IF($H3521="-","-",IF(AND(IF(원본명단!$H3520="",TRUE(),COUNTIF(원본명단!$H$3:$H3520,원본명단!$H3520)=1),IF(원본명단!$I3520="",TRUE(),COUNTIF(원본명단!$I$3:$I3520,원본명단!$I3520)=1),IF(원본명단!$K3520="",TRUE(),COUNTIF(원본명단!$K$3:$K3520,원본명단!$K3520)=1)),"첫 건","중복 건")))</f>
        <v/>
      </c>
      <c r="J3521" s="11" t="str">
        <f aca="false">IF($A3521="","",IF($H3521="-","유지",IF($I3521="첫 건","유지","확인 필요")))</f>
        <v/>
      </c>
    </row>
    <row r="3522" customFormat="false" ht="15" hidden="false" customHeight="true" outlineLevel="0" collapsed="false">
      <c r="A3522" s="11" t="str">
        <f aca="false">IF(원본명단!$A3521="","",3519)</f>
        <v/>
      </c>
      <c r="B3522" s="12" t="str">
        <f aca="false">IF($A3522="","",원본명단!$A3521)</f>
        <v/>
      </c>
      <c r="C3522" s="12" t="str">
        <f aca="false">IF($A3522="","",원본명단!$B3521)</f>
        <v/>
      </c>
      <c r="D3522" s="12" t="str">
        <f aca="false">IF($A3522="","",원본명단!$D3521)</f>
        <v/>
      </c>
      <c r="E3522" s="11" t="str">
        <f aca="false">IF($A3522="","",IF(원본명단!$H3521="",0,COUNTIF(원본명단!$H$3:$H$6002,원본명단!$H3521)))</f>
        <v/>
      </c>
      <c r="F3522" s="11" t="str">
        <f aca="false">IF($A3522="","",IF(원본명단!$I3521="",0,COUNTIF(원본명단!$I$3:$I$6002,원본명단!$I3521)))</f>
        <v/>
      </c>
      <c r="G3522" s="11" t="str">
        <f aca="false">IF($A3522="","",IF(원본명단!$K3521="",0,COUNTIF(원본명단!$K$3:$K$6002,원본명단!$K3521)))</f>
        <v/>
      </c>
      <c r="H3522" s="11" t="str">
        <f aca="false">IF($A3522="","",IF(MAX($E3522,$F3522,$G3522)&gt;1,"중복","-"))</f>
        <v/>
      </c>
      <c r="I3522" s="11" t="str">
        <f aca="false">IF($A3522="","",IF($H3522="-","-",IF(AND(IF(원본명단!$H3521="",TRUE(),COUNTIF(원본명단!$H$3:$H3521,원본명단!$H3521)=1),IF(원본명단!$I3521="",TRUE(),COUNTIF(원본명단!$I$3:$I3521,원본명단!$I3521)=1),IF(원본명단!$K3521="",TRUE(),COUNTIF(원본명단!$K$3:$K3521,원본명단!$K3521)=1)),"첫 건","중복 건")))</f>
        <v/>
      </c>
      <c r="J3522" s="11" t="str">
        <f aca="false">IF($A3522="","",IF($H3522="-","유지",IF($I3522="첫 건","유지","확인 필요")))</f>
        <v/>
      </c>
    </row>
    <row r="3523" customFormat="false" ht="15" hidden="false" customHeight="true" outlineLevel="0" collapsed="false">
      <c r="A3523" s="11" t="str">
        <f aca="false">IF(원본명단!$A3522="","",3520)</f>
        <v/>
      </c>
      <c r="B3523" s="12" t="str">
        <f aca="false">IF($A3523="","",원본명단!$A3522)</f>
        <v/>
      </c>
      <c r="C3523" s="12" t="str">
        <f aca="false">IF($A3523="","",원본명단!$B3522)</f>
        <v/>
      </c>
      <c r="D3523" s="12" t="str">
        <f aca="false">IF($A3523="","",원본명단!$D3522)</f>
        <v/>
      </c>
      <c r="E3523" s="11" t="str">
        <f aca="false">IF($A3523="","",IF(원본명단!$H3522="",0,COUNTIF(원본명단!$H$3:$H$6002,원본명단!$H3522)))</f>
        <v/>
      </c>
      <c r="F3523" s="11" t="str">
        <f aca="false">IF($A3523="","",IF(원본명단!$I3522="",0,COUNTIF(원본명단!$I$3:$I$6002,원본명단!$I3522)))</f>
        <v/>
      </c>
      <c r="G3523" s="11" t="str">
        <f aca="false">IF($A3523="","",IF(원본명단!$K3522="",0,COUNTIF(원본명단!$K$3:$K$6002,원본명단!$K3522)))</f>
        <v/>
      </c>
      <c r="H3523" s="11" t="str">
        <f aca="false">IF($A3523="","",IF(MAX($E3523,$F3523,$G3523)&gt;1,"중복","-"))</f>
        <v/>
      </c>
      <c r="I3523" s="11" t="str">
        <f aca="false">IF($A3523="","",IF($H3523="-","-",IF(AND(IF(원본명단!$H3522="",TRUE(),COUNTIF(원본명단!$H$3:$H3522,원본명단!$H3522)=1),IF(원본명단!$I3522="",TRUE(),COUNTIF(원본명단!$I$3:$I3522,원본명단!$I3522)=1),IF(원본명단!$K3522="",TRUE(),COUNTIF(원본명단!$K$3:$K3522,원본명단!$K3522)=1)),"첫 건","중복 건")))</f>
        <v/>
      </c>
      <c r="J3523" s="11" t="str">
        <f aca="false">IF($A3523="","",IF($H3523="-","유지",IF($I3523="첫 건","유지","확인 필요")))</f>
        <v/>
      </c>
    </row>
    <row r="3524" customFormat="false" ht="15" hidden="false" customHeight="true" outlineLevel="0" collapsed="false">
      <c r="A3524" s="11" t="str">
        <f aca="false">IF(원본명단!$A3523="","",3521)</f>
        <v/>
      </c>
      <c r="B3524" s="12" t="str">
        <f aca="false">IF($A3524="","",원본명단!$A3523)</f>
        <v/>
      </c>
      <c r="C3524" s="12" t="str">
        <f aca="false">IF($A3524="","",원본명단!$B3523)</f>
        <v/>
      </c>
      <c r="D3524" s="12" t="str">
        <f aca="false">IF($A3524="","",원본명단!$D3523)</f>
        <v/>
      </c>
      <c r="E3524" s="11" t="str">
        <f aca="false">IF($A3524="","",IF(원본명단!$H3523="",0,COUNTIF(원본명단!$H$3:$H$6002,원본명단!$H3523)))</f>
        <v/>
      </c>
      <c r="F3524" s="11" t="str">
        <f aca="false">IF($A3524="","",IF(원본명단!$I3523="",0,COUNTIF(원본명단!$I$3:$I$6002,원본명단!$I3523)))</f>
        <v/>
      </c>
      <c r="G3524" s="11" t="str">
        <f aca="false">IF($A3524="","",IF(원본명단!$K3523="",0,COUNTIF(원본명단!$K$3:$K$6002,원본명단!$K3523)))</f>
        <v/>
      </c>
      <c r="H3524" s="11" t="str">
        <f aca="false">IF($A3524="","",IF(MAX($E3524,$F3524,$G3524)&gt;1,"중복","-"))</f>
        <v/>
      </c>
      <c r="I3524" s="11" t="str">
        <f aca="false">IF($A3524="","",IF($H3524="-","-",IF(AND(IF(원본명단!$H3523="",TRUE(),COUNTIF(원본명단!$H$3:$H3523,원본명단!$H3523)=1),IF(원본명단!$I3523="",TRUE(),COUNTIF(원본명단!$I$3:$I3523,원본명단!$I3523)=1),IF(원본명단!$K3523="",TRUE(),COUNTIF(원본명단!$K$3:$K3523,원본명단!$K3523)=1)),"첫 건","중복 건")))</f>
        <v/>
      </c>
      <c r="J3524" s="11" t="str">
        <f aca="false">IF($A3524="","",IF($H3524="-","유지",IF($I3524="첫 건","유지","확인 필요")))</f>
        <v/>
      </c>
    </row>
    <row r="3525" customFormat="false" ht="15" hidden="false" customHeight="true" outlineLevel="0" collapsed="false">
      <c r="A3525" s="11" t="str">
        <f aca="false">IF(원본명단!$A3524="","",3522)</f>
        <v/>
      </c>
      <c r="B3525" s="12" t="str">
        <f aca="false">IF($A3525="","",원본명단!$A3524)</f>
        <v/>
      </c>
      <c r="C3525" s="12" t="str">
        <f aca="false">IF($A3525="","",원본명단!$B3524)</f>
        <v/>
      </c>
      <c r="D3525" s="12" t="str">
        <f aca="false">IF($A3525="","",원본명단!$D3524)</f>
        <v/>
      </c>
      <c r="E3525" s="11" t="str">
        <f aca="false">IF($A3525="","",IF(원본명단!$H3524="",0,COUNTIF(원본명단!$H$3:$H$6002,원본명단!$H3524)))</f>
        <v/>
      </c>
      <c r="F3525" s="11" t="str">
        <f aca="false">IF($A3525="","",IF(원본명단!$I3524="",0,COUNTIF(원본명단!$I$3:$I$6002,원본명단!$I3524)))</f>
        <v/>
      </c>
      <c r="G3525" s="11" t="str">
        <f aca="false">IF($A3525="","",IF(원본명단!$K3524="",0,COUNTIF(원본명단!$K$3:$K$6002,원본명단!$K3524)))</f>
        <v/>
      </c>
      <c r="H3525" s="11" t="str">
        <f aca="false">IF($A3525="","",IF(MAX($E3525,$F3525,$G3525)&gt;1,"중복","-"))</f>
        <v/>
      </c>
      <c r="I3525" s="11" t="str">
        <f aca="false">IF($A3525="","",IF($H3525="-","-",IF(AND(IF(원본명단!$H3524="",TRUE(),COUNTIF(원본명단!$H$3:$H3524,원본명단!$H3524)=1),IF(원본명단!$I3524="",TRUE(),COUNTIF(원본명단!$I$3:$I3524,원본명단!$I3524)=1),IF(원본명단!$K3524="",TRUE(),COUNTIF(원본명단!$K$3:$K3524,원본명단!$K3524)=1)),"첫 건","중복 건")))</f>
        <v/>
      </c>
      <c r="J3525" s="11" t="str">
        <f aca="false">IF($A3525="","",IF($H3525="-","유지",IF($I3525="첫 건","유지","확인 필요")))</f>
        <v/>
      </c>
    </row>
    <row r="3526" customFormat="false" ht="15" hidden="false" customHeight="true" outlineLevel="0" collapsed="false">
      <c r="A3526" s="11" t="str">
        <f aca="false">IF(원본명단!$A3525="","",3523)</f>
        <v/>
      </c>
      <c r="B3526" s="12" t="str">
        <f aca="false">IF($A3526="","",원본명단!$A3525)</f>
        <v/>
      </c>
      <c r="C3526" s="12" t="str">
        <f aca="false">IF($A3526="","",원본명단!$B3525)</f>
        <v/>
      </c>
      <c r="D3526" s="12" t="str">
        <f aca="false">IF($A3526="","",원본명단!$D3525)</f>
        <v/>
      </c>
      <c r="E3526" s="11" t="str">
        <f aca="false">IF($A3526="","",IF(원본명단!$H3525="",0,COUNTIF(원본명단!$H$3:$H$6002,원본명단!$H3525)))</f>
        <v/>
      </c>
      <c r="F3526" s="11" t="str">
        <f aca="false">IF($A3526="","",IF(원본명단!$I3525="",0,COUNTIF(원본명단!$I$3:$I$6002,원본명단!$I3525)))</f>
        <v/>
      </c>
      <c r="G3526" s="11" t="str">
        <f aca="false">IF($A3526="","",IF(원본명단!$K3525="",0,COUNTIF(원본명단!$K$3:$K$6002,원본명단!$K3525)))</f>
        <v/>
      </c>
      <c r="H3526" s="11" t="str">
        <f aca="false">IF($A3526="","",IF(MAX($E3526,$F3526,$G3526)&gt;1,"중복","-"))</f>
        <v/>
      </c>
      <c r="I3526" s="11" t="str">
        <f aca="false">IF($A3526="","",IF($H3526="-","-",IF(AND(IF(원본명단!$H3525="",TRUE(),COUNTIF(원본명단!$H$3:$H3525,원본명단!$H3525)=1),IF(원본명단!$I3525="",TRUE(),COUNTIF(원본명단!$I$3:$I3525,원본명단!$I3525)=1),IF(원본명단!$K3525="",TRUE(),COUNTIF(원본명단!$K$3:$K3525,원본명단!$K3525)=1)),"첫 건","중복 건")))</f>
        <v/>
      </c>
      <c r="J3526" s="11" t="str">
        <f aca="false">IF($A3526="","",IF($H3526="-","유지",IF($I3526="첫 건","유지","확인 필요")))</f>
        <v/>
      </c>
    </row>
    <row r="3527" customFormat="false" ht="15" hidden="false" customHeight="true" outlineLevel="0" collapsed="false">
      <c r="A3527" s="11" t="str">
        <f aca="false">IF(원본명단!$A3526="","",3524)</f>
        <v/>
      </c>
      <c r="B3527" s="12" t="str">
        <f aca="false">IF($A3527="","",원본명단!$A3526)</f>
        <v/>
      </c>
      <c r="C3527" s="12" t="str">
        <f aca="false">IF($A3527="","",원본명단!$B3526)</f>
        <v/>
      </c>
      <c r="D3527" s="12" t="str">
        <f aca="false">IF($A3527="","",원본명단!$D3526)</f>
        <v/>
      </c>
      <c r="E3527" s="11" t="str">
        <f aca="false">IF($A3527="","",IF(원본명단!$H3526="",0,COUNTIF(원본명단!$H$3:$H$6002,원본명단!$H3526)))</f>
        <v/>
      </c>
      <c r="F3527" s="11" t="str">
        <f aca="false">IF($A3527="","",IF(원본명단!$I3526="",0,COUNTIF(원본명단!$I$3:$I$6002,원본명단!$I3526)))</f>
        <v/>
      </c>
      <c r="G3527" s="11" t="str">
        <f aca="false">IF($A3527="","",IF(원본명단!$K3526="",0,COUNTIF(원본명단!$K$3:$K$6002,원본명단!$K3526)))</f>
        <v/>
      </c>
      <c r="H3527" s="11" t="str">
        <f aca="false">IF($A3527="","",IF(MAX($E3527,$F3527,$G3527)&gt;1,"중복","-"))</f>
        <v/>
      </c>
      <c r="I3527" s="11" t="str">
        <f aca="false">IF($A3527="","",IF($H3527="-","-",IF(AND(IF(원본명단!$H3526="",TRUE(),COUNTIF(원본명단!$H$3:$H3526,원본명단!$H3526)=1),IF(원본명단!$I3526="",TRUE(),COUNTIF(원본명단!$I$3:$I3526,원본명단!$I3526)=1),IF(원본명단!$K3526="",TRUE(),COUNTIF(원본명단!$K$3:$K3526,원본명단!$K3526)=1)),"첫 건","중복 건")))</f>
        <v/>
      </c>
      <c r="J3527" s="11" t="str">
        <f aca="false">IF($A3527="","",IF($H3527="-","유지",IF($I3527="첫 건","유지","확인 필요")))</f>
        <v/>
      </c>
    </row>
    <row r="3528" customFormat="false" ht="15" hidden="false" customHeight="true" outlineLevel="0" collapsed="false">
      <c r="A3528" s="11" t="str">
        <f aca="false">IF(원본명단!$A3527="","",3525)</f>
        <v/>
      </c>
      <c r="B3528" s="12" t="str">
        <f aca="false">IF($A3528="","",원본명단!$A3527)</f>
        <v/>
      </c>
      <c r="C3528" s="12" t="str">
        <f aca="false">IF($A3528="","",원본명단!$B3527)</f>
        <v/>
      </c>
      <c r="D3528" s="12" t="str">
        <f aca="false">IF($A3528="","",원본명단!$D3527)</f>
        <v/>
      </c>
      <c r="E3528" s="11" t="str">
        <f aca="false">IF($A3528="","",IF(원본명단!$H3527="",0,COUNTIF(원본명단!$H$3:$H$6002,원본명단!$H3527)))</f>
        <v/>
      </c>
      <c r="F3528" s="11" t="str">
        <f aca="false">IF($A3528="","",IF(원본명단!$I3527="",0,COUNTIF(원본명단!$I$3:$I$6002,원본명단!$I3527)))</f>
        <v/>
      </c>
      <c r="G3528" s="11" t="str">
        <f aca="false">IF($A3528="","",IF(원본명단!$K3527="",0,COUNTIF(원본명단!$K$3:$K$6002,원본명단!$K3527)))</f>
        <v/>
      </c>
      <c r="H3528" s="11" t="str">
        <f aca="false">IF($A3528="","",IF(MAX($E3528,$F3528,$G3528)&gt;1,"중복","-"))</f>
        <v/>
      </c>
      <c r="I3528" s="11" t="str">
        <f aca="false">IF($A3528="","",IF($H3528="-","-",IF(AND(IF(원본명단!$H3527="",TRUE(),COUNTIF(원본명단!$H$3:$H3527,원본명단!$H3527)=1),IF(원본명단!$I3527="",TRUE(),COUNTIF(원본명단!$I$3:$I3527,원본명단!$I3527)=1),IF(원본명단!$K3527="",TRUE(),COUNTIF(원본명단!$K$3:$K3527,원본명단!$K3527)=1)),"첫 건","중복 건")))</f>
        <v/>
      </c>
      <c r="J3528" s="11" t="str">
        <f aca="false">IF($A3528="","",IF($H3528="-","유지",IF($I3528="첫 건","유지","확인 필요")))</f>
        <v/>
      </c>
    </row>
    <row r="3529" customFormat="false" ht="15" hidden="false" customHeight="true" outlineLevel="0" collapsed="false">
      <c r="A3529" s="11" t="str">
        <f aca="false">IF(원본명단!$A3528="","",3526)</f>
        <v/>
      </c>
      <c r="B3529" s="12" t="str">
        <f aca="false">IF($A3529="","",원본명단!$A3528)</f>
        <v/>
      </c>
      <c r="C3529" s="12" t="str">
        <f aca="false">IF($A3529="","",원본명단!$B3528)</f>
        <v/>
      </c>
      <c r="D3529" s="12" t="str">
        <f aca="false">IF($A3529="","",원본명단!$D3528)</f>
        <v/>
      </c>
      <c r="E3529" s="11" t="str">
        <f aca="false">IF($A3529="","",IF(원본명단!$H3528="",0,COUNTIF(원본명단!$H$3:$H$6002,원본명단!$H3528)))</f>
        <v/>
      </c>
      <c r="F3529" s="11" t="str">
        <f aca="false">IF($A3529="","",IF(원본명단!$I3528="",0,COUNTIF(원본명단!$I$3:$I$6002,원본명단!$I3528)))</f>
        <v/>
      </c>
      <c r="G3529" s="11" t="str">
        <f aca="false">IF($A3529="","",IF(원본명단!$K3528="",0,COUNTIF(원본명단!$K$3:$K$6002,원본명단!$K3528)))</f>
        <v/>
      </c>
      <c r="H3529" s="11" t="str">
        <f aca="false">IF($A3529="","",IF(MAX($E3529,$F3529,$G3529)&gt;1,"중복","-"))</f>
        <v/>
      </c>
      <c r="I3529" s="11" t="str">
        <f aca="false">IF($A3529="","",IF($H3529="-","-",IF(AND(IF(원본명단!$H3528="",TRUE(),COUNTIF(원본명단!$H$3:$H3528,원본명단!$H3528)=1),IF(원본명단!$I3528="",TRUE(),COUNTIF(원본명단!$I$3:$I3528,원본명단!$I3528)=1),IF(원본명단!$K3528="",TRUE(),COUNTIF(원본명단!$K$3:$K3528,원본명단!$K3528)=1)),"첫 건","중복 건")))</f>
        <v/>
      </c>
      <c r="J3529" s="11" t="str">
        <f aca="false">IF($A3529="","",IF($H3529="-","유지",IF($I3529="첫 건","유지","확인 필요")))</f>
        <v/>
      </c>
    </row>
    <row r="3530" customFormat="false" ht="15" hidden="false" customHeight="true" outlineLevel="0" collapsed="false">
      <c r="A3530" s="11" t="str">
        <f aca="false">IF(원본명단!$A3529="","",3527)</f>
        <v/>
      </c>
      <c r="B3530" s="12" t="str">
        <f aca="false">IF($A3530="","",원본명단!$A3529)</f>
        <v/>
      </c>
      <c r="C3530" s="12" t="str">
        <f aca="false">IF($A3530="","",원본명단!$B3529)</f>
        <v/>
      </c>
      <c r="D3530" s="12" t="str">
        <f aca="false">IF($A3530="","",원본명단!$D3529)</f>
        <v/>
      </c>
      <c r="E3530" s="11" t="str">
        <f aca="false">IF($A3530="","",IF(원본명단!$H3529="",0,COUNTIF(원본명단!$H$3:$H$6002,원본명단!$H3529)))</f>
        <v/>
      </c>
      <c r="F3530" s="11" t="str">
        <f aca="false">IF($A3530="","",IF(원본명단!$I3529="",0,COUNTIF(원본명단!$I$3:$I$6002,원본명단!$I3529)))</f>
        <v/>
      </c>
      <c r="G3530" s="11" t="str">
        <f aca="false">IF($A3530="","",IF(원본명단!$K3529="",0,COUNTIF(원본명단!$K$3:$K$6002,원본명단!$K3529)))</f>
        <v/>
      </c>
      <c r="H3530" s="11" t="str">
        <f aca="false">IF($A3530="","",IF(MAX($E3530,$F3530,$G3530)&gt;1,"중복","-"))</f>
        <v/>
      </c>
      <c r="I3530" s="11" t="str">
        <f aca="false">IF($A3530="","",IF($H3530="-","-",IF(AND(IF(원본명단!$H3529="",TRUE(),COUNTIF(원본명단!$H$3:$H3529,원본명단!$H3529)=1),IF(원본명단!$I3529="",TRUE(),COUNTIF(원본명단!$I$3:$I3529,원본명단!$I3529)=1),IF(원본명단!$K3529="",TRUE(),COUNTIF(원본명단!$K$3:$K3529,원본명단!$K3529)=1)),"첫 건","중복 건")))</f>
        <v/>
      </c>
      <c r="J3530" s="11" t="str">
        <f aca="false">IF($A3530="","",IF($H3530="-","유지",IF($I3530="첫 건","유지","확인 필요")))</f>
        <v/>
      </c>
    </row>
    <row r="3531" customFormat="false" ht="15" hidden="false" customHeight="true" outlineLevel="0" collapsed="false">
      <c r="A3531" s="11" t="str">
        <f aca="false">IF(원본명단!$A3530="","",3528)</f>
        <v/>
      </c>
      <c r="B3531" s="12" t="str">
        <f aca="false">IF($A3531="","",원본명단!$A3530)</f>
        <v/>
      </c>
      <c r="C3531" s="12" t="str">
        <f aca="false">IF($A3531="","",원본명단!$B3530)</f>
        <v/>
      </c>
      <c r="D3531" s="12" t="str">
        <f aca="false">IF($A3531="","",원본명단!$D3530)</f>
        <v/>
      </c>
      <c r="E3531" s="11" t="str">
        <f aca="false">IF($A3531="","",IF(원본명단!$H3530="",0,COUNTIF(원본명단!$H$3:$H$6002,원본명단!$H3530)))</f>
        <v/>
      </c>
      <c r="F3531" s="11" t="str">
        <f aca="false">IF($A3531="","",IF(원본명단!$I3530="",0,COUNTIF(원본명단!$I$3:$I$6002,원본명단!$I3530)))</f>
        <v/>
      </c>
      <c r="G3531" s="11" t="str">
        <f aca="false">IF($A3531="","",IF(원본명단!$K3530="",0,COUNTIF(원본명단!$K$3:$K$6002,원본명단!$K3530)))</f>
        <v/>
      </c>
      <c r="H3531" s="11" t="str">
        <f aca="false">IF($A3531="","",IF(MAX($E3531,$F3531,$G3531)&gt;1,"중복","-"))</f>
        <v/>
      </c>
      <c r="I3531" s="11" t="str">
        <f aca="false">IF($A3531="","",IF($H3531="-","-",IF(AND(IF(원본명단!$H3530="",TRUE(),COUNTIF(원본명단!$H$3:$H3530,원본명단!$H3530)=1),IF(원본명단!$I3530="",TRUE(),COUNTIF(원본명단!$I$3:$I3530,원본명단!$I3530)=1),IF(원본명단!$K3530="",TRUE(),COUNTIF(원본명단!$K$3:$K3530,원본명단!$K3530)=1)),"첫 건","중복 건")))</f>
        <v/>
      </c>
      <c r="J3531" s="11" t="str">
        <f aca="false">IF($A3531="","",IF($H3531="-","유지",IF($I3531="첫 건","유지","확인 필요")))</f>
        <v/>
      </c>
    </row>
    <row r="3532" customFormat="false" ht="15" hidden="false" customHeight="true" outlineLevel="0" collapsed="false">
      <c r="A3532" s="11" t="str">
        <f aca="false">IF(원본명단!$A3531="","",3529)</f>
        <v/>
      </c>
      <c r="B3532" s="12" t="str">
        <f aca="false">IF($A3532="","",원본명단!$A3531)</f>
        <v/>
      </c>
      <c r="C3532" s="12" t="str">
        <f aca="false">IF($A3532="","",원본명단!$B3531)</f>
        <v/>
      </c>
      <c r="D3532" s="12" t="str">
        <f aca="false">IF($A3532="","",원본명단!$D3531)</f>
        <v/>
      </c>
      <c r="E3532" s="11" t="str">
        <f aca="false">IF($A3532="","",IF(원본명단!$H3531="",0,COUNTIF(원본명단!$H$3:$H$6002,원본명단!$H3531)))</f>
        <v/>
      </c>
      <c r="F3532" s="11" t="str">
        <f aca="false">IF($A3532="","",IF(원본명단!$I3531="",0,COUNTIF(원본명단!$I$3:$I$6002,원본명단!$I3531)))</f>
        <v/>
      </c>
      <c r="G3532" s="11" t="str">
        <f aca="false">IF($A3532="","",IF(원본명단!$K3531="",0,COUNTIF(원본명단!$K$3:$K$6002,원본명단!$K3531)))</f>
        <v/>
      </c>
      <c r="H3532" s="11" t="str">
        <f aca="false">IF($A3532="","",IF(MAX($E3532,$F3532,$G3532)&gt;1,"중복","-"))</f>
        <v/>
      </c>
      <c r="I3532" s="11" t="str">
        <f aca="false">IF($A3532="","",IF($H3532="-","-",IF(AND(IF(원본명단!$H3531="",TRUE(),COUNTIF(원본명단!$H$3:$H3531,원본명단!$H3531)=1),IF(원본명단!$I3531="",TRUE(),COUNTIF(원본명단!$I$3:$I3531,원본명단!$I3531)=1),IF(원본명단!$K3531="",TRUE(),COUNTIF(원본명단!$K$3:$K3531,원본명단!$K3531)=1)),"첫 건","중복 건")))</f>
        <v/>
      </c>
      <c r="J3532" s="11" t="str">
        <f aca="false">IF($A3532="","",IF($H3532="-","유지",IF($I3532="첫 건","유지","확인 필요")))</f>
        <v/>
      </c>
    </row>
    <row r="3533" customFormat="false" ht="15" hidden="false" customHeight="true" outlineLevel="0" collapsed="false">
      <c r="A3533" s="11" t="str">
        <f aca="false">IF(원본명단!$A3532="","",3530)</f>
        <v/>
      </c>
      <c r="B3533" s="12" t="str">
        <f aca="false">IF($A3533="","",원본명단!$A3532)</f>
        <v/>
      </c>
      <c r="C3533" s="12" t="str">
        <f aca="false">IF($A3533="","",원본명단!$B3532)</f>
        <v/>
      </c>
      <c r="D3533" s="12" t="str">
        <f aca="false">IF($A3533="","",원본명단!$D3532)</f>
        <v/>
      </c>
      <c r="E3533" s="11" t="str">
        <f aca="false">IF($A3533="","",IF(원본명단!$H3532="",0,COUNTIF(원본명단!$H$3:$H$6002,원본명단!$H3532)))</f>
        <v/>
      </c>
      <c r="F3533" s="11" t="str">
        <f aca="false">IF($A3533="","",IF(원본명단!$I3532="",0,COUNTIF(원본명단!$I$3:$I$6002,원본명단!$I3532)))</f>
        <v/>
      </c>
      <c r="G3533" s="11" t="str">
        <f aca="false">IF($A3533="","",IF(원본명단!$K3532="",0,COUNTIF(원본명단!$K$3:$K$6002,원본명단!$K3532)))</f>
        <v/>
      </c>
      <c r="H3533" s="11" t="str">
        <f aca="false">IF($A3533="","",IF(MAX($E3533,$F3533,$G3533)&gt;1,"중복","-"))</f>
        <v/>
      </c>
      <c r="I3533" s="11" t="str">
        <f aca="false">IF($A3533="","",IF($H3533="-","-",IF(AND(IF(원본명단!$H3532="",TRUE(),COUNTIF(원본명단!$H$3:$H3532,원본명단!$H3532)=1),IF(원본명단!$I3532="",TRUE(),COUNTIF(원본명단!$I$3:$I3532,원본명단!$I3532)=1),IF(원본명단!$K3532="",TRUE(),COUNTIF(원본명단!$K$3:$K3532,원본명단!$K3532)=1)),"첫 건","중복 건")))</f>
        <v/>
      </c>
      <c r="J3533" s="11" t="str">
        <f aca="false">IF($A3533="","",IF($H3533="-","유지",IF($I3533="첫 건","유지","확인 필요")))</f>
        <v/>
      </c>
    </row>
    <row r="3534" customFormat="false" ht="15" hidden="false" customHeight="true" outlineLevel="0" collapsed="false">
      <c r="A3534" s="11" t="str">
        <f aca="false">IF(원본명단!$A3533="","",3531)</f>
        <v/>
      </c>
      <c r="B3534" s="12" t="str">
        <f aca="false">IF($A3534="","",원본명단!$A3533)</f>
        <v/>
      </c>
      <c r="C3534" s="12" t="str">
        <f aca="false">IF($A3534="","",원본명단!$B3533)</f>
        <v/>
      </c>
      <c r="D3534" s="12" t="str">
        <f aca="false">IF($A3534="","",원본명단!$D3533)</f>
        <v/>
      </c>
      <c r="E3534" s="11" t="str">
        <f aca="false">IF($A3534="","",IF(원본명단!$H3533="",0,COUNTIF(원본명단!$H$3:$H$6002,원본명단!$H3533)))</f>
        <v/>
      </c>
      <c r="F3534" s="11" t="str">
        <f aca="false">IF($A3534="","",IF(원본명단!$I3533="",0,COUNTIF(원본명단!$I$3:$I$6002,원본명단!$I3533)))</f>
        <v/>
      </c>
      <c r="G3534" s="11" t="str">
        <f aca="false">IF($A3534="","",IF(원본명단!$K3533="",0,COUNTIF(원본명단!$K$3:$K$6002,원본명단!$K3533)))</f>
        <v/>
      </c>
      <c r="H3534" s="11" t="str">
        <f aca="false">IF($A3534="","",IF(MAX($E3534,$F3534,$G3534)&gt;1,"중복","-"))</f>
        <v/>
      </c>
      <c r="I3534" s="11" t="str">
        <f aca="false">IF($A3534="","",IF($H3534="-","-",IF(AND(IF(원본명단!$H3533="",TRUE(),COUNTIF(원본명단!$H$3:$H3533,원본명단!$H3533)=1),IF(원본명단!$I3533="",TRUE(),COUNTIF(원본명단!$I$3:$I3533,원본명단!$I3533)=1),IF(원본명단!$K3533="",TRUE(),COUNTIF(원본명단!$K$3:$K3533,원본명단!$K3533)=1)),"첫 건","중복 건")))</f>
        <v/>
      </c>
      <c r="J3534" s="11" t="str">
        <f aca="false">IF($A3534="","",IF($H3534="-","유지",IF($I3534="첫 건","유지","확인 필요")))</f>
        <v/>
      </c>
    </row>
    <row r="3535" customFormat="false" ht="15" hidden="false" customHeight="true" outlineLevel="0" collapsed="false">
      <c r="A3535" s="11" t="str">
        <f aca="false">IF(원본명단!$A3534="","",3532)</f>
        <v/>
      </c>
      <c r="B3535" s="12" t="str">
        <f aca="false">IF($A3535="","",원본명단!$A3534)</f>
        <v/>
      </c>
      <c r="C3535" s="12" t="str">
        <f aca="false">IF($A3535="","",원본명단!$B3534)</f>
        <v/>
      </c>
      <c r="D3535" s="12" t="str">
        <f aca="false">IF($A3535="","",원본명단!$D3534)</f>
        <v/>
      </c>
      <c r="E3535" s="11" t="str">
        <f aca="false">IF($A3535="","",IF(원본명단!$H3534="",0,COUNTIF(원본명단!$H$3:$H$6002,원본명단!$H3534)))</f>
        <v/>
      </c>
      <c r="F3535" s="11" t="str">
        <f aca="false">IF($A3535="","",IF(원본명단!$I3534="",0,COUNTIF(원본명단!$I$3:$I$6002,원본명단!$I3534)))</f>
        <v/>
      </c>
      <c r="G3535" s="11" t="str">
        <f aca="false">IF($A3535="","",IF(원본명단!$K3534="",0,COUNTIF(원본명단!$K$3:$K$6002,원본명단!$K3534)))</f>
        <v/>
      </c>
      <c r="H3535" s="11" t="str">
        <f aca="false">IF($A3535="","",IF(MAX($E3535,$F3535,$G3535)&gt;1,"중복","-"))</f>
        <v/>
      </c>
      <c r="I3535" s="11" t="str">
        <f aca="false">IF($A3535="","",IF($H3535="-","-",IF(AND(IF(원본명단!$H3534="",TRUE(),COUNTIF(원본명단!$H$3:$H3534,원본명단!$H3534)=1),IF(원본명단!$I3534="",TRUE(),COUNTIF(원본명단!$I$3:$I3534,원본명단!$I3534)=1),IF(원본명단!$K3534="",TRUE(),COUNTIF(원본명단!$K$3:$K3534,원본명단!$K3534)=1)),"첫 건","중복 건")))</f>
        <v/>
      </c>
      <c r="J3535" s="11" t="str">
        <f aca="false">IF($A3535="","",IF($H3535="-","유지",IF($I3535="첫 건","유지","확인 필요")))</f>
        <v/>
      </c>
    </row>
    <row r="3536" customFormat="false" ht="15" hidden="false" customHeight="true" outlineLevel="0" collapsed="false">
      <c r="A3536" s="11" t="str">
        <f aca="false">IF(원본명단!$A3535="","",3533)</f>
        <v/>
      </c>
      <c r="B3536" s="12" t="str">
        <f aca="false">IF($A3536="","",원본명단!$A3535)</f>
        <v/>
      </c>
      <c r="C3536" s="12" t="str">
        <f aca="false">IF($A3536="","",원본명단!$B3535)</f>
        <v/>
      </c>
      <c r="D3536" s="12" t="str">
        <f aca="false">IF($A3536="","",원본명단!$D3535)</f>
        <v/>
      </c>
      <c r="E3536" s="11" t="str">
        <f aca="false">IF($A3536="","",IF(원본명단!$H3535="",0,COUNTIF(원본명단!$H$3:$H$6002,원본명단!$H3535)))</f>
        <v/>
      </c>
      <c r="F3536" s="11" t="str">
        <f aca="false">IF($A3536="","",IF(원본명단!$I3535="",0,COUNTIF(원본명단!$I$3:$I$6002,원본명단!$I3535)))</f>
        <v/>
      </c>
      <c r="G3536" s="11" t="str">
        <f aca="false">IF($A3536="","",IF(원본명단!$K3535="",0,COUNTIF(원본명단!$K$3:$K$6002,원본명단!$K3535)))</f>
        <v/>
      </c>
      <c r="H3536" s="11" t="str">
        <f aca="false">IF($A3536="","",IF(MAX($E3536,$F3536,$G3536)&gt;1,"중복","-"))</f>
        <v/>
      </c>
      <c r="I3536" s="11" t="str">
        <f aca="false">IF($A3536="","",IF($H3536="-","-",IF(AND(IF(원본명단!$H3535="",TRUE(),COUNTIF(원본명단!$H$3:$H3535,원본명단!$H3535)=1),IF(원본명단!$I3535="",TRUE(),COUNTIF(원본명단!$I$3:$I3535,원본명단!$I3535)=1),IF(원본명단!$K3535="",TRUE(),COUNTIF(원본명단!$K$3:$K3535,원본명단!$K3535)=1)),"첫 건","중복 건")))</f>
        <v/>
      </c>
      <c r="J3536" s="11" t="str">
        <f aca="false">IF($A3536="","",IF($H3536="-","유지",IF($I3536="첫 건","유지","확인 필요")))</f>
        <v/>
      </c>
    </row>
    <row r="3537" customFormat="false" ht="15" hidden="false" customHeight="true" outlineLevel="0" collapsed="false">
      <c r="A3537" s="11" t="str">
        <f aca="false">IF(원본명단!$A3536="","",3534)</f>
        <v/>
      </c>
      <c r="B3537" s="12" t="str">
        <f aca="false">IF($A3537="","",원본명단!$A3536)</f>
        <v/>
      </c>
      <c r="C3537" s="12" t="str">
        <f aca="false">IF($A3537="","",원본명단!$B3536)</f>
        <v/>
      </c>
      <c r="D3537" s="12" t="str">
        <f aca="false">IF($A3537="","",원본명단!$D3536)</f>
        <v/>
      </c>
      <c r="E3537" s="11" t="str">
        <f aca="false">IF($A3537="","",IF(원본명단!$H3536="",0,COUNTIF(원본명단!$H$3:$H$6002,원본명단!$H3536)))</f>
        <v/>
      </c>
      <c r="F3537" s="11" t="str">
        <f aca="false">IF($A3537="","",IF(원본명단!$I3536="",0,COUNTIF(원본명단!$I$3:$I$6002,원본명단!$I3536)))</f>
        <v/>
      </c>
      <c r="G3537" s="11" t="str">
        <f aca="false">IF($A3537="","",IF(원본명단!$K3536="",0,COUNTIF(원본명단!$K$3:$K$6002,원본명단!$K3536)))</f>
        <v/>
      </c>
      <c r="H3537" s="11" t="str">
        <f aca="false">IF($A3537="","",IF(MAX($E3537,$F3537,$G3537)&gt;1,"중복","-"))</f>
        <v/>
      </c>
      <c r="I3537" s="11" t="str">
        <f aca="false">IF($A3537="","",IF($H3537="-","-",IF(AND(IF(원본명단!$H3536="",TRUE(),COUNTIF(원본명단!$H$3:$H3536,원본명단!$H3536)=1),IF(원본명단!$I3536="",TRUE(),COUNTIF(원본명단!$I$3:$I3536,원본명단!$I3536)=1),IF(원본명단!$K3536="",TRUE(),COUNTIF(원본명단!$K$3:$K3536,원본명단!$K3536)=1)),"첫 건","중복 건")))</f>
        <v/>
      </c>
      <c r="J3537" s="11" t="str">
        <f aca="false">IF($A3537="","",IF($H3537="-","유지",IF($I3537="첫 건","유지","확인 필요")))</f>
        <v/>
      </c>
    </row>
    <row r="3538" customFormat="false" ht="15" hidden="false" customHeight="true" outlineLevel="0" collapsed="false">
      <c r="A3538" s="11" t="str">
        <f aca="false">IF(원본명단!$A3537="","",3535)</f>
        <v/>
      </c>
      <c r="B3538" s="12" t="str">
        <f aca="false">IF($A3538="","",원본명단!$A3537)</f>
        <v/>
      </c>
      <c r="C3538" s="12" t="str">
        <f aca="false">IF($A3538="","",원본명단!$B3537)</f>
        <v/>
      </c>
      <c r="D3538" s="12" t="str">
        <f aca="false">IF($A3538="","",원본명단!$D3537)</f>
        <v/>
      </c>
      <c r="E3538" s="11" t="str">
        <f aca="false">IF($A3538="","",IF(원본명단!$H3537="",0,COUNTIF(원본명단!$H$3:$H$6002,원본명단!$H3537)))</f>
        <v/>
      </c>
      <c r="F3538" s="11" t="str">
        <f aca="false">IF($A3538="","",IF(원본명단!$I3537="",0,COUNTIF(원본명단!$I$3:$I$6002,원본명단!$I3537)))</f>
        <v/>
      </c>
      <c r="G3538" s="11" t="str">
        <f aca="false">IF($A3538="","",IF(원본명단!$K3537="",0,COUNTIF(원본명단!$K$3:$K$6002,원본명단!$K3537)))</f>
        <v/>
      </c>
      <c r="H3538" s="11" t="str">
        <f aca="false">IF($A3538="","",IF(MAX($E3538,$F3538,$G3538)&gt;1,"중복","-"))</f>
        <v/>
      </c>
      <c r="I3538" s="11" t="str">
        <f aca="false">IF($A3538="","",IF($H3538="-","-",IF(AND(IF(원본명단!$H3537="",TRUE(),COUNTIF(원본명단!$H$3:$H3537,원본명단!$H3537)=1),IF(원본명단!$I3537="",TRUE(),COUNTIF(원본명단!$I$3:$I3537,원본명단!$I3537)=1),IF(원본명단!$K3537="",TRUE(),COUNTIF(원본명단!$K$3:$K3537,원본명단!$K3537)=1)),"첫 건","중복 건")))</f>
        <v/>
      </c>
      <c r="J3538" s="11" t="str">
        <f aca="false">IF($A3538="","",IF($H3538="-","유지",IF($I3538="첫 건","유지","확인 필요")))</f>
        <v/>
      </c>
    </row>
    <row r="3539" customFormat="false" ht="15" hidden="false" customHeight="true" outlineLevel="0" collapsed="false">
      <c r="A3539" s="11" t="str">
        <f aca="false">IF(원본명단!$A3538="","",3536)</f>
        <v/>
      </c>
      <c r="B3539" s="12" t="str">
        <f aca="false">IF($A3539="","",원본명단!$A3538)</f>
        <v/>
      </c>
      <c r="C3539" s="12" t="str">
        <f aca="false">IF($A3539="","",원본명단!$B3538)</f>
        <v/>
      </c>
      <c r="D3539" s="12" t="str">
        <f aca="false">IF($A3539="","",원본명단!$D3538)</f>
        <v/>
      </c>
      <c r="E3539" s="11" t="str">
        <f aca="false">IF($A3539="","",IF(원본명단!$H3538="",0,COUNTIF(원본명단!$H$3:$H$6002,원본명단!$H3538)))</f>
        <v/>
      </c>
      <c r="F3539" s="11" t="str">
        <f aca="false">IF($A3539="","",IF(원본명단!$I3538="",0,COUNTIF(원본명단!$I$3:$I$6002,원본명단!$I3538)))</f>
        <v/>
      </c>
      <c r="G3539" s="11" t="str">
        <f aca="false">IF($A3539="","",IF(원본명단!$K3538="",0,COUNTIF(원본명단!$K$3:$K$6002,원본명단!$K3538)))</f>
        <v/>
      </c>
      <c r="H3539" s="11" t="str">
        <f aca="false">IF($A3539="","",IF(MAX($E3539,$F3539,$G3539)&gt;1,"중복","-"))</f>
        <v/>
      </c>
      <c r="I3539" s="11" t="str">
        <f aca="false">IF($A3539="","",IF($H3539="-","-",IF(AND(IF(원본명단!$H3538="",TRUE(),COUNTIF(원본명단!$H$3:$H3538,원본명단!$H3538)=1),IF(원본명단!$I3538="",TRUE(),COUNTIF(원본명단!$I$3:$I3538,원본명단!$I3538)=1),IF(원본명단!$K3538="",TRUE(),COUNTIF(원본명단!$K$3:$K3538,원본명단!$K3538)=1)),"첫 건","중복 건")))</f>
        <v/>
      </c>
      <c r="J3539" s="11" t="str">
        <f aca="false">IF($A3539="","",IF($H3539="-","유지",IF($I3539="첫 건","유지","확인 필요")))</f>
        <v/>
      </c>
    </row>
    <row r="3540" customFormat="false" ht="15" hidden="false" customHeight="true" outlineLevel="0" collapsed="false">
      <c r="A3540" s="11" t="str">
        <f aca="false">IF(원본명단!$A3539="","",3537)</f>
        <v/>
      </c>
      <c r="B3540" s="12" t="str">
        <f aca="false">IF($A3540="","",원본명단!$A3539)</f>
        <v/>
      </c>
      <c r="C3540" s="12" t="str">
        <f aca="false">IF($A3540="","",원본명단!$B3539)</f>
        <v/>
      </c>
      <c r="D3540" s="12" t="str">
        <f aca="false">IF($A3540="","",원본명단!$D3539)</f>
        <v/>
      </c>
      <c r="E3540" s="11" t="str">
        <f aca="false">IF($A3540="","",IF(원본명단!$H3539="",0,COUNTIF(원본명단!$H$3:$H$6002,원본명단!$H3539)))</f>
        <v/>
      </c>
      <c r="F3540" s="11" t="str">
        <f aca="false">IF($A3540="","",IF(원본명단!$I3539="",0,COUNTIF(원본명단!$I$3:$I$6002,원본명단!$I3539)))</f>
        <v/>
      </c>
      <c r="G3540" s="11" t="str">
        <f aca="false">IF($A3540="","",IF(원본명단!$K3539="",0,COUNTIF(원본명단!$K$3:$K$6002,원본명단!$K3539)))</f>
        <v/>
      </c>
      <c r="H3540" s="11" t="str">
        <f aca="false">IF($A3540="","",IF(MAX($E3540,$F3540,$G3540)&gt;1,"중복","-"))</f>
        <v/>
      </c>
      <c r="I3540" s="11" t="str">
        <f aca="false">IF($A3540="","",IF($H3540="-","-",IF(AND(IF(원본명단!$H3539="",TRUE(),COUNTIF(원본명단!$H$3:$H3539,원본명단!$H3539)=1),IF(원본명단!$I3539="",TRUE(),COUNTIF(원본명단!$I$3:$I3539,원본명단!$I3539)=1),IF(원본명단!$K3539="",TRUE(),COUNTIF(원본명단!$K$3:$K3539,원본명단!$K3539)=1)),"첫 건","중복 건")))</f>
        <v/>
      </c>
      <c r="J3540" s="11" t="str">
        <f aca="false">IF($A3540="","",IF($H3540="-","유지",IF($I3540="첫 건","유지","확인 필요")))</f>
        <v/>
      </c>
    </row>
    <row r="3541" customFormat="false" ht="15" hidden="false" customHeight="true" outlineLevel="0" collapsed="false">
      <c r="A3541" s="11" t="str">
        <f aca="false">IF(원본명단!$A3540="","",3538)</f>
        <v/>
      </c>
      <c r="B3541" s="12" t="str">
        <f aca="false">IF($A3541="","",원본명단!$A3540)</f>
        <v/>
      </c>
      <c r="C3541" s="12" t="str">
        <f aca="false">IF($A3541="","",원본명단!$B3540)</f>
        <v/>
      </c>
      <c r="D3541" s="12" t="str">
        <f aca="false">IF($A3541="","",원본명단!$D3540)</f>
        <v/>
      </c>
      <c r="E3541" s="11" t="str">
        <f aca="false">IF($A3541="","",IF(원본명단!$H3540="",0,COUNTIF(원본명단!$H$3:$H$6002,원본명단!$H3540)))</f>
        <v/>
      </c>
      <c r="F3541" s="11" t="str">
        <f aca="false">IF($A3541="","",IF(원본명단!$I3540="",0,COUNTIF(원본명단!$I$3:$I$6002,원본명단!$I3540)))</f>
        <v/>
      </c>
      <c r="G3541" s="11" t="str">
        <f aca="false">IF($A3541="","",IF(원본명단!$K3540="",0,COUNTIF(원본명단!$K$3:$K$6002,원본명단!$K3540)))</f>
        <v/>
      </c>
      <c r="H3541" s="11" t="str">
        <f aca="false">IF($A3541="","",IF(MAX($E3541,$F3541,$G3541)&gt;1,"중복","-"))</f>
        <v/>
      </c>
      <c r="I3541" s="11" t="str">
        <f aca="false">IF($A3541="","",IF($H3541="-","-",IF(AND(IF(원본명단!$H3540="",TRUE(),COUNTIF(원본명단!$H$3:$H3540,원본명단!$H3540)=1),IF(원본명단!$I3540="",TRUE(),COUNTIF(원본명단!$I$3:$I3540,원본명단!$I3540)=1),IF(원본명단!$K3540="",TRUE(),COUNTIF(원본명단!$K$3:$K3540,원본명단!$K3540)=1)),"첫 건","중복 건")))</f>
        <v/>
      </c>
      <c r="J3541" s="11" t="str">
        <f aca="false">IF($A3541="","",IF($H3541="-","유지",IF($I3541="첫 건","유지","확인 필요")))</f>
        <v/>
      </c>
    </row>
    <row r="3542" customFormat="false" ht="15" hidden="false" customHeight="true" outlineLevel="0" collapsed="false">
      <c r="A3542" s="11" t="str">
        <f aca="false">IF(원본명단!$A3541="","",3539)</f>
        <v/>
      </c>
      <c r="B3542" s="12" t="str">
        <f aca="false">IF($A3542="","",원본명단!$A3541)</f>
        <v/>
      </c>
      <c r="C3542" s="12" t="str">
        <f aca="false">IF($A3542="","",원본명단!$B3541)</f>
        <v/>
      </c>
      <c r="D3542" s="12" t="str">
        <f aca="false">IF($A3542="","",원본명단!$D3541)</f>
        <v/>
      </c>
      <c r="E3542" s="11" t="str">
        <f aca="false">IF($A3542="","",IF(원본명단!$H3541="",0,COUNTIF(원본명단!$H$3:$H$6002,원본명단!$H3541)))</f>
        <v/>
      </c>
      <c r="F3542" s="11" t="str">
        <f aca="false">IF($A3542="","",IF(원본명단!$I3541="",0,COUNTIF(원본명단!$I$3:$I$6002,원본명단!$I3541)))</f>
        <v/>
      </c>
      <c r="G3542" s="11" t="str">
        <f aca="false">IF($A3542="","",IF(원본명단!$K3541="",0,COUNTIF(원본명단!$K$3:$K$6002,원본명단!$K3541)))</f>
        <v/>
      </c>
      <c r="H3542" s="11" t="str">
        <f aca="false">IF($A3542="","",IF(MAX($E3542,$F3542,$G3542)&gt;1,"중복","-"))</f>
        <v/>
      </c>
      <c r="I3542" s="11" t="str">
        <f aca="false">IF($A3542="","",IF($H3542="-","-",IF(AND(IF(원본명단!$H3541="",TRUE(),COUNTIF(원본명단!$H$3:$H3541,원본명단!$H3541)=1),IF(원본명단!$I3541="",TRUE(),COUNTIF(원본명단!$I$3:$I3541,원본명단!$I3541)=1),IF(원본명단!$K3541="",TRUE(),COUNTIF(원본명단!$K$3:$K3541,원본명단!$K3541)=1)),"첫 건","중복 건")))</f>
        <v/>
      </c>
      <c r="J3542" s="11" t="str">
        <f aca="false">IF($A3542="","",IF($H3542="-","유지",IF($I3542="첫 건","유지","확인 필요")))</f>
        <v/>
      </c>
    </row>
    <row r="3543" customFormat="false" ht="15" hidden="false" customHeight="true" outlineLevel="0" collapsed="false">
      <c r="A3543" s="11" t="str">
        <f aca="false">IF(원본명단!$A3542="","",3540)</f>
        <v/>
      </c>
      <c r="B3543" s="12" t="str">
        <f aca="false">IF($A3543="","",원본명단!$A3542)</f>
        <v/>
      </c>
      <c r="C3543" s="12" t="str">
        <f aca="false">IF($A3543="","",원본명단!$B3542)</f>
        <v/>
      </c>
      <c r="D3543" s="12" t="str">
        <f aca="false">IF($A3543="","",원본명단!$D3542)</f>
        <v/>
      </c>
      <c r="E3543" s="11" t="str">
        <f aca="false">IF($A3543="","",IF(원본명단!$H3542="",0,COUNTIF(원본명단!$H$3:$H$6002,원본명단!$H3542)))</f>
        <v/>
      </c>
      <c r="F3543" s="11" t="str">
        <f aca="false">IF($A3543="","",IF(원본명단!$I3542="",0,COUNTIF(원본명단!$I$3:$I$6002,원본명단!$I3542)))</f>
        <v/>
      </c>
      <c r="G3543" s="11" t="str">
        <f aca="false">IF($A3543="","",IF(원본명단!$K3542="",0,COUNTIF(원본명단!$K$3:$K$6002,원본명단!$K3542)))</f>
        <v/>
      </c>
      <c r="H3543" s="11" t="str">
        <f aca="false">IF($A3543="","",IF(MAX($E3543,$F3543,$G3543)&gt;1,"중복","-"))</f>
        <v/>
      </c>
      <c r="I3543" s="11" t="str">
        <f aca="false">IF($A3543="","",IF($H3543="-","-",IF(AND(IF(원본명단!$H3542="",TRUE(),COUNTIF(원본명단!$H$3:$H3542,원본명단!$H3542)=1),IF(원본명단!$I3542="",TRUE(),COUNTIF(원본명단!$I$3:$I3542,원본명단!$I3542)=1),IF(원본명단!$K3542="",TRUE(),COUNTIF(원본명단!$K$3:$K3542,원본명단!$K3542)=1)),"첫 건","중복 건")))</f>
        <v/>
      </c>
      <c r="J3543" s="11" t="str">
        <f aca="false">IF($A3543="","",IF($H3543="-","유지",IF($I3543="첫 건","유지","확인 필요")))</f>
        <v/>
      </c>
    </row>
    <row r="3544" customFormat="false" ht="15" hidden="false" customHeight="true" outlineLevel="0" collapsed="false">
      <c r="A3544" s="11" t="str">
        <f aca="false">IF(원본명단!$A3543="","",3541)</f>
        <v/>
      </c>
      <c r="B3544" s="12" t="str">
        <f aca="false">IF($A3544="","",원본명단!$A3543)</f>
        <v/>
      </c>
      <c r="C3544" s="12" t="str">
        <f aca="false">IF($A3544="","",원본명단!$B3543)</f>
        <v/>
      </c>
      <c r="D3544" s="12" t="str">
        <f aca="false">IF($A3544="","",원본명단!$D3543)</f>
        <v/>
      </c>
      <c r="E3544" s="11" t="str">
        <f aca="false">IF($A3544="","",IF(원본명단!$H3543="",0,COUNTIF(원본명단!$H$3:$H$6002,원본명단!$H3543)))</f>
        <v/>
      </c>
      <c r="F3544" s="11" t="str">
        <f aca="false">IF($A3544="","",IF(원본명단!$I3543="",0,COUNTIF(원본명단!$I$3:$I$6002,원본명단!$I3543)))</f>
        <v/>
      </c>
      <c r="G3544" s="11" t="str">
        <f aca="false">IF($A3544="","",IF(원본명단!$K3543="",0,COUNTIF(원본명단!$K$3:$K$6002,원본명단!$K3543)))</f>
        <v/>
      </c>
      <c r="H3544" s="11" t="str">
        <f aca="false">IF($A3544="","",IF(MAX($E3544,$F3544,$G3544)&gt;1,"중복","-"))</f>
        <v/>
      </c>
      <c r="I3544" s="11" t="str">
        <f aca="false">IF($A3544="","",IF($H3544="-","-",IF(AND(IF(원본명단!$H3543="",TRUE(),COUNTIF(원본명단!$H$3:$H3543,원본명단!$H3543)=1),IF(원본명단!$I3543="",TRUE(),COUNTIF(원본명단!$I$3:$I3543,원본명단!$I3543)=1),IF(원본명단!$K3543="",TRUE(),COUNTIF(원본명단!$K$3:$K3543,원본명단!$K3543)=1)),"첫 건","중복 건")))</f>
        <v/>
      </c>
      <c r="J3544" s="11" t="str">
        <f aca="false">IF($A3544="","",IF($H3544="-","유지",IF($I3544="첫 건","유지","확인 필요")))</f>
        <v/>
      </c>
    </row>
    <row r="3545" customFormat="false" ht="15" hidden="false" customHeight="true" outlineLevel="0" collapsed="false">
      <c r="A3545" s="11" t="str">
        <f aca="false">IF(원본명단!$A3544="","",3542)</f>
        <v/>
      </c>
      <c r="B3545" s="12" t="str">
        <f aca="false">IF($A3545="","",원본명단!$A3544)</f>
        <v/>
      </c>
      <c r="C3545" s="12" t="str">
        <f aca="false">IF($A3545="","",원본명단!$B3544)</f>
        <v/>
      </c>
      <c r="D3545" s="12" t="str">
        <f aca="false">IF($A3545="","",원본명단!$D3544)</f>
        <v/>
      </c>
      <c r="E3545" s="11" t="str">
        <f aca="false">IF($A3545="","",IF(원본명단!$H3544="",0,COUNTIF(원본명단!$H$3:$H$6002,원본명단!$H3544)))</f>
        <v/>
      </c>
      <c r="F3545" s="11" t="str">
        <f aca="false">IF($A3545="","",IF(원본명단!$I3544="",0,COUNTIF(원본명단!$I$3:$I$6002,원본명단!$I3544)))</f>
        <v/>
      </c>
      <c r="G3545" s="11" t="str">
        <f aca="false">IF($A3545="","",IF(원본명단!$K3544="",0,COUNTIF(원본명단!$K$3:$K$6002,원본명단!$K3544)))</f>
        <v/>
      </c>
      <c r="H3545" s="11" t="str">
        <f aca="false">IF($A3545="","",IF(MAX($E3545,$F3545,$G3545)&gt;1,"중복","-"))</f>
        <v/>
      </c>
      <c r="I3545" s="11" t="str">
        <f aca="false">IF($A3545="","",IF($H3545="-","-",IF(AND(IF(원본명단!$H3544="",TRUE(),COUNTIF(원본명단!$H$3:$H3544,원본명단!$H3544)=1),IF(원본명단!$I3544="",TRUE(),COUNTIF(원본명단!$I$3:$I3544,원본명단!$I3544)=1),IF(원본명단!$K3544="",TRUE(),COUNTIF(원본명단!$K$3:$K3544,원본명단!$K3544)=1)),"첫 건","중복 건")))</f>
        <v/>
      </c>
      <c r="J3545" s="11" t="str">
        <f aca="false">IF($A3545="","",IF($H3545="-","유지",IF($I3545="첫 건","유지","확인 필요")))</f>
        <v/>
      </c>
    </row>
    <row r="3546" customFormat="false" ht="15" hidden="false" customHeight="true" outlineLevel="0" collapsed="false">
      <c r="A3546" s="11" t="str">
        <f aca="false">IF(원본명단!$A3545="","",3543)</f>
        <v/>
      </c>
      <c r="B3546" s="12" t="str">
        <f aca="false">IF($A3546="","",원본명단!$A3545)</f>
        <v/>
      </c>
      <c r="C3546" s="12" t="str">
        <f aca="false">IF($A3546="","",원본명단!$B3545)</f>
        <v/>
      </c>
      <c r="D3546" s="12" t="str">
        <f aca="false">IF($A3546="","",원본명단!$D3545)</f>
        <v/>
      </c>
      <c r="E3546" s="11" t="str">
        <f aca="false">IF($A3546="","",IF(원본명단!$H3545="",0,COUNTIF(원본명단!$H$3:$H$6002,원본명단!$H3545)))</f>
        <v/>
      </c>
      <c r="F3546" s="11" t="str">
        <f aca="false">IF($A3546="","",IF(원본명단!$I3545="",0,COUNTIF(원본명단!$I$3:$I$6002,원본명단!$I3545)))</f>
        <v/>
      </c>
      <c r="G3546" s="11" t="str">
        <f aca="false">IF($A3546="","",IF(원본명단!$K3545="",0,COUNTIF(원본명단!$K$3:$K$6002,원본명단!$K3545)))</f>
        <v/>
      </c>
      <c r="H3546" s="11" t="str">
        <f aca="false">IF($A3546="","",IF(MAX($E3546,$F3546,$G3546)&gt;1,"중복","-"))</f>
        <v/>
      </c>
      <c r="I3546" s="11" t="str">
        <f aca="false">IF($A3546="","",IF($H3546="-","-",IF(AND(IF(원본명단!$H3545="",TRUE(),COUNTIF(원본명단!$H$3:$H3545,원본명단!$H3545)=1),IF(원본명단!$I3545="",TRUE(),COUNTIF(원본명단!$I$3:$I3545,원본명단!$I3545)=1),IF(원본명단!$K3545="",TRUE(),COUNTIF(원본명단!$K$3:$K3545,원본명단!$K3545)=1)),"첫 건","중복 건")))</f>
        <v/>
      </c>
      <c r="J3546" s="11" t="str">
        <f aca="false">IF($A3546="","",IF($H3546="-","유지",IF($I3546="첫 건","유지","확인 필요")))</f>
        <v/>
      </c>
    </row>
    <row r="3547" customFormat="false" ht="15" hidden="false" customHeight="true" outlineLevel="0" collapsed="false">
      <c r="A3547" s="11" t="str">
        <f aca="false">IF(원본명단!$A3546="","",3544)</f>
        <v/>
      </c>
      <c r="B3547" s="12" t="str">
        <f aca="false">IF($A3547="","",원본명단!$A3546)</f>
        <v/>
      </c>
      <c r="C3547" s="12" t="str">
        <f aca="false">IF($A3547="","",원본명단!$B3546)</f>
        <v/>
      </c>
      <c r="D3547" s="12" t="str">
        <f aca="false">IF($A3547="","",원본명단!$D3546)</f>
        <v/>
      </c>
      <c r="E3547" s="11" t="str">
        <f aca="false">IF($A3547="","",IF(원본명단!$H3546="",0,COUNTIF(원본명단!$H$3:$H$6002,원본명단!$H3546)))</f>
        <v/>
      </c>
      <c r="F3547" s="11" t="str">
        <f aca="false">IF($A3547="","",IF(원본명단!$I3546="",0,COUNTIF(원본명단!$I$3:$I$6002,원본명단!$I3546)))</f>
        <v/>
      </c>
      <c r="G3547" s="11" t="str">
        <f aca="false">IF($A3547="","",IF(원본명단!$K3546="",0,COUNTIF(원본명단!$K$3:$K$6002,원본명단!$K3546)))</f>
        <v/>
      </c>
      <c r="H3547" s="11" t="str">
        <f aca="false">IF($A3547="","",IF(MAX($E3547,$F3547,$G3547)&gt;1,"중복","-"))</f>
        <v/>
      </c>
      <c r="I3547" s="11" t="str">
        <f aca="false">IF($A3547="","",IF($H3547="-","-",IF(AND(IF(원본명단!$H3546="",TRUE(),COUNTIF(원본명단!$H$3:$H3546,원본명단!$H3546)=1),IF(원본명단!$I3546="",TRUE(),COUNTIF(원본명단!$I$3:$I3546,원본명단!$I3546)=1),IF(원본명단!$K3546="",TRUE(),COUNTIF(원본명단!$K$3:$K3546,원본명단!$K3546)=1)),"첫 건","중복 건")))</f>
        <v/>
      </c>
      <c r="J3547" s="11" t="str">
        <f aca="false">IF($A3547="","",IF($H3547="-","유지",IF($I3547="첫 건","유지","확인 필요")))</f>
        <v/>
      </c>
    </row>
    <row r="3548" customFormat="false" ht="15" hidden="false" customHeight="true" outlineLevel="0" collapsed="false">
      <c r="A3548" s="11" t="str">
        <f aca="false">IF(원본명단!$A3547="","",3545)</f>
        <v/>
      </c>
      <c r="B3548" s="12" t="str">
        <f aca="false">IF($A3548="","",원본명단!$A3547)</f>
        <v/>
      </c>
      <c r="C3548" s="12" t="str">
        <f aca="false">IF($A3548="","",원본명단!$B3547)</f>
        <v/>
      </c>
      <c r="D3548" s="12" t="str">
        <f aca="false">IF($A3548="","",원본명단!$D3547)</f>
        <v/>
      </c>
      <c r="E3548" s="11" t="str">
        <f aca="false">IF($A3548="","",IF(원본명단!$H3547="",0,COUNTIF(원본명단!$H$3:$H$6002,원본명단!$H3547)))</f>
        <v/>
      </c>
      <c r="F3548" s="11" t="str">
        <f aca="false">IF($A3548="","",IF(원본명단!$I3547="",0,COUNTIF(원본명단!$I$3:$I$6002,원본명단!$I3547)))</f>
        <v/>
      </c>
      <c r="G3548" s="11" t="str">
        <f aca="false">IF($A3548="","",IF(원본명단!$K3547="",0,COUNTIF(원본명단!$K$3:$K$6002,원본명단!$K3547)))</f>
        <v/>
      </c>
      <c r="H3548" s="11" t="str">
        <f aca="false">IF($A3548="","",IF(MAX($E3548,$F3548,$G3548)&gt;1,"중복","-"))</f>
        <v/>
      </c>
      <c r="I3548" s="11" t="str">
        <f aca="false">IF($A3548="","",IF($H3548="-","-",IF(AND(IF(원본명단!$H3547="",TRUE(),COUNTIF(원본명단!$H$3:$H3547,원본명단!$H3547)=1),IF(원본명단!$I3547="",TRUE(),COUNTIF(원본명단!$I$3:$I3547,원본명단!$I3547)=1),IF(원본명단!$K3547="",TRUE(),COUNTIF(원본명단!$K$3:$K3547,원본명단!$K3547)=1)),"첫 건","중복 건")))</f>
        <v/>
      </c>
      <c r="J3548" s="11" t="str">
        <f aca="false">IF($A3548="","",IF($H3548="-","유지",IF($I3548="첫 건","유지","확인 필요")))</f>
        <v/>
      </c>
    </row>
    <row r="3549" customFormat="false" ht="15" hidden="false" customHeight="true" outlineLevel="0" collapsed="false">
      <c r="A3549" s="11" t="str">
        <f aca="false">IF(원본명단!$A3548="","",3546)</f>
        <v/>
      </c>
      <c r="B3549" s="12" t="str">
        <f aca="false">IF($A3549="","",원본명단!$A3548)</f>
        <v/>
      </c>
      <c r="C3549" s="12" t="str">
        <f aca="false">IF($A3549="","",원본명단!$B3548)</f>
        <v/>
      </c>
      <c r="D3549" s="12" t="str">
        <f aca="false">IF($A3549="","",원본명단!$D3548)</f>
        <v/>
      </c>
      <c r="E3549" s="11" t="str">
        <f aca="false">IF($A3549="","",IF(원본명단!$H3548="",0,COUNTIF(원본명단!$H$3:$H$6002,원본명단!$H3548)))</f>
        <v/>
      </c>
      <c r="F3549" s="11" t="str">
        <f aca="false">IF($A3549="","",IF(원본명단!$I3548="",0,COUNTIF(원본명단!$I$3:$I$6002,원본명단!$I3548)))</f>
        <v/>
      </c>
      <c r="G3549" s="11" t="str">
        <f aca="false">IF($A3549="","",IF(원본명단!$K3548="",0,COUNTIF(원본명단!$K$3:$K$6002,원본명단!$K3548)))</f>
        <v/>
      </c>
      <c r="H3549" s="11" t="str">
        <f aca="false">IF($A3549="","",IF(MAX($E3549,$F3549,$G3549)&gt;1,"중복","-"))</f>
        <v/>
      </c>
      <c r="I3549" s="11" t="str">
        <f aca="false">IF($A3549="","",IF($H3549="-","-",IF(AND(IF(원본명단!$H3548="",TRUE(),COUNTIF(원본명단!$H$3:$H3548,원본명단!$H3548)=1),IF(원본명단!$I3548="",TRUE(),COUNTIF(원본명단!$I$3:$I3548,원본명단!$I3548)=1),IF(원본명단!$K3548="",TRUE(),COUNTIF(원본명단!$K$3:$K3548,원본명단!$K3548)=1)),"첫 건","중복 건")))</f>
        <v/>
      </c>
      <c r="J3549" s="11" t="str">
        <f aca="false">IF($A3549="","",IF($H3549="-","유지",IF($I3549="첫 건","유지","확인 필요")))</f>
        <v/>
      </c>
    </row>
    <row r="3550" customFormat="false" ht="15" hidden="false" customHeight="true" outlineLevel="0" collapsed="false">
      <c r="A3550" s="11" t="str">
        <f aca="false">IF(원본명단!$A3549="","",3547)</f>
        <v/>
      </c>
      <c r="B3550" s="12" t="str">
        <f aca="false">IF($A3550="","",원본명단!$A3549)</f>
        <v/>
      </c>
      <c r="C3550" s="12" t="str">
        <f aca="false">IF($A3550="","",원본명단!$B3549)</f>
        <v/>
      </c>
      <c r="D3550" s="12" t="str">
        <f aca="false">IF($A3550="","",원본명단!$D3549)</f>
        <v/>
      </c>
      <c r="E3550" s="11" t="str">
        <f aca="false">IF($A3550="","",IF(원본명단!$H3549="",0,COUNTIF(원본명단!$H$3:$H$6002,원본명단!$H3549)))</f>
        <v/>
      </c>
      <c r="F3550" s="11" t="str">
        <f aca="false">IF($A3550="","",IF(원본명단!$I3549="",0,COUNTIF(원본명단!$I$3:$I$6002,원본명단!$I3549)))</f>
        <v/>
      </c>
      <c r="G3550" s="11" t="str">
        <f aca="false">IF($A3550="","",IF(원본명단!$K3549="",0,COUNTIF(원본명단!$K$3:$K$6002,원본명단!$K3549)))</f>
        <v/>
      </c>
      <c r="H3550" s="11" t="str">
        <f aca="false">IF($A3550="","",IF(MAX($E3550,$F3550,$G3550)&gt;1,"중복","-"))</f>
        <v/>
      </c>
      <c r="I3550" s="11" t="str">
        <f aca="false">IF($A3550="","",IF($H3550="-","-",IF(AND(IF(원본명단!$H3549="",TRUE(),COUNTIF(원본명단!$H$3:$H3549,원본명단!$H3549)=1),IF(원본명단!$I3549="",TRUE(),COUNTIF(원본명단!$I$3:$I3549,원본명단!$I3549)=1),IF(원본명단!$K3549="",TRUE(),COUNTIF(원본명단!$K$3:$K3549,원본명단!$K3549)=1)),"첫 건","중복 건")))</f>
        <v/>
      </c>
      <c r="J3550" s="11" t="str">
        <f aca="false">IF($A3550="","",IF($H3550="-","유지",IF($I3550="첫 건","유지","확인 필요")))</f>
        <v/>
      </c>
    </row>
    <row r="3551" customFormat="false" ht="15" hidden="false" customHeight="true" outlineLevel="0" collapsed="false">
      <c r="A3551" s="11" t="str">
        <f aca="false">IF(원본명단!$A3550="","",3548)</f>
        <v/>
      </c>
      <c r="B3551" s="12" t="str">
        <f aca="false">IF($A3551="","",원본명단!$A3550)</f>
        <v/>
      </c>
      <c r="C3551" s="12" t="str">
        <f aca="false">IF($A3551="","",원본명단!$B3550)</f>
        <v/>
      </c>
      <c r="D3551" s="12" t="str">
        <f aca="false">IF($A3551="","",원본명단!$D3550)</f>
        <v/>
      </c>
      <c r="E3551" s="11" t="str">
        <f aca="false">IF($A3551="","",IF(원본명단!$H3550="",0,COUNTIF(원본명단!$H$3:$H$6002,원본명단!$H3550)))</f>
        <v/>
      </c>
      <c r="F3551" s="11" t="str">
        <f aca="false">IF($A3551="","",IF(원본명단!$I3550="",0,COUNTIF(원본명단!$I$3:$I$6002,원본명단!$I3550)))</f>
        <v/>
      </c>
      <c r="G3551" s="11" t="str">
        <f aca="false">IF($A3551="","",IF(원본명단!$K3550="",0,COUNTIF(원본명단!$K$3:$K$6002,원본명단!$K3550)))</f>
        <v/>
      </c>
      <c r="H3551" s="11" t="str">
        <f aca="false">IF($A3551="","",IF(MAX($E3551,$F3551,$G3551)&gt;1,"중복","-"))</f>
        <v/>
      </c>
      <c r="I3551" s="11" t="str">
        <f aca="false">IF($A3551="","",IF($H3551="-","-",IF(AND(IF(원본명단!$H3550="",TRUE(),COUNTIF(원본명단!$H$3:$H3550,원본명단!$H3550)=1),IF(원본명단!$I3550="",TRUE(),COUNTIF(원본명단!$I$3:$I3550,원본명단!$I3550)=1),IF(원본명단!$K3550="",TRUE(),COUNTIF(원본명단!$K$3:$K3550,원본명단!$K3550)=1)),"첫 건","중복 건")))</f>
        <v/>
      </c>
      <c r="J3551" s="11" t="str">
        <f aca="false">IF($A3551="","",IF($H3551="-","유지",IF($I3551="첫 건","유지","확인 필요")))</f>
        <v/>
      </c>
    </row>
    <row r="3552" customFormat="false" ht="15" hidden="false" customHeight="true" outlineLevel="0" collapsed="false">
      <c r="A3552" s="11" t="str">
        <f aca="false">IF(원본명단!$A3551="","",3549)</f>
        <v/>
      </c>
      <c r="B3552" s="12" t="str">
        <f aca="false">IF($A3552="","",원본명단!$A3551)</f>
        <v/>
      </c>
      <c r="C3552" s="12" t="str">
        <f aca="false">IF($A3552="","",원본명단!$B3551)</f>
        <v/>
      </c>
      <c r="D3552" s="12" t="str">
        <f aca="false">IF($A3552="","",원본명단!$D3551)</f>
        <v/>
      </c>
      <c r="E3552" s="11" t="str">
        <f aca="false">IF($A3552="","",IF(원본명단!$H3551="",0,COUNTIF(원본명단!$H$3:$H$6002,원본명단!$H3551)))</f>
        <v/>
      </c>
      <c r="F3552" s="11" t="str">
        <f aca="false">IF($A3552="","",IF(원본명단!$I3551="",0,COUNTIF(원본명단!$I$3:$I$6002,원본명단!$I3551)))</f>
        <v/>
      </c>
      <c r="G3552" s="11" t="str">
        <f aca="false">IF($A3552="","",IF(원본명단!$K3551="",0,COUNTIF(원본명단!$K$3:$K$6002,원본명단!$K3551)))</f>
        <v/>
      </c>
      <c r="H3552" s="11" t="str">
        <f aca="false">IF($A3552="","",IF(MAX($E3552,$F3552,$G3552)&gt;1,"중복","-"))</f>
        <v/>
      </c>
      <c r="I3552" s="11" t="str">
        <f aca="false">IF($A3552="","",IF($H3552="-","-",IF(AND(IF(원본명단!$H3551="",TRUE(),COUNTIF(원본명단!$H$3:$H3551,원본명단!$H3551)=1),IF(원본명단!$I3551="",TRUE(),COUNTIF(원본명단!$I$3:$I3551,원본명단!$I3551)=1),IF(원본명단!$K3551="",TRUE(),COUNTIF(원본명단!$K$3:$K3551,원본명단!$K3551)=1)),"첫 건","중복 건")))</f>
        <v/>
      </c>
      <c r="J3552" s="11" t="str">
        <f aca="false">IF($A3552="","",IF($H3552="-","유지",IF($I3552="첫 건","유지","확인 필요")))</f>
        <v/>
      </c>
    </row>
    <row r="3553" customFormat="false" ht="15" hidden="false" customHeight="true" outlineLevel="0" collapsed="false">
      <c r="A3553" s="11" t="str">
        <f aca="false">IF(원본명단!$A3552="","",3550)</f>
        <v/>
      </c>
      <c r="B3553" s="12" t="str">
        <f aca="false">IF($A3553="","",원본명단!$A3552)</f>
        <v/>
      </c>
      <c r="C3553" s="12" t="str">
        <f aca="false">IF($A3553="","",원본명단!$B3552)</f>
        <v/>
      </c>
      <c r="D3553" s="12" t="str">
        <f aca="false">IF($A3553="","",원본명단!$D3552)</f>
        <v/>
      </c>
      <c r="E3553" s="11" t="str">
        <f aca="false">IF($A3553="","",IF(원본명단!$H3552="",0,COUNTIF(원본명단!$H$3:$H$6002,원본명단!$H3552)))</f>
        <v/>
      </c>
      <c r="F3553" s="11" t="str">
        <f aca="false">IF($A3553="","",IF(원본명단!$I3552="",0,COUNTIF(원본명단!$I$3:$I$6002,원본명단!$I3552)))</f>
        <v/>
      </c>
      <c r="G3553" s="11" t="str">
        <f aca="false">IF($A3553="","",IF(원본명단!$K3552="",0,COUNTIF(원본명단!$K$3:$K$6002,원본명단!$K3552)))</f>
        <v/>
      </c>
      <c r="H3553" s="11" t="str">
        <f aca="false">IF($A3553="","",IF(MAX($E3553,$F3553,$G3553)&gt;1,"중복","-"))</f>
        <v/>
      </c>
      <c r="I3553" s="11" t="str">
        <f aca="false">IF($A3553="","",IF($H3553="-","-",IF(AND(IF(원본명단!$H3552="",TRUE(),COUNTIF(원본명단!$H$3:$H3552,원본명단!$H3552)=1),IF(원본명단!$I3552="",TRUE(),COUNTIF(원본명단!$I$3:$I3552,원본명단!$I3552)=1),IF(원본명단!$K3552="",TRUE(),COUNTIF(원본명단!$K$3:$K3552,원본명단!$K3552)=1)),"첫 건","중복 건")))</f>
        <v/>
      </c>
      <c r="J3553" s="11" t="str">
        <f aca="false">IF($A3553="","",IF($H3553="-","유지",IF($I3553="첫 건","유지","확인 필요")))</f>
        <v/>
      </c>
    </row>
    <row r="3554" customFormat="false" ht="15" hidden="false" customHeight="true" outlineLevel="0" collapsed="false">
      <c r="A3554" s="11" t="str">
        <f aca="false">IF(원본명단!$A3553="","",3551)</f>
        <v/>
      </c>
      <c r="B3554" s="12" t="str">
        <f aca="false">IF($A3554="","",원본명단!$A3553)</f>
        <v/>
      </c>
      <c r="C3554" s="12" t="str">
        <f aca="false">IF($A3554="","",원본명단!$B3553)</f>
        <v/>
      </c>
      <c r="D3554" s="12" t="str">
        <f aca="false">IF($A3554="","",원본명단!$D3553)</f>
        <v/>
      </c>
      <c r="E3554" s="11" t="str">
        <f aca="false">IF($A3554="","",IF(원본명단!$H3553="",0,COUNTIF(원본명단!$H$3:$H$6002,원본명단!$H3553)))</f>
        <v/>
      </c>
      <c r="F3554" s="11" t="str">
        <f aca="false">IF($A3554="","",IF(원본명단!$I3553="",0,COUNTIF(원본명단!$I$3:$I$6002,원본명단!$I3553)))</f>
        <v/>
      </c>
      <c r="G3554" s="11" t="str">
        <f aca="false">IF($A3554="","",IF(원본명단!$K3553="",0,COUNTIF(원본명단!$K$3:$K$6002,원본명단!$K3553)))</f>
        <v/>
      </c>
      <c r="H3554" s="11" t="str">
        <f aca="false">IF($A3554="","",IF(MAX($E3554,$F3554,$G3554)&gt;1,"중복","-"))</f>
        <v/>
      </c>
      <c r="I3554" s="11" t="str">
        <f aca="false">IF($A3554="","",IF($H3554="-","-",IF(AND(IF(원본명단!$H3553="",TRUE(),COUNTIF(원본명단!$H$3:$H3553,원본명단!$H3553)=1),IF(원본명단!$I3553="",TRUE(),COUNTIF(원본명단!$I$3:$I3553,원본명단!$I3553)=1),IF(원본명단!$K3553="",TRUE(),COUNTIF(원본명단!$K$3:$K3553,원본명단!$K3553)=1)),"첫 건","중복 건")))</f>
        <v/>
      </c>
      <c r="J3554" s="11" t="str">
        <f aca="false">IF($A3554="","",IF($H3554="-","유지",IF($I3554="첫 건","유지","확인 필요")))</f>
        <v/>
      </c>
    </row>
    <row r="3555" customFormat="false" ht="15" hidden="false" customHeight="true" outlineLevel="0" collapsed="false">
      <c r="A3555" s="11" t="str">
        <f aca="false">IF(원본명단!$A3554="","",3552)</f>
        <v/>
      </c>
      <c r="B3555" s="12" t="str">
        <f aca="false">IF($A3555="","",원본명단!$A3554)</f>
        <v/>
      </c>
      <c r="C3555" s="12" t="str">
        <f aca="false">IF($A3555="","",원본명단!$B3554)</f>
        <v/>
      </c>
      <c r="D3555" s="12" t="str">
        <f aca="false">IF($A3555="","",원본명단!$D3554)</f>
        <v/>
      </c>
      <c r="E3555" s="11" t="str">
        <f aca="false">IF($A3555="","",IF(원본명단!$H3554="",0,COUNTIF(원본명단!$H$3:$H$6002,원본명단!$H3554)))</f>
        <v/>
      </c>
      <c r="F3555" s="11" t="str">
        <f aca="false">IF($A3555="","",IF(원본명단!$I3554="",0,COUNTIF(원본명단!$I$3:$I$6002,원본명단!$I3554)))</f>
        <v/>
      </c>
      <c r="G3555" s="11" t="str">
        <f aca="false">IF($A3555="","",IF(원본명단!$K3554="",0,COUNTIF(원본명단!$K$3:$K$6002,원본명단!$K3554)))</f>
        <v/>
      </c>
      <c r="H3555" s="11" t="str">
        <f aca="false">IF($A3555="","",IF(MAX($E3555,$F3555,$G3555)&gt;1,"중복","-"))</f>
        <v/>
      </c>
      <c r="I3555" s="11" t="str">
        <f aca="false">IF($A3555="","",IF($H3555="-","-",IF(AND(IF(원본명단!$H3554="",TRUE(),COUNTIF(원본명단!$H$3:$H3554,원본명단!$H3554)=1),IF(원본명단!$I3554="",TRUE(),COUNTIF(원본명단!$I$3:$I3554,원본명단!$I3554)=1),IF(원본명단!$K3554="",TRUE(),COUNTIF(원본명단!$K$3:$K3554,원본명단!$K3554)=1)),"첫 건","중복 건")))</f>
        <v/>
      </c>
      <c r="J3555" s="11" t="str">
        <f aca="false">IF($A3555="","",IF($H3555="-","유지",IF($I3555="첫 건","유지","확인 필요")))</f>
        <v/>
      </c>
    </row>
    <row r="3556" customFormat="false" ht="15" hidden="false" customHeight="true" outlineLevel="0" collapsed="false">
      <c r="A3556" s="11" t="str">
        <f aca="false">IF(원본명단!$A3555="","",3553)</f>
        <v/>
      </c>
      <c r="B3556" s="12" t="str">
        <f aca="false">IF($A3556="","",원본명단!$A3555)</f>
        <v/>
      </c>
      <c r="C3556" s="12" t="str">
        <f aca="false">IF($A3556="","",원본명단!$B3555)</f>
        <v/>
      </c>
      <c r="D3556" s="12" t="str">
        <f aca="false">IF($A3556="","",원본명단!$D3555)</f>
        <v/>
      </c>
      <c r="E3556" s="11" t="str">
        <f aca="false">IF($A3556="","",IF(원본명단!$H3555="",0,COUNTIF(원본명단!$H$3:$H$6002,원본명단!$H3555)))</f>
        <v/>
      </c>
      <c r="F3556" s="11" t="str">
        <f aca="false">IF($A3556="","",IF(원본명단!$I3555="",0,COUNTIF(원본명단!$I$3:$I$6002,원본명단!$I3555)))</f>
        <v/>
      </c>
      <c r="G3556" s="11" t="str">
        <f aca="false">IF($A3556="","",IF(원본명단!$K3555="",0,COUNTIF(원본명단!$K$3:$K$6002,원본명단!$K3555)))</f>
        <v/>
      </c>
      <c r="H3556" s="11" t="str">
        <f aca="false">IF($A3556="","",IF(MAX($E3556,$F3556,$G3556)&gt;1,"중복","-"))</f>
        <v/>
      </c>
      <c r="I3556" s="11" t="str">
        <f aca="false">IF($A3556="","",IF($H3556="-","-",IF(AND(IF(원본명단!$H3555="",TRUE(),COUNTIF(원본명단!$H$3:$H3555,원본명단!$H3555)=1),IF(원본명단!$I3555="",TRUE(),COUNTIF(원본명단!$I$3:$I3555,원본명단!$I3555)=1),IF(원본명단!$K3555="",TRUE(),COUNTIF(원본명단!$K$3:$K3555,원본명단!$K3555)=1)),"첫 건","중복 건")))</f>
        <v/>
      </c>
      <c r="J3556" s="11" t="str">
        <f aca="false">IF($A3556="","",IF($H3556="-","유지",IF($I3556="첫 건","유지","확인 필요")))</f>
        <v/>
      </c>
    </row>
    <row r="3557" customFormat="false" ht="15" hidden="false" customHeight="true" outlineLevel="0" collapsed="false">
      <c r="A3557" s="11" t="str">
        <f aca="false">IF(원본명단!$A3556="","",3554)</f>
        <v/>
      </c>
      <c r="B3557" s="12" t="str">
        <f aca="false">IF($A3557="","",원본명단!$A3556)</f>
        <v/>
      </c>
      <c r="C3557" s="12" t="str">
        <f aca="false">IF($A3557="","",원본명단!$B3556)</f>
        <v/>
      </c>
      <c r="D3557" s="12" t="str">
        <f aca="false">IF($A3557="","",원본명단!$D3556)</f>
        <v/>
      </c>
      <c r="E3557" s="11" t="str">
        <f aca="false">IF($A3557="","",IF(원본명단!$H3556="",0,COUNTIF(원본명단!$H$3:$H$6002,원본명단!$H3556)))</f>
        <v/>
      </c>
      <c r="F3557" s="11" t="str">
        <f aca="false">IF($A3557="","",IF(원본명단!$I3556="",0,COUNTIF(원본명단!$I$3:$I$6002,원본명단!$I3556)))</f>
        <v/>
      </c>
      <c r="G3557" s="11" t="str">
        <f aca="false">IF($A3557="","",IF(원본명단!$K3556="",0,COUNTIF(원본명단!$K$3:$K$6002,원본명단!$K3556)))</f>
        <v/>
      </c>
      <c r="H3557" s="11" t="str">
        <f aca="false">IF($A3557="","",IF(MAX($E3557,$F3557,$G3557)&gt;1,"중복","-"))</f>
        <v/>
      </c>
      <c r="I3557" s="11" t="str">
        <f aca="false">IF($A3557="","",IF($H3557="-","-",IF(AND(IF(원본명단!$H3556="",TRUE(),COUNTIF(원본명단!$H$3:$H3556,원본명단!$H3556)=1),IF(원본명단!$I3556="",TRUE(),COUNTIF(원본명단!$I$3:$I3556,원본명단!$I3556)=1),IF(원본명단!$K3556="",TRUE(),COUNTIF(원본명단!$K$3:$K3556,원본명단!$K3556)=1)),"첫 건","중복 건")))</f>
        <v/>
      </c>
      <c r="J3557" s="11" t="str">
        <f aca="false">IF($A3557="","",IF($H3557="-","유지",IF($I3557="첫 건","유지","확인 필요")))</f>
        <v/>
      </c>
    </row>
    <row r="3558" customFormat="false" ht="15" hidden="false" customHeight="true" outlineLevel="0" collapsed="false">
      <c r="A3558" s="11" t="str">
        <f aca="false">IF(원본명단!$A3557="","",3555)</f>
        <v/>
      </c>
      <c r="B3558" s="12" t="str">
        <f aca="false">IF($A3558="","",원본명단!$A3557)</f>
        <v/>
      </c>
      <c r="C3558" s="12" t="str">
        <f aca="false">IF($A3558="","",원본명단!$B3557)</f>
        <v/>
      </c>
      <c r="D3558" s="12" t="str">
        <f aca="false">IF($A3558="","",원본명단!$D3557)</f>
        <v/>
      </c>
      <c r="E3558" s="11" t="str">
        <f aca="false">IF($A3558="","",IF(원본명단!$H3557="",0,COUNTIF(원본명단!$H$3:$H$6002,원본명단!$H3557)))</f>
        <v/>
      </c>
      <c r="F3558" s="11" t="str">
        <f aca="false">IF($A3558="","",IF(원본명단!$I3557="",0,COUNTIF(원본명단!$I$3:$I$6002,원본명단!$I3557)))</f>
        <v/>
      </c>
      <c r="G3558" s="11" t="str">
        <f aca="false">IF($A3558="","",IF(원본명단!$K3557="",0,COUNTIF(원본명단!$K$3:$K$6002,원본명단!$K3557)))</f>
        <v/>
      </c>
      <c r="H3558" s="11" t="str">
        <f aca="false">IF($A3558="","",IF(MAX($E3558,$F3558,$G3558)&gt;1,"중복","-"))</f>
        <v/>
      </c>
      <c r="I3558" s="11" t="str">
        <f aca="false">IF($A3558="","",IF($H3558="-","-",IF(AND(IF(원본명단!$H3557="",TRUE(),COUNTIF(원본명단!$H$3:$H3557,원본명단!$H3557)=1),IF(원본명단!$I3557="",TRUE(),COUNTIF(원본명단!$I$3:$I3557,원본명단!$I3557)=1),IF(원본명단!$K3557="",TRUE(),COUNTIF(원본명단!$K$3:$K3557,원본명단!$K3557)=1)),"첫 건","중복 건")))</f>
        <v/>
      </c>
      <c r="J3558" s="11" t="str">
        <f aca="false">IF($A3558="","",IF($H3558="-","유지",IF($I3558="첫 건","유지","확인 필요")))</f>
        <v/>
      </c>
    </row>
    <row r="3559" customFormat="false" ht="15" hidden="false" customHeight="true" outlineLevel="0" collapsed="false">
      <c r="A3559" s="11" t="str">
        <f aca="false">IF(원본명단!$A3558="","",3556)</f>
        <v/>
      </c>
      <c r="B3559" s="12" t="str">
        <f aca="false">IF($A3559="","",원본명단!$A3558)</f>
        <v/>
      </c>
      <c r="C3559" s="12" t="str">
        <f aca="false">IF($A3559="","",원본명단!$B3558)</f>
        <v/>
      </c>
      <c r="D3559" s="12" t="str">
        <f aca="false">IF($A3559="","",원본명단!$D3558)</f>
        <v/>
      </c>
      <c r="E3559" s="11" t="str">
        <f aca="false">IF($A3559="","",IF(원본명단!$H3558="",0,COUNTIF(원본명단!$H$3:$H$6002,원본명단!$H3558)))</f>
        <v/>
      </c>
      <c r="F3559" s="11" t="str">
        <f aca="false">IF($A3559="","",IF(원본명단!$I3558="",0,COUNTIF(원본명단!$I$3:$I$6002,원본명단!$I3558)))</f>
        <v/>
      </c>
      <c r="G3559" s="11" t="str">
        <f aca="false">IF($A3559="","",IF(원본명단!$K3558="",0,COUNTIF(원본명단!$K$3:$K$6002,원본명단!$K3558)))</f>
        <v/>
      </c>
      <c r="H3559" s="11" t="str">
        <f aca="false">IF($A3559="","",IF(MAX($E3559,$F3559,$G3559)&gt;1,"중복","-"))</f>
        <v/>
      </c>
      <c r="I3559" s="11" t="str">
        <f aca="false">IF($A3559="","",IF($H3559="-","-",IF(AND(IF(원본명단!$H3558="",TRUE(),COUNTIF(원본명단!$H$3:$H3558,원본명단!$H3558)=1),IF(원본명단!$I3558="",TRUE(),COUNTIF(원본명단!$I$3:$I3558,원본명단!$I3558)=1),IF(원본명단!$K3558="",TRUE(),COUNTIF(원본명단!$K$3:$K3558,원본명단!$K3558)=1)),"첫 건","중복 건")))</f>
        <v/>
      </c>
      <c r="J3559" s="11" t="str">
        <f aca="false">IF($A3559="","",IF($H3559="-","유지",IF($I3559="첫 건","유지","확인 필요")))</f>
        <v/>
      </c>
    </row>
    <row r="3560" customFormat="false" ht="15" hidden="false" customHeight="true" outlineLevel="0" collapsed="false">
      <c r="A3560" s="11" t="str">
        <f aca="false">IF(원본명단!$A3559="","",3557)</f>
        <v/>
      </c>
      <c r="B3560" s="12" t="str">
        <f aca="false">IF($A3560="","",원본명단!$A3559)</f>
        <v/>
      </c>
      <c r="C3560" s="12" t="str">
        <f aca="false">IF($A3560="","",원본명단!$B3559)</f>
        <v/>
      </c>
      <c r="D3560" s="12" t="str">
        <f aca="false">IF($A3560="","",원본명단!$D3559)</f>
        <v/>
      </c>
      <c r="E3560" s="11" t="str">
        <f aca="false">IF($A3560="","",IF(원본명단!$H3559="",0,COUNTIF(원본명단!$H$3:$H$6002,원본명단!$H3559)))</f>
        <v/>
      </c>
      <c r="F3560" s="11" t="str">
        <f aca="false">IF($A3560="","",IF(원본명단!$I3559="",0,COUNTIF(원본명단!$I$3:$I$6002,원본명단!$I3559)))</f>
        <v/>
      </c>
      <c r="G3560" s="11" t="str">
        <f aca="false">IF($A3560="","",IF(원본명단!$K3559="",0,COUNTIF(원본명단!$K$3:$K$6002,원본명단!$K3559)))</f>
        <v/>
      </c>
      <c r="H3560" s="11" t="str">
        <f aca="false">IF($A3560="","",IF(MAX($E3560,$F3560,$G3560)&gt;1,"중복","-"))</f>
        <v/>
      </c>
      <c r="I3560" s="11" t="str">
        <f aca="false">IF($A3560="","",IF($H3560="-","-",IF(AND(IF(원본명단!$H3559="",TRUE(),COUNTIF(원본명단!$H$3:$H3559,원본명단!$H3559)=1),IF(원본명단!$I3559="",TRUE(),COUNTIF(원본명단!$I$3:$I3559,원본명단!$I3559)=1),IF(원본명단!$K3559="",TRUE(),COUNTIF(원본명단!$K$3:$K3559,원본명단!$K3559)=1)),"첫 건","중복 건")))</f>
        <v/>
      </c>
      <c r="J3560" s="11" t="str">
        <f aca="false">IF($A3560="","",IF($H3560="-","유지",IF($I3560="첫 건","유지","확인 필요")))</f>
        <v/>
      </c>
    </row>
    <row r="3561" customFormat="false" ht="15" hidden="false" customHeight="true" outlineLevel="0" collapsed="false">
      <c r="A3561" s="11" t="str">
        <f aca="false">IF(원본명단!$A3560="","",3558)</f>
        <v/>
      </c>
      <c r="B3561" s="12" t="str">
        <f aca="false">IF($A3561="","",원본명단!$A3560)</f>
        <v/>
      </c>
      <c r="C3561" s="12" t="str">
        <f aca="false">IF($A3561="","",원본명단!$B3560)</f>
        <v/>
      </c>
      <c r="D3561" s="12" t="str">
        <f aca="false">IF($A3561="","",원본명단!$D3560)</f>
        <v/>
      </c>
      <c r="E3561" s="11" t="str">
        <f aca="false">IF($A3561="","",IF(원본명단!$H3560="",0,COUNTIF(원본명단!$H$3:$H$6002,원본명단!$H3560)))</f>
        <v/>
      </c>
      <c r="F3561" s="11" t="str">
        <f aca="false">IF($A3561="","",IF(원본명단!$I3560="",0,COUNTIF(원본명단!$I$3:$I$6002,원본명단!$I3560)))</f>
        <v/>
      </c>
      <c r="G3561" s="11" t="str">
        <f aca="false">IF($A3561="","",IF(원본명단!$K3560="",0,COUNTIF(원본명단!$K$3:$K$6002,원본명단!$K3560)))</f>
        <v/>
      </c>
      <c r="H3561" s="11" t="str">
        <f aca="false">IF($A3561="","",IF(MAX($E3561,$F3561,$G3561)&gt;1,"중복","-"))</f>
        <v/>
      </c>
      <c r="I3561" s="11" t="str">
        <f aca="false">IF($A3561="","",IF($H3561="-","-",IF(AND(IF(원본명단!$H3560="",TRUE(),COUNTIF(원본명단!$H$3:$H3560,원본명단!$H3560)=1),IF(원본명단!$I3560="",TRUE(),COUNTIF(원본명단!$I$3:$I3560,원본명단!$I3560)=1),IF(원본명단!$K3560="",TRUE(),COUNTIF(원본명단!$K$3:$K3560,원본명단!$K3560)=1)),"첫 건","중복 건")))</f>
        <v/>
      </c>
      <c r="J3561" s="11" t="str">
        <f aca="false">IF($A3561="","",IF($H3561="-","유지",IF($I3561="첫 건","유지","확인 필요")))</f>
        <v/>
      </c>
    </row>
    <row r="3562" customFormat="false" ht="15" hidden="false" customHeight="true" outlineLevel="0" collapsed="false">
      <c r="A3562" s="11" t="str">
        <f aca="false">IF(원본명단!$A3561="","",3559)</f>
        <v/>
      </c>
      <c r="B3562" s="12" t="str">
        <f aca="false">IF($A3562="","",원본명단!$A3561)</f>
        <v/>
      </c>
      <c r="C3562" s="12" t="str">
        <f aca="false">IF($A3562="","",원본명단!$B3561)</f>
        <v/>
      </c>
      <c r="D3562" s="12" t="str">
        <f aca="false">IF($A3562="","",원본명단!$D3561)</f>
        <v/>
      </c>
      <c r="E3562" s="11" t="str">
        <f aca="false">IF($A3562="","",IF(원본명단!$H3561="",0,COUNTIF(원본명단!$H$3:$H$6002,원본명단!$H3561)))</f>
        <v/>
      </c>
      <c r="F3562" s="11" t="str">
        <f aca="false">IF($A3562="","",IF(원본명단!$I3561="",0,COUNTIF(원본명단!$I$3:$I$6002,원본명단!$I3561)))</f>
        <v/>
      </c>
      <c r="G3562" s="11" t="str">
        <f aca="false">IF($A3562="","",IF(원본명단!$K3561="",0,COUNTIF(원본명단!$K$3:$K$6002,원본명단!$K3561)))</f>
        <v/>
      </c>
      <c r="H3562" s="11" t="str">
        <f aca="false">IF($A3562="","",IF(MAX($E3562,$F3562,$G3562)&gt;1,"중복","-"))</f>
        <v/>
      </c>
      <c r="I3562" s="11" t="str">
        <f aca="false">IF($A3562="","",IF($H3562="-","-",IF(AND(IF(원본명단!$H3561="",TRUE(),COUNTIF(원본명단!$H$3:$H3561,원본명단!$H3561)=1),IF(원본명단!$I3561="",TRUE(),COUNTIF(원본명단!$I$3:$I3561,원본명단!$I3561)=1),IF(원본명단!$K3561="",TRUE(),COUNTIF(원본명단!$K$3:$K3561,원본명단!$K3561)=1)),"첫 건","중복 건")))</f>
        <v/>
      </c>
      <c r="J3562" s="11" t="str">
        <f aca="false">IF($A3562="","",IF($H3562="-","유지",IF($I3562="첫 건","유지","확인 필요")))</f>
        <v/>
      </c>
    </row>
    <row r="3563" customFormat="false" ht="15" hidden="false" customHeight="true" outlineLevel="0" collapsed="false">
      <c r="A3563" s="11" t="str">
        <f aca="false">IF(원본명단!$A3562="","",3560)</f>
        <v/>
      </c>
      <c r="B3563" s="12" t="str">
        <f aca="false">IF($A3563="","",원본명단!$A3562)</f>
        <v/>
      </c>
      <c r="C3563" s="12" t="str">
        <f aca="false">IF($A3563="","",원본명단!$B3562)</f>
        <v/>
      </c>
      <c r="D3563" s="12" t="str">
        <f aca="false">IF($A3563="","",원본명단!$D3562)</f>
        <v/>
      </c>
      <c r="E3563" s="11" t="str">
        <f aca="false">IF($A3563="","",IF(원본명단!$H3562="",0,COUNTIF(원본명단!$H$3:$H$6002,원본명단!$H3562)))</f>
        <v/>
      </c>
      <c r="F3563" s="11" t="str">
        <f aca="false">IF($A3563="","",IF(원본명단!$I3562="",0,COUNTIF(원본명단!$I$3:$I$6002,원본명단!$I3562)))</f>
        <v/>
      </c>
      <c r="G3563" s="11" t="str">
        <f aca="false">IF($A3563="","",IF(원본명단!$K3562="",0,COUNTIF(원본명단!$K$3:$K$6002,원본명단!$K3562)))</f>
        <v/>
      </c>
      <c r="H3563" s="11" t="str">
        <f aca="false">IF($A3563="","",IF(MAX($E3563,$F3563,$G3563)&gt;1,"중복","-"))</f>
        <v/>
      </c>
      <c r="I3563" s="11" t="str">
        <f aca="false">IF($A3563="","",IF($H3563="-","-",IF(AND(IF(원본명단!$H3562="",TRUE(),COUNTIF(원본명단!$H$3:$H3562,원본명단!$H3562)=1),IF(원본명단!$I3562="",TRUE(),COUNTIF(원본명단!$I$3:$I3562,원본명단!$I3562)=1),IF(원본명단!$K3562="",TRUE(),COUNTIF(원본명단!$K$3:$K3562,원본명단!$K3562)=1)),"첫 건","중복 건")))</f>
        <v/>
      </c>
      <c r="J3563" s="11" t="str">
        <f aca="false">IF($A3563="","",IF($H3563="-","유지",IF($I3563="첫 건","유지","확인 필요")))</f>
        <v/>
      </c>
    </row>
    <row r="3564" customFormat="false" ht="15" hidden="false" customHeight="true" outlineLevel="0" collapsed="false">
      <c r="A3564" s="11" t="str">
        <f aca="false">IF(원본명단!$A3563="","",3561)</f>
        <v/>
      </c>
      <c r="B3564" s="12" t="str">
        <f aca="false">IF($A3564="","",원본명단!$A3563)</f>
        <v/>
      </c>
      <c r="C3564" s="12" t="str">
        <f aca="false">IF($A3564="","",원본명단!$B3563)</f>
        <v/>
      </c>
      <c r="D3564" s="12" t="str">
        <f aca="false">IF($A3564="","",원본명단!$D3563)</f>
        <v/>
      </c>
      <c r="E3564" s="11" t="str">
        <f aca="false">IF($A3564="","",IF(원본명단!$H3563="",0,COUNTIF(원본명단!$H$3:$H$6002,원본명단!$H3563)))</f>
        <v/>
      </c>
      <c r="F3564" s="11" t="str">
        <f aca="false">IF($A3564="","",IF(원본명단!$I3563="",0,COUNTIF(원본명단!$I$3:$I$6002,원본명단!$I3563)))</f>
        <v/>
      </c>
      <c r="G3564" s="11" t="str">
        <f aca="false">IF($A3564="","",IF(원본명단!$K3563="",0,COUNTIF(원본명단!$K$3:$K$6002,원본명단!$K3563)))</f>
        <v/>
      </c>
      <c r="H3564" s="11" t="str">
        <f aca="false">IF($A3564="","",IF(MAX($E3564,$F3564,$G3564)&gt;1,"중복","-"))</f>
        <v/>
      </c>
      <c r="I3564" s="11" t="str">
        <f aca="false">IF($A3564="","",IF($H3564="-","-",IF(AND(IF(원본명단!$H3563="",TRUE(),COUNTIF(원본명단!$H$3:$H3563,원본명단!$H3563)=1),IF(원본명단!$I3563="",TRUE(),COUNTIF(원본명단!$I$3:$I3563,원본명단!$I3563)=1),IF(원본명단!$K3563="",TRUE(),COUNTIF(원본명단!$K$3:$K3563,원본명단!$K3563)=1)),"첫 건","중복 건")))</f>
        <v/>
      </c>
      <c r="J3564" s="11" t="str">
        <f aca="false">IF($A3564="","",IF($H3564="-","유지",IF($I3564="첫 건","유지","확인 필요")))</f>
        <v/>
      </c>
    </row>
    <row r="3565" customFormat="false" ht="15" hidden="false" customHeight="true" outlineLevel="0" collapsed="false">
      <c r="A3565" s="11" t="str">
        <f aca="false">IF(원본명단!$A3564="","",3562)</f>
        <v/>
      </c>
      <c r="B3565" s="12" t="str">
        <f aca="false">IF($A3565="","",원본명단!$A3564)</f>
        <v/>
      </c>
      <c r="C3565" s="12" t="str">
        <f aca="false">IF($A3565="","",원본명단!$B3564)</f>
        <v/>
      </c>
      <c r="D3565" s="12" t="str">
        <f aca="false">IF($A3565="","",원본명단!$D3564)</f>
        <v/>
      </c>
      <c r="E3565" s="11" t="str">
        <f aca="false">IF($A3565="","",IF(원본명단!$H3564="",0,COUNTIF(원본명단!$H$3:$H$6002,원본명단!$H3564)))</f>
        <v/>
      </c>
      <c r="F3565" s="11" t="str">
        <f aca="false">IF($A3565="","",IF(원본명단!$I3564="",0,COUNTIF(원본명단!$I$3:$I$6002,원본명단!$I3564)))</f>
        <v/>
      </c>
      <c r="G3565" s="11" t="str">
        <f aca="false">IF($A3565="","",IF(원본명단!$K3564="",0,COUNTIF(원본명단!$K$3:$K$6002,원본명단!$K3564)))</f>
        <v/>
      </c>
      <c r="H3565" s="11" t="str">
        <f aca="false">IF($A3565="","",IF(MAX($E3565,$F3565,$G3565)&gt;1,"중복","-"))</f>
        <v/>
      </c>
      <c r="I3565" s="11" t="str">
        <f aca="false">IF($A3565="","",IF($H3565="-","-",IF(AND(IF(원본명단!$H3564="",TRUE(),COUNTIF(원본명단!$H$3:$H3564,원본명단!$H3564)=1),IF(원본명단!$I3564="",TRUE(),COUNTIF(원본명단!$I$3:$I3564,원본명단!$I3564)=1),IF(원본명단!$K3564="",TRUE(),COUNTIF(원본명단!$K$3:$K3564,원본명단!$K3564)=1)),"첫 건","중복 건")))</f>
        <v/>
      </c>
      <c r="J3565" s="11" t="str">
        <f aca="false">IF($A3565="","",IF($H3565="-","유지",IF($I3565="첫 건","유지","확인 필요")))</f>
        <v/>
      </c>
    </row>
    <row r="3566" customFormat="false" ht="15" hidden="false" customHeight="true" outlineLevel="0" collapsed="false">
      <c r="A3566" s="11" t="str">
        <f aca="false">IF(원본명단!$A3565="","",3563)</f>
        <v/>
      </c>
      <c r="B3566" s="12" t="str">
        <f aca="false">IF($A3566="","",원본명단!$A3565)</f>
        <v/>
      </c>
      <c r="C3566" s="12" t="str">
        <f aca="false">IF($A3566="","",원본명단!$B3565)</f>
        <v/>
      </c>
      <c r="D3566" s="12" t="str">
        <f aca="false">IF($A3566="","",원본명단!$D3565)</f>
        <v/>
      </c>
      <c r="E3566" s="11" t="str">
        <f aca="false">IF($A3566="","",IF(원본명단!$H3565="",0,COUNTIF(원본명단!$H$3:$H$6002,원본명단!$H3565)))</f>
        <v/>
      </c>
      <c r="F3566" s="11" t="str">
        <f aca="false">IF($A3566="","",IF(원본명단!$I3565="",0,COUNTIF(원본명단!$I$3:$I$6002,원본명단!$I3565)))</f>
        <v/>
      </c>
      <c r="G3566" s="11" t="str">
        <f aca="false">IF($A3566="","",IF(원본명단!$K3565="",0,COUNTIF(원본명단!$K$3:$K$6002,원본명단!$K3565)))</f>
        <v/>
      </c>
      <c r="H3566" s="11" t="str">
        <f aca="false">IF($A3566="","",IF(MAX($E3566,$F3566,$G3566)&gt;1,"중복","-"))</f>
        <v/>
      </c>
      <c r="I3566" s="11" t="str">
        <f aca="false">IF($A3566="","",IF($H3566="-","-",IF(AND(IF(원본명단!$H3565="",TRUE(),COUNTIF(원본명단!$H$3:$H3565,원본명단!$H3565)=1),IF(원본명단!$I3565="",TRUE(),COUNTIF(원본명단!$I$3:$I3565,원본명단!$I3565)=1),IF(원본명단!$K3565="",TRUE(),COUNTIF(원본명단!$K$3:$K3565,원본명단!$K3565)=1)),"첫 건","중복 건")))</f>
        <v/>
      </c>
      <c r="J3566" s="11" t="str">
        <f aca="false">IF($A3566="","",IF($H3566="-","유지",IF($I3566="첫 건","유지","확인 필요")))</f>
        <v/>
      </c>
    </row>
    <row r="3567" customFormat="false" ht="15" hidden="false" customHeight="true" outlineLevel="0" collapsed="false">
      <c r="A3567" s="11" t="str">
        <f aca="false">IF(원본명단!$A3566="","",3564)</f>
        <v/>
      </c>
      <c r="B3567" s="12" t="str">
        <f aca="false">IF($A3567="","",원본명단!$A3566)</f>
        <v/>
      </c>
      <c r="C3567" s="12" t="str">
        <f aca="false">IF($A3567="","",원본명단!$B3566)</f>
        <v/>
      </c>
      <c r="D3567" s="12" t="str">
        <f aca="false">IF($A3567="","",원본명단!$D3566)</f>
        <v/>
      </c>
      <c r="E3567" s="11" t="str">
        <f aca="false">IF($A3567="","",IF(원본명단!$H3566="",0,COUNTIF(원본명단!$H$3:$H$6002,원본명단!$H3566)))</f>
        <v/>
      </c>
      <c r="F3567" s="11" t="str">
        <f aca="false">IF($A3567="","",IF(원본명단!$I3566="",0,COUNTIF(원본명단!$I$3:$I$6002,원본명단!$I3566)))</f>
        <v/>
      </c>
      <c r="G3567" s="11" t="str">
        <f aca="false">IF($A3567="","",IF(원본명단!$K3566="",0,COUNTIF(원본명단!$K$3:$K$6002,원본명단!$K3566)))</f>
        <v/>
      </c>
      <c r="H3567" s="11" t="str">
        <f aca="false">IF($A3567="","",IF(MAX($E3567,$F3567,$G3567)&gt;1,"중복","-"))</f>
        <v/>
      </c>
      <c r="I3567" s="11" t="str">
        <f aca="false">IF($A3567="","",IF($H3567="-","-",IF(AND(IF(원본명단!$H3566="",TRUE(),COUNTIF(원본명단!$H$3:$H3566,원본명단!$H3566)=1),IF(원본명단!$I3566="",TRUE(),COUNTIF(원본명단!$I$3:$I3566,원본명단!$I3566)=1),IF(원본명단!$K3566="",TRUE(),COUNTIF(원본명단!$K$3:$K3566,원본명단!$K3566)=1)),"첫 건","중복 건")))</f>
        <v/>
      </c>
      <c r="J3567" s="11" t="str">
        <f aca="false">IF($A3567="","",IF($H3567="-","유지",IF($I3567="첫 건","유지","확인 필요")))</f>
        <v/>
      </c>
    </row>
    <row r="3568" customFormat="false" ht="15" hidden="false" customHeight="true" outlineLevel="0" collapsed="false">
      <c r="A3568" s="11" t="str">
        <f aca="false">IF(원본명단!$A3567="","",3565)</f>
        <v/>
      </c>
      <c r="B3568" s="12" t="str">
        <f aca="false">IF($A3568="","",원본명단!$A3567)</f>
        <v/>
      </c>
      <c r="C3568" s="12" t="str">
        <f aca="false">IF($A3568="","",원본명단!$B3567)</f>
        <v/>
      </c>
      <c r="D3568" s="12" t="str">
        <f aca="false">IF($A3568="","",원본명단!$D3567)</f>
        <v/>
      </c>
      <c r="E3568" s="11" t="str">
        <f aca="false">IF($A3568="","",IF(원본명단!$H3567="",0,COUNTIF(원본명단!$H$3:$H$6002,원본명단!$H3567)))</f>
        <v/>
      </c>
      <c r="F3568" s="11" t="str">
        <f aca="false">IF($A3568="","",IF(원본명단!$I3567="",0,COUNTIF(원본명단!$I$3:$I$6002,원본명단!$I3567)))</f>
        <v/>
      </c>
      <c r="G3568" s="11" t="str">
        <f aca="false">IF($A3568="","",IF(원본명단!$K3567="",0,COUNTIF(원본명단!$K$3:$K$6002,원본명단!$K3567)))</f>
        <v/>
      </c>
      <c r="H3568" s="11" t="str">
        <f aca="false">IF($A3568="","",IF(MAX($E3568,$F3568,$G3568)&gt;1,"중복","-"))</f>
        <v/>
      </c>
      <c r="I3568" s="11" t="str">
        <f aca="false">IF($A3568="","",IF($H3568="-","-",IF(AND(IF(원본명단!$H3567="",TRUE(),COUNTIF(원본명단!$H$3:$H3567,원본명단!$H3567)=1),IF(원본명단!$I3567="",TRUE(),COUNTIF(원본명단!$I$3:$I3567,원본명단!$I3567)=1),IF(원본명단!$K3567="",TRUE(),COUNTIF(원본명단!$K$3:$K3567,원본명단!$K3567)=1)),"첫 건","중복 건")))</f>
        <v/>
      </c>
      <c r="J3568" s="11" t="str">
        <f aca="false">IF($A3568="","",IF($H3568="-","유지",IF($I3568="첫 건","유지","확인 필요")))</f>
        <v/>
      </c>
    </row>
    <row r="3569" customFormat="false" ht="15" hidden="false" customHeight="true" outlineLevel="0" collapsed="false">
      <c r="A3569" s="11" t="str">
        <f aca="false">IF(원본명단!$A3568="","",3566)</f>
        <v/>
      </c>
      <c r="B3569" s="12" t="str">
        <f aca="false">IF($A3569="","",원본명단!$A3568)</f>
        <v/>
      </c>
      <c r="C3569" s="12" t="str">
        <f aca="false">IF($A3569="","",원본명단!$B3568)</f>
        <v/>
      </c>
      <c r="D3569" s="12" t="str">
        <f aca="false">IF($A3569="","",원본명단!$D3568)</f>
        <v/>
      </c>
      <c r="E3569" s="11" t="str">
        <f aca="false">IF($A3569="","",IF(원본명단!$H3568="",0,COUNTIF(원본명단!$H$3:$H$6002,원본명단!$H3568)))</f>
        <v/>
      </c>
      <c r="F3569" s="11" t="str">
        <f aca="false">IF($A3569="","",IF(원본명단!$I3568="",0,COUNTIF(원본명단!$I$3:$I$6002,원본명단!$I3568)))</f>
        <v/>
      </c>
      <c r="G3569" s="11" t="str">
        <f aca="false">IF($A3569="","",IF(원본명단!$K3568="",0,COUNTIF(원본명단!$K$3:$K$6002,원본명단!$K3568)))</f>
        <v/>
      </c>
      <c r="H3569" s="11" t="str">
        <f aca="false">IF($A3569="","",IF(MAX($E3569,$F3569,$G3569)&gt;1,"중복","-"))</f>
        <v/>
      </c>
      <c r="I3569" s="11" t="str">
        <f aca="false">IF($A3569="","",IF($H3569="-","-",IF(AND(IF(원본명단!$H3568="",TRUE(),COUNTIF(원본명단!$H$3:$H3568,원본명단!$H3568)=1),IF(원본명단!$I3568="",TRUE(),COUNTIF(원본명단!$I$3:$I3568,원본명단!$I3568)=1),IF(원본명단!$K3568="",TRUE(),COUNTIF(원본명단!$K$3:$K3568,원본명단!$K3568)=1)),"첫 건","중복 건")))</f>
        <v/>
      </c>
      <c r="J3569" s="11" t="str">
        <f aca="false">IF($A3569="","",IF($H3569="-","유지",IF($I3569="첫 건","유지","확인 필요")))</f>
        <v/>
      </c>
    </row>
    <row r="3570" customFormat="false" ht="15" hidden="false" customHeight="true" outlineLevel="0" collapsed="false">
      <c r="A3570" s="11" t="str">
        <f aca="false">IF(원본명단!$A3569="","",3567)</f>
        <v/>
      </c>
      <c r="B3570" s="12" t="str">
        <f aca="false">IF($A3570="","",원본명단!$A3569)</f>
        <v/>
      </c>
      <c r="C3570" s="12" t="str">
        <f aca="false">IF($A3570="","",원본명단!$B3569)</f>
        <v/>
      </c>
      <c r="D3570" s="12" t="str">
        <f aca="false">IF($A3570="","",원본명단!$D3569)</f>
        <v/>
      </c>
      <c r="E3570" s="11" t="str">
        <f aca="false">IF($A3570="","",IF(원본명단!$H3569="",0,COUNTIF(원본명단!$H$3:$H$6002,원본명단!$H3569)))</f>
        <v/>
      </c>
      <c r="F3570" s="11" t="str">
        <f aca="false">IF($A3570="","",IF(원본명단!$I3569="",0,COUNTIF(원본명단!$I$3:$I$6002,원본명단!$I3569)))</f>
        <v/>
      </c>
      <c r="G3570" s="11" t="str">
        <f aca="false">IF($A3570="","",IF(원본명단!$K3569="",0,COUNTIF(원본명단!$K$3:$K$6002,원본명단!$K3569)))</f>
        <v/>
      </c>
      <c r="H3570" s="11" t="str">
        <f aca="false">IF($A3570="","",IF(MAX($E3570,$F3570,$G3570)&gt;1,"중복","-"))</f>
        <v/>
      </c>
      <c r="I3570" s="11" t="str">
        <f aca="false">IF($A3570="","",IF($H3570="-","-",IF(AND(IF(원본명단!$H3569="",TRUE(),COUNTIF(원본명단!$H$3:$H3569,원본명단!$H3569)=1),IF(원본명단!$I3569="",TRUE(),COUNTIF(원본명단!$I$3:$I3569,원본명단!$I3569)=1),IF(원본명단!$K3569="",TRUE(),COUNTIF(원본명단!$K$3:$K3569,원본명단!$K3569)=1)),"첫 건","중복 건")))</f>
        <v/>
      </c>
      <c r="J3570" s="11" t="str">
        <f aca="false">IF($A3570="","",IF($H3570="-","유지",IF($I3570="첫 건","유지","확인 필요")))</f>
        <v/>
      </c>
    </row>
    <row r="3571" customFormat="false" ht="15" hidden="false" customHeight="true" outlineLevel="0" collapsed="false">
      <c r="A3571" s="11" t="str">
        <f aca="false">IF(원본명단!$A3570="","",3568)</f>
        <v/>
      </c>
      <c r="B3571" s="12" t="str">
        <f aca="false">IF($A3571="","",원본명단!$A3570)</f>
        <v/>
      </c>
      <c r="C3571" s="12" t="str">
        <f aca="false">IF($A3571="","",원본명단!$B3570)</f>
        <v/>
      </c>
      <c r="D3571" s="12" t="str">
        <f aca="false">IF($A3571="","",원본명단!$D3570)</f>
        <v/>
      </c>
      <c r="E3571" s="11" t="str">
        <f aca="false">IF($A3571="","",IF(원본명단!$H3570="",0,COUNTIF(원본명단!$H$3:$H$6002,원본명단!$H3570)))</f>
        <v/>
      </c>
      <c r="F3571" s="11" t="str">
        <f aca="false">IF($A3571="","",IF(원본명단!$I3570="",0,COUNTIF(원본명단!$I$3:$I$6002,원본명단!$I3570)))</f>
        <v/>
      </c>
      <c r="G3571" s="11" t="str">
        <f aca="false">IF($A3571="","",IF(원본명단!$K3570="",0,COUNTIF(원본명단!$K$3:$K$6002,원본명단!$K3570)))</f>
        <v/>
      </c>
      <c r="H3571" s="11" t="str">
        <f aca="false">IF($A3571="","",IF(MAX($E3571,$F3571,$G3571)&gt;1,"중복","-"))</f>
        <v/>
      </c>
      <c r="I3571" s="11" t="str">
        <f aca="false">IF($A3571="","",IF($H3571="-","-",IF(AND(IF(원본명단!$H3570="",TRUE(),COUNTIF(원본명단!$H$3:$H3570,원본명단!$H3570)=1),IF(원본명단!$I3570="",TRUE(),COUNTIF(원본명단!$I$3:$I3570,원본명단!$I3570)=1),IF(원본명단!$K3570="",TRUE(),COUNTIF(원본명단!$K$3:$K3570,원본명단!$K3570)=1)),"첫 건","중복 건")))</f>
        <v/>
      </c>
      <c r="J3571" s="11" t="str">
        <f aca="false">IF($A3571="","",IF($H3571="-","유지",IF($I3571="첫 건","유지","확인 필요")))</f>
        <v/>
      </c>
    </row>
    <row r="3572" customFormat="false" ht="15" hidden="false" customHeight="true" outlineLevel="0" collapsed="false">
      <c r="A3572" s="11" t="str">
        <f aca="false">IF(원본명단!$A3571="","",3569)</f>
        <v/>
      </c>
      <c r="B3572" s="12" t="str">
        <f aca="false">IF($A3572="","",원본명단!$A3571)</f>
        <v/>
      </c>
      <c r="C3572" s="12" t="str">
        <f aca="false">IF($A3572="","",원본명단!$B3571)</f>
        <v/>
      </c>
      <c r="D3572" s="12" t="str">
        <f aca="false">IF($A3572="","",원본명단!$D3571)</f>
        <v/>
      </c>
      <c r="E3572" s="11" t="str">
        <f aca="false">IF($A3572="","",IF(원본명단!$H3571="",0,COUNTIF(원본명단!$H$3:$H$6002,원본명단!$H3571)))</f>
        <v/>
      </c>
      <c r="F3572" s="11" t="str">
        <f aca="false">IF($A3572="","",IF(원본명단!$I3571="",0,COUNTIF(원본명단!$I$3:$I$6002,원본명단!$I3571)))</f>
        <v/>
      </c>
      <c r="G3572" s="11" t="str">
        <f aca="false">IF($A3572="","",IF(원본명단!$K3571="",0,COUNTIF(원본명단!$K$3:$K$6002,원본명단!$K3571)))</f>
        <v/>
      </c>
      <c r="H3572" s="11" t="str">
        <f aca="false">IF($A3572="","",IF(MAX($E3572,$F3572,$G3572)&gt;1,"중복","-"))</f>
        <v/>
      </c>
      <c r="I3572" s="11" t="str">
        <f aca="false">IF($A3572="","",IF($H3572="-","-",IF(AND(IF(원본명단!$H3571="",TRUE(),COUNTIF(원본명단!$H$3:$H3571,원본명단!$H3571)=1),IF(원본명단!$I3571="",TRUE(),COUNTIF(원본명단!$I$3:$I3571,원본명단!$I3571)=1),IF(원본명단!$K3571="",TRUE(),COUNTIF(원본명단!$K$3:$K3571,원본명단!$K3571)=1)),"첫 건","중복 건")))</f>
        <v/>
      </c>
      <c r="J3572" s="11" t="str">
        <f aca="false">IF($A3572="","",IF($H3572="-","유지",IF($I3572="첫 건","유지","확인 필요")))</f>
        <v/>
      </c>
    </row>
    <row r="3573" customFormat="false" ht="15" hidden="false" customHeight="true" outlineLevel="0" collapsed="false">
      <c r="A3573" s="11" t="str">
        <f aca="false">IF(원본명단!$A3572="","",3570)</f>
        <v/>
      </c>
      <c r="B3573" s="12" t="str">
        <f aca="false">IF($A3573="","",원본명단!$A3572)</f>
        <v/>
      </c>
      <c r="C3573" s="12" t="str">
        <f aca="false">IF($A3573="","",원본명단!$B3572)</f>
        <v/>
      </c>
      <c r="D3573" s="12" t="str">
        <f aca="false">IF($A3573="","",원본명단!$D3572)</f>
        <v/>
      </c>
      <c r="E3573" s="11" t="str">
        <f aca="false">IF($A3573="","",IF(원본명단!$H3572="",0,COUNTIF(원본명단!$H$3:$H$6002,원본명단!$H3572)))</f>
        <v/>
      </c>
      <c r="F3573" s="11" t="str">
        <f aca="false">IF($A3573="","",IF(원본명단!$I3572="",0,COUNTIF(원본명단!$I$3:$I$6002,원본명단!$I3572)))</f>
        <v/>
      </c>
      <c r="G3573" s="11" t="str">
        <f aca="false">IF($A3573="","",IF(원본명단!$K3572="",0,COUNTIF(원본명단!$K$3:$K$6002,원본명단!$K3572)))</f>
        <v/>
      </c>
      <c r="H3573" s="11" t="str">
        <f aca="false">IF($A3573="","",IF(MAX($E3573,$F3573,$G3573)&gt;1,"중복","-"))</f>
        <v/>
      </c>
      <c r="I3573" s="11" t="str">
        <f aca="false">IF($A3573="","",IF($H3573="-","-",IF(AND(IF(원본명단!$H3572="",TRUE(),COUNTIF(원본명단!$H$3:$H3572,원본명단!$H3572)=1),IF(원본명단!$I3572="",TRUE(),COUNTIF(원본명단!$I$3:$I3572,원본명단!$I3572)=1),IF(원본명단!$K3572="",TRUE(),COUNTIF(원본명단!$K$3:$K3572,원본명단!$K3572)=1)),"첫 건","중복 건")))</f>
        <v/>
      </c>
      <c r="J3573" s="11" t="str">
        <f aca="false">IF($A3573="","",IF($H3573="-","유지",IF($I3573="첫 건","유지","확인 필요")))</f>
        <v/>
      </c>
    </row>
    <row r="3574" customFormat="false" ht="15" hidden="false" customHeight="true" outlineLevel="0" collapsed="false">
      <c r="A3574" s="11" t="str">
        <f aca="false">IF(원본명단!$A3573="","",3571)</f>
        <v/>
      </c>
      <c r="B3574" s="12" t="str">
        <f aca="false">IF($A3574="","",원본명단!$A3573)</f>
        <v/>
      </c>
      <c r="C3574" s="12" t="str">
        <f aca="false">IF($A3574="","",원본명단!$B3573)</f>
        <v/>
      </c>
      <c r="D3574" s="12" t="str">
        <f aca="false">IF($A3574="","",원본명단!$D3573)</f>
        <v/>
      </c>
      <c r="E3574" s="11" t="str">
        <f aca="false">IF($A3574="","",IF(원본명단!$H3573="",0,COUNTIF(원본명단!$H$3:$H$6002,원본명단!$H3573)))</f>
        <v/>
      </c>
      <c r="F3574" s="11" t="str">
        <f aca="false">IF($A3574="","",IF(원본명단!$I3573="",0,COUNTIF(원본명단!$I$3:$I$6002,원본명단!$I3573)))</f>
        <v/>
      </c>
      <c r="G3574" s="11" t="str">
        <f aca="false">IF($A3574="","",IF(원본명단!$K3573="",0,COUNTIF(원본명단!$K$3:$K$6002,원본명단!$K3573)))</f>
        <v/>
      </c>
      <c r="H3574" s="11" t="str">
        <f aca="false">IF($A3574="","",IF(MAX($E3574,$F3574,$G3574)&gt;1,"중복","-"))</f>
        <v/>
      </c>
      <c r="I3574" s="11" t="str">
        <f aca="false">IF($A3574="","",IF($H3574="-","-",IF(AND(IF(원본명단!$H3573="",TRUE(),COUNTIF(원본명단!$H$3:$H3573,원본명단!$H3573)=1),IF(원본명단!$I3573="",TRUE(),COUNTIF(원본명단!$I$3:$I3573,원본명단!$I3573)=1),IF(원본명단!$K3573="",TRUE(),COUNTIF(원본명단!$K$3:$K3573,원본명단!$K3573)=1)),"첫 건","중복 건")))</f>
        <v/>
      </c>
      <c r="J3574" s="11" t="str">
        <f aca="false">IF($A3574="","",IF($H3574="-","유지",IF($I3574="첫 건","유지","확인 필요")))</f>
        <v/>
      </c>
    </row>
    <row r="3575" customFormat="false" ht="15" hidden="false" customHeight="true" outlineLevel="0" collapsed="false">
      <c r="A3575" s="11" t="str">
        <f aca="false">IF(원본명단!$A3574="","",3572)</f>
        <v/>
      </c>
      <c r="B3575" s="12" t="str">
        <f aca="false">IF($A3575="","",원본명단!$A3574)</f>
        <v/>
      </c>
      <c r="C3575" s="12" t="str">
        <f aca="false">IF($A3575="","",원본명단!$B3574)</f>
        <v/>
      </c>
      <c r="D3575" s="12" t="str">
        <f aca="false">IF($A3575="","",원본명단!$D3574)</f>
        <v/>
      </c>
      <c r="E3575" s="11" t="str">
        <f aca="false">IF($A3575="","",IF(원본명단!$H3574="",0,COUNTIF(원본명단!$H$3:$H$6002,원본명단!$H3574)))</f>
        <v/>
      </c>
      <c r="F3575" s="11" t="str">
        <f aca="false">IF($A3575="","",IF(원본명단!$I3574="",0,COUNTIF(원본명단!$I$3:$I$6002,원본명단!$I3574)))</f>
        <v/>
      </c>
      <c r="G3575" s="11" t="str">
        <f aca="false">IF($A3575="","",IF(원본명단!$K3574="",0,COUNTIF(원본명단!$K$3:$K$6002,원본명단!$K3574)))</f>
        <v/>
      </c>
      <c r="H3575" s="11" t="str">
        <f aca="false">IF($A3575="","",IF(MAX($E3575,$F3575,$G3575)&gt;1,"중복","-"))</f>
        <v/>
      </c>
      <c r="I3575" s="11" t="str">
        <f aca="false">IF($A3575="","",IF($H3575="-","-",IF(AND(IF(원본명단!$H3574="",TRUE(),COUNTIF(원본명단!$H$3:$H3574,원본명단!$H3574)=1),IF(원본명단!$I3574="",TRUE(),COUNTIF(원본명단!$I$3:$I3574,원본명단!$I3574)=1),IF(원본명단!$K3574="",TRUE(),COUNTIF(원본명단!$K$3:$K3574,원본명단!$K3574)=1)),"첫 건","중복 건")))</f>
        <v/>
      </c>
      <c r="J3575" s="11" t="str">
        <f aca="false">IF($A3575="","",IF($H3575="-","유지",IF($I3575="첫 건","유지","확인 필요")))</f>
        <v/>
      </c>
    </row>
    <row r="3576" customFormat="false" ht="15" hidden="false" customHeight="true" outlineLevel="0" collapsed="false">
      <c r="A3576" s="11" t="str">
        <f aca="false">IF(원본명단!$A3575="","",3573)</f>
        <v/>
      </c>
      <c r="B3576" s="12" t="str">
        <f aca="false">IF($A3576="","",원본명단!$A3575)</f>
        <v/>
      </c>
      <c r="C3576" s="12" t="str">
        <f aca="false">IF($A3576="","",원본명단!$B3575)</f>
        <v/>
      </c>
      <c r="D3576" s="12" t="str">
        <f aca="false">IF($A3576="","",원본명단!$D3575)</f>
        <v/>
      </c>
      <c r="E3576" s="11" t="str">
        <f aca="false">IF($A3576="","",IF(원본명단!$H3575="",0,COUNTIF(원본명단!$H$3:$H$6002,원본명단!$H3575)))</f>
        <v/>
      </c>
      <c r="F3576" s="11" t="str">
        <f aca="false">IF($A3576="","",IF(원본명단!$I3575="",0,COUNTIF(원본명단!$I$3:$I$6002,원본명단!$I3575)))</f>
        <v/>
      </c>
      <c r="G3576" s="11" t="str">
        <f aca="false">IF($A3576="","",IF(원본명단!$K3575="",0,COUNTIF(원본명단!$K$3:$K$6002,원본명단!$K3575)))</f>
        <v/>
      </c>
      <c r="H3576" s="11" t="str">
        <f aca="false">IF($A3576="","",IF(MAX($E3576,$F3576,$G3576)&gt;1,"중복","-"))</f>
        <v/>
      </c>
      <c r="I3576" s="11" t="str">
        <f aca="false">IF($A3576="","",IF($H3576="-","-",IF(AND(IF(원본명단!$H3575="",TRUE(),COUNTIF(원본명단!$H$3:$H3575,원본명단!$H3575)=1),IF(원본명단!$I3575="",TRUE(),COUNTIF(원본명단!$I$3:$I3575,원본명단!$I3575)=1),IF(원본명단!$K3575="",TRUE(),COUNTIF(원본명단!$K$3:$K3575,원본명단!$K3575)=1)),"첫 건","중복 건")))</f>
        <v/>
      </c>
      <c r="J3576" s="11" t="str">
        <f aca="false">IF($A3576="","",IF($H3576="-","유지",IF($I3576="첫 건","유지","확인 필요")))</f>
        <v/>
      </c>
    </row>
    <row r="3577" customFormat="false" ht="15" hidden="false" customHeight="true" outlineLevel="0" collapsed="false">
      <c r="A3577" s="11" t="str">
        <f aca="false">IF(원본명단!$A3576="","",3574)</f>
        <v/>
      </c>
      <c r="B3577" s="12" t="str">
        <f aca="false">IF($A3577="","",원본명단!$A3576)</f>
        <v/>
      </c>
      <c r="C3577" s="12" t="str">
        <f aca="false">IF($A3577="","",원본명단!$B3576)</f>
        <v/>
      </c>
      <c r="D3577" s="12" t="str">
        <f aca="false">IF($A3577="","",원본명단!$D3576)</f>
        <v/>
      </c>
      <c r="E3577" s="11" t="str">
        <f aca="false">IF($A3577="","",IF(원본명단!$H3576="",0,COUNTIF(원본명단!$H$3:$H$6002,원본명단!$H3576)))</f>
        <v/>
      </c>
      <c r="F3577" s="11" t="str">
        <f aca="false">IF($A3577="","",IF(원본명단!$I3576="",0,COUNTIF(원본명단!$I$3:$I$6002,원본명단!$I3576)))</f>
        <v/>
      </c>
      <c r="G3577" s="11" t="str">
        <f aca="false">IF($A3577="","",IF(원본명단!$K3576="",0,COUNTIF(원본명단!$K$3:$K$6002,원본명단!$K3576)))</f>
        <v/>
      </c>
      <c r="H3577" s="11" t="str">
        <f aca="false">IF($A3577="","",IF(MAX($E3577,$F3577,$G3577)&gt;1,"중복","-"))</f>
        <v/>
      </c>
      <c r="I3577" s="11" t="str">
        <f aca="false">IF($A3577="","",IF($H3577="-","-",IF(AND(IF(원본명단!$H3576="",TRUE(),COUNTIF(원본명단!$H$3:$H3576,원본명단!$H3576)=1),IF(원본명단!$I3576="",TRUE(),COUNTIF(원본명단!$I$3:$I3576,원본명단!$I3576)=1),IF(원본명단!$K3576="",TRUE(),COUNTIF(원본명단!$K$3:$K3576,원본명단!$K3576)=1)),"첫 건","중복 건")))</f>
        <v/>
      </c>
      <c r="J3577" s="11" t="str">
        <f aca="false">IF($A3577="","",IF($H3577="-","유지",IF($I3577="첫 건","유지","확인 필요")))</f>
        <v/>
      </c>
    </row>
    <row r="3578" customFormat="false" ht="15" hidden="false" customHeight="true" outlineLevel="0" collapsed="false">
      <c r="A3578" s="11" t="str">
        <f aca="false">IF(원본명단!$A3577="","",3575)</f>
        <v/>
      </c>
      <c r="B3578" s="12" t="str">
        <f aca="false">IF($A3578="","",원본명단!$A3577)</f>
        <v/>
      </c>
      <c r="C3578" s="12" t="str">
        <f aca="false">IF($A3578="","",원본명단!$B3577)</f>
        <v/>
      </c>
      <c r="D3578" s="12" t="str">
        <f aca="false">IF($A3578="","",원본명단!$D3577)</f>
        <v/>
      </c>
      <c r="E3578" s="11" t="str">
        <f aca="false">IF($A3578="","",IF(원본명단!$H3577="",0,COUNTIF(원본명단!$H$3:$H$6002,원본명단!$H3577)))</f>
        <v/>
      </c>
      <c r="F3578" s="11" t="str">
        <f aca="false">IF($A3578="","",IF(원본명단!$I3577="",0,COUNTIF(원본명단!$I$3:$I$6002,원본명단!$I3577)))</f>
        <v/>
      </c>
      <c r="G3578" s="11" t="str">
        <f aca="false">IF($A3578="","",IF(원본명단!$K3577="",0,COUNTIF(원본명단!$K$3:$K$6002,원본명단!$K3577)))</f>
        <v/>
      </c>
      <c r="H3578" s="11" t="str">
        <f aca="false">IF($A3578="","",IF(MAX($E3578,$F3578,$G3578)&gt;1,"중복","-"))</f>
        <v/>
      </c>
      <c r="I3578" s="11" t="str">
        <f aca="false">IF($A3578="","",IF($H3578="-","-",IF(AND(IF(원본명단!$H3577="",TRUE(),COUNTIF(원본명단!$H$3:$H3577,원본명단!$H3577)=1),IF(원본명단!$I3577="",TRUE(),COUNTIF(원본명단!$I$3:$I3577,원본명단!$I3577)=1),IF(원본명단!$K3577="",TRUE(),COUNTIF(원본명단!$K$3:$K3577,원본명단!$K3577)=1)),"첫 건","중복 건")))</f>
        <v/>
      </c>
      <c r="J3578" s="11" t="str">
        <f aca="false">IF($A3578="","",IF($H3578="-","유지",IF($I3578="첫 건","유지","확인 필요")))</f>
        <v/>
      </c>
    </row>
    <row r="3579" customFormat="false" ht="15" hidden="false" customHeight="true" outlineLevel="0" collapsed="false">
      <c r="A3579" s="11" t="str">
        <f aca="false">IF(원본명단!$A3578="","",3576)</f>
        <v/>
      </c>
      <c r="B3579" s="12" t="str">
        <f aca="false">IF($A3579="","",원본명단!$A3578)</f>
        <v/>
      </c>
      <c r="C3579" s="12" t="str">
        <f aca="false">IF($A3579="","",원본명단!$B3578)</f>
        <v/>
      </c>
      <c r="D3579" s="12" t="str">
        <f aca="false">IF($A3579="","",원본명단!$D3578)</f>
        <v/>
      </c>
      <c r="E3579" s="11" t="str">
        <f aca="false">IF($A3579="","",IF(원본명단!$H3578="",0,COUNTIF(원본명단!$H$3:$H$6002,원본명단!$H3578)))</f>
        <v/>
      </c>
      <c r="F3579" s="11" t="str">
        <f aca="false">IF($A3579="","",IF(원본명단!$I3578="",0,COUNTIF(원본명단!$I$3:$I$6002,원본명단!$I3578)))</f>
        <v/>
      </c>
      <c r="G3579" s="11" t="str">
        <f aca="false">IF($A3579="","",IF(원본명단!$K3578="",0,COUNTIF(원본명단!$K$3:$K$6002,원본명단!$K3578)))</f>
        <v/>
      </c>
      <c r="H3579" s="11" t="str">
        <f aca="false">IF($A3579="","",IF(MAX($E3579,$F3579,$G3579)&gt;1,"중복","-"))</f>
        <v/>
      </c>
      <c r="I3579" s="11" t="str">
        <f aca="false">IF($A3579="","",IF($H3579="-","-",IF(AND(IF(원본명단!$H3578="",TRUE(),COUNTIF(원본명단!$H$3:$H3578,원본명단!$H3578)=1),IF(원본명단!$I3578="",TRUE(),COUNTIF(원본명단!$I$3:$I3578,원본명단!$I3578)=1),IF(원본명단!$K3578="",TRUE(),COUNTIF(원본명단!$K$3:$K3578,원본명단!$K3578)=1)),"첫 건","중복 건")))</f>
        <v/>
      </c>
      <c r="J3579" s="11" t="str">
        <f aca="false">IF($A3579="","",IF($H3579="-","유지",IF($I3579="첫 건","유지","확인 필요")))</f>
        <v/>
      </c>
    </row>
    <row r="3580" customFormat="false" ht="15" hidden="false" customHeight="true" outlineLevel="0" collapsed="false">
      <c r="A3580" s="11" t="str">
        <f aca="false">IF(원본명단!$A3579="","",3577)</f>
        <v/>
      </c>
      <c r="B3580" s="12" t="str">
        <f aca="false">IF($A3580="","",원본명단!$A3579)</f>
        <v/>
      </c>
      <c r="C3580" s="12" t="str">
        <f aca="false">IF($A3580="","",원본명단!$B3579)</f>
        <v/>
      </c>
      <c r="D3580" s="12" t="str">
        <f aca="false">IF($A3580="","",원본명단!$D3579)</f>
        <v/>
      </c>
      <c r="E3580" s="11" t="str">
        <f aca="false">IF($A3580="","",IF(원본명단!$H3579="",0,COUNTIF(원본명단!$H$3:$H$6002,원본명단!$H3579)))</f>
        <v/>
      </c>
      <c r="F3580" s="11" t="str">
        <f aca="false">IF($A3580="","",IF(원본명단!$I3579="",0,COUNTIF(원본명단!$I$3:$I$6002,원본명단!$I3579)))</f>
        <v/>
      </c>
      <c r="G3580" s="11" t="str">
        <f aca="false">IF($A3580="","",IF(원본명단!$K3579="",0,COUNTIF(원본명단!$K$3:$K$6002,원본명단!$K3579)))</f>
        <v/>
      </c>
      <c r="H3580" s="11" t="str">
        <f aca="false">IF($A3580="","",IF(MAX($E3580,$F3580,$G3580)&gt;1,"중복","-"))</f>
        <v/>
      </c>
      <c r="I3580" s="11" t="str">
        <f aca="false">IF($A3580="","",IF($H3580="-","-",IF(AND(IF(원본명단!$H3579="",TRUE(),COUNTIF(원본명단!$H$3:$H3579,원본명단!$H3579)=1),IF(원본명단!$I3579="",TRUE(),COUNTIF(원본명단!$I$3:$I3579,원본명단!$I3579)=1),IF(원본명단!$K3579="",TRUE(),COUNTIF(원본명단!$K$3:$K3579,원본명단!$K3579)=1)),"첫 건","중복 건")))</f>
        <v/>
      </c>
      <c r="J3580" s="11" t="str">
        <f aca="false">IF($A3580="","",IF($H3580="-","유지",IF($I3580="첫 건","유지","확인 필요")))</f>
        <v/>
      </c>
    </row>
    <row r="3581" customFormat="false" ht="15" hidden="false" customHeight="true" outlineLevel="0" collapsed="false">
      <c r="A3581" s="11" t="str">
        <f aca="false">IF(원본명단!$A3580="","",3578)</f>
        <v/>
      </c>
      <c r="B3581" s="12" t="str">
        <f aca="false">IF($A3581="","",원본명단!$A3580)</f>
        <v/>
      </c>
      <c r="C3581" s="12" t="str">
        <f aca="false">IF($A3581="","",원본명단!$B3580)</f>
        <v/>
      </c>
      <c r="D3581" s="12" t="str">
        <f aca="false">IF($A3581="","",원본명단!$D3580)</f>
        <v/>
      </c>
      <c r="E3581" s="11" t="str">
        <f aca="false">IF($A3581="","",IF(원본명단!$H3580="",0,COUNTIF(원본명단!$H$3:$H$6002,원본명단!$H3580)))</f>
        <v/>
      </c>
      <c r="F3581" s="11" t="str">
        <f aca="false">IF($A3581="","",IF(원본명단!$I3580="",0,COUNTIF(원본명단!$I$3:$I$6002,원본명단!$I3580)))</f>
        <v/>
      </c>
      <c r="G3581" s="11" t="str">
        <f aca="false">IF($A3581="","",IF(원본명단!$K3580="",0,COUNTIF(원본명단!$K$3:$K$6002,원본명단!$K3580)))</f>
        <v/>
      </c>
      <c r="H3581" s="11" t="str">
        <f aca="false">IF($A3581="","",IF(MAX($E3581,$F3581,$G3581)&gt;1,"중복","-"))</f>
        <v/>
      </c>
      <c r="I3581" s="11" t="str">
        <f aca="false">IF($A3581="","",IF($H3581="-","-",IF(AND(IF(원본명단!$H3580="",TRUE(),COUNTIF(원본명단!$H$3:$H3580,원본명단!$H3580)=1),IF(원본명단!$I3580="",TRUE(),COUNTIF(원본명단!$I$3:$I3580,원본명단!$I3580)=1),IF(원본명단!$K3580="",TRUE(),COUNTIF(원본명단!$K$3:$K3580,원본명단!$K3580)=1)),"첫 건","중복 건")))</f>
        <v/>
      </c>
      <c r="J3581" s="11" t="str">
        <f aca="false">IF($A3581="","",IF($H3581="-","유지",IF($I3581="첫 건","유지","확인 필요")))</f>
        <v/>
      </c>
    </row>
    <row r="3582" customFormat="false" ht="15" hidden="false" customHeight="true" outlineLevel="0" collapsed="false">
      <c r="A3582" s="11" t="str">
        <f aca="false">IF(원본명단!$A3581="","",3579)</f>
        <v/>
      </c>
      <c r="B3582" s="12" t="str">
        <f aca="false">IF($A3582="","",원본명단!$A3581)</f>
        <v/>
      </c>
      <c r="C3582" s="12" t="str">
        <f aca="false">IF($A3582="","",원본명단!$B3581)</f>
        <v/>
      </c>
      <c r="D3582" s="12" t="str">
        <f aca="false">IF($A3582="","",원본명단!$D3581)</f>
        <v/>
      </c>
      <c r="E3582" s="11" t="str">
        <f aca="false">IF($A3582="","",IF(원본명단!$H3581="",0,COUNTIF(원본명단!$H$3:$H$6002,원본명단!$H3581)))</f>
        <v/>
      </c>
      <c r="F3582" s="11" t="str">
        <f aca="false">IF($A3582="","",IF(원본명단!$I3581="",0,COUNTIF(원본명단!$I$3:$I$6002,원본명단!$I3581)))</f>
        <v/>
      </c>
      <c r="G3582" s="11" t="str">
        <f aca="false">IF($A3582="","",IF(원본명단!$K3581="",0,COUNTIF(원본명단!$K$3:$K$6002,원본명단!$K3581)))</f>
        <v/>
      </c>
      <c r="H3582" s="11" t="str">
        <f aca="false">IF($A3582="","",IF(MAX($E3582,$F3582,$G3582)&gt;1,"중복","-"))</f>
        <v/>
      </c>
      <c r="I3582" s="11" t="str">
        <f aca="false">IF($A3582="","",IF($H3582="-","-",IF(AND(IF(원본명단!$H3581="",TRUE(),COUNTIF(원본명단!$H$3:$H3581,원본명단!$H3581)=1),IF(원본명단!$I3581="",TRUE(),COUNTIF(원본명단!$I$3:$I3581,원본명단!$I3581)=1),IF(원본명단!$K3581="",TRUE(),COUNTIF(원본명단!$K$3:$K3581,원본명단!$K3581)=1)),"첫 건","중복 건")))</f>
        <v/>
      </c>
      <c r="J3582" s="11" t="str">
        <f aca="false">IF($A3582="","",IF($H3582="-","유지",IF($I3582="첫 건","유지","확인 필요")))</f>
        <v/>
      </c>
    </row>
    <row r="3583" customFormat="false" ht="15" hidden="false" customHeight="true" outlineLevel="0" collapsed="false">
      <c r="A3583" s="11" t="str">
        <f aca="false">IF(원본명단!$A3582="","",3580)</f>
        <v/>
      </c>
      <c r="B3583" s="12" t="str">
        <f aca="false">IF($A3583="","",원본명단!$A3582)</f>
        <v/>
      </c>
      <c r="C3583" s="12" t="str">
        <f aca="false">IF($A3583="","",원본명단!$B3582)</f>
        <v/>
      </c>
      <c r="D3583" s="12" t="str">
        <f aca="false">IF($A3583="","",원본명단!$D3582)</f>
        <v/>
      </c>
      <c r="E3583" s="11" t="str">
        <f aca="false">IF($A3583="","",IF(원본명단!$H3582="",0,COUNTIF(원본명단!$H$3:$H$6002,원본명단!$H3582)))</f>
        <v/>
      </c>
      <c r="F3583" s="11" t="str">
        <f aca="false">IF($A3583="","",IF(원본명단!$I3582="",0,COUNTIF(원본명단!$I$3:$I$6002,원본명단!$I3582)))</f>
        <v/>
      </c>
      <c r="G3583" s="11" t="str">
        <f aca="false">IF($A3583="","",IF(원본명단!$K3582="",0,COUNTIF(원본명단!$K$3:$K$6002,원본명단!$K3582)))</f>
        <v/>
      </c>
      <c r="H3583" s="11" t="str">
        <f aca="false">IF($A3583="","",IF(MAX($E3583,$F3583,$G3583)&gt;1,"중복","-"))</f>
        <v/>
      </c>
      <c r="I3583" s="11" t="str">
        <f aca="false">IF($A3583="","",IF($H3583="-","-",IF(AND(IF(원본명단!$H3582="",TRUE(),COUNTIF(원본명단!$H$3:$H3582,원본명단!$H3582)=1),IF(원본명단!$I3582="",TRUE(),COUNTIF(원본명단!$I$3:$I3582,원본명단!$I3582)=1),IF(원본명단!$K3582="",TRUE(),COUNTIF(원본명단!$K$3:$K3582,원본명단!$K3582)=1)),"첫 건","중복 건")))</f>
        <v/>
      </c>
      <c r="J3583" s="11" t="str">
        <f aca="false">IF($A3583="","",IF($H3583="-","유지",IF($I3583="첫 건","유지","확인 필요")))</f>
        <v/>
      </c>
    </row>
    <row r="3584" customFormat="false" ht="15" hidden="false" customHeight="true" outlineLevel="0" collapsed="false">
      <c r="A3584" s="11" t="str">
        <f aca="false">IF(원본명단!$A3583="","",3581)</f>
        <v/>
      </c>
      <c r="B3584" s="12" t="str">
        <f aca="false">IF($A3584="","",원본명단!$A3583)</f>
        <v/>
      </c>
      <c r="C3584" s="12" t="str">
        <f aca="false">IF($A3584="","",원본명단!$B3583)</f>
        <v/>
      </c>
      <c r="D3584" s="12" t="str">
        <f aca="false">IF($A3584="","",원본명단!$D3583)</f>
        <v/>
      </c>
      <c r="E3584" s="11" t="str">
        <f aca="false">IF($A3584="","",IF(원본명단!$H3583="",0,COUNTIF(원본명단!$H$3:$H$6002,원본명단!$H3583)))</f>
        <v/>
      </c>
      <c r="F3584" s="11" t="str">
        <f aca="false">IF($A3584="","",IF(원본명단!$I3583="",0,COUNTIF(원본명단!$I$3:$I$6002,원본명단!$I3583)))</f>
        <v/>
      </c>
      <c r="G3584" s="11" t="str">
        <f aca="false">IF($A3584="","",IF(원본명단!$K3583="",0,COUNTIF(원본명단!$K$3:$K$6002,원본명단!$K3583)))</f>
        <v/>
      </c>
      <c r="H3584" s="11" t="str">
        <f aca="false">IF($A3584="","",IF(MAX($E3584,$F3584,$G3584)&gt;1,"중복","-"))</f>
        <v/>
      </c>
      <c r="I3584" s="11" t="str">
        <f aca="false">IF($A3584="","",IF($H3584="-","-",IF(AND(IF(원본명단!$H3583="",TRUE(),COUNTIF(원본명단!$H$3:$H3583,원본명단!$H3583)=1),IF(원본명단!$I3583="",TRUE(),COUNTIF(원본명단!$I$3:$I3583,원본명단!$I3583)=1),IF(원본명단!$K3583="",TRUE(),COUNTIF(원본명단!$K$3:$K3583,원본명단!$K3583)=1)),"첫 건","중복 건")))</f>
        <v/>
      </c>
      <c r="J3584" s="11" t="str">
        <f aca="false">IF($A3584="","",IF($H3584="-","유지",IF($I3584="첫 건","유지","확인 필요")))</f>
        <v/>
      </c>
    </row>
    <row r="3585" customFormat="false" ht="15" hidden="false" customHeight="true" outlineLevel="0" collapsed="false">
      <c r="A3585" s="11" t="str">
        <f aca="false">IF(원본명단!$A3584="","",3582)</f>
        <v/>
      </c>
      <c r="B3585" s="12" t="str">
        <f aca="false">IF($A3585="","",원본명단!$A3584)</f>
        <v/>
      </c>
      <c r="C3585" s="12" t="str">
        <f aca="false">IF($A3585="","",원본명단!$B3584)</f>
        <v/>
      </c>
      <c r="D3585" s="12" t="str">
        <f aca="false">IF($A3585="","",원본명단!$D3584)</f>
        <v/>
      </c>
      <c r="E3585" s="11" t="str">
        <f aca="false">IF($A3585="","",IF(원본명단!$H3584="",0,COUNTIF(원본명단!$H$3:$H$6002,원본명단!$H3584)))</f>
        <v/>
      </c>
      <c r="F3585" s="11" t="str">
        <f aca="false">IF($A3585="","",IF(원본명단!$I3584="",0,COUNTIF(원본명단!$I$3:$I$6002,원본명단!$I3584)))</f>
        <v/>
      </c>
      <c r="G3585" s="11" t="str">
        <f aca="false">IF($A3585="","",IF(원본명단!$K3584="",0,COUNTIF(원본명단!$K$3:$K$6002,원본명단!$K3584)))</f>
        <v/>
      </c>
      <c r="H3585" s="11" t="str">
        <f aca="false">IF($A3585="","",IF(MAX($E3585,$F3585,$G3585)&gt;1,"중복","-"))</f>
        <v/>
      </c>
      <c r="I3585" s="11" t="str">
        <f aca="false">IF($A3585="","",IF($H3585="-","-",IF(AND(IF(원본명단!$H3584="",TRUE(),COUNTIF(원본명단!$H$3:$H3584,원본명단!$H3584)=1),IF(원본명단!$I3584="",TRUE(),COUNTIF(원본명단!$I$3:$I3584,원본명단!$I3584)=1),IF(원본명단!$K3584="",TRUE(),COUNTIF(원본명단!$K$3:$K3584,원본명단!$K3584)=1)),"첫 건","중복 건")))</f>
        <v/>
      </c>
      <c r="J3585" s="11" t="str">
        <f aca="false">IF($A3585="","",IF($H3585="-","유지",IF($I3585="첫 건","유지","확인 필요")))</f>
        <v/>
      </c>
    </row>
    <row r="3586" customFormat="false" ht="15" hidden="false" customHeight="true" outlineLevel="0" collapsed="false">
      <c r="A3586" s="11" t="str">
        <f aca="false">IF(원본명단!$A3585="","",3583)</f>
        <v/>
      </c>
      <c r="B3586" s="12" t="str">
        <f aca="false">IF($A3586="","",원본명단!$A3585)</f>
        <v/>
      </c>
      <c r="C3586" s="12" t="str">
        <f aca="false">IF($A3586="","",원본명단!$B3585)</f>
        <v/>
      </c>
      <c r="D3586" s="12" t="str">
        <f aca="false">IF($A3586="","",원본명단!$D3585)</f>
        <v/>
      </c>
      <c r="E3586" s="11" t="str">
        <f aca="false">IF($A3586="","",IF(원본명단!$H3585="",0,COUNTIF(원본명단!$H$3:$H$6002,원본명단!$H3585)))</f>
        <v/>
      </c>
      <c r="F3586" s="11" t="str">
        <f aca="false">IF($A3586="","",IF(원본명단!$I3585="",0,COUNTIF(원본명단!$I$3:$I$6002,원본명단!$I3585)))</f>
        <v/>
      </c>
      <c r="G3586" s="11" t="str">
        <f aca="false">IF($A3586="","",IF(원본명단!$K3585="",0,COUNTIF(원본명단!$K$3:$K$6002,원본명단!$K3585)))</f>
        <v/>
      </c>
      <c r="H3586" s="11" t="str">
        <f aca="false">IF($A3586="","",IF(MAX($E3586,$F3586,$G3586)&gt;1,"중복","-"))</f>
        <v/>
      </c>
      <c r="I3586" s="11" t="str">
        <f aca="false">IF($A3586="","",IF($H3586="-","-",IF(AND(IF(원본명단!$H3585="",TRUE(),COUNTIF(원본명단!$H$3:$H3585,원본명단!$H3585)=1),IF(원본명단!$I3585="",TRUE(),COUNTIF(원본명단!$I$3:$I3585,원본명단!$I3585)=1),IF(원본명단!$K3585="",TRUE(),COUNTIF(원본명단!$K$3:$K3585,원본명단!$K3585)=1)),"첫 건","중복 건")))</f>
        <v/>
      </c>
      <c r="J3586" s="11" t="str">
        <f aca="false">IF($A3586="","",IF($H3586="-","유지",IF($I3586="첫 건","유지","확인 필요")))</f>
        <v/>
      </c>
    </row>
    <row r="3587" customFormat="false" ht="15" hidden="false" customHeight="true" outlineLevel="0" collapsed="false">
      <c r="A3587" s="11" t="str">
        <f aca="false">IF(원본명단!$A3586="","",3584)</f>
        <v/>
      </c>
      <c r="B3587" s="12" t="str">
        <f aca="false">IF($A3587="","",원본명단!$A3586)</f>
        <v/>
      </c>
      <c r="C3587" s="12" t="str">
        <f aca="false">IF($A3587="","",원본명단!$B3586)</f>
        <v/>
      </c>
      <c r="D3587" s="12" t="str">
        <f aca="false">IF($A3587="","",원본명단!$D3586)</f>
        <v/>
      </c>
      <c r="E3587" s="11" t="str">
        <f aca="false">IF($A3587="","",IF(원본명단!$H3586="",0,COUNTIF(원본명단!$H$3:$H$6002,원본명단!$H3586)))</f>
        <v/>
      </c>
      <c r="F3587" s="11" t="str">
        <f aca="false">IF($A3587="","",IF(원본명단!$I3586="",0,COUNTIF(원본명단!$I$3:$I$6002,원본명단!$I3586)))</f>
        <v/>
      </c>
      <c r="G3587" s="11" t="str">
        <f aca="false">IF($A3587="","",IF(원본명단!$K3586="",0,COUNTIF(원본명단!$K$3:$K$6002,원본명단!$K3586)))</f>
        <v/>
      </c>
      <c r="H3587" s="11" t="str">
        <f aca="false">IF($A3587="","",IF(MAX($E3587,$F3587,$G3587)&gt;1,"중복","-"))</f>
        <v/>
      </c>
      <c r="I3587" s="11" t="str">
        <f aca="false">IF($A3587="","",IF($H3587="-","-",IF(AND(IF(원본명단!$H3586="",TRUE(),COUNTIF(원본명단!$H$3:$H3586,원본명단!$H3586)=1),IF(원본명단!$I3586="",TRUE(),COUNTIF(원본명단!$I$3:$I3586,원본명단!$I3586)=1),IF(원본명단!$K3586="",TRUE(),COUNTIF(원본명단!$K$3:$K3586,원본명단!$K3586)=1)),"첫 건","중복 건")))</f>
        <v/>
      </c>
      <c r="J3587" s="11" t="str">
        <f aca="false">IF($A3587="","",IF($H3587="-","유지",IF($I3587="첫 건","유지","확인 필요")))</f>
        <v/>
      </c>
    </row>
    <row r="3588" customFormat="false" ht="15" hidden="false" customHeight="true" outlineLevel="0" collapsed="false">
      <c r="A3588" s="11" t="str">
        <f aca="false">IF(원본명단!$A3587="","",3585)</f>
        <v/>
      </c>
      <c r="B3588" s="12" t="str">
        <f aca="false">IF($A3588="","",원본명단!$A3587)</f>
        <v/>
      </c>
      <c r="C3588" s="12" t="str">
        <f aca="false">IF($A3588="","",원본명단!$B3587)</f>
        <v/>
      </c>
      <c r="D3588" s="12" t="str">
        <f aca="false">IF($A3588="","",원본명단!$D3587)</f>
        <v/>
      </c>
      <c r="E3588" s="11" t="str">
        <f aca="false">IF($A3588="","",IF(원본명단!$H3587="",0,COUNTIF(원본명단!$H$3:$H$6002,원본명단!$H3587)))</f>
        <v/>
      </c>
      <c r="F3588" s="11" t="str">
        <f aca="false">IF($A3588="","",IF(원본명단!$I3587="",0,COUNTIF(원본명단!$I$3:$I$6002,원본명단!$I3587)))</f>
        <v/>
      </c>
      <c r="G3588" s="11" t="str">
        <f aca="false">IF($A3588="","",IF(원본명단!$K3587="",0,COUNTIF(원본명단!$K$3:$K$6002,원본명단!$K3587)))</f>
        <v/>
      </c>
      <c r="H3588" s="11" t="str">
        <f aca="false">IF($A3588="","",IF(MAX($E3588,$F3588,$G3588)&gt;1,"중복","-"))</f>
        <v/>
      </c>
      <c r="I3588" s="11" t="str">
        <f aca="false">IF($A3588="","",IF($H3588="-","-",IF(AND(IF(원본명단!$H3587="",TRUE(),COUNTIF(원본명단!$H$3:$H3587,원본명단!$H3587)=1),IF(원본명단!$I3587="",TRUE(),COUNTIF(원본명단!$I$3:$I3587,원본명단!$I3587)=1),IF(원본명단!$K3587="",TRUE(),COUNTIF(원본명단!$K$3:$K3587,원본명단!$K3587)=1)),"첫 건","중복 건")))</f>
        <v/>
      </c>
      <c r="J3588" s="11" t="str">
        <f aca="false">IF($A3588="","",IF($H3588="-","유지",IF($I3588="첫 건","유지","확인 필요")))</f>
        <v/>
      </c>
    </row>
    <row r="3589" customFormat="false" ht="15" hidden="false" customHeight="true" outlineLevel="0" collapsed="false">
      <c r="A3589" s="11" t="str">
        <f aca="false">IF(원본명단!$A3588="","",3586)</f>
        <v/>
      </c>
      <c r="B3589" s="12" t="str">
        <f aca="false">IF($A3589="","",원본명단!$A3588)</f>
        <v/>
      </c>
      <c r="C3589" s="12" t="str">
        <f aca="false">IF($A3589="","",원본명단!$B3588)</f>
        <v/>
      </c>
      <c r="D3589" s="12" t="str">
        <f aca="false">IF($A3589="","",원본명단!$D3588)</f>
        <v/>
      </c>
      <c r="E3589" s="11" t="str">
        <f aca="false">IF($A3589="","",IF(원본명단!$H3588="",0,COUNTIF(원본명단!$H$3:$H$6002,원본명단!$H3588)))</f>
        <v/>
      </c>
      <c r="F3589" s="11" t="str">
        <f aca="false">IF($A3589="","",IF(원본명단!$I3588="",0,COUNTIF(원본명단!$I$3:$I$6002,원본명단!$I3588)))</f>
        <v/>
      </c>
      <c r="G3589" s="11" t="str">
        <f aca="false">IF($A3589="","",IF(원본명단!$K3588="",0,COUNTIF(원본명단!$K$3:$K$6002,원본명단!$K3588)))</f>
        <v/>
      </c>
      <c r="H3589" s="11" t="str">
        <f aca="false">IF($A3589="","",IF(MAX($E3589,$F3589,$G3589)&gt;1,"중복","-"))</f>
        <v/>
      </c>
      <c r="I3589" s="11" t="str">
        <f aca="false">IF($A3589="","",IF($H3589="-","-",IF(AND(IF(원본명단!$H3588="",TRUE(),COUNTIF(원본명단!$H$3:$H3588,원본명단!$H3588)=1),IF(원본명단!$I3588="",TRUE(),COUNTIF(원본명단!$I$3:$I3588,원본명단!$I3588)=1),IF(원본명단!$K3588="",TRUE(),COUNTIF(원본명단!$K$3:$K3588,원본명단!$K3588)=1)),"첫 건","중복 건")))</f>
        <v/>
      </c>
      <c r="J3589" s="11" t="str">
        <f aca="false">IF($A3589="","",IF($H3589="-","유지",IF($I3589="첫 건","유지","확인 필요")))</f>
        <v/>
      </c>
    </row>
    <row r="3590" customFormat="false" ht="15" hidden="false" customHeight="true" outlineLevel="0" collapsed="false">
      <c r="A3590" s="11" t="str">
        <f aca="false">IF(원본명단!$A3589="","",3587)</f>
        <v/>
      </c>
      <c r="B3590" s="12" t="str">
        <f aca="false">IF($A3590="","",원본명단!$A3589)</f>
        <v/>
      </c>
      <c r="C3590" s="12" t="str">
        <f aca="false">IF($A3590="","",원본명단!$B3589)</f>
        <v/>
      </c>
      <c r="D3590" s="12" t="str">
        <f aca="false">IF($A3590="","",원본명단!$D3589)</f>
        <v/>
      </c>
      <c r="E3590" s="11" t="str">
        <f aca="false">IF($A3590="","",IF(원본명단!$H3589="",0,COUNTIF(원본명단!$H$3:$H$6002,원본명단!$H3589)))</f>
        <v/>
      </c>
      <c r="F3590" s="11" t="str">
        <f aca="false">IF($A3590="","",IF(원본명단!$I3589="",0,COUNTIF(원본명단!$I$3:$I$6002,원본명단!$I3589)))</f>
        <v/>
      </c>
      <c r="G3590" s="11" t="str">
        <f aca="false">IF($A3590="","",IF(원본명단!$K3589="",0,COUNTIF(원본명단!$K$3:$K$6002,원본명단!$K3589)))</f>
        <v/>
      </c>
      <c r="H3590" s="11" t="str">
        <f aca="false">IF($A3590="","",IF(MAX($E3590,$F3590,$G3590)&gt;1,"중복","-"))</f>
        <v/>
      </c>
      <c r="I3590" s="11" t="str">
        <f aca="false">IF($A3590="","",IF($H3590="-","-",IF(AND(IF(원본명단!$H3589="",TRUE(),COUNTIF(원본명단!$H$3:$H3589,원본명단!$H3589)=1),IF(원본명단!$I3589="",TRUE(),COUNTIF(원본명단!$I$3:$I3589,원본명단!$I3589)=1),IF(원본명단!$K3589="",TRUE(),COUNTIF(원본명단!$K$3:$K3589,원본명단!$K3589)=1)),"첫 건","중복 건")))</f>
        <v/>
      </c>
      <c r="J3590" s="11" t="str">
        <f aca="false">IF($A3590="","",IF($H3590="-","유지",IF($I3590="첫 건","유지","확인 필요")))</f>
        <v/>
      </c>
    </row>
    <row r="3591" customFormat="false" ht="15" hidden="false" customHeight="true" outlineLevel="0" collapsed="false">
      <c r="A3591" s="11" t="str">
        <f aca="false">IF(원본명단!$A3590="","",3588)</f>
        <v/>
      </c>
      <c r="B3591" s="12" t="str">
        <f aca="false">IF($A3591="","",원본명단!$A3590)</f>
        <v/>
      </c>
      <c r="C3591" s="12" t="str">
        <f aca="false">IF($A3591="","",원본명단!$B3590)</f>
        <v/>
      </c>
      <c r="D3591" s="12" t="str">
        <f aca="false">IF($A3591="","",원본명단!$D3590)</f>
        <v/>
      </c>
      <c r="E3591" s="11" t="str">
        <f aca="false">IF($A3591="","",IF(원본명단!$H3590="",0,COUNTIF(원본명단!$H$3:$H$6002,원본명단!$H3590)))</f>
        <v/>
      </c>
      <c r="F3591" s="11" t="str">
        <f aca="false">IF($A3591="","",IF(원본명단!$I3590="",0,COUNTIF(원본명단!$I$3:$I$6002,원본명단!$I3590)))</f>
        <v/>
      </c>
      <c r="G3591" s="11" t="str">
        <f aca="false">IF($A3591="","",IF(원본명단!$K3590="",0,COUNTIF(원본명단!$K$3:$K$6002,원본명단!$K3590)))</f>
        <v/>
      </c>
      <c r="H3591" s="11" t="str">
        <f aca="false">IF($A3591="","",IF(MAX($E3591,$F3591,$G3591)&gt;1,"중복","-"))</f>
        <v/>
      </c>
      <c r="I3591" s="11" t="str">
        <f aca="false">IF($A3591="","",IF($H3591="-","-",IF(AND(IF(원본명단!$H3590="",TRUE(),COUNTIF(원본명단!$H$3:$H3590,원본명단!$H3590)=1),IF(원본명단!$I3590="",TRUE(),COUNTIF(원본명단!$I$3:$I3590,원본명단!$I3590)=1),IF(원본명단!$K3590="",TRUE(),COUNTIF(원본명단!$K$3:$K3590,원본명단!$K3590)=1)),"첫 건","중복 건")))</f>
        <v/>
      </c>
      <c r="J3591" s="11" t="str">
        <f aca="false">IF($A3591="","",IF($H3591="-","유지",IF($I3591="첫 건","유지","확인 필요")))</f>
        <v/>
      </c>
    </row>
    <row r="3592" customFormat="false" ht="15" hidden="false" customHeight="true" outlineLevel="0" collapsed="false">
      <c r="A3592" s="11" t="str">
        <f aca="false">IF(원본명단!$A3591="","",3589)</f>
        <v/>
      </c>
      <c r="B3592" s="12" t="str">
        <f aca="false">IF($A3592="","",원본명단!$A3591)</f>
        <v/>
      </c>
      <c r="C3592" s="12" t="str">
        <f aca="false">IF($A3592="","",원본명단!$B3591)</f>
        <v/>
      </c>
      <c r="D3592" s="12" t="str">
        <f aca="false">IF($A3592="","",원본명단!$D3591)</f>
        <v/>
      </c>
      <c r="E3592" s="11" t="str">
        <f aca="false">IF($A3592="","",IF(원본명단!$H3591="",0,COUNTIF(원본명단!$H$3:$H$6002,원본명단!$H3591)))</f>
        <v/>
      </c>
      <c r="F3592" s="11" t="str">
        <f aca="false">IF($A3592="","",IF(원본명단!$I3591="",0,COUNTIF(원본명단!$I$3:$I$6002,원본명단!$I3591)))</f>
        <v/>
      </c>
      <c r="G3592" s="11" t="str">
        <f aca="false">IF($A3592="","",IF(원본명단!$K3591="",0,COUNTIF(원본명단!$K$3:$K$6002,원본명단!$K3591)))</f>
        <v/>
      </c>
      <c r="H3592" s="11" t="str">
        <f aca="false">IF($A3592="","",IF(MAX($E3592,$F3592,$G3592)&gt;1,"중복","-"))</f>
        <v/>
      </c>
      <c r="I3592" s="11" t="str">
        <f aca="false">IF($A3592="","",IF($H3592="-","-",IF(AND(IF(원본명단!$H3591="",TRUE(),COUNTIF(원본명단!$H$3:$H3591,원본명단!$H3591)=1),IF(원본명단!$I3591="",TRUE(),COUNTIF(원본명단!$I$3:$I3591,원본명단!$I3591)=1),IF(원본명단!$K3591="",TRUE(),COUNTIF(원본명단!$K$3:$K3591,원본명단!$K3591)=1)),"첫 건","중복 건")))</f>
        <v/>
      </c>
      <c r="J3592" s="11" t="str">
        <f aca="false">IF($A3592="","",IF($H3592="-","유지",IF($I3592="첫 건","유지","확인 필요")))</f>
        <v/>
      </c>
    </row>
    <row r="3593" customFormat="false" ht="15" hidden="false" customHeight="true" outlineLevel="0" collapsed="false">
      <c r="A3593" s="11" t="str">
        <f aca="false">IF(원본명단!$A3592="","",3590)</f>
        <v/>
      </c>
      <c r="B3593" s="12" t="str">
        <f aca="false">IF($A3593="","",원본명단!$A3592)</f>
        <v/>
      </c>
      <c r="C3593" s="12" t="str">
        <f aca="false">IF($A3593="","",원본명단!$B3592)</f>
        <v/>
      </c>
      <c r="D3593" s="12" t="str">
        <f aca="false">IF($A3593="","",원본명단!$D3592)</f>
        <v/>
      </c>
      <c r="E3593" s="11" t="str">
        <f aca="false">IF($A3593="","",IF(원본명단!$H3592="",0,COUNTIF(원본명단!$H$3:$H$6002,원본명단!$H3592)))</f>
        <v/>
      </c>
      <c r="F3593" s="11" t="str">
        <f aca="false">IF($A3593="","",IF(원본명단!$I3592="",0,COUNTIF(원본명단!$I$3:$I$6002,원본명단!$I3592)))</f>
        <v/>
      </c>
      <c r="G3593" s="11" t="str">
        <f aca="false">IF($A3593="","",IF(원본명단!$K3592="",0,COUNTIF(원본명단!$K$3:$K$6002,원본명단!$K3592)))</f>
        <v/>
      </c>
      <c r="H3593" s="11" t="str">
        <f aca="false">IF($A3593="","",IF(MAX($E3593,$F3593,$G3593)&gt;1,"중복","-"))</f>
        <v/>
      </c>
      <c r="I3593" s="11" t="str">
        <f aca="false">IF($A3593="","",IF($H3593="-","-",IF(AND(IF(원본명단!$H3592="",TRUE(),COUNTIF(원본명단!$H$3:$H3592,원본명단!$H3592)=1),IF(원본명단!$I3592="",TRUE(),COUNTIF(원본명단!$I$3:$I3592,원본명단!$I3592)=1),IF(원본명단!$K3592="",TRUE(),COUNTIF(원본명단!$K$3:$K3592,원본명단!$K3592)=1)),"첫 건","중복 건")))</f>
        <v/>
      </c>
      <c r="J3593" s="11" t="str">
        <f aca="false">IF($A3593="","",IF($H3593="-","유지",IF($I3593="첫 건","유지","확인 필요")))</f>
        <v/>
      </c>
    </row>
    <row r="3594" customFormat="false" ht="15" hidden="false" customHeight="true" outlineLevel="0" collapsed="false">
      <c r="A3594" s="11" t="str">
        <f aca="false">IF(원본명단!$A3593="","",3591)</f>
        <v/>
      </c>
      <c r="B3594" s="12" t="str">
        <f aca="false">IF($A3594="","",원본명단!$A3593)</f>
        <v/>
      </c>
      <c r="C3594" s="12" t="str">
        <f aca="false">IF($A3594="","",원본명단!$B3593)</f>
        <v/>
      </c>
      <c r="D3594" s="12" t="str">
        <f aca="false">IF($A3594="","",원본명단!$D3593)</f>
        <v/>
      </c>
      <c r="E3594" s="11" t="str">
        <f aca="false">IF($A3594="","",IF(원본명단!$H3593="",0,COUNTIF(원본명단!$H$3:$H$6002,원본명단!$H3593)))</f>
        <v/>
      </c>
      <c r="F3594" s="11" t="str">
        <f aca="false">IF($A3594="","",IF(원본명단!$I3593="",0,COUNTIF(원본명단!$I$3:$I$6002,원본명단!$I3593)))</f>
        <v/>
      </c>
      <c r="G3594" s="11" t="str">
        <f aca="false">IF($A3594="","",IF(원본명단!$K3593="",0,COUNTIF(원본명단!$K$3:$K$6002,원본명단!$K3593)))</f>
        <v/>
      </c>
      <c r="H3594" s="11" t="str">
        <f aca="false">IF($A3594="","",IF(MAX($E3594,$F3594,$G3594)&gt;1,"중복","-"))</f>
        <v/>
      </c>
      <c r="I3594" s="11" t="str">
        <f aca="false">IF($A3594="","",IF($H3594="-","-",IF(AND(IF(원본명단!$H3593="",TRUE(),COUNTIF(원본명단!$H$3:$H3593,원본명단!$H3593)=1),IF(원본명단!$I3593="",TRUE(),COUNTIF(원본명단!$I$3:$I3593,원본명단!$I3593)=1),IF(원본명단!$K3593="",TRUE(),COUNTIF(원본명단!$K$3:$K3593,원본명단!$K3593)=1)),"첫 건","중복 건")))</f>
        <v/>
      </c>
      <c r="J3594" s="11" t="str">
        <f aca="false">IF($A3594="","",IF($H3594="-","유지",IF($I3594="첫 건","유지","확인 필요")))</f>
        <v/>
      </c>
    </row>
    <row r="3595" customFormat="false" ht="15" hidden="false" customHeight="true" outlineLevel="0" collapsed="false">
      <c r="A3595" s="11" t="str">
        <f aca="false">IF(원본명단!$A3594="","",3592)</f>
        <v/>
      </c>
      <c r="B3595" s="12" t="str">
        <f aca="false">IF($A3595="","",원본명단!$A3594)</f>
        <v/>
      </c>
      <c r="C3595" s="12" t="str">
        <f aca="false">IF($A3595="","",원본명단!$B3594)</f>
        <v/>
      </c>
      <c r="D3595" s="12" t="str">
        <f aca="false">IF($A3595="","",원본명단!$D3594)</f>
        <v/>
      </c>
      <c r="E3595" s="11" t="str">
        <f aca="false">IF($A3595="","",IF(원본명단!$H3594="",0,COUNTIF(원본명단!$H$3:$H$6002,원본명단!$H3594)))</f>
        <v/>
      </c>
      <c r="F3595" s="11" t="str">
        <f aca="false">IF($A3595="","",IF(원본명단!$I3594="",0,COUNTIF(원본명단!$I$3:$I$6002,원본명단!$I3594)))</f>
        <v/>
      </c>
      <c r="G3595" s="11" t="str">
        <f aca="false">IF($A3595="","",IF(원본명단!$K3594="",0,COUNTIF(원본명단!$K$3:$K$6002,원본명단!$K3594)))</f>
        <v/>
      </c>
      <c r="H3595" s="11" t="str">
        <f aca="false">IF($A3595="","",IF(MAX($E3595,$F3595,$G3595)&gt;1,"중복","-"))</f>
        <v/>
      </c>
      <c r="I3595" s="11" t="str">
        <f aca="false">IF($A3595="","",IF($H3595="-","-",IF(AND(IF(원본명단!$H3594="",TRUE(),COUNTIF(원본명단!$H$3:$H3594,원본명단!$H3594)=1),IF(원본명단!$I3594="",TRUE(),COUNTIF(원본명단!$I$3:$I3594,원본명단!$I3594)=1),IF(원본명단!$K3594="",TRUE(),COUNTIF(원본명단!$K$3:$K3594,원본명단!$K3594)=1)),"첫 건","중복 건")))</f>
        <v/>
      </c>
      <c r="J3595" s="11" t="str">
        <f aca="false">IF($A3595="","",IF($H3595="-","유지",IF($I3595="첫 건","유지","확인 필요")))</f>
        <v/>
      </c>
    </row>
    <row r="3596" customFormat="false" ht="15" hidden="false" customHeight="true" outlineLevel="0" collapsed="false">
      <c r="A3596" s="11" t="str">
        <f aca="false">IF(원본명단!$A3595="","",3593)</f>
        <v/>
      </c>
      <c r="B3596" s="12" t="str">
        <f aca="false">IF($A3596="","",원본명단!$A3595)</f>
        <v/>
      </c>
      <c r="C3596" s="12" t="str">
        <f aca="false">IF($A3596="","",원본명단!$B3595)</f>
        <v/>
      </c>
      <c r="D3596" s="12" t="str">
        <f aca="false">IF($A3596="","",원본명단!$D3595)</f>
        <v/>
      </c>
      <c r="E3596" s="11" t="str">
        <f aca="false">IF($A3596="","",IF(원본명단!$H3595="",0,COUNTIF(원본명단!$H$3:$H$6002,원본명단!$H3595)))</f>
        <v/>
      </c>
      <c r="F3596" s="11" t="str">
        <f aca="false">IF($A3596="","",IF(원본명단!$I3595="",0,COUNTIF(원본명단!$I$3:$I$6002,원본명단!$I3595)))</f>
        <v/>
      </c>
      <c r="G3596" s="11" t="str">
        <f aca="false">IF($A3596="","",IF(원본명단!$K3595="",0,COUNTIF(원본명단!$K$3:$K$6002,원본명단!$K3595)))</f>
        <v/>
      </c>
      <c r="H3596" s="11" t="str">
        <f aca="false">IF($A3596="","",IF(MAX($E3596,$F3596,$G3596)&gt;1,"중복","-"))</f>
        <v/>
      </c>
      <c r="I3596" s="11" t="str">
        <f aca="false">IF($A3596="","",IF($H3596="-","-",IF(AND(IF(원본명단!$H3595="",TRUE(),COUNTIF(원본명단!$H$3:$H3595,원본명단!$H3595)=1),IF(원본명단!$I3595="",TRUE(),COUNTIF(원본명단!$I$3:$I3595,원본명단!$I3595)=1),IF(원본명단!$K3595="",TRUE(),COUNTIF(원본명단!$K$3:$K3595,원본명단!$K3595)=1)),"첫 건","중복 건")))</f>
        <v/>
      </c>
      <c r="J3596" s="11" t="str">
        <f aca="false">IF($A3596="","",IF($H3596="-","유지",IF($I3596="첫 건","유지","확인 필요")))</f>
        <v/>
      </c>
    </row>
    <row r="3597" customFormat="false" ht="15" hidden="false" customHeight="true" outlineLevel="0" collapsed="false">
      <c r="A3597" s="11" t="str">
        <f aca="false">IF(원본명단!$A3596="","",3594)</f>
        <v/>
      </c>
      <c r="B3597" s="12" t="str">
        <f aca="false">IF($A3597="","",원본명단!$A3596)</f>
        <v/>
      </c>
      <c r="C3597" s="12" t="str">
        <f aca="false">IF($A3597="","",원본명단!$B3596)</f>
        <v/>
      </c>
      <c r="D3597" s="12" t="str">
        <f aca="false">IF($A3597="","",원본명단!$D3596)</f>
        <v/>
      </c>
      <c r="E3597" s="11" t="str">
        <f aca="false">IF($A3597="","",IF(원본명단!$H3596="",0,COUNTIF(원본명단!$H$3:$H$6002,원본명단!$H3596)))</f>
        <v/>
      </c>
      <c r="F3597" s="11" t="str">
        <f aca="false">IF($A3597="","",IF(원본명단!$I3596="",0,COUNTIF(원본명단!$I$3:$I$6002,원본명단!$I3596)))</f>
        <v/>
      </c>
      <c r="G3597" s="11" t="str">
        <f aca="false">IF($A3597="","",IF(원본명단!$K3596="",0,COUNTIF(원본명단!$K$3:$K$6002,원본명단!$K3596)))</f>
        <v/>
      </c>
      <c r="H3597" s="11" t="str">
        <f aca="false">IF($A3597="","",IF(MAX($E3597,$F3597,$G3597)&gt;1,"중복","-"))</f>
        <v/>
      </c>
      <c r="I3597" s="11" t="str">
        <f aca="false">IF($A3597="","",IF($H3597="-","-",IF(AND(IF(원본명단!$H3596="",TRUE(),COUNTIF(원본명단!$H$3:$H3596,원본명단!$H3596)=1),IF(원본명단!$I3596="",TRUE(),COUNTIF(원본명단!$I$3:$I3596,원본명단!$I3596)=1),IF(원본명단!$K3596="",TRUE(),COUNTIF(원본명단!$K$3:$K3596,원본명단!$K3596)=1)),"첫 건","중복 건")))</f>
        <v/>
      </c>
      <c r="J3597" s="11" t="str">
        <f aca="false">IF($A3597="","",IF($H3597="-","유지",IF($I3597="첫 건","유지","확인 필요")))</f>
        <v/>
      </c>
    </row>
    <row r="3598" customFormat="false" ht="15" hidden="false" customHeight="true" outlineLevel="0" collapsed="false">
      <c r="A3598" s="11" t="str">
        <f aca="false">IF(원본명단!$A3597="","",3595)</f>
        <v/>
      </c>
      <c r="B3598" s="12" t="str">
        <f aca="false">IF($A3598="","",원본명단!$A3597)</f>
        <v/>
      </c>
      <c r="C3598" s="12" t="str">
        <f aca="false">IF($A3598="","",원본명단!$B3597)</f>
        <v/>
      </c>
      <c r="D3598" s="12" t="str">
        <f aca="false">IF($A3598="","",원본명단!$D3597)</f>
        <v/>
      </c>
      <c r="E3598" s="11" t="str">
        <f aca="false">IF($A3598="","",IF(원본명단!$H3597="",0,COUNTIF(원본명단!$H$3:$H$6002,원본명단!$H3597)))</f>
        <v/>
      </c>
      <c r="F3598" s="11" t="str">
        <f aca="false">IF($A3598="","",IF(원본명단!$I3597="",0,COUNTIF(원본명단!$I$3:$I$6002,원본명단!$I3597)))</f>
        <v/>
      </c>
      <c r="G3598" s="11" t="str">
        <f aca="false">IF($A3598="","",IF(원본명단!$K3597="",0,COUNTIF(원본명단!$K$3:$K$6002,원본명단!$K3597)))</f>
        <v/>
      </c>
      <c r="H3598" s="11" t="str">
        <f aca="false">IF($A3598="","",IF(MAX($E3598,$F3598,$G3598)&gt;1,"중복","-"))</f>
        <v/>
      </c>
      <c r="I3598" s="11" t="str">
        <f aca="false">IF($A3598="","",IF($H3598="-","-",IF(AND(IF(원본명단!$H3597="",TRUE(),COUNTIF(원본명단!$H$3:$H3597,원본명단!$H3597)=1),IF(원본명단!$I3597="",TRUE(),COUNTIF(원본명단!$I$3:$I3597,원본명단!$I3597)=1),IF(원본명단!$K3597="",TRUE(),COUNTIF(원본명단!$K$3:$K3597,원본명단!$K3597)=1)),"첫 건","중복 건")))</f>
        <v/>
      </c>
      <c r="J3598" s="11" t="str">
        <f aca="false">IF($A3598="","",IF($H3598="-","유지",IF($I3598="첫 건","유지","확인 필요")))</f>
        <v/>
      </c>
    </row>
    <row r="3599" customFormat="false" ht="15" hidden="false" customHeight="true" outlineLevel="0" collapsed="false">
      <c r="A3599" s="11" t="str">
        <f aca="false">IF(원본명단!$A3598="","",3596)</f>
        <v/>
      </c>
      <c r="B3599" s="12" t="str">
        <f aca="false">IF($A3599="","",원본명단!$A3598)</f>
        <v/>
      </c>
      <c r="C3599" s="12" t="str">
        <f aca="false">IF($A3599="","",원본명단!$B3598)</f>
        <v/>
      </c>
      <c r="D3599" s="12" t="str">
        <f aca="false">IF($A3599="","",원본명단!$D3598)</f>
        <v/>
      </c>
      <c r="E3599" s="11" t="str">
        <f aca="false">IF($A3599="","",IF(원본명단!$H3598="",0,COUNTIF(원본명단!$H$3:$H$6002,원본명단!$H3598)))</f>
        <v/>
      </c>
      <c r="F3599" s="11" t="str">
        <f aca="false">IF($A3599="","",IF(원본명단!$I3598="",0,COUNTIF(원본명단!$I$3:$I$6002,원본명단!$I3598)))</f>
        <v/>
      </c>
      <c r="G3599" s="11" t="str">
        <f aca="false">IF($A3599="","",IF(원본명단!$K3598="",0,COUNTIF(원본명단!$K$3:$K$6002,원본명단!$K3598)))</f>
        <v/>
      </c>
      <c r="H3599" s="11" t="str">
        <f aca="false">IF($A3599="","",IF(MAX($E3599,$F3599,$G3599)&gt;1,"중복","-"))</f>
        <v/>
      </c>
      <c r="I3599" s="11" t="str">
        <f aca="false">IF($A3599="","",IF($H3599="-","-",IF(AND(IF(원본명단!$H3598="",TRUE(),COUNTIF(원본명단!$H$3:$H3598,원본명단!$H3598)=1),IF(원본명단!$I3598="",TRUE(),COUNTIF(원본명단!$I$3:$I3598,원본명단!$I3598)=1),IF(원본명단!$K3598="",TRUE(),COUNTIF(원본명단!$K$3:$K3598,원본명단!$K3598)=1)),"첫 건","중복 건")))</f>
        <v/>
      </c>
      <c r="J3599" s="11" t="str">
        <f aca="false">IF($A3599="","",IF($H3599="-","유지",IF($I3599="첫 건","유지","확인 필요")))</f>
        <v/>
      </c>
    </row>
    <row r="3600" customFormat="false" ht="15" hidden="false" customHeight="true" outlineLevel="0" collapsed="false">
      <c r="A3600" s="11" t="str">
        <f aca="false">IF(원본명단!$A3599="","",3597)</f>
        <v/>
      </c>
      <c r="B3600" s="12" t="str">
        <f aca="false">IF($A3600="","",원본명단!$A3599)</f>
        <v/>
      </c>
      <c r="C3600" s="12" t="str">
        <f aca="false">IF($A3600="","",원본명단!$B3599)</f>
        <v/>
      </c>
      <c r="D3600" s="12" t="str">
        <f aca="false">IF($A3600="","",원본명단!$D3599)</f>
        <v/>
      </c>
      <c r="E3600" s="11" t="str">
        <f aca="false">IF($A3600="","",IF(원본명단!$H3599="",0,COUNTIF(원본명단!$H$3:$H$6002,원본명단!$H3599)))</f>
        <v/>
      </c>
      <c r="F3600" s="11" t="str">
        <f aca="false">IF($A3600="","",IF(원본명단!$I3599="",0,COUNTIF(원본명단!$I$3:$I$6002,원본명단!$I3599)))</f>
        <v/>
      </c>
      <c r="G3600" s="11" t="str">
        <f aca="false">IF($A3600="","",IF(원본명단!$K3599="",0,COUNTIF(원본명단!$K$3:$K$6002,원본명단!$K3599)))</f>
        <v/>
      </c>
      <c r="H3600" s="11" t="str">
        <f aca="false">IF($A3600="","",IF(MAX($E3600,$F3600,$G3600)&gt;1,"중복","-"))</f>
        <v/>
      </c>
      <c r="I3600" s="11" t="str">
        <f aca="false">IF($A3600="","",IF($H3600="-","-",IF(AND(IF(원본명단!$H3599="",TRUE(),COUNTIF(원본명단!$H$3:$H3599,원본명단!$H3599)=1),IF(원본명단!$I3599="",TRUE(),COUNTIF(원본명단!$I$3:$I3599,원본명단!$I3599)=1),IF(원본명단!$K3599="",TRUE(),COUNTIF(원본명단!$K$3:$K3599,원본명단!$K3599)=1)),"첫 건","중복 건")))</f>
        <v/>
      </c>
      <c r="J3600" s="11" t="str">
        <f aca="false">IF($A3600="","",IF($H3600="-","유지",IF($I3600="첫 건","유지","확인 필요")))</f>
        <v/>
      </c>
    </row>
    <row r="3601" customFormat="false" ht="15" hidden="false" customHeight="true" outlineLevel="0" collapsed="false">
      <c r="A3601" s="11" t="str">
        <f aca="false">IF(원본명단!$A3600="","",3598)</f>
        <v/>
      </c>
      <c r="B3601" s="12" t="str">
        <f aca="false">IF($A3601="","",원본명단!$A3600)</f>
        <v/>
      </c>
      <c r="C3601" s="12" t="str">
        <f aca="false">IF($A3601="","",원본명단!$B3600)</f>
        <v/>
      </c>
      <c r="D3601" s="12" t="str">
        <f aca="false">IF($A3601="","",원본명단!$D3600)</f>
        <v/>
      </c>
      <c r="E3601" s="11" t="str">
        <f aca="false">IF($A3601="","",IF(원본명단!$H3600="",0,COUNTIF(원본명단!$H$3:$H$6002,원본명단!$H3600)))</f>
        <v/>
      </c>
      <c r="F3601" s="11" t="str">
        <f aca="false">IF($A3601="","",IF(원본명단!$I3600="",0,COUNTIF(원본명단!$I$3:$I$6002,원본명단!$I3600)))</f>
        <v/>
      </c>
      <c r="G3601" s="11" t="str">
        <f aca="false">IF($A3601="","",IF(원본명단!$K3600="",0,COUNTIF(원본명단!$K$3:$K$6002,원본명단!$K3600)))</f>
        <v/>
      </c>
      <c r="H3601" s="11" t="str">
        <f aca="false">IF($A3601="","",IF(MAX($E3601,$F3601,$G3601)&gt;1,"중복","-"))</f>
        <v/>
      </c>
      <c r="I3601" s="11" t="str">
        <f aca="false">IF($A3601="","",IF($H3601="-","-",IF(AND(IF(원본명단!$H3600="",TRUE(),COUNTIF(원본명단!$H$3:$H3600,원본명단!$H3600)=1),IF(원본명단!$I3600="",TRUE(),COUNTIF(원본명단!$I$3:$I3600,원본명단!$I3600)=1),IF(원본명단!$K3600="",TRUE(),COUNTIF(원본명단!$K$3:$K3600,원본명단!$K3600)=1)),"첫 건","중복 건")))</f>
        <v/>
      </c>
      <c r="J3601" s="11" t="str">
        <f aca="false">IF($A3601="","",IF($H3601="-","유지",IF($I3601="첫 건","유지","확인 필요")))</f>
        <v/>
      </c>
    </row>
    <row r="3602" customFormat="false" ht="15" hidden="false" customHeight="true" outlineLevel="0" collapsed="false">
      <c r="A3602" s="11" t="str">
        <f aca="false">IF(원본명단!$A3601="","",3599)</f>
        <v/>
      </c>
      <c r="B3602" s="12" t="str">
        <f aca="false">IF($A3602="","",원본명단!$A3601)</f>
        <v/>
      </c>
      <c r="C3602" s="12" t="str">
        <f aca="false">IF($A3602="","",원본명단!$B3601)</f>
        <v/>
      </c>
      <c r="D3602" s="12" t="str">
        <f aca="false">IF($A3602="","",원본명단!$D3601)</f>
        <v/>
      </c>
      <c r="E3602" s="11" t="str">
        <f aca="false">IF($A3602="","",IF(원본명단!$H3601="",0,COUNTIF(원본명단!$H$3:$H$6002,원본명단!$H3601)))</f>
        <v/>
      </c>
      <c r="F3602" s="11" t="str">
        <f aca="false">IF($A3602="","",IF(원본명단!$I3601="",0,COUNTIF(원본명단!$I$3:$I$6002,원본명단!$I3601)))</f>
        <v/>
      </c>
      <c r="G3602" s="11" t="str">
        <f aca="false">IF($A3602="","",IF(원본명단!$K3601="",0,COUNTIF(원본명단!$K$3:$K$6002,원본명단!$K3601)))</f>
        <v/>
      </c>
      <c r="H3602" s="11" t="str">
        <f aca="false">IF($A3602="","",IF(MAX($E3602,$F3602,$G3602)&gt;1,"중복","-"))</f>
        <v/>
      </c>
      <c r="I3602" s="11" t="str">
        <f aca="false">IF($A3602="","",IF($H3602="-","-",IF(AND(IF(원본명단!$H3601="",TRUE(),COUNTIF(원본명단!$H$3:$H3601,원본명단!$H3601)=1),IF(원본명단!$I3601="",TRUE(),COUNTIF(원본명단!$I$3:$I3601,원본명단!$I3601)=1),IF(원본명단!$K3601="",TRUE(),COUNTIF(원본명단!$K$3:$K3601,원본명단!$K3601)=1)),"첫 건","중복 건")))</f>
        <v/>
      </c>
      <c r="J3602" s="11" t="str">
        <f aca="false">IF($A3602="","",IF($H3602="-","유지",IF($I3602="첫 건","유지","확인 필요")))</f>
        <v/>
      </c>
    </row>
    <row r="3603" customFormat="false" ht="15" hidden="false" customHeight="true" outlineLevel="0" collapsed="false">
      <c r="A3603" s="11" t="str">
        <f aca="false">IF(원본명단!$A3602="","",3600)</f>
        <v/>
      </c>
      <c r="B3603" s="12" t="str">
        <f aca="false">IF($A3603="","",원본명단!$A3602)</f>
        <v/>
      </c>
      <c r="C3603" s="12" t="str">
        <f aca="false">IF($A3603="","",원본명단!$B3602)</f>
        <v/>
      </c>
      <c r="D3603" s="12" t="str">
        <f aca="false">IF($A3603="","",원본명단!$D3602)</f>
        <v/>
      </c>
      <c r="E3603" s="11" t="str">
        <f aca="false">IF($A3603="","",IF(원본명단!$H3602="",0,COUNTIF(원본명단!$H$3:$H$6002,원본명단!$H3602)))</f>
        <v/>
      </c>
      <c r="F3603" s="11" t="str">
        <f aca="false">IF($A3603="","",IF(원본명단!$I3602="",0,COUNTIF(원본명단!$I$3:$I$6002,원본명단!$I3602)))</f>
        <v/>
      </c>
      <c r="G3603" s="11" t="str">
        <f aca="false">IF($A3603="","",IF(원본명단!$K3602="",0,COUNTIF(원본명단!$K$3:$K$6002,원본명단!$K3602)))</f>
        <v/>
      </c>
      <c r="H3603" s="11" t="str">
        <f aca="false">IF($A3603="","",IF(MAX($E3603,$F3603,$G3603)&gt;1,"중복","-"))</f>
        <v/>
      </c>
      <c r="I3603" s="11" t="str">
        <f aca="false">IF($A3603="","",IF($H3603="-","-",IF(AND(IF(원본명단!$H3602="",TRUE(),COUNTIF(원본명단!$H$3:$H3602,원본명단!$H3602)=1),IF(원본명단!$I3602="",TRUE(),COUNTIF(원본명단!$I$3:$I3602,원본명단!$I3602)=1),IF(원본명단!$K3602="",TRUE(),COUNTIF(원본명단!$K$3:$K3602,원본명단!$K3602)=1)),"첫 건","중복 건")))</f>
        <v/>
      </c>
      <c r="J3603" s="11" t="str">
        <f aca="false">IF($A3603="","",IF($H3603="-","유지",IF($I3603="첫 건","유지","확인 필요")))</f>
        <v/>
      </c>
    </row>
    <row r="3604" customFormat="false" ht="15" hidden="false" customHeight="true" outlineLevel="0" collapsed="false">
      <c r="A3604" s="11" t="str">
        <f aca="false">IF(원본명단!$A3603="","",3601)</f>
        <v/>
      </c>
      <c r="B3604" s="12" t="str">
        <f aca="false">IF($A3604="","",원본명단!$A3603)</f>
        <v/>
      </c>
      <c r="C3604" s="12" t="str">
        <f aca="false">IF($A3604="","",원본명단!$B3603)</f>
        <v/>
      </c>
      <c r="D3604" s="12" t="str">
        <f aca="false">IF($A3604="","",원본명단!$D3603)</f>
        <v/>
      </c>
      <c r="E3604" s="11" t="str">
        <f aca="false">IF($A3604="","",IF(원본명단!$H3603="",0,COUNTIF(원본명단!$H$3:$H$6002,원본명단!$H3603)))</f>
        <v/>
      </c>
      <c r="F3604" s="11" t="str">
        <f aca="false">IF($A3604="","",IF(원본명단!$I3603="",0,COUNTIF(원본명단!$I$3:$I$6002,원본명단!$I3603)))</f>
        <v/>
      </c>
      <c r="G3604" s="11" t="str">
        <f aca="false">IF($A3604="","",IF(원본명단!$K3603="",0,COUNTIF(원본명단!$K$3:$K$6002,원본명단!$K3603)))</f>
        <v/>
      </c>
      <c r="H3604" s="11" t="str">
        <f aca="false">IF($A3604="","",IF(MAX($E3604,$F3604,$G3604)&gt;1,"중복","-"))</f>
        <v/>
      </c>
      <c r="I3604" s="11" t="str">
        <f aca="false">IF($A3604="","",IF($H3604="-","-",IF(AND(IF(원본명단!$H3603="",TRUE(),COUNTIF(원본명단!$H$3:$H3603,원본명단!$H3603)=1),IF(원본명단!$I3603="",TRUE(),COUNTIF(원본명단!$I$3:$I3603,원본명단!$I3603)=1),IF(원본명단!$K3603="",TRUE(),COUNTIF(원본명단!$K$3:$K3603,원본명단!$K3603)=1)),"첫 건","중복 건")))</f>
        <v/>
      </c>
      <c r="J3604" s="11" t="str">
        <f aca="false">IF($A3604="","",IF($H3604="-","유지",IF($I3604="첫 건","유지","확인 필요")))</f>
        <v/>
      </c>
    </row>
    <row r="3605" customFormat="false" ht="15" hidden="false" customHeight="true" outlineLevel="0" collapsed="false">
      <c r="A3605" s="11" t="str">
        <f aca="false">IF(원본명단!$A3604="","",3602)</f>
        <v/>
      </c>
      <c r="B3605" s="12" t="str">
        <f aca="false">IF($A3605="","",원본명단!$A3604)</f>
        <v/>
      </c>
      <c r="C3605" s="12" t="str">
        <f aca="false">IF($A3605="","",원본명단!$B3604)</f>
        <v/>
      </c>
      <c r="D3605" s="12" t="str">
        <f aca="false">IF($A3605="","",원본명단!$D3604)</f>
        <v/>
      </c>
      <c r="E3605" s="11" t="str">
        <f aca="false">IF($A3605="","",IF(원본명단!$H3604="",0,COUNTIF(원본명단!$H$3:$H$6002,원본명단!$H3604)))</f>
        <v/>
      </c>
      <c r="F3605" s="11" t="str">
        <f aca="false">IF($A3605="","",IF(원본명단!$I3604="",0,COUNTIF(원본명단!$I$3:$I$6002,원본명단!$I3604)))</f>
        <v/>
      </c>
      <c r="G3605" s="11" t="str">
        <f aca="false">IF($A3605="","",IF(원본명단!$K3604="",0,COUNTIF(원본명단!$K$3:$K$6002,원본명단!$K3604)))</f>
        <v/>
      </c>
      <c r="H3605" s="11" t="str">
        <f aca="false">IF($A3605="","",IF(MAX($E3605,$F3605,$G3605)&gt;1,"중복","-"))</f>
        <v/>
      </c>
      <c r="I3605" s="11" t="str">
        <f aca="false">IF($A3605="","",IF($H3605="-","-",IF(AND(IF(원본명단!$H3604="",TRUE(),COUNTIF(원본명단!$H$3:$H3604,원본명단!$H3604)=1),IF(원본명단!$I3604="",TRUE(),COUNTIF(원본명단!$I$3:$I3604,원본명단!$I3604)=1),IF(원본명단!$K3604="",TRUE(),COUNTIF(원본명단!$K$3:$K3604,원본명단!$K3604)=1)),"첫 건","중복 건")))</f>
        <v/>
      </c>
      <c r="J3605" s="11" t="str">
        <f aca="false">IF($A3605="","",IF($H3605="-","유지",IF($I3605="첫 건","유지","확인 필요")))</f>
        <v/>
      </c>
    </row>
    <row r="3606" customFormat="false" ht="15" hidden="false" customHeight="true" outlineLevel="0" collapsed="false">
      <c r="A3606" s="11" t="str">
        <f aca="false">IF(원본명단!$A3605="","",3603)</f>
        <v/>
      </c>
      <c r="B3606" s="12" t="str">
        <f aca="false">IF($A3606="","",원본명단!$A3605)</f>
        <v/>
      </c>
      <c r="C3606" s="12" t="str">
        <f aca="false">IF($A3606="","",원본명단!$B3605)</f>
        <v/>
      </c>
      <c r="D3606" s="12" t="str">
        <f aca="false">IF($A3606="","",원본명단!$D3605)</f>
        <v/>
      </c>
      <c r="E3606" s="11" t="str">
        <f aca="false">IF($A3606="","",IF(원본명단!$H3605="",0,COUNTIF(원본명단!$H$3:$H$6002,원본명단!$H3605)))</f>
        <v/>
      </c>
      <c r="F3606" s="11" t="str">
        <f aca="false">IF($A3606="","",IF(원본명단!$I3605="",0,COUNTIF(원본명단!$I$3:$I$6002,원본명단!$I3605)))</f>
        <v/>
      </c>
      <c r="G3606" s="11" t="str">
        <f aca="false">IF($A3606="","",IF(원본명단!$K3605="",0,COUNTIF(원본명단!$K$3:$K$6002,원본명단!$K3605)))</f>
        <v/>
      </c>
      <c r="H3606" s="11" t="str">
        <f aca="false">IF($A3606="","",IF(MAX($E3606,$F3606,$G3606)&gt;1,"중복","-"))</f>
        <v/>
      </c>
      <c r="I3606" s="11" t="str">
        <f aca="false">IF($A3606="","",IF($H3606="-","-",IF(AND(IF(원본명단!$H3605="",TRUE(),COUNTIF(원본명단!$H$3:$H3605,원본명단!$H3605)=1),IF(원본명단!$I3605="",TRUE(),COUNTIF(원본명단!$I$3:$I3605,원본명단!$I3605)=1),IF(원본명단!$K3605="",TRUE(),COUNTIF(원본명단!$K$3:$K3605,원본명단!$K3605)=1)),"첫 건","중복 건")))</f>
        <v/>
      </c>
      <c r="J3606" s="11" t="str">
        <f aca="false">IF($A3606="","",IF($H3606="-","유지",IF($I3606="첫 건","유지","확인 필요")))</f>
        <v/>
      </c>
    </row>
    <row r="3607" customFormat="false" ht="15" hidden="false" customHeight="true" outlineLevel="0" collapsed="false">
      <c r="A3607" s="11" t="str">
        <f aca="false">IF(원본명단!$A3606="","",3604)</f>
        <v/>
      </c>
      <c r="B3607" s="12" t="str">
        <f aca="false">IF($A3607="","",원본명단!$A3606)</f>
        <v/>
      </c>
      <c r="C3607" s="12" t="str">
        <f aca="false">IF($A3607="","",원본명단!$B3606)</f>
        <v/>
      </c>
      <c r="D3607" s="12" t="str">
        <f aca="false">IF($A3607="","",원본명단!$D3606)</f>
        <v/>
      </c>
      <c r="E3607" s="11" t="str">
        <f aca="false">IF($A3607="","",IF(원본명단!$H3606="",0,COUNTIF(원본명단!$H$3:$H$6002,원본명단!$H3606)))</f>
        <v/>
      </c>
      <c r="F3607" s="11" t="str">
        <f aca="false">IF($A3607="","",IF(원본명단!$I3606="",0,COUNTIF(원본명단!$I$3:$I$6002,원본명단!$I3606)))</f>
        <v/>
      </c>
      <c r="G3607" s="11" t="str">
        <f aca="false">IF($A3607="","",IF(원본명단!$K3606="",0,COUNTIF(원본명단!$K$3:$K$6002,원본명단!$K3606)))</f>
        <v/>
      </c>
      <c r="H3607" s="11" t="str">
        <f aca="false">IF($A3607="","",IF(MAX($E3607,$F3607,$G3607)&gt;1,"중복","-"))</f>
        <v/>
      </c>
      <c r="I3607" s="11" t="str">
        <f aca="false">IF($A3607="","",IF($H3607="-","-",IF(AND(IF(원본명단!$H3606="",TRUE(),COUNTIF(원본명단!$H$3:$H3606,원본명단!$H3606)=1),IF(원본명단!$I3606="",TRUE(),COUNTIF(원본명단!$I$3:$I3606,원본명단!$I3606)=1),IF(원본명단!$K3606="",TRUE(),COUNTIF(원본명단!$K$3:$K3606,원본명단!$K3606)=1)),"첫 건","중복 건")))</f>
        <v/>
      </c>
      <c r="J3607" s="11" t="str">
        <f aca="false">IF($A3607="","",IF($H3607="-","유지",IF($I3607="첫 건","유지","확인 필요")))</f>
        <v/>
      </c>
    </row>
    <row r="3608" customFormat="false" ht="15" hidden="false" customHeight="true" outlineLevel="0" collapsed="false">
      <c r="A3608" s="11" t="str">
        <f aca="false">IF(원본명단!$A3607="","",3605)</f>
        <v/>
      </c>
      <c r="B3608" s="12" t="str">
        <f aca="false">IF($A3608="","",원본명단!$A3607)</f>
        <v/>
      </c>
      <c r="C3608" s="12" t="str">
        <f aca="false">IF($A3608="","",원본명단!$B3607)</f>
        <v/>
      </c>
      <c r="D3608" s="12" t="str">
        <f aca="false">IF($A3608="","",원본명단!$D3607)</f>
        <v/>
      </c>
      <c r="E3608" s="11" t="str">
        <f aca="false">IF($A3608="","",IF(원본명단!$H3607="",0,COUNTIF(원본명단!$H$3:$H$6002,원본명단!$H3607)))</f>
        <v/>
      </c>
      <c r="F3608" s="11" t="str">
        <f aca="false">IF($A3608="","",IF(원본명단!$I3607="",0,COUNTIF(원본명단!$I$3:$I$6002,원본명단!$I3607)))</f>
        <v/>
      </c>
      <c r="G3608" s="11" t="str">
        <f aca="false">IF($A3608="","",IF(원본명단!$K3607="",0,COUNTIF(원본명단!$K$3:$K$6002,원본명단!$K3607)))</f>
        <v/>
      </c>
      <c r="H3608" s="11" t="str">
        <f aca="false">IF($A3608="","",IF(MAX($E3608,$F3608,$G3608)&gt;1,"중복","-"))</f>
        <v/>
      </c>
      <c r="I3608" s="11" t="str">
        <f aca="false">IF($A3608="","",IF($H3608="-","-",IF(AND(IF(원본명단!$H3607="",TRUE(),COUNTIF(원본명단!$H$3:$H3607,원본명단!$H3607)=1),IF(원본명단!$I3607="",TRUE(),COUNTIF(원본명단!$I$3:$I3607,원본명단!$I3607)=1),IF(원본명단!$K3607="",TRUE(),COUNTIF(원본명단!$K$3:$K3607,원본명단!$K3607)=1)),"첫 건","중복 건")))</f>
        <v/>
      </c>
      <c r="J3608" s="11" t="str">
        <f aca="false">IF($A3608="","",IF($H3608="-","유지",IF($I3608="첫 건","유지","확인 필요")))</f>
        <v/>
      </c>
    </row>
    <row r="3609" customFormat="false" ht="15" hidden="false" customHeight="true" outlineLevel="0" collapsed="false">
      <c r="A3609" s="11" t="str">
        <f aca="false">IF(원본명단!$A3608="","",3606)</f>
        <v/>
      </c>
      <c r="B3609" s="12" t="str">
        <f aca="false">IF($A3609="","",원본명단!$A3608)</f>
        <v/>
      </c>
      <c r="C3609" s="12" t="str">
        <f aca="false">IF($A3609="","",원본명단!$B3608)</f>
        <v/>
      </c>
      <c r="D3609" s="12" t="str">
        <f aca="false">IF($A3609="","",원본명단!$D3608)</f>
        <v/>
      </c>
      <c r="E3609" s="11" t="str">
        <f aca="false">IF($A3609="","",IF(원본명단!$H3608="",0,COUNTIF(원본명단!$H$3:$H$6002,원본명단!$H3608)))</f>
        <v/>
      </c>
      <c r="F3609" s="11" t="str">
        <f aca="false">IF($A3609="","",IF(원본명단!$I3608="",0,COUNTIF(원본명단!$I$3:$I$6002,원본명단!$I3608)))</f>
        <v/>
      </c>
      <c r="G3609" s="11" t="str">
        <f aca="false">IF($A3609="","",IF(원본명단!$K3608="",0,COUNTIF(원본명단!$K$3:$K$6002,원본명단!$K3608)))</f>
        <v/>
      </c>
      <c r="H3609" s="11" t="str">
        <f aca="false">IF($A3609="","",IF(MAX($E3609,$F3609,$G3609)&gt;1,"중복","-"))</f>
        <v/>
      </c>
      <c r="I3609" s="11" t="str">
        <f aca="false">IF($A3609="","",IF($H3609="-","-",IF(AND(IF(원본명단!$H3608="",TRUE(),COUNTIF(원본명단!$H$3:$H3608,원본명단!$H3608)=1),IF(원본명단!$I3608="",TRUE(),COUNTIF(원본명단!$I$3:$I3608,원본명단!$I3608)=1),IF(원본명단!$K3608="",TRUE(),COUNTIF(원본명단!$K$3:$K3608,원본명단!$K3608)=1)),"첫 건","중복 건")))</f>
        <v/>
      </c>
      <c r="J3609" s="11" t="str">
        <f aca="false">IF($A3609="","",IF($H3609="-","유지",IF($I3609="첫 건","유지","확인 필요")))</f>
        <v/>
      </c>
    </row>
    <row r="3610" customFormat="false" ht="15" hidden="false" customHeight="true" outlineLevel="0" collapsed="false">
      <c r="A3610" s="11" t="str">
        <f aca="false">IF(원본명단!$A3609="","",3607)</f>
        <v/>
      </c>
      <c r="B3610" s="12" t="str">
        <f aca="false">IF($A3610="","",원본명단!$A3609)</f>
        <v/>
      </c>
      <c r="C3610" s="12" t="str">
        <f aca="false">IF($A3610="","",원본명단!$B3609)</f>
        <v/>
      </c>
      <c r="D3610" s="12" t="str">
        <f aca="false">IF($A3610="","",원본명단!$D3609)</f>
        <v/>
      </c>
      <c r="E3610" s="11" t="str">
        <f aca="false">IF($A3610="","",IF(원본명단!$H3609="",0,COUNTIF(원본명단!$H$3:$H$6002,원본명단!$H3609)))</f>
        <v/>
      </c>
      <c r="F3610" s="11" t="str">
        <f aca="false">IF($A3610="","",IF(원본명단!$I3609="",0,COUNTIF(원본명단!$I$3:$I$6002,원본명단!$I3609)))</f>
        <v/>
      </c>
      <c r="G3610" s="11" t="str">
        <f aca="false">IF($A3610="","",IF(원본명단!$K3609="",0,COUNTIF(원본명단!$K$3:$K$6002,원본명단!$K3609)))</f>
        <v/>
      </c>
      <c r="H3610" s="11" t="str">
        <f aca="false">IF($A3610="","",IF(MAX($E3610,$F3610,$G3610)&gt;1,"중복","-"))</f>
        <v/>
      </c>
      <c r="I3610" s="11" t="str">
        <f aca="false">IF($A3610="","",IF($H3610="-","-",IF(AND(IF(원본명단!$H3609="",TRUE(),COUNTIF(원본명단!$H$3:$H3609,원본명단!$H3609)=1),IF(원본명단!$I3609="",TRUE(),COUNTIF(원본명단!$I$3:$I3609,원본명단!$I3609)=1),IF(원본명단!$K3609="",TRUE(),COUNTIF(원본명단!$K$3:$K3609,원본명단!$K3609)=1)),"첫 건","중복 건")))</f>
        <v/>
      </c>
      <c r="J3610" s="11" t="str">
        <f aca="false">IF($A3610="","",IF($H3610="-","유지",IF($I3610="첫 건","유지","확인 필요")))</f>
        <v/>
      </c>
    </row>
    <row r="3611" customFormat="false" ht="15" hidden="false" customHeight="true" outlineLevel="0" collapsed="false">
      <c r="A3611" s="11" t="str">
        <f aca="false">IF(원본명단!$A3610="","",3608)</f>
        <v/>
      </c>
      <c r="B3611" s="12" t="str">
        <f aca="false">IF($A3611="","",원본명단!$A3610)</f>
        <v/>
      </c>
      <c r="C3611" s="12" t="str">
        <f aca="false">IF($A3611="","",원본명단!$B3610)</f>
        <v/>
      </c>
      <c r="D3611" s="12" t="str">
        <f aca="false">IF($A3611="","",원본명단!$D3610)</f>
        <v/>
      </c>
      <c r="E3611" s="11" t="str">
        <f aca="false">IF($A3611="","",IF(원본명단!$H3610="",0,COUNTIF(원본명단!$H$3:$H$6002,원본명단!$H3610)))</f>
        <v/>
      </c>
      <c r="F3611" s="11" t="str">
        <f aca="false">IF($A3611="","",IF(원본명단!$I3610="",0,COUNTIF(원본명단!$I$3:$I$6002,원본명단!$I3610)))</f>
        <v/>
      </c>
      <c r="G3611" s="11" t="str">
        <f aca="false">IF($A3611="","",IF(원본명단!$K3610="",0,COUNTIF(원본명단!$K$3:$K$6002,원본명단!$K3610)))</f>
        <v/>
      </c>
      <c r="H3611" s="11" t="str">
        <f aca="false">IF($A3611="","",IF(MAX($E3611,$F3611,$G3611)&gt;1,"중복","-"))</f>
        <v/>
      </c>
      <c r="I3611" s="11" t="str">
        <f aca="false">IF($A3611="","",IF($H3611="-","-",IF(AND(IF(원본명단!$H3610="",TRUE(),COUNTIF(원본명단!$H$3:$H3610,원본명단!$H3610)=1),IF(원본명단!$I3610="",TRUE(),COUNTIF(원본명단!$I$3:$I3610,원본명단!$I3610)=1),IF(원본명단!$K3610="",TRUE(),COUNTIF(원본명단!$K$3:$K3610,원본명단!$K3610)=1)),"첫 건","중복 건")))</f>
        <v/>
      </c>
      <c r="J3611" s="11" t="str">
        <f aca="false">IF($A3611="","",IF($H3611="-","유지",IF($I3611="첫 건","유지","확인 필요")))</f>
        <v/>
      </c>
    </row>
    <row r="3612" customFormat="false" ht="15" hidden="false" customHeight="true" outlineLevel="0" collapsed="false">
      <c r="A3612" s="11" t="str">
        <f aca="false">IF(원본명단!$A3611="","",3609)</f>
        <v/>
      </c>
      <c r="B3612" s="12" t="str">
        <f aca="false">IF($A3612="","",원본명단!$A3611)</f>
        <v/>
      </c>
      <c r="C3612" s="12" t="str">
        <f aca="false">IF($A3612="","",원본명단!$B3611)</f>
        <v/>
      </c>
      <c r="D3612" s="12" t="str">
        <f aca="false">IF($A3612="","",원본명단!$D3611)</f>
        <v/>
      </c>
      <c r="E3612" s="11" t="str">
        <f aca="false">IF($A3612="","",IF(원본명단!$H3611="",0,COUNTIF(원본명단!$H$3:$H$6002,원본명단!$H3611)))</f>
        <v/>
      </c>
      <c r="F3612" s="11" t="str">
        <f aca="false">IF($A3612="","",IF(원본명단!$I3611="",0,COUNTIF(원본명단!$I$3:$I$6002,원본명단!$I3611)))</f>
        <v/>
      </c>
      <c r="G3612" s="11" t="str">
        <f aca="false">IF($A3612="","",IF(원본명단!$K3611="",0,COUNTIF(원본명단!$K$3:$K$6002,원본명단!$K3611)))</f>
        <v/>
      </c>
      <c r="H3612" s="11" t="str">
        <f aca="false">IF($A3612="","",IF(MAX($E3612,$F3612,$G3612)&gt;1,"중복","-"))</f>
        <v/>
      </c>
      <c r="I3612" s="11" t="str">
        <f aca="false">IF($A3612="","",IF($H3612="-","-",IF(AND(IF(원본명단!$H3611="",TRUE(),COUNTIF(원본명단!$H$3:$H3611,원본명단!$H3611)=1),IF(원본명단!$I3611="",TRUE(),COUNTIF(원본명단!$I$3:$I3611,원본명단!$I3611)=1),IF(원본명단!$K3611="",TRUE(),COUNTIF(원본명단!$K$3:$K3611,원본명단!$K3611)=1)),"첫 건","중복 건")))</f>
        <v/>
      </c>
      <c r="J3612" s="11" t="str">
        <f aca="false">IF($A3612="","",IF($H3612="-","유지",IF($I3612="첫 건","유지","확인 필요")))</f>
        <v/>
      </c>
    </row>
    <row r="3613" customFormat="false" ht="15" hidden="false" customHeight="true" outlineLevel="0" collapsed="false">
      <c r="A3613" s="11" t="str">
        <f aca="false">IF(원본명단!$A3612="","",3610)</f>
        <v/>
      </c>
      <c r="B3613" s="12" t="str">
        <f aca="false">IF($A3613="","",원본명단!$A3612)</f>
        <v/>
      </c>
      <c r="C3613" s="12" t="str">
        <f aca="false">IF($A3613="","",원본명단!$B3612)</f>
        <v/>
      </c>
      <c r="D3613" s="12" t="str">
        <f aca="false">IF($A3613="","",원본명단!$D3612)</f>
        <v/>
      </c>
      <c r="E3613" s="11" t="str">
        <f aca="false">IF($A3613="","",IF(원본명단!$H3612="",0,COUNTIF(원본명단!$H$3:$H$6002,원본명단!$H3612)))</f>
        <v/>
      </c>
      <c r="F3613" s="11" t="str">
        <f aca="false">IF($A3613="","",IF(원본명단!$I3612="",0,COUNTIF(원본명단!$I$3:$I$6002,원본명단!$I3612)))</f>
        <v/>
      </c>
      <c r="G3613" s="11" t="str">
        <f aca="false">IF($A3613="","",IF(원본명단!$K3612="",0,COUNTIF(원본명단!$K$3:$K$6002,원본명단!$K3612)))</f>
        <v/>
      </c>
      <c r="H3613" s="11" t="str">
        <f aca="false">IF($A3613="","",IF(MAX($E3613,$F3613,$G3613)&gt;1,"중복","-"))</f>
        <v/>
      </c>
      <c r="I3613" s="11" t="str">
        <f aca="false">IF($A3613="","",IF($H3613="-","-",IF(AND(IF(원본명단!$H3612="",TRUE(),COUNTIF(원본명단!$H$3:$H3612,원본명단!$H3612)=1),IF(원본명단!$I3612="",TRUE(),COUNTIF(원본명단!$I$3:$I3612,원본명단!$I3612)=1),IF(원본명단!$K3612="",TRUE(),COUNTIF(원본명단!$K$3:$K3612,원본명단!$K3612)=1)),"첫 건","중복 건")))</f>
        <v/>
      </c>
      <c r="J3613" s="11" t="str">
        <f aca="false">IF($A3613="","",IF($H3613="-","유지",IF($I3613="첫 건","유지","확인 필요")))</f>
        <v/>
      </c>
    </row>
    <row r="3614" customFormat="false" ht="15" hidden="false" customHeight="true" outlineLevel="0" collapsed="false">
      <c r="A3614" s="11" t="str">
        <f aca="false">IF(원본명단!$A3613="","",3611)</f>
        <v/>
      </c>
      <c r="B3614" s="12" t="str">
        <f aca="false">IF($A3614="","",원본명단!$A3613)</f>
        <v/>
      </c>
      <c r="C3614" s="12" t="str">
        <f aca="false">IF($A3614="","",원본명단!$B3613)</f>
        <v/>
      </c>
      <c r="D3614" s="12" t="str">
        <f aca="false">IF($A3614="","",원본명단!$D3613)</f>
        <v/>
      </c>
      <c r="E3614" s="11" t="str">
        <f aca="false">IF($A3614="","",IF(원본명단!$H3613="",0,COUNTIF(원본명단!$H$3:$H$6002,원본명단!$H3613)))</f>
        <v/>
      </c>
      <c r="F3614" s="11" t="str">
        <f aca="false">IF($A3614="","",IF(원본명단!$I3613="",0,COUNTIF(원본명단!$I$3:$I$6002,원본명단!$I3613)))</f>
        <v/>
      </c>
      <c r="G3614" s="11" t="str">
        <f aca="false">IF($A3614="","",IF(원본명단!$K3613="",0,COUNTIF(원본명단!$K$3:$K$6002,원본명단!$K3613)))</f>
        <v/>
      </c>
      <c r="H3614" s="11" t="str">
        <f aca="false">IF($A3614="","",IF(MAX($E3614,$F3614,$G3614)&gt;1,"중복","-"))</f>
        <v/>
      </c>
      <c r="I3614" s="11" t="str">
        <f aca="false">IF($A3614="","",IF($H3614="-","-",IF(AND(IF(원본명단!$H3613="",TRUE(),COUNTIF(원본명단!$H$3:$H3613,원본명단!$H3613)=1),IF(원본명단!$I3613="",TRUE(),COUNTIF(원본명단!$I$3:$I3613,원본명단!$I3613)=1),IF(원본명단!$K3613="",TRUE(),COUNTIF(원본명단!$K$3:$K3613,원본명단!$K3613)=1)),"첫 건","중복 건")))</f>
        <v/>
      </c>
      <c r="J3614" s="11" t="str">
        <f aca="false">IF($A3614="","",IF($H3614="-","유지",IF($I3614="첫 건","유지","확인 필요")))</f>
        <v/>
      </c>
    </row>
    <row r="3615" customFormat="false" ht="15" hidden="false" customHeight="true" outlineLevel="0" collapsed="false">
      <c r="A3615" s="11" t="str">
        <f aca="false">IF(원본명단!$A3614="","",3612)</f>
        <v/>
      </c>
      <c r="B3615" s="12" t="str">
        <f aca="false">IF($A3615="","",원본명단!$A3614)</f>
        <v/>
      </c>
      <c r="C3615" s="12" t="str">
        <f aca="false">IF($A3615="","",원본명단!$B3614)</f>
        <v/>
      </c>
      <c r="D3615" s="12" t="str">
        <f aca="false">IF($A3615="","",원본명단!$D3614)</f>
        <v/>
      </c>
      <c r="E3615" s="11" t="str">
        <f aca="false">IF($A3615="","",IF(원본명단!$H3614="",0,COUNTIF(원본명단!$H$3:$H$6002,원본명단!$H3614)))</f>
        <v/>
      </c>
      <c r="F3615" s="11" t="str">
        <f aca="false">IF($A3615="","",IF(원본명단!$I3614="",0,COUNTIF(원본명단!$I$3:$I$6002,원본명단!$I3614)))</f>
        <v/>
      </c>
      <c r="G3615" s="11" t="str">
        <f aca="false">IF($A3615="","",IF(원본명단!$K3614="",0,COUNTIF(원본명단!$K$3:$K$6002,원본명단!$K3614)))</f>
        <v/>
      </c>
      <c r="H3615" s="11" t="str">
        <f aca="false">IF($A3615="","",IF(MAX($E3615,$F3615,$G3615)&gt;1,"중복","-"))</f>
        <v/>
      </c>
      <c r="I3615" s="11" t="str">
        <f aca="false">IF($A3615="","",IF($H3615="-","-",IF(AND(IF(원본명단!$H3614="",TRUE(),COUNTIF(원본명단!$H$3:$H3614,원본명단!$H3614)=1),IF(원본명단!$I3614="",TRUE(),COUNTIF(원본명단!$I$3:$I3614,원본명단!$I3614)=1),IF(원본명단!$K3614="",TRUE(),COUNTIF(원본명단!$K$3:$K3614,원본명단!$K3614)=1)),"첫 건","중복 건")))</f>
        <v/>
      </c>
      <c r="J3615" s="11" t="str">
        <f aca="false">IF($A3615="","",IF($H3615="-","유지",IF($I3615="첫 건","유지","확인 필요")))</f>
        <v/>
      </c>
    </row>
    <row r="3616" customFormat="false" ht="15" hidden="false" customHeight="true" outlineLevel="0" collapsed="false">
      <c r="A3616" s="11" t="str">
        <f aca="false">IF(원본명단!$A3615="","",3613)</f>
        <v/>
      </c>
      <c r="B3616" s="12" t="str">
        <f aca="false">IF($A3616="","",원본명단!$A3615)</f>
        <v/>
      </c>
      <c r="C3616" s="12" t="str">
        <f aca="false">IF($A3616="","",원본명단!$B3615)</f>
        <v/>
      </c>
      <c r="D3616" s="12" t="str">
        <f aca="false">IF($A3616="","",원본명단!$D3615)</f>
        <v/>
      </c>
      <c r="E3616" s="11" t="str">
        <f aca="false">IF($A3616="","",IF(원본명단!$H3615="",0,COUNTIF(원본명단!$H$3:$H$6002,원본명단!$H3615)))</f>
        <v/>
      </c>
      <c r="F3616" s="11" t="str">
        <f aca="false">IF($A3616="","",IF(원본명단!$I3615="",0,COUNTIF(원본명단!$I$3:$I$6002,원본명단!$I3615)))</f>
        <v/>
      </c>
      <c r="G3616" s="11" t="str">
        <f aca="false">IF($A3616="","",IF(원본명단!$K3615="",0,COUNTIF(원본명단!$K$3:$K$6002,원본명단!$K3615)))</f>
        <v/>
      </c>
      <c r="H3616" s="11" t="str">
        <f aca="false">IF($A3616="","",IF(MAX($E3616,$F3616,$G3616)&gt;1,"중복","-"))</f>
        <v/>
      </c>
      <c r="I3616" s="11" t="str">
        <f aca="false">IF($A3616="","",IF($H3616="-","-",IF(AND(IF(원본명단!$H3615="",TRUE(),COUNTIF(원본명단!$H$3:$H3615,원본명단!$H3615)=1),IF(원본명단!$I3615="",TRUE(),COUNTIF(원본명단!$I$3:$I3615,원본명단!$I3615)=1),IF(원본명단!$K3615="",TRUE(),COUNTIF(원본명단!$K$3:$K3615,원본명단!$K3615)=1)),"첫 건","중복 건")))</f>
        <v/>
      </c>
      <c r="J3616" s="11" t="str">
        <f aca="false">IF($A3616="","",IF($H3616="-","유지",IF($I3616="첫 건","유지","확인 필요")))</f>
        <v/>
      </c>
    </row>
    <row r="3617" customFormat="false" ht="15" hidden="false" customHeight="true" outlineLevel="0" collapsed="false">
      <c r="A3617" s="11" t="str">
        <f aca="false">IF(원본명단!$A3616="","",3614)</f>
        <v/>
      </c>
      <c r="B3617" s="12" t="str">
        <f aca="false">IF($A3617="","",원본명단!$A3616)</f>
        <v/>
      </c>
      <c r="C3617" s="12" t="str">
        <f aca="false">IF($A3617="","",원본명단!$B3616)</f>
        <v/>
      </c>
      <c r="D3617" s="12" t="str">
        <f aca="false">IF($A3617="","",원본명단!$D3616)</f>
        <v/>
      </c>
      <c r="E3617" s="11" t="str">
        <f aca="false">IF($A3617="","",IF(원본명단!$H3616="",0,COUNTIF(원본명단!$H$3:$H$6002,원본명단!$H3616)))</f>
        <v/>
      </c>
      <c r="F3617" s="11" t="str">
        <f aca="false">IF($A3617="","",IF(원본명단!$I3616="",0,COUNTIF(원본명단!$I$3:$I$6002,원본명단!$I3616)))</f>
        <v/>
      </c>
      <c r="G3617" s="11" t="str">
        <f aca="false">IF($A3617="","",IF(원본명단!$K3616="",0,COUNTIF(원본명단!$K$3:$K$6002,원본명단!$K3616)))</f>
        <v/>
      </c>
      <c r="H3617" s="11" t="str">
        <f aca="false">IF($A3617="","",IF(MAX($E3617,$F3617,$G3617)&gt;1,"중복","-"))</f>
        <v/>
      </c>
      <c r="I3617" s="11" t="str">
        <f aca="false">IF($A3617="","",IF($H3617="-","-",IF(AND(IF(원본명단!$H3616="",TRUE(),COUNTIF(원본명단!$H$3:$H3616,원본명단!$H3616)=1),IF(원본명단!$I3616="",TRUE(),COUNTIF(원본명단!$I$3:$I3616,원본명단!$I3616)=1),IF(원본명단!$K3616="",TRUE(),COUNTIF(원본명단!$K$3:$K3616,원본명단!$K3616)=1)),"첫 건","중복 건")))</f>
        <v/>
      </c>
      <c r="J3617" s="11" t="str">
        <f aca="false">IF($A3617="","",IF($H3617="-","유지",IF($I3617="첫 건","유지","확인 필요")))</f>
        <v/>
      </c>
    </row>
    <row r="3618" customFormat="false" ht="15" hidden="false" customHeight="true" outlineLevel="0" collapsed="false">
      <c r="A3618" s="11" t="str">
        <f aca="false">IF(원본명단!$A3617="","",3615)</f>
        <v/>
      </c>
      <c r="B3618" s="12" t="str">
        <f aca="false">IF($A3618="","",원본명단!$A3617)</f>
        <v/>
      </c>
      <c r="C3618" s="12" t="str">
        <f aca="false">IF($A3618="","",원본명단!$B3617)</f>
        <v/>
      </c>
      <c r="D3618" s="12" t="str">
        <f aca="false">IF($A3618="","",원본명단!$D3617)</f>
        <v/>
      </c>
      <c r="E3618" s="11" t="str">
        <f aca="false">IF($A3618="","",IF(원본명단!$H3617="",0,COUNTIF(원본명단!$H$3:$H$6002,원본명단!$H3617)))</f>
        <v/>
      </c>
      <c r="F3618" s="11" t="str">
        <f aca="false">IF($A3618="","",IF(원본명단!$I3617="",0,COUNTIF(원본명단!$I$3:$I$6002,원본명단!$I3617)))</f>
        <v/>
      </c>
      <c r="G3618" s="11" t="str">
        <f aca="false">IF($A3618="","",IF(원본명단!$K3617="",0,COUNTIF(원본명단!$K$3:$K$6002,원본명단!$K3617)))</f>
        <v/>
      </c>
      <c r="H3618" s="11" t="str">
        <f aca="false">IF($A3618="","",IF(MAX($E3618,$F3618,$G3618)&gt;1,"중복","-"))</f>
        <v/>
      </c>
      <c r="I3618" s="11" t="str">
        <f aca="false">IF($A3618="","",IF($H3618="-","-",IF(AND(IF(원본명단!$H3617="",TRUE(),COUNTIF(원본명단!$H$3:$H3617,원본명단!$H3617)=1),IF(원본명단!$I3617="",TRUE(),COUNTIF(원본명단!$I$3:$I3617,원본명단!$I3617)=1),IF(원본명단!$K3617="",TRUE(),COUNTIF(원본명단!$K$3:$K3617,원본명단!$K3617)=1)),"첫 건","중복 건")))</f>
        <v/>
      </c>
      <c r="J3618" s="11" t="str">
        <f aca="false">IF($A3618="","",IF($H3618="-","유지",IF($I3618="첫 건","유지","확인 필요")))</f>
        <v/>
      </c>
    </row>
    <row r="3619" customFormat="false" ht="15" hidden="false" customHeight="true" outlineLevel="0" collapsed="false">
      <c r="A3619" s="11" t="str">
        <f aca="false">IF(원본명단!$A3618="","",3616)</f>
        <v/>
      </c>
      <c r="B3619" s="12" t="str">
        <f aca="false">IF($A3619="","",원본명단!$A3618)</f>
        <v/>
      </c>
      <c r="C3619" s="12" t="str">
        <f aca="false">IF($A3619="","",원본명단!$B3618)</f>
        <v/>
      </c>
      <c r="D3619" s="12" t="str">
        <f aca="false">IF($A3619="","",원본명단!$D3618)</f>
        <v/>
      </c>
      <c r="E3619" s="11" t="str">
        <f aca="false">IF($A3619="","",IF(원본명단!$H3618="",0,COUNTIF(원본명단!$H$3:$H$6002,원본명단!$H3618)))</f>
        <v/>
      </c>
      <c r="F3619" s="11" t="str">
        <f aca="false">IF($A3619="","",IF(원본명단!$I3618="",0,COUNTIF(원본명단!$I$3:$I$6002,원본명단!$I3618)))</f>
        <v/>
      </c>
      <c r="G3619" s="11" t="str">
        <f aca="false">IF($A3619="","",IF(원본명단!$K3618="",0,COUNTIF(원본명단!$K$3:$K$6002,원본명단!$K3618)))</f>
        <v/>
      </c>
      <c r="H3619" s="11" t="str">
        <f aca="false">IF($A3619="","",IF(MAX($E3619,$F3619,$G3619)&gt;1,"중복","-"))</f>
        <v/>
      </c>
      <c r="I3619" s="11" t="str">
        <f aca="false">IF($A3619="","",IF($H3619="-","-",IF(AND(IF(원본명단!$H3618="",TRUE(),COUNTIF(원본명단!$H$3:$H3618,원본명단!$H3618)=1),IF(원본명단!$I3618="",TRUE(),COUNTIF(원본명단!$I$3:$I3618,원본명단!$I3618)=1),IF(원본명단!$K3618="",TRUE(),COUNTIF(원본명단!$K$3:$K3618,원본명단!$K3618)=1)),"첫 건","중복 건")))</f>
        <v/>
      </c>
      <c r="J3619" s="11" t="str">
        <f aca="false">IF($A3619="","",IF($H3619="-","유지",IF($I3619="첫 건","유지","확인 필요")))</f>
        <v/>
      </c>
    </row>
    <row r="3620" customFormat="false" ht="15" hidden="false" customHeight="true" outlineLevel="0" collapsed="false">
      <c r="A3620" s="11" t="str">
        <f aca="false">IF(원본명단!$A3619="","",3617)</f>
        <v/>
      </c>
      <c r="B3620" s="12" t="str">
        <f aca="false">IF($A3620="","",원본명단!$A3619)</f>
        <v/>
      </c>
      <c r="C3620" s="12" t="str">
        <f aca="false">IF($A3620="","",원본명단!$B3619)</f>
        <v/>
      </c>
      <c r="D3620" s="12" t="str">
        <f aca="false">IF($A3620="","",원본명단!$D3619)</f>
        <v/>
      </c>
      <c r="E3620" s="11" t="str">
        <f aca="false">IF($A3620="","",IF(원본명단!$H3619="",0,COUNTIF(원본명단!$H$3:$H$6002,원본명단!$H3619)))</f>
        <v/>
      </c>
      <c r="F3620" s="11" t="str">
        <f aca="false">IF($A3620="","",IF(원본명단!$I3619="",0,COUNTIF(원본명단!$I$3:$I$6002,원본명단!$I3619)))</f>
        <v/>
      </c>
      <c r="G3620" s="11" t="str">
        <f aca="false">IF($A3620="","",IF(원본명단!$K3619="",0,COUNTIF(원본명단!$K$3:$K$6002,원본명단!$K3619)))</f>
        <v/>
      </c>
      <c r="H3620" s="11" t="str">
        <f aca="false">IF($A3620="","",IF(MAX($E3620,$F3620,$G3620)&gt;1,"중복","-"))</f>
        <v/>
      </c>
      <c r="I3620" s="11" t="str">
        <f aca="false">IF($A3620="","",IF($H3620="-","-",IF(AND(IF(원본명단!$H3619="",TRUE(),COUNTIF(원본명단!$H$3:$H3619,원본명단!$H3619)=1),IF(원본명단!$I3619="",TRUE(),COUNTIF(원본명단!$I$3:$I3619,원본명단!$I3619)=1),IF(원본명단!$K3619="",TRUE(),COUNTIF(원본명단!$K$3:$K3619,원본명단!$K3619)=1)),"첫 건","중복 건")))</f>
        <v/>
      </c>
      <c r="J3620" s="11" t="str">
        <f aca="false">IF($A3620="","",IF($H3620="-","유지",IF($I3620="첫 건","유지","확인 필요")))</f>
        <v/>
      </c>
    </row>
    <row r="3621" customFormat="false" ht="15" hidden="false" customHeight="true" outlineLevel="0" collapsed="false">
      <c r="A3621" s="11" t="str">
        <f aca="false">IF(원본명단!$A3620="","",3618)</f>
        <v/>
      </c>
      <c r="B3621" s="12" t="str">
        <f aca="false">IF($A3621="","",원본명단!$A3620)</f>
        <v/>
      </c>
      <c r="C3621" s="12" t="str">
        <f aca="false">IF($A3621="","",원본명단!$B3620)</f>
        <v/>
      </c>
      <c r="D3621" s="12" t="str">
        <f aca="false">IF($A3621="","",원본명단!$D3620)</f>
        <v/>
      </c>
      <c r="E3621" s="11" t="str">
        <f aca="false">IF($A3621="","",IF(원본명단!$H3620="",0,COUNTIF(원본명단!$H$3:$H$6002,원본명단!$H3620)))</f>
        <v/>
      </c>
      <c r="F3621" s="11" t="str">
        <f aca="false">IF($A3621="","",IF(원본명단!$I3620="",0,COUNTIF(원본명단!$I$3:$I$6002,원본명단!$I3620)))</f>
        <v/>
      </c>
      <c r="G3621" s="11" t="str">
        <f aca="false">IF($A3621="","",IF(원본명단!$K3620="",0,COUNTIF(원본명단!$K$3:$K$6002,원본명단!$K3620)))</f>
        <v/>
      </c>
      <c r="H3621" s="11" t="str">
        <f aca="false">IF($A3621="","",IF(MAX($E3621,$F3621,$G3621)&gt;1,"중복","-"))</f>
        <v/>
      </c>
      <c r="I3621" s="11" t="str">
        <f aca="false">IF($A3621="","",IF($H3621="-","-",IF(AND(IF(원본명단!$H3620="",TRUE(),COUNTIF(원본명단!$H$3:$H3620,원본명단!$H3620)=1),IF(원본명단!$I3620="",TRUE(),COUNTIF(원본명단!$I$3:$I3620,원본명단!$I3620)=1),IF(원본명단!$K3620="",TRUE(),COUNTIF(원본명단!$K$3:$K3620,원본명단!$K3620)=1)),"첫 건","중복 건")))</f>
        <v/>
      </c>
      <c r="J3621" s="11" t="str">
        <f aca="false">IF($A3621="","",IF($H3621="-","유지",IF($I3621="첫 건","유지","확인 필요")))</f>
        <v/>
      </c>
    </row>
    <row r="3622" customFormat="false" ht="15" hidden="false" customHeight="true" outlineLevel="0" collapsed="false">
      <c r="A3622" s="11" t="str">
        <f aca="false">IF(원본명단!$A3621="","",3619)</f>
        <v/>
      </c>
      <c r="B3622" s="12" t="str">
        <f aca="false">IF($A3622="","",원본명단!$A3621)</f>
        <v/>
      </c>
      <c r="C3622" s="12" t="str">
        <f aca="false">IF($A3622="","",원본명단!$B3621)</f>
        <v/>
      </c>
      <c r="D3622" s="12" t="str">
        <f aca="false">IF($A3622="","",원본명단!$D3621)</f>
        <v/>
      </c>
      <c r="E3622" s="11" t="str">
        <f aca="false">IF($A3622="","",IF(원본명단!$H3621="",0,COUNTIF(원본명단!$H$3:$H$6002,원본명단!$H3621)))</f>
        <v/>
      </c>
      <c r="F3622" s="11" t="str">
        <f aca="false">IF($A3622="","",IF(원본명단!$I3621="",0,COUNTIF(원본명단!$I$3:$I$6002,원본명단!$I3621)))</f>
        <v/>
      </c>
      <c r="G3622" s="11" t="str">
        <f aca="false">IF($A3622="","",IF(원본명단!$K3621="",0,COUNTIF(원본명단!$K$3:$K$6002,원본명단!$K3621)))</f>
        <v/>
      </c>
      <c r="H3622" s="11" t="str">
        <f aca="false">IF($A3622="","",IF(MAX($E3622,$F3622,$G3622)&gt;1,"중복","-"))</f>
        <v/>
      </c>
      <c r="I3622" s="11" t="str">
        <f aca="false">IF($A3622="","",IF($H3622="-","-",IF(AND(IF(원본명단!$H3621="",TRUE(),COUNTIF(원본명단!$H$3:$H3621,원본명단!$H3621)=1),IF(원본명단!$I3621="",TRUE(),COUNTIF(원본명단!$I$3:$I3621,원본명단!$I3621)=1),IF(원본명단!$K3621="",TRUE(),COUNTIF(원본명단!$K$3:$K3621,원본명단!$K3621)=1)),"첫 건","중복 건")))</f>
        <v/>
      </c>
      <c r="J3622" s="11" t="str">
        <f aca="false">IF($A3622="","",IF($H3622="-","유지",IF($I3622="첫 건","유지","확인 필요")))</f>
        <v/>
      </c>
    </row>
    <row r="3623" customFormat="false" ht="15" hidden="false" customHeight="true" outlineLevel="0" collapsed="false">
      <c r="A3623" s="11" t="str">
        <f aca="false">IF(원본명단!$A3622="","",3620)</f>
        <v/>
      </c>
      <c r="B3623" s="12" t="str">
        <f aca="false">IF($A3623="","",원본명단!$A3622)</f>
        <v/>
      </c>
      <c r="C3623" s="12" t="str">
        <f aca="false">IF($A3623="","",원본명단!$B3622)</f>
        <v/>
      </c>
      <c r="D3623" s="12" t="str">
        <f aca="false">IF($A3623="","",원본명단!$D3622)</f>
        <v/>
      </c>
      <c r="E3623" s="11" t="str">
        <f aca="false">IF($A3623="","",IF(원본명단!$H3622="",0,COUNTIF(원본명단!$H$3:$H$6002,원본명단!$H3622)))</f>
        <v/>
      </c>
      <c r="F3623" s="11" t="str">
        <f aca="false">IF($A3623="","",IF(원본명단!$I3622="",0,COUNTIF(원본명단!$I$3:$I$6002,원본명단!$I3622)))</f>
        <v/>
      </c>
      <c r="G3623" s="11" t="str">
        <f aca="false">IF($A3623="","",IF(원본명단!$K3622="",0,COUNTIF(원본명단!$K$3:$K$6002,원본명단!$K3622)))</f>
        <v/>
      </c>
      <c r="H3623" s="11" t="str">
        <f aca="false">IF($A3623="","",IF(MAX($E3623,$F3623,$G3623)&gt;1,"중복","-"))</f>
        <v/>
      </c>
      <c r="I3623" s="11" t="str">
        <f aca="false">IF($A3623="","",IF($H3623="-","-",IF(AND(IF(원본명단!$H3622="",TRUE(),COUNTIF(원본명단!$H$3:$H3622,원본명단!$H3622)=1),IF(원본명단!$I3622="",TRUE(),COUNTIF(원본명단!$I$3:$I3622,원본명단!$I3622)=1),IF(원본명단!$K3622="",TRUE(),COUNTIF(원본명단!$K$3:$K3622,원본명단!$K3622)=1)),"첫 건","중복 건")))</f>
        <v/>
      </c>
      <c r="J3623" s="11" t="str">
        <f aca="false">IF($A3623="","",IF($H3623="-","유지",IF($I3623="첫 건","유지","확인 필요")))</f>
        <v/>
      </c>
    </row>
    <row r="3624" customFormat="false" ht="15" hidden="false" customHeight="true" outlineLevel="0" collapsed="false">
      <c r="A3624" s="11" t="str">
        <f aca="false">IF(원본명단!$A3623="","",3621)</f>
        <v/>
      </c>
      <c r="B3624" s="12" t="str">
        <f aca="false">IF($A3624="","",원본명단!$A3623)</f>
        <v/>
      </c>
      <c r="C3624" s="12" t="str">
        <f aca="false">IF($A3624="","",원본명단!$B3623)</f>
        <v/>
      </c>
      <c r="D3624" s="12" t="str">
        <f aca="false">IF($A3624="","",원본명단!$D3623)</f>
        <v/>
      </c>
      <c r="E3624" s="11" t="str">
        <f aca="false">IF($A3624="","",IF(원본명단!$H3623="",0,COUNTIF(원본명단!$H$3:$H$6002,원본명단!$H3623)))</f>
        <v/>
      </c>
      <c r="F3624" s="11" t="str">
        <f aca="false">IF($A3624="","",IF(원본명단!$I3623="",0,COUNTIF(원본명단!$I$3:$I$6002,원본명단!$I3623)))</f>
        <v/>
      </c>
      <c r="G3624" s="11" t="str">
        <f aca="false">IF($A3624="","",IF(원본명단!$K3623="",0,COUNTIF(원본명단!$K$3:$K$6002,원본명단!$K3623)))</f>
        <v/>
      </c>
      <c r="H3624" s="11" t="str">
        <f aca="false">IF($A3624="","",IF(MAX($E3624,$F3624,$G3624)&gt;1,"중복","-"))</f>
        <v/>
      </c>
      <c r="I3624" s="11" t="str">
        <f aca="false">IF($A3624="","",IF($H3624="-","-",IF(AND(IF(원본명단!$H3623="",TRUE(),COUNTIF(원본명단!$H$3:$H3623,원본명단!$H3623)=1),IF(원본명단!$I3623="",TRUE(),COUNTIF(원본명단!$I$3:$I3623,원본명단!$I3623)=1),IF(원본명단!$K3623="",TRUE(),COUNTIF(원본명단!$K$3:$K3623,원본명단!$K3623)=1)),"첫 건","중복 건")))</f>
        <v/>
      </c>
      <c r="J3624" s="11" t="str">
        <f aca="false">IF($A3624="","",IF($H3624="-","유지",IF($I3624="첫 건","유지","확인 필요")))</f>
        <v/>
      </c>
    </row>
    <row r="3625" customFormat="false" ht="15" hidden="false" customHeight="true" outlineLevel="0" collapsed="false">
      <c r="A3625" s="11" t="str">
        <f aca="false">IF(원본명단!$A3624="","",3622)</f>
        <v/>
      </c>
      <c r="B3625" s="12" t="str">
        <f aca="false">IF($A3625="","",원본명단!$A3624)</f>
        <v/>
      </c>
      <c r="C3625" s="12" t="str">
        <f aca="false">IF($A3625="","",원본명단!$B3624)</f>
        <v/>
      </c>
      <c r="D3625" s="12" t="str">
        <f aca="false">IF($A3625="","",원본명단!$D3624)</f>
        <v/>
      </c>
      <c r="E3625" s="11" t="str">
        <f aca="false">IF($A3625="","",IF(원본명단!$H3624="",0,COUNTIF(원본명단!$H$3:$H$6002,원본명단!$H3624)))</f>
        <v/>
      </c>
      <c r="F3625" s="11" t="str">
        <f aca="false">IF($A3625="","",IF(원본명단!$I3624="",0,COUNTIF(원본명단!$I$3:$I$6002,원본명단!$I3624)))</f>
        <v/>
      </c>
      <c r="G3625" s="11" t="str">
        <f aca="false">IF($A3625="","",IF(원본명단!$K3624="",0,COUNTIF(원본명단!$K$3:$K$6002,원본명단!$K3624)))</f>
        <v/>
      </c>
      <c r="H3625" s="11" t="str">
        <f aca="false">IF($A3625="","",IF(MAX($E3625,$F3625,$G3625)&gt;1,"중복","-"))</f>
        <v/>
      </c>
      <c r="I3625" s="11" t="str">
        <f aca="false">IF($A3625="","",IF($H3625="-","-",IF(AND(IF(원본명단!$H3624="",TRUE(),COUNTIF(원본명단!$H$3:$H3624,원본명단!$H3624)=1),IF(원본명단!$I3624="",TRUE(),COUNTIF(원본명단!$I$3:$I3624,원본명단!$I3624)=1),IF(원본명단!$K3624="",TRUE(),COUNTIF(원본명단!$K$3:$K3624,원본명단!$K3624)=1)),"첫 건","중복 건")))</f>
        <v/>
      </c>
      <c r="J3625" s="11" t="str">
        <f aca="false">IF($A3625="","",IF($H3625="-","유지",IF($I3625="첫 건","유지","확인 필요")))</f>
        <v/>
      </c>
    </row>
    <row r="3626" customFormat="false" ht="15" hidden="false" customHeight="true" outlineLevel="0" collapsed="false">
      <c r="A3626" s="11" t="str">
        <f aca="false">IF(원본명단!$A3625="","",3623)</f>
        <v/>
      </c>
      <c r="B3626" s="12" t="str">
        <f aca="false">IF($A3626="","",원본명단!$A3625)</f>
        <v/>
      </c>
      <c r="C3626" s="12" t="str">
        <f aca="false">IF($A3626="","",원본명단!$B3625)</f>
        <v/>
      </c>
      <c r="D3626" s="12" t="str">
        <f aca="false">IF($A3626="","",원본명단!$D3625)</f>
        <v/>
      </c>
      <c r="E3626" s="11" t="str">
        <f aca="false">IF($A3626="","",IF(원본명단!$H3625="",0,COUNTIF(원본명단!$H$3:$H$6002,원본명단!$H3625)))</f>
        <v/>
      </c>
      <c r="F3626" s="11" t="str">
        <f aca="false">IF($A3626="","",IF(원본명단!$I3625="",0,COUNTIF(원본명단!$I$3:$I$6002,원본명단!$I3625)))</f>
        <v/>
      </c>
      <c r="G3626" s="11" t="str">
        <f aca="false">IF($A3626="","",IF(원본명단!$K3625="",0,COUNTIF(원본명단!$K$3:$K$6002,원본명단!$K3625)))</f>
        <v/>
      </c>
      <c r="H3626" s="11" t="str">
        <f aca="false">IF($A3626="","",IF(MAX($E3626,$F3626,$G3626)&gt;1,"중복","-"))</f>
        <v/>
      </c>
      <c r="I3626" s="11" t="str">
        <f aca="false">IF($A3626="","",IF($H3626="-","-",IF(AND(IF(원본명단!$H3625="",TRUE(),COUNTIF(원본명단!$H$3:$H3625,원본명단!$H3625)=1),IF(원본명단!$I3625="",TRUE(),COUNTIF(원본명단!$I$3:$I3625,원본명단!$I3625)=1),IF(원본명단!$K3625="",TRUE(),COUNTIF(원본명단!$K$3:$K3625,원본명단!$K3625)=1)),"첫 건","중복 건")))</f>
        <v/>
      </c>
      <c r="J3626" s="11" t="str">
        <f aca="false">IF($A3626="","",IF($H3626="-","유지",IF($I3626="첫 건","유지","확인 필요")))</f>
        <v/>
      </c>
    </row>
    <row r="3627" customFormat="false" ht="15" hidden="false" customHeight="true" outlineLevel="0" collapsed="false">
      <c r="A3627" s="11" t="str">
        <f aca="false">IF(원본명단!$A3626="","",3624)</f>
        <v/>
      </c>
      <c r="B3627" s="12" t="str">
        <f aca="false">IF($A3627="","",원본명단!$A3626)</f>
        <v/>
      </c>
      <c r="C3627" s="12" t="str">
        <f aca="false">IF($A3627="","",원본명단!$B3626)</f>
        <v/>
      </c>
      <c r="D3627" s="12" t="str">
        <f aca="false">IF($A3627="","",원본명단!$D3626)</f>
        <v/>
      </c>
      <c r="E3627" s="11" t="str">
        <f aca="false">IF($A3627="","",IF(원본명단!$H3626="",0,COUNTIF(원본명단!$H$3:$H$6002,원본명단!$H3626)))</f>
        <v/>
      </c>
      <c r="F3627" s="11" t="str">
        <f aca="false">IF($A3627="","",IF(원본명단!$I3626="",0,COUNTIF(원본명단!$I$3:$I$6002,원본명단!$I3626)))</f>
        <v/>
      </c>
      <c r="G3627" s="11" t="str">
        <f aca="false">IF($A3627="","",IF(원본명단!$K3626="",0,COUNTIF(원본명단!$K$3:$K$6002,원본명단!$K3626)))</f>
        <v/>
      </c>
      <c r="H3627" s="11" t="str">
        <f aca="false">IF($A3627="","",IF(MAX($E3627,$F3627,$G3627)&gt;1,"중복","-"))</f>
        <v/>
      </c>
      <c r="I3627" s="11" t="str">
        <f aca="false">IF($A3627="","",IF($H3627="-","-",IF(AND(IF(원본명단!$H3626="",TRUE(),COUNTIF(원본명단!$H$3:$H3626,원본명단!$H3626)=1),IF(원본명단!$I3626="",TRUE(),COUNTIF(원본명단!$I$3:$I3626,원본명단!$I3626)=1),IF(원본명단!$K3626="",TRUE(),COUNTIF(원본명단!$K$3:$K3626,원본명단!$K3626)=1)),"첫 건","중복 건")))</f>
        <v/>
      </c>
      <c r="J3627" s="11" t="str">
        <f aca="false">IF($A3627="","",IF($H3627="-","유지",IF($I3627="첫 건","유지","확인 필요")))</f>
        <v/>
      </c>
    </row>
    <row r="3628" customFormat="false" ht="15" hidden="false" customHeight="true" outlineLevel="0" collapsed="false">
      <c r="A3628" s="11" t="str">
        <f aca="false">IF(원본명단!$A3627="","",3625)</f>
        <v/>
      </c>
      <c r="B3628" s="12" t="str">
        <f aca="false">IF($A3628="","",원본명단!$A3627)</f>
        <v/>
      </c>
      <c r="C3628" s="12" t="str">
        <f aca="false">IF($A3628="","",원본명단!$B3627)</f>
        <v/>
      </c>
      <c r="D3628" s="12" t="str">
        <f aca="false">IF($A3628="","",원본명단!$D3627)</f>
        <v/>
      </c>
      <c r="E3628" s="11" t="str">
        <f aca="false">IF($A3628="","",IF(원본명단!$H3627="",0,COUNTIF(원본명단!$H$3:$H$6002,원본명단!$H3627)))</f>
        <v/>
      </c>
      <c r="F3628" s="11" t="str">
        <f aca="false">IF($A3628="","",IF(원본명단!$I3627="",0,COUNTIF(원본명단!$I$3:$I$6002,원본명단!$I3627)))</f>
        <v/>
      </c>
      <c r="G3628" s="11" t="str">
        <f aca="false">IF($A3628="","",IF(원본명단!$K3627="",0,COUNTIF(원본명단!$K$3:$K$6002,원본명단!$K3627)))</f>
        <v/>
      </c>
      <c r="H3628" s="11" t="str">
        <f aca="false">IF($A3628="","",IF(MAX($E3628,$F3628,$G3628)&gt;1,"중복","-"))</f>
        <v/>
      </c>
      <c r="I3628" s="11" t="str">
        <f aca="false">IF($A3628="","",IF($H3628="-","-",IF(AND(IF(원본명단!$H3627="",TRUE(),COUNTIF(원본명단!$H$3:$H3627,원본명단!$H3627)=1),IF(원본명단!$I3627="",TRUE(),COUNTIF(원본명단!$I$3:$I3627,원본명단!$I3627)=1),IF(원본명단!$K3627="",TRUE(),COUNTIF(원본명단!$K$3:$K3627,원본명단!$K3627)=1)),"첫 건","중복 건")))</f>
        <v/>
      </c>
      <c r="J3628" s="11" t="str">
        <f aca="false">IF($A3628="","",IF($H3628="-","유지",IF($I3628="첫 건","유지","확인 필요")))</f>
        <v/>
      </c>
    </row>
    <row r="3629" customFormat="false" ht="15" hidden="false" customHeight="true" outlineLevel="0" collapsed="false">
      <c r="A3629" s="11" t="str">
        <f aca="false">IF(원본명단!$A3628="","",3626)</f>
        <v/>
      </c>
      <c r="B3629" s="12" t="str">
        <f aca="false">IF($A3629="","",원본명단!$A3628)</f>
        <v/>
      </c>
      <c r="C3629" s="12" t="str">
        <f aca="false">IF($A3629="","",원본명단!$B3628)</f>
        <v/>
      </c>
      <c r="D3629" s="12" t="str">
        <f aca="false">IF($A3629="","",원본명단!$D3628)</f>
        <v/>
      </c>
      <c r="E3629" s="11" t="str">
        <f aca="false">IF($A3629="","",IF(원본명단!$H3628="",0,COUNTIF(원본명단!$H$3:$H$6002,원본명단!$H3628)))</f>
        <v/>
      </c>
      <c r="F3629" s="11" t="str">
        <f aca="false">IF($A3629="","",IF(원본명단!$I3628="",0,COUNTIF(원본명단!$I$3:$I$6002,원본명단!$I3628)))</f>
        <v/>
      </c>
      <c r="G3629" s="11" t="str">
        <f aca="false">IF($A3629="","",IF(원본명단!$K3628="",0,COUNTIF(원본명단!$K$3:$K$6002,원본명단!$K3628)))</f>
        <v/>
      </c>
      <c r="H3629" s="11" t="str">
        <f aca="false">IF($A3629="","",IF(MAX($E3629,$F3629,$G3629)&gt;1,"중복","-"))</f>
        <v/>
      </c>
      <c r="I3629" s="11" t="str">
        <f aca="false">IF($A3629="","",IF($H3629="-","-",IF(AND(IF(원본명단!$H3628="",TRUE(),COUNTIF(원본명단!$H$3:$H3628,원본명단!$H3628)=1),IF(원본명단!$I3628="",TRUE(),COUNTIF(원본명단!$I$3:$I3628,원본명단!$I3628)=1),IF(원본명단!$K3628="",TRUE(),COUNTIF(원본명단!$K$3:$K3628,원본명단!$K3628)=1)),"첫 건","중복 건")))</f>
        <v/>
      </c>
      <c r="J3629" s="11" t="str">
        <f aca="false">IF($A3629="","",IF($H3629="-","유지",IF($I3629="첫 건","유지","확인 필요")))</f>
        <v/>
      </c>
    </row>
    <row r="3630" customFormat="false" ht="15" hidden="false" customHeight="true" outlineLevel="0" collapsed="false">
      <c r="A3630" s="11" t="str">
        <f aca="false">IF(원본명단!$A3629="","",3627)</f>
        <v/>
      </c>
      <c r="B3630" s="12" t="str">
        <f aca="false">IF($A3630="","",원본명단!$A3629)</f>
        <v/>
      </c>
      <c r="C3630" s="12" t="str">
        <f aca="false">IF($A3630="","",원본명단!$B3629)</f>
        <v/>
      </c>
      <c r="D3630" s="12" t="str">
        <f aca="false">IF($A3630="","",원본명단!$D3629)</f>
        <v/>
      </c>
      <c r="E3630" s="11" t="str">
        <f aca="false">IF($A3630="","",IF(원본명단!$H3629="",0,COUNTIF(원본명단!$H$3:$H$6002,원본명단!$H3629)))</f>
        <v/>
      </c>
      <c r="F3630" s="11" t="str">
        <f aca="false">IF($A3630="","",IF(원본명단!$I3629="",0,COUNTIF(원본명단!$I$3:$I$6002,원본명단!$I3629)))</f>
        <v/>
      </c>
      <c r="G3630" s="11" t="str">
        <f aca="false">IF($A3630="","",IF(원본명단!$K3629="",0,COUNTIF(원본명단!$K$3:$K$6002,원본명단!$K3629)))</f>
        <v/>
      </c>
      <c r="H3630" s="11" t="str">
        <f aca="false">IF($A3630="","",IF(MAX($E3630,$F3630,$G3630)&gt;1,"중복","-"))</f>
        <v/>
      </c>
      <c r="I3630" s="11" t="str">
        <f aca="false">IF($A3630="","",IF($H3630="-","-",IF(AND(IF(원본명단!$H3629="",TRUE(),COUNTIF(원본명단!$H$3:$H3629,원본명단!$H3629)=1),IF(원본명단!$I3629="",TRUE(),COUNTIF(원본명단!$I$3:$I3629,원본명단!$I3629)=1),IF(원본명단!$K3629="",TRUE(),COUNTIF(원본명단!$K$3:$K3629,원본명단!$K3629)=1)),"첫 건","중복 건")))</f>
        <v/>
      </c>
      <c r="J3630" s="11" t="str">
        <f aca="false">IF($A3630="","",IF($H3630="-","유지",IF($I3630="첫 건","유지","확인 필요")))</f>
        <v/>
      </c>
    </row>
    <row r="3631" customFormat="false" ht="15" hidden="false" customHeight="true" outlineLevel="0" collapsed="false">
      <c r="A3631" s="11" t="str">
        <f aca="false">IF(원본명단!$A3630="","",3628)</f>
        <v/>
      </c>
      <c r="B3631" s="12" t="str">
        <f aca="false">IF($A3631="","",원본명단!$A3630)</f>
        <v/>
      </c>
      <c r="C3631" s="12" t="str">
        <f aca="false">IF($A3631="","",원본명단!$B3630)</f>
        <v/>
      </c>
      <c r="D3631" s="12" t="str">
        <f aca="false">IF($A3631="","",원본명단!$D3630)</f>
        <v/>
      </c>
      <c r="E3631" s="11" t="str">
        <f aca="false">IF($A3631="","",IF(원본명단!$H3630="",0,COUNTIF(원본명단!$H$3:$H$6002,원본명단!$H3630)))</f>
        <v/>
      </c>
      <c r="F3631" s="11" t="str">
        <f aca="false">IF($A3631="","",IF(원본명단!$I3630="",0,COUNTIF(원본명단!$I$3:$I$6002,원본명단!$I3630)))</f>
        <v/>
      </c>
      <c r="G3631" s="11" t="str">
        <f aca="false">IF($A3631="","",IF(원본명단!$K3630="",0,COUNTIF(원본명단!$K$3:$K$6002,원본명단!$K3630)))</f>
        <v/>
      </c>
      <c r="H3631" s="11" t="str">
        <f aca="false">IF($A3631="","",IF(MAX($E3631,$F3631,$G3631)&gt;1,"중복","-"))</f>
        <v/>
      </c>
      <c r="I3631" s="11" t="str">
        <f aca="false">IF($A3631="","",IF($H3631="-","-",IF(AND(IF(원본명단!$H3630="",TRUE(),COUNTIF(원본명단!$H$3:$H3630,원본명단!$H3630)=1),IF(원본명단!$I3630="",TRUE(),COUNTIF(원본명단!$I$3:$I3630,원본명단!$I3630)=1),IF(원본명단!$K3630="",TRUE(),COUNTIF(원본명단!$K$3:$K3630,원본명단!$K3630)=1)),"첫 건","중복 건")))</f>
        <v/>
      </c>
      <c r="J3631" s="11" t="str">
        <f aca="false">IF($A3631="","",IF($H3631="-","유지",IF($I3631="첫 건","유지","확인 필요")))</f>
        <v/>
      </c>
    </row>
    <row r="3632" customFormat="false" ht="15" hidden="false" customHeight="true" outlineLevel="0" collapsed="false">
      <c r="A3632" s="11" t="str">
        <f aca="false">IF(원본명단!$A3631="","",3629)</f>
        <v/>
      </c>
      <c r="B3632" s="12" t="str">
        <f aca="false">IF($A3632="","",원본명단!$A3631)</f>
        <v/>
      </c>
      <c r="C3632" s="12" t="str">
        <f aca="false">IF($A3632="","",원본명단!$B3631)</f>
        <v/>
      </c>
      <c r="D3632" s="12" t="str">
        <f aca="false">IF($A3632="","",원본명단!$D3631)</f>
        <v/>
      </c>
      <c r="E3632" s="11" t="str">
        <f aca="false">IF($A3632="","",IF(원본명단!$H3631="",0,COUNTIF(원본명단!$H$3:$H$6002,원본명단!$H3631)))</f>
        <v/>
      </c>
      <c r="F3632" s="11" t="str">
        <f aca="false">IF($A3632="","",IF(원본명단!$I3631="",0,COUNTIF(원본명단!$I$3:$I$6002,원본명단!$I3631)))</f>
        <v/>
      </c>
      <c r="G3632" s="11" t="str">
        <f aca="false">IF($A3632="","",IF(원본명단!$K3631="",0,COUNTIF(원본명단!$K$3:$K$6002,원본명단!$K3631)))</f>
        <v/>
      </c>
      <c r="H3632" s="11" t="str">
        <f aca="false">IF($A3632="","",IF(MAX($E3632,$F3632,$G3632)&gt;1,"중복","-"))</f>
        <v/>
      </c>
      <c r="I3632" s="11" t="str">
        <f aca="false">IF($A3632="","",IF($H3632="-","-",IF(AND(IF(원본명단!$H3631="",TRUE(),COUNTIF(원본명단!$H$3:$H3631,원본명단!$H3631)=1),IF(원본명단!$I3631="",TRUE(),COUNTIF(원본명단!$I$3:$I3631,원본명단!$I3631)=1),IF(원본명단!$K3631="",TRUE(),COUNTIF(원본명단!$K$3:$K3631,원본명단!$K3631)=1)),"첫 건","중복 건")))</f>
        <v/>
      </c>
      <c r="J3632" s="11" t="str">
        <f aca="false">IF($A3632="","",IF($H3632="-","유지",IF($I3632="첫 건","유지","확인 필요")))</f>
        <v/>
      </c>
    </row>
    <row r="3633" customFormat="false" ht="15" hidden="false" customHeight="true" outlineLevel="0" collapsed="false">
      <c r="A3633" s="11" t="str">
        <f aca="false">IF(원본명단!$A3632="","",3630)</f>
        <v/>
      </c>
      <c r="B3633" s="12" t="str">
        <f aca="false">IF($A3633="","",원본명단!$A3632)</f>
        <v/>
      </c>
      <c r="C3633" s="12" t="str">
        <f aca="false">IF($A3633="","",원본명단!$B3632)</f>
        <v/>
      </c>
      <c r="D3633" s="12" t="str">
        <f aca="false">IF($A3633="","",원본명단!$D3632)</f>
        <v/>
      </c>
      <c r="E3633" s="11" t="str">
        <f aca="false">IF($A3633="","",IF(원본명단!$H3632="",0,COUNTIF(원본명단!$H$3:$H$6002,원본명단!$H3632)))</f>
        <v/>
      </c>
      <c r="F3633" s="11" t="str">
        <f aca="false">IF($A3633="","",IF(원본명단!$I3632="",0,COUNTIF(원본명단!$I$3:$I$6002,원본명단!$I3632)))</f>
        <v/>
      </c>
      <c r="G3633" s="11" t="str">
        <f aca="false">IF($A3633="","",IF(원본명단!$K3632="",0,COUNTIF(원본명단!$K$3:$K$6002,원본명단!$K3632)))</f>
        <v/>
      </c>
      <c r="H3633" s="11" t="str">
        <f aca="false">IF($A3633="","",IF(MAX($E3633,$F3633,$G3633)&gt;1,"중복","-"))</f>
        <v/>
      </c>
      <c r="I3633" s="11" t="str">
        <f aca="false">IF($A3633="","",IF($H3633="-","-",IF(AND(IF(원본명단!$H3632="",TRUE(),COUNTIF(원본명단!$H$3:$H3632,원본명단!$H3632)=1),IF(원본명단!$I3632="",TRUE(),COUNTIF(원본명단!$I$3:$I3632,원본명단!$I3632)=1),IF(원본명단!$K3632="",TRUE(),COUNTIF(원본명단!$K$3:$K3632,원본명단!$K3632)=1)),"첫 건","중복 건")))</f>
        <v/>
      </c>
      <c r="J3633" s="11" t="str">
        <f aca="false">IF($A3633="","",IF($H3633="-","유지",IF($I3633="첫 건","유지","확인 필요")))</f>
        <v/>
      </c>
    </row>
    <row r="3634" customFormat="false" ht="15" hidden="false" customHeight="true" outlineLevel="0" collapsed="false">
      <c r="A3634" s="11" t="str">
        <f aca="false">IF(원본명단!$A3633="","",3631)</f>
        <v/>
      </c>
      <c r="B3634" s="12" t="str">
        <f aca="false">IF($A3634="","",원본명단!$A3633)</f>
        <v/>
      </c>
      <c r="C3634" s="12" t="str">
        <f aca="false">IF($A3634="","",원본명단!$B3633)</f>
        <v/>
      </c>
      <c r="D3634" s="12" t="str">
        <f aca="false">IF($A3634="","",원본명단!$D3633)</f>
        <v/>
      </c>
      <c r="E3634" s="11" t="str">
        <f aca="false">IF($A3634="","",IF(원본명단!$H3633="",0,COUNTIF(원본명단!$H$3:$H$6002,원본명단!$H3633)))</f>
        <v/>
      </c>
      <c r="F3634" s="11" t="str">
        <f aca="false">IF($A3634="","",IF(원본명단!$I3633="",0,COUNTIF(원본명단!$I$3:$I$6002,원본명단!$I3633)))</f>
        <v/>
      </c>
      <c r="G3634" s="11" t="str">
        <f aca="false">IF($A3634="","",IF(원본명단!$K3633="",0,COUNTIF(원본명단!$K$3:$K$6002,원본명단!$K3633)))</f>
        <v/>
      </c>
      <c r="H3634" s="11" t="str">
        <f aca="false">IF($A3634="","",IF(MAX($E3634,$F3634,$G3634)&gt;1,"중복","-"))</f>
        <v/>
      </c>
      <c r="I3634" s="11" t="str">
        <f aca="false">IF($A3634="","",IF($H3634="-","-",IF(AND(IF(원본명단!$H3633="",TRUE(),COUNTIF(원본명단!$H$3:$H3633,원본명단!$H3633)=1),IF(원본명단!$I3633="",TRUE(),COUNTIF(원본명단!$I$3:$I3633,원본명단!$I3633)=1),IF(원본명단!$K3633="",TRUE(),COUNTIF(원본명단!$K$3:$K3633,원본명단!$K3633)=1)),"첫 건","중복 건")))</f>
        <v/>
      </c>
      <c r="J3634" s="11" t="str">
        <f aca="false">IF($A3634="","",IF($H3634="-","유지",IF($I3634="첫 건","유지","확인 필요")))</f>
        <v/>
      </c>
    </row>
    <row r="3635" customFormat="false" ht="15" hidden="false" customHeight="true" outlineLevel="0" collapsed="false">
      <c r="A3635" s="11" t="str">
        <f aca="false">IF(원본명단!$A3634="","",3632)</f>
        <v/>
      </c>
      <c r="B3635" s="12" t="str">
        <f aca="false">IF($A3635="","",원본명단!$A3634)</f>
        <v/>
      </c>
      <c r="C3635" s="12" t="str">
        <f aca="false">IF($A3635="","",원본명단!$B3634)</f>
        <v/>
      </c>
      <c r="D3635" s="12" t="str">
        <f aca="false">IF($A3635="","",원본명단!$D3634)</f>
        <v/>
      </c>
      <c r="E3635" s="11" t="str">
        <f aca="false">IF($A3635="","",IF(원본명단!$H3634="",0,COUNTIF(원본명단!$H$3:$H$6002,원본명단!$H3634)))</f>
        <v/>
      </c>
      <c r="F3635" s="11" t="str">
        <f aca="false">IF($A3635="","",IF(원본명단!$I3634="",0,COUNTIF(원본명단!$I$3:$I$6002,원본명단!$I3634)))</f>
        <v/>
      </c>
      <c r="G3635" s="11" t="str">
        <f aca="false">IF($A3635="","",IF(원본명단!$K3634="",0,COUNTIF(원본명단!$K$3:$K$6002,원본명단!$K3634)))</f>
        <v/>
      </c>
      <c r="H3635" s="11" t="str">
        <f aca="false">IF($A3635="","",IF(MAX($E3635,$F3635,$G3635)&gt;1,"중복","-"))</f>
        <v/>
      </c>
      <c r="I3635" s="11" t="str">
        <f aca="false">IF($A3635="","",IF($H3635="-","-",IF(AND(IF(원본명단!$H3634="",TRUE(),COUNTIF(원본명단!$H$3:$H3634,원본명단!$H3634)=1),IF(원본명단!$I3634="",TRUE(),COUNTIF(원본명단!$I$3:$I3634,원본명단!$I3634)=1),IF(원본명단!$K3634="",TRUE(),COUNTIF(원본명단!$K$3:$K3634,원본명단!$K3634)=1)),"첫 건","중복 건")))</f>
        <v/>
      </c>
      <c r="J3635" s="11" t="str">
        <f aca="false">IF($A3635="","",IF($H3635="-","유지",IF($I3635="첫 건","유지","확인 필요")))</f>
        <v/>
      </c>
    </row>
    <row r="3636" customFormat="false" ht="15" hidden="false" customHeight="true" outlineLevel="0" collapsed="false">
      <c r="A3636" s="11" t="str">
        <f aca="false">IF(원본명단!$A3635="","",3633)</f>
        <v/>
      </c>
      <c r="B3636" s="12" t="str">
        <f aca="false">IF($A3636="","",원본명단!$A3635)</f>
        <v/>
      </c>
      <c r="C3636" s="12" t="str">
        <f aca="false">IF($A3636="","",원본명단!$B3635)</f>
        <v/>
      </c>
      <c r="D3636" s="12" t="str">
        <f aca="false">IF($A3636="","",원본명단!$D3635)</f>
        <v/>
      </c>
      <c r="E3636" s="11" t="str">
        <f aca="false">IF($A3636="","",IF(원본명단!$H3635="",0,COUNTIF(원본명단!$H$3:$H$6002,원본명단!$H3635)))</f>
        <v/>
      </c>
      <c r="F3636" s="11" t="str">
        <f aca="false">IF($A3636="","",IF(원본명단!$I3635="",0,COUNTIF(원본명단!$I$3:$I$6002,원본명단!$I3635)))</f>
        <v/>
      </c>
      <c r="G3636" s="11" t="str">
        <f aca="false">IF($A3636="","",IF(원본명단!$K3635="",0,COUNTIF(원본명단!$K$3:$K$6002,원본명단!$K3635)))</f>
        <v/>
      </c>
      <c r="H3636" s="11" t="str">
        <f aca="false">IF($A3636="","",IF(MAX($E3636,$F3636,$G3636)&gt;1,"중복","-"))</f>
        <v/>
      </c>
      <c r="I3636" s="11" t="str">
        <f aca="false">IF($A3636="","",IF($H3636="-","-",IF(AND(IF(원본명단!$H3635="",TRUE(),COUNTIF(원본명단!$H$3:$H3635,원본명단!$H3635)=1),IF(원본명단!$I3635="",TRUE(),COUNTIF(원본명단!$I$3:$I3635,원본명단!$I3635)=1),IF(원본명단!$K3635="",TRUE(),COUNTIF(원본명단!$K$3:$K3635,원본명단!$K3635)=1)),"첫 건","중복 건")))</f>
        <v/>
      </c>
      <c r="J3636" s="11" t="str">
        <f aca="false">IF($A3636="","",IF($H3636="-","유지",IF($I3636="첫 건","유지","확인 필요")))</f>
        <v/>
      </c>
    </row>
    <row r="3637" customFormat="false" ht="15" hidden="false" customHeight="true" outlineLevel="0" collapsed="false">
      <c r="A3637" s="11" t="str">
        <f aca="false">IF(원본명단!$A3636="","",3634)</f>
        <v/>
      </c>
      <c r="B3637" s="12" t="str">
        <f aca="false">IF($A3637="","",원본명단!$A3636)</f>
        <v/>
      </c>
      <c r="C3637" s="12" t="str">
        <f aca="false">IF($A3637="","",원본명단!$B3636)</f>
        <v/>
      </c>
      <c r="D3637" s="12" t="str">
        <f aca="false">IF($A3637="","",원본명단!$D3636)</f>
        <v/>
      </c>
      <c r="E3637" s="11" t="str">
        <f aca="false">IF($A3637="","",IF(원본명단!$H3636="",0,COUNTIF(원본명단!$H$3:$H$6002,원본명단!$H3636)))</f>
        <v/>
      </c>
      <c r="F3637" s="11" t="str">
        <f aca="false">IF($A3637="","",IF(원본명단!$I3636="",0,COUNTIF(원본명단!$I$3:$I$6002,원본명단!$I3636)))</f>
        <v/>
      </c>
      <c r="G3637" s="11" t="str">
        <f aca="false">IF($A3637="","",IF(원본명단!$K3636="",0,COUNTIF(원본명단!$K$3:$K$6002,원본명단!$K3636)))</f>
        <v/>
      </c>
      <c r="H3637" s="11" t="str">
        <f aca="false">IF($A3637="","",IF(MAX($E3637,$F3637,$G3637)&gt;1,"중복","-"))</f>
        <v/>
      </c>
      <c r="I3637" s="11" t="str">
        <f aca="false">IF($A3637="","",IF($H3637="-","-",IF(AND(IF(원본명단!$H3636="",TRUE(),COUNTIF(원본명단!$H$3:$H3636,원본명단!$H3636)=1),IF(원본명단!$I3636="",TRUE(),COUNTIF(원본명단!$I$3:$I3636,원본명단!$I3636)=1),IF(원본명단!$K3636="",TRUE(),COUNTIF(원본명단!$K$3:$K3636,원본명단!$K3636)=1)),"첫 건","중복 건")))</f>
        <v/>
      </c>
      <c r="J3637" s="11" t="str">
        <f aca="false">IF($A3637="","",IF($H3637="-","유지",IF($I3637="첫 건","유지","확인 필요")))</f>
        <v/>
      </c>
    </row>
    <row r="3638" customFormat="false" ht="15" hidden="false" customHeight="true" outlineLevel="0" collapsed="false">
      <c r="A3638" s="11" t="str">
        <f aca="false">IF(원본명단!$A3637="","",3635)</f>
        <v/>
      </c>
      <c r="B3638" s="12" t="str">
        <f aca="false">IF($A3638="","",원본명단!$A3637)</f>
        <v/>
      </c>
      <c r="C3638" s="12" t="str">
        <f aca="false">IF($A3638="","",원본명단!$B3637)</f>
        <v/>
      </c>
      <c r="D3638" s="12" t="str">
        <f aca="false">IF($A3638="","",원본명단!$D3637)</f>
        <v/>
      </c>
      <c r="E3638" s="11" t="str">
        <f aca="false">IF($A3638="","",IF(원본명단!$H3637="",0,COUNTIF(원본명단!$H$3:$H$6002,원본명단!$H3637)))</f>
        <v/>
      </c>
      <c r="F3638" s="11" t="str">
        <f aca="false">IF($A3638="","",IF(원본명단!$I3637="",0,COUNTIF(원본명단!$I$3:$I$6002,원본명단!$I3637)))</f>
        <v/>
      </c>
      <c r="G3638" s="11" t="str">
        <f aca="false">IF($A3638="","",IF(원본명단!$K3637="",0,COUNTIF(원본명단!$K$3:$K$6002,원본명단!$K3637)))</f>
        <v/>
      </c>
      <c r="H3638" s="11" t="str">
        <f aca="false">IF($A3638="","",IF(MAX($E3638,$F3638,$G3638)&gt;1,"중복","-"))</f>
        <v/>
      </c>
      <c r="I3638" s="11" t="str">
        <f aca="false">IF($A3638="","",IF($H3638="-","-",IF(AND(IF(원본명단!$H3637="",TRUE(),COUNTIF(원본명단!$H$3:$H3637,원본명단!$H3637)=1),IF(원본명단!$I3637="",TRUE(),COUNTIF(원본명단!$I$3:$I3637,원본명단!$I3637)=1),IF(원본명단!$K3637="",TRUE(),COUNTIF(원본명단!$K$3:$K3637,원본명단!$K3637)=1)),"첫 건","중복 건")))</f>
        <v/>
      </c>
      <c r="J3638" s="11" t="str">
        <f aca="false">IF($A3638="","",IF($H3638="-","유지",IF($I3638="첫 건","유지","확인 필요")))</f>
        <v/>
      </c>
    </row>
    <row r="3639" customFormat="false" ht="15" hidden="false" customHeight="true" outlineLevel="0" collapsed="false">
      <c r="A3639" s="11" t="str">
        <f aca="false">IF(원본명단!$A3638="","",3636)</f>
        <v/>
      </c>
      <c r="B3639" s="12" t="str">
        <f aca="false">IF($A3639="","",원본명단!$A3638)</f>
        <v/>
      </c>
      <c r="C3639" s="12" t="str">
        <f aca="false">IF($A3639="","",원본명단!$B3638)</f>
        <v/>
      </c>
      <c r="D3639" s="12" t="str">
        <f aca="false">IF($A3639="","",원본명단!$D3638)</f>
        <v/>
      </c>
      <c r="E3639" s="11" t="str">
        <f aca="false">IF($A3639="","",IF(원본명단!$H3638="",0,COUNTIF(원본명단!$H$3:$H$6002,원본명단!$H3638)))</f>
        <v/>
      </c>
      <c r="F3639" s="11" t="str">
        <f aca="false">IF($A3639="","",IF(원본명단!$I3638="",0,COUNTIF(원본명단!$I$3:$I$6002,원본명단!$I3638)))</f>
        <v/>
      </c>
      <c r="G3639" s="11" t="str">
        <f aca="false">IF($A3639="","",IF(원본명단!$K3638="",0,COUNTIF(원본명단!$K$3:$K$6002,원본명단!$K3638)))</f>
        <v/>
      </c>
      <c r="H3639" s="11" t="str">
        <f aca="false">IF($A3639="","",IF(MAX($E3639,$F3639,$G3639)&gt;1,"중복","-"))</f>
        <v/>
      </c>
      <c r="I3639" s="11" t="str">
        <f aca="false">IF($A3639="","",IF($H3639="-","-",IF(AND(IF(원본명단!$H3638="",TRUE(),COUNTIF(원본명단!$H$3:$H3638,원본명단!$H3638)=1),IF(원본명단!$I3638="",TRUE(),COUNTIF(원본명단!$I$3:$I3638,원본명단!$I3638)=1),IF(원본명단!$K3638="",TRUE(),COUNTIF(원본명단!$K$3:$K3638,원본명단!$K3638)=1)),"첫 건","중복 건")))</f>
        <v/>
      </c>
      <c r="J3639" s="11" t="str">
        <f aca="false">IF($A3639="","",IF($H3639="-","유지",IF($I3639="첫 건","유지","확인 필요")))</f>
        <v/>
      </c>
    </row>
    <row r="3640" customFormat="false" ht="15" hidden="false" customHeight="true" outlineLevel="0" collapsed="false">
      <c r="A3640" s="11" t="str">
        <f aca="false">IF(원본명단!$A3639="","",3637)</f>
        <v/>
      </c>
      <c r="B3640" s="12" t="str">
        <f aca="false">IF($A3640="","",원본명단!$A3639)</f>
        <v/>
      </c>
      <c r="C3640" s="12" t="str">
        <f aca="false">IF($A3640="","",원본명단!$B3639)</f>
        <v/>
      </c>
      <c r="D3640" s="12" t="str">
        <f aca="false">IF($A3640="","",원본명단!$D3639)</f>
        <v/>
      </c>
      <c r="E3640" s="11" t="str">
        <f aca="false">IF($A3640="","",IF(원본명단!$H3639="",0,COUNTIF(원본명단!$H$3:$H$6002,원본명단!$H3639)))</f>
        <v/>
      </c>
      <c r="F3640" s="11" t="str">
        <f aca="false">IF($A3640="","",IF(원본명단!$I3639="",0,COUNTIF(원본명단!$I$3:$I$6002,원본명단!$I3639)))</f>
        <v/>
      </c>
      <c r="G3640" s="11" t="str">
        <f aca="false">IF($A3640="","",IF(원본명단!$K3639="",0,COUNTIF(원본명단!$K$3:$K$6002,원본명단!$K3639)))</f>
        <v/>
      </c>
      <c r="H3640" s="11" t="str">
        <f aca="false">IF($A3640="","",IF(MAX($E3640,$F3640,$G3640)&gt;1,"중복","-"))</f>
        <v/>
      </c>
      <c r="I3640" s="11" t="str">
        <f aca="false">IF($A3640="","",IF($H3640="-","-",IF(AND(IF(원본명단!$H3639="",TRUE(),COUNTIF(원본명단!$H$3:$H3639,원본명단!$H3639)=1),IF(원본명단!$I3639="",TRUE(),COUNTIF(원본명단!$I$3:$I3639,원본명단!$I3639)=1),IF(원본명단!$K3639="",TRUE(),COUNTIF(원본명단!$K$3:$K3639,원본명단!$K3639)=1)),"첫 건","중복 건")))</f>
        <v/>
      </c>
      <c r="J3640" s="11" t="str">
        <f aca="false">IF($A3640="","",IF($H3640="-","유지",IF($I3640="첫 건","유지","확인 필요")))</f>
        <v/>
      </c>
    </row>
    <row r="3641" customFormat="false" ht="15" hidden="false" customHeight="true" outlineLevel="0" collapsed="false">
      <c r="A3641" s="11" t="str">
        <f aca="false">IF(원본명단!$A3640="","",3638)</f>
        <v/>
      </c>
      <c r="B3641" s="12" t="str">
        <f aca="false">IF($A3641="","",원본명단!$A3640)</f>
        <v/>
      </c>
      <c r="C3641" s="12" t="str">
        <f aca="false">IF($A3641="","",원본명단!$B3640)</f>
        <v/>
      </c>
      <c r="D3641" s="12" t="str">
        <f aca="false">IF($A3641="","",원본명단!$D3640)</f>
        <v/>
      </c>
      <c r="E3641" s="11" t="str">
        <f aca="false">IF($A3641="","",IF(원본명단!$H3640="",0,COUNTIF(원본명단!$H$3:$H$6002,원본명단!$H3640)))</f>
        <v/>
      </c>
      <c r="F3641" s="11" t="str">
        <f aca="false">IF($A3641="","",IF(원본명단!$I3640="",0,COUNTIF(원본명단!$I$3:$I$6002,원본명단!$I3640)))</f>
        <v/>
      </c>
      <c r="G3641" s="11" t="str">
        <f aca="false">IF($A3641="","",IF(원본명단!$K3640="",0,COUNTIF(원본명단!$K$3:$K$6002,원본명단!$K3640)))</f>
        <v/>
      </c>
      <c r="H3641" s="11" t="str">
        <f aca="false">IF($A3641="","",IF(MAX($E3641,$F3641,$G3641)&gt;1,"중복","-"))</f>
        <v/>
      </c>
      <c r="I3641" s="11" t="str">
        <f aca="false">IF($A3641="","",IF($H3641="-","-",IF(AND(IF(원본명단!$H3640="",TRUE(),COUNTIF(원본명단!$H$3:$H3640,원본명단!$H3640)=1),IF(원본명단!$I3640="",TRUE(),COUNTIF(원본명단!$I$3:$I3640,원본명단!$I3640)=1),IF(원본명단!$K3640="",TRUE(),COUNTIF(원본명단!$K$3:$K3640,원본명단!$K3640)=1)),"첫 건","중복 건")))</f>
        <v/>
      </c>
      <c r="J3641" s="11" t="str">
        <f aca="false">IF($A3641="","",IF($H3641="-","유지",IF($I3641="첫 건","유지","확인 필요")))</f>
        <v/>
      </c>
    </row>
    <row r="3642" customFormat="false" ht="15" hidden="false" customHeight="true" outlineLevel="0" collapsed="false">
      <c r="A3642" s="11" t="str">
        <f aca="false">IF(원본명단!$A3641="","",3639)</f>
        <v/>
      </c>
      <c r="B3642" s="12" t="str">
        <f aca="false">IF($A3642="","",원본명단!$A3641)</f>
        <v/>
      </c>
      <c r="C3642" s="12" t="str">
        <f aca="false">IF($A3642="","",원본명단!$B3641)</f>
        <v/>
      </c>
      <c r="D3642" s="12" t="str">
        <f aca="false">IF($A3642="","",원본명단!$D3641)</f>
        <v/>
      </c>
      <c r="E3642" s="11" t="str">
        <f aca="false">IF($A3642="","",IF(원본명단!$H3641="",0,COUNTIF(원본명단!$H$3:$H$6002,원본명단!$H3641)))</f>
        <v/>
      </c>
      <c r="F3642" s="11" t="str">
        <f aca="false">IF($A3642="","",IF(원본명단!$I3641="",0,COUNTIF(원본명단!$I$3:$I$6002,원본명단!$I3641)))</f>
        <v/>
      </c>
      <c r="G3642" s="11" t="str">
        <f aca="false">IF($A3642="","",IF(원본명단!$K3641="",0,COUNTIF(원본명단!$K$3:$K$6002,원본명단!$K3641)))</f>
        <v/>
      </c>
      <c r="H3642" s="11" t="str">
        <f aca="false">IF($A3642="","",IF(MAX($E3642,$F3642,$G3642)&gt;1,"중복","-"))</f>
        <v/>
      </c>
      <c r="I3642" s="11" t="str">
        <f aca="false">IF($A3642="","",IF($H3642="-","-",IF(AND(IF(원본명단!$H3641="",TRUE(),COUNTIF(원본명단!$H$3:$H3641,원본명단!$H3641)=1),IF(원본명단!$I3641="",TRUE(),COUNTIF(원본명단!$I$3:$I3641,원본명단!$I3641)=1),IF(원본명단!$K3641="",TRUE(),COUNTIF(원본명단!$K$3:$K3641,원본명단!$K3641)=1)),"첫 건","중복 건")))</f>
        <v/>
      </c>
      <c r="J3642" s="11" t="str">
        <f aca="false">IF($A3642="","",IF($H3642="-","유지",IF($I3642="첫 건","유지","확인 필요")))</f>
        <v/>
      </c>
    </row>
    <row r="3643" customFormat="false" ht="15" hidden="false" customHeight="true" outlineLevel="0" collapsed="false">
      <c r="A3643" s="11" t="str">
        <f aca="false">IF(원본명단!$A3642="","",3640)</f>
        <v/>
      </c>
      <c r="B3643" s="12" t="str">
        <f aca="false">IF($A3643="","",원본명단!$A3642)</f>
        <v/>
      </c>
      <c r="C3643" s="12" t="str">
        <f aca="false">IF($A3643="","",원본명단!$B3642)</f>
        <v/>
      </c>
      <c r="D3643" s="12" t="str">
        <f aca="false">IF($A3643="","",원본명단!$D3642)</f>
        <v/>
      </c>
      <c r="E3643" s="11" t="str">
        <f aca="false">IF($A3643="","",IF(원본명단!$H3642="",0,COUNTIF(원본명단!$H$3:$H$6002,원본명단!$H3642)))</f>
        <v/>
      </c>
      <c r="F3643" s="11" t="str">
        <f aca="false">IF($A3643="","",IF(원본명단!$I3642="",0,COUNTIF(원본명단!$I$3:$I$6002,원본명단!$I3642)))</f>
        <v/>
      </c>
      <c r="G3643" s="11" t="str">
        <f aca="false">IF($A3643="","",IF(원본명단!$K3642="",0,COUNTIF(원본명단!$K$3:$K$6002,원본명단!$K3642)))</f>
        <v/>
      </c>
      <c r="H3643" s="11" t="str">
        <f aca="false">IF($A3643="","",IF(MAX($E3643,$F3643,$G3643)&gt;1,"중복","-"))</f>
        <v/>
      </c>
      <c r="I3643" s="11" t="str">
        <f aca="false">IF($A3643="","",IF($H3643="-","-",IF(AND(IF(원본명단!$H3642="",TRUE(),COUNTIF(원본명단!$H$3:$H3642,원본명단!$H3642)=1),IF(원본명단!$I3642="",TRUE(),COUNTIF(원본명단!$I$3:$I3642,원본명단!$I3642)=1),IF(원본명단!$K3642="",TRUE(),COUNTIF(원본명단!$K$3:$K3642,원본명단!$K3642)=1)),"첫 건","중복 건")))</f>
        <v/>
      </c>
      <c r="J3643" s="11" t="str">
        <f aca="false">IF($A3643="","",IF($H3643="-","유지",IF($I3643="첫 건","유지","확인 필요")))</f>
        <v/>
      </c>
    </row>
    <row r="3644" customFormat="false" ht="15" hidden="false" customHeight="true" outlineLevel="0" collapsed="false">
      <c r="A3644" s="11" t="str">
        <f aca="false">IF(원본명단!$A3643="","",3641)</f>
        <v/>
      </c>
      <c r="B3644" s="12" t="str">
        <f aca="false">IF($A3644="","",원본명단!$A3643)</f>
        <v/>
      </c>
      <c r="C3644" s="12" t="str">
        <f aca="false">IF($A3644="","",원본명단!$B3643)</f>
        <v/>
      </c>
      <c r="D3644" s="12" t="str">
        <f aca="false">IF($A3644="","",원본명단!$D3643)</f>
        <v/>
      </c>
      <c r="E3644" s="11" t="str">
        <f aca="false">IF($A3644="","",IF(원본명단!$H3643="",0,COUNTIF(원본명단!$H$3:$H$6002,원본명단!$H3643)))</f>
        <v/>
      </c>
      <c r="F3644" s="11" t="str">
        <f aca="false">IF($A3644="","",IF(원본명단!$I3643="",0,COUNTIF(원본명단!$I$3:$I$6002,원본명단!$I3643)))</f>
        <v/>
      </c>
      <c r="G3644" s="11" t="str">
        <f aca="false">IF($A3644="","",IF(원본명단!$K3643="",0,COUNTIF(원본명단!$K$3:$K$6002,원본명단!$K3643)))</f>
        <v/>
      </c>
      <c r="H3644" s="11" t="str">
        <f aca="false">IF($A3644="","",IF(MAX($E3644,$F3644,$G3644)&gt;1,"중복","-"))</f>
        <v/>
      </c>
      <c r="I3644" s="11" t="str">
        <f aca="false">IF($A3644="","",IF($H3644="-","-",IF(AND(IF(원본명단!$H3643="",TRUE(),COUNTIF(원본명단!$H$3:$H3643,원본명단!$H3643)=1),IF(원본명단!$I3643="",TRUE(),COUNTIF(원본명단!$I$3:$I3643,원본명단!$I3643)=1),IF(원본명단!$K3643="",TRUE(),COUNTIF(원본명단!$K$3:$K3643,원본명단!$K3643)=1)),"첫 건","중복 건")))</f>
        <v/>
      </c>
      <c r="J3644" s="11" t="str">
        <f aca="false">IF($A3644="","",IF($H3644="-","유지",IF($I3644="첫 건","유지","확인 필요")))</f>
        <v/>
      </c>
    </row>
    <row r="3645" customFormat="false" ht="15" hidden="false" customHeight="true" outlineLevel="0" collapsed="false">
      <c r="A3645" s="11" t="str">
        <f aca="false">IF(원본명단!$A3644="","",3642)</f>
        <v/>
      </c>
      <c r="B3645" s="12" t="str">
        <f aca="false">IF($A3645="","",원본명단!$A3644)</f>
        <v/>
      </c>
      <c r="C3645" s="12" t="str">
        <f aca="false">IF($A3645="","",원본명단!$B3644)</f>
        <v/>
      </c>
      <c r="D3645" s="12" t="str">
        <f aca="false">IF($A3645="","",원본명단!$D3644)</f>
        <v/>
      </c>
      <c r="E3645" s="11" t="str">
        <f aca="false">IF($A3645="","",IF(원본명단!$H3644="",0,COUNTIF(원본명단!$H$3:$H$6002,원본명단!$H3644)))</f>
        <v/>
      </c>
      <c r="F3645" s="11" t="str">
        <f aca="false">IF($A3645="","",IF(원본명단!$I3644="",0,COUNTIF(원본명단!$I$3:$I$6002,원본명단!$I3644)))</f>
        <v/>
      </c>
      <c r="G3645" s="11" t="str">
        <f aca="false">IF($A3645="","",IF(원본명단!$K3644="",0,COUNTIF(원본명단!$K$3:$K$6002,원본명단!$K3644)))</f>
        <v/>
      </c>
      <c r="H3645" s="11" t="str">
        <f aca="false">IF($A3645="","",IF(MAX($E3645,$F3645,$G3645)&gt;1,"중복","-"))</f>
        <v/>
      </c>
      <c r="I3645" s="11" t="str">
        <f aca="false">IF($A3645="","",IF($H3645="-","-",IF(AND(IF(원본명단!$H3644="",TRUE(),COUNTIF(원본명단!$H$3:$H3644,원본명단!$H3644)=1),IF(원본명단!$I3644="",TRUE(),COUNTIF(원본명단!$I$3:$I3644,원본명단!$I3644)=1),IF(원본명단!$K3644="",TRUE(),COUNTIF(원본명단!$K$3:$K3644,원본명단!$K3644)=1)),"첫 건","중복 건")))</f>
        <v/>
      </c>
      <c r="J3645" s="11" t="str">
        <f aca="false">IF($A3645="","",IF($H3645="-","유지",IF($I3645="첫 건","유지","확인 필요")))</f>
        <v/>
      </c>
    </row>
    <row r="3646" customFormat="false" ht="15" hidden="false" customHeight="true" outlineLevel="0" collapsed="false">
      <c r="A3646" s="11" t="str">
        <f aca="false">IF(원본명단!$A3645="","",3643)</f>
        <v/>
      </c>
      <c r="B3646" s="12" t="str">
        <f aca="false">IF($A3646="","",원본명단!$A3645)</f>
        <v/>
      </c>
      <c r="C3646" s="12" t="str">
        <f aca="false">IF($A3646="","",원본명단!$B3645)</f>
        <v/>
      </c>
      <c r="D3646" s="12" t="str">
        <f aca="false">IF($A3646="","",원본명단!$D3645)</f>
        <v/>
      </c>
      <c r="E3646" s="11" t="str">
        <f aca="false">IF($A3646="","",IF(원본명단!$H3645="",0,COUNTIF(원본명단!$H$3:$H$6002,원본명단!$H3645)))</f>
        <v/>
      </c>
      <c r="F3646" s="11" t="str">
        <f aca="false">IF($A3646="","",IF(원본명단!$I3645="",0,COUNTIF(원본명단!$I$3:$I$6002,원본명단!$I3645)))</f>
        <v/>
      </c>
      <c r="G3646" s="11" t="str">
        <f aca="false">IF($A3646="","",IF(원본명단!$K3645="",0,COUNTIF(원본명단!$K$3:$K$6002,원본명단!$K3645)))</f>
        <v/>
      </c>
      <c r="H3646" s="11" t="str">
        <f aca="false">IF($A3646="","",IF(MAX($E3646,$F3646,$G3646)&gt;1,"중복","-"))</f>
        <v/>
      </c>
      <c r="I3646" s="11" t="str">
        <f aca="false">IF($A3646="","",IF($H3646="-","-",IF(AND(IF(원본명단!$H3645="",TRUE(),COUNTIF(원본명단!$H$3:$H3645,원본명단!$H3645)=1),IF(원본명단!$I3645="",TRUE(),COUNTIF(원본명단!$I$3:$I3645,원본명단!$I3645)=1),IF(원본명단!$K3645="",TRUE(),COUNTIF(원본명단!$K$3:$K3645,원본명단!$K3645)=1)),"첫 건","중복 건")))</f>
        <v/>
      </c>
      <c r="J3646" s="11" t="str">
        <f aca="false">IF($A3646="","",IF($H3646="-","유지",IF($I3646="첫 건","유지","확인 필요")))</f>
        <v/>
      </c>
    </row>
    <row r="3647" customFormat="false" ht="15" hidden="false" customHeight="true" outlineLevel="0" collapsed="false">
      <c r="A3647" s="11" t="str">
        <f aca="false">IF(원본명단!$A3646="","",3644)</f>
        <v/>
      </c>
      <c r="B3647" s="12" t="str">
        <f aca="false">IF($A3647="","",원본명단!$A3646)</f>
        <v/>
      </c>
      <c r="C3647" s="12" t="str">
        <f aca="false">IF($A3647="","",원본명단!$B3646)</f>
        <v/>
      </c>
      <c r="D3647" s="12" t="str">
        <f aca="false">IF($A3647="","",원본명단!$D3646)</f>
        <v/>
      </c>
      <c r="E3647" s="11" t="str">
        <f aca="false">IF($A3647="","",IF(원본명단!$H3646="",0,COUNTIF(원본명단!$H$3:$H$6002,원본명단!$H3646)))</f>
        <v/>
      </c>
      <c r="F3647" s="11" t="str">
        <f aca="false">IF($A3647="","",IF(원본명단!$I3646="",0,COUNTIF(원본명단!$I$3:$I$6002,원본명단!$I3646)))</f>
        <v/>
      </c>
      <c r="G3647" s="11" t="str">
        <f aca="false">IF($A3647="","",IF(원본명단!$K3646="",0,COUNTIF(원본명단!$K$3:$K$6002,원본명단!$K3646)))</f>
        <v/>
      </c>
      <c r="H3647" s="11" t="str">
        <f aca="false">IF($A3647="","",IF(MAX($E3647,$F3647,$G3647)&gt;1,"중복","-"))</f>
        <v/>
      </c>
      <c r="I3647" s="11" t="str">
        <f aca="false">IF($A3647="","",IF($H3647="-","-",IF(AND(IF(원본명단!$H3646="",TRUE(),COUNTIF(원본명단!$H$3:$H3646,원본명단!$H3646)=1),IF(원본명단!$I3646="",TRUE(),COUNTIF(원본명단!$I$3:$I3646,원본명단!$I3646)=1),IF(원본명단!$K3646="",TRUE(),COUNTIF(원본명단!$K$3:$K3646,원본명단!$K3646)=1)),"첫 건","중복 건")))</f>
        <v/>
      </c>
      <c r="J3647" s="11" t="str">
        <f aca="false">IF($A3647="","",IF($H3647="-","유지",IF($I3647="첫 건","유지","확인 필요")))</f>
        <v/>
      </c>
    </row>
    <row r="3648" customFormat="false" ht="15" hidden="false" customHeight="true" outlineLevel="0" collapsed="false">
      <c r="A3648" s="11" t="str">
        <f aca="false">IF(원본명단!$A3647="","",3645)</f>
        <v/>
      </c>
      <c r="B3648" s="12" t="str">
        <f aca="false">IF($A3648="","",원본명단!$A3647)</f>
        <v/>
      </c>
      <c r="C3648" s="12" t="str">
        <f aca="false">IF($A3648="","",원본명단!$B3647)</f>
        <v/>
      </c>
      <c r="D3648" s="12" t="str">
        <f aca="false">IF($A3648="","",원본명단!$D3647)</f>
        <v/>
      </c>
      <c r="E3648" s="11" t="str">
        <f aca="false">IF($A3648="","",IF(원본명단!$H3647="",0,COUNTIF(원본명단!$H$3:$H$6002,원본명단!$H3647)))</f>
        <v/>
      </c>
      <c r="F3648" s="11" t="str">
        <f aca="false">IF($A3648="","",IF(원본명단!$I3647="",0,COUNTIF(원본명단!$I$3:$I$6002,원본명단!$I3647)))</f>
        <v/>
      </c>
      <c r="G3648" s="11" t="str">
        <f aca="false">IF($A3648="","",IF(원본명단!$K3647="",0,COUNTIF(원본명단!$K$3:$K$6002,원본명단!$K3647)))</f>
        <v/>
      </c>
      <c r="H3648" s="11" t="str">
        <f aca="false">IF($A3648="","",IF(MAX($E3648,$F3648,$G3648)&gt;1,"중복","-"))</f>
        <v/>
      </c>
      <c r="I3648" s="11" t="str">
        <f aca="false">IF($A3648="","",IF($H3648="-","-",IF(AND(IF(원본명단!$H3647="",TRUE(),COUNTIF(원본명단!$H$3:$H3647,원본명단!$H3647)=1),IF(원본명단!$I3647="",TRUE(),COUNTIF(원본명단!$I$3:$I3647,원본명단!$I3647)=1),IF(원본명단!$K3647="",TRUE(),COUNTIF(원본명단!$K$3:$K3647,원본명단!$K3647)=1)),"첫 건","중복 건")))</f>
        <v/>
      </c>
      <c r="J3648" s="11" t="str">
        <f aca="false">IF($A3648="","",IF($H3648="-","유지",IF($I3648="첫 건","유지","확인 필요")))</f>
        <v/>
      </c>
    </row>
    <row r="3649" customFormat="false" ht="15" hidden="false" customHeight="true" outlineLevel="0" collapsed="false">
      <c r="A3649" s="11" t="str">
        <f aca="false">IF(원본명단!$A3648="","",3646)</f>
        <v/>
      </c>
      <c r="B3649" s="12" t="str">
        <f aca="false">IF($A3649="","",원본명단!$A3648)</f>
        <v/>
      </c>
      <c r="C3649" s="12" t="str">
        <f aca="false">IF($A3649="","",원본명단!$B3648)</f>
        <v/>
      </c>
      <c r="D3649" s="12" t="str">
        <f aca="false">IF($A3649="","",원본명단!$D3648)</f>
        <v/>
      </c>
      <c r="E3649" s="11" t="str">
        <f aca="false">IF($A3649="","",IF(원본명단!$H3648="",0,COUNTIF(원본명단!$H$3:$H$6002,원본명단!$H3648)))</f>
        <v/>
      </c>
      <c r="F3649" s="11" t="str">
        <f aca="false">IF($A3649="","",IF(원본명단!$I3648="",0,COUNTIF(원본명단!$I$3:$I$6002,원본명단!$I3648)))</f>
        <v/>
      </c>
      <c r="G3649" s="11" t="str">
        <f aca="false">IF($A3649="","",IF(원본명단!$K3648="",0,COUNTIF(원본명단!$K$3:$K$6002,원본명단!$K3648)))</f>
        <v/>
      </c>
      <c r="H3649" s="11" t="str">
        <f aca="false">IF($A3649="","",IF(MAX($E3649,$F3649,$G3649)&gt;1,"중복","-"))</f>
        <v/>
      </c>
      <c r="I3649" s="11" t="str">
        <f aca="false">IF($A3649="","",IF($H3649="-","-",IF(AND(IF(원본명단!$H3648="",TRUE(),COUNTIF(원본명단!$H$3:$H3648,원본명단!$H3648)=1),IF(원본명단!$I3648="",TRUE(),COUNTIF(원본명단!$I$3:$I3648,원본명단!$I3648)=1),IF(원본명단!$K3648="",TRUE(),COUNTIF(원본명단!$K$3:$K3648,원본명단!$K3648)=1)),"첫 건","중복 건")))</f>
        <v/>
      </c>
      <c r="J3649" s="11" t="str">
        <f aca="false">IF($A3649="","",IF($H3649="-","유지",IF($I3649="첫 건","유지","확인 필요")))</f>
        <v/>
      </c>
    </row>
    <row r="3650" customFormat="false" ht="15" hidden="false" customHeight="true" outlineLevel="0" collapsed="false">
      <c r="A3650" s="11" t="str">
        <f aca="false">IF(원본명단!$A3649="","",3647)</f>
        <v/>
      </c>
      <c r="B3650" s="12" t="str">
        <f aca="false">IF($A3650="","",원본명단!$A3649)</f>
        <v/>
      </c>
      <c r="C3650" s="12" t="str">
        <f aca="false">IF($A3650="","",원본명단!$B3649)</f>
        <v/>
      </c>
      <c r="D3650" s="12" t="str">
        <f aca="false">IF($A3650="","",원본명단!$D3649)</f>
        <v/>
      </c>
      <c r="E3650" s="11" t="str">
        <f aca="false">IF($A3650="","",IF(원본명단!$H3649="",0,COUNTIF(원본명단!$H$3:$H$6002,원본명단!$H3649)))</f>
        <v/>
      </c>
      <c r="F3650" s="11" t="str">
        <f aca="false">IF($A3650="","",IF(원본명단!$I3649="",0,COUNTIF(원본명단!$I$3:$I$6002,원본명단!$I3649)))</f>
        <v/>
      </c>
      <c r="G3650" s="11" t="str">
        <f aca="false">IF($A3650="","",IF(원본명단!$K3649="",0,COUNTIF(원본명단!$K$3:$K$6002,원본명단!$K3649)))</f>
        <v/>
      </c>
      <c r="H3650" s="11" t="str">
        <f aca="false">IF($A3650="","",IF(MAX($E3650,$F3650,$G3650)&gt;1,"중복","-"))</f>
        <v/>
      </c>
      <c r="I3650" s="11" t="str">
        <f aca="false">IF($A3650="","",IF($H3650="-","-",IF(AND(IF(원본명단!$H3649="",TRUE(),COUNTIF(원본명단!$H$3:$H3649,원본명단!$H3649)=1),IF(원본명단!$I3649="",TRUE(),COUNTIF(원본명단!$I$3:$I3649,원본명단!$I3649)=1),IF(원본명단!$K3649="",TRUE(),COUNTIF(원본명단!$K$3:$K3649,원본명단!$K3649)=1)),"첫 건","중복 건")))</f>
        <v/>
      </c>
      <c r="J3650" s="11" t="str">
        <f aca="false">IF($A3650="","",IF($H3650="-","유지",IF($I3650="첫 건","유지","확인 필요")))</f>
        <v/>
      </c>
    </row>
    <row r="3651" customFormat="false" ht="15" hidden="false" customHeight="true" outlineLevel="0" collapsed="false">
      <c r="A3651" s="11" t="str">
        <f aca="false">IF(원본명단!$A3650="","",3648)</f>
        <v/>
      </c>
      <c r="B3651" s="12" t="str">
        <f aca="false">IF($A3651="","",원본명단!$A3650)</f>
        <v/>
      </c>
      <c r="C3651" s="12" t="str">
        <f aca="false">IF($A3651="","",원본명단!$B3650)</f>
        <v/>
      </c>
      <c r="D3651" s="12" t="str">
        <f aca="false">IF($A3651="","",원본명단!$D3650)</f>
        <v/>
      </c>
      <c r="E3651" s="11" t="str">
        <f aca="false">IF($A3651="","",IF(원본명단!$H3650="",0,COUNTIF(원본명단!$H$3:$H$6002,원본명단!$H3650)))</f>
        <v/>
      </c>
      <c r="F3651" s="11" t="str">
        <f aca="false">IF($A3651="","",IF(원본명단!$I3650="",0,COUNTIF(원본명단!$I$3:$I$6002,원본명단!$I3650)))</f>
        <v/>
      </c>
      <c r="G3651" s="11" t="str">
        <f aca="false">IF($A3651="","",IF(원본명단!$K3650="",0,COUNTIF(원본명단!$K$3:$K$6002,원본명단!$K3650)))</f>
        <v/>
      </c>
      <c r="H3651" s="11" t="str">
        <f aca="false">IF($A3651="","",IF(MAX($E3651,$F3651,$G3651)&gt;1,"중복","-"))</f>
        <v/>
      </c>
      <c r="I3651" s="11" t="str">
        <f aca="false">IF($A3651="","",IF($H3651="-","-",IF(AND(IF(원본명단!$H3650="",TRUE(),COUNTIF(원본명단!$H$3:$H3650,원본명단!$H3650)=1),IF(원본명단!$I3650="",TRUE(),COUNTIF(원본명단!$I$3:$I3650,원본명단!$I3650)=1),IF(원본명단!$K3650="",TRUE(),COUNTIF(원본명단!$K$3:$K3650,원본명단!$K3650)=1)),"첫 건","중복 건")))</f>
        <v/>
      </c>
      <c r="J3651" s="11" t="str">
        <f aca="false">IF($A3651="","",IF($H3651="-","유지",IF($I3651="첫 건","유지","확인 필요")))</f>
        <v/>
      </c>
    </row>
    <row r="3652" customFormat="false" ht="15" hidden="false" customHeight="true" outlineLevel="0" collapsed="false">
      <c r="A3652" s="11" t="str">
        <f aca="false">IF(원본명단!$A3651="","",3649)</f>
        <v/>
      </c>
      <c r="B3652" s="12" t="str">
        <f aca="false">IF($A3652="","",원본명단!$A3651)</f>
        <v/>
      </c>
      <c r="C3652" s="12" t="str">
        <f aca="false">IF($A3652="","",원본명단!$B3651)</f>
        <v/>
      </c>
      <c r="D3652" s="12" t="str">
        <f aca="false">IF($A3652="","",원본명단!$D3651)</f>
        <v/>
      </c>
      <c r="E3652" s="11" t="str">
        <f aca="false">IF($A3652="","",IF(원본명단!$H3651="",0,COUNTIF(원본명단!$H$3:$H$6002,원본명단!$H3651)))</f>
        <v/>
      </c>
      <c r="F3652" s="11" t="str">
        <f aca="false">IF($A3652="","",IF(원본명단!$I3651="",0,COUNTIF(원본명단!$I$3:$I$6002,원본명단!$I3651)))</f>
        <v/>
      </c>
      <c r="G3652" s="11" t="str">
        <f aca="false">IF($A3652="","",IF(원본명단!$K3651="",0,COUNTIF(원본명단!$K$3:$K$6002,원본명단!$K3651)))</f>
        <v/>
      </c>
      <c r="H3652" s="11" t="str">
        <f aca="false">IF($A3652="","",IF(MAX($E3652,$F3652,$G3652)&gt;1,"중복","-"))</f>
        <v/>
      </c>
      <c r="I3652" s="11" t="str">
        <f aca="false">IF($A3652="","",IF($H3652="-","-",IF(AND(IF(원본명단!$H3651="",TRUE(),COUNTIF(원본명단!$H$3:$H3651,원본명단!$H3651)=1),IF(원본명단!$I3651="",TRUE(),COUNTIF(원본명단!$I$3:$I3651,원본명단!$I3651)=1),IF(원본명단!$K3651="",TRUE(),COUNTIF(원본명단!$K$3:$K3651,원본명단!$K3651)=1)),"첫 건","중복 건")))</f>
        <v/>
      </c>
      <c r="J3652" s="11" t="str">
        <f aca="false">IF($A3652="","",IF($H3652="-","유지",IF($I3652="첫 건","유지","확인 필요")))</f>
        <v/>
      </c>
    </row>
    <row r="3653" customFormat="false" ht="15" hidden="false" customHeight="true" outlineLevel="0" collapsed="false">
      <c r="A3653" s="11" t="str">
        <f aca="false">IF(원본명단!$A3652="","",3650)</f>
        <v/>
      </c>
      <c r="B3653" s="12" t="str">
        <f aca="false">IF($A3653="","",원본명단!$A3652)</f>
        <v/>
      </c>
      <c r="C3653" s="12" t="str">
        <f aca="false">IF($A3653="","",원본명단!$B3652)</f>
        <v/>
      </c>
      <c r="D3653" s="12" t="str">
        <f aca="false">IF($A3653="","",원본명단!$D3652)</f>
        <v/>
      </c>
      <c r="E3653" s="11" t="str">
        <f aca="false">IF($A3653="","",IF(원본명단!$H3652="",0,COUNTIF(원본명단!$H$3:$H$6002,원본명단!$H3652)))</f>
        <v/>
      </c>
      <c r="F3653" s="11" t="str">
        <f aca="false">IF($A3653="","",IF(원본명단!$I3652="",0,COUNTIF(원본명단!$I$3:$I$6002,원본명단!$I3652)))</f>
        <v/>
      </c>
      <c r="G3653" s="11" t="str">
        <f aca="false">IF($A3653="","",IF(원본명단!$K3652="",0,COUNTIF(원본명단!$K$3:$K$6002,원본명단!$K3652)))</f>
        <v/>
      </c>
      <c r="H3653" s="11" t="str">
        <f aca="false">IF($A3653="","",IF(MAX($E3653,$F3653,$G3653)&gt;1,"중복","-"))</f>
        <v/>
      </c>
      <c r="I3653" s="11" t="str">
        <f aca="false">IF($A3653="","",IF($H3653="-","-",IF(AND(IF(원본명단!$H3652="",TRUE(),COUNTIF(원본명단!$H$3:$H3652,원본명단!$H3652)=1),IF(원본명단!$I3652="",TRUE(),COUNTIF(원본명단!$I$3:$I3652,원본명단!$I3652)=1),IF(원본명단!$K3652="",TRUE(),COUNTIF(원본명단!$K$3:$K3652,원본명단!$K3652)=1)),"첫 건","중복 건")))</f>
        <v/>
      </c>
      <c r="J3653" s="11" t="str">
        <f aca="false">IF($A3653="","",IF($H3653="-","유지",IF($I3653="첫 건","유지","확인 필요")))</f>
        <v/>
      </c>
    </row>
    <row r="3654" customFormat="false" ht="15" hidden="false" customHeight="true" outlineLevel="0" collapsed="false">
      <c r="A3654" s="11" t="str">
        <f aca="false">IF(원본명단!$A3653="","",3651)</f>
        <v/>
      </c>
      <c r="B3654" s="12" t="str">
        <f aca="false">IF($A3654="","",원본명단!$A3653)</f>
        <v/>
      </c>
      <c r="C3654" s="12" t="str">
        <f aca="false">IF($A3654="","",원본명단!$B3653)</f>
        <v/>
      </c>
      <c r="D3654" s="12" t="str">
        <f aca="false">IF($A3654="","",원본명단!$D3653)</f>
        <v/>
      </c>
      <c r="E3654" s="11" t="str">
        <f aca="false">IF($A3654="","",IF(원본명단!$H3653="",0,COUNTIF(원본명단!$H$3:$H$6002,원본명단!$H3653)))</f>
        <v/>
      </c>
      <c r="F3654" s="11" t="str">
        <f aca="false">IF($A3654="","",IF(원본명단!$I3653="",0,COUNTIF(원본명단!$I$3:$I$6002,원본명단!$I3653)))</f>
        <v/>
      </c>
      <c r="G3654" s="11" t="str">
        <f aca="false">IF($A3654="","",IF(원본명단!$K3653="",0,COUNTIF(원본명단!$K$3:$K$6002,원본명단!$K3653)))</f>
        <v/>
      </c>
      <c r="H3654" s="11" t="str">
        <f aca="false">IF($A3654="","",IF(MAX($E3654,$F3654,$G3654)&gt;1,"중복","-"))</f>
        <v/>
      </c>
      <c r="I3654" s="11" t="str">
        <f aca="false">IF($A3654="","",IF($H3654="-","-",IF(AND(IF(원본명단!$H3653="",TRUE(),COUNTIF(원본명단!$H$3:$H3653,원본명단!$H3653)=1),IF(원본명단!$I3653="",TRUE(),COUNTIF(원본명단!$I$3:$I3653,원본명단!$I3653)=1),IF(원본명단!$K3653="",TRUE(),COUNTIF(원본명단!$K$3:$K3653,원본명단!$K3653)=1)),"첫 건","중복 건")))</f>
        <v/>
      </c>
      <c r="J3654" s="11" t="str">
        <f aca="false">IF($A3654="","",IF($H3654="-","유지",IF($I3654="첫 건","유지","확인 필요")))</f>
        <v/>
      </c>
    </row>
    <row r="3655" customFormat="false" ht="15" hidden="false" customHeight="true" outlineLevel="0" collapsed="false">
      <c r="A3655" s="11" t="str">
        <f aca="false">IF(원본명단!$A3654="","",3652)</f>
        <v/>
      </c>
      <c r="B3655" s="12" t="str">
        <f aca="false">IF($A3655="","",원본명단!$A3654)</f>
        <v/>
      </c>
      <c r="C3655" s="12" t="str">
        <f aca="false">IF($A3655="","",원본명단!$B3654)</f>
        <v/>
      </c>
      <c r="D3655" s="12" t="str">
        <f aca="false">IF($A3655="","",원본명단!$D3654)</f>
        <v/>
      </c>
      <c r="E3655" s="11" t="str">
        <f aca="false">IF($A3655="","",IF(원본명단!$H3654="",0,COUNTIF(원본명단!$H$3:$H$6002,원본명단!$H3654)))</f>
        <v/>
      </c>
      <c r="F3655" s="11" t="str">
        <f aca="false">IF($A3655="","",IF(원본명단!$I3654="",0,COUNTIF(원본명단!$I$3:$I$6002,원본명단!$I3654)))</f>
        <v/>
      </c>
      <c r="G3655" s="11" t="str">
        <f aca="false">IF($A3655="","",IF(원본명단!$K3654="",0,COUNTIF(원본명단!$K$3:$K$6002,원본명단!$K3654)))</f>
        <v/>
      </c>
      <c r="H3655" s="11" t="str">
        <f aca="false">IF($A3655="","",IF(MAX($E3655,$F3655,$G3655)&gt;1,"중복","-"))</f>
        <v/>
      </c>
      <c r="I3655" s="11" t="str">
        <f aca="false">IF($A3655="","",IF($H3655="-","-",IF(AND(IF(원본명단!$H3654="",TRUE(),COUNTIF(원본명단!$H$3:$H3654,원본명단!$H3654)=1),IF(원본명단!$I3654="",TRUE(),COUNTIF(원본명단!$I$3:$I3654,원본명단!$I3654)=1),IF(원본명단!$K3654="",TRUE(),COUNTIF(원본명단!$K$3:$K3654,원본명단!$K3654)=1)),"첫 건","중복 건")))</f>
        <v/>
      </c>
      <c r="J3655" s="11" t="str">
        <f aca="false">IF($A3655="","",IF($H3655="-","유지",IF($I3655="첫 건","유지","확인 필요")))</f>
        <v/>
      </c>
    </row>
    <row r="3656" customFormat="false" ht="15" hidden="false" customHeight="true" outlineLevel="0" collapsed="false">
      <c r="A3656" s="11" t="str">
        <f aca="false">IF(원본명단!$A3655="","",3653)</f>
        <v/>
      </c>
      <c r="B3656" s="12" t="str">
        <f aca="false">IF($A3656="","",원본명단!$A3655)</f>
        <v/>
      </c>
      <c r="C3656" s="12" t="str">
        <f aca="false">IF($A3656="","",원본명단!$B3655)</f>
        <v/>
      </c>
      <c r="D3656" s="12" t="str">
        <f aca="false">IF($A3656="","",원본명단!$D3655)</f>
        <v/>
      </c>
      <c r="E3656" s="11" t="str">
        <f aca="false">IF($A3656="","",IF(원본명단!$H3655="",0,COUNTIF(원본명단!$H$3:$H$6002,원본명단!$H3655)))</f>
        <v/>
      </c>
      <c r="F3656" s="11" t="str">
        <f aca="false">IF($A3656="","",IF(원본명단!$I3655="",0,COUNTIF(원본명단!$I$3:$I$6002,원본명단!$I3655)))</f>
        <v/>
      </c>
      <c r="G3656" s="11" t="str">
        <f aca="false">IF($A3656="","",IF(원본명단!$K3655="",0,COUNTIF(원본명단!$K$3:$K$6002,원본명단!$K3655)))</f>
        <v/>
      </c>
      <c r="H3656" s="11" t="str">
        <f aca="false">IF($A3656="","",IF(MAX($E3656,$F3656,$G3656)&gt;1,"중복","-"))</f>
        <v/>
      </c>
      <c r="I3656" s="11" t="str">
        <f aca="false">IF($A3656="","",IF($H3656="-","-",IF(AND(IF(원본명단!$H3655="",TRUE(),COUNTIF(원본명단!$H$3:$H3655,원본명단!$H3655)=1),IF(원본명단!$I3655="",TRUE(),COUNTIF(원본명단!$I$3:$I3655,원본명단!$I3655)=1),IF(원본명단!$K3655="",TRUE(),COUNTIF(원본명단!$K$3:$K3655,원본명단!$K3655)=1)),"첫 건","중복 건")))</f>
        <v/>
      </c>
      <c r="J3656" s="11" t="str">
        <f aca="false">IF($A3656="","",IF($H3656="-","유지",IF($I3656="첫 건","유지","확인 필요")))</f>
        <v/>
      </c>
    </row>
    <row r="3657" customFormat="false" ht="15" hidden="false" customHeight="true" outlineLevel="0" collapsed="false">
      <c r="A3657" s="11" t="str">
        <f aca="false">IF(원본명단!$A3656="","",3654)</f>
        <v/>
      </c>
      <c r="B3657" s="12" t="str">
        <f aca="false">IF($A3657="","",원본명단!$A3656)</f>
        <v/>
      </c>
      <c r="C3657" s="12" t="str">
        <f aca="false">IF($A3657="","",원본명단!$B3656)</f>
        <v/>
      </c>
      <c r="D3657" s="12" t="str">
        <f aca="false">IF($A3657="","",원본명단!$D3656)</f>
        <v/>
      </c>
      <c r="E3657" s="11" t="str">
        <f aca="false">IF($A3657="","",IF(원본명단!$H3656="",0,COUNTIF(원본명단!$H$3:$H$6002,원본명단!$H3656)))</f>
        <v/>
      </c>
      <c r="F3657" s="11" t="str">
        <f aca="false">IF($A3657="","",IF(원본명단!$I3656="",0,COUNTIF(원본명단!$I$3:$I$6002,원본명단!$I3656)))</f>
        <v/>
      </c>
      <c r="G3657" s="11" t="str">
        <f aca="false">IF($A3657="","",IF(원본명단!$K3656="",0,COUNTIF(원본명단!$K$3:$K$6002,원본명단!$K3656)))</f>
        <v/>
      </c>
      <c r="H3657" s="11" t="str">
        <f aca="false">IF($A3657="","",IF(MAX($E3657,$F3657,$G3657)&gt;1,"중복","-"))</f>
        <v/>
      </c>
      <c r="I3657" s="11" t="str">
        <f aca="false">IF($A3657="","",IF($H3657="-","-",IF(AND(IF(원본명단!$H3656="",TRUE(),COUNTIF(원본명단!$H$3:$H3656,원본명단!$H3656)=1),IF(원본명단!$I3656="",TRUE(),COUNTIF(원본명단!$I$3:$I3656,원본명단!$I3656)=1),IF(원본명단!$K3656="",TRUE(),COUNTIF(원본명단!$K$3:$K3656,원본명단!$K3656)=1)),"첫 건","중복 건")))</f>
        <v/>
      </c>
      <c r="J3657" s="11" t="str">
        <f aca="false">IF($A3657="","",IF($H3657="-","유지",IF($I3657="첫 건","유지","확인 필요")))</f>
        <v/>
      </c>
    </row>
    <row r="3658" customFormat="false" ht="15" hidden="false" customHeight="true" outlineLevel="0" collapsed="false">
      <c r="A3658" s="11" t="str">
        <f aca="false">IF(원본명단!$A3657="","",3655)</f>
        <v/>
      </c>
      <c r="B3658" s="12" t="str">
        <f aca="false">IF($A3658="","",원본명단!$A3657)</f>
        <v/>
      </c>
      <c r="C3658" s="12" t="str">
        <f aca="false">IF($A3658="","",원본명단!$B3657)</f>
        <v/>
      </c>
      <c r="D3658" s="12" t="str">
        <f aca="false">IF($A3658="","",원본명단!$D3657)</f>
        <v/>
      </c>
      <c r="E3658" s="11" t="str">
        <f aca="false">IF($A3658="","",IF(원본명단!$H3657="",0,COUNTIF(원본명단!$H$3:$H$6002,원본명단!$H3657)))</f>
        <v/>
      </c>
      <c r="F3658" s="11" t="str">
        <f aca="false">IF($A3658="","",IF(원본명단!$I3657="",0,COUNTIF(원본명단!$I$3:$I$6002,원본명단!$I3657)))</f>
        <v/>
      </c>
      <c r="G3658" s="11" t="str">
        <f aca="false">IF($A3658="","",IF(원본명단!$K3657="",0,COUNTIF(원본명단!$K$3:$K$6002,원본명단!$K3657)))</f>
        <v/>
      </c>
      <c r="H3658" s="11" t="str">
        <f aca="false">IF($A3658="","",IF(MAX($E3658,$F3658,$G3658)&gt;1,"중복","-"))</f>
        <v/>
      </c>
      <c r="I3658" s="11" t="str">
        <f aca="false">IF($A3658="","",IF($H3658="-","-",IF(AND(IF(원본명단!$H3657="",TRUE(),COUNTIF(원본명단!$H$3:$H3657,원본명단!$H3657)=1),IF(원본명단!$I3657="",TRUE(),COUNTIF(원본명단!$I$3:$I3657,원본명단!$I3657)=1),IF(원본명단!$K3657="",TRUE(),COUNTIF(원본명단!$K$3:$K3657,원본명단!$K3657)=1)),"첫 건","중복 건")))</f>
        <v/>
      </c>
      <c r="J3658" s="11" t="str">
        <f aca="false">IF($A3658="","",IF($H3658="-","유지",IF($I3658="첫 건","유지","확인 필요")))</f>
        <v/>
      </c>
    </row>
    <row r="3659" customFormat="false" ht="15" hidden="false" customHeight="true" outlineLevel="0" collapsed="false">
      <c r="A3659" s="11" t="str">
        <f aca="false">IF(원본명단!$A3658="","",3656)</f>
        <v/>
      </c>
      <c r="B3659" s="12" t="str">
        <f aca="false">IF($A3659="","",원본명단!$A3658)</f>
        <v/>
      </c>
      <c r="C3659" s="12" t="str">
        <f aca="false">IF($A3659="","",원본명단!$B3658)</f>
        <v/>
      </c>
      <c r="D3659" s="12" t="str">
        <f aca="false">IF($A3659="","",원본명단!$D3658)</f>
        <v/>
      </c>
      <c r="E3659" s="11" t="str">
        <f aca="false">IF($A3659="","",IF(원본명단!$H3658="",0,COUNTIF(원본명단!$H$3:$H$6002,원본명단!$H3658)))</f>
        <v/>
      </c>
      <c r="F3659" s="11" t="str">
        <f aca="false">IF($A3659="","",IF(원본명단!$I3658="",0,COUNTIF(원본명단!$I$3:$I$6002,원본명단!$I3658)))</f>
        <v/>
      </c>
      <c r="G3659" s="11" t="str">
        <f aca="false">IF($A3659="","",IF(원본명단!$K3658="",0,COUNTIF(원본명단!$K$3:$K$6002,원본명단!$K3658)))</f>
        <v/>
      </c>
      <c r="H3659" s="11" t="str">
        <f aca="false">IF($A3659="","",IF(MAX($E3659,$F3659,$G3659)&gt;1,"중복","-"))</f>
        <v/>
      </c>
      <c r="I3659" s="11" t="str">
        <f aca="false">IF($A3659="","",IF($H3659="-","-",IF(AND(IF(원본명단!$H3658="",TRUE(),COUNTIF(원본명단!$H$3:$H3658,원본명단!$H3658)=1),IF(원본명단!$I3658="",TRUE(),COUNTIF(원본명단!$I$3:$I3658,원본명단!$I3658)=1),IF(원본명단!$K3658="",TRUE(),COUNTIF(원본명단!$K$3:$K3658,원본명단!$K3658)=1)),"첫 건","중복 건")))</f>
        <v/>
      </c>
      <c r="J3659" s="11" t="str">
        <f aca="false">IF($A3659="","",IF($H3659="-","유지",IF($I3659="첫 건","유지","확인 필요")))</f>
        <v/>
      </c>
    </row>
    <row r="3660" customFormat="false" ht="15" hidden="false" customHeight="true" outlineLevel="0" collapsed="false">
      <c r="A3660" s="11" t="str">
        <f aca="false">IF(원본명단!$A3659="","",3657)</f>
        <v/>
      </c>
      <c r="B3660" s="12" t="str">
        <f aca="false">IF($A3660="","",원본명단!$A3659)</f>
        <v/>
      </c>
      <c r="C3660" s="12" t="str">
        <f aca="false">IF($A3660="","",원본명단!$B3659)</f>
        <v/>
      </c>
      <c r="D3660" s="12" t="str">
        <f aca="false">IF($A3660="","",원본명단!$D3659)</f>
        <v/>
      </c>
      <c r="E3660" s="11" t="str">
        <f aca="false">IF($A3660="","",IF(원본명단!$H3659="",0,COUNTIF(원본명단!$H$3:$H$6002,원본명단!$H3659)))</f>
        <v/>
      </c>
      <c r="F3660" s="11" t="str">
        <f aca="false">IF($A3660="","",IF(원본명단!$I3659="",0,COUNTIF(원본명단!$I$3:$I$6002,원본명단!$I3659)))</f>
        <v/>
      </c>
      <c r="G3660" s="11" t="str">
        <f aca="false">IF($A3660="","",IF(원본명단!$K3659="",0,COUNTIF(원본명단!$K$3:$K$6002,원본명단!$K3659)))</f>
        <v/>
      </c>
      <c r="H3660" s="11" t="str">
        <f aca="false">IF($A3660="","",IF(MAX($E3660,$F3660,$G3660)&gt;1,"중복","-"))</f>
        <v/>
      </c>
      <c r="I3660" s="11" t="str">
        <f aca="false">IF($A3660="","",IF($H3660="-","-",IF(AND(IF(원본명단!$H3659="",TRUE(),COUNTIF(원본명단!$H$3:$H3659,원본명단!$H3659)=1),IF(원본명단!$I3659="",TRUE(),COUNTIF(원본명단!$I$3:$I3659,원본명단!$I3659)=1),IF(원본명단!$K3659="",TRUE(),COUNTIF(원본명단!$K$3:$K3659,원본명단!$K3659)=1)),"첫 건","중복 건")))</f>
        <v/>
      </c>
      <c r="J3660" s="11" t="str">
        <f aca="false">IF($A3660="","",IF($H3660="-","유지",IF($I3660="첫 건","유지","확인 필요")))</f>
        <v/>
      </c>
    </row>
    <row r="3661" customFormat="false" ht="15" hidden="false" customHeight="true" outlineLevel="0" collapsed="false">
      <c r="A3661" s="11" t="str">
        <f aca="false">IF(원본명단!$A3660="","",3658)</f>
        <v/>
      </c>
      <c r="B3661" s="12" t="str">
        <f aca="false">IF($A3661="","",원본명단!$A3660)</f>
        <v/>
      </c>
      <c r="C3661" s="12" t="str">
        <f aca="false">IF($A3661="","",원본명단!$B3660)</f>
        <v/>
      </c>
      <c r="D3661" s="12" t="str">
        <f aca="false">IF($A3661="","",원본명단!$D3660)</f>
        <v/>
      </c>
      <c r="E3661" s="11" t="str">
        <f aca="false">IF($A3661="","",IF(원본명단!$H3660="",0,COUNTIF(원본명단!$H$3:$H$6002,원본명단!$H3660)))</f>
        <v/>
      </c>
      <c r="F3661" s="11" t="str">
        <f aca="false">IF($A3661="","",IF(원본명단!$I3660="",0,COUNTIF(원본명단!$I$3:$I$6002,원본명단!$I3660)))</f>
        <v/>
      </c>
      <c r="G3661" s="11" t="str">
        <f aca="false">IF($A3661="","",IF(원본명단!$K3660="",0,COUNTIF(원본명단!$K$3:$K$6002,원본명단!$K3660)))</f>
        <v/>
      </c>
      <c r="H3661" s="11" t="str">
        <f aca="false">IF($A3661="","",IF(MAX($E3661,$F3661,$G3661)&gt;1,"중복","-"))</f>
        <v/>
      </c>
      <c r="I3661" s="11" t="str">
        <f aca="false">IF($A3661="","",IF($H3661="-","-",IF(AND(IF(원본명단!$H3660="",TRUE(),COUNTIF(원본명단!$H$3:$H3660,원본명단!$H3660)=1),IF(원본명단!$I3660="",TRUE(),COUNTIF(원본명단!$I$3:$I3660,원본명단!$I3660)=1),IF(원본명단!$K3660="",TRUE(),COUNTIF(원본명단!$K$3:$K3660,원본명단!$K3660)=1)),"첫 건","중복 건")))</f>
        <v/>
      </c>
      <c r="J3661" s="11" t="str">
        <f aca="false">IF($A3661="","",IF($H3661="-","유지",IF($I3661="첫 건","유지","확인 필요")))</f>
        <v/>
      </c>
    </row>
    <row r="3662" customFormat="false" ht="15" hidden="false" customHeight="true" outlineLevel="0" collapsed="false">
      <c r="A3662" s="11" t="str">
        <f aca="false">IF(원본명단!$A3661="","",3659)</f>
        <v/>
      </c>
      <c r="B3662" s="12" t="str">
        <f aca="false">IF($A3662="","",원본명단!$A3661)</f>
        <v/>
      </c>
      <c r="C3662" s="12" t="str">
        <f aca="false">IF($A3662="","",원본명단!$B3661)</f>
        <v/>
      </c>
      <c r="D3662" s="12" t="str">
        <f aca="false">IF($A3662="","",원본명단!$D3661)</f>
        <v/>
      </c>
      <c r="E3662" s="11" t="str">
        <f aca="false">IF($A3662="","",IF(원본명단!$H3661="",0,COUNTIF(원본명단!$H$3:$H$6002,원본명단!$H3661)))</f>
        <v/>
      </c>
      <c r="F3662" s="11" t="str">
        <f aca="false">IF($A3662="","",IF(원본명단!$I3661="",0,COUNTIF(원본명단!$I$3:$I$6002,원본명단!$I3661)))</f>
        <v/>
      </c>
      <c r="G3662" s="11" t="str">
        <f aca="false">IF($A3662="","",IF(원본명단!$K3661="",0,COUNTIF(원본명단!$K$3:$K$6002,원본명단!$K3661)))</f>
        <v/>
      </c>
      <c r="H3662" s="11" t="str">
        <f aca="false">IF($A3662="","",IF(MAX($E3662,$F3662,$G3662)&gt;1,"중복","-"))</f>
        <v/>
      </c>
      <c r="I3662" s="11" t="str">
        <f aca="false">IF($A3662="","",IF($H3662="-","-",IF(AND(IF(원본명단!$H3661="",TRUE(),COUNTIF(원본명단!$H$3:$H3661,원본명단!$H3661)=1),IF(원본명단!$I3661="",TRUE(),COUNTIF(원본명단!$I$3:$I3661,원본명단!$I3661)=1),IF(원본명단!$K3661="",TRUE(),COUNTIF(원본명단!$K$3:$K3661,원본명단!$K3661)=1)),"첫 건","중복 건")))</f>
        <v/>
      </c>
      <c r="J3662" s="11" t="str">
        <f aca="false">IF($A3662="","",IF($H3662="-","유지",IF($I3662="첫 건","유지","확인 필요")))</f>
        <v/>
      </c>
    </row>
    <row r="3663" customFormat="false" ht="15" hidden="false" customHeight="true" outlineLevel="0" collapsed="false">
      <c r="A3663" s="11" t="str">
        <f aca="false">IF(원본명단!$A3662="","",3660)</f>
        <v/>
      </c>
      <c r="B3663" s="12" t="str">
        <f aca="false">IF($A3663="","",원본명단!$A3662)</f>
        <v/>
      </c>
      <c r="C3663" s="12" t="str">
        <f aca="false">IF($A3663="","",원본명단!$B3662)</f>
        <v/>
      </c>
      <c r="D3663" s="12" t="str">
        <f aca="false">IF($A3663="","",원본명단!$D3662)</f>
        <v/>
      </c>
      <c r="E3663" s="11" t="str">
        <f aca="false">IF($A3663="","",IF(원본명단!$H3662="",0,COUNTIF(원본명단!$H$3:$H$6002,원본명단!$H3662)))</f>
        <v/>
      </c>
      <c r="F3663" s="11" t="str">
        <f aca="false">IF($A3663="","",IF(원본명단!$I3662="",0,COUNTIF(원본명단!$I$3:$I$6002,원본명단!$I3662)))</f>
        <v/>
      </c>
      <c r="G3663" s="11" t="str">
        <f aca="false">IF($A3663="","",IF(원본명단!$K3662="",0,COUNTIF(원본명단!$K$3:$K$6002,원본명단!$K3662)))</f>
        <v/>
      </c>
      <c r="H3663" s="11" t="str">
        <f aca="false">IF($A3663="","",IF(MAX($E3663,$F3663,$G3663)&gt;1,"중복","-"))</f>
        <v/>
      </c>
      <c r="I3663" s="11" t="str">
        <f aca="false">IF($A3663="","",IF($H3663="-","-",IF(AND(IF(원본명단!$H3662="",TRUE(),COUNTIF(원본명단!$H$3:$H3662,원본명단!$H3662)=1),IF(원본명단!$I3662="",TRUE(),COUNTIF(원본명단!$I$3:$I3662,원본명단!$I3662)=1),IF(원본명단!$K3662="",TRUE(),COUNTIF(원본명단!$K$3:$K3662,원본명단!$K3662)=1)),"첫 건","중복 건")))</f>
        <v/>
      </c>
      <c r="J3663" s="11" t="str">
        <f aca="false">IF($A3663="","",IF($H3663="-","유지",IF($I3663="첫 건","유지","확인 필요")))</f>
        <v/>
      </c>
    </row>
    <row r="3664" customFormat="false" ht="15" hidden="false" customHeight="true" outlineLevel="0" collapsed="false">
      <c r="A3664" s="11" t="str">
        <f aca="false">IF(원본명단!$A3663="","",3661)</f>
        <v/>
      </c>
      <c r="B3664" s="12" t="str">
        <f aca="false">IF($A3664="","",원본명단!$A3663)</f>
        <v/>
      </c>
      <c r="C3664" s="12" t="str">
        <f aca="false">IF($A3664="","",원본명단!$B3663)</f>
        <v/>
      </c>
      <c r="D3664" s="12" t="str">
        <f aca="false">IF($A3664="","",원본명단!$D3663)</f>
        <v/>
      </c>
      <c r="E3664" s="11" t="str">
        <f aca="false">IF($A3664="","",IF(원본명단!$H3663="",0,COUNTIF(원본명단!$H$3:$H$6002,원본명단!$H3663)))</f>
        <v/>
      </c>
      <c r="F3664" s="11" t="str">
        <f aca="false">IF($A3664="","",IF(원본명단!$I3663="",0,COUNTIF(원본명단!$I$3:$I$6002,원본명단!$I3663)))</f>
        <v/>
      </c>
      <c r="G3664" s="11" t="str">
        <f aca="false">IF($A3664="","",IF(원본명단!$K3663="",0,COUNTIF(원본명단!$K$3:$K$6002,원본명단!$K3663)))</f>
        <v/>
      </c>
      <c r="H3664" s="11" t="str">
        <f aca="false">IF($A3664="","",IF(MAX($E3664,$F3664,$G3664)&gt;1,"중복","-"))</f>
        <v/>
      </c>
      <c r="I3664" s="11" t="str">
        <f aca="false">IF($A3664="","",IF($H3664="-","-",IF(AND(IF(원본명단!$H3663="",TRUE(),COUNTIF(원본명단!$H$3:$H3663,원본명단!$H3663)=1),IF(원본명단!$I3663="",TRUE(),COUNTIF(원본명단!$I$3:$I3663,원본명단!$I3663)=1),IF(원본명단!$K3663="",TRUE(),COUNTIF(원본명단!$K$3:$K3663,원본명단!$K3663)=1)),"첫 건","중복 건")))</f>
        <v/>
      </c>
      <c r="J3664" s="11" t="str">
        <f aca="false">IF($A3664="","",IF($H3664="-","유지",IF($I3664="첫 건","유지","확인 필요")))</f>
        <v/>
      </c>
    </row>
    <row r="3665" customFormat="false" ht="15" hidden="false" customHeight="true" outlineLevel="0" collapsed="false">
      <c r="A3665" s="11" t="str">
        <f aca="false">IF(원본명단!$A3664="","",3662)</f>
        <v/>
      </c>
      <c r="B3665" s="12" t="str">
        <f aca="false">IF($A3665="","",원본명단!$A3664)</f>
        <v/>
      </c>
      <c r="C3665" s="12" t="str">
        <f aca="false">IF($A3665="","",원본명단!$B3664)</f>
        <v/>
      </c>
      <c r="D3665" s="12" t="str">
        <f aca="false">IF($A3665="","",원본명단!$D3664)</f>
        <v/>
      </c>
      <c r="E3665" s="11" t="str">
        <f aca="false">IF($A3665="","",IF(원본명단!$H3664="",0,COUNTIF(원본명단!$H$3:$H$6002,원본명단!$H3664)))</f>
        <v/>
      </c>
      <c r="F3665" s="11" t="str">
        <f aca="false">IF($A3665="","",IF(원본명단!$I3664="",0,COUNTIF(원본명단!$I$3:$I$6002,원본명단!$I3664)))</f>
        <v/>
      </c>
      <c r="G3665" s="11" t="str">
        <f aca="false">IF($A3665="","",IF(원본명단!$K3664="",0,COUNTIF(원본명단!$K$3:$K$6002,원본명단!$K3664)))</f>
        <v/>
      </c>
      <c r="H3665" s="11" t="str">
        <f aca="false">IF($A3665="","",IF(MAX($E3665,$F3665,$G3665)&gt;1,"중복","-"))</f>
        <v/>
      </c>
      <c r="I3665" s="11" t="str">
        <f aca="false">IF($A3665="","",IF($H3665="-","-",IF(AND(IF(원본명단!$H3664="",TRUE(),COUNTIF(원본명단!$H$3:$H3664,원본명단!$H3664)=1),IF(원본명단!$I3664="",TRUE(),COUNTIF(원본명단!$I$3:$I3664,원본명단!$I3664)=1),IF(원본명단!$K3664="",TRUE(),COUNTIF(원본명단!$K$3:$K3664,원본명단!$K3664)=1)),"첫 건","중복 건")))</f>
        <v/>
      </c>
      <c r="J3665" s="11" t="str">
        <f aca="false">IF($A3665="","",IF($H3665="-","유지",IF($I3665="첫 건","유지","확인 필요")))</f>
        <v/>
      </c>
    </row>
    <row r="3666" customFormat="false" ht="15" hidden="false" customHeight="true" outlineLevel="0" collapsed="false">
      <c r="A3666" s="11" t="str">
        <f aca="false">IF(원본명단!$A3665="","",3663)</f>
        <v/>
      </c>
      <c r="B3666" s="12" t="str">
        <f aca="false">IF($A3666="","",원본명단!$A3665)</f>
        <v/>
      </c>
      <c r="C3666" s="12" t="str">
        <f aca="false">IF($A3666="","",원본명단!$B3665)</f>
        <v/>
      </c>
      <c r="D3666" s="12" t="str">
        <f aca="false">IF($A3666="","",원본명단!$D3665)</f>
        <v/>
      </c>
      <c r="E3666" s="11" t="str">
        <f aca="false">IF($A3666="","",IF(원본명단!$H3665="",0,COUNTIF(원본명단!$H$3:$H$6002,원본명단!$H3665)))</f>
        <v/>
      </c>
      <c r="F3666" s="11" t="str">
        <f aca="false">IF($A3666="","",IF(원본명단!$I3665="",0,COUNTIF(원본명단!$I$3:$I$6002,원본명단!$I3665)))</f>
        <v/>
      </c>
      <c r="G3666" s="11" t="str">
        <f aca="false">IF($A3666="","",IF(원본명단!$K3665="",0,COUNTIF(원본명단!$K$3:$K$6002,원본명단!$K3665)))</f>
        <v/>
      </c>
      <c r="H3666" s="11" t="str">
        <f aca="false">IF($A3666="","",IF(MAX($E3666,$F3666,$G3666)&gt;1,"중복","-"))</f>
        <v/>
      </c>
      <c r="I3666" s="11" t="str">
        <f aca="false">IF($A3666="","",IF($H3666="-","-",IF(AND(IF(원본명단!$H3665="",TRUE(),COUNTIF(원본명단!$H$3:$H3665,원본명단!$H3665)=1),IF(원본명단!$I3665="",TRUE(),COUNTIF(원본명단!$I$3:$I3665,원본명단!$I3665)=1),IF(원본명단!$K3665="",TRUE(),COUNTIF(원본명단!$K$3:$K3665,원본명단!$K3665)=1)),"첫 건","중복 건")))</f>
        <v/>
      </c>
      <c r="J3666" s="11" t="str">
        <f aca="false">IF($A3666="","",IF($H3666="-","유지",IF($I3666="첫 건","유지","확인 필요")))</f>
        <v/>
      </c>
    </row>
    <row r="3667" customFormat="false" ht="15" hidden="false" customHeight="true" outlineLevel="0" collapsed="false">
      <c r="A3667" s="11" t="str">
        <f aca="false">IF(원본명단!$A3666="","",3664)</f>
        <v/>
      </c>
      <c r="B3667" s="12" t="str">
        <f aca="false">IF($A3667="","",원본명단!$A3666)</f>
        <v/>
      </c>
      <c r="C3667" s="12" t="str">
        <f aca="false">IF($A3667="","",원본명단!$B3666)</f>
        <v/>
      </c>
      <c r="D3667" s="12" t="str">
        <f aca="false">IF($A3667="","",원본명단!$D3666)</f>
        <v/>
      </c>
      <c r="E3667" s="11" t="str">
        <f aca="false">IF($A3667="","",IF(원본명단!$H3666="",0,COUNTIF(원본명단!$H$3:$H$6002,원본명단!$H3666)))</f>
        <v/>
      </c>
      <c r="F3667" s="11" t="str">
        <f aca="false">IF($A3667="","",IF(원본명단!$I3666="",0,COUNTIF(원본명단!$I$3:$I$6002,원본명단!$I3666)))</f>
        <v/>
      </c>
      <c r="G3667" s="11" t="str">
        <f aca="false">IF($A3667="","",IF(원본명단!$K3666="",0,COUNTIF(원본명단!$K$3:$K$6002,원본명단!$K3666)))</f>
        <v/>
      </c>
      <c r="H3667" s="11" t="str">
        <f aca="false">IF($A3667="","",IF(MAX($E3667,$F3667,$G3667)&gt;1,"중복","-"))</f>
        <v/>
      </c>
      <c r="I3667" s="11" t="str">
        <f aca="false">IF($A3667="","",IF($H3667="-","-",IF(AND(IF(원본명단!$H3666="",TRUE(),COUNTIF(원본명단!$H$3:$H3666,원본명단!$H3666)=1),IF(원본명단!$I3666="",TRUE(),COUNTIF(원본명단!$I$3:$I3666,원본명단!$I3666)=1),IF(원본명단!$K3666="",TRUE(),COUNTIF(원본명단!$K$3:$K3666,원본명단!$K3666)=1)),"첫 건","중복 건")))</f>
        <v/>
      </c>
      <c r="J3667" s="11" t="str">
        <f aca="false">IF($A3667="","",IF($H3667="-","유지",IF($I3667="첫 건","유지","확인 필요")))</f>
        <v/>
      </c>
    </row>
    <row r="3668" customFormat="false" ht="15" hidden="false" customHeight="true" outlineLevel="0" collapsed="false">
      <c r="A3668" s="11" t="str">
        <f aca="false">IF(원본명단!$A3667="","",3665)</f>
        <v/>
      </c>
      <c r="B3668" s="12" t="str">
        <f aca="false">IF($A3668="","",원본명단!$A3667)</f>
        <v/>
      </c>
      <c r="C3668" s="12" t="str">
        <f aca="false">IF($A3668="","",원본명단!$B3667)</f>
        <v/>
      </c>
      <c r="D3668" s="12" t="str">
        <f aca="false">IF($A3668="","",원본명단!$D3667)</f>
        <v/>
      </c>
      <c r="E3668" s="11" t="str">
        <f aca="false">IF($A3668="","",IF(원본명단!$H3667="",0,COUNTIF(원본명단!$H$3:$H$6002,원본명단!$H3667)))</f>
        <v/>
      </c>
      <c r="F3668" s="11" t="str">
        <f aca="false">IF($A3668="","",IF(원본명단!$I3667="",0,COUNTIF(원본명단!$I$3:$I$6002,원본명단!$I3667)))</f>
        <v/>
      </c>
      <c r="G3668" s="11" t="str">
        <f aca="false">IF($A3668="","",IF(원본명단!$K3667="",0,COUNTIF(원본명단!$K$3:$K$6002,원본명단!$K3667)))</f>
        <v/>
      </c>
      <c r="H3668" s="11" t="str">
        <f aca="false">IF($A3668="","",IF(MAX($E3668,$F3668,$G3668)&gt;1,"중복","-"))</f>
        <v/>
      </c>
      <c r="I3668" s="11" t="str">
        <f aca="false">IF($A3668="","",IF($H3668="-","-",IF(AND(IF(원본명단!$H3667="",TRUE(),COUNTIF(원본명단!$H$3:$H3667,원본명단!$H3667)=1),IF(원본명단!$I3667="",TRUE(),COUNTIF(원본명단!$I$3:$I3667,원본명단!$I3667)=1),IF(원본명단!$K3667="",TRUE(),COUNTIF(원본명단!$K$3:$K3667,원본명단!$K3667)=1)),"첫 건","중복 건")))</f>
        <v/>
      </c>
      <c r="J3668" s="11" t="str">
        <f aca="false">IF($A3668="","",IF($H3668="-","유지",IF($I3668="첫 건","유지","확인 필요")))</f>
        <v/>
      </c>
    </row>
    <row r="3669" customFormat="false" ht="15" hidden="false" customHeight="true" outlineLevel="0" collapsed="false">
      <c r="A3669" s="11" t="str">
        <f aca="false">IF(원본명단!$A3668="","",3666)</f>
        <v/>
      </c>
      <c r="B3669" s="12" t="str">
        <f aca="false">IF($A3669="","",원본명단!$A3668)</f>
        <v/>
      </c>
      <c r="C3669" s="12" t="str">
        <f aca="false">IF($A3669="","",원본명단!$B3668)</f>
        <v/>
      </c>
      <c r="D3669" s="12" t="str">
        <f aca="false">IF($A3669="","",원본명단!$D3668)</f>
        <v/>
      </c>
      <c r="E3669" s="11" t="str">
        <f aca="false">IF($A3669="","",IF(원본명단!$H3668="",0,COUNTIF(원본명단!$H$3:$H$6002,원본명단!$H3668)))</f>
        <v/>
      </c>
      <c r="F3669" s="11" t="str">
        <f aca="false">IF($A3669="","",IF(원본명단!$I3668="",0,COUNTIF(원본명단!$I$3:$I$6002,원본명단!$I3668)))</f>
        <v/>
      </c>
      <c r="G3669" s="11" t="str">
        <f aca="false">IF($A3669="","",IF(원본명단!$K3668="",0,COUNTIF(원본명단!$K$3:$K$6002,원본명단!$K3668)))</f>
        <v/>
      </c>
      <c r="H3669" s="11" t="str">
        <f aca="false">IF($A3669="","",IF(MAX($E3669,$F3669,$G3669)&gt;1,"중복","-"))</f>
        <v/>
      </c>
      <c r="I3669" s="11" t="str">
        <f aca="false">IF($A3669="","",IF($H3669="-","-",IF(AND(IF(원본명단!$H3668="",TRUE(),COUNTIF(원본명단!$H$3:$H3668,원본명단!$H3668)=1),IF(원본명단!$I3668="",TRUE(),COUNTIF(원본명단!$I$3:$I3668,원본명단!$I3668)=1),IF(원본명단!$K3668="",TRUE(),COUNTIF(원본명단!$K$3:$K3668,원본명단!$K3668)=1)),"첫 건","중복 건")))</f>
        <v/>
      </c>
      <c r="J3669" s="11" t="str">
        <f aca="false">IF($A3669="","",IF($H3669="-","유지",IF($I3669="첫 건","유지","확인 필요")))</f>
        <v/>
      </c>
    </row>
    <row r="3670" customFormat="false" ht="15" hidden="false" customHeight="true" outlineLevel="0" collapsed="false">
      <c r="A3670" s="11" t="str">
        <f aca="false">IF(원본명단!$A3669="","",3667)</f>
        <v/>
      </c>
      <c r="B3670" s="12" t="str">
        <f aca="false">IF($A3670="","",원본명단!$A3669)</f>
        <v/>
      </c>
      <c r="C3670" s="12" t="str">
        <f aca="false">IF($A3670="","",원본명단!$B3669)</f>
        <v/>
      </c>
      <c r="D3670" s="12" t="str">
        <f aca="false">IF($A3670="","",원본명단!$D3669)</f>
        <v/>
      </c>
      <c r="E3670" s="11" t="str">
        <f aca="false">IF($A3670="","",IF(원본명단!$H3669="",0,COUNTIF(원본명단!$H$3:$H$6002,원본명단!$H3669)))</f>
        <v/>
      </c>
      <c r="F3670" s="11" t="str">
        <f aca="false">IF($A3670="","",IF(원본명단!$I3669="",0,COUNTIF(원본명단!$I$3:$I$6002,원본명단!$I3669)))</f>
        <v/>
      </c>
      <c r="G3670" s="11" t="str">
        <f aca="false">IF($A3670="","",IF(원본명단!$K3669="",0,COUNTIF(원본명단!$K$3:$K$6002,원본명단!$K3669)))</f>
        <v/>
      </c>
      <c r="H3670" s="11" t="str">
        <f aca="false">IF($A3670="","",IF(MAX($E3670,$F3670,$G3670)&gt;1,"중복","-"))</f>
        <v/>
      </c>
      <c r="I3670" s="11" t="str">
        <f aca="false">IF($A3670="","",IF($H3670="-","-",IF(AND(IF(원본명단!$H3669="",TRUE(),COUNTIF(원본명단!$H$3:$H3669,원본명단!$H3669)=1),IF(원본명단!$I3669="",TRUE(),COUNTIF(원본명단!$I$3:$I3669,원본명단!$I3669)=1),IF(원본명단!$K3669="",TRUE(),COUNTIF(원본명단!$K$3:$K3669,원본명단!$K3669)=1)),"첫 건","중복 건")))</f>
        <v/>
      </c>
      <c r="J3670" s="11" t="str">
        <f aca="false">IF($A3670="","",IF($H3670="-","유지",IF($I3670="첫 건","유지","확인 필요")))</f>
        <v/>
      </c>
    </row>
    <row r="3671" customFormat="false" ht="15" hidden="false" customHeight="true" outlineLevel="0" collapsed="false">
      <c r="A3671" s="11" t="str">
        <f aca="false">IF(원본명단!$A3670="","",3668)</f>
        <v/>
      </c>
      <c r="B3671" s="12" t="str">
        <f aca="false">IF($A3671="","",원본명단!$A3670)</f>
        <v/>
      </c>
      <c r="C3671" s="12" t="str">
        <f aca="false">IF($A3671="","",원본명단!$B3670)</f>
        <v/>
      </c>
      <c r="D3671" s="12" t="str">
        <f aca="false">IF($A3671="","",원본명단!$D3670)</f>
        <v/>
      </c>
      <c r="E3671" s="11" t="str">
        <f aca="false">IF($A3671="","",IF(원본명단!$H3670="",0,COUNTIF(원본명단!$H$3:$H$6002,원본명단!$H3670)))</f>
        <v/>
      </c>
      <c r="F3671" s="11" t="str">
        <f aca="false">IF($A3671="","",IF(원본명단!$I3670="",0,COUNTIF(원본명단!$I$3:$I$6002,원본명단!$I3670)))</f>
        <v/>
      </c>
      <c r="G3671" s="11" t="str">
        <f aca="false">IF($A3671="","",IF(원본명단!$K3670="",0,COUNTIF(원본명단!$K$3:$K$6002,원본명단!$K3670)))</f>
        <v/>
      </c>
      <c r="H3671" s="11" t="str">
        <f aca="false">IF($A3671="","",IF(MAX($E3671,$F3671,$G3671)&gt;1,"중복","-"))</f>
        <v/>
      </c>
      <c r="I3671" s="11" t="str">
        <f aca="false">IF($A3671="","",IF($H3671="-","-",IF(AND(IF(원본명단!$H3670="",TRUE(),COUNTIF(원본명단!$H$3:$H3670,원본명단!$H3670)=1),IF(원본명단!$I3670="",TRUE(),COUNTIF(원본명단!$I$3:$I3670,원본명단!$I3670)=1),IF(원본명단!$K3670="",TRUE(),COUNTIF(원본명단!$K$3:$K3670,원본명단!$K3670)=1)),"첫 건","중복 건")))</f>
        <v/>
      </c>
      <c r="J3671" s="11" t="str">
        <f aca="false">IF($A3671="","",IF($H3671="-","유지",IF($I3671="첫 건","유지","확인 필요")))</f>
        <v/>
      </c>
    </row>
    <row r="3672" customFormat="false" ht="15" hidden="false" customHeight="true" outlineLevel="0" collapsed="false">
      <c r="A3672" s="11" t="str">
        <f aca="false">IF(원본명단!$A3671="","",3669)</f>
        <v/>
      </c>
      <c r="B3672" s="12" t="str">
        <f aca="false">IF($A3672="","",원본명단!$A3671)</f>
        <v/>
      </c>
      <c r="C3672" s="12" t="str">
        <f aca="false">IF($A3672="","",원본명단!$B3671)</f>
        <v/>
      </c>
      <c r="D3672" s="12" t="str">
        <f aca="false">IF($A3672="","",원본명단!$D3671)</f>
        <v/>
      </c>
      <c r="E3672" s="11" t="str">
        <f aca="false">IF($A3672="","",IF(원본명단!$H3671="",0,COUNTIF(원본명단!$H$3:$H$6002,원본명단!$H3671)))</f>
        <v/>
      </c>
      <c r="F3672" s="11" t="str">
        <f aca="false">IF($A3672="","",IF(원본명단!$I3671="",0,COUNTIF(원본명단!$I$3:$I$6002,원본명단!$I3671)))</f>
        <v/>
      </c>
      <c r="G3672" s="11" t="str">
        <f aca="false">IF($A3672="","",IF(원본명단!$K3671="",0,COUNTIF(원본명단!$K$3:$K$6002,원본명단!$K3671)))</f>
        <v/>
      </c>
      <c r="H3672" s="11" t="str">
        <f aca="false">IF($A3672="","",IF(MAX($E3672,$F3672,$G3672)&gt;1,"중복","-"))</f>
        <v/>
      </c>
      <c r="I3672" s="11" t="str">
        <f aca="false">IF($A3672="","",IF($H3672="-","-",IF(AND(IF(원본명단!$H3671="",TRUE(),COUNTIF(원본명단!$H$3:$H3671,원본명단!$H3671)=1),IF(원본명단!$I3671="",TRUE(),COUNTIF(원본명단!$I$3:$I3671,원본명단!$I3671)=1),IF(원본명단!$K3671="",TRUE(),COUNTIF(원본명단!$K$3:$K3671,원본명단!$K3671)=1)),"첫 건","중복 건")))</f>
        <v/>
      </c>
      <c r="J3672" s="11" t="str">
        <f aca="false">IF($A3672="","",IF($H3672="-","유지",IF($I3672="첫 건","유지","확인 필요")))</f>
        <v/>
      </c>
    </row>
    <row r="3673" customFormat="false" ht="15" hidden="false" customHeight="true" outlineLevel="0" collapsed="false">
      <c r="A3673" s="11" t="str">
        <f aca="false">IF(원본명단!$A3672="","",3670)</f>
        <v/>
      </c>
      <c r="B3673" s="12" t="str">
        <f aca="false">IF($A3673="","",원본명단!$A3672)</f>
        <v/>
      </c>
      <c r="C3673" s="12" t="str">
        <f aca="false">IF($A3673="","",원본명단!$B3672)</f>
        <v/>
      </c>
      <c r="D3673" s="12" t="str">
        <f aca="false">IF($A3673="","",원본명단!$D3672)</f>
        <v/>
      </c>
      <c r="E3673" s="11" t="str">
        <f aca="false">IF($A3673="","",IF(원본명단!$H3672="",0,COUNTIF(원본명단!$H$3:$H$6002,원본명단!$H3672)))</f>
        <v/>
      </c>
      <c r="F3673" s="11" t="str">
        <f aca="false">IF($A3673="","",IF(원본명단!$I3672="",0,COUNTIF(원본명단!$I$3:$I$6002,원본명단!$I3672)))</f>
        <v/>
      </c>
      <c r="G3673" s="11" t="str">
        <f aca="false">IF($A3673="","",IF(원본명단!$K3672="",0,COUNTIF(원본명단!$K$3:$K$6002,원본명단!$K3672)))</f>
        <v/>
      </c>
      <c r="H3673" s="11" t="str">
        <f aca="false">IF($A3673="","",IF(MAX($E3673,$F3673,$G3673)&gt;1,"중복","-"))</f>
        <v/>
      </c>
      <c r="I3673" s="11" t="str">
        <f aca="false">IF($A3673="","",IF($H3673="-","-",IF(AND(IF(원본명단!$H3672="",TRUE(),COUNTIF(원본명단!$H$3:$H3672,원본명단!$H3672)=1),IF(원본명단!$I3672="",TRUE(),COUNTIF(원본명단!$I$3:$I3672,원본명단!$I3672)=1),IF(원본명단!$K3672="",TRUE(),COUNTIF(원본명단!$K$3:$K3672,원본명단!$K3672)=1)),"첫 건","중복 건")))</f>
        <v/>
      </c>
      <c r="J3673" s="11" t="str">
        <f aca="false">IF($A3673="","",IF($H3673="-","유지",IF($I3673="첫 건","유지","확인 필요")))</f>
        <v/>
      </c>
    </row>
    <row r="3674" customFormat="false" ht="15" hidden="false" customHeight="true" outlineLevel="0" collapsed="false">
      <c r="A3674" s="11" t="str">
        <f aca="false">IF(원본명단!$A3673="","",3671)</f>
        <v/>
      </c>
      <c r="B3674" s="12" t="str">
        <f aca="false">IF($A3674="","",원본명단!$A3673)</f>
        <v/>
      </c>
      <c r="C3674" s="12" t="str">
        <f aca="false">IF($A3674="","",원본명단!$B3673)</f>
        <v/>
      </c>
      <c r="D3674" s="12" t="str">
        <f aca="false">IF($A3674="","",원본명단!$D3673)</f>
        <v/>
      </c>
      <c r="E3674" s="11" t="str">
        <f aca="false">IF($A3674="","",IF(원본명단!$H3673="",0,COUNTIF(원본명단!$H$3:$H$6002,원본명단!$H3673)))</f>
        <v/>
      </c>
      <c r="F3674" s="11" t="str">
        <f aca="false">IF($A3674="","",IF(원본명단!$I3673="",0,COUNTIF(원본명단!$I$3:$I$6002,원본명단!$I3673)))</f>
        <v/>
      </c>
      <c r="G3674" s="11" t="str">
        <f aca="false">IF($A3674="","",IF(원본명단!$K3673="",0,COUNTIF(원본명단!$K$3:$K$6002,원본명단!$K3673)))</f>
        <v/>
      </c>
      <c r="H3674" s="11" t="str">
        <f aca="false">IF($A3674="","",IF(MAX($E3674,$F3674,$G3674)&gt;1,"중복","-"))</f>
        <v/>
      </c>
      <c r="I3674" s="11" t="str">
        <f aca="false">IF($A3674="","",IF($H3674="-","-",IF(AND(IF(원본명단!$H3673="",TRUE(),COUNTIF(원본명단!$H$3:$H3673,원본명단!$H3673)=1),IF(원본명단!$I3673="",TRUE(),COUNTIF(원본명단!$I$3:$I3673,원본명단!$I3673)=1),IF(원본명단!$K3673="",TRUE(),COUNTIF(원본명단!$K$3:$K3673,원본명단!$K3673)=1)),"첫 건","중복 건")))</f>
        <v/>
      </c>
      <c r="J3674" s="11" t="str">
        <f aca="false">IF($A3674="","",IF($H3674="-","유지",IF($I3674="첫 건","유지","확인 필요")))</f>
        <v/>
      </c>
    </row>
    <row r="3675" customFormat="false" ht="15" hidden="false" customHeight="true" outlineLevel="0" collapsed="false">
      <c r="A3675" s="11" t="str">
        <f aca="false">IF(원본명단!$A3674="","",3672)</f>
        <v/>
      </c>
      <c r="B3675" s="12" t="str">
        <f aca="false">IF($A3675="","",원본명단!$A3674)</f>
        <v/>
      </c>
      <c r="C3675" s="12" t="str">
        <f aca="false">IF($A3675="","",원본명단!$B3674)</f>
        <v/>
      </c>
      <c r="D3675" s="12" t="str">
        <f aca="false">IF($A3675="","",원본명단!$D3674)</f>
        <v/>
      </c>
      <c r="E3675" s="11" t="str">
        <f aca="false">IF($A3675="","",IF(원본명단!$H3674="",0,COUNTIF(원본명단!$H$3:$H$6002,원본명단!$H3674)))</f>
        <v/>
      </c>
      <c r="F3675" s="11" t="str">
        <f aca="false">IF($A3675="","",IF(원본명단!$I3674="",0,COUNTIF(원본명단!$I$3:$I$6002,원본명단!$I3674)))</f>
        <v/>
      </c>
      <c r="G3675" s="11" t="str">
        <f aca="false">IF($A3675="","",IF(원본명단!$K3674="",0,COUNTIF(원본명단!$K$3:$K$6002,원본명단!$K3674)))</f>
        <v/>
      </c>
      <c r="H3675" s="11" t="str">
        <f aca="false">IF($A3675="","",IF(MAX($E3675,$F3675,$G3675)&gt;1,"중복","-"))</f>
        <v/>
      </c>
      <c r="I3675" s="11" t="str">
        <f aca="false">IF($A3675="","",IF($H3675="-","-",IF(AND(IF(원본명단!$H3674="",TRUE(),COUNTIF(원본명단!$H$3:$H3674,원본명단!$H3674)=1),IF(원본명단!$I3674="",TRUE(),COUNTIF(원본명단!$I$3:$I3674,원본명단!$I3674)=1),IF(원본명단!$K3674="",TRUE(),COUNTIF(원본명단!$K$3:$K3674,원본명단!$K3674)=1)),"첫 건","중복 건")))</f>
        <v/>
      </c>
      <c r="J3675" s="11" t="str">
        <f aca="false">IF($A3675="","",IF($H3675="-","유지",IF($I3675="첫 건","유지","확인 필요")))</f>
        <v/>
      </c>
    </row>
    <row r="3676" customFormat="false" ht="15" hidden="false" customHeight="true" outlineLevel="0" collapsed="false">
      <c r="A3676" s="11" t="str">
        <f aca="false">IF(원본명단!$A3675="","",3673)</f>
        <v/>
      </c>
      <c r="B3676" s="12" t="str">
        <f aca="false">IF($A3676="","",원본명단!$A3675)</f>
        <v/>
      </c>
      <c r="C3676" s="12" t="str">
        <f aca="false">IF($A3676="","",원본명단!$B3675)</f>
        <v/>
      </c>
      <c r="D3676" s="12" t="str">
        <f aca="false">IF($A3676="","",원본명단!$D3675)</f>
        <v/>
      </c>
      <c r="E3676" s="11" t="str">
        <f aca="false">IF($A3676="","",IF(원본명단!$H3675="",0,COUNTIF(원본명단!$H$3:$H$6002,원본명단!$H3675)))</f>
        <v/>
      </c>
      <c r="F3676" s="11" t="str">
        <f aca="false">IF($A3676="","",IF(원본명단!$I3675="",0,COUNTIF(원본명단!$I$3:$I$6002,원본명단!$I3675)))</f>
        <v/>
      </c>
      <c r="G3676" s="11" t="str">
        <f aca="false">IF($A3676="","",IF(원본명단!$K3675="",0,COUNTIF(원본명단!$K$3:$K$6002,원본명단!$K3675)))</f>
        <v/>
      </c>
      <c r="H3676" s="11" t="str">
        <f aca="false">IF($A3676="","",IF(MAX($E3676,$F3676,$G3676)&gt;1,"중복","-"))</f>
        <v/>
      </c>
      <c r="I3676" s="11" t="str">
        <f aca="false">IF($A3676="","",IF($H3676="-","-",IF(AND(IF(원본명단!$H3675="",TRUE(),COUNTIF(원본명단!$H$3:$H3675,원본명단!$H3675)=1),IF(원본명단!$I3675="",TRUE(),COUNTIF(원본명단!$I$3:$I3675,원본명단!$I3675)=1),IF(원본명단!$K3675="",TRUE(),COUNTIF(원본명단!$K$3:$K3675,원본명단!$K3675)=1)),"첫 건","중복 건")))</f>
        <v/>
      </c>
      <c r="J3676" s="11" t="str">
        <f aca="false">IF($A3676="","",IF($H3676="-","유지",IF($I3676="첫 건","유지","확인 필요")))</f>
        <v/>
      </c>
    </row>
    <row r="3677" customFormat="false" ht="15" hidden="false" customHeight="true" outlineLevel="0" collapsed="false">
      <c r="A3677" s="11" t="str">
        <f aca="false">IF(원본명단!$A3676="","",3674)</f>
        <v/>
      </c>
      <c r="B3677" s="12" t="str">
        <f aca="false">IF($A3677="","",원본명단!$A3676)</f>
        <v/>
      </c>
      <c r="C3677" s="12" t="str">
        <f aca="false">IF($A3677="","",원본명단!$B3676)</f>
        <v/>
      </c>
      <c r="D3677" s="12" t="str">
        <f aca="false">IF($A3677="","",원본명단!$D3676)</f>
        <v/>
      </c>
      <c r="E3677" s="11" t="str">
        <f aca="false">IF($A3677="","",IF(원본명단!$H3676="",0,COUNTIF(원본명단!$H$3:$H$6002,원본명단!$H3676)))</f>
        <v/>
      </c>
      <c r="F3677" s="11" t="str">
        <f aca="false">IF($A3677="","",IF(원본명단!$I3676="",0,COUNTIF(원본명단!$I$3:$I$6002,원본명단!$I3676)))</f>
        <v/>
      </c>
      <c r="G3677" s="11" t="str">
        <f aca="false">IF($A3677="","",IF(원본명단!$K3676="",0,COUNTIF(원본명단!$K$3:$K$6002,원본명단!$K3676)))</f>
        <v/>
      </c>
      <c r="H3677" s="11" t="str">
        <f aca="false">IF($A3677="","",IF(MAX($E3677,$F3677,$G3677)&gt;1,"중복","-"))</f>
        <v/>
      </c>
      <c r="I3677" s="11" t="str">
        <f aca="false">IF($A3677="","",IF($H3677="-","-",IF(AND(IF(원본명단!$H3676="",TRUE(),COUNTIF(원본명단!$H$3:$H3676,원본명단!$H3676)=1),IF(원본명단!$I3676="",TRUE(),COUNTIF(원본명단!$I$3:$I3676,원본명단!$I3676)=1),IF(원본명단!$K3676="",TRUE(),COUNTIF(원본명단!$K$3:$K3676,원본명단!$K3676)=1)),"첫 건","중복 건")))</f>
        <v/>
      </c>
      <c r="J3677" s="11" t="str">
        <f aca="false">IF($A3677="","",IF($H3677="-","유지",IF($I3677="첫 건","유지","확인 필요")))</f>
        <v/>
      </c>
    </row>
    <row r="3678" customFormat="false" ht="15" hidden="false" customHeight="true" outlineLevel="0" collapsed="false">
      <c r="A3678" s="11" t="str">
        <f aca="false">IF(원본명단!$A3677="","",3675)</f>
        <v/>
      </c>
      <c r="B3678" s="12" t="str">
        <f aca="false">IF($A3678="","",원본명단!$A3677)</f>
        <v/>
      </c>
      <c r="C3678" s="12" t="str">
        <f aca="false">IF($A3678="","",원본명단!$B3677)</f>
        <v/>
      </c>
      <c r="D3678" s="12" t="str">
        <f aca="false">IF($A3678="","",원본명단!$D3677)</f>
        <v/>
      </c>
      <c r="E3678" s="11" t="str">
        <f aca="false">IF($A3678="","",IF(원본명단!$H3677="",0,COUNTIF(원본명단!$H$3:$H$6002,원본명단!$H3677)))</f>
        <v/>
      </c>
      <c r="F3678" s="11" t="str">
        <f aca="false">IF($A3678="","",IF(원본명단!$I3677="",0,COUNTIF(원본명단!$I$3:$I$6002,원본명단!$I3677)))</f>
        <v/>
      </c>
      <c r="G3678" s="11" t="str">
        <f aca="false">IF($A3678="","",IF(원본명단!$K3677="",0,COUNTIF(원본명단!$K$3:$K$6002,원본명단!$K3677)))</f>
        <v/>
      </c>
      <c r="H3678" s="11" t="str">
        <f aca="false">IF($A3678="","",IF(MAX($E3678,$F3678,$G3678)&gt;1,"중복","-"))</f>
        <v/>
      </c>
      <c r="I3678" s="11" t="str">
        <f aca="false">IF($A3678="","",IF($H3678="-","-",IF(AND(IF(원본명단!$H3677="",TRUE(),COUNTIF(원본명단!$H$3:$H3677,원본명단!$H3677)=1),IF(원본명단!$I3677="",TRUE(),COUNTIF(원본명단!$I$3:$I3677,원본명단!$I3677)=1),IF(원본명단!$K3677="",TRUE(),COUNTIF(원본명단!$K$3:$K3677,원본명단!$K3677)=1)),"첫 건","중복 건")))</f>
        <v/>
      </c>
      <c r="J3678" s="11" t="str">
        <f aca="false">IF($A3678="","",IF($H3678="-","유지",IF($I3678="첫 건","유지","확인 필요")))</f>
        <v/>
      </c>
    </row>
    <row r="3679" customFormat="false" ht="15" hidden="false" customHeight="true" outlineLevel="0" collapsed="false">
      <c r="A3679" s="11" t="str">
        <f aca="false">IF(원본명단!$A3678="","",3676)</f>
        <v/>
      </c>
      <c r="B3679" s="12" t="str">
        <f aca="false">IF($A3679="","",원본명단!$A3678)</f>
        <v/>
      </c>
      <c r="C3679" s="12" t="str">
        <f aca="false">IF($A3679="","",원본명단!$B3678)</f>
        <v/>
      </c>
      <c r="D3679" s="12" t="str">
        <f aca="false">IF($A3679="","",원본명단!$D3678)</f>
        <v/>
      </c>
      <c r="E3679" s="11" t="str">
        <f aca="false">IF($A3679="","",IF(원본명단!$H3678="",0,COUNTIF(원본명단!$H$3:$H$6002,원본명단!$H3678)))</f>
        <v/>
      </c>
      <c r="F3679" s="11" t="str">
        <f aca="false">IF($A3679="","",IF(원본명단!$I3678="",0,COUNTIF(원본명단!$I$3:$I$6002,원본명단!$I3678)))</f>
        <v/>
      </c>
      <c r="G3679" s="11" t="str">
        <f aca="false">IF($A3679="","",IF(원본명단!$K3678="",0,COUNTIF(원본명단!$K$3:$K$6002,원본명단!$K3678)))</f>
        <v/>
      </c>
      <c r="H3679" s="11" t="str">
        <f aca="false">IF($A3679="","",IF(MAX($E3679,$F3679,$G3679)&gt;1,"중복","-"))</f>
        <v/>
      </c>
      <c r="I3679" s="11" t="str">
        <f aca="false">IF($A3679="","",IF($H3679="-","-",IF(AND(IF(원본명단!$H3678="",TRUE(),COUNTIF(원본명단!$H$3:$H3678,원본명단!$H3678)=1),IF(원본명단!$I3678="",TRUE(),COUNTIF(원본명단!$I$3:$I3678,원본명단!$I3678)=1),IF(원본명단!$K3678="",TRUE(),COUNTIF(원본명단!$K$3:$K3678,원본명단!$K3678)=1)),"첫 건","중복 건")))</f>
        <v/>
      </c>
      <c r="J3679" s="11" t="str">
        <f aca="false">IF($A3679="","",IF($H3679="-","유지",IF($I3679="첫 건","유지","확인 필요")))</f>
        <v/>
      </c>
    </row>
    <row r="3680" customFormat="false" ht="15" hidden="false" customHeight="true" outlineLevel="0" collapsed="false">
      <c r="A3680" s="11" t="str">
        <f aca="false">IF(원본명단!$A3679="","",3677)</f>
        <v/>
      </c>
      <c r="B3680" s="12" t="str">
        <f aca="false">IF($A3680="","",원본명단!$A3679)</f>
        <v/>
      </c>
      <c r="C3680" s="12" t="str">
        <f aca="false">IF($A3680="","",원본명단!$B3679)</f>
        <v/>
      </c>
      <c r="D3680" s="12" t="str">
        <f aca="false">IF($A3680="","",원본명단!$D3679)</f>
        <v/>
      </c>
      <c r="E3680" s="11" t="str">
        <f aca="false">IF($A3680="","",IF(원본명단!$H3679="",0,COUNTIF(원본명단!$H$3:$H$6002,원본명단!$H3679)))</f>
        <v/>
      </c>
      <c r="F3680" s="11" t="str">
        <f aca="false">IF($A3680="","",IF(원본명단!$I3679="",0,COUNTIF(원본명단!$I$3:$I$6002,원본명단!$I3679)))</f>
        <v/>
      </c>
      <c r="G3680" s="11" t="str">
        <f aca="false">IF($A3680="","",IF(원본명단!$K3679="",0,COUNTIF(원본명단!$K$3:$K$6002,원본명단!$K3679)))</f>
        <v/>
      </c>
      <c r="H3680" s="11" t="str">
        <f aca="false">IF($A3680="","",IF(MAX($E3680,$F3680,$G3680)&gt;1,"중복","-"))</f>
        <v/>
      </c>
      <c r="I3680" s="11" t="str">
        <f aca="false">IF($A3680="","",IF($H3680="-","-",IF(AND(IF(원본명단!$H3679="",TRUE(),COUNTIF(원본명단!$H$3:$H3679,원본명단!$H3679)=1),IF(원본명단!$I3679="",TRUE(),COUNTIF(원본명단!$I$3:$I3679,원본명단!$I3679)=1),IF(원본명단!$K3679="",TRUE(),COUNTIF(원본명단!$K$3:$K3679,원본명단!$K3679)=1)),"첫 건","중복 건")))</f>
        <v/>
      </c>
      <c r="J3680" s="11" t="str">
        <f aca="false">IF($A3680="","",IF($H3680="-","유지",IF($I3680="첫 건","유지","확인 필요")))</f>
        <v/>
      </c>
    </row>
    <row r="3681" customFormat="false" ht="15" hidden="false" customHeight="true" outlineLevel="0" collapsed="false">
      <c r="A3681" s="11" t="str">
        <f aca="false">IF(원본명단!$A3680="","",3678)</f>
        <v/>
      </c>
      <c r="B3681" s="12" t="str">
        <f aca="false">IF($A3681="","",원본명단!$A3680)</f>
        <v/>
      </c>
      <c r="C3681" s="12" t="str">
        <f aca="false">IF($A3681="","",원본명단!$B3680)</f>
        <v/>
      </c>
      <c r="D3681" s="12" t="str">
        <f aca="false">IF($A3681="","",원본명단!$D3680)</f>
        <v/>
      </c>
      <c r="E3681" s="11" t="str">
        <f aca="false">IF($A3681="","",IF(원본명단!$H3680="",0,COUNTIF(원본명단!$H$3:$H$6002,원본명단!$H3680)))</f>
        <v/>
      </c>
      <c r="F3681" s="11" t="str">
        <f aca="false">IF($A3681="","",IF(원본명단!$I3680="",0,COUNTIF(원본명단!$I$3:$I$6002,원본명단!$I3680)))</f>
        <v/>
      </c>
      <c r="G3681" s="11" t="str">
        <f aca="false">IF($A3681="","",IF(원본명단!$K3680="",0,COUNTIF(원본명단!$K$3:$K$6002,원본명단!$K3680)))</f>
        <v/>
      </c>
      <c r="H3681" s="11" t="str">
        <f aca="false">IF($A3681="","",IF(MAX($E3681,$F3681,$G3681)&gt;1,"중복","-"))</f>
        <v/>
      </c>
      <c r="I3681" s="11" t="str">
        <f aca="false">IF($A3681="","",IF($H3681="-","-",IF(AND(IF(원본명단!$H3680="",TRUE(),COUNTIF(원본명단!$H$3:$H3680,원본명단!$H3680)=1),IF(원본명단!$I3680="",TRUE(),COUNTIF(원본명단!$I$3:$I3680,원본명단!$I3680)=1),IF(원본명단!$K3680="",TRUE(),COUNTIF(원본명단!$K$3:$K3680,원본명단!$K3680)=1)),"첫 건","중복 건")))</f>
        <v/>
      </c>
      <c r="J3681" s="11" t="str">
        <f aca="false">IF($A3681="","",IF($H3681="-","유지",IF($I3681="첫 건","유지","확인 필요")))</f>
        <v/>
      </c>
    </row>
    <row r="3682" customFormat="false" ht="15" hidden="false" customHeight="true" outlineLevel="0" collapsed="false">
      <c r="A3682" s="11" t="str">
        <f aca="false">IF(원본명단!$A3681="","",3679)</f>
        <v/>
      </c>
      <c r="B3682" s="12" t="str">
        <f aca="false">IF($A3682="","",원본명단!$A3681)</f>
        <v/>
      </c>
      <c r="C3682" s="12" t="str">
        <f aca="false">IF($A3682="","",원본명단!$B3681)</f>
        <v/>
      </c>
      <c r="D3682" s="12" t="str">
        <f aca="false">IF($A3682="","",원본명단!$D3681)</f>
        <v/>
      </c>
      <c r="E3682" s="11" t="str">
        <f aca="false">IF($A3682="","",IF(원본명단!$H3681="",0,COUNTIF(원본명단!$H$3:$H$6002,원본명단!$H3681)))</f>
        <v/>
      </c>
      <c r="F3682" s="11" t="str">
        <f aca="false">IF($A3682="","",IF(원본명단!$I3681="",0,COUNTIF(원본명단!$I$3:$I$6002,원본명단!$I3681)))</f>
        <v/>
      </c>
      <c r="G3682" s="11" t="str">
        <f aca="false">IF($A3682="","",IF(원본명단!$K3681="",0,COUNTIF(원본명단!$K$3:$K$6002,원본명단!$K3681)))</f>
        <v/>
      </c>
      <c r="H3682" s="11" t="str">
        <f aca="false">IF($A3682="","",IF(MAX($E3682,$F3682,$G3682)&gt;1,"중복","-"))</f>
        <v/>
      </c>
      <c r="I3682" s="11" t="str">
        <f aca="false">IF($A3682="","",IF($H3682="-","-",IF(AND(IF(원본명단!$H3681="",TRUE(),COUNTIF(원본명단!$H$3:$H3681,원본명단!$H3681)=1),IF(원본명단!$I3681="",TRUE(),COUNTIF(원본명단!$I$3:$I3681,원본명단!$I3681)=1),IF(원본명단!$K3681="",TRUE(),COUNTIF(원본명단!$K$3:$K3681,원본명단!$K3681)=1)),"첫 건","중복 건")))</f>
        <v/>
      </c>
      <c r="J3682" s="11" t="str">
        <f aca="false">IF($A3682="","",IF($H3682="-","유지",IF($I3682="첫 건","유지","확인 필요")))</f>
        <v/>
      </c>
    </row>
    <row r="3683" customFormat="false" ht="15" hidden="false" customHeight="true" outlineLevel="0" collapsed="false">
      <c r="A3683" s="11" t="str">
        <f aca="false">IF(원본명단!$A3682="","",3680)</f>
        <v/>
      </c>
      <c r="B3683" s="12" t="str">
        <f aca="false">IF($A3683="","",원본명단!$A3682)</f>
        <v/>
      </c>
      <c r="C3683" s="12" t="str">
        <f aca="false">IF($A3683="","",원본명단!$B3682)</f>
        <v/>
      </c>
      <c r="D3683" s="12" t="str">
        <f aca="false">IF($A3683="","",원본명단!$D3682)</f>
        <v/>
      </c>
      <c r="E3683" s="11" t="str">
        <f aca="false">IF($A3683="","",IF(원본명단!$H3682="",0,COUNTIF(원본명단!$H$3:$H$6002,원본명단!$H3682)))</f>
        <v/>
      </c>
      <c r="F3683" s="11" t="str">
        <f aca="false">IF($A3683="","",IF(원본명단!$I3682="",0,COUNTIF(원본명단!$I$3:$I$6002,원본명단!$I3682)))</f>
        <v/>
      </c>
      <c r="G3683" s="11" t="str">
        <f aca="false">IF($A3683="","",IF(원본명단!$K3682="",0,COUNTIF(원본명단!$K$3:$K$6002,원본명단!$K3682)))</f>
        <v/>
      </c>
      <c r="H3683" s="11" t="str">
        <f aca="false">IF($A3683="","",IF(MAX($E3683,$F3683,$G3683)&gt;1,"중복","-"))</f>
        <v/>
      </c>
      <c r="I3683" s="11" t="str">
        <f aca="false">IF($A3683="","",IF($H3683="-","-",IF(AND(IF(원본명단!$H3682="",TRUE(),COUNTIF(원본명단!$H$3:$H3682,원본명단!$H3682)=1),IF(원본명단!$I3682="",TRUE(),COUNTIF(원본명단!$I$3:$I3682,원본명단!$I3682)=1),IF(원본명단!$K3682="",TRUE(),COUNTIF(원본명단!$K$3:$K3682,원본명단!$K3682)=1)),"첫 건","중복 건")))</f>
        <v/>
      </c>
      <c r="J3683" s="11" t="str">
        <f aca="false">IF($A3683="","",IF($H3683="-","유지",IF($I3683="첫 건","유지","확인 필요")))</f>
        <v/>
      </c>
    </row>
    <row r="3684" customFormat="false" ht="15" hidden="false" customHeight="true" outlineLevel="0" collapsed="false">
      <c r="A3684" s="11" t="str">
        <f aca="false">IF(원본명단!$A3683="","",3681)</f>
        <v/>
      </c>
      <c r="B3684" s="12" t="str">
        <f aca="false">IF($A3684="","",원본명단!$A3683)</f>
        <v/>
      </c>
      <c r="C3684" s="12" t="str">
        <f aca="false">IF($A3684="","",원본명단!$B3683)</f>
        <v/>
      </c>
      <c r="D3684" s="12" t="str">
        <f aca="false">IF($A3684="","",원본명단!$D3683)</f>
        <v/>
      </c>
      <c r="E3684" s="11" t="str">
        <f aca="false">IF($A3684="","",IF(원본명단!$H3683="",0,COUNTIF(원본명단!$H$3:$H$6002,원본명단!$H3683)))</f>
        <v/>
      </c>
      <c r="F3684" s="11" t="str">
        <f aca="false">IF($A3684="","",IF(원본명단!$I3683="",0,COUNTIF(원본명단!$I$3:$I$6002,원본명단!$I3683)))</f>
        <v/>
      </c>
      <c r="G3684" s="11" t="str">
        <f aca="false">IF($A3684="","",IF(원본명단!$K3683="",0,COUNTIF(원본명단!$K$3:$K$6002,원본명단!$K3683)))</f>
        <v/>
      </c>
      <c r="H3684" s="11" t="str">
        <f aca="false">IF($A3684="","",IF(MAX($E3684,$F3684,$G3684)&gt;1,"중복","-"))</f>
        <v/>
      </c>
      <c r="I3684" s="11" t="str">
        <f aca="false">IF($A3684="","",IF($H3684="-","-",IF(AND(IF(원본명단!$H3683="",TRUE(),COUNTIF(원본명단!$H$3:$H3683,원본명단!$H3683)=1),IF(원본명단!$I3683="",TRUE(),COUNTIF(원본명단!$I$3:$I3683,원본명단!$I3683)=1),IF(원본명단!$K3683="",TRUE(),COUNTIF(원본명단!$K$3:$K3683,원본명단!$K3683)=1)),"첫 건","중복 건")))</f>
        <v/>
      </c>
      <c r="J3684" s="11" t="str">
        <f aca="false">IF($A3684="","",IF($H3684="-","유지",IF($I3684="첫 건","유지","확인 필요")))</f>
        <v/>
      </c>
    </row>
    <row r="3685" customFormat="false" ht="15" hidden="false" customHeight="true" outlineLevel="0" collapsed="false">
      <c r="A3685" s="11" t="str">
        <f aca="false">IF(원본명단!$A3684="","",3682)</f>
        <v/>
      </c>
      <c r="B3685" s="12" t="str">
        <f aca="false">IF($A3685="","",원본명단!$A3684)</f>
        <v/>
      </c>
      <c r="C3685" s="12" t="str">
        <f aca="false">IF($A3685="","",원본명단!$B3684)</f>
        <v/>
      </c>
      <c r="D3685" s="12" t="str">
        <f aca="false">IF($A3685="","",원본명단!$D3684)</f>
        <v/>
      </c>
      <c r="E3685" s="11" t="str">
        <f aca="false">IF($A3685="","",IF(원본명단!$H3684="",0,COUNTIF(원본명단!$H$3:$H$6002,원본명단!$H3684)))</f>
        <v/>
      </c>
      <c r="F3685" s="11" t="str">
        <f aca="false">IF($A3685="","",IF(원본명단!$I3684="",0,COUNTIF(원본명단!$I$3:$I$6002,원본명단!$I3684)))</f>
        <v/>
      </c>
      <c r="G3685" s="11" t="str">
        <f aca="false">IF($A3685="","",IF(원본명단!$K3684="",0,COUNTIF(원본명단!$K$3:$K$6002,원본명단!$K3684)))</f>
        <v/>
      </c>
      <c r="H3685" s="11" t="str">
        <f aca="false">IF($A3685="","",IF(MAX($E3685,$F3685,$G3685)&gt;1,"중복","-"))</f>
        <v/>
      </c>
      <c r="I3685" s="11" t="str">
        <f aca="false">IF($A3685="","",IF($H3685="-","-",IF(AND(IF(원본명단!$H3684="",TRUE(),COUNTIF(원본명단!$H$3:$H3684,원본명단!$H3684)=1),IF(원본명단!$I3684="",TRUE(),COUNTIF(원본명단!$I$3:$I3684,원본명단!$I3684)=1),IF(원본명단!$K3684="",TRUE(),COUNTIF(원본명단!$K$3:$K3684,원본명단!$K3684)=1)),"첫 건","중복 건")))</f>
        <v/>
      </c>
      <c r="J3685" s="11" t="str">
        <f aca="false">IF($A3685="","",IF($H3685="-","유지",IF($I3685="첫 건","유지","확인 필요")))</f>
        <v/>
      </c>
    </row>
    <row r="3686" customFormat="false" ht="15" hidden="false" customHeight="true" outlineLevel="0" collapsed="false">
      <c r="A3686" s="11" t="str">
        <f aca="false">IF(원본명단!$A3685="","",3683)</f>
        <v/>
      </c>
      <c r="B3686" s="12" t="str">
        <f aca="false">IF($A3686="","",원본명단!$A3685)</f>
        <v/>
      </c>
      <c r="C3686" s="12" t="str">
        <f aca="false">IF($A3686="","",원본명단!$B3685)</f>
        <v/>
      </c>
      <c r="D3686" s="12" t="str">
        <f aca="false">IF($A3686="","",원본명단!$D3685)</f>
        <v/>
      </c>
      <c r="E3686" s="11" t="str">
        <f aca="false">IF($A3686="","",IF(원본명단!$H3685="",0,COUNTIF(원본명단!$H$3:$H$6002,원본명단!$H3685)))</f>
        <v/>
      </c>
      <c r="F3686" s="11" t="str">
        <f aca="false">IF($A3686="","",IF(원본명단!$I3685="",0,COUNTIF(원본명단!$I$3:$I$6002,원본명단!$I3685)))</f>
        <v/>
      </c>
      <c r="G3686" s="11" t="str">
        <f aca="false">IF($A3686="","",IF(원본명단!$K3685="",0,COUNTIF(원본명단!$K$3:$K$6002,원본명단!$K3685)))</f>
        <v/>
      </c>
      <c r="H3686" s="11" t="str">
        <f aca="false">IF($A3686="","",IF(MAX($E3686,$F3686,$G3686)&gt;1,"중복","-"))</f>
        <v/>
      </c>
      <c r="I3686" s="11" t="str">
        <f aca="false">IF($A3686="","",IF($H3686="-","-",IF(AND(IF(원본명단!$H3685="",TRUE(),COUNTIF(원본명단!$H$3:$H3685,원본명단!$H3685)=1),IF(원본명단!$I3685="",TRUE(),COUNTIF(원본명단!$I$3:$I3685,원본명단!$I3685)=1),IF(원본명단!$K3685="",TRUE(),COUNTIF(원본명단!$K$3:$K3685,원본명단!$K3685)=1)),"첫 건","중복 건")))</f>
        <v/>
      </c>
      <c r="J3686" s="11" t="str">
        <f aca="false">IF($A3686="","",IF($H3686="-","유지",IF($I3686="첫 건","유지","확인 필요")))</f>
        <v/>
      </c>
    </row>
    <row r="3687" customFormat="false" ht="15" hidden="false" customHeight="true" outlineLevel="0" collapsed="false">
      <c r="A3687" s="11" t="str">
        <f aca="false">IF(원본명단!$A3686="","",3684)</f>
        <v/>
      </c>
      <c r="B3687" s="12" t="str">
        <f aca="false">IF($A3687="","",원본명단!$A3686)</f>
        <v/>
      </c>
      <c r="C3687" s="12" t="str">
        <f aca="false">IF($A3687="","",원본명단!$B3686)</f>
        <v/>
      </c>
      <c r="D3687" s="12" t="str">
        <f aca="false">IF($A3687="","",원본명단!$D3686)</f>
        <v/>
      </c>
      <c r="E3687" s="11" t="str">
        <f aca="false">IF($A3687="","",IF(원본명단!$H3686="",0,COUNTIF(원본명단!$H$3:$H$6002,원본명단!$H3686)))</f>
        <v/>
      </c>
      <c r="F3687" s="11" t="str">
        <f aca="false">IF($A3687="","",IF(원본명단!$I3686="",0,COUNTIF(원본명단!$I$3:$I$6002,원본명단!$I3686)))</f>
        <v/>
      </c>
      <c r="G3687" s="11" t="str">
        <f aca="false">IF($A3687="","",IF(원본명단!$K3686="",0,COUNTIF(원본명단!$K$3:$K$6002,원본명단!$K3686)))</f>
        <v/>
      </c>
      <c r="H3687" s="11" t="str">
        <f aca="false">IF($A3687="","",IF(MAX($E3687,$F3687,$G3687)&gt;1,"중복","-"))</f>
        <v/>
      </c>
      <c r="I3687" s="11" t="str">
        <f aca="false">IF($A3687="","",IF($H3687="-","-",IF(AND(IF(원본명단!$H3686="",TRUE(),COUNTIF(원본명단!$H$3:$H3686,원본명단!$H3686)=1),IF(원본명단!$I3686="",TRUE(),COUNTIF(원본명단!$I$3:$I3686,원본명단!$I3686)=1),IF(원본명단!$K3686="",TRUE(),COUNTIF(원본명단!$K$3:$K3686,원본명단!$K3686)=1)),"첫 건","중복 건")))</f>
        <v/>
      </c>
      <c r="J3687" s="11" t="str">
        <f aca="false">IF($A3687="","",IF($H3687="-","유지",IF($I3687="첫 건","유지","확인 필요")))</f>
        <v/>
      </c>
    </row>
    <row r="3688" customFormat="false" ht="15" hidden="false" customHeight="true" outlineLevel="0" collapsed="false">
      <c r="A3688" s="11" t="str">
        <f aca="false">IF(원본명단!$A3687="","",3685)</f>
        <v/>
      </c>
      <c r="B3688" s="12" t="str">
        <f aca="false">IF($A3688="","",원본명단!$A3687)</f>
        <v/>
      </c>
      <c r="C3688" s="12" t="str">
        <f aca="false">IF($A3688="","",원본명단!$B3687)</f>
        <v/>
      </c>
      <c r="D3688" s="12" t="str">
        <f aca="false">IF($A3688="","",원본명단!$D3687)</f>
        <v/>
      </c>
      <c r="E3688" s="11" t="str">
        <f aca="false">IF($A3688="","",IF(원본명단!$H3687="",0,COUNTIF(원본명단!$H$3:$H$6002,원본명단!$H3687)))</f>
        <v/>
      </c>
      <c r="F3688" s="11" t="str">
        <f aca="false">IF($A3688="","",IF(원본명단!$I3687="",0,COUNTIF(원본명단!$I$3:$I$6002,원본명단!$I3687)))</f>
        <v/>
      </c>
      <c r="G3688" s="11" t="str">
        <f aca="false">IF($A3688="","",IF(원본명단!$K3687="",0,COUNTIF(원본명단!$K$3:$K$6002,원본명단!$K3687)))</f>
        <v/>
      </c>
      <c r="H3688" s="11" t="str">
        <f aca="false">IF($A3688="","",IF(MAX($E3688,$F3688,$G3688)&gt;1,"중복","-"))</f>
        <v/>
      </c>
      <c r="I3688" s="11" t="str">
        <f aca="false">IF($A3688="","",IF($H3688="-","-",IF(AND(IF(원본명단!$H3687="",TRUE(),COUNTIF(원본명단!$H$3:$H3687,원본명단!$H3687)=1),IF(원본명단!$I3687="",TRUE(),COUNTIF(원본명단!$I$3:$I3687,원본명단!$I3687)=1),IF(원본명단!$K3687="",TRUE(),COUNTIF(원본명단!$K$3:$K3687,원본명단!$K3687)=1)),"첫 건","중복 건")))</f>
        <v/>
      </c>
      <c r="J3688" s="11" t="str">
        <f aca="false">IF($A3688="","",IF($H3688="-","유지",IF($I3688="첫 건","유지","확인 필요")))</f>
        <v/>
      </c>
    </row>
    <row r="3689" customFormat="false" ht="15" hidden="false" customHeight="true" outlineLevel="0" collapsed="false">
      <c r="A3689" s="11" t="str">
        <f aca="false">IF(원본명단!$A3688="","",3686)</f>
        <v/>
      </c>
      <c r="B3689" s="12" t="str">
        <f aca="false">IF($A3689="","",원본명단!$A3688)</f>
        <v/>
      </c>
      <c r="C3689" s="12" t="str">
        <f aca="false">IF($A3689="","",원본명단!$B3688)</f>
        <v/>
      </c>
      <c r="D3689" s="12" t="str">
        <f aca="false">IF($A3689="","",원본명단!$D3688)</f>
        <v/>
      </c>
      <c r="E3689" s="11" t="str">
        <f aca="false">IF($A3689="","",IF(원본명단!$H3688="",0,COUNTIF(원본명단!$H$3:$H$6002,원본명단!$H3688)))</f>
        <v/>
      </c>
      <c r="F3689" s="11" t="str">
        <f aca="false">IF($A3689="","",IF(원본명단!$I3688="",0,COUNTIF(원본명단!$I$3:$I$6002,원본명단!$I3688)))</f>
        <v/>
      </c>
      <c r="G3689" s="11" t="str">
        <f aca="false">IF($A3689="","",IF(원본명단!$K3688="",0,COUNTIF(원본명단!$K$3:$K$6002,원본명단!$K3688)))</f>
        <v/>
      </c>
      <c r="H3689" s="11" t="str">
        <f aca="false">IF($A3689="","",IF(MAX($E3689,$F3689,$G3689)&gt;1,"중복","-"))</f>
        <v/>
      </c>
      <c r="I3689" s="11" t="str">
        <f aca="false">IF($A3689="","",IF($H3689="-","-",IF(AND(IF(원본명단!$H3688="",TRUE(),COUNTIF(원본명단!$H$3:$H3688,원본명단!$H3688)=1),IF(원본명단!$I3688="",TRUE(),COUNTIF(원본명단!$I$3:$I3688,원본명단!$I3688)=1),IF(원본명단!$K3688="",TRUE(),COUNTIF(원본명단!$K$3:$K3688,원본명단!$K3688)=1)),"첫 건","중복 건")))</f>
        <v/>
      </c>
      <c r="J3689" s="11" t="str">
        <f aca="false">IF($A3689="","",IF($H3689="-","유지",IF($I3689="첫 건","유지","확인 필요")))</f>
        <v/>
      </c>
    </row>
    <row r="3690" customFormat="false" ht="15" hidden="false" customHeight="true" outlineLevel="0" collapsed="false">
      <c r="A3690" s="11" t="str">
        <f aca="false">IF(원본명단!$A3689="","",3687)</f>
        <v/>
      </c>
      <c r="B3690" s="12" t="str">
        <f aca="false">IF($A3690="","",원본명단!$A3689)</f>
        <v/>
      </c>
      <c r="C3690" s="12" t="str">
        <f aca="false">IF($A3690="","",원본명단!$B3689)</f>
        <v/>
      </c>
      <c r="D3690" s="12" t="str">
        <f aca="false">IF($A3690="","",원본명단!$D3689)</f>
        <v/>
      </c>
      <c r="E3690" s="11" t="str">
        <f aca="false">IF($A3690="","",IF(원본명단!$H3689="",0,COUNTIF(원본명단!$H$3:$H$6002,원본명단!$H3689)))</f>
        <v/>
      </c>
      <c r="F3690" s="11" t="str">
        <f aca="false">IF($A3690="","",IF(원본명단!$I3689="",0,COUNTIF(원본명단!$I$3:$I$6002,원본명단!$I3689)))</f>
        <v/>
      </c>
      <c r="G3690" s="11" t="str">
        <f aca="false">IF($A3690="","",IF(원본명단!$K3689="",0,COUNTIF(원본명단!$K$3:$K$6002,원본명단!$K3689)))</f>
        <v/>
      </c>
      <c r="H3690" s="11" t="str">
        <f aca="false">IF($A3690="","",IF(MAX($E3690,$F3690,$G3690)&gt;1,"중복","-"))</f>
        <v/>
      </c>
      <c r="I3690" s="11" t="str">
        <f aca="false">IF($A3690="","",IF($H3690="-","-",IF(AND(IF(원본명단!$H3689="",TRUE(),COUNTIF(원본명단!$H$3:$H3689,원본명단!$H3689)=1),IF(원본명단!$I3689="",TRUE(),COUNTIF(원본명단!$I$3:$I3689,원본명단!$I3689)=1),IF(원본명단!$K3689="",TRUE(),COUNTIF(원본명단!$K$3:$K3689,원본명단!$K3689)=1)),"첫 건","중복 건")))</f>
        <v/>
      </c>
      <c r="J3690" s="11" t="str">
        <f aca="false">IF($A3690="","",IF($H3690="-","유지",IF($I3690="첫 건","유지","확인 필요")))</f>
        <v/>
      </c>
    </row>
    <row r="3691" customFormat="false" ht="15" hidden="false" customHeight="true" outlineLevel="0" collapsed="false">
      <c r="A3691" s="11" t="str">
        <f aca="false">IF(원본명단!$A3690="","",3688)</f>
        <v/>
      </c>
      <c r="B3691" s="12" t="str">
        <f aca="false">IF($A3691="","",원본명단!$A3690)</f>
        <v/>
      </c>
      <c r="C3691" s="12" t="str">
        <f aca="false">IF($A3691="","",원본명단!$B3690)</f>
        <v/>
      </c>
      <c r="D3691" s="12" t="str">
        <f aca="false">IF($A3691="","",원본명단!$D3690)</f>
        <v/>
      </c>
      <c r="E3691" s="11" t="str">
        <f aca="false">IF($A3691="","",IF(원본명단!$H3690="",0,COUNTIF(원본명단!$H$3:$H$6002,원본명단!$H3690)))</f>
        <v/>
      </c>
      <c r="F3691" s="11" t="str">
        <f aca="false">IF($A3691="","",IF(원본명단!$I3690="",0,COUNTIF(원본명단!$I$3:$I$6002,원본명단!$I3690)))</f>
        <v/>
      </c>
      <c r="G3691" s="11" t="str">
        <f aca="false">IF($A3691="","",IF(원본명단!$K3690="",0,COUNTIF(원본명단!$K$3:$K$6002,원본명단!$K3690)))</f>
        <v/>
      </c>
      <c r="H3691" s="11" t="str">
        <f aca="false">IF($A3691="","",IF(MAX($E3691,$F3691,$G3691)&gt;1,"중복","-"))</f>
        <v/>
      </c>
      <c r="I3691" s="11" t="str">
        <f aca="false">IF($A3691="","",IF($H3691="-","-",IF(AND(IF(원본명단!$H3690="",TRUE(),COUNTIF(원본명단!$H$3:$H3690,원본명단!$H3690)=1),IF(원본명단!$I3690="",TRUE(),COUNTIF(원본명단!$I$3:$I3690,원본명단!$I3690)=1),IF(원본명단!$K3690="",TRUE(),COUNTIF(원본명단!$K$3:$K3690,원본명단!$K3690)=1)),"첫 건","중복 건")))</f>
        <v/>
      </c>
      <c r="J3691" s="11" t="str">
        <f aca="false">IF($A3691="","",IF($H3691="-","유지",IF($I3691="첫 건","유지","확인 필요")))</f>
        <v/>
      </c>
    </row>
    <row r="3692" customFormat="false" ht="15" hidden="false" customHeight="true" outlineLevel="0" collapsed="false">
      <c r="A3692" s="11" t="str">
        <f aca="false">IF(원본명단!$A3691="","",3689)</f>
        <v/>
      </c>
      <c r="B3692" s="12" t="str">
        <f aca="false">IF($A3692="","",원본명단!$A3691)</f>
        <v/>
      </c>
      <c r="C3692" s="12" t="str">
        <f aca="false">IF($A3692="","",원본명단!$B3691)</f>
        <v/>
      </c>
      <c r="D3692" s="12" t="str">
        <f aca="false">IF($A3692="","",원본명단!$D3691)</f>
        <v/>
      </c>
      <c r="E3692" s="11" t="str">
        <f aca="false">IF($A3692="","",IF(원본명단!$H3691="",0,COUNTIF(원본명단!$H$3:$H$6002,원본명단!$H3691)))</f>
        <v/>
      </c>
      <c r="F3692" s="11" t="str">
        <f aca="false">IF($A3692="","",IF(원본명단!$I3691="",0,COUNTIF(원본명단!$I$3:$I$6002,원본명단!$I3691)))</f>
        <v/>
      </c>
      <c r="G3692" s="11" t="str">
        <f aca="false">IF($A3692="","",IF(원본명단!$K3691="",0,COUNTIF(원본명단!$K$3:$K$6002,원본명단!$K3691)))</f>
        <v/>
      </c>
      <c r="H3692" s="11" t="str">
        <f aca="false">IF($A3692="","",IF(MAX($E3692,$F3692,$G3692)&gt;1,"중복","-"))</f>
        <v/>
      </c>
      <c r="I3692" s="11" t="str">
        <f aca="false">IF($A3692="","",IF($H3692="-","-",IF(AND(IF(원본명단!$H3691="",TRUE(),COUNTIF(원본명단!$H$3:$H3691,원본명단!$H3691)=1),IF(원본명단!$I3691="",TRUE(),COUNTIF(원본명단!$I$3:$I3691,원본명단!$I3691)=1),IF(원본명단!$K3691="",TRUE(),COUNTIF(원본명단!$K$3:$K3691,원본명단!$K3691)=1)),"첫 건","중복 건")))</f>
        <v/>
      </c>
      <c r="J3692" s="11" t="str">
        <f aca="false">IF($A3692="","",IF($H3692="-","유지",IF($I3692="첫 건","유지","확인 필요")))</f>
        <v/>
      </c>
    </row>
    <row r="3693" customFormat="false" ht="15" hidden="false" customHeight="true" outlineLevel="0" collapsed="false">
      <c r="A3693" s="11" t="str">
        <f aca="false">IF(원본명단!$A3692="","",3690)</f>
        <v/>
      </c>
      <c r="B3693" s="12" t="str">
        <f aca="false">IF($A3693="","",원본명단!$A3692)</f>
        <v/>
      </c>
      <c r="C3693" s="12" t="str">
        <f aca="false">IF($A3693="","",원본명단!$B3692)</f>
        <v/>
      </c>
      <c r="D3693" s="12" t="str">
        <f aca="false">IF($A3693="","",원본명단!$D3692)</f>
        <v/>
      </c>
      <c r="E3693" s="11" t="str">
        <f aca="false">IF($A3693="","",IF(원본명단!$H3692="",0,COUNTIF(원본명단!$H$3:$H$6002,원본명단!$H3692)))</f>
        <v/>
      </c>
      <c r="F3693" s="11" t="str">
        <f aca="false">IF($A3693="","",IF(원본명단!$I3692="",0,COUNTIF(원본명단!$I$3:$I$6002,원본명단!$I3692)))</f>
        <v/>
      </c>
      <c r="G3693" s="11" t="str">
        <f aca="false">IF($A3693="","",IF(원본명단!$K3692="",0,COUNTIF(원본명단!$K$3:$K$6002,원본명단!$K3692)))</f>
        <v/>
      </c>
      <c r="H3693" s="11" t="str">
        <f aca="false">IF($A3693="","",IF(MAX($E3693,$F3693,$G3693)&gt;1,"중복","-"))</f>
        <v/>
      </c>
      <c r="I3693" s="11" t="str">
        <f aca="false">IF($A3693="","",IF($H3693="-","-",IF(AND(IF(원본명단!$H3692="",TRUE(),COUNTIF(원본명단!$H$3:$H3692,원본명단!$H3692)=1),IF(원본명단!$I3692="",TRUE(),COUNTIF(원본명단!$I$3:$I3692,원본명단!$I3692)=1),IF(원본명단!$K3692="",TRUE(),COUNTIF(원본명단!$K$3:$K3692,원본명단!$K3692)=1)),"첫 건","중복 건")))</f>
        <v/>
      </c>
      <c r="J3693" s="11" t="str">
        <f aca="false">IF($A3693="","",IF($H3693="-","유지",IF($I3693="첫 건","유지","확인 필요")))</f>
        <v/>
      </c>
    </row>
    <row r="3694" customFormat="false" ht="15" hidden="false" customHeight="true" outlineLevel="0" collapsed="false">
      <c r="A3694" s="11" t="str">
        <f aca="false">IF(원본명단!$A3693="","",3691)</f>
        <v/>
      </c>
      <c r="B3694" s="12" t="str">
        <f aca="false">IF($A3694="","",원본명단!$A3693)</f>
        <v/>
      </c>
      <c r="C3694" s="12" t="str">
        <f aca="false">IF($A3694="","",원본명단!$B3693)</f>
        <v/>
      </c>
      <c r="D3694" s="12" t="str">
        <f aca="false">IF($A3694="","",원본명단!$D3693)</f>
        <v/>
      </c>
      <c r="E3694" s="11" t="str">
        <f aca="false">IF($A3694="","",IF(원본명단!$H3693="",0,COUNTIF(원본명단!$H$3:$H$6002,원본명단!$H3693)))</f>
        <v/>
      </c>
      <c r="F3694" s="11" t="str">
        <f aca="false">IF($A3694="","",IF(원본명단!$I3693="",0,COUNTIF(원본명단!$I$3:$I$6002,원본명단!$I3693)))</f>
        <v/>
      </c>
      <c r="G3694" s="11" t="str">
        <f aca="false">IF($A3694="","",IF(원본명단!$K3693="",0,COUNTIF(원본명단!$K$3:$K$6002,원본명단!$K3693)))</f>
        <v/>
      </c>
      <c r="H3694" s="11" t="str">
        <f aca="false">IF($A3694="","",IF(MAX($E3694,$F3694,$G3694)&gt;1,"중복","-"))</f>
        <v/>
      </c>
      <c r="I3694" s="11" t="str">
        <f aca="false">IF($A3694="","",IF($H3694="-","-",IF(AND(IF(원본명단!$H3693="",TRUE(),COUNTIF(원본명단!$H$3:$H3693,원본명단!$H3693)=1),IF(원본명단!$I3693="",TRUE(),COUNTIF(원본명단!$I$3:$I3693,원본명단!$I3693)=1),IF(원본명단!$K3693="",TRUE(),COUNTIF(원본명단!$K$3:$K3693,원본명단!$K3693)=1)),"첫 건","중복 건")))</f>
        <v/>
      </c>
      <c r="J3694" s="11" t="str">
        <f aca="false">IF($A3694="","",IF($H3694="-","유지",IF($I3694="첫 건","유지","확인 필요")))</f>
        <v/>
      </c>
    </row>
    <row r="3695" customFormat="false" ht="15" hidden="false" customHeight="true" outlineLevel="0" collapsed="false">
      <c r="A3695" s="11" t="str">
        <f aca="false">IF(원본명단!$A3694="","",3692)</f>
        <v/>
      </c>
      <c r="B3695" s="12" t="str">
        <f aca="false">IF($A3695="","",원본명단!$A3694)</f>
        <v/>
      </c>
      <c r="C3695" s="12" t="str">
        <f aca="false">IF($A3695="","",원본명단!$B3694)</f>
        <v/>
      </c>
      <c r="D3695" s="12" t="str">
        <f aca="false">IF($A3695="","",원본명단!$D3694)</f>
        <v/>
      </c>
      <c r="E3695" s="11" t="str">
        <f aca="false">IF($A3695="","",IF(원본명단!$H3694="",0,COUNTIF(원본명단!$H$3:$H$6002,원본명단!$H3694)))</f>
        <v/>
      </c>
      <c r="F3695" s="11" t="str">
        <f aca="false">IF($A3695="","",IF(원본명단!$I3694="",0,COUNTIF(원본명단!$I$3:$I$6002,원본명단!$I3694)))</f>
        <v/>
      </c>
      <c r="G3695" s="11" t="str">
        <f aca="false">IF($A3695="","",IF(원본명단!$K3694="",0,COUNTIF(원본명단!$K$3:$K$6002,원본명단!$K3694)))</f>
        <v/>
      </c>
      <c r="H3695" s="11" t="str">
        <f aca="false">IF($A3695="","",IF(MAX($E3695,$F3695,$G3695)&gt;1,"중복","-"))</f>
        <v/>
      </c>
      <c r="I3695" s="11" t="str">
        <f aca="false">IF($A3695="","",IF($H3695="-","-",IF(AND(IF(원본명단!$H3694="",TRUE(),COUNTIF(원본명단!$H$3:$H3694,원본명단!$H3694)=1),IF(원본명단!$I3694="",TRUE(),COUNTIF(원본명단!$I$3:$I3694,원본명단!$I3694)=1),IF(원본명단!$K3694="",TRUE(),COUNTIF(원본명단!$K$3:$K3694,원본명단!$K3694)=1)),"첫 건","중복 건")))</f>
        <v/>
      </c>
      <c r="J3695" s="11" t="str">
        <f aca="false">IF($A3695="","",IF($H3695="-","유지",IF($I3695="첫 건","유지","확인 필요")))</f>
        <v/>
      </c>
    </row>
    <row r="3696" customFormat="false" ht="15" hidden="false" customHeight="true" outlineLevel="0" collapsed="false">
      <c r="A3696" s="11" t="str">
        <f aca="false">IF(원본명단!$A3695="","",3693)</f>
        <v/>
      </c>
      <c r="B3696" s="12" t="str">
        <f aca="false">IF($A3696="","",원본명단!$A3695)</f>
        <v/>
      </c>
      <c r="C3696" s="12" t="str">
        <f aca="false">IF($A3696="","",원본명단!$B3695)</f>
        <v/>
      </c>
      <c r="D3696" s="12" t="str">
        <f aca="false">IF($A3696="","",원본명단!$D3695)</f>
        <v/>
      </c>
      <c r="E3696" s="11" t="str">
        <f aca="false">IF($A3696="","",IF(원본명단!$H3695="",0,COUNTIF(원본명단!$H$3:$H$6002,원본명단!$H3695)))</f>
        <v/>
      </c>
      <c r="F3696" s="11" t="str">
        <f aca="false">IF($A3696="","",IF(원본명단!$I3695="",0,COUNTIF(원본명단!$I$3:$I$6002,원본명단!$I3695)))</f>
        <v/>
      </c>
      <c r="G3696" s="11" t="str">
        <f aca="false">IF($A3696="","",IF(원본명단!$K3695="",0,COUNTIF(원본명단!$K$3:$K$6002,원본명단!$K3695)))</f>
        <v/>
      </c>
      <c r="H3696" s="11" t="str">
        <f aca="false">IF($A3696="","",IF(MAX($E3696,$F3696,$G3696)&gt;1,"중복","-"))</f>
        <v/>
      </c>
      <c r="I3696" s="11" t="str">
        <f aca="false">IF($A3696="","",IF($H3696="-","-",IF(AND(IF(원본명단!$H3695="",TRUE(),COUNTIF(원본명단!$H$3:$H3695,원본명단!$H3695)=1),IF(원본명단!$I3695="",TRUE(),COUNTIF(원본명단!$I$3:$I3695,원본명단!$I3695)=1),IF(원본명단!$K3695="",TRUE(),COUNTIF(원본명단!$K$3:$K3695,원본명단!$K3695)=1)),"첫 건","중복 건")))</f>
        <v/>
      </c>
      <c r="J3696" s="11" t="str">
        <f aca="false">IF($A3696="","",IF($H3696="-","유지",IF($I3696="첫 건","유지","확인 필요")))</f>
        <v/>
      </c>
    </row>
    <row r="3697" customFormat="false" ht="15" hidden="false" customHeight="true" outlineLevel="0" collapsed="false">
      <c r="A3697" s="11" t="str">
        <f aca="false">IF(원본명단!$A3696="","",3694)</f>
        <v/>
      </c>
      <c r="B3697" s="12" t="str">
        <f aca="false">IF($A3697="","",원본명단!$A3696)</f>
        <v/>
      </c>
      <c r="C3697" s="12" t="str">
        <f aca="false">IF($A3697="","",원본명단!$B3696)</f>
        <v/>
      </c>
      <c r="D3697" s="12" t="str">
        <f aca="false">IF($A3697="","",원본명단!$D3696)</f>
        <v/>
      </c>
      <c r="E3697" s="11" t="str">
        <f aca="false">IF($A3697="","",IF(원본명단!$H3696="",0,COUNTIF(원본명단!$H$3:$H$6002,원본명단!$H3696)))</f>
        <v/>
      </c>
      <c r="F3697" s="11" t="str">
        <f aca="false">IF($A3697="","",IF(원본명단!$I3696="",0,COUNTIF(원본명단!$I$3:$I$6002,원본명단!$I3696)))</f>
        <v/>
      </c>
      <c r="G3697" s="11" t="str">
        <f aca="false">IF($A3697="","",IF(원본명단!$K3696="",0,COUNTIF(원본명단!$K$3:$K$6002,원본명단!$K3696)))</f>
        <v/>
      </c>
      <c r="H3697" s="11" t="str">
        <f aca="false">IF($A3697="","",IF(MAX($E3697,$F3697,$G3697)&gt;1,"중복","-"))</f>
        <v/>
      </c>
      <c r="I3697" s="11" t="str">
        <f aca="false">IF($A3697="","",IF($H3697="-","-",IF(AND(IF(원본명단!$H3696="",TRUE(),COUNTIF(원본명단!$H$3:$H3696,원본명단!$H3696)=1),IF(원본명단!$I3696="",TRUE(),COUNTIF(원본명단!$I$3:$I3696,원본명단!$I3696)=1),IF(원본명단!$K3696="",TRUE(),COUNTIF(원본명단!$K$3:$K3696,원본명단!$K3696)=1)),"첫 건","중복 건")))</f>
        <v/>
      </c>
      <c r="J3697" s="11" t="str">
        <f aca="false">IF($A3697="","",IF($H3697="-","유지",IF($I3697="첫 건","유지","확인 필요")))</f>
        <v/>
      </c>
    </row>
    <row r="3698" customFormat="false" ht="15" hidden="false" customHeight="true" outlineLevel="0" collapsed="false">
      <c r="A3698" s="11" t="str">
        <f aca="false">IF(원본명단!$A3697="","",3695)</f>
        <v/>
      </c>
      <c r="B3698" s="12" t="str">
        <f aca="false">IF($A3698="","",원본명단!$A3697)</f>
        <v/>
      </c>
      <c r="C3698" s="12" t="str">
        <f aca="false">IF($A3698="","",원본명단!$B3697)</f>
        <v/>
      </c>
      <c r="D3698" s="12" t="str">
        <f aca="false">IF($A3698="","",원본명단!$D3697)</f>
        <v/>
      </c>
      <c r="E3698" s="11" t="str">
        <f aca="false">IF($A3698="","",IF(원본명단!$H3697="",0,COUNTIF(원본명단!$H$3:$H$6002,원본명단!$H3697)))</f>
        <v/>
      </c>
      <c r="F3698" s="11" t="str">
        <f aca="false">IF($A3698="","",IF(원본명단!$I3697="",0,COUNTIF(원본명단!$I$3:$I$6002,원본명단!$I3697)))</f>
        <v/>
      </c>
      <c r="G3698" s="11" t="str">
        <f aca="false">IF($A3698="","",IF(원본명단!$K3697="",0,COUNTIF(원본명단!$K$3:$K$6002,원본명단!$K3697)))</f>
        <v/>
      </c>
      <c r="H3698" s="11" t="str">
        <f aca="false">IF($A3698="","",IF(MAX($E3698,$F3698,$G3698)&gt;1,"중복","-"))</f>
        <v/>
      </c>
      <c r="I3698" s="11" t="str">
        <f aca="false">IF($A3698="","",IF($H3698="-","-",IF(AND(IF(원본명단!$H3697="",TRUE(),COUNTIF(원본명단!$H$3:$H3697,원본명단!$H3697)=1),IF(원본명단!$I3697="",TRUE(),COUNTIF(원본명단!$I$3:$I3697,원본명단!$I3697)=1),IF(원본명단!$K3697="",TRUE(),COUNTIF(원본명단!$K$3:$K3697,원본명단!$K3697)=1)),"첫 건","중복 건")))</f>
        <v/>
      </c>
      <c r="J3698" s="11" t="str">
        <f aca="false">IF($A3698="","",IF($H3698="-","유지",IF($I3698="첫 건","유지","확인 필요")))</f>
        <v/>
      </c>
    </row>
    <row r="3699" customFormat="false" ht="15" hidden="false" customHeight="true" outlineLevel="0" collapsed="false">
      <c r="A3699" s="11" t="str">
        <f aca="false">IF(원본명단!$A3698="","",3696)</f>
        <v/>
      </c>
      <c r="B3699" s="12" t="str">
        <f aca="false">IF($A3699="","",원본명단!$A3698)</f>
        <v/>
      </c>
      <c r="C3699" s="12" t="str">
        <f aca="false">IF($A3699="","",원본명단!$B3698)</f>
        <v/>
      </c>
      <c r="D3699" s="12" t="str">
        <f aca="false">IF($A3699="","",원본명단!$D3698)</f>
        <v/>
      </c>
      <c r="E3699" s="11" t="str">
        <f aca="false">IF($A3699="","",IF(원본명단!$H3698="",0,COUNTIF(원본명단!$H$3:$H$6002,원본명단!$H3698)))</f>
        <v/>
      </c>
      <c r="F3699" s="11" t="str">
        <f aca="false">IF($A3699="","",IF(원본명단!$I3698="",0,COUNTIF(원본명단!$I$3:$I$6002,원본명단!$I3698)))</f>
        <v/>
      </c>
      <c r="G3699" s="11" t="str">
        <f aca="false">IF($A3699="","",IF(원본명단!$K3698="",0,COUNTIF(원본명단!$K$3:$K$6002,원본명단!$K3698)))</f>
        <v/>
      </c>
      <c r="H3699" s="11" t="str">
        <f aca="false">IF($A3699="","",IF(MAX($E3699,$F3699,$G3699)&gt;1,"중복","-"))</f>
        <v/>
      </c>
      <c r="I3699" s="11" t="str">
        <f aca="false">IF($A3699="","",IF($H3699="-","-",IF(AND(IF(원본명단!$H3698="",TRUE(),COUNTIF(원본명단!$H$3:$H3698,원본명단!$H3698)=1),IF(원본명단!$I3698="",TRUE(),COUNTIF(원본명단!$I$3:$I3698,원본명단!$I3698)=1),IF(원본명단!$K3698="",TRUE(),COUNTIF(원본명단!$K$3:$K3698,원본명단!$K3698)=1)),"첫 건","중복 건")))</f>
        <v/>
      </c>
      <c r="J3699" s="11" t="str">
        <f aca="false">IF($A3699="","",IF($H3699="-","유지",IF($I3699="첫 건","유지","확인 필요")))</f>
        <v/>
      </c>
    </row>
    <row r="3700" customFormat="false" ht="15" hidden="false" customHeight="true" outlineLevel="0" collapsed="false">
      <c r="A3700" s="11" t="str">
        <f aca="false">IF(원본명단!$A3699="","",3697)</f>
        <v/>
      </c>
      <c r="B3700" s="12" t="str">
        <f aca="false">IF($A3700="","",원본명단!$A3699)</f>
        <v/>
      </c>
      <c r="C3700" s="12" t="str">
        <f aca="false">IF($A3700="","",원본명단!$B3699)</f>
        <v/>
      </c>
      <c r="D3700" s="12" t="str">
        <f aca="false">IF($A3700="","",원본명단!$D3699)</f>
        <v/>
      </c>
      <c r="E3700" s="11" t="str">
        <f aca="false">IF($A3700="","",IF(원본명단!$H3699="",0,COUNTIF(원본명단!$H$3:$H$6002,원본명단!$H3699)))</f>
        <v/>
      </c>
      <c r="F3700" s="11" t="str">
        <f aca="false">IF($A3700="","",IF(원본명단!$I3699="",0,COUNTIF(원본명단!$I$3:$I$6002,원본명단!$I3699)))</f>
        <v/>
      </c>
      <c r="G3700" s="11" t="str">
        <f aca="false">IF($A3700="","",IF(원본명단!$K3699="",0,COUNTIF(원본명단!$K$3:$K$6002,원본명단!$K3699)))</f>
        <v/>
      </c>
      <c r="H3700" s="11" t="str">
        <f aca="false">IF($A3700="","",IF(MAX($E3700,$F3700,$G3700)&gt;1,"중복","-"))</f>
        <v/>
      </c>
      <c r="I3700" s="11" t="str">
        <f aca="false">IF($A3700="","",IF($H3700="-","-",IF(AND(IF(원본명단!$H3699="",TRUE(),COUNTIF(원본명단!$H$3:$H3699,원본명단!$H3699)=1),IF(원본명단!$I3699="",TRUE(),COUNTIF(원본명단!$I$3:$I3699,원본명단!$I3699)=1),IF(원본명단!$K3699="",TRUE(),COUNTIF(원본명단!$K$3:$K3699,원본명단!$K3699)=1)),"첫 건","중복 건")))</f>
        <v/>
      </c>
      <c r="J3700" s="11" t="str">
        <f aca="false">IF($A3700="","",IF($H3700="-","유지",IF($I3700="첫 건","유지","확인 필요")))</f>
        <v/>
      </c>
    </row>
    <row r="3701" customFormat="false" ht="15" hidden="false" customHeight="true" outlineLevel="0" collapsed="false">
      <c r="A3701" s="11" t="str">
        <f aca="false">IF(원본명단!$A3700="","",3698)</f>
        <v/>
      </c>
      <c r="B3701" s="12" t="str">
        <f aca="false">IF($A3701="","",원본명단!$A3700)</f>
        <v/>
      </c>
      <c r="C3701" s="12" t="str">
        <f aca="false">IF($A3701="","",원본명단!$B3700)</f>
        <v/>
      </c>
      <c r="D3701" s="12" t="str">
        <f aca="false">IF($A3701="","",원본명단!$D3700)</f>
        <v/>
      </c>
      <c r="E3701" s="11" t="str">
        <f aca="false">IF($A3701="","",IF(원본명단!$H3700="",0,COUNTIF(원본명단!$H$3:$H$6002,원본명단!$H3700)))</f>
        <v/>
      </c>
      <c r="F3701" s="11" t="str">
        <f aca="false">IF($A3701="","",IF(원본명단!$I3700="",0,COUNTIF(원본명단!$I$3:$I$6002,원본명단!$I3700)))</f>
        <v/>
      </c>
      <c r="G3701" s="11" t="str">
        <f aca="false">IF($A3701="","",IF(원본명단!$K3700="",0,COUNTIF(원본명단!$K$3:$K$6002,원본명단!$K3700)))</f>
        <v/>
      </c>
      <c r="H3701" s="11" t="str">
        <f aca="false">IF($A3701="","",IF(MAX($E3701,$F3701,$G3701)&gt;1,"중복","-"))</f>
        <v/>
      </c>
      <c r="I3701" s="11" t="str">
        <f aca="false">IF($A3701="","",IF($H3701="-","-",IF(AND(IF(원본명단!$H3700="",TRUE(),COUNTIF(원본명단!$H$3:$H3700,원본명단!$H3700)=1),IF(원본명단!$I3700="",TRUE(),COUNTIF(원본명단!$I$3:$I3700,원본명단!$I3700)=1),IF(원본명단!$K3700="",TRUE(),COUNTIF(원본명단!$K$3:$K3700,원본명단!$K3700)=1)),"첫 건","중복 건")))</f>
        <v/>
      </c>
      <c r="J3701" s="11" t="str">
        <f aca="false">IF($A3701="","",IF($H3701="-","유지",IF($I3701="첫 건","유지","확인 필요")))</f>
        <v/>
      </c>
    </row>
    <row r="3702" customFormat="false" ht="15" hidden="false" customHeight="true" outlineLevel="0" collapsed="false">
      <c r="A3702" s="11" t="str">
        <f aca="false">IF(원본명단!$A3701="","",3699)</f>
        <v/>
      </c>
      <c r="B3702" s="12" t="str">
        <f aca="false">IF($A3702="","",원본명단!$A3701)</f>
        <v/>
      </c>
      <c r="C3702" s="12" t="str">
        <f aca="false">IF($A3702="","",원본명단!$B3701)</f>
        <v/>
      </c>
      <c r="D3702" s="12" t="str">
        <f aca="false">IF($A3702="","",원본명단!$D3701)</f>
        <v/>
      </c>
      <c r="E3702" s="11" t="str">
        <f aca="false">IF($A3702="","",IF(원본명단!$H3701="",0,COUNTIF(원본명단!$H$3:$H$6002,원본명단!$H3701)))</f>
        <v/>
      </c>
      <c r="F3702" s="11" t="str">
        <f aca="false">IF($A3702="","",IF(원본명단!$I3701="",0,COUNTIF(원본명단!$I$3:$I$6002,원본명단!$I3701)))</f>
        <v/>
      </c>
      <c r="G3702" s="11" t="str">
        <f aca="false">IF($A3702="","",IF(원본명단!$K3701="",0,COUNTIF(원본명단!$K$3:$K$6002,원본명단!$K3701)))</f>
        <v/>
      </c>
      <c r="H3702" s="11" t="str">
        <f aca="false">IF($A3702="","",IF(MAX($E3702,$F3702,$G3702)&gt;1,"중복","-"))</f>
        <v/>
      </c>
      <c r="I3702" s="11" t="str">
        <f aca="false">IF($A3702="","",IF($H3702="-","-",IF(AND(IF(원본명단!$H3701="",TRUE(),COUNTIF(원본명단!$H$3:$H3701,원본명단!$H3701)=1),IF(원본명단!$I3701="",TRUE(),COUNTIF(원본명단!$I$3:$I3701,원본명단!$I3701)=1),IF(원본명단!$K3701="",TRUE(),COUNTIF(원본명단!$K$3:$K3701,원본명단!$K3701)=1)),"첫 건","중복 건")))</f>
        <v/>
      </c>
      <c r="J3702" s="11" t="str">
        <f aca="false">IF($A3702="","",IF($H3702="-","유지",IF($I3702="첫 건","유지","확인 필요")))</f>
        <v/>
      </c>
    </row>
    <row r="3703" customFormat="false" ht="15" hidden="false" customHeight="true" outlineLevel="0" collapsed="false">
      <c r="A3703" s="11" t="str">
        <f aca="false">IF(원본명단!$A3702="","",3700)</f>
        <v/>
      </c>
      <c r="B3703" s="12" t="str">
        <f aca="false">IF($A3703="","",원본명단!$A3702)</f>
        <v/>
      </c>
      <c r="C3703" s="12" t="str">
        <f aca="false">IF($A3703="","",원본명단!$B3702)</f>
        <v/>
      </c>
      <c r="D3703" s="12" t="str">
        <f aca="false">IF($A3703="","",원본명단!$D3702)</f>
        <v/>
      </c>
      <c r="E3703" s="11" t="str">
        <f aca="false">IF($A3703="","",IF(원본명단!$H3702="",0,COUNTIF(원본명단!$H$3:$H$6002,원본명단!$H3702)))</f>
        <v/>
      </c>
      <c r="F3703" s="11" t="str">
        <f aca="false">IF($A3703="","",IF(원본명단!$I3702="",0,COUNTIF(원본명단!$I$3:$I$6002,원본명단!$I3702)))</f>
        <v/>
      </c>
      <c r="G3703" s="11" t="str">
        <f aca="false">IF($A3703="","",IF(원본명단!$K3702="",0,COUNTIF(원본명단!$K$3:$K$6002,원본명단!$K3702)))</f>
        <v/>
      </c>
      <c r="H3703" s="11" t="str">
        <f aca="false">IF($A3703="","",IF(MAX($E3703,$F3703,$G3703)&gt;1,"중복","-"))</f>
        <v/>
      </c>
      <c r="I3703" s="11" t="str">
        <f aca="false">IF($A3703="","",IF($H3703="-","-",IF(AND(IF(원본명단!$H3702="",TRUE(),COUNTIF(원본명단!$H$3:$H3702,원본명단!$H3702)=1),IF(원본명단!$I3702="",TRUE(),COUNTIF(원본명단!$I$3:$I3702,원본명단!$I3702)=1),IF(원본명단!$K3702="",TRUE(),COUNTIF(원본명단!$K$3:$K3702,원본명단!$K3702)=1)),"첫 건","중복 건")))</f>
        <v/>
      </c>
      <c r="J3703" s="11" t="str">
        <f aca="false">IF($A3703="","",IF($H3703="-","유지",IF($I3703="첫 건","유지","확인 필요")))</f>
        <v/>
      </c>
    </row>
    <row r="3704" customFormat="false" ht="15" hidden="false" customHeight="true" outlineLevel="0" collapsed="false">
      <c r="A3704" s="11" t="str">
        <f aca="false">IF(원본명단!$A3703="","",3701)</f>
        <v/>
      </c>
      <c r="B3704" s="12" t="str">
        <f aca="false">IF($A3704="","",원본명단!$A3703)</f>
        <v/>
      </c>
      <c r="C3704" s="12" t="str">
        <f aca="false">IF($A3704="","",원본명단!$B3703)</f>
        <v/>
      </c>
      <c r="D3704" s="12" t="str">
        <f aca="false">IF($A3704="","",원본명단!$D3703)</f>
        <v/>
      </c>
      <c r="E3704" s="11" t="str">
        <f aca="false">IF($A3704="","",IF(원본명단!$H3703="",0,COUNTIF(원본명단!$H$3:$H$6002,원본명단!$H3703)))</f>
        <v/>
      </c>
      <c r="F3704" s="11" t="str">
        <f aca="false">IF($A3704="","",IF(원본명단!$I3703="",0,COUNTIF(원본명단!$I$3:$I$6002,원본명단!$I3703)))</f>
        <v/>
      </c>
      <c r="G3704" s="11" t="str">
        <f aca="false">IF($A3704="","",IF(원본명단!$K3703="",0,COUNTIF(원본명단!$K$3:$K$6002,원본명단!$K3703)))</f>
        <v/>
      </c>
      <c r="H3704" s="11" t="str">
        <f aca="false">IF($A3704="","",IF(MAX($E3704,$F3704,$G3704)&gt;1,"중복","-"))</f>
        <v/>
      </c>
      <c r="I3704" s="11" t="str">
        <f aca="false">IF($A3704="","",IF($H3704="-","-",IF(AND(IF(원본명단!$H3703="",TRUE(),COUNTIF(원본명단!$H$3:$H3703,원본명단!$H3703)=1),IF(원본명단!$I3703="",TRUE(),COUNTIF(원본명단!$I$3:$I3703,원본명단!$I3703)=1),IF(원본명단!$K3703="",TRUE(),COUNTIF(원본명단!$K$3:$K3703,원본명단!$K3703)=1)),"첫 건","중복 건")))</f>
        <v/>
      </c>
      <c r="J3704" s="11" t="str">
        <f aca="false">IF($A3704="","",IF($H3704="-","유지",IF($I3704="첫 건","유지","확인 필요")))</f>
        <v/>
      </c>
    </row>
    <row r="3705" customFormat="false" ht="15" hidden="false" customHeight="true" outlineLevel="0" collapsed="false">
      <c r="A3705" s="11" t="str">
        <f aca="false">IF(원본명단!$A3704="","",3702)</f>
        <v/>
      </c>
      <c r="B3705" s="12" t="str">
        <f aca="false">IF($A3705="","",원본명단!$A3704)</f>
        <v/>
      </c>
      <c r="C3705" s="12" t="str">
        <f aca="false">IF($A3705="","",원본명단!$B3704)</f>
        <v/>
      </c>
      <c r="D3705" s="12" t="str">
        <f aca="false">IF($A3705="","",원본명단!$D3704)</f>
        <v/>
      </c>
      <c r="E3705" s="11" t="str">
        <f aca="false">IF($A3705="","",IF(원본명단!$H3704="",0,COUNTIF(원본명단!$H$3:$H$6002,원본명단!$H3704)))</f>
        <v/>
      </c>
      <c r="F3705" s="11" t="str">
        <f aca="false">IF($A3705="","",IF(원본명단!$I3704="",0,COUNTIF(원본명단!$I$3:$I$6002,원본명단!$I3704)))</f>
        <v/>
      </c>
      <c r="G3705" s="11" t="str">
        <f aca="false">IF($A3705="","",IF(원본명단!$K3704="",0,COUNTIF(원본명단!$K$3:$K$6002,원본명단!$K3704)))</f>
        <v/>
      </c>
      <c r="H3705" s="11" t="str">
        <f aca="false">IF($A3705="","",IF(MAX($E3705,$F3705,$G3705)&gt;1,"중복","-"))</f>
        <v/>
      </c>
      <c r="I3705" s="11" t="str">
        <f aca="false">IF($A3705="","",IF($H3705="-","-",IF(AND(IF(원본명단!$H3704="",TRUE(),COUNTIF(원본명단!$H$3:$H3704,원본명단!$H3704)=1),IF(원본명단!$I3704="",TRUE(),COUNTIF(원본명단!$I$3:$I3704,원본명단!$I3704)=1),IF(원본명단!$K3704="",TRUE(),COUNTIF(원본명단!$K$3:$K3704,원본명단!$K3704)=1)),"첫 건","중복 건")))</f>
        <v/>
      </c>
      <c r="J3705" s="11" t="str">
        <f aca="false">IF($A3705="","",IF($H3705="-","유지",IF($I3705="첫 건","유지","확인 필요")))</f>
        <v/>
      </c>
    </row>
    <row r="3706" customFormat="false" ht="15" hidden="false" customHeight="true" outlineLevel="0" collapsed="false">
      <c r="A3706" s="11" t="str">
        <f aca="false">IF(원본명단!$A3705="","",3703)</f>
        <v/>
      </c>
      <c r="B3706" s="12" t="str">
        <f aca="false">IF($A3706="","",원본명단!$A3705)</f>
        <v/>
      </c>
      <c r="C3706" s="12" t="str">
        <f aca="false">IF($A3706="","",원본명단!$B3705)</f>
        <v/>
      </c>
      <c r="D3706" s="12" t="str">
        <f aca="false">IF($A3706="","",원본명단!$D3705)</f>
        <v/>
      </c>
      <c r="E3706" s="11" t="str">
        <f aca="false">IF($A3706="","",IF(원본명단!$H3705="",0,COUNTIF(원본명단!$H$3:$H$6002,원본명단!$H3705)))</f>
        <v/>
      </c>
      <c r="F3706" s="11" t="str">
        <f aca="false">IF($A3706="","",IF(원본명단!$I3705="",0,COUNTIF(원본명단!$I$3:$I$6002,원본명단!$I3705)))</f>
        <v/>
      </c>
      <c r="G3706" s="11" t="str">
        <f aca="false">IF($A3706="","",IF(원본명단!$K3705="",0,COUNTIF(원본명단!$K$3:$K$6002,원본명단!$K3705)))</f>
        <v/>
      </c>
      <c r="H3706" s="11" t="str">
        <f aca="false">IF($A3706="","",IF(MAX($E3706,$F3706,$G3706)&gt;1,"중복","-"))</f>
        <v/>
      </c>
      <c r="I3706" s="11" t="str">
        <f aca="false">IF($A3706="","",IF($H3706="-","-",IF(AND(IF(원본명단!$H3705="",TRUE(),COUNTIF(원본명단!$H$3:$H3705,원본명단!$H3705)=1),IF(원본명단!$I3705="",TRUE(),COUNTIF(원본명단!$I$3:$I3705,원본명단!$I3705)=1),IF(원본명단!$K3705="",TRUE(),COUNTIF(원본명단!$K$3:$K3705,원본명단!$K3705)=1)),"첫 건","중복 건")))</f>
        <v/>
      </c>
      <c r="J3706" s="11" t="str">
        <f aca="false">IF($A3706="","",IF($H3706="-","유지",IF($I3706="첫 건","유지","확인 필요")))</f>
        <v/>
      </c>
    </row>
    <row r="3707" customFormat="false" ht="15" hidden="false" customHeight="true" outlineLevel="0" collapsed="false">
      <c r="A3707" s="11" t="str">
        <f aca="false">IF(원본명단!$A3706="","",3704)</f>
        <v/>
      </c>
      <c r="B3707" s="12" t="str">
        <f aca="false">IF($A3707="","",원본명단!$A3706)</f>
        <v/>
      </c>
      <c r="C3707" s="12" t="str">
        <f aca="false">IF($A3707="","",원본명단!$B3706)</f>
        <v/>
      </c>
      <c r="D3707" s="12" t="str">
        <f aca="false">IF($A3707="","",원본명단!$D3706)</f>
        <v/>
      </c>
      <c r="E3707" s="11" t="str">
        <f aca="false">IF($A3707="","",IF(원본명단!$H3706="",0,COUNTIF(원본명단!$H$3:$H$6002,원본명단!$H3706)))</f>
        <v/>
      </c>
      <c r="F3707" s="11" t="str">
        <f aca="false">IF($A3707="","",IF(원본명단!$I3706="",0,COUNTIF(원본명단!$I$3:$I$6002,원본명단!$I3706)))</f>
        <v/>
      </c>
      <c r="G3707" s="11" t="str">
        <f aca="false">IF($A3707="","",IF(원본명단!$K3706="",0,COUNTIF(원본명단!$K$3:$K$6002,원본명단!$K3706)))</f>
        <v/>
      </c>
      <c r="H3707" s="11" t="str">
        <f aca="false">IF($A3707="","",IF(MAX($E3707,$F3707,$G3707)&gt;1,"중복","-"))</f>
        <v/>
      </c>
      <c r="I3707" s="11" t="str">
        <f aca="false">IF($A3707="","",IF($H3707="-","-",IF(AND(IF(원본명단!$H3706="",TRUE(),COUNTIF(원본명단!$H$3:$H3706,원본명단!$H3706)=1),IF(원본명단!$I3706="",TRUE(),COUNTIF(원본명단!$I$3:$I3706,원본명단!$I3706)=1),IF(원본명단!$K3706="",TRUE(),COUNTIF(원본명단!$K$3:$K3706,원본명단!$K3706)=1)),"첫 건","중복 건")))</f>
        <v/>
      </c>
      <c r="J3707" s="11" t="str">
        <f aca="false">IF($A3707="","",IF($H3707="-","유지",IF($I3707="첫 건","유지","확인 필요")))</f>
        <v/>
      </c>
    </row>
    <row r="3708" customFormat="false" ht="15" hidden="false" customHeight="true" outlineLevel="0" collapsed="false">
      <c r="A3708" s="11" t="str">
        <f aca="false">IF(원본명단!$A3707="","",3705)</f>
        <v/>
      </c>
      <c r="B3708" s="12" t="str">
        <f aca="false">IF($A3708="","",원본명단!$A3707)</f>
        <v/>
      </c>
      <c r="C3708" s="12" t="str">
        <f aca="false">IF($A3708="","",원본명단!$B3707)</f>
        <v/>
      </c>
      <c r="D3708" s="12" t="str">
        <f aca="false">IF($A3708="","",원본명단!$D3707)</f>
        <v/>
      </c>
      <c r="E3708" s="11" t="str">
        <f aca="false">IF($A3708="","",IF(원본명단!$H3707="",0,COUNTIF(원본명단!$H$3:$H$6002,원본명단!$H3707)))</f>
        <v/>
      </c>
      <c r="F3708" s="11" t="str">
        <f aca="false">IF($A3708="","",IF(원본명단!$I3707="",0,COUNTIF(원본명단!$I$3:$I$6002,원본명단!$I3707)))</f>
        <v/>
      </c>
      <c r="G3708" s="11" t="str">
        <f aca="false">IF($A3708="","",IF(원본명단!$K3707="",0,COUNTIF(원본명단!$K$3:$K$6002,원본명단!$K3707)))</f>
        <v/>
      </c>
      <c r="H3708" s="11" t="str">
        <f aca="false">IF($A3708="","",IF(MAX($E3708,$F3708,$G3708)&gt;1,"중복","-"))</f>
        <v/>
      </c>
      <c r="I3708" s="11" t="str">
        <f aca="false">IF($A3708="","",IF($H3708="-","-",IF(AND(IF(원본명단!$H3707="",TRUE(),COUNTIF(원본명단!$H$3:$H3707,원본명단!$H3707)=1),IF(원본명단!$I3707="",TRUE(),COUNTIF(원본명단!$I$3:$I3707,원본명단!$I3707)=1),IF(원본명단!$K3707="",TRUE(),COUNTIF(원본명단!$K$3:$K3707,원본명단!$K3707)=1)),"첫 건","중복 건")))</f>
        <v/>
      </c>
      <c r="J3708" s="11" t="str">
        <f aca="false">IF($A3708="","",IF($H3708="-","유지",IF($I3708="첫 건","유지","확인 필요")))</f>
        <v/>
      </c>
    </row>
    <row r="3709" customFormat="false" ht="15" hidden="false" customHeight="true" outlineLevel="0" collapsed="false">
      <c r="A3709" s="11" t="str">
        <f aca="false">IF(원본명단!$A3708="","",3706)</f>
        <v/>
      </c>
      <c r="B3709" s="12" t="str">
        <f aca="false">IF($A3709="","",원본명단!$A3708)</f>
        <v/>
      </c>
      <c r="C3709" s="12" t="str">
        <f aca="false">IF($A3709="","",원본명단!$B3708)</f>
        <v/>
      </c>
      <c r="D3709" s="12" t="str">
        <f aca="false">IF($A3709="","",원본명단!$D3708)</f>
        <v/>
      </c>
      <c r="E3709" s="11" t="str">
        <f aca="false">IF($A3709="","",IF(원본명단!$H3708="",0,COUNTIF(원본명단!$H$3:$H$6002,원본명단!$H3708)))</f>
        <v/>
      </c>
      <c r="F3709" s="11" t="str">
        <f aca="false">IF($A3709="","",IF(원본명단!$I3708="",0,COUNTIF(원본명단!$I$3:$I$6002,원본명단!$I3708)))</f>
        <v/>
      </c>
      <c r="G3709" s="11" t="str">
        <f aca="false">IF($A3709="","",IF(원본명단!$K3708="",0,COUNTIF(원본명단!$K$3:$K$6002,원본명단!$K3708)))</f>
        <v/>
      </c>
      <c r="H3709" s="11" t="str">
        <f aca="false">IF($A3709="","",IF(MAX($E3709,$F3709,$G3709)&gt;1,"중복","-"))</f>
        <v/>
      </c>
      <c r="I3709" s="11" t="str">
        <f aca="false">IF($A3709="","",IF($H3709="-","-",IF(AND(IF(원본명단!$H3708="",TRUE(),COUNTIF(원본명단!$H$3:$H3708,원본명단!$H3708)=1),IF(원본명단!$I3708="",TRUE(),COUNTIF(원본명단!$I$3:$I3708,원본명단!$I3708)=1),IF(원본명단!$K3708="",TRUE(),COUNTIF(원본명단!$K$3:$K3708,원본명단!$K3708)=1)),"첫 건","중복 건")))</f>
        <v/>
      </c>
      <c r="J3709" s="11" t="str">
        <f aca="false">IF($A3709="","",IF($H3709="-","유지",IF($I3709="첫 건","유지","확인 필요")))</f>
        <v/>
      </c>
    </row>
    <row r="3710" customFormat="false" ht="15" hidden="false" customHeight="true" outlineLevel="0" collapsed="false">
      <c r="A3710" s="11" t="str">
        <f aca="false">IF(원본명단!$A3709="","",3707)</f>
        <v/>
      </c>
      <c r="B3710" s="12" t="str">
        <f aca="false">IF($A3710="","",원본명단!$A3709)</f>
        <v/>
      </c>
      <c r="C3710" s="12" t="str">
        <f aca="false">IF($A3710="","",원본명단!$B3709)</f>
        <v/>
      </c>
      <c r="D3710" s="12" t="str">
        <f aca="false">IF($A3710="","",원본명단!$D3709)</f>
        <v/>
      </c>
      <c r="E3710" s="11" t="str">
        <f aca="false">IF($A3710="","",IF(원본명단!$H3709="",0,COUNTIF(원본명단!$H$3:$H$6002,원본명단!$H3709)))</f>
        <v/>
      </c>
      <c r="F3710" s="11" t="str">
        <f aca="false">IF($A3710="","",IF(원본명단!$I3709="",0,COUNTIF(원본명단!$I$3:$I$6002,원본명단!$I3709)))</f>
        <v/>
      </c>
      <c r="G3710" s="11" t="str">
        <f aca="false">IF($A3710="","",IF(원본명단!$K3709="",0,COUNTIF(원본명단!$K$3:$K$6002,원본명단!$K3709)))</f>
        <v/>
      </c>
      <c r="H3710" s="11" t="str">
        <f aca="false">IF($A3710="","",IF(MAX($E3710,$F3710,$G3710)&gt;1,"중복","-"))</f>
        <v/>
      </c>
      <c r="I3710" s="11" t="str">
        <f aca="false">IF($A3710="","",IF($H3710="-","-",IF(AND(IF(원본명단!$H3709="",TRUE(),COUNTIF(원본명단!$H$3:$H3709,원본명단!$H3709)=1),IF(원본명단!$I3709="",TRUE(),COUNTIF(원본명단!$I$3:$I3709,원본명단!$I3709)=1),IF(원본명단!$K3709="",TRUE(),COUNTIF(원본명단!$K$3:$K3709,원본명단!$K3709)=1)),"첫 건","중복 건")))</f>
        <v/>
      </c>
      <c r="J3710" s="11" t="str">
        <f aca="false">IF($A3710="","",IF($H3710="-","유지",IF($I3710="첫 건","유지","확인 필요")))</f>
        <v/>
      </c>
    </row>
    <row r="3711" customFormat="false" ht="15" hidden="false" customHeight="true" outlineLevel="0" collapsed="false">
      <c r="A3711" s="11" t="str">
        <f aca="false">IF(원본명단!$A3710="","",3708)</f>
        <v/>
      </c>
      <c r="B3711" s="12" t="str">
        <f aca="false">IF($A3711="","",원본명단!$A3710)</f>
        <v/>
      </c>
      <c r="C3711" s="12" t="str">
        <f aca="false">IF($A3711="","",원본명단!$B3710)</f>
        <v/>
      </c>
      <c r="D3711" s="12" t="str">
        <f aca="false">IF($A3711="","",원본명단!$D3710)</f>
        <v/>
      </c>
      <c r="E3711" s="11" t="str">
        <f aca="false">IF($A3711="","",IF(원본명단!$H3710="",0,COUNTIF(원본명단!$H$3:$H$6002,원본명단!$H3710)))</f>
        <v/>
      </c>
      <c r="F3711" s="11" t="str">
        <f aca="false">IF($A3711="","",IF(원본명단!$I3710="",0,COUNTIF(원본명단!$I$3:$I$6002,원본명단!$I3710)))</f>
        <v/>
      </c>
      <c r="G3711" s="11" t="str">
        <f aca="false">IF($A3711="","",IF(원본명단!$K3710="",0,COUNTIF(원본명단!$K$3:$K$6002,원본명단!$K3710)))</f>
        <v/>
      </c>
      <c r="H3711" s="11" t="str">
        <f aca="false">IF($A3711="","",IF(MAX($E3711,$F3711,$G3711)&gt;1,"중복","-"))</f>
        <v/>
      </c>
      <c r="I3711" s="11" t="str">
        <f aca="false">IF($A3711="","",IF($H3711="-","-",IF(AND(IF(원본명단!$H3710="",TRUE(),COUNTIF(원본명단!$H$3:$H3710,원본명단!$H3710)=1),IF(원본명단!$I3710="",TRUE(),COUNTIF(원본명단!$I$3:$I3710,원본명단!$I3710)=1),IF(원본명단!$K3710="",TRUE(),COUNTIF(원본명단!$K$3:$K3710,원본명단!$K3710)=1)),"첫 건","중복 건")))</f>
        <v/>
      </c>
      <c r="J3711" s="11" t="str">
        <f aca="false">IF($A3711="","",IF($H3711="-","유지",IF($I3711="첫 건","유지","확인 필요")))</f>
        <v/>
      </c>
    </row>
    <row r="3712" customFormat="false" ht="15" hidden="false" customHeight="true" outlineLevel="0" collapsed="false">
      <c r="A3712" s="11" t="str">
        <f aca="false">IF(원본명단!$A3711="","",3709)</f>
        <v/>
      </c>
      <c r="B3712" s="12" t="str">
        <f aca="false">IF($A3712="","",원본명단!$A3711)</f>
        <v/>
      </c>
      <c r="C3712" s="12" t="str">
        <f aca="false">IF($A3712="","",원본명단!$B3711)</f>
        <v/>
      </c>
      <c r="D3712" s="12" t="str">
        <f aca="false">IF($A3712="","",원본명단!$D3711)</f>
        <v/>
      </c>
      <c r="E3712" s="11" t="str">
        <f aca="false">IF($A3712="","",IF(원본명단!$H3711="",0,COUNTIF(원본명단!$H$3:$H$6002,원본명단!$H3711)))</f>
        <v/>
      </c>
      <c r="F3712" s="11" t="str">
        <f aca="false">IF($A3712="","",IF(원본명단!$I3711="",0,COUNTIF(원본명단!$I$3:$I$6002,원본명단!$I3711)))</f>
        <v/>
      </c>
      <c r="G3712" s="11" t="str">
        <f aca="false">IF($A3712="","",IF(원본명단!$K3711="",0,COUNTIF(원본명단!$K$3:$K$6002,원본명단!$K3711)))</f>
        <v/>
      </c>
      <c r="H3712" s="11" t="str">
        <f aca="false">IF($A3712="","",IF(MAX($E3712,$F3712,$G3712)&gt;1,"중복","-"))</f>
        <v/>
      </c>
      <c r="I3712" s="11" t="str">
        <f aca="false">IF($A3712="","",IF($H3712="-","-",IF(AND(IF(원본명단!$H3711="",TRUE(),COUNTIF(원본명단!$H$3:$H3711,원본명단!$H3711)=1),IF(원본명단!$I3711="",TRUE(),COUNTIF(원본명단!$I$3:$I3711,원본명단!$I3711)=1),IF(원본명단!$K3711="",TRUE(),COUNTIF(원본명단!$K$3:$K3711,원본명단!$K3711)=1)),"첫 건","중복 건")))</f>
        <v/>
      </c>
      <c r="J3712" s="11" t="str">
        <f aca="false">IF($A3712="","",IF($H3712="-","유지",IF($I3712="첫 건","유지","확인 필요")))</f>
        <v/>
      </c>
    </row>
    <row r="3713" customFormat="false" ht="15" hidden="false" customHeight="true" outlineLevel="0" collapsed="false">
      <c r="A3713" s="11" t="str">
        <f aca="false">IF(원본명단!$A3712="","",3710)</f>
        <v/>
      </c>
      <c r="B3713" s="12" t="str">
        <f aca="false">IF($A3713="","",원본명단!$A3712)</f>
        <v/>
      </c>
      <c r="C3713" s="12" t="str">
        <f aca="false">IF($A3713="","",원본명단!$B3712)</f>
        <v/>
      </c>
      <c r="D3713" s="12" t="str">
        <f aca="false">IF($A3713="","",원본명단!$D3712)</f>
        <v/>
      </c>
      <c r="E3713" s="11" t="str">
        <f aca="false">IF($A3713="","",IF(원본명단!$H3712="",0,COUNTIF(원본명단!$H$3:$H$6002,원본명단!$H3712)))</f>
        <v/>
      </c>
      <c r="F3713" s="11" t="str">
        <f aca="false">IF($A3713="","",IF(원본명단!$I3712="",0,COUNTIF(원본명단!$I$3:$I$6002,원본명단!$I3712)))</f>
        <v/>
      </c>
      <c r="G3713" s="11" t="str">
        <f aca="false">IF($A3713="","",IF(원본명단!$K3712="",0,COUNTIF(원본명단!$K$3:$K$6002,원본명단!$K3712)))</f>
        <v/>
      </c>
      <c r="H3713" s="11" t="str">
        <f aca="false">IF($A3713="","",IF(MAX($E3713,$F3713,$G3713)&gt;1,"중복","-"))</f>
        <v/>
      </c>
      <c r="I3713" s="11" t="str">
        <f aca="false">IF($A3713="","",IF($H3713="-","-",IF(AND(IF(원본명단!$H3712="",TRUE(),COUNTIF(원본명단!$H$3:$H3712,원본명단!$H3712)=1),IF(원본명단!$I3712="",TRUE(),COUNTIF(원본명단!$I$3:$I3712,원본명단!$I3712)=1),IF(원본명단!$K3712="",TRUE(),COUNTIF(원본명단!$K$3:$K3712,원본명단!$K3712)=1)),"첫 건","중복 건")))</f>
        <v/>
      </c>
      <c r="J3713" s="11" t="str">
        <f aca="false">IF($A3713="","",IF($H3713="-","유지",IF($I3713="첫 건","유지","확인 필요")))</f>
        <v/>
      </c>
    </row>
    <row r="3714" customFormat="false" ht="15" hidden="false" customHeight="true" outlineLevel="0" collapsed="false">
      <c r="A3714" s="11" t="str">
        <f aca="false">IF(원본명단!$A3713="","",3711)</f>
        <v/>
      </c>
      <c r="B3714" s="12" t="str">
        <f aca="false">IF($A3714="","",원본명단!$A3713)</f>
        <v/>
      </c>
      <c r="C3714" s="12" t="str">
        <f aca="false">IF($A3714="","",원본명단!$B3713)</f>
        <v/>
      </c>
      <c r="D3714" s="12" t="str">
        <f aca="false">IF($A3714="","",원본명단!$D3713)</f>
        <v/>
      </c>
      <c r="E3714" s="11" t="str">
        <f aca="false">IF($A3714="","",IF(원본명단!$H3713="",0,COUNTIF(원본명단!$H$3:$H$6002,원본명단!$H3713)))</f>
        <v/>
      </c>
      <c r="F3714" s="11" t="str">
        <f aca="false">IF($A3714="","",IF(원본명단!$I3713="",0,COUNTIF(원본명단!$I$3:$I$6002,원본명단!$I3713)))</f>
        <v/>
      </c>
      <c r="G3714" s="11" t="str">
        <f aca="false">IF($A3714="","",IF(원본명단!$K3713="",0,COUNTIF(원본명단!$K$3:$K$6002,원본명단!$K3713)))</f>
        <v/>
      </c>
      <c r="H3714" s="11" t="str">
        <f aca="false">IF($A3714="","",IF(MAX($E3714,$F3714,$G3714)&gt;1,"중복","-"))</f>
        <v/>
      </c>
      <c r="I3714" s="11" t="str">
        <f aca="false">IF($A3714="","",IF($H3714="-","-",IF(AND(IF(원본명단!$H3713="",TRUE(),COUNTIF(원본명단!$H$3:$H3713,원본명단!$H3713)=1),IF(원본명단!$I3713="",TRUE(),COUNTIF(원본명단!$I$3:$I3713,원본명단!$I3713)=1),IF(원본명단!$K3713="",TRUE(),COUNTIF(원본명단!$K$3:$K3713,원본명단!$K3713)=1)),"첫 건","중복 건")))</f>
        <v/>
      </c>
      <c r="J3714" s="11" t="str">
        <f aca="false">IF($A3714="","",IF($H3714="-","유지",IF($I3714="첫 건","유지","확인 필요")))</f>
        <v/>
      </c>
    </row>
    <row r="3715" customFormat="false" ht="15" hidden="false" customHeight="true" outlineLevel="0" collapsed="false">
      <c r="A3715" s="11" t="str">
        <f aca="false">IF(원본명단!$A3714="","",3712)</f>
        <v/>
      </c>
      <c r="B3715" s="12" t="str">
        <f aca="false">IF($A3715="","",원본명단!$A3714)</f>
        <v/>
      </c>
      <c r="C3715" s="12" t="str">
        <f aca="false">IF($A3715="","",원본명단!$B3714)</f>
        <v/>
      </c>
      <c r="D3715" s="12" t="str">
        <f aca="false">IF($A3715="","",원본명단!$D3714)</f>
        <v/>
      </c>
      <c r="E3715" s="11" t="str">
        <f aca="false">IF($A3715="","",IF(원본명단!$H3714="",0,COUNTIF(원본명단!$H$3:$H$6002,원본명단!$H3714)))</f>
        <v/>
      </c>
      <c r="F3715" s="11" t="str">
        <f aca="false">IF($A3715="","",IF(원본명단!$I3714="",0,COUNTIF(원본명단!$I$3:$I$6002,원본명단!$I3714)))</f>
        <v/>
      </c>
      <c r="G3715" s="11" t="str">
        <f aca="false">IF($A3715="","",IF(원본명단!$K3714="",0,COUNTIF(원본명단!$K$3:$K$6002,원본명단!$K3714)))</f>
        <v/>
      </c>
      <c r="H3715" s="11" t="str">
        <f aca="false">IF($A3715="","",IF(MAX($E3715,$F3715,$G3715)&gt;1,"중복","-"))</f>
        <v/>
      </c>
      <c r="I3715" s="11" t="str">
        <f aca="false">IF($A3715="","",IF($H3715="-","-",IF(AND(IF(원본명단!$H3714="",TRUE(),COUNTIF(원본명단!$H$3:$H3714,원본명단!$H3714)=1),IF(원본명단!$I3714="",TRUE(),COUNTIF(원본명단!$I$3:$I3714,원본명단!$I3714)=1),IF(원본명단!$K3714="",TRUE(),COUNTIF(원본명단!$K$3:$K3714,원본명단!$K3714)=1)),"첫 건","중복 건")))</f>
        <v/>
      </c>
      <c r="J3715" s="11" t="str">
        <f aca="false">IF($A3715="","",IF($H3715="-","유지",IF($I3715="첫 건","유지","확인 필요")))</f>
        <v/>
      </c>
    </row>
    <row r="3716" customFormat="false" ht="15" hidden="false" customHeight="true" outlineLevel="0" collapsed="false">
      <c r="A3716" s="11" t="str">
        <f aca="false">IF(원본명단!$A3715="","",3713)</f>
        <v/>
      </c>
      <c r="B3716" s="12" t="str">
        <f aca="false">IF($A3716="","",원본명단!$A3715)</f>
        <v/>
      </c>
      <c r="C3716" s="12" t="str">
        <f aca="false">IF($A3716="","",원본명단!$B3715)</f>
        <v/>
      </c>
      <c r="D3716" s="12" t="str">
        <f aca="false">IF($A3716="","",원본명단!$D3715)</f>
        <v/>
      </c>
      <c r="E3716" s="11" t="str">
        <f aca="false">IF($A3716="","",IF(원본명단!$H3715="",0,COUNTIF(원본명단!$H$3:$H$6002,원본명단!$H3715)))</f>
        <v/>
      </c>
      <c r="F3716" s="11" t="str">
        <f aca="false">IF($A3716="","",IF(원본명단!$I3715="",0,COUNTIF(원본명단!$I$3:$I$6002,원본명단!$I3715)))</f>
        <v/>
      </c>
      <c r="G3716" s="11" t="str">
        <f aca="false">IF($A3716="","",IF(원본명단!$K3715="",0,COUNTIF(원본명단!$K$3:$K$6002,원본명단!$K3715)))</f>
        <v/>
      </c>
      <c r="H3716" s="11" t="str">
        <f aca="false">IF($A3716="","",IF(MAX($E3716,$F3716,$G3716)&gt;1,"중복","-"))</f>
        <v/>
      </c>
      <c r="I3716" s="11" t="str">
        <f aca="false">IF($A3716="","",IF($H3716="-","-",IF(AND(IF(원본명단!$H3715="",TRUE(),COUNTIF(원본명단!$H$3:$H3715,원본명단!$H3715)=1),IF(원본명단!$I3715="",TRUE(),COUNTIF(원본명단!$I$3:$I3715,원본명단!$I3715)=1),IF(원본명단!$K3715="",TRUE(),COUNTIF(원본명단!$K$3:$K3715,원본명단!$K3715)=1)),"첫 건","중복 건")))</f>
        <v/>
      </c>
      <c r="J3716" s="11" t="str">
        <f aca="false">IF($A3716="","",IF($H3716="-","유지",IF($I3716="첫 건","유지","확인 필요")))</f>
        <v/>
      </c>
    </row>
    <row r="3717" customFormat="false" ht="15" hidden="false" customHeight="true" outlineLevel="0" collapsed="false">
      <c r="A3717" s="11" t="str">
        <f aca="false">IF(원본명단!$A3716="","",3714)</f>
        <v/>
      </c>
      <c r="B3717" s="12" t="str">
        <f aca="false">IF($A3717="","",원본명단!$A3716)</f>
        <v/>
      </c>
      <c r="C3717" s="12" t="str">
        <f aca="false">IF($A3717="","",원본명단!$B3716)</f>
        <v/>
      </c>
      <c r="D3717" s="12" t="str">
        <f aca="false">IF($A3717="","",원본명단!$D3716)</f>
        <v/>
      </c>
      <c r="E3717" s="11" t="str">
        <f aca="false">IF($A3717="","",IF(원본명단!$H3716="",0,COUNTIF(원본명단!$H$3:$H$6002,원본명단!$H3716)))</f>
        <v/>
      </c>
      <c r="F3717" s="11" t="str">
        <f aca="false">IF($A3717="","",IF(원본명단!$I3716="",0,COUNTIF(원본명단!$I$3:$I$6002,원본명단!$I3716)))</f>
        <v/>
      </c>
      <c r="G3717" s="11" t="str">
        <f aca="false">IF($A3717="","",IF(원본명단!$K3716="",0,COUNTIF(원본명단!$K$3:$K$6002,원본명단!$K3716)))</f>
        <v/>
      </c>
      <c r="H3717" s="11" t="str">
        <f aca="false">IF($A3717="","",IF(MAX($E3717,$F3717,$G3717)&gt;1,"중복","-"))</f>
        <v/>
      </c>
      <c r="I3717" s="11" t="str">
        <f aca="false">IF($A3717="","",IF($H3717="-","-",IF(AND(IF(원본명단!$H3716="",TRUE(),COUNTIF(원본명단!$H$3:$H3716,원본명단!$H3716)=1),IF(원본명단!$I3716="",TRUE(),COUNTIF(원본명단!$I$3:$I3716,원본명단!$I3716)=1),IF(원본명단!$K3716="",TRUE(),COUNTIF(원본명단!$K$3:$K3716,원본명단!$K3716)=1)),"첫 건","중복 건")))</f>
        <v/>
      </c>
      <c r="J3717" s="11" t="str">
        <f aca="false">IF($A3717="","",IF($H3717="-","유지",IF($I3717="첫 건","유지","확인 필요")))</f>
        <v/>
      </c>
    </row>
    <row r="3718" customFormat="false" ht="15" hidden="false" customHeight="true" outlineLevel="0" collapsed="false">
      <c r="A3718" s="11" t="str">
        <f aca="false">IF(원본명단!$A3717="","",3715)</f>
        <v/>
      </c>
      <c r="B3718" s="12" t="str">
        <f aca="false">IF($A3718="","",원본명단!$A3717)</f>
        <v/>
      </c>
      <c r="C3718" s="12" t="str">
        <f aca="false">IF($A3718="","",원본명단!$B3717)</f>
        <v/>
      </c>
      <c r="D3718" s="12" t="str">
        <f aca="false">IF($A3718="","",원본명단!$D3717)</f>
        <v/>
      </c>
      <c r="E3718" s="11" t="str">
        <f aca="false">IF($A3718="","",IF(원본명단!$H3717="",0,COUNTIF(원본명단!$H$3:$H$6002,원본명단!$H3717)))</f>
        <v/>
      </c>
      <c r="F3718" s="11" t="str">
        <f aca="false">IF($A3718="","",IF(원본명단!$I3717="",0,COUNTIF(원본명단!$I$3:$I$6002,원본명단!$I3717)))</f>
        <v/>
      </c>
      <c r="G3718" s="11" t="str">
        <f aca="false">IF($A3718="","",IF(원본명단!$K3717="",0,COUNTIF(원본명단!$K$3:$K$6002,원본명단!$K3717)))</f>
        <v/>
      </c>
      <c r="H3718" s="11" t="str">
        <f aca="false">IF($A3718="","",IF(MAX($E3718,$F3718,$G3718)&gt;1,"중복","-"))</f>
        <v/>
      </c>
      <c r="I3718" s="11" t="str">
        <f aca="false">IF($A3718="","",IF($H3718="-","-",IF(AND(IF(원본명단!$H3717="",TRUE(),COUNTIF(원본명단!$H$3:$H3717,원본명단!$H3717)=1),IF(원본명단!$I3717="",TRUE(),COUNTIF(원본명단!$I$3:$I3717,원본명단!$I3717)=1),IF(원본명단!$K3717="",TRUE(),COUNTIF(원본명단!$K$3:$K3717,원본명단!$K3717)=1)),"첫 건","중복 건")))</f>
        <v/>
      </c>
      <c r="J3718" s="11" t="str">
        <f aca="false">IF($A3718="","",IF($H3718="-","유지",IF($I3718="첫 건","유지","확인 필요")))</f>
        <v/>
      </c>
    </row>
    <row r="3719" customFormat="false" ht="15" hidden="false" customHeight="true" outlineLevel="0" collapsed="false">
      <c r="A3719" s="11" t="str">
        <f aca="false">IF(원본명단!$A3718="","",3716)</f>
        <v/>
      </c>
      <c r="B3719" s="12" t="str">
        <f aca="false">IF($A3719="","",원본명단!$A3718)</f>
        <v/>
      </c>
      <c r="C3719" s="12" t="str">
        <f aca="false">IF($A3719="","",원본명단!$B3718)</f>
        <v/>
      </c>
      <c r="D3719" s="12" t="str">
        <f aca="false">IF($A3719="","",원본명단!$D3718)</f>
        <v/>
      </c>
      <c r="E3719" s="11" t="str">
        <f aca="false">IF($A3719="","",IF(원본명단!$H3718="",0,COUNTIF(원본명단!$H$3:$H$6002,원본명단!$H3718)))</f>
        <v/>
      </c>
      <c r="F3719" s="11" t="str">
        <f aca="false">IF($A3719="","",IF(원본명단!$I3718="",0,COUNTIF(원본명단!$I$3:$I$6002,원본명단!$I3718)))</f>
        <v/>
      </c>
      <c r="G3719" s="11" t="str">
        <f aca="false">IF($A3719="","",IF(원본명단!$K3718="",0,COUNTIF(원본명단!$K$3:$K$6002,원본명단!$K3718)))</f>
        <v/>
      </c>
      <c r="H3719" s="11" t="str">
        <f aca="false">IF($A3719="","",IF(MAX($E3719,$F3719,$G3719)&gt;1,"중복","-"))</f>
        <v/>
      </c>
      <c r="I3719" s="11" t="str">
        <f aca="false">IF($A3719="","",IF($H3719="-","-",IF(AND(IF(원본명단!$H3718="",TRUE(),COUNTIF(원본명단!$H$3:$H3718,원본명단!$H3718)=1),IF(원본명단!$I3718="",TRUE(),COUNTIF(원본명단!$I$3:$I3718,원본명단!$I3718)=1),IF(원본명단!$K3718="",TRUE(),COUNTIF(원본명단!$K$3:$K3718,원본명단!$K3718)=1)),"첫 건","중복 건")))</f>
        <v/>
      </c>
      <c r="J3719" s="11" t="str">
        <f aca="false">IF($A3719="","",IF($H3719="-","유지",IF($I3719="첫 건","유지","확인 필요")))</f>
        <v/>
      </c>
    </row>
    <row r="3720" customFormat="false" ht="15" hidden="false" customHeight="true" outlineLevel="0" collapsed="false">
      <c r="A3720" s="11" t="str">
        <f aca="false">IF(원본명단!$A3719="","",3717)</f>
        <v/>
      </c>
      <c r="B3720" s="12" t="str">
        <f aca="false">IF($A3720="","",원본명단!$A3719)</f>
        <v/>
      </c>
      <c r="C3720" s="12" t="str">
        <f aca="false">IF($A3720="","",원본명단!$B3719)</f>
        <v/>
      </c>
      <c r="D3720" s="12" t="str">
        <f aca="false">IF($A3720="","",원본명단!$D3719)</f>
        <v/>
      </c>
      <c r="E3720" s="11" t="str">
        <f aca="false">IF($A3720="","",IF(원본명단!$H3719="",0,COUNTIF(원본명단!$H$3:$H$6002,원본명단!$H3719)))</f>
        <v/>
      </c>
      <c r="F3720" s="11" t="str">
        <f aca="false">IF($A3720="","",IF(원본명단!$I3719="",0,COUNTIF(원본명단!$I$3:$I$6002,원본명단!$I3719)))</f>
        <v/>
      </c>
      <c r="G3720" s="11" t="str">
        <f aca="false">IF($A3720="","",IF(원본명단!$K3719="",0,COUNTIF(원본명단!$K$3:$K$6002,원본명단!$K3719)))</f>
        <v/>
      </c>
      <c r="H3720" s="11" t="str">
        <f aca="false">IF($A3720="","",IF(MAX($E3720,$F3720,$G3720)&gt;1,"중복","-"))</f>
        <v/>
      </c>
      <c r="I3720" s="11" t="str">
        <f aca="false">IF($A3720="","",IF($H3720="-","-",IF(AND(IF(원본명단!$H3719="",TRUE(),COUNTIF(원본명단!$H$3:$H3719,원본명단!$H3719)=1),IF(원본명단!$I3719="",TRUE(),COUNTIF(원본명단!$I$3:$I3719,원본명단!$I3719)=1),IF(원본명단!$K3719="",TRUE(),COUNTIF(원본명단!$K$3:$K3719,원본명단!$K3719)=1)),"첫 건","중복 건")))</f>
        <v/>
      </c>
      <c r="J3720" s="11" t="str">
        <f aca="false">IF($A3720="","",IF($H3720="-","유지",IF($I3720="첫 건","유지","확인 필요")))</f>
        <v/>
      </c>
    </row>
    <row r="3721" customFormat="false" ht="15" hidden="false" customHeight="true" outlineLevel="0" collapsed="false">
      <c r="A3721" s="11" t="str">
        <f aca="false">IF(원본명단!$A3720="","",3718)</f>
        <v/>
      </c>
      <c r="B3721" s="12" t="str">
        <f aca="false">IF($A3721="","",원본명단!$A3720)</f>
        <v/>
      </c>
      <c r="C3721" s="12" t="str">
        <f aca="false">IF($A3721="","",원본명단!$B3720)</f>
        <v/>
      </c>
      <c r="D3721" s="12" t="str">
        <f aca="false">IF($A3721="","",원본명단!$D3720)</f>
        <v/>
      </c>
      <c r="E3721" s="11" t="str">
        <f aca="false">IF($A3721="","",IF(원본명단!$H3720="",0,COUNTIF(원본명단!$H$3:$H$6002,원본명단!$H3720)))</f>
        <v/>
      </c>
      <c r="F3721" s="11" t="str">
        <f aca="false">IF($A3721="","",IF(원본명단!$I3720="",0,COUNTIF(원본명단!$I$3:$I$6002,원본명단!$I3720)))</f>
        <v/>
      </c>
      <c r="G3721" s="11" t="str">
        <f aca="false">IF($A3721="","",IF(원본명단!$K3720="",0,COUNTIF(원본명단!$K$3:$K$6002,원본명단!$K3720)))</f>
        <v/>
      </c>
      <c r="H3721" s="11" t="str">
        <f aca="false">IF($A3721="","",IF(MAX($E3721,$F3721,$G3721)&gt;1,"중복","-"))</f>
        <v/>
      </c>
      <c r="I3721" s="11" t="str">
        <f aca="false">IF($A3721="","",IF($H3721="-","-",IF(AND(IF(원본명단!$H3720="",TRUE(),COUNTIF(원본명단!$H$3:$H3720,원본명단!$H3720)=1),IF(원본명단!$I3720="",TRUE(),COUNTIF(원본명단!$I$3:$I3720,원본명단!$I3720)=1),IF(원본명단!$K3720="",TRUE(),COUNTIF(원본명단!$K$3:$K3720,원본명단!$K3720)=1)),"첫 건","중복 건")))</f>
        <v/>
      </c>
      <c r="J3721" s="11" t="str">
        <f aca="false">IF($A3721="","",IF($H3721="-","유지",IF($I3721="첫 건","유지","확인 필요")))</f>
        <v/>
      </c>
    </row>
    <row r="3722" customFormat="false" ht="15" hidden="false" customHeight="true" outlineLevel="0" collapsed="false">
      <c r="A3722" s="11" t="str">
        <f aca="false">IF(원본명단!$A3721="","",3719)</f>
        <v/>
      </c>
      <c r="B3722" s="12" t="str">
        <f aca="false">IF($A3722="","",원본명단!$A3721)</f>
        <v/>
      </c>
      <c r="C3722" s="12" t="str">
        <f aca="false">IF($A3722="","",원본명단!$B3721)</f>
        <v/>
      </c>
      <c r="D3722" s="12" t="str">
        <f aca="false">IF($A3722="","",원본명단!$D3721)</f>
        <v/>
      </c>
      <c r="E3722" s="11" t="str">
        <f aca="false">IF($A3722="","",IF(원본명단!$H3721="",0,COUNTIF(원본명단!$H$3:$H$6002,원본명단!$H3721)))</f>
        <v/>
      </c>
      <c r="F3722" s="11" t="str">
        <f aca="false">IF($A3722="","",IF(원본명단!$I3721="",0,COUNTIF(원본명단!$I$3:$I$6002,원본명단!$I3721)))</f>
        <v/>
      </c>
      <c r="G3722" s="11" t="str">
        <f aca="false">IF($A3722="","",IF(원본명단!$K3721="",0,COUNTIF(원본명단!$K$3:$K$6002,원본명단!$K3721)))</f>
        <v/>
      </c>
      <c r="H3722" s="11" t="str">
        <f aca="false">IF($A3722="","",IF(MAX($E3722,$F3722,$G3722)&gt;1,"중복","-"))</f>
        <v/>
      </c>
      <c r="I3722" s="11" t="str">
        <f aca="false">IF($A3722="","",IF($H3722="-","-",IF(AND(IF(원본명단!$H3721="",TRUE(),COUNTIF(원본명단!$H$3:$H3721,원본명단!$H3721)=1),IF(원본명단!$I3721="",TRUE(),COUNTIF(원본명단!$I$3:$I3721,원본명단!$I3721)=1),IF(원본명단!$K3721="",TRUE(),COUNTIF(원본명단!$K$3:$K3721,원본명단!$K3721)=1)),"첫 건","중복 건")))</f>
        <v/>
      </c>
      <c r="J3722" s="11" t="str">
        <f aca="false">IF($A3722="","",IF($H3722="-","유지",IF($I3722="첫 건","유지","확인 필요")))</f>
        <v/>
      </c>
    </row>
    <row r="3723" customFormat="false" ht="15" hidden="false" customHeight="true" outlineLevel="0" collapsed="false">
      <c r="A3723" s="11" t="str">
        <f aca="false">IF(원본명단!$A3722="","",3720)</f>
        <v/>
      </c>
      <c r="B3723" s="12" t="str">
        <f aca="false">IF($A3723="","",원본명단!$A3722)</f>
        <v/>
      </c>
      <c r="C3723" s="12" t="str">
        <f aca="false">IF($A3723="","",원본명단!$B3722)</f>
        <v/>
      </c>
      <c r="D3723" s="12" t="str">
        <f aca="false">IF($A3723="","",원본명단!$D3722)</f>
        <v/>
      </c>
      <c r="E3723" s="11" t="str">
        <f aca="false">IF($A3723="","",IF(원본명단!$H3722="",0,COUNTIF(원본명단!$H$3:$H$6002,원본명단!$H3722)))</f>
        <v/>
      </c>
      <c r="F3723" s="11" t="str">
        <f aca="false">IF($A3723="","",IF(원본명단!$I3722="",0,COUNTIF(원본명단!$I$3:$I$6002,원본명단!$I3722)))</f>
        <v/>
      </c>
      <c r="G3723" s="11" t="str">
        <f aca="false">IF($A3723="","",IF(원본명단!$K3722="",0,COUNTIF(원본명단!$K$3:$K$6002,원본명단!$K3722)))</f>
        <v/>
      </c>
      <c r="H3723" s="11" t="str">
        <f aca="false">IF($A3723="","",IF(MAX($E3723,$F3723,$G3723)&gt;1,"중복","-"))</f>
        <v/>
      </c>
      <c r="I3723" s="11" t="str">
        <f aca="false">IF($A3723="","",IF($H3723="-","-",IF(AND(IF(원본명단!$H3722="",TRUE(),COUNTIF(원본명단!$H$3:$H3722,원본명단!$H3722)=1),IF(원본명단!$I3722="",TRUE(),COUNTIF(원본명단!$I$3:$I3722,원본명단!$I3722)=1),IF(원본명단!$K3722="",TRUE(),COUNTIF(원본명단!$K$3:$K3722,원본명단!$K3722)=1)),"첫 건","중복 건")))</f>
        <v/>
      </c>
      <c r="J3723" s="11" t="str">
        <f aca="false">IF($A3723="","",IF($H3723="-","유지",IF($I3723="첫 건","유지","확인 필요")))</f>
        <v/>
      </c>
    </row>
    <row r="3724" customFormat="false" ht="15" hidden="false" customHeight="true" outlineLevel="0" collapsed="false">
      <c r="A3724" s="11" t="str">
        <f aca="false">IF(원본명단!$A3723="","",3721)</f>
        <v/>
      </c>
      <c r="B3724" s="12" t="str">
        <f aca="false">IF($A3724="","",원본명단!$A3723)</f>
        <v/>
      </c>
      <c r="C3724" s="12" t="str">
        <f aca="false">IF($A3724="","",원본명단!$B3723)</f>
        <v/>
      </c>
      <c r="D3724" s="12" t="str">
        <f aca="false">IF($A3724="","",원본명단!$D3723)</f>
        <v/>
      </c>
      <c r="E3724" s="11" t="str">
        <f aca="false">IF($A3724="","",IF(원본명단!$H3723="",0,COUNTIF(원본명단!$H$3:$H$6002,원본명단!$H3723)))</f>
        <v/>
      </c>
      <c r="F3724" s="11" t="str">
        <f aca="false">IF($A3724="","",IF(원본명단!$I3723="",0,COUNTIF(원본명단!$I$3:$I$6002,원본명단!$I3723)))</f>
        <v/>
      </c>
      <c r="G3724" s="11" t="str">
        <f aca="false">IF($A3724="","",IF(원본명단!$K3723="",0,COUNTIF(원본명단!$K$3:$K$6002,원본명단!$K3723)))</f>
        <v/>
      </c>
      <c r="H3724" s="11" t="str">
        <f aca="false">IF($A3724="","",IF(MAX($E3724,$F3724,$G3724)&gt;1,"중복","-"))</f>
        <v/>
      </c>
      <c r="I3724" s="11" t="str">
        <f aca="false">IF($A3724="","",IF($H3724="-","-",IF(AND(IF(원본명단!$H3723="",TRUE(),COUNTIF(원본명단!$H$3:$H3723,원본명단!$H3723)=1),IF(원본명단!$I3723="",TRUE(),COUNTIF(원본명단!$I$3:$I3723,원본명단!$I3723)=1),IF(원본명단!$K3723="",TRUE(),COUNTIF(원본명단!$K$3:$K3723,원본명단!$K3723)=1)),"첫 건","중복 건")))</f>
        <v/>
      </c>
      <c r="J3724" s="11" t="str">
        <f aca="false">IF($A3724="","",IF($H3724="-","유지",IF($I3724="첫 건","유지","확인 필요")))</f>
        <v/>
      </c>
    </row>
    <row r="3725" customFormat="false" ht="15" hidden="false" customHeight="true" outlineLevel="0" collapsed="false">
      <c r="A3725" s="11" t="str">
        <f aca="false">IF(원본명단!$A3724="","",3722)</f>
        <v/>
      </c>
      <c r="B3725" s="12" t="str">
        <f aca="false">IF($A3725="","",원본명단!$A3724)</f>
        <v/>
      </c>
      <c r="C3725" s="12" t="str">
        <f aca="false">IF($A3725="","",원본명단!$B3724)</f>
        <v/>
      </c>
      <c r="D3725" s="12" t="str">
        <f aca="false">IF($A3725="","",원본명단!$D3724)</f>
        <v/>
      </c>
      <c r="E3725" s="11" t="str">
        <f aca="false">IF($A3725="","",IF(원본명단!$H3724="",0,COUNTIF(원본명단!$H$3:$H$6002,원본명단!$H3724)))</f>
        <v/>
      </c>
      <c r="F3725" s="11" t="str">
        <f aca="false">IF($A3725="","",IF(원본명단!$I3724="",0,COUNTIF(원본명단!$I$3:$I$6002,원본명단!$I3724)))</f>
        <v/>
      </c>
      <c r="G3725" s="11" t="str">
        <f aca="false">IF($A3725="","",IF(원본명단!$K3724="",0,COUNTIF(원본명단!$K$3:$K$6002,원본명단!$K3724)))</f>
        <v/>
      </c>
      <c r="H3725" s="11" t="str">
        <f aca="false">IF($A3725="","",IF(MAX($E3725,$F3725,$G3725)&gt;1,"중복","-"))</f>
        <v/>
      </c>
      <c r="I3725" s="11" t="str">
        <f aca="false">IF($A3725="","",IF($H3725="-","-",IF(AND(IF(원본명단!$H3724="",TRUE(),COUNTIF(원본명단!$H$3:$H3724,원본명단!$H3724)=1),IF(원본명단!$I3724="",TRUE(),COUNTIF(원본명단!$I$3:$I3724,원본명단!$I3724)=1),IF(원본명단!$K3724="",TRUE(),COUNTIF(원본명단!$K$3:$K3724,원본명단!$K3724)=1)),"첫 건","중복 건")))</f>
        <v/>
      </c>
      <c r="J3725" s="11" t="str">
        <f aca="false">IF($A3725="","",IF($H3725="-","유지",IF($I3725="첫 건","유지","확인 필요")))</f>
        <v/>
      </c>
    </row>
    <row r="3726" customFormat="false" ht="15" hidden="false" customHeight="true" outlineLevel="0" collapsed="false">
      <c r="A3726" s="11" t="str">
        <f aca="false">IF(원본명단!$A3725="","",3723)</f>
        <v/>
      </c>
      <c r="B3726" s="12" t="str">
        <f aca="false">IF($A3726="","",원본명단!$A3725)</f>
        <v/>
      </c>
      <c r="C3726" s="12" t="str">
        <f aca="false">IF($A3726="","",원본명단!$B3725)</f>
        <v/>
      </c>
      <c r="D3726" s="12" t="str">
        <f aca="false">IF($A3726="","",원본명단!$D3725)</f>
        <v/>
      </c>
      <c r="E3726" s="11" t="str">
        <f aca="false">IF($A3726="","",IF(원본명단!$H3725="",0,COUNTIF(원본명단!$H$3:$H$6002,원본명단!$H3725)))</f>
        <v/>
      </c>
      <c r="F3726" s="11" t="str">
        <f aca="false">IF($A3726="","",IF(원본명단!$I3725="",0,COUNTIF(원본명단!$I$3:$I$6002,원본명단!$I3725)))</f>
        <v/>
      </c>
      <c r="G3726" s="11" t="str">
        <f aca="false">IF($A3726="","",IF(원본명단!$K3725="",0,COUNTIF(원본명단!$K$3:$K$6002,원본명단!$K3725)))</f>
        <v/>
      </c>
      <c r="H3726" s="11" t="str">
        <f aca="false">IF($A3726="","",IF(MAX($E3726,$F3726,$G3726)&gt;1,"중복","-"))</f>
        <v/>
      </c>
      <c r="I3726" s="11" t="str">
        <f aca="false">IF($A3726="","",IF($H3726="-","-",IF(AND(IF(원본명단!$H3725="",TRUE(),COUNTIF(원본명단!$H$3:$H3725,원본명단!$H3725)=1),IF(원본명단!$I3725="",TRUE(),COUNTIF(원본명단!$I$3:$I3725,원본명단!$I3725)=1),IF(원본명단!$K3725="",TRUE(),COUNTIF(원본명단!$K$3:$K3725,원본명단!$K3725)=1)),"첫 건","중복 건")))</f>
        <v/>
      </c>
      <c r="J3726" s="11" t="str">
        <f aca="false">IF($A3726="","",IF($H3726="-","유지",IF($I3726="첫 건","유지","확인 필요")))</f>
        <v/>
      </c>
    </row>
    <row r="3727" customFormat="false" ht="15" hidden="false" customHeight="true" outlineLevel="0" collapsed="false">
      <c r="A3727" s="11" t="str">
        <f aca="false">IF(원본명단!$A3726="","",3724)</f>
        <v/>
      </c>
      <c r="B3727" s="12" t="str">
        <f aca="false">IF($A3727="","",원본명단!$A3726)</f>
        <v/>
      </c>
      <c r="C3727" s="12" t="str">
        <f aca="false">IF($A3727="","",원본명단!$B3726)</f>
        <v/>
      </c>
      <c r="D3727" s="12" t="str">
        <f aca="false">IF($A3727="","",원본명단!$D3726)</f>
        <v/>
      </c>
      <c r="E3727" s="11" t="str">
        <f aca="false">IF($A3727="","",IF(원본명단!$H3726="",0,COUNTIF(원본명단!$H$3:$H$6002,원본명단!$H3726)))</f>
        <v/>
      </c>
      <c r="F3727" s="11" t="str">
        <f aca="false">IF($A3727="","",IF(원본명단!$I3726="",0,COUNTIF(원본명단!$I$3:$I$6002,원본명단!$I3726)))</f>
        <v/>
      </c>
      <c r="G3727" s="11" t="str">
        <f aca="false">IF($A3727="","",IF(원본명단!$K3726="",0,COUNTIF(원본명단!$K$3:$K$6002,원본명단!$K3726)))</f>
        <v/>
      </c>
      <c r="H3727" s="11" t="str">
        <f aca="false">IF($A3727="","",IF(MAX($E3727,$F3727,$G3727)&gt;1,"중복","-"))</f>
        <v/>
      </c>
      <c r="I3727" s="11" t="str">
        <f aca="false">IF($A3727="","",IF($H3727="-","-",IF(AND(IF(원본명단!$H3726="",TRUE(),COUNTIF(원본명단!$H$3:$H3726,원본명단!$H3726)=1),IF(원본명단!$I3726="",TRUE(),COUNTIF(원본명단!$I$3:$I3726,원본명단!$I3726)=1),IF(원본명단!$K3726="",TRUE(),COUNTIF(원본명단!$K$3:$K3726,원본명단!$K3726)=1)),"첫 건","중복 건")))</f>
        <v/>
      </c>
      <c r="J3727" s="11" t="str">
        <f aca="false">IF($A3727="","",IF($H3727="-","유지",IF($I3727="첫 건","유지","확인 필요")))</f>
        <v/>
      </c>
    </row>
    <row r="3728" customFormat="false" ht="15" hidden="false" customHeight="true" outlineLevel="0" collapsed="false">
      <c r="A3728" s="11" t="str">
        <f aca="false">IF(원본명단!$A3727="","",3725)</f>
        <v/>
      </c>
      <c r="B3728" s="12" t="str">
        <f aca="false">IF($A3728="","",원본명단!$A3727)</f>
        <v/>
      </c>
      <c r="C3728" s="12" t="str">
        <f aca="false">IF($A3728="","",원본명단!$B3727)</f>
        <v/>
      </c>
      <c r="D3728" s="12" t="str">
        <f aca="false">IF($A3728="","",원본명단!$D3727)</f>
        <v/>
      </c>
      <c r="E3728" s="11" t="str">
        <f aca="false">IF($A3728="","",IF(원본명단!$H3727="",0,COUNTIF(원본명단!$H$3:$H$6002,원본명단!$H3727)))</f>
        <v/>
      </c>
      <c r="F3728" s="11" t="str">
        <f aca="false">IF($A3728="","",IF(원본명단!$I3727="",0,COUNTIF(원본명단!$I$3:$I$6002,원본명단!$I3727)))</f>
        <v/>
      </c>
      <c r="G3728" s="11" t="str">
        <f aca="false">IF($A3728="","",IF(원본명단!$K3727="",0,COUNTIF(원본명단!$K$3:$K$6002,원본명단!$K3727)))</f>
        <v/>
      </c>
      <c r="H3728" s="11" t="str">
        <f aca="false">IF($A3728="","",IF(MAX($E3728,$F3728,$G3728)&gt;1,"중복","-"))</f>
        <v/>
      </c>
      <c r="I3728" s="11" t="str">
        <f aca="false">IF($A3728="","",IF($H3728="-","-",IF(AND(IF(원본명단!$H3727="",TRUE(),COUNTIF(원본명단!$H$3:$H3727,원본명단!$H3727)=1),IF(원본명단!$I3727="",TRUE(),COUNTIF(원본명단!$I$3:$I3727,원본명단!$I3727)=1),IF(원본명단!$K3727="",TRUE(),COUNTIF(원본명단!$K$3:$K3727,원본명단!$K3727)=1)),"첫 건","중복 건")))</f>
        <v/>
      </c>
      <c r="J3728" s="11" t="str">
        <f aca="false">IF($A3728="","",IF($H3728="-","유지",IF($I3728="첫 건","유지","확인 필요")))</f>
        <v/>
      </c>
    </row>
    <row r="3729" customFormat="false" ht="15" hidden="false" customHeight="true" outlineLevel="0" collapsed="false">
      <c r="A3729" s="11" t="str">
        <f aca="false">IF(원본명단!$A3728="","",3726)</f>
        <v/>
      </c>
      <c r="B3729" s="12" t="str">
        <f aca="false">IF($A3729="","",원본명단!$A3728)</f>
        <v/>
      </c>
      <c r="C3729" s="12" t="str">
        <f aca="false">IF($A3729="","",원본명단!$B3728)</f>
        <v/>
      </c>
      <c r="D3729" s="12" t="str">
        <f aca="false">IF($A3729="","",원본명단!$D3728)</f>
        <v/>
      </c>
      <c r="E3729" s="11" t="str">
        <f aca="false">IF($A3729="","",IF(원본명단!$H3728="",0,COUNTIF(원본명단!$H$3:$H$6002,원본명단!$H3728)))</f>
        <v/>
      </c>
      <c r="F3729" s="11" t="str">
        <f aca="false">IF($A3729="","",IF(원본명단!$I3728="",0,COUNTIF(원본명단!$I$3:$I$6002,원본명단!$I3728)))</f>
        <v/>
      </c>
      <c r="G3729" s="11" t="str">
        <f aca="false">IF($A3729="","",IF(원본명단!$K3728="",0,COUNTIF(원본명단!$K$3:$K$6002,원본명단!$K3728)))</f>
        <v/>
      </c>
      <c r="H3729" s="11" t="str">
        <f aca="false">IF($A3729="","",IF(MAX($E3729,$F3729,$G3729)&gt;1,"중복","-"))</f>
        <v/>
      </c>
      <c r="I3729" s="11" t="str">
        <f aca="false">IF($A3729="","",IF($H3729="-","-",IF(AND(IF(원본명단!$H3728="",TRUE(),COUNTIF(원본명단!$H$3:$H3728,원본명단!$H3728)=1),IF(원본명단!$I3728="",TRUE(),COUNTIF(원본명단!$I$3:$I3728,원본명단!$I3728)=1),IF(원본명단!$K3728="",TRUE(),COUNTIF(원본명단!$K$3:$K3728,원본명단!$K3728)=1)),"첫 건","중복 건")))</f>
        <v/>
      </c>
      <c r="J3729" s="11" t="str">
        <f aca="false">IF($A3729="","",IF($H3729="-","유지",IF($I3729="첫 건","유지","확인 필요")))</f>
        <v/>
      </c>
    </row>
    <row r="3730" customFormat="false" ht="15" hidden="false" customHeight="true" outlineLevel="0" collapsed="false">
      <c r="A3730" s="11" t="str">
        <f aca="false">IF(원본명단!$A3729="","",3727)</f>
        <v/>
      </c>
      <c r="B3730" s="12" t="str">
        <f aca="false">IF($A3730="","",원본명단!$A3729)</f>
        <v/>
      </c>
      <c r="C3730" s="12" t="str">
        <f aca="false">IF($A3730="","",원본명단!$B3729)</f>
        <v/>
      </c>
      <c r="D3730" s="12" t="str">
        <f aca="false">IF($A3730="","",원본명단!$D3729)</f>
        <v/>
      </c>
      <c r="E3730" s="11" t="str">
        <f aca="false">IF($A3730="","",IF(원본명단!$H3729="",0,COUNTIF(원본명단!$H$3:$H$6002,원본명단!$H3729)))</f>
        <v/>
      </c>
      <c r="F3730" s="11" t="str">
        <f aca="false">IF($A3730="","",IF(원본명단!$I3729="",0,COUNTIF(원본명단!$I$3:$I$6002,원본명단!$I3729)))</f>
        <v/>
      </c>
      <c r="G3730" s="11" t="str">
        <f aca="false">IF($A3730="","",IF(원본명단!$K3729="",0,COUNTIF(원본명단!$K$3:$K$6002,원본명단!$K3729)))</f>
        <v/>
      </c>
      <c r="H3730" s="11" t="str">
        <f aca="false">IF($A3730="","",IF(MAX($E3730,$F3730,$G3730)&gt;1,"중복","-"))</f>
        <v/>
      </c>
      <c r="I3730" s="11" t="str">
        <f aca="false">IF($A3730="","",IF($H3730="-","-",IF(AND(IF(원본명단!$H3729="",TRUE(),COUNTIF(원본명단!$H$3:$H3729,원본명단!$H3729)=1),IF(원본명단!$I3729="",TRUE(),COUNTIF(원본명단!$I$3:$I3729,원본명단!$I3729)=1),IF(원본명단!$K3729="",TRUE(),COUNTIF(원본명단!$K$3:$K3729,원본명단!$K3729)=1)),"첫 건","중복 건")))</f>
        <v/>
      </c>
      <c r="J3730" s="11" t="str">
        <f aca="false">IF($A3730="","",IF($H3730="-","유지",IF($I3730="첫 건","유지","확인 필요")))</f>
        <v/>
      </c>
    </row>
    <row r="3731" customFormat="false" ht="15" hidden="false" customHeight="true" outlineLevel="0" collapsed="false">
      <c r="A3731" s="11" t="str">
        <f aca="false">IF(원본명단!$A3730="","",3728)</f>
        <v/>
      </c>
      <c r="B3731" s="12" t="str">
        <f aca="false">IF($A3731="","",원본명단!$A3730)</f>
        <v/>
      </c>
      <c r="C3731" s="12" t="str">
        <f aca="false">IF($A3731="","",원본명단!$B3730)</f>
        <v/>
      </c>
      <c r="D3731" s="12" t="str">
        <f aca="false">IF($A3731="","",원본명단!$D3730)</f>
        <v/>
      </c>
      <c r="E3731" s="11" t="str">
        <f aca="false">IF($A3731="","",IF(원본명단!$H3730="",0,COUNTIF(원본명단!$H$3:$H$6002,원본명단!$H3730)))</f>
        <v/>
      </c>
      <c r="F3731" s="11" t="str">
        <f aca="false">IF($A3731="","",IF(원본명단!$I3730="",0,COUNTIF(원본명단!$I$3:$I$6002,원본명단!$I3730)))</f>
        <v/>
      </c>
      <c r="G3731" s="11" t="str">
        <f aca="false">IF($A3731="","",IF(원본명단!$K3730="",0,COUNTIF(원본명단!$K$3:$K$6002,원본명단!$K3730)))</f>
        <v/>
      </c>
      <c r="H3731" s="11" t="str">
        <f aca="false">IF($A3731="","",IF(MAX($E3731,$F3731,$G3731)&gt;1,"중복","-"))</f>
        <v/>
      </c>
      <c r="I3731" s="11" t="str">
        <f aca="false">IF($A3731="","",IF($H3731="-","-",IF(AND(IF(원본명단!$H3730="",TRUE(),COUNTIF(원본명단!$H$3:$H3730,원본명단!$H3730)=1),IF(원본명단!$I3730="",TRUE(),COUNTIF(원본명단!$I$3:$I3730,원본명단!$I3730)=1),IF(원본명단!$K3730="",TRUE(),COUNTIF(원본명단!$K$3:$K3730,원본명단!$K3730)=1)),"첫 건","중복 건")))</f>
        <v/>
      </c>
      <c r="J3731" s="11" t="str">
        <f aca="false">IF($A3731="","",IF($H3731="-","유지",IF($I3731="첫 건","유지","확인 필요")))</f>
        <v/>
      </c>
    </row>
    <row r="3732" customFormat="false" ht="15" hidden="false" customHeight="true" outlineLevel="0" collapsed="false">
      <c r="A3732" s="11" t="str">
        <f aca="false">IF(원본명단!$A3731="","",3729)</f>
        <v/>
      </c>
      <c r="B3732" s="12" t="str">
        <f aca="false">IF($A3732="","",원본명단!$A3731)</f>
        <v/>
      </c>
      <c r="C3732" s="12" t="str">
        <f aca="false">IF($A3732="","",원본명단!$B3731)</f>
        <v/>
      </c>
      <c r="D3732" s="12" t="str">
        <f aca="false">IF($A3732="","",원본명단!$D3731)</f>
        <v/>
      </c>
      <c r="E3732" s="11" t="str">
        <f aca="false">IF($A3732="","",IF(원본명단!$H3731="",0,COUNTIF(원본명단!$H$3:$H$6002,원본명단!$H3731)))</f>
        <v/>
      </c>
      <c r="F3732" s="11" t="str">
        <f aca="false">IF($A3732="","",IF(원본명단!$I3731="",0,COUNTIF(원본명단!$I$3:$I$6002,원본명단!$I3731)))</f>
        <v/>
      </c>
      <c r="G3732" s="11" t="str">
        <f aca="false">IF($A3732="","",IF(원본명단!$K3731="",0,COUNTIF(원본명단!$K$3:$K$6002,원본명단!$K3731)))</f>
        <v/>
      </c>
      <c r="H3732" s="11" t="str">
        <f aca="false">IF($A3732="","",IF(MAX($E3732,$F3732,$G3732)&gt;1,"중복","-"))</f>
        <v/>
      </c>
      <c r="I3732" s="11" t="str">
        <f aca="false">IF($A3732="","",IF($H3732="-","-",IF(AND(IF(원본명단!$H3731="",TRUE(),COUNTIF(원본명단!$H$3:$H3731,원본명단!$H3731)=1),IF(원본명단!$I3731="",TRUE(),COUNTIF(원본명단!$I$3:$I3731,원본명단!$I3731)=1),IF(원본명단!$K3731="",TRUE(),COUNTIF(원본명단!$K$3:$K3731,원본명단!$K3731)=1)),"첫 건","중복 건")))</f>
        <v/>
      </c>
      <c r="J3732" s="11" t="str">
        <f aca="false">IF($A3732="","",IF($H3732="-","유지",IF($I3732="첫 건","유지","확인 필요")))</f>
        <v/>
      </c>
    </row>
    <row r="3733" customFormat="false" ht="15" hidden="false" customHeight="true" outlineLevel="0" collapsed="false">
      <c r="A3733" s="11" t="str">
        <f aca="false">IF(원본명단!$A3732="","",3730)</f>
        <v/>
      </c>
      <c r="B3733" s="12" t="str">
        <f aca="false">IF($A3733="","",원본명단!$A3732)</f>
        <v/>
      </c>
      <c r="C3733" s="12" t="str">
        <f aca="false">IF($A3733="","",원본명단!$B3732)</f>
        <v/>
      </c>
      <c r="D3733" s="12" t="str">
        <f aca="false">IF($A3733="","",원본명단!$D3732)</f>
        <v/>
      </c>
      <c r="E3733" s="11" t="str">
        <f aca="false">IF($A3733="","",IF(원본명단!$H3732="",0,COUNTIF(원본명단!$H$3:$H$6002,원본명단!$H3732)))</f>
        <v/>
      </c>
      <c r="F3733" s="11" t="str">
        <f aca="false">IF($A3733="","",IF(원본명단!$I3732="",0,COUNTIF(원본명단!$I$3:$I$6002,원본명단!$I3732)))</f>
        <v/>
      </c>
      <c r="G3733" s="11" t="str">
        <f aca="false">IF($A3733="","",IF(원본명단!$K3732="",0,COUNTIF(원본명단!$K$3:$K$6002,원본명단!$K3732)))</f>
        <v/>
      </c>
      <c r="H3733" s="11" t="str">
        <f aca="false">IF($A3733="","",IF(MAX($E3733,$F3733,$G3733)&gt;1,"중복","-"))</f>
        <v/>
      </c>
      <c r="I3733" s="11" t="str">
        <f aca="false">IF($A3733="","",IF($H3733="-","-",IF(AND(IF(원본명단!$H3732="",TRUE(),COUNTIF(원본명단!$H$3:$H3732,원본명단!$H3732)=1),IF(원본명단!$I3732="",TRUE(),COUNTIF(원본명단!$I$3:$I3732,원본명단!$I3732)=1),IF(원본명단!$K3732="",TRUE(),COUNTIF(원본명단!$K$3:$K3732,원본명단!$K3732)=1)),"첫 건","중복 건")))</f>
        <v/>
      </c>
      <c r="J3733" s="11" t="str">
        <f aca="false">IF($A3733="","",IF($H3733="-","유지",IF($I3733="첫 건","유지","확인 필요")))</f>
        <v/>
      </c>
    </row>
    <row r="3734" customFormat="false" ht="15" hidden="false" customHeight="true" outlineLevel="0" collapsed="false">
      <c r="A3734" s="11" t="str">
        <f aca="false">IF(원본명단!$A3733="","",3731)</f>
        <v/>
      </c>
      <c r="B3734" s="12" t="str">
        <f aca="false">IF($A3734="","",원본명단!$A3733)</f>
        <v/>
      </c>
      <c r="C3734" s="12" t="str">
        <f aca="false">IF($A3734="","",원본명단!$B3733)</f>
        <v/>
      </c>
      <c r="D3734" s="12" t="str">
        <f aca="false">IF($A3734="","",원본명단!$D3733)</f>
        <v/>
      </c>
      <c r="E3734" s="11" t="str">
        <f aca="false">IF($A3734="","",IF(원본명단!$H3733="",0,COUNTIF(원본명단!$H$3:$H$6002,원본명단!$H3733)))</f>
        <v/>
      </c>
      <c r="F3734" s="11" t="str">
        <f aca="false">IF($A3734="","",IF(원본명단!$I3733="",0,COUNTIF(원본명단!$I$3:$I$6002,원본명단!$I3733)))</f>
        <v/>
      </c>
      <c r="G3734" s="11" t="str">
        <f aca="false">IF($A3734="","",IF(원본명단!$K3733="",0,COUNTIF(원본명단!$K$3:$K$6002,원본명단!$K3733)))</f>
        <v/>
      </c>
      <c r="H3734" s="11" t="str">
        <f aca="false">IF($A3734="","",IF(MAX($E3734,$F3734,$G3734)&gt;1,"중복","-"))</f>
        <v/>
      </c>
      <c r="I3734" s="11" t="str">
        <f aca="false">IF($A3734="","",IF($H3734="-","-",IF(AND(IF(원본명단!$H3733="",TRUE(),COUNTIF(원본명단!$H$3:$H3733,원본명단!$H3733)=1),IF(원본명단!$I3733="",TRUE(),COUNTIF(원본명단!$I$3:$I3733,원본명단!$I3733)=1),IF(원본명단!$K3733="",TRUE(),COUNTIF(원본명단!$K$3:$K3733,원본명단!$K3733)=1)),"첫 건","중복 건")))</f>
        <v/>
      </c>
      <c r="J3734" s="11" t="str">
        <f aca="false">IF($A3734="","",IF($H3734="-","유지",IF($I3734="첫 건","유지","확인 필요")))</f>
        <v/>
      </c>
    </row>
    <row r="3735" customFormat="false" ht="15" hidden="false" customHeight="true" outlineLevel="0" collapsed="false">
      <c r="A3735" s="11" t="str">
        <f aca="false">IF(원본명단!$A3734="","",3732)</f>
        <v/>
      </c>
      <c r="B3735" s="12" t="str">
        <f aca="false">IF($A3735="","",원본명단!$A3734)</f>
        <v/>
      </c>
      <c r="C3735" s="12" t="str">
        <f aca="false">IF($A3735="","",원본명단!$B3734)</f>
        <v/>
      </c>
      <c r="D3735" s="12" t="str">
        <f aca="false">IF($A3735="","",원본명단!$D3734)</f>
        <v/>
      </c>
      <c r="E3735" s="11" t="str">
        <f aca="false">IF($A3735="","",IF(원본명단!$H3734="",0,COUNTIF(원본명단!$H$3:$H$6002,원본명단!$H3734)))</f>
        <v/>
      </c>
      <c r="F3735" s="11" t="str">
        <f aca="false">IF($A3735="","",IF(원본명단!$I3734="",0,COUNTIF(원본명단!$I$3:$I$6002,원본명단!$I3734)))</f>
        <v/>
      </c>
      <c r="G3735" s="11" t="str">
        <f aca="false">IF($A3735="","",IF(원본명단!$K3734="",0,COUNTIF(원본명단!$K$3:$K$6002,원본명단!$K3734)))</f>
        <v/>
      </c>
      <c r="H3735" s="11" t="str">
        <f aca="false">IF($A3735="","",IF(MAX($E3735,$F3735,$G3735)&gt;1,"중복","-"))</f>
        <v/>
      </c>
      <c r="I3735" s="11" t="str">
        <f aca="false">IF($A3735="","",IF($H3735="-","-",IF(AND(IF(원본명단!$H3734="",TRUE(),COUNTIF(원본명단!$H$3:$H3734,원본명단!$H3734)=1),IF(원본명단!$I3734="",TRUE(),COUNTIF(원본명단!$I$3:$I3734,원본명단!$I3734)=1),IF(원본명단!$K3734="",TRUE(),COUNTIF(원본명단!$K$3:$K3734,원본명단!$K3734)=1)),"첫 건","중복 건")))</f>
        <v/>
      </c>
      <c r="J3735" s="11" t="str">
        <f aca="false">IF($A3735="","",IF($H3735="-","유지",IF($I3735="첫 건","유지","확인 필요")))</f>
        <v/>
      </c>
    </row>
    <row r="3736" customFormat="false" ht="15" hidden="false" customHeight="true" outlineLevel="0" collapsed="false">
      <c r="A3736" s="11" t="str">
        <f aca="false">IF(원본명단!$A3735="","",3733)</f>
        <v/>
      </c>
      <c r="B3736" s="12" t="str">
        <f aca="false">IF($A3736="","",원본명단!$A3735)</f>
        <v/>
      </c>
      <c r="C3736" s="12" t="str">
        <f aca="false">IF($A3736="","",원본명단!$B3735)</f>
        <v/>
      </c>
      <c r="D3736" s="12" t="str">
        <f aca="false">IF($A3736="","",원본명단!$D3735)</f>
        <v/>
      </c>
      <c r="E3736" s="11" t="str">
        <f aca="false">IF($A3736="","",IF(원본명단!$H3735="",0,COUNTIF(원본명단!$H$3:$H$6002,원본명단!$H3735)))</f>
        <v/>
      </c>
      <c r="F3736" s="11" t="str">
        <f aca="false">IF($A3736="","",IF(원본명단!$I3735="",0,COUNTIF(원본명단!$I$3:$I$6002,원본명단!$I3735)))</f>
        <v/>
      </c>
      <c r="G3736" s="11" t="str">
        <f aca="false">IF($A3736="","",IF(원본명단!$K3735="",0,COUNTIF(원본명단!$K$3:$K$6002,원본명단!$K3735)))</f>
        <v/>
      </c>
      <c r="H3736" s="11" t="str">
        <f aca="false">IF($A3736="","",IF(MAX($E3736,$F3736,$G3736)&gt;1,"중복","-"))</f>
        <v/>
      </c>
      <c r="I3736" s="11" t="str">
        <f aca="false">IF($A3736="","",IF($H3736="-","-",IF(AND(IF(원본명단!$H3735="",TRUE(),COUNTIF(원본명단!$H$3:$H3735,원본명단!$H3735)=1),IF(원본명단!$I3735="",TRUE(),COUNTIF(원본명단!$I$3:$I3735,원본명단!$I3735)=1),IF(원본명단!$K3735="",TRUE(),COUNTIF(원본명단!$K$3:$K3735,원본명단!$K3735)=1)),"첫 건","중복 건")))</f>
        <v/>
      </c>
      <c r="J3736" s="11" t="str">
        <f aca="false">IF($A3736="","",IF($H3736="-","유지",IF($I3736="첫 건","유지","확인 필요")))</f>
        <v/>
      </c>
    </row>
    <row r="3737" customFormat="false" ht="15" hidden="false" customHeight="true" outlineLevel="0" collapsed="false">
      <c r="A3737" s="11" t="str">
        <f aca="false">IF(원본명단!$A3736="","",3734)</f>
        <v/>
      </c>
      <c r="B3737" s="12" t="str">
        <f aca="false">IF($A3737="","",원본명단!$A3736)</f>
        <v/>
      </c>
      <c r="C3737" s="12" t="str">
        <f aca="false">IF($A3737="","",원본명단!$B3736)</f>
        <v/>
      </c>
      <c r="D3737" s="12" t="str">
        <f aca="false">IF($A3737="","",원본명단!$D3736)</f>
        <v/>
      </c>
      <c r="E3737" s="11" t="str">
        <f aca="false">IF($A3737="","",IF(원본명단!$H3736="",0,COUNTIF(원본명단!$H$3:$H$6002,원본명단!$H3736)))</f>
        <v/>
      </c>
      <c r="F3737" s="11" t="str">
        <f aca="false">IF($A3737="","",IF(원본명단!$I3736="",0,COUNTIF(원본명단!$I$3:$I$6002,원본명단!$I3736)))</f>
        <v/>
      </c>
      <c r="G3737" s="11" t="str">
        <f aca="false">IF($A3737="","",IF(원본명단!$K3736="",0,COUNTIF(원본명단!$K$3:$K$6002,원본명단!$K3736)))</f>
        <v/>
      </c>
      <c r="H3737" s="11" t="str">
        <f aca="false">IF($A3737="","",IF(MAX($E3737,$F3737,$G3737)&gt;1,"중복","-"))</f>
        <v/>
      </c>
      <c r="I3737" s="11" t="str">
        <f aca="false">IF($A3737="","",IF($H3737="-","-",IF(AND(IF(원본명단!$H3736="",TRUE(),COUNTIF(원본명단!$H$3:$H3736,원본명단!$H3736)=1),IF(원본명단!$I3736="",TRUE(),COUNTIF(원본명단!$I$3:$I3736,원본명단!$I3736)=1),IF(원본명단!$K3736="",TRUE(),COUNTIF(원본명단!$K$3:$K3736,원본명단!$K3736)=1)),"첫 건","중복 건")))</f>
        <v/>
      </c>
      <c r="J3737" s="11" t="str">
        <f aca="false">IF($A3737="","",IF($H3737="-","유지",IF($I3737="첫 건","유지","확인 필요")))</f>
        <v/>
      </c>
    </row>
    <row r="3738" customFormat="false" ht="15" hidden="false" customHeight="true" outlineLevel="0" collapsed="false">
      <c r="A3738" s="11" t="str">
        <f aca="false">IF(원본명단!$A3737="","",3735)</f>
        <v/>
      </c>
      <c r="B3738" s="12" t="str">
        <f aca="false">IF($A3738="","",원본명단!$A3737)</f>
        <v/>
      </c>
      <c r="C3738" s="12" t="str">
        <f aca="false">IF($A3738="","",원본명단!$B3737)</f>
        <v/>
      </c>
      <c r="D3738" s="12" t="str">
        <f aca="false">IF($A3738="","",원본명단!$D3737)</f>
        <v/>
      </c>
      <c r="E3738" s="11" t="str">
        <f aca="false">IF($A3738="","",IF(원본명단!$H3737="",0,COUNTIF(원본명단!$H$3:$H$6002,원본명단!$H3737)))</f>
        <v/>
      </c>
      <c r="F3738" s="11" t="str">
        <f aca="false">IF($A3738="","",IF(원본명단!$I3737="",0,COUNTIF(원본명단!$I$3:$I$6002,원본명단!$I3737)))</f>
        <v/>
      </c>
      <c r="G3738" s="11" t="str">
        <f aca="false">IF($A3738="","",IF(원본명단!$K3737="",0,COUNTIF(원본명단!$K$3:$K$6002,원본명단!$K3737)))</f>
        <v/>
      </c>
      <c r="H3738" s="11" t="str">
        <f aca="false">IF($A3738="","",IF(MAX($E3738,$F3738,$G3738)&gt;1,"중복","-"))</f>
        <v/>
      </c>
      <c r="I3738" s="11" t="str">
        <f aca="false">IF($A3738="","",IF($H3738="-","-",IF(AND(IF(원본명단!$H3737="",TRUE(),COUNTIF(원본명단!$H$3:$H3737,원본명단!$H3737)=1),IF(원본명단!$I3737="",TRUE(),COUNTIF(원본명단!$I$3:$I3737,원본명단!$I3737)=1),IF(원본명단!$K3737="",TRUE(),COUNTIF(원본명단!$K$3:$K3737,원본명단!$K3737)=1)),"첫 건","중복 건")))</f>
        <v/>
      </c>
      <c r="J3738" s="11" t="str">
        <f aca="false">IF($A3738="","",IF($H3738="-","유지",IF($I3738="첫 건","유지","확인 필요")))</f>
        <v/>
      </c>
    </row>
    <row r="3739" customFormat="false" ht="15" hidden="false" customHeight="true" outlineLevel="0" collapsed="false">
      <c r="A3739" s="11" t="str">
        <f aca="false">IF(원본명단!$A3738="","",3736)</f>
        <v/>
      </c>
      <c r="B3739" s="12" t="str">
        <f aca="false">IF($A3739="","",원본명단!$A3738)</f>
        <v/>
      </c>
      <c r="C3739" s="12" t="str">
        <f aca="false">IF($A3739="","",원본명단!$B3738)</f>
        <v/>
      </c>
      <c r="D3739" s="12" t="str">
        <f aca="false">IF($A3739="","",원본명단!$D3738)</f>
        <v/>
      </c>
      <c r="E3739" s="11" t="str">
        <f aca="false">IF($A3739="","",IF(원본명단!$H3738="",0,COUNTIF(원본명단!$H$3:$H$6002,원본명단!$H3738)))</f>
        <v/>
      </c>
      <c r="F3739" s="11" t="str">
        <f aca="false">IF($A3739="","",IF(원본명단!$I3738="",0,COUNTIF(원본명단!$I$3:$I$6002,원본명단!$I3738)))</f>
        <v/>
      </c>
      <c r="G3739" s="11" t="str">
        <f aca="false">IF($A3739="","",IF(원본명단!$K3738="",0,COUNTIF(원본명단!$K$3:$K$6002,원본명단!$K3738)))</f>
        <v/>
      </c>
      <c r="H3739" s="11" t="str">
        <f aca="false">IF($A3739="","",IF(MAX($E3739,$F3739,$G3739)&gt;1,"중복","-"))</f>
        <v/>
      </c>
      <c r="I3739" s="11" t="str">
        <f aca="false">IF($A3739="","",IF($H3739="-","-",IF(AND(IF(원본명단!$H3738="",TRUE(),COUNTIF(원본명단!$H$3:$H3738,원본명단!$H3738)=1),IF(원본명단!$I3738="",TRUE(),COUNTIF(원본명단!$I$3:$I3738,원본명단!$I3738)=1),IF(원본명단!$K3738="",TRUE(),COUNTIF(원본명단!$K$3:$K3738,원본명단!$K3738)=1)),"첫 건","중복 건")))</f>
        <v/>
      </c>
      <c r="J3739" s="11" t="str">
        <f aca="false">IF($A3739="","",IF($H3739="-","유지",IF($I3739="첫 건","유지","확인 필요")))</f>
        <v/>
      </c>
    </row>
    <row r="3740" customFormat="false" ht="15" hidden="false" customHeight="true" outlineLevel="0" collapsed="false">
      <c r="A3740" s="11" t="str">
        <f aca="false">IF(원본명단!$A3739="","",3737)</f>
        <v/>
      </c>
      <c r="B3740" s="12" t="str">
        <f aca="false">IF($A3740="","",원본명단!$A3739)</f>
        <v/>
      </c>
      <c r="C3740" s="12" t="str">
        <f aca="false">IF($A3740="","",원본명단!$B3739)</f>
        <v/>
      </c>
      <c r="D3740" s="12" t="str">
        <f aca="false">IF($A3740="","",원본명단!$D3739)</f>
        <v/>
      </c>
      <c r="E3740" s="11" t="str">
        <f aca="false">IF($A3740="","",IF(원본명단!$H3739="",0,COUNTIF(원본명단!$H$3:$H$6002,원본명단!$H3739)))</f>
        <v/>
      </c>
      <c r="F3740" s="11" t="str">
        <f aca="false">IF($A3740="","",IF(원본명단!$I3739="",0,COUNTIF(원본명단!$I$3:$I$6002,원본명단!$I3739)))</f>
        <v/>
      </c>
      <c r="G3740" s="11" t="str">
        <f aca="false">IF($A3740="","",IF(원본명단!$K3739="",0,COUNTIF(원본명단!$K$3:$K$6002,원본명단!$K3739)))</f>
        <v/>
      </c>
      <c r="H3740" s="11" t="str">
        <f aca="false">IF($A3740="","",IF(MAX($E3740,$F3740,$G3740)&gt;1,"중복","-"))</f>
        <v/>
      </c>
      <c r="I3740" s="11" t="str">
        <f aca="false">IF($A3740="","",IF($H3740="-","-",IF(AND(IF(원본명단!$H3739="",TRUE(),COUNTIF(원본명단!$H$3:$H3739,원본명단!$H3739)=1),IF(원본명단!$I3739="",TRUE(),COUNTIF(원본명단!$I$3:$I3739,원본명단!$I3739)=1),IF(원본명단!$K3739="",TRUE(),COUNTIF(원본명단!$K$3:$K3739,원본명단!$K3739)=1)),"첫 건","중복 건")))</f>
        <v/>
      </c>
      <c r="J3740" s="11" t="str">
        <f aca="false">IF($A3740="","",IF($H3740="-","유지",IF($I3740="첫 건","유지","확인 필요")))</f>
        <v/>
      </c>
    </row>
    <row r="3741" customFormat="false" ht="15" hidden="false" customHeight="true" outlineLevel="0" collapsed="false">
      <c r="A3741" s="11" t="str">
        <f aca="false">IF(원본명단!$A3740="","",3738)</f>
        <v/>
      </c>
      <c r="B3741" s="12" t="str">
        <f aca="false">IF($A3741="","",원본명단!$A3740)</f>
        <v/>
      </c>
      <c r="C3741" s="12" t="str">
        <f aca="false">IF($A3741="","",원본명단!$B3740)</f>
        <v/>
      </c>
      <c r="D3741" s="12" t="str">
        <f aca="false">IF($A3741="","",원본명단!$D3740)</f>
        <v/>
      </c>
      <c r="E3741" s="11" t="str">
        <f aca="false">IF($A3741="","",IF(원본명단!$H3740="",0,COUNTIF(원본명단!$H$3:$H$6002,원본명단!$H3740)))</f>
        <v/>
      </c>
      <c r="F3741" s="11" t="str">
        <f aca="false">IF($A3741="","",IF(원본명단!$I3740="",0,COUNTIF(원본명단!$I$3:$I$6002,원본명단!$I3740)))</f>
        <v/>
      </c>
      <c r="G3741" s="11" t="str">
        <f aca="false">IF($A3741="","",IF(원본명단!$K3740="",0,COUNTIF(원본명단!$K$3:$K$6002,원본명단!$K3740)))</f>
        <v/>
      </c>
      <c r="H3741" s="11" t="str">
        <f aca="false">IF($A3741="","",IF(MAX($E3741,$F3741,$G3741)&gt;1,"중복","-"))</f>
        <v/>
      </c>
      <c r="I3741" s="11" t="str">
        <f aca="false">IF($A3741="","",IF($H3741="-","-",IF(AND(IF(원본명단!$H3740="",TRUE(),COUNTIF(원본명단!$H$3:$H3740,원본명단!$H3740)=1),IF(원본명단!$I3740="",TRUE(),COUNTIF(원본명단!$I$3:$I3740,원본명단!$I3740)=1),IF(원본명단!$K3740="",TRUE(),COUNTIF(원본명단!$K$3:$K3740,원본명단!$K3740)=1)),"첫 건","중복 건")))</f>
        <v/>
      </c>
      <c r="J3741" s="11" t="str">
        <f aca="false">IF($A3741="","",IF($H3741="-","유지",IF($I3741="첫 건","유지","확인 필요")))</f>
        <v/>
      </c>
    </row>
    <row r="3742" customFormat="false" ht="15" hidden="false" customHeight="true" outlineLevel="0" collapsed="false">
      <c r="A3742" s="11" t="str">
        <f aca="false">IF(원본명단!$A3741="","",3739)</f>
        <v/>
      </c>
      <c r="B3742" s="12" t="str">
        <f aca="false">IF($A3742="","",원본명단!$A3741)</f>
        <v/>
      </c>
      <c r="C3742" s="12" t="str">
        <f aca="false">IF($A3742="","",원본명단!$B3741)</f>
        <v/>
      </c>
      <c r="D3742" s="12" t="str">
        <f aca="false">IF($A3742="","",원본명단!$D3741)</f>
        <v/>
      </c>
      <c r="E3742" s="11" t="str">
        <f aca="false">IF($A3742="","",IF(원본명단!$H3741="",0,COUNTIF(원본명단!$H$3:$H$6002,원본명단!$H3741)))</f>
        <v/>
      </c>
      <c r="F3742" s="11" t="str">
        <f aca="false">IF($A3742="","",IF(원본명단!$I3741="",0,COUNTIF(원본명단!$I$3:$I$6002,원본명단!$I3741)))</f>
        <v/>
      </c>
      <c r="G3742" s="11" t="str">
        <f aca="false">IF($A3742="","",IF(원본명단!$K3741="",0,COUNTIF(원본명단!$K$3:$K$6002,원본명단!$K3741)))</f>
        <v/>
      </c>
      <c r="H3742" s="11" t="str">
        <f aca="false">IF($A3742="","",IF(MAX($E3742,$F3742,$G3742)&gt;1,"중복","-"))</f>
        <v/>
      </c>
      <c r="I3742" s="11" t="str">
        <f aca="false">IF($A3742="","",IF($H3742="-","-",IF(AND(IF(원본명단!$H3741="",TRUE(),COUNTIF(원본명단!$H$3:$H3741,원본명단!$H3741)=1),IF(원본명단!$I3741="",TRUE(),COUNTIF(원본명단!$I$3:$I3741,원본명단!$I3741)=1),IF(원본명단!$K3741="",TRUE(),COUNTIF(원본명단!$K$3:$K3741,원본명단!$K3741)=1)),"첫 건","중복 건")))</f>
        <v/>
      </c>
      <c r="J3742" s="11" t="str">
        <f aca="false">IF($A3742="","",IF($H3742="-","유지",IF($I3742="첫 건","유지","확인 필요")))</f>
        <v/>
      </c>
    </row>
    <row r="3743" customFormat="false" ht="15" hidden="false" customHeight="true" outlineLevel="0" collapsed="false">
      <c r="A3743" s="11" t="str">
        <f aca="false">IF(원본명단!$A3742="","",3740)</f>
        <v/>
      </c>
      <c r="B3743" s="12" t="str">
        <f aca="false">IF($A3743="","",원본명단!$A3742)</f>
        <v/>
      </c>
      <c r="C3743" s="12" t="str">
        <f aca="false">IF($A3743="","",원본명단!$B3742)</f>
        <v/>
      </c>
      <c r="D3743" s="12" t="str">
        <f aca="false">IF($A3743="","",원본명단!$D3742)</f>
        <v/>
      </c>
      <c r="E3743" s="11" t="str">
        <f aca="false">IF($A3743="","",IF(원본명단!$H3742="",0,COUNTIF(원본명단!$H$3:$H$6002,원본명단!$H3742)))</f>
        <v/>
      </c>
      <c r="F3743" s="11" t="str">
        <f aca="false">IF($A3743="","",IF(원본명단!$I3742="",0,COUNTIF(원본명단!$I$3:$I$6002,원본명단!$I3742)))</f>
        <v/>
      </c>
      <c r="G3743" s="11" t="str">
        <f aca="false">IF($A3743="","",IF(원본명단!$K3742="",0,COUNTIF(원본명단!$K$3:$K$6002,원본명단!$K3742)))</f>
        <v/>
      </c>
      <c r="H3743" s="11" t="str">
        <f aca="false">IF($A3743="","",IF(MAX($E3743,$F3743,$G3743)&gt;1,"중복","-"))</f>
        <v/>
      </c>
      <c r="I3743" s="11" t="str">
        <f aca="false">IF($A3743="","",IF($H3743="-","-",IF(AND(IF(원본명단!$H3742="",TRUE(),COUNTIF(원본명단!$H$3:$H3742,원본명단!$H3742)=1),IF(원본명단!$I3742="",TRUE(),COUNTIF(원본명단!$I$3:$I3742,원본명단!$I3742)=1),IF(원본명단!$K3742="",TRUE(),COUNTIF(원본명단!$K$3:$K3742,원본명단!$K3742)=1)),"첫 건","중복 건")))</f>
        <v/>
      </c>
      <c r="J3743" s="11" t="str">
        <f aca="false">IF($A3743="","",IF($H3743="-","유지",IF($I3743="첫 건","유지","확인 필요")))</f>
        <v/>
      </c>
    </row>
    <row r="3744" customFormat="false" ht="15" hidden="false" customHeight="true" outlineLevel="0" collapsed="false">
      <c r="A3744" s="11" t="str">
        <f aca="false">IF(원본명단!$A3743="","",3741)</f>
        <v/>
      </c>
      <c r="B3744" s="12" t="str">
        <f aca="false">IF($A3744="","",원본명단!$A3743)</f>
        <v/>
      </c>
      <c r="C3744" s="12" t="str">
        <f aca="false">IF($A3744="","",원본명단!$B3743)</f>
        <v/>
      </c>
      <c r="D3744" s="12" t="str">
        <f aca="false">IF($A3744="","",원본명단!$D3743)</f>
        <v/>
      </c>
      <c r="E3744" s="11" t="str">
        <f aca="false">IF($A3744="","",IF(원본명단!$H3743="",0,COUNTIF(원본명단!$H$3:$H$6002,원본명단!$H3743)))</f>
        <v/>
      </c>
      <c r="F3744" s="11" t="str">
        <f aca="false">IF($A3744="","",IF(원본명단!$I3743="",0,COUNTIF(원본명단!$I$3:$I$6002,원본명단!$I3743)))</f>
        <v/>
      </c>
      <c r="G3744" s="11" t="str">
        <f aca="false">IF($A3744="","",IF(원본명단!$K3743="",0,COUNTIF(원본명단!$K$3:$K$6002,원본명단!$K3743)))</f>
        <v/>
      </c>
      <c r="H3744" s="11" t="str">
        <f aca="false">IF($A3744="","",IF(MAX($E3744,$F3744,$G3744)&gt;1,"중복","-"))</f>
        <v/>
      </c>
      <c r="I3744" s="11" t="str">
        <f aca="false">IF($A3744="","",IF($H3744="-","-",IF(AND(IF(원본명단!$H3743="",TRUE(),COUNTIF(원본명단!$H$3:$H3743,원본명단!$H3743)=1),IF(원본명단!$I3743="",TRUE(),COUNTIF(원본명단!$I$3:$I3743,원본명단!$I3743)=1),IF(원본명단!$K3743="",TRUE(),COUNTIF(원본명단!$K$3:$K3743,원본명단!$K3743)=1)),"첫 건","중복 건")))</f>
        <v/>
      </c>
      <c r="J3744" s="11" t="str">
        <f aca="false">IF($A3744="","",IF($H3744="-","유지",IF($I3744="첫 건","유지","확인 필요")))</f>
        <v/>
      </c>
    </row>
    <row r="3745" customFormat="false" ht="15" hidden="false" customHeight="true" outlineLevel="0" collapsed="false">
      <c r="A3745" s="11" t="str">
        <f aca="false">IF(원본명단!$A3744="","",3742)</f>
        <v/>
      </c>
      <c r="B3745" s="12" t="str">
        <f aca="false">IF($A3745="","",원본명단!$A3744)</f>
        <v/>
      </c>
      <c r="C3745" s="12" t="str">
        <f aca="false">IF($A3745="","",원본명단!$B3744)</f>
        <v/>
      </c>
      <c r="D3745" s="12" t="str">
        <f aca="false">IF($A3745="","",원본명단!$D3744)</f>
        <v/>
      </c>
      <c r="E3745" s="11" t="str">
        <f aca="false">IF($A3745="","",IF(원본명단!$H3744="",0,COUNTIF(원본명단!$H$3:$H$6002,원본명단!$H3744)))</f>
        <v/>
      </c>
      <c r="F3745" s="11" t="str">
        <f aca="false">IF($A3745="","",IF(원본명단!$I3744="",0,COUNTIF(원본명단!$I$3:$I$6002,원본명단!$I3744)))</f>
        <v/>
      </c>
      <c r="G3745" s="11" t="str">
        <f aca="false">IF($A3745="","",IF(원본명단!$K3744="",0,COUNTIF(원본명단!$K$3:$K$6002,원본명단!$K3744)))</f>
        <v/>
      </c>
      <c r="H3745" s="11" t="str">
        <f aca="false">IF($A3745="","",IF(MAX($E3745,$F3745,$G3745)&gt;1,"중복","-"))</f>
        <v/>
      </c>
      <c r="I3745" s="11" t="str">
        <f aca="false">IF($A3745="","",IF($H3745="-","-",IF(AND(IF(원본명단!$H3744="",TRUE(),COUNTIF(원본명단!$H$3:$H3744,원본명단!$H3744)=1),IF(원본명단!$I3744="",TRUE(),COUNTIF(원본명단!$I$3:$I3744,원본명단!$I3744)=1),IF(원본명단!$K3744="",TRUE(),COUNTIF(원본명단!$K$3:$K3744,원본명단!$K3744)=1)),"첫 건","중복 건")))</f>
        <v/>
      </c>
      <c r="J3745" s="11" t="str">
        <f aca="false">IF($A3745="","",IF($H3745="-","유지",IF($I3745="첫 건","유지","확인 필요")))</f>
        <v/>
      </c>
    </row>
    <row r="3746" customFormat="false" ht="15" hidden="false" customHeight="true" outlineLevel="0" collapsed="false">
      <c r="A3746" s="11" t="str">
        <f aca="false">IF(원본명단!$A3745="","",3743)</f>
        <v/>
      </c>
      <c r="B3746" s="12" t="str">
        <f aca="false">IF($A3746="","",원본명단!$A3745)</f>
        <v/>
      </c>
      <c r="C3746" s="12" t="str">
        <f aca="false">IF($A3746="","",원본명단!$B3745)</f>
        <v/>
      </c>
      <c r="D3746" s="12" t="str">
        <f aca="false">IF($A3746="","",원본명단!$D3745)</f>
        <v/>
      </c>
      <c r="E3746" s="11" t="str">
        <f aca="false">IF($A3746="","",IF(원본명단!$H3745="",0,COUNTIF(원본명단!$H$3:$H$6002,원본명단!$H3745)))</f>
        <v/>
      </c>
      <c r="F3746" s="11" t="str">
        <f aca="false">IF($A3746="","",IF(원본명단!$I3745="",0,COUNTIF(원본명단!$I$3:$I$6002,원본명단!$I3745)))</f>
        <v/>
      </c>
      <c r="G3746" s="11" t="str">
        <f aca="false">IF($A3746="","",IF(원본명단!$K3745="",0,COUNTIF(원본명단!$K$3:$K$6002,원본명단!$K3745)))</f>
        <v/>
      </c>
      <c r="H3746" s="11" t="str">
        <f aca="false">IF($A3746="","",IF(MAX($E3746,$F3746,$G3746)&gt;1,"중복","-"))</f>
        <v/>
      </c>
      <c r="I3746" s="11" t="str">
        <f aca="false">IF($A3746="","",IF($H3746="-","-",IF(AND(IF(원본명단!$H3745="",TRUE(),COUNTIF(원본명단!$H$3:$H3745,원본명단!$H3745)=1),IF(원본명단!$I3745="",TRUE(),COUNTIF(원본명단!$I$3:$I3745,원본명단!$I3745)=1),IF(원본명단!$K3745="",TRUE(),COUNTIF(원본명단!$K$3:$K3745,원본명단!$K3745)=1)),"첫 건","중복 건")))</f>
        <v/>
      </c>
      <c r="J3746" s="11" t="str">
        <f aca="false">IF($A3746="","",IF($H3746="-","유지",IF($I3746="첫 건","유지","확인 필요")))</f>
        <v/>
      </c>
    </row>
    <row r="3747" customFormat="false" ht="15" hidden="false" customHeight="true" outlineLevel="0" collapsed="false">
      <c r="A3747" s="11" t="str">
        <f aca="false">IF(원본명단!$A3746="","",3744)</f>
        <v/>
      </c>
      <c r="B3747" s="12" t="str">
        <f aca="false">IF($A3747="","",원본명단!$A3746)</f>
        <v/>
      </c>
      <c r="C3747" s="12" t="str">
        <f aca="false">IF($A3747="","",원본명단!$B3746)</f>
        <v/>
      </c>
      <c r="D3747" s="12" t="str">
        <f aca="false">IF($A3747="","",원본명단!$D3746)</f>
        <v/>
      </c>
      <c r="E3747" s="11" t="str">
        <f aca="false">IF($A3747="","",IF(원본명단!$H3746="",0,COUNTIF(원본명단!$H$3:$H$6002,원본명단!$H3746)))</f>
        <v/>
      </c>
      <c r="F3747" s="11" t="str">
        <f aca="false">IF($A3747="","",IF(원본명단!$I3746="",0,COUNTIF(원본명단!$I$3:$I$6002,원본명단!$I3746)))</f>
        <v/>
      </c>
      <c r="G3747" s="11" t="str">
        <f aca="false">IF($A3747="","",IF(원본명단!$K3746="",0,COUNTIF(원본명단!$K$3:$K$6002,원본명단!$K3746)))</f>
        <v/>
      </c>
      <c r="H3747" s="11" t="str">
        <f aca="false">IF($A3747="","",IF(MAX($E3747,$F3747,$G3747)&gt;1,"중복","-"))</f>
        <v/>
      </c>
      <c r="I3747" s="11" t="str">
        <f aca="false">IF($A3747="","",IF($H3747="-","-",IF(AND(IF(원본명단!$H3746="",TRUE(),COUNTIF(원본명단!$H$3:$H3746,원본명단!$H3746)=1),IF(원본명단!$I3746="",TRUE(),COUNTIF(원본명단!$I$3:$I3746,원본명단!$I3746)=1),IF(원본명단!$K3746="",TRUE(),COUNTIF(원본명단!$K$3:$K3746,원본명단!$K3746)=1)),"첫 건","중복 건")))</f>
        <v/>
      </c>
      <c r="J3747" s="11" t="str">
        <f aca="false">IF($A3747="","",IF($H3747="-","유지",IF($I3747="첫 건","유지","확인 필요")))</f>
        <v/>
      </c>
    </row>
    <row r="3748" customFormat="false" ht="15" hidden="false" customHeight="true" outlineLevel="0" collapsed="false">
      <c r="A3748" s="11" t="str">
        <f aca="false">IF(원본명단!$A3747="","",3745)</f>
        <v/>
      </c>
      <c r="B3748" s="12" t="str">
        <f aca="false">IF($A3748="","",원본명단!$A3747)</f>
        <v/>
      </c>
      <c r="C3748" s="12" t="str">
        <f aca="false">IF($A3748="","",원본명단!$B3747)</f>
        <v/>
      </c>
      <c r="D3748" s="12" t="str">
        <f aca="false">IF($A3748="","",원본명단!$D3747)</f>
        <v/>
      </c>
      <c r="E3748" s="11" t="str">
        <f aca="false">IF($A3748="","",IF(원본명단!$H3747="",0,COUNTIF(원본명단!$H$3:$H$6002,원본명단!$H3747)))</f>
        <v/>
      </c>
      <c r="F3748" s="11" t="str">
        <f aca="false">IF($A3748="","",IF(원본명단!$I3747="",0,COUNTIF(원본명단!$I$3:$I$6002,원본명단!$I3747)))</f>
        <v/>
      </c>
      <c r="G3748" s="11" t="str">
        <f aca="false">IF($A3748="","",IF(원본명단!$K3747="",0,COUNTIF(원본명단!$K$3:$K$6002,원본명단!$K3747)))</f>
        <v/>
      </c>
      <c r="H3748" s="11" t="str">
        <f aca="false">IF($A3748="","",IF(MAX($E3748,$F3748,$G3748)&gt;1,"중복","-"))</f>
        <v/>
      </c>
      <c r="I3748" s="11" t="str">
        <f aca="false">IF($A3748="","",IF($H3748="-","-",IF(AND(IF(원본명단!$H3747="",TRUE(),COUNTIF(원본명단!$H$3:$H3747,원본명단!$H3747)=1),IF(원본명단!$I3747="",TRUE(),COUNTIF(원본명단!$I$3:$I3747,원본명단!$I3747)=1),IF(원본명단!$K3747="",TRUE(),COUNTIF(원본명단!$K$3:$K3747,원본명단!$K3747)=1)),"첫 건","중복 건")))</f>
        <v/>
      </c>
      <c r="J3748" s="11" t="str">
        <f aca="false">IF($A3748="","",IF($H3748="-","유지",IF($I3748="첫 건","유지","확인 필요")))</f>
        <v/>
      </c>
    </row>
    <row r="3749" customFormat="false" ht="15" hidden="false" customHeight="true" outlineLevel="0" collapsed="false">
      <c r="A3749" s="11" t="str">
        <f aca="false">IF(원본명단!$A3748="","",3746)</f>
        <v/>
      </c>
      <c r="B3749" s="12" t="str">
        <f aca="false">IF($A3749="","",원본명단!$A3748)</f>
        <v/>
      </c>
      <c r="C3749" s="12" t="str">
        <f aca="false">IF($A3749="","",원본명단!$B3748)</f>
        <v/>
      </c>
      <c r="D3749" s="12" t="str">
        <f aca="false">IF($A3749="","",원본명단!$D3748)</f>
        <v/>
      </c>
      <c r="E3749" s="11" t="str">
        <f aca="false">IF($A3749="","",IF(원본명단!$H3748="",0,COUNTIF(원본명단!$H$3:$H$6002,원본명단!$H3748)))</f>
        <v/>
      </c>
      <c r="F3749" s="11" t="str">
        <f aca="false">IF($A3749="","",IF(원본명단!$I3748="",0,COUNTIF(원본명단!$I$3:$I$6002,원본명단!$I3748)))</f>
        <v/>
      </c>
      <c r="G3749" s="11" t="str">
        <f aca="false">IF($A3749="","",IF(원본명단!$K3748="",0,COUNTIF(원본명단!$K$3:$K$6002,원본명단!$K3748)))</f>
        <v/>
      </c>
      <c r="H3749" s="11" t="str">
        <f aca="false">IF($A3749="","",IF(MAX($E3749,$F3749,$G3749)&gt;1,"중복","-"))</f>
        <v/>
      </c>
      <c r="I3749" s="11" t="str">
        <f aca="false">IF($A3749="","",IF($H3749="-","-",IF(AND(IF(원본명단!$H3748="",TRUE(),COUNTIF(원본명단!$H$3:$H3748,원본명단!$H3748)=1),IF(원본명단!$I3748="",TRUE(),COUNTIF(원본명단!$I$3:$I3748,원본명단!$I3748)=1),IF(원본명단!$K3748="",TRUE(),COUNTIF(원본명단!$K$3:$K3748,원본명단!$K3748)=1)),"첫 건","중복 건")))</f>
        <v/>
      </c>
      <c r="J3749" s="11" t="str">
        <f aca="false">IF($A3749="","",IF($H3749="-","유지",IF($I3749="첫 건","유지","확인 필요")))</f>
        <v/>
      </c>
    </row>
    <row r="3750" customFormat="false" ht="15" hidden="false" customHeight="true" outlineLevel="0" collapsed="false">
      <c r="A3750" s="11" t="str">
        <f aca="false">IF(원본명단!$A3749="","",3747)</f>
        <v/>
      </c>
      <c r="B3750" s="12" t="str">
        <f aca="false">IF($A3750="","",원본명단!$A3749)</f>
        <v/>
      </c>
      <c r="C3750" s="12" t="str">
        <f aca="false">IF($A3750="","",원본명단!$B3749)</f>
        <v/>
      </c>
      <c r="D3750" s="12" t="str">
        <f aca="false">IF($A3750="","",원본명단!$D3749)</f>
        <v/>
      </c>
      <c r="E3750" s="11" t="str">
        <f aca="false">IF($A3750="","",IF(원본명단!$H3749="",0,COUNTIF(원본명단!$H$3:$H$6002,원본명단!$H3749)))</f>
        <v/>
      </c>
      <c r="F3750" s="11" t="str">
        <f aca="false">IF($A3750="","",IF(원본명단!$I3749="",0,COUNTIF(원본명단!$I$3:$I$6002,원본명단!$I3749)))</f>
        <v/>
      </c>
      <c r="G3750" s="11" t="str">
        <f aca="false">IF($A3750="","",IF(원본명단!$K3749="",0,COUNTIF(원본명단!$K$3:$K$6002,원본명단!$K3749)))</f>
        <v/>
      </c>
      <c r="H3750" s="11" t="str">
        <f aca="false">IF($A3750="","",IF(MAX($E3750,$F3750,$G3750)&gt;1,"중복","-"))</f>
        <v/>
      </c>
      <c r="I3750" s="11" t="str">
        <f aca="false">IF($A3750="","",IF($H3750="-","-",IF(AND(IF(원본명단!$H3749="",TRUE(),COUNTIF(원본명단!$H$3:$H3749,원본명단!$H3749)=1),IF(원본명단!$I3749="",TRUE(),COUNTIF(원본명단!$I$3:$I3749,원본명단!$I3749)=1),IF(원본명단!$K3749="",TRUE(),COUNTIF(원본명단!$K$3:$K3749,원본명단!$K3749)=1)),"첫 건","중복 건")))</f>
        <v/>
      </c>
      <c r="J3750" s="11" t="str">
        <f aca="false">IF($A3750="","",IF($H3750="-","유지",IF($I3750="첫 건","유지","확인 필요")))</f>
        <v/>
      </c>
    </row>
    <row r="3751" customFormat="false" ht="15" hidden="false" customHeight="true" outlineLevel="0" collapsed="false">
      <c r="A3751" s="11" t="str">
        <f aca="false">IF(원본명단!$A3750="","",3748)</f>
        <v/>
      </c>
      <c r="B3751" s="12" t="str">
        <f aca="false">IF($A3751="","",원본명단!$A3750)</f>
        <v/>
      </c>
      <c r="C3751" s="12" t="str">
        <f aca="false">IF($A3751="","",원본명단!$B3750)</f>
        <v/>
      </c>
      <c r="D3751" s="12" t="str">
        <f aca="false">IF($A3751="","",원본명단!$D3750)</f>
        <v/>
      </c>
      <c r="E3751" s="11" t="str">
        <f aca="false">IF($A3751="","",IF(원본명단!$H3750="",0,COUNTIF(원본명단!$H$3:$H$6002,원본명단!$H3750)))</f>
        <v/>
      </c>
      <c r="F3751" s="11" t="str">
        <f aca="false">IF($A3751="","",IF(원본명단!$I3750="",0,COUNTIF(원본명단!$I$3:$I$6002,원본명단!$I3750)))</f>
        <v/>
      </c>
      <c r="G3751" s="11" t="str">
        <f aca="false">IF($A3751="","",IF(원본명단!$K3750="",0,COUNTIF(원본명단!$K$3:$K$6002,원본명단!$K3750)))</f>
        <v/>
      </c>
      <c r="H3751" s="11" t="str">
        <f aca="false">IF($A3751="","",IF(MAX($E3751,$F3751,$G3751)&gt;1,"중복","-"))</f>
        <v/>
      </c>
      <c r="I3751" s="11" t="str">
        <f aca="false">IF($A3751="","",IF($H3751="-","-",IF(AND(IF(원본명단!$H3750="",TRUE(),COUNTIF(원본명단!$H$3:$H3750,원본명단!$H3750)=1),IF(원본명단!$I3750="",TRUE(),COUNTIF(원본명단!$I$3:$I3750,원본명단!$I3750)=1),IF(원본명단!$K3750="",TRUE(),COUNTIF(원본명단!$K$3:$K3750,원본명단!$K3750)=1)),"첫 건","중복 건")))</f>
        <v/>
      </c>
      <c r="J3751" s="11" t="str">
        <f aca="false">IF($A3751="","",IF($H3751="-","유지",IF($I3751="첫 건","유지","확인 필요")))</f>
        <v/>
      </c>
    </row>
    <row r="3752" customFormat="false" ht="15" hidden="false" customHeight="true" outlineLevel="0" collapsed="false">
      <c r="A3752" s="11" t="str">
        <f aca="false">IF(원본명단!$A3751="","",3749)</f>
        <v/>
      </c>
      <c r="B3752" s="12" t="str">
        <f aca="false">IF($A3752="","",원본명단!$A3751)</f>
        <v/>
      </c>
      <c r="C3752" s="12" t="str">
        <f aca="false">IF($A3752="","",원본명단!$B3751)</f>
        <v/>
      </c>
      <c r="D3752" s="12" t="str">
        <f aca="false">IF($A3752="","",원본명단!$D3751)</f>
        <v/>
      </c>
      <c r="E3752" s="11" t="str">
        <f aca="false">IF($A3752="","",IF(원본명단!$H3751="",0,COUNTIF(원본명단!$H$3:$H$6002,원본명단!$H3751)))</f>
        <v/>
      </c>
      <c r="F3752" s="11" t="str">
        <f aca="false">IF($A3752="","",IF(원본명단!$I3751="",0,COUNTIF(원본명단!$I$3:$I$6002,원본명단!$I3751)))</f>
        <v/>
      </c>
      <c r="G3752" s="11" t="str">
        <f aca="false">IF($A3752="","",IF(원본명단!$K3751="",0,COUNTIF(원본명단!$K$3:$K$6002,원본명단!$K3751)))</f>
        <v/>
      </c>
      <c r="H3752" s="11" t="str">
        <f aca="false">IF($A3752="","",IF(MAX($E3752,$F3752,$G3752)&gt;1,"중복","-"))</f>
        <v/>
      </c>
      <c r="I3752" s="11" t="str">
        <f aca="false">IF($A3752="","",IF($H3752="-","-",IF(AND(IF(원본명단!$H3751="",TRUE(),COUNTIF(원본명단!$H$3:$H3751,원본명단!$H3751)=1),IF(원본명단!$I3751="",TRUE(),COUNTIF(원본명단!$I$3:$I3751,원본명단!$I3751)=1),IF(원본명단!$K3751="",TRUE(),COUNTIF(원본명단!$K$3:$K3751,원본명단!$K3751)=1)),"첫 건","중복 건")))</f>
        <v/>
      </c>
      <c r="J3752" s="11" t="str">
        <f aca="false">IF($A3752="","",IF($H3752="-","유지",IF($I3752="첫 건","유지","확인 필요")))</f>
        <v/>
      </c>
    </row>
    <row r="3753" customFormat="false" ht="15" hidden="false" customHeight="true" outlineLevel="0" collapsed="false">
      <c r="A3753" s="11" t="str">
        <f aca="false">IF(원본명단!$A3752="","",3750)</f>
        <v/>
      </c>
      <c r="B3753" s="12" t="str">
        <f aca="false">IF($A3753="","",원본명단!$A3752)</f>
        <v/>
      </c>
      <c r="C3753" s="12" t="str">
        <f aca="false">IF($A3753="","",원본명단!$B3752)</f>
        <v/>
      </c>
      <c r="D3753" s="12" t="str">
        <f aca="false">IF($A3753="","",원본명단!$D3752)</f>
        <v/>
      </c>
      <c r="E3753" s="11" t="str">
        <f aca="false">IF($A3753="","",IF(원본명단!$H3752="",0,COUNTIF(원본명단!$H$3:$H$6002,원본명단!$H3752)))</f>
        <v/>
      </c>
      <c r="F3753" s="11" t="str">
        <f aca="false">IF($A3753="","",IF(원본명단!$I3752="",0,COUNTIF(원본명단!$I$3:$I$6002,원본명단!$I3752)))</f>
        <v/>
      </c>
      <c r="G3753" s="11" t="str">
        <f aca="false">IF($A3753="","",IF(원본명단!$K3752="",0,COUNTIF(원본명단!$K$3:$K$6002,원본명단!$K3752)))</f>
        <v/>
      </c>
      <c r="H3753" s="11" t="str">
        <f aca="false">IF($A3753="","",IF(MAX($E3753,$F3753,$G3753)&gt;1,"중복","-"))</f>
        <v/>
      </c>
      <c r="I3753" s="11" t="str">
        <f aca="false">IF($A3753="","",IF($H3753="-","-",IF(AND(IF(원본명단!$H3752="",TRUE(),COUNTIF(원본명단!$H$3:$H3752,원본명단!$H3752)=1),IF(원본명단!$I3752="",TRUE(),COUNTIF(원본명단!$I$3:$I3752,원본명단!$I3752)=1),IF(원본명단!$K3752="",TRUE(),COUNTIF(원본명단!$K$3:$K3752,원본명단!$K3752)=1)),"첫 건","중복 건")))</f>
        <v/>
      </c>
      <c r="J3753" s="11" t="str">
        <f aca="false">IF($A3753="","",IF($H3753="-","유지",IF($I3753="첫 건","유지","확인 필요")))</f>
        <v/>
      </c>
    </row>
    <row r="3754" customFormat="false" ht="15" hidden="false" customHeight="true" outlineLevel="0" collapsed="false">
      <c r="A3754" s="11" t="str">
        <f aca="false">IF(원본명단!$A3753="","",3751)</f>
        <v/>
      </c>
      <c r="B3754" s="12" t="str">
        <f aca="false">IF($A3754="","",원본명단!$A3753)</f>
        <v/>
      </c>
      <c r="C3754" s="12" t="str">
        <f aca="false">IF($A3754="","",원본명단!$B3753)</f>
        <v/>
      </c>
      <c r="D3754" s="12" t="str">
        <f aca="false">IF($A3754="","",원본명단!$D3753)</f>
        <v/>
      </c>
      <c r="E3754" s="11" t="str">
        <f aca="false">IF($A3754="","",IF(원본명단!$H3753="",0,COUNTIF(원본명단!$H$3:$H$6002,원본명단!$H3753)))</f>
        <v/>
      </c>
      <c r="F3754" s="11" t="str">
        <f aca="false">IF($A3754="","",IF(원본명단!$I3753="",0,COUNTIF(원본명단!$I$3:$I$6002,원본명단!$I3753)))</f>
        <v/>
      </c>
      <c r="G3754" s="11" t="str">
        <f aca="false">IF($A3754="","",IF(원본명단!$K3753="",0,COUNTIF(원본명단!$K$3:$K$6002,원본명단!$K3753)))</f>
        <v/>
      </c>
      <c r="H3754" s="11" t="str">
        <f aca="false">IF($A3754="","",IF(MAX($E3754,$F3754,$G3754)&gt;1,"중복","-"))</f>
        <v/>
      </c>
      <c r="I3754" s="11" t="str">
        <f aca="false">IF($A3754="","",IF($H3754="-","-",IF(AND(IF(원본명단!$H3753="",TRUE(),COUNTIF(원본명단!$H$3:$H3753,원본명단!$H3753)=1),IF(원본명단!$I3753="",TRUE(),COUNTIF(원본명단!$I$3:$I3753,원본명단!$I3753)=1),IF(원본명단!$K3753="",TRUE(),COUNTIF(원본명단!$K$3:$K3753,원본명단!$K3753)=1)),"첫 건","중복 건")))</f>
        <v/>
      </c>
      <c r="J3754" s="11" t="str">
        <f aca="false">IF($A3754="","",IF($H3754="-","유지",IF($I3754="첫 건","유지","확인 필요")))</f>
        <v/>
      </c>
    </row>
    <row r="3755" customFormat="false" ht="15" hidden="false" customHeight="true" outlineLevel="0" collapsed="false">
      <c r="A3755" s="11" t="str">
        <f aca="false">IF(원본명단!$A3754="","",3752)</f>
        <v/>
      </c>
      <c r="B3755" s="12" t="str">
        <f aca="false">IF($A3755="","",원본명단!$A3754)</f>
        <v/>
      </c>
      <c r="C3755" s="12" t="str">
        <f aca="false">IF($A3755="","",원본명단!$B3754)</f>
        <v/>
      </c>
      <c r="D3755" s="12" t="str">
        <f aca="false">IF($A3755="","",원본명단!$D3754)</f>
        <v/>
      </c>
      <c r="E3755" s="11" t="str">
        <f aca="false">IF($A3755="","",IF(원본명단!$H3754="",0,COUNTIF(원본명단!$H$3:$H$6002,원본명단!$H3754)))</f>
        <v/>
      </c>
      <c r="F3755" s="11" t="str">
        <f aca="false">IF($A3755="","",IF(원본명단!$I3754="",0,COUNTIF(원본명단!$I$3:$I$6002,원본명단!$I3754)))</f>
        <v/>
      </c>
      <c r="G3755" s="11" t="str">
        <f aca="false">IF($A3755="","",IF(원본명단!$K3754="",0,COUNTIF(원본명단!$K$3:$K$6002,원본명단!$K3754)))</f>
        <v/>
      </c>
      <c r="H3755" s="11" t="str">
        <f aca="false">IF($A3755="","",IF(MAX($E3755,$F3755,$G3755)&gt;1,"중복","-"))</f>
        <v/>
      </c>
      <c r="I3755" s="11" t="str">
        <f aca="false">IF($A3755="","",IF($H3755="-","-",IF(AND(IF(원본명단!$H3754="",TRUE(),COUNTIF(원본명단!$H$3:$H3754,원본명단!$H3754)=1),IF(원본명단!$I3754="",TRUE(),COUNTIF(원본명단!$I$3:$I3754,원본명단!$I3754)=1),IF(원본명단!$K3754="",TRUE(),COUNTIF(원본명단!$K$3:$K3754,원본명단!$K3754)=1)),"첫 건","중복 건")))</f>
        <v/>
      </c>
      <c r="J3755" s="11" t="str">
        <f aca="false">IF($A3755="","",IF($H3755="-","유지",IF($I3755="첫 건","유지","확인 필요")))</f>
        <v/>
      </c>
    </row>
    <row r="3756" customFormat="false" ht="15" hidden="false" customHeight="true" outlineLevel="0" collapsed="false">
      <c r="A3756" s="11" t="str">
        <f aca="false">IF(원본명단!$A3755="","",3753)</f>
        <v/>
      </c>
      <c r="B3756" s="12" t="str">
        <f aca="false">IF($A3756="","",원본명단!$A3755)</f>
        <v/>
      </c>
      <c r="C3756" s="12" t="str">
        <f aca="false">IF($A3756="","",원본명단!$B3755)</f>
        <v/>
      </c>
      <c r="D3756" s="12" t="str">
        <f aca="false">IF($A3756="","",원본명단!$D3755)</f>
        <v/>
      </c>
      <c r="E3756" s="11" t="str">
        <f aca="false">IF($A3756="","",IF(원본명단!$H3755="",0,COUNTIF(원본명단!$H$3:$H$6002,원본명단!$H3755)))</f>
        <v/>
      </c>
      <c r="F3756" s="11" t="str">
        <f aca="false">IF($A3756="","",IF(원본명단!$I3755="",0,COUNTIF(원본명단!$I$3:$I$6002,원본명단!$I3755)))</f>
        <v/>
      </c>
      <c r="G3756" s="11" t="str">
        <f aca="false">IF($A3756="","",IF(원본명단!$K3755="",0,COUNTIF(원본명단!$K$3:$K$6002,원본명단!$K3755)))</f>
        <v/>
      </c>
      <c r="H3756" s="11" t="str">
        <f aca="false">IF($A3756="","",IF(MAX($E3756,$F3756,$G3756)&gt;1,"중복","-"))</f>
        <v/>
      </c>
      <c r="I3756" s="11" t="str">
        <f aca="false">IF($A3756="","",IF($H3756="-","-",IF(AND(IF(원본명단!$H3755="",TRUE(),COUNTIF(원본명단!$H$3:$H3755,원본명단!$H3755)=1),IF(원본명단!$I3755="",TRUE(),COUNTIF(원본명단!$I$3:$I3755,원본명단!$I3755)=1),IF(원본명단!$K3755="",TRUE(),COUNTIF(원본명단!$K$3:$K3755,원본명단!$K3755)=1)),"첫 건","중복 건")))</f>
        <v/>
      </c>
      <c r="J3756" s="11" t="str">
        <f aca="false">IF($A3756="","",IF($H3756="-","유지",IF($I3756="첫 건","유지","확인 필요")))</f>
        <v/>
      </c>
    </row>
    <row r="3757" customFormat="false" ht="15" hidden="false" customHeight="true" outlineLevel="0" collapsed="false">
      <c r="A3757" s="11" t="str">
        <f aca="false">IF(원본명단!$A3756="","",3754)</f>
        <v/>
      </c>
      <c r="B3757" s="12" t="str">
        <f aca="false">IF($A3757="","",원본명단!$A3756)</f>
        <v/>
      </c>
      <c r="C3757" s="12" t="str">
        <f aca="false">IF($A3757="","",원본명단!$B3756)</f>
        <v/>
      </c>
      <c r="D3757" s="12" t="str">
        <f aca="false">IF($A3757="","",원본명단!$D3756)</f>
        <v/>
      </c>
      <c r="E3757" s="11" t="str">
        <f aca="false">IF($A3757="","",IF(원본명단!$H3756="",0,COUNTIF(원본명단!$H$3:$H$6002,원본명단!$H3756)))</f>
        <v/>
      </c>
      <c r="F3757" s="11" t="str">
        <f aca="false">IF($A3757="","",IF(원본명단!$I3756="",0,COUNTIF(원본명단!$I$3:$I$6002,원본명단!$I3756)))</f>
        <v/>
      </c>
      <c r="G3757" s="11" t="str">
        <f aca="false">IF($A3757="","",IF(원본명단!$K3756="",0,COUNTIF(원본명단!$K$3:$K$6002,원본명단!$K3756)))</f>
        <v/>
      </c>
      <c r="H3757" s="11" t="str">
        <f aca="false">IF($A3757="","",IF(MAX($E3757,$F3757,$G3757)&gt;1,"중복","-"))</f>
        <v/>
      </c>
      <c r="I3757" s="11" t="str">
        <f aca="false">IF($A3757="","",IF($H3757="-","-",IF(AND(IF(원본명단!$H3756="",TRUE(),COUNTIF(원본명단!$H$3:$H3756,원본명단!$H3756)=1),IF(원본명단!$I3756="",TRUE(),COUNTIF(원본명단!$I$3:$I3756,원본명단!$I3756)=1),IF(원본명단!$K3756="",TRUE(),COUNTIF(원본명단!$K$3:$K3756,원본명단!$K3756)=1)),"첫 건","중복 건")))</f>
        <v/>
      </c>
      <c r="J3757" s="11" t="str">
        <f aca="false">IF($A3757="","",IF($H3757="-","유지",IF($I3757="첫 건","유지","확인 필요")))</f>
        <v/>
      </c>
    </row>
    <row r="3758" customFormat="false" ht="15" hidden="false" customHeight="true" outlineLevel="0" collapsed="false">
      <c r="A3758" s="11" t="str">
        <f aca="false">IF(원본명단!$A3757="","",3755)</f>
        <v/>
      </c>
      <c r="B3758" s="12" t="str">
        <f aca="false">IF($A3758="","",원본명단!$A3757)</f>
        <v/>
      </c>
      <c r="C3758" s="12" t="str">
        <f aca="false">IF($A3758="","",원본명단!$B3757)</f>
        <v/>
      </c>
      <c r="D3758" s="12" t="str">
        <f aca="false">IF($A3758="","",원본명단!$D3757)</f>
        <v/>
      </c>
      <c r="E3758" s="11" t="str">
        <f aca="false">IF($A3758="","",IF(원본명단!$H3757="",0,COUNTIF(원본명단!$H$3:$H$6002,원본명단!$H3757)))</f>
        <v/>
      </c>
      <c r="F3758" s="11" t="str">
        <f aca="false">IF($A3758="","",IF(원본명단!$I3757="",0,COUNTIF(원본명단!$I$3:$I$6002,원본명단!$I3757)))</f>
        <v/>
      </c>
      <c r="G3758" s="11" t="str">
        <f aca="false">IF($A3758="","",IF(원본명단!$K3757="",0,COUNTIF(원본명단!$K$3:$K$6002,원본명단!$K3757)))</f>
        <v/>
      </c>
      <c r="H3758" s="11" t="str">
        <f aca="false">IF($A3758="","",IF(MAX($E3758,$F3758,$G3758)&gt;1,"중복","-"))</f>
        <v/>
      </c>
      <c r="I3758" s="11" t="str">
        <f aca="false">IF($A3758="","",IF($H3758="-","-",IF(AND(IF(원본명단!$H3757="",TRUE(),COUNTIF(원본명단!$H$3:$H3757,원본명단!$H3757)=1),IF(원본명단!$I3757="",TRUE(),COUNTIF(원본명단!$I$3:$I3757,원본명단!$I3757)=1),IF(원본명단!$K3757="",TRUE(),COUNTIF(원본명단!$K$3:$K3757,원본명단!$K3757)=1)),"첫 건","중복 건")))</f>
        <v/>
      </c>
      <c r="J3758" s="11" t="str">
        <f aca="false">IF($A3758="","",IF($H3758="-","유지",IF($I3758="첫 건","유지","확인 필요")))</f>
        <v/>
      </c>
    </row>
    <row r="3759" customFormat="false" ht="15" hidden="false" customHeight="true" outlineLevel="0" collapsed="false">
      <c r="A3759" s="11" t="str">
        <f aca="false">IF(원본명단!$A3758="","",3756)</f>
        <v/>
      </c>
      <c r="B3759" s="12" t="str">
        <f aca="false">IF($A3759="","",원본명단!$A3758)</f>
        <v/>
      </c>
      <c r="C3759" s="12" t="str">
        <f aca="false">IF($A3759="","",원본명단!$B3758)</f>
        <v/>
      </c>
      <c r="D3759" s="12" t="str">
        <f aca="false">IF($A3759="","",원본명단!$D3758)</f>
        <v/>
      </c>
      <c r="E3759" s="11" t="str">
        <f aca="false">IF($A3759="","",IF(원본명단!$H3758="",0,COUNTIF(원본명단!$H$3:$H$6002,원본명단!$H3758)))</f>
        <v/>
      </c>
      <c r="F3759" s="11" t="str">
        <f aca="false">IF($A3759="","",IF(원본명단!$I3758="",0,COUNTIF(원본명단!$I$3:$I$6002,원본명단!$I3758)))</f>
        <v/>
      </c>
      <c r="G3759" s="11" t="str">
        <f aca="false">IF($A3759="","",IF(원본명단!$K3758="",0,COUNTIF(원본명단!$K$3:$K$6002,원본명단!$K3758)))</f>
        <v/>
      </c>
      <c r="H3759" s="11" t="str">
        <f aca="false">IF($A3759="","",IF(MAX($E3759,$F3759,$G3759)&gt;1,"중복","-"))</f>
        <v/>
      </c>
      <c r="I3759" s="11" t="str">
        <f aca="false">IF($A3759="","",IF($H3759="-","-",IF(AND(IF(원본명단!$H3758="",TRUE(),COUNTIF(원본명단!$H$3:$H3758,원본명단!$H3758)=1),IF(원본명단!$I3758="",TRUE(),COUNTIF(원본명단!$I$3:$I3758,원본명단!$I3758)=1),IF(원본명단!$K3758="",TRUE(),COUNTIF(원본명단!$K$3:$K3758,원본명단!$K3758)=1)),"첫 건","중복 건")))</f>
        <v/>
      </c>
      <c r="J3759" s="11" t="str">
        <f aca="false">IF($A3759="","",IF($H3759="-","유지",IF($I3759="첫 건","유지","확인 필요")))</f>
        <v/>
      </c>
    </row>
    <row r="3760" customFormat="false" ht="15" hidden="false" customHeight="true" outlineLevel="0" collapsed="false">
      <c r="A3760" s="11" t="str">
        <f aca="false">IF(원본명단!$A3759="","",3757)</f>
        <v/>
      </c>
      <c r="B3760" s="12" t="str">
        <f aca="false">IF($A3760="","",원본명단!$A3759)</f>
        <v/>
      </c>
      <c r="C3760" s="12" t="str">
        <f aca="false">IF($A3760="","",원본명단!$B3759)</f>
        <v/>
      </c>
      <c r="D3760" s="12" t="str">
        <f aca="false">IF($A3760="","",원본명단!$D3759)</f>
        <v/>
      </c>
      <c r="E3760" s="11" t="str">
        <f aca="false">IF($A3760="","",IF(원본명단!$H3759="",0,COUNTIF(원본명단!$H$3:$H$6002,원본명단!$H3759)))</f>
        <v/>
      </c>
      <c r="F3760" s="11" t="str">
        <f aca="false">IF($A3760="","",IF(원본명단!$I3759="",0,COUNTIF(원본명단!$I$3:$I$6002,원본명단!$I3759)))</f>
        <v/>
      </c>
      <c r="G3760" s="11" t="str">
        <f aca="false">IF($A3760="","",IF(원본명단!$K3759="",0,COUNTIF(원본명단!$K$3:$K$6002,원본명단!$K3759)))</f>
        <v/>
      </c>
      <c r="H3760" s="11" t="str">
        <f aca="false">IF($A3760="","",IF(MAX($E3760,$F3760,$G3760)&gt;1,"중복","-"))</f>
        <v/>
      </c>
      <c r="I3760" s="11" t="str">
        <f aca="false">IF($A3760="","",IF($H3760="-","-",IF(AND(IF(원본명단!$H3759="",TRUE(),COUNTIF(원본명단!$H$3:$H3759,원본명단!$H3759)=1),IF(원본명단!$I3759="",TRUE(),COUNTIF(원본명단!$I$3:$I3759,원본명단!$I3759)=1),IF(원본명단!$K3759="",TRUE(),COUNTIF(원본명단!$K$3:$K3759,원본명단!$K3759)=1)),"첫 건","중복 건")))</f>
        <v/>
      </c>
      <c r="J3760" s="11" t="str">
        <f aca="false">IF($A3760="","",IF($H3760="-","유지",IF($I3760="첫 건","유지","확인 필요")))</f>
        <v/>
      </c>
    </row>
    <row r="3761" customFormat="false" ht="15" hidden="false" customHeight="true" outlineLevel="0" collapsed="false">
      <c r="A3761" s="11" t="str">
        <f aca="false">IF(원본명단!$A3760="","",3758)</f>
        <v/>
      </c>
      <c r="B3761" s="12" t="str">
        <f aca="false">IF($A3761="","",원본명단!$A3760)</f>
        <v/>
      </c>
      <c r="C3761" s="12" t="str">
        <f aca="false">IF($A3761="","",원본명단!$B3760)</f>
        <v/>
      </c>
      <c r="D3761" s="12" t="str">
        <f aca="false">IF($A3761="","",원본명단!$D3760)</f>
        <v/>
      </c>
      <c r="E3761" s="11" t="str">
        <f aca="false">IF($A3761="","",IF(원본명단!$H3760="",0,COUNTIF(원본명단!$H$3:$H$6002,원본명단!$H3760)))</f>
        <v/>
      </c>
      <c r="F3761" s="11" t="str">
        <f aca="false">IF($A3761="","",IF(원본명단!$I3760="",0,COUNTIF(원본명단!$I$3:$I$6002,원본명단!$I3760)))</f>
        <v/>
      </c>
      <c r="G3761" s="11" t="str">
        <f aca="false">IF($A3761="","",IF(원본명단!$K3760="",0,COUNTIF(원본명단!$K$3:$K$6002,원본명단!$K3760)))</f>
        <v/>
      </c>
      <c r="H3761" s="11" t="str">
        <f aca="false">IF($A3761="","",IF(MAX($E3761,$F3761,$G3761)&gt;1,"중복","-"))</f>
        <v/>
      </c>
      <c r="I3761" s="11" t="str">
        <f aca="false">IF($A3761="","",IF($H3761="-","-",IF(AND(IF(원본명단!$H3760="",TRUE(),COUNTIF(원본명단!$H$3:$H3760,원본명단!$H3760)=1),IF(원본명단!$I3760="",TRUE(),COUNTIF(원본명단!$I$3:$I3760,원본명단!$I3760)=1),IF(원본명단!$K3760="",TRUE(),COUNTIF(원본명단!$K$3:$K3760,원본명단!$K3760)=1)),"첫 건","중복 건")))</f>
        <v/>
      </c>
      <c r="J3761" s="11" t="str">
        <f aca="false">IF($A3761="","",IF($H3761="-","유지",IF($I3761="첫 건","유지","확인 필요")))</f>
        <v/>
      </c>
    </row>
    <row r="3762" customFormat="false" ht="15" hidden="false" customHeight="true" outlineLevel="0" collapsed="false">
      <c r="A3762" s="11" t="str">
        <f aca="false">IF(원본명단!$A3761="","",3759)</f>
        <v/>
      </c>
      <c r="B3762" s="12" t="str">
        <f aca="false">IF($A3762="","",원본명단!$A3761)</f>
        <v/>
      </c>
      <c r="C3762" s="12" t="str">
        <f aca="false">IF($A3762="","",원본명단!$B3761)</f>
        <v/>
      </c>
      <c r="D3762" s="12" t="str">
        <f aca="false">IF($A3762="","",원본명단!$D3761)</f>
        <v/>
      </c>
      <c r="E3762" s="11" t="str">
        <f aca="false">IF($A3762="","",IF(원본명단!$H3761="",0,COUNTIF(원본명단!$H$3:$H$6002,원본명단!$H3761)))</f>
        <v/>
      </c>
      <c r="F3762" s="11" t="str">
        <f aca="false">IF($A3762="","",IF(원본명단!$I3761="",0,COUNTIF(원본명단!$I$3:$I$6002,원본명단!$I3761)))</f>
        <v/>
      </c>
      <c r="G3762" s="11" t="str">
        <f aca="false">IF($A3762="","",IF(원본명단!$K3761="",0,COUNTIF(원본명단!$K$3:$K$6002,원본명단!$K3761)))</f>
        <v/>
      </c>
      <c r="H3762" s="11" t="str">
        <f aca="false">IF($A3762="","",IF(MAX($E3762,$F3762,$G3762)&gt;1,"중복","-"))</f>
        <v/>
      </c>
      <c r="I3762" s="11" t="str">
        <f aca="false">IF($A3762="","",IF($H3762="-","-",IF(AND(IF(원본명단!$H3761="",TRUE(),COUNTIF(원본명단!$H$3:$H3761,원본명단!$H3761)=1),IF(원본명단!$I3761="",TRUE(),COUNTIF(원본명단!$I$3:$I3761,원본명단!$I3761)=1),IF(원본명단!$K3761="",TRUE(),COUNTIF(원본명단!$K$3:$K3761,원본명단!$K3761)=1)),"첫 건","중복 건")))</f>
        <v/>
      </c>
      <c r="J3762" s="11" t="str">
        <f aca="false">IF($A3762="","",IF($H3762="-","유지",IF($I3762="첫 건","유지","확인 필요")))</f>
        <v/>
      </c>
    </row>
    <row r="3763" customFormat="false" ht="15" hidden="false" customHeight="true" outlineLevel="0" collapsed="false">
      <c r="A3763" s="11" t="str">
        <f aca="false">IF(원본명단!$A3762="","",3760)</f>
        <v/>
      </c>
      <c r="B3763" s="12" t="str">
        <f aca="false">IF($A3763="","",원본명단!$A3762)</f>
        <v/>
      </c>
      <c r="C3763" s="12" t="str">
        <f aca="false">IF($A3763="","",원본명단!$B3762)</f>
        <v/>
      </c>
      <c r="D3763" s="12" t="str">
        <f aca="false">IF($A3763="","",원본명단!$D3762)</f>
        <v/>
      </c>
      <c r="E3763" s="11" t="str">
        <f aca="false">IF($A3763="","",IF(원본명단!$H3762="",0,COUNTIF(원본명단!$H$3:$H$6002,원본명단!$H3762)))</f>
        <v/>
      </c>
      <c r="F3763" s="11" t="str">
        <f aca="false">IF($A3763="","",IF(원본명단!$I3762="",0,COUNTIF(원본명단!$I$3:$I$6002,원본명단!$I3762)))</f>
        <v/>
      </c>
      <c r="G3763" s="11" t="str">
        <f aca="false">IF($A3763="","",IF(원본명단!$K3762="",0,COUNTIF(원본명단!$K$3:$K$6002,원본명단!$K3762)))</f>
        <v/>
      </c>
      <c r="H3763" s="11" t="str">
        <f aca="false">IF($A3763="","",IF(MAX($E3763,$F3763,$G3763)&gt;1,"중복","-"))</f>
        <v/>
      </c>
      <c r="I3763" s="11" t="str">
        <f aca="false">IF($A3763="","",IF($H3763="-","-",IF(AND(IF(원본명단!$H3762="",TRUE(),COUNTIF(원본명단!$H$3:$H3762,원본명단!$H3762)=1),IF(원본명단!$I3762="",TRUE(),COUNTIF(원본명단!$I$3:$I3762,원본명단!$I3762)=1),IF(원본명단!$K3762="",TRUE(),COUNTIF(원본명단!$K$3:$K3762,원본명단!$K3762)=1)),"첫 건","중복 건")))</f>
        <v/>
      </c>
      <c r="J3763" s="11" t="str">
        <f aca="false">IF($A3763="","",IF($H3763="-","유지",IF($I3763="첫 건","유지","확인 필요")))</f>
        <v/>
      </c>
    </row>
    <row r="3764" customFormat="false" ht="15" hidden="false" customHeight="true" outlineLevel="0" collapsed="false">
      <c r="A3764" s="11" t="str">
        <f aca="false">IF(원본명단!$A3763="","",3761)</f>
        <v/>
      </c>
      <c r="B3764" s="12" t="str">
        <f aca="false">IF($A3764="","",원본명단!$A3763)</f>
        <v/>
      </c>
      <c r="C3764" s="12" t="str">
        <f aca="false">IF($A3764="","",원본명단!$B3763)</f>
        <v/>
      </c>
      <c r="D3764" s="12" t="str">
        <f aca="false">IF($A3764="","",원본명단!$D3763)</f>
        <v/>
      </c>
      <c r="E3764" s="11" t="str">
        <f aca="false">IF($A3764="","",IF(원본명단!$H3763="",0,COUNTIF(원본명단!$H$3:$H$6002,원본명단!$H3763)))</f>
        <v/>
      </c>
      <c r="F3764" s="11" t="str">
        <f aca="false">IF($A3764="","",IF(원본명단!$I3763="",0,COUNTIF(원본명단!$I$3:$I$6002,원본명단!$I3763)))</f>
        <v/>
      </c>
      <c r="G3764" s="11" t="str">
        <f aca="false">IF($A3764="","",IF(원본명단!$K3763="",0,COUNTIF(원본명단!$K$3:$K$6002,원본명단!$K3763)))</f>
        <v/>
      </c>
      <c r="H3764" s="11" t="str">
        <f aca="false">IF($A3764="","",IF(MAX($E3764,$F3764,$G3764)&gt;1,"중복","-"))</f>
        <v/>
      </c>
      <c r="I3764" s="11" t="str">
        <f aca="false">IF($A3764="","",IF($H3764="-","-",IF(AND(IF(원본명단!$H3763="",TRUE(),COUNTIF(원본명단!$H$3:$H3763,원본명단!$H3763)=1),IF(원본명단!$I3763="",TRUE(),COUNTIF(원본명단!$I$3:$I3763,원본명단!$I3763)=1),IF(원본명단!$K3763="",TRUE(),COUNTIF(원본명단!$K$3:$K3763,원본명단!$K3763)=1)),"첫 건","중복 건")))</f>
        <v/>
      </c>
      <c r="J3764" s="11" t="str">
        <f aca="false">IF($A3764="","",IF($H3764="-","유지",IF($I3764="첫 건","유지","확인 필요")))</f>
        <v/>
      </c>
    </row>
    <row r="3765" customFormat="false" ht="15" hidden="false" customHeight="true" outlineLevel="0" collapsed="false">
      <c r="A3765" s="11" t="str">
        <f aca="false">IF(원본명단!$A3764="","",3762)</f>
        <v/>
      </c>
      <c r="B3765" s="12" t="str">
        <f aca="false">IF($A3765="","",원본명단!$A3764)</f>
        <v/>
      </c>
      <c r="C3765" s="12" t="str">
        <f aca="false">IF($A3765="","",원본명단!$B3764)</f>
        <v/>
      </c>
      <c r="D3765" s="12" t="str">
        <f aca="false">IF($A3765="","",원본명단!$D3764)</f>
        <v/>
      </c>
      <c r="E3765" s="11" t="str">
        <f aca="false">IF($A3765="","",IF(원본명단!$H3764="",0,COUNTIF(원본명단!$H$3:$H$6002,원본명단!$H3764)))</f>
        <v/>
      </c>
      <c r="F3765" s="11" t="str">
        <f aca="false">IF($A3765="","",IF(원본명단!$I3764="",0,COUNTIF(원본명단!$I$3:$I$6002,원본명단!$I3764)))</f>
        <v/>
      </c>
      <c r="G3765" s="11" t="str">
        <f aca="false">IF($A3765="","",IF(원본명단!$K3764="",0,COUNTIF(원본명단!$K$3:$K$6002,원본명단!$K3764)))</f>
        <v/>
      </c>
      <c r="H3765" s="11" t="str">
        <f aca="false">IF($A3765="","",IF(MAX($E3765,$F3765,$G3765)&gt;1,"중복","-"))</f>
        <v/>
      </c>
      <c r="I3765" s="11" t="str">
        <f aca="false">IF($A3765="","",IF($H3765="-","-",IF(AND(IF(원본명단!$H3764="",TRUE(),COUNTIF(원본명단!$H$3:$H3764,원본명단!$H3764)=1),IF(원본명단!$I3764="",TRUE(),COUNTIF(원본명단!$I$3:$I3764,원본명단!$I3764)=1),IF(원본명단!$K3764="",TRUE(),COUNTIF(원본명단!$K$3:$K3764,원본명단!$K3764)=1)),"첫 건","중복 건")))</f>
        <v/>
      </c>
      <c r="J3765" s="11" t="str">
        <f aca="false">IF($A3765="","",IF($H3765="-","유지",IF($I3765="첫 건","유지","확인 필요")))</f>
        <v/>
      </c>
    </row>
    <row r="3766" customFormat="false" ht="15" hidden="false" customHeight="true" outlineLevel="0" collapsed="false">
      <c r="A3766" s="11" t="str">
        <f aca="false">IF(원본명단!$A3765="","",3763)</f>
        <v/>
      </c>
      <c r="B3766" s="12" t="str">
        <f aca="false">IF($A3766="","",원본명단!$A3765)</f>
        <v/>
      </c>
      <c r="C3766" s="12" t="str">
        <f aca="false">IF($A3766="","",원본명단!$B3765)</f>
        <v/>
      </c>
      <c r="D3766" s="12" t="str">
        <f aca="false">IF($A3766="","",원본명단!$D3765)</f>
        <v/>
      </c>
      <c r="E3766" s="11" t="str">
        <f aca="false">IF($A3766="","",IF(원본명단!$H3765="",0,COUNTIF(원본명단!$H$3:$H$6002,원본명단!$H3765)))</f>
        <v/>
      </c>
      <c r="F3766" s="11" t="str">
        <f aca="false">IF($A3766="","",IF(원본명단!$I3765="",0,COUNTIF(원본명단!$I$3:$I$6002,원본명단!$I3765)))</f>
        <v/>
      </c>
      <c r="G3766" s="11" t="str">
        <f aca="false">IF($A3766="","",IF(원본명단!$K3765="",0,COUNTIF(원본명단!$K$3:$K$6002,원본명단!$K3765)))</f>
        <v/>
      </c>
      <c r="H3766" s="11" t="str">
        <f aca="false">IF($A3766="","",IF(MAX($E3766,$F3766,$G3766)&gt;1,"중복","-"))</f>
        <v/>
      </c>
      <c r="I3766" s="11" t="str">
        <f aca="false">IF($A3766="","",IF($H3766="-","-",IF(AND(IF(원본명단!$H3765="",TRUE(),COUNTIF(원본명단!$H$3:$H3765,원본명단!$H3765)=1),IF(원본명단!$I3765="",TRUE(),COUNTIF(원본명단!$I$3:$I3765,원본명단!$I3765)=1),IF(원본명단!$K3765="",TRUE(),COUNTIF(원본명단!$K$3:$K3765,원본명단!$K3765)=1)),"첫 건","중복 건")))</f>
        <v/>
      </c>
      <c r="J3766" s="11" t="str">
        <f aca="false">IF($A3766="","",IF($H3766="-","유지",IF($I3766="첫 건","유지","확인 필요")))</f>
        <v/>
      </c>
    </row>
    <row r="3767" customFormat="false" ht="15" hidden="false" customHeight="true" outlineLevel="0" collapsed="false">
      <c r="A3767" s="11" t="str">
        <f aca="false">IF(원본명단!$A3766="","",3764)</f>
        <v/>
      </c>
      <c r="B3767" s="12" t="str">
        <f aca="false">IF($A3767="","",원본명단!$A3766)</f>
        <v/>
      </c>
      <c r="C3767" s="12" t="str">
        <f aca="false">IF($A3767="","",원본명단!$B3766)</f>
        <v/>
      </c>
      <c r="D3767" s="12" t="str">
        <f aca="false">IF($A3767="","",원본명단!$D3766)</f>
        <v/>
      </c>
      <c r="E3767" s="11" t="str">
        <f aca="false">IF($A3767="","",IF(원본명단!$H3766="",0,COUNTIF(원본명단!$H$3:$H$6002,원본명단!$H3766)))</f>
        <v/>
      </c>
      <c r="F3767" s="11" t="str">
        <f aca="false">IF($A3767="","",IF(원본명단!$I3766="",0,COUNTIF(원본명단!$I$3:$I$6002,원본명단!$I3766)))</f>
        <v/>
      </c>
      <c r="G3767" s="11" t="str">
        <f aca="false">IF($A3767="","",IF(원본명단!$K3766="",0,COUNTIF(원본명단!$K$3:$K$6002,원본명단!$K3766)))</f>
        <v/>
      </c>
      <c r="H3767" s="11" t="str">
        <f aca="false">IF($A3767="","",IF(MAX($E3767,$F3767,$G3767)&gt;1,"중복","-"))</f>
        <v/>
      </c>
      <c r="I3767" s="11" t="str">
        <f aca="false">IF($A3767="","",IF($H3767="-","-",IF(AND(IF(원본명단!$H3766="",TRUE(),COUNTIF(원본명단!$H$3:$H3766,원본명단!$H3766)=1),IF(원본명단!$I3766="",TRUE(),COUNTIF(원본명단!$I$3:$I3766,원본명단!$I3766)=1),IF(원본명단!$K3766="",TRUE(),COUNTIF(원본명단!$K$3:$K3766,원본명단!$K3766)=1)),"첫 건","중복 건")))</f>
        <v/>
      </c>
      <c r="J3767" s="11" t="str">
        <f aca="false">IF($A3767="","",IF($H3767="-","유지",IF($I3767="첫 건","유지","확인 필요")))</f>
        <v/>
      </c>
    </row>
    <row r="3768" customFormat="false" ht="15" hidden="false" customHeight="true" outlineLevel="0" collapsed="false">
      <c r="A3768" s="11" t="str">
        <f aca="false">IF(원본명단!$A3767="","",3765)</f>
        <v/>
      </c>
      <c r="B3768" s="12" t="str">
        <f aca="false">IF($A3768="","",원본명단!$A3767)</f>
        <v/>
      </c>
      <c r="C3768" s="12" t="str">
        <f aca="false">IF($A3768="","",원본명단!$B3767)</f>
        <v/>
      </c>
      <c r="D3768" s="12" t="str">
        <f aca="false">IF($A3768="","",원본명단!$D3767)</f>
        <v/>
      </c>
      <c r="E3768" s="11" t="str">
        <f aca="false">IF($A3768="","",IF(원본명단!$H3767="",0,COUNTIF(원본명단!$H$3:$H$6002,원본명단!$H3767)))</f>
        <v/>
      </c>
      <c r="F3768" s="11" t="str">
        <f aca="false">IF($A3768="","",IF(원본명단!$I3767="",0,COUNTIF(원본명단!$I$3:$I$6002,원본명단!$I3767)))</f>
        <v/>
      </c>
      <c r="G3768" s="11" t="str">
        <f aca="false">IF($A3768="","",IF(원본명단!$K3767="",0,COUNTIF(원본명단!$K$3:$K$6002,원본명단!$K3767)))</f>
        <v/>
      </c>
      <c r="H3768" s="11" t="str">
        <f aca="false">IF($A3768="","",IF(MAX($E3768,$F3768,$G3768)&gt;1,"중복","-"))</f>
        <v/>
      </c>
      <c r="I3768" s="11" t="str">
        <f aca="false">IF($A3768="","",IF($H3768="-","-",IF(AND(IF(원본명단!$H3767="",TRUE(),COUNTIF(원본명단!$H$3:$H3767,원본명단!$H3767)=1),IF(원본명단!$I3767="",TRUE(),COUNTIF(원본명단!$I$3:$I3767,원본명단!$I3767)=1),IF(원본명단!$K3767="",TRUE(),COUNTIF(원본명단!$K$3:$K3767,원본명단!$K3767)=1)),"첫 건","중복 건")))</f>
        <v/>
      </c>
      <c r="J3768" s="11" t="str">
        <f aca="false">IF($A3768="","",IF($H3768="-","유지",IF($I3768="첫 건","유지","확인 필요")))</f>
        <v/>
      </c>
    </row>
    <row r="3769" customFormat="false" ht="15" hidden="false" customHeight="true" outlineLevel="0" collapsed="false">
      <c r="A3769" s="11" t="str">
        <f aca="false">IF(원본명단!$A3768="","",3766)</f>
        <v/>
      </c>
      <c r="B3769" s="12" t="str">
        <f aca="false">IF($A3769="","",원본명단!$A3768)</f>
        <v/>
      </c>
      <c r="C3769" s="12" t="str">
        <f aca="false">IF($A3769="","",원본명단!$B3768)</f>
        <v/>
      </c>
      <c r="D3769" s="12" t="str">
        <f aca="false">IF($A3769="","",원본명단!$D3768)</f>
        <v/>
      </c>
      <c r="E3769" s="11" t="str">
        <f aca="false">IF($A3769="","",IF(원본명단!$H3768="",0,COUNTIF(원본명단!$H$3:$H$6002,원본명단!$H3768)))</f>
        <v/>
      </c>
      <c r="F3769" s="11" t="str">
        <f aca="false">IF($A3769="","",IF(원본명단!$I3768="",0,COUNTIF(원본명단!$I$3:$I$6002,원본명단!$I3768)))</f>
        <v/>
      </c>
      <c r="G3769" s="11" t="str">
        <f aca="false">IF($A3769="","",IF(원본명단!$K3768="",0,COUNTIF(원본명단!$K$3:$K$6002,원본명단!$K3768)))</f>
        <v/>
      </c>
      <c r="H3769" s="11" t="str">
        <f aca="false">IF($A3769="","",IF(MAX($E3769,$F3769,$G3769)&gt;1,"중복","-"))</f>
        <v/>
      </c>
      <c r="I3769" s="11" t="str">
        <f aca="false">IF($A3769="","",IF($H3769="-","-",IF(AND(IF(원본명단!$H3768="",TRUE(),COUNTIF(원본명단!$H$3:$H3768,원본명단!$H3768)=1),IF(원본명단!$I3768="",TRUE(),COUNTIF(원본명단!$I$3:$I3768,원본명단!$I3768)=1),IF(원본명단!$K3768="",TRUE(),COUNTIF(원본명단!$K$3:$K3768,원본명단!$K3768)=1)),"첫 건","중복 건")))</f>
        <v/>
      </c>
      <c r="J3769" s="11" t="str">
        <f aca="false">IF($A3769="","",IF($H3769="-","유지",IF($I3769="첫 건","유지","확인 필요")))</f>
        <v/>
      </c>
    </row>
    <row r="3770" customFormat="false" ht="15" hidden="false" customHeight="true" outlineLevel="0" collapsed="false">
      <c r="A3770" s="11" t="str">
        <f aca="false">IF(원본명단!$A3769="","",3767)</f>
        <v/>
      </c>
      <c r="B3770" s="12" t="str">
        <f aca="false">IF($A3770="","",원본명단!$A3769)</f>
        <v/>
      </c>
      <c r="C3770" s="12" t="str">
        <f aca="false">IF($A3770="","",원본명단!$B3769)</f>
        <v/>
      </c>
      <c r="D3770" s="12" t="str">
        <f aca="false">IF($A3770="","",원본명단!$D3769)</f>
        <v/>
      </c>
      <c r="E3770" s="11" t="str">
        <f aca="false">IF($A3770="","",IF(원본명단!$H3769="",0,COUNTIF(원본명단!$H$3:$H$6002,원본명단!$H3769)))</f>
        <v/>
      </c>
      <c r="F3770" s="11" t="str">
        <f aca="false">IF($A3770="","",IF(원본명단!$I3769="",0,COUNTIF(원본명단!$I$3:$I$6002,원본명단!$I3769)))</f>
        <v/>
      </c>
      <c r="G3770" s="11" t="str">
        <f aca="false">IF($A3770="","",IF(원본명단!$K3769="",0,COUNTIF(원본명단!$K$3:$K$6002,원본명단!$K3769)))</f>
        <v/>
      </c>
      <c r="H3770" s="11" t="str">
        <f aca="false">IF($A3770="","",IF(MAX($E3770,$F3770,$G3770)&gt;1,"중복","-"))</f>
        <v/>
      </c>
      <c r="I3770" s="11" t="str">
        <f aca="false">IF($A3770="","",IF($H3770="-","-",IF(AND(IF(원본명단!$H3769="",TRUE(),COUNTIF(원본명단!$H$3:$H3769,원본명단!$H3769)=1),IF(원본명단!$I3769="",TRUE(),COUNTIF(원본명단!$I$3:$I3769,원본명단!$I3769)=1),IF(원본명단!$K3769="",TRUE(),COUNTIF(원본명단!$K$3:$K3769,원본명단!$K3769)=1)),"첫 건","중복 건")))</f>
        <v/>
      </c>
      <c r="J3770" s="11" t="str">
        <f aca="false">IF($A3770="","",IF($H3770="-","유지",IF($I3770="첫 건","유지","확인 필요")))</f>
        <v/>
      </c>
    </row>
    <row r="3771" customFormat="false" ht="15" hidden="false" customHeight="true" outlineLevel="0" collapsed="false">
      <c r="A3771" s="11" t="str">
        <f aca="false">IF(원본명단!$A3770="","",3768)</f>
        <v/>
      </c>
      <c r="B3771" s="12" t="str">
        <f aca="false">IF($A3771="","",원본명단!$A3770)</f>
        <v/>
      </c>
      <c r="C3771" s="12" t="str">
        <f aca="false">IF($A3771="","",원본명단!$B3770)</f>
        <v/>
      </c>
      <c r="D3771" s="12" t="str">
        <f aca="false">IF($A3771="","",원본명단!$D3770)</f>
        <v/>
      </c>
      <c r="E3771" s="11" t="str">
        <f aca="false">IF($A3771="","",IF(원본명단!$H3770="",0,COUNTIF(원본명단!$H$3:$H$6002,원본명단!$H3770)))</f>
        <v/>
      </c>
      <c r="F3771" s="11" t="str">
        <f aca="false">IF($A3771="","",IF(원본명단!$I3770="",0,COUNTIF(원본명단!$I$3:$I$6002,원본명단!$I3770)))</f>
        <v/>
      </c>
      <c r="G3771" s="11" t="str">
        <f aca="false">IF($A3771="","",IF(원본명단!$K3770="",0,COUNTIF(원본명단!$K$3:$K$6002,원본명단!$K3770)))</f>
        <v/>
      </c>
      <c r="H3771" s="11" t="str">
        <f aca="false">IF($A3771="","",IF(MAX($E3771,$F3771,$G3771)&gt;1,"중복","-"))</f>
        <v/>
      </c>
      <c r="I3771" s="11" t="str">
        <f aca="false">IF($A3771="","",IF($H3771="-","-",IF(AND(IF(원본명단!$H3770="",TRUE(),COUNTIF(원본명단!$H$3:$H3770,원본명단!$H3770)=1),IF(원본명단!$I3770="",TRUE(),COUNTIF(원본명단!$I$3:$I3770,원본명단!$I3770)=1),IF(원본명단!$K3770="",TRUE(),COUNTIF(원본명단!$K$3:$K3770,원본명단!$K3770)=1)),"첫 건","중복 건")))</f>
        <v/>
      </c>
      <c r="J3771" s="11" t="str">
        <f aca="false">IF($A3771="","",IF($H3771="-","유지",IF($I3771="첫 건","유지","확인 필요")))</f>
        <v/>
      </c>
    </row>
    <row r="3772" customFormat="false" ht="15" hidden="false" customHeight="true" outlineLevel="0" collapsed="false">
      <c r="A3772" s="11" t="str">
        <f aca="false">IF(원본명단!$A3771="","",3769)</f>
        <v/>
      </c>
      <c r="B3772" s="12" t="str">
        <f aca="false">IF($A3772="","",원본명단!$A3771)</f>
        <v/>
      </c>
      <c r="C3772" s="12" t="str">
        <f aca="false">IF($A3772="","",원본명단!$B3771)</f>
        <v/>
      </c>
      <c r="D3772" s="12" t="str">
        <f aca="false">IF($A3772="","",원본명단!$D3771)</f>
        <v/>
      </c>
      <c r="E3772" s="11" t="str">
        <f aca="false">IF($A3772="","",IF(원본명단!$H3771="",0,COUNTIF(원본명단!$H$3:$H$6002,원본명단!$H3771)))</f>
        <v/>
      </c>
      <c r="F3772" s="11" t="str">
        <f aca="false">IF($A3772="","",IF(원본명단!$I3771="",0,COUNTIF(원본명단!$I$3:$I$6002,원본명단!$I3771)))</f>
        <v/>
      </c>
      <c r="G3772" s="11" t="str">
        <f aca="false">IF($A3772="","",IF(원본명단!$K3771="",0,COUNTIF(원본명단!$K$3:$K$6002,원본명단!$K3771)))</f>
        <v/>
      </c>
      <c r="H3772" s="11" t="str">
        <f aca="false">IF($A3772="","",IF(MAX($E3772,$F3772,$G3772)&gt;1,"중복","-"))</f>
        <v/>
      </c>
      <c r="I3772" s="11" t="str">
        <f aca="false">IF($A3772="","",IF($H3772="-","-",IF(AND(IF(원본명단!$H3771="",TRUE(),COUNTIF(원본명단!$H$3:$H3771,원본명단!$H3771)=1),IF(원본명단!$I3771="",TRUE(),COUNTIF(원본명단!$I$3:$I3771,원본명단!$I3771)=1),IF(원본명단!$K3771="",TRUE(),COUNTIF(원본명단!$K$3:$K3771,원본명단!$K3771)=1)),"첫 건","중복 건")))</f>
        <v/>
      </c>
      <c r="J3772" s="11" t="str">
        <f aca="false">IF($A3772="","",IF($H3772="-","유지",IF($I3772="첫 건","유지","확인 필요")))</f>
        <v/>
      </c>
    </row>
    <row r="3773" customFormat="false" ht="15" hidden="false" customHeight="true" outlineLevel="0" collapsed="false">
      <c r="A3773" s="11" t="str">
        <f aca="false">IF(원본명단!$A3772="","",3770)</f>
        <v/>
      </c>
      <c r="B3773" s="12" t="str">
        <f aca="false">IF($A3773="","",원본명단!$A3772)</f>
        <v/>
      </c>
      <c r="C3773" s="12" t="str">
        <f aca="false">IF($A3773="","",원본명단!$B3772)</f>
        <v/>
      </c>
      <c r="D3773" s="12" t="str">
        <f aca="false">IF($A3773="","",원본명단!$D3772)</f>
        <v/>
      </c>
      <c r="E3773" s="11" t="str">
        <f aca="false">IF($A3773="","",IF(원본명단!$H3772="",0,COUNTIF(원본명단!$H$3:$H$6002,원본명단!$H3772)))</f>
        <v/>
      </c>
      <c r="F3773" s="11" t="str">
        <f aca="false">IF($A3773="","",IF(원본명단!$I3772="",0,COUNTIF(원본명단!$I$3:$I$6002,원본명단!$I3772)))</f>
        <v/>
      </c>
      <c r="G3773" s="11" t="str">
        <f aca="false">IF($A3773="","",IF(원본명단!$K3772="",0,COUNTIF(원본명단!$K$3:$K$6002,원본명단!$K3772)))</f>
        <v/>
      </c>
      <c r="H3773" s="11" t="str">
        <f aca="false">IF($A3773="","",IF(MAX($E3773,$F3773,$G3773)&gt;1,"중복","-"))</f>
        <v/>
      </c>
      <c r="I3773" s="11" t="str">
        <f aca="false">IF($A3773="","",IF($H3773="-","-",IF(AND(IF(원본명단!$H3772="",TRUE(),COUNTIF(원본명단!$H$3:$H3772,원본명단!$H3772)=1),IF(원본명단!$I3772="",TRUE(),COUNTIF(원본명단!$I$3:$I3772,원본명단!$I3772)=1),IF(원본명단!$K3772="",TRUE(),COUNTIF(원본명단!$K$3:$K3772,원본명단!$K3772)=1)),"첫 건","중복 건")))</f>
        <v/>
      </c>
      <c r="J3773" s="11" t="str">
        <f aca="false">IF($A3773="","",IF($H3773="-","유지",IF($I3773="첫 건","유지","확인 필요")))</f>
        <v/>
      </c>
    </row>
    <row r="3774" customFormat="false" ht="15" hidden="false" customHeight="true" outlineLevel="0" collapsed="false">
      <c r="A3774" s="11" t="str">
        <f aca="false">IF(원본명단!$A3773="","",3771)</f>
        <v/>
      </c>
      <c r="B3774" s="12" t="str">
        <f aca="false">IF($A3774="","",원본명단!$A3773)</f>
        <v/>
      </c>
      <c r="C3774" s="12" t="str">
        <f aca="false">IF($A3774="","",원본명단!$B3773)</f>
        <v/>
      </c>
      <c r="D3774" s="12" t="str">
        <f aca="false">IF($A3774="","",원본명단!$D3773)</f>
        <v/>
      </c>
      <c r="E3774" s="11" t="str">
        <f aca="false">IF($A3774="","",IF(원본명단!$H3773="",0,COUNTIF(원본명단!$H$3:$H$6002,원본명단!$H3773)))</f>
        <v/>
      </c>
      <c r="F3774" s="11" t="str">
        <f aca="false">IF($A3774="","",IF(원본명단!$I3773="",0,COUNTIF(원본명단!$I$3:$I$6002,원본명단!$I3773)))</f>
        <v/>
      </c>
      <c r="G3774" s="11" t="str">
        <f aca="false">IF($A3774="","",IF(원본명단!$K3773="",0,COUNTIF(원본명단!$K$3:$K$6002,원본명단!$K3773)))</f>
        <v/>
      </c>
      <c r="H3774" s="11" t="str">
        <f aca="false">IF($A3774="","",IF(MAX($E3774,$F3774,$G3774)&gt;1,"중복","-"))</f>
        <v/>
      </c>
      <c r="I3774" s="11" t="str">
        <f aca="false">IF($A3774="","",IF($H3774="-","-",IF(AND(IF(원본명단!$H3773="",TRUE(),COUNTIF(원본명단!$H$3:$H3773,원본명단!$H3773)=1),IF(원본명단!$I3773="",TRUE(),COUNTIF(원본명단!$I$3:$I3773,원본명단!$I3773)=1),IF(원본명단!$K3773="",TRUE(),COUNTIF(원본명단!$K$3:$K3773,원본명단!$K3773)=1)),"첫 건","중복 건")))</f>
        <v/>
      </c>
      <c r="J3774" s="11" t="str">
        <f aca="false">IF($A3774="","",IF($H3774="-","유지",IF($I3774="첫 건","유지","확인 필요")))</f>
        <v/>
      </c>
    </row>
    <row r="3775" customFormat="false" ht="15" hidden="false" customHeight="true" outlineLevel="0" collapsed="false">
      <c r="A3775" s="11" t="str">
        <f aca="false">IF(원본명단!$A3774="","",3772)</f>
        <v/>
      </c>
      <c r="B3775" s="12" t="str">
        <f aca="false">IF($A3775="","",원본명단!$A3774)</f>
        <v/>
      </c>
      <c r="C3775" s="12" t="str">
        <f aca="false">IF($A3775="","",원본명단!$B3774)</f>
        <v/>
      </c>
      <c r="D3775" s="12" t="str">
        <f aca="false">IF($A3775="","",원본명단!$D3774)</f>
        <v/>
      </c>
      <c r="E3775" s="11" t="str">
        <f aca="false">IF($A3775="","",IF(원본명단!$H3774="",0,COUNTIF(원본명단!$H$3:$H$6002,원본명단!$H3774)))</f>
        <v/>
      </c>
      <c r="F3775" s="11" t="str">
        <f aca="false">IF($A3775="","",IF(원본명단!$I3774="",0,COUNTIF(원본명단!$I$3:$I$6002,원본명단!$I3774)))</f>
        <v/>
      </c>
      <c r="G3775" s="11" t="str">
        <f aca="false">IF($A3775="","",IF(원본명단!$K3774="",0,COUNTIF(원본명단!$K$3:$K$6002,원본명단!$K3774)))</f>
        <v/>
      </c>
      <c r="H3775" s="11" t="str">
        <f aca="false">IF($A3775="","",IF(MAX($E3775,$F3775,$G3775)&gt;1,"중복","-"))</f>
        <v/>
      </c>
      <c r="I3775" s="11" t="str">
        <f aca="false">IF($A3775="","",IF($H3775="-","-",IF(AND(IF(원본명단!$H3774="",TRUE(),COUNTIF(원본명단!$H$3:$H3774,원본명단!$H3774)=1),IF(원본명단!$I3774="",TRUE(),COUNTIF(원본명단!$I$3:$I3774,원본명단!$I3774)=1),IF(원본명단!$K3774="",TRUE(),COUNTIF(원본명단!$K$3:$K3774,원본명단!$K3774)=1)),"첫 건","중복 건")))</f>
        <v/>
      </c>
      <c r="J3775" s="11" t="str">
        <f aca="false">IF($A3775="","",IF($H3775="-","유지",IF($I3775="첫 건","유지","확인 필요")))</f>
        <v/>
      </c>
    </row>
    <row r="3776" customFormat="false" ht="15" hidden="false" customHeight="true" outlineLevel="0" collapsed="false">
      <c r="A3776" s="11" t="str">
        <f aca="false">IF(원본명단!$A3775="","",3773)</f>
        <v/>
      </c>
      <c r="B3776" s="12" t="str">
        <f aca="false">IF($A3776="","",원본명단!$A3775)</f>
        <v/>
      </c>
      <c r="C3776" s="12" t="str">
        <f aca="false">IF($A3776="","",원본명단!$B3775)</f>
        <v/>
      </c>
      <c r="D3776" s="12" t="str">
        <f aca="false">IF($A3776="","",원본명단!$D3775)</f>
        <v/>
      </c>
      <c r="E3776" s="11" t="str">
        <f aca="false">IF($A3776="","",IF(원본명단!$H3775="",0,COUNTIF(원본명단!$H$3:$H$6002,원본명단!$H3775)))</f>
        <v/>
      </c>
      <c r="F3776" s="11" t="str">
        <f aca="false">IF($A3776="","",IF(원본명단!$I3775="",0,COUNTIF(원본명단!$I$3:$I$6002,원본명단!$I3775)))</f>
        <v/>
      </c>
      <c r="G3776" s="11" t="str">
        <f aca="false">IF($A3776="","",IF(원본명단!$K3775="",0,COUNTIF(원본명단!$K$3:$K$6002,원본명단!$K3775)))</f>
        <v/>
      </c>
      <c r="H3776" s="11" t="str">
        <f aca="false">IF($A3776="","",IF(MAX($E3776,$F3776,$G3776)&gt;1,"중복","-"))</f>
        <v/>
      </c>
      <c r="I3776" s="11" t="str">
        <f aca="false">IF($A3776="","",IF($H3776="-","-",IF(AND(IF(원본명단!$H3775="",TRUE(),COUNTIF(원본명단!$H$3:$H3775,원본명단!$H3775)=1),IF(원본명단!$I3775="",TRUE(),COUNTIF(원본명단!$I$3:$I3775,원본명단!$I3775)=1),IF(원본명단!$K3775="",TRUE(),COUNTIF(원본명단!$K$3:$K3775,원본명단!$K3775)=1)),"첫 건","중복 건")))</f>
        <v/>
      </c>
      <c r="J3776" s="11" t="str">
        <f aca="false">IF($A3776="","",IF($H3776="-","유지",IF($I3776="첫 건","유지","확인 필요")))</f>
        <v/>
      </c>
    </row>
    <row r="3777" customFormat="false" ht="15" hidden="false" customHeight="true" outlineLevel="0" collapsed="false">
      <c r="A3777" s="11" t="str">
        <f aca="false">IF(원본명단!$A3776="","",3774)</f>
        <v/>
      </c>
      <c r="B3777" s="12" t="str">
        <f aca="false">IF($A3777="","",원본명단!$A3776)</f>
        <v/>
      </c>
      <c r="C3777" s="12" t="str">
        <f aca="false">IF($A3777="","",원본명단!$B3776)</f>
        <v/>
      </c>
      <c r="D3777" s="12" t="str">
        <f aca="false">IF($A3777="","",원본명단!$D3776)</f>
        <v/>
      </c>
      <c r="E3777" s="11" t="str">
        <f aca="false">IF($A3777="","",IF(원본명단!$H3776="",0,COUNTIF(원본명단!$H$3:$H$6002,원본명단!$H3776)))</f>
        <v/>
      </c>
      <c r="F3777" s="11" t="str">
        <f aca="false">IF($A3777="","",IF(원본명단!$I3776="",0,COUNTIF(원본명단!$I$3:$I$6002,원본명단!$I3776)))</f>
        <v/>
      </c>
      <c r="G3777" s="11" t="str">
        <f aca="false">IF($A3777="","",IF(원본명단!$K3776="",0,COUNTIF(원본명단!$K$3:$K$6002,원본명단!$K3776)))</f>
        <v/>
      </c>
      <c r="H3777" s="11" t="str">
        <f aca="false">IF($A3777="","",IF(MAX($E3777,$F3777,$G3777)&gt;1,"중복","-"))</f>
        <v/>
      </c>
      <c r="I3777" s="11" t="str">
        <f aca="false">IF($A3777="","",IF($H3777="-","-",IF(AND(IF(원본명단!$H3776="",TRUE(),COUNTIF(원본명단!$H$3:$H3776,원본명단!$H3776)=1),IF(원본명단!$I3776="",TRUE(),COUNTIF(원본명단!$I$3:$I3776,원본명단!$I3776)=1),IF(원본명단!$K3776="",TRUE(),COUNTIF(원본명단!$K$3:$K3776,원본명단!$K3776)=1)),"첫 건","중복 건")))</f>
        <v/>
      </c>
      <c r="J3777" s="11" t="str">
        <f aca="false">IF($A3777="","",IF($H3777="-","유지",IF($I3777="첫 건","유지","확인 필요")))</f>
        <v/>
      </c>
    </row>
    <row r="3778" customFormat="false" ht="15" hidden="false" customHeight="true" outlineLevel="0" collapsed="false">
      <c r="A3778" s="11" t="str">
        <f aca="false">IF(원본명단!$A3777="","",3775)</f>
        <v/>
      </c>
      <c r="B3778" s="12" t="str">
        <f aca="false">IF($A3778="","",원본명단!$A3777)</f>
        <v/>
      </c>
      <c r="C3778" s="12" t="str">
        <f aca="false">IF($A3778="","",원본명단!$B3777)</f>
        <v/>
      </c>
      <c r="D3778" s="12" t="str">
        <f aca="false">IF($A3778="","",원본명단!$D3777)</f>
        <v/>
      </c>
      <c r="E3778" s="11" t="str">
        <f aca="false">IF($A3778="","",IF(원본명단!$H3777="",0,COUNTIF(원본명단!$H$3:$H$6002,원본명단!$H3777)))</f>
        <v/>
      </c>
      <c r="F3778" s="11" t="str">
        <f aca="false">IF($A3778="","",IF(원본명단!$I3777="",0,COUNTIF(원본명단!$I$3:$I$6002,원본명단!$I3777)))</f>
        <v/>
      </c>
      <c r="G3778" s="11" t="str">
        <f aca="false">IF($A3778="","",IF(원본명단!$K3777="",0,COUNTIF(원본명단!$K$3:$K$6002,원본명단!$K3777)))</f>
        <v/>
      </c>
      <c r="H3778" s="11" t="str">
        <f aca="false">IF($A3778="","",IF(MAX($E3778,$F3778,$G3778)&gt;1,"중복","-"))</f>
        <v/>
      </c>
      <c r="I3778" s="11" t="str">
        <f aca="false">IF($A3778="","",IF($H3778="-","-",IF(AND(IF(원본명단!$H3777="",TRUE(),COUNTIF(원본명단!$H$3:$H3777,원본명단!$H3777)=1),IF(원본명단!$I3777="",TRUE(),COUNTIF(원본명단!$I$3:$I3777,원본명단!$I3777)=1),IF(원본명단!$K3777="",TRUE(),COUNTIF(원본명단!$K$3:$K3777,원본명단!$K3777)=1)),"첫 건","중복 건")))</f>
        <v/>
      </c>
      <c r="J3778" s="11" t="str">
        <f aca="false">IF($A3778="","",IF($H3778="-","유지",IF($I3778="첫 건","유지","확인 필요")))</f>
        <v/>
      </c>
    </row>
    <row r="3779" customFormat="false" ht="15" hidden="false" customHeight="true" outlineLevel="0" collapsed="false">
      <c r="A3779" s="11" t="str">
        <f aca="false">IF(원본명단!$A3778="","",3776)</f>
        <v/>
      </c>
      <c r="B3779" s="12" t="str">
        <f aca="false">IF($A3779="","",원본명단!$A3778)</f>
        <v/>
      </c>
      <c r="C3779" s="12" t="str">
        <f aca="false">IF($A3779="","",원본명단!$B3778)</f>
        <v/>
      </c>
      <c r="D3779" s="12" t="str">
        <f aca="false">IF($A3779="","",원본명단!$D3778)</f>
        <v/>
      </c>
      <c r="E3779" s="11" t="str">
        <f aca="false">IF($A3779="","",IF(원본명단!$H3778="",0,COUNTIF(원본명단!$H$3:$H$6002,원본명단!$H3778)))</f>
        <v/>
      </c>
      <c r="F3779" s="11" t="str">
        <f aca="false">IF($A3779="","",IF(원본명단!$I3778="",0,COUNTIF(원본명단!$I$3:$I$6002,원본명단!$I3778)))</f>
        <v/>
      </c>
      <c r="G3779" s="11" t="str">
        <f aca="false">IF($A3779="","",IF(원본명단!$K3778="",0,COUNTIF(원본명단!$K$3:$K$6002,원본명단!$K3778)))</f>
        <v/>
      </c>
      <c r="H3779" s="11" t="str">
        <f aca="false">IF($A3779="","",IF(MAX($E3779,$F3779,$G3779)&gt;1,"중복","-"))</f>
        <v/>
      </c>
      <c r="I3779" s="11" t="str">
        <f aca="false">IF($A3779="","",IF($H3779="-","-",IF(AND(IF(원본명단!$H3778="",TRUE(),COUNTIF(원본명단!$H$3:$H3778,원본명단!$H3778)=1),IF(원본명단!$I3778="",TRUE(),COUNTIF(원본명단!$I$3:$I3778,원본명단!$I3778)=1),IF(원본명단!$K3778="",TRUE(),COUNTIF(원본명단!$K$3:$K3778,원본명단!$K3778)=1)),"첫 건","중복 건")))</f>
        <v/>
      </c>
      <c r="J3779" s="11" t="str">
        <f aca="false">IF($A3779="","",IF($H3779="-","유지",IF($I3779="첫 건","유지","확인 필요")))</f>
        <v/>
      </c>
    </row>
    <row r="3780" customFormat="false" ht="15" hidden="false" customHeight="true" outlineLevel="0" collapsed="false">
      <c r="A3780" s="11" t="str">
        <f aca="false">IF(원본명단!$A3779="","",3777)</f>
        <v/>
      </c>
      <c r="B3780" s="12" t="str">
        <f aca="false">IF($A3780="","",원본명단!$A3779)</f>
        <v/>
      </c>
      <c r="C3780" s="12" t="str">
        <f aca="false">IF($A3780="","",원본명단!$B3779)</f>
        <v/>
      </c>
      <c r="D3780" s="12" t="str">
        <f aca="false">IF($A3780="","",원본명단!$D3779)</f>
        <v/>
      </c>
      <c r="E3780" s="11" t="str">
        <f aca="false">IF($A3780="","",IF(원본명단!$H3779="",0,COUNTIF(원본명단!$H$3:$H$6002,원본명단!$H3779)))</f>
        <v/>
      </c>
      <c r="F3780" s="11" t="str">
        <f aca="false">IF($A3780="","",IF(원본명단!$I3779="",0,COUNTIF(원본명단!$I$3:$I$6002,원본명단!$I3779)))</f>
        <v/>
      </c>
      <c r="G3780" s="11" t="str">
        <f aca="false">IF($A3780="","",IF(원본명단!$K3779="",0,COUNTIF(원본명단!$K$3:$K$6002,원본명단!$K3779)))</f>
        <v/>
      </c>
      <c r="H3780" s="11" t="str">
        <f aca="false">IF($A3780="","",IF(MAX($E3780,$F3780,$G3780)&gt;1,"중복","-"))</f>
        <v/>
      </c>
      <c r="I3780" s="11" t="str">
        <f aca="false">IF($A3780="","",IF($H3780="-","-",IF(AND(IF(원본명단!$H3779="",TRUE(),COUNTIF(원본명단!$H$3:$H3779,원본명단!$H3779)=1),IF(원본명단!$I3779="",TRUE(),COUNTIF(원본명단!$I$3:$I3779,원본명단!$I3779)=1),IF(원본명단!$K3779="",TRUE(),COUNTIF(원본명단!$K$3:$K3779,원본명단!$K3779)=1)),"첫 건","중복 건")))</f>
        <v/>
      </c>
      <c r="J3780" s="11" t="str">
        <f aca="false">IF($A3780="","",IF($H3780="-","유지",IF($I3780="첫 건","유지","확인 필요")))</f>
        <v/>
      </c>
    </row>
    <row r="3781" customFormat="false" ht="15" hidden="false" customHeight="true" outlineLevel="0" collapsed="false">
      <c r="A3781" s="11" t="str">
        <f aca="false">IF(원본명단!$A3780="","",3778)</f>
        <v/>
      </c>
      <c r="B3781" s="12" t="str">
        <f aca="false">IF($A3781="","",원본명단!$A3780)</f>
        <v/>
      </c>
      <c r="C3781" s="12" t="str">
        <f aca="false">IF($A3781="","",원본명단!$B3780)</f>
        <v/>
      </c>
      <c r="D3781" s="12" t="str">
        <f aca="false">IF($A3781="","",원본명단!$D3780)</f>
        <v/>
      </c>
      <c r="E3781" s="11" t="str">
        <f aca="false">IF($A3781="","",IF(원본명단!$H3780="",0,COUNTIF(원본명단!$H$3:$H$6002,원본명단!$H3780)))</f>
        <v/>
      </c>
      <c r="F3781" s="11" t="str">
        <f aca="false">IF($A3781="","",IF(원본명단!$I3780="",0,COUNTIF(원본명단!$I$3:$I$6002,원본명단!$I3780)))</f>
        <v/>
      </c>
      <c r="G3781" s="11" t="str">
        <f aca="false">IF($A3781="","",IF(원본명단!$K3780="",0,COUNTIF(원본명단!$K$3:$K$6002,원본명단!$K3780)))</f>
        <v/>
      </c>
      <c r="H3781" s="11" t="str">
        <f aca="false">IF($A3781="","",IF(MAX($E3781,$F3781,$G3781)&gt;1,"중복","-"))</f>
        <v/>
      </c>
      <c r="I3781" s="11" t="str">
        <f aca="false">IF($A3781="","",IF($H3781="-","-",IF(AND(IF(원본명단!$H3780="",TRUE(),COUNTIF(원본명단!$H$3:$H3780,원본명단!$H3780)=1),IF(원본명단!$I3780="",TRUE(),COUNTIF(원본명단!$I$3:$I3780,원본명단!$I3780)=1),IF(원본명단!$K3780="",TRUE(),COUNTIF(원본명단!$K$3:$K3780,원본명단!$K3780)=1)),"첫 건","중복 건")))</f>
        <v/>
      </c>
      <c r="J3781" s="11" t="str">
        <f aca="false">IF($A3781="","",IF($H3781="-","유지",IF($I3781="첫 건","유지","확인 필요")))</f>
        <v/>
      </c>
    </row>
    <row r="3782" customFormat="false" ht="15" hidden="false" customHeight="true" outlineLevel="0" collapsed="false">
      <c r="A3782" s="11" t="str">
        <f aca="false">IF(원본명단!$A3781="","",3779)</f>
        <v/>
      </c>
      <c r="B3782" s="12" t="str">
        <f aca="false">IF($A3782="","",원본명단!$A3781)</f>
        <v/>
      </c>
      <c r="C3782" s="12" t="str">
        <f aca="false">IF($A3782="","",원본명단!$B3781)</f>
        <v/>
      </c>
      <c r="D3782" s="12" t="str">
        <f aca="false">IF($A3782="","",원본명단!$D3781)</f>
        <v/>
      </c>
      <c r="E3782" s="11" t="str">
        <f aca="false">IF($A3782="","",IF(원본명단!$H3781="",0,COUNTIF(원본명단!$H$3:$H$6002,원본명단!$H3781)))</f>
        <v/>
      </c>
      <c r="F3782" s="11" t="str">
        <f aca="false">IF($A3782="","",IF(원본명단!$I3781="",0,COUNTIF(원본명단!$I$3:$I$6002,원본명단!$I3781)))</f>
        <v/>
      </c>
      <c r="G3782" s="11" t="str">
        <f aca="false">IF($A3782="","",IF(원본명단!$K3781="",0,COUNTIF(원본명단!$K$3:$K$6002,원본명단!$K3781)))</f>
        <v/>
      </c>
      <c r="H3782" s="11" t="str">
        <f aca="false">IF($A3782="","",IF(MAX($E3782,$F3782,$G3782)&gt;1,"중복","-"))</f>
        <v/>
      </c>
      <c r="I3782" s="11" t="str">
        <f aca="false">IF($A3782="","",IF($H3782="-","-",IF(AND(IF(원본명단!$H3781="",TRUE(),COUNTIF(원본명단!$H$3:$H3781,원본명단!$H3781)=1),IF(원본명단!$I3781="",TRUE(),COUNTIF(원본명단!$I$3:$I3781,원본명단!$I3781)=1),IF(원본명단!$K3781="",TRUE(),COUNTIF(원본명단!$K$3:$K3781,원본명단!$K3781)=1)),"첫 건","중복 건")))</f>
        <v/>
      </c>
      <c r="J3782" s="11" t="str">
        <f aca="false">IF($A3782="","",IF($H3782="-","유지",IF($I3782="첫 건","유지","확인 필요")))</f>
        <v/>
      </c>
    </row>
    <row r="3783" customFormat="false" ht="15" hidden="false" customHeight="true" outlineLevel="0" collapsed="false">
      <c r="A3783" s="11" t="str">
        <f aca="false">IF(원본명단!$A3782="","",3780)</f>
        <v/>
      </c>
      <c r="B3783" s="12" t="str">
        <f aca="false">IF($A3783="","",원본명단!$A3782)</f>
        <v/>
      </c>
      <c r="C3783" s="12" t="str">
        <f aca="false">IF($A3783="","",원본명단!$B3782)</f>
        <v/>
      </c>
      <c r="D3783" s="12" t="str">
        <f aca="false">IF($A3783="","",원본명단!$D3782)</f>
        <v/>
      </c>
      <c r="E3783" s="11" t="str">
        <f aca="false">IF($A3783="","",IF(원본명단!$H3782="",0,COUNTIF(원본명단!$H$3:$H$6002,원본명단!$H3782)))</f>
        <v/>
      </c>
      <c r="F3783" s="11" t="str">
        <f aca="false">IF($A3783="","",IF(원본명단!$I3782="",0,COUNTIF(원본명단!$I$3:$I$6002,원본명단!$I3782)))</f>
        <v/>
      </c>
      <c r="G3783" s="11" t="str">
        <f aca="false">IF($A3783="","",IF(원본명단!$K3782="",0,COUNTIF(원본명단!$K$3:$K$6002,원본명단!$K3782)))</f>
        <v/>
      </c>
      <c r="H3783" s="11" t="str">
        <f aca="false">IF($A3783="","",IF(MAX($E3783,$F3783,$G3783)&gt;1,"중복","-"))</f>
        <v/>
      </c>
      <c r="I3783" s="11" t="str">
        <f aca="false">IF($A3783="","",IF($H3783="-","-",IF(AND(IF(원본명단!$H3782="",TRUE(),COUNTIF(원본명단!$H$3:$H3782,원본명단!$H3782)=1),IF(원본명단!$I3782="",TRUE(),COUNTIF(원본명단!$I$3:$I3782,원본명단!$I3782)=1),IF(원본명단!$K3782="",TRUE(),COUNTIF(원본명단!$K$3:$K3782,원본명단!$K3782)=1)),"첫 건","중복 건")))</f>
        <v/>
      </c>
      <c r="J3783" s="11" t="str">
        <f aca="false">IF($A3783="","",IF($H3783="-","유지",IF($I3783="첫 건","유지","확인 필요")))</f>
        <v/>
      </c>
    </row>
    <row r="3784" customFormat="false" ht="15" hidden="false" customHeight="true" outlineLevel="0" collapsed="false">
      <c r="A3784" s="11" t="str">
        <f aca="false">IF(원본명단!$A3783="","",3781)</f>
        <v/>
      </c>
      <c r="B3784" s="12" t="str">
        <f aca="false">IF($A3784="","",원본명단!$A3783)</f>
        <v/>
      </c>
      <c r="C3784" s="12" t="str">
        <f aca="false">IF($A3784="","",원본명단!$B3783)</f>
        <v/>
      </c>
      <c r="D3784" s="12" t="str">
        <f aca="false">IF($A3784="","",원본명단!$D3783)</f>
        <v/>
      </c>
      <c r="E3784" s="11" t="str">
        <f aca="false">IF($A3784="","",IF(원본명단!$H3783="",0,COUNTIF(원본명단!$H$3:$H$6002,원본명단!$H3783)))</f>
        <v/>
      </c>
      <c r="F3784" s="11" t="str">
        <f aca="false">IF($A3784="","",IF(원본명단!$I3783="",0,COUNTIF(원본명단!$I$3:$I$6002,원본명단!$I3783)))</f>
        <v/>
      </c>
      <c r="G3784" s="11" t="str">
        <f aca="false">IF($A3784="","",IF(원본명단!$K3783="",0,COUNTIF(원본명단!$K$3:$K$6002,원본명단!$K3783)))</f>
        <v/>
      </c>
      <c r="H3784" s="11" t="str">
        <f aca="false">IF($A3784="","",IF(MAX($E3784,$F3784,$G3784)&gt;1,"중복","-"))</f>
        <v/>
      </c>
      <c r="I3784" s="11" t="str">
        <f aca="false">IF($A3784="","",IF($H3784="-","-",IF(AND(IF(원본명단!$H3783="",TRUE(),COUNTIF(원본명단!$H$3:$H3783,원본명단!$H3783)=1),IF(원본명단!$I3783="",TRUE(),COUNTIF(원본명단!$I$3:$I3783,원본명단!$I3783)=1),IF(원본명단!$K3783="",TRUE(),COUNTIF(원본명단!$K$3:$K3783,원본명단!$K3783)=1)),"첫 건","중복 건")))</f>
        <v/>
      </c>
      <c r="J3784" s="11" t="str">
        <f aca="false">IF($A3784="","",IF($H3784="-","유지",IF($I3784="첫 건","유지","확인 필요")))</f>
        <v/>
      </c>
    </row>
    <row r="3785" customFormat="false" ht="15" hidden="false" customHeight="true" outlineLevel="0" collapsed="false">
      <c r="A3785" s="11" t="str">
        <f aca="false">IF(원본명단!$A3784="","",3782)</f>
        <v/>
      </c>
      <c r="B3785" s="12" t="str">
        <f aca="false">IF($A3785="","",원본명단!$A3784)</f>
        <v/>
      </c>
      <c r="C3785" s="12" t="str">
        <f aca="false">IF($A3785="","",원본명단!$B3784)</f>
        <v/>
      </c>
      <c r="D3785" s="12" t="str">
        <f aca="false">IF($A3785="","",원본명단!$D3784)</f>
        <v/>
      </c>
      <c r="E3785" s="11" t="str">
        <f aca="false">IF($A3785="","",IF(원본명단!$H3784="",0,COUNTIF(원본명단!$H$3:$H$6002,원본명단!$H3784)))</f>
        <v/>
      </c>
      <c r="F3785" s="11" t="str">
        <f aca="false">IF($A3785="","",IF(원본명단!$I3784="",0,COUNTIF(원본명단!$I$3:$I$6002,원본명단!$I3784)))</f>
        <v/>
      </c>
      <c r="G3785" s="11" t="str">
        <f aca="false">IF($A3785="","",IF(원본명단!$K3784="",0,COUNTIF(원본명단!$K$3:$K$6002,원본명단!$K3784)))</f>
        <v/>
      </c>
      <c r="H3785" s="11" t="str">
        <f aca="false">IF($A3785="","",IF(MAX($E3785,$F3785,$G3785)&gt;1,"중복","-"))</f>
        <v/>
      </c>
      <c r="I3785" s="11" t="str">
        <f aca="false">IF($A3785="","",IF($H3785="-","-",IF(AND(IF(원본명단!$H3784="",TRUE(),COUNTIF(원본명단!$H$3:$H3784,원본명단!$H3784)=1),IF(원본명단!$I3784="",TRUE(),COUNTIF(원본명단!$I$3:$I3784,원본명단!$I3784)=1),IF(원본명단!$K3784="",TRUE(),COUNTIF(원본명단!$K$3:$K3784,원본명단!$K3784)=1)),"첫 건","중복 건")))</f>
        <v/>
      </c>
      <c r="J3785" s="11" t="str">
        <f aca="false">IF($A3785="","",IF($H3785="-","유지",IF($I3785="첫 건","유지","확인 필요")))</f>
        <v/>
      </c>
    </row>
    <row r="3786" customFormat="false" ht="15" hidden="false" customHeight="true" outlineLevel="0" collapsed="false">
      <c r="A3786" s="11" t="str">
        <f aca="false">IF(원본명단!$A3785="","",3783)</f>
        <v/>
      </c>
      <c r="B3786" s="12" t="str">
        <f aca="false">IF($A3786="","",원본명단!$A3785)</f>
        <v/>
      </c>
      <c r="C3786" s="12" t="str">
        <f aca="false">IF($A3786="","",원본명단!$B3785)</f>
        <v/>
      </c>
      <c r="D3786" s="12" t="str">
        <f aca="false">IF($A3786="","",원본명단!$D3785)</f>
        <v/>
      </c>
      <c r="E3786" s="11" t="str">
        <f aca="false">IF($A3786="","",IF(원본명단!$H3785="",0,COUNTIF(원본명단!$H$3:$H$6002,원본명단!$H3785)))</f>
        <v/>
      </c>
      <c r="F3786" s="11" t="str">
        <f aca="false">IF($A3786="","",IF(원본명단!$I3785="",0,COUNTIF(원본명단!$I$3:$I$6002,원본명단!$I3785)))</f>
        <v/>
      </c>
      <c r="G3786" s="11" t="str">
        <f aca="false">IF($A3786="","",IF(원본명단!$K3785="",0,COUNTIF(원본명단!$K$3:$K$6002,원본명단!$K3785)))</f>
        <v/>
      </c>
      <c r="H3786" s="11" t="str">
        <f aca="false">IF($A3786="","",IF(MAX($E3786,$F3786,$G3786)&gt;1,"중복","-"))</f>
        <v/>
      </c>
      <c r="I3786" s="11" t="str">
        <f aca="false">IF($A3786="","",IF($H3786="-","-",IF(AND(IF(원본명단!$H3785="",TRUE(),COUNTIF(원본명단!$H$3:$H3785,원본명단!$H3785)=1),IF(원본명단!$I3785="",TRUE(),COUNTIF(원본명단!$I$3:$I3785,원본명단!$I3785)=1),IF(원본명단!$K3785="",TRUE(),COUNTIF(원본명단!$K$3:$K3785,원본명단!$K3785)=1)),"첫 건","중복 건")))</f>
        <v/>
      </c>
      <c r="J3786" s="11" t="str">
        <f aca="false">IF($A3786="","",IF($H3786="-","유지",IF($I3786="첫 건","유지","확인 필요")))</f>
        <v/>
      </c>
    </row>
    <row r="3787" customFormat="false" ht="15" hidden="false" customHeight="true" outlineLevel="0" collapsed="false">
      <c r="A3787" s="11" t="str">
        <f aca="false">IF(원본명단!$A3786="","",3784)</f>
        <v/>
      </c>
      <c r="B3787" s="12" t="str">
        <f aca="false">IF($A3787="","",원본명단!$A3786)</f>
        <v/>
      </c>
      <c r="C3787" s="12" t="str">
        <f aca="false">IF($A3787="","",원본명단!$B3786)</f>
        <v/>
      </c>
      <c r="D3787" s="12" t="str">
        <f aca="false">IF($A3787="","",원본명단!$D3786)</f>
        <v/>
      </c>
      <c r="E3787" s="11" t="str">
        <f aca="false">IF($A3787="","",IF(원본명단!$H3786="",0,COUNTIF(원본명단!$H$3:$H$6002,원본명단!$H3786)))</f>
        <v/>
      </c>
      <c r="F3787" s="11" t="str">
        <f aca="false">IF($A3787="","",IF(원본명단!$I3786="",0,COUNTIF(원본명단!$I$3:$I$6002,원본명단!$I3786)))</f>
        <v/>
      </c>
      <c r="G3787" s="11" t="str">
        <f aca="false">IF($A3787="","",IF(원본명단!$K3786="",0,COUNTIF(원본명단!$K$3:$K$6002,원본명단!$K3786)))</f>
        <v/>
      </c>
      <c r="H3787" s="11" t="str">
        <f aca="false">IF($A3787="","",IF(MAX($E3787,$F3787,$G3787)&gt;1,"중복","-"))</f>
        <v/>
      </c>
      <c r="I3787" s="11" t="str">
        <f aca="false">IF($A3787="","",IF($H3787="-","-",IF(AND(IF(원본명단!$H3786="",TRUE(),COUNTIF(원본명단!$H$3:$H3786,원본명단!$H3786)=1),IF(원본명단!$I3786="",TRUE(),COUNTIF(원본명단!$I$3:$I3786,원본명단!$I3786)=1),IF(원본명단!$K3786="",TRUE(),COUNTIF(원본명단!$K$3:$K3786,원본명단!$K3786)=1)),"첫 건","중복 건")))</f>
        <v/>
      </c>
      <c r="J3787" s="11" t="str">
        <f aca="false">IF($A3787="","",IF($H3787="-","유지",IF($I3787="첫 건","유지","확인 필요")))</f>
        <v/>
      </c>
    </row>
    <row r="3788" customFormat="false" ht="15" hidden="false" customHeight="true" outlineLevel="0" collapsed="false">
      <c r="A3788" s="11" t="str">
        <f aca="false">IF(원본명단!$A3787="","",3785)</f>
        <v/>
      </c>
      <c r="B3788" s="12" t="str">
        <f aca="false">IF($A3788="","",원본명단!$A3787)</f>
        <v/>
      </c>
      <c r="C3788" s="12" t="str">
        <f aca="false">IF($A3788="","",원본명단!$B3787)</f>
        <v/>
      </c>
      <c r="D3788" s="12" t="str">
        <f aca="false">IF($A3788="","",원본명단!$D3787)</f>
        <v/>
      </c>
      <c r="E3788" s="11" t="str">
        <f aca="false">IF($A3788="","",IF(원본명단!$H3787="",0,COUNTIF(원본명단!$H$3:$H$6002,원본명단!$H3787)))</f>
        <v/>
      </c>
      <c r="F3788" s="11" t="str">
        <f aca="false">IF($A3788="","",IF(원본명단!$I3787="",0,COUNTIF(원본명단!$I$3:$I$6002,원본명단!$I3787)))</f>
        <v/>
      </c>
      <c r="G3788" s="11" t="str">
        <f aca="false">IF($A3788="","",IF(원본명단!$K3787="",0,COUNTIF(원본명단!$K$3:$K$6002,원본명단!$K3787)))</f>
        <v/>
      </c>
      <c r="H3788" s="11" t="str">
        <f aca="false">IF($A3788="","",IF(MAX($E3788,$F3788,$G3788)&gt;1,"중복","-"))</f>
        <v/>
      </c>
      <c r="I3788" s="11" t="str">
        <f aca="false">IF($A3788="","",IF($H3788="-","-",IF(AND(IF(원본명단!$H3787="",TRUE(),COUNTIF(원본명단!$H$3:$H3787,원본명단!$H3787)=1),IF(원본명단!$I3787="",TRUE(),COUNTIF(원본명단!$I$3:$I3787,원본명단!$I3787)=1),IF(원본명단!$K3787="",TRUE(),COUNTIF(원본명단!$K$3:$K3787,원본명단!$K3787)=1)),"첫 건","중복 건")))</f>
        <v/>
      </c>
      <c r="J3788" s="11" t="str">
        <f aca="false">IF($A3788="","",IF($H3788="-","유지",IF($I3788="첫 건","유지","확인 필요")))</f>
        <v/>
      </c>
    </row>
    <row r="3789" customFormat="false" ht="15" hidden="false" customHeight="true" outlineLevel="0" collapsed="false">
      <c r="A3789" s="11" t="str">
        <f aca="false">IF(원본명단!$A3788="","",3786)</f>
        <v/>
      </c>
      <c r="B3789" s="12" t="str">
        <f aca="false">IF($A3789="","",원본명단!$A3788)</f>
        <v/>
      </c>
      <c r="C3789" s="12" t="str">
        <f aca="false">IF($A3789="","",원본명단!$B3788)</f>
        <v/>
      </c>
      <c r="D3789" s="12" t="str">
        <f aca="false">IF($A3789="","",원본명단!$D3788)</f>
        <v/>
      </c>
      <c r="E3789" s="11" t="str">
        <f aca="false">IF($A3789="","",IF(원본명단!$H3788="",0,COUNTIF(원본명단!$H$3:$H$6002,원본명단!$H3788)))</f>
        <v/>
      </c>
      <c r="F3789" s="11" t="str">
        <f aca="false">IF($A3789="","",IF(원본명단!$I3788="",0,COUNTIF(원본명단!$I$3:$I$6002,원본명단!$I3788)))</f>
        <v/>
      </c>
      <c r="G3789" s="11" t="str">
        <f aca="false">IF($A3789="","",IF(원본명단!$K3788="",0,COUNTIF(원본명단!$K$3:$K$6002,원본명단!$K3788)))</f>
        <v/>
      </c>
      <c r="H3789" s="11" t="str">
        <f aca="false">IF($A3789="","",IF(MAX($E3789,$F3789,$G3789)&gt;1,"중복","-"))</f>
        <v/>
      </c>
      <c r="I3789" s="11" t="str">
        <f aca="false">IF($A3789="","",IF($H3789="-","-",IF(AND(IF(원본명단!$H3788="",TRUE(),COUNTIF(원본명단!$H$3:$H3788,원본명단!$H3788)=1),IF(원본명단!$I3788="",TRUE(),COUNTIF(원본명단!$I$3:$I3788,원본명단!$I3788)=1),IF(원본명단!$K3788="",TRUE(),COUNTIF(원본명단!$K$3:$K3788,원본명단!$K3788)=1)),"첫 건","중복 건")))</f>
        <v/>
      </c>
      <c r="J3789" s="11" t="str">
        <f aca="false">IF($A3789="","",IF($H3789="-","유지",IF($I3789="첫 건","유지","확인 필요")))</f>
        <v/>
      </c>
    </row>
    <row r="3790" customFormat="false" ht="15" hidden="false" customHeight="true" outlineLevel="0" collapsed="false">
      <c r="A3790" s="11" t="str">
        <f aca="false">IF(원본명단!$A3789="","",3787)</f>
        <v/>
      </c>
      <c r="B3790" s="12" t="str">
        <f aca="false">IF($A3790="","",원본명단!$A3789)</f>
        <v/>
      </c>
      <c r="C3790" s="12" t="str">
        <f aca="false">IF($A3790="","",원본명단!$B3789)</f>
        <v/>
      </c>
      <c r="D3790" s="12" t="str">
        <f aca="false">IF($A3790="","",원본명단!$D3789)</f>
        <v/>
      </c>
      <c r="E3790" s="11" t="str">
        <f aca="false">IF($A3790="","",IF(원본명단!$H3789="",0,COUNTIF(원본명단!$H$3:$H$6002,원본명단!$H3789)))</f>
        <v/>
      </c>
      <c r="F3790" s="11" t="str">
        <f aca="false">IF($A3790="","",IF(원본명단!$I3789="",0,COUNTIF(원본명단!$I$3:$I$6002,원본명단!$I3789)))</f>
        <v/>
      </c>
      <c r="G3790" s="11" t="str">
        <f aca="false">IF($A3790="","",IF(원본명단!$K3789="",0,COUNTIF(원본명단!$K$3:$K$6002,원본명단!$K3789)))</f>
        <v/>
      </c>
      <c r="H3790" s="11" t="str">
        <f aca="false">IF($A3790="","",IF(MAX($E3790,$F3790,$G3790)&gt;1,"중복","-"))</f>
        <v/>
      </c>
      <c r="I3790" s="11" t="str">
        <f aca="false">IF($A3790="","",IF($H3790="-","-",IF(AND(IF(원본명단!$H3789="",TRUE(),COUNTIF(원본명단!$H$3:$H3789,원본명단!$H3789)=1),IF(원본명단!$I3789="",TRUE(),COUNTIF(원본명단!$I$3:$I3789,원본명단!$I3789)=1),IF(원본명단!$K3789="",TRUE(),COUNTIF(원본명단!$K$3:$K3789,원본명단!$K3789)=1)),"첫 건","중복 건")))</f>
        <v/>
      </c>
      <c r="J3790" s="11" t="str">
        <f aca="false">IF($A3790="","",IF($H3790="-","유지",IF($I3790="첫 건","유지","확인 필요")))</f>
        <v/>
      </c>
    </row>
    <row r="3791" customFormat="false" ht="15" hidden="false" customHeight="true" outlineLevel="0" collapsed="false">
      <c r="A3791" s="11" t="str">
        <f aca="false">IF(원본명단!$A3790="","",3788)</f>
        <v/>
      </c>
      <c r="B3791" s="12" t="str">
        <f aca="false">IF($A3791="","",원본명단!$A3790)</f>
        <v/>
      </c>
      <c r="C3791" s="12" t="str">
        <f aca="false">IF($A3791="","",원본명단!$B3790)</f>
        <v/>
      </c>
      <c r="D3791" s="12" t="str">
        <f aca="false">IF($A3791="","",원본명단!$D3790)</f>
        <v/>
      </c>
      <c r="E3791" s="11" t="str">
        <f aca="false">IF($A3791="","",IF(원본명단!$H3790="",0,COUNTIF(원본명단!$H$3:$H$6002,원본명단!$H3790)))</f>
        <v/>
      </c>
      <c r="F3791" s="11" t="str">
        <f aca="false">IF($A3791="","",IF(원본명단!$I3790="",0,COUNTIF(원본명단!$I$3:$I$6002,원본명단!$I3790)))</f>
        <v/>
      </c>
      <c r="G3791" s="11" t="str">
        <f aca="false">IF($A3791="","",IF(원본명단!$K3790="",0,COUNTIF(원본명단!$K$3:$K$6002,원본명단!$K3790)))</f>
        <v/>
      </c>
      <c r="H3791" s="11" t="str">
        <f aca="false">IF($A3791="","",IF(MAX($E3791,$F3791,$G3791)&gt;1,"중복","-"))</f>
        <v/>
      </c>
      <c r="I3791" s="11" t="str">
        <f aca="false">IF($A3791="","",IF($H3791="-","-",IF(AND(IF(원본명단!$H3790="",TRUE(),COUNTIF(원본명단!$H$3:$H3790,원본명단!$H3790)=1),IF(원본명단!$I3790="",TRUE(),COUNTIF(원본명단!$I$3:$I3790,원본명단!$I3790)=1),IF(원본명단!$K3790="",TRUE(),COUNTIF(원본명단!$K$3:$K3790,원본명단!$K3790)=1)),"첫 건","중복 건")))</f>
        <v/>
      </c>
      <c r="J3791" s="11" t="str">
        <f aca="false">IF($A3791="","",IF($H3791="-","유지",IF($I3791="첫 건","유지","확인 필요")))</f>
        <v/>
      </c>
    </row>
    <row r="3792" customFormat="false" ht="15" hidden="false" customHeight="true" outlineLevel="0" collapsed="false">
      <c r="A3792" s="11" t="str">
        <f aca="false">IF(원본명단!$A3791="","",3789)</f>
        <v/>
      </c>
      <c r="B3792" s="12" t="str">
        <f aca="false">IF($A3792="","",원본명단!$A3791)</f>
        <v/>
      </c>
      <c r="C3792" s="12" t="str">
        <f aca="false">IF($A3792="","",원본명단!$B3791)</f>
        <v/>
      </c>
      <c r="D3792" s="12" t="str">
        <f aca="false">IF($A3792="","",원본명단!$D3791)</f>
        <v/>
      </c>
      <c r="E3792" s="11" t="str">
        <f aca="false">IF($A3792="","",IF(원본명단!$H3791="",0,COUNTIF(원본명단!$H$3:$H$6002,원본명단!$H3791)))</f>
        <v/>
      </c>
      <c r="F3792" s="11" t="str">
        <f aca="false">IF($A3792="","",IF(원본명단!$I3791="",0,COUNTIF(원본명단!$I$3:$I$6002,원본명단!$I3791)))</f>
        <v/>
      </c>
      <c r="G3792" s="11" t="str">
        <f aca="false">IF($A3792="","",IF(원본명단!$K3791="",0,COUNTIF(원본명단!$K$3:$K$6002,원본명단!$K3791)))</f>
        <v/>
      </c>
      <c r="H3792" s="11" t="str">
        <f aca="false">IF($A3792="","",IF(MAX($E3792,$F3792,$G3792)&gt;1,"중복","-"))</f>
        <v/>
      </c>
      <c r="I3792" s="11" t="str">
        <f aca="false">IF($A3792="","",IF($H3792="-","-",IF(AND(IF(원본명단!$H3791="",TRUE(),COUNTIF(원본명단!$H$3:$H3791,원본명단!$H3791)=1),IF(원본명단!$I3791="",TRUE(),COUNTIF(원본명단!$I$3:$I3791,원본명단!$I3791)=1),IF(원본명단!$K3791="",TRUE(),COUNTIF(원본명단!$K$3:$K3791,원본명단!$K3791)=1)),"첫 건","중복 건")))</f>
        <v/>
      </c>
      <c r="J3792" s="11" t="str">
        <f aca="false">IF($A3792="","",IF($H3792="-","유지",IF($I3792="첫 건","유지","확인 필요")))</f>
        <v/>
      </c>
    </row>
    <row r="3793" customFormat="false" ht="15" hidden="false" customHeight="true" outlineLevel="0" collapsed="false">
      <c r="A3793" s="11" t="str">
        <f aca="false">IF(원본명단!$A3792="","",3790)</f>
        <v/>
      </c>
      <c r="B3793" s="12" t="str">
        <f aca="false">IF($A3793="","",원본명단!$A3792)</f>
        <v/>
      </c>
      <c r="C3793" s="12" t="str">
        <f aca="false">IF($A3793="","",원본명단!$B3792)</f>
        <v/>
      </c>
      <c r="D3793" s="12" t="str">
        <f aca="false">IF($A3793="","",원본명단!$D3792)</f>
        <v/>
      </c>
      <c r="E3793" s="11" t="str">
        <f aca="false">IF($A3793="","",IF(원본명단!$H3792="",0,COUNTIF(원본명단!$H$3:$H$6002,원본명단!$H3792)))</f>
        <v/>
      </c>
      <c r="F3793" s="11" t="str">
        <f aca="false">IF($A3793="","",IF(원본명단!$I3792="",0,COUNTIF(원본명단!$I$3:$I$6002,원본명단!$I3792)))</f>
        <v/>
      </c>
      <c r="G3793" s="11" t="str">
        <f aca="false">IF($A3793="","",IF(원본명단!$K3792="",0,COUNTIF(원본명단!$K$3:$K$6002,원본명단!$K3792)))</f>
        <v/>
      </c>
      <c r="H3793" s="11" t="str">
        <f aca="false">IF($A3793="","",IF(MAX($E3793,$F3793,$G3793)&gt;1,"중복","-"))</f>
        <v/>
      </c>
      <c r="I3793" s="11" t="str">
        <f aca="false">IF($A3793="","",IF($H3793="-","-",IF(AND(IF(원본명단!$H3792="",TRUE(),COUNTIF(원본명단!$H$3:$H3792,원본명단!$H3792)=1),IF(원본명단!$I3792="",TRUE(),COUNTIF(원본명단!$I$3:$I3792,원본명단!$I3792)=1),IF(원본명단!$K3792="",TRUE(),COUNTIF(원본명단!$K$3:$K3792,원본명단!$K3792)=1)),"첫 건","중복 건")))</f>
        <v/>
      </c>
      <c r="J3793" s="11" t="str">
        <f aca="false">IF($A3793="","",IF($H3793="-","유지",IF($I3793="첫 건","유지","확인 필요")))</f>
        <v/>
      </c>
    </row>
    <row r="3794" customFormat="false" ht="15" hidden="false" customHeight="true" outlineLevel="0" collapsed="false">
      <c r="A3794" s="11" t="str">
        <f aca="false">IF(원본명단!$A3793="","",3791)</f>
        <v/>
      </c>
      <c r="B3794" s="12" t="str">
        <f aca="false">IF($A3794="","",원본명단!$A3793)</f>
        <v/>
      </c>
      <c r="C3794" s="12" t="str">
        <f aca="false">IF($A3794="","",원본명단!$B3793)</f>
        <v/>
      </c>
      <c r="D3794" s="12" t="str">
        <f aca="false">IF($A3794="","",원본명단!$D3793)</f>
        <v/>
      </c>
      <c r="E3794" s="11" t="str">
        <f aca="false">IF($A3794="","",IF(원본명단!$H3793="",0,COUNTIF(원본명단!$H$3:$H$6002,원본명단!$H3793)))</f>
        <v/>
      </c>
      <c r="F3794" s="11" t="str">
        <f aca="false">IF($A3794="","",IF(원본명단!$I3793="",0,COUNTIF(원본명단!$I$3:$I$6002,원본명단!$I3793)))</f>
        <v/>
      </c>
      <c r="G3794" s="11" t="str">
        <f aca="false">IF($A3794="","",IF(원본명단!$K3793="",0,COUNTIF(원본명단!$K$3:$K$6002,원본명단!$K3793)))</f>
        <v/>
      </c>
      <c r="H3794" s="11" t="str">
        <f aca="false">IF($A3794="","",IF(MAX($E3794,$F3794,$G3794)&gt;1,"중복","-"))</f>
        <v/>
      </c>
      <c r="I3794" s="11" t="str">
        <f aca="false">IF($A3794="","",IF($H3794="-","-",IF(AND(IF(원본명단!$H3793="",TRUE(),COUNTIF(원본명단!$H$3:$H3793,원본명단!$H3793)=1),IF(원본명단!$I3793="",TRUE(),COUNTIF(원본명단!$I$3:$I3793,원본명단!$I3793)=1),IF(원본명단!$K3793="",TRUE(),COUNTIF(원본명단!$K$3:$K3793,원본명단!$K3793)=1)),"첫 건","중복 건")))</f>
        <v/>
      </c>
      <c r="J3794" s="11" t="str">
        <f aca="false">IF($A3794="","",IF($H3794="-","유지",IF($I3794="첫 건","유지","확인 필요")))</f>
        <v/>
      </c>
    </row>
    <row r="3795" customFormat="false" ht="15" hidden="false" customHeight="true" outlineLevel="0" collapsed="false">
      <c r="A3795" s="11" t="str">
        <f aca="false">IF(원본명단!$A3794="","",3792)</f>
        <v/>
      </c>
      <c r="B3795" s="12" t="str">
        <f aca="false">IF($A3795="","",원본명단!$A3794)</f>
        <v/>
      </c>
      <c r="C3795" s="12" t="str">
        <f aca="false">IF($A3795="","",원본명단!$B3794)</f>
        <v/>
      </c>
      <c r="D3795" s="12" t="str">
        <f aca="false">IF($A3795="","",원본명단!$D3794)</f>
        <v/>
      </c>
      <c r="E3795" s="11" t="str">
        <f aca="false">IF($A3795="","",IF(원본명단!$H3794="",0,COUNTIF(원본명단!$H$3:$H$6002,원본명단!$H3794)))</f>
        <v/>
      </c>
      <c r="F3795" s="11" t="str">
        <f aca="false">IF($A3795="","",IF(원본명단!$I3794="",0,COUNTIF(원본명단!$I$3:$I$6002,원본명단!$I3794)))</f>
        <v/>
      </c>
      <c r="G3795" s="11" t="str">
        <f aca="false">IF($A3795="","",IF(원본명단!$K3794="",0,COUNTIF(원본명단!$K$3:$K$6002,원본명단!$K3794)))</f>
        <v/>
      </c>
      <c r="H3795" s="11" t="str">
        <f aca="false">IF($A3795="","",IF(MAX($E3795,$F3795,$G3795)&gt;1,"중복","-"))</f>
        <v/>
      </c>
      <c r="I3795" s="11" t="str">
        <f aca="false">IF($A3795="","",IF($H3795="-","-",IF(AND(IF(원본명단!$H3794="",TRUE(),COUNTIF(원본명단!$H$3:$H3794,원본명단!$H3794)=1),IF(원본명단!$I3794="",TRUE(),COUNTIF(원본명단!$I$3:$I3794,원본명단!$I3794)=1),IF(원본명단!$K3794="",TRUE(),COUNTIF(원본명단!$K$3:$K3794,원본명단!$K3794)=1)),"첫 건","중복 건")))</f>
        <v/>
      </c>
      <c r="J3795" s="11" t="str">
        <f aca="false">IF($A3795="","",IF($H3795="-","유지",IF($I3795="첫 건","유지","확인 필요")))</f>
        <v/>
      </c>
    </row>
    <row r="3796" customFormat="false" ht="15" hidden="false" customHeight="true" outlineLevel="0" collapsed="false">
      <c r="A3796" s="11" t="str">
        <f aca="false">IF(원본명단!$A3795="","",3793)</f>
        <v/>
      </c>
      <c r="B3796" s="12" t="str">
        <f aca="false">IF($A3796="","",원본명단!$A3795)</f>
        <v/>
      </c>
      <c r="C3796" s="12" t="str">
        <f aca="false">IF($A3796="","",원본명단!$B3795)</f>
        <v/>
      </c>
      <c r="D3796" s="12" t="str">
        <f aca="false">IF($A3796="","",원본명단!$D3795)</f>
        <v/>
      </c>
      <c r="E3796" s="11" t="str">
        <f aca="false">IF($A3796="","",IF(원본명단!$H3795="",0,COUNTIF(원본명단!$H$3:$H$6002,원본명단!$H3795)))</f>
        <v/>
      </c>
      <c r="F3796" s="11" t="str">
        <f aca="false">IF($A3796="","",IF(원본명단!$I3795="",0,COUNTIF(원본명단!$I$3:$I$6002,원본명단!$I3795)))</f>
        <v/>
      </c>
      <c r="G3796" s="11" t="str">
        <f aca="false">IF($A3796="","",IF(원본명단!$K3795="",0,COUNTIF(원본명단!$K$3:$K$6002,원본명단!$K3795)))</f>
        <v/>
      </c>
      <c r="H3796" s="11" t="str">
        <f aca="false">IF($A3796="","",IF(MAX($E3796,$F3796,$G3796)&gt;1,"중복","-"))</f>
        <v/>
      </c>
      <c r="I3796" s="11" t="str">
        <f aca="false">IF($A3796="","",IF($H3796="-","-",IF(AND(IF(원본명단!$H3795="",TRUE(),COUNTIF(원본명단!$H$3:$H3795,원본명단!$H3795)=1),IF(원본명단!$I3795="",TRUE(),COUNTIF(원본명단!$I$3:$I3795,원본명단!$I3795)=1),IF(원본명단!$K3795="",TRUE(),COUNTIF(원본명단!$K$3:$K3795,원본명단!$K3795)=1)),"첫 건","중복 건")))</f>
        <v/>
      </c>
      <c r="J3796" s="11" t="str">
        <f aca="false">IF($A3796="","",IF($H3796="-","유지",IF($I3796="첫 건","유지","확인 필요")))</f>
        <v/>
      </c>
    </row>
    <row r="3797" customFormat="false" ht="15" hidden="false" customHeight="true" outlineLevel="0" collapsed="false">
      <c r="A3797" s="11" t="str">
        <f aca="false">IF(원본명단!$A3796="","",3794)</f>
        <v/>
      </c>
      <c r="B3797" s="12" t="str">
        <f aca="false">IF($A3797="","",원본명단!$A3796)</f>
        <v/>
      </c>
      <c r="C3797" s="12" t="str">
        <f aca="false">IF($A3797="","",원본명단!$B3796)</f>
        <v/>
      </c>
      <c r="D3797" s="12" t="str">
        <f aca="false">IF($A3797="","",원본명단!$D3796)</f>
        <v/>
      </c>
      <c r="E3797" s="11" t="str">
        <f aca="false">IF($A3797="","",IF(원본명단!$H3796="",0,COUNTIF(원본명단!$H$3:$H$6002,원본명단!$H3796)))</f>
        <v/>
      </c>
      <c r="F3797" s="11" t="str">
        <f aca="false">IF($A3797="","",IF(원본명단!$I3796="",0,COUNTIF(원본명단!$I$3:$I$6002,원본명단!$I3796)))</f>
        <v/>
      </c>
      <c r="G3797" s="11" t="str">
        <f aca="false">IF($A3797="","",IF(원본명단!$K3796="",0,COUNTIF(원본명단!$K$3:$K$6002,원본명단!$K3796)))</f>
        <v/>
      </c>
      <c r="H3797" s="11" t="str">
        <f aca="false">IF($A3797="","",IF(MAX($E3797,$F3797,$G3797)&gt;1,"중복","-"))</f>
        <v/>
      </c>
      <c r="I3797" s="11" t="str">
        <f aca="false">IF($A3797="","",IF($H3797="-","-",IF(AND(IF(원본명단!$H3796="",TRUE(),COUNTIF(원본명단!$H$3:$H3796,원본명단!$H3796)=1),IF(원본명단!$I3796="",TRUE(),COUNTIF(원본명단!$I$3:$I3796,원본명단!$I3796)=1),IF(원본명단!$K3796="",TRUE(),COUNTIF(원본명단!$K$3:$K3796,원본명단!$K3796)=1)),"첫 건","중복 건")))</f>
        <v/>
      </c>
      <c r="J3797" s="11" t="str">
        <f aca="false">IF($A3797="","",IF($H3797="-","유지",IF($I3797="첫 건","유지","확인 필요")))</f>
        <v/>
      </c>
    </row>
    <row r="3798" customFormat="false" ht="15" hidden="false" customHeight="true" outlineLevel="0" collapsed="false">
      <c r="A3798" s="11" t="str">
        <f aca="false">IF(원본명단!$A3797="","",3795)</f>
        <v/>
      </c>
      <c r="B3798" s="12" t="str">
        <f aca="false">IF($A3798="","",원본명단!$A3797)</f>
        <v/>
      </c>
      <c r="C3798" s="12" t="str">
        <f aca="false">IF($A3798="","",원본명단!$B3797)</f>
        <v/>
      </c>
      <c r="D3798" s="12" t="str">
        <f aca="false">IF($A3798="","",원본명단!$D3797)</f>
        <v/>
      </c>
      <c r="E3798" s="11" t="str">
        <f aca="false">IF($A3798="","",IF(원본명단!$H3797="",0,COUNTIF(원본명단!$H$3:$H$6002,원본명단!$H3797)))</f>
        <v/>
      </c>
      <c r="F3798" s="11" t="str">
        <f aca="false">IF($A3798="","",IF(원본명단!$I3797="",0,COUNTIF(원본명단!$I$3:$I$6002,원본명단!$I3797)))</f>
        <v/>
      </c>
      <c r="G3798" s="11" t="str">
        <f aca="false">IF($A3798="","",IF(원본명단!$K3797="",0,COUNTIF(원본명단!$K$3:$K$6002,원본명단!$K3797)))</f>
        <v/>
      </c>
      <c r="H3798" s="11" t="str">
        <f aca="false">IF($A3798="","",IF(MAX($E3798,$F3798,$G3798)&gt;1,"중복","-"))</f>
        <v/>
      </c>
      <c r="I3798" s="11" t="str">
        <f aca="false">IF($A3798="","",IF($H3798="-","-",IF(AND(IF(원본명단!$H3797="",TRUE(),COUNTIF(원본명단!$H$3:$H3797,원본명단!$H3797)=1),IF(원본명단!$I3797="",TRUE(),COUNTIF(원본명단!$I$3:$I3797,원본명단!$I3797)=1),IF(원본명단!$K3797="",TRUE(),COUNTIF(원본명단!$K$3:$K3797,원본명단!$K3797)=1)),"첫 건","중복 건")))</f>
        <v/>
      </c>
      <c r="J3798" s="11" t="str">
        <f aca="false">IF($A3798="","",IF($H3798="-","유지",IF($I3798="첫 건","유지","확인 필요")))</f>
        <v/>
      </c>
    </row>
    <row r="3799" customFormat="false" ht="15" hidden="false" customHeight="true" outlineLevel="0" collapsed="false">
      <c r="A3799" s="11" t="str">
        <f aca="false">IF(원본명단!$A3798="","",3796)</f>
        <v/>
      </c>
      <c r="B3799" s="12" t="str">
        <f aca="false">IF($A3799="","",원본명단!$A3798)</f>
        <v/>
      </c>
      <c r="C3799" s="12" t="str">
        <f aca="false">IF($A3799="","",원본명단!$B3798)</f>
        <v/>
      </c>
      <c r="D3799" s="12" t="str">
        <f aca="false">IF($A3799="","",원본명단!$D3798)</f>
        <v/>
      </c>
      <c r="E3799" s="11" t="str">
        <f aca="false">IF($A3799="","",IF(원본명단!$H3798="",0,COUNTIF(원본명단!$H$3:$H$6002,원본명단!$H3798)))</f>
        <v/>
      </c>
      <c r="F3799" s="11" t="str">
        <f aca="false">IF($A3799="","",IF(원본명단!$I3798="",0,COUNTIF(원본명단!$I$3:$I$6002,원본명단!$I3798)))</f>
        <v/>
      </c>
      <c r="G3799" s="11" t="str">
        <f aca="false">IF($A3799="","",IF(원본명단!$K3798="",0,COUNTIF(원본명단!$K$3:$K$6002,원본명단!$K3798)))</f>
        <v/>
      </c>
      <c r="H3799" s="11" t="str">
        <f aca="false">IF($A3799="","",IF(MAX($E3799,$F3799,$G3799)&gt;1,"중복","-"))</f>
        <v/>
      </c>
      <c r="I3799" s="11" t="str">
        <f aca="false">IF($A3799="","",IF($H3799="-","-",IF(AND(IF(원본명단!$H3798="",TRUE(),COUNTIF(원본명단!$H$3:$H3798,원본명단!$H3798)=1),IF(원본명단!$I3798="",TRUE(),COUNTIF(원본명단!$I$3:$I3798,원본명단!$I3798)=1),IF(원본명단!$K3798="",TRUE(),COUNTIF(원본명단!$K$3:$K3798,원본명단!$K3798)=1)),"첫 건","중복 건")))</f>
        <v/>
      </c>
      <c r="J3799" s="11" t="str">
        <f aca="false">IF($A3799="","",IF($H3799="-","유지",IF($I3799="첫 건","유지","확인 필요")))</f>
        <v/>
      </c>
    </row>
    <row r="3800" customFormat="false" ht="15" hidden="false" customHeight="true" outlineLevel="0" collapsed="false">
      <c r="A3800" s="11" t="str">
        <f aca="false">IF(원본명단!$A3799="","",3797)</f>
        <v/>
      </c>
      <c r="B3800" s="12" t="str">
        <f aca="false">IF($A3800="","",원본명단!$A3799)</f>
        <v/>
      </c>
      <c r="C3800" s="12" t="str">
        <f aca="false">IF($A3800="","",원본명단!$B3799)</f>
        <v/>
      </c>
      <c r="D3800" s="12" t="str">
        <f aca="false">IF($A3800="","",원본명단!$D3799)</f>
        <v/>
      </c>
      <c r="E3800" s="11" t="str">
        <f aca="false">IF($A3800="","",IF(원본명단!$H3799="",0,COUNTIF(원본명단!$H$3:$H$6002,원본명단!$H3799)))</f>
        <v/>
      </c>
      <c r="F3800" s="11" t="str">
        <f aca="false">IF($A3800="","",IF(원본명단!$I3799="",0,COUNTIF(원본명단!$I$3:$I$6002,원본명단!$I3799)))</f>
        <v/>
      </c>
      <c r="G3800" s="11" t="str">
        <f aca="false">IF($A3800="","",IF(원본명단!$K3799="",0,COUNTIF(원본명단!$K$3:$K$6002,원본명단!$K3799)))</f>
        <v/>
      </c>
      <c r="H3800" s="11" t="str">
        <f aca="false">IF($A3800="","",IF(MAX($E3800,$F3800,$G3800)&gt;1,"중복","-"))</f>
        <v/>
      </c>
      <c r="I3800" s="11" t="str">
        <f aca="false">IF($A3800="","",IF($H3800="-","-",IF(AND(IF(원본명단!$H3799="",TRUE(),COUNTIF(원본명단!$H$3:$H3799,원본명단!$H3799)=1),IF(원본명단!$I3799="",TRUE(),COUNTIF(원본명단!$I$3:$I3799,원본명단!$I3799)=1),IF(원본명단!$K3799="",TRUE(),COUNTIF(원본명단!$K$3:$K3799,원본명단!$K3799)=1)),"첫 건","중복 건")))</f>
        <v/>
      </c>
      <c r="J3800" s="11" t="str">
        <f aca="false">IF($A3800="","",IF($H3800="-","유지",IF($I3800="첫 건","유지","확인 필요")))</f>
        <v/>
      </c>
    </row>
    <row r="3801" customFormat="false" ht="15" hidden="false" customHeight="true" outlineLevel="0" collapsed="false">
      <c r="A3801" s="11" t="str">
        <f aca="false">IF(원본명단!$A3800="","",3798)</f>
        <v/>
      </c>
      <c r="B3801" s="12" t="str">
        <f aca="false">IF($A3801="","",원본명단!$A3800)</f>
        <v/>
      </c>
      <c r="C3801" s="12" t="str">
        <f aca="false">IF($A3801="","",원본명단!$B3800)</f>
        <v/>
      </c>
      <c r="D3801" s="12" t="str">
        <f aca="false">IF($A3801="","",원본명단!$D3800)</f>
        <v/>
      </c>
      <c r="E3801" s="11" t="str">
        <f aca="false">IF($A3801="","",IF(원본명단!$H3800="",0,COUNTIF(원본명단!$H$3:$H$6002,원본명단!$H3800)))</f>
        <v/>
      </c>
      <c r="F3801" s="11" t="str">
        <f aca="false">IF($A3801="","",IF(원본명단!$I3800="",0,COUNTIF(원본명단!$I$3:$I$6002,원본명단!$I3800)))</f>
        <v/>
      </c>
      <c r="G3801" s="11" t="str">
        <f aca="false">IF($A3801="","",IF(원본명단!$K3800="",0,COUNTIF(원본명단!$K$3:$K$6002,원본명단!$K3800)))</f>
        <v/>
      </c>
      <c r="H3801" s="11" t="str">
        <f aca="false">IF($A3801="","",IF(MAX($E3801,$F3801,$G3801)&gt;1,"중복","-"))</f>
        <v/>
      </c>
      <c r="I3801" s="11" t="str">
        <f aca="false">IF($A3801="","",IF($H3801="-","-",IF(AND(IF(원본명단!$H3800="",TRUE(),COUNTIF(원본명단!$H$3:$H3800,원본명단!$H3800)=1),IF(원본명단!$I3800="",TRUE(),COUNTIF(원본명단!$I$3:$I3800,원본명단!$I3800)=1),IF(원본명단!$K3800="",TRUE(),COUNTIF(원본명단!$K$3:$K3800,원본명단!$K3800)=1)),"첫 건","중복 건")))</f>
        <v/>
      </c>
      <c r="J3801" s="11" t="str">
        <f aca="false">IF($A3801="","",IF($H3801="-","유지",IF($I3801="첫 건","유지","확인 필요")))</f>
        <v/>
      </c>
    </row>
    <row r="3802" customFormat="false" ht="15" hidden="false" customHeight="true" outlineLevel="0" collapsed="false">
      <c r="A3802" s="11" t="str">
        <f aca="false">IF(원본명단!$A3801="","",3799)</f>
        <v/>
      </c>
      <c r="B3802" s="12" t="str">
        <f aca="false">IF($A3802="","",원본명단!$A3801)</f>
        <v/>
      </c>
      <c r="C3802" s="12" t="str">
        <f aca="false">IF($A3802="","",원본명단!$B3801)</f>
        <v/>
      </c>
      <c r="D3802" s="12" t="str">
        <f aca="false">IF($A3802="","",원본명단!$D3801)</f>
        <v/>
      </c>
      <c r="E3802" s="11" t="str">
        <f aca="false">IF($A3802="","",IF(원본명단!$H3801="",0,COUNTIF(원본명단!$H$3:$H$6002,원본명단!$H3801)))</f>
        <v/>
      </c>
      <c r="F3802" s="11" t="str">
        <f aca="false">IF($A3802="","",IF(원본명단!$I3801="",0,COUNTIF(원본명단!$I$3:$I$6002,원본명단!$I3801)))</f>
        <v/>
      </c>
      <c r="G3802" s="11" t="str">
        <f aca="false">IF($A3802="","",IF(원본명단!$K3801="",0,COUNTIF(원본명단!$K$3:$K$6002,원본명단!$K3801)))</f>
        <v/>
      </c>
      <c r="H3802" s="11" t="str">
        <f aca="false">IF($A3802="","",IF(MAX($E3802,$F3802,$G3802)&gt;1,"중복","-"))</f>
        <v/>
      </c>
      <c r="I3802" s="11" t="str">
        <f aca="false">IF($A3802="","",IF($H3802="-","-",IF(AND(IF(원본명단!$H3801="",TRUE(),COUNTIF(원본명단!$H$3:$H3801,원본명단!$H3801)=1),IF(원본명단!$I3801="",TRUE(),COUNTIF(원본명단!$I$3:$I3801,원본명단!$I3801)=1),IF(원본명단!$K3801="",TRUE(),COUNTIF(원본명단!$K$3:$K3801,원본명단!$K3801)=1)),"첫 건","중복 건")))</f>
        <v/>
      </c>
      <c r="J3802" s="11" t="str">
        <f aca="false">IF($A3802="","",IF($H3802="-","유지",IF($I3802="첫 건","유지","확인 필요")))</f>
        <v/>
      </c>
    </row>
    <row r="3803" customFormat="false" ht="15" hidden="false" customHeight="true" outlineLevel="0" collapsed="false">
      <c r="A3803" s="11" t="str">
        <f aca="false">IF(원본명단!$A3802="","",3800)</f>
        <v/>
      </c>
      <c r="B3803" s="12" t="str">
        <f aca="false">IF($A3803="","",원본명단!$A3802)</f>
        <v/>
      </c>
      <c r="C3803" s="12" t="str">
        <f aca="false">IF($A3803="","",원본명단!$B3802)</f>
        <v/>
      </c>
      <c r="D3803" s="12" t="str">
        <f aca="false">IF($A3803="","",원본명단!$D3802)</f>
        <v/>
      </c>
      <c r="E3803" s="11" t="str">
        <f aca="false">IF($A3803="","",IF(원본명단!$H3802="",0,COUNTIF(원본명단!$H$3:$H$6002,원본명단!$H3802)))</f>
        <v/>
      </c>
      <c r="F3803" s="11" t="str">
        <f aca="false">IF($A3803="","",IF(원본명단!$I3802="",0,COUNTIF(원본명단!$I$3:$I$6002,원본명단!$I3802)))</f>
        <v/>
      </c>
      <c r="G3803" s="11" t="str">
        <f aca="false">IF($A3803="","",IF(원본명단!$K3802="",0,COUNTIF(원본명단!$K$3:$K$6002,원본명단!$K3802)))</f>
        <v/>
      </c>
      <c r="H3803" s="11" t="str">
        <f aca="false">IF($A3803="","",IF(MAX($E3803,$F3803,$G3803)&gt;1,"중복","-"))</f>
        <v/>
      </c>
      <c r="I3803" s="11" t="str">
        <f aca="false">IF($A3803="","",IF($H3803="-","-",IF(AND(IF(원본명단!$H3802="",TRUE(),COUNTIF(원본명단!$H$3:$H3802,원본명단!$H3802)=1),IF(원본명단!$I3802="",TRUE(),COUNTIF(원본명단!$I$3:$I3802,원본명단!$I3802)=1),IF(원본명단!$K3802="",TRUE(),COUNTIF(원본명단!$K$3:$K3802,원본명단!$K3802)=1)),"첫 건","중복 건")))</f>
        <v/>
      </c>
      <c r="J3803" s="11" t="str">
        <f aca="false">IF($A3803="","",IF($H3803="-","유지",IF($I3803="첫 건","유지","확인 필요")))</f>
        <v/>
      </c>
    </row>
    <row r="3804" customFormat="false" ht="15" hidden="false" customHeight="true" outlineLevel="0" collapsed="false">
      <c r="A3804" s="11" t="str">
        <f aca="false">IF(원본명단!$A3803="","",3801)</f>
        <v/>
      </c>
      <c r="B3804" s="12" t="str">
        <f aca="false">IF($A3804="","",원본명단!$A3803)</f>
        <v/>
      </c>
      <c r="C3804" s="12" t="str">
        <f aca="false">IF($A3804="","",원본명단!$B3803)</f>
        <v/>
      </c>
      <c r="D3804" s="12" t="str">
        <f aca="false">IF($A3804="","",원본명단!$D3803)</f>
        <v/>
      </c>
      <c r="E3804" s="11" t="str">
        <f aca="false">IF($A3804="","",IF(원본명단!$H3803="",0,COUNTIF(원본명단!$H$3:$H$6002,원본명단!$H3803)))</f>
        <v/>
      </c>
      <c r="F3804" s="11" t="str">
        <f aca="false">IF($A3804="","",IF(원본명단!$I3803="",0,COUNTIF(원본명단!$I$3:$I$6002,원본명단!$I3803)))</f>
        <v/>
      </c>
      <c r="G3804" s="11" t="str">
        <f aca="false">IF($A3804="","",IF(원본명단!$K3803="",0,COUNTIF(원본명단!$K$3:$K$6002,원본명단!$K3803)))</f>
        <v/>
      </c>
      <c r="H3804" s="11" t="str">
        <f aca="false">IF($A3804="","",IF(MAX($E3804,$F3804,$G3804)&gt;1,"중복","-"))</f>
        <v/>
      </c>
      <c r="I3804" s="11" t="str">
        <f aca="false">IF($A3804="","",IF($H3804="-","-",IF(AND(IF(원본명단!$H3803="",TRUE(),COUNTIF(원본명단!$H$3:$H3803,원본명단!$H3803)=1),IF(원본명단!$I3803="",TRUE(),COUNTIF(원본명단!$I$3:$I3803,원본명단!$I3803)=1),IF(원본명단!$K3803="",TRUE(),COUNTIF(원본명단!$K$3:$K3803,원본명단!$K3803)=1)),"첫 건","중복 건")))</f>
        <v/>
      </c>
      <c r="J3804" s="11" t="str">
        <f aca="false">IF($A3804="","",IF($H3804="-","유지",IF($I3804="첫 건","유지","확인 필요")))</f>
        <v/>
      </c>
    </row>
    <row r="3805" customFormat="false" ht="15" hidden="false" customHeight="true" outlineLevel="0" collapsed="false">
      <c r="A3805" s="11" t="str">
        <f aca="false">IF(원본명단!$A3804="","",3802)</f>
        <v/>
      </c>
      <c r="B3805" s="12" t="str">
        <f aca="false">IF($A3805="","",원본명단!$A3804)</f>
        <v/>
      </c>
      <c r="C3805" s="12" t="str">
        <f aca="false">IF($A3805="","",원본명단!$B3804)</f>
        <v/>
      </c>
      <c r="D3805" s="12" t="str">
        <f aca="false">IF($A3805="","",원본명단!$D3804)</f>
        <v/>
      </c>
      <c r="E3805" s="11" t="str">
        <f aca="false">IF($A3805="","",IF(원본명단!$H3804="",0,COUNTIF(원본명단!$H$3:$H$6002,원본명단!$H3804)))</f>
        <v/>
      </c>
      <c r="F3805" s="11" t="str">
        <f aca="false">IF($A3805="","",IF(원본명단!$I3804="",0,COUNTIF(원본명단!$I$3:$I$6002,원본명단!$I3804)))</f>
        <v/>
      </c>
      <c r="G3805" s="11" t="str">
        <f aca="false">IF($A3805="","",IF(원본명단!$K3804="",0,COUNTIF(원본명단!$K$3:$K$6002,원본명단!$K3804)))</f>
        <v/>
      </c>
      <c r="H3805" s="11" t="str">
        <f aca="false">IF($A3805="","",IF(MAX($E3805,$F3805,$G3805)&gt;1,"중복","-"))</f>
        <v/>
      </c>
      <c r="I3805" s="11" t="str">
        <f aca="false">IF($A3805="","",IF($H3805="-","-",IF(AND(IF(원본명단!$H3804="",TRUE(),COUNTIF(원본명단!$H$3:$H3804,원본명단!$H3804)=1),IF(원본명단!$I3804="",TRUE(),COUNTIF(원본명단!$I$3:$I3804,원본명단!$I3804)=1),IF(원본명단!$K3804="",TRUE(),COUNTIF(원본명단!$K$3:$K3804,원본명단!$K3804)=1)),"첫 건","중복 건")))</f>
        <v/>
      </c>
      <c r="J3805" s="11" t="str">
        <f aca="false">IF($A3805="","",IF($H3805="-","유지",IF($I3805="첫 건","유지","확인 필요")))</f>
        <v/>
      </c>
    </row>
    <row r="3806" customFormat="false" ht="15" hidden="false" customHeight="true" outlineLevel="0" collapsed="false">
      <c r="A3806" s="11" t="str">
        <f aca="false">IF(원본명단!$A3805="","",3803)</f>
        <v/>
      </c>
      <c r="B3806" s="12" t="str">
        <f aca="false">IF($A3806="","",원본명단!$A3805)</f>
        <v/>
      </c>
      <c r="C3806" s="12" t="str">
        <f aca="false">IF($A3806="","",원본명단!$B3805)</f>
        <v/>
      </c>
      <c r="D3806" s="12" t="str">
        <f aca="false">IF($A3806="","",원본명단!$D3805)</f>
        <v/>
      </c>
      <c r="E3806" s="11" t="str">
        <f aca="false">IF($A3806="","",IF(원본명단!$H3805="",0,COUNTIF(원본명단!$H$3:$H$6002,원본명단!$H3805)))</f>
        <v/>
      </c>
      <c r="F3806" s="11" t="str">
        <f aca="false">IF($A3806="","",IF(원본명단!$I3805="",0,COUNTIF(원본명단!$I$3:$I$6002,원본명단!$I3805)))</f>
        <v/>
      </c>
      <c r="G3806" s="11" t="str">
        <f aca="false">IF($A3806="","",IF(원본명단!$K3805="",0,COUNTIF(원본명단!$K$3:$K$6002,원본명단!$K3805)))</f>
        <v/>
      </c>
      <c r="H3806" s="11" t="str">
        <f aca="false">IF($A3806="","",IF(MAX($E3806,$F3806,$G3806)&gt;1,"중복","-"))</f>
        <v/>
      </c>
      <c r="I3806" s="11" t="str">
        <f aca="false">IF($A3806="","",IF($H3806="-","-",IF(AND(IF(원본명단!$H3805="",TRUE(),COUNTIF(원본명단!$H$3:$H3805,원본명단!$H3805)=1),IF(원본명단!$I3805="",TRUE(),COUNTIF(원본명단!$I$3:$I3805,원본명단!$I3805)=1),IF(원본명단!$K3805="",TRUE(),COUNTIF(원본명단!$K$3:$K3805,원본명단!$K3805)=1)),"첫 건","중복 건")))</f>
        <v/>
      </c>
      <c r="J3806" s="11" t="str">
        <f aca="false">IF($A3806="","",IF($H3806="-","유지",IF($I3806="첫 건","유지","확인 필요")))</f>
        <v/>
      </c>
    </row>
    <row r="3807" customFormat="false" ht="15" hidden="false" customHeight="true" outlineLevel="0" collapsed="false">
      <c r="A3807" s="11" t="str">
        <f aca="false">IF(원본명단!$A3806="","",3804)</f>
        <v/>
      </c>
      <c r="B3807" s="12" t="str">
        <f aca="false">IF($A3807="","",원본명단!$A3806)</f>
        <v/>
      </c>
      <c r="C3807" s="12" t="str">
        <f aca="false">IF($A3807="","",원본명단!$B3806)</f>
        <v/>
      </c>
      <c r="D3807" s="12" t="str">
        <f aca="false">IF($A3807="","",원본명단!$D3806)</f>
        <v/>
      </c>
      <c r="E3807" s="11" t="str">
        <f aca="false">IF($A3807="","",IF(원본명단!$H3806="",0,COUNTIF(원본명단!$H$3:$H$6002,원본명단!$H3806)))</f>
        <v/>
      </c>
      <c r="F3807" s="11" t="str">
        <f aca="false">IF($A3807="","",IF(원본명단!$I3806="",0,COUNTIF(원본명단!$I$3:$I$6002,원본명단!$I3806)))</f>
        <v/>
      </c>
      <c r="G3807" s="11" t="str">
        <f aca="false">IF($A3807="","",IF(원본명단!$K3806="",0,COUNTIF(원본명단!$K$3:$K$6002,원본명단!$K3806)))</f>
        <v/>
      </c>
      <c r="H3807" s="11" t="str">
        <f aca="false">IF($A3807="","",IF(MAX($E3807,$F3807,$G3807)&gt;1,"중복","-"))</f>
        <v/>
      </c>
      <c r="I3807" s="11" t="str">
        <f aca="false">IF($A3807="","",IF($H3807="-","-",IF(AND(IF(원본명단!$H3806="",TRUE(),COUNTIF(원본명단!$H$3:$H3806,원본명단!$H3806)=1),IF(원본명단!$I3806="",TRUE(),COUNTIF(원본명단!$I$3:$I3806,원본명단!$I3806)=1),IF(원본명단!$K3806="",TRUE(),COUNTIF(원본명단!$K$3:$K3806,원본명단!$K3806)=1)),"첫 건","중복 건")))</f>
        <v/>
      </c>
      <c r="J3807" s="11" t="str">
        <f aca="false">IF($A3807="","",IF($H3807="-","유지",IF($I3807="첫 건","유지","확인 필요")))</f>
        <v/>
      </c>
    </row>
    <row r="3808" customFormat="false" ht="15" hidden="false" customHeight="true" outlineLevel="0" collapsed="false">
      <c r="A3808" s="11" t="str">
        <f aca="false">IF(원본명단!$A3807="","",3805)</f>
        <v/>
      </c>
      <c r="B3808" s="12" t="str">
        <f aca="false">IF($A3808="","",원본명단!$A3807)</f>
        <v/>
      </c>
      <c r="C3808" s="12" t="str">
        <f aca="false">IF($A3808="","",원본명단!$B3807)</f>
        <v/>
      </c>
      <c r="D3808" s="12" t="str">
        <f aca="false">IF($A3808="","",원본명단!$D3807)</f>
        <v/>
      </c>
      <c r="E3808" s="11" t="str">
        <f aca="false">IF($A3808="","",IF(원본명단!$H3807="",0,COUNTIF(원본명단!$H$3:$H$6002,원본명단!$H3807)))</f>
        <v/>
      </c>
      <c r="F3808" s="11" t="str">
        <f aca="false">IF($A3808="","",IF(원본명단!$I3807="",0,COUNTIF(원본명단!$I$3:$I$6002,원본명단!$I3807)))</f>
        <v/>
      </c>
      <c r="G3808" s="11" t="str">
        <f aca="false">IF($A3808="","",IF(원본명단!$K3807="",0,COUNTIF(원본명단!$K$3:$K$6002,원본명단!$K3807)))</f>
        <v/>
      </c>
      <c r="H3808" s="11" t="str">
        <f aca="false">IF($A3808="","",IF(MAX($E3808,$F3808,$G3808)&gt;1,"중복","-"))</f>
        <v/>
      </c>
      <c r="I3808" s="11" t="str">
        <f aca="false">IF($A3808="","",IF($H3808="-","-",IF(AND(IF(원본명단!$H3807="",TRUE(),COUNTIF(원본명단!$H$3:$H3807,원본명단!$H3807)=1),IF(원본명단!$I3807="",TRUE(),COUNTIF(원본명단!$I$3:$I3807,원본명단!$I3807)=1),IF(원본명단!$K3807="",TRUE(),COUNTIF(원본명단!$K$3:$K3807,원본명단!$K3807)=1)),"첫 건","중복 건")))</f>
        <v/>
      </c>
      <c r="J3808" s="11" t="str">
        <f aca="false">IF($A3808="","",IF($H3808="-","유지",IF($I3808="첫 건","유지","확인 필요")))</f>
        <v/>
      </c>
    </row>
    <row r="3809" customFormat="false" ht="15" hidden="false" customHeight="true" outlineLevel="0" collapsed="false">
      <c r="A3809" s="11" t="str">
        <f aca="false">IF(원본명단!$A3808="","",3806)</f>
        <v/>
      </c>
      <c r="B3809" s="12" t="str">
        <f aca="false">IF($A3809="","",원본명단!$A3808)</f>
        <v/>
      </c>
      <c r="C3809" s="12" t="str">
        <f aca="false">IF($A3809="","",원본명단!$B3808)</f>
        <v/>
      </c>
      <c r="D3809" s="12" t="str">
        <f aca="false">IF($A3809="","",원본명단!$D3808)</f>
        <v/>
      </c>
      <c r="E3809" s="11" t="str">
        <f aca="false">IF($A3809="","",IF(원본명단!$H3808="",0,COUNTIF(원본명단!$H$3:$H$6002,원본명단!$H3808)))</f>
        <v/>
      </c>
      <c r="F3809" s="11" t="str">
        <f aca="false">IF($A3809="","",IF(원본명단!$I3808="",0,COUNTIF(원본명단!$I$3:$I$6002,원본명단!$I3808)))</f>
        <v/>
      </c>
      <c r="G3809" s="11" t="str">
        <f aca="false">IF($A3809="","",IF(원본명단!$K3808="",0,COUNTIF(원본명단!$K$3:$K$6002,원본명단!$K3808)))</f>
        <v/>
      </c>
      <c r="H3809" s="11" t="str">
        <f aca="false">IF($A3809="","",IF(MAX($E3809,$F3809,$G3809)&gt;1,"중복","-"))</f>
        <v/>
      </c>
      <c r="I3809" s="11" t="str">
        <f aca="false">IF($A3809="","",IF($H3809="-","-",IF(AND(IF(원본명단!$H3808="",TRUE(),COUNTIF(원본명단!$H$3:$H3808,원본명단!$H3808)=1),IF(원본명단!$I3808="",TRUE(),COUNTIF(원본명단!$I$3:$I3808,원본명단!$I3808)=1),IF(원본명단!$K3808="",TRUE(),COUNTIF(원본명단!$K$3:$K3808,원본명단!$K3808)=1)),"첫 건","중복 건")))</f>
        <v/>
      </c>
      <c r="J3809" s="11" t="str">
        <f aca="false">IF($A3809="","",IF($H3809="-","유지",IF($I3809="첫 건","유지","확인 필요")))</f>
        <v/>
      </c>
    </row>
    <row r="3810" customFormat="false" ht="15" hidden="false" customHeight="true" outlineLevel="0" collapsed="false">
      <c r="A3810" s="11" t="str">
        <f aca="false">IF(원본명단!$A3809="","",3807)</f>
        <v/>
      </c>
      <c r="B3810" s="12" t="str">
        <f aca="false">IF($A3810="","",원본명단!$A3809)</f>
        <v/>
      </c>
      <c r="C3810" s="12" t="str">
        <f aca="false">IF($A3810="","",원본명단!$B3809)</f>
        <v/>
      </c>
      <c r="D3810" s="12" t="str">
        <f aca="false">IF($A3810="","",원본명단!$D3809)</f>
        <v/>
      </c>
      <c r="E3810" s="11" t="str">
        <f aca="false">IF($A3810="","",IF(원본명단!$H3809="",0,COUNTIF(원본명단!$H$3:$H$6002,원본명단!$H3809)))</f>
        <v/>
      </c>
      <c r="F3810" s="11" t="str">
        <f aca="false">IF($A3810="","",IF(원본명단!$I3809="",0,COUNTIF(원본명단!$I$3:$I$6002,원본명단!$I3809)))</f>
        <v/>
      </c>
      <c r="G3810" s="11" t="str">
        <f aca="false">IF($A3810="","",IF(원본명단!$K3809="",0,COUNTIF(원본명단!$K$3:$K$6002,원본명단!$K3809)))</f>
        <v/>
      </c>
      <c r="H3810" s="11" t="str">
        <f aca="false">IF($A3810="","",IF(MAX($E3810,$F3810,$G3810)&gt;1,"중복","-"))</f>
        <v/>
      </c>
      <c r="I3810" s="11" t="str">
        <f aca="false">IF($A3810="","",IF($H3810="-","-",IF(AND(IF(원본명단!$H3809="",TRUE(),COUNTIF(원본명단!$H$3:$H3809,원본명단!$H3809)=1),IF(원본명단!$I3809="",TRUE(),COUNTIF(원본명단!$I$3:$I3809,원본명단!$I3809)=1),IF(원본명단!$K3809="",TRUE(),COUNTIF(원본명단!$K$3:$K3809,원본명단!$K3809)=1)),"첫 건","중복 건")))</f>
        <v/>
      </c>
      <c r="J3810" s="11" t="str">
        <f aca="false">IF($A3810="","",IF($H3810="-","유지",IF($I3810="첫 건","유지","확인 필요")))</f>
        <v/>
      </c>
    </row>
    <row r="3811" customFormat="false" ht="15" hidden="false" customHeight="true" outlineLevel="0" collapsed="false">
      <c r="A3811" s="11" t="str">
        <f aca="false">IF(원본명단!$A3810="","",3808)</f>
        <v/>
      </c>
      <c r="B3811" s="12" t="str">
        <f aca="false">IF($A3811="","",원본명단!$A3810)</f>
        <v/>
      </c>
      <c r="C3811" s="12" t="str">
        <f aca="false">IF($A3811="","",원본명단!$B3810)</f>
        <v/>
      </c>
      <c r="D3811" s="12" t="str">
        <f aca="false">IF($A3811="","",원본명단!$D3810)</f>
        <v/>
      </c>
      <c r="E3811" s="11" t="str">
        <f aca="false">IF($A3811="","",IF(원본명단!$H3810="",0,COUNTIF(원본명단!$H$3:$H$6002,원본명단!$H3810)))</f>
        <v/>
      </c>
      <c r="F3811" s="11" t="str">
        <f aca="false">IF($A3811="","",IF(원본명단!$I3810="",0,COUNTIF(원본명단!$I$3:$I$6002,원본명단!$I3810)))</f>
        <v/>
      </c>
      <c r="G3811" s="11" t="str">
        <f aca="false">IF($A3811="","",IF(원본명단!$K3810="",0,COUNTIF(원본명단!$K$3:$K$6002,원본명단!$K3810)))</f>
        <v/>
      </c>
      <c r="H3811" s="11" t="str">
        <f aca="false">IF($A3811="","",IF(MAX($E3811,$F3811,$G3811)&gt;1,"중복","-"))</f>
        <v/>
      </c>
      <c r="I3811" s="11" t="str">
        <f aca="false">IF($A3811="","",IF($H3811="-","-",IF(AND(IF(원본명단!$H3810="",TRUE(),COUNTIF(원본명단!$H$3:$H3810,원본명단!$H3810)=1),IF(원본명단!$I3810="",TRUE(),COUNTIF(원본명단!$I$3:$I3810,원본명단!$I3810)=1),IF(원본명단!$K3810="",TRUE(),COUNTIF(원본명단!$K$3:$K3810,원본명단!$K3810)=1)),"첫 건","중복 건")))</f>
        <v/>
      </c>
      <c r="J3811" s="11" t="str">
        <f aca="false">IF($A3811="","",IF($H3811="-","유지",IF($I3811="첫 건","유지","확인 필요")))</f>
        <v/>
      </c>
    </row>
    <row r="3812" customFormat="false" ht="15" hidden="false" customHeight="true" outlineLevel="0" collapsed="false">
      <c r="A3812" s="11" t="str">
        <f aca="false">IF(원본명단!$A3811="","",3809)</f>
        <v/>
      </c>
      <c r="B3812" s="12" t="str">
        <f aca="false">IF($A3812="","",원본명단!$A3811)</f>
        <v/>
      </c>
      <c r="C3812" s="12" t="str">
        <f aca="false">IF($A3812="","",원본명단!$B3811)</f>
        <v/>
      </c>
      <c r="D3812" s="12" t="str">
        <f aca="false">IF($A3812="","",원본명단!$D3811)</f>
        <v/>
      </c>
      <c r="E3812" s="11" t="str">
        <f aca="false">IF($A3812="","",IF(원본명단!$H3811="",0,COUNTIF(원본명단!$H$3:$H$6002,원본명단!$H3811)))</f>
        <v/>
      </c>
      <c r="F3812" s="11" t="str">
        <f aca="false">IF($A3812="","",IF(원본명단!$I3811="",0,COUNTIF(원본명단!$I$3:$I$6002,원본명단!$I3811)))</f>
        <v/>
      </c>
      <c r="G3812" s="11" t="str">
        <f aca="false">IF($A3812="","",IF(원본명단!$K3811="",0,COUNTIF(원본명단!$K$3:$K$6002,원본명단!$K3811)))</f>
        <v/>
      </c>
      <c r="H3812" s="11" t="str">
        <f aca="false">IF($A3812="","",IF(MAX($E3812,$F3812,$G3812)&gt;1,"중복","-"))</f>
        <v/>
      </c>
      <c r="I3812" s="11" t="str">
        <f aca="false">IF($A3812="","",IF($H3812="-","-",IF(AND(IF(원본명단!$H3811="",TRUE(),COUNTIF(원본명단!$H$3:$H3811,원본명단!$H3811)=1),IF(원본명단!$I3811="",TRUE(),COUNTIF(원본명단!$I$3:$I3811,원본명단!$I3811)=1),IF(원본명단!$K3811="",TRUE(),COUNTIF(원본명단!$K$3:$K3811,원본명단!$K3811)=1)),"첫 건","중복 건")))</f>
        <v/>
      </c>
      <c r="J3812" s="11" t="str">
        <f aca="false">IF($A3812="","",IF($H3812="-","유지",IF($I3812="첫 건","유지","확인 필요")))</f>
        <v/>
      </c>
    </row>
    <row r="3813" customFormat="false" ht="15" hidden="false" customHeight="true" outlineLevel="0" collapsed="false">
      <c r="A3813" s="11" t="str">
        <f aca="false">IF(원본명단!$A3812="","",3810)</f>
        <v/>
      </c>
      <c r="B3813" s="12" t="str">
        <f aca="false">IF($A3813="","",원본명단!$A3812)</f>
        <v/>
      </c>
      <c r="C3813" s="12" t="str">
        <f aca="false">IF($A3813="","",원본명단!$B3812)</f>
        <v/>
      </c>
      <c r="D3813" s="12" t="str">
        <f aca="false">IF($A3813="","",원본명단!$D3812)</f>
        <v/>
      </c>
      <c r="E3813" s="11" t="str">
        <f aca="false">IF($A3813="","",IF(원본명단!$H3812="",0,COUNTIF(원본명단!$H$3:$H$6002,원본명단!$H3812)))</f>
        <v/>
      </c>
      <c r="F3813" s="11" t="str">
        <f aca="false">IF($A3813="","",IF(원본명단!$I3812="",0,COUNTIF(원본명단!$I$3:$I$6002,원본명단!$I3812)))</f>
        <v/>
      </c>
      <c r="G3813" s="11" t="str">
        <f aca="false">IF($A3813="","",IF(원본명단!$K3812="",0,COUNTIF(원본명단!$K$3:$K$6002,원본명단!$K3812)))</f>
        <v/>
      </c>
      <c r="H3813" s="11" t="str">
        <f aca="false">IF($A3813="","",IF(MAX($E3813,$F3813,$G3813)&gt;1,"중복","-"))</f>
        <v/>
      </c>
      <c r="I3813" s="11" t="str">
        <f aca="false">IF($A3813="","",IF($H3813="-","-",IF(AND(IF(원본명단!$H3812="",TRUE(),COUNTIF(원본명단!$H$3:$H3812,원본명단!$H3812)=1),IF(원본명단!$I3812="",TRUE(),COUNTIF(원본명단!$I$3:$I3812,원본명단!$I3812)=1),IF(원본명단!$K3812="",TRUE(),COUNTIF(원본명단!$K$3:$K3812,원본명단!$K3812)=1)),"첫 건","중복 건")))</f>
        <v/>
      </c>
      <c r="J3813" s="11" t="str">
        <f aca="false">IF($A3813="","",IF($H3813="-","유지",IF($I3813="첫 건","유지","확인 필요")))</f>
        <v/>
      </c>
    </row>
    <row r="3814" customFormat="false" ht="15" hidden="false" customHeight="true" outlineLevel="0" collapsed="false">
      <c r="A3814" s="11" t="str">
        <f aca="false">IF(원본명단!$A3813="","",3811)</f>
        <v/>
      </c>
      <c r="B3814" s="12" t="str">
        <f aca="false">IF($A3814="","",원본명단!$A3813)</f>
        <v/>
      </c>
      <c r="C3814" s="12" t="str">
        <f aca="false">IF($A3814="","",원본명단!$B3813)</f>
        <v/>
      </c>
      <c r="D3814" s="12" t="str">
        <f aca="false">IF($A3814="","",원본명단!$D3813)</f>
        <v/>
      </c>
      <c r="E3814" s="11" t="str">
        <f aca="false">IF($A3814="","",IF(원본명단!$H3813="",0,COUNTIF(원본명단!$H$3:$H$6002,원본명단!$H3813)))</f>
        <v/>
      </c>
      <c r="F3814" s="11" t="str">
        <f aca="false">IF($A3814="","",IF(원본명단!$I3813="",0,COUNTIF(원본명단!$I$3:$I$6002,원본명단!$I3813)))</f>
        <v/>
      </c>
      <c r="G3814" s="11" t="str">
        <f aca="false">IF($A3814="","",IF(원본명단!$K3813="",0,COUNTIF(원본명단!$K$3:$K$6002,원본명단!$K3813)))</f>
        <v/>
      </c>
      <c r="H3814" s="11" t="str">
        <f aca="false">IF($A3814="","",IF(MAX($E3814,$F3814,$G3814)&gt;1,"중복","-"))</f>
        <v/>
      </c>
      <c r="I3814" s="11" t="str">
        <f aca="false">IF($A3814="","",IF($H3814="-","-",IF(AND(IF(원본명단!$H3813="",TRUE(),COUNTIF(원본명단!$H$3:$H3813,원본명단!$H3813)=1),IF(원본명단!$I3813="",TRUE(),COUNTIF(원본명단!$I$3:$I3813,원본명단!$I3813)=1),IF(원본명단!$K3813="",TRUE(),COUNTIF(원본명단!$K$3:$K3813,원본명단!$K3813)=1)),"첫 건","중복 건")))</f>
        <v/>
      </c>
      <c r="J3814" s="11" t="str">
        <f aca="false">IF($A3814="","",IF($H3814="-","유지",IF($I3814="첫 건","유지","확인 필요")))</f>
        <v/>
      </c>
    </row>
    <row r="3815" customFormat="false" ht="15" hidden="false" customHeight="true" outlineLevel="0" collapsed="false">
      <c r="A3815" s="11" t="str">
        <f aca="false">IF(원본명단!$A3814="","",3812)</f>
        <v/>
      </c>
      <c r="B3815" s="12" t="str">
        <f aca="false">IF($A3815="","",원본명단!$A3814)</f>
        <v/>
      </c>
      <c r="C3815" s="12" t="str">
        <f aca="false">IF($A3815="","",원본명단!$B3814)</f>
        <v/>
      </c>
      <c r="D3815" s="12" t="str">
        <f aca="false">IF($A3815="","",원본명단!$D3814)</f>
        <v/>
      </c>
      <c r="E3815" s="11" t="str">
        <f aca="false">IF($A3815="","",IF(원본명단!$H3814="",0,COUNTIF(원본명단!$H$3:$H$6002,원본명단!$H3814)))</f>
        <v/>
      </c>
      <c r="F3815" s="11" t="str">
        <f aca="false">IF($A3815="","",IF(원본명단!$I3814="",0,COUNTIF(원본명단!$I$3:$I$6002,원본명단!$I3814)))</f>
        <v/>
      </c>
      <c r="G3815" s="11" t="str">
        <f aca="false">IF($A3815="","",IF(원본명단!$K3814="",0,COUNTIF(원본명단!$K$3:$K$6002,원본명단!$K3814)))</f>
        <v/>
      </c>
      <c r="H3815" s="11" t="str">
        <f aca="false">IF($A3815="","",IF(MAX($E3815,$F3815,$G3815)&gt;1,"중복","-"))</f>
        <v/>
      </c>
      <c r="I3815" s="11" t="str">
        <f aca="false">IF($A3815="","",IF($H3815="-","-",IF(AND(IF(원본명단!$H3814="",TRUE(),COUNTIF(원본명단!$H$3:$H3814,원본명단!$H3814)=1),IF(원본명단!$I3814="",TRUE(),COUNTIF(원본명단!$I$3:$I3814,원본명단!$I3814)=1),IF(원본명단!$K3814="",TRUE(),COUNTIF(원본명단!$K$3:$K3814,원본명단!$K3814)=1)),"첫 건","중복 건")))</f>
        <v/>
      </c>
      <c r="J3815" s="11" t="str">
        <f aca="false">IF($A3815="","",IF($H3815="-","유지",IF($I3815="첫 건","유지","확인 필요")))</f>
        <v/>
      </c>
    </row>
    <row r="3816" customFormat="false" ht="15" hidden="false" customHeight="true" outlineLevel="0" collapsed="false">
      <c r="A3816" s="11" t="str">
        <f aca="false">IF(원본명단!$A3815="","",3813)</f>
        <v/>
      </c>
      <c r="B3816" s="12" t="str">
        <f aca="false">IF($A3816="","",원본명단!$A3815)</f>
        <v/>
      </c>
      <c r="C3816" s="12" t="str">
        <f aca="false">IF($A3816="","",원본명단!$B3815)</f>
        <v/>
      </c>
      <c r="D3816" s="12" t="str">
        <f aca="false">IF($A3816="","",원본명단!$D3815)</f>
        <v/>
      </c>
      <c r="E3816" s="11" t="str">
        <f aca="false">IF($A3816="","",IF(원본명단!$H3815="",0,COUNTIF(원본명단!$H$3:$H$6002,원본명단!$H3815)))</f>
        <v/>
      </c>
      <c r="F3816" s="11" t="str">
        <f aca="false">IF($A3816="","",IF(원본명단!$I3815="",0,COUNTIF(원본명단!$I$3:$I$6002,원본명단!$I3815)))</f>
        <v/>
      </c>
      <c r="G3816" s="11" t="str">
        <f aca="false">IF($A3816="","",IF(원본명단!$K3815="",0,COUNTIF(원본명단!$K$3:$K$6002,원본명단!$K3815)))</f>
        <v/>
      </c>
      <c r="H3816" s="11" t="str">
        <f aca="false">IF($A3816="","",IF(MAX($E3816,$F3816,$G3816)&gt;1,"중복","-"))</f>
        <v/>
      </c>
      <c r="I3816" s="11" t="str">
        <f aca="false">IF($A3816="","",IF($H3816="-","-",IF(AND(IF(원본명단!$H3815="",TRUE(),COUNTIF(원본명단!$H$3:$H3815,원본명단!$H3815)=1),IF(원본명단!$I3815="",TRUE(),COUNTIF(원본명단!$I$3:$I3815,원본명단!$I3815)=1),IF(원본명단!$K3815="",TRUE(),COUNTIF(원본명단!$K$3:$K3815,원본명단!$K3815)=1)),"첫 건","중복 건")))</f>
        <v/>
      </c>
      <c r="J3816" s="11" t="str">
        <f aca="false">IF($A3816="","",IF($H3816="-","유지",IF($I3816="첫 건","유지","확인 필요")))</f>
        <v/>
      </c>
    </row>
    <row r="3817" customFormat="false" ht="15" hidden="false" customHeight="true" outlineLevel="0" collapsed="false">
      <c r="A3817" s="11" t="str">
        <f aca="false">IF(원본명단!$A3816="","",3814)</f>
        <v/>
      </c>
      <c r="B3817" s="12" t="str">
        <f aca="false">IF($A3817="","",원본명단!$A3816)</f>
        <v/>
      </c>
      <c r="C3817" s="12" t="str">
        <f aca="false">IF($A3817="","",원본명단!$B3816)</f>
        <v/>
      </c>
      <c r="D3817" s="12" t="str">
        <f aca="false">IF($A3817="","",원본명단!$D3816)</f>
        <v/>
      </c>
      <c r="E3817" s="11" t="str">
        <f aca="false">IF($A3817="","",IF(원본명단!$H3816="",0,COUNTIF(원본명단!$H$3:$H$6002,원본명단!$H3816)))</f>
        <v/>
      </c>
      <c r="F3817" s="11" t="str">
        <f aca="false">IF($A3817="","",IF(원본명단!$I3816="",0,COUNTIF(원본명단!$I$3:$I$6002,원본명단!$I3816)))</f>
        <v/>
      </c>
      <c r="G3817" s="11" t="str">
        <f aca="false">IF($A3817="","",IF(원본명단!$K3816="",0,COUNTIF(원본명단!$K$3:$K$6002,원본명단!$K3816)))</f>
        <v/>
      </c>
      <c r="H3817" s="11" t="str">
        <f aca="false">IF($A3817="","",IF(MAX($E3817,$F3817,$G3817)&gt;1,"중복","-"))</f>
        <v/>
      </c>
      <c r="I3817" s="11" t="str">
        <f aca="false">IF($A3817="","",IF($H3817="-","-",IF(AND(IF(원본명단!$H3816="",TRUE(),COUNTIF(원본명단!$H$3:$H3816,원본명단!$H3816)=1),IF(원본명단!$I3816="",TRUE(),COUNTIF(원본명단!$I$3:$I3816,원본명단!$I3816)=1),IF(원본명단!$K3816="",TRUE(),COUNTIF(원본명단!$K$3:$K3816,원본명단!$K3816)=1)),"첫 건","중복 건")))</f>
        <v/>
      </c>
      <c r="J3817" s="11" t="str">
        <f aca="false">IF($A3817="","",IF($H3817="-","유지",IF($I3817="첫 건","유지","확인 필요")))</f>
        <v/>
      </c>
    </row>
    <row r="3818" customFormat="false" ht="15" hidden="false" customHeight="true" outlineLevel="0" collapsed="false">
      <c r="A3818" s="11" t="str">
        <f aca="false">IF(원본명단!$A3817="","",3815)</f>
        <v/>
      </c>
      <c r="B3818" s="12" t="str">
        <f aca="false">IF($A3818="","",원본명단!$A3817)</f>
        <v/>
      </c>
      <c r="C3818" s="12" t="str">
        <f aca="false">IF($A3818="","",원본명단!$B3817)</f>
        <v/>
      </c>
      <c r="D3818" s="12" t="str">
        <f aca="false">IF($A3818="","",원본명단!$D3817)</f>
        <v/>
      </c>
      <c r="E3818" s="11" t="str">
        <f aca="false">IF($A3818="","",IF(원본명단!$H3817="",0,COUNTIF(원본명단!$H$3:$H$6002,원본명단!$H3817)))</f>
        <v/>
      </c>
      <c r="F3818" s="11" t="str">
        <f aca="false">IF($A3818="","",IF(원본명단!$I3817="",0,COUNTIF(원본명단!$I$3:$I$6002,원본명단!$I3817)))</f>
        <v/>
      </c>
      <c r="G3818" s="11" t="str">
        <f aca="false">IF($A3818="","",IF(원본명단!$K3817="",0,COUNTIF(원본명단!$K$3:$K$6002,원본명단!$K3817)))</f>
        <v/>
      </c>
      <c r="H3818" s="11" t="str">
        <f aca="false">IF($A3818="","",IF(MAX($E3818,$F3818,$G3818)&gt;1,"중복","-"))</f>
        <v/>
      </c>
      <c r="I3818" s="11" t="str">
        <f aca="false">IF($A3818="","",IF($H3818="-","-",IF(AND(IF(원본명단!$H3817="",TRUE(),COUNTIF(원본명단!$H$3:$H3817,원본명단!$H3817)=1),IF(원본명단!$I3817="",TRUE(),COUNTIF(원본명단!$I$3:$I3817,원본명단!$I3817)=1),IF(원본명단!$K3817="",TRUE(),COUNTIF(원본명단!$K$3:$K3817,원본명단!$K3817)=1)),"첫 건","중복 건")))</f>
        <v/>
      </c>
      <c r="J3818" s="11" t="str">
        <f aca="false">IF($A3818="","",IF($H3818="-","유지",IF($I3818="첫 건","유지","확인 필요")))</f>
        <v/>
      </c>
    </row>
    <row r="3819" customFormat="false" ht="15" hidden="false" customHeight="true" outlineLevel="0" collapsed="false">
      <c r="A3819" s="11" t="str">
        <f aca="false">IF(원본명단!$A3818="","",3816)</f>
        <v/>
      </c>
      <c r="B3819" s="12" t="str">
        <f aca="false">IF($A3819="","",원본명단!$A3818)</f>
        <v/>
      </c>
      <c r="C3819" s="12" t="str">
        <f aca="false">IF($A3819="","",원본명단!$B3818)</f>
        <v/>
      </c>
      <c r="D3819" s="12" t="str">
        <f aca="false">IF($A3819="","",원본명단!$D3818)</f>
        <v/>
      </c>
      <c r="E3819" s="11" t="str">
        <f aca="false">IF($A3819="","",IF(원본명단!$H3818="",0,COUNTIF(원본명단!$H$3:$H$6002,원본명단!$H3818)))</f>
        <v/>
      </c>
      <c r="F3819" s="11" t="str">
        <f aca="false">IF($A3819="","",IF(원본명단!$I3818="",0,COUNTIF(원본명단!$I$3:$I$6002,원본명단!$I3818)))</f>
        <v/>
      </c>
      <c r="G3819" s="11" t="str">
        <f aca="false">IF($A3819="","",IF(원본명단!$K3818="",0,COUNTIF(원본명단!$K$3:$K$6002,원본명단!$K3818)))</f>
        <v/>
      </c>
      <c r="H3819" s="11" t="str">
        <f aca="false">IF($A3819="","",IF(MAX($E3819,$F3819,$G3819)&gt;1,"중복","-"))</f>
        <v/>
      </c>
      <c r="I3819" s="11" t="str">
        <f aca="false">IF($A3819="","",IF($H3819="-","-",IF(AND(IF(원본명단!$H3818="",TRUE(),COUNTIF(원본명단!$H$3:$H3818,원본명단!$H3818)=1),IF(원본명단!$I3818="",TRUE(),COUNTIF(원본명단!$I$3:$I3818,원본명단!$I3818)=1),IF(원본명단!$K3818="",TRUE(),COUNTIF(원본명단!$K$3:$K3818,원본명단!$K3818)=1)),"첫 건","중복 건")))</f>
        <v/>
      </c>
      <c r="J3819" s="11" t="str">
        <f aca="false">IF($A3819="","",IF($H3819="-","유지",IF($I3819="첫 건","유지","확인 필요")))</f>
        <v/>
      </c>
    </row>
    <row r="3820" customFormat="false" ht="15" hidden="false" customHeight="true" outlineLevel="0" collapsed="false">
      <c r="A3820" s="11" t="str">
        <f aca="false">IF(원본명단!$A3819="","",3817)</f>
        <v/>
      </c>
      <c r="B3820" s="12" t="str">
        <f aca="false">IF($A3820="","",원본명단!$A3819)</f>
        <v/>
      </c>
      <c r="C3820" s="12" t="str">
        <f aca="false">IF($A3820="","",원본명단!$B3819)</f>
        <v/>
      </c>
      <c r="D3820" s="12" t="str">
        <f aca="false">IF($A3820="","",원본명단!$D3819)</f>
        <v/>
      </c>
      <c r="E3820" s="11" t="str">
        <f aca="false">IF($A3820="","",IF(원본명단!$H3819="",0,COUNTIF(원본명단!$H$3:$H$6002,원본명단!$H3819)))</f>
        <v/>
      </c>
      <c r="F3820" s="11" t="str">
        <f aca="false">IF($A3820="","",IF(원본명단!$I3819="",0,COUNTIF(원본명단!$I$3:$I$6002,원본명단!$I3819)))</f>
        <v/>
      </c>
      <c r="G3820" s="11" t="str">
        <f aca="false">IF($A3820="","",IF(원본명단!$K3819="",0,COUNTIF(원본명단!$K$3:$K$6002,원본명단!$K3819)))</f>
        <v/>
      </c>
      <c r="H3820" s="11" t="str">
        <f aca="false">IF($A3820="","",IF(MAX($E3820,$F3820,$G3820)&gt;1,"중복","-"))</f>
        <v/>
      </c>
      <c r="I3820" s="11" t="str">
        <f aca="false">IF($A3820="","",IF($H3820="-","-",IF(AND(IF(원본명단!$H3819="",TRUE(),COUNTIF(원본명단!$H$3:$H3819,원본명단!$H3819)=1),IF(원본명단!$I3819="",TRUE(),COUNTIF(원본명단!$I$3:$I3819,원본명단!$I3819)=1),IF(원본명단!$K3819="",TRUE(),COUNTIF(원본명단!$K$3:$K3819,원본명단!$K3819)=1)),"첫 건","중복 건")))</f>
        <v/>
      </c>
      <c r="J3820" s="11" t="str">
        <f aca="false">IF($A3820="","",IF($H3820="-","유지",IF($I3820="첫 건","유지","확인 필요")))</f>
        <v/>
      </c>
    </row>
    <row r="3821" customFormat="false" ht="15" hidden="false" customHeight="true" outlineLevel="0" collapsed="false">
      <c r="A3821" s="11" t="str">
        <f aca="false">IF(원본명단!$A3820="","",3818)</f>
        <v/>
      </c>
      <c r="B3821" s="12" t="str">
        <f aca="false">IF($A3821="","",원본명단!$A3820)</f>
        <v/>
      </c>
      <c r="C3821" s="12" t="str">
        <f aca="false">IF($A3821="","",원본명단!$B3820)</f>
        <v/>
      </c>
      <c r="D3821" s="12" t="str">
        <f aca="false">IF($A3821="","",원본명단!$D3820)</f>
        <v/>
      </c>
      <c r="E3821" s="11" t="str">
        <f aca="false">IF($A3821="","",IF(원본명단!$H3820="",0,COUNTIF(원본명단!$H$3:$H$6002,원본명단!$H3820)))</f>
        <v/>
      </c>
      <c r="F3821" s="11" t="str">
        <f aca="false">IF($A3821="","",IF(원본명단!$I3820="",0,COUNTIF(원본명단!$I$3:$I$6002,원본명단!$I3820)))</f>
        <v/>
      </c>
      <c r="G3821" s="11" t="str">
        <f aca="false">IF($A3821="","",IF(원본명단!$K3820="",0,COUNTIF(원본명단!$K$3:$K$6002,원본명단!$K3820)))</f>
        <v/>
      </c>
      <c r="H3821" s="11" t="str">
        <f aca="false">IF($A3821="","",IF(MAX($E3821,$F3821,$G3821)&gt;1,"중복","-"))</f>
        <v/>
      </c>
      <c r="I3821" s="11" t="str">
        <f aca="false">IF($A3821="","",IF($H3821="-","-",IF(AND(IF(원본명단!$H3820="",TRUE(),COUNTIF(원본명단!$H$3:$H3820,원본명단!$H3820)=1),IF(원본명단!$I3820="",TRUE(),COUNTIF(원본명단!$I$3:$I3820,원본명단!$I3820)=1),IF(원본명단!$K3820="",TRUE(),COUNTIF(원본명단!$K$3:$K3820,원본명단!$K3820)=1)),"첫 건","중복 건")))</f>
        <v/>
      </c>
      <c r="J3821" s="11" t="str">
        <f aca="false">IF($A3821="","",IF($H3821="-","유지",IF($I3821="첫 건","유지","확인 필요")))</f>
        <v/>
      </c>
    </row>
    <row r="3822" customFormat="false" ht="15" hidden="false" customHeight="true" outlineLevel="0" collapsed="false">
      <c r="A3822" s="11" t="str">
        <f aca="false">IF(원본명단!$A3821="","",3819)</f>
        <v/>
      </c>
      <c r="B3822" s="12" t="str">
        <f aca="false">IF($A3822="","",원본명단!$A3821)</f>
        <v/>
      </c>
      <c r="C3822" s="12" t="str">
        <f aca="false">IF($A3822="","",원본명단!$B3821)</f>
        <v/>
      </c>
      <c r="D3822" s="12" t="str">
        <f aca="false">IF($A3822="","",원본명단!$D3821)</f>
        <v/>
      </c>
      <c r="E3822" s="11" t="str">
        <f aca="false">IF($A3822="","",IF(원본명단!$H3821="",0,COUNTIF(원본명단!$H$3:$H$6002,원본명단!$H3821)))</f>
        <v/>
      </c>
      <c r="F3822" s="11" t="str">
        <f aca="false">IF($A3822="","",IF(원본명단!$I3821="",0,COUNTIF(원본명단!$I$3:$I$6002,원본명단!$I3821)))</f>
        <v/>
      </c>
      <c r="G3822" s="11" t="str">
        <f aca="false">IF($A3822="","",IF(원본명단!$K3821="",0,COUNTIF(원본명단!$K$3:$K$6002,원본명단!$K3821)))</f>
        <v/>
      </c>
      <c r="H3822" s="11" t="str">
        <f aca="false">IF($A3822="","",IF(MAX($E3822,$F3822,$G3822)&gt;1,"중복","-"))</f>
        <v/>
      </c>
      <c r="I3822" s="11" t="str">
        <f aca="false">IF($A3822="","",IF($H3822="-","-",IF(AND(IF(원본명단!$H3821="",TRUE(),COUNTIF(원본명단!$H$3:$H3821,원본명단!$H3821)=1),IF(원본명단!$I3821="",TRUE(),COUNTIF(원본명단!$I$3:$I3821,원본명단!$I3821)=1),IF(원본명단!$K3821="",TRUE(),COUNTIF(원본명단!$K$3:$K3821,원본명단!$K3821)=1)),"첫 건","중복 건")))</f>
        <v/>
      </c>
      <c r="J3822" s="11" t="str">
        <f aca="false">IF($A3822="","",IF($H3822="-","유지",IF($I3822="첫 건","유지","확인 필요")))</f>
        <v/>
      </c>
    </row>
    <row r="3823" customFormat="false" ht="15" hidden="false" customHeight="true" outlineLevel="0" collapsed="false">
      <c r="A3823" s="11" t="str">
        <f aca="false">IF(원본명단!$A3822="","",3820)</f>
        <v/>
      </c>
      <c r="B3823" s="12" t="str">
        <f aca="false">IF($A3823="","",원본명단!$A3822)</f>
        <v/>
      </c>
      <c r="C3823" s="12" t="str">
        <f aca="false">IF($A3823="","",원본명단!$B3822)</f>
        <v/>
      </c>
      <c r="D3823" s="12" t="str">
        <f aca="false">IF($A3823="","",원본명단!$D3822)</f>
        <v/>
      </c>
      <c r="E3823" s="11" t="str">
        <f aca="false">IF($A3823="","",IF(원본명단!$H3822="",0,COUNTIF(원본명단!$H$3:$H$6002,원본명단!$H3822)))</f>
        <v/>
      </c>
      <c r="F3823" s="11" t="str">
        <f aca="false">IF($A3823="","",IF(원본명단!$I3822="",0,COUNTIF(원본명단!$I$3:$I$6002,원본명단!$I3822)))</f>
        <v/>
      </c>
      <c r="G3823" s="11" t="str">
        <f aca="false">IF($A3823="","",IF(원본명단!$K3822="",0,COUNTIF(원본명단!$K$3:$K$6002,원본명단!$K3822)))</f>
        <v/>
      </c>
      <c r="H3823" s="11" t="str">
        <f aca="false">IF($A3823="","",IF(MAX($E3823,$F3823,$G3823)&gt;1,"중복","-"))</f>
        <v/>
      </c>
      <c r="I3823" s="11" t="str">
        <f aca="false">IF($A3823="","",IF($H3823="-","-",IF(AND(IF(원본명단!$H3822="",TRUE(),COUNTIF(원본명단!$H$3:$H3822,원본명단!$H3822)=1),IF(원본명단!$I3822="",TRUE(),COUNTIF(원본명단!$I$3:$I3822,원본명단!$I3822)=1),IF(원본명단!$K3822="",TRUE(),COUNTIF(원본명단!$K$3:$K3822,원본명단!$K3822)=1)),"첫 건","중복 건")))</f>
        <v/>
      </c>
      <c r="J3823" s="11" t="str">
        <f aca="false">IF($A3823="","",IF($H3823="-","유지",IF($I3823="첫 건","유지","확인 필요")))</f>
        <v/>
      </c>
    </row>
    <row r="3824" customFormat="false" ht="15" hidden="false" customHeight="true" outlineLevel="0" collapsed="false">
      <c r="A3824" s="11" t="str">
        <f aca="false">IF(원본명단!$A3823="","",3821)</f>
        <v/>
      </c>
      <c r="B3824" s="12" t="str">
        <f aca="false">IF($A3824="","",원본명단!$A3823)</f>
        <v/>
      </c>
      <c r="C3824" s="12" t="str">
        <f aca="false">IF($A3824="","",원본명단!$B3823)</f>
        <v/>
      </c>
      <c r="D3824" s="12" t="str">
        <f aca="false">IF($A3824="","",원본명단!$D3823)</f>
        <v/>
      </c>
      <c r="E3824" s="11" t="str">
        <f aca="false">IF($A3824="","",IF(원본명단!$H3823="",0,COUNTIF(원본명단!$H$3:$H$6002,원본명단!$H3823)))</f>
        <v/>
      </c>
      <c r="F3824" s="11" t="str">
        <f aca="false">IF($A3824="","",IF(원본명단!$I3823="",0,COUNTIF(원본명단!$I$3:$I$6002,원본명단!$I3823)))</f>
        <v/>
      </c>
      <c r="G3824" s="11" t="str">
        <f aca="false">IF($A3824="","",IF(원본명단!$K3823="",0,COUNTIF(원본명단!$K$3:$K$6002,원본명단!$K3823)))</f>
        <v/>
      </c>
      <c r="H3824" s="11" t="str">
        <f aca="false">IF($A3824="","",IF(MAX($E3824,$F3824,$G3824)&gt;1,"중복","-"))</f>
        <v/>
      </c>
      <c r="I3824" s="11" t="str">
        <f aca="false">IF($A3824="","",IF($H3824="-","-",IF(AND(IF(원본명단!$H3823="",TRUE(),COUNTIF(원본명단!$H$3:$H3823,원본명단!$H3823)=1),IF(원본명단!$I3823="",TRUE(),COUNTIF(원본명단!$I$3:$I3823,원본명단!$I3823)=1),IF(원본명단!$K3823="",TRUE(),COUNTIF(원본명단!$K$3:$K3823,원본명단!$K3823)=1)),"첫 건","중복 건")))</f>
        <v/>
      </c>
      <c r="J3824" s="11" t="str">
        <f aca="false">IF($A3824="","",IF($H3824="-","유지",IF($I3824="첫 건","유지","확인 필요")))</f>
        <v/>
      </c>
    </row>
    <row r="3825" customFormat="false" ht="15" hidden="false" customHeight="true" outlineLevel="0" collapsed="false">
      <c r="A3825" s="11" t="str">
        <f aca="false">IF(원본명단!$A3824="","",3822)</f>
        <v/>
      </c>
      <c r="B3825" s="12" t="str">
        <f aca="false">IF($A3825="","",원본명단!$A3824)</f>
        <v/>
      </c>
      <c r="C3825" s="12" t="str">
        <f aca="false">IF($A3825="","",원본명단!$B3824)</f>
        <v/>
      </c>
      <c r="D3825" s="12" t="str">
        <f aca="false">IF($A3825="","",원본명단!$D3824)</f>
        <v/>
      </c>
      <c r="E3825" s="11" t="str">
        <f aca="false">IF($A3825="","",IF(원본명단!$H3824="",0,COUNTIF(원본명단!$H$3:$H$6002,원본명단!$H3824)))</f>
        <v/>
      </c>
      <c r="F3825" s="11" t="str">
        <f aca="false">IF($A3825="","",IF(원본명단!$I3824="",0,COUNTIF(원본명단!$I$3:$I$6002,원본명단!$I3824)))</f>
        <v/>
      </c>
      <c r="G3825" s="11" t="str">
        <f aca="false">IF($A3825="","",IF(원본명단!$K3824="",0,COUNTIF(원본명단!$K$3:$K$6002,원본명단!$K3824)))</f>
        <v/>
      </c>
      <c r="H3825" s="11" t="str">
        <f aca="false">IF($A3825="","",IF(MAX($E3825,$F3825,$G3825)&gt;1,"중복","-"))</f>
        <v/>
      </c>
      <c r="I3825" s="11" t="str">
        <f aca="false">IF($A3825="","",IF($H3825="-","-",IF(AND(IF(원본명단!$H3824="",TRUE(),COUNTIF(원본명단!$H$3:$H3824,원본명단!$H3824)=1),IF(원본명단!$I3824="",TRUE(),COUNTIF(원본명단!$I$3:$I3824,원본명단!$I3824)=1),IF(원본명단!$K3824="",TRUE(),COUNTIF(원본명단!$K$3:$K3824,원본명단!$K3824)=1)),"첫 건","중복 건")))</f>
        <v/>
      </c>
      <c r="J3825" s="11" t="str">
        <f aca="false">IF($A3825="","",IF($H3825="-","유지",IF($I3825="첫 건","유지","확인 필요")))</f>
        <v/>
      </c>
    </row>
    <row r="3826" customFormat="false" ht="15" hidden="false" customHeight="true" outlineLevel="0" collapsed="false">
      <c r="A3826" s="11" t="str">
        <f aca="false">IF(원본명단!$A3825="","",3823)</f>
        <v/>
      </c>
      <c r="B3826" s="12" t="str">
        <f aca="false">IF($A3826="","",원본명단!$A3825)</f>
        <v/>
      </c>
      <c r="C3826" s="12" t="str">
        <f aca="false">IF($A3826="","",원본명단!$B3825)</f>
        <v/>
      </c>
      <c r="D3826" s="12" t="str">
        <f aca="false">IF($A3826="","",원본명단!$D3825)</f>
        <v/>
      </c>
      <c r="E3826" s="11" t="str">
        <f aca="false">IF($A3826="","",IF(원본명단!$H3825="",0,COUNTIF(원본명단!$H$3:$H$6002,원본명단!$H3825)))</f>
        <v/>
      </c>
      <c r="F3826" s="11" t="str">
        <f aca="false">IF($A3826="","",IF(원본명단!$I3825="",0,COUNTIF(원본명단!$I$3:$I$6002,원본명단!$I3825)))</f>
        <v/>
      </c>
      <c r="G3826" s="11" t="str">
        <f aca="false">IF($A3826="","",IF(원본명단!$K3825="",0,COUNTIF(원본명단!$K$3:$K$6002,원본명단!$K3825)))</f>
        <v/>
      </c>
      <c r="H3826" s="11" t="str">
        <f aca="false">IF($A3826="","",IF(MAX($E3826,$F3826,$G3826)&gt;1,"중복","-"))</f>
        <v/>
      </c>
      <c r="I3826" s="11" t="str">
        <f aca="false">IF($A3826="","",IF($H3826="-","-",IF(AND(IF(원본명단!$H3825="",TRUE(),COUNTIF(원본명단!$H$3:$H3825,원본명단!$H3825)=1),IF(원본명단!$I3825="",TRUE(),COUNTIF(원본명단!$I$3:$I3825,원본명단!$I3825)=1),IF(원본명단!$K3825="",TRUE(),COUNTIF(원본명단!$K$3:$K3825,원본명단!$K3825)=1)),"첫 건","중복 건")))</f>
        <v/>
      </c>
      <c r="J3826" s="11" t="str">
        <f aca="false">IF($A3826="","",IF($H3826="-","유지",IF($I3826="첫 건","유지","확인 필요")))</f>
        <v/>
      </c>
    </row>
    <row r="3827" customFormat="false" ht="15" hidden="false" customHeight="true" outlineLevel="0" collapsed="false">
      <c r="A3827" s="11" t="str">
        <f aca="false">IF(원본명단!$A3826="","",3824)</f>
        <v/>
      </c>
      <c r="B3827" s="12" t="str">
        <f aca="false">IF($A3827="","",원본명단!$A3826)</f>
        <v/>
      </c>
      <c r="C3827" s="12" t="str">
        <f aca="false">IF($A3827="","",원본명단!$B3826)</f>
        <v/>
      </c>
      <c r="D3827" s="12" t="str">
        <f aca="false">IF($A3827="","",원본명단!$D3826)</f>
        <v/>
      </c>
      <c r="E3827" s="11" t="str">
        <f aca="false">IF($A3827="","",IF(원본명단!$H3826="",0,COUNTIF(원본명단!$H$3:$H$6002,원본명단!$H3826)))</f>
        <v/>
      </c>
      <c r="F3827" s="11" t="str">
        <f aca="false">IF($A3827="","",IF(원본명단!$I3826="",0,COUNTIF(원본명단!$I$3:$I$6002,원본명단!$I3826)))</f>
        <v/>
      </c>
      <c r="G3827" s="11" t="str">
        <f aca="false">IF($A3827="","",IF(원본명단!$K3826="",0,COUNTIF(원본명단!$K$3:$K$6002,원본명단!$K3826)))</f>
        <v/>
      </c>
      <c r="H3827" s="11" t="str">
        <f aca="false">IF($A3827="","",IF(MAX($E3827,$F3827,$G3827)&gt;1,"중복","-"))</f>
        <v/>
      </c>
      <c r="I3827" s="11" t="str">
        <f aca="false">IF($A3827="","",IF($H3827="-","-",IF(AND(IF(원본명단!$H3826="",TRUE(),COUNTIF(원본명단!$H$3:$H3826,원본명단!$H3826)=1),IF(원본명단!$I3826="",TRUE(),COUNTIF(원본명단!$I$3:$I3826,원본명단!$I3826)=1),IF(원본명단!$K3826="",TRUE(),COUNTIF(원본명단!$K$3:$K3826,원본명단!$K3826)=1)),"첫 건","중복 건")))</f>
        <v/>
      </c>
      <c r="J3827" s="11" t="str">
        <f aca="false">IF($A3827="","",IF($H3827="-","유지",IF($I3827="첫 건","유지","확인 필요")))</f>
        <v/>
      </c>
    </row>
    <row r="3828" customFormat="false" ht="15" hidden="false" customHeight="true" outlineLevel="0" collapsed="false">
      <c r="A3828" s="11" t="str">
        <f aca="false">IF(원본명단!$A3827="","",3825)</f>
        <v/>
      </c>
      <c r="B3828" s="12" t="str">
        <f aca="false">IF($A3828="","",원본명단!$A3827)</f>
        <v/>
      </c>
      <c r="C3828" s="12" t="str">
        <f aca="false">IF($A3828="","",원본명단!$B3827)</f>
        <v/>
      </c>
      <c r="D3828" s="12" t="str">
        <f aca="false">IF($A3828="","",원본명단!$D3827)</f>
        <v/>
      </c>
      <c r="E3828" s="11" t="str">
        <f aca="false">IF($A3828="","",IF(원본명단!$H3827="",0,COUNTIF(원본명단!$H$3:$H$6002,원본명단!$H3827)))</f>
        <v/>
      </c>
      <c r="F3828" s="11" t="str">
        <f aca="false">IF($A3828="","",IF(원본명단!$I3827="",0,COUNTIF(원본명단!$I$3:$I$6002,원본명단!$I3827)))</f>
        <v/>
      </c>
      <c r="G3828" s="11" t="str">
        <f aca="false">IF($A3828="","",IF(원본명단!$K3827="",0,COUNTIF(원본명단!$K$3:$K$6002,원본명단!$K3827)))</f>
        <v/>
      </c>
      <c r="H3828" s="11" t="str">
        <f aca="false">IF($A3828="","",IF(MAX($E3828,$F3828,$G3828)&gt;1,"중복","-"))</f>
        <v/>
      </c>
      <c r="I3828" s="11" t="str">
        <f aca="false">IF($A3828="","",IF($H3828="-","-",IF(AND(IF(원본명단!$H3827="",TRUE(),COUNTIF(원본명단!$H$3:$H3827,원본명단!$H3827)=1),IF(원본명단!$I3827="",TRUE(),COUNTIF(원본명단!$I$3:$I3827,원본명단!$I3827)=1),IF(원본명단!$K3827="",TRUE(),COUNTIF(원본명단!$K$3:$K3827,원본명단!$K3827)=1)),"첫 건","중복 건")))</f>
        <v/>
      </c>
      <c r="J3828" s="11" t="str">
        <f aca="false">IF($A3828="","",IF($H3828="-","유지",IF($I3828="첫 건","유지","확인 필요")))</f>
        <v/>
      </c>
    </row>
    <row r="3829" customFormat="false" ht="15" hidden="false" customHeight="true" outlineLevel="0" collapsed="false">
      <c r="A3829" s="11" t="str">
        <f aca="false">IF(원본명단!$A3828="","",3826)</f>
        <v/>
      </c>
      <c r="B3829" s="12" t="str">
        <f aca="false">IF($A3829="","",원본명단!$A3828)</f>
        <v/>
      </c>
      <c r="C3829" s="12" t="str">
        <f aca="false">IF($A3829="","",원본명단!$B3828)</f>
        <v/>
      </c>
      <c r="D3829" s="12" t="str">
        <f aca="false">IF($A3829="","",원본명단!$D3828)</f>
        <v/>
      </c>
      <c r="E3829" s="11" t="str">
        <f aca="false">IF($A3829="","",IF(원본명단!$H3828="",0,COUNTIF(원본명단!$H$3:$H$6002,원본명단!$H3828)))</f>
        <v/>
      </c>
      <c r="F3829" s="11" t="str">
        <f aca="false">IF($A3829="","",IF(원본명단!$I3828="",0,COUNTIF(원본명단!$I$3:$I$6002,원본명단!$I3828)))</f>
        <v/>
      </c>
      <c r="G3829" s="11" t="str">
        <f aca="false">IF($A3829="","",IF(원본명단!$K3828="",0,COUNTIF(원본명단!$K$3:$K$6002,원본명단!$K3828)))</f>
        <v/>
      </c>
      <c r="H3829" s="11" t="str">
        <f aca="false">IF($A3829="","",IF(MAX($E3829,$F3829,$G3829)&gt;1,"중복","-"))</f>
        <v/>
      </c>
      <c r="I3829" s="11" t="str">
        <f aca="false">IF($A3829="","",IF($H3829="-","-",IF(AND(IF(원본명단!$H3828="",TRUE(),COUNTIF(원본명단!$H$3:$H3828,원본명단!$H3828)=1),IF(원본명단!$I3828="",TRUE(),COUNTIF(원본명단!$I$3:$I3828,원본명단!$I3828)=1),IF(원본명단!$K3828="",TRUE(),COUNTIF(원본명단!$K$3:$K3828,원본명단!$K3828)=1)),"첫 건","중복 건")))</f>
        <v/>
      </c>
      <c r="J3829" s="11" t="str">
        <f aca="false">IF($A3829="","",IF($H3829="-","유지",IF($I3829="첫 건","유지","확인 필요")))</f>
        <v/>
      </c>
    </row>
    <row r="3830" customFormat="false" ht="15" hidden="false" customHeight="true" outlineLevel="0" collapsed="false">
      <c r="A3830" s="11" t="str">
        <f aca="false">IF(원본명단!$A3829="","",3827)</f>
        <v/>
      </c>
      <c r="B3830" s="12" t="str">
        <f aca="false">IF($A3830="","",원본명단!$A3829)</f>
        <v/>
      </c>
      <c r="C3830" s="12" t="str">
        <f aca="false">IF($A3830="","",원본명단!$B3829)</f>
        <v/>
      </c>
      <c r="D3830" s="12" t="str">
        <f aca="false">IF($A3830="","",원본명단!$D3829)</f>
        <v/>
      </c>
      <c r="E3830" s="11" t="str">
        <f aca="false">IF($A3830="","",IF(원본명단!$H3829="",0,COUNTIF(원본명단!$H$3:$H$6002,원본명단!$H3829)))</f>
        <v/>
      </c>
      <c r="F3830" s="11" t="str">
        <f aca="false">IF($A3830="","",IF(원본명단!$I3829="",0,COUNTIF(원본명단!$I$3:$I$6002,원본명단!$I3829)))</f>
        <v/>
      </c>
      <c r="G3830" s="11" t="str">
        <f aca="false">IF($A3830="","",IF(원본명단!$K3829="",0,COUNTIF(원본명단!$K$3:$K$6002,원본명단!$K3829)))</f>
        <v/>
      </c>
      <c r="H3830" s="11" t="str">
        <f aca="false">IF($A3830="","",IF(MAX($E3830,$F3830,$G3830)&gt;1,"중복","-"))</f>
        <v/>
      </c>
      <c r="I3830" s="11" t="str">
        <f aca="false">IF($A3830="","",IF($H3830="-","-",IF(AND(IF(원본명단!$H3829="",TRUE(),COUNTIF(원본명단!$H$3:$H3829,원본명단!$H3829)=1),IF(원본명단!$I3829="",TRUE(),COUNTIF(원본명단!$I$3:$I3829,원본명단!$I3829)=1),IF(원본명단!$K3829="",TRUE(),COUNTIF(원본명단!$K$3:$K3829,원본명단!$K3829)=1)),"첫 건","중복 건")))</f>
        <v/>
      </c>
      <c r="J3830" s="11" t="str">
        <f aca="false">IF($A3830="","",IF($H3830="-","유지",IF($I3830="첫 건","유지","확인 필요")))</f>
        <v/>
      </c>
    </row>
    <row r="3831" customFormat="false" ht="15" hidden="false" customHeight="true" outlineLevel="0" collapsed="false">
      <c r="A3831" s="11" t="str">
        <f aca="false">IF(원본명단!$A3830="","",3828)</f>
        <v/>
      </c>
      <c r="B3831" s="12" t="str">
        <f aca="false">IF($A3831="","",원본명단!$A3830)</f>
        <v/>
      </c>
      <c r="C3831" s="12" t="str">
        <f aca="false">IF($A3831="","",원본명단!$B3830)</f>
        <v/>
      </c>
      <c r="D3831" s="12" t="str">
        <f aca="false">IF($A3831="","",원본명단!$D3830)</f>
        <v/>
      </c>
      <c r="E3831" s="11" t="str">
        <f aca="false">IF($A3831="","",IF(원본명단!$H3830="",0,COUNTIF(원본명단!$H$3:$H$6002,원본명단!$H3830)))</f>
        <v/>
      </c>
      <c r="F3831" s="11" t="str">
        <f aca="false">IF($A3831="","",IF(원본명단!$I3830="",0,COUNTIF(원본명단!$I$3:$I$6002,원본명단!$I3830)))</f>
        <v/>
      </c>
      <c r="G3831" s="11" t="str">
        <f aca="false">IF($A3831="","",IF(원본명단!$K3830="",0,COUNTIF(원본명단!$K$3:$K$6002,원본명단!$K3830)))</f>
        <v/>
      </c>
      <c r="H3831" s="11" t="str">
        <f aca="false">IF($A3831="","",IF(MAX($E3831,$F3831,$G3831)&gt;1,"중복","-"))</f>
        <v/>
      </c>
      <c r="I3831" s="11" t="str">
        <f aca="false">IF($A3831="","",IF($H3831="-","-",IF(AND(IF(원본명단!$H3830="",TRUE(),COUNTIF(원본명단!$H$3:$H3830,원본명단!$H3830)=1),IF(원본명단!$I3830="",TRUE(),COUNTIF(원본명단!$I$3:$I3830,원본명단!$I3830)=1),IF(원본명단!$K3830="",TRUE(),COUNTIF(원본명단!$K$3:$K3830,원본명단!$K3830)=1)),"첫 건","중복 건")))</f>
        <v/>
      </c>
      <c r="J3831" s="11" t="str">
        <f aca="false">IF($A3831="","",IF($H3831="-","유지",IF($I3831="첫 건","유지","확인 필요")))</f>
        <v/>
      </c>
    </row>
    <row r="3832" customFormat="false" ht="15" hidden="false" customHeight="true" outlineLevel="0" collapsed="false">
      <c r="A3832" s="11" t="str">
        <f aca="false">IF(원본명단!$A3831="","",3829)</f>
        <v/>
      </c>
      <c r="B3832" s="12" t="str">
        <f aca="false">IF($A3832="","",원본명단!$A3831)</f>
        <v/>
      </c>
      <c r="C3832" s="12" t="str">
        <f aca="false">IF($A3832="","",원본명단!$B3831)</f>
        <v/>
      </c>
      <c r="D3832" s="12" t="str">
        <f aca="false">IF($A3832="","",원본명단!$D3831)</f>
        <v/>
      </c>
      <c r="E3832" s="11" t="str">
        <f aca="false">IF($A3832="","",IF(원본명단!$H3831="",0,COUNTIF(원본명단!$H$3:$H$6002,원본명단!$H3831)))</f>
        <v/>
      </c>
      <c r="F3832" s="11" t="str">
        <f aca="false">IF($A3832="","",IF(원본명단!$I3831="",0,COUNTIF(원본명단!$I$3:$I$6002,원본명단!$I3831)))</f>
        <v/>
      </c>
      <c r="G3832" s="11" t="str">
        <f aca="false">IF($A3832="","",IF(원본명단!$K3831="",0,COUNTIF(원본명단!$K$3:$K$6002,원본명단!$K3831)))</f>
        <v/>
      </c>
      <c r="H3832" s="11" t="str">
        <f aca="false">IF($A3832="","",IF(MAX($E3832,$F3832,$G3832)&gt;1,"중복","-"))</f>
        <v/>
      </c>
      <c r="I3832" s="11" t="str">
        <f aca="false">IF($A3832="","",IF($H3832="-","-",IF(AND(IF(원본명단!$H3831="",TRUE(),COUNTIF(원본명단!$H$3:$H3831,원본명단!$H3831)=1),IF(원본명단!$I3831="",TRUE(),COUNTIF(원본명단!$I$3:$I3831,원본명단!$I3831)=1),IF(원본명단!$K3831="",TRUE(),COUNTIF(원본명단!$K$3:$K3831,원본명단!$K3831)=1)),"첫 건","중복 건")))</f>
        <v/>
      </c>
      <c r="J3832" s="11" t="str">
        <f aca="false">IF($A3832="","",IF($H3832="-","유지",IF($I3832="첫 건","유지","확인 필요")))</f>
        <v/>
      </c>
    </row>
    <row r="3833" customFormat="false" ht="15" hidden="false" customHeight="true" outlineLevel="0" collapsed="false">
      <c r="A3833" s="11" t="str">
        <f aca="false">IF(원본명단!$A3832="","",3830)</f>
        <v/>
      </c>
      <c r="B3833" s="12" t="str">
        <f aca="false">IF($A3833="","",원본명단!$A3832)</f>
        <v/>
      </c>
      <c r="C3833" s="12" t="str">
        <f aca="false">IF($A3833="","",원본명단!$B3832)</f>
        <v/>
      </c>
      <c r="D3833" s="12" t="str">
        <f aca="false">IF($A3833="","",원본명단!$D3832)</f>
        <v/>
      </c>
      <c r="E3833" s="11" t="str">
        <f aca="false">IF($A3833="","",IF(원본명단!$H3832="",0,COUNTIF(원본명단!$H$3:$H$6002,원본명단!$H3832)))</f>
        <v/>
      </c>
      <c r="F3833" s="11" t="str">
        <f aca="false">IF($A3833="","",IF(원본명단!$I3832="",0,COUNTIF(원본명단!$I$3:$I$6002,원본명단!$I3832)))</f>
        <v/>
      </c>
      <c r="G3833" s="11" t="str">
        <f aca="false">IF($A3833="","",IF(원본명단!$K3832="",0,COUNTIF(원본명단!$K$3:$K$6002,원본명단!$K3832)))</f>
        <v/>
      </c>
      <c r="H3833" s="11" t="str">
        <f aca="false">IF($A3833="","",IF(MAX($E3833,$F3833,$G3833)&gt;1,"중복","-"))</f>
        <v/>
      </c>
      <c r="I3833" s="11" t="str">
        <f aca="false">IF($A3833="","",IF($H3833="-","-",IF(AND(IF(원본명단!$H3832="",TRUE(),COUNTIF(원본명단!$H$3:$H3832,원본명단!$H3832)=1),IF(원본명단!$I3832="",TRUE(),COUNTIF(원본명단!$I$3:$I3832,원본명단!$I3832)=1),IF(원본명단!$K3832="",TRUE(),COUNTIF(원본명단!$K$3:$K3832,원본명단!$K3832)=1)),"첫 건","중복 건")))</f>
        <v/>
      </c>
      <c r="J3833" s="11" t="str">
        <f aca="false">IF($A3833="","",IF($H3833="-","유지",IF($I3833="첫 건","유지","확인 필요")))</f>
        <v/>
      </c>
    </row>
    <row r="3834" customFormat="false" ht="15" hidden="false" customHeight="true" outlineLevel="0" collapsed="false">
      <c r="A3834" s="11" t="str">
        <f aca="false">IF(원본명단!$A3833="","",3831)</f>
        <v/>
      </c>
      <c r="B3834" s="12" t="str">
        <f aca="false">IF($A3834="","",원본명단!$A3833)</f>
        <v/>
      </c>
      <c r="C3834" s="12" t="str">
        <f aca="false">IF($A3834="","",원본명단!$B3833)</f>
        <v/>
      </c>
      <c r="D3834" s="12" t="str">
        <f aca="false">IF($A3834="","",원본명단!$D3833)</f>
        <v/>
      </c>
      <c r="E3834" s="11" t="str">
        <f aca="false">IF($A3834="","",IF(원본명단!$H3833="",0,COUNTIF(원본명단!$H$3:$H$6002,원본명단!$H3833)))</f>
        <v/>
      </c>
      <c r="F3834" s="11" t="str">
        <f aca="false">IF($A3834="","",IF(원본명단!$I3833="",0,COUNTIF(원본명단!$I$3:$I$6002,원본명단!$I3833)))</f>
        <v/>
      </c>
      <c r="G3834" s="11" t="str">
        <f aca="false">IF($A3834="","",IF(원본명단!$K3833="",0,COUNTIF(원본명단!$K$3:$K$6002,원본명단!$K3833)))</f>
        <v/>
      </c>
      <c r="H3834" s="11" t="str">
        <f aca="false">IF($A3834="","",IF(MAX($E3834,$F3834,$G3834)&gt;1,"중복","-"))</f>
        <v/>
      </c>
      <c r="I3834" s="11" t="str">
        <f aca="false">IF($A3834="","",IF($H3834="-","-",IF(AND(IF(원본명단!$H3833="",TRUE(),COUNTIF(원본명단!$H$3:$H3833,원본명단!$H3833)=1),IF(원본명단!$I3833="",TRUE(),COUNTIF(원본명단!$I$3:$I3833,원본명단!$I3833)=1),IF(원본명단!$K3833="",TRUE(),COUNTIF(원본명단!$K$3:$K3833,원본명단!$K3833)=1)),"첫 건","중복 건")))</f>
        <v/>
      </c>
      <c r="J3834" s="11" t="str">
        <f aca="false">IF($A3834="","",IF($H3834="-","유지",IF($I3834="첫 건","유지","확인 필요")))</f>
        <v/>
      </c>
    </row>
    <row r="3835" customFormat="false" ht="15" hidden="false" customHeight="true" outlineLevel="0" collapsed="false">
      <c r="A3835" s="11" t="str">
        <f aca="false">IF(원본명단!$A3834="","",3832)</f>
        <v/>
      </c>
      <c r="B3835" s="12" t="str">
        <f aca="false">IF($A3835="","",원본명단!$A3834)</f>
        <v/>
      </c>
      <c r="C3835" s="12" t="str">
        <f aca="false">IF($A3835="","",원본명단!$B3834)</f>
        <v/>
      </c>
      <c r="D3835" s="12" t="str">
        <f aca="false">IF($A3835="","",원본명단!$D3834)</f>
        <v/>
      </c>
      <c r="E3835" s="11" t="str">
        <f aca="false">IF($A3835="","",IF(원본명단!$H3834="",0,COUNTIF(원본명단!$H$3:$H$6002,원본명단!$H3834)))</f>
        <v/>
      </c>
      <c r="F3835" s="11" t="str">
        <f aca="false">IF($A3835="","",IF(원본명단!$I3834="",0,COUNTIF(원본명단!$I$3:$I$6002,원본명단!$I3834)))</f>
        <v/>
      </c>
      <c r="G3835" s="11" t="str">
        <f aca="false">IF($A3835="","",IF(원본명단!$K3834="",0,COUNTIF(원본명단!$K$3:$K$6002,원본명단!$K3834)))</f>
        <v/>
      </c>
      <c r="H3835" s="11" t="str">
        <f aca="false">IF($A3835="","",IF(MAX($E3835,$F3835,$G3835)&gt;1,"중복","-"))</f>
        <v/>
      </c>
      <c r="I3835" s="11" t="str">
        <f aca="false">IF($A3835="","",IF($H3835="-","-",IF(AND(IF(원본명단!$H3834="",TRUE(),COUNTIF(원본명단!$H$3:$H3834,원본명단!$H3834)=1),IF(원본명단!$I3834="",TRUE(),COUNTIF(원본명단!$I$3:$I3834,원본명단!$I3834)=1),IF(원본명단!$K3834="",TRUE(),COUNTIF(원본명단!$K$3:$K3834,원본명단!$K3834)=1)),"첫 건","중복 건")))</f>
        <v/>
      </c>
      <c r="J3835" s="11" t="str">
        <f aca="false">IF($A3835="","",IF($H3835="-","유지",IF($I3835="첫 건","유지","확인 필요")))</f>
        <v/>
      </c>
    </row>
    <row r="3836" customFormat="false" ht="15" hidden="false" customHeight="true" outlineLevel="0" collapsed="false">
      <c r="A3836" s="11" t="str">
        <f aca="false">IF(원본명단!$A3835="","",3833)</f>
        <v/>
      </c>
      <c r="B3836" s="12" t="str">
        <f aca="false">IF($A3836="","",원본명단!$A3835)</f>
        <v/>
      </c>
      <c r="C3836" s="12" t="str">
        <f aca="false">IF($A3836="","",원본명단!$B3835)</f>
        <v/>
      </c>
      <c r="D3836" s="12" t="str">
        <f aca="false">IF($A3836="","",원본명단!$D3835)</f>
        <v/>
      </c>
      <c r="E3836" s="11" t="str">
        <f aca="false">IF($A3836="","",IF(원본명단!$H3835="",0,COUNTIF(원본명단!$H$3:$H$6002,원본명단!$H3835)))</f>
        <v/>
      </c>
      <c r="F3836" s="11" t="str">
        <f aca="false">IF($A3836="","",IF(원본명단!$I3835="",0,COUNTIF(원본명단!$I$3:$I$6002,원본명단!$I3835)))</f>
        <v/>
      </c>
      <c r="G3836" s="11" t="str">
        <f aca="false">IF($A3836="","",IF(원본명단!$K3835="",0,COUNTIF(원본명단!$K$3:$K$6002,원본명단!$K3835)))</f>
        <v/>
      </c>
      <c r="H3836" s="11" t="str">
        <f aca="false">IF($A3836="","",IF(MAX($E3836,$F3836,$G3836)&gt;1,"중복","-"))</f>
        <v/>
      </c>
      <c r="I3836" s="11" t="str">
        <f aca="false">IF($A3836="","",IF($H3836="-","-",IF(AND(IF(원본명단!$H3835="",TRUE(),COUNTIF(원본명단!$H$3:$H3835,원본명단!$H3835)=1),IF(원본명단!$I3835="",TRUE(),COUNTIF(원본명단!$I$3:$I3835,원본명단!$I3835)=1),IF(원본명단!$K3835="",TRUE(),COUNTIF(원본명단!$K$3:$K3835,원본명단!$K3835)=1)),"첫 건","중복 건")))</f>
        <v/>
      </c>
      <c r="J3836" s="11" t="str">
        <f aca="false">IF($A3836="","",IF($H3836="-","유지",IF($I3836="첫 건","유지","확인 필요")))</f>
        <v/>
      </c>
    </row>
    <row r="3837" customFormat="false" ht="15" hidden="false" customHeight="true" outlineLevel="0" collapsed="false">
      <c r="A3837" s="11" t="str">
        <f aca="false">IF(원본명단!$A3836="","",3834)</f>
        <v/>
      </c>
      <c r="B3837" s="12" t="str">
        <f aca="false">IF($A3837="","",원본명단!$A3836)</f>
        <v/>
      </c>
      <c r="C3837" s="12" t="str">
        <f aca="false">IF($A3837="","",원본명단!$B3836)</f>
        <v/>
      </c>
      <c r="D3837" s="12" t="str">
        <f aca="false">IF($A3837="","",원본명단!$D3836)</f>
        <v/>
      </c>
      <c r="E3837" s="11" t="str">
        <f aca="false">IF($A3837="","",IF(원본명단!$H3836="",0,COUNTIF(원본명단!$H$3:$H$6002,원본명단!$H3836)))</f>
        <v/>
      </c>
      <c r="F3837" s="11" t="str">
        <f aca="false">IF($A3837="","",IF(원본명단!$I3836="",0,COUNTIF(원본명단!$I$3:$I$6002,원본명단!$I3836)))</f>
        <v/>
      </c>
      <c r="G3837" s="11" t="str">
        <f aca="false">IF($A3837="","",IF(원본명단!$K3836="",0,COUNTIF(원본명단!$K$3:$K$6002,원본명단!$K3836)))</f>
        <v/>
      </c>
      <c r="H3837" s="11" t="str">
        <f aca="false">IF($A3837="","",IF(MAX($E3837,$F3837,$G3837)&gt;1,"중복","-"))</f>
        <v/>
      </c>
      <c r="I3837" s="11" t="str">
        <f aca="false">IF($A3837="","",IF($H3837="-","-",IF(AND(IF(원본명단!$H3836="",TRUE(),COUNTIF(원본명단!$H$3:$H3836,원본명단!$H3836)=1),IF(원본명단!$I3836="",TRUE(),COUNTIF(원본명단!$I$3:$I3836,원본명단!$I3836)=1),IF(원본명단!$K3836="",TRUE(),COUNTIF(원본명단!$K$3:$K3836,원본명단!$K3836)=1)),"첫 건","중복 건")))</f>
        <v/>
      </c>
      <c r="J3837" s="11" t="str">
        <f aca="false">IF($A3837="","",IF($H3837="-","유지",IF($I3837="첫 건","유지","확인 필요")))</f>
        <v/>
      </c>
    </row>
    <row r="3838" customFormat="false" ht="15" hidden="false" customHeight="true" outlineLevel="0" collapsed="false">
      <c r="A3838" s="11" t="str">
        <f aca="false">IF(원본명단!$A3837="","",3835)</f>
        <v/>
      </c>
      <c r="B3838" s="12" t="str">
        <f aca="false">IF($A3838="","",원본명단!$A3837)</f>
        <v/>
      </c>
      <c r="C3838" s="12" t="str">
        <f aca="false">IF($A3838="","",원본명단!$B3837)</f>
        <v/>
      </c>
      <c r="D3838" s="12" t="str">
        <f aca="false">IF($A3838="","",원본명단!$D3837)</f>
        <v/>
      </c>
      <c r="E3838" s="11" t="str">
        <f aca="false">IF($A3838="","",IF(원본명단!$H3837="",0,COUNTIF(원본명단!$H$3:$H$6002,원본명단!$H3837)))</f>
        <v/>
      </c>
      <c r="F3838" s="11" t="str">
        <f aca="false">IF($A3838="","",IF(원본명단!$I3837="",0,COUNTIF(원본명단!$I$3:$I$6002,원본명단!$I3837)))</f>
        <v/>
      </c>
      <c r="G3838" s="11" t="str">
        <f aca="false">IF($A3838="","",IF(원본명단!$K3837="",0,COUNTIF(원본명단!$K$3:$K$6002,원본명단!$K3837)))</f>
        <v/>
      </c>
      <c r="H3838" s="11" t="str">
        <f aca="false">IF($A3838="","",IF(MAX($E3838,$F3838,$G3838)&gt;1,"중복","-"))</f>
        <v/>
      </c>
      <c r="I3838" s="11" t="str">
        <f aca="false">IF($A3838="","",IF($H3838="-","-",IF(AND(IF(원본명단!$H3837="",TRUE(),COUNTIF(원본명단!$H$3:$H3837,원본명단!$H3837)=1),IF(원본명단!$I3837="",TRUE(),COUNTIF(원본명단!$I$3:$I3837,원본명단!$I3837)=1),IF(원본명단!$K3837="",TRUE(),COUNTIF(원본명단!$K$3:$K3837,원본명단!$K3837)=1)),"첫 건","중복 건")))</f>
        <v/>
      </c>
      <c r="J3838" s="11" t="str">
        <f aca="false">IF($A3838="","",IF($H3838="-","유지",IF($I3838="첫 건","유지","확인 필요")))</f>
        <v/>
      </c>
    </row>
    <row r="3839" customFormat="false" ht="15" hidden="false" customHeight="true" outlineLevel="0" collapsed="false">
      <c r="A3839" s="11" t="str">
        <f aca="false">IF(원본명단!$A3838="","",3836)</f>
        <v/>
      </c>
      <c r="B3839" s="12" t="str">
        <f aca="false">IF($A3839="","",원본명단!$A3838)</f>
        <v/>
      </c>
      <c r="C3839" s="12" t="str">
        <f aca="false">IF($A3839="","",원본명단!$B3838)</f>
        <v/>
      </c>
      <c r="D3839" s="12" t="str">
        <f aca="false">IF($A3839="","",원본명단!$D3838)</f>
        <v/>
      </c>
      <c r="E3839" s="11" t="str">
        <f aca="false">IF($A3839="","",IF(원본명단!$H3838="",0,COUNTIF(원본명단!$H$3:$H$6002,원본명단!$H3838)))</f>
        <v/>
      </c>
      <c r="F3839" s="11" t="str">
        <f aca="false">IF($A3839="","",IF(원본명단!$I3838="",0,COUNTIF(원본명단!$I$3:$I$6002,원본명단!$I3838)))</f>
        <v/>
      </c>
      <c r="G3839" s="11" t="str">
        <f aca="false">IF($A3839="","",IF(원본명단!$K3838="",0,COUNTIF(원본명단!$K$3:$K$6002,원본명단!$K3838)))</f>
        <v/>
      </c>
      <c r="H3839" s="11" t="str">
        <f aca="false">IF($A3839="","",IF(MAX($E3839,$F3839,$G3839)&gt;1,"중복","-"))</f>
        <v/>
      </c>
      <c r="I3839" s="11" t="str">
        <f aca="false">IF($A3839="","",IF($H3839="-","-",IF(AND(IF(원본명단!$H3838="",TRUE(),COUNTIF(원본명단!$H$3:$H3838,원본명단!$H3838)=1),IF(원본명단!$I3838="",TRUE(),COUNTIF(원본명단!$I$3:$I3838,원본명단!$I3838)=1),IF(원본명단!$K3838="",TRUE(),COUNTIF(원본명단!$K$3:$K3838,원본명단!$K3838)=1)),"첫 건","중복 건")))</f>
        <v/>
      </c>
      <c r="J3839" s="11" t="str">
        <f aca="false">IF($A3839="","",IF($H3839="-","유지",IF($I3839="첫 건","유지","확인 필요")))</f>
        <v/>
      </c>
    </row>
    <row r="3840" customFormat="false" ht="15" hidden="false" customHeight="true" outlineLevel="0" collapsed="false">
      <c r="A3840" s="11" t="str">
        <f aca="false">IF(원본명단!$A3839="","",3837)</f>
        <v/>
      </c>
      <c r="B3840" s="12" t="str">
        <f aca="false">IF($A3840="","",원본명단!$A3839)</f>
        <v/>
      </c>
      <c r="C3840" s="12" t="str">
        <f aca="false">IF($A3840="","",원본명단!$B3839)</f>
        <v/>
      </c>
      <c r="D3840" s="12" t="str">
        <f aca="false">IF($A3840="","",원본명단!$D3839)</f>
        <v/>
      </c>
      <c r="E3840" s="11" t="str">
        <f aca="false">IF($A3840="","",IF(원본명단!$H3839="",0,COUNTIF(원본명단!$H$3:$H$6002,원본명단!$H3839)))</f>
        <v/>
      </c>
      <c r="F3840" s="11" t="str">
        <f aca="false">IF($A3840="","",IF(원본명단!$I3839="",0,COUNTIF(원본명단!$I$3:$I$6002,원본명단!$I3839)))</f>
        <v/>
      </c>
      <c r="G3840" s="11" t="str">
        <f aca="false">IF($A3840="","",IF(원본명단!$K3839="",0,COUNTIF(원본명단!$K$3:$K$6002,원본명단!$K3839)))</f>
        <v/>
      </c>
      <c r="H3840" s="11" t="str">
        <f aca="false">IF($A3840="","",IF(MAX($E3840,$F3840,$G3840)&gt;1,"중복","-"))</f>
        <v/>
      </c>
      <c r="I3840" s="11" t="str">
        <f aca="false">IF($A3840="","",IF($H3840="-","-",IF(AND(IF(원본명단!$H3839="",TRUE(),COUNTIF(원본명단!$H$3:$H3839,원본명단!$H3839)=1),IF(원본명단!$I3839="",TRUE(),COUNTIF(원본명단!$I$3:$I3839,원본명단!$I3839)=1),IF(원본명단!$K3839="",TRUE(),COUNTIF(원본명단!$K$3:$K3839,원본명단!$K3839)=1)),"첫 건","중복 건")))</f>
        <v/>
      </c>
      <c r="J3840" s="11" t="str">
        <f aca="false">IF($A3840="","",IF($H3840="-","유지",IF($I3840="첫 건","유지","확인 필요")))</f>
        <v/>
      </c>
    </row>
    <row r="3841" customFormat="false" ht="15" hidden="false" customHeight="true" outlineLevel="0" collapsed="false">
      <c r="A3841" s="11" t="str">
        <f aca="false">IF(원본명단!$A3840="","",3838)</f>
        <v/>
      </c>
      <c r="B3841" s="12" t="str">
        <f aca="false">IF($A3841="","",원본명단!$A3840)</f>
        <v/>
      </c>
      <c r="C3841" s="12" t="str">
        <f aca="false">IF($A3841="","",원본명단!$B3840)</f>
        <v/>
      </c>
      <c r="D3841" s="12" t="str">
        <f aca="false">IF($A3841="","",원본명단!$D3840)</f>
        <v/>
      </c>
      <c r="E3841" s="11" t="str">
        <f aca="false">IF($A3841="","",IF(원본명단!$H3840="",0,COUNTIF(원본명단!$H$3:$H$6002,원본명단!$H3840)))</f>
        <v/>
      </c>
      <c r="F3841" s="11" t="str">
        <f aca="false">IF($A3841="","",IF(원본명단!$I3840="",0,COUNTIF(원본명단!$I$3:$I$6002,원본명단!$I3840)))</f>
        <v/>
      </c>
      <c r="G3841" s="11" t="str">
        <f aca="false">IF($A3841="","",IF(원본명단!$K3840="",0,COUNTIF(원본명단!$K$3:$K$6002,원본명단!$K3840)))</f>
        <v/>
      </c>
      <c r="H3841" s="11" t="str">
        <f aca="false">IF($A3841="","",IF(MAX($E3841,$F3841,$G3841)&gt;1,"중복","-"))</f>
        <v/>
      </c>
      <c r="I3841" s="11" t="str">
        <f aca="false">IF($A3841="","",IF($H3841="-","-",IF(AND(IF(원본명단!$H3840="",TRUE(),COUNTIF(원본명단!$H$3:$H3840,원본명단!$H3840)=1),IF(원본명단!$I3840="",TRUE(),COUNTIF(원본명단!$I$3:$I3840,원본명단!$I3840)=1),IF(원본명단!$K3840="",TRUE(),COUNTIF(원본명단!$K$3:$K3840,원본명단!$K3840)=1)),"첫 건","중복 건")))</f>
        <v/>
      </c>
      <c r="J3841" s="11" t="str">
        <f aca="false">IF($A3841="","",IF($H3841="-","유지",IF($I3841="첫 건","유지","확인 필요")))</f>
        <v/>
      </c>
    </row>
    <row r="3842" customFormat="false" ht="15" hidden="false" customHeight="true" outlineLevel="0" collapsed="false">
      <c r="A3842" s="11" t="str">
        <f aca="false">IF(원본명단!$A3841="","",3839)</f>
        <v/>
      </c>
      <c r="B3842" s="12" t="str">
        <f aca="false">IF($A3842="","",원본명단!$A3841)</f>
        <v/>
      </c>
      <c r="C3842" s="12" t="str">
        <f aca="false">IF($A3842="","",원본명단!$B3841)</f>
        <v/>
      </c>
      <c r="D3842" s="12" t="str">
        <f aca="false">IF($A3842="","",원본명단!$D3841)</f>
        <v/>
      </c>
      <c r="E3842" s="11" t="str">
        <f aca="false">IF($A3842="","",IF(원본명단!$H3841="",0,COUNTIF(원본명단!$H$3:$H$6002,원본명단!$H3841)))</f>
        <v/>
      </c>
      <c r="F3842" s="11" t="str">
        <f aca="false">IF($A3842="","",IF(원본명단!$I3841="",0,COUNTIF(원본명단!$I$3:$I$6002,원본명단!$I3841)))</f>
        <v/>
      </c>
      <c r="G3842" s="11" t="str">
        <f aca="false">IF($A3842="","",IF(원본명단!$K3841="",0,COUNTIF(원본명단!$K$3:$K$6002,원본명단!$K3841)))</f>
        <v/>
      </c>
      <c r="H3842" s="11" t="str">
        <f aca="false">IF($A3842="","",IF(MAX($E3842,$F3842,$G3842)&gt;1,"중복","-"))</f>
        <v/>
      </c>
      <c r="I3842" s="11" t="str">
        <f aca="false">IF($A3842="","",IF($H3842="-","-",IF(AND(IF(원본명단!$H3841="",TRUE(),COUNTIF(원본명단!$H$3:$H3841,원본명단!$H3841)=1),IF(원본명단!$I3841="",TRUE(),COUNTIF(원본명단!$I$3:$I3841,원본명단!$I3841)=1),IF(원본명단!$K3841="",TRUE(),COUNTIF(원본명단!$K$3:$K3841,원본명단!$K3841)=1)),"첫 건","중복 건")))</f>
        <v/>
      </c>
      <c r="J3842" s="11" t="str">
        <f aca="false">IF($A3842="","",IF($H3842="-","유지",IF($I3842="첫 건","유지","확인 필요")))</f>
        <v/>
      </c>
    </row>
    <row r="3843" customFormat="false" ht="15" hidden="false" customHeight="true" outlineLevel="0" collapsed="false">
      <c r="A3843" s="11" t="str">
        <f aca="false">IF(원본명단!$A3842="","",3840)</f>
        <v/>
      </c>
      <c r="B3843" s="12" t="str">
        <f aca="false">IF($A3843="","",원본명단!$A3842)</f>
        <v/>
      </c>
      <c r="C3843" s="12" t="str">
        <f aca="false">IF($A3843="","",원본명단!$B3842)</f>
        <v/>
      </c>
      <c r="D3843" s="12" t="str">
        <f aca="false">IF($A3843="","",원본명단!$D3842)</f>
        <v/>
      </c>
      <c r="E3843" s="11" t="str">
        <f aca="false">IF($A3843="","",IF(원본명단!$H3842="",0,COUNTIF(원본명단!$H$3:$H$6002,원본명단!$H3842)))</f>
        <v/>
      </c>
      <c r="F3843" s="11" t="str">
        <f aca="false">IF($A3843="","",IF(원본명단!$I3842="",0,COUNTIF(원본명단!$I$3:$I$6002,원본명단!$I3842)))</f>
        <v/>
      </c>
      <c r="G3843" s="11" t="str">
        <f aca="false">IF($A3843="","",IF(원본명단!$K3842="",0,COUNTIF(원본명단!$K$3:$K$6002,원본명단!$K3842)))</f>
        <v/>
      </c>
      <c r="H3843" s="11" t="str">
        <f aca="false">IF($A3843="","",IF(MAX($E3843,$F3843,$G3843)&gt;1,"중복","-"))</f>
        <v/>
      </c>
      <c r="I3843" s="11" t="str">
        <f aca="false">IF($A3843="","",IF($H3843="-","-",IF(AND(IF(원본명단!$H3842="",TRUE(),COUNTIF(원본명단!$H$3:$H3842,원본명단!$H3842)=1),IF(원본명단!$I3842="",TRUE(),COUNTIF(원본명단!$I$3:$I3842,원본명단!$I3842)=1),IF(원본명단!$K3842="",TRUE(),COUNTIF(원본명단!$K$3:$K3842,원본명단!$K3842)=1)),"첫 건","중복 건")))</f>
        <v/>
      </c>
      <c r="J3843" s="11" t="str">
        <f aca="false">IF($A3843="","",IF($H3843="-","유지",IF($I3843="첫 건","유지","확인 필요")))</f>
        <v/>
      </c>
    </row>
    <row r="3844" customFormat="false" ht="15" hidden="false" customHeight="true" outlineLevel="0" collapsed="false">
      <c r="A3844" s="11" t="str">
        <f aca="false">IF(원본명단!$A3843="","",3841)</f>
        <v/>
      </c>
      <c r="B3844" s="12" t="str">
        <f aca="false">IF($A3844="","",원본명단!$A3843)</f>
        <v/>
      </c>
      <c r="C3844" s="12" t="str">
        <f aca="false">IF($A3844="","",원본명단!$B3843)</f>
        <v/>
      </c>
      <c r="D3844" s="12" t="str">
        <f aca="false">IF($A3844="","",원본명단!$D3843)</f>
        <v/>
      </c>
      <c r="E3844" s="11" t="str">
        <f aca="false">IF($A3844="","",IF(원본명단!$H3843="",0,COUNTIF(원본명단!$H$3:$H$6002,원본명단!$H3843)))</f>
        <v/>
      </c>
      <c r="F3844" s="11" t="str">
        <f aca="false">IF($A3844="","",IF(원본명단!$I3843="",0,COUNTIF(원본명단!$I$3:$I$6002,원본명단!$I3843)))</f>
        <v/>
      </c>
      <c r="G3844" s="11" t="str">
        <f aca="false">IF($A3844="","",IF(원본명단!$K3843="",0,COUNTIF(원본명단!$K$3:$K$6002,원본명단!$K3843)))</f>
        <v/>
      </c>
      <c r="H3844" s="11" t="str">
        <f aca="false">IF($A3844="","",IF(MAX($E3844,$F3844,$G3844)&gt;1,"중복","-"))</f>
        <v/>
      </c>
      <c r="I3844" s="11" t="str">
        <f aca="false">IF($A3844="","",IF($H3844="-","-",IF(AND(IF(원본명단!$H3843="",TRUE(),COUNTIF(원본명단!$H$3:$H3843,원본명단!$H3843)=1),IF(원본명단!$I3843="",TRUE(),COUNTIF(원본명단!$I$3:$I3843,원본명단!$I3843)=1),IF(원본명단!$K3843="",TRUE(),COUNTIF(원본명단!$K$3:$K3843,원본명단!$K3843)=1)),"첫 건","중복 건")))</f>
        <v/>
      </c>
      <c r="J3844" s="11" t="str">
        <f aca="false">IF($A3844="","",IF($H3844="-","유지",IF($I3844="첫 건","유지","확인 필요")))</f>
        <v/>
      </c>
    </row>
    <row r="3845" customFormat="false" ht="15" hidden="false" customHeight="true" outlineLevel="0" collapsed="false">
      <c r="A3845" s="11" t="str">
        <f aca="false">IF(원본명단!$A3844="","",3842)</f>
        <v/>
      </c>
      <c r="B3845" s="12" t="str">
        <f aca="false">IF($A3845="","",원본명단!$A3844)</f>
        <v/>
      </c>
      <c r="C3845" s="12" t="str">
        <f aca="false">IF($A3845="","",원본명단!$B3844)</f>
        <v/>
      </c>
      <c r="D3845" s="12" t="str">
        <f aca="false">IF($A3845="","",원본명단!$D3844)</f>
        <v/>
      </c>
      <c r="E3845" s="11" t="str">
        <f aca="false">IF($A3845="","",IF(원본명단!$H3844="",0,COUNTIF(원본명단!$H$3:$H$6002,원본명단!$H3844)))</f>
        <v/>
      </c>
      <c r="F3845" s="11" t="str">
        <f aca="false">IF($A3845="","",IF(원본명단!$I3844="",0,COUNTIF(원본명단!$I$3:$I$6002,원본명단!$I3844)))</f>
        <v/>
      </c>
      <c r="G3845" s="11" t="str">
        <f aca="false">IF($A3845="","",IF(원본명단!$K3844="",0,COUNTIF(원본명단!$K$3:$K$6002,원본명단!$K3844)))</f>
        <v/>
      </c>
      <c r="H3845" s="11" t="str">
        <f aca="false">IF($A3845="","",IF(MAX($E3845,$F3845,$G3845)&gt;1,"중복","-"))</f>
        <v/>
      </c>
      <c r="I3845" s="11" t="str">
        <f aca="false">IF($A3845="","",IF($H3845="-","-",IF(AND(IF(원본명단!$H3844="",TRUE(),COUNTIF(원본명단!$H$3:$H3844,원본명단!$H3844)=1),IF(원본명단!$I3844="",TRUE(),COUNTIF(원본명단!$I$3:$I3844,원본명단!$I3844)=1),IF(원본명단!$K3844="",TRUE(),COUNTIF(원본명단!$K$3:$K3844,원본명단!$K3844)=1)),"첫 건","중복 건")))</f>
        <v/>
      </c>
      <c r="J3845" s="11" t="str">
        <f aca="false">IF($A3845="","",IF($H3845="-","유지",IF($I3845="첫 건","유지","확인 필요")))</f>
        <v/>
      </c>
    </row>
    <row r="3846" customFormat="false" ht="15" hidden="false" customHeight="true" outlineLevel="0" collapsed="false">
      <c r="A3846" s="11" t="str">
        <f aca="false">IF(원본명단!$A3845="","",3843)</f>
        <v/>
      </c>
      <c r="B3846" s="12" t="str">
        <f aca="false">IF($A3846="","",원본명단!$A3845)</f>
        <v/>
      </c>
      <c r="C3846" s="12" t="str">
        <f aca="false">IF($A3846="","",원본명단!$B3845)</f>
        <v/>
      </c>
      <c r="D3846" s="12" t="str">
        <f aca="false">IF($A3846="","",원본명단!$D3845)</f>
        <v/>
      </c>
      <c r="E3846" s="11" t="str">
        <f aca="false">IF($A3846="","",IF(원본명단!$H3845="",0,COUNTIF(원본명단!$H$3:$H$6002,원본명단!$H3845)))</f>
        <v/>
      </c>
      <c r="F3846" s="11" t="str">
        <f aca="false">IF($A3846="","",IF(원본명단!$I3845="",0,COUNTIF(원본명단!$I$3:$I$6002,원본명단!$I3845)))</f>
        <v/>
      </c>
      <c r="G3846" s="11" t="str">
        <f aca="false">IF($A3846="","",IF(원본명단!$K3845="",0,COUNTIF(원본명단!$K$3:$K$6002,원본명단!$K3845)))</f>
        <v/>
      </c>
      <c r="H3846" s="11" t="str">
        <f aca="false">IF($A3846="","",IF(MAX($E3846,$F3846,$G3846)&gt;1,"중복","-"))</f>
        <v/>
      </c>
      <c r="I3846" s="11" t="str">
        <f aca="false">IF($A3846="","",IF($H3846="-","-",IF(AND(IF(원본명단!$H3845="",TRUE(),COUNTIF(원본명단!$H$3:$H3845,원본명단!$H3845)=1),IF(원본명단!$I3845="",TRUE(),COUNTIF(원본명단!$I$3:$I3845,원본명단!$I3845)=1),IF(원본명단!$K3845="",TRUE(),COUNTIF(원본명단!$K$3:$K3845,원본명단!$K3845)=1)),"첫 건","중복 건")))</f>
        <v/>
      </c>
      <c r="J3846" s="11" t="str">
        <f aca="false">IF($A3846="","",IF($H3846="-","유지",IF($I3846="첫 건","유지","확인 필요")))</f>
        <v/>
      </c>
    </row>
    <row r="3847" customFormat="false" ht="15" hidden="false" customHeight="true" outlineLevel="0" collapsed="false">
      <c r="A3847" s="11" t="str">
        <f aca="false">IF(원본명단!$A3846="","",3844)</f>
        <v/>
      </c>
      <c r="B3847" s="12" t="str">
        <f aca="false">IF($A3847="","",원본명단!$A3846)</f>
        <v/>
      </c>
      <c r="C3847" s="12" t="str">
        <f aca="false">IF($A3847="","",원본명단!$B3846)</f>
        <v/>
      </c>
      <c r="D3847" s="12" t="str">
        <f aca="false">IF($A3847="","",원본명단!$D3846)</f>
        <v/>
      </c>
      <c r="E3847" s="11" t="str">
        <f aca="false">IF($A3847="","",IF(원본명단!$H3846="",0,COUNTIF(원본명단!$H$3:$H$6002,원본명단!$H3846)))</f>
        <v/>
      </c>
      <c r="F3847" s="11" t="str">
        <f aca="false">IF($A3847="","",IF(원본명단!$I3846="",0,COUNTIF(원본명단!$I$3:$I$6002,원본명단!$I3846)))</f>
        <v/>
      </c>
      <c r="G3847" s="11" t="str">
        <f aca="false">IF($A3847="","",IF(원본명단!$K3846="",0,COUNTIF(원본명단!$K$3:$K$6002,원본명단!$K3846)))</f>
        <v/>
      </c>
      <c r="H3847" s="11" t="str">
        <f aca="false">IF($A3847="","",IF(MAX($E3847,$F3847,$G3847)&gt;1,"중복","-"))</f>
        <v/>
      </c>
      <c r="I3847" s="11" t="str">
        <f aca="false">IF($A3847="","",IF($H3847="-","-",IF(AND(IF(원본명단!$H3846="",TRUE(),COUNTIF(원본명단!$H$3:$H3846,원본명단!$H3846)=1),IF(원본명단!$I3846="",TRUE(),COUNTIF(원본명단!$I$3:$I3846,원본명단!$I3846)=1),IF(원본명단!$K3846="",TRUE(),COUNTIF(원본명단!$K$3:$K3846,원본명단!$K3846)=1)),"첫 건","중복 건")))</f>
        <v/>
      </c>
      <c r="J3847" s="11" t="str">
        <f aca="false">IF($A3847="","",IF($H3847="-","유지",IF($I3847="첫 건","유지","확인 필요")))</f>
        <v/>
      </c>
    </row>
    <row r="3848" customFormat="false" ht="15" hidden="false" customHeight="true" outlineLevel="0" collapsed="false">
      <c r="A3848" s="11" t="str">
        <f aca="false">IF(원본명단!$A3847="","",3845)</f>
        <v/>
      </c>
      <c r="B3848" s="12" t="str">
        <f aca="false">IF($A3848="","",원본명단!$A3847)</f>
        <v/>
      </c>
      <c r="C3848" s="12" t="str">
        <f aca="false">IF($A3848="","",원본명단!$B3847)</f>
        <v/>
      </c>
      <c r="D3848" s="12" t="str">
        <f aca="false">IF($A3848="","",원본명단!$D3847)</f>
        <v/>
      </c>
      <c r="E3848" s="11" t="str">
        <f aca="false">IF($A3848="","",IF(원본명단!$H3847="",0,COUNTIF(원본명단!$H$3:$H$6002,원본명단!$H3847)))</f>
        <v/>
      </c>
      <c r="F3848" s="11" t="str">
        <f aca="false">IF($A3848="","",IF(원본명단!$I3847="",0,COUNTIF(원본명단!$I$3:$I$6002,원본명단!$I3847)))</f>
        <v/>
      </c>
      <c r="G3848" s="11" t="str">
        <f aca="false">IF($A3848="","",IF(원본명단!$K3847="",0,COUNTIF(원본명단!$K$3:$K$6002,원본명단!$K3847)))</f>
        <v/>
      </c>
      <c r="H3848" s="11" t="str">
        <f aca="false">IF($A3848="","",IF(MAX($E3848,$F3848,$G3848)&gt;1,"중복","-"))</f>
        <v/>
      </c>
      <c r="I3848" s="11" t="str">
        <f aca="false">IF($A3848="","",IF($H3848="-","-",IF(AND(IF(원본명단!$H3847="",TRUE(),COUNTIF(원본명단!$H$3:$H3847,원본명단!$H3847)=1),IF(원본명단!$I3847="",TRUE(),COUNTIF(원본명단!$I$3:$I3847,원본명단!$I3847)=1),IF(원본명단!$K3847="",TRUE(),COUNTIF(원본명단!$K$3:$K3847,원본명단!$K3847)=1)),"첫 건","중복 건")))</f>
        <v/>
      </c>
      <c r="J3848" s="11" t="str">
        <f aca="false">IF($A3848="","",IF($H3848="-","유지",IF($I3848="첫 건","유지","확인 필요")))</f>
        <v/>
      </c>
    </row>
    <row r="3849" customFormat="false" ht="15" hidden="false" customHeight="true" outlineLevel="0" collapsed="false">
      <c r="A3849" s="11" t="str">
        <f aca="false">IF(원본명단!$A3848="","",3846)</f>
        <v/>
      </c>
      <c r="B3849" s="12" t="str">
        <f aca="false">IF($A3849="","",원본명단!$A3848)</f>
        <v/>
      </c>
      <c r="C3849" s="12" t="str">
        <f aca="false">IF($A3849="","",원본명단!$B3848)</f>
        <v/>
      </c>
      <c r="D3849" s="12" t="str">
        <f aca="false">IF($A3849="","",원본명단!$D3848)</f>
        <v/>
      </c>
      <c r="E3849" s="11" t="str">
        <f aca="false">IF($A3849="","",IF(원본명단!$H3848="",0,COUNTIF(원본명단!$H$3:$H$6002,원본명단!$H3848)))</f>
        <v/>
      </c>
      <c r="F3849" s="11" t="str">
        <f aca="false">IF($A3849="","",IF(원본명단!$I3848="",0,COUNTIF(원본명단!$I$3:$I$6002,원본명단!$I3848)))</f>
        <v/>
      </c>
      <c r="G3849" s="11" t="str">
        <f aca="false">IF($A3849="","",IF(원본명단!$K3848="",0,COUNTIF(원본명단!$K$3:$K$6002,원본명단!$K3848)))</f>
        <v/>
      </c>
      <c r="H3849" s="11" t="str">
        <f aca="false">IF($A3849="","",IF(MAX($E3849,$F3849,$G3849)&gt;1,"중복","-"))</f>
        <v/>
      </c>
      <c r="I3849" s="11" t="str">
        <f aca="false">IF($A3849="","",IF($H3849="-","-",IF(AND(IF(원본명단!$H3848="",TRUE(),COUNTIF(원본명단!$H$3:$H3848,원본명단!$H3848)=1),IF(원본명단!$I3848="",TRUE(),COUNTIF(원본명단!$I$3:$I3848,원본명단!$I3848)=1),IF(원본명단!$K3848="",TRUE(),COUNTIF(원본명단!$K$3:$K3848,원본명단!$K3848)=1)),"첫 건","중복 건")))</f>
        <v/>
      </c>
      <c r="J3849" s="11" t="str">
        <f aca="false">IF($A3849="","",IF($H3849="-","유지",IF($I3849="첫 건","유지","확인 필요")))</f>
        <v/>
      </c>
    </row>
    <row r="3850" customFormat="false" ht="15" hidden="false" customHeight="true" outlineLevel="0" collapsed="false">
      <c r="A3850" s="11" t="str">
        <f aca="false">IF(원본명단!$A3849="","",3847)</f>
        <v/>
      </c>
      <c r="B3850" s="12" t="str">
        <f aca="false">IF($A3850="","",원본명단!$A3849)</f>
        <v/>
      </c>
      <c r="C3850" s="12" t="str">
        <f aca="false">IF($A3850="","",원본명단!$B3849)</f>
        <v/>
      </c>
      <c r="D3850" s="12" t="str">
        <f aca="false">IF($A3850="","",원본명단!$D3849)</f>
        <v/>
      </c>
      <c r="E3850" s="11" t="str">
        <f aca="false">IF($A3850="","",IF(원본명단!$H3849="",0,COUNTIF(원본명단!$H$3:$H$6002,원본명단!$H3849)))</f>
        <v/>
      </c>
      <c r="F3850" s="11" t="str">
        <f aca="false">IF($A3850="","",IF(원본명단!$I3849="",0,COUNTIF(원본명단!$I$3:$I$6002,원본명단!$I3849)))</f>
        <v/>
      </c>
      <c r="G3850" s="11" t="str">
        <f aca="false">IF($A3850="","",IF(원본명단!$K3849="",0,COUNTIF(원본명단!$K$3:$K$6002,원본명단!$K3849)))</f>
        <v/>
      </c>
      <c r="H3850" s="11" t="str">
        <f aca="false">IF($A3850="","",IF(MAX($E3850,$F3850,$G3850)&gt;1,"중복","-"))</f>
        <v/>
      </c>
      <c r="I3850" s="11" t="str">
        <f aca="false">IF($A3850="","",IF($H3850="-","-",IF(AND(IF(원본명단!$H3849="",TRUE(),COUNTIF(원본명단!$H$3:$H3849,원본명단!$H3849)=1),IF(원본명단!$I3849="",TRUE(),COUNTIF(원본명단!$I$3:$I3849,원본명단!$I3849)=1),IF(원본명단!$K3849="",TRUE(),COUNTIF(원본명단!$K$3:$K3849,원본명단!$K3849)=1)),"첫 건","중복 건")))</f>
        <v/>
      </c>
      <c r="J3850" s="11" t="str">
        <f aca="false">IF($A3850="","",IF($H3850="-","유지",IF($I3850="첫 건","유지","확인 필요")))</f>
        <v/>
      </c>
    </row>
    <row r="3851" customFormat="false" ht="15" hidden="false" customHeight="true" outlineLevel="0" collapsed="false">
      <c r="A3851" s="11" t="str">
        <f aca="false">IF(원본명단!$A3850="","",3848)</f>
        <v/>
      </c>
      <c r="B3851" s="12" t="str">
        <f aca="false">IF($A3851="","",원본명단!$A3850)</f>
        <v/>
      </c>
      <c r="C3851" s="12" t="str">
        <f aca="false">IF($A3851="","",원본명단!$B3850)</f>
        <v/>
      </c>
      <c r="D3851" s="12" t="str">
        <f aca="false">IF($A3851="","",원본명단!$D3850)</f>
        <v/>
      </c>
      <c r="E3851" s="11" t="str">
        <f aca="false">IF($A3851="","",IF(원본명단!$H3850="",0,COUNTIF(원본명단!$H$3:$H$6002,원본명단!$H3850)))</f>
        <v/>
      </c>
      <c r="F3851" s="11" t="str">
        <f aca="false">IF($A3851="","",IF(원본명단!$I3850="",0,COUNTIF(원본명단!$I$3:$I$6002,원본명단!$I3850)))</f>
        <v/>
      </c>
      <c r="G3851" s="11" t="str">
        <f aca="false">IF($A3851="","",IF(원본명단!$K3850="",0,COUNTIF(원본명단!$K$3:$K$6002,원본명단!$K3850)))</f>
        <v/>
      </c>
      <c r="H3851" s="11" t="str">
        <f aca="false">IF($A3851="","",IF(MAX($E3851,$F3851,$G3851)&gt;1,"중복","-"))</f>
        <v/>
      </c>
      <c r="I3851" s="11" t="str">
        <f aca="false">IF($A3851="","",IF($H3851="-","-",IF(AND(IF(원본명단!$H3850="",TRUE(),COUNTIF(원본명단!$H$3:$H3850,원본명단!$H3850)=1),IF(원본명단!$I3850="",TRUE(),COUNTIF(원본명단!$I$3:$I3850,원본명단!$I3850)=1),IF(원본명단!$K3850="",TRUE(),COUNTIF(원본명단!$K$3:$K3850,원본명단!$K3850)=1)),"첫 건","중복 건")))</f>
        <v/>
      </c>
      <c r="J3851" s="11" t="str">
        <f aca="false">IF($A3851="","",IF($H3851="-","유지",IF($I3851="첫 건","유지","확인 필요")))</f>
        <v/>
      </c>
    </row>
    <row r="3852" customFormat="false" ht="15" hidden="false" customHeight="true" outlineLevel="0" collapsed="false">
      <c r="A3852" s="11" t="str">
        <f aca="false">IF(원본명단!$A3851="","",3849)</f>
        <v/>
      </c>
      <c r="B3852" s="12" t="str">
        <f aca="false">IF($A3852="","",원본명단!$A3851)</f>
        <v/>
      </c>
      <c r="C3852" s="12" t="str">
        <f aca="false">IF($A3852="","",원본명단!$B3851)</f>
        <v/>
      </c>
      <c r="D3852" s="12" t="str">
        <f aca="false">IF($A3852="","",원본명단!$D3851)</f>
        <v/>
      </c>
      <c r="E3852" s="11" t="str">
        <f aca="false">IF($A3852="","",IF(원본명단!$H3851="",0,COUNTIF(원본명단!$H$3:$H$6002,원본명단!$H3851)))</f>
        <v/>
      </c>
      <c r="F3852" s="11" t="str">
        <f aca="false">IF($A3852="","",IF(원본명단!$I3851="",0,COUNTIF(원본명단!$I$3:$I$6002,원본명단!$I3851)))</f>
        <v/>
      </c>
      <c r="G3852" s="11" t="str">
        <f aca="false">IF($A3852="","",IF(원본명단!$K3851="",0,COUNTIF(원본명단!$K$3:$K$6002,원본명단!$K3851)))</f>
        <v/>
      </c>
      <c r="H3852" s="11" t="str">
        <f aca="false">IF($A3852="","",IF(MAX($E3852,$F3852,$G3852)&gt;1,"중복","-"))</f>
        <v/>
      </c>
      <c r="I3852" s="11" t="str">
        <f aca="false">IF($A3852="","",IF($H3852="-","-",IF(AND(IF(원본명단!$H3851="",TRUE(),COUNTIF(원본명단!$H$3:$H3851,원본명단!$H3851)=1),IF(원본명단!$I3851="",TRUE(),COUNTIF(원본명단!$I$3:$I3851,원본명단!$I3851)=1),IF(원본명단!$K3851="",TRUE(),COUNTIF(원본명단!$K$3:$K3851,원본명단!$K3851)=1)),"첫 건","중복 건")))</f>
        <v/>
      </c>
      <c r="J3852" s="11" t="str">
        <f aca="false">IF($A3852="","",IF($H3852="-","유지",IF($I3852="첫 건","유지","확인 필요")))</f>
        <v/>
      </c>
    </row>
    <row r="3853" customFormat="false" ht="15" hidden="false" customHeight="true" outlineLevel="0" collapsed="false">
      <c r="A3853" s="11" t="str">
        <f aca="false">IF(원본명단!$A3852="","",3850)</f>
        <v/>
      </c>
      <c r="B3853" s="12" t="str">
        <f aca="false">IF($A3853="","",원본명단!$A3852)</f>
        <v/>
      </c>
      <c r="C3853" s="12" t="str">
        <f aca="false">IF($A3853="","",원본명단!$B3852)</f>
        <v/>
      </c>
      <c r="D3853" s="12" t="str">
        <f aca="false">IF($A3853="","",원본명단!$D3852)</f>
        <v/>
      </c>
      <c r="E3853" s="11" t="str">
        <f aca="false">IF($A3853="","",IF(원본명단!$H3852="",0,COUNTIF(원본명단!$H$3:$H$6002,원본명단!$H3852)))</f>
        <v/>
      </c>
      <c r="F3853" s="11" t="str">
        <f aca="false">IF($A3853="","",IF(원본명단!$I3852="",0,COUNTIF(원본명단!$I$3:$I$6002,원본명단!$I3852)))</f>
        <v/>
      </c>
      <c r="G3853" s="11" t="str">
        <f aca="false">IF($A3853="","",IF(원본명단!$K3852="",0,COUNTIF(원본명단!$K$3:$K$6002,원본명단!$K3852)))</f>
        <v/>
      </c>
      <c r="H3853" s="11" t="str">
        <f aca="false">IF($A3853="","",IF(MAX($E3853,$F3853,$G3853)&gt;1,"중복","-"))</f>
        <v/>
      </c>
      <c r="I3853" s="11" t="str">
        <f aca="false">IF($A3853="","",IF($H3853="-","-",IF(AND(IF(원본명단!$H3852="",TRUE(),COUNTIF(원본명단!$H$3:$H3852,원본명단!$H3852)=1),IF(원본명단!$I3852="",TRUE(),COUNTIF(원본명단!$I$3:$I3852,원본명단!$I3852)=1),IF(원본명단!$K3852="",TRUE(),COUNTIF(원본명단!$K$3:$K3852,원본명단!$K3852)=1)),"첫 건","중복 건")))</f>
        <v/>
      </c>
      <c r="J3853" s="11" t="str">
        <f aca="false">IF($A3853="","",IF($H3853="-","유지",IF($I3853="첫 건","유지","확인 필요")))</f>
        <v/>
      </c>
    </row>
    <row r="3854" customFormat="false" ht="15" hidden="false" customHeight="true" outlineLevel="0" collapsed="false">
      <c r="A3854" s="11" t="str">
        <f aca="false">IF(원본명단!$A3853="","",3851)</f>
        <v/>
      </c>
      <c r="B3854" s="12" t="str">
        <f aca="false">IF($A3854="","",원본명단!$A3853)</f>
        <v/>
      </c>
      <c r="C3854" s="12" t="str">
        <f aca="false">IF($A3854="","",원본명단!$B3853)</f>
        <v/>
      </c>
      <c r="D3854" s="12" t="str">
        <f aca="false">IF($A3854="","",원본명단!$D3853)</f>
        <v/>
      </c>
      <c r="E3854" s="11" t="str">
        <f aca="false">IF($A3854="","",IF(원본명단!$H3853="",0,COUNTIF(원본명단!$H$3:$H$6002,원본명단!$H3853)))</f>
        <v/>
      </c>
      <c r="F3854" s="11" t="str">
        <f aca="false">IF($A3854="","",IF(원본명단!$I3853="",0,COUNTIF(원본명단!$I$3:$I$6002,원본명단!$I3853)))</f>
        <v/>
      </c>
      <c r="G3854" s="11" t="str">
        <f aca="false">IF($A3854="","",IF(원본명단!$K3853="",0,COUNTIF(원본명단!$K$3:$K$6002,원본명단!$K3853)))</f>
        <v/>
      </c>
      <c r="H3854" s="11" t="str">
        <f aca="false">IF($A3854="","",IF(MAX($E3854,$F3854,$G3854)&gt;1,"중복","-"))</f>
        <v/>
      </c>
      <c r="I3854" s="11" t="str">
        <f aca="false">IF($A3854="","",IF($H3854="-","-",IF(AND(IF(원본명단!$H3853="",TRUE(),COUNTIF(원본명단!$H$3:$H3853,원본명단!$H3853)=1),IF(원본명단!$I3853="",TRUE(),COUNTIF(원본명단!$I$3:$I3853,원본명단!$I3853)=1),IF(원본명단!$K3853="",TRUE(),COUNTIF(원본명단!$K$3:$K3853,원본명단!$K3853)=1)),"첫 건","중복 건")))</f>
        <v/>
      </c>
      <c r="J3854" s="11" t="str">
        <f aca="false">IF($A3854="","",IF($H3854="-","유지",IF($I3854="첫 건","유지","확인 필요")))</f>
        <v/>
      </c>
    </row>
    <row r="3855" customFormat="false" ht="15" hidden="false" customHeight="true" outlineLevel="0" collapsed="false">
      <c r="A3855" s="11" t="str">
        <f aca="false">IF(원본명단!$A3854="","",3852)</f>
        <v/>
      </c>
      <c r="B3855" s="12" t="str">
        <f aca="false">IF($A3855="","",원본명단!$A3854)</f>
        <v/>
      </c>
      <c r="C3855" s="12" t="str">
        <f aca="false">IF($A3855="","",원본명단!$B3854)</f>
        <v/>
      </c>
      <c r="D3855" s="12" t="str">
        <f aca="false">IF($A3855="","",원본명단!$D3854)</f>
        <v/>
      </c>
      <c r="E3855" s="11" t="str">
        <f aca="false">IF($A3855="","",IF(원본명단!$H3854="",0,COUNTIF(원본명단!$H$3:$H$6002,원본명단!$H3854)))</f>
        <v/>
      </c>
      <c r="F3855" s="11" t="str">
        <f aca="false">IF($A3855="","",IF(원본명단!$I3854="",0,COUNTIF(원본명단!$I$3:$I$6002,원본명단!$I3854)))</f>
        <v/>
      </c>
      <c r="G3855" s="11" t="str">
        <f aca="false">IF($A3855="","",IF(원본명단!$K3854="",0,COUNTIF(원본명단!$K$3:$K$6002,원본명단!$K3854)))</f>
        <v/>
      </c>
      <c r="H3855" s="11" t="str">
        <f aca="false">IF($A3855="","",IF(MAX($E3855,$F3855,$G3855)&gt;1,"중복","-"))</f>
        <v/>
      </c>
      <c r="I3855" s="11" t="str">
        <f aca="false">IF($A3855="","",IF($H3855="-","-",IF(AND(IF(원본명단!$H3854="",TRUE(),COUNTIF(원본명단!$H$3:$H3854,원본명단!$H3854)=1),IF(원본명단!$I3854="",TRUE(),COUNTIF(원본명단!$I$3:$I3854,원본명단!$I3854)=1),IF(원본명단!$K3854="",TRUE(),COUNTIF(원본명단!$K$3:$K3854,원본명단!$K3854)=1)),"첫 건","중복 건")))</f>
        <v/>
      </c>
      <c r="J3855" s="11" t="str">
        <f aca="false">IF($A3855="","",IF($H3855="-","유지",IF($I3855="첫 건","유지","확인 필요")))</f>
        <v/>
      </c>
    </row>
    <row r="3856" customFormat="false" ht="15" hidden="false" customHeight="true" outlineLevel="0" collapsed="false">
      <c r="A3856" s="11" t="str">
        <f aca="false">IF(원본명단!$A3855="","",3853)</f>
        <v/>
      </c>
      <c r="B3856" s="12" t="str">
        <f aca="false">IF($A3856="","",원본명단!$A3855)</f>
        <v/>
      </c>
      <c r="C3856" s="12" t="str">
        <f aca="false">IF($A3856="","",원본명단!$B3855)</f>
        <v/>
      </c>
      <c r="D3856" s="12" t="str">
        <f aca="false">IF($A3856="","",원본명단!$D3855)</f>
        <v/>
      </c>
      <c r="E3856" s="11" t="str">
        <f aca="false">IF($A3856="","",IF(원본명단!$H3855="",0,COUNTIF(원본명단!$H$3:$H$6002,원본명단!$H3855)))</f>
        <v/>
      </c>
      <c r="F3856" s="11" t="str">
        <f aca="false">IF($A3856="","",IF(원본명단!$I3855="",0,COUNTIF(원본명단!$I$3:$I$6002,원본명단!$I3855)))</f>
        <v/>
      </c>
      <c r="G3856" s="11" t="str">
        <f aca="false">IF($A3856="","",IF(원본명단!$K3855="",0,COUNTIF(원본명단!$K$3:$K$6002,원본명단!$K3855)))</f>
        <v/>
      </c>
      <c r="H3856" s="11" t="str">
        <f aca="false">IF($A3856="","",IF(MAX($E3856,$F3856,$G3856)&gt;1,"중복","-"))</f>
        <v/>
      </c>
      <c r="I3856" s="11" t="str">
        <f aca="false">IF($A3856="","",IF($H3856="-","-",IF(AND(IF(원본명단!$H3855="",TRUE(),COUNTIF(원본명단!$H$3:$H3855,원본명단!$H3855)=1),IF(원본명단!$I3855="",TRUE(),COUNTIF(원본명단!$I$3:$I3855,원본명단!$I3855)=1),IF(원본명단!$K3855="",TRUE(),COUNTIF(원본명단!$K$3:$K3855,원본명단!$K3855)=1)),"첫 건","중복 건")))</f>
        <v/>
      </c>
      <c r="J3856" s="11" t="str">
        <f aca="false">IF($A3856="","",IF($H3856="-","유지",IF($I3856="첫 건","유지","확인 필요")))</f>
        <v/>
      </c>
    </row>
    <row r="3857" customFormat="false" ht="15" hidden="false" customHeight="true" outlineLevel="0" collapsed="false">
      <c r="A3857" s="11" t="str">
        <f aca="false">IF(원본명단!$A3856="","",3854)</f>
        <v/>
      </c>
      <c r="B3857" s="12" t="str">
        <f aca="false">IF($A3857="","",원본명단!$A3856)</f>
        <v/>
      </c>
      <c r="C3857" s="12" t="str">
        <f aca="false">IF($A3857="","",원본명단!$B3856)</f>
        <v/>
      </c>
      <c r="D3857" s="12" t="str">
        <f aca="false">IF($A3857="","",원본명단!$D3856)</f>
        <v/>
      </c>
      <c r="E3857" s="11" t="str">
        <f aca="false">IF($A3857="","",IF(원본명단!$H3856="",0,COUNTIF(원본명단!$H$3:$H$6002,원본명단!$H3856)))</f>
        <v/>
      </c>
      <c r="F3857" s="11" t="str">
        <f aca="false">IF($A3857="","",IF(원본명단!$I3856="",0,COUNTIF(원본명단!$I$3:$I$6002,원본명단!$I3856)))</f>
        <v/>
      </c>
      <c r="G3857" s="11" t="str">
        <f aca="false">IF($A3857="","",IF(원본명단!$K3856="",0,COUNTIF(원본명단!$K$3:$K$6002,원본명단!$K3856)))</f>
        <v/>
      </c>
      <c r="H3857" s="11" t="str">
        <f aca="false">IF($A3857="","",IF(MAX($E3857,$F3857,$G3857)&gt;1,"중복","-"))</f>
        <v/>
      </c>
      <c r="I3857" s="11" t="str">
        <f aca="false">IF($A3857="","",IF($H3857="-","-",IF(AND(IF(원본명단!$H3856="",TRUE(),COUNTIF(원본명단!$H$3:$H3856,원본명단!$H3856)=1),IF(원본명단!$I3856="",TRUE(),COUNTIF(원본명단!$I$3:$I3856,원본명단!$I3856)=1),IF(원본명단!$K3856="",TRUE(),COUNTIF(원본명단!$K$3:$K3856,원본명단!$K3856)=1)),"첫 건","중복 건")))</f>
        <v/>
      </c>
      <c r="J3857" s="11" t="str">
        <f aca="false">IF($A3857="","",IF($H3857="-","유지",IF($I3857="첫 건","유지","확인 필요")))</f>
        <v/>
      </c>
    </row>
    <row r="3858" customFormat="false" ht="15" hidden="false" customHeight="true" outlineLevel="0" collapsed="false">
      <c r="A3858" s="11" t="str">
        <f aca="false">IF(원본명단!$A3857="","",3855)</f>
        <v/>
      </c>
      <c r="B3858" s="12" t="str">
        <f aca="false">IF($A3858="","",원본명단!$A3857)</f>
        <v/>
      </c>
      <c r="C3858" s="12" t="str">
        <f aca="false">IF($A3858="","",원본명단!$B3857)</f>
        <v/>
      </c>
      <c r="D3858" s="12" t="str">
        <f aca="false">IF($A3858="","",원본명단!$D3857)</f>
        <v/>
      </c>
      <c r="E3858" s="11" t="str">
        <f aca="false">IF($A3858="","",IF(원본명단!$H3857="",0,COUNTIF(원본명단!$H$3:$H$6002,원본명단!$H3857)))</f>
        <v/>
      </c>
      <c r="F3858" s="11" t="str">
        <f aca="false">IF($A3858="","",IF(원본명단!$I3857="",0,COUNTIF(원본명단!$I$3:$I$6002,원본명단!$I3857)))</f>
        <v/>
      </c>
      <c r="G3858" s="11" t="str">
        <f aca="false">IF($A3858="","",IF(원본명단!$K3857="",0,COUNTIF(원본명단!$K$3:$K$6002,원본명단!$K3857)))</f>
        <v/>
      </c>
      <c r="H3858" s="11" t="str">
        <f aca="false">IF($A3858="","",IF(MAX($E3858,$F3858,$G3858)&gt;1,"중복","-"))</f>
        <v/>
      </c>
      <c r="I3858" s="11" t="str">
        <f aca="false">IF($A3858="","",IF($H3858="-","-",IF(AND(IF(원본명단!$H3857="",TRUE(),COUNTIF(원본명단!$H$3:$H3857,원본명단!$H3857)=1),IF(원본명단!$I3857="",TRUE(),COUNTIF(원본명단!$I$3:$I3857,원본명단!$I3857)=1),IF(원본명단!$K3857="",TRUE(),COUNTIF(원본명단!$K$3:$K3857,원본명단!$K3857)=1)),"첫 건","중복 건")))</f>
        <v/>
      </c>
      <c r="J3858" s="11" t="str">
        <f aca="false">IF($A3858="","",IF($H3858="-","유지",IF($I3858="첫 건","유지","확인 필요")))</f>
        <v/>
      </c>
    </row>
    <row r="3859" customFormat="false" ht="15" hidden="false" customHeight="true" outlineLevel="0" collapsed="false">
      <c r="A3859" s="11" t="str">
        <f aca="false">IF(원본명단!$A3858="","",3856)</f>
        <v/>
      </c>
      <c r="B3859" s="12" t="str">
        <f aca="false">IF($A3859="","",원본명단!$A3858)</f>
        <v/>
      </c>
      <c r="C3859" s="12" t="str">
        <f aca="false">IF($A3859="","",원본명단!$B3858)</f>
        <v/>
      </c>
      <c r="D3859" s="12" t="str">
        <f aca="false">IF($A3859="","",원본명단!$D3858)</f>
        <v/>
      </c>
      <c r="E3859" s="11" t="str">
        <f aca="false">IF($A3859="","",IF(원본명단!$H3858="",0,COUNTIF(원본명단!$H$3:$H$6002,원본명단!$H3858)))</f>
        <v/>
      </c>
      <c r="F3859" s="11" t="str">
        <f aca="false">IF($A3859="","",IF(원본명단!$I3858="",0,COUNTIF(원본명단!$I$3:$I$6002,원본명단!$I3858)))</f>
        <v/>
      </c>
      <c r="G3859" s="11" t="str">
        <f aca="false">IF($A3859="","",IF(원본명단!$K3858="",0,COUNTIF(원본명단!$K$3:$K$6002,원본명단!$K3858)))</f>
        <v/>
      </c>
      <c r="H3859" s="11" t="str">
        <f aca="false">IF($A3859="","",IF(MAX($E3859,$F3859,$G3859)&gt;1,"중복","-"))</f>
        <v/>
      </c>
      <c r="I3859" s="11" t="str">
        <f aca="false">IF($A3859="","",IF($H3859="-","-",IF(AND(IF(원본명단!$H3858="",TRUE(),COUNTIF(원본명단!$H$3:$H3858,원본명단!$H3858)=1),IF(원본명단!$I3858="",TRUE(),COUNTIF(원본명단!$I$3:$I3858,원본명단!$I3858)=1),IF(원본명단!$K3858="",TRUE(),COUNTIF(원본명단!$K$3:$K3858,원본명단!$K3858)=1)),"첫 건","중복 건")))</f>
        <v/>
      </c>
      <c r="J3859" s="11" t="str">
        <f aca="false">IF($A3859="","",IF($H3859="-","유지",IF($I3859="첫 건","유지","확인 필요")))</f>
        <v/>
      </c>
    </row>
    <row r="3860" customFormat="false" ht="15" hidden="false" customHeight="true" outlineLevel="0" collapsed="false">
      <c r="A3860" s="11" t="str">
        <f aca="false">IF(원본명단!$A3859="","",3857)</f>
        <v/>
      </c>
      <c r="B3860" s="12" t="str">
        <f aca="false">IF($A3860="","",원본명단!$A3859)</f>
        <v/>
      </c>
      <c r="C3860" s="12" t="str">
        <f aca="false">IF($A3860="","",원본명단!$B3859)</f>
        <v/>
      </c>
      <c r="D3860" s="12" t="str">
        <f aca="false">IF($A3860="","",원본명단!$D3859)</f>
        <v/>
      </c>
      <c r="E3860" s="11" t="str">
        <f aca="false">IF($A3860="","",IF(원본명단!$H3859="",0,COUNTIF(원본명단!$H$3:$H$6002,원본명단!$H3859)))</f>
        <v/>
      </c>
      <c r="F3860" s="11" t="str">
        <f aca="false">IF($A3860="","",IF(원본명단!$I3859="",0,COUNTIF(원본명단!$I$3:$I$6002,원본명단!$I3859)))</f>
        <v/>
      </c>
      <c r="G3860" s="11" t="str">
        <f aca="false">IF($A3860="","",IF(원본명단!$K3859="",0,COUNTIF(원본명단!$K$3:$K$6002,원본명단!$K3859)))</f>
        <v/>
      </c>
      <c r="H3860" s="11" t="str">
        <f aca="false">IF($A3860="","",IF(MAX($E3860,$F3860,$G3860)&gt;1,"중복","-"))</f>
        <v/>
      </c>
      <c r="I3860" s="11" t="str">
        <f aca="false">IF($A3860="","",IF($H3860="-","-",IF(AND(IF(원본명단!$H3859="",TRUE(),COUNTIF(원본명단!$H$3:$H3859,원본명단!$H3859)=1),IF(원본명단!$I3859="",TRUE(),COUNTIF(원본명단!$I$3:$I3859,원본명단!$I3859)=1),IF(원본명단!$K3859="",TRUE(),COUNTIF(원본명단!$K$3:$K3859,원본명단!$K3859)=1)),"첫 건","중복 건")))</f>
        <v/>
      </c>
      <c r="J3860" s="11" t="str">
        <f aca="false">IF($A3860="","",IF($H3860="-","유지",IF($I3860="첫 건","유지","확인 필요")))</f>
        <v/>
      </c>
    </row>
    <row r="3861" customFormat="false" ht="15" hidden="false" customHeight="true" outlineLevel="0" collapsed="false">
      <c r="A3861" s="11" t="str">
        <f aca="false">IF(원본명단!$A3860="","",3858)</f>
        <v/>
      </c>
      <c r="B3861" s="12" t="str">
        <f aca="false">IF($A3861="","",원본명단!$A3860)</f>
        <v/>
      </c>
      <c r="C3861" s="12" t="str">
        <f aca="false">IF($A3861="","",원본명단!$B3860)</f>
        <v/>
      </c>
      <c r="D3861" s="12" t="str">
        <f aca="false">IF($A3861="","",원본명단!$D3860)</f>
        <v/>
      </c>
      <c r="E3861" s="11" t="str">
        <f aca="false">IF($A3861="","",IF(원본명단!$H3860="",0,COUNTIF(원본명단!$H$3:$H$6002,원본명단!$H3860)))</f>
        <v/>
      </c>
      <c r="F3861" s="11" t="str">
        <f aca="false">IF($A3861="","",IF(원본명단!$I3860="",0,COUNTIF(원본명단!$I$3:$I$6002,원본명단!$I3860)))</f>
        <v/>
      </c>
      <c r="G3861" s="11" t="str">
        <f aca="false">IF($A3861="","",IF(원본명단!$K3860="",0,COUNTIF(원본명단!$K$3:$K$6002,원본명단!$K3860)))</f>
        <v/>
      </c>
      <c r="H3861" s="11" t="str">
        <f aca="false">IF($A3861="","",IF(MAX($E3861,$F3861,$G3861)&gt;1,"중복","-"))</f>
        <v/>
      </c>
      <c r="I3861" s="11" t="str">
        <f aca="false">IF($A3861="","",IF($H3861="-","-",IF(AND(IF(원본명단!$H3860="",TRUE(),COUNTIF(원본명단!$H$3:$H3860,원본명단!$H3860)=1),IF(원본명단!$I3860="",TRUE(),COUNTIF(원본명단!$I$3:$I3860,원본명단!$I3860)=1),IF(원본명단!$K3860="",TRUE(),COUNTIF(원본명단!$K$3:$K3860,원본명단!$K3860)=1)),"첫 건","중복 건")))</f>
        <v/>
      </c>
      <c r="J3861" s="11" t="str">
        <f aca="false">IF($A3861="","",IF($H3861="-","유지",IF($I3861="첫 건","유지","확인 필요")))</f>
        <v/>
      </c>
    </row>
    <row r="3862" customFormat="false" ht="15" hidden="false" customHeight="true" outlineLevel="0" collapsed="false">
      <c r="A3862" s="11" t="str">
        <f aca="false">IF(원본명단!$A3861="","",3859)</f>
        <v/>
      </c>
      <c r="B3862" s="12" t="str">
        <f aca="false">IF($A3862="","",원본명단!$A3861)</f>
        <v/>
      </c>
      <c r="C3862" s="12" t="str">
        <f aca="false">IF($A3862="","",원본명단!$B3861)</f>
        <v/>
      </c>
      <c r="D3862" s="12" t="str">
        <f aca="false">IF($A3862="","",원본명단!$D3861)</f>
        <v/>
      </c>
      <c r="E3862" s="11" t="str">
        <f aca="false">IF($A3862="","",IF(원본명단!$H3861="",0,COUNTIF(원본명단!$H$3:$H$6002,원본명단!$H3861)))</f>
        <v/>
      </c>
      <c r="F3862" s="11" t="str">
        <f aca="false">IF($A3862="","",IF(원본명단!$I3861="",0,COUNTIF(원본명단!$I$3:$I$6002,원본명단!$I3861)))</f>
        <v/>
      </c>
      <c r="G3862" s="11" t="str">
        <f aca="false">IF($A3862="","",IF(원본명단!$K3861="",0,COUNTIF(원본명단!$K$3:$K$6002,원본명단!$K3861)))</f>
        <v/>
      </c>
      <c r="H3862" s="11" t="str">
        <f aca="false">IF($A3862="","",IF(MAX($E3862,$F3862,$G3862)&gt;1,"중복","-"))</f>
        <v/>
      </c>
      <c r="I3862" s="11" t="str">
        <f aca="false">IF($A3862="","",IF($H3862="-","-",IF(AND(IF(원본명단!$H3861="",TRUE(),COUNTIF(원본명단!$H$3:$H3861,원본명단!$H3861)=1),IF(원본명단!$I3861="",TRUE(),COUNTIF(원본명단!$I$3:$I3861,원본명단!$I3861)=1),IF(원본명단!$K3861="",TRUE(),COUNTIF(원본명단!$K$3:$K3861,원본명단!$K3861)=1)),"첫 건","중복 건")))</f>
        <v/>
      </c>
      <c r="J3862" s="11" t="str">
        <f aca="false">IF($A3862="","",IF($H3862="-","유지",IF($I3862="첫 건","유지","확인 필요")))</f>
        <v/>
      </c>
    </row>
    <row r="3863" customFormat="false" ht="15" hidden="false" customHeight="true" outlineLevel="0" collapsed="false">
      <c r="A3863" s="11" t="str">
        <f aca="false">IF(원본명단!$A3862="","",3860)</f>
        <v/>
      </c>
      <c r="B3863" s="12" t="str">
        <f aca="false">IF($A3863="","",원본명단!$A3862)</f>
        <v/>
      </c>
      <c r="C3863" s="12" t="str">
        <f aca="false">IF($A3863="","",원본명단!$B3862)</f>
        <v/>
      </c>
      <c r="D3863" s="12" t="str">
        <f aca="false">IF($A3863="","",원본명단!$D3862)</f>
        <v/>
      </c>
      <c r="E3863" s="11" t="str">
        <f aca="false">IF($A3863="","",IF(원본명단!$H3862="",0,COUNTIF(원본명단!$H$3:$H$6002,원본명단!$H3862)))</f>
        <v/>
      </c>
      <c r="F3863" s="11" t="str">
        <f aca="false">IF($A3863="","",IF(원본명단!$I3862="",0,COUNTIF(원본명단!$I$3:$I$6002,원본명단!$I3862)))</f>
        <v/>
      </c>
      <c r="G3863" s="11" t="str">
        <f aca="false">IF($A3863="","",IF(원본명단!$K3862="",0,COUNTIF(원본명단!$K$3:$K$6002,원본명단!$K3862)))</f>
        <v/>
      </c>
      <c r="H3863" s="11" t="str">
        <f aca="false">IF($A3863="","",IF(MAX($E3863,$F3863,$G3863)&gt;1,"중복","-"))</f>
        <v/>
      </c>
      <c r="I3863" s="11" t="str">
        <f aca="false">IF($A3863="","",IF($H3863="-","-",IF(AND(IF(원본명단!$H3862="",TRUE(),COUNTIF(원본명단!$H$3:$H3862,원본명단!$H3862)=1),IF(원본명단!$I3862="",TRUE(),COUNTIF(원본명단!$I$3:$I3862,원본명단!$I3862)=1),IF(원본명단!$K3862="",TRUE(),COUNTIF(원본명단!$K$3:$K3862,원본명단!$K3862)=1)),"첫 건","중복 건")))</f>
        <v/>
      </c>
      <c r="J3863" s="11" t="str">
        <f aca="false">IF($A3863="","",IF($H3863="-","유지",IF($I3863="첫 건","유지","확인 필요")))</f>
        <v/>
      </c>
    </row>
    <row r="3864" customFormat="false" ht="15" hidden="false" customHeight="true" outlineLevel="0" collapsed="false">
      <c r="A3864" s="11" t="str">
        <f aca="false">IF(원본명단!$A3863="","",3861)</f>
        <v/>
      </c>
      <c r="B3864" s="12" t="str">
        <f aca="false">IF($A3864="","",원본명단!$A3863)</f>
        <v/>
      </c>
      <c r="C3864" s="12" t="str">
        <f aca="false">IF($A3864="","",원본명단!$B3863)</f>
        <v/>
      </c>
      <c r="D3864" s="12" t="str">
        <f aca="false">IF($A3864="","",원본명단!$D3863)</f>
        <v/>
      </c>
      <c r="E3864" s="11" t="str">
        <f aca="false">IF($A3864="","",IF(원본명단!$H3863="",0,COUNTIF(원본명단!$H$3:$H$6002,원본명단!$H3863)))</f>
        <v/>
      </c>
      <c r="F3864" s="11" t="str">
        <f aca="false">IF($A3864="","",IF(원본명단!$I3863="",0,COUNTIF(원본명단!$I$3:$I$6002,원본명단!$I3863)))</f>
        <v/>
      </c>
      <c r="G3864" s="11" t="str">
        <f aca="false">IF($A3864="","",IF(원본명단!$K3863="",0,COUNTIF(원본명단!$K$3:$K$6002,원본명단!$K3863)))</f>
        <v/>
      </c>
      <c r="H3864" s="11" t="str">
        <f aca="false">IF($A3864="","",IF(MAX($E3864,$F3864,$G3864)&gt;1,"중복","-"))</f>
        <v/>
      </c>
      <c r="I3864" s="11" t="str">
        <f aca="false">IF($A3864="","",IF($H3864="-","-",IF(AND(IF(원본명단!$H3863="",TRUE(),COUNTIF(원본명단!$H$3:$H3863,원본명단!$H3863)=1),IF(원본명단!$I3863="",TRUE(),COUNTIF(원본명단!$I$3:$I3863,원본명단!$I3863)=1),IF(원본명단!$K3863="",TRUE(),COUNTIF(원본명단!$K$3:$K3863,원본명단!$K3863)=1)),"첫 건","중복 건")))</f>
        <v/>
      </c>
      <c r="J3864" s="11" t="str">
        <f aca="false">IF($A3864="","",IF($H3864="-","유지",IF($I3864="첫 건","유지","확인 필요")))</f>
        <v/>
      </c>
    </row>
    <row r="3865" customFormat="false" ht="15" hidden="false" customHeight="true" outlineLevel="0" collapsed="false">
      <c r="A3865" s="11" t="str">
        <f aca="false">IF(원본명단!$A3864="","",3862)</f>
        <v/>
      </c>
      <c r="B3865" s="12" t="str">
        <f aca="false">IF($A3865="","",원본명단!$A3864)</f>
        <v/>
      </c>
      <c r="C3865" s="12" t="str">
        <f aca="false">IF($A3865="","",원본명단!$B3864)</f>
        <v/>
      </c>
      <c r="D3865" s="12" t="str">
        <f aca="false">IF($A3865="","",원본명단!$D3864)</f>
        <v/>
      </c>
      <c r="E3865" s="11" t="str">
        <f aca="false">IF($A3865="","",IF(원본명단!$H3864="",0,COUNTIF(원본명단!$H$3:$H$6002,원본명단!$H3864)))</f>
        <v/>
      </c>
      <c r="F3865" s="11" t="str">
        <f aca="false">IF($A3865="","",IF(원본명단!$I3864="",0,COUNTIF(원본명단!$I$3:$I$6002,원본명단!$I3864)))</f>
        <v/>
      </c>
      <c r="G3865" s="11" t="str">
        <f aca="false">IF($A3865="","",IF(원본명단!$K3864="",0,COUNTIF(원본명단!$K$3:$K$6002,원본명단!$K3864)))</f>
        <v/>
      </c>
      <c r="H3865" s="11" t="str">
        <f aca="false">IF($A3865="","",IF(MAX($E3865,$F3865,$G3865)&gt;1,"중복","-"))</f>
        <v/>
      </c>
      <c r="I3865" s="11" t="str">
        <f aca="false">IF($A3865="","",IF($H3865="-","-",IF(AND(IF(원본명단!$H3864="",TRUE(),COUNTIF(원본명단!$H$3:$H3864,원본명단!$H3864)=1),IF(원본명단!$I3864="",TRUE(),COUNTIF(원본명단!$I$3:$I3864,원본명단!$I3864)=1),IF(원본명단!$K3864="",TRUE(),COUNTIF(원본명단!$K$3:$K3864,원본명단!$K3864)=1)),"첫 건","중복 건")))</f>
        <v/>
      </c>
      <c r="J3865" s="11" t="str">
        <f aca="false">IF($A3865="","",IF($H3865="-","유지",IF($I3865="첫 건","유지","확인 필요")))</f>
        <v/>
      </c>
    </row>
    <row r="3866" customFormat="false" ht="15" hidden="false" customHeight="true" outlineLevel="0" collapsed="false">
      <c r="A3866" s="11" t="str">
        <f aca="false">IF(원본명단!$A3865="","",3863)</f>
        <v/>
      </c>
      <c r="B3866" s="12" t="str">
        <f aca="false">IF($A3866="","",원본명단!$A3865)</f>
        <v/>
      </c>
      <c r="C3866" s="12" t="str">
        <f aca="false">IF($A3866="","",원본명단!$B3865)</f>
        <v/>
      </c>
      <c r="D3866" s="12" t="str">
        <f aca="false">IF($A3866="","",원본명단!$D3865)</f>
        <v/>
      </c>
      <c r="E3866" s="11" t="str">
        <f aca="false">IF($A3866="","",IF(원본명단!$H3865="",0,COUNTIF(원본명단!$H$3:$H$6002,원본명단!$H3865)))</f>
        <v/>
      </c>
      <c r="F3866" s="11" t="str">
        <f aca="false">IF($A3866="","",IF(원본명단!$I3865="",0,COUNTIF(원본명단!$I$3:$I$6002,원본명단!$I3865)))</f>
        <v/>
      </c>
      <c r="G3866" s="11" t="str">
        <f aca="false">IF($A3866="","",IF(원본명단!$K3865="",0,COUNTIF(원본명단!$K$3:$K$6002,원본명단!$K3865)))</f>
        <v/>
      </c>
      <c r="H3866" s="11" t="str">
        <f aca="false">IF($A3866="","",IF(MAX($E3866,$F3866,$G3866)&gt;1,"중복","-"))</f>
        <v/>
      </c>
      <c r="I3866" s="11" t="str">
        <f aca="false">IF($A3866="","",IF($H3866="-","-",IF(AND(IF(원본명단!$H3865="",TRUE(),COUNTIF(원본명단!$H$3:$H3865,원본명단!$H3865)=1),IF(원본명단!$I3865="",TRUE(),COUNTIF(원본명단!$I$3:$I3865,원본명단!$I3865)=1),IF(원본명단!$K3865="",TRUE(),COUNTIF(원본명단!$K$3:$K3865,원본명단!$K3865)=1)),"첫 건","중복 건")))</f>
        <v/>
      </c>
      <c r="J3866" s="11" t="str">
        <f aca="false">IF($A3866="","",IF($H3866="-","유지",IF($I3866="첫 건","유지","확인 필요")))</f>
        <v/>
      </c>
    </row>
    <row r="3867" customFormat="false" ht="15" hidden="false" customHeight="true" outlineLevel="0" collapsed="false">
      <c r="A3867" s="11" t="str">
        <f aca="false">IF(원본명단!$A3866="","",3864)</f>
        <v/>
      </c>
      <c r="B3867" s="12" t="str">
        <f aca="false">IF($A3867="","",원본명단!$A3866)</f>
        <v/>
      </c>
      <c r="C3867" s="12" t="str">
        <f aca="false">IF($A3867="","",원본명단!$B3866)</f>
        <v/>
      </c>
      <c r="D3867" s="12" t="str">
        <f aca="false">IF($A3867="","",원본명단!$D3866)</f>
        <v/>
      </c>
      <c r="E3867" s="11" t="str">
        <f aca="false">IF($A3867="","",IF(원본명단!$H3866="",0,COUNTIF(원본명단!$H$3:$H$6002,원본명단!$H3866)))</f>
        <v/>
      </c>
      <c r="F3867" s="11" t="str">
        <f aca="false">IF($A3867="","",IF(원본명단!$I3866="",0,COUNTIF(원본명단!$I$3:$I$6002,원본명단!$I3866)))</f>
        <v/>
      </c>
      <c r="G3867" s="11" t="str">
        <f aca="false">IF($A3867="","",IF(원본명단!$K3866="",0,COUNTIF(원본명단!$K$3:$K$6002,원본명단!$K3866)))</f>
        <v/>
      </c>
      <c r="H3867" s="11" t="str">
        <f aca="false">IF($A3867="","",IF(MAX($E3867,$F3867,$G3867)&gt;1,"중복","-"))</f>
        <v/>
      </c>
      <c r="I3867" s="11" t="str">
        <f aca="false">IF($A3867="","",IF($H3867="-","-",IF(AND(IF(원본명단!$H3866="",TRUE(),COUNTIF(원본명단!$H$3:$H3866,원본명단!$H3866)=1),IF(원본명단!$I3866="",TRUE(),COUNTIF(원본명단!$I$3:$I3866,원본명단!$I3866)=1),IF(원본명단!$K3866="",TRUE(),COUNTIF(원본명단!$K$3:$K3866,원본명단!$K3866)=1)),"첫 건","중복 건")))</f>
        <v/>
      </c>
      <c r="J3867" s="11" t="str">
        <f aca="false">IF($A3867="","",IF($H3867="-","유지",IF($I3867="첫 건","유지","확인 필요")))</f>
        <v/>
      </c>
    </row>
    <row r="3868" customFormat="false" ht="15" hidden="false" customHeight="true" outlineLevel="0" collapsed="false">
      <c r="A3868" s="11" t="str">
        <f aca="false">IF(원본명단!$A3867="","",3865)</f>
        <v/>
      </c>
      <c r="B3868" s="12" t="str">
        <f aca="false">IF($A3868="","",원본명단!$A3867)</f>
        <v/>
      </c>
      <c r="C3868" s="12" t="str">
        <f aca="false">IF($A3868="","",원본명단!$B3867)</f>
        <v/>
      </c>
      <c r="D3868" s="12" t="str">
        <f aca="false">IF($A3868="","",원본명단!$D3867)</f>
        <v/>
      </c>
      <c r="E3868" s="11" t="str">
        <f aca="false">IF($A3868="","",IF(원본명단!$H3867="",0,COUNTIF(원본명단!$H$3:$H$6002,원본명단!$H3867)))</f>
        <v/>
      </c>
      <c r="F3868" s="11" t="str">
        <f aca="false">IF($A3868="","",IF(원본명단!$I3867="",0,COUNTIF(원본명단!$I$3:$I$6002,원본명단!$I3867)))</f>
        <v/>
      </c>
      <c r="G3868" s="11" t="str">
        <f aca="false">IF($A3868="","",IF(원본명단!$K3867="",0,COUNTIF(원본명단!$K$3:$K$6002,원본명단!$K3867)))</f>
        <v/>
      </c>
      <c r="H3868" s="11" t="str">
        <f aca="false">IF($A3868="","",IF(MAX($E3868,$F3868,$G3868)&gt;1,"중복","-"))</f>
        <v/>
      </c>
      <c r="I3868" s="11" t="str">
        <f aca="false">IF($A3868="","",IF($H3868="-","-",IF(AND(IF(원본명단!$H3867="",TRUE(),COUNTIF(원본명단!$H$3:$H3867,원본명단!$H3867)=1),IF(원본명단!$I3867="",TRUE(),COUNTIF(원본명단!$I$3:$I3867,원본명단!$I3867)=1),IF(원본명단!$K3867="",TRUE(),COUNTIF(원본명단!$K$3:$K3867,원본명단!$K3867)=1)),"첫 건","중복 건")))</f>
        <v/>
      </c>
      <c r="J3868" s="11" t="str">
        <f aca="false">IF($A3868="","",IF($H3868="-","유지",IF($I3868="첫 건","유지","확인 필요")))</f>
        <v/>
      </c>
    </row>
    <row r="3869" customFormat="false" ht="15" hidden="false" customHeight="true" outlineLevel="0" collapsed="false">
      <c r="A3869" s="11" t="str">
        <f aca="false">IF(원본명단!$A3868="","",3866)</f>
        <v/>
      </c>
      <c r="B3869" s="12" t="str">
        <f aca="false">IF($A3869="","",원본명단!$A3868)</f>
        <v/>
      </c>
      <c r="C3869" s="12" t="str">
        <f aca="false">IF($A3869="","",원본명단!$B3868)</f>
        <v/>
      </c>
      <c r="D3869" s="12" t="str">
        <f aca="false">IF($A3869="","",원본명단!$D3868)</f>
        <v/>
      </c>
      <c r="E3869" s="11" t="str">
        <f aca="false">IF($A3869="","",IF(원본명단!$H3868="",0,COUNTIF(원본명단!$H$3:$H$6002,원본명단!$H3868)))</f>
        <v/>
      </c>
      <c r="F3869" s="11" t="str">
        <f aca="false">IF($A3869="","",IF(원본명단!$I3868="",0,COUNTIF(원본명단!$I$3:$I$6002,원본명단!$I3868)))</f>
        <v/>
      </c>
      <c r="G3869" s="11" t="str">
        <f aca="false">IF($A3869="","",IF(원본명단!$K3868="",0,COUNTIF(원본명단!$K$3:$K$6002,원본명단!$K3868)))</f>
        <v/>
      </c>
      <c r="H3869" s="11" t="str">
        <f aca="false">IF($A3869="","",IF(MAX($E3869,$F3869,$G3869)&gt;1,"중복","-"))</f>
        <v/>
      </c>
      <c r="I3869" s="11" t="str">
        <f aca="false">IF($A3869="","",IF($H3869="-","-",IF(AND(IF(원본명단!$H3868="",TRUE(),COUNTIF(원본명단!$H$3:$H3868,원본명단!$H3868)=1),IF(원본명단!$I3868="",TRUE(),COUNTIF(원본명단!$I$3:$I3868,원본명단!$I3868)=1),IF(원본명단!$K3868="",TRUE(),COUNTIF(원본명단!$K$3:$K3868,원본명단!$K3868)=1)),"첫 건","중복 건")))</f>
        <v/>
      </c>
      <c r="J3869" s="11" t="str">
        <f aca="false">IF($A3869="","",IF($H3869="-","유지",IF($I3869="첫 건","유지","확인 필요")))</f>
        <v/>
      </c>
    </row>
    <row r="3870" customFormat="false" ht="15" hidden="false" customHeight="true" outlineLevel="0" collapsed="false">
      <c r="A3870" s="11" t="str">
        <f aca="false">IF(원본명단!$A3869="","",3867)</f>
        <v/>
      </c>
      <c r="B3870" s="12" t="str">
        <f aca="false">IF($A3870="","",원본명단!$A3869)</f>
        <v/>
      </c>
      <c r="C3870" s="12" t="str">
        <f aca="false">IF($A3870="","",원본명단!$B3869)</f>
        <v/>
      </c>
      <c r="D3870" s="12" t="str">
        <f aca="false">IF($A3870="","",원본명단!$D3869)</f>
        <v/>
      </c>
      <c r="E3870" s="11" t="str">
        <f aca="false">IF($A3870="","",IF(원본명단!$H3869="",0,COUNTIF(원본명단!$H$3:$H$6002,원본명단!$H3869)))</f>
        <v/>
      </c>
      <c r="F3870" s="11" t="str">
        <f aca="false">IF($A3870="","",IF(원본명단!$I3869="",0,COUNTIF(원본명단!$I$3:$I$6002,원본명단!$I3869)))</f>
        <v/>
      </c>
      <c r="G3870" s="11" t="str">
        <f aca="false">IF($A3870="","",IF(원본명단!$K3869="",0,COUNTIF(원본명단!$K$3:$K$6002,원본명단!$K3869)))</f>
        <v/>
      </c>
      <c r="H3870" s="11" t="str">
        <f aca="false">IF($A3870="","",IF(MAX($E3870,$F3870,$G3870)&gt;1,"중복","-"))</f>
        <v/>
      </c>
      <c r="I3870" s="11" t="str">
        <f aca="false">IF($A3870="","",IF($H3870="-","-",IF(AND(IF(원본명단!$H3869="",TRUE(),COUNTIF(원본명단!$H$3:$H3869,원본명단!$H3869)=1),IF(원본명단!$I3869="",TRUE(),COUNTIF(원본명단!$I$3:$I3869,원본명단!$I3869)=1),IF(원본명단!$K3869="",TRUE(),COUNTIF(원본명단!$K$3:$K3869,원본명단!$K3869)=1)),"첫 건","중복 건")))</f>
        <v/>
      </c>
      <c r="J3870" s="11" t="str">
        <f aca="false">IF($A3870="","",IF($H3870="-","유지",IF($I3870="첫 건","유지","확인 필요")))</f>
        <v/>
      </c>
    </row>
    <row r="3871" customFormat="false" ht="15" hidden="false" customHeight="true" outlineLevel="0" collapsed="false">
      <c r="A3871" s="11" t="str">
        <f aca="false">IF(원본명단!$A3870="","",3868)</f>
        <v/>
      </c>
      <c r="B3871" s="12" t="str">
        <f aca="false">IF($A3871="","",원본명단!$A3870)</f>
        <v/>
      </c>
      <c r="C3871" s="12" t="str">
        <f aca="false">IF($A3871="","",원본명단!$B3870)</f>
        <v/>
      </c>
      <c r="D3871" s="12" t="str">
        <f aca="false">IF($A3871="","",원본명단!$D3870)</f>
        <v/>
      </c>
      <c r="E3871" s="11" t="str">
        <f aca="false">IF($A3871="","",IF(원본명단!$H3870="",0,COUNTIF(원본명단!$H$3:$H$6002,원본명단!$H3870)))</f>
        <v/>
      </c>
      <c r="F3871" s="11" t="str">
        <f aca="false">IF($A3871="","",IF(원본명단!$I3870="",0,COUNTIF(원본명단!$I$3:$I$6002,원본명단!$I3870)))</f>
        <v/>
      </c>
      <c r="G3871" s="11" t="str">
        <f aca="false">IF($A3871="","",IF(원본명단!$K3870="",0,COUNTIF(원본명단!$K$3:$K$6002,원본명단!$K3870)))</f>
        <v/>
      </c>
      <c r="H3871" s="11" t="str">
        <f aca="false">IF($A3871="","",IF(MAX($E3871,$F3871,$G3871)&gt;1,"중복","-"))</f>
        <v/>
      </c>
      <c r="I3871" s="11" t="str">
        <f aca="false">IF($A3871="","",IF($H3871="-","-",IF(AND(IF(원본명단!$H3870="",TRUE(),COUNTIF(원본명단!$H$3:$H3870,원본명단!$H3870)=1),IF(원본명단!$I3870="",TRUE(),COUNTIF(원본명단!$I$3:$I3870,원본명단!$I3870)=1),IF(원본명단!$K3870="",TRUE(),COUNTIF(원본명단!$K$3:$K3870,원본명단!$K3870)=1)),"첫 건","중복 건")))</f>
        <v/>
      </c>
      <c r="J3871" s="11" t="str">
        <f aca="false">IF($A3871="","",IF($H3871="-","유지",IF($I3871="첫 건","유지","확인 필요")))</f>
        <v/>
      </c>
    </row>
    <row r="3872" customFormat="false" ht="15" hidden="false" customHeight="true" outlineLevel="0" collapsed="false">
      <c r="A3872" s="11" t="str">
        <f aca="false">IF(원본명단!$A3871="","",3869)</f>
        <v/>
      </c>
      <c r="B3872" s="12" t="str">
        <f aca="false">IF($A3872="","",원본명단!$A3871)</f>
        <v/>
      </c>
      <c r="C3872" s="12" t="str">
        <f aca="false">IF($A3872="","",원본명단!$B3871)</f>
        <v/>
      </c>
      <c r="D3872" s="12" t="str">
        <f aca="false">IF($A3872="","",원본명단!$D3871)</f>
        <v/>
      </c>
      <c r="E3872" s="11" t="str">
        <f aca="false">IF($A3872="","",IF(원본명단!$H3871="",0,COUNTIF(원본명단!$H$3:$H$6002,원본명단!$H3871)))</f>
        <v/>
      </c>
      <c r="F3872" s="11" t="str">
        <f aca="false">IF($A3872="","",IF(원본명단!$I3871="",0,COUNTIF(원본명단!$I$3:$I$6002,원본명단!$I3871)))</f>
        <v/>
      </c>
      <c r="G3872" s="11" t="str">
        <f aca="false">IF($A3872="","",IF(원본명단!$K3871="",0,COUNTIF(원본명단!$K$3:$K$6002,원본명단!$K3871)))</f>
        <v/>
      </c>
      <c r="H3872" s="11" t="str">
        <f aca="false">IF($A3872="","",IF(MAX($E3872,$F3872,$G3872)&gt;1,"중복","-"))</f>
        <v/>
      </c>
      <c r="I3872" s="11" t="str">
        <f aca="false">IF($A3872="","",IF($H3872="-","-",IF(AND(IF(원본명단!$H3871="",TRUE(),COUNTIF(원본명단!$H$3:$H3871,원본명단!$H3871)=1),IF(원본명단!$I3871="",TRUE(),COUNTIF(원본명단!$I$3:$I3871,원본명단!$I3871)=1),IF(원본명단!$K3871="",TRUE(),COUNTIF(원본명단!$K$3:$K3871,원본명단!$K3871)=1)),"첫 건","중복 건")))</f>
        <v/>
      </c>
      <c r="J3872" s="11" t="str">
        <f aca="false">IF($A3872="","",IF($H3872="-","유지",IF($I3872="첫 건","유지","확인 필요")))</f>
        <v/>
      </c>
    </row>
    <row r="3873" customFormat="false" ht="15" hidden="false" customHeight="true" outlineLevel="0" collapsed="false">
      <c r="A3873" s="11" t="str">
        <f aca="false">IF(원본명단!$A3872="","",3870)</f>
        <v/>
      </c>
      <c r="B3873" s="12" t="str">
        <f aca="false">IF($A3873="","",원본명단!$A3872)</f>
        <v/>
      </c>
      <c r="C3873" s="12" t="str">
        <f aca="false">IF($A3873="","",원본명단!$B3872)</f>
        <v/>
      </c>
      <c r="D3873" s="12" t="str">
        <f aca="false">IF($A3873="","",원본명단!$D3872)</f>
        <v/>
      </c>
      <c r="E3873" s="11" t="str">
        <f aca="false">IF($A3873="","",IF(원본명단!$H3872="",0,COUNTIF(원본명단!$H$3:$H$6002,원본명단!$H3872)))</f>
        <v/>
      </c>
      <c r="F3873" s="11" t="str">
        <f aca="false">IF($A3873="","",IF(원본명단!$I3872="",0,COUNTIF(원본명단!$I$3:$I$6002,원본명단!$I3872)))</f>
        <v/>
      </c>
      <c r="G3873" s="11" t="str">
        <f aca="false">IF($A3873="","",IF(원본명단!$K3872="",0,COUNTIF(원본명단!$K$3:$K$6002,원본명단!$K3872)))</f>
        <v/>
      </c>
      <c r="H3873" s="11" t="str">
        <f aca="false">IF($A3873="","",IF(MAX($E3873,$F3873,$G3873)&gt;1,"중복","-"))</f>
        <v/>
      </c>
      <c r="I3873" s="11" t="str">
        <f aca="false">IF($A3873="","",IF($H3873="-","-",IF(AND(IF(원본명단!$H3872="",TRUE(),COUNTIF(원본명단!$H$3:$H3872,원본명단!$H3872)=1),IF(원본명단!$I3872="",TRUE(),COUNTIF(원본명단!$I$3:$I3872,원본명단!$I3872)=1),IF(원본명단!$K3872="",TRUE(),COUNTIF(원본명단!$K$3:$K3872,원본명단!$K3872)=1)),"첫 건","중복 건")))</f>
        <v/>
      </c>
      <c r="J3873" s="11" t="str">
        <f aca="false">IF($A3873="","",IF($H3873="-","유지",IF($I3873="첫 건","유지","확인 필요")))</f>
        <v/>
      </c>
    </row>
    <row r="3874" customFormat="false" ht="15" hidden="false" customHeight="true" outlineLevel="0" collapsed="false">
      <c r="A3874" s="11" t="str">
        <f aca="false">IF(원본명단!$A3873="","",3871)</f>
        <v/>
      </c>
      <c r="B3874" s="12" t="str">
        <f aca="false">IF($A3874="","",원본명단!$A3873)</f>
        <v/>
      </c>
      <c r="C3874" s="12" t="str">
        <f aca="false">IF($A3874="","",원본명단!$B3873)</f>
        <v/>
      </c>
      <c r="D3874" s="12" t="str">
        <f aca="false">IF($A3874="","",원본명단!$D3873)</f>
        <v/>
      </c>
      <c r="E3874" s="11" t="str">
        <f aca="false">IF($A3874="","",IF(원본명단!$H3873="",0,COUNTIF(원본명단!$H$3:$H$6002,원본명단!$H3873)))</f>
        <v/>
      </c>
      <c r="F3874" s="11" t="str">
        <f aca="false">IF($A3874="","",IF(원본명단!$I3873="",0,COUNTIF(원본명단!$I$3:$I$6002,원본명단!$I3873)))</f>
        <v/>
      </c>
      <c r="G3874" s="11" t="str">
        <f aca="false">IF($A3874="","",IF(원본명단!$K3873="",0,COUNTIF(원본명단!$K$3:$K$6002,원본명단!$K3873)))</f>
        <v/>
      </c>
      <c r="H3874" s="11" t="str">
        <f aca="false">IF($A3874="","",IF(MAX($E3874,$F3874,$G3874)&gt;1,"중복","-"))</f>
        <v/>
      </c>
      <c r="I3874" s="11" t="str">
        <f aca="false">IF($A3874="","",IF($H3874="-","-",IF(AND(IF(원본명단!$H3873="",TRUE(),COUNTIF(원본명단!$H$3:$H3873,원본명단!$H3873)=1),IF(원본명단!$I3873="",TRUE(),COUNTIF(원본명단!$I$3:$I3873,원본명단!$I3873)=1),IF(원본명단!$K3873="",TRUE(),COUNTIF(원본명단!$K$3:$K3873,원본명단!$K3873)=1)),"첫 건","중복 건")))</f>
        <v/>
      </c>
      <c r="J3874" s="11" t="str">
        <f aca="false">IF($A3874="","",IF($H3874="-","유지",IF($I3874="첫 건","유지","확인 필요")))</f>
        <v/>
      </c>
    </row>
    <row r="3875" customFormat="false" ht="15" hidden="false" customHeight="true" outlineLevel="0" collapsed="false">
      <c r="A3875" s="11" t="str">
        <f aca="false">IF(원본명단!$A3874="","",3872)</f>
        <v/>
      </c>
      <c r="B3875" s="12" t="str">
        <f aca="false">IF($A3875="","",원본명단!$A3874)</f>
        <v/>
      </c>
      <c r="C3875" s="12" t="str">
        <f aca="false">IF($A3875="","",원본명단!$B3874)</f>
        <v/>
      </c>
      <c r="D3875" s="12" t="str">
        <f aca="false">IF($A3875="","",원본명단!$D3874)</f>
        <v/>
      </c>
      <c r="E3875" s="11" t="str">
        <f aca="false">IF($A3875="","",IF(원본명단!$H3874="",0,COUNTIF(원본명단!$H$3:$H$6002,원본명단!$H3874)))</f>
        <v/>
      </c>
      <c r="F3875" s="11" t="str">
        <f aca="false">IF($A3875="","",IF(원본명단!$I3874="",0,COUNTIF(원본명단!$I$3:$I$6002,원본명단!$I3874)))</f>
        <v/>
      </c>
      <c r="G3875" s="11" t="str">
        <f aca="false">IF($A3875="","",IF(원본명단!$K3874="",0,COUNTIF(원본명단!$K$3:$K$6002,원본명단!$K3874)))</f>
        <v/>
      </c>
      <c r="H3875" s="11" t="str">
        <f aca="false">IF($A3875="","",IF(MAX($E3875,$F3875,$G3875)&gt;1,"중복","-"))</f>
        <v/>
      </c>
      <c r="I3875" s="11" t="str">
        <f aca="false">IF($A3875="","",IF($H3875="-","-",IF(AND(IF(원본명단!$H3874="",TRUE(),COUNTIF(원본명단!$H$3:$H3874,원본명단!$H3874)=1),IF(원본명단!$I3874="",TRUE(),COUNTIF(원본명단!$I$3:$I3874,원본명단!$I3874)=1),IF(원본명단!$K3874="",TRUE(),COUNTIF(원본명단!$K$3:$K3874,원본명단!$K3874)=1)),"첫 건","중복 건")))</f>
        <v/>
      </c>
      <c r="J3875" s="11" t="str">
        <f aca="false">IF($A3875="","",IF($H3875="-","유지",IF($I3875="첫 건","유지","확인 필요")))</f>
        <v/>
      </c>
    </row>
    <row r="3876" customFormat="false" ht="15" hidden="false" customHeight="true" outlineLevel="0" collapsed="false">
      <c r="A3876" s="11" t="str">
        <f aca="false">IF(원본명단!$A3875="","",3873)</f>
        <v/>
      </c>
      <c r="B3876" s="12" t="str">
        <f aca="false">IF($A3876="","",원본명단!$A3875)</f>
        <v/>
      </c>
      <c r="C3876" s="12" t="str">
        <f aca="false">IF($A3876="","",원본명단!$B3875)</f>
        <v/>
      </c>
      <c r="D3876" s="12" t="str">
        <f aca="false">IF($A3876="","",원본명단!$D3875)</f>
        <v/>
      </c>
      <c r="E3876" s="11" t="str">
        <f aca="false">IF($A3876="","",IF(원본명단!$H3875="",0,COUNTIF(원본명단!$H$3:$H$6002,원본명단!$H3875)))</f>
        <v/>
      </c>
      <c r="F3876" s="11" t="str">
        <f aca="false">IF($A3876="","",IF(원본명단!$I3875="",0,COUNTIF(원본명단!$I$3:$I$6002,원본명단!$I3875)))</f>
        <v/>
      </c>
      <c r="G3876" s="11" t="str">
        <f aca="false">IF($A3876="","",IF(원본명단!$K3875="",0,COUNTIF(원본명단!$K$3:$K$6002,원본명단!$K3875)))</f>
        <v/>
      </c>
      <c r="H3876" s="11" t="str">
        <f aca="false">IF($A3876="","",IF(MAX($E3876,$F3876,$G3876)&gt;1,"중복","-"))</f>
        <v/>
      </c>
      <c r="I3876" s="11" t="str">
        <f aca="false">IF($A3876="","",IF($H3876="-","-",IF(AND(IF(원본명단!$H3875="",TRUE(),COUNTIF(원본명단!$H$3:$H3875,원본명단!$H3875)=1),IF(원본명단!$I3875="",TRUE(),COUNTIF(원본명단!$I$3:$I3875,원본명단!$I3875)=1),IF(원본명단!$K3875="",TRUE(),COUNTIF(원본명단!$K$3:$K3875,원본명단!$K3875)=1)),"첫 건","중복 건")))</f>
        <v/>
      </c>
      <c r="J3876" s="11" t="str">
        <f aca="false">IF($A3876="","",IF($H3876="-","유지",IF($I3876="첫 건","유지","확인 필요")))</f>
        <v/>
      </c>
    </row>
    <row r="3877" customFormat="false" ht="15" hidden="false" customHeight="true" outlineLevel="0" collapsed="false">
      <c r="A3877" s="11" t="str">
        <f aca="false">IF(원본명단!$A3876="","",3874)</f>
        <v/>
      </c>
      <c r="B3877" s="12" t="str">
        <f aca="false">IF($A3877="","",원본명단!$A3876)</f>
        <v/>
      </c>
      <c r="C3877" s="12" t="str">
        <f aca="false">IF($A3877="","",원본명단!$B3876)</f>
        <v/>
      </c>
      <c r="D3877" s="12" t="str">
        <f aca="false">IF($A3877="","",원본명단!$D3876)</f>
        <v/>
      </c>
      <c r="E3877" s="11" t="str">
        <f aca="false">IF($A3877="","",IF(원본명단!$H3876="",0,COUNTIF(원본명단!$H$3:$H$6002,원본명단!$H3876)))</f>
        <v/>
      </c>
      <c r="F3877" s="11" t="str">
        <f aca="false">IF($A3877="","",IF(원본명단!$I3876="",0,COUNTIF(원본명단!$I$3:$I$6002,원본명단!$I3876)))</f>
        <v/>
      </c>
      <c r="G3877" s="11" t="str">
        <f aca="false">IF($A3877="","",IF(원본명단!$K3876="",0,COUNTIF(원본명단!$K$3:$K$6002,원본명단!$K3876)))</f>
        <v/>
      </c>
      <c r="H3877" s="11" t="str">
        <f aca="false">IF($A3877="","",IF(MAX($E3877,$F3877,$G3877)&gt;1,"중복","-"))</f>
        <v/>
      </c>
      <c r="I3877" s="11" t="str">
        <f aca="false">IF($A3877="","",IF($H3877="-","-",IF(AND(IF(원본명단!$H3876="",TRUE(),COUNTIF(원본명단!$H$3:$H3876,원본명단!$H3876)=1),IF(원본명단!$I3876="",TRUE(),COUNTIF(원본명단!$I$3:$I3876,원본명단!$I3876)=1),IF(원본명단!$K3876="",TRUE(),COUNTIF(원본명단!$K$3:$K3876,원본명단!$K3876)=1)),"첫 건","중복 건")))</f>
        <v/>
      </c>
      <c r="J3877" s="11" t="str">
        <f aca="false">IF($A3877="","",IF($H3877="-","유지",IF($I3877="첫 건","유지","확인 필요")))</f>
        <v/>
      </c>
    </row>
    <row r="3878" customFormat="false" ht="15" hidden="false" customHeight="true" outlineLevel="0" collapsed="false">
      <c r="A3878" s="11" t="str">
        <f aca="false">IF(원본명단!$A3877="","",3875)</f>
        <v/>
      </c>
      <c r="B3878" s="12" t="str">
        <f aca="false">IF($A3878="","",원본명단!$A3877)</f>
        <v/>
      </c>
      <c r="C3878" s="12" t="str">
        <f aca="false">IF($A3878="","",원본명단!$B3877)</f>
        <v/>
      </c>
      <c r="D3878" s="12" t="str">
        <f aca="false">IF($A3878="","",원본명단!$D3877)</f>
        <v/>
      </c>
      <c r="E3878" s="11" t="str">
        <f aca="false">IF($A3878="","",IF(원본명단!$H3877="",0,COUNTIF(원본명단!$H$3:$H$6002,원본명단!$H3877)))</f>
        <v/>
      </c>
      <c r="F3878" s="11" t="str">
        <f aca="false">IF($A3878="","",IF(원본명단!$I3877="",0,COUNTIF(원본명단!$I$3:$I$6002,원본명단!$I3877)))</f>
        <v/>
      </c>
      <c r="G3878" s="11" t="str">
        <f aca="false">IF($A3878="","",IF(원본명단!$K3877="",0,COUNTIF(원본명단!$K$3:$K$6002,원본명단!$K3877)))</f>
        <v/>
      </c>
      <c r="H3878" s="11" t="str">
        <f aca="false">IF($A3878="","",IF(MAX($E3878,$F3878,$G3878)&gt;1,"중복","-"))</f>
        <v/>
      </c>
      <c r="I3878" s="11" t="str">
        <f aca="false">IF($A3878="","",IF($H3878="-","-",IF(AND(IF(원본명단!$H3877="",TRUE(),COUNTIF(원본명단!$H$3:$H3877,원본명단!$H3877)=1),IF(원본명단!$I3877="",TRUE(),COUNTIF(원본명단!$I$3:$I3877,원본명단!$I3877)=1),IF(원본명단!$K3877="",TRUE(),COUNTIF(원본명단!$K$3:$K3877,원본명단!$K3877)=1)),"첫 건","중복 건")))</f>
        <v/>
      </c>
      <c r="J3878" s="11" t="str">
        <f aca="false">IF($A3878="","",IF($H3878="-","유지",IF($I3878="첫 건","유지","확인 필요")))</f>
        <v/>
      </c>
    </row>
    <row r="3879" customFormat="false" ht="15" hidden="false" customHeight="true" outlineLevel="0" collapsed="false">
      <c r="A3879" s="11" t="str">
        <f aca="false">IF(원본명단!$A3878="","",3876)</f>
        <v/>
      </c>
      <c r="B3879" s="12" t="str">
        <f aca="false">IF($A3879="","",원본명단!$A3878)</f>
        <v/>
      </c>
      <c r="C3879" s="12" t="str">
        <f aca="false">IF($A3879="","",원본명단!$B3878)</f>
        <v/>
      </c>
      <c r="D3879" s="12" t="str">
        <f aca="false">IF($A3879="","",원본명단!$D3878)</f>
        <v/>
      </c>
      <c r="E3879" s="11" t="str">
        <f aca="false">IF($A3879="","",IF(원본명단!$H3878="",0,COUNTIF(원본명단!$H$3:$H$6002,원본명단!$H3878)))</f>
        <v/>
      </c>
      <c r="F3879" s="11" t="str">
        <f aca="false">IF($A3879="","",IF(원본명단!$I3878="",0,COUNTIF(원본명단!$I$3:$I$6002,원본명단!$I3878)))</f>
        <v/>
      </c>
      <c r="G3879" s="11" t="str">
        <f aca="false">IF($A3879="","",IF(원본명단!$K3878="",0,COUNTIF(원본명단!$K$3:$K$6002,원본명단!$K3878)))</f>
        <v/>
      </c>
      <c r="H3879" s="11" t="str">
        <f aca="false">IF($A3879="","",IF(MAX($E3879,$F3879,$G3879)&gt;1,"중복","-"))</f>
        <v/>
      </c>
      <c r="I3879" s="11" t="str">
        <f aca="false">IF($A3879="","",IF($H3879="-","-",IF(AND(IF(원본명단!$H3878="",TRUE(),COUNTIF(원본명단!$H$3:$H3878,원본명단!$H3878)=1),IF(원본명단!$I3878="",TRUE(),COUNTIF(원본명단!$I$3:$I3878,원본명단!$I3878)=1),IF(원본명단!$K3878="",TRUE(),COUNTIF(원본명단!$K$3:$K3878,원본명단!$K3878)=1)),"첫 건","중복 건")))</f>
        <v/>
      </c>
      <c r="J3879" s="11" t="str">
        <f aca="false">IF($A3879="","",IF($H3879="-","유지",IF($I3879="첫 건","유지","확인 필요")))</f>
        <v/>
      </c>
    </row>
    <row r="3880" customFormat="false" ht="15" hidden="false" customHeight="true" outlineLevel="0" collapsed="false">
      <c r="A3880" s="11" t="str">
        <f aca="false">IF(원본명단!$A3879="","",3877)</f>
        <v/>
      </c>
      <c r="B3880" s="12" t="str">
        <f aca="false">IF($A3880="","",원본명단!$A3879)</f>
        <v/>
      </c>
      <c r="C3880" s="12" t="str">
        <f aca="false">IF($A3880="","",원본명단!$B3879)</f>
        <v/>
      </c>
      <c r="D3880" s="12" t="str">
        <f aca="false">IF($A3880="","",원본명단!$D3879)</f>
        <v/>
      </c>
      <c r="E3880" s="11" t="str">
        <f aca="false">IF($A3880="","",IF(원본명단!$H3879="",0,COUNTIF(원본명단!$H$3:$H$6002,원본명단!$H3879)))</f>
        <v/>
      </c>
      <c r="F3880" s="11" t="str">
        <f aca="false">IF($A3880="","",IF(원본명단!$I3879="",0,COUNTIF(원본명단!$I$3:$I$6002,원본명단!$I3879)))</f>
        <v/>
      </c>
      <c r="G3880" s="11" t="str">
        <f aca="false">IF($A3880="","",IF(원본명단!$K3879="",0,COUNTIF(원본명단!$K$3:$K$6002,원본명단!$K3879)))</f>
        <v/>
      </c>
      <c r="H3880" s="11" t="str">
        <f aca="false">IF($A3880="","",IF(MAX($E3880,$F3880,$G3880)&gt;1,"중복","-"))</f>
        <v/>
      </c>
      <c r="I3880" s="11" t="str">
        <f aca="false">IF($A3880="","",IF($H3880="-","-",IF(AND(IF(원본명단!$H3879="",TRUE(),COUNTIF(원본명단!$H$3:$H3879,원본명단!$H3879)=1),IF(원본명단!$I3879="",TRUE(),COUNTIF(원본명단!$I$3:$I3879,원본명단!$I3879)=1),IF(원본명단!$K3879="",TRUE(),COUNTIF(원본명단!$K$3:$K3879,원본명단!$K3879)=1)),"첫 건","중복 건")))</f>
        <v/>
      </c>
      <c r="J3880" s="11" t="str">
        <f aca="false">IF($A3880="","",IF($H3880="-","유지",IF($I3880="첫 건","유지","확인 필요")))</f>
        <v/>
      </c>
    </row>
    <row r="3881" customFormat="false" ht="15" hidden="false" customHeight="true" outlineLevel="0" collapsed="false">
      <c r="A3881" s="11" t="str">
        <f aca="false">IF(원본명단!$A3880="","",3878)</f>
        <v/>
      </c>
      <c r="B3881" s="12" t="str">
        <f aca="false">IF($A3881="","",원본명단!$A3880)</f>
        <v/>
      </c>
      <c r="C3881" s="12" t="str">
        <f aca="false">IF($A3881="","",원본명단!$B3880)</f>
        <v/>
      </c>
      <c r="D3881" s="12" t="str">
        <f aca="false">IF($A3881="","",원본명단!$D3880)</f>
        <v/>
      </c>
      <c r="E3881" s="11" t="str">
        <f aca="false">IF($A3881="","",IF(원본명단!$H3880="",0,COUNTIF(원본명단!$H$3:$H$6002,원본명단!$H3880)))</f>
        <v/>
      </c>
      <c r="F3881" s="11" t="str">
        <f aca="false">IF($A3881="","",IF(원본명단!$I3880="",0,COUNTIF(원본명단!$I$3:$I$6002,원본명단!$I3880)))</f>
        <v/>
      </c>
      <c r="G3881" s="11" t="str">
        <f aca="false">IF($A3881="","",IF(원본명단!$K3880="",0,COUNTIF(원본명단!$K$3:$K$6002,원본명단!$K3880)))</f>
        <v/>
      </c>
      <c r="H3881" s="11" t="str">
        <f aca="false">IF($A3881="","",IF(MAX($E3881,$F3881,$G3881)&gt;1,"중복","-"))</f>
        <v/>
      </c>
      <c r="I3881" s="11" t="str">
        <f aca="false">IF($A3881="","",IF($H3881="-","-",IF(AND(IF(원본명단!$H3880="",TRUE(),COUNTIF(원본명단!$H$3:$H3880,원본명단!$H3880)=1),IF(원본명단!$I3880="",TRUE(),COUNTIF(원본명단!$I$3:$I3880,원본명단!$I3880)=1),IF(원본명단!$K3880="",TRUE(),COUNTIF(원본명단!$K$3:$K3880,원본명단!$K3880)=1)),"첫 건","중복 건")))</f>
        <v/>
      </c>
      <c r="J3881" s="11" t="str">
        <f aca="false">IF($A3881="","",IF($H3881="-","유지",IF($I3881="첫 건","유지","확인 필요")))</f>
        <v/>
      </c>
    </row>
    <row r="3882" customFormat="false" ht="15" hidden="false" customHeight="true" outlineLevel="0" collapsed="false">
      <c r="A3882" s="11" t="str">
        <f aca="false">IF(원본명단!$A3881="","",3879)</f>
        <v/>
      </c>
      <c r="B3882" s="12" t="str">
        <f aca="false">IF($A3882="","",원본명단!$A3881)</f>
        <v/>
      </c>
      <c r="C3882" s="12" t="str">
        <f aca="false">IF($A3882="","",원본명단!$B3881)</f>
        <v/>
      </c>
      <c r="D3882" s="12" t="str">
        <f aca="false">IF($A3882="","",원본명단!$D3881)</f>
        <v/>
      </c>
      <c r="E3882" s="11" t="str">
        <f aca="false">IF($A3882="","",IF(원본명단!$H3881="",0,COUNTIF(원본명단!$H$3:$H$6002,원본명단!$H3881)))</f>
        <v/>
      </c>
      <c r="F3882" s="11" t="str">
        <f aca="false">IF($A3882="","",IF(원본명단!$I3881="",0,COUNTIF(원본명단!$I$3:$I$6002,원본명단!$I3881)))</f>
        <v/>
      </c>
      <c r="G3882" s="11" t="str">
        <f aca="false">IF($A3882="","",IF(원본명단!$K3881="",0,COUNTIF(원본명단!$K$3:$K$6002,원본명단!$K3881)))</f>
        <v/>
      </c>
      <c r="H3882" s="11" t="str">
        <f aca="false">IF($A3882="","",IF(MAX($E3882,$F3882,$G3882)&gt;1,"중복","-"))</f>
        <v/>
      </c>
      <c r="I3882" s="11" t="str">
        <f aca="false">IF($A3882="","",IF($H3882="-","-",IF(AND(IF(원본명단!$H3881="",TRUE(),COUNTIF(원본명단!$H$3:$H3881,원본명단!$H3881)=1),IF(원본명단!$I3881="",TRUE(),COUNTIF(원본명단!$I$3:$I3881,원본명단!$I3881)=1),IF(원본명단!$K3881="",TRUE(),COUNTIF(원본명단!$K$3:$K3881,원본명단!$K3881)=1)),"첫 건","중복 건")))</f>
        <v/>
      </c>
      <c r="J3882" s="11" t="str">
        <f aca="false">IF($A3882="","",IF($H3882="-","유지",IF($I3882="첫 건","유지","확인 필요")))</f>
        <v/>
      </c>
    </row>
    <row r="3883" customFormat="false" ht="15" hidden="false" customHeight="true" outlineLevel="0" collapsed="false">
      <c r="A3883" s="11" t="str">
        <f aca="false">IF(원본명단!$A3882="","",3880)</f>
        <v/>
      </c>
      <c r="B3883" s="12" t="str">
        <f aca="false">IF($A3883="","",원본명단!$A3882)</f>
        <v/>
      </c>
      <c r="C3883" s="12" t="str">
        <f aca="false">IF($A3883="","",원본명단!$B3882)</f>
        <v/>
      </c>
      <c r="D3883" s="12" t="str">
        <f aca="false">IF($A3883="","",원본명단!$D3882)</f>
        <v/>
      </c>
      <c r="E3883" s="11" t="str">
        <f aca="false">IF($A3883="","",IF(원본명단!$H3882="",0,COUNTIF(원본명단!$H$3:$H$6002,원본명단!$H3882)))</f>
        <v/>
      </c>
      <c r="F3883" s="11" t="str">
        <f aca="false">IF($A3883="","",IF(원본명단!$I3882="",0,COUNTIF(원본명단!$I$3:$I$6002,원본명단!$I3882)))</f>
        <v/>
      </c>
      <c r="G3883" s="11" t="str">
        <f aca="false">IF($A3883="","",IF(원본명단!$K3882="",0,COUNTIF(원본명단!$K$3:$K$6002,원본명단!$K3882)))</f>
        <v/>
      </c>
      <c r="H3883" s="11" t="str">
        <f aca="false">IF($A3883="","",IF(MAX($E3883,$F3883,$G3883)&gt;1,"중복","-"))</f>
        <v/>
      </c>
      <c r="I3883" s="11" t="str">
        <f aca="false">IF($A3883="","",IF($H3883="-","-",IF(AND(IF(원본명단!$H3882="",TRUE(),COUNTIF(원본명단!$H$3:$H3882,원본명단!$H3882)=1),IF(원본명단!$I3882="",TRUE(),COUNTIF(원본명단!$I$3:$I3882,원본명단!$I3882)=1),IF(원본명단!$K3882="",TRUE(),COUNTIF(원본명단!$K$3:$K3882,원본명단!$K3882)=1)),"첫 건","중복 건")))</f>
        <v/>
      </c>
      <c r="J3883" s="11" t="str">
        <f aca="false">IF($A3883="","",IF($H3883="-","유지",IF($I3883="첫 건","유지","확인 필요")))</f>
        <v/>
      </c>
    </row>
    <row r="3884" customFormat="false" ht="15" hidden="false" customHeight="true" outlineLevel="0" collapsed="false">
      <c r="A3884" s="11" t="str">
        <f aca="false">IF(원본명단!$A3883="","",3881)</f>
        <v/>
      </c>
      <c r="B3884" s="12" t="str">
        <f aca="false">IF($A3884="","",원본명단!$A3883)</f>
        <v/>
      </c>
      <c r="C3884" s="12" t="str">
        <f aca="false">IF($A3884="","",원본명단!$B3883)</f>
        <v/>
      </c>
      <c r="D3884" s="12" t="str">
        <f aca="false">IF($A3884="","",원본명단!$D3883)</f>
        <v/>
      </c>
      <c r="E3884" s="11" t="str">
        <f aca="false">IF($A3884="","",IF(원본명단!$H3883="",0,COUNTIF(원본명단!$H$3:$H$6002,원본명단!$H3883)))</f>
        <v/>
      </c>
      <c r="F3884" s="11" t="str">
        <f aca="false">IF($A3884="","",IF(원본명단!$I3883="",0,COUNTIF(원본명단!$I$3:$I$6002,원본명단!$I3883)))</f>
        <v/>
      </c>
      <c r="G3884" s="11" t="str">
        <f aca="false">IF($A3884="","",IF(원본명단!$K3883="",0,COUNTIF(원본명단!$K$3:$K$6002,원본명단!$K3883)))</f>
        <v/>
      </c>
      <c r="H3884" s="11" t="str">
        <f aca="false">IF($A3884="","",IF(MAX($E3884,$F3884,$G3884)&gt;1,"중복","-"))</f>
        <v/>
      </c>
      <c r="I3884" s="11" t="str">
        <f aca="false">IF($A3884="","",IF($H3884="-","-",IF(AND(IF(원본명단!$H3883="",TRUE(),COUNTIF(원본명단!$H$3:$H3883,원본명단!$H3883)=1),IF(원본명단!$I3883="",TRUE(),COUNTIF(원본명단!$I$3:$I3883,원본명단!$I3883)=1),IF(원본명단!$K3883="",TRUE(),COUNTIF(원본명단!$K$3:$K3883,원본명단!$K3883)=1)),"첫 건","중복 건")))</f>
        <v/>
      </c>
      <c r="J3884" s="11" t="str">
        <f aca="false">IF($A3884="","",IF($H3884="-","유지",IF($I3884="첫 건","유지","확인 필요")))</f>
        <v/>
      </c>
    </row>
    <row r="3885" customFormat="false" ht="15" hidden="false" customHeight="true" outlineLevel="0" collapsed="false">
      <c r="A3885" s="11" t="str">
        <f aca="false">IF(원본명단!$A3884="","",3882)</f>
        <v/>
      </c>
      <c r="B3885" s="12" t="str">
        <f aca="false">IF($A3885="","",원본명단!$A3884)</f>
        <v/>
      </c>
      <c r="C3885" s="12" t="str">
        <f aca="false">IF($A3885="","",원본명단!$B3884)</f>
        <v/>
      </c>
      <c r="D3885" s="12" t="str">
        <f aca="false">IF($A3885="","",원본명단!$D3884)</f>
        <v/>
      </c>
      <c r="E3885" s="11" t="str">
        <f aca="false">IF($A3885="","",IF(원본명단!$H3884="",0,COUNTIF(원본명단!$H$3:$H$6002,원본명단!$H3884)))</f>
        <v/>
      </c>
      <c r="F3885" s="11" t="str">
        <f aca="false">IF($A3885="","",IF(원본명단!$I3884="",0,COUNTIF(원본명단!$I$3:$I$6002,원본명단!$I3884)))</f>
        <v/>
      </c>
      <c r="G3885" s="11" t="str">
        <f aca="false">IF($A3885="","",IF(원본명단!$K3884="",0,COUNTIF(원본명단!$K$3:$K$6002,원본명단!$K3884)))</f>
        <v/>
      </c>
      <c r="H3885" s="11" t="str">
        <f aca="false">IF($A3885="","",IF(MAX($E3885,$F3885,$G3885)&gt;1,"중복","-"))</f>
        <v/>
      </c>
      <c r="I3885" s="11" t="str">
        <f aca="false">IF($A3885="","",IF($H3885="-","-",IF(AND(IF(원본명단!$H3884="",TRUE(),COUNTIF(원본명단!$H$3:$H3884,원본명단!$H3884)=1),IF(원본명단!$I3884="",TRUE(),COUNTIF(원본명단!$I$3:$I3884,원본명단!$I3884)=1),IF(원본명단!$K3884="",TRUE(),COUNTIF(원본명단!$K$3:$K3884,원본명단!$K3884)=1)),"첫 건","중복 건")))</f>
        <v/>
      </c>
      <c r="J3885" s="11" t="str">
        <f aca="false">IF($A3885="","",IF($H3885="-","유지",IF($I3885="첫 건","유지","확인 필요")))</f>
        <v/>
      </c>
    </row>
    <row r="3886" customFormat="false" ht="15" hidden="false" customHeight="true" outlineLevel="0" collapsed="false">
      <c r="A3886" s="11" t="str">
        <f aca="false">IF(원본명단!$A3885="","",3883)</f>
        <v/>
      </c>
      <c r="B3886" s="12" t="str">
        <f aca="false">IF($A3886="","",원본명단!$A3885)</f>
        <v/>
      </c>
      <c r="C3886" s="12" t="str">
        <f aca="false">IF($A3886="","",원본명단!$B3885)</f>
        <v/>
      </c>
      <c r="D3886" s="12" t="str">
        <f aca="false">IF($A3886="","",원본명단!$D3885)</f>
        <v/>
      </c>
      <c r="E3886" s="11" t="str">
        <f aca="false">IF($A3886="","",IF(원본명단!$H3885="",0,COUNTIF(원본명단!$H$3:$H$6002,원본명단!$H3885)))</f>
        <v/>
      </c>
      <c r="F3886" s="11" t="str">
        <f aca="false">IF($A3886="","",IF(원본명단!$I3885="",0,COUNTIF(원본명단!$I$3:$I$6002,원본명단!$I3885)))</f>
        <v/>
      </c>
      <c r="G3886" s="11" t="str">
        <f aca="false">IF($A3886="","",IF(원본명단!$K3885="",0,COUNTIF(원본명단!$K$3:$K$6002,원본명단!$K3885)))</f>
        <v/>
      </c>
      <c r="H3886" s="11" t="str">
        <f aca="false">IF($A3886="","",IF(MAX($E3886,$F3886,$G3886)&gt;1,"중복","-"))</f>
        <v/>
      </c>
      <c r="I3886" s="11" t="str">
        <f aca="false">IF($A3886="","",IF($H3886="-","-",IF(AND(IF(원본명단!$H3885="",TRUE(),COUNTIF(원본명단!$H$3:$H3885,원본명단!$H3885)=1),IF(원본명단!$I3885="",TRUE(),COUNTIF(원본명단!$I$3:$I3885,원본명단!$I3885)=1),IF(원본명단!$K3885="",TRUE(),COUNTIF(원본명단!$K$3:$K3885,원본명단!$K3885)=1)),"첫 건","중복 건")))</f>
        <v/>
      </c>
      <c r="J3886" s="11" t="str">
        <f aca="false">IF($A3886="","",IF($H3886="-","유지",IF($I3886="첫 건","유지","확인 필요")))</f>
        <v/>
      </c>
    </row>
    <row r="3887" customFormat="false" ht="15" hidden="false" customHeight="true" outlineLevel="0" collapsed="false">
      <c r="A3887" s="11" t="str">
        <f aca="false">IF(원본명단!$A3886="","",3884)</f>
        <v/>
      </c>
      <c r="B3887" s="12" t="str">
        <f aca="false">IF($A3887="","",원본명단!$A3886)</f>
        <v/>
      </c>
      <c r="C3887" s="12" t="str">
        <f aca="false">IF($A3887="","",원본명단!$B3886)</f>
        <v/>
      </c>
      <c r="D3887" s="12" t="str">
        <f aca="false">IF($A3887="","",원본명단!$D3886)</f>
        <v/>
      </c>
      <c r="E3887" s="11" t="str">
        <f aca="false">IF($A3887="","",IF(원본명단!$H3886="",0,COUNTIF(원본명단!$H$3:$H$6002,원본명단!$H3886)))</f>
        <v/>
      </c>
      <c r="F3887" s="11" t="str">
        <f aca="false">IF($A3887="","",IF(원본명단!$I3886="",0,COUNTIF(원본명단!$I$3:$I$6002,원본명단!$I3886)))</f>
        <v/>
      </c>
      <c r="G3887" s="11" t="str">
        <f aca="false">IF($A3887="","",IF(원본명단!$K3886="",0,COUNTIF(원본명단!$K$3:$K$6002,원본명단!$K3886)))</f>
        <v/>
      </c>
      <c r="H3887" s="11" t="str">
        <f aca="false">IF($A3887="","",IF(MAX($E3887,$F3887,$G3887)&gt;1,"중복","-"))</f>
        <v/>
      </c>
      <c r="I3887" s="11" t="str">
        <f aca="false">IF($A3887="","",IF($H3887="-","-",IF(AND(IF(원본명단!$H3886="",TRUE(),COUNTIF(원본명단!$H$3:$H3886,원본명단!$H3886)=1),IF(원본명단!$I3886="",TRUE(),COUNTIF(원본명단!$I$3:$I3886,원본명단!$I3886)=1),IF(원본명단!$K3886="",TRUE(),COUNTIF(원본명단!$K$3:$K3886,원본명단!$K3886)=1)),"첫 건","중복 건")))</f>
        <v/>
      </c>
      <c r="J3887" s="11" t="str">
        <f aca="false">IF($A3887="","",IF($H3887="-","유지",IF($I3887="첫 건","유지","확인 필요")))</f>
        <v/>
      </c>
    </row>
    <row r="3888" customFormat="false" ht="15" hidden="false" customHeight="true" outlineLevel="0" collapsed="false">
      <c r="A3888" s="11" t="str">
        <f aca="false">IF(원본명단!$A3887="","",3885)</f>
        <v/>
      </c>
      <c r="B3888" s="12" t="str">
        <f aca="false">IF($A3888="","",원본명단!$A3887)</f>
        <v/>
      </c>
      <c r="C3888" s="12" t="str">
        <f aca="false">IF($A3888="","",원본명단!$B3887)</f>
        <v/>
      </c>
      <c r="D3888" s="12" t="str">
        <f aca="false">IF($A3888="","",원본명단!$D3887)</f>
        <v/>
      </c>
      <c r="E3888" s="11" t="str">
        <f aca="false">IF($A3888="","",IF(원본명단!$H3887="",0,COUNTIF(원본명단!$H$3:$H$6002,원본명단!$H3887)))</f>
        <v/>
      </c>
      <c r="F3888" s="11" t="str">
        <f aca="false">IF($A3888="","",IF(원본명단!$I3887="",0,COUNTIF(원본명단!$I$3:$I$6002,원본명단!$I3887)))</f>
        <v/>
      </c>
      <c r="G3888" s="11" t="str">
        <f aca="false">IF($A3888="","",IF(원본명단!$K3887="",0,COUNTIF(원본명단!$K$3:$K$6002,원본명단!$K3887)))</f>
        <v/>
      </c>
      <c r="H3888" s="11" t="str">
        <f aca="false">IF($A3888="","",IF(MAX($E3888,$F3888,$G3888)&gt;1,"중복","-"))</f>
        <v/>
      </c>
      <c r="I3888" s="11" t="str">
        <f aca="false">IF($A3888="","",IF($H3888="-","-",IF(AND(IF(원본명단!$H3887="",TRUE(),COUNTIF(원본명단!$H$3:$H3887,원본명단!$H3887)=1),IF(원본명단!$I3887="",TRUE(),COUNTIF(원본명단!$I$3:$I3887,원본명단!$I3887)=1),IF(원본명단!$K3887="",TRUE(),COUNTIF(원본명단!$K$3:$K3887,원본명단!$K3887)=1)),"첫 건","중복 건")))</f>
        <v/>
      </c>
      <c r="J3888" s="11" t="str">
        <f aca="false">IF($A3888="","",IF($H3888="-","유지",IF($I3888="첫 건","유지","확인 필요")))</f>
        <v/>
      </c>
    </row>
    <row r="3889" customFormat="false" ht="15" hidden="false" customHeight="true" outlineLevel="0" collapsed="false">
      <c r="A3889" s="11" t="str">
        <f aca="false">IF(원본명단!$A3888="","",3886)</f>
        <v/>
      </c>
      <c r="B3889" s="12" t="str">
        <f aca="false">IF($A3889="","",원본명단!$A3888)</f>
        <v/>
      </c>
      <c r="C3889" s="12" t="str">
        <f aca="false">IF($A3889="","",원본명단!$B3888)</f>
        <v/>
      </c>
      <c r="D3889" s="12" t="str">
        <f aca="false">IF($A3889="","",원본명단!$D3888)</f>
        <v/>
      </c>
      <c r="E3889" s="11" t="str">
        <f aca="false">IF($A3889="","",IF(원본명단!$H3888="",0,COUNTIF(원본명단!$H$3:$H$6002,원본명단!$H3888)))</f>
        <v/>
      </c>
      <c r="F3889" s="11" t="str">
        <f aca="false">IF($A3889="","",IF(원본명단!$I3888="",0,COUNTIF(원본명단!$I$3:$I$6002,원본명단!$I3888)))</f>
        <v/>
      </c>
      <c r="G3889" s="11" t="str">
        <f aca="false">IF($A3889="","",IF(원본명단!$K3888="",0,COUNTIF(원본명단!$K$3:$K$6002,원본명단!$K3888)))</f>
        <v/>
      </c>
      <c r="H3889" s="11" t="str">
        <f aca="false">IF($A3889="","",IF(MAX($E3889,$F3889,$G3889)&gt;1,"중복","-"))</f>
        <v/>
      </c>
      <c r="I3889" s="11" t="str">
        <f aca="false">IF($A3889="","",IF($H3889="-","-",IF(AND(IF(원본명단!$H3888="",TRUE(),COUNTIF(원본명단!$H$3:$H3888,원본명단!$H3888)=1),IF(원본명단!$I3888="",TRUE(),COUNTIF(원본명단!$I$3:$I3888,원본명단!$I3888)=1),IF(원본명단!$K3888="",TRUE(),COUNTIF(원본명단!$K$3:$K3888,원본명단!$K3888)=1)),"첫 건","중복 건")))</f>
        <v/>
      </c>
      <c r="J3889" s="11" t="str">
        <f aca="false">IF($A3889="","",IF($H3889="-","유지",IF($I3889="첫 건","유지","확인 필요")))</f>
        <v/>
      </c>
    </row>
    <row r="3890" customFormat="false" ht="15" hidden="false" customHeight="true" outlineLevel="0" collapsed="false">
      <c r="A3890" s="11" t="str">
        <f aca="false">IF(원본명단!$A3889="","",3887)</f>
        <v/>
      </c>
      <c r="B3890" s="12" t="str">
        <f aca="false">IF($A3890="","",원본명단!$A3889)</f>
        <v/>
      </c>
      <c r="C3890" s="12" t="str">
        <f aca="false">IF($A3890="","",원본명단!$B3889)</f>
        <v/>
      </c>
      <c r="D3890" s="12" t="str">
        <f aca="false">IF($A3890="","",원본명단!$D3889)</f>
        <v/>
      </c>
      <c r="E3890" s="11" t="str">
        <f aca="false">IF($A3890="","",IF(원본명단!$H3889="",0,COUNTIF(원본명단!$H$3:$H$6002,원본명단!$H3889)))</f>
        <v/>
      </c>
      <c r="F3890" s="11" t="str">
        <f aca="false">IF($A3890="","",IF(원본명단!$I3889="",0,COUNTIF(원본명단!$I$3:$I$6002,원본명단!$I3889)))</f>
        <v/>
      </c>
      <c r="G3890" s="11" t="str">
        <f aca="false">IF($A3890="","",IF(원본명단!$K3889="",0,COUNTIF(원본명단!$K$3:$K$6002,원본명단!$K3889)))</f>
        <v/>
      </c>
      <c r="H3890" s="11" t="str">
        <f aca="false">IF($A3890="","",IF(MAX($E3890,$F3890,$G3890)&gt;1,"중복","-"))</f>
        <v/>
      </c>
      <c r="I3890" s="11" t="str">
        <f aca="false">IF($A3890="","",IF($H3890="-","-",IF(AND(IF(원본명단!$H3889="",TRUE(),COUNTIF(원본명단!$H$3:$H3889,원본명단!$H3889)=1),IF(원본명단!$I3889="",TRUE(),COUNTIF(원본명단!$I$3:$I3889,원본명단!$I3889)=1),IF(원본명단!$K3889="",TRUE(),COUNTIF(원본명단!$K$3:$K3889,원본명단!$K3889)=1)),"첫 건","중복 건")))</f>
        <v/>
      </c>
      <c r="J3890" s="11" t="str">
        <f aca="false">IF($A3890="","",IF($H3890="-","유지",IF($I3890="첫 건","유지","확인 필요")))</f>
        <v/>
      </c>
    </row>
    <row r="3891" customFormat="false" ht="15" hidden="false" customHeight="true" outlineLevel="0" collapsed="false">
      <c r="A3891" s="11" t="str">
        <f aca="false">IF(원본명단!$A3890="","",3888)</f>
        <v/>
      </c>
      <c r="B3891" s="12" t="str">
        <f aca="false">IF($A3891="","",원본명단!$A3890)</f>
        <v/>
      </c>
      <c r="C3891" s="12" t="str">
        <f aca="false">IF($A3891="","",원본명단!$B3890)</f>
        <v/>
      </c>
      <c r="D3891" s="12" t="str">
        <f aca="false">IF($A3891="","",원본명단!$D3890)</f>
        <v/>
      </c>
      <c r="E3891" s="11" t="str">
        <f aca="false">IF($A3891="","",IF(원본명단!$H3890="",0,COUNTIF(원본명단!$H$3:$H$6002,원본명단!$H3890)))</f>
        <v/>
      </c>
      <c r="F3891" s="11" t="str">
        <f aca="false">IF($A3891="","",IF(원본명단!$I3890="",0,COUNTIF(원본명단!$I$3:$I$6002,원본명단!$I3890)))</f>
        <v/>
      </c>
      <c r="G3891" s="11" t="str">
        <f aca="false">IF($A3891="","",IF(원본명단!$K3890="",0,COUNTIF(원본명단!$K$3:$K$6002,원본명단!$K3890)))</f>
        <v/>
      </c>
      <c r="H3891" s="11" t="str">
        <f aca="false">IF($A3891="","",IF(MAX($E3891,$F3891,$G3891)&gt;1,"중복","-"))</f>
        <v/>
      </c>
      <c r="I3891" s="11" t="str">
        <f aca="false">IF($A3891="","",IF($H3891="-","-",IF(AND(IF(원본명단!$H3890="",TRUE(),COUNTIF(원본명단!$H$3:$H3890,원본명단!$H3890)=1),IF(원본명단!$I3890="",TRUE(),COUNTIF(원본명단!$I$3:$I3890,원본명단!$I3890)=1),IF(원본명단!$K3890="",TRUE(),COUNTIF(원본명단!$K$3:$K3890,원본명단!$K3890)=1)),"첫 건","중복 건")))</f>
        <v/>
      </c>
      <c r="J3891" s="11" t="str">
        <f aca="false">IF($A3891="","",IF($H3891="-","유지",IF($I3891="첫 건","유지","확인 필요")))</f>
        <v/>
      </c>
    </row>
    <row r="3892" customFormat="false" ht="15" hidden="false" customHeight="true" outlineLevel="0" collapsed="false">
      <c r="A3892" s="11" t="str">
        <f aca="false">IF(원본명단!$A3891="","",3889)</f>
        <v/>
      </c>
      <c r="B3892" s="12" t="str">
        <f aca="false">IF($A3892="","",원본명단!$A3891)</f>
        <v/>
      </c>
      <c r="C3892" s="12" t="str">
        <f aca="false">IF($A3892="","",원본명단!$B3891)</f>
        <v/>
      </c>
      <c r="D3892" s="12" t="str">
        <f aca="false">IF($A3892="","",원본명단!$D3891)</f>
        <v/>
      </c>
      <c r="E3892" s="11" t="str">
        <f aca="false">IF($A3892="","",IF(원본명단!$H3891="",0,COUNTIF(원본명단!$H$3:$H$6002,원본명단!$H3891)))</f>
        <v/>
      </c>
      <c r="F3892" s="11" t="str">
        <f aca="false">IF($A3892="","",IF(원본명단!$I3891="",0,COUNTIF(원본명단!$I$3:$I$6002,원본명단!$I3891)))</f>
        <v/>
      </c>
      <c r="G3892" s="11" t="str">
        <f aca="false">IF($A3892="","",IF(원본명단!$K3891="",0,COUNTIF(원본명단!$K$3:$K$6002,원본명단!$K3891)))</f>
        <v/>
      </c>
      <c r="H3892" s="11" t="str">
        <f aca="false">IF($A3892="","",IF(MAX($E3892,$F3892,$G3892)&gt;1,"중복","-"))</f>
        <v/>
      </c>
      <c r="I3892" s="11" t="str">
        <f aca="false">IF($A3892="","",IF($H3892="-","-",IF(AND(IF(원본명단!$H3891="",TRUE(),COUNTIF(원본명단!$H$3:$H3891,원본명단!$H3891)=1),IF(원본명단!$I3891="",TRUE(),COUNTIF(원본명단!$I$3:$I3891,원본명단!$I3891)=1),IF(원본명단!$K3891="",TRUE(),COUNTIF(원본명단!$K$3:$K3891,원본명단!$K3891)=1)),"첫 건","중복 건")))</f>
        <v/>
      </c>
      <c r="J3892" s="11" t="str">
        <f aca="false">IF($A3892="","",IF($H3892="-","유지",IF($I3892="첫 건","유지","확인 필요")))</f>
        <v/>
      </c>
    </row>
    <row r="3893" customFormat="false" ht="15" hidden="false" customHeight="true" outlineLevel="0" collapsed="false">
      <c r="A3893" s="11" t="str">
        <f aca="false">IF(원본명단!$A3892="","",3890)</f>
        <v/>
      </c>
      <c r="B3893" s="12" t="str">
        <f aca="false">IF($A3893="","",원본명단!$A3892)</f>
        <v/>
      </c>
      <c r="C3893" s="12" t="str">
        <f aca="false">IF($A3893="","",원본명단!$B3892)</f>
        <v/>
      </c>
      <c r="D3893" s="12" t="str">
        <f aca="false">IF($A3893="","",원본명단!$D3892)</f>
        <v/>
      </c>
      <c r="E3893" s="11" t="str">
        <f aca="false">IF($A3893="","",IF(원본명단!$H3892="",0,COUNTIF(원본명단!$H$3:$H$6002,원본명단!$H3892)))</f>
        <v/>
      </c>
      <c r="F3893" s="11" t="str">
        <f aca="false">IF($A3893="","",IF(원본명단!$I3892="",0,COUNTIF(원본명단!$I$3:$I$6002,원본명단!$I3892)))</f>
        <v/>
      </c>
      <c r="G3893" s="11" t="str">
        <f aca="false">IF($A3893="","",IF(원본명단!$K3892="",0,COUNTIF(원본명단!$K$3:$K$6002,원본명단!$K3892)))</f>
        <v/>
      </c>
      <c r="H3893" s="11" t="str">
        <f aca="false">IF($A3893="","",IF(MAX($E3893,$F3893,$G3893)&gt;1,"중복","-"))</f>
        <v/>
      </c>
      <c r="I3893" s="11" t="str">
        <f aca="false">IF($A3893="","",IF($H3893="-","-",IF(AND(IF(원본명단!$H3892="",TRUE(),COUNTIF(원본명단!$H$3:$H3892,원본명단!$H3892)=1),IF(원본명단!$I3892="",TRUE(),COUNTIF(원본명단!$I$3:$I3892,원본명단!$I3892)=1),IF(원본명단!$K3892="",TRUE(),COUNTIF(원본명단!$K$3:$K3892,원본명단!$K3892)=1)),"첫 건","중복 건")))</f>
        <v/>
      </c>
      <c r="J3893" s="11" t="str">
        <f aca="false">IF($A3893="","",IF($H3893="-","유지",IF($I3893="첫 건","유지","확인 필요")))</f>
        <v/>
      </c>
    </row>
    <row r="3894" customFormat="false" ht="15" hidden="false" customHeight="true" outlineLevel="0" collapsed="false">
      <c r="A3894" s="11" t="str">
        <f aca="false">IF(원본명단!$A3893="","",3891)</f>
        <v/>
      </c>
      <c r="B3894" s="12" t="str">
        <f aca="false">IF($A3894="","",원본명단!$A3893)</f>
        <v/>
      </c>
      <c r="C3894" s="12" t="str">
        <f aca="false">IF($A3894="","",원본명단!$B3893)</f>
        <v/>
      </c>
      <c r="D3894" s="12" t="str">
        <f aca="false">IF($A3894="","",원본명단!$D3893)</f>
        <v/>
      </c>
      <c r="E3894" s="11" t="str">
        <f aca="false">IF($A3894="","",IF(원본명단!$H3893="",0,COUNTIF(원본명단!$H$3:$H$6002,원본명단!$H3893)))</f>
        <v/>
      </c>
      <c r="F3894" s="11" t="str">
        <f aca="false">IF($A3894="","",IF(원본명단!$I3893="",0,COUNTIF(원본명단!$I$3:$I$6002,원본명단!$I3893)))</f>
        <v/>
      </c>
      <c r="G3894" s="11" t="str">
        <f aca="false">IF($A3894="","",IF(원본명단!$K3893="",0,COUNTIF(원본명단!$K$3:$K$6002,원본명단!$K3893)))</f>
        <v/>
      </c>
      <c r="H3894" s="11" t="str">
        <f aca="false">IF($A3894="","",IF(MAX($E3894,$F3894,$G3894)&gt;1,"중복","-"))</f>
        <v/>
      </c>
      <c r="I3894" s="11" t="str">
        <f aca="false">IF($A3894="","",IF($H3894="-","-",IF(AND(IF(원본명단!$H3893="",TRUE(),COUNTIF(원본명단!$H$3:$H3893,원본명단!$H3893)=1),IF(원본명단!$I3893="",TRUE(),COUNTIF(원본명단!$I$3:$I3893,원본명단!$I3893)=1),IF(원본명단!$K3893="",TRUE(),COUNTIF(원본명단!$K$3:$K3893,원본명단!$K3893)=1)),"첫 건","중복 건")))</f>
        <v/>
      </c>
      <c r="J3894" s="11" t="str">
        <f aca="false">IF($A3894="","",IF($H3894="-","유지",IF($I3894="첫 건","유지","확인 필요")))</f>
        <v/>
      </c>
    </row>
    <row r="3895" customFormat="false" ht="15" hidden="false" customHeight="true" outlineLevel="0" collapsed="false">
      <c r="A3895" s="11" t="str">
        <f aca="false">IF(원본명단!$A3894="","",3892)</f>
        <v/>
      </c>
      <c r="B3895" s="12" t="str">
        <f aca="false">IF($A3895="","",원본명단!$A3894)</f>
        <v/>
      </c>
      <c r="C3895" s="12" t="str">
        <f aca="false">IF($A3895="","",원본명단!$B3894)</f>
        <v/>
      </c>
      <c r="D3895" s="12" t="str">
        <f aca="false">IF($A3895="","",원본명단!$D3894)</f>
        <v/>
      </c>
      <c r="E3895" s="11" t="str">
        <f aca="false">IF($A3895="","",IF(원본명단!$H3894="",0,COUNTIF(원본명단!$H$3:$H$6002,원본명단!$H3894)))</f>
        <v/>
      </c>
      <c r="F3895" s="11" t="str">
        <f aca="false">IF($A3895="","",IF(원본명단!$I3894="",0,COUNTIF(원본명단!$I$3:$I$6002,원본명단!$I3894)))</f>
        <v/>
      </c>
      <c r="G3895" s="11" t="str">
        <f aca="false">IF($A3895="","",IF(원본명단!$K3894="",0,COUNTIF(원본명단!$K$3:$K$6002,원본명단!$K3894)))</f>
        <v/>
      </c>
      <c r="H3895" s="11" t="str">
        <f aca="false">IF($A3895="","",IF(MAX($E3895,$F3895,$G3895)&gt;1,"중복","-"))</f>
        <v/>
      </c>
      <c r="I3895" s="11" t="str">
        <f aca="false">IF($A3895="","",IF($H3895="-","-",IF(AND(IF(원본명단!$H3894="",TRUE(),COUNTIF(원본명단!$H$3:$H3894,원본명단!$H3894)=1),IF(원본명단!$I3894="",TRUE(),COUNTIF(원본명단!$I$3:$I3894,원본명단!$I3894)=1),IF(원본명단!$K3894="",TRUE(),COUNTIF(원본명단!$K$3:$K3894,원본명단!$K3894)=1)),"첫 건","중복 건")))</f>
        <v/>
      </c>
      <c r="J3895" s="11" t="str">
        <f aca="false">IF($A3895="","",IF($H3895="-","유지",IF($I3895="첫 건","유지","확인 필요")))</f>
        <v/>
      </c>
    </row>
    <row r="3896" customFormat="false" ht="15" hidden="false" customHeight="true" outlineLevel="0" collapsed="false">
      <c r="A3896" s="11" t="str">
        <f aca="false">IF(원본명단!$A3895="","",3893)</f>
        <v/>
      </c>
      <c r="B3896" s="12" t="str">
        <f aca="false">IF($A3896="","",원본명단!$A3895)</f>
        <v/>
      </c>
      <c r="C3896" s="12" t="str">
        <f aca="false">IF($A3896="","",원본명단!$B3895)</f>
        <v/>
      </c>
      <c r="D3896" s="12" t="str">
        <f aca="false">IF($A3896="","",원본명단!$D3895)</f>
        <v/>
      </c>
      <c r="E3896" s="11" t="str">
        <f aca="false">IF($A3896="","",IF(원본명단!$H3895="",0,COUNTIF(원본명단!$H$3:$H$6002,원본명단!$H3895)))</f>
        <v/>
      </c>
      <c r="F3896" s="11" t="str">
        <f aca="false">IF($A3896="","",IF(원본명단!$I3895="",0,COUNTIF(원본명단!$I$3:$I$6002,원본명단!$I3895)))</f>
        <v/>
      </c>
      <c r="G3896" s="11" t="str">
        <f aca="false">IF($A3896="","",IF(원본명단!$K3895="",0,COUNTIF(원본명단!$K$3:$K$6002,원본명단!$K3895)))</f>
        <v/>
      </c>
      <c r="H3896" s="11" t="str">
        <f aca="false">IF($A3896="","",IF(MAX($E3896,$F3896,$G3896)&gt;1,"중복","-"))</f>
        <v/>
      </c>
      <c r="I3896" s="11" t="str">
        <f aca="false">IF($A3896="","",IF($H3896="-","-",IF(AND(IF(원본명단!$H3895="",TRUE(),COUNTIF(원본명단!$H$3:$H3895,원본명단!$H3895)=1),IF(원본명단!$I3895="",TRUE(),COUNTIF(원본명단!$I$3:$I3895,원본명단!$I3895)=1),IF(원본명단!$K3895="",TRUE(),COUNTIF(원본명단!$K$3:$K3895,원본명단!$K3895)=1)),"첫 건","중복 건")))</f>
        <v/>
      </c>
      <c r="J3896" s="11" t="str">
        <f aca="false">IF($A3896="","",IF($H3896="-","유지",IF($I3896="첫 건","유지","확인 필요")))</f>
        <v/>
      </c>
    </row>
    <row r="3897" customFormat="false" ht="15" hidden="false" customHeight="true" outlineLevel="0" collapsed="false">
      <c r="A3897" s="11" t="str">
        <f aca="false">IF(원본명단!$A3896="","",3894)</f>
        <v/>
      </c>
      <c r="B3897" s="12" t="str">
        <f aca="false">IF($A3897="","",원본명단!$A3896)</f>
        <v/>
      </c>
      <c r="C3897" s="12" t="str">
        <f aca="false">IF($A3897="","",원본명단!$B3896)</f>
        <v/>
      </c>
      <c r="D3897" s="12" t="str">
        <f aca="false">IF($A3897="","",원본명단!$D3896)</f>
        <v/>
      </c>
      <c r="E3897" s="11" t="str">
        <f aca="false">IF($A3897="","",IF(원본명단!$H3896="",0,COUNTIF(원본명단!$H$3:$H$6002,원본명단!$H3896)))</f>
        <v/>
      </c>
      <c r="F3897" s="11" t="str">
        <f aca="false">IF($A3897="","",IF(원본명단!$I3896="",0,COUNTIF(원본명단!$I$3:$I$6002,원본명단!$I3896)))</f>
        <v/>
      </c>
      <c r="G3897" s="11" t="str">
        <f aca="false">IF($A3897="","",IF(원본명단!$K3896="",0,COUNTIF(원본명단!$K$3:$K$6002,원본명단!$K3896)))</f>
        <v/>
      </c>
      <c r="H3897" s="11" t="str">
        <f aca="false">IF($A3897="","",IF(MAX($E3897,$F3897,$G3897)&gt;1,"중복","-"))</f>
        <v/>
      </c>
      <c r="I3897" s="11" t="str">
        <f aca="false">IF($A3897="","",IF($H3897="-","-",IF(AND(IF(원본명단!$H3896="",TRUE(),COUNTIF(원본명단!$H$3:$H3896,원본명단!$H3896)=1),IF(원본명단!$I3896="",TRUE(),COUNTIF(원본명단!$I$3:$I3896,원본명단!$I3896)=1),IF(원본명단!$K3896="",TRUE(),COUNTIF(원본명단!$K$3:$K3896,원본명단!$K3896)=1)),"첫 건","중복 건")))</f>
        <v/>
      </c>
      <c r="J3897" s="11" t="str">
        <f aca="false">IF($A3897="","",IF($H3897="-","유지",IF($I3897="첫 건","유지","확인 필요")))</f>
        <v/>
      </c>
    </row>
    <row r="3898" customFormat="false" ht="15" hidden="false" customHeight="true" outlineLevel="0" collapsed="false">
      <c r="A3898" s="11" t="str">
        <f aca="false">IF(원본명단!$A3897="","",3895)</f>
        <v/>
      </c>
      <c r="B3898" s="12" t="str">
        <f aca="false">IF($A3898="","",원본명단!$A3897)</f>
        <v/>
      </c>
      <c r="C3898" s="12" t="str">
        <f aca="false">IF($A3898="","",원본명단!$B3897)</f>
        <v/>
      </c>
      <c r="D3898" s="12" t="str">
        <f aca="false">IF($A3898="","",원본명단!$D3897)</f>
        <v/>
      </c>
      <c r="E3898" s="11" t="str">
        <f aca="false">IF($A3898="","",IF(원본명단!$H3897="",0,COUNTIF(원본명단!$H$3:$H$6002,원본명단!$H3897)))</f>
        <v/>
      </c>
      <c r="F3898" s="11" t="str">
        <f aca="false">IF($A3898="","",IF(원본명단!$I3897="",0,COUNTIF(원본명단!$I$3:$I$6002,원본명단!$I3897)))</f>
        <v/>
      </c>
      <c r="G3898" s="11" t="str">
        <f aca="false">IF($A3898="","",IF(원본명단!$K3897="",0,COUNTIF(원본명단!$K$3:$K$6002,원본명단!$K3897)))</f>
        <v/>
      </c>
      <c r="H3898" s="11" t="str">
        <f aca="false">IF($A3898="","",IF(MAX($E3898,$F3898,$G3898)&gt;1,"중복","-"))</f>
        <v/>
      </c>
      <c r="I3898" s="11" t="str">
        <f aca="false">IF($A3898="","",IF($H3898="-","-",IF(AND(IF(원본명단!$H3897="",TRUE(),COUNTIF(원본명단!$H$3:$H3897,원본명단!$H3897)=1),IF(원본명단!$I3897="",TRUE(),COUNTIF(원본명단!$I$3:$I3897,원본명단!$I3897)=1),IF(원본명단!$K3897="",TRUE(),COUNTIF(원본명단!$K$3:$K3897,원본명단!$K3897)=1)),"첫 건","중복 건")))</f>
        <v/>
      </c>
      <c r="J3898" s="11" t="str">
        <f aca="false">IF($A3898="","",IF($H3898="-","유지",IF($I3898="첫 건","유지","확인 필요")))</f>
        <v/>
      </c>
    </row>
    <row r="3899" customFormat="false" ht="15" hidden="false" customHeight="true" outlineLevel="0" collapsed="false">
      <c r="A3899" s="11" t="str">
        <f aca="false">IF(원본명단!$A3898="","",3896)</f>
        <v/>
      </c>
      <c r="B3899" s="12" t="str">
        <f aca="false">IF($A3899="","",원본명단!$A3898)</f>
        <v/>
      </c>
      <c r="C3899" s="12" t="str">
        <f aca="false">IF($A3899="","",원본명단!$B3898)</f>
        <v/>
      </c>
      <c r="D3899" s="12" t="str">
        <f aca="false">IF($A3899="","",원본명단!$D3898)</f>
        <v/>
      </c>
      <c r="E3899" s="11" t="str">
        <f aca="false">IF($A3899="","",IF(원본명단!$H3898="",0,COUNTIF(원본명단!$H$3:$H$6002,원본명단!$H3898)))</f>
        <v/>
      </c>
      <c r="F3899" s="11" t="str">
        <f aca="false">IF($A3899="","",IF(원본명단!$I3898="",0,COUNTIF(원본명단!$I$3:$I$6002,원본명단!$I3898)))</f>
        <v/>
      </c>
      <c r="G3899" s="11" t="str">
        <f aca="false">IF($A3899="","",IF(원본명단!$K3898="",0,COUNTIF(원본명단!$K$3:$K$6002,원본명단!$K3898)))</f>
        <v/>
      </c>
      <c r="H3899" s="11" t="str">
        <f aca="false">IF($A3899="","",IF(MAX($E3899,$F3899,$G3899)&gt;1,"중복","-"))</f>
        <v/>
      </c>
      <c r="I3899" s="11" t="str">
        <f aca="false">IF($A3899="","",IF($H3899="-","-",IF(AND(IF(원본명단!$H3898="",TRUE(),COUNTIF(원본명단!$H$3:$H3898,원본명단!$H3898)=1),IF(원본명단!$I3898="",TRUE(),COUNTIF(원본명단!$I$3:$I3898,원본명단!$I3898)=1),IF(원본명단!$K3898="",TRUE(),COUNTIF(원본명단!$K$3:$K3898,원본명단!$K3898)=1)),"첫 건","중복 건")))</f>
        <v/>
      </c>
      <c r="J3899" s="11" t="str">
        <f aca="false">IF($A3899="","",IF($H3899="-","유지",IF($I3899="첫 건","유지","확인 필요")))</f>
        <v/>
      </c>
    </row>
    <row r="3900" customFormat="false" ht="15" hidden="false" customHeight="true" outlineLevel="0" collapsed="false">
      <c r="A3900" s="11" t="str">
        <f aca="false">IF(원본명단!$A3899="","",3897)</f>
        <v/>
      </c>
      <c r="B3900" s="12" t="str">
        <f aca="false">IF($A3900="","",원본명단!$A3899)</f>
        <v/>
      </c>
      <c r="C3900" s="12" t="str">
        <f aca="false">IF($A3900="","",원본명단!$B3899)</f>
        <v/>
      </c>
      <c r="D3900" s="12" t="str">
        <f aca="false">IF($A3900="","",원본명단!$D3899)</f>
        <v/>
      </c>
      <c r="E3900" s="11" t="str">
        <f aca="false">IF($A3900="","",IF(원본명단!$H3899="",0,COUNTIF(원본명단!$H$3:$H$6002,원본명단!$H3899)))</f>
        <v/>
      </c>
      <c r="F3900" s="11" t="str">
        <f aca="false">IF($A3900="","",IF(원본명단!$I3899="",0,COUNTIF(원본명단!$I$3:$I$6002,원본명단!$I3899)))</f>
        <v/>
      </c>
      <c r="G3900" s="11" t="str">
        <f aca="false">IF($A3900="","",IF(원본명단!$K3899="",0,COUNTIF(원본명단!$K$3:$K$6002,원본명단!$K3899)))</f>
        <v/>
      </c>
      <c r="H3900" s="11" t="str">
        <f aca="false">IF($A3900="","",IF(MAX($E3900,$F3900,$G3900)&gt;1,"중복","-"))</f>
        <v/>
      </c>
      <c r="I3900" s="11" t="str">
        <f aca="false">IF($A3900="","",IF($H3900="-","-",IF(AND(IF(원본명단!$H3899="",TRUE(),COUNTIF(원본명단!$H$3:$H3899,원본명단!$H3899)=1),IF(원본명단!$I3899="",TRUE(),COUNTIF(원본명단!$I$3:$I3899,원본명단!$I3899)=1),IF(원본명단!$K3899="",TRUE(),COUNTIF(원본명단!$K$3:$K3899,원본명단!$K3899)=1)),"첫 건","중복 건")))</f>
        <v/>
      </c>
      <c r="J3900" s="11" t="str">
        <f aca="false">IF($A3900="","",IF($H3900="-","유지",IF($I3900="첫 건","유지","확인 필요")))</f>
        <v/>
      </c>
    </row>
    <row r="3901" customFormat="false" ht="15" hidden="false" customHeight="true" outlineLevel="0" collapsed="false">
      <c r="A3901" s="11" t="str">
        <f aca="false">IF(원본명단!$A3900="","",3898)</f>
        <v/>
      </c>
      <c r="B3901" s="12" t="str">
        <f aca="false">IF($A3901="","",원본명단!$A3900)</f>
        <v/>
      </c>
      <c r="C3901" s="12" t="str">
        <f aca="false">IF($A3901="","",원본명단!$B3900)</f>
        <v/>
      </c>
      <c r="D3901" s="12" t="str">
        <f aca="false">IF($A3901="","",원본명단!$D3900)</f>
        <v/>
      </c>
      <c r="E3901" s="11" t="str">
        <f aca="false">IF($A3901="","",IF(원본명단!$H3900="",0,COUNTIF(원본명단!$H$3:$H$6002,원본명단!$H3900)))</f>
        <v/>
      </c>
      <c r="F3901" s="11" t="str">
        <f aca="false">IF($A3901="","",IF(원본명단!$I3900="",0,COUNTIF(원본명단!$I$3:$I$6002,원본명단!$I3900)))</f>
        <v/>
      </c>
      <c r="G3901" s="11" t="str">
        <f aca="false">IF($A3901="","",IF(원본명단!$K3900="",0,COUNTIF(원본명단!$K$3:$K$6002,원본명단!$K3900)))</f>
        <v/>
      </c>
      <c r="H3901" s="11" t="str">
        <f aca="false">IF($A3901="","",IF(MAX($E3901,$F3901,$G3901)&gt;1,"중복","-"))</f>
        <v/>
      </c>
      <c r="I3901" s="11" t="str">
        <f aca="false">IF($A3901="","",IF($H3901="-","-",IF(AND(IF(원본명단!$H3900="",TRUE(),COUNTIF(원본명단!$H$3:$H3900,원본명단!$H3900)=1),IF(원본명단!$I3900="",TRUE(),COUNTIF(원본명단!$I$3:$I3900,원본명단!$I3900)=1),IF(원본명단!$K3900="",TRUE(),COUNTIF(원본명단!$K$3:$K3900,원본명단!$K3900)=1)),"첫 건","중복 건")))</f>
        <v/>
      </c>
      <c r="J3901" s="11" t="str">
        <f aca="false">IF($A3901="","",IF($H3901="-","유지",IF($I3901="첫 건","유지","확인 필요")))</f>
        <v/>
      </c>
    </row>
    <row r="3902" customFormat="false" ht="15" hidden="false" customHeight="true" outlineLevel="0" collapsed="false">
      <c r="A3902" s="11" t="str">
        <f aca="false">IF(원본명단!$A3901="","",3899)</f>
        <v/>
      </c>
      <c r="B3902" s="12" t="str">
        <f aca="false">IF($A3902="","",원본명단!$A3901)</f>
        <v/>
      </c>
      <c r="C3902" s="12" t="str">
        <f aca="false">IF($A3902="","",원본명단!$B3901)</f>
        <v/>
      </c>
      <c r="D3902" s="12" t="str">
        <f aca="false">IF($A3902="","",원본명단!$D3901)</f>
        <v/>
      </c>
      <c r="E3902" s="11" t="str">
        <f aca="false">IF($A3902="","",IF(원본명단!$H3901="",0,COUNTIF(원본명단!$H$3:$H$6002,원본명단!$H3901)))</f>
        <v/>
      </c>
      <c r="F3902" s="11" t="str">
        <f aca="false">IF($A3902="","",IF(원본명단!$I3901="",0,COUNTIF(원본명단!$I$3:$I$6002,원본명단!$I3901)))</f>
        <v/>
      </c>
      <c r="G3902" s="11" t="str">
        <f aca="false">IF($A3902="","",IF(원본명단!$K3901="",0,COUNTIF(원본명단!$K$3:$K$6002,원본명단!$K3901)))</f>
        <v/>
      </c>
      <c r="H3902" s="11" t="str">
        <f aca="false">IF($A3902="","",IF(MAX($E3902,$F3902,$G3902)&gt;1,"중복","-"))</f>
        <v/>
      </c>
      <c r="I3902" s="11" t="str">
        <f aca="false">IF($A3902="","",IF($H3902="-","-",IF(AND(IF(원본명단!$H3901="",TRUE(),COUNTIF(원본명단!$H$3:$H3901,원본명단!$H3901)=1),IF(원본명단!$I3901="",TRUE(),COUNTIF(원본명단!$I$3:$I3901,원본명단!$I3901)=1),IF(원본명단!$K3901="",TRUE(),COUNTIF(원본명단!$K$3:$K3901,원본명단!$K3901)=1)),"첫 건","중복 건")))</f>
        <v/>
      </c>
      <c r="J3902" s="11" t="str">
        <f aca="false">IF($A3902="","",IF($H3902="-","유지",IF($I3902="첫 건","유지","확인 필요")))</f>
        <v/>
      </c>
    </row>
    <row r="3903" customFormat="false" ht="15" hidden="false" customHeight="true" outlineLevel="0" collapsed="false">
      <c r="A3903" s="11" t="str">
        <f aca="false">IF(원본명단!$A3902="","",3900)</f>
        <v/>
      </c>
      <c r="B3903" s="12" t="str">
        <f aca="false">IF($A3903="","",원본명단!$A3902)</f>
        <v/>
      </c>
      <c r="C3903" s="12" t="str">
        <f aca="false">IF($A3903="","",원본명단!$B3902)</f>
        <v/>
      </c>
      <c r="D3903" s="12" t="str">
        <f aca="false">IF($A3903="","",원본명단!$D3902)</f>
        <v/>
      </c>
      <c r="E3903" s="11" t="str">
        <f aca="false">IF($A3903="","",IF(원본명단!$H3902="",0,COUNTIF(원본명단!$H$3:$H$6002,원본명단!$H3902)))</f>
        <v/>
      </c>
      <c r="F3903" s="11" t="str">
        <f aca="false">IF($A3903="","",IF(원본명단!$I3902="",0,COUNTIF(원본명단!$I$3:$I$6002,원본명단!$I3902)))</f>
        <v/>
      </c>
      <c r="G3903" s="11" t="str">
        <f aca="false">IF($A3903="","",IF(원본명단!$K3902="",0,COUNTIF(원본명단!$K$3:$K$6002,원본명단!$K3902)))</f>
        <v/>
      </c>
      <c r="H3903" s="11" t="str">
        <f aca="false">IF($A3903="","",IF(MAX($E3903,$F3903,$G3903)&gt;1,"중복","-"))</f>
        <v/>
      </c>
      <c r="I3903" s="11" t="str">
        <f aca="false">IF($A3903="","",IF($H3903="-","-",IF(AND(IF(원본명단!$H3902="",TRUE(),COUNTIF(원본명단!$H$3:$H3902,원본명단!$H3902)=1),IF(원본명단!$I3902="",TRUE(),COUNTIF(원본명단!$I$3:$I3902,원본명단!$I3902)=1),IF(원본명단!$K3902="",TRUE(),COUNTIF(원본명단!$K$3:$K3902,원본명단!$K3902)=1)),"첫 건","중복 건")))</f>
        <v/>
      </c>
      <c r="J3903" s="11" t="str">
        <f aca="false">IF($A3903="","",IF($H3903="-","유지",IF($I3903="첫 건","유지","확인 필요")))</f>
        <v/>
      </c>
    </row>
    <row r="3904" customFormat="false" ht="15" hidden="false" customHeight="true" outlineLevel="0" collapsed="false">
      <c r="A3904" s="11" t="str">
        <f aca="false">IF(원본명단!$A3903="","",3901)</f>
        <v/>
      </c>
      <c r="B3904" s="12" t="str">
        <f aca="false">IF($A3904="","",원본명단!$A3903)</f>
        <v/>
      </c>
      <c r="C3904" s="12" t="str">
        <f aca="false">IF($A3904="","",원본명단!$B3903)</f>
        <v/>
      </c>
      <c r="D3904" s="12" t="str">
        <f aca="false">IF($A3904="","",원본명단!$D3903)</f>
        <v/>
      </c>
      <c r="E3904" s="11" t="str">
        <f aca="false">IF($A3904="","",IF(원본명단!$H3903="",0,COUNTIF(원본명단!$H$3:$H$6002,원본명단!$H3903)))</f>
        <v/>
      </c>
      <c r="F3904" s="11" t="str">
        <f aca="false">IF($A3904="","",IF(원본명단!$I3903="",0,COUNTIF(원본명단!$I$3:$I$6002,원본명단!$I3903)))</f>
        <v/>
      </c>
      <c r="G3904" s="11" t="str">
        <f aca="false">IF($A3904="","",IF(원본명단!$K3903="",0,COUNTIF(원본명단!$K$3:$K$6002,원본명단!$K3903)))</f>
        <v/>
      </c>
      <c r="H3904" s="11" t="str">
        <f aca="false">IF($A3904="","",IF(MAX($E3904,$F3904,$G3904)&gt;1,"중복","-"))</f>
        <v/>
      </c>
      <c r="I3904" s="11" t="str">
        <f aca="false">IF($A3904="","",IF($H3904="-","-",IF(AND(IF(원본명단!$H3903="",TRUE(),COUNTIF(원본명단!$H$3:$H3903,원본명단!$H3903)=1),IF(원본명단!$I3903="",TRUE(),COUNTIF(원본명단!$I$3:$I3903,원본명단!$I3903)=1),IF(원본명단!$K3903="",TRUE(),COUNTIF(원본명단!$K$3:$K3903,원본명단!$K3903)=1)),"첫 건","중복 건")))</f>
        <v/>
      </c>
      <c r="J3904" s="11" t="str">
        <f aca="false">IF($A3904="","",IF($H3904="-","유지",IF($I3904="첫 건","유지","확인 필요")))</f>
        <v/>
      </c>
    </row>
    <row r="3905" customFormat="false" ht="15" hidden="false" customHeight="true" outlineLevel="0" collapsed="false">
      <c r="A3905" s="11" t="str">
        <f aca="false">IF(원본명단!$A3904="","",3902)</f>
        <v/>
      </c>
      <c r="B3905" s="12" t="str">
        <f aca="false">IF($A3905="","",원본명단!$A3904)</f>
        <v/>
      </c>
      <c r="C3905" s="12" t="str">
        <f aca="false">IF($A3905="","",원본명단!$B3904)</f>
        <v/>
      </c>
      <c r="D3905" s="12" t="str">
        <f aca="false">IF($A3905="","",원본명단!$D3904)</f>
        <v/>
      </c>
      <c r="E3905" s="11" t="str">
        <f aca="false">IF($A3905="","",IF(원본명단!$H3904="",0,COUNTIF(원본명단!$H$3:$H$6002,원본명단!$H3904)))</f>
        <v/>
      </c>
      <c r="F3905" s="11" t="str">
        <f aca="false">IF($A3905="","",IF(원본명단!$I3904="",0,COUNTIF(원본명단!$I$3:$I$6002,원본명단!$I3904)))</f>
        <v/>
      </c>
      <c r="G3905" s="11" t="str">
        <f aca="false">IF($A3905="","",IF(원본명단!$K3904="",0,COUNTIF(원본명단!$K$3:$K$6002,원본명단!$K3904)))</f>
        <v/>
      </c>
      <c r="H3905" s="11" t="str">
        <f aca="false">IF($A3905="","",IF(MAX($E3905,$F3905,$G3905)&gt;1,"중복","-"))</f>
        <v/>
      </c>
      <c r="I3905" s="11" t="str">
        <f aca="false">IF($A3905="","",IF($H3905="-","-",IF(AND(IF(원본명단!$H3904="",TRUE(),COUNTIF(원본명단!$H$3:$H3904,원본명단!$H3904)=1),IF(원본명단!$I3904="",TRUE(),COUNTIF(원본명단!$I$3:$I3904,원본명단!$I3904)=1),IF(원본명단!$K3904="",TRUE(),COUNTIF(원본명단!$K$3:$K3904,원본명단!$K3904)=1)),"첫 건","중복 건")))</f>
        <v/>
      </c>
      <c r="J3905" s="11" t="str">
        <f aca="false">IF($A3905="","",IF($H3905="-","유지",IF($I3905="첫 건","유지","확인 필요")))</f>
        <v/>
      </c>
    </row>
    <row r="3906" customFormat="false" ht="15" hidden="false" customHeight="true" outlineLevel="0" collapsed="false">
      <c r="A3906" s="11" t="str">
        <f aca="false">IF(원본명단!$A3905="","",3903)</f>
        <v/>
      </c>
      <c r="B3906" s="12" t="str">
        <f aca="false">IF($A3906="","",원본명단!$A3905)</f>
        <v/>
      </c>
      <c r="C3906" s="12" t="str">
        <f aca="false">IF($A3906="","",원본명단!$B3905)</f>
        <v/>
      </c>
      <c r="D3906" s="12" t="str">
        <f aca="false">IF($A3906="","",원본명단!$D3905)</f>
        <v/>
      </c>
      <c r="E3906" s="11" t="str">
        <f aca="false">IF($A3906="","",IF(원본명단!$H3905="",0,COUNTIF(원본명단!$H$3:$H$6002,원본명단!$H3905)))</f>
        <v/>
      </c>
      <c r="F3906" s="11" t="str">
        <f aca="false">IF($A3906="","",IF(원본명단!$I3905="",0,COUNTIF(원본명단!$I$3:$I$6002,원본명단!$I3905)))</f>
        <v/>
      </c>
      <c r="G3906" s="11" t="str">
        <f aca="false">IF($A3906="","",IF(원본명단!$K3905="",0,COUNTIF(원본명단!$K$3:$K$6002,원본명단!$K3905)))</f>
        <v/>
      </c>
      <c r="H3906" s="11" t="str">
        <f aca="false">IF($A3906="","",IF(MAX($E3906,$F3906,$G3906)&gt;1,"중복","-"))</f>
        <v/>
      </c>
      <c r="I3906" s="11" t="str">
        <f aca="false">IF($A3906="","",IF($H3906="-","-",IF(AND(IF(원본명단!$H3905="",TRUE(),COUNTIF(원본명단!$H$3:$H3905,원본명단!$H3905)=1),IF(원본명단!$I3905="",TRUE(),COUNTIF(원본명단!$I$3:$I3905,원본명단!$I3905)=1),IF(원본명단!$K3905="",TRUE(),COUNTIF(원본명단!$K$3:$K3905,원본명단!$K3905)=1)),"첫 건","중복 건")))</f>
        <v/>
      </c>
      <c r="J3906" s="11" t="str">
        <f aca="false">IF($A3906="","",IF($H3906="-","유지",IF($I3906="첫 건","유지","확인 필요")))</f>
        <v/>
      </c>
    </row>
    <row r="3907" customFormat="false" ht="15" hidden="false" customHeight="true" outlineLevel="0" collapsed="false">
      <c r="A3907" s="11" t="str">
        <f aca="false">IF(원본명단!$A3906="","",3904)</f>
        <v/>
      </c>
      <c r="B3907" s="12" t="str">
        <f aca="false">IF($A3907="","",원본명단!$A3906)</f>
        <v/>
      </c>
      <c r="C3907" s="12" t="str">
        <f aca="false">IF($A3907="","",원본명단!$B3906)</f>
        <v/>
      </c>
      <c r="D3907" s="12" t="str">
        <f aca="false">IF($A3907="","",원본명단!$D3906)</f>
        <v/>
      </c>
      <c r="E3907" s="11" t="str">
        <f aca="false">IF($A3907="","",IF(원본명단!$H3906="",0,COUNTIF(원본명단!$H$3:$H$6002,원본명단!$H3906)))</f>
        <v/>
      </c>
      <c r="F3907" s="11" t="str">
        <f aca="false">IF($A3907="","",IF(원본명단!$I3906="",0,COUNTIF(원본명단!$I$3:$I$6002,원본명단!$I3906)))</f>
        <v/>
      </c>
      <c r="G3907" s="11" t="str">
        <f aca="false">IF($A3907="","",IF(원본명단!$K3906="",0,COUNTIF(원본명단!$K$3:$K$6002,원본명단!$K3906)))</f>
        <v/>
      </c>
      <c r="H3907" s="11" t="str">
        <f aca="false">IF($A3907="","",IF(MAX($E3907,$F3907,$G3907)&gt;1,"중복","-"))</f>
        <v/>
      </c>
      <c r="I3907" s="11" t="str">
        <f aca="false">IF($A3907="","",IF($H3907="-","-",IF(AND(IF(원본명단!$H3906="",TRUE(),COUNTIF(원본명단!$H$3:$H3906,원본명단!$H3906)=1),IF(원본명단!$I3906="",TRUE(),COUNTIF(원본명단!$I$3:$I3906,원본명단!$I3906)=1),IF(원본명단!$K3906="",TRUE(),COUNTIF(원본명단!$K$3:$K3906,원본명단!$K3906)=1)),"첫 건","중복 건")))</f>
        <v/>
      </c>
      <c r="J3907" s="11" t="str">
        <f aca="false">IF($A3907="","",IF($H3907="-","유지",IF($I3907="첫 건","유지","확인 필요")))</f>
        <v/>
      </c>
    </row>
    <row r="3908" customFormat="false" ht="15" hidden="false" customHeight="true" outlineLevel="0" collapsed="false">
      <c r="A3908" s="11" t="str">
        <f aca="false">IF(원본명단!$A3907="","",3905)</f>
        <v/>
      </c>
      <c r="B3908" s="12" t="str">
        <f aca="false">IF($A3908="","",원본명단!$A3907)</f>
        <v/>
      </c>
      <c r="C3908" s="12" t="str">
        <f aca="false">IF($A3908="","",원본명단!$B3907)</f>
        <v/>
      </c>
      <c r="D3908" s="12" t="str">
        <f aca="false">IF($A3908="","",원본명단!$D3907)</f>
        <v/>
      </c>
      <c r="E3908" s="11" t="str">
        <f aca="false">IF($A3908="","",IF(원본명단!$H3907="",0,COUNTIF(원본명단!$H$3:$H$6002,원본명단!$H3907)))</f>
        <v/>
      </c>
      <c r="F3908" s="11" t="str">
        <f aca="false">IF($A3908="","",IF(원본명단!$I3907="",0,COUNTIF(원본명단!$I$3:$I$6002,원본명단!$I3907)))</f>
        <v/>
      </c>
      <c r="G3908" s="11" t="str">
        <f aca="false">IF($A3908="","",IF(원본명단!$K3907="",0,COUNTIF(원본명단!$K$3:$K$6002,원본명단!$K3907)))</f>
        <v/>
      </c>
      <c r="H3908" s="11" t="str">
        <f aca="false">IF($A3908="","",IF(MAX($E3908,$F3908,$G3908)&gt;1,"중복","-"))</f>
        <v/>
      </c>
      <c r="I3908" s="11" t="str">
        <f aca="false">IF($A3908="","",IF($H3908="-","-",IF(AND(IF(원본명단!$H3907="",TRUE(),COUNTIF(원본명단!$H$3:$H3907,원본명단!$H3907)=1),IF(원본명단!$I3907="",TRUE(),COUNTIF(원본명단!$I$3:$I3907,원본명단!$I3907)=1),IF(원본명단!$K3907="",TRUE(),COUNTIF(원본명단!$K$3:$K3907,원본명단!$K3907)=1)),"첫 건","중복 건")))</f>
        <v/>
      </c>
      <c r="J3908" s="11" t="str">
        <f aca="false">IF($A3908="","",IF($H3908="-","유지",IF($I3908="첫 건","유지","확인 필요")))</f>
        <v/>
      </c>
    </row>
    <row r="3909" customFormat="false" ht="15" hidden="false" customHeight="true" outlineLevel="0" collapsed="false">
      <c r="A3909" s="11" t="str">
        <f aca="false">IF(원본명단!$A3908="","",3906)</f>
        <v/>
      </c>
      <c r="B3909" s="12" t="str">
        <f aca="false">IF($A3909="","",원본명단!$A3908)</f>
        <v/>
      </c>
      <c r="C3909" s="12" t="str">
        <f aca="false">IF($A3909="","",원본명단!$B3908)</f>
        <v/>
      </c>
      <c r="D3909" s="12" t="str">
        <f aca="false">IF($A3909="","",원본명단!$D3908)</f>
        <v/>
      </c>
      <c r="E3909" s="11" t="str">
        <f aca="false">IF($A3909="","",IF(원본명단!$H3908="",0,COUNTIF(원본명단!$H$3:$H$6002,원본명단!$H3908)))</f>
        <v/>
      </c>
      <c r="F3909" s="11" t="str">
        <f aca="false">IF($A3909="","",IF(원본명단!$I3908="",0,COUNTIF(원본명단!$I$3:$I$6002,원본명단!$I3908)))</f>
        <v/>
      </c>
      <c r="G3909" s="11" t="str">
        <f aca="false">IF($A3909="","",IF(원본명단!$K3908="",0,COUNTIF(원본명단!$K$3:$K$6002,원본명단!$K3908)))</f>
        <v/>
      </c>
      <c r="H3909" s="11" t="str">
        <f aca="false">IF($A3909="","",IF(MAX($E3909,$F3909,$G3909)&gt;1,"중복","-"))</f>
        <v/>
      </c>
      <c r="I3909" s="11" t="str">
        <f aca="false">IF($A3909="","",IF($H3909="-","-",IF(AND(IF(원본명단!$H3908="",TRUE(),COUNTIF(원본명단!$H$3:$H3908,원본명단!$H3908)=1),IF(원본명단!$I3908="",TRUE(),COUNTIF(원본명단!$I$3:$I3908,원본명단!$I3908)=1),IF(원본명단!$K3908="",TRUE(),COUNTIF(원본명단!$K$3:$K3908,원본명단!$K3908)=1)),"첫 건","중복 건")))</f>
        <v/>
      </c>
      <c r="J3909" s="11" t="str">
        <f aca="false">IF($A3909="","",IF($H3909="-","유지",IF($I3909="첫 건","유지","확인 필요")))</f>
        <v/>
      </c>
    </row>
    <row r="3910" customFormat="false" ht="15" hidden="false" customHeight="true" outlineLevel="0" collapsed="false">
      <c r="A3910" s="11" t="str">
        <f aca="false">IF(원본명단!$A3909="","",3907)</f>
        <v/>
      </c>
      <c r="B3910" s="12" t="str">
        <f aca="false">IF($A3910="","",원본명단!$A3909)</f>
        <v/>
      </c>
      <c r="C3910" s="12" t="str">
        <f aca="false">IF($A3910="","",원본명단!$B3909)</f>
        <v/>
      </c>
      <c r="D3910" s="12" t="str">
        <f aca="false">IF($A3910="","",원본명단!$D3909)</f>
        <v/>
      </c>
      <c r="E3910" s="11" t="str">
        <f aca="false">IF($A3910="","",IF(원본명단!$H3909="",0,COUNTIF(원본명단!$H$3:$H$6002,원본명단!$H3909)))</f>
        <v/>
      </c>
      <c r="F3910" s="11" t="str">
        <f aca="false">IF($A3910="","",IF(원본명단!$I3909="",0,COUNTIF(원본명단!$I$3:$I$6002,원본명단!$I3909)))</f>
        <v/>
      </c>
      <c r="G3910" s="11" t="str">
        <f aca="false">IF($A3910="","",IF(원본명단!$K3909="",0,COUNTIF(원본명단!$K$3:$K$6002,원본명단!$K3909)))</f>
        <v/>
      </c>
      <c r="H3910" s="11" t="str">
        <f aca="false">IF($A3910="","",IF(MAX($E3910,$F3910,$G3910)&gt;1,"중복","-"))</f>
        <v/>
      </c>
      <c r="I3910" s="11" t="str">
        <f aca="false">IF($A3910="","",IF($H3910="-","-",IF(AND(IF(원본명단!$H3909="",TRUE(),COUNTIF(원본명단!$H$3:$H3909,원본명단!$H3909)=1),IF(원본명단!$I3909="",TRUE(),COUNTIF(원본명단!$I$3:$I3909,원본명단!$I3909)=1),IF(원본명단!$K3909="",TRUE(),COUNTIF(원본명단!$K$3:$K3909,원본명단!$K3909)=1)),"첫 건","중복 건")))</f>
        <v/>
      </c>
      <c r="J3910" s="11" t="str">
        <f aca="false">IF($A3910="","",IF($H3910="-","유지",IF($I3910="첫 건","유지","확인 필요")))</f>
        <v/>
      </c>
    </row>
    <row r="3911" customFormat="false" ht="15" hidden="false" customHeight="true" outlineLevel="0" collapsed="false">
      <c r="A3911" s="11" t="str">
        <f aca="false">IF(원본명단!$A3910="","",3908)</f>
        <v/>
      </c>
      <c r="B3911" s="12" t="str">
        <f aca="false">IF($A3911="","",원본명단!$A3910)</f>
        <v/>
      </c>
      <c r="C3911" s="12" t="str">
        <f aca="false">IF($A3911="","",원본명단!$B3910)</f>
        <v/>
      </c>
      <c r="D3911" s="12" t="str">
        <f aca="false">IF($A3911="","",원본명단!$D3910)</f>
        <v/>
      </c>
      <c r="E3911" s="11" t="str">
        <f aca="false">IF($A3911="","",IF(원본명단!$H3910="",0,COUNTIF(원본명단!$H$3:$H$6002,원본명단!$H3910)))</f>
        <v/>
      </c>
      <c r="F3911" s="11" t="str">
        <f aca="false">IF($A3911="","",IF(원본명단!$I3910="",0,COUNTIF(원본명단!$I$3:$I$6002,원본명단!$I3910)))</f>
        <v/>
      </c>
      <c r="G3911" s="11" t="str">
        <f aca="false">IF($A3911="","",IF(원본명단!$K3910="",0,COUNTIF(원본명단!$K$3:$K$6002,원본명단!$K3910)))</f>
        <v/>
      </c>
      <c r="H3911" s="11" t="str">
        <f aca="false">IF($A3911="","",IF(MAX($E3911,$F3911,$G3911)&gt;1,"중복","-"))</f>
        <v/>
      </c>
      <c r="I3911" s="11" t="str">
        <f aca="false">IF($A3911="","",IF($H3911="-","-",IF(AND(IF(원본명단!$H3910="",TRUE(),COUNTIF(원본명단!$H$3:$H3910,원본명단!$H3910)=1),IF(원본명단!$I3910="",TRUE(),COUNTIF(원본명단!$I$3:$I3910,원본명단!$I3910)=1),IF(원본명단!$K3910="",TRUE(),COUNTIF(원본명단!$K$3:$K3910,원본명단!$K3910)=1)),"첫 건","중복 건")))</f>
        <v/>
      </c>
      <c r="J3911" s="11" t="str">
        <f aca="false">IF($A3911="","",IF($H3911="-","유지",IF($I3911="첫 건","유지","확인 필요")))</f>
        <v/>
      </c>
    </row>
    <row r="3912" customFormat="false" ht="15" hidden="false" customHeight="true" outlineLevel="0" collapsed="false">
      <c r="A3912" s="11" t="str">
        <f aca="false">IF(원본명단!$A3911="","",3909)</f>
        <v/>
      </c>
      <c r="B3912" s="12" t="str">
        <f aca="false">IF($A3912="","",원본명단!$A3911)</f>
        <v/>
      </c>
      <c r="C3912" s="12" t="str">
        <f aca="false">IF($A3912="","",원본명단!$B3911)</f>
        <v/>
      </c>
      <c r="D3912" s="12" t="str">
        <f aca="false">IF($A3912="","",원본명단!$D3911)</f>
        <v/>
      </c>
      <c r="E3912" s="11" t="str">
        <f aca="false">IF($A3912="","",IF(원본명단!$H3911="",0,COUNTIF(원본명단!$H$3:$H$6002,원본명단!$H3911)))</f>
        <v/>
      </c>
      <c r="F3912" s="11" t="str">
        <f aca="false">IF($A3912="","",IF(원본명단!$I3911="",0,COUNTIF(원본명단!$I$3:$I$6002,원본명단!$I3911)))</f>
        <v/>
      </c>
      <c r="G3912" s="11" t="str">
        <f aca="false">IF($A3912="","",IF(원본명단!$K3911="",0,COUNTIF(원본명단!$K$3:$K$6002,원본명단!$K3911)))</f>
        <v/>
      </c>
      <c r="H3912" s="11" t="str">
        <f aca="false">IF($A3912="","",IF(MAX($E3912,$F3912,$G3912)&gt;1,"중복","-"))</f>
        <v/>
      </c>
      <c r="I3912" s="11" t="str">
        <f aca="false">IF($A3912="","",IF($H3912="-","-",IF(AND(IF(원본명단!$H3911="",TRUE(),COUNTIF(원본명단!$H$3:$H3911,원본명단!$H3911)=1),IF(원본명단!$I3911="",TRUE(),COUNTIF(원본명단!$I$3:$I3911,원본명단!$I3911)=1),IF(원본명단!$K3911="",TRUE(),COUNTIF(원본명단!$K$3:$K3911,원본명단!$K3911)=1)),"첫 건","중복 건")))</f>
        <v/>
      </c>
      <c r="J3912" s="11" t="str">
        <f aca="false">IF($A3912="","",IF($H3912="-","유지",IF($I3912="첫 건","유지","확인 필요")))</f>
        <v/>
      </c>
    </row>
    <row r="3913" customFormat="false" ht="15" hidden="false" customHeight="true" outlineLevel="0" collapsed="false">
      <c r="A3913" s="11" t="str">
        <f aca="false">IF(원본명단!$A3912="","",3910)</f>
        <v/>
      </c>
      <c r="B3913" s="12" t="str">
        <f aca="false">IF($A3913="","",원본명단!$A3912)</f>
        <v/>
      </c>
      <c r="C3913" s="12" t="str">
        <f aca="false">IF($A3913="","",원본명단!$B3912)</f>
        <v/>
      </c>
      <c r="D3913" s="12" t="str">
        <f aca="false">IF($A3913="","",원본명단!$D3912)</f>
        <v/>
      </c>
      <c r="E3913" s="11" t="str">
        <f aca="false">IF($A3913="","",IF(원본명단!$H3912="",0,COUNTIF(원본명단!$H$3:$H$6002,원본명단!$H3912)))</f>
        <v/>
      </c>
      <c r="F3913" s="11" t="str">
        <f aca="false">IF($A3913="","",IF(원본명단!$I3912="",0,COUNTIF(원본명단!$I$3:$I$6002,원본명단!$I3912)))</f>
        <v/>
      </c>
      <c r="G3913" s="11" t="str">
        <f aca="false">IF($A3913="","",IF(원본명단!$K3912="",0,COUNTIF(원본명단!$K$3:$K$6002,원본명단!$K3912)))</f>
        <v/>
      </c>
      <c r="H3913" s="11" t="str">
        <f aca="false">IF($A3913="","",IF(MAX($E3913,$F3913,$G3913)&gt;1,"중복","-"))</f>
        <v/>
      </c>
      <c r="I3913" s="11" t="str">
        <f aca="false">IF($A3913="","",IF($H3913="-","-",IF(AND(IF(원본명단!$H3912="",TRUE(),COUNTIF(원본명단!$H$3:$H3912,원본명단!$H3912)=1),IF(원본명단!$I3912="",TRUE(),COUNTIF(원본명단!$I$3:$I3912,원본명단!$I3912)=1),IF(원본명단!$K3912="",TRUE(),COUNTIF(원본명단!$K$3:$K3912,원본명단!$K3912)=1)),"첫 건","중복 건")))</f>
        <v/>
      </c>
      <c r="J3913" s="11" t="str">
        <f aca="false">IF($A3913="","",IF($H3913="-","유지",IF($I3913="첫 건","유지","확인 필요")))</f>
        <v/>
      </c>
    </row>
    <row r="3914" customFormat="false" ht="15" hidden="false" customHeight="true" outlineLevel="0" collapsed="false">
      <c r="A3914" s="11" t="str">
        <f aca="false">IF(원본명단!$A3913="","",3911)</f>
        <v/>
      </c>
      <c r="B3914" s="12" t="str">
        <f aca="false">IF($A3914="","",원본명단!$A3913)</f>
        <v/>
      </c>
      <c r="C3914" s="12" t="str">
        <f aca="false">IF($A3914="","",원본명단!$B3913)</f>
        <v/>
      </c>
      <c r="D3914" s="12" t="str">
        <f aca="false">IF($A3914="","",원본명단!$D3913)</f>
        <v/>
      </c>
      <c r="E3914" s="11" t="str">
        <f aca="false">IF($A3914="","",IF(원본명단!$H3913="",0,COUNTIF(원본명단!$H$3:$H$6002,원본명단!$H3913)))</f>
        <v/>
      </c>
      <c r="F3914" s="11" t="str">
        <f aca="false">IF($A3914="","",IF(원본명단!$I3913="",0,COUNTIF(원본명단!$I$3:$I$6002,원본명단!$I3913)))</f>
        <v/>
      </c>
      <c r="G3914" s="11" t="str">
        <f aca="false">IF($A3914="","",IF(원본명단!$K3913="",0,COUNTIF(원본명단!$K$3:$K$6002,원본명단!$K3913)))</f>
        <v/>
      </c>
      <c r="H3914" s="11" t="str">
        <f aca="false">IF($A3914="","",IF(MAX($E3914,$F3914,$G3914)&gt;1,"중복","-"))</f>
        <v/>
      </c>
      <c r="I3914" s="11" t="str">
        <f aca="false">IF($A3914="","",IF($H3914="-","-",IF(AND(IF(원본명단!$H3913="",TRUE(),COUNTIF(원본명단!$H$3:$H3913,원본명단!$H3913)=1),IF(원본명단!$I3913="",TRUE(),COUNTIF(원본명단!$I$3:$I3913,원본명단!$I3913)=1),IF(원본명단!$K3913="",TRUE(),COUNTIF(원본명단!$K$3:$K3913,원본명단!$K3913)=1)),"첫 건","중복 건")))</f>
        <v/>
      </c>
      <c r="J3914" s="11" t="str">
        <f aca="false">IF($A3914="","",IF($H3914="-","유지",IF($I3914="첫 건","유지","확인 필요")))</f>
        <v/>
      </c>
    </row>
    <row r="3915" customFormat="false" ht="15" hidden="false" customHeight="true" outlineLevel="0" collapsed="false">
      <c r="A3915" s="11" t="str">
        <f aca="false">IF(원본명단!$A3914="","",3912)</f>
        <v/>
      </c>
      <c r="B3915" s="12" t="str">
        <f aca="false">IF($A3915="","",원본명단!$A3914)</f>
        <v/>
      </c>
      <c r="C3915" s="12" t="str">
        <f aca="false">IF($A3915="","",원본명단!$B3914)</f>
        <v/>
      </c>
      <c r="D3915" s="12" t="str">
        <f aca="false">IF($A3915="","",원본명단!$D3914)</f>
        <v/>
      </c>
      <c r="E3915" s="11" t="str">
        <f aca="false">IF($A3915="","",IF(원본명단!$H3914="",0,COUNTIF(원본명단!$H$3:$H$6002,원본명단!$H3914)))</f>
        <v/>
      </c>
      <c r="F3915" s="11" t="str">
        <f aca="false">IF($A3915="","",IF(원본명단!$I3914="",0,COUNTIF(원본명단!$I$3:$I$6002,원본명단!$I3914)))</f>
        <v/>
      </c>
      <c r="G3915" s="11" t="str">
        <f aca="false">IF($A3915="","",IF(원본명단!$K3914="",0,COUNTIF(원본명단!$K$3:$K$6002,원본명단!$K3914)))</f>
        <v/>
      </c>
      <c r="H3915" s="11" t="str">
        <f aca="false">IF($A3915="","",IF(MAX($E3915,$F3915,$G3915)&gt;1,"중복","-"))</f>
        <v/>
      </c>
      <c r="I3915" s="11" t="str">
        <f aca="false">IF($A3915="","",IF($H3915="-","-",IF(AND(IF(원본명단!$H3914="",TRUE(),COUNTIF(원본명단!$H$3:$H3914,원본명단!$H3914)=1),IF(원본명단!$I3914="",TRUE(),COUNTIF(원본명단!$I$3:$I3914,원본명단!$I3914)=1),IF(원본명단!$K3914="",TRUE(),COUNTIF(원본명단!$K$3:$K3914,원본명단!$K3914)=1)),"첫 건","중복 건")))</f>
        <v/>
      </c>
      <c r="J3915" s="11" t="str">
        <f aca="false">IF($A3915="","",IF($H3915="-","유지",IF($I3915="첫 건","유지","확인 필요")))</f>
        <v/>
      </c>
    </row>
    <row r="3916" customFormat="false" ht="15" hidden="false" customHeight="true" outlineLevel="0" collapsed="false">
      <c r="A3916" s="11" t="str">
        <f aca="false">IF(원본명단!$A3915="","",3913)</f>
        <v/>
      </c>
      <c r="B3916" s="12" t="str">
        <f aca="false">IF($A3916="","",원본명단!$A3915)</f>
        <v/>
      </c>
      <c r="C3916" s="12" t="str">
        <f aca="false">IF($A3916="","",원본명단!$B3915)</f>
        <v/>
      </c>
      <c r="D3916" s="12" t="str">
        <f aca="false">IF($A3916="","",원본명단!$D3915)</f>
        <v/>
      </c>
      <c r="E3916" s="11" t="str">
        <f aca="false">IF($A3916="","",IF(원본명단!$H3915="",0,COUNTIF(원본명단!$H$3:$H$6002,원본명단!$H3915)))</f>
        <v/>
      </c>
      <c r="F3916" s="11" t="str">
        <f aca="false">IF($A3916="","",IF(원본명단!$I3915="",0,COUNTIF(원본명단!$I$3:$I$6002,원본명단!$I3915)))</f>
        <v/>
      </c>
      <c r="G3916" s="11" t="str">
        <f aca="false">IF($A3916="","",IF(원본명단!$K3915="",0,COUNTIF(원본명단!$K$3:$K$6002,원본명단!$K3915)))</f>
        <v/>
      </c>
      <c r="H3916" s="11" t="str">
        <f aca="false">IF($A3916="","",IF(MAX($E3916,$F3916,$G3916)&gt;1,"중복","-"))</f>
        <v/>
      </c>
      <c r="I3916" s="11" t="str">
        <f aca="false">IF($A3916="","",IF($H3916="-","-",IF(AND(IF(원본명단!$H3915="",TRUE(),COUNTIF(원본명단!$H$3:$H3915,원본명단!$H3915)=1),IF(원본명단!$I3915="",TRUE(),COUNTIF(원본명단!$I$3:$I3915,원본명단!$I3915)=1),IF(원본명단!$K3915="",TRUE(),COUNTIF(원본명단!$K$3:$K3915,원본명단!$K3915)=1)),"첫 건","중복 건")))</f>
        <v/>
      </c>
      <c r="J3916" s="11" t="str">
        <f aca="false">IF($A3916="","",IF($H3916="-","유지",IF($I3916="첫 건","유지","확인 필요")))</f>
        <v/>
      </c>
    </row>
    <row r="3917" customFormat="false" ht="15" hidden="false" customHeight="true" outlineLevel="0" collapsed="false">
      <c r="A3917" s="11" t="str">
        <f aca="false">IF(원본명단!$A3916="","",3914)</f>
        <v/>
      </c>
      <c r="B3917" s="12" t="str">
        <f aca="false">IF($A3917="","",원본명단!$A3916)</f>
        <v/>
      </c>
      <c r="C3917" s="12" t="str">
        <f aca="false">IF($A3917="","",원본명단!$B3916)</f>
        <v/>
      </c>
      <c r="D3917" s="12" t="str">
        <f aca="false">IF($A3917="","",원본명단!$D3916)</f>
        <v/>
      </c>
      <c r="E3917" s="11" t="str">
        <f aca="false">IF($A3917="","",IF(원본명단!$H3916="",0,COUNTIF(원본명단!$H$3:$H$6002,원본명단!$H3916)))</f>
        <v/>
      </c>
      <c r="F3917" s="11" t="str">
        <f aca="false">IF($A3917="","",IF(원본명단!$I3916="",0,COUNTIF(원본명단!$I$3:$I$6002,원본명단!$I3916)))</f>
        <v/>
      </c>
      <c r="G3917" s="11" t="str">
        <f aca="false">IF($A3917="","",IF(원본명단!$K3916="",0,COUNTIF(원본명단!$K$3:$K$6002,원본명단!$K3916)))</f>
        <v/>
      </c>
      <c r="H3917" s="11" t="str">
        <f aca="false">IF($A3917="","",IF(MAX($E3917,$F3917,$G3917)&gt;1,"중복","-"))</f>
        <v/>
      </c>
      <c r="I3917" s="11" t="str">
        <f aca="false">IF($A3917="","",IF($H3917="-","-",IF(AND(IF(원본명단!$H3916="",TRUE(),COUNTIF(원본명단!$H$3:$H3916,원본명단!$H3916)=1),IF(원본명단!$I3916="",TRUE(),COUNTIF(원본명단!$I$3:$I3916,원본명단!$I3916)=1),IF(원본명단!$K3916="",TRUE(),COUNTIF(원본명단!$K$3:$K3916,원본명단!$K3916)=1)),"첫 건","중복 건")))</f>
        <v/>
      </c>
      <c r="J3917" s="11" t="str">
        <f aca="false">IF($A3917="","",IF($H3917="-","유지",IF($I3917="첫 건","유지","확인 필요")))</f>
        <v/>
      </c>
    </row>
    <row r="3918" customFormat="false" ht="15" hidden="false" customHeight="true" outlineLevel="0" collapsed="false">
      <c r="A3918" s="11" t="str">
        <f aca="false">IF(원본명단!$A3917="","",3915)</f>
        <v/>
      </c>
      <c r="B3918" s="12" t="str">
        <f aca="false">IF($A3918="","",원본명단!$A3917)</f>
        <v/>
      </c>
      <c r="C3918" s="12" t="str">
        <f aca="false">IF($A3918="","",원본명단!$B3917)</f>
        <v/>
      </c>
      <c r="D3918" s="12" t="str">
        <f aca="false">IF($A3918="","",원본명단!$D3917)</f>
        <v/>
      </c>
      <c r="E3918" s="11" t="str">
        <f aca="false">IF($A3918="","",IF(원본명단!$H3917="",0,COUNTIF(원본명단!$H$3:$H$6002,원본명단!$H3917)))</f>
        <v/>
      </c>
      <c r="F3918" s="11" t="str">
        <f aca="false">IF($A3918="","",IF(원본명단!$I3917="",0,COUNTIF(원본명단!$I$3:$I$6002,원본명단!$I3917)))</f>
        <v/>
      </c>
      <c r="G3918" s="11" t="str">
        <f aca="false">IF($A3918="","",IF(원본명단!$K3917="",0,COUNTIF(원본명단!$K$3:$K$6002,원본명단!$K3917)))</f>
        <v/>
      </c>
      <c r="H3918" s="11" t="str">
        <f aca="false">IF($A3918="","",IF(MAX($E3918,$F3918,$G3918)&gt;1,"중복","-"))</f>
        <v/>
      </c>
      <c r="I3918" s="11" t="str">
        <f aca="false">IF($A3918="","",IF($H3918="-","-",IF(AND(IF(원본명단!$H3917="",TRUE(),COUNTIF(원본명단!$H$3:$H3917,원본명단!$H3917)=1),IF(원본명단!$I3917="",TRUE(),COUNTIF(원본명단!$I$3:$I3917,원본명단!$I3917)=1),IF(원본명단!$K3917="",TRUE(),COUNTIF(원본명단!$K$3:$K3917,원본명단!$K3917)=1)),"첫 건","중복 건")))</f>
        <v/>
      </c>
      <c r="J3918" s="11" t="str">
        <f aca="false">IF($A3918="","",IF($H3918="-","유지",IF($I3918="첫 건","유지","확인 필요")))</f>
        <v/>
      </c>
    </row>
    <row r="3919" customFormat="false" ht="15" hidden="false" customHeight="true" outlineLevel="0" collapsed="false">
      <c r="A3919" s="11" t="str">
        <f aca="false">IF(원본명단!$A3918="","",3916)</f>
        <v/>
      </c>
      <c r="B3919" s="12" t="str">
        <f aca="false">IF($A3919="","",원본명단!$A3918)</f>
        <v/>
      </c>
      <c r="C3919" s="12" t="str">
        <f aca="false">IF($A3919="","",원본명단!$B3918)</f>
        <v/>
      </c>
      <c r="D3919" s="12" t="str">
        <f aca="false">IF($A3919="","",원본명단!$D3918)</f>
        <v/>
      </c>
      <c r="E3919" s="11" t="str">
        <f aca="false">IF($A3919="","",IF(원본명단!$H3918="",0,COUNTIF(원본명단!$H$3:$H$6002,원본명단!$H3918)))</f>
        <v/>
      </c>
      <c r="F3919" s="11" t="str">
        <f aca="false">IF($A3919="","",IF(원본명단!$I3918="",0,COUNTIF(원본명단!$I$3:$I$6002,원본명단!$I3918)))</f>
        <v/>
      </c>
      <c r="G3919" s="11" t="str">
        <f aca="false">IF($A3919="","",IF(원본명단!$K3918="",0,COUNTIF(원본명단!$K$3:$K$6002,원본명단!$K3918)))</f>
        <v/>
      </c>
      <c r="H3919" s="11" t="str">
        <f aca="false">IF($A3919="","",IF(MAX($E3919,$F3919,$G3919)&gt;1,"중복","-"))</f>
        <v/>
      </c>
      <c r="I3919" s="11" t="str">
        <f aca="false">IF($A3919="","",IF($H3919="-","-",IF(AND(IF(원본명단!$H3918="",TRUE(),COUNTIF(원본명단!$H$3:$H3918,원본명단!$H3918)=1),IF(원본명단!$I3918="",TRUE(),COUNTIF(원본명단!$I$3:$I3918,원본명단!$I3918)=1),IF(원본명단!$K3918="",TRUE(),COUNTIF(원본명단!$K$3:$K3918,원본명단!$K3918)=1)),"첫 건","중복 건")))</f>
        <v/>
      </c>
      <c r="J3919" s="11" t="str">
        <f aca="false">IF($A3919="","",IF($H3919="-","유지",IF($I3919="첫 건","유지","확인 필요")))</f>
        <v/>
      </c>
    </row>
    <row r="3920" customFormat="false" ht="15" hidden="false" customHeight="true" outlineLevel="0" collapsed="false">
      <c r="A3920" s="11" t="str">
        <f aca="false">IF(원본명단!$A3919="","",3917)</f>
        <v/>
      </c>
      <c r="B3920" s="12" t="str">
        <f aca="false">IF($A3920="","",원본명단!$A3919)</f>
        <v/>
      </c>
      <c r="C3920" s="12" t="str">
        <f aca="false">IF($A3920="","",원본명단!$B3919)</f>
        <v/>
      </c>
      <c r="D3920" s="12" t="str">
        <f aca="false">IF($A3920="","",원본명단!$D3919)</f>
        <v/>
      </c>
      <c r="E3920" s="11" t="str">
        <f aca="false">IF($A3920="","",IF(원본명단!$H3919="",0,COUNTIF(원본명단!$H$3:$H$6002,원본명단!$H3919)))</f>
        <v/>
      </c>
      <c r="F3920" s="11" t="str">
        <f aca="false">IF($A3920="","",IF(원본명단!$I3919="",0,COUNTIF(원본명단!$I$3:$I$6002,원본명단!$I3919)))</f>
        <v/>
      </c>
      <c r="G3920" s="11" t="str">
        <f aca="false">IF($A3920="","",IF(원본명단!$K3919="",0,COUNTIF(원본명단!$K$3:$K$6002,원본명단!$K3919)))</f>
        <v/>
      </c>
      <c r="H3920" s="11" t="str">
        <f aca="false">IF($A3920="","",IF(MAX($E3920,$F3920,$G3920)&gt;1,"중복","-"))</f>
        <v/>
      </c>
      <c r="I3920" s="11" t="str">
        <f aca="false">IF($A3920="","",IF($H3920="-","-",IF(AND(IF(원본명단!$H3919="",TRUE(),COUNTIF(원본명단!$H$3:$H3919,원본명단!$H3919)=1),IF(원본명단!$I3919="",TRUE(),COUNTIF(원본명단!$I$3:$I3919,원본명단!$I3919)=1),IF(원본명단!$K3919="",TRUE(),COUNTIF(원본명단!$K$3:$K3919,원본명단!$K3919)=1)),"첫 건","중복 건")))</f>
        <v/>
      </c>
      <c r="J3920" s="11" t="str">
        <f aca="false">IF($A3920="","",IF($H3920="-","유지",IF($I3920="첫 건","유지","확인 필요")))</f>
        <v/>
      </c>
    </row>
    <row r="3921" customFormat="false" ht="15" hidden="false" customHeight="true" outlineLevel="0" collapsed="false">
      <c r="A3921" s="11" t="str">
        <f aca="false">IF(원본명단!$A3920="","",3918)</f>
        <v/>
      </c>
      <c r="B3921" s="12" t="str">
        <f aca="false">IF($A3921="","",원본명단!$A3920)</f>
        <v/>
      </c>
      <c r="C3921" s="12" t="str">
        <f aca="false">IF($A3921="","",원본명단!$B3920)</f>
        <v/>
      </c>
      <c r="D3921" s="12" t="str">
        <f aca="false">IF($A3921="","",원본명단!$D3920)</f>
        <v/>
      </c>
      <c r="E3921" s="11" t="str">
        <f aca="false">IF($A3921="","",IF(원본명단!$H3920="",0,COUNTIF(원본명단!$H$3:$H$6002,원본명단!$H3920)))</f>
        <v/>
      </c>
      <c r="F3921" s="11" t="str">
        <f aca="false">IF($A3921="","",IF(원본명단!$I3920="",0,COUNTIF(원본명단!$I$3:$I$6002,원본명단!$I3920)))</f>
        <v/>
      </c>
      <c r="G3921" s="11" t="str">
        <f aca="false">IF($A3921="","",IF(원본명단!$K3920="",0,COUNTIF(원본명단!$K$3:$K$6002,원본명단!$K3920)))</f>
        <v/>
      </c>
      <c r="H3921" s="11" t="str">
        <f aca="false">IF($A3921="","",IF(MAX($E3921,$F3921,$G3921)&gt;1,"중복","-"))</f>
        <v/>
      </c>
      <c r="I3921" s="11" t="str">
        <f aca="false">IF($A3921="","",IF($H3921="-","-",IF(AND(IF(원본명단!$H3920="",TRUE(),COUNTIF(원본명단!$H$3:$H3920,원본명단!$H3920)=1),IF(원본명단!$I3920="",TRUE(),COUNTIF(원본명단!$I$3:$I3920,원본명단!$I3920)=1),IF(원본명단!$K3920="",TRUE(),COUNTIF(원본명단!$K$3:$K3920,원본명단!$K3920)=1)),"첫 건","중복 건")))</f>
        <v/>
      </c>
      <c r="J3921" s="11" t="str">
        <f aca="false">IF($A3921="","",IF($H3921="-","유지",IF($I3921="첫 건","유지","확인 필요")))</f>
        <v/>
      </c>
    </row>
    <row r="3922" customFormat="false" ht="15" hidden="false" customHeight="true" outlineLevel="0" collapsed="false">
      <c r="A3922" s="11" t="str">
        <f aca="false">IF(원본명단!$A3921="","",3919)</f>
        <v/>
      </c>
      <c r="B3922" s="12" t="str">
        <f aca="false">IF($A3922="","",원본명단!$A3921)</f>
        <v/>
      </c>
      <c r="C3922" s="12" t="str">
        <f aca="false">IF($A3922="","",원본명단!$B3921)</f>
        <v/>
      </c>
      <c r="D3922" s="12" t="str">
        <f aca="false">IF($A3922="","",원본명단!$D3921)</f>
        <v/>
      </c>
      <c r="E3922" s="11" t="str">
        <f aca="false">IF($A3922="","",IF(원본명단!$H3921="",0,COUNTIF(원본명단!$H$3:$H$6002,원본명단!$H3921)))</f>
        <v/>
      </c>
      <c r="F3922" s="11" t="str">
        <f aca="false">IF($A3922="","",IF(원본명단!$I3921="",0,COUNTIF(원본명단!$I$3:$I$6002,원본명단!$I3921)))</f>
        <v/>
      </c>
      <c r="G3922" s="11" t="str">
        <f aca="false">IF($A3922="","",IF(원본명단!$K3921="",0,COUNTIF(원본명단!$K$3:$K$6002,원본명단!$K3921)))</f>
        <v/>
      </c>
      <c r="H3922" s="11" t="str">
        <f aca="false">IF($A3922="","",IF(MAX($E3922,$F3922,$G3922)&gt;1,"중복","-"))</f>
        <v/>
      </c>
      <c r="I3922" s="11" t="str">
        <f aca="false">IF($A3922="","",IF($H3922="-","-",IF(AND(IF(원본명단!$H3921="",TRUE(),COUNTIF(원본명단!$H$3:$H3921,원본명단!$H3921)=1),IF(원본명단!$I3921="",TRUE(),COUNTIF(원본명단!$I$3:$I3921,원본명단!$I3921)=1),IF(원본명단!$K3921="",TRUE(),COUNTIF(원본명단!$K$3:$K3921,원본명단!$K3921)=1)),"첫 건","중복 건")))</f>
        <v/>
      </c>
      <c r="J3922" s="11" t="str">
        <f aca="false">IF($A3922="","",IF($H3922="-","유지",IF($I3922="첫 건","유지","확인 필요")))</f>
        <v/>
      </c>
    </row>
    <row r="3923" customFormat="false" ht="15" hidden="false" customHeight="true" outlineLevel="0" collapsed="false">
      <c r="A3923" s="11" t="str">
        <f aca="false">IF(원본명단!$A3922="","",3920)</f>
        <v/>
      </c>
      <c r="B3923" s="12" t="str">
        <f aca="false">IF($A3923="","",원본명단!$A3922)</f>
        <v/>
      </c>
      <c r="C3923" s="12" t="str">
        <f aca="false">IF($A3923="","",원본명단!$B3922)</f>
        <v/>
      </c>
      <c r="D3923" s="12" t="str">
        <f aca="false">IF($A3923="","",원본명단!$D3922)</f>
        <v/>
      </c>
      <c r="E3923" s="11" t="str">
        <f aca="false">IF($A3923="","",IF(원본명단!$H3922="",0,COUNTIF(원본명단!$H$3:$H$6002,원본명단!$H3922)))</f>
        <v/>
      </c>
      <c r="F3923" s="11" t="str">
        <f aca="false">IF($A3923="","",IF(원본명단!$I3922="",0,COUNTIF(원본명단!$I$3:$I$6002,원본명단!$I3922)))</f>
        <v/>
      </c>
      <c r="G3923" s="11" t="str">
        <f aca="false">IF($A3923="","",IF(원본명단!$K3922="",0,COUNTIF(원본명단!$K$3:$K$6002,원본명단!$K3922)))</f>
        <v/>
      </c>
      <c r="H3923" s="11" t="str">
        <f aca="false">IF($A3923="","",IF(MAX($E3923,$F3923,$G3923)&gt;1,"중복","-"))</f>
        <v/>
      </c>
      <c r="I3923" s="11" t="str">
        <f aca="false">IF($A3923="","",IF($H3923="-","-",IF(AND(IF(원본명단!$H3922="",TRUE(),COUNTIF(원본명단!$H$3:$H3922,원본명단!$H3922)=1),IF(원본명단!$I3922="",TRUE(),COUNTIF(원본명단!$I$3:$I3922,원본명단!$I3922)=1),IF(원본명단!$K3922="",TRUE(),COUNTIF(원본명단!$K$3:$K3922,원본명단!$K3922)=1)),"첫 건","중복 건")))</f>
        <v/>
      </c>
      <c r="J3923" s="11" t="str">
        <f aca="false">IF($A3923="","",IF($H3923="-","유지",IF($I3923="첫 건","유지","확인 필요")))</f>
        <v/>
      </c>
    </row>
    <row r="3924" customFormat="false" ht="15" hidden="false" customHeight="true" outlineLevel="0" collapsed="false">
      <c r="A3924" s="11" t="str">
        <f aca="false">IF(원본명단!$A3923="","",3921)</f>
        <v/>
      </c>
      <c r="B3924" s="12" t="str">
        <f aca="false">IF($A3924="","",원본명단!$A3923)</f>
        <v/>
      </c>
      <c r="C3924" s="12" t="str">
        <f aca="false">IF($A3924="","",원본명단!$B3923)</f>
        <v/>
      </c>
      <c r="D3924" s="12" t="str">
        <f aca="false">IF($A3924="","",원본명단!$D3923)</f>
        <v/>
      </c>
      <c r="E3924" s="11" t="str">
        <f aca="false">IF($A3924="","",IF(원본명단!$H3923="",0,COUNTIF(원본명단!$H$3:$H$6002,원본명단!$H3923)))</f>
        <v/>
      </c>
      <c r="F3924" s="11" t="str">
        <f aca="false">IF($A3924="","",IF(원본명단!$I3923="",0,COUNTIF(원본명단!$I$3:$I$6002,원본명단!$I3923)))</f>
        <v/>
      </c>
      <c r="G3924" s="11" t="str">
        <f aca="false">IF($A3924="","",IF(원본명단!$K3923="",0,COUNTIF(원본명단!$K$3:$K$6002,원본명단!$K3923)))</f>
        <v/>
      </c>
      <c r="H3924" s="11" t="str">
        <f aca="false">IF($A3924="","",IF(MAX($E3924,$F3924,$G3924)&gt;1,"중복","-"))</f>
        <v/>
      </c>
      <c r="I3924" s="11" t="str">
        <f aca="false">IF($A3924="","",IF($H3924="-","-",IF(AND(IF(원본명단!$H3923="",TRUE(),COUNTIF(원본명단!$H$3:$H3923,원본명단!$H3923)=1),IF(원본명단!$I3923="",TRUE(),COUNTIF(원본명단!$I$3:$I3923,원본명단!$I3923)=1),IF(원본명단!$K3923="",TRUE(),COUNTIF(원본명단!$K$3:$K3923,원본명단!$K3923)=1)),"첫 건","중복 건")))</f>
        <v/>
      </c>
      <c r="J3924" s="11" t="str">
        <f aca="false">IF($A3924="","",IF($H3924="-","유지",IF($I3924="첫 건","유지","확인 필요")))</f>
        <v/>
      </c>
    </row>
    <row r="3925" customFormat="false" ht="15" hidden="false" customHeight="true" outlineLevel="0" collapsed="false">
      <c r="A3925" s="11" t="str">
        <f aca="false">IF(원본명단!$A3924="","",3922)</f>
        <v/>
      </c>
      <c r="B3925" s="12" t="str">
        <f aca="false">IF($A3925="","",원본명단!$A3924)</f>
        <v/>
      </c>
      <c r="C3925" s="12" t="str">
        <f aca="false">IF($A3925="","",원본명단!$B3924)</f>
        <v/>
      </c>
      <c r="D3925" s="12" t="str">
        <f aca="false">IF($A3925="","",원본명단!$D3924)</f>
        <v/>
      </c>
      <c r="E3925" s="11" t="str">
        <f aca="false">IF($A3925="","",IF(원본명단!$H3924="",0,COUNTIF(원본명단!$H$3:$H$6002,원본명단!$H3924)))</f>
        <v/>
      </c>
      <c r="F3925" s="11" t="str">
        <f aca="false">IF($A3925="","",IF(원본명단!$I3924="",0,COUNTIF(원본명단!$I$3:$I$6002,원본명단!$I3924)))</f>
        <v/>
      </c>
      <c r="G3925" s="11" t="str">
        <f aca="false">IF($A3925="","",IF(원본명단!$K3924="",0,COUNTIF(원본명단!$K$3:$K$6002,원본명단!$K3924)))</f>
        <v/>
      </c>
      <c r="H3925" s="11" t="str">
        <f aca="false">IF($A3925="","",IF(MAX($E3925,$F3925,$G3925)&gt;1,"중복","-"))</f>
        <v/>
      </c>
      <c r="I3925" s="11" t="str">
        <f aca="false">IF($A3925="","",IF($H3925="-","-",IF(AND(IF(원본명단!$H3924="",TRUE(),COUNTIF(원본명단!$H$3:$H3924,원본명단!$H3924)=1),IF(원본명단!$I3924="",TRUE(),COUNTIF(원본명단!$I$3:$I3924,원본명단!$I3924)=1),IF(원본명단!$K3924="",TRUE(),COUNTIF(원본명단!$K$3:$K3924,원본명단!$K3924)=1)),"첫 건","중복 건")))</f>
        <v/>
      </c>
      <c r="J3925" s="11" t="str">
        <f aca="false">IF($A3925="","",IF($H3925="-","유지",IF($I3925="첫 건","유지","확인 필요")))</f>
        <v/>
      </c>
    </row>
    <row r="3926" customFormat="false" ht="15" hidden="false" customHeight="true" outlineLevel="0" collapsed="false">
      <c r="A3926" s="11" t="str">
        <f aca="false">IF(원본명단!$A3925="","",3923)</f>
        <v/>
      </c>
      <c r="B3926" s="12" t="str">
        <f aca="false">IF($A3926="","",원본명단!$A3925)</f>
        <v/>
      </c>
      <c r="C3926" s="12" t="str">
        <f aca="false">IF($A3926="","",원본명단!$B3925)</f>
        <v/>
      </c>
      <c r="D3926" s="12" t="str">
        <f aca="false">IF($A3926="","",원본명단!$D3925)</f>
        <v/>
      </c>
      <c r="E3926" s="11" t="str">
        <f aca="false">IF($A3926="","",IF(원본명단!$H3925="",0,COUNTIF(원본명단!$H$3:$H$6002,원본명단!$H3925)))</f>
        <v/>
      </c>
      <c r="F3926" s="11" t="str">
        <f aca="false">IF($A3926="","",IF(원본명단!$I3925="",0,COUNTIF(원본명단!$I$3:$I$6002,원본명단!$I3925)))</f>
        <v/>
      </c>
      <c r="G3926" s="11" t="str">
        <f aca="false">IF($A3926="","",IF(원본명단!$K3925="",0,COUNTIF(원본명단!$K$3:$K$6002,원본명단!$K3925)))</f>
        <v/>
      </c>
      <c r="H3926" s="11" t="str">
        <f aca="false">IF($A3926="","",IF(MAX($E3926,$F3926,$G3926)&gt;1,"중복","-"))</f>
        <v/>
      </c>
      <c r="I3926" s="11" t="str">
        <f aca="false">IF($A3926="","",IF($H3926="-","-",IF(AND(IF(원본명단!$H3925="",TRUE(),COUNTIF(원본명단!$H$3:$H3925,원본명단!$H3925)=1),IF(원본명단!$I3925="",TRUE(),COUNTIF(원본명단!$I$3:$I3925,원본명단!$I3925)=1),IF(원본명단!$K3925="",TRUE(),COUNTIF(원본명단!$K$3:$K3925,원본명단!$K3925)=1)),"첫 건","중복 건")))</f>
        <v/>
      </c>
      <c r="J3926" s="11" t="str">
        <f aca="false">IF($A3926="","",IF($H3926="-","유지",IF($I3926="첫 건","유지","확인 필요")))</f>
        <v/>
      </c>
    </row>
    <row r="3927" customFormat="false" ht="15" hidden="false" customHeight="true" outlineLevel="0" collapsed="false">
      <c r="A3927" s="11" t="str">
        <f aca="false">IF(원본명단!$A3926="","",3924)</f>
        <v/>
      </c>
      <c r="B3927" s="12" t="str">
        <f aca="false">IF($A3927="","",원본명단!$A3926)</f>
        <v/>
      </c>
      <c r="C3927" s="12" t="str">
        <f aca="false">IF($A3927="","",원본명단!$B3926)</f>
        <v/>
      </c>
      <c r="D3927" s="12" t="str">
        <f aca="false">IF($A3927="","",원본명단!$D3926)</f>
        <v/>
      </c>
      <c r="E3927" s="11" t="str">
        <f aca="false">IF($A3927="","",IF(원본명단!$H3926="",0,COUNTIF(원본명단!$H$3:$H$6002,원본명단!$H3926)))</f>
        <v/>
      </c>
      <c r="F3927" s="11" t="str">
        <f aca="false">IF($A3927="","",IF(원본명단!$I3926="",0,COUNTIF(원본명단!$I$3:$I$6002,원본명단!$I3926)))</f>
        <v/>
      </c>
      <c r="G3927" s="11" t="str">
        <f aca="false">IF($A3927="","",IF(원본명단!$K3926="",0,COUNTIF(원본명단!$K$3:$K$6002,원본명단!$K3926)))</f>
        <v/>
      </c>
      <c r="H3927" s="11" t="str">
        <f aca="false">IF($A3927="","",IF(MAX($E3927,$F3927,$G3927)&gt;1,"중복","-"))</f>
        <v/>
      </c>
      <c r="I3927" s="11" t="str">
        <f aca="false">IF($A3927="","",IF($H3927="-","-",IF(AND(IF(원본명단!$H3926="",TRUE(),COUNTIF(원본명단!$H$3:$H3926,원본명단!$H3926)=1),IF(원본명단!$I3926="",TRUE(),COUNTIF(원본명단!$I$3:$I3926,원본명단!$I3926)=1),IF(원본명단!$K3926="",TRUE(),COUNTIF(원본명단!$K$3:$K3926,원본명단!$K3926)=1)),"첫 건","중복 건")))</f>
        <v/>
      </c>
      <c r="J3927" s="11" t="str">
        <f aca="false">IF($A3927="","",IF($H3927="-","유지",IF($I3927="첫 건","유지","확인 필요")))</f>
        <v/>
      </c>
    </row>
    <row r="3928" customFormat="false" ht="15" hidden="false" customHeight="true" outlineLevel="0" collapsed="false">
      <c r="A3928" s="11" t="str">
        <f aca="false">IF(원본명단!$A3927="","",3925)</f>
        <v/>
      </c>
      <c r="B3928" s="12" t="str">
        <f aca="false">IF($A3928="","",원본명단!$A3927)</f>
        <v/>
      </c>
      <c r="C3928" s="12" t="str">
        <f aca="false">IF($A3928="","",원본명단!$B3927)</f>
        <v/>
      </c>
      <c r="D3928" s="12" t="str">
        <f aca="false">IF($A3928="","",원본명단!$D3927)</f>
        <v/>
      </c>
      <c r="E3928" s="11" t="str">
        <f aca="false">IF($A3928="","",IF(원본명단!$H3927="",0,COUNTIF(원본명단!$H$3:$H$6002,원본명단!$H3927)))</f>
        <v/>
      </c>
      <c r="F3928" s="11" t="str">
        <f aca="false">IF($A3928="","",IF(원본명단!$I3927="",0,COUNTIF(원본명단!$I$3:$I$6002,원본명단!$I3927)))</f>
        <v/>
      </c>
      <c r="G3928" s="11" t="str">
        <f aca="false">IF($A3928="","",IF(원본명단!$K3927="",0,COUNTIF(원본명단!$K$3:$K$6002,원본명단!$K3927)))</f>
        <v/>
      </c>
      <c r="H3928" s="11" t="str">
        <f aca="false">IF($A3928="","",IF(MAX($E3928,$F3928,$G3928)&gt;1,"중복","-"))</f>
        <v/>
      </c>
      <c r="I3928" s="11" t="str">
        <f aca="false">IF($A3928="","",IF($H3928="-","-",IF(AND(IF(원본명단!$H3927="",TRUE(),COUNTIF(원본명단!$H$3:$H3927,원본명단!$H3927)=1),IF(원본명단!$I3927="",TRUE(),COUNTIF(원본명단!$I$3:$I3927,원본명단!$I3927)=1),IF(원본명단!$K3927="",TRUE(),COUNTIF(원본명단!$K$3:$K3927,원본명단!$K3927)=1)),"첫 건","중복 건")))</f>
        <v/>
      </c>
      <c r="J3928" s="11" t="str">
        <f aca="false">IF($A3928="","",IF($H3928="-","유지",IF($I3928="첫 건","유지","확인 필요")))</f>
        <v/>
      </c>
    </row>
    <row r="3929" customFormat="false" ht="15" hidden="false" customHeight="true" outlineLevel="0" collapsed="false">
      <c r="A3929" s="11" t="str">
        <f aca="false">IF(원본명단!$A3928="","",3926)</f>
        <v/>
      </c>
      <c r="B3929" s="12" t="str">
        <f aca="false">IF($A3929="","",원본명단!$A3928)</f>
        <v/>
      </c>
      <c r="C3929" s="12" t="str">
        <f aca="false">IF($A3929="","",원본명단!$B3928)</f>
        <v/>
      </c>
      <c r="D3929" s="12" t="str">
        <f aca="false">IF($A3929="","",원본명단!$D3928)</f>
        <v/>
      </c>
      <c r="E3929" s="11" t="str">
        <f aca="false">IF($A3929="","",IF(원본명단!$H3928="",0,COUNTIF(원본명단!$H$3:$H$6002,원본명단!$H3928)))</f>
        <v/>
      </c>
      <c r="F3929" s="11" t="str">
        <f aca="false">IF($A3929="","",IF(원본명단!$I3928="",0,COUNTIF(원본명단!$I$3:$I$6002,원본명단!$I3928)))</f>
        <v/>
      </c>
      <c r="G3929" s="11" t="str">
        <f aca="false">IF($A3929="","",IF(원본명단!$K3928="",0,COUNTIF(원본명단!$K$3:$K$6002,원본명단!$K3928)))</f>
        <v/>
      </c>
      <c r="H3929" s="11" t="str">
        <f aca="false">IF($A3929="","",IF(MAX($E3929,$F3929,$G3929)&gt;1,"중복","-"))</f>
        <v/>
      </c>
      <c r="I3929" s="11" t="str">
        <f aca="false">IF($A3929="","",IF($H3929="-","-",IF(AND(IF(원본명단!$H3928="",TRUE(),COUNTIF(원본명단!$H$3:$H3928,원본명단!$H3928)=1),IF(원본명단!$I3928="",TRUE(),COUNTIF(원본명단!$I$3:$I3928,원본명단!$I3928)=1),IF(원본명단!$K3928="",TRUE(),COUNTIF(원본명단!$K$3:$K3928,원본명단!$K3928)=1)),"첫 건","중복 건")))</f>
        <v/>
      </c>
      <c r="J3929" s="11" t="str">
        <f aca="false">IF($A3929="","",IF($H3929="-","유지",IF($I3929="첫 건","유지","확인 필요")))</f>
        <v/>
      </c>
    </row>
    <row r="3930" customFormat="false" ht="15" hidden="false" customHeight="true" outlineLevel="0" collapsed="false">
      <c r="A3930" s="11" t="str">
        <f aca="false">IF(원본명단!$A3929="","",3927)</f>
        <v/>
      </c>
      <c r="B3930" s="12" t="str">
        <f aca="false">IF($A3930="","",원본명단!$A3929)</f>
        <v/>
      </c>
      <c r="C3930" s="12" t="str">
        <f aca="false">IF($A3930="","",원본명단!$B3929)</f>
        <v/>
      </c>
      <c r="D3930" s="12" t="str">
        <f aca="false">IF($A3930="","",원본명단!$D3929)</f>
        <v/>
      </c>
      <c r="E3930" s="11" t="str">
        <f aca="false">IF($A3930="","",IF(원본명단!$H3929="",0,COUNTIF(원본명단!$H$3:$H$6002,원본명단!$H3929)))</f>
        <v/>
      </c>
      <c r="F3930" s="11" t="str">
        <f aca="false">IF($A3930="","",IF(원본명단!$I3929="",0,COUNTIF(원본명단!$I$3:$I$6002,원본명단!$I3929)))</f>
        <v/>
      </c>
      <c r="G3930" s="11" t="str">
        <f aca="false">IF($A3930="","",IF(원본명단!$K3929="",0,COUNTIF(원본명단!$K$3:$K$6002,원본명단!$K3929)))</f>
        <v/>
      </c>
      <c r="H3930" s="11" t="str">
        <f aca="false">IF($A3930="","",IF(MAX($E3930,$F3930,$G3930)&gt;1,"중복","-"))</f>
        <v/>
      </c>
      <c r="I3930" s="11" t="str">
        <f aca="false">IF($A3930="","",IF($H3930="-","-",IF(AND(IF(원본명단!$H3929="",TRUE(),COUNTIF(원본명단!$H$3:$H3929,원본명단!$H3929)=1),IF(원본명단!$I3929="",TRUE(),COUNTIF(원본명단!$I$3:$I3929,원본명단!$I3929)=1),IF(원본명단!$K3929="",TRUE(),COUNTIF(원본명단!$K$3:$K3929,원본명단!$K3929)=1)),"첫 건","중복 건")))</f>
        <v/>
      </c>
      <c r="J3930" s="11" t="str">
        <f aca="false">IF($A3930="","",IF($H3930="-","유지",IF($I3930="첫 건","유지","확인 필요")))</f>
        <v/>
      </c>
    </row>
    <row r="3931" customFormat="false" ht="15" hidden="false" customHeight="true" outlineLevel="0" collapsed="false">
      <c r="A3931" s="11" t="str">
        <f aca="false">IF(원본명단!$A3930="","",3928)</f>
        <v/>
      </c>
      <c r="B3931" s="12" t="str">
        <f aca="false">IF($A3931="","",원본명단!$A3930)</f>
        <v/>
      </c>
      <c r="C3931" s="12" t="str">
        <f aca="false">IF($A3931="","",원본명단!$B3930)</f>
        <v/>
      </c>
      <c r="D3931" s="12" t="str">
        <f aca="false">IF($A3931="","",원본명단!$D3930)</f>
        <v/>
      </c>
      <c r="E3931" s="11" t="str">
        <f aca="false">IF($A3931="","",IF(원본명단!$H3930="",0,COUNTIF(원본명단!$H$3:$H$6002,원본명단!$H3930)))</f>
        <v/>
      </c>
      <c r="F3931" s="11" t="str">
        <f aca="false">IF($A3931="","",IF(원본명단!$I3930="",0,COUNTIF(원본명단!$I$3:$I$6002,원본명단!$I3930)))</f>
        <v/>
      </c>
      <c r="G3931" s="11" t="str">
        <f aca="false">IF($A3931="","",IF(원본명단!$K3930="",0,COUNTIF(원본명단!$K$3:$K$6002,원본명단!$K3930)))</f>
        <v/>
      </c>
      <c r="H3931" s="11" t="str">
        <f aca="false">IF($A3931="","",IF(MAX($E3931,$F3931,$G3931)&gt;1,"중복","-"))</f>
        <v/>
      </c>
      <c r="I3931" s="11" t="str">
        <f aca="false">IF($A3931="","",IF($H3931="-","-",IF(AND(IF(원본명단!$H3930="",TRUE(),COUNTIF(원본명단!$H$3:$H3930,원본명단!$H3930)=1),IF(원본명단!$I3930="",TRUE(),COUNTIF(원본명단!$I$3:$I3930,원본명단!$I3930)=1),IF(원본명단!$K3930="",TRUE(),COUNTIF(원본명단!$K$3:$K3930,원본명단!$K3930)=1)),"첫 건","중복 건")))</f>
        <v/>
      </c>
      <c r="J3931" s="11" t="str">
        <f aca="false">IF($A3931="","",IF($H3931="-","유지",IF($I3931="첫 건","유지","확인 필요")))</f>
        <v/>
      </c>
    </row>
    <row r="3932" customFormat="false" ht="15" hidden="false" customHeight="true" outlineLevel="0" collapsed="false">
      <c r="A3932" s="11" t="str">
        <f aca="false">IF(원본명단!$A3931="","",3929)</f>
        <v/>
      </c>
      <c r="B3932" s="12" t="str">
        <f aca="false">IF($A3932="","",원본명단!$A3931)</f>
        <v/>
      </c>
      <c r="C3932" s="12" t="str">
        <f aca="false">IF($A3932="","",원본명단!$B3931)</f>
        <v/>
      </c>
      <c r="D3932" s="12" t="str">
        <f aca="false">IF($A3932="","",원본명단!$D3931)</f>
        <v/>
      </c>
      <c r="E3932" s="11" t="str">
        <f aca="false">IF($A3932="","",IF(원본명단!$H3931="",0,COUNTIF(원본명단!$H$3:$H$6002,원본명단!$H3931)))</f>
        <v/>
      </c>
      <c r="F3932" s="11" t="str">
        <f aca="false">IF($A3932="","",IF(원본명단!$I3931="",0,COUNTIF(원본명단!$I$3:$I$6002,원본명단!$I3931)))</f>
        <v/>
      </c>
      <c r="G3932" s="11" t="str">
        <f aca="false">IF($A3932="","",IF(원본명단!$K3931="",0,COUNTIF(원본명단!$K$3:$K$6002,원본명단!$K3931)))</f>
        <v/>
      </c>
      <c r="H3932" s="11" t="str">
        <f aca="false">IF($A3932="","",IF(MAX($E3932,$F3932,$G3932)&gt;1,"중복","-"))</f>
        <v/>
      </c>
      <c r="I3932" s="11" t="str">
        <f aca="false">IF($A3932="","",IF($H3932="-","-",IF(AND(IF(원본명단!$H3931="",TRUE(),COUNTIF(원본명단!$H$3:$H3931,원본명단!$H3931)=1),IF(원본명단!$I3931="",TRUE(),COUNTIF(원본명단!$I$3:$I3931,원본명단!$I3931)=1),IF(원본명단!$K3931="",TRUE(),COUNTIF(원본명단!$K$3:$K3931,원본명단!$K3931)=1)),"첫 건","중복 건")))</f>
        <v/>
      </c>
      <c r="J3932" s="11" t="str">
        <f aca="false">IF($A3932="","",IF($H3932="-","유지",IF($I3932="첫 건","유지","확인 필요")))</f>
        <v/>
      </c>
    </row>
    <row r="3933" customFormat="false" ht="15" hidden="false" customHeight="true" outlineLevel="0" collapsed="false">
      <c r="A3933" s="11" t="str">
        <f aca="false">IF(원본명단!$A3932="","",3930)</f>
        <v/>
      </c>
      <c r="B3933" s="12" t="str">
        <f aca="false">IF($A3933="","",원본명단!$A3932)</f>
        <v/>
      </c>
      <c r="C3933" s="12" t="str">
        <f aca="false">IF($A3933="","",원본명단!$B3932)</f>
        <v/>
      </c>
      <c r="D3933" s="12" t="str">
        <f aca="false">IF($A3933="","",원본명단!$D3932)</f>
        <v/>
      </c>
      <c r="E3933" s="11" t="str">
        <f aca="false">IF($A3933="","",IF(원본명단!$H3932="",0,COUNTIF(원본명단!$H$3:$H$6002,원본명단!$H3932)))</f>
        <v/>
      </c>
      <c r="F3933" s="11" t="str">
        <f aca="false">IF($A3933="","",IF(원본명단!$I3932="",0,COUNTIF(원본명단!$I$3:$I$6002,원본명단!$I3932)))</f>
        <v/>
      </c>
      <c r="G3933" s="11" t="str">
        <f aca="false">IF($A3933="","",IF(원본명단!$K3932="",0,COUNTIF(원본명단!$K$3:$K$6002,원본명단!$K3932)))</f>
        <v/>
      </c>
      <c r="H3933" s="11" t="str">
        <f aca="false">IF($A3933="","",IF(MAX($E3933,$F3933,$G3933)&gt;1,"중복","-"))</f>
        <v/>
      </c>
      <c r="I3933" s="11" t="str">
        <f aca="false">IF($A3933="","",IF($H3933="-","-",IF(AND(IF(원본명단!$H3932="",TRUE(),COUNTIF(원본명단!$H$3:$H3932,원본명단!$H3932)=1),IF(원본명단!$I3932="",TRUE(),COUNTIF(원본명단!$I$3:$I3932,원본명단!$I3932)=1),IF(원본명단!$K3932="",TRUE(),COUNTIF(원본명단!$K$3:$K3932,원본명단!$K3932)=1)),"첫 건","중복 건")))</f>
        <v/>
      </c>
      <c r="J3933" s="11" t="str">
        <f aca="false">IF($A3933="","",IF($H3933="-","유지",IF($I3933="첫 건","유지","확인 필요")))</f>
        <v/>
      </c>
    </row>
    <row r="3934" customFormat="false" ht="15" hidden="false" customHeight="true" outlineLevel="0" collapsed="false">
      <c r="A3934" s="11" t="str">
        <f aca="false">IF(원본명단!$A3933="","",3931)</f>
        <v/>
      </c>
      <c r="B3934" s="12" t="str">
        <f aca="false">IF($A3934="","",원본명단!$A3933)</f>
        <v/>
      </c>
      <c r="C3934" s="12" t="str">
        <f aca="false">IF($A3934="","",원본명단!$B3933)</f>
        <v/>
      </c>
      <c r="D3934" s="12" t="str">
        <f aca="false">IF($A3934="","",원본명단!$D3933)</f>
        <v/>
      </c>
      <c r="E3934" s="11" t="str">
        <f aca="false">IF($A3934="","",IF(원본명단!$H3933="",0,COUNTIF(원본명단!$H$3:$H$6002,원본명단!$H3933)))</f>
        <v/>
      </c>
      <c r="F3934" s="11" t="str">
        <f aca="false">IF($A3934="","",IF(원본명단!$I3933="",0,COUNTIF(원본명단!$I$3:$I$6002,원본명단!$I3933)))</f>
        <v/>
      </c>
      <c r="G3934" s="11" t="str">
        <f aca="false">IF($A3934="","",IF(원본명단!$K3933="",0,COUNTIF(원본명단!$K$3:$K$6002,원본명단!$K3933)))</f>
        <v/>
      </c>
      <c r="H3934" s="11" t="str">
        <f aca="false">IF($A3934="","",IF(MAX($E3934,$F3934,$G3934)&gt;1,"중복","-"))</f>
        <v/>
      </c>
      <c r="I3934" s="11" t="str">
        <f aca="false">IF($A3934="","",IF($H3934="-","-",IF(AND(IF(원본명단!$H3933="",TRUE(),COUNTIF(원본명단!$H$3:$H3933,원본명단!$H3933)=1),IF(원본명단!$I3933="",TRUE(),COUNTIF(원본명단!$I$3:$I3933,원본명단!$I3933)=1),IF(원본명단!$K3933="",TRUE(),COUNTIF(원본명단!$K$3:$K3933,원본명단!$K3933)=1)),"첫 건","중복 건")))</f>
        <v/>
      </c>
      <c r="J3934" s="11" t="str">
        <f aca="false">IF($A3934="","",IF($H3934="-","유지",IF($I3934="첫 건","유지","확인 필요")))</f>
        <v/>
      </c>
    </row>
    <row r="3935" customFormat="false" ht="15" hidden="false" customHeight="true" outlineLevel="0" collapsed="false">
      <c r="A3935" s="11" t="str">
        <f aca="false">IF(원본명단!$A3934="","",3932)</f>
        <v/>
      </c>
      <c r="B3935" s="12" t="str">
        <f aca="false">IF($A3935="","",원본명단!$A3934)</f>
        <v/>
      </c>
      <c r="C3935" s="12" t="str">
        <f aca="false">IF($A3935="","",원본명단!$B3934)</f>
        <v/>
      </c>
      <c r="D3935" s="12" t="str">
        <f aca="false">IF($A3935="","",원본명단!$D3934)</f>
        <v/>
      </c>
      <c r="E3935" s="11" t="str">
        <f aca="false">IF($A3935="","",IF(원본명단!$H3934="",0,COUNTIF(원본명단!$H$3:$H$6002,원본명단!$H3934)))</f>
        <v/>
      </c>
      <c r="F3935" s="11" t="str">
        <f aca="false">IF($A3935="","",IF(원본명단!$I3934="",0,COUNTIF(원본명단!$I$3:$I$6002,원본명단!$I3934)))</f>
        <v/>
      </c>
      <c r="G3935" s="11" t="str">
        <f aca="false">IF($A3935="","",IF(원본명단!$K3934="",0,COUNTIF(원본명단!$K$3:$K$6002,원본명단!$K3934)))</f>
        <v/>
      </c>
      <c r="H3935" s="11" t="str">
        <f aca="false">IF($A3935="","",IF(MAX($E3935,$F3935,$G3935)&gt;1,"중복","-"))</f>
        <v/>
      </c>
      <c r="I3935" s="11" t="str">
        <f aca="false">IF($A3935="","",IF($H3935="-","-",IF(AND(IF(원본명단!$H3934="",TRUE(),COUNTIF(원본명단!$H$3:$H3934,원본명단!$H3934)=1),IF(원본명단!$I3934="",TRUE(),COUNTIF(원본명단!$I$3:$I3934,원본명단!$I3934)=1),IF(원본명단!$K3934="",TRUE(),COUNTIF(원본명단!$K$3:$K3934,원본명단!$K3934)=1)),"첫 건","중복 건")))</f>
        <v/>
      </c>
      <c r="J3935" s="11" t="str">
        <f aca="false">IF($A3935="","",IF($H3935="-","유지",IF($I3935="첫 건","유지","확인 필요")))</f>
        <v/>
      </c>
    </row>
    <row r="3936" customFormat="false" ht="15" hidden="false" customHeight="true" outlineLevel="0" collapsed="false">
      <c r="A3936" s="11" t="str">
        <f aca="false">IF(원본명단!$A3935="","",3933)</f>
        <v/>
      </c>
      <c r="B3936" s="12" t="str">
        <f aca="false">IF($A3936="","",원본명단!$A3935)</f>
        <v/>
      </c>
      <c r="C3936" s="12" t="str">
        <f aca="false">IF($A3936="","",원본명단!$B3935)</f>
        <v/>
      </c>
      <c r="D3936" s="12" t="str">
        <f aca="false">IF($A3936="","",원본명단!$D3935)</f>
        <v/>
      </c>
      <c r="E3936" s="11" t="str">
        <f aca="false">IF($A3936="","",IF(원본명단!$H3935="",0,COUNTIF(원본명단!$H$3:$H$6002,원본명단!$H3935)))</f>
        <v/>
      </c>
      <c r="F3936" s="11" t="str">
        <f aca="false">IF($A3936="","",IF(원본명단!$I3935="",0,COUNTIF(원본명단!$I$3:$I$6002,원본명단!$I3935)))</f>
        <v/>
      </c>
      <c r="G3936" s="11" t="str">
        <f aca="false">IF($A3936="","",IF(원본명단!$K3935="",0,COUNTIF(원본명단!$K$3:$K$6002,원본명단!$K3935)))</f>
        <v/>
      </c>
      <c r="H3936" s="11" t="str">
        <f aca="false">IF($A3936="","",IF(MAX($E3936,$F3936,$G3936)&gt;1,"중복","-"))</f>
        <v/>
      </c>
      <c r="I3936" s="11" t="str">
        <f aca="false">IF($A3936="","",IF($H3936="-","-",IF(AND(IF(원본명단!$H3935="",TRUE(),COUNTIF(원본명단!$H$3:$H3935,원본명단!$H3935)=1),IF(원본명단!$I3935="",TRUE(),COUNTIF(원본명단!$I$3:$I3935,원본명단!$I3935)=1),IF(원본명단!$K3935="",TRUE(),COUNTIF(원본명단!$K$3:$K3935,원본명단!$K3935)=1)),"첫 건","중복 건")))</f>
        <v/>
      </c>
      <c r="J3936" s="11" t="str">
        <f aca="false">IF($A3936="","",IF($H3936="-","유지",IF($I3936="첫 건","유지","확인 필요")))</f>
        <v/>
      </c>
    </row>
    <row r="3937" customFormat="false" ht="15" hidden="false" customHeight="true" outlineLevel="0" collapsed="false">
      <c r="A3937" s="11" t="str">
        <f aca="false">IF(원본명단!$A3936="","",3934)</f>
        <v/>
      </c>
      <c r="B3937" s="12" t="str">
        <f aca="false">IF($A3937="","",원본명단!$A3936)</f>
        <v/>
      </c>
      <c r="C3937" s="12" t="str">
        <f aca="false">IF($A3937="","",원본명단!$B3936)</f>
        <v/>
      </c>
      <c r="D3937" s="12" t="str">
        <f aca="false">IF($A3937="","",원본명단!$D3936)</f>
        <v/>
      </c>
      <c r="E3937" s="11" t="str">
        <f aca="false">IF($A3937="","",IF(원본명단!$H3936="",0,COUNTIF(원본명단!$H$3:$H$6002,원본명단!$H3936)))</f>
        <v/>
      </c>
      <c r="F3937" s="11" t="str">
        <f aca="false">IF($A3937="","",IF(원본명단!$I3936="",0,COUNTIF(원본명단!$I$3:$I$6002,원본명단!$I3936)))</f>
        <v/>
      </c>
      <c r="G3937" s="11" t="str">
        <f aca="false">IF($A3937="","",IF(원본명단!$K3936="",0,COUNTIF(원본명단!$K$3:$K$6002,원본명단!$K3936)))</f>
        <v/>
      </c>
      <c r="H3937" s="11" t="str">
        <f aca="false">IF($A3937="","",IF(MAX($E3937,$F3937,$G3937)&gt;1,"중복","-"))</f>
        <v/>
      </c>
      <c r="I3937" s="11" t="str">
        <f aca="false">IF($A3937="","",IF($H3937="-","-",IF(AND(IF(원본명단!$H3936="",TRUE(),COUNTIF(원본명단!$H$3:$H3936,원본명단!$H3936)=1),IF(원본명단!$I3936="",TRUE(),COUNTIF(원본명단!$I$3:$I3936,원본명단!$I3936)=1),IF(원본명단!$K3936="",TRUE(),COUNTIF(원본명단!$K$3:$K3936,원본명단!$K3936)=1)),"첫 건","중복 건")))</f>
        <v/>
      </c>
      <c r="J3937" s="11" t="str">
        <f aca="false">IF($A3937="","",IF($H3937="-","유지",IF($I3937="첫 건","유지","확인 필요")))</f>
        <v/>
      </c>
    </row>
    <row r="3938" customFormat="false" ht="15" hidden="false" customHeight="true" outlineLevel="0" collapsed="false">
      <c r="A3938" s="11" t="str">
        <f aca="false">IF(원본명단!$A3937="","",3935)</f>
        <v/>
      </c>
      <c r="B3938" s="12" t="str">
        <f aca="false">IF($A3938="","",원본명단!$A3937)</f>
        <v/>
      </c>
      <c r="C3938" s="12" t="str">
        <f aca="false">IF($A3938="","",원본명단!$B3937)</f>
        <v/>
      </c>
      <c r="D3938" s="12" t="str">
        <f aca="false">IF($A3938="","",원본명단!$D3937)</f>
        <v/>
      </c>
      <c r="E3938" s="11" t="str">
        <f aca="false">IF($A3938="","",IF(원본명단!$H3937="",0,COUNTIF(원본명단!$H$3:$H$6002,원본명단!$H3937)))</f>
        <v/>
      </c>
      <c r="F3938" s="11" t="str">
        <f aca="false">IF($A3938="","",IF(원본명단!$I3937="",0,COUNTIF(원본명단!$I$3:$I$6002,원본명단!$I3937)))</f>
        <v/>
      </c>
      <c r="G3938" s="11" t="str">
        <f aca="false">IF($A3938="","",IF(원본명단!$K3937="",0,COUNTIF(원본명단!$K$3:$K$6002,원본명단!$K3937)))</f>
        <v/>
      </c>
      <c r="H3938" s="11" t="str">
        <f aca="false">IF($A3938="","",IF(MAX($E3938,$F3938,$G3938)&gt;1,"중복","-"))</f>
        <v/>
      </c>
      <c r="I3938" s="11" t="str">
        <f aca="false">IF($A3938="","",IF($H3938="-","-",IF(AND(IF(원본명단!$H3937="",TRUE(),COUNTIF(원본명단!$H$3:$H3937,원본명단!$H3937)=1),IF(원본명단!$I3937="",TRUE(),COUNTIF(원본명단!$I$3:$I3937,원본명단!$I3937)=1),IF(원본명단!$K3937="",TRUE(),COUNTIF(원본명단!$K$3:$K3937,원본명단!$K3937)=1)),"첫 건","중복 건")))</f>
        <v/>
      </c>
      <c r="J3938" s="11" t="str">
        <f aca="false">IF($A3938="","",IF($H3938="-","유지",IF($I3938="첫 건","유지","확인 필요")))</f>
        <v/>
      </c>
    </row>
    <row r="3939" customFormat="false" ht="15" hidden="false" customHeight="true" outlineLevel="0" collapsed="false">
      <c r="A3939" s="11" t="str">
        <f aca="false">IF(원본명단!$A3938="","",3936)</f>
        <v/>
      </c>
      <c r="B3939" s="12" t="str">
        <f aca="false">IF($A3939="","",원본명단!$A3938)</f>
        <v/>
      </c>
      <c r="C3939" s="12" t="str">
        <f aca="false">IF($A3939="","",원본명단!$B3938)</f>
        <v/>
      </c>
      <c r="D3939" s="12" t="str">
        <f aca="false">IF($A3939="","",원본명단!$D3938)</f>
        <v/>
      </c>
      <c r="E3939" s="11" t="str">
        <f aca="false">IF($A3939="","",IF(원본명단!$H3938="",0,COUNTIF(원본명단!$H$3:$H$6002,원본명단!$H3938)))</f>
        <v/>
      </c>
      <c r="F3939" s="11" t="str">
        <f aca="false">IF($A3939="","",IF(원본명단!$I3938="",0,COUNTIF(원본명단!$I$3:$I$6002,원본명단!$I3938)))</f>
        <v/>
      </c>
      <c r="G3939" s="11" t="str">
        <f aca="false">IF($A3939="","",IF(원본명단!$K3938="",0,COUNTIF(원본명단!$K$3:$K$6002,원본명단!$K3938)))</f>
        <v/>
      </c>
      <c r="H3939" s="11" t="str">
        <f aca="false">IF($A3939="","",IF(MAX($E3939,$F3939,$G3939)&gt;1,"중복","-"))</f>
        <v/>
      </c>
      <c r="I3939" s="11" t="str">
        <f aca="false">IF($A3939="","",IF($H3939="-","-",IF(AND(IF(원본명단!$H3938="",TRUE(),COUNTIF(원본명단!$H$3:$H3938,원본명단!$H3938)=1),IF(원본명단!$I3938="",TRUE(),COUNTIF(원본명단!$I$3:$I3938,원본명단!$I3938)=1),IF(원본명단!$K3938="",TRUE(),COUNTIF(원본명단!$K$3:$K3938,원본명단!$K3938)=1)),"첫 건","중복 건")))</f>
        <v/>
      </c>
      <c r="J3939" s="11" t="str">
        <f aca="false">IF($A3939="","",IF($H3939="-","유지",IF($I3939="첫 건","유지","확인 필요")))</f>
        <v/>
      </c>
    </row>
    <row r="3940" customFormat="false" ht="15" hidden="false" customHeight="true" outlineLevel="0" collapsed="false">
      <c r="A3940" s="11" t="str">
        <f aca="false">IF(원본명단!$A3939="","",3937)</f>
        <v/>
      </c>
      <c r="B3940" s="12" t="str">
        <f aca="false">IF($A3940="","",원본명단!$A3939)</f>
        <v/>
      </c>
      <c r="C3940" s="12" t="str">
        <f aca="false">IF($A3940="","",원본명단!$B3939)</f>
        <v/>
      </c>
      <c r="D3940" s="12" t="str">
        <f aca="false">IF($A3940="","",원본명단!$D3939)</f>
        <v/>
      </c>
      <c r="E3940" s="11" t="str">
        <f aca="false">IF($A3940="","",IF(원본명단!$H3939="",0,COUNTIF(원본명단!$H$3:$H$6002,원본명단!$H3939)))</f>
        <v/>
      </c>
      <c r="F3940" s="11" t="str">
        <f aca="false">IF($A3940="","",IF(원본명단!$I3939="",0,COUNTIF(원본명단!$I$3:$I$6002,원본명단!$I3939)))</f>
        <v/>
      </c>
      <c r="G3940" s="11" t="str">
        <f aca="false">IF($A3940="","",IF(원본명단!$K3939="",0,COUNTIF(원본명단!$K$3:$K$6002,원본명단!$K3939)))</f>
        <v/>
      </c>
      <c r="H3940" s="11" t="str">
        <f aca="false">IF($A3940="","",IF(MAX($E3940,$F3940,$G3940)&gt;1,"중복","-"))</f>
        <v/>
      </c>
      <c r="I3940" s="11" t="str">
        <f aca="false">IF($A3940="","",IF($H3940="-","-",IF(AND(IF(원본명단!$H3939="",TRUE(),COUNTIF(원본명단!$H$3:$H3939,원본명단!$H3939)=1),IF(원본명단!$I3939="",TRUE(),COUNTIF(원본명단!$I$3:$I3939,원본명단!$I3939)=1),IF(원본명단!$K3939="",TRUE(),COUNTIF(원본명단!$K$3:$K3939,원본명단!$K3939)=1)),"첫 건","중복 건")))</f>
        <v/>
      </c>
      <c r="J3940" s="11" t="str">
        <f aca="false">IF($A3940="","",IF($H3940="-","유지",IF($I3940="첫 건","유지","확인 필요")))</f>
        <v/>
      </c>
    </row>
    <row r="3941" customFormat="false" ht="15" hidden="false" customHeight="true" outlineLevel="0" collapsed="false">
      <c r="A3941" s="11" t="str">
        <f aca="false">IF(원본명단!$A3940="","",3938)</f>
        <v/>
      </c>
      <c r="B3941" s="12" t="str">
        <f aca="false">IF($A3941="","",원본명단!$A3940)</f>
        <v/>
      </c>
      <c r="C3941" s="12" t="str">
        <f aca="false">IF($A3941="","",원본명단!$B3940)</f>
        <v/>
      </c>
      <c r="D3941" s="12" t="str">
        <f aca="false">IF($A3941="","",원본명단!$D3940)</f>
        <v/>
      </c>
      <c r="E3941" s="11" t="str">
        <f aca="false">IF($A3941="","",IF(원본명단!$H3940="",0,COUNTIF(원본명단!$H$3:$H$6002,원본명단!$H3940)))</f>
        <v/>
      </c>
      <c r="F3941" s="11" t="str">
        <f aca="false">IF($A3941="","",IF(원본명단!$I3940="",0,COUNTIF(원본명단!$I$3:$I$6002,원본명단!$I3940)))</f>
        <v/>
      </c>
      <c r="G3941" s="11" t="str">
        <f aca="false">IF($A3941="","",IF(원본명단!$K3940="",0,COUNTIF(원본명단!$K$3:$K$6002,원본명단!$K3940)))</f>
        <v/>
      </c>
      <c r="H3941" s="11" t="str">
        <f aca="false">IF($A3941="","",IF(MAX($E3941,$F3941,$G3941)&gt;1,"중복","-"))</f>
        <v/>
      </c>
      <c r="I3941" s="11" t="str">
        <f aca="false">IF($A3941="","",IF($H3941="-","-",IF(AND(IF(원본명단!$H3940="",TRUE(),COUNTIF(원본명단!$H$3:$H3940,원본명단!$H3940)=1),IF(원본명단!$I3940="",TRUE(),COUNTIF(원본명단!$I$3:$I3940,원본명단!$I3940)=1),IF(원본명단!$K3940="",TRUE(),COUNTIF(원본명단!$K$3:$K3940,원본명단!$K3940)=1)),"첫 건","중복 건")))</f>
        <v/>
      </c>
      <c r="J3941" s="11" t="str">
        <f aca="false">IF($A3941="","",IF($H3941="-","유지",IF($I3941="첫 건","유지","확인 필요")))</f>
        <v/>
      </c>
    </row>
    <row r="3942" customFormat="false" ht="15" hidden="false" customHeight="true" outlineLevel="0" collapsed="false">
      <c r="A3942" s="11" t="str">
        <f aca="false">IF(원본명단!$A3941="","",3939)</f>
        <v/>
      </c>
      <c r="B3942" s="12" t="str">
        <f aca="false">IF($A3942="","",원본명단!$A3941)</f>
        <v/>
      </c>
      <c r="C3942" s="12" t="str">
        <f aca="false">IF($A3942="","",원본명단!$B3941)</f>
        <v/>
      </c>
      <c r="D3942" s="12" t="str">
        <f aca="false">IF($A3942="","",원본명단!$D3941)</f>
        <v/>
      </c>
      <c r="E3942" s="11" t="str">
        <f aca="false">IF($A3942="","",IF(원본명단!$H3941="",0,COUNTIF(원본명단!$H$3:$H$6002,원본명단!$H3941)))</f>
        <v/>
      </c>
      <c r="F3942" s="11" t="str">
        <f aca="false">IF($A3942="","",IF(원본명단!$I3941="",0,COUNTIF(원본명단!$I$3:$I$6002,원본명단!$I3941)))</f>
        <v/>
      </c>
      <c r="G3942" s="11" t="str">
        <f aca="false">IF($A3942="","",IF(원본명단!$K3941="",0,COUNTIF(원본명단!$K$3:$K$6002,원본명단!$K3941)))</f>
        <v/>
      </c>
      <c r="H3942" s="11" t="str">
        <f aca="false">IF($A3942="","",IF(MAX($E3942,$F3942,$G3942)&gt;1,"중복","-"))</f>
        <v/>
      </c>
      <c r="I3942" s="11" t="str">
        <f aca="false">IF($A3942="","",IF($H3942="-","-",IF(AND(IF(원본명단!$H3941="",TRUE(),COUNTIF(원본명단!$H$3:$H3941,원본명단!$H3941)=1),IF(원본명단!$I3941="",TRUE(),COUNTIF(원본명단!$I$3:$I3941,원본명단!$I3941)=1),IF(원본명단!$K3941="",TRUE(),COUNTIF(원본명단!$K$3:$K3941,원본명단!$K3941)=1)),"첫 건","중복 건")))</f>
        <v/>
      </c>
      <c r="J3942" s="11" t="str">
        <f aca="false">IF($A3942="","",IF($H3942="-","유지",IF($I3942="첫 건","유지","확인 필요")))</f>
        <v/>
      </c>
    </row>
    <row r="3943" customFormat="false" ht="15" hidden="false" customHeight="true" outlineLevel="0" collapsed="false">
      <c r="A3943" s="11" t="str">
        <f aca="false">IF(원본명단!$A3942="","",3940)</f>
        <v/>
      </c>
      <c r="B3943" s="12" t="str">
        <f aca="false">IF($A3943="","",원본명단!$A3942)</f>
        <v/>
      </c>
      <c r="C3943" s="12" t="str">
        <f aca="false">IF($A3943="","",원본명단!$B3942)</f>
        <v/>
      </c>
      <c r="D3943" s="12" t="str">
        <f aca="false">IF($A3943="","",원본명단!$D3942)</f>
        <v/>
      </c>
      <c r="E3943" s="11" t="str">
        <f aca="false">IF($A3943="","",IF(원본명단!$H3942="",0,COUNTIF(원본명단!$H$3:$H$6002,원본명단!$H3942)))</f>
        <v/>
      </c>
      <c r="F3943" s="11" t="str">
        <f aca="false">IF($A3943="","",IF(원본명단!$I3942="",0,COUNTIF(원본명단!$I$3:$I$6002,원본명단!$I3942)))</f>
        <v/>
      </c>
      <c r="G3943" s="11" t="str">
        <f aca="false">IF($A3943="","",IF(원본명단!$K3942="",0,COUNTIF(원본명단!$K$3:$K$6002,원본명단!$K3942)))</f>
        <v/>
      </c>
      <c r="H3943" s="11" t="str">
        <f aca="false">IF($A3943="","",IF(MAX($E3943,$F3943,$G3943)&gt;1,"중복","-"))</f>
        <v/>
      </c>
      <c r="I3943" s="11" t="str">
        <f aca="false">IF($A3943="","",IF($H3943="-","-",IF(AND(IF(원본명단!$H3942="",TRUE(),COUNTIF(원본명단!$H$3:$H3942,원본명단!$H3942)=1),IF(원본명단!$I3942="",TRUE(),COUNTIF(원본명단!$I$3:$I3942,원본명단!$I3942)=1),IF(원본명단!$K3942="",TRUE(),COUNTIF(원본명단!$K$3:$K3942,원본명단!$K3942)=1)),"첫 건","중복 건")))</f>
        <v/>
      </c>
      <c r="J3943" s="11" t="str">
        <f aca="false">IF($A3943="","",IF($H3943="-","유지",IF($I3943="첫 건","유지","확인 필요")))</f>
        <v/>
      </c>
    </row>
    <row r="3944" customFormat="false" ht="15" hidden="false" customHeight="true" outlineLevel="0" collapsed="false">
      <c r="A3944" s="11" t="str">
        <f aca="false">IF(원본명단!$A3943="","",3941)</f>
        <v/>
      </c>
      <c r="B3944" s="12" t="str">
        <f aca="false">IF($A3944="","",원본명단!$A3943)</f>
        <v/>
      </c>
      <c r="C3944" s="12" t="str">
        <f aca="false">IF($A3944="","",원본명단!$B3943)</f>
        <v/>
      </c>
      <c r="D3944" s="12" t="str">
        <f aca="false">IF($A3944="","",원본명단!$D3943)</f>
        <v/>
      </c>
      <c r="E3944" s="11" t="str">
        <f aca="false">IF($A3944="","",IF(원본명단!$H3943="",0,COUNTIF(원본명단!$H$3:$H$6002,원본명단!$H3943)))</f>
        <v/>
      </c>
      <c r="F3944" s="11" t="str">
        <f aca="false">IF($A3944="","",IF(원본명단!$I3943="",0,COUNTIF(원본명단!$I$3:$I$6002,원본명단!$I3943)))</f>
        <v/>
      </c>
      <c r="G3944" s="11" t="str">
        <f aca="false">IF($A3944="","",IF(원본명단!$K3943="",0,COUNTIF(원본명단!$K$3:$K$6002,원본명단!$K3943)))</f>
        <v/>
      </c>
      <c r="H3944" s="11" t="str">
        <f aca="false">IF($A3944="","",IF(MAX($E3944,$F3944,$G3944)&gt;1,"중복","-"))</f>
        <v/>
      </c>
      <c r="I3944" s="11" t="str">
        <f aca="false">IF($A3944="","",IF($H3944="-","-",IF(AND(IF(원본명단!$H3943="",TRUE(),COUNTIF(원본명단!$H$3:$H3943,원본명단!$H3943)=1),IF(원본명단!$I3943="",TRUE(),COUNTIF(원본명단!$I$3:$I3943,원본명단!$I3943)=1),IF(원본명단!$K3943="",TRUE(),COUNTIF(원본명단!$K$3:$K3943,원본명단!$K3943)=1)),"첫 건","중복 건")))</f>
        <v/>
      </c>
      <c r="J3944" s="11" t="str">
        <f aca="false">IF($A3944="","",IF($H3944="-","유지",IF($I3944="첫 건","유지","확인 필요")))</f>
        <v/>
      </c>
    </row>
    <row r="3945" customFormat="false" ht="15" hidden="false" customHeight="true" outlineLevel="0" collapsed="false">
      <c r="A3945" s="11" t="str">
        <f aca="false">IF(원본명단!$A3944="","",3942)</f>
        <v/>
      </c>
      <c r="B3945" s="12" t="str">
        <f aca="false">IF($A3945="","",원본명단!$A3944)</f>
        <v/>
      </c>
      <c r="C3945" s="12" t="str">
        <f aca="false">IF($A3945="","",원본명단!$B3944)</f>
        <v/>
      </c>
      <c r="D3945" s="12" t="str">
        <f aca="false">IF($A3945="","",원본명단!$D3944)</f>
        <v/>
      </c>
      <c r="E3945" s="11" t="str">
        <f aca="false">IF($A3945="","",IF(원본명단!$H3944="",0,COUNTIF(원본명단!$H$3:$H$6002,원본명단!$H3944)))</f>
        <v/>
      </c>
      <c r="F3945" s="11" t="str">
        <f aca="false">IF($A3945="","",IF(원본명단!$I3944="",0,COUNTIF(원본명단!$I$3:$I$6002,원본명단!$I3944)))</f>
        <v/>
      </c>
      <c r="G3945" s="11" t="str">
        <f aca="false">IF($A3945="","",IF(원본명단!$K3944="",0,COUNTIF(원본명단!$K$3:$K$6002,원본명단!$K3944)))</f>
        <v/>
      </c>
      <c r="H3945" s="11" t="str">
        <f aca="false">IF($A3945="","",IF(MAX($E3945,$F3945,$G3945)&gt;1,"중복","-"))</f>
        <v/>
      </c>
      <c r="I3945" s="11" t="str">
        <f aca="false">IF($A3945="","",IF($H3945="-","-",IF(AND(IF(원본명단!$H3944="",TRUE(),COUNTIF(원본명단!$H$3:$H3944,원본명단!$H3944)=1),IF(원본명단!$I3944="",TRUE(),COUNTIF(원본명단!$I$3:$I3944,원본명단!$I3944)=1),IF(원본명단!$K3944="",TRUE(),COUNTIF(원본명단!$K$3:$K3944,원본명단!$K3944)=1)),"첫 건","중복 건")))</f>
        <v/>
      </c>
      <c r="J3945" s="11" t="str">
        <f aca="false">IF($A3945="","",IF($H3945="-","유지",IF($I3945="첫 건","유지","확인 필요")))</f>
        <v/>
      </c>
    </row>
    <row r="3946" customFormat="false" ht="15" hidden="false" customHeight="true" outlineLevel="0" collapsed="false">
      <c r="A3946" s="11" t="str">
        <f aca="false">IF(원본명단!$A3945="","",3943)</f>
        <v/>
      </c>
      <c r="B3946" s="12" t="str">
        <f aca="false">IF($A3946="","",원본명단!$A3945)</f>
        <v/>
      </c>
      <c r="C3946" s="12" t="str">
        <f aca="false">IF($A3946="","",원본명단!$B3945)</f>
        <v/>
      </c>
      <c r="D3946" s="12" t="str">
        <f aca="false">IF($A3946="","",원본명단!$D3945)</f>
        <v/>
      </c>
      <c r="E3946" s="11" t="str">
        <f aca="false">IF($A3946="","",IF(원본명단!$H3945="",0,COUNTIF(원본명단!$H$3:$H$6002,원본명단!$H3945)))</f>
        <v/>
      </c>
      <c r="F3946" s="11" t="str">
        <f aca="false">IF($A3946="","",IF(원본명단!$I3945="",0,COUNTIF(원본명단!$I$3:$I$6002,원본명단!$I3945)))</f>
        <v/>
      </c>
      <c r="G3946" s="11" t="str">
        <f aca="false">IF($A3946="","",IF(원본명단!$K3945="",0,COUNTIF(원본명단!$K$3:$K$6002,원본명단!$K3945)))</f>
        <v/>
      </c>
      <c r="H3946" s="11" t="str">
        <f aca="false">IF($A3946="","",IF(MAX($E3946,$F3946,$G3946)&gt;1,"중복","-"))</f>
        <v/>
      </c>
      <c r="I3946" s="11" t="str">
        <f aca="false">IF($A3946="","",IF($H3946="-","-",IF(AND(IF(원본명단!$H3945="",TRUE(),COUNTIF(원본명단!$H$3:$H3945,원본명단!$H3945)=1),IF(원본명단!$I3945="",TRUE(),COUNTIF(원본명단!$I$3:$I3945,원본명단!$I3945)=1),IF(원본명단!$K3945="",TRUE(),COUNTIF(원본명단!$K$3:$K3945,원본명단!$K3945)=1)),"첫 건","중복 건")))</f>
        <v/>
      </c>
      <c r="J3946" s="11" t="str">
        <f aca="false">IF($A3946="","",IF($H3946="-","유지",IF($I3946="첫 건","유지","확인 필요")))</f>
        <v/>
      </c>
    </row>
    <row r="3947" customFormat="false" ht="15" hidden="false" customHeight="true" outlineLevel="0" collapsed="false">
      <c r="A3947" s="11" t="str">
        <f aca="false">IF(원본명단!$A3946="","",3944)</f>
        <v/>
      </c>
      <c r="B3947" s="12" t="str">
        <f aca="false">IF($A3947="","",원본명단!$A3946)</f>
        <v/>
      </c>
      <c r="C3947" s="12" t="str">
        <f aca="false">IF($A3947="","",원본명단!$B3946)</f>
        <v/>
      </c>
      <c r="D3947" s="12" t="str">
        <f aca="false">IF($A3947="","",원본명단!$D3946)</f>
        <v/>
      </c>
      <c r="E3947" s="11" t="str">
        <f aca="false">IF($A3947="","",IF(원본명단!$H3946="",0,COUNTIF(원본명단!$H$3:$H$6002,원본명단!$H3946)))</f>
        <v/>
      </c>
      <c r="F3947" s="11" t="str">
        <f aca="false">IF($A3947="","",IF(원본명단!$I3946="",0,COUNTIF(원본명단!$I$3:$I$6002,원본명단!$I3946)))</f>
        <v/>
      </c>
      <c r="G3947" s="11" t="str">
        <f aca="false">IF($A3947="","",IF(원본명단!$K3946="",0,COUNTIF(원본명단!$K$3:$K$6002,원본명단!$K3946)))</f>
        <v/>
      </c>
      <c r="H3947" s="11" t="str">
        <f aca="false">IF($A3947="","",IF(MAX($E3947,$F3947,$G3947)&gt;1,"중복","-"))</f>
        <v/>
      </c>
      <c r="I3947" s="11" t="str">
        <f aca="false">IF($A3947="","",IF($H3947="-","-",IF(AND(IF(원본명단!$H3946="",TRUE(),COUNTIF(원본명단!$H$3:$H3946,원본명단!$H3946)=1),IF(원본명단!$I3946="",TRUE(),COUNTIF(원본명단!$I$3:$I3946,원본명단!$I3946)=1),IF(원본명단!$K3946="",TRUE(),COUNTIF(원본명단!$K$3:$K3946,원본명단!$K3946)=1)),"첫 건","중복 건")))</f>
        <v/>
      </c>
      <c r="J3947" s="11" t="str">
        <f aca="false">IF($A3947="","",IF($H3947="-","유지",IF($I3947="첫 건","유지","확인 필요")))</f>
        <v/>
      </c>
    </row>
    <row r="3948" customFormat="false" ht="15" hidden="false" customHeight="true" outlineLevel="0" collapsed="false">
      <c r="A3948" s="11" t="str">
        <f aca="false">IF(원본명단!$A3947="","",3945)</f>
        <v/>
      </c>
      <c r="B3948" s="12" t="str">
        <f aca="false">IF($A3948="","",원본명단!$A3947)</f>
        <v/>
      </c>
      <c r="C3948" s="12" t="str">
        <f aca="false">IF($A3948="","",원본명단!$B3947)</f>
        <v/>
      </c>
      <c r="D3948" s="12" t="str">
        <f aca="false">IF($A3948="","",원본명단!$D3947)</f>
        <v/>
      </c>
      <c r="E3948" s="11" t="str">
        <f aca="false">IF($A3948="","",IF(원본명단!$H3947="",0,COUNTIF(원본명단!$H$3:$H$6002,원본명단!$H3947)))</f>
        <v/>
      </c>
      <c r="F3948" s="11" t="str">
        <f aca="false">IF($A3948="","",IF(원본명단!$I3947="",0,COUNTIF(원본명단!$I$3:$I$6002,원본명단!$I3947)))</f>
        <v/>
      </c>
      <c r="G3948" s="11" t="str">
        <f aca="false">IF($A3948="","",IF(원본명단!$K3947="",0,COUNTIF(원본명단!$K$3:$K$6002,원본명단!$K3947)))</f>
        <v/>
      </c>
      <c r="H3948" s="11" t="str">
        <f aca="false">IF($A3948="","",IF(MAX($E3948,$F3948,$G3948)&gt;1,"중복","-"))</f>
        <v/>
      </c>
      <c r="I3948" s="11" t="str">
        <f aca="false">IF($A3948="","",IF($H3948="-","-",IF(AND(IF(원본명단!$H3947="",TRUE(),COUNTIF(원본명단!$H$3:$H3947,원본명단!$H3947)=1),IF(원본명단!$I3947="",TRUE(),COUNTIF(원본명단!$I$3:$I3947,원본명단!$I3947)=1),IF(원본명단!$K3947="",TRUE(),COUNTIF(원본명단!$K$3:$K3947,원본명단!$K3947)=1)),"첫 건","중복 건")))</f>
        <v/>
      </c>
      <c r="J3948" s="11" t="str">
        <f aca="false">IF($A3948="","",IF($H3948="-","유지",IF($I3948="첫 건","유지","확인 필요")))</f>
        <v/>
      </c>
    </row>
    <row r="3949" customFormat="false" ht="15" hidden="false" customHeight="true" outlineLevel="0" collapsed="false">
      <c r="A3949" s="11" t="str">
        <f aca="false">IF(원본명단!$A3948="","",3946)</f>
        <v/>
      </c>
      <c r="B3949" s="12" t="str">
        <f aca="false">IF($A3949="","",원본명단!$A3948)</f>
        <v/>
      </c>
      <c r="C3949" s="12" t="str">
        <f aca="false">IF($A3949="","",원본명단!$B3948)</f>
        <v/>
      </c>
      <c r="D3949" s="12" t="str">
        <f aca="false">IF($A3949="","",원본명단!$D3948)</f>
        <v/>
      </c>
      <c r="E3949" s="11" t="str">
        <f aca="false">IF($A3949="","",IF(원본명단!$H3948="",0,COUNTIF(원본명단!$H$3:$H$6002,원본명단!$H3948)))</f>
        <v/>
      </c>
      <c r="F3949" s="11" t="str">
        <f aca="false">IF($A3949="","",IF(원본명단!$I3948="",0,COUNTIF(원본명단!$I$3:$I$6002,원본명단!$I3948)))</f>
        <v/>
      </c>
      <c r="G3949" s="11" t="str">
        <f aca="false">IF($A3949="","",IF(원본명단!$K3948="",0,COUNTIF(원본명단!$K$3:$K$6002,원본명단!$K3948)))</f>
        <v/>
      </c>
      <c r="H3949" s="11" t="str">
        <f aca="false">IF($A3949="","",IF(MAX($E3949,$F3949,$G3949)&gt;1,"중복","-"))</f>
        <v/>
      </c>
      <c r="I3949" s="11" t="str">
        <f aca="false">IF($A3949="","",IF($H3949="-","-",IF(AND(IF(원본명단!$H3948="",TRUE(),COUNTIF(원본명단!$H$3:$H3948,원본명단!$H3948)=1),IF(원본명단!$I3948="",TRUE(),COUNTIF(원본명단!$I$3:$I3948,원본명단!$I3948)=1),IF(원본명단!$K3948="",TRUE(),COUNTIF(원본명단!$K$3:$K3948,원본명단!$K3948)=1)),"첫 건","중복 건")))</f>
        <v/>
      </c>
      <c r="J3949" s="11" t="str">
        <f aca="false">IF($A3949="","",IF($H3949="-","유지",IF($I3949="첫 건","유지","확인 필요")))</f>
        <v/>
      </c>
    </row>
    <row r="3950" customFormat="false" ht="15" hidden="false" customHeight="true" outlineLevel="0" collapsed="false">
      <c r="A3950" s="11" t="str">
        <f aca="false">IF(원본명단!$A3949="","",3947)</f>
        <v/>
      </c>
      <c r="B3950" s="12" t="str">
        <f aca="false">IF($A3950="","",원본명단!$A3949)</f>
        <v/>
      </c>
      <c r="C3950" s="12" t="str">
        <f aca="false">IF($A3950="","",원본명단!$B3949)</f>
        <v/>
      </c>
      <c r="D3950" s="12" t="str">
        <f aca="false">IF($A3950="","",원본명단!$D3949)</f>
        <v/>
      </c>
      <c r="E3950" s="11" t="str">
        <f aca="false">IF($A3950="","",IF(원본명단!$H3949="",0,COUNTIF(원본명단!$H$3:$H$6002,원본명단!$H3949)))</f>
        <v/>
      </c>
      <c r="F3950" s="11" t="str">
        <f aca="false">IF($A3950="","",IF(원본명단!$I3949="",0,COUNTIF(원본명단!$I$3:$I$6002,원본명단!$I3949)))</f>
        <v/>
      </c>
      <c r="G3950" s="11" t="str">
        <f aca="false">IF($A3950="","",IF(원본명단!$K3949="",0,COUNTIF(원본명단!$K$3:$K$6002,원본명단!$K3949)))</f>
        <v/>
      </c>
      <c r="H3950" s="11" t="str">
        <f aca="false">IF($A3950="","",IF(MAX($E3950,$F3950,$G3950)&gt;1,"중복","-"))</f>
        <v/>
      </c>
      <c r="I3950" s="11" t="str">
        <f aca="false">IF($A3950="","",IF($H3950="-","-",IF(AND(IF(원본명단!$H3949="",TRUE(),COUNTIF(원본명단!$H$3:$H3949,원본명단!$H3949)=1),IF(원본명단!$I3949="",TRUE(),COUNTIF(원본명단!$I$3:$I3949,원본명단!$I3949)=1),IF(원본명단!$K3949="",TRUE(),COUNTIF(원본명단!$K$3:$K3949,원본명단!$K3949)=1)),"첫 건","중복 건")))</f>
        <v/>
      </c>
      <c r="J3950" s="11" t="str">
        <f aca="false">IF($A3950="","",IF($H3950="-","유지",IF($I3950="첫 건","유지","확인 필요")))</f>
        <v/>
      </c>
    </row>
    <row r="3951" customFormat="false" ht="15" hidden="false" customHeight="true" outlineLevel="0" collapsed="false">
      <c r="A3951" s="11" t="str">
        <f aca="false">IF(원본명단!$A3950="","",3948)</f>
        <v/>
      </c>
      <c r="B3951" s="12" t="str">
        <f aca="false">IF($A3951="","",원본명단!$A3950)</f>
        <v/>
      </c>
      <c r="C3951" s="12" t="str">
        <f aca="false">IF($A3951="","",원본명단!$B3950)</f>
        <v/>
      </c>
      <c r="D3951" s="12" t="str">
        <f aca="false">IF($A3951="","",원본명단!$D3950)</f>
        <v/>
      </c>
      <c r="E3951" s="11" t="str">
        <f aca="false">IF($A3951="","",IF(원본명단!$H3950="",0,COUNTIF(원본명단!$H$3:$H$6002,원본명단!$H3950)))</f>
        <v/>
      </c>
      <c r="F3951" s="11" t="str">
        <f aca="false">IF($A3951="","",IF(원본명단!$I3950="",0,COUNTIF(원본명단!$I$3:$I$6002,원본명단!$I3950)))</f>
        <v/>
      </c>
      <c r="G3951" s="11" t="str">
        <f aca="false">IF($A3951="","",IF(원본명단!$K3950="",0,COUNTIF(원본명단!$K$3:$K$6002,원본명단!$K3950)))</f>
        <v/>
      </c>
      <c r="H3951" s="11" t="str">
        <f aca="false">IF($A3951="","",IF(MAX($E3951,$F3951,$G3951)&gt;1,"중복","-"))</f>
        <v/>
      </c>
      <c r="I3951" s="11" t="str">
        <f aca="false">IF($A3951="","",IF($H3951="-","-",IF(AND(IF(원본명단!$H3950="",TRUE(),COUNTIF(원본명단!$H$3:$H3950,원본명단!$H3950)=1),IF(원본명단!$I3950="",TRUE(),COUNTIF(원본명단!$I$3:$I3950,원본명단!$I3950)=1),IF(원본명단!$K3950="",TRUE(),COUNTIF(원본명단!$K$3:$K3950,원본명단!$K3950)=1)),"첫 건","중복 건")))</f>
        <v/>
      </c>
      <c r="J3951" s="11" t="str">
        <f aca="false">IF($A3951="","",IF($H3951="-","유지",IF($I3951="첫 건","유지","확인 필요")))</f>
        <v/>
      </c>
    </row>
    <row r="3952" customFormat="false" ht="15" hidden="false" customHeight="true" outlineLevel="0" collapsed="false">
      <c r="A3952" s="11" t="str">
        <f aca="false">IF(원본명단!$A3951="","",3949)</f>
        <v/>
      </c>
      <c r="B3952" s="12" t="str">
        <f aca="false">IF($A3952="","",원본명단!$A3951)</f>
        <v/>
      </c>
      <c r="C3952" s="12" t="str">
        <f aca="false">IF($A3952="","",원본명단!$B3951)</f>
        <v/>
      </c>
      <c r="D3952" s="12" t="str">
        <f aca="false">IF($A3952="","",원본명단!$D3951)</f>
        <v/>
      </c>
      <c r="E3952" s="11" t="str">
        <f aca="false">IF($A3952="","",IF(원본명단!$H3951="",0,COUNTIF(원본명단!$H$3:$H$6002,원본명단!$H3951)))</f>
        <v/>
      </c>
      <c r="F3952" s="11" t="str">
        <f aca="false">IF($A3952="","",IF(원본명단!$I3951="",0,COUNTIF(원본명단!$I$3:$I$6002,원본명단!$I3951)))</f>
        <v/>
      </c>
      <c r="G3952" s="11" t="str">
        <f aca="false">IF($A3952="","",IF(원본명단!$K3951="",0,COUNTIF(원본명단!$K$3:$K$6002,원본명단!$K3951)))</f>
        <v/>
      </c>
      <c r="H3952" s="11" t="str">
        <f aca="false">IF($A3952="","",IF(MAX($E3952,$F3952,$G3952)&gt;1,"중복","-"))</f>
        <v/>
      </c>
      <c r="I3952" s="11" t="str">
        <f aca="false">IF($A3952="","",IF($H3952="-","-",IF(AND(IF(원본명단!$H3951="",TRUE(),COUNTIF(원본명단!$H$3:$H3951,원본명단!$H3951)=1),IF(원본명단!$I3951="",TRUE(),COUNTIF(원본명단!$I$3:$I3951,원본명단!$I3951)=1),IF(원본명단!$K3951="",TRUE(),COUNTIF(원본명단!$K$3:$K3951,원본명단!$K3951)=1)),"첫 건","중복 건")))</f>
        <v/>
      </c>
      <c r="J3952" s="11" t="str">
        <f aca="false">IF($A3952="","",IF($H3952="-","유지",IF($I3952="첫 건","유지","확인 필요")))</f>
        <v/>
      </c>
    </row>
    <row r="3953" customFormat="false" ht="15" hidden="false" customHeight="true" outlineLevel="0" collapsed="false">
      <c r="A3953" s="11" t="str">
        <f aca="false">IF(원본명단!$A3952="","",3950)</f>
        <v/>
      </c>
      <c r="B3953" s="12" t="str">
        <f aca="false">IF($A3953="","",원본명단!$A3952)</f>
        <v/>
      </c>
      <c r="C3953" s="12" t="str">
        <f aca="false">IF($A3953="","",원본명단!$B3952)</f>
        <v/>
      </c>
      <c r="D3953" s="12" t="str">
        <f aca="false">IF($A3953="","",원본명단!$D3952)</f>
        <v/>
      </c>
      <c r="E3953" s="11" t="str">
        <f aca="false">IF($A3953="","",IF(원본명단!$H3952="",0,COUNTIF(원본명단!$H$3:$H$6002,원본명단!$H3952)))</f>
        <v/>
      </c>
      <c r="F3953" s="11" t="str">
        <f aca="false">IF($A3953="","",IF(원본명단!$I3952="",0,COUNTIF(원본명단!$I$3:$I$6002,원본명단!$I3952)))</f>
        <v/>
      </c>
      <c r="G3953" s="11" t="str">
        <f aca="false">IF($A3953="","",IF(원본명단!$K3952="",0,COUNTIF(원본명단!$K$3:$K$6002,원본명단!$K3952)))</f>
        <v/>
      </c>
      <c r="H3953" s="11" t="str">
        <f aca="false">IF($A3953="","",IF(MAX($E3953,$F3953,$G3953)&gt;1,"중복","-"))</f>
        <v/>
      </c>
      <c r="I3953" s="11" t="str">
        <f aca="false">IF($A3953="","",IF($H3953="-","-",IF(AND(IF(원본명단!$H3952="",TRUE(),COUNTIF(원본명단!$H$3:$H3952,원본명단!$H3952)=1),IF(원본명단!$I3952="",TRUE(),COUNTIF(원본명단!$I$3:$I3952,원본명단!$I3952)=1),IF(원본명단!$K3952="",TRUE(),COUNTIF(원본명단!$K$3:$K3952,원본명단!$K3952)=1)),"첫 건","중복 건")))</f>
        <v/>
      </c>
      <c r="J3953" s="11" t="str">
        <f aca="false">IF($A3953="","",IF($H3953="-","유지",IF($I3953="첫 건","유지","확인 필요")))</f>
        <v/>
      </c>
    </row>
    <row r="3954" customFormat="false" ht="15" hidden="false" customHeight="true" outlineLevel="0" collapsed="false">
      <c r="A3954" s="11" t="str">
        <f aca="false">IF(원본명단!$A3953="","",3951)</f>
        <v/>
      </c>
      <c r="B3954" s="12" t="str">
        <f aca="false">IF($A3954="","",원본명단!$A3953)</f>
        <v/>
      </c>
      <c r="C3954" s="12" t="str">
        <f aca="false">IF($A3954="","",원본명단!$B3953)</f>
        <v/>
      </c>
      <c r="D3954" s="12" t="str">
        <f aca="false">IF($A3954="","",원본명단!$D3953)</f>
        <v/>
      </c>
      <c r="E3954" s="11" t="str">
        <f aca="false">IF($A3954="","",IF(원본명단!$H3953="",0,COUNTIF(원본명단!$H$3:$H$6002,원본명단!$H3953)))</f>
        <v/>
      </c>
      <c r="F3954" s="11" t="str">
        <f aca="false">IF($A3954="","",IF(원본명단!$I3953="",0,COUNTIF(원본명단!$I$3:$I$6002,원본명단!$I3953)))</f>
        <v/>
      </c>
      <c r="G3954" s="11" t="str">
        <f aca="false">IF($A3954="","",IF(원본명단!$K3953="",0,COUNTIF(원본명단!$K$3:$K$6002,원본명단!$K3953)))</f>
        <v/>
      </c>
      <c r="H3954" s="11" t="str">
        <f aca="false">IF($A3954="","",IF(MAX($E3954,$F3954,$G3954)&gt;1,"중복","-"))</f>
        <v/>
      </c>
      <c r="I3954" s="11" t="str">
        <f aca="false">IF($A3954="","",IF($H3954="-","-",IF(AND(IF(원본명단!$H3953="",TRUE(),COUNTIF(원본명단!$H$3:$H3953,원본명단!$H3953)=1),IF(원본명단!$I3953="",TRUE(),COUNTIF(원본명단!$I$3:$I3953,원본명단!$I3953)=1),IF(원본명단!$K3953="",TRUE(),COUNTIF(원본명단!$K$3:$K3953,원본명단!$K3953)=1)),"첫 건","중복 건")))</f>
        <v/>
      </c>
      <c r="J3954" s="11" t="str">
        <f aca="false">IF($A3954="","",IF($H3954="-","유지",IF($I3954="첫 건","유지","확인 필요")))</f>
        <v/>
      </c>
    </row>
    <row r="3955" customFormat="false" ht="15" hidden="false" customHeight="true" outlineLevel="0" collapsed="false">
      <c r="A3955" s="11" t="str">
        <f aca="false">IF(원본명단!$A3954="","",3952)</f>
        <v/>
      </c>
      <c r="B3955" s="12" t="str">
        <f aca="false">IF($A3955="","",원본명단!$A3954)</f>
        <v/>
      </c>
      <c r="C3955" s="12" t="str">
        <f aca="false">IF($A3955="","",원본명단!$B3954)</f>
        <v/>
      </c>
      <c r="D3955" s="12" t="str">
        <f aca="false">IF($A3955="","",원본명단!$D3954)</f>
        <v/>
      </c>
      <c r="E3955" s="11" t="str">
        <f aca="false">IF($A3955="","",IF(원본명단!$H3954="",0,COUNTIF(원본명단!$H$3:$H$6002,원본명단!$H3954)))</f>
        <v/>
      </c>
      <c r="F3955" s="11" t="str">
        <f aca="false">IF($A3955="","",IF(원본명단!$I3954="",0,COUNTIF(원본명단!$I$3:$I$6002,원본명단!$I3954)))</f>
        <v/>
      </c>
      <c r="G3955" s="11" t="str">
        <f aca="false">IF($A3955="","",IF(원본명단!$K3954="",0,COUNTIF(원본명단!$K$3:$K$6002,원본명단!$K3954)))</f>
        <v/>
      </c>
      <c r="H3955" s="11" t="str">
        <f aca="false">IF($A3955="","",IF(MAX($E3955,$F3955,$G3955)&gt;1,"중복","-"))</f>
        <v/>
      </c>
      <c r="I3955" s="11" t="str">
        <f aca="false">IF($A3955="","",IF($H3955="-","-",IF(AND(IF(원본명단!$H3954="",TRUE(),COUNTIF(원본명단!$H$3:$H3954,원본명단!$H3954)=1),IF(원본명단!$I3954="",TRUE(),COUNTIF(원본명단!$I$3:$I3954,원본명단!$I3954)=1),IF(원본명단!$K3954="",TRUE(),COUNTIF(원본명단!$K$3:$K3954,원본명단!$K3954)=1)),"첫 건","중복 건")))</f>
        <v/>
      </c>
      <c r="J3955" s="11" t="str">
        <f aca="false">IF($A3955="","",IF($H3955="-","유지",IF($I3955="첫 건","유지","확인 필요")))</f>
        <v/>
      </c>
    </row>
    <row r="3956" customFormat="false" ht="15" hidden="false" customHeight="true" outlineLevel="0" collapsed="false">
      <c r="A3956" s="11" t="str">
        <f aca="false">IF(원본명단!$A3955="","",3953)</f>
        <v/>
      </c>
      <c r="B3956" s="12" t="str">
        <f aca="false">IF($A3956="","",원본명단!$A3955)</f>
        <v/>
      </c>
      <c r="C3956" s="12" t="str">
        <f aca="false">IF($A3956="","",원본명단!$B3955)</f>
        <v/>
      </c>
      <c r="D3956" s="12" t="str">
        <f aca="false">IF($A3956="","",원본명단!$D3955)</f>
        <v/>
      </c>
      <c r="E3956" s="11" t="str">
        <f aca="false">IF($A3956="","",IF(원본명단!$H3955="",0,COUNTIF(원본명단!$H$3:$H$6002,원본명단!$H3955)))</f>
        <v/>
      </c>
      <c r="F3956" s="11" t="str">
        <f aca="false">IF($A3956="","",IF(원본명단!$I3955="",0,COUNTIF(원본명단!$I$3:$I$6002,원본명단!$I3955)))</f>
        <v/>
      </c>
      <c r="G3956" s="11" t="str">
        <f aca="false">IF($A3956="","",IF(원본명단!$K3955="",0,COUNTIF(원본명단!$K$3:$K$6002,원본명단!$K3955)))</f>
        <v/>
      </c>
      <c r="H3956" s="11" t="str">
        <f aca="false">IF($A3956="","",IF(MAX($E3956,$F3956,$G3956)&gt;1,"중복","-"))</f>
        <v/>
      </c>
      <c r="I3956" s="11" t="str">
        <f aca="false">IF($A3956="","",IF($H3956="-","-",IF(AND(IF(원본명단!$H3955="",TRUE(),COUNTIF(원본명단!$H$3:$H3955,원본명단!$H3955)=1),IF(원본명단!$I3955="",TRUE(),COUNTIF(원본명단!$I$3:$I3955,원본명단!$I3955)=1),IF(원본명단!$K3955="",TRUE(),COUNTIF(원본명단!$K$3:$K3955,원본명단!$K3955)=1)),"첫 건","중복 건")))</f>
        <v/>
      </c>
      <c r="J3956" s="11" t="str">
        <f aca="false">IF($A3956="","",IF($H3956="-","유지",IF($I3956="첫 건","유지","확인 필요")))</f>
        <v/>
      </c>
    </row>
    <row r="3957" customFormat="false" ht="15" hidden="false" customHeight="true" outlineLevel="0" collapsed="false">
      <c r="A3957" s="11" t="str">
        <f aca="false">IF(원본명단!$A3956="","",3954)</f>
        <v/>
      </c>
      <c r="B3957" s="12" t="str">
        <f aca="false">IF($A3957="","",원본명단!$A3956)</f>
        <v/>
      </c>
      <c r="C3957" s="12" t="str">
        <f aca="false">IF($A3957="","",원본명단!$B3956)</f>
        <v/>
      </c>
      <c r="D3957" s="12" t="str">
        <f aca="false">IF($A3957="","",원본명단!$D3956)</f>
        <v/>
      </c>
      <c r="E3957" s="11" t="str">
        <f aca="false">IF($A3957="","",IF(원본명단!$H3956="",0,COUNTIF(원본명단!$H$3:$H$6002,원본명단!$H3956)))</f>
        <v/>
      </c>
      <c r="F3957" s="11" t="str">
        <f aca="false">IF($A3957="","",IF(원본명단!$I3956="",0,COUNTIF(원본명단!$I$3:$I$6002,원본명단!$I3956)))</f>
        <v/>
      </c>
      <c r="G3957" s="11" t="str">
        <f aca="false">IF($A3957="","",IF(원본명단!$K3956="",0,COUNTIF(원본명단!$K$3:$K$6002,원본명단!$K3956)))</f>
        <v/>
      </c>
      <c r="H3957" s="11" t="str">
        <f aca="false">IF($A3957="","",IF(MAX($E3957,$F3957,$G3957)&gt;1,"중복","-"))</f>
        <v/>
      </c>
      <c r="I3957" s="11" t="str">
        <f aca="false">IF($A3957="","",IF($H3957="-","-",IF(AND(IF(원본명단!$H3956="",TRUE(),COUNTIF(원본명단!$H$3:$H3956,원본명단!$H3956)=1),IF(원본명단!$I3956="",TRUE(),COUNTIF(원본명단!$I$3:$I3956,원본명단!$I3956)=1),IF(원본명단!$K3956="",TRUE(),COUNTIF(원본명단!$K$3:$K3956,원본명단!$K3956)=1)),"첫 건","중복 건")))</f>
        <v/>
      </c>
      <c r="J3957" s="11" t="str">
        <f aca="false">IF($A3957="","",IF($H3957="-","유지",IF($I3957="첫 건","유지","확인 필요")))</f>
        <v/>
      </c>
    </row>
    <row r="3958" customFormat="false" ht="15" hidden="false" customHeight="true" outlineLevel="0" collapsed="false">
      <c r="A3958" s="11" t="str">
        <f aca="false">IF(원본명단!$A3957="","",3955)</f>
        <v/>
      </c>
      <c r="B3958" s="12" t="str">
        <f aca="false">IF($A3958="","",원본명단!$A3957)</f>
        <v/>
      </c>
      <c r="C3958" s="12" t="str">
        <f aca="false">IF($A3958="","",원본명단!$B3957)</f>
        <v/>
      </c>
      <c r="D3958" s="12" t="str">
        <f aca="false">IF($A3958="","",원본명단!$D3957)</f>
        <v/>
      </c>
      <c r="E3958" s="11" t="str">
        <f aca="false">IF($A3958="","",IF(원본명단!$H3957="",0,COUNTIF(원본명단!$H$3:$H$6002,원본명단!$H3957)))</f>
        <v/>
      </c>
      <c r="F3958" s="11" t="str">
        <f aca="false">IF($A3958="","",IF(원본명단!$I3957="",0,COUNTIF(원본명단!$I$3:$I$6002,원본명단!$I3957)))</f>
        <v/>
      </c>
      <c r="G3958" s="11" t="str">
        <f aca="false">IF($A3958="","",IF(원본명단!$K3957="",0,COUNTIF(원본명단!$K$3:$K$6002,원본명단!$K3957)))</f>
        <v/>
      </c>
      <c r="H3958" s="11" t="str">
        <f aca="false">IF($A3958="","",IF(MAX($E3958,$F3958,$G3958)&gt;1,"중복","-"))</f>
        <v/>
      </c>
      <c r="I3958" s="11" t="str">
        <f aca="false">IF($A3958="","",IF($H3958="-","-",IF(AND(IF(원본명단!$H3957="",TRUE(),COUNTIF(원본명단!$H$3:$H3957,원본명단!$H3957)=1),IF(원본명단!$I3957="",TRUE(),COUNTIF(원본명단!$I$3:$I3957,원본명단!$I3957)=1),IF(원본명단!$K3957="",TRUE(),COUNTIF(원본명단!$K$3:$K3957,원본명단!$K3957)=1)),"첫 건","중복 건")))</f>
        <v/>
      </c>
      <c r="J3958" s="11" t="str">
        <f aca="false">IF($A3958="","",IF($H3958="-","유지",IF($I3958="첫 건","유지","확인 필요")))</f>
        <v/>
      </c>
    </row>
    <row r="3959" customFormat="false" ht="15" hidden="false" customHeight="true" outlineLevel="0" collapsed="false">
      <c r="A3959" s="11" t="str">
        <f aca="false">IF(원본명단!$A3958="","",3956)</f>
        <v/>
      </c>
      <c r="B3959" s="12" t="str">
        <f aca="false">IF($A3959="","",원본명단!$A3958)</f>
        <v/>
      </c>
      <c r="C3959" s="12" t="str">
        <f aca="false">IF($A3959="","",원본명단!$B3958)</f>
        <v/>
      </c>
      <c r="D3959" s="12" t="str">
        <f aca="false">IF($A3959="","",원본명단!$D3958)</f>
        <v/>
      </c>
      <c r="E3959" s="11" t="str">
        <f aca="false">IF($A3959="","",IF(원본명단!$H3958="",0,COUNTIF(원본명단!$H$3:$H$6002,원본명단!$H3958)))</f>
        <v/>
      </c>
      <c r="F3959" s="11" t="str">
        <f aca="false">IF($A3959="","",IF(원본명단!$I3958="",0,COUNTIF(원본명단!$I$3:$I$6002,원본명단!$I3958)))</f>
        <v/>
      </c>
      <c r="G3959" s="11" t="str">
        <f aca="false">IF($A3959="","",IF(원본명단!$K3958="",0,COUNTIF(원본명단!$K$3:$K$6002,원본명단!$K3958)))</f>
        <v/>
      </c>
      <c r="H3959" s="11" t="str">
        <f aca="false">IF($A3959="","",IF(MAX($E3959,$F3959,$G3959)&gt;1,"중복","-"))</f>
        <v/>
      </c>
      <c r="I3959" s="11" t="str">
        <f aca="false">IF($A3959="","",IF($H3959="-","-",IF(AND(IF(원본명단!$H3958="",TRUE(),COUNTIF(원본명단!$H$3:$H3958,원본명단!$H3958)=1),IF(원본명단!$I3958="",TRUE(),COUNTIF(원본명단!$I$3:$I3958,원본명단!$I3958)=1),IF(원본명단!$K3958="",TRUE(),COUNTIF(원본명단!$K$3:$K3958,원본명단!$K3958)=1)),"첫 건","중복 건")))</f>
        <v/>
      </c>
      <c r="J3959" s="11" t="str">
        <f aca="false">IF($A3959="","",IF($H3959="-","유지",IF($I3959="첫 건","유지","확인 필요")))</f>
        <v/>
      </c>
    </row>
    <row r="3960" customFormat="false" ht="15" hidden="false" customHeight="true" outlineLevel="0" collapsed="false">
      <c r="A3960" s="11" t="str">
        <f aca="false">IF(원본명단!$A3959="","",3957)</f>
        <v/>
      </c>
      <c r="B3960" s="12" t="str">
        <f aca="false">IF($A3960="","",원본명단!$A3959)</f>
        <v/>
      </c>
      <c r="C3960" s="12" t="str">
        <f aca="false">IF($A3960="","",원본명단!$B3959)</f>
        <v/>
      </c>
      <c r="D3960" s="12" t="str">
        <f aca="false">IF($A3960="","",원본명단!$D3959)</f>
        <v/>
      </c>
      <c r="E3960" s="11" t="str">
        <f aca="false">IF($A3960="","",IF(원본명단!$H3959="",0,COUNTIF(원본명단!$H$3:$H$6002,원본명단!$H3959)))</f>
        <v/>
      </c>
      <c r="F3960" s="11" t="str">
        <f aca="false">IF($A3960="","",IF(원본명단!$I3959="",0,COUNTIF(원본명단!$I$3:$I$6002,원본명단!$I3959)))</f>
        <v/>
      </c>
      <c r="G3960" s="11" t="str">
        <f aca="false">IF($A3960="","",IF(원본명단!$K3959="",0,COUNTIF(원본명단!$K$3:$K$6002,원본명단!$K3959)))</f>
        <v/>
      </c>
      <c r="H3960" s="11" t="str">
        <f aca="false">IF($A3960="","",IF(MAX($E3960,$F3960,$G3960)&gt;1,"중복","-"))</f>
        <v/>
      </c>
      <c r="I3960" s="11" t="str">
        <f aca="false">IF($A3960="","",IF($H3960="-","-",IF(AND(IF(원본명단!$H3959="",TRUE(),COUNTIF(원본명단!$H$3:$H3959,원본명단!$H3959)=1),IF(원본명단!$I3959="",TRUE(),COUNTIF(원본명단!$I$3:$I3959,원본명단!$I3959)=1),IF(원본명단!$K3959="",TRUE(),COUNTIF(원본명단!$K$3:$K3959,원본명단!$K3959)=1)),"첫 건","중복 건")))</f>
        <v/>
      </c>
      <c r="J3960" s="11" t="str">
        <f aca="false">IF($A3960="","",IF($H3960="-","유지",IF($I3960="첫 건","유지","확인 필요")))</f>
        <v/>
      </c>
    </row>
    <row r="3961" customFormat="false" ht="15" hidden="false" customHeight="true" outlineLevel="0" collapsed="false">
      <c r="A3961" s="11" t="str">
        <f aca="false">IF(원본명단!$A3960="","",3958)</f>
        <v/>
      </c>
      <c r="B3961" s="12" t="str">
        <f aca="false">IF($A3961="","",원본명단!$A3960)</f>
        <v/>
      </c>
      <c r="C3961" s="12" t="str">
        <f aca="false">IF($A3961="","",원본명단!$B3960)</f>
        <v/>
      </c>
      <c r="D3961" s="12" t="str">
        <f aca="false">IF($A3961="","",원본명단!$D3960)</f>
        <v/>
      </c>
      <c r="E3961" s="11" t="str">
        <f aca="false">IF($A3961="","",IF(원본명단!$H3960="",0,COUNTIF(원본명단!$H$3:$H$6002,원본명단!$H3960)))</f>
        <v/>
      </c>
      <c r="F3961" s="11" t="str">
        <f aca="false">IF($A3961="","",IF(원본명단!$I3960="",0,COUNTIF(원본명단!$I$3:$I$6002,원본명단!$I3960)))</f>
        <v/>
      </c>
      <c r="G3961" s="11" t="str">
        <f aca="false">IF($A3961="","",IF(원본명단!$K3960="",0,COUNTIF(원본명단!$K$3:$K$6002,원본명단!$K3960)))</f>
        <v/>
      </c>
      <c r="H3961" s="11" t="str">
        <f aca="false">IF($A3961="","",IF(MAX($E3961,$F3961,$G3961)&gt;1,"중복","-"))</f>
        <v/>
      </c>
      <c r="I3961" s="11" t="str">
        <f aca="false">IF($A3961="","",IF($H3961="-","-",IF(AND(IF(원본명단!$H3960="",TRUE(),COUNTIF(원본명단!$H$3:$H3960,원본명단!$H3960)=1),IF(원본명단!$I3960="",TRUE(),COUNTIF(원본명단!$I$3:$I3960,원본명단!$I3960)=1),IF(원본명단!$K3960="",TRUE(),COUNTIF(원본명단!$K$3:$K3960,원본명단!$K3960)=1)),"첫 건","중복 건")))</f>
        <v/>
      </c>
      <c r="J3961" s="11" t="str">
        <f aca="false">IF($A3961="","",IF($H3961="-","유지",IF($I3961="첫 건","유지","확인 필요")))</f>
        <v/>
      </c>
    </row>
    <row r="3962" customFormat="false" ht="15" hidden="false" customHeight="true" outlineLevel="0" collapsed="false">
      <c r="A3962" s="11" t="str">
        <f aca="false">IF(원본명단!$A3961="","",3959)</f>
        <v/>
      </c>
      <c r="B3962" s="12" t="str">
        <f aca="false">IF($A3962="","",원본명단!$A3961)</f>
        <v/>
      </c>
      <c r="C3962" s="12" t="str">
        <f aca="false">IF($A3962="","",원본명단!$B3961)</f>
        <v/>
      </c>
      <c r="D3962" s="12" t="str">
        <f aca="false">IF($A3962="","",원본명단!$D3961)</f>
        <v/>
      </c>
      <c r="E3962" s="11" t="str">
        <f aca="false">IF($A3962="","",IF(원본명단!$H3961="",0,COUNTIF(원본명단!$H$3:$H$6002,원본명단!$H3961)))</f>
        <v/>
      </c>
      <c r="F3962" s="11" t="str">
        <f aca="false">IF($A3962="","",IF(원본명단!$I3961="",0,COUNTIF(원본명단!$I$3:$I$6002,원본명단!$I3961)))</f>
        <v/>
      </c>
      <c r="G3962" s="11" t="str">
        <f aca="false">IF($A3962="","",IF(원본명단!$K3961="",0,COUNTIF(원본명단!$K$3:$K$6002,원본명단!$K3961)))</f>
        <v/>
      </c>
      <c r="H3962" s="11" t="str">
        <f aca="false">IF($A3962="","",IF(MAX($E3962,$F3962,$G3962)&gt;1,"중복","-"))</f>
        <v/>
      </c>
      <c r="I3962" s="11" t="str">
        <f aca="false">IF($A3962="","",IF($H3962="-","-",IF(AND(IF(원본명단!$H3961="",TRUE(),COUNTIF(원본명단!$H$3:$H3961,원본명단!$H3961)=1),IF(원본명단!$I3961="",TRUE(),COUNTIF(원본명단!$I$3:$I3961,원본명단!$I3961)=1),IF(원본명단!$K3961="",TRUE(),COUNTIF(원본명단!$K$3:$K3961,원본명단!$K3961)=1)),"첫 건","중복 건")))</f>
        <v/>
      </c>
      <c r="J3962" s="11" t="str">
        <f aca="false">IF($A3962="","",IF($H3962="-","유지",IF($I3962="첫 건","유지","확인 필요")))</f>
        <v/>
      </c>
    </row>
    <row r="3963" customFormat="false" ht="15" hidden="false" customHeight="true" outlineLevel="0" collapsed="false">
      <c r="A3963" s="11" t="str">
        <f aca="false">IF(원본명단!$A3962="","",3960)</f>
        <v/>
      </c>
      <c r="B3963" s="12" t="str">
        <f aca="false">IF($A3963="","",원본명단!$A3962)</f>
        <v/>
      </c>
      <c r="C3963" s="12" t="str">
        <f aca="false">IF($A3963="","",원본명단!$B3962)</f>
        <v/>
      </c>
      <c r="D3963" s="12" t="str">
        <f aca="false">IF($A3963="","",원본명단!$D3962)</f>
        <v/>
      </c>
      <c r="E3963" s="11" t="str">
        <f aca="false">IF($A3963="","",IF(원본명단!$H3962="",0,COUNTIF(원본명단!$H$3:$H$6002,원본명단!$H3962)))</f>
        <v/>
      </c>
      <c r="F3963" s="11" t="str">
        <f aca="false">IF($A3963="","",IF(원본명단!$I3962="",0,COUNTIF(원본명단!$I$3:$I$6002,원본명단!$I3962)))</f>
        <v/>
      </c>
      <c r="G3963" s="11" t="str">
        <f aca="false">IF($A3963="","",IF(원본명단!$K3962="",0,COUNTIF(원본명단!$K$3:$K$6002,원본명단!$K3962)))</f>
        <v/>
      </c>
      <c r="H3963" s="11" t="str">
        <f aca="false">IF($A3963="","",IF(MAX($E3963,$F3963,$G3963)&gt;1,"중복","-"))</f>
        <v/>
      </c>
      <c r="I3963" s="11" t="str">
        <f aca="false">IF($A3963="","",IF($H3963="-","-",IF(AND(IF(원본명단!$H3962="",TRUE(),COUNTIF(원본명단!$H$3:$H3962,원본명단!$H3962)=1),IF(원본명단!$I3962="",TRUE(),COUNTIF(원본명단!$I$3:$I3962,원본명단!$I3962)=1),IF(원본명단!$K3962="",TRUE(),COUNTIF(원본명단!$K$3:$K3962,원본명단!$K3962)=1)),"첫 건","중복 건")))</f>
        <v/>
      </c>
      <c r="J3963" s="11" t="str">
        <f aca="false">IF($A3963="","",IF($H3963="-","유지",IF($I3963="첫 건","유지","확인 필요")))</f>
        <v/>
      </c>
    </row>
    <row r="3964" customFormat="false" ht="15" hidden="false" customHeight="true" outlineLevel="0" collapsed="false">
      <c r="A3964" s="11" t="str">
        <f aca="false">IF(원본명단!$A3963="","",3961)</f>
        <v/>
      </c>
      <c r="B3964" s="12" t="str">
        <f aca="false">IF($A3964="","",원본명단!$A3963)</f>
        <v/>
      </c>
      <c r="C3964" s="12" t="str">
        <f aca="false">IF($A3964="","",원본명단!$B3963)</f>
        <v/>
      </c>
      <c r="D3964" s="12" t="str">
        <f aca="false">IF($A3964="","",원본명단!$D3963)</f>
        <v/>
      </c>
      <c r="E3964" s="11" t="str">
        <f aca="false">IF($A3964="","",IF(원본명단!$H3963="",0,COUNTIF(원본명단!$H$3:$H$6002,원본명단!$H3963)))</f>
        <v/>
      </c>
      <c r="F3964" s="11" t="str">
        <f aca="false">IF($A3964="","",IF(원본명단!$I3963="",0,COUNTIF(원본명단!$I$3:$I$6002,원본명단!$I3963)))</f>
        <v/>
      </c>
      <c r="G3964" s="11" t="str">
        <f aca="false">IF($A3964="","",IF(원본명단!$K3963="",0,COUNTIF(원본명단!$K$3:$K$6002,원본명단!$K3963)))</f>
        <v/>
      </c>
      <c r="H3964" s="11" t="str">
        <f aca="false">IF($A3964="","",IF(MAX($E3964,$F3964,$G3964)&gt;1,"중복","-"))</f>
        <v/>
      </c>
      <c r="I3964" s="11" t="str">
        <f aca="false">IF($A3964="","",IF($H3964="-","-",IF(AND(IF(원본명단!$H3963="",TRUE(),COUNTIF(원본명단!$H$3:$H3963,원본명단!$H3963)=1),IF(원본명단!$I3963="",TRUE(),COUNTIF(원본명단!$I$3:$I3963,원본명단!$I3963)=1),IF(원본명단!$K3963="",TRUE(),COUNTIF(원본명단!$K$3:$K3963,원본명단!$K3963)=1)),"첫 건","중복 건")))</f>
        <v/>
      </c>
      <c r="J3964" s="11" t="str">
        <f aca="false">IF($A3964="","",IF($H3964="-","유지",IF($I3964="첫 건","유지","확인 필요")))</f>
        <v/>
      </c>
    </row>
    <row r="3965" customFormat="false" ht="15" hidden="false" customHeight="true" outlineLevel="0" collapsed="false">
      <c r="A3965" s="11" t="str">
        <f aca="false">IF(원본명단!$A3964="","",3962)</f>
        <v/>
      </c>
      <c r="B3965" s="12" t="str">
        <f aca="false">IF($A3965="","",원본명단!$A3964)</f>
        <v/>
      </c>
      <c r="C3965" s="12" t="str">
        <f aca="false">IF($A3965="","",원본명단!$B3964)</f>
        <v/>
      </c>
      <c r="D3965" s="12" t="str">
        <f aca="false">IF($A3965="","",원본명단!$D3964)</f>
        <v/>
      </c>
      <c r="E3965" s="11" t="str">
        <f aca="false">IF($A3965="","",IF(원본명단!$H3964="",0,COUNTIF(원본명단!$H$3:$H$6002,원본명단!$H3964)))</f>
        <v/>
      </c>
      <c r="F3965" s="11" t="str">
        <f aca="false">IF($A3965="","",IF(원본명단!$I3964="",0,COUNTIF(원본명단!$I$3:$I$6002,원본명단!$I3964)))</f>
        <v/>
      </c>
      <c r="G3965" s="11" t="str">
        <f aca="false">IF($A3965="","",IF(원본명단!$K3964="",0,COUNTIF(원본명단!$K$3:$K$6002,원본명단!$K3964)))</f>
        <v/>
      </c>
      <c r="H3965" s="11" t="str">
        <f aca="false">IF($A3965="","",IF(MAX($E3965,$F3965,$G3965)&gt;1,"중복","-"))</f>
        <v/>
      </c>
      <c r="I3965" s="11" t="str">
        <f aca="false">IF($A3965="","",IF($H3965="-","-",IF(AND(IF(원본명단!$H3964="",TRUE(),COUNTIF(원본명단!$H$3:$H3964,원본명단!$H3964)=1),IF(원본명단!$I3964="",TRUE(),COUNTIF(원본명단!$I$3:$I3964,원본명단!$I3964)=1),IF(원본명단!$K3964="",TRUE(),COUNTIF(원본명단!$K$3:$K3964,원본명단!$K3964)=1)),"첫 건","중복 건")))</f>
        <v/>
      </c>
      <c r="J3965" s="11" t="str">
        <f aca="false">IF($A3965="","",IF($H3965="-","유지",IF($I3965="첫 건","유지","확인 필요")))</f>
        <v/>
      </c>
    </row>
    <row r="3966" customFormat="false" ht="15" hidden="false" customHeight="true" outlineLevel="0" collapsed="false">
      <c r="A3966" s="11" t="str">
        <f aca="false">IF(원본명단!$A3965="","",3963)</f>
        <v/>
      </c>
      <c r="B3966" s="12" t="str">
        <f aca="false">IF($A3966="","",원본명단!$A3965)</f>
        <v/>
      </c>
      <c r="C3966" s="12" t="str">
        <f aca="false">IF($A3966="","",원본명단!$B3965)</f>
        <v/>
      </c>
      <c r="D3966" s="12" t="str">
        <f aca="false">IF($A3966="","",원본명단!$D3965)</f>
        <v/>
      </c>
      <c r="E3966" s="11" t="str">
        <f aca="false">IF($A3966="","",IF(원본명단!$H3965="",0,COUNTIF(원본명단!$H$3:$H$6002,원본명단!$H3965)))</f>
        <v/>
      </c>
      <c r="F3966" s="11" t="str">
        <f aca="false">IF($A3966="","",IF(원본명단!$I3965="",0,COUNTIF(원본명단!$I$3:$I$6002,원본명단!$I3965)))</f>
        <v/>
      </c>
      <c r="G3966" s="11" t="str">
        <f aca="false">IF($A3966="","",IF(원본명단!$K3965="",0,COUNTIF(원본명단!$K$3:$K$6002,원본명단!$K3965)))</f>
        <v/>
      </c>
      <c r="H3966" s="11" t="str">
        <f aca="false">IF($A3966="","",IF(MAX($E3966,$F3966,$G3966)&gt;1,"중복","-"))</f>
        <v/>
      </c>
      <c r="I3966" s="11" t="str">
        <f aca="false">IF($A3966="","",IF($H3966="-","-",IF(AND(IF(원본명단!$H3965="",TRUE(),COUNTIF(원본명단!$H$3:$H3965,원본명단!$H3965)=1),IF(원본명단!$I3965="",TRUE(),COUNTIF(원본명단!$I$3:$I3965,원본명단!$I3965)=1),IF(원본명단!$K3965="",TRUE(),COUNTIF(원본명단!$K$3:$K3965,원본명단!$K3965)=1)),"첫 건","중복 건")))</f>
        <v/>
      </c>
      <c r="J3966" s="11" t="str">
        <f aca="false">IF($A3966="","",IF($H3966="-","유지",IF($I3966="첫 건","유지","확인 필요")))</f>
        <v/>
      </c>
    </row>
    <row r="3967" customFormat="false" ht="15" hidden="false" customHeight="true" outlineLevel="0" collapsed="false">
      <c r="A3967" s="11" t="str">
        <f aca="false">IF(원본명단!$A3966="","",3964)</f>
        <v/>
      </c>
      <c r="B3967" s="12" t="str">
        <f aca="false">IF($A3967="","",원본명단!$A3966)</f>
        <v/>
      </c>
      <c r="C3967" s="12" t="str">
        <f aca="false">IF($A3967="","",원본명단!$B3966)</f>
        <v/>
      </c>
      <c r="D3967" s="12" t="str">
        <f aca="false">IF($A3967="","",원본명단!$D3966)</f>
        <v/>
      </c>
      <c r="E3967" s="11" t="str">
        <f aca="false">IF($A3967="","",IF(원본명단!$H3966="",0,COUNTIF(원본명단!$H$3:$H$6002,원본명단!$H3966)))</f>
        <v/>
      </c>
      <c r="F3967" s="11" t="str">
        <f aca="false">IF($A3967="","",IF(원본명단!$I3966="",0,COUNTIF(원본명단!$I$3:$I$6002,원본명단!$I3966)))</f>
        <v/>
      </c>
      <c r="G3967" s="11" t="str">
        <f aca="false">IF($A3967="","",IF(원본명단!$K3966="",0,COUNTIF(원본명단!$K$3:$K$6002,원본명단!$K3966)))</f>
        <v/>
      </c>
      <c r="H3967" s="11" t="str">
        <f aca="false">IF($A3967="","",IF(MAX($E3967,$F3967,$G3967)&gt;1,"중복","-"))</f>
        <v/>
      </c>
      <c r="I3967" s="11" t="str">
        <f aca="false">IF($A3967="","",IF($H3967="-","-",IF(AND(IF(원본명단!$H3966="",TRUE(),COUNTIF(원본명단!$H$3:$H3966,원본명단!$H3966)=1),IF(원본명단!$I3966="",TRUE(),COUNTIF(원본명단!$I$3:$I3966,원본명단!$I3966)=1),IF(원본명단!$K3966="",TRUE(),COUNTIF(원본명단!$K$3:$K3966,원본명단!$K3966)=1)),"첫 건","중복 건")))</f>
        <v/>
      </c>
      <c r="J3967" s="11" t="str">
        <f aca="false">IF($A3967="","",IF($H3967="-","유지",IF($I3967="첫 건","유지","확인 필요")))</f>
        <v/>
      </c>
    </row>
    <row r="3968" customFormat="false" ht="15" hidden="false" customHeight="true" outlineLevel="0" collapsed="false">
      <c r="A3968" s="11" t="str">
        <f aca="false">IF(원본명단!$A3967="","",3965)</f>
        <v/>
      </c>
      <c r="B3968" s="12" t="str">
        <f aca="false">IF($A3968="","",원본명단!$A3967)</f>
        <v/>
      </c>
      <c r="C3968" s="12" t="str">
        <f aca="false">IF($A3968="","",원본명단!$B3967)</f>
        <v/>
      </c>
      <c r="D3968" s="12" t="str">
        <f aca="false">IF($A3968="","",원본명단!$D3967)</f>
        <v/>
      </c>
      <c r="E3968" s="11" t="str">
        <f aca="false">IF($A3968="","",IF(원본명단!$H3967="",0,COUNTIF(원본명단!$H$3:$H$6002,원본명단!$H3967)))</f>
        <v/>
      </c>
      <c r="F3968" s="11" t="str">
        <f aca="false">IF($A3968="","",IF(원본명단!$I3967="",0,COUNTIF(원본명단!$I$3:$I$6002,원본명단!$I3967)))</f>
        <v/>
      </c>
      <c r="G3968" s="11" t="str">
        <f aca="false">IF($A3968="","",IF(원본명단!$K3967="",0,COUNTIF(원본명단!$K$3:$K$6002,원본명단!$K3967)))</f>
        <v/>
      </c>
      <c r="H3968" s="11" t="str">
        <f aca="false">IF($A3968="","",IF(MAX($E3968,$F3968,$G3968)&gt;1,"중복","-"))</f>
        <v/>
      </c>
      <c r="I3968" s="11" t="str">
        <f aca="false">IF($A3968="","",IF($H3968="-","-",IF(AND(IF(원본명단!$H3967="",TRUE(),COUNTIF(원본명단!$H$3:$H3967,원본명단!$H3967)=1),IF(원본명단!$I3967="",TRUE(),COUNTIF(원본명단!$I$3:$I3967,원본명단!$I3967)=1),IF(원본명단!$K3967="",TRUE(),COUNTIF(원본명단!$K$3:$K3967,원본명단!$K3967)=1)),"첫 건","중복 건")))</f>
        <v/>
      </c>
      <c r="J3968" s="11" t="str">
        <f aca="false">IF($A3968="","",IF($H3968="-","유지",IF($I3968="첫 건","유지","확인 필요")))</f>
        <v/>
      </c>
    </row>
    <row r="3969" customFormat="false" ht="15" hidden="false" customHeight="true" outlineLevel="0" collapsed="false">
      <c r="A3969" s="11" t="str">
        <f aca="false">IF(원본명단!$A3968="","",3966)</f>
        <v/>
      </c>
      <c r="B3969" s="12" t="str">
        <f aca="false">IF($A3969="","",원본명단!$A3968)</f>
        <v/>
      </c>
      <c r="C3969" s="12" t="str">
        <f aca="false">IF($A3969="","",원본명단!$B3968)</f>
        <v/>
      </c>
      <c r="D3969" s="12" t="str">
        <f aca="false">IF($A3969="","",원본명단!$D3968)</f>
        <v/>
      </c>
      <c r="E3969" s="11" t="str">
        <f aca="false">IF($A3969="","",IF(원본명단!$H3968="",0,COUNTIF(원본명단!$H$3:$H$6002,원본명단!$H3968)))</f>
        <v/>
      </c>
      <c r="F3969" s="11" t="str">
        <f aca="false">IF($A3969="","",IF(원본명단!$I3968="",0,COUNTIF(원본명단!$I$3:$I$6002,원본명단!$I3968)))</f>
        <v/>
      </c>
      <c r="G3969" s="11" t="str">
        <f aca="false">IF($A3969="","",IF(원본명단!$K3968="",0,COUNTIF(원본명단!$K$3:$K$6002,원본명단!$K3968)))</f>
        <v/>
      </c>
      <c r="H3969" s="11" t="str">
        <f aca="false">IF($A3969="","",IF(MAX($E3969,$F3969,$G3969)&gt;1,"중복","-"))</f>
        <v/>
      </c>
      <c r="I3969" s="11" t="str">
        <f aca="false">IF($A3969="","",IF($H3969="-","-",IF(AND(IF(원본명단!$H3968="",TRUE(),COUNTIF(원본명단!$H$3:$H3968,원본명단!$H3968)=1),IF(원본명단!$I3968="",TRUE(),COUNTIF(원본명단!$I$3:$I3968,원본명단!$I3968)=1),IF(원본명단!$K3968="",TRUE(),COUNTIF(원본명단!$K$3:$K3968,원본명단!$K3968)=1)),"첫 건","중복 건")))</f>
        <v/>
      </c>
      <c r="J3969" s="11" t="str">
        <f aca="false">IF($A3969="","",IF($H3969="-","유지",IF($I3969="첫 건","유지","확인 필요")))</f>
        <v/>
      </c>
    </row>
    <row r="3970" customFormat="false" ht="15" hidden="false" customHeight="true" outlineLevel="0" collapsed="false">
      <c r="A3970" s="11" t="str">
        <f aca="false">IF(원본명단!$A3969="","",3967)</f>
        <v/>
      </c>
      <c r="B3970" s="12" t="str">
        <f aca="false">IF($A3970="","",원본명단!$A3969)</f>
        <v/>
      </c>
      <c r="C3970" s="12" t="str">
        <f aca="false">IF($A3970="","",원본명단!$B3969)</f>
        <v/>
      </c>
      <c r="D3970" s="12" t="str">
        <f aca="false">IF($A3970="","",원본명단!$D3969)</f>
        <v/>
      </c>
      <c r="E3970" s="11" t="str">
        <f aca="false">IF($A3970="","",IF(원본명단!$H3969="",0,COUNTIF(원본명단!$H$3:$H$6002,원본명단!$H3969)))</f>
        <v/>
      </c>
      <c r="F3970" s="11" t="str">
        <f aca="false">IF($A3970="","",IF(원본명단!$I3969="",0,COUNTIF(원본명단!$I$3:$I$6002,원본명단!$I3969)))</f>
        <v/>
      </c>
      <c r="G3970" s="11" t="str">
        <f aca="false">IF($A3970="","",IF(원본명단!$K3969="",0,COUNTIF(원본명단!$K$3:$K$6002,원본명단!$K3969)))</f>
        <v/>
      </c>
      <c r="H3970" s="11" t="str">
        <f aca="false">IF($A3970="","",IF(MAX($E3970,$F3970,$G3970)&gt;1,"중복","-"))</f>
        <v/>
      </c>
      <c r="I3970" s="11" t="str">
        <f aca="false">IF($A3970="","",IF($H3970="-","-",IF(AND(IF(원본명단!$H3969="",TRUE(),COUNTIF(원본명단!$H$3:$H3969,원본명단!$H3969)=1),IF(원본명단!$I3969="",TRUE(),COUNTIF(원본명단!$I$3:$I3969,원본명단!$I3969)=1),IF(원본명단!$K3969="",TRUE(),COUNTIF(원본명단!$K$3:$K3969,원본명단!$K3969)=1)),"첫 건","중복 건")))</f>
        <v/>
      </c>
      <c r="J3970" s="11" t="str">
        <f aca="false">IF($A3970="","",IF($H3970="-","유지",IF($I3970="첫 건","유지","확인 필요")))</f>
        <v/>
      </c>
    </row>
    <row r="3971" customFormat="false" ht="15" hidden="false" customHeight="true" outlineLevel="0" collapsed="false">
      <c r="A3971" s="11" t="str">
        <f aca="false">IF(원본명단!$A3970="","",3968)</f>
        <v/>
      </c>
      <c r="B3971" s="12" t="str">
        <f aca="false">IF($A3971="","",원본명단!$A3970)</f>
        <v/>
      </c>
      <c r="C3971" s="12" t="str">
        <f aca="false">IF($A3971="","",원본명단!$B3970)</f>
        <v/>
      </c>
      <c r="D3971" s="12" t="str">
        <f aca="false">IF($A3971="","",원본명단!$D3970)</f>
        <v/>
      </c>
      <c r="E3971" s="11" t="str">
        <f aca="false">IF($A3971="","",IF(원본명단!$H3970="",0,COUNTIF(원본명단!$H$3:$H$6002,원본명단!$H3970)))</f>
        <v/>
      </c>
      <c r="F3971" s="11" t="str">
        <f aca="false">IF($A3971="","",IF(원본명단!$I3970="",0,COUNTIF(원본명단!$I$3:$I$6002,원본명단!$I3970)))</f>
        <v/>
      </c>
      <c r="G3971" s="11" t="str">
        <f aca="false">IF($A3971="","",IF(원본명단!$K3970="",0,COUNTIF(원본명단!$K$3:$K$6002,원본명단!$K3970)))</f>
        <v/>
      </c>
      <c r="H3971" s="11" t="str">
        <f aca="false">IF($A3971="","",IF(MAX($E3971,$F3971,$G3971)&gt;1,"중복","-"))</f>
        <v/>
      </c>
      <c r="I3971" s="11" t="str">
        <f aca="false">IF($A3971="","",IF($H3971="-","-",IF(AND(IF(원본명단!$H3970="",TRUE(),COUNTIF(원본명단!$H$3:$H3970,원본명단!$H3970)=1),IF(원본명단!$I3970="",TRUE(),COUNTIF(원본명단!$I$3:$I3970,원본명단!$I3970)=1),IF(원본명단!$K3970="",TRUE(),COUNTIF(원본명단!$K$3:$K3970,원본명단!$K3970)=1)),"첫 건","중복 건")))</f>
        <v/>
      </c>
      <c r="J3971" s="11" t="str">
        <f aca="false">IF($A3971="","",IF($H3971="-","유지",IF($I3971="첫 건","유지","확인 필요")))</f>
        <v/>
      </c>
    </row>
    <row r="3972" customFormat="false" ht="15" hidden="false" customHeight="true" outlineLevel="0" collapsed="false">
      <c r="A3972" s="11" t="str">
        <f aca="false">IF(원본명단!$A3971="","",3969)</f>
        <v/>
      </c>
      <c r="B3972" s="12" t="str">
        <f aca="false">IF($A3972="","",원본명단!$A3971)</f>
        <v/>
      </c>
      <c r="C3972" s="12" t="str">
        <f aca="false">IF($A3972="","",원본명단!$B3971)</f>
        <v/>
      </c>
      <c r="D3972" s="12" t="str">
        <f aca="false">IF($A3972="","",원본명단!$D3971)</f>
        <v/>
      </c>
      <c r="E3972" s="11" t="str">
        <f aca="false">IF($A3972="","",IF(원본명단!$H3971="",0,COUNTIF(원본명단!$H$3:$H$6002,원본명단!$H3971)))</f>
        <v/>
      </c>
      <c r="F3972" s="11" t="str">
        <f aca="false">IF($A3972="","",IF(원본명단!$I3971="",0,COUNTIF(원본명단!$I$3:$I$6002,원본명단!$I3971)))</f>
        <v/>
      </c>
      <c r="G3972" s="11" t="str">
        <f aca="false">IF($A3972="","",IF(원본명단!$K3971="",0,COUNTIF(원본명단!$K$3:$K$6002,원본명단!$K3971)))</f>
        <v/>
      </c>
      <c r="H3972" s="11" t="str">
        <f aca="false">IF($A3972="","",IF(MAX($E3972,$F3972,$G3972)&gt;1,"중복","-"))</f>
        <v/>
      </c>
      <c r="I3972" s="11" t="str">
        <f aca="false">IF($A3972="","",IF($H3972="-","-",IF(AND(IF(원본명단!$H3971="",TRUE(),COUNTIF(원본명단!$H$3:$H3971,원본명단!$H3971)=1),IF(원본명단!$I3971="",TRUE(),COUNTIF(원본명단!$I$3:$I3971,원본명단!$I3971)=1),IF(원본명단!$K3971="",TRUE(),COUNTIF(원본명단!$K$3:$K3971,원본명단!$K3971)=1)),"첫 건","중복 건")))</f>
        <v/>
      </c>
      <c r="J3972" s="11" t="str">
        <f aca="false">IF($A3972="","",IF($H3972="-","유지",IF($I3972="첫 건","유지","확인 필요")))</f>
        <v/>
      </c>
    </row>
    <row r="3973" customFormat="false" ht="15" hidden="false" customHeight="true" outlineLevel="0" collapsed="false">
      <c r="A3973" s="11" t="str">
        <f aca="false">IF(원본명단!$A3972="","",3970)</f>
        <v/>
      </c>
      <c r="B3973" s="12" t="str">
        <f aca="false">IF($A3973="","",원본명단!$A3972)</f>
        <v/>
      </c>
      <c r="C3973" s="12" t="str">
        <f aca="false">IF($A3973="","",원본명단!$B3972)</f>
        <v/>
      </c>
      <c r="D3973" s="12" t="str">
        <f aca="false">IF($A3973="","",원본명단!$D3972)</f>
        <v/>
      </c>
      <c r="E3973" s="11" t="str">
        <f aca="false">IF($A3973="","",IF(원본명단!$H3972="",0,COUNTIF(원본명단!$H$3:$H$6002,원본명단!$H3972)))</f>
        <v/>
      </c>
      <c r="F3973" s="11" t="str">
        <f aca="false">IF($A3973="","",IF(원본명단!$I3972="",0,COUNTIF(원본명단!$I$3:$I$6002,원본명단!$I3972)))</f>
        <v/>
      </c>
      <c r="G3973" s="11" t="str">
        <f aca="false">IF($A3973="","",IF(원본명단!$K3972="",0,COUNTIF(원본명단!$K$3:$K$6002,원본명단!$K3972)))</f>
        <v/>
      </c>
      <c r="H3973" s="11" t="str">
        <f aca="false">IF($A3973="","",IF(MAX($E3973,$F3973,$G3973)&gt;1,"중복","-"))</f>
        <v/>
      </c>
      <c r="I3973" s="11" t="str">
        <f aca="false">IF($A3973="","",IF($H3973="-","-",IF(AND(IF(원본명단!$H3972="",TRUE(),COUNTIF(원본명단!$H$3:$H3972,원본명단!$H3972)=1),IF(원본명단!$I3972="",TRUE(),COUNTIF(원본명단!$I$3:$I3972,원본명단!$I3972)=1),IF(원본명단!$K3972="",TRUE(),COUNTIF(원본명단!$K$3:$K3972,원본명단!$K3972)=1)),"첫 건","중복 건")))</f>
        <v/>
      </c>
      <c r="J3973" s="11" t="str">
        <f aca="false">IF($A3973="","",IF($H3973="-","유지",IF($I3973="첫 건","유지","확인 필요")))</f>
        <v/>
      </c>
    </row>
    <row r="3974" customFormat="false" ht="15" hidden="false" customHeight="true" outlineLevel="0" collapsed="false">
      <c r="A3974" s="11" t="str">
        <f aca="false">IF(원본명단!$A3973="","",3971)</f>
        <v/>
      </c>
      <c r="B3974" s="12" t="str">
        <f aca="false">IF($A3974="","",원본명단!$A3973)</f>
        <v/>
      </c>
      <c r="C3974" s="12" t="str">
        <f aca="false">IF($A3974="","",원본명단!$B3973)</f>
        <v/>
      </c>
      <c r="D3974" s="12" t="str">
        <f aca="false">IF($A3974="","",원본명단!$D3973)</f>
        <v/>
      </c>
      <c r="E3974" s="11" t="str">
        <f aca="false">IF($A3974="","",IF(원본명단!$H3973="",0,COUNTIF(원본명단!$H$3:$H$6002,원본명단!$H3973)))</f>
        <v/>
      </c>
      <c r="F3974" s="11" t="str">
        <f aca="false">IF($A3974="","",IF(원본명단!$I3973="",0,COUNTIF(원본명단!$I$3:$I$6002,원본명단!$I3973)))</f>
        <v/>
      </c>
      <c r="G3974" s="11" t="str">
        <f aca="false">IF($A3974="","",IF(원본명단!$K3973="",0,COUNTIF(원본명단!$K$3:$K$6002,원본명단!$K3973)))</f>
        <v/>
      </c>
      <c r="H3974" s="11" t="str">
        <f aca="false">IF($A3974="","",IF(MAX($E3974,$F3974,$G3974)&gt;1,"중복","-"))</f>
        <v/>
      </c>
      <c r="I3974" s="11" t="str">
        <f aca="false">IF($A3974="","",IF($H3974="-","-",IF(AND(IF(원본명단!$H3973="",TRUE(),COUNTIF(원본명단!$H$3:$H3973,원본명단!$H3973)=1),IF(원본명단!$I3973="",TRUE(),COUNTIF(원본명단!$I$3:$I3973,원본명단!$I3973)=1),IF(원본명단!$K3973="",TRUE(),COUNTIF(원본명단!$K$3:$K3973,원본명단!$K3973)=1)),"첫 건","중복 건")))</f>
        <v/>
      </c>
      <c r="J3974" s="11" t="str">
        <f aca="false">IF($A3974="","",IF($H3974="-","유지",IF($I3974="첫 건","유지","확인 필요")))</f>
        <v/>
      </c>
    </row>
    <row r="3975" customFormat="false" ht="15" hidden="false" customHeight="true" outlineLevel="0" collapsed="false">
      <c r="A3975" s="11" t="str">
        <f aca="false">IF(원본명단!$A3974="","",3972)</f>
        <v/>
      </c>
      <c r="B3975" s="12" t="str">
        <f aca="false">IF($A3975="","",원본명단!$A3974)</f>
        <v/>
      </c>
      <c r="C3975" s="12" t="str">
        <f aca="false">IF($A3975="","",원본명단!$B3974)</f>
        <v/>
      </c>
      <c r="D3975" s="12" t="str">
        <f aca="false">IF($A3975="","",원본명단!$D3974)</f>
        <v/>
      </c>
      <c r="E3975" s="11" t="str">
        <f aca="false">IF($A3975="","",IF(원본명단!$H3974="",0,COUNTIF(원본명단!$H$3:$H$6002,원본명단!$H3974)))</f>
        <v/>
      </c>
      <c r="F3975" s="11" t="str">
        <f aca="false">IF($A3975="","",IF(원본명단!$I3974="",0,COUNTIF(원본명단!$I$3:$I$6002,원본명단!$I3974)))</f>
        <v/>
      </c>
      <c r="G3975" s="11" t="str">
        <f aca="false">IF($A3975="","",IF(원본명단!$K3974="",0,COUNTIF(원본명단!$K$3:$K$6002,원본명단!$K3974)))</f>
        <v/>
      </c>
      <c r="H3975" s="11" t="str">
        <f aca="false">IF($A3975="","",IF(MAX($E3975,$F3975,$G3975)&gt;1,"중복","-"))</f>
        <v/>
      </c>
      <c r="I3975" s="11" t="str">
        <f aca="false">IF($A3975="","",IF($H3975="-","-",IF(AND(IF(원본명단!$H3974="",TRUE(),COUNTIF(원본명단!$H$3:$H3974,원본명단!$H3974)=1),IF(원본명단!$I3974="",TRUE(),COUNTIF(원본명단!$I$3:$I3974,원본명단!$I3974)=1),IF(원본명단!$K3974="",TRUE(),COUNTIF(원본명단!$K$3:$K3974,원본명단!$K3974)=1)),"첫 건","중복 건")))</f>
        <v/>
      </c>
      <c r="J3975" s="11" t="str">
        <f aca="false">IF($A3975="","",IF($H3975="-","유지",IF($I3975="첫 건","유지","확인 필요")))</f>
        <v/>
      </c>
    </row>
    <row r="3976" customFormat="false" ht="15" hidden="false" customHeight="true" outlineLevel="0" collapsed="false">
      <c r="A3976" s="11" t="str">
        <f aca="false">IF(원본명단!$A3975="","",3973)</f>
        <v/>
      </c>
      <c r="B3976" s="12" t="str">
        <f aca="false">IF($A3976="","",원본명단!$A3975)</f>
        <v/>
      </c>
      <c r="C3976" s="12" t="str">
        <f aca="false">IF($A3976="","",원본명단!$B3975)</f>
        <v/>
      </c>
      <c r="D3976" s="12" t="str">
        <f aca="false">IF($A3976="","",원본명단!$D3975)</f>
        <v/>
      </c>
      <c r="E3976" s="11" t="str">
        <f aca="false">IF($A3976="","",IF(원본명단!$H3975="",0,COUNTIF(원본명단!$H$3:$H$6002,원본명단!$H3975)))</f>
        <v/>
      </c>
      <c r="F3976" s="11" t="str">
        <f aca="false">IF($A3976="","",IF(원본명단!$I3975="",0,COUNTIF(원본명단!$I$3:$I$6002,원본명단!$I3975)))</f>
        <v/>
      </c>
      <c r="G3976" s="11" t="str">
        <f aca="false">IF($A3976="","",IF(원본명단!$K3975="",0,COUNTIF(원본명단!$K$3:$K$6002,원본명단!$K3975)))</f>
        <v/>
      </c>
      <c r="H3976" s="11" t="str">
        <f aca="false">IF($A3976="","",IF(MAX($E3976,$F3976,$G3976)&gt;1,"중복","-"))</f>
        <v/>
      </c>
      <c r="I3976" s="11" t="str">
        <f aca="false">IF($A3976="","",IF($H3976="-","-",IF(AND(IF(원본명단!$H3975="",TRUE(),COUNTIF(원본명단!$H$3:$H3975,원본명단!$H3975)=1),IF(원본명단!$I3975="",TRUE(),COUNTIF(원본명단!$I$3:$I3975,원본명단!$I3975)=1),IF(원본명단!$K3975="",TRUE(),COUNTIF(원본명단!$K$3:$K3975,원본명단!$K3975)=1)),"첫 건","중복 건")))</f>
        <v/>
      </c>
      <c r="J3976" s="11" t="str">
        <f aca="false">IF($A3976="","",IF($H3976="-","유지",IF($I3976="첫 건","유지","확인 필요")))</f>
        <v/>
      </c>
    </row>
    <row r="3977" customFormat="false" ht="15" hidden="false" customHeight="true" outlineLevel="0" collapsed="false">
      <c r="A3977" s="11" t="str">
        <f aca="false">IF(원본명단!$A3976="","",3974)</f>
        <v/>
      </c>
      <c r="B3977" s="12" t="str">
        <f aca="false">IF($A3977="","",원본명단!$A3976)</f>
        <v/>
      </c>
      <c r="C3977" s="12" t="str">
        <f aca="false">IF($A3977="","",원본명단!$B3976)</f>
        <v/>
      </c>
      <c r="D3977" s="12" t="str">
        <f aca="false">IF($A3977="","",원본명단!$D3976)</f>
        <v/>
      </c>
      <c r="E3977" s="11" t="str">
        <f aca="false">IF($A3977="","",IF(원본명단!$H3976="",0,COUNTIF(원본명단!$H$3:$H$6002,원본명단!$H3976)))</f>
        <v/>
      </c>
      <c r="F3977" s="11" t="str">
        <f aca="false">IF($A3977="","",IF(원본명단!$I3976="",0,COUNTIF(원본명단!$I$3:$I$6002,원본명단!$I3976)))</f>
        <v/>
      </c>
      <c r="G3977" s="11" t="str">
        <f aca="false">IF($A3977="","",IF(원본명단!$K3976="",0,COUNTIF(원본명단!$K$3:$K$6002,원본명단!$K3976)))</f>
        <v/>
      </c>
      <c r="H3977" s="11" t="str">
        <f aca="false">IF($A3977="","",IF(MAX($E3977,$F3977,$G3977)&gt;1,"중복","-"))</f>
        <v/>
      </c>
      <c r="I3977" s="11" t="str">
        <f aca="false">IF($A3977="","",IF($H3977="-","-",IF(AND(IF(원본명단!$H3976="",TRUE(),COUNTIF(원본명단!$H$3:$H3976,원본명단!$H3976)=1),IF(원본명단!$I3976="",TRUE(),COUNTIF(원본명단!$I$3:$I3976,원본명단!$I3976)=1),IF(원본명단!$K3976="",TRUE(),COUNTIF(원본명단!$K$3:$K3976,원본명단!$K3976)=1)),"첫 건","중복 건")))</f>
        <v/>
      </c>
      <c r="J3977" s="11" t="str">
        <f aca="false">IF($A3977="","",IF($H3977="-","유지",IF($I3977="첫 건","유지","확인 필요")))</f>
        <v/>
      </c>
    </row>
    <row r="3978" customFormat="false" ht="15" hidden="false" customHeight="true" outlineLevel="0" collapsed="false">
      <c r="A3978" s="11" t="str">
        <f aca="false">IF(원본명단!$A3977="","",3975)</f>
        <v/>
      </c>
      <c r="B3978" s="12" t="str">
        <f aca="false">IF($A3978="","",원본명단!$A3977)</f>
        <v/>
      </c>
      <c r="C3978" s="12" t="str">
        <f aca="false">IF($A3978="","",원본명단!$B3977)</f>
        <v/>
      </c>
      <c r="D3978" s="12" t="str">
        <f aca="false">IF($A3978="","",원본명단!$D3977)</f>
        <v/>
      </c>
      <c r="E3978" s="11" t="str">
        <f aca="false">IF($A3978="","",IF(원본명단!$H3977="",0,COUNTIF(원본명단!$H$3:$H$6002,원본명단!$H3977)))</f>
        <v/>
      </c>
      <c r="F3978" s="11" t="str">
        <f aca="false">IF($A3978="","",IF(원본명단!$I3977="",0,COUNTIF(원본명단!$I$3:$I$6002,원본명단!$I3977)))</f>
        <v/>
      </c>
      <c r="G3978" s="11" t="str">
        <f aca="false">IF($A3978="","",IF(원본명단!$K3977="",0,COUNTIF(원본명단!$K$3:$K$6002,원본명단!$K3977)))</f>
        <v/>
      </c>
      <c r="H3978" s="11" t="str">
        <f aca="false">IF($A3978="","",IF(MAX($E3978,$F3978,$G3978)&gt;1,"중복","-"))</f>
        <v/>
      </c>
      <c r="I3978" s="11" t="str">
        <f aca="false">IF($A3978="","",IF($H3978="-","-",IF(AND(IF(원본명단!$H3977="",TRUE(),COUNTIF(원본명단!$H$3:$H3977,원본명단!$H3977)=1),IF(원본명단!$I3977="",TRUE(),COUNTIF(원본명단!$I$3:$I3977,원본명단!$I3977)=1),IF(원본명단!$K3977="",TRUE(),COUNTIF(원본명단!$K$3:$K3977,원본명단!$K3977)=1)),"첫 건","중복 건")))</f>
        <v/>
      </c>
      <c r="J3978" s="11" t="str">
        <f aca="false">IF($A3978="","",IF($H3978="-","유지",IF($I3978="첫 건","유지","확인 필요")))</f>
        <v/>
      </c>
    </row>
    <row r="3979" customFormat="false" ht="15" hidden="false" customHeight="true" outlineLevel="0" collapsed="false">
      <c r="A3979" s="11" t="str">
        <f aca="false">IF(원본명단!$A3978="","",3976)</f>
        <v/>
      </c>
      <c r="B3979" s="12" t="str">
        <f aca="false">IF($A3979="","",원본명단!$A3978)</f>
        <v/>
      </c>
      <c r="C3979" s="12" t="str">
        <f aca="false">IF($A3979="","",원본명단!$B3978)</f>
        <v/>
      </c>
      <c r="D3979" s="12" t="str">
        <f aca="false">IF($A3979="","",원본명단!$D3978)</f>
        <v/>
      </c>
      <c r="E3979" s="11" t="str">
        <f aca="false">IF($A3979="","",IF(원본명단!$H3978="",0,COUNTIF(원본명단!$H$3:$H$6002,원본명단!$H3978)))</f>
        <v/>
      </c>
      <c r="F3979" s="11" t="str">
        <f aca="false">IF($A3979="","",IF(원본명단!$I3978="",0,COUNTIF(원본명단!$I$3:$I$6002,원본명단!$I3978)))</f>
        <v/>
      </c>
      <c r="G3979" s="11" t="str">
        <f aca="false">IF($A3979="","",IF(원본명단!$K3978="",0,COUNTIF(원본명단!$K$3:$K$6002,원본명단!$K3978)))</f>
        <v/>
      </c>
      <c r="H3979" s="11" t="str">
        <f aca="false">IF($A3979="","",IF(MAX($E3979,$F3979,$G3979)&gt;1,"중복","-"))</f>
        <v/>
      </c>
      <c r="I3979" s="11" t="str">
        <f aca="false">IF($A3979="","",IF($H3979="-","-",IF(AND(IF(원본명단!$H3978="",TRUE(),COUNTIF(원본명단!$H$3:$H3978,원본명단!$H3978)=1),IF(원본명단!$I3978="",TRUE(),COUNTIF(원본명단!$I$3:$I3978,원본명단!$I3978)=1),IF(원본명단!$K3978="",TRUE(),COUNTIF(원본명단!$K$3:$K3978,원본명단!$K3978)=1)),"첫 건","중복 건")))</f>
        <v/>
      </c>
      <c r="J3979" s="11" t="str">
        <f aca="false">IF($A3979="","",IF($H3979="-","유지",IF($I3979="첫 건","유지","확인 필요")))</f>
        <v/>
      </c>
    </row>
    <row r="3980" customFormat="false" ht="15" hidden="false" customHeight="true" outlineLevel="0" collapsed="false">
      <c r="A3980" s="11" t="str">
        <f aca="false">IF(원본명단!$A3979="","",3977)</f>
        <v/>
      </c>
      <c r="B3980" s="12" t="str">
        <f aca="false">IF($A3980="","",원본명단!$A3979)</f>
        <v/>
      </c>
      <c r="C3980" s="12" t="str">
        <f aca="false">IF($A3980="","",원본명단!$B3979)</f>
        <v/>
      </c>
      <c r="D3980" s="12" t="str">
        <f aca="false">IF($A3980="","",원본명단!$D3979)</f>
        <v/>
      </c>
      <c r="E3980" s="11" t="str">
        <f aca="false">IF($A3980="","",IF(원본명단!$H3979="",0,COUNTIF(원본명단!$H$3:$H$6002,원본명단!$H3979)))</f>
        <v/>
      </c>
      <c r="F3980" s="11" t="str">
        <f aca="false">IF($A3980="","",IF(원본명단!$I3979="",0,COUNTIF(원본명단!$I$3:$I$6002,원본명단!$I3979)))</f>
        <v/>
      </c>
      <c r="G3980" s="11" t="str">
        <f aca="false">IF($A3980="","",IF(원본명단!$K3979="",0,COUNTIF(원본명단!$K$3:$K$6002,원본명단!$K3979)))</f>
        <v/>
      </c>
      <c r="H3980" s="11" t="str">
        <f aca="false">IF($A3980="","",IF(MAX($E3980,$F3980,$G3980)&gt;1,"중복","-"))</f>
        <v/>
      </c>
      <c r="I3980" s="11" t="str">
        <f aca="false">IF($A3980="","",IF($H3980="-","-",IF(AND(IF(원본명단!$H3979="",TRUE(),COUNTIF(원본명단!$H$3:$H3979,원본명단!$H3979)=1),IF(원본명단!$I3979="",TRUE(),COUNTIF(원본명단!$I$3:$I3979,원본명단!$I3979)=1),IF(원본명단!$K3979="",TRUE(),COUNTIF(원본명단!$K$3:$K3979,원본명단!$K3979)=1)),"첫 건","중복 건")))</f>
        <v/>
      </c>
      <c r="J3980" s="11" t="str">
        <f aca="false">IF($A3980="","",IF($H3980="-","유지",IF($I3980="첫 건","유지","확인 필요")))</f>
        <v/>
      </c>
    </row>
    <row r="3981" customFormat="false" ht="15" hidden="false" customHeight="true" outlineLevel="0" collapsed="false">
      <c r="A3981" s="11" t="str">
        <f aca="false">IF(원본명단!$A3980="","",3978)</f>
        <v/>
      </c>
      <c r="B3981" s="12" t="str">
        <f aca="false">IF($A3981="","",원본명단!$A3980)</f>
        <v/>
      </c>
      <c r="C3981" s="12" t="str">
        <f aca="false">IF($A3981="","",원본명단!$B3980)</f>
        <v/>
      </c>
      <c r="D3981" s="12" t="str">
        <f aca="false">IF($A3981="","",원본명단!$D3980)</f>
        <v/>
      </c>
      <c r="E3981" s="11" t="str">
        <f aca="false">IF($A3981="","",IF(원본명단!$H3980="",0,COUNTIF(원본명단!$H$3:$H$6002,원본명단!$H3980)))</f>
        <v/>
      </c>
      <c r="F3981" s="11" t="str">
        <f aca="false">IF($A3981="","",IF(원본명단!$I3980="",0,COUNTIF(원본명단!$I$3:$I$6002,원본명단!$I3980)))</f>
        <v/>
      </c>
      <c r="G3981" s="11" t="str">
        <f aca="false">IF($A3981="","",IF(원본명단!$K3980="",0,COUNTIF(원본명단!$K$3:$K$6002,원본명단!$K3980)))</f>
        <v/>
      </c>
      <c r="H3981" s="11" t="str">
        <f aca="false">IF($A3981="","",IF(MAX($E3981,$F3981,$G3981)&gt;1,"중복","-"))</f>
        <v/>
      </c>
      <c r="I3981" s="11" t="str">
        <f aca="false">IF($A3981="","",IF($H3981="-","-",IF(AND(IF(원본명단!$H3980="",TRUE(),COUNTIF(원본명단!$H$3:$H3980,원본명단!$H3980)=1),IF(원본명단!$I3980="",TRUE(),COUNTIF(원본명단!$I$3:$I3980,원본명단!$I3980)=1),IF(원본명단!$K3980="",TRUE(),COUNTIF(원본명단!$K$3:$K3980,원본명단!$K3980)=1)),"첫 건","중복 건")))</f>
        <v/>
      </c>
      <c r="J3981" s="11" t="str">
        <f aca="false">IF($A3981="","",IF($H3981="-","유지",IF($I3981="첫 건","유지","확인 필요")))</f>
        <v/>
      </c>
    </row>
    <row r="3982" customFormat="false" ht="15" hidden="false" customHeight="true" outlineLevel="0" collapsed="false">
      <c r="A3982" s="11" t="str">
        <f aca="false">IF(원본명단!$A3981="","",3979)</f>
        <v/>
      </c>
      <c r="B3982" s="12" t="str">
        <f aca="false">IF($A3982="","",원본명단!$A3981)</f>
        <v/>
      </c>
      <c r="C3982" s="12" t="str">
        <f aca="false">IF($A3982="","",원본명단!$B3981)</f>
        <v/>
      </c>
      <c r="D3982" s="12" t="str">
        <f aca="false">IF($A3982="","",원본명단!$D3981)</f>
        <v/>
      </c>
      <c r="E3982" s="11" t="str">
        <f aca="false">IF($A3982="","",IF(원본명단!$H3981="",0,COUNTIF(원본명단!$H$3:$H$6002,원본명단!$H3981)))</f>
        <v/>
      </c>
      <c r="F3982" s="11" t="str">
        <f aca="false">IF($A3982="","",IF(원본명단!$I3981="",0,COUNTIF(원본명단!$I$3:$I$6002,원본명단!$I3981)))</f>
        <v/>
      </c>
      <c r="G3982" s="11" t="str">
        <f aca="false">IF($A3982="","",IF(원본명단!$K3981="",0,COUNTIF(원본명단!$K$3:$K$6002,원본명단!$K3981)))</f>
        <v/>
      </c>
      <c r="H3982" s="11" t="str">
        <f aca="false">IF($A3982="","",IF(MAX($E3982,$F3982,$G3982)&gt;1,"중복","-"))</f>
        <v/>
      </c>
      <c r="I3982" s="11" t="str">
        <f aca="false">IF($A3982="","",IF($H3982="-","-",IF(AND(IF(원본명단!$H3981="",TRUE(),COUNTIF(원본명단!$H$3:$H3981,원본명단!$H3981)=1),IF(원본명단!$I3981="",TRUE(),COUNTIF(원본명단!$I$3:$I3981,원본명단!$I3981)=1),IF(원본명단!$K3981="",TRUE(),COUNTIF(원본명단!$K$3:$K3981,원본명단!$K3981)=1)),"첫 건","중복 건")))</f>
        <v/>
      </c>
      <c r="J3982" s="11" t="str">
        <f aca="false">IF($A3982="","",IF($H3982="-","유지",IF($I3982="첫 건","유지","확인 필요")))</f>
        <v/>
      </c>
    </row>
    <row r="3983" customFormat="false" ht="15" hidden="false" customHeight="true" outlineLevel="0" collapsed="false">
      <c r="A3983" s="11" t="str">
        <f aca="false">IF(원본명단!$A3982="","",3980)</f>
        <v/>
      </c>
      <c r="B3983" s="12" t="str">
        <f aca="false">IF($A3983="","",원본명단!$A3982)</f>
        <v/>
      </c>
      <c r="C3983" s="12" t="str">
        <f aca="false">IF($A3983="","",원본명단!$B3982)</f>
        <v/>
      </c>
      <c r="D3983" s="12" t="str">
        <f aca="false">IF($A3983="","",원본명단!$D3982)</f>
        <v/>
      </c>
      <c r="E3983" s="11" t="str">
        <f aca="false">IF($A3983="","",IF(원본명단!$H3982="",0,COUNTIF(원본명단!$H$3:$H$6002,원본명단!$H3982)))</f>
        <v/>
      </c>
      <c r="F3983" s="11" t="str">
        <f aca="false">IF($A3983="","",IF(원본명단!$I3982="",0,COUNTIF(원본명단!$I$3:$I$6002,원본명단!$I3982)))</f>
        <v/>
      </c>
      <c r="G3983" s="11" t="str">
        <f aca="false">IF($A3983="","",IF(원본명단!$K3982="",0,COUNTIF(원본명단!$K$3:$K$6002,원본명단!$K3982)))</f>
        <v/>
      </c>
      <c r="H3983" s="11" t="str">
        <f aca="false">IF($A3983="","",IF(MAX($E3983,$F3983,$G3983)&gt;1,"중복","-"))</f>
        <v/>
      </c>
      <c r="I3983" s="11" t="str">
        <f aca="false">IF($A3983="","",IF($H3983="-","-",IF(AND(IF(원본명단!$H3982="",TRUE(),COUNTIF(원본명단!$H$3:$H3982,원본명단!$H3982)=1),IF(원본명단!$I3982="",TRUE(),COUNTIF(원본명단!$I$3:$I3982,원본명단!$I3982)=1),IF(원본명단!$K3982="",TRUE(),COUNTIF(원본명단!$K$3:$K3982,원본명단!$K3982)=1)),"첫 건","중복 건")))</f>
        <v/>
      </c>
      <c r="J3983" s="11" t="str">
        <f aca="false">IF($A3983="","",IF($H3983="-","유지",IF($I3983="첫 건","유지","확인 필요")))</f>
        <v/>
      </c>
    </row>
    <row r="3984" customFormat="false" ht="15" hidden="false" customHeight="true" outlineLevel="0" collapsed="false">
      <c r="A3984" s="11" t="str">
        <f aca="false">IF(원본명단!$A3983="","",3981)</f>
        <v/>
      </c>
      <c r="B3984" s="12" t="str">
        <f aca="false">IF($A3984="","",원본명단!$A3983)</f>
        <v/>
      </c>
      <c r="C3984" s="12" t="str">
        <f aca="false">IF($A3984="","",원본명단!$B3983)</f>
        <v/>
      </c>
      <c r="D3984" s="12" t="str">
        <f aca="false">IF($A3984="","",원본명단!$D3983)</f>
        <v/>
      </c>
      <c r="E3984" s="11" t="str">
        <f aca="false">IF($A3984="","",IF(원본명단!$H3983="",0,COUNTIF(원본명단!$H$3:$H$6002,원본명단!$H3983)))</f>
        <v/>
      </c>
      <c r="F3984" s="11" t="str">
        <f aca="false">IF($A3984="","",IF(원본명단!$I3983="",0,COUNTIF(원본명단!$I$3:$I$6002,원본명단!$I3983)))</f>
        <v/>
      </c>
      <c r="G3984" s="11" t="str">
        <f aca="false">IF($A3984="","",IF(원본명단!$K3983="",0,COUNTIF(원본명단!$K$3:$K$6002,원본명단!$K3983)))</f>
        <v/>
      </c>
      <c r="H3984" s="11" t="str">
        <f aca="false">IF($A3984="","",IF(MAX($E3984,$F3984,$G3984)&gt;1,"중복","-"))</f>
        <v/>
      </c>
      <c r="I3984" s="11" t="str">
        <f aca="false">IF($A3984="","",IF($H3984="-","-",IF(AND(IF(원본명단!$H3983="",TRUE(),COUNTIF(원본명단!$H$3:$H3983,원본명단!$H3983)=1),IF(원본명단!$I3983="",TRUE(),COUNTIF(원본명단!$I$3:$I3983,원본명단!$I3983)=1),IF(원본명단!$K3983="",TRUE(),COUNTIF(원본명단!$K$3:$K3983,원본명단!$K3983)=1)),"첫 건","중복 건")))</f>
        <v/>
      </c>
      <c r="J3984" s="11" t="str">
        <f aca="false">IF($A3984="","",IF($H3984="-","유지",IF($I3984="첫 건","유지","확인 필요")))</f>
        <v/>
      </c>
    </row>
    <row r="3985" customFormat="false" ht="15" hidden="false" customHeight="true" outlineLevel="0" collapsed="false">
      <c r="A3985" s="11" t="str">
        <f aca="false">IF(원본명단!$A3984="","",3982)</f>
        <v/>
      </c>
      <c r="B3985" s="12" t="str">
        <f aca="false">IF($A3985="","",원본명단!$A3984)</f>
        <v/>
      </c>
      <c r="C3985" s="12" t="str">
        <f aca="false">IF($A3985="","",원본명단!$B3984)</f>
        <v/>
      </c>
      <c r="D3985" s="12" t="str">
        <f aca="false">IF($A3985="","",원본명단!$D3984)</f>
        <v/>
      </c>
      <c r="E3985" s="11" t="str">
        <f aca="false">IF($A3985="","",IF(원본명단!$H3984="",0,COUNTIF(원본명단!$H$3:$H$6002,원본명단!$H3984)))</f>
        <v/>
      </c>
      <c r="F3985" s="11" t="str">
        <f aca="false">IF($A3985="","",IF(원본명단!$I3984="",0,COUNTIF(원본명단!$I$3:$I$6002,원본명단!$I3984)))</f>
        <v/>
      </c>
      <c r="G3985" s="11" t="str">
        <f aca="false">IF($A3985="","",IF(원본명단!$K3984="",0,COUNTIF(원본명단!$K$3:$K$6002,원본명단!$K3984)))</f>
        <v/>
      </c>
      <c r="H3985" s="11" t="str">
        <f aca="false">IF($A3985="","",IF(MAX($E3985,$F3985,$G3985)&gt;1,"중복","-"))</f>
        <v/>
      </c>
      <c r="I3985" s="11" t="str">
        <f aca="false">IF($A3985="","",IF($H3985="-","-",IF(AND(IF(원본명단!$H3984="",TRUE(),COUNTIF(원본명단!$H$3:$H3984,원본명단!$H3984)=1),IF(원본명단!$I3984="",TRUE(),COUNTIF(원본명단!$I$3:$I3984,원본명단!$I3984)=1),IF(원본명단!$K3984="",TRUE(),COUNTIF(원본명단!$K$3:$K3984,원본명단!$K3984)=1)),"첫 건","중복 건")))</f>
        <v/>
      </c>
      <c r="J3985" s="11" t="str">
        <f aca="false">IF($A3985="","",IF($H3985="-","유지",IF($I3985="첫 건","유지","확인 필요")))</f>
        <v/>
      </c>
    </row>
    <row r="3986" customFormat="false" ht="15" hidden="false" customHeight="true" outlineLevel="0" collapsed="false">
      <c r="A3986" s="11" t="str">
        <f aca="false">IF(원본명단!$A3985="","",3983)</f>
        <v/>
      </c>
      <c r="B3986" s="12" t="str">
        <f aca="false">IF($A3986="","",원본명단!$A3985)</f>
        <v/>
      </c>
      <c r="C3986" s="12" t="str">
        <f aca="false">IF($A3986="","",원본명단!$B3985)</f>
        <v/>
      </c>
      <c r="D3986" s="12" t="str">
        <f aca="false">IF($A3986="","",원본명단!$D3985)</f>
        <v/>
      </c>
      <c r="E3986" s="11" t="str">
        <f aca="false">IF($A3986="","",IF(원본명단!$H3985="",0,COUNTIF(원본명단!$H$3:$H$6002,원본명단!$H3985)))</f>
        <v/>
      </c>
      <c r="F3986" s="11" t="str">
        <f aca="false">IF($A3986="","",IF(원본명단!$I3985="",0,COUNTIF(원본명단!$I$3:$I$6002,원본명단!$I3985)))</f>
        <v/>
      </c>
      <c r="G3986" s="11" t="str">
        <f aca="false">IF($A3986="","",IF(원본명단!$K3985="",0,COUNTIF(원본명단!$K$3:$K$6002,원본명단!$K3985)))</f>
        <v/>
      </c>
      <c r="H3986" s="11" t="str">
        <f aca="false">IF($A3986="","",IF(MAX($E3986,$F3986,$G3986)&gt;1,"중복","-"))</f>
        <v/>
      </c>
      <c r="I3986" s="11" t="str">
        <f aca="false">IF($A3986="","",IF($H3986="-","-",IF(AND(IF(원본명단!$H3985="",TRUE(),COUNTIF(원본명단!$H$3:$H3985,원본명단!$H3985)=1),IF(원본명단!$I3985="",TRUE(),COUNTIF(원본명단!$I$3:$I3985,원본명단!$I3985)=1),IF(원본명단!$K3985="",TRUE(),COUNTIF(원본명단!$K$3:$K3985,원본명단!$K3985)=1)),"첫 건","중복 건")))</f>
        <v/>
      </c>
      <c r="J3986" s="11" t="str">
        <f aca="false">IF($A3986="","",IF($H3986="-","유지",IF($I3986="첫 건","유지","확인 필요")))</f>
        <v/>
      </c>
    </row>
    <row r="3987" customFormat="false" ht="15" hidden="false" customHeight="true" outlineLevel="0" collapsed="false">
      <c r="A3987" s="11" t="str">
        <f aca="false">IF(원본명단!$A3986="","",3984)</f>
        <v/>
      </c>
      <c r="B3987" s="12" t="str">
        <f aca="false">IF($A3987="","",원본명단!$A3986)</f>
        <v/>
      </c>
      <c r="C3987" s="12" t="str">
        <f aca="false">IF($A3987="","",원본명단!$B3986)</f>
        <v/>
      </c>
      <c r="D3987" s="12" t="str">
        <f aca="false">IF($A3987="","",원본명단!$D3986)</f>
        <v/>
      </c>
      <c r="E3987" s="11" t="str">
        <f aca="false">IF($A3987="","",IF(원본명단!$H3986="",0,COUNTIF(원본명단!$H$3:$H$6002,원본명단!$H3986)))</f>
        <v/>
      </c>
      <c r="F3987" s="11" t="str">
        <f aca="false">IF($A3987="","",IF(원본명단!$I3986="",0,COUNTIF(원본명단!$I$3:$I$6002,원본명단!$I3986)))</f>
        <v/>
      </c>
      <c r="G3987" s="11" t="str">
        <f aca="false">IF($A3987="","",IF(원본명단!$K3986="",0,COUNTIF(원본명단!$K$3:$K$6002,원본명단!$K3986)))</f>
        <v/>
      </c>
      <c r="H3987" s="11" t="str">
        <f aca="false">IF($A3987="","",IF(MAX($E3987,$F3987,$G3987)&gt;1,"중복","-"))</f>
        <v/>
      </c>
      <c r="I3987" s="11" t="str">
        <f aca="false">IF($A3987="","",IF($H3987="-","-",IF(AND(IF(원본명단!$H3986="",TRUE(),COUNTIF(원본명단!$H$3:$H3986,원본명단!$H3986)=1),IF(원본명단!$I3986="",TRUE(),COUNTIF(원본명단!$I$3:$I3986,원본명단!$I3986)=1),IF(원본명단!$K3986="",TRUE(),COUNTIF(원본명단!$K$3:$K3986,원본명단!$K3986)=1)),"첫 건","중복 건")))</f>
        <v/>
      </c>
      <c r="J3987" s="11" t="str">
        <f aca="false">IF($A3987="","",IF($H3987="-","유지",IF($I3987="첫 건","유지","확인 필요")))</f>
        <v/>
      </c>
    </row>
    <row r="3988" customFormat="false" ht="15" hidden="false" customHeight="true" outlineLevel="0" collapsed="false">
      <c r="A3988" s="11" t="str">
        <f aca="false">IF(원본명단!$A3987="","",3985)</f>
        <v/>
      </c>
      <c r="B3988" s="12" t="str">
        <f aca="false">IF($A3988="","",원본명단!$A3987)</f>
        <v/>
      </c>
      <c r="C3988" s="12" t="str">
        <f aca="false">IF($A3988="","",원본명단!$B3987)</f>
        <v/>
      </c>
      <c r="D3988" s="12" t="str">
        <f aca="false">IF($A3988="","",원본명단!$D3987)</f>
        <v/>
      </c>
      <c r="E3988" s="11" t="str">
        <f aca="false">IF($A3988="","",IF(원본명단!$H3987="",0,COUNTIF(원본명단!$H$3:$H$6002,원본명단!$H3987)))</f>
        <v/>
      </c>
      <c r="F3988" s="11" t="str">
        <f aca="false">IF($A3988="","",IF(원본명단!$I3987="",0,COUNTIF(원본명단!$I$3:$I$6002,원본명단!$I3987)))</f>
        <v/>
      </c>
      <c r="G3988" s="11" t="str">
        <f aca="false">IF($A3988="","",IF(원본명단!$K3987="",0,COUNTIF(원본명단!$K$3:$K$6002,원본명단!$K3987)))</f>
        <v/>
      </c>
      <c r="H3988" s="11" t="str">
        <f aca="false">IF($A3988="","",IF(MAX($E3988,$F3988,$G3988)&gt;1,"중복","-"))</f>
        <v/>
      </c>
      <c r="I3988" s="11" t="str">
        <f aca="false">IF($A3988="","",IF($H3988="-","-",IF(AND(IF(원본명단!$H3987="",TRUE(),COUNTIF(원본명단!$H$3:$H3987,원본명단!$H3987)=1),IF(원본명단!$I3987="",TRUE(),COUNTIF(원본명단!$I$3:$I3987,원본명단!$I3987)=1),IF(원본명단!$K3987="",TRUE(),COUNTIF(원본명단!$K$3:$K3987,원본명단!$K3987)=1)),"첫 건","중복 건")))</f>
        <v/>
      </c>
      <c r="J3988" s="11" t="str">
        <f aca="false">IF($A3988="","",IF($H3988="-","유지",IF($I3988="첫 건","유지","확인 필요")))</f>
        <v/>
      </c>
    </row>
    <row r="3989" customFormat="false" ht="15" hidden="false" customHeight="true" outlineLevel="0" collapsed="false">
      <c r="A3989" s="11" t="str">
        <f aca="false">IF(원본명단!$A3988="","",3986)</f>
        <v/>
      </c>
      <c r="B3989" s="12" t="str">
        <f aca="false">IF($A3989="","",원본명단!$A3988)</f>
        <v/>
      </c>
      <c r="C3989" s="12" t="str">
        <f aca="false">IF($A3989="","",원본명단!$B3988)</f>
        <v/>
      </c>
      <c r="D3989" s="12" t="str">
        <f aca="false">IF($A3989="","",원본명단!$D3988)</f>
        <v/>
      </c>
      <c r="E3989" s="11" t="str">
        <f aca="false">IF($A3989="","",IF(원본명단!$H3988="",0,COUNTIF(원본명단!$H$3:$H$6002,원본명단!$H3988)))</f>
        <v/>
      </c>
      <c r="F3989" s="11" t="str">
        <f aca="false">IF($A3989="","",IF(원본명단!$I3988="",0,COUNTIF(원본명단!$I$3:$I$6002,원본명단!$I3988)))</f>
        <v/>
      </c>
      <c r="G3989" s="11" t="str">
        <f aca="false">IF($A3989="","",IF(원본명단!$K3988="",0,COUNTIF(원본명단!$K$3:$K$6002,원본명단!$K3988)))</f>
        <v/>
      </c>
      <c r="H3989" s="11" t="str">
        <f aca="false">IF($A3989="","",IF(MAX($E3989,$F3989,$G3989)&gt;1,"중복","-"))</f>
        <v/>
      </c>
      <c r="I3989" s="11" t="str">
        <f aca="false">IF($A3989="","",IF($H3989="-","-",IF(AND(IF(원본명단!$H3988="",TRUE(),COUNTIF(원본명단!$H$3:$H3988,원본명단!$H3988)=1),IF(원본명단!$I3988="",TRUE(),COUNTIF(원본명단!$I$3:$I3988,원본명단!$I3988)=1),IF(원본명단!$K3988="",TRUE(),COUNTIF(원본명단!$K$3:$K3988,원본명단!$K3988)=1)),"첫 건","중복 건")))</f>
        <v/>
      </c>
      <c r="J3989" s="11" t="str">
        <f aca="false">IF($A3989="","",IF($H3989="-","유지",IF($I3989="첫 건","유지","확인 필요")))</f>
        <v/>
      </c>
    </row>
    <row r="3990" customFormat="false" ht="15" hidden="false" customHeight="true" outlineLevel="0" collapsed="false">
      <c r="A3990" s="11" t="str">
        <f aca="false">IF(원본명단!$A3989="","",3987)</f>
        <v/>
      </c>
      <c r="B3990" s="12" t="str">
        <f aca="false">IF($A3990="","",원본명단!$A3989)</f>
        <v/>
      </c>
      <c r="C3990" s="12" t="str">
        <f aca="false">IF($A3990="","",원본명단!$B3989)</f>
        <v/>
      </c>
      <c r="D3990" s="12" t="str">
        <f aca="false">IF($A3990="","",원본명단!$D3989)</f>
        <v/>
      </c>
      <c r="E3990" s="11" t="str">
        <f aca="false">IF($A3990="","",IF(원본명단!$H3989="",0,COUNTIF(원본명단!$H$3:$H$6002,원본명단!$H3989)))</f>
        <v/>
      </c>
      <c r="F3990" s="11" t="str">
        <f aca="false">IF($A3990="","",IF(원본명단!$I3989="",0,COUNTIF(원본명단!$I$3:$I$6002,원본명단!$I3989)))</f>
        <v/>
      </c>
      <c r="G3990" s="11" t="str">
        <f aca="false">IF($A3990="","",IF(원본명단!$K3989="",0,COUNTIF(원본명단!$K$3:$K$6002,원본명단!$K3989)))</f>
        <v/>
      </c>
      <c r="H3990" s="11" t="str">
        <f aca="false">IF($A3990="","",IF(MAX($E3990,$F3990,$G3990)&gt;1,"중복","-"))</f>
        <v/>
      </c>
      <c r="I3990" s="11" t="str">
        <f aca="false">IF($A3990="","",IF($H3990="-","-",IF(AND(IF(원본명단!$H3989="",TRUE(),COUNTIF(원본명단!$H$3:$H3989,원본명단!$H3989)=1),IF(원본명단!$I3989="",TRUE(),COUNTIF(원본명단!$I$3:$I3989,원본명단!$I3989)=1),IF(원본명단!$K3989="",TRUE(),COUNTIF(원본명단!$K$3:$K3989,원본명단!$K3989)=1)),"첫 건","중복 건")))</f>
        <v/>
      </c>
      <c r="J3990" s="11" t="str">
        <f aca="false">IF($A3990="","",IF($H3990="-","유지",IF($I3990="첫 건","유지","확인 필요")))</f>
        <v/>
      </c>
    </row>
    <row r="3991" customFormat="false" ht="15" hidden="false" customHeight="true" outlineLevel="0" collapsed="false">
      <c r="A3991" s="11" t="str">
        <f aca="false">IF(원본명단!$A3990="","",3988)</f>
        <v/>
      </c>
      <c r="B3991" s="12" t="str">
        <f aca="false">IF($A3991="","",원본명단!$A3990)</f>
        <v/>
      </c>
      <c r="C3991" s="12" t="str">
        <f aca="false">IF($A3991="","",원본명단!$B3990)</f>
        <v/>
      </c>
      <c r="D3991" s="12" t="str">
        <f aca="false">IF($A3991="","",원본명단!$D3990)</f>
        <v/>
      </c>
      <c r="E3991" s="11" t="str">
        <f aca="false">IF($A3991="","",IF(원본명단!$H3990="",0,COUNTIF(원본명단!$H$3:$H$6002,원본명단!$H3990)))</f>
        <v/>
      </c>
      <c r="F3991" s="11" t="str">
        <f aca="false">IF($A3991="","",IF(원본명단!$I3990="",0,COUNTIF(원본명단!$I$3:$I$6002,원본명단!$I3990)))</f>
        <v/>
      </c>
      <c r="G3991" s="11" t="str">
        <f aca="false">IF($A3991="","",IF(원본명단!$K3990="",0,COUNTIF(원본명단!$K$3:$K$6002,원본명단!$K3990)))</f>
        <v/>
      </c>
      <c r="H3991" s="11" t="str">
        <f aca="false">IF($A3991="","",IF(MAX($E3991,$F3991,$G3991)&gt;1,"중복","-"))</f>
        <v/>
      </c>
      <c r="I3991" s="11" t="str">
        <f aca="false">IF($A3991="","",IF($H3991="-","-",IF(AND(IF(원본명단!$H3990="",TRUE(),COUNTIF(원본명단!$H$3:$H3990,원본명단!$H3990)=1),IF(원본명단!$I3990="",TRUE(),COUNTIF(원본명단!$I$3:$I3990,원본명단!$I3990)=1),IF(원본명단!$K3990="",TRUE(),COUNTIF(원본명단!$K$3:$K3990,원본명단!$K3990)=1)),"첫 건","중복 건")))</f>
        <v/>
      </c>
      <c r="J3991" s="11" t="str">
        <f aca="false">IF($A3991="","",IF($H3991="-","유지",IF($I3991="첫 건","유지","확인 필요")))</f>
        <v/>
      </c>
    </row>
    <row r="3992" customFormat="false" ht="15" hidden="false" customHeight="true" outlineLevel="0" collapsed="false">
      <c r="A3992" s="11" t="str">
        <f aca="false">IF(원본명단!$A3991="","",3989)</f>
        <v/>
      </c>
      <c r="B3992" s="12" t="str">
        <f aca="false">IF($A3992="","",원본명단!$A3991)</f>
        <v/>
      </c>
      <c r="C3992" s="12" t="str">
        <f aca="false">IF($A3992="","",원본명단!$B3991)</f>
        <v/>
      </c>
      <c r="D3992" s="12" t="str">
        <f aca="false">IF($A3992="","",원본명단!$D3991)</f>
        <v/>
      </c>
      <c r="E3992" s="11" t="str">
        <f aca="false">IF($A3992="","",IF(원본명단!$H3991="",0,COUNTIF(원본명단!$H$3:$H$6002,원본명단!$H3991)))</f>
        <v/>
      </c>
      <c r="F3992" s="11" t="str">
        <f aca="false">IF($A3992="","",IF(원본명단!$I3991="",0,COUNTIF(원본명단!$I$3:$I$6002,원본명단!$I3991)))</f>
        <v/>
      </c>
      <c r="G3992" s="11" t="str">
        <f aca="false">IF($A3992="","",IF(원본명단!$K3991="",0,COUNTIF(원본명단!$K$3:$K$6002,원본명단!$K3991)))</f>
        <v/>
      </c>
      <c r="H3992" s="11" t="str">
        <f aca="false">IF($A3992="","",IF(MAX($E3992,$F3992,$G3992)&gt;1,"중복","-"))</f>
        <v/>
      </c>
      <c r="I3992" s="11" t="str">
        <f aca="false">IF($A3992="","",IF($H3992="-","-",IF(AND(IF(원본명단!$H3991="",TRUE(),COUNTIF(원본명단!$H$3:$H3991,원본명단!$H3991)=1),IF(원본명단!$I3991="",TRUE(),COUNTIF(원본명단!$I$3:$I3991,원본명단!$I3991)=1),IF(원본명단!$K3991="",TRUE(),COUNTIF(원본명단!$K$3:$K3991,원본명단!$K3991)=1)),"첫 건","중복 건")))</f>
        <v/>
      </c>
      <c r="J3992" s="11" t="str">
        <f aca="false">IF($A3992="","",IF($H3992="-","유지",IF($I3992="첫 건","유지","확인 필요")))</f>
        <v/>
      </c>
    </row>
    <row r="3993" customFormat="false" ht="15" hidden="false" customHeight="true" outlineLevel="0" collapsed="false">
      <c r="A3993" s="11" t="str">
        <f aca="false">IF(원본명단!$A3992="","",3990)</f>
        <v/>
      </c>
      <c r="B3993" s="12" t="str">
        <f aca="false">IF($A3993="","",원본명단!$A3992)</f>
        <v/>
      </c>
      <c r="C3993" s="12" t="str">
        <f aca="false">IF($A3993="","",원본명단!$B3992)</f>
        <v/>
      </c>
      <c r="D3993" s="12" t="str">
        <f aca="false">IF($A3993="","",원본명단!$D3992)</f>
        <v/>
      </c>
      <c r="E3993" s="11" t="str">
        <f aca="false">IF($A3993="","",IF(원본명단!$H3992="",0,COUNTIF(원본명단!$H$3:$H$6002,원본명단!$H3992)))</f>
        <v/>
      </c>
      <c r="F3993" s="11" t="str">
        <f aca="false">IF($A3993="","",IF(원본명단!$I3992="",0,COUNTIF(원본명단!$I$3:$I$6002,원본명단!$I3992)))</f>
        <v/>
      </c>
      <c r="G3993" s="11" t="str">
        <f aca="false">IF($A3993="","",IF(원본명단!$K3992="",0,COUNTIF(원본명단!$K$3:$K$6002,원본명단!$K3992)))</f>
        <v/>
      </c>
      <c r="H3993" s="11" t="str">
        <f aca="false">IF($A3993="","",IF(MAX($E3993,$F3993,$G3993)&gt;1,"중복","-"))</f>
        <v/>
      </c>
      <c r="I3993" s="11" t="str">
        <f aca="false">IF($A3993="","",IF($H3993="-","-",IF(AND(IF(원본명단!$H3992="",TRUE(),COUNTIF(원본명단!$H$3:$H3992,원본명단!$H3992)=1),IF(원본명단!$I3992="",TRUE(),COUNTIF(원본명단!$I$3:$I3992,원본명단!$I3992)=1),IF(원본명단!$K3992="",TRUE(),COUNTIF(원본명단!$K$3:$K3992,원본명단!$K3992)=1)),"첫 건","중복 건")))</f>
        <v/>
      </c>
      <c r="J3993" s="11" t="str">
        <f aca="false">IF($A3993="","",IF($H3993="-","유지",IF($I3993="첫 건","유지","확인 필요")))</f>
        <v/>
      </c>
    </row>
    <row r="3994" customFormat="false" ht="15" hidden="false" customHeight="true" outlineLevel="0" collapsed="false">
      <c r="A3994" s="11" t="str">
        <f aca="false">IF(원본명단!$A3993="","",3991)</f>
        <v/>
      </c>
      <c r="B3994" s="12" t="str">
        <f aca="false">IF($A3994="","",원본명단!$A3993)</f>
        <v/>
      </c>
      <c r="C3994" s="12" t="str">
        <f aca="false">IF($A3994="","",원본명단!$B3993)</f>
        <v/>
      </c>
      <c r="D3994" s="12" t="str">
        <f aca="false">IF($A3994="","",원본명단!$D3993)</f>
        <v/>
      </c>
      <c r="E3994" s="11" t="str">
        <f aca="false">IF($A3994="","",IF(원본명단!$H3993="",0,COUNTIF(원본명단!$H$3:$H$6002,원본명단!$H3993)))</f>
        <v/>
      </c>
      <c r="F3994" s="11" t="str">
        <f aca="false">IF($A3994="","",IF(원본명단!$I3993="",0,COUNTIF(원본명단!$I$3:$I$6002,원본명단!$I3993)))</f>
        <v/>
      </c>
      <c r="G3994" s="11" t="str">
        <f aca="false">IF($A3994="","",IF(원본명단!$K3993="",0,COUNTIF(원본명단!$K$3:$K$6002,원본명단!$K3993)))</f>
        <v/>
      </c>
      <c r="H3994" s="11" t="str">
        <f aca="false">IF($A3994="","",IF(MAX($E3994,$F3994,$G3994)&gt;1,"중복","-"))</f>
        <v/>
      </c>
      <c r="I3994" s="11" t="str">
        <f aca="false">IF($A3994="","",IF($H3994="-","-",IF(AND(IF(원본명단!$H3993="",TRUE(),COUNTIF(원본명단!$H$3:$H3993,원본명단!$H3993)=1),IF(원본명단!$I3993="",TRUE(),COUNTIF(원본명단!$I$3:$I3993,원본명단!$I3993)=1),IF(원본명단!$K3993="",TRUE(),COUNTIF(원본명단!$K$3:$K3993,원본명단!$K3993)=1)),"첫 건","중복 건")))</f>
        <v/>
      </c>
      <c r="J3994" s="11" t="str">
        <f aca="false">IF($A3994="","",IF($H3994="-","유지",IF($I3994="첫 건","유지","확인 필요")))</f>
        <v/>
      </c>
    </row>
    <row r="3995" customFormat="false" ht="15" hidden="false" customHeight="true" outlineLevel="0" collapsed="false">
      <c r="A3995" s="11" t="str">
        <f aca="false">IF(원본명단!$A3994="","",3992)</f>
        <v/>
      </c>
      <c r="B3995" s="12" t="str">
        <f aca="false">IF($A3995="","",원본명단!$A3994)</f>
        <v/>
      </c>
      <c r="C3995" s="12" t="str">
        <f aca="false">IF($A3995="","",원본명단!$B3994)</f>
        <v/>
      </c>
      <c r="D3995" s="12" t="str">
        <f aca="false">IF($A3995="","",원본명단!$D3994)</f>
        <v/>
      </c>
      <c r="E3995" s="11" t="str">
        <f aca="false">IF($A3995="","",IF(원본명단!$H3994="",0,COUNTIF(원본명단!$H$3:$H$6002,원본명단!$H3994)))</f>
        <v/>
      </c>
      <c r="F3995" s="11" t="str">
        <f aca="false">IF($A3995="","",IF(원본명단!$I3994="",0,COUNTIF(원본명단!$I$3:$I$6002,원본명단!$I3994)))</f>
        <v/>
      </c>
      <c r="G3995" s="11" t="str">
        <f aca="false">IF($A3995="","",IF(원본명단!$K3994="",0,COUNTIF(원본명단!$K$3:$K$6002,원본명단!$K3994)))</f>
        <v/>
      </c>
      <c r="H3995" s="11" t="str">
        <f aca="false">IF($A3995="","",IF(MAX($E3995,$F3995,$G3995)&gt;1,"중복","-"))</f>
        <v/>
      </c>
      <c r="I3995" s="11" t="str">
        <f aca="false">IF($A3995="","",IF($H3995="-","-",IF(AND(IF(원본명단!$H3994="",TRUE(),COUNTIF(원본명단!$H$3:$H3994,원본명단!$H3994)=1),IF(원본명단!$I3994="",TRUE(),COUNTIF(원본명단!$I$3:$I3994,원본명단!$I3994)=1),IF(원본명단!$K3994="",TRUE(),COUNTIF(원본명단!$K$3:$K3994,원본명단!$K3994)=1)),"첫 건","중복 건")))</f>
        <v/>
      </c>
      <c r="J3995" s="11" t="str">
        <f aca="false">IF($A3995="","",IF($H3995="-","유지",IF($I3995="첫 건","유지","확인 필요")))</f>
        <v/>
      </c>
    </row>
    <row r="3996" customFormat="false" ht="15" hidden="false" customHeight="true" outlineLevel="0" collapsed="false">
      <c r="A3996" s="11" t="str">
        <f aca="false">IF(원본명단!$A3995="","",3993)</f>
        <v/>
      </c>
      <c r="B3996" s="12" t="str">
        <f aca="false">IF($A3996="","",원본명단!$A3995)</f>
        <v/>
      </c>
      <c r="C3996" s="12" t="str">
        <f aca="false">IF($A3996="","",원본명단!$B3995)</f>
        <v/>
      </c>
      <c r="D3996" s="12" t="str">
        <f aca="false">IF($A3996="","",원본명단!$D3995)</f>
        <v/>
      </c>
      <c r="E3996" s="11" t="str">
        <f aca="false">IF($A3996="","",IF(원본명단!$H3995="",0,COUNTIF(원본명단!$H$3:$H$6002,원본명단!$H3995)))</f>
        <v/>
      </c>
      <c r="F3996" s="11" t="str">
        <f aca="false">IF($A3996="","",IF(원본명단!$I3995="",0,COUNTIF(원본명단!$I$3:$I$6002,원본명단!$I3995)))</f>
        <v/>
      </c>
      <c r="G3996" s="11" t="str">
        <f aca="false">IF($A3996="","",IF(원본명단!$K3995="",0,COUNTIF(원본명단!$K$3:$K$6002,원본명단!$K3995)))</f>
        <v/>
      </c>
      <c r="H3996" s="11" t="str">
        <f aca="false">IF($A3996="","",IF(MAX($E3996,$F3996,$G3996)&gt;1,"중복","-"))</f>
        <v/>
      </c>
      <c r="I3996" s="11" t="str">
        <f aca="false">IF($A3996="","",IF($H3996="-","-",IF(AND(IF(원본명단!$H3995="",TRUE(),COUNTIF(원본명단!$H$3:$H3995,원본명단!$H3995)=1),IF(원본명단!$I3995="",TRUE(),COUNTIF(원본명단!$I$3:$I3995,원본명단!$I3995)=1),IF(원본명단!$K3995="",TRUE(),COUNTIF(원본명단!$K$3:$K3995,원본명단!$K3995)=1)),"첫 건","중복 건")))</f>
        <v/>
      </c>
      <c r="J3996" s="11" t="str">
        <f aca="false">IF($A3996="","",IF($H3996="-","유지",IF($I3996="첫 건","유지","확인 필요")))</f>
        <v/>
      </c>
    </row>
    <row r="3997" customFormat="false" ht="15" hidden="false" customHeight="true" outlineLevel="0" collapsed="false">
      <c r="A3997" s="11" t="str">
        <f aca="false">IF(원본명단!$A3996="","",3994)</f>
        <v/>
      </c>
      <c r="B3997" s="12" t="str">
        <f aca="false">IF($A3997="","",원본명단!$A3996)</f>
        <v/>
      </c>
      <c r="C3997" s="12" t="str">
        <f aca="false">IF($A3997="","",원본명단!$B3996)</f>
        <v/>
      </c>
      <c r="D3997" s="12" t="str">
        <f aca="false">IF($A3997="","",원본명단!$D3996)</f>
        <v/>
      </c>
      <c r="E3997" s="11" t="str">
        <f aca="false">IF($A3997="","",IF(원본명단!$H3996="",0,COUNTIF(원본명단!$H$3:$H$6002,원본명단!$H3996)))</f>
        <v/>
      </c>
      <c r="F3997" s="11" t="str">
        <f aca="false">IF($A3997="","",IF(원본명단!$I3996="",0,COUNTIF(원본명단!$I$3:$I$6002,원본명단!$I3996)))</f>
        <v/>
      </c>
      <c r="G3997" s="11" t="str">
        <f aca="false">IF($A3997="","",IF(원본명단!$K3996="",0,COUNTIF(원본명단!$K$3:$K$6002,원본명단!$K3996)))</f>
        <v/>
      </c>
      <c r="H3997" s="11" t="str">
        <f aca="false">IF($A3997="","",IF(MAX($E3997,$F3997,$G3997)&gt;1,"중복","-"))</f>
        <v/>
      </c>
      <c r="I3997" s="11" t="str">
        <f aca="false">IF($A3997="","",IF($H3997="-","-",IF(AND(IF(원본명단!$H3996="",TRUE(),COUNTIF(원본명단!$H$3:$H3996,원본명단!$H3996)=1),IF(원본명단!$I3996="",TRUE(),COUNTIF(원본명단!$I$3:$I3996,원본명단!$I3996)=1),IF(원본명단!$K3996="",TRUE(),COUNTIF(원본명단!$K$3:$K3996,원본명단!$K3996)=1)),"첫 건","중복 건")))</f>
        <v/>
      </c>
      <c r="J3997" s="11" t="str">
        <f aca="false">IF($A3997="","",IF($H3997="-","유지",IF($I3997="첫 건","유지","확인 필요")))</f>
        <v/>
      </c>
    </row>
    <row r="3998" customFormat="false" ht="15" hidden="false" customHeight="true" outlineLevel="0" collapsed="false">
      <c r="A3998" s="11" t="str">
        <f aca="false">IF(원본명단!$A3997="","",3995)</f>
        <v/>
      </c>
      <c r="B3998" s="12" t="str">
        <f aca="false">IF($A3998="","",원본명단!$A3997)</f>
        <v/>
      </c>
      <c r="C3998" s="12" t="str">
        <f aca="false">IF($A3998="","",원본명단!$B3997)</f>
        <v/>
      </c>
      <c r="D3998" s="12" t="str">
        <f aca="false">IF($A3998="","",원본명단!$D3997)</f>
        <v/>
      </c>
      <c r="E3998" s="11" t="str">
        <f aca="false">IF($A3998="","",IF(원본명단!$H3997="",0,COUNTIF(원본명단!$H$3:$H$6002,원본명단!$H3997)))</f>
        <v/>
      </c>
      <c r="F3998" s="11" t="str">
        <f aca="false">IF($A3998="","",IF(원본명단!$I3997="",0,COUNTIF(원본명단!$I$3:$I$6002,원본명단!$I3997)))</f>
        <v/>
      </c>
      <c r="G3998" s="11" t="str">
        <f aca="false">IF($A3998="","",IF(원본명단!$K3997="",0,COUNTIF(원본명단!$K$3:$K$6002,원본명단!$K3997)))</f>
        <v/>
      </c>
      <c r="H3998" s="11" t="str">
        <f aca="false">IF($A3998="","",IF(MAX($E3998,$F3998,$G3998)&gt;1,"중복","-"))</f>
        <v/>
      </c>
      <c r="I3998" s="11" t="str">
        <f aca="false">IF($A3998="","",IF($H3998="-","-",IF(AND(IF(원본명단!$H3997="",TRUE(),COUNTIF(원본명단!$H$3:$H3997,원본명단!$H3997)=1),IF(원본명단!$I3997="",TRUE(),COUNTIF(원본명단!$I$3:$I3997,원본명단!$I3997)=1),IF(원본명단!$K3997="",TRUE(),COUNTIF(원본명단!$K$3:$K3997,원본명단!$K3997)=1)),"첫 건","중복 건")))</f>
        <v/>
      </c>
      <c r="J3998" s="11" t="str">
        <f aca="false">IF($A3998="","",IF($H3998="-","유지",IF($I3998="첫 건","유지","확인 필요")))</f>
        <v/>
      </c>
    </row>
    <row r="3999" customFormat="false" ht="15" hidden="false" customHeight="true" outlineLevel="0" collapsed="false">
      <c r="A3999" s="11" t="str">
        <f aca="false">IF(원본명단!$A3998="","",3996)</f>
        <v/>
      </c>
      <c r="B3999" s="12" t="str">
        <f aca="false">IF($A3999="","",원본명단!$A3998)</f>
        <v/>
      </c>
      <c r="C3999" s="12" t="str">
        <f aca="false">IF($A3999="","",원본명단!$B3998)</f>
        <v/>
      </c>
      <c r="D3999" s="12" t="str">
        <f aca="false">IF($A3999="","",원본명단!$D3998)</f>
        <v/>
      </c>
      <c r="E3999" s="11" t="str">
        <f aca="false">IF($A3999="","",IF(원본명단!$H3998="",0,COUNTIF(원본명단!$H$3:$H$6002,원본명단!$H3998)))</f>
        <v/>
      </c>
      <c r="F3999" s="11" t="str">
        <f aca="false">IF($A3999="","",IF(원본명단!$I3998="",0,COUNTIF(원본명단!$I$3:$I$6002,원본명단!$I3998)))</f>
        <v/>
      </c>
      <c r="G3999" s="11" t="str">
        <f aca="false">IF($A3999="","",IF(원본명단!$K3998="",0,COUNTIF(원본명단!$K$3:$K$6002,원본명단!$K3998)))</f>
        <v/>
      </c>
      <c r="H3999" s="11" t="str">
        <f aca="false">IF($A3999="","",IF(MAX($E3999,$F3999,$G3999)&gt;1,"중복","-"))</f>
        <v/>
      </c>
      <c r="I3999" s="11" t="str">
        <f aca="false">IF($A3999="","",IF($H3999="-","-",IF(AND(IF(원본명단!$H3998="",TRUE(),COUNTIF(원본명단!$H$3:$H3998,원본명단!$H3998)=1),IF(원본명단!$I3998="",TRUE(),COUNTIF(원본명단!$I$3:$I3998,원본명단!$I3998)=1),IF(원본명단!$K3998="",TRUE(),COUNTIF(원본명단!$K$3:$K3998,원본명단!$K3998)=1)),"첫 건","중복 건")))</f>
        <v/>
      </c>
      <c r="J3999" s="11" t="str">
        <f aca="false">IF($A3999="","",IF($H3999="-","유지",IF($I3999="첫 건","유지","확인 필요")))</f>
        <v/>
      </c>
    </row>
    <row r="4000" customFormat="false" ht="15" hidden="false" customHeight="true" outlineLevel="0" collapsed="false">
      <c r="A4000" s="11" t="str">
        <f aca="false">IF(원본명단!$A3999="","",3997)</f>
        <v/>
      </c>
      <c r="B4000" s="12" t="str">
        <f aca="false">IF($A4000="","",원본명단!$A3999)</f>
        <v/>
      </c>
      <c r="C4000" s="12" t="str">
        <f aca="false">IF($A4000="","",원본명단!$B3999)</f>
        <v/>
      </c>
      <c r="D4000" s="12" t="str">
        <f aca="false">IF($A4000="","",원본명단!$D3999)</f>
        <v/>
      </c>
      <c r="E4000" s="11" t="str">
        <f aca="false">IF($A4000="","",IF(원본명단!$H3999="",0,COUNTIF(원본명단!$H$3:$H$6002,원본명단!$H3999)))</f>
        <v/>
      </c>
      <c r="F4000" s="11" t="str">
        <f aca="false">IF($A4000="","",IF(원본명단!$I3999="",0,COUNTIF(원본명단!$I$3:$I$6002,원본명단!$I3999)))</f>
        <v/>
      </c>
      <c r="G4000" s="11" t="str">
        <f aca="false">IF($A4000="","",IF(원본명단!$K3999="",0,COUNTIF(원본명단!$K$3:$K$6002,원본명단!$K3999)))</f>
        <v/>
      </c>
      <c r="H4000" s="11" t="str">
        <f aca="false">IF($A4000="","",IF(MAX($E4000,$F4000,$G4000)&gt;1,"중복","-"))</f>
        <v/>
      </c>
      <c r="I4000" s="11" t="str">
        <f aca="false">IF($A4000="","",IF($H4000="-","-",IF(AND(IF(원본명단!$H3999="",TRUE(),COUNTIF(원본명단!$H$3:$H3999,원본명단!$H3999)=1),IF(원본명단!$I3999="",TRUE(),COUNTIF(원본명단!$I$3:$I3999,원본명단!$I3999)=1),IF(원본명단!$K3999="",TRUE(),COUNTIF(원본명단!$K$3:$K3999,원본명단!$K3999)=1)),"첫 건","중복 건")))</f>
        <v/>
      </c>
      <c r="J4000" s="11" t="str">
        <f aca="false">IF($A4000="","",IF($H4000="-","유지",IF($I4000="첫 건","유지","확인 필요")))</f>
        <v/>
      </c>
    </row>
    <row r="4001" customFormat="false" ht="15" hidden="false" customHeight="true" outlineLevel="0" collapsed="false">
      <c r="A4001" s="11" t="str">
        <f aca="false">IF(원본명단!$A4000="","",3998)</f>
        <v/>
      </c>
      <c r="B4001" s="12" t="str">
        <f aca="false">IF($A4001="","",원본명단!$A4000)</f>
        <v/>
      </c>
      <c r="C4001" s="12" t="str">
        <f aca="false">IF($A4001="","",원본명단!$B4000)</f>
        <v/>
      </c>
      <c r="D4001" s="12" t="str">
        <f aca="false">IF($A4001="","",원본명단!$D4000)</f>
        <v/>
      </c>
      <c r="E4001" s="11" t="str">
        <f aca="false">IF($A4001="","",IF(원본명단!$H4000="",0,COUNTIF(원본명단!$H$3:$H$6002,원본명단!$H4000)))</f>
        <v/>
      </c>
      <c r="F4001" s="11" t="str">
        <f aca="false">IF($A4001="","",IF(원본명단!$I4000="",0,COUNTIF(원본명단!$I$3:$I$6002,원본명단!$I4000)))</f>
        <v/>
      </c>
      <c r="G4001" s="11" t="str">
        <f aca="false">IF($A4001="","",IF(원본명단!$K4000="",0,COUNTIF(원본명단!$K$3:$K$6002,원본명단!$K4000)))</f>
        <v/>
      </c>
      <c r="H4001" s="11" t="str">
        <f aca="false">IF($A4001="","",IF(MAX($E4001,$F4001,$G4001)&gt;1,"중복","-"))</f>
        <v/>
      </c>
      <c r="I4001" s="11" t="str">
        <f aca="false">IF($A4001="","",IF($H4001="-","-",IF(AND(IF(원본명단!$H4000="",TRUE(),COUNTIF(원본명단!$H$3:$H4000,원본명단!$H4000)=1),IF(원본명단!$I4000="",TRUE(),COUNTIF(원본명단!$I$3:$I4000,원본명단!$I4000)=1),IF(원본명단!$K4000="",TRUE(),COUNTIF(원본명단!$K$3:$K4000,원본명단!$K4000)=1)),"첫 건","중복 건")))</f>
        <v/>
      </c>
      <c r="J4001" s="11" t="str">
        <f aca="false">IF($A4001="","",IF($H4001="-","유지",IF($I4001="첫 건","유지","확인 필요")))</f>
        <v/>
      </c>
    </row>
    <row r="4002" customFormat="false" ht="15" hidden="false" customHeight="true" outlineLevel="0" collapsed="false">
      <c r="A4002" s="11" t="str">
        <f aca="false">IF(원본명단!$A4001="","",3999)</f>
        <v/>
      </c>
      <c r="B4002" s="12" t="str">
        <f aca="false">IF($A4002="","",원본명단!$A4001)</f>
        <v/>
      </c>
      <c r="C4002" s="12" t="str">
        <f aca="false">IF($A4002="","",원본명단!$B4001)</f>
        <v/>
      </c>
      <c r="D4002" s="12" t="str">
        <f aca="false">IF($A4002="","",원본명단!$D4001)</f>
        <v/>
      </c>
      <c r="E4002" s="11" t="str">
        <f aca="false">IF($A4002="","",IF(원본명단!$H4001="",0,COUNTIF(원본명단!$H$3:$H$6002,원본명단!$H4001)))</f>
        <v/>
      </c>
      <c r="F4002" s="11" t="str">
        <f aca="false">IF($A4002="","",IF(원본명단!$I4001="",0,COUNTIF(원본명단!$I$3:$I$6002,원본명단!$I4001)))</f>
        <v/>
      </c>
      <c r="G4002" s="11" t="str">
        <f aca="false">IF($A4002="","",IF(원본명단!$K4001="",0,COUNTIF(원본명단!$K$3:$K$6002,원본명단!$K4001)))</f>
        <v/>
      </c>
      <c r="H4002" s="11" t="str">
        <f aca="false">IF($A4002="","",IF(MAX($E4002,$F4002,$G4002)&gt;1,"중복","-"))</f>
        <v/>
      </c>
      <c r="I4002" s="11" t="str">
        <f aca="false">IF($A4002="","",IF($H4002="-","-",IF(AND(IF(원본명단!$H4001="",TRUE(),COUNTIF(원본명단!$H$3:$H4001,원본명단!$H4001)=1),IF(원본명단!$I4001="",TRUE(),COUNTIF(원본명단!$I$3:$I4001,원본명단!$I4001)=1),IF(원본명단!$K4001="",TRUE(),COUNTIF(원본명단!$K$3:$K4001,원본명단!$K4001)=1)),"첫 건","중복 건")))</f>
        <v/>
      </c>
      <c r="J4002" s="11" t="str">
        <f aca="false">IF($A4002="","",IF($H4002="-","유지",IF($I4002="첫 건","유지","확인 필요")))</f>
        <v/>
      </c>
    </row>
    <row r="4003" customFormat="false" ht="15" hidden="false" customHeight="true" outlineLevel="0" collapsed="false">
      <c r="A4003" s="11" t="str">
        <f aca="false">IF(원본명단!$A4002="","",4000)</f>
        <v/>
      </c>
      <c r="B4003" s="12" t="str">
        <f aca="false">IF($A4003="","",원본명단!$A4002)</f>
        <v/>
      </c>
      <c r="C4003" s="12" t="str">
        <f aca="false">IF($A4003="","",원본명단!$B4002)</f>
        <v/>
      </c>
      <c r="D4003" s="12" t="str">
        <f aca="false">IF($A4003="","",원본명단!$D4002)</f>
        <v/>
      </c>
      <c r="E4003" s="11" t="str">
        <f aca="false">IF($A4003="","",IF(원본명단!$H4002="",0,COUNTIF(원본명단!$H$3:$H$6002,원본명단!$H4002)))</f>
        <v/>
      </c>
      <c r="F4003" s="11" t="str">
        <f aca="false">IF($A4003="","",IF(원본명단!$I4002="",0,COUNTIF(원본명단!$I$3:$I$6002,원본명단!$I4002)))</f>
        <v/>
      </c>
      <c r="G4003" s="11" t="str">
        <f aca="false">IF($A4003="","",IF(원본명단!$K4002="",0,COUNTIF(원본명단!$K$3:$K$6002,원본명단!$K4002)))</f>
        <v/>
      </c>
      <c r="H4003" s="11" t="str">
        <f aca="false">IF($A4003="","",IF(MAX($E4003,$F4003,$G4003)&gt;1,"중복","-"))</f>
        <v/>
      </c>
      <c r="I4003" s="11" t="str">
        <f aca="false">IF($A4003="","",IF($H4003="-","-",IF(AND(IF(원본명단!$H4002="",TRUE(),COUNTIF(원본명단!$H$3:$H4002,원본명단!$H4002)=1),IF(원본명단!$I4002="",TRUE(),COUNTIF(원본명단!$I$3:$I4002,원본명단!$I4002)=1),IF(원본명단!$K4002="",TRUE(),COUNTIF(원본명단!$K$3:$K4002,원본명단!$K4002)=1)),"첫 건","중복 건")))</f>
        <v/>
      </c>
      <c r="J4003" s="11" t="str">
        <f aca="false">IF($A4003="","",IF($H4003="-","유지",IF($I4003="첫 건","유지","확인 필요")))</f>
        <v/>
      </c>
    </row>
    <row r="4004" customFormat="false" ht="15" hidden="false" customHeight="true" outlineLevel="0" collapsed="false">
      <c r="A4004" s="11" t="str">
        <f aca="false">IF(원본명단!$A4003="","",4001)</f>
        <v/>
      </c>
      <c r="B4004" s="12" t="str">
        <f aca="false">IF($A4004="","",원본명단!$A4003)</f>
        <v/>
      </c>
      <c r="C4004" s="12" t="str">
        <f aca="false">IF($A4004="","",원본명단!$B4003)</f>
        <v/>
      </c>
      <c r="D4004" s="12" t="str">
        <f aca="false">IF($A4004="","",원본명단!$D4003)</f>
        <v/>
      </c>
      <c r="E4004" s="11" t="str">
        <f aca="false">IF($A4004="","",IF(원본명단!$H4003="",0,COUNTIF(원본명단!$H$3:$H$6002,원본명단!$H4003)))</f>
        <v/>
      </c>
      <c r="F4004" s="11" t="str">
        <f aca="false">IF($A4004="","",IF(원본명단!$I4003="",0,COUNTIF(원본명단!$I$3:$I$6002,원본명단!$I4003)))</f>
        <v/>
      </c>
      <c r="G4004" s="11" t="str">
        <f aca="false">IF($A4004="","",IF(원본명단!$K4003="",0,COUNTIF(원본명단!$K$3:$K$6002,원본명단!$K4003)))</f>
        <v/>
      </c>
      <c r="H4004" s="11" t="str">
        <f aca="false">IF($A4004="","",IF(MAX($E4004,$F4004,$G4004)&gt;1,"중복","-"))</f>
        <v/>
      </c>
      <c r="I4004" s="11" t="str">
        <f aca="false">IF($A4004="","",IF($H4004="-","-",IF(AND(IF(원본명단!$H4003="",TRUE(),COUNTIF(원본명단!$H$3:$H4003,원본명단!$H4003)=1),IF(원본명단!$I4003="",TRUE(),COUNTIF(원본명단!$I$3:$I4003,원본명단!$I4003)=1),IF(원본명단!$K4003="",TRUE(),COUNTIF(원본명단!$K$3:$K4003,원본명단!$K4003)=1)),"첫 건","중복 건")))</f>
        <v/>
      </c>
      <c r="J4004" s="11" t="str">
        <f aca="false">IF($A4004="","",IF($H4004="-","유지",IF($I4004="첫 건","유지","확인 필요")))</f>
        <v/>
      </c>
    </row>
    <row r="4005" customFormat="false" ht="15" hidden="false" customHeight="true" outlineLevel="0" collapsed="false">
      <c r="A4005" s="11" t="str">
        <f aca="false">IF(원본명단!$A4004="","",4002)</f>
        <v/>
      </c>
      <c r="B4005" s="12" t="str">
        <f aca="false">IF($A4005="","",원본명단!$A4004)</f>
        <v/>
      </c>
      <c r="C4005" s="12" t="str">
        <f aca="false">IF($A4005="","",원본명단!$B4004)</f>
        <v/>
      </c>
      <c r="D4005" s="12" t="str">
        <f aca="false">IF($A4005="","",원본명단!$D4004)</f>
        <v/>
      </c>
      <c r="E4005" s="11" t="str">
        <f aca="false">IF($A4005="","",IF(원본명단!$H4004="",0,COUNTIF(원본명단!$H$3:$H$6002,원본명단!$H4004)))</f>
        <v/>
      </c>
      <c r="F4005" s="11" t="str">
        <f aca="false">IF($A4005="","",IF(원본명단!$I4004="",0,COUNTIF(원본명단!$I$3:$I$6002,원본명단!$I4004)))</f>
        <v/>
      </c>
      <c r="G4005" s="11" t="str">
        <f aca="false">IF($A4005="","",IF(원본명단!$K4004="",0,COUNTIF(원본명단!$K$3:$K$6002,원본명단!$K4004)))</f>
        <v/>
      </c>
      <c r="H4005" s="11" t="str">
        <f aca="false">IF($A4005="","",IF(MAX($E4005,$F4005,$G4005)&gt;1,"중복","-"))</f>
        <v/>
      </c>
      <c r="I4005" s="11" t="str">
        <f aca="false">IF($A4005="","",IF($H4005="-","-",IF(AND(IF(원본명단!$H4004="",TRUE(),COUNTIF(원본명단!$H$3:$H4004,원본명단!$H4004)=1),IF(원본명단!$I4004="",TRUE(),COUNTIF(원본명단!$I$3:$I4004,원본명단!$I4004)=1),IF(원본명단!$K4004="",TRUE(),COUNTIF(원본명단!$K$3:$K4004,원본명단!$K4004)=1)),"첫 건","중복 건")))</f>
        <v/>
      </c>
      <c r="J4005" s="11" t="str">
        <f aca="false">IF($A4005="","",IF($H4005="-","유지",IF($I4005="첫 건","유지","확인 필요")))</f>
        <v/>
      </c>
    </row>
    <row r="4006" customFormat="false" ht="15" hidden="false" customHeight="true" outlineLevel="0" collapsed="false">
      <c r="A4006" s="11" t="str">
        <f aca="false">IF(원본명단!$A4005="","",4003)</f>
        <v/>
      </c>
      <c r="B4006" s="12" t="str">
        <f aca="false">IF($A4006="","",원본명단!$A4005)</f>
        <v/>
      </c>
      <c r="C4006" s="12" t="str">
        <f aca="false">IF($A4006="","",원본명단!$B4005)</f>
        <v/>
      </c>
      <c r="D4006" s="12" t="str">
        <f aca="false">IF($A4006="","",원본명단!$D4005)</f>
        <v/>
      </c>
      <c r="E4006" s="11" t="str">
        <f aca="false">IF($A4006="","",IF(원본명단!$H4005="",0,COUNTIF(원본명단!$H$3:$H$6002,원본명단!$H4005)))</f>
        <v/>
      </c>
      <c r="F4006" s="11" t="str">
        <f aca="false">IF($A4006="","",IF(원본명단!$I4005="",0,COUNTIF(원본명단!$I$3:$I$6002,원본명단!$I4005)))</f>
        <v/>
      </c>
      <c r="G4006" s="11" t="str">
        <f aca="false">IF($A4006="","",IF(원본명단!$K4005="",0,COUNTIF(원본명단!$K$3:$K$6002,원본명단!$K4005)))</f>
        <v/>
      </c>
      <c r="H4006" s="11" t="str">
        <f aca="false">IF($A4006="","",IF(MAX($E4006,$F4006,$G4006)&gt;1,"중복","-"))</f>
        <v/>
      </c>
      <c r="I4006" s="11" t="str">
        <f aca="false">IF($A4006="","",IF($H4006="-","-",IF(AND(IF(원본명단!$H4005="",TRUE(),COUNTIF(원본명단!$H$3:$H4005,원본명단!$H4005)=1),IF(원본명단!$I4005="",TRUE(),COUNTIF(원본명단!$I$3:$I4005,원본명단!$I4005)=1),IF(원본명단!$K4005="",TRUE(),COUNTIF(원본명단!$K$3:$K4005,원본명단!$K4005)=1)),"첫 건","중복 건")))</f>
        <v/>
      </c>
      <c r="J4006" s="11" t="str">
        <f aca="false">IF($A4006="","",IF($H4006="-","유지",IF($I4006="첫 건","유지","확인 필요")))</f>
        <v/>
      </c>
    </row>
    <row r="4007" customFormat="false" ht="15" hidden="false" customHeight="true" outlineLevel="0" collapsed="false">
      <c r="A4007" s="11" t="str">
        <f aca="false">IF(원본명단!$A4006="","",4004)</f>
        <v/>
      </c>
      <c r="B4007" s="12" t="str">
        <f aca="false">IF($A4007="","",원본명단!$A4006)</f>
        <v/>
      </c>
      <c r="C4007" s="12" t="str">
        <f aca="false">IF($A4007="","",원본명단!$B4006)</f>
        <v/>
      </c>
      <c r="D4007" s="12" t="str">
        <f aca="false">IF($A4007="","",원본명단!$D4006)</f>
        <v/>
      </c>
      <c r="E4007" s="11" t="str">
        <f aca="false">IF($A4007="","",IF(원본명단!$H4006="",0,COUNTIF(원본명단!$H$3:$H$6002,원본명단!$H4006)))</f>
        <v/>
      </c>
      <c r="F4007" s="11" t="str">
        <f aca="false">IF($A4007="","",IF(원본명단!$I4006="",0,COUNTIF(원본명단!$I$3:$I$6002,원본명단!$I4006)))</f>
        <v/>
      </c>
      <c r="G4007" s="11" t="str">
        <f aca="false">IF($A4007="","",IF(원본명단!$K4006="",0,COUNTIF(원본명단!$K$3:$K$6002,원본명단!$K4006)))</f>
        <v/>
      </c>
      <c r="H4007" s="11" t="str">
        <f aca="false">IF($A4007="","",IF(MAX($E4007,$F4007,$G4007)&gt;1,"중복","-"))</f>
        <v/>
      </c>
      <c r="I4007" s="11" t="str">
        <f aca="false">IF($A4007="","",IF($H4007="-","-",IF(AND(IF(원본명단!$H4006="",TRUE(),COUNTIF(원본명단!$H$3:$H4006,원본명단!$H4006)=1),IF(원본명단!$I4006="",TRUE(),COUNTIF(원본명단!$I$3:$I4006,원본명단!$I4006)=1),IF(원본명단!$K4006="",TRUE(),COUNTIF(원본명단!$K$3:$K4006,원본명단!$K4006)=1)),"첫 건","중복 건")))</f>
        <v/>
      </c>
      <c r="J4007" s="11" t="str">
        <f aca="false">IF($A4007="","",IF($H4007="-","유지",IF($I4007="첫 건","유지","확인 필요")))</f>
        <v/>
      </c>
    </row>
    <row r="4008" customFormat="false" ht="15" hidden="false" customHeight="true" outlineLevel="0" collapsed="false">
      <c r="A4008" s="11" t="str">
        <f aca="false">IF(원본명단!$A4007="","",4005)</f>
        <v/>
      </c>
      <c r="B4008" s="12" t="str">
        <f aca="false">IF($A4008="","",원본명단!$A4007)</f>
        <v/>
      </c>
      <c r="C4008" s="12" t="str">
        <f aca="false">IF($A4008="","",원본명단!$B4007)</f>
        <v/>
      </c>
      <c r="D4008" s="12" t="str">
        <f aca="false">IF($A4008="","",원본명단!$D4007)</f>
        <v/>
      </c>
      <c r="E4008" s="11" t="str">
        <f aca="false">IF($A4008="","",IF(원본명단!$H4007="",0,COUNTIF(원본명단!$H$3:$H$6002,원본명단!$H4007)))</f>
        <v/>
      </c>
      <c r="F4008" s="11" t="str">
        <f aca="false">IF($A4008="","",IF(원본명단!$I4007="",0,COUNTIF(원본명단!$I$3:$I$6002,원본명단!$I4007)))</f>
        <v/>
      </c>
      <c r="G4008" s="11" t="str">
        <f aca="false">IF($A4008="","",IF(원본명단!$K4007="",0,COUNTIF(원본명단!$K$3:$K$6002,원본명단!$K4007)))</f>
        <v/>
      </c>
      <c r="H4008" s="11" t="str">
        <f aca="false">IF($A4008="","",IF(MAX($E4008,$F4008,$G4008)&gt;1,"중복","-"))</f>
        <v/>
      </c>
      <c r="I4008" s="11" t="str">
        <f aca="false">IF($A4008="","",IF($H4008="-","-",IF(AND(IF(원본명단!$H4007="",TRUE(),COUNTIF(원본명단!$H$3:$H4007,원본명단!$H4007)=1),IF(원본명단!$I4007="",TRUE(),COUNTIF(원본명단!$I$3:$I4007,원본명단!$I4007)=1),IF(원본명단!$K4007="",TRUE(),COUNTIF(원본명단!$K$3:$K4007,원본명단!$K4007)=1)),"첫 건","중복 건")))</f>
        <v/>
      </c>
      <c r="J4008" s="11" t="str">
        <f aca="false">IF($A4008="","",IF($H4008="-","유지",IF($I4008="첫 건","유지","확인 필요")))</f>
        <v/>
      </c>
    </row>
    <row r="4009" customFormat="false" ht="15" hidden="false" customHeight="true" outlineLevel="0" collapsed="false">
      <c r="A4009" s="11" t="str">
        <f aca="false">IF(원본명단!$A4008="","",4006)</f>
        <v/>
      </c>
      <c r="B4009" s="12" t="str">
        <f aca="false">IF($A4009="","",원본명단!$A4008)</f>
        <v/>
      </c>
      <c r="C4009" s="12" t="str">
        <f aca="false">IF($A4009="","",원본명단!$B4008)</f>
        <v/>
      </c>
      <c r="D4009" s="12" t="str">
        <f aca="false">IF($A4009="","",원본명단!$D4008)</f>
        <v/>
      </c>
      <c r="E4009" s="11" t="str">
        <f aca="false">IF($A4009="","",IF(원본명단!$H4008="",0,COUNTIF(원본명단!$H$3:$H$6002,원본명단!$H4008)))</f>
        <v/>
      </c>
      <c r="F4009" s="11" t="str">
        <f aca="false">IF($A4009="","",IF(원본명단!$I4008="",0,COUNTIF(원본명단!$I$3:$I$6002,원본명단!$I4008)))</f>
        <v/>
      </c>
      <c r="G4009" s="11" t="str">
        <f aca="false">IF($A4009="","",IF(원본명단!$K4008="",0,COUNTIF(원본명단!$K$3:$K$6002,원본명단!$K4008)))</f>
        <v/>
      </c>
      <c r="H4009" s="11" t="str">
        <f aca="false">IF($A4009="","",IF(MAX($E4009,$F4009,$G4009)&gt;1,"중복","-"))</f>
        <v/>
      </c>
      <c r="I4009" s="11" t="str">
        <f aca="false">IF($A4009="","",IF($H4009="-","-",IF(AND(IF(원본명단!$H4008="",TRUE(),COUNTIF(원본명단!$H$3:$H4008,원본명단!$H4008)=1),IF(원본명단!$I4008="",TRUE(),COUNTIF(원본명단!$I$3:$I4008,원본명단!$I4008)=1),IF(원본명단!$K4008="",TRUE(),COUNTIF(원본명단!$K$3:$K4008,원본명단!$K4008)=1)),"첫 건","중복 건")))</f>
        <v/>
      </c>
      <c r="J4009" s="11" t="str">
        <f aca="false">IF($A4009="","",IF($H4009="-","유지",IF($I4009="첫 건","유지","확인 필요")))</f>
        <v/>
      </c>
    </row>
    <row r="4010" customFormat="false" ht="15" hidden="false" customHeight="true" outlineLevel="0" collapsed="false">
      <c r="A4010" s="11" t="str">
        <f aca="false">IF(원본명단!$A4009="","",4007)</f>
        <v/>
      </c>
      <c r="B4010" s="12" t="str">
        <f aca="false">IF($A4010="","",원본명단!$A4009)</f>
        <v/>
      </c>
      <c r="C4010" s="12" t="str">
        <f aca="false">IF($A4010="","",원본명단!$B4009)</f>
        <v/>
      </c>
      <c r="D4010" s="12" t="str">
        <f aca="false">IF($A4010="","",원본명단!$D4009)</f>
        <v/>
      </c>
      <c r="E4010" s="11" t="str">
        <f aca="false">IF($A4010="","",IF(원본명단!$H4009="",0,COUNTIF(원본명단!$H$3:$H$6002,원본명단!$H4009)))</f>
        <v/>
      </c>
      <c r="F4010" s="11" t="str">
        <f aca="false">IF($A4010="","",IF(원본명단!$I4009="",0,COUNTIF(원본명단!$I$3:$I$6002,원본명단!$I4009)))</f>
        <v/>
      </c>
      <c r="G4010" s="11" t="str">
        <f aca="false">IF($A4010="","",IF(원본명단!$K4009="",0,COUNTIF(원본명단!$K$3:$K$6002,원본명단!$K4009)))</f>
        <v/>
      </c>
      <c r="H4010" s="11" t="str">
        <f aca="false">IF($A4010="","",IF(MAX($E4010,$F4010,$G4010)&gt;1,"중복","-"))</f>
        <v/>
      </c>
      <c r="I4010" s="11" t="str">
        <f aca="false">IF($A4010="","",IF($H4010="-","-",IF(AND(IF(원본명단!$H4009="",TRUE(),COUNTIF(원본명단!$H$3:$H4009,원본명단!$H4009)=1),IF(원본명단!$I4009="",TRUE(),COUNTIF(원본명단!$I$3:$I4009,원본명단!$I4009)=1),IF(원본명단!$K4009="",TRUE(),COUNTIF(원본명단!$K$3:$K4009,원본명단!$K4009)=1)),"첫 건","중복 건")))</f>
        <v/>
      </c>
      <c r="J4010" s="11" t="str">
        <f aca="false">IF($A4010="","",IF($H4010="-","유지",IF($I4010="첫 건","유지","확인 필요")))</f>
        <v/>
      </c>
    </row>
    <row r="4011" customFormat="false" ht="15" hidden="false" customHeight="true" outlineLevel="0" collapsed="false">
      <c r="A4011" s="11" t="str">
        <f aca="false">IF(원본명단!$A4010="","",4008)</f>
        <v/>
      </c>
      <c r="B4011" s="12" t="str">
        <f aca="false">IF($A4011="","",원본명단!$A4010)</f>
        <v/>
      </c>
      <c r="C4011" s="12" t="str">
        <f aca="false">IF($A4011="","",원본명단!$B4010)</f>
        <v/>
      </c>
      <c r="D4011" s="12" t="str">
        <f aca="false">IF($A4011="","",원본명단!$D4010)</f>
        <v/>
      </c>
      <c r="E4011" s="11" t="str">
        <f aca="false">IF($A4011="","",IF(원본명단!$H4010="",0,COUNTIF(원본명단!$H$3:$H$6002,원본명단!$H4010)))</f>
        <v/>
      </c>
      <c r="F4011" s="11" t="str">
        <f aca="false">IF($A4011="","",IF(원본명단!$I4010="",0,COUNTIF(원본명단!$I$3:$I$6002,원본명단!$I4010)))</f>
        <v/>
      </c>
      <c r="G4011" s="11" t="str">
        <f aca="false">IF($A4011="","",IF(원본명단!$K4010="",0,COUNTIF(원본명단!$K$3:$K$6002,원본명단!$K4010)))</f>
        <v/>
      </c>
      <c r="H4011" s="11" t="str">
        <f aca="false">IF($A4011="","",IF(MAX($E4011,$F4011,$G4011)&gt;1,"중복","-"))</f>
        <v/>
      </c>
      <c r="I4011" s="11" t="str">
        <f aca="false">IF($A4011="","",IF($H4011="-","-",IF(AND(IF(원본명단!$H4010="",TRUE(),COUNTIF(원본명단!$H$3:$H4010,원본명단!$H4010)=1),IF(원본명단!$I4010="",TRUE(),COUNTIF(원본명단!$I$3:$I4010,원본명단!$I4010)=1),IF(원본명단!$K4010="",TRUE(),COUNTIF(원본명단!$K$3:$K4010,원본명단!$K4010)=1)),"첫 건","중복 건")))</f>
        <v/>
      </c>
      <c r="J4011" s="11" t="str">
        <f aca="false">IF($A4011="","",IF($H4011="-","유지",IF($I4011="첫 건","유지","확인 필요")))</f>
        <v/>
      </c>
    </row>
    <row r="4012" customFormat="false" ht="15" hidden="false" customHeight="true" outlineLevel="0" collapsed="false">
      <c r="A4012" s="11" t="str">
        <f aca="false">IF(원본명단!$A4011="","",4009)</f>
        <v/>
      </c>
      <c r="B4012" s="12" t="str">
        <f aca="false">IF($A4012="","",원본명단!$A4011)</f>
        <v/>
      </c>
      <c r="C4012" s="12" t="str">
        <f aca="false">IF($A4012="","",원본명단!$B4011)</f>
        <v/>
      </c>
      <c r="D4012" s="12" t="str">
        <f aca="false">IF($A4012="","",원본명단!$D4011)</f>
        <v/>
      </c>
      <c r="E4012" s="11" t="str">
        <f aca="false">IF($A4012="","",IF(원본명단!$H4011="",0,COUNTIF(원본명단!$H$3:$H$6002,원본명단!$H4011)))</f>
        <v/>
      </c>
      <c r="F4012" s="11" t="str">
        <f aca="false">IF($A4012="","",IF(원본명단!$I4011="",0,COUNTIF(원본명단!$I$3:$I$6002,원본명단!$I4011)))</f>
        <v/>
      </c>
      <c r="G4012" s="11" t="str">
        <f aca="false">IF($A4012="","",IF(원본명단!$K4011="",0,COUNTIF(원본명단!$K$3:$K$6002,원본명단!$K4011)))</f>
        <v/>
      </c>
      <c r="H4012" s="11" t="str">
        <f aca="false">IF($A4012="","",IF(MAX($E4012,$F4012,$G4012)&gt;1,"중복","-"))</f>
        <v/>
      </c>
      <c r="I4012" s="11" t="str">
        <f aca="false">IF($A4012="","",IF($H4012="-","-",IF(AND(IF(원본명단!$H4011="",TRUE(),COUNTIF(원본명단!$H$3:$H4011,원본명단!$H4011)=1),IF(원본명단!$I4011="",TRUE(),COUNTIF(원본명단!$I$3:$I4011,원본명단!$I4011)=1),IF(원본명단!$K4011="",TRUE(),COUNTIF(원본명단!$K$3:$K4011,원본명단!$K4011)=1)),"첫 건","중복 건")))</f>
        <v/>
      </c>
      <c r="J4012" s="11" t="str">
        <f aca="false">IF($A4012="","",IF($H4012="-","유지",IF($I4012="첫 건","유지","확인 필요")))</f>
        <v/>
      </c>
    </row>
    <row r="4013" customFormat="false" ht="15" hidden="false" customHeight="true" outlineLevel="0" collapsed="false">
      <c r="A4013" s="11" t="str">
        <f aca="false">IF(원본명단!$A4012="","",4010)</f>
        <v/>
      </c>
      <c r="B4013" s="12" t="str">
        <f aca="false">IF($A4013="","",원본명단!$A4012)</f>
        <v/>
      </c>
      <c r="C4013" s="12" t="str">
        <f aca="false">IF($A4013="","",원본명단!$B4012)</f>
        <v/>
      </c>
      <c r="D4013" s="12" t="str">
        <f aca="false">IF($A4013="","",원본명단!$D4012)</f>
        <v/>
      </c>
      <c r="E4013" s="11" t="str">
        <f aca="false">IF($A4013="","",IF(원본명단!$H4012="",0,COUNTIF(원본명단!$H$3:$H$6002,원본명단!$H4012)))</f>
        <v/>
      </c>
      <c r="F4013" s="11" t="str">
        <f aca="false">IF($A4013="","",IF(원본명단!$I4012="",0,COUNTIF(원본명단!$I$3:$I$6002,원본명단!$I4012)))</f>
        <v/>
      </c>
      <c r="G4013" s="11" t="str">
        <f aca="false">IF($A4013="","",IF(원본명단!$K4012="",0,COUNTIF(원본명단!$K$3:$K$6002,원본명단!$K4012)))</f>
        <v/>
      </c>
      <c r="H4013" s="11" t="str">
        <f aca="false">IF($A4013="","",IF(MAX($E4013,$F4013,$G4013)&gt;1,"중복","-"))</f>
        <v/>
      </c>
      <c r="I4013" s="11" t="str">
        <f aca="false">IF($A4013="","",IF($H4013="-","-",IF(AND(IF(원본명단!$H4012="",TRUE(),COUNTIF(원본명단!$H$3:$H4012,원본명단!$H4012)=1),IF(원본명단!$I4012="",TRUE(),COUNTIF(원본명단!$I$3:$I4012,원본명단!$I4012)=1),IF(원본명단!$K4012="",TRUE(),COUNTIF(원본명단!$K$3:$K4012,원본명단!$K4012)=1)),"첫 건","중복 건")))</f>
        <v/>
      </c>
      <c r="J4013" s="11" t="str">
        <f aca="false">IF($A4013="","",IF($H4013="-","유지",IF($I4013="첫 건","유지","확인 필요")))</f>
        <v/>
      </c>
    </row>
    <row r="4014" customFormat="false" ht="15" hidden="false" customHeight="true" outlineLevel="0" collapsed="false">
      <c r="A4014" s="11" t="str">
        <f aca="false">IF(원본명단!$A4013="","",4011)</f>
        <v/>
      </c>
      <c r="B4014" s="12" t="str">
        <f aca="false">IF($A4014="","",원본명단!$A4013)</f>
        <v/>
      </c>
      <c r="C4014" s="12" t="str">
        <f aca="false">IF($A4014="","",원본명단!$B4013)</f>
        <v/>
      </c>
      <c r="D4014" s="12" t="str">
        <f aca="false">IF($A4014="","",원본명단!$D4013)</f>
        <v/>
      </c>
      <c r="E4014" s="11" t="str">
        <f aca="false">IF($A4014="","",IF(원본명단!$H4013="",0,COUNTIF(원본명단!$H$3:$H$6002,원본명단!$H4013)))</f>
        <v/>
      </c>
      <c r="F4014" s="11" t="str">
        <f aca="false">IF($A4014="","",IF(원본명단!$I4013="",0,COUNTIF(원본명단!$I$3:$I$6002,원본명단!$I4013)))</f>
        <v/>
      </c>
      <c r="G4014" s="11" t="str">
        <f aca="false">IF($A4014="","",IF(원본명단!$K4013="",0,COUNTIF(원본명단!$K$3:$K$6002,원본명단!$K4013)))</f>
        <v/>
      </c>
      <c r="H4014" s="11" t="str">
        <f aca="false">IF($A4014="","",IF(MAX($E4014,$F4014,$G4014)&gt;1,"중복","-"))</f>
        <v/>
      </c>
      <c r="I4014" s="11" t="str">
        <f aca="false">IF($A4014="","",IF($H4014="-","-",IF(AND(IF(원본명단!$H4013="",TRUE(),COUNTIF(원본명단!$H$3:$H4013,원본명단!$H4013)=1),IF(원본명단!$I4013="",TRUE(),COUNTIF(원본명단!$I$3:$I4013,원본명단!$I4013)=1),IF(원본명단!$K4013="",TRUE(),COUNTIF(원본명단!$K$3:$K4013,원본명단!$K4013)=1)),"첫 건","중복 건")))</f>
        <v/>
      </c>
      <c r="J4014" s="11" t="str">
        <f aca="false">IF($A4014="","",IF($H4014="-","유지",IF($I4014="첫 건","유지","확인 필요")))</f>
        <v/>
      </c>
    </row>
    <row r="4015" customFormat="false" ht="15" hidden="false" customHeight="true" outlineLevel="0" collapsed="false">
      <c r="A4015" s="11" t="str">
        <f aca="false">IF(원본명단!$A4014="","",4012)</f>
        <v/>
      </c>
      <c r="B4015" s="12" t="str">
        <f aca="false">IF($A4015="","",원본명단!$A4014)</f>
        <v/>
      </c>
      <c r="C4015" s="12" t="str">
        <f aca="false">IF($A4015="","",원본명단!$B4014)</f>
        <v/>
      </c>
      <c r="D4015" s="12" t="str">
        <f aca="false">IF($A4015="","",원본명단!$D4014)</f>
        <v/>
      </c>
      <c r="E4015" s="11" t="str">
        <f aca="false">IF($A4015="","",IF(원본명단!$H4014="",0,COUNTIF(원본명단!$H$3:$H$6002,원본명단!$H4014)))</f>
        <v/>
      </c>
      <c r="F4015" s="11" t="str">
        <f aca="false">IF($A4015="","",IF(원본명단!$I4014="",0,COUNTIF(원본명단!$I$3:$I$6002,원본명단!$I4014)))</f>
        <v/>
      </c>
      <c r="G4015" s="11" t="str">
        <f aca="false">IF($A4015="","",IF(원본명단!$K4014="",0,COUNTIF(원본명단!$K$3:$K$6002,원본명단!$K4014)))</f>
        <v/>
      </c>
      <c r="H4015" s="11" t="str">
        <f aca="false">IF($A4015="","",IF(MAX($E4015,$F4015,$G4015)&gt;1,"중복","-"))</f>
        <v/>
      </c>
      <c r="I4015" s="11" t="str">
        <f aca="false">IF($A4015="","",IF($H4015="-","-",IF(AND(IF(원본명단!$H4014="",TRUE(),COUNTIF(원본명단!$H$3:$H4014,원본명단!$H4014)=1),IF(원본명단!$I4014="",TRUE(),COUNTIF(원본명단!$I$3:$I4014,원본명단!$I4014)=1),IF(원본명단!$K4014="",TRUE(),COUNTIF(원본명단!$K$3:$K4014,원본명단!$K4014)=1)),"첫 건","중복 건")))</f>
        <v/>
      </c>
      <c r="J4015" s="11" t="str">
        <f aca="false">IF($A4015="","",IF($H4015="-","유지",IF($I4015="첫 건","유지","확인 필요")))</f>
        <v/>
      </c>
    </row>
    <row r="4016" customFormat="false" ht="15" hidden="false" customHeight="true" outlineLevel="0" collapsed="false">
      <c r="A4016" s="11" t="str">
        <f aca="false">IF(원본명단!$A4015="","",4013)</f>
        <v/>
      </c>
      <c r="B4016" s="12" t="str">
        <f aca="false">IF($A4016="","",원본명단!$A4015)</f>
        <v/>
      </c>
      <c r="C4016" s="12" t="str">
        <f aca="false">IF($A4016="","",원본명단!$B4015)</f>
        <v/>
      </c>
      <c r="D4016" s="12" t="str">
        <f aca="false">IF($A4016="","",원본명단!$D4015)</f>
        <v/>
      </c>
      <c r="E4016" s="11" t="str">
        <f aca="false">IF($A4016="","",IF(원본명단!$H4015="",0,COUNTIF(원본명단!$H$3:$H$6002,원본명단!$H4015)))</f>
        <v/>
      </c>
      <c r="F4016" s="11" t="str">
        <f aca="false">IF($A4016="","",IF(원본명단!$I4015="",0,COUNTIF(원본명단!$I$3:$I$6002,원본명단!$I4015)))</f>
        <v/>
      </c>
      <c r="G4016" s="11" t="str">
        <f aca="false">IF($A4016="","",IF(원본명단!$K4015="",0,COUNTIF(원본명단!$K$3:$K$6002,원본명단!$K4015)))</f>
        <v/>
      </c>
      <c r="H4016" s="11" t="str">
        <f aca="false">IF($A4016="","",IF(MAX($E4016,$F4016,$G4016)&gt;1,"중복","-"))</f>
        <v/>
      </c>
      <c r="I4016" s="11" t="str">
        <f aca="false">IF($A4016="","",IF($H4016="-","-",IF(AND(IF(원본명단!$H4015="",TRUE(),COUNTIF(원본명단!$H$3:$H4015,원본명단!$H4015)=1),IF(원본명단!$I4015="",TRUE(),COUNTIF(원본명단!$I$3:$I4015,원본명단!$I4015)=1),IF(원본명단!$K4015="",TRUE(),COUNTIF(원본명단!$K$3:$K4015,원본명단!$K4015)=1)),"첫 건","중복 건")))</f>
        <v/>
      </c>
      <c r="J4016" s="11" t="str">
        <f aca="false">IF($A4016="","",IF($H4016="-","유지",IF($I4016="첫 건","유지","확인 필요")))</f>
        <v/>
      </c>
    </row>
    <row r="4017" customFormat="false" ht="15" hidden="false" customHeight="true" outlineLevel="0" collapsed="false">
      <c r="A4017" s="11" t="str">
        <f aca="false">IF(원본명단!$A4016="","",4014)</f>
        <v/>
      </c>
      <c r="B4017" s="12" t="str">
        <f aca="false">IF($A4017="","",원본명단!$A4016)</f>
        <v/>
      </c>
      <c r="C4017" s="12" t="str">
        <f aca="false">IF($A4017="","",원본명단!$B4016)</f>
        <v/>
      </c>
      <c r="D4017" s="12" t="str">
        <f aca="false">IF($A4017="","",원본명단!$D4016)</f>
        <v/>
      </c>
      <c r="E4017" s="11" t="str">
        <f aca="false">IF($A4017="","",IF(원본명단!$H4016="",0,COUNTIF(원본명단!$H$3:$H$6002,원본명단!$H4016)))</f>
        <v/>
      </c>
      <c r="F4017" s="11" t="str">
        <f aca="false">IF($A4017="","",IF(원본명단!$I4016="",0,COUNTIF(원본명단!$I$3:$I$6002,원본명단!$I4016)))</f>
        <v/>
      </c>
      <c r="G4017" s="11" t="str">
        <f aca="false">IF($A4017="","",IF(원본명단!$K4016="",0,COUNTIF(원본명단!$K$3:$K$6002,원본명단!$K4016)))</f>
        <v/>
      </c>
      <c r="H4017" s="11" t="str">
        <f aca="false">IF($A4017="","",IF(MAX($E4017,$F4017,$G4017)&gt;1,"중복","-"))</f>
        <v/>
      </c>
      <c r="I4017" s="11" t="str">
        <f aca="false">IF($A4017="","",IF($H4017="-","-",IF(AND(IF(원본명단!$H4016="",TRUE(),COUNTIF(원본명단!$H$3:$H4016,원본명단!$H4016)=1),IF(원본명단!$I4016="",TRUE(),COUNTIF(원본명단!$I$3:$I4016,원본명단!$I4016)=1),IF(원본명단!$K4016="",TRUE(),COUNTIF(원본명단!$K$3:$K4016,원본명단!$K4016)=1)),"첫 건","중복 건")))</f>
        <v/>
      </c>
      <c r="J4017" s="11" t="str">
        <f aca="false">IF($A4017="","",IF($H4017="-","유지",IF($I4017="첫 건","유지","확인 필요")))</f>
        <v/>
      </c>
    </row>
    <row r="4018" customFormat="false" ht="15" hidden="false" customHeight="true" outlineLevel="0" collapsed="false">
      <c r="A4018" s="11" t="str">
        <f aca="false">IF(원본명단!$A4017="","",4015)</f>
        <v/>
      </c>
      <c r="B4018" s="12" t="str">
        <f aca="false">IF($A4018="","",원본명단!$A4017)</f>
        <v/>
      </c>
      <c r="C4018" s="12" t="str">
        <f aca="false">IF($A4018="","",원본명단!$B4017)</f>
        <v/>
      </c>
      <c r="D4018" s="12" t="str">
        <f aca="false">IF($A4018="","",원본명단!$D4017)</f>
        <v/>
      </c>
      <c r="E4018" s="11" t="str">
        <f aca="false">IF($A4018="","",IF(원본명단!$H4017="",0,COUNTIF(원본명단!$H$3:$H$6002,원본명단!$H4017)))</f>
        <v/>
      </c>
      <c r="F4018" s="11" t="str">
        <f aca="false">IF($A4018="","",IF(원본명단!$I4017="",0,COUNTIF(원본명단!$I$3:$I$6002,원본명단!$I4017)))</f>
        <v/>
      </c>
      <c r="G4018" s="11" t="str">
        <f aca="false">IF($A4018="","",IF(원본명단!$K4017="",0,COUNTIF(원본명단!$K$3:$K$6002,원본명단!$K4017)))</f>
        <v/>
      </c>
      <c r="H4018" s="11" t="str">
        <f aca="false">IF($A4018="","",IF(MAX($E4018,$F4018,$G4018)&gt;1,"중복","-"))</f>
        <v/>
      </c>
      <c r="I4018" s="11" t="str">
        <f aca="false">IF($A4018="","",IF($H4018="-","-",IF(AND(IF(원본명단!$H4017="",TRUE(),COUNTIF(원본명단!$H$3:$H4017,원본명단!$H4017)=1),IF(원본명단!$I4017="",TRUE(),COUNTIF(원본명단!$I$3:$I4017,원본명단!$I4017)=1),IF(원본명단!$K4017="",TRUE(),COUNTIF(원본명단!$K$3:$K4017,원본명단!$K4017)=1)),"첫 건","중복 건")))</f>
        <v/>
      </c>
      <c r="J4018" s="11" t="str">
        <f aca="false">IF($A4018="","",IF($H4018="-","유지",IF($I4018="첫 건","유지","확인 필요")))</f>
        <v/>
      </c>
    </row>
    <row r="4019" customFormat="false" ht="15" hidden="false" customHeight="true" outlineLevel="0" collapsed="false">
      <c r="A4019" s="11" t="str">
        <f aca="false">IF(원본명단!$A4018="","",4016)</f>
        <v/>
      </c>
      <c r="B4019" s="12" t="str">
        <f aca="false">IF($A4019="","",원본명단!$A4018)</f>
        <v/>
      </c>
      <c r="C4019" s="12" t="str">
        <f aca="false">IF($A4019="","",원본명단!$B4018)</f>
        <v/>
      </c>
      <c r="D4019" s="12" t="str">
        <f aca="false">IF($A4019="","",원본명단!$D4018)</f>
        <v/>
      </c>
      <c r="E4019" s="11" t="str">
        <f aca="false">IF($A4019="","",IF(원본명단!$H4018="",0,COUNTIF(원본명단!$H$3:$H$6002,원본명단!$H4018)))</f>
        <v/>
      </c>
      <c r="F4019" s="11" t="str">
        <f aca="false">IF($A4019="","",IF(원본명단!$I4018="",0,COUNTIF(원본명단!$I$3:$I$6002,원본명단!$I4018)))</f>
        <v/>
      </c>
      <c r="G4019" s="11" t="str">
        <f aca="false">IF($A4019="","",IF(원본명단!$K4018="",0,COUNTIF(원본명단!$K$3:$K$6002,원본명단!$K4018)))</f>
        <v/>
      </c>
      <c r="H4019" s="11" t="str">
        <f aca="false">IF($A4019="","",IF(MAX($E4019,$F4019,$G4019)&gt;1,"중복","-"))</f>
        <v/>
      </c>
      <c r="I4019" s="11" t="str">
        <f aca="false">IF($A4019="","",IF($H4019="-","-",IF(AND(IF(원본명단!$H4018="",TRUE(),COUNTIF(원본명단!$H$3:$H4018,원본명단!$H4018)=1),IF(원본명단!$I4018="",TRUE(),COUNTIF(원본명단!$I$3:$I4018,원본명단!$I4018)=1),IF(원본명단!$K4018="",TRUE(),COUNTIF(원본명단!$K$3:$K4018,원본명단!$K4018)=1)),"첫 건","중복 건")))</f>
        <v/>
      </c>
      <c r="J4019" s="11" t="str">
        <f aca="false">IF($A4019="","",IF($H4019="-","유지",IF($I4019="첫 건","유지","확인 필요")))</f>
        <v/>
      </c>
    </row>
    <row r="4020" customFormat="false" ht="15" hidden="false" customHeight="true" outlineLevel="0" collapsed="false">
      <c r="A4020" s="11" t="str">
        <f aca="false">IF(원본명단!$A4019="","",4017)</f>
        <v/>
      </c>
      <c r="B4020" s="12" t="str">
        <f aca="false">IF($A4020="","",원본명단!$A4019)</f>
        <v/>
      </c>
      <c r="C4020" s="12" t="str">
        <f aca="false">IF($A4020="","",원본명단!$B4019)</f>
        <v/>
      </c>
      <c r="D4020" s="12" t="str">
        <f aca="false">IF($A4020="","",원본명단!$D4019)</f>
        <v/>
      </c>
      <c r="E4020" s="11" t="str">
        <f aca="false">IF($A4020="","",IF(원본명단!$H4019="",0,COUNTIF(원본명단!$H$3:$H$6002,원본명단!$H4019)))</f>
        <v/>
      </c>
      <c r="F4020" s="11" t="str">
        <f aca="false">IF($A4020="","",IF(원본명단!$I4019="",0,COUNTIF(원본명단!$I$3:$I$6002,원본명단!$I4019)))</f>
        <v/>
      </c>
      <c r="G4020" s="11" t="str">
        <f aca="false">IF($A4020="","",IF(원본명단!$K4019="",0,COUNTIF(원본명단!$K$3:$K$6002,원본명단!$K4019)))</f>
        <v/>
      </c>
      <c r="H4020" s="11" t="str">
        <f aca="false">IF($A4020="","",IF(MAX($E4020,$F4020,$G4020)&gt;1,"중복","-"))</f>
        <v/>
      </c>
      <c r="I4020" s="11" t="str">
        <f aca="false">IF($A4020="","",IF($H4020="-","-",IF(AND(IF(원본명단!$H4019="",TRUE(),COUNTIF(원본명단!$H$3:$H4019,원본명단!$H4019)=1),IF(원본명단!$I4019="",TRUE(),COUNTIF(원본명단!$I$3:$I4019,원본명단!$I4019)=1),IF(원본명단!$K4019="",TRUE(),COUNTIF(원본명단!$K$3:$K4019,원본명단!$K4019)=1)),"첫 건","중복 건")))</f>
        <v/>
      </c>
      <c r="J4020" s="11" t="str">
        <f aca="false">IF($A4020="","",IF($H4020="-","유지",IF($I4020="첫 건","유지","확인 필요")))</f>
        <v/>
      </c>
    </row>
    <row r="4021" customFormat="false" ht="15" hidden="false" customHeight="true" outlineLevel="0" collapsed="false">
      <c r="A4021" s="11" t="str">
        <f aca="false">IF(원본명단!$A4020="","",4018)</f>
        <v/>
      </c>
      <c r="B4021" s="12" t="str">
        <f aca="false">IF($A4021="","",원본명단!$A4020)</f>
        <v/>
      </c>
      <c r="C4021" s="12" t="str">
        <f aca="false">IF($A4021="","",원본명단!$B4020)</f>
        <v/>
      </c>
      <c r="D4021" s="12" t="str">
        <f aca="false">IF($A4021="","",원본명단!$D4020)</f>
        <v/>
      </c>
      <c r="E4021" s="11" t="str">
        <f aca="false">IF($A4021="","",IF(원본명단!$H4020="",0,COUNTIF(원본명단!$H$3:$H$6002,원본명단!$H4020)))</f>
        <v/>
      </c>
      <c r="F4021" s="11" t="str">
        <f aca="false">IF($A4021="","",IF(원본명단!$I4020="",0,COUNTIF(원본명단!$I$3:$I$6002,원본명단!$I4020)))</f>
        <v/>
      </c>
      <c r="G4021" s="11" t="str">
        <f aca="false">IF($A4021="","",IF(원본명단!$K4020="",0,COUNTIF(원본명단!$K$3:$K$6002,원본명단!$K4020)))</f>
        <v/>
      </c>
      <c r="H4021" s="11" t="str">
        <f aca="false">IF($A4021="","",IF(MAX($E4021,$F4021,$G4021)&gt;1,"중복","-"))</f>
        <v/>
      </c>
      <c r="I4021" s="11" t="str">
        <f aca="false">IF($A4021="","",IF($H4021="-","-",IF(AND(IF(원본명단!$H4020="",TRUE(),COUNTIF(원본명단!$H$3:$H4020,원본명단!$H4020)=1),IF(원본명단!$I4020="",TRUE(),COUNTIF(원본명단!$I$3:$I4020,원본명단!$I4020)=1),IF(원본명단!$K4020="",TRUE(),COUNTIF(원본명단!$K$3:$K4020,원본명단!$K4020)=1)),"첫 건","중복 건")))</f>
        <v/>
      </c>
      <c r="J4021" s="11" t="str">
        <f aca="false">IF($A4021="","",IF($H4021="-","유지",IF($I4021="첫 건","유지","확인 필요")))</f>
        <v/>
      </c>
    </row>
    <row r="4022" customFormat="false" ht="15" hidden="false" customHeight="true" outlineLevel="0" collapsed="false">
      <c r="A4022" s="11" t="str">
        <f aca="false">IF(원본명단!$A4021="","",4019)</f>
        <v/>
      </c>
      <c r="B4022" s="12" t="str">
        <f aca="false">IF($A4022="","",원본명단!$A4021)</f>
        <v/>
      </c>
      <c r="C4022" s="12" t="str">
        <f aca="false">IF($A4022="","",원본명단!$B4021)</f>
        <v/>
      </c>
      <c r="D4022" s="12" t="str">
        <f aca="false">IF($A4022="","",원본명단!$D4021)</f>
        <v/>
      </c>
      <c r="E4022" s="11" t="str">
        <f aca="false">IF($A4022="","",IF(원본명단!$H4021="",0,COUNTIF(원본명단!$H$3:$H$6002,원본명단!$H4021)))</f>
        <v/>
      </c>
      <c r="F4022" s="11" t="str">
        <f aca="false">IF($A4022="","",IF(원본명단!$I4021="",0,COUNTIF(원본명단!$I$3:$I$6002,원본명단!$I4021)))</f>
        <v/>
      </c>
      <c r="G4022" s="11" t="str">
        <f aca="false">IF($A4022="","",IF(원본명단!$K4021="",0,COUNTIF(원본명단!$K$3:$K$6002,원본명단!$K4021)))</f>
        <v/>
      </c>
      <c r="H4022" s="11" t="str">
        <f aca="false">IF($A4022="","",IF(MAX($E4022,$F4022,$G4022)&gt;1,"중복","-"))</f>
        <v/>
      </c>
      <c r="I4022" s="11" t="str">
        <f aca="false">IF($A4022="","",IF($H4022="-","-",IF(AND(IF(원본명단!$H4021="",TRUE(),COUNTIF(원본명단!$H$3:$H4021,원본명단!$H4021)=1),IF(원본명단!$I4021="",TRUE(),COUNTIF(원본명단!$I$3:$I4021,원본명단!$I4021)=1),IF(원본명단!$K4021="",TRUE(),COUNTIF(원본명단!$K$3:$K4021,원본명단!$K4021)=1)),"첫 건","중복 건")))</f>
        <v/>
      </c>
      <c r="J4022" s="11" t="str">
        <f aca="false">IF($A4022="","",IF($H4022="-","유지",IF($I4022="첫 건","유지","확인 필요")))</f>
        <v/>
      </c>
    </row>
    <row r="4023" customFormat="false" ht="15" hidden="false" customHeight="true" outlineLevel="0" collapsed="false">
      <c r="A4023" s="11" t="str">
        <f aca="false">IF(원본명단!$A4022="","",4020)</f>
        <v/>
      </c>
      <c r="B4023" s="12" t="str">
        <f aca="false">IF($A4023="","",원본명단!$A4022)</f>
        <v/>
      </c>
      <c r="C4023" s="12" t="str">
        <f aca="false">IF($A4023="","",원본명단!$B4022)</f>
        <v/>
      </c>
      <c r="D4023" s="12" t="str">
        <f aca="false">IF($A4023="","",원본명단!$D4022)</f>
        <v/>
      </c>
      <c r="E4023" s="11" t="str">
        <f aca="false">IF($A4023="","",IF(원본명단!$H4022="",0,COUNTIF(원본명단!$H$3:$H$6002,원본명단!$H4022)))</f>
        <v/>
      </c>
      <c r="F4023" s="11" t="str">
        <f aca="false">IF($A4023="","",IF(원본명단!$I4022="",0,COUNTIF(원본명단!$I$3:$I$6002,원본명단!$I4022)))</f>
        <v/>
      </c>
      <c r="G4023" s="11" t="str">
        <f aca="false">IF($A4023="","",IF(원본명단!$K4022="",0,COUNTIF(원본명단!$K$3:$K$6002,원본명단!$K4022)))</f>
        <v/>
      </c>
      <c r="H4023" s="11" t="str">
        <f aca="false">IF($A4023="","",IF(MAX($E4023,$F4023,$G4023)&gt;1,"중복","-"))</f>
        <v/>
      </c>
      <c r="I4023" s="11" t="str">
        <f aca="false">IF($A4023="","",IF($H4023="-","-",IF(AND(IF(원본명단!$H4022="",TRUE(),COUNTIF(원본명단!$H$3:$H4022,원본명단!$H4022)=1),IF(원본명단!$I4022="",TRUE(),COUNTIF(원본명단!$I$3:$I4022,원본명단!$I4022)=1),IF(원본명단!$K4022="",TRUE(),COUNTIF(원본명단!$K$3:$K4022,원본명단!$K4022)=1)),"첫 건","중복 건")))</f>
        <v/>
      </c>
      <c r="J4023" s="11" t="str">
        <f aca="false">IF($A4023="","",IF($H4023="-","유지",IF($I4023="첫 건","유지","확인 필요")))</f>
        <v/>
      </c>
    </row>
    <row r="4024" customFormat="false" ht="15" hidden="false" customHeight="true" outlineLevel="0" collapsed="false">
      <c r="A4024" s="11" t="str">
        <f aca="false">IF(원본명단!$A4023="","",4021)</f>
        <v/>
      </c>
      <c r="B4024" s="12" t="str">
        <f aca="false">IF($A4024="","",원본명단!$A4023)</f>
        <v/>
      </c>
      <c r="C4024" s="12" t="str">
        <f aca="false">IF($A4024="","",원본명단!$B4023)</f>
        <v/>
      </c>
      <c r="D4024" s="12" t="str">
        <f aca="false">IF($A4024="","",원본명단!$D4023)</f>
        <v/>
      </c>
      <c r="E4024" s="11" t="str">
        <f aca="false">IF($A4024="","",IF(원본명단!$H4023="",0,COUNTIF(원본명단!$H$3:$H$6002,원본명단!$H4023)))</f>
        <v/>
      </c>
      <c r="F4024" s="11" t="str">
        <f aca="false">IF($A4024="","",IF(원본명단!$I4023="",0,COUNTIF(원본명단!$I$3:$I$6002,원본명단!$I4023)))</f>
        <v/>
      </c>
      <c r="G4024" s="11" t="str">
        <f aca="false">IF($A4024="","",IF(원본명단!$K4023="",0,COUNTIF(원본명단!$K$3:$K$6002,원본명단!$K4023)))</f>
        <v/>
      </c>
      <c r="H4024" s="11" t="str">
        <f aca="false">IF($A4024="","",IF(MAX($E4024,$F4024,$G4024)&gt;1,"중복","-"))</f>
        <v/>
      </c>
      <c r="I4024" s="11" t="str">
        <f aca="false">IF($A4024="","",IF($H4024="-","-",IF(AND(IF(원본명단!$H4023="",TRUE(),COUNTIF(원본명단!$H$3:$H4023,원본명단!$H4023)=1),IF(원본명단!$I4023="",TRUE(),COUNTIF(원본명단!$I$3:$I4023,원본명단!$I4023)=1),IF(원본명단!$K4023="",TRUE(),COUNTIF(원본명단!$K$3:$K4023,원본명단!$K4023)=1)),"첫 건","중복 건")))</f>
        <v/>
      </c>
      <c r="J4024" s="11" t="str">
        <f aca="false">IF($A4024="","",IF($H4024="-","유지",IF($I4024="첫 건","유지","확인 필요")))</f>
        <v/>
      </c>
    </row>
    <row r="4025" customFormat="false" ht="15" hidden="false" customHeight="true" outlineLevel="0" collapsed="false">
      <c r="A4025" s="11" t="str">
        <f aca="false">IF(원본명단!$A4024="","",4022)</f>
        <v/>
      </c>
      <c r="B4025" s="12" t="str">
        <f aca="false">IF($A4025="","",원본명단!$A4024)</f>
        <v/>
      </c>
      <c r="C4025" s="12" t="str">
        <f aca="false">IF($A4025="","",원본명단!$B4024)</f>
        <v/>
      </c>
      <c r="D4025" s="12" t="str">
        <f aca="false">IF($A4025="","",원본명단!$D4024)</f>
        <v/>
      </c>
      <c r="E4025" s="11" t="str">
        <f aca="false">IF($A4025="","",IF(원본명단!$H4024="",0,COUNTIF(원본명단!$H$3:$H$6002,원본명단!$H4024)))</f>
        <v/>
      </c>
      <c r="F4025" s="11" t="str">
        <f aca="false">IF($A4025="","",IF(원본명단!$I4024="",0,COUNTIF(원본명단!$I$3:$I$6002,원본명단!$I4024)))</f>
        <v/>
      </c>
      <c r="G4025" s="11" t="str">
        <f aca="false">IF($A4025="","",IF(원본명단!$K4024="",0,COUNTIF(원본명단!$K$3:$K$6002,원본명단!$K4024)))</f>
        <v/>
      </c>
      <c r="H4025" s="11" t="str">
        <f aca="false">IF($A4025="","",IF(MAX($E4025,$F4025,$G4025)&gt;1,"중복","-"))</f>
        <v/>
      </c>
      <c r="I4025" s="11" t="str">
        <f aca="false">IF($A4025="","",IF($H4025="-","-",IF(AND(IF(원본명단!$H4024="",TRUE(),COUNTIF(원본명단!$H$3:$H4024,원본명단!$H4024)=1),IF(원본명단!$I4024="",TRUE(),COUNTIF(원본명단!$I$3:$I4024,원본명단!$I4024)=1),IF(원본명단!$K4024="",TRUE(),COUNTIF(원본명단!$K$3:$K4024,원본명단!$K4024)=1)),"첫 건","중복 건")))</f>
        <v/>
      </c>
      <c r="J4025" s="11" t="str">
        <f aca="false">IF($A4025="","",IF($H4025="-","유지",IF($I4025="첫 건","유지","확인 필요")))</f>
        <v/>
      </c>
    </row>
    <row r="4026" customFormat="false" ht="15" hidden="false" customHeight="true" outlineLevel="0" collapsed="false">
      <c r="A4026" s="11" t="str">
        <f aca="false">IF(원본명단!$A4025="","",4023)</f>
        <v/>
      </c>
      <c r="B4026" s="12" t="str">
        <f aca="false">IF($A4026="","",원본명단!$A4025)</f>
        <v/>
      </c>
      <c r="C4026" s="12" t="str">
        <f aca="false">IF($A4026="","",원본명단!$B4025)</f>
        <v/>
      </c>
      <c r="D4026" s="12" t="str">
        <f aca="false">IF($A4026="","",원본명단!$D4025)</f>
        <v/>
      </c>
      <c r="E4026" s="11" t="str">
        <f aca="false">IF($A4026="","",IF(원본명단!$H4025="",0,COUNTIF(원본명단!$H$3:$H$6002,원본명단!$H4025)))</f>
        <v/>
      </c>
      <c r="F4026" s="11" t="str">
        <f aca="false">IF($A4026="","",IF(원본명단!$I4025="",0,COUNTIF(원본명단!$I$3:$I$6002,원본명단!$I4025)))</f>
        <v/>
      </c>
      <c r="G4026" s="11" t="str">
        <f aca="false">IF($A4026="","",IF(원본명단!$K4025="",0,COUNTIF(원본명단!$K$3:$K$6002,원본명단!$K4025)))</f>
        <v/>
      </c>
      <c r="H4026" s="11" t="str">
        <f aca="false">IF($A4026="","",IF(MAX($E4026,$F4026,$G4026)&gt;1,"중복","-"))</f>
        <v/>
      </c>
      <c r="I4026" s="11" t="str">
        <f aca="false">IF($A4026="","",IF($H4026="-","-",IF(AND(IF(원본명단!$H4025="",TRUE(),COUNTIF(원본명단!$H$3:$H4025,원본명단!$H4025)=1),IF(원본명단!$I4025="",TRUE(),COUNTIF(원본명단!$I$3:$I4025,원본명단!$I4025)=1),IF(원본명단!$K4025="",TRUE(),COUNTIF(원본명단!$K$3:$K4025,원본명단!$K4025)=1)),"첫 건","중복 건")))</f>
        <v/>
      </c>
      <c r="J4026" s="11" t="str">
        <f aca="false">IF($A4026="","",IF($H4026="-","유지",IF($I4026="첫 건","유지","확인 필요")))</f>
        <v/>
      </c>
    </row>
    <row r="4027" customFormat="false" ht="15" hidden="false" customHeight="true" outlineLevel="0" collapsed="false">
      <c r="A4027" s="11" t="str">
        <f aca="false">IF(원본명단!$A4026="","",4024)</f>
        <v/>
      </c>
      <c r="B4027" s="12" t="str">
        <f aca="false">IF($A4027="","",원본명단!$A4026)</f>
        <v/>
      </c>
      <c r="C4027" s="12" t="str">
        <f aca="false">IF($A4027="","",원본명단!$B4026)</f>
        <v/>
      </c>
      <c r="D4027" s="12" t="str">
        <f aca="false">IF($A4027="","",원본명단!$D4026)</f>
        <v/>
      </c>
      <c r="E4027" s="11" t="str">
        <f aca="false">IF($A4027="","",IF(원본명단!$H4026="",0,COUNTIF(원본명단!$H$3:$H$6002,원본명단!$H4026)))</f>
        <v/>
      </c>
      <c r="F4027" s="11" t="str">
        <f aca="false">IF($A4027="","",IF(원본명단!$I4026="",0,COUNTIF(원본명단!$I$3:$I$6002,원본명단!$I4026)))</f>
        <v/>
      </c>
      <c r="G4027" s="11" t="str">
        <f aca="false">IF($A4027="","",IF(원본명단!$K4026="",0,COUNTIF(원본명단!$K$3:$K$6002,원본명단!$K4026)))</f>
        <v/>
      </c>
      <c r="H4027" s="11" t="str">
        <f aca="false">IF($A4027="","",IF(MAX($E4027,$F4027,$G4027)&gt;1,"중복","-"))</f>
        <v/>
      </c>
      <c r="I4027" s="11" t="str">
        <f aca="false">IF($A4027="","",IF($H4027="-","-",IF(AND(IF(원본명단!$H4026="",TRUE(),COUNTIF(원본명단!$H$3:$H4026,원본명단!$H4026)=1),IF(원본명단!$I4026="",TRUE(),COUNTIF(원본명단!$I$3:$I4026,원본명단!$I4026)=1),IF(원본명단!$K4026="",TRUE(),COUNTIF(원본명단!$K$3:$K4026,원본명단!$K4026)=1)),"첫 건","중복 건")))</f>
        <v/>
      </c>
      <c r="J4027" s="11" t="str">
        <f aca="false">IF($A4027="","",IF($H4027="-","유지",IF($I4027="첫 건","유지","확인 필요")))</f>
        <v/>
      </c>
    </row>
    <row r="4028" customFormat="false" ht="15" hidden="false" customHeight="true" outlineLevel="0" collapsed="false">
      <c r="A4028" s="11" t="str">
        <f aca="false">IF(원본명단!$A4027="","",4025)</f>
        <v/>
      </c>
      <c r="B4028" s="12" t="str">
        <f aca="false">IF($A4028="","",원본명단!$A4027)</f>
        <v/>
      </c>
      <c r="C4028" s="12" t="str">
        <f aca="false">IF($A4028="","",원본명단!$B4027)</f>
        <v/>
      </c>
      <c r="D4028" s="12" t="str">
        <f aca="false">IF($A4028="","",원본명단!$D4027)</f>
        <v/>
      </c>
      <c r="E4028" s="11" t="str">
        <f aca="false">IF($A4028="","",IF(원본명단!$H4027="",0,COUNTIF(원본명단!$H$3:$H$6002,원본명단!$H4027)))</f>
        <v/>
      </c>
      <c r="F4028" s="11" t="str">
        <f aca="false">IF($A4028="","",IF(원본명단!$I4027="",0,COUNTIF(원본명단!$I$3:$I$6002,원본명단!$I4027)))</f>
        <v/>
      </c>
      <c r="G4028" s="11" t="str">
        <f aca="false">IF($A4028="","",IF(원본명단!$K4027="",0,COUNTIF(원본명단!$K$3:$K$6002,원본명단!$K4027)))</f>
        <v/>
      </c>
      <c r="H4028" s="11" t="str">
        <f aca="false">IF($A4028="","",IF(MAX($E4028,$F4028,$G4028)&gt;1,"중복","-"))</f>
        <v/>
      </c>
      <c r="I4028" s="11" t="str">
        <f aca="false">IF($A4028="","",IF($H4028="-","-",IF(AND(IF(원본명단!$H4027="",TRUE(),COUNTIF(원본명단!$H$3:$H4027,원본명단!$H4027)=1),IF(원본명단!$I4027="",TRUE(),COUNTIF(원본명단!$I$3:$I4027,원본명단!$I4027)=1),IF(원본명단!$K4027="",TRUE(),COUNTIF(원본명단!$K$3:$K4027,원본명단!$K4027)=1)),"첫 건","중복 건")))</f>
        <v/>
      </c>
      <c r="J4028" s="11" t="str">
        <f aca="false">IF($A4028="","",IF($H4028="-","유지",IF($I4028="첫 건","유지","확인 필요")))</f>
        <v/>
      </c>
    </row>
    <row r="4029" customFormat="false" ht="15" hidden="false" customHeight="true" outlineLevel="0" collapsed="false">
      <c r="A4029" s="11" t="str">
        <f aca="false">IF(원본명단!$A4028="","",4026)</f>
        <v/>
      </c>
      <c r="B4029" s="12" t="str">
        <f aca="false">IF($A4029="","",원본명단!$A4028)</f>
        <v/>
      </c>
      <c r="C4029" s="12" t="str">
        <f aca="false">IF($A4029="","",원본명단!$B4028)</f>
        <v/>
      </c>
      <c r="D4029" s="12" t="str">
        <f aca="false">IF($A4029="","",원본명단!$D4028)</f>
        <v/>
      </c>
      <c r="E4029" s="11" t="str">
        <f aca="false">IF($A4029="","",IF(원본명단!$H4028="",0,COUNTIF(원본명단!$H$3:$H$6002,원본명단!$H4028)))</f>
        <v/>
      </c>
      <c r="F4029" s="11" t="str">
        <f aca="false">IF($A4029="","",IF(원본명단!$I4028="",0,COUNTIF(원본명단!$I$3:$I$6002,원본명단!$I4028)))</f>
        <v/>
      </c>
      <c r="G4029" s="11" t="str">
        <f aca="false">IF($A4029="","",IF(원본명단!$K4028="",0,COUNTIF(원본명단!$K$3:$K$6002,원본명단!$K4028)))</f>
        <v/>
      </c>
      <c r="H4029" s="11" t="str">
        <f aca="false">IF($A4029="","",IF(MAX($E4029,$F4029,$G4029)&gt;1,"중복","-"))</f>
        <v/>
      </c>
      <c r="I4029" s="11" t="str">
        <f aca="false">IF($A4029="","",IF($H4029="-","-",IF(AND(IF(원본명단!$H4028="",TRUE(),COUNTIF(원본명단!$H$3:$H4028,원본명단!$H4028)=1),IF(원본명단!$I4028="",TRUE(),COUNTIF(원본명단!$I$3:$I4028,원본명단!$I4028)=1),IF(원본명단!$K4028="",TRUE(),COUNTIF(원본명단!$K$3:$K4028,원본명단!$K4028)=1)),"첫 건","중복 건")))</f>
        <v/>
      </c>
      <c r="J4029" s="11" t="str">
        <f aca="false">IF($A4029="","",IF($H4029="-","유지",IF($I4029="첫 건","유지","확인 필요")))</f>
        <v/>
      </c>
    </row>
    <row r="4030" customFormat="false" ht="15" hidden="false" customHeight="true" outlineLevel="0" collapsed="false">
      <c r="A4030" s="11" t="str">
        <f aca="false">IF(원본명단!$A4029="","",4027)</f>
        <v/>
      </c>
      <c r="B4030" s="12" t="str">
        <f aca="false">IF($A4030="","",원본명단!$A4029)</f>
        <v/>
      </c>
      <c r="C4030" s="12" t="str">
        <f aca="false">IF($A4030="","",원본명단!$B4029)</f>
        <v/>
      </c>
      <c r="D4030" s="12" t="str">
        <f aca="false">IF($A4030="","",원본명단!$D4029)</f>
        <v/>
      </c>
      <c r="E4030" s="11" t="str">
        <f aca="false">IF($A4030="","",IF(원본명단!$H4029="",0,COUNTIF(원본명단!$H$3:$H$6002,원본명단!$H4029)))</f>
        <v/>
      </c>
      <c r="F4030" s="11" t="str">
        <f aca="false">IF($A4030="","",IF(원본명단!$I4029="",0,COUNTIF(원본명단!$I$3:$I$6002,원본명단!$I4029)))</f>
        <v/>
      </c>
      <c r="G4030" s="11" t="str">
        <f aca="false">IF($A4030="","",IF(원본명단!$K4029="",0,COUNTIF(원본명단!$K$3:$K$6002,원본명단!$K4029)))</f>
        <v/>
      </c>
      <c r="H4030" s="11" t="str">
        <f aca="false">IF($A4030="","",IF(MAX($E4030,$F4030,$G4030)&gt;1,"중복","-"))</f>
        <v/>
      </c>
      <c r="I4030" s="11" t="str">
        <f aca="false">IF($A4030="","",IF($H4030="-","-",IF(AND(IF(원본명단!$H4029="",TRUE(),COUNTIF(원본명단!$H$3:$H4029,원본명단!$H4029)=1),IF(원본명단!$I4029="",TRUE(),COUNTIF(원본명단!$I$3:$I4029,원본명단!$I4029)=1),IF(원본명단!$K4029="",TRUE(),COUNTIF(원본명단!$K$3:$K4029,원본명단!$K4029)=1)),"첫 건","중복 건")))</f>
        <v/>
      </c>
      <c r="J4030" s="11" t="str">
        <f aca="false">IF($A4030="","",IF($H4030="-","유지",IF($I4030="첫 건","유지","확인 필요")))</f>
        <v/>
      </c>
    </row>
    <row r="4031" customFormat="false" ht="15" hidden="false" customHeight="true" outlineLevel="0" collapsed="false">
      <c r="A4031" s="11" t="str">
        <f aca="false">IF(원본명단!$A4030="","",4028)</f>
        <v/>
      </c>
      <c r="B4031" s="12" t="str">
        <f aca="false">IF($A4031="","",원본명단!$A4030)</f>
        <v/>
      </c>
      <c r="C4031" s="12" t="str">
        <f aca="false">IF($A4031="","",원본명단!$B4030)</f>
        <v/>
      </c>
      <c r="D4031" s="12" t="str">
        <f aca="false">IF($A4031="","",원본명단!$D4030)</f>
        <v/>
      </c>
      <c r="E4031" s="11" t="str">
        <f aca="false">IF($A4031="","",IF(원본명단!$H4030="",0,COUNTIF(원본명단!$H$3:$H$6002,원본명단!$H4030)))</f>
        <v/>
      </c>
      <c r="F4031" s="11" t="str">
        <f aca="false">IF($A4031="","",IF(원본명단!$I4030="",0,COUNTIF(원본명단!$I$3:$I$6002,원본명단!$I4030)))</f>
        <v/>
      </c>
      <c r="G4031" s="11" t="str">
        <f aca="false">IF($A4031="","",IF(원본명단!$K4030="",0,COUNTIF(원본명단!$K$3:$K$6002,원본명단!$K4030)))</f>
        <v/>
      </c>
      <c r="H4031" s="11" t="str">
        <f aca="false">IF($A4031="","",IF(MAX($E4031,$F4031,$G4031)&gt;1,"중복","-"))</f>
        <v/>
      </c>
      <c r="I4031" s="11" t="str">
        <f aca="false">IF($A4031="","",IF($H4031="-","-",IF(AND(IF(원본명단!$H4030="",TRUE(),COUNTIF(원본명단!$H$3:$H4030,원본명단!$H4030)=1),IF(원본명단!$I4030="",TRUE(),COUNTIF(원본명단!$I$3:$I4030,원본명단!$I4030)=1),IF(원본명단!$K4030="",TRUE(),COUNTIF(원본명단!$K$3:$K4030,원본명단!$K4030)=1)),"첫 건","중복 건")))</f>
        <v/>
      </c>
      <c r="J4031" s="11" t="str">
        <f aca="false">IF($A4031="","",IF($H4031="-","유지",IF($I4031="첫 건","유지","확인 필요")))</f>
        <v/>
      </c>
    </row>
    <row r="4032" customFormat="false" ht="15" hidden="false" customHeight="true" outlineLevel="0" collapsed="false">
      <c r="A4032" s="11" t="str">
        <f aca="false">IF(원본명단!$A4031="","",4029)</f>
        <v/>
      </c>
      <c r="B4032" s="12" t="str">
        <f aca="false">IF($A4032="","",원본명단!$A4031)</f>
        <v/>
      </c>
      <c r="C4032" s="12" t="str">
        <f aca="false">IF($A4032="","",원본명단!$B4031)</f>
        <v/>
      </c>
      <c r="D4032" s="12" t="str">
        <f aca="false">IF($A4032="","",원본명단!$D4031)</f>
        <v/>
      </c>
      <c r="E4032" s="11" t="str">
        <f aca="false">IF($A4032="","",IF(원본명단!$H4031="",0,COUNTIF(원본명단!$H$3:$H$6002,원본명단!$H4031)))</f>
        <v/>
      </c>
      <c r="F4032" s="11" t="str">
        <f aca="false">IF($A4032="","",IF(원본명단!$I4031="",0,COUNTIF(원본명단!$I$3:$I$6002,원본명단!$I4031)))</f>
        <v/>
      </c>
      <c r="G4032" s="11" t="str">
        <f aca="false">IF($A4032="","",IF(원본명단!$K4031="",0,COUNTIF(원본명단!$K$3:$K$6002,원본명단!$K4031)))</f>
        <v/>
      </c>
      <c r="H4032" s="11" t="str">
        <f aca="false">IF($A4032="","",IF(MAX($E4032,$F4032,$G4032)&gt;1,"중복","-"))</f>
        <v/>
      </c>
      <c r="I4032" s="11" t="str">
        <f aca="false">IF($A4032="","",IF($H4032="-","-",IF(AND(IF(원본명단!$H4031="",TRUE(),COUNTIF(원본명단!$H$3:$H4031,원본명단!$H4031)=1),IF(원본명단!$I4031="",TRUE(),COUNTIF(원본명단!$I$3:$I4031,원본명단!$I4031)=1),IF(원본명단!$K4031="",TRUE(),COUNTIF(원본명단!$K$3:$K4031,원본명단!$K4031)=1)),"첫 건","중복 건")))</f>
        <v/>
      </c>
      <c r="J4032" s="11" t="str">
        <f aca="false">IF($A4032="","",IF($H4032="-","유지",IF($I4032="첫 건","유지","확인 필요")))</f>
        <v/>
      </c>
    </row>
    <row r="4033" customFormat="false" ht="15" hidden="false" customHeight="true" outlineLevel="0" collapsed="false">
      <c r="A4033" s="11" t="str">
        <f aca="false">IF(원본명단!$A4032="","",4030)</f>
        <v/>
      </c>
      <c r="B4033" s="12" t="str">
        <f aca="false">IF($A4033="","",원본명단!$A4032)</f>
        <v/>
      </c>
      <c r="C4033" s="12" t="str">
        <f aca="false">IF($A4033="","",원본명단!$B4032)</f>
        <v/>
      </c>
      <c r="D4033" s="12" t="str">
        <f aca="false">IF($A4033="","",원본명단!$D4032)</f>
        <v/>
      </c>
      <c r="E4033" s="11" t="str">
        <f aca="false">IF($A4033="","",IF(원본명단!$H4032="",0,COUNTIF(원본명단!$H$3:$H$6002,원본명단!$H4032)))</f>
        <v/>
      </c>
      <c r="F4033" s="11" t="str">
        <f aca="false">IF($A4033="","",IF(원본명단!$I4032="",0,COUNTIF(원본명단!$I$3:$I$6002,원본명단!$I4032)))</f>
        <v/>
      </c>
      <c r="G4033" s="11" t="str">
        <f aca="false">IF($A4033="","",IF(원본명단!$K4032="",0,COUNTIF(원본명단!$K$3:$K$6002,원본명단!$K4032)))</f>
        <v/>
      </c>
      <c r="H4033" s="11" t="str">
        <f aca="false">IF($A4033="","",IF(MAX($E4033,$F4033,$G4033)&gt;1,"중복","-"))</f>
        <v/>
      </c>
      <c r="I4033" s="11" t="str">
        <f aca="false">IF($A4033="","",IF($H4033="-","-",IF(AND(IF(원본명단!$H4032="",TRUE(),COUNTIF(원본명단!$H$3:$H4032,원본명단!$H4032)=1),IF(원본명단!$I4032="",TRUE(),COUNTIF(원본명단!$I$3:$I4032,원본명단!$I4032)=1),IF(원본명단!$K4032="",TRUE(),COUNTIF(원본명단!$K$3:$K4032,원본명단!$K4032)=1)),"첫 건","중복 건")))</f>
        <v/>
      </c>
      <c r="J4033" s="11" t="str">
        <f aca="false">IF($A4033="","",IF($H4033="-","유지",IF($I4033="첫 건","유지","확인 필요")))</f>
        <v/>
      </c>
    </row>
    <row r="4034" customFormat="false" ht="15" hidden="false" customHeight="true" outlineLevel="0" collapsed="false">
      <c r="A4034" s="11" t="str">
        <f aca="false">IF(원본명단!$A4033="","",4031)</f>
        <v/>
      </c>
      <c r="B4034" s="12" t="str">
        <f aca="false">IF($A4034="","",원본명단!$A4033)</f>
        <v/>
      </c>
      <c r="C4034" s="12" t="str">
        <f aca="false">IF($A4034="","",원본명단!$B4033)</f>
        <v/>
      </c>
      <c r="D4034" s="12" t="str">
        <f aca="false">IF($A4034="","",원본명단!$D4033)</f>
        <v/>
      </c>
      <c r="E4034" s="11" t="str">
        <f aca="false">IF($A4034="","",IF(원본명단!$H4033="",0,COUNTIF(원본명단!$H$3:$H$6002,원본명단!$H4033)))</f>
        <v/>
      </c>
      <c r="F4034" s="11" t="str">
        <f aca="false">IF($A4034="","",IF(원본명단!$I4033="",0,COUNTIF(원본명단!$I$3:$I$6002,원본명단!$I4033)))</f>
        <v/>
      </c>
      <c r="G4034" s="11" t="str">
        <f aca="false">IF($A4034="","",IF(원본명단!$K4033="",0,COUNTIF(원본명단!$K$3:$K$6002,원본명단!$K4033)))</f>
        <v/>
      </c>
      <c r="H4034" s="11" t="str">
        <f aca="false">IF($A4034="","",IF(MAX($E4034,$F4034,$G4034)&gt;1,"중복","-"))</f>
        <v/>
      </c>
      <c r="I4034" s="11" t="str">
        <f aca="false">IF($A4034="","",IF($H4034="-","-",IF(AND(IF(원본명단!$H4033="",TRUE(),COUNTIF(원본명단!$H$3:$H4033,원본명단!$H4033)=1),IF(원본명단!$I4033="",TRUE(),COUNTIF(원본명단!$I$3:$I4033,원본명단!$I4033)=1),IF(원본명단!$K4033="",TRUE(),COUNTIF(원본명단!$K$3:$K4033,원본명단!$K4033)=1)),"첫 건","중복 건")))</f>
        <v/>
      </c>
      <c r="J4034" s="11" t="str">
        <f aca="false">IF($A4034="","",IF($H4034="-","유지",IF($I4034="첫 건","유지","확인 필요")))</f>
        <v/>
      </c>
    </row>
    <row r="4035" customFormat="false" ht="15" hidden="false" customHeight="true" outlineLevel="0" collapsed="false">
      <c r="A4035" s="11" t="str">
        <f aca="false">IF(원본명단!$A4034="","",4032)</f>
        <v/>
      </c>
      <c r="B4035" s="12" t="str">
        <f aca="false">IF($A4035="","",원본명단!$A4034)</f>
        <v/>
      </c>
      <c r="C4035" s="12" t="str">
        <f aca="false">IF($A4035="","",원본명단!$B4034)</f>
        <v/>
      </c>
      <c r="D4035" s="12" t="str">
        <f aca="false">IF($A4035="","",원본명단!$D4034)</f>
        <v/>
      </c>
      <c r="E4035" s="11" t="str">
        <f aca="false">IF($A4035="","",IF(원본명단!$H4034="",0,COUNTIF(원본명단!$H$3:$H$6002,원본명단!$H4034)))</f>
        <v/>
      </c>
      <c r="F4035" s="11" t="str">
        <f aca="false">IF($A4035="","",IF(원본명단!$I4034="",0,COUNTIF(원본명단!$I$3:$I$6002,원본명단!$I4034)))</f>
        <v/>
      </c>
      <c r="G4035" s="11" t="str">
        <f aca="false">IF($A4035="","",IF(원본명단!$K4034="",0,COUNTIF(원본명단!$K$3:$K$6002,원본명단!$K4034)))</f>
        <v/>
      </c>
      <c r="H4035" s="11" t="str">
        <f aca="false">IF($A4035="","",IF(MAX($E4035,$F4035,$G4035)&gt;1,"중복","-"))</f>
        <v/>
      </c>
      <c r="I4035" s="11" t="str">
        <f aca="false">IF($A4035="","",IF($H4035="-","-",IF(AND(IF(원본명단!$H4034="",TRUE(),COUNTIF(원본명단!$H$3:$H4034,원본명단!$H4034)=1),IF(원본명단!$I4034="",TRUE(),COUNTIF(원본명단!$I$3:$I4034,원본명단!$I4034)=1),IF(원본명단!$K4034="",TRUE(),COUNTIF(원본명단!$K$3:$K4034,원본명단!$K4034)=1)),"첫 건","중복 건")))</f>
        <v/>
      </c>
      <c r="J4035" s="11" t="str">
        <f aca="false">IF($A4035="","",IF($H4035="-","유지",IF($I4035="첫 건","유지","확인 필요")))</f>
        <v/>
      </c>
    </row>
    <row r="4036" customFormat="false" ht="15" hidden="false" customHeight="true" outlineLevel="0" collapsed="false">
      <c r="A4036" s="11" t="str">
        <f aca="false">IF(원본명단!$A4035="","",4033)</f>
        <v/>
      </c>
      <c r="B4036" s="12" t="str">
        <f aca="false">IF($A4036="","",원본명단!$A4035)</f>
        <v/>
      </c>
      <c r="C4036" s="12" t="str">
        <f aca="false">IF($A4036="","",원본명단!$B4035)</f>
        <v/>
      </c>
      <c r="D4036" s="12" t="str">
        <f aca="false">IF($A4036="","",원본명단!$D4035)</f>
        <v/>
      </c>
      <c r="E4036" s="11" t="str">
        <f aca="false">IF($A4036="","",IF(원본명단!$H4035="",0,COUNTIF(원본명단!$H$3:$H$6002,원본명단!$H4035)))</f>
        <v/>
      </c>
      <c r="F4036" s="11" t="str">
        <f aca="false">IF($A4036="","",IF(원본명단!$I4035="",0,COUNTIF(원본명단!$I$3:$I$6002,원본명단!$I4035)))</f>
        <v/>
      </c>
      <c r="G4036" s="11" t="str">
        <f aca="false">IF($A4036="","",IF(원본명단!$K4035="",0,COUNTIF(원본명단!$K$3:$K$6002,원본명단!$K4035)))</f>
        <v/>
      </c>
      <c r="H4036" s="11" t="str">
        <f aca="false">IF($A4036="","",IF(MAX($E4036,$F4036,$G4036)&gt;1,"중복","-"))</f>
        <v/>
      </c>
      <c r="I4036" s="11" t="str">
        <f aca="false">IF($A4036="","",IF($H4036="-","-",IF(AND(IF(원본명단!$H4035="",TRUE(),COUNTIF(원본명단!$H$3:$H4035,원본명단!$H4035)=1),IF(원본명단!$I4035="",TRUE(),COUNTIF(원본명단!$I$3:$I4035,원본명단!$I4035)=1),IF(원본명단!$K4035="",TRUE(),COUNTIF(원본명단!$K$3:$K4035,원본명단!$K4035)=1)),"첫 건","중복 건")))</f>
        <v/>
      </c>
      <c r="J4036" s="11" t="str">
        <f aca="false">IF($A4036="","",IF($H4036="-","유지",IF($I4036="첫 건","유지","확인 필요")))</f>
        <v/>
      </c>
    </row>
    <row r="4037" customFormat="false" ht="15" hidden="false" customHeight="true" outlineLevel="0" collapsed="false">
      <c r="A4037" s="11" t="str">
        <f aca="false">IF(원본명단!$A4036="","",4034)</f>
        <v/>
      </c>
      <c r="B4037" s="12" t="str">
        <f aca="false">IF($A4037="","",원본명단!$A4036)</f>
        <v/>
      </c>
      <c r="C4037" s="12" t="str">
        <f aca="false">IF($A4037="","",원본명단!$B4036)</f>
        <v/>
      </c>
      <c r="D4037" s="12" t="str">
        <f aca="false">IF($A4037="","",원본명단!$D4036)</f>
        <v/>
      </c>
      <c r="E4037" s="11" t="str">
        <f aca="false">IF($A4037="","",IF(원본명단!$H4036="",0,COUNTIF(원본명단!$H$3:$H$6002,원본명단!$H4036)))</f>
        <v/>
      </c>
      <c r="F4037" s="11" t="str">
        <f aca="false">IF($A4037="","",IF(원본명단!$I4036="",0,COUNTIF(원본명단!$I$3:$I$6002,원본명단!$I4036)))</f>
        <v/>
      </c>
      <c r="G4037" s="11" t="str">
        <f aca="false">IF($A4037="","",IF(원본명단!$K4036="",0,COUNTIF(원본명단!$K$3:$K$6002,원본명단!$K4036)))</f>
        <v/>
      </c>
      <c r="H4037" s="11" t="str">
        <f aca="false">IF($A4037="","",IF(MAX($E4037,$F4037,$G4037)&gt;1,"중복","-"))</f>
        <v/>
      </c>
      <c r="I4037" s="11" t="str">
        <f aca="false">IF($A4037="","",IF($H4037="-","-",IF(AND(IF(원본명단!$H4036="",TRUE(),COUNTIF(원본명단!$H$3:$H4036,원본명단!$H4036)=1),IF(원본명단!$I4036="",TRUE(),COUNTIF(원본명단!$I$3:$I4036,원본명단!$I4036)=1),IF(원본명단!$K4036="",TRUE(),COUNTIF(원본명단!$K$3:$K4036,원본명단!$K4036)=1)),"첫 건","중복 건")))</f>
        <v/>
      </c>
      <c r="J4037" s="11" t="str">
        <f aca="false">IF($A4037="","",IF($H4037="-","유지",IF($I4037="첫 건","유지","확인 필요")))</f>
        <v/>
      </c>
    </row>
    <row r="4038" customFormat="false" ht="15" hidden="false" customHeight="true" outlineLevel="0" collapsed="false">
      <c r="A4038" s="11" t="str">
        <f aca="false">IF(원본명단!$A4037="","",4035)</f>
        <v/>
      </c>
      <c r="B4038" s="12" t="str">
        <f aca="false">IF($A4038="","",원본명단!$A4037)</f>
        <v/>
      </c>
      <c r="C4038" s="12" t="str">
        <f aca="false">IF($A4038="","",원본명단!$B4037)</f>
        <v/>
      </c>
      <c r="D4038" s="12" t="str">
        <f aca="false">IF($A4038="","",원본명단!$D4037)</f>
        <v/>
      </c>
      <c r="E4038" s="11" t="str">
        <f aca="false">IF($A4038="","",IF(원본명단!$H4037="",0,COUNTIF(원본명단!$H$3:$H$6002,원본명단!$H4037)))</f>
        <v/>
      </c>
      <c r="F4038" s="11" t="str">
        <f aca="false">IF($A4038="","",IF(원본명단!$I4037="",0,COUNTIF(원본명단!$I$3:$I$6002,원본명단!$I4037)))</f>
        <v/>
      </c>
      <c r="G4038" s="11" t="str">
        <f aca="false">IF($A4038="","",IF(원본명단!$K4037="",0,COUNTIF(원본명단!$K$3:$K$6002,원본명단!$K4037)))</f>
        <v/>
      </c>
      <c r="H4038" s="11" t="str">
        <f aca="false">IF($A4038="","",IF(MAX($E4038,$F4038,$G4038)&gt;1,"중복","-"))</f>
        <v/>
      </c>
      <c r="I4038" s="11" t="str">
        <f aca="false">IF($A4038="","",IF($H4038="-","-",IF(AND(IF(원본명단!$H4037="",TRUE(),COUNTIF(원본명단!$H$3:$H4037,원본명단!$H4037)=1),IF(원본명단!$I4037="",TRUE(),COUNTIF(원본명단!$I$3:$I4037,원본명단!$I4037)=1),IF(원본명단!$K4037="",TRUE(),COUNTIF(원본명단!$K$3:$K4037,원본명단!$K4037)=1)),"첫 건","중복 건")))</f>
        <v/>
      </c>
      <c r="J4038" s="11" t="str">
        <f aca="false">IF($A4038="","",IF($H4038="-","유지",IF($I4038="첫 건","유지","확인 필요")))</f>
        <v/>
      </c>
    </row>
    <row r="4039" customFormat="false" ht="15" hidden="false" customHeight="true" outlineLevel="0" collapsed="false">
      <c r="A4039" s="11" t="str">
        <f aca="false">IF(원본명단!$A4038="","",4036)</f>
        <v/>
      </c>
      <c r="B4039" s="12" t="str">
        <f aca="false">IF($A4039="","",원본명단!$A4038)</f>
        <v/>
      </c>
      <c r="C4039" s="12" t="str">
        <f aca="false">IF($A4039="","",원본명단!$B4038)</f>
        <v/>
      </c>
      <c r="D4039" s="12" t="str">
        <f aca="false">IF($A4039="","",원본명단!$D4038)</f>
        <v/>
      </c>
      <c r="E4039" s="11" t="str">
        <f aca="false">IF($A4039="","",IF(원본명단!$H4038="",0,COUNTIF(원본명단!$H$3:$H$6002,원본명단!$H4038)))</f>
        <v/>
      </c>
      <c r="F4039" s="11" t="str">
        <f aca="false">IF($A4039="","",IF(원본명단!$I4038="",0,COUNTIF(원본명단!$I$3:$I$6002,원본명단!$I4038)))</f>
        <v/>
      </c>
      <c r="G4039" s="11" t="str">
        <f aca="false">IF($A4039="","",IF(원본명단!$K4038="",0,COUNTIF(원본명단!$K$3:$K$6002,원본명단!$K4038)))</f>
        <v/>
      </c>
      <c r="H4039" s="11" t="str">
        <f aca="false">IF($A4039="","",IF(MAX($E4039,$F4039,$G4039)&gt;1,"중복","-"))</f>
        <v/>
      </c>
      <c r="I4039" s="11" t="str">
        <f aca="false">IF($A4039="","",IF($H4039="-","-",IF(AND(IF(원본명단!$H4038="",TRUE(),COUNTIF(원본명단!$H$3:$H4038,원본명단!$H4038)=1),IF(원본명단!$I4038="",TRUE(),COUNTIF(원본명단!$I$3:$I4038,원본명단!$I4038)=1),IF(원본명단!$K4038="",TRUE(),COUNTIF(원본명단!$K$3:$K4038,원본명단!$K4038)=1)),"첫 건","중복 건")))</f>
        <v/>
      </c>
      <c r="J4039" s="11" t="str">
        <f aca="false">IF($A4039="","",IF($H4039="-","유지",IF($I4039="첫 건","유지","확인 필요")))</f>
        <v/>
      </c>
    </row>
    <row r="4040" customFormat="false" ht="15" hidden="false" customHeight="true" outlineLevel="0" collapsed="false">
      <c r="A4040" s="11" t="str">
        <f aca="false">IF(원본명단!$A4039="","",4037)</f>
        <v/>
      </c>
      <c r="B4040" s="12" t="str">
        <f aca="false">IF($A4040="","",원본명단!$A4039)</f>
        <v/>
      </c>
      <c r="C4040" s="12" t="str">
        <f aca="false">IF($A4040="","",원본명단!$B4039)</f>
        <v/>
      </c>
      <c r="D4040" s="12" t="str">
        <f aca="false">IF($A4040="","",원본명단!$D4039)</f>
        <v/>
      </c>
      <c r="E4040" s="11" t="str">
        <f aca="false">IF($A4040="","",IF(원본명단!$H4039="",0,COUNTIF(원본명단!$H$3:$H$6002,원본명단!$H4039)))</f>
        <v/>
      </c>
      <c r="F4040" s="11" t="str">
        <f aca="false">IF($A4040="","",IF(원본명단!$I4039="",0,COUNTIF(원본명단!$I$3:$I$6002,원본명단!$I4039)))</f>
        <v/>
      </c>
      <c r="G4040" s="11" t="str">
        <f aca="false">IF($A4040="","",IF(원본명단!$K4039="",0,COUNTIF(원본명단!$K$3:$K$6002,원본명단!$K4039)))</f>
        <v/>
      </c>
      <c r="H4040" s="11" t="str">
        <f aca="false">IF($A4040="","",IF(MAX($E4040,$F4040,$G4040)&gt;1,"중복","-"))</f>
        <v/>
      </c>
      <c r="I4040" s="11" t="str">
        <f aca="false">IF($A4040="","",IF($H4040="-","-",IF(AND(IF(원본명단!$H4039="",TRUE(),COUNTIF(원본명단!$H$3:$H4039,원본명단!$H4039)=1),IF(원본명단!$I4039="",TRUE(),COUNTIF(원본명단!$I$3:$I4039,원본명단!$I4039)=1),IF(원본명단!$K4039="",TRUE(),COUNTIF(원본명단!$K$3:$K4039,원본명단!$K4039)=1)),"첫 건","중복 건")))</f>
        <v/>
      </c>
      <c r="J4040" s="11" t="str">
        <f aca="false">IF($A4040="","",IF($H4040="-","유지",IF($I4040="첫 건","유지","확인 필요")))</f>
        <v/>
      </c>
    </row>
    <row r="4041" customFormat="false" ht="15" hidden="false" customHeight="true" outlineLevel="0" collapsed="false">
      <c r="A4041" s="11" t="str">
        <f aca="false">IF(원본명단!$A4040="","",4038)</f>
        <v/>
      </c>
      <c r="B4041" s="12" t="str">
        <f aca="false">IF($A4041="","",원본명단!$A4040)</f>
        <v/>
      </c>
      <c r="C4041" s="12" t="str">
        <f aca="false">IF($A4041="","",원본명단!$B4040)</f>
        <v/>
      </c>
      <c r="D4041" s="12" t="str">
        <f aca="false">IF($A4041="","",원본명단!$D4040)</f>
        <v/>
      </c>
      <c r="E4041" s="11" t="str">
        <f aca="false">IF($A4041="","",IF(원본명단!$H4040="",0,COUNTIF(원본명단!$H$3:$H$6002,원본명단!$H4040)))</f>
        <v/>
      </c>
      <c r="F4041" s="11" t="str">
        <f aca="false">IF($A4041="","",IF(원본명단!$I4040="",0,COUNTIF(원본명단!$I$3:$I$6002,원본명단!$I4040)))</f>
        <v/>
      </c>
      <c r="G4041" s="11" t="str">
        <f aca="false">IF($A4041="","",IF(원본명단!$K4040="",0,COUNTIF(원본명단!$K$3:$K$6002,원본명단!$K4040)))</f>
        <v/>
      </c>
      <c r="H4041" s="11" t="str">
        <f aca="false">IF($A4041="","",IF(MAX($E4041,$F4041,$G4041)&gt;1,"중복","-"))</f>
        <v/>
      </c>
      <c r="I4041" s="11" t="str">
        <f aca="false">IF($A4041="","",IF($H4041="-","-",IF(AND(IF(원본명단!$H4040="",TRUE(),COUNTIF(원본명단!$H$3:$H4040,원본명단!$H4040)=1),IF(원본명단!$I4040="",TRUE(),COUNTIF(원본명단!$I$3:$I4040,원본명단!$I4040)=1),IF(원본명단!$K4040="",TRUE(),COUNTIF(원본명단!$K$3:$K4040,원본명단!$K4040)=1)),"첫 건","중복 건")))</f>
        <v/>
      </c>
      <c r="J4041" s="11" t="str">
        <f aca="false">IF($A4041="","",IF($H4041="-","유지",IF($I4041="첫 건","유지","확인 필요")))</f>
        <v/>
      </c>
    </row>
    <row r="4042" customFormat="false" ht="15" hidden="false" customHeight="true" outlineLevel="0" collapsed="false">
      <c r="A4042" s="11" t="str">
        <f aca="false">IF(원본명단!$A4041="","",4039)</f>
        <v/>
      </c>
      <c r="B4042" s="12" t="str">
        <f aca="false">IF($A4042="","",원본명단!$A4041)</f>
        <v/>
      </c>
      <c r="C4042" s="12" t="str">
        <f aca="false">IF($A4042="","",원본명단!$B4041)</f>
        <v/>
      </c>
      <c r="D4042" s="12" t="str">
        <f aca="false">IF($A4042="","",원본명단!$D4041)</f>
        <v/>
      </c>
      <c r="E4042" s="11" t="str">
        <f aca="false">IF($A4042="","",IF(원본명단!$H4041="",0,COUNTIF(원본명단!$H$3:$H$6002,원본명단!$H4041)))</f>
        <v/>
      </c>
      <c r="F4042" s="11" t="str">
        <f aca="false">IF($A4042="","",IF(원본명단!$I4041="",0,COUNTIF(원본명단!$I$3:$I$6002,원본명단!$I4041)))</f>
        <v/>
      </c>
      <c r="G4042" s="11" t="str">
        <f aca="false">IF($A4042="","",IF(원본명단!$K4041="",0,COUNTIF(원본명단!$K$3:$K$6002,원본명단!$K4041)))</f>
        <v/>
      </c>
      <c r="H4042" s="11" t="str">
        <f aca="false">IF($A4042="","",IF(MAX($E4042,$F4042,$G4042)&gt;1,"중복","-"))</f>
        <v/>
      </c>
      <c r="I4042" s="11" t="str">
        <f aca="false">IF($A4042="","",IF($H4042="-","-",IF(AND(IF(원본명단!$H4041="",TRUE(),COUNTIF(원본명단!$H$3:$H4041,원본명단!$H4041)=1),IF(원본명단!$I4041="",TRUE(),COUNTIF(원본명단!$I$3:$I4041,원본명단!$I4041)=1),IF(원본명단!$K4041="",TRUE(),COUNTIF(원본명단!$K$3:$K4041,원본명단!$K4041)=1)),"첫 건","중복 건")))</f>
        <v/>
      </c>
      <c r="J4042" s="11" t="str">
        <f aca="false">IF($A4042="","",IF($H4042="-","유지",IF($I4042="첫 건","유지","확인 필요")))</f>
        <v/>
      </c>
    </row>
    <row r="4043" customFormat="false" ht="15" hidden="false" customHeight="true" outlineLevel="0" collapsed="false">
      <c r="A4043" s="11" t="str">
        <f aca="false">IF(원본명단!$A4042="","",4040)</f>
        <v/>
      </c>
      <c r="B4043" s="12" t="str">
        <f aca="false">IF($A4043="","",원본명단!$A4042)</f>
        <v/>
      </c>
      <c r="C4043" s="12" t="str">
        <f aca="false">IF($A4043="","",원본명단!$B4042)</f>
        <v/>
      </c>
      <c r="D4043" s="12" t="str">
        <f aca="false">IF($A4043="","",원본명단!$D4042)</f>
        <v/>
      </c>
      <c r="E4043" s="11" t="str">
        <f aca="false">IF($A4043="","",IF(원본명단!$H4042="",0,COUNTIF(원본명단!$H$3:$H$6002,원본명단!$H4042)))</f>
        <v/>
      </c>
      <c r="F4043" s="11" t="str">
        <f aca="false">IF($A4043="","",IF(원본명단!$I4042="",0,COUNTIF(원본명단!$I$3:$I$6002,원본명단!$I4042)))</f>
        <v/>
      </c>
      <c r="G4043" s="11" t="str">
        <f aca="false">IF($A4043="","",IF(원본명단!$K4042="",0,COUNTIF(원본명단!$K$3:$K$6002,원본명단!$K4042)))</f>
        <v/>
      </c>
      <c r="H4043" s="11" t="str">
        <f aca="false">IF($A4043="","",IF(MAX($E4043,$F4043,$G4043)&gt;1,"중복","-"))</f>
        <v/>
      </c>
      <c r="I4043" s="11" t="str">
        <f aca="false">IF($A4043="","",IF($H4043="-","-",IF(AND(IF(원본명단!$H4042="",TRUE(),COUNTIF(원본명단!$H$3:$H4042,원본명단!$H4042)=1),IF(원본명단!$I4042="",TRUE(),COUNTIF(원본명단!$I$3:$I4042,원본명단!$I4042)=1),IF(원본명단!$K4042="",TRUE(),COUNTIF(원본명단!$K$3:$K4042,원본명단!$K4042)=1)),"첫 건","중복 건")))</f>
        <v/>
      </c>
      <c r="J4043" s="11" t="str">
        <f aca="false">IF($A4043="","",IF($H4043="-","유지",IF($I4043="첫 건","유지","확인 필요")))</f>
        <v/>
      </c>
    </row>
    <row r="4044" customFormat="false" ht="15" hidden="false" customHeight="true" outlineLevel="0" collapsed="false">
      <c r="A4044" s="11" t="str">
        <f aca="false">IF(원본명단!$A4043="","",4041)</f>
        <v/>
      </c>
      <c r="B4044" s="12" t="str">
        <f aca="false">IF($A4044="","",원본명단!$A4043)</f>
        <v/>
      </c>
      <c r="C4044" s="12" t="str">
        <f aca="false">IF($A4044="","",원본명단!$B4043)</f>
        <v/>
      </c>
      <c r="D4044" s="12" t="str">
        <f aca="false">IF($A4044="","",원본명단!$D4043)</f>
        <v/>
      </c>
      <c r="E4044" s="11" t="str">
        <f aca="false">IF($A4044="","",IF(원본명단!$H4043="",0,COUNTIF(원본명단!$H$3:$H$6002,원본명단!$H4043)))</f>
        <v/>
      </c>
      <c r="F4044" s="11" t="str">
        <f aca="false">IF($A4044="","",IF(원본명단!$I4043="",0,COUNTIF(원본명단!$I$3:$I$6002,원본명단!$I4043)))</f>
        <v/>
      </c>
      <c r="G4044" s="11" t="str">
        <f aca="false">IF($A4044="","",IF(원본명단!$K4043="",0,COUNTIF(원본명단!$K$3:$K$6002,원본명단!$K4043)))</f>
        <v/>
      </c>
      <c r="H4044" s="11" t="str">
        <f aca="false">IF($A4044="","",IF(MAX($E4044,$F4044,$G4044)&gt;1,"중복","-"))</f>
        <v/>
      </c>
      <c r="I4044" s="11" t="str">
        <f aca="false">IF($A4044="","",IF($H4044="-","-",IF(AND(IF(원본명단!$H4043="",TRUE(),COUNTIF(원본명단!$H$3:$H4043,원본명단!$H4043)=1),IF(원본명단!$I4043="",TRUE(),COUNTIF(원본명단!$I$3:$I4043,원본명단!$I4043)=1),IF(원본명단!$K4043="",TRUE(),COUNTIF(원본명단!$K$3:$K4043,원본명단!$K4043)=1)),"첫 건","중복 건")))</f>
        <v/>
      </c>
      <c r="J4044" s="11" t="str">
        <f aca="false">IF($A4044="","",IF($H4044="-","유지",IF($I4044="첫 건","유지","확인 필요")))</f>
        <v/>
      </c>
    </row>
    <row r="4045" customFormat="false" ht="15" hidden="false" customHeight="true" outlineLevel="0" collapsed="false">
      <c r="A4045" s="11" t="str">
        <f aca="false">IF(원본명단!$A4044="","",4042)</f>
        <v/>
      </c>
      <c r="B4045" s="12" t="str">
        <f aca="false">IF($A4045="","",원본명단!$A4044)</f>
        <v/>
      </c>
      <c r="C4045" s="12" t="str">
        <f aca="false">IF($A4045="","",원본명단!$B4044)</f>
        <v/>
      </c>
      <c r="D4045" s="12" t="str">
        <f aca="false">IF($A4045="","",원본명단!$D4044)</f>
        <v/>
      </c>
      <c r="E4045" s="11" t="str">
        <f aca="false">IF($A4045="","",IF(원본명단!$H4044="",0,COUNTIF(원본명단!$H$3:$H$6002,원본명단!$H4044)))</f>
        <v/>
      </c>
      <c r="F4045" s="11" t="str">
        <f aca="false">IF($A4045="","",IF(원본명단!$I4044="",0,COUNTIF(원본명단!$I$3:$I$6002,원본명단!$I4044)))</f>
        <v/>
      </c>
      <c r="G4045" s="11" t="str">
        <f aca="false">IF($A4045="","",IF(원본명단!$K4044="",0,COUNTIF(원본명단!$K$3:$K$6002,원본명단!$K4044)))</f>
        <v/>
      </c>
      <c r="H4045" s="11" t="str">
        <f aca="false">IF($A4045="","",IF(MAX($E4045,$F4045,$G4045)&gt;1,"중복","-"))</f>
        <v/>
      </c>
      <c r="I4045" s="11" t="str">
        <f aca="false">IF($A4045="","",IF($H4045="-","-",IF(AND(IF(원본명단!$H4044="",TRUE(),COUNTIF(원본명단!$H$3:$H4044,원본명단!$H4044)=1),IF(원본명단!$I4044="",TRUE(),COUNTIF(원본명단!$I$3:$I4044,원본명단!$I4044)=1),IF(원본명단!$K4044="",TRUE(),COUNTIF(원본명단!$K$3:$K4044,원본명단!$K4044)=1)),"첫 건","중복 건")))</f>
        <v/>
      </c>
      <c r="J4045" s="11" t="str">
        <f aca="false">IF($A4045="","",IF($H4045="-","유지",IF($I4045="첫 건","유지","확인 필요")))</f>
        <v/>
      </c>
    </row>
    <row r="4046" customFormat="false" ht="15" hidden="false" customHeight="true" outlineLevel="0" collapsed="false">
      <c r="A4046" s="11" t="str">
        <f aca="false">IF(원본명단!$A4045="","",4043)</f>
        <v/>
      </c>
      <c r="B4046" s="12" t="str">
        <f aca="false">IF($A4046="","",원본명단!$A4045)</f>
        <v/>
      </c>
      <c r="C4046" s="12" t="str">
        <f aca="false">IF($A4046="","",원본명단!$B4045)</f>
        <v/>
      </c>
      <c r="D4046" s="12" t="str">
        <f aca="false">IF($A4046="","",원본명단!$D4045)</f>
        <v/>
      </c>
      <c r="E4046" s="11" t="str">
        <f aca="false">IF($A4046="","",IF(원본명단!$H4045="",0,COUNTIF(원본명단!$H$3:$H$6002,원본명단!$H4045)))</f>
        <v/>
      </c>
      <c r="F4046" s="11" t="str">
        <f aca="false">IF($A4046="","",IF(원본명단!$I4045="",0,COUNTIF(원본명단!$I$3:$I$6002,원본명단!$I4045)))</f>
        <v/>
      </c>
      <c r="G4046" s="11" t="str">
        <f aca="false">IF($A4046="","",IF(원본명단!$K4045="",0,COUNTIF(원본명단!$K$3:$K$6002,원본명단!$K4045)))</f>
        <v/>
      </c>
      <c r="H4046" s="11" t="str">
        <f aca="false">IF($A4046="","",IF(MAX($E4046,$F4046,$G4046)&gt;1,"중복","-"))</f>
        <v/>
      </c>
      <c r="I4046" s="11" t="str">
        <f aca="false">IF($A4046="","",IF($H4046="-","-",IF(AND(IF(원본명단!$H4045="",TRUE(),COUNTIF(원본명단!$H$3:$H4045,원본명단!$H4045)=1),IF(원본명단!$I4045="",TRUE(),COUNTIF(원본명단!$I$3:$I4045,원본명단!$I4045)=1),IF(원본명단!$K4045="",TRUE(),COUNTIF(원본명단!$K$3:$K4045,원본명단!$K4045)=1)),"첫 건","중복 건")))</f>
        <v/>
      </c>
      <c r="J4046" s="11" t="str">
        <f aca="false">IF($A4046="","",IF($H4046="-","유지",IF($I4046="첫 건","유지","확인 필요")))</f>
        <v/>
      </c>
    </row>
    <row r="4047" customFormat="false" ht="15" hidden="false" customHeight="true" outlineLevel="0" collapsed="false">
      <c r="A4047" s="11" t="str">
        <f aca="false">IF(원본명단!$A4046="","",4044)</f>
        <v/>
      </c>
      <c r="B4047" s="12" t="str">
        <f aca="false">IF($A4047="","",원본명단!$A4046)</f>
        <v/>
      </c>
      <c r="C4047" s="12" t="str">
        <f aca="false">IF($A4047="","",원본명단!$B4046)</f>
        <v/>
      </c>
      <c r="D4047" s="12" t="str">
        <f aca="false">IF($A4047="","",원본명단!$D4046)</f>
        <v/>
      </c>
      <c r="E4047" s="11" t="str">
        <f aca="false">IF($A4047="","",IF(원본명단!$H4046="",0,COUNTIF(원본명단!$H$3:$H$6002,원본명단!$H4046)))</f>
        <v/>
      </c>
      <c r="F4047" s="11" t="str">
        <f aca="false">IF($A4047="","",IF(원본명단!$I4046="",0,COUNTIF(원본명단!$I$3:$I$6002,원본명단!$I4046)))</f>
        <v/>
      </c>
      <c r="G4047" s="11" t="str">
        <f aca="false">IF($A4047="","",IF(원본명단!$K4046="",0,COUNTIF(원본명단!$K$3:$K$6002,원본명단!$K4046)))</f>
        <v/>
      </c>
      <c r="H4047" s="11" t="str">
        <f aca="false">IF($A4047="","",IF(MAX($E4047,$F4047,$G4047)&gt;1,"중복","-"))</f>
        <v/>
      </c>
      <c r="I4047" s="11" t="str">
        <f aca="false">IF($A4047="","",IF($H4047="-","-",IF(AND(IF(원본명단!$H4046="",TRUE(),COUNTIF(원본명단!$H$3:$H4046,원본명단!$H4046)=1),IF(원본명단!$I4046="",TRUE(),COUNTIF(원본명단!$I$3:$I4046,원본명단!$I4046)=1),IF(원본명단!$K4046="",TRUE(),COUNTIF(원본명단!$K$3:$K4046,원본명단!$K4046)=1)),"첫 건","중복 건")))</f>
        <v/>
      </c>
      <c r="J4047" s="11" t="str">
        <f aca="false">IF($A4047="","",IF($H4047="-","유지",IF($I4047="첫 건","유지","확인 필요")))</f>
        <v/>
      </c>
    </row>
    <row r="4048" customFormat="false" ht="15" hidden="false" customHeight="true" outlineLevel="0" collapsed="false">
      <c r="A4048" s="11" t="str">
        <f aca="false">IF(원본명단!$A4047="","",4045)</f>
        <v/>
      </c>
      <c r="B4048" s="12" t="str">
        <f aca="false">IF($A4048="","",원본명단!$A4047)</f>
        <v/>
      </c>
      <c r="C4048" s="12" t="str">
        <f aca="false">IF($A4048="","",원본명단!$B4047)</f>
        <v/>
      </c>
      <c r="D4048" s="12" t="str">
        <f aca="false">IF($A4048="","",원본명단!$D4047)</f>
        <v/>
      </c>
      <c r="E4048" s="11" t="str">
        <f aca="false">IF($A4048="","",IF(원본명단!$H4047="",0,COUNTIF(원본명단!$H$3:$H$6002,원본명단!$H4047)))</f>
        <v/>
      </c>
      <c r="F4048" s="11" t="str">
        <f aca="false">IF($A4048="","",IF(원본명단!$I4047="",0,COUNTIF(원본명단!$I$3:$I$6002,원본명단!$I4047)))</f>
        <v/>
      </c>
      <c r="G4048" s="11" t="str">
        <f aca="false">IF($A4048="","",IF(원본명단!$K4047="",0,COUNTIF(원본명단!$K$3:$K$6002,원본명단!$K4047)))</f>
        <v/>
      </c>
      <c r="H4048" s="11" t="str">
        <f aca="false">IF($A4048="","",IF(MAX($E4048,$F4048,$G4048)&gt;1,"중복","-"))</f>
        <v/>
      </c>
      <c r="I4048" s="11" t="str">
        <f aca="false">IF($A4048="","",IF($H4048="-","-",IF(AND(IF(원본명단!$H4047="",TRUE(),COUNTIF(원본명단!$H$3:$H4047,원본명단!$H4047)=1),IF(원본명단!$I4047="",TRUE(),COUNTIF(원본명단!$I$3:$I4047,원본명단!$I4047)=1),IF(원본명단!$K4047="",TRUE(),COUNTIF(원본명단!$K$3:$K4047,원본명단!$K4047)=1)),"첫 건","중복 건")))</f>
        <v/>
      </c>
      <c r="J4048" s="11" t="str">
        <f aca="false">IF($A4048="","",IF($H4048="-","유지",IF($I4048="첫 건","유지","확인 필요")))</f>
        <v/>
      </c>
    </row>
    <row r="4049" customFormat="false" ht="15" hidden="false" customHeight="true" outlineLevel="0" collapsed="false">
      <c r="A4049" s="11" t="str">
        <f aca="false">IF(원본명단!$A4048="","",4046)</f>
        <v/>
      </c>
      <c r="B4049" s="12" t="str">
        <f aca="false">IF($A4049="","",원본명단!$A4048)</f>
        <v/>
      </c>
      <c r="C4049" s="12" t="str">
        <f aca="false">IF($A4049="","",원본명단!$B4048)</f>
        <v/>
      </c>
      <c r="D4049" s="12" t="str">
        <f aca="false">IF($A4049="","",원본명단!$D4048)</f>
        <v/>
      </c>
      <c r="E4049" s="11" t="str">
        <f aca="false">IF($A4049="","",IF(원본명단!$H4048="",0,COUNTIF(원본명단!$H$3:$H$6002,원본명단!$H4048)))</f>
        <v/>
      </c>
      <c r="F4049" s="11" t="str">
        <f aca="false">IF($A4049="","",IF(원본명단!$I4048="",0,COUNTIF(원본명단!$I$3:$I$6002,원본명단!$I4048)))</f>
        <v/>
      </c>
      <c r="G4049" s="11" t="str">
        <f aca="false">IF($A4049="","",IF(원본명단!$K4048="",0,COUNTIF(원본명단!$K$3:$K$6002,원본명단!$K4048)))</f>
        <v/>
      </c>
      <c r="H4049" s="11" t="str">
        <f aca="false">IF($A4049="","",IF(MAX($E4049,$F4049,$G4049)&gt;1,"중복","-"))</f>
        <v/>
      </c>
      <c r="I4049" s="11" t="str">
        <f aca="false">IF($A4049="","",IF($H4049="-","-",IF(AND(IF(원본명단!$H4048="",TRUE(),COUNTIF(원본명단!$H$3:$H4048,원본명단!$H4048)=1),IF(원본명단!$I4048="",TRUE(),COUNTIF(원본명단!$I$3:$I4048,원본명단!$I4048)=1),IF(원본명단!$K4048="",TRUE(),COUNTIF(원본명단!$K$3:$K4048,원본명단!$K4048)=1)),"첫 건","중복 건")))</f>
        <v/>
      </c>
      <c r="J4049" s="11" t="str">
        <f aca="false">IF($A4049="","",IF($H4049="-","유지",IF($I4049="첫 건","유지","확인 필요")))</f>
        <v/>
      </c>
    </row>
    <row r="4050" customFormat="false" ht="15" hidden="false" customHeight="true" outlineLevel="0" collapsed="false">
      <c r="A4050" s="11" t="str">
        <f aca="false">IF(원본명단!$A4049="","",4047)</f>
        <v/>
      </c>
      <c r="B4050" s="12" t="str">
        <f aca="false">IF($A4050="","",원본명단!$A4049)</f>
        <v/>
      </c>
      <c r="C4050" s="12" t="str">
        <f aca="false">IF($A4050="","",원본명단!$B4049)</f>
        <v/>
      </c>
      <c r="D4050" s="12" t="str">
        <f aca="false">IF($A4050="","",원본명단!$D4049)</f>
        <v/>
      </c>
      <c r="E4050" s="11" t="str">
        <f aca="false">IF($A4050="","",IF(원본명단!$H4049="",0,COUNTIF(원본명단!$H$3:$H$6002,원본명단!$H4049)))</f>
        <v/>
      </c>
      <c r="F4050" s="11" t="str">
        <f aca="false">IF($A4050="","",IF(원본명단!$I4049="",0,COUNTIF(원본명단!$I$3:$I$6002,원본명단!$I4049)))</f>
        <v/>
      </c>
      <c r="G4050" s="11" t="str">
        <f aca="false">IF($A4050="","",IF(원본명단!$K4049="",0,COUNTIF(원본명단!$K$3:$K$6002,원본명단!$K4049)))</f>
        <v/>
      </c>
      <c r="H4050" s="11" t="str">
        <f aca="false">IF($A4050="","",IF(MAX($E4050,$F4050,$G4050)&gt;1,"중복","-"))</f>
        <v/>
      </c>
      <c r="I4050" s="11" t="str">
        <f aca="false">IF($A4050="","",IF($H4050="-","-",IF(AND(IF(원본명단!$H4049="",TRUE(),COUNTIF(원본명단!$H$3:$H4049,원본명단!$H4049)=1),IF(원본명단!$I4049="",TRUE(),COUNTIF(원본명단!$I$3:$I4049,원본명단!$I4049)=1),IF(원본명단!$K4049="",TRUE(),COUNTIF(원본명단!$K$3:$K4049,원본명단!$K4049)=1)),"첫 건","중복 건")))</f>
        <v/>
      </c>
      <c r="J4050" s="11" t="str">
        <f aca="false">IF($A4050="","",IF($H4050="-","유지",IF($I4050="첫 건","유지","확인 필요")))</f>
        <v/>
      </c>
    </row>
    <row r="4051" customFormat="false" ht="15" hidden="false" customHeight="true" outlineLevel="0" collapsed="false">
      <c r="A4051" s="11" t="str">
        <f aca="false">IF(원본명단!$A4050="","",4048)</f>
        <v/>
      </c>
      <c r="B4051" s="12" t="str">
        <f aca="false">IF($A4051="","",원본명단!$A4050)</f>
        <v/>
      </c>
      <c r="C4051" s="12" t="str">
        <f aca="false">IF($A4051="","",원본명단!$B4050)</f>
        <v/>
      </c>
      <c r="D4051" s="12" t="str">
        <f aca="false">IF($A4051="","",원본명단!$D4050)</f>
        <v/>
      </c>
      <c r="E4051" s="11" t="str">
        <f aca="false">IF($A4051="","",IF(원본명단!$H4050="",0,COUNTIF(원본명단!$H$3:$H$6002,원본명단!$H4050)))</f>
        <v/>
      </c>
      <c r="F4051" s="11" t="str">
        <f aca="false">IF($A4051="","",IF(원본명단!$I4050="",0,COUNTIF(원본명단!$I$3:$I$6002,원본명단!$I4050)))</f>
        <v/>
      </c>
      <c r="G4051" s="11" t="str">
        <f aca="false">IF($A4051="","",IF(원본명단!$K4050="",0,COUNTIF(원본명단!$K$3:$K$6002,원본명단!$K4050)))</f>
        <v/>
      </c>
      <c r="H4051" s="11" t="str">
        <f aca="false">IF($A4051="","",IF(MAX($E4051,$F4051,$G4051)&gt;1,"중복","-"))</f>
        <v/>
      </c>
      <c r="I4051" s="11" t="str">
        <f aca="false">IF($A4051="","",IF($H4051="-","-",IF(AND(IF(원본명단!$H4050="",TRUE(),COUNTIF(원본명단!$H$3:$H4050,원본명단!$H4050)=1),IF(원본명단!$I4050="",TRUE(),COUNTIF(원본명단!$I$3:$I4050,원본명단!$I4050)=1),IF(원본명단!$K4050="",TRUE(),COUNTIF(원본명단!$K$3:$K4050,원본명단!$K4050)=1)),"첫 건","중복 건")))</f>
        <v/>
      </c>
      <c r="J4051" s="11" t="str">
        <f aca="false">IF($A4051="","",IF($H4051="-","유지",IF($I4051="첫 건","유지","확인 필요")))</f>
        <v/>
      </c>
    </row>
    <row r="4052" customFormat="false" ht="15" hidden="false" customHeight="true" outlineLevel="0" collapsed="false">
      <c r="A4052" s="11" t="str">
        <f aca="false">IF(원본명단!$A4051="","",4049)</f>
        <v/>
      </c>
      <c r="B4052" s="12" t="str">
        <f aca="false">IF($A4052="","",원본명단!$A4051)</f>
        <v/>
      </c>
      <c r="C4052" s="12" t="str">
        <f aca="false">IF($A4052="","",원본명단!$B4051)</f>
        <v/>
      </c>
      <c r="D4052" s="12" t="str">
        <f aca="false">IF($A4052="","",원본명단!$D4051)</f>
        <v/>
      </c>
      <c r="E4052" s="11" t="str">
        <f aca="false">IF($A4052="","",IF(원본명단!$H4051="",0,COUNTIF(원본명단!$H$3:$H$6002,원본명단!$H4051)))</f>
        <v/>
      </c>
      <c r="F4052" s="11" t="str">
        <f aca="false">IF($A4052="","",IF(원본명단!$I4051="",0,COUNTIF(원본명단!$I$3:$I$6002,원본명단!$I4051)))</f>
        <v/>
      </c>
      <c r="G4052" s="11" t="str">
        <f aca="false">IF($A4052="","",IF(원본명단!$K4051="",0,COUNTIF(원본명단!$K$3:$K$6002,원본명단!$K4051)))</f>
        <v/>
      </c>
      <c r="H4052" s="11" t="str">
        <f aca="false">IF($A4052="","",IF(MAX($E4052,$F4052,$G4052)&gt;1,"중복","-"))</f>
        <v/>
      </c>
      <c r="I4052" s="11" t="str">
        <f aca="false">IF($A4052="","",IF($H4052="-","-",IF(AND(IF(원본명단!$H4051="",TRUE(),COUNTIF(원본명단!$H$3:$H4051,원본명단!$H4051)=1),IF(원본명단!$I4051="",TRUE(),COUNTIF(원본명단!$I$3:$I4051,원본명단!$I4051)=1),IF(원본명단!$K4051="",TRUE(),COUNTIF(원본명단!$K$3:$K4051,원본명단!$K4051)=1)),"첫 건","중복 건")))</f>
        <v/>
      </c>
      <c r="J4052" s="11" t="str">
        <f aca="false">IF($A4052="","",IF($H4052="-","유지",IF($I4052="첫 건","유지","확인 필요")))</f>
        <v/>
      </c>
    </row>
    <row r="4053" customFormat="false" ht="15" hidden="false" customHeight="true" outlineLevel="0" collapsed="false">
      <c r="A4053" s="11" t="str">
        <f aca="false">IF(원본명단!$A4052="","",4050)</f>
        <v/>
      </c>
      <c r="B4053" s="12" t="str">
        <f aca="false">IF($A4053="","",원본명단!$A4052)</f>
        <v/>
      </c>
      <c r="C4053" s="12" t="str">
        <f aca="false">IF($A4053="","",원본명단!$B4052)</f>
        <v/>
      </c>
      <c r="D4053" s="12" t="str">
        <f aca="false">IF($A4053="","",원본명단!$D4052)</f>
        <v/>
      </c>
      <c r="E4053" s="11" t="str">
        <f aca="false">IF($A4053="","",IF(원본명단!$H4052="",0,COUNTIF(원본명단!$H$3:$H$6002,원본명단!$H4052)))</f>
        <v/>
      </c>
      <c r="F4053" s="11" t="str">
        <f aca="false">IF($A4053="","",IF(원본명단!$I4052="",0,COUNTIF(원본명단!$I$3:$I$6002,원본명단!$I4052)))</f>
        <v/>
      </c>
      <c r="G4053" s="11" t="str">
        <f aca="false">IF($A4053="","",IF(원본명단!$K4052="",0,COUNTIF(원본명단!$K$3:$K$6002,원본명단!$K4052)))</f>
        <v/>
      </c>
      <c r="H4053" s="11" t="str">
        <f aca="false">IF($A4053="","",IF(MAX($E4053,$F4053,$G4053)&gt;1,"중복","-"))</f>
        <v/>
      </c>
      <c r="I4053" s="11" t="str">
        <f aca="false">IF($A4053="","",IF($H4053="-","-",IF(AND(IF(원본명단!$H4052="",TRUE(),COUNTIF(원본명단!$H$3:$H4052,원본명단!$H4052)=1),IF(원본명단!$I4052="",TRUE(),COUNTIF(원본명단!$I$3:$I4052,원본명단!$I4052)=1),IF(원본명단!$K4052="",TRUE(),COUNTIF(원본명단!$K$3:$K4052,원본명단!$K4052)=1)),"첫 건","중복 건")))</f>
        <v/>
      </c>
      <c r="J4053" s="11" t="str">
        <f aca="false">IF($A4053="","",IF($H4053="-","유지",IF($I4053="첫 건","유지","확인 필요")))</f>
        <v/>
      </c>
    </row>
    <row r="4054" customFormat="false" ht="15" hidden="false" customHeight="true" outlineLevel="0" collapsed="false">
      <c r="A4054" s="11" t="str">
        <f aca="false">IF(원본명단!$A4053="","",4051)</f>
        <v/>
      </c>
      <c r="B4054" s="12" t="str">
        <f aca="false">IF($A4054="","",원본명단!$A4053)</f>
        <v/>
      </c>
      <c r="C4054" s="12" t="str">
        <f aca="false">IF($A4054="","",원본명단!$B4053)</f>
        <v/>
      </c>
      <c r="D4054" s="12" t="str">
        <f aca="false">IF($A4054="","",원본명단!$D4053)</f>
        <v/>
      </c>
      <c r="E4054" s="11" t="str">
        <f aca="false">IF($A4054="","",IF(원본명단!$H4053="",0,COUNTIF(원본명단!$H$3:$H$6002,원본명단!$H4053)))</f>
        <v/>
      </c>
      <c r="F4054" s="11" t="str">
        <f aca="false">IF($A4054="","",IF(원본명단!$I4053="",0,COUNTIF(원본명단!$I$3:$I$6002,원본명단!$I4053)))</f>
        <v/>
      </c>
      <c r="G4054" s="11" t="str">
        <f aca="false">IF($A4054="","",IF(원본명단!$K4053="",0,COUNTIF(원본명단!$K$3:$K$6002,원본명단!$K4053)))</f>
        <v/>
      </c>
      <c r="H4054" s="11" t="str">
        <f aca="false">IF($A4054="","",IF(MAX($E4054,$F4054,$G4054)&gt;1,"중복","-"))</f>
        <v/>
      </c>
      <c r="I4054" s="11" t="str">
        <f aca="false">IF($A4054="","",IF($H4054="-","-",IF(AND(IF(원본명단!$H4053="",TRUE(),COUNTIF(원본명단!$H$3:$H4053,원본명단!$H4053)=1),IF(원본명단!$I4053="",TRUE(),COUNTIF(원본명단!$I$3:$I4053,원본명단!$I4053)=1),IF(원본명단!$K4053="",TRUE(),COUNTIF(원본명단!$K$3:$K4053,원본명단!$K4053)=1)),"첫 건","중복 건")))</f>
        <v/>
      </c>
      <c r="J4054" s="11" t="str">
        <f aca="false">IF($A4054="","",IF($H4054="-","유지",IF($I4054="첫 건","유지","확인 필요")))</f>
        <v/>
      </c>
    </row>
    <row r="4055" customFormat="false" ht="15" hidden="false" customHeight="true" outlineLevel="0" collapsed="false">
      <c r="A4055" s="11" t="str">
        <f aca="false">IF(원본명단!$A4054="","",4052)</f>
        <v/>
      </c>
      <c r="B4055" s="12" t="str">
        <f aca="false">IF($A4055="","",원본명단!$A4054)</f>
        <v/>
      </c>
      <c r="C4055" s="12" t="str">
        <f aca="false">IF($A4055="","",원본명단!$B4054)</f>
        <v/>
      </c>
      <c r="D4055" s="12" t="str">
        <f aca="false">IF($A4055="","",원본명단!$D4054)</f>
        <v/>
      </c>
      <c r="E4055" s="11" t="str">
        <f aca="false">IF($A4055="","",IF(원본명단!$H4054="",0,COUNTIF(원본명단!$H$3:$H$6002,원본명단!$H4054)))</f>
        <v/>
      </c>
      <c r="F4055" s="11" t="str">
        <f aca="false">IF($A4055="","",IF(원본명단!$I4054="",0,COUNTIF(원본명단!$I$3:$I$6002,원본명단!$I4054)))</f>
        <v/>
      </c>
      <c r="G4055" s="11" t="str">
        <f aca="false">IF($A4055="","",IF(원본명단!$K4054="",0,COUNTIF(원본명단!$K$3:$K$6002,원본명단!$K4054)))</f>
        <v/>
      </c>
      <c r="H4055" s="11" t="str">
        <f aca="false">IF($A4055="","",IF(MAX($E4055,$F4055,$G4055)&gt;1,"중복","-"))</f>
        <v/>
      </c>
      <c r="I4055" s="11" t="str">
        <f aca="false">IF($A4055="","",IF($H4055="-","-",IF(AND(IF(원본명단!$H4054="",TRUE(),COUNTIF(원본명단!$H$3:$H4054,원본명단!$H4054)=1),IF(원본명단!$I4054="",TRUE(),COUNTIF(원본명단!$I$3:$I4054,원본명단!$I4054)=1),IF(원본명단!$K4054="",TRUE(),COUNTIF(원본명단!$K$3:$K4054,원본명단!$K4054)=1)),"첫 건","중복 건")))</f>
        <v/>
      </c>
      <c r="J4055" s="11" t="str">
        <f aca="false">IF($A4055="","",IF($H4055="-","유지",IF($I4055="첫 건","유지","확인 필요")))</f>
        <v/>
      </c>
    </row>
    <row r="4056" customFormat="false" ht="15" hidden="false" customHeight="true" outlineLevel="0" collapsed="false">
      <c r="A4056" s="11" t="str">
        <f aca="false">IF(원본명단!$A4055="","",4053)</f>
        <v/>
      </c>
      <c r="B4056" s="12" t="str">
        <f aca="false">IF($A4056="","",원본명단!$A4055)</f>
        <v/>
      </c>
      <c r="C4056" s="12" t="str">
        <f aca="false">IF($A4056="","",원본명단!$B4055)</f>
        <v/>
      </c>
      <c r="D4056" s="12" t="str">
        <f aca="false">IF($A4056="","",원본명단!$D4055)</f>
        <v/>
      </c>
      <c r="E4056" s="11" t="str">
        <f aca="false">IF($A4056="","",IF(원본명단!$H4055="",0,COUNTIF(원본명단!$H$3:$H$6002,원본명단!$H4055)))</f>
        <v/>
      </c>
      <c r="F4056" s="11" t="str">
        <f aca="false">IF($A4056="","",IF(원본명단!$I4055="",0,COUNTIF(원본명단!$I$3:$I$6002,원본명단!$I4055)))</f>
        <v/>
      </c>
      <c r="G4056" s="11" t="str">
        <f aca="false">IF($A4056="","",IF(원본명단!$K4055="",0,COUNTIF(원본명단!$K$3:$K$6002,원본명단!$K4055)))</f>
        <v/>
      </c>
      <c r="H4056" s="11" t="str">
        <f aca="false">IF($A4056="","",IF(MAX($E4056,$F4056,$G4056)&gt;1,"중복","-"))</f>
        <v/>
      </c>
      <c r="I4056" s="11" t="str">
        <f aca="false">IF($A4056="","",IF($H4056="-","-",IF(AND(IF(원본명단!$H4055="",TRUE(),COUNTIF(원본명단!$H$3:$H4055,원본명단!$H4055)=1),IF(원본명단!$I4055="",TRUE(),COUNTIF(원본명단!$I$3:$I4055,원본명단!$I4055)=1),IF(원본명단!$K4055="",TRUE(),COUNTIF(원본명단!$K$3:$K4055,원본명단!$K4055)=1)),"첫 건","중복 건")))</f>
        <v/>
      </c>
      <c r="J4056" s="11" t="str">
        <f aca="false">IF($A4056="","",IF($H4056="-","유지",IF($I4056="첫 건","유지","확인 필요")))</f>
        <v/>
      </c>
    </row>
    <row r="4057" customFormat="false" ht="15" hidden="false" customHeight="true" outlineLevel="0" collapsed="false">
      <c r="A4057" s="11" t="str">
        <f aca="false">IF(원본명단!$A4056="","",4054)</f>
        <v/>
      </c>
      <c r="B4057" s="12" t="str">
        <f aca="false">IF($A4057="","",원본명단!$A4056)</f>
        <v/>
      </c>
      <c r="C4057" s="12" t="str">
        <f aca="false">IF($A4057="","",원본명단!$B4056)</f>
        <v/>
      </c>
      <c r="D4057" s="12" t="str">
        <f aca="false">IF($A4057="","",원본명단!$D4056)</f>
        <v/>
      </c>
      <c r="E4057" s="11" t="str">
        <f aca="false">IF($A4057="","",IF(원본명단!$H4056="",0,COUNTIF(원본명단!$H$3:$H$6002,원본명단!$H4056)))</f>
        <v/>
      </c>
      <c r="F4057" s="11" t="str">
        <f aca="false">IF($A4057="","",IF(원본명단!$I4056="",0,COUNTIF(원본명단!$I$3:$I$6002,원본명단!$I4056)))</f>
        <v/>
      </c>
      <c r="G4057" s="11" t="str">
        <f aca="false">IF($A4057="","",IF(원본명단!$K4056="",0,COUNTIF(원본명단!$K$3:$K$6002,원본명단!$K4056)))</f>
        <v/>
      </c>
      <c r="H4057" s="11" t="str">
        <f aca="false">IF($A4057="","",IF(MAX($E4057,$F4057,$G4057)&gt;1,"중복","-"))</f>
        <v/>
      </c>
      <c r="I4057" s="11" t="str">
        <f aca="false">IF($A4057="","",IF($H4057="-","-",IF(AND(IF(원본명단!$H4056="",TRUE(),COUNTIF(원본명단!$H$3:$H4056,원본명단!$H4056)=1),IF(원본명단!$I4056="",TRUE(),COUNTIF(원본명단!$I$3:$I4056,원본명단!$I4056)=1),IF(원본명단!$K4056="",TRUE(),COUNTIF(원본명단!$K$3:$K4056,원본명단!$K4056)=1)),"첫 건","중복 건")))</f>
        <v/>
      </c>
      <c r="J4057" s="11" t="str">
        <f aca="false">IF($A4057="","",IF($H4057="-","유지",IF($I4057="첫 건","유지","확인 필요")))</f>
        <v/>
      </c>
    </row>
    <row r="4058" customFormat="false" ht="15" hidden="false" customHeight="true" outlineLevel="0" collapsed="false">
      <c r="A4058" s="11" t="str">
        <f aca="false">IF(원본명단!$A4057="","",4055)</f>
        <v/>
      </c>
      <c r="B4058" s="12" t="str">
        <f aca="false">IF($A4058="","",원본명단!$A4057)</f>
        <v/>
      </c>
      <c r="C4058" s="12" t="str">
        <f aca="false">IF($A4058="","",원본명단!$B4057)</f>
        <v/>
      </c>
      <c r="D4058" s="12" t="str">
        <f aca="false">IF($A4058="","",원본명단!$D4057)</f>
        <v/>
      </c>
      <c r="E4058" s="11" t="str">
        <f aca="false">IF($A4058="","",IF(원본명단!$H4057="",0,COUNTIF(원본명단!$H$3:$H$6002,원본명단!$H4057)))</f>
        <v/>
      </c>
      <c r="F4058" s="11" t="str">
        <f aca="false">IF($A4058="","",IF(원본명단!$I4057="",0,COUNTIF(원본명단!$I$3:$I$6002,원본명단!$I4057)))</f>
        <v/>
      </c>
      <c r="G4058" s="11" t="str">
        <f aca="false">IF($A4058="","",IF(원본명단!$K4057="",0,COUNTIF(원본명단!$K$3:$K$6002,원본명단!$K4057)))</f>
        <v/>
      </c>
      <c r="H4058" s="11" t="str">
        <f aca="false">IF($A4058="","",IF(MAX($E4058,$F4058,$G4058)&gt;1,"중복","-"))</f>
        <v/>
      </c>
      <c r="I4058" s="11" t="str">
        <f aca="false">IF($A4058="","",IF($H4058="-","-",IF(AND(IF(원본명단!$H4057="",TRUE(),COUNTIF(원본명단!$H$3:$H4057,원본명단!$H4057)=1),IF(원본명단!$I4057="",TRUE(),COUNTIF(원본명단!$I$3:$I4057,원본명단!$I4057)=1),IF(원본명단!$K4057="",TRUE(),COUNTIF(원본명단!$K$3:$K4057,원본명단!$K4057)=1)),"첫 건","중복 건")))</f>
        <v/>
      </c>
      <c r="J4058" s="11" t="str">
        <f aca="false">IF($A4058="","",IF($H4058="-","유지",IF($I4058="첫 건","유지","확인 필요")))</f>
        <v/>
      </c>
    </row>
    <row r="4059" customFormat="false" ht="15" hidden="false" customHeight="true" outlineLevel="0" collapsed="false">
      <c r="A4059" s="11" t="str">
        <f aca="false">IF(원본명단!$A4058="","",4056)</f>
        <v/>
      </c>
      <c r="B4059" s="12" t="str">
        <f aca="false">IF($A4059="","",원본명단!$A4058)</f>
        <v/>
      </c>
      <c r="C4059" s="12" t="str">
        <f aca="false">IF($A4059="","",원본명단!$B4058)</f>
        <v/>
      </c>
      <c r="D4059" s="12" t="str">
        <f aca="false">IF($A4059="","",원본명단!$D4058)</f>
        <v/>
      </c>
      <c r="E4059" s="11" t="str">
        <f aca="false">IF($A4059="","",IF(원본명단!$H4058="",0,COUNTIF(원본명단!$H$3:$H$6002,원본명단!$H4058)))</f>
        <v/>
      </c>
      <c r="F4059" s="11" t="str">
        <f aca="false">IF($A4059="","",IF(원본명단!$I4058="",0,COUNTIF(원본명단!$I$3:$I$6002,원본명단!$I4058)))</f>
        <v/>
      </c>
      <c r="G4059" s="11" t="str">
        <f aca="false">IF($A4059="","",IF(원본명단!$K4058="",0,COUNTIF(원본명단!$K$3:$K$6002,원본명단!$K4058)))</f>
        <v/>
      </c>
      <c r="H4059" s="11" t="str">
        <f aca="false">IF($A4059="","",IF(MAX($E4059,$F4059,$G4059)&gt;1,"중복","-"))</f>
        <v/>
      </c>
      <c r="I4059" s="11" t="str">
        <f aca="false">IF($A4059="","",IF($H4059="-","-",IF(AND(IF(원본명단!$H4058="",TRUE(),COUNTIF(원본명단!$H$3:$H4058,원본명단!$H4058)=1),IF(원본명단!$I4058="",TRUE(),COUNTIF(원본명단!$I$3:$I4058,원본명단!$I4058)=1),IF(원본명단!$K4058="",TRUE(),COUNTIF(원본명단!$K$3:$K4058,원본명단!$K4058)=1)),"첫 건","중복 건")))</f>
        <v/>
      </c>
      <c r="J4059" s="11" t="str">
        <f aca="false">IF($A4059="","",IF($H4059="-","유지",IF($I4059="첫 건","유지","확인 필요")))</f>
        <v/>
      </c>
    </row>
    <row r="4060" customFormat="false" ht="15" hidden="false" customHeight="true" outlineLevel="0" collapsed="false">
      <c r="A4060" s="11" t="str">
        <f aca="false">IF(원본명단!$A4059="","",4057)</f>
        <v/>
      </c>
      <c r="B4060" s="12" t="str">
        <f aca="false">IF($A4060="","",원본명단!$A4059)</f>
        <v/>
      </c>
      <c r="C4060" s="12" t="str">
        <f aca="false">IF($A4060="","",원본명단!$B4059)</f>
        <v/>
      </c>
      <c r="D4060" s="12" t="str">
        <f aca="false">IF($A4060="","",원본명단!$D4059)</f>
        <v/>
      </c>
      <c r="E4060" s="11" t="str">
        <f aca="false">IF($A4060="","",IF(원본명단!$H4059="",0,COUNTIF(원본명단!$H$3:$H$6002,원본명단!$H4059)))</f>
        <v/>
      </c>
      <c r="F4060" s="11" t="str">
        <f aca="false">IF($A4060="","",IF(원본명단!$I4059="",0,COUNTIF(원본명단!$I$3:$I$6002,원본명단!$I4059)))</f>
        <v/>
      </c>
      <c r="G4060" s="11" t="str">
        <f aca="false">IF($A4060="","",IF(원본명단!$K4059="",0,COUNTIF(원본명단!$K$3:$K$6002,원본명단!$K4059)))</f>
        <v/>
      </c>
      <c r="H4060" s="11" t="str">
        <f aca="false">IF($A4060="","",IF(MAX($E4060,$F4060,$G4060)&gt;1,"중복","-"))</f>
        <v/>
      </c>
      <c r="I4060" s="11" t="str">
        <f aca="false">IF($A4060="","",IF($H4060="-","-",IF(AND(IF(원본명단!$H4059="",TRUE(),COUNTIF(원본명단!$H$3:$H4059,원본명단!$H4059)=1),IF(원본명단!$I4059="",TRUE(),COUNTIF(원본명단!$I$3:$I4059,원본명단!$I4059)=1),IF(원본명단!$K4059="",TRUE(),COUNTIF(원본명단!$K$3:$K4059,원본명단!$K4059)=1)),"첫 건","중복 건")))</f>
        <v/>
      </c>
      <c r="J4060" s="11" t="str">
        <f aca="false">IF($A4060="","",IF($H4060="-","유지",IF($I4060="첫 건","유지","확인 필요")))</f>
        <v/>
      </c>
    </row>
    <row r="4061" customFormat="false" ht="15" hidden="false" customHeight="true" outlineLevel="0" collapsed="false">
      <c r="A4061" s="11" t="str">
        <f aca="false">IF(원본명단!$A4060="","",4058)</f>
        <v/>
      </c>
      <c r="B4061" s="12" t="str">
        <f aca="false">IF($A4061="","",원본명단!$A4060)</f>
        <v/>
      </c>
      <c r="C4061" s="12" t="str">
        <f aca="false">IF($A4061="","",원본명단!$B4060)</f>
        <v/>
      </c>
      <c r="D4061" s="12" t="str">
        <f aca="false">IF($A4061="","",원본명단!$D4060)</f>
        <v/>
      </c>
      <c r="E4061" s="11" t="str">
        <f aca="false">IF($A4061="","",IF(원본명단!$H4060="",0,COUNTIF(원본명단!$H$3:$H$6002,원본명단!$H4060)))</f>
        <v/>
      </c>
      <c r="F4061" s="11" t="str">
        <f aca="false">IF($A4061="","",IF(원본명단!$I4060="",0,COUNTIF(원본명단!$I$3:$I$6002,원본명단!$I4060)))</f>
        <v/>
      </c>
      <c r="G4061" s="11" t="str">
        <f aca="false">IF($A4061="","",IF(원본명단!$K4060="",0,COUNTIF(원본명단!$K$3:$K$6002,원본명단!$K4060)))</f>
        <v/>
      </c>
      <c r="H4061" s="11" t="str">
        <f aca="false">IF($A4061="","",IF(MAX($E4061,$F4061,$G4061)&gt;1,"중복","-"))</f>
        <v/>
      </c>
      <c r="I4061" s="11" t="str">
        <f aca="false">IF($A4061="","",IF($H4061="-","-",IF(AND(IF(원본명단!$H4060="",TRUE(),COUNTIF(원본명단!$H$3:$H4060,원본명단!$H4060)=1),IF(원본명단!$I4060="",TRUE(),COUNTIF(원본명단!$I$3:$I4060,원본명단!$I4060)=1),IF(원본명단!$K4060="",TRUE(),COUNTIF(원본명단!$K$3:$K4060,원본명단!$K4060)=1)),"첫 건","중복 건")))</f>
        <v/>
      </c>
      <c r="J4061" s="11" t="str">
        <f aca="false">IF($A4061="","",IF($H4061="-","유지",IF($I4061="첫 건","유지","확인 필요")))</f>
        <v/>
      </c>
    </row>
    <row r="4062" customFormat="false" ht="15" hidden="false" customHeight="true" outlineLevel="0" collapsed="false">
      <c r="A4062" s="11" t="str">
        <f aca="false">IF(원본명단!$A4061="","",4059)</f>
        <v/>
      </c>
      <c r="B4062" s="12" t="str">
        <f aca="false">IF($A4062="","",원본명단!$A4061)</f>
        <v/>
      </c>
      <c r="C4062" s="12" t="str">
        <f aca="false">IF($A4062="","",원본명단!$B4061)</f>
        <v/>
      </c>
      <c r="D4062" s="12" t="str">
        <f aca="false">IF($A4062="","",원본명단!$D4061)</f>
        <v/>
      </c>
      <c r="E4062" s="11" t="str">
        <f aca="false">IF($A4062="","",IF(원본명단!$H4061="",0,COUNTIF(원본명단!$H$3:$H$6002,원본명단!$H4061)))</f>
        <v/>
      </c>
      <c r="F4062" s="11" t="str">
        <f aca="false">IF($A4062="","",IF(원본명단!$I4061="",0,COUNTIF(원본명단!$I$3:$I$6002,원본명단!$I4061)))</f>
        <v/>
      </c>
      <c r="G4062" s="11" t="str">
        <f aca="false">IF($A4062="","",IF(원본명단!$K4061="",0,COUNTIF(원본명단!$K$3:$K$6002,원본명단!$K4061)))</f>
        <v/>
      </c>
      <c r="H4062" s="11" t="str">
        <f aca="false">IF($A4062="","",IF(MAX($E4062,$F4062,$G4062)&gt;1,"중복","-"))</f>
        <v/>
      </c>
      <c r="I4062" s="11" t="str">
        <f aca="false">IF($A4062="","",IF($H4062="-","-",IF(AND(IF(원본명단!$H4061="",TRUE(),COUNTIF(원본명단!$H$3:$H4061,원본명단!$H4061)=1),IF(원본명단!$I4061="",TRUE(),COUNTIF(원본명단!$I$3:$I4061,원본명단!$I4061)=1),IF(원본명단!$K4061="",TRUE(),COUNTIF(원본명단!$K$3:$K4061,원본명단!$K4061)=1)),"첫 건","중복 건")))</f>
        <v/>
      </c>
      <c r="J4062" s="11" t="str">
        <f aca="false">IF($A4062="","",IF($H4062="-","유지",IF($I4062="첫 건","유지","확인 필요")))</f>
        <v/>
      </c>
    </row>
    <row r="4063" customFormat="false" ht="15" hidden="false" customHeight="true" outlineLevel="0" collapsed="false">
      <c r="A4063" s="11" t="str">
        <f aca="false">IF(원본명단!$A4062="","",4060)</f>
        <v/>
      </c>
      <c r="B4063" s="12" t="str">
        <f aca="false">IF($A4063="","",원본명단!$A4062)</f>
        <v/>
      </c>
      <c r="C4063" s="12" t="str">
        <f aca="false">IF($A4063="","",원본명단!$B4062)</f>
        <v/>
      </c>
      <c r="D4063" s="12" t="str">
        <f aca="false">IF($A4063="","",원본명단!$D4062)</f>
        <v/>
      </c>
      <c r="E4063" s="11" t="str">
        <f aca="false">IF($A4063="","",IF(원본명단!$H4062="",0,COUNTIF(원본명단!$H$3:$H$6002,원본명단!$H4062)))</f>
        <v/>
      </c>
      <c r="F4063" s="11" t="str">
        <f aca="false">IF($A4063="","",IF(원본명단!$I4062="",0,COUNTIF(원본명단!$I$3:$I$6002,원본명단!$I4062)))</f>
        <v/>
      </c>
      <c r="G4063" s="11" t="str">
        <f aca="false">IF($A4063="","",IF(원본명단!$K4062="",0,COUNTIF(원본명단!$K$3:$K$6002,원본명단!$K4062)))</f>
        <v/>
      </c>
      <c r="H4063" s="11" t="str">
        <f aca="false">IF($A4063="","",IF(MAX($E4063,$F4063,$G4063)&gt;1,"중복","-"))</f>
        <v/>
      </c>
      <c r="I4063" s="11" t="str">
        <f aca="false">IF($A4063="","",IF($H4063="-","-",IF(AND(IF(원본명단!$H4062="",TRUE(),COUNTIF(원본명단!$H$3:$H4062,원본명단!$H4062)=1),IF(원본명단!$I4062="",TRUE(),COUNTIF(원본명단!$I$3:$I4062,원본명단!$I4062)=1),IF(원본명단!$K4062="",TRUE(),COUNTIF(원본명단!$K$3:$K4062,원본명단!$K4062)=1)),"첫 건","중복 건")))</f>
        <v/>
      </c>
      <c r="J4063" s="11" t="str">
        <f aca="false">IF($A4063="","",IF($H4063="-","유지",IF($I4063="첫 건","유지","확인 필요")))</f>
        <v/>
      </c>
    </row>
    <row r="4064" customFormat="false" ht="15" hidden="false" customHeight="true" outlineLevel="0" collapsed="false">
      <c r="A4064" s="11" t="str">
        <f aca="false">IF(원본명단!$A4063="","",4061)</f>
        <v/>
      </c>
      <c r="B4064" s="12" t="str">
        <f aca="false">IF($A4064="","",원본명단!$A4063)</f>
        <v/>
      </c>
      <c r="C4064" s="12" t="str">
        <f aca="false">IF($A4064="","",원본명단!$B4063)</f>
        <v/>
      </c>
      <c r="D4064" s="12" t="str">
        <f aca="false">IF($A4064="","",원본명단!$D4063)</f>
        <v/>
      </c>
      <c r="E4064" s="11" t="str">
        <f aca="false">IF($A4064="","",IF(원본명단!$H4063="",0,COUNTIF(원본명단!$H$3:$H$6002,원본명단!$H4063)))</f>
        <v/>
      </c>
      <c r="F4064" s="11" t="str">
        <f aca="false">IF($A4064="","",IF(원본명단!$I4063="",0,COUNTIF(원본명단!$I$3:$I$6002,원본명단!$I4063)))</f>
        <v/>
      </c>
      <c r="G4064" s="11" t="str">
        <f aca="false">IF($A4064="","",IF(원본명단!$K4063="",0,COUNTIF(원본명단!$K$3:$K$6002,원본명단!$K4063)))</f>
        <v/>
      </c>
      <c r="H4064" s="11" t="str">
        <f aca="false">IF($A4064="","",IF(MAX($E4064,$F4064,$G4064)&gt;1,"중복","-"))</f>
        <v/>
      </c>
      <c r="I4064" s="11" t="str">
        <f aca="false">IF($A4064="","",IF($H4064="-","-",IF(AND(IF(원본명단!$H4063="",TRUE(),COUNTIF(원본명단!$H$3:$H4063,원본명단!$H4063)=1),IF(원본명단!$I4063="",TRUE(),COUNTIF(원본명단!$I$3:$I4063,원본명단!$I4063)=1),IF(원본명단!$K4063="",TRUE(),COUNTIF(원본명단!$K$3:$K4063,원본명단!$K4063)=1)),"첫 건","중복 건")))</f>
        <v/>
      </c>
      <c r="J4064" s="11" t="str">
        <f aca="false">IF($A4064="","",IF($H4064="-","유지",IF($I4064="첫 건","유지","확인 필요")))</f>
        <v/>
      </c>
    </row>
    <row r="4065" customFormat="false" ht="15" hidden="false" customHeight="true" outlineLevel="0" collapsed="false">
      <c r="A4065" s="11" t="str">
        <f aca="false">IF(원본명단!$A4064="","",4062)</f>
        <v/>
      </c>
      <c r="B4065" s="12" t="str">
        <f aca="false">IF($A4065="","",원본명단!$A4064)</f>
        <v/>
      </c>
      <c r="C4065" s="12" t="str">
        <f aca="false">IF($A4065="","",원본명단!$B4064)</f>
        <v/>
      </c>
      <c r="D4065" s="12" t="str">
        <f aca="false">IF($A4065="","",원본명단!$D4064)</f>
        <v/>
      </c>
      <c r="E4065" s="11" t="str">
        <f aca="false">IF($A4065="","",IF(원본명단!$H4064="",0,COUNTIF(원본명단!$H$3:$H$6002,원본명단!$H4064)))</f>
        <v/>
      </c>
      <c r="F4065" s="11" t="str">
        <f aca="false">IF($A4065="","",IF(원본명단!$I4064="",0,COUNTIF(원본명단!$I$3:$I$6002,원본명단!$I4064)))</f>
        <v/>
      </c>
      <c r="G4065" s="11" t="str">
        <f aca="false">IF($A4065="","",IF(원본명단!$K4064="",0,COUNTIF(원본명단!$K$3:$K$6002,원본명단!$K4064)))</f>
        <v/>
      </c>
      <c r="H4065" s="11" t="str">
        <f aca="false">IF($A4065="","",IF(MAX($E4065,$F4065,$G4065)&gt;1,"중복","-"))</f>
        <v/>
      </c>
      <c r="I4065" s="11" t="str">
        <f aca="false">IF($A4065="","",IF($H4065="-","-",IF(AND(IF(원본명단!$H4064="",TRUE(),COUNTIF(원본명단!$H$3:$H4064,원본명단!$H4064)=1),IF(원본명단!$I4064="",TRUE(),COUNTIF(원본명단!$I$3:$I4064,원본명단!$I4064)=1),IF(원본명단!$K4064="",TRUE(),COUNTIF(원본명단!$K$3:$K4064,원본명단!$K4064)=1)),"첫 건","중복 건")))</f>
        <v/>
      </c>
      <c r="J4065" s="11" t="str">
        <f aca="false">IF($A4065="","",IF($H4065="-","유지",IF($I4065="첫 건","유지","확인 필요")))</f>
        <v/>
      </c>
    </row>
    <row r="4066" customFormat="false" ht="15" hidden="false" customHeight="true" outlineLevel="0" collapsed="false">
      <c r="A4066" s="11" t="str">
        <f aca="false">IF(원본명단!$A4065="","",4063)</f>
        <v/>
      </c>
      <c r="B4066" s="12" t="str">
        <f aca="false">IF($A4066="","",원본명단!$A4065)</f>
        <v/>
      </c>
      <c r="C4066" s="12" t="str">
        <f aca="false">IF($A4066="","",원본명단!$B4065)</f>
        <v/>
      </c>
      <c r="D4066" s="12" t="str">
        <f aca="false">IF($A4066="","",원본명단!$D4065)</f>
        <v/>
      </c>
      <c r="E4066" s="11" t="str">
        <f aca="false">IF($A4066="","",IF(원본명단!$H4065="",0,COUNTIF(원본명단!$H$3:$H$6002,원본명단!$H4065)))</f>
        <v/>
      </c>
      <c r="F4066" s="11" t="str">
        <f aca="false">IF($A4066="","",IF(원본명단!$I4065="",0,COUNTIF(원본명단!$I$3:$I$6002,원본명단!$I4065)))</f>
        <v/>
      </c>
      <c r="G4066" s="11" t="str">
        <f aca="false">IF($A4066="","",IF(원본명단!$K4065="",0,COUNTIF(원본명단!$K$3:$K$6002,원본명단!$K4065)))</f>
        <v/>
      </c>
      <c r="H4066" s="11" t="str">
        <f aca="false">IF($A4066="","",IF(MAX($E4066,$F4066,$G4066)&gt;1,"중복","-"))</f>
        <v/>
      </c>
      <c r="I4066" s="11" t="str">
        <f aca="false">IF($A4066="","",IF($H4066="-","-",IF(AND(IF(원본명단!$H4065="",TRUE(),COUNTIF(원본명단!$H$3:$H4065,원본명단!$H4065)=1),IF(원본명단!$I4065="",TRUE(),COUNTIF(원본명단!$I$3:$I4065,원본명단!$I4065)=1),IF(원본명단!$K4065="",TRUE(),COUNTIF(원본명단!$K$3:$K4065,원본명단!$K4065)=1)),"첫 건","중복 건")))</f>
        <v/>
      </c>
      <c r="J4066" s="11" t="str">
        <f aca="false">IF($A4066="","",IF($H4066="-","유지",IF($I4066="첫 건","유지","확인 필요")))</f>
        <v/>
      </c>
    </row>
    <row r="4067" customFormat="false" ht="15" hidden="false" customHeight="true" outlineLevel="0" collapsed="false">
      <c r="A4067" s="11" t="str">
        <f aca="false">IF(원본명단!$A4066="","",4064)</f>
        <v/>
      </c>
      <c r="B4067" s="12" t="str">
        <f aca="false">IF($A4067="","",원본명단!$A4066)</f>
        <v/>
      </c>
      <c r="C4067" s="12" t="str">
        <f aca="false">IF($A4067="","",원본명단!$B4066)</f>
        <v/>
      </c>
      <c r="D4067" s="12" t="str">
        <f aca="false">IF($A4067="","",원본명단!$D4066)</f>
        <v/>
      </c>
      <c r="E4067" s="11" t="str">
        <f aca="false">IF($A4067="","",IF(원본명단!$H4066="",0,COUNTIF(원본명단!$H$3:$H$6002,원본명단!$H4066)))</f>
        <v/>
      </c>
      <c r="F4067" s="11" t="str">
        <f aca="false">IF($A4067="","",IF(원본명단!$I4066="",0,COUNTIF(원본명단!$I$3:$I$6002,원본명단!$I4066)))</f>
        <v/>
      </c>
      <c r="G4067" s="11" t="str">
        <f aca="false">IF($A4067="","",IF(원본명단!$K4066="",0,COUNTIF(원본명단!$K$3:$K$6002,원본명단!$K4066)))</f>
        <v/>
      </c>
      <c r="H4067" s="11" t="str">
        <f aca="false">IF($A4067="","",IF(MAX($E4067,$F4067,$G4067)&gt;1,"중복","-"))</f>
        <v/>
      </c>
      <c r="I4067" s="11" t="str">
        <f aca="false">IF($A4067="","",IF($H4067="-","-",IF(AND(IF(원본명단!$H4066="",TRUE(),COUNTIF(원본명단!$H$3:$H4066,원본명단!$H4066)=1),IF(원본명단!$I4066="",TRUE(),COUNTIF(원본명단!$I$3:$I4066,원본명단!$I4066)=1),IF(원본명단!$K4066="",TRUE(),COUNTIF(원본명단!$K$3:$K4066,원본명단!$K4066)=1)),"첫 건","중복 건")))</f>
        <v/>
      </c>
      <c r="J4067" s="11" t="str">
        <f aca="false">IF($A4067="","",IF($H4067="-","유지",IF($I4067="첫 건","유지","확인 필요")))</f>
        <v/>
      </c>
    </row>
    <row r="4068" customFormat="false" ht="15" hidden="false" customHeight="true" outlineLevel="0" collapsed="false">
      <c r="A4068" s="11" t="str">
        <f aca="false">IF(원본명단!$A4067="","",4065)</f>
        <v/>
      </c>
      <c r="B4068" s="12" t="str">
        <f aca="false">IF($A4068="","",원본명단!$A4067)</f>
        <v/>
      </c>
      <c r="C4068" s="12" t="str">
        <f aca="false">IF($A4068="","",원본명단!$B4067)</f>
        <v/>
      </c>
      <c r="D4068" s="12" t="str">
        <f aca="false">IF($A4068="","",원본명단!$D4067)</f>
        <v/>
      </c>
      <c r="E4068" s="11" t="str">
        <f aca="false">IF($A4068="","",IF(원본명단!$H4067="",0,COUNTIF(원본명단!$H$3:$H$6002,원본명단!$H4067)))</f>
        <v/>
      </c>
      <c r="F4068" s="11" t="str">
        <f aca="false">IF($A4068="","",IF(원본명단!$I4067="",0,COUNTIF(원본명단!$I$3:$I$6002,원본명단!$I4067)))</f>
        <v/>
      </c>
      <c r="G4068" s="11" t="str">
        <f aca="false">IF($A4068="","",IF(원본명단!$K4067="",0,COUNTIF(원본명단!$K$3:$K$6002,원본명단!$K4067)))</f>
        <v/>
      </c>
      <c r="H4068" s="11" t="str">
        <f aca="false">IF($A4068="","",IF(MAX($E4068,$F4068,$G4068)&gt;1,"중복","-"))</f>
        <v/>
      </c>
      <c r="I4068" s="11" t="str">
        <f aca="false">IF($A4068="","",IF($H4068="-","-",IF(AND(IF(원본명단!$H4067="",TRUE(),COUNTIF(원본명단!$H$3:$H4067,원본명단!$H4067)=1),IF(원본명단!$I4067="",TRUE(),COUNTIF(원본명단!$I$3:$I4067,원본명단!$I4067)=1),IF(원본명단!$K4067="",TRUE(),COUNTIF(원본명단!$K$3:$K4067,원본명단!$K4067)=1)),"첫 건","중복 건")))</f>
        <v/>
      </c>
      <c r="J4068" s="11" t="str">
        <f aca="false">IF($A4068="","",IF($H4068="-","유지",IF($I4068="첫 건","유지","확인 필요")))</f>
        <v/>
      </c>
    </row>
    <row r="4069" customFormat="false" ht="15" hidden="false" customHeight="true" outlineLevel="0" collapsed="false">
      <c r="A4069" s="11" t="str">
        <f aca="false">IF(원본명단!$A4068="","",4066)</f>
        <v/>
      </c>
      <c r="B4069" s="12" t="str">
        <f aca="false">IF($A4069="","",원본명단!$A4068)</f>
        <v/>
      </c>
      <c r="C4069" s="12" t="str">
        <f aca="false">IF($A4069="","",원본명단!$B4068)</f>
        <v/>
      </c>
      <c r="D4069" s="12" t="str">
        <f aca="false">IF($A4069="","",원본명단!$D4068)</f>
        <v/>
      </c>
      <c r="E4069" s="11" t="str">
        <f aca="false">IF($A4069="","",IF(원본명단!$H4068="",0,COUNTIF(원본명단!$H$3:$H$6002,원본명단!$H4068)))</f>
        <v/>
      </c>
      <c r="F4069" s="11" t="str">
        <f aca="false">IF($A4069="","",IF(원본명단!$I4068="",0,COUNTIF(원본명단!$I$3:$I$6002,원본명단!$I4068)))</f>
        <v/>
      </c>
      <c r="G4069" s="11" t="str">
        <f aca="false">IF($A4069="","",IF(원본명단!$K4068="",0,COUNTIF(원본명단!$K$3:$K$6002,원본명단!$K4068)))</f>
        <v/>
      </c>
      <c r="H4069" s="11" t="str">
        <f aca="false">IF($A4069="","",IF(MAX($E4069,$F4069,$G4069)&gt;1,"중복","-"))</f>
        <v/>
      </c>
      <c r="I4069" s="11" t="str">
        <f aca="false">IF($A4069="","",IF($H4069="-","-",IF(AND(IF(원본명단!$H4068="",TRUE(),COUNTIF(원본명단!$H$3:$H4068,원본명단!$H4068)=1),IF(원본명단!$I4068="",TRUE(),COUNTIF(원본명단!$I$3:$I4068,원본명단!$I4068)=1),IF(원본명단!$K4068="",TRUE(),COUNTIF(원본명단!$K$3:$K4068,원본명단!$K4068)=1)),"첫 건","중복 건")))</f>
        <v/>
      </c>
      <c r="J4069" s="11" t="str">
        <f aca="false">IF($A4069="","",IF($H4069="-","유지",IF($I4069="첫 건","유지","확인 필요")))</f>
        <v/>
      </c>
    </row>
    <row r="4070" customFormat="false" ht="15" hidden="false" customHeight="true" outlineLevel="0" collapsed="false">
      <c r="A4070" s="11" t="str">
        <f aca="false">IF(원본명단!$A4069="","",4067)</f>
        <v/>
      </c>
      <c r="B4070" s="12" t="str">
        <f aca="false">IF($A4070="","",원본명단!$A4069)</f>
        <v/>
      </c>
      <c r="C4070" s="12" t="str">
        <f aca="false">IF($A4070="","",원본명단!$B4069)</f>
        <v/>
      </c>
      <c r="D4070" s="12" t="str">
        <f aca="false">IF($A4070="","",원본명단!$D4069)</f>
        <v/>
      </c>
      <c r="E4070" s="11" t="str">
        <f aca="false">IF($A4070="","",IF(원본명단!$H4069="",0,COUNTIF(원본명단!$H$3:$H$6002,원본명단!$H4069)))</f>
        <v/>
      </c>
      <c r="F4070" s="11" t="str">
        <f aca="false">IF($A4070="","",IF(원본명단!$I4069="",0,COUNTIF(원본명단!$I$3:$I$6002,원본명단!$I4069)))</f>
        <v/>
      </c>
      <c r="G4070" s="11" t="str">
        <f aca="false">IF($A4070="","",IF(원본명단!$K4069="",0,COUNTIF(원본명단!$K$3:$K$6002,원본명단!$K4069)))</f>
        <v/>
      </c>
      <c r="H4070" s="11" t="str">
        <f aca="false">IF($A4070="","",IF(MAX($E4070,$F4070,$G4070)&gt;1,"중복","-"))</f>
        <v/>
      </c>
      <c r="I4070" s="11" t="str">
        <f aca="false">IF($A4070="","",IF($H4070="-","-",IF(AND(IF(원본명단!$H4069="",TRUE(),COUNTIF(원본명단!$H$3:$H4069,원본명단!$H4069)=1),IF(원본명단!$I4069="",TRUE(),COUNTIF(원본명단!$I$3:$I4069,원본명단!$I4069)=1),IF(원본명단!$K4069="",TRUE(),COUNTIF(원본명단!$K$3:$K4069,원본명단!$K4069)=1)),"첫 건","중복 건")))</f>
        <v/>
      </c>
      <c r="J4070" s="11" t="str">
        <f aca="false">IF($A4070="","",IF($H4070="-","유지",IF($I4070="첫 건","유지","확인 필요")))</f>
        <v/>
      </c>
    </row>
    <row r="4071" customFormat="false" ht="15" hidden="false" customHeight="true" outlineLevel="0" collapsed="false">
      <c r="A4071" s="11" t="str">
        <f aca="false">IF(원본명단!$A4070="","",4068)</f>
        <v/>
      </c>
      <c r="B4071" s="12" t="str">
        <f aca="false">IF($A4071="","",원본명단!$A4070)</f>
        <v/>
      </c>
      <c r="C4071" s="12" t="str">
        <f aca="false">IF($A4071="","",원본명단!$B4070)</f>
        <v/>
      </c>
      <c r="D4071" s="12" t="str">
        <f aca="false">IF($A4071="","",원본명단!$D4070)</f>
        <v/>
      </c>
      <c r="E4071" s="11" t="str">
        <f aca="false">IF($A4071="","",IF(원본명단!$H4070="",0,COUNTIF(원본명단!$H$3:$H$6002,원본명단!$H4070)))</f>
        <v/>
      </c>
      <c r="F4071" s="11" t="str">
        <f aca="false">IF($A4071="","",IF(원본명단!$I4070="",0,COUNTIF(원본명단!$I$3:$I$6002,원본명단!$I4070)))</f>
        <v/>
      </c>
      <c r="G4071" s="11" t="str">
        <f aca="false">IF($A4071="","",IF(원본명단!$K4070="",0,COUNTIF(원본명단!$K$3:$K$6002,원본명단!$K4070)))</f>
        <v/>
      </c>
      <c r="H4071" s="11" t="str">
        <f aca="false">IF($A4071="","",IF(MAX($E4071,$F4071,$G4071)&gt;1,"중복","-"))</f>
        <v/>
      </c>
      <c r="I4071" s="11" t="str">
        <f aca="false">IF($A4071="","",IF($H4071="-","-",IF(AND(IF(원본명단!$H4070="",TRUE(),COUNTIF(원본명단!$H$3:$H4070,원본명단!$H4070)=1),IF(원본명단!$I4070="",TRUE(),COUNTIF(원본명단!$I$3:$I4070,원본명단!$I4070)=1),IF(원본명단!$K4070="",TRUE(),COUNTIF(원본명단!$K$3:$K4070,원본명단!$K4070)=1)),"첫 건","중복 건")))</f>
        <v/>
      </c>
      <c r="J4071" s="11" t="str">
        <f aca="false">IF($A4071="","",IF($H4071="-","유지",IF($I4071="첫 건","유지","확인 필요")))</f>
        <v/>
      </c>
    </row>
    <row r="4072" customFormat="false" ht="15" hidden="false" customHeight="true" outlineLevel="0" collapsed="false">
      <c r="A4072" s="11" t="str">
        <f aca="false">IF(원본명단!$A4071="","",4069)</f>
        <v/>
      </c>
      <c r="B4072" s="12" t="str">
        <f aca="false">IF($A4072="","",원본명단!$A4071)</f>
        <v/>
      </c>
      <c r="C4072" s="12" t="str">
        <f aca="false">IF($A4072="","",원본명단!$B4071)</f>
        <v/>
      </c>
      <c r="D4072" s="12" t="str">
        <f aca="false">IF($A4072="","",원본명단!$D4071)</f>
        <v/>
      </c>
      <c r="E4072" s="11" t="str">
        <f aca="false">IF($A4072="","",IF(원본명단!$H4071="",0,COUNTIF(원본명단!$H$3:$H$6002,원본명단!$H4071)))</f>
        <v/>
      </c>
      <c r="F4072" s="11" t="str">
        <f aca="false">IF($A4072="","",IF(원본명단!$I4071="",0,COUNTIF(원본명단!$I$3:$I$6002,원본명단!$I4071)))</f>
        <v/>
      </c>
      <c r="G4072" s="11" t="str">
        <f aca="false">IF($A4072="","",IF(원본명단!$K4071="",0,COUNTIF(원본명단!$K$3:$K$6002,원본명단!$K4071)))</f>
        <v/>
      </c>
      <c r="H4072" s="11" t="str">
        <f aca="false">IF($A4072="","",IF(MAX($E4072,$F4072,$G4072)&gt;1,"중복","-"))</f>
        <v/>
      </c>
      <c r="I4072" s="11" t="str">
        <f aca="false">IF($A4072="","",IF($H4072="-","-",IF(AND(IF(원본명단!$H4071="",TRUE(),COUNTIF(원본명단!$H$3:$H4071,원본명단!$H4071)=1),IF(원본명단!$I4071="",TRUE(),COUNTIF(원본명단!$I$3:$I4071,원본명단!$I4071)=1),IF(원본명단!$K4071="",TRUE(),COUNTIF(원본명단!$K$3:$K4071,원본명단!$K4071)=1)),"첫 건","중복 건")))</f>
        <v/>
      </c>
      <c r="J4072" s="11" t="str">
        <f aca="false">IF($A4072="","",IF($H4072="-","유지",IF($I4072="첫 건","유지","확인 필요")))</f>
        <v/>
      </c>
    </row>
    <row r="4073" customFormat="false" ht="15" hidden="false" customHeight="true" outlineLevel="0" collapsed="false">
      <c r="A4073" s="11" t="str">
        <f aca="false">IF(원본명단!$A4072="","",4070)</f>
        <v/>
      </c>
      <c r="B4073" s="12" t="str">
        <f aca="false">IF($A4073="","",원본명단!$A4072)</f>
        <v/>
      </c>
      <c r="C4073" s="12" t="str">
        <f aca="false">IF($A4073="","",원본명단!$B4072)</f>
        <v/>
      </c>
      <c r="D4073" s="12" t="str">
        <f aca="false">IF($A4073="","",원본명단!$D4072)</f>
        <v/>
      </c>
      <c r="E4073" s="11" t="str">
        <f aca="false">IF($A4073="","",IF(원본명단!$H4072="",0,COUNTIF(원본명단!$H$3:$H$6002,원본명단!$H4072)))</f>
        <v/>
      </c>
      <c r="F4073" s="11" t="str">
        <f aca="false">IF($A4073="","",IF(원본명단!$I4072="",0,COUNTIF(원본명단!$I$3:$I$6002,원본명단!$I4072)))</f>
        <v/>
      </c>
      <c r="G4073" s="11" t="str">
        <f aca="false">IF($A4073="","",IF(원본명단!$K4072="",0,COUNTIF(원본명단!$K$3:$K$6002,원본명단!$K4072)))</f>
        <v/>
      </c>
      <c r="H4073" s="11" t="str">
        <f aca="false">IF($A4073="","",IF(MAX($E4073,$F4073,$G4073)&gt;1,"중복","-"))</f>
        <v/>
      </c>
      <c r="I4073" s="11" t="str">
        <f aca="false">IF($A4073="","",IF($H4073="-","-",IF(AND(IF(원본명단!$H4072="",TRUE(),COUNTIF(원본명단!$H$3:$H4072,원본명단!$H4072)=1),IF(원본명단!$I4072="",TRUE(),COUNTIF(원본명단!$I$3:$I4072,원본명단!$I4072)=1),IF(원본명단!$K4072="",TRUE(),COUNTIF(원본명단!$K$3:$K4072,원본명단!$K4072)=1)),"첫 건","중복 건")))</f>
        <v/>
      </c>
      <c r="J4073" s="11" t="str">
        <f aca="false">IF($A4073="","",IF($H4073="-","유지",IF($I4073="첫 건","유지","확인 필요")))</f>
        <v/>
      </c>
    </row>
    <row r="4074" customFormat="false" ht="15" hidden="false" customHeight="true" outlineLevel="0" collapsed="false">
      <c r="A4074" s="11" t="str">
        <f aca="false">IF(원본명단!$A4073="","",4071)</f>
        <v/>
      </c>
      <c r="B4074" s="12" t="str">
        <f aca="false">IF($A4074="","",원본명단!$A4073)</f>
        <v/>
      </c>
      <c r="C4074" s="12" t="str">
        <f aca="false">IF($A4074="","",원본명단!$B4073)</f>
        <v/>
      </c>
      <c r="D4074" s="12" t="str">
        <f aca="false">IF($A4074="","",원본명단!$D4073)</f>
        <v/>
      </c>
      <c r="E4074" s="11" t="str">
        <f aca="false">IF($A4074="","",IF(원본명단!$H4073="",0,COUNTIF(원본명단!$H$3:$H$6002,원본명단!$H4073)))</f>
        <v/>
      </c>
      <c r="F4074" s="11" t="str">
        <f aca="false">IF($A4074="","",IF(원본명단!$I4073="",0,COUNTIF(원본명단!$I$3:$I$6002,원본명단!$I4073)))</f>
        <v/>
      </c>
      <c r="G4074" s="11" t="str">
        <f aca="false">IF($A4074="","",IF(원본명단!$K4073="",0,COUNTIF(원본명단!$K$3:$K$6002,원본명단!$K4073)))</f>
        <v/>
      </c>
      <c r="H4074" s="11" t="str">
        <f aca="false">IF($A4074="","",IF(MAX($E4074,$F4074,$G4074)&gt;1,"중복","-"))</f>
        <v/>
      </c>
      <c r="I4074" s="11" t="str">
        <f aca="false">IF($A4074="","",IF($H4074="-","-",IF(AND(IF(원본명단!$H4073="",TRUE(),COUNTIF(원본명단!$H$3:$H4073,원본명단!$H4073)=1),IF(원본명단!$I4073="",TRUE(),COUNTIF(원본명단!$I$3:$I4073,원본명단!$I4073)=1),IF(원본명단!$K4073="",TRUE(),COUNTIF(원본명단!$K$3:$K4073,원본명단!$K4073)=1)),"첫 건","중복 건")))</f>
        <v/>
      </c>
      <c r="J4074" s="11" t="str">
        <f aca="false">IF($A4074="","",IF($H4074="-","유지",IF($I4074="첫 건","유지","확인 필요")))</f>
        <v/>
      </c>
    </row>
    <row r="4075" customFormat="false" ht="15" hidden="false" customHeight="true" outlineLevel="0" collapsed="false">
      <c r="A4075" s="11" t="str">
        <f aca="false">IF(원본명단!$A4074="","",4072)</f>
        <v/>
      </c>
      <c r="B4075" s="12" t="str">
        <f aca="false">IF($A4075="","",원본명단!$A4074)</f>
        <v/>
      </c>
      <c r="C4075" s="12" t="str">
        <f aca="false">IF($A4075="","",원본명단!$B4074)</f>
        <v/>
      </c>
      <c r="D4075" s="12" t="str">
        <f aca="false">IF($A4075="","",원본명단!$D4074)</f>
        <v/>
      </c>
      <c r="E4075" s="11" t="str">
        <f aca="false">IF($A4075="","",IF(원본명단!$H4074="",0,COUNTIF(원본명단!$H$3:$H$6002,원본명단!$H4074)))</f>
        <v/>
      </c>
      <c r="F4075" s="11" t="str">
        <f aca="false">IF($A4075="","",IF(원본명단!$I4074="",0,COUNTIF(원본명단!$I$3:$I$6002,원본명단!$I4074)))</f>
        <v/>
      </c>
      <c r="G4075" s="11" t="str">
        <f aca="false">IF($A4075="","",IF(원본명단!$K4074="",0,COUNTIF(원본명단!$K$3:$K$6002,원본명단!$K4074)))</f>
        <v/>
      </c>
      <c r="H4075" s="11" t="str">
        <f aca="false">IF($A4075="","",IF(MAX($E4075,$F4075,$G4075)&gt;1,"중복","-"))</f>
        <v/>
      </c>
      <c r="I4075" s="11" t="str">
        <f aca="false">IF($A4075="","",IF($H4075="-","-",IF(AND(IF(원본명단!$H4074="",TRUE(),COUNTIF(원본명단!$H$3:$H4074,원본명단!$H4074)=1),IF(원본명단!$I4074="",TRUE(),COUNTIF(원본명단!$I$3:$I4074,원본명단!$I4074)=1),IF(원본명단!$K4074="",TRUE(),COUNTIF(원본명단!$K$3:$K4074,원본명단!$K4074)=1)),"첫 건","중복 건")))</f>
        <v/>
      </c>
      <c r="J4075" s="11" t="str">
        <f aca="false">IF($A4075="","",IF($H4075="-","유지",IF($I4075="첫 건","유지","확인 필요")))</f>
        <v/>
      </c>
    </row>
    <row r="4076" customFormat="false" ht="15" hidden="false" customHeight="true" outlineLevel="0" collapsed="false">
      <c r="A4076" s="11" t="str">
        <f aca="false">IF(원본명단!$A4075="","",4073)</f>
        <v/>
      </c>
      <c r="B4076" s="12" t="str">
        <f aca="false">IF($A4076="","",원본명단!$A4075)</f>
        <v/>
      </c>
      <c r="C4076" s="12" t="str">
        <f aca="false">IF($A4076="","",원본명단!$B4075)</f>
        <v/>
      </c>
      <c r="D4076" s="12" t="str">
        <f aca="false">IF($A4076="","",원본명단!$D4075)</f>
        <v/>
      </c>
      <c r="E4076" s="11" t="str">
        <f aca="false">IF($A4076="","",IF(원본명단!$H4075="",0,COUNTIF(원본명단!$H$3:$H$6002,원본명단!$H4075)))</f>
        <v/>
      </c>
      <c r="F4076" s="11" t="str">
        <f aca="false">IF($A4076="","",IF(원본명단!$I4075="",0,COUNTIF(원본명단!$I$3:$I$6002,원본명단!$I4075)))</f>
        <v/>
      </c>
      <c r="G4076" s="11" t="str">
        <f aca="false">IF($A4076="","",IF(원본명단!$K4075="",0,COUNTIF(원본명단!$K$3:$K$6002,원본명단!$K4075)))</f>
        <v/>
      </c>
      <c r="H4076" s="11" t="str">
        <f aca="false">IF($A4076="","",IF(MAX($E4076,$F4076,$G4076)&gt;1,"중복","-"))</f>
        <v/>
      </c>
      <c r="I4076" s="11" t="str">
        <f aca="false">IF($A4076="","",IF($H4076="-","-",IF(AND(IF(원본명단!$H4075="",TRUE(),COUNTIF(원본명단!$H$3:$H4075,원본명단!$H4075)=1),IF(원본명단!$I4075="",TRUE(),COUNTIF(원본명단!$I$3:$I4075,원본명단!$I4075)=1),IF(원본명단!$K4075="",TRUE(),COUNTIF(원본명단!$K$3:$K4075,원본명단!$K4075)=1)),"첫 건","중복 건")))</f>
        <v/>
      </c>
      <c r="J4076" s="11" t="str">
        <f aca="false">IF($A4076="","",IF($H4076="-","유지",IF($I4076="첫 건","유지","확인 필요")))</f>
        <v/>
      </c>
    </row>
    <row r="4077" customFormat="false" ht="15" hidden="false" customHeight="true" outlineLevel="0" collapsed="false">
      <c r="A4077" s="11" t="str">
        <f aca="false">IF(원본명단!$A4076="","",4074)</f>
        <v/>
      </c>
      <c r="B4077" s="12" t="str">
        <f aca="false">IF($A4077="","",원본명단!$A4076)</f>
        <v/>
      </c>
      <c r="C4077" s="12" t="str">
        <f aca="false">IF($A4077="","",원본명단!$B4076)</f>
        <v/>
      </c>
      <c r="D4077" s="12" t="str">
        <f aca="false">IF($A4077="","",원본명단!$D4076)</f>
        <v/>
      </c>
      <c r="E4077" s="11" t="str">
        <f aca="false">IF($A4077="","",IF(원본명단!$H4076="",0,COUNTIF(원본명단!$H$3:$H$6002,원본명단!$H4076)))</f>
        <v/>
      </c>
      <c r="F4077" s="11" t="str">
        <f aca="false">IF($A4077="","",IF(원본명단!$I4076="",0,COUNTIF(원본명단!$I$3:$I$6002,원본명단!$I4076)))</f>
        <v/>
      </c>
      <c r="G4077" s="11" t="str">
        <f aca="false">IF($A4077="","",IF(원본명단!$K4076="",0,COUNTIF(원본명단!$K$3:$K$6002,원본명단!$K4076)))</f>
        <v/>
      </c>
      <c r="H4077" s="11" t="str">
        <f aca="false">IF($A4077="","",IF(MAX($E4077,$F4077,$G4077)&gt;1,"중복","-"))</f>
        <v/>
      </c>
      <c r="I4077" s="11" t="str">
        <f aca="false">IF($A4077="","",IF($H4077="-","-",IF(AND(IF(원본명단!$H4076="",TRUE(),COUNTIF(원본명단!$H$3:$H4076,원본명단!$H4076)=1),IF(원본명단!$I4076="",TRUE(),COUNTIF(원본명단!$I$3:$I4076,원본명단!$I4076)=1),IF(원본명단!$K4076="",TRUE(),COUNTIF(원본명단!$K$3:$K4076,원본명단!$K4076)=1)),"첫 건","중복 건")))</f>
        <v/>
      </c>
      <c r="J4077" s="11" t="str">
        <f aca="false">IF($A4077="","",IF($H4077="-","유지",IF($I4077="첫 건","유지","확인 필요")))</f>
        <v/>
      </c>
    </row>
    <row r="4078" customFormat="false" ht="15" hidden="false" customHeight="true" outlineLevel="0" collapsed="false">
      <c r="A4078" s="11" t="str">
        <f aca="false">IF(원본명단!$A4077="","",4075)</f>
        <v/>
      </c>
      <c r="B4078" s="12" t="str">
        <f aca="false">IF($A4078="","",원본명단!$A4077)</f>
        <v/>
      </c>
      <c r="C4078" s="12" t="str">
        <f aca="false">IF($A4078="","",원본명단!$B4077)</f>
        <v/>
      </c>
      <c r="D4078" s="12" t="str">
        <f aca="false">IF($A4078="","",원본명단!$D4077)</f>
        <v/>
      </c>
      <c r="E4078" s="11" t="str">
        <f aca="false">IF($A4078="","",IF(원본명단!$H4077="",0,COUNTIF(원본명단!$H$3:$H$6002,원본명단!$H4077)))</f>
        <v/>
      </c>
      <c r="F4078" s="11" t="str">
        <f aca="false">IF($A4078="","",IF(원본명단!$I4077="",0,COUNTIF(원본명단!$I$3:$I$6002,원본명단!$I4077)))</f>
        <v/>
      </c>
      <c r="G4078" s="11" t="str">
        <f aca="false">IF($A4078="","",IF(원본명단!$K4077="",0,COUNTIF(원본명단!$K$3:$K$6002,원본명단!$K4077)))</f>
        <v/>
      </c>
      <c r="H4078" s="11" t="str">
        <f aca="false">IF($A4078="","",IF(MAX($E4078,$F4078,$G4078)&gt;1,"중복","-"))</f>
        <v/>
      </c>
      <c r="I4078" s="11" t="str">
        <f aca="false">IF($A4078="","",IF($H4078="-","-",IF(AND(IF(원본명단!$H4077="",TRUE(),COUNTIF(원본명단!$H$3:$H4077,원본명단!$H4077)=1),IF(원본명단!$I4077="",TRUE(),COUNTIF(원본명단!$I$3:$I4077,원본명단!$I4077)=1),IF(원본명단!$K4077="",TRUE(),COUNTIF(원본명단!$K$3:$K4077,원본명단!$K4077)=1)),"첫 건","중복 건")))</f>
        <v/>
      </c>
      <c r="J4078" s="11" t="str">
        <f aca="false">IF($A4078="","",IF($H4078="-","유지",IF($I4078="첫 건","유지","확인 필요")))</f>
        <v/>
      </c>
    </row>
    <row r="4079" customFormat="false" ht="15" hidden="false" customHeight="true" outlineLevel="0" collapsed="false">
      <c r="A4079" s="11" t="str">
        <f aca="false">IF(원본명단!$A4078="","",4076)</f>
        <v/>
      </c>
      <c r="B4079" s="12" t="str">
        <f aca="false">IF($A4079="","",원본명단!$A4078)</f>
        <v/>
      </c>
      <c r="C4079" s="12" t="str">
        <f aca="false">IF($A4079="","",원본명단!$B4078)</f>
        <v/>
      </c>
      <c r="D4079" s="12" t="str">
        <f aca="false">IF($A4079="","",원본명단!$D4078)</f>
        <v/>
      </c>
      <c r="E4079" s="11" t="str">
        <f aca="false">IF($A4079="","",IF(원본명단!$H4078="",0,COUNTIF(원본명단!$H$3:$H$6002,원본명단!$H4078)))</f>
        <v/>
      </c>
      <c r="F4079" s="11" t="str">
        <f aca="false">IF($A4079="","",IF(원본명단!$I4078="",0,COUNTIF(원본명단!$I$3:$I$6002,원본명단!$I4078)))</f>
        <v/>
      </c>
      <c r="G4079" s="11" t="str">
        <f aca="false">IF($A4079="","",IF(원본명단!$K4078="",0,COUNTIF(원본명단!$K$3:$K$6002,원본명단!$K4078)))</f>
        <v/>
      </c>
      <c r="H4079" s="11" t="str">
        <f aca="false">IF($A4079="","",IF(MAX($E4079,$F4079,$G4079)&gt;1,"중복","-"))</f>
        <v/>
      </c>
      <c r="I4079" s="11" t="str">
        <f aca="false">IF($A4079="","",IF($H4079="-","-",IF(AND(IF(원본명단!$H4078="",TRUE(),COUNTIF(원본명단!$H$3:$H4078,원본명단!$H4078)=1),IF(원본명단!$I4078="",TRUE(),COUNTIF(원본명단!$I$3:$I4078,원본명단!$I4078)=1),IF(원본명단!$K4078="",TRUE(),COUNTIF(원본명단!$K$3:$K4078,원본명단!$K4078)=1)),"첫 건","중복 건")))</f>
        <v/>
      </c>
      <c r="J4079" s="11" t="str">
        <f aca="false">IF($A4079="","",IF($H4079="-","유지",IF($I4079="첫 건","유지","확인 필요")))</f>
        <v/>
      </c>
    </row>
    <row r="4080" customFormat="false" ht="15" hidden="false" customHeight="true" outlineLevel="0" collapsed="false">
      <c r="A4080" s="11" t="str">
        <f aca="false">IF(원본명단!$A4079="","",4077)</f>
        <v/>
      </c>
      <c r="B4080" s="12" t="str">
        <f aca="false">IF($A4080="","",원본명단!$A4079)</f>
        <v/>
      </c>
      <c r="C4080" s="12" t="str">
        <f aca="false">IF($A4080="","",원본명단!$B4079)</f>
        <v/>
      </c>
      <c r="D4080" s="12" t="str">
        <f aca="false">IF($A4080="","",원본명단!$D4079)</f>
        <v/>
      </c>
      <c r="E4080" s="11" t="str">
        <f aca="false">IF($A4080="","",IF(원본명단!$H4079="",0,COUNTIF(원본명단!$H$3:$H$6002,원본명단!$H4079)))</f>
        <v/>
      </c>
      <c r="F4080" s="11" t="str">
        <f aca="false">IF($A4080="","",IF(원본명단!$I4079="",0,COUNTIF(원본명단!$I$3:$I$6002,원본명단!$I4079)))</f>
        <v/>
      </c>
      <c r="G4080" s="11" t="str">
        <f aca="false">IF($A4080="","",IF(원본명단!$K4079="",0,COUNTIF(원본명단!$K$3:$K$6002,원본명단!$K4079)))</f>
        <v/>
      </c>
      <c r="H4080" s="11" t="str">
        <f aca="false">IF($A4080="","",IF(MAX($E4080,$F4080,$G4080)&gt;1,"중복","-"))</f>
        <v/>
      </c>
      <c r="I4080" s="11" t="str">
        <f aca="false">IF($A4080="","",IF($H4080="-","-",IF(AND(IF(원본명단!$H4079="",TRUE(),COUNTIF(원본명단!$H$3:$H4079,원본명단!$H4079)=1),IF(원본명단!$I4079="",TRUE(),COUNTIF(원본명단!$I$3:$I4079,원본명단!$I4079)=1),IF(원본명단!$K4079="",TRUE(),COUNTIF(원본명단!$K$3:$K4079,원본명단!$K4079)=1)),"첫 건","중복 건")))</f>
        <v/>
      </c>
      <c r="J4080" s="11" t="str">
        <f aca="false">IF($A4080="","",IF($H4080="-","유지",IF($I4080="첫 건","유지","확인 필요")))</f>
        <v/>
      </c>
    </row>
    <row r="4081" customFormat="false" ht="15" hidden="false" customHeight="true" outlineLevel="0" collapsed="false">
      <c r="A4081" s="11" t="str">
        <f aca="false">IF(원본명단!$A4080="","",4078)</f>
        <v/>
      </c>
      <c r="B4081" s="12" t="str">
        <f aca="false">IF($A4081="","",원본명단!$A4080)</f>
        <v/>
      </c>
      <c r="C4081" s="12" t="str">
        <f aca="false">IF($A4081="","",원본명단!$B4080)</f>
        <v/>
      </c>
      <c r="D4081" s="12" t="str">
        <f aca="false">IF($A4081="","",원본명단!$D4080)</f>
        <v/>
      </c>
      <c r="E4081" s="11" t="str">
        <f aca="false">IF($A4081="","",IF(원본명단!$H4080="",0,COUNTIF(원본명단!$H$3:$H$6002,원본명단!$H4080)))</f>
        <v/>
      </c>
      <c r="F4081" s="11" t="str">
        <f aca="false">IF($A4081="","",IF(원본명단!$I4080="",0,COUNTIF(원본명단!$I$3:$I$6002,원본명단!$I4080)))</f>
        <v/>
      </c>
      <c r="G4081" s="11" t="str">
        <f aca="false">IF($A4081="","",IF(원본명단!$K4080="",0,COUNTIF(원본명단!$K$3:$K$6002,원본명단!$K4080)))</f>
        <v/>
      </c>
      <c r="H4081" s="11" t="str">
        <f aca="false">IF($A4081="","",IF(MAX($E4081,$F4081,$G4081)&gt;1,"중복","-"))</f>
        <v/>
      </c>
      <c r="I4081" s="11" t="str">
        <f aca="false">IF($A4081="","",IF($H4081="-","-",IF(AND(IF(원본명단!$H4080="",TRUE(),COUNTIF(원본명단!$H$3:$H4080,원본명단!$H4080)=1),IF(원본명단!$I4080="",TRUE(),COUNTIF(원본명단!$I$3:$I4080,원본명단!$I4080)=1),IF(원본명단!$K4080="",TRUE(),COUNTIF(원본명단!$K$3:$K4080,원본명단!$K4080)=1)),"첫 건","중복 건")))</f>
        <v/>
      </c>
      <c r="J4081" s="11" t="str">
        <f aca="false">IF($A4081="","",IF($H4081="-","유지",IF($I4081="첫 건","유지","확인 필요")))</f>
        <v/>
      </c>
    </row>
    <row r="4082" customFormat="false" ht="15" hidden="false" customHeight="true" outlineLevel="0" collapsed="false">
      <c r="A4082" s="11" t="str">
        <f aca="false">IF(원본명단!$A4081="","",4079)</f>
        <v/>
      </c>
      <c r="B4082" s="12" t="str">
        <f aca="false">IF($A4082="","",원본명단!$A4081)</f>
        <v/>
      </c>
      <c r="C4082" s="12" t="str">
        <f aca="false">IF($A4082="","",원본명단!$B4081)</f>
        <v/>
      </c>
      <c r="D4082" s="12" t="str">
        <f aca="false">IF($A4082="","",원본명단!$D4081)</f>
        <v/>
      </c>
      <c r="E4082" s="11" t="str">
        <f aca="false">IF($A4082="","",IF(원본명단!$H4081="",0,COUNTIF(원본명단!$H$3:$H$6002,원본명단!$H4081)))</f>
        <v/>
      </c>
      <c r="F4082" s="11" t="str">
        <f aca="false">IF($A4082="","",IF(원본명단!$I4081="",0,COUNTIF(원본명단!$I$3:$I$6002,원본명단!$I4081)))</f>
        <v/>
      </c>
      <c r="G4082" s="11" t="str">
        <f aca="false">IF($A4082="","",IF(원본명단!$K4081="",0,COUNTIF(원본명단!$K$3:$K$6002,원본명단!$K4081)))</f>
        <v/>
      </c>
      <c r="H4082" s="11" t="str">
        <f aca="false">IF($A4082="","",IF(MAX($E4082,$F4082,$G4082)&gt;1,"중복","-"))</f>
        <v/>
      </c>
      <c r="I4082" s="11" t="str">
        <f aca="false">IF($A4082="","",IF($H4082="-","-",IF(AND(IF(원본명단!$H4081="",TRUE(),COUNTIF(원본명단!$H$3:$H4081,원본명단!$H4081)=1),IF(원본명단!$I4081="",TRUE(),COUNTIF(원본명단!$I$3:$I4081,원본명단!$I4081)=1),IF(원본명단!$K4081="",TRUE(),COUNTIF(원본명단!$K$3:$K4081,원본명단!$K4081)=1)),"첫 건","중복 건")))</f>
        <v/>
      </c>
      <c r="J4082" s="11" t="str">
        <f aca="false">IF($A4082="","",IF($H4082="-","유지",IF($I4082="첫 건","유지","확인 필요")))</f>
        <v/>
      </c>
    </row>
    <row r="4083" customFormat="false" ht="15" hidden="false" customHeight="true" outlineLevel="0" collapsed="false">
      <c r="A4083" s="11" t="str">
        <f aca="false">IF(원본명단!$A4082="","",4080)</f>
        <v/>
      </c>
      <c r="B4083" s="12" t="str">
        <f aca="false">IF($A4083="","",원본명단!$A4082)</f>
        <v/>
      </c>
      <c r="C4083" s="12" t="str">
        <f aca="false">IF($A4083="","",원본명단!$B4082)</f>
        <v/>
      </c>
      <c r="D4083" s="12" t="str">
        <f aca="false">IF($A4083="","",원본명단!$D4082)</f>
        <v/>
      </c>
      <c r="E4083" s="11" t="str">
        <f aca="false">IF($A4083="","",IF(원본명단!$H4082="",0,COUNTIF(원본명단!$H$3:$H$6002,원본명단!$H4082)))</f>
        <v/>
      </c>
      <c r="F4083" s="11" t="str">
        <f aca="false">IF($A4083="","",IF(원본명단!$I4082="",0,COUNTIF(원본명단!$I$3:$I$6002,원본명단!$I4082)))</f>
        <v/>
      </c>
      <c r="G4083" s="11" t="str">
        <f aca="false">IF($A4083="","",IF(원본명단!$K4082="",0,COUNTIF(원본명단!$K$3:$K$6002,원본명단!$K4082)))</f>
        <v/>
      </c>
      <c r="H4083" s="11" t="str">
        <f aca="false">IF($A4083="","",IF(MAX($E4083,$F4083,$G4083)&gt;1,"중복","-"))</f>
        <v/>
      </c>
      <c r="I4083" s="11" t="str">
        <f aca="false">IF($A4083="","",IF($H4083="-","-",IF(AND(IF(원본명단!$H4082="",TRUE(),COUNTIF(원본명단!$H$3:$H4082,원본명단!$H4082)=1),IF(원본명단!$I4082="",TRUE(),COUNTIF(원본명단!$I$3:$I4082,원본명단!$I4082)=1),IF(원본명단!$K4082="",TRUE(),COUNTIF(원본명단!$K$3:$K4082,원본명단!$K4082)=1)),"첫 건","중복 건")))</f>
        <v/>
      </c>
      <c r="J4083" s="11" t="str">
        <f aca="false">IF($A4083="","",IF($H4083="-","유지",IF($I4083="첫 건","유지","확인 필요")))</f>
        <v/>
      </c>
    </row>
    <row r="4084" customFormat="false" ht="15" hidden="false" customHeight="true" outlineLevel="0" collapsed="false">
      <c r="A4084" s="11" t="str">
        <f aca="false">IF(원본명단!$A4083="","",4081)</f>
        <v/>
      </c>
      <c r="B4084" s="12" t="str">
        <f aca="false">IF($A4084="","",원본명단!$A4083)</f>
        <v/>
      </c>
      <c r="C4084" s="12" t="str">
        <f aca="false">IF($A4084="","",원본명단!$B4083)</f>
        <v/>
      </c>
      <c r="D4084" s="12" t="str">
        <f aca="false">IF($A4084="","",원본명단!$D4083)</f>
        <v/>
      </c>
      <c r="E4084" s="11" t="str">
        <f aca="false">IF($A4084="","",IF(원본명단!$H4083="",0,COUNTIF(원본명단!$H$3:$H$6002,원본명단!$H4083)))</f>
        <v/>
      </c>
      <c r="F4084" s="11" t="str">
        <f aca="false">IF($A4084="","",IF(원본명단!$I4083="",0,COUNTIF(원본명단!$I$3:$I$6002,원본명단!$I4083)))</f>
        <v/>
      </c>
      <c r="G4084" s="11" t="str">
        <f aca="false">IF($A4084="","",IF(원본명단!$K4083="",0,COUNTIF(원본명단!$K$3:$K$6002,원본명단!$K4083)))</f>
        <v/>
      </c>
      <c r="H4084" s="11" t="str">
        <f aca="false">IF($A4084="","",IF(MAX($E4084,$F4084,$G4084)&gt;1,"중복","-"))</f>
        <v/>
      </c>
      <c r="I4084" s="11" t="str">
        <f aca="false">IF($A4084="","",IF($H4084="-","-",IF(AND(IF(원본명단!$H4083="",TRUE(),COUNTIF(원본명단!$H$3:$H4083,원본명단!$H4083)=1),IF(원본명단!$I4083="",TRUE(),COUNTIF(원본명단!$I$3:$I4083,원본명단!$I4083)=1),IF(원본명단!$K4083="",TRUE(),COUNTIF(원본명단!$K$3:$K4083,원본명단!$K4083)=1)),"첫 건","중복 건")))</f>
        <v/>
      </c>
      <c r="J4084" s="11" t="str">
        <f aca="false">IF($A4084="","",IF($H4084="-","유지",IF($I4084="첫 건","유지","확인 필요")))</f>
        <v/>
      </c>
    </row>
    <row r="4085" customFormat="false" ht="15" hidden="false" customHeight="true" outlineLevel="0" collapsed="false">
      <c r="A4085" s="11" t="str">
        <f aca="false">IF(원본명단!$A4084="","",4082)</f>
        <v/>
      </c>
      <c r="B4085" s="12" t="str">
        <f aca="false">IF($A4085="","",원본명단!$A4084)</f>
        <v/>
      </c>
      <c r="C4085" s="12" t="str">
        <f aca="false">IF($A4085="","",원본명단!$B4084)</f>
        <v/>
      </c>
      <c r="D4085" s="12" t="str">
        <f aca="false">IF($A4085="","",원본명단!$D4084)</f>
        <v/>
      </c>
      <c r="E4085" s="11" t="str">
        <f aca="false">IF($A4085="","",IF(원본명단!$H4084="",0,COUNTIF(원본명단!$H$3:$H$6002,원본명단!$H4084)))</f>
        <v/>
      </c>
      <c r="F4085" s="11" t="str">
        <f aca="false">IF($A4085="","",IF(원본명단!$I4084="",0,COUNTIF(원본명단!$I$3:$I$6002,원본명단!$I4084)))</f>
        <v/>
      </c>
      <c r="G4085" s="11" t="str">
        <f aca="false">IF($A4085="","",IF(원본명단!$K4084="",0,COUNTIF(원본명단!$K$3:$K$6002,원본명단!$K4084)))</f>
        <v/>
      </c>
      <c r="H4085" s="11" t="str">
        <f aca="false">IF($A4085="","",IF(MAX($E4085,$F4085,$G4085)&gt;1,"중복","-"))</f>
        <v/>
      </c>
      <c r="I4085" s="11" t="str">
        <f aca="false">IF($A4085="","",IF($H4085="-","-",IF(AND(IF(원본명단!$H4084="",TRUE(),COUNTIF(원본명단!$H$3:$H4084,원본명단!$H4084)=1),IF(원본명단!$I4084="",TRUE(),COUNTIF(원본명단!$I$3:$I4084,원본명단!$I4084)=1),IF(원본명단!$K4084="",TRUE(),COUNTIF(원본명단!$K$3:$K4084,원본명단!$K4084)=1)),"첫 건","중복 건")))</f>
        <v/>
      </c>
      <c r="J4085" s="11" t="str">
        <f aca="false">IF($A4085="","",IF($H4085="-","유지",IF($I4085="첫 건","유지","확인 필요")))</f>
        <v/>
      </c>
    </row>
    <row r="4086" customFormat="false" ht="15" hidden="false" customHeight="true" outlineLevel="0" collapsed="false">
      <c r="A4086" s="11" t="str">
        <f aca="false">IF(원본명단!$A4085="","",4083)</f>
        <v/>
      </c>
      <c r="B4086" s="12" t="str">
        <f aca="false">IF($A4086="","",원본명단!$A4085)</f>
        <v/>
      </c>
      <c r="C4086" s="12" t="str">
        <f aca="false">IF($A4086="","",원본명단!$B4085)</f>
        <v/>
      </c>
      <c r="D4086" s="12" t="str">
        <f aca="false">IF($A4086="","",원본명단!$D4085)</f>
        <v/>
      </c>
      <c r="E4086" s="11" t="str">
        <f aca="false">IF($A4086="","",IF(원본명단!$H4085="",0,COUNTIF(원본명단!$H$3:$H$6002,원본명단!$H4085)))</f>
        <v/>
      </c>
      <c r="F4086" s="11" t="str">
        <f aca="false">IF($A4086="","",IF(원본명단!$I4085="",0,COUNTIF(원본명단!$I$3:$I$6002,원본명단!$I4085)))</f>
        <v/>
      </c>
      <c r="G4086" s="11" t="str">
        <f aca="false">IF($A4086="","",IF(원본명단!$K4085="",0,COUNTIF(원본명단!$K$3:$K$6002,원본명단!$K4085)))</f>
        <v/>
      </c>
      <c r="H4086" s="11" t="str">
        <f aca="false">IF($A4086="","",IF(MAX($E4086,$F4086,$G4086)&gt;1,"중복","-"))</f>
        <v/>
      </c>
      <c r="I4086" s="11" t="str">
        <f aca="false">IF($A4086="","",IF($H4086="-","-",IF(AND(IF(원본명단!$H4085="",TRUE(),COUNTIF(원본명단!$H$3:$H4085,원본명단!$H4085)=1),IF(원본명단!$I4085="",TRUE(),COUNTIF(원본명단!$I$3:$I4085,원본명단!$I4085)=1),IF(원본명단!$K4085="",TRUE(),COUNTIF(원본명단!$K$3:$K4085,원본명단!$K4085)=1)),"첫 건","중복 건")))</f>
        <v/>
      </c>
      <c r="J4086" s="11" t="str">
        <f aca="false">IF($A4086="","",IF($H4086="-","유지",IF($I4086="첫 건","유지","확인 필요")))</f>
        <v/>
      </c>
    </row>
    <row r="4087" customFormat="false" ht="15" hidden="false" customHeight="true" outlineLevel="0" collapsed="false">
      <c r="A4087" s="11" t="str">
        <f aca="false">IF(원본명단!$A4086="","",4084)</f>
        <v/>
      </c>
      <c r="B4087" s="12" t="str">
        <f aca="false">IF($A4087="","",원본명단!$A4086)</f>
        <v/>
      </c>
      <c r="C4087" s="12" t="str">
        <f aca="false">IF($A4087="","",원본명단!$B4086)</f>
        <v/>
      </c>
      <c r="D4087" s="12" t="str">
        <f aca="false">IF($A4087="","",원본명단!$D4086)</f>
        <v/>
      </c>
      <c r="E4087" s="11" t="str">
        <f aca="false">IF($A4087="","",IF(원본명단!$H4086="",0,COUNTIF(원본명단!$H$3:$H$6002,원본명단!$H4086)))</f>
        <v/>
      </c>
      <c r="F4087" s="11" t="str">
        <f aca="false">IF($A4087="","",IF(원본명단!$I4086="",0,COUNTIF(원본명단!$I$3:$I$6002,원본명단!$I4086)))</f>
        <v/>
      </c>
      <c r="G4087" s="11" t="str">
        <f aca="false">IF($A4087="","",IF(원본명단!$K4086="",0,COUNTIF(원본명단!$K$3:$K$6002,원본명단!$K4086)))</f>
        <v/>
      </c>
      <c r="H4087" s="11" t="str">
        <f aca="false">IF($A4087="","",IF(MAX($E4087,$F4087,$G4087)&gt;1,"중복","-"))</f>
        <v/>
      </c>
      <c r="I4087" s="11" t="str">
        <f aca="false">IF($A4087="","",IF($H4087="-","-",IF(AND(IF(원본명단!$H4086="",TRUE(),COUNTIF(원본명단!$H$3:$H4086,원본명단!$H4086)=1),IF(원본명단!$I4086="",TRUE(),COUNTIF(원본명단!$I$3:$I4086,원본명단!$I4086)=1),IF(원본명단!$K4086="",TRUE(),COUNTIF(원본명단!$K$3:$K4086,원본명단!$K4086)=1)),"첫 건","중복 건")))</f>
        <v/>
      </c>
      <c r="J4087" s="11" t="str">
        <f aca="false">IF($A4087="","",IF($H4087="-","유지",IF($I4087="첫 건","유지","확인 필요")))</f>
        <v/>
      </c>
    </row>
    <row r="4088" customFormat="false" ht="15" hidden="false" customHeight="true" outlineLevel="0" collapsed="false">
      <c r="A4088" s="11" t="str">
        <f aca="false">IF(원본명단!$A4087="","",4085)</f>
        <v/>
      </c>
      <c r="B4088" s="12" t="str">
        <f aca="false">IF($A4088="","",원본명단!$A4087)</f>
        <v/>
      </c>
      <c r="C4088" s="12" t="str">
        <f aca="false">IF($A4088="","",원본명단!$B4087)</f>
        <v/>
      </c>
      <c r="D4088" s="12" t="str">
        <f aca="false">IF($A4088="","",원본명단!$D4087)</f>
        <v/>
      </c>
      <c r="E4088" s="11" t="str">
        <f aca="false">IF($A4088="","",IF(원본명단!$H4087="",0,COUNTIF(원본명단!$H$3:$H$6002,원본명단!$H4087)))</f>
        <v/>
      </c>
      <c r="F4088" s="11" t="str">
        <f aca="false">IF($A4088="","",IF(원본명단!$I4087="",0,COUNTIF(원본명단!$I$3:$I$6002,원본명단!$I4087)))</f>
        <v/>
      </c>
      <c r="G4088" s="11" t="str">
        <f aca="false">IF($A4088="","",IF(원본명단!$K4087="",0,COUNTIF(원본명단!$K$3:$K$6002,원본명단!$K4087)))</f>
        <v/>
      </c>
      <c r="H4088" s="11" t="str">
        <f aca="false">IF($A4088="","",IF(MAX($E4088,$F4088,$G4088)&gt;1,"중복","-"))</f>
        <v/>
      </c>
      <c r="I4088" s="11" t="str">
        <f aca="false">IF($A4088="","",IF($H4088="-","-",IF(AND(IF(원본명단!$H4087="",TRUE(),COUNTIF(원본명단!$H$3:$H4087,원본명단!$H4087)=1),IF(원본명단!$I4087="",TRUE(),COUNTIF(원본명단!$I$3:$I4087,원본명단!$I4087)=1),IF(원본명단!$K4087="",TRUE(),COUNTIF(원본명단!$K$3:$K4087,원본명단!$K4087)=1)),"첫 건","중복 건")))</f>
        <v/>
      </c>
      <c r="J4088" s="11" t="str">
        <f aca="false">IF($A4088="","",IF($H4088="-","유지",IF($I4088="첫 건","유지","확인 필요")))</f>
        <v/>
      </c>
    </row>
    <row r="4089" customFormat="false" ht="15" hidden="false" customHeight="true" outlineLevel="0" collapsed="false">
      <c r="A4089" s="11" t="str">
        <f aca="false">IF(원본명단!$A4088="","",4086)</f>
        <v/>
      </c>
      <c r="B4089" s="12" t="str">
        <f aca="false">IF($A4089="","",원본명단!$A4088)</f>
        <v/>
      </c>
      <c r="C4089" s="12" t="str">
        <f aca="false">IF($A4089="","",원본명단!$B4088)</f>
        <v/>
      </c>
      <c r="D4089" s="12" t="str">
        <f aca="false">IF($A4089="","",원본명단!$D4088)</f>
        <v/>
      </c>
      <c r="E4089" s="11" t="str">
        <f aca="false">IF($A4089="","",IF(원본명단!$H4088="",0,COUNTIF(원본명단!$H$3:$H$6002,원본명단!$H4088)))</f>
        <v/>
      </c>
      <c r="F4089" s="11" t="str">
        <f aca="false">IF($A4089="","",IF(원본명단!$I4088="",0,COUNTIF(원본명단!$I$3:$I$6002,원본명단!$I4088)))</f>
        <v/>
      </c>
      <c r="G4089" s="11" t="str">
        <f aca="false">IF($A4089="","",IF(원본명단!$K4088="",0,COUNTIF(원본명단!$K$3:$K$6002,원본명단!$K4088)))</f>
        <v/>
      </c>
      <c r="H4089" s="11" t="str">
        <f aca="false">IF($A4089="","",IF(MAX($E4089,$F4089,$G4089)&gt;1,"중복","-"))</f>
        <v/>
      </c>
      <c r="I4089" s="11" t="str">
        <f aca="false">IF($A4089="","",IF($H4089="-","-",IF(AND(IF(원본명단!$H4088="",TRUE(),COUNTIF(원본명단!$H$3:$H4088,원본명단!$H4088)=1),IF(원본명단!$I4088="",TRUE(),COUNTIF(원본명단!$I$3:$I4088,원본명단!$I4088)=1),IF(원본명단!$K4088="",TRUE(),COUNTIF(원본명단!$K$3:$K4088,원본명단!$K4088)=1)),"첫 건","중복 건")))</f>
        <v/>
      </c>
      <c r="J4089" s="11" t="str">
        <f aca="false">IF($A4089="","",IF($H4089="-","유지",IF($I4089="첫 건","유지","확인 필요")))</f>
        <v/>
      </c>
    </row>
    <row r="4090" customFormat="false" ht="15" hidden="false" customHeight="true" outlineLevel="0" collapsed="false">
      <c r="A4090" s="11" t="str">
        <f aca="false">IF(원본명단!$A4089="","",4087)</f>
        <v/>
      </c>
      <c r="B4090" s="12" t="str">
        <f aca="false">IF($A4090="","",원본명단!$A4089)</f>
        <v/>
      </c>
      <c r="C4090" s="12" t="str">
        <f aca="false">IF($A4090="","",원본명단!$B4089)</f>
        <v/>
      </c>
      <c r="D4090" s="12" t="str">
        <f aca="false">IF($A4090="","",원본명단!$D4089)</f>
        <v/>
      </c>
      <c r="E4090" s="11" t="str">
        <f aca="false">IF($A4090="","",IF(원본명단!$H4089="",0,COUNTIF(원본명단!$H$3:$H$6002,원본명단!$H4089)))</f>
        <v/>
      </c>
      <c r="F4090" s="11" t="str">
        <f aca="false">IF($A4090="","",IF(원본명단!$I4089="",0,COUNTIF(원본명단!$I$3:$I$6002,원본명단!$I4089)))</f>
        <v/>
      </c>
      <c r="G4090" s="11" t="str">
        <f aca="false">IF($A4090="","",IF(원본명단!$K4089="",0,COUNTIF(원본명단!$K$3:$K$6002,원본명단!$K4089)))</f>
        <v/>
      </c>
      <c r="H4090" s="11" t="str">
        <f aca="false">IF($A4090="","",IF(MAX($E4090,$F4090,$G4090)&gt;1,"중복","-"))</f>
        <v/>
      </c>
      <c r="I4090" s="11" t="str">
        <f aca="false">IF($A4090="","",IF($H4090="-","-",IF(AND(IF(원본명단!$H4089="",TRUE(),COUNTIF(원본명단!$H$3:$H4089,원본명단!$H4089)=1),IF(원본명단!$I4089="",TRUE(),COUNTIF(원본명단!$I$3:$I4089,원본명단!$I4089)=1),IF(원본명단!$K4089="",TRUE(),COUNTIF(원본명단!$K$3:$K4089,원본명단!$K4089)=1)),"첫 건","중복 건")))</f>
        <v/>
      </c>
      <c r="J4090" s="11" t="str">
        <f aca="false">IF($A4090="","",IF($H4090="-","유지",IF($I4090="첫 건","유지","확인 필요")))</f>
        <v/>
      </c>
    </row>
    <row r="4091" customFormat="false" ht="15" hidden="false" customHeight="true" outlineLevel="0" collapsed="false">
      <c r="A4091" s="11" t="str">
        <f aca="false">IF(원본명단!$A4090="","",4088)</f>
        <v/>
      </c>
      <c r="B4091" s="12" t="str">
        <f aca="false">IF($A4091="","",원본명단!$A4090)</f>
        <v/>
      </c>
      <c r="C4091" s="12" t="str">
        <f aca="false">IF($A4091="","",원본명단!$B4090)</f>
        <v/>
      </c>
      <c r="D4091" s="12" t="str">
        <f aca="false">IF($A4091="","",원본명단!$D4090)</f>
        <v/>
      </c>
      <c r="E4091" s="11" t="str">
        <f aca="false">IF($A4091="","",IF(원본명단!$H4090="",0,COUNTIF(원본명단!$H$3:$H$6002,원본명단!$H4090)))</f>
        <v/>
      </c>
      <c r="F4091" s="11" t="str">
        <f aca="false">IF($A4091="","",IF(원본명단!$I4090="",0,COUNTIF(원본명단!$I$3:$I$6002,원본명단!$I4090)))</f>
        <v/>
      </c>
      <c r="G4091" s="11" t="str">
        <f aca="false">IF($A4091="","",IF(원본명단!$K4090="",0,COUNTIF(원본명단!$K$3:$K$6002,원본명단!$K4090)))</f>
        <v/>
      </c>
      <c r="H4091" s="11" t="str">
        <f aca="false">IF($A4091="","",IF(MAX($E4091,$F4091,$G4091)&gt;1,"중복","-"))</f>
        <v/>
      </c>
      <c r="I4091" s="11" t="str">
        <f aca="false">IF($A4091="","",IF($H4091="-","-",IF(AND(IF(원본명단!$H4090="",TRUE(),COUNTIF(원본명단!$H$3:$H4090,원본명단!$H4090)=1),IF(원본명단!$I4090="",TRUE(),COUNTIF(원본명단!$I$3:$I4090,원본명단!$I4090)=1),IF(원본명단!$K4090="",TRUE(),COUNTIF(원본명단!$K$3:$K4090,원본명단!$K4090)=1)),"첫 건","중복 건")))</f>
        <v/>
      </c>
      <c r="J4091" s="11" t="str">
        <f aca="false">IF($A4091="","",IF($H4091="-","유지",IF($I4091="첫 건","유지","확인 필요")))</f>
        <v/>
      </c>
    </row>
    <row r="4092" customFormat="false" ht="15" hidden="false" customHeight="true" outlineLevel="0" collapsed="false">
      <c r="A4092" s="11" t="str">
        <f aca="false">IF(원본명단!$A4091="","",4089)</f>
        <v/>
      </c>
      <c r="B4092" s="12" t="str">
        <f aca="false">IF($A4092="","",원본명단!$A4091)</f>
        <v/>
      </c>
      <c r="C4092" s="12" t="str">
        <f aca="false">IF($A4092="","",원본명단!$B4091)</f>
        <v/>
      </c>
      <c r="D4092" s="12" t="str">
        <f aca="false">IF($A4092="","",원본명단!$D4091)</f>
        <v/>
      </c>
      <c r="E4092" s="11" t="str">
        <f aca="false">IF($A4092="","",IF(원본명단!$H4091="",0,COUNTIF(원본명단!$H$3:$H$6002,원본명단!$H4091)))</f>
        <v/>
      </c>
      <c r="F4092" s="11" t="str">
        <f aca="false">IF($A4092="","",IF(원본명단!$I4091="",0,COUNTIF(원본명단!$I$3:$I$6002,원본명단!$I4091)))</f>
        <v/>
      </c>
      <c r="G4092" s="11" t="str">
        <f aca="false">IF($A4092="","",IF(원본명단!$K4091="",0,COUNTIF(원본명단!$K$3:$K$6002,원본명단!$K4091)))</f>
        <v/>
      </c>
      <c r="H4092" s="11" t="str">
        <f aca="false">IF($A4092="","",IF(MAX($E4092,$F4092,$G4092)&gt;1,"중복","-"))</f>
        <v/>
      </c>
      <c r="I4092" s="11" t="str">
        <f aca="false">IF($A4092="","",IF($H4092="-","-",IF(AND(IF(원본명단!$H4091="",TRUE(),COUNTIF(원본명단!$H$3:$H4091,원본명단!$H4091)=1),IF(원본명단!$I4091="",TRUE(),COUNTIF(원본명단!$I$3:$I4091,원본명단!$I4091)=1),IF(원본명단!$K4091="",TRUE(),COUNTIF(원본명단!$K$3:$K4091,원본명단!$K4091)=1)),"첫 건","중복 건")))</f>
        <v/>
      </c>
      <c r="J4092" s="11" t="str">
        <f aca="false">IF($A4092="","",IF($H4092="-","유지",IF($I4092="첫 건","유지","확인 필요")))</f>
        <v/>
      </c>
    </row>
    <row r="4093" customFormat="false" ht="15" hidden="false" customHeight="true" outlineLevel="0" collapsed="false">
      <c r="A4093" s="11" t="str">
        <f aca="false">IF(원본명단!$A4092="","",4090)</f>
        <v/>
      </c>
      <c r="B4093" s="12" t="str">
        <f aca="false">IF($A4093="","",원본명단!$A4092)</f>
        <v/>
      </c>
      <c r="C4093" s="12" t="str">
        <f aca="false">IF($A4093="","",원본명단!$B4092)</f>
        <v/>
      </c>
      <c r="D4093" s="12" t="str">
        <f aca="false">IF($A4093="","",원본명단!$D4092)</f>
        <v/>
      </c>
      <c r="E4093" s="11" t="str">
        <f aca="false">IF($A4093="","",IF(원본명단!$H4092="",0,COUNTIF(원본명단!$H$3:$H$6002,원본명단!$H4092)))</f>
        <v/>
      </c>
      <c r="F4093" s="11" t="str">
        <f aca="false">IF($A4093="","",IF(원본명단!$I4092="",0,COUNTIF(원본명단!$I$3:$I$6002,원본명단!$I4092)))</f>
        <v/>
      </c>
      <c r="G4093" s="11" t="str">
        <f aca="false">IF($A4093="","",IF(원본명단!$K4092="",0,COUNTIF(원본명단!$K$3:$K$6002,원본명단!$K4092)))</f>
        <v/>
      </c>
      <c r="H4093" s="11" t="str">
        <f aca="false">IF($A4093="","",IF(MAX($E4093,$F4093,$G4093)&gt;1,"중복","-"))</f>
        <v/>
      </c>
      <c r="I4093" s="11" t="str">
        <f aca="false">IF($A4093="","",IF($H4093="-","-",IF(AND(IF(원본명단!$H4092="",TRUE(),COUNTIF(원본명단!$H$3:$H4092,원본명단!$H4092)=1),IF(원본명단!$I4092="",TRUE(),COUNTIF(원본명단!$I$3:$I4092,원본명단!$I4092)=1),IF(원본명단!$K4092="",TRUE(),COUNTIF(원본명단!$K$3:$K4092,원본명단!$K4092)=1)),"첫 건","중복 건")))</f>
        <v/>
      </c>
      <c r="J4093" s="11" t="str">
        <f aca="false">IF($A4093="","",IF($H4093="-","유지",IF($I4093="첫 건","유지","확인 필요")))</f>
        <v/>
      </c>
    </row>
    <row r="4094" customFormat="false" ht="15" hidden="false" customHeight="true" outlineLevel="0" collapsed="false">
      <c r="A4094" s="11" t="str">
        <f aca="false">IF(원본명단!$A4093="","",4091)</f>
        <v/>
      </c>
      <c r="B4094" s="12" t="str">
        <f aca="false">IF($A4094="","",원본명단!$A4093)</f>
        <v/>
      </c>
      <c r="C4094" s="12" t="str">
        <f aca="false">IF($A4094="","",원본명단!$B4093)</f>
        <v/>
      </c>
      <c r="D4094" s="12" t="str">
        <f aca="false">IF($A4094="","",원본명단!$D4093)</f>
        <v/>
      </c>
      <c r="E4094" s="11" t="str">
        <f aca="false">IF($A4094="","",IF(원본명단!$H4093="",0,COUNTIF(원본명단!$H$3:$H$6002,원본명단!$H4093)))</f>
        <v/>
      </c>
      <c r="F4094" s="11" t="str">
        <f aca="false">IF($A4094="","",IF(원본명단!$I4093="",0,COUNTIF(원본명단!$I$3:$I$6002,원본명단!$I4093)))</f>
        <v/>
      </c>
      <c r="G4094" s="11" t="str">
        <f aca="false">IF($A4094="","",IF(원본명단!$K4093="",0,COUNTIF(원본명단!$K$3:$K$6002,원본명단!$K4093)))</f>
        <v/>
      </c>
      <c r="H4094" s="11" t="str">
        <f aca="false">IF($A4094="","",IF(MAX($E4094,$F4094,$G4094)&gt;1,"중복","-"))</f>
        <v/>
      </c>
      <c r="I4094" s="11" t="str">
        <f aca="false">IF($A4094="","",IF($H4094="-","-",IF(AND(IF(원본명단!$H4093="",TRUE(),COUNTIF(원본명단!$H$3:$H4093,원본명단!$H4093)=1),IF(원본명단!$I4093="",TRUE(),COUNTIF(원본명단!$I$3:$I4093,원본명단!$I4093)=1),IF(원본명단!$K4093="",TRUE(),COUNTIF(원본명단!$K$3:$K4093,원본명단!$K4093)=1)),"첫 건","중복 건")))</f>
        <v/>
      </c>
      <c r="J4094" s="11" t="str">
        <f aca="false">IF($A4094="","",IF($H4094="-","유지",IF($I4094="첫 건","유지","확인 필요")))</f>
        <v/>
      </c>
    </row>
    <row r="4095" customFormat="false" ht="15" hidden="false" customHeight="true" outlineLevel="0" collapsed="false">
      <c r="A4095" s="11" t="str">
        <f aca="false">IF(원본명단!$A4094="","",4092)</f>
        <v/>
      </c>
      <c r="B4095" s="12" t="str">
        <f aca="false">IF($A4095="","",원본명단!$A4094)</f>
        <v/>
      </c>
      <c r="C4095" s="12" t="str">
        <f aca="false">IF($A4095="","",원본명단!$B4094)</f>
        <v/>
      </c>
      <c r="D4095" s="12" t="str">
        <f aca="false">IF($A4095="","",원본명단!$D4094)</f>
        <v/>
      </c>
      <c r="E4095" s="11" t="str">
        <f aca="false">IF($A4095="","",IF(원본명단!$H4094="",0,COUNTIF(원본명단!$H$3:$H$6002,원본명단!$H4094)))</f>
        <v/>
      </c>
      <c r="F4095" s="11" t="str">
        <f aca="false">IF($A4095="","",IF(원본명단!$I4094="",0,COUNTIF(원본명단!$I$3:$I$6002,원본명단!$I4094)))</f>
        <v/>
      </c>
      <c r="G4095" s="11" t="str">
        <f aca="false">IF($A4095="","",IF(원본명단!$K4094="",0,COUNTIF(원본명단!$K$3:$K$6002,원본명단!$K4094)))</f>
        <v/>
      </c>
      <c r="H4095" s="11" t="str">
        <f aca="false">IF($A4095="","",IF(MAX($E4095,$F4095,$G4095)&gt;1,"중복","-"))</f>
        <v/>
      </c>
      <c r="I4095" s="11" t="str">
        <f aca="false">IF($A4095="","",IF($H4095="-","-",IF(AND(IF(원본명단!$H4094="",TRUE(),COUNTIF(원본명단!$H$3:$H4094,원본명단!$H4094)=1),IF(원본명단!$I4094="",TRUE(),COUNTIF(원본명단!$I$3:$I4094,원본명단!$I4094)=1),IF(원본명단!$K4094="",TRUE(),COUNTIF(원본명단!$K$3:$K4094,원본명단!$K4094)=1)),"첫 건","중복 건")))</f>
        <v/>
      </c>
      <c r="J4095" s="11" t="str">
        <f aca="false">IF($A4095="","",IF($H4095="-","유지",IF($I4095="첫 건","유지","확인 필요")))</f>
        <v/>
      </c>
    </row>
    <row r="4096" customFormat="false" ht="15" hidden="false" customHeight="true" outlineLevel="0" collapsed="false">
      <c r="A4096" s="11" t="str">
        <f aca="false">IF(원본명단!$A4095="","",4093)</f>
        <v/>
      </c>
      <c r="B4096" s="12" t="str">
        <f aca="false">IF($A4096="","",원본명단!$A4095)</f>
        <v/>
      </c>
      <c r="C4096" s="12" t="str">
        <f aca="false">IF($A4096="","",원본명단!$B4095)</f>
        <v/>
      </c>
      <c r="D4096" s="12" t="str">
        <f aca="false">IF($A4096="","",원본명단!$D4095)</f>
        <v/>
      </c>
      <c r="E4096" s="11" t="str">
        <f aca="false">IF($A4096="","",IF(원본명단!$H4095="",0,COUNTIF(원본명단!$H$3:$H$6002,원본명단!$H4095)))</f>
        <v/>
      </c>
      <c r="F4096" s="11" t="str">
        <f aca="false">IF($A4096="","",IF(원본명단!$I4095="",0,COUNTIF(원본명단!$I$3:$I$6002,원본명단!$I4095)))</f>
        <v/>
      </c>
      <c r="G4096" s="11" t="str">
        <f aca="false">IF($A4096="","",IF(원본명단!$K4095="",0,COUNTIF(원본명단!$K$3:$K$6002,원본명단!$K4095)))</f>
        <v/>
      </c>
      <c r="H4096" s="11" t="str">
        <f aca="false">IF($A4096="","",IF(MAX($E4096,$F4096,$G4096)&gt;1,"중복","-"))</f>
        <v/>
      </c>
      <c r="I4096" s="11" t="str">
        <f aca="false">IF($A4096="","",IF($H4096="-","-",IF(AND(IF(원본명단!$H4095="",TRUE(),COUNTIF(원본명단!$H$3:$H4095,원본명단!$H4095)=1),IF(원본명단!$I4095="",TRUE(),COUNTIF(원본명단!$I$3:$I4095,원본명단!$I4095)=1),IF(원본명단!$K4095="",TRUE(),COUNTIF(원본명단!$K$3:$K4095,원본명단!$K4095)=1)),"첫 건","중복 건")))</f>
        <v/>
      </c>
      <c r="J4096" s="11" t="str">
        <f aca="false">IF($A4096="","",IF($H4096="-","유지",IF($I4096="첫 건","유지","확인 필요")))</f>
        <v/>
      </c>
    </row>
    <row r="4097" customFormat="false" ht="15" hidden="false" customHeight="true" outlineLevel="0" collapsed="false">
      <c r="A4097" s="11" t="str">
        <f aca="false">IF(원본명단!$A4096="","",4094)</f>
        <v/>
      </c>
      <c r="B4097" s="12" t="str">
        <f aca="false">IF($A4097="","",원본명단!$A4096)</f>
        <v/>
      </c>
      <c r="C4097" s="12" t="str">
        <f aca="false">IF($A4097="","",원본명단!$B4096)</f>
        <v/>
      </c>
      <c r="D4097" s="12" t="str">
        <f aca="false">IF($A4097="","",원본명단!$D4096)</f>
        <v/>
      </c>
      <c r="E4097" s="11" t="str">
        <f aca="false">IF($A4097="","",IF(원본명단!$H4096="",0,COUNTIF(원본명단!$H$3:$H$6002,원본명단!$H4096)))</f>
        <v/>
      </c>
      <c r="F4097" s="11" t="str">
        <f aca="false">IF($A4097="","",IF(원본명단!$I4096="",0,COUNTIF(원본명단!$I$3:$I$6002,원본명단!$I4096)))</f>
        <v/>
      </c>
      <c r="G4097" s="11" t="str">
        <f aca="false">IF($A4097="","",IF(원본명단!$K4096="",0,COUNTIF(원본명단!$K$3:$K$6002,원본명단!$K4096)))</f>
        <v/>
      </c>
      <c r="H4097" s="11" t="str">
        <f aca="false">IF($A4097="","",IF(MAX($E4097,$F4097,$G4097)&gt;1,"중복","-"))</f>
        <v/>
      </c>
      <c r="I4097" s="11" t="str">
        <f aca="false">IF($A4097="","",IF($H4097="-","-",IF(AND(IF(원본명단!$H4096="",TRUE(),COUNTIF(원본명단!$H$3:$H4096,원본명단!$H4096)=1),IF(원본명단!$I4096="",TRUE(),COUNTIF(원본명단!$I$3:$I4096,원본명단!$I4096)=1),IF(원본명단!$K4096="",TRUE(),COUNTIF(원본명단!$K$3:$K4096,원본명단!$K4096)=1)),"첫 건","중복 건")))</f>
        <v/>
      </c>
      <c r="J4097" s="11" t="str">
        <f aca="false">IF($A4097="","",IF($H4097="-","유지",IF($I4097="첫 건","유지","확인 필요")))</f>
        <v/>
      </c>
    </row>
    <row r="4098" customFormat="false" ht="15" hidden="false" customHeight="true" outlineLevel="0" collapsed="false">
      <c r="A4098" s="11" t="str">
        <f aca="false">IF(원본명단!$A4097="","",4095)</f>
        <v/>
      </c>
      <c r="B4098" s="12" t="str">
        <f aca="false">IF($A4098="","",원본명단!$A4097)</f>
        <v/>
      </c>
      <c r="C4098" s="12" t="str">
        <f aca="false">IF($A4098="","",원본명단!$B4097)</f>
        <v/>
      </c>
      <c r="D4098" s="12" t="str">
        <f aca="false">IF($A4098="","",원본명단!$D4097)</f>
        <v/>
      </c>
      <c r="E4098" s="11" t="str">
        <f aca="false">IF($A4098="","",IF(원본명단!$H4097="",0,COUNTIF(원본명단!$H$3:$H$6002,원본명단!$H4097)))</f>
        <v/>
      </c>
      <c r="F4098" s="11" t="str">
        <f aca="false">IF($A4098="","",IF(원본명단!$I4097="",0,COUNTIF(원본명단!$I$3:$I$6002,원본명단!$I4097)))</f>
        <v/>
      </c>
      <c r="G4098" s="11" t="str">
        <f aca="false">IF($A4098="","",IF(원본명단!$K4097="",0,COUNTIF(원본명단!$K$3:$K$6002,원본명단!$K4097)))</f>
        <v/>
      </c>
      <c r="H4098" s="11" t="str">
        <f aca="false">IF($A4098="","",IF(MAX($E4098,$F4098,$G4098)&gt;1,"중복","-"))</f>
        <v/>
      </c>
      <c r="I4098" s="11" t="str">
        <f aca="false">IF($A4098="","",IF($H4098="-","-",IF(AND(IF(원본명단!$H4097="",TRUE(),COUNTIF(원본명단!$H$3:$H4097,원본명단!$H4097)=1),IF(원본명단!$I4097="",TRUE(),COUNTIF(원본명단!$I$3:$I4097,원본명단!$I4097)=1),IF(원본명단!$K4097="",TRUE(),COUNTIF(원본명단!$K$3:$K4097,원본명단!$K4097)=1)),"첫 건","중복 건")))</f>
        <v/>
      </c>
      <c r="J4098" s="11" t="str">
        <f aca="false">IF($A4098="","",IF($H4098="-","유지",IF($I4098="첫 건","유지","확인 필요")))</f>
        <v/>
      </c>
    </row>
    <row r="4099" customFormat="false" ht="15" hidden="false" customHeight="true" outlineLevel="0" collapsed="false">
      <c r="A4099" s="11" t="str">
        <f aca="false">IF(원본명단!$A4098="","",4096)</f>
        <v/>
      </c>
      <c r="B4099" s="12" t="str">
        <f aca="false">IF($A4099="","",원본명단!$A4098)</f>
        <v/>
      </c>
      <c r="C4099" s="12" t="str">
        <f aca="false">IF($A4099="","",원본명단!$B4098)</f>
        <v/>
      </c>
      <c r="D4099" s="12" t="str">
        <f aca="false">IF($A4099="","",원본명단!$D4098)</f>
        <v/>
      </c>
      <c r="E4099" s="11" t="str">
        <f aca="false">IF($A4099="","",IF(원본명단!$H4098="",0,COUNTIF(원본명단!$H$3:$H$6002,원본명단!$H4098)))</f>
        <v/>
      </c>
      <c r="F4099" s="11" t="str">
        <f aca="false">IF($A4099="","",IF(원본명단!$I4098="",0,COUNTIF(원본명단!$I$3:$I$6002,원본명단!$I4098)))</f>
        <v/>
      </c>
      <c r="G4099" s="11" t="str">
        <f aca="false">IF($A4099="","",IF(원본명단!$K4098="",0,COUNTIF(원본명단!$K$3:$K$6002,원본명단!$K4098)))</f>
        <v/>
      </c>
      <c r="H4099" s="11" t="str">
        <f aca="false">IF($A4099="","",IF(MAX($E4099,$F4099,$G4099)&gt;1,"중복","-"))</f>
        <v/>
      </c>
      <c r="I4099" s="11" t="str">
        <f aca="false">IF($A4099="","",IF($H4099="-","-",IF(AND(IF(원본명단!$H4098="",TRUE(),COUNTIF(원본명단!$H$3:$H4098,원본명단!$H4098)=1),IF(원본명단!$I4098="",TRUE(),COUNTIF(원본명단!$I$3:$I4098,원본명단!$I4098)=1),IF(원본명단!$K4098="",TRUE(),COUNTIF(원본명단!$K$3:$K4098,원본명단!$K4098)=1)),"첫 건","중복 건")))</f>
        <v/>
      </c>
      <c r="J4099" s="11" t="str">
        <f aca="false">IF($A4099="","",IF($H4099="-","유지",IF($I4099="첫 건","유지","확인 필요")))</f>
        <v/>
      </c>
    </row>
    <row r="4100" customFormat="false" ht="15" hidden="false" customHeight="true" outlineLevel="0" collapsed="false">
      <c r="A4100" s="11" t="str">
        <f aca="false">IF(원본명단!$A4099="","",4097)</f>
        <v/>
      </c>
      <c r="B4100" s="12" t="str">
        <f aca="false">IF($A4100="","",원본명단!$A4099)</f>
        <v/>
      </c>
      <c r="C4100" s="12" t="str">
        <f aca="false">IF($A4100="","",원본명단!$B4099)</f>
        <v/>
      </c>
      <c r="D4100" s="12" t="str">
        <f aca="false">IF($A4100="","",원본명단!$D4099)</f>
        <v/>
      </c>
      <c r="E4100" s="11" t="str">
        <f aca="false">IF($A4100="","",IF(원본명단!$H4099="",0,COUNTIF(원본명단!$H$3:$H$6002,원본명단!$H4099)))</f>
        <v/>
      </c>
      <c r="F4100" s="11" t="str">
        <f aca="false">IF($A4100="","",IF(원본명단!$I4099="",0,COUNTIF(원본명단!$I$3:$I$6002,원본명단!$I4099)))</f>
        <v/>
      </c>
      <c r="G4100" s="11" t="str">
        <f aca="false">IF($A4100="","",IF(원본명단!$K4099="",0,COUNTIF(원본명단!$K$3:$K$6002,원본명단!$K4099)))</f>
        <v/>
      </c>
      <c r="H4100" s="11" t="str">
        <f aca="false">IF($A4100="","",IF(MAX($E4100,$F4100,$G4100)&gt;1,"중복","-"))</f>
        <v/>
      </c>
      <c r="I4100" s="11" t="str">
        <f aca="false">IF($A4100="","",IF($H4100="-","-",IF(AND(IF(원본명단!$H4099="",TRUE(),COUNTIF(원본명단!$H$3:$H4099,원본명단!$H4099)=1),IF(원본명단!$I4099="",TRUE(),COUNTIF(원본명단!$I$3:$I4099,원본명단!$I4099)=1),IF(원본명단!$K4099="",TRUE(),COUNTIF(원본명단!$K$3:$K4099,원본명단!$K4099)=1)),"첫 건","중복 건")))</f>
        <v/>
      </c>
      <c r="J4100" s="11" t="str">
        <f aca="false">IF($A4100="","",IF($H4100="-","유지",IF($I4100="첫 건","유지","확인 필요")))</f>
        <v/>
      </c>
    </row>
    <row r="4101" customFormat="false" ht="15" hidden="false" customHeight="true" outlineLevel="0" collapsed="false">
      <c r="A4101" s="11" t="str">
        <f aca="false">IF(원본명단!$A4100="","",4098)</f>
        <v/>
      </c>
      <c r="B4101" s="12" t="str">
        <f aca="false">IF($A4101="","",원본명단!$A4100)</f>
        <v/>
      </c>
      <c r="C4101" s="12" t="str">
        <f aca="false">IF($A4101="","",원본명단!$B4100)</f>
        <v/>
      </c>
      <c r="D4101" s="12" t="str">
        <f aca="false">IF($A4101="","",원본명단!$D4100)</f>
        <v/>
      </c>
      <c r="E4101" s="11" t="str">
        <f aca="false">IF($A4101="","",IF(원본명단!$H4100="",0,COUNTIF(원본명단!$H$3:$H$6002,원본명단!$H4100)))</f>
        <v/>
      </c>
      <c r="F4101" s="11" t="str">
        <f aca="false">IF($A4101="","",IF(원본명단!$I4100="",0,COUNTIF(원본명단!$I$3:$I$6002,원본명단!$I4100)))</f>
        <v/>
      </c>
      <c r="G4101" s="11" t="str">
        <f aca="false">IF($A4101="","",IF(원본명단!$K4100="",0,COUNTIF(원본명단!$K$3:$K$6002,원본명단!$K4100)))</f>
        <v/>
      </c>
      <c r="H4101" s="11" t="str">
        <f aca="false">IF($A4101="","",IF(MAX($E4101,$F4101,$G4101)&gt;1,"중복","-"))</f>
        <v/>
      </c>
      <c r="I4101" s="11" t="str">
        <f aca="false">IF($A4101="","",IF($H4101="-","-",IF(AND(IF(원본명단!$H4100="",TRUE(),COUNTIF(원본명단!$H$3:$H4100,원본명단!$H4100)=1),IF(원본명단!$I4100="",TRUE(),COUNTIF(원본명단!$I$3:$I4100,원본명단!$I4100)=1),IF(원본명단!$K4100="",TRUE(),COUNTIF(원본명단!$K$3:$K4100,원본명단!$K4100)=1)),"첫 건","중복 건")))</f>
        <v/>
      </c>
      <c r="J4101" s="11" t="str">
        <f aca="false">IF($A4101="","",IF($H4101="-","유지",IF($I4101="첫 건","유지","확인 필요")))</f>
        <v/>
      </c>
    </row>
    <row r="4102" customFormat="false" ht="15" hidden="false" customHeight="true" outlineLevel="0" collapsed="false">
      <c r="A4102" s="11" t="str">
        <f aca="false">IF(원본명단!$A4101="","",4099)</f>
        <v/>
      </c>
      <c r="B4102" s="12" t="str">
        <f aca="false">IF($A4102="","",원본명단!$A4101)</f>
        <v/>
      </c>
      <c r="C4102" s="12" t="str">
        <f aca="false">IF($A4102="","",원본명단!$B4101)</f>
        <v/>
      </c>
      <c r="D4102" s="12" t="str">
        <f aca="false">IF($A4102="","",원본명단!$D4101)</f>
        <v/>
      </c>
      <c r="E4102" s="11" t="str">
        <f aca="false">IF($A4102="","",IF(원본명단!$H4101="",0,COUNTIF(원본명단!$H$3:$H$6002,원본명단!$H4101)))</f>
        <v/>
      </c>
      <c r="F4102" s="11" t="str">
        <f aca="false">IF($A4102="","",IF(원본명단!$I4101="",0,COUNTIF(원본명단!$I$3:$I$6002,원본명단!$I4101)))</f>
        <v/>
      </c>
      <c r="G4102" s="11" t="str">
        <f aca="false">IF($A4102="","",IF(원본명단!$K4101="",0,COUNTIF(원본명단!$K$3:$K$6002,원본명단!$K4101)))</f>
        <v/>
      </c>
      <c r="H4102" s="11" t="str">
        <f aca="false">IF($A4102="","",IF(MAX($E4102,$F4102,$G4102)&gt;1,"중복","-"))</f>
        <v/>
      </c>
      <c r="I4102" s="11" t="str">
        <f aca="false">IF($A4102="","",IF($H4102="-","-",IF(AND(IF(원본명단!$H4101="",TRUE(),COUNTIF(원본명단!$H$3:$H4101,원본명단!$H4101)=1),IF(원본명단!$I4101="",TRUE(),COUNTIF(원본명단!$I$3:$I4101,원본명단!$I4101)=1),IF(원본명단!$K4101="",TRUE(),COUNTIF(원본명단!$K$3:$K4101,원본명단!$K4101)=1)),"첫 건","중복 건")))</f>
        <v/>
      </c>
      <c r="J4102" s="11" t="str">
        <f aca="false">IF($A4102="","",IF($H4102="-","유지",IF($I4102="첫 건","유지","확인 필요")))</f>
        <v/>
      </c>
    </row>
    <row r="4103" customFormat="false" ht="15" hidden="false" customHeight="true" outlineLevel="0" collapsed="false">
      <c r="A4103" s="11" t="str">
        <f aca="false">IF(원본명단!$A4102="","",4100)</f>
        <v/>
      </c>
      <c r="B4103" s="12" t="str">
        <f aca="false">IF($A4103="","",원본명단!$A4102)</f>
        <v/>
      </c>
      <c r="C4103" s="12" t="str">
        <f aca="false">IF($A4103="","",원본명단!$B4102)</f>
        <v/>
      </c>
      <c r="D4103" s="12" t="str">
        <f aca="false">IF($A4103="","",원본명단!$D4102)</f>
        <v/>
      </c>
      <c r="E4103" s="11" t="str">
        <f aca="false">IF($A4103="","",IF(원본명단!$H4102="",0,COUNTIF(원본명단!$H$3:$H$6002,원본명단!$H4102)))</f>
        <v/>
      </c>
      <c r="F4103" s="11" t="str">
        <f aca="false">IF($A4103="","",IF(원본명단!$I4102="",0,COUNTIF(원본명단!$I$3:$I$6002,원본명단!$I4102)))</f>
        <v/>
      </c>
      <c r="G4103" s="11" t="str">
        <f aca="false">IF($A4103="","",IF(원본명단!$K4102="",0,COUNTIF(원본명단!$K$3:$K$6002,원본명단!$K4102)))</f>
        <v/>
      </c>
      <c r="H4103" s="11" t="str">
        <f aca="false">IF($A4103="","",IF(MAX($E4103,$F4103,$G4103)&gt;1,"중복","-"))</f>
        <v/>
      </c>
      <c r="I4103" s="11" t="str">
        <f aca="false">IF($A4103="","",IF($H4103="-","-",IF(AND(IF(원본명단!$H4102="",TRUE(),COUNTIF(원본명단!$H$3:$H4102,원본명단!$H4102)=1),IF(원본명단!$I4102="",TRUE(),COUNTIF(원본명단!$I$3:$I4102,원본명단!$I4102)=1),IF(원본명단!$K4102="",TRUE(),COUNTIF(원본명단!$K$3:$K4102,원본명단!$K4102)=1)),"첫 건","중복 건")))</f>
        <v/>
      </c>
      <c r="J4103" s="11" t="str">
        <f aca="false">IF($A4103="","",IF($H4103="-","유지",IF($I4103="첫 건","유지","확인 필요")))</f>
        <v/>
      </c>
    </row>
    <row r="4104" customFormat="false" ht="15" hidden="false" customHeight="true" outlineLevel="0" collapsed="false">
      <c r="A4104" s="11" t="str">
        <f aca="false">IF(원본명단!$A4103="","",4101)</f>
        <v/>
      </c>
      <c r="B4104" s="12" t="str">
        <f aca="false">IF($A4104="","",원본명단!$A4103)</f>
        <v/>
      </c>
      <c r="C4104" s="12" t="str">
        <f aca="false">IF($A4104="","",원본명단!$B4103)</f>
        <v/>
      </c>
      <c r="D4104" s="12" t="str">
        <f aca="false">IF($A4104="","",원본명단!$D4103)</f>
        <v/>
      </c>
      <c r="E4104" s="11" t="str">
        <f aca="false">IF($A4104="","",IF(원본명단!$H4103="",0,COUNTIF(원본명단!$H$3:$H$6002,원본명단!$H4103)))</f>
        <v/>
      </c>
      <c r="F4104" s="11" t="str">
        <f aca="false">IF($A4104="","",IF(원본명단!$I4103="",0,COUNTIF(원본명단!$I$3:$I$6002,원본명단!$I4103)))</f>
        <v/>
      </c>
      <c r="G4104" s="11" t="str">
        <f aca="false">IF($A4104="","",IF(원본명단!$K4103="",0,COUNTIF(원본명단!$K$3:$K$6002,원본명단!$K4103)))</f>
        <v/>
      </c>
      <c r="H4104" s="11" t="str">
        <f aca="false">IF($A4104="","",IF(MAX($E4104,$F4104,$G4104)&gt;1,"중복","-"))</f>
        <v/>
      </c>
      <c r="I4104" s="11" t="str">
        <f aca="false">IF($A4104="","",IF($H4104="-","-",IF(AND(IF(원본명단!$H4103="",TRUE(),COUNTIF(원본명단!$H$3:$H4103,원본명단!$H4103)=1),IF(원본명단!$I4103="",TRUE(),COUNTIF(원본명단!$I$3:$I4103,원본명단!$I4103)=1),IF(원본명단!$K4103="",TRUE(),COUNTIF(원본명단!$K$3:$K4103,원본명단!$K4103)=1)),"첫 건","중복 건")))</f>
        <v/>
      </c>
      <c r="J4104" s="11" t="str">
        <f aca="false">IF($A4104="","",IF($H4104="-","유지",IF($I4104="첫 건","유지","확인 필요")))</f>
        <v/>
      </c>
    </row>
    <row r="4105" customFormat="false" ht="15" hidden="false" customHeight="true" outlineLevel="0" collapsed="false">
      <c r="A4105" s="11" t="str">
        <f aca="false">IF(원본명단!$A4104="","",4102)</f>
        <v/>
      </c>
      <c r="B4105" s="12" t="str">
        <f aca="false">IF($A4105="","",원본명단!$A4104)</f>
        <v/>
      </c>
      <c r="C4105" s="12" t="str">
        <f aca="false">IF($A4105="","",원본명단!$B4104)</f>
        <v/>
      </c>
      <c r="D4105" s="12" t="str">
        <f aca="false">IF($A4105="","",원본명단!$D4104)</f>
        <v/>
      </c>
      <c r="E4105" s="11" t="str">
        <f aca="false">IF($A4105="","",IF(원본명단!$H4104="",0,COUNTIF(원본명단!$H$3:$H$6002,원본명단!$H4104)))</f>
        <v/>
      </c>
      <c r="F4105" s="11" t="str">
        <f aca="false">IF($A4105="","",IF(원본명단!$I4104="",0,COUNTIF(원본명단!$I$3:$I$6002,원본명단!$I4104)))</f>
        <v/>
      </c>
      <c r="G4105" s="11" t="str">
        <f aca="false">IF($A4105="","",IF(원본명단!$K4104="",0,COUNTIF(원본명단!$K$3:$K$6002,원본명단!$K4104)))</f>
        <v/>
      </c>
      <c r="H4105" s="11" t="str">
        <f aca="false">IF($A4105="","",IF(MAX($E4105,$F4105,$G4105)&gt;1,"중복","-"))</f>
        <v/>
      </c>
      <c r="I4105" s="11" t="str">
        <f aca="false">IF($A4105="","",IF($H4105="-","-",IF(AND(IF(원본명단!$H4104="",TRUE(),COUNTIF(원본명단!$H$3:$H4104,원본명단!$H4104)=1),IF(원본명단!$I4104="",TRUE(),COUNTIF(원본명단!$I$3:$I4104,원본명단!$I4104)=1),IF(원본명단!$K4104="",TRUE(),COUNTIF(원본명단!$K$3:$K4104,원본명단!$K4104)=1)),"첫 건","중복 건")))</f>
        <v/>
      </c>
      <c r="J4105" s="11" t="str">
        <f aca="false">IF($A4105="","",IF($H4105="-","유지",IF($I4105="첫 건","유지","확인 필요")))</f>
        <v/>
      </c>
    </row>
    <row r="4106" customFormat="false" ht="15" hidden="false" customHeight="true" outlineLevel="0" collapsed="false">
      <c r="A4106" s="11" t="str">
        <f aca="false">IF(원본명단!$A4105="","",4103)</f>
        <v/>
      </c>
      <c r="B4106" s="12" t="str">
        <f aca="false">IF($A4106="","",원본명단!$A4105)</f>
        <v/>
      </c>
      <c r="C4106" s="12" t="str">
        <f aca="false">IF($A4106="","",원본명단!$B4105)</f>
        <v/>
      </c>
      <c r="D4106" s="12" t="str">
        <f aca="false">IF($A4106="","",원본명단!$D4105)</f>
        <v/>
      </c>
      <c r="E4106" s="11" t="str">
        <f aca="false">IF($A4106="","",IF(원본명단!$H4105="",0,COUNTIF(원본명단!$H$3:$H$6002,원본명단!$H4105)))</f>
        <v/>
      </c>
      <c r="F4106" s="11" t="str">
        <f aca="false">IF($A4106="","",IF(원본명단!$I4105="",0,COUNTIF(원본명단!$I$3:$I$6002,원본명단!$I4105)))</f>
        <v/>
      </c>
      <c r="G4106" s="11" t="str">
        <f aca="false">IF($A4106="","",IF(원본명단!$K4105="",0,COUNTIF(원본명단!$K$3:$K$6002,원본명단!$K4105)))</f>
        <v/>
      </c>
      <c r="H4106" s="11" t="str">
        <f aca="false">IF($A4106="","",IF(MAX($E4106,$F4106,$G4106)&gt;1,"중복","-"))</f>
        <v/>
      </c>
      <c r="I4106" s="11" t="str">
        <f aca="false">IF($A4106="","",IF($H4106="-","-",IF(AND(IF(원본명단!$H4105="",TRUE(),COUNTIF(원본명단!$H$3:$H4105,원본명단!$H4105)=1),IF(원본명단!$I4105="",TRUE(),COUNTIF(원본명단!$I$3:$I4105,원본명단!$I4105)=1),IF(원본명단!$K4105="",TRUE(),COUNTIF(원본명단!$K$3:$K4105,원본명단!$K4105)=1)),"첫 건","중복 건")))</f>
        <v/>
      </c>
      <c r="J4106" s="11" t="str">
        <f aca="false">IF($A4106="","",IF($H4106="-","유지",IF($I4106="첫 건","유지","확인 필요")))</f>
        <v/>
      </c>
    </row>
    <row r="4107" customFormat="false" ht="15" hidden="false" customHeight="true" outlineLevel="0" collapsed="false">
      <c r="A4107" s="11" t="str">
        <f aca="false">IF(원본명단!$A4106="","",4104)</f>
        <v/>
      </c>
      <c r="B4107" s="12" t="str">
        <f aca="false">IF($A4107="","",원본명단!$A4106)</f>
        <v/>
      </c>
      <c r="C4107" s="12" t="str">
        <f aca="false">IF($A4107="","",원본명단!$B4106)</f>
        <v/>
      </c>
      <c r="D4107" s="12" t="str">
        <f aca="false">IF($A4107="","",원본명단!$D4106)</f>
        <v/>
      </c>
      <c r="E4107" s="11" t="str">
        <f aca="false">IF($A4107="","",IF(원본명단!$H4106="",0,COUNTIF(원본명단!$H$3:$H$6002,원본명단!$H4106)))</f>
        <v/>
      </c>
      <c r="F4107" s="11" t="str">
        <f aca="false">IF($A4107="","",IF(원본명단!$I4106="",0,COUNTIF(원본명단!$I$3:$I$6002,원본명단!$I4106)))</f>
        <v/>
      </c>
      <c r="G4107" s="11" t="str">
        <f aca="false">IF($A4107="","",IF(원본명단!$K4106="",0,COUNTIF(원본명단!$K$3:$K$6002,원본명단!$K4106)))</f>
        <v/>
      </c>
      <c r="H4107" s="11" t="str">
        <f aca="false">IF($A4107="","",IF(MAX($E4107,$F4107,$G4107)&gt;1,"중복","-"))</f>
        <v/>
      </c>
      <c r="I4107" s="11" t="str">
        <f aca="false">IF($A4107="","",IF($H4107="-","-",IF(AND(IF(원본명단!$H4106="",TRUE(),COUNTIF(원본명단!$H$3:$H4106,원본명단!$H4106)=1),IF(원본명단!$I4106="",TRUE(),COUNTIF(원본명단!$I$3:$I4106,원본명단!$I4106)=1),IF(원본명단!$K4106="",TRUE(),COUNTIF(원본명단!$K$3:$K4106,원본명단!$K4106)=1)),"첫 건","중복 건")))</f>
        <v/>
      </c>
      <c r="J4107" s="11" t="str">
        <f aca="false">IF($A4107="","",IF($H4107="-","유지",IF($I4107="첫 건","유지","확인 필요")))</f>
        <v/>
      </c>
    </row>
    <row r="4108" customFormat="false" ht="15" hidden="false" customHeight="true" outlineLevel="0" collapsed="false">
      <c r="A4108" s="11" t="str">
        <f aca="false">IF(원본명단!$A4107="","",4105)</f>
        <v/>
      </c>
      <c r="B4108" s="12" t="str">
        <f aca="false">IF($A4108="","",원본명단!$A4107)</f>
        <v/>
      </c>
      <c r="C4108" s="12" t="str">
        <f aca="false">IF($A4108="","",원본명단!$B4107)</f>
        <v/>
      </c>
      <c r="D4108" s="12" t="str">
        <f aca="false">IF($A4108="","",원본명단!$D4107)</f>
        <v/>
      </c>
      <c r="E4108" s="11" t="str">
        <f aca="false">IF($A4108="","",IF(원본명단!$H4107="",0,COUNTIF(원본명단!$H$3:$H$6002,원본명단!$H4107)))</f>
        <v/>
      </c>
      <c r="F4108" s="11" t="str">
        <f aca="false">IF($A4108="","",IF(원본명단!$I4107="",0,COUNTIF(원본명단!$I$3:$I$6002,원본명단!$I4107)))</f>
        <v/>
      </c>
      <c r="G4108" s="11" t="str">
        <f aca="false">IF($A4108="","",IF(원본명단!$K4107="",0,COUNTIF(원본명단!$K$3:$K$6002,원본명단!$K4107)))</f>
        <v/>
      </c>
      <c r="H4108" s="11" t="str">
        <f aca="false">IF($A4108="","",IF(MAX($E4108,$F4108,$G4108)&gt;1,"중복","-"))</f>
        <v/>
      </c>
      <c r="I4108" s="11" t="str">
        <f aca="false">IF($A4108="","",IF($H4108="-","-",IF(AND(IF(원본명단!$H4107="",TRUE(),COUNTIF(원본명단!$H$3:$H4107,원본명단!$H4107)=1),IF(원본명단!$I4107="",TRUE(),COUNTIF(원본명단!$I$3:$I4107,원본명단!$I4107)=1),IF(원본명단!$K4107="",TRUE(),COUNTIF(원본명단!$K$3:$K4107,원본명단!$K4107)=1)),"첫 건","중복 건")))</f>
        <v/>
      </c>
      <c r="J4108" s="11" t="str">
        <f aca="false">IF($A4108="","",IF($H4108="-","유지",IF($I4108="첫 건","유지","확인 필요")))</f>
        <v/>
      </c>
    </row>
    <row r="4109" customFormat="false" ht="15" hidden="false" customHeight="true" outlineLevel="0" collapsed="false">
      <c r="A4109" s="11" t="str">
        <f aca="false">IF(원본명단!$A4108="","",4106)</f>
        <v/>
      </c>
      <c r="B4109" s="12" t="str">
        <f aca="false">IF($A4109="","",원본명단!$A4108)</f>
        <v/>
      </c>
      <c r="C4109" s="12" t="str">
        <f aca="false">IF($A4109="","",원본명단!$B4108)</f>
        <v/>
      </c>
      <c r="D4109" s="12" t="str">
        <f aca="false">IF($A4109="","",원본명단!$D4108)</f>
        <v/>
      </c>
      <c r="E4109" s="11" t="str">
        <f aca="false">IF($A4109="","",IF(원본명단!$H4108="",0,COUNTIF(원본명단!$H$3:$H$6002,원본명단!$H4108)))</f>
        <v/>
      </c>
      <c r="F4109" s="11" t="str">
        <f aca="false">IF($A4109="","",IF(원본명단!$I4108="",0,COUNTIF(원본명단!$I$3:$I$6002,원본명단!$I4108)))</f>
        <v/>
      </c>
      <c r="G4109" s="11" t="str">
        <f aca="false">IF($A4109="","",IF(원본명단!$K4108="",0,COUNTIF(원본명단!$K$3:$K$6002,원본명단!$K4108)))</f>
        <v/>
      </c>
      <c r="H4109" s="11" t="str">
        <f aca="false">IF($A4109="","",IF(MAX($E4109,$F4109,$G4109)&gt;1,"중복","-"))</f>
        <v/>
      </c>
      <c r="I4109" s="11" t="str">
        <f aca="false">IF($A4109="","",IF($H4109="-","-",IF(AND(IF(원본명단!$H4108="",TRUE(),COUNTIF(원본명단!$H$3:$H4108,원본명단!$H4108)=1),IF(원본명단!$I4108="",TRUE(),COUNTIF(원본명단!$I$3:$I4108,원본명단!$I4108)=1),IF(원본명단!$K4108="",TRUE(),COUNTIF(원본명단!$K$3:$K4108,원본명단!$K4108)=1)),"첫 건","중복 건")))</f>
        <v/>
      </c>
      <c r="J4109" s="11" t="str">
        <f aca="false">IF($A4109="","",IF($H4109="-","유지",IF($I4109="첫 건","유지","확인 필요")))</f>
        <v/>
      </c>
    </row>
    <row r="4110" customFormat="false" ht="15" hidden="false" customHeight="true" outlineLevel="0" collapsed="false">
      <c r="A4110" s="11" t="str">
        <f aca="false">IF(원본명단!$A4109="","",4107)</f>
        <v/>
      </c>
      <c r="B4110" s="12" t="str">
        <f aca="false">IF($A4110="","",원본명단!$A4109)</f>
        <v/>
      </c>
      <c r="C4110" s="12" t="str">
        <f aca="false">IF($A4110="","",원본명단!$B4109)</f>
        <v/>
      </c>
      <c r="D4110" s="12" t="str">
        <f aca="false">IF($A4110="","",원본명단!$D4109)</f>
        <v/>
      </c>
      <c r="E4110" s="11" t="str">
        <f aca="false">IF($A4110="","",IF(원본명단!$H4109="",0,COUNTIF(원본명단!$H$3:$H$6002,원본명단!$H4109)))</f>
        <v/>
      </c>
      <c r="F4110" s="11" t="str">
        <f aca="false">IF($A4110="","",IF(원본명단!$I4109="",0,COUNTIF(원본명단!$I$3:$I$6002,원본명단!$I4109)))</f>
        <v/>
      </c>
      <c r="G4110" s="11" t="str">
        <f aca="false">IF($A4110="","",IF(원본명단!$K4109="",0,COUNTIF(원본명단!$K$3:$K$6002,원본명단!$K4109)))</f>
        <v/>
      </c>
      <c r="H4110" s="11" t="str">
        <f aca="false">IF($A4110="","",IF(MAX($E4110,$F4110,$G4110)&gt;1,"중복","-"))</f>
        <v/>
      </c>
      <c r="I4110" s="11" t="str">
        <f aca="false">IF($A4110="","",IF($H4110="-","-",IF(AND(IF(원본명단!$H4109="",TRUE(),COUNTIF(원본명단!$H$3:$H4109,원본명단!$H4109)=1),IF(원본명단!$I4109="",TRUE(),COUNTIF(원본명단!$I$3:$I4109,원본명단!$I4109)=1),IF(원본명단!$K4109="",TRUE(),COUNTIF(원본명단!$K$3:$K4109,원본명단!$K4109)=1)),"첫 건","중복 건")))</f>
        <v/>
      </c>
      <c r="J4110" s="11" t="str">
        <f aca="false">IF($A4110="","",IF($H4110="-","유지",IF($I4110="첫 건","유지","확인 필요")))</f>
        <v/>
      </c>
    </row>
    <row r="4111" customFormat="false" ht="15" hidden="false" customHeight="true" outlineLevel="0" collapsed="false">
      <c r="A4111" s="11" t="str">
        <f aca="false">IF(원본명단!$A4110="","",4108)</f>
        <v/>
      </c>
      <c r="B4111" s="12" t="str">
        <f aca="false">IF($A4111="","",원본명단!$A4110)</f>
        <v/>
      </c>
      <c r="C4111" s="12" t="str">
        <f aca="false">IF($A4111="","",원본명단!$B4110)</f>
        <v/>
      </c>
      <c r="D4111" s="12" t="str">
        <f aca="false">IF($A4111="","",원본명단!$D4110)</f>
        <v/>
      </c>
      <c r="E4111" s="11" t="str">
        <f aca="false">IF($A4111="","",IF(원본명단!$H4110="",0,COUNTIF(원본명단!$H$3:$H$6002,원본명단!$H4110)))</f>
        <v/>
      </c>
      <c r="F4111" s="11" t="str">
        <f aca="false">IF($A4111="","",IF(원본명단!$I4110="",0,COUNTIF(원본명단!$I$3:$I$6002,원본명단!$I4110)))</f>
        <v/>
      </c>
      <c r="G4111" s="11" t="str">
        <f aca="false">IF($A4111="","",IF(원본명단!$K4110="",0,COUNTIF(원본명단!$K$3:$K$6002,원본명단!$K4110)))</f>
        <v/>
      </c>
      <c r="H4111" s="11" t="str">
        <f aca="false">IF($A4111="","",IF(MAX($E4111,$F4111,$G4111)&gt;1,"중복","-"))</f>
        <v/>
      </c>
      <c r="I4111" s="11" t="str">
        <f aca="false">IF($A4111="","",IF($H4111="-","-",IF(AND(IF(원본명단!$H4110="",TRUE(),COUNTIF(원본명단!$H$3:$H4110,원본명단!$H4110)=1),IF(원본명단!$I4110="",TRUE(),COUNTIF(원본명단!$I$3:$I4110,원본명단!$I4110)=1),IF(원본명단!$K4110="",TRUE(),COUNTIF(원본명단!$K$3:$K4110,원본명단!$K4110)=1)),"첫 건","중복 건")))</f>
        <v/>
      </c>
      <c r="J4111" s="11" t="str">
        <f aca="false">IF($A4111="","",IF($H4111="-","유지",IF($I4111="첫 건","유지","확인 필요")))</f>
        <v/>
      </c>
    </row>
    <row r="4112" customFormat="false" ht="15" hidden="false" customHeight="true" outlineLevel="0" collapsed="false">
      <c r="A4112" s="11" t="str">
        <f aca="false">IF(원본명단!$A4111="","",4109)</f>
        <v/>
      </c>
      <c r="B4112" s="12" t="str">
        <f aca="false">IF($A4112="","",원본명단!$A4111)</f>
        <v/>
      </c>
      <c r="C4112" s="12" t="str">
        <f aca="false">IF($A4112="","",원본명단!$B4111)</f>
        <v/>
      </c>
      <c r="D4112" s="12" t="str">
        <f aca="false">IF($A4112="","",원본명단!$D4111)</f>
        <v/>
      </c>
      <c r="E4112" s="11" t="str">
        <f aca="false">IF($A4112="","",IF(원본명단!$H4111="",0,COUNTIF(원본명단!$H$3:$H$6002,원본명단!$H4111)))</f>
        <v/>
      </c>
      <c r="F4112" s="11" t="str">
        <f aca="false">IF($A4112="","",IF(원본명단!$I4111="",0,COUNTIF(원본명단!$I$3:$I$6002,원본명단!$I4111)))</f>
        <v/>
      </c>
      <c r="G4112" s="11" t="str">
        <f aca="false">IF($A4112="","",IF(원본명단!$K4111="",0,COUNTIF(원본명단!$K$3:$K$6002,원본명단!$K4111)))</f>
        <v/>
      </c>
      <c r="H4112" s="11" t="str">
        <f aca="false">IF($A4112="","",IF(MAX($E4112,$F4112,$G4112)&gt;1,"중복","-"))</f>
        <v/>
      </c>
      <c r="I4112" s="11" t="str">
        <f aca="false">IF($A4112="","",IF($H4112="-","-",IF(AND(IF(원본명단!$H4111="",TRUE(),COUNTIF(원본명단!$H$3:$H4111,원본명단!$H4111)=1),IF(원본명단!$I4111="",TRUE(),COUNTIF(원본명단!$I$3:$I4111,원본명단!$I4111)=1),IF(원본명단!$K4111="",TRUE(),COUNTIF(원본명단!$K$3:$K4111,원본명단!$K4111)=1)),"첫 건","중복 건")))</f>
        <v/>
      </c>
      <c r="J4112" s="11" t="str">
        <f aca="false">IF($A4112="","",IF($H4112="-","유지",IF($I4112="첫 건","유지","확인 필요")))</f>
        <v/>
      </c>
    </row>
    <row r="4113" customFormat="false" ht="15" hidden="false" customHeight="true" outlineLevel="0" collapsed="false">
      <c r="A4113" s="11" t="str">
        <f aca="false">IF(원본명단!$A4112="","",4110)</f>
        <v/>
      </c>
      <c r="B4113" s="12" t="str">
        <f aca="false">IF($A4113="","",원본명단!$A4112)</f>
        <v/>
      </c>
      <c r="C4113" s="12" t="str">
        <f aca="false">IF($A4113="","",원본명단!$B4112)</f>
        <v/>
      </c>
      <c r="D4113" s="12" t="str">
        <f aca="false">IF($A4113="","",원본명단!$D4112)</f>
        <v/>
      </c>
      <c r="E4113" s="11" t="str">
        <f aca="false">IF($A4113="","",IF(원본명단!$H4112="",0,COUNTIF(원본명단!$H$3:$H$6002,원본명단!$H4112)))</f>
        <v/>
      </c>
      <c r="F4113" s="11" t="str">
        <f aca="false">IF($A4113="","",IF(원본명단!$I4112="",0,COUNTIF(원본명단!$I$3:$I$6002,원본명단!$I4112)))</f>
        <v/>
      </c>
      <c r="G4113" s="11" t="str">
        <f aca="false">IF($A4113="","",IF(원본명단!$K4112="",0,COUNTIF(원본명단!$K$3:$K$6002,원본명단!$K4112)))</f>
        <v/>
      </c>
      <c r="H4113" s="11" t="str">
        <f aca="false">IF($A4113="","",IF(MAX($E4113,$F4113,$G4113)&gt;1,"중복","-"))</f>
        <v/>
      </c>
      <c r="I4113" s="11" t="str">
        <f aca="false">IF($A4113="","",IF($H4113="-","-",IF(AND(IF(원본명단!$H4112="",TRUE(),COUNTIF(원본명단!$H$3:$H4112,원본명단!$H4112)=1),IF(원본명단!$I4112="",TRUE(),COUNTIF(원본명단!$I$3:$I4112,원본명단!$I4112)=1),IF(원본명단!$K4112="",TRUE(),COUNTIF(원본명단!$K$3:$K4112,원본명단!$K4112)=1)),"첫 건","중복 건")))</f>
        <v/>
      </c>
      <c r="J4113" s="11" t="str">
        <f aca="false">IF($A4113="","",IF($H4113="-","유지",IF($I4113="첫 건","유지","확인 필요")))</f>
        <v/>
      </c>
    </row>
    <row r="4114" customFormat="false" ht="15" hidden="false" customHeight="true" outlineLevel="0" collapsed="false">
      <c r="A4114" s="11" t="str">
        <f aca="false">IF(원본명단!$A4113="","",4111)</f>
        <v/>
      </c>
      <c r="B4114" s="12" t="str">
        <f aca="false">IF($A4114="","",원본명단!$A4113)</f>
        <v/>
      </c>
      <c r="C4114" s="12" t="str">
        <f aca="false">IF($A4114="","",원본명단!$B4113)</f>
        <v/>
      </c>
      <c r="D4114" s="12" t="str">
        <f aca="false">IF($A4114="","",원본명단!$D4113)</f>
        <v/>
      </c>
      <c r="E4114" s="11" t="str">
        <f aca="false">IF($A4114="","",IF(원본명단!$H4113="",0,COUNTIF(원본명단!$H$3:$H$6002,원본명단!$H4113)))</f>
        <v/>
      </c>
      <c r="F4114" s="11" t="str">
        <f aca="false">IF($A4114="","",IF(원본명단!$I4113="",0,COUNTIF(원본명단!$I$3:$I$6002,원본명단!$I4113)))</f>
        <v/>
      </c>
      <c r="G4114" s="11" t="str">
        <f aca="false">IF($A4114="","",IF(원본명단!$K4113="",0,COUNTIF(원본명단!$K$3:$K$6002,원본명단!$K4113)))</f>
        <v/>
      </c>
      <c r="H4114" s="11" t="str">
        <f aca="false">IF($A4114="","",IF(MAX($E4114,$F4114,$G4114)&gt;1,"중복","-"))</f>
        <v/>
      </c>
      <c r="I4114" s="11" t="str">
        <f aca="false">IF($A4114="","",IF($H4114="-","-",IF(AND(IF(원본명단!$H4113="",TRUE(),COUNTIF(원본명단!$H$3:$H4113,원본명단!$H4113)=1),IF(원본명단!$I4113="",TRUE(),COUNTIF(원본명단!$I$3:$I4113,원본명단!$I4113)=1),IF(원본명단!$K4113="",TRUE(),COUNTIF(원본명단!$K$3:$K4113,원본명단!$K4113)=1)),"첫 건","중복 건")))</f>
        <v/>
      </c>
      <c r="J4114" s="11" t="str">
        <f aca="false">IF($A4114="","",IF($H4114="-","유지",IF($I4114="첫 건","유지","확인 필요")))</f>
        <v/>
      </c>
    </row>
    <row r="4115" customFormat="false" ht="15" hidden="false" customHeight="true" outlineLevel="0" collapsed="false">
      <c r="A4115" s="11" t="str">
        <f aca="false">IF(원본명단!$A4114="","",4112)</f>
        <v/>
      </c>
      <c r="B4115" s="12" t="str">
        <f aca="false">IF($A4115="","",원본명단!$A4114)</f>
        <v/>
      </c>
      <c r="C4115" s="12" t="str">
        <f aca="false">IF($A4115="","",원본명단!$B4114)</f>
        <v/>
      </c>
      <c r="D4115" s="12" t="str">
        <f aca="false">IF($A4115="","",원본명단!$D4114)</f>
        <v/>
      </c>
      <c r="E4115" s="11" t="str">
        <f aca="false">IF($A4115="","",IF(원본명단!$H4114="",0,COUNTIF(원본명단!$H$3:$H$6002,원본명단!$H4114)))</f>
        <v/>
      </c>
      <c r="F4115" s="11" t="str">
        <f aca="false">IF($A4115="","",IF(원본명단!$I4114="",0,COUNTIF(원본명단!$I$3:$I$6002,원본명단!$I4114)))</f>
        <v/>
      </c>
      <c r="G4115" s="11" t="str">
        <f aca="false">IF($A4115="","",IF(원본명단!$K4114="",0,COUNTIF(원본명단!$K$3:$K$6002,원본명단!$K4114)))</f>
        <v/>
      </c>
      <c r="H4115" s="11" t="str">
        <f aca="false">IF($A4115="","",IF(MAX($E4115,$F4115,$G4115)&gt;1,"중복","-"))</f>
        <v/>
      </c>
      <c r="I4115" s="11" t="str">
        <f aca="false">IF($A4115="","",IF($H4115="-","-",IF(AND(IF(원본명단!$H4114="",TRUE(),COUNTIF(원본명단!$H$3:$H4114,원본명단!$H4114)=1),IF(원본명단!$I4114="",TRUE(),COUNTIF(원본명단!$I$3:$I4114,원본명단!$I4114)=1),IF(원본명단!$K4114="",TRUE(),COUNTIF(원본명단!$K$3:$K4114,원본명단!$K4114)=1)),"첫 건","중복 건")))</f>
        <v/>
      </c>
      <c r="J4115" s="11" t="str">
        <f aca="false">IF($A4115="","",IF($H4115="-","유지",IF($I4115="첫 건","유지","확인 필요")))</f>
        <v/>
      </c>
    </row>
    <row r="4116" customFormat="false" ht="15" hidden="false" customHeight="true" outlineLevel="0" collapsed="false">
      <c r="A4116" s="11" t="str">
        <f aca="false">IF(원본명단!$A4115="","",4113)</f>
        <v/>
      </c>
      <c r="B4116" s="12" t="str">
        <f aca="false">IF($A4116="","",원본명단!$A4115)</f>
        <v/>
      </c>
      <c r="C4116" s="12" t="str">
        <f aca="false">IF($A4116="","",원본명단!$B4115)</f>
        <v/>
      </c>
      <c r="D4116" s="12" t="str">
        <f aca="false">IF($A4116="","",원본명단!$D4115)</f>
        <v/>
      </c>
      <c r="E4116" s="11" t="str">
        <f aca="false">IF($A4116="","",IF(원본명단!$H4115="",0,COUNTIF(원본명단!$H$3:$H$6002,원본명단!$H4115)))</f>
        <v/>
      </c>
      <c r="F4116" s="11" t="str">
        <f aca="false">IF($A4116="","",IF(원본명단!$I4115="",0,COUNTIF(원본명단!$I$3:$I$6002,원본명단!$I4115)))</f>
        <v/>
      </c>
      <c r="G4116" s="11" t="str">
        <f aca="false">IF($A4116="","",IF(원본명단!$K4115="",0,COUNTIF(원본명단!$K$3:$K$6002,원본명단!$K4115)))</f>
        <v/>
      </c>
      <c r="H4116" s="11" t="str">
        <f aca="false">IF($A4116="","",IF(MAX($E4116,$F4116,$G4116)&gt;1,"중복","-"))</f>
        <v/>
      </c>
      <c r="I4116" s="11" t="str">
        <f aca="false">IF($A4116="","",IF($H4116="-","-",IF(AND(IF(원본명단!$H4115="",TRUE(),COUNTIF(원본명단!$H$3:$H4115,원본명단!$H4115)=1),IF(원본명단!$I4115="",TRUE(),COUNTIF(원본명단!$I$3:$I4115,원본명단!$I4115)=1),IF(원본명단!$K4115="",TRUE(),COUNTIF(원본명단!$K$3:$K4115,원본명단!$K4115)=1)),"첫 건","중복 건")))</f>
        <v/>
      </c>
      <c r="J4116" s="11" t="str">
        <f aca="false">IF($A4116="","",IF($H4116="-","유지",IF($I4116="첫 건","유지","확인 필요")))</f>
        <v/>
      </c>
    </row>
    <row r="4117" customFormat="false" ht="15" hidden="false" customHeight="true" outlineLevel="0" collapsed="false">
      <c r="A4117" s="11" t="str">
        <f aca="false">IF(원본명단!$A4116="","",4114)</f>
        <v/>
      </c>
      <c r="B4117" s="12" t="str">
        <f aca="false">IF($A4117="","",원본명단!$A4116)</f>
        <v/>
      </c>
      <c r="C4117" s="12" t="str">
        <f aca="false">IF($A4117="","",원본명단!$B4116)</f>
        <v/>
      </c>
      <c r="D4117" s="12" t="str">
        <f aca="false">IF($A4117="","",원본명단!$D4116)</f>
        <v/>
      </c>
      <c r="E4117" s="11" t="str">
        <f aca="false">IF($A4117="","",IF(원본명단!$H4116="",0,COUNTIF(원본명단!$H$3:$H$6002,원본명단!$H4116)))</f>
        <v/>
      </c>
      <c r="F4117" s="11" t="str">
        <f aca="false">IF($A4117="","",IF(원본명단!$I4116="",0,COUNTIF(원본명단!$I$3:$I$6002,원본명단!$I4116)))</f>
        <v/>
      </c>
      <c r="G4117" s="11" t="str">
        <f aca="false">IF($A4117="","",IF(원본명단!$K4116="",0,COUNTIF(원본명단!$K$3:$K$6002,원본명단!$K4116)))</f>
        <v/>
      </c>
      <c r="H4117" s="11" t="str">
        <f aca="false">IF($A4117="","",IF(MAX($E4117,$F4117,$G4117)&gt;1,"중복","-"))</f>
        <v/>
      </c>
      <c r="I4117" s="11" t="str">
        <f aca="false">IF($A4117="","",IF($H4117="-","-",IF(AND(IF(원본명단!$H4116="",TRUE(),COUNTIF(원본명단!$H$3:$H4116,원본명단!$H4116)=1),IF(원본명단!$I4116="",TRUE(),COUNTIF(원본명단!$I$3:$I4116,원본명단!$I4116)=1),IF(원본명단!$K4116="",TRUE(),COUNTIF(원본명단!$K$3:$K4116,원본명단!$K4116)=1)),"첫 건","중복 건")))</f>
        <v/>
      </c>
      <c r="J4117" s="11" t="str">
        <f aca="false">IF($A4117="","",IF($H4117="-","유지",IF($I4117="첫 건","유지","확인 필요")))</f>
        <v/>
      </c>
    </row>
    <row r="4118" customFormat="false" ht="15" hidden="false" customHeight="true" outlineLevel="0" collapsed="false">
      <c r="A4118" s="11" t="str">
        <f aca="false">IF(원본명단!$A4117="","",4115)</f>
        <v/>
      </c>
      <c r="B4118" s="12" t="str">
        <f aca="false">IF($A4118="","",원본명단!$A4117)</f>
        <v/>
      </c>
      <c r="C4118" s="12" t="str">
        <f aca="false">IF($A4118="","",원본명단!$B4117)</f>
        <v/>
      </c>
      <c r="D4118" s="12" t="str">
        <f aca="false">IF($A4118="","",원본명단!$D4117)</f>
        <v/>
      </c>
      <c r="E4118" s="11" t="str">
        <f aca="false">IF($A4118="","",IF(원본명단!$H4117="",0,COUNTIF(원본명단!$H$3:$H$6002,원본명단!$H4117)))</f>
        <v/>
      </c>
      <c r="F4118" s="11" t="str">
        <f aca="false">IF($A4118="","",IF(원본명단!$I4117="",0,COUNTIF(원본명단!$I$3:$I$6002,원본명단!$I4117)))</f>
        <v/>
      </c>
      <c r="G4118" s="11" t="str">
        <f aca="false">IF($A4118="","",IF(원본명단!$K4117="",0,COUNTIF(원본명단!$K$3:$K$6002,원본명단!$K4117)))</f>
        <v/>
      </c>
      <c r="H4118" s="11" t="str">
        <f aca="false">IF($A4118="","",IF(MAX($E4118,$F4118,$G4118)&gt;1,"중복","-"))</f>
        <v/>
      </c>
      <c r="I4118" s="11" t="str">
        <f aca="false">IF($A4118="","",IF($H4118="-","-",IF(AND(IF(원본명단!$H4117="",TRUE(),COUNTIF(원본명단!$H$3:$H4117,원본명단!$H4117)=1),IF(원본명단!$I4117="",TRUE(),COUNTIF(원본명단!$I$3:$I4117,원본명단!$I4117)=1),IF(원본명단!$K4117="",TRUE(),COUNTIF(원본명단!$K$3:$K4117,원본명단!$K4117)=1)),"첫 건","중복 건")))</f>
        <v/>
      </c>
      <c r="J4118" s="11" t="str">
        <f aca="false">IF($A4118="","",IF($H4118="-","유지",IF($I4118="첫 건","유지","확인 필요")))</f>
        <v/>
      </c>
    </row>
    <row r="4119" customFormat="false" ht="15" hidden="false" customHeight="true" outlineLevel="0" collapsed="false">
      <c r="A4119" s="11" t="str">
        <f aca="false">IF(원본명단!$A4118="","",4116)</f>
        <v/>
      </c>
      <c r="B4119" s="12" t="str">
        <f aca="false">IF($A4119="","",원본명단!$A4118)</f>
        <v/>
      </c>
      <c r="C4119" s="12" t="str">
        <f aca="false">IF($A4119="","",원본명단!$B4118)</f>
        <v/>
      </c>
      <c r="D4119" s="12" t="str">
        <f aca="false">IF($A4119="","",원본명단!$D4118)</f>
        <v/>
      </c>
      <c r="E4119" s="11" t="str">
        <f aca="false">IF($A4119="","",IF(원본명단!$H4118="",0,COUNTIF(원본명단!$H$3:$H$6002,원본명단!$H4118)))</f>
        <v/>
      </c>
      <c r="F4119" s="11" t="str">
        <f aca="false">IF($A4119="","",IF(원본명단!$I4118="",0,COUNTIF(원본명단!$I$3:$I$6002,원본명단!$I4118)))</f>
        <v/>
      </c>
      <c r="G4119" s="11" t="str">
        <f aca="false">IF($A4119="","",IF(원본명단!$K4118="",0,COUNTIF(원본명단!$K$3:$K$6002,원본명단!$K4118)))</f>
        <v/>
      </c>
      <c r="H4119" s="11" t="str">
        <f aca="false">IF($A4119="","",IF(MAX($E4119,$F4119,$G4119)&gt;1,"중복","-"))</f>
        <v/>
      </c>
      <c r="I4119" s="11" t="str">
        <f aca="false">IF($A4119="","",IF($H4119="-","-",IF(AND(IF(원본명단!$H4118="",TRUE(),COUNTIF(원본명단!$H$3:$H4118,원본명단!$H4118)=1),IF(원본명단!$I4118="",TRUE(),COUNTIF(원본명단!$I$3:$I4118,원본명단!$I4118)=1),IF(원본명단!$K4118="",TRUE(),COUNTIF(원본명단!$K$3:$K4118,원본명단!$K4118)=1)),"첫 건","중복 건")))</f>
        <v/>
      </c>
      <c r="J4119" s="11" t="str">
        <f aca="false">IF($A4119="","",IF($H4119="-","유지",IF($I4119="첫 건","유지","확인 필요")))</f>
        <v/>
      </c>
    </row>
    <row r="4120" customFormat="false" ht="15" hidden="false" customHeight="true" outlineLevel="0" collapsed="false">
      <c r="A4120" s="11" t="str">
        <f aca="false">IF(원본명단!$A4119="","",4117)</f>
        <v/>
      </c>
      <c r="B4120" s="12" t="str">
        <f aca="false">IF($A4120="","",원본명단!$A4119)</f>
        <v/>
      </c>
      <c r="C4120" s="12" t="str">
        <f aca="false">IF($A4120="","",원본명단!$B4119)</f>
        <v/>
      </c>
      <c r="D4120" s="12" t="str">
        <f aca="false">IF($A4120="","",원본명단!$D4119)</f>
        <v/>
      </c>
      <c r="E4120" s="11" t="str">
        <f aca="false">IF($A4120="","",IF(원본명단!$H4119="",0,COUNTIF(원본명단!$H$3:$H$6002,원본명단!$H4119)))</f>
        <v/>
      </c>
      <c r="F4120" s="11" t="str">
        <f aca="false">IF($A4120="","",IF(원본명단!$I4119="",0,COUNTIF(원본명단!$I$3:$I$6002,원본명단!$I4119)))</f>
        <v/>
      </c>
      <c r="G4120" s="11" t="str">
        <f aca="false">IF($A4120="","",IF(원본명단!$K4119="",0,COUNTIF(원본명단!$K$3:$K$6002,원본명단!$K4119)))</f>
        <v/>
      </c>
      <c r="H4120" s="11" t="str">
        <f aca="false">IF($A4120="","",IF(MAX($E4120,$F4120,$G4120)&gt;1,"중복","-"))</f>
        <v/>
      </c>
      <c r="I4120" s="11" t="str">
        <f aca="false">IF($A4120="","",IF($H4120="-","-",IF(AND(IF(원본명단!$H4119="",TRUE(),COUNTIF(원본명단!$H$3:$H4119,원본명단!$H4119)=1),IF(원본명단!$I4119="",TRUE(),COUNTIF(원본명단!$I$3:$I4119,원본명단!$I4119)=1),IF(원본명단!$K4119="",TRUE(),COUNTIF(원본명단!$K$3:$K4119,원본명단!$K4119)=1)),"첫 건","중복 건")))</f>
        <v/>
      </c>
      <c r="J4120" s="11" t="str">
        <f aca="false">IF($A4120="","",IF($H4120="-","유지",IF($I4120="첫 건","유지","확인 필요")))</f>
        <v/>
      </c>
    </row>
    <row r="4121" customFormat="false" ht="15" hidden="false" customHeight="true" outlineLevel="0" collapsed="false">
      <c r="A4121" s="11" t="str">
        <f aca="false">IF(원본명단!$A4120="","",4118)</f>
        <v/>
      </c>
      <c r="B4121" s="12" t="str">
        <f aca="false">IF($A4121="","",원본명단!$A4120)</f>
        <v/>
      </c>
      <c r="C4121" s="12" t="str">
        <f aca="false">IF($A4121="","",원본명단!$B4120)</f>
        <v/>
      </c>
      <c r="D4121" s="12" t="str">
        <f aca="false">IF($A4121="","",원본명단!$D4120)</f>
        <v/>
      </c>
      <c r="E4121" s="11" t="str">
        <f aca="false">IF($A4121="","",IF(원본명단!$H4120="",0,COUNTIF(원본명단!$H$3:$H$6002,원본명단!$H4120)))</f>
        <v/>
      </c>
      <c r="F4121" s="11" t="str">
        <f aca="false">IF($A4121="","",IF(원본명단!$I4120="",0,COUNTIF(원본명단!$I$3:$I$6002,원본명단!$I4120)))</f>
        <v/>
      </c>
      <c r="G4121" s="11" t="str">
        <f aca="false">IF($A4121="","",IF(원본명단!$K4120="",0,COUNTIF(원본명단!$K$3:$K$6002,원본명단!$K4120)))</f>
        <v/>
      </c>
      <c r="H4121" s="11" t="str">
        <f aca="false">IF($A4121="","",IF(MAX($E4121,$F4121,$G4121)&gt;1,"중복","-"))</f>
        <v/>
      </c>
      <c r="I4121" s="11" t="str">
        <f aca="false">IF($A4121="","",IF($H4121="-","-",IF(AND(IF(원본명단!$H4120="",TRUE(),COUNTIF(원본명단!$H$3:$H4120,원본명단!$H4120)=1),IF(원본명단!$I4120="",TRUE(),COUNTIF(원본명단!$I$3:$I4120,원본명단!$I4120)=1),IF(원본명단!$K4120="",TRUE(),COUNTIF(원본명단!$K$3:$K4120,원본명단!$K4120)=1)),"첫 건","중복 건")))</f>
        <v/>
      </c>
      <c r="J4121" s="11" t="str">
        <f aca="false">IF($A4121="","",IF($H4121="-","유지",IF($I4121="첫 건","유지","확인 필요")))</f>
        <v/>
      </c>
    </row>
    <row r="4122" customFormat="false" ht="15" hidden="false" customHeight="true" outlineLevel="0" collapsed="false">
      <c r="A4122" s="11" t="str">
        <f aca="false">IF(원본명단!$A4121="","",4119)</f>
        <v/>
      </c>
      <c r="B4122" s="12" t="str">
        <f aca="false">IF($A4122="","",원본명단!$A4121)</f>
        <v/>
      </c>
      <c r="C4122" s="12" t="str">
        <f aca="false">IF($A4122="","",원본명단!$B4121)</f>
        <v/>
      </c>
      <c r="D4122" s="12" t="str">
        <f aca="false">IF($A4122="","",원본명단!$D4121)</f>
        <v/>
      </c>
      <c r="E4122" s="11" t="str">
        <f aca="false">IF($A4122="","",IF(원본명단!$H4121="",0,COUNTIF(원본명단!$H$3:$H$6002,원본명단!$H4121)))</f>
        <v/>
      </c>
      <c r="F4122" s="11" t="str">
        <f aca="false">IF($A4122="","",IF(원본명단!$I4121="",0,COUNTIF(원본명단!$I$3:$I$6002,원본명단!$I4121)))</f>
        <v/>
      </c>
      <c r="G4122" s="11" t="str">
        <f aca="false">IF($A4122="","",IF(원본명단!$K4121="",0,COUNTIF(원본명단!$K$3:$K$6002,원본명단!$K4121)))</f>
        <v/>
      </c>
      <c r="H4122" s="11" t="str">
        <f aca="false">IF($A4122="","",IF(MAX($E4122,$F4122,$G4122)&gt;1,"중복","-"))</f>
        <v/>
      </c>
      <c r="I4122" s="11" t="str">
        <f aca="false">IF($A4122="","",IF($H4122="-","-",IF(AND(IF(원본명단!$H4121="",TRUE(),COUNTIF(원본명단!$H$3:$H4121,원본명단!$H4121)=1),IF(원본명단!$I4121="",TRUE(),COUNTIF(원본명단!$I$3:$I4121,원본명단!$I4121)=1),IF(원본명단!$K4121="",TRUE(),COUNTIF(원본명단!$K$3:$K4121,원본명단!$K4121)=1)),"첫 건","중복 건")))</f>
        <v/>
      </c>
      <c r="J4122" s="11" t="str">
        <f aca="false">IF($A4122="","",IF($H4122="-","유지",IF($I4122="첫 건","유지","확인 필요")))</f>
        <v/>
      </c>
    </row>
    <row r="4123" customFormat="false" ht="15" hidden="false" customHeight="true" outlineLevel="0" collapsed="false">
      <c r="A4123" s="11" t="str">
        <f aca="false">IF(원본명단!$A4122="","",4120)</f>
        <v/>
      </c>
      <c r="B4123" s="12" t="str">
        <f aca="false">IF($A4123="","",원본명단!$A4122)</f>
        <v/>
      </c>
      <c r="C4123" s="12" t="str">
        <f aca="false">IF($A4123="","",원본명단!$B4122)</f>
        <v/>
      </c>
      <c r="D4123" s="12" t="str">
        <f aca="false">IF($A4123="","",원본명단!$D4122)</f>
        <v/>
      </c>
      <c r="E4123" s="11" t="str">
        <f aca="false">IF($A4123="","",IF(원본명단!$H4122="",0,COUNTIF(원본명단!$H$3:$H$6002,원본명단!$H4122)))</f>
        <v/>
      </c>
      <c r="F4123" s="11" t="str">
        <f aca="false">IF($A4123="","",IF(원본명단!$I4122="",0,COUNTIF(원본명단!$I$3:$I$6002,원본명단!$I4122)))</f>
        <v/>
      </c>
      <c r="G4123" s="11" t="str">
        <f aca="false">IF($A4123="","",IF(원본명단!$K4122="",0,COUNTIF(원본명단!$K$3:$K$6002,원본명단!$K4122)))</f>
        <v/>
      </c>
      <c r="H4123" s="11" t="str">
        <f aca="false">IF($A4123="","",IF(MAX($E4123,$F4123,$G4123)&gt;1,"중복","-"))</f>
        <v/>
      </c>
      <c r="I4123" s="11" t="str">
        <f aca="false">IF($A4123="","",IF($H4123="-","-",IF(AND(IF(원본명단!$H4122="",TRUE(),COUNTIF(원본명단!$H$3:$H4122,원본명단!$H4122)=1),IF(원본명단!$I4122="",TRUE(),COUNTIF(원본명단!$I$3:$I4122,원본명단!$I4122)=1),IF(원본명단!$K4122="",TRUE(),COUNTIF(원본명단!$K$3:$K4122,원본명단!$K4122)=1)),"첫 건","중복 건")))</f>
        <v/>
      </c>
      <c r="J4123" s="11" t="str">
        <f aca="false">IF($A4123="","",IF($H4123="-","유지",IF($I4123="첫 건","유지","확인 필요")))</f>
        <v/>
      </c>
    </row>
    <row r="4124" customFormat="false" ht="15" hidden="false" customHeight="true" outlineLevel="0" collapsed="false">
      <c r="A4124" s="11" t="str">
        <f aca="false">IF(원본명단!$A4123="","",4121)</f>
        <v/>
      </c>
      <c r="B4124" s="12" t="str">
        <f aca="false">IF($A4124="","",원본명단!$A4123)</f>
        <v/>
      </c>
      <c r="C4124" s="12" t="str">
        <f aca="false">IF($A4124="","",원본명단!$B4123)</f>
        <v/>
      </c>
      <c r="D4124" s="12" t="str">
        <f aca="false">IF($A4124="","",원본명단!$D4123)</f>
        <v/>
      </c>
      <c r="E4124" s="11" t="str">
        <f aca="false">IF($A4124="","",IF(원본명단!$H4123="",0,COUNTIF(원본명단!$H$3:$H$6002,원본명단!$H4123)))</f>
        <v/>
      </c>
      <c r="F4124" s="11" t="str">
        <f aca="false">IF($A4124="","",IF(원본명단!$I4123="",0,COUNTIF(원본명단!$I$3:$I$6002,원본명단!$I4123)))</f>
        <v/>
      </c>
      <c r="G4124" s="11" t="str">
        <f aca="false">IF($A4124="","",IF(원본명단!$K4123="",0,COUNTIF(원본명단!$K$3:$K$6002,원본명단!$K4123)))</f>
        <v/>
      </c>
      <c r="H4124" s="11" t="str">
        <f aca="false">IF($A4124="","",IF(MAX($E4124,$F4124,$G4124)&gt;1,"중복","-"))</f>
        <v/>
      </c>
      <c r="I4124" s="11" t="str">
        <f aca="false">IF($A4124="","",IF($H4124="-","-",IF(AND(IF(원본명단!$H4123="",TRUE(),COUNTIF(원본명단!$H$3:$H4123,원본명단!$H4123)=1),IF(원본명단!$I4123="",TRUE(),COUNTIF(원본명단!$I$3:$I4123,원본명단!$I4123)=1),IF(원본명단!$K4123="",TRUE(),COUNTIF(원본명단!$K$3:$K4123,원본명단!$K4123)=1)),"첫 건","중복 건")))</f>
        <v/>
      </c>
      <c r="J4124" s="11" t="str">
        <f aca="false">IF($A4124="","",IF($H4124="-","유지",IF($I4124="첫 건","유지","확인 필요")))</f>
        <v/>
      </c>
    </row>
    <row r="4125" customFormat="false" ht="15" hidden="false" customHeight="true" outlineLevel="0" collapsed="false">
      <c r="A4125" s="11" t="str">
        <f aca="false">IF(원본명단!$A4124="","",4122)</f>
        <v/>
      </c>
      <c r="B4125" s="12" t="str">
        <f aca="false">IF($A4125="","",원본명단!$A4124)</f>
        <v/>
      </c>
      <c r="C4125" s="12" t="str">
        <f aca="false">IF($A4125="","",원본명단!$B4124)</f>
        <v/>
      </c>
      <c r="D4125" s="12" t="str">
        <f aca="false">IF($A4125="","",원본명단!$D4124)</f>
        <v/>
      </c>
      <c r="E4125" s="11" t="str">
        <f aca="false">IF($A4125="","",IF(원본명단!$H4124="",0,COUNTIF(원본명단!$H$3:$H$6002,원본명단!$H4124)))</f>
        <v/>
      </c>
      <c r="F4125" s="11" t="str">
        <f aca="false">IF($A4125="","",IF(원본명단!$I4124="",0,COUNTIF(원본명단!$I$3:$I$6002,원본명단!$I4124)))</f>
        <v/>
      </c>
      <c r="G4125" s="11" t="str">
        <f aca="false">IF($A4125="","",IF(원본명단!$K4124="",0,COUNTIF(원본명단!$K$3:$K$6002,원본명단!$K4124)))</f>
        <v/>
      </c>
      <c r="H4125" s="11" t="str">
        <f aca="false">IF($A4125="","",IF(MAX($E4125,$F4125,$G4125)&gt;1,"중복","-"))</f>
        <v/>
      </c>
      <c r="I4125" s="11" t="str">
        <f aca="false">IF($A4125="","",IF($H4125="-","-",IF(AND(IF(원본명단!$H4124="",TRUE(),COUNTIF(원본명단!$H$3:$H4124,원본명단!$H4124)=1),IF(원본명단!$I4124="",TRUE(),COUNTIF(원본명단!$I$3:$I4124,원본명단!$I4124)=1),IF(원본명단!$K4124="",TRUE(),COUNTIF(원본명단!$K$3:$K4124,원본명단!$K4124)=1)),"첫 건","중복 건")))</f>
        <v/>
      </c>
      <c r="J4125" s="11" t="str">
        <f aca="false">IF($A4125="","",IF($H4125="-","유지",IF($I4125="첫 건","유지","확인 필요")))</f>
        <v/>
      </c>
    </row>
    <row r="4126" customFormat="false" ht="15" hidden="false" customHeight="true" outlineLevel="0" collapsed="false">
      <c r="A4126" s="11" t="str">
        <f aca="false">IF(원본명단!$A4125="","",4123)</f>
        <v/>
      </c>
      <c r="B4126" s="12" t="str">
        <f aca="false">IF($A4126="","",원본명단!$A4125)</f>
        <v/>
      </c>
      <c r="C4126" s="12" t="str">
        <f aca="false">IF($A4126="","",원본명단!$B4125)</f>
        <v/>
      </c>
      <c r="D4126" s="12" t="str">
        <f aca="false">IF($A4126="","",원본명단!$D4125)</f>
        <v/>
      </c>
      <c r="E4126" s="11" t="str">
        <f aca="false">IF($A4126="","",IF(원본명단!$H4125="",0,COUNTIF(원본명단!$H$3:$H$6002,원본명단!$H4125)))</f>
        <v/>
      </c>
      <c r="F4126" s="11" t="str">
        <f aca="false">IF($A4126="","",IF(원본명단!$I4125="",0,COUNTIF(원본명단!$I$3:$I$6002,원본명단!$I4125)))</f>
        <v/>
      </c>
      <c r="G4126" s="11" t="str">
        <f aca="false">IF($A4126="","",IF(원본명단!$K4125="",0,COUNTIF(원본명단!$K$3:$K$6002,원본명단!$K4125)))</f>
        <v/>
      </c>
      <c r="H4126" s="11" t="str">
        <f aca="false">IF($A4126="","",IF(MAX($E4126,$F4126,$G4126)&gt;1,"중복","-"))</f>
        <v/>
      </c>
      <c r="I4126" s="11" t="str">
        <f aca="false">IF($A4126="","",IF($H4126="-","-",IF(AND(IF(원본명단!$H4125="",TRUE(),COUNTIF(원본명단!$H$3:$H4125,원본명단!$H4125)=1),IF(원본명단!$I4125="",TRUE(),COUNTIF(원본명단!$I$3:$I4125,원본명단!$I4125)=1),IF(원본명단!$K4125="",TRUE(),COUNTIF(원본명단!$K$3:$K4125,원본명단!$K4125)=1)),"첫 건","중복 건")))</f>
        <v/>
      </c>
      <c r="J4126" s="11" t="str">
        <f aca="false">IF($A4126="","",IF($H4126="-","유지",IF($I4126="첫 건","유지","확인 필요")))</f>
        <v/>
      </c>
    </row>
    <row r="4127" customFormat="false" ht="15" hidden="false" customHeight="true" outlineLevel="0" collapsed="false">
      <c r="A4127" s="11" t="str">
        <f aca="false">IF(원본명단!$A4126="","",4124)</f>
        <v/>
      </c>
      <c r="B4127" s="12" t="str">
        <f aca="false">IF($A4127="","",원본명단!$A4126)</f>
        <v/>
      </c>
      <c r="C4127" s="12" t="str">
        <f aca="false">IF($A4127="","",원본명단!$B4126)</f>
        <v/>
      </c>
      <c r="D4127" s="12" t="str">
        <f aca="false">IF($A4127="","",원본명단!$D4126)</f>
        <v/>
      </c>
      <c r="E4127" s="11" t="str">
        <f aca="false">IF($A4127="","",IF(원본명단!$H4126="",0,COUNTIF(원본명단!$H$3:$H$6002,원본명단!$H4126)))</f>
        <v/>
      </c>
      <c r="F4127" s="11" t="str">
        <f aca="false">IF($A4127="","",IF(원본명단!$I4126="",0,COUNTIF(원본명단!$I$3:$I$6002,원본명단!$I4126)))</f>
        <v/>
      </c>
      <c r="G4127" s="11" t="str">
        <f aca="false">IF($A4127="","",IF(원본명단!$K4126="",0,COUNTIF(원본명단!$K$3:$K$6002,원본명단!$K4126)))</f>
        <v/>
      </c>
      <c r="H4127" s="11" t="str">
        <f aca="false">IF($A4127="","",IF(MAX($E4127,$F4127,$G4127)&gt;1,"중복","-"))</f>
        <v/>
      </c>
      <c r="I4127" s="11" t="str">
        <f aca="false">IF($A4127="","",IF($H4127="-","-",IF(AND(IF(원본명단!$H4126="",TRUE(),COUNTIF(원본명단!$H$3:$H4126,원본명단!$H4126)=1),IF(원본명단!$I4126="",TRUE(),COUNTIF(원본명단!$I$3:$I4126,원본명단!$I4126)=1),IF(원본명단!$K4126="",TRUE(),COUNTIF(원본명단!$K$3:$K4126,원본명단!$K4126)=1)),"첫 건","중복 건")))</f>
        <v/>
      </c>
      <c r="J4127" s="11" t="str">
        <f aca="false">IF($A4127="","",IF($H4127="-","유지",IF($I4127="첫 건","유지","확인 필요")))</f>
        <v/>
      </c>
    </row>
    <row r="4128" customFormat="false" ht="15" hidden="false" customHeight="true" outlineLevel="0" collapsed="false">
      <c r="A4128" s="11" t="str">
        <f aca="false">IF(원본명단!$A4127="","",4125)</f>
        <v/>
      </c>
      <c r="B4128" s="12" t="str">
        <f aca="false">IF($A4128="","",원본명단!$A4127)</f>
        <v/>
      </c>
      <c r="C4128" s="12" t="str">
        <f aca="false">IF($A4128="","",원본명단!$B4127)</f>
        <v/>
      </c>
      <c r="D4128" s="12" t="str">
        <f aca="false">IF($A4128="","",원본명단!$D4127)</f>
        <v/>
      </c>
      <c r="E4128" s="11" t="str">
        <f aca="false">IF($A4128="","",IF(원본명단!$H4127="",0,COUNTIF(원본명단!$H$3:$H$6002,원본명단!$H4127)))</f>
        <v/>
      </c>
      <c r="F4128" s="11" t="str">
        <f aca="false">IF($A4128="","",IF(원본명단!$I4127="",0,COUNTIF(원본명단!$I$3:$I$6002,원본명단!$I4127)))</f>
        <v/>
      </c>
      <c r="G4128" s="11" t="str">
        <f aca="false">IF($A4128="","",IF(원본명단!$K4127="",0,COUNTIF(원본명단!$K$3:$K$6002,원본명단!$K4127)))</f>
        <v/>
      </c>
      <c r="H4128" s="11" t="str">
        <f aca="false">IF($A4128="","",IF(MAX($E4128,$F4128,$G4128)&gt;1,"중복","-"))</f>
        <v/>
      </c>
      <c r="I4128" s="11" t="str">
        <f aca="false">IF($A4128="","",IF($H4128="-","-",IF(AND(IF(원본명단!$H4127="",TRUE(),COUNTIF(원본명단!$H$3:$H4127,원본명단!$H4127)=1),IF(원본명단!$I4127="",TRUE(),COUNTIF(원본명단!$I$3:$I4127,원본명단!$I4127)=1),IF(원본명단!$K4127="",TRUE(),COUNTIF(원본명단!$K$3:$K4127,원본명단!$K4127)=1)),"첫 건","중복 건")))</f>
        <v/>
      </c>
      <c r="J4128" s="11" t="str">
        <f aca="false">IF($A4128="","",IF($H4128="-","유지",IF($I4128="첫 건","유지","확인 필요")))</f>
        <v/>
      </c>
    </row>
    <row r="4129" customFormat="false" ht="15" hidden="false" customHeight="true" outlineLevel="0" collapsed="false">
      <c r="A4129" s="11" t="str">
        <f aca="false">IF(원본명단!$A4128="","",4126)</f>
        <v/>
      </c>
      <c r="B4129" s="12" t="str">
        <f aca="false">IF($A4129="","",원본명단!$A4128)</f>
        <v/>
      </c>
      <c r="C4129" s="12" t="str">
        <f aca="false">IF($A4129="","",원본명단!$B4128)</f>
        <v/>
      </c>
      <c r="D4129" s="12" t="str">
        <f aca="false">IF($A4129="","",원본명단!$D4128)</f>
        <v/>
      </c>
      <c r="E4129" s="11" t="str">
        <f aca="false">IF($A4129="","",IF(원본명단!$H4128="",0,COUNTIF(원본명단!$H$3:$H$6002,원본명단!$H4128)))</f>
        <v/>
      </c>
      <c r="F4129" s="11" t="str">
        <f aca="false">IF($A4129="","",IF(원본명단!$I4128="",0,COUNTIF(원본명단!$I$3:$I$6002,원본명단!$I4128)))</f>
        <v/>
      </c>
      <c r="G4129" s="11" t="str">
        <f aca="false">IF($A4129="","",IF(원본명단!$K4128="",0,COUNTIF(원본명단!$K$3:$K$6002,원본명단!$K4128)))</f>
        <v/>
      </c>
      <c r="H4129" s="11" t="str">
        <f aca="false">IF($A4129="","",IF(MAX($E4129,$F4129,$G4129)&gt;1,"중복","-"))</f>
        <v/>
      </c>
      <c r="I4129" s="11" t="str">
        <f aca="false">IF($A4129="","",IF($H4129="-","-",IF(AND(IF(원본명단!$H4128="",TRUE(),COUNTIF(원본명단!$H$3:$H4128,원본명단!$H4128)=1),IF(원본명단!$I4128="",TRUE(),COUNTIF(원본명단!$I$3:$I4128,원본명단!$I4128)=1),IF(원본명단!$K4128="",TRUE(),COUNTIF(원본명단!$K$3:$K4128,원본명단!$K4128)=1)),"첫 건","중복 건")))</f>
        <v/>
      </c>
      <c r="J4129" s="11" t="str">
        <f aca="false">IF($A4129="","",IF($H4129="-","유지",IF($I4129="첫 건","유지","확인 필요")))</f>
        <v/>
      </c>
    </row>
    <row r="4130" customFormat="false" ht="15" hidden="false" customHeight="true" outlineLevel="0" collapsed="false">
      <c r="A4130" s="11" t="str">
        <f aca="false">IF(원본명단!$A4129="","",4127)</f>
        <v/>
      </c>
      <c r="B4130" s="12" t="str">
        <f aca="false">IF($A4130="","",원본명단!$A4129)</f>
        <v/>
      </c>
      <c r="C4130" s="12" t="str">
        <f aca="false">IF($A4130="","",원본명단!$B4129)</f>
        <v/>
      </c>
      <c r="D4130" s="12" t="str">
        <f aca="false">IF($A4130="","",원본명단!$D4129)</f>
        <v/>
      </c>
      <c r="E4130" s="11" t="str">
        <f aca="false">IF($A4130="","",IF(원본명단!$H4129="",0,COUNTIF(원본명단!$H$3:$H$6002,원본명단!$H4129)))</f>
        <v/>
      </c>
      <c r="F4130" s="11" t="str">
        <f aca="false">IF($A4130="","",IF(원본명단!$I4129="",0,COUNTIF(원본명단!$I$3:$I$6002,원본명단!$I4129)))</f>
        <v/>
      </c>
      <c r="G4130" s="11" t="str">
        <f aca="false">IF($A4130="","",IF(원본명단!$K4129="",0,COUNTIF(원본명단!$K$3:$K$6002,원본명단!$K4129)))</f>
        <v/>
      </c>
      <c r="H4130" s="11" t="str">
        <f aca="false">IF($A4130="","",IF(MAX($E4130,$F4130,$G4130)&gt;1,"중복","-"))</f>
        <v/>
      </c>
      <c r="I4130" s="11" t="str">
        <f aca="false">IF($A4130="","",IF($H4130="-","-",IF(AND(IF(원본명단!$H4129="",TRUE(),COUNTIF(원본명단!$H$3:$H4129,원본명단!$H4129)=1),IF(원본명단!$I4129="",TRUE(),COUNTIF(원본명단!$I$3:$I4129,원본명단!$I4129)=1),IF(원본명단!$K4129="",TRUE(),COUNTIF(원본명단!$K$3:$K4129,원본명단!$K4129)=1)),"첫 건","중복 건")))</f>
        <v/>
      </c>
      <c r="J4130" s="11" t="str">
        <f aca="false">IF($A4130="","",IF($H4130="-","유지",IF($I4130="첫 건","유지","확인 필요")))</f>
        <v/>
      </c>
    </row>
    <row r="4131" customFormat="false" ht="15" hidden="false" customHeight="true" outlineLevel="0" collapsed="false">
      <c r="A4131" s="11" t="str">
        <f aca="false">IF(원본명단!$A4130="","",4128)</f>
        <v/>
      </c>
      <c r="B4131" s="12" t="str">
        <f aca="false">IF($A4131="","",원본명단!$A4130)</f>
        <v/>
      </c>
      <c r="C4131" s="12" t="str">
        <f aca="false">IF($A4131="","",원본명단!$B4130)</f>
        <v/>
      </c>
      <c r="D4131" s="12" t="str">
        <f aca="false">IF($A4131="","",원본명단!$D4130)</f>
        <v/>
      </c>
      <c r="E4131" s="11" t="str">
        <f aca="false">IF($A4131="","",IF(원본명단!$H4130="",0,COUNTIF(원본명단!$H$3:$H$6002,원본명단!$H4130)))</f>
        <v/>
      </c>
      <c r="F4131" s="11" t="str">
        <f aca="false">IF($A4131="","",IF(원본명단!$I4130="",0,COUNTIF(원본명단!$I$3:$I$6002,원본명단!$I4130)))</f>
        <v/>
      </c>
      <c r="G4131" s="11" t="str">
        <f aca="false">IF($A4131="","",IF(원본명단!$K4130="",0,COUNTIF(원본명단!$K$3:$K$6002,원본명단!$K4130)))</f>
        <v/>
      </c>
      <c r="H4131" s="11" t="str">
        <f aca="false">IF($A4131="","",IF(MAX($E4131,$F4131,$G4131)&gt;1,"중복","-"))</f>
        <v/>
      </c>
      <c r="I4131" s="11" t="str">
        <f aca="false">IF($A4131="","",IF($H4131="-","-",IF(AND(IF(원본명단!$H4130="",TRUE(),COUNTIF(원본명단!$H$3:$H4130,원본명단!$H4130)=1),IF(원본명단!$I4130="",TRUE(),COUNTIF(원본명단!$I$3:$I4130,원본명단!$I4130)=1),IF(원본명단!$K4130="",TRUE(),COUNTIF(원본명단!$K$3:$K4130,원본명단!$K4130)=1)),"첫 건","중복 건")))</f>
        <v/>
      </c>
      <c r="J4131" s="11" t="str">
        <f aca="false">IF($A4131="","",IF($H4131="-","유지",IF($I4131="첫 건","유지","확인 필요")))</f>
        <v/>
      </c>
    </row>
    <row r="4132" customFormat="false" ht="15" hidden="false" customHeight="true" outlineLevel="0" collapsed="false">
      <c r="A4132" s="11" t="str">
        <f aca="false">IF(원본명단!$A4131="","",4129)</f>
        <v/>
      </c>
      <c r="B4132" s="12" t="str">
        <f aca="false">IF($A4132="","",원본명단!$A4131)</f>
        <v/>
      </c>
      <c r="C4132" s="12" t="str">
        <f aca="false">IF($A4132="","",원본명단!$B4131)</f>
        <v/>
      </c>
      <c r="D4132" s="12" t="str">
        <f aca="false">IF($A4132="","",원본명단!$D4131)</f>
        <v/>
      </c>
      <c r="E4132" s="11" t="str">
        <f aca="false">IF($A4132="","",IF(원본명단!$H4131="",0,COUNTIF(원본명단!$H$3:$H$6002,원본명단!$H4131)))</f>
        <v/>
      </c>
      <c r="F4132" s="11" t="str">
        <f aca="false">IF($A4132="","",IF(원본명단!$I4131="",0,COUNTIF(원본명단!$I$3:$I$6002,원본명단!$I4131)))</f>
        <v/>
      </c>
      <c r="G4132" s="11" t="str">
        <f aca="false">IF($A4132="","",IF(원본명단!$K4131="",0,COUNTIF(원본명단!$K$3:$K$6002,원본명단!$K4131)))</f>
        <v/>
      </c>
      <c r="H4132" s="11" t="str">
        <f aca="false">IF($A4132="","",IF(MAX($E4132,$F4132,$G4132)&gt;1,"중복","-"))</f>
        <v/>
      </c>
      <c r="I4132" s="11" t="str">
        <f aca="false">IF($A4132="","",IF($H4132="-","-",IF(AND(IF(원본명단!$H4131="",TRUE(),COUNTIF(원본명단!$H$3:$H4131,원본명단!$H4131)=1),IF(원본명단!$I4131="",TRUE(),COUNTIF(원본명단!$I$3:$I4131,원본명단!$I4131)=1),IF(원본명단!$K4131="",TRUE(),COUNTIF(원본명단!$K$3:$K4131,원본명단!$K4131)=1)),"첫 건","중복 건")))</f>
        <v/>
      </c>
      <c r="J4132" s="11" t="str">
        <f aca="false">IF($A4132="","",IF($H4132="-","유지",IF($I4132="첫 건","유지","확인 필요")))</f>
        <v/>
      </c>
    </row>
    <row r="4133" customFormat="false" ht="15" hidden="false" customHeight="true" outlineLevel="0" collapsed="false">
      <c r="A4133" s="11" t="str">
        <f aca="false">IF(원본명단!$A4132="","",4130)</f>
        <v/>
      </c>
      <c r="B4133" s="12" t="str">
        <f aca="false">IF($A4133="","",원본명단!$A4132)</f>
        <v/>
      </c>
      <c r="C4133" s="12" t="str">
        <f aca="false">IF($A4133="","",원본명단!$B4132)</f>
        <v/>
      </c>
      <c r="D4133" s="12" t="str">
        <f aca="false">IF($A4133="","",원본명단!$D4132)</f>
        <v/>
      </c>
      <c r="E4133" s="11" t="str">
        <f aca="false">IF($A4133="","",IF(원본명단!$H4132="",0,COUNTIF(원본명단!$H$3:$H$6002,원본명단!$H4132)))</f>
        <v/>
      </c>
      <c r="F4133" s="11" t="str">
        <f aca="false">IF($A4133="","",IF(원본명단!$I4132="",0,COUNTIF(원본명단!$I$3:$I$6002,원본명단!$I4132)))</f>
        <v/>
      </c>
      <c r="G4133" s="11" t="str">
        <f aca="false">IF($A4133="","",IF(원본명단!$K4132="",0,COUNTIF(원본명단!$K$3:$K$6002,원본명단!$K4132)))</f>
        <v/>
      </c>
      <c r="H4133" s="11" t="str">
        <f aca="false">IF($A4133="","",IF(MAX($E4133,$F4133,$G4133)&gt;1,"중복","-"))</f>
        <v/>
      </c>
      <c r="I4133" s="11" t="str">
        <f aca="false">IF($A4133="","",IF($H4133="-","-",IF(AND(IF(원본명단!$H4132="",TRUE(),COUNTIF(원본명단!$H$3:$H4132,원본명단!$H4132)=1),IF(원본명단!$I4132="",TRUE(),COUNTIF(원본명단!$I$3:$I4132,원본명단!$I4132)=1),IF(원본명단!$K4132="",TRUE(),COUNTIF(원본명단!$K$3:$K4132,원본명단!$K4132)=1)),"첫 건","중복 건")))</f>
        <v/>
      </c>
      <c r="J4133" s="11" t="str">
        <f aca="false">IF($A4133="","",IF($H4133="-","유지",IF($I4133="첫 건","유지","확인 필요")))</f>
        <v/>
      </c>
    </row>
    <row r="4134" customFormat="false" ht="15" hidden="false" customHeight="true" outlineLevel="0" collapsed="false">
      <c r="A4134" s="11" t="str">
        <f aca="false">IF(원본명단!$A4133="","",4131)</f>
        <v/>
      </c>
      <c r="B4134" s="12" t="str">
        <f aca="false">IF($A4134="","",원본명단!$A4133)</f>
        <v/>
      </c>
      <c r="C4134" s="12" t="str">
        <f aca="false">IF($A4134="","",원본명단!$B4133)</f>
        <v/>
      </c>
      <c r="D4134" s="12" t="str">
        <f aca="false">IF($A4134="","",원본명단!$D4133)</f>
        <v/>
      </c>
      <c r="E4134" s="11" t="str">
        <f aca="false">IF($A4134="","",IF(원본명단!$H4133="",0,COUNTIF(원본명단!$H$3:$H$6002,원본명단!$H4133)))</f>
        <v/>
      </c>
      <c r="F4134" s="11" t="str">
        <f aca="false">IF($A4134="","",IF(원본명단!$I4133="",0,COUNTIF(원본명단!$I$3:$I$6002,원본명단!$I4133)))</f>
        <v/>
      </c>
      <c r="G4134" s="11" t="str">
        <f aca="false">IF($A4134="","",IF(원본명단!$K4133="",0,COUNTIF(원본명단!$K$3:$K$6002,원본명단!$K4133)))</f>
        <v/>
      </c>
      <c r="H4134" s="11" t="str">
        <f aca="false">IF($A4134="","",IF(MAX($E4134,$F4134,$G4134)&gt;1,"중복","-"))</f>
        <v/>
      </c>
      <c r="I4134" s="11" t="str">
        <f aca="false">IF($A4134="","",IF($H4134="-","-",IF(AND(IF(원본명단!$H4133="",TRUE(),COUNTIF(원본명단!$H$3:$H4133,원본명단!$H4133)=1),IF(원본명단!$I4133="",TRUE(),COUNTIF(원본명단!$I$3:$I4133,원본명단!$I4133)=1),IF(원본명단!$K4133="",TRUE(),COUNTIF(원본명단!$K$3:$K4133,원본명단!$K4133)=1)),"첫 건","중복 건")))</f>
        <v/>
      </c>
      <c r="J4134" s="11" t="str">
        <f aca="false">IF($A4134="","",IF($H4134="-","유지",IF($I4134="첫 건","유지","확인 필요")))</f>
        <v/>
      </c>
    </row>
    <row r="4135" customFormat="false" ht="15" hidden="false" customHeight="true" outlineLevel="0" collapsed="false">
      <c r="A4135" s="11" t="str">
        <f aca="false">IF(원본명단!$A4134="","",4132)</f>
        <v/>
      </c>
      <c r="B4135" s="12" t="str">
        <f aca="false">IF($A4135="","",원본명단!$A4134)</f>
        <v/>
      </c>
      <c r="C4135" s="12" t="str">
        <f aca="false">IF($A4135="","",원본명단!$B4134)</f>
        <v/>
      </c>
      <c r="D4135" s="12" t="str">
        <f aca="false">IF($A4135="","",원본명단!$D4134)</f>
        <v/>
      </c>
      <c r="E4135" s="11" t="str">
        <f aca="false">IF($A4135="","",IF(원본명단!$H4134="",0,COUNTIF(원본명단!$H$3:$H$6002,원본명단!$H4134)))</f>
        <v/>
      </c>
      <c r="F4135" s="11" t="str">
        <f aca="false">IF($A4135="","",IF(원본명단!$I4134="",0,COUNTIF(원본명단!$I$3:$I$6002,원본명단!$I4134)))</f>
        <v/>
      </c>
      <c r="G4135" s="11" t="str">
        <f aca="false">IF($A4135="","",IF(원본명단!$K4134="",0,COUNTIF(원본명단!$K$3:$K$6002,원본명단!$K4134)))</f>
        <v/>
      </c>
      <c r="H4135" s="11" t="str">
        <f aca="false">IF($A4135="","",IF(MAX($E4135,$F4135,$G4135)&gt;1,"중복","-"))</f>
        <v/>
      </c>
      <c r="I4135" s="11" t="str">
        <f aca="false">IF($A4135="","",IF($H4135="-","-",IF(AND(IF(원본명단!$H4134="",TRUE(),COUNTIF(원본명단!$H$3:$H4134,원본명단!$H4134)=1),IF(원본명단!$I4134="",TRUE(),COUNTIF(원본명단!$I$3:$I4134,원본명단!$I4134)=1),IF(원본명단!$K4134="",TRUE(),COUNTIF(원본명단!$K$3:$K4134,원본명단!$K4134)=1)),"첫 건","중복 건")))</f>
        <v/>
      </c>
      <c r="J4135" s="11" t="str">
        <f aca="false">IF($A4135="","",IF($H4135="-","유지",IF($I4135="첫 건","유지","확인 필요")))</f>
        <v/>
      </c>
    </row>
    <row r="4136" customFormat="false" ht="15" hidden="false" customHeight="true" outlineLevel="0" collapsed="false">
      <c r="A4136" s="11" t="str">
        <f aca="false">IF(원본명단!$A4135="","",4133)</f>
        <v/>
      </c>
      <c r="B4136" s="12" t="str">
        <f aca="false">IF($A4136="","",원본명단!$A4135)</f>
        <v/>
      </c>
      <c r="C4136" s="12" t="str">
        <f aca="false">IF($A4136="","",원본명단!$B4135)</f>
        <v/>
      </c>
      <c r="D4136" s="12" t="str">
        <f aca="false">IF($A4136="","",원본명단!$D4135)</f>
        <v/>
      </c>
      <c r="E4136" s="11" t="str">
        <f aca="false">IF($A4136="","",IF(원본명단!$H4135="",0,COUNTIF(원본명단!$H$3:$H$6002,원본명단!$H4135)))</f>
        <v/>
      </c>
      <c r="F4136" s="11" t="str">
        <f aca="false">IF($A4136="","",IF(원본명단!$I4135="",0,COUNTIF(원본명단!$I$3:$I$6002,원본명단!$I4135)))</f>
        <v/>
      </c>
      <c r="G4136" s="11" t="str">
        <f aca="false">IF($A4136="","",IF(원본명단!$K4135="",0,COUNTIF(원본명단!$K$3:$K$6002,원본명단!$K4135)))</f>
        <v/>
      </c>
      <c r="H4136" s="11" t="str">
        <f aca="false">IF($A4136="","",IF(MAX($E4136,$F4136,$G4136)&gt;1,"중복","-"))</f>
        <v/>
      </c>
      <c r="I4136" s="11" t="str">
        <f aca="false">IF($A4136="","",IF($H4136="-","-",IF(AND(IF(원본명단!$H4135="",TRUE(),COUNTIF(원본명단!$H$3:$H4135,원본명단!$H4135)=1),IF(원본명단!$I4135="",TRUE(),COUNTIF(원본명단!$I$3:$I4135,원본명단!$I4135)=1),IF(원본명단!$K4135="",TRUE(),COUNTIF(원본명단!$K$3:$K4135,원본명단!$K4135)=1)),"첫 건","중복 건")))</f>
        <v/>
      </c>
      <c r="J4136" s="11" t="str">
        <f aca="false">IF($A4136="","",IF($H4136="-","유지",IF($I4136="첫 건","유지","확인 필요")))</f>
        <v/>
      </c>
    </row>
    <row r="4137" customFormat="false" ht="15" hidden="false" customHeight="true" outlineLevel="0" collapsed="false">
      <c r="A4137" s="11" t="str">
        <f aca="false">IF(원본명단!$A4136="","",4134)</f>
        <v/>
      </c>
      <c r="B4137" s="12" t="str">
        <f aca="false">IF($A4137="","",원본명단!$A4136)</f>
        <v/>
      </c>
      <c r="C4137" s="12" t="str">
        <f aca="false">IF($A4137="","",원본명단!$B4136)</f>
        <v/>
      </c>
      <c r="D4137" s="12" t="str">
        <f aca="false">IF($A4137="","",원본명단!$D4136)</f>
        <v/>
      </c>
      <c r="E4137" s="11" t="str">
        <f aca="false">IF($A4137="","",IF(원본명단!$H4136="",0,COUNTIF(원본명단!$H$3:$H$6002,원본명단!$H4136)))</f>
        <v/>
      </c>
      <c r="F4137" s="11" t="str">
        <f aca="false">IF($A4137="","",IF(원본명단!$I4136="",0,COUNTIF(원본명단!$I$3:$I$6002,원본명단!$I4136)))</f>
        <v/>
      </c>
      <c r="G4137" s="11" t="str">
        <f aca="false">IF($A4137="","",IF(원본명단!$K4136="",0,COUNTIF(원본명단!$K$3:$K$6002,원본명단!$K4136)))</f>
        <v/>
      </c>
      <c r="H4137" s="11" t="str">
        <f aca="false">IF($A4137="","",IF(MAX($E4137,$F4137,$G4137)&gt;1,"중복","-"))</f>
        <v/>
      </c>
      <c r="I4137" s="11" t="str">
        <f aca="false">IF($A4137="","",IF($H4137="-","-",IF(AND(IF(원본명단!$H4136="",TRUE(),COUNTIF(원본명단!$H$3:$H4136,원본명단!$H4136)=1),IF(원본명단!$I4136="",TRUE(),COUNTIF(원본명단!$I$3:$I4136,원본명단!$I4136)=1),IF(원본명단!$K4136="",TRUE(),COUNTIF(원본명단!$K$3:$K4136,원본명단!$K4136)=1)),"첫 건","중복 건")))</f>
        <v/>
      </c>
      <c r="J4137" s="11" t="str">
        <f aca="false">IF($A4137="","",IF($H4137="-","유지",IF($I4137="첫 건","유지","확인 필요")))</f>
        <v/>
      </c>
    </row>
    <row r="4138" customFormat="false" ht="15" hidden="false" customHeight="true" outlineLevel="0" collapsed="false">
      <c r="A4138" s="11" t="str">
        <f aca="false">IF(원본명단!$A4137="","",4135)</f>
        <v/>
      </c>
      <c r="B4138" s="12" t="str">
        <f aca="false">IF($A4138="","",원본명단!$A4137)</f>
        <v/>
      </c>
      <c r="C4138" s="12" t="str">
        <f aca="false">IF($A4138="","",원본명단!$B4137)</f>
        <v/>
      </c>
      <c r="D4138" s="12" t="str">
        <f aca="false">IF($A4138="","",원본명단!$D4137)</f>
        <v/>
      </c>
      <c r="E4138" s="11" t="str">
        <f aca="false">IF($A4138="","",IF(원본명단!$H4137="",0,COUNTIF(원본명단!$H$3:$H$6002,원본명단!$H4137)))</f>
        <v/>
      </c>
      <c r="F4138" s="11" t="str">
        <f aca="false">IF($A4138="","",IF(원본명단!$I4137="",0,COUNTIF(원본명단!$I$3:$I$6002,원본명단!$I4137)))</f>
        <v/>
      </c>
      <c r="G4138" s="11" t="str">
        <f aca="false">IF($A4138="","",IF(원본명단!$K4137="",0,COUNTIF(원본명단!$K$3:$K$6002,원본명단!$K4137)))</f>
        <v/>
      </c>
      <c r="H4138" s="11" t="str">
        <f aca="false">IF($A4138="","",IF(MAX($E4138,$F4138,$G4138)&gt;1,"중복","-"))</f>
        <v/>
      </c>
      <c r="I4138" s="11" t="str">
        <f aca="false">IF($A4138="","",IF($H4138="-","-",IF(AND(IF(원본명단!$H4137="",TRUE(),COUNTIF(원본명단!$H$3:$H4137,원본명단!$H4137)=1),IF(원본명단!$I4137="",TRUE(),COUNTIF(원본명단!$I$3:$I4137,원본명단!$I4137)=1),IF(원본명단!$K4137="",TRUE(),COUNTIF(원본명단!$K$3:$K4137,원본명단!$K4137)=1)),"첫 건","중복 건")))</f>
        <v/>
      </c>
      <c r="J4138" s="11" t="str">
        <f aca="false">IF($A4138="","",IF($H4138="-","유지",IF($I4138="첫 건","유지","확인 필요")))</f>
        <v/>
      </c>
    </row>
    <row r="4139" customFormat="false" ht="15" hidden="false" customHeight="true" outlineLevel="0" collapsed="false">
      <c r="A4139" s="11" t="str">
        <f aca="false">IF(원본명단!$A4138="","",4136)</f>
        <v/>
      </c>
      <c r="B4139" s="12" t="str">
        <f aca="false">IF($A4139="","",원본명단!$A4138)</f>
        <v/>
      </c>
      <c r="C4139" s="12" t="str">
        <f aca="false">IF($A4139="","",원본명단!$B4138)</f>
        <v/>
      </c>
      <c r="D4139" s="12" t="str">
        <f aca="false">IF($A4139="","",원본명단!$D4138)</f>
        <v/>
      </c>
      <c r="E4139" s="11" t="str">
        <f aca="false">IF($A4139="","",IF(원본명단!$H4138="",0,COUNTIF(원본명단!$H$3:$H$6002,원본명단!$H4138)))</f>
        <v/>
      </c>
      <c r="F4139" s="11" t="str">
        <f aca="false">IF($A4139="","",IF(원본명단!$I4138="",0,COUNTIF(원본명단!$I$3:$I$6002,원본명단!$I4138)))</f>
        <v/>
      </c>
      <c r="G4139" s="11" t="str">
        <f aca="false">IF($A4139="","",IF(원본명단!$K4138="",0,COUNTIF(원본명단!$K$3:$K$6002,원본명단!$K4138)))</f>
        <v/>
      </c>
      <c r="H4139" s="11" t="str">
        <f aca="false">IF($A4139="","",IF(MAX($E4139,$F4139,$G4139)&gt;1,"중복","-"))</f>
        <v/>
      </c>
      <c r="I4139" s="11" t="str">
        <f aca="false">IF($A4139="","",IF($H4139="-","-",IF(AND(IF(원본명단!$H4138="",TRUE(),COUNTIF(원본명단!$H$3:$H4138,원본명단!$H4138)=1),IF(원본명단!$I4138="",TRUE(),COUNTIF(원본명단!$I$3:$I4138,원본명단!$I4138)=1),IF(원본명단!$K4138="",TRUE(),COUNTIF(원본명단!$K$3:$K4138,원본명단!$K4138)=1)),"첫 건","중복 건")))</f>
        <v/>
      </c>
      <c r="J4139" s="11" t="str">
        <f aca="false">IF($A4139="","",IF($H4139="-","유지",IF($I4139="첫 건","유지","확인 필요")))</f>
        <v/>
      </c>
    </row>
    <row r="4140" customFormat="false" ht="15" hidden="false" customHeight="true" outlineLevel="0" collapsed="false">
      <c r="A4140" s="11" t="str">
        <f aca="false">IF(원본명단!$A4139="","",4137)</f>
        <v/>
      </c>
      <c r="B4140" s="12" t="str">
        <f aca="false">IF($A4140="","",원본명단!$A4139)</f>
        <v/>
      </c>
      <c r="C4140" s="12" t="str">
        <f aca="false">IF($A4140="","",원본명단!$B4139)</f>
        <v/>
      </c>
      <c r="D4140" s="12" t="str">
        <f aca="false">IF($A4140="","",원본명단!$D4139)</f>
        <v/>
      </c>
      <c r="E4140" s="11" t="str">
        <f aca="false">IF($A4140="","",IF(원본명단!$H4139="",0,COUNTIF(원본명단!$H$3:$H$6002,원본명단!$H4139)))</f>
        <v/>
      </c>
      <c r="F4140" s="11" t="str">
        <f aca="false">IF($A4140="","",IF(원본명단!$I4139="",0,COUNTIF(원본명단!$I$3:$I$6002,원본명단!$I4139)))</f>
        <v/>
      </c>
      <c r="G4140" s="11" t="str">
        <f aca="false">IF($A4140="","",IF(원본명단!$K4139="",0,COUNTIF(원본명단!$K$3:$K$6002,원본명단!$K4139)))</f>
        <v/>
      </c>
      <c r="H4140" s="11" t="str">
        <f aca="false">IF($A4140="","",IF(MAX($E4140,$F4140,$G4140)&gt;1,"중복","-"))</f>
        <v/>
      </c>
      <c r="I4140" s="11" t="str">
        <f aca="false">IF($A4140="","",IF($H4140="-","-",IF(AND(IF(원본명단!$H4139="",TRUE(),COUNTIF(원본명단!$H$3:$H4139,원본명단!$H4139)=1),IF(원본명단!$I4139="",TRUE(),COUNTIF(원본명단!$I$3:$I4139,원본명단!$I4139)=1),IF(원본명단!$K4139="",TRUE(),COUNTIF(원본명단!$K$3:$K4139,원본명단!$K4139)=1)),"첫 건","중복 건")))</f>
        <v/>
      </c>
      <c r="J4140" s="11" t="str">
        <f aca="false">IF($A4140="","",IF($H4140="-","유지",IF($I4140="첫 건","유지","확인 필요")))</f>
        <v/>
      </c>
    </row>
    <row r="4141" customFormat="false" ht="15" hidden="false" customHeight="true" outlineLevel="0" collapsed="false">
      <c r="A4141" s="11" t="str">
        <f aca="false">IF(원본명단!$A4140="","",4138)</f>
        <v/>
      </c>
      <c r="B4141" s="12" t="str">
        <f aca="false">IF($A4141="","",원본명단!$A4140)</f>
        <v/>
      </c>
      <c r="C4141" s="12" t="str">
        <f aca="false">IF($A4141="","",원본명단!$B4140)</f>
        <v/>
      </c>
      <c r="D4141" s="12" t="str">
        <f aca="false">IF($A4141="","",원본명단!$D4140)</f>
        <v/>
      </c>
      <c r="E4141" s="11" t="str">
        <f aca="false">IF($A4141="","",IF(원본명단!$H4140="",0,COUNTIF(원본명단!$H$3:$H$6002,원본명단!$H4140)))</f>
        <v/>
      </c>
      <c r="F4141" s="11" t="str">
        <f aca="false">IF($A4141="","",IF(원본명단!$I4140="",0,COUNTIF(원본명단!$I$3:$I$6002,원본명단!$I4140)))</f>
        <v/>
      </c>
      <c r="G4141" s="11" t="str">
        <f aca="false">IF($A4141="","",IF(원본명단!$K4140="",0,COUNTIF(원본명단!$K$3:$K$6002,원본명단!$K4140)))</f>
        <v/>
      </c>
      <c r="H4141" s="11" t="str">
        <f aca="false">IF($A4141="","",IF(MAX($E4141,$F4141,$G4141)&gt;1,"중복","-"))</f>
        <v/>
      </c>
      <c r="I4141" s="11" t="str">
        <f aca="false">IF($A4141="","",IF($H4141="-","-",IF(AND(IF(원본명단!$H4140="",TRUE(),COUNTIF(원본명단!$H$3:$H4140,원본명단!$H4140)=1),IF(원본명단!$I4140="",TRUE(),COUNTIF(원본명단!$I$3:$I4140,원본명단!$I4140)=1),IF(원본명단!$K4140="",TRUE(),COUNTIF(원본명단!$K$3:$K4140,원본명단!$K4140)=1)),"첫 건","중복 건")))</f>
        <v/>
      </c>
      <c r="J4141" s="11" t="str">
        <f aca="false">IF($A4141="","",IF($H4141="-","유지",IF($I4141="첫 건","유지","확인 필요")))</f>
        <v/>
      </c>
    </row>
    <row r="4142" customFormat="false" ht="15" hidden="false" customHeight="true" outlineLevel="0" collapsed="false">
      <c r="A4142" s="11" t="str">
        <f aca="false">IF(원본명단!$A4141="","",4139)</f>
        <v/>
      </c>
      <c r="B4142" s="12" t="str">
        <f aca="false">IF($A4142="","",원본명단!$A4141)</f>
        <v/>
      </c>
      <c r="C4142" s="12" t="str">
        <f aca="false">IF($A4142="","",원본명단!$B4141)</f>
        <v/>
      </c>
      <c r="D4142" s="12" t="str">
        <f aca="false">IF($A4142="","",원본명단!$D4141)</f>
        <v/>
      </c>
      <c r="E4142" s="11" t="str">
        <f aca="false">IF($A4142="","",IF(원본명단!$H4141="",0,COUNTIF(원본명단!$H$3:$H$6002,원본명단!$H4141)))</f>
        <v/>
      </c>
      <c r="F4142" s="11" t="str">
        <f aca="false">IF($A4142="","",IF(원본명단!$I4141="",0,COUNTIF(원본명단!$I$3:$I$6002,원본명단!$I4141)))</f>
        <v/>
      </c>
      <c r="G4142" s="11" t="str">
        <f aca="false">IF($A4142="","",IF(원본명단!$K4141="",0,COUNTIF(원본명단!$K$3:$K$6002,원본명단!$K4141)))</f>
        <v/>
      </c>
      <c r="H4142" s="11" t="str">
        <f aca="false">IF($A4142="","",IF(MAX($E4142,$F4142,$G4142)&gt;1,"중복","-"))</f>
        <v/>
      </c>
      <c r="I4142" s="11" t="str">
        <f aca="false">IF($A4142="","",IF($H4142="-","-",IF(AND(IF(원본명단!$H4141="",TRUE(),COUNTIF(원본명단!$H$3:$H4141,원본명단!$H4141)=1),IF(원본명단!$I4141="",TRUE(),COUNTIF(원본명단!$I$3:$I4141,원본명단!$I4141)=1),IF(원본명단!$K4141="",TRUE(),COUNTIF(원본명단!$K$3:$K4141,원본명단!$K4141)=1)),"첫 건","중복 건")))</f>
        <v/>
      </c>
      <c r="J4142" s="11" t="str">
        <f aca="false">IF($A4142="","",IF($H4142="-","유지",IF($I4142="첫 건","유지","확인 필요")))</f>
        <v/>
      </c>
    </row>
    <row r="4143" customFormat="false" ht="15" hidden="false" customHeight="true" outlineLevel="0" collapsed="false">
      <c r="A4143" s="11" t="str">
        <f aca="false">IF(원본명단!$A4142="","",4140)</f>
        <v/>
      </c>
      <c r="B4143" s="12" t="str">
        <f aca="false">IF($A4143="","",원본명단!$A4142)</f>
        <v/>
      </c>
      <c r="C4143" s="12" t="str">
        <f aca="false">IF($A4143="","",원본명단!$B4142)</f>
        <v/>
      </c>
      <c r="D4143" s="12" t="str">
        <f aca="false">IF($A4143="","",원본명단!$D4142)</f>
        <v/>
      </c>
      <c r="E4143" s="11" t="str">
        <f aca="false">IF($A4143="","",IF(원본명단!$H4142="",0,COUNTIF(원본명단!$H$3:$H$6002,원본명단!$H4142)))</f>
        <v/>
      </c>
      <c r="F4143" s="11" t="str">
        <f aca="false">IF($A4143="","",IF(원본명단!$I4142="",0,COUNTIF(원본명단!$I$3:$I$6002,원본명단!$I4142)))</f>
        <v/>
      </c>
      <c r="G4143" s="11" t="str">
        <f aca="false">IF($A4143="","",IF(원본명단!$K4142="",0,COUNTIF(원본명단!$K$3:$K$6002,원본명단!$K4142)))</f>
        <v/>
      </c>
      <c r="H4143" s="11" t="str">
        <f aca="false">IF($A4143="","",IF(MAX($E4143,$F4143,$G4143)&gt;1,"중복","-"))</f>
        <v/>
      </c>
      <c r="I4143" s="11" t="str">
        <f aca="false">IF($A4143="","",IF($H4143="-","-",IF(AND(IF(원본명단!$H4142="",TRUE(),COUNTIF(원본명단!$H$3:$H4142,원본명단!$H4142)=1),IF(원본명단!$I4142="",TRUE(),COUNTIF(원본명단!$I$3:$I4142,원본명단!$I4142)=1),IF(원본명단!$K4142="",TRUE(),COUNTIF(원본명단!$K$3:$K4142,원본명단!$K4142)=1)),"첫 건","중복 건")))</f>
        <v/>
      </c>
      <c r="J4143" s="11" t="str">
        <f aca="false">IF($A4143="","",IF($H4143="-","유지",IF($I4143="첫 건","유지","확인 필요")))</f>
        <v/>
      </c>
    </row>
    <row r="4144" customFormat="false" ht="15" hidden="false" customHeight="true" outlineLevel="0" collapsed="false">
      <c r="A4144" s="11" t="str">
        <f aca="false">IF(원본명단!$A4143="","",4141)</f>
        <v/>
      </c>
      <c r="B4144" s="12" t="str">
        <f aca="false">IF($A4144="","",원본명단!$A4143)</f>
        <v/>
      </c>
      <c r="C4144" s="12" t="str">
        <f aca="false">IF($A4144="","",원본명단!$B4143)</f>
        <v/>
      </c>
      <c r="D4144" s="12" t="str">
        <f aca="false">IF($A4144="","",원본명단!$D4143)</f>
        <v/>
      </c>
      <c r="E4144" s="11" t="str">
        <f aca="false">IF($A4144="","",IF(원본명단!$H4143="",0,COUNTIF(원본명단!$H$3:$H$6002,원본명단!$H4143)))</f>
        <v/>
      </c>
      <c r="F4144" s="11" t="str">
        <f aca="false">IF($A4144="","",IF(원본명단!$I4143="",0,COUNTIF(원본명단!$I$3:$I$6002,원본명단!$I4143)))</f>
        <v/>
      </c>
      <c r="G4144" s="11" t="str">
        <f aca="false">IF($A4144="","",IF(원본명단!$K4143="",0,COUNTIF(원본명단!$K$3:$K$6002,원본명단!$K4143)))</f>
        <v/>
      </c>
      <c r="H4144" s="11" t="str">
        <f aca="false">IF($A4144="","",IF(MAX($E4144,$F4144,$G4144)&gt;1,"중복","-"))</f>
        <v/>
      </c>
      <c r="I4144" s="11" t="str">
        <f aca="false">IF($A4144="","",IF($H4144="-","-",IF(AND(IF(원본명단!$H4143="",TRUE(),COUNTIF(원본명단!$H$3:$H4143,원본명단!$H4143)=1),IF(원본명단!$I4143="",TRUE(),COUNTIF(원본명단!$I$3:$I4143,원본명단!$I4143)=1),IF(원본명단!$K4143="",TRUE(),COUNTIF(원본명단!$K$3:$K4143,원본명단!$K4143)=1)),"첫 건","중복 건")))</f>
        <v/>
      </c>
      <c r="J4144" s="11" t="str">
        <f aca="false">IF($A4144="","",IF($H4144="-","유지",IF($I4144="첫 건","유지","확인 필요")))</f>
        <v/>
      </c>
    </row>
    <row r="4145" customFormat="false" ht="15" hidden="false" customHeight="true" outlineLevel="0" collapsed="false">
      <c r="A4145" s="11" t="str">
        <f aca="false">IF(원본명단!$A4144="","",4142)</f>
        <v/>
      </c>
      <c r="B4145" s="12" t="str">
        <f aca="false">IF($A4145="","",원본명단!$A4144)</f>
        <v/>
      </c>
      <c r="C4145" s="12" t="str">
        <f aca="false">IF($A4145="","",원본명단!$B4144)</f>
        <v/>
      </c>
      <c r="D4145" s="12" t="str">
        <f aca="false">IF($A4145="","",원본명단!$D4144)</f>
        <v/>
      </c>
      <c r="E4145" s="11" t="str">
        <f aca="false">IF($A4145="","",IF(원본명단!$H4144="",0,COUNTIF(원본명단!$H$3:$H$6002,원본명단!$H4144)))</f>
        <v/>
      </c>
      <c r="F4145" s="11" t="str">
        <f aca="false">IF($A4145="","",IF(원본명단!$I4144="",0,COUNTIF(원본명단!$I$3:$I$6002,원본명단!$I4144)))</f>
        <v/>
      </c>
      <c r="G4145" s="11" t="str">
        <f aca="false">IF($A4145="","",IF(원본명단!$K4144="",0,COUNTIF(원본명단!$K$3:$K$6002,원본명단!$K4144)))</f>
        <v/>
      </c>
      <c r="H4145" s="11" t="str">
        <f aca="false">IF($A4145="","",IF(MAX($E4145,$F4145,$G4145)&gt;1,"중복","-"))</f>
        <v/>
      </c>
      <c r="I4145" s="11" t="str">
        <f aca="false">IF($A4145="","",IF($H4145="-","-",IF(AND(IF(원본명단!$H4144="",TRUE(),COUNTIF(원본명단!$H$3:$H4144,원본명단!$H4144)=1),IF(원본명단!$I4144="",TRUE(),COUNTIF(원본명단!$I$3:$I4144,원본명단!$I4144)=1),IF(원본명단!$K4144="",TRUE(),COUNTIF(원본명단!$K$3:$K4144,원본명단!$K4144)=1)),"첫 건","중복 건")))</f>
        <v/>
      </c>
      <c r="J4145" s="11" t="str">
        <f aca="false">IF($A4145="","",IF($H4145="-","유지",IF($I4145="첫 건","유지","확인 필요")))</f>
        <v/>
      </c>
    </row>
    <row r="4146" customFormat="false" ht="15" hidden="false" customHeight="true" outlineLevel="0" collapsed="false">
      <c r="A4146" s="11" t="str">
        <f aca="false">IF(원본명단!$A4145="","",4143)</f>
        <v/>
      </c>
      <c r="B4146" s="12" t="str">
        <f aca="false">IF($A4146="","",원본명단!$A4145)</f>
        <v/>
      </c>
      <c r="C4146" s="12" t="str">
        <f aca="false">IF($A4146="","",원본명단!$B4145)</f>
        <v/>
      </c>
      <c r="D4146" s="12" t="str">
        <f aca="false">IF($A4146="","",원본명단!$D4145)</f>
        <v/>
      </c>
      <c r="E4146" s="11" t="str">
        <f aca="false">IF($A4146="","",IF(원본명단!$H4145="",0,COUNTIF(원본명단!$H$3:$H$6002,원본명단!$H4145)))</f>
        <v/>
      </c>
      <c r="F4146" s="11" t="str">
        <f aca="false">IF($A4146="","",IF(원본명단!$I4145="",0,COUNTIF(원본명단!$I$3:$I$6002,원본명단!$I4145)))</f>
        <v/>
      </c>
      <c r="G4146" s="11" t="str">
        <f aca="false">IF($A4146="","",IF(원본명단!$K4145="",0,COUNTIF(원본명단!$K$3:$K$6002,원본명단!$K4145)))</f>
        <v/>
      </c>
      <c r="H4146" s="11" t="str">
        <f aca="false">IF($A4146="","",IF(MAX($E4146,$F4146,$G4146)&gt;1,"중복","-"))</f>
        <v/>
      </c>
      <c r="I4146" s="11" t="str">
        <f aca="false">IF($A4146="","",IF($H4146="-","-",IF(AND(IF(원본명단!$H4145="",TRUE(),COUNTIF(원본명단!$H$3:$H4145,원본명단!$H4145)=1),IF(원본명단!$I4145="",TRUE(),COUNTIF(원본명단!$I$3:$I4145,원본명단!$I4145)=1),IF(원본명단!$K4145="",TRUE(),COUNTIF(원본명단!$K$3:$K4145,원본명단!$K4145)=1)),"첫 건","중복 건")))</f>
        <v/>
      </c>
      <c r="J4146" s="11" t="str">
        <f aca="false">IF($A4146="","",IF($H4146="-","유지",IF($I4146="첫 건","유지","확인 필요")))</f>
        <v/>
      </c>
    </row>
    <row r="4147" customFormat="false" ht="15" hidden="false" customHeight="true" outlineLevel="0" collapsed="false">
      <c r="A4147" s="11" t="str">
        <f aca="false">IF(원본명단!$A4146="","",4144)</f>
        <v/>
      </c>
      <c r="B4147" s="12" t="str">
        <f aca="false">IF($A4147="","",원본명단!$A4146)</f>
        <v/>
      </c>
      <c r="C4147" s="12" t="str">
        <f aca="false">IF($A4147="","",원본명단!$B4146)</f>
        <v/>
      </c>
      <c r="D4147" s="12" t="str">
        <f aca="false">IF($A4147="","",원본명단!$D4146)</f>
        <v/>
      </c>
      <c r="E4147" s="11" t="str">
        <f aca="false">IF($A4147="","",IF(원본명단!$H4146="",0,COUNTIF(원본명단!$H$3:$H$6002,원본명단!$H4146)))</f>
        <v/>
      </c>
      <c r="F4147" s="11" t="str">
        <f aca="false">IF($A4147="","",IF(원본명단!$I4146="",0,COUNTIF(원본명단!$I$3:$I$6002,원본명단!$I4146)))</f>
        <v/>
      </c>
      <c r="G4147" s="11" t="str">
        <f aca="false">IF($A4147="","",IF(원본명단!$K4146="",0,COUNTIF(원본명단!$K$3:$K$6002,원본명단!$K4146)))</f>
        <v/>
      </c>
      <c r="H4147" s="11" t="str">
        <f aca="false">IF($A4147="","",IF(MAX($E4147,$F4147,$G4147)&gt;1,"중복","-"))</f>
        <v/>
      </c>
      <c r="I4147" s="11" t="str">
        <f aca="false">IF($A4147="","",IF($H4147="-","-",IF(AND(IF(원본명단!$H4146="",TRUE(),COUNTIF(원본명단!$H$3:$H4146,원본명단!$H4146)=1),IF(원본명단!$I4146="",TRUE(),COUNTIF(원본명단!$I$3:$I4146,원본명단!$I4146)=1),IF(원본명단!$K4146="",TRUE(),COUNTIF(원본명단!$K$3:$K4146,원본명단!$K4146)=1)),"첫 건","중복 건")))</f>
        <v/>
      </c>
      <c r="J4147" s="11" t="str">
        <f aca="false">IF($A4147="","",IF($H4147="-","유지",IF($I4147="첫 건","유지","확인 필요")))</f>
        <v/>
      </c>
    </row>
    <row r="4148" customFormat="false" ht="15" hidden="false" customHeight="true" outlineLevel="0" collapsed="false">
      <c r="A4148" s="11" t="str">
        <f aca="false">IF(원본명단!$A4147="","",4145)</f>
        <v/>
      </c>
      <c r="B4148" s="12" t="str">
        <f aca="false">IF($A4148="","",원본명단!$A4147)</f>
        <v/>
      </c>
      <c r="C4148" s="12" t="str">
        <f aca="false">IF($A4148="","",원본명단!$B4147)</f>
        <v/>
      </c>
      <c r="D4148" s="12" t="str">
        <f aca="false">IF($A4148="","",원본명단!$D4147)</f>
        <v/>
      </c>
      <c r="E4148" s="11" t="str">
        <f aca="false">IF($A4148="","",IF(원본명단!$H4147="",0,COUNTIF(원본명단!$H$3:$H$6002,원본명단!$H4147)))</f>
        <v/>
      </c>
      <c r="F4148" s="11" t="str">
        <f aca="false">IF($A4148="","",IF(원본명단!$I4147="",0,COUNTIF(원본명단!$I$3:$I$6002,원본명단!$I4147)))</f>
        <v/>
      </c>
      <c r="G4148" s="11" t="str">
        <f aca="false">IF($A4148="","",IF(원본명단!$K4147="",0,COUNTIF(원본명단!$K$3:$K$6002,원본명단!$K4147)))</f>
        <v/>
      </c>
      <c r="H4148" s="11" t="str">
        <f aca="false">IF($A4148="","",IF(MAX($E4148,$F4148,$G4148)&gt;1,"중복","-"))</f>
        <v/>
      </c>
      <c r="I4148" s="11" t="str">
        <f aca="false">IF($A4148="","",IF($H4148="-","-",IF(AND(IF(원본명단!$H4147="",TRUE(),COUNTIF(원본명단!$H$3:$H4147,원본명단!$H4147)=1),IF(원본명단!$I4147="",TRUE(),COUNTIF(원본명단!$I$3:$I4147,원본명단!$I4147)=1),IF(원본명단!$K4147="",TRUE(),COUNTIF(원본명단!$K$3:$K4147,원본명단!$K4147)=1)),"첫 건","중복 건")))</f>
        <v/>
      </c>
      <c r="J4148" s="11" t="str">
        <f aca="false">IF($A4148="","",IF($H4148="-","유지",IF($I4148="첫 건","유지","확인 필요")))</f>
        <v/>
      </c>
    </row>
    <row r="4149" customFormat="false" ht="15" hidden="false" customHeight="true" outlineLevel="0" collapsed="false">
      <c r="A4149" s="11" t="str">
        <f aca="false">IF(원본명단!$A4148="","",4146)</f>
        <v/>
      </c>
      <c r="B4149" s="12" t="str">
        <f aca="false">IF($A4149="","",원본명단!$A4148)</f>
        <v/>
      </c>
      <c r="C4149" s="12" t="str">
        <f aca="false">IF($A4149="","",원본명단!$B4148)</f>
        <v/>
      </c>
      <c r="D4149" s="12" t="str">
        <f aca="false">IF($A4149="","",원본명단!$D4148)</f>
        <v/>
      </c>
      <c r="E4149" s="11" t="str">
        <f aca="false">IF($A4149="","",IF(원본명단!$H4148="",0,COUNTIF(원본명단!$H$3:$H$6002,원본명단!$H4148)))</f>
        <v/>
      </c>
      <c r="F4149" s="11" t="str">
        <f aca="false">IF($A4149="","",IF(원본명단!$I4148="",0,COUNTIF(원본명단!$I$3:$I$6002,원본명단!$I4148)))</f>
        <v/>
      </c>
      <c r="G4149" s="11" t="str">
        <f aca="false">IF($A4149="","",IF(원본명단!$K4148="",0,COUNTIF(원본명단!$K$3:$K$6002,원본명단!$K4148)))</f>
        <v/>
      </c>
      <c r="H4149" s="11" t="str">
        <f aca="false">IF($A4149="","",IF(MAX($E4149,$F4149,$G4149)&gt;1,"중복","-"))</f>
        <v/>
      </c>
      <c r="I4149" s="11" t="str">
        <f aca="false">IF($A4149="","",IF($H4149="-","-",IF(AND(IF(원본명단!$H4148="",TRUE(),COUNTIF(원본명단!$H$3:$H4148,원본명단!$H4148)=1),IF(원본명단!$I4148="",TRUE(),COUNTIF(원본명단!$I$3:$I4148,원본명단!$I4148)=1),IF(원본명단!$K4148="",TRUE(),COUNTIF(원본명단!$K$3:$K4148,원본명단!$K4148)=1)),"첫 건","중복 건")))</f>
        <v/>
      </c>
      <c r="J4149" s="11" t="str">
        <f aca="false">IF($A4149="","",IF($H4149="-","유지",IF($I4149="첫 건","유지","확인 필요")))</f>
        <v/>
      </c>
    </row>
    <row r="4150" customFormat="false" ht="15" hidden="false" customHeight="true" outlineLevel="0" collapsed="false">
      <c r="A4150" s="11" t="str">
        <f aca="false">IF(원본명단!$A4149="","",4147)</f>
        <v/>
      </c>
      <c r="B4150" s="12" t="str">
        <f aca="false">IF($A4150="","",원본명단!$A4149)</f>
        <v/>
      </c>
      <c r="C4150" s="12" t="str">
        <f aca="false">IF($A4150="","",원본명단!$B4149)</f>
        <v/>
      </c>
      <c r="D4150" s="12" t="str">
        <f aca="false">IF($A4150="","",원본명단!$D4149)</f>
        <v/>
      </c>
      <c r="E4150" s="11" t="str">
        <f aca="false">IF($A4150="","",IF(원본명단!$H4149="",0,COUNTIF(원본명단!$H$3:$H$6002,원본명단!$H4149)))</f>
        <v/>
      </c>
      <c r="F4150" s="11" t="str">
        <f aca="false">IF($A4150="","",IF(원본명단!$I4149="",0,COUNTIF(원본명단!$I$3:$I$6002,원본명단!$I4149)))</f>
        <v/>
      </c>
      <c r="G4150" s="11" t="str">
        <f aca="false">IF($A4150="","",IF(원본명단!$K4149="",0,COUNTIF(원본명단!$K$3:$K$6002,원본명단!$K4149)))</f>
        <v/>
      </c>
      <c r="H4150" s="11" t="str">
        <f aca="false">IF($A4150="","",IF(MAX($E4150,$F4150,$G4150)&gt;1,"중복","-"))</f>
        <v/>
      </c>
      <c r="I4150" s="11" t="str">
        <f aca="false">IF($A4150="","",IF($H4150="-","-",IF(AND(IF(원본명단!$H4149="",TRUE(),COUNTIF(원본명단!$H$3:$H4149,원본명단!$H4149)=1),IF(원본명단!$I4149="",TRUE(),COUNTIF(원본명단!$I$3:$I4149,원본명단!$I4149)=1),IF(원본명단!$K4149="",TRUE(),COUNTIF(원본명단!$K$3:$K4149,원본명단!$K4149)=1)),"첫 건","중복 건")))</f>
        <v/>
      </c>
      <c r="J4150" s="11" t="str">
        <f aca="false">IF($A4150="","",IF($H4150="-","유지",IF($I4150="첫 건","유지","확인 필요")))</f>
        <v/>
      </c>
    </row>
    <row r="4151" customFormat="false" ht="15" hidden="false" customHeight="true" outlineLevel="0" collapsed="false">
      <c r="A4151" s="11" t="str">
        <f aca="false">IF(원본명단!$A4150="","",4148)</f>
        <v/>
      </c>
      <c r="B4151" s="12" t="str">
        <f aca="false">IF($A4151="","",원본명단!$A4150)</f>
        <v/>
      </c>
      <c r="C4151" s="12" t="str">
        <f aca="false">IF($A4151="","",원본명단!$B4150)</f>
        <v/>
      </c>
      <c r="D4151" s="12" t="str">
        <f aca="false">IF($A4151="","",원본명단!$D4150)</f>
        <v/>
      </c>
      <c r="E4151" s="11" t="str">
        <f aca="false">IF($A4151="","",IF(원본명단!$H4150="",0,COUNTIF(원본명단!$H$3:$H$6002,원본명단!$H4150)))</f>
        <v/>
      </c>
      <c r="F4151" s="11" t="str">
        <f aca="false">IF($A4151="","",IF(원본명단!$I4150="",0,COUNTIF(원본명단!$I$3:$I$6002,원본명단!$I4150)))</f>
        <v/>
      </c>
      <c r="G4151" s="11" t="str">
        <f aca="false">IF($A4151="","",IF(원본명단!$K4150="",0,COUNTIF(원본명단!$K$3:$K$6002,원본명단!$K4150)))</f>
        <v/>
      </c>
      <c r="H4151" s="11" t="str">
        <f aca="false">IF($A4151="","",IF(MAX($E4151,$F4151,$G4151)&gt;1,"중복","-"))</f>
        <v/>
      </c>
      <c r="I4151" s="11" t="str">
        <f aca="false">IF($A4151="","",IF($H4151="-","-",IF(AND(IF(원본명단!$H4150="",TRUE(),COUNTIF(원본명단!$H$3:$H4150,원본명단!$H4150)=1),IF(원본명단!$I4150="",TRUE(),COUNTIF(원본명단!$I$3:$I4150,원본명단!$I4150)=1),IF(원본명단!$K4150="",TRUE(),COUNTIF(원본명단!$K$3:$K4150,원본명단!$K4150)=1)),"첫 건","중복 건")))</f>
        <v/>
      </c>
      <c r="J4151" s="11" t="str">
        <f aca="false">IF($A4151="","",IF($H4151="-","유지",IF($I4151="첫 건","유지","확인 필요")))</f>
        <v/>
      </c>
    </row>
    <row r="4152" customFormat="false" ht="15" hidden="false" customHeight="true" outlineLevel="0" collapsed="false">
      <c r="A4152" s="11" t="str">
        <f aca="false">IF(원본명단!$A4151="","",4149)</f>
        <v/>
      </c>
      <c r="B4152" s="12" t="str">
        <f aca="false">IF($A4152="","",원본명단!$A4151)</f>
        <v/>
      </c>
      <c r="C4152" s="12" t="str">
        <f aca="false">IF($A4152="","",원본명단!$B4151)</f>
        <v/>
      </c>
      <c r="D4152" s="12" t="str">
        <f aca="false">IF($A4152="","",원본명단!$D4151)</f>
        <v/>
      </c>
      <c r="E4152" s="11" t="str">
        <f aca="false">IF($A4152="","",IF(원본명단!$H4151="",0,COUNTIF(원본명단!$H$3:$H$6002,원본명단!$H4151)))</f>
        <v/>
      </c>
      <c r="F4152" s="11" t="str">
        <f aca="false">IF($A4152="","",IF(원본명단!$I4151="",0,COUNTIF(원본명단!$I$3:$I$6002,원본명단!$I4151)))</f>
        <v/>
      </c>
      <c r="G4152" s="11" t="str">
        <f aca="false">IF($A4152="","",IF(원본명단!$K4151="",0,COUNTIF(원본명단!$K$3:$K$6002,원본명단!$K4151)))</f>
        <v/>
      </c>
      <c r="H4152" s="11" t="str">
        <f aca="false">IF($A4152="","",IF(MAX($E4152,$F4152,$G4152)&gt;1,"중복","-"))</f>
        <v/>
      </c>
      <c r="I4152" s="11" t="str">
        <f aca="false">IF($A4152="","",IF($H4152="-","-",IF(AND(IF(원본명단!$H4151="",TRUE(),COUNTIF(원본명단!$H$3:$H4151,원본명단!$H4151)=1),IF(원본명단!$I4151="",TRUE(),COUNTIF(원본명단!$I$3:$I4151,원본명단!$I4151)=1),IF(원본명단!$K4151="",TRUE(),COUNTIF(원본명단!$K$3:$K4151,원본명단!$K4151)=1)),"첫 건","중복 건")))</f>
        <v/>
      </c>
      <c r="J4152" s="11" t="str">
        <f aca="false">IF($A4152="","",IF($H4152="-","유지",IF($I4152="첫 건","유지","확인 필요")))</f>
        <v/>
      </c>
    </row>
    <row r="4153" customFormat="false" ht="15" hidden="false" customHeight="true" outlineLevel="0" collapsed="false">
      <c r="A4153" s="11" t="str">
        <f aca="false">IF(원본명단!$A4152="","",4150)</f>
        <v/>
      </c>
      <c r="B4153" s="12" t="str">
        <f aca="false">IF($A4153="","",원본명단!$A4152)</f>
        <v/>
      </c>
      <c r="C4153" s="12" t="str">
        <f aca="false">IF($A4153="","",원본명단!$B4152)</f>
        <v/>
      </c>
      <c r="D4153" s="12" t="str">
        <f aca="false">IF($A4153="","",원본명단!$D4152)</f>
        <v/>
      </c>
      <c r="E4153" s="11" t="str">
        <f aca="false">IF($A4153="","",IF(원본명단!$H4152="",0,COUNTIF(원본명단!$H$3:$H$6002,원본명단!$H4152)))</f>
        <v/>
      </c>
      <c r="F4153" s="11" t="str">
        <f aca="false">IF($A4153="","",IF(원본명단!$I4152="",0,COUNTIF(원본명단!$I$3:$I$6002,원본명단!$I4152)))</f>
        <v/>
      </c>
      <c r="G4153" s="11" t="str">
        <f aca="false">IF($A4153="","",IF(원본명단!$K4152="",0,COUNTIF(원본명단!$K$3:$K$6002,원본명단!$K4152)))</f>
        <v/>
      </c>
      <c r="H4153" s="11" t="str">
        <f aca="false">IF($A4153="","",IF(MAX($E4153,$F4153,$G4153)&gt;1,"중복","-"))</f>
        <v/>
      </c>
      <c r="I4153" s="11" t="str">
        <f aca="false">IF($A4153="","",IF($H4153="-","-",IF(AND(IF(원본명단!$H4152="",TRUE(),COUNTIF(원본명단!$H$3:$H4152,원본명단!$H4152)=1),IF(원본명단!$I4152="",TRUE(),COUNTIF(원본명단!$I$3:$I4152,원본명단!$I4152)=1),IF(원본명단!$K4152="",TRUE(),COUNTIF(원본명단!$K$3:$K4152,원본명단!$K4152)=1)),"첫 건","중복 건")))</f>
        <v/>
      </c>
      <c r="J4153" s="11" t="str">
        <f aca="false">IF($A4153="","",IF($H4153="-","유지",IF($I4153="첫 건","유지","확인 필요")))</f>
        <v/>
      </c>
    </row>
    <row r="4154" customFormat="false" ht="15" hidden="false" customHeight="true" outlineLevel="0" collapsed="false">
      <c r="A4154" s="11" t="str">
        <f aca="false">IF(원본명단!$A4153="","",4151)</f>
        <v/>
      </c>
      <c r="B4154" s="12" t="str">
        <f aca="false">IF($A4154="","",원본명단!$A4153)</f>
        <v/>
      </c>
      <c r="C4154" s="12" t="str">
        <f aca="false">IF($A4154="","",원본명단!$B4153)</f>
        <v/>
      </c>
      <c r="D4154" s="12" t="str">
        <f aca="false">IF($A4154="","",원본명단!$D4153)</f>
        <v/>
      </c>
      <c r="E4154" s="11" t="str">
        <f aca="false">IF($A4154="","",IF(원본명단!$H4153="",0,COUNTIF(원본명단!$H$3:$H$6002,원본명단!$H4153)))</f>
        <v/>
      </c>
      <c r="F4154" s="11" t="str">
        <f aca="false">IF($A4154="","",IF(원본명단!$I4153="",0,COUNTIF(원본명단!$I$3:$I$6002,원본명단!$I4153)))</f>
        <v/>
      </c>
      <c r="G4154" s="11" t="str">
        <f aca="false">IF($A4154="","",IF(원본명단!$K4153="",0,COUNTIF(원본명단!$K$3:$K$6002,원본명단!$K4153)))</f>
        <v/>
      </c>
      <c r="H4154" s="11" t="str">
        <f aca="false">IF($A4154="","",IF(MAX($E4154,$F4154,$G4154)&gt;1,"중복","-"))</f>
        <v/>
      </c>
      <c r="I4154" s="11" t="str">
        <f aca="false">IF($A4154="","",IF($H4154="-","-",IF(AND(IF(원본명단!$H4153="",TRUE(),COUNTIF(원본명단!$H$3:$H4153,원본명단!$H4153)=1),IF(원본명단!$I4153="",TRUE(),COUNTIF(원본명단!$I$3:$I4153,원본명단!$I4153)=1),IF(원본명단!$K4153="",TRUE(),COUNTIF(원본명단!$K$3:$K4153,원본명단!$K4153)=1)),"첫 건","중복 건")))</f>
        <v/>
      </c>
      <c r="J4154" s="11" t="str">
        <f aca="false">IF($A4154="","",IF($H4154="-","유지",IF($I4154="첫 건","유지","확인 필요")))</f>
        <v/>
      </c>
    </row>
    <row r="4155" customFormat="false" ht="15" hidden="false" customHeight="true" outlineLevel="0" collapsed="false">
      <c r="A4155" s="11" t="str">
        <f aca="false">IF(원본명단!$A4154="","",4152)</f>
        <v/>
      </c>
      <c r="B4155" s="12" t="str">
        <f aca="false">IF($A4155="","",원본명단!$A4154)</f>
        <v/>
      </c>
      <c r="C4155" s="12" t="str">
        <f aca="false">IF($A4155="","",원본명단!$B4154)</f>
        <v/>
      </c>
      <c r="D4155" s="12" t="str">
        <f aca="false">IF($A4155="","",원본명단!$D4154)</f>
        <v/>
      </c>
      <c r="E4155" s="11" t="str">
        <f aca="false">IF($A4155="","",IF(원본명단!$H4154="",0,COUNTIF(원본명단!$H$3:$H$6002,원본명단!$H4154)))</f>
        <v/>
      </c>
      <c r="F4155" s="11" t="str">
        <f aca="false">IF($A4155="","",IF(원본명단!$I4154="",0,COUNTIF(원본명단!$I$3:$I$6002,원본명단!$I4154)))</f>
        <v/>
      </c>
      <c r="G4155" s="11" t="str">
        <f aca="false">IF($A4155="","",IF(원본명단!$K4154="",0,COUNTIF(원본명단!$K$3:$K$6002,원본명단!$K4154)))</f>
        <v/>
      </c>
      <c r="H4155" s="11" t="str">
        <f aca="false">IF($A4155="","",IF(MAX($E4155,$F4155,$G4155)&gt;1,"중복","-"))</f>
        <v/>
      </c>
      <c r="I4155" s="11" t="str">
        <f aca="false">IF($A4155="","",IF($H4155="-","-",IF(AND(IF(원본명단!$H4154="",TRUE(),COUNTIF(원본명단!$H$3:$H4154,원본명단!$H4154)=1),IF(원본명단!$I4154="",TRUE(),COUNTIF(원본명단!$I$3:$I4154,원본명단!$I4154)=1),IF(원본명단!$K4154="",TRUE(),COUNTIF(원본명단!$K$3:$K4154,원본명단!$K4154)=1)),"첫 건","중복 건")))</f>
        <v/>
      </c>
      <c r="J4155" s="11" t="str">
        <f aca="false">IF($A4155="","",IF($H4155="-","유지",IF($I4155="첫 건","유지","확인 필요")))</f>
        <v/>
      </c>
    </row>
    <row r="4156" customFormat="false" ht="15" hidden="false" customHeight="true" outlineLevel="0" collapsed="false">
      <c r="A4156" s="11" t="str">
        <f aca="false">IF(원본명단!$A4155="","",4153)</f>
        <v/>
      </c>
      <c r="B4156" s="12" t="str">
        <f aca="false">IF($A4156="","",원본명단!$A4155)</f>
        <v/>
      </c>
      <c r="C4156" s="12" t="str">
        <f aca="false">IF($A4156="","",원본명단!$B4155)</f>
        <v/>
      </c>
      <c r="D4156" s="12" t="str">
        <f aca="false">IF($A4156="","",원본명단!$D4155)</f>
        <v/>
      </c>
      <c r="E4156" s="11" t="str">
        <f aca="false">IF($A4156="","",IF(원본명단!$H4155="",0,COUNTIF(원본명단!$H$3:$H$6002,원본명단!$H4155)))</f>
        <v/>
      </c>
      <c r="F4156" s="11" t="str">
        <f aca="false">IF($A4156="","",IF(원본명단!$I4155="",0,COUNTIF(원본명단!$I$3:$I$6002,원본명단!$I4155)))</f>
        <v/>
      </c>
      <c r="G4156" s="11" t="str">
        <f aca="false">IF($A4156="","",IF(원본명단!$K4155="",0,COUNTIF(원본명단!$K$3:$K$6002,원본명단!$K4155)))</f>
        <v/>
      </c>
      <c r="H4156" s="11" t="str">
        <f aca="false">IF($A4156="","",IF(MAX($E4156,$F4156,$G4156)&gt;1,"중복","-"))</f>
        <v/>
      </c>
      <c r="I4156" s="11" t="str">
        <f aca="false">IF($A4156="","",IF($H4156="-","-",IF(AND(IF(원본명단!$H4155="",TRUE(),COUNTIF(원본명단!$H$3:$H4155,원본명단!$H4155)=1),IF(원본명단!$I4155="",TRUE(),COUNTIF(원본명단!$I$3:$I4155,원본명단!$I4155)=1),IF(원본명단!$K4155="",TRUE(),COUNTIF(원본명단!$K$3:$K4155,원본명단!$K4155)=1)),"첫 건","중복 건")))</f>
        <v/>
      </c>
      <c r="J4156" s="11" t="str">
        <f aca="false">IF($A4156="","",IF($H4156="-","유지",IF($I4156="첫 건","유지","확인 필요")))</f>
        <v/>
      </c>
    </row>
    <row r="4157" customFormat="false" ht="15" hidden="false" customHeight="true" outlineLevel="0" collapsed="false">
      <c r="A4157" s="11" t="str">
        <f aca="false">IF(원본명단!$A4156="","",4154)</f>
        <v/>
      </c>
      <c r="B4157" s="12" t="str">
        <f aca="false">IF($A4157="","",원본명단!$A4156)</f>
        <v/>
      </c>
      <c r="C4157" s="12" t="str">
        <f aca="false">IF($A4157="","",원본명단!$B4156)</f>
        <v/>
      </c>
      <c r="D4157" s="12" t="str">
        <f aca="false">IF($A4157="","",원본명단!$D4156)</f>
        <v/>
      </c>
      <c r="E4157" s="11" t="str">
        <f aca="false">IF($A4157="","",IF(원본명단!$H4156="",0,COUNTIF(원본명단!$H$3:$H$6002,원본명단!$H4156)))</f>
        <v/>
      </c>
      <c r="F4157" s="11" t="str">
        <f aca="false">IF($A4157="","",IF(원본명단!$I4156="",0,COUNTIF(원본명단!$I$3:$I$6002,원본명단!$I4156)))</f>
        <v/>
      </c>
      <c r="G4157" s="11" t="str">
        <f aca="false">IF($A4157="","",IF(원본명단!$K4156="",0,COUNTIF(원본명단!$K$3:$K$6002,원본명단!$K4156)))</f>
        <v/>
      </c>
      <c r="H4157" s="11" t="str">
        <f aca="false">IF($A4157="","",IF(MAX($E4157,$F4157,$G4157)&gt;1,"중복","-"))</f>
        <v/>
      </c>
      <c r="I4157" s="11" t="str">
        <f aca="false">IF($A4157="","",IF($H4157="-","-",IF(AND(IF(원본명단!$H4156="",TRUE(),COUNTIF(원본명단!$H$3:$H4156,원본명단!$H4156)=1),IF(원본명단!$I4156="",TRUE(),COUNTIF(원본명단!$I$3:$I4156,원본명단!$I4156)=1),IF(원본명단!$K4156="",TRUE(),COUNTIF(원본명단!$K$3:$K4156,원본명단!$K4156)=1)),"첫 건","중복 건")))</f>
        <v/>
      </c>
      <c r="J4157" s="11" t="str">
        <f aca="false">IF($A4157="","",IF($H4157="-","유지",IF($I4157="첫 건","유지","확인 필요")))</f>
        <v/>
      </c>
    </row>
    <row r="4158" customFormat="false" ht="15" hidden="false" customHeight="true" outlineLevel="0" collapsed="false">
      <c r="A4158" s="11" t="str">
        <f aca="false">IF(원본명단!$A4157="","",4155)</f>
        <v/>
      </c>
      <c r="B4158" s="12" t="str">
        <f aca="false">IF($A4158="","",원본명단!$A4157)</f>
        <v/>
      </c>
      <c r="C4158" s="12" t="str">
        <f aca="false">IF($A4158="","",원본명단!$B4157)</f>
        <v/>
      </c>
      <c r="D4158" s="12" t="str">
        <f aca="false">IF($A4158="","",원본명단!$D4157)</f>
        <v/>
      </c>
      <c r="E4158" s="11" t="str">
        <f aca="false">IF($A4158="","",IF(원본명단!$H4157="",0,COUNTIF(원본명단!$H$3:$H$6002,원본명단!$H4157)))</f>
        <v/>
      </c>
      <c r="F4158" s="11" t="str">
        <f aca="false">IF($A4158="","",IF(원본명단!$I4157="",0,COUNTIF(원본명단!$I$3:$I$6002,원본명단!$I4157)))</f>
        <v/>
      </c>
      <c r="G4158" s="11" t="str">
        <f aca="false">IF($A4158="","",IF(원본명단!$K4157="",0,COUNTIF(원본명단!$K$3:$K$6002,원본명단!$K4157)))</f>
        <v/>
      </c>
      <c r="H4158" s="11" t="str">
        <f aca="false">IF($A4158="","",IF(MAX($E4158,$F4158,$G4158)&gt;1,"중복","-"))</f>
        <v/>
      </c>
      <c r="I4158" s="11" t="str">
        <f aca="false">IF($A4158="","",IF($H4158="-","-",IF(AND(IF(원본명단!$H4157="",TRUE(),COUNTIF(원본명단!$H$3:$H4157,원본명단!$H4157)=1),IF(원본명단!$I4157="",TRUE(),COUNTIF(원본명단!$I$3:$I4157,원본명단!$I4157)=1),IF(원본명단!$K4157="",TRUE(),COUNTIF(원본명단!$K$3:$K4157,원본명단!$K4157)=1)),"첫 건","중복 건")))</f>
        <v/>
      </c>
      <c r="J4158" s="11" t="str">
        <f aca="false">IF($A4158="","",IF($H4158="-","유지",IF($I4158="첫 건","유지","확인 필요")))</f>
        <v/>
      </c>
    </row>
    <row r="4159" customFormat="false" ht="15" hidden="false" customHeight="true" outlineLevel="0" collapsed="false">
      <c r="A4159" s="11" t="str">
        <f aca="false">IF(원본명단!$A4158="","",4156)</f>
        <v/>
      </c>
      <c r="B4159" s="12" t="str">
        <f aca="false">IF($A4159="","",원본명단!$A4158)</f>
        <v/>
      </c>
      <c r="C4159" s="12" t="str">
        <f aca="false">IF($A4159="","",원본명단!$B4158)</f>
        <v/>
      </c>
      <c r="D4159" s="12" t="str">
        <f aca="false">IF($A4159="","",원본명단!$D4158)</f>
        <v/>
      </c>
      <c r="E4159" s="11" t="str">
        <f aca="false">IF($A4159="","",IF(원본명단!$H4158="",0,COUNTIF(원본명단!$H$3:$H$6002,원본명단!$H4158)))</f>
        <v/>
      </c>
      <c r="F4159" s="11" t="str">
        <f aca="false">IF($A4159="","",IF(원본명단!$I4158="",0,COUNTIF(원본명단!$I$3:$I$6002,원본명단!$I4158)))</f>
        <v/>
      </c>
      <c r="G4159" s="11" t="str">
        <f aca="false">IF($A4159="","",IF(원본명단!$K4158="",0,COUNTIF(원본명단!$K$3:$K$6002,원본명단!$K4158)))</f>
        <v/>
      </c>
      <c r="H4159" s="11" t="str">
        <f aca="false">IF($A4159="","",IF(MAX($E4159,$F4159,$G4159)&gt;1,"중복","-"))</f>
        <v/>
      </c>
      <c r="I4159" s="11" t="str">
        <f aca="false">IF($A4159="","",IF($H4159="-","-",IF(AND(IF(원본명단!$H4158="",TRUE(),COUNTIF(원본명단!$H$3:$H4158,원본명단!$H4158)=1),IF(원본명단!$I4158="",TRUE(),COUNTIF(원본명단!$I$3:$I4158,원본명단!$I4158)=1),IF(원본명단!$K4158="",TRUE(),COUNTIF(원본명단!$K$3:$K4158,원본명단!$K4158)=1)),"첫 건","중복 건")))</f>
        <v/>
      </c>
      <c r="J4159" s="11" t="str">
        <f aca="false">IF($A4159="","",IF($H4159="-","유지",IF($I4159="첫 건","유지","확인 필요")))</f>
        <v/>
      </c>
    </row>
    <row r="4160" customFormat="false" ht="15" hidden="false" customHeight="true" outlineLevel="0" collapsed="false">
      <c r="A4160" s="11" t="str">
        <f aca="false">IF(원본명단!$A4159="","",4157)</f>
        <v/>
      </c>
      <c r="B4160" s="12" t="str">
        <f aca="false">IF($A4160="","",원본명단!$A4159)</f>
        <v/>
      </c>
      <c r="C4160" s="12" t="str">
        <f aca="false">IF($A4160="","",원본명단!$B4159)</f>
        <v/>
      </c>
      <c r="D4160" s="12" t="str">
        <f aca="false">IF($A4160="","",원본명단!$D4159)</f>
        <v/>
      </c>
      <c r="E4160" s="11" t="str">
        <f aca="false">IF($A4160="","",IF(원본명단!$H4159="",0,COUNTIF(원본명단!$H$3:$H$6002,원본명단!$H4159)))</f>
        <v/>
      </c>
      <c r="F4160" s="11" t="str">
        <f aca="false">IF($A4160="","",IF(원본명단!$I4159="",0,COUNTIF(원본명단!$I$3:$I$6002,원본명단!$I4159)))</f>
        <v/>
      </c>
      <c r="G4160" s="11" t="str">
        <f aca="false">IF($A4160="","",IF(원본명단!$K4159="",0,COUNTIF(원본명단!$K$3:$K$6002,원본명단!$K4159)))</f>
        <v/>
      </c>
      <c r="H4160" s="11" t="str">
        <f aca="false">IF($A4160="","",IF(MAX($E4160,$F4160,$G4160)&gt;1,"중복","-"))</f>
        <v/>
      </c>
      <c r="I4160" s="11" t="str">
        <f aca="false">IF($A4160="","",IF($H4160="-","-",IF(AND(IF(원본명단!$H4159="",TRUE(),COUNTIF(원본명단!$H$3:$H4159,원본명단!$H4159)=1),IF(원본명단!$I4159="",TRUE(),COUNTIF(원본명단!$I$3:$I4159,원본명단!$I4159)=1),IF(원본명단!$K4159="",TRUE(),COUNTIF(원본명단!$K$3:$K4159,원본명단!$K4159)=1)),"첫 건","중복 건")))</f>
        <v/>
      </c>
      <c r="J4160" s="11" t="str">
        <f aca="false">IF($A4160="","",IF($H4160="-","유지",IF($I4160="첫 건","유지","확인 필요")))</f>
        <v/>
      </c>
    </row>
    <row r="4161" customFormat="false" ht="15" hidden="false" customHeight="true" outlineLevel="0" collapsed="false">
      <c r="A4161" s="11" t="str">
        <f aca="false">IF(원본명단!$A4160="","",4158)</f>
        <v/>
      </c>
      <c r="B4161" s="12" t="str">
        <f aca="false">IF($A4161="","",원본명단!$A4160)</f>
        <v/>
      </c>
      <c r="C4161" s="12" t="str">
        <f aca="false">IF($A4161="","",원본명단!$B4160)</f>
        <v/>
      </c>
      <c r="D4161" s="12" t="str">
        <f aca="false">IF($A4161="","",원본명단!$D4160)</f>
        <v/>
      </c>
      <c r="E4161" s="11" t="str">
        <f aca="false">IF($A4161="","",IF(원본명단!$H4160="",0,COUNTIF(원본명단!$H$3:$H$6002,원본명단!$H4160)))</f>
        <v/>
      </c>
      <c r="F4161" s="11" t="str">
        <f aca="false">IF($A4161="","",IF(원본명단!$I4160="",0,COUNTIF(원본명단!$I$3:$I$6002,원본명단!$I4160)))</f>
        <v/>
      </c>
      <c r="G4161" s="11" t="str">
        <f aca="false">IF($A4161="","",IF(원본명단!$K4160="",0,COUNTIF(원본명단!$K$3:$K$6002,원본명단!$K4160)))</f>
        <v/>
      </c>
      <c r="H4161" s="11" t="str">
        <f aca="false">IF($A4161="","",IF(MAX($E4161,$F4161,$G4161)&gt;1,"중복","-"))</f>
        <v/>
      </c>
      <c r="I4161" s="11" t="str">
        <f aca="false">IF($A4161="","",IF($H4161="-","-",IF(AND(IF(원본명단!$H4160="",TRUE(),COUNTIF(원본명단!$H$3:$H4160,원본명단!$H4160)=1),IF(원본명단!$I4160="",TRUE(),COUNTIF(원본명단!$I$3:$I4160,원본명단!$I4160)=1),IF(원본명단!$K4160="",TRUE(),COUNTIF(원본명단!$K$3:$K4160,원본명단!$K4160)=1)),"첫 건","중복 건")))</f>
        <v/>
      </c>
      <c r="J4161" s="11" t="str">
        <f aca="false">IF($A4161="","",IF($H4161="-","유지",IF($I4161="첫 건","유지","확인 필요")))</f>
        <v/>
      </c>
    </row>
    <row r="4162" customFormat="false" ht="15" hidden="false" customHeight="true" outlineLevel="0" collapsed="false">
      <c r="A4162" s="11" t="str">
        <f aca="false">IF(원본명단!$A4161="","",4159)</f>
        <v/>
      </c>
      <c r="B4162" s="12" t="str">
        <f aca="false">IF($A4162="","",원본명단!$A4161)</f>
        <v/>
      </c>
      <c r="C4162" s="12" t="str">
        <f aca="false">IF($A4162="","",원본명단!$B4161)</f>
        <v/>
      </c>
      <c r="D4162" s="12" t="str">
        <f aca="false">IF($A4162="","",원본명단!$D4161)</f>
        <v/>
      </c>
      <c r="E4162" s="11" t="str">
        <f aca="false">IF($A4162="","",IF(원본명단!$H4161="",0,COUNTIF(원본명단!$H$3:$H$6002,원본명단!$H4161)))</f>
        <v/>
      </c>
      <c r="F4162" s="11" t="str">
        <f aca="false">IF($A4162="","",IF(원본명단!$I4161="",0,COUNTIF(원본명단!$I$3:$I$6002,원본명단!$I4161)))</f>
        <v/>
      </c>
      <c r="G4162" s="11" t="str">
        <f aca="false">IF($A4162="","",IF(원본명단!$K4161="",0,COUNTIF(원본명단!$K$3:$K$6002,원본명단!$K4161)))</f>
        <v/>
      </c>
      <c r="H4162" s="11" t="str">
        <f aca="false">IF($A4162="","",IF(MAX($E4162,$F4162,$G4162)&gt;1,"중복","-"))</f>
        <v/>
      </c>
      <c r="I4162" s="11" t="str">
        <f aca="false">IF($A4162="","",IF($H4162="-","-",IF(AND(IF(원본명단!$H4161="",TRUE(),COUNTIF(원본명단!$H$3:$H4161,원본명단!$H4161)=1),IF(원본명단!$I4161="",TRUE(),COUNTIF(원본명단!$I$3:$I4161,원본명단!$I4161)=1),IF(원본명단!$K4161="",TRUE(),COUNTIF(원본명단!$K$3:$K4161,원본명단!$K4161)=1)),"첫 건","중복 건")))</f>
        <v/>
      </c>
      <c r="J4162" s="11" t="str">
        <f aca="false">IF($A4162="","",IF($H4162="-","유지",IF($I4162="첫 건","유지","확인 필요")))</f>
        <v/>
      </c>
    </row>
    <row r="4163" customFormat="false" ht="15" hidden="false" customHeight="true" outlineLevel="0" collapsed="false">
      <c r="A4163" s="11" t="str">
        <f aca="false">IF(원본명단!$A4162="","",4160)</f>
        <v/>
      </c>
      <c r="B4163" s="12" t="str">
        <f aca="false">IF($A4163="","",원본명단!$A4162)</f>
        <v/>
      </c>
      <c r="C4163" s="12" t="str">
        <f aca="false">IF($A4163="","",원본명단!$B4162)</f>
        <v/>
      </c>
      <c r="D4163" s="12" t="str">
        <f aca="false">IF($A4163="","",원본명단!$D4162)</f>
        <v/>
      </c>
      <c r="E4163" s="11" t="str">
        <f aca="false">IF($A4163="","",IF(원본명단!$H4162="",0,COUNTIF(원본명단!$H$3:$H$6002,원본명단!$H4162)))</f>
        <v/>
      </c>
      <c r="F4163" s="11" t="str">
        <f aca="false">IF($A4163="","",IF(원본명단!$I4162="",0,COUNTIF(원본명단!$I$3:$I$6002,원본명단!$I4162)))</f>
        <v/>
      </c>
      <c r="G4163" s="11" t="str">
        <f aca="false">IF($A4163="","",IF(원본명단!$K4162="",0,COUNTIF(원본명단!$K$3:$K$6002,원본명단!$K4162)))</f>
        <v/>
      </c>
      <c r="H4163" s="11" t="str">
        <f aca="false">IF($A4163="","",IF(MAX($E4163,$F4163,$G4163)&gt;1,"중복","-"))</f>
        <v/>
      </c>
      <c r="I4163" s="11" t="str">
        <f aca="false">IF($A4163="","",IF($H4163="-","-",IF(AND(IF(원본명단!$H4162="",TRUE(),COUNTIF(원본명단!$H$3:$H4162,원본명단!$H4162)=1),IF(원본명단!$I4162="",TRUE(),COUNTIF(원본명단!$I$3:$I4162,원본명단!$I4162)=1),IF(원본명단!$K4162="",TRUE(),COUNTIF(원본명단!$K$3:$K4162,원본명단!$K4162)=1)),"첫 건","중복 건")))</f>
        <v/>
      </c>
      <c r="J4163" s="11" t="str">
        <f aca="false">IF($A4163="","",IF($H4163="-","유지",IF($I4163="첫 건","유지","확인 필요")))</f>
        <v/>
      </c>
    </row>
    <row r="4164" customFormat="false" ht="15" hidden="false" customHeight="true" outlineLevel="0" collapsed="false">
      <c r="A4164" s="11" t="str">
        <f aca="false">IF(원본명단!$A4163="","",4161)</f>
        <v/>
      </c>
      <c r="B4164" s="12" t="str">
        <f aca="false">IF($A4164="","",원본명단!$A4163)</f>
        <v/>
      </c>
      <c r="C4164" s="12" t="str">
        <f aca="false">IF($A4164="","",원본명단!$B4163)</f>
        <v/>
      </c>
      <c r="D4164" s="12" t="str">
        <f aca="false">IF($A4164="","",원본명단!$D4163)</f>
        <v/>
      </c>
      <c r="E4164" s="11" t="str">
        <f aca="false">IF($A4164="","",IF(원본명단!$H4163="",0,COUNTIF(원본명단!$H$3:$H$6002,원본명단!$H4163)))</f>
        <v/>
      </c>
      <c r="F4164" s="11" t="str">
        <f aca="false">IF($A4164="","",IF(원본명단!$I4163="",0,COUNTIF(원본명단!$I$3:$I$6002,원본명단!$I4163)))</f>
        <v/>
      </c>
      <c r="G4164" s="11" t="str">
        <f aca="false">IF($A4164="","",IF(원본명단!$K4163="",0,COUNTIF(원본명단!$K$3:$K$6002,원본명단!$K4163)))</f>
        <v/>
      </c>
      <c r="H4164" s="11" t="str">
        <f aca="false">IF($A4164="","",IF(MAX($E4164,$F4164,$G4164)&gt;1,"중복","-"))</f>
        <v/>
      </c>
      <c r="I4164" s="11" t="str">
        <f aca="false">IF($A4164="","",IF($H4164="-","-",IF(AND(IF(원본명단!$H4163="",TRUE(),COUNTIF(원본명단!$H$3:$H4163,원본명단!$H4163)=1),IF(원본명단!$I4163="",TRUE(),COUNTIF(원본명단!$I$3:$I4163,원본명단!$I4163)=1),IF(원본명단!$K4163="",TRUE(),COUNTIF(원본명단!$K$3:$K4163,원본명단!$K4163)=1)),"첫 건","중복 건")))</f>
        <v/>
      </c>
      <c r="J4164" s="11" t="str">
        <f aca="false">IF($A4164="","",IF($H4164="-","유지",IF($I4164="첫 건","유지","확인 필요")))</f>
        <v/>
      </c>
    </row>
    <row r="4165" customFormat="false" ht="15" hidden="false" customHeight="true" outlineLevel="0" collapsed="false">
      <c r="A4165" s="11" t="str">
        <f aca="false">IF(원본명단!$A4164="","",4162)</f>
        <v/>
      </c>
      <c r="B4165" s="12" t="str">
        <f aca="false">IF($A4165="","",원본명단!$A4164)</f>
        <v/>
      </c>
      <c r="C4165" s="12" t="str">
        <f aca="false">IF($A4165="","",원본명단!$B4164)</f>
        <v/>
      </c>
      <c r="D4165" s="12" t="str">
        <f aca="false">IF($A4165="","",원본명단!$D4164)</f>
        <v/>
      </c>
      <c r="E4165" s="11" t="str">
        <f aca="false">IF($A4165="","",IF(원본명단!$H4164="",0,COUNTIF(원본명단!$H$3:$H$6002,원본명단!$H4164)))</f>
        <v/>
      </c>
      <c r="F4165" s="11" t="str">
        <f aca="false">IF($A4165="","",IF(원본명단!$I4164="",0,COUNTIF(원본명단!$I$3:$I$6002,원본명단!$I4164)))</f>
        <v/>
      </c>
      <c r="G4165" s="11" t="str">
        <f aca="false">IF($A4165="","",IF(원본명단!$K4164="",0,COUNTIF(원본명단!$K$3:$K$6002,원본명단!$K4164)))</f>
        <v/>
      </c>
      <c r="H4165" s="11" t="str">
        <f aca="false">IF($A4165="","",IF(MAX($E4165,$F4165,$G4165)&gt;1,"중복","-"))</f>
        <v/>
      </c>
      <c r="I4165" s="11" t="str">
        <f aca="false">IF($A4165="","",IF($H4165="-","-",IF(AND(IF(원본명단!$H4164="",TRUE(),COUNTIF(원본명단!$H$3:$H4164,원본명단!$H4164)=1),IF(원본명단!$I4164="",TRUE(),COUNTIF(원본명단!$I$3:$I4164,원본명단!$I4164)=1),IF(원본명단!$K4164="",TRUE(),COUNTIF(원본명단!$K$3:$K4164,원본명단!$K4164)=1)),"첫 건","중복 건")))</f>
        <v/>
      </c>
      <c r="J4165" s="11" t="str">
        <f aca="false">IF($A4165="","",IF($H4165="-","유지",IF($I4165="첫 건","유지","확인 필요")))</f>
        <v/>
      </c>
    </row>
    <row r="4166" customFormat="false" ht="15" hidden="false" customHeight="true" outlineLevel="0" collapsed="false">
      <c r="A4166" s="11" t="str">
        <f aca="false">IF(원본명단!$A4165="","",4163)</f>
        <v/>
      </c>
      <c r="B4166" s="12" t="str">
        <f aca="false">IF($A4166="","",원본명단!$A4165)</f>
        <v/>
      </c>
      <c r="C4166" s="12" t="str">
        <f aca="false">IF($A4166="","",원본명단!$B4165)</f>
        <v/>
      </c>
      <c r="D4166" s="12" t="str">
        <f aca="false">IF($A4166="","",원본명단!$D4165)</f>
        <v/>
      </c>
      <c r="E4166" s="11" t="str">
        <f aca="false">IF($A4166="","",IF(원본명단!$H4165="",0,COUNTIF(원본명단!$H$3:$H$6002,원본명단!$H4165)))</f>
        <v/>
      </c>
      <c r="F4166" s="11" t="str">
        <f aca="false">IF($A4166="","",IF(원본명단!$I4165="",0,COUNTIF(원본명단!$I$3:$I$6002,원본명단!$I4165)))</f>
        <v/>
      </c>
      <c r="G4166" s="11" t="str">
        <f aca="false">IF($A4166="","",IF(원본명단!$K4165="",0,COUNTIF(원본명단!$K$3:$K$6002,원본명단!$K4165)))</f>
        <v/>
      </c>
      <c r="H4166" s="11" t="str">
        <f aca="false">IF($A4166="","",IF(MAX($E4166,$F4166,$G4166)&gt;1,"중복","-"))</f>
        <v/>
      </c>
      <c r="I4166" s="11" t="str">
        <f aca="false">IF($A4166="","",IF($H4166="-","-",IF(AND(IF(원본명단!$H4165="",TRUE(),COUNTIF(원본명단!$H$3:$H4165,원본명단!$H4165)=1),IF(원본명단!$I4165="",TRUE(),COUNTIF(원본명단!$I$3:$I4165,원본명단!$I4165)=1),IF(원본명단!$K4165="",TRUE(),COUNTIF(원본명단!$K$3:$K4165,원본명단!$K4165)=1)),"첫 건","중복 건")))</f>
        <v/>
      </c>
      <c r="J4166" s="11" t="str">
        <f aca="false">IF($A4166="","",IF($H4166="-","유지",IF($I4166="첫 건","유지","확인 필요")))</f>
        <v/>
      </c>
    </row>
    <row r="4167" customFormat="false" ht="15" hidden="false" customHeight="true" outlineLevel="0" collapsed="false">
      <c r="A4167" s="11" t="str">
        <f aca="false">IF(원본명단!$A4166="","",4164)</f>
        <v/>
      </c>
      <c r="B4167" s="12" t="str">
        <f aca="false">IF($A4167="","",원본명단!$A4166)</f>
        <v/>
      </c>
      <c r="C4167" s="12" t="str">
        <f aca="false">IF($A4167="","",원본명단!$B4166)</f>
        <v/>
      </c>
      <c r="D4167" s="12" t="str">
        <f aca="false">IF($A4167="","",원본명단!$D4166)</f>
        <v/>
      </c>
      <c r="E4167" s="11" t="str">
        <f aca="false">IF($A4167="","",IF(원본명단!$H4166="",0,COUNTIF(원본명단!$H$3:$H$6002,원본명단!$H4166)))</f>
        <v/>
      </c>
      <c r="F4167" s="11" t="str">
        <f aca="false">IF($A4167="","",IF(원본명단!$I4166="",0,COUNTIF(원본명단!$I$3:$I$6002,원본명단!$I4166)))</f>
        <v/>
      </c>
      <c r="G4167" s="11" t="str">
        <f aca="false">IF($A4167="","",IF(원본명단!$K4166="",0,COUNTIF(원본명단!$K$3:$K$6002,원본명단!$K4166)))</f>
        <v/>
      </c>
      <c r="H4167" s="11" t="str">
        <f aca="false">IF($A4167="","",IF(MAX($E4167,$F4167,$G4167)&gt;1,"중복","-"))</f>
        <v/>
      </c>
      <c r="I4167" s="11" t="str">
        <f aca="false">IF($A4167="","",IF($H4167="-","-",IF(AND(IF(원본명단!$H4166="",TRUE(),COUNTIF(원본명단!$H$3:$H4166,원본명단!$H4166)=1),IF(원본명단!$I4166="",TRUE(),COUNTIF(원본명단!$I$3:$I4166,원본명단!$I4166)=1),IF(원본명단!$K4166="",TRUE(),COUNTIF(원본명단!$K$3:$K4166,원본명단!$K4166)=1)),"첫 건","중복 건")))</f>
        <v/>
      </c>
      <c r="J4167" s="11" t="str">
        <f aca="false">IF($A4167="","",IF($H4167="-","유지",IF($I4167="첫 건","유지","확인 필요")))</f>
        <v/>
      </c>
    </row>
    <row r="4168" customFormat="false" ht="15" hidden="false" customHeight="true" outlineLevel="0" collapsed="false">
      <c r="A4168" s="11" t="str">
        <f aca="false">IF(원본명단!$A4167="","",4165)</f>
        <v/>
      </c>
      <c r="B4168" s="12" t="str">
        <f aca="false">IF($A4168="","",원본명단!$A4167)</f>
        <v/>
      </c>
      <c r="C4168" s="12" t="str">
        <f aca="false">IF($A4168="","",원본명단!$B4167)</f>
        <v/>
      </c>
      <c r="D4168" s="12" t="str">
        <f aca="false">IF($A4168="","",원본명단!$D4167)</f>
        <v/>
      </c>
      <c r="E4168" s="11" t="str">
        <f aca="false">IF($A4168="","",IF(원본명단!$H4167="",0,COUNTIF(원본명단!$H$3:$H$6002,원본명단!$H4167)))</f>
        <v/>
      </c>
      <c r="F4168" s="11" t="str">
        <f aca="false">IF($A4168="","",IF(원본명단!$I4167="",0,COUNTIF(원본명단!$I$3:$I$6002,원본명단!$I4167)))</f>
        <v/>
      </c>
      <c r="G4168" s="11" t="str">
        <f aca="false">IF($A4168="","",IF(원본명단!$K4167="",0,COUNTIF(원본명단!$K$3:$K$6002,원본명단!$K4167)))</f>
        <v/>
      </c>
      <c r="H4168" s="11" t="str">
        <f aca="false">IF($A4168="","",IF(MAX($E4168,$F4168,$G4168)&gt;1,"중복","-"))</f>
        <v/>
      </c>
      <c r="I4168" s="11" t="str">
        <f aca="false">IF($A4168="","",IF($H4168="-","-",IF(AND(IF(원본명단!$H4167="",TRUE(),COUNTIF(원본명단!$H$3:$H4167,원본명단!$H4167)=1),IF(원본명단!$I4167="",TRUE(),COUNTIF(원본명단!$I$3:$I4167,원본명단!$I4167)=1),IF(원본명단!$K4167="",TRUE(),COUNTIF(원본명단!$K$3:$K4167,원본명단!$K4167)=1)),"첫 건","중복 건")))</f>
        <v/>
      </c>
      <c r="J4168" s="11" t="str">
        <f aca="false">IF($A4168="","",IF($H4168="-","유지",IF($I4168="첫 건","유지","확인 필요")))</f>
        <v/>
      </c>
    </row>
    <row r="4169" customFormat="false" ht="15" hidden="false" customHeight="true" outlineLevel="0" collapsed="false">
      <c r="A4169" s="11" t="str">
        <f aca="false">IF(원본명단!$A4168="","",4166)</f>
        <v/>
      </c>
      <c r="B4169" s="12" t="str">
        <f aca="false">IF($A4169="","",원본명단!$A4168)</f>
        <v/>
      </c>
      <c r="C4169" s="12" t="str">
        <f aca="false">IF($A4169="","",원본명단!$B4168)</f>
        <v/>
      </c>
      <c r="D4169" s="12" t="str">
        <f aca="false">IF($A4169="","",원본명단!$D4168)</f>
        <v/>
      </c>
      <c r="E4169" s="11" t="str">
        <f aca="false">IF($A4169="","",IF(원본명단!$H4168="",0,COUNTIF(원본명단!$H$3:$H$6002,원본명단!$H4168)))</f>
        <v/>
      </c>
      <c r="F4169" s="11" t="str">
        <f aca="false">IF($A4169="","",IF(원본명단!$I4168="",0,COUNTIF(원본명단!$I$3:$I$6002,원본명단!$I4168)))</f>
        <v/>
      </c>
      <c r="G4169" s="11" t="str">
        <f aca="false">IF($A4169="","",IF(원본명단!$K4168="",0,COUNTIF(원본명단!$K$3:$K$6002,원본명단!$K4168)))</f>
        <v/>
      </c>
      <c r="H4169" s="11" t="str">
        <f aca="false">IF($A4169="","",IF(MAX($E4169,$F4169,$G4169)&gt;1,"중복","-"))</f>
        <v/>
      </c>
      <c r="I4169" s="11" t="str">
        <f aca="false">IF($A4169="","",IF($H4169="-","-",IF(AND(IF(원본명단!$H4168="",TRUE(),COUNTIF(원본명단!$H$3:$H4168,원본명단!$H4168)=1),IF(원본명단!$I4168="",TRUE(),COUNTIF(원본명단!$I$3:$I4168,원본명단!$I4168)=1),IF(원본명단!$K4168="",TRUE(),COUNTIF(원본명단!$K$3:$K4168,원본명단!$K4168)=1)),"첫 건","중복 건")))</f>
        <v/>
      </c>
      <c r="J4169" s="11" t="str">
        <f aca="false">IF($A4169="","",IF($H4169="-","유지",IF($I4169="첫 건","유지","확인 필요")))</f>
        <v/>
      </c>
    </row>
    <row r="4170" customFormat="false" ht="15" hidden="false" customHeight="true" outlineLevel="0" collapsed="false">
      <c r="A4170" s="11" t="str">
        <f aca="false">IF(원본명단!$A4169="","",4167)</f>
        <v/>
      </c>
      <c r="B4170" s="12" t="str">
        <f aca="false">IF($A4170="","",원본명단!$A4169)</f>
        <v/>
      </c>
      <c r="C4170" s="12" t="str">
        <f aca="false">IF($A4170="","",원본명단!$B4169)</f>
        <v/>
      </c>
      <c r="D4170" s="12" t="str">
        <f aca="false">IF($A4170="","",원본명단!$D4169)</f>
        <v/>
      </c>
      <c r="E4170" s="11" t="str">
        <f aca="false">IF($A4170="","",IF(원본명단!$H4169="",0,COUNTIF(원본명단!$H$3:$H$6002,원본명단!$H4169)))</f>
        <v/>
      </c>
      <c r="F4170" s="11" t="str">
        <f aca="false">IF($A4170="","",IF(원본명단!$I4169="",0,COUNTIF(원본명단!$I$3:$I$6002,원본명단!$I4169)))</f>
        <v/>
      </c>
      <c r="G4170" s="11" t="str">
        <f aca="false">IF($A4170="","",IF(원본명단!$K4169="",0,COUNTIF(원본명단!$K$3:$K$6002,원본명단!$K4169)))</f>
        <v/>
      </c>
      <c r="H4170" s="11" t="str">
        <f aca="false">IF($A4170="","",IF(MAX($E4170,$F4170,$G4170)&gt;1,"중복","-"))</f>
        <v/>
      </c>
      <c r="I4170" s="11" t="str">
        <f aca="false">IF($A4170="","",IF($H4170="-","-",IF(AND(IF(원본명단!$H4169="",TRUE(),COUNTIF(원본명단!$H$3:$H4169,원본명단!$H4169)=1),IF(원본명단!$I4169="",TRUE(),COUNTIF(원본명단!$I$3:$I4169,원본명단!$I4169)=1),IF(원본명단!$K4169="",TRUE(),COUNTIF(원본명단!$K$3:$K4169,원본명단!$K4169)=1)),"첫 건","중복 건")))</f>
        <v/>
      </c>
      <c r="J4170" s="11" t="str">
        <f aca="false">IF($A4170="","",IF($H4170="-","유지",IF($I4170="첫 건","유지","확인 필요")))</f>
        <v/>
      </c>
    </row>
    <row r="4171" customFormat="false" ht="15" hidden="false" customHeight="true" outlineLevel="0" collapsed="false">
      <c r="A4171" s="11" t="str">
        <f aca="false">IF(원본명단!$A4170="","",4168)</f>
        <v/>
      </c>
      <c r="B4171" s="12" t="str">
        <f aca="false">IF($A4171="","",원본명단!$A4170)</f>
        <v/>
      </c>
      <c r="C4171" s="12" t="str">
        <f aca="false">IF($A4171="","",원본명단!$B4170)</f>
        <v/>
      </c>
      <c r="D4171" s="12" t="str">
        <f aca="false">IF($A4171="","",원본명단!$D4170)</f>
        <v/>
      </c>
      <c r="E4171" s="11" t="str">
        <f aca="false">IF($A4171="","",IF(원본명단!$H4170="",0,COUNTIF(원본명단!$H$3:$H$6002,원본명단!$H4170)))</f>
        <v/>
      </c>
      <c r="F4171" s="11" t="str">
        <f aca="false">IF($A4171="","",IF(원본명단!$I4170="",0,COUNTIF(원본명단!$I$3:$I$6002,원본명단!$I4170)))</f>
        <v/>
      </c>
      <c r="G4171" s="11" t="str">
        <f aca="false">IF($A4171="","",IF(원본명단!$K4170="",0,COUNTIF(원본명단!$K$3:$K$6002,원본명단!$K4170)))</f>
        <v/>
      </c>
      <c r="H4171" s="11" t="str">
        <f aca="false">IF($A4171="","",IF(MAX($E4171,$F4171,$G4171)&gt;1,"중복","-"))</f>
        <v/>
      </c>
      <c r="I4171" s="11" t="str">
        <f aca="false">IF($A4171="","",IF($H4171="-","-",IF(AND(IF(원본명단!$H4170="",TRUE(),COUNTIF(원본명단!$H$3:$H4170,원본명단!$H4170)=1),IF(원본명단!$I4170="",TRUE(),COUNTIF(원본명단!$I$3:$I4170,원본명단!$I4170)=1),IF(원본명단!$K4170="",TRUE(),COUNTIF(원본명단!$K$3:$K4170,원본명단!$K4170)=1)),"첫 건","중복 건")))</f>
        <v/>
      </c>
      <c r="J4171" s="11" t="str">
        <f aca="false">IF($A4171="","",IF($H4171="-","유지",IF($I4171="첫 건","유지","확인 필요")))</f>
        <v/>
      </c>
    </row>
    <row r="4172" customFormat="false" ht="15" hidden="false" customHeight="true" outlineLevel="0" collapsed="false">
      <c r="A4172" s="11" t="str">
        <f aca="false">IF(원본명단!$A4171="","",4169)</f>
        <v/>
      </c>
      <c r="B4172" s="12" t="str">
        <f aca="false">IF($A4172="","",원본명단!$A4171)</f>
        <v/>
      </c>
      <c r="C4172" s="12" t="str">
        <f aca="false">IF($A4172="","",원본명단!$B4171)</f>
        <v/>
      </c>
      <c r="D4172" s="12" t="str">
        <f aca="false">IF($A4172="","",원본명단!$D4171)</f>
        <v/>
      </c>
      <c r="E4172" s="11" t="str">
        <f aca="false">IF($A4172="","",IF(원본명단!$H4171="",0,COUNTIF(원본명단!$H$3:$H$6002,원본명단!$H4171)))</f>
        <v/>
      </c>
      <c r="F4172" s="11" t="str">
        <f aca="false">IF($A4172="","",IF(원본명단!$I4171="",0,COUNTIF(원본명단!$I$3:$I$6002,원본명단!$I4171)))</f>
        <v/>
      </c>
      <c r="G4172" s="11" t="str">
        <f aca="false">IF($A4172="","",IF(원본명단!$K4171="",0,COUNTIF(원본명단!$K$3:$K$6002,원본명단!$K4171)))</f>
        <v/>
      </c>
      <c r="H4172" s="11" t="str">
        <f aca="false">IF($A4172="","",IF(MAX($E4172,$F4172,$G4172)&gt;1,"중복","-"))</f>
        <v/>
      </c>
      <c r="I4172" s="11" t="str">
        <f aca="false">IF($A4172="","",IF($H4172="-","-",IF(AND(IF(원본명단!$H4171="",TRUE(),COUNTIF(원본명단!$H$3:$H4171,원본명단!$H4171)=1),IF(원본명단!$I4171="",TRUE(),COUNTIF(원본명단!$I$3:$I4171,원본명단!$I4171)=1),IF(원본명단!$K4171="",TRUE(),COUNTIF(원본명단!$K$3:$K4171,원본명단!$K4171)=1)),"첫 건","중복 건")))</f>
        <v/>
      </c>
      <c r="J4172" s="11" t="str">
        <f aca="false">IF($A4172="","",IF($H4172="-","유지",IF($I4172="첫 건","유지","확인 필요")))</f>
        <v/>
      </c>
    </row>
    <row r="4173" customFormat="false" ht="15" hidden="false" customHeight="true" outlineLevel="0" collapsed="false">
      <c r="A4173" s="11" t="str">
        <f aca="false">IF(원본명단!$A4172="","",4170)</f>
        <v/>
      </c>
      <c r="B4173" s="12" t="str">
        <f aca="false">IF($A4173="","",원본명단!$A4172)</f>
        <v/>
      </c>
      <c r="C4173" s="12" t="str">
        <f aca="false">IF($A4173="","",원본명단!$B4172)</f>
        <v/>
      </c>
      <c r="D4173" s="12" t="str">
        <f aca="false">IF($A4173="","",원본명단!$D4172)</f>
        <v/>
      </c>
      <c r="E4173" s="11" t="str">
        <f aca="false">IF($A4173="","",IF(원본명단!$H4172="",0,COUNTIF(원본명단!$H$3:$H$6002,원본명단!$H4172)))</f>
        <v/>
      </c>
      <c r="F4173" s="11" t="str">
        <f aca="false">IF($A4173="","",IF(원본명단!$I4172="",0,COUNTIF(원본명단!$I$3:$I$6002,원본명단!$I4172)))</f>
        <v/>
      </c>
      <c r="G4173" s="11" t="str">
        <f aca="false">IF($A4173="","",IF(원본명단!$K4172="",0,COUNTIF(원본명단!$K$3:$K$6002,원본명단!$K4172)))</f>
        <v/>
      </c>
      <c r="H4173" s="11" t="str">
        <f aca="false">IF($A4173="","",IF(MAX($E4173,$F4173,$G4173)&gt;1,"중복","-"))</f>
        <v/>
      </c>
      <c r="I4173" s="11" t="str">
        <f aca="false">IF($A4173="","",IF($H4173="-","-",IF(AND(IF(원본명단!$H4172="",TRUE(),COUNTIF(원본명단!$H$3:$H4172,원본명단!$H4172)=1),IF(원본명단!$I4172="",TRUE(),COUNTIF(원본명단!$I$3:$I4172,원본명단!$I4172)=1),IF(원본명단!$K4172="",TRUE(),COUNTIF(원본명단!$K$3:$K4172,원본명단!$K4172)=1)),"첫 건","중복 건")))</f>
        <v/>
      </c>
      <c r="J4173" s="11" t="str">
        <f aca="false">IF($A4173="","",IF($H4173="-","유지",IF($I4173="첫 건","유지","확인 필요")))</f>
        <v/>
      </c>
    </row>
    <row r="4174" customFormat="false" ht="15" hidden="false" customHeight="true" outlineLevel="0" collapsed="false">
      <c r="A4174" s="11" t="str">
        <f aca="false">IF(원본명단!$A4173="","",4171)</f>
        <v/>
      </c>
      <c r="B4174" s="12" t="str">
        <f aca="false">IF($A4174="","",원본명단!$A4173)</f>
        <v/>
      </c>
      <c r="C4174" s="12" t="str">
        <f aca="false">IF($A4174="","",원본명단!$B4173)</f>
        <v/>
      </c>
      <c r="D4174" s="12" t="str">
        <f aca="false">IF($A4174="","",원본명단!$D4173)</f>
        <v/>
      </c>
      <c r="E4174" s="11" t="str">
        <f aca="false">IF($A4174="","",IF(원본명단!$H4173="",0,COUNTIF(원본명단!$H$3:$H$6002,원본명단!$H4173)))</f>
        <v/>
      </c>
      <c r="F4174" s="11" t="str">
        <f aca="false">IF($A4174="","",IF(원본명단!$I4173="",0,COUNTIF(원본명단!$I$3:$I$6002,원본명단!$I4173)))</f>
        <v/>
      </c>
      <c r="G4174" s="11" t="str">
        <f aca="false">IF($A4174="","",IF(원본명단!$K4173="",0,COUNTIF(원본명단!$K$3:$K$6002,원본명단!$K4173)))</f>
        <v/>
      </c>
      <c r="H4174" s="11" t="str">
        <f aca="false">IF($A4174="","",IF(MAX($E4174,$F4174,$G4174)&gt;1,"중복","-"))</f>
        <v/>
      </c>
      <c r="I4174" s="11" t="str">
        <f aca="false">IF($A4174="","",IF($H4174="-","-",IF(AND(IF(원본명단!$H4173="",TRUE(),COUNTIF(원본명단!$H$3:$H4173,원본명단!$H4173)=1),IF(원본명단!$I4173="",TRUE(),COUNTIF(원본명단!$I$3:$I4173,원본명단!$I4173)=1),IF(원본명단!$K4173="",TRUE(),COUNTIF(원본명단!$K$3:$K4173,원본명단!$K4173)=1)),"첫 건","중복 건")))</f>
        <v/>
      </c>
      <c r="J4174" s="11" t="str">
        <f aca="false">IF($A4174="","",IF($H4174="-","유지",IF($I4174="첫 건","유지","확인 필요")))</f>
        <v/>
      </c>
    </row>
    <row r="4175" customFormat="false" ht="15" hidden="false" customHeight="true" outlineLevel="0" collapsed="false">
      <c r="A4175" s="11" t="str">
        <f aca="false">IF(원본명단!$A4174="","",4172)</f>
        <v/>
      </c>
      <c r="B4175" s="12" t="str">
        <f aca="false">IF($A4175="","",원본명단!$A4174)</f>
        <v/>
      </c>
      <c r="C4175" s="12" t="str">
        <f aca="false">IF($A4175="","",원본명단!$B4174)</f>
        <v/>
      </c>
      <c r="D4175" s="12" t="str">
        <f aca="false">IF($A4175="","",원본명단!$D4174)</f>
        <v/>
      </c>
      <c r="E4175" s="11" t="str">
        <f aca="false">IF($A4175="","",IF(원본명단!$H4174="",0,COUNTIF(원본명단!$H$3:$H$6002,원본명단!$H4174)))</f>
        <v/>
      </c>
      <c r="F4175" s="11" t="str">
        <f aca="false">IF($A4175="","",IF(원본명단!$I4174="",0,COUNTIF(원본명단!$I$3:$I$6002,원본명단!$I4174)))</f>
        <v/>
      </c>
      <c r="G4175" s="11" t="str">
        <f aca="false">IF($A4175="","",IF(원본명단!$K4174="",0,COUNTIF(원본명단!$K$3:$K$6002,원본명단!$K4174)))</f>
        <v/>
      </c>
      <c r="H4175" s="11" t="str">
        <f aca="false">IF($A4175="","",IF(MAX($E4175,$F4175,$G4175)&gt;1,"중복","-"))</f>
        <v/>
      </c>
      <c r="I4175" s="11" t="str">
        <f aca="false">IF($A4175="","",IF($H4175="-","-",IF(AND(IF(원본명단!$H4174="",TRUE(),COUNTIF(원본명단!$H$3:$H4174,원본명단!$H4174)=1),IF(원본명단!$I4174="",TRUE(),COUNTIF(원본명단!$I$3:$I4174,원본명단!$I4174)=1),IF(원본명단!$K4174="",TRUE(),COUNTIF(원본명단!$K$3:$K4174,원본명단!$K4174)=1)),"첫 건","중복 건")))</f>
        <v/>
      </c>
      <c r="J4175" s="11" t="str">
        <f aca="false">IF($A4175="","",IF($H4175="-","유지",IF($I4175="첫 건","유지","확인 필요")))</f>
        <v/>
      </c>
    </row>
    <row r="4176" customFormat="false" ht="15" hidden="false" customHeight="true" outlineLevel="0" collapsed="false">
      <c r="A4176" s="11" t="str">
        <f aca="false">IF(원본명단!$A4175="","",4173)</f>
        <v/>
      </c>
      <c r="B4176" s="12" t="str">
        <f aca="false">IF($A4176="","",원본명단!$A4175)</f>
        <v/>
      </c>
      <c r="C4176" s="12" t="str">
        <f aca="false">IF($A4176="","",원본명단!$B4175)</f>
        <v/>
      </c>
      <c r="D4176" s="12" t="str">
        <f aca="false">IF($A4176="","",원본명단!$D4175)</f>
        <v/>
      </c>
      <c r="E4176" s="11" t="str">
        <f aca="false">IF($A4176="","",IF(원본명단!$H4175="",0,COUNTIF(원본명단!$H$3:$H$6002,원본명단!$H4175)))</f>
        <v/>
      </c>
      <c r="F4176" s="11" t="str">
        <f aca="false">IF($A4176="","",IF(원본명단!$I4175="",0,COUNTIF(원본명단!$I$3:$I$6002,원본명단!$I4175)))</f>
        <v/>
      </c>
      <c r="G4176" s="11" t="str">
        <f aca="false">IF($A4176="","",IF(원본명단!$K4175="",0,COUNTIF(원본명단!$K$3:$K$6002,원본명단!$K4175)))</f>
        <v/>
      </c>
      <c r="H4176" s="11" t="str">
        <f aca="false">IF($A4176="","",IF(MAX($E4176,$F4176,$G4176)&gt;1,"중복","-"))</f>
        <v/>
      </c>
      <c r="I4176" s="11" t="str">
        <f aca="false">IF($A4176="","",IF($H4176="-","-",IF(AND(IF(원본명단!$H4175="",TRUE(),COUNTIF(원본명단!$H$3:$H4175,원본명단!$H4175)=1),IF(원본명단!$I4175="",TRUE(),COUNTIF(원본명단!$I$3:$I4175,원본명단!$I4175)=1),IF(원본명단!$K4175="",TRUE(),COUNTIF(원본명단!$K$3:$K4175,원본명단!$K4175)=1)),"첫 건","중복 건")))</f>
        <v/>
      </c>
      <c r="J4176" s="11" t="str">
        <f aca="false">IF($A4176="","",IF($H4176="-","유지",IF($I4176="첫 건","유지","확인 필요")))</f>
        <v/>
      </c>
    </row>
    <row r="4177" customFormat="false" ht="15" hidden="false" customHeight="true" outlineLevel="0" collapsed="false">
      <c r="A4177" s="11" t="str">
        <f aca="false">IF(원본명단!$A4176="","",4174)</f>
        <v/>
      </c>
      <c r="B4177" s="12" t="str">
        <f aca="false">IF($A4177="","",원본명단!$A4176)</f>
        <v/>
      </c>
      <c r="C4177" s="12" t="str">
        <f aca="false">IF($A4177="","",원본명단!$B4176)</f>
        <v/>
      </c>
      <c r="D4177" s="12" t="str">
        <f aca="false">IF($A4177="","",원본명단!$D4176)</f>
        <v/>
      </c>
      <c r="E4177" s="11" t="str">
        <f aca="false">IF($A4177="","",IF(원본명단!$H4176="",0,COUNTIF(원본명단!$H$3:$H$6002,원본명단!$H4176)))</f>
        <v/>
      </c>
      <c r="F4177" s="11" t="str">
        <f aca="false">IF($A4177="","",IF(원본명단!$I4176="",0,COUNTIF(원본명단!$I$3:$I$6002,원본명단!$I4176)))</f>
        <v/>
      </c>
      <c r="G4177" s="11" t="str">
        <f aca="false">IF($A4177="","",IF(원본명단!$K4176="",0,COUNTIF(원본명단!$K$3:$K$6002,원본명단!$K4176)))</f>
        <v/>
      </c>
      <c r="H4177" s="11" t="str">
        <f aca="false">IF($A4177="","",IF(MAX($E4177,$F4177,$G4177)&gt;1,"중복","-"))</f>
        <v/>
      </c>
      <c r="I4177" s="11" t="str">
        <f aca="false">IF($A4177="","",IF($H4177="-","-",IF(AND(IF(원본명단!$H4176="",TRUE(),COUNTIF(원본명단!$H$3:$H4176,원본명단!$H4176)=1),IF(원본명단!$I4176="",TRUE(),COUNTIF(원본명단!$I$3:$I4176,원본명단!$I4176)=1),IF(원본명단!$K4176="",TRUE(),COUNTIF(원본명단!$K$3:$K4176,원본명단!$K4176)=1)),"첫 건","중복 건")))</f>
        <v/>
      </c>
      <c r="J4177" s="11" t="str">
        <f aca="false">IF($A4177="","",IF($H4177="-","유지",IF($I4177="첫 건","유지","확인 필요")))</f>
        <v/>
      </c>
    </row>
    <row r="4178" customFormat="false" ht="15" hidden="false" customHeight="true" outlineLevel="0" collapsed="false">
      <c r="A4178" s="11" t="str">
        <f aca="false">IF(원본명단!$A4177="","",4175)</f>
        <v/>
      </c>
      <c r="B4178" s="12" t="str">
        <f aca="false">IF($A4178="","",원본명단!$A4177)</f>
        <v/>
      </c>
      <c r="C4178" s="12" t="str">
        <f aca="false">IF($A4178="","",원본명단!$B4177)</f>
        <v/>
      </c>
      <c r="D4178" s="12" t="str">
        <f aca="false">IF($A4178="","",원본명단!$D4177)</f>
        <v/>
      </c>
      <c r="E4178" s="11" t="str">
        <f aca="false">IF($A4178="","",IF(원본명단!$H4177="",0,COUNTIF(원본명단!$H$3:$H$6002,원본명단!$H4177)))</f>
        <v/>
      </c>
      <c r="F4178" s="11" t="str">
        <f aca="false">IF($A4178="","",IF(원본명단!$I4177="",0,COUNTIF(원본명단!$I$3:$I$6002,원본명단!$I4177)))</f>
        <v/>
      </c>
      <c r="G4178" s="11" t="str">
        <f aca="false">IF($A4178="","",IF(원본명단!$K4177="",0,COUNTIF(원본명단!$K$3:$K$6002,원본명단!$K4177)))</f>
        <v/>
      </c>
      <c r="H4178" s="11" t="str">
        <f aca="false">IF($A4178="","",IF(MAX($E4178,$F4178,$G4178)&gt;1,"중복","-"))</f>
        <v/>
      </c>
      <c r="I4178" s="11" t="str">
        <f aca="false">IF($A4178="","",IF($H4178="-","-",IF(AND(IF(원본명단!$H4177="",TRUE(),COUNTIF(원본명단!$H$3:$H4177,원본명단!$H4177)=1),IF(원본명단!$I4177="",TRUE(),COUNTIF(원본명단!$I$3:$I4177,원본명단!$I4177)=1),IF(원본명단!$K4177="",TRUE(),COUNTIF(원본명단!$K$3:$K4177,원본명단!$K4177)=1)),"첫 건","중복 건")))</f>
        <v/>
      </c>
      <c r="J4178" s="11" t="str">
        <f aca="false">IF($A4178="","",IF($H4178="-","유지",IF($I4178="첫 건","유지","확인 필요")))</f>
        <v/>
      </c>
    </row>
    <row r="4179" customFormat="false" ht="15" hidden="false" customHeight="true" outlineLevel="0" collapsed="false">
      <c r="A4179" s="11" t="str">
        <f aca="false">IF(원본명단!$A4178="","",4176)</f>
        <v/>
      </c>
      <c r="B4179" s="12" t="str">
        <f aca="false">IF($A4179="","",원본명단!$A4178)</f>
        <v/>
      </c>
      <c r="C4179" s="12" t="str">
        <f aca="false">IF($A4179="","",원본명단!$B4178)</f>
        <v/>
      </c>
      <c r="D4179" s="12" t="str">
        <f aca="false">IF($A4179="","",원본명단!$D4178)</f>
        <v/>
      </c>
      <c r="E4179" s="11" t="str">
        <f aca="false">IF($A4179="","",IF(원본명단!$H4178="",0,COUNTIF(원본명단!$H$3:$H$6002,원본명단!$H4178)))</f>
        <v/>
      </c>
      <c r="F4179" s="11" t="str">
        <f aca="false">IF($A4179="","",IF(원본명단!$I4178="",0,COUNTIF(원본명단!$I$3:$I$6002,원본명단!$I4178)))</f>
        <v/>
      </c>
      <c r="G4179" s="11" t="str">
        <f aca="false">IF($A4179="","",IF(원본명단!$K4178="",0,COUNTIF(원본명단!$K$3:$K$6002,원본명단!$K4178)))</f>
        <v/>
      </c>
      <c r="H4179" s="11" t="str">
        <f aca="false">IF($A4179="","",IF(MAX($E4179,$F4179,$G4179)&gt;1,"중복","-"))</f>
        <v/>
      </c>
      <c r="I4179" s="11" t="str">
        <f aca="false">IF($A4179="","",IF($H4179="-","-",IF(AND(IF(원본명단!$H4178="",TRUE(),COUNTIF(원본명단!$H$3:$H4178,원본명단!$H4178)=1),IF(원본명단!$I4178="",TRUE(),COUNTIF(원본명단!$I$3:$I4178,원본명단!$I4178)=1),IF(원본명단!$K4178="",TRUE(),COUNTIF(원본명단!$K$3:$K4178,원본명단!$K4178)=1)),"첫 건","중복 건")))</f>
        <v/>
      </c>
      <c r="J4179" s="11" t="str">
        <f aca="false">IF($A4179="","",IF($H4179="-","유지",IF($I4179="첫 건","유지","확인 필요")))</f>
        <v/>
      </c>
    </row>
    <row r="4180" customFormat="false" ht="15" hidden="false" customHeight="true" outlineLevel="0" collapsed="false">
      <c r="A4180" s="11" t="str">
        <f aca="false">IF(원본명단!$A4179="","",4177)</f>
        <v/>
      </c>
      <c r="B4180" s="12" t="str">
        <f aca="false">IF($A4180="","",원본명단!$A4179)</f>
        <v/>
      </c>
      <c r="C4180" s="12" t="str">
        <f aca="false">IF($A4180="","",원본명단!$B4179)</f>
        <v/>
      </c>
      <c r="D4180" s="12" t="str">
        <f aca="false">IF($A4180="","",원본명단!$D4179)</f>
        <v/>
      </c>
      <c r="E4180" s="11" t="str">
        <f aca="false">IF($A4180="","",IF(원본명단!$H4179="",0,COUNTIF(원본명단!$H$3:$H$6002,원본명단!$H4179)))</f>
        <v/>
      </c>
      <c r="F4180" s="11" t="str">
        <f aca="false">IF($A4180="","",IF(원본명단!$I4179="",0,COUNTIF(원본명단!$I$3:$I$6002,원본명단!$I4179)))</f>
        <v/>
      </c>
      <c r="G4180" s="11" t="str">
        <f aca="false">IF($A4180="","",IF(원본명단!$K4179="",0,COUNTIF(원본명단!$K$3:$K$6002,원본명단!$K4179)))</f>
        <v/>
      </c>
      <c r="H4180" s="11" t="str">
        <f aca="false">IF($A4180="","",IF(MAX($E4180,$F4180,$G4180)&gt;1,"중복","-"))</f>
        <v/>
      </c>
      <c r="I4180" s="11" t="str">
        <f aca="false">IF($A4180="","",IF($H4180="-","-",IF(AND(IF(원본명단!$H4179="",TRUE(),COUNTIF(원본명단!$H$3:$H4179,원본명단!$H4179)=1),IF(원본명단!$I4179="",TRUE(),COUNTIF(원본명단!$I$3:$I4179,원본명단!$I4179)=1),IF(원본명단!$K4179="",TRUE(),COUNTIF(원본명단!$K$3:$K4179,원본명단!$K4179)=1)),"첫 건","중복 건")))</f>
        <v/>
      </c>
      <c r="J4180" s="11" t="str">
        <f aca="false">IF($A4180="","",IF($H4180="-","유지",IF($I4180="첫 건","유지","확인 필요")))</f>
        <v/>
      </c>
    </row>
    <row r="4181" customFormat="false" ht="15" hidden="false" customHeight="true" outlineLevel="0" collapsed="false">
      <c r="A4181" s="11" t="str">
        <f aca="false">IF(원본명단!$A4180="","",4178)</f>
        <v/>
      </c>
      <c r="B4181" s="12" t="str">
        <f aca="false">IF($A4181="","",원본명단!$A4180)</f>
        <v/>
      </c>
      <c r="C4181" s="12" t="str">
        <f aca="false">IF($A4181="","",원본명단!$B4180)</f>
        <v/>
      </c>
      <c r="D4181" s="12" t="str">
        <f aca="false">IF($A4181="","",원본명단!$D4180)</f>
        <v/>
      </c>
      <c r="E4181" s="11" t="str">
        <f aca="false">IF($A4181="","",IF(원본명단!$H4180="",0,COUNTIF(원본명단!$H$3:$H$6002,원본명단!$H4180)))</f>
        <v/>
      </c>
      <c r="F4181" s="11" t="str">
        <f aca="false">IF($A4181="","",IF(원본명단!$I4180="",0,COUNTIF(원본명단!$I$3:$I$6002,원본명단!$I4180)))</f>
        <v/>
      </c>
      <c r="G4181" s="11" t="str">
        <f aca="false">IF($A4181="","",IF(원본명단!$K4180="",0,COUNTIF(원본명단!$K$3:$K$6002,원본명단!$K4180)))</f>
        <v/>
      </c>
      <c r="H4181" s="11" t="str">
        <f aca="false">IF($A4181="","",IF(MAX($E4181,$F4181,$G4181)&gt;1,"중복","-"))</f>
        <v/>
      </c>
      <c r="I4181" s="11" t="str">
        <f aca="false">IF($A4181="","",IF($H4181="-","-",IF(AND(IF(원본명단!$H4180="",TRUE(),COUNTIF(원본명단!$H$3:$H4180,원본명단!$H4180)=1),IF(원본명단!$I4180="",TRUE(),COUNTIF(원본명단!$I$3:$I4180,원본명단!$I4180)=1),IF(원본명단!$K4180="",TRUE(),COUNTIF(원본명단!$K$3:$K4180,원본명단!$K4180)=1)),"첫 건","중복 건")))</f>
        <v/>
      </c>
      <c r="J4181" s="11" t="str">
        <f aca="false">IF($A4181="","",IF($H4181="-","유지",IF($I4181="첫 건","유지","확인 필요")))</f>
        <v/>
      </c>
    </row>
    <row r="4182" customFormat="false" ht="15" hidden="false" customHeight="true" outlineLevel="0" collapsed="false">
      <c r="A4182" s="11" t="str">
        <f aca="false">IF(원본명단!$A4181="","",4179)</f>
        <v/>
      </c>
      <c r="B4182" s="12" t="str">
        <f aca="false">IF($A4182="","",원본명단!$A4181)</f>
        <v/>
      </c>
      <c r="C4182" s="12" t="str">
        <f aca="false">IF($A4182="","",원본명단!$B4181)</f>
        <v/>
      </c>
      <c r="D4182" s="12" t="str">
        <f aca="false">IF($A4182="","",원본명단!$D4181)</f>
        <v/>
      </c>
      <c r="E4182" s="11" t="str">
        <f aca="false">IF($A4182="","",IF(원본명단!$H4181="",0,COUNTIF(원본명단!$H$3:$H$6002,원본명단!$H4181)))</f>
        <v/>
      </c>
      <c r="F4182" s="11" t="str">
        <f aca="false">IF($A4182="","",IF(원본명단!$I4181="",0,COUNTIF(원본명단!$I$3:$I$6002,원본명단!$I4181)))</f>
        <v/>
      </c>
      <c r="G4182" s="11" t="str">
        <f aca="false">IF($A4182="","",IF(원본명단!$K4181="",0,COUNTIF(원본명단!$K$3:$K$6002,원본명단!$K4181)))</f>
        <v/>
      </c>
      <c r="H4182" s="11" t="str">
        <f aca="false">IF($A4182="","",IF(MAX($E4182,$F4182,$G4182)&gt;1,"중복","-"))</f>
        <v/>
      </c>
      <c r="I4182" s="11" t="str">
        <f aca="false">IF($A4182="","",IF($H4182="-","-",IF(AND(IF(원본명단!$H4181="",TRUE(),COUNTIF(원본명단!$H$3:$H4181,원본명단!$H4181)=1),IF(원본명단!$I4181="",TRUE(),COUNTIF(원본명단!$I$3:$I4181,원본명단!$I4181)=1),IF(원본명단!$K4181="",TRUE(),COUNTIF(원본명단!$K$3:$K4181,원본명단!$K4181)=1)),"첫 건","중복 건")))</f>
        <v/>
      </c>
      <c r="J4182" s="11" t="str">
        <f aca="false">IF($A4182="","",IF($H4182="-","유지",IF($I4182="첫 건","유지","확인 필요")))</f>
        <v/>
      </c>
    </row>
    <row r="4183" customFormat="false" ht="15" hidden="false" customHeight="true" outlineLevel="0" collapsed="false">
      <c r="A4183" s="11" t="str">
        <f aca="false">IF(원본명단!$A4182="","",4180)</f>
        <v/>
      </c>
      <c r="B4183" s="12" t="str">
        <f aca="false">IF($A4183="","",원본명단!$A4182)</f>
        <v/>
      </c>
      <c r="C4183" s="12" t="str">
        <f aca="false">IF($A4183="","",원본명단!$B4182)</f>
        <v/>
      </c>
      <c r="D4183" s="12" t="str">
        <f aca="false">IF($A4183="","",원본명단!$D4182)</f>
        <v/>
      </c>
      <c r="E4183" s="11" t="str">
        <f aca="false">IF($A4183="","",IF(원본명단!$H4182="",0,COUNTIF(원본명단!$H$3:$H$6002,원본명단!$H4182)))</f>
        <v/>
      </c>
      <c r="F4183" s="11" t="str">
        <f aca="false">IF($A4183="","",IF(원본명단!$I4182="",0,COUNTIF(원본명단!$I$3:$I$6002,원본명단!$I4182)))</f>
        <v/>
      </c>
      <c r="G4183" s="11" t="str">
        <f aca="false">IF($A4183="","",IF(원본명단!$K4182="",0,COUNTIF(원본명단!$K$3:$K$6002,원본명단!$K4182)))</f>
        <v/>
      </c>
      <c r="H4183" s="11" t="str">
        <f aca="false">IF($A4183="","",IF(MAX($E4183,$F4183,$G4183)&gt;1,"중복","-"))</f>
        <v/>
      </c>
      <c r="I4183" s="11" t="str">
        <f aca="false">IF($A4183="","",IF($H4183="-","-",IF(AND(IF(원본명단!$H4182="",TRUE(),COUNTIF(원본명단!$H$3:$H4182,원본명단!$H4182)=1),IF(원본명단!$I4182="",TRUE(),COUNTIF(원본명단!$I$3:$I4182,원본명단!$I4182)=1),IF(원본명단!$K4182="",TRUE(),COUNTIF(원본명단!$K$3:$K4182,원본명단!$K4182)=1)),"첫 건","중복 건")))</f>
        <v/>
      </c>
      <c r="J4183" s="11" t="str">
        <f aca="false">IF($A4183="","",IF($H4183="-","유지",IF($I4183="첫 건","유지","확인 필요")))</f>
        <v/>
      </c>
    </row>
    <row r="4184" customFormat="false" ht="15" hidden="false" customHeight="true" outlineLevel="0" collapsed="false">
      <c r="A4184" s="11" t="str">
        <f aca="false">IF(원본명단!$A4183="","",4181)</f>
        <v/>
      </c>
      <c r="B4184" s="12" t="str">
        <f aca="false">IF($A4184="","",원본명단!$A4183)</f>
        <v/>
      </c>
      <c r="C4184" s="12" t="str">
        <f aca="false">IF($A4184="","",원본명단!$B4183)</f>
        <v/>
      </c>
      <c r="D4184" s="12" t="str">
        <f aca="false">IF($A4184="","",원본명단!$D4183)</f>
        <v/>
      </c>
      <c r="E4184" s="11" t="str">
        <f aca="false">IF($A4184="","",IF(원본명단!$H4183="",0,COUNTIF(원본명단!$H$3:$H$6002,원본명단!$H4183)))</f>
        <v/>
      </c>
      <c r="F4184" s="11" t="str">
        <f aca="false">IF($A4184="","",IF(원본명단!$I4183="",0,COUNTIF(원본명단!$I$3:$I$6002,원본명단!$I4183)))</f>
        <v/>
      </c>
      <c r="G4184" s="11" t="str">
        <f aca="false">IF($A4184="","",IF(원본명단!$K4183="",0,COUNTIF(원본명단!$K$3:$K$6002,원본명단!$K4183)))</f>
        <v/>
      </c>
      <c r="H4184" s="11" t="str">
        <f aca="false">IF($A4184="","",IF(MAX($E4184,$F4184,$G4184)&gt;1,"중복","-"))</f>
        <v/>
      </c>
      <c r="I4184" s="11" t="str">
        <f aca="false">IF($A4184="","",IF($H4184="-","-",IF(AND(IF(원본명단!$H4183="",TRUE(),COUNTIF(원본명단!$H$3:$H4183,원본명단!$H4183)=1),IF(원본명단!$I4183="",TRUE(),COUNTIF(원본명단!$I$3:$I4183,원본명단!$I4183)=1),IF(원본명단!$K4183="",TRUE(),COUNTIF(원본명단!$K$3:$K4183,원본명단!$K4183)=1)),"첫 건","중복 건")))</f>
        <v/>
      </c>
      <c r="J4184" s="11" t="str">
        <f aca="false">IF($A4184="","",IF($H4184="-","유지",IF($I4184="첫 건","유지","확인 필요")))</f>
        <v/>
      </c>
    </row>
    <row r="4185" customFormat="false" ht="15" hidden="false" customHeight="true" outlineLevel="0" collapsed="false">
      <c r="A4185" s="11" t="str">
        <f aca="false">IF(원본명단!$A4184="","",4182)</f>
        <v/>
      </c>
      <c r="B4185" s="12" t="str">
        <f aca="false">IF($A4185="","",원본명단!$A4184)</f>
        <v/>
      </c>
      <c r="C4185" s="12" t="str">
        <f aca="false">IF($A4185="","",원본명단!$B4184)</f>
        <v/>
      </c>
      <c r="D4185" s="12" t="str">
        <f aca="false">IF($A4185="","",원본명단!$D4184)</f>
        <v/>
      </c>
      <c r="E4185" s="11" t="str">
        <f aca="false">IF($A4185="","",IF(원본명단!$H4184="",0,COUNTIF(원본명단!$H$3:$H$6002,원본명단!$H4184)))</f>
        <v/>
      </c>
      <c r="F4185" s="11" t="str">
        <f aca="false">IF($A4185="","",IF(원본명단!$I4184="",0,COUNTIF(원본명단!$I$3:$I$6002,원본명단!$I4184)))</f>
        <v/>
      </c>
      <c r="G4185" s="11" t="str">
        <f aca="false">IF($A4185="","",IF(원본명단!$K4184="",0,COUNTIF(원본명단!$K$3:$K$6002,원본명단!$K4184)))</f>
        <v/>
      </c>
      <c r="H4185" s="11" t="str">
        <f aca="false">IF($A4185="","",IF(MAX($E4185,$F4185,$G4185)&gt;1,"중복","-"))</f>
        <v/>
      </c>
      <c r="I4185" s="11" t="str">
        <f aca="false">IF($A4185="","",IF($H4185="-","-",IF(AND(IF(원본명단!$H4184="",TRUE(),COUNTIF(원본명단!$H$3:$H4184,원본명단!$H4184)=1),IF(원본명단!$I4184="",TRUE(),COUNTIF(원본명단!$I$3:$I4184,원본명단!$I4184)=1),IF(원본명단!$K4184="",TRUE(),COUNTIF(원본명단!$K$3:$K4184,원본명단!$K4184)=1)),"첫 건","중복 건")))</f>
        <v/>
      </c>
      <c r="J4185" s="11" t="str">
        <f aca="false">IF($A4185="","",IF($H4185="-","유지",IF($I4185="첫 건","유지","확인 필요")))</f>
        <v/>
      </c>
    </row>
    <row r="4186" customFormat="false" ht="15" hidden="false" customHeight="true" outlineLevel="0" collapsed="false">
      <c r="A4186" s="11" t="str">
        <f aca="false">IF(원본명단!$A4185="","",4183)</f>
        <v/>
      </c>
      <c r="B4186" s="12" t="str">
        <f aca="false">IF($A4186="","",원본명단!$A4185)</f>
        <v/>
      </c>
      <c r="C4186" s="12" t="str">
        <f aca="false">IF($A4186="","",원본명단!$B4185)</f>
        <v/>
      </c>
      <c r="D4186" s="12" t="str">
        <f aca="false">IF($A4186="","",원본명단!$D4185)</f>
        <v/>
      </c>
      <c r="E4186" s="11" t="str">
        <f aca="false">IF($A4186="","",IF(원본명단!$H4185="",0,COUNTIF(원본명단!$H$3:$H$6002,원본명단!$H4185)))</f>
        <v/>
      </c>
      <c r="F4186" s="11" t="str">
        <f aca="false">IF($A4186="","",IF(원본명단!$I4185="",0,COUNTIF(원본명단!$I$3:$I$6002,원본명단!$I4185)))</f>
        <v/>
      </c>
      <c r="G4186" s="11" t="str">
        <f aca="false">IF($A4186="","",IF(원본명단!$K4185="",0,COUNTIF(원본명단!$K$3:$K$6002,원본명단!$K4185)))</f>
        <v/>
      </c>
      <c r="H4186" s="11" t="str">
        <f aca="false">IF($A4186="","",IF(MAX($E4186,$F4186,$G4186)&gt;1,"중복","-"))</f>
        <v/>
      </c>
      <c r="I4186" s="11" t="str">
        <f aca="false">IF($A4186="","",IF($H4186="-","-",IF(AND(IF(원본명단!$H4185="",TRUE(),COUNTIF(원본명단!$H$3:$H4185,원본명단!$H4185)=1),IF(원본명단!$I4185="",TRUE(),COUNTIF(원본명단!$I$3:$I4185,원본명단!$I4185)=1),IF(원본명단!$K4185="",TRUE(),COUNTIF(원본명단!$K$3:$K4185,원본명단!$K4185)=1)),"첫 건","중복 건")))</f>
        <v/>
      </c>
      <c r="J4186" s="11" t="str">
        <f aca="false">IF($A4186="","",IF($H4186="-","유지",IF($I4186="첫 건","유지","확인 필요")))</f>
        <v/>
      </c>
    </row>
    <row r="4187" customFormat="false" ht="15" hidden="false" customHeight="true" outlineLevel="0" collapsed="false">
      <c r="A4187" s="11" t="str">
        <f aca="false">IF(원본명단!$A4186="","",4184)</f>
        <v/>
      </c>
      <c r="B4187" s="12" t="str">
        <f aca="false">IF($A4187="","",원본명단!$A4186)</f>
        <v/>
      </c>
      <c r="C4187" s="12" t="str">
        <f aca="false">IF($A4187="","",원본명단!$B4186)</f>
        <v/>
      </c>
      <c r="D4187" s="12" t="str">
        <f aca="false">IF($A4187="","",원본명단!$D4186)</f>
        <v/>
      </c>
      <c r="E4187" s="11" t="str">
        <f aca="false">IF($A4187="","",IF(원본명단!$H4186="",0,COUNTIF(원본명단!$H$3:$H$6002,원본명단!$H4186)))</f>
        <v/>
      </c>
      <c r="F4187" s="11" t="str">
        <f aca="false">IF($A4187="","",IF(원본명단!$I4186="",0,COUNTIF(원본명단!$I$3:$I$6002,원본명단!$I4186)))</f>
        <v/>
      </c>
      <c r="G4187" s="11" t="str">
        <f aca="false">IF($A4187="","",IF(원본명단!$K4186="",0,COUNTIF(원본명단!$K$3:$K$6002,원본명단!$K4186)))</f>
        <v/>
      </c>
      <c r="H4187" s="11" t="str">
        <f aca="false">IF($A4187="","",IF(MAX($E4187,$F4187,$G4187)&gt;1,"중복","-"))</f>
        <v/>
      </c>
      <c r="I4187" s="11" t="str">
        <f aca="false">IF($A4187="","",IF($H4187="-","-",IF(AND(IF(원본명단!$H4186="",TRUE(),COUNTIF(원본명단!$H$3:$H4186,원본명단!$H4186)=1),IF(원본명단!$I4186="",TRUE(),COUNTIF(원본명단!$I$3:$I4186,원본명단!$I4186)=1),IF(원본명단!$K4186="",TRUE(),COUNTIF(원본명단!$K$3:$K4186,원본명단!$K4186)=1)),"첫 건","중복 건")))</f>
        <v/>
      </c>
      <c r="J4187" s="11" t="str">
        <f aca="false">IF($A4187="","",IF($H4187="-","유지",IF($I4187="첫 건","유지","확인 필요")))</f>
        <v/>
      </c>
    </row>
    <row r="4188" customFormat="false" ht="15" hidden="false" customHeight="true" outlineLevel="0" collapsed="false">
      <c r="A4188" s="11" t="str">
        <f aca="false">IF(원본명단!$A4187="","",4185)</f>
        <v/>
      </c>
      <c r="B4188" s="12" t="str">
        <f aca="false">IF($A4188="","",원본명단!$A4187)</f>
        <v/>
      </c>
      <c r="C4188" s="12" t="str">
        <f aca="false">IF($A4188="","",원본명단!$B4187)</f>
        <v/>
      </c>
      <c r="D4188" s="12" t="str">
        <f aca="false">IF($A4188="","",원본명단!$D4187)</f>
        <v/>
      </c>
      <c r="E4188" s="11" t="str">
        <f aca="false">IF($A4188="","",IF(원본명단!$H4187="",0,COUNTIF(원본명단!$H$3:$H$6002,원본명단!$H4187)))</f>
        <v/>
      </c>
      <c r="F4188" s="11" t="str">
        <f aca="false">IF($A4188="","",IF(원본명단!$I4187="",0,COUNTIF(원본명단!$I$3:$I$6002,원본명단!$I4187)))</f>
        <v/>
      </c>
      <c r="G4188" s="11" t="str">
        <f aca="false">IF($A4188="","",IF(원본명단!$K4187="",0,COUNTIF(원본명단!$K$3:$K$6002,원본명단!$K4187)))</f>
        <v/>
      </c>
      <c r="H4188" s="11" t="str">
        <f aca="false">IF($A4188="","",IF(MAX($E4188,$F4188,$G4188)&gt;1,"중복","-"))</f>
        <v/>
      </c>
      <c r="I4188" s="11" t="str">
        <f aca="false">IF($A4188="","",IF($H4188="-","-",IF(AND(IF(원본명단!$H4187="",TRUE(),COUNTIF(원본명단!$H$3:$H4187,원본명단!$H4187)=1),IF(원본명단!$I4187="",TRUE(),COUNTIF(원본명단!$I$3:$I4187,원본명단!$I4187)=1),IF(원본명단!$K4187="",TRUE(),COUNTIF(원본명단!$K$3:$K4187,원본명단!$K4187)=1)),"첫 건","중복 건")))</f>
        <v/>
      </c>
      <c r="J4188" s="11" t="str">
        <f aca="false">IF($A4188="","",IF($H4188="-","유지",IF($I4188="첫 건","유지","확인 필요")))</f>
        <v/>
      </c>
    </row>
    <row r="4189" customFormat="false" ht="15" hidden="false" customHeight="true" outlineLevel="0" collapsed="false">
      <c r="A4189" s="11" t="str">
        <f aca="false">IF(원본명단!$A4188="","",4186)</f>
        <v/>
      </c>
      <c r="B4189" s="12" t="str">
        <f aca="false">IF($A4189="","",원본명단!$A4188)</f>
        <v/>
      </c>
      <c r="C4189" s="12" t="str">
        <f aca="false">IF($A4189="","",원본명단!$B4188)</f>
        <v/>
      </c>
      <c r="D4189" s="12" t="str">
        <f aca="false">IF($A4189="","",원본명단!$D4188)</f>
        <v/>
      </c>
      <c r="E4189" s="11" t="str">
        <f aca="false">IF($A4189="","",IF(원본명단!$H4188="",0,COUNTIF(원본명단!$H$3:$H$6002,원본명단!$H4188)))</f>
        <v/>
      </c>
      <c r="F4189" s="11" t="str">
        <f aca="false">IF($A4189="","",IF(원본명단!$I4188="",0,COUNTIF(원본명단!$I$3:$I$6002,원본명단!$I4188)))</f>
        <v/>
      </c>
      <c r="G4189" s="11" t="str">
        <f aca="false">IF($A4189="","",IF(원본명단!$K4188="",0,COUNTIF(원본명단!$K$3:$K$6002,원본명단!$K4188)))</f>
        <v/>
      </c>
      <c r="H4189" s="11" t="str">
        <f aca="false">IF($A4189="","",IF(MAX($E4189,$F4189,$G4189)&gt;1,"중복","-"))</f>
        <v/>
      </c>
      <c r="I4189" s="11" t="str">
        <f aca="false">IF($A4189="","",IF($H4189="-","-",IF(AND(IF(원본명단!$H4188="",TRUE(),COUNTIF(원본명단!$H$3:$H4188,원본명단!$H4188)=1),IF(원본명단!$I4188="",TRUE(),COUNTIF(원본명단!$I$3:$I4188,원본명단!$I4188)=1),IF(원본명단!$K4188="",TRUE(),COUNTIF(원본명단!$K$3:$K4188,원본명단!$K4188)=1)),"첫 건","중복 건")))</f>
        <v/>
      </c>
      <c r="J4189" s="11" t="str">
        <f aca="false">IF($A4189="","",IF($H4189="-","유지",IF($I4189="첫 건","유지","확인 필요")))</f>
        <v/>
      </c>
    </row>
    <row r="4190" customFormat="false" ht="15" hidden="false" customHeight="true" outlineLevel="0" collapsed="false">
      <c r="A4190" s="11" t="str">
        <f aca="false">IF(원본명단!$A4189="","",4187)</f>
        <v/>
      </c>
      <c r="B4190" s="12" t="str">
        <f aca="false">IF($A4190="","",원본명단!$A4189)</f>
        <v/>
      </c>
      <c r="C4190" s="12" t="str">
        <f aca="false">IF($A4190="","",원본명단!$B4189)</f>
        <v/>
      </c>
      <c r="D4190" s="12" t="str">
        <f aca="false">IF($A4190="","",원본명단!$D4189)</f>
        <v/>
      </c>
      <c r="E4190" s="11" t="str">
        <f aca="false">IF($A4190="","",IF(원본명단!$H4189="",0,COUNTIF(원본명단!$H$3:$H$6002,원본명단!$H4189)))</f>
        <v/>
      </c>
      <c r="F4190" s="11" t="str">
        <f aca="false">IF($A4190="","",IF(원본명단!$I4189="",0,COUNTIF(원본명단!$I$3:$I$6002,원본명단!$I4189)))</f>
        <v/>
      </c>
      <c r="G4190" s="11" t="str">
        <f aca="false">IF($A4190="","",IF(원본명단!$K4189="",0,COUNTIF(원본명단!$K$3:$K$6002,원본명단!$K4189)))</f>
        <v/>
      </c>
      <c r="H4190" s="11" t="str">
        <f aca="false">IF($A4190="","",IF(MAX($E4190,$F4190,$G4190)&gt;1,"중복","-"))</f>
        <v/>
      </c>
      <c r="I4190" s="11" t="str">
        <f aca="false">IF($A4190="","",IF($H4190="-","-",IF(AND(IF(원본명단!$H4189="",TRUE(),COUNTIF(원본명단!$H$3:$H4189,원본명단!$H4189)=1),IF(원본명단!$I4189="",TRUE(),COUNTIF(원본명단!$I$3:$I4189,원본명단!$I4189)=1),IF(원본명단!$K4189="",TRUE(),COUNTIF(원본명단!$K$3:$K4189,원본명단!$K4189)=1)),"첫 건","중복 건")))</f>
        <v/>
      </c>
      <c r="J4190" s="11" t="str">
        <f aca="false">IF($A4190="","",IF($H4190="-","유지",IF($I4190="첫 건","유지","확인 필요")))</f>
        <v/>
      </c>
    </row>
    <row r="4191" customFormat="false" ht="15" hidden="false" customHeight="true" outlineLevel="0" collapsed="false">
      <c r="A4191" s="11" t="str">
        <f aca="false">IF(원본명단!$A4190="","",4188)</f>
        <v/>
      </c>
      <c r="B4191" s="12" t="str">
        <f aca="false">IF($A4191="","",원본명단!$A4190)</f>
        <v/>
      </c>
      <c r="C4191" s="12" t="str">
        <f aca="false">IF($A4191="","",원본명단!$B4190)</f>
        <v/>
      </c>
      <c r="D4191" s="12" t="str">
        <f aca="false">IF($A4191="","",원본명단!$D4190)</f>
        <v/>
      </c>
      <c r="E4191" s="11" t="str">
        <f aca="false">IF($A4191="","",IF(원본명단!$H4190="",0,COUNTIF(원본명단!$H$3:$H$6002,원본명단!$H4190)))</f>
        <v/>
      </c>
      <c r="F4191" s="11" t="str">
        <f aca="false">IF($A4191="","",IF(원본명단!$I4190="",0,COUNTIF(원본명단!$I$3:$I$6002,원본명단!$I4190)))</f>
        <v/>
      </c>
      <c r="G4191" s="11" t="str">
        <f aca="false">IF($A4191="","",IF(원본명단!$K4190="",0,COUNTIF(원본명단!$K$3:$K$6002,원본명단!$K4190)))</f>
        <v/>
      </c>
      <c r="H4191" s="11" t="str">
        <f aca="false">IF($A4191="","",IF(MAX($E4191,$F4191,$G4191)&gt;1,"중복","-"))</f>
        <v/>
      </c>
      <c r="I4191" s="11" t="str">
        <f aca="false">IF($A4191="","",IF($H4191="-","-",IF(AND(IF(원본명단!$H4190="",TRUE(),COUNTIF(원본명단!$H$3:$H4190,원본명단!$H4190)=1),IF(원본명단!$I4190="",TRUE(),COUNTIF(원본명단!$I$3:$I4190,원본명단!$I4190)=1),IF(원본명단!$K4190="",TRUE(),COUNTIF(원본명단!$K$3:$K4190,원본명단!$K4190)=1)),"첫 건","중복 건")))</f>
        <v/>
      </c>
      <c r="J4191" s="11" t="str">
        <f aca="false">IF($A4191="","",IF($H4191="-","유지",IF($I4191="첫 건","유지","확인 필요")))</f>
        <v/>
      </c>
    </row>
    <row r="4192" customFormat="false" ht="15" hidden="false" customHeight="true" outlineLevel="0" collapsed="false">
      <c r="A4192" s="11" t="str">
        <f aca="false">IF(원본명단!$A4191="","",4189)</f>
        <v/>
      </c>
      <c r="B4192" s="12" t="str">
        <f aca="false">IF($A4192="","",원본명단!$A4191)</f>
        <v/>
      </c>
      <c r="C4192" s="12" t="str">
        <f aca="false">IF($A4192="","",원본명단!$B4191)</f>
        <v/>
      </c>
      <c r="D4192" s="12" t="str">
        <f aca="false">IF($A4192="","",원본명단!$D4191)</f>
        <v/>
      </c>
      <c r="E4192" s="11" t="str">
        <f aca="false">IF($A4192="","",IF(원본명단!$H4191="",0,COUNTIF(원본명단!$H$3:$H$6002,원본명단!$H4191)))</f>
        <v/>
      </c>
      <c r="F4192" s="11" t="str">
        <f aca="false">IF($A4192="","",IF(원본명단!$I4191="",0,COUNTIF(원본명단!$I$3:$I$6002,원본명단!$I4191)))</f>
        <v/>
      </c>
      <c r="G4192" s="11" t="str">
        <f aca="false">IF($A4192="","",IF(원본명단!$K4191="",0,COUNTIF(원본명단!$K$3:$K$6002,원본명단!$K4191)))</f>
        <v/>
      </c>
      <c r="H4192" s="11" t="str">
        <f aca="false">IF($A4192="","",IF(MAX($E4192,$F4192,$G4192)&gt;1,"중복","-"))</f>
        <v/>
      </c>
      <c r="I4192" s="11" t="str">
        <f aca="false">IF($A4192="","",IF($H4192="-","-",IF(AND(IF(원본명단!$H4191="",TRUE(),COUNTIF(원본명단!$H$3:$H4191,원본명단!$H4191)=1),IF(원본명단!$I4191="",TRUE(),COUNTIF(원본명단!$I$3:$I4191,원본명단!$I4191)=1),IF(원본명단!$K4191="",TRUE(),COUNTIF(원본명단!$K$3:$K4191,원본명단!$K4191)=1)),"첫 건","중복 건")))</f>
        <v/>
      </c>
      <c r="J4192" s="11" t="str">
        <f aca="false">IF($A4192="","",IF($H4192="-","유지",IF($I4192="첫 건","유지","확인 필요")))</f>
        <v/>
      </c>
    </row>
    <row r="4193" customFormat="false" ht="15" hidden="false" customHeight="true" outlineLevel="0" collapsed="false">
      <c r="A4193" s="11" t="str">
        <f aca="false">IF(원본명단!$A4192="","",4190)</f>
        <v/>
      </c>
      <c r="B4193" s="12" t="str">
        <f aca="false">IF($A4193="","",원본명단!$A4192)</f>
        <v/>
      </c>
      <c r="C4193" s="12" t="str">
        <f aca="false">IF($A4193="","",원본명단!$B4192)</f>
        <v/>
      </c>
      <c r="D4193" s="12" t="str">
        <f aca="false">IF($A4193="","",원본명단!$D4192)</f>
        <v/>
      </c>
      <c r="E4193" s="11" t="str">
        <f aca="false">IF($A4193="","",IF(원본명단!$H4192="",0,COUNTIF(원본명단!$H$3:$H$6002,원본명단!$H4192)))</f>
        <v/>
      </c>
      <c r="F4193" s="11" t="str">
        <f aca="false">IF($A4193="","",IF(원본명단!$I4192="",0,COUNTIF(원본명단!$I$3:$I$6002,원본명단!$I4192)))</f>
        <v/>
      </c>
      <c r="G4193" s="11" t="str">
        <f aca="false">IF($A4193="","",IF(원본명단!$K4192="",0,COUNTIF(원본명단!$K$3:$K$6002,원본명단!$K4192)))</f>
        <v/>
      </c>
      <c r="H4193" s="11" t="str">
        <f aca="false">IF($A4193="","",IF(MAX($E4193,$F4193,$G4193)&gt;1,"중복","-"))</f>
        <v/>
      </c>
      <c r="I4193" s="11" t="str">
        <f aca="false">IF($A4193="","",IF($H4193="-","-",IF(AND(IF(원본명단!$H4192="",TRUE(),COUNTIF(원본명단!$H$3:$H4192,원본명단!$H4192)=1),IF(원본명단!$I4192="",TRUE(),COUNTIF(원본명단!$I$3:$I4192,원본명단!$I4192)=1),IF(원본명단!$K4192="",TRUE(),COUNTIF(원본명단!$K$3:$K4192,원본명단!$K4192)=1)),"첫 건","중복 건")))</f>
        <v/>
      </c>
      <c r="J4193" s="11" t="str">
        <f aca="false">IF($A4193="","",IF($H4193="-","유지",IF($I4193="첫 건","유지","확인 필요")))</f>
        <v/>
      </c>
    </row>
    <row r="4194" customFormat="false" ht="15" hidden="false" customHeight="true" outlineLevel="0" collapsed="false">
      <c r="A4194" s="11" t="str">
        <f aca="false">IF(원본명단!$A4193="","",4191)</f>
        <v/>
      </c>
      <c r="B4194" s="12" t="str">
        <f aca="false">IF($A4194="","",원본명단!$A4193)</f>
        <v/>
      </c>
      <c r="C4194" s="12" t="str">
        <f aca="false">IF($A4194="","",원본명단!$B4193)</f>
        <v/>
      </c>
      <c r="D4194" s="12" t="str">
        <f aca="false">IF($A4194="","",원본명단!$D4193)</f>
        <v/>
      </c>
      <c r="E4194" s="11" t="str">
        <f aca="false">IF($A4194="","",IF(원본명단!$H4193="",0,COUNTIF(원본명단!$H$3:$H$6002,원본명단!$H4193)))</f>
        <v/>
      </c>
      <c r="F4194" s="11" t="str">
        <f aca="false">IF($A4194="","",IF(원본명단!$I4193="",0,COUNTIF(원본명단!$I$3:$I$6002,원본명단!$I4193)))</f>
        <v/>
      </c>
      <c r="G4194" s="11" t="str">
        <f aca="false">IF($A4194="","",IF(원본명단!$K4193="",0,COUNTIF(원본명단!$K$3:$K$6002,원본명단!$K4193)))</f>
        <v/>
      </c>
      <c r="H4194" s="11" t="str">
        <f aca="false">IF($A4194="","",IF(MAX($E4194,$F4194,$G4194)&gt;1,"중복","-"))</f>
        <v/>
      </c>
      <c r="I4194" s="11" t="str">
        <f aca="false">IF($A4194="","",IF($H4194="-","-",IF(AND(IF(원본명단!$H4193="",TRUE(),COUNTIF(원본명단!$H$3:$H4193,원본명단!$H4193)=1),IF(원본명단!$I4193="",TRUE(),COUNTIF(원본명단!$I$3:$I4193,원본명단!$I4193)=1),IF(원본명단!$K4193="",TRUE(),COUNTIF(원본명단!$K$3:$K4193,원본명단!$K4193)=1)),"첫 건","중복 건")))</f>
        <v/>
      </c>
      <c r="J4194" s="11" t="str">
        <f aca="false">IF($A4194="","",IF($H4194="-","유지",IF($I4194="첫 건","유지","확인 필요")))</f>
        <v/>
      </c>
    </row>
    <row r="4195" customFormat="false" ht="15" hidden="false" customHeight="true" outlineLevel="0" collapsed="false">
      <c r="A4195" s="11" t="str">
        <f aca="false">IF(원본명단!$A4194="","",4192)</f>
        <v/>
      </c>
      <c r="B4195" s="12" t="str">
        <f aca="false">IF($A4195="","",원본명단!$A4194)</f>
        <v/>
      </c>
      <c r="C4195" s="12" t="str">
        <f aca="false">IF($A4195="","",원본명단!$B4194)</f>
        <v/>
      </c>
      <c r="D4195" s="12" t="str">
        <f aca="false">IF($A4195="","",원본명단!$D4194)</f>
        <v/>
      </c>
      <c r="E4195" s="11" t="str">
        <f aca="false">IF($A4195="","",IF(원본명단!$H4194="",0,COUNTIF(원본명단!$H$3:$H$6002,원본명단!$H4194)))</f>
        <v/>
      </c>
      <c r="F4195" s="11" t="str">
        <f aca="false">IF($A4195="","",IF(원본명단!$I4194="",0,COUNTIF(원본명단!$I$3:$I$6002,원본명단!$I4194)))</f>
        <v/>
      </c>
      <c r="G4195" s="11" t="str">
        <f aca="false">IF($A4195="","",IF(원본명단!$K4194="",0,COUNTIF(원본명단!$K$3:$K$6002,원본명단!$K4194)))</f>
        <v/>
      </c>
      <c r="H4195" s="11" t="str">
        <f aca="false">IF($A4195="","",IF(MAX($E4195,$F4195,$G4195)&gt;1,"중복","-"))</f>
        <v/>
      </c>
      <c r="I4195" s="11" t="str">
        <f aca="false">IF($A4195="","",IF($H4195="-","-",IF(AND(IF(원본명단!$H4194="",TRUE(),COUNTIF(원본명단!$H$3:$H4194,원본명단!$H4194)=1),IF(원본명단!$I4194="",TRUE(),COUNTIF(원본명단!$I$3:$I4194,원본명단!$I4194)=1),IF(원본명단!$K4194="",TRUE(),COUNTIF(원본명단!$K$3:$K4194,원본명단!$K4194)=1)),"첫 건","중복 건")))</f>
        <v/>
      </c>
      <c r="J4195" s="11" t="str">
        <f aca="false">IF($A4195="","",IF($H4195="-","유지",IF($I4195="첫 건","유지","확인 필요")))</f>
        <v/>
      </c>
    </row>
    <row r="4196" customFormat="false" ht="15" hidden="false" customHeight="true" outlineLevel="0" collapsed="false">
      <c r="A4196" s="11" t="str">
        <f aca="false">IF(원본명단!$A4195="","",4193)</f>
        <v/>
      </c>
      <c r="B4196" s="12" t="str">
        <f aca="false">IF($A4196="","",원본명단!$A4195)</f>
        <v/>
      </c>
      <c r="C4196" s="12" t="str">
        <f aca="false">IF($A4196="","",원본명단!$B4195)</f>
        <v/>
      </c>
      <c r="D4196" s="12" t="str">
        <f aca="false">IF($A4196="","",원본명단!$D4195)</f>
        <v/>
      </c>
      <c r="E4196" s="11" t="str">
        <f aca="false">IF($A4196="","",IF(원본명단!$H4195="",0,COUNTIF(원본명단!$H$3:$H$6002,원본명단!$H4195)))</f>
        <v/>
      </c>
      <c r="F4196" s="11" t="str">
        <f aca="false">IF($A4196="","",IF(원본명단!$I4195="",0,COUNTIF(원본명단!$I$3:$I$6002,원본명단!$I4195)))</f>
        <v/>
      </c>
      <c r="G4196" s="11" t="str">
        <f aca="false">IF($A4196="","",IF(원본명단!$K4195="",0,COUNTIF(원본명단!$K$3:$K$6002,원본명단!$K4195)))</f>
        <v/>
      </c>
      <c r="H4196" s="11" t="str">
        <f aca="false">IF($A4196="","",IF(MAX($E4196,$F4196,$G4196)&gt;1,"중복","-"))</f>
        <v/>
      </c>
      <c r="I4196" s="11" t="str">
        <f aca="false">IF($A4196="","",IF($H4196="-","-",IF(AND(IF(원본명단!$H4195="",TRUE(),COUNTIF(원본명단!$H$3:$H4195,원본명단!$H4195)=1),IF(원본명단!$I4195="",TRUE(),COUNTIF(원본명단!$I$3:$I4195,원본명단!$I4195)=1),IF(원본명단!$K4195="",TRUE(),COUNTIF(원본명단!$K$3:$K4195,원본명단!$K4195)=1)),"첫 건","중복 건")))</f>
        <v/>
      </c>
      <c r="J4196" s="11" t="str">
        <f aca="false">IF($A4196="","",IF($H4196="-","유지",IF($I4196="첫 건","유지","확인 필요")))</f>
        <v/>
      </c>
    </row>
    <row r="4197" customFormat="false" ht="15" hidden="false" customHeight="true" outlineLevel="0" collapsed="false">
      <c r="A4197" s="11" t="str">
        <f aca="false">IF(원본명단!$A4196="","",4194)</f>
        <v/>
      </c>
      <c r="B4197" s="12" t="str">
        <f aca="false">IF($A4197="","",원본명단!$A4196)</f>
        <v/>
      </c>
      <c r="C4197" s="12" t="str">
        <f aca="false">IF($A4197="","",원본명단!$B4196)</f>
        <v/>
      </c>
      <c r="D4197" s="12" t="str">
        <f aca="false">IF($A4197="","",원본명단!$D4196)</f>
        <v/>
      </c>
      <c r="E4197" s="11" t="str">
        <f aca="false">IF($A4197="","",IF(원본명단!$H4196="",0,COUNTIF(원본명단!$H$3:$H$6002,원본명단!$H4196)))</f>
        <v/>
      </c>
      <c r="F4197" s="11" t="str">
        <f aca="false">IF($A4197="","",IF(원본명단!$I4196="",0,COUNTIF(원본명단!$I$3:$I$6002,원본명단!$I4196)))</f>
        <v/>
      </c>
      <c r="G4197" s="11" t="str">
        <f aca="false">IF($A4197="","",IF(원본명단!$K4196="",0,COUNTIF(원본명단!$K$3:$K$6002,원본명단!$K4196)))</f>
        <v/>
      </c>
      <c r="H4197" s="11" t="str">
        <f aca="false">IF($A4197="","",IF(MAX($E4197,$F4197,$G4197)&gt;1,"중복","-"))</f>
        <v/>
      </c>
      <c r="I4197" s="11" t="str">
        <f aca="false">IF($A4197="","",IF($H4197="-","-",IF(AND(IF(원본명단!$H4196="",TRUE(),COUNTIF(원본명단!$H$3:$H4196,원본명단!$H4196)=1),IF(원본명단!$I4196="",TRUE(),COUNTIF(원본명단!$I$3:$I4196,원본명단!$I4196)=1),IF(원본명단!$K4196="",TRUE(),COUNTIF(원본명단!$K$3:$K4196,원본명단!$K4196)=1)),"첫 건","중복 건")))</f>
        <v/>
      </c>
      <c r="J4197" s="11" t="str">
        <f aca="false">IF($A4197="","",IF($H4197="-","유지",IF($I4197="첫 건","유지","확인 필요")))</f>
        <v/>
      </c>
    </row>
    <row r="4198" customFormat="false" ht="15" hidden="false" customHeight="true" outlineLevel="0" collapsed="false">
      <c r="A4198" s="11" t="str">
        <f aca="false">IF(원본명단!$A4197="","",4195)</f>
        <v/>
      </c>
      <c r="B4198" s="12" t="str">
        <f aca="false">IF($A4198="","",원본명단!$A4197)</f>
        <v/>
      </c>
      <c r="C4198" s="12" t="str">
        <f aca="false">IF($A4198="","",원본명단!$B4197)</f>
        <v/>
      </c>
      <c r="D4198" s="12" t="str">
        <f aca="false">IF($A4198="","",원본명단!$D4197)</f>
        <v/>
      </c>
      <c r="E4198" s="11" t="str">
        <f aca="false">IF($A4198="","",IF(원본명단!$H4197="",0,COUNTIF(원본명단!$H$3:$H$6002,원본명단!$H4197)))</f>
        <v/>
      </c>
      <c r="F4198" s="11" t="str">
        <f aca="false">IF($A4198="","",IF(원본명단!$I4197="",0,COUNTIF(원본명단!$I$3:$I$6002,원본명단!$I4197)))</f>
        <v/>
      </c>
      <c r="G4198" s="11" t="str">
        <f aca="false">IF($A4198="","",IF(원본명단!$K4197="",0,COUNTIF(원본명단!$K$3:$K$6002,원본명단!$K4197)))</f>
        <v/>
      </c>
      <c r="H4198" s="11" t="str">
        <f aca="false">IF($A4198="","",IF(MAX($E4198,$F4198,$G4198)&gt;1,"중복","-"))</f>
        <v/>
      </c>
      <c r="I4198" s="11" t="str">
        <f aca="false">IF($A4198="","",IF($H4198="-","-",IF(AND(IF(원본명단!$H4197="",TRUE(),COUNTIF(원본명단!$H$3:$H4197,원본명단!$H4197)=1),IF(원본명단!$I4197="",TRUE(),COUNTIF(원본명단!$I$3:$I4197,원본명단!$I4197)=1),IF(원본명단!$K4197="",TRUE(),COUNTIF(원본명단!$K$3:$K4197,원본명단!$K4197)=1)),"첫 건","중복 건")))</f>
        <v/>
      </c>
      <c r="J4198" s="11" t="str">
        <f aca="false">IF($A4198="","",IF($H4198="-","유지",IF($I4198="첫 건","유지","확인 필요")))</f>
        <v/>
      </c>
    </row>
    <row r="4199" customFormat="false" ht="15" hidden="false" customHeight="true" outlineLevel="0" collapsed="false">
      <c r="A4199" s="11" t="str">
        <f aca="false">IF(원본명단!$A4198="","",4196)</f>
        <v/>
      </c>
      <c r="B4199" s="12" t="str">
        <f aca="false">IF($A4199="","",원본명단!$A4198)</f>
        <v/>
      </c>
      <c r="C4199" s="12" t="str">
        <f aca="false">IF($A4199="","",원본명단!$B4198)</f>
        <v/>
      </c>
      <c r="D4199" s="12" t="str">
        <f aca="false">IF($A4199="","",원본명단!$D4198)</f>
        <v/>
      </c>
      <c r="E4199" s="11" t="str">
        <f aca="false">IF($A4199="","",IF(원본명단!$H4198="",0,COUNTIF(원본명단!$H$3:$H$6002,원본명단!$H4198)))</f>
        <v/>
      </c>
      <c r="F4199" s="11" t="str">
        <f aca="false">IF($A4199="","",IF(원본명단!$I4198="",0,COUNTIF(원본명단!$I$3:$I$6002,원본명단!$I4198)))</f>
        <v/>
      </c>
      <c r="G4199" s="11" t="str">
        <f aca="false">IF($A4199="","",IF(원본명단!$K4198="",0,COUNTIF(원본명단!$K$3:$K$6002,원본명단!$K4198)))</f>
        <v/>
      </c>
      <c r="H4199" s="11" t="str">
        <f aca="false">IF($A4199="","",IF(MAX($E4199,$F4199,$G4199)&gt;1,"중복","-"))</f>
        <v/>
      </c>
      <c r="I4199" s="11" t="str">
        <f aca="false">IF($A4199="","",IF($H4199="-","-",IF(AND(IF(원본명단!$H4198="",TRUE(),COUNTIF(원본명단!$H$3:$H4198,원본명단!$H4198)=1),IF(원본명단!$I4198="",TRUE(),COUNTIF(원본명단!$I$3:$I4198,원본명단!$I4198)=1),IF(원본명단!$K4198="",TRUE(),COUNTIF(원본명단!$K$3:$K4198,원본명단!$K4198)=1)),"첫 건","중복 건")))</f>
        <v/>
      </c>
      <c r="J4199" s="11" t="str">
        <f aca="false">IF($A4199="","",IF($H4199="-","유지",IF($I4199="첫 건","유지","확인 필요")))</f>
        <v/>
      </c>
    </row>
    <row r="4200" customFormat="false" ht="15" hidden="false" customHeight="true" outlineLevel="0" collapsed="false">
      <c r="A4200" s="11" t="str">
        <f aca="false">IF(원본명단!$A4199="","",4197)</f>
        <v/>
      </c>
      <c r="B4200" s="12" t="str">
        <f aca="false">IF($A4200="","",원본명단!$A4199)</f>
        <v/>
      </c>
      <c r="C4200" s="12" t="str">
        <f aca="false">IF($A4200="","",원본명단!$B4199)</f>
        <v/>
      </c>
      <c r="D4200" s="12" t="str">
        <f aca="false">IF($A4200="","",원본명단!$D4199)</f>
        <v/>
      </c>
      <c r="E4200" s="11" t="str">
        <f aca="false">IF($A4200="","",IF(원본명단!$H4199="",0,COUNTIF(원본명단!$H$3:$H$6002,원본명단!$H4199)))</f>
        <v/>
      </c>
      <c r="F4200" s="11" t="str">
        <f aca="false">IF($A4200="","",IF(원본명단!$I4199="",0,COUNTIF(원본명단!$I$3:$I$6002,원본명단!$I4199)))</f>
        <v/>
      </c>
      <c r="G4200" s="11" t="str">
        <f aca="false">IF($A4200="","",IF(원본명단!$K4199="",0,COUNTIF(원본명단!$K$3:$K$6002,원본명단!$K4199)))</f>
        <v/>
      </c>
      <c r="H4200" s="11" t="str">
        <f aca="false">IF($A4200="","",IF(MAX($E4200,$F4200,$G4200)&gt;1,"중복","-"))</f>
        <v/>
      </c>
      <c r="I4200" s="11" t="str">
        <f aca="false">IF($A4200="","",IF($H4200="-","-",IF(AND(IF(원본명단!$H4199="",TRUE(),COUNTIF(원본명단!$H$3:$H4199,원본명단!$H4199)=1),IF(원본명단!$I4199="",TRUE(),COUNTIF(원본명단!$I$3:$I4199,원본명단!$I4199)=1),IF(원본명단!$K4199="",TRUE(),COUNTIF(원본명단!$K$3:$K4199,원본명단!$K4199)=1)),"첫 건","중복 건")))</f>
        <v/>
      </c>
      <c r="J4200" s="11" t="str">
        <f aca="false">IF($A4200="","",IF($H4200="-","유지",IF($I4200="첫 건","유지","확인 필요")))</f>
        <v/>
      </c>
    </row>
    <row r="4201" customFormat="false" ht="15" hidden="false" customHeight="true" outlineLevel="0" collapsed="false">
      <c r="A4201" s="11" t="str">
        <f aca="false">IF(원본명단!$A4200="","",4198)</f>
        <v/>
      </c>
      <c r="B4201" s="12" t="str">
        <f aca="false">IF($A4201="","",원본명단!$A4200)</f>
        <v/>
      </c>
      <c r="C4201" s="12" t="str">
        <f aca="false">IF($A4201="","",원본명단!$B4200)</f>
        <v/>
      </c>
      <c r="D4201" s="12" t="str">
        <f aca="false">IF($A4201="","",원본명단!$D4200)</f>
        <v/>
      </c>
      <c r="E4201" s="11" t="str">
        <f aca="false">IF($A4201="","",IF(원본명단!$H4200="",0,COUNTIF(원본명단!$H$3:$H$6002,원본명단!$H4200)))</f>
        <v/>
      </c>
      <c r="F4201" s="11" t="str">
        <f aca="false">IF($A4201="","",IF(원본명단!$I4200="",0,COUNTIF(원본명단!$I$3:$I$6002,원본명단!$I4200)))</f>
        <v/>
      </c>
      <c r="G4201" s="11" t="str">
        <f aca="false">IF($A4201="","",IF(원본명단!$K4200="",0,COUNTIF(원본명단!$K$3:$K$6002,원본명단!$K4200)))</f>
        <v/>
      </c>
      <c r="H4201" s="11" t="str">
        <f aca="false">IF($A4201="","",IF(MAX($E4201,$F4201,$G4201)&gt;1,"중복","-"))</f>
        <v/>
      </c>
      <c r="I4201" s="11" t="str">
        <f aca="false">IF($A4201="","",IF($H4201="-","-",IF(AND(IF(원본명단!$H4200="",TRUE(),COUNTIF(원본명단!$H$3:$H4200,원본명단!$H4200)=1),IF(원본명단!$I4200="",TRUE(),COUNTIF(원본명단!$I$3:$I4200,원본명단!$I4200)=1),IF(원본명단!$K4200="",TRUE(),COUNTIF(원본명단!$K$3:$K4200,원본명단!$K4200)=1)),"첫 건","중복 건")))</f>
        <v/>
      </c>
      <c r="J4201" s="11" t="str">
        <f aca="false">IF($A4201="","",IF($H4201="-","유지",IF($I4201="첫 건","유지","확인 필요")))</f>
        <v/>
      </c>
    </row>
    <row r="4202" customFormat="false" ht="15" hidden="false" customHeight="true" outlineLevel="0" collapsed="false">
      <c r="A4202" s="11" t="str">
        <f aca="false">IF(원본명단!$A4201="","",4199)</f>
        <v/>
      </c>
      <c r="B4202" s="12" t="str">
        <f aca="false">IF($A4202="","",원본명단!$A4201)</f>
        <v/>
      </c>
      <c r="C4202" s="12" t="str">
        <f aca="false">IF($A4202="","",원본명단!$B4201)</f>
        <v/>
      </c>
      <c r="D4202" s="12" t="str">
        <f aca="false">IF($A4202="","",원본명단!$D4201)</f>
        <v/>
      </c>
      <c r="E4202" s="11" t="str">
        <f aca="false">IF($A4202="","",IF(원본명단!$H4201="",0,COUNTIF(원본명단!$H$3:$H$6002,원본명단!$H4201)))</f>
        <v/>
      </c>
      <c r="F4202" s="11" t="str">
        <f aca="false">IF($A4202="","",IF(원본명단!$I4201="",0,COUNTIF(원본명단!$I$3:$I$6002,원본명단!$I4201)))</f>
        <v/>
      </c>
      <c r="G4202" s="11" t="str">
        <f aca="false">IF($A4202="","",IF(원본명단!$K4201="",0,COUNTIF(원본명단!$K$3:$K$6002,원본명단!$K4201)))</f>
        <v/>
      </c>
      <c r="H4202" s="11" t="str">
        <f aca="false">IF($A4202="","",IF(MAX($E4202,$F4202,$G4202)&gt;1,"중복","-"))</f>
        <v/>
      </c>
      <c r="I4202" s="11" t="str">
        <f aca="false">IF($A4202="","",IF($H4202="-","-",IF(AND(IF(원본명단!$H4201="",TRUE(),COUNTIF(원본명단!$H$3:$H4201,원본명단!$H4201)=1),IF(원본명단!$I4201="",TRUE(),COUNTIF(원본명단!$I$3:$I4201,원본명단!$I4201)=1),IF(원본명단!$K4201="",TRUE(),COUNTIF(원본명단!$K$3:$K4201,원본명단!$K4201)=1)),"첫 건","중복 건")))</f>
        <v/>
      </c>
      <c r="J4202" s="11" t="str">
        <f aca="false">IF($A4202="","",IF($H4202="-","유지",IF($I4202="첫 건","유지","확인 필요")))</f>
        <v/>
      </c>
    </row>
    <row r="4203" customFormat="false" ht="15" hidden="false" customHeight="true" outlineLevel="0" collapsed="false">
      <c r="A4203" s="11" t="str">
        <f aca="false">IF(원본명단!$A4202="","",4200)</f>
        <v/>
      </c>
      <c r="B4203" s="12" t="str">
        <f aca="false">IF($A4203="","",원본명단!$A4202)</f>
        <v/>
      </c>
      <c r="C4203" s="12" t="str">
        <f aca="false">IF($A4203="","",원본명단!$B4202)</f>
        <v/>
      </c>
      <c r="D4203" s="12" t="str">
        <f aca="false">IF($A4203="","",원본명단!$D4202)</f>
        <v/>
      </c>
      <c r="E4203" s="11" t="str">
        <f aca="false">IF($A4203="","",IF(원본명단!$H4202="",0,COUNTIF(원본명단!$H$3:$H$6002,원본명단!$H4202)))</f>
        <v/>
      </c>
      <c r="F4203" s="11" t="str">
        <f aca="false">IF($A4203="","",IF(원본명단!$I4202="",0,COUNTIF(원본명단!$I$3:$I$6002,원본명단!$I4202)))</f>
        <v/>
      </c>
      <c r="G4203" s="11" t="str">
        <f aca="false">IF($A4203="","",IF(원본명단!$K4202="",0,COUNTIF(원본명단!$K$3:$K$6002,원본명단!$K4202)))</f>
        <v/>
      </c>
      <c r="H4203" s="11" t="str">
        <f aca="false">IF($A4203="","",IF(MAX($E4203,$F4203,$G4203)&gt;1,"중복","-"))</f>
        <v/>
      </c>
      <c r="I4203" s="11" t="str">
        <f aca="false">IF($A4203="","",IF($H4203="-","-",IF(AND(IF(원본명단!$H4202="",TRUE(),COUNTIF(원본명단!$H$3:$H4202,원본명단!$H4202)=1),IF(원본명단!$I4202="",TRUE(),COUNTIF(원본명단!$I$3:$I4202,원본명단!$I4202)=1),IF(원본명단!$K4202="",TRUE(),COUNTIF(원본명단!$K$3:$K4202,원본명단!$K4202)=1)),"첫 건","중복 건")))</f>
        <v/>
      </c>
      <c r="J4203" s="11" t="str">
        <f aca="false">IF($A4203="","",IF($H4203="-","유지",IF($I4203="첫 건","유지","확인 필요")))</f>
        <v/>
      </c>
    </row>
    <row r="4204" customFormat="false" ht="15" hidden="false" customHeight="true" outlineLevel="0" collapsed="false">
      <c r="A4204" s="11" t="str">
        <f aca="false">IF(원본명단!$A4203="","",4201)</f>
        <v/>
      </c>
      <c r="B4204" s="12" t="str">
        <f aca="false">IF($A4204="","",원본명단!$A4203)</f>
        <v/>
      </c>
      <c r="C4204" s="12" t="str">
        <f aca="false">IF($A4204="","",원본명단!$B4203)</f>
        <v/>
      </c>
      <c r="D4204" s="12" t="str">
        <f aca="false">IF($A4204="","",원본명단!$D4203)</f>
        <v/>
      </c>
      <c r="E4204" s="11" t="str">
        <f aca="false">IF($A4204="","",IF(원본명단!$H4203="",0,COUNTIF(원본명단!$H$3:$H$6002,원본명단!$H4203)))</f>
        <v/>
      </c>
      <c r="F4204" s="11" t="str">
        <f aca="false">IF($A4204="","",IF(원본명단!$I4203="",0,COUNTIF(원본명단!$I$3:$I$6002,원본명단!$I4203)))</f>
        <v/>
      </c>
      <c r="G4204" s="11" t="str">
        <f aca="false">IF($A4204="","",IF(원본명단!$K4203="",0,COUNTIF(원본명단!$K$3:$K$6002,원본명단!$K4203)))</f>
        <v/>
      </c>
      <c r="H4204" s="11" t="str">
        <f aca="false">IF($A4204="","",IF(MAX($E4204,$F4204,$G4204)&gt;1,"중복","-"))</f>
        <v/>
      </c>
      <c r="I4204" s="11" t="str">
        <f aca="false">IF($A4204="","",IF($H4204="-","-",IF(AND(IF(원본명단!$H4203="",TRUE(),COUNTIF(원본명단!$H$3:$H4203,원본명단!$H4203)=1),IF(원본명단!$I4203="",TRUE(),COUNTIF(원본명단!$I$3:$I4203,원본명단!$I4203)=1),IF(원본명단!$K4203="",TRUE(),COUNTIF(원본명단!$K$3:$K4203,원본명단!$K4203)=1)),"첫 건","중복 건")))</f>
        <v/>
      </c>
      <c r="J4204" s="11" t="str">
        <f aca="false">IF($A4204="","",IF($H4204="-","유지",IF($I4204="첫 건","유지","확인 필요")))</f>
        <v/>
      </c>
    </row>
    <row r="4205" customFormat="false" ht="15" hidden="false" customHeight="true" outlineLevel="0" collapsed="false">
      <c r="A4205" s="11" t="str">
        <f aca="false">IF(원본명단!$A4204="","",4202)</f>
        <v/>
      </c>
      <c r="B4205" s="12" t="str">
        <f aca="false">IF($A4205="","",원본명단!$A4204)</f>
        <v/>
      </c>
      <c r="C4205" s="12" t="str">
        <f aca="false">IF($A4205="","",원본명단!$B4204)</f>
        <v/>
      </c>
      <c r="D4205" s="12" t="str">
        <f aca="false">IF($A4205="","",원본명단!$D4204)</f>
        <v/>
      </c>
      <c r="E4205" s="11" t="str">
        <f aca="false">IF($A4205="","",IF(원본명단!$H4204="",0,COUNTIF(원본명단!$H$3:$H$6002,원본명단!$H4204)))</f>
        <v/>
      </c>
      <c r="F4205" s="11" t="str">
        <f aca="false">IF($A4205="","",IF(원본명단!$I4204="",0,COUNTIF(원본명단!$I$3:$I$6002,원본명단!$I4204)))</f>
        <v/>
      </c>
      <c r="G4205" s="11" t="str">
        <f aca="false">IF($A4205="","",IF(원본명단!$K4204="",0,COUNTIF(원본명단!$K$3:$K$6002,원본명단!$K4204)))</f>
        <v/>
      </c>
      <c r="H4205" s="11" t="str">
        <f aca="false">IF($A4205="","",IF(MAX($E4205,$F4205,$G4205)&gt;1,"중복","-"))</f>
        <v/>
      </c>
      <c r="I4205" s="11" t="str">
        <f aca="false">IF($A4205="","",IF($H4205="-","-",IF(AND(IF(원본명단!$H4204="",TRUE(),COUNTIF(원본명단!$H$3:$H4204,원본명단!$H4204)=1),IF(원본명단!$I4204="",TRUE(),COUNTIF(원본명단!$I$3:$I4204,원본명단!$I4204)=1),IF(원본명단!$K4204="",TRUE(),COUNTIF(원본명단!$K$3:$K4204,원본명단!$K4204)=1)),"첫 건","중복 건")))</f>
        <v/>
      </c>
      <c r="J4205" s="11" t="str">
        <f aca="false">IF($A4205="","",IF($H4205="-","유지",IF($I4205="첫 건","유지","확인 필요")))</f>
        <v/>
      </c>
    </row>
    <row r="4206" customFormat="false" ht="15" hidden="false" customHeight="true" outlineLevel="0" collapsed="false">
      <c r="A4206" s="11" t="str">
        <f aca="false">IF(원본명단!$A4205="","",4203)</f>
        <v/>
      </c>
      <c r="B4206" s="12" t="str">
        <f aca="false">IF($A4206="","",원본명단!$A4205)</f>
        <v/>
      </c>
      <c r="C4206" s="12" t="str">
        <f aca="false">IF($A4206="","",원본명단!$B4205)</f>
        <v/>
      </c>
      <c r="D4206" s="12" t="str">
        <f aca="false">IF($A4206="","",원본명단!$D4205)</f>
        <v/>
      </c>
      <c r="E4206" s="11" t="str">
        <f aca="false">IF($A4206="","",IF(원본명단!$H4205="",0,COUNTIF(원본명단!$H$3:$H$6002,원본명단!$H4205)))</f>
        <v/>
      </c>
      <c r="F4206" s="11" t="str">
        <f aca="false">IF($A4206="","",IF(원본명단!$I4205="",0,COUNTIF(원본명단!$I$3:$I$6002,원본명단!$I4205)))</f>
        <v/>
      </c>
      <c r="G4206" s="11" t="str">
        <f aca="false">IF($A4206="","",IF(원본명단!$K4205="",0,COUNTIF(원본명단!$K$3:$K$6002,원본명단!$K4205)))</f>
        <v/>
      </c>
      <c r="H4206" s="11" t="str">
        <f aca="false">IF($A4206="","",IF(MAX($E4206,$F4206,$G4206)&gt;1,"중복","-"))</f>
        <v/>
      </c>
      <c r="I4206" s="11" t="str">
        <f aca="false">IF($A4206="","",IF($H4206="-","-",IF(AND(IF(원본명단!$H4205="",TRUE(),COUNTIF(원본명단!$H$3:$H4205,원본명단!$H4205)=1),IF(원본명단!$I4205="",TRUE(),COUNTIF(원본명단!$I$3:$I4205,원본명단!$I4205)=1),IF(원본명단!$K4205="",TRUE(),COUNTIF(원본명단!$K$3:$K4205,원본명단!$K4205)=1)),"첫 건","중복 건")))</f>
        <v/>
      </c>
      <c r="J4206" s="11" t="str">
        <f aca="false">IF($A4206="","",IF($H4206="-","유지",IF($I4206="첫 건","유지","확인 필요")))</f>
        <v/>
      </c>
    </row>
    <row r="4207" customFormat="false" ht="15" hidden="false" customHeight="true" outlineLevel="0" collapsed="false">
      <c r="A4207" s="11" t="str">
        <f aca="false">IF(원본명단!$A4206="","",4204)</f>
        <v/>
      </c>
      <c r="B4207" s="12" t="str">
        <f aca="false">IF($A4207="","",원본명단!$A4206)</f>
        <v/>
      </c>
      <c r="C4207" s="12" t="str">
        <f aca="false">IF($A4207="","",원본명단!$B4206)</f>
        <v/>
      </c>
      <c r="D4207" s="12" t="str">
        <f aca="false">IF($A4207="","",원본명단!$D4206)</f>
        <v/>
      </c>
      <c r="E4207" s="11" t="str">
        <f aca="false">IF($A4207="","",IF(원본명단!$H4206="",0,COUNTIF(원본명단!$H$3:$H$6002,원본명단!$H4206)))</f>
        <v/>
      </c>
      <c r="F4207" s="11" t="str">
        <f aca="false">IF($A4207="","",IF(원본명단!$I4206="",0,COUNTIF(원본명단!$I$3:$I$6002,원본명단!$I4206)))</f>
        <v/>
      </c>
      <c r="G4207" s="11" t="str">
        <f aca="false">IF($A4207="","",IF(원본명단!$K4206="",0,COUNTIF(원본명단!$K$3:$K$6002,원본명단!$K4206)))</f>
        <v/>
      </c>
      <c r="H4207" s="11" t="str">
        <f aca="false">IF($A4207="","",IF(MAX($E4207,$F4207,$G4207)&gt;1,"중복","-"))</f>
        <v/>
      </c>
      <c r="I4207" s="11" t="str">
        <f aca="false">IF($A4207="","",IF($H4207="-","-",IF(AND(IF(원본명단!$H4206="",TRUE(),COUNTIF(원본명단!$H$3:$H4206,원본명단!$H4206)=1),IF(원본명단!$I4206="",TRUE(),COUNTIF(원본명단!$I$3:$I4206,원본명단!$I4206)=1),IF(원본명단!$K4206="",TRUE(),COUNTIF(원본명단!$K$3:$K4206,원본명단!$K4206)=1)),"첫 건","중복 건")))</f>
        <v/>
      </c>
      <c r="J4207" s="11" t="str">
        <f aca="false">IF($A4207="","",IF($H4207="-","유지",IF($I4207="첫 건","유지","확인 필요")))</f>
        <v/>
      </c>
    </row>
    <row r="4208" customFormat="false" ht="15" hidden="false" customHeight="true" outlineLevel="0" collapsed="false">
      <c r="A4208" s="11" t="str">
        <f aca="false">IF(원본명단!$A4207="","",4205)</f>
        <v/>
      </c>
      <c r="B4208" s="12" t="str">
        <f aca="false">IF($A4208="","",원본명단!$A4207)</f>
        <v/>
      </c>
      <c r="C4208" s="12" t="str">
        <f aca="false">IF($A4208="","",원본명단!$B4207)</f>
        <v/>
      </c>
      <c r="D4208" s="12" t="str">
        <f aca="false">IF($A4208="","",원본명단!$D4207)</f>
        <v/>
      </c>
      <c r="E4208" s="11" t="str">
        <f aca="false">IF($A4208="","",IF(원본명단!$H4207="",0,COUNTIF(원본명단!$H$3:$H$6002,원본명단!$H4207)))</f>
        <v/>
      </c>
      <c r="F4208" s="11" t="str">
        <f aca="false">IF($A4208="","",IF(원본명단!$I4207="",0,COUNTIF(원본명단!$I$3:$I$6002,원본명단!$I4207)))</f>
        <v/>
      </c>
      <c r="G4208" s="11" t="str">
        <f aca="false">IF($A4208="","",IF(원본명단!$K4207="",0,COUNTIF(원본명단!$K$3:$K$6002,원본명단!$K4207)))</f>
        <v/>
      </c>
      <c r="H4208" s="11" t="str">
        <f aca="false">IF($A4208="","",IF(MAX($E4208,$F4208,$G4208)&gt;1,"중복","-"))</f>
        <v/>
      </c>
      <c r="I4208" s="11" t="str">
        <f aca="false">IF($A4208="","",IF($H4208="-","-",IF(AND(IF(원본명단!$H4207="",TRUE(),COUNTIF(원본명단!$H$3:$H4207,원본명단!$H4207)=1),IF(원본명단!$I4207="",TRUE(),COUNTIF(원본명단!$I$3:$I4207,원본명단!$I4207)=1),IF(원본명단!$K4207="",TRUE(),COUNTIF(원본명단!$K$3:$K4207,원본명단!$K4207)=1)),"첫 건","중복 건")))</f>
        <v/>
      </c>
      <c r="J4208" s="11" t="str">
        <f aca="false">IF($A4208="","",IF($H4208="-","유지",IF($I4208="첫 건","유지","확인 필요")))</f>
        <v/>
      </c>
    </row>
    <row r="4209" customFormat="false" ht="15" hidden="false" customHeight="true" outlineLevel="0" collapsed="false">
      <c r="A4209" s="11" t="str">
        <f aca="false">IF(원본명단!$A4208="","",4206)</f>
        <v/>
      </c>
      <c r="B4209" s="12" t="str">
        <f aca="false">IF($A4209="","",원본명단!$A4208)</f>
        <v/>
      </c>
      <c r="C4209" s="12" t="str">
        <f aca="false">IF($A4209="","",원본명단!$B4208)</f>
        <v/>
      </c>
      <c r="D4209" s="12" t="str">
        <f aca="false">IF($A4209="","",원본명단!$D4208)</f>
        <v/>
      </c>
      <c r="E4209" s="11" t="str">
        <f aca="false">IF($A4209="","",IF(원본명단!$H4208="",0,COUNTIF(원본명단!$H$3:$H$6002,원본명단!$H4208)))</f>
        <v/>
      </c>
      <c r="F4209" s="11" t="str">
        <f aca="false">IF($A4209="","",IF(원본명단!$I4208="",0,COUNTIF(원본명단!$I$3:$I$6002,원본명단!$I4208)))</f>
        <v/>
      </c>
      <c r="G4209" s="11" t="str">
        <f aca="false">IF($A4209="","",IF(원본명단!$K4208="",0,COUNTIF(원본명단!$K$3:$K$6002,원본명단!$K4208)))</f>
        <v/>
      </c>
      <c r="H4209" s="11" t="str">
        <f aca="false">IF($A4209="","",IF(MAX($E4209,$F4209,$G4209)&gt;1,"중복","-"))</f>
        <v/>
      </c>
      <c r="I4209" s="11" t="str">
        <f aca="false">IF($A4209="","",IF($H4209="-","-",IF(AND(IF(원본명단!$H4208="",TRUE(),COUNTIF(원본명단!$H$3:$H4208,원본명단!$H4208)=1),IF(원본명단!$I4208="",TRUE(),COUNTIF(원본명단!$I$3:$I4208,원본명단!$I4208)=1),IF(원본명단!$K4208="",TRUE(),COUNTIF(원본명단!$K$3:$K4208,원본명단!$K4208)=1)),"첫 건","중복 건")))</f>
        <v/>
      </c>
      <c r="J4209" s="11" t="str">
        <f aca="false">IF($A4209="","",IF($H4209="-","유지",IF($I4209="첫 건","유지","확인 필요")))</f>
        <v/>
      </c>
    </row>
    <row r="4210" customFormat="false" ht="15" hidden="false" customHeight="true" outlineLevel="0" collapsed="false">
      <c r="A4210" s="11" t="str">
        <f aca="false">IF(원본명단!$A4209="","",4207)</f>
        <v/>
      </c>
      <c r="B4210" s="12" t="str">
        <f aca="false">IF($A4210="","",원본명단!$A4209)</f>
        <v/>
      </c>
      <c r="C4210" s="12" t="str">
        <f aca="false">IF($A4210="","",원본명단!$B4209)</f>
        <v/>
      </c>
      <c r="D4210" s="12" t="str">
        <f aca="false">IF($A4210="","",원본명단!$D4209)</f>
        <v/>
      </c>
      <c r="E4210" s="11" t="str">
        <f aca="false">IF($A4210="","",IF(원본명단!$H4209="",0,COUNTIF(원본명단!$H$3:$H$6002,원본명단!$H4209)))</f>
        <v/>
      </c>
      <c r="F4210" s="11" t="str">
        <f aca="false">IF($A4210="","",IF(원본명단!$I4209="",0,COUNTIF(원본명단!$I$3:$I$6002,원본명단!$I4209)))</f>
        <v/>
      </c>
      <c r="G4210" s="11" t="str">
        <f aca="false">IF($A4210="","",IF(원본명단!$K4209="",0,COUNTIF(원본명단!$K$3:$K$6002,원본명단!$K4209)))</f>
        <v/>
      </c>
      <c r="H4210" s="11" t="str">
        <f aca="false">IF($A4210="","",IF(MAX($E4210,$F4210,$G4210)&gt;1,"중복","-"))</f>
        <v/>
      </c>
      <c r="I4210" s="11" t="str">
        <f aca="false">IF($A4210="","",IF($H4210="-","-",IF(AND(IF(원본명단!$H4209="",TRUE(),COUNTIF(원본명단!$H$3:$H4209,원본명단!$H4209)=1),IF(원본명단!$I4209="",TRUE(),COUNTIF(원본명단!$I$3:$I4209,원본명단!$I4209)=1),IF(원본명단!$K4209="",TRUE(),COUNTIF(원본명단!$K$3:$K4209,원본명단!$K4209)=1)),"첫 건","중복 건")))</f>
        <v/>
      </c>
      <c r="J4210" s="11" t="str">
        <f aca="false">IF($A4210="","",IF($H4210="-","유지",IF($I4210="첫 건","유지","확인 필요")))</f>
        <v/>
      </c>
    </row>
    <row r="4211" customFormat="false" ht="15" hidden="false" customHeight="true" outlineLevel="0" collapsed="false">
      <c r="A4211" s="11" t="str">
        <f aca="false">IF(원본명단!$A4210="","",4208)</f>
        <v/>
      </c>
      <c r="B4211" s="12" t="str">
        <f aca="false">IF($A4211="","",원본명단!$A4210)</f>
        <v/>
      </c>
      <c r="C4211" s="12" t="str">
        <f aca="false">IF($A4211="","",원본명단!$B4210)</f>
        <v/>
      </c>
      <c r="D4211" s="12" t="str">
        <f aca="false">IF($A4211="","",원본명단!$D4210)</f>
        <v/>
      </c>
      <c r="E4211" s="11" t="str">
        <f aca="false">IF($A4211="","",IF(원본명단!$H4210="",0,COUNTIF(원본명단!$H$3:$H$6002,원본명단!$H4210)))</f>
        <v/>
      </c>
      <c r="F4211" s="11" t="str">
        <f aca="false">IF($A4211="","",IF(원본명단!$I4210="",0,COUNTIF(원본명단!$I$3:$I$6002,원본명단!$I4210)))</f>
        <v/>
      </c>
      <c r="G4211" s="11" t="str">
        <f aca="false">IF($A4211="","",IF(원본명단!$K4210="",0,COUNTIF(원본명단!$K$3:$K$6002,원본명단!$K4210)))</f>
        <v/>
      </c>
      <c r="H4211" s="11" t="str">
        <f aca="false">IF($A4211="","",IF(MAX($E4211,$F4211,$G4211)&gt;1,"중복","-"))</f>
        <v/>
      </c>
      <c r="I4211" s="11" t="str">
        <f aca="false">IF($A4211="","",IF($H4211="-","-",IF(AND(IF(원본명단!$H4210="",TRUE(),COUNTIF(원본명단!$H$3:$H4210,원본명단!$H4210)=1),IF(원본명단!$I4210="",TRUE(),COUNTIF(원본명단!$I$3:$I4210,원본명단!$I4210)=1),IF(원본명단!$K4210="",TRUE(),COUNTIF(원본명단!$K$3:$K4210,원본명단!$K4210)=1)),"첫 건","중복 건")))</f>
        <v/>
      </c>
      <c r="J4211" s="11" t="str">
        <f aca="false">IF($A4211="","",IF($H4211="-","유지",IF($I4211="첫 건","유지","확인 필요")))</f>
        <v/>
      </c>
    </row>
    <row r="4212" customFormat="false" ht="15" hidden="false" customHeight="true" outlineLevel="0" collapsed="false">
      <c r="A4212" s="11" t="str">
        <f aca="false">IF(원본명단!$A4211="","",4209)</f>
        <v/>
      </c>
      <c r="B4212" s="12" t="str">
        <f aca="false">IF($A4212="","",원본명단!$A4211)</f>
        <v/>
      </c>
      <c r="C4212" s="12" t="str">
        <f aca="false">IF($A4212="","",원본명단!$B4211)</f>
        <v/>
      </c>
      <c r="D4212" s="12" t="str">
        <f aca="false">IF($A4212="","",원본명단!$D4211)</f>
        <v/>
      </c>
      <c r="E4212" s="11" t="str">
        <f aca="false">IF($A4212="","",IF(원본명단!$H4211="",0,COUNTIF(원본명단!$H$3:$H$6002,원본명단!$H4211)))</f>
        <v/>
      </c>
      <c r="F4212" s="11" t="str">
        <f aca="false">IF($A4212="","",IF(원본명단!$I4211="",0,COUNTIF(원본명단!$I$3:$I$6002,원본명단!$I4211)))</f>
        <v/>
      </c>
      <c r="G4212" s="11" t="str">
        <f aca="false">IF($A4212="","",IF(원본명단!$K4211="",0,COUNTIF(원본명단!$K$3:$K$6002,원본명단!$K4211)))</f>
        <v/>
      </c>
      <c r="H4212" s="11" t="str">
        <f aca="false">IF($A4212="","",IF(MAX($E4212,$F4212,$G4212)&gt;1,"중복","-"))</f>
        <v/>
      </c>
      <c r="I4212" s="11" t="str">
        <f aca="false">IF($A4212="","",IF($H4212="-","-",IF(AND(IF(원본명단!$H4211="",TRUE(),COUNTIF(원본명단!$H$3:$H4211,원본명단!$H4211)=1),IF(원본명단!$I4211="",TRUE(),COUNTIF(원본명단!$I$3:$I4211,원본명단!$I4211)=1),IF(원본명단!$K4211="",TRUE(),COUNTIF(원본명단!$K$3:$K4211,원본명단!$K4211)=1)),"첫 건","중복 건")))</f>
        <v/>
      </c>
      <c r="J4212" s="11" t="str">
        <f aca="false">IF($A4212="","",IF($H4212="-","유지",IF($I4212="첫 건","유지","확인 필요")))</f>
        <v/>
      </c>
    </row>
    <row r="4213" customFormat="false" ht="15" hidden="false" customHeight="true" outlineLevel="0" collapsed="false">
      <c r="A4213" s="11" t="str">
        <f aca="false">IF(원본명단!$A4212="","",4210)</f>
        <v/>
      </c>
      <c r="B4213" s="12" t="str">
        <f aca="false">IF($A4213="","",원본명단!$A4212)</f>
        <v/>
      </c>
      <c r="C4213" s="12" t="str">
        <f aca="false">IF($A4213="","",원본명단!$B4212)</f>
        <v/>
      </c>
      <c r="D4213" s="12" t="str">
        <f aca="false">IF($A4213="","",원본명단!$D4212)</f>
        <v/>
      </c>
      <c r="E4213" s="11" t="str">
        <f aca="false">IF($A4213="","",IF(원본명단!$H4212="",0,COUNTIF(원본명단!$H$3:$H$6002,원본명단!$H4212)))</f>
        <v/>
      </c>
      <c r="F4213" s="11" t="str">
        <f aca="false">IF($A4213="","",IF(원본명단!$I4212="",0,COUNTIF(원본명단!$I$3:$I$6002,원본명단!$I4212)))</f>
        <v/>
      </c>
      <c r="G4213" s="11" t="str">
        <f aca="false">IF($A4213="","",IF(원본명단!$K4212="",0,COUNTIF(원본명단!$K$3:$K$6002,원본명단!$K4212)))</f>
        <v/>
      </c>
      <c r="H4213" s="11" t="str">
        <f aca="false">IF($A4213="","",IF(MAX($E4213,$F4213,$G4213)&gt;1,"중복","-"))</f>
        <v/>
      </c>
      <c r="I4213" s="11" t="str">
        <f aca="false">IF($A4213="","",IF($H4213="-","-",IF(AND(IF(원본명단!$H4212="",TRUE(),COUNTIF(원본명단!$H$3:$H4212,원본명단!$H4212)=1),IF(원본명단!$I4212="",TRUE(),COUNTIF(원본명단!$I$3:$I4212,원본명단!$I4212)=1),IF(원본명단!$K4212="",TRUE(),COUNTIF(원본명단!$K$3:$K4212,원본명단!$K4212)=1)),"첫 건","중복 건")))</f>
        <v/>
      </c>
      <c r="J4213" s="11" t="str">
        <f aca="false">IF($A4213="","",IF($H4213="-","유지",IF($I4213="첫 건","유지","확인 필요")))</f>
        <v/>
      </c>
    </row>
    <row r="4214" customFormat="false" ht="15" hidden="false" customHeight="true" outlineLevel="0" collapsed="false">
      <c r="A4214" s="11" t="str">
        <f aca="false">IF(원본명단!$A4213="","",4211)</f>
        <v/>
      </c>
      <c r="B4214" s="12" t="str">
        <f aca="false">IF($A4214="","",원본명단!$A4213)</f>
        <v/>
      </c>
      <c r="C4214" s="12" t="str">
        <f aca="false">IF($A4214="","",원본명단!$B4213)</f>
        <v/>
      </c>
      <c r="D4214" s="12" t="str">
        <f aca="false">IF($A4214="","",원본명단!$D4213)</f>
        <v/>
      </c>
      <c r="E4214" s="11" t="str">
        <f aca="false">IF($A4214="","",IF(원본명단!$H4213="",0,COUNTIF(원본명단!$H$3:$H$6002,원본명단!$H4213)))</f>
        <v/>
      </c>
      <c r="F4214" s="11" t="str">
        <f aca="false">IF($A4214="","",IF(원본명단!$I4213="",0,COUNTIF(원본명단!$I$3:$I$6002,원본명단!$I4213)))</f>
        <v/>
      </c>
      <c r="G4214" s="11" t="str">
        <f aca="false">IF($A4214="","",IF(원본명단!$K4213="",0,COUNTIF(원본명단!$K$3:$K$6002,원본명단!$K4213)))</f>
        <v/>
      </c>
      <c r="H4214" s="11" t="str">
        <f aca="false">IF($A4214="","",IF(MAX($E4214,$F4214,$G4214)&gt;1,"중복","-"))</f>
        <v/>
      </c>
      <c r="I4214" s="11" t="str">
        <f aca="false">IF($A4214="","",IF($H4214="-","-",IF(AND(IF(원본명단!$H4213="",TRUE(),COUNTIF(원본명단!$H$3:$H4213,원본명단!$H4213)=1),IF(원본명단!$I4213="",TRUE(),COUNTIF(원본명단!$I$3:$I4213,원본명단!$I4213)=1),IF(원본명단!$K4213="",TRUE(),COUNTIF(원본명단!$K$3:$K4213,원본명단!$K4213)=1)),"첫 건","중복 건")))</f>
        <v/>
      </c>
      <c r="J4214" s="11" t="str">
        <f aca="false">IF($A4214="","",IF($H4214="-","유지",IF($I4214="첫 건","유지","확인 필요")))</f>
        <v/>
      </c>
    </row>
    <row r="4215" customFormat="false" ht="15" hidden="false" customHeight="true" outlineLevel="0" collapsed="false">
      <c r="A4215" s="11" t="str">
        <f aca="false">IF(원본명단!$A4214="","",4212)</f>
        <v/>
      </c>
      <c r="B4215" s="12" t="str">
        <f aca="false">IF($A4215="","",원본명단!$A4214)</f>
        <v/>
      </c>
      <c r="C4215" s="12" t="str">
        <f aca="false">IF($A4215="","",원본명단!$B4214)</f>
        <v/>
      </c>
      <c r="D4215" s="12" t="str">
        <f aca="false">IF($A4215="","",원본명단!$D4214)</f>
        <v/>
      </c>
      <c r="E4215" s="11" t="str">
        <f aca="false">IF($A4215="","",IF(원본명단!$H4214="",0,COUNTIF(원본명단!$H$3:$H$6002,원본명단!$H4214)))</f>
        <v/>
      </c>
      <c r="F4215" s="11" t="str">
        <f aca="false">IF($A4215="","",IF(원본명단!$I4214="",0,COUNTIF(원본명단!$I$3:$I$6002,원본명단!$I4214)))</f>
        <v/>
      </c>
      <c r="G4215" s="11" t="str">
        <f aca="false">IF($A4215="","",IF(원본명단!$K4214="",0,COUNTIF(원본명단!$K$3:$K$6002,원본명단!$K4214)))</f>
        <v/>
      </c>
      <c r="H4215" s="11" t="str">
        <f aca="false">IF($A4215="","",IF(MAX($E4215,$F4215,$G4215)&gt;1,"중복","-"))</f>
        <v/>
      </c>
      <c r="I4215" s="11" t="str">
        <f aca="false">IF($A4215="","",IF($H4215="-","-",IF(AND(IF(원본명단!$H4214="",TRUE(),COUNTIF(원본명단!$H$3:$H4214,원본명단!$H4214)=1),IF(원본명단!$I4214="",TRUE(),COUNTIF(원본명단!$I$3:$I4214,원본명단!$I4214)=1),IF(원본명단!$K4214="",TRUE(),COUNTIF(원본명단!$K$3:$K4214,원본명단!$K4214)=1)),"첫 건","중복 건")))</f>
        <v/>
      </c>
      <c r="J4215" s="11" t="str">
        <f aca="false">IF($A4215="","",IF($H4215="-","유지",IF($I4215="첫 건","유지","확인 필요")))</f>
        <v/>
      </c>
    </row>
    <row r="4216" customFormat="false" ht="15" hidden="false" customHeight="true" outlineLevel="0" collapsed="false">
      <c r="A4216" s="11" t="str">
        <f aca="false">IF(원본명단!$A4215="","",4213)</f>
        <v/>
      </c>
      <c r="B4216" s="12" t="str">
        <f aca="false">IF($A4216="","",원본명단!$A4215)</f>
        <v/>
      </c>
      <c r="C4216" s="12" t="str">
        <f aca="false">IF($A4216="","",원본명단!$B4215)</f>
        <v/>
      </c>
      <c r="D4216" s="12" t="str">
        <f aca="false">IF($A4216="","",원본명단!$D4215)</f>
        <v/>
      </c>
      <c r="E4216" s="11" t="str">
        <f aca="false">IF($A4216="","",IF(원본명단!$H4215="",0,COUNTIF(원본명단!$H$3:$H$6002,원본명단!$H4215)))</f>
        <v/>
      </c>
      <c r="F4216" s="11" t="str">
        <f aca="false">IF($A4216="","",IF(원본명단!$I4215="",0,COUNTIF(원본명단!$I$3:$I$6002,원본명단!$I4215)))</f>
        <v/>
      </c>
      <c r="G4216" s="11" t="str">
        <f aca="false">IF($A4216="","",IF(원본명단!$K4215="",0,COUNTIF(원본명단!$K$3:$K$6002,원본명단!$K4215)))</f>
        <v/>
      </c>
      <c r="H4216" s="11" t="str">
        <f aca="false">IF($A4216="","",IF(MAX($E4216,$F4216,$G4216)&gt;1,"중복","-"))</f>
        <v/>
      </c>
      <c r="I4216" s="11" t="str">
        <f aca="false">IF($A4216="","",IF($H4216="-","-",IF(AND(IF(원본명단!$H4215="",TRUE(),COUNTIF(원본명단!$H$3:$H4215,원본명단!$H4215)=1),IF(원본명단!$I4215="",TRUE(),COUNTIF(원본명단!$I$3:$I4215,원본명단!$I4215)=1),IF(원본명단!$K4215="",TRUE(),COUNTIF(원본명단!$K$3:$K4215,원본명단!$K4215)=1)),"첫 건","중복 건")))</f>
        <v/>
      </c>
      <c r="J4216" s="11" t="str">
        <f aca="false">IF($A4216="","",IF($H4216="-","유지",IF($I4216="첫 건","유지","확인 필요")))</f>
        <v/>
      </c>
    </row>
    <row r="4217" customFormat="false" ht="15" hidden="false" customHeight="true" outlineLevel="0" collapsed="false">
      <c r="A4217" s="11" t="str">
        <f aca="false">IF(원본명단!$A4216="","",4214)</f>
        <v/>
      </c>
      <c r="B4217" s="12" t="str">
        <f aca="false">IF($A4217="","",원본명단!$A4216)</f>
        <v/>
      </c>
      <c r="C4217" s="12" t="str">
        <f aca="false">IF($A4217="","",원본명단!$B4216)</f>
        <v/>
      </c>
      <c r="D4217" s="12" t="str">
        <f aca="false">IF($A4217="","",원본명단!$D4216)</f>
        <v/>
      </c>
      <c r="E4217" s="11" t="str">
        <f aca="false">IF($A4217="","",IF(원본명단!$H4216="",0,COUNTIF(원본명단!$H$3:$H$6002,원본명단!$H4216)))</f>
        <v/>
      </c>
      <c r="F4217" s="11" t="str">
        <f aca="false">IF($A4217="","",IF(원본명단!$I4216="",0,COUNTIF(원본명단!$I$3:$I$6002,원본명단!$I4216)))</f>
        <v/>
      </c>
      <c r="G4217" s="11" t="str">
        <f aca="false">IF($A4217="","",IF(원본명단!$K4216="",0,COUNTIF(원본명단!$K$3:$K$6002,원본명단!$K4216)))</f>
        <v/>
      </c>
      <c r="H4217" s="11" t="str">
        <f aca="false">IF($A4217="","",IF(MAX($E4217,$F4217,$G4217)&gt;1,"중복","-"))</f>
        <v/>
      </c>
      <c r="I4217" s="11" t="str">
        <f aca="false">IF($A4217="","",IF($H4217="-","-",IF(AND(IF(원본명단!$H4216="",TRUE(),COUNTIF(원본명단!$H$3:$H4216,원본명단!$H4216)=1),IF(원본명단!$I4216="",TRUE(),COUNTIF(원본명단!$I$3:$I4216,원본명단!$I4216)=1),IF(원본명단!$K4216="",TRUE(),COUNTIF(원본명단!$K$3:$K4216,원본명단!$K4216)=1)),"첫 건","중복 건")))</f>
        <v/>
      </c>
      <c r="J4217" s="11" t="str">
        <f aca="false">IF($A4217="","",IF($H4217="-","유지",IF($I4217="첫 건","유지","확인 필요")))</f>
        <v/>
      </c>
    </row>
    <row r="4218" customFormat="false" ht="15" hidden="false" customHeight="true" outlineLevel="0" collapsed="false">
      <c r="A4218" s="11" t="str">
        <f aca="false">IF(원본명단!$A4217="","",4215)</f>
        <v/>
      </c>
      <c r="B4218" s="12" t="str">
        <f aca="false">IF($A4218="","",원본명단!$A4217)</f>
        <v/>
      </c>
      <c r="C4218" s="12" t="str">
        <f aca="false">IF($A4218="","",원본명단!$B4217)</f>
        <v/>
      </c>
      <c r="D4218" s="12" t="str">
        <f aca="false">IF($A4218="","",원본명단!$D4217)</f>
        <v/>
      </c>
      <c r="E4218" s="11" t="str">
        <f aca="false">IF($A4218="","",IF(원본명단!$H4217="",0,COUNTIF(원본명단!$H$3:$H$6002,원본명단!$H4217)))</f>
        <v/>
      </c>
      <c r="F4218" s="11" t="str">
        <f aca="false">IF($A4218="","",IF(원본명단!$I4217="",0,COUNTIF(원본명단!$I$3:$I$6002,원본명단!$I4217)))</f>
        <v/>
      </c>
      <c r="G4218" s="11" t="str">
        <f aca="false">IF($A4218="","",IF(원본명단!$K4217="",0,COUNTIF(원본명단!$K$3:$K$6002,원본명단!$K4217)))</f>
        <v/>
      </c>
      <c r="H4218" s="11" t="str">
        <f aca="false">IF($A4218="","",IF(MAX($E4218,$F4218,$G4218)&gt;1,"중복","-"))</f>
        <v/>
      </c>
      <c r="I4218" s="11" t="str">
        <f aca="false">IF($A4218="","",IF($H4218="-","-",IF(AND(IF(원본명단!$H4217="",TRUE(),COUNTIF(원본명단!$H$3:$H4217,원본명단!$H4217)=1),IF(원본명단!$I4217="",TRUE(),COUNTIF(원본명단!$I$3:$I4217,원본명단!$I4217)=1),IF(원본명단!$K4217="",TRUE(),COUNTIF(원본명단!$K$3:$K4217,원본명단!$K4217)=1)),"첫 건","중복 건")))</f>
        <v/>
      </c>
      <c r="J4218" s="11" t="str">
        <f aca="false">IF($A4218="","",IF($H4218="-","유지",IF($I4218="첫 건","유지","확인 필요")))</f>
        <v/>
      </c>
    </row>
    <row r="4219" customFormat="false" ht="15" hidden="false" customHeight="true" outlineLevel="0" collapsed="false">
      <c r="A4219" s="11" t="str">
        <f aca="false">IF(원본명단!$A4218="","",4216)</f>
        <v/>
      </c>
      <c r="B4219" s="12" t="str">
        <f aca="false">IF($A4219="","",원본명단!$A4218)</f>
        <v/>
      </c>
      <c r="C4219" s="12" t="str">
        <f aca="false">IF($A4219="","",원본명단!$B4218)</f>
        <v/>
      </c>
      <c r="D4219" s="12" t="str">
        <f aca="false">IF($A4219="","",원본명단!$D4218)</f>
        <v/>
      </c>
      <c r="E4219" s="11" t="str">
        <f aca="false">IF($A4219="","",IF(원본명단!$H4218="",0,COUNTIF(원본명단!$H$3:$H$6002,원본명단!$H4218)))</f>
        <v/>
      </c>
      <c r="F4219" s="11" t="str">
        <f aca="false">IF($A4219="","",IF(원본명단!$I4218="",0,COUNTIF(원본명단!$I$3:$I$6002,원본명단!$I4218)))</f>
        <v/>
      </c>
      <c r="G4219" s="11" t="str">
        <f aca="false">IF($A4219="","",IF(원본명단!$K4218="",0,COUNTIF(원본명단!$K$3:$K$6002,원본명단!$K4218)))</f>
        <v/>
      </c>
      <c r="H4219" s="11" t="str">
        <f aca="false">IF($A4219="","",IF(MAX($E4219,$F4219,$G4219)&gt;1,"중복","-"))</f>
        <v/>
      </c>
      <c r="I4219" s="11" t="str">
        <f aca="false">IF($A4219="","",IF($H4219="-","-",IF(AND(IF(원본명단!$H4218="",TRUE(),COUNTIF(원본명단!$H$3:$H4218,원본명단!$H4218)=1),IF(원본명단!$I4218="",TRUE(),COUNTIF(원본명단!$I$3:$I4218,원본명단!$I4218)=1),IF(원본명단!$K4218="",TRUE(),COUNTIF(원본명단!$K$3:$K4218,원본명단!$K4218)=1)),"첫 건","중복 건")))</f>
        <v/>
      </c>
      <c r="J4219" s="11" t="str">
        <f aca="false">IF($A4219="","",IF($H4219="-","유지",IF($I4219="첫 건","유지","확인 필요")))</f>
        <v/>
      </c>
    </row>
    <row r="4220" customFormat="false" ht="15" hidden="false" customHeight="true" outlineLevel="0" collapsed="false">
      <c r="A4220" s="11" t="str">
        <f aca="false">IF(원본명단!$A4219="","",4217)</f>
        <v/>
      </c>
      <c r="B4220" s="12" t="str">
        <f aca="false">IF($A4220="","",원본명단!$A4219)</f>
        <v/>
      </c>
      <c r="C4220" s="12" t="str">
        <f aca="false">IF($A4220="","",원본명단!$B4219)</f>
        <v/>
      </c>
      <c r="D4220" s="12" t="str">
        <f aca="false">IF($A4220="","",원본명단!$D4219)</f>
        <v/>
      </c>
      <c r="E4220" s="11" t="str">
        <f aca="false">IF($A4220="","",IF(원본명단!$H4219="",0,COUNTIF(원본명단!$H$3:$H$6002,원본명단!$H4219)))</f>
        <v/>
      </c>
      <c r="F4220" s="11" t="str">
        <f aca="false">IF($A4220="","",IF(원본명단!$I4219="",0,COUNTIF(원본명단!$I$3:$I$6002,원본명단!$I4219)))</f>
        <v/>
      </c>
      <c r="G4220" s="11" t="str">
        <f aca="false">IF($A4220="","",IF(원본명단!$K4219="",0,COUNTIF(원본명단!$K$3:$K$6002,원본명단!$K4219)))</f>
        <v/>
      </c>
      <c r="H4220" s="11" t="str">
        <f aca="false">IF($A4220="","",IF(MAX($E4220,$F4220,$G4220)&gt;1,"중복","-"))</f>
        <v/>
      </c>
      <c r="I4220" s="11" t="str">
        <f aca="false">IF($A4220="","",IF($H4220="-","-",IF(AND(IF(원본명단!$H4219="",TRUE(),COUNTIF(원본명단!$H$3:$H4219,원본명단!$H4219)=1),IF(원본명단!$I4219="",TRUE(),COUNTIF(원본명단!$I$3:$I4219,원본명단!$I4219)=1),IF(원본명단!$K4219="",TRUE(),COUNTIF(원본명단!$K$3:$K4219,원본명단!$K4219)=1)),"첫 건","중복 건")))</f>
        <v/>
      </c>
      <c r="J4220" s="11" t="str">
        <f aca="false">IF($A4220="","",IF($H4220="-","유지",IF($I4220="첫 건","유지","확인 필요")))</f>
        <v/>
      </c>
    </row>
    <row r="4221" customFormat="false" ht="15" hidden="false" customHeight="true" outlineLevel="0" collapsed="false">
      <c r="A4221" s="11" t="str">
        <f aca="false">IF(원본명단!$A4220="","",4218)</f>
        <v/>
      </c>
      <c r="B4221" s="12" t="str">
        <f aca="false">IF($A4221="","",원본명단!$A4220)</f>
        <v/>
      </c>
      <c r="C4221" s="12" t="str">
        <f aca="false">IF($A4221="","",원본명단!$B4220)</f>
        <v/>
      </c>
      <c r="D4221" s="12" t="str">
        <f aca="false">IF($A4221="","",원본명단!$D4220)</f>
        <v/>
      </c>
      <c r="E4221" s="11" t="str">
        <f aca="false">IF($A4221="","",IF(원본명단!$H4220="",0,COUNTIF(원본명단!$H$3:$H$6002,원본명단!$H4220)))</f>
        <v/>
      </c>
      <c r="F4221" s="11" t="str">
        <f aca="false">IF($A4221="","",IF(원본명단!$I4220="",0,COUNTIF(원본명단!$I$3:$I$6002,원본명단!$I4220)))</f>
        <v/>
      </c>
      <c r="G4221" s="11" t="str">
        <f aca="false">IF($A4221="","",IF(원본명단!$K4220="",0,COUNTIF(원본명단!$K$3:$K$6002,원본명단!$K4220)))</f>
        <v/>
      </c>
      <c r="H4221" s="11" t="str">
        <f aca="false">IF($A4221="","",IF(MAX($E4221,$F4221,$G4221)&gt;1,"중복","-"))</f>
        <v/>
      </c>
      <c r="I4221" s="11" t="str">
        <f aca="false">IF($A4221="","",IF($H4221="-","-",IF(AND(IF(원본명단!$H4220="",TRUE(),COUNTIF(원본명단!$H$3:$H4220,원본명단!$H4220)=1),IF(원본명단!$I4220="",TRUE(),COUNTIF(원본명단!$I$3:$I4220,원본명단!$I4220)=1),IF(원본명단!$K4220="",TRUE(),COUNTIF(원본명단!$K$3:$K4220,원본명단!$K4220)=1)),"첫 건","중복 건")))</f>
        <v/>
      </c>
      <c r="J4221" s="11" t="str">
        <f aca="false">IF($A4221="","",IF($H4221="-","유지",IF($I4221="첫 건","유지","확인 필요")))</f>
        <v/>
      </c>
    </row>
    <row r="4222" customFormat="false" ht="15" hidden="false" customHeight="true" outlineLevel="0" collapsed="false">
      <c r="A4222" s="11" t="str">
        <f aca="false">IF(원본명단!$A4221="","",4219)</f>
        <v/>
      </c>
      <c r="B4222" s="12" t="str">
        <f aca="false">IF($A4222="","",원본명단!$A4221)</f>
        <v/>
      </c>
      <c r="C4222" s="12" t="str">
        <f aca="false">IF($A4222="","",원본명단!$B4221)</f>
        <v/>
      </c>
      <c r="D4222" s="12" t="str">
        <f aca="false">IF($A4222="","",원본명단!$D4221)</f>
        <v/>
      </c>
      <c r="E4222" s="11" t="str">
        <f aca="false">IF($A4222="","",IF(원본명단!$H4221="",0,COUNTIF(원본명단!$H$3:$H$6002,원본명단!$H4221)))</f>
        <v/>
      </c>
      <c r="F4222" s="11" t="str">
        <f aca="false">IF($A4222="","",IF(원본명단!$I4221="",0,COUNTIF(원본명단!$I$3:$I$6002,원본명단!$I4221)))</f>
        <v/>
      </c>
      <c r="G4222" s="11" t="str">
        <f aca="false">IF($A4222="","",IF(원본명단!$K4221="",0,COUNTIF(원본명단!$K$3:$K$6002,원본명단!$K4221)))</f>
        <v/>
      </c>
      <c r="H4222" s="11" t="str">
        <f aca="false">IF($A4222="","",IF(MAX($E4222,$F4222,$G4222)&gt;1,"중복","-"))</f>
        <v/>
      </c>
      <c r="I4222" s="11" t="str">
        <f aca="false">IF($A4222="","",IF($H4222="-","-",IF(AND(IF(원본명단!$H4221="",TRUE(),COUNTIF(원본명단!$H$3:$H4221,원본명단!$H4221)=1),IF(원본명단!$I4221="",TRUE(),COUNTIF(원본명단!$I$3:$I4221,원본명단!$I4221)=1),IF(원본명단!$K4221="",TRUE(),COUNTIF(원본명단!$K$3:$K4221,원본명단!$K4221)=1)),"첫 건","중복 건")))</f>
        <v/>
      </c>
      <c r="J4222" s="11" t="str">
        <f aca="false">IF($A4222="","",IF($H4222="-","유지",IF($I4222="첫 건","유지","확인 필요")))</f>
        <v/>
      </c>
    </row>
    <row r="4223" customFormat="false" ht="15" hidden="false" customHeight="true" outlineLevel="0" collapsed="false">
      <c r="A4223" s="11" t="str">
        <f aca="false">IF(원본명단!$A4222="","",4220)</f>
        <v/>
      </c>
      <c r="B4223" s="12" t="str">
        <f aca="false">IF($A4223="","",원본명단!$A4222)</f>
        <v/>
      </c>
      <c r="C4223" s="12" t="str">
        <f aca="false">IF($A4223="","",원본명단!$B4222)</f>
        <v/>
      </c>
      <c r="D4223" s="12" t="str">
        <f aca="false">IF($A4223="","",원본명단!$D4222)</f>
        <v/>
      </c>
      <c r="E4223" s="11" t="str">
        <f aca="false">IF($A4223="","",IF(원본명단!$H4222="",0,COUNTIF(원본명단!$H$3:$H$6002,원본명단!$H4222)))</f>
        <v/>
      </c>
      <c r="F4223" s="11" t="str">
        <f aca="false">IF($A4223="","",IF(원본명단!$I4222="",0,COUNTIF(원본명단!$I$3:$I$6002,원본명단!$I4222)))</f>
        <v/>
      </c>
      <c r="G4223" s="11" t="str">
        <f aca="false">IF($A4223="","",IF(원본명단!$K4222="",0,COUNTIF(원본명단!$K$3:$K$6002,원본명단!$K4222)))</f>
        <v/>
      </c>
      <c r="H4223" s="11" t="str">
        <f aca="false">IF($A4223="","",IF(MAX($E4223,$F4223,$G4223)&gt;1,"중복","-"))</f>
        <v/>
      </c>
      <c r="I4223" s="11" t="str">
        <f aca="false">IF($A4223="","",IF($H4223="-","-",IF(AND(IF(원본명단!$H4222="",TRUE(),COUNTIF(원본명단!$H$3:$H4222,원본명단!$H4222)=1),IF(원본명단!$I4222="",TRUE(),COUNTIF(원본명단!$I$3:$I4222,원본명단!$I4222)=1),IF(원본명단!$K4222="",TRUE(),COUNTIF(원본명단!$K$3:$K4222,원본명단!$K4222)=1)),"첫 건","중복 건")))</f>
        <v/>
      </c>
      <c r="J4223" s="11" t="str">
        <f aca="false">IF($A4223="","",IF($H4223="-","유지",IF($I4223="첫 건","유지","확인 필요")))</f>
        <v/>
      </c>
    </row>
    <row r="4224" customFormat="false" ht="15" hidden="false" customHeight="true" outlineLevel="0" collapsed="false">
      <c r="A4224" s="11" t="str">
        <f aca="false">IF(원본명단!$A4223="","",4221)</f>
        <v/>
      </c>
      <c r="B4224" s="12" t="str">
        <f aca="false">IF($A4224="","",원본명단!$A4223)</f>
        <v/>
      </c>
      <c r="C4224" s="12" t="str">
        <f aca="false">IF($A4224="","",원본명단!$B4223)</f>
        <v/>
      </c>
      <c r="D4224" s="12" t="str">
        <f aca="false">IF($A4224="","",원본명단!$D4223)</f>
        <v/>
      </c>
      <c r="E4224" s="11" t="str">
        <f aca="false">IF($A4224="","",IF(원본명단!$H4223="",0,COUNTIF(원본명단!$H$3:$H$6002,원본명단!$H4223)))</f>
        <v/>
      </c>
      <c r="F4224" s="11" t="str">
        <f aca="false">IF($A4224="","",IF(원본명단!$I4223="",0,COUNTIF(원본명단!$I$3:$I$6002,원본명단!$I4223)))</f>
        <v/>
      </c>
      <c r="G4224" s="11" t="str">
        <f aca="false">IF($A4224="","",IF(원본명단!$K4223="",0,COUNTIF(원본명단!$K$3:$K$6002,원본명단!$K4223)))</f>
        <v/>
      </c>
      <c r="H4224" s="11" t="str">
        <f aca="false">IF($A4224="","",IF(MAX($E4224,$F4224,$G4224)&gt;1,"중복","-"))</f>
        <v/>
      </c>
      <c r="I4224" s="11" t="str">
        <f aca="false">IF($A4224="","",IF($H4224="-","-",IF(AND(IF(원본명단!$H4223="",TRUE(),COUNTIF(원본명단!$H$3:$H4223,원본명단!$H4223)=1),IF(원본명단!$I4223="",TRUE(),COUNTIF(원본명단!$I$3:$I4223,원본명단!$I4223)=1),IF(원본명단!$K4223="",TRUE(),COUNTIF(원본명단!$K$3:$K4223,원본명단!$K4223)=1)),"첫 건","중복 건")))</f>
        <v/>
      </c>
      <c r="J4224" s="11" t="str">
        <f aca="false">IF($A4224="","",IF($H4224="-","유지",IF($I4224="첫 건","유지","확인 필요")))</f>
        <v/>
      </c>
    </row>
    <row r="4225" customFormat="false" ht="15" hidden="false" customHeight="true" outlineLevel="0" collapsed="false">
      <c r="A4225" s="11" t="str">
        <f aca="false">IF(원본명단!$A4224="","",4222)</f>
        <v/>
      </c>
      <c r="B4225" s="12" t="str">
        <f aca="false">IF($A4225="","",원본명단!$A4224)</f>
        <v/>
      </c>
      <c r="C4225" s="12" t="str">
        <f aca="false">IF($A4225="","",원본명단!$B4224)</f>
        <v/>
      </c>
      <c r="D4225" s="12" t="str">
        <f aca="false">IF($A4225="","",원본명단!$D4224)</f>
        <v/>
      </c>
      <c r="E4225" s="11" t="str">
        <f aca="false">IF($A4225="","",IF(원본명단!$H4224="",0,COUNTIF(원본명단!$H$3:$H$6002,원본명단!$H4224)))</f>
        <v/>
      </c>
      <c r="F4225" s="11" t="str">
        <f aca="false">IF($A4225="","",IF(원본명단!$I4224="",0,COUNTIF(원본명단!$I$3:$I$6002,원본명단!$I4224)))</f>
        <v/>
      </c>
      <c r="G4225" s="11" t="str">
        <f aca="false">IF($A4225="","",IF(원본명단!$K4224="",0,COUNTIF(원본명단!$K$3:$K$6002,원본명단!$K4224)))</f>
        <v/>
      </c>
      <c r="H4225" s="11" t="str">
        <f aca="false">IF($A4225="","",IF(MAX($E4225,$F4225,$G4225)&gt;1,"중복","-"))</f>
        <v/>
      </c>
      <c r="I4225" s="11" t="str">
        <f aca="false">IF($A4225="","",IF($H4225="-","-",IF(AND(IF(원본명단!$H4224="",TRUE(),COUNTIF(원본명단!$H$3:$H4224,원본명단!$H4224)=1),IF(원본명단!$I4224="",TRUE(),COUNTIF(원본명단!$I$3:$I4224,원본명단!$I4224)=1),IF(원본명단!$K4224="",TRUE(),COUNTIF(원본명단!$K$3:$K4224,원본명단!$K4224)=1)),"첫 건","중복 건")))</f>
        <v/>
      </c>
      <c r="J4225" s="11" t="str">
        <f aca="false">IF($A4225="","",IF($H4225="-","유지",IF($I4225="첫 건","유지","확인 필요")))</f>
        <v/>
      </c>
    </row>
    <row r="4226" customFormat="false" ht="15" hidden="false" customHeight="true" outlineLevel="0" collapsed="false">
      <c r="A4226" s="11" t="str">
        <f aca="false">IF(원본명단!$A4225="","",4223)</f>
        <v/>
      </c>
      <c r="B4226" s="12" t="str">
        <f aca="false">IF($A4226="","",원본명단!$A4225)</f>
        <v/>
      </c>
      <c r="C4226" s="12" t="str">
        <f aca="false">IF($A4226="","",원본명단!$B4225)</f>
        <v/>
      </c>
      <c r="D4226" s="12" t="str">
        <f aca="false">IF($A4226="","",원본명단!$D4225)</f>
        <v/>
      </c>
      <c r="E4226" s="11" t="str">
        <f aca="false">IF($A4226="","",IF(원본명단!$H4225="",0,COUNTIF(원본명단!$H$3:$H$6002,원본명단!$H4225)))</f>
        <v/>
      </c>
      <c r="F4226" s="11" t="str">
        <f aca="false">IF($A4226="","",IF(원본명단!$I4225="",0,COUNTIF(원본명단!$I$3:$I$6002,원본명단!$I4225)))</f>
        <v/>
      </c>
      <c r="G4226" s="11" t="str">
        <f aca="false">IF($A4226="","",IF(원본명단!$K4225="",0,COUNTIF(원본명단!$K$3:$K$6002,원본명단!$K4225)))</f>
        <v/>
      </c>
      <c r="H4226" s="11" t="str">
        <f aca="false">IF($A4226="","",IF(MAX($E4226,$F4226,$G4226)&gt;1,"중복","-"))</f>
        <v/>
      </c>
      <c r="I4226" s="11" t="str">
        <f aca="false">IF($A4226="","",IF($H4226="-","-",IF(AND(IF(원본명단!$H4225="",TRUE(),COUNTIF(원본명단!$H$3:$H4225,원본명단!$H4225)=1),IF(원본명단!$I4225="",TRUE(),COUNTIF(원본명단!$I$3:$I4225,원본명단!$I4225)=1),IF(원본명단!$K4225="",TRUE(),COUNTIF(원본명단!$K$3:$K4225,원본명단!$K4225)=1)),"첫 건","중복 건")))</f>
        <v/>
      </c>
      <c r="J4226" s="11" t="str">
        <f aca="false">IF($A4226="","",IF($H4226="-","유지",IF($I4226="첫 건","유지","확인 필요")))</f>
        <v/>
      </c>
    </row>
    <row r="4227" customFormat="false" ht="15" hidden="false" customHeight="true" outlineLevel="0" collapsed="false">
      <c r="A4227" s="11" t="str">
        <f aca="false">IF(원본명단!$A4226="","",4224)</f>
        <v/>
      </c>
      <c r="B4227" s="12" t="str">
        <f aca="false">IF($A4227="","",원본명단!$A4226)</f>
        <v/>
      </c>
      <c r="C4227" s="12" t="str">
        <f aca="false">IF($A4227="","",원본명단!$B4226)</f>
        <v/>
      </c>
      <c r="D4227" s="12" t="str">
        <f aca="false">IF($A4227="","",원본명단!$D4226)</f>
        <v/>
      </c>
      <c r="E4227" s="11" t="str">
        <f aca="false">IF($A4227="","",IF(원본명단!$H4226="",0,COUNTIF(원본명단!$H$3:$H$6002,원본명단!$H4226)))</f>
        <v/>
      </c>
      <c r="F4227" s="11" t="str">
        <f aca="false">IF($A4227="","",IF(원본명단!$I4226="",0,COUNTIF(원본명단!$I$3:$I$6002,원본명단!$I4226)))</f>
        <v/>
      </c>
      <c r="G4227" s="11" t="str">
        <f aca="false">IF($A4227="","",IF(원본명단!$K4226="",0,COUNTIF(원본명단!$K$3:$K$6002,원본명단!$K4226)))</f>
        <v/>
      </c>
      <c r="H4227" s="11" t="str">
        <f aca="false">IF($A4227="","",IF(MAX($E4227,$F4227,$G4227)&gt;1,"중복","-"))</f>
        <v/>
      </c>
      <c r="I4227" s="11" t="str">
        <f aca="false">IF($A4227="","",IF($H4227="-","-",IF(AND(IF(원본명단!$H4226="",TRUE(),COUNTIF(원본명단!$H$3:$H4226,원본명단!$H4226)=1),IF(원본명단!$I4226="",TRUE(),COUNTIF(원본명단!$I$3:$I4226,원본명단!$I4226)=1),IF(원본명단!$K4226="",TRUE(),COUNTIF(원본명단!$K$3:$K4226,원본명단!$K4226)=1)),"첫 건","중복 건")))</f>
        <v/>
      </c>
      <c r="J4227" s="11" t="str">
        <f aca="false">IF($A4227="","",IF($H4227="-","유지",IF($I4227="첫 건","유지","확인 필요")))</f>
        <v/>
      </c>
    </row>
    <row r="4228" customFormat="false" ht="15" hidden="false" customHeight="true" outlineLevel="0" collapsed="false">
      <c r="A4228" s="11" t="str">
        <f aca="false">IF(원본명단!$A4227="","",4225)</f>
        <v/>
      </c>
      <c r="B4228" s="12" t="str">
        <f aca="false">IF($A4228="","",원본명단!$A4227)</f>
        <v/>
      </c>
      <c r="C4228" s="12" t="str">
        <f aca="false">IF($A4228="","",원본명단!$B4227)</f>
        <v/>
      </c>
      <c r="D4228" s="12" t="str">
        <f aca="false">IF($A4228="","",원본명단!$D4227)</f>
        <v/>
      </c>
      <c r="E4228" s="11" t="str">
        <f aca="false">IF($A4228="","",IF(원본명단!$H4227="",0,COUNTIF(원본명단!$H$3:$H$6002,원본명단!$H4227)))</f>
        <v/>
      </c>
      <c r="F4228" s="11" t="str">
        <f aca="false">IF($A4228="","",IF(원본명단!$I4227="",0,COUNTIF(원본명단!$I$3:$I$6002,원본명단!$I4227)))</f>
        <v/>
      </c>
      <c r="G4228" s="11" t="str">
        <f aca="false">IF($A4228="","",IF(원본명단!$K4227="",0,COUNTIF(원본명단!$K$3:$K$6002,원본명단!$K4227)))</f>
        <v/>
      </c>
      <c r="H4228" s="11" t="str">
        <f aca="false">IF($A4228="","",IF(MAX($E4228,$F4228,$G4228)&gt;1,"중복","-"))</f>
        <v/>
      </c>
      <c r="I4228" s="11" t="str">
        <f aca="false">IF($A4228="","",IF($H4228="-","-",IF(AND(IF(원본명단!$H4227="",TRUE(),COUNTIF(원본명단!$H$3:$H4227,원본명단!$H4227)=1),IF(원본명단!$I4227="",TRUE(),COUNTIF(원본명단!$I$3:$I4227,원본명단!$I4227)=1),IF(원본명단!$K4227="",TRUE(),COUNTIF(원본명단!$K$3:$K4227,원본명단!$K4227)=1)),"첫 건","중복 건")))</f>
        <v/>
      </c>
      <c r="J4228" s="11" t="str">
        <f aca="false">IF($A4228="","",IF($H4228="-","유지",IF($I4228="첫 건","유지","확인 필요")))</f>
        <v/>
      </c>
    </row>
    <row r="4229" customFormat="false" ht="15" hidden="false" customHeight="true" outlineLevel="0" collapsed="false">
      <c r="A4229" s="11" t="str">
        <f aca="false">IF(원본명단!$A4228="","",4226)</f>
        <v/>
      </c>
      <c r="B4229" s="12" t="str">
        <f aca="false">IF($A4229="","",원본명단!$A4228)</f>
        <v/>
      </c>
      <c r="C4229" s="12" t="str">
        <f aca="false">IF($A4229="","",원본명단!$B4228)</f>
        <v/>
      </c>
      <c r="D4229" s="12" t="str">
        <f aca="false">IF($A4229="","",원본명단!$D4228)</f>
        <v/>
      </c>
      <c r="E4229" s="11" t="str">
        <f aca="false">IF($A4229="","",IF(원본명단!$H4228="",0,COUNTIF(원본명단!$H$3:$H$6002,원본명단!$H4228)))</f>
        <v/>
      </c>
      <c r="F4229" s="11" t="str">
        <f aca="false">IF($A4229="","",IF(원본명단!$I4228="",0,COUNTIF(원본명단!$I$3:$I$6002,원본명단!$I4228)))</f>
        <v/>
      </c>
      <c r="G4229" s="11" t="str">
        <f aca="false">IF($A4229="","",IF(원본명단!$K4228="",0,COUNTIF(원본명단!$K$3:$K$6002,원본명단!$K4228)))</f>
        <v/>
      </c>
      <c r="H4229" s="11" t="str">
        <f aca="false">IF($A4229="","",IF(MAX($E4229,$F4229,$G4229)&gt;1,"중복","-"))</f>
        <v/>
      </c>
      <c r="I4229" s="11" t="str">
        <f aca="false">IF($A4229="","",IF($H4229="-","-",IF(AND(IF(원본명단!$H4228="",TRUE(),COUNTIF(원본명단!$H$3:$H4228,원본명단!$H4228)=1),IF(원본명단!$I4228="",TRUE(),COUNTIF(원본명단!$I$3:$I4228,원본명단!$I4228)=1),IF(원본명단!$K4228="",TRUE(),COUNTIF(원본명단!$K$3:$K4228,원본명단!$K4228)=1)),"첫 건","중복 건")))</f>
        <v/>
      </c>
      <c r="J4229" s="11" t="str">
        <f aca="false">IF($A4229="","",IF($H4229="-","유지",IF($I4229="첫 건","유지","확인 필요")))</f>
        <v/>
      </c>
    </row>
    <row r="4230" customFormat="false" ht="15" hidden="false" customHeight="true" outlineLevel="0" collapsed="false">
      <c r="A4230" s="11" t="str">
        <f aca="false">IF(원본명단!$A4229="","",4227)</f>
        <v/>
      </c>
      <c r="B4230" s="12" t="str">
        <f aca="false">IF($A4230="","",원본명단!$A4229)</f>
        <v/>
      </c>
      <c r="C4230" s="12" t="str">
        <f aca="false">IF($A4230="","",원본명단!$B4229)</f>
        <v/>
      </c>
      <c r="D4230" s="12" t="str">
        <f aca="false">IF($A4230="","",원본명단!$D4229)</f>
        <v/>
      </c>
      <c r="E4230" s="11" t="str">
        <f aca="false">IF($A4230="","",IF(원본명단!$H4229="",0,COUNTIF(원본명단!$H$3:$H$6002,원본명단!$H4229)))</f>
        <v/>
      </c>
      <c r="F4230" s="11" t="str">
        <f aca="false">IF($A4230="","",IF(원본명단!$I4229="",0,COUNTIF(원본명단!$I$3:$I$6002,원본명단!$I4229)))</f>
        <v/>
      </c>
      <c r="G4230" s="11" t="str">
        <f aca="false">IF($A4230="","",IF(원본명단!$K4229="",0,COUNTIF(원본명단!$K$3:$K$6002,원본명단!$K4229)))</f>
        <v/>
      </c>
      <c r="H4230" s="11" t="str">
        <f aca="false">IF($A4230="","",IF(MAX($E4230,$F4230,$G4230)&gt;1,"중복","-"))</f>
        <v/>
      </c>
      <c r="I4230" s="11" t="str">
        <f aca="false">IF($A4230="","",IF($H4230="-","-",IF(AND(IF(원본명단!$H4229="",TRUE(),COUNTIF(원본명단!$H$3:$H4229,원본명단!$H4229)=1),IF(원본명단!$I4229="",TRUE(),COUNTIF(원본명단!$I$3:$I4229,원본명단!$I4229)=1),IF(원본명단!$K4229="",TRUE(),COUNTIF(원본명단!$K$3:$K4229,원본명단!$K4229)=1)),"첫 건","중복 건")))</f>
        <v/>
      </c>
      <c r="J4230" s="11" t="str">
        <f aca="false">IF($A4230="","",IF($H4230="-","유지",IF($I4230="첫 건","유지","확인 필요")))</f>
        <v/>
      </c>
    </row>
    <row r="4231" customFormat="false" ht="15" hidden="false" customHeight="true" outlineLevel="0" collapsed="false">
      <c r="A4231" s="11" t="str">
        <f aca="false">IF(원본명단!$A4230="","",4228)</f>
        <v/>
      </c>
      <c r="B4231" s="12" t="str">
        <f aca="false">IF($A4231="","",원본명단!$A4230)</f>
        <v/>
      </c>
      <c r="C4231" s="12" t="str">
        <f aca="false">IF($A4231="","",원본명단!$B4230)</f>
        <v/>
      </c>
      <c r="D4231" s="12" t="str">
        <f aca="false">IF($A4231="","",원본명단!$D4230)</f>
        <v/>
      </c>
      <c r="E4231" s="11" t="str">
        <f aca="false">IF($A4231="","",IF(원본명단!$H4230="",0,COUNTIF(원본명단!$H$3:$H$6002,원본명단!$H4230)))</f>
        <v/>
      </c>
      <c r="F4231" s="11" t="str">
        <f aca="false">IF($A4231="","",IF(원본명단!$I4230="",0,COUNTIF(원본명단!$I$3:$I$6002,원본명단!$I4230)))</f>
        <v/>
      </c>
      <c r="G4231" s="11" t="str">
        <f aca="false">IF($A4231="","",IF(원본명단!$K4230="",0,COUNTIF(원본명단!$K$3:$K$6002,원본명단!$K4230)))</f>
        <v/>
      </c>
      <c r="H4231" s="11" t="str">
        <f aca="false">IF($A4231="","",IF(MAX($E4231,$F4231,$G4231)&gt;1,"중복","-"))</f>
        <v/>
      </c>
      <c r="I4231" s="11" t="str">
        <f aca="false">IF($A4231="","",IF($H4231="-","-",IF(AND(IF(원본명단!$H4230="",TRUE(),COUNTIF(원본명단!$H$3:$H4230,원본명단!$H4230)=1),IF(원본명단!$I4230="",TRUE(),COUNTIF(원본명단!$I$3:$I4230,원본명단!$I4230)=1),IF(원본명단!$K4230="",TRUE(),COUNTIF(원본명단!$K$3:$K4230,원본명단!$K4230)=1)),"첫 건","중복 건")))</f>
        <v/>
      </c>
      <c r="J4231" s="11" t="str">
        <f aca="false">IF($A4231="","",IF($H4231="-","유지",IF($I4231="첫 건","유지","확인 필요")))</f>
        <v/>
      </c>
    </row>
    <row r="4232" customFormat="false" ht="15" hidden="false" customHeight="true" outlineLevel="0" collapsed="false">
      <c r="A4232" s="11" t="str">
        <f aca="false">IF(원본명단!$A4231="","",4229)</f>
        <v/>
      </c>
      <c r="B4232" s="12" t="str">
        <f aca="false">IF($A4232="","",원본명단!$A4231)</f>
        <v/>
      </c>
      <c r="C4232" s="12" t="str">
        <f aca="false">IF($A4232="","",원본명단!$B4231)</f>
        <v/>
      </c>
      <c r="D4232" s="12" t="str">
        <f aca="false">IF($A4232="","",원본명단!$D4231)</f>
        <v/>
      </c>
      <c r="E4232" s="11" t="str">
        <f aca="false">IF($A4232="","",IF(원본명단!$H4231="",0,COUNTIF(원본명단!$H$3:$H$6002,원본명단!$H4231)))</f>
        <v/>
      </c>
      <c r="F4232" s="11" t="str">
        <f aca="false">IF($A4232="","",IF(원본명단!$I4231="",0,COUNTIF(원본명단!$I$3:$I$6002,원본명단!$I4231)))</f>
        <v/>
      </c>
      <c r="G4232" s="11" t="str">
        <f aca="false">IF($A4232="","",IF(원본명단!$K4231="",0,COUNTIF(원본명단!$K$3:$K$6002,원본명단!$K4231)))</f>
        <v/>
      </c>
      <c r="H4232" s="11" t="str">
        <f aca="false">IF($A4232="","",IF(MAX($E4232,$F4232,$G4232)&gt;1,"중복","-"))</f>
        <v/>
      </c>
      <c r="I4232" s="11" t="str">
        <f aca="false">IF($A4232="","",IF($H4232="-","-",IF(AND(IF(원본명단!$H4231="",TRUE(),COUNTIF(원본명단!$H$3:$H4231,원본명단!$H4231)=1),IF(원본명단!$I4231="",TRUE(),COUNTIF(원본명단!$I$3:$I4231,원본명단!$I4231)=1),IF(원본명단!$K4231="",TRUE(),COUNTIF(원본명단!$K$3:$K4231,원본명단!$K4231)=1)),"첫 건","중복 건")))</f>
        <v/>
      </c>
      <c r="J4232" s="11" t="str">
        <f aca="false">IF($A4232="","",IF($H4232="-","유지",IF($I4232="첫 건","유지","확인 필요")))</f>
        <v/>
      </c>
    </row>
    <row r="4233" customFormat="false" ht="15" hidden="false" customHeight="true" outlineLevel="0" collapsed="false">
      <c r="A4233" s="11" t="str">
        <f aca="false">IF(원본명단!$A4232="","",4230)</f>
        <v/>
      </c>
      <c r="B4233" s="12" t="str">
        <f aca="false">IF($A4233="","",원본명단!$A4232)</f>
        <v/>
      </c>
      <c r="C4233" s="12" t="str">
        <f aca="false">IF($A4233="","",원본명단!$B4232)</f>
        <v/>
      </c>
      <c r="D4233" s="12" t="str">
        <f aca="false">IF($A4233="","",원본명단!$D4232)</f>
        <v/>
      </c>
      <c r="E4233" s="11" t="str">
        <f aca="false">IF($A4233="","",IF(원본명단!$H4232="",0,COUNTIF(원본명단!$H$3:$H$6002,원본명단!$H4232)))</f>
        <v/>
      </c>
      <c r="F4233" s="11" t="str">
        <f aca="false">IF($A4233="","",IF(원본명단!$I4232="",0,COUNTIF(원본명단!$I$3:$I$6002,원본명단!$I4232)))</f>
        <v/>
      </c>
      <c r="G4233" s="11" t="str">
        <f aca="false">IF($A4233="","",IF(원본명단!$K4232="",0,COUNTIF(원본명단!$K$3:$K$6002,원본명단!$K4232)))</f>
        <v/>
      </c>
      <c r="H4233" s="11" t="str">
        <f aca="false">IF($A4233="","",IF(MAX($E4233,$F4233,$G4233)&gt;1,"중복","-"))</f>
        <v/>
      </c>
      <c r="I4233" s="11" t="str">
        <f aca="false">IF($A4233="","",IF($H4233="-","-",IF(AND(IF(원본명단!$H4232="",TRUE(),COUNTIF(원본명단!$H$3:$H4232,원본명단!$H4232)=1),IF(원본명단!$I4232="",TRUE(),COUNTIF(원본명단!$I$3:$I4232,원본명단!$I4232)=1),IF(원본명단!$K4232="",TRUE(),COUNTIF(원본명단!$K$3:$K4232,원본명단!$K4232)=1)),"첫 건","중복 건")))</f>
        <v/>
      </c>
      <c r="J4233" s="11" t="str">
        <f aca="false">IF($A4233="","",IF($H4233="-","유지",IF($I4233="첫 건","유지","확인 필요")))</f>
        <v/>
      </c>
    </row>
    <row r="4234" customFormat="false" ht="15" hidden="false" customHeight="true" outlineLevel="0" collapsed="false">
      <c r="A4234" s="11" t="str">
        <f aca="false">IF(원본명단!$A4233="","",4231)</f>
        <v/>
      </c>
      <c r="B4234" s="12" t="str">
        <f aca="false">IF($A4234="","",원본명단!$A4233)</f>
        <v/>
      </c>
      <c r="C4234" s="12" t="str">
        <f aca="false">IF($A4234="","",원본명단!$B4233)</f>
        <v/>
      </c>
      <c r="D4234" s="12" t="str">
        <f aca="false">IF($A4234="","",원본명단!$D4233)</f>
        <v/>
      </c>
      <c r="E4234" s="11" t="str">
        <f aca="false">IF($A4234="","",IF(원본명단!$H4233="",0,COUNTIF(원본명단!$H$3:$H$6002,원본명단!$H4233)))</f>
        <v/>
      </c>
      <c r="F4234" s="11" t="str">
        <f aca="false">IF($A4234="","",IF(원본명단!$I4233="",0,COUNTIF(원본명단!$I$3:$I$6002,원본명단!$I4233)))</f>
        <v/>
      </c>
      <c r="G4234" s="11" t="str">
        <f aca="false">IF($A4234="","",IF(원본명단!$K4233="",0,COUNTIF(원본명단!$K$3:$K$6002,원본명단!$K4233)))</f>
        <v/>
      </c>
      <c r="H4234" s="11" t="str">
        <f aca="false">IF($A4234="","",IF(MAX($E4234,$F4234,$G4234)&gt;1,"중복","-"))</f>
        <v/>
      </c>
      <c r="I4234" s="11" t="str">
        <f aca="false">IF($A4234="","",IF($H4234="-","-",IF(AND(IF(원본명단!$H4233="",TRUE(),COUNTIF(원본명단!$H$3:$H4233,원본명단!$H4233)=1),IF(원본명단!$I4233="",TRUE(),COUNTIF(원본명단!$I$3:$I4233,원본명단!$I4233)=1),IF(원본명단!$K4233="",TRUE(),COUNTIF(원본명단!$K$3:$K4233,원본명단!$K4233)=1)),"첫 건","중복 건")))</f>
        <v/>
      </c>
      <c r="J4234" s="11" t="str">
        <f aca="false">IF($A4234="","",IF($H4234="-","유지",IF($I4234="첫 건","유지","확인 필요")))</f>
        <v/>
      </c>
    </row>
    <row r="4235" customFormat="false" ht="15" hidden="false" customHeight="true" outlineLevel="0" collapsed="false">
      <c r="A4235" s="11" t="str">
        <f aca="false">IF(원본명단!$A4234="","",4232)</f>
        <v/>
      </c>
      <c r="B4235" s="12" t="str">
        <f aca="false">IF($A4235="","",원본명단!$A4234)</f>
        <v/>
      </c>
      <c r="C4235" s="12" t="str">
        <f aca="false">IF($A4235="","",원본명단!$B4234)</f>
        <v/>
      </c>
      <c r="D4235" s="12" t="str">
        <f aca="false">IF($A4235="","",원본명단!$D4234)</f>
        <v/>
      </c>
      <c r="E4235" s="11" t="str">
        <f aca="false">IF($A4235="","",IF(원본명단!$H4234="",0,COUNTIF(원본명단!$H$3:$H$6002,원본명단!$H4234)))</f>
        <v/>
      </c>
      <c r="F4235" s="11" t="str">
        <f aca="false">IF($A4235="","",IF(원본명단!$I4234="",0,COUNTIF(원본명단!$I$3:$I$6002,원본명단!$I4234)))</f>
        <v/>
      </c>
      <c r="G4235" s="11" t="str">
        <f aca="false">IF($A4235="","",IF(원본명단!$K4234="",0,COUNTIF(원본명단!$K$3:$K$6002,원본명단!$K4234)))</f>
        <v/>
      </c>
      <c r="H4235" s="11" t="str">
        <f aca="false">IF($A4235="","",IF(MAX($E4235,$F4235,$G4235)&gt;1,"중복","-"))</f>
        <v/>
      </c>
      <c r="I4235" s="11" t="str">
        <f aca="false">IF($A4235="","",IF($H4235="-","-",IF(AND(IF(원본명단!$H4234="",TRUE(),COUNTIF(원본명단!$H$3:$H4234,원본명단!$H4234)=1),IF(원본명단!$I4234="",TRUE(),COUNTIF(원본명단!$I$3:$I4234,원본명단!$I4234)=1),IF(원본명단!$K4234="",TRUE(),COUNTIF(원본명단!$K$3:$K4234,원본명단!$K4234)=1)),"첫 건","중복 건")))</f>
        <v/>
      </c>
      <c r="J4235" s="11" t="str">
        <f aca="false">IF($A4235="","",IF($H4235="-","유지",IF($I4235="첫 건","유지","확인 필요")))</f>
        <v/>
      </c>
    </row>
    <row r="4236" customFormat="false" ht="15" hidden="false" customHeight="true" outlineLevel="0" collapsed="false">
      <c r="A4236" s="11" t="str">
        <f aca="false">IF(원본명단!$A4235="","",4233)</f>
        <v/>
      </c>
      <c r="B4236" s="12" t="str">
        <f aca="false">IF($A4236="","",원본명단!$A4235)</f>
        <v/>
      </c>
      <c r="C4236" s="12" t="str">
        <f aca="false">IF($A4236="","",원본명단!$B4235)</f>
        <v/>
      </c>
      <c r="D4236" s="12" t="str">
        <f aca="false">IF($A4236="","",원본명단!$D4235)</f>
        <v/>
      </c>
      <c r="E4236" s="11" t="str">
        <f aca="false">IF($A4236="","",IF(원본명단!$H4235="",0,COUNTIF(원본명단!$H$3:$H$6002,원본명단!$H4235)))</f>
        <v/>
      </c>
      <c r="F4236" s="11" t="str">
        <f aca="false">IF($A4236="","",IF(원본명단!$I4235="",0,COUNTIF(원본명단!$I$3:$I$6002,원본명단!$I4235)))</f>
        <v/>
      </c>
      <c r="G4236" s="11" t="str">
        <f aca="false">IF($A4236="","",IF(원본명단!$K4235="",0,COUNTIF(원본명단!$K$3:$K$6002,원본명단!$K4235)))</f>
        <v/>
      </c>
      <c r="H4236" s="11" t="str">
        <f aca="false">IF($A4236="","",IF(MAX($E4236,$F4236,$G4236)&gt;1,"중복","-"))</f>
        <v/>
      </c>
      <c r="I4236" s="11" t="str">
        <f aca="false">IF($A4236="","",IF($H4236="-","-",IF(AND(IF(원본명단!$H4235="",TRUE(),COUNTIF(원본명단!$H$3:$H4235,원본명단!$H4235)=1),IF(원본명단!$I4235="",TRUE(),COUNTIF(원본명단!$I$3:$I4235,원본명단!$I4235)=1),IF(원본명단!$K4235="",TRUE(),COUNTIF(원본명단!$K$3:$K4235,원본명단!$K4235)=1)),"첫 건","중복 건")))</f>
        <v/>
      </c>
      <c r="J4236" s="11" t="str">
        <f aca="false">IF($A4236="","",IF($H4236="-","유지",IF($I4236="첫 건","유지","확인 필요")))</f>
        <v/>
      </c>
    </row>
    <row r="4237" customFormat="false" ht="15" hidden="false" customHeight="true" outlineLevel="0" collapsed="false">
      <c r="A4237" s="11" t="str">
        <f aca="false">IF(원본명단!$A4236="","",4234)</f>
        <v/>
      </c>
      <c r="B4237" s="12" t="str">
        <f aca="false">IF($A4237="","",원본명단!$A4236)</f>
        <v/>
      </c>
      <c r="C4237" s="12" t="str">
        <f aca="false">IF($A4237="","",원본명단!$B4236)</f>
        <v/>
      </c>
      <c r="D4237" s="12" t="str">
        <f aca="false">IF($A4237="","",원본명단!$D4236)</f>
        <v/>
      </c>
      <c r="E4237" s="11" t="str">
        <f aca="false">IF($A4237="","",IF(원본명단!$H4236="",0,COUNTIF(원본명단!$H$3:$H$6002,원본명단!$H4236)))</f>
        <v/>
      </c>
      <c r="F4237" s="11" t="str">
        <f aca="false">IF($A4237="","",IF(원본명단!$I4236="",0,COUNTIF(원본명단!$I$3:$I$6002,원본명단!$I4236)))</f>
        <v/>
      </c>
      <c r="G4237" s="11" t="str">
        <f aca="false">IF($A4237="","",IF(원본명단!$K4236="",0,COUNTIF(원본명단!$K$3:$K$6002,원본명단!$K4236)))</f>
        <v/>
      </c>
      <c r="H4237" s="11" t="str">
        <f aca="false">IF($A4237="","",IF(MAX($E4237,$F4237,$G4237)&gt;1,"중복","-"))</f>
        <v/>
      </c>
      <c r="I4237" s="11" t="str">
        <f aca="false">IF($A4237="","",IF($H4237="-","-",IF(AND(IF(원본명단!$H4236="",TRUE(),COUNTIF(원본명단!$H$3:$H4236,원본명단!$H4236)=1),IF(원본명단!$I4236="",TRUE(),COUNTIF(원본명단!$I$3:$I4236,원본명단!$I4236)=1),IF(원본명단!$K4236="",TRUE(),COUNTIF(원본명단!$K$3:$K4236,원본명단!$K4236)=1)),"첫 건","중복 건")))</f>
        <v/>
      </c>
      <c r="J4237" s="11" t="str">
        <f aca="false">IF($A4237="","",IF($H4237="-","유지",IF($I4237="첫 건","유지","확인 필요")))</f>
        <v/>
      </c>
    </row>
    <row r="4238" customFormat="false" ht="15" hidden="false" customHeight="true" outlineLevel="0" collapsed="false">
      <c r="A4238" s="11" t="str">
        <f aca="false">IF(원본명단!$A4237="","",4235)</f>
        <v/>
      </c>
      <c r="B4238" s="12" t="str">
        <f aca="false">IF($A4238="","",원본명단!$A4237)</f>
        <v/>
      </c>
      <c r="C4238" s="12" t="str">
        <f aca="false">IF($A4238="","",원본명단!$B4237)</f>
        <v/>
      </c>
      <c r="D4238" s="12" t="str">
        <f aca="false">IF($A4238="","",원본명단!$D4237)</f>
        <v/>
      </c>
      <c r="E4238" s="11" t="str">
        <f aca="false">IF($A4238="","",IF(원본명단!$H4237="",0,COUNTIF(원본명단!$H$3:$H$6002,원본명단!$H4237)))</f>
        <v/>
      </c>
      <c r="F4238" s="11" t="str">
        <f aca="false">IF($A4238="","",IF(원본명단!$I4237="",0,COUNTIF(원본명단!$I$3:$I$6002,원본명단!$I4237)))</f>
        <v/>
      </c>
      <c r="G4238" s="11" t="str">
        <f aca="false">IF($A4238="","",IF(원본명단!$K4237="",0,COUNTIF(원본명단!$K$3:$K$6002,원본명단!$K4237)))</f>
        <v/>
      </c>
      <c r="H4238" s="11" t="str">
        <f aca="false">IF($A4238="","",IF(MAX($E4238,$F4238,$G4238)&gt;1,"중복","-"))</f>
        <v/>
      </c>
      <c r="I4238" s="11" t="str">
        <f aca="false">IF($A4238="","",IF($H4238="-","-",IF(AND(IF(원본명단!$H4237="",TRUE(),COUNTIF(원본명단!$H$3:$H4237,원본명단!$H4237)=1),IF(원본명단!$I4237="",TRUE(),COUNTIF(원본명단!$I$3:$I4237,원본명단!$I4237)=1),IF(원본명단!$K4237="",TRUE(),COUNTIF(원본명단!$K$3:$K4237,원본명단!$K4237)=1)),"첫 건","중복 건")))</f>
        <v/>
      </c>
      <c r="J4238" s="11" t="str">
        <f aca="false">IF($A4238="","",IF($H4238="-","유지",IF($I4238="첫 건","유지","확인 필요")))</f>
        <v/>
      </c>
    </row>
    <row r="4239" customFormat="false" ht="15" hidden="false" customHeight="true" outlineLevel="0" collapsed="false">
      <c r="A4239" s="11" t="str">
        <f aca="false">IF(원본명단!$A4238="","",4236)</f>
        <v/>
      </c>
      <c r="B4239" s="12" t="str">
        <f aca="false">IF($A4239="","",원본명단!$A4238)</f>
        <v/>
      </c>
      <c r="C4239" s="12" t="str">
        <f aca="false">IF($A4239="","",원본명단!$B4238)</f>
        <v/>
      </c>
      <c r="D4239" s="12" t="str">
        <f aca="false">IF($A4239="","",원본명단!$D4238)</f>
        <v/>
      </c>
      <c r="E4239" s="11" t="str">
        <f aca="false">IF($A4239="","",IF(원본명단!$H4238="",0,COUNTIF(원본명단!$H$3:$H$6002,원본명단!$H4238)))</f>
        <v/>
      </c>
      <c r="F4239" s="11" t="str">
        <f aca="false">IF($A4239="","",IF(원본명단!$I4238="",0,COUNTIF(원본명단!$I$3:$I$6002,원본명단!$I4238)))</f>
        <v/>
      </c>
      <c r="G4239" s="11" t="str">
        <f aca="false">IF($A4239="","",IF(원본명단!$K4238="",0,COUNTIF(원본명단!$K$3:$K$6002,원본명단!$K4238)))</f>
        <v/>
      </c>
      <c r="H4239" s="11" t="str">
        <f aca="false">IF($A4239="","",IF(MAX($E4239,$F4239,$G4239)&gt;1,"중복","-"))</f>
        <v/>
      </c>
      <c r="I4239" s="11" t="str">
        <f aca="false">IF($A4239="","",IF($H4239="-","-",IF(AND(IF(원본명단!$H4238="",TRUE(),COUNTIF(원본명단!$H$3:$H4238,원본명단!$H4238)=1),IF(원본명단!$I4238="",TRUE(),COUNTIF(원본명단!$I$3:$I4238,원본명단!$I4238)=1),IF(원본명단!$K4238="",TRUE(),COUNTIF(원본명단!$K$3:$K4238,원본명단!$K4238)=1)),"첫 건","중복 건")))</f>
        <v/>
      </c>
      <c r="J4239" s="11" t="str">
        <f aca="false">IF($A4239="","",IF($H4239="-","유지",IF($I4239="첫 건","유지","확인 필요")))</f>
        <v/>
      </c>
    </row>
    <row r="4240" customFormat="false" ht="15" hidden="false" customHeight="true" outlineLevel="0" collapsed="false">
      <c r="A4240" s="11" t="str">
        <f aca="false">IF(원본명단!$A4239="","",4237)</f>
        <v/>
      </c>
      <c r="B4240" s="12" t="str">
        <f aca="false">IF($A4240="","",원본명단!$A4239)</f>
        <v/>
      </c>
      <c r="C4240" s="12" t="str">
        <f aca="false">IF($A4240="","",원본명단!$B4239)</f>
        <v/>
      </c>
      <c r="D4240" s="12" t="str">
        <f aca="false">IF($A4240="","",원본명단!$D4239)</f>
        <v/>
      </c>
      <c r="E4240" s="11" t="str">
        <f aca="false">IF($A4240="","",IF(원본명단!$H4239="",0,COUNTIF(원본명단!$H$3:$H$6002,원본명단!$H4239)))</f>
        <v/>
      </c>
      <c r="F4240" s="11" t="str">
        <f aca="false">IF($A4240="","",IF(원본명단!$I4239="",0,COUNTIF(원본명단!$I$3:$I$6002,원본명단!$I4239)))</f>
        <v/>
      </c>
      <c r="G4240" s="11" t="str">
        <f aca="false">IF($A4240="","",IF(원본명단!$K4239="",0,COUNTIF(원본명단!$K$3:$K$6002,원본명단!$K4239)))</f>
        <v/>
      </c>
      <c r="H4240" s="11" t="str">
        <f aca="false">IF($A4240="","",IF(MAX($E4240,$F4240,$G4240)&gt;1,"중복","-"))</f>
        <v/>
      </c>
      <c r="I4240" s="11" t="str">
        <f aca="false">IF($A4240="","",IF($H4240="-","-",IF(AND(IF(원본명단!$H4239="",TRUE(),COUNTIF(원본명단!$H$3:$H4239,원본명단!$H4239)=1),IF(원본명단!$I4239="",TRUE(),COUNTIF(원본명단!$I$3:$I4239,원본명단!$I4239)=1),IF(원본명단!$K4239="",TRUE(),COUNTIF(원본명단!$K$3:$K4239,원본명단!$K4239)=1)),"첫 건","중복 건")))</f>
        <v/>
      </c>
      <c r="J4240" s="11" t="str">
        <f aca="false">IF($A4240="","",IF($H4240="-","유지",IF($I4240="첫 건","유지","확인 필요")))</f>
        <v/>
      </c>
    </row>
    <row r="4241" customFormat="false" ht="15" hidden="false" customHeight="true" outlineLevel="0" collapsed="false">
      <c r="A4241" s="11" t="str">
        <f aca="false">IF(원본명단!$A4240="","",4238)</f>
        <v/>
      </c>
      <c r="B4241" s="12" t="str">
        <f aca="false">IF($A4241="","",원본명단!$A4240)</f>
        <v/>
      </c>
      <c r="C4241" s="12" t="str">
        <f aca="false">IF($A4241="","",원본명단!$B4240)</f>
        <v/>
      </c>
      <c r="D4241" s="12" t="str">
        <f aca="false">IF($A4241="","",원본명단!$D4240)</f>
        <v/>
      </c>
      <c r="E4241" s="11" t="str">
        <f aca="false">IF($A4241="","",IF(원본명단!$H4240="",0,COUNTIF(원본명단!$H$3:$H$6002,원본명단!$H4240)))</f>
        <v/>
      </c>
      <c r="F4241" s="11" t="str">
        <f aca="false">IF($A4241="","",IF(원본명단!$I4240="",0,COUNTIF(원본명단!$I$3:$I$6002,원본명단!$I4240)))</f>
        <v/>
      </c>
      <c r="G4241" s="11" t="str">
        <f aca="false">IF($A4241="","",IF(원본명단!$K4240="",0,COUNTIF(원본명단!$K$3:$K$6002,원본명단!$K4240)))</f>
        <v/>
      </c>
      <c r="H4241" s="11" t="str">
        <f aca="false">IF($A4241="","",IF(MAX($E4241,$F4241,$G4241)&gt;1,"중복","-"))</f>
        <v/>
      </c>
      <c r="I4241" s="11" t="str">
        <f aca="false">IF($A4241="","",IF($H4241="-","-",IF(AND(IF(원본명단!$H4240="",TRUE(),COUNTIF(원본명단!$H$3:$H4240,원본명단!$H4240)=1),IF(원본명단!$I4240="",TRUE(),COUNTIF(원본명단!$I$3:$I4240,원본명단!$I4240)=1),IF(원본명단!$K4240="",TRUE(),COUNTIF(원본명단!$K$3:$K4240,원본명단!$K4240)=1)),"첫 건","중복 건")))</f>
        <v/>
      </c>
      <c r="J4241" s="11" t="str">
        <f aca="false">IF($A4241="","",IF($H4241="-","유지",IF($I4241="첫 건","유지","확인 필요")))</f>
        <v/>
      </c>
    </row>
    <row r="4242" customFormat="false" ht="15" hidden="false" customHeight="true" outlineLevel="0" collapsed="false">
      <c r="A4242" s="11" t="str">
        <f aca="false">IF(원본명단!$A4241="","",4239)</f>
        <v/>
      </c>
      <c r="B4242" s="12" t="str">
        <f aca="false">IF($A4242="","",원본명단!$A4241)</f>
        <v/>
      </c>
      <c r="C4242" s="12" t="str">
        <f aca="false">IF($A4242="","",원본명단!$B4241)</f>
        <v/>
      </c>
      <c r="D4242" s="12" t="str">
        <f aca="false">IF($A4242="","",원본명단!$D4241)</f>
        <v/>
      </c>
      <c r="E4242" s="11" t="str">
        <f aca="false">IF($A4242="","",IF(원본명단!$H4241="",0,COUNTIF(원본명단!$H$3:$H$6002,원본명단!$H4241)))</f>
        <v/>
      </c>
      <c r="F4242" s="11" t="str">
        <f aca="false">IF($A4242="","",IF(원본명단!$I4241="",0,COUNTIF(원본명단!$I$3:$I$6002,원본명단!$I4241)))</f>
        <v/>
      </c>
      <c r="G4242" s="11" t="str">
        <f aca="false">IF($A4242="","",IF(원본명단!$K4241="",0,COUNTIF(원본명단!$K$3:$K$6002,원본명단!$K4241)))</f>
        <v/>
      </c>
      <c r="H4242" s="11" t="str">
        <f aca="false">IF($A4242="","",IF(MAX($E4242,$F4242,$G4242)&gt;1,"중복","-"))</f>
        <v/>
      </c>
      <c r="I4242" s="11" t="str">
        <f aca="false">IF($A4242="","",IF($H4242="-","-",IF(AND(IF(원본명단!$H4241="",TRUE(),COUNTIF(원본명단!$H$3:$H4241,원본명단!$H4241)=1),IF(원본명단!$I4241="",TRUE(),COUNTIF(원본명단!$I$3:$I4241,원본명단!$I4241)=1),IF(원본명단!$K4241="",TRUE(),COUNTIF(원본명단!$K$3:$K4241,원본명단!$K4241)=1)),"첫 건","중복 건")))</f>
        <v/>
      </c>
      <c r="J4242" s="11" t="str">
        <f aca="false">IF($A4242="","",IF($H4242="-","유지",IF($I4242="첫 건","유지","확인 필요")))</f>
        <v/>
      </c>
    </row>
    <row r="4243" customFormat="false" ht="15" hidden="false" customHeight="true" outlineLevel="0" collapsed="false">
      <c r="A4243" s="11" t="str">
        <f aca="false">IF(원본명단!$A4242="","",4240)</f>
        <v/>
      </c>
      <c r="B4243" s="12" t="str">
        <f aca="false">IF($A4243="","",원본명단!$A4242)</f>
        <v/>
      </c>
      <c r="C4243" s="12" t="str">
        <f aca="false">IF($A4243="","",원본명단!$B4242)</f>
        <v/>
      </c>
      <c r="D4243" s="12" t="str">
        <f aca="false">IF($A4243="","",원본명단!$D4242)</f>
        <v/>
      </c>
      <c r="E4243" s="11" t="str">
        <f aca="false">IF($A4243="","",IF(원본명단!$H4242="",0,COUNTIF(원본명단!$H$3:$H$6002,원본명단!$H4242)))</f>
        <v/>
      </c>
      <c r="F4243" s="11" t="str">
        <f aca="false">IF($A4243="","",IF(원본명단!$I4242="",0,COUNTIF(원본명단!$I$3:$I$6002,원본명단!$I4242)))</f>
        <v/>
      </c>
      <c r="G4243" s="11" t="str">
        <f aca="false">IF($A4243="","",IF(원본명단!$K4242="",0,COUNTIF(원본명단!$K$3:$K$6002,원본명단!$K4242)))</f>
        <v/>
      </c>
      <c r="H4243" s="11" t="str">
        <f aca="false">IF($A4243="","",IF(MAX($E4243,$F4243,$G4243)&gt;1,"중복","-"))</f>
        <v/>
      </c>
      <c r="I4243" s="11" t="str">
        <f aca="false">IF($A4243="","",IF($H4243="-","-",IF(AND(IF(원본명단!$H4242="",TRUE(),COUNTIF(원본명단!$H$3:$H4242,원본명단!$H4242)=1),IF(원본명단!$I4242="",TRUE(),COUNTIF(원본명단!$I$3:$I4242,원본명단!$I4242)=1),IF(원본명단!$K4242="",TRUE(),COUNTIF(원본명단!$K$3:$K4242,원본명단!$K4242)=1)),"첫 건","중복 건")))</f>
        <v/>
      </c>
      <c r="J4243" s="11" t="str">
        <f aca="false">IF($A4243="","",IF($H4243="-","유지",IF($I4243="첫 건","유지","확인 필요")))</f>
        <v/>
      </c>
    </row>
    <row r="4244" customFormat="false" ht="15" hidden="false" customHeight="true" outlineLevel="0" collapsed="false">
      <c r="A4244" s="11" t="str">
        <f aca="false">IF(원본명단!$A4243="","",4241)</f>
        <v/>
      </c>
      <c r="B4244" s="12" t="str">
        <f aca="false">IF($A4244="","",원본명단!$A4243)</f>
        <v/>
      </c>
      <c r="C4244" s="12" t="str">
        <f aca="false">IF($A4244="","",원본명단!$B4243)</f>
        <v/>
      </c>
      <c r="D4244" s="12" t="str">
        <f aca="false">IF($A4244="","",원본명단!$D4243)</f>
        <v/>
      </c>
      <c r="E4244" s="11" t="str">
        <f aca="false">IF($A4244="","",IF(원본명단!$H4243="",0,COUNTIF(원본명단!$H$3:$H$6002,원본명단!$H4243)))</f>
        <v/>
      </c>
      <c r="F4244" s="11" t="str">
        <f aca="false">IF($A4244="","",IF(원본명단!$I4243="",0,COUNTIF(원본명단!$I$3:$I$6002,원본명단!$I4243)))</f>
        <v/>
      </c>
      <c r="G4244" s="11" t="str">
        <f aca="false">IF($A4244="","",IF(원본명단!$K4243="",0,COUNTIF(원본명단!$K$3:$K$6002,원본명단!$K4243)))</f>
        <v/>
      </c>
      <c r="H4244" s="11" t="str">
        <f aca="false">IF($A4244="","",IF(MAX($E4244,$F4244,$G4244)&gt;1,"중복","-"))</f>
        <v/>
      </c>
      <c r="I4244" s="11" t="str">
        <f aca="false">IF($A4244="","",IF($H4244="-","-",IF(AND(IF(원본명단!$H4243="",TRUE(),COUNTIF(원본명단!$H$3:$H4243,원본명단!$H4243)=1),IF(원본명단!$I4243="",TRUE(),COUNTIF(원본명단!$I$3:$I4243,원본명단!$I4243)=1),IF(원본명단!$K4243="",TRUE(),COUNTIF(원본명단!$K$3:$K4243,원본명단!$K4243)=1)),"첫 건","중복 건")))</f>
        <v/>
      </c>
      <c r="J4244" s="11" t="str">
        <f aca="false">IF($A4244="","",IF($H4244="-","유지",IF($I4244="첫 건","유지","확인 필요")))</f>
        <v/>
      </c>
    </row>
    <row r="4245" customFormat="false" ht="15" hidden="false" customHeight="true" outlineLevel="0" collapsed="false">
      <c r="A4245" s="11" t="str">
        <f aca="false">IF(원본명단!$A4244="","",4242)</f>
        <v/>
      </c>
      <c r="B4245" s="12" t="str">
        <f aca="false">IF($A4245="","",원본명단!$A4244)</f>
        <v/>
      </c>
      <c r="C4245" s="12" t="str">
        <f aca="false">IF($A4245="","",원본명단!$B4244)</f>
        <v/>
      </c>
      <c r="D4245" s="12" t="str">
        <f aca="false">IF($A4245="","",원본명단!$D4244)</f>
        <v/>
      </c>
      <c r="E4245" s="11" t="str">
        <f aca="false">IF($A4245="","",IF(원본명단!$H4244="",0,COUNTIF(원본명단!$H$3:$H$6002,원본명단!$H4244)))</f>
        <v/>
      </c>
      <c r="F4245" s="11" t="str">
        <f aca="false">IF($A4245="","",IF(원본명단!$I4244="",0,COUNTIF(원본명단!$I$3:$I$6002,원본명단!$I4244)))</f>
        <v/>
      </c>
      <c r="G4245" s="11" t="str">
        <f aca="false">IF($A4245="","",IF(원본명단!$K4244="",0,COUNTIF(원본명단!$K$3:$K$6002,원본명단!$K4244)))</f>
        <v/>
      </c>
      <c r="H4245" s="11" t="str">
        <f aca="false">IF($A4245="","",IF(MAX($E4245,$F4245,$G4245)&gt;1,"중복","-"))</f>
        <v/>
      </c>
      <c r="I4245" s="11" t="str">
        <f aca="false">IF($A4245="","",IF($H4245="-","-",IF(AND(IF(원본명단!$H4244="",TRUE(),COUNTIF(원본명단!$H$3:$H4244,원본명단!$H4244)=1),IF(원본명단!$I4244="",TRUE(),COUNTIF(원본명단!$I$3:$I4244,원본명단!$I4244)=1),IF(원본명단!$K4244="",TRUE(),COUNTIF(원본명단!$K$3:$K4244,원본명단!$K4244)=1)),"첫 건","중복 건")))</f>
        <v/>
      </c>
      <c r="J4245" s="11" t="str">
        <f aca="false">IF($A4245="","",IF($H4245="-","유지",IF($I4245="첫 건","유지","확인 필요")))</f>
        <v/>
      </c>
    </row>
    <row r="4246" customFormat="false" ht="15" hidden="false" customHeight="true" outlineLevel="0" collapsed="false">
      <c r="A4246" s="11" t="str">
        <f aca="false">IF(원본명단!$A4245="","",4243)</f>
        <v/>
      </c>
      <c r="B4246" s="12" t="str">
        <f aca="false">IF($A4246="","",원본명단!$A4245)</f>
        <v/>
      </c>
      <c r="C4246" s="12" t="str">
        <f aca="false">IF($A4246="","",원본명단!$B4245)</f>
        <v/>
      </c>
      <c r="D4246" s="12" t="str">
        <f aca="false">IF($A4246="","",원본명단!$D4245)</f>
        <v/>
      </c>
      <c r="E4246" s="11" t="str">
        <f aca="false">IF($A4246="","",IF(원본명단!$H4245="",0,COUNTIF(원본명단!$H$3:$H$6002,원본명단!$H4245)))</f>
        <v/>
      </c>
      <c r="F4246" s="11" t="str">
        <f aca="false">IF($A4246="","",IF(원본명단!$I4245="",0,COUNTIF(원본명단!$I$3:$I$6002,원본명단!$I4245)))</f>
        <v/>
      </c>
      <c r="G4246" s="11" t="str">
        <f aca="false">IF($A4246="","",IF(원본명단!$K4245="",0,COUNTIF(원본명단!$K$3:$K$6002,원본명단!$K4245)))</f>
        <v/>
      </c>
      <c r="H4246" s="11" t="str">
        <f aca="false">IF($A4246="","",IF(MAX($E4246,$F4246,$G4246)&gt;1,"중복","-"))</f>
        <v/>
      </c>
      <c r="I4246" s="11" t="str">
        <f aca="false">IF($A4246="","",IF($H4246="-","-",IF(AND(IF(원본명단!$H4245="",TRUE(),COUNTIF(원본명단!$H$3:$H4245,원본명단!$H4245)=1),IF(원본명단!$I4245="",TRUE(),COUNTIF(원본명단!$I$3:$I4245,원본명단!$I4245)=1),IF(원본명단!$K4245="",TRUE(),COUNTIF(원본명단!$K$3:$K4245,원본명단!$K4245)=1)),"첫 건","중복 건")))</f>
        <v/>
      </c>
      <c r="J4246" s="11" t="str">
        <f aca="false">IF($A4246="","",IF($H4246="-","유지",IF($I4246="첫 건","유지","확인 필요")))</f>
        <v/>
      </c>
    </row>
    <row r="4247" customFormat="false" ht="15" hidden="false" customHeight="true" outlineLevel="0" collapsed="false">
      <c r="A4247" s="11" t="str">
        <f aca="false">IF(원본명단!$A4246="","",4244)</f>
        <v/>
      </c>
      <c r="B4247" s="12" t="str">
        <f aca="false">IF($A4247="","",원본명단!$A4246)</f>
        <v/>
      </c>
      <c r="C4247" s="12" t="str">
        <f aca="false">IF($A4247="","",원본명단!$B4246)</f>
        <v/>
      </c>
      <c r="D4247" s="12" t="str">
        <f aca="false">IF($A4247="","",원본명단!$D4246)</f>
        <v/>
      </c>
      <c r="E4247" s="11" t="str">
        <f aca="false">IF($A4247="","",IF(원본명단!$H4246="",0,COUNTIF(원본명단!$H$3:$H$6002,원본명단!$H4246)))</f>
        <v/>
      </c>
      <c r="F4247" s="11" t="str">
        <f aca="false">IF($A4247="","",IF(원본명단!$I4246="",0,COUNTIF(원본명단!$I$3:$I$6002,원본명단!$I4246)))</f>
        <v/>
      </c>
      <c r="G4247" s="11" t="str">
        <f aca="false">IF($A4247="","",IF(원본명단!$K4246="",0,COUNTIF(원본명단!$K$3:$K$6002,원본명단!$K4246)))</f>
        <v/>
      </c>
      <c r="H4247" s="11" t="str">
        <f aca="false">IF($A4247="","",IF(MAX($E4247,$F4247,$G4247)&gt;1,"중복","-"))</f>
        <v/>
      </c>
      <c r="I4247" s="11" t="str">
        <f aca="false">IF($A4247="","",IF($H4247="-","-",IF(AND(IF(원본명단!$H4246="",TRUE(),COUNTIF(원본명단!$H$3:$H4246,원본명단!$H4246)=1),IF(원본명단!$I4246="",TRUE(),COUNTIF(원본명단!$I$3:$I4246,원본명단!$I4246)=1),IF(원본명단!$K4246="",TRUE(),COUNTIF(원본명단!$K$3:$K4246,원본명단!$K4246)=1)),"첫 건","중복 건")))</f>
        <v/>
      </c>
      <c r="J4247" s="11" t="str">
        <f aca="false">IF($A4247="","",IF($H4247="-","유지",IF($I4247="첫 건","유지","확인 필요")))</f>
        <v/>
      </c>
    </row>
    <row r="4248" customFormat="false" ht="15" hidden="false" customHeight="true" outlineLevel="0" collapsed="false">
      <c r="A4248" s="11" t="str">
        <f aca="false">IF(원본명단!$A4247="","",4245)</f>
        <v/>
      </c>
      <c r="B4248" s="12" t="str">
        <f aca="false">IF($A4248="","",원본명단!$A4247)</f>
        <v/>
      </c>
      <c r="C4248" s="12" t="str">
        <f aca="false">IF($A4248="","",원본명단!$B4247)</f>
        <v/>
      </c>
      <c r="D4248" s="12" t="str">
        <f aca="false">IF($A4248="","",원본명단!$D4247)</f>
        <v/>
      </c>
      <c r="E4248" s="11" t="str">
        <f aca="false">IF($A4248="","",IF(원본명단!$H4247="",0,COUNTIF(원본명단!$H$3:$H$6002,원본명단!$H4247)))</f>
        <v/>
      </c>
      <c r="F4248" s="11" t="str">
        <f aca="false">IF($A4248="","",IF(원본명단!$I4247="",0,COUNTIF(원본명단!$I$3:$I$6002,원본명단!$I4247)))</f>
        <v/>
      </c>
      <c r="G4248" s="11" t="str">
        <f aca="false">IF($A4248="","",IF(원본명단!$K4247="",0,COUNTIF(원본명단!$K$3:$K$6002,원본명단!$K4247)))</f>
        <v/>
      </c>
      <c r="H4248" s="11" t="str">
        <f aca="false">IF($A4248="","",IF(MAX($E4248,$F4248,$G4248)&gt;1,"중복","-"))</f>
        <v/>
      </c>
      <c r="I4248" s="11" t="str">
        <f aca="false">IF($A4248="","",IF($H4248="-","-",IF(AND(IF(원본명단!$H4247="",TRUE(),COUNTIF(원본명단!$H$3:$H4247,원본명단!$H4247)=1),IF(원본명단!$I4247="",TRUE(),COUNTIF(원본명단!$I$3:$I4247,원본명단!$I4247)=1),IF(원본명단!$K4247="",TRUE(),COUNTIF(원본명단!$K$3:$K4247,원본명단!$K4247)=1)),"첫 건","중복 건")))</f>
        <v/>
      </c>
      <c r="J4248" s="11" t="str">
        <f aca="false">IF($A4248="","",IF($H4248="-","유지",IF($I4248="첫 건","유지","확인 필요")))</f>
        <v/>
      </c>
    </row>
    <row r="4249" customFormat="false" ht="15" hidden="false" customHeight="true" outlineLevel="0" collapsed="false">
      <c r="A4249" s="11" t="str">
        <f aca="false">IF(원본명단!$A4248="","",4246)</f>
        <v/>
      </c>
      <c r="B4249" s="12" t="str">
        <f aca="false">IF($A4249="","",원본명단!$A4248)</f>
        <v/>
      </c>
      <c r="C4249" s="12" t="str">
        <f aca="false">IF($A4249="","",원본명단!$B4248)</f>
        <v/>
      </c>
      <c r="D4249" s="12" t="str">
        <f aca="false">IF($A4249="","",원본명단!$D4248)</f>
        <v/>
      </c>
      <c r="E4249" s="11" t="str">
        <f aca="false">IF($A4249="","",IF(원본명단!$H4248="",0,COUNTIF(원본명단!$H$3:$H$6002,원본명단!$H4248)))</f>
        <v/>
      </c>
      <c r="F4249" s="11" t="str">
        <f aca="false">IF($A4249="","",IF(원본명단!$I4248="",0,COUNTIF(원본명단!$I$3:$I$6002,원본명단!$I4248)))</f>
        <v/>
      </c>
      <c r="G4249" s="11" t="str">
        <f aca="false">IF($A4249="","",IF(원본명단!$K4248="",0,COUNTIF(원본명단!$K$3:$K$6002,원본명단!$K4248)))</f>
        <v/>
      </c>
      <c r="H4249" s="11" t="str">
        <f aca="false">IF($A4249="","",IF(MAX($E4249,$F4249,$G4249)&gt;1,"중복","-"))</f>
        <v/>
      </c>
      <c r="I4249" s="11" t="str">
        <f aca="false">IF($A4249="","",IF($H4249="-","-",IF(AND(IF(원본명단!$H4248="",TRUE(),COUNTIF(원본명단!$H$3:$H4248,원본명단!$H4248)=1),IF(원본명단!$I4248="",TRUE(),COUNTIF(원본명단!$I$3:$I4248,원본명단!$I4248)=1),IF(원본명단!$K4248="",TRUE(),COUNTIF(원본명단!$K$3:$K4248,원본명단!$K4248)=1)),"첫 건","중복 건")))</f>
        <v/>
      </c>
      <c r="J4249" s="11" t="str">
        <f aca="false">IF($A4249="","",IF($H4249="-","유지",IF($I4249="첫 건","유지","확인 필요")))</f>
        <v/>
      </c>
    </row>
    <row r="4250" customFormat="false" ht="15" hidden="false" customHeight="true" outlineLevel="0" collapsed="false">
      <c r="A4250" s="11" t="str">
        <f aca="false">IF(원본명단!$A4249="","",4247)</f>
        <v/>
      </c>
      <c r="B4250" s="12" t="str">
        <f aca="false">IF($A4250="","",원본명단!$A4249)</f>
        <v/>
      </c>
      <c r="C4250" s="12" t="str">
        <f aca="false">IF($A4250="","",원본명단!$B4249)</f>
        <v/>
      </c>
      <c r="D4250" s="12" t="str">
        <f aca="false">IF($A4250="","",원본명단!$D4249)</f>
        <v/>
      </c>
      <c r="E4250" s="11" t="str">
        <f aca="false">IF($A4250="","",IF(원본명단!$H4249="",0,COUNTIF(원본명단!$H$3:$H$6002,원본명단!$H4249)))</f>
        <v/>
      </c>
      <c r="F4250" s="11" t="str">
        <f aca="false">IF($A4250="","",IF(원본명단!$I4249="",0,COUNTIF(원본명단!$I$3:$I$6002,원본명단!$I4249)))</f>
        <v/>
      </c>
      <c r="G4250" s="11" t="str">
        <f aca="false">IF($A4250="","",IF(원본명단!$K4249="",0,COUNTIF(원본명단!$K$3:$K$6002,원본명단!$K4249)))</f>
        <v/>
      </c>
      <c r="H4250" s="11" t="str">
        <f aca="false">IF($A4250="","",IF(MAX($E4250,$F4250,$G4250)&gt;1,"중복","-"))</f>
        <v/>
      </c>
      <c r="I4250" s="11" t="str">
        <f aca="false">IF($A4250="","",IF($H4250="-","-",IF(AND(IF(원본명단!$H4249="",TRUE(),COUNTIF(원본명단!$H$3:$H4249,원본명단!$H4249)=1),IF(원본명단!$I4249="",TRUE(),COUNTIF(원본명단!$I$3:$I4249,원본명단!$I4249)=1),IF(원본명단!$K4249="",TRUE(),COUNTIF(원본명단!$K$3:$K4249,원본명단!$K4249)=1)),"첫 건","중복 건")))</f>
        <v/>
      </c>
      <c r="J4250" s="11" t="str">
        <f aca="false">IF($A4250="","",IF($H4250="-","유지",IF($I4250="첫 건","유지","확인 필요")))</f>
        <v/>
      </c>
    </row>
    <row r="4251" customFormat="false" ht="15" hidden="false" customHeight="true" outlineLevel="0" collapsed="false">
      <c r="A4251" s="11" t="str">
        <f aca="false">IF(원본명단!$A4250="","",4248)</f>
        <v/>
      </c>
      <c r="B4251" s="12" t="str">
        <f aca="false">IF($A4251="","",원본명단!$A4250)</f>
        <v/>
      </c>
      <c r="C4251" s="12" t="str">
        <f aca="false">IF($A4251="","",원본명단!$B4250)</f>
        <v/>
      </c>
      <c r="D4251" s="12" t="str">
        <f aca="false">IF($A4251="","",원본명단!$D4250)</f>
        <v/>
      </c>
      <c r="E4251" s="11" t="str">
        <f aca="false">IF($A4251="","",IF(원본명단!$H4250="",0,COUNTIF(원본명단!$H$3:$H$6002,원본명단!$H4250)))</f>
        <v/>
      </c>
      <c r="F4251" s="11" t="str">
        <f aca="false">IF($A4251="","",IF(원본명단!$I4250="",0,COUNTIF(원본명단!$I$3:$I$6002,원본명단!$I4250)))</f>
        <v/>
      </c>
      <c r="G4251" s="11" t="str">
        <f aca="false">IF($A4251="","",IF(원본명단!$K4250="",0,COUNTIF(원본명단!$K$3:$K$6002,원본명단!$K4250)))</f>
        <v/>
      </c>
      <c r="H4251" s="11" t="str">
        <f aca="false">IF($A4251="","",IF(MAX($E4251,$F4251,$G4251)&gt;1,"중복","-"))</f>
        <v/>
      </c>
      <c r="I4251" s="11" t="str">
        <f aca="false">IF($A4251="","",IF($H4251="-","-",IF(AND(IF(원본명단!$H4250="",TRUE(),COUNTIF(원본명단!$H$3:$H4250,원본명단!$H4250)=1),IF(원본명단!$I4250="",TRUE(),COUNTIF(원본명단!$I$3:$I4250,원본명단!$I4250)=1),IF(원본명단!$K4250="",TRUE(),COUNTIF(원본명단!$K$3:$K4250,원본명단!$K4250)=1)),"첫 건","중복 건")))</f>
        <v/>
      </c>
      <c r="J4251" s="11" t="str">
        <f aca="false">IF($A4251="","",IF($H4251="-","유지",IF($I4251="첫 건","유지","확인 필요")))</f>
        <v/>
      </c>
    </row>
    <row r="4252" customFormat="false" ht="15" hidden="false" customHeight="true" outlineLevel="0" collapsed="false">
      <c r="A4252" s="11" t="str">
        <f aca="false">IF(원본명단!$A4251="","",4249)</f>
        <v/>
      </c>
      <c r="B4252" s="12" t="str">
        <f aca="false">IF($A4252="","",원본명단!$A4251)</f>
        <v/>
      </c>
      <c r="C4252" s="12" t="str">
        <f aca="false">IF($A4252="","",원본명단!$B4251)</f>
        <v/>
      </c>
      <c r="D4252" s="12" t="str">
        <f aca="false">IF($A4252="","",원본명단!$D4251)</f>
        <v/>
      </c>
      <c r="E4252" s="11" t="str">
        <f aca="false">IF($A4252="","",IF(원본명단!$H4251="",0,COUNTIF(원본명단!$H$3:$H$6002,원본명단!$H4251)))</f>
        <v/>
      </c>
      <c r="F4252" s="11" t="str">
        <f aca="false">IF($A4252="","",IF(원본명단!$I4251="",0,COUNTIF(원본명단!$I$3:$I$6002,원본명단!$I4251)))</f>
        <v/>
      </c>
      <c r="G4252" s="11" t="str">
        <f aca="false">IF($A4252="","",IF(원본명단!$K4251="",0,COUNTIF(원본명단!$K$3:$K$6002,원본명단!$K4251)))</f>
        <v/>
      </c>
      <c r="H4252" s="11" t="str">
        <f aca="false">IF($A4252="","",IF(MAX($E4252,$F4252,$G4252)&gt;1,"중복","-"))</f>
        <v/>
      </c>
      <c r="I4252" s="11" t="str">
        <f aca="false">IF($A4252="","",IF($H4252="-","-",IF(AND(IF(원본명단!$H4251="",TRUE(),COUNTIF(원본명단!$H$3:$H4251,원본명단!$H4251)=1),IF(원본명단!$I4251="",TRUE(),COUNTIF(원본명단!$I$3:$I4251,원본명단!$I4251)=1),IF(원본명단!$K4251="",TRUE(),COUNTIF(원본명단!$K$3:$K4251,원본명단!$K4251)=1)),"첫 건","중복 건")))</f>
        <v/>
      </c>
      <c r="J4252" s="11" t="str">
        <f aca="false">IF($A4252="","",IF($H4252="-","유지",IF($I4252="첫 건","유지","확인 필요")))</f>
        <v/>
      </c>
    </row>
    <row r="4253" customFormat="false" ht="15" hidden="false" customHeight="true" outlineLevel="0" collapsed="false">
      <c r="A4253" s="11" t="str">
        <f aca="false">IF(원본명단!$A4252="","",4250)</f>
        <v/>
      </c>
      <c r="B4253" s="12" t="str">
        <f aca="false">IF($A4253="","",원본명단!$A4252)</f>
        <v/>
      </c>
      <c r="C4253" s="12" t="str">
        <f aca="false">IF($A4253="","",원본명단!$B4252)</f>
        <v/>
      </c>
      <c r="D4253" s="12" t="str">
        <f aca="false">IF($A4253="","",원본명단!$D4252)</f>
        <v/>
      </c>
      <c r="E4253" s="11" t="str">
        <f aca="false">IF($A4253="","",IF(원본명단!$H4252="",0,COUNTIF(원본명단!$H$3:$H$6002,원본명단!$H4252)))</f>
        <v/>
      </c>
      <c r="F4253" s="11" t="str">
        <f aca="false">IF($A4253="","",IF(원본명단!$I4252="",0,COUNTIF(원본명단!$I$3:$I$6002,원본명단!$I4252)))</f>
        <v/>
      </c>
      <c r="G4253" s="11" t="str">
        <f aca="false">IF($A4253="","",IF(원본명단!$K4252="",0,COUNTIF(원본명단!$K$3:$K$6002,원본명단!$K4252)))</f>
        <v/>
      </c>
      <c r="H4253" s="11" t="str">
        <f aca="false">IF($A4253="","",IF(MAX($E4253,$F4253,$G4253)&gt;1,"중복","-"))</f>
        <v/>
      </c>
      <c r="I4253" s="11" t="str">
        <f aca="false">IF($A4253="","",IF($H4253="-","-",IF(AND(IF(원본명단!$H4252="",TRUE(),COUNTIF(원본명단!$H$3:$H4252,원본명단!$H4252)=1),IF(원본명단!$I4252="",TRUE(),COUNTIF(원본명단!$I$3:$I4252,원본명단!$I4252)=1),IF(원본명단!$K4252="",TRUE(),COUNTIF(원본명단!$K$3:$K4252,원본명단!$K4252)=1)),"첫 건","중복 건")))</f>
        <v/>
      </c>
      <c r="J4253" s="11" t="str">
        <f aca="false">IF($A4253="","",IF($H4253="-","유지",IF($I4253="첫 건","유지","확인 필요")))</f>
        <v/>
      </c>
    </row>
    <row r="4254" customFormat="false" ht="15" hidden="false" customHeight="true" outlineLevel="0" collapsed="false">
      <c r="A4254" s="11" t="str">
        <f aca="false">IF(원본명단!$A4253="","",4251)</f>
        <v/>
      </c>
      <c r="B4254" s="12" t="str">
        <f aca="false">IF($A4254="","",원본명단!$A4253)</f>
        <v/>
      </c>
      <c r="C4254" s="12" t="str">
        <f aca="false">IF($A4254="","",원본명단!$B4253)</f>
        <v/>
      </c>
      <c r="D4254" s="12" t="str">
        <f aca="false">IF($A4254="","",원본명단!$D4253)</f>
        <v/>
      </c>
      <c r="E4254" s="11" t="str">
        <f aca="false">IF($A4254="","",IF(원본명단!$H4253="",0,COUNTIF(원본명단!$H$3:$H$6002,원본명단!$H4253)))</f>
        <v/>
      </c>
      <c r="F4254" s="11" t="str">
        <f aca="false">IF($A4254="","",IF(원본명단!$I4253="",0,COUNTIF(원본명단!$I$3:$I$6002,원본명단!$I4253)))</f>
        <v/>
      </c>
      <c r="G4254" s="11" t="str">
        <f aca="false">IF($A4254="","",IF(원본명단!$K4253="",0,COUNTIF(원본명단!$K$3:$K$6002,원본명단!$K4253)))</f>
        <v/>
      </c>
      <c r="H4254" s="11" t="str">
        <f aca="false">IF($A4254="","",IF(MAX($E4254,$F4254,$G4254)&gt;1,"중복","-"))</f>
        <v/>
      </c>
      <c r="I4254" s="11" t="str">
        <f aca="false">IF($A4254="","",IF($H4254="-","-",IF(AND(IF(원본명단!$H4253="",TRUE(),COUNTIF(원본명단!$H$3:$H4253,원본명단!$H4253)=1),IF(원본명단!$I4253="",TRUE(),COUNTIF(원본명단!$I$3:$I4253,원본명단!$I4253)=1),IF(원본명단!$K4253="",TRUE(),COUNTIF(원본명단!$K$3:$K4253,원본명단!$K4253)=1)),"첫 건","중복 건")))</f>
        <v/>
      </c>
      <c r="J4254" s="11" t="str">
        <f aca="false">IF($A4254="","",IF($H4254="-","유지",IF($I4254="첫 건","유지","확인 필요")))</f>
        <v/>
      </c>
    </row>
    <row r="4255" customFormat="false" ht="15" hidden="false" customHeight="true" outlineLevel="0" collapsed="false">
      <c r="A4255" s="11" t="str">
        <f aca="false">IF(원본명단!$A4254="","",4252)</f>
        <v/>
      </c>
      <c r="B4255" s="12" t="str">
        <f aca="false">IF($A4255="","",원본명단!$A4254)</f>
        <v/>
      </c>
      <c r="C4255" s="12" t="str">
        <f aca="false">IF($A4255="","",원본명단!$B4254)</f>
        <v/>
      </c>
      <c r="D4255" s="12" t="str">
        <f aca="false">IF($A4255="","",원본명단!$D4254)</f>
        <v/>
      </c>
      <c r="E4255" s="11" t="str">
        <f aca="false">IF($A4255="","",IF(원본명단!$H4254="",0,COUNTIF(원본명단!$H$3:$H$6002,원본명단!$H4254)))</f>
        <v/>
      </c>
      <c r="F4255" s="11" t="str">
        <f aca="false">IF($A4255="","",IF(원본명단!$I4254="",0,COUNTIF(원본명단!$I$3:$I$6002,원본명단!$I4254)))</f>
        <v/>
      </c>
      <c r="G4255" s="11" t="str">
        <f aca="false">IF($A4255="","",IF(원본명단!$K4254="",0,COUNTIF(원본명단!$K$3:$K$6002,원본명단!$K4254)))</f>
        <v/>
      </c>
      <c r="H4255" s="11" t="str">
        <f aca="false">IF($A4255="","",IF(MAX($E4255,$F4255,$G4255)&gt;1,"중복","-"))</f>
        <v/>
      </c>
      <c r="I4255" s="11" t="str">
        <f aca="false">IF($A4255="","",IF($H4255="-","-",IF(AND(IF(원본명단!$H4254="",TRUE(),COUNTIF(원본명단!$H$3:$H4254,원본명단!$H4254)=1),IF(원본명단!$I4254="",TRUE(),COUNTIF(원본명단!$I$3:$I4254,원본명단!$I4254)=1),IF(원본명단!$K4254="",TRUE(),COUNTIF(원본명단!$K$3:$K4254,원본명단!$K4254)=1)),"첫 건","중복 건")))</f>
        <v/>
      </c>
      <c r="J4255" s="11" t="str">
        <f aca="false">IF($A4255="","",IF($H4255="-","유지",IF($I4255="첫 건","유지","확인 필요")))</f>
        <v/>
      </c>
    </row>
    <row r="4256" customFormat="false" ht="15" hidden="false" customHeight="true" outlineLevel="0" collapsed="false">
      <c r="A4256" s="11" t="str">
        <f aca="false">IF(원본명단!$A4255="","",4253)</f>
        <v/>
      </c>
      <c r="B4256" s="12" t="str">
        <f aca="false">IF($A4256="","",원본명단!$A4255)</f>
        <v/>
      </c>
      <c r="C4256" s="12" t="str">
        <f aca="false">IF($A4256="","",원본명단!$B4255)</f>
        <v/>
      </c>
      <c r="D4256" s="12" t="str">
        <f aca="false">IF($A4256="","",원본명단!$D4255)</f>
        <v/>
      </c>
      <c r="E4256" s="11" t="str">
        <f aca="false">IF($A4256="","",IF(원본명단!$H4255="",0,COUNTIF(원본명단!$H$3:$H$6002,원본명단!$H4255)))</f>
        <v/>
      </c>
      <c r="F4256" s="11" t="str">
        <f aca="false">IF($A4256="","",IF(원본명단!$I4255="",0,COUNTIF(원본명단!$I$3:$I$6002,원본명단!$I4255)))</f>
        <v/>
      </c>
      <c r="G4256" s="11" t="str">
        <f aca="false">IF($A4256="","",IF(원본명단!$K4255="",0,COUNTIF(원본명단!$K$3:$K$6002,원본명단!$K4255)))</f>
        <v/>
      </c>
      <c r="H4256" s="11" t="str">
        <f aca="false">IF($A4256="","",IF(MAX($E4256,$F4256,$G4256)&gt;1,"중복","-"))</f>
        <v/>
      </c>
      <c r="I4256" s="11" t="str">
        <f aca="false">IF($A4256="","",IF($H4256="-","-",IF(AND(IF(원본명단!$H4255="",TRUE(),COUNTIF(원본명단!$H$3:$H4255,원본명단!$H4255)=1),IF(원본명단!$I4255="",TRUE(),COUNTIF(원본명단!$I$3:$I4255,원본명단!$I4255)=1),IF(원본명단!$K4255="",TRUE(),COUNTIF(원본명단!$K$3:$K4255,원본명단!$K4255)=1)),"첫 건","중복 건")))</f>
        <v/>
      </c>
      <c r="J4256" s="11" t="str">
        <f aca="false">IF($A4256="","",IF($H4256="-","유지",IF($I4256="첫 건","유지","확인 필요")))</f>
        <v/>
      </c>
    </row>
    <row r="4257" customFormat="false" ht="15" hidden="false" customHeight="true" outlineLevel="0" collapsed="false">
      <c r="A4257" s="11" t="str">
        <f aca="false">IF(원본명단!$A4256="","",4254)</f>
        <v/>
      </c>
      <c r="B4257" s="12" t="str">
        <f aca="false">IF($A4257="","",원본명단!$A4256)</f>
        <v/>
      </c>
      <c r="C4257" s="12" t="str">
        <f aca="false">IF($A4257="","",원본명단!$B4256)</f>
        <v/>
      </c>
      <c r="D4257" s="12" t="str">
        <f aca="false">IF($A4257="","",원본명단!$D4256)</f>
        <v/>
      </c>
      <c r="E4257" s="11" t="str">
        <f aca="false">IF($A4257="","",IF(원본명단!$H4256="",0,COUNTIF(원본명단!$H$3:$H$6002,원본명단!$H4256)))</f>
        <v/>
      </c>
      <c r="F4257" s="11" t="str">
        <f aca="false">IF($A4257="","",IF(원본명단!$I4256="",0,COUNTIF(원본명단!$I$3:$I$6002,원본명단!$I4256)))</f>
        <v/>
      </c>
      <c r="G4257" s="11" t="str">
        <f aca="false">IF($A4257="","",IF(원본명단!$K4256="",0,COUNTIF(원본명단!$K$3:$K$6002,원본명단!$K4256)))</f>
        <v/>
      </c>
      <c r="H4257" s="11" t="str">
        <f aca="false">IF($A4257="","",IF(MAX($E4257,$F4257,$G4257)&gt;1,"중복","-"))</f>
        <v/>
      </c>
      <c r="I4257" s="11" t="str">
        <f aca="false">IF($A4257="","",IF($H4257="-","-",IF(AND(IF(원본명단!$H4256="",TRUE(),COUNTIF(원본명단!$H$3:$H4256,원본명단!$H4256)=1),IF(원본명단!$I4256="",TRUE(),COUNTIF(원본명단!$I$3:$I4256,원본명단!$I4256)=1),IF(원본명단!$K4256="",TRUE(),COUNTIF(원본명단!$K$3:$K4256,원본명단!$K4256)=1)),"첫 건","중복 건")))</f>
        <v/>
      </c>
      <c r="J4257" s="11" t="str">
        <f aca="false">IF($A4257="","",IF($H4257="-","유지",IF($I4257="첫 건","유지","확인 필요")))</f>
        <v/>
      </c>
    </row>
    <row r="4258" customFormat="false" ht="15" hidden="false" customHeight="true" outlineLevel="0" collapsed="false">
      <c r="A4258" s="11" t="str">
        <f aca="false">IF(원본명단!$A4257="","",4255)</f>
        <v/>
      </c>
      <c r="B4258" s="12" t="str">
        <f aca="false">IF($A4258="","",원본명단!$A4257)</f>
        <v/>
      </c>
      <c r="C4258" s="12" t="str">
        <f aca="false">IF($A4258="","",원본명단!$B4257)</f>
        <v/>
      </c>
      <c r="D4258" s="12" t="str">
        <f aca="false">IF($A4258="","",원본명단!$D4257)</f>
        <v/>
      </c>
      <c r="E4258" s="11" t="str">
        <f aca="false">IF($A4258="","",IF(원본명단!$H4257="",0,COUNTIF(원본명단!$H$3:$H$6002,원본명단!$H4257)))</f>
        <v/>
      </c>
      <c r="F4258" s="11" t="str">
        <f aca="false">IF($A4258="","",IF(원본명단!$I4257="",0,COUNTIF(원본명단!$I$3:$I$6002,원본명단!$I4257)))</f>
        <v/>
      </c>
      <c r="G4258" s="11" t="str">
        <f aca="false">IF($A4258="","",IF(원본명단!$K4257="",0,COUNTIF(원본명단!$K$3:$K$6002,원본명단!$K4257)))</f>
        <v/>
      </c>
      <c r="H4258" s="11" t="str">
        <f aca="false">IF($A4258="","",IF(MAX($E4258,$F4258,$G4258)&gt;1,"중복","-"))</f>
        <v/>
      </c>
      <c r="I4258" s="11" t="str">
        <f aca="false">IF($A4258="","",IF($H4258="-","-",IF(AND(IF(원본명단!$H4257="",TRUE(),COUNTIF(원본명단!$H$3:$H4257,원본명단!$H4257)=1),IF(원본명단!$I4257="",TRUE(),COUNTIF(원본명단!$I$3:$I4257,원본명단!$I4257)=1),IF(원본명단!$K4257="",TRUE(),COUNTIF(원본명단!$K$3:$K4257,원본명단!$K4257)=1)),"첫 건","중복 건")))</f>
        <v/>
      </c>
      <c r="J4258" s="11" t="str">
        <f aca="false">IF($A4258="","",IF($H4258="-","유지",IF($I4258="첫 건","유지","확인 필요")))</f>
        <v/>
      </c>
    </row>
    <row r="4259" customFormat="false" ht="15" hidden="false" customHeight="true" outlineLevel="0" collapsed="false">
      <c r="A4259" s="11" t="str">
        <f aca="false">IF(원본명단!$A4258="","",4256)</f>
        <v/>
      </c>
      <c r="B4259" s="12" t="str">
        <f aca="false">IF($A4259="","",원본명단!$A4258)</f>
        <v/>
      </c>
      <c r="C4259" s="12" t="str">
        <f aca="false">IF($A4259="","",원본명단!$B4258)</f>
        <v/>
      </c>
      <c r="D4259" s="12" t="str">
        <f aca="false">IF($A4259="","",원본명단!$D4258)</f>
        <v/>
      </c>
      <c r="E4259" s="11" t="str">
        <f aca="false">IF($A4259="","",IF(원본명단!$H4258="",0,COUNTIF(원본명단!$H$3:$H$6002,원본명단!$H4258)))</f>
        <v/>
      </c>
      <c r="F4259" s="11" t="str">
        <f aca="false">IF($A4259="","",IF(원본명단!$I4258="",0,COUNTIF(원본명단!$I$3:$I$6002,원본명단!$I4258)))</f>
        <v/>
      </c>
      <c r="G4259" s="11" t="str">
        <f aca="false">IF($A4259="","",IF(원본명단!$K4258="",0,COUNTIF(원본명단!$K$3:$K$6002,원본명단!$K4258)))</f>
        <v/>
      </c>
      <c r="H4259" s="11" t="str">
        <f aca="false">IF($A4259="","",IF(MAX($E4259,$F4259,$G4259)&gt;1,"중복","-"))</f>
        <v/>
      </c>
      <c r="I4259" s="11" t="str">
        <f aca="false">IF($A4259="","",IF($H4259="-","-",IF(AND(IF(원본명단!$H4258="",TRUE(),COUNTIF(원본명단!$H$3:$H4258,원본명단!$H4258)=1),IF(원본명단!$I4258="",TRUE(),COUNTIF(원본명단!$I$3:$I4258,원본명단!$I4258)=1),IF(원본명단!$K4258="",TRUE(),COUNTIF(원본명단!$K$3:$K4258,원본명단!$K4258)=1)),"첫 건","중복 건")))</f>
        <v/>
      </c>
      <c r="J4259" s="11" t="str">
        <f aca="false">IF($A4259="","",IF($H4259="-","유지",IF($I4259="첫 건","유지","확인 필요")))</f>
        <v/>
      </c>
    </row>
    <row r="4260" customFormat="false" ht="15" hidden="false" customHeight="true" outlineLevel="0" collapsed="false">
      <c r="A4260" s="11" t="str">
        <f aca="false">IF(원본명단!$A4259="","",4257)</f>
        <v/>
      </c>
      <c r="B4260" s="12" t="str">
        <f aca="false">IF($A4260="","",원본명단!$A4259)</f>
        <v/>
      </c>
      <c r="C4260" s="12" t="str">
        <f aca="false">IF($A4260="","",원본명단!$B4259)</f>
        <v/>
      </c>
      <c r="D4260" s="12" t="str">
        <f aca="false">IF($A4260="","",원본명단!$D4259)</f>
        <v/>
      </c>
      <c r="E4260" s="11" t="str">
        <f aca="false">IF($A4260="","",IF(원본명단!$H4259="",0,COUNTIF(원본명단!$H$3:$H$6002,원본명단!$H4259)))</f>
        <v/>
      </c>
      <c r="F4260" s="11" t="str">
        <f aca="false">IF($A4260="","",IF(원본명단!$I4259="",0,COUNTIF(원본명단!$I$3:$I$6002,원본명단!$I4259)))</f>
        <v/>
      </c>
      <c r="G4260" s="11" t="str">
        <f aca="false">IF($A4260="","",IF(원본명단!$K4259="",0,COUNTIF(원본명단!$K$3:$K$6002,원본명단!$K4259)))</f>
        <v/>
      </c>
      <c r="H4260" s="11" t="str">
        <f aca="false">IF($A4260="","",IF(MAX($E4260,$F4260,$G4260)&gt;1,"중복","-"))</f>
        <v/>
      </c>
      <c r="I4260" s="11" t="str">
        <f aca="false">IF($A4260="","",IF($H4260="-","-",IF(AND(IF(원본명단!$H4259="",TRUE(),COUNTIF(원본명단!$H$3:$H4259,원본명단!$H4259)=1),IF(원본명단!$I4259="",TRUE(),COUNTIF(원본명단!$I$3:$I4259,원본명단!$I4259)=1),IF(원본명단!$K4259="",TRUE(),COUNTIF(원본명단!$K$3:$K4259,원본명단!$K4259)=1)),"첫 건","중복 건")))</f>
        <v/>
      </c>
      <c r="J4260" s="11" t="str">
        <f aca="false">IF($A4260="","",IF($H4260="-","유지",IF($I4260="첫 건","유지","확인 필요")))</f>
        <v/>
      </c>
    </row>
    <row r="4261" customFormat="false" ht="15" hidden="false" customHeight="true" outlineLevel="0" collapsed="false">
      <c r="A4261" s="11" t="str">
        <f aca="false">IF(원본명단!$A4260="","",4258)</f>
        <v/>
      </c>
      <c r="B4261" s="12" t="str">
        <f aca="false">IF($A4261="","",원본명단!$A4260)</f>
        <v/>
      </c>
      <c r="C4261" s="12" t="str">
        <f aca="false">IF($A4261="","",원본명단!$B4260)</f>
        <v/>
      </c>
      <c r="D4261" s="12" t="str">
        <f aca="false">IF($A4261="","",원본명단!$D4260)</f>
        <v/>
      </c>
      <c r="E4261" s="11" t="str">
        <f aca="false">IF($A4261="","",IF(원본명단!$H4260="",0,COUNTIF(원본명단!$H$3:$H$6002,원본명단!$H4260)))</f>
        <v/>
      </c>
      <c r="F4261" s="11" t="str">
        <f aca="false">IF($A4261="","",IF(원본명단!$I4260="",0,COUNTIF(원본명단!$I$3:$I$6002,원본명단!$I4260)))</f>
        <v/>
      </c>
      <c r="G4261" s="11" t="str">
        <f aca="false">IF($A4261="","",IF(원본명단!$K4260="",0,COUNTIF(원본명단!$K$3:$K$6002,원본명단!$K4260)))</f>
        <v/>
      </c>
      <c r="H4261" s="11" t="str">
        <f aca="false">IF($A4261="","",IF(MAX($E4261,$F4261,$G4261)&gt;1,"중복","-"))</f>
        <v/>
      </c>
      <c r="I4261" s="11" t="str">
        <f aca="false">IF($A4261="","",IF($H4261="-","-",IF(AND(IF(원본명단!$H4260="",TRUE(),COUNTIF(원본명단!$H$3:$H4260,원본명단!$H4260)=1),IF(원본명단!$I4260="",TRUE(),COUNTIF(원본명단!$I$3:$I4260,원본명단!$I4260)=1),IF(원본명단!$K4260="",TRUE(),COUNTIF(원본명단!$K$3:$K4260,원본명단!$K4260)=1)),"첫 건","중복 건")))</f>
        <v/>
      </c>
      <c r="J4261" s="11" t="str">
        <f aca="false">IF($A4261="","",IF($H4261="-","유지",IF($I4261="첫 건","유지","확인 필요")))</f>
        <v/>
      </c>
    </row>
    <row r="4262" customFormat="false" ht="15" hidden="false" customHeight="true" outlineLevel="0" collapsed="false">
      <c r="A4262" s="11" t="str">
        <f aca="false">IF(원본명단!$A4261="","",4259)</f>
        <v/>
      </c>
      <c r="B4262" s="12" t="str">
        <f aca="false">IF($A4262="","",원본명단!$A4261)</f>
        <v/>
      </c>
      <c r="C4262" s="12" t="str">
        <f aca="false">IF($A4262="","",원본명단!$B4261)</f>
        <v/>
      </c>
      <c r="D4262" s="12" t="str">
        <f aca="false">IF($A4262="","",원본명단!$D4261)</f>
        <v/>
      </c>
      <c r="E4262" s="11" t="str">
        <f aca="false">IF($A4262="","",IF(원본명단!$H4261="",0,COUNTIF(원본명단!$H$3:$H$6002,원본명단!$H4261)))</f>
        <v/>
      </c>
      <c r="F4262" s="11" t="str">
        <f aca="false">IF($A4262="","",IF(원본명단!$I4261="",0,COUNTIF(원본명단!$I$3:$I$6002,원본명단!$I4261)))</f>
        <v/>
      </c>
      <c r="G4262" s="11" t="str">
        <f aca="false">IF($A4262="","",IF(원본명단!$K4261="",0,COUNTIF(원본명단!$K$3:$K$6002,원본명단!$K4261)))</f>
        <v/>
      </c>
      <c r="H4262" s="11" t="str">
        <f aca="false">IF($A4262="","",IF(MAX($E4262,$F4262,$G4262)&gt;1,"중복","-"))</f>
        <v/>
      </c>
      <c r="I4262" s="11" t="str">
        <f aca="false">IF($A4262="","",IF($H4262="-","-",IF(AND(IF(원본명단!$H4261="",TRUE(),COUNTIF(원본명단!$H$3:$H4261,원본명단!$H4261)=1),IF(원본명단!$I4261="",TRUE(),COUNTIF(원본명단!$I$3:$I4261,원본명단!$I4261)=1),IF(원본명단!$K4261="",TRUE(),COUNTIF(원본명단!$K$3:$K4261,원본명단!$K4261)=1)),"첫 건","중복 건")))</f>
        <v/>
      </c>
      <c r="J4262" s="11" t="str">
        <f aca="false">IF($A4262="","",IF($H4262="-","유지",IF($I4262="첫 건","유지","확인 필요")))</f>
        <v/>
      </c>
    </row>
    <row r="4263" customFormat="false" ht="15" hidden="false" customHeight="true" outlineLevel="0" collapsed="false">
      <c r="A4263" s="11" t="str">
        <f aca="false">IF(원본명단!$A4262="","",4260)</f>
        <v/>
      </c>
      <c r="B4263" s="12" t="str">
        <f aca="false">IF($A4263="","",원본명단!$A4262)</f>
        <v/>
      </c>
      <c r="C4263" s="12" t="str">
        <f aca="false">IF($A4263="","",원본명단!$B4262)</f>
        <v/>
      </c>
      <c r="D4263" s="12" t="str">
        <f aca="false">IF($A4263="","",원본명단!$D4262)</f>
        <v/>
      </c>
      <c r="E4263" s="11" t="str">
        <f aca="false">IF($A4263="","",IF(원본명단!$H4262="",0,COUNTIF(원본명단!$H$3:$H$6002,원본명단!$H4262)))</f>
        <v/>
      </c>
      <c r="F4263" s="11" t="str">
        <f aca="false">IF($A4263="","",IF(원본명단!$I4262="",0,COUNTIF(원본명단!$I$3:$I$6002,원본명단!$I4262)))</f>
        <v/>
      </c>
      <c r="G4263" s="11" t="str">
        <f aca="false">IF($A4263="","",IF(원본명단!$K4262="",0,COUNTIF(원본명단!$K$3:$K$6002,원본명단!$K4262)))</f>
        <v/>
      </c>
      <c r="H4263" s="11" t="str">
        <f aca="false">IF($A4263="","",IF(MAX($E4263,$F4263,$G4263)&gt;1,"중복","-"))</f>
        <v/>
      </c>
      <c r="I4263" s="11" t="str">
        <f aca="false">IF($A4263="","",IF($H4263="-","-",IF(AND(IF(원본명단!$H4262="",TRUE(),COUNTIF(원본명단!$H$3:$H4262,원본명단!$H4262)=1),IF(원본명단!$I4262="",TRUE(),COUNTIF(원본명단!$I$3:$I4262,원본명단!$I4262)=1),IF(원본명단!$K4262="",TRUE(),COUNTIF(원본명단!$K$3:$K4262,원본명단!$K4262)=1)),"첫 건","중복 건")))</f>
        <v/>
      </c>
      <c r="J4263" s="11" t="str">
        <f aca="false">IF($A4263="","",IF($H4263="-","유지",IF($I4263="첫 건","유지","확인 필요")))</f>
        <v/>
      </c>
    </row>
    <row r="4264" customFormat="false" ht="15" hidden="false" customHeight="true" outlineLevel="0" collapsed="false">
      <c r="A4264" s="11" t="str">
        <f aca="false">IF(원본명단!$A4263="","",4261)</f>
        <v/>
      </c>
      <c r="B4264" s="12" t="str">
        <f aca="false">IF($A4264="","",원본명단!$A4263)</f>
        <v/>
      </c>
      <c r="C4264" s="12" t="str">
        <f aca="false">IF($A4264="","",원본명단!$B4263)</f>
        <v/>
      </c>
      <c r="D4264" s="12" t="str">
        <f aca="false">IF($A4264="","",원본명단!$D4263)</f>
        <v/>
      </c>
      <c r="E4264" s="11" t="str">
        <f aca="false">IF($A4264="","",IF(원본명단!$H4263="",0,COUNTIF(원본명단!$H$3:$H$6002,원본명단!$H4263)))</f>
        <v/>
      </c>
      <c r="F4264" s="11" t="str">
        <f aca="false">IF($A4264="","",IF(원본명단!$I4263="",0,COUNTIF(원본명단!$I$3:$I$6002,원본명단!$I4263)))</f>
        <v/>
      </c>
      <c r="G4264" s="11" t="str">
        <f aca="false">IF($A4264="","",IF(원본명단!$K4263="",0,COUNTIF(원본명단!$K$3:$K$6002,원본명단!$K4263)))</f>
        <v/>
      </c>
      <c r="H4264" s="11" t="str">
        <f aca="false">IF($A4264="","",IF(MAX($E4264,$F4264,$G4264)&gt;1,"중복","-"))</f>
        <v/>
      </c>
      <c r="I4264" s="11" t="str">
        <f aca="false">IF($A4264="","",IF($H4264="-","-",IF(AND(IF(원본명단!$H4263="",TRUE(),COUNTIF(원본명단!$H$3:$H4263,원본명단!$H4263)=1),IF(원본명단!$I4263="",TRUE(),COUNTIF(원본명단!$I$3:$I4263,원본명단!$I4263)=1),IF(원본명단!$K4263="",TRUE(),COUNTIF(원본명단!$K$3:$K4263,원본명단!$K4263)=1)),"첫 건","중복 건")))</f>
        <v/>
      </c>
      <c r="J4264" s="11" t="str">
        <f aca="false">IF($A4264="","",IF($H4264="-","유지",IF($I4264="첫 건","유지","확인 필요")))</f>
        <v/>
      </c>
    </row>
    <row r="4265" customFormat="false" ht="15" hidden="false" customHeight="true" outlineLevel="0" collapsed="false">
      <c r="A4265" s="11" t="str">
        <f aca="false">IF(원본명단!$A4264="","",4262)</f>
        <v/>
      </c>
      <c r="B4265" s="12" t="str">
        <f aca="false">IF($A4265="","",원본명단!$A4264)</f>
        <v/>
      </c>
      <c r="C4265" s="12" t="str">
        <f aca="false">IF($A4265="","",원본명단!$B4264)</f>
        <v/>
      </c>
      <c r="D4265" s="12" t="str">
        <f aca="false">IF($A4265="","",원본명단!$D4264)</f>
        <v/>
      </c>
      <c r="E4265" s="11" t="str">
        <f aca="false">IF($A4265="","",IF(원본명단!$H4264="",0,COUNTIF(원본명단!$H$3:$H$6002,원본명단!$H4264)))</f>
        <v/>
      </c>
      <c r="F4265" s="11" t="str">
        <f aca="false">IF($A4265="","",IF(원본명단!$I4264="",0,COUNTIF(원본명단!$I$3:$I$6002,원본명단!$I4264)))</f>
        <v/>
      </c>
      <c r="G4265" s="11" t="str">
        <f aca="false">IF($A4265="","",IF(원본명단!$K4264="",0,COUNTIF(원본명단!$K$3:$K$6002,원본명단!$K4264)))</f>
        <v/>
      </c>
      <c r="H4265" s="11" t="str">
        <f aca="false">IF($A4265="","",IF(MAX($E4265,$F4265,$G4265)&gt;1,"중복","-"))</f>
        <v/>
      </c>
      <c r="I4265" s="11" t="str">
        <f aca="false">IF($A4265="","",IF($H4265="-","-",IF(AND(IF(원본명단!$H4264="",TRUE(),COUNTIF(원본명단!$H$3:$H4264,원본명단!$H4264)=1),IF(원본명단!$I4264="",TRUE(),COUNTIF(원본명단!$I$3:$I4264,원본명단!$I4264)=1),IF(원본명단!$K4264="",TRUE(),COUNTIF(원본명단!$K$3:$K4264,원본명단!$K4264)=1)),"첫 건","중복 건")))</f>
        <v/>
      </c>
      <c r="J4265" s="11" t="str">
        <f aca="false">IF($A4265="","",IF($H4265="-","유지",IF($I4265="첫 건","유지","확인 필요")))</f>
        <v/>
      </c>
    </row>
    <row r="4266" customFormat="false" ht="15" hidden="false" customHeight="true" outlineLevel="0" collapsed="false">
      <c r="A4266" s="11" t="str">
        <f aca="false">IF(원본명단!$A4265="","",4263)</f>
        <v/>
      </c>
      <c r="B4266" s="12" t="str">
        <f aca="false">IF($A4266="","",원본명단!$A4265)</f>
        <v/>
      </c>
      <c r="C4266" s="12" t="str">
        <f aca="false">IF($A4266="","",원본명단!$B4265)</f>
        <v/>
      </c>
      <c r="D4266" s="12" t="str">
        <f aca="false">IF($A4266="","",원본명단!$D4265)</f>
        <v/>
      </c>
      <c r="E4266" s="11" t="str">
        <f aca="false">IF($A4266="","",IF(원본명단!$H4265="",0,COUNTIF(원본명단!$H$3:$H$6002,원본명단!$H4265)))</f>
        <v/>
      </c>
      <c r="F4266" s="11" t="str">
        <f aca="false">IF($A4266="","",IF(원본명단!$I4265="",0,COUNTIF(원본명단!$I$3:$I$6002,원본명단!$I4265)))</f>
        <v/>
      </c>
      <c r="G4266" s="11" t="str">
        <f aca="false">IF($A4266="","",IF(원본명단!$K4265="",0,COUNTIF(원본명단!$K$3:$K$6002,원본명단!$K4265)))</f>
        <v/>
      </c>
      <c r="H4266" s="11" t="str">
        <f aca="false">IF($A4266="","",IF(MAX($E4266,$F4266,$G4266)&gt;1,"중복","-"))</f>
        <v/>
      </c>
      <c r="I4266" s="11" t="str">
        <f aca="false">IF($A4266="","",IF($H4266="-","-",IF(AND(IF(원본명단!$H4265="",TRUE(),COUNTIF(원본명단!$H$3:$H4265,원본명단!$H4265)=1),IF(원본명단!$I4265="",TRUE(),COUNTIF(원본명단!$I$3:$I4265,원본명단!$I4265)=1),IF(원본명단!$K4265="",TRUE(),COUNTIF(원본명단!$K$3:$K4265,원본명단!$K4265)=1)),"첫 건","중복 건")))</f>
        <v/>
      </c>
      <c r="J4266" s="11" t="str">
        <f aca="false">IF($A4266="","",IF($H4266="-","유지",IF($I4266="첫 건","유지","확인 필요")))</f>
        <v/>
      </c>
    </row>
    <row r="4267" customFormat="false" ht="15" hidden="false" customHeight="true" outlineLevel="0" collapsed="false">
      <c r="A4267" s="11" t="str">
        <f aca="false">IF(원본명단!$A4266="","",4264)</f>
        <v/>
      </c>
      <c r="B4267" s="12" t="str">
        <f aca="false">IF($A4267="","",원본명단!$A4266)</f>
        <v/>
      </c>
      <c r="C4267" s="12" t="str">
        <f aca="false">IF($A4267="","",원본명단!$B4266)</f>
        <v/>
      </c>
      <c r="D4267" s="12" t="str">
        <f aca="false">IF($A4267="","",원본명단!$D4266)</f>
        <v/>
      </c>
      <c r="E4267" s="11" t="str">
        <f aca="false">IF($A4267="","",IF(원본명단!$H4266="",0,COUNTIF(원본명단!$H$3:$H$6002,원본명단!$H4266)))</f>
        <v/>
      </c>
      <c r="F4267" s="11" t="str">
        <f aca="false">IF($A4267="","",IF(원본명단!$I4266="",0,COUNTIF(원본명단!$I$3:$I$6002,원본명단!$I4266)))</f>
        <v/>
      </c>
      <c r="G4267" s="11" t="str">
        <f aca="false">IF($A4267="","",IF(원본명단!$K4266="",0,COUNTIF(원본명단!$K$3:$K$6002,원본명단!$K4266)))</f>
        <v/>
      </c>
      <c r="H4267" s="11" t="str">
        <f aca="false">IF($A4267="","",IF(MAX($E4267,$F4267,$G4267)&gt;1,"중복","-"))</f>
        <v/>
      </c>
      <c r="I4267" s="11" t="str">
        <f aca="false">IF($A4267="","",IF($H4267="-","-",IF(AND(IF(원본명단!$H4266="",TRUE(),COUNTIF(원본명단!$H$3:$H4266,원본명단!$H4266)=1),IF(원본명단!$I4266="",TRUE(),COUNTIF(원본명단!$I$3:$I4266,원본명단!$I4266)=1),IF(원본명단!$K4266="",TRUE(),COUNTIF(원본명단!$K$3:$K4266,원본명단!$K4266)=1)),"첫 건","중복 건")))</f>
        <v/>
      </c>
      <c r="J4267" s="11" t="str">
        <f aca="false">IF($A4267="","",IF($H4267="-","유지",IF($I4267="첫 건","유지","확인 필요")))</f>
        <v/>
      </c>
    </row>
    <row r="4268" customFormat="false" ht="15" hidden="false" customHeight="true" outlineLevel="0" collapsed="false">
      <c r="A4268" s="11" t="str">
        <f aca="false">IF(원본명단!$A4267="","",4265)</f>
        <v/>
      </c>
      <c r="B4268" s="12" t="str">
        <f aca="false">IF($A4268="","",원본명단!$A4267)</f>
        <v/>
      </c>
      <c r="C4268" s="12" t="str">
        <f aca="false">IF($A4268="","",원본명단!$B4267)</f>
        <v/>
      </c>
      <c r="D4268" s="12" t="str">
        <f aca="false">IF($A4268="","",원본명단!$D4267)</f>
        <v/>
      </c>
      <c r="E4268" s="11" t="str">
        <f aca="false">IF($A4268="","",IF(원본명단!$H4267="",0,COUNTIF(원본명단!$H$3:$H$6002,원본명단!$H4267)))</f>
        <v/>
      </c>
      <c r="F4268" s="11" t="str">
        <f aca="false">IF($A4268="","",IF(원본명단!$I4267="",0,COUNTIF(원본명단!$I$3:$I$6002,원본명단!$I4267)))</f>
        <v/>
      </c>
      <c r="G4268" s="11" t="str">
        <f aca="false">IF($A4268="","",IF(원본명단!$K4267="",0,COUNTIF(원본명단!$K$3:$K$6002,원본명단!$K4267)))</f>
        <v/>
      </c>
      <c r="H4268" s="11" t="str">
        <f aca="false">IF($A4268="","",IF(MAX($E4268,$F4268,$G4268)&gt;1,"중복","-"))</f>
        <v/>
      </c>
      <c r="I4268" s="11" t="str">
        <f aca="false">IF($A4268="","",IF($H4268="-","-",IF(AND(IF(원본명단!$H4267="",TRUE(),COUNTIF(원본명단!$H$3:$H4267,원본명단!$H4267)=1),IF(원본명단!$I4267="",TRUE(),COUNTIF(원본명단!$I$3:$I4267,원본명단!$I4267)=1),IF(원본명단!$K4267="",TRUE(),COUNTIF(원본명단!$K$3:$K4267,원본명단!$K4267)=1)),"첫 건","중복 건")))</f>
        <v/>
      </c>
      <c r="J4268" s="11" t="str">
        <f aca="false">IF($A4268="","",IF($H4268="-","유지",IF($I4268="첫 건","유지","확인 필요")))</f>
        <v/>
      </c>
    </row>
    <row r="4269" customFormat="false" ht="15" hidden="false" customHeight="true" outlineLevel="0" collapsed="false">
      <c r="A4269" s="11" t="str">
        <f aca="false">IF(원본명단!$A4268="","",4266)</f>
        <v/>
      </c>
      <c r="B4269" s="12" t="str">
        <f aca="false">IF($A4269="","",원본명단!$A4268)</f>
        <v/>
      </c>
      <c r="C4269" s="12" t="str">
        <f aca="false">IF($A4269="","",원본명단!$B4268)</f>
        <v/>
      </c>
      <c r="D4269" s="12" t="str">
        <f aca="false">IF($A4269="","",원본명단!$D4268)</f>
        <v/>
      </c>
      <c r="E4269" s="11" t="str">
        <f aca="false">IF($A4269="","",IF(원본명단!$H4268="",0,COUNTIF(원본명단!$H$3:$H$6002,원본명단!$H4268)))</f>
        <v/>
      </c>
      <c r="F4269" s="11" t="str">
        <f aca="false">IF($A4269="","",IF(원본명단!$I4268="",0,COUNTIF(원본명단!$I$3:$I$6002,원본명단!$I4268)))</f>
        <v/>
      </c>
      <c r="G4269" s="11" t="str">
        <f aca="false">IF($A4269="","",IF(원본명단!$K4268="",0,COUNTIF(원본명단!$K$3:$K$6002,원본명단!$K4268)))</f>
        <v/>
      </c>
      <c r="H4269" s="11" t="str">
        <f aca="false">IF($A4269="","",IF(MAX($E4269,$F4269,$G4269)&gt;1,"중복","-"))</f>
        <v/>
      </c>
      <c r="I4269" s="11" t="str">
        <f aca="false">IF($A4269="","",IF($H4269="-","-",IF(AND(IF(원본명단!$H4268="",TRUE(),COUNTIF(원본명단!$H$3:$H4268,원본명단!$H4268)=1),IF(원본명단!$I4268="",TRUE(),COUNTIF(원본명단!$I$3:$I4268,원본명단!$I4268)=1),IF(원본명단!$K4268="",TRUE(),COUNTIF(원본명단!$K$3:$K4268,원본명단!$K4268)=1)),"첫 건","중복 건")))</f>
        <v/>
      </c>
      <c r="J4269" s="11" t="str">
        <f aca="false">IF($A4269="","",IF($H4269="-","유지",IF($I4269="첫 건","유지","확인 필요")))</f>
        <v/>
      </c>
    </row>
    <row r="4270" customFormat="false" ht="15" hidden="false" customHeight="true" outlineLevel="0" collapsed="false">
      <c r="A4270" s="11" t="str">
        <f aca="false">IF(원본명단!$A4269="","",4267)</f>
        <v/>
      </c>
      <c r="B4270" s="12" t="str">
        <f aca="false">IF($A4270="","",원본명단!$A4269)</f>
        <v/>
      </c>
      <c r="C4270" s="12" t="str">
        <f aca="false">IF($A4270="","",원본명단!$B4269)</f>
        <v/>
      </c>
      <c r="D4270" s="12" t="str">
        <f aca="false">IF($A4270="","",원본명단!$D4269)</f>
        <v/>
      </c>
      <c r="E4270" s="11" t="str">
        <f aca="false">IF($A4270="","",IF(원본명단!$H4269="",0,COUNTIF(원본명단!$H$3:$H$6002,원본명단!$H4269)))</f>
        <v/>
      </c>
      <c r="F4270" s="11" t="str">
        <f aca="false">IF($A4270="","",IF(원본명단!$I4269="",0,COUNTIF(원본명단!$I$3:$I$6002,원본명단!$I4269)))</f>
        <v/>
      </c>
      <c r="G4270" s="11" t="str">
        <f aca="false">IF($A4270="","",IF(원본명단!$K4269="",0,COUNTIF(원본명단!$K$3:$K$6002,원본명단!$K4269)))</f>
        <v/>
      </c>
      <c r="H4270" s="11" t="str">
        <f aca="false">IF($A4270="","",IF(MAX($E4270,$F4270,$G4270)&gt;1,"중복","-"))</f>
        <v/>
      </c>
      <c r="I4270" s="11" t="str">
        <f aca="false">IF($A4270="","",IF($H4270="-","-",IF(AND(IF(원본명단!$H4269="",TRUE(),COUNTIF(원본명단!$H$3:$H4269,원본명단!$H4269)=1),IF(원본명단!$I4269="",TRUE(),COUNTIF(원본명단!$I$3:$I4269,원본명단!$I4269)=1),IF(원본명단!$K4269="",TRUE(),COUNTIF(원본명단!$K$3:$K4269,원본명단!$K4269)=1)),"첫 건","중복 건")))</f>
        <v/>
      </c>
      <c r="J4270" s="11" t="str">
        <f aca="false">IF($A4270="","",IF($H4270="-","유지",IF($I4270="첫 건","유지","확인 필요")))</f>
        <v/>
      </c>
    </row>
    <row r="4271" customFormat="false" ht="15" hidden="false" customHeight="true" outlineLevel="0" collapsed="false">
      <c r="A4271" s="11" t="str">
        <f aca="false">IF(원본명단!$A4270="","",4268)</f>
        <v/>
      </c>
      <c r="B4271" s="12" t="str">
        <f aca="false">IF($A4271="","",원본명단!$A4270)</f>
        <v/>
      </c>
      <c r="C4271" s="12" t="str">
        <f aca="false">IF($A4271="","",원본명단!$B4270)</f>
        <v/>
      </c>
      <c r="D4271" s="12" t="str">
        <f aca="false">IF($A4271="","",원본명단!$D4270)</f>
        <v/>
      </c>
      <c r="E4271" s="11" t="str">
        <f aca="false">IF($A4271="","",IF(원본명단!$H4270="",0,COUNTIF(원본명단!$H$3:$H$6002,원본명단!$H4270)))</f>
        <v/>
      </c>
      <c r="F4271" s="11" t="str">
        <f aca="false">IF($A4271="","",IF(원본명단!$I4270="",0,COUNTIF(원본명단!$I$3:$I$6002,원본명단!$I4270)))</f>
        <v/>
      </c>
      <c r="G4271" s="11" t="str">
        <f aca="false">IF($A4271="","",IF(원본명단!$K4270="",0,COUNTIF(원본명단!$K$3:$K$6002,원본명단!$K4270)))</f>
        <v/>
      </c>
      <c r="H4271" s="11" t="str">
        <f aca="false">IF($A4271="","",IF(MAX($E4271,$F4271,$G4271)&gt;1,"중복","-"))</f>
        <v/>
      </c>
      <c r="I4271" s="11" t="str">
        <f aca="false">IF($A4271="","",IF($H4271="-","-",IF(AND(IF(원본명단!$H4270="",TRUE(),COUNTIF(원본명단!$H$3:$H4270,원본명단!$H4270)=1),IF(원본명단!$I4270="",TRUE(),COUNTIF(원본명단!$I$3:$I4270,원본명단!$I4270)=1),IF(원본명단!$K4270="",TRUE(),COUNTIF(원본명단!$K$3:$K4270,원본명단!$K4270)=1)),"첫 건","중복 건")))</f>
        <v/>
      </c>
      <c r="J4271" s="11" t="str">
        <f aca="false">IF($A4271="","",IF($H4271="-","유지",IF($I4271="첫 건","유지","확인 필요")))</f>
        <v/>
      </c>
    </row>
    <row r="4272" customFormat="false" ht="15" hidden="false" customHeight="true" outlineLevel="0" collapsed="false">
      <c r="A4272" s="11" t="str">
        <f aca="false">IF(원본명단!$A4271="","",4269)</f>
        <v/>
      </c>
      <c r="B4272" s="12" t="str">
        <f aca="false">IF($A4272="","",원본명단!$A4271)</f>
        <v/>
      </c>
      <c r="C4272" s="12" t="str">
        <f aca="false">IF($A4272="","",원본명단!$B4271)</f>
        <v/>
      </c>
      <c r="D4272" s="12" t="str">
        <f aca="false">IF($A4272="","",원본명단!$D4271)</f>
        <v/>
      </c>
      <c r="E4272" s="11" t="str">
        <f aca="false">IF($A4272="","",IF(원본명단!$H4271="",0,COUNTIF(원본명단!$H$3:$H$6002,원본명단!$H4271)))</f>
        <v/>
      </c>
      <c r="F4272" s="11" t="str">
        <f aca="false">IF($A4272="","",IF(원본명단!$I4271="",0,COUNTIF(원본명단!$I$3:$I$6002,원본명단!$I4271)))</f>
        <v/>
      </c>
      <c r="G4272" s="11" t="str">
        <f aca="false">IF($A4272="","",IF(원본명단!$K4271="",0,COUNTIF(원본명단!$K$3:$K$6002,원본명단!$K4271)))</f>
        <v/>
      </c>
      <c r="H4272" s="11" t="str">
        <f aca="false">IF($A4272="","",IF(MAX($E4272,$F4272,$G4272)&gt;1,"중복","-"))</f>
        <v/>
      </c>
      <c r="I4272" s="11" t="str">
        <f aca="false">IF($A4272="","",IF($H4272="-","-",IF(AND(IF(원본명단!$H4271="",TRUE(),COUNTIF(원본명단!$H$3:$H4271,원본명단!$H4271)=1),IF(원본명단!$I4271="",TRUE(),COUNTIF(원본명단!$I$3:$I4271,원본명단!$I4271)=1),IF(원본명단!$K4271="",TRUE(),COUNTIF(원본명단!$K$3:$K4271,원본명단!$K4271)=1)),"첫 건","중복 건")))</f>
        <v/>
      </c>
      <c r="J4272" s="11" t="str">
        <f aca="false">IF($A4272="","",IF($H4272="-","유지",IF($I4272="첫 건","유지","확인 필요")))</f>
        <v/>
      </c>
    </row>
    <row r="4273" customFormat="false" ht="15" hidden="false" customHeight="true" outlineLevel="0" collapsed="false">
      <c r="A4273" s="11" t="str">
        <f aca="false">IF(원본명단!$A4272="","",4270)</f>
        <v/>
      </c>
      <c r="B4273" s="12" t="str">
        <f aca="false">IF($A4273="","",원본명단!$A4272)</f>
        <v/>
      </c>
      <c r="C4273" s="12" t="str">
        <f aca="false">IF($A4273="","",원본명단!$B4272)</f>
        <v/>
      </c>
      <c r="D4273" s="12" t="str">
        <f aca="false">IF($A4273="","",원본명단!$D4272)</f>
        <v/>
      </c>
      <c r="E4273" s="11" t="str">
        <f aca="false">IF($A4273="","",IF(원본명단!$H4272="",0,COUNTIF(원본명단!$H$3:$H$6002,원본명단!$H4272)))</f>
        <v/>
      </c>
      <c r="F4273" s="11" t="str">
        <f aca="false">IF($A4273="","",IF(원본명단!$I4272="",0,COUNTIF(원본명단!$I$3:$I$6002,원본명단!$I4272)))</f>
        <v/>
      </c>
      <c r="G4273" s="11" t="str">
        <f aca="false">IF($A4273="","",IF(원본명단!$K4272="",0,COUNTIF(원본명단!$K$3:$K$6002,원본명단!$K4272)))</f>
        <v/>
      </c>
      <c r="H4273" s="11" t="str">
        <f aca="false">IF($A4273="","",IF(MAX($E4273,$F4273,$G4273)&gt;1,"중복","-"))</f>
        <v/>
      </c>
      <c r="I4273" s="11" t="str">
        <f aca="false">IF($A4273="","",IF($H4273="-","-",IF(AND(IF(원본명단!$H4272="",TRUE(),COUNTIF(원본명단!$H$3:$H4272,원본명단!$H4272)=1),IF(원본명단!$I4272="",TRUE(),COUNTIF(원본명단!$I$3:$I4272,원본명단!$I4272)=1),IF(원본명단!$K4272="",TRUE(),COUNTIF(원본명단!$K$3:$K4272,원본명단!$K4272)=1)),"첫 건","중복 건")))</f>
        <v/>
      </c>
      <c r="J4273" s="11" t="str">
        <f aca="false">IF($A4273="","",IF($H4273="-","유지",IF($I4273="첫 건","유지","확인 필요")))</f>
        <v/>
      </c>
    </row>
    <row r="4274" customFormat="false" ht="15" hidden="false" customHeight="true" outlineLevel="0" collapsed="false">
      <c r="A4274" s="11" t="str">
        <f aca="false">IF(원본명단!$A4273="","",4271)</f>
        <v/>
      </c>
      <c r="B4274" s="12" t="str">
        <f aca="false">IF($A4274="","",원본명단!$A4273)</f>
        <v/>
      </c>
      <c r="C4274" s="12" t="str">
        <f aca="false">IF($A4274="","",원본명단!$B4273)</f>
        <v/>
      </c>
      <c r="D4274" s="12" t="str">
        <f aca="false">IF($A4274="","",원본명단!$D4273)</f>
        <v/>
      </c>
      <c r="E4274" s="11" t="str">
        <f aca="false">IF($A4274="","",IF(원본명단!$H4273="",0,COUNTIF(원본명단!$H$3:$H$6002,원본명단!$H4273)))</f>
        <v/>
      </c>
      <c r="F4274" s="11" t="str">
        <f aca="false">IF($A4274="","",IF(원본명단!$I4273="",0,COUNTIF(원본명단!$I$3:$I$6002,원본명단!$I4273)))</f>
        <v/>
      </c>
      <c r="G4274" s="11" t="str">
        <f aca="false">IF($A4274="","",IF(원본명단!$K4273="",0,COUNTIF(원본명단!$K$3:$K$6002,원본명단!$K4273)))</f>
        <v/>
      </c>
      <c r="H4274" s="11" t="str">
        <f aca="false">IF($A4274="","",IF(MAX($E4274,$F4274,$G4274)&gt;1,"중복","-"))</f>
        <v/>
      </c>
      <c r="I4274" s="11" t="str">
        <f aca="false">IF($A4274="","",IF($H4274="-","-",IF(AND(IF(원본명단!$H4273="",TRUE(),COUNTIF(원본명단!$H$3:$H4273,원본명단!$H4273)=1),IF(원본명단!$I4273="",TRUE(),COUNTIF(원본명단!$I$3:$I4273,원본명단!$I4273)=1),IF(원본명단!$K4273="",TRUE(),COUNTIF(원본명단!$K$3:$K4273,원본명단!$K4273)=1)),"첫 건","중복 건")))</f>
        <v/>
      </c>
      <c r="J4274" s="11" t="str">
        <f aca="false">IF($A4274="","",IF($H4274="-","유지",IF($I4274="첫 건","유지","확인 필요")))</f>
        <v/>
      </c>
    </row>
    <row r="4275" customFormat="false" ht="15" hidden="false" customHeight="true" outlineLevel="0" collapsed="false">
      <c r="A4275" s="11" t="str">
        <f aca="false">IF(원본명단!$A4274="","",4272)</f>
        <v/>
      </c>
      <c r="B4275" s="12" t="str">
        <f aca="false">IF($A4275="","",원본명단!$A4274)</f>
        <v/>
      </c>
      <c r="C4275" s="12" t="str">
        <f aca="false">IF($A4275="","",원본명단!$B4274)</f>
        <v/>
      </c>
      <c r="D4275" s="12" t="str">
        <f aca="false">IF($A4275="","",원본명단!$D4274)</f>
        <v/>
      </c>
      <c r="E4275" s="11" t="str">
        <f aca="false">IF($A4275="","",IF(원본명단!$H4274="",0,COUNTIF(원본명단!$H$3:$H$6002,원본명단!$H4274)))</f>
        <v/>
      </c>
      <c r="F4275" s="11" t="str">
        <f aca="false">IF($A4275="","",IF(원본명단!$I4274="",0,COUNTIF(원본명단!$I$3:$I$6002,원본명단!$I4274)))</f>
        <v/>
      </c>
      <c r="G4275" s="11" t="str">
        <f aca="false">IF($A4275="","",IF(원본명단!$K4274="",0,COUNTIF(원본명단!$K$3:$K$6002,원본명단!$K4274)))</f>
        <v/>
      </c>
      <c r="H4275" s="11" t="str">
        <f aca="false">IF($A4275="","",IF(MAX($E4275,$F4275,$G4275)&gt;1,"중복","-"))</f>
        <v/>
      </c>
      <c r="I4275" s="11" t="str">
        <f aca="false">IF($A4275="","",IF($H4275="-","-",IF(AND(IF(원본명단!$H4274="",TRUE(),COUNTIF(원본명단!$H$3:$H4274,원본명단!$H4274)=1),IF(원본명단!$I4274="",TRUE(),COUNTIF(원본명단!$I$3:$I4274,원본명단!$I4274)=1),IF(원본명단!$K4274="",TRUE(),COUNTIF(원본명단!$K$3:$K4274,원본명단!$K4274)=1)),"첫 건","중복 건")))</f>
        <v/>
      </c>
      <c r="J4275" s="11" t="str">
        <f aca="false">IF($A4275="","",IF($H4275="-","유지",IF($I4275="첫 건","유지","확인 필요")))</f>
        <v/>
      </c>
    </row>
    <row r="4276" customFormat="false" ht="15" hidden="false" customHeight="true" outlineLevel="0" collapsed="false">
      <c r="A4276" s="11" t="str">
        <f aca="false">IF(원본명단!$A4275="","",4273)</f>
        <v/>
      </c>
      <c r="B4276" s="12" t="str">
        <f aca="false">IF($A4276="","",원본명단!$A4275)</f>
        <v/>
      </c>
      <c r="C4276" s="12" t="str">
        <f aca="false">IF($A4276="","",원본명단!$B4275)</f>
        <v/>
      </c>
      <c r="D4276" s="12" t="str">
        <f aca="false">IF($A4276="","",원본명단!$D4275)</f>
        <v/>
      </c>
      <c r="E4276" s="11" t="str">
        <f aca="false">IF($A4276="","",IF(원본명단!$H4275="",0,COUNTIF(원본명단!$H$3:$H$6002,원본명단!$H4275)))</f>
        <v/>
      </c>
      <c r="F4276" s="11" t="str">
        <f aca="false">IF($A4276="","",IF(원본명단!$I4275="",0,COUNTIF(원본명단!$I$3:$I$6002,원본명단!$I4275)))</f>
        <v/>
      </c>
      <c r="G4276" s="11" t="str">
        <f aca="false">IF($A4276="","",IF(원본명단!$K4275="",0,COUNTIF(원본명단!$K$3:$K$6002,원본명단!$K4275)))</f>
        <v/>
      </c>
      <c r="H4276" s="11" t="str">
        <f aca="false">IF($A4276="","",IF(MAX($E4276,$F4276,$G4276)&gt;1,"중복","-"))</f>
        <v/>
      </c>
      <c r="I4276" s="11" t="str">
        <f aca="false">IF($A4276="","",IF($H4276="-","-",IF(AND(IF(원본명단!$H4275="",TRUE(),COUNTIF(원본명단!$H$3:$H4275,원본명단!$H4275)=1),IF(원본명단!$I4275="",TRUE(),COUNTIF(원본명단!$I$3:$I4275,원본명단!$I4275)=1),IF(원본명단!$K4275="",TRUE(),COUNTIF(원본명단!$K$3:$K4275,원본명단!$K4275)=1)),"첫 건","중복 건")))</f>
        <v/>
      </c>
      <c r="J4276" s="11" t="str">
        <f aca="false">IF($A4276="","",IF($H4276="-","유지",IF($I4276="첫 건","유지","확인 필요")))</f>
        <v/>
      </c>
    </row>
    <row r="4277" customFormat="false" ht="15" hidden="false" customHeight="true" outlineLevel="0" collapsed="false">
      <c r="A4277" s="11" t="str">
        <f aca="false">IF(원본명단!$A4276="","",4274)</f>
        <v/>
      </c>
      <c r="B4277" s="12" t="str">
        <f aca="false">IF($A4277="","",원본명단!$A4276)</f>
        <v/>
      </c>
      <c r="C4277" s="12" t="str">
        <f aca="false">IF($A4277="","",원본명단!$B4276)</f>
        <v/>
      </c>
      <c r="D4277" s="12" t="str">
        <f aca="false">IF($A4277="","",원본명단!$D4276)</f>
        <v/>
      </c>
      <c r="E4277" s="11" t="str">
        <f aca="false">IF($A4277="","",IF(원본명단!$H4276="",0,COUNTIF(원본명단!$H$3:$H$6002,원본명단!$H4276)))</f>
        <v/>
      </c>
      <c r="F4277" s="11" t="str">
        <f aca="false">IF($A4277="","",IF(원본명단!$I4276="",0,COUNTIF(원본명단!$I$3:$I$6002,원본명단!$I4276)))</f>
        <v/>
      </c>
      <c r="G4277" s="11" t="str">
        <f aca="false">IF($A4277="","",IF(원본명단!$K4276="",0,COUNTIF(원본명단!$K$3:$K$6002,원본명단!$K4276)))</f>
        <v/>
      </c>
      <c r="H4277" s="11" t="str">
        <f aca="false">IF($A4277="","",IF(MAX($E4277,$F4277,$G4277)&gt;1,"중복","-"))</f>
        <v/>
      </c>
      <c r="I4277" s="11" t="str">
        <f aca="false">IF($A4277="","",IF($H4277="-","-",IF(AND(IF(원본명단!$H4276="",TRUE(),COUNTIF(원본명단!$H$3:$H4276,원본명단!$H4276)=1),IF(원본명단!$I4276="",TRUE(),COUNTIF(원본명단!$I$3:$I4276,원본명단!$I4276)=1),IF(원본명단!$K4276="",TRUE(),COUNTIF(원본명단!$K$3:$K4276,원본명단!$K4276)=1)),"첫 건","중복 건")))</f>
        <v/>
      </c>
      <c r="J4277" s="11" t="str">
        <f aca="false">IF($A4277="","",IF($H4277="-","유지",IF($I4277="첫 건","유지","확인 필요")))</f>
        <v/>
      </c>
    </row>
    <row r="4278" customFormat="false" ht="15" hidden="false" customHeight="true" outlineLevel="0" collapsed="false">
      <c r="A4278" s="11" t="str">
        <f aca="false">IF(원본명단!$A4277="","",4275)</f>
        <v/>
      </c>
      <c r="B4278" s="12" t="str">
        <f aca="false">IF($A4278="","",원본명단!$A4277)</f>
        <v/>
      </c>
      <c r="C4278" s="12" t="str">
        <f aca="false">IF($A4278="","",원본명단!$B4277)</f>
        <v/>
      </c>
      <c r="D4278" s="12" t="str">
        <f aca="false">IF($A4278="","",원본명단!$D4277)</f>
        <v/>
      </c>
      <c r="E4278" s="11" t="str">
        <f aca="false">IF($A4278="","",IF(원본명단!$H4277="",0,COUNTIF(원본명단!$H$3:$H$6002,원본명단!$H4277)))</f>
        <v/>
      </c>
      <c r="F4278" s="11" t="str">
        <f aca="false">IF($A4278="","",IF(원본명단!$I4277="",0,COUNTIF(원본명단!$I$3:$I$6002,원본명단!$I4277)))</f>
        <v/>
      </c>
      <c r="G4278" s="11" t="str">
        <f aca="false">IF($A4278="","",IF(원본명단!$K4277="",0,COUNTIF(원본명단!$K$3:$K$6002,원본명단!$K4277)))</f>
        <v/>
      </c>
      <c r="H4278" s="11" t="str">
        <f aca="false">IF($A4278="","",IF(MAX($E4278,$F4278,$G4278)&gt;1,"중복","-"))</f>
        <v/>
      </c>
      <c r="I4278" s="11" t="str">
        <f aca="false">IF($A4278="","",IF($H4278="-","-",IF(AND(IF(원본명단!$H4277="",TRUE(),COUNTIF(원본명단!$H$3:$H4277,원본명단!$H4277)=1),IF(원본명단!$I4277="",TRUE(),COUNTIF(원본명단!$I$3:$I4277,원본명단!$I4277)=1),IF(원본명단!$K4277="",TRUE(),COUNTIF(원본명단!$K$3:$K4277,원본명단!$K4277)=1)),"첫 건","중복 건")))</f>
        <v/>
      </c>
      <c r="J4278" s="11" t="str">
        <f aca="false">IF($A4278="","",IF($H4278="-","유지",IF($I4278="첫 건","유지","확인 필요")))</f>
        <v/>
      </c>
    </row>
    <row r="4279" customFormat="false" ht="15" hidden="false" customHeight="true" outlineLevel="0" collapsed="false">
      <c r="A4279" s="11" t="str">
        <f aca="false">IF(원본명단!$A4278="","",4276)</f>
        <v/>
      </c>
      <c r="B4279" s="12" t="str">
        <f aca="false">IF($A4279="","",원본명단!$A4278)</f>
        <v/>
      </c>
      <c r="C4279" s="12" t="str">
        <f aca="false">IF($A4279="","",원본명단!$B4278)</f>
        <v/>
      </c>
      <c r="D4279" s="12" t="str">
        <f aca="false">IF($A4279="","",원본명단!$D4278)</f>
        <v/>
      </c>
      <c r="E4279" s="11" t="str">
        <f aca="false">IF($A4279="","",IF(원본명단!$H4278="",0,COUNTIF(원본명단!$H$3:$H$6002,원본명단!$H4278)))</f>
        <v/>
      </c>
      <c r="F4279" s="11" t="str">
        <f aca="false">IF($A4279="","",IF(원본명단!$I4278="",0,COUNTIF(원본명단!$I$3:$I$6002,원본명단!$I4278)))</f>
        <v/>
      </c>
      <c r="G4279" s="11" t="str">
        <f aca="false">IF($A4279="","",IF(원본명단!$K4278="",0,COUNTIF(원본명단!$K$3:$K$6002,원본명단!$K4278)))</f>
        <v/>
      </c>
      <c r="H4279" s="11" t="str">
        <f aca="false">IF($A4279="","",IF(MAX($E4279,$F4279,$G4279)&gt;1,"중복","-"))</f>
        <v/>
      </c>
      <c r="I4279" s="11" t="str">
        <f aca="false">IF($A4279="","",IF($H4279="-","-",IF(AND(IF(원본명단!$H4278="",TRUE(),COUNTIF(원본명단!$H$3:$H4278,원본명단!$H4278)=1),IF(원본명단!$I4278="",TRUE(),COUNTIF(원본명단!$I$3:$I4278,원본명단!$I4278)=1),IF(원본명단!$K4278="",TRUE(),COUNTIF(원본명단!$K$3:$K4278,원본명단!$K4278)=1)),"첫 건","중복 건")))</f>
        <v/>
      </c>
      <c r="J4279" s="11" t="str">
        <f aca="false">IF($A4279="","",IF($H4279="-","유지",IF($I4279="첫 건","유지","확인 필요")))</f>
        <v/>
      </c>
    </row>
    <row r="4280" customFormat="false" ht="15" hidden="false" customHeight="true" outlineLevel="0" collapsed="false">
      <c r="A4280" s="11" t="str">
        <f aca="false">IF(원본명단!$A4279="","",4277)</f>
        <v/>
      </c>
      <c r="B4280" s="12" t="str">
        <f aca="false">IF($A4280="","",원본명단!$A4279)</f>
        <v/>
      </c>
      <c r="C4280" s="12" t="str">
        <f aca="false">IF($A4280="","",원본명단!$B4279)</f>
        <v/>
      </c>
      <c r="D4280" s="12" t="str">
        <f aca="false">IF($A4280="","",원본명단!$D4279)</f>
        <v/>
      </c>
      <c r="E4280" s="11" t="str">
        <f aca="false">IF($A4280="","",IF(원본명단!$H4279="",0,COUNTIF(원본명단!$H$3:$H$6002,원본명단!$H4279)))</f>
        <v/>
      </c>
      <c r="F4280" s="11" t="str">
        <f aca="false">IF($A4280="","",IF(원본명단!$I4279="",0,COUNTIF(원본명단!$I$3:$I$6002,원본명단!$I4279)))</f>
        <v/>
      </c>
      <c r="G4280" s="11" t="str">
        <f aca="false">IF($A4280="","",IF(원본명단!$K4279="",0,COUNTIF(원본명단!$K$3:$K$6002,원본명단!$K4279)))</f>
        <v/>
      </c>
      <c r="H4280" s="11" t="str">
        <f aca="false">IF($A4280="","",IF(MAX($E4280,$F4280,$G4280)&gt;1,"중복","-"))</f>
        <v/>
      </c>
      <c r="I4280" s="11" t="str">
        <f aca="false">IF($A4280="","",IF($H4280="-","-",IF(AND(IF(원본명단!$H4279="",TRUE(),COUNTIF(원본명단!$H$3:$H4279,원본명단!$H4279)=1),IF(원본명단!$I4279="",TRUE(),COUNTIF(원본명단!$I$3:$I4279,원본명단!$I4279)=1),IF(원본명단!$K4279="",TRUE(),COUNTIF(원본명단!$K$3:$K4279,원본명단!$K4279)=1)),"첫 건","중복 건")))</f>
        <v/>
      </c>
      <c r="J4280" s="11" t="str">
        <f aca="false">IF($A4280="","",IF($H4280="-","유지",IF($I4280="첫 건","유지","확인 필요")))</f>
        <v/>
      </c>
    </row>
    <row r="4281" customFormat="false" ht="15" hidden="false" customHeight="true" outlineLevel="0" collapsed="false">
      <c r="A4281" s="11" t="str">
        <f aca="false">IF(원본명단!$A4280="","",4278)</f>
        <v/>
      </c>
      <c r="B4281" s="12" t="str">
        <f aca="false">IF($A4281="","",원본명단!$A4280)</f>
        <v/>
      </c>
      <c r="C4281" s="12" t="str">
        <f aca="false">IF($A4281="","",원본명단!$B4280)</f>
        <v/>
      </c>
      <c r="D4281" s="12" t="str">
        <f aca="false">IF($A4281="","",원본명단!$D4280)</f>
        <v/>
      </c>
      <c r="E4281" s="11" t="str">
        <f aca="false">IF($A4281="","",IF(원본명단!$H4280="",0,COUNTIF(원본명단!$H$3:$H$6002,원본명단!$H4280)))</f>
        <v/>
      </c>
      <c r="F4281" s="11" t="str">
        <f aca="false">IF($A4281="","",IF(원본명단!$I4280="",0,COUNTIF(원본명단!$I$3:$I$6002,원본명단!$I4280)))</f>
        <v/>
      </c>
      <c r="G4281" s="11" t="str">
        <f aca="false">IF($A4281="","",IF(원본명단!$K4280="",0,COUNTIF(원본명단!$K$3:$K$6002,원본명단!$K4280)))</f>
        <v/>
      </c>
      <c r="H4281" s="11" t="str">
        <f aca="false">IF($A4281="","",IF(MAX($E4281,$F4281,$G4281)&gt;1,"중복","-"))</f>
        <v/>
      </c>
      <c r="I4281" s="11" t="str">
        <f aca="false">IF($A4281="","",IF($H4281="-","-",IF(AND(IF(원본명단!$H4280="",TRUE(),COUNTIF(원본명단!$H$3:$H4280,원본명단!$H4280)=1),IF(원본명단!$I4280="",TRUE(),COUNTIF(원본명단!$I$3:$I4280,원본명단!$I4280)=1),IF(원본명단!$K4280="",TRUE(),COUNTIF(원본명단!$K$3:$K4280,원본명단!$K4280)=1)),"첫 건","중복 건")))</f>
        <v/>
      </c>
      <c r="J4281" s="11" t="str">
        <f aca="false">IF($A4281="","",IF($H4281="-","유지",IF($I4281="첫 건","유지","확인 필요")))</f>
        <v/>
      </c>
    </row>
    <row r="4282" customFormat="false" ht="15" hidden="false" customHeight="true" outlineLevel="0" collapsed="false">
      <c r="A4282" s="11" t="str">
        <f aca="false">IF(원본명단!$A4281="","",4279)</f>
        <v/>
      </c>
      <c r="B4282" s="12" t="str">
        <f aca="false">IF($A4282="","",원본명단!$A4281)</f>
        <v/>
      </c>
      <c r="C4282" s="12" t="str">
        <f aca="false">IF($A4282="","",원본명단!$B4281)</f>
        <v/>
      </c>
      <c r="D4282" s="12" t="str">
        <f aca="false">IF($A4282="","",원본명단!$D4281)</f>
        <v/>
      </c>
      <c r="E4282" s="11" t="str">
        <f aca="false">IF($A4282="","",IF(원본명단!$H4281="",0,COUNTIF(원본명단!$H$3:$H$6002,원본명단!$H4281)))</f>
        <v/>
      </c>
      <c r="F4282" s="11" t="str">
        <f aca="false">IF($A4282="","",IF(원본명단!$I4281="",0,COUNTIF(원본명단!$I$3:$I$6002,원본명단!$I4281)))</f>
        <v/>
      </c>
      <c r="G4282" s="11" t="str">
        <f aca="false">IF($A4282="","",IF(원본명단!$K4281="",0,COUNTIF(원본명단!$K$3:$K$6002,원본명단!$K4281)))</f>
        <v/>
      </c>
      <c r="H4282" s="11" t="str">
        <f aca="false">IF($A4282="","",IF(MAX($E4282,$F4282,$G4282)&gt;1,"중복","-"))</f>
        <v/>
      </c>
      <c r="I4282" s="11" t="str">
        <f aca="false">IF($A4282="","",IF($H4282="-","-",IF(AND(IF(원본명단!$H4281="",TRUE(),COUNTIF(원본명단!$H$3:$H4281,원본명단!$H4281)=1),IF(원본명단!$I4281="",TRUE(),COUNTIF(원본명단!$I$3:$I4281,원본명단!$I4281)=1),IF(원본명단!$K4281="",TRUE(),COUNTIF(원본명단!$K$3:$K4281,원본명단!$K4281)=1)),"첫 건","중복 건")))</f>
        <v/>
      </c>
      <c r="J4282" s="11" t="str">
        <f aca="false">IF($A4282="","",IF($H4282="-","유지",IF($I4282="첫 건","유지","확인 필요")))</f>
        <v/>
      </c>
    </row>
    <row r="4283" customFormat="false" ht="15" hidden="false" customHeight="true" outlineLevel="0" collapsed="false">
      <c r="A4283" s="11" t="str">
        <f aca="false">IF(원본명단!$A4282="","",4280)</f>
        <v/>
      </c>
      <c r="B4283" s="12" t="str">
        <f aca="false">IF($A4283="","",원본명단!$A4282)</f>
        <v/>
      </c>
      <c r="C4283" s="12" t="str">
        <f aca="false">IF($A4283="","",원본명단!$B4282)</f>
        <v/>
      </c>
      <c r="D4283" s="12" t="str">
        <f aca="false">IF($A4283="","",원본명단!$D4282)</f>
        <v/>
      </c>
      <c r="E4283" s="11" t="str">
        <f aca="false">IF($A4283="","",IF(원본명단!$H4282="",0,COUNTIF(원본명단!$H$3:$H$6002,원본명단!$H4282)))</f>
        <v/>
      </c>
      <c r="F4283" s="11" t="str">
        <f aca="false">IF($A4283="","",IF(원본명단!$I4282="",0,COUNTIF(원본명단!$I$3:$I$6002,원본명단!$I4282)))</f>
        <v/>
      </c>
      <c r="G4283" s="11" t="str">
        <f aca="false">IF($A4283="","",IF(원본명단!$K4282="",0,COUNTIF(원본명단!$K$3:$K$6002,원본명단!$K4282)))</f>
        <v/>
      </c>
      <c r="H4283" s="11" t="str">
        <f aca="false">IF($A4283="","",IF(MAX($E4283,$F4283,$G4283)&gt;1,"중복","-"))</f>
        <v/>
      </c>
      <c r="I4283" s="11" t="str">
        <f aca="false">IF($A4283="","",IF($H4283="-","-",IF(AND(IF(원본명단!$H4282="",TRUE(),COUNTIF(원본명단!$H$3:$H4282,원본명단!$H4282)=1),IF(원본명단!$I4282="",TRUE(),COUNTIF(원본명단!$I$3:$I4282,원본명단!$I4282)=1),IF(원본명단!$K4282="",TRUE(),COUNTIF(원본명단!$K$3:$K4282,원본명단!$K4282)=1)),"첫 건","중복 건")))</f>
        <v/>
      </c>
      <c r="J4283" s="11" t="str">
        <f aca="false">IF($A4283="","",IF($H4283="-","유지",IF($I4283="첫 건","유지","확인 필요")))</f>
        <v/>
      </c>
    </row>
    <row r="4284" customFormat="false" ht="15" hidden="false" customHeight="true" outlineLevel="0" collapsed="false">
      <c r="A4284" s="11" t="str">
        <f aca="false">IF(원본명단!$A4283="","",4281)</f>
        <v/>
      </c>
      <c r="B4284" s="12" t="str">
        <f aca="false">IF($A4284="","",원본명단!$A4283)</f>
        <v/>
      </c>
      <c r="C4284" s="12" t="str">
        <f aca="false">IF($A4284="","",원본명단!$B4283)</f>
        <v/>
      </c>
      <c r="D4284" s="12" t="str">
        <f aca="false">IF($A4284="","",원본명단!$D4283)</f>
        <v/>
      </c>
      <c r="E4284" s="11" t="str">
        <f aca="false">IF($A4284="","",IF(원본명단!$H4283="",0,COUNTIF(원본명단!$H$3:$H$6002,원본명단!$H4283)))</f>
        <v/>
      </c>
      <c r="F4284" s="11" t="str">
        <f aca="false">IF($A4284="","",IF(원본명단!$I4283="",0,COUNTIF(원본명단!$I$3:$I$6002,원본명단!$I4283)))</f>
        <v/>
      </c>
      <c r="G4284" s="11" t="str">
        <f aca="false">IF($A4284="","",IF(원본명단!$K4283="",0,COUNTIF(원본명단!$K$3:$K$6002,원본명단!$K4283)))</f>
        <v/>
      </c>
      <c r="H4284" s="11" t="str">
        <f aca="false">IF($A4284="","",IF(MAX($E4284,$F4284,$G4284)&gt;1,"중복","-"))</f>
        <v/>
      </c>
      <c r="I4284" s="11" t="str">
        <f aca="false">IF($A4284="","",IF($H4284="-","-",IF(AND(IF(원본명단!$H4283="",TRUE(),COUNTIF(원본명단!$H$3:$H4283,원본명단!$H4283)=1),IF(원본명단!$I4283="",TRUE(),COUNTIF(원본명단!$I$3:$I4283,원본명단!$I4283)=1),IF(원본명단!$K4283="",TRUE(),COUNTIF(원본명단!$K$3:$K4283,원본명단!$K4283)=1)),"첫 건","중복 건")))</f>
        <v/>
      </c>
      <c r="J4284" s="11" t="str">
        <f aca="false">IF($A4284="","",IF($H4284="-","유지",IF($I4284="첫 건","유지","확인 필요")))</f>
        <v/>
      </c>
    </row>
    <row r="4285" customFormat="false" ht="15" hidden="false" customHeight="true" outlineLevel="0" collapsed="false">
      <c r="A4285" s="11" t="str">
        <f aca="false">IF(원본명단!$A4284="","",4282)</f>
        <v/>
      </c>
      <c r="B4285" s="12" t="str">
        <f aca="false">IF($A4285="","",원본명단!$A4284)</f>
        <v/>
      </c>
      <c r="C4285" s="12" t="str">
        <f aca="false">IF($A4285="","",원본명단!$B4284)</f>
        <v/>
      </c>
      <c r="D4285" s="12" t="str">
        <f aca="false">IF($A4285="","",원본명단!$D4284)</f>
        <v/>
      </c>
      <c r="E4285" s="11" t="str">
        <f aca="false">IF($A4285="","",IF(원본명단!$H4284="",0,COUNTIF(원본명단!$H$3:$H$6002,원본명단!$H4284)))</f>
        <v/>
      </c>
      <c r="F4285" s="11" t="str">
        <f aca="false">IF($A4285="","",IF(원본명단!$I4284="",0,COUNTIF(원본명단!$I$3:$I$6002,원본명단!$I4284)))</f>
        <v/>
      </c>
      <c r="G4285" s="11" t="str">
        <f aca="false">IF($A4285="","",IF(원본명단!$K4284="",0,COUNTIF(원본명단!$K$3:$K$6002,원본명단!$K4284)))</f>
        <v/>
      </c>
      <c r="H4285" s="11" t="str">
        <f aca="false">IF($A4285="","",IF(MAX($E4285,$F4285,$G4285)&gt;1,"중복","-"))</f>
        <v/>
      </c>
      <c r="I4285" s="11" t="str">
        <f aca="false">IF($A4285="","",IF($H4285="-","-",IF(AND(IF(원본명단!$H4284="",TRUE(),COUNTIF(원본명단!$H$3:$H4284,원본명단!$H4284)=1),IF(원본명단!$I4284="",TRUE(),COUNTIF(원본명단!$I$3:$I4284,원본명단!$I4284)=1),IF(원본명단!$K4284="",TRUE(),COUNTIF(원본명단!$K$3:$K4284,원본명단!$K4284)=1)),"첫 건","중복 건")))</f>
        <v/>
      </c>
      <c r="J4285" s="11" t="str">
        <f aca="false">IF($A4285="","",IF($H4285="-","유지",IF($I4285="첫 건","유지","확인 필요")))</f>
        <v/>
      </c>
    </row>
    <row r="4286" customFormat="false" ht="15" hidden="false" customHeight="true" outlineLevel="0" collapsed="false">
      <c r="A4286" s="11" t="str">
        <f aca="false">IF(원본명단!$A4285="","",4283)</f>
        <v/>
      </c>
      <c r="B4286" s="12" t="str">
        <f aca="false">IF($A4286="","",원본명단!$A4285)</f>
        <v/>
      </c>
      <c r="C4286" s="12" t="str">
        <f aca="false">IF($A4286="","",원본명단!$B4285)</f>
        <v/>
      </c>
      <c r="D4286" s="12" t="str">
        <f aca="false">IF($A4286="","",원본명단!$D4285)</f>
        <v/>
      </c>
      <c r="E4286" s="11" t="str">
        <f aca="false">IF($A4286="","",IF(원본명단!$H4285="",0,COUNTIF(원본명단!$H$3:$H$6002,원본명단!$H4285)))</f>
        <v/>
      </c>
      <c r="F4286" s="11" t="str">
        <f aca="false">IF($A4286="","",IF(원본명단!$I4285="",0,COUNTIF(원본명단!$I$3:$I$6002,원본명단!$I4285)))</f>
        <v/>
      </c>
      <c r="G4286" s="11" t="str">
        <f aca="false">IF($A4286="","",IF(원본명단!$K4285="",0,COUNTIF(원본명단!$K$3:$K$6002,원본명단!$K4285)))</f>
        <v/>
      </c>
      <c r="H4286" s="11" t="str">
        <f aca="false">IF($A4286="","",IF(MAX($E4286,$F4286,$G4286)&gt;1,"중복","-"))</f>
        <v/>
      </c>
      <c r="I4286" s="11" t="str">
        <f aca="false">IF($A4286="","",IF($H4286="-","-",IF(AND(IF(원본명단!$H4285="",TRUE(),COUNTIF(원본명단!$H$3:$H4285,원본명단!$H4285)=1),IF(원본명단!$I4285="",TRUE(),COUNTIF(원본명단!$I$3:$I4285,원본명단!$I4285)=1),IF(원본명단!$K4285="",TRUE(),COUNTIF(원본명단!$K$3:$K4285,원본명단!$K4285)=1)),"첫 건","중복 건")))</f>
        <v/>
      </c>
      <c r="J4286" s="11" t="str">
        <f aca="false">IF($A4286="","",IF($H4286="-","유지",IF($I4286="첫 건","유지","확인 필요")))</f>
        <v/>
      </c>
    </row>
    <row r="4287" customFormat="false" ht="15" hidden="false" customHeight="true" outlineLevel="0" collapsed="false">
      <c r="A4287" s="11" t="str">
        <f aca="false">IF(원본명단!$A4286="","",4284)</f>
        <v/>
      </c>
      <c r="B4287" s="12" t="str">
        <f aca="false">IF($A4287="","",원본명단!$A4286)</f>
        <v/>
      </c>
      <c r="C4287" s="12" t="str">
        <f aca="false">IF($A4287="","",원본명단!$B4286)</f>
        <v/>
      </c>
      <c r="D4287" s="12" t="str">
        <f aca="false">IF($A4287="","",원본명단!$D4286)</f>
        <v/>
      </c>
      <c r="E4287" s="11" t="str">
        <f aca="false">IF($A4287="","",IF(원본명단!$H4286="",0,COUNTIF(원본명단!$H$3:$H$6002,원본명단!$H4286)))</f>
        <v/>
      </c>
      <c r="F4287" s="11" t="str">
        <f aca="false">IF($A4287="","",IF(원본명단!$I4286="",0,COUNTIF(원본명단!$I$3:$I$6002,원본명단!$I4286)))</f>
        <v/>
      </c>
      <c r="G4287" s="11" t="str">
        <f aca="false">IF($A4287="","",IF(원본명단!$K4286="",0,COUNTIF(원본명단!$K$3:$K$6002,원본명단!$K4286)))</f>
        <v/>
      </c>
      <c r="H4287" s="11" t="str">
        <f aca="false">IF($A4287="","",IF(MAX($E4287,$F4287,$G4287)&gt;1,"중복","-"))</f>
        <v/>
      </c>
      <c r="I4287" s="11" t="str">
        <f aca="false">IF($A4287="","",IF($H4287="-","-",IF(AND(IF(원본명단!$H4286="",TRUE(),COUNTIF(원본명단!$H$3:$H4286,원본명단!$H4286)=1),IF(원본명단!$I4286="",TRUE(),COUNTIF(원본명단!$I$3:$I4286,원본명단!$I4286)=1),IF(원본명단!$K4286="",TRUE(),COUNTIF(원본명단!$K$3:$K4286,원본명단!$K4286)=1)),"첫 건","중복 건")))</f>
        <v/>
      </c>
      <c r="J4287" s="11" t="str">
        <f aca="false">IF($A4287="","",IF($H4287="-","유지",IF($I4287="첫 건","유지","확인 필요")))</f>
        <v/>
      </c>
    </row>
    <row r="4288" customFormat="false" ht="15" hidden="false" customHeight="true" outlineLevel="0" collapsed="false">
      <c r="A4288" s="11" t="str">
        <f aca="false">IF(원본명단!$A4287="","",4285)</f>
        <v/>
      </c>
      <c r="B4288" s="12" t="str">
        <f aca="false">IF($A4288="","",원본명단!$A4287)</f>
        <v/>
      </c>
      <c r="C4288" s="12" t="str">
        <f aca="false">IF($A4288="","",원본명단!$B4287)</f>
        <v/>
      </c>
      <c r="D4288" s="12" t="str">
        <f aca="false">IF($A4288="","",원본명단!$D4287)</f>
        <v/>
      </c>
      <c r="E4288" s="11" t="str">
        <f aca="false">IF($A4288="","",IF(원본명단!$H4287="",0,COUNTIF(원본명단!$H$3:$H$6002,원본명단!$H4287)))</f>
        <v/>
      </c>
      <c r="F4288" s="11" t="str">
        <f aca="false">IF($A4288="","",IF(원본명단!$I4287="",0,COUNTIF(원본명단!$I$3:$I$6002,원본명단!$I4287)))</f>
        <v/>
      </c>
      <c r="G4288" s="11" t="str">
        <f aca="false">IF($A4288="","",IF(원본명단!$K4287="",0,COUNTIF(원본명단!$K$3:$K$6002,원본명단!$K4287)))</f>
        <v/>
      </c>
      <c r="H4288" s="11" t="str">
        <f aca="false">IF($A4288="","",IF(MAX($E4288,$F4288,$G4288)&gt;1,"중복","-"))</f>
        <v/>
      </c>
      <c r="I4288" s="11" t="str">
        <f aca="false">IF($A4288="","",IF($H4288="-","-",IF(AND(IF(원본명단!$H4287="",TRUE(),COUNTIF(원본명단!$H$3:$H4287,원본명단!$H4287)=1),IF(원본명단!$I4287="",TRUE(),COUNTIF(원본명단!$I$3:$I4287,원본명단!$I4287)=1),IF(원본명단!$K4287="",TRUE(),COUNTIF(원본명단!$K$3:$K4287,원본명단!$K4287)=1)),"첫 건","중복 건")))</f>
        <v/>
      </c>
      <c r="J4288" s="11" t="str">
        <f aca="false">IF($A4288="","",IF($H4288="-","유지",IF($I4288="첫 건","유지","확인 필요")))</f>
        <v/>
      </c>
    </row>
    <row r="4289" customFormat="false" ht="15" hidden="false" customHeight="true" outlineLevel="0" collapsed="false">
      <c r="A4289" s="11" t="str">
        <f aca="false">IF(원본명단!$A4288="","",4286)</f>
        <v/>
      </c>
      <c r="B4289" s="12" t="str">
        <f aca="false">IF($A4289="","",원본명단!$A4288)</f>
        <v/>
      </c>
      <c r="C4289" s="12" t="str">
        <f aca="false">IF($A4289="","",원본명단!$B4288)</f>
        <v/>
      </c>
      <c r="D4289" s="12" t="str">
        <f aca="false">IF($A4289="","",원본명단!$D4288)</f>
        <v/>
      </c>
      <c r="E4289" s="11" t="str">
        <f aca="false">IF($A4289="","",IF(원본명단!$H4288="",0,COUNTIF(원본명단!$H$3:$H$6002,원본명단!$H4288)))</f>
        <v/>
      </c>
      <c r="F4289" s="11" t="str">
        <f aca="false">IF($A4289="","",IF(원본명단!$I4288="",0,COUNTIF(원본명단!$I$3:$I$6002,원본명단!$I4288)))</f>
        <v/>
      </c>
      <c r="G4289" s="11" t="str">
        <f aca="false">IF($A4289="","",IF(원본명단!$K4288="",0,COUNTIF(원본명단!$K$3:$K$6002,원본명단!$K4288)))</f>
        <v/>
      </c>
      <c r="H4289" s="11" t="str">
        <f aca="false">IF($A4289="","",IF(MAX($E4289,$F4289,$G4289)&gt;1,"중복","-"))</f>
        <v/>
      </c>
      <c r="I4289" s="11" t="str">
        <f aca="false">IF($A4289="","",IF($H4289="-","-",IF(AND(IF(원본명단!$H4288="",TRUE(),COUNTIF(원본명단!$H$3:$H4288,원본명단!$H4288)=1),IF(원본명단!$I4288="",TRUE(),COUNTIF(원본명단!$I$3:$I4288,원본명단!$I4288)=1),IF(원본명단!$K4288="",TRUE(),COUNTIF(원본명단!$K$3:$K4288,원본명단!$K4288)=1)),"첫 건","중복 건")))</f>
        <v/>
      </c>
      <c r="J4289" s="11" t="str">
        <f aca="false">IF($A4289="","",IF($H4289="-","유지",IF($I4289="첫 건","유지","확인 필요")))</f>
        <v/>
      </c>
    </row>
    <row r="4290" customFormat="false" ht="15" hidden="false" customHeight="true" outlineLevel="0" collapsed="false">
      <c r="A4290" s="11" t="str">
        <f aca="false">IF(원본명단!$A4289="","",4287)</f>
        <v/>
      </c>
      <c r="B4290" s="12" t="str">
        <f aca="false">IF($A4290="","",원본명단!$A4289)</f>
        <v/>
      </c>
      <c r="C4290" s="12" t="str">
        <f aca="false">IF($A4290="","",원본명단!$B4289)</f>
        <v/>
      </c>
      <c r="D4290" s="12" t="str">
        <f aca="false">IF($A4290="","",원본명단!$D4289)</f>
        <v/>
      </c>
      <c r="E4290" s="11" t="str">
        <f aca="false">IF($A4290="","",IF(원본명단!$H4289="",0,COUNTIF(원본명단!$H$3:$H$6002,원본명단!$H4289)))</f>
        <v/>
      </c>
      <c r="F4290" s="11" t="str">
        <f aca="false">IF($A4290="","",IF(원본명단!$I4289="",0,COUNTIF(원본명단!$I$3:$I$6002,원본명단!$I4289)))</f>
        <v/>
      </c>
      <c r="G4290" s="11" t="str">
        <f aca="false">IF($A4290="","",IF(원본명단!$K4289="",0,COUNTIF(원본명단!$K$3:$K$6002,원본명단!$K4289)))</f>
        <v/>
      </c>
      <c r="H4290" s="11" t="str">
        <f aca="false">IF($A4290="","",IF(MAX($E4290,$F4290,$G4290)&gt;1,"중복","-"))</f>
        <v/>
      </c>
      <c r="I4290" s="11" t="str">
        <f aca="false">IF($A4290="","",IF($H4290="-","-",IF(AND(IF(원본명단!$H4289="",TRUE(),COUNTIF(원본명단!$H$3:$H4289,원본명단!$H4289)=1),IF(원본명단!$I4289="",TRUE(),COUNTIF(원본명단!$I$3:$I4289,원본명단!$I4289)=1),IF(원본명단!$K4289="",TRUE(),COUNTIF(원본명단!$K$3:$K4289,원본명단!$K4289)=1)),"첫 건","중복 건")))</f>
        <v/>
      </c>
      <c r="J4290" s="11" t="str">
        <f aca="false">IF($A4290="","",IF($H4290="-","유지",IF($I4290="첫 건","유지","확인 필요")))</f>
        <v/>
      </c>
    </row>
    <row r="4291" customFormat="false" ht="15" hidden="false" customHeight="true" outlineLevel="0" collapsed="false">
      <c r="A4291" s="11" t="str">
        <f aca="false">IF(원본명단!$A4290="","",4288)</f>
        <v/>
      </c>
      <c r="B4291" s="12" t="str">
        <f aca="false">IF($A4291="","",원본명단!$A4290)</f>
        <v/>
      </c>
      <c r="C4291" s="12" t="str">
        <f aca="false">IF($A4291="","",원본명단!$B4290)</f>
        <v/>
      </c>
      <c r="D4291" s="12" t="str">
        <f aca="false">IF($A4291="","",원본명단!$D4290)</f>
        <v/>
      </c>
      <c r="E4291" s="11" t="str">
        <f aca="false">IF($A4291="","",IF(원본명단!$H4290="",0,COUNTIF(원본명단!$H$3:$H$6002,원본명단!$H4290)))</f>
        <v/>
      </c>
      <c r="F4291" s="11" t="str">
        <f aca="false">IF($A4291="","",IF(원본명단!$I4290="",0,COUNTIF(원본명단!$I$3:$I$6002,원본명단!$I4290)))</f>
        <v/>
      </c>
      <c r="G4291" s="11" t="str">
        <f aca="false">IF($A4291="","",IF(원본명단!$K4290="",0,COUNTIF(원본명단!$K$3:$K$6002,원본명단!$K4290)))</f>
        <v/>
      </c>
      <c r="H4291" s="11" t="str">
        <f aca="false">IF($A4291="","",IF(MAX($E4291,$F4291,$G4291)&gt;1,"중복","-"))</f>
        <v/>
      </c>
      <c r="I4291" s="11" t="str">
        <f aca="false">IF($A4291="","",IF($H4291="-","-",IF(AND(IF(원본명단!$H4290="",TRUE(),COUNTIF(원본명단!$H$3:$H4290,원본명단!$H4290)=1),IF(원본명단!$I4290="",TRUE(),COUNTIF(원본명단!$I$3:$I4290,원본명단!$I4290)=1),IF(원본명단!$K4290="",TRUE(),COUNTIF(원본명단!$K$3:$K4290,원본명단!$K4290)=1)),"첫 건","중복 건")))</f>
        <v/>
      </c>
      <c r="J4291" s="11" t="str">
        <f aca="false">IF($A4291="","",IF($H4291="-","유지",IF($I4291="첫 건","유지","확인 필요")))</f>
        <v/>
      </c>
    </row>
    <row r="4292" customFormat="false" ht="15" hidden="false" customHeight="true" outlineLevel="0" collapsed="false">
      <c r="A4292" s="11" t="str">
        <f aca="false">IF(원본명단!$A4291="","",4289)</f>
        <v/>
      </c>
      <c r="B4292" s="12" t="str">
        <f aca="false">IF($A4292="","",원본명단!$A4291)</f>
        <v/>
      </c>
      <c r="C4292" s="12" t="str">
        <f aca="false">IF($A4292="","",원본명단!$B4291)</f>
        <v/>
      </c>
      <c r="D4292" s="12" t="str">
        <f aca="false">IF($A4292="","",원본명단!$D4291)</f>
        <v/>
      </c>
      <c r="E4292" s="11" t="str">
        <f aca="false">IF($A4292="","",IF(원본명단!$H4291="",0,COUNTIF(원본명단!$H$3:$H$6002,원본명단!$H4291)))</f>
        <v/>
      </c>
      <c r="F4292" s="11" t="str">
        <f aca="false">IF($A4292="","",IF(원본명단!$I4291="",0,COUNTIF(원본명단!$I$3:$I$6002,원본명단!$I4291)))</f>
        <v/>
      </c>
      <c r="G4292" s="11" t="str">
        <f aca="false">IF($A4292="","",IF(원본명단!$K4291="",0,COUNTIF(원본명단!$K$3:$K$6002,원본명단!$K4291)))</f>
        <v/>
      </c>
      <c r="H4292" s="11" t="str">
        <f aca="false">IF($A4292="","",IF(MAX($E4292,$F4292,$G4292)&gt;1,"중복","-"))</f>
        <v/>
      </c>
      <c r="I4292" s="11" t="str">
        <f aca="false">IF($A4292="","",IF($H4292="-","-",IF(AND(IF(원본명단!$H4291="",TRUE(),COUNTIF(원본명단!$H$3:$H4291,원본명단!$H4291)=1),IF(원본명단!$I4291="",TRUE(),COUNTIF(원본명단!$I$3:$I4291,원본명단!$I4291)=1),IF(원본명단!$K4291="",TRUE(),COUNTIF(원본명단!$K$3:$K4291,원본명단!$K4291)=1)),"첫 건","중복 건")))</f>
        <v/>
      </c>
      <c r="J4292" s="11" t="str">
        <f aca="false">IF($A4292="","",IF($H4292="-","유지",IF($I4292="첫 건","유지","확인 필요")))</f>
        <v/>
      </c>
    </row>
    <row r="4293" customFormat="false" ht="15" hidden="false" customHeight="true" outlineLevel="0" collapsed="false">
      <c r="A4293" s="11" t="str">
        <f aca="false">IF(원본명단!$A4292="","",4290)</f>
        <v/>
      </c>
      <c r="B4293" s="12" t="str">
        <f aca="false">IF($A4293="","",원본명단!$A4292)</f>
        <v/>
      </c>
      <c r="C4293" s="12" t="str">
        <f aca="false">IF($A4293="","",원본명단!$B4292)</f>
        <v/>
      </c>
      <c r="D4293" s="12" t="str">
        <f aca="false">IF($A4293="","",원본명단!$D4292)</f>
        <v/>
      </c>
      <c r="E4293" s="11" t="str">
        <f aca="false">IF($A4293="","",IF(원본명단!$H4292="",0,COUNTIF(원본명단!$H$3:$H$6002,원본명단!$H4292)))</f>
        <v/>
      </c>
      <c r="F4293" s="11" t="str">
        <f aca="false">IF($A4293="","",IF(원본명단!$I4292="",0,COUNTIF(원본명단!$I$3:$I$6002,원본명단!$I4292)))</f>
        <v/>
      </c>
      <c r="G4293" s="11" t="str">
        <f aca="false">IF($A4293="","",IF(원본명단!$K4292="",0,COUNTIF(원본명단!$K$3:$K$6002,원본명단!$K4292)))</f>
        <v/>
      </c>
      <c r="H4293" s="11" t="str">
        <f aca="false">IF($A4293="","",IF(MAX($E4293,$F4293,$G4293)&gt;1,"중복","-"))</f>
        <v/>
      </c>
      <c r="I4293" s="11" t="str">
        <f aca="false">IF($A4293="","",IF($H4293="-","-",IF(AND(IF(원본명단!$H4292="",TRUE(),COUNTIF(원본명단!$H$3:$H4292,원본명단!$H4292)=1),IF(원본명단!$I4292="",TRUE(),COUNTIF(원본명단!$I$3:$I4292,원본명단!$I4292)=1),IF(원본명단!$K4292="",TRUE(),COUNTIF(원본명단!$K$3:$K4292,원본명단!$K4292)=1)),"첫 건","중복 건")))</f>
        <v/>
      </c>
      <c r="J4293" s="11" t="str">
        <f aca="false">IF($A4293="","",IF($H4293="-","유지",IF($I4293="첫 건","유지","확인 필요")))</f>
        <v/>
      </c>
    </row>
    <row r="4294" customFormat="false" ht="15" hidden="false" customHeight="true" outlineLevel="0" collapsed="false">
      <c r="A4294" s="11" t="str">
        <f aca="false">IF(원본명단!$A4293="","",4291)</f>
        <v/>
      </c>
      <c r="B4294" s="12" t="str">
        <f aca="false">IF($A4294="","",원본명단!$A4293)</f>
        <v/>
      </c>
      <c r="C4294" s="12" t="str">
        <f aca="false">IF($A4294="","",원본명단!$B4293)</f>
        <v/>
      </c>
      <c r="D4294" s="12" t="str">
        <f aca="false">IF($A4294="","",원본명단!$D4293)</f>
        <v/>
      </c>
      <c r="E4294" s="11" t="str">
        <f aca="false">IF($A4294="","",IF(원본명단!$H4293="",0,COUNTIF(원본명단!$H$3:$H$6002,원본명단!$H4293)))</f>
        <v/>
      </c>
      <c r="F4294" s="11" t="str">
        <f aca="false">IF($A4294="","",IF(원본명단!$I4293="",0,COUNTIF(원본명단!$I$3:$I$6002,원본명단!$I4293)))</f>
        <v/>
      </c>
      <c r="G4294" s="11" t="str">
        <f aca="false">IF($A4294="","",IF(원본명단!$K4293="",0,COUNTIF(원본명단!$K$3:$K$6002,원본명단!$K4293)))</f>
        <v/>
      </c>
      <c r="H4294" s="11" t="str">
        <f aca="false">IF($A4294="","",IF(MAX($E4294,$F4294,$G4294)&gt;1,"중복","-"))</f>
        <v/>
      </c>
      <c r="I4294" s="11" t="str">
        <f aca="false">IF($A4294="","",IF($H4294="-","-",IF(AND(IF(원본명단!$H4293="",TRUE(),COUNTIF(원본명단!$H$3:$H4293,원본명단!$H4293)=1),IF(원본명단!$I4293="",TRUE(),COUNTIF(원본명단!$I$3:$I4293,원본명단!$I4293)=1),IF(원본명단!$K4293="",TRUE(),COUNTIF(원본명단!$K$3:$K4293,원본명단!$K4293)=1)),"첫 건","중복 건")))</f>
        <v/>
      </c>
      <c r="J4294" s="11" t="str">
        <f aca="false">IF($A4294="","",IF($H4294="-","유지",IF($I4294="첫 건","유지","확인 필요")))</f>
        <v/>
      </c>
    </row>
    <row r="4295" customFormat="false" ht="15" hidden="false" customHeight="true" outlineLevel="0" collapsed="false">
      <c r="A4295" s="11" t="str">
        <f aca="false">IF(원본명단!$A4294="","",4292)</f>
        <v/>
      </c>
      <c r="B4295" s="12" t="str">
        <f aca="false">IF($A4295="","",원본명단!$A4294)</f>
        <v/>
      </c>
      <c r="C4295" s="12" t="str">
        <f aca="false">IF($A4295="","",원본명단!$B4294)</f>
        <v/>
      </c>
      <c r="D4295" s="12" t="str">
        <f aca="false">IF($A4295="","",원본명단!$D4294)</f>
        <v/>
      </c>
      <c r="E4295" s="11" t="str">
        <f aca="false">IF($A4295="","",IF(원본명단!$H4294="",0,COUNTIF(원본명단!$H$3:$H$6002,원본명단!$H4294)))</f>
        <v/>
      </c>
      <c r="F4295" s="11" t="str">
        <f aca="false">IF($A4295="","",IF(원본명단!$I4294="",0,COUNTIF(원본명단!$I$3:$I$6002,원본명단!$I4294)))</f>
        <v/>
      </c>
      <c r="G4295" s="11" t="str">
        <f aca="false">IF($A4295="","",IF(원본명단!$K4294="",0,COUNTIF(원본명단!$K$3:$K$6002,원본명단!$K4294)))</f>
        <v/>
      </c>
      <c r="H4295" s="11" t="str">
        <f aca="false">IF($A4295="","",IF(MAX($E4295,$F4295,$G4295)&gt;1,"중복","-"))</f>
        <v/>
      </c>
      <c r="I4295" s="11" t="str">
        <f aca="false">IF($A4295="","",IF($H4295="-","-",IF(AND(IF(원본명단!$H4294="",TRUE(),COUNTIF(원본명단!$H$3:$H4294,원본명단!$H4294)=1),IF(원본명단!$I4294="",TRUE(),COUNTIF(원본명단!$I$3:$I4294,원본명단!$I4294)=1),IF(원본명단!$K4294="",TRUE(),COUNTIF(원본명단!$K$3:$K4294,원본명단!$K4294)=1)),"첫 건","중복 건")))</f>
        <v/>
      </c>
      <c r="J4295" s="11" t="str">
        <f aca="false">IF($A4295="","",IF($H4295="-","유지",IF($I4295="첫 건","유지","확인 필요")))</f>
        <v/>
      </c>
    </row>
    <row r="4296" customFormat="false" ht="15" hidden="false" customHeight="true" outlineLevel="0" collapsed="false">
      <c r="A4296" s="11" t="str">
        <f aca="false">IF(원본명단!$A4295="","",4293)</f>
        <v/>
      </c>
      <c r="B4296" s="12" t="str">
        <f aca="false">IF($A4296="","",원본명단!$A4295)</f>
        <v/>
      </c>
      <c r="C4296" s="12" t="str">
        <f aca="false">IF($A4296="","",원본명단!$B4295)</f>
        <v/>
      </c>
      <c r="D4296" s="12" t="str">
        <f aca="false">IF($A4296="","",원본명단!$D4295)</f>
        <v/>
      </c>
      <c r="E4296" s="11" t="str">
        <f aca="false">IF($A4296="","",IF(원본명단!$H4295="",0,COUNTIF(원본명단!$H$3:$H$6002,원본명단!$H4295)))</f>
        <v/>
      </c>
      <c r="F4296" s="11" t="str">
        <f aca="false">IF($A4296="","",IF(원본명단!$I4295="",0,COUNTIF(원본명단!$I$3:$I$6002,원본명단!$I4295)))</f>
        <v/>
      </c>
      <c r="G4296" s="11" t="str">
        <f aca="false">IF($A4296="","",IF(원본명단!$K4295="",0,COUNTIF(원본명단!$K$3:$K$6002,원본명단!$K4295)))</f>
        <v/>
      </c>
      <c r="H4296" s="11" t="str">
        <f aca="false">IF($A4296="","",IF(MAX($E4296,$F4296,$G4296)&gt;1,"중복","-"))</f>
        <v/>
      </c>
      <c r="I4296" s="11" t="str">
        <f aca="false">IF($A4296="","",IF($H4296="-","-",IF(AND(IF(원본명단!$H4295="",TRUE(),COUNTIF(원본명단!$H$3:$H4295,원본명단!$H4295)=1),IF(원본명단!$I4295="",TRUE(),COUNTIF(원본명단!$I$3:$I4295,원본명단!$I4295)=1),IF(원본명단!$K4295="",TRUE(),COUNTIF(원본명단!$K$3:$K4295,원본명단!$K4295)=1)),"첫 건","중복 건")))</f>
        <v/>
      </c>
      <c r="J4296" s="11" t="str">
        <f aca="false">IF($A4296="","",IF($H4296="-","유지",IF($I4296="첫 건","유지","확인 필요")))</f>
        <v/>
      </c>
    </row>
    <row r="4297" customFormat="false" ht="15" hidden="false" customHeight="true" outlineLevel="0" collapsed="false">
      <c r="A4297" s="11" t="str">
        <f aca="false">IF(원본명단!$A4296="","",4294)</f>
        <v/>
      </c>
      <c r="B4297" s="12" t="str">
        <f aca="false">IF($A4297="","",원본명단!$A4296)</f>
        <v/>
      </c>
      <c r="C4297" s="12" t="str">
        <f aca="false">IF($A4297="","",원본명단!$B4296)</f>
        <v/>
      </c>
      <c r="D4297" s="12" t="str">
        <f aca="false">IF($A4297="","",원본명단!$D4296)</f>
        <v/>
      </c>
      <c r="E4297" s="11" t="str">
        <f aca="false">IF($A4297="","",IF(원본명단!$H4296="",0,COUNTIF(원본명단!$H$3:$H$6002,원본명단!$H4296)))</f>
        <v/>
      </c>
      <c r="F4297" s="11" t="str">
        <f aca="false">IF($A4297="","",IF(원본명단!$I4296="",0,COUNTIF(원본명단!$I$3:$I$6002,원본명단!$I4296)))</f>
        <v/>
      </c>
      <c r="G4297" s="11" t="str">
        <f aca="false">IF($A4297="","",IF(원본명단!$K4296="",0,COUNTIF(원본명단!$K$3:$K$6002,원본명단!$K4296)))</f>
        <v/>
      </c>
      <c r="H4297" s="11" t="str">
        <f aca="false">IF($A4297="","",IF(MAX($E4297,$F4297,$G4297)&gt;1,"중복","-"))</f>
        <v/>
      </c>
      <c r="I4297" s="11" t="str">
        <f aca="false">IF($A4297="","",IF($H4297="-","-",IF(AND(IF(원본명단!$H4296="",TRUE(),COUNTIF(원본명단!$H$3:$H4296,원본명단!$H4296)=1),IF(원본명단!$I4296="",TRUE(),COUNTIF(원본명단!$I$3:$I4296,원본명단!$I4296)=1),IF(원본명단!$K4296="",TRUE(),COUNTIF(원본명단!$K$3:$K4296,원본명단!$K4296)=1)),"첫 건","중복 건")))</f>
        <v/>
      </c>
      <c r="J4297" s="11" t="str">
        <f aca="false">IF($A4297="","",IF($H4297="-","유지",IF($I4297="첫 건","유지","확인 필요")))</f>
        <v/>
      </c>
    </row>
    <row r="4298" customFormat="false" ht="15" hidden="false" customHeight="true" outlineLevel="0" collapsed="false">
      <c r="A4298" s="11" t="str">
        <f aca="false">IF(원본명단!$A4297="","",4295)</f>
        <v/>
      </c>
      <c r="B4298" s="12" t="str">
        <f aca="false">IF($A4298="","",원본명단!$A4297)</f>
        <v/>
      </c>
      <c r="C4298" s="12" t="str">
        <f aca="false">IF($A4298="","",원본명단!$B4297)</f>
        <v/>
      </c>
      <c r="D4298" s="12" t="str">
        <f aca="false">IF($A4298="","",원본명단!$D4297)</f>
        <v/>
      </c>
      <c r="E4298" s="11" t="str">
        <f aca="false">IF($A4298="","",IF(원본명단!$H4297="",0,COUNTIF(원본명단!$H$3:$H$6002,원본명단!$H4297)))</f>
        <v/>
      </c>
      <c r="F4298" s="11" t="str">
        <f aca="false">IF($A4298="","",IF(원본명단!$I4297="",0,COUNTIF(원본명단!$I$3:$I$6002,원본명단!$I4297)))</f>
        <v/>
      </c>
      <c r="G4298" s="11" t="str">
        <f aca="false">IF($A4298="","",IF(원본명단!$K4297="",0,COUNTIF(원본명단!$K$3:$K$6002,원본명단!$K4297)))</f>
        <v/>
      </c>
      <c r="H4298" s="11" t="str">
        <f aca="false">IF($A4298="","",IF(MAX($E4298,$F4298,$G4298)&gt;1,"중복","-"))</f>
        <v/>
      </c>
      <c r="I4298" s="11" t="str">
        <f aca="false">IF($A4298="","",IF($H4298="-","-",IF(AND(IF(원본명단!$H4297="",TRUE(),COUNTIF(원본명단!$H$3:$H4297,원본명단!$H4297)=1),IF(원본명단!$I4297="",TRUE(),COUNTIF(원본명단!$I$3:$I4297,원본명단!$I4297)=1),IF(원본명단!$K4297="",TRUE(),COUNTIF(원본명단!$K$3:$K4297,원본명단!$K4297)=1)),"첫 건","중복 건")))</f>
        <v/>
      </c>
      <c r="J4298" s="11" t="str">
        <f aca="false">IF($A4298="","",IF($H4298="-","유지",IF($I4298="첫 건","유지","확인 필요")))</f>
        <v/>
      </c>
    </row>
    <row r="4299" customFormat="false" ht="15" hidden="false" customHeight="true" outlineLevel="0" collapsed="false">
      <c r="A4299" s="11" t="str">
        <f aca="false">IF(원본명단!$A4298="","",4296)</f>
        <v/>
      </c>
      <c r="B4299" s="12" t="str">
        <f aca="false">IF($A4299="","",원본명단!$A4298)</f>
        <v/>
      </c>
      <c r="C4299" s="12" t="str">
        <f aca="false">IF($A4299="","",원본명단!$B4298)</f>
        <v/>
      </c>
      <c r="D4299" s="12" t="str">
        <f aca="false">IF($A4299="","",원본명단!$D4298)</f>
        <v/>
      </c>
      <c r="E4299" s="11" t="str">
        <f aca="false">IF($A4299="","",IF(원본명단!$H4298="",0,COUNTIF(원본명단!$H$3:$H$6002,원본명단!$H4298)))</f>
        <v/>
      </c>
      <c r="F4299" s="11" t="str">
        <f aca="false">IF($A4299="","",IF(원본명단!$I4298="",0,COUNTIF(원본명단!$I$3:$I$6002,원본명단!$I4298)))</f>
        <v/>
      </c>
      <c r="G4299" s="11" t="str">
        <f aca="false">IF($A4299="","",IF(원본명단!$K4298="",0,COUNTIF(원본명단!$K$3:$K$6002,원본명단!$K4298)))</f>
        <v/>
      </c>
      <c r="H4299" s="11" t="str">
        <f aca="false">IF($A4299="","",IF(MAX($E4299,$F4299,$G4299)&gt;1,"중복","-"))</f>
        <v/>
      </c>
      <c r="I4299" s="11" t="str">
        <f aca="false">IF($A4299="","",IF($H4299="-","-",IF(AND(IF(원본명단!$H4298="",TRUE(),COUNTIF(원본명단!$H$3:$H4298,원본명단!$H4298)=1),IF(원본명단!$I4298="",TRUE(),COUNTIF(원본명단!$I$3:$I4298,원본명단!$I4298)=1),IF(원본명단!$K4298="",TRUE(),COUNTIF(원본명단!$K$3:$K4298,원본명단!$K4298)=1)),"첫 건","중복 건")))</f>
        <v/>
      </c>
      <c r="J4299" s="11" t="str">
        <f aca="false">IF($A4299="","",IF($H4299="-","유지",IF($I4299="첫 건","유지","확인 필요")))</f>
        <v/>
      </c>
    </row>
    <row r="4300" customFormat="false" ht="15" hidden="false" customHeight="true" outlineLevel="0" collapsed="false">
      <c r="A4300" s="11" t="str">
        <f aca="false">IF(원본명단!$A4299="","",4297)</f>
        <v/>
      </c>
      <c r="B4300" s="12" t="str">
        <f aca="false">IF($A4300="","",원본명단!$A4299)</f>
        <v/>
      </c>
      <c r="C4300" s="12" t="str">
        <f aca="false">IF($A4300="","",원본명단!$B4299)</f>
        <v/>
      </c>
      <c r="D4300" s="12" t="str">
        <f aca="false">IF($A4300="","",원본명단!$D4299)</f>
        <v/>
      </c>
      <c r="E4300" s="11" t="str">
        <f aca="false">IF($A4300="","",IF(원본명단!$H4299="",0,COUNTIF(원본명단!$H$3:$H$6002,원본명단!$H4299)))</f>
        <v/>
      </c>
      <c r="F4300" s="11" t="str">
        <f aca="false">IF($A4300="","",IF(원본명단!$I4299="",0,COUNTIF(원본명단!$I$3:$I$6002,원본명단!$I4299)))</f>
        <v/>
      </c>
      <c r="G4300" s="11" t="str">
        <f aca="false">IF($A4300="","",IF(원본명단!$K4299="",0,COUNTIF(원본명단!$K$3:$K$6002,원본명단!$K4299)))</f>
        <v/>
      </c>
      <c r="H4300" s="11" t="str">
        <f aca="false">IF($A4300="","",IF(MAX($E4300,$F4300,$G4300)&gt;1,"중복","-"))</f>
        <v/>
      </c>
      <c r="I4300" s="11" t="str">
        <f aca="false">IF($A4300="","",IF($H4300="-","-",IF(AND(IF(원본명단!$H4299="",TRUE(),COUNTIF(원본명단!$H$3:$H4299,원본명단!$H4299)=1),IF(원본명단!$I4299="",TRUE(),COUNTIF(원본명단!$I$3:$I4299,원본명단!$I4299)=1),IF(원본명단!$K4299="",TRUE(),COUNTIF(원본명단!$K$3:$K4299,원본명단!$K4299)=1)),"첫 건","중복 건")))</f>
        <v/>
      </c>
      <c r="J4300" s="11" t="str">
        <f aca="false">IF($A4300="","",IF($H4300="-","유지",IF($I4300="첫 건","유지","확인 필요")))</f>
        <v/>
      </c>
    </row>
    <row r="4301" customFormat="false" ht="15" hidden="false" customHeight="true" outlineLevel="0" collapsed="false">
      <c r="A4301" s="11" t="str">
        <f aca="false">IF(원본명단!$A4300="","",4298)</f>
        <v/>
      </c>
      <c r="B4301" s="12" t="str">
        <f aca="false">IF($A4301="","",원본명단!$A4300)</f>
        <v/>
      </c>
      <c r="C4301" s="12" t="str">
        <f aca="false">IF($A4301="","",원본명단!$B4300)</f>
        <v/>
      </c>
      <c r="D4301" s="12" t="str">
        <f aca="false">IF($A4301="","",원본명단!$D4300)</f>
        <v/>
      </c>
      <c r="E4301" s="11" t="str">
        <f aca="false">IF($A4301="","",IF(원본명단!$H4300="",0,COUNTIF(원본명단!$H$3:$H$6002,원본명단!$H4300)))</f>
        <v/>
      </c>
      <c r="F4301" s="11" t="str">
        <f aca="false">IF($A4301="","",IF(원본명단!$I4300="",0,COUNTIF(원본명단!$I$3:$I$6002,원본명단!$I4300)))</f>
        <v/>
      </c>
      <c r="G4301" s="11" t="str">
        <f aca="false">IF($A4301="","",IF(원본명단!$K4300="",0,COUNTIF(원본명단!$K$3:$K$6002,원본명단!$K4300)))</f>
        <v/>
      </c>
      <c r="H4301" s="11" t="str">
        <f aca="false">IF($A4301="","",IF(MAX($E4301,$F4301,$G4301)&gt;1,"중복","-"))</f>
        <v/>
      </c>
      <c r="I4301" s="11" t="str">
        <f aca="false">IF($A4301="","",IF($H4301="-","-",IF(AND(IF(원본명단!$H4300="",TRUE(),COUNTIF(원본명단!$H$3:$H4300,원본명단!$H4300)=1),IF(원본명단!$I4300="",TRUE(),COUNTIF(원본명단!$I$3:$I4300,원본명단!$I4300)=1),IF(원본명단!$K4300="",TRUE(),COUNTIF(원본명단!$K$3:$K4300,원본명단!$K4300)=1)),"첫 건","중복 건")))</f>
        <v/>
      </c>
      <c r="J4301" s="11" t="str">
        <f aca="false">IF($A4301="","",IF($H4301="-","유지",IF($I4301="첫 건","유지","확인 필요")))</f>
        <v/>
      </c>
    </row>
    <row r="4302" customFormat="false" ht="15" hidden="false" customHeight="true" outlineLevel="0" collapsed="false">
      <c r="A4302" s="11" t="str">
        <f aca="false">IF(원본명단!$A4301="","",4299)</f>
        <v/>
      </c>
      <c r="B4302" s="12" t="str">
        <f aca="false">IF($A4302="","",원본명단!$A4301)</f>
        <v/>
      </c>
      <c r="C4302" s="12" t="str">
        <f aca="false">IF($A4302="","",원본명단!$B4301)</f>
        <v/>
      </c>
      <c r="D4302" s="12" t="str">
        <f aca="false">IF($A4302="","",원본명단!$D4301)</f>
        <v/>
      </c>
      <c r="E4302" s="11" t="str">
        <f aca="false">IF($A4302="","",IF(원본명단!$H4301="",0,COUNTIF(원본명단!$H$3:$H$6002,원본명단!$H4301)))</f>
        <v/>
      </c>
      <c r="F4302" s="11" t="str">
        <f aca="false">IF($A4302="","",IF(원본명단!$I4301="",0,COUNTIF(원본명단!$I$3:$I$6002,원본명단!$I4301)))</f>
        <v/>
      </c>
      <c r="G4302" s="11" t="str">
        <f aca="false">IF($A4302="","",IF(원본명단!$K4301="",0,COUNTIF(원본명단!$K$3:$K$6002,원본명단!$K4301)))</f>
        <v/>
      </c>
      <c r="H4302" s="11" t="str">
        <f aca="false">IF($A4302="","",IF(MAX($E4302,$F4302,$G4302)&gt;1,"중복","-"))</f>
        <v/>
      </c>
      <c r="I4302" s="11" t="str">
        <f aca="false">IF($A4302="","",IF($H4302="-","-",IF(AND(IF(원본명단!$H4301="",TRUE(),COUNTIF(원본명단!$H$3:$H4301,원본명단!$H4301)=1),IF(원본명단!$I4301="",TRUE(),COUNTIF(원본명단!$I$3:$I4301,원본명단!$I4301)=1),IF(원본명단!$K4301="",TRUE(),COUNTIF(원본명단!$K$3:$K4301,원본명단!$K4301)=1)),"첫 건","중복 건")))</f>
        <v/>
      </c>
      <c r="J4302" s="11" t="str">
        <f aca="false">IF($A4302="","",IF($H4302="-","유지",IF($I4302="첫 건","유지","확인 필요")))</f>
        <v/>
      </c>
    </row>
    <row r="4303" customFormat="false" ht="15" hidden="false" customHeight="true" outlineLevel="0" collapsed="false">
      <c r="A4303" s="11" t="str">
        <f aca="false">IF(원본명단!$A4302="","",4300)</f>
        <v/>
      </c>
      <c r="B4303" s="12" t="str">
        <f aca="false">IF($A4303="","",원본명단!$A4302)</f>
        <v/>
      </c>
      <c r="C4303" s="12" t="str">
        <f aca="false">IF($A4303="","",원본명단!$B4302)</f>
        <v/>
      </c>
      <c r="D4303" s="12" t="str">
        <f aca="false">IF($A4303="","",원본명단!$D4302)</f>
        <v/>
      </c>
      <c r="E4303" s="11" t="str">
        <f aca="false">IF($A4303="","",IF(원본명단!$H4302="",0,COUNTIF(원본명단!$H$3:$H$6002,원본명단!$H4302)))</f>
        <v/>
      </c>
      <c r="F4303" s="11" t="str">
        <f aca="false">IF($A4303="","",IF(원본명단!$I4302="",0,COUNTIF(원본명단!$I$3:$I$6002,원본명단!$I4302)))</f>
        <v/>
      </c>
      <c r="G4303" s="11" t="str">
        <f aca="false">IF($A4303="","",IF(원본명단!$K4302="",0,COUNTIF(원본명단!$K$3:$K$6002,원본명단!$K4302)))</f>
        <v/>
      </c>
      <c r="H4303" s="11" t="str">
        <f aca="false">IF($A4303="","",IF(MAX($E4303,$F4303,$G4303)&gt;1,"중복","-"))</f>
        <v/>
      </c>
      <c r="I4303" s="11" t="str">
        <f aca="false">IF($A4303="","",IF($H4303="-","-",IF(AND(IF(원본명단!$H4302="",TRUE(),COUNTIF(원본명단!$H$3:$H4302,원본명단!$H4302)=1),IF(원본명단!$I4302="",TRUE(),COUNTIF(원본명단!$I$3:$I4302,원본명단!$I4302)=1),IF(원본명단!$K4302="",TRUE(),COUNTIF(원본명단!$K$3:$K4302,원본명단!$K4302)=1)),"첫 건","중복 건")))</f>
        <v/>
      </c>
      <c r="J4303" s="11" t="str">
        <f aca="false">IF($A4303="","",IF($H4303="-","유지",IF($I4303="첫 건","유지","확인 필요")))</f>
        <v/>
      </c>
    </row>
    <row r="4304" customFormat="false" ht="15" hidden="false" customHeight="true" outlineLevel="0" collapsed="false">
      <c r="A4304" s="11" t="str">
        <f aca="false">IF(원본명단!$A4303="","",4301)</f>
        <v/>
      </c>
      <c r="B4304" s="12" t="str">
        <f aca="false">IF($A4304="","",원본명단!$A4303)</f>
        <v/>
      </c>
      <c r="C4304" s="12" t="str">
        <f aca="false">IF($A4304="","",원본명단!$B4303)</f>
        <v/>
      </c>
      <c r="D4304" s="12" t="str">
        <f aca="false">IF($A4304="","",원본명단!$D4303)</f>
        <v/>
      </c>
      <c r="E4304" s="11" t="str">
        <f aca="false">IF($A4304="","",IF(원본명단!$H4303="",0,COUNTIF(원본명단!$H$3:$H$6002,원본명단!$H4303)))</f>
        <v/>
      </c>
      <c r="F4304" s="11" t="str">
        <f aca="false">IF($A4304="","",IF(원본명단!$I4303="",0,COUNTIF(원본명단!$I$3:$I$6002,원본명단!$I4303)))</f>
        <v/>
      </c>
      <c r="G4304" s="11" t="str">
        <f aca="false">IF($A4304="","",IF(원본명단!$K4303="",0,COUNTIF(원본명단!$K$3:$K$6002,원본명단!$K4303)))</f>
        <v/>
      </c>
      <c r="H4304" s="11" t="str">
        <f aca="false">IF($A4304="","",IF(MAX($E4304,$F4304,$G4304)&gt;1,"중복","-"))</f>
        <v/>
      </c>
      <c r="I4304" s="11" t="str">
        <f aca="false">IF($A4304="","",IF($H4304="-","-",IF(AND(IF(원본명단!$H4303="",TRUE(),COUNTIF(원본명단!$H$3:$H4303,원본명단!$H4303)=1),IF(원본명단!$I4303="",TRUE(),COUNTIF(원본명단!$I$3:$I4303,원본명단!$I4303)=1),IF(원본명단!$K4303="",TRUE(),COUNTIF(원본명단!$K$3:$K4303,원본명단!$K4303)=1)),"첫 건","중복 건")))</f>
        <v/>
      </c>
      <c r="J4304" s="11" t="str">
        <f aca="false">IF($A4304="","",IF($H4304="-","유지",IF($I4304="첫 건","유지","확인 필요")))</f>
        <v/>
      </c>
    </row>
    <row r="4305" customFormat="false" ht="15" hidden="false" customHeight="true" outlineLevel="0" collapsed="false">
      <c r="A4305" s="11" t="str">
        <f aca="false">IF(원본명단!$A4304="","",4302)</f>
        <v/>
      </c>
      <c r="B4305" s="12" t="str">
        <f aca="false">IF($A4305="","",원본명단!$A4304)</f>
        <v/>
      </c>
      <c r="C4305" s="12" t="str">
        <f aca="false">IF($A4305="","",원본명단!$B4304)</f>
        <v/>
      </c>
      <c r="D4305" s="12" t="str">
        <f aca="false">IF($A4305="","",원본명단!$D4304)</f>
        <v/>
      </c>
      <c r="E4305" s="11" t="str">
        <f aca="false">IF($A4305="","",IF(원본명단!$H4304="",0,COUNTIF(원본명단!$H$3:$H$6002,원본명단!$H4304)))</f>
        <v/>
      </c>
      <c r="F4305" s="11" t="str">
        <f aca="false">IF($A4305="","",IF(원본명단!$I4304="",0,COUNTIF(원본명단!$I$3:$I$6002,원본명단!$I4304)))</f>
        <v/>
      </c>
      <c r="G4305" s="11" t="str">
        <f aca="false">IF($A4305="","",IF(원본명단!$K4304="",0,COUNTIF(원본명단!$K$3:$K$6002,원본명단!$K4304)))</f>
        <v/>
      </c>
      <c r="H4305" s="11" t="str">
        <f aca="false">IF($A4305="","",IF(MAX($E4305,$F4305,$G4305)&gt;1,"중복","-"))</f>
        <v/>
      </c>
      <c r="I4305" s="11" t="str">
        <f aca="false">IF($A4305="","",IF($H4305="-","-",IF(AND(IF(원본명단!$H4304="",TRUE(),COUNTIF(원본명단!$H$3:$H4304,원본명단!$H4304)=1),IF(원본명단!$I4304="",TRUE(),COUNTIF(원본명단!$I$3:$I4304,원본명단!$I4304)=1),IF(원본명단!$K4304="",TRUE(),COUNTIF(원본명단!$K$3:$K4304,원본명단!$K4304)=1)),"첫 건","중복 건")))</f>
        <v/>
      </c>
      <c r="J4305" s="11" t="str">
        <f aca="false">IF($A4305="","",IF($H4305="-","유지",IF($I4305="첫 건","유지","확인 필요")))</f>
        <v/>
      </c>
    </row>
    <row r="4306" customFormat="false" ht="15" hidden="false" customHeight="true" outlineLevel="0" collapsed="false">
      <c r="A4306" s="11" t="str">
        <f aca="false">IF(원본명단!$A4305="","",4303)</f>
        <v/>
      </c>
      <c r="B4306" s="12" t="str">
        <f aca="false">IF($A4306="","",원본명단!$A4305)</f>
        <v/>
      </c>
      <c r="C4306" s="12" t="str">
        <f aca="false">IF($A4306="","",원본명단!$B4305)</f>
        <v/>
      </c>
      <c r="D4306" s="12" t="str">
        <f aca="false">IF($A4306="","",원본명단!$D4305)</f>
        <v/>
      </c>
      <c r="E4306" s="11" t="str">
        <f aca="false">IF($A4306="","",IF(원본명단!$H4305="",0,COUNTIF(원본명단!$H$3:$H$6002,원본명단!$H4305)))</f>
        <v/>
      </c>
      <c r="F4306" s="11" t="str">
        <f aca="false">IF($A4306="","",IF(원본명단!$I4305="",0,COUNTIF(원본명단!$I$3:$I$6002,원본명단!$I4305)))</f>
        <v/>
      </c>
      <c r="G4306" s="11" t="str">
        <f aca="false">IF($A4306="","",IF(원본명단!$K4305="",0,COUNTIF(원본명단!$K$3:$K$6002,원본명단!$K4305)))</f>
        <v/>
      </c>
      <c r="H4306" s="11" t="str">
        <f aca="false">IF($A4306="","",IF(MAX($E4306,$F4306,$G4306)&gt;1,"중복","-"))</f>
        <v/>
      </c>
      <c r="I4306" s="11" t="str">
        <f aca="false">IF($A4306="","",IF($H4306="-","-",IF(AND(IF(원본명단!$H4305="",TRUE(),COUNTIF(원본명단!$H$3:$H4305,원본명단!$H4305)=1),IF(원본명단!$I4305="",TRUE(),COUNTIF(원본명단!$I$3:$I4305,원본명단!$I4305)=1),IF(원본명단!$K4305="",TRUE(),COUNTIF(원본명단!$K$3:$K4305,원본명단!$K4305)=1)),"첫 건","중복 건")))</f>
        <v/>
      </c>
      <c r="J4306" s="11" t="str">
        <f aca="false">IF($A4306="","",IF($H4306="-","유지",IF($I4306="첫 건","유지","확인 필요")))</f>
        <v/>
      </c>
    </row>
    <row r="4307" customFormat="false" ht="15" hidden="false" customHeight="true" outlineLevel="0" collapsed="false">
      <c r="A4307" s="11" t="str">
        <f aca="false">IF(원본명단!$A4306="","",4304)</f>
        <v/>
      </c>
      <c r="B4307" s="12" t="str">
        <f aca="false">IF($A4307="","",원본명단!$A4306)</f>
        <v/>
      </c>
      <c r="C4307" s="12" t="str">
        <f aca="false">IF($A4307="","",원본명단!$B4306)</f>
        <v/>
      </c>
      <c r="D4307" s="12" t="str">
        <f aca="false">IF($A4307="","",원본명단!$D4306)</f>
        <v/>
      </c>
      <c r="E4307" s="11" t="str">
        <f aca="false">IF($A4307="","",IF(원본명단!$H4306="",0,COUNTIF(원본명단!$H$3:$H$6002,원본명단!$H4306)))</f>
        <v/>
      </c>
      <c r="F4307" s="11" t="str">
        <f aca="false">IF($A4307="","",IF(원본명단!$I4306="",0,COUNTIF(원본명단!$I$3:$I$6002,원본명단!$I4306)))</f>
        <v/>
      </c>
      <c r="G4307" s="11" t="str">
        <f aca="false">IF($A4307="","",IF(원본명단!$K4306="",0,COUNTIF(원본명단!$K$3:$K$6002,원본명단!$K4306)))</f>
        <v/>
      </c>
      <c r="H4307" s="11" t="str">
        <f aca="false">IF($A4307="","",IF(MAX($E4307,$F4307,$G4307)&gt;1,"중복","-"))</f>
        <v/>
      </c>
      <c r="I4307" s="11" t="str">
        <f aca="false">IF($A4307="","",IF($H4307="-","-",IF(AND(IF(원본명단!$H4306="",TRUE(),COUNTIF(원본명단!$H$3:$H4306,원본명단!$H4306)=1),IF(원본명단!$I4306="",TRUE(),COUNTIF(원본명단!$I$3:$I4306,원본명단!$I4306)=1),IF(원본명단!$K4306="",TRUE(),COUNTIF(원본명단!$K$3:$K4306,원본명단!$K4306)=1)),"첫 건","중복 건")))</f>
        <v/>
      </c>
      <c r="J4307" s="11" t="str">
        <f aca="false">IF($A4307="","",IF($H4307="-","유지",IF($I4307="첫 건","유지","확인 필요")))</f>
        <v/>
      </c>
    </row>
    <row r="4308" customFormat="false" ht="15" hidden="false" customHeight="true" outlineLevel="0" collapsed="false">
      <c r="A4308" s="11" t="str">
        <f aca="false">IF(원본명단!$A4307="","",4305)</f>
        <v/>
      </c>
      <c r="B4308" s="12" t="str">
        <f aca="false">IF($A4308="","",원본명단!$A4307)</f>
        <v/>
      </c>
      <c r="C4308" s="12" t="str">
        <f aca="false">IF($A4308="","",원본명단!$B4307)</f>
        <v/>
      </c>
      <c r="D4308" s="12" t="str">
        <f aca="false">IF($A4308="","",원본명단!$D4307)</f>
        <v/>
      </c>
      <c r="E4308" s="11" t="str">
        <f aca="false">IF($A4308="","",IF(원본명단!$H4307="",0,COUNTIF(원본명단!$H$3:$H$6002,원본명단!$H4307)))</f>
        <v/>
      </c>
      <c r="F4308" s="11" t="str">
        <f aca="false">IF($A4308="","",IF(원본명단!$I4307="",0,COUNTIF(원본명단!$I$3:$I$6002,원본명단!$I4307)))</f>
        <v/>
      </c>
      <c r="G4308" s="11" t="str">
        <f aca="false">IF($A4308="","",IF(원본명단!$K4307="",0,COUNTIF(원본명단!$K$3:$K$6002,원본명단!$K4307)))</f>
        <v/>
      </c>
      <c r="H4308" s="11" t="str">
        <f aca="false">IF($A4308="","",IF(MAX($E4308,$F4308,$G4308)&gt;1,"중복","-"))</f>
        <v/>
      </c>
      <c r="I4308" s="11" t="str">
        <f aca="false">IF($A4308="","",IF($H4308="-","-",IF(AND(IF(원본명단!$H4307="",TRUE(),COUNTIF(원본명단!$H$3:$H4307,원본명단!$H4307)=1),IF(원본명단!$I4307="",TRUE(),COUNTIF(원본명단!$I$3:$I4307,원본명단!$I4307)=1),IF(원본명단!$K4307="",TRUE(),COUNTIF(원본명단!$K$3:$K4307,원본명단!$K4307)=1)),"첫 건","중복 건")))</f>
        <v/>
      </c>
      <c r="J4308" s="11" t="str">
        <f aca="false">IF($A4308="","",IF($H4308="-","유지",IF($I4308="첫 건","유지","확인 필요")))</f>
        <v/>
      </c>
    </row>
    <row r="4309" customFormat="false" ht="15" hidden="false" customHeight="true" outlineLevel="0" collapsed="false">
      <c r="A4309" s="11" t="str">
        <f aca="false">IF(원본명단!$A4308="","",4306)</f>
        <v/>
      </c>
      <c r="B4309" s="12" t="str">
        <f aca="false">IF($A4309="","",원본명단!$A4308)</f>
        <v/>
      </c>
      <c r="C4309" s="12" t="str">
        <f aca="false">IF($A4309="","",원본명단!$B4308)</f>
        <v/>
      </c>
      <c r="D4309" s="12" t="str">
        <f aca="false">IF($A4309="","",원본명단!$D4308)</f>
        <v/>
      </c>
      <c r="E4309" s="11" t="str">
        <f aca="false">IF($A4309="","",IF(원본명단!$H4308="",0,COUNTIF(원본명단!$H$3:$H$6002,원본명단!$H4308)))</f>
        <v/>
      </c>
      <c r="F4309" s="11" t="str">
        <f aca="false">IF($A4309="","",IF(원본명단!$I4308="",0,COUNTIF(원본명단!$I$3:$I$6002,원본명단!$I4308)))</f>
        <v/>
      </c>
      <c r="G4309" s="11" t="str">
        <f aca="false">IF($A4309="","",IF(원본명단!$K4308="",0,COUNTIF(원본명단!$K$3:$K$6002,원본명단!$K4308)))</f>
        <v/>
      </c>
      <c r="H4309" s="11" t="str">
        <f aca="false">IF($A4309="","",IF(MAX($E4309,$F4309,$G4309)&gt;1,"중복","-"))</f>
        <v/>
      </c>
      <c r="I4309" s="11" t="str">
        <f aca="false">IF($A4309="","",IF($H4309="-","-",IF(AND(IF(원본명단!$H4308="",TRUE(),COUNTIF(원본명단!$H$3:$H4308,원본명단!$H4308)=1),IF(원본명단!$I4308="",TRUE(),COUNTIF(원본명단!$I$3:$I4308,원본명단!$I4308)=1),IF(원본명단!$K4308="",TRUE(),COUNTIF(원본명단!$K$3:$K4308,원본명단!$K4308)=1)),"첫 건","중복 건")))</f>
        <v/>
      </c>
      <c r="J4309" s="11" t="str">
        <f aca="false">IF($A4309="","",IF($H4309="-","유지",IF($I4309="첫 건","유지","확인 필요")))</f>
        <v/>
      </c>
    </row>
    <row r="4310" customFormat="false" ht="15" hidden="false" customHeight="true" outlineLevel="0" collapsed="false">
      <c r="A4310" s="11" t="str">
        <f aca="false">IF(원본명단!$A4309="","",4307)</f>
        <v/>
      </c>
      <c r="B4310" s="12" t="str">
        <f aca="false">IF($A4310="","",원본명단!$A4309)</f>
        <v/>
      </c>
      <c r="C4310" s="12" t="str">
        <f aca="false">IF($A4310="","",원본명단!$B4309)</f>
        <v/>
      </c>
      <c r="D4310" s="12" t="str">
        <f aca="false">IF($A4310="","",원본명단!$D4309)</f>
        <v/>
      </c>
      <c r="E4310" s="11" t="str">
        <f aca="false">IF($A4310="","",IF(원본명단!$H4309="",0,COUNTIF(원본명단!$H$3:$H$6002,원본명단!$H4309)))</f>
        <v/>
      </c>
      <c r="F4310" s="11" t="str">
        <f aca="false">IF($A4310="","",IF(원본명단!$I4309="",0,COUNTIF(원본명단!$I$3:$I$6002,원본명단!$I4309)))</f>
        <v/>
      </c>
      <c r="G4310" s="11" t="str">
        <f aca="false">IF($A4310="","",IF(원본명단!$K4309="",0,COUNTIF(원본명단!$K$3:$K$6002,원본명단!$K4309)))</f>
        <v/>
      </c>
      <c r="H4310" s="11" t="str">
        <f aca="false">IF($A4310="","",IF(MAX($E4310,$F4310,$G4310)&gt;1,"중복","-"))</f>
        <v/>
      </c>
      <c r="I4310" s="11" t="str">
        <f aca="false">IF($A4310="","",IF($H4310="-","-",IF(AND(IF(원본명단!$H4309="",TRUE(),COUNTIF(원본명단!$H$3:$H4309,원본명단!$H4309)=1),IF(원본명단!$I4309="",TRUE(),COUNTIF(원본명단!$I$3:$I4309,원본명단!$I4309)=1),IF(원본명단!$K4309="",TRUE(),COUNTIF(원본명단!$K$3:$K4309,원본명단!$K4309)=1)),"첫 건","중복 건")))</f>
        <v/>
      </c>
      <c r="J4310" s="11" t="str">
        <f aca="false">IF($A4310="","",IF($H4310="-","유지",IF($I4310="첫 건","유지","확인 필요")))</f>
        <v/>
      </c>
    </row>
    <row r="4311" customFormat="false" ht="15" hidden="false" customHeight="true" outlineLevel="0" collapsed="false">
      <c r="A4311" s="11" t="str">
        <f aca="false">IF(원본명단!$A4310="","",4308)</f>
        <v/>
      </c>
      <c r="B4311" s="12" t="str">
        <f aca="false">IF($A4311="","",원본명단!$A4310)</f>
        <v/>
      </c>
      <c r="C4311" s="12" t="str">
        <f aca="false">IF($A4311="","",원본명단!$B4310)</f>
        <v/>
      </c>
      <c r="D4311" s="12" t="str">
        <f aca="false">IF($A4311="","",원본명단!$D4310)</f>
        <v/>
      </c>
      <c r="E4311" s="11" t="str">
        <f aca="false">IF($A4311="","",IF(원본명단!$H4310="",0,COUNTIF(원본명단!$H$3:$H$6002,원본명단!$H4310)))</f>
        <v/>
      </c>
      <c r="F4311" s="11" t="str">
        <f aca="false">IF($A4311="","",IF(원본명단!$I4310="",0,COUNTIF(원본명단!$I$3:$I$6002,원본명단!$I4310)))</f>
        <v/>
      </c>
      <c r="G4311" s="11" t="str">
        <f aca="false">IF($A4311="","",IF(원본명단!$K4310="",0,COUNTIF(원본명단!$K$3:$K$6002,원본명단!$K4310)))</f>
        <v/>
      </c>
      <c r="H4311" s="11" t="str">
        <f aca="false">IF($A4311="","",IF(MAX($E4311,$F4311,$G4311)&gt;1,"중복","-"))</f>
        <v/>
      </c>
      <c r="I4311" s="11" t="str">
        <f aca="false">IF($A4311="","",IF($H4311="-","-",IF(AND(IF(원본명단!$H4310="",TRUE(),COUNTIF(원본명단!$H$3:$H4310,원본명단!$H4310)=1),IF(원본명단!$I4310="",TRUE(),COUNTIF(원본명단!$I$3:$I4310,원본명단!$I4310)=1),IF(원본명단!$K4310="",TRUE(),COUNTIF(원본명단!$K$3:$K4310,원본명단!$K4310)=1)),"첫 건","중복 건")))</f>
        <v/>
      </c>
      <c r="J4311" s="11" t="str">
        <f aca="false">IF($A4311="","",IF($H4311="-","유지",IF($I4311="첫 건","유지","확인 필요")))</f>
        <v/>
      </c>
    </row>
    <row r="4312" customFormat="false" ht="15" hidden="false" customHeight="true" outlineLevel="0" collapsed="false">
      <c r="A4312" s="11" t="str">
        <f aca="false">IF(원본명단!$A4311="","",4309)</f>
        <v/>
      </c>
      <c r="B4312" s="12" t="str">
        <f aca="false">IF($A4312="","",원본명단!$A4311)</f>
        <v/>
      </c>
      <c r="C4312" s="12" t="str">
        <f aca="false">IF($A4312="","",원본명단!$B4311)</f>
        <v/>
      </c>
      <c r="D4312" s="12" t="str">
        <f aca="false">IF($A4312="","",원본명단!$D4311)</f>
        <v/>
      </c>
      <c r="E4312" s="11" t="str">
        <f aca="false">IF($A4312="","",IF(원본명단!$H4311="",0,COUNTIF(원본명단!$H$3:$H$6002,원본명단!$H4311)))</f>
        <v/>
      </c>
      <c r="F4312" s="11" t="str">
        <f aca="false">IF($A4312="","",IF(원본명단!$I4311="",0,COUNTIF(원본명단!$I$3:$I$6002,원본명단!$I4311)))</f>
        <v/>
      </c>
      <c r="G4312" s="11" t="str">
        <f aca="false">IF($A4312="","",IF(원본명단!$K4311="",0,COUNTIF(원본명단!$K$3:$K$6002,원본명단!$K4311)))</f>
        <v/>
      </c>
      <c r="H4312" s="11" t="str">
        <f aca="false">IF($A4312="","",IF(MAX($E4312,$F4312,$G4312)&gt;1,"중복","-"))</f>
        <v/>
      </c>
      <c r="I4312" s="11" t="str">
        <f aca="false">IF($A4312="","",IF($H4312="-","-",IF(AND(IF(원본명단!$H4311="",TRUE(),COUNTIF(원본명단!$H$3:$H4311,원본명단!$H4311)=1),IF(원본명단!$I4311="",TRUE(),COUNTIF(원본명단!$I$3:$I4311,원본명단!$I4311)=1),IF(원본명단!$K4311="",TRUE(),COUNTIF(원본명단!$K$3:$K4311,원본명단!$K4311)=1)),"첫 건","중복 건")))</f>
        <v/>
      </c>
      <c r="J4312" s="11" t="str">
        <f aca="false">IF($A4312="","",IF($H4312="-","유지",IF($I4312="첫 건","유지","확인 필요")))</f>
        <v/>
      </c>
    </row>
    <row r="4313" customFormat="false" ht="15" hidden="false" customHeight="true" outlineLevel="0" collapsed="false">
      <c r="A4313" s="11" t="str">
        <f aca="false">IF(원본명단!$A4312="","",4310)</f>
        <v/>
      </c>
      <c r="B4313" s="12" t="str">
        <f aca="false">IF($A4313="","",원본명단!$A4312)</f>
        <v/>
      </c>
      <c r="C4313" s="12" t="str">
        <f aca="false">IF($A4313="","",원본명단!$B4312)</f>
        <v/>
      </c>
      <c r="D4313" s="12" t="str">
        <f aca="false">IF($A4313="","",원본명단!$D4312)</f>
        <v/>
      </c>
      <c r="E4313" s="11" t="str">
        <f aca="false">IF($A4313="","",IF(원본명단!$H4312="",0,COUNTIF(원본명단!$H$3:$H$6002,원본명단!$H4312)))</f>
        <v/>
      </c>
      <c r="F4313" s="11" t="str">
        <f aca="false">IF($A4313="","",IF(원본명단!$I4312="",0,COUNTIF(원본명단!$I$3:$I$6002,원본명단!$I4312)))</f>
        <v/>
      </c>
      <c r="G4313" s="11" t="str">
        <f aca="false">IF($A4313="","",IF(원본명단!$K4312="",0,COUNTIF(원본명단!$K$3:$K$6002,원본명단!$K4312)))</f>
        <v/>
      </c>
      <c r="H4313" s="11" t="str">
        <f aca="false">IF($A4313="","",IF(MAX($E4313,$F4313,$G4313)&gt;1,"중복","-"))</f>
        <v/>
      </c>
      <c r="I4313" s="11" t="str">
        <f aca="false">IF($A4313="","",IF($H4313="-","-",IF(AND(IF(원본명단!$H4312="",TRUE(),COUNTIF(원본명단!$H$3:$H4312,원본명단!$H4312)=1),IF(원본명단!$I4312="",TRUE(),COUNTIF(원본명단!$I$3:$I4312,원본명단!$I4312)=1),IF(원본명단!$K4312="",TRUE(),COUNTIF(원본명단!$K$3:$K4312,원본명단!$K4312)=1)),"첫 건","중복 건")))</f>
        <v/>
      </c>
      <c r="J4313" s="11" t="str">
        <f aca="false">IF($A4313="","",IF($H4313="-","유지",IF($I4313="첫 건","유지","확인 필요")))</f>
        <v/>
      </c>
    </row>
    <row r="4314" customFormat="false" ht="15" hidden="false" customHeight="true" outlineLevel="0" collapsed="false">
      <c r="A4314" s="11" t="str">
        <f aca="false">IF(원본명단!$A4313="","",4311)</f>
        <v/>
      </c>
      <c r="B4314" s="12" t="str">
        <f aca="false">IF($A4314="","",원본명단!$A4313)</f>
        <v/>
      </c>
      <c r="C4314" s="12" t="str">
        <f aca="false">IF($A4314="","",원본명단!$B4313)</f>
        <v/>
      </c>
      <c r="D4314" s="12" t="str">
        <f aca="false">IF($A4314="","",원본명단!$D4313)</f>
        <v/>
      </c>
      <c r="E4314" s="11" t="str">
        <f aca="false">IF($A4314="","",IF(원본명단!$H4313="",0,COUNTIF(원본명단!$H$3:$H$6002,원본명단!$H4313)))</f>
        <v/>
      </c>
      <c r="F4314" s="11" t="str">
        <f aca="false">IF($A4314="","",IF(원본명단!$I4313="",0,COUNTIF(원본명단!$I$3:$I$6002,원본명단!$I4313)))</f>
        <v/>
      </c>
      <c r="G4314" s="11" t="str">
        <f aca="false">IF($A4314="","",IF(원본명단!$K4313="",0,COUNTIF(원본명단!$K$3:$K$6002,원본명단!$K4313)))</f>
        <v/>
      </c>
      <c r="H4314" s="11" t="str">
        <f aca="false">IF($A4314="","",IF(MAX($E4314,$F4314,$G4314)&gt;1,"중복","-"))</f>
        <v/>
      </c>
      <c r="I4314" s="11" t="str">
        <f aca="false">IF($A4314="","",IF($H4314="-","-",IF(AND(IF(원본명단!$H4313="",TRUE(),COUNTIF(원본명단!$H$3:$H4313,원본명단!$H4313)=1),IF(원본명단!$I4313="",TRUE(),COUNTIF(원본명단!$I$3:$I4313,원본명단!$I4313)=1),IF(원본명단!$K4313="",TRUE(),COUNTIF(원본명단!$K$3:$K4313,원본명단!$K4313)=1)),"첫 건","중복 건")))</f>
        <v/>
      </c>
      <c r="J4314" s="11" t="str">
        <f aca="false">IF($A4314="","",IF($H4314="-","유지",IF($I4314="첫 건","유지","확인 필요")))</f>
        <v/>
      </c>
    </row>
    <row r="4315" customFormat="false" ht="15" hidden="false" customHeight="true" outlineLevel="0" collapsed="false">
      <c r="A4315" s="11" t="str">
        <f aca="false">IF(원본명단!$A4314="","",4312)</f>
        <v/>
      </c>
      <c r="B4315" s="12" t="str">
        <f aca="false">IF($A4315="","",원본명단!$A4314)</f>
        <v/>
      </c>
      <c r="C4315" s="12" t="str">
        <f aca="false">IF($A4315="","",원본명단!$B4314)</f>
        <v/>
      </c>
      <c r="D4315" s="12" t="str">
        <f aca="false">IF($A4315="","",원본명단!$D4314)</f>
        <v/>
      </c>
      <c r="E4315" s="11" t="str">
        <f aca="false">IF($A4315="","",IF(원본명단!$H4314="",0,COUNTIF(원본명단!$H$3:$H$6002,원본명단!$H4314)))</f>
        <v/>
      </c>
      <c r="F4315" s="11" t="str">
        <f aca="false">IF($A4315="","",IF(원본명단!$I4314="",0,COUNTIF(원본명단!$I$3:$I$6002,원본명단!$I4314)))</f>
        <v/>
      </c>
      <c r="G4315" s="11" t="str">
        <f aca="false">IF($A4315="","",IF(원본명단!$K4314="",0,COUNTIF(원본명단!$K$3:$K$6002,원본명단!$K4314)))</f>
        <v/>
      </c>
      <c r="H4315" s="11" t="str">
        <f aca="false">IF($A4315="","",IF(MAX($E4315,$F4315,$G4315)&gt;1,"중복","-"))</f>
        <v/>
      </c>
      <c r="I4315" s="11" t="str">
        <f aca="false">IF($A4315="","",IF($H4315="-","-",IF(AND(IF(원본명단!$H4314="",TRUE(),COUNTIF(원본명단!$H$3:$H4314,원본명단!$H4314)=1),IF(원본명단!$I4314="",TRUE(),COUNTIF(원본명단!$I$3:$I4314,원본명단!$I4314)=1),IF(원본명단!$K4314="",TRUE(),COUNTIF(원본명단!$K$3:$K4314,원본명단!$K4314)=1)),"첫 건","중복 건")))</f>
        <v/>
      </c>
      <c r="J4315" s="11" t="str">
        <f aca="false">IF($A4315="","",IF($H4315="-","유지",IF($I4315="첫 건","유지","확인 필요")))</f>
        <v/>
      </c>
    </row>
    <row r="4316" customFormat="false" ht="15" hidden="false" customHeight="true" outlineLevel="0" collapsed="false">
      <c r="A4316" s="11" t="str">
        <f aca="false">IF(원본명단!$A4315="","",4313)</f>
        <v/>
      </c>
      <c r="B4316" s="12" t="str">
        <f aca="false">IF($A4316="","",원본명단!$A4315)</f>
        <v/>
      </c>
      <c r="C4316" s="12" t="str">
        <f aca="false">IF($A4316="","",원본명단!$B4315)</f>
        <v/>
      </c>
      <c r="D4316" s="12" t="str">
        <f aca="false">IF($A4316="","",원본명단!$D4315)</f>
        <v/>
      </c>
      <c r="E4316" s="11" t="str">
        <f aca="false">IF($A4316="","",IF(원본명단!$H4315="",0,COUNTIF(원본명단!$H$3:$H$6002,원본명단!$H4315)))</f>
        <v/>
      </c>
      <c r="F4316" s="11" t="str">
        <f aca="false">IF($A4316="","",IF(원본명단!$I4315="",0,COUNTIF(원본명단!$I$3:$I$6002,원본명단!$I4315)))</f>
        <v/>
      </c>
      <c r="G4316" s="11" t="str">
        <f aca="false">IF($A4316="","",IF(원본명단!$K4315="",0,COUNTIF(원본명단!$K$3:$K$6002,원본명단!$K4315)))</f>
        <v/>
      </c>
      <c r="H4316" s="11" t="str">
        <f aca="false">IF($A4316="","",IF(MAX($E4316,$F4316,$G4316)&gt;1,"중복","-"))</f>
        <v/>
      </c>
      <c r="I4316" s="11" t="str">
        <f aca="false">IF($A4316="","",IF($H4316="-","-",IF(AND(IF(원본명단!$H4315="",TRUE(),COUNTIF(원본명단!$H$3:$H4315,원본명단!$H4315)=1),IF(원본명단!$I4315="",TRUE(),COUNTIF(원본명단!$I$3:$I4315,원본명단!$I4315)=1),IF(원본명단!$K4315="",TRUE(),COUNTIF(원본명단!$K$3:$K4315,원본명단!$K4315)=1)),"첫 건","중복 건")))</f>
        <v/>
      </c>
      <c r="J4316" s="11" t="str">
        <f aca="false">IF($A4316="","",IF($H4316="-","유지",IF($I4316="첫 건","유지","확인 필요")))</f>
        <v/>
      </c>
    </row>
    <row r="4317" customFormat="false" ht="15" hidden="false" customHeight="true" outlineLevel="0" collapsed="false">
      <c r="A4317" s="11" t="str">
        <f aca="false">IF(원본명단!$A4316="","",4314)</f>
        <v/>
      </c>
      <c r="B4317" s="12" t="str">
        <f aca="false">IF($A4317="","",원본명단!$A4316)</f>
        <v/>
      </c>
      <c r="C4317" s="12" t="str">
        <f aca="false">IF($A4317="","",원본명단!$B4316)</f>
        <v/>
      </c>
      <c r="D4317" s="12" t="str">
        <f aca="false">IF($A4317="","",원본명단!$D4316)</f>
        <v/>
      </c>
      <c r="E4317" s="11" t="str">
        <f aca="false">IF($A4317="","",IF(원본명단!$H4316="",0,COUNTIF(원본명단!$H$3:$H$6002,원본명단!$H4316)))</f>
        <v/>
      </c>
      <c r="F4317" s="11" t="str">
        <f aca="false">IF($A4317="","",IF(원본명단!$I4316="",0,COUNTIF(원본명단!$I$3:$I$6002,원본명단!$I4316)))</f>
        <v/>
      </c>
      <c r="G4317" s="11" t="str">
        <f aca="false">IF($A4317="","",IF(원본명단!$K4316="",0,COUNTIF(원본명단!$K$3:$K$6002,원본명단!$K4316)))</f>
        <v/>
      </c>
      <c r="H4317" s="11" t="str">
        <f aca="false">IF($A4317="","",IF(MAX($E4317,$F4317,$G4317)&gt;1,"중복","-"))</f>
        <v/>
      </c>
      <c r="I4317" s="11" t="str">
        <f aca="false">IF($A4317="","",IF($H4317="-","-",IF(AND(IF(원본명단!$H4316="",TRUE(),COUNTIF(원본명단!$H$3:$H4316,원본명단!$H4316)=1),IF(원본명단!$I4316="",TRUE(),COUNTIF(원본명단!$I$3:$I4316,원본명단!$I4316)=1),IF(원본명단!$K4316="",TRUE(),COUNTIF(원본명단!$K$3:$K4316,원본명단!$K4316)=1)),"첫 건","중복 건")))</f>
        <v/>
      </c>
      <c r="J4317" s="11" t="str">
        <f aca="false">IF($A4317="","",IF($H4317="-","유지",IF($I4317="첫 건","유지","확인 필요")))</f>
        <v/>
      </c>
    </row>
    <row r="4318" customFormat="false" ht="15" hidden="false" customHeight="true" outlineLevel="0" collapsed="false">
      <c r="A4318" s="11" t="str">
        <f aca="false">IF(원본명단!$A4317="","",4315)</f>
        <v/>
      </c>
      <c r="B4318" s="12" t="str">
        <f aca="false">IF($A4318="","",원본명단!$A4317)</f>
        <v/>
      </c>
      <c r="C4318" s="12" t="str">
        <f aca="false">IF($A4318="","",원본명단!$B4317)</f>
        <v/>
      </c>
      <c r="D4318" s="12" t="str">
        <f aca="false">IF($A4318="","",원본명단!$D4317)</f>
        <v/>
      </c>
      <c r="E4318" s="11" t="str">
        <f aca="false">IF($A4318="","",IF(원본명단!$H4317="",0,COUNTIF(원본명단!$H$3:$H$6002,원본명단!$H4317)))</f>
        <v/>
      </c>
      <c r="F4318" s="11" t="str">
        <f aca="false">IF($A4318="","",IF(원본명단!$I4317="",0,COUNTIF(원본명단!$I$3:$I$6002,원본명단!$I4317)))</f>
        <v/>
      </c>
      <c r="G4318" s="11" t="str">
        <f aca="false">IF($A4318="","",IF(원본명단!$K4317="",0,COUNTIF(원본명단!$K$3:$K$6002,원본명단!$K4317)))</f>
        <v/>
      </c>
      <c r="H4318" s="11" t="str">
        <f aca="false">IF($A4318="","",IF(MAX($E4318,$F4318,$G4318)&gt;1,"중복","-"))</f>
        <v/>
      </c>
      <c r="I4318" s="11" t="str">
        <f aca="false">IF($A4318="","",IF($H4318="-","-",IF(AND(IF(원본명단!$H4317="",TRUE(),COUNTIF(원본명단!$H$3:$H4317,원본명단!$H4317)=1),IF(원본명단!$I4317="",TRUE(),COUNTIF(원본명단!$I$3:$I4317,원본명단!$I4317)=1),IF(원본명단!$K4317="",TRUE(),COUNTIF(원본명단!$K$3:$K4317,원본명단!$K4317)=1)),"첫 건","중복 건")))</f>
        <v/>
      </c>
      <c r="J4318" s="11" t="str">
        <f aca="false">IF($A4318="","",IF($H4318="-","유지",IF($I4318="첫 건","유지","확인 필요")))</f>
        <v/>
      </c>
    </row>
    <row r="4319" customFormat="false" ht="15" hidden="false" customHeight="true" outlineLevel="0" collapsed="false">
      <c r="A4319" s="11" t="str">
        <f aca="false">IF(원본명단!$A4318="","",4316)</f>
        <v/>
      </c>
      <c r="B4319" s="12" t="str">
        <f aca="false">IF($A4319="","",원본명단!$A4318)</f>
        <v/>
      </c>
      <c r="C4319" s="12" t="str">
        <f aca="false">IF($A4319="","",원본명단!$B4318)</f>
        <v/>
      </c>
      <c r="D4319" s="12" t="str">
        <f aca="false">IF($A4319="","",원본명단!$D4318)</f>
        <v/>
      </c>
      <c r="E4319" s="11" t="str">
        <f aca="false">IF($A4319="","",IF(원본명단!$H4318="",0,COUNTIF(원본명단!$H$3:$H$6002,원본명단!$H4318)))</f>
        <v/>
      </c>
      <c r="F4319" s="11" t="str">
        <f aca="false">IF($A4319="","",IF(원본명단!$I4318="",0,COUNTIF(원본명단!$I$3:$I$6002,원본명단!$I4318)))</f>
        <v/>
      </c>
      <c r="G4319" s="11" t="str">
        <f aca="false">IF($A4319="","",IF(원본명단!$K4318="",0,COUNTIF(원본명단!$K$3:$K$6002,원본명단!$K4318)))</f>
        <v/>
      </c>
      <c r="H4319" s="11" t="str">
        <f aca="false">IF($A4319="","",IF(MAX($E4319,$F4319,$G4319)&gt;1,"중복","-"))</f>
        <v/>
      </c>
      <c r="I4319" s="11" t="str">
        <f aca="false">IF($A4319="","",IF($H4319="-","-",IF(AND(IF(원본명단!$H4318="",TRUE(),COUNTIF(원본명단!$H$3:$H4318,원본명단!$H4318)=1),IF(원본명단!$I4318="",TRUE(),COUNTIF(원본명단!$I$3:$I4318,원본명단!$I4318)=1),IF(원본명단!$K4318="",TRUE(),COUNTIF(원본명단!$K$3:$K4318,원본명단!$K4318)=1)),"첫 건","중복 건")))</f>
        <v/>
      </c>
      <c r="J4319" s="11" t="str">
        <f aca="false">IF($A4319="","",IF($H4319="-","유지",IF($I4319="첫 건","유지","확인 필요")))</f>
        <v/>
      </c>
    </row>
    <row r="4320" customFormat="false" ht="15" hidden="false" customHeight="true" outlineLevel="0" collapsed="false">
      <c r="A4320" s="11" t="str">
        <f aca="false">IF(원본명단!$A4319="","",4317)</f>
        <v/>
      </c>
      <c r="B4320" s="12" t="str">
        <f aca="false">IF($A4320="","",원본명단!$A4319)</f>
        <v/>
      </c>
      <c r="C4320" s="12" t="str">
        <f aca="false">IF($A4320="","",원본명단!$B4319)</f>
        <v/>
      </c>
      <c r="D4320" s="12" t="str">
        <f aca="false">IF($A4320="","",원본명단!$D4319)</f>
        <v/>
      </c>
      <c r="E4320" s="11" t="str">
        <f aca="false">IF($A4320="","",IF(원본명단!$H4319="",0,COUNTIF(원본명단!$H$3:$H$6002,원본명단!$H4319)))</f>
        <v/>
      </c>
      <c r="F4320" s="11" t="str">
        <f aca="false">IF($A4320="","",IF(원본명단!$I4319="",0,COUNTIF(원본명단!$I$3:$I$6002,원본명단!$I4319)))</f>
        <v/>
      </c>
      <c r="G4320" s="11" t="str">
        <f aca="false">IF($A4320="","",IF(원본명단!$K4319="",0,COUNTIF(원본명단!$K$3:$K$6002,원본명단!$K4319)))</f>
        <v/>
      </c>
      <c r="H4320" s="11" t="str">
        <f aca="false">IF($A4320="","",IF(MAX($E4320,$F4320,$G4320)&gt;1,"중복","-"))</f>
        <v/>
      </c>
      <c r="I4320" s="11" t="str">
        <f aca="false">IF($A4320="","",IF($H4320="-","-",IF(AND(IF(원본명단!$H4319="",TRUE(),COUNTIF(원본명단!$H$3:$H4319,원본명단!$H4319)=1),IF(원본명단!$I4319="",TRUE(),COUNTIF(원본명단!$I$3:$I4319,원본명단!$I4319)=1),IF(원본명단!$K4319="",TRUE(),COUNTIF(원본명단!$K$3:$K4319,원본명단!$K4319)=1)),"첫 건","중복 건")))</f>
        <v/>
      </c>
      <c r="J4320" s="11" t="str">
        <f aca="false">IF($A4320="","",IF($H4320="-","유지",IF($I4320="첫 건","유지","확인 필요")))</f>
        <v/>
      </c>
    </row>
    <row r="4321" customFormat="false" ht="15" hidden="false" customHeight="true" outlineLevel="0" collapsed="false">
      <c r="A4321" s="11" t="str">
        <f aca="false">IF(원본명단!$A4320="","",4318)</f>
        <v/>
      </c>
      <c r="B4321" s="12" t="str">
        <f aca="false">IF($A4321="","",원본명단!$A4320)</f>
        <v/>
      </c>
      <c r="C4321" s="12" t="str">
        <f aca="false">IF($A4321="","",원본명단!$B4320)</f>
        <v/>
      </c>
      <c r="D4321" s="12" t="str">
        <f aca="false">IF($A4321="","",원본명단!$D4320)</f>
        <v/>
      </c>
      <c r="E4321" s="11" t="str">
        <f aca="false">IF($A4321="","",IF(원본명단!$H4320="",0,COUNTIF(원본명단!$H$3:$H$6002,원본명단!$H4320)))</f>
        <v/>
      </c>
      <c r="F4321" s="11" t="str">
        <f aca="false">IF($A4321="","",IF(원본명단!$I4320="",0,COUNTIF(원본명단!$I$3:$I$6002,원본명단!$I4320)))</f>
        <v/>
      </c>
      <c r="G4321" s="11" t="str">
        <f aca="false">IF($A4321="","",IF(원본명단!$K4320="",0,COUNTIF(원본명단!$K$3:$K$6002,원본명단!$K4320)))</f>
        <v/>
      </c>
      <c r="H4321" s="11" t="str">
        <f aca="false">IF($A4321="","",IF(MAX($E4321,$F4321,$G4321)&gt;1,"중복","-"))</f>
        <v/>
      </c>
      <c r="I4321" s="11" t="str">
        <f aca="false">IF($A4321="","",IF($H4321="-","-",IF(AND(IF(원본명단!$H4320="",TRUE(),COUNTIF(원본명단!$H$3:$H4320,원본명단!$H4320)=1),IF(원본명단!$I4320="",TRUE(),COUNTIF(원본명단!$I$3:$I4320,원본명단!$I4320)=1),IF(원본명단!$K4320="",TRUE(),COUNTIF(원본명단!$K$3:$K4320,원본명단!$K4320)=1)),"첫 건","중복 건")))</f>
        <v/>
      </c>
      <c r="J4321" s="11" t="str">
        <f aca="false">IF($A4321="","",IF($H4321="-","유지",IF($I4321="첫 건","유지","확인 필요")))</f>
        <v/>
      </c>
    </row>
    <row r="4322" customFormat="false" ht="15" hidden="false" customHeight="true" outlineLevel="0" collapsed="false">
      <c r="A4322" s="11" t="str">
        <f aca="false">IF(원본명단!$A4321="","",4319)</f>
        <v/>
      </c>
      <c r="B4322" s="12" t="str">
        <f aca="false">IF($A4322="","",원본명단!$A4321)</f>
        <v/>
      </c>
      <c r="C4322" s="12" t="str">
        <f aca="false">IF($A4322="","",원본명단!$B4321)</f>
        <v/>
      </c>
      <c r="D4322" s="12" t="str">
        <f aca="false">IF($A4322="","",원본명단!$D4321)</f>
        <v/>
      </c>
      <c r="E4322" s="11" t="str">
        <f aca="false">IF($A4322="","",IF(원본명단!$H4321="",0,COUNTIF(원본명단!$H$3:$H$6002,원본명단!$H4321)))</f>
        <v/>
      </c>
      <c r="F4322" s="11" t="str">
        <f aca="false">IF($A4322="","",IF(원본명단!$I4321="",0,COUNTIF(원본명단!$I$3:$I$6002,원본명단!$I4321)))</f>
        <v/>
      </c>
      <c r="G4322" s="11" t="str">
        <f aca="false">IF($A4322="","",IF(원본명단!$K4321="",0,COUNTIF(원본명단!$K$3:$K$6002,원본명단!$K4321)))</f>
        <v/>
      </c>
      <c r="H4322" s="11" t="str">
        <f aca="false">IF($A4322="","",IF(MAX($E4322,$F4322,$G4322)&gt;1,"중복","-"))</f>
        <v/>
      </c>
      <c r="I4322" s="11" t="str">
        <f aca="false">IF($A4322="","",IF($H4322="-","-",IF(AND(IF(원본명단!$H4321="",TRUE(),COUNTIF(원본명단!$H$3:$H4321,원본명단!$H4321)=1),IF(원본명단!$I4321="",TRUE(),COUNTIF(원본명단!$I$3:$I4321,원본명단!$I4321)=1),IF(원본명단!$K4321="",TRUE(),COUNTIF(원본명단!$K$3:$K4321,원본명단!$K4321)=1)),"첫 건","중복 건")))</f>
        <v/>
      </c>
      <c r="J4322" s="11" t="str">
        <f aca="false">IF($A4322="","",IF($H4322="-","유지",IF($I4322="첫 건","유지","확인 필요")))</f>
        <v/>
      </c>
    </row>
    <row r="4323" customFormat="false" ht="15" hidden="false" customHeight="true" outlineLevel="0" collapsed="false">
      <c r="A4323" s="11" t="str">
        <f aca="false">IF(원본명단!$A4322="","",4320)</f>
        <v/>
      </c>
      <c r="B4323" s="12" t="str">
        <f aca="false">IF($A4323="","",원본명단!$A4322)</f>
        <v/>
      </c>
      <c r="C4323" s="12" t="str">
        <f aca="false">IF($A4323="","",원본명단!$B4322)</f>
        <v/>
      </c>
      <c r="D4323" s="12" t="str">
        <f aca="false">IF($A4323="","",원본명단!$D4322)</f>
        <v/>
      </c>
      <c r="E4323" s="11" t="str">
        <f aca="false">IF($A4323="","",IF(원본명단!$H4322="",0,COUNTIF(원본명단!$H$3:$H$6002,원본명단!$H4322)))</f>
        <v/>
      </c>
      <c r="F4323" s="11" t="str">
        <f aca="false">IF($A4323="","",IF(원본명단!$I4322="",0,COUNTIF(원본명단!$I$3:$I$6002,원본명단!$I4322)))</f>
        <v/>
      </c>
      <c r="G4323" s="11" t="str">
        <f aca="false">IF($A4323="","",IF(원본명단!$K4322="",0,COUNTIF(원본명단!$K$3:$K$6002,원본명단!$K4322)))</f>
        <v/>
      </c>
      <c r="H4323" s="11" t="str">
        <f aca="false">IF($A4323="","",IF(MAX($E4323,$F4323,$G4323)&gt;1,"중복","-"))</f>
        <v/>
      </c>
      <c r="I4323" s="11" t="str">
        <f aca="false">IF($A4323="","",IF($H4323="-","-",IF(AND(IF(원본명단!$H4322="",TRUE(),COUNTIF(원본명단!$H$3:$H4322,원본명단!$H4322)=1),IF(원본명단!$I4322="",TRUE(),COUNTIF(원본명단!$I$3:$I4322,원본명단!$I4322)=1),IF(원본명단!$K4322="",TRUE(),COUNTIF(원본명단!$K$3:$K4322,원본명단!$K4322)=1)),"첫 건","중복 건")))</f>
        <v/>
      </c>
      <c r="J4323" s="11" t="str">
        <f aca="false">IF($A4323="","",IF($H4323="-","유지",IF($I4323="첫 건","유지","확인 필요")))</f>
        <v/>
      </c>
    </row>
    <row r="4324" customFormat="false" ht="15" hidden="false" customHeight="true" outlineLevel="0" collapsed="false">
      <c r="A4324" s="11" t="str">
        <f aca="false">IF(원본명단!$A4323="","",4321)</f>
        <v/>
      </c>
      <c r="B4324" s="12" t="str">
        <f aca="false">IF($A4324="","",원본명단!$A4323)</f>
        <v/>
      </c>
      <c r="C4324" s="12" t="str">
        <f aca="false">IF($A4324="","",원본명단!$B4323)</f>
        <v/>
      </c>
      <c r="D4324" s="12" t="str">
        <f aca="false">IF($A4324="","",원본명단!$D4323)</f>
        <v/>
      </c>
      <c r="E4324" s="11" t="str">
        <f aca="false">IF($A4324="","",IF(원본명단!$H4323="",0,COUNTIF(원본명단!$H$3:$H$6002,원본명단!$H4323)))</f>
        <v/>
      </c>
      <c r="F4324" s="11" t="str">
        <f aca="false">IF($A4324="","",IF(원본명단!$I4323="",0,COUNTIF(원본명단!$I$3:$I$6002,원본명단!$I4323)))</f>
        <v/>
      </c>
      <c r="G4324" s="11" t="str">
        <f aca="false">IF($A4324="","",IF(원본명단!$K4323="",0,COUNTIF(원본명단!$K$3:$K$6002,원본명단!$K4323)))</f>
        <v/>
      </c>
      <c r="H4324" s="11" t="str">
        <f aca="false">IF($A4324="","",IF(MAX($E4324,$F4324,$G4324)&gt;1,"중복","-"))</f>
        <v/>
      </c>
      <c r="I4324" s="11" t="str">
        <f aca="false">IF($A4324="","",IF($H4324="-","-",IF(AND(IF(원본명단!$H4323="",TRUE(),COUNTIF(원본명단!$H$3:$H4323,원본명단!$H4323)=1),IF(원본명단!$I4323="",TRUE(),COUNTIF(원본명단!$I$3:$I4323,원본명단!$I4323)=1),IF(원본명단!$K4323="",TRUE(),COUNTIF(원본명단!$K$3:$K4323,원본명단!$K4323)=1)),"첫 건","중복 건")))</f>
        <v/>
      </c>
      <c r="J4324" s="11" t="str">
        <f aca="false">IF($A4324="","",IF($H4324="-","유지",IF($I4324="첫 건","유지","확인 필요")))</f>
        <v/>
      </c>
    </row>
    <row r="4325" customFormat="false" ht="15" hidden="false" customHeight="true" outlineLevel="0" collapsed="false">
      <c r="A4325" s="11" t="str">
        <f aca="false">IF(원본명단!$A4324="","",4322)</f>
        <v/>
      </c>
      <c r="B4325" s="12" t="str">
        <f aca="false">IF($A4325="","",원본명단!$A4324)</f>
        <v/>
      </c>
      <c r="C4325" s="12" t="str">
        <f aca="false">IF($A4325="","",원본명단!$B4324)</f>
        <v/>
      </c>
      <c r="D4325" s="12" t="str">
        <f aca="false">IF($A4325="","",원본명단!$D4324)</f>
        <v/>
      </c>
      <c r="E4325" s="11" t="str">
        <f aca="false">IF($A4325="","",IF(원본명단!$H4324="",0,COUNTIF(원본명단!$H$3:$H$6002,원본명단!$H4324)))</f>
        <v/>
      </c>
      <c r="F4325" s="11" t="str">
        <f aca="false">IF($A4325="","",IF(원본명단!$I4324="",0,COUNTIF(원본명단!$I$3:$I$6002,원본명단!$I4324)))</f>
        <v/>
      </c>
      <c r="G4325" s="11" t="str">
        <f aca="false">IF($A4325="","",IF(원본명단!$K4324="",0,COUNTIF(원본명단!$K$3:$K$6002,원본명단!$K4324)))</f>
        <v/>
      </c>
      <c r="H4325" s="11" t="str">
        <f aca="false">IF($A4325="","",IF(MAX($E4325,$F4325,$G4325)&gt;1,"중복","-"))</f>
        <v/>
      </c>
      <c r="I4325" s="11" t="str">
        <f aca="false">IF($A4325="","",IF($H4325="-","-",IF(AND(IF(원본명단!$H4324="",TRUE(),COUNTIF(원본명단!$H$3:$H4324,원본명단!$H4324)=1),IF(원본명단!$I4324="",TRUE(),COUNTIF(원본명단!$I$3:$I4324,원본명단!$I4324)=1),IF(원본명단!$K4324="",TRUE(),COUNTIF(원본명단!$K$3:$K4324,원본명단!$K4324)=1)),"첫 건","중복 건")))</f>
        <v/>
      </c>
      <c r="J4325" s="11" t="str">
        <f aca="false">IF($A4325="","",IF($H4325="-","유지",IF($I4325="첫 건","유지","확인 필요")))</f>
        <v/>
      </c>
    </row>
    <row r="4326" customFormat="false" ht="15" hidden="false" customHeight="true" outlineLevel="0" collapsed="false">
      <c r="A4326" s="11" t="str">
        <f aca="false">IF(원본명단!$A4325="","",4323)</f>
        <v/>
      </c>
      <c r="B4326" s="12" t="str">
        <f aca="false">IF($A4326="","",원본명단!$A4325)</f>
        <v/>
      </c>
      <c r="C4326" s="12" t="str">
        <f aca="false">IF($A4326="","",원본명단!$B4325)</f>
        <v/>
      </c>
      <c r="D4326" s="12" t="str">
        <f aca="false">IF($A4326="","",원본명단!$D4325)</f>
        <v/>
      </c>
      <c r="E4326" s="11" t="str">
        <f aca="false">IF($A4326="","",IF(원본명단!$H4325="",0,COUNTIF(원본명단!$H$3:$H$6002,원본명단!$H4325)))</f>
        <v/>
      </c>
      <c r="F4326" s="11" t="str">
        <f aca="false">IF($A4326="","",IF(원본명단!$I4325="",0,COUNTIF(원본명단!$I$3:$I$6002,원본명단!$I4325)))</f>
        <v/>
      </c>
      <c r="G4326" s="11" t="str">
        <f aca="false">IF($A4326="","",IF(원본명단!$K4325="",0,COUNTIF(원본명단!$K$3:$K$6002,원본명단!$K4325)))</f>
        <v/>
      </c>
      <c r="H4326" s="11" t="str">
        <f aca="false">IF($A4326="","",IF(MAX($E4326,$F4326,$G4326)&gt;1,"중복","-"))</f>
        <v/>
      </c>
      <c r="I4326" s="11" t="str">
        <f aca="false">IF($A4326="","",IF($H4326="-","-",IF(AND(IF(원본명단!$H4325="",TRUE(),COUNTIF(원본명단!$H$3:$H4325,원본명단!$H4325)=1),IF(원본명단!$I4325="",TRUE(),COUNTIF(원본명단!$I$3:$I4325,원본명단!$I4325)=1),IF(원본명단!$K4325="",TRUE(),COUNTIF(원본명단!$K$3:$K4325,원본명단!$K4325)=1)),"첫 건","중복 건")))</f>
        <v/>
      </c>
      <c r="J4326" s="11" t="str">
        <f aca="false">IF($A4326="","",IF($H4326="-","유지",IF($I4326="첫 건","유지","확인 필요")))</f>
        <v/>
      </c>
    </row>
    <row r="4327" customFormat="false" ht="15" hidden="false" customHeight="true" outlineLevel="0" collapsed="false">
      <c r="A4327" s="11" t="str">
        <f aca="false">IF(원본명단!$A4326="","",4324)</f>
        <v/>
      </c>
      <c r="B4327" s="12" t="str">
        <f aca="false">IF($A4327="","",원본명단!$A4326)</f>
        <v/>
      </c>
      <c r="C4327" s="12" t="str">
        <f aca="false">IF($A4327="","",원본명단!$B4326)</f>
        <v/>
      </c>
      <c r="D4327" s="12" t="str">
        <f aca="false">IF($A4327="","",원본명단!$D4326)</f>
        <v/>
      </c>
      <c r="E4327" s="11" t="str">
        <f aca="false">IF($A4327="","",IF(원본명단!$H4326="",0,COUNTIF(원본명단!$H$3:$H$6002,원본명단!$H4326)))</f>
        <v/>
      </c>
      <c r="F4327" s="11" t="str">
        <f aca="false">IF($A4327="","",IF(원본명단!$I4326="",0,COUNTIF(원본명단!$I$3:$I$6002,원본명단!$I4326)))</f>
        <v/>
      </c>
      <c r="G4327" s="11" t="str">
        <f aca="false">IF($A4327="","",IF(원본명단!$K4326="",0,COUNTIF(원본명단!$K$3:$K$6002,원본명단!$K4326)))</f>
        <v/>
      </c>
      <c r="H4327" s="11" t="str">
        <f aca="false">IF($A4327="","",IF(MAX($E4327,$F4327,$G4327)&gt;1,"중복","-"))</f>
        <v/>
      </c>
      <c r="I4327" s="11" t="str">
        <f aca="false">IF($A4327="","",IF($H4327="-","-",IF(AND(IF(원본명단!$H4326="",TRUE(),COUNTIF(원본명단!$H$3:$H4326,원본명단!$H4326)=1),IF(원본명단!$I4326="",TRUE(),COUNTIF(원본명단!$I$3:$I4326,원본명단!$I4326)=1),IF(원본명단!$K4326="",TRUE(),COUNTIF(원본명단!$K$3:$K4326,원본명단!$K4326)=1)),"첫 건","중복 건")))</f>
        <v/>
      </c>
      <c r="J4327" s="11" t="str">
        <f aca="false">IF($A4327="","",IF($H4327="-","유지",IF($I4327="첫 건","유지","확인 필요")))</f>
        <v/>
      </c>
    </row>
    <row r="4328" customFormat="false" ht="15" hidden="false" customHeight="true" outlineLevel="0" collapsed="false">
      <c r="A4328" s="11" t="str">
        <f aca="false">IF(원본명단!$A4327="","",4325)</f>
        <v/>
      </c>
      <c r="B4328" s="12" t="str">
        <f aca="false">IF($A4328="","",원본명단!$A4327)</f>
        <v/>
      </c>
      <c r="C4328" s="12" t="str">
        <f aca="false">IF($A4328="","",원본명단!$B4327)</f>
        <v/>
      </c>
      <c r="D4328" s="12" t="str">
        <f aca="false">IF($A4328="","",원본명단!$D4327)</f>
        <v/>
      </c>
      <c r="E4328" s="11" t="str">
        <f aca="false">IF($A4328="","",IF(원본명단!$H4327="",0,COUNTIF(원본명단!$H$3:$H$6002,원본명단!$H4327)))</f>
        <v/>
      </c>
      <c r="F4328" s="11" t="str">
        <f aca="false">IF($A4328="","",IF(원본명단!$I4327="",0,COUNTIF(원본명단!$I$3:$I$6002,원본명단!$I4327)))</f>
        <v/>
      </c>
      <c r="G4328" s="11" t="str">
        <f aca="false">IF($A4328="","",IF(원본명단!$K4327="",0,COUNTIF(원본명단!$K$3:$K$6002,원본명단!$K4327)))</f>
        <v/>
      </c>
      <c r="H4328" s="11" t="str">
        <f aca="false">IF($A4328="","",IF(MAX($E4328,$F4328,$G4328)&gt;1,"중복","-"))</f>
        <v/>
      </c>
      <c r="I4328" s="11" t="str">
        <f aca="false">IF($A4328="","",IF($H4328="-","-",IF(AND(IF(원본명단!$H4327="",TRUE(),COUNTIF(원본명단!$H$3:$H4327,원본명단!$H4327)=1),IF(원본명단!$I4327="",TRUE(),COUNTIF(원본명단!$I$3:$I4327,원본명단!$I4327)=1),IF(원본명단!$K4327="",TRUE(),COUNTIF(원본명단!$K$3:$K4327,원본명단!$K4327)=1)),"첫 건","중복 건")))</f>
        <v/>
      </c>
      <c r="J4328" s="11" t="str">
        <f aca="false">IF($A4328="","",IF($H4328="-","유지",IF($I4328="첫 건","유지","확인 필요")))</f>
        <v/>
      </c>
    </row>
    <row r="4329" customFormat="false" ht="15" hidden="false" customHeight="true" outlineLevel="0" collapsed="false">
      <c r="A4329" s="11" t="str">
        <f aca="false">IF(원본명단!$A4328="","",4326)</f>
        <v/>
      </c>
      <c r="B4329" s="12" t="str">
        <f aca="false">IF($A4329="","",원본명단!$A4328)</f>
        <v/>
      </c>
      <c r="C4329" s="12" t="str">
        <f aca="false">IF($A4329="","",원본명단!$B4328)</f>
        <v/>
      </c>
      <c r="D4329" s="12" t="str">
        <f aca="false">IF($A4329="","",원본명단!$D4328)</f>
        <v/>
      </c>
      <c r="E4329" s="11" t="str">
        <f aca="false">IF($A4329="","",IF(원본명단!$H4328="",0,COUNTIF(원본명단!$H$3:$H$6002,원본명단!$H4328)))</f>
        <v/>
      </c>
      <c r="F4329" s="11" t="str">
        <f aca="false">IF($A4329="","",IF(원본명단!$I4328="",0,COUNTIF(원본명단!$I$3:$I$6002,원본명단!$I4328)))</f>
        <v/>
      </c>
      <c r="G4329" s="11" t="str">
        <f aca="false">IF($A4329="","",IF(원본명단!$K4328="",0,COUNTIF(원본명단!$K$3:$K$6002,원본명단!$K4328)))</f>
        <v/>
      </c>
      <c r="H4329" s="11" t="str">
        <f aca="false">IF($A4329="","",IF(MAX($E4329,$F4329,$G4329)&gt;1,"중복","-"))</f>
        <v/>
      </c>
      <c r="I4329" s="11" t="str">
        <f aca="false">IF($A4329="","",IF($H4329="-","-",IF(AND(IF(원본명단!$H4328="",TRUE(),COUNTIF(원본명단!$H$3:$H4328,원본명단!$H4328)=1),IF(원본명단!$I4328="",TRUE(),COUNTIF(원본명단!$I$3:$I4328,원본명단!$I4328)=1),IF(원본명단!$K4328="",TRUE(),COUNTIF(원본명단!$K$3:$K4328,원본명단!$K4328)=1)),"첫 건","중복 건")))</f>
        <v/>
      </c>
      <c r="J4329" s="11" t="str">
        <f aca="false">IF($A4329="","",IF($H4329="-","유지",IF($I4329="첫 건","유지","확인 필요")))</f>
        <v/>
      </c>
    </row>
    <row r="4330" customFormat="false" ht="15" hidden="false" customHeight="true" outlineLevel="0" collapsed="false">
      <c r="A4330" s="11" t="str">
        <f aca="false">IF(원본명단!$A4329="","",4327)</f>
        <v/>
      </c>
      <c r="B4330" s="12" t="str">
        <f aca="false">IF($A4330="","",원본명단!$A4329)</f>
        <v/>
      </c>
      <c r="C4330" s="12" t="str">
        <f aca="false">IF($A4330="","",원본명단!$B4329)</f>
        <v/>
      </c>
      <c r="D4330" s="12" t="str">
        <f aca="false">IF($A4330="","",원본명단!$D4329)</f>
        <v/>
      </c>
      <c r="E4330" s="11" t="str">
        <f aca="false">IF($A4330="","",IF(원본명단!$H4329="",0,COUNTIF(원본명단!$H$3:$H$6002,원본명단!$H4329)))</f>
        <v/>
      </c>
      <c r="F4330" s="11" t="str">
        <f aca="false">IF($A4330="","",IF(원본명단!$I4329="",0,COUNTIF(원본명단!$I$3:$I$6002,원본명단!$I4329)))</f>
        <v/>
      </c>
      <c r="G4330" s="11" t="str">
        <f aca="false">IF($A4330="","",IF(원본명단!$K4329="",0,COUNTIF(원본명단!$K$3:$K$6002,원본명단!$K4329)))</f>
        <v/>
      </c>
      <c r="H4330" s="11" t="str">
        <f aca="false">IF($A4330="","",IF(MAX($E4330,$F4330,$G4330)&gt;1,"중복","-"))</f>
        <v/>
      </c>
      <c r="I4330" s="11" t="str">
        <f aca="false">IF($A4330="","",IF($H4330="-","-",IF(AND(IF(원본명단!$H4329="",TRUE(),COUNTIF(원본명단!$H$3:$H4329,원본명단!$H4329)=1),IF(원본명단!$I4329="",TRUE(),COUNTIF(원본명단!$I$3:$I4329,원본명단!$I4329)=1),IF(원본명단!$K4329="",TRUE(),COUNTIF(원본명단!$K$3:$K4329,원본명단!$K4329)=1)),"첫 건","중복 건")))</f>
        <v/>
      </c>
      <c r="J4330" s="11" t="str">
        <f aca="false">IF($A4330="","",IF($H4330="-","유지",IF($I4330="첫 건","유지","확인 필요")))</f>
        <v/>
      </c>
    </row>
    <row r="4331" customFormat="false" ht="15" hidden="false" customHeight="true" outlineLevel="0" collapsed="false">
      <c r="A4331" s="11" t="str">
        <f aca="false">IF(원본명단!$A4330="","",4328)</f>
        <v/>
      </c>
      <c r="B4331" s="12" t="str">
        <f aca="false">IF($A4331="","",원본명단!$A4330)</f>
        <v/>
      </c>
      <c r="C4331" s="12" t="str">
        <f aca="false">IF($A4331="","",원본명단!$B4330)</f>
        <v/>
      </c>
      <c r="D4331" s="12" t="str">
        <f aca="false">IF($A4331="","",원본명단!$D4330)</f>
        <v/>
      </c>
      <c r="E4331" s="11" t="str">
        <f aca="false">IF($A4331="","",IF(원본명단!$H4330="",0,COUNTIF(원본명단!$H$3:$H$6002,원본명단!$H4330)))</f>
        <v/>
      </c>
      <c r="F4331" s="11" t="str">
        <f aca="false">IF($A4331="","",IF(원본명단!$I4330="",0,COUNTIF(원본명단!$I$3:$I$6002,원본명단!$I4330)))</f>
        <v/>
      </c>
      <c r="G4331" s="11" t="str">
        <f aca="false">IF($A4331="","",IF(원본명단!$K4330="",0,COUNTIF(원본명단!$K$3:$K$6002,원본명단!$K4330)))</f>
        <v/>
      </c>
      <c r="H4331" s="11" t="str">
        <f aca="false">IF($A4331="","",IF(MAX($E4331,$F4331,$G4331)&gt;1,"중복","-"))</f>
        <v/>
      </c>
      <c r="I4331" s="11" t="str">
        <f aca="false">IF($A4331="","",IF($H4331="-","-",IF(AND(IF(원본명단!$H4330="",TRUE(),COUNTIF(원본명단!$H$3:$H4330,원본명단!$H4330)=1),IF(원본명단!$I4330="",TRUE(),COUNTIF(원본명단!$I$3:$I4330,원본명단!$I4330)=1),IF(원본명단!$K4330="",TRUE(),COUNTIF(원본명단!$K$3:$K4330,원본명단!$K4330)=1)),"첫 건","중복 건")))</f>
        <v/>
      </c>
      <c r="J4331" s="11" t="str">
        <f aca="false">IF($A4331="","",IF($H4331="-","유지",IF($I4331="첫 건","유지","확인 필요")))</f>
        <v/>
      </c>
    </row>
    <row r="4332" customFormat="false" ht="15" hidden="false" customHeight="true" outlineLevel="0" collapsed="false">
      <c r="A4332" s="11" t="str">
        <f aca="false">IF(원본명단!$A4331="","",4329)</f>
        <v/>
      </c>
      <c r="B4332" s="12" t="str">
        <f aca="false">IF($A4332="","",원본명단!$A4331)</f>
        <v/>
      </c>
      <c r="C4332" s="12" t="str">
        <f aca="false">IF($A4332="","",원본명단!$B4331)</f>
        <v/>
      </c>
      <c r="D4332" s="12" t="str">
        <f aca="false">IF($A4332="","",원본명단!$D4331)</f>
        <v/>
      </c>
      <c r="E4332" s="11" t="str">
        <f aca="false">IF($A4332="","",IF(원본명단!$H4331="",0,COUNTIF(원본명단!$H$3:$H$6002,원본명단!$H4331)))</f>
        <v/>
      </c>
      <c r="F4332" s="11" t="str">
        <f aca="false">IF($A4332="","",IF(원본명단!$I4331="",0,COUNTIF(원본명단!$I$3:$I$6002,원본명단!$I4331)))</f>
        <v/>
      </c>
      <c r="G4332" s="11" t="str">
        <f aca="false">IF($A4332="","",IF(원본명단!$K4331="",0,COUNTIF(원본명단!$K$3:$K$6002,원본명단!$K4331)))</f>
        <v/>
      </c>
      <c r="H4332" s="11" t="str">
        <f aca="false">IF($A4332="","",IF(MAX($E4332,$F4332,$G4332)&gt;1,"중복","-"))</f>
        <v/>
      </c>
      <c r="I4332" s="11" t="str">
        <f aca="false">IF($A4332="","",IF($H4332="-","-",IF(AND(IF(원본명단!$H4331="",TRUE(),COUNTIF(원본명단!$H$3:$H4331,원본명단!$H4331)=1),IF(원본명단!$I4331="",TRUE(),COUNTIF(원본명단!$I$3:$I4331,원본명단!$I4331)=1),IF(원본명단!$K4331="",TRUE(),COUNTIF(원본명단!$K$3:$K4331,원본명단!$K4331)=1)),"첫 건","중복 건")))</f>
        <v/>
      </c>
      <c r="J4332" s="11" t="str">
        <f aca="false">IF($A4332="","",IF($H4332="-","유지",IF($I4332="첫 건","유지","확인 필요")))</f>
        <v/>
      </c>
    </row>
    <row r="4333" customFormat="false" ht="15" hidden="false" customHeight="true" outlineLevel="0" collapsed="false">
      <c r="A4333" s="11" t="str">
        <f aca="false">IF(원본명단!$A4332="","",4330)</f>
        <v/>
      </c>
      <c r="B4333" s="12" t="str">
        <f aca="false">IF($A4333="","",원본명단!$A4332)</f>
        <v/>
      </c>
      <c r="C4333" s="12" t="str">
        <f aca="false">IF($A4333="","",원본명단!$B4332)</f>
        <v/>
      </c>
      <c r="D4333" s="12" t="str">
        <f aca="false">IF($A4333="","",원본명단!$D4332)</f>
        <v/>
      </c>
      <c r="E4333" s="11" t="str">
        <f aca="false">IF($A4333="","",IF(원본명단!$H4332="",0,COUNTIF(원본명단!$H$3:$H$6002,원본명단!$H4332)))</f>
        <v/>
      </c>
      <c r="F4333" s="11" t="str">
        <f aca="false">IF($A4333="","",IF(원본명단!$I4332="",0,COUNTIF(원본명단!$I$3:$I$6002,원본명단!$I4332)))</f>
        <v/>
      </c>
      <c r="G4333" s="11" t="str">
        <f aca="false">IF($A4333="","",IF(원본명단!$K4332="",0,COUNTIF(원본명단!$K$3:$K$6002,원본명단!$K4332)))</f>
        <v/>
      </c>
      <c r="H4333" s="11" t="str">
        <f aca="false">IF($A4333="","",IF(MAX($E4333,$F4333,$G4333)&gt;1,"중복","-"))</f>
        <v/>
      </c>
      <c r="I4333" s="11" t="str">
        <f aca="false">IF($A4333="","",IF($H4333="-","-",IF(AND(IF(원본명단!$H4332="",TRUE(),COUNTIF(원본명단!$H$3:$H4332,원본명단!$H4332)=1),IF(원본명단!$I4332="",TRUE(),COUNTIF(원본명단!$I$3:$I4332,원본명단!$I4332)=1),IF(원본명단!$K4332="",TRUE(),COUNTIF(원본명단!$K$3:$K4332,원본명단!$K4332)=1)),"첫 건","중복 건")))</f>
        <v/>
      </c>
      <c r="J4333" s="11" t="str">
        <f aca="false">IF($A4333="","",IF($H4333="-","유지",IF($I4333="첫 건","유지","확인 필요")))</f>
        <v/>
      </c>
    </row>
    <row r="4334" customFormat="false" ht="15" hidden="false" customHeight="true" outlineLevel="0" collapsed="false">
      <c r="A4334" s="11" t="str">
        <f aca="false">IF(원본명단!$A4333="","",4331)</f>
        <v/>
      </c>
      <c r="B4334" s="12" t="str">
        <f aca="false">IF($A4334="","",원본명단!$A4333)</f>
        <v/>
      </c>
      <c r="C4334" s="12" t="str">
        <f aca="false">IF($A4334="","",원본명단!$B4333)</f>
        <v/>
      </c>
      <c r="D4334" s="12" t="str">
        <f aca="false">IF($A4334="","",원본명단!$D4333)</f>
        <v/>
      </c>
      <c r="E4334" s="11" t="str">
        <f aca="false">IF($A4334="","",IF(원본명단!$H4333="",0,COUNTIF(원본명단!$H$3:$H$6002,원본명단!$H4333)))</f>
        <v/>
      </c>
      <c r="F4334" s="11" t="str">
        <f aca="false">IF($A4334="","",IF(원본명단!$I4333="",0,COUNTIF(원본명단!$I$3:$I$6002,원본명단!$I4333)))</f>
        <v/>
      </c>
      <c r="G4334" s="11" t="str">
        <f aca="false">IF($A4334="","",IF(원본명단!$K4333="",0,COUNTIF(원본명단!$K$3:$K$6002,원본명단!$K4333)))</f>
        <v/>
      </c>
      <c r="H4334" s="11" t="str">
        <f aca="false">IF($A4334="","",IF(MAX($E4334,$F4334,$G4334)&gt;1,"중복","-"))</f>
        <v/>
      </c>
      <c r="I4334" s="11" t="str">
        <f aca="false">IF($A4334="","",IF($H4334="-","-",IF(AND(IF(원본명단!$H4333="",TRUE(),COUNTIF(원본명단!$H$3:$H4333,원본명단!$H4333)=1),IF(원본명단!$I4333="",TRUE(),COUNTIF(원본명단!$I$3:$I4333,원본명단!$I4333)=1),IF(원본명단!$K4333="",TRUE(),COUNTIF(원본명단!$K$3:$K4333,원본명단!$K4333)=1)),"첫 건","중복 건")))</f>
        <v/>
      </c>
      <c r="J4334" s="11" t="str">
        <f aca="false">IF($A4334="","",IF($H4334="-","유지",IF($I4334="첫 건","유지","확인 필요")))</f>
        <v/>
      </c>
    </row>
    <row r="4335" customFormat="false" ht="15" hidden="false" customHeight="true" outlineLevel="0" collapsed="false">
      <c r="A4335" s="11" t="str">
        <f aca="false">IF(원본명단!$A4334="","",4332)</f>
        <v/>
      </c>
      <c r="B4335" s="12" t="str">
        <f aca="false">IF($A4335="","",원본명단!$A4334)</f>
        <v/>
      </c>
      <c r="C4335" s="12" t="str">
        <f aca="false">IF($A4335="","",원본명단!$B4334)</f>
        <v/>
      </c>
      <c r="D4335" s="12" t="str">
        <f aca="false">IF($A4335="","",원본명단!$D4334)</f>
        <v/>
      </c>
      <c r="E4335" s="11" t="str">
        <f aca="false">IF($A4335="","",IF(원본명단!$H4334="",0,COUNTIF(원본명단!$H$3:$H$6002,원본명단!$H4334)))</f>
        <v/>
      </c>
      <c r="F4335" s="11" t="str">
        <f aca="false">IF($A4335="","",IF(원본명단!$I4334="",0,COUNTIF(원본명단!$I$3:$I$6002,원본명단!$I4334)))</f>
        <v/>
      </c>
      <c r="G4335" s="11" t="str">
        <f aca="false">IF($A4335="","",IF(원본명단!$K4334="",0,COUNTIF(원본명단!$K$3:$K$6002,원본명단!$K4334)))</f>
        <v/>
      </c>
      <c r="H4335" s="11" t="str">
        <f aca="false">IF($A4335="","",IF(MAX($E4335,$F4335,$G4335)&gt;1,"중복","-"))</f>
        <v/>
      </c>
      <c r="I4335" s="11" t="str">
        <f aca="false">IF($A4335="","",IF($H4335="-","-",IF(AND(IF(원본명단!$H4334="",TRUE(),COUNTIF(원본명단!$H$3:$H4334,원본명단!$H4334)=1),IF(원본명단!$I4334="",TRUE(),COUNTIF(원본명단!$I$3:$I4334,원본명단!$I4334)=1),IF(원본명단!$K4334="",TRUE(),COUNTIF(원본명단!$K$3:$K4334,원본명단!$K4334)=1)),"첫 건","중복 건")))</f>
        <v/>
      </c>
      <c r="J4335" s="11" t="str">
        <f aca="false">IF($A4335="","",IF($H4335="-","유지",IF($I4335="첫 건","유지","확인 필요")))</f>
        <v/>
      </c>
    </row>
    <row r="4336" customFormat="false" ht="15" hidden="false" customHeight="true" outlineLevel="0" collapsed="false">
      <c r="A4336" s="11" t="str">
        <f aca="false">IF(원본명단!$A4335="","",4333)</f>
        <v/>
      </c>
      <c r="B4336" s="12" t="str">
        <f aca="false">IF($A4336="","",원본명단!$A4335)</f>
        <v/>
      </c>
      <c r="C4336" s="12" t="str">
        <f aca="false">IF($A4336="","",원본명단!$B4335)</f>
        <v/>
      </c>
      <c r="D4336" s="12" t="str">
        <f aca="false">IF($A4336="","",원본명단!$D4335)</f>
        <v/>
      </c>
      <c r="E4336" s="11" t="str">
        <f aca="false">IF($A4336="","",IF(원본명단!$H4335="",0,COUNTIF(원본명단!$H$3:$H$6002,원본명단!$H4335)))</f>
        <v/>
      </c>
      <c r="F4336" s="11" t="str">
        <f aca="false">IF($A4336="","",IF(원본명단!$I4335="",0,COUNTIF(원본명단!$I$3:$I$6002,원본명단!$I4335)))</f>
        <v/>
      </c>
      <c r="G4336" s="11" t="str">
        <f aca="false">IF($A4336="","",IF(원본명단!$K4335="",0,COUNTIF(원본명단!$K$3:$K$6002,원본명단!$K4335)))</f>
        <v/>
      </c>
      <c r="H4336" s="11" t="str">
        <f aca="false">IF($A4336="","",IF(MAX($E4336,$F4336,$G4336)&gt;1,"중복","-"))</f>
        <v/>
      </c>
      <c r="I4336" s="11" t="str">
        <f aca="false">IF($A4336="","",IF($H4336="-","-",IF(AND(IF(원본명단!$H4335="",TRUE(),COUNTIF(원본명단!$H$3:$H4335,원본명단!$H4335)=1),IF(원본명단!$I4335="",TRUE(),COUNTIF(원본명단!$I$3:$I4335,원본명단!$I4335)=1),IF(원본명단!$K4335="",TRUE(),COUNTIF(원본명단!$K$3:$K4335,원본명단!$K4335)=1)),"첫 건","중복 건")))</f>
        <v/>
      </c>
      <c r="J4336" s="11" t="str">
        <f aca="false">IF($A4336="","",IF($H4336="-","유지",IF($I4336="첫 건","유지","확인 필요")))</f>
        <v/>
      </c>
    </row>
    <row r="4337" customFormat="false" ht="15" hidden="false" customHeight="true" outlineLevel="0" collapsed="false">
      <c r="A4337" s="11" t="str">
        <f aca="false">IF(원본명단!$A4336="","",4334)</f>
        <v/>
      </c>
      <c r="B4337" s="12" t="str">
        <f aca="false">IF($A4337="","",원본명단!$A4336)</f>
        <v/>
      </c>
      <c r="C4337" s="12" t="str">
        <f aca="false">IF($A4337="","",원본명단!$B4336)</f>
        <v/>
      </c>
      <c r="D4337" s="12" t="str">
        <f aca="false">IF($A4337="","",원본명단!$D4336)</f>
        <v/>
      </c>
      <c r="E4337" s="11" t="str">
        <f aca="false">IF($A4337="","",IF(원본명단!$H4336="",0,COUNTIF(원본명단!$H$3:$H$6002,원본명단!$H4336)))</f>
        <v/>
      </c>
      <c r="F4337" s="11" t="str">
        <f aca="false">IF($A4337="","",IF(원본명단!$I4336="",0,COUNTIF(원본명단!$I$3:$I$6002,원본명단!$I4336)))</f>
        <v/>
      </c>
      <c r="G4337" s="11" t="str">
        <f aca="false">IF($A4337="","",IF(원본명단!$K4336="",0,COUNTIF(원본명단!$K$3:$K$6002,원본명단!$K4336)))</f>
        <v/>
      </c>
      <c r="H4337" s="11" t="str">
        <f aca="false">IF($A4337="","",IF(MAX($E4337,$F4337,$G4337)&gt;1,"중복","-"))</f>
        <v/>
      </c>
      <c r="I4337" s="11" t="str">
        <f aca="false">IF($A4337="","",IF($H4337="-","-",IF(AND(IF(원본명단!$H4336="",TRUE(),COUNTIF(원본명단!$H$3:$H4336,원본명단!$H4336)=1),IF(원본명단!$I4336="",TRUE(),COUNTIF(원본명단!$I$3:$I4336,원본명단!$I4336)=1),IF(원본명단!$K4336="",TRUE(),COUNTIF(원본명단!$K$3:$K4336,원본명단!$K4336)=1)),"첫 건","중복 건")))</f>
        <v/>
      </c>
      <c r="J4337" s="11" t="str">
        <f aca="false">IF($A4337="","",IF($H4337="-","유지",IF($I4337="첫 건","유지","확인 필요")))</f>
        <v/>
      </c>
    </row>
    <row r="4338" customFormat="false" ht="15" hidden="false" customHeight="true" outlineLevel="0" collapsed="false">
      <c r="A4338" s="11" t="str">
        <f aca="false">IF(원본명단!$A4337="","",4335)</f>
        <v/>
      </c>
      <c r="B4338" s="12" t="str">
        <f aca="false">IF($A4338="","",원본명단!$A4337)</f>
        <v/>
      </c>
      <c r="C4338" s="12" t="str">
        <f aca="false">IF($A4338="","",원본명단!$B4337)</f>
        <v/>
      </c>
      <c r="D4338" s="12" t="str">
        <f aca="false">IF($A4338="","",원본명단!$D4337)</f>
        <v/>
      </c>
      <c r="E4338" s="11" t="str">
        <f aca="false">IF($A4338="","",IF(원본명단!$H4337="",0,COUNTIF(원본명단!$H$3:$H$6002,원본명단!$H4337)))</f>
        <v/>
      </c>
      <c r="F4338" s="11" t="str">
        <f aca="false">IF($A4338="","",IF(원본명단!$I4337="",0,COUNTIF(원본명단!$I$3:$I$6002,원본명단!$I4337)))</f>
        <v/>
      </c>
      <c r="G4338" s="11" t="str">
        <f aca="false">IF($A4338="","",IF(원본명단!$K4337="",0,COUNTIF(원본명단!$K$3:$K$6002,원본명단!$K4337)))</f>
        <v/>
      </c>
      <c r="H4338" s="11" t="str">
        <f aca="false">IF($A4338="","",IF(MAX($E4338,$F4338,$G4338)&gt;1,"중복","-"))</f>
        <v/>
      </c>
      <c r="I4338" s="11" t="str">
        <f aca="false">IF($A4338="","",IF($H4338="-","-",IF(AND(IF(원본명단!$H4337="",TRUE(),COUNTIF(원본명단!$H$3:$H4337,원본명단!$H4337)=1),IF(원본명단!$I4337="",TRUE(),COUNTIF(원본명단!$I$3:$I4337,원본명단!$I4337)=1),IF(원본명단!$K4337="",TRUE(),COUNTIF(원본명단!$K$3:$K4337,원본명단!$K4337)=1)),"첫 건","중복 건")))</f>
        <v/>
      </c>
      <c r="J4338" s="11" t="str">
        <f aca="false">IF($A4338="","",IF($H4338="-","유지",IF($I4338="첫 건","유지","확인 필요")))</f>
        <v/>
      </c>
    </row>
    <row r="4339" customFormat="false" ht="15" hidden="false" customHeight="true" outlineLevel="0" collapsed="false">
      <c r="A4339" s="11" t="str">
        <f aca="false">IF(원본명단!$A4338="","",4336)</f>
        <v/>
      </c>
      <c r="B4339" s="12" t="str">
        <f aca="false">IF($A4339="","",원본명단!$A4338)</f>
        <v/>
      </c>
      <c r="C4339" s="12" t="str">
        <f aca="false">IF($A4339="","",원본명단!$B4338)</f>
        <v/>
      </c>
      <c r="D4339" s="12" t="str">
        <f aca="false">IF($A4339="","",원본명단!$D4338)</f>
        <v/>
      </c>
      <c r="E4339" s="11" t="str">
        <f aca="false">IF($A4339="","",IF(원본명단!$H4338="",0,COUNTIF(원본명단!$H$3:$H$6002,원본명단!$H4338)))</f>
        <v/>
      </c>
      <c r="F4339" s="11" t="str">
        <f aca="false">IF($A4339="","",IF(원본명단!$I4338="",0,COUNTIF(원본명단!$I$3:$I$6002,원본명단!$I4338)))</f>
        <v/>
      </c>
      <c r="G4339" s="11" t="str">
        <f aca="false">IF($A4339="","",IF(원본명단!$K4338="",0,COUNTIF(원본명단!$K$3:$K$6002,원본명단!$K4338)))</f>
        <v/>
      </c>
      <c r="H4339" s="11" t="str">
        <f aca="false">IF($A4339="","",IF(MAX($E4339,$F4339,$G4339)&gt;1,"중복","-"))</f>
        <v/>
      </c>
      <c r="I4339" s="11" t="str">
        <f aca="false">IF($A4339="","",IF($H4339="-","-",IF(AND(IF(원본명단!$H4338="",TRUE(),COUNTIF(원본명단!$H$3:$H4338,원본명단!$H4338)=1),IF(원본명단!$I4338="",TRUE(),COUNTIF(원본명단!$I$3:$I4338,원본명단!$I4338)=1),IF(원본명단!$K4338="",TRUE(),COUNTIF(원본명단!$K$3:$K4338,원본명단!$K4338)=1)),"첫 건","중복 건")))</f>
        <v/>
      </c>
      <c r="J4339" s="11" t="str">
        <f aca="false">IF($A4339="","",IF($H4339="-","유지",IF($I4339="첫 건","유지","확인 필요")))</f>
        <v/>
      </c>
    </row>
    <row r="4340" customFormat="false" ht="15" hidden="false" customHeight="true" outlineLevel="0" collapsed="false">
      <c r="A4340" s="11" t="str">
        <f aca="false">IF(원본명단!$A4339="","",4337)</f>
        <v/>
      </c>
      <c r="B4340" s="12" t="str">
        <f aca="false">IF($A4340="","",원본명단!$A4339)</f>
        <v/>
      </c>
      <c r="C4340" s="12" t="str">
        <f aca="false">IF($A4340="","",원본명단!$B4339)</f>
        <v/>
      </c>
      <c r="D4340" s="12" t="str">
        <f aca="false">IF($A4340="","",원본명단!$D4339)</f>
        <v/>
      </c>
      <c r="E4340" s="11" t="str">
        <f aca="false">IF($A4340="","",IF(원본명단!$H4339="",0,COUNTIF(원본명단!$H$3:$H$6002,원본명단!$H4339)))</f>
        <v/>
      </c>
      <c r="F4340" s="11" t="str">
        <f aca="false">IF($A4340="","",IF(원본명단!$I4339="",0,COUNTIF(원본명단!$I$3:$I$6002,원본명단!$I4339)))</f>
        <v/>
      </c>
      <c r="G4340" s="11" t="str">
        <f aca="false">IF($A4340="","",IF(원본명단!$K4339="",0,COUNTIF(원본명단!$K$3:$K$6002,원본명단!$K4339)))</f>
        <v/>
      </c>
      <c r="H4340" s="11" t="str">
        <f aca="false">IF($A4340="","",IF(MAX($E4340,$F4340,$G4340)&gt;1,"중복","-"))</f>
        <v/>
      </c>
      <c r="I4340" s="11" t="str">
        <f aca="false">IF($A4340="","",IF($H4340="-","-",IF(AND(IF(원본명단!$H4339="",TRUE(),COUNTIF(원본명단!$H$3:$H4339,원본명단!$H4339)=1),IF(원본명단!$I4339="",TRUE(),COUNTIF(원본명단!$I$3:$I4339,원본명단!$I4339)=1),IF(원본명단!$K4339="",TRUE(),COUNTIF(원본명단!$K$3:$K4339,원본명단!$K4339)=1)),"첫 건","중복 건")))</f>
        <v/>
      </c>
      <c r="J4340" s="11" t="str">
        <f aca="false">IF($A4340="","",IF($H4340="-","유지",IF($I4340="첫 건","유지","확인 필요")))</f>
        <v/>
      </c>
    </row>
    <row r="4341" customFormat="false" ht="15" hidden="false" customHeight="true" outlineLevel="0" collapsed="false">
      <c r="A4341" s="11" t="str">
        <f aca="false">IF(원본명단!$A4340="","",4338)</f>
        <v/>
      </c>
      <c r="B4341" s="12" t="str">
        <f aca="false">IF($A4341="","",원본명단!$A4340)</f>
        <v/>
      </c>
      <c r="C4341" s="12" t="str">
        <f aca="false">IF($A4341="","",원본명단!$B4340)</f>
        <v/>
      </c>
      <c r="D4341" s="12" t="str">
        <f aca="false">IF($A4341="","",원본명단!$D4340)</f>
        <v/>
      </c>
      <c r="E4341" s="11" t="str">
        <f aca="false">IF($A4341="","",IF(원본명단!$H4340="",0,COUNTIF(원본명단!$H$3:$H$6002,원본명단!$H4340)))</f>
        <v/>
      </c>
      <c r="F4341" s="11" t="str">
        <f aca="false">IF($A4341="","",IF(원본명단!$I4340="",0,COUNTIF(원본명단!$I$3:$I$6002,원본명단!$I4340)))</f>
        <v/>
      </c>
      <c r="G4341" s="11" t="str">
        <f aca="false">IF($A4341="","",IF(원본명단!$K4340="",0,COUNTIF(원본명단!$K$3:$K$6002,원본명단!$K4340)))</f>
        <v/>
      </c>
      <c r="H4341" s="11" t="str">
        <f aca="false">IF($A4341="","",IF(MAX($E4341,$F4341,$G4341)&gt;1,"중복","-"))</f>
        <v/>
      </c>
      <c r="I4341" s="11" t="str">
        <f aca="false">IF($A4341="","",IF($H4341="-","-",IF(AND(IF(원본명단!$H4340="",TRUE(),COUNTIF(원본명단!$H$3:$H4340,원본명단!$H4340)=1),IF(원본명단!$I4340="",TRUE(),COUNTIF(원본명단!$I$3:$I4340,원본명단!$I4340)=1),IF(원본명단!$K4340="",TRUE(),COUNTIF(원본명단!$K$3:$K4340,원본명단!$K4340)=1)),"첫 건","중복 건")))</f>
        <v/>
      </c>
      <c r="J4341" s="11" t="str">
        <f aca="false">IF($A4341="","",IF($H4341="-","유지",IF($I4341="첫 건","유지","확인 필요")))</f>
        <v/>
      </c>
    </row>
    <row r="4342" customFormat="false" ht="15" hidden="false" customHeight="true" outlineLevel="0" collapsed="false">
      <c r="A4342" s="11" t="str">
        <f aca="false">IF(원본명단!$A4341="","",4339)</f>
        <v/>
      </c>
      <c r="B4342" s="12" t="str">
        <f aca="false">IF($A4342="","",원본명단!$A4341)</f>
        <v/>
      </c>
      <c r="C4342" s="12" t="str">
        <f aca="false">IF($A4342="","",원본명단!$B4341)</f>
        <v/>
      </c>
      <c r="D4342" s="12" t="str">
        <f aca="false">IF($A4342="","",원본명단!$D4341)</f>
        <v/>
      </c>
      <c r="E4342" s="11" t="str">
        <f aca="false">IF($A4342="","",IF(원본명단!$H4341="",0,COUNTIF(원본명단!$H$3:$H$6002,원본명단!$H4341)))</f>
        <v/>
      </c>
      <c r="F4342" s="11" t="str">
        <f aca="false">IF($A4342="","",IF(원본명단!$I4341="",0,COUNTIF(원본명단!$I$3:$I$6002,원본명단!$I4341)))</f>
        <v/>
      </c>
      <c r="G4342" s="11" t="str">
        <f aca="false">IF($A4342="","",IF(원본명단!$K4341="",0,COUNTIF(원본명단!$K$3:$K$6002,원본명단!$K4341)))</f>
        <v/>
      </c>
      <c r="H4342" s="11" t="str">
        <f aca="false">IF($A4342="","",IF(MAX($E4342,$F4342,$G4342)&gt;1,"중복","-"))</f>
        <v/>
      </c>
      <c r="I4342" s="11" t="str">
        <f aca="false">IF($A4342="","",IF($H4342="-","-",IF(AND(IF(원본명단!$H4341="",TRUE(),COUNTIF(원본명단!$H$3:$H4341,원본명단!$H4341)=1),IF(원본명단!$I4341="",TRUE(),COUNTIF(원본명단!$I$3:$I4341,원본명단!$I4341)=1),IF(원본명단!$K4341="",TRUE(),COUNTIF(원본명단!$K$3:$K4341,원본명단!$K4341)=1)),"첫 건","중복 건")))</f>
        <v/>
      </c>
      <c r="J4342" s="11" t="str">
        <f aca="false">IF($A4342="","",IF($H4342="-","유지",IF($I4342="첫 건","유지","확인 필요")))</f>
        <v/>
      </c>
    </row>
    <row r="4343" customFormat="false" ht="15" hidden="false" customHeight="true" outlineLevel="0" collapsed="false">
      <c r="A4343" s="11" t="str">
        <f aca="false">IF(원본명단!$A4342="","",4340)</f>
        <v/>
      </c>
      <c r="B4343" s="12" t="str">
        <f aca="false">IF($A4343="","",원본명단!$A4342)</f>
        <v/>
      </c>
      <c r="C4343" s="12" t="str">
        <f aca="false">IF($A4343="","",원본명단!$B4342)</f>
        <v/>
      </c>
      <c r="D4343" s="12" t="str">
        <f aca="false">IF($A4343="","",원본명단!$D4342)</f>
        <v/>
      </c>
      <c r="E4343" s="11" t="str">
        <f aca="false">IF($A4343="","",IF(원본명단!$H4342="",0,COUNTIF(원본명단!$H$3:$H$6002,원본명단!$H4342)))</f>
        <v/>
      </c>
      <c r="F4343" s="11" t="str">
        <f aca="false">IF($A4343="","",IF(원본명단!$I4342="",0,COUNTIF(원본명단!$I$3:$I$6002,원본명단!$I4342)))</f>
        <v/>
      </c>
      <c r="G4343" s="11" t="str">
        <f aca="false">IF($A4343="","",IF(원본명단!$K4342="",0,COUNTIF(원본명단!$K$3:$K$6002,원본명단!$K4342)))</f>
        <v/>
      </c>
      <c r="H4343" s="11" t="str">
        <f aca="false">IF($A4343="","",IF(MAX($E4343,$F4343,$G4343)&gt;1,"중복","-"))</f>
        <v/>
      </c>
      <c r="I4343" s="11" t="str">
        <f aca="false">IF($A4343="","",IF($H4343="-","-",IF(AND(IF(원본명단!$H4342="",TRUE(),COUNTIF(원본명단!$H$3:$H4342,원본명단!$H4342)=1),IF(원본명단!$I4342="",TRUE(),COUNTIF(원본명단!$I$3:$I4342,원본명단!$I4342)=1),IF(원본명단!$K4342="",TRUE(),COUNTIF(원본명단!$K$3:$K4342,원본명단!$K4342)=1)),"첫 건","중복 건")))</f>
        <v/>
      </c>
      <c r="J4343" s="11" t="str">
        <f aca="false">IF($A4343="","",IF($H4343="-","유지",IF($I4343="첫 건","유지","확인 필요")))</f>
        <v/>
      </c>
    </row>
    <row r="4344" customFormat="false" ht="15" hidden="false" customHeight="true" outlineLevel="0" collapsed="false">
      <c r="A4344" s="11" t="str">
        <f aca="false">IF(원본명단!$A4343="","",4341)</f>
        <v/>
      </c>
      <c r="B4344" s="12" t="str">
        <f aca="false">IF($A4344="","",원본명단!$A4343)</f>
        <v/>
      </c>
      <c r="C4344" s="12" t="str">
        <f aca="false">IF($A4344="","",원본명단!$B4343)</f>
        <v/>
      </c>
      <c r="D4344" s="12" t="str">
        <f aca="false">IF($A4344="","",원본명단!$D4343)</f>
        <v/>
      </c>
      <c r="E4344" s="11" t="str">
        <f aca="false">IF($A4344="","",IF(원본명단!$H4343="",0,COUNTIF(원본명단!$H$3:$H$6002,원본명단!$H4343)))</f>
        <v/>
      </c>
      <c r="F4344" s="11" t="str">
        <f aca="false">IF($A4344="","",IF(원본명단!$I4343="",0,COUNTIF(원본명단!$I$3:$I$6002,원본명단!$I4343)))</f>
        <v/>
      </c>
      <c r="G4344" s="11" t="str">
        <f aca="false">IF($A4344="","",IF(원본명단!$K4343="",0,COUNTIF(원본명단!$K$3:$K$6002,원본명단!$K4343)))</f>
        <v/>
      </c>
      <c r="H4344" s="11" t="str">
        <f aca="false">IF($A4344="","",IF(MAX($E4344,$F4344,$G4344)&gt;1,"중복","-"))</f>
        <v/>
      </c>
      <c r="I4344" s="11" t="str">
        <f aca="false">IF($A4344="","",IF($H4344="-","-",IF(AND(IF(원본명단!$H4343="",TRUE(),COUNTIF(원본명단!$H$3:$H4343,원본명단!$H4343)=1),IF(원본명단!$I4343="",TRUE(),COUNTIF(원본명단!$I$3:$I4343,원본명단!$I4343)=1),IF(원본명단!$K4343="",TRUE(),COUNTIF(원본명단!$K$3:$K4343,원본명단!$K4343)=1)),"첫 건","중복 건")))</f>
        <v/>
      </c>
      <c r="J4344" s="11" t="str">
        <f aca="false">IF($A4344="","",IF($H4344="-","유지",IF($I4344="첫 건","유지","확인 필요")))</f>
        <v/>
      </c>
    </row>
    <row r="4345" customFormat="false" ht="15" hidden="false" customHeight="true" outlineLevel="0" collapsed="false">
      <c r="A4345" s="11" t="str">
        <f aca="false">IF(원본명단!$A4344="","",4342)</f>
        <v/>
      </c>
      <c r="B4345" s="12" t="str">
        <f aca="false">IF($A4345="","",원본명단!$A4344)</f>
        <v/>
      </c>
      <c r="C4345" s="12" t="str">
        <f aca="false">IF($A4345="","",원본명단!$B4344)</f>
        <v/>
      </c>
      <c r="D4345" s="12" t="str">
        <f aca="false">IF($A4345="","",원본명단!$D4344)</f>
        <v/>
      </c>
      <c r="E4345" s="11" t="str">
        <f aca="false">IF($A4345="","",IF(원본명단!$H4344="",0,COUNTIF(원본명단!$H$3:$H$6002,원본명단!$H4344)))</f>
        <v/>
      </c>
      <c r="F4345" s="11" t="str">
        <f aca="false">IF($A4345="","",IF(원본명단!$I4344="",0,COUNTIF(원본명단!$I$3:$I$6002,원본명단!$I4344)))</f>
        <v/>
      </c>
      <c r="G4345" s="11" t="str">
        <f aca="false">IF($A4345="","",IF(원본명단!$K4344="",0,COUNTIF(원본명단!$K$3:$K$6002,원본명단!$K4344)))</f>
        <v/>
      </c>
      <c r="H4345" s="11" t="str">
        <f aca="false">IF($A4345="","",IF(MAX($E4345,$F4345,$G4345)&gt;1,"중복","-"))</f>
        <v/>
      </c>
      <c r="I4345" s="11" t="str">
        <f aca="false">IF($A4345="","",IF($H4345="-","-",IF(AND(IF(원본명단!$H4344="",TRUE(),COUNTIF(원본명단!$H$3:$H4344,원본명단!$H4344)=1),IF(원본명단!$I4344="",TRUE(),COUNTIF(원본명단!$I$3:$I4344,원본명단!$I4344)=1),IF(원본명단!$K4344="",TRUE(),COUNTIF(원본명단!$K$3:$K4344,원본명단!$K4344)=1)),"첫 건","중복 건")))</f>
        <v/>
      </c>
      <c r="J4345" s="11" t="str">
        <f aca="false">IF($A4345="","",IF($H4345="-","유지",IF($I4345="첫 건","유지","확인 필요")))</f>
        <v/>
      </c>
    </row>
    <row r="4346" customFormat="false" ht="15" hidden="false" customHeight="true" outlineLevel="0" collapsed="false">
      <c r="A4346" s="11" t="str">
        <f aca="false">IF(원본명단!$A4345="","",4343)</f>
        <v/>
      </c>
      <c r="B4346" s="12" t="str">
        <f aca="false">IF($A4346="","",원본명단!$A4345)</f>
        <v/>
      </c>
      <c r="C4346" s="12" t="str">
        <f aca="false">IF($A4346="","",원본명단!$B4345)</f>
        <v/>
      </c>
      <c r="D4346" s="12" t="str">
        <f aca="false">IF($A4346="","",원본명단!$D4345)</f>
        <v/>
      </c>
      <c r="E4346" s="11" t="str">
        <f aca="false">IF($A4346="","",IF(원본명단!$H4345="",0,COUNTIF(원본명단!$H$3:$H$6002,원본명단!$H4345)))</f>
        <v/>
      </c>
      <c r="F4346" s="11" t="str">
        <f aca="false">IF($A4346="","",IF(원본명단!$I4345="",0,COUNTIF(원본명단!$I$3:$I$6002,원본명단!$I4345)))</f>
        <v/>
      </c>
      <c r="G4346" s="11" t="str">
        <f aca="false">IF($A4346="","",IF(원본명단!$K4345="",0,COUNTIF(원본명단!$K$3:$K$6002,원본명단!$K4345)))</f>
        <v/>
      </c>
      <c r="H4346" s="11" t="str">
        <f aca="false">IF($A4346="","",IF(MAX($E4346,$F4346,$G4346)&gt;1,"중복","-"))</f>
        <v/>
      </c>
      <c r="I4346" s="11" t="str">
        <f aca="false">IF($A4346="","",IF($H4346="-","-",IF(AND(IF(원본명단!$H4345="",TRUE(),COUNTIF(원본명단!$H$3:$H4345,원본명단!$H4345)=1),IF(원본명단!$I4345="",TRUE(),COUNTIF(원본명단!$I$3:$I4345,원본명단!$I4345)=1),IF(원본명단!$K4345="",TRUE(),COUNTIF(원본명단!$K$3:$K4345,원본명단!$K4345)=1)),"첫 건","중복 건")))</f>
        <v/>
      </c>
      <c r="J4346" s="11" t="str">
        <f aca="false">IF($A4346="","",IF($H4346="-","유지",IF($I4346="첫 건","유지","확인 필요")))</f>
        <v/>
      </c>
    </row>
    <row r="4347" customFormat="false" ht="15" hidden="false" customHeight="true" outlineLevel="0" collapsed="false">
      <c r="A4347" s="11" t="str">
        <f aca="false">IF(원본명단!$A4346="","",4344)</f>
        <v/>
      </c>
      <c r="B4347" s="12" t="str">
        <f aca="false">IF($A4347="","",원본명단!$A4346)</f>
        <v/>
      </c>
      <c r="C4347" s="12" t="str">
        <f aca="false">IF($A4347="","",원본명단!$B4346)</f>
        <v/>
      </c>
      <c r="D4347" s="12" t="str">
        <f aca="false">IF($A4347="","",원본명단!$D4346)</f>
        <v/>
      </c>
      <c r="E4347" s="11" t="str">
        <f aca="false">IF($A4347="","",IF(원본명단!$H4346="",0,COUNTIF(원본명단!$H$3:$H$6002,원본명단!$H4346)))</f>
        <v/>
      </c>
      <c r="F4347" s="11" t="str">
        <f aca="false">IF($A4347="","",IF(원본명단!$I4346="",0,COUNTIF(원본명단!$I$3:$I$6002,원본명단!$I4346)))</f>
        <v/>
      </c>
      <c r="G4347" s="11" t="str">
        <f aca="false">IF($A4347="","",IF(원본명단!$K4346="",0,COUNTIF(원본명단!$K$3:$K$6002,원본명단!$K4346)))</f>
        <v/>
      </c>
      <c r="H4347" s="11" t="str">
        <f aca="false">IF($A4347="","",IF(MAX($E4347,$F4347,$G4347)&gt;1,"중복","-"))</f>
        <v/>
      </c>
      <c r="I4347" s="11" t="str">
        <f aca="false">IF($A4347="","",IF($H4347="-","-",IF(AND(IF(원본명단!$H4346="",TRUE(),COUNTIF(원본명단!$H$3:$H4346,원본명단!$H4346)=1),IF(원본명단!$I4346="",TRUE(),COUNTIF(원본명단!$I$3:$I4346,원본명단!$I4346)=1),IF(원본명단!$K4346="",TRUE(),COUNTIF(원본명단!$K$3:$K4346,원본명단!$K4346)=1)),"첫 건","중복 건")))</f>
        <v/>
      </c>
      <c r="J4347" s="11" t="str">
        <f aca="false">IF($A4347="","",IF($H4347="-","유지",IF($I4347="첫 건","유지","확인 필요")))</f>
        <v/>
      </c>
    </row>
    <row r="4348" customFormat="false" ht="15" hidden="false" customHeight="true" outlineLevel="0" collapsed="false">
      <c r="A4348" s="11" t="str">
        <f aca="false">IF(원본명단!$A4347="","",4345)</f>
        <v/>
      </c>
      <c r="B4348" s="12" t="str">
        <f aca="false">IF($A4348="","",원본명단!$A4347)</f>
        <v/>
      </c>
      <c r="C4348" s="12" t="str">
        <f aca="false">IF($A4348="","",원본명단!$B4347)</f>
        <v/>
      </c>
      <c r="D4348" s="12" t="str">
        <f aca="false">IF($A4348="","",원본명단!$D4347)</f>
        <v/>
      </c>
      <c r="E4348" s="11" t="str">
        <f aca="false">IF($A4348="","",IF(원본명단!$H4347="",0,COUNTIF(원본명단!$H$3:$H$6002,원본명단!$H4347)))</f>
        <v/>
      </c>
      <c r="F4348" s="11" t="str">
        <f aca="false">IF($A4348="","",IF(원본명단!$I4347="",0,COUNTIF(원본명단!$I$3:$I$6002,원본명단!$I4347)))</f>
        <v/>
      </c>
      <c r="G4348" s="11" t="str">
        <f aca="false">IF($A4348="","",IF(원본명단!$K4347="",0,COUNTIF(원본명단!$K$3:$K$6002,원본명단!$K4347)))</f>
        <v/>
      </c>
      <c r="H4348" s="11" t="str">
        <f aca="false">IF($A4348="","",IF(MAX($E4348,$F4348,$G4348)&gt;1,"중복","-"))</f>
        <v/>
      </c>
      <c r="I4348" s="11" t="str">
        <f aca="false">IF($A4348="","",IF($H4348="-","-",IF(AND(IF(원본명단!$H4347="",TRUE(),COUNTIF(원본명단!$H$3:$H4347,원본명단!$H4347)=1),IF(원본명단!$I4347="",TRUE(),COUNTIF(원본명단!$I$3:$I4347,원본명단!$I4347)=1),IF(원본명단!$K4347="",TRUE(),COUNTIF(원본명단!$K$3:$K4347,원본명단!$K4347)=1)),"첫 건","중복 건")))</f>
        <v/>
      </c>
      <c r="J4348" s="11" t="str">
        <f aca="false">IF($A4348="","",IF($H4348="-","유지",IF($I4348="첫 건","유지","확인 필요")))</f>
        <v/>
      </c>
    </row>
    <row r="4349" customFormat="false" ht="15" hidden="false" customHeight="true" outlineLevel="0" collapsed="false">
      <c r="A4349" s="11" t="str">
        <f aca="false">IF(원본명단!$A4348="","",4346)</f>
        <v/>
      </c>
      <c r="B4349" s="12" t="str">
        <f aca="false">IF($A4349="","",원본명단!$A4348)</f>
        <v/>
      </c>
      <c r="C4349" s="12" t="str">
        <f aca="false">IF($A4349="","",원본명단!$B4348)</f>
        <v/>
      </c>
      <c r="D4349" s="12" t="str">
        <f aca="false">IF($A4349="","",원본명단!$D4348)</f>
        <v/>
      </c>
      <c r="E4349" s="11" t="str">
        <f aca="false">IF($A4349="","",IF(원본명단!$H4348="",0,COUNTIF(원본명단!$H$3:$H$6002,원본명단!$H4348)))</f>
        <v/>
      </c>
      <c r="F4349" s="11" t="str">
        <f aca="false">IF($A4349="","",IF(원본명단!$I4348="",0,COUNTIF(원본명단!$I$3:$I$6002,원본명단!$I4348)))</f>
        <v/>
      </c>
      <c r="G4349" s="11" t="str">
        <f aca="false">IF($A4349="","",IF(원본명단!$K4348="",0,COUNTIF(원본명단!$K$3:$K$6002,원본명단!$K4348)))</f>
        <v/>
      </c>
      <c r="H4349" s="11" t="str">
        <f aca="false">IF($A4349="","",IF(MAX($E4349,$F4349,$G4349)&gt;1,"중복","-"))</f>
        <v/>
      </c>
      <c r="I4349" s="11" t="str">
        <f aca="false">IF($A4349="","",IF($H4349="-","-",IF(AND(IF(원본명단!$H4348="",TRUE(),COUNTIF(원본명단!$H$3:$H4348,원본명단!$H4348)=1),IF(원본명단!$I4348="",TRUE(),COUNTIF(원본명단!$I$3:$I4348,원본명단!$I4348)=1),IF(원본명단!$K4348="",TRUE(),COUNTIF(원본명단!$K$3:$K4348,원본명단!$K4348)=1)),"첫 건","중복 건")))</f>
        <v/>
      </c>
      <c r="J4349" s="11" t="str">
        <f aca="false">IF($A4349="","",IF($H4349="-","유지",IF($I4349="첫 건","유지","확인 필요")))</f>
        <v/>
      </c>
    </row>
    <row r="4350" customFormat="false" ht="15" hidden="false" customHeight="true" outlineLevel="0" collapsed="false">
      <c r="A4350" s="11" t="str">
        <f aca="false">IF(원본명단!$A4349="","",4347)</f>
        <v/>
      </c>
      <c r="B4350" s="12" t="str">
        <f aca="false">IF($A4350="","",원본명단!$A4349)</f>
        <v/>
      </c>
      <c r="C4350" s="12" t="str">
        <f aca="false">IF($A4350="","",원본명단!$B4349)</f>
        <v/>
      </c>
      <c r="D4350" s="12" t="str">
        <f aca="false">IF($A4350="","",원본명단!$D4349)</f>
        <v/>
      </c>
      <c r="E4350" s="11" t="str">
        <f aca="false">IF($A4350="","",IF(원본명단!$H4349="",0,COUNTIF(원본명단!$H$3:$H$6002,원본명단!$H4349)))</f>
        <v/>
      </c>
      <c r="F4350" s="11" t="str">
        <f aca="false">IF($A4350="","",IF(원본명단!$I4349="",0,COUNTIF(원본명단!$I$3:$I$6002,원본명단!$I4349)))</f>
        <v/>
      </c>
      <c r="G4350" s="11" t="str">
        <f aca="false">IF($A4350="","",IF(원본명단!$K4349="",0,COUNTIF(원본명단!$K$3:$K$6002,원본명단!$K4349)))</f>
        <v/>
      </c>
      <c r="H4350" s="11" t="str">
        <f aca="false">IF($A4350="","",IF(MAX($E4350,$F4350,$G4350)&gt;1,"중복","-"))</f>
        <v/>
      </c>
      <c r="I4350" s="11" t="str">
        <f aca="false">IF($A4350="","",IF($H4350="-","-",IF(AND(IF(원본명단!$H4349="",TRUE(),COUNTIF(원본명단!$H$3:$H4349,원본명단!$H4349)=1),IF(원본명단!$I4349="",TRUE(),COUNTIF(원본명단!$I$3:$I4349,원본명단!$I4349)=1),IF(원본명단!$K4349="",TRUE(),COUNTIF(원본명단!$K$3:$K4349,원본명단!$K4349)=1)),"첫 건","중복 건")))</f>
        <v/>
      </c>
      <c r="J4350" s="11" t="str">
        <f aca="false">IF($A4350="","",IF($H4350="-","유지",IF($I4350="첫 건","유지","확인 필요")))</f>
        <v/>
      </c>
    </row>
    <row r="4351" customFormat="false" ht="15" hidden="false" customHeight="true" outlineLevel="0" collapsed="false">
      <c r="A4351" s="11" t="str">
        <f aca="false">IF(원본명단!$A4350="","",4348)</f>
        <v/>
      </c>
      <c r="B4351" s="12" t="str">
        <f aca="false">IF($A4351="","",원본명단!$A4350)</f>
        <v/>
      </c>
      <c r="C4351" s="12" t="str">
        <f aca="false">IF($A4351="","",원본명단!$B4350)</f>
        <v/>
      </c>
      <c r="D4351" s="12" t="str">
        <f aca="false">IF($A4351="","",원본명단!$D4350)</f>
        <v/>
      </c>
      <c r="E4351" s="11" t="str">
        <f aca="false">IF($A4351="","",IF(원본명단!$H4350="",0,COUNTIF(원본명단!$H$3:$H$6002,원본명단!$H4350)))</f>
        <v/>
      </c>
      <c r="F4351" s="11" t="str">
        <f aca="false">IF($A4351="","",IF(원본명단!$I4350="",0,COUNTIF(원본명단!$I$3:$I$6002,원본명단!$I4350)))</f>
        <v/>
      </c>
      <c r="G4351" s="11" t="str">
        <f aca="false">IF($A4351="","",IF(원본명단!$K4350="",0,COUNTIF(원본명단!$K$3:$K$6002,원본명단!$K4350)))</f>
        <v/>
      </c>
      <c r="H4351" s="11" t="str">
        <f aca="false">IF($A4351="","",IF(MAX($E4351,$F4351,$G4351)&gt;1,"중복","-"))</f>
        <v/>
      </c>
      <c r="I4351" s="11" t="str">
        <f aca="false">IF($A4351="","",IF($H4351="-","-",IF(AND(IF(원본명단!$H4350="",TRUE(),COUNTIF(원본명단!$H$3:$H4350,원본명단!$H4350)=1),IF(원본명단!$I4350="",TRUE(),COUNTIF(원본명단!$I$3:$I4350,원본명단!$I4350)=1),IF(원본명단!$K4350="",TRUE(),COUNTIF(원본명단!$K$3:$K4350,원본명단!$K4350)=1)),"첫 건","중복 건")))</f>
        <v/>
      </c>
      <c r="J4351" s="11" t="str">
        <f aca="false">IF($A4351="","",IF($H4351="-","유지",IF($I4351="첫 건","유지","확인 필요")))</f>
        <v/>
      </c>
    </row>
    <row r="4352" customFormat="false" ht="15" hidden="false" customHeight="true" outlineLevel="0" collapsed="false">
      <c r="A4352" s="11" t="str">
        <f aca="false">IF(원본명단!$A4351="","",4349)</f>
        <v/>
      </c>
      <c r="B4352" s="12" t="str">
        <f aca="false">IF($A4352="","",원본명단!$A4351)</f>
        <v/>
      </c>
      <c r="C4352" s="12" t="str">
        <f aca="false">IF($A4352="","",원본명단!$B4351)</f>
        <v/>
      </c>
      <c r="D4352" s="12" t="str">
        <f aca="false">IF($A4352="","",원본명단!$D4351)</f>
        <v/>
      </c>
      <c r="E4352" s="11" t="str">
        <f aca="false">IF($A4352="","",IF(원본명단!$H4351="",0,COUNTIF(원본명단!$H$3:$H$6002,원본명단!$H4351)))</f>
        <v/>
      </c>
      <c r="F4352" s="11" t="str">
        <f aca="false">IF($A4352="","",IF(원본명단!$I4351="",0,COUNTIF(원본명단!$I$3:$I$6002,원본명단!$I4351)))</f>
        <v/>
      </c>
      <c r="G4352" s="11" t="str">
        <f aca="false">IF($A4352="","",IF(원본명단!$K4351="",0,COUNTIF(원본명단!$K$3:$K$6002,원본명단!$K4351)))</f>
        <v/>
      </c>
      <c r="H4352" s="11" t="str">
        <f aca="false">IF($A4352="","",IF(MAX($E4352,$F4352,$G4352)&gt;1,"중복","-"))</f>
        <v/>
      </c>
      <c r="I4352" s="11" t="str">
        <f aca="false">IF($A4352="","",IF($H4352="-","-",IF(AND(IF(원본명단!$H4351="",TRUE(),COUNTIF(원본명단!$H$3:$H4351,원본명단!$H4351)=1),IF(원본명단!$I4351="",TRUE(),COUNTIF(원본명단!$I$3:$I4351,원본명단!$I4351)=1),IF(원본명단!$K4351="",TRUE(),COUNTIF(원본명단!$K$3:$K4351,원본명단!$K4351)=1)),"첫 건","중복 건")))</f>
        <v/>
      </c>
      <c r="J4352" s="11" t="str">
        <f aca="false">IF($A4352="","",IF($H4352="-","유지",IF($I4352="첫 건","유지","확인 필요")))</f>
        <v/>
      </c>
    </row>
    <row r="4353" customFormat="false" ht="15" hidden="false" customHeight="true" outlineLevel="0" collapsed="false">
      <c r="A4353" s="11" t="str">
        <f aca="false">IF(원본명단!$A4352="","",4350)</f>
        <v/>
      </c>
      <c r="B4353" s="12" t="str">
        <f aca="false">IF($A4353="","",원본명단!$A4352)</f>
        <v/>
      </c>
      <c r="C4353" s="12" t="str">
        <f aca="false">IF($A4353="","",원본명단!$B4352)</f>
        <v/>
      </c>
      <c r="D4353" s="12" t="str">
        <f aca="false">IF($A4353="","",원본명단!$D4352)</f>
        <v/>
      </c>
      <c r="E4353" s="11" t="str">
        <f aca="false">IF($A4353="","",IF(원본명단!$H4352="",0,COUNTIF(원본명단!$H$3:$H$6002,원본명단!$H4352)))</f>
        <v/>
      </c>
      <c r="F4353" s="11" t="str">
        <f aca="false">IF($A4353="","",IF(원본명단!$I4352="",0,COUNTIF(원본명단!$I$3:$I$6002,원본명단!$I4352)))</f>
        <v/>
      </c>
      <c r="G4353" s="11" t="str">
        <f aca="false">IF($A4353="","",IF(원본명단!$K4352="",0,COUNTIF(원본명단!$K$3:$K$6002,원본명단!$K4352)))</f>
        <v/>
      </c>
      <c r="H4353" s="11" t="str">
        <f aca="false">IF($A4353="","",IF(MAX($E4353,$F4353,$G4353)&gt;1,"중복","-"))</f>
        <v/>
      </c>
      <c r="I4353" s="11" t="str">
        <f aca="false">IF($A4353="","",IF($H4353="-","-",IF(AND(IF(원본명단!$H4352="",TRUE(),COUNTIF(원본명단!$H$3:$H4352,원본명단!$H4352)=1),IF(원본명단!$I4352="",TRUE(),COUNTIF(원본명단!$I$3:$I4352,원본명단!$I4352)=1),IF(원본명단!$K4352="",TRUE(),COUNTIF(원본명단!$K$3:$K4352,원본명단!$K4352)=1)),"첫 건","중복 건")))</f>
        <v/>
      </c>
      <c r="J4353" s="11" t="str">
        <f aca="false">IF($A4353="","",IF($H4353="-","유지",IF($I4353="첫 건","유지","확인 필요")))</f>
        <v/>
      </c>
    </row>
    <row r="4354" customFormat="false" ht="15" hidden="false" customHeight="true" outlineLevel="0" collapsed="false">
      <c r="A4354" s="11" t="str">
        <f aca="false">IF(원본명단!$A4353="","",4351)</f>
        <v/>
      </c>
      <c r="B4354" s="12" t="str">
        <f aca="false">IF($A4354="","",원본명단!$A4353)</f>
        <v/>
      </c>
      <c r="C4354" s="12" t="str">
        <f aca="false">IF($A4354="","",원본명단!$B4353)</f>
        <v/>
      </c>
      <c r="D4354" s="12" t="str">
        <f aca="false">IF($A4354="","",원본명단!$D4353)</f>
        <v/>
      </c>
      <c r="E4354" s="11" t="str">
        <f aca="false">IF($A4354="","",IF(원본명단!$H4353="",0,COUNTIF(원본명단!$H$3:$H$6002,원본명단!$H4353)))</f>
        <v/>
      </c>
      <c r="F4354" s="11" t="str">
        <f aca="false">IF($A4354="","",IF(원본명단!$I4353="",0,COUNTIF(원본명단!$I$3:$I$6002,원본명단!$I4353)))</f>
        <v/>
      </c>
      <c r="G4354" s="11" t="str">
        <f aca="false">IF($A4354="","",IF(원본명단!$K4353="",0,COUNTIF(원본명단!$K$3:$K$6002,원본명단!$K4353)))</f>
        <v/>
      </c>
      <c r="H4354" s="11" t="str">
        <f aca="false">IF($A4354="","",IF(MAX($E4354,$F4354,$G4354)&gt;1,"중복","-"))</f>
        <v/>
      </c>
      <c r="I4354" s="11" t="str">
        <f aca="false">IF($A4354="","",IF($H4354="-","-",IF(AND(IF(원본명단!$H4353="",TRUE(),COUNTIF(원본명단!$H$3:$H4353,원본명단!$H4353)=1),IF(원본명단!$I4353="",TRUE(),COUNTIF(원본명단!$I$3:$I4353,원본명단!$I4353)=1),IF(원본명단!$K4353="",TRUE(),COUNTIF(원본명단!$K$3:$K4353,원본명단!$K4353)=1)),"첫 건","중복 건")))</f>
        <v/>
      </c>
      <c r="J4354" s="11" t="str">
        <f aca="false">IF($A4354="","",IF($H4354="-","유지",IF($I4354="첫 건","유지","확인 필요")))</f>
        <v/>
      </c>
    </row>
    <row r="4355" customFormat="false" ht="15" hidden="false" customHeight="true" outlineLevel="0" collapsed="false">
      <c r="A4355" s="11" t="str">
        <f aca="false">IF(원본명단!$A4354="","",4352)</f>
        <v/>
      </c>
      <c r="B4355" s="12" t="str">
        <f aca="false">IF($A4355="","",원본명단!$A4354)</f>
        <v/>
      </c>
      <c r="C4355" s="12" t="str">
        <f aca="false">IF($A4355="","",원본명단!$B4354)</f>
        <v/>
      </c>
      <c r="D4355" s="12" t="str">
        <f aca="false">IF($A4355="","",원본명단!$D4354)</f>
        <v/>
      </c>
      <c r="E4355" s="11" t="str">
        <f aca="false">IF($A4355="","",IF(원본명단!$H4354="",0,COUNTIF(원본명단!$H$3:$H$6002,원본명단!$H4354)))</f>
        <v/>
      </c>
      <c r="F4355" s="11" t="str">
        <f aca="false">IF($A4355="","",IF(원본명단!$I4354="",0,COUNTIF(원본명단!$I$3:$I$6002,원본명단!$I4354)))</f>
        <v/>
      </c>
      <c r="G4355" s="11" t="str">
        <f aca="false">IF($A4355="","",IF(원본명단!$K4354="",0,COUNTIF(원본명단!$K$3:$K$6002,원본명단!$K4354)))</f>
        <v/>
      </c>
      <c r="H4355" s="11" t="str">
        <f aca="false">IF($A4355="","",IF(MAX($E4355,$F4355,$G4355)&gt;1,"중복","-"))</f>
        <v/>
      </c>
      <c r="I4355" s="11" t="str">
        <f aca="false">IF($A4355="","",IF($H4355="-","-",IF(AND(IF(원본명단!$H4354="",TRUE(),COUNTIF(원본명단!$H$3:$H4354,원본명단!$H4354)=1),IF(원본명단!$I4354="",TRUE(),COUNTIF(원본명단!$I$3:$I4354,원본명단!$I4354)=1),IF(원본명단!$K4354="",TRUE(),COUNTIF(원본명단!$K$3:$K4354,원본명단!$K4354)=1)),"첫 건","중복 건")))</f>
        <v/>
      </c>
      <c r="J4355" s="11" t="str">
        <f aca="false">IF($A4355="","",IF($H4355="-","유지",IF($I4355="첫 건","유지","확인 필요")))</f>
        <v/>
      </c>
    </row>
    <row r="4356" customFormat="false" ht="15" hidden="false" customHeight="true" outlineLevel="0" collapsed="false">
      <c r="A4356" s="11" t="str">
        <f aca="false">IF(원본명단!$A4355="","",4353)</f>
        <v/>
      </c>
      <c r="B4356" s="12" t="str">
        <f aca="false">IF($A4356="","",원본명단!$A4355)</f>
        <v/>
      </c>
      <c r="C4356" s="12" t="str">
        <f aca="false">IF($A4356="","",원본명단!$B4355)</f>
        <v/>
      </c>
      <c r="D4356" s="12" t="str">
        <f aca="false">IF($A4356="","",원본명단!$D4355)</f>
        <v/>
      </c>
      <c r="E4356" s="11" t="str">
        <f aca="false">IF($A4356="","",IF(원본명단!$H4355="",0,COUNTIF(원본명단!$H$3:$H$6002,원본명단!$H4355)))</f>
        <v/>
      </c>
      <c r="F4356" s="11" t="str">
        <f aca="false">IF($A4356="","",IF(원본명단!$I4355="",0,COUNTIF(원본명단!$I$3:$I$6002,원본명단!$I4355)))</f>
        <v/>
      </c>
      <c r="G4356" s="11" t="str">
        <f aca="false">IF($A4356="","",IF(원본명단!$K4355="",0,COUNTIF(원본명단!$K$3:$K$6002,원본명단!$K4355)))</f>
        <v/>
      </c>
      <c r="H4356" s="11" t="str">
        <f aca="false">IF($A4356="","",IF(MAX($E4356,$F4356,$G4356)&gt;1,"중복","-"))</f>
        <v/>
      </c>
      <c r="I4356" s="11" t="str">
        <f aca="false">IF($A4356="","",IF($H4356="-","-",IF(AND(IF(원본명단!$H4355="",TRUE(),COUNTIF(원본명단!$H$3:$H4355,원본명단!$H4355)=1),IF(원본명단!$I4355="",TRUE(),COUNTIF(원본명단!$I$3:$I4355,원본명단!$I4355)=1),IF(원본명단!$K4355="",TRUE(),COUNTIF(원본명단!$K$3:$K4355,원본명단!$K4355)=1)),"첫 건","중복 건")))</f>
        <v/>
      </c>
      <c r="J4356" s="11" t="str">
        <f aca="false">IF($A4356="","",IF($H4356="-","유지",IF($I4356="첫 건","유지","확인 필요")))</f>
        <v/>
      </c>
    </row>
    <row r="4357" customFormat="false" ht="15" hidden="false" customHeight="true" outlineLevel="0" collapsed="false">
      <c r="A4357" s="11" t="str">
        <f aca="false">IF(원본명단!$A4356="","",4354)</f>
        <v/>
      </c>
      <c r="B4357" s="12" t="str">
        <f aca="false">IF($A4357="","",원본명단!$A4356)</f>
        <v/>
      </c>
      <c r="C4357" s="12" t="str">
        <f aca="false">IF($A4357="","",원본명단!$B4356)</f>
        <v/>
      </c>
      <c r="D4357" s="12" t="str">
        <f aca="false">IF($A4357="","",원본명단!$D4356)</f>
        <v/>
      </c>
      <c r="E4357" s="11" t="str">
        <f aca="false">IF($A4357="","",IF(원본명단!$H4356="",0,COUNTIF(원본명단!$H$3:$H$6002,원본명단!$H4356)))</f>
        <v/>
      </c>
      <c r="F4357" s="11" t="str">
        <f aca="false">IF($A4357="","",IF(원본명단!$I4356="",0,COUNTIF(원본명단!$I$3:$I$6002,원본명단!$I4356)))</f>
        <v/>
      </c>
      <c r="G4357" s="11" t="str">
        <f aca="false">IF($A4357="","",IF(원본명단!$K4356="",0,COUNTIF(원본명단!$K$3:$K$6002,원본명단!$K4356)))</f>
        <v/>
      </c>
      <c r="H4357" s="11" t="str">
        <f aca="false">IF($A4357="","",IF(MAX($E4357,$F4357,$G4357)&gt;1,"중복","-"))</f>
        <v/>
      </c>
      <c r="I4357" s="11" t="str">
        <f aca="false">IF($A4357="","",IF($H4357="-","-",IF(AND(IF(원본명단!$H4356="",TRUE(),COUNTIF(원본명단!$H$3:$H4356,원본명단!$H4356)=1),IF(원본명단!$I4356="",TRUE(),COUNTIF(원본명단!$I$3:$I4356,원본명단!$I4356)=1),IF(원본명단!$K4356="",TRUE(),COUNTIF(원본명단!$K$3:$K4356,원본명단!$K4356)=1)),"첫 건","중복 건")))</f>
        <v/>
      </c>
      <c r="J4357" s="11" t="str">
        <f aca="false">IF($A4357="","",IF($H4357="-","유지",IF($I4357="첫 건","유지","확인 필요")))</f>
        <v/>
      </c>
    </row>
    <row r="4358" customFormat="false" ht="15" hidden="false" customHeight="true" outlineLevel="0" collapsed="false">
      <c r="A4358" s="11" t="str">
        <f aca="false">IF(원본명단!$A4357="","",4355)</f>
        <v/>
      </c>
      <c r="B4358" s="12" t="str">
        <f aca="false">IF($A4358="","",원본명단!$A4357)</f>
        <v/>
      </c>
      <c r="C4358" s="12" t="str">
        <f aca="false">IF($A4358="","",원본명단!$B4357)</f>
        <v/>
      </c>
      <c r="D4358" s="12" t="str">
        <f aca="false">IF($A4358="","",원본명단!$D4357)</f>
        <v/>
      </c>
      <c r="E4358" s="11" t="str">
        <f aca="false">IF($A4358="","",IF(원본명단!$H4357="",0,COUNTIF(원본명단!$H$3:$H$6002,원본명단!$H4357)))</f>
        <v/>
      </c>
      <c r="F4358" s="11" t="str">
        <f aca="false">IF($A4358="","",IF(원본명단!$I4357="",0,COUNTIF(원본명단!$I$3:$I$6002,원본명단!$I4357)))</f>
        <v/>
      </c>
      <c r="G4358" s="11" t="str">
        <f aca="false">IF($A4358="","",IF(원본명단!$K4357="",0,COUNTIF(원본명단!$K$3:$K$6002,원본명단!$K4357)))</f>
        <v/>
      </c>
      <c r="H4358" s="11" t="str">
        <f aca="false">IF($A4358="","",IF(MAX($E4358,$F4358,$G4358)&gt;1,"중복","-"))</f>
        <v/>
      </c>
      <c r="I4358" s="11" t="str">
        <f aca="false">IF($A4358="","",IF($H4358="-","-",IF(AND(IF(원본명단!$H4357="",TRUE(),COUNTIF(원본명단!$H$3:$H4357,원본명단!$H4357)=1),IF(원본명단!$I4357="",TRUE(),COUNTIF(원본명단!$I$3:$I4357,원본명단!$I4357)=1),IF(원본명단!$K4357="",TRUE(),COUNTIF(원본명단!$K$3:$K4357,원본명단!$K4357)=1)),"첫 건","중복 건")))</f>
        <v/>
      </c>
      <c r="J4358" s="11" t="str">
        <f aca="false">IF($A4358="","",IF($H4358="-","유지",IF($I4358="첫 건","유지","확인 필요")))</f>
        <v/>
      </c>
    </row>
    <row r="4359" customFormat="false" ht="15" hidden="false" customHeight="true" outlineLevel="0" collapsed="false">
      <c r="A4359" s="11" t="str">
        <f aca="false">IF(원본명단!$A4358="","",4356)</f>
        <v/>
      </c>
      <c r="B4359" s="12" t="str">
        <f aca="false">IF($A4359="","",원본명단!$A4358)</f>
        <v/>
      </c>
      <c r="C4359" s="12" t="str">
        <f aca="false">IF($A4359="","",원본명단!$B4358)</f>
        <v/>
      </c>
      <c r="D4359" s="12" t="str">
        <f aca="false">IF($A4359="","",원본명단!$D4358)</f>
        <v/>
      </c>
      <c r="E4359" s="11" t="str">
        <f aca="false">IF($A4359="","",IF(원본명단!$H4358="",0,COUNTIF(원본명단!$H$3:$H$6002,원본명단!$H4358)))</f>
        <v/>
      </c>
      <c r="F4359" s="11" t="str">
        <f aca="false">IF($A4359="","",IF(원본명단!$I4358="",0,COUNTIF(원본명단!$I$3:$I$6002,원본명단!$I4358)))</f>
        <v/>
      </c>
      <c r="G4359" s="11" t="str">
        <f aca="false">IF($A4359="","",IF(원본명단!$K4358="",0,COUNTIF(원본명단!$K$3:$K$6002,원본명단!$K4358)))</f>
        <v/>
      </c>
      <c r="H4359" s="11" t="str">
        <f aca="false">IF($A4359="","",IF(MAX($E4359,$F4359,$G4359)&gt;1,"중복","-"))</f>
        <v/>
      </c>
      <c r="I4359" s="11" t="str">
        <f aca="false">IF($A4359="","",IF($H4359="-","-",IF(AND(IF(원본명단!$H4358="",TRUE(),COUNTIF(원본명단!$H$3:$H4358,원본명단!$H4358)=1),IF(원본명단!$I4358="",TRUE(),COUNTIF(원본명단!$I$3:$I4358,원본명단!$I4358)=1),IF(원본명단!$K4358="",TRUE(),COUNTIF(원본명단!$K$3:$K4358,원본명단!$K4358)=1)),"첫 건","중복 건")))</f>
        <v/>
      </c>
      <c r="J4359" s="11" t="str">
        <f aca="false">IF($A4359="","",IF($H4359="-","유지",IF($I4359="첫 건","유지","확인 필요")))</f>
        <v/>
      </c>
    </row>
    <row r="4360" customFormat="false" ht="15" hidden="false" customHeight="true" outlineLevel="0" collapsed="false">
      <c r="A4360" s="11" t="str">
        <f aca="false">IF(원본명단!$A4359="","",4357)</f>
        <v/>
      </c>
      <c r="B4360" s="12" t="str">
        <f aca="false">IF($A4360="","",원본명단!$A4359)</f>
        <v/>
      </c>
      <c r="C4360" s="12" t="str">
        <f aca="false">IF($A4360="","",원본명단!$B4359)</f>
        <v/>
      </c>
      <c r="D4360" s="12" t="str">
        <f aca="false">IF($A4360="","",원본명단!$D4359)</f>
        <v/>
      </c>
      <c r="E4360" s="11" t="str">
        <f aca="false">IF($A4360="","",IF(원본명단!$H4359="",0,COUNTIF(원본명단!$H$3:$H$6002,원본명단!$H4359)))</f>
        <v/>
      </c>
      <c r="F4360" s="11" t="str">
        <f aca="false">IF($A4360="","",IF(원본명단!$I4359="",0,COUNTIF(원본명단!$I$3:$I$6002,원본명단!$I4359)))</f>
        <v/>
      </c>
      <c r="G4360" s="11" t="str">
        <f aca="false">IF($A4360="","",IF(원본명단!$K4359="",0,COUNTIF(원본명단!$K$3:$K$6002,원본명단!$K4359)))</f>
        <v/>
      </c>
      <c r="H4360" s="11" t="str">
        <f aca="false">IF($A4360="","",IF(MAX($E4360,$F4360,$G4360)&gt;1,"중복","-"))</f>
        <v/>
      </c>
      <c r="I4360" s="11" t="str">
        <f aca="false">IF($A4360="","",IF($H4360="-","-",IF(AND(IF(원본명단!$H4359="",TRUE(),COUNTIF(원본명단!$H$3:$H4359,원본명단!$H4359)=1),IF(원본명단!$I4359="",TRUE(),COUNTIF(원본명단!$I$3:$I4359,원본명단!$I4359)=1),IF(원본명단!$K4359="",TRUE(),COUNTIF(원본명단!$K$3:$K4359,원본명단!$K4359)=1)),"첫 건","중복 건")))</f>
        <v/>
      </c>
      <c r="J4360" s="11" t="str">
        <f aca="false">IF($A4360="","",IF($H4360="-","유지",IF($I4360="첫 건","유지","확인 필요")))</f>
        <v/>
      </c>
    </row>
    <row r="4361" customFormat="false" ht="15" hidden="false" customHeight="true" outlineLevel="0" collapsed="false">
      <c r="A4361" s="11" t="str">
        <f aca="false">IF(원본명단!$A4360="","",4358)</f>
        <v/>
      </c>
      <c r="B4361" s="12" t="str">
        <f aca="false">IF($A4361="","",원본명단!$A4360)</f>
        <v/>
      </c>
      <c r="C4361" s="12" t="str">
        <f aca="false">IF($A4361="","",원본명단!$B4360)</f>
        <v/>
      </c>
      <c r="D4361" s="12" t="str">
        <f aca="false">IF($A4361="","",원본명단!$D4360)</f>
        <v/>
      </c>
      <c r="E4361" s="11" t="str">
        <f aca="false">IF($A4361="","",IF(원본명단!$H4360="",0,COUNTIF(원본명단!$H$3:$H$6002,원본명단!$H4360)))</f>
        <v/>
      </c>
      <c r="F4361" s="11" t="str">
        <f aca="false">IF($A4361="","",IF(원본명단!$I4360="",0,COUNTIF(원본명단!$I$3:$I$6002,원본명단!$I4360)))</f>
        <v/>
      </c>
      <c r="G4361" s="11" t="str">
        <f aca="false">IF($A4361="","",IF(원본명단!$K4360="",0,COUNTIF(원본명단!$K$3:$K$6002,원본명단!$K4360)))</f>
        <v/>
      </c>
      <c r="H4361" s="11" t="str">
        <f aca="false">IF($A4361="","",IF(MAX($E4361,$F4361,$G4361)&gt;1,"중복","-"))</f>
        <v/>
      </c>
      <c r="I4361" s="11" t="str">
        <f aca="false">IF($A4361="","",IF($H4361="-","-",IF(AND(IF(원본명단!$H4360="",TRUE(),COUNTIF(원본명단!$H$3:$H4360,원본명단!$H4360)=1),IF(원본명단!$I4360="",TRUE(),COUNTIF(원본명단!$I$3:$I4360,원본명단!$I4360)=1),IF(원본명단!$K4360="",TRUE(),COUNTIF(원본명단!$K$3:$K4360,원본명단!$K4360)=1)),"첫 건","중복 건")))</f>
        <v/>
      </c>
      <c r="J4361" s="11" t="str">
        <f aca="false">IF($A4361="","",IF($H4361="-","유지",IF($I4361="첫 건","유지","확인 필요")))</f>
        <v/>
      </c>
    </row>
    <row r="4362" customFormat="false" ht="15" hidden="false" customHeight="true" outlineLevel="0" collapsed="false">
      <c r="A4362" s="11" t="str">
        <f aca="false">IF(원본명단!$A4361="","",4359)</f>
        <v/>
      </c>
      <c r="B4362" s="12" t="str">
        <f aca="false">IF($A4362="","",원본명단!$A4361)</f>
        <v/>
      </c>
      <c r="C4362" s="12" t="str">
        <f aca="false">IF($A4362="","",원본명단!$B4361)</f>
        <v/>
      </c>
      <c r="D4362" s="12" t="str">
        <f aca="false">IF($A4362="","",원본명단!$D4361)</f>
        <v/>
      </c>
      <c r="E4362" s="11" t="str">
        <f aca="false">IF($A4362="","",IF(원본명단!$H4361="",0,COUNTIF(원본명단!$H$3:$H$6002,원본명단!$H4361)))</f>
        <v/>
      </c>
      <c r="F4362" s="11" t="str">
        <f aca="false">IF($A4362="","",IF(원본명단!$I4361="",0,COUNTIF(원본명단!$I$3:$I$6002,원본명단!$I4361)))</f>
        <v/>
      </c>
      <c r="G4362" s="11" t="str">
        <f aca="false">IF($A4362="","",IF(원본명단!$K4361="",0,COUNTIF(원본명단!$K$3:$K$6002,원본명단!$K4361)))</f>
        <v/>
      </c>
      <c r="H4362" s="11" t="str">
        <f aca="false">IF($A4362="","",IF(MAX($E4362,$F4362,$G4362)&gt;1,"중복","-"))</f>
        <v/>
      </c>
      <c r="I4362" s="11" t="str">
        <f aca="false">IF($A4362="","",IF($H4362="-","-",IF(AND(IF(원본명단!$H4361="",TRUE(),COUNTIF(원본명단!$H$3:$H4361,원본명단!$H4361)=1),IF(원본명단!$I4361="",TRUE(),COUNTIF(원본명단!$I$3:$I4361,원본명단!$I4361)=1),IF(원본명단!$K4361="",TRUE(),COUNTIF(원본명단!$K$3:$K4361,원본명단!$K4361)=1)),"첫 건","중복 건")))</f>
        <v/>
      </c>
      <c r="J4362" s="11" t="str">
        <f aca="false">IF($A4362="","",IF($H4362="-","유지",IF($I4362="첫 건","유지","확인 필요")))</f>
        <v/>
      </c>
    </row>
    <row r="4363" customFormat="false" ht="15" hidden="false" customHeight="true" outlineLevel="0" collapsed="false">
      <c r="A4363" s="11" t="str">
        <f aca="false">IF(원본명단!$A4362="","",4360)</f>
        <v/>
      </c>
      <c r="B4363" s="12" t="str">
        <f aca="false">IF($A4363="","",원본명단!$A4362)</f>
        <v/>
      </c>
      <c r="C4363" s="12" t="str">
        <f aca="false">IF($A4363="","",원본명단!$B4362)</f>
        <v/>
      </c>
      <c r="D4363" s="12" t="str">
        <f aca="false">IF($A4363="","",원본명단!$D4362)</f>
        <v/>
      </c>
      <c r="E4363" s="11" t="str">
        <f aca="false">IF($A4363="","",IF(원본명단!$H4362="",0,COUNTIF(원본명단!$H$3:$H$6002,원본명단!$H4362)))</f>
        <v/>
      </c>
      <c r="F4363" s="11" t="str">
        <f aca="false">IF($A4363="","",IF(원본명단!$I4362="",0,COUNTIF(원본명단!$I$3:$I$6002,원본명단!$I4362)))</f>
        <v/>
      </c>
      <c r="G4363" s="11" t="str">
        <f aca="false">IF($A4363="","",IF(원본명단!$K4362="",0,COUNTIF(원본명단!$K$3:$K$6002,원본명단!$K4362)))</f>
        <v/>
      </c>
      <c r="H4363" s="11" t="str">
        <f aca="false">IF($A4363="","",IF(MAX($E4363,$F4363,$G4363)&gt;1,"중복","-"))</f>
        <v/>
      </c>
      <c r="I4363" s="11" t="str">
        <f aca="false">IF($A4363="","",IF($H4363="-","-",IF(AND(IF(원본명단!$H4362="",TRUE(),COUNTIF(원본명단!$H$3:$H4362,원본명단!$H4362)=1),IF(원본명단!$I4362="",TRUE(),COUNTIF(원본명단!$I$3:$I4362,원본명단!$I4362)=1),IF(원본명단!$K4362="",TRUE(),COUNTIF(원본명단!$K$3:$K4362,원본명단!$K4362)=1)),"첫 건","중복 건")))</f>
        <v/>
      </c>
      <c r="J4363" s="11" t="str">
        <f aca="false">IF($A4363="","",IF($H4363="-","유지",IF($I4363="첫 건","유지","확인 필요")))</f>
        <v/>
      </c>
    </row>
    <row r="4364" customFormat="false" ht="15" hidden="false" customHeight="true" outlineLevel="0" collapsed="false">
      <c r="A4364" s="11" t="str">
        <f aca="false">IF(원본명단!$A4363="","",4361)</f>
        <v/>
      </c>
      <c r="B4364" s="12" t="str">
        <f aca="false">IF($A4364="","",원본명단!$A4363)</f>
        <v/>
      </c>
      <c r="C4364" s="12" t="str">
        <f aca="false">IF($A4364="","",원본명단!$B4363)</f>
        <v/>
      </c>
      <c r="D4364" s="12" t="str">
        <f aca="false">IF($A4364="","",원본명단!$D4363)</f>
        <v/>
      </c>
      <c r="E4364" s="11" t="str">
        <f aca="false">IF($A4364="","",IF(원본명단!$H4363="",0,COUNTIF(원본명단!$H$3:$H$6002,원본명단!$H4363)))</f>
        <v/>
      </c>
      <c r="F4364" s="11" t="str">
        <f aca="false">IF($A4364="","",IF(원본명단!$I4363="",0,COUNTIF(원본명단!$I$3:$I$6002,원본명단!$I4363)))</f>
        <v/>
      </c>
      <c r="G4364" s="11" t="str">
        <f aca="false">IF($A4364="","",IF(원본명단!$K4363="",0,COUNTIF(원본명단!$K$3:$K$6002,원본명단!$K4363)))</f>
        <v/>
      </c>
      <c r="H4364" s="11" t="str">
        <f aca="false">IF($A4364="","",IF(MAX($E4364,$F4364,$G4364)&gt;1,"중복","-"))</f>
        <v/>
      </c>
      <c r="I4364" s="11" t="str">
        <f aca="false">IF($A4364="","",IF($H4364="-","-",IF(AND(IF(원본명단!$H4363="",TRUE(),COUNTIF(원본명단!$H$3:$H4363,원본명단!$H4363)=1),IF(원본명단!$I4363="",TRUE(),COUNTIF(원본명단!$I$3:$I4363,원본명단!$I4363)=1),IF(원본명단!$K4363="",TRUE(),COUNTIF(원본명단!$K$3:$K4363,원본명단!$K4363)=1)),"첫 건","중복 건")))</f>
        <v/>
      </c>
      <c r="J4364" s="11" t="str">
        <f aca="false">IF($A4364="","",IF($H4364="-","유지",IF($I4364="첫 건","유지","확인 필요")))</f>
        <v/>
      </c>
    </row>
    <row r="4365" customFormat="false" ht="15" hidden="false" customHeight="true" outlineLevel="0" collapsed="false">
      <c r="A4365" s="11" t="str">
        <f aca="false">IF(원본명단!$A4364="","",4362)</f>
        <v/>
      </c>
      <c r="B4365" s="12" t="str">
        <f aca="false">IF($A4365="","",원본명단!$A4364)</f>
        <v/>
      </c>
      <c r="C4365" s="12" t="str">
        <f aca="false">IF($A4365="","",원본명단!$B4364)</f>
        <v/>
      </c>
      <c r="D4365" s="12" t="str">
        <f aca="false">IF($A4365="","",원본명단!$D4364)</f>
        <v/>
      </c>
      <c r="E4365" s="11" t="str">
        <f aca="false">IF($A4365="","",IF(원본명단!$H4364="",0,COUNTIF(원본명단!$H$3:$H$6002,원본명단!$H4364)))</f>
        <v/>
      </c>
      <c r="F4365" s="11" t="str">
        <f aca="false">IF($A4365="","",IF(원본명단!$I4364="",0,COUNTIF(원본명단!$I$3:$I$6002,원본명단!$I4364)))</f>
        <v/>
      </c>
      <c r="G4365" s="11" t="str">
        <f aca="false">IF($A4365="","",IF(원본명단!$K4364="",0,COUNTIF(원본명단!$K$3:$K$6002,원본명단!$K4364)))</f>
        <v/>
      </c>
      <c r="H4365" s="11" t="str">
        <f aca="false">IF($A4365="","",IF(MAX($E4365,$F4365,$G4365)&gt;1,"중복","-"))</f>
        <v/>
      </c>
      <c r="I4365" s="11" t="str">
        <f aca="false">IF($A4365="","",IF($H4365="-","-",IF(AND(IF(원본명단!$H4364="",TRUE(),COUNTIF(원본명단!$H$3:$H4364,원본명단!$H4364)=1),IF(원본명단!$I4364="",TRUE(),COUNTIF(원본명단!$I$3:$I4364,원본명단!$I4364)=1),IF(원본명단!$K4364="",TRUE(),COUNTIF(원본명단!$K$3:$K4364,원본명단!$K4364)=1)),"첫 건","중복 건")))</f>
        <v/>
      </c>
      <c r="J4365" s="11" t="str">
        <f aca="false">IF($A4365="","",IF($H4365="-","유지",IF($I4365="첫 건","유지","확인 필요")))</f>
        <v/>
      </c>
    </row>
    <row r="4366" customFormat="false" ht="15" hidden="false" customHeight="true" outlineLevel="0" collapsed="false">
      <c r="A4366" s="11" t="str">
        <f aca="false">IF(원본명단!$A4365="","",4363)</f>
        <v/>
      </c>
      <c r="B4366" s="12" t="str">
        <f aca="false">IF($A4366="","",원본명단!$A4365)</f>
        <v/>
      </c>
      <c r="C4366" s="12" t="str">
        <f aca="false">IF($A4366="","",원본명단!$B4365)</f>
        <v/>
      </c>
      <c r="D4366" s="12" t="str">
        <f aca="false">IF($A4366="","",원본명단!$D4365)</f>
        <v/>
      </c>
      <c r="E4366" s="11" t="str">
        <f aca="false">IF($A4366="","",IF(원본명단!$H4365="",0,COUNTIF(원본명단!$H$3:$H$6002,원본명단!$H4365)))</f>
        <v/>
      </c>
      <c r="F4366" s="11" t="str">
        <f aca="false">IF($A4366="","",IF(원본명단!$I4365="",0,COUNTIF(원본명단!$I$3:$I$6002,원본명단!$I4365)))</f>
        <v/>
      </c>
      <c r="G4366" s="11" t="str">
        <f aca="false">IF($A4366="","",IF(원본명단!$K4365="",0,COUNTIF(원본명단!$K$3:$K$6002,원본명단!$K4365)))</f>
        <v/>
      </c>
      <c r="H4366" s="11" t="str">
        <f aca="false">IF($A4366="","",IF(MAX($E4366,$F4366,$G4366)&gt;1,"중복","-"))</f>
        <v/>
      </c>
      <c r="I4366" s="11" t="str">
        <f aca="false">IF($A4366="","",IF($H4366="-","-",IF(AND(IF(원본명단!$H4365="",TRUE(),COUNTIF(원본명단!$H$3:$H4365,원본명단!$H4365)=1),IF(원본명단!$I4365="",TRUE(),COUNTIF(원본명단!$I$3:$I4365,원본명단!$I4365)=1),IF(원본명단!$K4365="",TRUE(),COUNTIF(원본명단!$K$3:$K4365,원본명단!$K4365)=1)),"첫 건","중복 건")))</f>
        <v/>
      </c>
      <c r="J4366" s="11" t="str">
        <f aca="false">IF($A4366="","",IF($H4366="-","유지",IF($I4366="첫 건","유지","확인 필요")))</f>
        <v/>
      </c>
    </row>
    <row r="4367" customFormat="false" ht="15" hidden="false" customHeight="true" outlineLevel="0" collapsed="false">
      <c r="A4367" s="11" t="str">
        <f aca="false">IF(원본명단!$A4366="","",4364)</f>
        <v/>
      </c>
      <c r="B4367" s="12" t="str">
        <f aca="false">IF($A4367="","",원본명단!$A4366)</f>
        <v/>
      </c>
      <c r="C4367" s="12" t="str">
        <f aca="false">IF($A4367="","",원본명단!$B4366)</f>
        <v/>
      </c>
      <c r="D4367" s="12" t="str">
        <f aca="false">IF($A4367="","",원본명단!$D4366)</f>
        <v/>
      </c>
      <c r="E4367" s="11" t="str">
        <f aca="false">IF($A4367="","",IF(원본명단!$H4366="",0,COUNTIF(원본명단!$H$3:$H$6002,원본명단!$H4366)))</f>
        <v/>
      </c>
      <c r="F4367" s="11" t="str">
        <f aca="false">IF($A4367="","",IF(원본명단!$I4366="",0,COUNTIF(원본명단!$I$3:$I$6002,원본명단!$I4366)))</f>
        <v/>
      </c>
      <c r="G4367" s="11" t="str">
        <f aca="false">IF($A4367="","",IF(원본명단!$K4366="",0,COUNTIF(원본명단!$K$3:$K$6002,원본명단!$K4366)))</f>
        <v/>
      </c>
      <c r="H4367" s="11" t="str">
        <f aca="false">IF($A4367="","",IF(MAX($E4367,$F4367,$G4367)&gt;1,"중복","-"))</f>
        <v/>
      </c>
      <c r="I4367" s="11" t="str">
        <f aca="false">IF($A4367="","",IF($H4367="-","-",IF(AND(IF(원본명단!$H4366="",TRUE(),COUNTIF(원본명단!$H$3:$H4366,원본명단!$H4366)=1),IF(원본명단!$I4366="",TRUE(),COUNTIF(원본명단!$I$3:$I4366,원본명단!$I4366)=1),IF(원본명단!$K4366="",TRUE(),COUNTIF(원본명단!$K$3:$K4366,원본명단!$K4366)=1)),"첫 건","중복 건")))</f>
        <v/>
      </c>
      <c r="J4367" s="11" t="str">
        <f aca="false">IF($A4367="","",IF($H4367="-","유지",IF($I4367="첫 건","유지","확인 필요")))</f>
        <v/>
      </c>
    </row>
    <row r="4368" customFormat="false" ht="15" hidden="false" customHeight="true" outlineLevel="0" collapsed="false">
      <c r="A4368" s="11" t="str">
        <f aca="false">IF(원본명단!$A4367="","",4365)</f>
        <v/>
      </c>
      <c r="B4368" s="12" t="str">
        <f aca="false">IF($A4368="","",원본명단!$A4367)</f>
        <v/>
      </c>
      <c r="C4368" s="12" t="str">
        <f aca="false">IF($A4368="","",원본명단!$B4367)</f>
        <v/>
      </c>
      <c r="D4368" s="12" t="str">
        <f aca="false">IF($A4368="","",원본명단!$D4367)</f>
        <v/>
      </c>
      <c r="E4368" s="11" t="str">
        <f aca="false">IF($A4368="","",IF(원본명단!$H4367="",0,COUNTIF(원본명단!$H$3:$H$6002,원본명단!$H4367)))</f>
        <v/>
      </c>
      <c r="F4368" s="11" t="str">
        <f aca="false">IF($A4368="","",IF(원본명단!$I4367="",0,COUNTIF(원본명단!$I$3:$I$6002,원본명단!$I4367)))</f>
        <v/>
      </c>
      <c r="G4368" s="11" t="str">
        <f aca="false">IF($A4368="","",IF(원본명단!$K4367="",0,COUNTIF(원본명단!$K$3:$K$6002,원본명단!$K4367)))</f>
        <v/>
      </c>
      <c r="H4368" s="11" t="str">
        <f aca="false">IF($A4368="","",IF(MAX($E4368,$F4368,$G4368)&gt;1,"중복","-"))</f>
        <v/>
      </c>
      <c r="I4368" s="11" t="str">
        <f aca="false">IF($A4368="","",IF($H4368="-","-",IF(AND(IF(원본명단!$H4367="",TRUE(),COUNTIF(원본명단!$H$3:$H4367,원본명단!$H4367)=1),IF(원본명단!$I4367="",TRUE(),COUNTIF(원본명단!$I$3:$I4367,원본명단!$I4367)=1),IF(원본명단!$K4367="",TRUE(),COUNTIF(원본명단!$K$3:$K4367,원본명단!$K4367)=1)),"첫 건","중복 건")))</f>
        <v/>
      </c>
      <c r="J4368" s="11" t="str">
        <f aca="false">IF($A4368="","",IF($H4368="-","유지",IF($I4368="첫 건","유지","확인 필요")))</f>
        <v/>
      </c>
    </row>
    <row r="4369" customFormat="false" ht="15" hidden="false" customHeight="true" outlineLevel="0" collapsed="false">
      <c r="A4369" s="11" t="str">
        <f aca="false">IF(원본명단!$A4368="","",4366)</f>
        <v/>
      </c>
      <c r="B4369" s="12" t="str">
        <f aca="false">IF($A4369="","",원본명단!$A4368)</f>
        <v/>
      </c>
      <c r="C4369" s="12" t="str">
        <f aca="false">IF($A4369="","",원본명단!$B4368)</f>
        <v/>
      </c>
      <c r="D4369" s="12" t="str">
        <f aca="false">IF($A4369="","",원본명단!$D4368)</f>
        <v/>
      </c>
      <c r="E4369" s="11" t="str">
        <f aca="false">IF($A4369="","",IF(원본명단!$H4368="",0,COUNTIF(원본명단!$H$3:$H$6002,원본명단!$H4368)))</f>
        <v/>
      </c>
      <c r="F4369" s="11" t="str">
        <f aca="false">IF($A4369="","",IF(원본명단!$I4368="",0,COUNTIF(원본명단!$I$3:$I$6002,원본명단!$I4368)))</f>
        <v/>
      </c>
      <c r="G4369" s="11" t="str">
        <f aca="false">IF($A4369="","",IF(원본명단!$K4368="",0,COUNTIF(원본명단!$K$3:$K$6002,원본명단!$K4368)))</f>
        <v/>
      </c>
      <c r="H4369" s="11" t="str">
        <f aca="false">IF($A4369="","",IF(MAX($E4369,$F4369,$G4369)&gt;1,"중복","-"))</f>
        <v/>
      </c>
      <c r="I4369" s="11" t="str">
        <f aca="false">IF($A4369="","",IF($H4369="-","-",IF(AND(IF(원본명단!$H4368="",TRUE(),COUNTIF(원본명단!$H$3:$H4368,원본명단!$H4368)=1),IF(원본명단!$I4368="",TRUE(),COUNTIF(원본명단!$I$3:$I4368,원본명단!$I4368)=1),IF(원본명단!$K4368="",TRUE(),COUNTIF(원본명단!$K$3:$K4368,원본명단!$K4368)=1)),"첫 건","중복 건")))</f>
        <v/>
      </c>
      <c r="J4369" s="11" t="str">
        <f aca="false">IF($A4369="","",IF($H4369="-","유지",IF($I4369="첫 건","유지","확인 필요")))</f>
        <v/>
      </c>
    </row>
    <row r="4370" customFormat="false" ht="15" hidden="false" customHeight="true" outlineLevel="0" collapsed="false">
      <c r="A4370" s="11" t="str">
        <f aca="false">IF(원본명단!$A4369="","",4367)</f>
        <v/>
      </c>
      <c r="B4370" s="12" t="str">
        <f aca="false">IF($A4370="","",원본명단!$A4369)</f>
        <v/>
      </c>
      <c r="C4370" s="12" t="str">
        <f aca="false">IF($A4370="","",원본명단!$B4369)</f>
        <v/>
      </c>
      <c r="D4370" s="12" t="str">
        <f aca="false">IF($A4370="","",원본명단!$D4369)</f>
        <v/>
      </c>
      <c r="E4370" s="11" t="str">
        <f aca="false">IF($A4370="","",IF(원본명단!$H4369="",0,COUNTIF(원본명단!$H$3:$H$6002,원본명단!$H4369)))</f>
        <v/>
      </c>
      <c r="F4370" s="11" t="str">
        <f aca="false">IF($A4370="","",IF(원본명단!$I4369="",0,COUNTIF(원본명단!$I$3:$I$6002,원본명단!$I4369)))</f>
        <v/>
      </c>
      <c r="G4370" s="11" t="str">
        <f aca="false">IF($A4370="","",IF(원본명단!$K4369="",0,COUNTIF(원본명단!$K$3:$K$6002,원본명단!$K4369)))</f>
        <v/>
      </c>
      <c r="H4370" s="11" t="str">
        <f aca="false">IF($A4370="","",IF(MAX($E4370,$F4370,$G4370)&gt;1,"중복","-"))</f>
        <v/>
      </c>
      <c r="I4370" s="11" t="str">
        <f aca="false">IF($A4370="","",IF($H4370="-","-",IF(AND(IF(원본명단!$H4369="",TRUE(),COUNTIF(원본명단!$H$3:$H4369,원본명단!$H4369)=1),IF(원본명단!$I4369="",TRUE(),COUNTIF(원본명단!$I$3:$I4369,원본명단!$I4369)=1),IF(원본명단!$K4369="",TRUE(),COUNTIF(원본명단!$K$3:$K4369,원본명단!$K4369)=1)),"첫 건","중복 건")))</f>
        <v/>
      </c>
      <c r="J4370" s="11" t="str">
        <f aca="false">IF($A4370="","",IF($H4370="-","유지",IF($I4370="첫 건","유지","확인 필요")))</f>
        <v/>
      </c>
    </row>
    <row r="4371" customFormat="false" ht="15" hidden="false" customHeight="true" outlineLevel="0" collapsed="false">
      <c r="A4371" s="11" t="str">
        <f aca="false">IF(원본명단!$A4370="","",4368)</f>
        <v/>
      </c>
      <c r="B4371" s="12" t="str">
        <f aca="false">IF($A4371="","",원본명단!$A4370)</f>
        <v/>
      </c>
      <c r="C4371" s="12" t="str">
        <f aca="false">IF($A4371="","",원본명단!$B4370)</f>
        <v/>
      </c>
      <c r="D4371" s="12" t="str">
        <f aca="false">IF($A4371="","",원본명단!$D4370)</f>
        <v/>
      </c>
      <c r="E4371" s="11" t="str">
        <f aca="false">IF($A4371="","",IF(원본명단!$H4370="",0,COUNTIF(원본명단!$H$3:$H$6002,원본명단!$H4370)))</f>
        <v/>
      </c>
      <c r="F4371" s="11" t="str">
        <f aca="false">IF($A4371="","",IF(원본명단!$I4370="",0,COUNTIF(원본명단!$I$3:$I$6002,원본명단!$I4370)))</f>
        <v/>
      </c>
      <c r="G4371" s="11" t="str">
        <f aca="false">IF($A4371="","",IF(원본명단!$K4370="",0,COUNTIF(원본명단!$K$3:$K$6002,원본명단!$K4370)))</f>
        <v/>
      </c>
      <c r="H4371" s="11" t="str">
        <f aca="false">IF($A4371="","",IF(MAX($E4371,$F4371,$G4371)&gt;1,"중복","-"))</f>
        <v/>
      </c>
      <c r="I4371" s="11" t="str">
        <f aca="false">IF($A4371="","",IF($H4371="-","-",IF(AND(IF(원본명단!$H4370="",TRUE(),COUNTIF(원본명단!$H$3:$H4370,원본명단!$H4370)=1),IF(원본명단!$I4370="",TRUE(),COUNTIF(원본명단!$I$3:$I4370,원본명단!$I4370)=1),IF(원본명단!$K4370="",TRUE(),COUNTIF(원본명단!$K$3:$K4370,원본명단!$K4370)=1)),"첫 건","중복 건")))</f>
        <v/>
      </c>
      <c r="J4371" s="11" t="str">
        <f aca="false">IF($A4371="","",IF($H4371="-","유지",IF($I4371="첫 건","유지","확인 필요")))</f>
        <v/>
      </c>
    </row>
    <row r="4372" customFormat="false" ht="15" hidden="false" customHeight="true" outlineLevel="0" collapsed="false">
      <c r="A4372" s="11" t="str">
        <f aca="false">IF(원본명단!$A4371="","",4369)</f>
        <v/>
      </c>
      <c r="B4372" s="12" t="str">
        <f aca="false">IF($A4372="","",원본명단!$A4371)</f>
        <v/>
      </c>
      <c r="C4372" s="12" t="str">
        <f aca="false">IF($A4372="","",원본명단!$B4371)</f>
        <v/>
      </c>
      <c r="D4372" s="12" t="str">
        <f aca="false">IF($A4372="","",원본명단!$D4371)</f>
        <v/>
      </c>
      <c r="E4372" s="11" t="str">
        <f aca="false">IF($A4372="","",IF(원본명단!$H4371="",0,COUNTIF(원본명단!$H$3:$H$6002,원본명단!$H4371)))</f>
        <v/>
      </c>
      <c r="F4372" s="11" t="str">
        <f aca="false">IF($A4372="","",IF(원본명단!$I4371="",0,COUNTIF(원본명단!$I$3:$I$6002,원본명단!$I4371)))</f>
        <v/>
      </c>
      <c r="G4372" s="11" t="str">
        <f aca="false">IF($A4372="","",IF(원본명단!$K4371="",0,COUNTIF(원본명단!$K$3:$K$6002,원본명단!$K4371)))</f>
        <v/>
      </c>
      <c r="H4372" s="11" t="str">
        <f aca="false">IF($A4372="","",IF(MAX($E4372,$F4372,$G4372)&gt;1,"중복","-"))</f>
        <v/>
      </c>
      <c r="I4372" s="11" t="str">
        <f aca="false">IF($A4372="","",IF($H4372="-","-",IF(AND(IF(원본명단!$H4371="",TRUE(),COUNTIF(원본명단!$H$3:$H4371,원본명단!$H4371)=1),IF(원본명단!$I4371="",TRUE(),COUNTIF(원본명단!$I$3:$I4371,원본명단!$I4371)=1),IF(원본명단!$K4371="",TRUE(),COUNTIF(원본명단!$K$3:$K4371,원본명단!$K4371)=1)),"첫 건","중복 건")))</f>
        <v/>
      </c>
      <c r="J4372" s="11" t="str">
        <f aca="false">IF($A4372="","",IF($H4372="-","유지",IF($I4372="첫 건","유지","확인 필요")))</f>
        <v/>
      </c>
    </row>
    <row r="4373" customFormat="false" ht="15" hidden="false" customHeight="true" outlineLevel="0" collapsed="false">
      <c r="A4373" s="11" t="str">
        <f aca="false">IF(원본명단!$A4372="","",4370)</f>
        <v/>
      </c>
      <c r="B4373" s="12" t="str">
        <f aca="false">IF($A4373="","",원본명단!$A4372)</f>
        <v/>
      </c>
      <c r="C4373" s="12" t="str">
        <f aca="false">IF($A4373="","",원본명단!$B4372)</f>
        <v/>
      </c>
      <c r="D4373" s="12" t="str">
        <f aca="false">IF($A4373="","",원본명단!$D4372)</f>
        <v/>
      </c>
      <c r="E4373" s="11" t="str">
        <f aca="false">IF($A4373="","",IF(원본명단!$H4372="",0,COUNTIF(원본명단!$H$3:$H$6002,원본명단!$H4372)))</f>
        <v/>
      </c>
      <c r="F4373" s="11" t="str">
        <f aca="false">IF($A4373="","",IF(원본명단!$I4372="",0,COUNTIF(원본명단!$I$3:$I$6002,원본명단!$I4372)))</f>
        <v/>
      </c>
      <c r="G4373" s="11" t="str">
        <f aca="false">IF($A4373="","",IF(원본명단!$K4372="",0,COUNTIF(원본명단!$K$3:$K$6002,원본명단!$K4372)))</f>
        <v/>
      </c>
      <c r="H4373" s="11" t="str">
        <f aca="false">IF($A4373="","",IF(MAX($E4373,$F4373,$G4373)&gt;1,"중복","-"))</f>
        <v/>
      </c>
      <c r="I4373" s="11" t="str">
        <f aca="false">IF($A4373="","",IF($H4373="-","-",IF(AND(IF(원본명단!$H4372="",TRUE(),COUNTIF(원본명단!$H$3:$H4372,원본명단!$H4372)=1),IF(원본명단!$I4372="",TRUE(),COUNTIF(원본명단!$I$3:$I4372,원본명단!$I4372)=1),IF(원본명단!$K4372="",TRUE(),COUNTIF(원본명단!$K$3:$K4372,원본명단!$K4372)=1)),"첫 건","중복 건")))</f>
        <v/>
      </c>
      <c r="J4373" s="11" t="str">
        <f aca="false">IF($A4373="","",IF($H4373="-","유지",IF($I4373="첫 건","유지","확인 필요")))</f>
        <v/>
      </c>
    </row>
    <row r="4374" customFormat="false" ht="15" hidden="false" customHeight="true" outlineLevel="0" collapsed="false">
      <c r="A4374" s="11" t="str">
        <f aca="false">IF(원본명단!$A4373="","",4371)</f>
        <v/>
      </c>
      <c r="B4374" s="12" t="str">
        <f aca="false">IF($A4374="","",원본명단!$A4373)</f>
        <v/>
      </c>
      <c r="C4374" s="12" t="str">
        <f aca="false">IF($A4374="","",원본명단!$B4373)</f>
        <v/>
      </c>
      <c r="D4374" s="12" t="str">
        <f aca="false">IF($A4374="","",원본명단!$D4373)</f>
        <v/>
      </c>
      <c r="E4374" s="11" t="str">
        <f aca="false">IF($A4374="","",IF(원본명단!$H4373="",0,COUNTIF(원본명단!$H$3:$H$6002,원본명단!$H4373)))</f>
        <v/>
      </c>
      <c r="F4374" s="11" t="str">
        <f aca="false">IF($A4374="","",IF(원본명단!$I4373="",0,COUNTIF(원본명단!$I$3:$I$6002,원본명단!$I4373)))</f>
        <v/>
      </c>
      <c r="G4374" s="11" t="str">
        <f aca="false">IF($A4374="","",IF(원본명단!$K4373="",0,COUNTIF(원본명단!$K$3:$K$6002,원본명단!$K4373)))</f>
        <v/>
      </c>
      <c r="H4374" s="11" t="str">
        <f aca="false">IF($A4374="","",IF(MAX($E4374,$F4374,$G4374)&gt;1,"중복","-"))</f>
        <v/>
      </c>
      <c r="I4374" s="11" t="str">
        <f aca="false">IF($A4374="","",IF($H4374="-","-",IF(AND(IF(원본명단!$H4373="",TRUE(),COUNTIF(원본명단!$H$3:$H4373,원본명단!$H4373)=1),IF(원본명단!$I4373="",TRUE(),COUNTIF(원본명단!$I$3:$I4373,원본명단!$I4373)=1),IF(원본명단!$K4373="",TRUE(),COUNTIF(원본명단!$K$3:$K4373,원본명단!$K4373)=1)),"첫 건","중복 건")))</f>
        <v/>
      </c>
      <c r="J4374" s="11" t="str">
        <f aca="false">IF($A4374="","",IF($H4374="-","유지",IF($I4374="첫 건","유지","확인 필요")))</f>
        <v/>
      </c>
    </row>
    <row r="4375" customFormat="false" ht="15" hidden="false" customHeight="true" outlineLevel="0" collapsed="false">
      <c r="A4375" s="11" t="str">
        <f aca="false">IF(원본명단!$A4374="","",4372)</f>
        <v/>
      </c>
      <c r="B4375" s="12" t="str">
        <f aca="false">IF($A4375="","",원본명단!$A4374)</f>
        <v/>
      </c>
      <c r="C4375" s="12" t="str">
        <f aca="false">IF($A4375="","",원본명단!$B4374)</f>
        <v/>
      </c>
      <c r="D4375" s="12" t="str">
        <f aca="false">IF($A4375="","",원본명단!$D4374)</f>
        <v/>
      </c>
      <c r="E4375" s="11" t="str">
        <f aca="false">IF($A4375="","",IF(원본명단!$H4374="",0,COUNTIF(원본명단!$H$3:$H$6002,원본명단!$H4374)))</f>
        <v/>
      </c>
      <c r="F4375" s="11" t="str">
        <f aca="false">IF($A4375="","",IF(원본명단!$I4374="",0,COUNTIF(원본명단!$I$3:$I$6002,원본명단!$I4374)))</f>
        <v/>
      </c>
      <c r="G4375" s="11" t="str">
        <f aca="false">IF($A4375="","",IF(원본명단!$K4374="",0,COUNTIF(원본명단!$K$3:$K$6002,원본명단!$K4374)))</f>
        <v/>
      </c>
      <c r="H4375" s="11" t="str">
        <f aca="false">IF($A4375="","",IF(MAX($E4375,$F4375,$G4375)&gt;1,"중복","-"))</f>
        <v/>
      </c>
      <c r="I4375" s="11" t="str">
        <f aca="false">IF($A4375="","",IF($H4375="-","-",IF(AND(IF(원본명단!$H4374="",TRUE(),COUNTIF(원본명단!$H$3:$H4374,원본명단!$H4374)=1),IF(원본명단!$I4374="",TRUE(),COUNTIF(원본명단!$I$3:$I4374,원본명단!$I4374)=1),IF(원본명단!$K4374="",TRUE(),COUNTIF(원본명단!$K$3:$K4374,원본명단!$K4374)=1)),"첫 건","중복 건")))</f>
        <v/>
      </c>
      <c r="J4375" s="11" t="str">
        <f aca="false">IF($A4375="","",IF($H4375="-","유지",IF($I4375="첫 건","유지","확인 필요")))</f>
        <v/>
      </c>
    </row>
    <row r="4376" customFormat="false" ht="15" hidden="false" customHeight="true" outlineLevel="0" collapsed="false">
      <c r="A4376" s="11" t="str">
        <f aca="false">IF(원본명단!$A4375="","",4373)</f>
        <v/>
      </c>
      <c r="B4376" s="12" t="str">
        <f aca="false">IF($A4376="","",원본명단!$A4375)</f>
        <v/>
      </c>
      <c r="C4376" s="12" t="str">
        <f aca="false">IF($A4376="","",원본명단!$B4375)</f>
        <v/>
      </c>
      <c r="D4376" s="12" t="str">
        <f aca="false">IF($A4376="","",원본명단!$D4375)</f>
        <v/>
      </c>
      <c r="E4376" s="11" t="str">
        <f aca="false">IF($A4376="","",IF(원본명단!$H4375="",0,COUNTIF(원본명단!$H$3:$H$6002,원본명단!$H4375)))</f>
        <v/>
      </c>
      <c r="F4376" s="11" t="str">
        <f aca="false">IF($A4376="","",IF(원본명단!$I4375="",0,COUNTIF(원본명단!$I$3:$I$6002,원본명단!$I4375)))</f>
        <v/>
      </c>
      <c r="G4376" s="11" t="str">
        <f aca="false">IF($A4376="","",IF(원본명단!$K4375="",0,COUNTIF(원본명단!$K$3:$K$6002,원본명단!$K4375)))</f>
        <v/>
      </c>
      <c r="H4376" s="11" t="str">
        <f aca="false">IF($A4376="","",IF(MAX($E4376,$F4376,$G4376)&gt;1,"중복","-"))</f>
        <v/>
      </c>
      <c r="I4376" s="11" t="str">
        <f aca="false">IF($A4376="","",IF($H4376="-","-",IF(AND(IF(원본명단!$H4375="",TRUE(),COUNTIF(원본명단!$H$3:$H4375,원본명단!$H4375)=1),IF(원본명단!$I4375="",TRUE(),COUNTIF(원본명단!$I$3:$I4375,원본명단!$I4375)=1),IF(원본명단!$K4375="",TRUE(),COUNTIF(원본명단!$K$3:$K4375,원본명단!$K4375)=1)),"첫 건","중복 건")))</f>
        <v/>
      </c>
      <c r="J4376" s="11" t="str">
        <f aca="false">IF($A4376="","",IF($H4376="-","유지",IF($I4376="첫 건","유지","확인 필요")))</f>
        <v/>
      </c>
    </row>
    <row r="4377" customFormat="false" ht="15" hidden="false" customHeight="true" outlineLevel="0" collapsed="false">
      <c r="A4377" s="11" t="str">
        <f aca="false">IF(원본명단!$A4376="","",4374)</f>
        <v/>
      </c>
      <c r="B4377" s="12" t="str">
        <f aca="false">IF($A4377="","",원본명단!$A4376)</f>
        <v/>
      </c>
      <c r="C4377" s="12" t="str">
        <f aca="false">IF($A4377="","",원본명단!$B4376)</f>
        <v/>
      </c>
      <c r="D4377" s="12" t="str">
        <f aca="false">IF($A4377="","",원본명단!$D4376)</f>
        <v/>
      </c>
      <c r="E4377" s="11" t="str">
        <f aca="false">IF($A4377="","",IF(원본명단!$H4376="",0,COUNTIF(원본명단!$H$3:$H$6002,원본명단!$H4376)))</f>
        <v/>
      </c>
      <c r="F4377" s="11" t="str">
        <f aca="false">IF($A4377="","",IF(원본명단!$I4376="",0,COUNTIF(원본명단!$I$3:$I$6002,원본명단!$I4376)))</f>
        <v/>
      </c>
      <c r="G4377" s="11" t="str">
        <f aca="false">IF($A4377="","",IF(원본명단!$K4376="",0,COUNTIF(원본명단!$K$3:$K$6002,원본명단!$K4376)))</f>
        <v/>
      </c>
      <c r="H4377" s="11" t="str">
        <f aca="false">IF($A4377="","",IF(MAX($E4377,$F4377,$G4377)&gt;1,"중복","-"))</f>
        <v/>
      </c>
      <c r="I4377" s="11" t="str">
        <f aca="false">IF($A4377="","",IF($H4377="-","-",IF(AND(IF(원본명단!$H4376="",TRUE(),COUNTIF(원본명단!$H$3:$H4376,원본명단!$H4376)=1),IF(원본명단!$I4376="",TRUE(),COUNTIF(원본명단!$I$3:$I4376,원본명단!$I4376)=1),IF(원본명단!$K4376="",TRUE(),COUNTIF(원본명단!$K$3:$K4376,원본명단!$K4376)=1)),"첫 건","중복 건")))</f>
        <v/>
      </c>
      <c r="J4377" s="11" t="str">
        <f aca="false">IF($A4377="","",IF($H4377="-","유지",IF($I4377="첫 건","유지","확인 필요")))</f>
        <v/>
      </c>
    </row>
    <row r="4378" customFormat="false" ht="15" hidden="false" customHeight="true" outlineLevel="0" collapsed="false">
      <c r="A4378" s="11" t="str">
        <f aca="false">IF(원본명단!$A4377="","",4375)</f>
        <v/>
      </c>
      <c r="B4378" s="12" t="str">
        <f aca="false">IF($A4378="","",원본명단!$A4377)</f>
        <v/>
      </c>
      <c r="C4378" s="12" t="str">
        <f aca="false">IF($A4378="","",원본명단!$B4377)</f>
        <v/>
      </c>
      <c r="D4378" s="12" t="str">
        <f aca="false">IF($A4378="","",원본명단!$D4377)</f>
        <v/>
      </c>
      <c r="E4378" s="11" t="str">
        <f aca="false">IF($A4378="","",IF(원본명단!$H4377="",0,COUNTIF(원본명단!$H$3:$H$6002,원본명단!$H4377)))</f>
        <v/>
      </c>
      <c r="F4378" s="11" t="str">
        <f aca="false">IF($A4378="","",IF(원본명단!$I4377="",0,COUNTIF(원본명단!$I$3:$I$6002,원본명단!$I4377)))</f>
        <v/>
      </c>
      <c r="G4378" s="11" t="str">
        <f aca="false">IF($A4378="","",IF(원본명단!$K4377="",0,COUNTIF(원본명단!$K$3:$K$6002,원본명단!$K4377)))</f>
        <v/>
      </c>
      <c r="H4378" s="11" t="str">
        <f aca="false">IF($A4378="","",IF(MAX($E4378,$F4378,$G4378)&gt;1,"중복","-"))</f>
        <v/>
      </c>
      <c r="I4378" s="11" t="str">
        <f aca="false">IF($A4378="","",IF($H4378="-","-",IF(AND(IF(원본명단!$H4377="",TRUE(),COUNTIF(원본명단!$H$3:$H4377,원본명단!$H4377)=1),IF(원본명단!$I4377="",TRUE(),COUNTIF(원본명단!$I$3:$I4377,원본명단!$I4377)=1),IF(원본명단!$K4377="",TRUE(),COUNTIF(원본명단!$K$3:$K4377,원본명단!$K4377)=1)),"첫 건","중복 건")))</f>
        <v/>
      </c>
      <c r="J4378" s="11" t="str">
        <f aca="false">IF($A4378="","",IF($H4378="-","유지",IF($I4378="첫 건","유지","확인 필요")))</f>
        <v/>
      </c>
    </row>
    <row r="4379" customFormat="false" ht="15" hidden="false" customHeight="true" outlineLevel="0" collapsed="false">
      <c r="A4379" s="11" t="str">
        <f aca="false">IF(원본명단!$A4378="","",4376)</f>
        <v/>
      </c>
      <c r="B4379" s="12" t="str">
        <f aca="false">IF($A4379="","",원본명단!$A4378)</f>
        <v/>
      </c>
      <c r="C4379" s="12" t="str">
        <f aca="false">IF($A4379="","",원본명단!$B4378)</f>
        <v/>
      </c>
      <c r="D4379" s="12" t="str">
        <f aca="false">IF($A4379="","",원본명단!$D4378)</f>
        <v/>
      </c>
      <c r="E4379" s="11" t="str">
        <f aca="false">IF($A4379="","",IF(원본명단!$H4378="",0,COUNTIF(원본명단!$H$3:$H$6002,원본명단!$H4378)))</f>
        <v/>
      </c>
      <c r="F4379" s="11" t="str">
        <f aca="false">IF($A4379="","",IF(원본명단!$I4378="",0,COUNTIF(원본명단!$I$3:$I$6002,원본명단!$I4378)))</f>
        <v/>
      </c>
      <c r="G4379" s="11" t="str">
        <f aca="false">IF($A4379="","",IF(원본명단!$K4378="",0,COUNTIF(원본명단!$K$3:$K$6002,원본명단!$K4378)))</f>
        <v/>
      </c>
      <c r="H4379" s="11" t="str">
        <f aca="false">IF($A4379="","",IF(MAX($E4379,$F4379,$G4379)&gt;1,"중복","-"))</f>
        <v/>
      </c>
      <c r="I4379" s="11" t="str">
        <f aca="false">IF($A4379="","",IF($H4379="-","-",IF(AND(IF(원본명단!$H4378="",TRUE(),COUNTIF(원본명단!$H$3:$H4378,원본명단!$H4378)=1),IF(원본명단!$I4378="",TRUE(),COUNTIF(원본명단!$I$3:$I4378,원본명단!$I4378)=1),IF(원본명단!$K4378="",TRUE(),COUNTIF(원본명단!$K$3:$K4378,원본명단!$K4378)=1)),"첫 건","중복 건")))</f>
        <v/>
      </c>
      <c r="J4379" s="11" t="str">
        <f aca="false">IF($A4379="","",IF($H4379="-","유지",IF($I4379="첫 건","유지","확인 필요")))</f>
        <v/>
      </c>
    </row>
    <row r="4380" customFormat="false" ht="15" hidden="false" customHeight="true" outlineLevel="0" collapsed="false">
      <c r="A4380" s="11" t="str">
        <f aca="false">IF(원본명단!$A4379="","",4377)</f>
        <v/>
      </c>
      <c r="B4380" s="12" t="str">
        <f aca="false">IF($A4380="","",원본명단!$A4379)</f>
        <v/>
      </c>
      <c r="C4380" s="12" t="str">
        <f aca="false">IF($A4380="","",원본명단!$B4379)</f>
        <v/>
      </c>
      <c r="D4380" s="12" t="str">
        <f aca="false">IF($A4380="","",원본명단!$D4379)</f>
        <v/>
      </c>
      <c r="E4380" s="11" t="str">
        <f aca="false">IF($A4380="","",IF(원본명단!$H4379="",0,COUNTIF(원본명단!$H$3:$H$6002,원본명단!$H4379)))</f>
        <v/>
      </c>
      <c r="F4380" s="11" t="str">
        <f aca="false">IF($A4380="","",IF(원본명단!$I4379="",0,COUNTIF(원본명단!$I$3:$I$6002,원본명단!$I4379)))</f>
        <v/>
      </c>
      <c r="G4380" s="11" t="str">
        <f aca="false">IF($A4380="","",IF(원본명단!$K4379="",0,COUNTIF(원본명단!$K$3:$K$6002,원본명단!$K4379)))</f>
        <v/>
      </c>
      <c r="H4380" s="11" t="str">
        <f aca="false">IF($A4380="","",IF(MAX($E4380,$F4380,$G4380)&gt;1,"중복","-"))</f>
        <v/>
      </c>
      <c r="I4380" s="11" t="str">
        <f aca="false">IF($A4380="","",IF($H4380="-","-",IF(AND(IF(원본명단!$H4379="",TRUE(),COUNTIF(원본명단!$H$3:$H4379,원본명단!$H4379)=1),IF(원본명단!$I4379="",TRUE(),COUNTIF(원본명단!$I$3:$I4379,원본명단!$I4379)=1),IF(원본명단!$K4379="",TRUE(),COUNTIF(원본명단!$K$3:$K4379,원본명단!$K4379)=1)),"첫 건","중복 건")))</f>
        <v/>
      </c>
      <c r="J4380" s="11" t="str">
        <f aca="false">IF($A4380="","",IF($H4380="-","유지",IF($I4380="첫 건","유지","확인 필요")))</f>
        <v/>
      </c>
    </row>
    <row r="4381" customFormat="false" ht="15" hidden="false" customHeight="true" outlineLevel="0" collapsed="false">
      <c r="A4381" s="11" t="str">
        <f aca="false">IF(원본명단!$A4380="","",4378)</f>
        <v/>
      </c>
      <c r="B4381" s="12" t="str">
        <f aca="false">IF($A4381="","",원본명단!$A4380)</f>
        <v/>
      </c>
      <c r="C4381" s="12" t="str">
        <f aca="false">IF($A4381="","",원본명단!$B4380)</f>
        <v/>
      </c>
      <c r="D4381" s="12" t="str">
        <f aca="false">IF($A4381="","",원본명단!$D4380)</f>
        <v/>
      </c>
      <c r="E4381" s="11" t="str">
        <f aca="false">IF($A4381="","",IF(원본명단!$H4380="",0,COUNTIF(원본명단!$H$3:$H$6002,원본명단!$H4380)))</f>
        <v/>
      </c>
      <c r="F4381" s="11" t="str">
        <f aca="false">IF($A4381="","",IF(원본명단!$I4380="",0,COUNTIF(원본명단!$I$3:$I$6002,원본명단!$I4380)))</f>
        <v/>
      </c>
      <c r="G4381" s="11" t="str">
        <f aca="false">IF($A4381="","",IF(원본명단!$K4380="",0,COUNTIF(원본명단!$K$3:$K$6002,원본명단!$K4380)))</f>
        <v/>
      </c>
      <c r="H4381" s="11" t="str">
        <f aca="false">IF($A4381="","",IF(MAX($E4381,$F4381,$G4381)&gt;1,"중복","-"))</f>
        <v/>
      </c>
      <c r="I4381" s="11" t="str">
        <f aca="false">IF($A4381="","",IF($H4381="-","-",IF(AND(IF(원본명단!$H4380="",TRUE(),COUNTIF(원본명단!$H$3:$H4380,원본명단!$H4380)=1),IF(원본명단!$I4380="",TRUE(),COUNTIF(원본명단!$I$3:$I4380,원본명단!$I4380)=1),IF(원본명단!$K4380="",TRUE(),COUNTIF(원본명단!$K$3:$K4380,원본명단!$K4380)=1)),"첫 건","중복 건")))</f>
        <v/>
      </c>
      <c r="J4381" s="11" t="str">
        <f aca="false">IF($A4381="","",IF($H4381="-","유지",IF($I4381="첫 건","유지","확인 필요")))</f>
        <v/>
      </c>
    </row>
    <row r="4382" customFormat="false" ht="15" hidden="false" customHeight="true" outlineLevel="0" collapsed="false">
      <c r="A4382" s="11" t="str">
        <f aca="false">IF(원본명단!$A4381="","",4379)</f>
        <v/>
      </c>
      <c r="B4382" s="12" t="str">
        <f aca="false">IF($A4382="","",원본명단!$A4381)</f>
        <v/>
      </c>
      <c r="C4382" s="12" t="str">
        <f aca="false">IF($A4382="","",원본명단!$B4381)</f>
        <v/>
      </c>
      <c r="D4382" s="12" t="str">
        <f aca="false">IF($A4382="","",원본명단!$D4381)</f>
        <v/>
      </c>
      <c r="E4382" s="11" t="str">
        <f aca="false">IF($A4382="","",IF(원본명단!$H4381="",0,COUNTIF(원본명단!$H$3:$H$6002,원본명단!$H4381)))</f>
        <v/>
      </c>
      <c r="F4382" s="11" t="str">
        <f aca="false">IF($A4382="","",IF(원본명단!$I4381="",0,COUNTIF(원본명단!$I$3:$I$6002,원본명단!$I4381)))</f>
        <v/>
      </c>
      <c r="G4382" s="11" t="str">
        <f aca="false">IF($A4382="","",IF(원본명단!$K4381="",0,COUNTIF(원본명단!$K$3:$K$6002,원본명단!$K4381)))</f>
        <v/>
      </c>
      <c r="H4382" s="11" t="str">
        <f aca="false">IF($A4382="","",IF(MAX($E4382,$F4382,$G4382)&gt;1,"중복","-"))</f>
        <v/>
      </c>
      <c r="I4382" s="11" t="str">
        <f aca="false">IF($A4382="","",IF($H4382="-","-",IF(AND(IF(원본명단!$H4381="",TRUE(),COUNTIF(원본명단!$H$3:$H4381,원본명단!$H4381)=1),IF(원본명단!$I4381="",TRUE(),COUNTIF(원본명단!$I$3:$I4381,원본명단!$I4381)=1),IF(원본명단!$K4381="",TRUE(),COUNTIF(원본명단!$K$3:$K4381,원본명단!$K4381)=1)),"첫 건","중복 건")))</f>
        <v/>
      </c>
      <c r="J4382" s="11" t="str">
        <f aca="false">IF($A4382="","",IF($H4382="-","유지",IF($I4382="첫 건","유지","확인 필요")))</f>
        <v/>
      </c>
    </row>
    <row r="4383" customFormat="false" ht="15" hidden="false" customHeight="true" outlineLevel="0" collapsed="false">
      <c r="A4383" s="11" t="str">
        <f aca="false">IF(원본명단!$A4382="","",4380)</f>
        <v/>
      </c>
      <c r="B4383" s="12" t="str">
        <f aca="false">IF($A4383="","",원본명단!$A4382)</f>
        <v/>
      </c>
      <c r="C4383" s="12" t="str">
        <f aca="false">IF($A4383="","",원본명단!$B4382)</f>
        <v/>
      </c>
      <c r="D4383" s="12" t="str">
        <f aca="false">IF($A4383="","",원본명단!$D4382)</f>
        <v/>
      </c>
      <c r="E4383" s="11" t="str">
        <f aca="false">IF($A4383="","",IF(원본명단!$H4382="",0,COUNTIF(원본명단!$H$3:$H$6002,원본명단!$H4382)))</f>
        <v/>
      </c>
      <c r="F4383" s="11" t="str">
        <f aca="false">IF($A4383="","",IF(원본명단!$I4382="",0,COUNTIF(원본명단!$I$3:$I$6002,원본명단!$I4382)))</f>
        <v/>
      </c>
      <c r="G4383" s="11" t="str">
        <f aca="false">IF($A4383="","",IF(원본명단!$K4382="",0,COUNTIF(원본명단!$K$3:$K$6002,원본명단!$K4382)))</f>
        <v/>
      </c>
      <c r="H4383" s="11" t="str">
        <f aca="false">IF($A4383="","",IF(MAX($E4383,$F4383,$G4383)&gt;1,"중복","-"))</f>
        <v/>
      </c>
      <c r="I4383" s="11" t="str">
        <f aca="false">IF($A4383="","",IF($H4383="-","-",IF(AND(IF(원본명단!$H4382="",TRUE(),COUNTIF(원본명단!$H$3:$H4382,원본명단!$H4382)=1),IF(원본명단!$I4382="",TRUE(),COUNTIF(원본명단!$I$3:$I4382,원본명단!$I4382)=1),IF(원본명단!$K4382="",TRUE(),COUNTIF(원본명단!$K$3:$K4382,원본명단!$K4382)=1)),"첫 건","중복 건")))</f>
        <v/>
      </c>
      <c r="J4383" s="11" t="str">
        <f aca="false">IF($A4383="","",IF($H4383="-","유지",IF($I4383="첫 건","유지","확인 필요")))</f>
        <v/>
      </c>
    </row>
    <row r="4384" customFormat="false" ht="15" hidden="false" customHeight="true" outlineLevel="0" collapsed="false">
      <c r="A4384" s="11" t="str">
        <f aca="false">IF(원본명단!$A4383="","",4381)</f>
        <v/>
      </c>
      <c r="B4384" s="12" t="str">
        <f aca="false">IF($A4384="","",원본명단!$A4383)</f>
        <v/>
      </c>
      <c r="C4384" s="12" t="str">
        <f aca="false">IF($A4384="","",원본명단!$B4383)</f>
        <v/>
      </c>
      <c r="D4384" s="12" t="str">
        <f aca="false">IF($A4384="","",원본명단!$D4383)</f>
        <v/>
      </c>
      <c r="E4384" s="11" t="str">
        <f aca="false">IF($A4384="","",IF(원본명단!$H4383="",0,COUNTIF(원본명단!$H$3:$H$6002,원본명단!$H4383)))</f>
        <v/>
      </c>
      <c r="F4384" s="11" t="str">
        <f aca="false">IF($A4384="","",IF(원본명단!$I4383="",0,COUNTIF(원본명단!$I$3:$I$6002,원본명단!$I4383)))</f>
        <v/>
      </c>
      <c r="G4384" s="11" t="str">
        <f aca="false">IF($A4384="","",IF(원본명단!$K4383="",0,COUNTIF(원본명단!$K$3:$K$6002,원본명단!$K4383)))</f>
        <v/>
      </c>
      <c r="H4384" s="11" t="str">
        <f aca="false">IF($A4384="","",IF(MAX($E4384,$F4384,$G4384)&gt;1,"중복","-"))</f>
        <v/>
      </c>
      <c r="I4384" s="11" t="str">
        <f aca="false">IF($A4384="","",IF($H4384="-","-",IF(AND(IF(원본명단!$H4383="",TRUE(),COUNTIF(원본명단!$H$3:$H4383,원본명단!$H4383)=1),IF(원본명단!$I4383="",TRUE(),COUNTIF(원본명단!$I$3:$I4383,원본명단!$I4383)=1),IF(원본명단!$K4383="",TRUE(),COUNTIF(원본명단!$K$3:$K4383,원본명단!$K4383)=1)),"첫 건","중복 건")))</f>
        <v/>
      </c>
      <c r="J4384" s="11" t="str">
        <f aca="false">IF($A4384="","",IF($H4384="-","유지",IF($I4384="첫 건","유지","확인 필요")))</f>
        <v/>
      </c>
    </row>
    <row r="4385" customFormat="false" ht="15" hidden="false" customHeight="true" outlineLevel="0" collapsed="false">
      <c r="A4385" s="11" t="str">
        <f aca="false">IF(원본명단!$A4384="","",4382)</f>
        <v/>
      </c>
      <c r="B4385" s="12" t="str">
        <f aca="false">IF($A4385="","",원본명단!$A4384)</f>
        <v/>
      </c>
      <c r="C4385" s="12" t="str">
        <f aca="false">IF($A4385="","",원본명단!$B4384)</f>
        <v/>
      </c>
      <c r="D4385" s="12" t="str">
        <f aca="false">IF($A4385="","",원본명단!$D4384)</f>
        <v/>
      </c>
      <c r="E4385" s="11" t="str">
        <f aca="false">IF($A4385="","",IF(원본명단!$H4384="",0,COUNTIF(원본명단!$H$3:$H$6002,원본명단!$H4384)))</f>
        <v/>
      </c>
      <c r="F4385" s="11" t="str">
        <f aca="false">IF($A4385="","",IF(원본명단!$I4384="",0,COUNTIF(원본명단!$I$3:$I$6002,원본명단!$I4384)))</f>
        <v/>
      </c>
      <c r="G4385" s="11" t="str">
        <f aca="false">IF($A4385="","",IF(원본명단!$K4384="",0,COUNTIF(원본명단!$K$3:$K$6002,원본명단!$K4384)))</f>
        <v/>
      </c>
      <c r="H4385" s="11" t="str">
        <f aca="false">IF($A4385="","",IF(MAX($E4385,$F4385,$G4385)&gt;1,"중복","-"))</f>
        <v/>
      </c>
      <c r="I4385" s="11" t="str">
        <f aca="false">IF($A4385="","",IF($H4385="-","-",IF(AND(IF(원본명단!$H4384="",TRUE(),COUNTIF(원본명단!$H$3:$H4384,원본명단!$H4384)=1),IF(원본명단!$I4384="",TRUE(),COUNTIF(원본명단!$I$3:$I4384,원본명단!$I4384)=1),IF(원본명단!$K4384="",TRUE(),COUNTIF(원본명단!$K$3:$K4384,원본명단!$K4384)=1)),"첫 건","중복 건")))</f>
        <v/>
      </c>
      <c r="J4385" s="11" t="str">
        <f aca="false">IF($A4385="","",IF($H4385="-","유지",IF($I4385="첫 건","유지","확인 필요")))</f>
        <v/>
      </c>
    </row>
    <row r="4386" customFormat="false" ht="15" hidden="false" customHeight="true" outlineLevel="0" collapsed="false">
      <c r="A4386" s="11" t="str">
        <f aca="false">IF(원본명단!$A4385="","",4383)</f>
        <v/>
      </c>
      <c r="B4386" s="12" t="str">
        <f aca="false">IF($A4386="","",원본명단!$A4385)</f>
        <v/>
      </c>
      <c r="C4386" s="12" t="str">
        <f aca="false">IF($A4386="","",원본명단!$B4385)</f>
        <v/>
      </c>
      <c r="D4386" s="12" t="str">
        <f aca="false">IF($A4386="","",원본명단!$D4385)</f>
        <v/>
      </c>
      <c r="E4386" s="11" t="str">
        <f aca="false">IF($A4386="","",IF(원본명단!$H4385="",0,COUNTIF(원본명단!$H$3:$H$6002,원본명단!$H4385)))</f>
        <v/>
      </c>
      <c r="F4386" s="11" t="str">
        <f aca="false">IF($A4386="","",IF(원본명단!$I4385="",0,COUNTIF(원본명단!$I$3:$I$6002,원본명단!$I4385)))</f>
        <v/>
      </c>
      <c r="G4386" s="11" t="str">
        <f aca="false">IF($A4386="","",IF(원본명단!$K4385="",0,COUNTIF(원본명단!$K$3:$K$6002,원본명단!$K4385)))</f>
        <v/>
      </c>
      <c r="H4386" s="11" t="str">
        <f aca="false">IF($A4386="","",IF(MAX($E4386,$F4386,$G4386)&gt;1,"중복","-"))</f>
        <v/>
      </c>
      <c r="I4386" s="11" t="str">
        <f aca="false">IF($A4386="","",IF($H4386="-","-",IF(AND(IF(원본명단!$H4385="",TRUE(),COUNTIF(원본명단!$H$3:$H4385,원본명단!$H4385)=1),IF(원본명단!$I4385="",TRUE(),COUNTIF(원본명단!$I$3:$I4385,원본명단!$I4385)=1),IF(원본명단!$K4385="",TRUE(),COUNTIF(원본명단!$K$3:$K4385,원본명단!$K4385)=1)),"첫 건","중복 건")))</f>
        <v/>
      </c>
      <c r="J4386" s="11" t="str">
        <f aca="false">IF($A4386="","",IF($H4386="-","유지",IF($I4386="첫 건","유지","확인 필요")))</f>
        <v/>
      </c>
    </row>
    <row r="4387" customFormat="false" ht="15" hidden="false" customHeight="true" outlineLevel="0" collapsed="false">
      <c r="A4387" s="11" t="str">
        <f aca="false">IF(원본명단!$A4386="","",4384)</f>
        <v/>
      </c>
      <c r="B4387" s="12" t="str">
        <f aca="false">IF($A4387="","",원본명단!$A4386)</f>
        <v/>
      </c>
      <c r="C4387" s="12" t="str">
        <f aca="false">IF($A4387="","",원본명단!$B4386)</f>
        <v/>
      </c>
      <c r="D4387" s="12" t="str">
        <f aca="false">IF($A4387="","",원본명단!$D4386)</f>
        <v/>
      </c>
      <c r="E4387" s="11" t="str">
        <f aca="false">IF($A4387="","",IF(원본명단!$H4386="",0,COUNTIF(원본명단!$H$3:$H$6002,원본명단!$H4386)))</f>
        <v/>
      </c>
      <c r="F4387" s="11" t="str">
        <f aca="false">IF($A4387="","",IF(원본명단!$I4386="",0,COUNTIF(원본명단!$I$3:$I$6002,원본명단!$I4386)))</f>
        <v/>
      </c>
      <c r="G4387" s="11" t="str">
        <f aca="false">IF($A4387="","",IF(원본명단!$K4386="",0,COUNTIF(원본명단!$K$3:$K$6002,원본명단!$K4386)))</f>
        <v/>
      </c>
      <c r="H4387" s="11" t="str">
        <f aca="false">IF($A4387="","",IF(MAX($E4387,$F4387,$G4387)&gt;1,"중복","-"))</f>
        <v/>
      </c>
      <c r="I4387" s="11" t="str">
        <f aca="false">IF($A4387="","",IF($H4387="-","-",IF(AND(IF(원본명단!$H4386="",TRUE(),COUNTIF(원본명단!$H$3:$H4386,원본명단!$H4386)=1),IF(원본명단!$I4386="",TRUE(),COUNTIF(원본명단!$I$3:$I4386,원본명단!$I4386)=1),IF(원본명단!$K4386="",TRUE(),COUNTIF(원본명단!$K$3:$K4386,원본명단!$K4386)=1)),"첫 건","중복 건")))</f>
        <v/>
      </c>
      <c r="J4387" s="11" t="str">
        <f aca="false">IF($A4387="","",IF($H4387="-","유지",IF($I4387="첫 건","유지","확인 필요")))</f>
        <v/>
      </c>
    </row>
    <row r="4388" customFormat="false" ht="15" hidden="false" customHeight="true" outlineLevel="0" collapsed="false">
      <c r="A4388" s="11" t="str">
        <f aca="false">IF(원본명단!$A4387="","",4385)</f>
        <v/>
      </c>
      <c r="B4388" s="12" t="str">
        <f aca="false">IF($A4388="","",원본명단!$A4387)</f>
        <v/>
      </c>
      <c r="C4388" s="12" t="str">
        <f aca="false">IF($A4388="","",원본명단!$B4387)</f>
        <v/>
      </c>
      <c r="D4388" s="12" t="str">
        <f aca="false">IF($A4388="","",원본명단!$D4387)</f>
        <v/>
      </c>
      <c r="E4388" s="11" t="str">
        <f aca="false">IF($A4388="","",IF(원본명단!$H4387="",0,COUNTIF(원본명단!$H$3:$H$6002,원본명단!$H4387)))</f>
        <v/>
      </c>
      <c r="F4388" s="11" t="str">
        <f aca="false">IF($A4388="","",IF(원본명단!$I4387="",0,COUNTIF(원본명단!$I$3:$I$6002,원본명단!$I4387)))</f>
        <v/>
      </c>
      <c r="G4388" s="11" t="str">
        <f aca="false">IF($A4388="","",IF(원본명단!$K4387="",0,COUNTIF(원본명단!$K$3:$K$6002,원본명단!$K4387)))</f>
        <v/>
      </c>
      <c r="H4388" s="11" t="str">
        <f aca="false">IF($A4388="","",IF(MAX($E4388,$F4388,$G4388)&gt;1,"중복","-"))</f>
        <v/>
      </c>
      <c r="I4388" s="11" t="str">
        <f aca="false">IF($A4388="","",IF($H4388="-","-",IF(AND(IF(원본명단!$H4387="",TRUE(),COUNTIF(원본명단!$H$3:$H4387,원본명단!$H4387)=1),IF(원본명단!$I4387="",TRUE(),COUNTIF(원본명단!$I$3:$I4387,원본명단!$I4387)=1),IF(원본명단!$K4387="",TRUE(),COUNTIF(원본명단!$K$3:$K4387,원본명단!$K4387)=1)),"첫 건","중복 건")))</f>
        <v/>
      </c>
      <c r="J4388" s="11" t="str">
        <f aca="false">IF($A4388="","",IF($H4388="-","유지",IF($I4388="첫 건","유지","확인 필요")))</f>
        <v/>
      </c>
    </row>
    <row r="4389" customFormat="false" ht="15" hidden="false" customHeight="true" outlineLevel="0" collapsed="false">
      <c r="A4389" s="11" t="str">
        <f aca="false">IF(원본명단!$A4388="","",4386)</f>
        <v/>
      </c>
      <c r="B4389" s="12" t="str">
        <f aca="false">IF($A4389="","",원본명단!$A4388)</f>
        <v/>
      </c>
      <c r="C4389" s="12" t="str">
        <f aca="false">IF($A4389="","",원본명단!$B4388)</f>
        <v/>
      </c>
      <c r="D4389" s="12" t="str">
        <f aca="false">IF($A4389="","",원본명단!$D4388)</f>
        <v/>
      </c>
      <c r="E4389" s="11" t="str">
        <f aca="false">IF($A4389="","",IF(원본명단!$H4388="",0,COUNTIF(원본명단!$H$3:$H$6002,원본명단!$H4388)))</f>
        <v/>
      </c>
      <c r="F4389" s="11" t="str">
        <f aca="false">IF($A4389="","",IF(원본명단!$I4388="",0,COUNTIF(원본명단!$I$3:$I$6002,원본명단!$I4388)))</f>
        <v/>
      </c>
      <c r="G4389" s="11" t="str">
        <f aca="false">IF($A4389="","",IF(원본명단!$K4388="",0,COUNTIF(원본명단!$K$3:$K$6002,원본명단!$K4388)))</f>
        <v/>
      </c>
      <c r="H4389" s="11" t="str">
        <f aca="false">IF($A4389="","",IF(MAX($E4389,$F4389,$G4389)&gt;1,"중복","-"))</f>
        <v/>
      </c>
      <c r="I4389" s="11" t="str">
        <f aca="false">IF($A4389="","",IF($H4389="-","-",IF(AND(IF(원본명단!$H4388="",TRUE(),COUNTIF(원본명단!$H$3:$H4388,원본명단!$H4388)=1),IF(원본명단!$I4388="",TRUE(),COUNTIF(원본명단!$I$3:$I4388,원본명단!$I4388)=1),IF(원본명단!$K4388="",TRUE(),COUNTIF(원본명단!$K$3:$K4388,원본명단!$K4388)=1)),"첫 건","중복 건")))</f>
        <v/>
      </c>
      <c r="J4389" s="11" t="str">
        <f aca="false">IF($A4389="","",IF($H4389="-","유지",IF($I4389="첫 건","유지","확인 필요")))</f>
        <v/>
      </c>
    </row>
    <row r="4390" customFormat="false" ht="15" hidden="false" customHeight="true" outlineLevel="0" collapsed="false">
      <c r="A4390" s="11" t="str">
        <f aca="false">IF(원본명단!$A4389="","",4387)</f>
        <v/>
      </c>
      <c r="B4390" s="12" t="str">
        <f aca="false">IF($A4390="","",원본명단!$A4389)</f>
        <v/>
      </c>
      <c r="C4390" s="12" t="str">
        <f aca="false">IF($A4390="","",원본명단!$B4389)</f>
        <v/>
      </c>
      <c r="D4390" s="12" t="str">
        <f aca="false">IF($A4390="","",원본명단!$D4389)</f>
        <v/>
      </c>
      <c r="E4390" s="11" t="str">
        <f aca="false">IF($A4390="","",IF(원본명단!$H4389="",0,COUNTIF(원본명단!$H$3:$H$6002,원본명단!$H4389)))</f>
        <v/>
      </c>
      <c r="F4390" s="11" t="str">
        <f aca="false">IF($A4390="","",IF(원본명단!$I4389="",0,COUNTIF(원본명단!$I$3:$I$6002,원본명단!$I4389)))</f>
        <v/>
      </c>
      <c r="G4390" s="11" t="str">
        <f aca="false">IF($A4390="","",IF(원본명단!$K4389="",0,COUNTIF(원본명단!$K$3:$K$6002,원본명단!$K4389)))</f>
        <v/>
      </c>
      <c r="H4390" s="11" t="str">
        <f aca="false">IF($A4390="","",IF(MAX($E4390,$F4390,$G4390)&gt;1,"중복","-"))</f>
        <v/>
      </c>
      <c r="I4390" s="11" t="str">
        <f aca="false">IF($A4390="","",IF($H4390="-","-",IF(AND(IF(원본명단!$H4389="",TRUE(),COUNTIF(원본명단!$H$3:$H4389,원본명단!$H4389)=1),IF(원본명단!$I4389="",TRUE(),COUNTIF(원본명단!$I$3:$I4389,원본명단!$I4389)=1),IF(원본명단!$K4389="",TRUE(),COUNTIF(원본명단!$K$3:$K4389,원본명단!$K4389)=1)),"첫 건","중복 건")))</f>
        <v/>
      </c>
      <c r="J4390" s="11" t="str">
        <f aca="false">IF($A4390="","",IF($H4390="-","유지",IF($I4390="첫 건","유지","확인 필요")))</f>
        <v/>
      </c>
    </row>
    <row r="4391" customFormat="false" ht="15" hidden="false" customHeight="true" outlineLevel="0" collapsed="false">
      <c r="A4391" s="11" t="str">
        <f aca="false">IF(원본명단!$A4390="","",4388)</f>
        <v/>
      </c>
      <c r="B4391" s="12" t="str">
        <f aca="false">IF($A4391="","",원본명단!$A4390)</f>
        <v/>
      </c>
      <c r="C4391" s="12" t="str">
        <f aca="false">IF($A4391="","",원본명단!$B4390)</f>
        <v/>
      </c>
      <c r="D4391" s="12" t="str">
        <f aca="false">IF($A4391="","",원본명단!$D4390)</f>
        <v/>
      </c>
      <c r="E4391" s="11" t="str">
        <f aca="false">IF($A4391="","",IF(원본명단!$H4390="",0,COUNTIF(원본명단!$H$3:$H$6002,원본명단!$H4390)))</f>
        <v/>
      </c>
      <c r="F4391" s="11" t="str">
        <f aca="false">IF($A4391="","",IF(원본명단!$I4390="",0,COUNTIF(원본명단!$I$3:$I$6002,원본명단!$I4390)))</f>
        <v/>
      </c>
      <c r="G4391" s="11" t="str">
        <f aca="false">IF($A4391="","",IF(원본명단!$K4390="",0,COUNTIF(원본명단!$K$3:$K$6002,원본명단!$K4390)))</f>
        <v/>
      </c>
      <c r="H4391" s="11" t="str">
        <f aca="false">IF($A4391="","",IF(MAX($E4391,$F4391,$G4391)&gt;1,"중복","-"))</f>
        <v/>
      </c>
      <c r="I4391" s="11" t="str">
        <f aca="false">IF($A4391="","",IF($H4391="-","-",IF(AND(IF(원본명단!$H4390="",TRUE(),COUNTIF(원본명단!$H$3:$H4390,원본명단!$H4390)=1),IF(원본명단!$I4390="",TRUE(),COUNTIF(원본명단!$I$3:$I4390,원본명단!$I4390)=1),IF(원본명단!$K4390="",TRUE(),COUNTIF(원본명단!$K$3:$K4390,원본명단!$K4390)=1)),"첫 건","중복 건")))</f>
        <v/>
      </c>
      <c r="J4391" s="11" t="str">
        <f aca="false">IF($A4391="","",IF($H4391="-","유지",IF($I4391="첫 건","유지","확인 필요")))</f>
        <v/>
      </c>
    </row>
    <row r="4392" customFormat="false" ht="15" hidden="false" customHeight="true" outlineLevel="0" collapsed="false">
      <c r="A4392" s="11" t="str">
        <f aca="false">IF(원본명단!$A4391="","",4389)</f>
        <v/>
      </c>
      <c r="B4392" s="12" t="str">
        <f aca="false">IF($A4392="","",원본명단!$A4391)</f>
        <v/>
      </c>
      <c r="C4392" s="12" t="str">
        <f aca="false">IF($A4392="","",원본명단!$B4391)</f>
        <v/>
      </c>
      <c r="D4392" s="12" t="str">
        <f aca="false">IF($A4392="","",원본명단!$D4391)</f>
        <v/>
      </c>
      <c r="E4392" s="11" t="str">
        <f aca="false">IF($A4392="","",IF(원본명단!$H4391="",0,COUNTIF(원본명단!$H$3:$H$6002,원본명단!$H4391)))</f>
        <v/>
      </c>
      <c r="F4392" s="11" t="str">
        <f aca="false">IF($A4392="","",IF(원본명단!$I4391="",0,COUNTIF(원본명단!$I$3:$I$6002,원본명단!$I4391)))</f>
        <v/>
      </c>
      <c r="G4392" s="11" t="str">
        <f aca="false">IF($A4392="","",IF(원본명단!$K4391="",0,COUNTIF(원본명단!$K$3:$K$6002,원본명단!$K4391)))</f>
        <v/>
      </c>
      <c r="H4392" s="11" t="str">
        <f aca="false">IF($A4392="","",IF(MAX($E4392,$F4392,$G4392)&gt;1,"중복","-"))</f>
        <v/>
      </c>
      <c r="I4392" s="11" t="str">
        <f aca="false">IF($A4392="","",IF($H4392="-","-",IF(AND(IF(원본명단!$H4391="",TRUE(),COUNTIF(원본명단!$H$3:$H4391,원본명단!$H4391)=1),IF(원본명단!$I4391="",TRUE(),COUNTIF(원본명단!$I$3:$I4391,원본명단!$I4391)=1),IF(원본명단!$K4391="",TRUE(),COUNTIF(원본명단!$K$3:$K4391,원본명단!$K4391)=1)),"첫 건","중복 건")))</f>
        <v/>
      </c>
      <c r="J4392" s="11" t="str">
        <f aca="false">IF($A4392="","",IF($H4392="-","유지",IF($I4392="첫 건","유지","확인 필요")))</f>
        <v/>
      </c>
    </row>
    <row r="4393" customFormat="false" ht="15" hidden="false" customHeight="true" outlineLevel="0" collapsed="false">
      <c r="A4393" s="11" t="str">
        <f aca="false">IF(원본명단!$A4392="","",4390)</f>
        <v/>
      </c>
      <c r="B4393" s="12" t="str">
        <f aca="false">IF($A4393="","",원본명단!$A4392)</f>
        <v/>
      </c>
      <c r="C4393" s="12" t="str">
        <f aca="false">IF($A4393="","",원본명단!$B4392)</f>
        <v/>
      </c>
      <c r="D4393" s="12" t="str">
        <f aca="false">IF($A4393="","",원본명단!$D4392)</f>
        <v/>
      </c>
      <c r="E4393" s="11" t="str">
        <f aca="false">IF($A4393="","",IF(원본명단!$H4392="",0,COUNTIF(원본명단!$H$3:$H$6002,원본명단!$H4392)))</f>
        <v/>
      </c>
      <c r="F4393" s="11" t="str">
        <f aca="false">IF($A4393="","",IF(원본명단!$I4392="",0,COUNTIF(원본명단!$I$3:$I$6002,원본명단!$I4392)))</f>
        <v/>
      </c>
      <c r="G4393" s="11" t="str">
        <f aca="false">IF($A4393="","",IF(원본명단!$K4392="",0,COUNTIF(원본명단!$K$3:$K$6002,원본명단!$K4392)))</f>
        <v/>
      </c>
      <c r="H4393" s="11" t="str">
        <f aca="false">IF($A4393="","",IF(MAX($E4393,$F4393,$G4393)&gt;1,"중복","-"))</f>
        <v/>
      </c>
      <c r="I4393" s="11" t="str">
        <f aca="false">IF($A4393="","",IF($H4393="-","-",IF(AND(IF(원본명단!$H4392="",TRUE(),COUNTIF(원본명단!$H$3:$H4392,원본명단!$H4392)=1),IF(원본명단!$I4392="",TRUE(),COUNTIF(원본명단!$I$3:$I4392,원본명단!$I4392)=1),IF(원본명단!$K4392="",TRUE(),COUNTIF(원본명단!$K$3:$K4392,원본명단!$K4392)=1)),"첫 건","중복 건")))</f>
        <v/>
      </c>
      <c r="J4393" s="11" t="str">
        <f aca="false">IF($A4393="","",IF($H4393="-","유지",IF($I4393="첫 건","유지","확인 필요")))</f>
        <v/>
      </c>
    </row>
    <row r="4394" customFormat="false" ht="15" hidden="false" customHeight="true" outlineLevel="0" collapsed="false">
      <c r="A4394" s="11" t="str">
        <f aca="false">IF(원본명단!$A4393="","",4391)</f>
        <v/>
      </c>
      <c r="B4394" s="12" t="str">
        <f aca="false">IF($A4394="","",원본명단!$A4393)</f>
        <v/>
      </c>
      <c r="C4394" s="12" t="str">
        <f aca="false">IF($A4394="","",원본명단!$B4393)</f>
        <v/>
      </c>
      <c r="D4394" s="12" t="str">
        <f aca="false">IF($A4394="","",원본명단!$D4393)</f>
        <v/>
      </c>
      <c r="E4394" s="11" t="str">
        <f aca="false">IF($A4394="","",IF(원본명단!$H4393="",0,COUNTIF(원본명단!$H$3:$H$6002,원본명단!$H4393)))</f>
        <v/>
      </c>
      <c r="F4394" s="11" t="str">
        <f aca="false">IF($A4394="","",IF(원본명단!$I4393="",0,COUNTIF(원본명단!$I$3:$I$6002,원본명단!$I4393)))</f>
        <v/>
      </c>
      <c r="G4394" s="11" t="str">
        <f aca="false">IF($A4394="","",IF(원본명단!$K4393="",0,COUNTIF(원본명단!$K$3:$K$6002,원본명단!$K4393)))</f>
        <v/>
      </c>
      <c r="H4394" s="11" t="str">
        <f aca="false">IF($A4394="","",IF(MAX($E4394,$F4394,$G4394)&gt;1,"중복","-"))</f>
        <v/>
      </c>
      <c r="I4394" s="11" t="str">
        <f aca="false">IF($A4394="","",IF($H4394="-","-",IF(AND(IF(원본명단!$H4393="",TRUE(),COUNTIF(원본명단!$H$3:$H4393,원본명단!$H4393)=1),IF(원본명단!$I4393="",TRUE(),COUNTIF(원본명단!$I$3:$I4393,원본명단!$I4393)=1),IF(원본명단!$K4393="",TRUE(),COUNTIF(원본명단!$K$3:$K4393,원본명단!$K4393)=1)),"첫 건","중복 건")))</f>
        <v/>
      </c>
      <c r="J4394" s="11" t="str">
        <f aca="false">IF($A4394="","",IF($H4394="-","유지",IF($I4394="첫 건","유지","확인 필요")))</f>
        <v/>
      </c>
    </row>
    <row r="4395" customFormat="false" ht="15" hidden="false" customHeight="true" outlineLevel="0" collapsed="false">
      <c r="A4395" s="11" t="str">
        <f aca="false">IF(원본명단!$A4394="","",4392)</f>
        <v/>
      </c>
      <c r="B4395" s="12" t="str">
        <f aca="false">IF($A4395="","",원본명단!$A4394)</f>
        <v/>
      </c>
      <c r="C4395" s="12" t="str">
        <f aca="false">IF($A4395="","",원본명단!$B4394)</f>
        <v/>
      </c>
      <c r="D4395" s="12" t="str">
        <f aca="false">IF($A4395="","",원본명단!$D4394)</f>
        <v/>
      </c>
      <c r="E4395" s="11" t="str">
        <f aca="false">IF($A4395="","",IF(원본명단!$H4394="",0,COUNTIF(원본명단!$H$3:$H$6002,원본명단!$H4394)))</f>
        <v/>
      </c>
      <c r="F4395" s="11" t="str">
        <f aca="false">IF($A4395="","",IF(원본명단!$I4394="",0,COUNTIF(원본명단!$I$3:$I$6002,원본명단!$I4394)))</f>
        <v/>
      </c>
      <c r="G4395" s="11" t="str">
        <f aca="false">IF($A4395="","",IF(원본명단!$K4394="",0,COUNTIF(원본명단!$K$3:$K$6002,원본명단!$K4394)))</f>
        <v/>
      </c>
      <c r="H4395" s="11" t="str">
        <f aca="false">IF($A4395="","",IF(MAX($E4395,$F4395,$G4395)&gt;1,"중복","-"))</f>
        <v/>
      </c>
      <c r="I4395" s="11" t="str">
        <f aca="false">IF($A4395="","",IF($H4395="-","-",IF(AND(IF(원본명단!$H4394="",TRUE(),COUNTIF(원본명단!$H$3:$H4394,원본명단!$H4394)=1),IF(원본명단!$I4394="",TRUE(),COUNTIF(원본명단!$I$3:$I4394,원본명단!$I4394)=1),IF(원본명단!$K4394="",TRUE(),COUNTIF(원본명단!$K$3:$K4394,원본명단!$K4394)=1)),"첫 건","중복 건")))</f>
        <v/>
      </c>
      <c r="J4395" s="11" t="str">
        <f aca="false">IF($A4395="","",IF($H4395="-","유지",IF($I4395="첫 건","유지","확인 필요")))</f>
        <v/>
      </c>
    </row>
    <row r="4396" customFormat="false" ht="15" hidden="false" customHeight="true" outlineLevel="0" collapsed="false">
      <c r="A4396" s="11" t="str">
        <f aca="false">IF(원본명단!$A4395="","",4393)</f>
        <v/>
      </c>
      <c r="B4396" s="12" t="str">
        <f aca="false">IF($A4396="","",원본명단!$A4395)</f>
        <v/>
      </c>
      <c r="C4396" s="12" t="str">
        <f aca="false">IF($A4396="","",원본명단!$B4395)</f>
        <v/>
      </c>
      <c r="D4396" s="12" t="str">
        <f aca="false">IF($A4396="","",원본명단!$D4395)</f>
        <v/>
      </c>
      <c r="E4396" s="11" t="str">
        <f aca="false">IF($A4396="","",IF(원본명단!$H4395="",0,COUNTIF(원본명단!$H$3:$H$6002,원본명단!$H4395)))</f>
        <v/>
      </c>
      <c r="F4396" s="11" t="str">
        <f aca="false">IF($A4396="","",IF(원본명단!$I4395="",0,COUNTIF(원본명단!$I$3:$I$6002,원본명단!$I4395)))</f>
        <v/>
      </c>
      <c r="G4396" s="11" t="str">
        <f aca="false">IF($A4396="","",IF(원본명단!$K4395="",0,COUNTIF(원본명단!$K$3:$K$6002,원본명단!$K4395)))</f>
        <v/>
      </c>
      <c r="H4396" s="11" t="str">
        <f aca="false">IF($A4396="","",IF(MAX($E4396,$F4396,$G4396)&gt;1,"중복","-"))</f>
        <v/>
      </c>
      <c r="I4396" s="11" t="str">
        <f aca="false">IF($A4396="","",IF($H4396="-","-",IF(AND(IF(원본명단!$H4395="",TRUE(),COUNTIF(원본명단!$H$3:$H4395,원본명단!$H4395)=1),IF(원본명단!$I4395="",TRUE(),COUNTIF(원본명단!$I$3:$I4395,원본명단!$I4395)=1),IF(원본명단!$K4395="",TRUE(),COUNTIF(원본명단!$K$3:$K4395,원본명단!$K4395)=1)),"첫 건","중복 건")))</f>
        <v/>
      </c>
      <c r="J4396" s="11" t="str">
        <f aca="false">IF($A4396="","",IF($H4396="-","유지",IF($I4396="첫 건","유지","확인 필요")))</f>
        <v/>
      </c>
    </row>
    <row r="4397" customFormat="false" ht="15" hidden="false" customHeight="true" outlineLevel="0" collapsed="false">
      <c r="A4397" s="11" t="str">
        <f aca="false">IF(원본명단!$A4396="","",4394)</f>
        <v/>
      </c>
      <c r="B4397" s="12" t="str">
        <f aca="false">IF($A4397="","",원본명단!$A4396)</f>
        <v/>
      </c>
      <c r="C4397" s="12" t="str">
        <f aca="false">IF($A4397="","",원본명단!$B4396)</f>
        <v/>
      </c>
      <c r="D4397" s="12" t="str">
        <f aca="false">IF($A4397="","",원본명단!$D4396)</f>
        <v/>
      </c>
      <c r="E4397" s="11" t="str">
        <f aca="false">IF($A4397="","",IF(원본명단!$H4396="",0,COUNTIF(원본명단!$H$3:$H$6002,원본명단!$H4396)))</f>
        <v/>
      </c>
      <c r="F4397" s="11" t="str">
        <f aca="false">IF($A4397="","",IF(원본명단!$I4396="",0,COUNTIF(원본명단!$I$3:$I$6002,원본명단!$I4396)))</f>
        <v/>
      </c>
      <c r="G4397" s="11" t="str">
        <f aca="false">IF($A4397="","",IF(원본명단!$K4396="",0,COUNTIF(원본명단!$K$3:$K$6002,원본명단!$K4396)))</f>
        <v/>
      </c>
      <c r="H4397" s="11" t="str">
        <f aca="false">IF($A4397="","",IF(MAX($E4397,$F4397,$G4397)&gt;1,"중복","-"))</f>
        <v/>
      </c>
      <c r="I4397" s="11" t="str">
        <f aca="false">IF($A4397="","",IF($H4397="-","-",IF(AND(IF(원본명단!$H4396="",TRUE(),COUNTIF(원본명단!$H$3:$H4396,원본명단!$H4396)=1),IF(원본명단!$I4396="",TRUE(),COUNTIF(원본명단!$I$3:$I4396,원본명단!$I4396)=1),IF(원본명단!$K4396="",TRUE(),COUNTIF(원본명단!$K$3:$K4396,원본명단!$K4396)=1)),"첫 건","중복 건")))</f>
        <v/>
      </c>
      <c r="J4397" s="11" t="str">
        <f aca="false">IF($A4397="","",IF($H4397="-","유지",IF($I4397="첫 건","유지","확인 필요")))</f>
        <v/>
      </c>
    </row>
    <row r="4398" customFormat="false" ht="15" hidden="false" customHeight="true" outlineLevel="0" collapsed="false">
      <c r="A4398" s="11" t="str">
        <f aca="false">IF(원본명단!$A4397="","",4395)</f>
        <v/>
      </c>
      <c r="B4398" s="12" t="str">
        <f aca="false">IF($A4398="","",원본명단!$A4397)</f>
        <v/>
      </c>
      <c r="C4398" s="12" t="str">
        <f aca="false">IF($A4398="","",원본명단!$B4397)</f>
        <v/>
      </c>
      <c r="D4398" s="12" t="str">
        <f aca="false">IF($A4398="","",원본명단!$D4397)</f>
        <v/>
      </c>
      <c r="E4398" s="11" t="str">
        <f aca="false">IF($A4398="","",IF(원본명단!$H4397="",0,COUNTIF(원본명단!$H$3:$H$6002,원본명단!$H4397)))</f>
        <v/>
      </c>
      <c r="F4398" s="11" t="str">
        <f aca="false">IF($A4398="","",IF(원본명단!$I4397="",0,COUNTIF(원본명단!$I$3:$I$6002,원본명단!$I4397)))</f>
        <v/>
      </c>
      <c r="G4398" s="11" t="str">
        <f aca="false">IF($A4398="","",IF(원본명단!$K4397="",0,COUNTIF(원본명단!$K$3:$K$6002,원본명단!$K4397)))</f>
        <v/>
      </c>
      <c r="H4398" s="11" t="str">
        <f aca="false">IF($A4398="","",IF(MAX($E4398,$F4398,$G4398)&gt;1,"중복","-"))</f>
        <v/>
      </c>
      <c r="I4398" s="11" t="str">
        <f aca="false">IF($A4398="","",IF($H4398="-","-",IF(AND(IF(원본명단!$H4397="",TRUE(),COUNTIF(원본명단!$H$3:$H4397,원본명단!$H4397)=1),IF(원본명단!$I4397="",TRUE(),COUNTIF(원본명단!$I$3:$I4397,원본명단!$I4397)=1),IF(원본명단!$K4397="",TRUE(),COUNTIF(원본명단!$K$3:$K4397,원본명단!$K4397)=1)),"첫 건","중복 건")))</f>
        <v/>
      </c>
      <c r="J4398" s="11" t="str">
        <f aca="false">IF($A4398="","",IF($H4398="-","유지",IF($I4398="첫 건","유지","확인 필요")))</f>
        <v/>
      </c>
    </row>
    <row r="4399" customFormat="false" ht="15" hidden="false" customHeight="true" outlineLevel="0" collapsed="false">
      <c r="A4399" s="11" t="str">
        <f aca="false">IF(원본명단!$A4398="","",4396)</f>
        <v/>
      </c>
      <c r="B4399" s="12" t="str">
        <f aca="false">IF($A4399="","",원본명단!$A4398)</f>
        <v/>
      </c>
      <c r="C4399" s="12" t="str">
        <f aca="false">IF($A4399="","",원본명단!$B4398)</f>
        <v/>
      </c>
      <c r="D4399" s="12" t="str">
        <f aca="false">IF($A4399="","",원본명단!$D4398)</f>
        <v/>
      </c>
      <c r="E4399" s="11" t="str">
        <f aca="false">IF($A4399="","",IF(원본명단!$H4398="",0,COUNTIF(원본명단!$H$3:$H$6002,원본명단!$H4398)))</f>
        <v/>
      </c>
      <c r="F4399" s="11" t="str">
        <f aca="false">IF($A4399="","",IF(원본명단!$I4398="",0,COUNTIF(원본명단!$I$3:$I$6002,원본명단!$I4398)))</f>
        <v/>
      </c>
      <c r="G4399" s="11" t="str">
        <f aca="false">IF($A4399="","",IF(원본명단!$K4398="",0,COUNTIF(원본명단!$K$3:$K$6002,원본명단!$K4398)))</f>
        <v/>
      </c>
      <c r="H4399" s="11" t="str">
        <f aca="false">IF($A4399="","",IF(MAX($E4399,$F4399,$G4399)&gt;1,"중복","-"))</f>
        <v/>
      </c>
      <c r="I4399" s="11" t="str">
        <f aca="false">IF($A4399="","",IF($H4399="-","-",IF(AND(IF(원본명단!$H4398="",TRUE(),COUNTIF(원본명단!$H$3:$H4398,원본명단!$H4398)=1),IF(원본명단!$I4398="",TRUE(),COUNTIF(원본명단!$I$3:$I4398,원본명단!$I4398)=1),IF(원본명단!$K4398="",TRUE(),COUNTIF(원본명단!$K$3:$K4398,원본명단!$K4398)=1)),"첫 건","중복 건")))</f>
        <v/>
      </c>
      <c r="J4399" s="11" t="str">
        <f aca="false">IF($A4399="","",IF($H4399="-","유지",IF($I4399="첫 건","유지","확인 필요")))</f>
        <v/>
      </c>
    </row>
    <row r="4400" customFormat="false" ht="15" hidden="false" customHeight="true" outlineLevel="0" collapsed="false">
      <c r="A4400" s="11" t="str">
        <f aca="false">IF(원본명단!$A4399="","",4397)</f>
        <v/>
      </c>
      <c r="B4400" s="12" t="str">
        <f aca="false">IF($A4400="","",원본명단!$A4399)</f>
        <v/>
      </c>
      <c r="C4400" s="12" t="str">
        <f aca="false">IF($A4400="","",원본명단!$B4399)</f>
        <v/>
      </c>
      <c r="D4400" s="12" t="str">
        <f aca="false">IF($A4400="","",원본명단!$D4399)</f>
        <v/>
      </c>
      <c r="E4400" s="11" t="str">
        <f aca="false">IF($A4400="","",IF(원본명단!$H4399="",0,COUNTIF(원본명단!$H$3:$H$6002,원본명단!$H4399)))</f>
        <v/>
      </c>
      <c r="F4400" s="11" t="str">
        <f aca="false">IF($A4400="","",IF(원본명단!$I4399="",0,COUNTIF(원본명단!$I$3:$I$6002,원본명단!$I4399)))</f>
        <v/>
      </c>
      <c r="G4400" s="11" t="str">
        <f aca="false">IF($A4400="","",IF(원본명단!$K4399="",0,COUNTIF(원본명단!$K$3:$K$6002,원본명단!$K4399)))</f>
        <v/>
      </c>
      <c r="H4400" s="11" t="str">
        <f aca="false">IF($A4400="","",IF(MAX($E4400,$F4400,$G4400)&gt;1,"중복","-"))</f>
        <v/>
      </c>
      <c r="I4400" s="11" t="str">
        <f aca="false">IF($A4400="","",IF($H4400="-","-",IF(AND(IF(원본명단!$H4399="",TRUE(),COUNTIF(원본명단!$H$3:$H4399,원본명단!$H4399)=1),IF(원본명단!$I4399="",TRUE(),COUNTIF(원본명단!$I$3:$I4399,원본명단!$I4399)=1),IF(원본명단!$K4399="",TRUE(),COUNTIF(원본명단!$K$3:$K4399,원본명단!$K4399)=1)),"첫 건","중복 건")))</f>
        <v/>
      </c>
      <c r="J4400" s="11" t="str">
        <f aca="false">IF($A4400="","",IF($H4400="-","유지",IF($I4400="첫 건","유지","확인 필요")))</f>
        <v/>
      </c>
    </row>
    <row r="4401" customFormat="false" ht="15" hidden="false" customHeight="true" outlineLevel="0" collapsed="false">
      <c r="A4401" s="11" t="str">
        <f aca="false">IF(원본명단!$A4400="","",4398)</f>
        <v/>
      </c>
      <c r="B4401" s="12" t="str">
        <f aca="false">IF($A4401="","",원본명단!$A4400)</f>
        <v/>
      </c>
      <c r="C4401" s="12" t="str">
        <f aca="false">IF($A4401="","",원본명단!$B4400)</f>
        <v/>
      </c>
      <c r="D4401" s="12" t="str">
        <f aca="false">IF($A4401="","",원본명단!$D4400)</f>
        <v/>
      </c>
      <c r="E4401" s="11" t="str">
        <f aca="false">IF($A4401="","",IF(원본명단!$H4400="",0,COUNTIF(원본명단!$H$3:$H$6002,원본명단!$H4400)))</f>
        <v/>
      </c>
      <c r="F4401" s="11" t="str">
        <f aca="false">IF($A4401="","",IF(원본명단!$I4400="",0,COUNTIF(원본명단!$I$3:$I$6002,원본명단!$I4400)))</f>
        <v/>
      </c>
      <c r="G4401" s="11" t="str">
        <f aca="false">IF($A4401="","",IF(원본명단!$K4400="",0,COUNTIF(원본명단!$K$3:$K$6002,원본명단!$K4400)))</f>
        <v/>
      </c>
      <c r="H4401" s="11" t="str">
        <f aca="false">IF($A4401="","",IF(MAX($E4401,$F4401,$G4401)&gt;1,"중복","-"))</f>
        <v/>
      </c>
      <c r="I4401" s="11" t="str">
        <f aca="false">IF($A4401="","",IF($H4401="-","-",IF(AND(IF(원본명단!$H4400="",TRUE(),COUNTIF(원본명단!$H$3:$H4400,원본명단!$H4400)=1),IF(원본명단!$I4400="",TRUE(),COUNTIF(원본명단!$I$3:$I4400,원본명단!$I4400)=1),IF(원본명단!$K4400="",TRUE(),COUNTIF(원본명단!$K$3:$K4400,원본명단!$K4400)=1)),"첫 건","중복 건")))</f>
        <v/>
      </c>
      <c r="J4401" s="11" t="str">
        <f aca="false">IF($A4401="","",IF($H4401="-","유지",IF($I4401="첫 건","유지","확인 필요")))</f>
        <v/>
      </c>
    </row>
    <row r="4402" customFormat="false" ht="15" hidden="false" customHeight="true" outlineLevel="0" collapsed="false">
      <c r="A4402" s="11" t="str">
        <f aca="false">IF(원본명단!$A4401="","",4399)</f>
        <v/>
      </c>
      <c r="B4402" s="12" t="str">
        <f aca="false">IF($A4402="","",원본명단!$A4401)</f>
        <v/>
      </c>
      <c r="C4402" s="12" t="str">
        <f aca="false">IF($A4402="","",원본명단!$B4401)</f>
        <v/>
      </c>
      <c r="D4402" s="12" t="str">
        <f aca="false">IF($A4402="","",원본명단!$D4401)</f>
        <v/>
      </c>
      <c r="E4402" s="11" t="str">
        <f aca="false">IF($A4402="","",IF(원본명단!$H4401="",0,COUNTIF(원본명단!$H$3:$H$6002,원본명단!$H4401)))</f>
        <v/>
      </c>
      <c r="F4402" s="11" t="str">
        <f aca="false">IF($A4402="","",IF(원본명단!$I4401="",0,COUNTIF(원본명단!$I$3:$I$6002,원본명단!$I4401)))</f>
        <v/>
      </c>
      <c r="G4402" s="11" t="str">
        <f aca="false">IF($A4402="","",IF(원본명단!$K4401="",0,COUNTIF(원본명단!$K$3:$K$6002,원본명단!$K4401)))</f>
        <v/>
      </c>
      <c r="H4402" s="11" t="str">
        <f aca="false">IF($A4402="","",IF(MAX($E4402,$F4402,$G4402)&gt;1,"중복","-"))</f>
        <v/>
      </c>
      <c r="I4402" s="11" t="str">
        <f aca="false">IF($A4402="","",IF($H4402="-","-",IF(AND(IF(원본명단!$H4401="",TRUE(),COUNTIF(원본명단!$H$3:$H4401,원본명단!$H4401)=1),IF(원본명단!$I4401="",TRUE(),COUNTIF(원본명단!$I$3:$I4401,원본명단!$I4401)=1),IF(원본명단!$K4401="",TRUE(),COUNTIF(원본명단!$K$3:$K4401,원본명단!$K4401)=1)),"첫 건","중복 건")))</f>
        <v/>
      </c>
      <c r="J4402" s="11" t="str">
        <f aca="false">IF($A4402="","",IF($H4402="-","유지",IF($I4402="첫 건","유지","확인 필요")))</f>
        <v/>
      </c>
    </row>
    <row r="4403" customFormat="false" ht="15" hidden="false" customHeight="true" outlineLevel="0" collapsed="false">
      <c r="A4403" s="11" t="str">
        <f aca="false">IF(원본명단!$A4402="","",4400)</f>
        <v/>
      </c>
      <c r="B4403" s="12" t="str">
        <f aca="false">IF($A4403="","",원본명단!$A4402)</f>
        <v/>
      </c>
      <c r="C4403" s="12" t="str">
        <f aca="false">IF($A4403="","",원본명단!$B4402)</f>
        <v/>
      </c>
      <c r="D4403" s="12" t="str">
        <f aca="false">IF($A4403="","",원본명단!$D4402)</f>
        <v/>
      </c>
      <c r="E4403" s="11" t="str">
        <f aca="false">IF($A4403="","",IF(원본명단!$H4402="",0,COUNTIF(원본명단!$H$3:$H$6002,원본명단!$H4402)))</f>
        <v/>
      </c>
      <c r="F4403" s="11" t="str">
        <f aca="false">IF($A4403="","",IF(원본명단!$I4402="",0,COUNTIF(원본명단!$I$3:$I$6002,원본명단!$I4402)))</f>
        <v/>
      </c>
      <c r="G4403" s="11" t="str">
        <f aca="false">IF($A4403="","",IF(원본명단!$K4402="",0,COUNTIF(원본명단!$K$3:$K$6002,원본명단!$K4402)))</f>
        <v/>
      </c>
      <c r="H4403" s="11" t="str">
        <f aca="false">IF($A4403="","",IF(MAX($E4403,$F4403,$G4403)&gt;1,"중복","-"))</f>
        <v/>
      </c>
      <c r="I4403" s="11" t="str">
        <f aca="false">IF($A4403="","",IF($H4403="-","-",IF(AND(IF(원본명단!$H4402="",TRUE(),COUNTIF(원본명단!$H$3:$H4402,원본명단!$H4402)=1),IF(원본명단!$I4402="",TRUE(),COUNTIF(원본명단!$I$3:$I4402,원본명단!$I4402)=1),IF(원본명단!$K4402="",TRUE(),COUNTIF(원본명단!$K$3:$K4402,원본명단!$K4402)=1)),"첫 건","중복 건")))</f>
        <v/>
      </c>
      <c r="J4403" s="11" t="str">
        <f aca="false">IF($A4403="","",IF($H4403="-","유지",IF($I4403="첫 건","유지","확인 필요")))</f>
        <v/>
      </c>
    </row>
    <row r="4404" customFormat="false" ht="15" hidden="false" customHeight="true" outlineLevel="0" collapsed="false">
      <c r="A4404" s="11" t="str">
        <f aca="false">IF(원본명단!$A4403="","",4401)</f>
        <v/>
      </c>
      <c r="B4404" s="12" t="str">
        <f aca="false">IF($A4404="","",원본명단!$A4403)</f>
        <v/>
      </c>
      <c r="C4404" s="12" t="str">
        <f aca="false">IF($A4404="","",원본명단!$B4403)</f>
        <v/>
      </c>
      <c r="D4404" s="12" t="str">
        <f aca="false">IF($A4404="","",원본명단!$D4403)</f>
        <v/>
      </c>
      <c r="E4404" s="11" t="str">
        <f aca="false">IF($A4404="","",IF(원본명단!$H4403="",0,COUNTIF(원본명단!$H$3:$H$6002,원본명단!$H4403)))</f>
        <v/>
      </c>
      <c r="F4404" s="11" t="str">
        <f aca="false">IF($A4404="","",IF(원본명단!$I4403="",0,COUNTIF(원본명단!$I$3:$I$6002,원본명단!$I4403)))</f>
        <v/>
      </c>
      <c r="G4404" s="11" t="str">
        <f aca="false">IF($A4404="","",IF(원본명단!$K4403="",0,COUNTIF(원본명단!$K$3:$K$6002,원본명단!$K4403)))</f>
        <v/>
      </c>
      <c r="H4404" s="11" t="str">
        <f aca="false">IF($A4404="","",IF(MAX($E4404,$F4404,$G4404)&gt;1,"중복","-"))</f>
        <v/>
      </c>
      <c r="I4404" s="11" t="str">
        <f aca="false">IF($A4404="","",IF($H4404="-","-",IF(AND(IF(원본명단!$H4403="",TRUE(),COUNTIF(원본명단!$H$3:$H4403,원본명단!$H4403)=1),IF(원본명단!$I4403="",TRUE(),COUNTIF(원본명단!$I$3:$I4403,원본명단!$I4403)=1),IF(원본명단!$K4403="",TRUE(),COUNTIF(원본명단!$K$3:$K4403,원본명단!$K4403)=1)),"첫 건","중복 건")))</f>
        <v/>
      </c>
      <c r="J4404" s="11" t="str">
        <f aca="false">IF($A4404="","",IF($H4404="-","유지",IF($I4404="첫 건","유지","확인 필요")))</f>
        <v/>
      </c>
    </row>
    <row r="4405" customFormat="false" ht="15" hidden="false" customHeight="true" outlineLevel="0" collapsed="false">
      <c r="A4405" s="11" t="str">
        <f aca="false">IF(원본명단!$A4404="","",4402)</f>
        <v/>
      </c>
      <c r="B4405" s="12" t="str">
        <f aca="false">IF($A4405="","",원본명단!$A4404)</f>
        <v/>
      </c>
      <c r="C4405" s="12" t="str">
        <f aca="false">IF($A4405="","",원본명단!$B4404)</f>
        <v/>
      </c>
      <c r="D4405" s="12" t="str">
        <f aca="false">IF($A4405="","",원본명단!$D4404)</f>
        <v/>
      </c>
      <c r="E4405" s="11" t="str">
        <f aca="false">IF($A4405="","",IF(원본명단!$H4404="",0,COUNTIF(원본명단!$H$3:$H$6002,원본명단!$H4404)))</f>
        <v/>
      </c>
      <c r="F4405" s="11" t="str">
        <f aca="false">IF($A4405="","",IF(원본명단!$I4404="",0,COUNTIF(원본명단!$I$3:$I$6002,원본명단!$I4404)))</f>
        <v/>
      </c>
      <c r="G4405" s="11" t="str">
        <f aca="false">IF($A4405="","",IF(원본명단!$K4404="",0,COUNTIF(원본명단!$K$3:$K$6002,원본명단!$K4404)))</f>
        <v/>
      </c>
      <c r="H4405" s="11" t="str">
        <f aca="false">IF($A4405="","",IF(MAX($E4405,$F4405,$G4405)&gt;1,"중복","-"))</f>
        <v/>
      </c>
      <c r="I4405" s="11" t="str">
        <f aca="false">IF($A4405="","",IF($H4405="-","-",IF(AND(IF(원본명단!$H4404="",TRUE(),COUNTIF(원본명단!$H$3:$H4404,원본명단!$H4404)=1),IF(원본명단!$I4404="",TRUE(),COUNTIF(원본명단!$I$3:$I4404,원본명단!$I4404)=1),IF(원본명단!$K4404="",TRUE(),COUNTIF(원본명단!$K$3:$K4404,원본명단!$K4404)=1)),"첫 건","중복 건")))</f>
        <v/>
      </c>
      <c r="J4405" s="11" t="str">
        <f aca="false">IF($A4405="","",IF($H4405="-","유지",IF($I4405="첫 건","유지","확인 필요")))</f>
        <v/>
      </c>
    </row>
    <row r="4406" customFormat="false" ht="15" hidden="false" customHeight="true" outlineLevel="0" collapsed="false">
      <c r="A4406" s="11" t="str">
        <f aca="false">IF(원본명단!$A4405="","",4403)</f>
        <v/>
      </c>
      <c r="B4406" s="12" t="str">
        <f aca="false">IF($A4406="","",원본명단!$A4405)</f>
        <v/>
      </c>
      <c r="C4406" s="12" t="str">
        <f aca="false">IF($A4406="","",원본명단!$B4405)</f>
        <v/>
      </c>
      <c r="D4406" s="12" t="str">
        <f aca="false">IF($A4406="","",원본명단!$D4405)</f>
        <v/>
      </c>
      <c r="E4406" s="11" t="str">
        <f aca="false">IF($A4406="","",IF(원본명단!$H4405="",0,COUNTIF(원본명단!$H$3:$H$6002,원본명단!$H4405)))</f>
        <v/>
      </c>
      <c r="F4406" s="11" t="str">
        <f aca="false">IF($A4406="","",IF(원본명단!$I4405="",0,COUNTIF(원본명단!$I$3:$I$6002,원본명단!$I4405)))</f>
        <v/>
      </c>
      <c r="G4406" s="11" t="str">
        <f aca="false">IF($A4406="","",IF(원본명단!$K4405="",0,COUNTIF(원본명단!$K$3:$K$6002,원본명단!$K4405)))</f>
        <v/>
      </c>
      <c r="H4406" s="11" t="str">
        <f aca="false">IF($A4406="","",IF(MAX($E4406,$F4406,$G4406)&gt;1,"중복","-"))</f>
        <v/>
      </c>
      <c r="I4406" s="11" t="str">
        <f aca="false">IF($A4406="","",IF($H4406="-","-",IF(AND(IF(원본명단!$H4405="",TRUE(),COUNTIF(원본명단!$H$3:$H4405,원본명단!$H4405)=1),IF(원본명단!$I4405="",TRUE(),COUNTIF(원본명단!$I$3:$I4405,원본명단!$I4405)=1),IF(원본명단!$K4405="",TRUE(),COUNTIF(원본명단!$K$3:$K4405,원본명단!$K4405)=1)),"첫 건","중복 건")))</f>
        <v/>
      </c>
      <c r="J4406" s="11" t="str">
        <f aca="false">IF($A4406="","",IF($H4406="-","유지",IF($I4406="첫 건","유지","확인 필요")))</f>
        <v/>
      </c>
    </row>
    <row r="4407" customFormat="false" ht="15" hidden="false" customHeight="true" outlineLevel="0" collapsed="false">
      <c r="A4407" s="11" t="str">
        <f aca="false">IF(원본명단!$A4406="","",4404)</f>
        <v/>
      </c>
      <c r="B4407" s="12" t="str">
        <f aca="false">IF($A4407="","",원본명단!$A4406)</f>
        <v/>
      </c>
      <c r="C4407" s="12" t="str">
        <f aca="false">IF($A4407="","",원본명단!$B4406)</f>
        <v/>
      </c>
      <c r="D4407" s="12" t="str">
        <f aca="false">IF($A4407="","",원본명단!$D4406)</f>
        <v/>
      </c>
      <c r="E4407" s="11" t="str">
        <f aca="false">IF($A4407="","",IF(원본명단!$H4406="",0,COUNTIF(원본명단!$H$3:$H$6002,원본명단!$H4406)))</f>
        <v/>
      </c>
      <c r="F4407" s="11" t="str">
        <f aca="false">IF($A4407="","",IF(원본명단!$I4406="",0,COUNTIF(원본명단!$I$3:$I$6002,원본명단!$I4406)))</f>
        <v/>
      </c>
      <c r="G4407" s="11" t="str">
        <f aca="false">IF($A4407="","",IF(원본명단!$K4406="",0,COUNTIF(원본명단!$K$3:$K$6002,원본명단!$K4406)))</f>
        <v/>
      </c>
      <c r="H4407" s="11" t="str">
        <f aca="false">IF($A4407="","",IF(MAX($E4407,$F4407,$G4407)&gt;1,"중복","-"))</f>
        <v/>
      </c>
      <c r="I4407" s="11" t="str">
        <f aca="false">IF($A4407="","",IF($H4407="-","-",IF(AND(IF(원본명단!$H4406="",TRUE(),COUNTIF(원본명단!$H$3:$H4406,원본명단!$H4406)=1),IF(원본명단!$I4406="",TRUE(),COUNTIF(원본명단!$I$3:$I4406,원본명단!$I4406)=1),IF(원본명단!$K4406="",TRUE(),COUNTIF(원본명단!$K$3:$K4406,원본명단!$K4406)=1)),"첫 건","중복 건")))</f>
        <v/>
      </c>
      <c r="J4407" s="11" t="str">
        <f aca="false">IF($A4407="","",IF($H4407="-","유지",IF($I4407="첫 건","유지","확인 필요")))</f>
        <v/>
      </c>
    </row>
    <row r="4408" customFormat="false" ht="15" hidden="false" customHeight="true" outlineLevel="0" collapsed="false">
      <c r="A4408" s="11" t="str">
        <f aca="false">IF(원본명단!$A4407="","",4405)</f>
        <v/>
      </c>
      <c r="B4408" s="12" t="str">
        <f aca="false">IF($A4408="","",원본명단!$A4407)</f>
        <v/>
      </c>
      <c r="C4408" s="12" t="str">
        <f aca="false">IF($A4408="","",원본명단!$B4407)</f>
        <v/>
      </c>
      <c r="D4408" s="12" t="str">
        <f aca="false">IF($A4408="","",원본명단!$D4407)</f>
        <v/>
      </c>
      <c r="E4408" s="11" t="str">
        <f aca="false">IF($A4408="","",IF(원본명단!$H4407="",0,COUNTIF(원본명단!$H$3:$H$6002,원본명단!$H4407)))</f>
        <v/>
      </c>
      <c r="F4408" s="11" t="str">
        <f aca="false">IF($A4408="","",IF(원본명단!$I4407="",0,COUNTIF(원본명단!$I$3:$I$6002,원본명단!$I4407)))</f>
        <v/>
      </c>
      <c r="G4408" s="11" t="str">
        <f aca="false">IF($A4408="","",IF(원본명단!$K4407="",0,COUNTIF(원본명단!$K$3:$K$6002,원본명단!$K4407)))</f>
        <v/>
      </c>
      <c r="H4408" s="11" t="str">
        <f aca="false">IF($A4408="","",IF(MAX($E4408,$F4408,$G4408)&gt;1,"중복","-"))</f>
        <v/>
      </c>
      <c r="I4408" s="11" t="str">
        <f aca="false">IF($A4408="","",IF($H4408="-","-",IF(AND(IF(원본명단!$H4407="",TRUE(),COUNTIF(원본명단!$H$3:$H4407,원본명단!$H4407)=1),IF(원본명단!$I4407="",TRUE(),COUNTIF(원본명단!$I$3:$I4407,원본명단!$I4407)=1),IF(원본명단!$K4407="",TRUE(),COUNTIF(원본명단!$K$3:$K4407,원본명단!$K4407)=1)),"첫 건","중복 건")))</f>
        <v/>
      </c>
      <c r="J4408" s="11" t="str">
        <f aca="false">IF($A4408="","",IF($H4408="-","유지",IF($I4408="첫 건","유지","확인 필요")))</f>
        <v/>
      </c>
    </row>
    <row r="4409" customFormat="false" ht="15" hidden="false" customHeight="true" outlineLevel="0" collapsed="false">
      <c r="A4409" s="11" t="str">
        <f aca="false">IF(원본명단!$A4408="","",4406)</f>
        <v/>
      </c>
      <c r="B4409" s="12" t="str">
        <f aca="false">IF($A4409="","",원본명단!$A4408)</f>
        <v/>
      </c>
      <c r="C4409" s="12" t="str">
        <f aca="false">IF($A4409="","",원본명단!$B4408)</f>
        <v/>
      </c>
      <c r="D4409" s="12" t="str">
        <f aca="false">IF($A4409="","",원본명단!$D4408)</f>
        <v/>
      </c>
      <c r="E4409" s="11" t="str">
        <f aca="false">IF($A4409="","",IF(원본명단!$H4408="",0,COUNTIF(원본명단!$H$3:$H$6002,원본명단!$H4408)))</f>
        <v/>
      </c>
      <c r="F4409" s="11" t="str">
        <f aca="false">IF($A4409="","",IF(원본명단!$I4408="",0,COUNTIF(원본명단!$I$3:$I$6002,원본명단!$I4408)))</f>
        <v/>
      </c>
      <c r="G4409" s="11" t="str">
        <f aca="false">IF($A4409="","",IF(원본명단!$K4408="",0,COUNTIF(원본명단!$K$3:$K$6002,원본명단!$K4408)))</f>
        <v/>
      </c>
      <c r="H4409" s="11" t="str">
        <f aca="false">IF($A4409="","",IF(MAX($E4409,$F4409,$G4409)&gt;1,"중복","-"))</f>
        <v/>
      </c>
      <c r="I4409" s="11" t="str">
        <f aca="false">IF($A4409="","",IF($H4409="-","-",IF(AND(IF(원본명단!$H4408="",TRUE(),COUNTIF(원본명단!$H$3:$H4408,원본명단!$H4408)=1),IF(원본명단!$I4408="",TRUE(),COUNTIF(원본명단!$I$3:$I4408,원본명단!$I4408)=1),IF(원본명단!$K4408="",TRUE(),COUNTIF(원본명단!$K$3:$K4408,원본명단!$K4408)=1)),"첫 건","중복 건")))</f>
        <v/>
      </c>
      <c r="J4409" s="11" t="str">
        <f aca="false">IF($A4409="","",IF($H4409="-","유지",IF($I4409="첫 건","유지","확인 필요")))</f>
        <v/>
      </c>
    </row>
    <row r="4410" customFormat="false" ht="15" hidden="false" customHeight="true" outlineLevel="0" collapsed="false">
      <c r="A4410" s="11" t="str">
        <f aca="false">IF(원본명단!$A4409="","",4407)</f>
        <v/>
      </c>
      <c r="B4410" s="12" t="str">
        <f aca="false">IF($A4410="","",원본명단!$A4409)</f>
        <v/>
      </c>
      <c r="C4410" s="12" t="str">
        <f aca="false">IF($A4410="","",원본명단!$B4409)</f>
        <v/>
      </c>
      <c r="D4410" s="12" t="str">
        <f aca="false">IF($A4410="","",원본명단!$D4409)</f>
        <v/>
      </c>
      <c r="E4410" s="11" t="str">
        <f aca="false">IF($A4410="","",IF(원본명단!$H4409="",0,COUNTIF(원본명단!$H$3:$H$6002,원본명단!$H4409)))</f>
        <v/>
      </c>
      <c r="F4410" s="11" t="str">
        <f aca="false">IF($A4410="","",IF(원본명단!$I4409="",0,COUNTIF(원본명단!$I$3:$I$6002,원본명단!$I4409)))</f>
        <v/>
      </c>
      <c r="G4410" s="11" t="str">
        <f aca="false">IF($A4410="","",IF(원본명단!$K4409="",0,COUNTIF(원본명단!$K$3:$K$6002,원본명단!$K4409)))</f>
        <v/>
      </c>
      <c r="H4410" s="11" t="str">
        <f aca="false">IF($A4410="","",IF(MAX($E4410,$F4410,$G4410)&gt;1,"중복","-"))</f>
        <v/>
      </c>
      <c r="I4410" s="11" t="str">
        <f aca="false">IF($A4410="","",IF($H4410="-","-",IF(AND(IF(원본명단!$H4409="",TRUE(),COUNTIF(원본명단!$H$3:$H4409,원본명단!$H4409)=1),IF(원본명단!$I4409="",TRUE(),COUNTIF(원본명단!$I$3:$I4409,원본명단!$I4409)=1),IF(원본명단!$K4409="",TRUE(),COUNTIF(원본명단!$K$3:$K4409,원본명단!$K4409)=1)),"첫 건","중복 건")))</f>
        <v/>
      </c>
      <c r="J4410" s="11" t="str">
        <f aca="false">IF($A4410="","",IF($H4410="-","유지",IF($I4410="첫 건","유지","확인 필요")))</f>
        <v/>
      </c>
    </row>
    <row r="4411" customFormat="false" ht="15" hidden="false" customHeight="true" outlineLevel="0" collapsed="false">
      <c r="A4411" s="11" t="str">
        <f aca="false">IF(원본명단!$A4410="","",4408)</f>
        <v/>
      </c>
      <c r="B4411" s="12" t="str">
        <f aca="false">IF($A4411="","",원본명단!$A4410)</f>
        <v/>
      </c>
      <c r="C4411" s="12" t="str">
        <f aca="false">IF($A4411="","",원본명단!$B4410)</f>
        <v/>
      </c>
      <c r="D4411" s="12" t="str">
        <f aca="false">IF($A4411="","",원본명단!$D4410)</f>
        <v/>
      </c>
      <c r="E4411" s="11" t="str">
        <f aca="false">IF($A4411="","",IF(원본명단!$H4410="",0,COUNTIF(원본명단!$H$3:$H$6002,원본명단!$H4410)))</f>
        <v/>
      </c>
      <c r="F4411" s="11" t="str">
        <f aca="false">IF($A4411="","",IF(원본명단!$I4410="",0,COUNTIF(원본명단!$I$3:$I$6002,원본명단!$I4410)))</f>
        <v/>
      </c>
      <c r="G4411" s="11" t="str">
        <f aca="false">IF($A4411="","",IF(원본명단!$K4410="",0,COUNTIF(원본명단!$K$3:$K$6002,원본명단!$K4410)))</f>
        <v/>
      </c>
      <c r="H4411" s="11" t="str">
        <f aca="false">IF($A4411="","",IF(MAX($E4411,$F4411,$G4411)&gt;1,"중복","-"))</f>
        <v/>
      </c>
      <c r="I4411" s="11" t="str">
        <f aca="false">IF($A4411="","",IF($H4411="-","-",IF(AND(IF(원본명단!$H4410="",TRUE(),COUNTIF(원본명단!$H$3:$H4410,원본명단!$H4410)=1),IF(원본명단!$I4410="",TRUE(),COUNTIF(원본명단!$I$3:$I4410,원본명단!$I4410)=1),IF(원본명단!$K4410="",TRUE(),COUNTIF(원본명단!$K$3:$K4410,원본명단!$K4410)=1)),"첫 건","중복 건")))</f>
        <v/>
      </c>
      <c r="J4411" s="11" t="str">
        <f aca="false">IF($A4411="","",IF($H4411="-","유지",IF($I4411="첫 건","유지","확인 필요")))</f>
        <v/>
      </c>
    </row>
    <row r="4412" customFormat="false" ht="15" hidden="false" customHeight="true" outlineLevel="0" collapsed="false">
      <c r="A4412" s="11" t="str">
        <f aca="false">IF(원본명단!$A4411="","",4409)</f>
        <v/>
      </c>
      <c r="B4412" s="12" t="str">
        <f aca="false">IF($A4412="","",원본명단!$A4411)</f>
        <v/>
      </c>
      <c r="C4412" s="12" t="str">
        <f aca="false">IF($A4412="","",원본명단!$B4411)</f>
        <v/>
      </c>
      <c r="D4412" s="12" t="str">
        <f aca="false">IF($A4412="","",원본명단!$D4411)</f>
        <v/>
      </c>
      <c r="E4412" s="11" t="str">
        <f aca="false">IF($A4412="","",IF(원본명단!$H4411="",0,COUNTIF(원본명단!$H$3:$H$6002,원본명단!$H4411)))</f>
        <v/>
      </c>
      <c r="F4412" s="11" t="str">
        <f aca="false">IF($A4412="","",IF(원본명단!$I4411="",0,COUNTIF(원본명단!$I$3:$I$6002,원본명단!$I4411)))</f>
        <v/>
      </c>
      <c r="G4412" s="11" t="str">
        <f aca="false">IF($A4412="","",IF(원본명단!$K4411="",0,COUNTIF(원본명단!$K$3:$K$6002,원본명단!$K4411)))</f>
        <v/>
      </c>
      <c r="H4412" s="11" t="str">
        <f aca="false">IF($A4412="","",IF(MAX($E4412,$F4412,$G4412)&gt;1,"중복","-"))</f>
        <v/>
      </c>
      <c r="I4412" s="11" t="str">
        <f aca="false">IF($A4412="","",IF($H4412="-","-",IF(AND(IF(원본명단!$H4411="",TRUE(),COUNTIF(원본명단!$H$3:$H4411,원본명단!$H4411)=1),IF(원본명단!$I4411="",TRUE(),COUNTIF(원본명단!$I$3:$I4411,원본명단!$I4411)=1),IF(원본명단!$K4411="",TRUE(),COUNTIF(원본명단!$K$3:$K4411,원본명단!$K4411)=1)),"첫 건","중복 건")))</f>
        <v/>
      </c>
      <c r="J4412" s="11" t="str">
        <f aca="false">IF($A4412="","",IF($H4412="-","유지",IF($I4412="첫 건","유지","확인 필요")))</f>
        <v/>
      </c>
    </row>
    <row r="4413" customFormat="false" ht="15" hidden="false" customHeight="true" outlineLevel="0" collapsed="false">
      <c r="A4413" s="11" t="str">
        <f aca="false">IF(원본명단!$A4412="","",4410)</f>
        <v/>
      </c>
      <c r="B4413" s="12" t="str">
        <f aca="false">IF($A4413="","",원본명단!$A4412)</f>
        <v/>
      </c>
      <c r="C4413" s="12" t="str">
        <f aca="false">IF($A4413="","",원본명단!$B4412)</f>
        <v/>
      </c>
      <c r="D4413" s="12" t="str">
        <f aca="false">IF($A4413="","",원본명단!$D4412)</f>
        <v/>
      </c>
      <c r="E4413" s="11" t="str">
        <f aca="false">IF($A4413="","",IF(원본명단!$H4412="",0,COUNTIF(원본명단!$H$3:$H$6002,원본명단!$H4412)))</f>
        <v/>
      </c>
      <c r="F4413" s="11" t="str">
        <f aca="false">IF($A4413="","",IF(원본명단!$I4412="",0,COUNTIF(원본명단!$I$3:$I$6002,원본명단!$I4412)))</f>
        <v/>
      </c>
      <c r="G4413" s="11" t="str">
        <f aca="false">IF($A4413="","",IF(원본명단!$K4412="",0,COUNTIF(원본명단!$K$3:$K$6002,원본명단!$K4412)))</f>
        <v/>
      </c>
      <c r="H4413" s="11" t="str">
        <f aca="false">IF($A4413="","",IF(MAX($E4413,$F4413,$G4413)&gt;1,"중복","-"))</f>
        <v/>
      </c>
      <c r="I4413" s="11" t="str">
        <f aca="false">IF($A4413="","",IF($H4413="-","-",IF(AND(IF(원본명단!$H4412="",TRUE(),COUNTIF(원본명단!$H$3:$H4412,원본명단!$H4412)=1),IF(원본명단!$I4412="",TRUE(),COUNTIF(원본명단!$I$3:$I4412,원본명단!$I4412)=1),IF(원본명단!$K4412="",TRUE(),COUNTIF(원본명단!$K$3:$K4412,원본명단!$K4412)=1)),"첫 건","중복 건")))</f>
        <v/>
      </c>
      <c r="J4413" s="11" t="str">
        <f aca="false">IF($A4413="","",IF($H4413="-","유지",IF($I4413="첫 건","유지","확인 필요")))</f>
        <v/>
      </c>
    </row>
    <row r="4414" customFormat="false" ht="15" hidden="false" customHeight="true" outlineLevel="0" collapsed="false">
      <c r="A4414" s="11" t="str">
        <f aca="false">IF(원본명단!$A4413="","",4411)</f>
        <v/>
      </c>
      <c r="B4414" s="12" t="str">
        <f aca="false">IF($A4414="","",원본명단!$A4413)</f>
        <v/>
      </c>
      <c r="C4414" s="12" t="str">
        <f aca="false">IF($A4414="","",원본명단!$B4413)</f>
        <v/>
      </c>
      <c r="D4414" s="12" t="str">
        <f aca="false">IF($A4414="","",원본명단!$D4413)</f>
        <v/>
      </c>
      <c r="E4414" s="11" t="str">
        <f aca="false">IF($A4414="","",IF(원본명단!$H4413="",0,COUNTIF(원본명단!$H$3:$H$6002,원본명단!$H4413)))</f>
        <v/>
      </c>
      <c r="F4414" s="11" t="str">
        <f aca="false">IF($A4414="","",IF(원본명단!$I4413="",0,COUNTIF(원본명단!$I$3:$I$6002,원본명단!$I4413)))</f>
        <v/>
      </c>
      <c r="G4414" s="11" t="str">
        <f aca="false">IF($A4414="","",IF(원본명단!$K4413="",0,COUNTIF(원본명단!$K$3:$K$6002,원본명단!$K4413)))</f>
        <v/>
      </c>
      <c r="H4414" s="11" t="str">
        <f aca="false">IF($A4414="","",IF(MAX($E4414,$F4414,$G4414)&gt;1,"중복","-"))</f>
        <v/>
      </c>
      <c r="I4414" s="11" t="str">
        <f aca="false">IF($A4414="","",IF($H4414="-","-",IF(AND(IF(원본명단!$H4413="",TRUE(),COUNTIF(원본명단!$H$3:$H4413,원본명단!$H4413)=1),IF(원본명단!$I4413="",TRUE(),COUNTIF(원본명단!$I$3:$I4413,원본명단!$I4413)=1),IF(원본명단!$K4413="",TRUE(),COUNTIF(원본명단!$K$3:$K4413,원본명단!$K4413)=1)),"첫 건","중복 건")))</f>
        <v/>
      </c>
      <c r="J4414" s="11" t="str">
        <f aca="false">IF($A4414="","",IF($H4414="-","유지",IF($I4414="첫 건","유지","확인 필요")))</f>
        <v/>
      </c>
    </row>
    <row r="4415" customFormat="false" ht="15" hidden="false" customHeight="true" outlineLevel="0" collapsed="false">
      <c r="A4415" s="11" t="str">
        <f aca="false">IF(원본명단!$A4414="","",4412)</f>
        <v/>
      </c>
      <c r="B4415" s="12" t="str">
        <f aca="false">IF($A4415="","",원본명단!$A4414)</f>
        <v/>
      </c>
      <c r="C4415" s="12" t="str">
        <f aca="false">IF($A4415="","",원본명단!$B4414)</f>
        <v/>
      </c>
      <c r="D4415" s="12" t="str">
        <f aca="false">IF($A4415="","",원본명단!$D4414)</f>
        <v/>
      </c>
      <c r="E4415" s="11" t="str">
        <f aca="false">IF($A4415="","",IF(원본명단!$H4414="",0,COUNTIF(원본명단!$H$3:$H$6002,원본명단!$H4414)))</f>
        <v/>
      </c>
      <c r="F4415" s="11" t="str">
        <f aca="false">IF($A4415="","",IF(원본명단!$I4414="",0,COUNTIF(원본명단!$I$3:$I$6002,원본명단!$I4414)))</f>
        <v/>
      </c>
      <c r="G4415" s="11" t="str">
        <f aca="false">IF($A4415="","",IF(원본명단!$K4414="",0,COUNTIF(원본명단!$K$3:$K$6002,원본명단!$K4414)))</f>
        <v/>
      </c>
      <c r="H4415" s="11" t="str">
        <f aca="false">IF($A4415="","",IF(MAX($E4415,$F4415,$G4415)&gt;1,"중복","-"))</f>
        <v/>
      </c>
      <c r="I4415" s="11" t="str">
        <f aca="false">IF($A4415="","",IF($H4415="-","-",IF(AND(IF(원본명단!$H4414="",TRUE(),COUNTIF(원본명단!$H$3:$H4414,원본명단!$H4414)=1),IF(원본명단!$I4414="",TRUE(),COUNTIF(원본명단!$I$3:$I4414,원본명단!$I4414)=1),IF(원본명단!$K4414="",TRUE(),COUNTIF(원본명단!$K$3:$K4414,원본명단!$K4414)=1)),"첫 건","중복 건")))</f>
        <v/>
      </c>
      <c r="J4415" s="11" t="str">
        <f aca="false">IF($A4415="","",IF($H4415="-","유지",IF($I4415="첫 건","유지","확인 필요")))</f>
        <v/>
      </c>
    </row>
    <row r="4416" customFormat="false" ht="15" hidden="false" customHeight="true" outlineLevel="0" collapsed="false">
      <c r="A4416" s="11" t="str">
        <f aca="false">IF(원본명단!$A4415="","",4413)</f>
        <v/>
      </c>
      <c r="B4416" s="12" t="str">
        <f aca="false">IF($A4416="","",원본명단!$A4415)</f>
        <v/>
      </c>
      <c r="C4416" s="12" t="str">
        <f aca="false">IF($A4416="","",원본명단!$B4415)</f>
        <v/>
      </c>
      <c r="D4416" s="12" t="str">
        <f aca="false">IF($A4416="","",원본명단!$D4415)</f>
        <v/>
      </c>
      <c r="E4416" s="11" t="str">
        <f aca="false">IF($A4416="","",IF(원본명단!$H4415="",0,COUNTIF(원본명단!$H$3:$H$6002,원본명단!$H4415)))</f>
        <v/>
      </c>
      <c r="F4416" s="11" t="str">
        <f aca="false">IF($A4416="","",IF(원본명단!$I4415="",0,COUNTIF(원본명단!$I$3:$I$6002,원본명단!$I4415)))</f>
        <v/>
      </c>
      <c r="G4416" s="11" t="str">
        <f aca="false">IF($A4416="","",IF(원본명단!$K4415="",0,COUNTIF(원본명단!$K$3:$K$6002,원본명단!$K4415)))</f>
        <v/>
      </c>
      <c r="H4416" s="11" t="str">
        <f aca="false">IF($A4416="","",IF(MAX($E4416,$F4416,$G4416)&gt;1,"중복","-"))</f>
        <v/>
      </c>
      <c r="I4416" s="11" t="str">
        <f aca="false">IF($A4416="","",IF($H4416="-","-",IF(AND(IF(원본명단!$H4415="",TRUE(),COUNTIF(원본명단!$H$3:$H4415,원본명단!$H4415)=1),IF(원본명단!$I4415="",TRUE(),COUNTIF(원본명단!$I$3:$I4415,원본명단!$I4415)=1),IF(원본명단!$K4415="",TRUE(),COUNTIF(원본명단!$K$3:$K4415,원본명단!$K4415)=1)),"첫 건","중복 건")))</f>
        <v/>
      </c>
      <c r="J4416" s="11" t="str">
        <f aca="false">IF($A4416="","",IF($H4416="-","유지",IF($I4416="첫 건","유지","확인 필요")))</f>
        <v/>
      </c>
    </row>
    <row r="4417" customFormat="false" ht="15" hidden="false" customHeight="true" outlineLevel="0" collapsed="false">
      <c r="A4417" s="11" t="str">
        <f aca="false">IF(원본명단!$A4416="","",4414)</f>
        <v/>
      </c>
      <c r="B4417" s="12" t="str">
        <f aca="false">IF($A4417="","",원본명단!$A4416)</f>
        <v/>
      </c>
      <c r="C4417" s="12" t="str">
        <f aca="false">IF($A4417="","",원본명단!$B4416)</f>
        <v/>
      </c>
      <c r="D4417" s="12" t="str">
        <f aca="false">IF($A4417="","",원본명단!$D4416)</f>
        <v/>
      </c>
      <c r="E4417" s="11" t="str">
        <f aca="false">IF($A4417="","",IF(원본명단!$H4416="",0,COUNTIF(원본명단!$H$3:$H$6002,원본명단!$H4416)))</f>
        <v/>
      </c>
      <c r="F4417" s="11" t="str">
        <f aca="false">IF($A4417="","",IF(원본명단!$I4416="",0,COUNTIF(원본명단!$I$3:$I$6002,원본명단!$I4416)))</f>
        <v/>
      </c>
      <c r="G4417" s="11" t="str">
        <f aca="false">IF($A4417="","",IF(원본명단!$K4416="",0,COUNTIF(원본명단!$K$3:$K$6002,원본명단!$K4416)))</f>
        <v/>
      </c>
      <c r="H4417" s="11" t="str">
        <f aca="false">IF($A4417="","",IF(MAX($E4417,$F4417,$G4417)&gt;1,"중복","-"))</f>
        <v/>
      </c>
      <c r="I4417" s="11" t="str">
        <f aca="false">IF($A4417="","",IF($H4417="-","-",IF(AND(IF(원본명단!$H4416="",TRUE(),COUNTIF(원본명단!$H$3:$H4416,원본명단!$H4416)=1),IF(원본명단!$I4416="",TRUE(),COUNTIF(원본명단!$I$3:$I4416,원본명단!$I4416)=1),IF(원본명단!$K4416="",TRUE(),COUNTIF(원본명단!$K$3:$K4416,원본명단!$K4416)=1)),"첫 건","중복 건")))</f>
        <v/>
      </c>
      <c r="J4417" s="11" t="str">
        <f aca="false">IF($A4417="","",IF($H4417="-","유지",IF($I4417="첫 건","유지","확인 필요")))</f>
        <v/>
      </c>
    </row>
    <row r="4418" customFormat="false" ht="15" hidden="false" customHeight="true" outlineLevel="0" collapsed="false">
      <c r="A4418" s="11" t="str">
        <f aca="false">IF(원본명단!$A4417="","",4415)</f>
        <v/>
      </c>
      <c r="B4418" s="12" t="str">
        <f aca="false">IF($A4418="","",원본명단!$A4417)</f>
        <v/>
      </c>
      <c r="C4418" s="12" t="str">
        <f aca="false">IF($A4418="","",원본명단!$B4417)</f>
        <v/>
      </c>
      <c r="D4418" s="12" t="str">
        <f aca="false">IF($A4418="","",원본명단!$D4417)</f>
        <v/>
      </c>
      <c r="E4418" s="11" t="str">
        <f aca="false">IF($A4418="","",IF(원본명단!$H4417="",0,COUNTIF(원본명단!$H$3:$H$6002,원본명단!$H4417)))</f>
        <v/>
      </c>
      <c r="F4418" s="11" t="str">
        <f aca="false">IF($A4418="","",IF(원본명단!$I4417="",0,COUNTIF(원본명단!$I$3:$I$6002,원본명단!$I4417)))</f>
        <v/>
      </c>
      <c r="G4418" s="11" t="str">
        <f aca="false">IF($A4418="","",IF(원본명단!$K4417="",0,COUNTIF(원본명단!$K$3:$K$6002,원본명단!$K4417)))</f>
        <v/>
      </c>
      <c r="H4418" s="11" t="str">
        <f aca="false">IF($A4418="","",IF(MAX($E4418,$F4418,$G4418)&gt;1,"중복","-"))</f>
        <v/>
      </c>
      <c r="I4418" s="11" t="str">
        <f aca="false">IF($A4418="","",IF($H4418="-","-",IF(AND(IF(원본명단!$H4417="",TRUE(),COUNTIF(원본명단!$H$3:$H4417,원본명단!$H4417)=1),IF(원본명단!$I4417="",TRUE(),COUNTIF(원본명단!$I$3:$I4417,원본명단!$I4417)=1),IF(원본명단!$K4417="",TRUE(),COUNTIF(원본명단!$K$3:$K4417,원본명단!$K4417)=1)),"첫 건","중복 건")))</f>
        <v/>
      </c>
      <c r="J4418" s="11" t="str">
        <f aca="false">IF($A4418="","",IF($H4418="-","유지",IF($I4418="첫 건","유지","확인 필요")))</f>
        <v/>
      </c>
    </row>
    <row r="4419" customFormat="false" ht="15" hidden="false" customHeight="true" outlineLevel="0" collapsed="false">
      <c r="A4419" s="11" t="str">
        <f aca="false">IF(원본명단!$A4418="","",4416)</f>
        <v/>
      </c>
      <c r="B4419" s="12" t="str">
        <f aca="false">IF($A4419="","",원본명단!$A4418)</f>
        <v/>
      </c>
      <c r="C4419" s="12" t="str">
        <f aca="false">IF($A4419="","",원본명단!$B4418)</f>
        <v/>
      </c>
      <c r="D4419" s="12" t="str">
        <f aca="false">IF($A4419="","",원본명단!$D4418)</f>
        <v/>
      </c>
      <c r="E4419" s="11" t="str">
        <f aca="false">IF($A4419="","",IF(원본명단!$H4418="",0,COUNTIF(원본명단!$H$3:$H$6002,원본명단!$H4418)))</f>
        <v/>
      </c>
      <c r="F4419" s="11" t="str">
        <f aca="false">IF($A4419="","",IF(원본명단!$I4418="",0,COUNTIF(원본명단!$I$3:$I$6002,원본명단!$I4418)))</f>
        <v/>
      </c>
      <c r="G4419" s="11" t="str">
        <f aca="false">IF($A4419="","",IF(원본명단!$K4418="",0,COUNTIF(원본명단!$K$3:$K$6002,원본명단!$K4418)))</f>
        <v/>
      </c>
      <c r="H4419" s="11" t="str">
        <f aca="false">IF($A4419="","",IF(MAX($E4419,$F4419,$G4419)&gt;1,"중복","-"))</f>
        <v/>
      </c>
      <c r="I4419" s="11" t="str">
        <f aca="false">IF($A4419="","",IF($H4419="-","-",IF(AND(IF(원본명단!$H4418="",TRUE(),COUNTIF(원본명단!$H$3:$H4418,원본명단!$H4418)=1),IF(원본명단!$I4418="",TRUE(),COUNTIF(원본명단!$I$3:$I4418,원본명단!$I4418)=1),IF(원본명단!$K4418="",TRUE(),COUNTIF(원본명단!$K$3:$K4418,원본명단!$K4418)=1)),"첫 건","중복 건")))</f>
        <v/>
      </c>
      <c r="J4419" s="11" t="str">
        <f aca="false">IF($A4419="","",IF($H4419="-","유지",IF($I4419="첫 건","유지","확인 필요")))</f>
        <v/>
      </c>
    </row>
    <row r="4420" customFormat="false" ht="15" hidden="false" customHeight="true" outlineLevel="0" collapsed="false">
      <c r="A4420" s="11" t="str">
        <f aca="false">IF(원본명단!$A4419="","",4417)</f>
        <v/>
      </c>
      <c r="B4420" s="12" t="str">
        <f aca="false">IF($A4420="","",원본명단!$A4419)</f>
        <v/>
      </c>
      <c r="C4420" s="12" t="str">
        <f aca="false">IF($A4420="","",원본명단!$B4419)</f>
        <v/>
      </c>
      <c r="D4420" s="12" t="str">
        <f aca="false">IF($A4420="","",원본명단!$D4419)</f>
        <v/>
      </c>
      <c r="E4420" s="11" t="str">
        <f aca="false">IF($A4420="","",IF(원본명단!$H4419="",0,COUNTIF(원본명단!$H$3:$H$6002,원본명단!$H4419)))</f>
        <v/>
      </c>
      <c r="F4420" s="11" t="str">
        <f aca="false">IF($A4420="","",IF(원본명단!$I4419="",0,COUNTIF(원본명단!$I$3:$I$6002,원본명단!$I4419)))</f>
        <v/>
      </c>
      <c r="G4420" s="11" t="str">
        <f aca="false">IF($A4420="","",IF(원본명단!$K4419="",0,COUNTIF(원본명단!$K$3:$K$6002,원본명단!$K4419)))</f>
        <v/>
      </c>
      <c r="H4420" s="11" t="str">
        <f aca="false">IF($A4420="","",IF(MAX($E4420,$F4420,$G4420)&gt;1,"중복","-"))</f>
        <v/>
      </c>
      <c r="I4420" s="11" t="str">
        <f aca="false">IF($A4420="","",IF($H4420="-","-",IF(AND(IF(원본명단!$H4419="",TRUE(),COUNTIF(원본명단!$H$3:$H4419,원본명단!$H4419)=1),IF(원본명단!$I4419="",TRUE(),COUNTIF(원본명단!$I$3:$I4419,원본명단!$I4419)=1),IF(원본명단!$K4419="",TRUE(),COUNTIF(원본명단!$K$3:$K4419,원본명단!$K4419)=1)),"첫 건","중복 건")))</f>
        <v/>
      </c>
      <c r="J4420" s="11" t="str">
        <f aca="false">IF($A4420="","",IF($H4420="-","유지",IF($I4420="첫 건","유지","확인 필요")))</f>
        <v/>
      </c>
    </row>
    <row r="4421" customFormat="false" ht="15" hidden="false" customHeight="true" outlineLevel="0" collapsed="false">
      <c r="A4421" s="11" t="str">
        <f aca="false">IF(원본명단!$A4420="","",4418)</f>
        <v/>
      </c>
      <c r="B4421" s="12" t="str">
        <f aca="false">IF($A4421="","",원본명단!$A4420)</f>
        <v/>
      </c>
      <c r="C4421" s="12" t="str">
        <f aca="false">IF($A4421="","",원본명단!$B4420)</f>
        <v/>
      </c>
      <c r="D4421" s="12" t="str">
        <f aca="false">IF($A4421="","",원본명단!$D4420)</f>
        <v/>
      </c>
      <c r="E4421" s="11" t="str">
        <f aca="false">IF($A4421="","",IF(원본명단!$H4420="",0,COUNTIF(원본명단!$H$3:$H$6002,원본명단!$H4420)))</f>
        <v/>
      </c>
      <c r="F4421" s="11" t="str">
        <f aca="false">IF($A4421="","",IF(원본명단!$I4420="",0,COUNTIF(원본명단!$I$3:$I$6002,원본명단!$I4420)))</f>
        <v/>
      </c>
      <c r="G4421" s="11" t="str">
        <f aca="false">IF($A4421="","",IF(원본명단!$K4420="",0,COUNTIF(원본명단!$K$3:$K$6002,원본명단!$K4420)))</f>
        <v/>
      </c>
      <c r="H4421" s="11" t="str">
        <f aca="false">IF($A4421="","",IF(MAX($E4421,$F4421,$G4421)&gt;1,"중복","-"))</f>
        <v/>
      </c>
      <c r="I4421" s="11" t="str">
        <f aca="false">IF($A4421="","",IF($H4421="-","-",IF(AND(IF(원본명단!$H4420="",TRUE(),COUNTIF(원본명단!$H$3:$H4420,원본명단!$H4420)=1),IF(원본명단!$I4420="",TRUE(),COUNTIF(원본명단!$I$3:$I4420,원본명단!$I4420)=1),IF(원본명단!$K4420="",TRUE(),COUNTIF(원본명단!$K$3:$K4420,원본명단!$K4420)=1)),"첫 건","중복 건")))</f>
        <v/>
      </c>
      <c r="J4421" s="11" t="str">
        <f aca="false">IF($A4421="","",IF($H4421="-","유지",IF($I4421="첫 건","유지","확인 필요")))</f>
        <v/>
      </c>
    </row>
    <row r="4422" customFormat="false" ht="15" hidden="false" customHeight="true" outlineLevel="0" collapsed="false">
      <c r="A4422" s="11" t="str">
        <f aca="false">IF(원본명단!$A4421="","",4419)</f>
        <v/>
      </c>
      <c r="B4422" s="12" t="str">
        <f aca="false">IF($A4422="","",원본명단!$A4421)</f>
        <v/>
      </c>
      <c r="C4422" s="12" t="str">
        <f aca="false">IF($A4422="","",원본명단!$B4421)</f>
        <v/>
      </c>
      <c r="D4422" s="12" t="str">
        <f aca="false">IF($A4422="","",원본명단!$D4421)</f>
        <v/>
      </c>
      <c r="E4422" s="11" t="str">
        <f aca="false">IF($A4422="","",IF(원본명단!$H4421="",0,COUNTIF(원본명단!$H$3:$H$6002,원본명단!$H4421)))</f>
        <v/>
      </c>
      <c r="F4422" s="11" t="str">
        <f aca="false">IF($A4422="","",IF(원본명단!$I4421="",0,COUNTIF(원본명단!$I$3:$I$6002,원본명단!$I4421)))</f>
        <v/>
      </c>
      <c r="G4422" s="11" t="str">
        <f aca="false">IF($A4422="","",IF(원본명단!$K4421="",0,COUNTIF(원본명단!$K$3:$K$6002,원본명단!$K4421)))</f>
        <v/>
      </c>
      <c r="H4422" s="11" t="str">
        <f aca="false">IF($A4422="","",IF(MAX($E4422,$F4422,$G4422)&gt;1,"중복","-"))</f>
        <v/>
      </c>
      <c r="I4422" s="11" t="str">
        <f aca="false">IF($A4422="","",IF($H4422="-","-",IF(AND(IF(원본명단!$H4421="",TRUE(),COUNTIF(원본명단!$H$3:$H4421,원본명단!$H4421)=1),IF(원본명단!$I4421="",TRUE(),COUNTIF(원본명단!$I$3:$I4421,원본명단!$I4421)=1),IF(원본명단!$K4421="",TRUE(),COUNTIF(원본명단!$K$3:$K4421,원본명단!$K4421)=1)),"첫 건","중복 건")))</f>
        <v/>
      </c>
      <c r="J4422" s="11" t="str">
        <f aca="false">IF($A4422="","",IF($H4422="-","유지",IF($I4422="첫 건","유지","확인 필요")))</f>
        <v/>
      </c>
    </row>
    <row r="4423" customFormat="false" ht="15" hidden="false" customHeight="true" outlineLevel="0" collapsed="false">
      <c r="A4423" s="11" t="str">
        <f aca="false">IF(원본명단!$A4422="","",4420)</f>
        <v/>
      </c>
      <c r="B4423" s="12" t="str">
        <f aca="false">IF($A4423="","",원본명단!$A4422)</f>
        <v/>
      </c>
      <c r="C4423" s="12" t="str">
        <f aca="false">IF($A4423="","",원본명단!$B4422)</f>
        <v/>
      </c>
      <c r="D4423" s="12" t="str">
        <f aca="false">IF($A4423="","",원본명단!$D4422)</f>
        <v/>
      </c>
      <c r="E4423" s="11" t="str">
        <f aca="false">IF($A4423="","",IF(원본명단!$H4422="",0,COUNTIF(원본명단!$H$3:$H$6002,원본명단!$H4422)))</f>
        <v/>
      </c>
      <c r="F4423" s="11" t="str">
        <f aca="false">IF($A4423="","",IF(원본명단!$I4422="",0,COUNTIF(원본명단!$I$3:$I$6002,원본명단!$I4422)))</f>
        <v/>
      </c>
      <c r="G4423" s="11" t="str">
        <f aca="false">IF($A4423="","",IF(원본명단!$K4422="",0,COUNTIF(원본명단!$K$3:$K$6002,원본명단!$K4422)))</f>
        <v/>
      </c>
      <c r="H4423" s="11" t="str">
        <f aca="false">IF($A4423="","",IF(MAX($E4423,$F4423,$G4423)&gt;1,"중복","-"))</f>
        <v/>
      </c>
      <c r="I4423" s="11" t="str">
        <f aca="false">IF($A4423="","",IF($H4423="-","-",IF(AND(IF(원본명단!$H4422="",TRUE(),COUNTIF(원본명단!$H$3:$H4422,원본명단!$H4422)=1),IF(원본명단!$I4422="",TRUE(),COUNTIF(원본명단!$I$3:$I4422,원본명단!$I4422)=1),IF(원본명단!$K4422="",TRUE(),COUNTIF(원본명단!$K$3:$K4422,원본명단!$K4422)=1)),"첫 건","중복 건")))</f>
        <v/>
      </c>
      <c r="J4423" s="11" t="str">
        <f aca="false">IF($A4423="","",IF($H4423="-","유지",IF($I4423="첫 건","유지","확인 필요")))</f>
        <v/>
      </c>
    </row>
    <row r="4424" customFormat="false" ht="15" hidden="false" customHeight="true" outlineLevel="0" collapsed="false">
      <c r="A4424" s="11" t="str">
        <f aca="false">IF(원본명단!$A4423="","",4421)</f>
        <v/>
      </c>
      <c r="B4424" s="12" t="str">
        <f aca="false">IF($A4424="","",원본명단!$A4423)</f>
        <v/>
      </c>
      <c r="C4424" s="12" t="str">
        <f aca="false">IF($A4424="","",원본명단!$B4423)</f>
        <v/>
      </c>
      <c r="D4424" s="12" t="str">
        <f aca="false">IF($A4424="","",원본명단!$D4423)</f>
        <v/>
      </c>
      <c r="E4424" s="11" t="str">
        <f aca="false">IF($A4424="","",IF(원본명단!$H4423="",0,COUNTIF(원본명단!$H$3:$H$6002,원본명단!$H4423)))</f>
        <v/>
      </c>
      <c r="F4424" s="11" t="str">
        <f aca="false">IF($A4424="","",IF(원본명단!$I4423="",0,COUNTIF(원본명단!$I$3:$I$6002,원본명단!$I4423)))</f>
        <v/>
      </c>
      <c r="G4424" s="11" t="str">
        <f aca="false">IF($A4424="","",IF(원본명단!$K4423="",0,COUNTIF(원본명단!$K$3:$K$6002,원본명단!$K4423)))</f>
        <v/>
      </c>
      <c r="H4424" s="11" t="str">
        <f aca="false">IF($A4424="","",IF(MAX($E4424,$F4424,$G4424)&gt;1,"중복","-"))</f>
        <v/>
      </c>
      <c r="I4424" s="11" t="str">
        <f aca="false">IF($A4424="","",IF($H4424="-","-",IF(AND(IF(원본명단!$H4423="",TRUE(),COUNTIF(원본명단!$H$3:$H4423,원본명단!$H4423)=1),IF(원본명단!$I4423="",TRUE(),COUNTIF(원본명단!$I$3:$I4423,원본명단!$I4423)=1),IF(원본명단!$K4423="",TRUE(),COUNTIF(원본명단!$K$3:$K4423,원본명단!$K4423)=1)),"첫 건","중복 건")))</f>
        <v/>
      </c>
      <c r="J4424" s="11" t="str">
        <f aca="false">IF($A4424="","",IF($H4424="-","유지",IF($I4424="첫 건","유지","확인 필요")))</f>
        <v/>
      </c>
    </row>
    <row r="4425" customFormat="false" ht="15" hidden="false" customHeight="true" outlineLevel="0" collapsed="false">
      <c r="A4425" s="11" t="str">
        <f aca="false">IF(원본명단!$A4424="","",4422)</f>
        <v/>
      </c>
      <c r="B4425" s="12" t="str">
        <f aca="false">IF($A4425="","",원본명단!$A4424)</f>
        <v/>
      </c>
      <c r="C4425" s="12" t="str">
        <f aca="false">IF($A4425="","",원본명단!$B4424)</f>
        <v/>
      </c>
      <c r="D4425" s="12" t="str">
        <f aca="false">IF($A4425="","",원본명단!$D4424)</f>
        <v/>
      </c>
      <c r="E4425" s="11" t="str">
        <f aca="false">IF($A4425="","",IF(원본명단!$H4424="",0,COUNTIF(원본명단!$H$3:$H$6002,원본명단!$H4424)))</f>
        <v/>
      </c>
      <c r="F4425" s="11" t="str">
        <f aca="false">IF($A4425="","",IF(원본명단!$I4424="",0,COUNTIF(원본명단!$I$3:$I$6002,원본명단!$I4424)))</f>
        <v/>
      </c>
      <c r="G4425" s="11" t="str">
        <f aca="false">IF($A4425="","",IF(원본명단!$K4424="",0,COUNTIF(원본명단!$K$3:$K$6002,원본명단!$K4424)))</f>
        <v/>
      </c>
      <c r="H4425" s="11" t="str">
        <f aca="false">IF($A4425="","",IF(MAX($E4425,$F4425,$G4425)&gt;1,"중복","-"))</f>
        <v/>
      </c>
      <c r="I4425" s="11" t="str">
        <f aca="false">IF($A4425="","",IF($H4425="-","-",IF(AND(IF(원본명단!$H4424="",TRUE(),COUNTIF(원본명단!$H$3:$H4424,원본명단!$H4424)=1),IF(원본명단!$I4424="",TRUE(),COUNTIF(원본명단!$I$3:$I4424,원본명단!$I4424)=1),IF(원본명단!$K4424="",TRUE(),COUNTIF(원본명단!$K$3:$K4424,원본명단!$K4424)=1)),"첫 건","중복 건")))</f>
        <v/>
      </c>
      <c r="J4425" s="11" t="str">
        <f aca="false">IF($A4425="","",IF($H4425="-","유지",IF($I4425="첫 건","유지","확인 필요")))</f>
        <v/>
      </c>
    </row>
    <row r="4426" customFormat="false" ht="15" hidden="false" customHeight="true" outlineLevel="0" collapsed="false">
      <c r="A4426" s="11" t="str">
        <f aca="false">IF(원본명단!$A4425="","",4423)</f>
        <v/>
      </c>
      <c r="B4426" s="12" t="str">
        <f aca="false">IF($A4426="","",원본명단!$A4425)</f>
        <v/>
      </c>
      <c r="C4426" s="12" t="str">
        <f aca="false">IF($A4426="","",원본명단!$B4425)</f>
        <v/>
      </c>
      <c r="D4426" s="12" t="str">
        <f aca="false">IF($A4426="","",원본명단!$D4425)</f>
        <v/>
      </c>
      <c r="E4426" s="11" t="str">
        <f aca="false">IF($A4426="","",IF(원본명단!$H4425="",0,COUNTIF(원본명단!$H$3:$H$6002,원본명단!$H4425)))</f>
        <v/>
      </c>
      <c r="F4426" s="11" t="str">
        <f aca="false">IF($A4426="","",IF(원본명단!$I4425="",0,COUNTIF(원본명단!$I$3:$I$6002,원본명단!$I4425)))</f>
        <v/>
      </c>
      <c r="G4426" s="11" t="str">
        <f aca="false">IF($A4426="","",IF(원본명단!$K4425="",0,COUNTIF(원본명단!$K$3:$K$6002,원본명단!$K4425)))</f>
        <v/>
      </c>
      <c r="H4426" s="11" t="str">
        <f aca="false">IF($A4426="","",IF(MAX($E4426,$F4426,$G4426)&gt;1,"중복","-"))</f>
        <v/>
      </c>
      <c r="I4426" s="11" t="str">
        <f aca="false">IF($A4426="","",IF($H4426="-","-",IF(AND(IF(원본명단!$H4425="",TRUE(),COUNTIF(원본명단!$H$3:$H4425,원본명단!$H4425)=1),IF(원본명단!$I4425="",TRUE(),COUNTIF(원본명단!$I$3:$I4425,원본명단!$I4425)=1),IF(원본명단!$K4425="",TRUE(),COUNTIF(원본명단!$K$3:$K4425,원본명단!$K4425)=1)),"첫 건","중복 건")))</f>
        <v/>
      </c>
      <c r="J4426" s="11" t="str">
        <f aca="false">IF($A4426="","",IF($H4426="-","유지",IF($I4426="첫 건","유지","확인 필요")))</f>
        <v/>
      </c>
    </row>
    <row r="4427" customFormat="false" ht="15" hidden="false" customHeight="true" outlineLevel="0" collapsed="false">
      <c r="A4427" s="11" t="str">
        <f aca="false">IF(원본명단!$A4426="","",4424)</f>
        <v/>
      </c>
      <c r="B4427" s="12" t="str">
        <f aca="false">IF($A4427="","",원본명단!$A4426)</f>
        <v/>
      </c>
      <c r="C4427" s="12" t="str">
        <f aca="false">IF($A4427="","",원본명단!$B4426)</f>
        <v/>
      </c>
      <c r="D4427" s="12" t="str">
        <f aca="false">IF($A4427="","",원본명단!$D4426)</f>
        <v/>
      </c>
      <c r="E4427" s="11" t="str">
        <f aca="false">IF($A4427="","",IF(원본명단!$H4426="",0,COUNTIF(원본명단!$H$3:$H$6002,원본명단!$H4426)))</f>
        <v/>
      </c>
      <c r="F4427" s="11" t="str">
        <f aca="false">IF($A4427="","",IF(원본명단!$I4426="",0,COUNTIF(원본명단!$I$3:$I$6002,원본명단!$I4426)))</f>
        <v/>
      </c>
      <c r="G4427" s="11" t="str">
        <f aca="false">IF($A4427="","",IF(원본명단!$K4426="",0,COUNTIF(원본명단!$K$3:$K$6002,원본명단!$K4426)))</f>
        <v/>
      </c>
      <c r="H4427" s="11" t="str">
        <f aca="false">IF($A4427="","",IF(MAX($E4427,$F4427,$G4427)&gt;1,"중복","-"))</f>
        <v/>
      </c>
      <c r="I4427" s="11" t="str">
        <f aca="false">IF($A4427="","",IF($H4427="-","-",IF(AND(IF(원본명단!$H4426="",TRUE(),COUNTIF(원본명단!$H$3:$H4426,원본명단!$H4426)=1),IF(원본명단!$I4426="",TRUE(),COUNTIF(원본명단!$I$3:$I4426,원본명단!$I4426)=1),IF(원본명단!$K4426="",TRUE(),COUNTIF(원본명단!$K$3:$K4426,원본명단!$K4426)=1)),"첫 건","중복 건")))</f>
        <v/>
      </c>
      <c r="J4427" s="11" t="str">
        <f aca="false">IF($A4427="","",IF($H4427="-","유지",IF($I4427="첫 건","유지","확인 필요")))</f>
        <v/>
      </c>
    </row>
    <row r="4428" customFormat="false" ht="15" hidden="false" customHeight="true" outlineLevel="0" collapsed="false">
      <c r="A4428" s="11" t="str">
        <f aca="false">IF(원본명단!$A4427="","",4425)</f>
        <v/>
      </c>
      <c r="B4428" s="12" t="str">
        <f aca="false">IF($A4428="","",원본명단!$A4427)</f>
        <v/>
      </c>
      <c r="C4428" s="12" t="str">
        <f aca="false">IF($A4428="","",원본명단!$B4427)</f>
        <v/>
      </c>
      <c r="D4428" s="12" t="str">
        <f aca="false">IF($A4428="","",원본명단!$D4427)</f>
        <v/>
      </c>
      <c r="E4428" s="11" t="str">
        <f aca="false">IF($A4428="","",IF(원본명단!$H4427="",0,COUNTIF(원본명단!$H$3:$H$6002,원본명단!$H4427)))</f>
        <v/>
      </c>
      <c r="F4428" s="11" t="str">
        <f aca="false">IF($A4428="","",IF(원본명단!$I4427="",0,COUNTIF(원본명단!$I$3:$I$6002,원본명단!$I4427)))</f>
        <v/>
      </c>
      <c r="G4428" s="11" t="str">
        <f aca="false">IF($A4428="","",IF(원본명단!$K4427="",0,COUNTIF(원본명단!$K$3:$K$6002,원본명단!$K4427)))</f>
        <v/>
      </c>
      <c r="H4428" s="11" t="str">
        <f aca="false">IF($A4428="","",IF(MAX($E4428,$F4428,$G4428)&gt;1,"중복","-"))</f>
        <v/>
      </c>
      <c r="I4428" s="11" t="str">
        <f aca="false">IF($A4428="","",IF($H4428="-","-",IF(AND(IF(원본명단!$H4427="",TRUE(),COUNTIF(원본명단!$H$3:$H4427,원본명단!$H4427)=1),IF(원본명단!$I4427="",TRUE(),COUNTIF(원본명단!$I$3:$I4427,원본명단!$I4427)=1),IF(원본명단!$K4427="",TRUE(),COUNTIF(원본명단!$K$3:$K4427,원본명단!$K4427)=1)),"첫 건","중복 건")))</f>
        <v/>
      </c>
      <c r="J4428" s="11" t="str">
        <f aca="false">IF($A4428="","",IF($H4428="-","유지",IF($I4428="첫 건","유지","확인 필요")))</f>
        <v/>
      </c>
    </row>
    <row r="4429" customFormat="false" ht="15" hidden="false" customHeight="true" outlineLevel="0" collapsed="false">
      <c r="A4429" s="11" t="str">
        <f aca="false">IF(원본명단!$A4428="","",4426)</f>
        <v/>
      </c>
      <c r="B4429" s="12" t="str">
        <f aca="false">IF($A4429="","",원본명단!$A4428)</f>
        <v/>
      </c>
      <c r="C4429" s="12" t="str">
        <f aca="false">IF($A4429="","",원본명단!$B4428)</f>
        <v/>
      </c>
      <c r="D4429" s="12" t="str">
        <f aca="false">IF($A4429="","",원본명단!$D4428)</f>
        <v/>
      </c>
      <c r="E4429" s="11" t="str">
        <f aca="false">IF($A4429="","",IF(원본명단!$H4428="",0,COUNTIF(원본명단!$H$3:$H$6002,원본명단!$H4428)))</f>
        <v/>
      </c>
      <c r="F4429" s="11" t="str">
        <f aca="false">IF($A4429="","",IF(원본명단!$I4428="",0,COUNTIF(원본명단!$I$3:$I$6002,원본명단!$I4428)))</f>
        <v/>
      </c>
      <c r="G4429" s="11" t="str">
        <f aca="false">IF($A4429="","",IF(원본명단!$K4428="",0,COUNTIF(원본명단!$K$3:$K$6002,원본명단!$K4428)))</f>
        <v/>
      </c>
      <c r="H4429" s="11" t="str">
        <f aca="false">IF($A4429="","",IF(MAX($E4429,$F4429,$G4429)&gt;1,"중복","-"))</f>
        <v/>
      </c>
      <c r="I4429" s="11" t="str">
        <f aca="false">IF($A4429="","",IF($H4429="-","-",IF(AND(IF(원본명단!$H4428="",TRUE(),COUNTIF(원본명단!$H$3:$H4428,원본명단!$H4428)=1),IF(원본명단!$I4428="",TRUE(),COUNTIF(원본명단!$I$3:$I4428,원본명단!$I4428)=1),IF(원본명단!$K4428="",TRUE(),COUNTIF(원본명단!$K$3:$K4428,원본명단!$K4428)=1)),"첫 건","중복 건")))</f>
        <v/>
      </c>
      <c r="J4429" s="11" t="str">
        <f aca="false">IF($A4429="","",IF($H4429="-","유지",IF($I4429="첫 건","유지","확인 필요")))</f>
        <v/>
      </c>
    </row>
    <row r="4430" customFormat="false" ht="15" hidden="false" customHeight="true" outlineLevel="0" collapsed="false">
      <c r="A4430" s="11" t="str">
        <f aca="false">IF(원본명단!$A4429="","",4427)</f>
        <v/>
      </c>
      <c r="B4430" s="12" t="str">
        <f aca="false">IF($A4430="","",원본명단!$A4429)</f>
        <v/>
      </c>
      <c r="C4430" s="12" t="str">
        <f aca="false">IF($A4430="","",원본명단!$B4429)</f>
        <v/>
      </c>
      <c r="D4430" s="12" t="str">
        <f aca="false">IF($A4430="","",원본명단!$D4429)</f>
        <v/>
      </c>
      <c r="E4430" s="11" t="str">
        <f aca="false">IF($A4430="","",IF(원본명단!$H4429="",0,COUNTIF(원본명단!$H$3:$H$6002,원본명단!$H4429)))</f>
        <v/>
      </c>
      <c r="F4430" s="11" t="str">
        <f aca="false">IF($A4430="","",IF(원본명단!$I4429="",0,COUNTIF(원본명단!$I$3:$I$6002,원본명단!$I4429)))</f>
        <v/>
      </c>
      <c r="G4430" s="11" t="str">
        <f aca="false">IF($A4430="","",IF(원본명단!$K4429="",0,COUNTIF(원본명단!$K$3:$K$6002,원본명단!$K4429)))</f>
        <v/>
      </c>
      <c r="H4430" s="11" t="str">
        <f aca="false">IF($A4430="","",IF(MAX($E4430,$F4430,$G4430)&gt;1,"중복","-"))</f>
        <v/>
      </c>
      <c r="I4430" s="11" t="str">
        <f aca="false">IF($A4430="","",IF($H4430="-","-",IF(AND(IF(원본명단!$H4429="",TRUE(),COUNTIF(원본명단!$H$3:$H4429,원본명단!$H4429)=1),IF(원본명단!$I4429="",TRUE(),COUNTIF(원본명단!$I$3:$I4429,원본명단!$I4429)=1),IF(원본명단!$K4429="",TRUE(),COUNTIF(원본명단!$K$3:$K4429,원본명단!$K4429)=1)),"첫 건","중복 건")))</f>
        <v/>
      </c>
      <c r="J4430" s="11" t="str">
        <f aca="false">IF($A4430="","",IF($H4430="-","유지",IF($I4430="첫 건","유지","확인 필요")))</f>
        <v/>
      </c>
    </row>
    <row r="4431" customFormat="false" ht="15" hidden="false" customHeight="true" outlineLevel="0" collapsed="false">
      <c r="A4431" s="11" t="str">
        <f aca="false">IF(원본명단!$A4430="","",4428)</f>
        <v/>
      </c>
      <c r="B4431" s="12" t="str">
        <f aca="false">IF($A4431="","",원본명단!$A4430)</f>
        <v/>
      </c>
      <c r="C4431" s="12" t="str">
        <f aca="false">IF($A4431="","",원본명단!$B4430)</f>
        <v/>
      </c>
      <c r="D4431" s="12" t="str">
        <f aca="false">IF($A4431="","",원본명단!$D4430)</f>
        <v/>
      </c>
      <c r="E4431" s="11" t="str">
        <f aca="false">IF($A4431="","",IF(원본명단!$H4430="",0,COUNTIF(원본명단!$H$3:$H$6002,원본명단!$H4430)))</f>
        <v/>
      </c>
      <c r="F4431" s="11" t="str">
        <f aca="false">IF($A4431="","",IF(원본명단!$I4430="",0,COUNTIF(원본명단!$I$3:$I$6002,원본명단!$I4430)))</f>
        <v/>
      </c>
      <c r="G4431" s="11" t="str">
        <f aca="false">IF($A4431="","",IF(원본명단!$K4430="",0,COUNTIF(원본명단!$K$3:$K$6002,원본명단!$K4430)))</f>
        <v/>
      </c>
      <c r="H4431" s="11" t="str">
        <f aca="false">IF($A4431="","",IF(MAX($E4431,$F4431,$G4431)&gt;1,"중복","-"))</f>
        <v/>
      </c>
      <c r="I4431" s="11" t="str">
        <f aca="false">IF($A4431="","",IF($H4431="-","-",IF(AND(IF(원본명단!$H4430="",TRUE(),COUNTIF(원본명단!$H$3:$H4430,원본명단!$H4430)=1),IF(원본명단!$I4430="",TRUE(),COUNTIF(원본명단!$I$3:$I4430,원본명단!$I4430)=1),IF(원본명단!$K4430="",TRUE(),COUNTIF(원본명단!$K$3:$K4430,원본명단!$K4430)=1)),"첫 건","중복 건")))</f>
        <v/>
      </c>
      <c r="J4431" s="11" t="str">
        <f aca="false">IF($A4431="","",IF($H4431="-","유지",IF($I4431="첫 건","유지","확인 필요")))</f>
        <v/>
      </c>
    </row>
    <row r="4432" customFormat="false" ht="15" hidden="false" customHeight="true" outlineLevel="0" collapsed="false">
      <c r="A4432" s="11" t="str">
        <f aca="false">IF(원본명단!$A4431="","",4429)</f>
        <v/>
      </c>
      <c r="B4432" s="12" t="str">
        <f aca="false">IF($A4432="","",원본명단!$A4431)</f>
        <v/>
      </c>
      <c r="C4432" s="12" t="str">
        <f aca="false">IF($A4432="","",원본명단!$B4431)</f>
        <v/>
      </c>
      <c r="D4432" s="12" t="str">
        <f aca="false">IF($A4432="","",원본명단!$D4431)</f>
        <v/>
      </c>
      <c r="E4432" s="11" t="str">
        <f aca="false">IF($A4432="","",IF(원본명단!$H4431="",0,COUNTIF(원본명단!$H$3:$H$6002,원본명단!$H4431)))</f>
        <v/>
      </c>
      <c r="F4432" s="11" t="str">
        <f aca="false">IF($A4432="","",IF(원본명단!$I4431="",0,COUNTIF(원본명단!$I$3:$I$6002,원본명단!$I4431)))</f>
        <v/>
      </c>
      <c r="G4432" s="11" t="str">
        <f aca="false">IF($A4432="","",IF(원본명단!$K4431="",0,COUNTIF(원본명단!$K$3:$K$6002,원본명단!$K4431)))</f>
        <v/>
      </c>
      <c r="H4432" s="11" t="str">
        <f aca="false">IF($A4432="","",IF(MAX($E4432,$F4432,$G4432)&gt;1,"중복","-"))</f>
        <v/>
      </c>
      <c r="I4432" s="11" t="str">
        <f aca="false">IF($A4432="","",IF($H4432="-","-",IF(AND(IF(원본명단!$H4431="",TRUE(),COUNTIF(원본명단!$H$3:$H4431,원본명단!$H4431)=1),IF(원본명단!$I4431="",TRUE(),COUNTIF(원본명단!$I$3:$I4431,원본명단!$I4431)=1),IF(원본명단!$K4431="",TRUE(),COUNTIF(원본명단!$K$3:$K4431,원본명단!$K4431)=1)),"첫 건","중복 건")))</f>
        <v/>
      </c>
      <c r="J4432" s="11" t="str">
        <f aca="false">IF($A4432="","",IF($H4432="-","유지",IF($I4432="첫 건","유지","확인 필요")))</f>
        <v/>
      </c>
    </row>
    <row r="4433" customFormat="false" ht="15" hidden="false" customHeight="true" outlineLevel="0" collapsed="false">
      <c r="A4433" s="11" t="str">
        <f aca="false">IF(원본명단!$A4432="","",4430)</f>
        <v/>
      </c>
      <c r="B4433" s="12" t="str">
        <f aca="false">IF($A4433="","",원본명단!$A4432)</f>
        <v/>
      </c>
      <c r="C4433" s="12" t="str">
        <f aca="false">IF($A4433="","",원본명단!$B4432)</f>
        <v/>
      </c>
      <c r="D4433" s="12" t="str">
        <f aca="false">IF($A4433="","",원본명단!$D4432)</f>
        <v/>
      </c>
      <c r="E4433" s="11" t="str">
        <f aca="false">IF($A4433="","",IF(원본명단!$H4432="",0,COUNTIF(원본명단!$H$3:$H$6002,원본명단!$H4432)))</f>
        <v/>
      </c>
      <c r="F4433" s="11" t="str">
        <f aca="false">IF($A4433="","",IF(원본명단!$I4432="",0,COUNTIF(원본명단!$I$3:$I$6002,원본명단!$I4432)))</f>
        <v/>
      </c>
      <c r="G4433" s="11" t="str">
        <f aca="false">IF($A4433="","",IF(원본명단!$K4432="",0,COUNTIF(원본명단!$K$3:$K$6002,원본명단!$K4432)))</f>
        <v/>
      </c>
      <c r="H4433" s="11" t="str">
        <f aca="false">IF($A4433="","",IF(MAX($E4433,$F4433,$G4433)&gt;1,"중복","-"))</f>
        <v/>
      </c>
      <c r="I4433" s="11" t="str">
        <f aca="false">IF($A4433="","",IF($H4433="-","-",IF(AND(IF(원본명단!$H4432="",TRUE(),COUNTIF(원본명단!$H$3:$H4432,원본명단!$H4432)=1),IF(원본명단!$I4432="",TRUE(),COUNTIF(원본명단!$I$3:$I4432,원본명단!$I4432)=1),IF(원본명단!$K4432="",TRUE(),COUNTIF(원본명단!$K$3:$K4432,원본명단!$K4432)=1)),"첫 건","중복 건")))</f>
        <v/>
      </c>
      <c r="J4433" s="11" t="str">
        <f aca="false">IF($A4433="","",IF($H4433="-","유지",IF($I4433="첫 건","유지","확인 필요")))</f>
        <v/>
      </c>
    </row>
    <row r="4434" customFormat="false" ht="15" hidden="false" customHeight="true" outlineLevel="0" collapsed="false">
      <c r="A4434" s="11" t="str">
        <f aca="false">IF(원본명단!$A4433="","",4431)</f>
        <v/>
      </c>
      <c r="B4434" s="12" t="str">
        <f aca="false">IF($A4434="","",원본명단!$A4433)</f>
        <v/>
      </c>
      <c r="C4434" s="12" t="str">
        <f aca="false">IF($A4434="","",원본명단!$B4433)</f>
        <v/>
      </c>
      <c r="D4434" s="12" t="str">
        <f aca="false">IF($A4434="","",원본명단!$D4433)</f>
        <v/>
      </c>
      <c r="E4434" s="11" t="str">
        <f aca="false">IF($A4434="","",IF(원본명단!$H4433="",0,COUNTIF(원본명단!$H$3:$H$6002,원본명단!$H4433)))</f>
        <v/>
      </c>
      <c r="F4434" s="11" t="str">
        <f aca="false">IF($A4434="","",IF(원본명단!$I4433="",0,COUNTIF(원본명단!$I$3:$I$6002,원본명단!$I4433)))</f>
        <v/>
      </c>
      <c r="G4434" s="11" t="str">
        <f aca="false">IF($A4434="","",IF(원본명단!$K4433="",0,COUNTIF(원본명단!$K$3:$K$6002,원본명단!$K4433)))</f>
        <v/>
      </c>
      <c r="H4434" s="11" t="str">
        <f aca="false">IF($A4434="","",IF(MAX($E4434,$F4434,$G4434)&gt;1,"중복","-"))</f>
        <v/>
      </c>
      <c r="I4434" s="11" t="str">
        <f aca="false">IF($A4434="","",IF($H4434="-","-",IF(AND(IF(원본명단!$H4433="",TRUE(),COUNTIF(원본명단!$H$3:$H4433,원본명단!$H4433)=1),IF(원본명단!$I4433="",TRUE(),COUNTIF(원본명단!$I$3:$I4433,원본명단!$I4433)=1),IF(원본명단!$K4433="",TRUE(),COUNTIF(원본명단!$K$3:$K4433,원본명단!$K4433)=1)),"첫 건","중복 건")))</f>
        <v/>
      </c>
      <c r="J4434" s="11" t="str">
        <f aca="false">IF($A4434="","",IF($H4434="-","유지",IF($I4434="첫 건","유지","확인 필요")))</f>
        <v/>
      </c>
    </row>
    <row r="4435" customFormat="false" ht="15" hidden="false" customHeight="true" outlineLevel="0" collapsed="false">
      <c r="A4435" s="11" t="str">
        <f aca="false">IF(원본명단!$A4434="","",4432)</f>
        <v/>
      </c>
      <c r="B4435" s="12" t="str">
        <f aca="false">IF($A4435="","",원본명단!$A4434)</f>
        <v/>
      </c>
      <c r="C4435" s="12" t="str">
        <f aca="false">IF($A4435="","",원본명단!$B4434)</f>
        <v/>
      </c>
      <c r="D4435" s="12" t="str">
        <f aca="false">IF($A4435="","",원본명단!$D4434)</f>
        <v/>
      </c>
      <c r="E4435" s="11" t="str">
        <f aca="false">IF($A4435="","",IF(원본명단!$H4434="",0,COUNTIF(원본명단!$H$3:$H$6002,원본명단!$H4434)))</f>
        <v/>
      </c>
      <c r="F4435" s="11" t="str">
        <f aca="false">IF($A4435="","",IF(원본명단!$I4434="",0,COUNTIF(원본명단!$I$3:$I$6002,원본명단!$I4434)))</f>
        <v/>
      </c>
      <c r="G4435" s="11" t="str">
        <f aca="false">IF($A4435="","",IF(원본명단!$K4434="",0,COUNTIF(원본명단!$K$3:$K$6002,원본명단!$K4434)))</f>
        <v/>
      </c>
      <c r="H4435" s="11" t="str">
        <f aca="false">IF($A4435="","",IF(MAX($E4435,$F4435,$G4435)&gt;1,"중복","-"))</f>
        <v/>
      </c>
      <c r="I4435" s="11" t="str">
        <f aca="false">IF($A4435="","",IF($H4435="-","-",IF(AND(IF(원본명단!$H4434="",TRUE(),COUNTIF(원본명단!$H$3:$H4434,원본명단!$H4434)=1),IF(원본명단!$I4434="",TRUE(),COUNTIF(원본명단!$I$3:$I4434,원본명단!$I4434)=1),IF(원본명단!$K4434="",TRUE(),COUNTIF(원본명단!$K$3:$K4434,원본명단!$K4434)=1)),"첫 건","중복 건")))</f>
        <v/>
      </c>
      <c r="J4435" s="11" t="str">
        <f aca="false">IF($A4435="","",IF($H4435="-","유지",IF($I4435="첫 건","유지","확인 필요")))</f>
        <v/>
      </c>
    </row>
    <row r="4436" customFormat="false" ht="15" hidden="false" customHeight="true" outlineLevel="0" collapsed="false">
      <c r="A4436" s="11" t="str">
        <f aca="false">IF(원본명단!$A4435="","",4433)</f>
        <v/>
      </c>
      <c r="B4436" s="12" t="str">
        <f aca="false">IF($A4436="","",원본명단!$A4435)</f>
        <v/>
      </c>
      <c r="C4436" s="12" t="str">
        <f aca="false">IF($A4436="","",원본명단!$B4435)</f>
        <v/>
      </c>
      <c r="D4436" s="12" t="str">
        <f aca="false">IF($A4436="","",원본명단!$D4435)</f>
        <v/>
      </c>
      <c r="E4436" s="11" t="str">
        <f aca="false">IF($A4436="","",IF(원본명단!$H4435="",0,COUNTIF(원본명단!$H$3:$H$6002,원본명단!$H4435)))</f>
        <v/>
      </c>
      <c r="F4436" s="11" t="str">
        <f aca="false">IF($A4436="","",IF(원본명단!$I4435="",0,COUNTIF(원본명단!$I$3:$I$6002,원본명단!$I4435)))</f>
        <v/>
      </c>
      <c r="G4436" s="11" t="str">
        <f aca="false">IF($A4436="","",IF(원본명단!$K4435="",0,COUNTIF(원본명단!$K$3:$K$6002,원본명단!$K4435)))</f>
        <v/>
      </c>
      <c r="H4436" s="11" t="str">
        <f aca="false">IF($A4436="","",IF(MAX($E4436,$F4436,$G4436)&gt;1,"중복","-"))</f>
        <v/>
      </c>
      <c r="I4436" s="11" t="str">
        <f aca="false">IF($A4436="","",IF($H4436="-","-",IF(AND(IF(원본명단!$H4435="",TRUE(),COUNTIF(원본명단!$H$3:$H4435,원본명단!$H4435)=1),IF(원본명단!$I4435="",TRUE(),COUNTIF(원본명단!$I$3:$I4435,원본명단!$I4435)=1),IF(원본명단!$K4435="",TRUE(),COUNTIF(원본명단!$K$3:$K4435,원본명단!$K4435)=1)),"첫 건","중복 건")))</f>
        <v/>
      </c>
      <c r="J4436" s="11" t="str">
        <f aca="false">IF($A4436="","",IF($H4436="-","유지",IF($I4436="첫 건","유지","확인 필요")))</f>
        <v/>
      </c>
    </row>
    <row r="4437" customFormat="false" ht="15" hidden="false" customHeight="true" outlineLevel="0" collapsed="false">
      <c r="A4437" s="11" t="str">
        <f aca="false">IF(원본명단!$A4436="","",4434)</f>
        <v/>
      </c>
      <c r="B4437" s="12" t="str">
        <f aca="false">IF($A4437="","",원본명단!$A4436)</f>
        <v/>
      </c>
      <c r="C4437" s="12" t="str">
        <f aca="false">IF($A4437="","",원본명단!$B4436)</f>
        <v/>
      </c>
      <c r="D4437" s="12" t="str">
        <f aca="false">IF($A4437="","",원본명단!$D4436)</f>
        <v/>
      </c>
      <c r="E4437" s="11" t="str">
        <f aca="false">IF($A4437="","",IF(원본명단!$H4436="",0,COUNTIF(원본명단!$H$3:$H$6002,원본명단!$H4436)))</f>
        <v/>
      </c>
      <c r="F4437" s="11" t="str">
        <f aca="false">IF($A4437="","",IF(원본명단!$I4436="",0,COUNTIF(원본명단!$I$3:$I$6002,원본명단!$I4436)))</f>
        <v/>
      </c>
      <c r="G4437" s="11" t="str">
        <f aca="false">IF($A4437="","",IF(원본명단!$K4436="",0,COUNTIF(원본명단!$K$3:$K$6002,원본명단!$K4436)))</f>
        <v/>
      </c>
      <c r="H4437" s="11" t="str">
        <f aca="false">IF($A4437="","",IF(MAX($E4437,$F4437,$G4437)&gt;1,"중복","-"))</f>
        <v/>
      </c>
      <c r="I4437" s="11" t="str">
        <f aca="false">IF($A4437="","",IF($H4437="-","-",IF(AND(IF(원본명단!$H4436="",TRUE(),COUNTIF(원본명단!$H$3:$H4436,원본명단!$H4436)=1),IF(원본명단!$I4436="",TRUE(),COUNTIF(원본명단!$I$3:$I4436,원본명단!$I4436)=1),IF(원본명단!$K4436="",TRUE(),COUNTIF(원본명단!$K$3:$K4436,원본명단!$K4436)=1)),"첫 건","중복 건")))</f>
        <v/>
      </c>
      <c r="J4437" s="11" t="str">
        <f aca="false">IF($A4437="","",IF($H4437="-","유지",IF($I4437="첫 건","유지","확인 필요")))</f>
        <v/>
      </c>
    </row>
    <row r="4438" customFormat="false" ht="15" hidden="false" customHeight="true" outlineLevel="0" collapsed="false">
      <c r="A4438" s="11" t="str">
        <f aca="false">IF(원본명단!$A4437="","",4435)</f>
        <v/>
      </c>
      <c r="B4438" s="12" t="str">
        <f aca="false">IF($A4438="","",원본명단!$A4437)</f>
        <v/>
      </c>
      <c r="C4438" s="12" t="str">
        <f aca="false">IF($A4438="","",원본명단!$B4437)</f>
        <v/>
      </c>
      <c r="D4438" s="12" t="str">
        <f aca="false">IF($A4438="","",원본명단!$D4437)</f>
        <v/>
      </c>
      <c r="E4438" s="11" t="str">
        <f aca="false">IF($A4438="","",IF(원본명단!$H4437="",0,COUNTIF(원본명단!$H$3:$H$6002,원본명단!$H4437)))</f>
        <v/>
      </c>
      <c r="F4438" s="11" t="str">
        <f aca="false">IF($A4438="","",IF(원본명단!$I4437="",0,COUNTIF(원본명단!$I$3:$I$6002,원본명단!$I4437)))</f>
        <v/>
      </c>
      <c r="G4438" s="11" t="str">
        <f aca="false">IF($A4438="","",IF(원본명단!$K4437="",0,COUNTIF(원본명단!$K$3:$K$6002,원본명단!$K4437)))</f>
        <v/>
      </c>
      <c r="H4438" s="11" t="str">
        <f aca="false">IF($A4438="","",IF(MAX($E4438,$F4438,$G4438)&gt;1,"중복","-"))</f>
        <v/>
      </c>
      <c r="I4438" s="11" t="str">
        <f aca="false">IF($A4438="","",IF($H4438="-","-",IF(AND(IF(원본명단!$H4437="",TRUE(),COUNTIF(원본명단!$H$3:$H4437,원본명단!$H4437)=1),IF(원본명단!$I4437="",TRUE(),COUNTIF(원본명단!$I$3:$I4437,원본명단!$I4437)=1),IF(원본명단!$K4437="",TRUE(),COUNTIF(원본명단!$K$3:$K4437,원본명단!$K4437)=1)),"첫 건","중복 건")))</f>
        <v/>
      </c>
      <c r="J4438" s="11" t="str">
        <f aca="false">IF($A4438="","",IF($H4438="-","유지",IF($I4438="첫 건","유지","확인 필요")))</f>
        <v/>
      </c>
    </row>
    <row r="4439" customFormat="false" ht="15" hidden="false" customHeight="true" outlineLevel="0" collapsed="false">
      <c r="A4439" s="11" t="str">
        <f aca="false">IF(원본명단!$A4438="","",4436)</f>
        <v/>
      </c>
      <c r="B4439" s="12" t="str">
        <f aca="false">IF($A4439="","",원본명단!$A4438)</f>
        <v/>
      </c>
      <c r="C4439" s="12" t="str">
        <f aca="false">IF($A4439="","",원본명단!$B4438)</f>
        <v/>
      </c>
      <c r="D4439" s="12" t="str">
        <f aca="false">IF($A4439="","",원본명단!$D4438)</f>
        <v/>
      </c>
      <c r="E4439" s="11" t="str">
        <f aca="false">IF($A4439="","",IF(원본명단!$H4438="",0,COUNTIF(원본명단!$H$3:$H$6002,원본명단!$H4438)))</f>
        <v/>
      </c>
      <c r="F4439" s="11" t="str">
        <f aca="false">IF($A4439="","",IF(원본명단!$I4438="",0,COUNTIF(원본명단!$I$3:$I$6002,원본명단!$I4438)))</f>
        <v/>
      </c>
      <c r="G4439" s="11" t="str">
        <f aca="false">IF($A4439="","",IF(원본명단!$K4438="",0,COUNTIF(원본명단!$K$3:$K$6002,원본명단!$K4438)))</f>
        <v/>
      </c>
      <c r="H4439" s="11" t="str">
        <f aca="false">IF($A4439="","",IF(MAX($E4439,$F4439,$G4439)&gt;1,"중복","-"))</f>
        <v/>
      </c>
      <c r="I4439" s="11" t="str">
        <f aca="false">IF($A4439="","",IF($H4439="-","-",IF(AND(IF(원본명단!$H4438="",TRUE(),COUNTIF(원본명단!$H$3:$H4438,원본명단!$H4438)=1),IF(원본명단!$I4438="",TRUE(),COUNTIF(원본명단!$I$3:$I4438,원본명단!$I4438)=1),IF(원본명단!$K4438="",TRUE(),COUNTIF(원본명단!$K$3:$K4438,원본명단!$K4438)=1)),"첫 건","중복 건")))</f>
        <v/>
      </c>
      <c r="J4439" s="11" t="str">
        <f aca="false">IF($A4439="","",IF($H4439="-","유지",IF($I4439="첫 건","유지","확인 필요")))</f>
        <v/>
      </c>
    </row>
    <row r="4440" customFormat="false" ht="15" hidden="false" customHeight="true" outlineLevel="0" collapsed="false">
      <c r="A4440" s="11" t="str">
        <f aca="false">IF(원본명단!$A4439="","",4437)</f>
        <v/>
      </c>
      <c r="B4440" s="12" t="str">
        <f aca="false">IF($A4440="","",원본명단!$A4439)</f>
        <v/>
      </c>
      <c r="C4440" s="12" t="str">
        <f aca="false">IF($A4440="","",원본명단!$B4439)</f>
        <v/>
      </c>
      <c r="D4440" s="12" t="str">
        <f aca="false">IF($A4440="","",원본명단!$D4439)</f>
        <v/>
      </c>
      <c r="E4440" s="11" t="str">
        <f aca="false">IF($A4440="","",IF(원본명단!$H4439="",0,COUNTIF(원본명단!$H$3:$H$6002,원본명단!$H4439)))</f>
        <v/>
      </c>
      <c r="F4440" s="11" t="str">
        <f aca="false">IF($A4440="","",IF(원본명단!$I4439="",0,COUNTIF(원본명단!$I$3:$I$6002,원본명단!$I4439)))</f>
        <v/>
      </c>
      <c r="G4440" s="11" t="str">
        <f aca="false">IF($A4440="","",IF(원본명단!$K4439="",0,COUNTIF(원본명단!$K$3:$K$6002,원본명단!$K4439)))</f>
        <v/>
      </c>
      <c r="H4440" s="11" t="str">
        <f aca="false">IF($A4440="","",IF(MAX($E4440,$F4440,$G4440)&gt;1,"중복","-"))</f>
        <v/>
      </c>
      <c r="I4440" s="11" t="str">
        <f aca="false">IF($A4440="","",IF($H4440="-","-",IF(AND(IF(원본명단!$H4439="",TRUE(),COUNTIF(원본명단!$H$3:$H4439,원본명단!$H4439)=1),IF(원본명단!$I4439="",TRUE(),COUNTIF(원본명단!$I$3:$I4439,원본명단!$I4439)=1),IF(원본명단!$K4439="",TRUE(),COUNTIF(원본명단!$K$3:$K4439,원본명단!$K4439)=1)),"첫 건","중복 건")))</f>
        <v/>
      </c>
      <c r="J4440" s="11" t="str">
        <f aca="false">IF($A4440="","",IF($H4440="-","유지",IF($I4440="첫 건","유지","확인 필요")))</f>
        <v/>
      </c>
    </row>
    <row r="4441" customFormat="false" ht="15" hidden="false" customHeight="true" outlineLevel="0" collapsed="false">
      <c r="A4441" s="11" t="str">
        <f aca="false">IF(원본명단!$A4440="","",4438)</f>
        <v/>
      </c>
      <c r="B4441" s="12" t="str">
        <f aca="false">IF($A4441="","",원본명단!$A4440)</f>
        <v/>
      </c>
      <c r="C4441" s="12" t="str">
        <f aca="false">IF($A4441="","",원본명단!$B4440)</f>
        <v/>
      </c>
      <c r="D4441" s="12" t="str">
        <f aca="false">IF($A4441="","",원본명단!$D4440)</f>
        <v/>
      </c>
      <c r="E4441" s="11" t="str">
        <f aca="false">IF($A4441="","",IF(원본명단!$H4440="",0,COUNTIF(원본명단!$H$3:$H$6002,원본명단!$H4440)))</f>
        <v/>
      </c>
      <c r="F4441" s="11" t="str">
        <f aca="false">IF($A4441="","",IF(원본명단!$I4440="",0,COUNTIF(원본명단!$I$3:$I$6002,원본명단!$I4440)))</f>
        <v/>
      </c>
      <c r="G4441" s="11" t="str">
        <f aca="false">IF($A4441="","",IF(원본명단!$K4440="",0,COUNTIF(원본명단!$K$3:$K$6002,원본명단!$K4440)))</f>
        <v/>
      </c>
      <c r="H4441" s="11" t="str">
        <f aca="false">IF($A4441="","",IF(MAX($E4441,$F4441,$G4441)&gt;1,"중복","-"))</f>
        <v/>
      </c>
      <c r="I4441" s="11" t="str">
        <f aca="false">IF($A4441="","",IF($H4441="-","-",IF(AND(IF(원본명단!$H4440="",TRUE(),COUNTIF(원본명단!$H$3:$H4440,원본명단!$H4440)=1),IF(원본명단!$I4440="",TRUE(),COUNTIF(원본명단!$I$3:$I4440,원본명단!$I4440)=1),IF(원본명단!$K4440="",TRUE(),COUNTIF(원본명단!$K$3:$K4440,원본명단!$K4440)=1)),"첫 건","중복 건")))</f>
        <v/>
      </c>
      <c r="J4441" s="11" t="str">
        <f aca="false">IF($A4441="","",IF($H4441="-","유지",IF($I4441="첫 건","유지","확인 필요")))</f>
        <v/>
      </c>
    </row>
    <row r="4442" customFormat="false" ht="15" hidden="false" customHeight="true" outlineLevel="0" collapsed="false">
      <c r="A4442" s="11" t="str">
        <f aca="false">IF(원본명단!$A4441="","",4439)</f>
        <v/>
      </c>
      <c r="B4442" s="12" t="str">
        <f aca="false">IF($A4442="","",원본명단!$A4441)</f>
        <v/>
      </c>
      <c r="C4442" s="12" t="str">
        <f aca="false">IF($A4442="","",원본명단!$B4441)</f>
        <v/>
      </c>
      <c r="D4442" s="12" t="str">
        <f aca="false">IF($A4442="","",원본명단!$D4441)</f>
        <v/>
      </c>
      <c r="E4442" s="11" t="str">
        <f aca="false">IF($A4442="","",IF(원본명단!$H4441="",0,COUNTIF(원본명단!$H$3:$H$6002,원본명단!$H4441)))</f>
        <v/>
      </c>
      <c r="F4442" s="11" t="str">
        <f aca="false">IF($A4442="","",IF(원본명단!$I4441="",0,COUNTIF(원본명단!$I$3:$I$6002,원본명단!$I4441)))</f>
        <v/>
      </c>
      <c r="G4442" s="11" t="str">
        <f aca="false">IF($A4442="","",IF(원본명단!$K4441="",0,COUNTIF(원본명단!$K$3:$K$6002,원본명단!$K4441)))</f>
        <v/>
      </c>
      <c r="H4442" s="11" t="str">
        <f aca="false">IF($A4442="","",IF(MAX($E4442,$F4442,$G4442)&gt;1,"중복","-"))</f>
        <v/>
      </c>
      <c r="I4442" s="11" t="str">
        <f aca="false">IF($A4442="","",IF($H4442="-","-",IF(AND(IF(원본명단!$H4441="",TRUE(),COUNTIF(원본명단!$H$3:$H4441,원본명단!$H4441)=1),IF(원본명단!$I4441="",TRUE(),COUNTIF(원본명단!$I$3:$I4441,원본명단!$I4441)=1),IF(원본명단!$K4441="",TRUE(),COUNTIF(원본명단!$K$3:$K4441,원본명단!$K4441)=1)),"첫 건","중복 건")))</f>
        <v/>
      </c>
      <c r="J4442" s="11" t="str">
        <f aca="false">IF($A4442="","",IF($H4442="-","유지",IF($I4442="첫 건","유지","확인 필요")))</f>
        <v/>
      </c>
    </row>
    <row r="4443" customFormat="false" ht="15" hidden="false" customHeight="true" outlineLevel="0" collapsed="false">
      <c r="A4443" s="11" t="str">
        <f aca="false">IF(원본명단!$A4442="","",4440)</f>
        <v/>
      </c>
      <c r="B4443" s="12" t="str">
        <f aca="false">IF($A4443="","",원본명단!$A4442)</f>
        <v/>
      </c>
      <c r="C4443" s="12" t="str">
        <f aca="false">IF($A4443="","",원본명단!$B4442)</f>
        <v/>
      </c>
      <c r="D4443" s="12" t="str">
        <f aca="false">IF($A4443="","",원본명단!$D4442)</f>
        <v/>
      </c>
      <c r="E4443" s="11" t="str">
        <f aca="false">IF($A4443="","",IF(원본명단!$H4442="",0,COUNTIF(원본명단!$H$3:$H$6002,원본명단!$H4442)))</f>
        <v/>
      </c>
      <c r="F4443" s="11" t="str">
        <f aca="false">IF($A4443="","",IF(원본명단!$I4442="",0,COUNTIF(원본명단!$I$3:$I$6002,원본명단!$I4442)))</f>
        <v/>
      </c>
      <c r="G4443" s="11" t="str">
        <f aca="false">IF($A4443="","",IF(원본명단!$K4442="",0,COUNTIF(원본명단!$K$3:$K$6002,원본명단!$K4442)))</f>
        <v/>
      </c>
      <c r="H4443" s="11" t="str">
        <f aca="false">IF($A4443="","",IF(MAX($E4443,$F4443,$G4443)&gt;1,"중복","-"))</f>
        <v/>
      </c>
      <c r="I4443" s="11" t="str">
        <f aca="false">IF($A4443="","",IF($H4443="-","-",IF(AND(IF(원본명단!$H4442="",TRUE(),COUNTIF(원본명단!$H$3:$H4442,원본명단!$H4442)=1),IF(원본명단!$I4442="",TRUE(),COUNTIF(원본명단!$I$3:$I4442,원본명단!$I4442)=1),IF(원본명단!$K4442="",TRUE(),COUNTIF(원본명단!$K$3:$K4442,원본명단!$K4442)=1)),"첫 건","중복 건")))</f>
        <v/>
      </c>
      <c r="J4443" s="11" t="str">
        <f aca="false">IF($A4443="","",IF($H4443="-","유지",IF($I4443="첫 건","유지","확인 필요")))</f>
        <v/>
      </c>
    </row>
    <row r="4444" customFormat="false" ht="15" hidden="false" customHeight="true" outlineLevel="0" collapsed="false">
      <c r="A4444" s="11" t="str">
        <f aca="false">IF(원본명단!$A4443="","",4441)</f>
        <v/>
      </c>
      <c r="B4444" s="12" t="str">
        <f aca="false">IF($A4444="","",원본명단!$A4443)</f>
        <v/>
      </c>
      <c r="C4444" s="12" t="str">
        <f aca="false">IF($A4444="","",원본명단!$B4443)</f>
        <v/>
      </c>
      <c r="D4444" s="12" t="str">
        <f aca="false">IF($A4444="","",원본명단!$D4443)</f>
        <v/>
      </c>
      <c r="E4444" s="11" t="str">
        <f aca="false">IF($A4444="","",IF(원본명단!$H4443="",0,COUNTIF(원본명단!$H$3:$H$6002,원본명단!$H4443)))</f>
        <v/>
      </c>
      <c r="F4444" s="11" t="str">
        <f aca="false">IF($A4444="","",IF(원본명단!$I4443="",0,COUNTIF(원본명단!$I$3:$I$6002,원본명단!$I4443)))</f>
        <v/>
      </c>
      <c r="G4444" s="11" t="str">
        <f aca="false">IF($A4444="","",IF(원본명단!$K4443="",0,COUNTIF(원본명단!$K$3:$K$6002,원본명단!$K4443)))</f>
        <v/>
      </c>
      <c r="H4444" s="11" t="str">
        <f aca="false">IF($A4444="","",IF(MAX($E4444,$F4444,$G4444)&gt;1,"중복","-"))</f>
        <v/>
      </c>
      <c r="I4444" s="11" t="str">
        <f aca="false">IF($A4444="","",IF($H4444="-","-",IF(AND(IF(원본명단!$H4443="",TRUE(),COUNTIF(원본명단!$H$3:$H4443,원본명단!$H4443)=1),IF(원본명단!$I4443="",TRUE(),COUNTIF(원본명단!$I$3:$I4443,원본명단!$I4443)=1),IF(원본명단!$K4443="",TRUE(),COUNTIF(원본명단!$K$3:$K4443,원본명단!$K4443)=1)),"첫 건","중복 건")))</f>
        <v/>
      </c>
      <c r="J4444" s="11" t="str">
        <f aca="false">IF($A4444="","",IF($H4444="-","유지",IF($I4444="첫 건","유지","확인 필요")))</f>
        <v/>
      </c>
    </row>
    <row r="4445" customFormat="false" ht="15" hidden="false" customHeight="true" outlineLevel="0" collapsed="false">
      <c r="A4445" s="11" t="str">
        <f aca="false">IF(원본명단!$A4444="","",4442)</f>
        <v/>
      </c>
      <c r="B4445" s="12" t="str">
        <f aca="false">IF($A4445="","",원본명단!$A4444)</f>
        <v/>
      </c>
      <c r="C4445" s="12" t="str">
        <f aca="false">IF($A4445="","",원본명단!$B4444)</f>
        <v/>
      </c>
      <c r="D4445" s="12" t="str">
        <f aca="false">IF($A4445="","",원본명단!$D4444)</f>
        <v/>
      </c>
      <c r="E4445" s="11" t="str">
        <f aca="false">IF($A4445="","",IF(원본명단!$H4444="",0,COUNTIF(원본명단!$H$3:$H$6002,원본명단!$H4444)))</f>
        <v/>
      </c>
      <c r="F4445" s="11" t="str">
        <f aca="false">IF($A4445="","",IF(원본명단!$I4444="",0,COUNTIF(원본명단!$I$3:$I$6002,원본명단!$I4444)))</f>
        <v/>
      </c>
      <c r="G4445" s="11" t="str">
        <f aca="false">IF($A4445="","",IF(원본명단!$K4444="",0,COUNTIF(원본명단!$K$3:$K$6002,원본명단!$K4444)))</f>
        <v/>
      </c>
      <c r="H4445" s="11" t="str">
        <f aca="false">IF($A4445="","",IF(MAX($E4445,$F4445,$G4445)&gt;1,"중복","-"))</f>
        <v/>
      </c>
      <c r="I4445" s="11" t="str">
        <f aca="false">IF($A4445="","",IF($H4445="-","-",IF(AND(IF(원본명단!$H4444="",TRUE(),COUNTIF(원본명단!$H$3:$H4444,원본명단!$H4444)=1),IF(원본명단!$I4444="",TRUE(),COUNTIF(원본명단!$I$3:$I4444,원본명단!$I4444)=1),IF(원본명단!$K4444="",TRUE(),COUNTIF(원본명단!$K$3:$K4444,원본명단!$K4444)=1)),"첫 건","중복 건")))</f>
        <v/>
      </c>
      <c r="J4445" s="11" t="str">
        <f aca="false">IF($A4445="","",IF($H4445="-","유지",IF($I4445="첫 건","유지","확인 필요")))</f>
        <v/>
      </c>
    </row>
    <row r="4446" customFormat="false" ht="15" hidden="false" customHeight="true" outlineLevel="0" collapsed="false">
      <c r="A4446" s="11" t="str">
        <f aca="false">IF(원본명단!$A4445="","",4443)</f>
        <v/>
      </c>
      <c r="B4446" s="12" t="str">
        <f aca="false">IF($A4446="","",원본명단!$A4445)</f>
        <v/>
      </c>
      <c r="C4446" s="12" t="str">
        <f aca="false">IF($A4446="","",원본명단!$B4445)</f>
        <v/>
      </c>
      <c r="D4446" s="12" t="str">
        <f aca="false">IF($A4446="","",원본명단!$D4445)</f>
        <v/>
      </c>
      <c r="E4446" s="11" t="str">
        <f aca="false">IF($A4446="","",IF(원본명단!$H4445="",0,COUNTIF(원본명단!$H$3:$H$6002,원본명단!$H4445)))</f>
        <v/>
      </c>
      <c r="F4446" s="11" t="str">
        <f aca="false">IF($A4446="","",IF(원본명단!$I4445="",0,COUNTIF(원본명단!$I$3:$I$6002,원본명단!$I4445)))</f>
        <v/>
      </c>
      <c r="G4446" s="11" t="str">
        <f aca="false">IF($A4446="","",IF(원본명단!$K4445="",0,COUNTIF(원본명단!$K$3:$K$6002,원본명단!$K4445)))</f>
        <v/>
      </c>
      <c r="H4446" s="11" t="str">
        <f aca="false">IF($A4446="","",IF(MAX($E4446,$F4446,$G4446)&gt;1,"중복","-"))</f>
        <v/>
      </c>
      <c r="I4446" s="11" t="str">
        <f aca="false">IF($A4446="","",IF($H4446="-","-",IF(AND(IF(원본명단!$H4445="",TRUE(),COUNTIF(원본명단!$H$3:$H4445,원본명단!$H4445)=1),IF(원본명단!$I4445="",TRUE(),COUNTIF(원본명단!$I$3:$I4445,원본명단!$I4445)=1),IF(원본명단!$K4445="",TRUE(),COUNTIF(원본명단!$K$3:$K4445,원본명단!$K4445)=1)),"첫 건","중복 건")))</f>
        <v/>
      </c>
      <c r="J4446" s="11" t="str">
        <f aca="false">IF($A4446="","",IF($H4446="-","유지",IF($I4446="첫 건","유지","확인 필요")))</f>
        <v/>
      </c>
    </row>
    <row r="4447" customFormat="false" ht="15" hidden="false" customHeight="true" outlineLevel="0" collapsed="false">
      <c r="A4447" s="11" t="str">
        <f aca="false">IF(원본명단!$A4446="","",4444)</f>
        <v/>
      </c>
      <c r="B4447" s="12" t="str">
        <f aca="false">IF($A4447="","",원본명단!$A4446)</f>
        <v/>
      </c>
      <c r="C4447" s="12" t="str">
        <f aca="false">IF($A4447="","",원본명단!$B4446)</f>
        <v/>
      </c>
      <c r="D4447" s="12" t="str">
        <f aca="false">IF($A4447="","",원본명단!$D4446)</f>
        <v/>
      </c>
      <c r="E4447" s="11" t="str">
        <f aca="false">IF($A4447="","",IF(원본명단!$H4446="",0,COUNTIF(원본명단!$H$3:$H$6002,원본명단!$H4446)))</f>
        <v/>
      </c>
      <c r="F4447" s="11" t="str">
        <f aca="false">IF($A4447="","",IF(원본명단!$I4446="",0,COUNTIF(원본명단!$I$3:$I$6002,원본명단!$I4446)))</f>
        <v/>
      </c>
      <c r="G4447" s="11" t="str">
        <f aca="false">IF($A4447="","",IF(원본명단!$K4446="",0,COUNTIF(원본명단!$K$3:$K$6002,원본명단!$K4446)))</f>
        <v/>
      </c>
      <c r="H4447" s="11" t="str">
        <f aca="false">IF($A4447="","",IF(MAX($E4447,$F4447,$G4447)&gt;1,"중복","-"))</f>
        <v/>
      </c>
      <c r="I4447" s="11" t="str">
        <f aca="false">IF($A4447="","",IF($H4447="-","-",IF(AND(IF(원본명단!$H4446="",TRUE(),COUNTIF(원본명단!$H$3:$H4446,원본명단!$H4446)=1),IF(원본명단!$I4446="",TRUE(),COUNTIF(원본명단!$I$3:$I4446,원본명단!$I4446)=1),IF(원본명단!$K4446="",TRUE(),COUNTIF(원본명단!$K$3:$K4446,원본명단!$K4446)=1)),"첫 건","중복 건")))</f>
        <v/>
      </c>
      <c r="J4447" s="11" t="str">
        <f aca="false">IF($A4447="","",IF($H4447="-","유지",IF($I4447="첫 건","유지","확인 필요")))</f>
        <v/>
      </c>
    </row>
    <row r="4448" customFormat="false" ht="15" hidden="false" customHeight="true" outlineLevel="0" collapsed="false">
      <c r="A4448" s="11" t="str">
        <f aca="false">IF(원본명단!$A4447="","",4445)</f>
        <v/>
      </c>
      <c r="B4448" s="12" t="str">
        <f aca="false">IF($A4448="","",원본명단!$A4447)</f>
        <v/>
      </c>
      <c r="C4448" s="12" t="str">
        <f aca="false">IF($A4448="","",원본명단!$B4447)</f>
        <v/>
      </c>
      <c r="D4448" s="12" t="str">
        <f aca="false">IF($A4448="","",원본명단!$D4447)</f>
        <v/>
      </c>
      <c r="E4448" s="11" t="str">
        <f aca="false">IF($A4448="","",IF(원본명단!$H4447="",0,COUNTIF(원본명단!$H$3:$H$6002,원본명단!$H4447)))</f>
        <v/>
      </c>
      <c r="F4448" s="11" t="str">
        <f aca="false">IF($A4448="","",IF(원본명단!$I4447="",0,COUNTIF(원본명단!$I$3:$I$6002,원본명단!$I4447)))</f>
        <v/>
      </c>
      <c r="G4448" s="11" t="str">
        <f aca="false">IF($A4448="","",IF(원본명단!$K4447="",0,COUNTIF(원본명단!$K$3:$K$6002,원본명단!$K4447)))</f>
        <v/>
      </c>
      <c r="H4448" s="11" t="str">
        <f aca="false">IF($A4448="","",IF(MAX($E4448,$F4448,$G4448)&gt;1,"중복","-"))</f>
        <v/>
      </c>
      <c r="I4448" s="11" t="str">
        <f aca="false">IF($A4448="","",IF($H4448="-","-",IF(AND(IF(원본명단!$H4447="",TRUE(),COUNTIF(원본명단!$H$3:$H4447,원본명단!$H4447)=1),IF(원본명단!$I4447="",TRUE(),COUNTIF(원본명단!$I$3:$I4447,원본명단!$I4447)=1),IF(원본명단!$K4447="",TRUE(),COUNTIF(원본명단!$K$3:$K4447,원본명단!$K4447)=1)),"첫 건","중복 건")))</f>
        <v/>
      </c>
      <c r="J4448" s="11" t="str">
        <f aca="false">IF($A4448="","",IF($H4448="-","유지",IF($I4448="첫 건","유지","확인 필요")))</f>
        <v/>
      </c>
    </row>
    <row r="4449" customFormat="false" ht="15" hidden="false" customHeight="true" outlineLevel="0" collapsed="false">
      <c r="A4449" s="11" t="str">
        <f aca="false">IF(원본명단!$A4448="","",4446)</f>
        <v/>
      </c>
      <c r="B4449" s="12" t="str">
        <f aca="false">IF($A4449="","",원본명단!$A4448)</f>
        <v/>
      </c>
      <c r="C4449" s="12" t="str">
        <f aca="false">IF($A4449="","",원본명단!$B4448)</f>
        <v/>
      </c>
      <c r="D4449" s="12" t="str">
        <f aca="false">IF($A4449="","",원본명단!$D4448)</f>
        <v/>
      </c>
      <c r="E4449" s="11" t="str">
        <f aca="false">IF($A4449="","",IF(원본명단!$H4448="",0,COUNTIF(원본명단!$H$3:$H$6002,원본명단!$H4448)))</f>
        <v/>
      </c>
      <c r="F4449" s="11" t="str">
        <f aca="false">IF($A4449="","",IF(원본명단!$I4448="",0,COUNTIF(원본명단!$I$3:$I$6002,원본명단!$I4448)))</f>
        <v/>
      </c>
      <c r="G4449" s="11" t="str">
        <f aca="false">IF($A4449="","",IF(원본명단!$K4448="",0,COUNTIF(원본명단!$K$3:$K$6002,원본명단!$K4448)))</f>
        <v/>
      </c>
      <c r="H4449" s="11" t="str">
        <f aca="false">IF($A4449="","",IF(MAX($E4449,$F4449,$G4449)&gt;1,"중복","-"))</f>
        <v/>
      </c>
      <c r="I4449" s="11" t="str">
        <f aca="false">IF($A4449="","",IF($H4449="-","-",IF(AND(IF(원본명단!$H4448="",TRUE(),COUNTIF(원본명단!$H$3:$H4448,원본명단!$H4448)=1),IF(원본명단!$I4448="",TRUE(),COUNTIF(원본명단!$I$3:$I4448,원본명단!$I4448)=1),IF(원본명단!$K4448="",TRUE(),COUNTIF(원본명단!$K$3:$K4448,원본명단!$K4448)=1)),"첫 건","중복 건")))</f>
        <v/>
      </c>
      <c r="J4449" s="11" t="str">
        <f aca="false">IF($A4449="","",IF($H4449="-","유지",IF($I4449="첫 건","유지","확인 필요")))</f>
        <v/>
      </c>
    </row>
    <row r="4450" customFormat="false" ht="15" hidden="false" customHeight="true" outlineLevel="0" collapsed="false">
      <c r="A4450" s="11" t="str">
        <f aca="false">IF(원본명단!$A4449="","",4447)</f>
        <v/>
      </c>
      <c r="B4450" s="12" t="str">
        <f aca="false">IF($A4450="","",원본명단!$A4449)</f>
        <v/>
      </c>
      <c r="C4450" s="12" t="str">
        <f aca="false">IF($A4450="","",원본명단!$B4449)</f>
        <v/>
      </c>
      <c r="D4450" s="12" t="str">
        <f aca="false">IF($A4450="","",원본명단!$D4449)</f>
        <v/>
      </c>
      <c r="E4450" s="11" t="str">
        <f aca="false">IF($A4450="","",IF(원본명단!$H4449="",0,COUNTIF(원본명단!$H$3:$H$6002,원본명단!$H4449)))</f>
        <v/>
      </c>
      <c r="F4450" s="11" t="str">
        <f aca="false">IF($A4450="","",IF(원본명단!$I4449="",0,COUNTIF(원본명단!$I$3:$I$6002,원본명단!$I4449)))</f>
        <v/>
      </c>
      <c r="G4450" s="11" t="str">
        <f aca="false">IF($A4450="","",IF(원본명단!$K4449="",0,COUNTIF(원본명단!$K$3:$K$6002,원본명단!$K4449)))</f>
        <v/>
      </c>
      <c r="H4450" s="11" t="str">
        <f aca="false">IF($A4450="","",IF(MAX($E4450,$F4450,$G4450)&gt;1,"중복","-"))</f>
        <v/>
      </c>
      <c r="I4450" s="11" t="str">
        <f aca="false">IF($A4450="","",IF($H4450="-","-",IF(AND(IF(원본명단!$H4449="",TRUE(),COUNTIF(원본명단!$H$3:$H4449,원본명단!$H4449)=1),IF(원본명단!$I4449="",TRUE(),COUNTIF(원본명단!$I$3:$I4449,원본명단!$I4449)=1),IF(원본명단!$K4449="",TRUE(),COUNTIF(원본명단!$K$3:$K4449,원본명단!$K4449)=1)),"첫 건","중복 건")))</f>
        <v/>
      </c>
      <c r="J4450" s="11" t="str">
        <f aca="false">IF($A4450="","",IF($H4450="-","유지",IF($I4450="첫 건","유지","확인 필요")))</f>
        <v/>
      </c>
    </row>
    <row r="4451" customFormat="false" ht="15" hidden="false" customHeight="true" outlineLevel="0" collapsed="false">
      <c r="A4451" s="11" t="str">
        <f aca="false">IF(원본명단!$A4450="","",4448)</f>
        <v/>
      </c>
      <c r="B4451" s="12" t="str">
        <f aca="false">IF($A4451="","",원본명단!$A4450)</f>
        <v/>
      </c>
      <c r="C4451" s="12" t="str">
        <f aca="false">IF($A4451="","",원본명단!$B4450)</f>
        <v/>
      </c>
      <c r="D4451" s="12" t="str">
        <f aca="false">IF($A4451="","",원본명단!$D4450)</f>
        <v/>
      </c>
      <c r="E4451" s="11" t="str">
        <f aca="false">IF($A4451="","",IF(원본명단!$H4450="",0,COUNTIF(원본명단!$H$3:$H$6002,원본명단!$H4450)))</f>
        <v/>
      </c>
      <c r="F4451" s="11" t="str">
        <f aca="false">IF($A4451="","",IF(원본명단!$I4450="",0,COUNTIF(원본명단!$I$3:$I$6002,원본명단!$I4450)))</f>
        <v/>
      </c>
      <c r="G4451" s="11" t="str">
        <f aca="false">IF($A4451="","",IF(원본명단!$K4450="",0,COUNTIF(원본명단!$K$3:$K$6002,원본명단!$K4450)))</f>
        <v/>
      </c>
      <c r="H4451" s="11" t="str">
        <f aca="false">IF($A4451="","",IF(MAX($E4451,$F4451,$G4451)&gt;1,"중복","-"))</f>
        <v/>
      </c>
      <c r="I4451" s="11" t="str">
        <f aca="false">IF($A4451="","",IF($H4451="-","-",IF(AND(IF(원본명단!$H4450="",TRUE(),COUNTIF(원본명단!$H$3:$H4450,원본명단!$H4450)=1),IF(원본명단!$I4450="",TRUE(),COUNTIF(원본명단!$I$3:$I4450,원본명단!$I4450)=1),IF(원본명단!$K4450="",TRUE(),COUNTIF(원본명단!$K$3:$K4450,원본명단!$K4450)=1)),"첫 건","중복 건")))</f>
        <v/>
      </c>
      <c r="J4451" s="11" t="str">
        <f aca="false">IF($A4451="","",IF($H4451="-","유지",IF($I4451="첫 건","유지","확인 필요")))</f>
        <v/>
      </c>
    </row>
    <row r="4452" customFormat="false" ht="15" hidden="false" customHeight="true" outlineLevel="0" collapsed="false">
      <c r="A4452" s="11" t="str">
        <f aca="false">IF(원본명단!$A4451="","",4449)</f>
        <v/>
      </c>
      <c r="B4452" s="12" t="str">
        <f aca="false">IF($A4452="","",원본명단!$A4451)</f>
        <v/>
      </c>
      <c r="C4452" s="12" t="str">
        <f aca="false">IF($A4452="","",원본명단!$B4451)</f>
        <v/>
      </c>
      <c r="D4452" s="12" t="str">
        <f aca="false">IF($A4452="","",원본명단!$D4451)</f>
        <v/>
      </c>
      <c r="E4452" s="11" t="str">
        <f aca="false">IF($A4452="","",IF(원본명단!$H4451="",0,COUNTIF(원본명단!$H$3:$H$6002,원본명단!$H4451)))</f>
        <v/>
      </c>
      <c r="F4452" s="11" t="str">
        <f aca="false">IF($A4452="","",IF(원본명단!$I4451="",0,COUNTIF(원본명단!$I$3:$I$6002,원본명단!$I4451)))</f>
        <v/>
      </c>
      <c r="G4452" s="11" t="str">
        <f aca="false">IF($A4452="","",IF(원본명단!$K4451="",0,COUNTIF(원본명단!$K$3:$K$6002,원본명단!$K4451)))</f>
        <v/>
      </c>
      <c r="H4452" s="11" t="str">
        <f aca="false">IF($A4452="","",IF(MAX($E4452,$F4452,$G4452)&gt;1,"중복","-"))</f>
        <v/>
      </c>
      <c r="I4452" s="11" t="str">
        <f aca="false">IF($A4452="","",IF($H4452="-","-",IF(AND(IF(원본명단!$H4451="",TRUE(),COUNTIF(원본명단!$H$3:$H4451,원본명단!$H4451)=1),IF(원본명단!$I4451="",TRUE(),COUNTIF(원본명단!$I$3:$I4451,원본명단!$I4451)=1),IF(원본명단!$K4451="",TRUE(),COUNTIF(원본명단!$K$3:$K4451,원본명단!$K4451)=1)),"첫 건","중복 건")))</f>
        <v/>
      </c>
      <c r="J4452" s="11" t="str">
        <f aca="false">IF($A4452="","",IF($H4452="-","유지",IF($I4452="첫 건","유지","확인 필요")))</f>
        <v/>
      </c>
    </row>
    <row r="4453" customFormat="false" ht="15" hidden="false" customHeight="true" outlineLevel="0" collapsed="false">
      <c r="A4453" s="11" t="str">
        <f aca="false">IF(원본명단!$A4452="","",4450)</f>
        <v/>
      </c>
      <c r="B4453" s="12" t="str">
        <f aca="false">IF($A4453="","",원본명단!$A4452)</f>
        <v/>
      </c>
      <c r="C4453" s="12" t="str">
        <f aca="false">IF($A4453="","",원본명단!$B4452)</f>
        <v/>
      </c>
      <c r="D4453" s="12" t="str">
        <f aca="false">IF($A4453="","",원본명단!$D4452)</f>
        <v/>
      </c>
      <c r="E4453" s="11" t="str">
        <f aca="false">IF($A4453="","",IF(원본명단!$H4452="",0,COUNTIF(원본명단!$H$3:$H$6002,원본명단!$H4452)))</f>
        <v/>
      </c>
      <c r="F4453" s="11" t="str">
        <f aca="false">IF($A4453="","",IF(원본명단!$I4452="",0,COUNTIF(원본명단!$I$3:$I$6002,원본명단!$I4452)))</f>
        <v/>
      </c>
      <c r="G4453" s="11" t="str">
        <f aca="false">IF($A4453="","",IF(원본명단!$K4452="",0,COUNTIF(원본명단!$K$3:$K$6002,원본명단!$K4452)))</f>
        <v/>
      </c>
      <c r="H4453" s="11" t="str">
        <f aca="false">IF($A4453="","",IF(MAX($E4453,$F4453,$G4453)&gt;1,"중복","-"))</f>
        <v/>
      </c>
      <c r="I4453" s="11" t="str">
        <f aca="false">IF($A4453="","",IF($H4453="-","-",IF(AND(IF(원본명단!$H4452="",TRUE(),COUNTIF(원본명단!$H$3:$H4452,원본명단!$H4452)=1),IF(원본명단!$I4452="",TRUE(),COUNTIF(원본명단!$I$3:$I4452,원본명단!$I4452)=1),IF(원본명단!$K4452="",TRUE(),COUNTIF(원본명단!$K$3:$K4452,원본명단!$K4452)=1)),"첫 건","중복 건")))</f>
        <v/>
      </c>
      <c r="J4453" s="11" t="str">
        <f aca="false">IF($A4453="","",IF($H4453="-","유지",IF($I4453="첫 건","유지","확인 필요")))</f>
        <v/>
      </c>
    </row>
    <row r="4454" customFormat="false" ht="15" hidden="false" customHeight="true" outlineLevel="0" collapsed="false">
      <c r="A4454" s="11" t="str">
        <f aca="false">IF(원본명단!$A4453="","",4451)</f>
        <v/>
      </c>
      <c r="B4454" s="12" t="str">
        <f aca="false">IF($A4454="","",원본명단!$A4453)</f>
        <v/>
      </c>
      <c r="C4454" s="12" t="str">
        <f aca="false">IF($A4454="","",원본명단!$B4453)</f>
        <v/>
      </c>
      <c r="D4454" s="12" t="str">
        <f aca="false">IF($A4454="","",원본명단!$D4453)</f>
        <v/>
      </c>
      <c r="E4454" s="11" t="str">
        <f aca="false">IF($A4454="","",IF(원본명단!$H4453="",0,COUNTIF(원본명단!$H$3:$H$6002,원본명단!$H4453)))</f>
        <v/>
      </c>
      <c r="F4454" s="11" t="str">
        <f aca="false">IF($A4454="","",IF(원본명단!$I4453="",0,COUNTIF(원본명단!$I$3:$I$6002,원본명단!$I4453)))</f>
        <v/>
      </c>
      <c r="G4454" s="11" t="str">
        <f aca="false">IF($A4454="","",IF(원본명단!$K4453="",0,COUNTIF(원본명단!$K$3:$K$6002,원본명단!$K4453)))</f>
        <v/>
      </c>
      <c r="H4454" s="11" t="str">
        <f aca="false">IF($A4454="","",IF(MAX($E4454,$F4454,$G4454)&gt;1,"중복","-"))</f>
        <v/>
      </c>
      <c r="I4454" s="11" t="str">
        <f aca="false">IF($A4454="","",IF($H4454="-","-",IF(AND(IF(원본명단!$H4453="",TRUE(),COUNTIF(원본명단!$H$3:$H4453,원본명단!$H4453)=1),IF(원본명단!$I4453="",TRUE(),COUNTIF(원본명단!$I$3:$I4453,원본명단!$I4453)=1),IF(원본명단!$K4453="",TRUE(),COUNTIF(원본명단!$K$3:$K4453,원본명단!$K4453)=1)),"첫 건","중복 건")))</f>
        <v/>
      </c>
      <c r="J4454" s="11" t="str">
        <f aca="false">IF($A4454="","",IF($H4454="-","유지",IF($I4454="첫 건","유지","확인 필요")))</f>
        <v/>
      </c>
    </row>
    <row r="4455" customFormat="false" ht="15" hidden="false" customHeight="true" outlineLevel="0" collapsed="false">
      <c r="A4455" s="11" t="str">
        <f aca="false">IF(원본명단!$A4454="","",4452)</f>
        <v/>
      </c>
      <c r="B4455" s="12" t="str">
        <f aca="false">IF($A4455="","",원본명단!$A4454)</f>
        <v/>
      </c>
      <c r="C4455" s="12" t="str">
        <f aca="false">IF($A4455="","",원본명단!$B4454)</f>
        <v/>
      </c>
      <c r="D4455" s="12" t="str">
        <f aca="false">IF($A4455="","",원본명단!$D4454)</f>
        <v/>
      </c>
      <c r="E4455" s="11" t="str">
        <f aca="false">IF($A4455="","",IF(원본명단!$H4454="",0,COUNTIF(원본명단!$H$3:$H$6002,원본명단!$H4454)))</f>
        <v/>
      </c>
      <c r="F4455" s="11" t="str">
        <f aca="false">IF($A4455="","",IF(원본명단!$I4454="",0,COUNTIF(원본명단!$I$3:$I$6002,원본명단!$I4454)))</f>
        <v/>
      </c>
      <c r="G4455" s="11" t="str">
        <f aca="false">IF($A4455="","",IF(원본명단!$K4454="",0,COUNTIF(원본명단!$K$3:$K$6002,원본명단!$K4454)))</f>
        <v/>
      </c>
      <c r="H4455" s="11" t="str">
        <f aca="false">IF($A4455="","",IF(MAX($E4455,$F4455,$G4455)&gt;1,"중복","-"))</f>
        <v/>
      </c>
      <c r="I4455" s="11" t="str">
        <f aca="false">IF($A4455="","",IF($H4455="-","-",IF(AND(IF(원본명단!$H4454="",TRUE(),COUNTIF(원본명단!$H$3:$H4454,원본명단!$H4454)=1),IF(원본명단!$I4454="",TRUE(),COUNTIF(원본명단!$I$3:$I4454,원본명단!$I4454)=1),IF(원본명단!$K4454="",TRUE(),COUNTIF(원본명단!$K$3:$K4454,원본명단!$K4454)=1)),"첫 건","중복 건")))</f>
        <v/>
      </c>
      <c r="J4455" s="11" t="str">
        <f aca="false">IF($A4455="","",IF($H4455="-","유지",IF($I4455="첫 건","유지","확인 필요")))</f>
        <v/>
      </c>
    </row>
    <row r="4456" customFormat="false" ht="15" hidden="false" customHeight="true" outlineLevel="0" collapsed="false">
      <c r="A4456" s="11" t="str">
        <f aca="false">IF(원본명단!$A4455="","",4453)</f>
        <v/>
      </c>
      <c r="B4456" s="12" t="str">
        <f aca="false">IF($A4456="","",원본명단!$A4455)</f>
        <v/>
      </c>
      <c r="C4456" s="12" t="str">
        <f aca="false">IF($A4456="","",원본명단!$B4455)</f>
        <v/>
      </c>
      <c r="D4456" s="12" t="str">
        <f aca="false">IF($A4456="","",원본명단!$D4455)</f>
        <v/>
      </c>
      <c r="E4456" s="11" t="str">
        <f aca="false">IF($A4456="","",IF(원본명단!$H4455="",0,COUNTIF(원본명단!$H$3:$H$6002,원본명단!$H4455)))</f>
        <v/>
      </c>
      <c r="F4456" s="11" t="str">
        <f aca="false">IF($A4456="","",IF(원본명단!$I4455="",0,COUNTIF(원본명단!$I$3:$I$6002,원본명단!$I4455)))</f>
        <v/>
      </c>
      <c r="G4456" s="11" t="str">
        <f aca="false">IF($A4456="","",IF(원본명단!$K4455="",0,COUNTIF(원본명단!$K$3:$K$6002,원본명단!$K4455)))</f>
        <v/>
      </c>
      <c r="H4456" s="11" t="str">
        <f aca="false">IF($A4456="","",IF(MAX($E4456,$F4456,$G4456)&gt;1,"중복","-"))</f>
        <v/>
      </c>
      <c r="I4456" s="11" t="str">
        <f aca="false">IF($A4456="","",IF($H4456="-","-",IF(AND(IF(원본명단!$H4455="",TRUE(),COUNTIF(원본명단!$H$3:$H4455,원본명단!$H4455)=1),IF(원본명단!$I4455="",TRUE(),COUNTIF(원본명단!$I$3:$I4455,원본명단!$I4455)=1),IF(원본명단!$K4455="",TRUE(),COUNTIF(원본명단!$K$3:$K4455,원본명단!$K4455)=1)),"첫 건","중복 건")))</f>
        <v/>
      </c>
      <c r="J4456" s="11" t="str">
        <f aca="false">IF($A4456="","",IF($H4456="-","유지",IF($I4456="첫 건","유지","확인 필요")))</f>
        <v/>
      </c>
    </row>
    <row r="4457" customFormat="false" ht="15" hidden="false" customHeight="true" outlineLevel="0" collapsed="false">
      <c r="A4457" s="11" t="str">
        <f aca="false">IF(원본명단!$A4456="","",4454)</f>
        <v/>
      </c>
      <c r="B4457" s="12" t="str">
        <f aca="false">IF($A4457="","",원본명단!$A4456)</f>
        <v/>
      </c>
      <c r="C4457" s="12" t="str">
        <f aca="false">IF($A4457="","",원본명단!$B4456)</f>
        <v/>
      </c>
      <c r="D4457" s="12" t="str">
        <f aca="false">IF($A4457="","",원본명단!$D4456)</f>
        <v/>
      </c>
      <c r="E4457" s="11" t="str">
        <f aca="false">IF($A4457="","",IF(원본명단!$H4456="",0,COUNTIF(원본명단!$H$3:$H$6002,원본명단!$H4456)))</f>
        <v/>
      </c>
      <c r="F4457" s="11" t="str">
        <f aca="false">IF($A4457="","",IF(원본명단!$I4456="",0,COUNTIF(원본명단!$I$3:$I$6002,원본명단!$I4456)))</f>
        <v/>
      </c>
      <c r="G4457" s="11" t="str">
        <f aca="false">IF($A4457="","",IF(원본명단!$K4456="",0,COUNTIF(원본명단!$K$3:$K$6002,원본명단!$K4456)))</f>
        <v/>
      </c>
      <c r="H4457" s="11" t="str">
        <f aca="false">IF($A4457="","",IF(MAX($E4457,$F4457,$G4457)&gt;1,"중복","-"))</f>
        <v/>
      </c>
      <c r="I4457" s="11" t="str">
        <f aca="false">IF($A4457="","",IF($H4457="-","-",IF(AND(IF(원본명단!$H4456="",TRUE(),COUNTIF(원본명단!$H$3:$H4456,원본명단!$H4456)=1),IF(원본명단!$I4456="",TRUE(),COUNTIF(원본명단!$I$3:$I4456,원본명단!$I4456)=1),IF(원본명단!$K4456="",TRUE(),COUNTIF(원본명단!$K$3:$K4456,원본명단!$K4456)=1)),"첫 건","중복 건")))</f>
        <v/>
      </c>
      <c r="J4457" s="11" t="str">
        <f aca="false">IF($A4457="","",IF($H4457="-","유지",IF($I4457="첫 건","유지","확인 필요")))</f>
        <v/>
      </c>
    </row>
    <row r="4458" customFormat="false" ht="15" hidden="false" customHeight="true" outlineLevel="0" collapsed="false">
      <c r="A4458" s="11" t="str">
        <f aca="false">IF(원본명단!$A4457="","",4455)</f>
        <v/>
      </c>
      <c r="B4458" s="12" t="str">
        <f aca="false">IF($A4458="","",원본명단!$A4457)</f>
        <v/>
      </c>
      <c r="C4458" s="12" t="str">
        <f aca="false">IF($A4458="","",원본명단!$B4457)</f>
        <v/>
      </c>
      <c r="D4458" s="12" t="str">
        <f aca="false">IF($A4458="","",원본명단!$D4457)</f>
        <v/>
      </c>
      <c r="E4458" s="11" t="str">
        <f aca="false">IF($A4458="","",IF(원본명단!$H4457="",0,COUNTIF(원본명단!$H$3:$H$6002,원본명단!$H4457)))</f>
        <v/>
      </c>
      <c r="F4458" s="11" t="str">
        <f aca="false">IF($A4458="","",IF(원본명단!$I4457="",0,COUNTIF(원본명단!$I$3:$I$6002,원본명단!$I4457)))</f>
        <v/>
      </c>
      <c r="G4458" s="11" t="str">
        <f aca="false">IF($A4458="","",IF(원본명단!$K4457="",0,COUNTIF(원본명단!$K$3:$K$6002,원본명단!$K4457)))</f>
        <v/>
      </c>
      <c r="H4458" s="11" t="str">
        <f aca="false">IF($A4458="","",IF(MAX($E4458,$F4458,$G4458)&gt;1,"중복","-"))</f>
        <v/>
      </c>
      <c r="I4458" s="11" t="str">
        <f aca="false">IF($A4458="","",IF($H4458="-","-",IF(AND(IF(원본명단!$H4457="",TRUE(),COUNTIF(원본명단!$H$3:$H4457,원본명단!$H4457)=1),IF(원본명단!$I4457="",TRUE(),COUNTIF(원본명단!$I$3:$I4457,원본명단!$I4457)=1),IF(원본명단!$K4457="",TRUE(),COUNTIF(원본명단!$K$3:$K4457,원본명단!$K4457)=1)),"첫 건","중복 건")))</f>
        <v/>
      </c>
      <c r="J4458" s="11" t="str">
        <f aca="false">IF($A4458="","",IF($H4458="-","유지",IF($I4458="첫 건","유지","확인 필요")))</f>
        <v/>
      </c>
    </row>
    <row r="4459" customFormat="false" ht="15" hidden="false" customHeight="true" outlineLevel="0" collapsed="false">
      <c r="A4459" s="11" t="str">
        <f aca="false">IF(원본명단!$A4458="","",4456)</f>
        <v/>
      </c>
      <c r="B4459" s="12" t="str">
        <f aca="false">IF($A4459="","",원본명단!$A4458)</f>
        <v/>
      </c>
      <c r="C4459" s="12" t="str">
        <f aca="false">IF($A4459="","",원본명단!$B4458)</f>
        <v/>
      </c>
      <c r="D4459" s="12" t="str">
        <f aca="false">IF($A4459="","",원본명단!$D4458)</f>
        <v/>
      </c>
      <c r="E4459" s="11" t="str">
        <f aca="false">IF($A4459="","",IF(원본명단!$H4458="",0,COUNTIF(원본명단!$H$3:$H$6002,원본명단!$H4458)))</f>
        <v/>
      </c>
      <c r="F4459" s="11" t="str">
        <f aca="false">IF($A4459="","",IF(원본명단!$I4458="",0,COUNTIF(원본명단!$I$3:$I$6002,원본명단!$I4458)))</f>
        <v/>
      </c>
      <c r="G4459" s="11" t="str">
        <f aca="false">IF($A4459="","",IF(원본명단!$K4458="",0,COUNTIF(원본명단!$K$3:$K$6002,원본명단!$K4458)))</f>
        <v/>
      </c>
      <c r="H4459" s="11" t="str">
        <f aca="false">IF($A4459="","",IF(MAX($E4459,$F4459,$G4459)&gt;1,"중복","-"))</f>
        <v/>
      </c>
      <c r="I4459" s="11" t="str">
        <f aca="false">IF($A4459="","",IF($H4459="-","-",IF(AND(IF(원본명단!$H4458="",TRUE(),COUNTIF(원본명단!$H$3:$H4458,원본명단!$H4458)=1),IF(원본명단!$I4458="",TRUE(),COUNTIF(원본명단!$I$3:$I4458,원본명단!$I4458)=1),IF(원본명단!$K4458="",TRUE(),COUNTIF(원본명단!$K$3:$K4458,원본명단!$K4458)=1)),"첫 건","중복 건")))</f>
        <v/>
      </c>
      <c r="J4459" s="11" t="str">
        <f aca="false">IF($A4459="","",IF($H4459="-","유지",IF($I4459="첫 건","유지","확인 필요")))</f>
        <v/>
      </c>
    </row>
    <row r="4460" customFormat="false" ht="15" hidden="false" customHeight="true" outlineLevel="0" collapsed="false">
      <c r="A4460" s="11" t="str">
        <f aca="false">IF(원본명단!$A4459="","",4457)</f>
        <v/>
      </c>
      <c r="B4460" s="12" t="str">
        <f aca="false">IF($A4460="","",원본명단!$A4459)</f>
        <v/>
      </c>
      <c r="C4460" s="12" t="str">
        <f aca="false">IF($A4460="","",원본명단!$B4459)</f>
        <v/>
      </c>
      <c r="D4460" s="12" t="str">
        <f aca="false">IF($A4460="","",원본명단!$D4459)</f>
        <v/>
      </c>
      <c r="E4460" s="11" t="str">
        <f aca="false">IF($A4460="","",IF(원본명단!$H4459="",0,COUNTIF(원본명단!$H$3:$H$6002,원본명단!$H4459)))</f>
        <v/>
      </c>
      <c r="F4460" s="11" t="str">
        <f aca="false">IF($A4460="","",IF(원본명단!$I4459="",0,COUNTIF(원본명단!$I$3:$I$6002,원본명단!$I4459)))</f>
        <v/>
      </c>
      <c r="G4460" s="11" t="str">
        <f aca="false">IF($A4460="","",IF(원본명단!$K4459="",0,COUNTIF(원본명단!$K$3:$K$6002,원본명단!$K4459)))</f>
        <v/>
      </c>
      <c r="H4460" s="11" t="str">
        <f aca="false">IF($A4460="","",IF(MAX($E4460,$F4460,$G4460)&gt;1,"중복","-"))</f>
        <v/>
      </c>
      <c r="I4460" s="11" t="str">
        <f aca="false">IF($A4460="","",IF($H4460="-","-",IF(AND(IF(원본명단!$H4459="",TRUE(),COUNTIF(원본명단!$H$3:$H4459,원본명단!$H4459)=1),IF(원본명단!$I4459="",TRUE(),COUNTIF(원본명단!$I$3:$I4459,원본명단!$I4459)=1),IF(원본명단!$K4459="",TRUE(),COUNTIF(원본명단!$K$3:$K4459,원본명단!$K4459)=1)),"첫 건","중복 건")))</f>
        <v/>
      </c>
      <c r="J4460" s="11" t="str">
        <f aca="false">IF($A4460="","",IF($H4460="-","유지",IF($I4460="첫 건","유지","확인 필요")))</f>
        <v/>
      </c>
    </row>
    <row r="4461" customFormat="false" ht="15" hidden="false" customHeight="true" outlineLevel="0" collapsed="false">
      <c r="A4461" s="11" t="str">
        <f aca="false">IF(원본명단!$A4460="","",4458)</f>
        <v/>
      </c>
      <c r="B4461" s="12" t="str">
        <f aca="false">IF($A4461="","",원본명단!$A4460)</f>
        <v/>
      </c>
      <c r="C4461" s="12" t="str">
        <f aca="false">IF($A4461="","",원본명단!$B4460)</f>
        <v/>
      </c>
      <c r="D4461" s="12" t="str">
        <f aca="false">IF($A4461="","",원본명단!$D4460)</f>
        <v/>
      </c>
      <c r="E4461" s="11" t="str">
        <f aca="false">IF($A4461="","",IF(원본명단!$H4460="",0,COUNTIF(원본명단!$H$3:$H$6002,원본명단!$H4460)))</f>
        <v/>
      </c>
      <c r="F4461" s="11" t="str">
        <f aca="false">IF($A4461="","",IF(원본명단!$I4460="",0,COUNTIF(원본명단!$I$3:$I$6002,원본명단!$I4460)))</f>
        <v/>
      </c>
      <c r="G4461" s="11" t="str">
        <f aca="false">IF($A4461="","",IF(원본명단!$K4460="",0,COUNTIF(원본명단!$K$3:$K$6002,원본명단!$K4460)))</f>
        <v/>
      </c>
      <c r="H4461" s="11" t="str">
        <f aca="false">IF($A4461="","",IF(MAX($E4461,$F4461,$G4461)&gt;1,"중복","-"))</f>
        <v/>
      </c>
      <c r="I4461" s="11" t="str">
        <f aca="false">IF($A4461="","",IF($H4461="-","-",IF(AND(IF(원본명단!$H4460="",TRUE(),COUNTIF(원본명단!$H$3:$H4460,원본명단!$H4460)=1),IF(원본명단!$I4460="",TRUE(),COUNTIF(원본명단!$I$3:$I4460,원본명단!$I4460)=1),IF(원본명단!$K4460="",TRUE(),COUNTIF(원본명단!$K$3:$K4460,원본명단!$K4460)=1)),"첫 건","중복 건")))</f>
        <v/>
      </c>
      <c r="J4461" s="11" t="str">
        <f aca="false">IF($A4461="","",IF($H4461="-","유지",IF($I4461="첫 건","유지","확인 필요")))</f>
        <v/>
      </c>
    </row>
    <row r="4462" customFormat="false" ht="15" hidden="false" customHeight="true" outlineLevel="0" collapsed="false">
      <c r="A4462" s="11" t="str">
        <f aca="false">IF(원본명단!$A4461="","",4459)</f>
        <v/>
      </c>
      <c r="B4462" s="12" t="str">
        <f aca="false">IF($A4462="","",원본명단!$A4461)</f>
        <v/>
      </c>
      <c r="C4462" s="12" t="str">
        <f aca="false">IF($A4462="","",원본명단!$B4461)</f>
        <v/>
      </c>
      <c r="D4462" s="12" t="str">
        <f aca="false">IF($A4462="","",원본명단!$D4461)</f>
        <v/>
      </c>
      <c r="E4462" s="11" t="str">
        <f aca="false">IF($A4462="","",IF(원본명단!$H4461="",0,COUNTIF(원본명단!$H$3:$H$6002,원본명단!$H4461)))</f>
        <v/>
      </c>
      <c r="F4462" s="11" t="str">
        <f aca="false">IF($A4462="","",IF(원본명단!$I4461="",0,COUNTIF(원본명단!$I$3:$I$6002,원본명단!$I4461)))</f>
        <v/>
      </c>
      <c r="G4462" s="11" t="str">
        <f aca="false">IF($A4462="","",IF(원본명단!$K4461="",0,COUNTIF(원본명단!$K$3:$K$6002,원본명단!$K4461)))</f>
        <v/>
      </c>
      <c r="H4462" s="11" t="str">
        <f aca="false">IF($A4462="","",IF(MAX($E4462,$F4462,$G4462)&gt;1,"중복","-"))</f>
        <v/>
      </c>
      <c r="I4462" s="11" t="str">
        <f aca="false">IF($A4462="","",IF($H4462="-","-",IF(AND(IF(원본명단!$H4461="",TRUE(),COUNTIF(원본명단!$H$3:$H4461,원본명단!$H4461)=1),IF(원본명단!$I4461="",TRUE(),COUNTIF(원본명단!$I$3:$I4461,원본명단!$I4461)=1),IF(원본명단!$K4461="",TRUE(),COUNTIF(원본명단!$K$3:$K4461,원본명단!$K4461)=1)),"첫 건","중복 건")))</f>
        <v/>
      </c>
      <c r="J4462" s="11" t="str">
        <f aca="false">IF($A4462="","",IF($H4462="-","유지",IF($I4462="첫 건","유지","확인 필요")))</f>
        <v/>
      </c>
    </row>
    <row r="4463" customFormat="false" ht="15" hidden="false" customHeight="true" outlineLevel="0" collapsed="false">
      <c r="A4463" s="11" t="str">
        <f aca="false">IF(원본명단!$A4462="","",4460)</f>
        <v/>
      </c>
      <c r="B4463" s="12" t="str">
        <f aca="false">IF($A4463="","",원본명단!$A4462)</f>
        <v/>
      </c>
      <c r="C4463" s="12" t="str">
        <f aca="false">IF($A4463="","",원본명단!$B4462)</f>
        <v/>
      </c>
      <c r="D4463" s="12" t="str">
        <f aca="false">IF($A4463="","",원본명단!$D4462)</f>
        <v/>
      </c>
      <c r="E4463" s="11" t="str">
        <f aca="false">IF($A4463="","",IF(원본명단!$H4462="",0,COUNTIF(원본명단!$H$3:$H$6002,원본명단!$H4462)))</f>
        <v/>
      </c>
      <c r="F4463" s="11" t="str">
        <f aca="false">IF($A4463="","",IF(원본명단!$I4462="",0,COUNTIF(원본명단!$I$3:$I$6002,원본명단!$I4462)))</f>
        <v/>
      </c>
      <c r="G4463" s="11" t="str">
        <f aca="false">IF($A4463="","",IF(원본명단!$K4462="",0,COUNTIF(원본명단!$K$3:$K$6002,원본명단!$K4462)))</f>
        <v/>
      </c>
      <c r="H4463" s="11" t="str">
        <f aca="false">IF($A4463="","",IF(MAX($E4463,$F4463,$G4463)&gt;1,"중복","-"))</f>
        <v/>
      </c>
      <c r="I4463" s="11" t="str">
        <f aca="false">IF($A4463="","",IF($H4463="-","-",IF(AND(IF(원본명단!$H4462="",TRUE(),COUNTIF(원본명단!$H$3:$H4462,원본명단!$H4462)=1),IF(원본명단!$I4462="",TRUE(),COUNTIF(원본명단!$I$3:$I4462,원본명단!$I4462)=1),IF(원본명단!$K4462="",TRUE(),COUNTIF(원본명단!$K$3:$K4462,원본명단!$K4462)=1)),"첫 건","중복 건")))</f>
        <v/>
      </c>
      <c r="J4463" s="11" t="str">
        <f aca="false">IF($A4463="","",IF($H4463="-","유지",IF($I4463="첫 건","유지","확인 필요")))</f>
        <v/>
      </c>
    </row>
    <row r="4464" customFormat="false" ht="15" hidden="false" customHeight="true" outlineLevel="0" collapsed="false">
      <c r="A4464" s="11" t="str">
        <f aca="false">IF(원본명단!$A4463="","",4461)</f>
        <v/>
      </c>
      <c r="B4464" s="12" t="str">
        <f aca="false">IF($A4464="","",원본명단!$A4463)</f>
        <v/>
      </c>
      <c r="C4464" s="12" t="str">
        <f aca="false">IF($A4464="","",원본명단!$B4463)</f>
        <v/>
      </c>
      <c r="D4464" s="12" t="str">
        <f aca="false">IF($A4464="","",원본명단!$D4463)</f>
        <v/>
      </c>
      <c r="E4464" s="11" t="str">
        <f aca="false">IF($A4464="","",IF(원본명단!$H4463="",0,COUNTIF(원본명단!$H$3:$H$6002,원본명단!$H4463)))</f>
        <v/>
      </c>
      <c r="F4464" s="11" t="str">
        <f aca="false">IF($A4464="","",IF(원본명단!$I4463="",0,COUNTIF(원본명단!$I$3:$I$6002,원본명단!$I4463)))</f>
        <v/>
      </c>
      <c r="G4464" s="11" t="str">
        <f aca="false">IF($A4464="","",IF(원본명단!$K4463="",0,COUNTIF(원본명단!$K$3:$K$6002,원본명단!$K4463)))</f>
        <v/>
      </c>
      <c r="H4464" s="11" t="str">
        <f aca="false">IF($A4464="","",IF(MAX($E4464,$F4464,$G4464)&gt;1,"중복","-"))</f>
        <v/>
      </c>
      <c r="I4464" s="11" t="str">
        <f aca="false">IF($A4464="","",IF($H4464="-","-",IF(AND(IF(원본명단!$H4463="",TRUE(),COUNTIF(원본명단!$H$3:$H4463,원본명단!$H4463)=1),IF(원본명단!$I4463="",TRUE(),COUNTIF(원본명단!$I$3:$I4463,원본명단!$I4463)=1),IF(원본명단!$K4463="",TRUE(),COUNTIF(원본명단!$K$3:$K4463,원본명단!$K4463)=1)),"첫 건","중복 건")))</f>
        <v/>
      </c>
      <c r="J4464" s="11" t="str">
        <f aca="false">IF($A4464="","",IF($H4464="-","유지",IF($I4464="첫 건","유지","확인 필요")))</f>
        <v/>
      </c>
    </row>
    <row r="4465" customFormat="false" ht="15" hidden="false" customHeight="true" outlineLevel="0" collapsed="false">
      <c r="A4465" s="11" t="str">
        <f aca="false">IF(원본명단!$A4464="","",4462)</f>
        <v/>
      </c>
      <c r="B4465" s="12" t="str">
        <f aca="false">IF($A4465="","",원본명단!$A4464)</f>
        <v/>
      </c>
      <c r="C4465" s="12" t="str">
        <f aca="false">IF($A4465="","",원본명단!$B4464)</f>
        <v/>
      </c>
      <c r="D4465" s="12" t="str">
        <f aca="false">IF($A4465="","",원본명단!$D4464)</f>
        <v/>
      </c>
      <c r="E4465" s="11" t="str">
        <f aca="false">IF($A4465="","",IF(원본명단!$H4464="",0,COUNTIF(원본명단!$H$3:$H$6002,원본명단!$H4464)))</f>
        <v/>
      </c>
      <c r="F4465" s="11" t="str">
        <f aca="false">IF($A4465="","",IF(원본명단!$I4464="",0,COUNTIF(원본명단!$I$3:$I$6002,원본명단!$I4464)))</f>
        <v/>
      </c>
      <c r="G4465" s="11" t="str">
        <f aca="false">IF($A4465="","",IF(원본명단!$K4464="",0,COUNTIF(원본명단!$K$3:$K$6002,원본명단!$K4464)))</f>
        <v/>
      </c>
      <c r="H4465" s="11" t="str">
        <f aca="false">IF($A4465="","",IF(MAX($E4465,$F4465,$G4465)&gt;1,"중복","-"))</f>
        <v/>
      </c>
      <c r="I4465" s="11" t="str">
        <f aca="false">IF($A4465="","",IF($H4465="-","-",IF(AND(IF(원본명단!$H4464="",TRUE(),COUNTIF(원본명단!$H$3:$H4464,원본명단!$H4464)=1),IF(원본명단!$I4464="",TRUE(),COUNTIF(원본명단!$I$3:$I4464,원본명단!$I4464)=1),IF(원본명단!$K4464="",TRUE(),COUNTIF(원본명단!$K$3:$K4464,원본명단!$K4464)=1)),"첫 건","중복 건")))</f>
        <v/>
      </c>
      <c r="J4465" s="11" t="str">
        <f aca="false">IF($A4465="","",IF($H4465="-","유지",IF($I4465="첫 건","유지","확인 필요")))</f>
        <v/>
      </c>
    </row>
    <row r="4466" customFormat="false" ht="15" hidden="false" customHeight="true" outlineLevel="0" collapsed="false">
      <c r="A4466" s="11" t="str">
        <f aca="false">IF(원본명단!$A4465="","",4463)</f>
        <v/>
      </c>
      <c r="B4466" s="12" t="str">
        <f aca="false">IF($A4466="","",원본명단!$A4465)</f>
        <v/>
      </c>
      <c r="C4466" s="12" t="str">
        <f aca="false">IF($A4466="","",원본명단!$B4465)</f>
        <v/>
      </c>
      <c r="D4466" s="12" t="str">
        <f aca="false">IF($A4466="","",원본명단!$D4465)</f>
        <v/>
      </c>
      <c r="E4466" s="11" t="str">
        <f aca="false">IF($A4466="","",IF(원본명단!$H4465="",0,COUNTIF(원본명단!$H$3:$H$6002,원본명단!$H4465)))</f>
        <v/>
      </c>
      <c r="F4466" s="11" t="str">
        <f aca="false">IF($A4466="","",IF(원본명단!$I4465="",0,COUNTIF(원본명단!$I$3:$I$6002,원본명단!$I4465)))</f>
        <v/>
      </c>
      <c r="G4466" s="11" t="str">
        <f aca="false">IF($A4466="","",IF(원본명단!$K4465="",0,COUNTIF(원본명단!$K$3:$K$6002,원본명단!$K4465)))</f>
        <v/>
      </c>
      <c r="H4466" s="11" t="str">
        <f aca="false">IF($A4466="","",IF(MAX($E4466,$F4466,$G4466)&gt;1,"중복","-"))</f>
        <v/>
      </c>
      <c r="I4466" s="11" t="str">
        <f aca="false">IF($A4466="","",IF($H4466="-","-",IF(AND(IF(원본명단!$H4465="",TRUE(),COUNTIF(원본명단!$H$3:$H4465,원본명단!$H4465)=1),IF(원본명단!$I4465="",TRUE(),COUNTIF(원본명단!$I$3:$I4465,원본명단!$I4465)=1),IF(원본명단!$K4465="",TRUE(),COUNTIF(원본명단!$K$3:$K4465,원본명단!$K4465)=1)),"첫 건","중복 건")))</f>
        <v/>
      </c>
      <c r="J4466" s="11" t="str">
        <f aca="false">IF($A4466="","",IF($H4466="-","유지",IF($I4466="첫 건","유지","확인 필요")))</f>
        <v/>
      </c>
    </row>
    <row r="4467" customFormat="false" ht="15" hidden="false" customHeight="true" outlineLevel="0" collapsed="false">
      <c r="A4467" s="11" t="str">
        <f aca="false">IF(원본명단!$A4466="","",4464)</f>
        <v/>
      </c>
      <c r="B4467" s="12" t="str">
        <f aca="false">IF($A4467="","",원본명단!$A4466)</f>
        <v/>
      </c>
      <c r="C4467" s="12" t="str">
        <f aca="false">IF($A4467="","",원본명단!$B4466)</f>
        <v/>
      </c>
      <c r="D4467" s="12" t="str">
        <f aca="false">IF($A4467="","",원본명단!$D4466)</f>
        <v/>
      </c>
      <c r="E4467" s="11" t="str">
        <f aca="false">IF($A4467="","",IF(원본명단!$H4466="",0,COUNTIF(원본명단!$H$3:$H$6002,원본명단!$H4466)))</f>
        <v/>
      </c>
      <c r="F4467" s="11" t="str">
        <f aca="false">IF($A4467="","",IF(원본명단!$I4466="",0,COUNTIF(원본명단!$I$3:$I$6002,원본명단!$I4466)))</f>
        <v/>
      </c>
      <c r="G4467" s="11" t="str">
        <f aca="false">IF($A4467="","",IF(원본명단!$K4466="",0,COUNTIF(원본명단!$K$3:$K$6002,원본명단!$K4466)))</f>
        <v/>
      </c>
      <c r="H4467" s="11" t="str">
        <f aca="false">IF($A4467="","",IF(MAX($E4467,$F4467,$G4467)&gt;1,"중복","-"))</f>
        <v/>
      </c>
      <c r="I4467" s="11" t="str">
        <f aca="false">IF($A4467="","",IF($H4467="-","-",IF(AND(IF(원본명단!$H4466="",TRUE(),COUNTIF(원본명단!$H$3:$H4466,원본명단!$H4466)=1),IF(원본명단!$I4466="",TRUE(),COUNTIF(원본명단!$I$3:$I4466,원본명단!$I4466)=1),IF(원본명단!$K4466="",TRUE(),COUNTIF(원본명단!$K$3:$K4466,원본명단!$K4466)=1)),"첫 건","중복 건")))</f>
        <v/>
      </c>
      <c r="J4467" s="11" t="str">
        <f aca="false">IF($A4467="","",IF($H4467="-","유지",IF($I4467="첫 건","유지","확인 필요")))</f>
        <v/>
      </c>
    </row>
    <row r="4468" customFormat="false" ht="15" hidden="false" customHeight="true" outlineLevel="0" collapsed="false">
      <c r="A4468" s="11" t="str">
        <f aca="false">IF(원본명단!$A4467="","",4465)</f>
        <v/>
      </c>
      <c r="B4468" s="12" t="str">
        <f aca="false">IF($A4468="","",원본명단!$A4467)</f>
        <v/>
      </c>
      <c r="C4468" s="12" t="str">
        <f aca="false">IF($A4468="","",원본명단!$B4467)</f>
        <v/>
      </c>
      <c r="D4468" s="12" t="str">
        <f aca="false">IF($A4468="","",원본명단!$D4467)</f>
        <v/>
      </c>
      <c r="E4468" s="11" t="str">
        <f aca="false">IF($A4468="","",IF(원본명단!$H4467="",0,COUNTIF(원본명단!$H$3:$H$6002,원본명단!$H4467)))</f>
        <v/>
      </c>
      <c r="F4468" s="11" t="str">
        <f aca="false">IF($A4468="","",IF(원본명단!$I4467="",0,COUNTIF(원본명단!$I$3:$I$6002,원본명단!$I4467)))</f>
        <v/>
      </c>
      <c r="G4468" s="11" t="str">
        <f aca="false">IF($A4468="","",IF(원본명단!$K4467="",0,COUNTIF(원본명단!$K$3:$K$6002,원본명단!$K4467)))</f>
        <v/>
      </c>
      <c r="H4468" s="11" t="str">
        <f aca="false">IF($A4468="","",IF(MAX($E4468,$F4468,$G4468)&gt;1,"중복","-"))</f>
        <v/>
      </c>
      <c r="I4468" s="11" t="str">
        <f aca="false">IF($A4468="","",IF($H4468="-","-",IF(AND(IF(원본명단!$H4467="",TRUE(),COUNTIF(원본명단!$H$3:$H4467,원본명단!$H4467)=1),IF(원본명단!$I4467="",TRUE(),COUNTIF(원본명단!$I$3:$I4467,원본명단!$I4467)=1),IF(원본명단!$K4467="",TRUE(),COUNTIF(원본명단!$K$3:$K4467,원본명단!$K4467)=1)),"첫 건","중복 건")))</f>
        <v/>
      </c>
      <c r="J4468" s="11" t="str">
        <f aca="false">IF($A4468="","",IF($H4468="-","유지",IF($I4468="첫 건","유지","확인 필요")))</f>
        <v/>
      </c>
    </row>
    <row r="4469" customFormat="false" ht="15" hidden="false" customHeight="true" outlineLevel="0" collapsed="false">
      <c r="A4469" s="11" t="str">
        <f aca="false">IF(원본명단!$A4468="","",4466)</f>
        <v/>
      </c>
      <c r="B4469" s="12" t="str">
        <f aca="false">IF($A4469="","",원본명단!$A4468)</f>
        <v/>
      </c>
      <c r="C4469" s="12" t="str">
        <f aca="false">IF($A4469="","",원본명단!$B4468)</f>
        <v/>
      </c>
      <c r="D4469" s="12" t="str">
        <f aca="false">IF($A4469="","",원본명단!$D4468)</f>
        <v/>
      </c>
      <c r="E4469" s="11" t="str">
        <f aca="false">IF($A4469="","",IF(원본명단!$H4468="",0,COUNTIF(원본명단!$H$3:$H$6002,원본명단!$H4468)))</f>
        <v/>
      </c>
      <c r="F4469" s="11" t="str">
        <f aca="false">IF($A4469="","",IF(원본명단!$I4468="",0,COUNTIF(원본명단!$I$3:$I$6002,원본명단!$I4468)))</f>
        <v/>
      </c>
      <c r="G4469" s="11" t="str">
        <f aca="false">IF($A4469="","",IF(원본명단!$K4468="",0,COUNTIF(원본명단!$K$3:$K$6002,원본명단!$K4468)))</f>
        <v/>
      </c>
      <c r="H4469" s="11" t="str">
        <f aca="false">IF($A4469="","",IF(MAX($E4469,$F4469,$G4469)&gt;1,"중복","-"))</f>
        <v/>
      </c>
      <c r="I4469" s="11" t="str">
        <f aca="false">IF($A4469="","",IF($H4469="-","-",IF(AND(IF(원본명단!$H4468="",TRUE(),COUNTIF(원본명단!$H$3:$H4468,원본명단!$H4468)=1),IF(원본명단!$I4468="",TRUE(),COUNTIF(원본명단!$I$3:$I4468,원본명단!$I4468)=1),IF(원본명단!$K4468="",TRUE(),COUNTIF(원본명단!$K$3:$K4468,원본명단!$K4468)=1)),"첫 건","중복 건")))</f>
        <v/>
      </c>
      <c r="J4469" s="11" t="str">
        <f aca="false">IF($A4469="","",IF($H4469="-","유지",IF($I4469="첫 건","유지","확인 필요")))</f>
        <v/>
      </c>
    </row>
    <row r="4470" customFormat="false" ht="15" hidden="false" customHeight="true" outlineLevel="0" collapsed="false">
      <c r="A4470" s="11" t="str">
        <f aca="false">IF(원본명단!$A4469="","",4467)</f>
        <v/>
      </c>
      <c r="B4470" s="12" t="str">
        <f aca="false">IF($A4470="","",원본명단!$A4469)</f>
        <v/>
      </c>
      <c r="C4470" s="12" t="str">
        <f aca="false">IF($A4470="","",원본명단!$B4469)</f>
        <v/>
      </c>
      <c r="D4470" s="12" t="str">
        <f aca="false">IF($A4470="","",원본명단!$D4469)</f>
        <v/>
      </c>
      <c r="E4470" s="11" t="str">
        <f aca="false">IF($A4470="","",IF(원본명단!$H4469="",0,COUNTIF(원본명단!$H$3:$H$6002,원본명단!$H4469)))</f>
        <v/>
      </c>
      <c r="F4470" s="11" t="str">
        <f aca="false">IF($A4470="","",IF(원본명단!$I4469="",0,COUNTIF(원본명단!$I$3:$I$6002,원본명단!$I4469)))</f>
        <v/>
      </c>
      <c r="G4470" s="11" t="str">
        <f aca="false">IF($A4470="","",IF(원본명단!$K4469="",0,COUNTIF(원본명단!$K$3:$K$6002,원본명단!$K4469)))</f>
        <v/>
      </c>
      <c r="H4470" s="11" t="str">
        <f aca="false">IF($A4470="","",IF(MAX($E4470,$F4470,$G4470)&gt;1,"중복","-"))</f>
        <v/>
      </c>
      <c r="I4470" s="11" t="str">
        <f aca="false">IF($A4470="","",IF($H4470="-","-",IF(AND(IF(원본명단!$H4469="",TRUE(),COUNTIF(원본명단!$H$3:$H4469,원본명단!$H4469)=1),IF(원본명단!$I4469="",TRUE(),COUNTIF(원본명단!$I$3:$I4469,원본명단!$I4469)=1),IF(원본명단!$K4469="",TRUE(),COUNTIF(원본명단!$K$3:$K4469,원본명단!$K4469)=1)),"첫 건","중복 건")))</f>
        <v/>
      </c>
      <c r="J4470" s="11" t="str">
        <f aca="false">IF($A4470="","",IF($H4470="-","유지",IF($I4470="첫 건","유지","확인 필요")))</f>
        <v/>
      </c>
    </row>
    <row r="4471" customFormat="false" ht="15" hidden="false" customHeight="true" outlineLevel="0" collapsed="false">
      <c r="A4471" s="11" t="str">
        <f aca="false">IF(원본명단!$A4470="","",4468)</f>
        <v/>
      </c>
      <c r="B4471" s="12" t="str">
        <f aca="false">IF($A4471="","",원본명단!$A4470)</f>
        <v/>
      </c>
      <c r="C4471" s="12" t="str">
        <f aca="false">IF($A4471="","",원본명단!$B4470)</f>
        <v/>
      </c>
      <c r="D4471" s="12" t="str">
        <f aca="false">IF($A4471="","",원본명단!$D4470)</f>
        <v/>
      </c>
      <c r="E4471" s="11" t="str">
        <f aca="false">IF($A4471="","",IF(원본명단!$H4470="",0,COUNTIF(원본명단!$H$3:$H$6002,원본명단!$H4470)))</f>
        <v/>
      </c>
      <c r="F4471" s="11" t="str">
        <f aca="false">IF($A4471="","",IF(원본명단!$I4470="",0,COUNTIF(원본명단!$I$3:$I$6002,원본명단!$I4470)))</f>
        <v/>
      </c>
      <c r="G4471" s="11" t="str">
        <f aca="false">IF($A4471="","",IF(원본명단!$K4470="",0,COUNTIF(원본명단!$K$3:$K$6002,원본명단!$K4470)))</f>
        <v/>
      </c>
      <c r="H4471" s="11" t="str">
        <f aca="false">IF($A4471="","",IF(MAX($E4471,$F4471,$G4471)&gt;1,"중복","-"))</f>
        <v/>
      </c>
      <c r="I4471" s="11" t="str">
        <f aca="false">IF($A4471="","",IF($H4471="-","-",IF(AND(IF(원본명단!$H4470="",TRUE(),COUNTIF(원본명단!$H$3:$H4470,원본명단!$H4470)=1),IF(원본명단!$I4470="",TRUE(),COUNTIF(원본명단!$I$3:$I4470,원본명단!$I4470)=1),IF(원본명단!$K4470="",TRUE(),COUNTIF(원본명단!$K$3:$K4470,원본명단!$K4470)=1)),"첫 건","중복 건")))</f>
        <v/>
      </c>
      <c r="J4471" s="11" t="str">
        <f aca="false">IF($A4471="","",IF($H4471="-","유지",IF($I4471="첫 건","유지","확인 필요")))</f>
        <v/>
      </c>
    </row>
    <row r="4472" customFormat="false" ht="15" hidden="false" customHeight="true" outlineLevel="0" collapsed="false">
      <c r="A4472" s="11" t="str">
        <f aca="false">IF(원본명단!$A4471="","",4469)</f>
        <v/>
      </c>
      <c r="B4472" s="12" t="str">
        <f aca="false">IF($A4472="","",원본명단!$A4471)</f>
        <v/>
      </c>
      <c r="C4472" s="12" t="str">
        <f aca="false">IF($A4472="","",원본명단!$B4471)</f>
        <v/>
      </c>
      <c r="D4472" s="12" t="str">
        <f aca="false">IF($A4472="","",원본명단!$D4471)</f>
        <v/>
      </c>
      <c r="E4472" s="11" t="str">
        <f aca="false">IF($A4472="","",IF(원본명단!$H4471="",0,COUNTIF(원본명단!$H$3:$H$6002,원본명단!$H4471)))</f>
        <v/>
      </c>
      <c r="F4472" s="11" t="str">
        <f aca="false">IF($A4472="","",IF(원본명단!$I4471="",0,COUNTIF(원본명단!$I$3:$I$6002,원본명단!$I4471)))</f>
        <v/>
      </c>
      <c r="G4472" s="11" t="str">
        <f aca="false">IF($A4472="","",IF(원본명단!$K4471="",0,COUNTIF(원본명단!$K$3:$K$6002,원본명단!$K4471)))</f>
        <v/>
      </c>
      <c r="H4472" s="11" t="str">
        <f aca="false">IF($A4472="","",IF(MAX($E4472,$F4472,$G4472)&gt;1,"중복","-"))</f>
        <v/>
      </c>
      <c r="I4472" s="11" t="str">
        <f aca="false">IF($A4472="","",IF($H4472="-","-",IF(AND(IF(원본명단!$H4471="",TRUE(),COUNTIF(원본명단!$H$3:$H4471,원본명단!$H4471)=1),IF(원본명단!$I4471="",TRUE(),COUNTIF(원본명단!$I$3:$I4471,원본명단!$I4471)=1),IF(원본명단!$K4471="",TRUE(),COUNTIF(원본명단!$K$3:$K4471,원본명단!$K4471)=1)),"첫 건","중복 건")))</f>
        <v/>
      </c>
      <c r="J4472" s="11" t="str">
        <f aca="false">IF($A4472="","",IF($H4472="-","유지",IF($I4472="첫 건","유지","확인 필요")))</f>
        <v/>
      </c>
    </row>
    <row r="4473" customFormat="false" ht="15" hidden="false" customHeight="true" outlineLevel="0" collapsed="false">
      <c r="A4473" s="11" t="str">
        <f aca="false">IF(원본명단!$A4472="","",4470)</f>
        <v/>
      </c>
      <c r="B4473" s="12" t="str">
        <f aca="false">IF($A4473="","",원본명단!$A4472)</f>
        <v/>
      </c>
      <c r="C4473" s="12" t="str">
        <f aca="false">IF($A4473="","",원본명단!$B4472)</f>
        <v/>
      </c>
      <c r="D4473" s="12" t="str">
        <f aca="false">IF($A4473="","",원본명단!$D4472)</f>
        <v/>
      </c>
      <c r="E4473" s="11" t="str">
        <f aca="false">IF($A4473="","",IF(원본명단!$H4472="",0,COUNTIF(원본명단!$H$3:$H$6002,원본명단!$H4472)))</f>
        <v/>
      </c>
      <c r="F4473" s="11" t="str">
        <f aca="false">IF($A4473="","",IF(원본명단!$I4472="",0,COUNTIF(원본명단!$I$3:$I$6002,원본명단!$I4472)))</f>
        <v/>
      </c>
      <c r="G4473" s="11" t="str">
        <f aca="false">IF($A4473="","",IF(원본명단!$K4472="",0,COUNTIF(원본명단!$K$3:$K$6002,원본명단!$K4472)))</f>
        <v/>
      </c>
      <c r="H4473" s="11" t="str">
        <f aca="false">IF($A4473="","",IF(MAX($E4473,$F4473,$G4473)&gt;1,"중복","-"))</f>
        <v/>
      </c>
      <c r="I4473" s="11" t="str">
        <f aca="false">IF($A4473="","",IF($H4473="-","-",IF(AND(IF(원본명단!$H4472="",TRUE(),COUNTIF(원본명단!$H$3:$H4472,원본명단!$H4472)=1),IF(원본명단!$I4472="",TRUE(),COUNTIF(원본명단!$I$3:$I4472,원본명단!$I4472)=1),IF(원본명단!$K4472="",TRUE(),COUNTIF(원본명단!$K$3:$K4472,원본명단!$K4472)=1)),"첫 건","중복 건")))</f>
        <v/>
      </c>
      <c r="J4473" s="11" t="str">
        <f aca="false">IF($A4473="","",IF($H4473="-","유지",IF($I4473="첫 건","유지","확인 필요")))</f>
        <v/>
      </c>
    </row>
    <row r="4474" customFormat="false" ht="15" hidden="false" customHeight="true" outlineLevel="0" collapsed="false">
      <c r="A4474" s="11" t="str">
        <f aca="false">IF(원본명단!$A4473="","",4471)</f>
        <v/>
      </c>
      <c r="B4474" s="12" t="str">
        <f aca="false">IF($A4474="","",원본명단!$A4473)</f>
        <v/>
      </c>
      <c r="C4474" s="12" t="str">
        <f aca="false">IF($A4474="","",원본명단!$B4473)</f>
        <v/>
      </c>
      <c r="D4474" s="12" t="str">
        <f aca="false">IF($A4474="","",원본명단!$D4473)</f>
        <v/>
      </c>
      <c r="E4474" s="11" t="str">
        <f aca="false">IF($A4474="","",IF(원본명단!$H4473="",0,COUNTIF(원본명단!$H$3:$H$6002,원본명단!$H4473)))</f>
        <v/>
      </c>
      <c r="F4474" s="11" t="str">
        <f aca="false">IF($A4474="","",IF(원본명단!$I4473="",0,COUNTIF(원본명단!$I$3:$I$6002,원본명단!$I4473)))</f>
        <v/>
      </c>
      <c r="G4474" s="11" t="str">
        <f aca="false">IF($A4474="","",IF(원본명단!$K4473="",0,COUNTIF(원본명단!$K$3:$K$6002,원본명단!$K4473)))</f>
        <v/>
      </c>
      <c r="H4474" s="11" t="str">
        <f aca="false">IF($A4474="","",IF(MAX($E4474,$F4474,$G4474)&gt;1,"중복","-"))</f>
        <v/>
      </c>
      <c r="I4474" s="11" t="str">
        <f aca="false">IF($A4474="","",IF($H4474="-","-",IF(AND(IF(원본명단!$H4473="",TRUE(),COUNTIF(원본명단!$H$3:$H4473,원본명단!$H4473)=1),IF(원본명단!$I4473="",TRUE(),COUNTIF(원본명단!$I$3:$I4473,원본명단!$I4473)=1),IF(원본명단!$K4473="",TRUE(),COUNTIF(원본명단!$K$3:$K4473,원본명단!$K4473)=1)),"첫 건","중복 건")))</f>
        <v/>
      </c>
      <c r="J4474" s="11" t="str">
        <f aca="false">IF($A4474="","",IF($H4474="-","유지",IF($I4474="첫 건","유지","확인 필요")))</f>
        <v/>
      </c>
    </row>
    <row r="4475" customFormat="false" ht="15" hidden="false" customHeight="true" outlineLevel="0" collapsed="false">
      <c r="A4475" s="11" t="str">
        <f aca="false">IF(원본명단!$A4474="","",4472)</f>
        <v/>
      </c>
      <c r="B4475" s="12" t="str">
        <f aca="false">IF($A4475="","",원본명단!$A4474)</f>
        <v/>
      </c>
      <c r="C4475" s="12" t="str">
        <f aca="false">IF($A4475="","",원본명단!$B4474)</f>
        <v/>
      </c>
      <c r="D4475" s="12" t="str">
        <f aca="false">IF($A4475="","",원본명단!$D4474)</f>
        <v/>
      </c>
      <c r="E4475" s="11" t="str">
        <f aca="false">IF($A4475="","",IF(원본명단!$H4474="",0,COUNTIF(원본명단!$H$3:$H$6002,원본명단!$H4474)))</f>
        <v/>
      </c>
      <c r="F4475" s="11" t="str">
        <f aca="false">IF($A4475="","",IF(원본명단!$I4474="",0,COUNTIF(원본명단!$I$3:$I$6002,원본명단!$I4474)))</f>
        <v/>
      </c>
      <c r="G4475" s="11" t="str">
        <f aca="false">IF($A4475="","",IF(원본명단!$K4474="",0,COUNTIF(원본명단!$K$3:$K$6002,원본명단!$K4474)))</f>
        <v/>
      </c>
      <c r="H4475" s="11" t="str">
        <f aca="false">IF($A4475="","",IF(MAX($E4475,$F4475,$G4475)&gt;1,"중복","-"))</f>
        <v/>
      </c>
      <c r="I4475" s="11" t="str">
        <f aca="false">IF($A4475="","",IF($H4475="-","-",IF(AND(IF(원본명단!$H4474="",TRUE(),COUNTIF(원본명단!$H$3:$H4474,원본명단!$H4474)=1),IF(원본명단!$I4474="",TRUE(),COUNTIF(원본명단!$I$3:$I4474,원본명단!$I4474)=1),IF(원본명단!$K4474="",TRUE(),COUNTIF(원본명단!$K$3:$K4474,원본명단!$K4474)=1)),"첫 건","중복 건")))</f>
        <v/>
      </c>
      <c r="J4475" s="11" t="str">
        <f aca="false">IF($A4475="","",IF($H4475="-","유지",IF($I4475="첫 건","유지","확인 필요")))</f>
        <v/>
      </c>
    </row>
    <row r="4476" customFormat="false" ht="15" hidden="false" customHeight="true" outlineLevel="0" collapsed="false">
      <c r="A4476" s="11" t="str">
        <f aca="false">IF(원본명단!$A4475="","",4473)</f>
        <v/>
      </c>
      <c r="B4476" s="12" t="str">
        <f aca="false">IF($A4476="","",원본명단!$A4475)</f>
        <v/>
      </c>
      <c r="C4476" s="12" t="str">
        <f aca="false">IF($A4476="","",원본명단!$B4475)</f>
        <v/>
      </c>
      <c r="D4476" s="12" t="str">
        <f aca="false">IF($A4476="","",원본명단!$D4475)</f>
        <v/>
      </c>
      <c r="E4476" s="11" t="str">
        <f aca="false">IF($A4476="","",IF(원본명단!$H4475="",0,COUNTIF(원본명단!$H$3:$H$6002,원본명단!$H4475)))</f>
        <v/>
      </c>
      <c r="F4476" s="11" t="str">
        <f aca="false">IF($A4476="","",IF(원본명단!$I4475="",0,COUNTIF(원본명단!$I$3:$I$6002,원본명단!$I4475)))</f>
        <v/>
      </c>
      <c r="G4476" s="11" t="str">
        <f aca="false">IF($A4476="","",IF(원본명단!$K4475="",0,COUNTIF(원본명단!$K$3:$K$6002,원본명단!$K4475)))</f>
        <v/>
      </c>
      <c r="H4476" s="11" t="str">
        <f aca="false">IF($A4476="","",IF(MAX($E4476,$F4476,$G4476)&gt;1,"중복","-"))</f>
        <v/>
      </c>
      <c r="I4476" s="11" t="str">
        <f aca="false">IF($A4476="","",IF($H4476="-","-",IF(AND(IF(원본명단!$H4475="",TRUE(),COUNTIF(원본명단!$H$3:$H4475,원본명단!$H4475)=1),IF(원본명단!$I4475="",TRUE(),COUNTIF(원본명단!$I$3:$I4475,원본명단!$I4475)=1),IF(원본명단!$K4475="",TRUE(),COUNTIF(원본명단!$K$3:$K4475,원본명단!$K4475)=1)),"첫 건","중복 건")))</f>
        <v/>
      </c>
      <c r="J4476" s="11" t="str">
        <f aca="false">IF($A4476="","",IF($H4476="-","유지",IF($I4476="첫 건","유지","확인 필요")))</f>
        <v/>
      </c>
    </row>
    <row r="4477" customFormat="false" ht="15" hidden="false" customHeight="true" outlineLevel="0" collapsed="false">
      <c r="A4477" s="11" t="str">
        <f aca="false">IF(원본명단!$A4476="","",4474)</f>
        <v/>
      </c>
      <c r="B4477" s="12" t="str">
        <f aca="false">IF($A4477="","",원본명단!$A4476)</f>
        <v/>
      </c>
      <c r="C4477" s="12" t="str">
        <f aca="false">IF($A4477="","",원본명단!$B4476)</f>
        <v/>
      </c>
      <c r="D4477" s="12" t="str">
        <f aca="false">IF($A4477="","",원본명단!$D4476)</f>
        <v/>
      </c>
      <c r="E4477" s="11" t="str">
        <f aca="false">IF($A4477="","",IF(원본명단!$H4476="",0,COUNTIF(원본명단!$H$3:$H$6002,원본명단!$H4476)))</f>
        <v/>
      </c>
      <c r="F4477" s="11" t="str">
        <f aca="false">IF($A4477="","",IF(원본명단!$I4476="",0,COUNTIF(원본명단!$I$3:$I$6002,원본명단!$I4476)))</f>
        <v/>
      </c>
      <c r="G4477" s="11" t="str">
        <f aca="false">IF($A4477="","",IF(원본명단!$K4476="",0,COUNTIF(원본명단!$K$3:$K$6002,원본명단!$K4476)))</f>
        <v/>
      </c>
      <c r="H4477" s="11" t="str">
        <f aca="false">IF($A4477="","",IF(MAX($E4477,$F4477,$G4477)&gt;1,"중복","-"))</f>
        <v/>
      </c>
      <c r="I4477" s="11" t="str">
        <f aca="false">IF($A4477="","",IF($H4477="-","-",IF(AND(IF(원본명단!$H4476="",TRUE(),COUNTIF(원본명단!$H$3:$H4476,원본명단!$H4476)=1),IF(원본명단!$I4476="",TRUE(),COUNTIF(원본명단!$I$3:$I4476,원본명단!$I4476)=1),IF(원본명단!$K4476="",TRUE(),COUNTIF(원본명단!$K$3:$K4476,원본명단!$K4476)=1)),"첫 건","중복 건")))</f>
        <v/>
      </c>
      <c r="J4477" s="11" t="str">
        <f aca="false">IF($A4477="","",IF($H4477="-","유지",IF($I4477="첫 건","유지","확인 필요")))</f>
        <v/>
      </c>
    </row>
    <row r="4478" customFormat="false" ht="15" hidden="false" customHeight="true" outlineLevel="0" collapsed="false">
      <c r="A4478" s="11" t="str">
        <f aca="false">IF(원본명단!$A4477="","",4475)</f>
        <v/>
      </c>
      <c r="B4478" s="12" t="str">
        <f aca="false">IF($A4478="","",원본명단!$A4477)</f>
        <v/>
      </c>
      <c r="C4478" s="12" t="str">
        <f aca="false">IF($A4478="","",원본명단!$B4477)</f>
        <v/>
      </c>
      <c r="D4478" s="12" t="str">
        <f aca="false">IF($A4478="","",원본명단!$D4477)</f>
        <v/>
      </c>
      <c r="E4478" s="11" t="str">
        <f aca="false">IF($A4478="","",IF(원본명단!$H4477="",0,COUNTIF(원본명단!$H$3:$H$6002,원본명단!$H4477)))</f>
        <v/>
      </c>
      <c r="F4478" s="11" t="str">
        <f aca="false">IF($A4478="","",IF(원본명단!$I4477="",0,COUNTIF(원본명단!$I$3:$I$6002,원본명단!$I4477)))</f>
        <v/>
      </c>
      <c r="G4478" s="11" t="str">
        <f aca="false">IF($A4478="","",IF(원본명단!$K4477="",0,COUNTIF(원본명단!$K$3:$K$6002,원본명단!$K4477)))</f>
        <v/>
      </c>
      <c r="H4478" s="11" t="str">
        <f aca="false">IF($A4478="","",IF(MAX($E4478,$F4478,$G4478)&gt;1,"중복","-"))</f>
        <v/>
      </c>
      <c r="I4478" s="11" t="str">
        <f aca="false">IF($A4478="","",IF($H4478="-","-",IF(AND(IF(원본명단!$H4477="",TRUE(),COUNTIF(원본명단!$H$3:$H4477,원본명단!$H4477)=1),IF(원본명단!$I4477="",TRUE(),COUNTIF(원본명단!$I$3:$I4477,원본명단!$I4477)=1),IF(원본명단!$K4477="",TRUE(),COUNTIF(원본명단!$K$3:$K4477,원본명단!$K4477)=1)),"첫 건","중복 건")))</f>
        <v/>
      </c>
      <c r="J4478" s="11" t="str">
        <f aca="false">IF($A4478="","",IF($H4478="-","유지",IF($I4478="첫 건","유지","확인 필요")))</f>
        <v/>
      </c>
    </row>
    <row r="4479" customFormat="false" ht="15" hidden="false" customHeight="true" outlineLevel="0" collapsed="false">
      <c r="A4479" s="11" t="str">
        <f aca="false">IF(원본명단!$A4478="","",4476)</f>
        <v/>
      </c>
      <c r="B4479" s="12" t="str">
        <f aca="false">IF($A4479="","",원본명단!$A4478)</f>
        <v/>
      </c>
      <c r="C4479" s="12" t="str">
        <f aca="false">IF($A4479="","",원본명단!$B4478)</f>
        <v/>
      </c>
      <c r="D4479" s="12" t="str">
        <f aca="false">IF($A4479="","",원본명단!$D4478)</f>
        <v/>
      </c>
      <c r="E4479" s="11" t="str">
        <f aca="false">IF($A4479="","",IF(원본명단!$H4478="",0,COUNTIF(원본명단!$H$3:$H$6002,원본명단!$H4478)))</f>
        <v/>
      </c>
      <c r="F4479" s="11" t="str">
        <f aca="false">IF($A4479="","",IF(원본명단!$I4478="",0,COUNTIF(원본명단!$I$3:$I$6002,원본명단!$I4478)))</f>
        <v/>
      </c>
      <c r="G4479" s="11" t="str">
        <f aca="false">IF($A4479="","",IF(원본명단!$K4478="",0,COUNTIF(원본명단!$K$3:$K$6002,원본명단!$K4478)))</f>
        <v/>
      </c>
      <c r="H4479" s="11" t="str">
        <f aca="false">IF($A4479="","",IF(MAX($E4479,$F4479,$G4479)&gt;1,"중복","-"))</f>
        <v/>
      </c>
      <c r="I4479" s="11" t="str">
        <f aca="false">IF($A4479="","",IF($H4479="-","-",IF(AND(IF(원본명단!$H4478="",TRUE(),COUNTIF(원본명단!$H$3:$H4478,원본명단!$H4478)=1),IF(원본명단!$I4478="",TRUE(),COUNTIF(원본명단!$I$3:$I4478,원본명단!$I4478)=1),IF(원본명단!$K4478="",TRUE(),COUNTIF(원본명단!$K$3:$K4478,원본명단!$K4478)=1)),"첫 건","중복 건")))</f>
        <v/>
      </c>
      <c r="J4479" s="11" t="str">
        <f aca="false">IF($A4479="","",IF($H4479="-","유지",IF($I4479="첫 건","유지","확인 필요")))</f>
        <v/>
      </c>
    </row>
    <row r="4480" customFormat="false" ht="15" hidden="false" customHeight="true" outlineLevel="0" collapsed="false">
      <c r="A4480" s="11" t="str">
        <f aca="false">IF(원본명단!$A4479="","",4477)</f>
        <v/>
      </c>
      <c r="B4480" s="12" t="str">
        <f aca="false">IF($A4480="","",원본명단!$A4479)</f>
        <v/>
      </c>
      <c r="C4480" s="12" t="str">
        <f aca="false">IF($A4480="","",원본명단!$B4479)</f>
        <v/>
      </c>
      <c r="D4480" s="12" t="str">
        <f aca="false">IF($A4480="","",원본명단!$D4479)</f>
        <v/>
      </c>
      <c r="E4480" s="11" t="str">
        <f aca="false">IF($A4480="","",IF(원본명단!$H4479="",0,COUNTIF(원본명단!$H$3:$H$6002,원본명단!$H4479)))</f>
        <v/>
      </c>
      <c r="F4480" s="11" t="str">
        <f aca="false">IF($A4480="","",IF(원본명단!$I4479="",0,COUNTIF(원본명단!$I$3:$I$6002,원본명단!$I4479)))</f>
        <v/>
      </c>
      <c r="G4480" s="11" t="str">
        <f aca="false">IF($A4480="","",IF(원본명단!$K4479="",0,COUNTIF(원본명단!$K$3:$K$6002,원본명단!$K4479)))</f>
        <v/>
      </c>
      <c r="H4480" s="11" t="str">
        <f aca="false">IF($A4480="","",IF(MAX($E4480,$F4480,$G4480)&gt;1,"중복","-"))</f>
        <v/>
      </c>
      <c r="I4480" s="11" t="str">
        <f aca="false">IF($A4480="","",IF($H4480="-","-",IF(AND(IF(원본명단!$H4479="",TRUE(),COUNTIF(원본명단!$H$3:$H4479,원본명단!$H4479)=1),IF(원본명단!$I4479="",TRUE(),COUNTIF(원본명단!$I$3:$I4479,원본명단!$I4479)=1),IF(원본명단!$K4479="",TRUE(),COUNTIF(원본명단!$K$3:$K4479,원본명단!$K4479)=1)),"첫 건","중복 건")))</f>
        <v/>
      </c>
      <c r="J4480" s="11" t="str">
        <f aca="false">IF($A4480="","",IF($H4480="-","유지",IF($I4480="첫 건","유지","확인 필요")))</f>
        <v/>
      </c>
    </row>
    <row r="4481" customFormat="false" ht="15" hidden="false" customHeight="true" outlineLevel="0" collapsed="false">
      <c r="A4481" s="11" t="str">
        <f aca="false">IF(원본명단!$A4480="","",4478)</f>
        <v/>
      </c>
      <c r="B4481" s="12" t="str">
        <f aca="false">IF($A4481="","",원본명단!$A4480)</f>
        <v/>
      </c>
      <c r="C4481" s="12" t="str">
        <f aca="false">IF($A4481="","",원본명단!$B4480)</f>
        <v/>
      </c>
      <c r="D4481" s="12" t="str">
        <f aca="false">IF($A4481="","",원본명단!$D4480)</f>
        <v/>
      </c>
      <c r="E4481" s="11" t="str">
        <f aca="false">IF($A4481="","",IF(원본명단!$H4480="",0,COUNTIF(원본명단!$H$3:$H$6002,원본명단!$H4480)))</f>
        <v/>
      </c>
      <c r="F4481" s="11" t="str">
        <f aca="false">IF($A4481="","",IF(원본명단!$I4480="",0,COUNTIF(원본명단!$I$3:$I$6002,원본명단!$I4480)))</f>
        <v/>
      </c>
      <c r="G4481" s="11" t="str">
        <f aca="false">IF($A4481="","",IF(원본명단!$K4480="",0,COUNTIF(원본명단!$K$3:$K$6002,원본명단!$K4480)))</f>
        <v/>
      </c>
      <c r="H4481" s="11" t="str">
        <f aca="false">IF($A4481="","",IF(MAX($E4481,$F4481,$G4481)&gt;1,"중복","-"))</f>
        <v/>
      </c>
      <c r="I4481" s="11" t="str">
        <f aca="false">IF($A4481="","",IF($H4481="-","-",IF(AND(IF(원본명단!$H4480="",TRUE(),COUNTIF(원본명단!$H$3:$H4480,원본명단!$H4480)=1),IF(원본명단!$I4480="",TRUE(),COUNTIF(원본명단!$I$3:$I4480,원본명단!$I4480)=1),IF(원본명단!$K4480="",TRUE(),COUNTIF(원본명단!$K$3:$K4480,원본명단!$K4480)=1)),"첫 건","중복 건")))</f>
        <v/>
      </c>
      <c r="J4481" s="11" t="str">
        <f aca="false">IF($A4481="","",IF($H4481="-","유지",IF($I4481="첫 건","유지","확인 필요")))</f>
        <v/>
      </c>
    </row>
    <row r="4482" customFormat="false" ht="15" hidden="false" customHeight="true" outlineLevel="0" collapsed="false">
      <c r="A4482" s="11" t="str">
        <f aca="false">IF(원본명단!$A4481="","",4479)</f>
        <v/>
      </c>
      <c r="B4482" s="12" t="str">
        <f aca="false">IF($A4482="","",원본명단!$A4481)</f>
        <v/>
      </c>
      <c r="C4482" s="12" t="str">
        <f aca="false">IF($A4482="","",원본명단!$B4481)</f>
        <v/>
      </c>
      <c r="D4482" s="12" t="str">
        <f aca="false">IF($A4482="","",원본명단!$D4481)</f>
        <v/>
      </c>
      <c r="E4482" s="11" t="str">
        <f aca="false">IF($A4482="","",IF(원본명단!$H4481="",0,COUNTIF(원본명단!$H$3:$H$6002,원본명단!$H4481)))</f>
        <v/>
      </c>
      <c r="F4482" s="11" t="str">
        <f aca="false">IF($A4482="","",IF(원본명단!$I4481="",0,COUNTIF(원본명단!$I$3:$I$6002,원본명단!$I4481)))</f>
        <v/>
      </c>
      <c r="G4482" s="11" t="str">
        <f aca="false">IF($A4482="","",IF(원본명단!$K4481="",0,COUNTIF(원본명단!$K$3:$K$6002,원본명단!$K4481)))</f>
        <v/>
      </c>
      <c r="H4482" s="11" t="str">
        <f aca="false">IF($A4482="","",IF(MAX($E4482,$F4482,$G4482)&gt;1,"중복","-"))</f>
        <v/>
      </c>
      <c r="I4482" s="11" t="str">
        <f aca="false">IF($A4482="","",IF($H4482="-","-",IF(AND(IF(원본명단!$H4481="",TRUE(),COUNTIF(원본명단!$H$3:$H4481,원본명단!$H4481)=1),IF(원본명단!$I4481="",TRUE(),COUNTIF(원본명단!$I$3:$I4481,원본명단!$I4481)=1),IF(원본명단!$K4481="",TRUE(),COUNTIF(원본명단!$K$3:$K4481,원본명단!$K4481)=1)),"첫 건","중복 건")))</f>
        <v/>
      </c>
      <c r="J4482" s="11" t="str">
        <f aca="false">IF($A4482="","",IF($H4482="-","유지",IF($I4482="첫 건","유지","확인 필요")))</f>
        <v/>
      </c>
    </row>
    <row r="4483" customFormat="false" ht="15" hidden="false" customHeight="true" outlineLevel="0" collapsed="false">
      <c r="A4483" s="11" t="str">
        <f aca="false">IF(원본명단!$A4482="","",4480)</f>
        <v/>
      </c>
      <c r="B4483" s="12" t="str">
        <f aca="false">IF($A4483="","",원본명단!$A4482)</f>
        <v/>
      </c>
      <c r="C4483" s="12" t="str">
        <f aca="false">IF($A4483="","",원본명단!$B4482)</f>
        <v/>
      </c>
      <c r="D4483" s="12" t="str">
        <f aca="false">IF($A4483="","",원본명단!$D4482)</f>
        <v/>
      </c>
      <c r="E4483" s="11" t="str">
        <f aca="false">IF($A4483="","",IF(원본명단!$H4482="",0,COUNTIF(원본명단!$H$3:$H$6002,원본명단!$H4482)))</f>
        <v/>
      </c>
      <c r="F4483" s="11" t="str">
        <f aca="false">IF($A4483="","",IF(원본명단!$I4482="",0,COUNTIF(원본명단!$I$3:$I$6002,원본명단!$I4482)))</f>
        <v/>
      </c>
      <c r="G4483" s="11" t="str">
        <f aca="false">IF($A4483="","",IF(원본명단!$K4482="",0,COUNTIF(원본명단!$K$3:$K$6002,원본명단!$K4482)))</f>
        <v/>
      </c>
      <c r="H4483" s="11" t="str">
        <f aca="false">IF($A4483="","",IF(MAX($E4483,$F4483,$G4483)&gt;1,"중복","-"))</f>
        <v/>
      </c>
      <c r="I4483" s="11" t="str">
        <f aca="false">IF($A4483="","",IF($H4483="-","-",IF(AND(IF(원본명단!$H4482="",TRUE(),COUNTIF(원본명단!$H$3:$H4482,원본명단!$H4482)=1),IF(원본명단!$I4482="",TRUE(),COUNTIF(원본명단!$I$3:$I4482,원본명단!$I4482)=1),IF(원본명단!$K4482="",TRUE(),COUNTIF(원본명단!$K$3:$K4482,원본명단!$K4482)=1)),"첫 건","중복 건")))</f>
        <v/>
      </c>
      <c r="J4483" s="11" t="str">
        <f aca="false">IF($A4483="","",IF($H4483="-","유지",IF($I4483="첫 건","유지","확인 필요")))</f>
        <v/>
      </c>
    </row>
    <row r="4484" customFormat="false" ht="15" hidden="false" customHeight="true" outlineLevel="0" collapsed="false">
      <c r="A4484" s="11" t="str">
        <f aca="false">IF(원본명단!$A4483="","",4481)</f>
        <v/>
      </c>
      <c r="B4484" s="12" t="str">
        <f aca="false">IF($A4484="","",원본명단!$A4483)</f>
        <v/>
      </c>
      <c r="C4484" s="12" t="str">
        <f aca="false">IF($A4484="","",원본명단!$B4483)</f>
        <v/>
      </c>
      <c r="D4484" s="12" t="str">
        <f aca="false">IF($A4484="","",원본명단!$D4483)</f>
        <v/>
      </c>
      <c r="E4484" s="11" t="str">
        <f aca="false">IF($A4484="","",IF(원본명단!$H4483="",0,COUNTIF(원본명단!$H$3:$H$6002,원본명단!$H4483)))</f>
        <v/>
      </c>
      <c r="F4484" s="11" t="str">
        <f aca="false">IF($A4484="","",IF(원본명단!$I4483="",0,COUNTIF(원본명단!$I$3:$I$6002,원본명단!$I4483)))</f>
        <v/>
      </c>
      <c r="G4484" s="11" t="str">
        <f aca="false">IF($A4484="","",IF(원본명단!$K4483="",0,COUNTIF(원본명단!$K$3:$K$6002,원본명단!$K4483)))</f>
        <v/>
      </c>
      <c r="H4484" s="11" t="str">
        <f aca="false">IF($A4484="","",IF(MAX($E4484,$F4484,$G4484)&gt;1,"중복","-"))</f>
        <v/>
      </c>
      <c r="I4484" s="11" t="str">
        <f aca="false">IF($A4484="","",IF($H4484="-","-",IF(AND(IF(원본명단!$H4483="",TRUE(),COUNTIF(원본명단!$H$3:$H4483,원본명단!$H4483)=1),IF(원본명단!$I4483="",TRUE(),COUNTIF(원본명단!$I$3:$I4483,원본명단!$I4483)=1),IF(원본명단!$K4483="",TRUE(),COUNTIF(원본명단!$K$3:$K4483,원본명단!$K4483)=1)),"첫 건","중복 건")))</f>
        <v/>
      </c>
      <c r="J4484" s="11" t="str">
        <f aca="false">IF($A4484="","",IF($H4484="-","유지",IF($I4484="첫 건","유지","확인 필요")))</f>
        <v/>
      </c>
    </row>
    <row r="4485" customFormat="false" ht="15" hidden="false" customHeight="true" outlineLevel="0" collapsed="false">
      <c r="A4485" s="11" t="str">
        <f aca="false">IF(원본명단!$A4484="","",4482)</f>
        <v/>
      </c>
      <c r="B4485" s="12" t="str">
        <f aca="false">IF($A4485="","",원본명단!$A4484)</f>
        <v/>
      </c>
      <c r="C4485" s="12" t="str">
        <f aca="false">IF($A4485="","",원본명단!$B4484)</f>
        <v/>
      </c>
      <c r="D4485" s="12" t="str">
        <f aca="false">IF($A4485="","",원본명단!$D4484)</f>
        <v/>
      </c>
      <c r="E4485" s="11" t="str">
        <f aca="false">IF($A4485="","",IF(원본명단!$H4484="",0,COUNTIF(원본명단!$H$3:$H$6002,원본명단!$H4484)))</f>
        <v/>
      </c>
      <c r="F4485" s="11" t="str">
        <f aca="false">IF($A4485="","",IF(원본명단!$I4484="",0,COUNTIF(원본명단!$I$3:$I$6002,원본명단!$I4484)))</f>
        <v/>
      </c>
      <c r="G4485" s="11" t="str">
        <f aca="false">IF($A4485="","",IF(원본명단!$K4484="",0,COUNTIF(원본명단!$K$3:$K$6002,원본명단!$K4484)))</f>
        <v/>
      </c>
      <c r="H4485" s="11" t="str">
        <f aca="false">IF($A4485="","",IF(MAX($E4485,$F4485,$G4485)&gt;1,"중복","-"))</f>
        <v/>
      </c>
      <c r="I4485" s="11" t="str">
        <f aca="false">IF($A4485="","",IF($H4485="-","-",IF(AND(IF(원본명단!$H4484="",TRUE(),COUNTIF(원본명단!$H$3:$H4484,원본명단!$H4484)=1),IF(원본명단!$I4484="",TRUE(),COUNTIF(원본명단!$I$3:$I4484,원본명단!$I4484)=1),IF(원본명단!$K4484="",TRUE(),COUNTIF(원본명단!$K$3:$K4484,원본명단!$K4484)=1)),"첫 건","중복 건")))</f>
        <v/>
      </c>
      <c r="J4485" s="11" t="str">
        <f aca="false">IF($A4485="","",IF($H4485="-","유지",IF($I4485="첫 건","유지","확인 필요")))</f>
        <v/>
      </c>
    </row>
    <row r="4486" customFormat="false" ht="15" hidden="false" customHeight="true" outlineLevel="0" collapsed="false">
      <c r="A4486" s="11" t="str">
        <f aca="false">IF(원본명단!$A4485="","",4483)</f>
        <v/>
      </c>
      <c r="B4486" s="12" t="str">
        <f aca="false">IF($A4486="","",원본명단!$A4485)</f>
        <v/>
      </c>
      <c r="C4486" s="12" t="str">
        <f aca="false">IF($A4486="","",원본명단!$B4485)</f>
        <v/>
      </c>
      <c r="D4486" s="12" t="str">
        <f aca="false">IF($A4486="","",원본명단!$D4485)</f>
        <v/>
      </c>
      <c r="E4486" s="11" t="str">
        <f aca="false">IF($A4486="","",IF(원본명단!$H4485="",0,COUNTIF(원본명단!$H$3:$H$6002,원본명단!$H4485)))</f>
        <v/>
      </c>
      <c r="F4486" s="11" t="str">
        <f aca="false">IF($A4486="","",IF(원본명단!$I4485="",0,COUNTIF(원본명단!$I$3:$I$6002,원본명단!$I4485)))</f>
        <v/>
      </c>
      <c r="G4486" s="11" t="str">
        <f aca="false">IF($A4486="","",IF(원본명단!$K4485="",0,COUNTIF(원본명단!$K$3:$K$6002,원본명단!$K4485)))</f>
        <v/>
      </c>
      <c r="H4486" s="11" t="str">
        <f aca="false">IF($A4486="","",IF(MAX($E4486,$F4486,$G4486)&gt;1,"중복","-"))</f>
        <v/>
      </c>
      <c r="I4486" s="11" t="str">
        <f aca="false">IF($A4486="","",IF($H4486="-","-",IF(AND(IF(원본명단!$H4485="",TRUE(),COUNTIF(원본명단!$H$3:$H4485,원본명단!$H4485)=1),IF(원본명단!$I4485="",TRUE(),COUNTIF(원본명단!$I$3:$I4485,원본명단!$I4485)=1),IF(원본명단!$K4485="",TRUE(),COUNTIF(원본명단!$K$3:$K4485,원본명단!$K4485)=1)),"첫 건","중복 건")))</f>
        <v/>
      </c>
      <c r="J4486" s="11" t="str">
        <f aca="false">IF($A4486="","",IF($H4486="-","유지",IF($I4486="첫 건","유지","확인 필요")))</f>
        <v/>
      </c>
    </row>
    <row r="4487" customFormat="false" ht="15" hidden="false" customHeight="true" outlineLevel="0" collapsed="false">
      <c r="A4487" s="11" t="str">
        <f aca="false">IF(원본명단!$A4486="","",4484)</f>
        <v/>
      </c>
      <c r="B4487" s="12" t="str">
        <f aca="false">IF($A4487="","",원본명단!$A4486)</f>
        <v/>
      </c>
      <c r="C4487" s="12" t="str">
        <f aca="false">IF($A4487="","",원본명단!$B4486)</f>
        <v/>
      </c>
      <c r="D4487" s="12" t="str">
        <f aca="false">IF($A4487="","",원본명단!$D4486)</f>
        <v/>
      </c>
      <c r="E4487" s="11" t="str">
        <f aca="false">IF($A4487="","",IF(원본명단!$H4486="",0,COUNTIF(원본명단!$H$3:$H$6002,원본명단!$H4486)))</f>
        <v/>
      </c>
      <c r="F4487" s="11" t="str">
        <f aca="false">IF($A4487="","",IF(원본명단!$I4486="",0,COUNTIF(원본명단!$I$3:$I$6002,원본명단!$I4486)))</f>
        <v/>
      </c>
      <c r="G4487" s="11" t="str">
        <f aca="false">IF($A4487="","",IF(원본명단!$K4486="",0,COUNTIF(원본명단!$K$3:$K$6002,원본명단!$K4486)))</f>
        <v/>
      </c>
      <c r="H4487" s="11" t="str">
        <f aca="false">IF($A4487="","",IF(MAX($E4487,$F4487,$G4487)&gt;1,"중복","-"))</f>
        <v/>
      </c>
      <c r="I4487" s="11" t="str">
        <f aca="false">IF($A4487="","",IF($H4487="-","-",IF(AND(IF(원본명단!$H4486="",TRUE(),COUNTIF(원본명단!$H$3:$H4486,원본명단!$H4486)=1),IF(원본명단!$I4486="",TRUE(),COUNTIF(원본명단!$I$3:$I4486,원본명단!$I4486)=1),IF(원본명단!$K4486="",TRUE(),COUNTIF(원본명단!$K$3:$K4486,원본명단!$K4486)=1)),"첫 건","중복 건")))</f>
        <v/>
      </c>
      <c r="J4487" s="11" t="str">
        <f aca="false">IF($A4487="","",IF($H4487="-","유지",IF($I4487="첫 건","유지","확인 필요")))</f>
        <v/>
      </c>
    </row>
    <row r="4488" customFormat="false" ht="15" hidden="false" customHeight="true" outlineLevel="0" collapsed="false">
      <c r="A4488" s="11" t="str">
        <f aca="false">IF(원본명단!$A4487="","",4485)</f>
        <v/>
      </c>
      <c r="B4488" s="12" t="str">
        <f aca="false">IF($A4488="","",원본명단!$A4487)</f>
        <v/>
      </c>
      <c r="C4488" s="12" t="str">
        <f aca="false">IF($A4488="","",원본명단!$B4487)</f>
        <v/>
      </c>
      <c r="D4488" s="12" t="str">
        <f aca="false">IF($A4488="","",원본명단!$D4487)</f>
        <v/>
      </c>
      <c r="E4488" s="11" t="str">
        <f aca="false">IF($A4488="","",IF(원본명단!$H4487="",0,COUNTIF(원본명단!$H$3:$H$6002,원본명단!$H4487)))</f>
        <v/>
      </c>
      <c r="F4488" s="11" t="str">
        <f aca="false">IF($A4488="","",IF(원본명단!$I4487="",0,COUNTIF(원본명단!$I$3:$I$6002,원본명단!$I4487)))</f>
        <v/>
      </c>
      <c r="G4488" s="11" t="str">
        <f aca="false">IF($A4488="","",IF(원본명단!$K4487="",0,COUNTIF(원본명단!$K$3:$K$6002,원본명단!$K4487)))</f>
        <v/>
      </c>
      <c r="H4488" s="11" t="str">
        <f aca="false">IF($A4488="","",IF(MAX($E4488,$F4488,$G4488)&gt;1,"중복","-"))</f>
        <v/>
      </c>
      <c r="I4488" s="11" t="str">
        <f aca="false">IF($A4488="","",IF($H4488="-","-",IF(AND(IF(원본명단!$H4487="",TRUE(),COUNTIF(원본명단!$H$3:$H4487,원본명단!$H4487)=1),IF(원본명단!$I4487="",TRUE(),COUNTIF(원본명단!$I$3:$I4487,원본명단!$I4487)=1),IF(원본명단!$K4487="",TRUE(),COUNTIF(원본명단!$K$3:$K4487,원본명단!$K4487)=1)),"첫 건","중복 건")))</f>
        <v/>
      </c>
      <c r="J4488" s="11" t="str">
        <f aca="false">IF($A4488="","",IF($H4488="-","유지",IF($I4488="첫 건","유지","확인 필요")))</f>
        <v/>
      </c>
    </row>
    <row r="4489" customFormat="false" ht="15" hidden="false" customHeight="true" outlineLevel="0" collapsed="false">
      <c r="A4489" s="11" t="str">
        <f aca="false">IF(원본명단!$A4488="","",4486)</f>
        <v/>
      </c>
      <c r="B4489" s="12" t="str">
        <f aca="false">IF($A4489="","",원본명단!$A4488)</f>
        <v/>
      </c>
      <c r="C4489" s="12" t="str">
        <f aca="false">IF($A4489="","",원본명단!$B4488)</f>
        <v/>
      </c>
      <c r="D4489" s="12" t="str">
        <f aca="false">IF($A4489="","",원본명단!$D4488)</f>
        <v/>
      </c>
      <c r="E4489" s="11" t="str">
        <f aca="false">IF($A4489="","",IF(원본명단!$H4488="",0,COUNTIF(원본명단!$H$3:$H$6002,원본명단!$H4488)))</f>
        <v/>
      </c>
      <c r="F4489" s="11" t="str">
        <f aca="false">IF($A4489="","",IF(원본명단!$I4488="",0,COUNTIF(원본명단!$I$3:$I$6002,원본명단!$I4488)))</f>
        <v/>
      </c>
      <c r="G4489" s="11" t="str">
        <f aca="false">IF($A4489="","",IF(원본명단!$K4488="",0,COUNTIF(원본명단!$K$3:$K$6002,원본명단!$K4488)))</f>
        <v/>
      </c>
      <c r="H4489" s="11" t="str">
        <f aca="false">IF($A4489="","",IF(MAX($E4489,$F4489,$G4489)&gt;1,"중복","-"))</f>
        <v/>
      </c>
      <c r="I4489" s="11" t="str">
        <f aca="false">IF($A4489="","",IF($H4489="-","-",IF(AND(IF(원본명단!$H4488="",TRUE(),COUNTIF(원본명단!$H$3:$H4488,원본명단!$H4488)=1),IF(원본명단!$I4488="",TRUE(),COUNTIF(원본명단!$I$3:$I4488,원본명단!$I4488)=1),IF(원본명단!$K4488="",TRUE(),COUNTIF(원본명단!$K$3:$K4488,원본명단!$K4488)=1)),"첫 건","중복 건")))</f>
        <v/>
      </c>
      <c r="J4489" s="11" t="str">
        <f aca="false">IF($A4489="","",IF($H4489="-","유지",IF($I4489="첫 건","유지","확인 필요")))</f>
        <v/>
      </c>
    </row>
    <row r="4490" customFormat="false" ht="15" hidden="false" customHeight="true" outlineLevel="0" collapsed="false">
      <c r="A4490" s="11" t="str">
        <f aca="false">IF(원본명단!$A4489="","",4487)</f>
        <v/>
      </c>
      <c r="B4490" s="12" t="str">
        <f aca="false">IF($A4490="","",원본명단!$A4489)</f>
        <v/>
      </c>
      <c r="C4490" s="12" t="str">
        <f aca="false">IF($A4490="","",원본명단!$B4489)</f>
        <v/>
      </c>
      <c r="D4490" s="12" t="str">
        <f aca="false">IF($A4490="","",원본명단!$D4489)</f>
        <v/>
      </c>
      <c r="E4490" s="11" t="str">
        <f aca="false">IF($A4490="","",IF(원본명단!$H4489="",0,COUNTIF(원본명단!$H$3:$H$6002,원본명단!$H4489)))</f>
        <v/>
      </c>
      <c r="F4490" s="11" t="str">
        <f aca="false">IF($A4490="","",IF(원본명단!$I4489="",0,COUNTIF(원본명단!$I$3:$I$6002,원본명단!$I4489)))</f>
        <v/>
      </c>
      <c r="G4490" s="11" t="str">
        <f aca="false">IF($A4490="","",IF(원본명단!$K4489="",0,COUNTIF(원본명단!$K$3:$K$6002,원본명단!$K4489)))</f>
        <v/>
      </c>
      <c r="H4490" s="11" t="str">
        <f aca="false">IF($A4490="","",IF(MAX($E4490,$F4490,$G4490)&gt;1,"중복","-"))</f>
        <v/>
      </c>
      <c r="I4490" s="11" t="str">
        <f aca="false">IF($A4490="","",IF($H4490="-","-",IF(AND(IF(원본명단!$H4489="",TRUE(),COUNTIF(원본명단!$H$3:$H4489,원본명단!$H4489)=1),IF(원본명단!$I4489="",TRUE(),COUNTIF(원본명단!$I$3:$I4489,원본명단!$I4489)=1),IF(원본명단!$K4489="",TRUE(),COUNTIF(원본명단!$K$3:$K4489,원본명단!$K4489)=1)),"첫 건","중복 건")))</f>
        <v/>
      </c>
      <c r="J4490" s="11" t="str">
        <f aca="false">IF($A4490="","",IF($H4490="-","유지",IF($I4490="첫 건","유지","확인 필요")))</f>
        <v/>
      </c>
    </row>
    <row r="4491" customFormat="false" ht="15" hidden="false" customHeight="true" outlineLevel="0" collapsed="false">
      <c r="A4491" s="11" t="str">
        <f aca="false">IF(원본명단!$A4490="","",4488)</f>
        <v/>
      </c>
      <c r="B4491" s="12" t="str">
        <f aca="false">IF($A4491="","",원본명단!$A4490)</f>
        <v/>
      </c>
      <c r="C4491" s="12" t="str">
        <f aca="false">IF($A4491="","",원본명단!$B4490)</f>
        <v/>
      </c>
      <c r="D4491" s="12" t="str">
        <f aca="false">IF($A4491="","",원본명단!$D4490)</f>
        <v/>
      </c>
      <c r="E4491" s="11" t="str">
        <f aca="false">IF($A4491="","",IF(원본명단!$H4490="",0,COUNTIF(원본명단!$H$3:$H$6002,원본명단!$H4490)))</f>
        <v/>
      </c>
      <c r="F4491" s="11" t="str">
        <f aca="false">IF($A4491="","",IF(원본명단!$I4490="",0,COUNTIF(원본명단!$I$3:$I$6002,원본명단!$I4490)))</f>
        <v/>
      </c>
      <c r="G4491" s="11" t="str">
        <f aca="false">IF($A4491="","",IF(원본명단!$K4490="",0,COUNTIF(원본명단!$K$3:$K$6002,원본명단!$K4490)))</f>
        <v/>
      </c>
      <c r="H4491" s="11" t="str">
        <f aca="false">IF($A4491="","",IF(MAX($E4491,$F4491,$G4491)&gt;1,"중복","-"))</f>
        <v/>
      </c>
      <c r="I4491" s="11" t="str">
        <f aca="false">IF($A4491="","",IF($H4491="-","-",IF(AND(IF(원본명단!$H4490="",TRUE(),COUNTIF(원본명단!$H$3:$H4490,원본명단!$H4490)=1),IF(원본명단!$I4490="",TRUE(),COUNTIF(원본명단!$I$3:$I4490,원본명단!$I4490)=1),IF(원본명단!$K4490="",TRUE(),COUNTIF(원본명단!$K$3:$K4490,원본명단!$K4490)=1)),"첫 건","중복 건")))</f>
        <v/>
      </c>
      <c r="J4491" s="11" t="str">
        <f aca="false">IF($A4491="","",IF($H4491="-","유지",IF($I4491="첫 건","유지","확인 필요")))</f>
        <v/>
      </c>
    </row>
    <row r="4492" customFormat="false" ht="15" hidden="false" customHeight="true" outlineLevel="0" collapsed="false">
      <c r="A4492" s="11" t="str">
        <f aca="false">IF(원본명단!$A4491="","",4489)</f>
        <v/>
      </c>
      <c r="B4492" s="12" t="str">
        <f aca="false">IF($A4492="","",원본명단!$A4491)</f>
        <v/>
      </c>
      <c r="C4492" s="12" t="str">
        <f aca="false">IF($A4492="","",원본명단!$B4491)</f>
        <v/>
      </c>
      <c r="D4492" s="12" t="str">
        <f aca="false">IF($A4492="","",원본명단!$D4491)</f>
        <v/>
      </c>
      <c r="E4492" s="11" t="str">
        <f aca="false">IF($A4492="","",IF(원본명단!$H4491="",0,COUNTIF(원본명단!$H$3:$H$6002,원본명단!$H4491)))</f>
        <v/>
      </c>
      <c r="F4492" s="11" t="str">
        <f aca="false">IF($A4492="","",IF(원본명단!$I4491="",0,COUNTIF(원본명단!$I$3:$I$6002,원본명단!$I4491)))</f>
        <v/>
      </c>
      <c r="G4492" s="11" t="str">
        <f aca="false">IF($A4492="","",IF(원본명단!$K4491="",0,COUNTIF(원본명단!$K$3:$K$6002,원본명단!$K4491)))</f>
        <v/>
      </c>
      <c r="H4492" s="11" t="str">
        <f aca="false">IF($A4492="","",IF(MAX($E4492,$F4492,$G4492)&gt;1,"중복","-"))</f>
        <v/>
      </c>
      <c r="I4492" s="11" t="str">
        <f aca="false">IF($A4492="","",IF($H4492="-","-",IF(AND(IF(원본명단!$H4491="",TRUE(),COUNTIF(원본명단!$H$3:$H4491,원본명단!$H4491)=1),IF(원본명단!$I4491="",TRUE(),COUNTIF(원본명단!$I$3:$I4491,원본명단!$I4491)=1),IF(원본명단!$K4491="",TRUE(),COUNTIF(원본명단!$K$3:$K4491,원본명단!$K4491)=1)),"첫 건","중복 건")))</f>
        <v/>
      </c>
      <c r="J4492" s="11" t="str">
        <f aca="false">IF($A4492="","",IF($H4492="-","유지",IF($I4492="첫 건","유지","확인 필요")))</f>
        <v/>
      </c>
    </row>
    <row r="4493" customFormat="false" ht="15" hidden="false" customHeight="true" outlineLevel="0" collapsed="false">
      <c r="A4493" s="11" t="str">
        <f aca="false">IF(원본명단!$A4492="","",4490)</f>
        <v/>
      </c>
      <c r="B4493" s="12" t="str">
        <f aca="false">IF($A4493="","",원본명단!$A4492)</f>
        <v/>
      </c>
      <c r="C4493" s="12" t="str">
        <f aca="false">IF($A4493="","",원본명단!$B4492)</f>
        <v/>
      </c>
      <c r="D4493" s="12" t="str">
        <f aca="false">IF($A4493="","",원본명단!$D4492)</f>
        <v/>
      </c>
      <c r="E4493" s="11" t="str">
        <f aca="false">IF($A4493="","",IF(원본명단!$H4492="",0,COUNTIF(원본명단!$H$3:$H$6002,원본명단!$H4492)))</f>
        <v/>
      </c>
      <c r="F4493" s="11" t="str">
        <f aca="false">IF($A4493="","",IF(원본명단!$I4492="",0,COUNTIF(원본명단!$I$3:$I$6002,원본명단!$I4492)))</f>
        <v/>
      </c>
      <c r="G4493" s="11" t="str">
        <f aca="false">IF($A4493="","",IF(원본명단!$K4492="",0,COUNTIF(원본명단!$K$3:$K$6002,원본명단!$K4492)))</f>
        <v/>
      </c>
      <c r="H4493" s="11" t="str">
        <f aca="false">IF($A4493="","",IF(MAX($E4493,$F4493,$G4493)&gt;1,"중복","-"))</f>
        <v/>
      </c>
      <c r="I4493" s="11" t="str">
        <f aca="false">IF($A4493="","",IF($H4493="-","-",IF(AND(IF(원본명단!$H4492="",TRUE(),COUNTIF(원본명단!$H$3:$H4492,원본명단!$H4492)=1),IF(원본명단!$I4492="",TRUE(),COUNTIF(원본명단!$I$3:$I4492,원본명단!$I4492)=1),IF(원본명단!$K4492="",TRUE(),COUNTIF(원본명단!$K$3:$K4492,원본명단!$K4492)=1)),"첫 건","중복 건")))</f>
        <v/>
      </c>
      <c r="J4493" s="11" t="str">
        <f aca="false">IF($A4493="","",IF($H4493="-","유지",IF($I4493="첫 건","유지","확인 필요")))</f>
        <v/>
      </c>
    </row>
    <row r="4494" customFormat="false" ht="15" hidden="false" customHeight="true" outlineLevel="0" collapsed="false">
      <c r="A4494" s="11" t="str">
        <f aca="false">IF(원본명단!$A4493="","",4491)</f>
        <v/>
      </c>
      <c r="B4494" s="12" t="str">
        <f aca="false">IF($A4494="","",원본명단!$A4493)</f>
        <v/>
      </c>
      <c r="C4494" s="12" t="str">
        <f aca="false">IF($A4494="","",원본명단!$B4493)</f>
        <v/>
      </c>
      <c r="D4494" s="12" t="str">
        <f aca="false">IF($A4494="","",원본명단!$D4493)</f>
        <v/>
      </c>
      <c r="E4494" s="11" t="str">
        <f aca="false">IF($A4494="","",IF(원본명단!$H4493="",0,COUNTIF(원본명단!$H$3:$H$6002,원본명단!$H4493)))</f>
        <v/>
      </c>
      <c r="F4494" s="11" t="str">
        <f aca="false">IF($A4494="","",IF(원본명단!$I4493="",0,COUNTIF(원본명단!$I$3:$I$6002,원본명단!$I4493)))</f>
        <v/>
      </c>
      <c r="G4494" s="11" t="str">
        <f aca="false">IF($A4494="","",IF(원본명단!$K4493="",0,COUNTIF(원본명단!$K$3:$K$6002,원본명단!$K4493)))</f>
        <v/>
      </c>
      <c r="H4494" s="11" t="str">
        <f aca="false">IF($A4494="","",IF(MAX($E4494,$F4494,$G4494)&gt;1,"중복","-"))</f>
        <v/>
      </c>
      <c r="I4494" s="11" t="str">
        <f aca="false">IF($A4494="","",IF($H4494="-","-",IF(AND(IF(원본명단!$H4493="",TRUE(),COUNTIF(원본명단!$H$3:$H4493,원본명단!$H4493)=1),IF(원본명단!$I4493="",TRUE(),COUNTIF(원본명단!$I$3:$I4493,원본명단!$I4493)=1),IF(원본명단!$K4493="",TRUE(),COUNTIF(원본명단!$K$3:$K4493,원본명단!$K4493)=1)),"첫 건","중복 건")))</f>
        <v/>
      </c>
      <c r="J4494" s="11" t="str">
        <f aca="false">IF($A4494="","",IF($H4494="-","유지",IF($I4494="첫 건","유지","확인 필요")))</f>
        <v/>
      </c>
    </row>
    <row r="4495" customFormat="false" ht="15" hidden="false" customHeight="true" outlineLevel="0" collapsed="false">
      <c r="A4495" s="11" t="str">
        <f aca="false">IF(원본명단!$A4494="","",4492)</f>
        <v/>
      </c>
      <c r="B4495" s="12" t="str">
        <f aca="false">IF($A4495="","",원본명단!$A4494)</f>
        <v/>
      </c>
      <c r="C4495" s="12" t="str">
        <f aca="false">IF($A4495="","",원본명단!$B4494)</f>
        <v/>
      </c>
      <c r="D4495" s="12" t="str">
        <f aca="false">IF($A4495="","",원본명단!$D4494)</f>
        <v/>
      </c>
      <c r="E4495" s="11" t="str">
        <f aca="false">IF($A4495="","",IF(원본명단!$H4494="",0,COUNTIF(원본명단!$H$3:$H$6002,원본명단!$H4494)))</f>
        <v/>
      </c>
      <c r="F4495" s="11" t="str">
        <f aca="false">IF($A4495="","",IF(원본명단!$I4494="",0,COUNTIF(원본명단!$I$3:$I$6002,원본명단!$I4494)))</f>
        <v/>
      </c>
      <c r="G4495" s="11" t="str">
        <f aca="false">IF($A4495="","",IF(원본명단!$K4494="",0,COUNTIF(원본명단!$K$3:$K$6002,원본명단!$K4494)))</f>
        <v/>
      </c>
      <c r="H4495" s="11" t="str">
        <f aca="false">IF($A4495="","",IF(MAX($E4495,$F4495,$G4495)&gt;1,"중복","-"))</f>
        <v/>
      </c>
      <c r="I4495" s="11" t="str">
        <f aca="false">IF($A4495="","",IF($H4495="-","-",IF(AND(IF(원본명단!$H4494="",TRUE(),COUNTIF(원본명단!$H$3:$H4494,원본명단!$H4494)=1),IF(원본명단!$I4494="",TRUE(),COUNTIF(원본명단!$I$3:$I4494,원본명단!$I4494)=1),IF(원본명단!$K4494="",TRUE(),COUNTIF(원본명단!$K$3:$K4494,원본명단!$K4494)=1)),"첫 건","중복 건")))</f>
        <v/>
      </c>
      <c r="J4495" s="11" t="str">
        <f aca="false">IF($A4495="","",IF($H4495="-","유지",IF($I4495="첫 건","유지","확인 필요")))</f>
        <v/>
      </c>
    </row>
    <row r="4496" customFormat="false" ht="15" hidden="false" customHeight="true" outlineLevel="0" collapsed="false">
      <c r="A4496" s="11" t="str">
        <f aca="false">IF(원본명단!$A4495="","",4493)</f>
        <v/>
      </c>
      <c r="B4496" s="12" t="str">
        <f aca="false">IF($A4496="","",원본명단!$A4495)</f>
        <v/>
      </c>
      <c r="C4496" s="12" t="str">
        <f aca="false">IF($A4496="","",원본명단!$B4495)</f>
        <v/>
      </c>
      <c r="D4496" s="12" t="str">
        <f aca="false">IF($A4496="","",원본명단!$D4495)</f>
        <v/>
      </c>
      <c r="E4496" s="11" t="str">
        <f aca="false">IF($A4496="","",IF(원본명단!$H4495="",0,COUNTIF(원본명단!$H$3:$H$6002,원본명단!$H4495)))</f>
        <v/>
      </c>
      <c r="F4496" s="11" t="str">
        <f aca="false">IF($A4496="","",IF(원본명단!$I4495="",0,COUNTIF(원본명단!$I$3:$I$6002,원본명단!$I4495)))</f>
        <v/>
      </c>
      <c r="G4496" s="11" t="str">
        <f aca="false">IF($A4496="","",IF(원본명단!$K4495="",0,COUNTIF(원본명단!$K$3:$K$6002,원본명단!$K4495)))</f>
        <v/>
      </c>
      <c r="H4496" s="11" t="str">
        <f aca="false">IF($A4496="","",IF(MAX($E4496,$F4496,$G4496)&gt;1,"중복","-"))</f>
        <v/>
      </c>
      <c r="I4496" s="11" t="str">
        <f aca="false">IF($A4496="","",IF($H4496="-","-",IF(AND(IF(원본명단!$H4495="",TRUE(),COUNTIF(원본명단!$H$3:$H4495,원본명단!$H4495)=1),IF(원본명단!$I4495="",TRUE(),COUNTIF(원본명단!$I$3:$I4495,원본명단!$I4495)=1),IF(원본명단!$K4495="",TRUE(),COUNTIF(원본명단!$K$3:$K4495,원본명단!$K4495)=1)),"첫 건","중복 건")))</f>
        <v/>
      </c>
      <c r="J4496" s="11" t="str">
        <f aca="false">IF($A4496="","",IF($H4496="-","유지",IF($I4496="첫 건","유지","확인 필요")))</f>
        <v/>
      </c>
    </row>
    <row r="4497" customFormat="false" ht="15" hidden="false" customHeight="true" outlineLevel="0" collapsed="false">
      <c r="A4497" s="11" t="str">
        <f aca="false">IF(원본명단!$A4496="","",4494)</f>
        <v/>
      </c>
      <c r="B4497" s="12" t="str">
        <f aca="false">IF($A4497="","",원본명단!$A4496)</f>
        <v/>
      </c>
      <c r="C4497" s="12" t="str">
        <f aca="false">IF($A4497="","",원본명단!$B4496)</f>
        <v/>
      </c>
      <c r="D4497" s="12" t="str">
        <f aca="false">IF($A4497="","",원본명단!$D4496)</f>
        <v/>
      </c>
      <c r="E4497" s="11" t="str">
        <f aca="false">IF($A4497="","",IF(원본명단!$H4496="",0,COUNTIF(원본명단!$H$3:$H$6002,원본명단!$H4496)))</f>
        <v/>
      </c>
      <c r="F4497" s="11" t="str">
        <f aca="false">IF($A4497="","",IF(원본명단!$I4496="",0,COUNTIF(원본명단!$I$3:$I$6002,원본명단!$I4496)))</f>
        <v/>
      </c>
      <c r="G4497" s="11" t="str">
        <f aca="false">IF($A4497="","",IF(원본명단!$K4496="",0,COUNTIF(원본명단!$K$3:$K$6002,원본명단!$K4496)))</f>
        <v/>
      </c>
      <c r="H4497" s="11" t="str">
        <f aca="false">IF($A4497="","",IF(MAX($E4497,$F4497,$G4497)&gt;1,"중복","-"))</f>
        <v/>
      </c>
      <c r="I4497" s="11" t="str">
        <f aca="false">IF($A4497="","",IF($H4497="-","-",IF(AND(IF(원본명단!$H4496="",TRUE(),COUNTIF(원본명단!$H$3:$H4496,원본명단!$H4496)=1),IF(원본명단!$I4496="",TRUE(),COUNTIF(원본명단!$I$3:$I4496,원본명단!$I4496)=1),IF(원본명단!$K4496="",TRUE(),COUNTIF(원본명단!$K$3:$K4496,원본명단!$K4496)=1)),"첫 건","중복 건")))</f>
        <v/>
      </c>
      <c r="J4497" s="11" t="str">
        <f aca="false">IF($A4497="","",IF($H4497="-","유지",IF($I4497="첫 건","유지","확인 필요")))</f>
        <v/>
      </c>
    </row>
    <row r="4498" customFormat="false" ht="15" hidden="false" customHeight="true" outlineLevel="0" collapsed="false">
      <c r="A4498" s="11" t="str">
        <f aca="false">IF(원본명단!$A4497="","",4495)</f>
        <v/>
      </c>
      <c r="B4498" s="12" t="str">
        <f aca="false">IF($A4498="","",원본명단!$A4497)</f>
        <v/>
      </c>
      <c r="C4498" s="12" t="str">
        <f aca="false">IF($A4498="","",원본명단!$B4497)</f>
        <v/>
      </c>
      <c r="D4498" s="12" t="str">
        <f aca="false">IF($A4498="","",원본명단!$D4497)</f>
        <v/>
      </c>
      <c r="E4498" s="11" t="str">
        <f aca="false">IF($A4498="","",IF(원본명단!$H4497="",0,COUNTIF(원본명단!$H$3:$H$6002,원본명단!$H4497)))</f>
        <v/>
      </c>
      <c r="F4498" s="11" t="str">
        <f aca="false">IF($A4498="","",IF(원본명단!$I4497="",0,COUNTIF(원본명단!$I$3:$I$6002,원본명단!$I4497)))</f>
        <v/>
      </c>
      <c r="G4498" s="11" t="str">
        <f aca="false">IF($A4498="","",IF(원본명단!$K4497="",0,COUNTIF(원본명단!$K$3:$K$6002,원본명단!$K4497)))</f>
        <v/>
      </c>
      <c r="H4498" s="11" t="str">
        <f aca="false">IF($A4498="","",IF(MAX($E4498,$F4498,$G4498)&gt;1,"중복","-"))</f>
        <v/>
      </c>
      <c r="I4498" s="11" t="str">
        <f aca="false">IF($A4498="","",IF($H4498="-","-",IF(AND(IF(원본명단!$H4497="",TRUE(),COUNTIF(원본명단!$H$3:$H4497,원본명단!$H4497)=1),IF(원본명단!$I4497="",TRUE(),COUNTIF(원본명단!$I$3:$I4497,원본명단!$I4497)=1),IF(원본명단!$K4497="",TRUE(),COUNTIF(원본명단!$K$3:$K4497,원본명단!$K4497)=1)),"첫 건","중복 건")))</f>
        <v/>
      </c>
      <c r="J4498" s="11" t="str">
        <f aca="false">IF($A4498="","",IF($H4498="-","유지",IF($I4498="첫 건","유지","확인 필요")))</f>
        <v/>
      </c>
    </row>
    <row r="4499" customFormat="false" ht="15" hidden="false" customHeight="true" outlineLevel="0" collapsed="false">
      <c r="A4499" s="11" t="str">
        <f aca="false">IF(원본명단!$A4498="","",4496)</f>
        <v/>
      </c>
      <c r="B4499" s="12" t="str">
        <f aca="false">IF($A4499="","",원본명단!$A4498)</f>
        <v/>
      </c>
      <c r="C4499" s="12" t="str">
        <f aca="false">IF($A4499="","",원본명단!$B4498)</f>
        <v/>
      </c>
      <c r="D4499" s="12" t="str">
        <f aca="false">IF($A4499="","",원본명단!$D4498)</f>
        <v/>
      </c>
      <c r="E4499" s="11" t="str">
        <f aca="false">IF($A4499="","",IF(원본명단!$H4498="",0,COUNTIF(원본명단!$H$3:$H$6002,원본명단!$H4498)))</f>
        <v/>
      </c>
      <c r="F4499" s="11" t="str">
        <f aca="false">IF($A4499="","",IF(원본명단!$I4498="",0,COUNTIF(원본명단!$I$3:$I$6002,원본명단!$I4498)))</f>
        <v/>
      </c>
      <c r="G4499" s="11" t="str">
        <f aca="false">IF($A4499="","",IF(원본명단!$K4498="",0,COUNTIF(원본명단!$K$3:$K$6002,원본명단!$K4498)))</f>
        <v/>
      </c>
      <c r="H4499" s="11" t="str">
        <f aca="false">IF($A4499="","",IF(MAX($E4499,$F4499,$G4499)&gt;1,"중복","-"))</f>
        <v/>
      </c>
      <c r="I4499" s="11" t="str">
        <f aca="false">IF($A4499="","",IF($H4499="-","-",IF(AND(IF(원본명단!$H4498="",TRUE(),COUNTIF(원본명단!$H$3:$H4498,원본명단!$H4498)=1),IF(원본명단!$I4498="",TRUE(),COUNTIF(원본명단!$I$3:$I4498,원본명단!$I4498)=1),IF(원본명단!$K4498="",TRUE(),COUNTIF(원본명단!$K$3:$K4498,원본명단!$K4498)=1)),"첫 건","중복 건")))</f>
        <v/>
      </c>
      <c r="J4499" s="11" t="str">
        <f aca="false">IF($A4499="","",IF($H4499="-","유지",IF($I4499="첫 건","유지","확인 필요")))</f>
        <v/>
      </c>
    </row>
    <row r="4500" customFormat="false" ht="15" hidden="false" customHeight="true" outlineLevel="0" collapsed="false">
      <c r="A4500" s="11" t="str">
        <f aca="false">IF(원본명단!$A4499="","",4497)</f>
        <v/>
      </c>
      <c r="B4500" s="12" t="str">
        <f aca="false">IF($A4500="","",원본명단!$A4499)</f>
        <v/>
      </c>
      <c r="C4500" s="12" t="str">
        <f aca="false">IF($A4500="","",원본명단!$B4499)</f>
        <v/>
      </c>
      <c r="D4500" s="12" t="str">
        <f aca="false">IF($A4500="","",원본명단!$D4499)</f>
        <v/>
      </c>
      <c r="E4500" s="11" t="str">
        <f aca="false">IF($A4500="","",IF(원본명단!$H4499="",0,COUNTIF(원본명단!$H$3:$H$6002,원본명단!$H4499)))</f>
        <v/>
      </c>
      <c r="F4500" s="11" t="str">
        <f aca="false">IF($A4500="","",IF(원본명단!$I4499="",0,COUNTIF(원본명단!$I$3:$I$6002,원본명단!$I4499)))</f>
        <v/>
      </c>
      <c r="G4500" s="11" t="str">
        <f aca="false">IF($A4500="","",IF(원본명단!$K4499="",0,COUNTIF(원본명단!$K$3:$K$6002,원본명단!$K4499)))</f>
        <v/>
      </c>
      <c r="H4500" s="11" t="str">
        <f aca="false">IF($A4500="","",IF(MAX($E4500,$F4500,$G4500)&gt;1,"중복","-"))</f>
        <v/>
      </c>
      <c r="I4500" s="11" t="str">
        <f aca="false">IF($A4500="","",IF($H4500="-","-",IF(AND(IF(원본명단!$H4499="",TRUE(),COUNTIF(원본명단!$H$3:$H4499,원본명단!$H4499)=1),IF(원본명단!$I4499="",TRUE(),COUNTIF(원본명단!$I$3:$I4499,원본명단!$I4499)=1),IF(원본명단!$K4499="",TRUE(),COUNTIF(원본명단!$K$3:$K4499,원본명단!$K4499)=1)),"첫 건","중복 건")))</f>
        <v/>
      </c>
      <c r="J4500" s="11" t="str">
        <f aca="false">IF($A4500="","",IF($H4500="-","유지",IF($I4500="첫 건","유지","확인 필요")))</f>
        <v/>
      </c>
    </row>
    <row r="4501" customFormat="false" ht="15" hidden="false" customHeight="true" outlineLevel="0" collapsed="false">
      <c r="A4501" s="11" t="str">
        <f aca="false">IF(원본명단!$A4500="","",4498)</f>
        <v/>
      </c>
      <c r="B4501" s="12" t="str">
        <f aca="false">IF($A4501="","",원본명단!$A4500)</f>
        <v/>
      </c>
      <c r="C4501" s="12" t="str">
        <f aca="false">IF($A4501="","",원본명단!$B4500)</f>
        <v/>
      </c>
      <c r="D4501" s="12" t="str">
        <f aca="false">IF($A4501="","",원본명단!$D4500)</f>
        <v/>
      </c>
      <c r="E4501" s="11" t="str">
        <f aca="false">IF($A4501="","",IF(원본명단!$H4500="",0,COUNTIF(원본명단!$H$3:$H$6002,원본명단!$H4500)))</f>
        <v/>
      </c>
      <c r="F4501" s="11" t="str">
        <f aca="false">IF($A4501="","",IF(원본명단!$I4500="",0,COUNTIF(원본명단!$I$3:$I$6002,원본명단!$I4500)))</f>
        <v/>
      </c>
      <c r="G4501" s="11" t="str">
        <f aca="false">IF($A4501="","",IF(원본명단!$K4500="",0,COUNTIF(원본명단!$K$3:$K$6002,원본명단!$K4500)))</f>
        <v/>
      </c>
      <c r="H4501" s="11" t="str">
        <f aca="false">IF($A4501="","",IF(MAX($E4501,$F4501,$G4501)&gt;1,"중복","-"))</f>
        <v/>
      </c>
      <c r="I4501" s="11" t="str">
        <f aca="false">IF($A4501="","",IF($H4501="-","-",IF(AND(IF(원본명단!$H4500="",TRUE(),COUNTIF(원본명단!$H$3:$H4500,원본명단!$H4500)=1),IF(원본명단!$I4500="",TRUE(),COUNTIF(원본명단!$I$3:$I4500,원본명단!$I4500)=1),IF(원본명단!$K4500="",TRUE(),COUNTIF(원본명단!$K$3:$K4500,원본명단!$K4500)=1)),"첫 건","중복 건")))</f>
        <v/>
      </c>
      <c r="J4501" s="11" t="str">
        <f aca="false">IF($A4501="","",IF($H4501="-","유지",IF($I4501="첫 건","유지","확인 필요")))</f>
        <v/>
      </c>
    </row>
    <row r="4502" customFormat="false" ht="15" hidden="false" customHeight="true" outlineLevel="0" collapsed="false">
      <c r="A4502" s="11" t="str">
        <f aca="false">IF(원본명단!$A4501="","",4499)</f>
        <v/>
      </c>
      <c r="B4502" s="12" t="str">
        <f aca="false">IF($A4502="","",원본명단!$A4501)</f>
        <v/>
      </c>
      <c r="C4502" s="12" t="str">
        <f aca="false">IF($A4502="","",원본명단!$B4501)</f>
        <v/>
      </c>
      <c r="D4502" s="12" t="str">
        <f aca="false">IF($A4502="","",원본명단!$D4501)</f>
        <v/>
      </c>
      <c r="E4502" s="11" t="str">
        <f aca="false">IF($A4502="","",IF(원본명단!$H4501="",0,COUNTIF(원본명단!$H$3:$H$6002,원본명단!$H4501)))</f>
        <v/>
      </c>
      <c r="F4502" s="11" t="str">
        <f aca="false">IF($A4502="","",IF(원본명단!$I4501="",0,COUNTIF(원본명단!$I$3:$I$6002,원본명단!$I4501)))</f>
        <v/>
      </c>
      <c r="G4502" s="11" t="str">
        <f aca="false">IF($A4502="","",IF(원본명단!$K4501="",0,COUNTIF(원본명단!$K$3:$K$6002,원본명단!$K4501)))</f>
        <v/>
      </c>
      <c r="H4502" s="11" t="str">
        <f aca="false">IF($A4502="","",IF(MAX($E4502,$F4502,$G4502)&gt;1,"중복","-"))</f>
        <v/>
      </c>
      <c r="I4502" s="11" t="str">
        <f aca="false">IF($A4502="","",IF($H4502="-","-",IF(AND(IF(원본명단!$H4501="",TRUE(),COUNTIF(원본명단!$H$3:$H4501,원본명단!$H4501)=1),IF(원본명단!$I4501="",TRUE(),COUNTIF(원본명단!$I$3:$I4501,원본명단!$I4501)=1),IF(원본명단!$K4501="",TRUE(),COUNTIF(원본명단!$K$3:$K4501,원본명단!$K4501)=1)),"첫 건","중복 건")))</f>
        <v/>
      </c>
      <c r="J4502" s="11" t="str">
        <f aca="false">IF($A4502="","",IF($H4502="-","유지",IF($I4502="첫 건","유지","확인 필요")))</f>
        <v/>
      </c>
    </row>
    <row r="4503" customFormat="false" ht="15" hidden="false" customHeight="true" outlineLevel="0" collapsed="false">
      <c r="A4503" s="11" t="str">
        <f aca="false">IF(원본명단!$A4502="","",4500)</f>
        <v/>
      </c>
      <c r="B4503" s="12" t="str">
        <f aca="false">IF($A4503="","",원본명단!$A4502)</f>
        <v/>
      </c>
      <c r="C4503" s="12" t="str">
        <f aca="false">IF($A4503="","",원본명단!$B4502)</f>
        <v/>
      </c>
      <c r="D4503" s="12" t="str">
        <f aca="false">IF($A4503="","",원본명단!$D4502)</f>
        <v/>
      </c>
      <c r="E4503" s="11" t="str">
        <f aca="false">IF($A4503="","",IF(원본명단!$H4502="",0,COUNTIF(원본명단!$H$3:$H$6002,원본명단!$H4502)))</f>
        <v/>
      </c>
      <c r="F4503" s="11" t="str">
        <f aca="false">IF($A4503="","",IF(원본명단!$I4502="",0,COUNTIF(원본명단!$I$3:$I$6002,원본명단!$I4502)))</f>
        <v/>
      </c>
      <c r="G4503" s="11" t="str">
        <f aca="false">IF($A4503="","",IF(원본명단!$K4502="",0,COUNTIF(원본명단!$K$3:$K$6002,원본명단!$K4502)))</f>
        <v/>
      </c>
      <c r="H4503" s="11" t="str">
        <f aca="false">IF($A4503="","",IF(MAX($E4503,$F4503,$G4503)&gt;1,"중복","-"))</f>
        <v/>
      </c>
      <c r="I4503" s="11" t="str">
        <f aca="false">IF($A4503="","",IF($H4503="-","-",IF(AND(IF(원본명단!$H4502="",TRUE(),COUNTIF(원본명단!$H$3:$H4502,원본명단!$H4502)=1),IF(원본명단!$I4502="",TRUE(),COUNTIF(원본명단!$I$3:$I4502,원본명단!$I4502)=1),IF(원본명단!$K4502="",TRUE(),COUNTIF(원본명단!$K$3:$K4502,원본명단!$K4502)=1)),"첫 건","중복 건")))</f>
        <v/>
      </c>
      <c r="J4503" s="11" t="str">
        <f aca="false">IF($A4503="","",IF($H4503="-","유지",IF($I4503="첫 건","유지","확인 필요")))</f>
        <v/>
      </c>
    </row>
    <row r="4504" customFormat="false" ht="15" hidden="false" customHeight="true" outlineLevel="0" collapsed="false">
      <c r="A4504" s="11" t="str">
        <f aca="false">IF(원본명단!$A4503="","",4501)</f>
        <v/>
      </c>
      <c r="B4504" s="12" t="str">
        <f aca="false">IF($A4504="","",원본명단!$A4503)</f>
        <v/>
      </c>
      <c r="C4504" s="12" t="str">
        <f aca="false">IF($A4504="","",원본명단!$B4503)</f>
        <v/>
      </c>
      <c r="D4504" s="12" t="str">
        <f aca="false">IF($A4504="","",원본명단!$D4503)</f>
        <v/>
      </c>
      <c r="E4504" s="11" t="str">
        <f aca="false">IF($A4504="","",IF(원본명단!$H4503="",0,COUNTIF(원본명단!$H$3:$H$6002,원본명단!$H4503)))</f>
        <v/>
      </c>
      <c r="F4504" s="11" t="str">
        <f aca="false">IF($A4504="","",IF(원본명단!$I4503="",0,COUNTIF(원본명단!$I$3:$I$6002,원본명단!$I4503)))</f>
        <v/>
      </c>
      <c r="G4504" s="11" t="str">
        <f aca="false">IF($A4504="","",IF(원본명단!$K4503="",0,COUNTIF(원본명단!$K$3:$K$6002,원본명단!$K4503)))</f>
        <v/>
      </c>
      <c r="H4504" s="11" t="str">
        <f aca="false">IF($A4504="","",IF(MAX($E4504,$F4504,$G4504)&gt;1,"중복","-"))</f>
        <v/>
      </c>
      <c r="I4504" s="11" t="str">
        <f aca="false">IF($A4504="","",IF($H4504="-","-",IF(AND(IF(원본명단!$H4503="",TRUE(),COUNTIF(원본명단!$H$3:$H4503,원본명단!$H4503)=1),IF(원본명단!$I4503="",TRUE(),COUNTIF(원본명단!$I$3:$I4503,원본명단!$I4503)=1),IF(원본명단!$K4503="",TRUE(),COUNTIF(원본명단!$K$3:$K4503,원본명단!$K4503)=1)),"첫 건","중복 건")))</f>
        <v/>
      </c>
      <c r="J4504" s="11" t="str">
        <f aca="false">IF($A4504="","",IF($H4504="-","유지",IF($I4504="첫 건","유지","확인 필요")))</f>
        <v/>
      </c>
    </row>
    <row r="4505" customFormat="false" ht="15" hidden="false" customHeight="true" outlineLevel="0" collapsed="false">
      <c r="A4505" s="11" t="str">
        <f aca="false">IF(원본명단!$A4504="","",4502)</f>
        <v/>
      </c>
      <c r="B4505" s="12" t="str">
        <f aca="false">IF($A4505="","",원본명단!$A4504)</f>
        <v/>
      </c>
      <c r="C4505" s="12" t="str">
        <f aca="false">IF($A4505="","",원본명단!$B4504)</f>
        <v/>
      </c>
      <c r="D4505" s="12" t="str">
        <f aca="false">IF($A4505="","",원본명단!$D4504)</f>
        <v/>
      </c>
      <c r="E4505" s="11" t="str">
        <f aca="false">IF($A4505="","",IF(원본명단!$H4504="",0,COUNTIF(원본명단!$H$3:$H$6002,원본명단!$H4504)))</f>
        <v/>
      </c>
      <c r="F4505" s="11" t="str">
        <f aca="false">IF($A4505="","",IF(원본명단!$I4504="",0,COUNTIF(원본명단!$I$3:$I$6002,원본명단!$I4504)))</f>
        <v/>
      </c>
      <c r="G4505" s="11" t="str">
        <f aca="false">IF($A4505="","",IF(원본명단!$K4504="",0,COUNTIF(원본명단!$K$3:$K$6002,원본명단!$K4504)))</f>
        <v/>
      </c>
      <c r="H4505" s="11" t="str">
        <f aca="false">IF($A4505="","",IF(MAX($E4505,$F4505,$G4505)&gt;1,"중복","-"))</f>
        <v/>
      </c>
      <c r="I4505" s="11" t="str">
        <f aca="false">IF($A4505="","",IF($H4505="-","-",IF(AND(IF(원본명단!$H4504="",TRUE(),COUNTIF(원본명단!$H$3:$H4504,원본명단!$H4504)=1),IF(원본명단!$I4504="",TRUE(),COUNTIF(원본명단!$I$3:$I4504,원본명단!$I4504)=1),IF(원본명단!$K4504="",TRUE(),COUNTIF(원본명단!$K$3:$K4504,원본명단!$K4504)=1)),"첫 건","중복 건")))</f>
        <v/>
      </c>
      <c r="J4505" s="11" t="str">
        <f aca="false">IF($A4505="","",IF($H4505="-","유지",IF($I4505="첫 건","유지","확인 필요")))</f>
        <v/>
      </c>
    </row>
    <row r="4506" customFormat="false" ht="15" hidden="false" customHeight="true" outlineLevel="0" collapsed="false">
      <c r="A4506" s="11" t="str">
        <f aca="false">IF(원본명단!$A4505="","",4503)</f>
        <v/>
      </c>
      <c r="B4506" s="12" t="str">
        <f aca="false">IF($A4506="","",원본명단!$A4505)</f>
        <v/>
      </c>
      <c r="C4506" s="12" t="str">
        <f aca="false">IF($A4506="","",원본명단!$B4505)</f>
        <v/>
      </c>
      <c r="D4506" s="12" t="str">
        <f aca="false">IF($A4506="","",원본명단!$D4505)</f>
        <v/>
      </c>
      <c r="E4506" s="11" t="str">
        <f aca="false">IF($A4506="","",IF(원본명단!$H4505="",0,COUNTIF(원본명단!$H$3:$H$6002,원본명단!$H4505)))</f>
        <v/>
      </c>
      <c r="F4506" s="11" t="str">
        <f aca="false">IF($A4506="","",IF(원본명단!$I4505="",0,COUNTIF(원본명단!$I$3:$I$6002,원본명단!$I4505)))</f>
        <v/>
      </c>
      <c r="G4506" s="11" t="str">
        <f aca="false">IF($A4506="","",IF(원본명단!$K4505="",0,COUNTIF(원본명단!$K$3:$K$6002,원본명단!$K4505)))</f>
        <v/>
      </c>
      <c r="H4506" s="11" t="str">
        <f aca="false">IF($A4506="","",IF(MAX($E4506,$F4506,$G4506)&gt;1,"중복","-"))</f>
        <v/>
      </c>
      <c r="I4506" s="11" t="str">
        <f aca="false">IF($A4506="","",IF($H4506="-","-",IF(AND(IF(원본명단!$H4505="",TRUE(),COUNTIF(원본명단!$H$3:$H4505,원본명단!$H4505)=1),IF(원본명단!$I4505="",TRUE(),COUNTIF(원본명단!$I$3:$I4505,원본명단!$I4505)=1),IF(원본명단!$K4505="",TRUE(),COUNTIF(원본명단!$K$3:$K4505,원본명단!$K4505)=1)),"첫 건","중복 건")))</f>
        <v/>
      </c>
      <c r="J4506" s="11" t="str">
        <f aca="false">IF($A4506="","",IF($H4506="-","유지",IF($I4506="첫 건","유지","확인 필요")))</f>
        <v/>
      </c>
    </row>
    <row r="4507" customFormat="false" ht="15" hidden="false" customHeight="true" outlineLevel="0" collapsed="false">
      <c r="A4507" s="11" t="str">
        <f aca="false">IF(원본명단!$A4506="","",4504)</f>
        <v/>
      </c>
      <c r="B4507" s="12" t="str">
        <f aca="false">IF($A4507="","",원본명단!$A4506)</f>
        <v/>
      </c>
      <c r="C4507" s="12" t="str">
        <f aca="false">IF($A4507="","",원본명단!$B4506)</f>
        <v/>
      </c>
      <c r="D4507" s="12" t="str">
        <f aca="false">IF($A4507="","",원본명단!$D4506)</f>
        <v/>
      </c>
      <c r="E4507" s="11" t="str">
        <f aca="false">IF($A4507="","",IF(원본명단!$H4506="",0,COUNTIF(원본명단!$H$3:$H$6002,원본명단!$H4506)))</f>
        <v/>
      </c>
      <c r="F4507" s="11" t="str">
        <f aca="false">IF($A4507="","",IF(원본명단!$I4506="",0,COUNTIF(원본명단!$I$3:$I$6002,원본명단!$I4506)))</f>
        <v/>
      </c>
      <c r="G4507" s="11" t="str">
        <f aca="false">IF($A4507="","",IF(원본명단!$K4506="",0,COUNTIF(원본명단!$K$3:$K$6002,원본명단!$K4506)))</f>
        <v/>
      </c>
      <c r="H4507" s="11" t="str">
        <f aca="false">IF($A4507="","",IF(MAX($E4507,$F4507,$G4507)&gt;1,"중복","-"))</f>
        <v/>
      </c>
      <c r="I4507" s="11" t="str">
        <f aca="false">IF($A4507="","",IF($H4507="-","-",IF(AND(IF(원본명단!$H4506="",TRUE(),COUNTIF(원본명단!$H$3:$H4506,원본명단!$H4506)=1),IF(원본명단!$I4506="",TRUE(),COUNTIF(원본명단!$I$3:$I4506,원본명단!$I4506)=1),IF(원본명단!$K4506="",TRUE(),COUNTIF(원본명단!$K$3:$K4506,원본명단!$K4506)=1)),"첫 건","중복 건")))</f>
        <v/>
      </c>
      <c r="J4507" s="11" t="str">
        <f aca="false">IF($A4507="","",IF($H4507="-","유지",IF($I4507="첫 건","유지","확인 필요")))</f>
        <v/>
      </c>
    </row>
    <row r="4508" customFormat="false" ht="15" hidden="false" customHeight="true" outlineLevel="0" collapsed="false">
      <c r="A4508" s="11" t="str">
        <f aca="false">IF(원본명단!$A4507="","",4505)</f>
        <v/>
      </c>
      <c r="B4508" s="12" t="str">
        <f aca="false">IF($A4508="","",원본명단!$A4507)</f>
        <v/>
      </c>
      <c r="C4508" s="12" t="str">
        <f aca="false">IF($A4508="","",원본명단!$B4507)</f>
        <v/>
      </c>
      <c r="D4508" s="12" t="str">
        <f aca="false">IF($A4508="","",원본명단!$D4507)</f>
        <v/>
      </c>
      <c r="E4508" s="11" t="str">
        <f aca="false">IF($A4508="","",IF(원본명단!$H4507="",0,COUNTIF(원본명단!$H$3:$H$6002,원본명단!$H4507)))</f>
        <v/>
      </c>
      <c r="F4508" s="11" t="str">
        <f aca="false">IF($A4508="","",IF(원본명단!$I4507="",0,COUNTIF(원본명단!$I$3:$I$6002,원본명단!$I4507)))</f>
        <v/>
      </c>
      <c r="G4508" s="11" t="str">
        <f aca="false">IF($A4508="","",IF(원본명단!$K4507="",0,COUNTIF(원본명단!$K$3:$K$6002,원본명단!$K4507)))</f>
        <v/>
      </c>
      <c r="H4508" s="11" t="str">
        <f aca="false">IF($A4508="","",IF(MAX($E4508,$F4508,$G4508)&gt;1,"중복","-"))</f>
        <v/>
      </c>
      <c r="I4508" s="11" t="str">
        <f aca="false">IF($A4508="","",IF($H4508="-","-",IF(AND(IF(원본명단!$H4507="",TRUE(),COUNTIF(원본명단!$H$3:$H4507,원본명단!$H4507)=1),IF(원본명단!$I4507="",TRUE(),COUNTIF(원본명단!$I$3:$I4507,원본명단!$I4507)=1),IF(원본명단!$K4507="",TRUE(),COUNTIF(원본명단!$K$3:$K4507,원본명단!$K4507)=1)),"첫 건","중복 건")))</f>
        <v/>
      </c>
      <c r="J4508" s="11" t="str">
        <f aca="false">IF($A4508="","",IF($H4508="-","유지",IF($I4508="첫 건","유지","확인 필요")))</f>
        <v/>
      </c>
    </row>
    <row r="4509" customFormat="false" ht="15" hidden="false" customHeight="true" outlineLevel="0" collapsed="false">
      <c r="A4509" s="11" t="str">
        <f aca="false">IF(원본명단!$A4508="","",4506)</f>
        <v/>
      </c>
      <c r="B4509" s="12" t="str">
        <f aca="false">IF($A4509="","",원본명단!$A4508)</f>
        <v/>
      </c>
      <c r="C4509" s="12" t="str">
        <f aca="false">IF($A4509="","",원본명단!$B4508)</f>
        <v/>
      </c>
      <c r="D4509" s="12" t="str">
        <f aca="false">IF($A4509="","",원본명단!$D4508)</f>
        <v/>
      </c>
      <c r="E4509" s="11" t="str">
        <f aca="false">IF($A4509="","",IF(원본명단!$H4508="",0,COUNTIF(원본명단!$H$3:$H$6002,원본명단!$H4508)))</f>
        <v/>
      </c>
      <c r="F4509" s="11" t="str">
        <f aca="false">IF($A4509="","",IF(원본명단!$I4508="",0,COUNTIF(원본명단!$I$3:$I$6002,원본명단!$I4508)))</f>
        <v/>
      </c>
      <c r="G4509" s="11" t="str">
        <f aca="false">IF($A4509="","",IF(원본명단!$K4508="",0,COUNTIF(원본명단!$K$3:$K$6002,원본명단!$K4508)))</f>
        <v/>
      </c>
      <c r="H4509" s="11" t="str">
        <f aca="false">IF($A4509="","",IF(MAX($E4509,$F4509,$G4509)&gt;1,"중복","-"))</f>
        <v/>
      </c>
      <c r="I4509" s="11" t="str">
        <f aca="false">IF($A4509="","",IF($H4509="-","-",IF(AND(IF(원본명단!$H4508="",TRUE(),COUNTIF(원본명단!$H$3:$H4508,원본명단!$H4508)=1),IF(원본명단!$I4508="",TRUE(),COUNTIF(원본명단!$I$3:$I4508,원본명단!$I4508)=1),IF(원본명단!$K4508="",TRUE(),COUNTIF(원본명단!$K$3:$K4508,원본명단!$K4508)=1)),"첫 건","중복 건")))</f>
        <v/>
      </c>
      <c r="J4509" s="11" t="str">
        <f aca="false">IF($A4509="","",IF($H4509="-","유지",IF($I4509="첫 건","유지","확인 필요")))</f>
        <v/>
      </c>
    </row>
    <row r="4510" customFormat="false" ht="15" hidden="false" customHeight="true" outlineLevel="0" collapsed="false">
      <c r="A4510" s="11" t="str">
        <f aca="false">IF(원본명단!$A4509="","",4507)</f>
        <v/>
      </c>
      <c r="B4510" s="12" t="str">
        <f aca="false">IF($A4510="","",원본명단!$A4509)</f>
        <v/>
      </c>
      <c r="C4510" s="12" t="str">
        <f aca="false">IF($A4510="","",원본명단!$B4509)</f>
        <v/>
      </c>
      <c r="D4510" s="12" t="str">
        <f aca="false">IF($A4510="","",원본명단!$D4509)</f>
        <v/>
      </c>
      <c r="E4510" s="11" t="str">
        <f aca="false">IF($A4510="","",IF(원본명단!$H4509="",0,COUNTIF(원본명단!$H$3:$H$6002,원본명단!$H4509)))</f>
        <v/>
      </c>
      <c r="F4510" s="11" t="str">
        <f aca="false">IF($A4510="","",IF(원본명단!$I4509="",0,COUNTIF(원본명단!$I$3:$I$6002,원본명단!$I4509)))</f>
        <v/>
      </c>
      <c r="G4510" s="11" t="str">
        <f aca="false">IF($A4510="","",IF(원본명단!$K4509="",0,COUNTIF(원본명단!$K$3:$K$6002,원본명단!$K4509)))</f>
        <v/>
      </c>
      <c r="H4510" s="11" t="str">
        <f aca="false">IF($A4510="","",IF(MAX($E4510,$F4510,$G4510)&gt;1,"중복","-"))</f>
        <v/>
      </c>
      <c r="I4510" s="11" t="str">
        <f aca="false">IF($A4510="","",IF($H4510="-","-",IF(AND(IF(원본명단!$H4509="",TRUE(),COUNTIF(원본명단!$H$3:$H4509,원본명단!$H4509)=1),IF(원본명단!$I4509="",TRUE(),COUNTIF(원본명단!$I$3:$I4509,원본명단!$I4509)=1),IF(원본명단!$K4509="",TRUE(),COUNTIF(원본명단!$K$3:$K4509,원본명단!$K4509)=1)),"첫 건","중복 건")))</f>
        <v/>
      </c>
      <c r="J4510" s="11" t="str">
        <f aca="false">IF($A4510="","",IF($H4510="-","유지",IF($I4510="첫 건","유지","확인 필요")))</f>
        <v/>
      </c>
    </row>
    <row r="4511" customFormat="false" ht="15" hidden="false" customHeight="true" outlineLevel="0" collapsed="false">
      <c r="A4511" s="11" t="str">
        <f aca="false">IF(원본명단!$A4510="","",4508)</f>
        <v/>
      </c>
      <c r="B4511" s="12" t="str">
        <f aca="false">IF($A4511="","",원본명단!$A4510)</f>
        <v/>
      </c>
      <c r="C4511" s="12" t="str">
        <f aca="false">IF($A4511="","",원본명단!$B4510)</f>
        <v/>
      </c>
      <c r="D4511" s="12" t="str">
        <f aca="false">IF($A4511="","",원본명단!$D4510)</f>
        <v/>
      </c>
      <c r="E4511" s="11" t="str">
        <f aca="false">IF($A4511="","",IF(원본명단!$H4510="",0,COUNTIF(원본명단!$H$3:$H$6002,원본명단!$H4510)))</f>
        <v/>
      </c>
      <c r="F4511" s="11" t="str">
        <f aca="false">IF($A4511="","",IF(원본명단!$I4510="",0,COUNTIF(원본명단!$I$3:$I$6002,원본명단!$I4510)))</f>
        <v/>
      </c>
      <c r="G4511" s="11" t="str">
        <f aca="false">IF($A4511="","",IF(원본명단!$K4510="",0,COUNTIF(원본명단!$K$3:$K$6002,원본명단!$K4510)))</f>
        <v/>
      </c>
      <c r="H4511" s="11" t="str">
        <f aca="false">IF($A4511="","",IF(MAX($E4511,$F4511,$G4511)&gt;1,"중복","-"))</f>
        <v/>
      </c>
      <c r="I4511" s="11" t="str">
        <f aca="false">IF($A4511="","",IF($H4511="-","-",IF(AND(IF(원본명단!$H4510="",TRUE(),COUNTIF(원본명단!$H$3:$H4510,원본명단!$H4510)=1),IF(원본명단!$I4510="",TRUE(),COUNTIF(원본명단!$I$3:$I4510,원본명단!$I4510)=1),IF(원본명단!$K4510="",TRUE(),COUNTIF(원본명단!$K$3:$K4510,원본명단!$K4510)=1)),"첫 건","중복 건")))</f>
        <v/>
      </c>
      <c r="J4511" s="11" t="str">
        <f aca="false">IF($A4511="","",IF($H4511="-","유지",IF($I4511="첫 건","유지","확인 필요")))</f>
        <v/>
      </c>
    </row>
    <row r="4512" customFormat="false" ht="15" hidden="false" customHeight="true" outlineLevel="0" collapsed="false">
      <c r="A4512" s="11" t="str">
        <f aca="false">IF(원본명단!$A4511="","",4509)</f>
        <v/>
      </c>
      <c r="B4512" s="12" t="str">
        <f aca="false">IF($A4512="","",원본명단!$A4511)</f>
        <v/>
      </c>
      <c r="C4512" s="12" t="str">
        <f aca="false">IF($A4512="","",원본명단!$B4511)</f>
        <v/>
      </c>
      <c r="D4512" s="12" t="str">
        <f aca="false">IF($A4512="","",원본명단!$D4511)</f>
        <v/>
      </c>
      <c r="E4512" s="11" t="str">
        <f aca="false">IF($A4512="","",IF(원본명단!$H4511="",0,COUNTIF(원본명단!$H$3:$H$6002,원본명단!$H4511)))</f>
        <v/>
      </c>
      <c r="F4512" s="11" t="str">
        <f aca="false">IF($A4512="","",IF(원본명단!$I4511="",0,COUNTIF(원본명단!$I$3:$I$6002,원본명단!$I4511)))</f>
        <v/>
      </c>
      <c r="G4512" s="11" t="str">
        <f aca="false">IF($A4512="","",IF(원본명단!$K4511="",0,COUNTIF(원본명단!$K$3:$K$6002,원본명단!$K4511)))</f>
        <v/>
      </c>
      <c r="H4512" s="11" t="str">
        <f aca="false">IF($A4512="","",IF(MAX($E4512,$F4512,$G4512)&gt;1,"중복","-"))</f>
        <v/>
      </c>
      <c r="I4512" s="11" t="str">
        <f aca="false">IF($A4512="","",IF($H4512="-","-",IF(AND(IF(원본명단!$H4511="",TRUE(),COUNTIF(원본명단!$H$3:$H4511,원본명단!$H4511)=1),IF(원본명단!$I4511="",TRUE(),COUNTIF(원본명단!$I$3:$I4511,원본명단!$I4511)=1),IF(원본명단!$K4511="",TRUE(),COUNTIF(원본명단!$K$3:$K4511,원본명단!$K4511)=1)),"첫 건","중복 건")))</f>
        <v/>
      </c>
      <c r="J4512" s="11" t="str">
        <f aca="false">IF($A4512="","",IF($H4512="-","유지",IF($I4512="첫 건","유지","확인 필요")))</f>
        <v/>
      </c>
    </row>
    <row r="4513" customFormat="false" ht="15" hidden="false" customHeight="true" outlineLevel="0" collapsed="false">
      <c r="A4513" s="11" t="str">
        <f aca="false">IF(원본명단!$A4512="","",4510)</f>
        <v/>
      </c>
      <c r="B4513" s="12" t="str">
        <f aca="false">IF($A4513="","",원본명단!$A4512)</f>
        <v/>
      </c>
      <c r="C4513" s="12" t="str">
        <f aca="false">IF($A4513="","",원본명단!$B4512)</f>
        <v/>
      </c>
      <c r="D4513" s="12" t="str">
        <f aca="false">IF($A4513="","",원본명단!$D4512)</f>
        <v/>
      </c>
      <c r="E4513" s="11" t="str">
        <f aca="false">IF($A4513="","",IF(원본명단!$H4512="",0,COUNTIF(원본명단!$H$3:$H$6002,원본명단!$H4512)))</f>
        <v/>
      </c>
      <c r="F4513" s="11" t="str">
        <f aca="false">IF($A4513="","",IF(원본명단!$I4512="",0,COUNTIF(원본명단!$I$3:$I$6002,원본명단!$I4512)))</f>
        <v/>
      </c>
      <c r="G4513" s="11" t="str">
        <f aca="false">IF($A4513="","",IF(원본명단!$K4512="",0,COUNTIF(원본명단!$K$3:$K$6002,원본명단!$K4512)))</f>
        <v/>
      </c>
      <c r="H4513" s="11" t="str">
        <f aca="false">IF($A4513="","",IF(MAX($E4513,$F4513,$G4513)&gt;1,"중복","-"))</f>
        <v/>
      </c>
      <c r="I4513" s="11" t="str">
        <f aca="false">IF($A4513="","",IF($H4513="-","-",IF(AND(IF(원본명단!$H4512="",TRUE(),COUNTIF(원본명단!$H$3:$H4512,원본명단!$H4512)=1),IF(원본명단!$I4512="",TRUE(),COUNTIF(원본명단!$I$3:$I4512,원본명단!$I4512)=1),IF(원본명단!$K4512="",TRUE(),COUNTIF(원본명단!$K$3:$K4512,원본명단!$K4512)=1)),"첫 건","중복 건")))</f>
        <v/>
      </c>
      <c r="J4513" s="11" t="str">
        <f aca="false">IF($A4513="","",IF($H4513="-","유지",IF($I4513="첫 건","유지","확인 필요")))</f>
        <v/>
      </c>
    </row>
    <row r="4514" customFormat="false" ht="15" hidden="false" customHeight="true" outlineLevel="0" collapsed="false">
      <c r="A4514" s="11" t="str">
        <f aca="false">IF(원본명단!$A4513="","",4511)</f>
        <v/>
      </c>
      <c r="B4514" s="12" t="str">
        <f aca="false">IF($A4514="","",원본명단!$A4513)</f>
        <v/>
      </c>
      <c r="C4514" s="12" t="str">
        <f aca="false">IF($A4514="","",원본명단!$B4513)</f>
        <v/>
      </c>
      <c r="D4514" s="12" t="str">
        <f aca="false">IF($A4514="","",원본명단!$D4513)</f>
        <v/>
      </c>
      <c r="E4514" s="11" t="str">
        <f aca="false">IF($A4514="","",IF(원본명단!$H4513="",0,COUNTIF(원본명단!$H$3:$H$6002,원본명단!$H4513)))</f>
        <v/>
      </c>
      <c r="F4514" s="11" t="str">
        <f aca="false">IF($A4514="","",IF(원본명단!$I4513="",0,COUNTIF(원본명단!$I$3:$I$6002,원본명단!$I4513)))</f>
        <v/>
      </c>
      <c r="G4514" s="11" t="str">
        <f aca="false">IF($A4514="","",IF(원본명단!$K4513="",0,COUNTIF(원본명단!$K$3:$K$6002,원본명단!$K4513)))</f>
        <v/>
      </c>
      <c r="H4514" s="11" t="str">
        <f aca="false">IF($A4514="","",IF(MAX($E4514,$F4514,$G4514)&gt;1,"중복","-"))</f>
        <v/>
      </c>
      <c r="I4514" s="11" t="str">
        <f aca="false">IF($A4514="","",IF($H4514="-","-",IF(AND(IF(원본명단!$H4513="",TRUE(),COUNTIF(원본명단!$H$3:$H4513,원본명단!$H4513)=1),IF(원본명단!$I4513="",TRUE(),COUNTIF(원본명단!$I$3:$I4513,원본명단!$I4513)=1),IF(원본명단!$K4513="",TRUE(),COUNTIF(원본명단!$K$3:$K4513,원본명단!$K4513)=1)),"첫 건","중복 건")))</f>
        <v/>
      </c>
      <c r="J4514" s="11" t="str">
        <f aca="false">IF($A4514="","",IF($H4514="-","유지",IF($I4514="첫 건","유지","확인 필요")))</f>
        <v/>
      </c>
    </row>
    <row r="4515" customFormat="false" ht="15" hidden="false" customHeight="true" outlineLevel="0" collapsed="false">
      <c r="A4515" s="11" t="str">
        <f aca="false">IF(원본명단!$A4514="","",4512)</f>
        <v/>
      </c>
      <c r="B4515" s="12" t="str">
        <f aca="false">IF($A4515="","",원본명단!$A4514)</f>
        <v/>
      </c>
      <c r="C4515" s="12" t="str">
        <f aca="false">IF($A4515="","",원본명단!$B4514)</f>
        <v/>
      </c>
      <c r="D4515" s="12" t="str">
        <f aca="false">IF($A4515="","",원본명단!$D4514)</f>
        <v/>
      </c>
      <c r="E4515" s="11" t="str">
        <f aca="false">IF($A4515="","",IF(원본명단!$H4514="",0,COUNTIF(원본명단!$H$3:$H$6002,원본명단!$H4514)))</f>
        <v/>
      </c>
      <c r="F4515" s="11" t="str">
        <f aca="false">IF($A4515="","",IF(원본명단!$I4514="",0,COUNTIF(원본명단!$I$3:$I$6002,원본명단!$I4514)))</f>
        <v/>
      </c>
      <c r="G4515" s="11" t="str">
        <f aca="false">IF($A4515="","",IF(원본명단!$K4514="",0,COUNTIF(원본명단!$K$3:$K$6002,원본명단!$K4514)))</f>
        <v/>
      </c>
      <c r="H4515" s="11" t="str">
        <f aca="false">IF($A4515="","",IF(MAX($E4515,$F4515,$G4515)&gt;1,"중복","-"))</f>
        <v/>
      </c>
      <c r="I4515" s="11" t="str">
        <f aca="false">IF($A4515="","",IF($H4515="-","-",IF(AND(IF(원본명단!$H4514="",TRUE(),COUNTIF(원본명단!$H$3:$H4514,원본명단!$H4514)=1),IF(원본명단!$I4514="",TRUE(),COUNTIF(원본명단!$I$3:$I4514,원본명단!$I4514)=1),IF(원본명단!$K4514="",TRUE(),COUNTIF(원본명단!$K$3:$K4514,원본명단!$K4514)=1)),"첫 건","중복 건")))</f>
        <v/>
      </c>
      <c r="J4515" s="11" t="str">
        <f aca="false">IF($A4515="","",IF($H4515="-","유지",IF($I4515="첫 건","유지","확인 필요")))</f>
        <v/>
      </c>
    </row>
    <row r="4516" customFormat="false" ht="15" hidden="false" customHeight="true" outlineLevel="0" collapsed="false">
      <c r="A4516" s="11" t="str">
        <f aca="false">IF(원본명단!$A4515="","",4513)</f>
        <v/>
      </c>
      <c r="B4516" s="12" t="str">
        <f aca="false">IF($A4516="","",원본명단!$A4515)</f>
        <v/>
      </c>
      <c r="C4516" s="12" t="str">
        <f aca="false">IF($A4516="","",원본명단!$B4515)</f>
        <v/>
      </c>
      <c r="D4516" s="12" t="str">
        <f aca="false">IF($A4516="","",원본명단!$D4515)</f>
        <v/>
      </c>
      <c r="E4516" s="11" t="str">
        <f aca="false">IF($A4516="","",IF(원본명단!$H4515="",0,COUNTIF(원본명단!$H$3:$H$6002,원본명단!$H4515)))</f>
        <v/>
      </c>
      <c r="F4516" s="11" t="str">
        <f aca="false">IF($A4516="","",IF(원본명단!$I4515="",0,COUNTIF(원본명단!$I$3:$I$6002,원본명단!$I4515)))</f>
        <v/>
      </c>
      <c r="G4516" s="11" t="str">
        <f aca="false">IF($A4516="","",IF(원본명단!$K4515="",0,COUNTIF(원본명단!$K$3:$K$6002,원본명단!$K4515)))</f>
        <v/>
      </c>
      <c r="H4516" s="11" t="str">
        <f aca="false">IF($A4516="","",IF(MAX($E4516,$F4516,$G4516)&gt;1,"중복","-"))</f>
        <v/>
      </c>
      <c r="I4516" s="11" t="str">
        <f aca="false">IF($A4516="","",IF($H4516="-","-",IF(AND(IF(원본명단!$H4515="",TRUE(),COUNTIF(원본명단!$H$3:$H4515,원본명단!$H4515)=1),IF(원본명단!$I4515="",TRUE(),COUNTIF(원본명단!$I$3:$I4515,원본명단!$I4515)=1),IF(원본명단!$K4515="",TRUE(),COUNTIF(원본명단!$K$3:$K4515,원본명단!$K4515)=1)),"첫 건","중복 건")))</f>
        <v/>
      </c>
      <c r="J4516" s="11" t="str">
        <f aca="false">IF($A4516="","",IF($H4516="-","유지",IF($I4516="첫 건","유지","확인 필요")))</f>
        <v/>
      </c>
    </row>
    <row r="4517" customFormat="false" ht="15" hidden="false" customHeight="true" outlineLevel="0" collapsed="false">
      <c r="A4517" s="11" t="str">
        <f aca="false">IF(원본명단!$A4516="","",4514)</f>
        <v/>
      </c>
      <c r="B4517" s="12" t="str">
        <f aca="false">IF($A4517="","",원본명단!$A4516)</f>
        <v/>
      </c>
      <c r="C4517" s="12" t="str">
        <f aca="false">IF($A4517="","",원본명단!$B4516)</f>
        <v/>
      </c>
      <c r="D4517" s="12" t="str">
        <f aca="false">IF($A4517="","",원본명단!$D4516)</f>
        <v/>
      </c>
      <c r="E4517" s="11" t="str">
        <f aca="false">IF($A4517="","",IF(원본명단!$H4516="",0,COUNTIF(원본명단!$H$3:$H$6002,원본명단!$H4516)))</f>
        <v/>
      </c>
      <c r="F4517" s="11" t="str">
        <f aca="false">IF($A4517="","",IF(원본명단!$I4516="",0,COUNTIF(원본명단!$I$3:$I$6002,원본명단!$I4516)))</f>
        <v/>
      </c>
      <c r="G4517" s="11" t="str">
        <f aca="false">IF($A4517="","",IF(원본명단!$K4516="",0,COUNTIF(원본명단!$K$3:$K$6002,원본명단!$K4516)))</f>
        <v/>
      </c>
      <c r="H4517" s="11" t="str">
        <f aca="false">IF($A4517="","",IF(MAX($E4517,$F4517,$G4517)&gt;1,"중복","-"))</f>
        <v/>
      </c>
      <c r="I4517" s="11" t="str">
        <f aca="false">IF($A4517="","",IF($H4517="-","-",IF(AND(IF(원본명단!$H4516="",TRUE(),COUNTIF(원본명단!$H$3:$H4516,원본명단!$H4516)=1),IF(원본명단!$I4516="",TRUE(),COUNTIF(원본명단!$I$3:$I4516,원본명단!$I4516)=1),IF(원본명단!$K4516="",TRUE(),COUNTIF(원본명단!$K$3:$K4516,원본명단!$K4516)=1)),"첫 건","중복 건")))</f>
        <v/>
      </c>
      <c r="J4517" s="11" t="str">
        <f aca="false">IF($A4517="","",IF($H4517="-","유지",IF($I4517="첫 건","유지","확인 필요")))</f>
        <v/>
      </c>
    </row>
    <row r="4518" customFormat="false" ht="15" hidden="false" customHeight="true" outlineLevel="0" collapsed="false">
      <c r="A4518" s="11" t="str">
        <f aca="false">IF(원본명단!$A4517="","",4515)</f>
        <v/>
      </c>
      <c r="B4518" s="12" t="str">
        <f aca="false">IF($A4518="","",원본명단!$A4517)</f>
        <v/>
      </c>
      <c r="C4518" s="12" t="str">
        <f aca="false">IF($A4518="","",원본명단!$B4517)</f>
        <v/>
      </c>
      <c r="D4518" s="12" t="str">
        <f aca="false">IF($A4518="","",원본명단!$D4517)</f>
        <v/>
      </c>
      <c r="E4518" s="11" t="str">
        <f aca="false">IF($A4518="","",IF(원본명단!$H4517="",0,COUNTIF(원본명단!$H$3:$H$6002,원본명단!$H4517)))</f>
        <v/>
      </c>
      <c r="F4518" s="11" t="str">
        <f aca="false">IF($A4518="","",IF(원본명단!$I4517="",0,COUNTIF(원본명단!$I$3:$I$6002,원본명단!$I4517)))</f>
        <v/>
      </c>
      <c r="G4518" s="11" t="str">
        <f aca="false">IF($A4518="","",IF(원본명단!$K4517="",0,COUNTIF(원본명단!$K$3:$K$6002,원본명단!$K4517)))</f>
        <v/>
      </c>
      <c r="H4518" s="11" t="str">
        <f aca="false">IF($A4518="","",IF(MAX($E4518,$F4518,$G4518)&gt;1,"중복","-"))</f>
        <v/>
      </c>
      <c r="I4518" s="11" t="str">
        <f aca="false">IF($A4518="","",IF($H4518="-","-",IF(AND(IF(원본명단!$H4517="",TRUE(),COUNTIF(원본명단!$H$3:$H4517,원본명단!$H4517)=1),IF(원본명단!$I4517="",TRUE(),COUNTIF(원본명단!$I$3:$I4517,원본명단!$I4517)=1),IF(원본명단!$K4517="",TRUE(),COUNTIF(원본명단!$K$3:$K4517,원본명단!$K4517)=1)),"첫 건","중복 건")))</f>
        <v/>
      </c>
      <c r="J4518" s="11" t="str">
        <f aca="false">IF($A4518="","",IF($H4518="-","유지",IF($I4518="첫 건","유지","확인 필요")))</f>
        <v/>
      </c>
    </row>
    <row r="4519" customFormat="false" ht="15" hidden="false" customHeight="true" outlineLevel="0" collapsed="false">
      <c r="A4519" s="11" t="str">
        <f aca="false">IF(원본명단!$A4518="","",4516)</f>
        <v/>
      </c>
      <c r="B4519" s="12" t="str">
        <f aca="false">IF($A4519="","",원본명단!$A4518)</f>
        <v/>
      </c>
      <c r="C4519" s="12" t="str">
        <f aca="false">IF($A4519="","",원본명단!$B4518)</f>
        <v/>
      </c>
      <c r="D4519" s="12" t="str">
        <f aca="false">IF($A4519="","",원본명단!$D4518)</f>
        <v/>
      </c>
      <c r="E4519" s="11" t="str">
        <f aca="false">IF($A4519="","",IF(원본명단!$H4518="",0,COUNTIF(원본명단!$H$3:$H$6002,원본명단!$H4518)))</f>
        <v/>
      </c>
      <c r="F4519" s="11" t="str">
        <f aca="false">IF($A4519="","",IF(원본명단!$I4518="",0,COUNTIF(원본명단!$I$3:$I$6002,원본명단!$I4518)))</f>
        <v/>
      </c>
      <c r="G4519" s="11" t="str">
        <f aca="false">IF($A4519="","",IF(원본명단!$K4518="",0,COUNTIF(원본명단!$K$3:$K$6002,원본명단!$K4518)))</f>
        <v/>
      </c>
      <c r="H4519" s="11" t="str">
        <f aca="false">IF($A4519="","",IF(MAX($E4519,$F4519,$G4519)&gt;1,"중복","-"))</f>
        <v/>
      </c>
      <c r="I4519" s="11" t="str">
        <f aca="false">IF($A4519="","",IF($H4519="-","-",IF(AND(IF(원본명단!$H4518="",TRUE(),COUNTIF(원본명단!$H$3:$H4518,원본명단!$H4518)=1),IF(원본명단!$I4518="",TRUE(),COUNTIF(원본명단!$I$3:$I4518,원본명단!$I4518)=1),IF(원본명단!$K4518="",TRUE(),COUNTIF(원본명단!$K$3:$K4518,원본명단!$K4518)=1)),"첫 건","중복 건")))</f>
        <v/>
      </c>
      <c r="J4519" s="11" t="str">
        <f aca="false">IF($A4519="","",IF($H4519="-","유지",IF($I4519="첫 건","유지","확인 필요")))</f>
        <v/>
      </c>
    </row>
    <row r="4520" customFormat="false" ht="15" hidden="false" customHeight="true" outlineLevel="0" collapsed="false">
      <c r="A4520" s="11" t="str">
        <f aca="false">IF(원본명단!$A4519="","",4517)</f>
        <v/>
      </c>
      <c r="B4520" s="12" t="str">
        <f aca="false">IF($A4520="","",원본명단!$A4519)</f>
        <v/>
      </c>
      <c r="C4520" s="12" t="str">
        <f aca="false">IF($A4520="","",원본명단!$B4519)</f>
        <v/>
      </c>
      <c r="D4520" s="12" t="str">
        <f aca="false">IF($A4520="","",원본명단!$D4519)</f>
        <v/>
      </c>
      <c r="E4520" s="11" t="str">
        <f aca="false">IF($A4520="","",IF(원본명단!$H4519="",0,COUNTIF(원본명단!$H$3:$H$6002,원본명단!$H4519)))</f>
        <v/>
      </c>
      <c r="F4520" s="11" t="str">
        <f aca="false">IF($A4520="","",IF(원본명단!$I4519="",0,COUNTIF(원본명단!$I$3:$I$6002,원본명단!$I4519)))</f>
        <v/>
      </c>
      <c r="G4520" s="11" t="str">
        <f aca="false">IF($A4520="","",IF(원본명단!$K4519="",0,COUNTIF(원본명단!$K$3:$K$6002,원본명단!$K4519)))</f>
        <v/>
      </c>
      <c r="H4520" s="11" t="str">
        <f aca="false">IF($A4520="","",IF(MAX($E4520,$F4520,$G4520)&gt;1,"중복","-"))</f>
        <v/>
      </c>
      <c r="I4520" s="11" t="str">
        <f aca="false">IF($A4520="","",IF($H4520="-","-",IF(AND(IF(원본명단!$H4519="",TRUE(),COUNTIF(원본명단!$H$3:$H4519,원본명단!$H4519)=1),IF(원본명단!$I4519="",TRUE(),COUNTIF(원본명단!$I$3:$I4519,원본명단!$I4519)=1),IF(원본명단!$K4519="",TRUE(),COUNTIF(원본명단!$K$3:$K4519,원본명단!$K4519)=1)),"첫 건","중복 건")))</f>
        <v/>
      </c>
      <c r="J4520" s="11" t="str">
        <f aca="false">IF($A4520="","",IF($H4520="-","유지",IF($I4520="첫 건","유지","확인 필요")))</f>
        <v/>
      </c>
    </row>
    <row r="4521" customFormat="false" ht="15" hidden="false" customHeight="true" outlineLevel="0" collapsed="false">
      <c r="A4521" s="11" t="str">
        <f aca="false">IF(원본명단!$A4520="","",4518)</f>
        <v/>
      </c>
      <c r="B4521" s="12" t="str">
        <f aca="false">IF($A4521="","",원본명단!$A4520)</f>
        <v/>
      </c>
      <c r="C4521" s="12" t="str">
        <f aca="false">IF($A4521="","",원본명단!$B4520)</f>
        <v/>
      </c>
      <c r="D4521" s="12" t="str">
        <f aca="false">IF($A4521="","",원본명단!$D4520)</f>
        <v/>
      </c>
      <c r="E4521" s="11" t="str">
        <f aca="false">IF($A4521="","",IF(원본명단!$H4520="",0,COUNTIF(원본명단!$H$3:$H$6002,원본명단!$H4520)))</f>
        <v/>
      </c>
      <c r="F4521" s="11" t="str">
        <f aca="false">IF($A4521="","",IF(원본명단!$I4520="",0,COUNTIF(원본명단!$I$3:$I$6002,원본명단!$I4520)))</f>
        <v/>
      </c>
      <c r="G4521" s="11" t="str">
        <f aca="false">IF($A4521="","",IF(원본명단!$K4520="",0,COUNTIF(원본명단!$K$3:$K$6002,원본명단!$K4520)))</f>
        <v/>
      </c>
      <c r="H4521" s="11" t="str">
        <f aca="false">IF($A4521="","",IF(MAX($E4521,$F4521,$G4521)&gt;1,"중복","-"))</f>
        <v/>
      </c>
      <c r="I4521" s="11" t="str">
        <f aca="false">IF($A4521="","",IF($H4521="-","-",IF(AND(IF(원본명단!$H4520="",TRUE(),COUNTIF(원본명단!$H$3:$H4520,원본명단!$H4520)=1),IF(원본명단!$I4520="",TRUE(),COUNTIF(원본명단!$I$3:$I4520,원본명단!$I4520)=1),IF(원본명단!$K4520="",TRUE(),COUNTIF(원본명단!$K$3:$K4520,원본명단!$K4520)=1)),"첫 건","중복 건")))</f>
        <v/>
      </c>
      <c r="J4521" s="11" t="str">
        <f aca="false">IF($A4521="","",IF($H4521="-","유지",IF($I4521="첫 건","유지","확인 필요")))</f>
        <v/>
      </c>
    </row>
    <row r="4522" customFormat="false" ht="15" hidden="false" customHeight="true" outlineLevel="0" collapsed="false">
      <c r="A4522" s="11" t="str">
        <f aca="false">IF(원본명단!$A4521="","",4519)</f>
        <v/>
      </c>
      <c r="B4522" s="12" t="str">
        <f aca="false">IF($A4522="","",원본명단!$A4521)</f>
        <v/>
      </c>
      <c r="C4522" s="12" t="str">
        <f aca="false">IF($A4522="","",원본명단!$B4521)</f>
        <v/>
      </c>
      <c r="D4522" s="12" t="str">
        <f aca="false">IF($A4522="","",원본명단!$D4521)</f>
        <v/>
      </c>
      <c r="E4522" s="11" t="str">
        <f aca="false">IF($A4522="","",IF(원본명단!$H4521="",0,COUNTIF(원본명단!$H$3:$H$6002,원본명단!$H4521)))</f>
        <v/>
      </c>
      <c r="F4522" s="11" t="str">
        <f aca="false">IF($A4522="","",IF(원본명단!$I4521="",0,COUNTIF(원본명단!$I$3:$I$6002,원본명단!$I4521)))</f>
        <v/>
      </c>
      <c r="G4522" s="11" t="str">
        <f aca="false">IF($A4522="","",IF(원본명단!$K4521="",0,COUNTIF(원본명단!$K$3:$K$6002,원본명단!$K4521)))</f>
        <v/>
      </c>
      <c r="H4522" s="11" t="str">
        <f aca="false">IF($A4522="","",IF(MAX($E4522,$F4522,$G4522)&gt;1,"중복","-"))</f>
        <v/>
      </c>
      <c r="I4522" s="11" t="str">
        <f aca="false">IF($A4522="","",IF($H4522="-","-",IF(AND(IF(원본명단!$H4521="",TRUE(),COUNTIF(원본명단!$H$3:$H4521,원본명단!$H4521)=1),IF(원본명단!$I4521="",TRUE(),COUNTIF(원본명단!$I$3:$I4521,원본명단!$I4521)=1),IF(원본명단!$K4521="",TRUE(),COUNTIF(원본명단!$K$3:$K4521,원본명단!$K4521)=1)),"첫 건","중복 건")))</f>
        <v/>
      </c>
      <c r="J4522" s="11" t="str">
        <f aca="false">IF($A4522="","",IF($H4522="-","유지",IF($I4522="첫 건","유지","확인 필요")))</f>
        <v/>
      </c>
    </row>
    <row r="4523" customFormat="false" ht="15" hidden="false" customHeight="true" outlineLevel="0" collapsed="false">
      <c r="A4523" s="11" t="str">
        <f aca="false">IF(원본명단!$A4522="","",4520)</f>
        <v/>
      </c>
      <c r="B4523" s="12" t="str">
        <f aca="false">IF($A4523="","",원본명단!$A4522)</f>
        <v/>
      </c>
      <c r="C4523" s="12" t="str">
        <f aca="false">IF($A4523="","",원본명단!$B4522)</f>
        <v/>
      </c>
      <c r="D4523" s="12" t="str">
        <f aca="false">IF($A4523="","",원본명단!$D4522)</f>
        <v/>
      </c>
      <c r="E4523" s="11" t="str">
        <f aca="false">IF($A4523="","",IF(원본명단!$H4522="",0,COUNTIF(원본명단!$H$3:$H$6002,원본명단!$H4522)))</f>
        <v/>
      </c>
      <c r="F4523" s="11" t="str">
        <f aca="false">IF($A4523="","",IF(원본명단!$I4522="",0,COUNTIF(원본명단!$I$3:$I$6002,원본명단!$I4522)))</f>
        <v/>
      </c>
      <c r="G4523" s="11" t="str">
        <f aca="false">IF($A4523="","",IF(원본명단!$K4522="",0,COUNTIF(원본명단!$K$3:$K$6002,원본명단!$K4522)))</f>
        <v/>
      </c>
      <c r="H4523" s="11" t="str">
        <f aca="false">IF($A4523="","",IF(MAX($E4523,$F4523,$G4523)&gt;1,"중복","-"))</f>
        <v/>
      </c>
      <c r="I4523" s="11" t="str">
        <f aca="false">IF($A4523="","",IF($H4523="-","-",IF(AND(IF(원본명단!$H4522="",TRUE(),COUNTIF(원본명단!$H$3:$H4522,원본명단!$H4522)=1),IF(원본명단!$I4522="",TRUE(),COUNTIF(원본명단!$I$3:$I4522,원본명단!$I4522)=1),IF(원본명단!$K4522="",TRUE(),COUNTIF(원본명단!$K$3:$K4522,원본명단!$K4522)=1)),"첫 건","중복 건")))</f>
        <v/>
      </c>
      <c r="J4523" s="11" t="str">
        <f aca="false">IF($A4523="","",IF($H4523="-","유지",IF($I4523="첫 건","유지","확인 필요")))</f>
        <v/>
      </c>
    </row>
    <row r="4524" customFormat="false" ht="15" hidden="false" customHeight="true" outlineLevel="0" collapsed="false">
      <c r="A4524" s="11" t="str">
        <f aca="false">IF(원본명단!$A4523="","",4521)</f>
        <v/>
      </c>
      <c r="B4524" s="12" t="str">
        <f aca="false">IF($A4524="","",원본명단!$A4523)</f>
        <v/>
      </c>
      <c r="C4524" s="12" t="str">
        <f aca="false">IF($A4524="","",원본명단!$B4523)</f>
        <v/>
      </c>
      <c r="D4524" s="12" t="str">
        <f aca="false">IF($A4524="","",원본명단!$D4523)</f>
        <v/>
      </c>
      <c r="E4524" s="11" t="str">
        <f aca="false">IF($A4524="","",IF(원본명단!$H4523="",0,COUNTIF(원본명단!$H$3:$H$6002,원본명단!$H4523)))</f>
        <v/>
      </c>
      <c r="F4524" s="11" t="str">
        <f aca="false">IF($A4524="","",IF(원본명단!$I4523="",0,COUNTIF(원본명단!$I$3:$I$6002,원본명단!$I4523)))</f>
        <v/>
      </c>
      <c r="G4524" s="11" t="str">
        <f aca="false">IF($A4524="","",IF(원본명단!$K4523="",0,COUNTIF(원본명단!$K$3:$K$6002,원본명단!$K4523)))</f>
        <v/>
      </c>
      <c r="H4524" s="11" t="str">
        <f aca="false">IF($A4524="","",IF(MAX($E4524,$F4524,$G4524)&gt;1,"중복","-"))</f>
        <v/>
      </c>
      <c r="I4524" s="11" t="str">
        <f aca="false">IF($A4524="","",IF($H4524="-","-",IF(AND(IF(원본명단!$H4523="",TRUE(),COUNTIF(원본명단!$H$3:$H4523,원본명단!$H4523)=1),IF(원본명단!$I4523="",TRUE(),COUNTIF(원본명단!$I$3:$I4523,원본명단!$I4523)=1),IF(원본명단!$K4523="",TRUE(),COUNTIF(원본명단!$K$3:$K4523,원본명단!$K4523)=1)),"첫 건","중복 건")))</f>
        <v/>
      </c>
      <c r="J4524" s="11" t="str">
        <f aca="false">IF($A4524="","",IF($H4524="-","유지",IF($I4524="첫 건","유지","확인 필요")))</f>
        <v/>
      </c>
    </row>
    <row r="4525" customFormat="false" ht="15" hidden="false" customHeight="true" outlineLevel="0" collapsed="false">
      <c r="A4525" s="11" t="str">
        <f aca="false">IF(원본명단!$A4524="","",4522)</f>
        <v/>
      </c>
      <c r="B4525" s="12" t="str">
        <f aca="false">IF($A4525="","",원본명단!$A4524)</f>
        <v/>
      </c>
      <c r="C4525" s="12" t="str">
        <f aca="false">IF($A4525="","",원본명단!$B4524)</f>
        <v/>
      </c>
      <c r="D4525" s="12" t="str">
        <f aca="false">IF($A4525="","",원본명단!$D4524)</f>
        <v/>
      </c>
      <c r="E4525" s="11" t="str">
        <f aca="false">IF($A4525="","",IF(원본명단!$H4524="",0,COUNTIF(원본명단!$H$3:$H$6002,원본명단!$H4524)))</f>
        <v/>
      </c>
      <c r="F4525" s="11" t="str">
        <f aca="false">IF($A4525="","",IF(원본명단!$I4524="",0,COUNTIF(원본명단!$I$3:$I$6002,원본명단!$I4524)))</f>
        <v/>
      </c>
      <c r="G4525" s="11" t="str">
        <f aca="false">IF($A4525="","",IF(원본명단!$K4524="",0,COUNTIF(원본명단!$K$3:$K$6002,원본명단!$K4524)))</f>
        <v/>
      </c>
      <c r="H4525" s="11" t="str">
        <f aca="false">IF($A4525="","",IF(MAX($E4525,$F4525,$G4525)&gt;1,"중복","-"))</f>
        <v/>
      </c>
      <c r="I4525" s="11" t="str">
        <f aca="false">IF($A4525="","",IF($H4525="-","-",IF(AND(IF(원본명단!$H4524="",TRUE(),COUNTIF(원본명단!$H$3:$H4524,원본명단!$H4524)=1),IF(원본명단!$I4524="",TRUE(),COUNTIF(원본명단!$I$3:$I4524,원본명단!$I4524)=1),IF(원본명단!$K4524="",TRUE(),COUNTIF(원본명단!$K$3:$K4524,원본명단!$K4524)=1)),"첫 건","중복 건")))</f>
        <v/>
      </c>
      <c r="J4525" s="11" t="str">
        <f aca="false">IF($A4525="","",IF($H4525="-","유지",IF($I4525="첫 건","유지","확인 필요")))</f>
        <v/>
      </c>
    </row>
    <row r="4526" customFormat="false" ht="15" hidden="false" customHeight="true" outlineLevel="0" collapsed="false">
      <c r="A4526" s="11" t="str">
        <f aca="false">IF(원본명단!$A4525="","",4523)</f>
        <v/>
      </c>
      <c r="B4526" s="12" t="str">
        <f aca="false">IF($A4526="","",원본명단!$A4525)</f>
        <v/>
      </c>
      <c r="C4526" s="12" t="str">
        <f aca="false">IF($A4526="","",원본명단!$B4525)</f>
        <v/>
      </c>
      <c r="D4526" s="12" t="str">
        <f aca="false">IF($A4526="","",원본명단!$D4525)</f>
        <v/>
      </c>
      <c r="E4526" s="11" t="str">
        <f aca="false">IF($A4526="","",IF(원본명단!$H4525="",0,COUNTIF(원본명단!$H$3:$H$6002,원본명단!$H4525)))</f>
        <v/>
      </c>
      <c r="F4526" s="11" t="str">
        <f aca="false">IF($A4526="","",IF(원본명단!$I4525="",0,COUNTIF(원본명단!$I$3:$I$6002,원본명단!$I4525)))</f>
        <v/>
      </c>
      <c r="G4526" s="11" t="str">
        <f aca="false">IF($A4526="","",IF(원본명단!$K4525="",0,COUNTIF(원본명단!$K$3:$K$6002,원본명단!$K4525)))</f>
        <v/>
      </c>
      <c r="H4526" s="11" t="str">
        <f aca="false">IF($A4526="","",IF(MAX($E4526,$F4526,$G4526)&gt;1,"중복","-"))</f>
        <v/>
      </c>
      <c r="I4526" s="11" t="str">
        <f aca="false">IF($A4526="","",IF($H4526="-","-",IF(AND(IF(원본명단!$H4525="",TRUE(),COUNTIF(원본명단!$H$3:$H4525,원본명단!$H4525)=1),IF(원본명단!$I4525="",TRUE(),COUNTIF(원본명단!$I$3:$I4525,원본명단!$I4525)=1),IF(원본명단!$K4525="",TRUE(),COUNTIF(원본명단!$K$3:$K4525,원본명단!$K4525)=1)),"첫 건","중복 건")))</f>
        <v/>
      </c>
      <c r="J4526" s="11" t="str">
        <f aca="false">IF($A4526="","",IF($H4526="-","유지",IF($I4526="첫 건","유지","확인 필요")))</f>
        <v/>
      </c>
    </row>
    <row r="4527" customFormat="false" ht="15" hidden="false" customHeight="true" outlineLevel="0" collapsed="false">
      <c r="A4527" s="11" t="str">
        <f aca="false">IF(원본명단!$A4526="","",4524)</f>
        <v/>
      </c>
      <c r="B4527" s="12" t="str">
        <f aca="false">IF($A4527="","",원본명단!$A4526)</f>
        <v/>
      </c>
      <c r="C4527" s="12" t="str">
        <f aca="false">IF($A4527="","",원본명단!$B4526)</f>
        <v/>
      </c>
      <c r="D4527" s="12" t="str">
        <f aca="false">IF($A4527="","",원본명단!$D4526)</f>
        <v/>
      </c>
      <c r="E4527" s="11" t="str">
        <f aca="false">IF($A4527="","",IF(원본명단!$H4526="",0,COUNTIF(원본명단!$H$3:$H$6002,원본명단!$H4526)))</f>
        <v/>
      </c>
      <c r="F4527" s="11" t="str">
        <f aca="false">IF($A4527="","",IF(원본명단!$I4526="",0,COUNTIF(원본명단!$I$3:$I$6002,원본명단!$I4526)))</f>
        <v/>
      </c>
      <c r="G4527" s="11" t="str">
        <f aca="false">IF($A4527="","",IF(원본명단!$K4526="",0,COUNTIF(원본명단!$K$3:$K$6002,원본명단!$K4526)))</f>
        <v/>
      </c>
      <c r="H4527" s="11" t="str">
        <f aca="false">IF($A4527="","",IF(MAX($E4527,$F4527,$G4527)&gt;1,"중복","-"))</f>
        <v/>
      </c>
      <c r="I4527" s="11" t="str">
        <f aca="false">IF($A4527="","",IF($H4527="-","-",IF(AND(IF(원본명단!$H4526="",TRUE(),COUNTIF(원본명단!$H$3:$H4526,원본명단!$H4526)=1),IF(원본명단!$I4526="",TRUE(),COUNTIF(원본명단!$I$3:$I4526,원본명단!$I4526)=1),IF(원본명단!$K4526="",TRUE(),COUNTIF(원본명단!$K$3:$K4526,원본명단!$K4526)=1)),"첫 건","중복 건")))</f>
        <v/>
      </c>
      <c r="J4527" s="11" t="str">
        <f aca="false">IF($A4527="","",IF($H4527="-","유지",IF($I4527="첫 건","유지","확인 필요")))</f>
        <v/>
      </c>
    </row>
    <row r="4528" customFormat="false" ht="15" hidden="false" customHeight="true" outlineLevel="0" collapsed="false">
      <c r="A4528" s="11" t="str">
        <f aca="false">IF(원본명단!$A4527="","",4525)</f>
        <v/>
      </c>
      <c r="B4528" s="12" t="str">
        <f aca="false">IF($A4528="","",원본명단!$A4527)</f>
        <v/>
      </c>
      <c r="C4528" s="12" t="str">
        <f aca="false">IF($A4528="","",원본명단!$B4527)</f>
        <v/>
      </c>
      <c r="D4528" s="12" t="str">
        <f aca="false">IF($A4528="","",원본명단!$D4527)</f>
        <v/>
      </c>
      <c r="E4528" s="11" t="str">
        <f aca="false">IF($A4528="","",IF(원본명단!$H4527="",0,COUNTIF(원본명단!$H$3:$H$6002,원본명단!$H4527)))</f>
        <v/>
      </c>
      <c r="F4528" s="11" t="str">
        <f aca="false">IF($A4528="","",IF(원본명단!$I4527="",0,COUNTIF(원본명단!$I$3:$I$6002,원본명단!$I4527)))</f>
        <v/>
      </c>
      <c r="G4528" s="11" t="str">
        <f aca="false">IF($A4528="","",IF(원본명단!$K4527="",0,COUNTIF(원본명단!$K$3:$K$6002,원본명단!$K4527)))</f>
        <v/>
      </c>
      <c r="H4528" s="11" t="str">
        <f aca="false">IF($A4528="","",IF(MAX($E4528,$F4528,$G4528)&gt;1,"중복","-"))</f>
        <v/>
      </c>
      <c r="I4528" s="11" t="str">
        <f aca="false">IF($A4528="","",IF($H4528="-","-",IF(AND(IF(원본명단!$H4527="",TRUE(),COUNTIF(원본명단!$H$3:$H4527,원본명단!$H4527)=1),IF(원본명단!$I4527="",TRUE(),COUNTIF(원본명단!$I$3:$I4527,원본명단!$I4527)=1),IF(원본명단!$K4527="",TRUE(),COUNTIF(원본명단!$K$3:$K4527,원본명단!$K4527)=1)),"첫 건","중복 건")))</f>
        <v/>
      </c>
      <c r="J4528" s="11" t="str">
        <f aca="false">IF($A4528="","",IF($H4528="-","유지",IF($I4528="첫 건","유지","확인 필요")))</f>
        <v/>
      </c>
    </row>
    <row r="4529" customFormat="false" ht="15" hidden="false" customHeight="true" outlineLevel="0" collapsed="false">
      <c r="A4529" s="11" t="str">
        <f aca="false">IF(원본명단!$A4528="","",4526)</f>
        <v/>
      </c>
      <c r="B4529" s="12" t="str">
        <f aca="false">IF($A4529="","",원본명단!$A4528)</f>
        <v/>
      </c>
      <c r="C4529" s="12" t="str">
        <f aca="false">IF($A4529="","",원본명단!$B4528)</f>
        <v/>
      </c>
      <c r="D4529" s="12" t="str">
        <f aca="false">IF($A4529="","",원본명단!$D4528)</f>
        <v/>
      </c>
      <c r="E4529" s="11" t="str">
        <f aca="false">IF($A4529="","",IF(원본명단!$H4528="",0,COUNTIF(원본명단!$H$3:$H$6002,원본명단!$H4528)))</f>
        <v/>
      </c>
      <c r="F4529" s="11" t="str">
        <f aca="false">IF($A4529="","",IF(원본명단!$I4528="",0,COUNTIF(원본명단!$I$3:$I$6002,원본명단!$I4528)))</f>
        <v/>
      </c>
      <c r="G4529" s="11" t="str">
        <f aca="false">IF($A4529="","",IF(원본명단!$K4528="",0,COUNTIF(원본명단!$K$3:$K$6002,원본명단!$K4528)))</f>
        <v/>
      </c>
      <c r="H4529" s="11" t="str">
        <f aca="false">IF($A4529="","",IF(MAX($E4529,$F4529,$G4529)&gt;1,"중복","-"))</f>
        <v/>
      </c>
      <c r="I4529" s="11" t="str">
        <f aca="false">IF($A4529="","",IF($H4529="-","-",IF(AND(IF(원본명단!$H4528="",TRUE(),COUNTIF(원본명단!$H$3:$H4528,원본명단!$H4528)=1),IF(원본명단!$I4528="",TRUE(),COUNTIF(원본명단!$I$3:$I4528,원본명단!$I4528)=1),IF(원본명단!$K4528="",TRUE(),COUNTIF(원본명단!$K$3:$K4528,원본명단!$K4528)=1)),"첫 건","중복 건")))</f>
        <v/>
      </c>
      <c r="J4529" s="11" t="str">
        <f aca="false">IF($A4529="","",IF($H4529="-","유지",IF($I4529="첫 건","유지","확인 필요")))</f>
        <v/>
      </c>
    </row>
    <row r="4530" customFormat="false" ht="15" hidden="false" customHeight="true" outlineLevel="0" collapsed="false">
      <c r="A4530" s="11" t="str">
        <f aca="false">IF(원본명단!$A4529="","",4527)</f>
        <v/>
      </c>
      <c r="B4530" s="12" t="str">
        <f aca="false">IF($A4530="","",원본명단!$A4529)</f>
        <v/>
      </c>
      <c r="C4530" s="12" t="str">
        <f aca="false">IF($A4530="","",원본명단!$B4529)</f>
        <v/>
      </c>
      <c r="D4530" s="12" t="str">
        <f aca="false">IF($A4530="","",원본명단!$D4529)</f>
        <v/>
      </c>
      <c r="E4530" s="11" t="str">
        <f aca="false">IF($A4530="","",IF(원본명단!$H4529="",0,COUNTIF(원본명단!$H$3:$H$6002,원본명단!$H4529)))</f>
        <v/>
      </c>
      <c r="F4530" s="11" t="str">
        <f aca="false">IF($A4530="","",IF(원본명단!$I4529="",0,COUNTIF(원본명단!$I$3:$I$6002,원본명단!$I4529)))</f>
        <v/>
      </c>
      <c r="G4530" s="11" t="str">
        <f aca="false">IF($A4530="","",IF(원본명단!$K4529="",0,COUNTIF(원본명단!$K$3:$K$6002,원본명단!$K4529)))</f>
        <v/>
      </c>
      <c r="H4530" s="11" t="str">
        <f aca="false">IF($A4530="","",IF(MAX($E4530,$F4530,$G4530)&gt;1,"중복","-"))</f>
        <v/>
      </c>
      <c r="I4530" s="11" t="str">
        <f aca="false">IF($A4530="","",IF($H4530="-","-",IF(AND(IF(원본명단!$H4529="",TRUE(),COUNTIF(원본명단!$H$3:$H4529,원본명단!$H4529)=1),IF(원본명단!$I4529="",TRUE(),COUNTIF(원본명단!$I$3:$I4529,원본명단!$I4529)=1),IF(원본명단!$K4529="",TRUE(),COUNTIF(원본명단!$K$3:$K4529,원본명단!$K4529)=1)),"첫 건","중복 건")))</f>
        <v/>
      </c>
      <c r="J4530" s="11" t="str">
        <f aca="false">IF($A4530="","",IF($H4530="-","유지",IF($I4530="첫 건","유지","확인 필요")))</f>
        <v/>
      </c>
    </row>
    <row r="4531" customFormat="false" ht="15" hidden="false" customHeight="true" outlineLevel="0" collapsed="false">
      <c r="A4531" s="11" t="str">
        <f aca="false">IF(원본명단!$A4530="","",4528)</f>
        <v/>
      </c>
      <c r="B4531" s="12" t="str">
        <f aca="false">IF($A4531="","",원본명단!$A4530)</f>
        <v/>
      </c>
      <c r="C4531" s="12" t="str">
        <f aca="false">IF($A4531="","",원본명단!$B4530)</f>
        <v/>
      </c>
      <c r="D4531" s="12" t="str">
        <f aca="false">IF($A4531="","",원본명단!$D4530)</f>
        <v/>
      </c>
      <c r="E4531" s="11" t="str">
        <f aca="false">IF($A4531="","",IF(원본명단!$H4530="",0,COUNTIF(원본명단!$H$3:$H$6002,원본명단!$H4530)))</f>
        <v/>
      </c>
      <c r="F4531" s="11" t="str">
        <f aca="false">IF($A4531="","",IF(원본명단!$I4530="",0,COUNTIF(원본명단!$I$3:$I$6002,원본명단!$I4530)))</f>
        <v/>
      </c>
      <c r="G4531" s="11" t="str">
        <f aca="false">IF($A4531="","",IF(원본명단!$K4530="",0,COUNTIF(원본명단!$K$3:$K$6002,원본명단!$K4530)))</f>
        <v/>
      </c>
      <c r="H4531" s="11" t="str">
        <f aca="false">IF($A4531="","",IF(MAX($E4531,$F4531,$G4531)&gt;1,"중복","-"))</f>
        <v/>
      </c>
      <c r="I4531" s="11" t="str">
        <f aca="false">IF($A4531="","",IF($H4531="-","-",IF(AND(IF(원본명단!$H4530="",TRUE(),COUNTIF(원본명단!$H$3:$H4530,원본명단!$H4530)=1),IF(원본명단!$I4530="",TRUE(),COUNTIF(원본명단!$I$3:$I4530,원본명단!$I4530)=1),IF(원본명단!$K4530="",TRUE(),COUNTIF(원본명단!$K$3:$K4530,원본명단!$K4530)=1)),"첫 건","중복 건")))</f>
        <v/>
      </c>
      <c r="J4531" s="11" t="str">
        <f aca="false">IF($A4531="","",IF($H4531="-","유지",IF($I4531="첫 건","유지","확인 필요")))</f>
        <v/>
      </c>
    </row>
    <row r="4532" customFormat="false" ht="15" hidden="false" customHeight="true" outlineLevel="0" collapsed="false">
      <c r="A4532" s="11" t="str">
        <f aca="false">IF(원본명단!$A4531="","",4529)</f>
        <v/>
      </c>
      <c r="B4532" s="12" t="str">
        <f aca="false">IF($A4532="","",원본명단!$A4531)</f>
        <v/>
      </c>
      <c r="C4532" s="12" t="str">
        <f aca="false">IF($A4532="","",원본명단!$B4531)</f>
        <v/>
      </c>
      <c r="D4532" s="12" t="str">
        <f aca="false">IF($A4532="","",원본명단!$D4531)</f>
        <v/>
      </c>
      <c r="E4532" s="11" t="str">
        <f aca="false">IF($A4532="","",IF(원본명단!$H4531="",0,COUNTIF(원본명단!$H$3:$H$6002,원본명단!$H4531)))</f>
        <v/>
      </c>
      <c r="F4532" s="11" t="str">
        <f aca="false">IF($A4532="","",IF(원본명단!$I4531="",0,COUNTIF(원본명단!$I$3:$I$6002,원본명단!$I4531)))</f>
        <v/>
      </c>
      <c r="G4532" s="11" t="str">
        <f aca="false">IF($A4532="","",IF(원본명단!$K4531="",0,COUNTIF(원본명단!$K$3:$K$6002,원본명단!$K4531)))</f>
        <v/>
      </c>
      <c r="H4532" s="11" t="str">
        <f aca="false">IF($A4532="","",IF(MAX($E4532,$F4532,$G4532)&gt;1,"중복","-"))</f>
        <v/>
      </c>
      <c r="I4532" s="11" t="str">
        <f aca="false">IF($A4532="","",IF($H4532="-","-",IF(AND(IF(원본명단!$H4531="",TRUE(),COUNTIF(원본명단!$H$3:$H4531,원본명단!$H4531)=1),IF(원본명단!$I4531="",TRUE(),COUNTIF(원본명단!$I$3:$I4531,원본명단!$I4531)=1),IF(원본명단!$K4531="",TRUE(),COUNTIF(원본명단!$K$3:$K4531,원본명단!$K4531)=1)),"첫 건","중복 건")))</f>
        <v/>
      </c>
      <c r="J4532" s="11" t="str">
        <f aca="false">IF($A4532="","",IF($H4532="-","유지",IF($I4532="첫 건","유지","확인 필요")))</f>
        <v/>
      </c>
    </row>
    <row r="4533" customFormat="false" ht="15" hidden="false" customHeight="true" outlineLevel="0" collapsed="false">
      <c r="A4533" s="11" t="str">
        <f aca="false">IF(원본명단!$A4532="","",4530)</f>
        <v/>
      </c>
      <c r="B4533" s="12" t="str">
        <f aca="false">IF($A4533="","",원본명단!$A4532)</f>
        <v/>
      </c>
      <c r="C4533" s="12" t="str">
        <f aca="false">IF($A4533="","",원본명단!$B4532)</f>
        <v/>
      </c>
      <c r="D4533" s="12" t="str">
        <f aca="false">IF($A4533="","",원본명단!$D4532)</f>
        <v/>
      </c>
      <c r="E4533" s="11" t="str">
        <f aca="false">IF($A4533="","",IF(원본명단!$H4532="",0,COUNTIF(원본명단!$H$3:$H$6002,원본명단!$H4532)))</f>
        <v/>
      </c>
      <c r="F4533" s="11" t="str">
        <f aca="false">IF($A4533="","",IF(원본명단!$I4532="",0,COUNTIF(원본명단!$I$3:$I$6002,원본명단!$I4532)))</f>
        <v/>
      </c>
      <c r="G4533" s="11" t="str">
        <f aca="false">IF($A4533="","",IF(원본명단!$K4532="",0,COUNTIF(원본명단!$K$3:$K$6002,원본명단!$K4532)))</f>
        <v/>
      </c>
      <c r="H4533" s="11" t="str">
        <f aca="false">IF($A4533="","",IF(MAX($E4533,$F4533,$G4533)&gt;1,"중복","-"))</f>
        <v/>
      </c>
      <c r="I4533" s="11" t="str">
        <f aca="false">IF($A4533="","",IF($H4533="-","-",IF(AND(IF(원본명단!$H4532="",TRUE(),COUNTIF(원본명단!$H$3:$H4532,원본명단!$H4532)=1),IF(원본명단!$I4532="",TRUE(),COUNTIF(원본명단!$I$3:$I4532,원본명단!$I4532)=1),IF(원본명단!$K4532="",TRUE(),COUNTIF(원본명단!$K$3:$K4532,원본명단!$K4532)=1)),"첫 건","중복 건")))</f>
        <v/>
      </c>
      <c r="J4533" s="11" t="str">
        <f aca="false">IF($A4533="","",IF($H4533="-","유지",IF($I4533="첫 건","유지","확인 필요")))</f>
        <v/>
      </c>
    </row>
    <row r="4534" customFormat="false" ht="15" hidden="false" customHeight="true" outlineLevel="0" collapsed="false">
      <c r="A4534" s="11" t="str">
        <f aca="false">IF(원본명단!$A4533="","",4531)</f>
        <v/>
      </c>
      <c r="B4534" s="12" t="str">
        <f aca="false">IF($A4534="","",원본명단!$A4533)</f>
        <v/>
      </c>
      <c r="C4534" s="12" t="str">
        <f aca="false">IF($A4534="","",원본명단!$B4533)</f>
        <v/>
      </c>
      <c r="D4534" s="12" t="str">
        <f aca="false">IF($A4534="","",원본명단!$D4533)</f>
        <v/>
      </c>
      <c r="E4534" s="11" t="str">
        <f aca="false">IF($A4534="","",IF(원본명단!$H4533="",0,COUNTIF(원본명단!$H$3:$H$6002,원본명단!$H4533)))</f>
        <v/>
      </c>
      <c r="F4534" s="11" t="str">
        <f aca="false">IF($A4534="","",IF(원본명단!$I4533="",0,COUNTIF(원본명단!$I$3:$I$6002,원본명단!$I4533)))</f>
        <v/>
      </c>
      <c r="G4534" s="11" t="str">
        <f aca="false">IF($A4534="","",IF(원본명단!$K4533="",0,COUNTIF(원본명단!$K$3:$K$6002,원본명단!$K4533)))</f>
        <v/>
      </c>
      <c r="H4534" s="11" t="str">
        <f aca="false">IF($A4534="","",IF(MAX($E4534,$F4534,$G4534)&gt;1,"중복","-"))</f>
        <v/>
      </c>
      <c r="I4534" s="11" t="str">
        <f aca="false">IF($A4534="","",IF($H4534="-","-",IF(AND(IF(원본명단!$H4533="",TRUE(),COUNTIF(원본명단!$H$3:$H4533,원본명단!$H4533)=1),IF(원본명단!$I4533="",TRUE(),COUNTIF(원본명단!$I$3:$I4533,원본명단!$I4533)=1),IF(원본명단!$K4533="",TRUE(),COUNTIF(원본명단!$K$3:$K4533,원본명단!$K4533)=1)),"첫 건","중복 건")))</f>
        <v/>
      </c>
      <c r="J4534" s="11" t="str">
        <f aca="false">IF($A4534="","",IF($H4534="-","유지",IF($I4534="첫 건","유지","확인 필요")))</f>
        <v/>
      </c>
    </row>
    <row r="4535" customFormat="false" ht="15" hidden="false" customHeight="true" outlineLevel="0" collapsed="false">
      <c r="A4535" s="11" t="str">
        <f aca="false">IF(원본명단!$A4534="","",4532)</f>
        <v/>
      </c>
      <c r="B4535" s="12" t="str">
        <f aca="false">IF($A4535="","",원본명단!$A4534)</f>
        <v/>
      </c>
      <c r="C4535" s="12" t="str">
        <f aca="false">IF($A4535="","",원본명단!$B4534)</f>
        <v/>
      </c>
      <c r="D4535" s="12" t="str">
        <f aca="false">IF($A4535="","",원본명단!$D4534)</f>
        <v/>
      </c>
      <c r="E4535" s="11" t="str">
        <f aca="false">IF($A4535="","",IF(원본명단!$H4534="",0,COUNTIF(원본명단!$H$3:$H$6002,원본명단!$H4534)))</f>
        <v/>
      </c>
      <c r="F4535" s="11" t="str">
        <f aca="false">IF($A4535="","",IF(원본명단!$I4534="",0,COUNTIF(원본명단!$I$3:$I$6002,원본명단!$I4534)))</f>
        <v/>
      </c>
      <c r="G4535" s="11" t="str">
        <f aca="false">IF($A4535="","",IF(원본명단!$K4534="",0,COUNTIF(원본명단!$K$3:$K$6002,원본명단!$K4534)))</f>
        <v/>
      </c>
      <c r="H4535" s="11" t="str">
        <f aca="false">IF($A4535="","",IF(MAX($E4535,$F4535,$G4535)&gt;1,"중복","-"))</f>
        <v/>
      </c>
      <c r="I4535" s="11" t="str">
        <f aca="false">IF($A4535="","",IF($H4535="-","-",IF(AND(IF(원본명단!$H4534="",TRUE(),COUNTIF(원본명단!$H$3:$H4534,원본명단!$H4534)=1),IF(원본명단!$I4534="",TRUE(),COUNTIF(원본명단!$I$3:$I4534,원본명단!$I4534)=1),IF(원본명단!$K4534="",TRUE(),COUNTIF(원본명단!$K$3:$K4534,원본명단!$K4534)=1)),"첫 건","중복 건")))</f>
        <v/>
      </c>
      <c r="J4535" s="11" t="str">
        <f aca="false">IF($A4535="","",IF($H4535="-","유지",IF($I4535="첫 건","유지","확인 필요")))</f>
        <v/>
      </c>
    </row>
    <row r="4536" customFormat="false" ht="15" hidden="false" customHeight="true" outlineLevel="0" collapsed="false">
      <c r="A4536" s="11" t="str">
        <f aca="false">IF(원본명단!$A4535="","",4533)</f>
        <v/>
      </c>
      <c r="B4536" s="12" t="str">
        <f aca="false">IF($A4536="","",원본명단!$A4535)</f>
        <v/>
      </c>
      <c r="C4536" s="12" t="str">
        <f aca="false">IF($A4536="","",원본명단!$B4535)</f>
        <v/>
      </c>
      <c r="D4536" s="12" t="str">
        <f aca="false">IF($A4536="","",원본명단!$D4535)</f>
        <v/>
      </c>
      <c r="E4536" s="11" t="str">
        <f aca="false">IF($A4536="","",IF(원본명단!$H4535="",0,COUNTIF(원본명단!$H$3:$H$6002,원본명단!$H4535)))</f>
        <v/>
      </c>
      <c r="F4536" s="11" t="str">
        <f aca="false">IF($A4536="","",IF(원본명단!$I4535="",0,COUNTIF(원본명단!$I$3:$I$6002,원본명단!$I4535)))</f>
        <v/>
      </c>
      <c r="G4536" s="11" t="str">
        <f aca="false">IF($A4536="","",IF(원본명단!$K4535="",0,COUNTIF(원본명단!$K$3:$K$6002,원본명단!$K4535)))</f>
        <v/>
      </c>
      <c r="H4536" s="11" t="str">
        <f aca="false">IF($A4536="","",IF(MAX($E4536,$F4536,$G4536)&gt;1,"중복","-"))</f>
        <v/>
      </c>
      <c r="I4536" s="11" t="str">
        <f aca="false">IF($A4536="","",IF($H4536="-","-",IF(AND(IF(원본명단!$H4535="",TRUE(),COUNTIF(원본명단!$H$3:$H4535,원본명단!$H4535)=1),IF(원본명단!$I4535="",TRUE(),COUNTIF(원본명단!$I$3:$I4535,원본명단!$I4535)=1),IF(원본명단!$K4535="",TRUE(),COUNTIF(원본명단!$K$3:$K4535,원본명단!$K4535)=1)),"첫 건","중복 건")))</f>
        <v/>
      </c>
      <c r="J4536" s="11" t="str">
        <f aca="false">IF($A4536="","",IF($H4536="-","유지",IF($I4536="첫 건","유지","확인 필요")))</f>
        <v/>
      </c>
    </row>
    <row r="4537" customFormat="false" ht="15" hidden="false" customHeight="true" outlineLevel="0" collapsed="false">
      <c r="A4537" s="11" t="str">
        <f aca="false">IF(원본명단!$A4536="","",4534)</f>
        <v/>
      </c>
      <c r="B4537" s="12" t="str">
        <f aca="false">IF($A4537="","",원본명단!$A4536)</f>
        <v/>
      </c>
      <c r="C4537" s="12" t="str">
        <f aca="false">IF($A4537="","",원본명단!$B4536)</f>
        <v/>
      </c>
      <c r="D4537" s="12" t="str">
        <f aca="false">IF($A4537="","",원본명단!$D4536)</f>
        <v/>
      </c>
      <c r="E4537" s="11" t="str">
        <f aca="false">IF($A4537="","",IF(원본명단!$H4536="",0,COUNTIF(원본명단!$H$3:$H$6002,원본명단!$H4536)))</f>
        <v/>
      </c>
      <c r="F4537" s="11" t="str">
        <f aca="false">IF($A4537="","",IF(원본명단!$I4536="",0,COUNTIF(원본명단!$I$3:$I$6002,원본명단!$I4536)))</f>
        <v/>
      </c>
      <c r="G4537" s="11" t="str">
        <f aca="false">IF($A4537="","",IF(원본명단!$K4536="",0,COUNTIF(원본명단!$K$3:$K$6002,원본명단!$K4536)))</f>
        <v/>
      </c>
      <c r="H4537" s="11" t="str">
        <f aca="false">IF($A4537="","",IF(MAX($E4537,$F4537,$G4537)&gt;1,"중복","-"))</f>
        <v/>
      </c>
      <c r="I4537" s="11" t="str">
        <f aca="false">IF($A4537="","",IF($H4537="-","-",IF(AND(IF(원본명단!$H4536="",TRUE(),COUNTIF(원본명단!$H$3:$H4536,원본명단!$H4536)=1),IF(원본명단!$I4536="",TRUE(),COUNTIF(원본명단!$I$3:$I4536,원본명단!$I4536)=1),IF(원본명단!$K4536="",TRUE(),COUNTIF(원본명단!$K$3:$K4536,원본명단!$K4536)=1)),"첫 건","중복 건")))</f>
        <v/>
      </c>
      <c r="J4537" s="11" t="str">
        <f aca="false">IF($A4537="","",IF($H4537="-","유지",IF($I4537="첫 건","유지","확인 필요")))</f>
        <v/>
      </c>
    </row>
    <row r="4538" customFormat="false" ht="15" hidden="false" customHeight="true" outlineLevel="0" collapsed="false">
      <c r="A4538" s="11" t="str">
        <f aca="false">IF(원본명단!$A4537="","",4535)</f>
        <v/>
      </c>
      <c r="B4538" s="12" t="str">
        <f aca="false">IF($A4538="","",원본명단!$A4537)</f>
        <v/>
      </c>
      <c r="C4538" s="12" t="str">
        <f aca="false">IF($A4538="","",원본명단!$B4537)</f>
        <v/>
      </c>
      <c r="D4538" s="12" t="str">
        <f aca="false">IF($A4538="","",원본명단!$D4537)</f>
        <v/>
      </c>
      <c r="E4538" s="11" t="str">
        <f aca="false">IF($A4538="","",IF(원본명단!$H4537="",0,COUNTIF(원본명단!$H$3:$H$6002,원본명단!$H4537)))</f>
        <v/>
      </c>
      <c r="F4538" s="11" t="str">
        <f aca="false">IF($A4538="","",IF(원본명단!$I4537="",0,COUNTIF(원본명단!$I$3:$I$6002,원본명단!$I4537)))</f>
        <v/>
      </c>
      <c r="G4538" s="11" t="str">
        <f aca="false">IF($A4538="","",IF(원본명단!$K4537="",0,COUNTIF(원본명단!$K$3:$K$6002,원본명단!$K4537)))</f>
        <v/>
      </c>
      <c r="H4538" s="11" t="str">
        <f aca="false">IF($A4538="","",IF(MAX($E4538,$F4538,$G4538)&gt;1,"중복","-"))</f>
        <v/>
      </c>
      <c r="I4538" s="11" t="str">
        <f aca="false">IF($A4538="","",IF($H4538="-","-",IF(AND(IF(원본명단!$H4537="",TRUE(),COUNTIF(원본명단!$H$3:$H4537,원본명단!$H4537)=1),IF(원본명단!$I4537="",TRUE(),COUNTIF(원본명단!$I$3:$I4537,원본명단!$I4537)=1),IF(원본명단!$K4537="",TRUE(),COUNTIF(원본명단!$K$3:$K4537,원본명단!$K4537)=1)),"첫 건","중복 건")))</f>
        <v/>
      </c>
      <c r="J4538" s="11" t="str">
        <f aca="false">IF($A4538="","",IF($H4538="-","유지",IF($I4538="첫 건","유지","확인 필요")))</f>
        <v/>
      </c>
    </row>
    <row r="4539" customFormat="false" ht="15" hidden="false" customHeight="true" outlineLevel="0" collapsed="false">
      <c r="A4539" s="11" t="str">
        <f aca="false">IF(원본명단!$A4538="","",4536)</f>
        <v/>
      </c>
      <c r="B4539" s="12" t="str">
        <f aca="false">IF($A4539="","",원본명단!$A4538)</f>
        <v/>
      </c>
      <c r="C4539" s="12" t="str">
        <f aca="false">IF($A4539="","",원본명단!$B4538)</f>
        <v/>
      </c>
      <c r="D4539" s="12" t="str">
        <f aca="false">IF($A4539="","",원본명단!$D4538)</f>
        <v/>
      </c>
      <c r="E4539" s="11" t="str">
        <f aca="false">IF($A4539="","",IF(원본명단!$H4538="",0,COUNTIF(원본명단!$H$3:$H$6002,원본명단!$H4538)))</f>
        <v/>
      </c>
      <c r="F4539" s="11" t="str">
        <f aca="false">IF($A4539="","",IF(원본명단!$I4538="",0,COUNTIF(원본명단!$I$3:$I$6002,원본명단!$I4538)))</f>
        <v/>
      </c>
      <c r="G4539" s="11" t="str">
        <f aca="false">IF($A4539="","",IF(원본명단!$K4538="",0,COUNTIF(원본명단!$K$3:$K$6002,원본명단!$K4538)))</f>
        <v/>
      </c>
      <c r="H4539" s="11" t="str">
        <f aca="false">IF($A4539="","",IF(MAX($E4539,$F4539,$G4539)&gt;1,"중복","-"))</f>
        <v/>
      </c>
      <c r="I4539" s="11" t="str">
        <f aca="false">IF($A4539="","",IF($H4539="-","-",IF(AND(IF(원본명단!$H4538="",TRUE(),COUNTIF(원본명단!$H$3:$H4538,원본명단!$H4538)=1),IF(원본명단!$I4538="",TRUE(),COUNTIF(원본명단!$I$3:$I4538,원본명단!$I4538)=1),IF(원본명단!$K4538="",TRUE(),COUNTIF(원본명단!$K$3:$K4538,원본명단!$K4538)=1)),"첫 건","중복 건")))</f>
        <v/>
      </c>
      <c r="J4539" s="11" t="str">
        <f aca="false">IF($A4539="","",IF($H4539="-","유지",IF($I4539="첫 건","유지","확인 필요")))</f>
        <v/>
      </c>
    </row>
    <row r="4540" customFormat="false" ht="15" hidden="false" customHeight="true" outlineLevel="0" collapsed="false">
      <c r="A4540" s="11" t="str">
        <f aca="false">IF(원본명단!$A4539="","",4537)</f>
        <v/>
      </c>
      <c r="B4540" s="12" t="str">
        <f aca="false">IF($A4540="","",원본명단!$A4539)</f>
        <v/>
      </c>
      <c r="C4540" s="12" t="str">
        <f aca="false">IF($A4540="","",원본명단!$B4539)</f>
        <v/>
      </c>
      <c r="D4540" s="12" t="str">
        <f aca="false">IF($A4540="","",원본명단!$D4539)</f>
        <v/>
      </c>
      <c r="E4540" s="11" t="str">
        <f aca="false">IF($A4540="","",IF(원본명단!$H4539="",0,COUNTIF(원본명단!$H$3:$H$6002,원본명단!$H4539)))</f>
        <v/>
      </c>
      <c r="F4540" s="11" t="str">
        <f aca="false">IF($A4540="","",IF(원본명단!$I4539="",0,COUNTIF(원본명단!$I$3:$I$6002,원본명단!$I4539)))</f>
        <v/>
      </c>
      <c r="G4540" s="11" t="str">
        <f aca="false">IF($A4540="","",IF(원본명단!$K4539="",0,COUNTIF(원본명단!$K$3:$K$6002,원본명단!$K4539)))</f>
        <v/>
      </c>
      <c r="H4540" s="11" t="str">
        <f aca="false">IF($A4540="","",IF(MAX($E4540,$F4540,$G4540)&gt;1,"중복","-"))</f>
        <v/>
      </c>
      <c r="I4540" s="11" t="str">
        <f aca="false">IF($A4540="","",IF($H4540="-","-",IF(AND(IF(원본명단!$H4539="",TRUE(),COUNTIF(원본명단!$H$3:$H4539,원본명단!$H4539)=1),IF(원본명단!$I4539="",TRUE(),COUNTIF(원본명단!$I$3:$I4539,원본명단!$I4539)=1),IF(원본명단!$K4539="",TRUE(),COUNTIF(원본명단!$K$3:$K4539,원본명단!$K4539)=1)),"첫 건","중복 건")))</f>
        <v/>
      </c>
      <c r="J4540" s="11" t="str">
        <f aca="false">IF($A4540="","",IF($H4540="-","유지",IF($I4540="첫 건","유지","확인 필요")))</f>
        <v/>
      </c>
    </row>
    <row r="4541" customFormat="false" ht="15" hidden="false" customHeight="true" outlineLevel="0" collapsed="false">
      <c r="A4541" s="11" t="str">
        <f aca="false">IF(원본명단!$A4540="","",4538)</f>
        <v/>
      </c>
      <c r="B4541" s="12" t="str">
        <f aca="false">IF($A4541="","",원본명단!$A4540)</f>
        <v/>
      </c>
      <c r="C4541" s="12" t="str">
        <f aca="false">IF($A4541="","",원본명단!$B4540)</f>
        <v/>
      </c>
      <c r="D4541" s="12" t="str">
        <f aca="false">IF($A4541="","",원본명단!$D4540)</f>
        <v/>
      </c>
      <c r="E4541" s="11" t="str">
        <f aca="false">IF($A4541="","",IF(원본명단!$H4540="",0,COUNTIF(원본명단!$H$3:$H$6002,원본명단!$H4540)))</f>
        <v/>
      </c>
      <c r="F4541" s="11" t="str">
        <f aca="false">IF($A4541="","",IF(원본명단!$I4540="",0,COUNTIF(원본명단!$I$3:$I$6002,원본명단!$I4540)))</f>
        <v/>
      </c>
      <c r="G4541" s="11" t="str">
        <f aca="false">IF($A4541="","",IF(원본명단!$K4540="",0,COUNTIF(원본명단!$K$3:$K$6002,원본명단!$K4540)))</f>
        <v/>
      </c>
      <c r="H4541" s="11" t="str">
        <f aca="false">IF($A4541="","",IF(MAX($E4541,$F4541,$G4541)&gt;1,"중복","-"))</f>
        <v/>
      </c>
      <c r="I4541" s="11" t="str">
        <f aca="false">IF($A4541="","",IF($H4541="-","-",IF(AND(IF(원본명단!$H4540="",TRUE(),COUNTIF(원본명단!$H$3:$H4540,원본명단!$H4540)=1),IF(원본명단!$I4540="",TRUE(),COUNTIF(원본명단!$I$3:$I4540,원본명단!$I4540)=1),IF(원본명단!$K4540="",TRUE(),COUNTIF(원본명단!$K$3:$K4540,원본명단!$K4540)=1)),"첫 건","중복 건")))</f>
        <v/>
      </c>
      <c r="J4541" s="11" t="str">
        <f aca="false">IF($A4541="","",IF($H4541="-","유지",IF($I4541="첫 건","유지","확인 필요")))</f>
        <v/>
      </c>
    </row>
    <row r="4542" customFormat="false" ht="15" hidden="false" customHeight="true" outlineLevel="0" collapsed="false">
      <c r="A4542" s="11" t="str">
        <f aca="false">IF(원본명단!$A4541="","",4539)</f>
        <v/>
      </c>
      <c r="B4542" s="12" t="str">
        <f aca="false">IF($A4542="","",원본명단!$A4541)</f>
        <v/>
      </c>
      <c r="C4542" s="12" t="str">
        <f aca="false">IF($A4542="","",원본명단!$B4541)</f>
        <v/>
      </c>
      <c r="D4542" s="12" t="str">
        <f aca="false">IF($A4542="","",원본명단!$D4541)</f>
        <v/>
      </c>
      <c r="E4542" s="11" t="str">
        <f aca="false">IF($A4542="","",IF(원본명단!$H4541="",0,COUNTIF(원본명단!$H$3:$H$6002,원본명단!$H4541)))</f>
        <v/>
      </c>
      <c r="F4542" s="11" t="str">
        <f aca="false">IF($A4542="","",IF(원본명단!$I4541="",0,COUNTIF(원본명단!$I$3:$I$6002,원본명단!$I4541)))</f>
        <v/>
      </c>
      <c r="G4542" s="11" t="str">
        <f aca="false">IF($A4542="","",IF(원본명단!$K4541="",0,COUNTIF(원본명단!$K$3:$K$6002,원본명단!$K4541)))</f>
        <v/>
      </c>
      <c r="H4542" s="11" t="str">
        <f aca="false">IF($A4542="","",IF(MAX($E4542,$F4542,$G4542)&gt;1,"중복","-"))</f>
        <v/>
      </c>
      <c r="I4542" s="11" t="str">
        <f aca="false">IF($A4542="","",IF($H4542="-","-",IF(AND(IF(원본명단!$H4541="",TRUE(),COUNTIF(원본명단!$H$3:$H4541,원본명단!$H4541)=1),IF(원본명단!$I4541="",TRUE(),COUNTIF(원본명단!$I$3:$I4541,원본명단!$I4541)=1),IF(원본명단!$K4541="",TRUE(),COUNTIF(원본명단!$K$3:$K4541,원본명단!$K4541)=1)),"첫 건","중복 건")))</f>
        <v/>
      </c>
      <c r="J4542" s="11" t="str">
        <f aca="false">IF($A4542="","",IF($H4542="-","유지",IF($I4542="첫 건","유지","확인 필요")))</f>
        <v/>
      </c>
    </row>
    <row r="4543" customFormat="false" ht="15" hidden="false" customHeight="true" outlineLevel="0" collapsed="false">
      <c r="A4543" s="11" t="str">
        <f aca="false">IF(원본명단!$A4542="","",4540)</f>
        <v/>
      </c>
      <c r="B4543" s="12" t="str">
        <f aca="false">IF($A4543="","",원본명단!$A4542)</f>
        <v/>
      </c>
      <c r="C4543" s="12" t="str">
        <f aca="false">IF($A4543="","",원본명단!$B4542)</f>
        <v/>
      </c>
      <c r="D4543" s="12" t="str">
        <f aca="false">IF($A4543="","",원본명단!$D4542)</f>
        <v/>
      </c>
      <c r="E4543" s="11" t="str">
        <f aca="false">IF($A4543="","",IF(원본명단!$H4542="",0,COUNTIF(원본명단!$H$3:$H$6002,원본명단!$H4542)))</f>
        <v/>
      </c>
      <c r="F4543" s="11" t="str">
        <f aca="false">IF($A4543="","",IF(원본명단!$I4542="",0,COUNTIF(원본명단!$I$3:$I$6002,원본명단!$I4542)))</f>
        <v/>
      </c>
      <c r="G4543" s="11" t="str">
        <f aca="false">IF($A4543="","",IF(원본명단!$K4542="",0,COUNTIF(원본명단!$K$3:$K$6002,원본명단!$K4542)))</f>
        <v/>
      </c>
      <c r="H4543" s="11" t="str">
        <f aca="false">IF($A4543="","",IF(MAX($E4543,$F4543,$G4543)&gt;1,"중복","-"))</f>
        <v/>
      </c>
      <c r="I4543" s="11" t="str">
        <f aca="false">IF($A4543="","",IF($H4543="-","-",IF(AND(IF(원본명단!$H4542="",TRUE(),COUNTIF(원본명단!$H$3:$H4542,원본명단!$H4542)=1),IF(원본명단!$I4542="",TRUE(),COUNTIF(원본명단!$I$3:$I4542,원본명단!$I4542)=1),IF(원본명단!$K4542="",TRUE(),COUNTIF(원본명단!$K$3:$K4542,원본명단!$K4542)=1)),"첫 건","중복 건")))</f>
        <v/>
      </c>
      <c r="J4543" s="11" t="str">
        <f aca="false">IF($A4543="","",IF($H4543="-","유지",IF($I4543="첫 건","유지","확인 필요")))</f>
        <v/>
      </c>
    </row>
    <row r="4544" customFormat="false" ht="15" hidden="false" customHeight="true" outlineLevel="0" collapsed="false">
      <c r="A4544" s="11" t="str">
        <f aca="false">IF(원본명단!$A4543="","",4541)</f>
        <v/>
      </c>
      <c r="B4544" s="12" t="str">
        <f aca="false">IF($A4544="","",원본명단!$A4543)</f>
        <v/>
      </c>
      <c r="C4544" s="12" t="str">
        <f aca="false">IF($A4544="","",원본명단!$B4543)</f>
        <v/>
      </c>
      <c r="D4544" s="12" t="str">
        <f aca="false">IF($A4544="","",원본명단!$D4543)</f>
        <v/>
      </c>
      <c r="E4544" s="11" t="str">
        <f aca="false">IF($A4544="","",IF(원본명단!$H4543="",0,COUNTIF(원본명단!$H$3:$H$6002,원본명단!$H4543)))</f>
        <v/>
      </c>
      <c r="F4544" s="11" t="str">
        <f aca="false">IF($A4544="","",IF(원본명단!$I4543="",0,COUNTIF(원본명단!$I$3:$I$6002,원본명단!$I4543)))</f>
        <v/>
      </c>
      <c r="G4544" s="11" t="str">
        <f aca="false">IF($A4544="","",IF(원본명단!$K4543="",0,COUNTIF(원본명단!$K$3:$K$6002,원본명단!$K4543)))</f>
        <v/>
      </c>
      <c r="H4544" s="11" t="str">
        <f aca="false">IF($A4544="","",IF(MAX($E4544,$F4544,$G4544)&gt;1,"중복","-"))</f>
        <v/>
      </c>
      <c r="I4544" s="11" t="str">
        <f aca="false">IF($A4544="","",IF($H4544="-","-",IF(AND(IF(원본명단!$H4543="",TRUE(),COUNTIF(원본명단!$H$3:$H4543,원본명단!$H4543)=1),IF(원본명단!$I4543="",TRUE(),COUNTIF(원본명단!$I$3:$I4543,원본명단!$I4543)=1),IF(원본명단!$K4543="",TRUE(),COUNTIF(원본명단!$K$3:$K4543,원본명단!$K4543)=1)),"첫 건","중복 건")))</f>
        <v/>
      </c>
      <c r="J4544" s="11" t="str">
        <f aca="false">IF($A4544="","",IF($H4544="-","유지",IF($I4544="첫 건","유지","확인 필요")))</f>
        <v/>
      </c>
    </row>
    <row r="4545" customFormat="false" ht="15" hidden="false" customHeight="true" outlineLevel="0" collapsed="false">
      <c r="A4545" s="11" t="str">
        <f aca="false">IF(원본명단!$A4544="","",4542)</f>
        <v/>
      </c>
      <c r="B4545" s="12" t="str">
        <f aca="false">IF($A4545="","",원본명단!$A4544)</f>
        <v/>
      </c>
      <c r="C4545" s="12" t="str">
        <f aca="false">IF($A4545="","",원본명단!$B4544)</f>
        <v/>
      </c>
      <c r="D4545" s="12" t="str">
        <f aca="false">IF($A4545="","",원본명단!$D4544)</f>
        <v/>
      </c>
      <c r="E4545" s="11" t="str">
        <f aca="false">IF($A4545="","",IF(원본명단!$H4544="",0,COUNTIF(원본명단!$H$3:$H$6002,원본명단!$H4544)))</f>
        <v/>
      </c>
      <c r="F4545" s="11" t="str">
        <f aca="false">IF($A4545="","",IF(원본명단!$I4544="",0,COUNTIF(원본명단!$I$3:$I$6002,원본명단!$I4544)))</f>
        <v/>
      </c>
      <c r="G4545" s="11" t="str">
        <f aca="false">IF($A4545="","",IF(원본명단!$K4544="",0,COUNTIF(원본명단!$K$3:$K$6002,원본명단!$K4544)))</f>
        <v/>
      </c>
      <c r="H4545" s="11" t="str">
        <f aca="false">IF($A4545="","",IF(MAX($E4545,$F4545,$G4545)&gt;1,"중복","-"))</f>
        <v/>
      </c>
      <c r="I4545" s="11" t="str">
        <f aca="false">IF($A4545="","",IF($H4545="-","-",IF(AND(IF(원본명단!$H4544="",TRUE(),COUNTIF(원본명단!$H$3:$H4544,원본명단!$H4544)=1),IF(원본명단!$I4544="",TRUE(),COUNTIF(원본명단!$I$3:$I4544,원본명단!$I4544)=1),IF(원본명단!$K4544="",TRUE(),COUNTIF(원본명단!$K$3:$K4544,원본명단!$K4544)=1)),"첫 건","중복 건")))</f>
        <v/>
      </c>
      <c r="J4545" s="11" t="str">
        <f aca="false">IF($A4545="","",IF($H4545="-","유지",IF($I4545="첫 건","유지","확인 필요")))</f>
        <v/>
      </c>
    </row>
    <row r="4546" customFormat="false" ht="15" hidden="false" customHeight="true" outlineLevel="0" collapsed="false">
      <c r="A4546" s="11" t="str">
        <f aca="false">IF(원본명단!$A4545="","",4543)</f>
        <v/>
      </c>
      <c r="B4546" s="12" t="str">
        <f aca="false">IF($A4546="","",원본명단!$A4545)</f>
        <v/>
      </c>
      <c r="C4546" s="12" t="str">
        <f aca="false">IF($A4546="","",원본명단!$B4545)</f>
        <v/>
      </c>
      <c r="D4546" s="12" t="str">
        <f aca="false">IF($A4546="","",원본명단!$D4545)</f>
        <v/>
      </c>
      <c r="E4546" s="11" t="str">
        <f aca="false">IF($A4546="","",IF(원본명단!$H4545="",0,COUNTIF(원본명단!$H$3:$H$6002,원본명단!$H4545)))</f>
        <v/>
      </c>
      <c r="F4546" s="11" t="str">
        <f aca="false">IF($A4546="","",IF(원본명단!$I4545="",0,COUNTIF(원본명단!$I$3:$I$6002,원본명단!$I4545)))</f>
        <v/>
      </c>
      <c r="G4546" s="11" t="str">
        <f aca="false">IF($A4546="","",IF(원본명단!$K4545="",0,COUNTIF(원본명단!$K$3:$K$6002,원본명단!$K4545)))</f>
        <v/>
      </c>
      <c r="H4546" s="11" t="str">
        <f aca="false">IF($A4546="","",IF(MAX($E4546,$F4546,$G4546)&gt;1,"중복","-"))</f>
        <v/>
      </c>
      <c r="I4546" s="11" t="str">
        <f aca="false">IF($A4546="","",IF($H4546="-","-",IF(AND(IF(원본명단!$H4545="",TRUE(),COUNTIF(원본명단!$H$3:$H4545,원본명단!$H4545)=1),IF(원본명단!$I4545="",TRUE(),COUNTIF(원본명단!$I$3:$I4545,원본명단!$I4545)=1),IF(원본명단!$K4545="",TRUE(),COUNTIF(원본명단!$K$3:$K4545,원본명단!$K4545)=1)),"첫 건","중복 건")))</f>
        <v/>
      </c>
      <c r="J4546" s="11" t="str">
        <f aca="false">IF($A4546="","",IF($H4546="-","유지",IF($I4546="첫 건","유지","확인 필요")))</f>
        <v/>
      </c>
    </row>
    <row r="4547" customFormat="false" ht="15" hidden="false" customHeight="true" outlineLevel="0" collapsed="false">
      <c r="A4547" s="11" t="str">
        <f aca="false">IF(원본명단!$A4546="","",4544)</f>
        <v/>
      </c>
      <c r="B4547" s="12" t="str">
        <f aca="false">IF($A4547="","",원본명단!$A4546)</f>
        <v/>
      </c>
      <c r="C4547" s="12" t="str">
        <f aca="false">IF($A4547="","",원본명단!$B4546)</f>
        <v/>
      </c>
      <c r="D4547" s="12" t="str">
        <f aca="false">IF($A4547="","",원본명단!$D4546)</f>
        <v/>
      </c>
      <c r="E4547" s="11" t="str">
        <f aca="false">IF($A4547="","",IF(원본명단!$H4546="",0,COUNTIF(원본명단!$H$3:$H$6002,원본명단!$H4546)))</f>
        <v/>
      </c>
      <c r="F4547" s="11" t="str">
        <f aca="false">IF($A4547="","",IF(원본명단!$I4546="",0,COUNTIF(원본명단!$I$3:$I$6002,원본명단!$I4546)))</f>
        <v/>
      </c>
      <c r="G4547" s="11" t="str">
        <f aca="false">IF($A4547="","",IF(원본명단!$K4546="",0,COUNTIF(원본명단!$K$3:$K$6002,원본명단!$K4546)))</f>
        <v/>
      </c>
      <c r="H4547" s="11" t="str">
        <f aca="false">IF($A4547="","",IF(MAX($E4547,$F4547,$G4547)&gt;1,"중복","-"))</f>
        <v/>
      </c>
      <c r="I4547" s="11" t="str">
        <f aca="false">IF($A4547="","",IF($H4547="-","-",IF(AND(IF(원본명단!$H4546="",TRUE(),COUNTIF(원본명단!$H$3:$H4546,원본명단!$H4546)=1),IF(원본명단!$I4546="",TRUE(),COUNTIF(원본명단!$I$3:$I4546,원본명단!$I4546)=1),IF(원본명단!$K4546="",TRUE(),COUNTIF(원본명단!$K$3:$K4546,원본명단!$K4546)=1)),"첫 건","중복 건")))</f>
        <v/>
      </c>
      <c r="J4547" s="11" t="str">
        <f aca="false">IF($A4547="","",IF($H4547="-","유지",IF($I4547="첫 건","유지","확인 필요")))</f>
        <v/>
      </c>
    </row>
    <row r="4548" customFormat="false" ht="15" hidden="false" customHeight="true" outlineLevel="0" collapsed="false">
      <c r="A4548" s="11" t="str">
        <f aca="false">IF(원본명단!$A4547="","",4545)</f>
        <v/>
      </c>
      <c r="B4548" s="12" t="str">
        <f aca="false">IF($A4548="","",원본명단!$A4547)</f>
        <v/>
      </c>
      <c r="C4548" s="12" t="str">
        <f aca="false">IF($A4548="","",원본명단!$B4547)</f>
        <v/>
      </c>
      <c r="D4548" s="12" t="str">
        <f aca="false">IF($A4548="","",원본명단!$D4547)</f>
        <v/>
      </c>
      <c r="E4548" s="11" t="str">
        <f aca="false">IF($A4548="","",IF(원본명단!$H4547="",0,COUNTIF(원본명단!$H$3:$H$6002,원본명단!$H4547)))</f>
        <v/>
      </c>
      <c r="F4548" s="11" t="str">
        <f aca="false">IF($A4548="","",IF(원본명단!$I4547="",0,COUNTIF(원본명단!$I$3:$I$6002,원본명단!$I4547)))</f>
        <v/>
      </c>
      <c r="G4548" s="11" t="str">
        <f aca="false">IF($A4548="","",IF(원본명단!$K4547="",0,COUNTIF(원본명단!$K$3:$K$6002,원본명단!$K4547)))</f>
        <v/>
      </c>
      <c r="H4548" s="11" t="str">
        <f aca="false">IF($A4548="","",IF(MAX($E4548,$F4548,$G4548)&gt;1,"중복","-"))</f>
        <v/>
      </c>
      <c r="I4548" s="11" t="str">
        <f aca="false">IF($A4548="","",IF($H4548="-","-",IF(AND(IF(원본명단!$H4547="",TRUE(),COUNTIF(원본명단!$H$3:$H4547,원본명단!$H4547)=1),IF(원본명단!$I4547="",TRUE(),COUNTIF(원본명단!$I$3:$I4547,원본명단!$I4547)=1),IF(원본명단!$K4547="",TRUE(),COUNTIF(원본명단!$K$3:$K4547,원본명단!$K4547)=1)),"첫 건","중복 건")))</f>
        <v/>
      </c>
      <c r="J4548" s="11" t="str">
        <f aca="false">IF($A4548="","",IF($H4548="-","유지",IF($I4548="첫 건","유지","확인 필요")))</f>
        <v/>
      </c>
    </row>
    <row r="4549" customFormat="false" ht="15" hidden="false" customHeight="true" outlineLevel="0" collapsed="false">
      <c r="A4549" s="11" t="str">
        <f aca="false">IF(원본명단!$A4548="","",4546)</f>
        <v/>
      </c>
      <c r="B4549" s="12" t="str">
        <f aca="false">IF($A4549="","",원본명단!$A4548)</f>
        <v/>
      </c>
      <c r="C4549" s="12" t="str">
        <f aca="false">IF($A4549="","",원본명단!$B4548)</f>
        <v/>
      </c>
      <c r="D4549" s="12" t="str">
        <f aca="false">IF($A4549="","",원본명단!$D4548)</f>
        <v/>
      </c>
      <c r="E4549" s="11" t="str">
        <f aca="false">IF($A4549="","",IF(원본명단!$H4548="",0,COUNTIF(원본명단!$H$3:$H$6002,원본명단!$H4548)))</f>
        <v/>
      </c>
      <c r="F4549" s="11" t="str">
        <f aca="false">IF($A4549="","",IF(원본명단!$I4548="",0,COUNTIF(원본명단!$I$3:$I$6002,원본명단!$I4548)))</f>
        <v/>
      </c>
      <c r="G4549" s="11" t="str">
        <f aca="false">IF($A4549="","",IF(원본명단!$K4548="",0,COUNTIF(원본명단!$K$3:$K$6002,원본명단!$K4548)))</f>
        <v/>
      </c>
      <c r="H4549" s="11" t="str">
        <f aca="false">IF($A4549="","",IF(MAX($E4549,$F4549,$G4549)&gt;1,"중복","-"))</f>
        <v/>
      </c>
      <c r="I4549" s="11" t="str">
        <f aca="false">IF($A4549="","",IF($H4549="-","-",IF(AND(IF(원본명단!$H4548="",TRUE(),COUNTIF(원본명단!$H$3:$H4548,원본명단!$H4548)=1),IF(원본명단!$I4548="",TRUE(),COUNTIF(원본명단!$I$3:$I4548,원본명단!$I4548)=1),IF(원본명단!$K4548="",TRUE(),COUNTIF(원본명단!$K$3:$K4548,원본명단!$K4548)=1)),"첫 건","중복 건")))</f>
        <v/>
      </c>
      <c r="J4549" s="11" t="str">
        <f aca="false">IF($A4549="","",IF($H4549="-","유지",IF($I4549="첫 건","유지","확인 필요")))</f>
        <v/>
      </c>
    </row>
    <row r="4550" customFormat="false" ht="15" hidden="false" customHeight="true" outlineLevel="0" collapsed="false">
      <c r="A4550" s="11" t="str">
        <f aca="false">IF(원본명단!$A4549="","",4547)</f>
        <v/>
      </c>
      <c r="B4550" s="12" t="str">
        <f aca="false">IF($A4550="","",원본명단!$A4549)</f>
        <v/>
      </c>
      <c r="C4550" s="12" t="str">
        <f aca="false">IF($A4550="","",원본명단!$B4549)</f>
        <v/>
      </c>
      <c r="D4550" s="12" t="str">
        <f aca="false">IF($A4550="","",원본명단!$D4549)</f>
        <v/>
      </c>
      <c r="E4550" s="11" t="str">
        <f aca="false">IF($A4550="","",IF(원본명단!$H4549="",0,COUNTIF(원본명단!$H$3:$H$6002,원본명단!$H4549)))</f>
        <v/>
      </c>
      <c r="F4550" s="11" t="str">
        <f aca="false">IF($A4550="","",IF(원본명단!$I4549="",0,COUNTIF(원본명단!$I$3:$I$6002,원본명단!$I4549)))</f>
        <v/>
      </c>
      <c r="G4550" s="11" t="str">
        <f aca="false">IF($A4550="","",IF(원본명단!$K4549="",0,COUNTIF(원본명단!$K$3:$K$6002,원본명단!$K4549)))</f>
        <v/>
      </c>
      <c r="H4550" s="11" t="str">
        <f aca="false">IF($A4550="","",IF(MAX($E4550,$F4550,$G4550)&gt;1,"중복","-"))</f>
        <v/>
      </c>
      <c r="I4550" s="11" t="str">
        <f aca="false">IF($A4550="","",IF($H4550="-","-",IF(AND(IF(원본명단!$H4549="",TRUE(),COUNTIF(원본명단!$H$3:$H4549,원본명단!$H4549)=1),IF(원본명단!$I4549="",TRUE(),COUNTIF(원본명단!$I$3:$I4549,원본명단!$I4549)=1),IF(원본명단!$K4549="",TRUE(),COUNTIF(원본명단!$K$3:$K4549,원본명단!$K4549)=1)),"첫 건","중복 건")))</f>
        <v/>
      </c>
      <c r="J4550" s="11" t="str">
        <f aca="false">IF($A4550="","",IF($H4550="-","유지",IF($I4550="첫 건","유지","확인 필요")))</f>
        <v/>
      </c>
    </row>
    <row r="4551" customFormat="false" ht="15" hidden="false" customHeight="true" outlineLevel="0" collapsed="false">
      <c r="A4551" s="11" t="str">
        <f aca="false">IF(원본명단!$A4550="","",4548)</f>
        <v/>
      </c>
      <c r="B4551" s="12" t="str">
        <f aca="false">IF($A4551="","",원본명단!$A4550)</f>
        <v/>
      </c>
      <c r="C4551" s="12" t="str">
        <f aca="false">IF($A4551="","",원본명단!$B4550)</f>
        <v/>
      </c>
      <c r="D4551" s="12" t="str">
        <f aca="false">IF($A4551="","",원본명단!$D4550)</f>
        <v/>
      </c>
      <c r="E4551" s="11" t="str">
        <f aca="false">IF($A4551="","",IF(원본명단!$H4550="",0,COUNTIF(원본명단!$H$3:$H$6002,원본명단!$H4550)))</f>
        <v/>
      </c>
      <c r="F4551" s="11" t="str">
        <f aca="false">IF($A4551="","",IF(원본명단!$I4550="",0,COUNTIF(원본명단!$I$3:$I$6002,원본명단!$I4550)))</f>
        <v/>
      </c>
      <c r="G4551" s="11" t="str">
        <f aca="false">IF($A4551="","",IF(원본명단!$K4550="",0,COUNTIF(원본명단!$K$3:$K$6002,원본명단!$K4550)))</f>
        <v/>
      </c>
      <c r="H4551" s="11" t="str">
        <f aca="false">IF($A4551="","",IF(MAX($E4551,$F4551,$G4551)&gt;1,"중복","-"))</f>
        <v/>
      </c>
      <c r="I4551" s="11" t="str">
        <f aca="false">IF($A4551="","",IF($H4551="-","-",IF(AND(IF(원본명단!$H4550="",TRUE(),COUNTIF(원본명단!$H$3:$H4550,원본명단!$H4550)=1),IF(원본명단!$I4550="",TRUE(),COUNTIF(원본명단!$I$3:$I4550,원본명단!$I4550)=1),IF(원본명단!$K4550="",TRUE(),COUNTIF(원본명단!$K$3:$K4550,원본명단!$K4550)=1)),"첫 건","중복 건")))</f>
        <v/>
      </c>
      <c r="J4551" s="11" t="str">
        <f aca="false">IF($A4551="","",IF($H4551="-","유지",IF($I4551="첫 건","유지","확인 필요")))</f>
        <v/>
      </c>
    </row>
    <row r="4552" customFormat="false" ht="15" hidden="false" customHeight="true" outlineLevel="0" collapsed="false">
      <c r="A4552" s="11" t="str">
        <f aca="false">IF(원본명단!$A4551="","",4549)</f>
        <v/>
      </c>
      <c r="B4552" s="12" t="str">
        <f aca="false">IF($A4552="","",원본명단!$A4551)</f>
        <v/>
      </c>
      <c r="C4552" s="12" t="str">
        <f aca="false">IF($A4552="","",원본명단!$B4551)</f>
        <v/>
      </c>
      <c r="D4552" s="12" t="str">
        <f aca="false">IF($A4552="","",원본명단!$D4551)</f>
        <v/>
      </c>
      <c r="E4552" s="11" t="str">
        <f aca="false">IF($A4552="","",IF(원본명단!$H4551="",0,COUNTIF(원본명단!$H$3:$H$6002,원본명단!$H4551)))</f>
        <v/>
      </c>
      <c r="F4552" s="11" t="str">
        <f aca="false">IF($A4552="","",IF(원본명단!$I4551="",0,COUNTIF(원본명단!$I$3:$I$6002,원본명단!$I4551)))</f>
        <v/>
      </c>
      <c r="G4552" s="11" t="str">
        <f aca="false">IF($A4552="","",IF(원본명단!$K4551="",0,COUNTIF(원본명단!$K$3:$K$6002,원본명단!$K4551)))</f>
        <v/>
      </c>
      <c r="H4552" s="11" t="str">
        <f aca="false">IF($A4552="","",IF(MAX($E4552,$F4552,$G4552)&gt;1,"중복","-"))</f>
        <v/>
      </c>
      <c r="I4552" s="11" t="str">
        <f aca="false">IF($A4552="","",IF($H4552="-","-",IF(AND(IF(원본명단!$H4551="",TRUE(),COUNTIF(원본명단!$H$3:$H4551,원본명단!$H4551)=1),IF(원본명단!$I4551="",TRUE(),COUNTIF(원본명단!$I$3:$I4551,원본명단!$I4551)=1),IF(원본명단!$K4551="",TRUE(),COUNTIF(원본명단!$K$3:$K4551,원본명단!$K4551)=1)),"첫 건","중복 건")))</f>
        <v/>
      </c>
      <c r="J4552" s="11" t="str">
        <f aca="false">IF($A4552="","",IF($H4552="-","유지",IF($I4552="첫 건","유지","확인 필요")))</f>
        <v/>
      </c>
    </row>
    <row r="4553" customFormat="false" ht="15" hidden="false" customHeight="true" outlineLevel="0" collapsed="false">
      <c r="A4553" s="11" t="str">
        <f aca="false">IF(원본명단!$A4552="","",4550)</f>
        <v/>
      </c>
      <c r="B4553" s="12" t="str">
        <f aca="false">IF($A4553="","",원본명단!$A4552)</f>
        <v/>
      </c>
      <c r="C4553" s="12" t="str">
        <f aca="false">IF($A4553="","",원본명단!$B4552)</f>
        <v/>
      </c>
      <c r="D4553" s="12" t="str">
        <f aca="false">IF($A4553="","",원본명단!$D4552)</f>
        <v/>
      </c>
      <c r="E4553" s="11" t="str">
        <f aca="false">IF($A4553="","",IF(원본명단!$H4552="",0,COUNTIF(원본명단!$H$3:$H$6002,원본명단!$H4552)))</f>
        <v/>
      </c>
      <c r="F4553" s="11" t="str">
        <f aca="false">IF($A4553="","",IF(원본명단!$I4552="",0,COUNTIF(원본명단!$I$3:$I$6002,원본명단!$I4552)))</f>
        <v/>
      </c>
      <c r="G4553" s="11" t="str">
        <f aca="false">IF($A4553="","",IF(원본명단!$K4552="",0,COUNTIF(원본명단!$K$3:$K$6002,원본명단!$K4552)))</f>
        <v/>
      </c>
      <c r="H4553" s="11" t="str">
        <f aca="false">IF($A4553="","",IF(MAX($E4553,$F4553,$G4553)&gt;1,"중복","-"))</f>
        <v/>
      </c>
      <c r="I4553" s="11" t="str">
        <f aca="false">IF($A4553="","",IF($H4553="-","-",IF(AND(IF(원본명단!$H4552="",TRUE(),COUNTIF(원본명단!$H$3:$H4552,원본명단!$H4552)=1),IF(원본명단!$I4552="",TRUE(),COUNTIF(원본명단!$I$3:$I4552,원본명단!$I4552)=1),IF(원본명단!$K4552="",TRUE(),COUNTIF(원본명단!$K$3:$K4552,원본명단!$K4552)=1)),"첫 건","중복 건")))</f>
        <v/>
      </c>
      <c r="J4553" s="11" t="str">
        <f aca="false">IF($A4553="","",IF($H4553="-","유지",IF($I4553="첫 건","유지","확인 필요")))</f>
        <v/>
      </c>
    </row>
    <row r="4554" customFormat="false" ht="15" hidden="false" customHeight="true" outlineLevel="0" collapsed="false">
      <c r="A4554" s="11" t="str">
        <f aca="false">IF(원본명단!$A4553="","",4551)</f>
        <v/>
      </c>
      <c r="B4554" s="12" t="str">
        <f aca="false">IF($A4554="","",원본명단!$A4553)</f>
        <v/>
      </c>
      <c r="C4554" s="12" t="str">
        <f aca="false">IF($A4554="","",원본명단!$B4553)</f>
        <v/>
      </c>
      <c r="D4554" s="12" t="str">
        <f aca="false">IF($A4554="","",원본명단!$D4553)</f>
        <v/>
      </c>
      <c r="E4554" s="11" t="str">
        <f aca="false">IF($A4554="","",IF(원본명단!$H4553="",0,COUNTIF(원본명단!$H$3:$H$6002,원본명단!$H4553)))</f>
        <v/>
      </c>
      <c r="F4554" s="11" t="str">
        <f aca="false">IF($A4554="","",IF(원본명단!$I4553="",0,COUNTIF(원본명단!$I$3:$I$6002,원본명단!$I4553)))</f>
        <v/>
      </c>
      <c r="G4554" s="11" t="str">
        <f aca="false">IF($A4554="","",IF(원본명단!$K4553="",0,COUNTIF(원본명단!$K$3:$K$6002,원본명단!$K4553)))</f>
        <v/>
      </c>
      <c r="H4554" s="11" t="str">
        <f aca="false">IF($A4554="","",IF(MAX($E4554,$F4554,$G4554)&gt;1,"중복","-"))</f>
        <v/>
      </c>
      <c r="I4554" s="11" t="str">
        <f aca="false">IF($A4554="","",IF($H4554="-","-",IF(AND(IF(원본명단!$H4553="",TRUE(),COUNTIF(원본명단!$H$3:$H4553,원본명단!$H4553)=1),IF(원본명단!$I4553="",TRUE(),COUNTIF(원본명단!$I$3:$I4553,원본명단!$I4553)=1),IF(원본명단!$K4553="",TRUE(),COUNTIF(원본명단!$K$3:$K4553,원본명단!$K4553)=1)),"첫 건","중복 건")))</f>
        <v/>
      </c>
      <c r="J4554" s="11" t="str">
        <f aca="false">IF($A4554="","",IF($H4554="-","유지",IF($I4554="첫 건","유지","확인 필요")))</f>
        <v/>
      </c>
    </row>
    <row r="4555" customFormat="false" ht="15" hidden="false" customHeight="true" outlineLevel="0" collapsed="false">
      <c r="A4555" s="11" t="str">
        <f aca="false">IF(원본명단!$A4554="","",4552)</f>
        <v/>
      </c>
      <c r="B4555" s="12" t="str">
        <f aca="false">IF($A4555="","",원본명단!$A4554)</f>
        <v/>
      </c>
      <c r="C4555" s="12" t="str">
        <f aca="false">IF($A4555="","",원본명단!$B4554)</f>
        <v/>
      </c>
      <c r="D4555" s="12" t="str">
        <f aca="false">IF($A4555="","",원본명단!$D4554)</f>
        <v/>
      </c>
      <c r="E4555" s="11" t="str">
        <f aca="false">IF($A4555="","",IF(원본명단!$H4554="",0,COUNTIF(원본명단!$H$3:$H$6002,원본명단!$H4554)))</f>
        <v/>
      </c>
      <c r="F4555" s="11" t="str">
        <f aca="false">IF($A4555="","",IF(원본명단!$I4554="",0,COUNTIF(원본명단!$I$3:$I$6002,원본명단!$I4554)))</f>
        <v/>
      </c>
      <c r="G4555" s="11" t="str">
        <f aca="false">IF($A4555="","",IF(원본명단!$K4554="",0,COUNTIF(원본명단!$K$3:$K$6002,원본명단!$K4554)))</f>
        <v/>
      </c>
      <c r="H4555" s="11" t="str">
        <f aca="false">IF($A4555="","",IF(MAX($E4555,$F4555,$G4555)&gt;1,"중복","-"))</f>
        <v/>
      </c>
      <c r="I4555" s="11" t="str">
        <f aca="false">IF($A4555="","",IF($H4555="-","-",IF(AND(IF(원본명단!$H4554="",TRUE(),COUNTIF(원본명단!$H$3:$H4554,원본명단!$H4554)=1),IF(원본명단!$I4554="",TRUE(),COUNTIF(원본명단!$I$3:$I4554,원본명단!$I4554)=1),IF(원본명단!$K4554="",TRUE(),COUNTIF(원본명단!$K$3:$K4554,원본명단!$K4554)=1)),"첫 건","중복 건")))</f>
        <v/>
      </c>
      <c r="J4555" s="11" t="str">
        <f aca="false">IF($A4555="","",IF($H4555="-","유지",IF($I4555="첫 건","유지","확인 필요")))</f>
        <v/>
      </c>
    </row>
    <row r="4556" customFormat="false" ht="15" hidden="false" customHeight="true" outlineLevel="0" collapsed="false">
      <c r="A4556" s="11" t="str">
        <f aca="false">IF(원본명단!$A4555="","",4553)</f>
        <v/>
      </c>
      <c r="B4556" s="12" t="str">
        <f aca="false">IF($A4556="","",원본명단!$A4555)</f>
        <v/>
      </c>
      <c r="C4556" s="12" t="str">
        <f aca="false">IF($A4556="","",원본명단!$B4555)</f>
        <v/>
      </c>
      <c r="D4556" s="12" t="str">
        <f aca="false">IF($A4556="","",원본명단!$D4555)</f>
        <v/>
      </c>
      <c r="E4556" s="11" t="str">
        <f aca="false">IF($A4556="","",IF(원본명단!$H4555="",0,COUNTIF(원본명단!$H$3:$H$6002,원본명단!$H4555)))</f>
        <v/>
      </c>
      <c r="F4556" s="11" t="str">
        <f aca="false">IF($A4556="","",IF(원본명단!$I4555="",0,COUNTIF(원본명단!$I$3:$I$6002,원본명단!$I4555)))</f>
        <v/>
      </c>
      <c r="G4556" s="11" t="str">
        <f aca="false">IF($A4556="","",IF(원본명단!$K4555="",0,COUNTIF(원본명단!$K$3:$K$6002,원본명단!$K4555)))</f>
        <v/>
      </c>
      <c r="H4556" s="11" t="str">
        <f aca="false">IF($A4556="","",IF(MAX($E4556,$F4556,$G4556)&gt;1,"중복","-"))</f>
        <v/>
      </c>
      <c r="I4556" s="11" t="str">
        <f aca="false">IF($A4556="","",IF($H4556="-","-",IF(AND(IF(원본명단!$H4555="",TRUE(),COUNTIF(원본명단!$H$3:$H4555,원본명단!$H4555)=1),IF(원본명단!$I4555="",TRUE(),COUNTIF(원본명단!$I$3:$I4555,원본명단!$I4555)=1),IF(원본명단!$K4555="",TRUE(),COUNTIF(원본명단!$K$3:$K4555,원본명단!$K4555)=1)),"첫 건","중복 건")))</f>
        <v/>
      </c>
      <c r="J4556" s="11" t="str">
        <f aca="false">IF($A4556="","",IF($H4556="-","유지",IF($I4556="첫 건","유지","확인 필요")))</f>
        <v/>
      </c>
    </row>
    <row r="4557" customFormat="false" ht="15" hidden="false" customHeight="true" outlineLevel="0" collapsed="false">
      <c r="A4557" s="11" t="str">
        <f aca="false">IF(원본명단!$A4556="","",4554)</f>
        <v/>
      </c>
      <c r="B4557" s="12" t="str">
        <f aca="false">IF($A4557="","",원본명단!$A4556)</f>
        <v/>
      </c>
      <c r="C4557" s="12" t="str">
        <f aca="false">IF($A4557="","",원본명단!$B4556)</f>
        <v/>
      </c>
      <c r="D4557" s="12" t="str">
        <f aca="false">IF($A4557="","",원본명단!$D4556)</f>
        <v/>
      </c>
      <c r="E4557" s="11" t="str">
        <f aca="false">IF($A4557="","",IF(원본명단!$H4556="",0,COUNTIF(원본명단!$H$3:$H$6002,원본명단!$H4556)))</f>
        <v/>
      </c>
      <c r="F4557" s="11" t="str">
        <f aca="false">IF($A4557="","",IF(원본명단!$I4556="",0,COUNTIF(원본명단!$I$3:$I$6002,원본명단!$I4556)))</f>
        <v/>
      </c>
      <c r="G4557" s="11" t="str">
        <f aca="false">IF($A4557="","",IF(원본명단!$K4556="",0,COUNTIF(원본명단!$K$3:$K$6002,원본명단!$K4556)))</f>
        <v/>
      </c>
      <c r="H4557" s="11" t="str">
        <f aca="false">IF($A4557="","",IF(MAX($E4557,$F4557,$G4557)&gt;1,"중복","-"))</f>
        <v/>
      </c>
      <c r="I4557" s="11" t="str">
        <f aca="false">IF($A4557="","",IF($H4557="-","-",IF(AND(IF(원본명단!$H4556="",TRUE(),COUNTIF(원본명단!$H$3:$H4556,원본명단!$H4556)=1),IF(원본명단!$I4556="",TRUE(),COUNTIF(원본명단!$I$3:$I4556,원본명단!$I4556)=1),IF(원본명단!$K4556="",TRUE(),COUNTIF(원본명단!$K$3:$K4556,원본명단!$K4556)=1)),"첫 건","중복 건")))</f>
        <v/>
      </c>
      <c r="J4557" s="11" t="str">
        <f aca="false">IF($A4557="","",IF($H4557="-","유지",IF($I4557="첫 건","유지","확인 필요")))</f>
        <v/>
      </c>
    </row>
    <row r="4558" customFormat="false" ht="15" hidden="false" customHeight="true" outlineLevel="0" collapsed="false">
      <c r="A4558" s="11" t="str">
        <f aca="false">IF(원본명단!$A4557="","",4555)</f>
        <v/>
      </c>
      <c r="B4558" s="12" t="str">
        <f aca="false">IF($A4558="","",원본명단!$A4557)</f>
        <v/>
      </c>
      <c r="C4558" s="12" t="str">
        <f aca="false">IF($A4558="","",원본명단!$B4557)</f>
        <v/>
      </c>
      <c r="D4558" s="12" t="str">
        <f aca="false">IF($A4558="","",원본명단!$D4557)</f>
        <v/>
      </c>
      <c r="E4558" s="11" t="str">
        <f aca="false">IF($A4558="","",IF(원본명단!$H4557="",0,COUNTIF(원본명단!$H$3:$H$6002,원본명단!$H4557)))</f>
        <v/>
      </c>
      <c r="F4558" s="11" t="str">
        <f aca="false">IF($A4558="","",IF(원본명단!$I4557="",0,COUNTIF(원본명단!$I$3:$I$6002,원본명단!$I4557)))</f>
        <v/>
      </c>
      <c r="G4558" s="11" t="str">
        <f aca="false">IF($A4558="","",IF(원본명단!$K4557="",0,COUNTIF(원본명단!$K$3:$K$6002,원본명단!$K4557)))</f>
        <v/>
      </c>
      <c r="H4558" s="11" t="str">
        <f aca="false">IF($A4558="","",IF(MAX($E4558,$F4558,$G4558)&gt;1,"중복","-"))</f>
        <v/>
      </c>
      <c r="I4558" s="11" t="str">
        <f aca="false">IF($A4558="","",IF($H4558="-","-",IF(AND(IF(원본명단!$H4557="",TRUE(),COUNTIF(원본명단!$H$3:$H4557,원본명단!$H4557)=1),IF(원본명단!$I4557="",TRUE(),COUNTIF(원본명단!$I$3:$I4557,원본명단!$I4557)=1),IF(원본명단!$K4557="",TRUE(),COUNTIF(원본명단!$K$3:$K4557,원본명단!$K4557)=1)),"첫 건","중복 건")))</f>
        <v/>
      </c>
      <c r="J4558" s="11" t="str">
        <f aca="false">IF($A4558="","",IF($H4558="-","유지",IF($I4558="첫 건","유지","확인 필요")))</f>
        <v/>
      </c>
    </row>
    <row r="4559" customFormat="false" ht="15" hidden="false" customHeight="true" outlineLevel="0" collapsed="false">
      <c r="A4559" s="11" t="str">
        <f aca="false">IF(원본명단!$A4558="","",4556)</f>
        <v/>
      </c>
      <c r="B4559" s="12" t="str">
        <f aca="false">IF($A4559="","",원본명단!$A4558)</f>
        <v/>
      </c>
      <c r="C4559" s="12" t="str">
        <f aca="false">IF($A4559="","",원본명단!$B4558)</f>
        <v/>
      </c>
      <c r="D4559" s="12" t="str">
        <f aca="false">IF($A4559="","",원본명단!$D4558)</f>
        <v/>
      </c>
      <c r="E4559" s="11" t="str">
        <f aca="false">IF($A4559="","",IF(원본명단!$H4558="",0,COUNTIF(원본명단!$H$3:$H$6002,원본명단!$H4558)))</f>
        <v/>
      </c>
      <c r="F4559" s="11" t="str">
        <f aca="false">IF($A4559="","",IF(원본명단!$I4558="",0,COUNTIF(원본명단!$I$3:$I$6002,원본명단!$I4558)))</f>
        <v/>
      </c>
      <c r="G4559" s="11" t="str">
        <f aca="false">IF($A4559="","",IF(원본명단!$K4558="",0,COUNTIF(원본명단!$K$3:$K$6002,원본명단!$K4558)))</f>
        <v/>
      </c>
      <c r="H4559" s="11" t="str">
        <f aca="false">IF($A4559="","",IF(MAX($E4559,$F4559,$G4559)&gt;1,"중복","-"))</f>
        <v/>
      </c>
      <c r="I4559" s="11" t="str">
        <f aca="false">IF($A4559="","",IF($H4559="-","-",IF(AND(IF(원본명단!$H4558="",TRUE(),COUNTIF(원본명단!$H$3:$H4558,원본명단!$H4558)=1),IF(원본명단!$I4558="",TRUE(),COUNTIF(원본명단!$I$3:$I4558,원본명단!$I4558)=1),IF(원본명단!$K4558="",TRUE(),COUNTIF(원본명단!$K$3:$K4558,원본명단!$K4558)=1)),"첫 건","중복 건")))</f>
        <v/>
      </c>
      <c r="J4559" s="11" t="str">
        <f aca="false">IF($A4559="","",IF($H4559="-","유지",IF($I4559="첫 건","유지","확인 필요")))</f>
        <v/>
      </c>
    </row>
    <row r="4560" customFormat="false" ht="15" hidden="false" customHeight="true" outlineLevel="0" collapsed="false">
      <c r="A4560" s="11" t="str">
        <f aca="false">IF(원본명단!$A4559="","",4557)</f>
        <v/>
      </c>
      <c r="B4560" s="12" t="str">
        <f aca="false">IF($A4560="","",원본명단!$A4559)</f>
        <v/>
      </c>
      <c r="C4560" s="12" t="str">
        <f aca="false">IF($A4560="","",원본명단!$B4559)</f>
        <v/>
      </c>
      <c r="D4560" s="12" t="str">
        <f aca="false">IF($A4560="","",원본명단!$D4559)</f>
        <v/>
      </c>
      <c r="E4560" s="11" t="str">
        <f aca="false">IF($A4560="","",IF(원본명단!$H4559="",0,COUNTIF(원본명단!$H$3:$H$6002,원본명단!$H4559)))</f>
        <v/>
      </c>
      <c r="F4560" s="11" t="str">
        <f aca="false">IF($A4560="","",IF(원본명단!$I4559="",0,COUNTIF(원본명단!$I$3:$I$6002,원본명단!$I4559)))</f>
        <v/>
      </c>
      <c r="G4560" s="11" t="str">
        <f aca="false">IF($A4560="","",IF(원본명단!$K4559="",0,COUNTIF(원본명단!$K$3:$K$6002,원본명단!$K4559)))</f>
        <v/>
      </c>
      <c r="H4560" s="11" t="str">
        <f aca="false">IF($A4560="","",IF(MAX($E4560,$F4560,$G4560)&gt;1,"중복","-"))</f>
        <v/>
      </c>
      <c r="I4560" s="11" t="str">
        <f aca="false">IF($A4560="","",IF($H4560="-","-",IF(AND(IF(원본명단!$H4559="",TRUE(),COUNTIF(원본명단!$H$3:$H4559,원본명단!$H4559)=1),IF(원본명단!$I4559="",TRUE(),COUNTIF(원본명단!$I$3:$I4559,원본명단!$I4559)=1),IF(원본명단!$K4559="",TRUE(),COUNTIF(원본명단!$K$3:$K4559,원본명단!$K4559)=1)),"첫 건","중복 건")))</f>
        <v/>
      </c>
      <c r="J4560" s="11" t="str">
        <f aca="false">IF($A4560="","",IF($H4560="-","유지",IF($I4560="첫 건","유지","확인 필요")))</f>
        <v/>
      </c>
    </row>
    <row r="4561" customFormat="false" ht="15" hidden="false" customHeight="true" outlineLevel="0" collapsed="false">
      <c r="A4561" s="11" t="str">
        <f aca="false">IF(원본명단!$A4560="","",4558)</f>
        <v/>
      </c>
      <c r="B4561" s="12" t="str">
        <f aca="false">IF($A4561="","",원본명단!$A4560)</f>
        <v/>
      </c>
      <c r="C4561" s="12" t="str">
        <f aca="false">IF($A4561="","",원본명단!$B4560)</f>
        <v/>
      </c>
      <c r="D4561" s="12" t="str">
        <f aca="false">IF($A4561="","",원본명단!$D4560)</f>
        <v/>
      </c>
      <c r="E4561" s="11" t="str">
        <f aca="false">IF($A4561="","",IF(원본명단!$H4560="",0,COUNTIF(원본명단!$H$3:$H$6002,원본명단!$H4560)))</f>
        <v/>
      </c>
      <c r="F4561" s="11" t="str">
        <f aca="false">IF($A4561="","",IF(원본명단!$I4560="",0,COUNTIF(원본명단!$I$3:$I$6002,원본명단!$I4560)))</f>
        <v/>
      </c>
      <c r="G4561" s="11" t="str">
        <f aca="false">IF($A4561="","",IF(원본명단!$K4560="",0,COUNTIF(원본명단!$K$3:$K$6002,원본명단!$K4560)))</f>
        <v/>
      </c>
      <c r="H4561" s="11" t="str">
        <f aca="false">IF($A4561="","",IF(MAX($E4561,$F4561,$G4561)&gt;1,"중복","-"))</f>
        <v/>
      </c>
      <c r="I4561" s="11" t="str">
        <f aca="false">IF($A4561="","",IF($H4561="-","-",IF(AND(IF(원본명단!$H4560="",TRUE(),COUNTIF(원본명단!$H$3:$H4560,원본명단!$H4560)=1),IF(원본명단!$I4560="",TRUE(),COUNTIF(원본명단!$I$3:$I4560,원본명단!$I4560)=1),IF(원본명단!$K4560="",TRUE(),COUNTIF(원본명단!$K$3:$K4560,원본명단!$K4560)=1)),"첫 건","중복 건")))</f>
        <v/>
      </c>
      <c r="J4561" s="11" t="str">
        <f aca="false">IF($A4561="","",IF($H4561="-","유지",IF($I4561="첫 건","유지","확인 필요")))</f>
        <v/>
      </c>
    </row>
    <row r="4562" customFormat="false" ht="15" hidden="false" customHeight="true" outlineLevel="0" collapsed="false">
      <c r="A4562" s="11" t="str">
        <f aca="false">IF(원본명단!$A4561="","",4559)</f>
        <v/>
      </c>
      <c r="B4562" s="12" t="str">
        <f aca="false">IF($A4562="","",원본명단!$A4561)</f>
        <v/>
      </c>
      <c r="C4562" s="12" t="str">
        <f aca="false">IF($A4562="","",원본명단!$B4561)</f>
        <v/>
      </c>
      <c r="D4562" s="12" t="str">
        <f aca="false">IF($A4562="","",원본명단!$D4561)</f>
        <v/>
      </c>
      <c r="E4562" s="11" t="str">
        <f aca="false">IF($A4562="","",IF(원본명단!$H4561="",0,COUNTIF(원본명단!$H$3:$H$6002,원본명단!$H4561)))</f>
        <v/>
      </c>
      <c r="F4562" s="11" t="str">
        <f aca="false">IF($A4562="","",IF(원본명단!$I4561="",0,COUNTIF(원본명단!$I$3:$I$6002,원본명단!$I4561)))</f>
        <v/>
      </c>
      <c r="G4562" s="11" t="str">
        <f aca="false">IF($A4562="","",IF(원본명단!$K4561="",0,COUNTIF(원본명단!$K$3:$K$6002,원본명단!$K4561)))</f>
        <v/>
      </c>
      <c r="H4562" s="11" t="str">
        <f aca="false">IF($A4562="","",IF(MAX($E4562,$F4562,$G4562)&gt;1,"중복","-"))</f>
        <v/>
      </c>
      <c r="I4562" s="11" t="str">
        <f aca="false">IF($A4562="","",IF($H4562="-","-",IF(AND(IF(원본명단!$H4561="",TRUE(),COUNTIF(원본명단!$H$3:$H4561,원본명단!$H4561)=1),IF(원본명단!$I4561="",TRUE(),COUNTIF(원본명단!$I$3:$I4561,원본명단!$I4561)=1),IF(원본명단!$K4561="",TRUE(),COUNTIF(원본명단!$K$3:$K4561,원본명단!$K4561)=1)),"첫 건","중복 건")))</f>
        <v/>
      </c>
      <c r="J4562" s="11" t="str">
        <f aca="false">IF($A4562="","",IF($H4562="-","유지",IF($I4562="첫 건","유지","확인 필요")))</f>
        <v/>
      </c>
    </row>
    <row r="4563" customFormat="false" ht="15" hidden="false" customHeight="true" outlineLevel="0" collapsed="false">
      <c r="A4563" s="11" t="str">
        <f aca="false">IF(원본명단!$A4562="","",4560)</f>
        <v/>
      </c>
      <c r="B4563" s="12" t="str">
        <f aca="false">IF($A4563="","",원본명단!$A4562)</f>
        <v/>
      </c>
      <c r="C4563" s="12" t="str">
        <f aca="false">IF($A4563="","",원본명단!$B4562)</f>
        <v/>
      </c>
      <c r="D4563" s="12" t="str">
        <f aca="false">IF($A4563="","",원본명단!$D4562)</f>
        <v/>
      </c>
      <c r="E4563" s="11" t="str">
        <f aca="false">IF($A4563="","",IF(원본명단!$H4562="",0,COUNTIF(원본명단!$H$3:$H$6002,원본명단!$H4562)))</f>
        <v/>
      </c>
      <c r="F4563" s="11" t="str">
        <f aca="false">IF($A4563="","",IF(원본명단!$I4562="",0,COUNTIF(원본명단!$I$3:$I$6002,원본명단!$I4562)))</f>
        <v/>
      </c>
      <c r="G4563" s="11" t="str">
        <f aca="false">IF($A4563="","",IF(원본명단!$K4562="",0,COUNTIF(원본명단!$K$3:$K$6002,원본명단!$K4562)))</f>
        <v/>
      </c>
      <c r="H4563" s="11" t="str">
        <f aca="false">IF($A4563="","",IF(MAX($E4563,$F4563,$G4563)&gt;1,"중복","-"))</f>
        <v/>
      </c>
      <c r="I4563" s="11" t="str">
        <f aca="false">IF($A4563="","",IF($H4563="-","-",IF(AND(IF(원본명단!$H4562="",TRUE(),COUNTIF(원본명단!$H$3:$H4562,원본명단!$H4562)=1),IF(원본명단!$I4562="",TRUE(),COUNTIF(원본명단!$I$3:$I4562,원본명단!$I4562)=1),IF(원본명단!$K4562="",TRUE(),COUNTIF(원본명단!$K$3:$K4562,원본명단!$K4562)=1)),"첫 건","중복 건")))</f>
        <v/>
      </c>
      <c r="J4563" s="11" t="str">
        <f aca="false">IF($A4563="","",IF($H4563="-","유지",IF($I4563="첫 건","유지","확인 필요")))</f>
        <v/>
      </c>
    </row>
    <row r="4564" customFormat="false" ht="15" hidden="false" customHeight="true" outlineLevel="0" collapsed="false">
      <c r="A4564" s="11" t="str">
        <f aca="false">IF(원본명단!$A4563="","",4561)</f>
        <v/>
      </c>
      <c r="B4564" s="12" t="str">
        <f aca="false">IF($A4564="","",원본명단!$A4563)</f>
        <v/>
      </c>
      <c r="C4564" s="12" t="str">
        <f aca="false">IF($A4564="","",원본명단!$B4563)</f>
        <v/>
      </c>
      <c r="D4564" s="12" t="str">
        <f aca="false">IF($A4564="","",원본명단!$D4563)</f>
        <v/>
      </c>
      <c r="E4564" s="11" t="str">
        <f aca="false">IF($A4564="","",IF(원본명단!$H4563="",0,COUNTIF(원본명단!$H$3:$H$6002,원본명단!$H4563)))</f>
        <v/>
      </c>
      <c r="F4564" s="11" t="str">
        <f aca="false">IF($A4564="","",IF(원본명단!$I4563="",0,COUNTIF(원본명단!$I$3:$I$6002,원본명단!$I4563)))</f>
        <v/>
      </c>
      <c r="G4564" s="11" t="str">
        <f aca="false">IF($A4564="","",IF(원본명단!$K4563="",0,COUNTIF(원본명단!$K$3:$K$6002,원본명단!$K4563)))</f>
        <v/>
      </c>
      <c r="H4564" s="11" t="str">
        <f aca="false">IF($A4564="","",IF(MAX($E4564,$F4564,$G4564)&gt;1,"중복","-"))</f>
        <v/>
      </c>
      <c r="I4564" s="11" t="str">
        <f aca="false">IF($A4564="","",IF($H4564="-","-",IF(AND(IF(원본명단!$H4563="",TRUE(),COUNTIF(원본명단!$H$3:$H4563,원본명단!$H4563)=1),IF(원본명단!$I4563="",TRUE(),COUNTIF(원본명단!$I$3:$I4563,원본명단!$I4563)=1),IF(원본명단!$K4563="",TRUE(),COUNTIF(원본명단!$K$3:$K4563,원본명단!$K4563)=1)),"첫 건","중복 건")))</f>
        <v/>
      </c>
      <c r="J4564" s="11" t="str">
        <f aca="false">IF($A4564="","",IF($H4564="-","유지",IF($I4564="첫 건","유지","확인 필요")))</f>
        <v/>
      </c>
    </row>
    <row r="4565" customFormat="false" ht="15" hidden="false" customHeight="true" outlineLevel="0" collapsed="false">
      <c r="A4565" s="11" t="str">
        <f aca="false">IF(원본명단!$A4564="","",4562)</f>
        <v/>
      </c>
      <c r="B4565" s="12" t="str">
        <f aca="false">IF($A4565="","",원본명단!$A4564)</f>
        <v/>
      </c>
      <c r="C4565" s="12" t="str">
        <f aca="false">IF($A4565="","",원본명단!$B4564)</f>
        <v/>
      </c>
      <c r="D4565" s="12" t="str">
        <f aca="false">IF($A4565="","",원본명단!$D4564)</f>
        <v/>
      </c>
      <c r="E4565" s="11" t="str">
        <f aca="false">IF($A4565="","",IF(원본명단!$H4564="",0,COUNTIF(원본명단!$H$3:$H$6002,원본명단!$H4564)))</f>
        <v/>
      </c>
      <c r="F4565" s="11" t="str">
        <f aca="false">IF($A4565="","",IF(원본명단!$I4564="",0,COUNTIF(원본명단!$I$3:$I$6002,원본명단!$I4564)))</f>
        <v/>
      </c>
      <c r="G4565" s="11" t="str">
        <f aca="false">IF($A4565="","",IF(원본명단!$K4564="",0,COUNTIF(원본명단!$K$3:$K$6002,원본명단!$K4564)))</f>
        <v/>
      </c>
      <c r="H4565" s="11" t="str">
        <f aca="false">IF($A4565="","",IF(MAX($E4565,$F4565,$G4565)&gt;1,"중복","-"))</f>
        <v/>
      </c>
      <c r="I4565" s="11" t="str">
        <f aca="false">IF($A4565="","",IF($H4565="-","-",IF(AND(IF(원본명단!$H4564="",TRUE(),COUNTIF(원본명단!$H$3:$H4564,원본명단!$H4564)=1),IF(원본명단!$I4564="",TRUE(),COUNTIF(원본명단!$I$3:$I4564,원본명단!$I4564)=1),IF(원본명단!$K4564="",TRUE(),COUNTIF(원본명단!$K$3:$K4564,원본명단!$K4564)=1)),"첫 건","중복 건")))</f>
        <v/>
      </c>
      <c r="J4565" s="11" t="str">
        <f aca="false">IF($A4565="","",IF($H4565="-","유지",IF($I4565="첫 건","유지","확인 필요")))</f>
        <v/>
      </c>
    </row>
    <row r="4566" customFormat="false" ht="15" hidden="false" customHeight="true" outlineLevel="0" collapsed="false">
      <c r="A4566" s="11" t="str">
        <f aca="false">IF(원본명단!$A4565="","",4563)</f>
        <v/>
      </c>
      <c r="B4566" s="12" t="str">
        <f aca="false">IF($A4566="","",원본명단!$A4565)</f>
        <v/>
      </c>
      <c r="C4566" s="12" t="str">
        <f aca="false">IF($A4566="","",원본명단!$B4565)</f>
        <v/>
      </c>
      <c r="D4566" s="12" t="str">
        <f aca="false">IF($A4566="","",원본명단!$D4565)</f>
        <v/>
      </c>
      <c r="E4566" s="11" t="str">
        <f aca="false">IF($A4566="","",IF(원본명단!$H4565="",0,COUNTIF(원본명단!$H$3:$H$6002,원본명단!$H4565)))</f>
        <v/>
      </c>
      <c r="F4566" s="11" t="str">
        <f aca="false">IF($A4566="","",IF(원본명단!$I4565="",0,COUNTIF(원본명단!$I$3:$I$6002,원본명단!$I4565)))</f>
        <v/>
      </c>
      <c r="G4566" s="11" t="str">
        <f aca="false">IF($A4566="","",IF(원본명단!$K4565="",0,COUNTIF(원본명단!$K$3:$K$6002,원본명단!$K4565)))</f>
        <v/>
      </c>
      <c r="H4566" s="11" t="str">
        <f aca="false">IF($A4566="","",IF(MAX($E4566,$F4566,$G4566)&gt;1,"중복","-"))</f>
        <v/>
      </c>
      <c r="I4566" s="11" t="str">
        <f aca="false">IF($A4566="","",IF($H4566="-","-",IF(AND(IF(원본명단!$H4565="",TRUE(),COUNTIF(원본명단!$H$3:$H4565,원본명단!$H4565)=1),IF(원본명단!$I4565="",TRUE(),COUNTIF(원본명단!$I$3:$I4565,원본명단!$I4565)=1),IF(원본명단!$K4565="",TRUE(),COUNTIF(원본명단!$K$3:$K4565,원본명단!$K4565)=1)),"첫 건","중복 건")))</f>
        <v/>
      </c>
      <c r="J4566" s="11" t="str">
        <f aca="false">IF($A4566="","",IF($H4566="-","유지",IF($I4566="첫 건","유지","확인 필요")))</f>
        <v/>
      </c>
    </row>
    <row r="4567" customFormat="false" ht="15" hidden="false" customHeight="true" outlineLevel="0" collapsed="false">
      <c r="A4567" s="11" t="str">
        <f aca="false">IF(원본명단!$A4566="","",4564)</f>
        <v/>
      </c>
      <c r="B4567" s="12" t="str">
        <f aca="false">IF($A4567="","",원본명단!$A4566)</f>
        <v/>
      </c>
      <c r="C4567" s="12" t="str">
        <f aca="false">IF($A4567="","",원본명단!$B4566)</f>
        <v/>
      </c>
      <c r="D4567" s="12" t="str">
        <f aca="false">IF($A4567="","",원본명단!$D4566)</f>
        <v/>
      </c>
      <c r="E4567" s="11" t="str">
        <f aca="false">IF($A4567="","",IF(원본명단!$H4566="",0,COUNTIF(원본명단!$H$3:$H$6002,원본명단!$H4566)))</f>
        <v/>
      </c>
      <c r="F4567" s="11" t="str">
        <f aca="false">IF($A4567="","",IF(원본명단!$I4566="",0,COUNTIF(원본명단!$I$3:$I$6002,원본명단!$I4566)))</f>
        <v/>
      </c>
      <c r="G4567" s="11" t="str">
        <f aca="false">IF($A4567="","",IF(원본명단!$K4566="",0,COUNTIF(원본명단!$K$3:$K$6002,원본명단!$K4566)))</f>
        <v/>
      </c>
      <c r="H4567" s="11" t="str">
        <f aca="false">IF($A4567="","",IF(MAX($E4567,$F4567,$G4567)&gt;1,"중복","-"))</f>
        <v/>
      </c>
      <c r="I4567" s="11" t="str">
        <f aca="false">IF($A4567="","",IF($H4567="-","-",IF(AND(IF(원본명단!$H4566="",TRUE(),COUNTIF(원본명단!$H$3:$H4566,원본명단!$H4566)=1),IF(원본명단!$I4566="",TRUE(),COUNTIF(원본명단!$I$3:$I4566,원본명단!$I4566)=1),IF(원본명단!$K4566="",TRUE(),COUNTIF(원본명단!$K$3:$K4566,원본명단!$K4566)=1)),"첫 건","중복 건")))</f>
        <v/>
      </c>
      <c r="J4567" s="11" t="str">
        <f aca="false">IF($A4567="","",IF($H4567="-","유지",IF($I4567="첫 건","유지","확인 필요")))</f>
        <v/>
      </c>
    </row>
    <row r="4568" customFormat="false" ht="15" hidden="false" customHeight="true" outlineLevel="0" collapsed="false">
      <c r="A4568" s="11" t="str">
        <f aca="false">IF(원본명단!$A4567="","",4565)</f>
        <v/>
      </c>
      <c r="B4568" s="12" t="str">
        <f aca="false">IF($A4568="","",원본명단!$A4567)</f>
        <v/>
      </c>
      <c r="C4568" s="12" t="str">
        <f aca="false">IF($A4568="","",원본명단!$B4567)</f>
        <v/>
      </c>
      <c r="D4568" s="12" t="str">
        <f aca="false">IF($A4568="","",원본명단!$D4567)</f>
        <v/>
      </c>
      <c r="E4568" s="11" t="str">
        <f aca="false">IF($A4568="","",IF(원본명단!$H4567="",0,COUNTIF(원본명단!$H$3:$H$6002,원본명단!$H4567)))</f>
        <v/>
      </c>
      <c r="F4568" s="11" t="str">
        <f aca="false">IF($A4568="","",IF(원본명단!$I4567="",0,COUNTIF(원본명단!$I$3:$I$6002,원본명단!$I4567)))</f>
        <v/>
      </c>
      <c r="G4568" s="11" t="str">
        <f aca="false">IF($A4568="","",IF(원본명단!$K4567="",0,COUNTIF(원본명단!$K$3:$K$6002,원본명단!$K4567)))</f>
        <v/>
      </c>
      <c r="H4568" s="11" t="str">
        <f aca="false">IF($A4568="","",IF(MAX($E4568,$F4568,$G4568)&gt;1,"중복","-"))</f>
        <v/>
      </c>
      <c r="I4568" s="11" t="str">
        <f aca="false">IF($A4568="","",IF($H4568="-","-",IF(AND(IF(원본명단!$H4567="",TRUE(),COUNTIF(원본명단!$H$3:$H4567,원본명단!$H4567)=1),IF(원본명단!$I4567="",TRUE(),COUNTIF(원본명단!$I$3:$I4567,원본명단!$I4567)=1),IF(원본명단!$K4567="",TRUE(),COUNTIF(원본명단!$K$3:$K4567,원본명단!$K4567)=1)),"첫 건","중복 건")))</f>
        <v/>
      </c>
      <c r="J4568" s="11" t="str">
        <f aca="false">IF($A4568="","",IF($H4568="-","유지",IF($I4568="첫 건","유지","확인 필요")))</f>
        <v/>
      </c>
    </row>
    <row r="4569" customFormat="false" ht="15" hidden="false" customHeight="true" outlineLevel="0" collapsed="false">
      <c r="A4569" s="11" t="str">
        <f aca="false">IF(원본명단!$A4568="","",4566)</f>
        <v/>
      </c>
      <c r="B4569" s="12" t="str">
        <f aca="false">IF($A4569="","",원본명단!$A4568)</f>
        <v/>
      </c>
      <c r="C4569" s="12" t="str">
        <f aca="false">IF($A4569="","",원본명단!$B4568)</f>
        <v/>
      </c>
      <c r="D4569" s="12" t="str">
        <f aca="false">IF($A4569="","",원본명단!$D4568)</f>
        <v/>
      </c>
      <c r="E4569" s="11" t="str">
        <f aca="false">IF($A4569="","",IF(원본명단!$H4568="",0,COUNTIF(원본명단!$H$3:$H$6002,원본명단!$H4568)))</f>
        <v/>
      </c>
      <c r="F4569" s="11" t="str">
        <f aca="false">IF($A4569="","",IF(원본명단!$I4568="",0,COUNTIF(원본명단!$I$3:$I$6002,원본명단!$I4568)))</f>
        <v/>
      </c>
      <c r="G4569" s="11" t="str">
        <f aca="false">IF($A4569="","",IF(원본명단!$K4568="",0,COUNTIF(원본명단!$K$3:$K$6002,원본명단!$K4568)))</f>
        <v/>
      </c>
      <c r="H4569" s="11" t="str">
        <f aca="false">IF($A4569="","",IF(MAX($E4569,$F4569,$G4569)&gt;1,"중복","-"))</f>
        <v/>
      </c>
      <c r="I4569" s="11" t="str">
        <f aca="false">IF($A4569="","",IF($H4569="-","-",IF(AND(IF(원본명단!$H4568="",TRUE(),COUNTIF(원본명단!$H$3:$H4568,원본명단!$H4568)=1),IF(원본명단!$I4568="",TRUE(),COUNTIF(원본명단!$I$3:$I4568,원본명단!$I4568)=1),IF(원본명단!$K4568="",TRUE(),COUNTIF(원본명단!$K$3:$K4568,원본명단!$K4568)=1)),"첫 건","중복 건")))</f>
        <v/>
      </c>
      <c r="J4569" s="11" t="str">
        <f aca="false">IF($A4569="","",IF($H4569="-","유지",IF($I4569="첫 건","유지","확인 필요")))</f>
        <v/>
      </c>
    </row>
    <row r="4570" customFormat="false" ht="15" hidden="false" customHeight="true" outlineLevel="0" collapsed="false">
      <c r="A4570" s="11" t="str">
        <f aca="false">IF(원본명단!$A4569="","",4567)</f>
        <v/>
      </c>
      <c r="B4570" s="12" t="str">
        <f aca="false">IF($A4570="","",원본명단!$A4569)</f>
        <v/>
      </c>
      <c r="C4570" s="12" t="str">
        <f aca="false">IF($A4570="","",원본명단!$B4569)</f>
        <v/>
      </c>
      <c r="D4570" s="12" t="str">
        <f aca="false">IF($A4570="","",원본명단!$D4569)</f>
        <v/>
      </c>
      <c r="E4570" s="11" t="str">
        <f aca="false">IF($A4570="","",IF(원본명단!$H4569="",0,COUNTIF(원본명단!$H$3:$H$6002,원본명단!$H4569)))</f>
        <v/>
      </c>
      <c r="F4570" s="11" t="str">
        <f aca="false">IF($A4570="","",IF(원본명단!$I4569="",0,COUNTIF(원본명단!$I$3:$I$6002,원본명단!$I4569)))</f>
        <v/>
      </c>
      <c r="G4570" s="11" t="str">
        <f aca="false">IF($A4570="","",IF(원본명단!$K4569="",0,COUNTIF(원본명단!$K$3:$K$6002,원본명단!$K4569)))</f>
        <v/>
      </c>
      <c r="H4570" s="11" t="str">
        <f aca="false">IF($A4570="","",IF(MAX($E4570,$F4570,$G4570)&gt;1,"중복","-"))</f>
        <v/>
      </c>
      <c r="I4570" s="11" t="str">
        <f aca="false">IF($A4570="","",IF($H4570="-","-",IF(AND(IF(원본명단!$H4569="",TRUE(),COUNTIF(원본명단!$H$3:$H4569,원본명단!$H4569)=1),IF(원본명단!$I4569="",TRUE(),COUNTIF(원본명단!$I$3:$I4569,원본명단!$I4569)=1),IF(원본명단!$K4569="",TRUE(),COUNTIF(원본명단!$K$3:$K4569,원본명단!$K4569)=1)),"첫 건","중복 건")))</f>
        <v/>
      </c>
      <c r="J4570" s="11" t="str">
        <f aca="false">IF($A4570="","",IF($H4570="-","유지",IF($I4570="첫 건","유지","확인 필요")))</f>
        <v/>
      </c>
    </row>
    <row r="4571" customFormat="false" ht="15" hidden="false" customHeight="true" outlineLevel="0" collapsed="false">
      <c r="A4571" s="11" t="str">
        <f aca="false">IF(원본명단!$A4570="","",4568)</f>
        <v/>
      </c>
      <c r="B4571" s="12" t="str">
        <f aca="false">IF($A4571="","",원본명단!$A4570)</f>
        <v/>
      </c>
      <c r="C4571" s="12" t="str">
        <f aca="false">IF($A4571="","",원본명단!$B4570)</f>
        <v/>
      </c>
      <c r="D4571" s="12" t="str">
        <f aca="false">IF($A4571="","",원본명단!$D4570)</f>
        <v/>
      </c>
      <c r="E4571" s="11" t="str">
        <f aca="false">IF($A4571="","",IF(원본명단!$H4570="",0,COUNTIF(원본명단!$H$3:$H$6002,원본명단!$H4570)))</f>
        <v/>
      </c>
      <c r="F4571" s="11" t="str">
        <f aca="false">IF($A4571="","",IF(원본명단!$I4570="",0,COUNTIF(원본명단!$I$3:$I$6002,원본명단!$I4570)))</f>
        <v/>
      </c>
      <c r="G4571" s="11" t="str">
        <f aca="false">IF($A4571="","",IF(원본명단!$K4570="",0,COUNTIF(원본명단!$K$3:$K$6002,원본명단!$K4570)))</f>
        <v/>
      </c>
      <c r="H4571" s="11" t="str">
        <f aca="false">IF($A4571="","",IF(MAX($E4571,$F4571,$G4571)&gt;1,"중복","-"))</f>
        <v/>
      </c>
      <c r="I4571" s="11" t="str">
        <f aca="false">IF($A4571="","",IF($H4571="-","-",IF(AND(IF(원본명단!$H4570="",TRUE(),COUNTIF(원본명단!$H$3:$H4570,원본명단!$H4570)=1),IF(원본명단!$I4570="",TRUE(),COUNTIF(원본명단!$I$3:$I4570,원본명단!$I4570)=1),IF(원본명단!$K4570="",TRUE(),COUNTIF(원본명단!$K$3:$K4570,원본명단!$K4570)=1)),"첫 건","중복 건")))</f>
        <v/>
      </c>
      <c r="J4571" s="11" t="str">
        <f aca="false">IF($A4571="","",IF($H4571="-","유지",IF($I4571="첫 건","유지","확인 필요")))</f>
        <v/>
      </c>
    </row>
    <row r="4572" customFormat="false" ht="15" hidden="false" customHeight="true" outlineLevel="0" collapsed="false">
      <c r="A4572" s="11" t="str">
        <f aca="false">IF(원본명단!$A4571="","",4569)</f>
        <v/>
      </c>
      <c r="B4572" s="12" t="str">
        <f aca="false">IF($A4572="","",원본명단!$A4571)</f>
        <v/>
      </c>
      <c r="C4572" s="12" t="str">
        <f aca="false">IF($A4572="","",원본명단!$B4571)</f>
        <v/>
      </c>
      <c r="D4572" s="12" t="str">
        <f aca="false">IF($A4572="","",원본명단!$D4571)</f>
        <v/>
      </c>
      <c r="E4572" s="11" t="str">
        <f aca="false">IF($A4572="","",IF(원본명단!$H4571="",0,COUNTIF(원본명단!$H$3:$H$6002,원본명단!$H4571)))</f>
        <v/>
      </c>
      <c r="F4572" s="11" t="str">
        <f aca="false">IF($A4572="","",IF(원본명단!$I4571="",0,COUNTIF(원본명단!$I$3:$I$6002,원본명단!$I4571)))</f>
        <v/>
      </c>
      <c r="G4572" s="11" t="str">
        <f aca="false">IF($A4572="","",IF(원본명단!$K4571="",0,COUNTIF(원본명단!$K$3:$K$6002,원본명단!$K4571)))</f>
        <v/>
      </c>
      <c r="H4572" s="11" t="str">
        <f aca="false">IF($A4572="","",IF(MAX($E4572,$F4572,$G4572)&gt;1,"중복","-"))</f>
        <v/>
      </c>
      <c r="I4572" s="11" t="str">
        <f aca="false">IF($A4572="","",IF($H4572="-","-",IF(AND(IF(원본명단!$H4571="",TRUE(),COUNTIF(원본명단!$H$3:$H4571,원본명단!$H4571)=1),IF(원본명단!$I4571="",TRUE(),COUNTIF(원본명단!$I$3:$I4571,원본명단!$I4571)=1),IF(원본명단!$K4571="",TRUE(),COUNTIF(원본명단!$K$3:$K4571,원본명단!$K4571)=1)),"첫 건","중복 건")))</f>
        <v/>
      </c>
      <c r="J4572" s="11" t="str">
        <f aca="false">IF($A4572="","",IF($H4572="-","유지",IF($I4572="첫 건","유지","확인 필요")))</f>
        <v/>
      </c>
    </row>
    <row r="4573" customFormat="false" ht="15" hidden="false" customHeight="true" outlineLevel="0" collapsed="false">
      <c r="A4573" s="11" t="str">
        <f aca="false">IF(원본명단!$A4572="","",4570)</f>
        <v/>
      </c>
      <c r="B4573" s="12" t="str">
        <f aca="false">IF($A4573="","",원본명단!$A4572)</f>
        <v/>
      </c>
      <c r="C4573" s="12" t="str">
        <f aca="false">IF($A4573="","",원본명단!$B4572)</f>
        <v/>
      </c>
      <c r="D4573" s="12" t="str">
        <f aca="false">IF($A4573="","",원본명단!$D4572)</f>
        <v/>
      </c>
      <c r="E4573" s="11" t="str">
        <f aca="false">IF($A4573="","",IF(원본명단!$H4572="",0,COUNTIF(원본명단!$H$3:$H$6002,원본명단!$H4572)))</f>
        <v/>
      </c>
      <c r="F4573" s="11" t="str">
        <f aca="false">IF($A4573="","",IF(원본명단!$I4572="",0,COUNTIF(원본명단!$I$3:$I$6002,원본명단!$I4572)))</f>
        <v/>
      </c>
      <c r="G4573" s="11" t="str">
        <f aca="false">IF($A4573="","",IF(원본명단!$K4572="",0,COUNTIF(원본명단!$K$3:$K$6002,원본명단!$K4572)))</f>
        <v/>
      </c>
      <c r="H4573" s="11" t="str">
        <f aca="false">IF($A4573="","",IF(MAX($E4573,$F4573,$G4573)&gt;1,"중복","-"))</f>
        <v/>
      </c>
      <c r="I4573" s="11" t="str">
        <f aca="false">IF($A4573="","",IF($H4573="-","-",IF(AND(IF(원본명단!$H4572="",TRUE(),COUNTIF(원본명단!$H$3:$H4572,원본명단!$H4572)=1),IF(원본명단!$I4572="",TRUE(),COUNTIF(원본명단!$I$3:$I4572,원본명단!$I4572)=1),IF(원본명단!$K4572="",TRUE(),COUNTIF(원본명단!$K$3:$K4572,원본명단!$K4572)=1)),"첫 건","중복 건")))</f>
        <v/>
      </c>
      <c r="J4573" s="11" t="str">
        <f aca="false">IF($A4573="","",IF($H4573="-","유지",IF($I4573="첫 건","유지","확인 필요")))</f>
        <v/>
      </c>
    </row>
    <row r="4574" customFormat="false" ht="15" hidden="false" customHeight="true" outlineLevel="0" collapsed="false">
      <c r="A4574" s="11" t="str">
        <f aca="false">IF(원본명단!$A4573="","",4571)</f>
        <v/>
      </c>
      <c r="B4574" s="12" t="str">
        <f aca="false">IF($A4574="","",원본명단!$A4573)</f>
        <v/>
      </c>
      <c r="C4574" s="12" t="str">
        <f aca="false">IF($A4574="","",원본명단!$B4573)</f>
        <v/>
      </c>
      <c r="D4574" s="12" t="str">
        <f aca="false">IF($A4574="","",원본명단!$D4573)</f>
        <v/>
      </c>
      <c r="E4574" s="11" t="str">
        <f aca="false">IF($A4574="","",IF(원본명단!$H4573="",0,COUNTIF(원본명단!$H$3:$H$6002,원본명단!$H4573)))</f>
        <v/>
      </c>
      <c r="F4574" s="11" t="str">
        <f aca="false">IF($A4574="","",IF(원본명단!$I4573="",0,COUNTIF(원본명단!$I$3:$I$6002,원본명단!$I4573)))</f>
        <v/>
      </c>
      <c r="G4574" s="11" t="str">
        <f aca="false">IF($A4574="","",IF(원본명단!$K4573="",0,COUNTIF(원본명단!$K$3:$K$6002,원본명단!$K4573)))</f>
        <v/>
      </c>
      <c r="H4574" s="11" t="str">
        <f aca="false">IF($A4574="","",IF(MAX($E4574,$F4574,$G4574)&gt;1,"중복","-"))</f>
        <v/>
      </c>
      <c r="I4574" s="11" t="str">
        <f aca="false">IF($A4574="","",IF($H4574="-","-",IF(AND(IF(원본명단!$H4573="",TRUE(),COUNTIF(원본명단!$H$3:$H4573,원본명단!$H4573)=1),IF(원본명단!$I4573="",TRUE(),COUNTIF(원본명단!$I$3:$I4573,원본명단!$I4573)=1),IF(원본명단!$K4573="",TRUE(),COUNTIF(원본명단!$K$3:$K4573,원본명단!$K4573)=1)),"첫 건","중복 건")))</f>
        <v/>
      </c>
      <c r="J4574" s="11" t="str">
        <f aca="false">IF($A4574="","",IF($H4574="-","유지",IF($I4574="첫 건","유지","확인 필요")))</f>
        <v/>
      </c>
    </row>
    <row r="4575" customFormat="false" ht="15" hidden="false" customHeight="true" outlineLevel="0" collapsed="false">
      <c r="A4575" s="11" t="str">
        <f aca="false">IF(원본명단!$A4574="","",4572)</f>
        <v/>
      </c>
      <c r="B4575" s="12" t="str">
        <f aca="false">IF($A4575="","",원본명단!$A4574)</f>
        <v/>
      </c>
      <c r="C4575" s="12" t="str">
        <f aca="false">IF($A4575="","",원본명단!$B4574)</f>
        <v/>
      </c>
      <c r="D4575" s="12" t="str">
        <f aca="false">IF($A4575="","",원본명단!$D4574)</f>
        <v/>
      </c>
      <c r="E4575" s="11" t="str">
        <f aca="false">IF($A4575="","",IF(원본명단!$H4574="",0,COUNTIF(원본명단!$H$3:$H$6002,원본명단!$H4574)))</f>
        <v/>
      </c>
      <c r="F4575" s="11" t="str">
        <f aca="false">IF($A4575="","",IF(원본명단!$I4574="",0,COUNTIF(원본명단!$I$3:$I$6002,원본명단!$I4574)))</f>
        <v/>
      </c>
      <c r="G4575" s="11" t="str">
        <f aca="false">IF($A4575="","",IF(원본명단!$K4574="",0,COUNTIF(원본명단!$K$3:$K$6002,원본명단!$K4574)))</f>
        <v/>
      </c>
      <c r="H4575" s="11" t="str">
        <f aca="false">IF($A4575="","",IF(MAX($E4575,$F4575,$G4575)&gt;1,"중복","-"))</f>
        <v/>
      </c>
      <c r="I4575" s="11" t="str">
        <f aca="false">IF($A4575="","",IF($H4575="-","-",IF(AND(IF(원본명단!$H4574="",TRUE(),COUNTIF(원본명단!$H$3:$H4574,원본명단!$H4574)=1),IF(원본명단!$I4574="",TRUE(),COUNTIF(원본명단!$I$3:$I4574,원본명단!$I4574)=1),IF(원본명단!$K4574="",TRUE(),COUNTIF(원본명단!$K$3:$K4574,원본명단!$K4574)=1)),"첫 건","중복 건")))</f>
        <v/>
      </c>
      <c r="J4575" s="11" t="str">
        <f aca="false">IF($A4575="","",IF($H4575="-","유지",IF($I4575="첫 건","유지","확인 필요")))</f>
        <v/>
      </c>
    </row>
    <row r="4576" customFormat="false" ht="15" hidden="false" customHeight="true" outlineLevel="0" collapsed="false">
      <c r="A4576" s="11" t="str">
        <f aca="false">IF(원본명단!$A4575="","",4573)</f>
        <v/>
      </c>
      <c r="B4576" s="12" t="str">
        <f aca="false">IF($A4576="","",원본명단!$A4575)</f>
        <v/>
      </c>
      <c r="C4576" s="12" t="str">
        <f aca="false">IF($A4576="","",원본명단!$B4575)</f>
        <v/>
      </c>
      <c r="D4576" s="12" t="str">
        <f aca="false">IF($A4576="","",원본명단!$D4575)</f>
        <v/>
      </c>
      <c r="E4576" s="11" t="str">
        <f aca="false">IF($A4576="","",IF(원본명단!$H4575="",0,COUNTIF(원본명단!$H$3:$H$6002,원본명단!$H4575)))</f>
        <v/>
      </c>
      <c r="F4576" s="11" t="str">
        <f aca="false">IF($A4576="","",IF(원본명단!$I4575="",0,COUNTIF(원본명단!$I$3:$I$6002,원본명단!$I4575)))</f>
        <v/>
      </c>
      <c r="G4576" s="11" t="str">
        <f aca="false">IF($A4576="","",IF(원본명단!$K4575="",0,COUNTIF(원본명단!$K$3:$K$6002,원본명단!$K4575)))</f>
        <v/>
      </c>
      <c r="H4576" s="11" t="str">
        <f aca="false">IF($A4576="","",IF(MAX($E4576,$F4576,$G4576)&gt;1,"중복","-"))</f>
        <v/>
      </c>
      <c r="I4576" s="11" t="str">
        <f aca="false">IF($A4576="","",IF($H4576="-","-",IF(AND(IF(원본명단!$H4575="",TRUE(),COUNTIF(원본명단!$H$3:$H4575,원본명단!$H4575)=1),IF(원본명단!$I4575="",TRUE(),COUNTIF(원본명단!$I$3:$I4575,원본명단!$I4575)=1),IF(원본명단!$K4575="",TRUE(),COUNTIF(원본명단!$K$3:$K4575,원본명단!$K4575)=1)),"첫 건","중복 건")))</f>
        <v/>
      </c>
      <c r="J4576" s="11" t="str">
        <f aca="false">IF($A4576="","",IF($H4576="-","유지",IF($I4576="첫 건","유지","확인 필요")))</f>
        <v/>
      </c>
    </row>
    <row r="4577" customFormat="false" ht="15" hidden="false" customHeight="true" outlineLevel="0" collapsed="false">
      <c r="A4577" s="11" t="str">
        <f aca="false">IF(원본명단!$A4576="","",4574)</f>
        <v/>
      </c>
      <c r="B4577" s="12" t="str">
        <f aca="false">IF($A4577="","",원본명단!$A4576)</f>
        <v/>
      </c>
      <c r="C4577" s="12" t="str">
        <f aca="false">IF($A4577="","",원본명단!$B4576)</f>
        <v/>
      </c>
      <c r="D4577" s="12" t="str">
        <f aca="false">IF($A4577="","",원본명단!$D4576)</f>
        <v/>
      </c>
      <c r="E4577" s="11" t="str">
        <f aca="false">IF($A4577="","",IF(원본명단!$H4576="",0,COUNTIF(원본명단!$H$3:$H$6002,원본명단!$H4576)))</f>
        <v/>
      </c>
      <c r="F4577" s="11" t="str">
        <f aca="false">IF($A4577="","",IF(원본명단!$I4576="",0,COUNTIF(원본명단!$I$3:$I$6002,원본명단!$I4576)))</f>
        <v/>
      </c>
      <c r="G4577" s="11" t="str">
        <f aca="false">IF($A4577="","",IF(원본명단!$K4576="",0,COUNTIF(원본명단!$K$3:$K$6002,원본명단!$K4576)))</f>
        <v/>
      </c>
      <c r="H4577" s="11" t="str">
        <f aca="false">IF($A4577="","",IF(MAX($E4577,$F4577,$G4577)&gt;1,"중복","-"))</f>
        <v/>
      </c>
      <c r="I4577" s="11" t="str">
        <f aca="false">IF($A4577="","",IF($H4577="-","-",IF(AND(IF(원본명단!$H4576="",TRUE(),COUNTIF(원본명단!$H$3:$H4576,원본명단!$H4576)=1),IF(원본명단!$I4576="",TRUE(),COUNTIF(원본명단!$I$3:$I4576,원본명단!$I4576)=1),IF(원본명단!$K4576="",TRUE(),COUNTIF(원본명단!$K$3:$K4576,원본명단!$K4576)=1)),"첫 건","중복 건")))</f>
        <v/>
      </c>
      <c r="J4577" s="11" t="str">
        <f aca="false">IF($A4577="","",IF($H4577="-","유지",IF($I4577="첫 건","유지","확인 필요")))</f>
        <v/>
      </c>
    </row>
    <row r="4578" customFormat="false" ht="15" hidden="false" customHeight="true" outlineLevel="0" collapsed="false">
      <c r="A4578" s="11" t="str">
        <f aca="false">IF(원본명단!$A4577="","",4575)</f>
        <v/>
      </c>
      <c r="B4578" s="12" t="str">
        <f aca="false">IF($A4578="","",원본명단!$A4577)</f>
        <v/>
      </c>
      <c r="C4578" s="12" t="str">
        <f aca="false">IF($A4578="","",원본명단!$B4577)</f>
        <v/>
      </c>
      <c r="D4578" s="12" t="str">
        <f aca="false">IF($A4578="","",원본명단!$D4577)</f>
        <v/>
      </c>
      <c r="E4578" s="11" t="str">
        <f aca="false">IF($A4578="","",IF(원본명단!$H4577="",0,COUNTIF(원본명단!$H$3:$H$6002,원본명단!$H4577)))</f>
        <v/>
      </c>
      <c r="F4578" s="11" t="str">
        <f aca="false">IF($A4578="","",IF(원본명단!$I4577="",0,COUNTIF(원본명단!$I$3:$I$6002,원본명단!$I4577)))</f>
        <v/>
      </c>
      <c r="G4578" s="11" t="str">
        <f aca="false">IF($A4578="","",IF(원본명단!$K4577="",0,COUNTIF(원본명단!$K$3:$K$6002,원본명단!$K4577)))</f>
        <v/>
      </c>
      <c r="H4578" s="11" t="str">
        <f aca="false">IF($A4578="","",IF(MAX($E4578,$F4578,$G4578)&gt;1,"중복","-"))</f>
        <v/>
      </c>
      <c r="I4578" s="11" t="str">
        <f aca="false">IF($A4578="","",IF($H4578="-","-",IF(AND(IF(원본명단!$H4577="",TRUE(),COUNTIF(원본명단!$H$3:$H4577,원본명단!$H4577)=1),IF(원본명단!$I4577="",TRUE(),COUNTIF(원본명단!$I$3:$I4577,원본명단!$I4577)=1),IF(원본명단!$K4577="",TRUE(),COUNTIF(원본명단!$K$3:$K4577,원본명단!$K4577)=1)),"첫 건","중복 건")))</f>
        <v/>
      </c>
      <c r="J4578" s="11" t="str">
        <f aca="false">IF($A4578="","",IF($H4578="-","유지",IF($I4578="첫 건","유지","확인 필요")))</f>
        <v/>
      </c>
    </row>
    <row r="4579" customFormat="false" ht="15" hidden="false" customHeight="true" outlineLevel="0" collapsed="false">
      <c r="A4579" s="11" t="str">
        <f aca="false">IF(원본명단!$A4578="","",4576)</f>
        <v/>
      </c>
      <c r="B4579" s="12" t="str">
        <f aca="false">IF($A4579="","",원본명단!$A4578)</f>
        <v/>
      </c>
      <c r="C4579" s="12" t="str">
        <f aca="false">IF($A4579="","",원본명단!$B4578)</f>
        <v/>
      </c>
      <c r="D4579" s="12" t="str">
        <f aca="false">IF($A4579="","",원본명단!$D4578)</f>
        <v/>
      </c>
      <c r="E4579" s="11" t="str">
        <f aca="false">IF($A4579="","",IF(원본명단!$H4578="",0,COUNTIF(원본명단!$H$3:$H$6002,원본명단!$H4578)))</f>
        <v/>
      </c>
      <c r="F4579" s="11" t="str">
        <f aca="false">IF($A4579="","",IF(원본명단!$I4578="",0,COUNTIF(원본명단!$I$3:$I$6002,원본명단!$I4578)))</f>
        <v/>
      </c>
      <c r="G4579" s="11" t="str">
        <f aca="false">IF($A4579="","",IF(원본명단!$K4578="",0,COUNTIF(원본명단!$K$3:$K$6002,원본명단!$K4578)))</f>
        <v/>
      </c>
      <c r="H4579" s="11" t="str">
        <f aca="false">IF($A4579="","",IF(MAX($E4579,$F4579,$G4579)&gt;1,"중복","-"))</f>
        <v/>
      </c>
      <c r="I4579" s="11" t="str">
        <f aca="false">IF($A4579="","",IF($H4579="-","-",IF(AND(IF(원본명단!$H4578="",TRUE(),COUNTIF(원본명단!$H$3:$H4578,원본명단!$H4578)=1),IF(원본명단!$I4578="",TRUE(),COUNTIF(원본명단!$I$3:$I4578,원본명단!$I4578)=1),IF(원본명단!$K4578="",TRUE(),COUNTIF(원본명단!$K$3:$K4578,원본명단!$K4578)=1)),"첫 건","중복 건")))</f>
        <v/>
      </c>
      <c r="J4579" s="11" t="str">
        <f aca="false">IF($A4579="","",IF($H4579="-","유지",IF($I4579="첫 건","유지","확인 필요")))</f>
        <v/>
      </c>
    </row>
    <row r="4580" customFormat="false" ht="15" hidden="false" customHeight="true" outlineLevel="0" collapsed="false">
      <c r="A4580" s="11" t="str">
        <f aca="false">IF(원본명단!$A4579="","",4577)</f>
        <v/>
      </c>
      <c r="B4580" s="12" t="str">
        <f aca="false">IF($A4580="","",원본명단!$A4579)</f>
        <v/>
      </c>
      <c r="C4580" s="12" t="str">
        <f aca="false">IF($A4580="","",원본명단!$B4579)</f>
        <v/>
      </c>
      <c r="D4580" s="12" t="str">
        <f aca="false">IF($A4580="","",원본명단!$D4579)</f>
        <v/>
      </c>
      <c r="E4580" s="11" t="str">
        <f aca="false">IF($A4580="","",IF(원본명단!$H4579="",0,COUNTIF(원본명단!$H$3:$H$6002,원본명단!$H4579)))</f>
        <v/>
      </c>
      <c r="F4580" s="11" t="str">
        <f aca="false">IF($A4580="","",IF(원본명단!$I4579="",0,COUNTIF(원본명단!$I$3:$I$6002,원본명단!$I4579)))</f>
        <v/>
      </c>
      <c r="G4580" s="11" t="str">
        <f aca="false">IF($A4580="","",IF(원본명단!$K4579="",0,COUNTIF(원본명단!$K$3:$K$6002,원본명단!$K4579)))</f>
        <v/>
      </c>
      <c r="H4580" s="11" t="str">
        <f aca="false">IF($A4580="","",IF(MAX($E4580,$F4580,$G4580)&gt;1,"중복","-"))</f>
        <v/>
      </c>
      <c r="I4580" s="11" t="str">
        <f aca="false">IF($A4580="","",IF($H4580="-","-",IF(AND(IF(원본명단!$H4579="",TRUE(),COUNTIF(원본명단!$H$3:$H4579,원본명단!$H4579)=1),IF(원본명단!$I4579="",TRUE(),COUNTIF(원본명단!$I$3:$I4579,원본명단!$I4579)=1),IF(원본명단!$K4579="",TRUE(),COUNTIF(원본명단!$K$3:$K4579,원본명단!$K4579)=1)),"첫 건","중복 건")))</f>
        <v/>
      </c>
      <c r="J4580" s="11" t="str">
        <f aca="false">IF($A4580="","",IF($H4580="-","유지",IF($I4580="첫 건","유지","확인 필요")))</f>
        <v/>
      </c>
    </row>
    <row r="4581" customFormat="false" ht="15" hidden="false" customHeight="true" outlineLevel="0" collapsed="false">
      <c r="A4581" s="11" t="str">
        <f aca="false">IF(원본명단!$A4580="","",4578)</f>
        <v/>
      </c>
      <c r="B4581" s="12" t="str">
        <f aca="false">IF($A4581="","",원본명단!$A4580)</f>
        <v/>
      </c>
      <c r="C4581" s="12" t="str">
        <f aca="false">IF($A4581="","",원본명단!$B4580)</f>
        <v/>
      </c>
      <c r="D4581" s="12" t="str">
        <f aca="false">IF($A4581="","",원본명단!$D4580)</f>
        <v/>
      </c>
      <c r="E4581" s="11" t="str">
        <f aca="false">IF($A4581="","",IF(원본명단!$H4580="",0,COUNTIF(원본명단!$H$3:$H$6002,원본명단!$H4580)))</f>
        <v/>
      </c>
      <c r="F4581" s="11" t="str">
        <f aca="false">IF($A4581="","",IF(원본명단!$I4580="",0,COUNTIF(원본명단!$I$3:$I$6002,원본명단!$I4580)))</f>
        <v/>
      </c>
      <c r="G4581" s="11" t="str">
        <f aca="false">IF($A4581="","",IF(원본명단!$K4580="",0,COUNTIF(원본명단!$K$3:$K$6002,원본명단!$K4580)))</f>
        <v/>
      </c>
      <c r="H4581" s="11" t="str">
        <f aca="false">IF($A4581="","",IF(MAX($E4581,$F4581,$G4581)&gt;1,"중복","-"))</f>
        <v/>
      </c>
      <c r="I4581" s="11" t="str">
        <f aca="false">IF($A4581="","",IF($H4581="-","-",IF(AND(IF(원본명단!$H4580="",TRUE(),COUNTIF(원본명단!$H$3:$H4580,원본명단!$H4580)=1),IF(원본명단!$I4580="",TRUE(),COUNTIF(원본명단!$I$3:$I4580,원본명단!$I4580)=1),IF(원본명단!$K4580="",TRUE(),COUNTIF(원본명단!$K$3:$K4580,원본명단!$K4580)=1)),"첫 건","중복 건")))</f>
        <v/>
      </c>
      <c r="J4581" s="11" t="str">
        <f aca="false">IF($A4581="","",IF($H4581="-","유지",IF($I4581="첫 건","유지","확인 필요")))</f>
        <v/>
      </c>
    </row>
    <row r="4582" customFormat="false" ht="15" hidden="false" customHeight="true" outlineLevel="0" collapsed="false">
      <c r="A4582" s="11" t="str">
        <f aca="false">IF(원본명단!$A4581="","",4579)</f>
        <v/>
      </c>
      <c r="B4582" s="12" t="str">
        <f aca="false">IF($A4582="","",원본명단!$A4581)</f>
        <v/>
      </c>
      <c r="C4582" s="12" t="str">
        <f aca="false">IF($A4582="","",원본명단!$B4581)</f>
        <v/>
      </c>
      <c r="D4582" s="12" t="str">
        <f aca="false">IF($A4582="","",원본명단!$D4581)</f>
        <v/>
      </c>
      <c r="E4582" s="11" t="str">
        <f aca="false">IF($A4582="","",IF(원본명단!$H4581="",0,COUNTIF(원본명단!$H$3:$H$6002,원본명단!$H4581)))</f>
        <v/>
      </c>
      <c r="F4582" s="11" t="str">
        <f aca="false">IF($A4582="","",IF(원본명단!$I4581="",0,COUNTIF(원본명단!$I$3:$I$6002,원본명단!$I4581)))</f>
        <v/>
      </c>
      <c r="G4582" s="11" t="str">
        <f aca="false">IF($A4582="","",IF(원본명단!$K4581="",0,COUNTIF(원본명단!$K$3:$K$6002,원본명단!$K4581)))</f>
        <v/>
      </c>
      <c r="H4582" s="11" t="str">
        <f aca="false">IF($A4582="","",IF(MAX($E4582,$F4582,$G4582)&gt;1,"중복","-"))</f>
        <v/>
      </c>
      <c r="I4582" s="11" t="str">
        <f aca="false">IF($A4582="","",IF($H4582="-","-",IF(AND(IF(원본명단!$H4581="",TRUE(),COUNTIF(원본명단!$H$3:$H4581,원본명단!$H4581)=1),IF(원본명단!$I4581="",TRUE(),COUNTIF(원본명단!$I$3:$I4581,원본명단!$I4581)=1),IF(원본명단!$K4581="",TRUE(),COUNTIF(원본명단!$K$3:$K4581,원본명단!$K4581)=1)),"첫 건","중복 건")))</f>
        <v/>
      </c>
      <c r="J4582" s="11" t="str">
        <f aca="false">IF($A4582="","",IF($H4582="-","유지",IF($I4582="첫 건","유지","확인 필요")))</f>
        <v/>
      </c>
    </row>
    <row r="4583" customFormat="false" ht="15" hidden="false" customHeight="true" outlineLevel="0" collapsed="false">
      <c r="A4583" s="11" t="str">
        <f aca="false">IF(원본명단!$A4582="","",4580)</f>
        <v/>
      </c>
      <c r="B4583" s="12" t="str">
        <f aca="false">IF($A4583="","",원본명단!$A4582)</f>
        <v/>
      </c>
      <c r="C4583" s="12" t="str">
        <f aca="false">IF($A4583="","",원본명단!$B4582)</f>
        <v/>
      </c>
      <c r="D4583" s="12" t="str">
        <f aca="false">IF($A4583="","",원본명단!$D4582)</f>
        <v/>
      </c>
      <c r="E4583" s="11" t="str">
        <f aca="false">IF($A4583="","",IF(원본명단!$H4582="",0,COUNTIF(원본명단!$H$3:$H$6002,원본명단!$H4582)))</f>
        <v/>
      </c>
      <c r="F4583" s="11" t="str">
        <f aca="false">IF($A4583="","",IF(원본명단!$I4582="",0,COUNTIF(원본명단!$I$3:$I$6002,원본명단!$I4582)))</f>
        <v/>
      </c>
      <c r="G4583" s="11" t="str">
        <f aca="false">IF($A4583="","",IF(원본명단!$K4582="",0,COUNTIF(원본명단!$K$3:$K$6002,원본명단!$K4582)))</f>
        <v/>
      </c>
      <c r="H4583" s="11" t="str">
        <f aca="false">IF($A4583="","",IF(MAX($E4583,$F4583,$G4583)&gt;1,"중복","-"))</f>
        <v/>
      </c>
      <c r="I4583" s="11" t="str">
        <f aca="false">IF($A4583="","",IF($H4583="-","-",IF(AND(IF(원본명단!$H4582="",TRUE(),COUNTIF(원본명단!$H$3:$H4582,원본명단!$H4582)=1),IF(원본명단!$I4582="",TRUE(),COUNTIF(원본명단!$I$3:$I4582,원본명단!$I4582)=1),IF(원본명단!$K4582="",TRUE(),COUNTIF(원본명단!$K$3:$K4582,원본명단!$K4582)=1)),"첫 건","중복 건")))</f>
        <v/>
      </c>
      <c r="J4583" s="11" t="str">
        <f aca="false">IF($A4583="","",IF($H4583="-","유지",IF($I4583="첫 건","유지","확인 필요")))</f>
        <v/>
      </c>
    </row>
    <row r="4584" customFormat="false" ht="15" hidden="false" customHeight="true" outlineLevel="0" collapsed="false">
      <c r="A4584" s="11" t="str">
        <f aca="false">IF(원본명단!$A4583="","",4581)</f>
        <v/>
      </c>
      <c r="B4584" s="12" t="str">
        <f aca="false">IF($A4584="","",원본명단!$A4583)</f>
        <v/>
      </c>
      <c r="C4584" s="12" t="str">
        <f aca="false">IF($A4584="","",원본명단!$B4583)</f>
        <v/>
      </c>
      <c r="D4584" s="12" t="str">
        <f aca="false">IF($A4584="","",원본명단!$D4583)</f>
        <v/>
      </c>
      <c r="E4584" s="11" t="str">
        <f aca="false">IF($A4584="","",IF(원본명단!$H4583="",0,COUNTIF(원본명단!$H$3:$H$6002,원본명단!$H4583)))</f>
        <v/>
      </c>
      <c r="F4584" s="11" t="str">
        <f aca="false">IF($A4584="","",IF(원본명단!$I4583="",0,COUNTIF(원본명단!$I$3:$I$6002,원본명단!$I4583)))</f>
        <v/>
      </c>
      <c r="G4584" s="11" t="str">
        <f aca="false">IF($A4584="","",IF(원본명단!$K4583="",0,COUNTIF(원본명단!$K$3:$K$6002,원본명단!$K4583)))</f>
        <v/>
      </c>
      <c r="H4584" s="11" t="str">
        <f aca="false">IF($A4584="","",IF(MAX($E4584,$F4584,$G4584)&gt;1,"중복","-"))</f>
        <v/>
      </c>
      <c r="I4584" s="11" t="str">
        <f aca="false">IF($A4584="","",IF($H4584="-","-",IF(AND(IF(원본명단!$H4583="",TRUE(),COUNTIF(원본명단!$H$3:$H4583,원본명단!$H4583)=1),IF(원본명단!$I4583="",TRUE(),COUNTIF(원본명단!$I$3:$I4583,원본명단!$I4583)=1),IF(원본명단!$K4583="",TRUE(),COUNTIF(원본명단!$K$3:$K4583,원본명단!$K4583)=1)),"첫 건","중복 건")))</f>
        <v/>
      </c>
      <c r="J4584" s="11" t="str">
        <f aca="false">IF($A4584="","",IF($H4584="-","유지",IF($I4584="첫 건","유지","확인 필요")))</f>
        <v/>
      </c>
    </row>
    <row r="4585" customFormat="false" ht="15" hidden="false" customHeight="true" outlineLevel="0" collapsed="false">
      <c r="A4585" s="11" t="str">
        <f aca="false">IF(원본명단!$A4584="","",4582)</f>
        <v/>
      </c>
      <c r="B4585" s="12" t="str">
        <f aca="false">IF($A4585="","",원본명단!$A4584)</f>
        <v/>
      </c>
      <c r="C4585" s="12" t="str">
        <f aca="false">IF($A4585="","",원본명단!$B4584)</f>
        <v/>
      </c>
      <c r="D4585" s="12" t="str">
        <f aca="false">IF($A4585="","",원본명단!$D4584)</f>
        <v/>
      </c>
      <c r="E4585" s="11" t="str">
        <f aca="false">IF($A4585="","",IF(원본명단!$H4584="",0,COUNTIF(원본명단!$H$3:$H$6002,원본명단!$H4584)))</f>
        <v/>
      </c>
      <c r="F4585" s="11" t="str">
        <f aca="false">IF($A4585="","",IF(원본명단!$I4584="",0,COUNTIF(원본명단!$I$3:$I$6002,원본명단!$I4584)))</f>
        <v/>
      </c>
      <c r="G4585" s="11" t="str">
        <f aca="false">IF($A4585="","",IF(원본명단!$K4584="",0,COUNTIF(원본명단!$K$3:$K$6002,원본명단!$K4584)))</f>
        <v/>
      </c>
      <c r="H4585" s="11" t="str">
        <f aca="false">IF($A4585="","",IF(MAX($E4585,$F4585,$G4585)&gt;1,"중복","-"))</f>
        <v/>
      </c>
      <c r="I4585" s="11" t="str">
        <f aca="false">IF($A4585="","",IF($H4585="-","-",IF(AND(IF(원본명단!$H4584="",TRUE(),COUNTIF(원본명단!$H$3:$H4584,원본명단!$H4584)=1),IF(원본명단!$I4584="",TRUE(),COUNTIF(원본명단!$I$3:$I4584,원본명단!$I4584)=1),IF(원본명단!$K4584="",TRUE(),COUNTIF(원본명단!$K$3:$K4584,원본명단!$K4584)=1)),"첫 건","중복 건")))</f>
        <v/>
      </c>
      <c r="J4585" s="11" t="str">
        <f aca="false">IF($A4585="","",IF($H4585="-","유지",IF($I4585="첫 건","유지","확인 필요")))</f>
        <v/>
      </c>
    </row>
    <row r="4586" customFormat="false" ht="15" hidden="false" customHeight="true" outlineLevel="0" collapsed="false">
      <c r="A4586" s="11" t="str">
        <f aca="false">IF(원본명단!$A4585="","",4583)</f>
        <v/>
      </c>
      <c r="B4586" s="12" t="str">
        <f aca="false">IF($A4586="","",원본명단!$A4585)</f>
        <v/>
      </c>
      <c r="C4586" s="12" t="str">
        <f aca="false">IF($A4586="","",원본명단!$B4585)</f>
        <v/>
      </c>
      <c r="D4586" s="12" t="str">
        <f aca="false">IF($A4586="","",원본명단!$D4585)</f>
        <v/>
      </c>
      <c r="E4586" s="11" t="str">
        <f aca="false">IF($A4586="","",IF(원본명단!$H4585="",0,COUNTIF(원본명단!$H$3:$H$6002,원본명단!$H4585)))</f>
        <v/>
      </c>
      <c r="F4586" s="11" t="str">
        <f aca="false">IF($A4586="","",IF(원본명단!$I4585="",0,COUNTIF(원본명단!$I$3:$I$6002,원본명단!$I4585)))</f>
        <v/>
      </c>
      <c r="G4586" s="11" t="str">
        <f aca="false">IF($A4586="","",IF(원본명단!$K4585="",0,COUNTIF(원본명단!$K$3:$K$6002,원본명단!$K4585)))</f>
        <v/>
      </c>
      <c r="H4586" s="11" t="str">
        <f aca="false">IF($A4586="","",IF(MAX($E4586,$F4586,$G4586)&gt;1,"중복","-"))</f>
        <v/>
      </c>
      <c r="I4586" s="11" t="str">
        <f aca="false">IF($A4586="","",IF($H4586="-","-",IF(AND(IF(원본명단!$H4585="",TRUE(),COUNTIF(원본명단!$H$3:$H4585,원본명단!$H4585)=1),IF(원본명단!$I4585="",TRUE(),COUNTIF(원본명단!$I$3:$I4585,원본명단!$I4585)=1),IF(원본명단!$K4585="",TRUE(),COUNTIF(원본명단!$K$3:$K4585,원본명단!$K4585)=1)),"첫 건","중복 건")))</f>
        <v/>
      </c>
      <c r="J4586" s="11" t="str">
        <f aca="false">IF($A4586="","",IF($H4586="-","유지",IF($I4586="첫 건","유지","확인 필요")))</f>
        <v/>
      </c>
    </row>
    <row r="4587" customFormat="false" ht="15" hidden="false" customHeight="true" outlineLevel="0" collapsed="false">
      <c r="A4587" s="11" t="str">
        <f aca="false">IF(원본명단!$A4586="","",4584)</f>
        <v/>
      </c>
      <c r="B4587" s="12" t="str">
        <f aca="false">IF($A4587="","",원본명단!$A4586)</f>
        <v/>
      </c>
      <c r="C4587" s="12" t="str">
        <f aca="false">IF($A4587="","",원본명단!$B4586)</f>
        <v/>
      </c>
      <c r="D4587" s="12" t="str">
        <f aca="false">IF($A4587="","",원본명단!$D4586)</f>
        <v/>
      </c>
      <c r="E4587" s="11" t="str">
        <f aca="false">IF($A4587="","",IF(원본명단!$H4586="",0,COUNTIF(원본명단!$H$3:$H$6002,원본명단!$H4586)))</f>
        <v/>
      </c>
      <c r="F4587" s="11" t="str">
        <f aca="false">IF($A4587="","",IF(원본명단!$I4586="",0,COUNTIF(원본명단!$I$3:$I$6002,원본명단!$I4586)))</f>
        <v/>
      </c>
      <c r="G4587" s="11" t="str">
        <f aca="false">IF($A4587="","",IF(원본명단!$K4586="",0,COUNTIF(원본명단!$K$3:$K$6002,원본명단!$K4586)))</f>
        <v/>
      </c>
      <c r="H4587" s="11" t="str">
        <f aca="false">IF($A4587="","",IF(MAX($E4587,$F4587,$G4587)&gt;1,"중복","-"))</f>
        <v/>
      </c>
      <c r="I4587" s="11" t="str">
        <f aca="false">IF($A4587="","",IF($H4587="-","-",IF(AND(IF(원본명단!$H4586="",TRUE(),COUNTIF(원본명단!$H$3:$H4586,원본명단!$H4586)=1),IF(원본명단!$I4586="",TRUE(),COUNTIF(원본명단!$I$3:$I4586,원본명단!$I4586)=1),IF(원본명단!$K4586="",TRUE(),COUNTIF(원본명단!$K$3:$K4586,원본명단!$K4586)=1)),"첫 건","중복 건")))</f>
        <v/>
      </c>
      <c r="J4587" s="11" t="str">
        <f aca="false">IF($A4587="","",IF($H4587="-","유지",IF($I4587="첫 건","유지","확인 필요")))</f>
        <v/>
      </c>
    </row>
    <row r="4588" customFormat="false" ht="15" hidden="false" customHeight="true" outlineLevel="0" collapsed="false">
      <c r="A4588" s="11" t="str">
        <f aca="false">IF(원본명단!$A4587="","",4585)</f>
        <v/>
      </c>
      <c r="B4588" s="12" t="str">
        <f aca="false">IF($A4588="","",원본명단!$A4587)</f>
        <v/>
      </c>
      <c r="C4588" s="12" t="str">
        <f aca="false">IF($A4588="","",원본명단!$B4587)</f>
        <v/>
      </c>
      <c r="D4588" s="12" t="str">
        <f aca="false">IF($A4588="","",원본명단!$D4587)</f>
        <v/>
      </c>
      <c r="E4588" s="11" t="str">
        <f aca="false">IF($A4588="","",IF(원본명단!$H4587="",0,COUNTIF(원본명단!$H$3:$H$6002,원본명단!$H4587)))</f>
        <v/>
      </c>
      <c r="F4588" s="11" t="str">
        <f aca="false">IF($A4588="","",IF(원본명단!$I4587="",0,COUNTIF(원본명단!$I$3:$I$6002,원본명단!$I4587)))</f>
        <v/>
      </c>
      <c r="G4588" s="11" t="str">
        <f aca="false">IF($A4588="","",IF(원본명단!$K4587="",0,COUNTIF(원본명단!$K$3:$K$6002,원본명단!$K4587)))</f>
        <v/>
      </c>
      <c r="H4588" s="11" t="str">
        <f aca="false">IF($A4588="","",IF(MAX($E4588,$F4588,$G4588)&gt;1,"중복","-"))</f>
        <v/>
      </c>
      <c r="I4588" s="11" t="str">
        <f aca="false">IF($A4588="","",IF($H4588="-","-",IF(AND(IF(원본명단!$H4587="",TRUE(),COUNTIF(원본명단!$H$3:$H4587,원본명단!$H4587)=1),IF(원본명단!$I4587="",TRUE(),COUNTIF(원본명단!$I$3:$I4587,원본명단!$I4587)=1),IF(원본명단!$K4587="",TRUE(),COUNTIF(원본명단!$K$3:$K4587,원본명단!$K4587)=1)),"첫 건","중복 건")))</f>
        <v/>
      </c>
      <c r="J4588" s="11" t="str">
        <f aca="false">IF($A4588="","",IF($H4588="-","유지",IF($I4588="첫 건","유지","확인 필요")))</f>
        <v/>
      </c>
    </row>
    <row r="4589" customFormat="false" ht="15" hidden="false" customHeight="true" outlineLevel="0" collapsed="false">
      <c r="A4589" s="11" t="str">
        <f aca="false">IF(원본명단!$A4588="","",4586)</f>
        <v/>
      </c>
      <c r="B4589" s="12" t="str">
        <f aca="false">IF($A4589="","",원본명단!$A4588)</f>
        <v/>
      </c>
      <c r="C4589" s="12" t="str">
        <f aca="false">IF($A4589="","",원본명단!$B4588)</f>
        <v/>
      </c>
      <c r="D4589" s="12" t="str">
        <f aca="false">IF($A4589="","",원본명단!$D4588)</f>
        <v/>
      </c>
      <c r="E4589" s="11" t="str">
        <f aca="false">IF($A4589="","",IF(원본명단!$H4588="",0,COUNTIF(원본명단!$H$3:$H$6002,원본명단!$H4588)))</f>
        <v/>
      </c>
      <c r="F4589" s="11" t="str">
        <f aca="false">IF($A4589="","",IF(원본명단!$I4588="",0,COUNTIF(원본명단!$I$3:$I$6002,원본명단!$I4588)))</f>
        <v/>
      </c>
      <c r="G4589" s="11" t="str">
        <f aca="false">IF($A4589="","",IF(원본명단!$K4588="",0,COUNTIF(원본명단!$K$3:$K$6002,원본명단!$K4588)))</f>
        <v/>
      </c>
      <c r="H4589" s="11" t="str">
        <f aca="false">IF($A4589="","",IF(MAX($E4589,$F4589,$G4589)&gt;1,"중복","-"))</f>
        <v/>
      </c>
      <c r="I4589" s="11" t="str">
        <f aca="false">IF($A4589="","",IF($H4589="-","-",IF(AND(IF(원본명단!$H4588="",TRUE(),COUNTIF(원본명단!$H$3:$H4588,원본명단!$H4588)=1),IF(원본명단!$I4588="",TRUE(),COUNTIF(원본명단!$I$3:$I4588,원본명단!$I4588)=1),IF(원본명단!$K4588="",TRUE(),COUNTIF(원본명단!$K$3:$K4588,원본명단!$K4588)=1)),"첫 건","중복 건")))</f>
        <v/>
      </c>
      <c r="J4589" s="11" t="str">
        <f aca="false">IF($A4589="","",IF($H4589="-","유지",IF($I4589="첫 건","유지","확인 필요")))</f>
        <v/>
      </c>
    </row>
    <row r="4590" customFormat="false" ht="15" hidden="false" customHeight="true" outlineLevel="0" collapsed="false">
      <c r="A4590" s="11" t="str">
        <f aca="false">IF(원본명단!$A4589="","",4587)</f>
        <v/>
      </c>
      <c r="B4590" s="12" t="str">
        <f aca="false">IF($A4590="","",원본명단!$A4589)</f>
        <v/>
      </c>
      <c r="C4590" s="12" t="str">
        <f aca="false">IF($A4590="","",원본명단!$B4589)</f>
        <v/>
      </c>
      <c r="D4590" s="12" t="str">
        <f aca="false">IF($A4590="","",원본명단!$D4589)</f>
        <v/>
      </c>
      <c r="E4590" s="11" t="str">
        <f aca="false">IF($A4590="","",IF(원본명단!$H4589="",0,COUNTIF(원본명단!$H$3:$H$6002,원본명단!$H4589)))</f>
        <v/>
      </c>
      <c r="F4590" s="11" t="str">
        <f aca="false">IF($A4590="","",IF(원본명단!$I4589="",0,COUNTIF(원본명단!$I$3:$I$6002,원본명단!$I4589)))</f>
        <v/>
      </c>
      <c r="G4590" s="11" t="str">
        <f aca="false">IF($A4590="","",IF(원본명단!$K4589="",0,COUNTIF(원본명단!$K$3:$K$6002,원본명단!$K4589)))</f>
        <v/>
      </c>
      <c r="H4590" s="11" t="str">
        <f aca="false">IF($A4590="","",IF(MAX($E4590,$F4590,$G4590)&gt;1,"중복","-"))</f>
        <v/>
      </c>
      <c r="I4590" s="11" t="str">
        <f aca="false">IF($A4590="","",IF($H4590="-","-",IF(AND(IF(원본명단!$H4589="",TRUE(),COUNTIF(원본명단!$H$3:$H4589,원본명단!$H4589)=1),IF(원본명단!$I4589="",TRUE(),COUNTIF(원본명단!$I$3:$I4589,원본명단!$I4589)=1),IF(원본명단!$K4589="",TRUE(),COUNTIF(원본명단!$K$3:$K4589,원본명단!$K4589)=1)),"첫 건","중복 건")))</f>
        <v/>
      </c>
      <c r="J4590" s="11" t="str">
        <f aca="false">IF($A4590="","",IF($H4590="-","유지",IF($I4590="첫 건","유지","확인 필요")))</f>
        <v/>
      </c>
    </row>
    <row r="4591" customFormat="false" ht="15" hidden="false" customHeight="true" outlineLevel="0" collapsed="false">
      <c r="A4591" s="11" t="str">
        <f aca="false">IF(원본명단!$A4590="","",4588)</f>
        <v/>
      </c>
      <c r="B4591" s="12" t="str">
        <f aca="false">IF($A4591="","",원본명단!$A4590)</f>
        <v/>
      </c>
      <c r="C4591" s="12" t="str">
        <f aca="false">IF($A4591="","",원본명단!$B4590)</f>
        <v/>
      </c>
      <c r="D4591" s="12" t="str">
        <f aca="false">IF($A4591="","",원본명단!$D4590)</f>
        <v/>
      </c>
      <c r="E4591" s="11" t="str">
        <f aca="false">IF($A4591="","",IF(원본명단!$H4590="",0,COUNTIF(원본명단!$H$3:$H$6002,원본명단!$H4590)))</f>
        <v/>
      </c>
      <c r="F4591" s="11" t="str">
        <f aca="false">IF($A4591="","",IF(원본명단!$I4590="",0,COUNTIF(원본명단!$I$3:$I$6002,원본명단!$I4590)))</f>
        <v/>
      </c>
      <c r="G4591" s="11" t="str">
        <f aca="false">IF($A4591="","",IF(원본명단!$K4590="",0,COUNTIF(원본명단!$K$3:$K$6002,원본명단!$K4590)))</f>
        <v/>
      </c>
      <c r="H4591" s="11" t="str">
        <f aca="false">IF($A4591="","",IF(MAX($E4591,$F4591,$G4591)&gt;1,"중복","-"))</f>
        <v/>
      </c>
      <c r="I4591" s="11" t="str">
        <f aca="false">IF($A4591="","",IF($H4591="-","-",IF(AND(IF(원본명단!$H4590="",TRUE(),COUNTIF(원본명단!$H$3:$H4590,원본명단!$H4590)=1),IF(원본명단!$I4590="",TRUE(),COUNTIF(원본명단!$I$3:$I4590,원본명단!$I4590)=1),IF(원본명단!$K4590="",TRUE(),COUNTIF(원본명단!$K$3:$K4590,원본명단!$K4590)=1)),"첫 건","중복 건")))</f>
        <v/>
      </c>
      <c r="J4591" s="11" t="str">
        <f aca="false">IF($A4591="","",IF($H4591="-","유지",IF($I4591="첫 건","유지","확인 필요")))</f>
        <v/>
      </c>
    </row>
    <row r="4592" customFormat="false" ht="15" hidden="false" customHeight="true" outlineLevel="0" collapsed="false">
      <c r="A4592" s="11" t="str">
        <f aca="false">IF(원본명단!$A4591="","",4589)</f>
        <v/>
      </c>
      <c r="B4592" s="12" t="str">
        <f aca="false">IF($A4592="","",원본명단!$A4591)</f>
        <v/>
      </c>
      <c r="C4592" s="12" t="str">
        <f aca="false">IF($A4592="","",원본명단!$B4591)</f>
        <v/>
      </c>
      <c r="D4592" s="12" t="str">
        <f aca="false">IF($A4592="","",원본명단!$D4591)</f>
        <v/>
      </c>
      <c r="E4592" s="11" t="str">
        <f aca="false">IF($A4592="","",IF(원본명단!$H4591="",0,COUNTIF(원본명단!$H$3:$H$6002,원본명단!$H4591)))</f>
        <v/>
      </c>
      <c r="F4592" s="11" t="str">
        <f aca="false">IF($A4592="","",IF(원본명단!$I4591="",0,COUNTIF(원본명단!$I$3:$I$6002,원본명단!$I4591)))</f>
        <v/>
      </c>
      <c r="G4592" s="11" t="str">
        <f aca="false">IF($A4592="","",IF(원본명단!$K4591="",0,COUNTIF(원본명단!$K$3:$K$6002,원본명단!$K4591)))</f>
        <v/>
      </c>
      <c r="H4592" s="11" t="str">
        <f aca="false">IF($A4592="","",IF(MAX($E4592,$F4592,$G4592)&gt;1,"중복","-"))</f>
        <v/>
      </c>
      <c r="I4592" s="11" t="str">
        <f aca="false">IF($A4592="","",IF($H4592="-","-",IF(AND(IF(원본명단!$H4591="",TRUE(),COUNTIF(원본명단!$H$3:$H4591,원본명단!$H4591)=1),IF(원본명단!$I4591="",TRUE(),COUNTIF(원본명단!$I$3:$I4591,원본명단!$I4591)=1),IF(원본명단!$K4591="",TRUE(),COUNTIF(원본명단!$K$3:$K4591,원본명단!$K4591)=1)),"첫 건","중복 건")))</f>
        <v/>
      </c>
      <c r="J4592" s="11" t="str">
        <f aca="false">IF($A4592="","",IF($H4592="-","유지",IF($I4592="첫 건","유지","확인 필요")))</f>
        <v/>
      </c>
    </row>
    <row r="4593" customFormat="false" ht="15" hidden="false" customHeight="true" outlineLevel="0" collapsed="false">
      <c r="A4593" s="11" t="str">
        <f aca="false">IF(원본명단!$A4592="","",4590)</f>
        <v/>
      </c>
      <c r="B4593" s="12" t="str">
        <f aca="false">IF($A4593="","",원본명단!$A4592)</f>
        <v/>
      </c>
      <c r="C4593" s="12" t="str">
        <f aca="false">IF($A4593="","",원본명단!$B4592)</f>
        <v/>
      </c>
      <c r="D4593" s="12" t="str">
        <f aca="false">IF($A4593="","",원본명단!$D4592)</f>
        <v/>
      </c>
      <c r="E4593" s="11" t="str">
        <f aca="false">IF($A4593="","",IF(원본명단!$H4592="",0,COUNTIF(원본명단!$H$3:$H$6002,원본명단!$H4592)))</f>
        <v/>
      </c>
      <c r="F4593" s="11" t="str">
        <f aca="false">IF($A4593="","",IF(원본명단!$I4592="",0,COUNTIF(원본명단!$I$3:$I$6002,원본명단!$I4592)))</f>
        <v/>
      </c>
      <c r="G4593" s="11" t="str">
        <f aca="false">IF($A4593="","",IF(원본명단!$K4592="",0,COUNTIF(원본명단!$K$3:$K$6002,원본명단!$K4592)))</f>
        <v/>
      </c>
      <c r="H4593" s="11" t="str">
        <f aca="false">IF($A4593="","",IF(MAX($E4593,$F4593,$G4593)&gt;1,"중복","-"))</f>
        <v/>
      </c>
      <c r="I4593" s="11" t="str">
        <f aca="false">IF($A4593="","",IF($H4593="-","-",IF(AND(IF(원본명단!$H4592="",TRUE(),COUNTIF(원본명단!$H$3:$H4592,원본명단!$H4592)=1),IF(원본명단!$I4592="",TRUE(),COUNTIF(원본명단!$I$3:$I4592,원본명단!$I4592)=1),IF(원본명단!$K4592="",TRUE(),COUNTIF(원본명단!$K$3:$K4592,원본명단!$K4592)=1)),"첫 건","중복 건")))</f>
        <v/>
      </c>
      <c r="J4593" s="11" t="str">
        <f aca="false">IF($A4593="","",IF($H4593="-","유지",IF($I4593="첫 건","유지","확인 필요")))</f>
        <v/>
      </c>
    </row>
    <row r="4594" customFormat="false" ht="15" hidden="false" customHeight="true" outlineLevel="0" collapsed="false">
      <c r="A4594" s="11" t="str">
        <f aca="false">IF(원본명단!$A4593="","",4591)</f>
        <v/>
      </c>
      <c r="B4594" s="12" t="str">
        <f aca="false">IF($A4594="","",원본명단!$A4593)</f>
        <v/>
      </c>
      <c r="C4594" s="12" t="str">
        <f aca="false">IF($A4594="","",원본명단!$B4593)</f>
        <v/>
      </c>
      <c r="D4594" s="12" t="str">
        <f aca="false">IF($A4594="","",원본명단!$D4593)</f>
        <v/>
      </c>
      <c r="E4594" s="11" t="str">
        <f aca="false">IF($A4594="","",IF(원본명단!$H4593="",0,COUNTIF(원본명단!$H$3:$H$6002,원본명단!$H4593)))</f>
        <v/>
      </c>
      <c r="F4594" s="11" t="str">
        <f aca="false">IF($A4594="","",IF(원본명단!$I4593="",0,COUNTIF(원본명단!$I$3:$I$6002,원본명단!$I4593)))</f>
        <v/>
      </c>
      <c r="G4594" s="11" t="str">
        <f aca="false">IF($A4594="","",IF(원본명단!$K4593="",0,COUNTIF(원본명단!$K$3:$K$6002,원본명단!$K4593)))</f>
        <v/>
      </c>
      <c r="H4594" s="11" t="str">
        <f aca="false">IF($A4594="","",IF(MAX($E4594,$F4594,$G4594)&gt;1,"중복","-"))</f>
        <v/>
      </c>
      <c r="I4594" s="11" t="str">
        <f aca="false">IF($A4594="","",IF($H4594="-","-",IF(AND(IF(원본명단!$H4593="",TRUE(),COUNTIF(원본명단!$H$3:$H4593,원본명단!$H4593)=1),IF(원본명단!$I4593="",TRUE(),COUNTIF(원본명단!$I$3:$I4593,원본명단!$I4593)=1),IF(원본명단!$K4593="",TRUE(),COUNTIF(원본명단!$K$3:$K4593,원본명단!$K4593)=1)),"첫 건","중복 건")))</f>
        <v/>
      </c>
      <c r="J4594" s="11" t="str">
        <f aca="false">IF($A4594="","",IF($H4594="-","유지",IF($I4594="첫 건","유지","확인 필요")))</f>
        <v/>
      </c>
    </row>
    <row r="4595" customFormat="false" ht="15" hidden="false" customHeight="true" outlineLevel="0" collapsed="false">
      <c r="A4595" s="11" t="str">
        <f aca="false">IF(원본명단!$A4594="","",4592)</f>
        <v/>
      </c>
      <c r="B4595" s="12" t="str">
        <f aca="false">IF($A4595="","",원본명단!$A4594)</f>
        <v/>
      </c>
      <c r="C4595" s="12" t="str">
        <f aca="false">IF($A4595="","",원본명단!$B4594)</f>
        <v/>
      </c>
      <c r="D4595" s="12" t="str">
        <f aca="false">IF($A4595="","",원본명단!$D4594)</f>
        <v/>
      </c>
      <c r="E4595" s="11" t="str">
        <f aca="false">IF($A4595="","",IF(원본명단!$H4594="",0,COUNTIF(원본명단!$H$3:$H$6002,원본명단!$H4594)))</f>
        <v/>
      </c>
      <c r="F4595" s="11" t="str">
        <f aca="false">IF($A4595="","",IF(원본명단!$I4594="",0,COUNTIF(원본명단!$I$3:$I$6002,원본명단!$I4594)))</f>
        <v/>
      </c>
      <c r="G4595" s="11" t="str">
        <f aca="false">IF($A4595="","",IF(원본명단!$K4594="",0,COUNTIF(원본명단!$K$3:$K$6002,원본명단!$K4594)))</f>
        <v/>
      </c>
      <c r="H4595" s="11" t="str">
        <f aca="false">IF($A4595="","",IF(MAX($E4595,$F4595,$G4595)&gt;1,"중복","-"))</f>
        <v/>
      </c>
      <c r="I4595" s="11" t="str">
        <f aca="false">IF($A4595="","",IF($H4595="-","-",IF(AND(IF(원본명단!$H4594="",TRUE(),COUNTIF(원본명단!$H$3:$H4594,원본명단!$H4594)=1),IF(원본명단!$I4594="",TRUE(),COUNTIF(원본명단!$I$3:$I4594,원본명단!$I4594)=1),IF(원본명단!$K4594="",TRUE(),COUNTIF(원본명단!$K$3:$K4594,원본명단!$K4594)=1)),"첫 건","중복 건")))</f>
        <v/>
      </c>
      <c r="J4595" s="11" t="str">
        <f aca="false">IF($A4595="","",IF($H4595="-","유지",IF($I4595="첫 건","유지","확인 필요")))</f>
        <v/>
      </c>
    </row>
    <row r="4596" customFormat="false" ht="15" hidden="false" customHeight="true" outlineLevel="0" collapsed="false">
      <c r="A4596" s="11" t="str">
        <f aca="false">IF(원본명단!$A4595="","",4593)</f>
        <v/>
      </c>
      <c r="B4596" s="12" t="str">
        <f aca="false">IF($A4596="","",원본명단!$A4595)</f>
        <v/>
      </c>
      <c r="C4596" s="12" t="str">
        <f aca="false">IF($A4596="","",원본명단!$B4595)</f>
        <v/>
      </c>
      <c r="D4596" s="12" t="str">
        <f aca="false">IF($A4596="","",원본명단!$D4595)</f>
        <v/>
      </c>
      <c r="E4596" s="11" t="str">
        <f aca="false">IF($A4596="","",IF(원본명단!$H4595="",0,COUNTIF(원본명단!$H$3:$H$6002,원본명단!$H4595)))</f>
        <v/>
      </c>
      <c r="F4596" s="11" t="str">
        <f aca="false">IF($A4596="","",IF(원본명단!$I4595="",0,COUNTIF(원본명단!$I$3:$I$6002,원본명단!$I4595)))</f>
        <v/>
      </c>
      <c r="G4596" s="11" t="str">
        <f aca="false">IF($A4596="","",IF(원본명단!$K4595="",0,COUNTIF(원본명단!$K$3:$K$6002,원본명단!$K4595)))</f>
        <v/>
      </c>
      <c r="H4596" s="11" t="str">
        <f aca="false">IF($A4596="","",IF(MAX($E4596,$F4596,$G4596)&gt;1,"중복","-"))</f>
        <v/>
      </c>
      <c r="I4596" s="11" t="str">
        <f aca="false">IF($A4596="","",IF($H4596="-","-",IF(AND(IF(원본명단!$H4595="",TRUE(),COUNTIF(원본명단!$H$3:$H4595,원본명단!$H4595)=1),IF(원본명단!$I4595="",TRUE(),COUNTIF(원본명단!$I$3:$I4595,원본명단!$I4595)=1),IF(원본명단!$K4595="",TRUE(),COUNTIF(원본명단!$K$3:$K4595,원본명단!$K4595)=1)),"첫 건","중복 건")))</f>
        <v/>
      </c>
      <c r="J4596" s="11" t="str">
        <f aca="false">IF($A4596="","",IF($H4596="-","유지",IF($I4596="첫 건","유지","확인 필요")))</f>
        <v/>
      </c>
    </row>
    <row r="4597" customFormat="false" ht="15" hidden="false" customHeight="true" outlineLevel="0" collapsed="false">
      <c r="A4597" s="11" t="str">
        <f aca="false">IF(원본명단!$A4596="","",4594)</f>
        <v/>
      </c>
      <c r="B4597" s="12" t="str">
        <f aca="false">IF($A4597="","",원본명단!$A4596)</f>
        <v/>
      </c>
      <c r="C4597" s="12" t="str">
        <f aca="false">IF($A4597="","",원본명단!$B4596)</f>
        <v/>
      </c>
      <c r="D4597" s="12" t="str">
        <f aca="false">IF($A4597="","",원본명단!$D4596)</f>
        <v/>
      </c>
      <c r="E4597" s="11" t="str">
        <f aca="false">IF($A4597="","",IF(원본명단!$H4596="",0,COUNTIF(원본명단!$H$3:$H$6002,원본명단!$H4596)))</f>
        <v/>
      </c>
      <c r="F4597" s="11" t="str">
        <f aca="false">IF($A4597="","",IF(원본명단!$I4596="",0,COUNTIF(원본명단!$I$3:$I$6002,원본명단!$I4596)))</f>
        <v/>
      </c>
      <c r="G4597" s="11" t="str">
        <f aca="false">IF($A4597="","",IF(원본명단!$K4596="",0,COUNTIF(원본명단!$K$3:$K$6002,원본명단!$K4596)))</f>
        <v/>
      </c>
      <c r="H4597" s="11" t="str">
        <f aca="false">IF($A4597="","",IF(MAX($E4597,$F4597,$G4597)&gt;1,"중복","-"))</f>
        <v/>
      </c>
      <c r="I4597" s="11" t="str">
        <f aca="false">IF($A4597="","",IF($H4597="-","-",IF(AND(IF(원본명단!$H4596="",TRUE(),COUNTIF(원본명단!$H$3:$H4596,원본명단!$H4596)=1),IF(원본명단!$I4596="",TRUE(),COUNTIF(원본명단!$I$3:$I4596,원본명단!$I4596)=1),IF(원본명단!$K4596="",TRUE(),COUNTIF(원본명단!$K$3:$K4596,원본명단!$K4596)=1)),"첫 건","중복 건")))</f>
        <v/>
      </c>
      <c r="J4597" s="11" t="str">
        <f aca="false">IF($A4597="","",IF($H4597="-","유지",IF($I4597="첫 건","유지","확인 필요")))</f>
        <v/>
      </c>
    </row>
    <row r="4598" customFormat="false" ht="15" hidden="false" customHeight="true" outlineLevel="0" collapsed="false">
      <c r="A4598" s="11" t="str">
        <f aca="false">IF(원본명단!$A4597="","",4595)</f>
        <v/>
      </c>
      <c r="B4598" s="12" t="str">
        <f aca="false">IF($A4598="","",원본명단!$A4597)</f>
        <v/>
      </c>
      <c r="C4598" s="12" t="str">
        <f aca="false">IF($A4598="","",원본명단!$B4597)</f>
        <v/>
      </c>
      <c r="D4598" s="12" t="str">
        <f aca="false">IF($A4598="","",원본명단!$D4597)</f>
        <v/>
      </c>
      <c r="E4598" s="11" t="str">
        <f aca="false">IF($A4598="","",IF(원본명단!$H4597="",0,COUNTIF(원본명단!$H$3:$H$6002,원본명단!$H4597)))</f>
        <v/>
      </c>
      <c r="F4598" s="11" t="str">
        <f aca="false">IF($A4598="","",IF(원본명단!$I4597="",0,COUNTIF(원본명단!$I$3:$I$6002,원본명단!$I4597)))</f>
        <v/>
      </c>
      <c r="G4598" s="11" t="str">
        <f aca="false">IF($A4598="","",IF(원본명단!$K4597="",0,COUNTIF(원본명단!$K$3:$K$6002,원본명단!$K4597)))</f>
        <v/>
      </c>
      <c r="H4598" s="11" t="str">
        <f aca="false">IF($A4598="","",IF(MAX($E4598,$F4598,$G4598)&gt;1,"중복","-"))</f>
        <v/>
      </c>
      <c r="I4598" s="11" t="str">
        <f aca="false">IF($A4598="","",IF($H4598="-","-",IF(AND(IF(원본명단!$H4597="",TRUE(),COUNTIF(원본명단!$H$3:$H4597,원본명단!$H4597)=1),IF(원본명단!$I4597="",TRUE(),COUNTIF(원본명단!$I$3:$I4597,원본명단!$I4597)=1),IF(원본명단!$K4597="",TRUE(),COUNTIF(원본명단!$K$3:$K4597,원본명단!$K4597)=1)),"첫 건","중복 건")))</f>
        <v/>
      </c>
      <c r="J4598" s="11" t="str">
        <f aca="false">IF($A4598="","",IF($H4598="-","유지",IF($I4598="첫 건","유지","확인 필요")))</f>
        <v/>
      </c>
    </row>
    <row r="4599" customFormat="false" ht="15" hidden="false" customHeight="true" outlineLevel="0" collapsed="false">
      <c r="A4599" s="11" t="str">
        <f aca="false">IF(원본명단!$A4598="","",4596)</f>
        <v/>
      </c>
      <c r="B4599" s="12" t="str">
        <f aca="false">IF($A4599="","",원본명단!$A4598)</f>
        <v/>
      </c>
      <c r="C4599" s="12" t="str">
        <f aca="false">IF($A4599="","",원본명단!$B4598)</f>
        <v/>
      </c>
      <c r="D4599" s="12" t="str">
        <f aca="false">IF($A4599="","",원본명단!$D4598)</f>
        <v/>
      </c>
      <c r="E4599" s="11" t="str">
        <f aca="false">IF($A4599="","",IF(원본명단!$H4598="",0,COUNTIF(원본명단!$H$3:$H$6002,원본명단!$H4598)))</f>
        <v/>
      </c>
      <c r="F4599" s="11" t="str">
        <f aca="false">IF($A4599="","",IF(원본명단!$I4598="",0,COUNTIF(원본명단!$I$3:$I$6002,원본명단!$I4598)))</f>
        <v/>
      </c>
      <c r="G4599" s="11" t="str">
        <f aca="false">IF($A4599="","",IF(원본명단!$K4598="",0,COUNTIF(원본명단!$K$3:$K$6002,원본명단!$K4598)))</f>
        <v/>
      </c>
      <c r="H4599" s="11" t="str">
        <f aca="false">IF($A4599="","",IF(MAX($E4599,$F4599,$G4599)&gt;1,"중복","-"))</f>
        <v/>
      </c>
      <c r="I4599" s="11" t="str">
        <f aca="false">IF($A4599="","",IF($H4599="-","-",IF(AND(IF(원본명단!$H4598="",TRUE(),COUNTIF(원본명단!$H$3:$H4598,원본명단!$H4598)=1),IF(원본명단!$I4598="",TRUE(),COUNTIF(원본명단!$I$3:$I4598,원본명단!$I4598)=1),IF(원본명단!$K4598="",TRUE(),COUNTIF(원본명단!$K$3:$K4598,원본명단!$K4598)=1)),"첫 건","중복 건")))</f>
        <v/>
      </c>
      <c r="J4599" s="11" t="str">
        <f aca="false">IF($A4599="","",IF($H4599="-","유지",IF($I4599="첫 건","유지","확인 필요")))</f>
        <v/>
      </c>
    </row>
    <row r="4600" customFormat="false" ht="15" hidden="false" customHeight="true" outlineLevel="0" collapsed="false">
      <c r="A4600" s="11" t="str">
        <f aca="false">IF(원본명단!$A4599="","",4597)</f>
        <v/>
      </c>
      <c r="B4600" s="12" t="str">
        <f aca="false">IF($A4600="","",원본명단!$A4599)</f>
        <v/>
      </c>
      <c r="C4600" s="12" t="str">
        <f aca="false">IF($A4600="","",원본명단!$B4599)</f>
        <v/>
      </c>
      <c r="D4600" s="12" t="str">
        <f aca="false">IF($A4600="","",원본명단!$D4599)</f>
        <v/>
      </c>
      <c r="E4600" s="11" t="str">
        <f aca="false">IF($A4600="","",IF(원본명단!$H4599="",0,COUNTIF(원본명단!$H$3:$H$6002,원본명단!$H4599)))</f>
        <v/>
      </c>
      <c r="F4600" s="11" t="str">
        <f aca="false">IF($A4600="","",IF(원본명단!$I4599="",0,COUNTIF(원본명단!$I$3:$I$6002,원본명단!$I4599)))</f>
        <v/>
      </c>
      <c r="G4600" s="11" t="str">
        <f aca="false">IF($A4600="","",IF(원본명단!$K4599="",0,COUNTIF(원본명단!$K$3:$K$6002,원본명단!$K4599)))</f>
        <v/>
      </c>
      <c r="H4600" s="11" t="str">
        <f aca="false">IF($A4600="","",IF(MAX($E4600,$F4600,$G4600)&gt;1,"중복","-"))</f>
        <v/>
      </c>
      <c r="I4600" s="11" t="str">
        <f aca="false">IF($A4600="","",IF($H4600="-","-",IF(AND(IF(원본명단!$H4599="",TRUE(),COUNTIF(원본명단!$H$3:$H4599,원본명단!$H4599)=1),IF(원본명단!$I4599="",TRUE(),COUNTIF(원본명단!$I$3:$I4599,원본명단!$I4599)=1),IF(원본명단!$K4599="",TRUE(),COUNTIF(원본명단!$K$3:$K4599,원본명단!$K4599)=1)),"첫 건","중복 건")))</f>
        <v/>
      </c>
      <c r="J4600" s="11" t="str">
        <f aca="false">IF($A4600="","",IF($H4600="-","유지",IF($I4600="첫 건","유지","확인 필요")))</f>
        <v/>
      </c>
    </row>
    <row r="4601" customFormat="false" ht="15" hidden="false" customHeight="true" outlineLevel="0" collapsed="false">
      <c r="A4601" s="11" t="str">
        <f aca="false">IF(원본명단!$A4600="","",4598)</f>
        <v/>
      </c>
      <c r="B4601" s="12" t="str">
        <f aca="false">IF($A4601="","",원본명단!$A4600)</f>
        <v/>
      </c>
      <c r="C4601" s="12" t="str">
        <f aca="false">IF($A4601="","",원본명단!$B4600)</f>
        <v/>
      </c>
      <c r="D4601" s="12" t="str">
        <f aca="false">IF($A4601="","",원본명단!$D4600)</f>
        <v/>
      </c>
      <c r="E4601" s="11" t="str">
        <f aca="false">IF($A4601="","",IF(원본명단!$H4600="",0,COUNTIF(원본명단!$H$3:$H$6002,원본명단!$H4600)))</f>
        <v/>
      </c>
      <c r="F4601" s="11" t="str">
        <f aca="false">IF($A4601="","",IF(원본명단!$I4600="",0,COUNTIF(원본명단!$I$3:$I$6002,원본명단!$I4600)))</f>
        <v/>
      </c>
      <c r="G4601" s="11" t="str">
        <f aca="false">IF($A4601="","",IF(원본명단!$K4600="",0,COUNTIF(원본명단!$K$3:$K$6002,원본명단!$K4600)))</f>
        <v/>
      </c>
      <c r="H4601" s="11" t="str">
        <f aca="false">IF($A4601="","",IF(MAX($E4601,$F4601,$G4601)&gt;1,"중복","-"))</f>
        <v/>
      </c>
      <c r="I4601" s="11" t="str">
        <f aca="false">IF($A4601="","",IF($H4601="-","-",IF(AND(IF(원본명단!$H4600="",TRUE(),COUNTIF(원본명단!$H$3:$H4600,원본명단!$H4600)=1),IF(원본명단!$I4600="",TRUE(),COUNTIF(원본명단!$I$3:$I4600,원본명단!$I4600)=1),IF(원본명단!$K4600="",TRUE(),COUNTIF(원본명단!$K$3:$K4600,원본명단!$K4600)=1)),"첫 건","중복 건")))</f>
        <v/>
      </c>
      <c r="J4601" s="11" t="str">
        <f aca="false">IF($A4601="","",IF($H4601="-","유지",IF($I4601="첫 건","유지","확인 필요")))</f>
        <v/>
      </c>
    </row>
    <row r="4602" customFormat="false" ht="15" hidden="false" customHeight="true" outlineLevel="0" collapsed="false">
      <c r="A4602" s="11" t="str">
        <f aca="false">IF(원본명단!$A4601="","",4599)</f>
        <v/>
      </c>
      <c r="B4602" s="12" t="str">
        <f aca="false">IF($A4602="","",원본명단!$A4601)</f>
        <v/>
      </c>
      <c r="C4602" s="12" t="str">
        <f aca="false">IF($A4602="","",원본명단!$B4601)</f>
        <v/>
      </c>
      <c r="D4602" s="12" t="str">
        <f aca="false">IF($A4602="","",원본명단!$D4601)</f>
        <v/>
      </c>
      <c r="E4602" s="11" t="str">
        <f aca="false">IF($A4602="","",IF(원본명단!$H4601="",0,COUNTIF(원본명단!$H$3:$H$6002,원본명단!$H4601)))</f>
        <v/>
      </c>
      <c r="F4602" s="11" t="str">
        <f aca="false">IF($A4602="","",IF(원본명단!$I4601="",0,COUNTIF(원본명단!$I$3:$I$6002,원본명단!$I4601)))</f>
        <v/>
      </c>
      <c r="G4602" s="11" t="str">
        <f aca="false">IF($A4602="","",IF(원본명단!$K4601="",0,COUNTIF(원본명단!$K$3:$K$6002,원본명단!$K4601)))</f>
        <v/>
      </c>
      <c r="H4602" s="11" t="str">
        <f aca="false">IF($A4602="","",IF(MAX($E4602,$F4602,$G4602)&gt;1,"중복","-"))</f>
        <v/>
      </c>
      <c r="I4602" s="11" t="str">
        <f aca="false">IF($A4602="","",IF($H4602="-","-",IF(AND(IF(원본명단!$H4601="",TRUE(),COUNTIF(원본명단!$H$3:$H4601,원본명단!$H4601)=1),IF(원본명단!$I4601="",TRUE(),COUNTIF(원본명단!$I$3:$I4601,원본명단!$I4601)=1),IF(원본명단!$K4601="",TRUE(),COUNTIF(원본명단!$K$3:$K4601,원본명단!$K4601)=1)),"첫 건","중복 건")))</f>
        <v/>
      </c>
      <c r="J4602" s="11" t="str">
        <f aca="false">IF($A4602="","",IF($H4602="-","유지",IF($I4602="첫 건","유지","확인 필요")))</f>
        <v/>
      </c>
    </row>
    <row r="4603" customFormat="false" ht="15" hidden="false" customHeight="true" outlineLevel="0" collapsed="false">
      <c r="A4603" s="11" t="str">
        <f aca="false">IF(원본명단!$A4602="","",4600)</f>
        <v/>
      </c>
      <c r="B4603" s="12" t="str">
        <f aca="false">IF($A4603="","",원본명단!$A4602)</f>
        <v/>
      </c>
      <c r="C4603" s="12" t="str">
        <f aca="false">IF($A4603="","",원본명단!$B4602)</f>
        <v/>
      </c>
      <c r="D4603" s="12" t="str">
        <f aca="false">IF($A4603="","",원본명단!$D4602)</f>
        <v/>
      </c>
      <c r="E4603" s="11" t="str">
        <f aca="false">IF($A4603="","",IF(원본명단!$H4602="",0,COUNTIF(원본명단!$H$3:$H$6002,원본명단!$H4602)))</f>
        <v/>
      </c>
      <c r="F4603" s="11" t="str">
        <f aca="false">IF($A4603="","",IF(원본명단!$I4602="",0,COUNTIF(원본명단!$I$3:$I$6002,원본명단!$I4602)))</f>
        <v/>
      </c>
      <c r="G4603" s="11" t="str">
        <f aca="false">IF($A4603="","",IF(원본명단!$K4602="",0,COUNTIF(원본명단!$K$3:$K$6002,원본명단!$K4602)))</f>
        <v/>
      </c>
      <c r="H4603" s="11" t="str">
        <f aca="false">IF($A4603="","",IF(MAX($E4603,$F4603,$G4603)&gt;1,"중복","-"))</f>
        <v/>
      </c>
      <c r="I4603" s="11" t="str">
        <f aca="false">IF($A4603="","",IF($H4603="-","-",IF(AND(IF(원본명단!$H4602="",TRUE(),COUNTIF(원본명단!$H$3:$H4602,원본명단!$H4602)=1),IF(원본명단!$I4602="",TRUE(),COUNTIF(원본명단!$I$3:$I4602,원본명단!$I4602)=1),IF(원본명단!$K4602="",TRUE(),COUNTIF(원본명단!$K$3:$K4602,원본명단!$K4602)=1)),"첫 건","중복 건")))</f>
        <v/>
      </c>
      <c r="J4603" s="11" t="str">
        <f aca="false">IF($A4603="","",IF($H4603="-","유지",IF($I4603="첫 건","유지","확인 필요")))</f>
        <v/>
      </c>
    </row>
    <row r="4604" customFormat="false" ht="15" hidden="false" customHeight="true" outlineLevel="0" collapsed="false">
      <c r="A4604" s="11" t="str">
        <f aca="false">IF(원본명단!$A4603="","",4601)</f>
        <v/>
      </c>
      <c r="B4604" s="12" t="str">
        <f aca="false">IF($A4604="","",원본명단!$A4603)</f>
        <v/>
      </c>
      <c r="C4604" s="12" t="str">
        <f aca="false">IF($A4604="","",원본명단!$B4603)</f>
        <v/>
      </c>
      <c r="D4604" s="12" t="str">
        <f aca="false">IF($A4604="","",원본명단!$D4603)</f>
        <v/>
      </c>
      <c r="E4604" s="11" t="str">
        <f aca="false">IF($A4604="","",IF(원본명단!$H4603="",0,COUNTIF(원본명단!$H$3:$H$6002,원본명단!$H4603)))</f>
        <v/>
      </c>
      <c r="F4604" s="11" t="str">
        <f aca="false">IF($A4604="","",IF(원본명단!$I4603="",0,COUNTIF(원본명단!$I$3:$I$6002,원본명단!$I4603)))</f>
        <v/>
      </c>
      <c r="G4604" s="11" t="str">
        <f aca="false">IF($A4604="","",IF(원본명단!$K4603="",0,COUNTIF(원본명단!$K$3:$K$6002,원본명단!$K4603)))</f>
        <v/>
      </c>
      <c r="H4604" s="11" t="str">
        <f aca="false">IF($A4604="","",IF(MAX($E4604,$F4604,$G4604)&gt;1,"중복","-"))</f>
        <v/>
      </c>
      <c r="I4604" s="11" t="str">
        <f aca="false">IF($A4604="","",IF($H4604="-","-",IF(AND(IF(원본명단!$H4603="",TRUE(),COUNTIF(원본명단!$H$3:$H4603,원본명단!$H4603)=1),IF(원본명단!$I4603="",TRUE(),COUNTIF(원본명단!$I$3:$I4603,원본명단!$I4603)=1),IF(원본명단!$K4603="",TRUE(),COUNTIF(원본명단!$K$3:$K4603,원본명단!$K4603)=1)),"첫 건","중복 건")))</f>
        <v/>
      </c>
      <c r="J4604" s="11" t="str">
        <f aca="false">IF($A4604="","",IF($H4604="-","유지",IF($I4604="첫 건","유지","확인 필요")))</f>
        <v/>
      </c>
    </row>
    <row r="4605" customFormat="false" ht="15" hidden="false" customHeight="true" outlineLevel="0" collapsed="false">
      <c r="A4605" s="11" t="str">
        <f aca="false">IF(원본명단!$A4604="","",4602)</f>
        <v/>
      </c>
      <c r="B4605" s="12" t="str">
        <f aca="false">IF($A4605="","",원본명단!$A4604)</f>
        <v/>
      </c>
      <c r="C4605" s="12" t="str">
        <f aca="false">IF($A4605="","",원본명단!$B4604)</f>
        <v/>
      </c>
      <c r="D4605" s="12" t="str">
        <f aca="false">IF($A4605="","",원본명단!$D4604)</f>
        <v/>
      </c>
      <c r="E4605" s="11" t="str">
        <f aca="false">IF($A4605="","",IF(원본명단!$H4604="",0,COUNTIF(원본명단!$H$3:$H$6002,원본명단!$H4604)))</f>
        <v/>
      </c>
      <c r="F4605" s="11" t="str">
        <f aca="false">IF($A4605="","",IF(원본명단!$I4604="",0,COUNTIF(원본명단!$I$3:$I$6002,원본명단!$I4604)))</f>
        <v/>
      </c>
      <c r="G4605" s="11" t="str">
        <f aca="false">IF($A4605="","",IF(원본명단!$K4604="",0,COUNTIF(원본명단!$K$3:$K$6002,원본명단!$K4604)))</f>
        <v/>
      </c>
      <c r="H4605" s="11" t="str">
        <f aca="false">IF($A4605="","",IF(MAX($E4605,$F4605,$G4605)&gt;1,"중복","-"))</f>
        <v/>
      </c>
      <c r="I4605" s="11" t="str">
        <f aca="false">IF($A4605="","",IF($H4605="-","-",IF(AND(IF(원본명단!$H4604="",TRUE(),COUNTIF(원본명단!$H$3:$H4604,원본명단!$H4604)=1),IF(원본명단!$I4604="",TRUE(),COUNTIF(원본명단!$I$3:$I4604,원본명단!$I4604)=1),IF(원본명단!$K4604="",TRUE(),COUNTIF(원본명단!$K$3:$K4604,원본명단!$K4604)=1)),"첫 건","중복 건")))</f>
        <v/>
      </c>
      <c r="J4605" s="11" t="str">
        <f aca="false">IF($A4605="","",IF($H4605="-","유지",IF($I4605="첫 건","유지","확인 필요")))</f>
        <v/>
      </c>
    </row>
    <row r="4606" customFormat="false" ht="15" hidden="false" customHeight="true" outlineLevel="0" collapsed="false">
      <c r="A4606" s="11" t="str">
        <f aca="false">IF(원본명단!$A4605="","",4603)</f>
        <v/>
      </c>
      <c r="B4606" s="12" t="str">
        <f aca="false">IF($A4606="","",원본명단!$A4605)</f>
        <v/>
      </c>
      <c r="C4606" s="12" t="str">
        <f aca="false">IF($A4606="","",원본명단!$B4605)</f>
        <v/>
      </c>
      <c r="D4606" s="12" t="str">
        <f aca="false">IF($A4606="","",원본명단!$D4605)</f>
        <v/>
      </c>
      <c r="E4606" s="11" t="str">
        <f aca="false">IF($A4606="","",IF(원본명단!$H4605="",0,COUNTIF(원본명단!$H$3:$H$6002,원본명단!$H4605)))</f>
        <v/>
      </c>
      <c r="F4606" s="11" t="str">
        <f aca="false">IF($A4606="","",IF(원본명단!$I4605="",0,COUNTIF(원본명단!$I$3:$I$6002,원본명단!$I4605)))</f>
        <v/>
      </c>
      <c r="G4606" s="11" t="str">
        <f aca="false">IF($A4606="","",IF(원본명단!$K4605="",0,COUNTIF(원본명단!$K$3:$K$6002,원본명단!$K4605)))</f>
        <v/>
      </c>
      <c r="H4606" s="11" t="str">
        <f aca="false">IF($A4606="","",IF(MAX($E4606,$F4606,$G4606)&gt;1,"중복","-"))</f>
        <v/>
      </c>
      <c r="I4606" s="11" t="str">
        <f aca="false">IF($A4606="","",IF($H4606="-","-",IF(AND(IF(원본명단!$H4605="",TRUE(),COUNTIF(원본명단!$H$3:$H4605,원본명단!$H4605)=1),IF(원본명단!$I4605="",TRUE(),COUNTIF(원본명단!$I$3:$I4605,원본명단!$I4605)=1),IF(원본명단!$K4605="",TRUE(),COUNTIF(원본명단!$K$3:$K4605,원본명단!$K4605)=1)),"첫 건","중복 건")))</f>
        <v/>
      </c>
      <c r="J4606" s="11" t="str">
        <f aca="false">IF($A4606="","",IF($H4606="-","유지",IF($I4606="첫 건","유지","확인 필요")))</f>
        <v/>
      </c>
    </row>
    <row r="4607" customFormat="false" ht="15" hidden="false" customHeight="true" outlineLevel="0" collapsed="false">
      <c r="A4607" s="11" t="str">
        <f aca="false">IF(원본명단!$A4606="","",4604)</f>
        <v/>
      </c>
      <c r="B4607" s="12" t="str">
        <f aca="false">IF($A4607="","",원본명단!$A4606)</f>
        <v/>
      </c>
      <c r="C4607" s="12" t="str">
        <f aca="false">IF($A4607="","",원본명단!$B4606)</f>
        <v/>
      </c>
      <c r="D4607" s="12" t="str">
        <f aca="false">IF($A4607="","",원본명단!$D4606)</f>
        <v/>
      </c>
      <c r="E4607" s="11" t="str">
        <f aca="false">IF($A4607="","",IF(원본명단!$H4606="",0,COUNTIF(원본명단!$H$3:$H$6002,원본명단!$H4606)))</f>
        <v/>
      </c>
      <c r="F4607" s="11" t="str">
        <f aca="false">IF($A4607="","",IF(원본명단!$I4606="",0,COUNTIF(원본명단!$I$3:$I$6002,원본명단!$I4606)))</f>
        <v/>
      </c>
      <c r="G4607" s="11" t="str">
        <f aca="false">IF($A4607="","",IF(원본명단!$K4606="",0,COUNTIF(원본명단!$K$3:$K$6002,원본명단!$K4606)))</f>
        <v/>
      </c>
      <c r="H4607" s="11" t="str">
        <f aca="false">IF($A4607="","",IF(MAX($E4607,$F4607,$G4607)&gt;1,"중복","-"))</f>
        <v/>
      </c>
      <c r="I4607" s="11" t="str">
        <f aca="false">IF($A4607="","",IF($H4607="-","-",IF(AND(IF(원본명단!$H4606="",TRUE(),COUNTIF(원본명단!$H$3:$H4606,원본명단!$H4606)=1),IF(원본명단!$I4606="",TRUE(),COUNTIF(원본명단!$I$3:$I4606,원본명단!$I4606)=1),IF(원본명단!$K4606="",TRUE(),COUNTIF(원본명단!$K$3:$K4606,원본명단!$K4606)=1)),"첫 건","중복 건")))</f>
        <v/>
      </c>
      <c r="J4607" s="11" t="str">
        <f aca="false">IF($A4607="","",IF($H4607="-","유지",IF($I4607="첫 건","유지","확인 필요")))</f>
        <v/>
      </c>
    </row>
    <row r="4608" customFormat="false" ht="15" hidden="false" customHeight="true" outlineLevel="0" collapsed="false">
      <c r="A4608" s="11" t="str">
        <f aca="false">IF(원본명단!$A4607="","",4605)</f>
        <v/>
      </c>
      <c r="B4608" s="12" t="str">
        <f aca="false">IF($A4608="","",원본명단!$A4607)</f>
        <v/>
      </c>
      <c r="C4608" s="12" t="str">
        <f aca="false">IF($A4608="","",원본명단!$B4607)</f>
        <v/>
      </c>
      <c r="D4608" s="12" t="str">
        <f aca="false">IF($A4608="","",원본명단!$D4607)</f>
        <v/>
      </c>
      <c r="E4608" s="11" t="str">
        <f aca="false">IF($A4608="","",IF(원본명단!$H4607="",0,COUNTIF(원본명단!$H$3:$H$6002,원본명단!$H4607)))</f>
        <v/>
      </c>
      <c r="F4608" s="11" t="str">
        <f aca="false">IF($A4608="","",IF(원본명단!$I4607="",0,COUNTIF(원본명단!$I$3:$I$6002,원본명단!$I4607)))</f>
        <v/>
      </c>
      <c r="G4608" s="11" t="str">
        <f aca="false">IF($A4608="","",IF(원본명단!$K4607="",0,COUNTIF(원본명단!$K$3:$K$6002,원본명단!$K4607)))</f>
        <v/>
      </c>
      <c r="H4608" s="11" t="str">
        <f aca="false">IF($A4608="","",IF(MAX($E4608,$F4608,$G4608)&gt;1,"중복","-"))</f>
        <v/>
      </c>
      <c r="I4608" s="11" t="str">
        <f aca="false">IF($A4608="","",IF($H4608="-","-",IF(AND(IF(원본명단!$H4607="",TRUE(),COUNTIF(원본명단!$H$3:$H4607,원본명단!$H4607)=1),IF(원본명단!$I4607="",TRUE(),COUNTIF(원본명단!$I$3:$I4607,원본명단!$I4607)=1),IF(원본명단!$K4607="",TRUE(),COUNTIF(원본명단!$K$3:$K4607,원본명단!$K4607)=1)),"첫 건","중복 건")))</f>
        <v/>
      </c>
      <c r="J4608" s="11" t="str">
        <f aca="false">IF($A4608="","",IF($H4608="-","유지",IF($I4608="첫 건","유지","확인 필요")))</f>
        <v/>
      </c>
    </row>
    <row r="4609" customFormat="false" ht="15" hidden="false" customHeight="true" outlineLevel="0" collapsed="false">
      <c r="A4609" s="11" t="str">
        <f aca="false">IF(원본명단!$A4608="","",4606)</f>
        <v/>
      </c>
      <c r="B4609" s="12" t="str">
        <f aca="false">IF($A4609="","",원본명단!$A4608)</f>
        <v/>
      </c>
      <c r="C4609" s="12" t="str">
        <f aca="false">IF($A4609="","",원본명단!$B4608)</f>
        <v/>
      </c>
      <c r="D4609" s="12" t="str">
        <f aca="false">IF($A4609="","",원본명단!$D4608)</f>
        <v/>
      </c>
      <c r="E4609" s="11" t="str">
        <f aca="false">IF($A4609="","",IF(원본명단!$H4608="",0,COUNTIF(원본명단!$H$3:$H$6002,원본명단!$H4608)))</f>
        <v/>
      </c>
      <c r="F4609" s="11" t="str">
        <f aca="false">IF($A4609="","",IF(원본명단!$I4608="",0,COUNTIF(원본명단!$I$3:$I$6002,원본명단!$I4608)))</f>
        <v/>
      </c>
      <c r="G4609" s="11" t="str">
        <f aca="false">IF($A4609="","",IF(원본명단!$K4608="",0,COUNTIF(원본명단!$K$3:$K$6002,원본명단!$K4608)))</f>
        <v/>
      </c>
      <c r="H4609" s="11" t="str">
        <f aca="false">IF($A4609="","",IF(MAX($E4609,$F4609,$G4609)&gt;1,"중복","-"))</f>
        <v/>
      </c>
      <c r="I4609" s="11" t="str">
        <f aca="false">IF($A4609="","",IF($H4609="-","-",IF(AND(IF(원본명단!$H4608="",TRUE(),COUNTIF(원본명단!$H$3:$H4608,원본명단!$H4608)=1),IF(원본명단!$I4608="",TRUE(),COUNTIF(원본명단!$I$3:$I4608,원본명단!$I4608)=1),IF(원본명단!$K4608="",TRUE(),COUNTIF(원본명단!$K$3:$K4608,원본명단!$K4608)=1)),"첫 건","중복 건")))</f>
        <v/>
      </c>
      <c r="J4609" s="11" t="str">
        <f aca="false">IF($A4609="","",IF($H4609="-","유지",IF($I4609="첫 건","유지","확인 필요")))</f>
        <v/>
      </c>
    </row>
    <row r="4610" customFormat="false" ht="15" hidden="false" customHeight="true" outlineLevel="0" collapsed="false">
      <c r="A4610" s="11" t="str">
        <f aca="false">IF(원본명단!$A4609="","",4607)</f>
        <v/>
      </c>
      <c r="B4610" s="12" t="str">
        <f aca="false">IF($A4610="","",원본명단!$A4609)</f>
        <v/>
      </c>
      <c r="C4610" s="12" t="str">
        <f aca="false">IF($A4610="","",원본명단!$B4609)</f>
        <v/>
      </c>
      <c r="D4610" s="12" t="str">
        <f aca="false">IF($A4610="","",원본명단!$D4609)</f>
        <v/>
      </c>
      <c r="E4610" s="11" t="str">
        <f aca="false">IF($A4610="","",IF(원본명단!$H4609="",0,COUNTIF(원본명단!$H$3:$H$6002,원본명단!$H4609)))</f>
        <v/>
      </c>
      <c r="F4610" s="11" t="str">
        <f aca="false">IF($A4610="","",IF(원본명단!$I4609="",0,COUNTIF(원본명단!$I$3:$I$6002,원본명단!$I4609)))</f>
        <v/>
      </c>
      <c r="G4610" s="11" t="str">
        <f aca="false">IF($A4610="","",IF(원본명단!$K4609="",0,COUNTIF(원본명단!$K$3:$K$6002,원본명단!$K4609)))</f>
        <v/>
      </c>
      <c r="H4610" s="11" t="str">
        <f aca="false">IF($A4610="","",IF(MAX($E4610,$F4610,$G4610)&gt;1,"중복","-"))</f>
        <v/>
      </c>
      <c r="I4610" s="11" t="str">
        <f aca="false">IF($A4610="","",IF($H4610="-","-",IF(AND(IF(원본명단!$H4609="",TRUE(),COUNTIF(원본명단!$H$3:$H4609,원본명단!$H4609)=1),IF(원본명단!$I4609="",TRUE(),COUNTIF(원본명단!$I$3:$I4609,원본명단!$I4609)=1),IF(원본명단!$K4609="",TRUE(),COUNTIF(원본명단!$K$3:$K4609,원본명단!$K4609)=1)),"첫 건","중복 건")))</f>
        <v/>
      </c>
      <c r="J4610" s="11" t="str">
        <f aca="false">IF($A4610="","",IF($H4610="-","유지",IF($I4610="첫 건","유지","확인 필요")))</f>
        <v/>
      </c>
    </row>
    <row r="4611" customFormat="false" ht="15" hidden="false" customHeight="true" outlineLevel="0" collapsed="false">
      <c r="A4611" s="11" t="str">
        <f aca="false">IF(원본명단!$A4610="","",4608)</f>
        <v/>
      </c>
      <c r="B4611" s="12" t="str">
        <f aca="false">IF($A4611="","",원본명단!$A4610)</f>
        <v/>
      </c>
      <c r="C4611" s="12" t="str">
        <f aca="false">IF($A4611="","",원본명단!$B4610)</f>
        <v/>
      </c>
      <c r="D4611" s="12" t="str">
        <f aca="false">IF($A4611="","",원본명단!$D4610)</f>
        <v/>
      </c>
      <c r="E4611" s="11" t="str">
        <f aca="false">IF($A4611="","",IF(원본명단!$H4610="",0,COUNTIF(원본명단!$H$3:$H$6002,원본명단!$H4610)))</f>
        <v/>
      </c>
      <c r="F4611" s="11" t="str">
        <f aca="false">IF($A4611="","",IF(원본명단!$I4610="",0,COUNTIF(원본명단!$I$3:$I$6002,원본명단!$I4610)))</f>
        <v/>
      </c>
      <c r="G4611" s="11" t="str">
        <f aca="false">IF($A4611="","",IF(원본명단!$K4610="",0,COUNTIF(원본명단!$K$3:$K$6002,원본명단!$K4610)))</f>
        <v/>
      </c>
      <c r="H4611" s="11" t="str">
        <f aca="false">IF($A4611="","",IF(MAX($E4611,$F4611,$G4611)&gt;1,"중복","-"))</f>
        <v/>
      </c>
      <c r="I4611" s="11" t="str">
        <f aca="false">IF($A4611="","",IF($H4611="-","-",IF(AND(IF(원본명단!$H4610="",TRUE(),COUNTIF(원본명단!$H$3:$H4610,원본명단!$H4610)=1),IF(원본명단!$I4610="",TRUE(),COUNTIF(원본명단!$I$3:$I4610,원본명단!$I4610)=1),IF(원본명단!$K4610="",TRUE(),COUNTIF(원본명단!$K$3:$K4610,원본명단!$K4610)=1)),"첫 건","중복 건")))</f>
        <v/>
      </c>
      <c r="J4611" s="11" t="str">
        <f aca="false">IF($A4611="","",IF($H4611="-","유지",IF($I4611="첫 건","유지","확인 필요")))</f>
        <v/>
      </c>
    </row>
    <row r="4612" customFormat="false" ht="15" hidden="false" customHeight="true" outlineLevel="0" collapsed="false">
      <c r="A4612" s="11" t="str">
        <f aca="false">IF(원본명단!$A4611="","",4609)</f>
        <v/>
      </c>
      <c r="B4612" s="12" t="str">
        <f aca="false">IF($A4612="","",원본명단!$A4611)</f>
        <v/>
      </c>
      <c r="C4612" s="12" t="str">
        <f aca="false">IF($A4612="","",원본명단!$B4611)</f>
        <v/>
      </c>
      <c r="D4612" s="12" t="str">
        <f aca="false">IF($A4612="","",원본명단!$D4611)</f>
        <v/>
      </c>
      <c r="E4612" s="11" t="str">
        <f aca="false">IF($A4612="","",IF(원본명단!$H4611="",0,COUNTIF(원본명단!$H$3:$H$6002,원본명단!$H4611)))</f>
        <v/>
      </c>
      <c r="F4612" s="11" t="str">
        <f aca="false">IF($A4612="","",IF(원본명단!$I4611="",0,COUNTIF(원본명단!$I$3:$I$6002,원본명단!$I4611)))</f>
        <v/>
      </c>
      <c r="G4612" s="11" t="str">
        <f aca="false">IF($A4612="","",IF(원본명단!$K4611="",0,COUNTIF(원본명단!$K$3:$K$6002,원본명단!$K4611)))</f>
        <v/>
      </c>
      <c r="H4612" s="11" t="str">
        <f aca="false">IF($A4612="","",IF(MAX($E4612,$F4612,$G4612)&gt;1,"중복","-"))</f>
        <v/>
      </c>
      <c r="I4612" s="11" t="str">
        <f aca="false">IF($A4612="","",IF($H4612="-","-",IF(AND(IF(원본명단!$H4611="",TRUE(),COUNTIF(원본명단!$H$3:$H4611,원본명단!$H4611)=1),IF(원본명단!$I4611="",TRUE(),COUNTIF(원본명단!$I$3:$I4611,원본명단!$I4611)=1),IF(원본명단!$K4611="",TRUE(),COUNTIF(원본명단!$K$3:$K4611,원본명단!$K4611)=1)),"첫 건","중복 건")))</f>
        <v/>
      </c>
      <c r="J4612" s="11" t="str">
        <f aca="false">IF($A4612="","",IF($H4612="-","유지",IF($I4612="첫 건","유지","확인 필요")))</f>
        <v/>
      </c>
    </row>
    <row r="4613" customFormat="false" ht="15" hidden="false" customHeight="true" outlineLevel="0" collapsed="false">
      <c r="A4613" s="11" t="str">
        <f aca="false">IF(원본명단!$A4612="","",4610)</f>
        <v/>
      </c>
      <c r="B4613" s="12" t="str">
        <f aca="false">IF($A4613="","",원본명단!$A4612)</f>
        <v/>
      </c>
      <c r="C4613" s="12" t="str">
        <f aca="false">IF($A4613="","",원본명단!$B4612)</f>
        <v/>
      </c>
      <c r="D4613" s="12" t="str">
        <f aca="false">IF($A4613="","",원본명단!$D4612)</f>
        <v/>
      </c>
      <c r="E4613" s="11" t="str">
        <f aca="false">IF($A4613="","",IF(원본명단!$H4612="",0,COUNTIF(원본명단!$H$3:$H$6002,원본명단!$H4612)))</f>
        <v/>
      </c>
      <c r="F4613" s="11" t="str">
        <f aca="false">IF($A4613="","",IF(원본명단!$I4612="",0,COUNTIF(원본명단!$I$3:$I$6002,원본명단!$I4612)))</f>
        <v/>
      </c>
      <c r="G4613" s="11" t="str">
        <f aca="false">IF($A4613="","",IF(원본명단!$K4612="",0,COUNTIF(원본명단!$K$3:$K$6002,원본명단!$K4612)))</f>
        <v/>
      </c>
      <c r="H4613" s="11" t="str">
        <f aca="false">IF($A4613="","",IF(MAX($E4613,$F4613,$G4613)&gt;1,"중복","-"))</f>
        <v/>
      </c>
      <c r="I4613" s="11" t="str">
        <f aca="false">IF($A4613="","",IF($H4613="-","-",IF(AND(IF(원본명단!$H4612="",TRUE(),COUNTIF(원본명단!$H$3:$H4612,원본명단!$H4612)=1),IF(원본명단!$I4612="",TRUE(),COUNTIF(원본명단!$I$3:$I4612,원본명단!$I4612)=1),IF(원본명단!$K4612="",TRUE(),COUNTIF(원본명단!$K$3:$K4612,원본명단!$K4612)=1)),"첫 건","중복 건")))</f>
        <v/>
      </c>
      <c r="J4613" s="11" t="str">
        <f aca="false">IF($A4613="","",IF($H4613="-","유지",IF($I4613="첫 건","유지","확인 필요")))</f>
        <v/>
      </c>
    </row>
    <row r="4614" customFormat="false" ht="15" hidden="false" customHeight="true" outlineLevel="0" collapsed="false">
      <c r="A4614" s="11" t="str">
        <f aca="false">IF(원본명단!$A4613="","",4611)</f>
        <v/>
      </c>
      <c r="B4614" s="12" t="str">
        <f aca="false">IF($A4614="","",원본명단!$A4613)</f>
        <v/>
      </c>
      <c r="C4614" s="12" t="str">
        <f aca="false">IF($A4614="","",원본명단!$B4613)</f>
        <v/>
      </c>
      <c r="D4614" s="12" t="str">
        <f aca="false">IF($A4614="","",원본명단!$D4613)</f>
        <v/>
      </c>
      <c r="E4614" s="11" t="str">
        <f aca="false">IF($A4614="","",IF(원본명단!$H4613="",0,COUNTIF(원본명단!$H$3:$H$6002,원본명단!$H4613)))</f>
        <v/>
      </c>
      <c r="F4614" s="11" t="str">
        <f aca="false">IF($A4614="","",IF(원본명단!$I4613="",0,COUNTIF(원본명단!$I$3:$I$6002,원본명단!$I4613)))</f>
        <v/>
      </c>
      <c r="G4614" s="11" t="str">
        <f aca="false">IF($A4614="","",IF(원본명단!$K4613="",0,COUNTIF(원본명단!$K$3:$K$6002,원본명단!$K4613)))</f>
        <v/>
      </c>
      <c r="H4614" s="11" t="str">
        <f aca="false">IF($A4614="","",IF(MAX($E4614,$F4614,$G4614)&gt;1,"중복","-"))</f>
        <v/>
      </c>
      <c r="I4614" s="11" t="str">
        <f aca="false">IF($A4614="","",IF($H4614="-","-",IF(AND(IF(원본명단!$H4613="",TRUE(),COUNTIF(원본명단!$H$3:$H4613,원본명단!$H4613)=1),IF(원본명단!$I4613="",TRUE(),COUNTIF(원본명단!$I$3:$I4613,원본명단!$I4613)=1),IF(원본명단!$K4613="",TRUE(),COUNTIF(원본명단!$K$3:$K4613,원본명단!$K4613)=1)),"첫 건","중복 건")))</f>
        <v/>
      </c>
      <c r="J4614" s="11" t="str">
        <f aca="false">IF($A4614="","",IF($H4614="-","유지",IF($I4614="첫 건","유지","확인 필요")))</f>
        <v/>
      </c>
    </row>
    <row r="4615" customFormat="false" ht="15" hidden="false" customHeight="true" outlineLevel="0" collapsed="false">
      <c r="A4615" s="11" t="str">
        <f aca="false">IF(원본명단!$A4614="","",4612)</f>
        <v/>
      </c>
      <c r="B4615" s="12" t="str">
        <f aca="false">IF($A4615="","",원본명단!$A4614)</f>
        <v/>
      </c>
      <c r="C4615" s="12" t="str">
        <f aca="false">IF($A4615="","",원본명단!$B4614)</f>
        <v/>
      </c>
      <c r="D4615" s="12" t="str">
        <f aca="false">IF($A4615="","",원본명단!$D4614)</f>
        <v/>
      </c>
      <c r="E4615" s="11" t="str">
        <f aca="false">IF($A4615="","",IF(원본명단!$H4614="",0,COUNTIF(원본명단!$H$3:$H$6002,원본명단!$H4614)))</f>
        <v/>
      </c>
      <c r="F4615" s="11" t="str">
        <f aca="false">IF($A4615="","",IF(원본명단!$I4614="",0,COUNTIF(원본명단!$I$3:$I$6002,원본명단!$I4614)))</f>
        <v/>
      </c>
      <c r="G4615" s="11" t="str">
        <f aca="false">IF($A4615="","",IF(원본명단!$K4614="",0,COUNTIF(원본명단!$K$3:$K$6002,원본명단!$K4614)))</f>
        <v/>
      </c>
      <c r="H4615" s="11" t="str">
        <f aca="false">IF($A4615="","",IF(MAX($E4615,$F4615,$G4615)&gt;1,"중복","-"))</f>
        <v/>
      </c>
      <c r="I4615" s="11" t="str">
        <f aca="false">IF($A4615="","",IF($H4615="-","-",IF(AND(IF(원본명단!$H4614="",TRUE(),COUNTIF(원본명단!$H$3:$H4614,원본명단!$H4614)=1),IF(원본명단!$I4614="",TRUE(),COUNTIF(원본명단!$I$3:$I4614,원본명단!$I4614)=1),IF(원본명단!$K4614="",TRUE(),COUNTIF(원본명단!$K$3:$K4614,원본명단!$K4614)=1)),"첫 건","중복 건")))</f>
        <v/>
      </c>
      <c r="J4615" s="11" t="str">
        <f aca="false">IF($A4615="","",IF($H4615="-","유지",IF($I4615="첫 건","유지","확인 필요")))</f>
        <v/>
      </c>
    </row>
    <row r="4616" customFormat="false" ht="15" hidden="false" customHeight="true" outlineLevel="0" collapsed="false">
      <c r="A4616" s="11" t="str">
        <f aca="false">IF(원본명단!$A4615="","",4613)</f>
        <v/>
      </c>
      <c r="B4616" s="12" t="str">
        <f aca="false">IF($A4616="","",원본명단!$A4615)</f>
        <v/>
      </c>
      <c r="C4616" s="12" t="str">
        <f aca="false">IF($A4616="","",원본명단!$B4615)</f>
        <v/>
      </c>
      <c r="D4616" s="12" t="str">
        <f aca="false">IF($A4616="","",원본명단!$D4615)</f>
        <v/>
      </c>
      <c r="E4616" s="11" t="str">
        <f aca="false">IF($A4616="","",IF(원본명단!$H4615="",0,COUNTIF(원본명단!$H$3:$H$6002,원본명단!$H4615)))</f>
        <v/>
      </c>
      <c r="F4616" s="11" t="str">
        <f aca="false">IF($A4616="","",IF(원본명단!$I4615="",0,COUNTIF(원본명단!$I$3:$I$6002,원본명단!$I4615)))</f>
        <v/>
      </c>
      <c r="G4616" s="11" t="str">
        <f aca="false">IF($A4616="","",IF(원본명단!$K4615="",0,COUNTIF(원본명단!$K$3:$K$6002,원본명단!$K4615)))</f>
        <v/>
      </c>
      <c r="H4616" s="11" t="str">
        <f aca="false">IF($A4616="","",IF(MAX($E4616,$F4616,$G4616)&gt;1,"중복","-"))</f>
        <v/>
      </c>
      <c r="I4616" s="11" t="str">
        <f aca="false">IF($A4616="","",IF($H4616="-","-",IF(AND(IF(원본명단!$H4615="",TRUE(),COUNTIF(원본명단!$H$3:$H4615,원본명단!$H4615)=1),IF(원본명단!$I4615="",TRUE(),COUNTIF(원본명단!$I$3:$I4615,원본명단!$I4615)=1),IF(원본명단!$K4615="",TRUE(),COUNTIF(원본명단!$K$3:$K4615,원본명단!$K4615)=1)),"첫 건","중복 건")))</f>
        <v/>
      </c>
      <c r="J4616" s="11" t="str">
        <f aca="false">IF($A4616="","",IF($H4616="-","유지",IF($I4616="첫 건","유지","확인 필요")))</f>
        <v/>
      </c>
    </row>
    <row r="4617" customFormat="false" ht="15" hidden="false" customHeight="true" outlineLevel="0" collapsed="false">
      <c r="A4617" s="11" t="str">
        <f aca="false">IF(원본명단!$A4616="","",4614)</f>
        <v/>
      </c>
      <c r="B4617" s="12" t="str">
        <f aca="false">IF($A4617="","",원본명단!$A4616)</f>
        <v/>
      </c>
      <c r="C4617" s="12" t="str">
        <f aca="false">IF($A4617="","",원본명단!$B4616)</f>
        <v/>
      </c>
      <c r="D4617" s="12" t="str">
        <f aca="false">IF($A4617="","",원본명단!$D4616)</f>
        <v/>
      </c>
      <c r="E4617" s="11" t="str">
        <f aca="false">IF($A4617="","",IF(원본명단!$H4616="",0,COUNTIF(원본명단!$H$3:$H$6002,원본명단!$H4616)))</f>
        <v/>
      </c>
      <c r="F4617" s="11" t="str">
        <f aca="false">IF($A4617="","",IF(원본명단!$I4616="",0,COUNTIF(원본명단!$I$3:$I$6002,원본명단!$I4616)))</f>
        <v/>
      </c>
      <c r="G4617" s="11" t="str">
        <f aca="false">IF($A4617="","",IF(원본명단!$K4616="",0,COUNTIF(원본명단!$K$3:$K$6002,원본명단!$K4616)))</f>
        <v/>
      </c>
      <c r="H4617" s="11" t="str">
        <f aca="false">IF($A4617="","",IF(MAX($E4617,$F4617,$G4617)&gt;1,"중복","-"))</f>
        <v/>
      </c>
      <c r="I4617" s="11" t="str">
        <f aca="false">IF($A4617="","",IF($H4617="-","-",IF(AND(IF(원본명단!$H4616="",TRUE(),COUNTIF(원본명단!$H$3:$H4616,원본명단!$H4616)=1),IF(원본명단!$I4616="",TRUE(),COUNTIF(원본명단!$I$3:$I4616,원본명단!$I4616)=1),IF(원본명단!$K4616="",TRUE(),COUNTIF(원본명단!$K$3:$K4616,원본명단!$K4616)=1)),"첫 건","중복 건")))</f>
        <v/>
      </c>
      <c r="J4617" s="11" t="str">
        <f aca="false">IF($A4617="","",IF($H4617="-","유지",IF($I4617="첫 건","유지","확인 필요")))</f>
        <v/>
      </c>
    </row>
    <row r="4618" customFormat="false" ht="15" hidden="false" customHeight="true" outlineLevel="0" collapsed="false">
      <c r="A4618" s="11" t="str">
        <f aca="false">IF(원본명단!$A4617="","",4615)</f>
        <v/>
      </c>
      <c r="B4618" s="12" t="str">
        <f aca="false">IF($A4618="","",원본명단!$A4617)</f>
        <v/>
      </c>
      <c r="C4618" s="12" t="str">
        <f aca="false">IF($A4618="","",원본명단!$B4617)</f>
        <v/>
      </c>
      <c r="D4618" s="12" t="str">
        <f aca="false">IF($A4618="","",원본명단!$D4617)</f>
        <v/>
      </c>
      <c r="E4618" s="11" t="str">
        <f aca="false">IF($A4618="","",IF(원본명단!$H4617="",0,COUNTIF(원본명단!$H$3:$H$6002,원본명단!$H4617)))</f>
        <v/>
      </c>
      <c r="F4618" s="11" t="str">
        <f aca="false">IF($A4618="","",IF(원본명단!$I4617="",0,COUNTIF(원본명단!$I$3:$I$6002,원본명단!$I4617)))</f>
        <v/>
      </c>
      <c r="G4618" s="11" t="str">
        <f aca="false">IF($A4618="","",IF(원본명단!$K4617="",0,COUNTIF(원본명단!$K$3:$K$6002,원본명단!$K4617)))</f>
        <v/>
      </c>
      <c r="H4618" s="11" t="str">
        <f aca="false">IF($A4618="","",IF(MAX($E4618,$F4618,$G4618)&gt;1,"중복","-"))</f>
        <v/>
      </c>
      <c r="I4618" s="11" t="str">
        <f aca="false">IF($A4618="","",IF($H4618="-","-",IF(AND(IF(원본명단!$H4617="",TRUE(),COUNTIF(원본명단!$H$3:$H4617,원본명단!$H4617)=1),IF(원본명단!$I4617="",TRUE(),COUNTIF(원본명단!$I$3:$I4617,원본명단!$I4617)=1),IF(원본명단!$K4617="",TRUE(),COUNTIF(원본명단!$K$3:$K4617,원본명단!$K4617)=1)),"첫 건","중복 건")))</f>
        <v/>
      </c>
      <c r="J4618" s="11" t="str">
        <f aca="false">IF($A4618="","",IF($H4618="-","유지",IF($I4618="첫 건","유지","확인 필요")))</f>
        <v/>
      </c>
    </row>
    <row r="4619" customFormat="false" ht="15" hidden="false" customHeight="true" outlineLevel="0" collapsed="false">
      <c r="A4619" s="11" t="str">
        <f aca="false">IF(원본명단!$A4618="","",4616)</f>
        <v/>
      </c>
      <c r="B4619" s="12" t="str">
        <f aca="false">IF($A4619="","",원본명단!$A4618)</f>
        <v/>
      </c>
      <c r="C4619" s="12" t="str">
        <f aca="false">IF($A4619="","",원본명단!$B4618)</f>
        <v/>
      </c>
      <c r="D4619" s="12" t="str">
        <f aca="false">IF($A4619="","",원본명단!$D4618)</f>
        <v/>
      </c>
      <c r="E4619" s="11" t="str">
        <f aca="false">IF($A4619="","",IF(원본명단!$H4618="",0,COUNTIF(원본명단!$H$3:$H$6002,원본명단!$H4618)))</f>
        <v/>
      </c>
      <c r="F4619" s="11" t="str">
        <f aca="false">IF($A4619="","",IF(원본명단!$I4618="",0,COUNTIF(원본명단!$I$3:$I$6002,원본명단!$I4618)))</f>
        <v/>
      </c>
      <c r="G4619" s="11" t="str">
        <f aca="false">IF($A4619="","",IF(원본명단!$K4618="",0,COUNTIF(원본명단!$K$3:$K$6002,원본명단!$K4618)))</f>
        <v/>
      </c>
      <c r="H4619" s="11" t="str">
        <f aca="false">IF($A4619="","",IF(MAX($E4619,$F4619,$G4619)&gt;1,"중복","-"))</f>
        <v/>
      </c>
      <c r="I4619" s="11" t="str">
        <f aca="false">IF($A4619="","",IF($H4619="-","-",IF(AND(IF(원본명단!$H4618="",TRUE(),COUNTIF(원본명단!$H$3:$H4618,원본명단!$H4618)=1),IF(원본명단!$I4618="",TRUE(),COUNTIF(원본명단!$I$3:$I4618,원본명단!$I4618)=1),IF(원본명단!$K4618="",TRUE(),COUNTIF(원본명단!$K$3:$K4618,원본명단!$K4618)=1)),"첫 건","중복 건")))</f>
        <v/>
      </c>
      <c r="J4619" s="11" t="str">
        <f aca="false">IF($A4619="","",IF($H4619="-","유지",IF($I4619="첫 건","유지","확인 필요")))</f>
        <v/>
      </c>
    </row>
    <row r="4620" customFormat="false" ht="15" hidden="false" customHeight="true" outlineLevel="0" collapsed="false">
      <c r="A4620" s="11" t="str">
        <f aca="false">IF(원본명단!$A4619="","",4617)</f>
        <v/>
      </c>
      <c r="B4620" s="12" t="str">
        <f aca="false">IF($A4620="","",원본명단!$A4619)</f>
        <v/>
      </c>
      <c r="C4620" s="12" t="str">
        <f aca="false">IF($A4620="","",원본명단!$B4619)</f>
        <v/>
      </c>
      <c r="D4620" s="12" t="str">
        <f aca="false">IF($A4620="","",원본명단!$D4619)</f>
        <v/>
      </c>
      <c r="E4620" s="11" t="str">
        <f aca="false">IF($A4620="","",IF(원본명단!$H4619="",0,COUNTIF(원본명단!$H$3:$H$6002,원본명단!$H4619)))</f>
        <v/>
      </c>
      <c r="F4620" s="11" t="str">
        <f aca="false">IF($A4620="","",IF(원본명단!$I4619="",0,COUNTIF(원본명단!$I$3:$I$6002,원본명단!$I4619)))</f>
        <v/>
      </c>
      <c r="G4620" s="11" t="str">
        <f aca="false">IF($A4620="","",IF(원본명단!$K4619="",0,COUNTIF(원본명단!$K$3:$K$6002,원본명단!$K4619)))</f>
        <v/>
      </c>
      <c r="H4620" s="11" t="str">
        <f aca="false">IF($A4620="","",IF(MAX($E4620,$F4620,$G4620)&gt;1,"중복","-"))</f>
        <v/>
      </c>
      <c r="I4620" s="11" t="str">
        <f aca="false">IF($A4620="","",IF($H4620="-","-",IF(AND(IF(원본명단!$H4619="",TRUE(),COUNTIF(원본명단!$H$3:$H4619,원본명단!$H4619)=1),IF(원본명단!$I4619="",TRUE(),COUNTIF(원본명단!$I$3:$I4619,원본명단!$I4619)=1),IF(원본명단!$K4619="",TRUE(),COUNTIF(원본명단!$K$3:$K4619,원본명단!$K4619)=1)),"첫 건","중복 건")))</f>
        <v/>
      </c>
      <c r="J4620" s="11" t="str">
        <f aca="false">IF($A4620="","",IF($H4620="-","유지",IF($I4620="첫 건","유지","확인 필요")))</f>
        <v/>
      </c>
    </row>
    <row r="4621" customFormat="false" ht="15" hidden="false" customHeight="true" outlineLevel="0" collapsed="false">
      <c r="A4621" s="11" t="str">
        <f aca="false">IF(원본명단!$A4620="","",4618)</f>
        <v/>
      </c>
      <c r="B4621" s="12" t="str">
        <f aca="false">IF($A4621="","",원본명단!$A4620)</f>
        <v/>
      </c>
      <c r="C4621" s="12" t="str">
        <f aca="false">IF($A4621="","",원본명단!$B4620)</f>
        <v/>
      </c>
      <c r="D4621" s="12" t="str">
        <f aca="false">IF($A4621="","",원본명단!$D4620)</f>
        <v/>
      </c>
      <c r="E4621" s="11" t="str">
        <f aca="false">IF($A4621="","",IF(원본명단!$H4620="",0,COUNTIF(원본명단!$H$3:$H$6002,원본명단!$H4620)))</f>
        <v/>
      </c>
      <c r="F4621" s="11" t="str">
        <f aca="false">IF($A4621="","",IF(원본명단!$I4620="",0,COUNTIF(원본명단!$I$3:$I$6002,원본명단!$I4620)))</f>
        <v/>
      </c>
      <c r="G4621" s="11" t="str">
        <f aca="false">IF($A4621="","",IF(원본명단!$K4620="",0,COUNTIF(원본명단!$K$3:$K$6002,원본명단!$K4620)))</f>
        <v/>
      </c>
      <c r="H4621" s="11" t="str">
        <f aca="false">IF($A4621="","",IF(MAX($E4621,$F4621,$G4621)&gt;1,"중복","-"))</f>
        <v/>
      </c>
      <c r="I4621" s="11" t="str">
        <f aca="false">IF($A4621="","",IF($H4621="-","-",IF(AND(IF(원본명단!$H4620="",TRUE(),COUNTIF(원본명단!$H$3:$H4620,원본명단!$H4620)=1),IF(원본명단!$I4620="",TRUE(),COUNTIF(원본명단!$I$3:$I4620,원본명단!$I4620)=1),IF(원본명단!$K4620="",TRUE(),COUNTIF(원본명단!$K$3:$K4620,원본명단!$K4620)=1)),"첫 건","중복 건")))</f>
        <v/>
      </c>
      <c r="J4621" s="11" t="str">
        <f aca="false">IF($A4621="","",IF($H4621="-","유지",IF($I4621="첫 건","유지","확인 필요")))</f>
        <v/>
      </c>
    </row>
    <row r="4622" customFormat="false" ht="15" hidden="false" customHeight="true" outlineLevel="0" collapsed="false">
      <c r="A4622" s="11" t="str">
        <f aca="false">IF(원본명단!$A4621="","",4619)</f>
        <v/>
      </c>
      <c r="B4622" s="12" t="str">
        <f aca="false">IF($A4622="","",원본명단!$A4621)</f>
        <v/>
      </c>
      <c r="C4622" s="12" t="str">
        <f aca="false">IF($A4622="","",원본명단!$B4621)</f>
        <v/>
      </c>
      <c r="D4622" s="12" t="str">
        <f aca="false">IF($A4622="","",원본명단!$D4621)</f>
        <v/>
      </c>
      <c r="E4622" s="11" t="str">
        <f aca="false">IF($A4622="","",IF(원본명단!$H4621="",0,COUNTIF(원본명단!$H$3:$H$6002,원본명단!$H4621)))</f>
        <v/>
      </c>
      <c r="F4622" s="11" t="str">
        <f aca="false">IF($A4622="","",IF(원본명단!$I4621="",0,COUNTIF(원본명단!$I$3:$I$6002,원본명단!$I4621)))</f>
        <v/>
      </c>
      <c r="G4622" s="11" t="str">
        <f aca="false">IF($A4622="","",IF(원본명단!$K4621="",0,COUNTIF(원본명단!$K$3:$K$6002,원본명단!$K4621)))</f>
        <v/>
      </c>
      <c r="H4622" s="11" t="str">
        <f aca="false">IF($A4622="","",IF(MAX($E4622,$F4622,$G4622)&gt;1,"중복","-"))</f>
        <v/>
      </c>
      <c r="I4622" s="11" t="str">
        <f aca="false">IF($A4622="","",IF($H4622="-","-",IF(AND(IF(원본명단!$H4621="",TRUE(),COUNTIF(원본명단!$H$3:$H4621,원본명단!$H4621)=1),IF(원본명단!$I4621="",TRUE(),COUNTIF(원본명단!$I$3:$I4621,원본명단!$I4621)=1),IF(원본명단!$K4621="",TRUE(),COUNTIF(원본명단!$K$3:$K4621,원본명단!$K4621)=1)),"첫 건","중복 건")))</f>
        <v/>
      </c>
      <c r="J4622" s="11" t="str">
        <f aca="false">IF($A4622="","",IF($H4622="-","유지",IF($I4622="첫 건","유지","확인 필요")))</f>
        <v/>
      </c>
    </row>
    <row r="4623" customFormat="false" ht="15" hidden="false" customHeight="true" outlineLevel="0" collapsed="false">
      <c r="A4623" s="11" t="str">
        <f aca="false">IF(원본명단!$A4622="","",4620)</f>
        <v/>
      </c>
      <c r="B4623" s="12" t="str">
        <f aca="false">IF($A4623="","",원본명단!$A4622)</f>
        <v/>
      </c>
      <c r="C4623" s="12" t="str">
        <f aca="false">IF($A4623="","",원본명단!$B4622)</f>
        <v/>
      </c>
      <c r="D4623" s="12" t="str">
        <f aca="false">IF($A4623="","",원본명단!$D4622)</f>
        <v/>
      </c>
      <c r="E4623" s="11" t="str">
        <f aca="false">IF($A4623="","",IF(원본명단!$H4622="",0,COUNTIF(원본명단!$H$3:$H$6002,원본명단!$H4622)))</f>
        <v/>
      </c>
      <c r="F4623" s="11" t="str">
        <f aca="false">IF($A4623="","",IF(원본명단!$I4622="",0,COUNTIF(원본명단!$I$3:$I$6002,원본명단!$I4622)))</f>
        <v/>
      </c>
      <c r="G4623" s="11" t="str">
        <f aca="false">IF($A4623="","",IF(원본명단!$K4622="",0,COUNTIF(원본명단!$K$3:$K$6002,원본명단!$K4622)))</f>
        <v/>
      </c>
      <c r="H4623" s="11" t="str">
        <f aca="false">IF($A4623="","",IF(MAX($E4623,$F4623,$G4623)&gt;1,"중복","-"))</f>
        <v/>
      </c>
      <c r="I4623" s="11" t="str">
        <f aca="false">IF($A4623="","",IF($H4623="-","-",IF(AND(IF(원본명단!$H4622="",TRUE(),COUNTIF(원본명단!$H$3:$H4622,원본명단!$H4622)=1),IF(원본명단!$I4622="",TRUE(),COUNTIF(원본명단!$I$3:$I4622,원본명단!$I4622)=1),IF(원본명단!$K4622="",TRUE(),COUNTIF(원본명단!$K$3:$K4622,원본명단!$K4622)=1)),"첫 건","중복 건")))</f>
        <v/>
      </c>
      <c r="J4623" s="11" t="str">
        <f aca="false">IF($A4623="","",IF($H4623="-","유지",IF($I4623="첫 건","유지","확인 필요")))</f>
        <v/>
      </c>
    </row>
    <row r="4624" customFormat="false" ht="15" hidden="false" customHeight="true" outlineLevel="0" collapsed="false">
      <c r="A4624" s="11" t="str">
        <f aca="false">IF(원본명단!$A4623="","",4621)</f>
        <v/>
      </c>
      <c r="B4624" s="12" t="str">
        <f aca="false">IF($A4624="","",원본명단!$A4623)</f>
        <v/>
      </c>
      <c r="C4624" s="12" t="str">
        <f aca="false">IF($A4624="","",원본명단!$B4623)</f>
        <v/>
      </c>
      <c r="D4624" s="12" t="str">
        <f aca="false">IF($A4624="","",원본명단!$D4623)</f>
        <v/>
      </c>
      <c r="E4624" s="11" t="str">
        <f aca="false">IF($A4624="","",IF(원본명단!$H4623="",0,COUNTIF(원본명단!$H$3:$H$6002,원본명단!$H4623)))</f>
        <v/>
      </c>
      <c r="F4624" s="11" t="str">
        <f aca="false">IF($A4624="","",IF(원본명단!$I4623="",0,COUNTIF(원본명단!$I$3:$I$6002,원본명단!$I4623)))</f>
        <v/>
      </c>
      <c r="G4624" s="11" t="str">
        <f aca="false">IF($A4624="","",IF(원본명단!$K4623="",0,COUNTIF(원본명단!$K$3:$K$6002,원본명단!$K4623)))</f>
        <v/>
      </c>
      <c r="H4624" s="11" t="str">
        <f aca="false">IF($A4624="","",IF(MAX($E4624,$F4624,$G4624)&gt;1,"중복","-"))</f>
        <v/>
      </c>
      <c r="I4624" s="11" t="str">
        <f aca="false">IF($A4624="","",IF($H4624="-","-",IF(AND(IF(원본명단!$H4623="",TRUE(),COUNTIF(원본명단!$H$3:$H4623,원본명단!$H4623)=1),IF(원본명단!$I4623="",TRUE(),COUNTIF(원본명단!$I$3:$I4623,원본명단!$I4623)=1),IF(원본명단!$K4623="",TRUE(),COUNTIF(원본명단!$K$3:$K4623,원본명단!$K4623)=1)),"첫 건","중복 건")))</f>
        <v/>
      </c>
      <c r="J4624" s="11" t="str">
        <f aca="false">IF($A4624="","",IF($H4624="-","유지",IF($I4624="첫 건","유지","확인 필요")))</f>
        <v/>
      </c>
    </row>
    <row r="4625" customFormat="false" ht="15" hidden="false" customHeight="true" outlineLevel="0" collapsed="false">
      <c r="A4625" s="11" t="str">
        <f aca="false">IF(원본명단!$A4624="","",4622)</f>
        <v/>
      </c>
      <c r="B4625" s="12" t="str">
        <f aca="false">IF($A4625="","",원본명단!$A4624)</f>
        <v/>
      </c>
      <c r="C4625" s="12" t="str">
        <f aca="false">IF($A4625="","",원본명단!$B4624)</f>
        <v/>
      </c>
      <c r="D4625" s="12" t="str">
        <f aca="false">IF($A4625="","",원본명단!$D4624)</f>
        <v/>
      </c>
      <c r="E4625" s="11" t="str">
        <f aca="false">IF($A4625="","",IF(원본명단!$H4624="",0,COUNTIF(원본명단!$H$3:$H$6002,원본명단!$H4624)))</f>
        <v/>
      </c>
      <c r="F4625" s="11" t="str">
        <f aca="false">IF($A4625="","",IF(원본명단!$I4624="",0,COUNTIF(원본명단!$I$3:$I$6002,원본명단!$I4624)))</f>
        <v/>
      </c>
      <c r="G4625" s="11" t="str">
        <f aca="false">IF($A4625="","",IF(원본명단!$K4624="",0,COUNTIF(원본명단!$K$3:$K$6002,원본명단!$K4624)))</f>
        <v/>
      </c>
      <c r="H4625" s="11" t="str">
        <f aca="false">IF($A4625="","",IF(MAX($E4625,$F4625,$G4625)&gt;1,"중복","-"))</f>
        <v/>
      </c>
      <c r="I4625" s="11" t="str">
        <f aca="false">IF($A4625="","",IF($H4625="-","-",IF(AND(IF(원본명단!$H4624="",TRUE(),COUNTIF(원본명단!$H$3:$H4624,원본명단!$H4624)=1),IF(원본명단!$I4624="",TRUE(),COUNTIF(원본명단!$I$3:$I4624,원본명단!$I4624)=1),IF(원본명단!$K4624="",TRUE(),COUNTIF(원본명단!$K$3:$K4624,원본명단!$K4624)=1)),"첫 건","중복 건")))</f>
        <v/>
      </c>
      <c r="J4625" s="11" t="str">
        <f aca="false">IF($A4625="","",IF($H4625="-","유지",IF($I4625="첫 건","유지","확인 필요")))</f>
        <v/>
      </c>
    </row>
    <row r="4626" customFormat="false" ht="15" hidden="false" customHeight="true" outlineLevel="0" collapsed="false">
      <c r="A4626" s="11" t="str">
        <f aca="false">IF(원본명단!$A4625="","",4623)</f>
        <v/>
      </c>
      <c r="B4626" s="12" t="str">
        <f aca="false">IF($A4626="","",원본명단!$A4625)</f>
        <v/>
      </c>
      <c r="C4626" s="12" t="str">
        <f aca="false">IF($A4626="","",원본명단!$B4625)</f>
        <v/>
      </c>
      <c r="D4626" s="12" t="str">
        <f aca="false">IF($A4626="","",원본명단!$D4625)</f>
        <v/>
      </c>
      <c r="E4626" s="11" t="str">
        <f aca="false">IF($A4626="","",IF(원본명단!$H4625="",0,COUNTIF(원본명단!$H$3:$H$6002,원본명단!$H4625)))</f>
        <v/>
      </c>
      <c r="F4626" s="11" t="str">
        <f aca="false">IF($A4626="","",IF(원본명단!$I4625="",0,COUNTIF(원본명단!$I$3:$I$6002,원본명단!$I4625)))</f>
        <v/>
      </c>
      <c r="G4626" s="11" t="str">
        <f aca="false">IF($A4626="","",IF(원본명단!$K4625="",0,COUNTIF(원본명단!$K$3:$K$6002,원본명단!$K4625)))</f>
        <v/>
      </c>
      <c r="H4626" s="11" t="str">
        <f aca="false">IF($A4626="","",IF(MAX($E4626,$F4626,$G4626)&gt;1,"중복","-"))</f>
        <v/>
      </c>
      <c r="I4626" s="11" t="str">
        <f aca="false">IF($A4626="","",IF($H4626="-","-",IF(AND(IF(원본명단!$H4625="",TRUE(),COUNTIF(원본명단!$H$3:$H4625,원본명단!$H4625)=1),IF(원본명단!$I4625="",TRUE(),COUNTIF(원본명단!$I$3:$I4625,원본명단!$I4625)=1),IF(원본명단!$K4625="",TRUE(),COUNTIF(원본명단!$K$3:$K4625,원본명단!$K4625)=1)),"첫 건","중복 건")))</f>
        <v/>
      </c>
      <c r="J4626" s="11" t="str">
        <f aca="false">IF($A4626="","",IF($H4626="-","유지",IF($I4626="첫 건","유지","확인 필요")))</f>
        <v/>
      </c>
    </row>
    <row r="4627" customFormat="false" ht="15" hidden="false" customHeight="true" outlineLevel="0" collapsed="false">
      <c r="A4627" s="11" t="str">
        <f aca="false">IF(원본명단!$A4626="","",4624)</f>
        <v/>
      </c>
      <c r="B4627" s="12" t="str">
        <f aca="false">IF($A4627="","",원본명단!$A4626)</f>
        <v/>
      </c>
      <c r="C4627" s="12" t="str">
        <f aca="false">IF($A4627="","",원본명단!$B4626)</f>
        <v/>
      </c>
      <c r="D4627" s="12" t="str">
        <f aca="false">IF($A4627="","",원본명단!$D4626)</f>
        <v/>
      </c>
      <c r="E4627" s="11" t="str">
        <f aca="false">IF($A4627="","",IF(원본명단!$H4626="",0,COUNTIF(원본명단!$H$3:$H$6002,원본명단!$H4626)))</f>
        <v/>
      </c>
      <c r="F4627" s="11" t="str">
        <f aca="false">IF($A4627="","",IF(원본명단!$I4626="",0,COUNTIF(원본명단!$I$3:$I$6002,원본명단!$I4626)))</f>
        <v/>
      </c>
      <c r="G4627" s="11" t="str">
        <f aca="false">IF($A4627="","",IF(원본명단!$K4626="",0,COUNTIF(원본명단!$K$3:$K$6002,원본명단!$K4626)))</f>
        <v/>
      </c>
      <c r="H4627" s="11" t="str">
        <f aca="false">IF($A4627="","",IF(MAX($E4627,$F4627,$G4627)&gt;1,"중복","-"))</f>
        <v/>
      </c>
      <c r="I4627" s="11" t="str">
        <f aca="false">IF($A4627="","",IF($H4627="-","-",IF(AND(IF(원본명단!$H4626="",TRUE(),COUNTIF(원본명단!$H$3:$H4626,원본명단!$H4626)=1),IF(원본명단!$I4626="",TRUE(),COUNTIF(원본명단!$I$3:$I4626,원본명단!$I4626)=1),IF(원본명단!$K4626="",TRUE(),COUNTIF(원본명단!$K$3:$K4626,원본명단!$K4626)=1)),"첫 건","중복 건")))</f>
        <v/>
      </c>
      <c r="J4627" s="11" t="str">
        <f aca="false">IF($A4627="","",IF($H4627="-","유지",IF($I4627="첫 건","유지","확인 필요")))</f>
        <v/>
      </c>
    </row>
    <row r="4628" customFormat="false" ht="15" hidden="false" customHeight="true" outlineLevel="0" collapsed="false">
      <c r="A4628" s="11" t="str">
        <f aca="false">IF(원본명단!$A4627="","",4625)</f>
        <v/>
      </c>
      <c r="B4628" s="12" t="str">
        <f aca="false">IF($A4628="","",원본명단!$A4627)</f>
        <v/>
      </c>
      <c r="C4628" s="12" t="str">
        <f aca="false">IF($A4628="","",원본명단!$B4627)</f>
        <v/>
      </c>
      <c r="D4628" s="12" t="str">
        <f aca="false">IF($A4628="","",원본명단!$D4627)</f>
        <v/>
      </c>
      <c r="E4628" s="11" t="str">
        <f aca="false">IF($A4628="","",IF(원본명단!$H4627="",0,COUNTIF(원본명단!$H$3:$H$6002,원본명단!$H4627)))</f>
        <v/>
      </c>
      <c r="F4628" s="11" t="str">
        <f aca="false">IF($A4628="","",IF(원본명단!$I4627="",0,COUNTIF(원본명단!$I$3:$I$6002,원본명단!$I4627)))</f>
        <v/>
      </c>
      <c r="G4628" s="11" t="str">
        <f aca="false">IF($A4628="","",IF(원본명단!$K4627="",0,COUNTIF(원본명단!$K$3:$K$6002,원본명단!$K4627)))</f>
        <v/>
      </c>
      <c r="H4628" s="11" t="str">
        <f aca="false">IF($A4628="","",IF(MAX($E4628,$F4628,$G4628)&gt;1,"중복","-"))</f>
        <v/>
      </c>
      <c r="I4628" s="11" t="str">
        <f aca="false">IF($A4628="","",IF($H4628="-","-",IF(AND(IF(원본명단!$H4627="",TRUE(),COUNTIF(원본명단!$H$3:$H4627,원본명단!$H4627)=1),IF(원본명단!$I4627="",TRUE(),COUNTIF(원본명단!$I$3:$I4627,원본명단!$I4627)=1),IF(원본명단!$K4627="",TRUE(),COUNTIF(원본명단!$K$3:$K4627,원본명단!$K4627)=1)),"첫 건","중복 건")))</f>
        <v/>
      </c>
      <c r="J4628" s="11" t="str">
        <f aca="false">IF($A4628="","",IF($H4628="-","유지",IF($I4628="첫 건","유지","확인 필요")))</f>
        <v/>
      </c>
    </row>
    <row r="4629" customFormat="false" ht="15" hidden="false" customHeight="true" outlineLevel="0" collapsed="false">
      <c r="A4629" s="11" t="str">
        <f aca="false">IF(원본명단!$A4628="","",4626)</f>
        <v/>
      </c>
      <c r="B4629" s="12" t="str">
        <f aca="false">IF($A4629="","",원본명단!$A4628)</f>
        <v/>
      </c>
      <c r="C4629" s="12" t="str">
        <f aca="false">IF($A4629="","",원본명단!$B4628)</f>
        <v/>
      </c>
      <c r="D4629" s="12" t="str">
        <f aca="false">IF($A4629="","",원본명단!$D4628)</f>
        <v/>
      </c>
      <c r="E4629" s="11" t="str">
        <f aca="false">IF($A4629="","",IF(원본명단!$H4628="",0,COUNTIF(원본명단!$H$3:$H$6002,원본명단!$H4628)))</f>
        <v/>
      </c>
      <c r="F4629" s="11" t="str">
        <f aca="false">IF($A4629="","",IF(원본명단!$I4628="",0,COUNTIF(원본명단!$I$3:$I$6002,원본명단!$I4628)))</f>
        <v/>
      </c>
      <c r="G4629" s="11" t="str">
        <f aca="false">IF($A4629="","",IF(원본명단!$K4628="",0,COUNTIF(원본명단!$K$3:$K$6002,원본명단!$K4628)))</f>
        <v/>
      </c>
      <c r="H4629" s="11" t="str">
        <f aca="false">IF($A4629="","",IF(MAX($E4629,$F4629,$G4629)&gt;1,"중복","-"))</f>
        <v/>
      </c>
      <c r="I4629" s="11" t="str">
        <f aca="false">IF($A4629="","",IF($H4629="-","-",IF(AND(IF(원본명단!$H4628="",TRUE(),COUNTIF(원본명단!$H$3:$H4628,원본명단!$H4628)=1),IF(원본명단!$I4628="",TRUE(),COUNTIF(원본명단!$I$3:$I4628,원본명단!$I4628)=1),IF(원본명단!$K4628="",TRUE(),COUNTIF(원본명단!$K$3:$K4628,원본명단!$K4628)=1)),"첫 건","중복 건")))</f>
        <v/>
      </c>
      <c r="J4629" s="11" t="str">
        <f aca="false">IF($A4629="","",IF($H4629="-","유지",IF($I4629="첫 건","유지","확인 필요")))</f>
        <v/>
      </c>
    </row>
    <row r="4630" customFormat="false" ht="15" hidden="false" customHeight="true" outlineLevel="0" collapsed="false">
      <c r="A4630" s="11" t="str">
        <f aca="false">IF(원본명단!$A4629="","",4627)</f>
        <v/>
      </c>
      <c r="B4630" s="12" t="str">
        <f aca="false">IF($A4630="","",원본명단!$A4629)</f>
        <v/>
      </c>
      <c r="C4630" s="12" t="str">
        <f aca="false">IF($A4630="","",원본명단!$B4629)</f>
        <v/>
      </c>
      <c r="D4630" s="12" t="str">
        <f aca="false">IF($A4630="","",원본명단!$D4629)</f>
        <v/>
      </c>
      <c r="E4630" s="11" t="str">
        <f aca="false">IF($A4630="","",IF(원본명단!$H4629="",0,COUNTIF(원본명단!$H$3:$H$6002,원본명단!$H4629)))</f>
        <v/>
      </c>
      <c r="F4630" s="11" t="str">
        <f aca="false">IF($A4630="","",IF(원본명단!$I4629="",0,COUNTIF(원본명단!$I$3:$I$6002,원본명단!$I4629)))</f>
        <v/>
      </c>
      <c r="G4630" s="11" t="str">
        <f aca="false">IF($A4630="","",IF(원본명단!$K4629="",0,COUNTIF(원본명단!$K$3:$K$6002,원본명단!$K4629)))</f>
        <v/>
      </c>
      <c r="H4630" s="11" t="str">
        <f aca="false">IF($A4630="","",IF(MAX($E4630,$F4630,$G4630)&gt;1,"중복","-"))</f>
        <v/>
      </c>
      <c r="I4630" s="11" t="str">
        <f aca="false">IF($A4630="","",IF($H4630="-","-",IF(AND(IF(원본명단!$H4629="",TRUE(),COUNTIF(원본명단!$H$3:$H4629,원본명단!$H4629)=1),IF(원본명단!$I4629="",TRUE(),COUNTIF(원본명단!$I$3:$I4629,원본명단!$I4629)=1),IF(원본명단!$K4629="",TRUE(),COUNTIF(원본명단!$K$3:$K4629,원본명단!$K4629)=1)),"첫 건","중복 건")))</f>
        <v/>
      </c>
      <c r="J4630" s="11" t="str">
        <f aca="false">IF($A4630="","",IF($H4630="-","유지",IF($I4630="첫 건","유지","확인 필요")))</f>
        <v/>
      </c>
    </row>
    <row r="4631" customFormat="false" ht="15" hidden="false" customHeight="true" outlineLevel="0" collapsed="false">
      <c r="A4631" s="11" t="str">
        <f aca="false">IF(원본명단!$A4630="","",4628)</f>
        <v/>
      </c>
      <c r="B4631" s="12" t="str">
        <f aca="false">IF($A4631="","",원본명단!$A4630)</f>
        <v/>
      </c>
      <c r="C4631" s="12" t="str">
        <f aca="false">IF($A4631="","",원본명단!$B4630)</f>
        <v/>
      </c>
      <c r="D4631" s="12" t="str">
        <f aca="false">IF($A4631="","",원본명단!$D4630)</f>
        <v/>
      </c>
      <c r="E4631" s="11" t="str">
        <f aca="false">IF($A4631="","",IF(원본명단!$H4630="",0,COUNTIF(원본명단!$H$3:$H$6002,원본명단!$H4630)))</f>
        <v/>
      </c>
      <c r="F4631" s="11" t="str">
        <f aca="false">IF($A4631="","",IF(원본명단!$I4630="",0,COUNTIF(원본명단!$I$3:$I$6002,원본명단!$I4630)))</f>
        <v/>
      </c>
      <c r="G4631" s="11" t="str">
        <f aca="false">IF($A4631="","",IF(원본명단!$K4630="",0,COUNTIF(원본명단!$K$3:$K$6002,원본명단!$K4630)))</f>
        <v/>
      </c>
      <c r="H4631" s="11" t="str">
        <f aca="false">IF($A4631="","",IF(MAX($E4631,$F4631,$G4631)&gt;1,"중복","-"))</f>
        <v/>
      </c>
      <c r="I4631" s="11" t="str">
        <f aca="false">IF($A4631="","",IF($H4631="-","-",IF(AND(IF(원본명단!$H4630="",TRUE(),COUNTIF(원본명단!$H$3:$H4630,원본명단!$H4630)=1),IF(원본명단!$I4630="",TRUE(),COUNTIF(원본명단!$I$3:$I4630,원본명단!$I4630)=1),IF(원본명단!$K4630="",TRUE(),COUNTIF(원본명단!$K$3:$K4630,원본명단!$K4630)=1)),"첫 건","중복 건")))</f>
        <v/>
      </c>
      <c r="J4631" s="11" t="str">
        <f aca="false">IF($A4631="","",IF($H4631="-","유지",IF($I4631="첫 건","유지","확인 필요")))</f>
        <v/>
      </c>
    </row>
    <row r="4632" customFormat="false" ht="15" hidden="false" customHeight="true" outlineLevel="0" collapsed="false">
      <c r="A4632" s="11" t="str">
        <f aca="false">IF(원본명단!$A4631="","",4629)</f>
        <v/>
      </c>
      <c r="B4632" s="12" t="str">
        <f aca="false">IF($A4632="","",원본명단!$A4631)</f>
        <v/>
      </c>
      <c r="C4632" s="12" t="str">
        <f aca="false">IF($A4632="","",원본명단!$B4631)</f>
        <v/>
      </c>
      <c r="D4632" s="12" t="str">
        <f aca="false">IF($A4632="","",원본명단!$D4631)</f>
        <v/>
      </c>
      <c r="E4632" s="11" t="str">
        <f aca="false">IF($A4632="","",IF(원본명단!$H4631="",0,COUNTIF(원본명단!$H$3:$H$6002,원본명단!$H4631)))</f>
        <v/>
      </c>
      <c r="F4632" s="11" t="str">
        <f aca="false">IF($A4632="","",IF(원본명단!$I4631="",0,COUNTIF(원본명단!$I$3:$I$6002,원본명단!$I4631)))</f>
        <v/>
      </c>
      <c r="G4632" s="11" t="str">
        <f aca="false">IF($A4632="","",IF(원본명단!$K4631="",0,COUNTIF(원본명단!$K$3:$K$6002,원본명단!$K4631)))</f>
        <v/>
      </c>
      <c r="H4632" s="11" t="str">
        <f aca="false">IF($A4632="","",IF(MAX($E4632,$F4632,$G4632)&gt;1,"중복","-"))</f>
        <v/>
      </c>
      <c r="I4632" s="11" t="str">
        <f aca="false">IF($A4632="","",IF($H4632="-","-",IF(AND(IF(원본명단!$H4631="",TRUE(),COUNTIF(원본명단!$H$3:$H4631,원본명단!$H4631)=1),IF(원본명단!$I4631="",TRUE(),COUNTIF(원본명단!$I$3:$I4631,원본명단!$I4631)=1),IF(원본명단!$K4631="",TRUE(),COUNTIF(원본명단!$K$3:$K4631,원본명단!$K4631)=1)),"첫 건","중복 건")))</f>
        <v/>
      </c>
      <c r="J4632" s="11" t="str">
        <f aca="false">IF($A4632="","",IF($H4632="-","유지",IF($I4632="첫 건","유지","확인 필요")))</f>
        <v/>
      </c>
    </row>
    <row r="4633" customFormat="false" ht="15" hidden="false" customHeight="true" outlineLevel="0" collapsed="false">
      <c r="A4633" s="11" t="str">
        <f aca="false">IF(원본명단!$A4632="","",4630)</f>
        <v/>
      </c>
      <c r="B4633" s="12" t="str">
        <f aca="false">IF($A4633="","",원본명단!$A4632)</f>
        <v/>
      </c>
      <c r="C4633" s="12" t="str">
        <f aca="false">IF($A4633="","",원본명단!$B4632)</f>
        <v/>
      </c>
      <c r="D4633" s="12" t="str">
        <f aca="false">IF($A4633="","",원본명단!$D4632)</f>
        <v/>
      </c>
      <c r="E4633" s="11" t="str">
        <f aca="false">IF($A4633="","",IF(원본명단!$H4632="",0,COUNTIF(원본명단!$H$3:$H$6002,원본명단!$H4632)))</f>
        <v/>
      </c>
      <c r="F4633" s="11" t="str">
        <f aca="false">IF($A4633="","",IF(원본명단!$I4632="",0,COUNTIF(원본명단!$I$3:$I$6002,원본명단!$I4632)))</f>
        <v/>
      </c>
      <c r="G4633" s="11" t="str">
        <f aca="false">IF($A4633="","",IF(원본명단!$K4632="",0,COUNTIF(원본명단!$K$3:$K$6002,원본명단!$K4632)))</f>
        <v/>
      </c>
      <c r="H4633" s="11" t="str">
        <f aca="false">IF($A4633="","",IF(MAX($E4633,$F4633,$G4633)&gt;1,"중복","-"))</f>
        <v/>
      </c>
      <c r="I4633" s="11" t="str">
        <f aca="false">IF($A4633="","",IF($H4633="-","-",IF(AND(IF(원본명단!$H4632="",TRUE(),COUNTIF(원본명단!$H$3:$H4632,원본명단!$H4632)=1),IF(원본명단!$I4632="",TRUE(),COUNTIF(원본명단!$I$3:$I4632,원본명단!$I4632)=1),IF(원본명단!$K4632="",TRUE(),COUNTIF(원본명단!$K$3:$K4632,원본명단!$K4632)=1)),"첫 건","중복 건")))</f>
        <v/>
      </c>
      <c r="J4633" s="11" t="str">
        <f aca="false">IF($A4633="","",IF($H4633="-","유지",IF($I4633="첫 건","유지","확인 필요")))</f>
        <v/>
      </c>
    </row>
    <row r="4634" customFormat="false" ht="15" hidden="false" customHeight="true" outlineLevel="0" collapsed="false">
      <c r="A4634" s="11" t="str">
        <f aca="false">IF(원본명단!$A4633="","",4631)</f>
        <v/>
      </c>
      <c r="B4634" s="12" t="str">
        <f aca="false">IF($A4634="","",원본명단!$A4633)</f>
        <v/>
      </c>
      <c r="C4634" s="12" t="str">
        <f aca="false">IF($A4634="","",원본명단!$B4633)</f>
        <v/>
      </c>
      <c r="D4634" s="12" t="str">
        <f aca="false">IF($A4634="","",원본명단!$D4633)</f>
        <v/>
      </c>
      <c r="E4634" s="11" t="str">
        <f aca="false">IF($A4634="","",IF(원본명단!$H4633="",0,COUNTIF(원본명단!$H$3:$H$6002,원본명단!$H4633)))</f>
        <v/>
      </c>
      <c r="F4634" s="11" t="str">
        <f aca="false">IF($A4634="","",IF(원본명단!$I4633="",0,COUNTIF(원본명단!$I$3:$I$6002,원본명단!$I4633)))</f>
        <v/>
      </c>
      <c r="G4634" s="11" t="str">
        <f aca="false">IF($A4634="","",IF(원본명단!$K4633="",0,COUNTIF(원본명단!$K$3:$K$6002,원본명단!$K4633)))</f>
        <v/>
      </c>
      <c r="H4634" s="11" t="str">
        <f aca="false">IF($A4634="","",IF(MAX($E4634,$F4634,$G4634)&gt;1,"중복","-"))</f>
        <v/>
      </c>
      <c r="I4634" s="11" t="str">
        <f aca="false">IF($A4634="","",IF($H4634="-","-",IF(AND(IF(원본명단!$H4633="",TRUE(),COUNTIF(원본명단!$H$3:$H4633,원본명단!$H4633)=1),IF(원본명단!$I4633="",TRUE(),COUNTIF(원본명단!$I$3:$I4633,원본명단!$I4633)=1),IF(원본명단!$K4633="",TRUE(),COUNTIF(원본명단!$K$3:$K4633,원본명단!$K4633)=1)),"첫 건","중복 건")))</f>
        <v/>
      </c>
      <c r="J4634" s="11" t="str">
        <f aca="false">IF($A4634="","",IF($H4634="-","유지",IF($I4634="첫 건","유지","확인 필요")))</f>
        <v/>
      </c>
    </row>
    <row r="4635" customFormat="false" ht="15" hidden="false" customHeight="true" outlineLevel="0" collapsed="false">
      <c r="A4635" s="11" t="str">
        <f aca="false">IF(원본명단!$A4634="","",4632)</f>
        <v/>
      </c>
      <c r="B4635" s="12" t="str">
        <f aca="false">IF($A4635="","",원본명단!$A4634)</f>
        <v/>
      </c>
      <c r="C4635" s="12" t="str">
        <f aca="false">IF($A4635="","",원본명단!$B4634)</f>
        <v/>
      </c>
      <c r="D4635" s="12" t="str">
        <f aca="false">IF($A4635="","",원본명단!$D4634)</f>
        <v/>
      </c>
      <c r="E4635" s="11" t="str">
        <f aca="false">IF($A4635="","",IF(원본명단!$H4634="",0,COUNTIF(원본명단!$H$3:$H$6002,원본명단!$H4634)))</f>
        <v/>
      </c>
      <c r="F4635" s="11" t="str">
        <f aca="false">IF($A4635="","",IF(원본명단!$I4634="",0,COUNTIF(원본명단!$I$3:$I$6002,원본명단!$I4634)))</f>
        <v/>
      </c>
      <c r="G4635" s="11" t="str">
        <f aca="false">IF($A4635="","",IF(원본명단!$K4634="",0,COUNTIF(원본명단!$K$3:$K$6002,원본명단!$K4634)))</f>
        <v/>
      </c>
      <c r="H4635" s="11" t="str">
        <f aca="false">IF($A4635="","",IF(MAX($E4635,$F4635,$G4635)&gt;1,"중복","-"))</f>
        <v/>
      </c>
      <c r="I4635" s="11" t="str">
        <f aca="false">IF($A4635="","",IF($H4635="-","-",IF(AND(IF(원본명단!$H4634="",TRUE(),COUNTIF(원본명단!$H$3:$H4634,원본명단!$H4634)=1),IF(원본명단!$I4634="",TRUE(),COUNTIF(원본명단!$I$3:$I4634,원본명단!$I4634)=1),IF(원본명단!$K4634="",TRUE(),COUNTIF(원본명단!$K$3:$K4634,원본명단!$K4634)=1)),"첫 건","중복 건")))</f>
        <v/>
      </c>
      <c r="J4635" s="11" t="str">
        <f aca="false">IF($A4635="","",IF($H4635="-","유지",IF($I4635="첫 건","유지","확인 필요")))</f>
        <v/>
      </c>
    </row>
    <row r="4636" customFormat="false" ht="15" hidden="false" customHeight="true" outlineLevel="0" collapsed="false">
      <c r="A4636" s="11" t="str">
        <f aca="false">IF(원본명단!$A4635="","",4633)</f>
        <v/>
      </c>
      <c r="B4636" s="12" t="str">
        <f aca="false">IF($A4636="","",원본명단!$A4635)</f>
        <v/>
      </c>
      <c r="C4636" s="12" t="str">
        <f aca="false">IF($A4636="","",원본명단!$B4635)</f>
        <v/>
      </c>
      <c r="D4636" s="12" t="str">
        <f aca="false">IF($A4636="","",원본명단!$D4635)</f>
        <v/>
      </c>
      <c r="E4636" s="11" t="str">
        <f aca="false">IF($A4636="","",IF(원본명단!$H4635="",0,COUNTIF(원본명단!$H$3:$H$6002,원본명단!$H4635)))</f>
        <v/>
      </c>
      <c r="F4636" s="11" t="str">
        <f aca="false">IF($A4636="","",IF(원본명단!$I4635="",0,COUNTIF(원본명단!$I$3:$I$6002,원본명단!$I4635)))</f>
        <v/>
      </c>
      <c r="G4636" s="11" t="str">
        <f aca="false">IF($A4636="","",IF(원본명단!$K4635="",0,COUNTIF(원본명단!$K$3:$K$6002,원본명단!$K4635)))</f>
        <v/>
      </c>
      <c r="H4636" s="11" t="str">
        <f aca="false">IF($A4636="","",IF(MAX($E4636,$F4636,$G4636)&gt;1,"중복","-"))</f>
        <v/>
      </c>
      <c r="I4636" s="11" t="str">
        <f aca="false">IF($A4636="","",IF($H4636="-","-",IF(AND(IF(원본명단!$H4635="",TRUE(),COUNTIF(원본명단!$H$3:$H4635,원본명단!$H4635)=1),IF(원본명단!$I4635="",TRUE(),COUNTIF(원본명단!$I$3:$I4635,원본명단!$I4635)=1),IF(원본명단!$K4635="",TRUE(),COUNTIF(원본명단!$K$3:$K4635,원본명단!$K4635)=1)),"첫 건","중복 건")))</f>
        <v/>
      </c>
      <c r="J4636" s="11" t="str">
        <f aca="false">IF($A4636="","",IF($H4636="-","유지",IF($I4636="첫 건","유지","확인 필요")))</f>
        <v/>
      </c>
    </row>
    <row r="4637" customFormat="false" ht="15" hidden="false" customHeight="true" outlineLevel="0" collapsed="false">
      <c r="A4637" s="11" t="str">
        <f aca="false">IF(원본명단!$A4636="","",4634)</f>
        <v/>
      </c>
      <c r="B4637" s="12" t="str">
        <f aca="false">IF($A4637="","",원본명단!$A4636)</f>
        <v/>
      </c>
      <c r="C4637" s="12" t="str">
        <f aca="false">IF($A4637="","",원본명단!$B4636)</f>
        <v/>
      </c>
      <c r="D4637" s="12" t="str">
        <f aca="false">IF($A4637="","",원본명단!$D4636)</f>
        <v/>
      </c>
      <c r="E4637" s="11" t="str">
        <f aca="false">IF($A4637="","",IF(원본명단!$H4636="",0,COUNTIF(원본명단!$H$3:$H$6002,원본명단!$H4636)))</f>
        <v/>
      </c>
      <c r="F4637" s="11" t="str">
        <f aca="false">IF($A4637="","",IF(원본명단!$I4636="",0,COUNTIF(원본명단!$I$3:$I$6002,원본명단!$I4636)))</f>
        <v/>
      </c>
      <c r="G4637" s="11" t="str">
        <f aca="false">IF($A4637="","",IF(원본명단!$K4636="",0,COUNTIF(원본명단!$K$3:$K$6002,원본명단!$K4636)))</f>
        <v/>
      </c>
      <c r="H4637" s="11" t="str">
        <f aca="false">IF($A4637="","",IF(MAX($E4637,$F4637,$G4637)&gt;1,"중복","-"))</f>
        <v/>
      </c>
      <c r="I4637" s="11" t="str">
        <f aca="false">IF($A4637="","",IF($H4637="-","-",IF(AND(IF(원본명단!$H4636="",TRUE(),COUNTIF(원본명단!$H$3:$H4636,원본명단!$H4636)=1),IF(원본명단!$I4636="",TRUE(),COUNTIF(원본명단!$I$3:$I4636,원본명단!$I4636)=1),IF(원본명단!$K4636="",TRUE(),COUNTIF(원본명단!$K$3:$K4636,원본명단!$K4636)=1)),"첫 건","중복 건")))</f>
        <v/>
      </c>
      <c r="J4637" s="11" t="str">
        <f aca="false">IF($A4637="","",IF($H4637="-","유지",IF($I4637="첫 건","유지","확인 필요")))</f>
        <v/>
      </c>
    </row>
    <row r="4638" customFormat="false" ht="15" hidden="false" customHeight="true" outlineLevel="0" collapsed="false">
      <c r="A4638" s="11" t="str">
        <f aca="false">IF(원본명단!$A4637="","",4635)</f>
        <v/>
      </c>
      <c r="B4638" s="12" t="str">
        <f aca="false">IF($A4638="","",원본명단!$A4637)</f>
        <v/>
      </c>
      <c r="C4638" s="12" t="str">
        <f aca="false">IF($A4638="","",원본명단!$B4637)</f>
        <v/>
      </c>
      <c r="D4638" s="12" t="str">
        <f aca="false">IF($A4638="","",원본명단!$D4637)</f>
        <v/>
      </c>
      <c r="E4638" s="11" t="str">
        <f aca="false">IF($A4638="","",IF(원본명단!$H4637="",0,COUNTIF(원본명단!$H$3:$H$6002,원본명단!$H4637)))</f>
        <v/>
      </c>
      <c r="F4638" s="11" t="str">
        <f aca="false">IF($A4638="","",IF(원본명단!$I4637="",0,COUNTIF(원본명단!$I$3:$I$6002,원본명단!$I4637)))</f>
        <v/>
      </c>
      <c r="G4638" s="11" t="str">
        <f aca="false">IF($A4638="","",IF(원본명단!$K4637="",0,COUNTIF(원본명단!$K$3:$K$6002,원본명단!$K4637)))</f>
        <v/>
      </c>
      <c r="H4638" s="11" t="str">
        <f aca="false">IF($A4638="","",IF(MAX($E4638,$F4638,$G4638)&gt;1,"중복","-"))</f>
        <v/>
      </c>
      <c r="I4638" s="11" t="str">
        <f aca="false">IF($A4638="","",IF($H4638="-","-",IF(AND(IF(원본명단!$H4637="",TRUE(),COUNTIF(원본명단!$H$3:$H4637,원본명단!$H4637)=1),IF(원본명단!$I4637="",TRUE(),COUNTIF(원본명단!$I$3:$I4637,원본명단!$I4637)=1),IF(원본명단!$K4637="",TRUE(),COUNTIF(원본명단!$K$3:$K4637,원본명단!$K4637)=1)),"첫 건","중복 건")))</f>
        <v/>
      </c>
      <c r="J4638" s="11" t="str">
        <f aca="false">IF($A4638="","",IF($H4638="-","유지",IF($I4638="첫 건","유지","확인 필요")))</f>
        <v/>
      </c>
    </row>
    <row r="4639" customFormat="false" ht="15" hidden="false" customHeight="true" outlineLevel="0" collapsed="false">
      <c r="A4639" s="11" t="str">
        <f aca="false">IF(원본명단!$A4638="","",4636)</f>
        <v/>
      </c>
      <c r="B4639" s="12" t="str">
        <f aca="false">IF($A4639="","",원본명단!$A4638)</f>
        <v/>
      </c>
      <c r="C4639" s="12" t="str">
        <f aca="false">IF($A4639="","",원본명단!$B4638)</f>
        <v/>
      </c>
      <c r="D4639" s="12" t="str">
        <f aca="false">IF($A4639="","",원본명단!$D4638)</f>
        <v/>
      </c>
      <c r="E4639" s="11" t="str">
        <f aca="false">IF($A4639="","",IF(원본명단!$H4638="",0,COUNTIF(원본명단!$H$3:$H$6002,원본명단!$H4638)))</f>
        <v/>
      </c>
      <c r="F4639" s="11" t="str">
        <f aca="false">IF($A4639="","",IF(원본명단!$I4638="",0,COUNTIF(원본명단!$I$3:$I$6002,원본명단!$I4638)))</f>
        <v/>
      </c>
      <c r="G4639" s="11" t="str">
        <f aca="false">IF($A4639="","",IF(원본명단!$K4638="",0,COUNTIF(원본명단!$K$3:$K$6002,원본명단!$K4638)))</f>
        <v/>
      </c>
      <c r="H4639" s="11" t="str">
        <f aca="false">IF($A4639="","",IF(MAX($E4639,$F4639,$G4639)&gt;1,"중복","-"))</f>
        <v/>
      </c>
      <c r="I4639" s="11" t="str">
        <f aca="false">IF($A4639="","",IF($H4639="-","-",IF(AND(IF(원본명단!$H4638="",TRUE(),COUNTIF(원본명단!$H$3:$H4638,원본명단!$H4638)=1),IF(원본명단!$I4638="",TRUE(),COUNTIF(원본명단!$I$3:$I4638,원본명단!$I4638)=1),IF(원본명단!$K4638="",TRUE(),COUNTIF(원본명단!$K$3:$K4638,원본명단!$K4638)=1)),"첫 건","중복 건")))</f>
        <v/>
      </c>
      <c r="J4639" s="11" t="str">
        <f aca="false">IF($A4639="","",IF($H4639="-","유지",IF($I4639="첫 건","유지","확인 필요")))</f>
        <v/>
      </c>
    </row>
    <row r="4640" customFormat="false" ht="15" hidden="false" customHeight="true" outlineLevel="0" collapsed="false">
      <c r="A4640" s="11" t="str">
        <f aca="false">IF(원본명단!$A4639="","",4637)</f>
        <v/>
      </c>
      <c r="B4640" s="12" t="str">
        <f aca="false">IF($A4640="","",원본명단!$A4639)</f>
        <v/>
      </c>
      <c r="C4640" s="12" t="str">
        <f aca="false">IF($A4640="","",원본명단!$B4639)</f>
        <v/>
      </c>
      <c r="D4640" s="12" t="str">
        <f aca="false">IF($A4640="","",원본명단!$D4639)</f>
        <v/>
      </c>
      <c r="E4640" s="11" t="str">
        <f aca="false">IF($A4640="","",IF(원본명단!$H4639="",0,COUNTIF(원본명단!$H$3:$H$6002,원본명단!$H4639)))</f>
        <v/>
      </c>
      <c r="F4640" s="11" t="str">
        <f aca="false">IF($A4640="","",IF(원본명단!$I4639="",0,COUNTIF(원본명단!$I$3:$I$6002,원본명단!$I4639)))</f>
        <v/>
      </c>
      <c r="G4640" s="11" t="str">
        <f aca="false">IF($A4640="","",IF(원본명단!$K4639="",0,COUNTIF(원본명단!$K$3:$K$6002,원본명단!$K4639)))</f>
        <v/>
      </c>
      <c r="H4640" s="11" t="str">
        <f aca="false">IF($A4640="","",IF(MAX($E4640,$F4640,$G4640)&gt;1,"중복","-"))</f>
        <v/>
      </c>
      <c r="I4640" s="11" t="str">
        <f aca="false">IF($A4640="","",IF($H4640="-","-",IF(AND(IF(원본명단!$H4639="",TRUE(),COUNTIF(원본명단!$H$3:$H4639,원본명단!$H4639)=1),IF(원본명단!$I4639="",TRUE(),COUNTIF(원본명단!$I$3:$I4639,원본명단!$I4639)=1),IF(원본명단!$K4639="",TRUE(),COUNTIF(원본명단!$K$3:$K4639,원본명단!$K4639)=1)),"첫 건","중복 건")))</f>
        <v/>
      </c>
      <c r="J4640" s="11" t="str">
        <f aca="false">IF($A4640="","",IF($H4640="-","유지",IF($I4640="첫 건","유지","확인 필요")))</f>
        <v/>
      </c>
    </row>
    <row r="4641" customFormat="false" ht="15" hidden="false" customHeight="true" outlineLevel="0" collapsed="false">
      <c r="A4641" s="11" t="str">
        <f aca="false">IF(원본명단!$A4640="","",4638)</f>
        <v/>
      </c>
      <c r="B4641" s="12" t="str">
        <f aca="false">IF($A4641="","",원본명단!$A4640)</f>
        <v/>
      </c>
      <c r="C4641" s="12" t="str">
        <f aca="false">IF($A4641="","",원본명단!$B4640)</f>
        <v/>
      </c>
      <c r="D4641" s="12" t="str">
        <f aca="false">IF($A4641="","",원본명단!$D4640)</f>
        <v/>
      </c>
      <c r="E4641" s="11" t="str">
        <f aca="false">IF($A4641="","",IF(원본명단!$H4640="",0,COUNTIF(원본명단!$H$3:$H$6002,원본명단!$H4640)))</f>
        <v/>
      </c>
      <c r="F4641" s="11" t="str">
        <f aca="false">IF($A4641="","",IF(원본명단!$I4640="",0,COUNTIF(원본명단!$I$3:$I$6002,원본명단!$I4640)))</f>
        <v/>
      </c>
      <c r="G4641" s="11" t="str">
        <f aca="false">IF($A4641="","",IF(원본명단!$K4640="",0,COUNTIF(원본명단!$K$3:$K$6002,원본명단!$K4640)))</f>
        <v/>
      </c>
      <c r="H4641" s="11" t="str">
        <f aca="false">IF($A4641="","",IF(MAX($E4641,$F4641,$G4641)&gt;1,"중복","-"))</f>
        <v/>
      </c>
      <c r="I4641" s="11" t="str">
        <f aca="false">IF($A4641="","",IF($H4641="-","-",IF(AND(IF(원본명단!$H4640="",TRUE(),COUNTIF(원본명단!$H$3:$H4640,원본명단!$H4640)=1),IF(원본명단!$I4640="",TRUE(),COUNTIF(원본명단!$I$3:$I4640,원본명단!$I4640)=1),IF(원본명단!$K4640="",TRUE(),COUNTIF(원본명단!$K$3:$K4640,원본명단!$K4640)=1)),"첫 건","중복 건")))</f>
        <v/>
      </c>
      <c r="J4641" s="11" t="str">
        <f aca="false">IF($A4641="","",IF($H4641="-","유지",IF($I4641="첫 건","유지","확인 필요")))</f>
        <v/>
      </c>
    </row>
    <row r="4642" customFormat="false" ht="15" hidden="false" customHeight="true" outlineLevel="0" collapsed="false">
      <c r="A4642" s="11" t="str">
        <f aca="false">IF(원본명단!$A4641="","",4639)</f>
        <v/>
      </c>
      <c r="B4642" s="12" t="str">
        <f aca="false">IF($A4642="","",원본명단!$A4641)</f>
        <v/>
      </c>
      <c r="C4642" s="12" t="str">
        <f aca="false">IF($A4642="","",원본명단!$B4641)</f>
        <v/>
      </c>
      <c r="D4642" s="12" t="str">
        <f aca="false">IF($A4642="","",원본명단!$D4641)</f>
        <v/>
      </c>
      <c r="E4642" s="11" t="str">
        <f aca="false">IF($A4642="","",IF(원본명단!$H4641="",0,COUNTIF(원본명단!$H$3:$H$6002,원본명단!$H4641)))</f>
        <v/>
      </c>
      <c r="F4642" s="11" t="str">
        <f aca="false">IF($A4642="","",IF(원본명단!$I4641="",0,COUNTIF(원본명단!$I$3:$I$6002,원본명단!$I4641)))</f>
        <v/>
      </c>
      <c r="G4642" s="11" t="str">
        <f aca="false">IF($A4642="","",IF(원본명단!$K4641="",0,COUNTIF(원본명단!$K$3:$K$6002,원본명단!$K4641)))</f>
        <v/>
      </c>
      <c r="H4642" s="11" t="str">
        <f aca="false">IF($A4642="","",IF(MAX($E4642,$F4642,$G4642)&gt;1,"중복","-"))</f>
        <v/>
      </c>
      <c r="I4642" s="11" t="str">
        <f aca="false">IF($A4642="","",IF($H4642="-","-",IF(AND(IF(원본명단!$H4641="",TRUE(),COUNTIF(원본명단!$H$3:$H4641,원본명단!$H4641)=1),IF(원본명단!$I4641="",TRUE(),COUNTIF(원본명단!$I$3:$I4641,원본명단!$I4641)=1),IF(원본명단!$K4641="",TRUE(),COUNTIF(원본명단!$K$3:$K4641,원본명단!$K4641)=1)),"첫 건","중복 건")))</f>
        <v/>
      </c>
      <c r="J4642" s="11" t="str">
        <f aca="false">IF($A4642="","",IF($H4642="-","유지",IF($I4642="첫 건","유지","확인 필요")))</f>
        <v/>
      </c>
    </row>
    <row r="4643" customFormat="false" ht="15" hidden="false" customHeight="true" outlineLevel="0" collapsed="false">
      <c r="A4643" s="11" t="str">
        <f aca="false">IF(원본명단!$A4642="","",4640)</f>
        <v/>
      </c>
      <c r="B4643" s="12" t="str">
        <f aca="false">IF($A4643="","",원본명단!$A4642)</f>
        <v/>
      </c>
      <c r="C4643" s="12" t="str">
        <f aca="false">IF($A4643="","",원본명단!$B4642)</f>
        <v/>
      </c>
      <c r="D4643" s="12" t="str">
        <f aca="false">IF($A4643="","",원본명단!$D4642)</f>
        <v/>
      </c>
      <c r="E4643" s="11" t="str">
        <f aca="false">IF($A4643="","",IF(원본명단!$H4642="",0,COUNTIF(원본명단!$H$3:$H$6002,원본명단!$H4642)))</f>
        <v/>
      </c>
      <c r="F4643" s="11" t="str">
        <f aca="false">IF($A4643="","",IF(원본명단!$I4642="",0,COUNTIF(원본명단!$I$3:$I$6002,원본명단!$I4642)))</f>
        <v/>
      </c>
      <c r="G4643" s="11" t="str">
        <f aca="false">IF($A4643="","",IF(원본명단!$K4642="",0,COUNTIF(원본명단!$K$3:$K$6002,원본명단!$K4642)))</f>
        <v/>
      </c>
      <c r="H4643" s="11" t="str">
        <f aca="false">IF($A4643="","",IF(MAX($E4643,$F4643,$G4643)&gt;1,"중복","-"))</f>
        <v/>
      </c>
      <c r="I4643" s="11" t="str">
        <f aca="false">IF($A4643="","",IF($H4643="-","-",IF(AND(IF(원본명단!$H4642="",TRUE(),COUNTIF(원본명단!$H$3:$H4642,원본명단!$H4642)=1),IF(원본명단!$I4642="",TRUE(),COUNTIF(원본명단!$I$3:$I4642,원본명단!$I4642)=1),IF(원본명단!$K4642="",TRUE(),COUNTIF(원본명단!$K$3:$K4642,원본명단!$K4642)=1)),"첫 건","중복 건")))</f>
        <v/>
      </c>
      <c r="J4643" s="11" t="str">
        <f aca="false">IF($A4643="","",IF($H4643="-","유지",IF($I4643="첫 건","유지","확인 필요")))</f>
        <v/>
      </c>
    </row>
    <row r="4644" customFormat="false" ht="15" hidden="false" customHeight="true" outlineLevel="0" collapsed="false">
      <c r="A4644" s="11" t="str">
        <f aca="false">IF(원본명단!$A4643="","",4641)</f>
        <v/>
      </c>
      <c r="B4644" s="12" t="str">
        <f aca="false">IF($A4644="","",원본명단!$A4643)</f>
        <v/>
      </c>
      <c r="C4644" s="12" t="str">
        <f aca="false">IF($A4644="","",원본명단!$B4643)</f>
        <v/>
      </c>
      <c r="D4644" s="12" t="str">
        <f aca="false">IF($A4644="","",원본명단!$D4643)</f>
        <v/>
      </c>
      <c r="E4644" s="11" t="str">
        <f aca="false">IF($A4644="","",IF(원본명단!$H4643="",0,COUNTIF(원본명단!$H$3:$H$6002,원본명단!$H4643)))</f>
        <v/>
      </c>
      <c r="F4644" s="11" t="str">
        <f aca="false">IF($A4644="","",IF(원본명단!$I4643="",0,COUNTIF(원본명단!$I$3:$I$6002,원본명단!$I4643)))</f>
        <v/>
      </c>
      <c r="G4644" s="11" t="str">
        <f aca="false">IF($A4644="","",IF(원본명단!$K4643="",0,COUNTIF(원본명단!$K$3:$K$6002,원본명단!$K4643)))</f>
        <v/>
      </c>
      <c r="H4644" s="11" t="str">
        <f aca="false">IF($A4644="","",IF(MAX($E4644,$F4644,$G4644)&gt;1,"중복","-"))</f>
        <v/>
      </c>
      <c r="I4644" s="11" t="str">
        <f aca="false">IF($A4644="","",IF($H4644="-","-",IF(AND(IF(원본명단!$H4643="",TRUE(),COUNTIF(원본명단!$H$3:$H4643,원본명단!$H4643)=1),IF(원본명단!$I4643="",TRUE(),COUNTIF(원본명단!$I$3:$I4643,원본명단!$I4643)=1),IF(원본명단!$K4643="",TRUE(),COUNTIF(원본명단!$K$3:$K4643,원본명단!$K4643)=1)),"첫 건","중복 건")))</f>
        <v/>
      </c>
      <c r="J4644" s="11" t="str">
        <f aca="false">IF($A4644="","",IF($H4644="-","유지",IF($I4644="첫 건","유지","확인 필요")))</f>
        <v/>
      </c>
    </row>
    <row r="4645" customFormat="false" ht="15" hidden="false" customHeight="true" outlineLevel="0" collapsed="false">
      <c r="A4645" s="11" t="str">
        <f aca="false">IF(원본명단!$A4644="","",4642)</f>
        <v/>
      </c>
      <c r="B4645" s="12" t="str">
        <f aca="false">IF($A4645="","",원본명단!$A4644)</f>
        <v/>
      </c>
      <c r="C4645" s="12" t="str">
        <f aca="false">IF($A4645="","",원본명단!$B4644)</f>
        <v/>
      </c>
      <c r="D4645" s="12" t="str">
        <f aca="false">IF($A4645="","",원본명단!$D4644)</f>
        <v/>
      </c>
      <c r="E4645" s="11" t="str">
        <f aca="false">IF($A4645="","",IF(원본명단!$H4644="",0,COUNTIF(원본명단!$H$3:$H$6002,원본명단!$H4644)))</f>
        <v/>
      </c>
      <c r="F4645" s="11" t="str">
        <f aca="false">IF($A4645="","",IF(원본명단!$I4644="",0,COUNTIF(원본명단!$I$3:$I$6002,원본명단!$I4644)))</f>
        <v/>
      </c>
      <c r="G4645" s="11" t="str">
        <f aca="false">IF($A4645="","",IF(원본명단!$K4644="",0,COUNTIF(원본명단!$K$3:$K$6002,원본명단!$K4644)))</f>
        <v/>
      </c>
      <c r="H4645" s="11" t="str">
        <f aca="false">IF($A4645="","",IF(MAX($E4645,$F4645,$G4645)&gt;1,"중복","-"))</f>
        <v/>
      </c>
      <c r="I4645" s="11" t="str">
        <f aca="false">IF($A4645="","",IF($H4645="-","-",IF(AND(IF(원본명단!$H4644="",TRUE(),COUNTIF(원본명단!$H$3:$H4644,원본명단!$H4644)=1),IF(원본명단!$I4644="",TRUE(),COUNTIF(원본명단!$I$3:$I4644,원본명단!$I4644)=1),IF(원본명단!$K4644="",TRUE(),COUNTIF(원본명단!$K$3:$K4644,원본명단!$K4644)=1)),"첫 건","중복 건")))</f>
        <v/>
      </c>
      <c r="J4645" s="11" t="str">
        <f aca="false">IF($A4645="","",IF($H4645="-","유지",IF($I4645="첫 건","유지","확인 필요")))</f>
        <v/>
      </c>
    </row>
    <row r="4646" customFormat="false" ht="15" hidden="false" customHeight="true" outlineLevel="0" collapsed="false">
      <c r="A4646" s="11" t="str">
        <f aca="false">IF(원본명단!$A4645="","",4643)</f>
        <v/>
      </c>
      <c r="B4646" s="12" t="str">
        <f aca="false">IF($A4646="","",원본명단!$A4645)</f>
        <v/>
      </c>
      <c r="C4646" s="12" t="str">
        <f aca="false">IF($A4646="","",원본명단!$B4645)</f>
        <v/>
      </c>
      <c r="D4646" s="12" t="str">
        <f aca="false">IF($A4646="","",원본명단!$D4645)</f>
        <v/>
      </c>
      <c r="E4646" s="11" t="str">
        <f aca="false">IF($A4646="","",IF(원본명단!$H4645="",0,COUNTIF(원본명단!$H$3:$H$6002,원본명단!$H4645)))</f>
        <v/>
      </c>
      <c r="F4646" s="11" t="str">
        <f aca="false">IF($A4646="","",IF(원본명단!$I4645="",0,COUNTIF(원본명단!$I$3:$I$6002,원본명단!$I4645)))</f>
        <v/>
      </c>
      <c r="G4646" s="11" t="str">
        <f aca="false">IF($A4646="","",IF(원본명단!$K4645="",0,COUNTIF(원본명단!$K$3:$K$6002,원본명단!$K4645)))</f>
        <v/>
      </c>
      <c r="H4646" s="11" t="str">
        <f aca="false">IF($A4646="","",IF(MAX($E4646,$F4646,$G4646)&gt;1,"중복","-"))</f>
        <v/>
      </c>
      <c r="I4646" s="11" t="str">
        <f aca="false">IF($A4646="","",IF($H4646="-","-",IF(AND(IF(원본명단!$H4645="",TRUE(),COUNTIF(원본명단!$H$3:$H4645,원본명단!$H4645)=1),IF(원본명단!$I4645="",TRUE(),COUNTIF(원본명단!$I$3:$I4645,원본명단!$I4645)=1),IF(원본명단!$K4645="",TRUE(),COUNTIF(원본명단!$K$3:$K4645,원본명단!$K4645)=1)),"첫 건","중복 건")))</f>
        <v/>
      </c>
      <c r="J4646" s="11" t="str">
        <f aca="false">IF($A4646="","",IF($H4646="-","유지",IF($I4646="첫 건","유지","확인 필요")))</f>
        <v/>
      </c>
    </row>
    <row r="4647" customFormat="false" ht="15" hidden="false" customHeight="true" outlineLevel="0" collapsed="false">
      <c r="A4647" s="11" t="str">
        <f aca="false">IF(원본명단!$A4646="","",4644)</f>
        <v/>
      </c>
      <c r="B4647" s="12" t="str">
        <f aca="false">IF($A4647="","",원본명단!$A4646)</f>
        <v/>
      </c>
      <c r="C4647" s="12" t="str">
        <f aca="false">IF($A4647="","",원본명단!$B4646)</f>
        <v/>
      </c>
      <c r="D4647" s="12" t="str">
        <f aca="false">IF($A4647="","",원본명단!$D4646)</f>
        <v/>
      </c>
      <c r="E4647" s="11" t="str">
        <f aca="false">IF($A4647="","",IF(원본명단!$H4646="",0,COUNTIF(원본명단!$H$3:$H$6002,원본명단!$H4646)))</f>
        <v/>
      </c>
      <c r="F4647" s="11" t="str">
        <f aca="false">IF($A4647="","",IF(원본명단!$I4646="",0,COUNTIF(원본명단!$I$3:$I$6002,원본명단!$I4646)))</f>
        <v/>
      </c>
      <c r="G4647" s="11" t="str">
        <f aca="false">IF($A4647="","",IF(원본명단!$K4646="",0,COUNTIF(원본명단!$K$3:$K$6002,원본명단!$K4646)))</f>
        <v/>
      </c>
      <c r="H4647" s="11" t="str">
        <f aca="false">IF($A4647="","",IF(MAX($E4647,$F4647,$G4647)&gt;1,"중복","-"))</f>
        <v/>
      </c>
      <c r="I4647" s="11" t="str">
        <f aca="false">IF($A4647="","",IF($H4647="-","-",IF(AND(IF(원본명단!$H4646="",TRUE(),COUNTIF(원본명단!$H$3:$H4646,원본명단!$H4646)=1),IF(원본명단!$I4646="",TRUE(),COUNTIF(원본명단!$I$3:$I4646,원본명단!$I4646)=1),IF(원본명단!$K4646="",TRUE(),COUNTIF(원본명단!$K$3:$K4646,원본명단!$K4646)=1)),"첫 건","중복 건")))</f>
        <v/>
      </c>
      <c r="J4647" s="11" t="str">
        <f aca="false">IF($A4647="","",IF($H4647="-","유지",IF($I4647="첫 건","유지","확인 필요")))</f>
        <v/>
      </c>
    </row>
    <row r="4648" customFormat="false" ht="15" hidden="false" customHeight="true" outlineLevel="0" collapsed="false">
      <c r="A4648" s="11" t="str">
        <f aca="false">IF(원본명단!$A4647="","",4645)</f>
        <v/>
      </c>
      <c r="B4648" s="12" t="str">
        <f aca="false">IF($A4648="","",원본명단!$A4647)</f>
        <v/>
      </c>
      <c r="C4648" s="12" t="str">
        <f aca="false">IF($A4648="","",원본명단!$B4647)</f>
        <v/>
      </c>
      <c r="D4648" s="12" t="str">
        <f aca="false">IF($A4648="","",원본명단!$D4647)</f>
        <v/>
      </c>
      <c r="E4648" s="11" t="str">
        <f aca="false">IF($A4648="","",IF(원본명단!$H4647="",0,COUNTIF(원본명단!$H$3:$H$6002,원본명단!$H4647)))</f>
        <v/>
      </c>
      <c r="F4648" s="11" t="str">
        <f aca="false">IF($A4648="","",IF(원본명단!$I4647="",0,COUNTIF(원본명단!$I$3:$I$6002,원본명단!$I4647)))</f>
        <v/>
      </c>
      <c r="G4648" s="11" t="str">
        <f aca="false">IF($A4648="","",IF(원본명단!$K4647="",0,COUNTIF(원본명단!$K$3:$K$6002,원본명단!$K4647)))</f>
        <v/>
      </c>
      <c r="H4648" s="11" t="str">
        <f aca="false">IF($A4648="","",IF(MAX($E4648,$F4648,$G4648)&gt;1,"중복","-"))</f>
        <v/>
      </c>
      <c r="I4648" s="11" t="str">
        <f aca="false">IF($A4648="","",IF($H4648="-","-",IF(AND(IF(원본명단!$H4647="",TRUE(),COUNTIF(원본명단!$H$3:$H4647,원본명단!$H4647)=1),IF(원본명단!$I4647="",TRUE(),COUNTIF(원본명단!$I$3:$I4647,원본명단!$I4647)=1),IF(원본명단!$K4647="",TRUE(),COUNTIF(원본명단!$K$3:$K4647,원본명단!$K4647)=1)),"첫 건","중복 건")))</f>
        <v/>
      </c>
      <c r="J4648" s="11" t="str">
        <f aca="false">IF($A4648="","",IF($H4648="-","유지",IF($I4648="첫 건","유지","확인 필요")))</f>
        <v/>
      </c>
    </row>
    <row r="4649" customFormat="false" ht="15" hidden="false" customHeight="true" outlineLevel="0" collapsed="false">
      <c r="A4649" s="11" t="str">
        <f aca="false">IF(원본명단!$A4648="","",4646)</f>
        <v/>
      </c>
      <c r="B4649" s="12" t="str">
        <f aca="false">IF($A4649="","",원본명단!$A4648)</f>
        <v/>
      </c>
      <c r="C4649" s="12" t="str">
        <f aca="false">IF($A4649="","",원본명단!$B4648)</f>
        <v/>
      </c>
      <c r="D4649" s="12" t="str">
        <f aca="false">IF($A4649="","",원본명단!$D4648)</f>
        <v/>
      </c>
      <c r="E4649" s="11" t="str">
        <f aca="false">IF($A4649="","",IF(원본명단!$H4648="",0,COUNTIF(원본명단!$H$3:$H$6002,원본명단!$H4648)))</f>
        <v/>
      </c>
      <c r="F4649" s="11" t="str">
        <f aca="false">IF($A4649="","",IF(원본명단!$I4648="",0,COUNTIF(원본명단!$I$3:$I$6002,원본명단!$I4648)))</f>
        <v/>
      </c>
      <c r="G4649" s="11" t="str">
        <f aca="false">IF($A4649="","",IF(원본명단!$K4648="",0,COUNTIF(원본명단!$K$3:$K$6002,원본명단!$K4648)))</f>
        <v/>
      </c>
      <c r="H4649" s="11" t="str">
        <f aca="false">IF($A4649="","",IF(MAX($E4649,$F4649,$G4649)&gt;1,"중복","-"))</f>
        <v/>
      </c>
      <c r="I4649" s="11" t="str">
        <f aca="false">IF($A4649="","",IF($H4649="-","-",IF(AND(IF(원본명단!$H4648="",TRUE(),COUNTIF(원본명단!$H$3:$H4648,원본명단!$H4648)=1),IF(원본명단!$I4648="",TRUE(),COUNTIF(원본명단!$I$3:$I4648,원본명단!$I4648)=1),IF(원본명단!$K4648="",TRUE(),COUNTIF(원본명단!$K$3:$K4648,원본명단!$K4648)=1)),"첫 건","중복 건")))</f>
        <v/>
      </c>
      <c r="J4649" s="11" t="str">
        <f aca="false">IF($A4649="","",IF($H4649="-","유지",IF($I4649="첫 건","유지","확인 필요")))</f>
        <v/>
      </c>
    </row>
    <row r="4650" customFormat="false" ht="15" hidden="false" customHeight="true" outlineLevel="0" collapsed="false">
      <c r="A4650" s="11" t="str">
        <f aca="false">IF(원본명단!$A4649="","",4647)</f>
        <v/>
      </c>
      <c r="B4650" s="12" t="str">
        <f aca="false">IF($A4650="","",원본명단!$A4649)</f>
        <v/>
      </c>
      <c r="C4650" s="12" t="str">
        <f aca="false">IF($A4650="","",원본명단!$B4649)</f>
        <v/>
      </c>
      <c r="D4650" s="12" t="str">
        <f aca="false">IF($A4650="","",원본명단!$D4649)</f>
        <v/>
      </c>
      <c r="E4650" s="11" t="str">
        <f aca="false">IF($A4650="","",IF(원본명단!$H4649="",0,COUNTIF(원본명단!$H$3:$H$6002,원본명단!$H4649)))</f>
        <v/>
      </c>
      <c r="F4650" s="11" t="str">
        <f aca="false">IF($A4650="","",IF(원본명단!$I4649="",0,COUNTIF(원본명단!$I$3:$I$6002,원본명단!$I4649)))</f>
        <v/>
      </c>
      <c r="G4650" s="11" t="str">
        <f aca="false">IF($A4650="","",IF(원본명단!$K4649="",0,COUNTIF(원본명단!$K$3:$K$6002,원본명단!$K4649)))</f>
        <v/>
      </c>
      <c r="H4650" s="11" t="str">
        <f aca="false">IF($A4650="","",IF(MAX($E4650,$F4650,$G4650)&gt;1,"중복","-"))</f>
        <v/>
      </c>
      <c r="I4650" s="11" t="str">
        <f aca="false">IF($A4650="","",IF($H4650="-","-",IF(AND(IF(원본명단!$H4649="",TRUE(),COUNTIF(원본명단!$H$3:$H4649,원본명단!$H4649)=1),IF(원본명단!$I4649="",TRUE(),COUNTIF(원본명단!$I$3:$I4649,원본명단!$I4649)=1),IF(원본명단!$K4649="",TRUE(),COUNTIF(원본명단!$K$3:$K4649,원본명단!$K4649)=1)),"첫 건","중복 건")))</f>
        <v/>
      </c>
      <c r="J4650" s="11" t="str">
        <f aca="false">IF($A4650="","",IF($H4650="-","유지",IF($I4650="첫 건","유지","확인 필요")))</f>
        <v/>
      </c>
    </row>
    <row r="4651" customFormat="false" ht="15" hidden="false" customHeight="true" outlineLevel="0" collapsed="false">
      <c r="A4651" s="11" t="str">
        <f aca="false">IF(원본명단!$A4650="","",4648)</f>
        <v/>
      </c>
      <c r="B4651" s="12" t="str">
        <f aca="false">IF($A4651="","",원본명단!$A4650)</f>
        <v/>
      </c>
      <c r="C4651" s="12" t="str">
        <f aca="false">IF($A4651="","",원본명단!$B4650)</f>
        <v/>
      </c>
      <c r="D4651" s="12" t="str">
        <f aca="false">IF($A4651="","",원본명단!$D4650)</f>
        <v/>
      </c>
      <c r="E4651" s="11" t="str">
        <f aca="false">IF($A4651="","",IF(원본명단!$H4650="",0,COUNTIF(원본명단!$H$3:$H$6002,원본명단!$H4650)))</f>
        <v/>
      </c>
      <c r="F4651" s="11" t="str">
        <f aca="false">IF($A4651="","",IF(원본명단!$I4650="",0,COUNTIF(원본명단!$I$3:$I$6002,원본명단!$I4650)))</f>
        <v/>
      </c>
      <c r="G4651" s="11" t="str">
        <f aca="false">IF($A4651="","",IF(원본명단!$K4650="",0,COUNTIF(원본명단!$K$3:$K$6002,원본명단!$K4650)))</f>
        <v/>
      </c>
      <c r="H4651" s="11" t="str">
        <f aca="false">IF($A4651="","",IF(MAX($E4651,$F4651,$G4651)&gt;1,"중복","-"))</f>
        <v/>
      </c>
      <c r="I4651" s="11" t="str">
        <f aca="false">IF($A4651="","",IF($H4651="-","-",IF(AND(IF(원본명단!$H4650="",TRUE(),COUNTIF(원본명단!$H$3:$H4650,원본명단!$H4650)=1),IF(원본명단!$I4650="",TRUE(),COUNTIF(원본명단!$I$3:$I4650,원본명단!$I4650)=1),IF(원본명단!$K4650="",TRUE(),COUNTIF(원본명단!$K$3:$K4650,원본명단!$K4650)=1)),"첫 건","중복 건")))</f>
        <v/>
      </c>
      <c r="J4651" s="11" t="str">
        <f aca="false">IF($A4651="","",IF($H4651="-","유지",IF($I4651="첫 건","유지","확인 필요")))</f>
        <v/>
      </c>
    </row>
    <row r="4652" customFormat="false" ht="15" hidden="false" customHeight="true" outlineLevel="0" collapsed="false">
      <c r="A4652" s="11" t="str">
        <f aca="false">IF(원본명단!$A4651="","",4649)</f>
        <v/>
      </c>
      <c r="B4652" s="12" t="str">
        <f aca="false">IF($A4652="","",원본명단!$A4651)</f>
        <v/>
      </c>
      <c r="C4652" s="12" t="str">
        <f aca="false">IF($A4652="","",원본명단!$B4651)</f>
        <v/>
      </c>
      <c r="D4652" s="12" t="str">
        <f aca="false">IF($A4652="","",원본명단!$D4651)</f>
        <v/>
      </c>
      <c r="E4652" s="11" t="str">
        <f aca="false">IF($A4652="","",IF(원본명단!$H4651="",0,COUNTIF(원본명단!$H$3:$H$6002,원본명단!$H4651)))</f>
        <v/>
      </c>
      <c r="F4652" s="11" t="str">
        <f aca="false">IF($A4652="","",IF(원본명단!$I4651="",0,COUNTIF(원본명단!$I$3:$I$6002,원본명단!$I4651)))</f>
        <v/>
      </c>
      <c r="G4652" s="11" t="str">
        <f aca="false">IF($A4652="","",IF(원본명단!$K4651="",0,COUNTIF(원본명단!$K$3:$K$6002,원본명단!$K4651)))</f>
        <v/>
      </c>
      <c r="H4652" s="11" t="str">
        <f aca="false">IF($A4652="","",IF(MAX($E4652,$F4652,$G4652)&gt;1,"중복","-"))</f>
        <v/>
      </c>
      <c r="I4652" s="11" t="str">
        <f aca="false">IF($A4652="","",IF($H4652="-","-",IF(AND(IF(원본명단!$H4651="",TRUE(),COUNTIF(원본명단!$H$3:$H4651,원본명단!$H4651)=1),IF(원본명단!$I4651="",TRUE(),COUNTIF(원본명단!$I$3:$I4651,원본명단!$I4651)=1),IF(원본명단!$K4651="",TRUE(),COUNTIF(원본명단!$K$3:$K4651,원본명단!$K4651)=1)),"첫 건","중복 건")))</f>
        <v/>
      </c>
      <c r="J4652" s="11" t="str">
        <f aca="false">IF($A4652="","",IF($H4652="-","유지",IF($I4652="첫 건","유지","확인 필요")))</f>
        <v/>
      </c>
    </row>
    <row r="4653" customFormat="false" ht="15" hidden="false" customHeight="true" outlineLevel="0" collapsed="false">
      <c r="A4653" s="11" t="str">
        <f aca="false">IF(원본명단!$A4652="","",4650)</f>
        <v/>
      </c>
      <c r="B4653" s="12" t="str">
        <f aca="false">IF($A4653="","",원본명단!$A4652)</f>
        <v/>
      </c>
      <c r="C4653" s="12" t="str">
        <f aca="false">IF($A4653="","",원본명단!$B4652)</f>
        <v/>
      </c>
      <c r="D4653" s="12" t="str">
        <f aca="false">IF($A4653="","",원본명단!$D4652)</f>
        <v/>
      </c>
      <c r="E4653" s="11" t="str">
        <f aca="false">IF($A4653="","",IF(원본명단!$H4652="",0,COUNTIF(원본명단!$H$3:$H$6002,원본명단!$H4652)))</f>
        <v/>
      </c>
      <c r="F4653" s="11" t="str">
        <f aca="false">IF($A4653="","",IF(원본명단!$I4652="",0,COUNTIF(원본명단!$I$3:$I$6002,원본명단!$I4652)))</f>
        <v/>
      </c>
      <c r="G4653" s="11" t="str">
        <f aca="false">IF($A4653="","",IF(원본명단!$K4652="",0,COUNTIF(원본명단!$K$3:$K$6002,원본명단!$K4652)))</f>
        <v/>
      </c>
      <c r="H4653" s="11" t="str">
        <f aca="false">IF($A4653="","",IF(MAX($E4653,$F4653,$G4653)&gt;1,"중복","-"))</f>
        <v/>
      </c>
      <c r="I4653" s="11" t="str">
        <f aca="false">IF($A4653="","",IF($H4653="-","-",IF(AND(IF(원본명단!$H4652="",TRUE(),COUNTIF(원본명단!$H$3:$H4652,원본명단!$H4652)=1),IF(원본명단!$I4652="",TRUE(),COUNTIF(원본명단!$I$3:$I4652,원본명단!$I4652)=1),IF(원본명단!$K4652="",TRUE(),COUNTIF(원본명단!$K$3:$K4652,원본명단!$K4652)=1)),"첫 건","중복 건")))</f>
        <v/>
      </c>
      <c r="J4653" s="11" t="str">
        <f aca="false">IF($A4653="","",IF($H4653="-","유지",IF($I4653="첫 건","유지","확인 필요")))</f>
        <v/>
      </c>
    </row>
    <row r="4654" customFormat="false" ht="15" hidden="false" customHeight="true" outlineLevel="0" collapsed="false">
      <c r="A4654" s="11" t="str">
        <f aca="false">IF(원본명단!$A4653="","",4651)</f>
        <v/>
      </c>
      <c r="B4654" s="12" t="str">
        <f aca="false">IF($A4654="","",원본명단!$A4653)</f>
        <v/>
      </c>
      <c r="C4654" s="12" t="str">
        <f aca="false">IF($A4654="","",원본명단!$B4653)</f>
        <v/>
      </c>
      <c r="D4654" s="12" t="str">
        <f aca="false">IF($A4654="","",원본명단!$D4653)</f>
        <v/>
      </c>
      <c r="E4654" s="11" t="str">
        <f aca="false">IF($A4654="","",IF(원본명단!$H4653="",0,COUNTIF(원본명단!$H$3:$H$6002,원본명단!$H4653)))</f>
        <v/>
      </c>
      <c r="F4654" s="11" t="str">
        <f aca="false">IF($A4654="","",IF(원본명단!$I4653="",0,COUNTIF(원본명단!$I$3:$I$6002,원본명단!$I4653)))</f>
        <v/>
      </c>
      <c r="G4654" s="11" t="str">
        <f aca="false">IF($A4654="","",IF(원본명단!$K4653="",0,COUNTIF(원본명단!$K$3:$K$6002,원본명단!$K4653)))</f>
        <v/>
      </c>
      <c r="H4654" s="11" t="str">
        <f aca="false">IF($A4654="","",IF(MAX($E4654,$F4654,$G4654)&gt;1,"중복","-"))</f>
        <v/>
      </c>
      <c r="I4654" s="11" t="str">
        <f aca="false">IF($A4654="","",IF($H4654="-","-",IF(AND(IF(원본명단!$H4653="",TRUE(),COUNTIF(원본명단!$H$3:$H4653,원본명단!$H4653)=1),IF(원본명단!$I4653="",TRUE(),COUNTIF(원본명단!$I$3:$I4653,원본명단!$I4653)=1),IF(원본명단!$K4653="",TRUE(),COUNTIF(원본명단!$K$3:$K4653,원본명단!$K4653)=1)),"첫 건","중복 건")))</f>
        <v/>
      </c>
      <c r="J4654" s="11" t="str">
        <f aca="false">IF($A4654="","",IF($H4654="-","유지",IF($I4654="첫 건","유지","확인 필요")))</f>
        <v/>
      </c>
    </row>
    <row r="4655" customFormat="false" ht="15" hidden="false" customHeight="true" outlineLevel="0" collapsed="false">
      <c r="A4655" s="11" t="str">
        <f aca="false">IF(원본명단!$A4654="","",4652)</f>
        <v/>
      </c>
      <c r="B4655" s="12" t="str">
        <f aca="false">IF($A4655="","",원본명단!$A4654)</f>
        <v/>
      </c>
      <c r="C4655" s="12" t="str">
        <f aca="false">IF($A4655="","",원본명단!$B4654)</f>
        <v/>
      </c>
      <c r="D4655" s="12" t="str">
        <f aca="false">IF($A4655="","",원본명단!$D4654)</f>
        <v/>
      </c>
      <c r="E4655" s="11" t="str">
        <f aca="false">IF($A4655="","",IF(원본명단!$H4654="",0,COUNTIF(원본명단!$H$3:$H$6002,원본명단!$H4654)))</f>
        <v/>
      </c>
      <c r="F4655" s="11" t="str">
        <f aca="false">IF($A4655="","",IF(원본명단!$I4654="",0,COUNTIF(원본명단!$I$3:$I$6002,원본명단!$I4654)))</f>
        <v/>
      </c>
      <c r="G4655" s="11" t="str">
        <f aca="false">IF($A4655="","",IF(원본명단!$K4654="",0,COUNTIF(원본명단!$K$3:$K$6002,원본명단!$K4654)))</f>
        <v/>
      </c>
      <c r="H4655" s="11" t="str">
        <f aca="false">IF($A4655="","",IF(MAX($E4655,$F4655,$G4655)&gt;1,"중복","-"))</f>
        <v/>
      </c>
      <c r="I4655" s="11" t="str">
        <f aca="false">IF($A4655="","",IF($H4655="-","-",IF(AND(IF(원본명단!$H4654="",TRUE(),COUNTIF(원본명단!$H$3:$H4654,원본명단!$H4654)=1),IF(원본명단!$I4654="",TRUE(),COUNTIF(원본명단!$I$3:$I4654,원본명단!$I4654)=1),IF(원본명단!$K4654="",TRUE(),COUNTIF(원본명단!$K$3:$K4654,원본명단!$K4654)=1)),"첫 건","중복 건")))</f>
        <v/>
      </c>
      <c r="J4655" s="11" t="str">
        <f aca="false">IF($A4655="","",IF($H4655="-","유지",IF($I4655="첫 건","유지","확인 필요")))</f>
        <v/>
      </c>
    </row>
    <row r="4656" customFormat="false" ht="15" hidden="false" customHeight="true" outlineLevel="0" collapsed="false">
      <c r="A4656" s="11" t="str">
        <f aca="false">IF(원본명단!$A4655="","",4653)</f>
        <v/>
      </c>
      <c r="B4656" s="12" t="str">
        <f aca="false">IF($A4656="","",원본명단!$A4655)</f>
        <v/>
      </c>
      <c r="C4656" s="12" t="str">
        <f aca="false">IF($A4656="","",원본명단!$B4655)</f>
        <v/>
      </c>
      <c r="D4656" s="12" t="str">
        <f aca="false">IF($A4656="","",원본명단!$D4655)</f>
        <v/>
      </c>
      <c r="E4656" s="11" t="str">
        <f aca="false">IF($A4656="","",IF(원본명단!$H4655="",0,COUNTIF(원본명단!$H$3:$H$6002,원본명단!$H4655)))</f>
        <v/>
      </c>
      <c r="F4656" s="11" t="str">
        <f aca="false">IF($A4656="","",IF(원본명단!$I4655="",0,COUNTIF(원본명단!$I$3:$I$6002,원본명단!$I4655)))</f>
        <v/>
      </c>
      <c r="G4656" s="11" t="str">
        <f aca="false">IF($A4656="","",IF(원본명단!$K4655="",0,COUNTIF(원본명단!$K$3:$K$6002,원본명단!$K4655)))</f>
        <v/>
      </c>
      <c r="H4656" s="11" t="str">
        <f aca="false">IF($A4656="","",IF(MAX($E4656,$F4656,$G4656)&gt;1,"중복","-"))</f>
        <v/>
      </c>
      <c r="I4656" s="11" t="str">
        <f aca="false">IF($A4656="","",IF($H4656="-","-",IF(AND(IF(원본명단!$H4655="",TRUE(),COUNTIF(원본명단!$H$3:$H4655,원본명단!$H4655)=1),IF(원본명단!$I4655="",TRUE(),COUNTIF(원본명단!$I$3:$I4655,원본명단!$I4655)=1),IF(원본명단!$K4655="",TRUE(),COUNTIF(원본명단!$K$3:$K4655,원본명단!$K4655)=1)),"첫 건","중복 건")))</f>
        <v/>
      </c>
      <c r="J4656" s="11" t="str">
        <f aca="false">IF($A4656="","",IF($H4656="-","유지",IF($I4656="첫 건","유지","확인 필요")))</f>
        <v/>
      </c>
    </row>
    <row r="4657" customFormat="false" ht="15" hidden="false" customHeight="true" outlineLevel="0" collapsed="false">
      <c r="A4657" s="11" t="str">
        <f aca="false">IF(원본명단!$A4656="","",4654)</f>
        <v/>
      </c>
      <c r="B4657" s="12" t="str">
        <f aca="false">IF($A4657="","",원본명단!$A4656)</f>
        <v/>
      </c>
      <c r="C4657" s="12" t="str">
        <f aca="false">IF($A4657="","",원본명단!$B4656)</f>
        <v/>
      </c>
      <c r="D4657" s="12" t="str">
        <f aca="false">IF($A4657="","",원본명단!$D4656)</f>
        <v/>
      </c>
      <c r="E4657" s="11" t="str">
        <f aca="false">IF($A4657="","",IF(원본명단!$H4656="",0,COUNTIF(원본명단!$H$3:$H$6002,원본명단!$H4656)))</f>
        <v/>
      </c>
      <c r="F4657" s="11" t="str">
        <f aca="false">IF($A4657="","",IF(원본명단!$I4656="",0,COUNTIF(원본명단!$I$3:$I$6002,원본명단!$I4656)))</f>
        <v/>
      </c>
      <c r="G4657" s="11" t="str">
        <f aca="false">IF($A4657="","",IF(원본명단!$K4656="",0,COUNTIF(원본명단!$K$3:$K$6002,원본명단!$K4656)))</f>
        <v/>
      </c>
      <c r="H4657" s="11" t="str">
        <f aca="false">IF($A4657="","",IF(MAX($E4657,$F4657,$G4657)&gt;1,"중복","-"))</f>
        <v/>
      </c>
      <c r="I4657" s="11" t="str">
        <f aca="false">IF($A4657="","",IF($H4657="-","-",IF(AND(IF(원본명단!$H4656="",TRUE(),COUNTIF(원본명단!$H$3:$H4656,원본명단!$H4656)=1),IF(원본명단!$I4656="",TRUE(),COUNTIF(원본명단!$I$3:$I4656,원본명단!$I4656)=1),IF(원본명단!$K4656="",TRUE(),COUNTIF(원본명단!$K$3:$K4656,원본명단!$K4656)=1)),"첫 건","중복 건")))</f>
        <v/>
      </c>
      <c r="J4657" s="11" t="str">
        <f aca="false">IF($A4657="","",IF($H4657="-","유지",IF($I4657="첫 건","유지","확인 필요")))</f>
        <v/>
      </c>
    </row>
    <row r="4658" customFormat="false" ht="15" hidden="false" customHeight="true" outlineLevel="0" collapsed="false">
      <c r="A4658" s="11" t="str">
        <f aca="false">IF(원본명단!$A4657="","",4655)</f>
        <v/>
      </c>
      <c r="B4658" s="12" t="str">
        <f aca="false">IF($A4658="","",원본명단!$A4657)</f>
        <v/>
      </c>
      <c r="C4658" s="12" t="str">
        <f aca="false">IF($A4658="","",원본명단!$B4657)</f>
        <v/>
      </c>
      <c r="D4658" s="12" t="str">
        <f aca="false">IF($A4658="","",원본명단!$D4657)</f>
        <v/>
      </c>
      <c r="E4658" s="11" t="str">
        <f aca="false">IF($A4658="","",IF(원본명단!$H4657="",0,COUNTIF(원본명단!$H$3:$H$6002,원본명단!$H4657)))</f>
        <v/>
      </c>
      <c r="F4658" s="11" t="str">
        <f aca="false">IF($A4658="","",IF(원본명단!$I4657="",0,COUNTIF(원본명단!$I$3:$I$6002,원본명단!$I4657)))</f>
        <v/>
      </c>
      <c r="G4658" s="11" t="str">
        <f aca="false">IF($A4658="","",IF(원본명단!$K4657="",0,COUNTIF(원본명단!$K$3:$K$6002,원본명단!$K4657)))</f>
        <v/>
      </c>
      <c r="H4658" s="11" t="str">
        <f aca="false">IF($A4658="","",IF(MAX($E4658,$F4658,$G4658)&gt;1,"중복","-"))</f>
        <v/>
      </c>
      <c r="I4658" s="11" t="str">
        <f aca="false">IF($A4658="","",IF($H4658="-","-",IF(AND(IF(원본명단!$H4657="",TRUE(),COUNTIF(원본명단!$H$3:$H4657,원본명단!$H4657)=1),IF(원본명단!$I4657="",TRUE(),COUNTIF(원본명단!$I$3:$I4657,원본명단!$I4657)=1),IF(원본명단!$K4657="",TRUE(),COUNTIF(원본명단!$K$3:$K4657,원본명단!$K4657)=1)),"첫 건","중복 건")))</f>
        <v/>
      </c>
      <c r="J4658" s="11" t="str">
        <f aca="false">IF($A4658="","",IF($H4658="-","유지",IF($I4658="첫 건","유지","확인 필요")))</f>
        <v/>
      </c>
    </row>
    <row r="4659" customFormat="false" ht="15" hidden="false" customHeight="true" outlineLevel="0" collapsed="false">
      <c r="A4659" s="11" t="str">
        <f aca="false">IF(원본명단!$A4658="","",4656)</f>
        <v/>
      </c>
      <c r="B4659" s="12" t="str">
        <f aca="false">IF($A4659="","",원본명단!$A4658)</f>
        <v/>
      </c>
      <c r="C4659" s="12" t="str">
        <f aca="false">IF($A4659="","",원본명단!$B4658)</f>
        <v/>
      </c>
      <c r="D4659" s="12" t="str">
        <f aca="false">IF($A4659="","",원본명단!$D4658)</f>
        <v/>
      </c>
      <c r="E4659" s="11" t="str">
        <f aca="false">IF($A4659="","",IF(원본명단!$H4658="",0,COUNTIF(원본명단!$H$3:$H$6002,원본명단!$H4658)))</f>
        <v/>
      </c>
      <c r="F4659" s="11" t="str">
        <f aca="false">IF($A4659="","",IF(원본명단!$I4658="",0,COUNTIF(원본명단!$I$3:$I$6002,원본명단!$I4658)))</f>
        <v/>
      </c>
      <c r="G4659" s="11" t="str">
        <f aca="false">IF($A4659="","",IF(원본명단!$K4658="",0,COUNTIF(원본명단!$K$3:$K$6002,원본명단!$K4658)))</f>
        <v/>
      </c>
      <c r="H4659" s="11" t="str">
        <f aca="false">IF($A4659="","",IF(MAX($E4659,$F4659,$G4659)&gt;1,"중복","-"))</f>
        <v/>
      </c>
      <c r="I4659" s="11" t="str">
        <f aca="false">IF($A4659="","",IF($H4659="-","-",IF(AND(IF(원본명단!$H4658="",TRUE(),COUNTIF(원본명단!$H$3:$H4658,원본명단!$H4658)=1),IF(원본명단!$I4658="",TRUE(),COUNTIF(원본명단!$I$3:$I4658,원본명단!$I4658)=1),IF(원본명단!$K4658="",TRUE(),COUNTIF(원본명단!$K$3:$K4658,원본명단!$K4658)=1)),"첫 건","중복 건")))</f>
        <v/>
      </c>
      <c r="J4659" s="11" t="str">
        <f aca="false">IF($A4659="","",IF($H4659="-","유지",IF($I4659="첫 건","유지","확인 필요")))</f>
        <v/>
      </c>
    </row>
    <row r="4660" customFormat="false" ht="15" hidden="false" customHeight="true" outlineLevel="0" collapsed="false">
      <c r="A4660" s="11" t="str">
        <f aca="false">IF(원본명단!$A4659="","",4657)</f>
        <v/>
      </c>
      <c r="B4660" s="12" t="str">
        <f aca="false">IF($A4660="","",원본명단!$A4659)</f>
        <v/>
      </c>
      <c r="C4660" s="12" t="str">
        <f aca="false">IF($A4660="","",원본명단!$B4659)</f>
        <v/>
      </c>
      <c r="D4660" s="12" t="str">
        <f aca="false">IF($A4660="","",원본명단!$D4659)</f>
        <v/>
      </c>
      <c r="E4660" s="11" t="str">
        <f aca="false">IF($A4660="","",IF(원본명단!$H4659="",0,COUNTIF(원본명단!$H$3:$H$6002,원본명단!$H4659)))</f>
        <v/>
      </c>
      <c r="F4660" s="11" t="str">
        <f aca="false">IF($A4660="","",IF(원본명단!$I4659="",0,COUNTIF(원본명단!$I$3:$I$6002,원본명단!$I4659)))</f>
        <v/>
      </c>
      <c r="G4660" s="11" t="str">
        <f aca="false">IF($A4660="","",IF(원본명단!$K4659="",0,COUNTIF(원본명단!$K$3:$K$6002,원본명단!$K4659)))</f>
        <v/>
      </c>
      <c r="H4660" s="11" t="str">
        <f aca="false">IF($A4660="","",IF(MAX($E4660,$F4660,$G4660)&gt;1,"중복","-"))</f>
        <v/>
      </c>
      <c r="I4660" s="11" t="str">
        <f aca="false">IF($A4660="","",IF($H4660="-","-",IF(AND(IF(원본명단!$H4659="",TRUE(),COUNTIF(원본명단!$H$3:$H4659,원본명단!$H4659)=1),IF(원본명단!$I4659="",TRUE(),COUNTIF(원본명단!$I$3:$I4659,원본명단!$I4659)=1),IF(원본명단!$K4659="",TRUE(),COUNTIF(원본명단!$K$3:$K4659,원본명단!$K4659)=1)),"첫 건","중복 건")))</f>
        <v/>
      </c>
      <c r="J4660" s="11" t="str">
        <f aca="false">IF($A4660="","",IF($H4660="-","유지",IF($I4660="첫 건","유지","확인 필요")))</f>
        <v/>
      </c>
    </row>
    <row r="4661" customFormat="false" ht="15" hidden="false" customHeight="true" outlineLevel="0" collapsed="false">
      <c r="A4661" s="11" t="str">
        <f aca="false">IF(원본명단!$A4660="","",4658)</f>
        <v/>
      </c>
      <c r="B4661" s="12" t="str">
        <f aca="false">IF($A4661="","",원본명단!$A4660)</f>
        <v/>
      </c>
      <c r="C4661" s="12" t="str">
        <f aca="false">IF($A4661="","",원본명단!$B4660)</f>
        <v/>
      </c>
      <c r="D4661" s="12" t="str">
        <f aca="false">IF($A4661="","",원본명단!$D4660)</f>
        <v/>
      </c>
      <c r="E4661" s="11" t="str">
        <f aca="false">IF($A4661="","",IF(원본명단!$H4660="",0,COUNTIF(원본명단!$H$3:$H$6002,원본명단!$H4660)))</f>
        <v/>
      </c>
      <c r="F4661" s="11" t="str">
        <f aca="false">IF($A4661="","",IF(원본명단!$I4660="",0,COUNTIF(원본명단!$I$3:$I$6002,원본명단!$I4660)))</f>
        <v/>
      </c>
      <c r="G4661" s="11" t="str">
        <f aca="false">IF($A4661="","",IF(원본명단!$K4660="",0,COUNTIF(원본명단!$K$3:$K$6002,원본명단!$K4660)))</f>
        <v/>
      </c>
      <c r="H4661" s="11" t="str">
        <f aca="false">IF($A4661="","",IF(MAX($E4661,$F4661,$G4661)&gt;1,"중복","-"))</f>
        <v/>
      </c>
      <c r="I4661" s="11" t="str">
        <f aca="false">IF($A4661="","",IF($H4661="-","-",IF(AND(IF(원본명단!$H4660="",TRUE(),COUNTIF(원본명단!$H$3:$H4660,원본명단!$H4660)=1),IF(원본명단!$I4660="",TRUE(),COUNTIF(원본명단!$I$3:$I4660,원본명단!$I4660)=1),IF(원본명단!$K4660="",TRUE(),COUNTIF(원본명단!$K$3:$K4660,원본명단!$K4660)=1)),"첫 건","중복 건")))</f>
        <v/>
      </c>
      <c r="J4661" s="11" t="str">
        <f aca="false">IF($A4661="","",IF($H4661="-","유지",IF($I4661="첫 건","유지","확인 필요")))</f>
        <v/>
      </c>
    </row>
    <row r="4662" customFormat="false" ht="15" hidden="false" customHeight="true" outlineLevel="0" collapsed="false">
      <c r="A4662" s="11" t="str">
        <f aca="false">IF(원본명단!$A4661="","",4659)</f>
        <v/>
      </c>
      <c r="B4662" s="12" t="str">
        <f aca="false">IF($A4662="","",원본명단!$A4661)</f>
        <v/>
      </c>
      <c r="C4662" s="12" t="str">
        <f aca="false">IF($A4662="","",원본명단!$B4661)</f>
        <v/>
      </c>
      <c r="D4662" s="12" t="str">
        <f aca="false">IF($A4662="","",원본명단!$D4661)</f>
        <v/>
      </c>
      <c r="E4662" s="11" t="str">
        <f aca="false">IF($A4662="","",IF(원본명단!$H4661="",0,COUNTIF(원본명단!$H$3:$H$6002,원본명단!$H4661)))</f>
        <v/>
      </c>
      <c r="F4662" s="11" t="str">
        <f aca="false">IF($A4662="","",IF(원본명단!$I4661="",0,COUNTIF(원본명단!$I$3:$I$6002,원본명단!$I4661)))</f>
        <v/>
      </c>
      <c r="G4662" s="11" t="str">
        <f aca="false">IF($A4662="","",IF(원본명단!$K4661="",0,COUNTIF(원본명단!$K$3:$K$6002,원본명단!$K4661)))</f>
        <v/>
      </c>
      <c r="H4662" s="11" t="str">
        <f aca="false">IF($A4662="","",IF(MAX($E4662,$F4662,$G4662)&gt;1,"중복","-"))</f>
        <v/>
      </c>
      <c r="I4662" s="11" t="str">
        <f aca="false">IF($A4662="","",IF($H4662="-","-",IF(AND(IF(원본명단!$H4661="",TRUE(),COUNTIF(원본명단!$H$3:$H4661,원본명단!$H4661)=1),IF(원본명단!$I4661="",TRUE(),COUNTIF(원본명단!$I$3:$I4661,원본명단!$I4661)=1),IF(원본명단!$K4661="",TRUE(),COUNTIF(원본명단!$K$3:$K4661,원본명단!$K4661)=1)),"첫 건","중복 건")))</f>
        <v/>
      </c>
      <c r="J4662" s="11" t="str">
        <f aca="false">IF($A4662="","",IF($H4662="-","유지",IF($I4662="첫 건","유지","확인 필요")))</f>
        <v/>
      </c>
    </row>
    <row r="4663" customFormat="false" ht="15" hidden="false" customHeight="true" outlineLevel="0" collapsed="false">
      <c r="A4663" s="11" t="str">
        <f aca="false">IF(원본명단!$A4662="","",4660)</f>
        <v/>
      </c>
      <c r="B4663" s="12" t="str">
        <f aca="false">IF($A4663="","",원본명단!$A4662)</f>
        <v/>
      </c>
      <c r="C4663" s="12" t="str">
        <f aca="false">IF($A4663="","",원본명단!$B4662)</f>
        <v/>
      </c>
      <c r="D4663" s="12" t="str">
        <f aca="false">IF($A4663="","",원본명단!$D4662)</f>
        <v/>
      </c>
      <c r="E4663" s="11" t="str">
        <f aca="false">IF($A4663="","",IF(원본명단!$H4662="",0,COUNTIF(원본명단!$H$3:$H$6002,원본명단!$H4662)))</f>
        <v/>
      </c>
      <c r="F4663" s="11" t="str">
        <f aca="false">IF($A4663="","",IF(원본명단!$I4662="",0,COUNTIF(원본명단!$I$3:$I$6002,원본명단!$I4662)))</f>
        <v/>
      </c>
      <c r="G4663" s="11" t="str">
        <f aca="false">IF($A4663="","",IF(원본명단!$K4662="",0,COUNTIF(원본명단!$K$3:$K$6002,원본명단!$K4662)))</f>
        <v/>
      </c>
      <c r="H4663" s="11" t="str">
        <f aca="false">IF($A4663="","",IF(MAX($E4663,$F4663,$G4663)&gt;1,"중복","-"))</f>
        <v/>
      </c>
      <c r="I4663" s="11" t="str">
        <f aca="false">IF($A4663="","",IF($H4663="-","-",IF(AND(IF(원본명단!$H4662="",TRUE(),COUNTIF(원본명단!$H$3:$H4662,원본명단!$H4662)=1),IF(원본명단!$I4662="",TRUE(),COUNTIF(원본명단!$I$3:$I4662,원본명단!$I4662)=1),IF(원본명단!$K4662="",TRUE(),COUNTIF(원본명단!$K$3:$K4662,원본명단!$K4662)=1)),"첫 건","중복 건")))</f>
        <v/>
      </c>
      <c r="J4663" s="11" t="str">
        <f aca="false">IF($A4663="","",IF($H4663="-","유지",IF($I4663="첫 건","유지","확인 필요")))</f>
        <v/>
      </c>
    </row>
    <row r="4664" customFormat="false" ht="15" hidden="false" customHeight="true" outlineLevel="0" collapsed="false">
      <c r="A4664" s="11" t="str">
        <f aca="false">IF(원본명단!$A4663="","",4661)</f>
        <v/>
      </c>
      <c r="B4664" s="12" t="str">
        <f aca="false">IF($A4664="","",원본명단!$A4663)</f>
        <v/>
      </c>
      <c r="C4664" s="12" t="str">
        <f aca="false">IF($A4664="","",원본명단!$B4663)</f>
        <v/>
      </c>
      <c r="D4664" s="12" t="str">
        <f aca="false">IF($A4664="","",원본명단!$D4663)</f>
        <v/>
      </c>
      <c r="E4664" s="11" t="str">
        <f aca="false">IF($A4664="","",IF(원본명단!$H4663="",0,COUNTIF(원본명단!$H$3:$H$6002,원본명단!$H4663)))</f>
        <v/>
      </c>
      <c r="F4664" s="11" t="str">
        <f aca="false">IF($A4664="","",IF(원본명단!$I4663="",0,COUNTIF(원본명단!$I$3:$I$6002,원본명단!$I4663)))</f>
        <v/>
      </c>
      <c r="G4664" s="11" t="str">
        <f aca="false">IF($A4664="","",IF(원본명단!$K4663="",0,COUNTIF(원본명단!$K$3:$K$6002,원본명단!$K4663)))</f>
        <v/>
      </c>
      <c r="H4664" s="11" t="str">
        <f aca="false">IF($A4664="","",IF(MAX($E4664,$F4664,$G4664)&gt;1,"중복","-"))</f>
        <v/>
      </c>
      <c r="I4664" s="11" t="str">
        <f aca="false">IF($A4664="","",IF($H4664="-","-",IF(AND(IF(원본명단!$H4663="",TRUE(),COUNTIF(원본명단!$H$3:$H4663,원본명단!$H4663)=1),IF(원본명단!$I4663="",TRUE(),COUNTIF(원본명단!$I$3:$I4663,원본명단!$I4663)=1),IF(원본명단!$K4663="",TRUE(),COUNTIF(원본명단!$K$3:$K4663,원본명단!$K4663)=1)),"첫 건","중복 건")))</f>
        <v/>
      </c>
      <c r="J4664" s="11" t="str">
        <f aca="false">IF($A4664="","",IF($H4664="-","유지",IF($I4664="첫 건","유지","확인 필요")))</f>
        <v/>
      </c>
    </row>
    <row r="4665" customFormat="false" ht="15" hidden="false" customHeight="true" outlineLevel="0" collapsed="false">
      <c r="A4665" s="11" t="str">
        <f aca="false">IF(원본명단!$A4664="","",4662)</f>
        <v/>
      </c>
      <c r="B4665" s="12" t="str">
        <f aca="false">IF($A4665="","",원본명단!$A4664)</f>
        <v/>
      </c>
      <c r="C4665" s="12" t="str">
        <f aca="false">IF($A4665="","",원본명단!$B4664)</f>
        <v/>
      </c>
      <c r="D4665" s="12" t="str">
        <f aca="false">IF($A4665="","",원본명단!$D4664)</f>
        <v/>
      </c>
      <c r="E4665" s="11" t="str">
        <f aca="false">IF($A4665="","",IF(원본명단!$H4664="",0,COUNTIF(원본명단!$H$3:$H$6002,원본명단!$H4664)))</f>
        <v/>
      </c>
      <c r="F4665" s="11" t="str">
        <f aca="false">IF($A4665="","",IF(원본명단!$I4664="",0,COUNTIF(원본명단!$I$3:$I$6002,원본명단!$I4664)))</f>
        <v/>
      </c>
      <c r="G4665" s="11" t="str">
        <f aca="false">IF($A4665="","",IF(원본명단!$K4664="",0,COUNTIF(원본명단!$K$3:$K$6002,원본명단!$K4664)))</f>
        <v/>
      </c>
      <c r="H4665" s="11" t="str">
        <f aca="false">IF($A4665="","",IF(MAX($E4665,$F4665,$G4665)&gt;1,"중복","-"))</f>
        <v/>
      </c>
      <c r="I4665" s="11" t="str">
        <f aca="false">IF($A4665="","",IF($H4665="-","-",IF(AND(IF(원본명단!$H4664="",TRUE(),COUNTIF(원본명단!$H$3:$H4664,원본명단!$H4664)=1),IF(원본명단!$I4664="",TRUE(),COUNTIF(원본명단!$I$3:$I4664,원본명단!$I4664)=1),IF(원본명단!$K4664="",TRUE(),COUNTIF(원본명단!$K$3:$K4664,원본명단!$K4664)=1)),"첫 건","중복 건")))</f>
        <v/>
      </c>
      <c r="J4665" s="11" t="str">
        <f aca="false">IF($A4665="","",IF($H4665="-","유지",IF($I4665="첫 건","유지","확인 필요")))</f>
        <v/>
      </c>
    </row>
    <row r="4666" customFormat="false" ht="15" hidden="false" customHeight="true" outlineLevel="0" collapsed="false">
      <c r="A4666" s="11" t="str">
        <f aca="false">IF(원본명단!$A4665="","",4663)</f>
        <v/>
      </c>
      <c r="B4666" s="12" t="str">
        <f aca="false">IF($A4666="","",원본명단!$A4665)</f>
        <v/>
      </c>
      <c r="C4666" s="12" t="str">
        <f aca="false">IF($A4666="","",원본명단!$B4665)</f>
        <v/>
      </c>
      <c r="D4666" s="12" t="str">
        <f aca="false">IF($A4666="","",원본명단!$D4665)</f>
        <v/>
      </c>
      <c r="E4666" s="11" t="str">
        <f aca="false">IF($A4666="","",IF(원본명단!$H4665="",0,COUNTIF(원본명단!$H$3:$H$6002,원본명단!$H4665)))</f>
        <v/>
      </c>
      <c r="F4666" s="11" t="str">
        <f aca="false">IF($A4666="","",IF(원본명단!$I4665="",0,COUNTIF(원본명단!$I$3:$I$6002,원본명단!$I4665)))</f>
        <v/>
      </c>
      <c r="G4666" s="11" t="str">
        <f aca="false">IF($A4666="","",IF(원본명단!$K4665="",0,COUNTIF(원본명단!$K$3:$K$6002,원본명단!$K4665)))</f>
        <v/>
      </c>
      <c r="H4666" s="11" t="str">
        <f aca="false">IF($A4666="","",IF(MAX($E4666,$F4666,$G4666)&gt;1,"중복","-"))</f>
        <v/>
      </c>
      <c r="I4666" s="11" t="str">
        <f aca="false">IF($A4666="","",IF($H4666="-","-",IF(AND(IF(원본명단!$H4665="",TRUE(),COUNTIF(원본명단!$H$3:$H4665,원본명단!$H4665)=1),IF(원본명단!$I4665="",TRUE(),COUNTIF(원본명단!$I$3:$I4665,원본명단!$I4665)=1),IF(원본명단!$K4665="",TRUE(),COUNTIF(원본명단!$K$3:$K4665,원본명단!$K4665)=1)),"첫 건","중복 건")))</f>
        <v/>
      </c>
      <c r="J4666" s="11" t="str">
        <f aca="false">IF($A4666="","",IF($H4666="-","유지",IF($I4666="첫 건","유지","확인 필요")))</f>
        <v/>
      </c>
    </row>
    <row r="4667" customFormat="false" ht="15" hidden="false" customHeight="true" outlineLevel="0" collapsed="false">
      <c r="A4667" s="11" t="str">
        <f aca="false">IF(원본명단!$A4666="","",4664)</f>
        <v/>
      </c>
      <c r="B4667" s="12" t="str">
        <f aca="false">IF($A4667="","",원본명단!$A4666)</f>
        <v/>
      </c>
      <c r="C4667" s="12" t="str">
        <f aca="false">IF($A4667="","",원본명단!$B4666)</f>
        <v/>
      </c>
      <c r="D4667" s="12" t="str">
        <f aca="false">IF($A4667="","",원본명단!$D4666)</f>
        <v/>
      </c>
      <c r="E4667" s="11" t="str">
        <f aca="false">IF($A4667="","",IF(원본명단!$H4666="",0,COUNTIF(원본명단!$H$3:$H$6002,원본명단!$H4666)))</f>
        <v/>
      </c>
      <c r="F4667" s="11" t="str">
        <f aca="false">IF($A4667="","",IF(원본명단!$I4666="",0,COUNTIF(원본명단!$I$3:$I$6002,원본명단!$I4666)))</f>
        <v/>
      </c>
      <c r="G4667" s="11" t="str">
        <f aca="false">IF($A4667="","",IF(원본명단!$K4666="",0,COUNTIF(원본명단!$K$3:$K$6002,원본명단!$K4666)))</f>
        <v/>
      </c>
      <c r="H4667" s="11" t="str">
        <f aca="false">IF($A4667="","",IF(MAX($E4667,$F4667,$G4667)&gt;1,"중복","-"))</f>
        <v/>
      </c>
      <c r="I4667" s="11" t="str">
        <f aca="false">IF($A4667="","",IF($H4667="-","-",IF(AND(IF(원본명단!$H4666="",TRUE(),COUNTIF(원본명단!$H$3:$H4666,원본명단!$H4666)=1),IF(원본명단!$I4666="",TRUE(),COUNTIF(원본명단!$I$3:$I4666,원본명단!$I4666)=1),IF(원본명단!$K4666="",TRUE(),COUNTIF(원본명단!$K$3:$K4666,원본명단!$K4666)=1)),"첫 건","중복 건")))</f>
        <v/>
      </c>
      <c r="J4667" s="11" t="str">
        <f aca="false">IF($A4667="","",IF($H4667="-","유지",IF($I4667="첫 건","유지","확인 필요")))</f>
        <v/>
      </c>
    </row>
    <row r="4668" customFormat="false" ht="15" hidden="false" customHeight="true" outlineLevel="0" collapsed="false">
      <c r="A4668" s="11" t="str">
        <f aca="false">IF(원본명단!$A4667="","",4665)</f>
        <v/>
      </c>
      <c r="B4668" s="12" t="str">
        <f aca="false">IF($A4668="","",원본명단!$A4667)</f>
        <v/>
      </c>
      <c r="C4668" s="12" t="str">
        <f aca="false">IF($A4668="","",원본명단!$B4667)</f>
        <v/>
      </c>
      <c r="D4668" s="12" t="str">
        <f aca="false">IF($A4668="","",원본명단!$D4667)</f>
        <v/>
      </c>
      <c r="E4668" s="11" t="str">
        <f aca="false">IF($A4668="","",IF(원본명단!$H4667="",0,COUNTIF(원본명단!$H$3:$H$6002,원본명단!$H4667)))</f>
        <v/>
      </c>
      <c r="F4668" s="11" t="str">
        <f aca="false">IF($A4668="","",IF(원본명단!$I4667="",0,COUNTIF(원본명단!$I$3:$I$6002,원본명단!$I4667)))</f>
        <v/>
      </c>
      <c r="G4668" s="11" t="str">
        <f aca="false">IF($A4668="","",IF(원본명단!$K4667="",0,COUNTIF(원본명단!$K$3:$K$6002,원본명단!$K4667)))</f>
        <v/>
      </c>
      <c r="H4668" s="11" t="str">
        <f aca="false">IF($A4668="","",IF(MAX($E4668,$F4668,$G4668)&gt;1,"중복","-"))</f>
        <v/>
      </c>
      <c r="I4668" s="11" t="str">
        <f aca="false">IF($A4668="","",IF($H4668="-","-",IF(AND(IF(원본명단!$H4667="",TRUE(),COUNTIF(원본명단!$H$3:$H4667,원본명단!$H4667)=1),IF(원본명단!$I4667="",TRUE(),COUNTIF(원본명단!$I$3:$I4667,원본명단!$I4667)=1),IF(원본명단!$K4667="",TRUE(),COUNTIF(원본명단!$K$3:$K4667,원본명단!$K4667)=1)),"첫 건","중복 건")))</f>
        <v/>
      </c>
      <c r="J4668" s="11" t="str">
        <f aca="false">IF($A4668="","",IF($H4668="-","유지",IF($I4668="첫 건","유지","확인 필요")))</f>
        <v/>
      </c>
    </row>
    <row r="4669" customFormat="false" ht="15" hidden="false" customHeight="true" outlineLevel="0" collapsed="false">
      <c r="A4669" s="11" t="str">
        <f aca="false">IF(원본명단!$A4668="","",4666)</f>
        <v/>
      </c>
      <c r="B4669" s="12" t="str">
        <f aca="false">IF($A4669="","",원본명단!$A4668)</f>
        <v/>
      </c>
      <c r="C4669" s="12" t="str">
        <f aca="false">IF($A4669="","",원본명단!$B4668)</f>
        <v/>
      </c>
      <c r="D4669" s="12" t="str">
        <f aca="false">IF($A4669="","",원본명단!$D4668)</f>
        <v/>
      </c>
      <c r="E4669" s="11" t="str">
        <f aca="false">IF($A4669="","",IF(원본명단!$H4668="",0,COUNTIF(원본명단!$H$3:$H$6002,원본명단!$H4668)))</f>
        <v/>
      </c>
      <c r="F4669" s="11" t="str">
        <f aca="false">IF($A4669="","",IF(원본명단!$I4668="",0,COUNTIF(원본명단!$I$3:$I$6002,원본명단!$I4668)))</f>
        <v/>
      </c>
      <c r="G4669" s="11" t="str">
        <f aca="false">IF($A4669="","",IF(원본명단!$K4668="",0,COUNTIF(원본명단!$K$3:$K$6002,원본명단!$K4668)))</f>
        <v/>
      </c>
      <c r="H4669" s="11" t="str">
        <f aca="false">IF($A4669="","",IF(MAX($E4669,$F4669,$G4669)&gt;1,"중복","-"))</f>
        <v/>
      </c>
      <c r="I4669" s="11" t="str">
        <f aca="false">IF($A4669="","",IF($H4669="-","-",IF(AND(IF(원본명단!$H4668="",TRUE(),COUNTIF(원본명단!$H$3:$H4668,원본명단!$H4668)=1),IF(원본명단!$I4668="",TRUE(),COUNTIF(원본명단!$I$3:$I4668,원본명단!$I4668)=1),IF(원본명단!$K4668="",TRUE(),COUNTIF(원본명단!$K$3:$K4668,원본명단!$K4668)=1)),"첫 건","중복 건")))</f>
        <v/>
      </c>
      <c r="J4669" s="11" t="str">
        <f aca="false">IF($A4669="","",IF($H4669="-","유지",IF($I4669="첫 건","유지","확인 필요")))</f>
        <v/>
      </c>
    </row>
    <row r="4670" customFormat="false" ht="15" hidden="false" customHeight="true" outlineLevel="0" collapsed="false">
      <c r="A4670" s="11" t="str">
        <f aca="false">IF(원본명단!$A4669="","",4667)</f>
        <v/>
      </c>
      <c r="B4670" s="12" t="str">
        <f aca="false">IF($A4670="","",원본명단!$A4669)</f>
        <v/>
      </c>
      <c r="C4670" s="12" t="str">
        <f aca="false">IF($A4670="","",원본명단!$B4669)</f>
        <v/>
      </c>
      <c r="D4670" s="12" t="str">
        <f aca="false">IF($A4670="","",원본명단!$D4669)</f>
        <v/>
      </c>
      <c r="E4670" s="11" t="str">
        <f aca="false">IF($A4670="","",IF(원본명단!$H4669="",0,COUNTIF(원본명단!$H$3:$H$6002,원본명단!$H4669)))</f>
        <v/>
      </c>
      <c r="F4670" s="11" t="str">
        <f aca="false">IF($A4670="","",IF(원본명단!$I4669="",0,COUNTIF(원본명단!$I$3:$I$6002,원본명단!$I4669)))</f>
        <v/>
      </c>
      <c r="G4670" s="11" t="str">
        <f aca="false">IF($A4670="","",IF(원본명단!$K4669="",0,COUNTIF(원본명단!$K$3:$K$6002,원본명단!$K4669)))</f>
        <v/>
      </c>
      <c r="H4670" s="11" t="str">
        <f aca="false">IF($A4670="","",IF(MAX($E4670,$F4670,$G4670)&gt;1,"중복","-"))</f>
        <v/>
      </c>
      <c r="I4670" s="11" t="str">
        <f aca="false">IF($A4670="","",IF($H4670="-","-",IF(AND(IF(원본명단!$H4669="",TRUE(),COUNTIF(원본명단!$H$3:$H4669,원본명단!$H4669)=1),IF(원본명단!$I4669="",TRUE(),COUNTIF(원본명단!$I$3:$I4669,원본명단!$I4669)=1),IF(원본명단!$K4669="",TRUE(),COUNTIF(원본명단!$K$3:$K4669,원본명단!$K4669)=1)),"첫 건","중복 건")))</f>
        <v/>
      </c>
      <c r="J4670" s="11" t="str">
        <f aca="false">IF($A4670="","",IF($H4670="-","유지",IF($I4670="첫 건","유지","확인 필요")))</f>
        <v/>
      </c>
    </row>
    <row r="4671" customFormat="false" ht="15" hidden="false" customHeight="true" outlineLevel="0" collapsed="false">
      <c r="A4671" s="11" t="str">
        <f aca="false">IF(원본명단!$A4670="","",4668)</f>
        <v/>
      </c>
      <c r="B4671" s="12" t="str">
        <f aca="false">IF($A4671="","",원본명단!$A4670)</f>
        <v/>
      </c>
      <c r="C4671" s="12" t="str">
        <f aca="false">IF($A4671="","",원본명단!$B4670)</f>
        <v/>
      </c>
      <c r="D4671" s="12" t="str">
        <f aca="false">IF($A4671="","",원본명단!$D4670)</f>
        <v/>
      </c>
      <c r="E4671" s="11" t="str">
        <f aca="false">IF($A4671="","",IF(원본명단!$H4670="",0,COUNTIF(원본명단!$H$3:$H$6002,원본명단!$H4670)))</f>
        <v/>
      </c>
      <c r="F4671" s="11" t="str">
        <f aca="false">IF($A4671="","",IF(원본명단!$I4670="",0,COUNTIF(원본명단!$I$3:$I$6002,원본명단!$I4670)))</f>
        <v/>
      </c>
      <c r="G4671" s="11" t="str">
        <f aca="false">IF($A4671="","",IF(원본명단!$K4670="",0,COUNTIF(원본명단!$K$3:$K$6002,원본명단!$K4670)))</f>
        <v/>
      </c>
      <c r="H4671" s="11" t="str">
        <f aca="false">IF($A4671="","",IF(MAX($E4671,$F4671,$G4671)&gt;1,"중복","-"))</f>
        <v/>
      </c>
      <c r="I4671" s="11" t="str">
        <f aca="false">IF($A4671="","",IF($H4671="-","-",IF(AND(IF(원본명단!$H4670="",TRUE(),COUNTIF(원본명단!$H$3:$H4670,원본명단!$H4670)=1),IF(원본명단!$I4670="",TRUE(),COUNTIF(원본명단!$I$3:$I4670,원본명단!$I4670)=1),IF(원본명단!$K4670="",TRUE(),COUNTIF(원본명단!$K$3:$K4670,원본명단!$K4670)=1)),"첫 건","중복 건")))</f>
        <v/>
      </c>
      <c r="J4671" s="11" t="str">
        <f aca="false">IF($A4671="","",IF($H4671="-","유지",IF($I4671="첫 건","유지","확인 필요")))</f>
        <v/>
      </c>
    </row>
    <row r="4672" customFormat="false" ht="15" hidden="false" customHeight="true" outlineLevel="0" collapsed="false">
      <c r="A4672" s="11" t="str">
        <f aca="false">IF(원본명단!$A4671="","",4669)</f>
        <v/>
      </c>
      <c r="B4672" s="12" t="str">
        <f aca="false">IF($A4672="","",원본명단!$A4671)</f>
        <v/>
      </c>
      <c r="C4672" s="12" t="str">
        <f aca="false">IF($A4672="","",원본명단!$B4671)</f>
        <v/>
      </c>
      <c r="D4672" s="12" t="str">
        <f aca="false">IF($A4672="","",원본명단!$D4671)</f>
        <v/>
      </c>
      <c r="E4672" s="11" t="str">
        <f aca="false">IF($A4672="","",IF(원본명단!$H4671="",0,COUNTIF(원본명단!$H$3:$H$6002,원본명단!$H4671)))</f>
        <v/>
      </c>
      <c r="F4672" s="11" t="str">
        <f aca="false">IF($A4672="","",IF(원본명단!$I4671="",0,COUNTIF(원본명단!$I$3:$I$6002,원본명단!$I4671)))</f>
        <v/>
      </c>
      <c r="G4672" s="11" t="str">
        <f aca="false">IF($A4672="","",IF(원본명단!$K4671="",0,COUNTIF(원본명단!$K$3:$K$6002,원본명단!$K4671)))</f>
        <v/>
      </c>
      <c r="H4672" s="11" t="str">
        <f aca="false">IF($A4672="","",IF(MAX($E4672,$F4672,$G4672)&gt;1,"중복","-"))</f>
        <v/>
      </c>
      <c r="I4672" s="11" t="str">
        <f aca="false">IF($A4672="","",IF($H4672="-","-",IF(AND(IF(원본명단!$H4671="",TRUE(),COUNTIF(원본명단!$H$3:$H4671,원본명단!$H4671)=1),IF(원본명단!$I4671="",TRUE(),COUNTIF(원본명단!$I$3:$I4671,원본명단!$I4671)=1),IF(원본명단!$K4671="",TRUE(),COUNTIF(원본명단!$K$3:$K4671,원본명단!$K4671)=1)),"첫 건","중복 건")))</f>
        <v/>
      </c>
      <c r="J4672" s="11" t="str">
        <f aca="false">IF($A4672="","",IF($H4672="-","유지",IF($I4672="첫 건","유지","확인 필요")))</f>
        <v/>
      </c>
    </row>
    <row r="4673" customFormat="false" ht="15" hidden="false" customHeight="true" outlineLevel="0" collapsed="false">
      <c r="A4673" s="11" t="str">
        <f aca="false">IF(원본명단!$A4672="","",4670)</f>
        <v/>
      </c>
      <c r="B4673" s="12" t="str">
        <f aca="false">IF($A4673="","",원본명단!$A4672)</f>
        <v/>
      </c>
      <c r="C4673" s="12" t="str">
        <f aca="false">IF($A4673="","",원본명단!$B4672)</f>
        <v/>
      </c>
      <c r="D4673" s="12" t="str">
        <f aca="false">IF($A4673="","",원본명단!$D4672)</f>
        <v/>
      </c>
      <c r="E4673" s="11" t="str">
        <f aca="false">IF($A4673="","",IF(원본명단!$H4672="",0,COUNTIF(원본명단!$H$3:$H$6002,원본명단!$H4672)))</f>
        <v/>
      </c>
      <c r="F4673" s="11" t="str">
        <f aca="false">IF($A4673="","",IF(원본명단!$I4672="",0,COUNTIF(원본명단!$I$3:$I$6002,원본명단!$I4672)))</f>
        <v/>
      </c>
      <c r="G4673" s="11" t="str">
        <f aca="false">IF($A4673="","",IF(원본명단!$K4672="",0,COUNTIF(원본명단!$K$3:$K$6002,원본명단!$K4672)))</f>
        <v/>
      </c>
      <c r="H4673" s="11" t="str">
        <f aca="false">IF($A4673="","",IF(MAX($E4673,$F4673,$G4673)&gt;1,"중복","-"))</f>
        <v/>
      </c>
      <c r="I4673" s="11" t="str">
        <f aca="false">IF($A4673="","",IF($H4673="-","-",IF(AND(IF(원본명단!$H4672="",TRUE(),COUNTIF(원본명단!$H$3:$H4672,원본명단!$H4672)=1),IF(원본명단!$I4672="",TRUE(),COUNTIF(원본명단!$I$3:$I4672,원본명단!$I4672)=1),IF(원본명단!$K4672="",TRUE(),COUNTIF(원본명단!$K$3:$K4672,원본명단!$K4672)=1)),"첫 건","중복 건")))</f>
        <v/>
      </c>
      <c r="J4673" s="11" t="str">
        <f aca="false">IF($A4673="","",IF($H4673="-","유지",IF($I4673="첫 건","유지","확인 필요")))</f>
        <v/>
      </c>
    </row>
    <row r="4674" customFormat="false" ht="15" hidden="false" customHeight="true" outlineLevel="0" collapsed="false">
      <c r="A4674" s="11" t="str">
        <f aca="false">IF(원본명단!$A4673="","",4671)</f>
        <v/>
      </c>
      <c r="B4674" s="12" t="str">
        <f aca="false">IF($A4674="","",원본명단!$A4673)</f>
        <v/>
      </c>
      <c r="C4674" s="12" t="str">
        <f aca="false">IF($A4674="","",원본명단!$B4673)</f>
        <v/>
      </c>
      <c r="D4674" s="12" t="str">
        <f aca="false">IF($A4674="","",원본명단!$D4673)</f>
        <v/>
      </c>
      <c r="E4674" s="11" t="str">
        <f aca="false">IF($A4674="","",IF(원본명단!$H4673="",0,COUNTIF(원본명단!$H$3:$H$6002,원본명단!$H4673)))</f>
        <v/>
      </c>
      <c r="F4674" s="11" t="str">
        <f aca="false">IF($A4674="","",IF(원본명단!$I4673="",0,COUNTIF(원본명단!$I$3:$I$6002,원본명단!$I4673)))</f>
        <v/>
      </c>
      <c r="G4674" s="11" t="str">
        <f aca="false">IF($A4674="","",IF(원본명단!$K4673="",0,COUNTIF(원본명단!$K$3:$K$6002,원본명단!$K4673)))</f>
        <v/>
      </c>
      <c r="H4674" s="11" t="str">
        <f aca="false">IF($A4674="","",IF(MAX($E4674,$F4674,$G4674)&gt;1,"중복","-"))</f>
        <v/>
      </c>
      <c r="I4674" s="11" t="str">
        <f aca="false">IF($A4674="","",IF($H4674="-","-",IF(AND(IF(원본명단!$H4673="",TRUE(),COUNTIF(원본명단!$H$3:$H4673,원본명단!$H4673)=1),IF(원본명단!$I4673="",TRUE(),COUNTIF(원본명단!$I$3:$I4673,원본명단!$I4673)=1),IF(원본명단!$K4673="",TRUE(),COUNTIF(원본명단!$K$3:$K4673,원본명단!$K4673)=1)),"첫 건","중복 건")))</f>
        <v/>
      </c>
      <c r="J4674" s="11" t="str">
        <f aca="false">IF($A4674="","",IF($H4674="-","유지",IF($I4674="첫 건","유지","확인 필요")))</f>
        <v/>
      </c>
    </row>
    <row r="4675" customFormat="false" ht="15" hidden="false" customHeight="true" outlineLevel="0" collapsed="false">
      <c r="A4675" s="11" t="str">
        <f aca="false">IF(원본명단!$A4674="","",4672)</f>
        <v/>
      </c>
      <c r="B4675" s="12" t="str">
        <f aca="false">IF($A4675="","",원본명단!$A4674)</f>
        <v/>
      </c>
      <c r="C4675" s="12" t="str">
        <f aca="false">IF($A4675="","",원본명단!$B4674)</f>
        <v/>
      </c>
      <c r="D4675" s="12" t="str">
        <f aca="false">IF($A4675="","",원본명단!$D4674)</f>
        <v/>
      </c>
      <c r="E4675" s="11" t="str">
        <f aca="false">IF($A4675="","",IF(원본명단!$H4674="",0,COUNTIF(원본명단!$H$3:$H$6002,원본명단!$H4674)))</f>
        <v/>
      </c>
      <c r="F4675" s="11" t="str">
        <f aca="false">IF($A4675="","",IF(원본명단!$I4674="",0,COUNTIF(원본명단!$I$3:$I$6002,원본명단!$I4674)))</f>
        <v/>
      </c>
      <c r="G4675" s="11" t="str">
        <f aca="false">IF($A4675="","",IF(원본명단!$K4674="",0,COUNTIF(원본명단!$K$3:$K$6002,원본명단!$K4674)))</f>
        <v/>
      </c>
      <c r="H4675" s="11" t="str">
        <f aca="false">IF($A4675="","",IF(MAX($E4675,$F4675,$G4675)&gt;1,"중복","-"))</f>
        <v/>
      </c>
      <c r="I4675" s="11" t="str">
        <f aca="false">IF($A4675="","",IF($H4675="-","-",IF(AND(IF(원본명단!$H4674="",TRUE(),COUNTIF(원본명단!$H$3:$H4674,원본명단!$H4674)=1),IF(원본명단!$I4674="",TRUE(),COUNTIF(원본명단!$I$3:$I4674,원본명단!$I4674)=1),IF(원본명단!$K4674="",TRUE(),COUNTIF(원본명단!$K$3:$K4674,원본명단!$K4674)=1)),"첫 건","중복 건")))</f>
        <v/>
      </c>
      <c r="J4675" s="11" t="str">
        <f aca="false">IF($A4675="","",IF($H4675="-","유지",IF($I4675="첫 건","유지","확인 필요")))</f>
        <v/>
      </c>
    </row>
    <row r="4676" customFormat="false" ht="15" hidden="false" customHeight="true" outlineLevel="0" collapsed="false">
      <c r="A4676" s="11" t="str">
        <f aca="false">IF(원본명단!$A4675="","",4673)</f>
        <v/>
      </c>
      <c r="B4676" s="12" t="str">
        <f aca="false">IF($A4676="","",원본명단!$A4675)</f>
        <v/>
      </c>
      <c r="C4676" s="12" t="str">
        <f aca="false">IF($A4676="","",원본명단!$B4675)</f>
        <v/>
      </c>
      <c r="D4676" s="12" t="str">
        <f aca="false">IF($A4676="","",원본명단!$D4675)</f>
        <v/>
      </c>
      <c r="E4676" s="11" t="str">
        <f aca="false">IF($A4676="","",IF(원본명단!$H4675="",0,COUNTIF(원본명단!$H$3:$H$6002,원본명단!$H4675)))</f>
        <v/>
      </c>
      <c r="F4676" s="11" t="str">
        <f aca="false">IF($A4676="","",IF(원본명단!$I4675="",0,COUNTIF(원본명단!$I$3:$I$6002,원본명단!$I4675)))</f>
        <v/>
      </c>
      <c r="G4676" s="11" t="str">
        <f aca="false">IF($A4676="","",IF(원본명단!$K4675="",0,COUNTIF(원본명단!$K$3:$K$6002,원본명단!$K4675)))</f>
        <v/>
      </c>
      <c r="H4676" s="11" t="str">
        <f aca="false">IF($A4676="","",IF(MAX($E4676,$F4676,$G4676)&gt;1,"중복","-"))</f>
        <v/>
      </c>
      <c r="I4676" s="11" t="str">
        <f aca="false">IF($A4676="","",IF($H4676="-","-",IF(AND(IF(원본명단!$H4675="",TRUE(),COUNTIF(원본명단!$H$3:$H4675,원본명단!$H4675)=1),IF(원본명단!$I4675="",TRUE(),COUNTIF(원본명단!$I$3:$I4675,원본명단!$I4675)=1),IF(원본명단!$K4675="",TRUE(),COUNTIF(원본명단!$K$3:$K4675,원본명단!$K4675)=1)),"첫 건","중복 건")))</f>
        <v/>
      </c>
      <c r="J4676" s="11" t="str">
        <f aca="false">IF($A4676="","",IF($H4676="-","유지",IF($I4676="첫 건","유지","확인 필요")))</f>
        <v/>
      </c>
    </row>
    <row r="4677" customFormat="false" ht="15" hidden="false" customHeight="true" outlineLevel="0" collapsed="false">
      <c r="A4677" s="11" t="str">
        <f aca="false">IF(원본명단!$A4676="","",4674)</f>
        <v/>
      </c>
      <c r="B4677" s="12" t="str">
        <f aca="false">IF($A4677="","",원본명단!$A4676)</f>
        <v/>
      </c>
      <c r="C4677" s="12" t="str">
        <f aca="false">IF($A4677="","",원본명단!$B4676)</f>
        <v/>
      </c>
      <c r="D4677" s="12" t="str">
        <f aca="false">IF($A4677="","",원본명단!$D4676)</f>
        <v/>
      </c>
      <c r="E4677" s="11" t="str">
        <f aca="false">IF($A4677="","",IF(원본명단!$H4676="",0,COUNTIF(원본명단!$H$3:$H$6002,원본명단!$H4676)))</f>
        <v/>
      </c>
      <c r="F4677" s="11" t="str">
        <f aca="false">IF($A4677="","",IF(원본명단!$I4676="",0,COUNTIF(원본명단!$I$3:$I$6002,원본명단!$I4676)))</f>
        <v/>
      </c>
      <c r="G4677" s="11" t="str">
        <f aca="false">IF($A4677="","",IF(원본명단!$K4676="",0,COUNTIF(원본명단!$K$3:$K$6002,원본명단!$K4676)))</f>
        <v/>
      </c>
      <c r="H4677" s="11" t="str">
        <f aca="false">IF($A4677="","",IF(MAX($E4677,$F4677,$G4677)&gt;1,"중복","-"))</f>
        <v/>
      </c>
      <c r="I4677" s="11" t="str">
        <f aca="false">IF($A4677="","",IF($H4677="-","-",IF(AND(IF(원본명단!$H4676="",TRUE(),COUNTIF(원본명단!$H$3:$H4676,원본명단!$H4676)=1),IF(원본명단!$I4676="",TRUE(),COUNTIF(원본명단!$I$3:$I4676,원본명단!$I4676)=1),IF(원본명단!$K4676="",TRUE(),COUNTIF(원본명단!$K$3:$K4676,원본명단!$K4676)=1)),"첫 건","중복 건")))</f>
        <v/>
      </c>
      <c r="J4677" s="11" t="str">
        <f aca="false">IF($A4677="","",IF($H4677="-","유지",IF($I4677="첫 건","유지","확인 필요")))</f>
        <v/>
      </c>
    </row>
    <row r="4678" customFormat="false" ht="15" hidden="false" customHeight="true" outlineLevel="0" collapsed="false">
      <c r="A4678" s="11" t="str">
        <f aca="false">IF(원본명단!$A4677="","",4675)</f>
        <v/>
      </c>
      <c r="B4678" s="12" t="str">
        <f aca="false">IF($A4678="","",원본명단!$A4677)</f>
        <v/>
      </c>
      <c r="C4678" s="12" t="str">
        <f aca="false">IF($A4678="","",원본명단!$B4677)</f>
        <v/>
      </c>
      <c r="D4678" s="12" t="str">
        <f aca="false">IF($A4678="","",원본명단!$D4677)</f>
        <v/>
      </c>
      <c r="E4678" s="11" t="str">
        <f aca="false">IF($A4678="","",IF(원본명단!$H4677="",0,COUNTIF(원본명단!$H$3:$H$6002,원본명단!$H4677)))</f>
        <v/>
      </c>
      <c r="F4678" s="11" t="str">
        <f aca="false">IF($A4678="","",IF(원본명단!$I4677="",0,COUNTIF(원본명단!$I$3:$I$6002,원본명단!$I4677)))</f>
        <v/>
      </c>
      <c r="G4678" s="11" t="str">
        <f aca="false">IF($A4678="","",IF(원본명단!$K4677="",0,COUNTIF(원본명단!$K$3:$K$6002,원본명단!$K4677)))</f>
        <v/>
      </c>
      <c r="H4678" s="11" t="str">
        <f aca="false">IF($A4678="","",IF(MAX($E4678,$F4678,$G4678)&gt;1,"중복","-"))</f>
        <v/>
      </c>
      <c r="I4678" s="11" t="str">
        <f aca="false">IF($A4678="","",IF($H4678="-","-",IF(AND(IF(원본명단!$H4677="",TRUE(),COUNTIF(원본명단!$H$3:$H4677,원본명단!$H4677)=1),IF(원본명단!$I4677="",TRUE(),COUNTIF(원본명단!$I$3:$I4677,원본명단!$I4677)=1),IF(원본명단!$K4677="",TRUE(),COUNTIF(원본명단!$K$3:$K4677,원본명단!$K4677)=1)),"첫 건","중복 건")))</f>
        <v/>
      </c>
      <c r="J4678" s="11" t="str">
        <f aca="false">IF($A4678="","",IF($H4678="-","유지",IF($I4678="첫 건","유지","확인 필요")))</f>
        <v/>
      </c>
    </row>
    <row r="4679" customFormat="false" ht="15" hidden="false" customHeight="true" outlineLevel="0" collapsed="false">
      <c r="A4679" s="11" t="str">
        <f aca="false">IF(원본명단!$A4678="","",4676)</f>
        <v/>
      </c>
      <c r="B4679" s="12" t="str">
        <f aca="false">IF($A4679="","",원본명단!$A4678)</f>
        <v/>
      </c>
      <c r="C4679" s="12" t="str">
        <f aca="false">IF($A4679="","",원본명단!$B4678)</f>
        <v/>
      </c>
      <c r="D4679" s="12" t="str">
        <f aca="false">IF($A4679="","",원본명단!$D4678)</f>
        <v/>
      </c>
      <c r="E4679" s="11" t="str">
        <f aca="false">IF($A4679="","",IF(원본명단!$H4678="",0,COUNTIF(원본명단!$H$3:$H$6002,원본명단!$H4678)))</f>
        <v/>
      </c>
      <c r="F4679" s="11" t="str">
        <f aca="false">IF($A4679="","",IF(원본명단!$I4678="",0,COUNTIF(원본명단!$I$3:$I$6002,원본명단!$I4678)))</f>
        <v/>
      </c>
      <c r="G4679" s="11" t="str">
        <f aca="false">IF($A4679="","",IF(원본명단!$K4678="",0,COUNTIF(원본명단!$K$3:$K$6002,원본명단!$K4678)))</f>
        <v/>
      </c>
      <c r="H4679" s="11" t="str">
        <f aca="false">IF($A4679="","",IF(MAX($E4679,$F4679,$G4679)&gt;1,"중복","-"))</f>
        <v/>
      </c>
      <c r="I4679" s="11" t="str">
        <f aca="false">IF($A4679="","",IF($H4679="-","-",IF(AND(IF(원본명단!$H4678="",TRUE(),COUNTIF(원본명단!$H$3:$H4678,원본명단!$H4678)=1),IF(원본명단!$I4678="",TRUE(),COUNTIF(원본명단!$I$3:$I4678,원본명단!$I4678)=1),IF(원본명단!$K4678="",TRUE(),COUNTIF(원본명단!$K$3:$K4678,원본명단!$K4678)=1)),"첫 건","중복 건")))</f>
        <v/>
      </c>
      <c r="J4679" s="11" t="str">
        <f aca="false">IF($A4679="","",IF($H4679="-","유지",IF($I4679="첫 건","유지","확인 필요")))</f>
        <v/>
      </c>
    </row>
    <row r="4680" customFormat="false" ht="15" hidden="false" customHeight="true" outlineLevel="0" collapsed="false">
      <c r="A4680" s="11" t="str">
        <f aca="false">IF(원본명단!$A4679="","",4677)</f>
        <v/>
      </c>
      <c r="B4680" s="12" t="str">
        <f aca="false">IF($A4680="","",원본명단!$A4679)</f>
        <v/>
      </c>
      <c r="C4680" s="12" t="str">
        <f aca="false">IF($A4680="","",원본명단!$B4679)</f>
        <v/>
      </c>
      <c r="D4680" s="12" t="str">
        <f aca="false">IF($A4680="","",원본명단!$D4679)</f>
        <v/>
      </c>
      <c r="E4680" s="11" t="str">
        <f aca="false">IF($A4680="","",IF(원본명단!$H4679="",0,COUNTIF(원본명단!$H$3:$H$6002,원본명단!$H4679)))</f>
        <v/>
      </c>
      <c r="F4680" s="11" t="str">
        <f aca="false">IF($A4680="","",IF(원본명단!$I4679="",0,COUNTIF(원본명단!$I$3:$I$6002,원본명단!$I4679)))</f>
        <v/>
      </c>
      <c r="G4680" s="11" t="str">
        <f aca="false">IF($A4680="","",IF(원본명단!$K4679="",0,COUNTIF(원본명단!$K$3:$K$6002,원본명단!$K4679)))</f>
        <v/>
      </c>
      <c r="H4680" s="11" t="str">
        <f aca="false">IF($A4680="","",IF(MAX($E4680,$F4680,$G4680)&gt;1,"중복","-"))</f>
        <v/>
      </c>
      <c r="I4680" s="11" t="str">
        <f aca="false">IF($A4680="","",IF($H4680="-","-",IF(AND(IF(원본명단!$H4679="",TRUE(),COUNTIF(원본명단!$H$3:$H4679,원본명단!$H4679)=1),IF(원본명단!$I4679="",TRUE(),COUNTIF(원본명단!$I$3:$I4679,원본명단!$I4679)=1),IF(원본명단!$K4679="",TRUE(),COUNTIF(원본명단!$K$3:$K4679,원본명단!$K4679)=1)),"첫 건","중복 건")))</f>
        <v/>
      </c>
      <c r="J4680" s="11" t="str">
        <f aca="false">IF($A4680="","",IF($H4680="-","유지",IF($I4680="첫 건","유지","확인 필요")))</f>
        <v/>
      </c>
    </row>
    <row r="4681" customFormat="false" ht="15" hidden="false" customHeight="true" outlineLevel="0" collapsed="false">
      <c r="A4681" s="11" t="str">
        <f aca="false">IF(원본명단!$A4680="","",4678)</f>
        <v/>
      </c>
      <c r="B4681" s="12" t="str">
        <f aca="false">IF($A4681="","",원본명단!$A4680)</f>
        <v/>
      </c>
      <c r="C4681" s="12" t="str">
        <f aca="false">IF($A4681="","",원본명단!$B4680)</f>
        <v/>
      </c>
      <c r="D4681" s="12" t="str">
        <f aca="false">IF($A4681="","",원본명단!$D4680)</f>
        <v/>
      </c>
      <c r="E4681" s="11" t="str">
        <f aca="false">IF($A4681="","",IF(원본명단!$H4680="",0,COUNTIF(원본명단!$H$3:$H$6002,원본명단!$H4680)))</f>
        <v/>
      </c>
      <c r="F4681" s="11" t="str">
        <f aca="false">IF($A4681="","",IF(원본명단!$I4680="",0,COUNTIF(원본명단!$I$3:$I$6002,원본명단!$I4680)))</f>
        <v/>
      </c>
      <c r="G4681" s="11" t="str">
        <f aca="false">IF($A4681="","",IF(원본명단!$K4680="",0,COUNTIF(원본명단!$K$3:$K$6002,원본명단!$K4680)))</f>
        <v/>
      </c>
      <c r="H4681" s="11" t="str">
        <f aca="false">IF($A4681="","",IF(MAX($E4681,$F4681,$G4681)&gt;1,"중복","-"))</f>
        <v/>
      </c>
      <c r="I4681" s="11" t="str">
        <f aca="false">IF($A4681="","",IF($H4681="-","-",IF(AND(IF(원본명단!$H4680="",TRUE(),COUNTIF(원본명단!$H$3:$H4680,원본명단!$H4680)=1),IF(원본명단!$I4680="",TRUE(),COUNTIF(원본명단!$I$3:$I4680,원본명단!$I4680)=1),IF(원본명단!$K4680="",TRUE(),COUNTIF(원본명단!$K$3:$K4680,원본명단!$K4680)=1)),"첫 건","중복 건")))</f>
        <v/>
      </c>
      <c r="J4681" s="11" t="str">
        <f aca="false">IF($A4681="","",IF($H4681="-","유지",IF($I4681="첫 건","유지","확인 필요")))</f>
        <v/>
      </c>
    </row>
    <row r="4682" customFormat="false" ht="15" hidden="false" customHeight="true" outlineLevel="0" collapsed="false">
      <c r="A4682" s="11" t="str">
        <f aca="false">IF(원본명단!$A4681="","",4679)</f>
        <v/>
      </c>
      <c r="B4682" s="12" t="str">
        <f aca="false">IF($A4682="","",원본명단!$A4681)</f>
        <v/>
      </c>
      <c r="C4682" s="12" t="str">
        <f aca="false">IF($A4682="","",원본명단!$B4681)</f>
        <v/>
      </c>
      <c r="D4682" s="12" t="str">
        <f aca="false">IF($A4682="","",원본명단!$D4681)</f>
        <v/>
      </c>
      <c r="E4682" s="11" t="str">
        <f aca="false">IF($A4682="","",IF(원본명단!$H4681="",0,COUNTIF(원본명단!$H$3:$H$6002,원본명단!$H4681)))</f>
        <v/>
      </c>
      <c r="F4682" s="11" t="str">
        <f aca="false">IF($A4682="","",IF(원본명단!$I4681="",0,COUNTIF(원본명단!$I$3:$I$6002,원본명단!$I4681)))</f>
        <v/>
      </c>
      <c r="G4682" s="11" t="str">
        <f aca="false">IF($A4682="","",IF(원본명단!$K4681="",0,COUNTIF(원본명단!$K$3:$K$6002,원본명단!$K4681)))</f>
        <v/>
      </c>
      <c r="H4682" s="11" t="str">
        <f aca="false">IF($A4682="","",IF(MAX($E4682,$F4682,$G4682)&gt;1,"중복","-"))</f>
        <v/>
      </c>
      <c r="I4682" s="11" t="str">
        <f aca="false">IF($A4682="","",IF($H4682="-","-",IF(AND(IF(원본명단!$H4681="",TRUE(),COUNTIF(원본명단!$H$3:$H4681,원본명단!$H4681)=1),IF(원본명단!$I4681="",TRUE(),COUNTIF(원본명단!$I$3:$I4681,원본명단!$I4681)=1),IF(원본명단!$K4681="",TRUE(),COUNTIF(원본명단!$K$3:$K4681,원본명단!$K4681)=1)),"첫 건","중복 건")))</f>
        <v/>
      </c>
      <c r="J4682" s="11" t="str">
        <f aca="false">IF($A4682="","",IF($H4682="-","유지",IF($I4682="첫 건","유지","확인 필요")))</f>
        <v/>
      </c>
    </row>
    <row r="4683" customFormat="false" ht="15" hidden="false" customHeight="true" outlineLevel="0" collapsed="false">
      <c r="A4683" s="11" t="str">
        <f aca="false">IF(원본명단!$A4682="","",4680)</f>
        <v/>
      </c>
      <c r="B4683" s="12" t="str">
        <f aca="false">IF($A4683="","",원본명단!$A4682)</f>
        <v/>
      </c>
      <c r="C4683" s="12" t="str">
        <f aca="false">IF($A4683="","",원본명단!$B4682)</f>
        <v/>
      </c>
      <c r="D4683" s="12" t="str">
        <f aca="false">IF($A4683="","",원본명단!$D4682)</f>
        <v/>
      </c>
      <c r="E4683" s="11" t="str">
        <f aca="false">IF($A4683="","",IF(원본명단!$H4682="",0,COUNTIF(원본명단!$H$3:$H$6002,원본명단!$H4682)))</f>
        <v/>
      </c>
      <c r="F4683" s="11" t="str">
        <f aca="false">IF($A4683="","",IF(원본명단!$I4682="",0,COUNTIF(원본명단!$I$3:$I$6002,원본명단!$I4682)))</f>
        <v/>
      </c>
      <c r="G4683" s="11" t="str">
        <f aca="false">IF($A4683="","",IF(원본명단!$K4682="",0,COUNTIF(원본명단!$K$3:$K$6002,원본명단!$K4682)))</f>
        <v/>
      </c>
      <c r="H4683" s="11" t="str">
        <f aca="false">IF($A4683="","",IF(MAX($E4683,$F4683,$G4683)&gt;1,"중복","-"))</f>
        <v/>
      </c>
      <c r="I4683" s="11" t="str">
        <f aca="false">IF($A4683="","",IF($H4683="-","-",IF(AND(IF(원본명단!$H4682="",TRUE(),COUNTIF(원본명단!$H$3:$H4682,원본명단!$H4682)=1),IF(원본명단!$I4682="",TRUE(),COUNTIF(원본명단!$I$3:$I4682,원본명단!$I4682)=1),IF(원본명단!$K4682="",TRUE(),COUNTIF(원본명단!$K$3:$K4682,원본명단!$K4682)=1)),"첫 건","중복 건")))</f>
        <v/>
      </c>
      <c r="J4683" s="11" t="str">
        <f aca="false">IF($A4683="","",IF($H4683="-","유지",IF($I4683="첫 건","유지","확인 필요")))</f>
        <v/>
      </c>
    </row>
    <row r="4684" customFormat="false" ht="15" hidden="false" customHeight="true" outlineLevel="0" collapsed="false">
      <c r="A4684" s="11" t="str">
        <f aca="false">IF(원본명단!$A4683="","",4681)</f>
        <v/>
      </c>
      <c r="B4684" s="12" t="str">
        <f aca="false">IF($A4684="","",원본명단!$A4683)</f>
        <v/>
      </c>
      <c r="C4684" s="12" t="str">
        <f aca="false">IF($A4684="","",원본명단!$B4683)</f>
        <v/>
      </c>
      <c r="D4684" s="12" t="str">
        <f aca="false">IF($A4684="","",원본명단!$D4683)</f>
        <v/>
      </c>
      <c r="E4684" s="11" t="str">
        <f aca="false">IF($A4684="","",IF(원본명단!$H4683="",0,COUNTIF(원본명단!$H$3:$H$6002,원본명단!$H4683)))</f>
        <v/>
      </c>
      <c r="F4684" s="11" t="str">
        <f aca="false">IF($A4684="","",IF(원본명단!$I4683="",0,COUNTIF(원본명단!$I$3:$I$6002,원본명단!$I4683)))</f>
        <v/>
      </c>
      <c r="G4684" s="11" t="str">
        <f aca="false">IF($A4684="","",IF(원본명단!$K4683="",0,COUNTIF(원본명단!$K$3:$K$6002,원본명단!$K4683)))</f>
        <v/>
      </c>
      <c r="H4684" s="11" t="str">
        <f aca="false">IF($A4684="","",IF(MAX($E4684,$F4684,$G4684)&gt;1,"중복","-"))</f>
        <v/>
      </c>
      <c r="I4684" s="11" t="str">
        <f aca="false">IF($A4684="","",IF($H4684="-","-",IF(AND(IF(원본명단!$H4683="",TRUE(),COUNTIF(원본명단!$H$3:$H4683,원본명단!$H4683)=1),IF(원본명단!$I4683="",TRUE(),COUNTIF(원본명단!$I$3:$I4683,원본명단!$I4683)=1),IF(원본명단!$K4683="",TRUE(),COUNTIF(원본명단!$K$3:$K4683,원본명단!$K4683)=1)),"첫 건","중복 건")))</f>
        <v/>
      </c>
      <c r="J4684" s="11" t="str">
        <f aca="false">IF($A4684="","",IF($H4684="-","유지",IF($I4684="첫 건","유지","확인 필요")))</f>
        <v/>
      </c>
    </row>
    <row r="4685" customFormat="false" ht="15" hidden="false" customHeight="true" outlineLevel="0" collapsed="false">
      <c r="A4685" s="11" t="str">
        <f aca="false">IF(원본명단!$A4684="","",4682)</f>
        <v/>
      </c>
      <c r="B4685" s="12" t="str">
        <f aca="false">IF($A4685="","",원본명단!$A4684)</f>
        <v/>
      </c>
      <c r="C4685" s="12" t="str">
        <f aca="false">IF($A4685="","",원본명단!$B4684)</f>
        <v/>
      </c>
      <c r="D4685" s="12" t="str">
        <f aca="false">IF($A4685="","",원본명단!$D4684)</f>
        <v/>
      </c>
      <c r="E4685" s="11" t="str">
        <f aca="false">IF($A4685="","",IF(원본명단!$H4684="",0,COUNTIF(원본명단!$H$3:$H$6002,원본명단!$H4684)))</f>
        <v/>
      </c>
      <c r="F4685" s="11" t="str">
        <f aca="false">IF($A4685="","",IF(원본명단!$I4684="",0,COUNTIF(원본명단!$I$3:$I$6002,원본명단!$I4684)))</f>
        <v/>
      </c>
      <c r="G4685" s="11" t="str">
        <f aca="false">IF($A4685="","",IF(원본명단!$K4684="",0,COUNTIF(원본명단!$K$3:$K$6002,원본명단!$K4684)))</f>
        <v/>
      </c>
      <c r="H4685" s="11" t="str">
        <f aca="false">IF($A4685="","",IF(MAX($E4685,$F4685,$G4685)&gt;1,"중복","-"))</f>
        <v/>
      </c>
      <c r="I4685" s="11" t="str">
        <f aca="false">IF($A4685="","",IF($H4685="-","-",IF(AND(IF(원본명단!$H4684="",TRUE(),COUNTIF(원본명단!$H$3:$H4684,원본명단!$H4684)=1),IF(원본명단!$I4684="",TRUE(),COUNTIF(원본명단!$I$3:$I4684,원본명단!$I4684)=1),IF(원본명단!$K4684="",TRUE(),COUNTIF(원본명단!$K$3:$K4684,원본명단!$K4684)=1)),"첫 건","중복 건")))</f>
        <v/>
      </c>
      <c r="J4685" s="11" t="str">
        <f aca="false">IF($A4685="","",IF($H4685="-","유지",IF($I4685="첫 건","유지","확인 필요")))</f>
        <v/>
      </c>
    </row>
    <row r="4686" customFormat="false" ht="15" hidden="false" customHeight="true" outlineLevel="0" collapsed="false">
      <c r="A4686" s="11" t="str">
        <f aca="false">IF(원본명단!$A4685="","",4683)</f>
        <v/>
      </c>
      <c r="B4686" s="12" t="str">
        <f aca="false">IF($A4686="","",원본명단!$A4685)</f>
        <v/>
      </c>
      <c r="C4686" s="12" t="str">
        <f aca="false">IF($A4686="","",원본명단!$B4685)</f>
        <v/>
      </c>
      <c r="D4686" s="12" t="str">
        <f aca="false">IF($A4686="","",원본명단!$D4685)</f>
        <v/>
      </c>
      <c r="E4686" s="11" t="str">
        <f aca="false">IF($A4686="","",IF(원본명단!$H4685="",0,COUNTIF(원본명단!$H$3:$H$6002,원본명단!$H4685)))</f>
        <v/>
      </c>
      <c r="F4686" s="11" t="str">
        <f aca="false">IF($A4686="","",IF(원본명단!$I4685="",0,COUNTIF(원본명단!$I$3:$I$6002,원본명단!$I4685)))</f>
        <v/>
      </c>
      <c r="G4686" s="11" t="str">
        <f aca="false">IF($A4686="","",IF(원본명단!$K4685="",0,COUNTIF(원본명단!$K$3:$K$6002,원본명단!$K4685)))</f>
        <v/>
      </c>
      <c r="H4686" s="11" t="str">
        <f aca="false">IF($A4686="","",IF(MAX($E4686,$F4686,$G4686)&gt;1,"중복","-"))</f>
        <v/>
      </c>
      <c r="I4686" s="11" t="str">
        <f aca="false">IF($A4686="","",IF($H4686="-","-",IF(AND(IF(원본명단!$H4685="",TRUE(),COUNTIF(원본명단!$H$3:$H4685,원본명단!$H4685)=1),IF(원본명단!$I4685="",TRUE(),COUNTIF(원본명단!$I$3:$I4685,원본명단!$I4685)=1),IF(원본명단!$K4685="",TRUE(),COUNTIF(원본명단!$K$3:$K4685,원본명단!$K4685)=1)),"첫 건","중복 건")))</f>
        <v/>
      </c>
      <c r="J4686" s="11" t="str">
        <f aca="false">IF($A4686="","",IF($H4686="-","유지",IF($I4686="첫 건","유지","확인 필요")))</f>
        <v/>
      </c>
    </row>
    <row r="4687" customFormat="false" ht="15" hidden="false" customHeight="true" outlineLevel="0" collapsed="false">
      <c r="A4687" s="11" t="str">
        <f aca="false">IF(원본명단!$A4686="","",4684)</f>
        <v/>
      </c>
      <c r="B4687" s="12" t="str">
        <f aca="false">IF($A4687="","",원본명단!$A4686)</f>
        <v/>
      </c>
      <c r="C4687" s="12" t="str">
        <f aca="false">IF($A4687="","",원본명단!$B4686)</f>
        <v/>
      </c>
      <c r="D4687" s="12" t="str">
        <f aca="false">IF($A4687="","",원본명단!$D4686)</f>
        <v/>
      </c>
      <c r="E4687" s="11" t="str">
        <f aca="false">IF($A4687="","",IF(원본명단!$H4686="",0,COUNTIF(원본명단!$H$3:$H$6002,원본명단!$H4686)))</f>
        <v/>
      </c>
      <c r="F4687" s="11" t="str">
        <f aca="false">IF($A4687="","",IF(원본명단!$I4686="",0,COUNTIF(원본명단!$I$3:$I$6002,원본명단!$I4686)))</f>
        <v/>
      </c>
      <c r="G4687" s="11" t="str">
        <f aca="false">IF($A4687="","",IF(원본명단!$K4686="",0,COUNTIF(원본명단!$K$3:$K$6002,원본명단!$K4686)))</f>
        <v/>
      </c>
      <c r="H4687" s="11" t="str">
        <f aca="false">IF($A4687="","",IF(MAX($E4687,$F4687,$G4687)&gt;1,"중복","-"))</f>
        <v/>
      </c>
      <c r="I4687" s="11" t="str">
        <f aca="false">IF($A4687="","",IF($H4687="-","-",IF(AND(IF(원본명단!$H4686="",TRUE(),COUNTIF(원본명단!$H$3:$H4686,원본명단!$H4686)=1),IF(원본명단!$I4686="",TRUE(),COUNTIF(원본명단!$I$3:$I4686,원본명단!$I4686)=1),IF(원본명단!$K4686="",TRUE(),COUNTIF(원본명단!$K$3:$K4686,원본명단!$K4686)=1)),"첫 건","중복 건")))</f>
        <v/>
      </c>
      <c r="J4687" s="11" t="str">
        <f aca="false">IF($A4687="","",IF($H4687="-","유지",IF($I4687="첫 건","유지","확인 필요")))</f>
        <v/>
      </c>
    </row>
    <row r="4688" customFormat="false" ht="15" hidden="false" customHeight="true" outlineLevel="0" collapsed="false">
      <c r="A4688" s="11" t="str">
        <f aca="false">IF(원본명단!$A4687="","",4685)</f>
        <v/>
      </c>
      <c r="B4688" s="12" t="str">
        <f aca="false">IF($A4688="","",원본명단!$A4687)</f>
        <v/>
      </c>
      <c r="C4688" s="12" t="str">
        <f aca="false">IF($A4688="","",원본명단!$B4687)</f>
        <v/>
      </c>
      <c r="D4688" s="12" t="str">
        <f aca="false">IF($A4688="","",원본명단!$D4687)</f>
        <v/>
      </c>
      <c r="E4688" s="11" t="str">
        <f aca="false">IF($A4688="","",IF(원본명단!$H4687="",0,COUNTIF(원본명단!$H$3:$H$6002,원본명단!$H4687)))</f>
        <v/>
      </c>
      <c r="F4688" s="11" t="str">
        <f aca="false">IF($A4688="","",IF(원본명단!$I4687="",0,COUNTIF(원본명단!$I$3:$I$6002,원본명단!$I4687)))</f>
        <v/>
      </c>
      <c r="G4688" s="11" t="str">
        <f aca="false">IF($A4688="","",IF(원본명단!$K4687="",0,COUNTIF(원본명단!$K$3:$K$6002,원본명단!$K4687)))</f>
        <v/>
      </c>
      <c r="H4688" s="11" t="str">
        <f aca="false">IF($A4688="","",IF(MAX($E4688,$F4688,$G4688)&gt;1,"중복","-"))</f>
        <v/>
      </c>
      <c r="I4688" s="11" t="str">
        <f aca="false">IF($A4688="","",IF($H4688="-","-",IF(AND(IF(원본명단!$H4687="",TRUE(),COUNTIF(원본명단!$H$3:$H4687,원본명단!$H4687)=1),IF(원본명단!$I4687="",TRUE(),COUNTIF(원본명단!$I$3:$I4687,원본명단!$I4687)=1),IF(원본명단!$K4687="",TRUE(),COUNTIF(원본명단!$K$3:$K4687,원본명단!$K4687)=1)),"첫 건","중복 건")))</f>
        <v/>
      </c>
      <c r="J4688" s="11" t="str">
        <f aca="false">IF($A4688="","",IF($H4688="-","유지",IF($I4688="첫 건","유지","확인 필요")))</f>
        <v/>
      </c>
    </row>
    <row r="4689" customFormat="false" ht="15" hidden="false" customHeight="true" outlineLevel="0" collapsed="false">
      <c r="A4689" s="11" t="str">
        <f aca="false">IF(원본명단!$A4688="","",4686)</f>
        <v/>
      </c>
      <c r="B4689" s="12" t="str">
        <f aca="false">IF($A4689="","",원본명단!$A4688)</f>
        <v/>
      </c>
      <c r="C4689" s="12" t="str">
        <f aca="false">IF($A4689="","",원본명단!$B4688)</f>
        <v/>
      </c>
      <c r="D4689" s="12" t="str">
        <f aca="false">IF($A4689="","",원본명단!$D4688)</f>
        <v/>
      </c>
      <c r="E4689" s="11" t="str">
        <f aca="false">IF($A4689="","",IF(원본명단!$H4688="",0,COUNTIF(원본명단!$H$3:$H$6002,원본명단!$H4688)))</f>
        <v/>
      </c>
      <c r="F4689" s="11" t="str">
        <f aca="false">IF($A4689="","",IF(원본명단!$I4688="",0,COUNTIF(원본명단!$I$3:$I$6002,원본명단!$I4688)))</f>
        <v/>
      </c>
      <c r="G4689" s="11" t="str">
        <f aca="false">IF($A4689="","",IF(원본명단!$K4688="",0,COUNTIF(원본명단!$K$3:$K$6002,원본명단!$K4688)))</f>
        <v/>
      </c>
      <c r="H4689" s="11" t="str">
        <f aca="false">IF($A4689="","",IF(MAX($E4689,$F4689,$G4689)&gt;1,"중복","-"))</f>
        <v/>
      </c>
      <c r="I4689" s="11" t="str">
        <f aca="false">IF($A4689="","",IF($H4689="-","-",IF(AND(IF(원본명단!$H4688="",TRUE(),COUNTIF(원본명단!$H$3:$H4688,원본명단!$H4688)=1),IF(원본명단!$I4688="",TRUE(),COUNTIF(원본명단!$I$3:$I4688,원본명단!$I4688)=1),IF(원본명단!$K4688="",TRUE(),COUNTIF(원본명단!$K$3:$K4688,원본명단!$K4688)=1)),"첫 건","중복 건")))</f>
        <v/>
      </c>
      <c r="J4689" s="11" t="str">
        <f aca="false">IF($A4689="","",IF($H4689="-","유지",IF($I4689="첫 건","유지","확인 필요")))</f>
        <v/>
      </c>
    </row>
    <row r="4690" customFormat="false" ht="15" hidden="false" customHeight="true" outlineLevel="0" collapsed="false">
      <c r="A4690" s="11" t="str">
        <f aca="false">IF(원본명단!$A4689="","",4687)</f>
        <v/>
      </c>
      <c r="B4690" s="12" t="str">
        <f aca="false">IF($A4690="","",원본명단!$A4689)</f>
        <v/>
      </c>
      <c r="C4690" s="12" t="str">
        <f aca="false">IF($A4690="","",원본명단!$B4689)</f>
        <v/>
      </c>
      <c r="D4690" s="12" t="str">
        <f aca="false">IF($A4690="","",원본명단!$D4689)</f>
        <v/>
      </c>
      <c r="E4690" s="11" t="str">
        <f aca="false">IF($A4690="","",IF(원본명단!$H4689="",0,COUNTIF(원본명단!$H$3:$H$6002,원본명단!$H4689)))</f>
        <v/>
      </c>
      <c r="F4690" s="11" t="str">
        <f aca="false">IF($A4690="","",IF(원본명단!$I4689="",0,COUNTIF(원본명단!$I$3:$I$6002,원본명단!$I4689)))</f>
        <v/>
      </c>
      <c r="G4690" s="11" t="str">
        <f aca="false">IF($A4690="","",IF(원본명단!$K4689="",0,COUNTIF(원본명단!$K$3:$K$6002,원본명단!$K4689)))</f>
        <v/>
      </c>
      <c r="H4690" s="11" t="str">
        <f aca="false">IF($A4690="","",IF(MAX($E4690,$F4690,$G4690)&gt;1,"중복","-"))</f>
        <v/>
      </c>
      <c r="I4690" s="11" t="str">
        <f aca="false">IF($A4690="","",IF($H4690="-","-",IF(AND(IF(원본명단!$H4689="",TRUE(),COUNTIF(원본명단!$H$3:$H4689,원본명단!$H4689)=1),IF(원본명단!$I4689="",TRUE(),COUNTIF(원본명단!$I$3:$I4689,원본명단!$I4689)=1),IF(원본명단!$K4689="",TRUE(),COUNTIF(원본명단!$K$3:$K4689,원본명단!$K4689)=1)),"첫 건","중복 건")))</f>
        <v/>
      </c>
      <c r="J4690" s="11" t="str">
        <f aca="false">IF($A4690="","",IF($H4690="-","유지",IF($I4690="첫 건","유지","확인 필요")))</f>
        <v/>
      </c>
    </row>
    <row r="4691" customFormat="false" ht="15" hidden="false" customHeight="true" outlineLevel="0" collapsed="false">
      <c r="A4691" s="11" t="str">
        <f aca="false">IF(원본명단!$A4690="","",4688)</f>
        <v/>
      </c>
      <c r="B4691" s="12" t="str">
        <f aca="false">IF($A4691="","",원본명단!$A4690)</f>
        <v/>
      </c>
      <c r="C4691" s="12" t="str">
        <f aca="false">IF($A4691="","",원본명단!$B4690)</f>
        <v/>
      </c>
      <c r="D4691" s="12" t="str">
        <f aca="false">IF($A4691="","",원본명단!$D4690)</f>
        <v/>
      </c>
      <c r="E4691" s="11" t="str">
        <f aca="false">IF($A4691="","",IF(원본명단!$H4690="",0,COUNTIF(원본명단!$H$3:$H$6002,원본명단!$H4690)))</f>
        <v/>
      </c>
      <c r="F4691" s="11" t="str">
        <f aca="false">IF($A4691="","",IF(원본명단!$I4690="",0,COUNTIF(원본명단!$I$3:$I$6002,원본명단!$I4690)))</f>
        <v/>
      </c>
      <c r="G4691" s="11" t="str">
        <f aca="false">IF($A4691="","",IF(원본명단!$K4690="",0,COUNTIF(원본명단!$K$3:$K$6002,원본명단!$K4690)))</f>
        <v/>
      </c>
      <c r="H4691" s="11" t="str">
        <f aca="false">IF($A4691="","",IF(MAX($E4691,$F4691,$G4691)&gt;1,"중복","-"))</f>
        <v/>
      </c>
      <c r="I4691" s="11" t="str">
        <f aca="false">IF($A4691="","",IF($H4691="-","-",IF(AND(IF(원본명단!$H4690="",TRUE(),COUNTIF(원본명단!$H$3:$H4690,원본명단!$H4690)=1),IF(원본명단!$I4690="",TRUE(),COUNTIF(원본명단!$I$3:$I4690,원본명단!$I4690)=1),IF(원본명단!$K4690="",TRUE(),COUNTIF(원본명단!$K$3:$K4690,원본명단!$K4690)=1)),"첫 건","중복 건")))</f>
        <v/>
      </c>
      <c r="J4691" s="11" t="str">
        <f aca="false">IF($A4691="","",IF($H4691="-","유지",IF($I4691="첫 건","유지","확인 필요")))</f>
        <v/>
      </c>
    </row>
    <row r="4692" customFormat="false" ht="15" hidden="false" customHeight="true" outlineLevel="0" collapsed="false">
      <c r="A4692" s="11" t="str">
        <f aca="false">IF(원본명단!$A4691="","",4689)</f>
        <v/>
      </c>
      <c r="B4692" s="12" t="str">
        <f aca="false">IF($A4692="","",원본명단!$A4691)</f>
        <v/>
      </c>
      <c r="C4692" s="12" t="str">
        <f aca="false">IF($A4692="","",원본명단!$B4691)</f>
        <v/>
      </c>
      <c r="D4692" s="12" t="str">
        <f aca="false">IF($A4692="","",원본명단!$D4691)</f>
        <v/>
      </c>
      <c r="E4692" s="11" t="str">
        <f aca="false">IF($A4692="","",IF(원본명단!$H4691="",0,COUNTIF(원본명단!$H$3:$H$6002,원본명단!$H4691)))</f>
        <v/>
      </c>
      <c r="F4692" s="11" t="str">
        <f aca="false">IF($A4692="","",IF(원본명단!$I4691="",0,COUNTIF(원본명단!$I$3:$I$6002,원본명단!$I4691)))</f>
        <v/>
      </c>
      <c r="G4692" s="11" t="str">
        <f aca="false">IF($A4692="","",IF(원본명단!$K4691="",0,COUNTIF(원본명단!$K$3:$K$6002,원본명단!$K4691)))</f>
        <v/>
      </c>
      <c r="H4692" s="11" t="str">
        <f aca="false">IF($A4692="","",IF(MAX($E4692,$F4692,$G4692)&gt;1,"중복","-"))</f>
        <v/>
      </c>
      <c r="I4692" s="11" t="str">
        <f aca="false">IF($A4692="","",IF($H4692="-","-",IF(AND(IF(원본명단!$H4691="",TRUE(),COUNTIF(원본명단!$H$3:$H4691,원본명단!$H4691)=1),IF(원본명단!$I4691="",TRUE(),COUNTIF(원본명단!$I$3:$I4691,원본명단!$I4691)=1),IF(원본명단!$K4691="",TRUE(),COUNTIF(원본명단!$K$3:$K4691,원본명단!$K4691)=1)),"첫 건","중복 건")))</f>
        <v/>
      </c>
      <c r="J4692" s="11" t="str">
        <f aca="false">IF($A4692="","",IF($H4692="-","유지",IF($I4692="첫 건","유지","확인 필요")))</f>
        <v/>
      </c>
    </row>
    <row r="4693" customFormat="false" ht="15" hidden="false" customHeight="true" outlineLevel="0" collapsed="false">
      <c r="A4693" s="11" t="str">
        <f aca="false">IF(원본명단!$A4692="","",4690)</f>
        <v/>
      </c>
      <c r="B4693" s="12" t="str">
        <f aca="false">IF($A4693="","",원본명단!$A4692)</f>
        <v/>
      </c>
      <c r="C4693" s="12" t="str">
        <f aca="false">IF($A4693="","",원본명단!$B4692)</f>
        <v/>
      </c>
      <c r="D4693" s="12" t="str">
        <f aca="false">IF($A4693="","",원본명단!$D4692)</f>
        <v/>
      </c>
      <c r="E4693" s="11" t="str">
        <f aca="false">IF($A4693="","",IF(원본명단!$H4692="",0,COUNTIF(원본명단!$H$3:$H$6002,원본명단!$H4692)))</f>
        <v/>
      </c>
      <c r="F4693" s="11" t="str">
        <f aca="false">IF($A4693="","",IF(원본명단!$I4692="",0,COUNTIF(원본명단!$I$3:$I$6002,원본명단!$I4692)))</f>
        <v/>
      </c>
      <c r="G4693" s="11" t="str">
        <f aca="false">IF($A4693="","",IF(원본명단!$K4692="",0,COUNTIF(원본명단!$K$3:$K$6002,원본명단!$K4692)))</f>
        <v/>
      </c>
      <c r="H4693" s="11" t="str">
        <f aca="false">IF($A4693="","",IF(MAX($E4693,$F4693,$G4693)&gt;1,"중복","-"))</f>
        <v/>
      </c>
      <c r="I4693" s="11" t="str">
        <f aca="false">IF($A4693="","",IF($H4693="-","-",IF(AND(IF(원본명단!$H4692="",TRUE(),COUNTIF(원본명단!$H$3:$H4692,원본명단!$H4692)=1),IF(원본명단!$I4692="",TRUE(),COUNTIF(원본명단!$I$3:$I4692,원본명단!$I4692)=1),IF(원본명단!$K4692="",TRUE(),COUNTIF(원본명단!$K$3:$K4692,원본명단!$K4692)=1)),"첫 건","중복 건")))</f>
        <v/>
      </c>
      <c r="J4693" s="11" t="str">
        <f aca="false">IF($A4693="","",IF($H4693="-","유지",IF($I4693="첫 건","유지","확인 필요")))</f>
        <v/>
      </c>
    </row>
    <row r="4694" customFormat="false" ht="15" hidden="false" customHeight="true" outlineLevel="0" collapsed="false">
      <c r="A4694" s="11" t="str">
        <f aca="false">IF(원본명단!$A4693="","",4691)</f>
        <v/>
      </c>
      <c r="B4694" s="12" t="str">
        <f aca="false">IF($A4694="","",원본명단!$A4693)</f>
        <v/>
      </c>
      <c r="C4694" s="12" t="str">
        <f aca="false">IF($A4694="","",원본명단!$B4693)</f>
        <v/>
      </c>
      <c r="D4694" s="12" t="str">
        <f aca="false">IF($A4694="","",원본명단!$D4693)</f>
        <v/>
      </c>
      <c r="E4694" s="11" t="str">
        <f aca="false">IF($A4694="","",IF(원본명단!$H4693="",0,COUNTIF(원본명단!$H$3:$H$6002,원본명단!$H4693)))</f>
        <v/>
      </c>
      <c r="F4694" s="11" t="str">
        <f aca="false">IF($A4694="","",IF(원본명단!$I4693="",0,COUNTIF(원본명단!$I$3:$I$6002,원본명단!$I4693)))</f>
        <v/>
      </c>
      <c r="G4694" s="11" t="str">
        <f aca="false">IF($A4694="","",IF(원본명단!$K4693="",0,COUNTIF(원본명단!$K$3:$K$6002,원본명단!$K4693)))</f>
        <v/>
      </c>
      <c r="H4694" s="11" t="str">
        <f aca="false">IF($A4694="","",IF(MAX($E4694,$F4694,$G4694)&gt;1,"중복","-"))</f>
        <v/>
      </c>
      <c r="I4694" s="11" t="str">
        <f aca="false">IF($A4694="","",IF($H4694="-","-",IF(AND(IF(원본명단!$H4693="",TRUE(),COUNTIF(원본명단!$H$3:$H4693,원본명단!$H4693)=1),IF(원본명단!$I4693="",TRUE(),COUNTIF(원본명단!$I$3:$I4693,원본명단!$I4693)=1),IF(원본명단!$K4693="",TRUE(),COUNTIF(원본명단!$K$3:$K4693,원본명단!$K4693)=1)),"첫 건","중복 건")))</f>
        <v/>
      </c>
      <c r="J4694" s="11" t="str">
        <f aca="false">IF($A4694="","",IF($H4694="-","유지",IF($I4694="첫 건","유지","확인 필요")))</f>
        <v/>
      </c>
    </row>
    <row r="4695" customFormat="false" ht="15" hidden="false" customHeight="true" outlineLevel="0" collapsed="false">
      <c r="A4695" s="11" t="str">
        <f aca="false">IF(원본명단!$A4694="","",4692)</f>
        <v/>
      </c>
      <c r="B4695" s="12" t="str">
        <f aca="false">IF($A4695="","",원본명단!$A4694)</f>
        <v/>
      </c>
      <c r="C4695" s="12" t="str">
        <f aca="false">IF($A4695="","",원본명단!$B4694)</f>
        <v/>
      </c>
      <c r="D4695" s="12" t="str">
        <f aca="false">IF($A4695="","",원본명단!$D4694)</f>
        <v/>
      </c>
      <c r="E4695" s="11" t="str">
        <f aca="false">IF($A4695="","",IF(원본명단!$H4694="",0,COUNTIF(원본명단!$H$3:$H$6002,원본명단!$H4694)))</f>
        <v/>
      </c>
      <c r="F4695" s="11" t="str">
        <f aca="false">IF($A4695="","",IF(원본명단!$I4694="",0,COUNTIF(원본명단!$I$3:$I$6002,원본명단!$I4694)))</f>
        <v/>
      </c>
      <c r="G4695" s="11" t="str">
        <f aca="false">IF($A4695="","",IF(원본명단!$K4694="",0,COUNTIF(원본명단!$K$3:$K$6002,원본명단!$K4694)))</f>
        <v/>
      </c>
      <c r="H4695" s="11" t="str">
        <f aca="false">IF($A4695="","",IF(MAX($E4695,$F4695,$G4695)&gt;1,"중복","-"))</f>
        <v/>
      </c>
      <c r="I4695" s="11" t="str">
        <f aca="false">IF($A4695="","",IF($H4695="-","-",IF(AND(IF(원본명단!$H4694="",TRUE(),COUNTIF(원본명단!$H$3:$H4694,원본명단!$H4694)=1),IF(원본명단!$I4694="",TRUE(),COUNTIF(원본명단!$I$3:$I4694,원본명단!$I4694)=1),IF(원본명단!$K4694="",TRUE(),COUNTIF(원본명단!$K$3:$K4694,원본명단!$K4694)=1)),"첫 건","중복 건")))</f>
        <v/>
      </c>
      <c r="J4695" s="11" t="str">
        <f aca="false">IF($A4695="","",IF($H4695="-","유지",IF($I4695="첫 건","유지","확인 필요")))</f>
        <v/>
      </c>
    </row>
    <row r="4696" customFormat="false" ht="15" hidden="false" customHeight="true" outlineLevel="0" collapsed="false">
      <c r="A4696" s="11" t="str">
        <f aca="false">IF(원본명단!$A4695="","",4693)</f>
        <v/>
      </c>
      <c r="B4696" s="12" t="str">
        <f aca="false">IF($A4696="","",원본명단!$A4695)</f>
        <v/>
      </c>
      <c r="C4696" s="12" t="str">
        <f aca="false">IF($A4696="","",원본명단!$B4695)</f>
        <v/>
      </c>
      <c r="D4696" s="12" t="str">
        <f aca="false">IF($A4696="","",원본명단!$D4695)</f>
        <v/>
      </c>
      <c r="E4696" s="11" t="str">
        <f aca="false">IF($A4696="","",IF(원본명단!$H4695="",0,COUNTIF(원본명단!$H$3:$H$6002,원본명단!$H4695)))</f>
        <v/>
      </c>
      <c r="F4696" s="11" t="str">
        <f aca="false">IF($A4696="","",IF(원본명단!$I4695="",0,COUNTIF(원본명단!$I$3:$I$6002,원본명단!$I4695)))</f>
        <v/>
      </c>
      <c r="G4696" s="11" t="str">
        <f aca="false">IF($A4696="","",IF(원본명단!$K4695="",0,COUNTIF(원본명단!$K$3:$K$6002,원본명단!$K4695)))</f>
        <v/>
      </c>
      <c r="H4696" s="11" t="str">
        <f aca="false">IF($A4696="","",IF(MAX($E4696,$F4696,$G4696)&gt;1,"중복","-"))</f>
        <v/>
      </c>
      <c r="I4696" s="11" t="str">
        <f aca="false">IF($A4696="","",IF($H4696="-","-",IF(AND(IF(원본명단!$H4695="",TRUE(),COUNTIF(원본명단!$H$3:$H4695,원본명단!$H4695)=1),IF(원본명단!$I4695="",TRUE(),COUNTIF(원본명단!$I$3:$I4695,원본명단!$I4695)=1),IF(원본명단!$K4695="",TRUE(),COUNTIF(원본명단!$K$3:$K4695,원본명단!$K4695)=1)),"첫 건","중복 건")))</f>
        <v/>
      </c>
      <c r="J4696" s="11" t="str">
        <f aca="false">IF($A4696="","",IF($H4696="-","유지",IF($I4696="첫 건","유지","확인 필요")))</f>
        <v/>
      </c>
    </row>
    <row r="4697" customFormat="false" ht="15" hidden="false" customHeight="true" outlineLevel="0" collapsed="false">
      <c r="A4697" s="11" t="str">
        <f aca="false">IF(원본명단!$A4696="","",4694)</f>
        <v/>
      </c>
      <c r="B4697" s="12" t="str">
        <f aca="false">IF($A4697="","",원본명단!$A4696)</f>
        <v/>
      </c>
      <c r="C4697" s="12" t="str">
        <f aca="false">IF($A4697="","",원본명단!$B4696)</f>
        <v/>
      </c>
      <c r="D4697" s="12" t="str">
        <f aca="false">IF($A4697="","",원본명단!$D4696)</f>
        <v/>
      </c>
      <c r="E4697" s="11" t="str">
        <f aca="false">IF($A4697="","",IF(원본명단!$H4696="",0,COUNTIF(원본명단!$H$3:$H$6002,원본명단!$H4696)))</f>
        <v/>
      </c>
      <c r="F4697" s="11" t="str">
        <f aca="false">IF($A4697="","",IF(원본명단!$I4696="",0,COUNTIF(원본명단!$I$3:$I$6002,원본명단!$I4696)))</f>
        <v/>
      </c>
      <c r="G4697" s="11" t="str">
        <f aca="false">IF($A4697="","",IF(원본명단!$K4696="",0,COUNTIF(원본명단!$K$3:$K$6002,원본명단!$K4696)))</f>
        <v/>
      </c>
      <c r="H4697" s="11" t="str">
        <f aca="false">IF($A4697="","",IF(MAX($E4697,$F4697,$G4697)&gt;1,"중복","-"))</f>
        <v/>
      </c>
      <c r="I4697" s="11" t="str">
        <f aca="false">IF($A4697="","",IF($H4697="-","-",IF(AND(IF(원본명단!$H4696="",TRUE(),COUNTIF(원본명단!$H$3:$H4696,원본명단!$H4696)=1),IF(원본명단!$I4696="",TRUE(),COUNTIF(원본명단!$I$3:$I4696,원본명단!$I4696)=1),IF(원본명단!$K4696="",TRUE(),COUNTIF(원본명단!$K$3:$K4696,원본명단!$K4696)=1)),"첫 건","중복 건")))</f>
        <v/>
      </c>
      <c r="J4697" s="11" t="str">
        <f aca="false">IF($A4697="","",IF($H4697="-","유지",IF($I4697="첫 건","유지","확인 필요")))</f>
        <v/>
      </c>
    </row>
    <row r="4698" customFormat="false" ht="15" hidden="false" customHeight="true" outlineLevel="0" collapsed="false">
      <c r="A4698" s="11" t="str">
        <f aca="false">IF(원본명단!$A4697="","",4695)</f>
        <v/>
      </c>
      <c r="B4698" s="12" t="str">
        <f aca="false">IF($A4698="","",원본명단!$A4697)</f>
        <v/>
      </c>
      <c r="C4698" s="12" t="str">
        <f aca="false">IF($A4698="","",원본명단!$B4697)</f>
        <v/>
      </c>
      <c r="D4698" s="12" t="str">
        <f aca="false">IF($A4698="","",원본명단!$D4697)</f>
        <v/>
      </c>
      <c r="E4698" s="11" t="str">
        <f aca="false">IF($A4698="","",IF(원본명단!$H4697="",0,COUNTIF(원본명단!$H$3:$H$6002,원본명단!$H4697)))</f>
        <v/>
      </c>
      <c r="F4698" s="11" t="str">
        <f aca="false">IF($A4698="","",IF(원본명단!$I4697="",0,COUNTIF(원본명단!$I$3:$I$6002,원본명단!$I4697)))</f>
        <v/>
      </c>
      <c r="G4698" s="11" t="str">
        <f aca="false">IF($A4698="","",IF(원본명단!$K4697="",0,COUNTIF(원본명단!$K$3:$K$6002,원본명단!$K4697)))</f>
        <v/>
      </c>
      <c r="H4698" s="11" t="str">
        <f aca="false">IF($A4698="","",IF(MAX($E4698,$F4698,$G4698)&gt;1,"중복","-"))</f>
        <v/>
      </c>
      <c r="I4698" s="11" t="str">
        <f aca="false">IF($A4698="","",IF($H4698="-","-",IF(AND(IF(원본명단!$H4697="",TRUE(),COUNTIF(원본명단!$H$3:$H4697,원본명단!$H4697)=1),IF(원본명단!$I4697="",TRUE(),COUNTIF(원본명단!$I$3:$I4697,원본명단!$I4697)=1),IF(원본명단!$K4697="",TRUE(),COUNTIF(원본명단!$K$3:$K4697,원본명단!$K4697)=1)),"첫 건","중복 건")))</f>
        <v/>
      </c>
      <c r="J4698" s="11" t="str">
        <f aca="false">IF($A4698="","",IF($H4698="-","유지",IF($I4698="첫 건","유지","확인 필요")))</f>
        <v/>
      </c>
    </row>
    <row r="4699" customFormat="false" ht="15" hidden="false" customHeight="true" outlineLevel="0" collapsed="false">
      <c r="A4699" s="11" t="str">
        <f aca="false">IF(원본명단!$A4698="","",4696)</f>
        <v/>
      </c>
      <c r="B4699" s="12" t="str">
        <f aca="false">IF($A4699="","",원본명단!$A4698)</f>
        <v/>
      </c>
      <c r="C4699" s="12" t="str">
        <f aca="false">IF($A4699="","",원본명단!$B4698)</f>
        <v/>
      </c>
      <c r="D4699" s="12" t="str">
        <f aca="false">IF($A4699="","",원본명단!$D4698)</f>
        <v/>
      </c>
      <c r="E4699" s="11" t="str">
        <f aca="false">IF($A4699="","",IF(원본명단!$H4698="",0,COUNTIF(원본명단!$H$3:$H$6002,원본명단!$H4698)))</f>
        <v/>
      </c>
      <c r="F4699" s="11" t="str">
        <f aca="false">IF($A4699="","",IF(원본명단!$I4698="",0,COUNTIF(원본명단!$I$3:$I$6002,원본명단!$I4698)))</f>
        <v/>
      </c>
      <c r="G4699" s="11" t="str">
        <f aca="false">IF($A4699="","",IF(원본명단!$K4698="",0,COUNTIF(원본명단!$K$3:$K$6002,원본명단!$K4698)))</f>
        <v/>
      </c>
      <c r="H4699" s="11" t="str">
        <f aca="false">IF($A4699="","",IF(MAX($E4699,$F4699,$G4699)&gt;1,"중복","-"))</f>
        <v/>
      </c>
      <c r="I4699" s="11" t="str">
        <f aca="false">IF($A4699="","",IF($H4699="-","-",IF(AND(IF(원본명단!$H4698="",TRUE(),COUNTIF(원본명단!$H$3:$H4698,원본명단!$H4698)=1),IF(원본명단!$I4698="",TRUE(),COUNTIF(원본명단!$I$3:$I4698,원본명단!$I4698)=1),IF(원본명단!$K4698="",TRUE(),COUNTIF(원본명단!$K$3:$K4698,원본명단!$K4698)=1)),"첫 건","중복 건")))</f>
        <v/>
      </c>
      <c r="J4699" s="11" t="str">
        <f aca="false">IF($A4699="","",IF($H4699="-","유지",IF($I4699="첫 건","유지","확인 필요")))</f>
        <v/>
      </c>
    </row>
    <row r="4700" customFormat="false" ht="15" hidden="false" customHeight="true" outlineLevel="0" collapsed="false">
      <c r="A4700" s="11" t="str">
        <f aca="false">IF(원본명단!$A4699="","",4697)</f>
        <v/>
      </c>
      <c r="B4700" s="12" t="str">
        <f aca="false">IF($A4700="","",원본명단!$A4699)</f>
        <v/>
      </c>
      <c r="C4700" s="12" t="str">
        <f aca="false">IF($A4700="","",원본명단!$B4699)</f>
        <v/>
      </c>
      <c r="D4700" s="12" t="str">
        <f aca="false">IF($A4700="","",원본명단!$D4699)</f>
        <v/>
      </c>
      <c r="E4700" s="11" t="str">
        <f aca="false">IF($A4700="","",IF(원본명단!$H4699="",0,COUNTIF(원본명단!$H$3:$H$6002,원본명단!$H4699)))</f>
        <v/>
      </c>
      <c r="F4700" s="11" t="str">
        <f aca="false">IF($A4700="","",IF(원본명단!$I4699="",0,COUNTIF(원본명단!$I$3:$I$6002,원본명단!$I4699)))</f>
        <v/>
      </c>
      <c r="G4700" s="11" t="str">
        <f aca="false">IF($A4700="","",IF(원본명단!$K4699="",0,COUNTIF(원본명단!$K$3:$K$6002,원본명단!$K4699)))</f>
        <v/>
      </c>
      <c r="H4700" s="11" t="str">
        <f aca="false">IF($A4700="","",IF(MAX($E4700,$F4700,$G4700)&gt;1,"중복","-"))</f>
        <v/>
      </c>
      <c r="I4700" s="11" t="str">
        <f aca="false">IF($A4700="","",IF($H4700="-","-",IF(AND(IF(원본명단!$H4699="",TRUE(),COUNTIF(원본명단!$H$3:$H4699,원본명단!$H4699)=1),IF(원본명단!$I4699="",TRUE(),COUNTIF(원본명단!$I$3:$I4699,원본명단!$I4699)=1),IF(원본명단!$K4699="",TRUE(),COUNTIF(원본명단!$K$3:$K4699,원본명단!$K4699)=1)),"첫 건","중복 건")))</f>
        <v/>
      </c>
      <c r="J4700" s="11" t="str">
        <f aca="false">IF($A4700="","",IF($H4700="-","유지",IF($I4700="첫 건","유지","확인 필요")))</f>
        <v/>
      </c>
    </row>
    <row r="4701" customFormat="false" ht="15" hidden="false" customHeight="true" outlineLevel="0" collapsed="false">
      <c r="A4701" s="11" t="str">
        <f aca="false">IF(원본명단!$A4700="","",4698)</f>
        <v/>
      </c>
      <c r="B4701" s="12" t="str">
        <f aca="false">IF($A4701="","",원본명단!$A4700)</f>
        <v/>
      </c>
      <c r="C4701" s="12" t="str">
        <f aca="false">IF($A4701="","",원본명단!$B4700)</f>
        <v/>
      </c>
      <c r="D4701" s="12" t="str">
        <f aca="false">IF($A4701="","",원본명단!$D4700)</f>
        <v/>
      </c>
      <c r="E4701" s="11" t="str">
        <f aca="false">IF($A4701="","",IF(원본명단!$H4700="",0,COUNTIF(원본명단!$H$3:$H$6002,원본명단!$H4700)))</f>
        <v/>
      </c>
      <c r="F4701" s="11" t="str">
        <f aca="false">IF($A4701="","",IF(원본명단!$I4700="",0,COUNTIF(원본명단!$I$3:$I$6002,원본명단!$I4700)))</f>
        <v/>
      </c>
      <c r="G4701" s="11" t="str">
        <f aca="false">IF($A4701="","",IF(원본명단!$K4700="",0,COUNTIF(원본명단!$K$3:$K$6002,원본명단!$K4700)))</f>
        <v/>
      </c>
      <c r="H4701" s="11" t="str">
        <f aca="false">IF($A4701="","",IF(MAX($E4701,$F4701,$G4701)&gt;1,"중복","-"))</f>
        <v/>
      </c>
      <c r="I4701" s="11" t="str">
        <f aca="false">IF($A4701="","",IF($H4701="-","-",IF(AND(IF(원본명단!$H4700="",TRUE(),COUNTIF(원본명단!$H$3:$H4700,원본명단!$H4700)=1),IF(원본명단!$I4700="",TRUE(),COUNTIF(원본명단!$I$3:$I4700,원본명단!$I4700)=1),IF(원본명단!$K4700="",TRUE(),COUNTIF(원본명단!$K$3:$K4700,원본명단!$K4700)=1)),"첫 건","중복 건")))</f>
        <v/>
      </c>
      <c r="J4701" s="11" t="str">
        <f aca="false">IF($A4701="","",IF($H4701="-","유지",IF($I4701="첫 건","유지","확인 필요")))</f>
        <v/>
      </c>
    </row>
    <row r="4702" customFormat="false" ht="15" hidden="false" customHeight="true" outlineLevel="0" collapsed="false">
      <c r="A4702" s="11" t="str">
        <f aca="false">IF(원본명단!$A4701="","",4699)</f>
        <v/>
      </c>
      <c r="B4702" s="12" t="str">
        <f aca="false">IF($A4702="","",원본명단!$A4701)</f>
        <v/>
      </c>
      <c r="C4702" s="12" t="str">
        <f aca="false">IF($A4702="","",원본명단!$B4701)</f>
        <v/>
      </c>
      <c r="D4702" s="12" t="str">
        <f aca="false">IF($A4702="","",원본명단!$D4701)</f>
        <v/>
      </c>
      <c r="E4702" s="11" t="str">
        <f aca="false">IF($A4702="","",IF(원본명단!$H4701="",0,COUNTIF(원본명단!$H$3:$H$6002,원본명단!$H4701)))</f>
        <v/>
      </c>
      <c r="F4702" s="11" t="str">
        <f aca="false">IF($A4702="","",IF(원본명단!$I4701="",0,COUNTIF(원본명단!$I$3:$I$6002,원본명단!$I4701)))</f>
        <v/>
      </c>
      <c r="G4702" s="11" t="str">
        <f aca="false">IF($A4702="","",IF(원본명단!$K4701="",0,COUNTIF(원본명단!$K$3:$K$6002,원본명단!$K4701)))</f>
        <v/>
      </c>
      <c r="H4702" s="11" t="str">
        <f aca="false">IF($A4702="","",IF(MAX($E4702,$F4702,$G4702)&gt;1,"중복","-"))</f>
        <v/>
      </c>
      <c r="I4702" s="11" t="str">
        <f aca="false">IF($A4702="","",IF($H4702="-","-",IF(AND(IF(원본명단!$H4701="",TRUE(),COUNTIF(원본명단!$H$3:$H4701,원본명단!$H4701)=1),IF(원본명단!$I4701="",TRUE(),COUNTIF(원본명단!$I$3:$I4701,원본명단!$I4701)=1),IF(원본명단!$K4701="",TRUE(),COUNTIF(원본명단!$K$3:$K4701,원본명단!$K4701)=1)),"첫 건","중복 건")))</f>
        <v/>
      </c>
      <c r="J4702" s="11" t="str">
        <f aca="false">IF($A4702="","",IF($H4702="-","유지",IF($I4702="첫 건","유지","확인 필요")))</f>
        <v/>
      </c>
    </row>
    <row r="4703" customFormat="false" ht="15" hidden="false" customHeight="true" outlineLevel="0" collapsed="false">
      <c r="A4703" s="11" t="str">
        <f aca="false">IF(원본명단!$A4702="","",4700)</f>
        <v/>
      </c>
      <c r="B4703" s="12" t="str">
        <f aca="false">IF($A4703="","",원본명단!$A4702)</f>
        <v/>
      </c>
      <c r="C4703" s="12" t="str">
        <f aca="false">IF($A4703="","",원본명단!$B4702)</f>
        <v/>
      </c>
      <c r="D4703" s="12" t="str">
        <f aca="false">IF($A4703="","",원본명단!$D4702)</f>
        <v/>
      </c>
      <c r="E4703" s="11" t="str">
        <f aca="false">IF($A4703="","",IF(원본명단!$H4702="",0,COUNTIF(원본명단!$H$3:$H$6002,원본명단!$H4702)))</f>
        <v/>
      </c>
      <c r="F4703" s="11" t="str">
        <f aca="false">IF($A4703="","",IF(원본명단!$I4702="",0,COUNTIF(원본명단!$I$3:$I$6002,원본명단!$I4702)))</f>
        <v/>
      </c>
      <c r="G4703" s="11" t="str">
        <f aca="false">IF($A4703="","",IF(원본명단!$K4702="",0,COUNTIF(원본명단!$K$3:$K$6002,원본명단!$K4702)))</f>
        <v/>
      </c>
      <c r="H4703" s="11" t="str">
        <f aca="false">IF($A4703="","",IF(MAX($E4703,$F4703,$G4703)&gt;1,"중복","-"))</f>
        <v/>
      </c>
      <c r="I4703" s="11" t="str">
        <f aca="false">IF($A4703="","",IF($H4703="-","-",IF(AND(IF(원본명단!$H4702="",TRUE(),COUNTIF(원본명단!$H$3:$H4702,원본명단!$H4702)=1),IF(원본명단!$I4702="",TRUE(),COUNTIF(원본명단!$I$3:$I4702,원본명단!$I4702)=1),IF(원본명단!$K4702="",TRUE(),COUNTIF(원본명단!$K$3:$K4702,원본명단!$K4702)=1)),"첫 건","중복 건")))</f>
        <v/>
      </c>
      <c r="J4703" s="11" t="str">
        <f aca="false">IF($A4703="","",IF($H4703="-","유지",IF($I4703="첫 건","유지","확인 필요")))</f>
        <v/>
      </c>
    </row>
    <row r="4704" customFormat="false" ht="15" hidden="false" customHeight="true" outlineLevel="0" collapsed="false">
      <c r="A4704" s="11" t="str">
        <f aca="false">IF(원본명단!$A4703="","",4701)</f>
        <v/>
      </c>
      <c r="B4704" s="12" t="str">
        <f aca="false">IF($A4704="","",원본명단!$A4703)</f>
        <v/>
      </c>
      <c r="C4704" s="12" t="str">
        <f aca="false">IF($A4704="","",원본명단!$B4703)</f>
        <v/>
      </c>
      <c r="D4704" s="12" t="str">
        <f aca="false">IF($A4704="","",원본명단!$D4703)</f>
        <v/>
      </c>
      <c r="E4704" s="11" t="str">
        <f aca="false">IF($A4704="","",IF(원본명단!$H4703="",0,COUNTIF(원본명단!$H$3:$H$6002,원본명단!$H4703)))</f>
        <v/>
      </c>
      <c r="F4704" s="11" t="str">
        <f aca="false">IF($A4704="","",IF(원본명단!$I4703="",0,COUNTIF(원본명단!$I$3:$I$6002,원본명단!$I4703)))</f>
        <v/>
      </c>
      <c r="G4704" s="11" t="str">
        <f aca="false">IF($A4704="","",IF(원본명단!$K4703="",0,COUNTIF(원본명단!$K$3:$K$6002,원본명단!$K4703)))</f>
        <v/>
      </c>
      <c r="H4704" s="11" t="str">
        <f aca="false">IF($A4704="","",IF(MAX($E4704,$F4704,$G4704)&gt;1,"중복","-"))</f>
        <v/>
      </c>
      <c r="I4704" s="11" t="str">
        <f aca="false">IF($A4704="","",IF($H4704="-","-",IF(AND(IF(원본명단!$H4703="",TRUE(),COUNTIF(원본명단!$H$3:$H4703,원본명단!$H4703)=1),IF(원본명단!$I4703="",TRUE(),COUNTIF(원본명단!$I$3:$I4703,원본명단!$I4703)=1),IF(원본명단!$K4703="",TRUE(),COUNTIF(원본명단!$K$3:$K4703,원본명단!$K4703)=1)),"첫 건","중복 건")))</f>
        <v/>
      </c>
      <c r="J4704" s="11" t="str">
        <f aca="false">IF($A4704="","",IF($H4704="-","유지",IF($I4704="첫 건","유지","확인 필요")))</f>
        <v/>
      </c>
    </row>
    <row r="4705" customFormat="false" ht="15" hidden="false" customHeight="true" outlineLevel="0" collapsed="false">
      <c r="A4705" s="11" t="str">
        <f aca="false">IF(원본명단!$A4704="","",4702)</f>
        <v/>
      </c>
      <c r="B4705" s="12" t="str">
        <f aca="false">IF($A4705="","",원본명단!$A4704)</f>
        <v/>
      </c>
      <c r="C4705" s="12" t="str">
        <f aca="false">IF($A4705="","",원본명단!$B4704)</f>
        <v/>
      </c>
      <c r="D4705" s="12" t="str">
        <f aca="false">IF($A4705="","",원본명단!$D4704)</f>
        <v/>
      </c>
      <c r="E4705" s="11" t="str">
        <f aca="false">IF($A4705="","",IF(원본명단!$H4704="",0,COUNTIF(원본명단!$H$3:$H$6002,원본명단!$H4704)))</f>
        <v/>
      </c>
      <c r="F4705" s="11" t="str">
        <f aca="false">IF($A4705="","",IF(원본명단!$I4704="",0,COUNTIF(원본명단!$I$3:$I$6002,원본명단!$I4704)))</f>
        <v/>
      </c>
      <c r="G4705" s="11" t="str">
        <f aca="false">IF($A4705="","",IF(원본명단!$K4704="",0,COUNTIF(원본명단!$K$3:$K$6002,원본명단!$K4704)))</f>
        <v/>
      </c>
      <c r="H4705" s="11" t="str">
        <f aca="false">IF($A4705="","",IF(MAX($E4705,$F4705,$G4705)&gt;1,"중복","-"))</f>
        <v/>
      </c>
      <c r="I4705" s="11" t="str">
        <f aca="false">IF($A4705="","",IF($H4705="-","-",IF(AND(IF(원본명단!$H4704="",TRUE(),COUNTIF(원본명단!$H$3:$H4704,원본명단!$H4704)=1),IF(원본명단!$I4704="",TRUE(),COUNTIF(원본명단!$I$3:$I4704,원본명단!$I4704)=1),IF(원본명단!$K4704="",TRUE(),COUNTIF(원본명단!$K$3:$K4704,원본명단!$K4704)=1)),"첫 건","중복 건")))</f>
        <v/>
      </c>
      <c r="J4705" s="11" t="str">
        <f aca="false">IF($A4705="","",IF($H4705="-","유지",IF($I4705="첫 건","유지","확인 필요")))</f>
        <v/>
      </c>
    </row>
    <row r="4706" customFormat="false" ht="15" hidden="false" customHeight="true" outlineLevel="0" collapsed="false">
      <c r="A4706" s="11" t="str">
        <f aca="false">IF(원본명단!$A4705="","",4703)</f>
        <v/>
      </c>
      <c r="B4706" s="12" t="str">
        <f aca="false">IF($A4706="","",원본명단!$A4705)</f>
        <v/>
      </c>
      <c r="C4706" s="12" t="str">
        <f aca="false">IF($A4706="","",원본명단!$B4705)</f>
        <v/>
      </c>
      <c r="D4706" s="12" t="str">
        <f aca="false">IF($A4706="","",원본명단!$D4705)</f>
        <v/>
      </c>
      <c r="E4706" s="11" t="str">
        <f aca="false">IF($A4706="","",IF(원본명단!$H4705="",0,COUNTIF(원본명단!$H$3:$H$6002,원본명단!$H4705)))</f>
        <v/>
      </c>
      <c r="F4706" s="11" t="str">
        <f aca="false">IF($A4706="","",IF(원본명단!$I4705="",0,COUNTIF(원본명단!$I$3:$I$6002,원본명단!$I4705)))</f>
        <v/>
      </c>
      <c r="G4706" s="11" t="str">
        <f aca="false">IF($A4706="","",IF(원본명단!$K4705="",0,COUNTIF(원본명단!$K$3:$K$6002,원본명단!$K4705)))</f>
        <v/>
      </c>
      <c r="H4706" s="11" t="str">
        <f aca="false">IF($A4706="","",IF(MAX($E4706,$F4706,$G4706)&gt;1,"중복","-"))</f>
        <v/>
      </c>
      <c r="I4706" s="11" t="str">
        <f aca="false">IF($A4706="","",IF($H4706="-","-",IF(AND(IF(원본명단!$H4705="",TRUE(),COUNTIF(원본명단!$H$3:$H4705,원본명단!$H4705)=1),IF(원본명단!$I4705="",TRUE(),COUNTIF(원본명단!$I$3:$I4705,원본명단!$I4705)=1),IF(원본명단!$K4705="",TRUE(),COUNTIF(원본명단!$K$3:$K4705,원본명단!$K4705)=1)),"첫 건","중복 건")))</f>
        <v/>
      </c>
      <c r="J4706" s="11" t="str">
        <f aca="false">IF($A4706="","",IF($H4706="-","유지",IF($I4706="첫 건","유지","확인 필요")))</f>
        <v/>
      </c>
    </row>
    <row r="4707" customFormat="false" ht="15" hidden="false" customHeight="true" outlineLevel="0" collapsed="false">
      <c r="A4707" s="11" t="str">
        <f aca="false">IF(원본명단!$A4706="","",4704)</f>
        <v/>
      </c>
      <c r="B4707" s="12" t="str">
        <f aca="false">IF($A4707="","",원본명단!$A4706)</f>
        <v/>
      </c>
      <c r="C4707" s="12" t="str">
        <f aca="false">IF($A4707="","",원본명단!$B4706)</f>
        <v/>
      </c>
      <c r="D4707" s="12" t="str">
        <f aca="false">IF($A4707="","",원본명단!$D4706)</f>
        <v/>
      </c>
      <c r="E4707" s="11" t="str">
        <f aca="false">IF($A4707="","",IF(원본명단!$H4706="",0,COUNTIF(원본명단!$H$3:$H$6002,원본명단!$H4706)))</f>
        <v/>
      </c>
      <c r="F4707" s="11" t="str">
        <f aca="false">IF($A4707="","",IF(원본명단!$I4706="",0,COUNTIF(원본명단!$I$3:$I$6002,원본명단!$I4706)))</f>
        <v/>
      </c>
      <c r="G4707" s="11" t="str">
        <f aca="false">IF($A4707="","",IF(원본명단!$K4706="",0,COUNTIF(원본명단!$K$3:$K$6002,원본명단!$K4706)))</f>
        <v/>
      </c>
      <c r="H4707" s="11" t="str">
        <f aca="false">IF($A4707="","",IF(MAX($E4707,$F4707,$G4707)&gt;1,"중복","-"))</f>
        <v/>
      </c>
      <c r="I4707" s="11" t="str">
        <f aca="false">IF($A4707="","",IF($H4707="-","-",IF(AND(IF(원본명단!$H4706="",TRUE(),COUNTIF(원본명단!$H$3:$H4706,원본명단!$H4706)=1),IF(원본명단!$I4706="",TRUE(),COUNTIF(원본명단!$I$3:$I4706,원본명단!$I4706)=1),IF(원본명단!$K4706="",TRUE(),COUNTIF(원본명단!$K$3:$K4706,원본명단!$K4706)=1)),"첫 건","중복 건")))</f>
        <v/>
      </c>
      <c r="J4707" s="11" t="str">
        <f aca="false">IF($A4707="","",IF($H4707="-","유지",IF($I4707="첫 건","유지","확인 필요")))</f>
        <v/>
      </c>
    </row>
    <row r="4708" customFormat="false" ht="15" hidden="false" customHeight="true" outlineLevel="0" collapsed="false">
      <c r="A4708" s="11" t="str">
        <f aca="false">IF(원본명단!$A4707="","",4705)</f>
        <v/>
      </c>
      <c r="B4708" s="12" t="str">
        <f aca="false">IF($A4708="","",원본명단!$A4707)</f>
        <v/>
      </c>
      <c r="C4708" s="12" t="str">
        <f aca="false">IF($A4708="","",원본명단!$B4707)</f>
        <v/>
      </c>
      <c r="D4708" s="12" t="str">
        <f aca="false">IF($A4708="","",원본명단!$D4707)</f>
        <v/>
      </c>
      <c r="E4708" s="11" t="str">
        <f aca="false">IF($A4708="","",IF(원본명단!$H4707="",0,COUNTIF(원본명단!$H$3:$H$6002,원본명단!$H4707)))</f>
        <v/>
      </c>
      <c r="F4708" s="11" t="str">
        <f aca="false">IF($A4708="","",IF(원본명단!$I4707="",0,COUNTIF(원본명단!$I$3:$I$6002,원본명단!$I4707)))</f>
        <v/>
      </c>
      <c r="G4708" s="11" t="str">
        <f aca="false">IF($A4708="","",IF(원본명단!$K4707="",0,COUNTIF(원본명단!$K$3:$K$6002,원본명단!$K4707)))</f>
        <v/>
      </c>
      <c r="H4708" s="11" t="str">
        <f aca="false">IF($A4708="","",IF(MAX($E4708,$F4708,$G4708)&gt;1,"중복","-"))</f>
        <v/>
      </c>
      <c r="I4708" s="11" t="str">
        <f aca="false">IF($A4708="","",IF($H4708="-","-",IF(AND(IF(원본명단!$H4707="",TRUE(),COUNTIF(원본명단!$H$3:$H4707,원본명단!$H4707)=1),IF(원본명단!$I4707="",TRUE(),COUNTIF(원본명단!$I$3:$I4707,원본명단!$I4707)=1),IF(원본명단!$K4707="",TRUE(),COUNTIF(원본명단!$K$3:$K4707,원본명단!$K4707)=1)),"첫 건","중복 건")))</f>
        <v/>
      </c>
      <c r="J4708" s="11" t="str">
        <f aca="false">IF($A4708="","",IF($H4708="-","유지",IF($I4708="첫 건","유지","확인 필요")))</f>
        <v/>
      </c>
    </row>
    <row r="4709" customFormat="false" ht="15" hidden="false" customHeight="true" outlineLevel="0" collapsed="false">
      <c r="A4709" s="11" t="str">
        <f aca="false">IF(원본명단!$A4708="","",4706)</f>
        <v/>
      </c>
      <c r="B4709" s="12" t="str">
        <f aca="false">IF($A4709="","",원본명단!$A4708)</f>
        <v/>
      </c>
      <c r="C4709" s="12" t="str">
        <f aca="false">IF($A4709="","",원본명단!$B4708)</f>
        <v/>
      </c>
      <c r="D4709" s="12" t="str">
        <f aca="false">IF($A4709="","",원본명단!$D4708)</f>
        <v/>
      </c>
      <c r="E4709" s="11" t="str">
        <f aca="false">IF($A4709="","",IF(원본명단!$H4708="",0,COUNTIF(원본명단!$H$3:$H$6002,원본명단!$H4708)))</f>
        <v/>
      </c>
      <c r="F4709" s="11" t="str">
        <f aca="false">IF($A4709="","",IF(원본명단!$I4708="",0,COUNTIF(원본명단!$I$3:$I$6002,원본명단!$I4708)))</f>
        <v/>
      </c>
      <c r="G4709" s="11" t="str">
        <f aca="false">IF($A4709="","",IF(원본명단!$K4708="",0,COUNTIF(원본명단!$K$3:$K$6002,원본명단!$K4708)))</f>
        <v/>
      </c>
      <c r="H4709" s="11" t="str">
        <f aca="false">IF($A4709="","",IF(MAX($E4709,$F4709,$G4709)&gt;1,"중복","-"))</f>
        <v/>
      </c>
      <c r="I4709" s="11" t="str">
        <f aca="false">IF($A4709="","",IF($H4709="-","-",IF(AND(IF(원본명단!$H4708="",TRUE(),COUNTIF(원본명단!$H$3:$H4708,원본명단!$H4708)=1),IF(원본명단!$I4708="",TRUE(),COUNTIF(원본명단!$I$3:$I4708,원본명단!$I4708)=1),IF(원본명단!$K4708="",TRUE(),COUNTIF(원본명단!$K$3:$K4708,원본명단!$K4708)=1)),"첫 건","중복 건")))</f>
        <v/>
      </c>
      <c r="J4709" s="11" t="str">
        <f aca="false">IF($A4709="","",IF($H4709="-","유지",IF($I4709="첫 건","유지","확인 필요")))</f>
        <v/>
      </c>
    </row>
    <row r="4710" customFormat="false" ht="15" hidden="false" customHeight="true" outlineLevel="0" collapsed="false">
      <c r="A4710" s="11" t="str">
        <f aca="false">IF(원본명단!$A4709="","",4707)</f>
        <v/>
      </c>
      <c r="B4710" s="12" t="str">
        <f aca="false">IF($A4710="","",원본명단!$A4709)</f>
        <v/>
      </c>
      <c r="C4710" s="12" t="str">
        <f aca="false">IF($A4710="","",원본명단!$B4709)</f>
        <v/>
      </c>
      <c r="D4710" s="12" t="str">
        <f aca="false">IF($A4710="","",원본명단!$D4709)</f>
        <v/>
      </c>
      <c r="E4710" s="11" t="str">
        <f aca="false">IF($A4710="","",IF(원본명단!$H4709="",0,COUNTIF(원본명단!$H$3:$H$6002,원본명단!$H4709)))</f>
        <v/>
      </c>
      <c r="F4710" s="11" t="str">
        <f aca="false">IF($A4710="","",IF(원본명단!$I4709="",0,COUNTIF(원본명단!$I$3:$I$6002,원본명단!$I4709)))</f>
        <v/>
      </c>
      <c r="G4710" s="11" t="str">
        <f aca="false">IF($A4710="","",IF(원본명단!$K4709="",0,COUNTIF(원본명단!$K$3:$K$6002,원본명단!$K4709)))</f>
        <v/>
      </c>
      <c r="H4710" s="11" t="str">
        <f aca="false">IF($A4710="","",IF(MAX($E4710,$F4710,$G4710)&gt;1,"중복","-"))</f>
        <v/>
      </c>
      <c r="I4710" s="11" t="str">
        <f aca="false">IF($A4710="","",IF($H4710="-","-",IF(AND(IF(원본명단!$H4709="",TRUE(),COUNTIF(원본명단!$H$3:$H4709,원본명단!$H4709)=1),IF(원본명단!$I4709="",TRUE(),COUNTIF(원본명단!$I$3:$I4709,원본명단!$I4709)=1),IF(원본명단!$K4709="",TRUE(),COUNTIF(원본명단!$K$3:$K4709,원본명단!$K4709)=1)),"첫 건","중복 건")))</f>
        <v/>
      </c>
      <c r="J4710" s="11" t="str">
        <f aca="false">IF($A4710="","",IF($H4710="-","유지",IF($I4710="첫 건","유지","확인 필요")))</f>
        <v/>
      </c>
    </row>
    <row r="4711" customFormat="false" ht="15" hidden="false" customHeight="true" outlineLevel="0" collapsed="false">
      <c r="A4711" s="11" t="str">
        <f aca="false">IF(원본명단!$A4710="","",4708)</f>
        <v/>
      </c>
      <c r="B4711" s="12" t="str">
        <f aca="false">IF($A4711="","",원본명단!$A4710)</f>
        <v/>
      </c>
      <c r="C4711" s="12" t="str">
        <f aca="false">IF($A4711="","",원본명단!$B4710)</f>
        <v/>
      </c>
      <c r="D4711" s="12" t="str">
        <f aca="false">IF($A4711="","",원본명단!$D4710)</f>
        <v/>
      </c>
      <c r="E4711" s="11" t="str">
        <f aca="false">IF($A4711="","",IF(원본명단!$H4710="",0,COUNTIF(원본명단!$H$3:$H$6002,원본명단!$H4710)))</f>
        <v/>
      </c>
      <c r="F4711" s="11" t="str">
        <f aca="false">IF($A4711="","",IF(원본명단!$I4710="",0,COUNTIF(원본명단!$I$3:$I$6002,원본명단!$I4710)))</f>
        <v/>
      </c>
      <c r="G4711" s="11" t="str">
        <f aca="false">IF($A4711="","",IF(원본명단!$K4710="",0,COUNTIF(원본명단!$K$3:$K$6002,원본명단!$K4710)))</f>
        <v/>
      </c>
      <c r="H4711" s="11" t="str">
        <f aca="false">IF($A4711="","",IF(MAX($E4711,$F4711,$G4711)&gt;1,"중복","-"))</f>
        <v/>
      </c>
      <c r="I4711" s="11" t="str">
        <f aca="false">IF($A4711="","",IF($H4711="-","-",IF(AND(IF(원본명단!$H4710="",TRUE(),COUNTIF(원본명단!$H$3:$H4710,원본명단!$H4710)=1),IF(원본명단!$I4710="",TRUE(),COUNTIF(원본명단!$I$3:$I4710,원본명단!$I4710)=1),IF(원본명단!$K4710="",TRUE(),COUNTIF(원본명단!$K$3:$K4710,원본명단!$K4710)=1)),"첫 건","중복 건")))</f>
        <v/>
      </c>
      <c r="J4711" s="11" t="str">
        <f aca="false">IF($A4711="","",IF($H4711="-","유지",IF($I4711="첫 건","유지","확인 필요")))</f>
        <v/>
      </c>
    </row>
    <row r="4712" customFormat="false" ht="15" hidden="false" customHeight="true" outlineLevel="0" collapsed="false">
      <c r="A4712" s="11" t="str">
        <f aca="false">IF(원본명단!$A4711="","",4709)</f>
        <v/>
      </c>
      <c r="B4712" s="12" t="str">
        <f aca="false">IF($A4712="","",원본명단!$A4711)</f>
        <v/>
      </c>
      <c r="C4712" s="12" t="str">
        <f aca="false">IF($A4712="","",원본명단!$B4711)</f>
        <v/>
      </c>
      <c r="D4712" s="12" t="str">
        <f aca="false">IF($A4712="","",원본명단!$D4711)</f>
        <v/>
      </c>
      <c r="E4712" s="11" t="str">
        <f aca="false">IF($A4712="","",IF(원본명단!$H4711="",0,COUNTIF(원본명단!$H$3:$H$6002,원본명단!$H4711)))</f>
        <v/>
      </c>
      <c r="F4712" s="11" t="str">
        <f aca="false">IF($A4712="","",IF(원본명단!$I4711="",0,COUNTIF(원본명단!$I$3:$I$6002,원본명단!$I4711)))</f>
        <v/>
      </c>
      <c r="G4712" s="11" t="str">
        <f aca="false">IF($A4712="","",IF(원본명단!$K4711="",0,COUNTIF(원본명단!$K$3:$K$6002,원본명단!$K4711)))</f>
        <v/>
      </c>
      <c r="H4712" s="11" t="str">
        <f aca="false">IF($A4712="","",IF(MAX($E4712,$F4712,$G4712)&gt;1,"중복","-"))</f>
        <v/>
      </c>
      <c r="I4712" s="11" t="str">
        <f aca="false">IF($A4712="","",IF($H4712="-","-",IF(AND(IF(원본명단!$H4711="",TRUE(),COUNTIF(원본명단!$H$3:$H4711,원본명단!$H4711)=1),IF(원본명단!$I4711="",TRUE(),COUNTIF(원본명단!$I$3:$I4711,원본명단!$I4711)=1),IF(원본명단!$K4711="",TRUE(),COUNTIF(원본명단!$K$3:$K4711,원본명단!$K4711)=1)),"첫 건","중복 건")))</f>
        <v/>
      </c>
      <c r="J4712" s="11" t="str">
        <f aca="false">IF($A4712="","",IF($H4712="-","유지",IF($I4712="첫 건","유지","확인 필요")))</f>
        <v/>
      </c>
    </row>
    <row r="4713" customFormat="false" ht="15" hidden="false" customHeight="true" outlineLevel="0" collapsed="false">
      <c r="A4713" s="11" t="str">
        <f aca="false">IF(원본명단!$A4712="","",4710)</f>
        <v/>
      </c>
      <c r="B4713" s="12" t="str">
        <f aca="false">IF($A4713="","",원본명단!$A4712)</f>
        <v/>
      </c>
      <c r="C4713" s="12" t="str">
        <f aca="false">IF($A4713="","",원본명단!$B4712)</f>
        <v/>
      </c>
      <c r="D4713" s="12" t="str">
        <f aca="false">IF($A4713="","",원본명단!$D4712)</f>
        <v/>
      </c>
      <c r="E4713" s="11" t="str">
        <f aca="false">IF($A4713="","",IF(원본명단!$H4712="",0,COUNTIF(원본명단!$H$3:$H$6002,원본명단!$H4712)))</f>
        <v/>
      </c>
      <c r="F4713" s="11" t="str">
        <f aca="false">IF($A4713="","",IF(원본명단!$I4712="",0,COUNTIF(원본명단!$I$3:$I$6002,원본명단!$I4712)))</f>
        <v/>
      </c>
      <c r="G4713" s="11" t="str">
        <f aca="false">IF($A4713="","",IF(원본명단!$K4712="",0,COUNTIF(원본명단!$K$3:$K$6002,원본명단!$K4712)))</f>
        <v/>
      </c>
      <c r="H4713" s="11" t="str">
        <f aca="false">IF($A4713="","",IF(MAX($E4713,$F4713,$G4713)&gt;1,"중복","-"))</f>
        <v/>
      </c>
      <c r="I4713" s="11" t="str">
        <f aca="false">IF($A4713="","",IF($H4713="-","-",IF(AND(IF(원본명단!$H4712="",TRUE(),COUNTIF(원본명단!$H$3:$H4712,원본명단!$H4712)=1),IF(원본명단!$I4712="",TRUE(),COUNTIF(원본명단!$I$3:$I4712,원본명단!$I4712)=1),IF(원본명단!$K4712="",TRUE(),COUNTIF(원본명단!$K$3:$K4712,원본명단!$K4712)=1)),"첫 건","중복 건")))</f>
        <v/>
      </c>
      <c r="J4713" s="11" t="str">
        <f aca="false">IF($A4713="","",IF($H4713="-","유지",IF($I4713="첫 건","유지","확인 필요")))</f>
        <v/>
      </c>
    </row>
    <row r="4714" customFormat="false" ht="15" hidden="false" customHeight="true" outlineLevel="0" collapsed="false">
      <c r="A4714" s="11" t="str">
        <f aca="false">IF(원본명단!$A4713="","",4711)</f>
        <v/>
      </c>
      <c r="B4714" s="12" t="str">
        <f aca="false">IF($A4714="","",원본명단!$A4713)</f>
        <v/>
      </c>
      <c r="C4714" s="12" t="str">
        <f aca="false">IF($A4714="","",원본명단!$B4713)</f>
        <v/>
      </c>
      <c r="D4714" s="12" t="str">
        <f aca="false">IF($A4714="","",원본명단!$D4713)</f>
        <v/>
      </c>
      <c r="E4714" s="11" t="str">
        <f aca="false">IF($A4714="","",IF(원본명단!$H4713="",0,COUNTIF(원본명단!$H$3:$H$6002,원본명단!$H4713)))</f>
        <v/>
      </c>
      <c r="F4714" s="11" t="str">
        <f aca="false">IF($A4714="","",IF(원본명단!$I4713="",0,COUNTIF(원본명단!$I$3:$I$6002,원본명단!$I4713)))</f>
        <v/>
      </c>
      <c r="G4714" s="11" t="str">
        <f aca="false">IF($A4714="","",IF(원본명단!$K4713="",0,COUNTIF(원본명단!$K$3:$K$6002,원본명단!$K4713)))</f>
        <v/>
      </c>
      <c r="H4714" s="11" t="str">
        <f aca="false">IF($A4714="","",IF(MAX($E4714,$F4714,$G4714)&gt;1,"중복","-"))</f>
        <v/>
      </c>
      <c r="I4714" s="11" t="str">
        <f aca="false">IF($A4714="","",IF($H4714="-","-",IF(AND(IF(원본명단!$H4713="",TRUE(),COUNTIF(원본명단!$H$3:$H4713,원본명단!$H4713)=1),IF(원본명단!$I4713="",TRUE(),COUNTIF(원본명단!$I$3:$I4713,원본명단!$I4713)=1),IF(원본명단!$K4713="",TRUE(),COUNTIF(원본명단!$K$3:$K4713,원본명단!$K4713)=1)),"첫 건","중복 건")))</f>
        <v/>
      </c>
      <c r="J4714" s="11" t="str">
        <f aca="false">IF($A4714="","",IF($H4714="-","유지",IF($I4714="첫 건","유지","확인 필요")))</f>
        <v/>
      </c>
    </row>
    <row r="4715" customFormat="false" ht="15" hidden="false" customHeight="true" outlineLevel="0" collapsed="false">
      <c r="A4715" s="11" t="str">
        <f aca="false">IF(원본명단!$A4714="","",4712)</f>
        <v/>
      </c>
      <c r="B4715" s="12" t="str">
        <f aca="false">IF($A4715="","",원본명단!$A4714)</f>
        <v/>
      </c>
      <c r="C4715" s="12" t="str">
        <f aca="false">IF($A4715="","",원본명단!$B4714)</f>
        <v/>
      </c>
      <c r="D4715" s="12" t="str">
        <f aca="false">IF($A4715="","",원본명단!$D4714)</f>
        <v/>
      </c>
      <c r="E4715" s="11" t="str">
        <f aca="false">IF($A4715="","",IF(원본명단!$H4714="",0,COUNTIF(원본명단!$H$3:$H$6002,원본명단!$H4714)))</f>
        <v/>
      </c>
      <c r="F4715" s="11" t="str">
        <f aca="false">IF($A4715="","",IF(원본명단!$I4714="",0,COUNTIF(원본명단!$I$3:$I$6002,원본명단!$I4714)))</f>
        <v/>
      </c>
      <c r="G4715" s="11" t="str">
        <f aca="false">IF($A4715="","",IF(원본명단!$K4714="",0,COUNTIF(원본명단!$K$3:$K$6002,원본명단!$K4714)))</f>
        <v/>
      </c>
      <c r="H4715" s="11" t="str">
        <f aca="false">IF($A4715="","",IF(MAX($E4715,$F4715,$G4715)&gt;1,"중복","-"))</f>
        <v/>
      </c>
      <c r="I4715" s="11" t="str">
        <f aca="false">IF($A4715="","",IF($H4715="-","-",IF(AND(IF(원본명단!$H4714="",TRUE(),COUNTIF(원본명단!$H$3:$H4714,원본명단!$H4714)=1),IF(원본명단!$I4714="",TRUE(),COUNTIF(원본명단!$I$3:$I4714,원본명단!$I4714)=1),IF(원본명단!$K4714="",TRUE(),COUNTIF(원본명단!$K$3:$K4714,원본명단!$K4714)=1)),"첫 건","중복 건")))</f>
        <v/>
      </c>
      <c r="J4715" s="11" t="str">
        <f aca="false">IF($A4715="","",IF($H4715="-","유지",IF($I4715="첫 건","유지","확인 필요")))</f>
        <v/>
      </c>
    </row>
    <row r="4716" customFormat="false" ht="15" hidden="false" customHeight="true" outlineLevel="0" collapsed="false">
      <c r="A4716" s="11" t="str">
        <f aca="false">IF(원본명단!$A4715="","",4713)</f>
        <v/>
      </c>
      <c r="B4716" s="12" t="str">
        <f aca="false">IF($A4716="","",원본명단!$A4715)</f>
        <v/>
      </c>
      <c r="C4716" s="12" t="str">
        <f aca="false">IF($A4716="","",원본명단!$B4715)</f>
        <v/>
      </c>
      <c r="D4716" s="12" t="str">
        <f aca="false">IF($A4716="","",원본명단!$D4715)</f>
        <v/>
      </c>
      <c r="E4716" s="11" t="str">
        <f aca="false">IF($A4716="","",IF(원본명단!$H4715="",0,COUNTIF(원본명단!$H$3:$H$6002,원본명단!$H4715)))</f>
        <v/>
      </c>
      <c r="F4716" s="11" t="str">
        <f aca="false">IF($A4716="","",IF(원본명단!$I4715="",0,COUNTIF(원본명단!$I$3:$I$6002,원본명단!$I4715)))</f>
        <v/>
      </c>
      <c r="G4716" s="11" t="str">
        <f aca="false">IF($A4716="","",IF(원본명단!$K4715="",0,COUNTIF(원본명단!$K$3:$K$6002,원본명단!$K4715)))</f>
        <v/>
      </c>
      <c r="H4716" s="11" t="str">
        <f aca="false">IF($A4716="","",IF(MAX($E4716,$F4716,$G4716)&gt;1,"중복","-"))</f>
        <v/>
      </c>
      <c r="I4716" s="11" t="str">
        <f aca="false">IF($A4716="","",IF($H4716="-","-",IF(AND(IF(원본명단!$H4715="",TRUE(),COUNTIF(원본명단!$H$3:$H4715,원본명단!$H4715)=1),IF(원본명단!$I4715="",TRUE(),COUNTIF(원본명단!$I$3:$I4715,원본명단!$I4715)=1),IF(원본명단!$K4715="",TRUE(),COUNTIF(원본명단!$K$3:$K4715,원본명단!$K4715)=1)),"첫 건","중복 건")))</f>
        <v/>
      </c>
      <c r="J4716" s="11" t="str">
        <f aca="false">IF($A4716="","",IF($H4716="-","유지",IF($I4716="첫 건","유지","확인 필요")))</f>
        <v/>
      </c>
    </row>
    <row r="4717" customFormat="false" ht="15" hidden="false" customHeight="true" outlineLevel="0" collapsed="false">
      <c r="A4717" s="11" t="str">
        <f aca="false">IF(원본명단!$A4716="","",4714)</f>
        <v/>
      </c>
      <c r="B4717" s="12" t="str">
        <f aca="false">IF($A4717="","",원본명단!$A4716)</f>
        <v/>
      </c>
      <c r="C4717" s="12" t="str">
        <f aca="false">IF($A4717="","",원본명단!$B4716)</f>
        <v/>
      </c>
      <c r="D4717" s="12" t="str">
        <f aca="false">IF($A4717="","",원본명단!$D4716)</f>
        <v/>
      </c>
      <c r="E4717" s="11" t="str">
        <f aca="false">IF($A4717="","",IF(원본명단!$H4716="",0,COUNTIF(원본명단!$H$3:$H$6002,원본명단!$H4716)))</f>
        <v/>
      </c>
      <c r="F4717" s="11" t="str">
        <f aca="false">IF($A4717="","",IF(원본명단!$I4716="",0,COUNTIF(원본명단!$I$3:$I$6002,원본명단!$I4716)))</f>
        <v/>
      </c>
      <c r="G4717" s="11" t="str">
        <f aca="false">IF($A4717="","",IF(원본명단!$K4716="",0,COUNTIF(원본명단!$K$3:$K$6002,원본명단!$K4716)))</f>
        <v/>
      </c>
      <c r="H4717" s="11" t="str">
        <f aca="false">IF($A4717="","",IF(MAX($E4717,$F4717,$G4717)&gt;1,"중복","-"))</f>
        <v/>
      </c>
      <c r="I4717" s="11" t="str">
        <f aca="false">IF($A4717="","",IF($H4717="-","-",IF(AND(IF(원본명단!$H4716="",TRUE(),COUNTIF(원본명단!$H$3:$H4716,원본명단!$H4716)=1),IF(원본명단!$I4716="",TRUE(),COUNTIF(원본명단!$I$3:$I4716,원본명단!$I4716)=1),IF(원본명단!$K4716="",TRUE(),COUNTIF(원본명단!$K$3:$K4716,원본명단!$K4716)=1)),"첫 건","중복 건")))</f>
        <v/>
      </c>
      <c r="J4717" s="11" t="str">
        <f aca="false">IF($A4717="","",IF($H4717="-","유지",IF($I4717="첫 건","유지","확인 필요")))</f>
        <v/>
      </c>
    </row>
    <row r="4718" customFormat="false" ht="15" hidden="false" customHeight="true" outlineLevel="0" collapsed="false">
      <c r="A4718" s="11" t="str">
        <f aca="false">IF(원본명단!$A4717="","",4715)</f>
        <v/>
      </c>
      <c r="B4718" s="12" t="str">
        <f aca="false">IF($A4718="","",원본명단!$A4717)</f>
        <v/>
      </c>
      <c r="C4718" s="12" t="str">
        <f aca="false">IF($A4718="","",원본명단!$B4717)</f>
        <v/>
      </c>
      <c r="D4718" s="12" t="str">
        <f aca="false">IF($A4718="","",원본명단!$D4717)</f>
        <v/>
      </c>
      <c r="E4718" s="11" t="str">
        <f aca="false">IF($A4718="","",IF(원본명단!$H4717="",0,COUNTIF(원본명단!$H$3:$H$6002,원본명단!$H4717)))</f>
        <v/>
      </c>
      <c r="F4718" s="11" t="str">
        <f aca="false">IF($A4718="","",IF(원본명단!$I4717="",0,COUNTIF(원본명단!$I$3:$I$6002,원본명단!$I4717)))</f>
        <v/>
      </c>
      <c r="G4718" s="11" t="str">
        <f aca="false">IF($A4718="","",IF(원본명단!$K4717="",0,COUNTIF(원본명단!$K$3:$K$6002,원본명단!$K4717)))</f>
        <v/>
      </c>
      <c r="H4718" s="11" t="str">
        <f aca="false">IF($A4718="","",IF(MAX($E4718,$F4718,$G4718)&gt;1,"중복","-"))</f>
        <v/>
      </c>
      <c r="I4718" s="11" t="str">
        <f aca="false">IF($A4718="","",IF($H4718="-","-",IF(AND(IF(원본명단!$H4717="",TRUE(),COUNTIF(원본명단!$H$3:$H4717,원본명단!$H4717)=1),IF(원본명단!$I4717="",TRUE(),COUNTIF(원본명단!$I$3:$I4717,원본명단!$I4717)=1),IF(원본명단!$K4717="",TRUE(),COUNTIF(원본명단!$K$3:$K4717,원본명단!$K4717)=1)),"첫 건","중복 건")))</f>
        <v/>
      </c>
      <c r="J4718" s="11" t="str">
        <f aca="false">IF($A4718="","",IF($H4718="-","유지",IF($I4718="첫 건","유지","확인 필요")))</f>
        <v/>
      </c>
    </row>
    <row r="4719" customFormat="false" ht="15" hidden="false" customHeight="true" outlineLevel="0" collapsed="false">
      <c r="A4719" s="11" t="str">
        <f aca="false">IF(원본명단!$A4718="","",4716)</f>
        <v/>
      </c>
      <c r="B4719" s="12" t="str">
        <f aca="false">IF($A4719="","",원본명단!$A4718)</f>
        <v/>
      </c>
      <c r="C4719" s="12" t="str">
        <f aca="false">IF($A4719="","",원본명단!$B4718)</f>
        <v/>
      </c>
      <c r="D4719" s="12" t="str">
        <f aca="false">IF($A4719="","",원본명단!$D4718)</f>
        <v/>
      </c>
      <c r="E4719" s="11" t="str">
        <f aca="false">IF($A4719="","",IF(원본명단!$H4718="",0,COUNTIF(원본명단!$H$3:$H$6002,원본명단!$H4718)))</f>
        <v/>
      </c>
      <c r="F4719" s="11" t="str">
        <f aca="false">IF($A4719="","",IF(원본명단!$I4718="",0,COUNTIF(원본명단!$I$3:$I$6002,원본명단!$I4718)))</f>
        <v/>
      </c>
      <c r="G4719" s="11" t="str">
        <f aca="false">IF($A4719="","",IF(원본명단!$K4718="",0,COUNTIF(원본명단!$K$3:$K$6002,원본명단!$K4718)))</f>
        <v/>
      </c>
      <c r="H4719" s="11" t="str">
        <f aca="false">IF($A4719="","",IF(MAX($E4719,$F4719,$G4719)&gt;1,"중복","-"))</f>
        <v/>
      </c>
      <c r="I4719" s="11" t="str">
        <f aca="false">IF($A4719="","",IF($H4719="-","-",IF(AND(IF(원본명단!$H4718="",TRUE(),COUNTIF(원본명단!$H$3:$H4718,원본명단!$H4718)=1),IF(원본명단!$I4718="",TRUE(),COUNTIF(원본명단!$I$3:$I4718,원본명단!$I4718)=1),IF(원본명단!$K4718="",TRUE(),COUNTIF(원본명단!$K$3:$K4718,원본명단!$K4718)=1)),"첫 건","중복 건")))</f>
        <v/>
      </c>
      <c r="J4719" s="11" t="str">
        <f aca="false">IF($A4719="","",IF($H4719="-","유지",IF($I4719="첫 건","유지","확인 필요")))</f>
        <v/>
      </c>
    </row>
    <row r="4720" customFormat="false" ht="15" hidden="false" customHeight="true" outlineLevel="0" collapsed="false">
      <c r="A4720" s="11" t="str">
        <f aca="false">IF(원본명단!$A4719="","",4717)</f>
        <v/>
      </c>
      <c r="B4720" s="12" t="str">
        <f aca="false">IF($A4720="","",원본명단!$A4719)</f>
        <v/>
      </c>
      <c r="C4720" s="12" t="str">
        <f aca="false">IF($A4720="","",원본명단!$B4719)</f>
        <v/>
      </c>
      <c r="D4720" s="12" t="str">
        <f aca="false">IF($A4720="","",원본명단!$D4719)</f>
        <v/>
      </c>
      <c r="E4720" s="11" t="str">
        <f aca="false">IF($A4720="","",IF(원본명단!$H4719="",0,COUNTIF(원본명단!$H$3:$H$6002,원본명단!$H4719)))</f>
        <v/>
      </c>
      <c r="F4720" s="11" t="str">
        <f aca="false">IF($A4720="","",IF(원본명단!$I4719="",0,COUNTIF(원본명단!$I$3:$I$6002,원본명단!$I4719)))</f>
        <v/>
      </c>
      <c r="G4720" s="11" t="str">
        <f aca="false">IF($A4720="","",IF(원본명단!$K4719="",0,COUNTIF(원본명단!$K$3:$K$6002,원본명단!$K4719)))</f>
        <v/>
      </c>
      <c r="H4720" s="11" t="str">
        <f aca="false">IF($A4720="","",IF(MAX($E4720,$F4720,$G4720)&gt;1,"중복","-"))</f>
        <v/>
      </c>
      <c r="I4720" s="11" t="str">
        <f aca="false">IF($A4720="","",IF($H4720="-","-",IF(AND(IF(원본명단!$H4719="",TRUE(),COUNTIF(원본명단!$H$3:$H4719,원본명단!$H4719)=1),IF(원본명단!$I4719="",TRUE(),COUNTIF(원본명단!$I$3:$I4719,원본명단!$I4719)=1),IF(원본명단!$K4719="",TRUE(),COUNTIF(원본명단!$K$3:$K4719,원본명단!$K4719)=1)),"첫 건","중복 건")))</f>
        <v/>
      </c>
      <c r="J4720" s="11" t="str">
        <f aca="false">IF($A4720="","",IF($H4720="-","유지",IF($I4720="첫 건","유지","확인 필요")))</f>
        <v/>
      </c>
    </row>
    <row r="4721" customFormat="false" ht="15" hidden="false" customHeight="true" outlineLevel="0" collapsed="false">
      <c r="A4721" s="11" t="str">
        <f aca="false">IF(원본명단!$A4720="","",4718)</f>
        <v/>
      </c>
      <c r="B4721" s="12" t="str">
        <f aca="false">IF($A4721="","",원본명단!$A4720)</f>
        <v/>
      </c>
      <c r="C4721" s="12" t="str">
        <f aca="false">IF($A4721="","",원본명단!$B4720)</f>
        <v/>
      </c>
      <c r="D4721" s="12" t="str">
        <f aca="false">IF($A4721="","",원본명단!$D4720)</f>
        <v/>
      </c>
      <c r="E4721" s="11" t="str">
        <f aca="false">IF($A4721="","",IF(원본명단!$H4720="",0,COUNTIF(원본명단!$H$3:$H$6002,원본명단!$H4720)))</f>
        <v/>
      </c>
      <c r="F4721" s="11" t="str">
        <f aca="false">IF($A4721="","",IF(원본명단!$I4720="",0,COUNTIF(원본명단!$I$3:$I$6002,원본명단!$I4720)))</f>
        <v/>
      </c>
      <c r="G4721" s="11" t="str">
        <f aca="false">IF($A4721="","",IF(원본명단!$K4720="",0,COUNTIF(원본명단!$K$3:$K$6002,원본명단!$K4720)))</f>
        <v/>
      </c>
      <c r="H4721" s="11" t="str">
        <f aca="false">IF($A4721="","",IF(MAX($E4721,$F4721,$G4721)&gt;1,"중복","-"))</f>
        <v/>
      </c>
      <c r="I4721" s="11" t="str">
        <f aca="false">IF($A4721="","",IF($H4721="-","-",IF(AND(IF(원본명단!$H4720="",TRUE(),COUNTIF(원본명단!$H$3:$H4720,원본명단!$H4720)=1),IF(원본명단!$I4720="",TRUE(),COUNTIF(원본명단!$I$3:$I4720,원본명단!$I4720)=1),IF(원본명단!$K4720="",TRUE(),COUNTIF(원본명단!$K$3:$K4720,원본명단!$K4720)=1)),"첫 건","중복 건")))</f>
        <v/>
      </c>
      <c r="J4721" s="11" t="str">
        <f aca="false">IF($A4721="","",IF($H4721="-","유지",IF($I4721="첫 건","유지","확인 필요")))</f>
        <v/>
      </c>
    </row>
    <row r="4722" customFormat="false" ht="15" hidden="false" customHeight="true" outlineLevel="0" collapsed="false">
      <c r="A4722" s="11" t="str">
        <f aca="false">IF(원본명단!$A4721="","",4719)</f>
        <v/>
      </c>
      <c r="B4722" s="12" t="str">
        <f aca="false">IF($A4722="","",원본명단!$A4721)</f>
        <v/>
      </c>
      <c r="C4722" s="12" t="str">
        <f aca="false">IF($A4722="","",원본명단!$B4721)</f>
        <v/>
      </c>
      <c r="D4722" s="12" t="str">
        <f aca="false">IF($A4722="","",원본명단!$D4721)</f>
        <v/>
      </c>
      <c r="E4722" s="11" t="str">
        <f aca="false">IF($A4722="","",IF(원본명단!$H4721="",0,COUNTIF(원본명단!$H$3:$H$6002,원본명단!$H4721)))</f>
        <v/>
      </c>
      <c r="F4722" s="11" t="str">
        <f aca="false">IF($A4722="","",IF(원본명단!$I4721="",0,COUNTIF(원본명단!$I$3:$I$6002,원본명단!$I4721)))</f>
        <v/>
      </c>
      <c r="G4722" s="11" t="str">
        <f aca="false">IF($A4722="","",IF(원본명단!$K4721="",0,COUNTIF(원본명단!$K$3:$K$6002,원본명단!$K4721)))</f>
        <v/>
      </c>
      <c r="H4722" s="11" t="str">
        <f aca="false">IF($A4722="","",IF(MAX($E4722,$F4722,$G4722)&gt;1,"중복","-"))</f>
        <v/>
      </c>
      <c r="I4722" s="11" t="str">
        <f aca="false">IF($A4722="","",IF($H4722="-","-",IF(AND(IF(원본명단!$H4721="",TRUE(),COUNTIF(원본명단!$H$3:$H4721,원본명단!$H4721)=1),IF(원본명단!$I4721="",TRUE(),COUNTIF(원본명단!$I$3:$I4721,원본명단!$I4721)=1),IF(원본명단!$K4721="",TRUE(),COUNTIF(원본명단!$K$3:$K4721,원본명단!$K4721)=1)),"첫 건","중복 건")))</f>
        <v/>
      </c>
      <c r="J4722" s="11" t="str">
        <f aca="false">IF($A4722="","",IF($H4722="-","유지",IF($I4722="첫 건","유지","확인 필요")))</f>
        <v/>
      </c>
    </row>
    <row r="4723" customFormat="false" ht="15" hidden="false" customHeight="true" outlineLevel="0" collapsed="false">
      <c r="A4723" s="11" t="str">
        <f aca="false">IF(원본명단!$A4722="","",4720)</f>
        <v/>
      </c>
      <c r="B4723" s="12" t="str">
        <f aca="false">IF($A4723="","",원본명단!$A4722)</f>
        <v/>
      </c>
      <c r="C4723" s="12" t="str">
        <f aca="false">IF($A4723="","",원본명단!$B4722)</f>
        <v/>
      </c>
      <c r="D4723" s="12" t="str">
        <f aca="false">IF($A4723="","",원본명단!$D4722)</f>
        <v/>
      </c>
      <c r="E4723" s="11" t="str">
        <f aca="false">IF($A4723="","",IF(원본명단!$H4722="",0,COUNTIF(원본명단!$H$3:$H$6002,원본명단!$H4722)))</f>
        <v/>
      </c>
      <c r="F4723" s="11" t="str">
        <f aca="false">IF($A4723="","",IF(원본명단!$I4722="",0,COUNTIF(원본명단!$I$3:$I$6002,원본명단!$I4722)))</f>
        <v/>
      </c>
      <c r="G4723" s="11" t="str">
        <f aca="false">IF($A4723="","",IF(원본명단!$K4722="",0,COUNTIF(원본명단!$K$3:$K$6002,원본명단!$K4722)))</f>
        <v/>
      </c>
      <c r="H4723" s="11" t="str">
        <f aca="false">IF($A4723="","",IF(MAX($E4723,$F4723,$G4723)&gt;1,"중복","-"))</f>
        <v/>
      </c>
      <c r="I4723" s="11" t="str">
        <f aca="false">IF($A4723="","",IF($H4723="-","-",IF(AND(IF(원본명단!$H4722="",TRUE(),COUNTIF(원본명단!$H$3:$H4722,원본명단!$H4722)=1),IF(원본명단!$I4722="",TRUE(),COUNTIF(원본명단!$I$3:$I4722,원본명단!$I4722)=1),IF(원본명단!$K4722="",TRUE(),COUNTIF(원본명단!$K$3:$K4722,원본명단!$K4722)=1)),"첫 건","중복 건")))</f>
        <v/>
      </c>
      <c r="J4723" s="11" t="str">
        <f aca="false">IF($A4723="","",IF($H4723="-","유지",IF($I4723="첫 건","유지","확인 필요")))</f>
        <v/>
      </c>
    </row>
    <row r="4724" customFormat="false" ht="15" hidden="false" customHeight="true" outlineLevel="0" collapsed="false">
      <c r="A4724" s="11" t="str">
        <f aca="false">IF(원본명단!$A4723="","",4721)</f>
        <v/>
      </c>
      <c r="B4724" s="12" t="str">
        <f aca="false">IF($A4724="","",원본명단!$A4723)</f>
        <v/>
      </c>
      <c r="C4724" s="12" t="str">
        <f aca="false">IF($A4724="","",원본명단!$B4723)</f>
        <v/>
      </c>
      <c r="D4724" s="12" t="str">
        <f aca="false">IF($A4724="","",원본명단!$D4723)</f>
        <v/>
      </c>
      <c r="E4724" s="11" t="str">
        <f aca="false">IF($A4724="","",IF(원본명단!$H4723="",0,COUNTIF(원본명단!$H$3:$H$6002,원본명단!$H4723)))</f>
        <v/>
      </c>
      <c r="F4724" s="11" t="str">
        <f aca="false">IF($A4724="","",IF(원본명단!$I4723="",0,COUNTIF(원본명단!$I$3:$I$6002,원본명단!$I4723)))</f>
        <v/>
      </c>
      <c r="G4724" s="11" t="str">
        <f aca="false">IF($A4724="","",IF(원본명단!$K4723="",0,COUNTIF(원본명단!$K$3:$K$6002,원본명단!$K4723)))</f>
        <v/>
      </c>
      <c r="H4724" s="11" t="str">
        <f aca="false">IF($A4724="","",IF(MAX($E4724,$F4724,$G4724)&gt;1,"중복","-"))</f>
        <v/>
      </c>
      <c r="I4724" s="11" t="str">
        <f aca="false">IF($A4724="","",IF($H4724="-","-",IF(AND(IF(원본명단!$H4723="",TRUE(),COUNTIF(원본명단!$H$3:$H4723,원본명단!$H4723)=1),IF(원본명단!$I4723="",TRUE(),COUNTIF(원본명단!$I$3:$I4723,원본명단!$I4723)=1),IF(원본명단!$K4723="",TRUE(),COUNTIF(원본명단!$K$3:$K4723,원본명단!$K4723)=1)),"첫 건","중복 건")))</f>
        <v/>
      </c>
      <c r="J4724" s="11" t="str">
        <f aca="false">IF($A4724="","",IF($H4724="-","유지",IF($I4724="첫 건","유지","확인 필요")))</f>
        <v/>
      </c>
    </row>
    <row r="4725" customFormat="false" ht="15" hidden="false" customHeight="true" outlineLevel="0" collapsed="false">
      <c r="A4725" s="11" t="str">
        <f aca="false">IF(원본명단!$A4724="","",4722)</f>
        <v/>
      </c>
      <c r="B4725" s="12" t="str">
        <f aca="false">IF($A4725="","",원본명단!$A4724)</f>
        <v/>
      </c>
      <c r="C4725" s="12" t="str">
        <f aca="false">IF($A4725="","",원본명단!$B4724)</f>
        <v/>
      </c>
      <c r="D4725" s="12" t="str">
        <f aca="false">IF($A4725="","",원본명단!$D4724)</f>
        <v/>
      </c>
      <c r="E4725" s="11" t="str">
        <f aca="false">IF($A4725="","",IF(원본명단!$H4724="",0,COUNTIF(원본명단!$H$3:$H$6002,원본명단!$H4724)))</f>
        <v/>
      </c>
      <c r="F4725" s="11" t="str">
        <f aca="false">IF($A4725="","",IF(원본명단!$I4724="",0,COUNTIF(원본명단!$I$3:$I$6002,원본명단!$I4724)))</f>
        <v/>
      </c>
      <c r="G4725" s="11" t="str">
        <f aca="false">IF($A4725="","",IF(원본명단!$K4724="",0,COUNTIF(원본명단!$K$3:$K$6002,원본명단!$K4724)))</f>
        <v/>
      </c>
      <c r="H4725" s="11" t="str">
        <f aca="false">IF($A4725="","",IF(MAX($E4725,$F4725,$G4725)&gt;1,"중복","-"))</f>
        <v/>
      </c>
      <c r="I4725" s="11" t="str">
        <f aca="false">IF($A4725="","",IF($H4725="-","-",IF(AND(IF(원본명단!$H4724="",TRUE(),COUNTIF(원본명단!$H$3:$H4724,원본명단!$H4724)=1),IF(원본명단!$I4724="",TRUE(),COUNTIF(원본명단!$I$3:$I4724,원본명단!$I4724)=1),IF(원본명단!$K4724="",TRUE(),COUNTIF(원본명단!$K$3:$K4724,원본명단!$K4724)=1)),"첫 건","중복 건")))</f>
        <v/>
      </c>
      <c r="J4725" s="11" t="str">
        <f aca="false">IF($A4725="","",IF($H4725="-","유지",IF($I4725="첫 건","유지","확인 필요")))</f>
        <v/>
      </c>
    </row>
    <row r="4726" customFormat="false" ht="15" hidden="false" customHeight="true" outlineLevel="0" collapsed="false">
      <c r="A4726" s="11" t="str">
        <f aca="false">IF(원본명단!$A4725="","",4723)</f>
        <v/>
      </c>
      <c r="B4726" s="12" t="str">
        <f aca="false">IF($A4726="","",원본명단!$A4725)</f>
        <v/>
      </c>
      <c r="C4726" s="12" t="str">
        <f aca="false">IF($A4726="","",원본명단!$B4725)</f>
        <v/>
      </c>
      <c r="D4726" s="12" t="str">
        <f aca="false">IF($A4726="","",원본명단!$D4725)</f>
        <v/>
      </c>
      <c r="E4726" s="11" t="str">
        <f aca="false">IF($A4726="","",IF(원본명단!$H4725="",0,COUNTIF(원본명단!$H$3:$H$6002,원본명단!$H4725)))</f>
        <v/>
      </c>
      <c r="F4726" s="11" t="str">
        <f aca="false">IF($A4726="","",IF(원본명단!$I4725="",0,COUNTIF(원본명단!$I$3:$I$6002,원본명단!$I4725)))</f>
        <v/>
      </c>
      <c r="G4726" s="11" t="str">
        <f aca="false">IF($A4726="","",IF(원본명단!$K4725="",0,COUNTIF(원본명단!$K$3:$K$6002,원본명단!$K4725)))</f>
        <v/>
      </c>
      <c r="H4726" s="11" t="str">
        <f aca="false">IF($A4726="","",IF(MAX($E4726,$F4726,$G4726)&gt;1,"중복","-"))</f>
        <v/>
      </c>
      <c r="I4726" s="11" t="str">
        <f aca="false">IF($A4726="","",IF($H4726="-","-",IF(AND(IF(원본명단!$H4725="",TRUE(),COUNTIF(원본명단!$H$3:$H4725,원본명단!$H4725)=1),IF(원본명단!$I4725="",TRUE(),COUNTIF(원본명단!$I$3:$I4725,원본명단!$I4725)=1),IF(원본명단!$K4725="",TRUE(),COUNTIF(원본명단!$K$3:$K4725,원본명단!$K4725)=1)),"첫 건","중복 건")))</f>
        <v/>
      </c>
      <c r="J4726" s="11" t="str">
        <f aca="false">IF($A4726="","",IF($H4726="-","유지",IF($I4726="첫 건","유지","확인 필요")))</f>
        <v/>
      </c>
    </row>
    <row r="4727" customFormat="false" ht="15" hidden="false" customHeight="true" outlineLevel="0" collapsed="false">
      <c r="A4727" s="11" t="str">
        <f aca="false">IF(원본명단!$A4726="","",4724)</f>
        <v/>
      </c>
      <c r="B4727" s="12" t="str">
        <f aca="false">IF($A4727="","",원본명단!$A4726)</f>
        <v/>
      </c>
      <c r="C4727" s="12" t="str">
        <f aca="false">IF($A4727="","",원본명단!$B4726)</f>
        <v/>
      </c>
      <c r="D4727" s="12" t="str">
        <f aca="false">IF($A4727="","",원본명단!$D4726)</f>
        <v/>
      </c>
      <c r="E4727" s="11" t="str">
        <f aca="false">IF($A4727="","",IF(원본명단!$H4726="",0,COUNTIF(원본명단!$H$3:$H$6002,원본명단!$H4726)))</f>
        <v/>
      </c>
      <c r="F4727" s="11" t="str">
        <f aca="false">IF($A4727="","",IF(원본명단!$I4726="",0,COUNTIF(원본명단!$I$3:$I$6002,원본명단!$I4726)))</f>
        <v/>
      </c>
      <c r="G4727" s="11" t="str">
        <f aca="false">IF($A4727="","",IF(원본명단!$K4726="",0,COUNTIF(원본명단!$K$3:$K$6002,원본명단!$K4726)))</f>
        <v/>
      </c>
      <c r="H4727" s="11" t="str">
        <f aca="false">IF($A4727="","",IF(MAX($E4727,$F4727,$G4727)&gt;1,"중복","-"))</f>
        <v/>
      </c>
      <c r="I4727" s="11" t="str">
        <f aca="false">IF($A4727="","",IF($H4727="-","-",IF(AND(IF(원본명단!$H4726="",TRUE(),COUNTIF(원본명단!$H$3:$H4726,원본명단!$H4726)=1),IF(원본명단!$I4726="",TRUE(),COUNTIF(원본명단!$I$3:$I4726,원본명단!$I4726)=1),IF(원본명단!$K4726="",TRUE(),COUNTIF(원본명단!$K$3:$K4726,원본명단!$K4726)=1)),"첫 건","중복 건")))</f>
        <v/>
      </c>
      <c r="J4727" s="11" t="str">
        <f aca="false">IF($A4727="","",IF($H4727="-","유지",IF($I4727="첫 건","유지","확인 필요")))</f>
        <v/>
      </c>
    </row>
    <row r="4728" customFormat="false" ht="15" hidden="false" customHeight="true" outlineLevel="0" collapsed="false">
      <c r="A4728" s="11" t="str">
        <f aca="false">IF(원본명단!$A4727="","",4725)</f>
        <v/>
      </c>
      <c r="B4728" s="12" t="str">
        <f aca="false">IF($A4728="","",원본명단!$A4727)</f>
        <v/>
      </c>
      <c r="C4728" s="12" t="str">
        <f aca="false">IF($A4728="","",원본명단!$B4727)</f>
        <v/>
      </c>
      <c r="D4728" s="12" t="str">
        <f aca="false">IF($A4728="","",원본명단!$D4727)</f>
        <v/>
      </c>
      <c r="E4728" s="11" t="str">
        <f aca="false">IF($A4728="","",IF(원본명단!$H4727="",0,COUNTIF(원본명단!$H$3:$H$6002,원본명단!$H4727)))</f>
        <v/>
      </c>
      <c r="F4728" s="11" t="str">
        <f aca="false">IF($A4728="","",IF(원본명단!$I4727="",0,COUNTIF(원본명단!$I$3:$I$6002,원본명단!$I4727)))</f>
        <v/>
      </c>
      <c r="G4728" s="11" t="str">
        <f aca="false">IF($A4728="","",IF(원본명단!$K4727="",0,COUNTIF(원본명단!$K$3:$K$6002,원본명단!$K4727)))</f>
        <v/>
      </c>
      <c r="H4728" s="11" t="str">
        <f aca="false">IF($A4728="","",IF(MAX($E4728,$F4728,$G4728)&gt;1,"중복","-"))</f>
        <v/>
      </c>
      <c r="I4728" s="11" t="str">
        <f aca="false">IF($A4728="","",IF($H4728="-","-",IF(AND(IF(원본명단!$H4727="",TRUE(),COUNTIF(원본명단!$H$3:$H4727,원본명단!$H4727)=1),IF(원본명단!$I4727="",TRUE(),COUNTIF(원본명단!$I$3:$I4727,원본명단!$I4727)=1),IF(원본명단!$K4727="",TRUE(),COUNTIF(원본명단!$K$3:$K4727,원본명단!$K4727)=1)),"첫 건","중복 건")))</f>
        <v/>
      </c>
      <c r="J4728" s="11" t="str">
        <f aca="false">IF($A4728="","",IF($H4728="-","유지",IF($I4728="첫 건","유지","확인 필요")))</f>
        <v/>
      </c>
    </row>
    <row r="4729" customFormat="false" ht="15" hidden="false" customHeight="true" outlineLevel="0" collapsed="false">
      <c r="A4729" s="11" t="str">
        <f aca="false">IF(원본명단!$A4728="","",4726)</f>
        <v/>
      </c>
      <c r="B4729" s="12" t="str">
        <f aca="false">IF($A4729="","",원본명단!$A4728)</f>
        <v/>
      </c>
      <c r="C4729" s="12" t="str">
        <f aca="false">IF($A4729="","",원본명단!$B4728)</f>
        <v/>
      </c>
      <c r="D4729" s="12" t="str">
        <f aca="false">IF($A4729="","",원본명단!$D4728)</f>
        <v/>
      </c>
      <c r="E4729" s="11" t="str">
        <f aca="false">IF($A4729="","",IF(원본명단!$H4728="",0,COUNTIF(원본명단!$H$3:$H$6002,원본명단!$H4728)))</f>
        <v/>
      </c>
      <c r="F4729" s="11" t="str">
        <f aca="false">IF($A4729="","",IF(원본명단!$I4728="",0,COUNTIF(원본명단!$I$3:$I$6002,원본명단!$I4728)))</f>
        <v/>
      </c>
      <c r="G4729" s="11" t="str">
        <f aca="false">IF($A4729="","",IF(원본명단!$K4728="",0,COUNTIF(원본명단!$K$3:$K$6002,원본명단!$K4728)))</f>
        <v/>
      </c>
      <c r="H4729" s="11" t="str">
        <f aca="false">IF($A4729="","",IF(MAX($E4729,$F4729,$G4729)&gt;1,"중복","-"))</f>
        <v/>
      </c>
      <c r="I4729" s="11" t="str">
        <f aca="false">IF($A4729="","",IF($H4729="-","-",IF(AND(IF(원본명단!$H4728="",TRUE(),COUNTIF(원본명단!$H$3:$H4728,원본명단!$H4728)=1),IF(원본명단!$I4728="",TRUE(),COUNTIF(원본명단!$I$3:$I4728,원본명단!$I4728)=1),IF(원본명단!$K4728="",TRUE(),COUNTIF(원본명단!$K$3:$K4728,원본명단!$K4728)=1)),"첫 건","중복 건")))</f>
        <v/>
      </c>
      <c r="J4729" s="11" t="str">
        <f aca="false">IF($A4729="","",IF($H4729="-","유지",IF($I4729="첫 건","유지","확인 필요")))</f>
        <v/>
      </c>
    </row>
    <row r="4730" customFormat="false" ht="15" hidden="false" customHeight="true" outlineLevel="0" collapsed="false">
      <c r="A4730" s="11" t="str">
        <f aca="false">IF(원본명단!$A4729="","",4727)</f>
        <v/>
      </c>
      <c r="B4730" s="12" t="str">
        <f aca="false">IF($A4730="","",원본명단!$A4729)</f>
        <v/>
      </c>
      <c r="C4730" s="12" t="str">
        <f aca="false">IF($A4730="","",원본명단!$B4729)</f>
        <v/>
      </c>
      <c r="D4730" s="12" t="str">
        <f aca="false">IF($A4730="","",원본명단!$D4729)</f>
        <v/>
      </c>
      <c r="E4730" s="11" t="str">
        <f aca="false">IF($A4730="","",IF(원본명단!$H4729="",0,COUNTIF(원본명단!$H$3:$H$6002,원본명단!$H4729)))</f>
        <v/>
      </c>
      <c r="F4730" s="11" t="str">
        <f aca="false">IF($A4730="","",IF(원본명단!$I4729="",0,COUNTIF(원본명단!$I$3:$I$6002,원본명단!$I4729)))</f>
        <v/>
      </c>
      <c r="G4730" s="11" t="str">
        <f aca="false">IF($A4730="","",IF(원본명단!$K4729="",0,COUNTIF(원본명단!$K$3:$K$6002,원본명단!$K4729)))</f>
        <v/>
      </c>
      <c r="H4730" s="11" t="str">
        <f aca="false">IF($A4730="","",IF(MAX($E4730,$F4730,$G4730)&gt;1,"중복","-"))</f>
        <v/>
      </c>
      <c r="I4730" s="11" t="str">
        <f aca="false">IF($A4730="","",IF($H4730="-","-",IF(AND(IF(원본명단!$H4729="",TRUE(),COUNTIF(원본명단!$H$3:$H4729,원본명단!$H4729)=1),IF(원본명단!$I4729="",TRUE(),COUNTIF(원본명단!$I$3:$I4729,원본명단!$I4729)=1),IF(원본명단!$K4729="",TRUE(),COUNTIF(원본명단!$K$3:$K4729,원본명단!$K4729)=1)),"첫 건","중복 건")))</f>
        <v/>
      </c>
      <c r="J4730" s="11" t="str">
        <f aca="false">IF($A4730="","",IF($H4730="-","유지",IF($I4730="첫 건","유지","확인 필요")))</f>
        <v/>
      </c>
    </row>
    <row r="4731" customFormat="false" ht="15" hidden="false" customHeight="true" outlineLevel="0" collapsed="false">
      <c r="A4731" s="11" t="str">
        <f aca="false">IF(원본명단!$A4730="","",4728)</f>
        <v/>
      </c>
      <c r="B4731" s="12" t="str">
        <f aca="false">IF($A4731="","",원본명단!$A4730)</f>
        <v/>
      </c>
      <c r="C4731" s="12" t="str">
        <f aca="false">IF($A4731="","",원본명단!$B4730)</f>
        <v/>
      </c>
      <c r="D4731" s="12" t="str">
        <f aca="false">IF($A4731="","",원본명단!$D4730)</f>
        <v/>
      </c>
      <c r="E4731" s="11" t="str">
        <f aca="false">IF($A4731="","",IF(원본명단!$H4730="",0,COUNTIF(원본명단!$H$3:$H$6002,원본명단!$H4730)))</f>
        <v/>
      </c>
      <c r="F4731" s="11" t="str">
        <f aca="false">IF($A4731="","",IF(원본명단!$I4730="",0,COUNTIF(원본명단!$I$3:$I$6002,원본명단!$I4730)))</f>
        <v/>
      </c>
      <c r="G4731" s="11" t="str">
        <f aca="false">IF($A4731="","",IF(원본명단!$K4730="",0,COUNTIF(원본명단!$K$3:$K$6002,원본명단!$K4730)))</f>
        <v/>
      </c>
      <c r="H4731" s="11" t="str">
        <f aca="false">IF($A4731="","",IF(MAX($E4731,$F4731,$G4731)&gt;1,"중복","-"))</f>
        <v/>
      </c>
      <c r="I4731" s="11" t="str">
        <f aca="false">IF($A4731="","",IF($H4731="-","-",IF(AND(IF(원본명단!$H4730="",TRUE(),COUNTIF(원본명단!$H$3:$H4730,원본명단!$H4730)=1),IF(원본명단!$I4730="",TRUE(),COUNTIF(원본명단!$I$3:$I4730,원본명단!$I4730)=1),IF(원본명단!$K4730="",TRUE(),COUNTIF(원본명단!$K$3:$K4730,원본명단!$K4730)=1)),"첫 건","중복 건")))</f>
        <v/>
      </c>
      <c r="J4731" s="11" t="str">
        <f aca="false">IF($A4731="","",IF($H4731="-","유지",IF($I4731="첫 건","유지","확인 필요")))</f>
        <v/>
      </c>
    </row>
    <row r="4732" customFormat="false" ht="15" hidden="false" customHeight="true" outlineLevel="0" collapsed="false">
      <c r="A4732" s="11" t="str">
        <f aca="false">IF(원본명단!$A4731="","",4729)</f>
        <v/>
      </c>
      <c r="B4732" s="12" t="str">
        <f aca="false">IF($A4732="","",원본명단!$A4731)</f>
        <v/>
      </c>
      <c r="C4732" s="12" t="str">
        <f aca="false">IF($A4732="","",원본명단!$B4731)</f>
        <v/>
      </c>
      <c r="D4732" s="12" t="str">
        <f aca="false">IF($A4732="","",원본명단!$D4731)</f>
        <v/>
      </c>
      <c r="E4732" s="11" t="str">
        <f aca="false">IF($A4732="","",IF(원본명단!$H4731="",0,COUNTIF(원본명단!$H$3:$H$6002,원본명단!$H4731)))</f>
        <v/>
      </c>
      <c r="F4732" s="11" t="str">
        <f aca="false">IF($A4732="","",IF(원본명단!$I4731="",0,COUNTIF(원본명단!$I$3:$I$6002,원본명단!$I4731)))</f>
        <v/>
      </c>
      <c r="G4732" s="11" t="str">
        <f aca="false">IF($A4732="","",IF(원본명단!$K4731="",0,COUNTIF(원본명단!$K$3:$K$6002,원본명단!$K4731)))</f>
        <v/>
      </c>
      <c r="H4732" s="11" t="str">
        <f aca="false">IF($A4732="","",IF(MAX($E4732,$F4732,$G4732)&gt;1,"중복","-"))</f>
        <v/>
      </c>
      <c r="I4732" s="11" t="str">
        <f aca="false">IF($A4732="","",IF($H4732="-","-",IF(AND(IF(원본명단!$H4731="",TRUE(),COUNTIF(원본명단!$H$3:$H4731,원본명단!$H4731)=1),IF(원본명단!$I4731="",TRUE(),COUNTIF(원본명단!$I$3:$I4731,원본명단!$I4731)=1),IF(원본명단!$K4731="",TRUE(),COUNTIF(원본명단!$K$3:$K4731,원본명단!$K4731)=1)),"첫 건","중복 건")))</f>
        <v/>
      </c>
      <c r="J4732" s="11" t="str">
        <f aca="false">IF($A4732="","",IF($H4732="-","유지",IF($I4732="첫 건","유지","확인 필요")))</f>
        <v/>
      </c>
    </row>
    <row r="4733" customFormat="false" ht="15" hidden="false" customHeight="true" outlineLevel="0" collapsed="false">
      <c r="A4733" s="11" t="str">
        <f aca="false">IF(원본명단!$A4732="","",4730)</f>
        <v/>
      </c>
      <c r="B4733" s="12" t="str">
        <f aca="false">IF($A4733="","",원본명단!$A4732)</f>
        <v/>
      </c>
      <c r="C4733" s="12" t="str">
        <f aca="false">IF($A4733="","",원본명단!$B4732)</f>
        <v/>
      </c>
      <c r="D4733" s="12" t="str">
        <f aca="false">IF($A4733="","",원본명단!$D4732)</f>
        <v/>
      </c>
      <c r="E4733" s="11" t="str">
        <f aca="false">IF($A4733="","",IF(원본명단!$H4732="",0,COUNTIF(원본명단!$H$3:$H$6002,원본명단!$H4732)))</f>
        <v/>
      </c>
      <c r="F4733" s="11" t="str">
        <f aca="false">IF($A4733="","",IF(원본명단!$I4732="",0,COUNTIF(원본명단!$I$3:$I$6002,원본명단!$I4732)))</f>
        <v/>
      </c>
      <c r="G4733" s="11" t="str">
        <f aca="false">IF($A4733="","",IF(원본명단!$K4732="",0,COUNTIF(원본명단!$K$3:$K$6002,원본명단!$K4732)))</f>
        <v/>
      </c>
      <c r="H4733" s="11" t="str">
        <f aca="false">IF($A4733="","",IF(MAX($E4733,$F4733,$G4733)&gt;1,"중복","-"))</f>
        <v/>
      </c>
      <c r="I4733" s="11" t="str">
        <f aca="false">IF($A4733="","",IF($H4733="-","-",IF(AND(IF(원본명단!$H4732="",TRUE(),COUNTIF(원본명단!$H$3:$H4732,원본명단!$H4732)=1),IF(원본명단!$I4732="",TRUE(),COUNTIF(원본명단!$I$3:$I4732,원본명단!$I4732)=1),IF(원본명단!$K4732="",TRUE(),COUNTIF(원본명단!$K$3:$K4732,원본명단!$K4732)=1)),"첫 건","중복 건")))</f>
        <v/>
      </c>
      <c r="J4733" s="11" t="str">
        <f aca="false">IF($A4733="","",IF($H4733="-","유지",IF($I4733="첫 건","유지","확인 필요")))</f>
        <v/>
      </c>
    </row>
    <row r="4734" customFormat="false" ht="15" hidden="false" customHeight="true" outlineLevel="0" collapsed="false">
      <c r="A4734" s="11" t="str">
        <f aca="false">IF(원본명단!$A4733="","",4731)</f>
        <v/>
      </c>
      <c r="B4734" s="12" t="str">
        <f aca="false">IF($A4734="","",원본명단!$A4733)</f>
        <v/>
      </c>
      <c r="C4734" s="12" t="str">
        <f aca="false">IF($A4734="","",원본명단!$B4733)</f>
        <v/>
      </c>
      <c r="D4734" s="12" t="str">
        <f aca="false">IF($A4734="","",원본명단!$D4733)</f>
        <v/>
      </c>
      <c r="E4734" s="11" t="str">
        <f aca="false">IF($A4734="","",IF(원본명단!$H4733="",0,COUNTIF(원본명단!$H$3:$H$6002,원본명단!$H4733)))</f>
        <v/>
      </c>
      <c r="F4734" s="11" t="str">
        <f aca="false">IF($A4734="","",IF(원본명단!$I4733="",0,COUNTIF(원본명단!$I$3:$I$6002,원본명단!$I4733)))</f>
        <v/>
      </c>
      <c r="G4734" s="11" t="str">
        <f aca="false">IF($A4734="","",IF(원본명단!$K4733="",0,COUNTIF(원본명단!$K$3:$K$6002,원본명단!$K4733)))</f>
        <v/>
      </c>
      <c r="H4734" s="11" t="str">
        <f aca="false">IF($A4734="","",IF(MAX($E4734,$F4734,$G4734)&gt;1,"중복","-"))</f>
        <v/>
      </c>
      <c r="I4734" s="11" t="str">
        <f aca="false">IF($A4734="","",IF($H4734="-","-",IF(AND(IF(원본명단!$H4733="",TRUE(),COUNTIF(원본명단!$H$3:$H4733,원본명단!$H4733)=1),IF(원본명단!$I4733="",TRUE(),COUNTIF(원본명단!$I$3:$I4733,원본명단!$I4733)=1),IF(원본명단!$K4733="",TRUE(),COUNTIF(원본명단!$K$3:$K4733,원본명단!$K4733)=1)),"첫 건","중복 건")))</f>
        <v/>
      </c>
      <c r="J4734" s="11" t="str">
        <f aca="false">IF($A4734="","",IF($H4734="-","유지",IF($I4734="첫 건","유지","확인 필요")))</f>
        <v/>
      </c>
    </row>
    <row r="4735" customFormat="false" ht="15" hidden="false" customHeight="true" outlineLevel="0" collapsed="false">
      <c r="A4735" s="11" t="str">
        <f aca="false">IF(원본명단!$A4734="","",4732)</f>
        <v/>
      </c>
      <c r="B4735" s="12" t="str">
        <f aca="false">IF($A4735="","",원본명단!$A4734)</f>
        <v/>
      </c>
      <c r="C4735" s="12" t="str">
        <f aca="false">IF($A4735="","",원본명단!$B4734)</f>
        <v/>
      </c>
      <c r="D4735" s="12" t="str">
        <f aca="false">IF($A4735="","",원본명단!$D4734)</f>
        <v/>
      </c>
      <c r="E4735" s="11" t="str">
        <f aca="false">IF($A4735="","",IF(원본명단!$H4734="",0,COUNTIF(원본명단!$H$3:$H$6002,원본명단!$H4734)))</f>
        <v/>
      </c>
      <c r="F4735" s="11" t="str">
        <f aca="false">IF($A4735="","",IF(원본명단!$I4734="",0,COUNTIF(원본명단!$I$3:$I$6002,원본명단!$I4734)))</f>
        <v/>
      </c>
      <c r="G4735" s="11" t="str">
        <f aca="false">IF($A4735="","",IF(원본명단!$K4734="",0,COUNTIF(원본명단!$K$3:$K$6002,원본명단!$K4734)))</f>
        <v/>
      </c>
      <c r="H4735" s="11" t="str">
        <f aca="false">IF($A4735="","",IF(MAX($E4735,$F4735,$G4735)&gt;1,"중복","-"))</f>
        <v/>
      </c>
      <c r="I4735" s="11" t="str">
        <f aca="false">IF($A4735="","",IF($H4735="-","-",IF(AND(IF(원본명단!$H4734="",TRUE(),COUNTIF(원본명단!$H$3:$H4734,원본명단!$H4734)=1),IF(원본명단!$I4734="",TRUE(),COUNTIF(원본명단!$I$3:$I4734,원본명단!$I4734)=1),IF(원본명단!$K4734="",TRUE(),COUNTIF(원본명단!$K$3:$K4734,원본명단!$K4734)=1)),"첫 건","중복 건")))</f>
        <v/>
      </c>
      <c r="J4735" s="11" t="str">
        <f aca="false">IF($A4735="","",IF($H4735="-","유지",IF($I4735="첫 건","유지","확인 필요")))</f>
        <v/>
      </c>
    </row>
    <row r="4736" customFormat="false" ht="15" hidden="false" customHeight="true" outlineLevel="0" collapsed="false">
      <c r="A4736" s="11" t="str">
        <f aca="false">IF(원본명단!$A4735="","",4733)</f>
        <v/>
      </c>
      <c r="B4736" s="12" t="str">
        <f aca="false">IF($A4736="","",원본명단!$A4735)</f>
        <v/>
      </c>
      <c r="C4736" s="12" t="str">
        <f aca="false">IF($A4736="","",원본명단!$B4735)</f>
        <v/>
      </c>
      <c r="D4736" s="12" t="str">
        <f aca="false">IF($A4736="","",원본명단!$D4735)</f>
        <v/>
      </c>
      <c r="E4736" s="11" t="str">
        <f aca="false">IF($A4736="","",IF(원본명단!$H4735="",0,COUNTIF(원본명단!$H$3:$H$6002,원본명단!$H4735)))</f>
        <v/>
      </c>
      <c r="F4736" s="11" t="str">
        <f aca="false">IF($A4736="","",IF(원본명단!$I4735="",0,COUNTIF(원본명단!$I$3:$I$6002,원본명단!$I4735)))</f>
        <v/>
      </c>
      <c r="G4736" s="11" t="str">
        <f aca="false">IF($A4736="","",IF(원본명단!$K4735="",0,COUNTIF(원본명단!$K$3:$K$6002,원본명단!$K4735)))</f>
        <v/>
      </c>
      <c r="H4736" s="11" t="str">
        <f aca="false">IF($A4736="","",IF(MAX($E4736,$F4736,$G4736)&gt;1,"중복","-"))</f>
        <v/>
      </c>
      <c r="I4736" s="11" t="str">
        <f aca="false">IF($A4736="","",IF($H4736="-","-",IF(AND(IF(원본명단!$H4735="",TRUE(),COUNTIF(원본명단!$H$3:$H4735,원본명단!$H4735)=1),IF(원본명단!$I4735="",TRUE(),COUNTIF(원본명단!$I$3:$I4735,원본명단!$I4735)=1),IF(원본명단!$K4735="",TRUE(),COUNTIF(원본명단!$K$3:$K4735,원본명단!$K4735)=1)),"첫 건","중복 건")))</f>
        <v/>
      </c>
      <c r="J4736" s="11" t="str">
        <f aca="false">IF($A4736="","",IF($H4736="-","유지",IF($I4736="첫 건","유지","확인 필요")))</f>
        <v/>
      </c>
    </row>
    <row r="4737" customFormat="false" ht="15" hidden="false" customHeight="true" outlineLevel="0" collapsed="false">
      <c r="A4737" s="11" t="str">
        <f aca="false">IF(원본명단!$A4736="","",4734)</f>
        <v/>
      </c>
      <c r="B4737" s="12" t="str">
        <f aca="false">IF($A4737="","",원본명단!$A4736)</f>
        <v/>
      </c>
      <c r="C4737" s="12" t="str">
        <f aca="false">IF($A4737="","",원본명단!$B4736)</f>
        <v/>
      </c>
      <c r="D4737" s="12" t="str">
        <f aca="false">IF($A4737="","",원본명단!$D4736)</f>
        <v/>
      </c>
      <c r="E4737" s="11" t="str">
        <f aca="false">IF($A4737="","",IF(원본명단!$H4736="",0,COUNTIF(원본명단!$H$3:$H$6002,원본명단!$H4736)))</f>
        <v/>
      </c>
      <c r="F4737" s="11" t="str">
        <f aca="false">IF($A4737="","",IF(원본명단!$I4736="",0,COUNTIF(원본명단!$I$3:$I$6002,원본명단!$I4736)))</f>
        <v/>
      </c>
      <c r="G4737" s="11" t="str">
        <f aca="false">IF($A4737="","",IF(원본명단!$K4736="",0,COUNTIF(원본명단!$K$3:$K$6002,원본명단!$K4736)))</f>
        <v/>
      </c>
      <c r="H4737" s="11" t="str">
        <f aca="false">IF($A4737="","",IF(MAX($E4737,$F4737,$G4737)&gt;1,"중복","-"))</f>
        <v/>
      </c>
      <c r="I4737" s="11" t="str">
        <f aca="false">IF($A4737="","",IF($H4737="-","-",IF(AND(IF(원본명단!$H4736="",TRUE(),COUNTIF(원본명단!$H$3:$H4736,원본명단!$H4736)=1),IF(원본명단!$I4736="",TRUE(),COUNTIF(원본명단!$I$3:$I4736,원본명단!$I4736)=1),IF(원본명단!$K4736="",TRUE(),COUNTIF(원본명단!$K$3:$K4736,원본명단!$K4736)=1)),"첫 건","중복 건")))</f>
        <v/>
      </c>
      <c r="J4737" s="11" t="str">
        <f aca="false">IF($A4737="","",IF($H4737="-","유지",IF($I4737="첫 건","유지","확인 필요")))</f>
        <v/>
      </c>
    </row>
    <row r="4738" customFormat="false" ht="15" hidden="false" customHeight="true" outlineLevel="0" collapsed="false">
      <c r="A4738" s="11" t="str">
        <f aca="false">IF(원본명단!$A4737="","",4735)</f>
        <v/>
      </c>
      <c r="B4738" s="12" t="str">
        <f aca="false">IF($A4738="","",원본명단!$A4737)</f>
        <v/>
      </c>
      <c r="C4738" s="12" t="str">
        <f aca="false">IF($A4738="","",원본명단!$B4737)</f>
        <v/>
      </c>
      <c r="D4738" s="12" t="str">
        <f aca="false">IF($A4738="","",원본명단!$D4737)</f>
        <v/>
      </c>
      <c r="E4738" s="11" t="str">
        <f aca="false">IF($A4738="","",IF(원본명단!$H4737="",0,COUNTIF(원본명단!$H$3:$H$6002,원본명단!$H4737)))</f>
        <v/>
      </c>
      <c r="F4738" s="11" t="str">
        <f aca="false">IF($A4738="","",IF(원본명단!$I4737="",0,COUNTIF(원본명단!$I$3:$I$6002,원본명단!$I4737)))</f>
        <v/>
      </c>
      <c r="G4738" s="11" t="str">
        <f aca="false">IF($A4738="","",IF(원본명단!$K4737="",0,COUNTIF(원본명단!$K$3:$K$6002,원본명단!$K4737)))</f>
        <v/>
      </c>
      <c r="H4738" s="11" t="str">
        <f aca="false">IF($A4738="","",IF(MAX($E4738,$F4738,$G4738)&gt;1,"중복","-"))</f>
        <v/>
      </c>
      <c r="I4738" s="11" t="str">
        <f aca="false">IF($A4738="","",IF($H4738="-","-",IF(AND(IF(원본명단!$H4737="",TRUE(),COUNTIF(원본명단!$H$3:$H4737,원본명단!$H4737)=1),IF(원본명단!$I4737="",TRUE(),COUNTIF(원본명단!$I$3:$I4737,원본명단!$I4737)=1),IF(원본명단!$K4737="",TRUE(),COUNTIF(원본명단!$K$3:$K4737,원본명단!$K4737)=1)),"첫 건","중복 건")))</f>
        <v/>
      </c>
      <c r="J4738" s="11" t="str">
        <f aca="false">IF($A4738="","",IF($H4738="-","유지",IF($I4738="첫 건","유지","확인 필요")))</f>
        <v/>
      </c>
    </row>
    <row r="4739" customFormat="false" ht="15" hidden="false" customHeight="true" outlineLevel="0" collapsed="false">
      <c r="A4739" s="11" t="str">
        <f aca="false">IF(원본명단!$A4738="","",4736)</f>
        <v/>
      </c>
      <c r="B4739" s="12" t="str">
        <f aca="false">IF($A4739="","",원본명단!$A4738)</f>
        <v/>
      </c>
      <c r="C4739" s="12" t="str">
        <f aca="false">IF($A4739="","",원본명단!$B4738)</f>
        <v/>
      </c>
      <c r="D4739" s="12" t="str">
        <f aca="false">IF($A4739="","",원본명단!$D4738)</f>
        <v/>
      </c>
      <c r="E4739" s="11" t="str">
        <f aca="false">IF($A4739="","",IF(원본명단!$H4738="",0,COUNTIF(원본명단!$H$3:$H$6002,원본명단!$H4738)))</f>
        <v/>
      </c>
      <c r="F4739" s="11" t="str">
        <f aca="false">IF($A4739="","",IF(원본명단!$I4738="",0,COUNTIF(원본명단!$I$3:$I$6002,원본명단!$I4738)))</f>
        <v/>
      </c>
      <c r="G4739" s="11" t="str">
        <f aca="false">IF($A4739="","",IF(원본명단!$K4738="",0,COUNTIF(원본명단!$K$3:$K$6002,원본명단!$K4738)))</f>
        <v/>
      </c>
      <c r="H4739" s="11" t="str">
        <f aca="false">IF($A4739="","",IF(MAX($E4739,$F4739,$G4739)&gt;1,"중복","-"))</f>
        <v/>
      </c>
      <c r="I4739" s="11" t="str">
        <f aca="false">IF($A4739="","",IF($H4739="-","-",IF(AND(IF(원본명단!$H4738="",TRUE(),COUNTIF(원본명단!$H$3:$H4738,원본명단!$H4738)=1),IF(원본명단!$I4738="",TRUE(),COUNTIF(원본명단!$I$3:$I4738,원본명단!$I4738)=1),IF(원본명단!$K4738="",TRUE(),COUNTIF(원본명단!$K$3:$K4738,원본명단!$K4738)=1)),"첫 건","중복 건")))</f>
        <v/>
      </c>
      <c r="J4739" s="11" t="str">
        <f aca="false">IF($A4739="","",IF($H4739="-","유지",IF($I4739="첫 건","유지","확인 필요")))</f>
        <v/>
      </c>
    </row>
    <row r="4740" customFormat="false" ht="15" hidden="false" customHeight="true" outlineLevel="0" collapsed="false">
      <c r="A4740" s="11" t="str">
        <f aca="false">IF(원본명단!$A4739="","",4737)</f>
        <v/>
      </c>
      <c r="B4740" s="12" t="str">
        <f aca="false">IF($A4740="","",원본명단!$A4739)</f>
        <v/>
      </c>
      <c r="C4740" s="12" t="str">
        <f aca="false">IF($A4740="","",원본명단!$B4739)</f>
        <v/>
      </c>
      <c r="D4740" s="12" t="str">
        <f aca="false">IF($A4740="","",원본명단!$D4739)</f>
        <v/>
      </c>
      <c r="E4740" s="11" t="str">
        <f aca="false">IF($A4740="","",IF(원본명단!$H4739="",0,COUNTIF(원본명단!$H$3:$H$6002,원본명단!$H4739)))</f>
        <v/>
      </c>
      <c r="F4740" s="11" t="str">
        <f aca="false">IF($A4740="","",IF(원본명단!$I4739="",0,COUNTIF(원본명단!$I$3:$I$6002,원본명단!$I4739)))</f>
        <v/>
      </c>
      <c r="G4740" s="11" t="str">
        <f aca="false">IF($A4740="","",IF(원본명단!$K4739="",0,COUNTIF(원본명단!$K$3:$K$6002,원본명단!$K4739)))</f>
        <v/>
      </c>
      <c r="H4740" s="11" t="str">
        <f aca="false">IF($A4740="","",IF(MAX($E4740,$F4740,$G4740)&gt;1,"중복","-"))</f>
        <v/>
      </c>
      <c r="I4740" s="11" t="str">
        <f aca="false">IF($A4740="","",IF($H4740="-","-",IF(AND(IF(원본명단!$H4739="",TRUE(),COUNTIF(원본명단!$H$3:$H4739,원본명단!$H4739)=1),IF(원본명단!$I4739="",TRUE(),COUNTIF(원본명단!$I$3:$I4739,원본명단!$I4739)=1),IF(원본명단!$K4739="",TRUE(),COUNTIF(원본명단!$K$3:$K4739,원본명단!$K4739)=1)),"첫 건","중복 건")))</f>
        <v/>
      </c>
      <c r="J4740" s="11" t="str">
        <f aca="false">IF($A4740="","",IF($H4740="-","유지",IF($I4740="첫 건","유지","확인 필요")))</f>
        <v/>
      </c>
    </row>
    <row r="4741" customFormat="false" ht="15" hidden="false" customHeight="true" outlineLevel="0" collapsed="false">
      <c r="A4741" s="11" t="str">
        <f aca="false">IF(원본명단!$A4740="","",4738)</f>
        <v/>
      </c>
      <c r="B4741" s="12" t="str">
        <f aca="false">IF($A4741="","",원본명단!$A4740)</f>
        <v/>
      </c>
      <c r="C4741" s="12" t="str">
        <f aca="false">IF($A4741="","",원본명단!$B4740)</f>
        <v/>
      </c>
      <c r="D4741" s="12" t="str">
        <f aca="false">IF($A4741="","",원본명단!$D4740)</f>
        <v/>
      </c>
      <c r="E4741" s="11" t="str">
        <f aca="false">IF($A4741="","",IF(원본명단!$H4740="",0,COUNTIF(원본명단!$H$3:$H$6002,원본명단!$H4740)))</f>
        <v/>
      </c>
      <c r="F4741" s="11" t="str">
        <f aca="false">IF($A4741="","",IF(원본명단!$I4740="",0,COUNTIF(원본명단!$I$3:$I$6002,원본명단!$I4740)))</f>
        <v/>
      </c>
      <c r="G4741" s="11" t="str">
        <f aca="false">IF($A4741="","",IF(원본명단!$K4740="",0,COUNTIF(원본명단!$K$3:$K$6002,원본명단!$K4740)))</f>
        <v/>
      </c>
      <c r="H4741" s="11" t="str">
        <f aca="false">IF($A4741="","",IF(MAX($E4741,$F4741,$G4741)&gt;1,"중복","-"))</f>
        <v/>
      </c>
      <c r="I4741" s="11" t="str">
        <f aca="false">IF($A4741="","",IF($H4741="-","-",IF(AND(IF(원본명단!$H4740="",TRUE(),COUNTIF(원본명단!$H$3:$H4740,원본명단!$H4740)=1),IF(원본명단!$I4740="",TRUE(),COUNTIF(원본명단!$I$3:$I4740,원본명단!$I4740)=1),IF(원본명단!$K4740="",TRUE(),COUNTIF(원본명단!$K$3:$K4740,원본명단!$K4740)=1)),"첫 건","중복 건")))</f>
        <v/>
      </c>
      <c r="J4741" s="11" t="str">
        <f aca="false">IF($A4741="","",IF($H4741="-","유지",IF($I4741="첫 건","유지","확인 필요")))</f>
        <v/>
      </c>
    </row>
    <row r="4742" customFormat="false" ht="15" hidden="false" customHeight="true" outlineLevel="0" collapsed="false">
      <c r="A4742" s="11" t="str">
        <f aca="false">IF(원본명단!$A4741="","",4739)</f>
        <v/>
      </c>
      <c r="B4742" s="12" t="str">
        <f aca="false">IF($A4742="","",원본명단!$A4741)</f>
        <v/>
      </c>
      <c r="C4742" s="12" t="str">
        <f aca="false">IF($A4742="","",원본명단!$B4741)</f>
        <v/>
      </c>
      <c r="D4742" s="12" t="str">
        <f aca="false">IF($A4742="","",원본명단!$D4741)</f>
        <v/>
      </c>
      <c r="E4742" s="11" t="str">
        <f aca="false">IF($A4742="","",IF(원본명단!$H4741="",0,COUNTIF(원본명단!$H$3:$H$6002,원본명단!$H4741)))</f>
        <v/>
      </c>
      <c r="F4742" s="11" t="str">
        <f aca="false">IF($A4742="","",IF(원본명단!$I4741="",0,COUNTIF(원본명단!$I$3:$I$6002,원본명단!$I4741)))</f>
        <v/>
      </c>
      <c r="G4742" s="11" t="str">
        <f aca="false">IF($A4742="","",IF(원본명단!$K4741="",0,COUNTIF(원본명단!$K$3:$K$6002,원본명단!$K4741)))</f>
        <v/>
      </c>
      <c r="H4742" s="11" t="str">
        <f aca="false">IF($A4742="","",IF(MAX($E4742,$F4742,$G4742)&gt;1,"중복","-"))</f>
        <v/>
      </c>
      <c r="I4742" s="11" t="str">
        <f aca="false">IF($A4742="","",IF($H4742="-","-",IF(AND(IF(원본명단!$H4741="",TRUE(),COUNTIF(원본명단!$H$3:$H4741,원본명단!$H4741)=1),IF(원본명단!$I4741="",TRUE(),COUNTIF(원본명단!$I$3:$I4741,원본명단!$I4741)=1),IF(원본명단!$K4741="",TRUE(),COUNTIF(원본명단!$K$3:$K4741,원본명단!$K4741)=1)),"첫 건","중복 건")))</f>
        <v/>
      </c>
      <c r="J4742" s="11" t="str">
        <f aca="false">IF($A4742="","",IF($H4742="-","유지",IF($I4742="첫 건","유지","확인 필요")))</f>
        <v/>
      </c>
    </row>
    <row r="4743" customFormat="false" ht="15" hidden="false" customHeight="true" outlineLevel="0" collapsed="false">
      <c r="A4743" s="11" t="str">
        <f aca="false">IF(원본명단!$A4742="","",4740)</f>
        <v/>
      </c>
      <c r="B4743" s="12" t="str">
        <f aca="false">IF($A4743="","",원본명단!$A4742)</f>
        <v/>
      </c>
      <c r="C4743" s="12" t="str">
        <f aca="false">IF($A4743="","",원본명단!$B4742)</f>
        <v/>
      </c>
      <c r="D4743" s="12" t="str">
        <f aca="false">IF($A4743="","",원본명단!$D4742)</f>
        <v/>
      </c>
      <c r="E4743" s="11" t="str">
        <f aca="false">IF($A4743="","",IF(원본명단!$H4742="",0,COUNTIF(원본명단!$H$3:$H$6002,원본명단!$H4742)))</f>
        <v/>
      </c>
      <c r="F4743" s="11" t="str">
        <f aca="false">IF($A4743="","",IF(원본명단!$I4742="",0,COUNTIF(원본명단!$I$3:$I$6002,원본명단!$I4742)))</f>
        <v/>
      </c>
      <c r="G4743" s="11" t="str">
        <f aca="false">IF($A4743="","",IF(원본명단!$K4742="",0,COUNTIF(원본명단!$K$3:$K$6002,원본명단!$K4742)))</f>
        <v/>
      </c>
      <c r="H4743" s="11" t="str">
        <f aca="false">IF($A4743="","",IF(MAX($E4743,$F4743,$G4743)&gt;1,"중복","-"))</f>
        <v/>
      </c>
      <c r="I4743" s="11" t="str">
        <f aca="false">IF($A4743="","",IF($H4743="-","-",IF(AND(IF(원본명단!$H4742="",TRUE(),COUNTIF(원본명단!$H$3:$H4742,원본명단!$H4742)=1),IF(원본명단!$I4742="",TRUE(),COUNTIF(원본명단!$I$3:$I4742,원본명단!$I4742)=1),IF(원본명단!$K4742="",TRUE(),COUNTIF(원본명단!$K$3:$K4742,원본명단!$K4742)=1)),"첫 건","중복 건")))</f>
        <v/>
      </c>
      <c r="J4743" s="11" t="str">
        <f aca="false">IF($A4743="","",IF($H4743="-","유지",IF($I4743="첫 건","유지","확인 필요")))</f>
        <v/>
      </c>
    </row>
    <row r="4744" customFormat="false" ht="15" hidden="false" customHeight="true" outlineLevel="0" collapsed="false">
      <c r="A4744" s="11" t="str">
        <f aca="false">IF(원본명단!$A4743="","",4741)</f>
        <v/>
      </c>
      <c r="B4744" s="12" t="str">
        <f aca="false">IF($A4744="","",원본명단!$A4743)</f>
        <v/>
      </c>
      <c r="C4744" s="12" t="str">
        <f aca="false">IF($A4744="","",원본명단!$B4743)</f>
        <v/>
      </c>
      <c r="D4744" s="12" t="str">
        <f aca="false">IF($A4744="","",원본명단!$D4743)</f>
        <v/>
      </c>
      <c r="E4744" s="11" t="str">
        <f aca="false">IF($A4744="","",IF(원본명단!$H4743="",0,COUNTIF(원본명단!$H$3:$H$6002,원본명단!$H4743)))</f>
        <v/>
      </c>
      <c r="F4744" s="11" t="str">
        <f aca="false">IF($A4744="","",IF(원본명단!$I4743="",0,COUNTIF(원본명단!$I$3:$I$6002,원본명단!$I4743)))</f>
        <v/>
      </c>
      <c r="G4744" s="11" t="str">
        <f aca="false">IF($A4744="","",IF(원본명단!$K4743="",0,COUNTIF(원본명단!$K$3:$K$6002,원본명단!$K4743)))</f>
        <v/>
      </c>
      <c r="H4744" s="11" t="str">
        <f aca="false">IF($A4744="","",IF(MAX($E4744,$F4744,$G4744)&gt;1,"중복","-"))</f>
        <v/>
      </c>
      <c r="I4744" s="11" t="str">
        <f aca="false">IF($A4744="","",IF($H4744="-","-",IF(AND(IF(원본명단!$H4743="",TRUE(),COUNTIF(원본명단!$H$3:$H4743,원본명단!$H4743)=1),IF(원본명단!$I4743="",TRUE(),COUNTIF(원본명단!$I$3:$I4743,원본명단!$I4743)=1),IF(원본명단!$K4743="",TRUE(),COUNTIF(원본명단!$K$3:$K4743,원본명단!$K4743)=1)),"첫 건","중복 건")))</f>
        <v/>
      </c>
      <c r="J4744" s="11" t="str">
        <f aca="false">IF($A4744="","",IF($H4744="-","유지",IF($I4744="첫 건","유지","확인 필요")))</f>
        <v/>
      </c>
    </row>
    <row r="4745" customFormat="false" ht="15" hidden="false" customHeight="true" outlineLevel="0" collapsed="false">
      <c r="A4745" s="11" t="str">
        <f aca="false">IF(원본명단!$A4744="","",4742)</f>
        <v/>
      </c>
      <c r="B4745" s="12" t="str">
        <f aca="false">IF($A4745="","",원본명단!$A4744)</f>
        <v/>
      </c>
      <c r="C4745" s="12" t="str">
        <f aca="false">IF($A4745="","",원본명단!$B4744)</f>
        <v/>
      </c>
      <c r="D4745" s="12" t="str">
        <f aca="false">IF($A4745="","",원본명단!$D4744)</f>
        <v/>
      </c>
      <c r="E4745" s="11" t="str">
        <f aca="false">IF($A4745="","",IF(원본명단!$H4744="",0,COUNTIF(원본명단!$H$3:$H$6002,원본명단!$H4744)))</f>
        <v/>
      </c>
      <c r="F4745" s="11" t="str">
        <f aca="false">IF($A4745="","",IF(원본명단!$I4744="",0,COUNTIF(원본명단!$I$3:$I$6002,원본명단!$I4744)))</f>
        <v/>
      </c>
      <c r="G4745" s="11" t="str">
        <f aca="false">IF($A4745="","",IF(원본명단!$K4744="",0,COUNTIF(원본명단!$K$3:$K$6002,원본명단!$K4744)))</f>
        <v/>
      </c>
      <c r="H4745" s="11" t="str">
        <f aca="false">IF($A4745="","",IF(MAX($E4745,$F4745,$G4745)&gt;1,"중복","-"))</f>
        <v/>
      </c>
      <c r="I4745" s="11" t="str">
        <f aca="false">IF($A4745="","",IF($H4745="-","-",IF(AND(IF(원본명단!$H4744="",TRUE(),COUNTIF(원본명단!$H$3:$H4744,원본명단!$H4744)=1),IF(원본명단!$I4744="",TRUE(),COUNTIF(원본명단!$I$3:$I4744,원본명단!$I4744)=1),IF(원본명단!$K4744="",TRUE(),COUNTIF(원본명단!$K$3:$K4744,원본명단!$K4744)=1)),"첫 건","중복 건")))</f>
        <v/>
      </c>
      <c r="J4745" s="11" t="str">
        <f aca="false">IF($A4745="","",IF($H4745="-","유지",IF($I4745="첫 건","유지","확인 필요")))</f>
        <v/>
      </c>
    </row>
    <row r="4746" customFormat="false" ht="15" hidden="false" customHeight="true" outlineLevel="0" collapsed="false">
      <c r="A4746" s="11" t="str">
        <f aca="false">IF(원본명단!$A4745="","",4743)</f>
        <v/>
      </c>
      <c r="B4746" s="12" t="str">
        <f aca="false">IF($A4746="","",원본명단!$A4745)</f>
        <v/>
      </c>
      <c r="C4746" s="12" t="str">
        <f aca="false">IF($A4746="","",원본명단!$B4745)</f>
        <v/>
      </c>
      <c r="D4746" s="12" t="str">
        <f aca="false">IF($A4746="","",원본명단!$D4745)</f>
        <v/>
      </c>
      <c r="E4746" s="11" t="str">
        <f aca="false">IF($A4746="","",IF(원본명단!$H4745="",0,COUNTIF(원본명단!$H$3:$H$6002,원본명단!$H4745)))</f>
        <v/>
      </c>
      <c r="F4746" s="11" t="str">
        <f aca="false">IF($A4746="","",IF(원본명단!$I4745="",0,COUNTIF(원본명단!$I$3:$I$6002,원본명단!$I4745)))</f>
        <v/>
      </c>
      <c r="G4746" s="11" t="str">
        <f aca="false">IF($A4746="","",IF(원본명단!$K4745="",0,COUNTIF(원본명단!$K$3:$K$6002,원본명단!$K4745)))</f>
        <v/>
      </c>
      <c r="H4746" s="11" t="str">
        <f aca="false">IF($A4746="","",IF(MAX($E4746,$F4746,$G4746)&gt;1,"중복","-"))</f>
        <v/>
      </c>
      <c r="I4746" s="11" t="str">
        <f aca="false">IF($A4746="","",IF($H4746="-","-",IF(AND(IF(원본명단!$H4745="",TRUE(),COUNTIF(원본명단!$H$3:$H4745,원본명단!$H4745)=1),IF(원본명단!$I4745="",TRUE(),COUNTIF(원본명단!$I$3:$I4745,원본명단!$I4745)=1),IF(원본명단!$K4745="",TRUE(),COUNTIF(원본명단!$K$3:$K4745,원본명단!$K4745)=1)),"첫 건","중복 건")))</f>
        <v/>
      </c>
      <c r="J4746" s="11" t="str">
        <f aca="false">IF($A4746="","",IF($H4746="-","유지",IF($I4746="첫 건","유지","확인 필요")))</f>
        <v/>
      </c>
    </row>
    <row r="4747" customFormat="false" ht="15" hidden="false" customHeight="true" outlineLevel="0" collapsed="false">
      <c r="A4747" s="11" t="str">
        <f aca="false">IF(원본명단!$A4746="","",4744)</f>
        <v/>
      </c>
      <c r="B4747" s="12" t="str">
        <f aca="false">IF($A4747="","",원본명단!$A4746)</f>
        <v/>
      </c>
      <c r="C4747" s="12" t="str">
        <f aca="false">IF($A4747="","",원본명단!$B4746)</f>
        <v/>
      </c>
      <c r="D4747" s="12" t="str">
        <f aca="false">IF($A4747="","",원본명단!$D4746)</f>
        <v/>
      </c>
      <c r="E4747" s="11" t="str">
        <f aca="false">IF($A4747="","",IF(원본명단!$H4746="",0,COUNTIF(원본명단!$H$3:$H$6002,원본명단!$H4746)))</f>
        <v/>
      </c>
      <c r="F4747" s="11" t="str">
        <f aca="false">IF($A4747="","",IF(원본명단!$I4746="",0,COUNTIF(원본명단!$I$3:$I$6002,원본명단!$I4746)))</f>
        <v/>
      </c>
      <c r="G4747" s="11" t="str">
        <f aca="false">IF($A4747="","",IF(원본명단!$K4746="",0,COUNTIF(원본명단!$K$3:$K$6002,원본명단!$K4746)))</f>
        <v/>
      </c>
      <c r="H4747" s="11" t="str">
        <f aca="false">IF($A4747="","",IF(MAX($E4747,$F4747,$G4747)&gt;1,"중복","-"))</f>
        <v/>
      </c>
      <c r="I4747" s="11" t="str">
        <f aca="false">IF($A4747="","",IF($H4747="-","-",IF(AND(IF(원본명단!$H4746="",TRUE(),COUNTIF(원본명단!$H$3:$H4746,원본명단!$H4746)=1),IF(원본명단!$I4746="",TRUE(),COUNTIF(원본명단!$I$3:$I4746,원본명단!$I4746)=1),IF(원본명단!$K4746="",TRUE(),COUNTIF(원본명단!$K$3:$K4746,원본명단!$K4746)=1)),"첫 건","중복 건")))</f>
        <v/>
      </c>
      <c r="J4747" s="11" t="str">
        <f aca="false">IF($A4747="","",IF($H4747="-","유지",IF($I4747="첫 건","유지","확인 필요")))</f>
        <v/>
      </c>
    </row>
    <row r="4748" customFormat="false" ht="15" hidden="false" customHeight="true" outlineLevel="0" collapsed="false">
      <c r="A4748" s="11" t="str">
        <f aca="false">IF(원본명단!$A4747="","",4745)</f>
        <v/>
      </c>
      <c r="B4748" s="12" t="str">
        <f aca="false">IF($A4748="","",원본명단!$A4747)</f>
        <v/>
      </c>
      <c r="C4748" s="12" t="str">
        <f aca="false">IF($A4748="","",원본명단!$B4747)</f>
        <v/>
      </c>
      <c r="D4748" s="12" t="str">
        <f aca="false">IF($A4748="","",원본명단!$D4747)</f>
        <v/>
      </c>
      <c r="E4748" s="11" t="str">
        <f aca="false">IF($A4748="","",IF(원본명단!$H4747="",0,COUNTIF(원본명단!$H$3:$H$6002,원본명단!$H4747)))</f>
        <v/>
      </c>
      <c r="F4748" s="11" t="str">
        <f aca="false">IF($A4748="","",IF(원본명단!$I4747="",0,COUNTIF(원본명단!$I$3:$I$6002,원본명단!$I4747)))</f>
        <v/>
      </c>
      <c r="G4748" s="11" t="str">
        <f aca="false">IF($A4748="","",IF(원본명단!$K4747="",0,COUNTIF(원본명단!$K$3:$K$6002,원본명단!$K4747)))</f>
        <v/>
      </c>
      <c r="H4748" s="11" t="str">
        <f aca="false">IF($A4748="","",IF(MAX($E4748,$F4748,$G4748)&gt;1,"중복","-"))</f>
        <v/>
      </c>
      <c r="I4748" s="11" t="str">
        <f aca="false">IF($A4748="","",IF($H4748="-","-",IF(AND(IF(원본명단!$H4747="",TRUE(),COUNTIF(원본명단!$H$3:$H4747,원본명단!$H4747)=1),IF(원본명단!$I4747="",TRUE(),COUNTIF(원본명단!$I$3:$I4747,원본명단!$I4747)=1),IF(원본명단!$K4747="",TRUE(),COUNTIF(원본명단!$K$3:$K4747,원본명단!$K4747)=1)),"첫 건","중복 건")))</f>
        <v/>
      </c>
      <c r="J4748" s="11" t="str">
        <f aca="false">IF($A4748="","",IF($H4748="-","유지",IF($I4748="첫 건","유지","확인 필요")))</f>
        <v/>
      </c>
    </row>
    <row r="4749" customFormat="false" ht="15" hidden="false" customHeight="true" outlineLevel="0" collapsed="false">
      <c r="A4749" s="11" t="str">
        <f aca="false">IF(원본명단!$A4748="","",4746)</f>
        <v/>
      </c>
      <c r="B4749" s="12" t="str">
        <f aca="false">IF($A4749="","",원본명단!$A4748)</f>
        <v/>
      </c>
      <c r="C4749" s="12" t="str">
        <f aca="false">IF($A4749="","",원본명단!$B4748)</f>
        <v/>
      </c>
      <c r="D4749" s="12" t="str">
        <f aca="false">IF($A4749="","",원본명단!$D4748)</f>
        <v/>
      </c>
      <c r="E4749" s="11" t="str">
        <f aca="false">IF($A4749="","",IF(원본명단!$H4748="",0,COUNTIF(원본명단!$H$3:$H$6002,원본명단!$H4748)))</f>
        <v/>
      </c>
      <c r="F4749" s="11" t="str">
        <f aca="false">IF($A4749="","",IF(원본명단!$I4748="",0,COUNTIF(원본명단!$I$3:$I$6002,원본명단!$I4748)))</f>
        <v/>
      </c>
      <c r="G4749" s="11" t="str">
        <f aca="false">IF($A4749="","",IF(원본명단!$K4748="",0,COUNTIF(원본명단!$K$3:$K$6002,원본명단!$K4748)))</f>
        <v/>
      </c>
      <c r="H4749" s="11" t="str">
        <f aca="false">IF($A4749="","",IF(MAX($E4749,$F4749,$G4749)&gt;1,"중복","-"))</f>
        <v/>
      </c>
      <c r="I4749" s="11" t="str">
        <f aca="false">IF($A4749="","",IF($H4749="-","-",IF(AND(IF(원본명단!$H4748="",TRUE(),COUNTIF(원본명단!$H$3:$H4748,원본명단!$H4748)=1),IF(원본명단!$I4748="",TRUE(),COUNTIF(원본명단!$I$3:$I4748,원본명단!$I4748)=1),IF(원본명단!$K4748="",TRUE(),COUNTIF(원본명단!$K$3:$K4748,원본명단!$K4748)=1)),"첫 건","중복 건")))</f>
        <v/>
      </c>
      <c r="J4749" s="11" t="str">
        <f aca="false">IF($A4749="","",IF($H4749="-","유지",IF($I4749="첫 건","유지","확인 필요")))</f>
        <v/>
      </c>
    </row>
    <row r="4750" customFormat="false" ht="15" hidden="false" customHeight="true" outlineLevel="0" collapsed="false">
      <c r="A4750" s="11" t="str">
        <f aca="false">IF(원본명단!$A4749="","",4747)</f>
        <v/>
      </c>
      <c r="B4750" s="12" t="str">
        <f aca="false">IF($A4750="","",원본명단!$A4749)</f>
        <v/>
      </c>
      <c r="C4750" s="12" t="str">
        <f aca="false">IF($A4750="","",원본명단!$B4749)</f>
        <v/>
      </c>
      <c r="D4750" s="12" t="str">
        <f aca="false">IF($A4750="","",원본명단!$D4749)</f>
        <v/>
      </c>
      <c r="E4750" s="11" t="str">
        <f aca="false">IF($A4750="","",IF(원본명단!$H4749="",0,COUNTIF(원본명단!$H$3:$H$6002,원본명단!$H4749)))</f>
        <v/>
      </c>
      <c r="F4750" s="11" t="str">
        <f aca="false">IF($A4750="","",IF(원본명단!$I4749="",0,COUNTIF(원본명단!$I$3:$I$6002,원본명단!$I4749)))</f>
        <v/>
      </c>
      <c r="G4750" s="11" t="str">
        <f aca="false">IF($A4750="","",IF(원본명단!$K4749="",0,COUNTIF(원본명단!$K$3:$K$6002,원본명단!$K4749)))</f>
        <v/>
      </c>
      <c r="H4750" s="11" t="str">
        <f aca="false">IF($A4750="","",IF(MAX($E4750,$F4750,$G4750)&gt;1,"중복","-"))</f>
        <v/>
      </c>
      <c r="I4750" s="11" t="str">
        <f aca="false">IF($A4750="","",IF($H4750="-","-",IF(AND(IF(원본명단!$H4749="",TRUE(),COUNTIF(원본명단!$H$3:$H4749,원본명단!$H4749)=1),IF(원본명단!$I4749="",TRUE(),COUNTIF(원본명단!$I$3:$I4749,원본명단!$I4749)=1),IF(원본명단!$K4749="",TRUE(),COUNTIF(원본명단!$K$3:$K4749,원본명단!$K4749)=1)),"첫 건","중복 건")))</f>
        <v/>
      </c>
      <c r="J4750" s="11" t="str">
        <f aca="false">IF($A4750="","",IF($H4750="-","유지",IF($I4750="첫 건","유지","확인 필요")))</f>
        <v/>
      </c>
    </row>
    <row r="4751" customFormat="false" ht="15" hidden="false" customHeight="true" outlineLevel="0" collapsed="false">
      <c r="A4751" s="11" t="str">
        <f aca="false">IF(원본명단!$A4750="","",4748)</f>
        <v/>
      </c>
      <c r="B4751" s="12" t="str">
        <f aca="false">IF($A4751="","",원본명단!$A4750)</f>
        <v/>
      </c>
      <c r="C4751" s="12" t="str">
        <f aca="false">IF($A4751="","",원본명단!$B4750)</f>
        <v/>
      </c>
      <c r="D4751" s="12" t="str">
        <f aca="false">IF($A4751="","",원본명단!$D4750)</f>
        <v/>
      </c>
      <c r="E4751" s="11" t="str">
        <f aca="false">IF($A4751="","",IF(원본명단!$H4750="",0,COUNTIF(원본명단!$H$3:$H$6002,원본명단!$H4750)))</f>
        <v/>
      </c>
      <c r="F4751" s="11" t="str">
        <f aca="false">IF($A4751="","",IF(원본명단!$I4750="",0,COUNTIF(원본명단!$I$3:$I$6002,원본명단!$I4750)))</f>
        <v/>
      </c>
      <c r="G4751" s="11" t="str">
        <f aca="false">IF($A4751="","",IF(원본명단!$K4750="",0,COUNTIF(원본명단!$K$3:$K$6002,원본명단!$K4750)))</f>
        <v/>
      </c>
      <c r="H4751" s="11" t="str">
        <f aca="false">IF($A4751="","",IF(MAX($E4751,$F4751,$G4751)&gt;1,"중복","-"))</f>
        <v/>
      </c>
      <c r="I4751" s="11" t="str">
        <f aca="false">IF($A4751="","",IF($H4751="-","-",IF(AND(IF(원본명단!$H4750="",TRUE(),COUNTIF(원본명단!$H$3:$H4750,원본명단!$H4750)=1),IF(원본명단!$I4750="",TRUE(),COUNTIF(원본명단!$I$3:$I4750,원본명단!$I4750)=1),IF(원본명단!$K4750="",TRUE(),COUNTIF(원본명단!$K$3:$K4750,원본명단!$K4750)=1)),"첫 건","중복 건")))</f>
        <v/>
      </c>
      <c r="J4751" s="11" t="str">
        <f aca="false">IF($A4751="","",IF($H4751="-","유지",IF($I4751="첫 건","유지","확인 필요")))</f>
        <v/>
      </c>
    </row>
    <row r="4752" customFormat="false" ht="15" hidden="false" customHeight="true" outlineLevel="0" collapsed="false">
      <c r="A4752" s="11" t="str">
        <f aca="false">IF(원본명단!$A4751="","",4749)</f>
        <v/>
      </c>
      <c r="B4752" s="12" t="str">
        <f aca="false">IF($A4752="","",원본명단!$A4751)</f>
        <v/>
      </c>
      <c r="C4752" s="12" t="str">
        <f aca="false">IF($A4752="","",원본명단!$B4751)</f>
        <v/>
      </c>
      <c r="D4752" s="12" t="str">
        <f aca="false">IF($A4752="","",원본명단!$D4751)</f>
        <v/>
      </c>
      <c r="E4752" s="11" t="str">
        <f aca="false">IF($A4752="","",IF(원본명단!$H4751="",0,COUNTIF(원본명단!$H$3:$H$6002,원본명단!$H4751)))</f>
        <v/>
      </c>
      <c r="F4752" s="11" t="str">
        <f aca="false">IF($A4752="","",IF(원본명단!$I4751="",0,COUNTIF(원본명단!$I$3:$I$6002,원본명단!$I4751)))</f>
        <v/>
      </c>
      <c r="G4752" s="11" t="str">
        <f aca="false">IF($A4752="","",IF(원본명단!$K4751="",0,COUNTIF(원본명단!$K$3:$K$6002,원본명단!$K4751)))</f>
        <v/>
      </c>
      <c r="H4752" s="11" t="str">
        <f aca="false">IF($A4752="","",IF(MAX($E4752,$F4752,$G4752)&gt;1,"중복","-"))</f>
        <v/>
      </c>
      <c r="I4752" s="11" t="str">
        <f aca="false">IF($A4752="","",IF($H4752="-","-",IF(AND(IF(원본명단!$H4751="",TRUE(),COUNTIF(원본명단!$H$3:$H4751,원본명단!$H4751)=1),IF(원본명단!$I4751="",TRUE(),COUNTIF(원본명단!$I$3:$I4751,원본명단!$I4751)=1),IF(원본명단!$K4751="",TRUE(),COUNTIF(원본명단!$K$3:$K4751,원본명단!$K4751)=1)),"첫 건","중복 건")))</f>
        <v/>
      </c>
      <c r="J4752" s="11" t="str">
        <f aca="false">IF($A4752="","",IF($H4752="-","유지",IF($I4752="첫 건","유지","확인 필요")))</f>
        <v/>
      </c>
    </row>
    <row r="4753" customFormat="false" ht="15" hidden="false" customHeight="true" outlineLevel="0" collapsed="false">
      <c r="A4753" s="11" t="str">
        <f aca="false">IF(원본명단!$A4752="","",4750)</f>
        <v/>
      </c>
      <c r="B4753" s="12" t="str">
        <f aca="false">IF($A4753="","",원본명단!$A4752)</f>
        <v/>
      </c>
      <c r="C4753" s="12" t="str">
        <f aca="false">IF($A4753="","",원본명단!$B4752)</f>
        <v/>
      </c>
      <c r="D4753" s="12" t="str">
        <f aca="false">IF($A4753="","",원본명단!$D4752)</f>
        <v/>
      </c>
      <c r="E4753" s="11" t="str">
        <f aca="false">IF($A4753="","",IF(원본명단!$H4752="",0,COUNTIF(원본명단!$H$3:$H$6002,원본명단!$H4752)))</f>
        <v/>
      </c>
      <c r="F4753" s="11" t="str">
        <f aca="false">IF($A4753="","",IF(원본명단!$I4752="",0,COUNTIF(원본명단!$I$3:$I$6002,원본명단!$I4752)))</f>
        <v/>
      </c>
      <c r="G4753" s="11" t="str">
        <f aca="false">IF($A4753="","",IF(원본명단!$K4752="",0,COUNTIF(원본명단!$K$3:$K$6002,원본명단!$K4752)))</f>
        <v/>
      </c>
      <c r="H4753" s="11" t="str">
        <f aca="false">IF($A4753="","",IF(MAX($E4753,$F4753,$G4753)&gt;1,"중복","-"))</f>
        <v/>
      </c>
      <c r="I4753" s="11" t="str">
        <f aca="false">IF($A4753="","",IF($H4753="-","-",IF(AND(IF(원본명단!$H4752="",TRUE(),COUNTIF(원본명단!$H$3:$H4752,원본명단!$H4752)=1),IF(원본명단!$I4752="",TRUE(),COUNTIF(원본명단!$I$3:$I4752,원본명단!$I4752)=1),IF(원본명단!$K4752="",TRUE(),COUNTIF(원본명단!$K$3:$K4752,원본명단!$K4752)=1)),"첫 건","중복 건")))</f>
        <v/>
      </c>
      <c r="J4753" s="11" t="str">
        <f aca="false">IF($A4753="","",IF($H4753="-","유지",IF($I4753="첫 건","유지","확인 필요")))</f>
        <v/>
      </c>
    </row>
    <row r="4754" customFormat="false" ht="15" hidden="false" customHeight="true" outlineLevel="0" collapsed="false">
      <c r="A4754" s="11" t="str">
        <f aca="false">IF(원본명단!$A4753="","",4751)</f>
        <v/>
      </c>
      <c r="B4754" s="12" t="str">
        <f aca="false">IF($A4754="","",원본명단!$A4753)</f>
        <v/>
      </c>
      <c r="C4754" s="12" t="str">
        <f aca="false">IF($A4754="","",원본명단!$B4753)</f>
        <v/>
      </c>
      <c r="D4754" s="12" t="str">
        <f aca="false">IF($A4754="","",원본명단!$D4753)</f>
        <v/>
      </c>
      <c r="E4754" s="11" t="str">
        <f aca="false">IF($A4754="","",IF(원본명단!$H4753="",0,COUNTIF(원본명단!$H$3:$H$6002,원본명단!$H4753)))</f>
        <v/>
      </c>
      <c r="F4754" s="11" t="str">
        <f aca="false">IF($A4754="","",IF(원본명단!$I4753="",0,COUNTIF(원본명단!$I$3:$I$6002,원본명단!$I4753)))</f>
        <v/>
      </c>
      <c r="G4754" s="11" t="str">
        <f aca="false">IF($A4754="","",IF(원본명단!$K4753="",0,COUNTIF(원본명단!$K$3:$K$6002,원본명단!$K4753)))</f>
        <v/>
      </c>
      <c r="H4754" s="11" t="str">
        <f aca="false">IF($A4754="","",IF(MAX($E4754,$F4754,$G4754)&gt;1,"중복","-"))</f>
        <v/>
      </c>
      <c r="I4754" s="11" t="str">
        <f aca="false">IF($A4754="","",IF($H4754="-","-",IF(AND(IF(원본명단!$H4753="",TRUE(),COUNTIF(원본명단!$H$3:$H4753,원본명단!$H4753)=1),IF(원본명단!$I4753="",TRUE(),COUNTIF(원본명단!$I$3:$I4753,원본명단!$I4753)=1),IF(원본명단!$K4753="",TRUE(),COUNTIF(원본명단!$K$3:$K4753,원본명단!$K4753)=1)),"첫 건","중복 건")))</f>
        <v/>
      </c>
      <c r="J4754" s="11" t="str">
        <f aca="false">IF($A4754="","",IF($H4754="-","유지",IF($I4754="첫 건","유지","확인 필요")))</f>
        <v/>
      </c>
    </row>
    <row r="4755" customFormat="false" ht="15" hidden="false" customHeight="true" outlineLevel="0" collapsed="false">
      <c r="A4755" s="11" t="str">
        <f aca="false">IF(원본명단!$A4754="","",4752)</f>
        <v/>
      </c>
      <c r="B4755" s="12" t="str">
        <f aca="false">IF($A4755="","",원본명단!$A4754)</f>
        <v/>
      </c>
      <c r="C4755" s="12" t="str">
        <f aca="false">IF($A4755="","",원본명단!$B4754)</f>
        <v/>
      </c>
      <c r="D4755" s="12" t="str">
        <f aca="false">IF($A4755="","",원본명단!$D4754)</f>
        <v/>
      </c>
      <c r="E4755" s="11" t="str">
        <f aca="false">IF($A4755="","",IF(원본명단!$H4754="",0,COUNTIF(원본명단!$H$3:$H$6002,원본명단!$H4754)))</f>
        <v/>
      </c>
      <c r="F4755" s="11" t="str">
        <f aca="false">IF($A4755="","",IF(원본명단!$I4754="",0,COUNTIF(원본명단!$I$3:$I$6002,원본명단!$I4754)))</f>
        <v/>
      </c>
      <c r="G4755" s="11" t="str">
        <f aca="false">IF($A4755="","",IF(원본명단!$K4754="",0,COUNTIF(원본명단!$K$3:$K$6002,원본명단!$K4754)))</f>
        <v/>
      </c>
      <c r="H4755" s="11" t="str">
        <f aca="false">IF($A4755="","",IF(MAX($E4755,$F4755,$G4755)&gt;1,"중복","-"))</f>
        <v/>
      </c>
      <c r="I4755" s="11" t="str">
        <f aca="false">IF($A4755="","",IF($H4755="-","-",IF(AND(IF(원본명단!$H4754="",TRUE(),COUNTIF(원본명단!$H$3:$H4754,원본명단!$H4754)=1),IF(원본명단!$I4754="",TRUE(),COUNTIF(원본명단!$I$3:$I4754,원본명단!$I4754)=1),IF(원본명단!$K4754="",TRUE(),COUNTIF(원본명단!$K$3:$K4754,원본명단!$K4754)=1)),"첫 건","중복 건")))</f>
        <v/>
      </c>
      <c r="J4755" s="11" t="str">
        <f aca="false">IF($A4755="","",IF($H4755="-","유지",IF($I4755="첫 건","유지","확인 필요")))</f>
        <v/>
      </c>
    </row>
    <row r="4756" customFormat="false" ht="15" hidden="false" customHeight="true" outlineLevel="0" collapsed="false">
      <c r="A4756" s="11" t="str">
        <f aca="false">IF(원본명단!$A4755="","",4753)</f>
        <v/>
      </c>
      <c r="B4756" s="12" t="str">
        <f aca="false">IF($A4756="","",원본명단!$A4755)</f>
        <v/>
      </c>
      <c r="C4756" s="12" t="str">
        <f aca="false">IF($A4756="","",원본명단!$B4755)</f>
        <v/>
      </c>
      <c r="D4756" s="12" t="str">
        <f aca="false">IF($A4756="","",원본명단!$D4755)</f>
        <v/>
      </c>
      <c r="E4756" s="11" t="str">
        <f aca="false">IF($A4756="","",IF(원본명단!$H4755="",0,COUNTIF(원본명단!$H$3:$H$6002,원본명단!$H4755)))</f>
        <v/>
      </c>
      <c r="F4756" s="11" t="str">
        <f aca="false">IF($A4756="","",IF(원본명단!$I4755="",0,COUNTIF(원본명단!$I$3:$I$6002,원본명단!$I4755)))</f>
        <v/>
      </c>
      <c r="G4756" s="11" t="str">
        <f aca="false">IF($A4756="","",IF(원본명단!$K4755="",0,COUNTIF(원본명단!$K$3:$K$6002,원본명단!$K4755)))</f>
        <v/>
      </c>
      <c r="H4756" s="11" t="str">
        <f aca="false">IF($A4756="","",IF(MAX($E4756,$F4756,$G4756)&gt;1,"중복","-"))</f>
        <v/>
      </c>
      <c r="I4756" s="11" t="str">
        <f aca="false">IF($A4756="","",IF($H4756="-","-",IF(AND(IF(원본명단!$H4755="",TRUE(),COUNTIF(원본명단!$H$3:$H4755,원본명단!$H4755)=1),IF(원본명단!$I4755="",TRUE(),COUNTIF(원본명단!$I$3:$I4755,원본명단!$I4755)=1),IF(원본명단!$K4755="",TRUE(),COUNTIF(원본명단!$K$3:$K4755,원본명단!$K4755)=1)),"첫 건","중복 건")))</f>
        <v/>
      </c>
      <c r="J4756" s="11" t="str">
        <f aca="false">IF($A4756="","",IF($H4756="-","유지",IF($I4756="첫 건","유지","확인 필요")))</f>
        <v/>
      </c>
    </row>
    <row r="4757" customFormat="false" ht="15" hidden="false" customHeight="true" outlineLevel="0" collapsed="false">
      <c r="A4757" s="11" t="str">
        <f aca="false">IF(원본명단!$A4756="","",4754)</f>
        <v/>
      </c>
      <c r="B4757" s="12" t="str">
        <f aca="false">IF($A4757="","",원본명단!$A4756)</f>
        <v/>
      </c>
      <c r="C4757" s="12" t="str">
        <f aca="false">IF($A4757="","",원본명단!$B4756)</f>
        <v/>
      </c>
      <c r="D4757" s="12" t="str">
        <f aca="false">IF($A4757="","",원본명단!$D4756)</f>
        <v/>
      </c>
      <c r="E4757" s="11" t="str">
        <f aca="false">IF($A4757="","",IF(원본명단!$H4756="",0,COUNTIF(원본명단!$H$3:$H$6002,원본명단!$H4756)))</f>
        <v/>
      </c>
      <c r="F4757" s="11" t="str">
        <f aca="false">IF($A4757="","",IF(원본명단!$I4756="",0,COUNTIF(원본명단!$I$3:$I$6002,원본명단!$I4756)))</f>
        <v/>
      </c>
      <c r="G4757" s="11" t="str">
        <f aca="false">IF($A4757="","",IF(원본명단!$K4756="",0,COUNTIF(원본명단!$K$3:$K$6002,원본명단!$K4756)))</f>
        <v/>
      </c>
      <c r="H4757" s="11" t="str">
        <f aca="false">IF($A4757="","",IF(MAX($E4757,$F4757,$G4757)&gt;1,"중복","-"))</f>
        <v/>
      </c>
      <c r="I4757" s="11" t="str">
        <f aca="false">IF($A4757="","",IF($H4757="-","-",IF(AND(IF(원본명단!$H4756="",TRUE(),COUNTIF(원본명단!$H$3:$H4756,원본명단!$H4756)=1),IF(원본명단!$I4756="",TRUE(),COUNTIF(원본명단!$I$3:$I4756,원본명단!$I4756)=1),IF(원본명단!$K4756="",TRUE(),COUNTIF(원본명단!$K$3:$K4756,원본명단!$K4756)=1)),"첫 건","중복 건")))</f>
        <v/>
      </c>
      <c r="J4757" s="11" t="str">
        <f aca="false">IF($A4757="","",IF($H4757="-","유지",IF($I4757="첫 건","유지","확인 필요")))</f>
        <v/>
      </c>
    </row>
    <row r="4758" customFormat="false" ht="15" hidden="false" customHeight="true" outlineLevel="0" collapsed="false">
      <c r="A4758" s="11" t="str">
        <f aca="false">IF(원본명단!$A4757="","",4755)</f>
        <v/>
      </c>
      <c r="B4758" s="12" t="str">
        <f aca="false">IF($A4758="","",원본명단!$A4757)</f>
        <v/>
      </c>
      <c r="C4758" s="12" t="str">
        <f aca="false">IF($A4758="","",원본명단!$B4757)</f>
        <v/>
      </c>
      <c r="D4758" s="12" t="str">
        <f aca="false">IF($A4758="","",원본명단!$D4757)</f>
        <v/>
      </c>
      <c r="E4758" s="11" t="str">
        <f aca="false">IF($A4758="","",IF(원본명단!$H4757="",0,COUNTIF(원본명단!$H$3:$H$6002,원본명단!$H4757)))</f>
        <v/>
      </c>
      <c r="F4758" s="11" t="str">
        <f aca="false">IF($A4758="","",IF(원본명단!$I4757="",0,COUNTIF(원본명단!$I$3:$I$6002,원본명단!$I4757)))</f>
        <v/>
      </c>
      <c r="G4758" s="11" t="str">
        <f aca="false">IF($A4758="","",IF(원본명단!$K4757="",0,COUNTIF(원본명단!$K$3:$K$6002,원본명단!$K4757)))</f>
        <v/>
      </c>
      <c r="H4758" s="11" t="str">
        <f aca="false">IF($A4758="","",IF(MAX($E4758,$F4758,$G4758)&gt;1,"중복","-"))</f>
        <v/>
      </c>
      <c r="I4758" s="11" t="str">
        <f aca="false">IF($A4758="","",IF($H4758="-","-",IF(AND(IF(원본명단!$H4757="",TRUE(),COUNTIF(원본명단!$H$3:$H4757,원본명단!$H4757)=1),IF(원본명단!$I4757="",TRUE(),COUNTIF(원본명단!$I$3:$I4757,원본명단!$I4757)=1),IF(원본명단!$K4757="",TRUE(),COUNTIF(원본명단!$K$3:$K4757,원본명단!$K4757)=1)),"첫 건","중복 건")))</f>
        <v/>
      </c>
      <c r="J4758" s="11" t="str">
        <f aca="false">IF($A4758="","",IF($H4758="-","유지",IF($I4758="첫 건","유지","확인 필요")))</f>
        <v/>
      </c>
    </row>
    <row r="4759" customFormat="false" ht="15" hidden="false" customHeight="true" outlineLevel="0" collapsed="false">
      <c r="A4759" s="11" t="str">
        <f aca="false">IF(원본명단!$A4758="","",4756)</f>
        <v/>
      </c>
      <c r="B4759" s="12" t="str">
        <f aca="false">IF($A4759="","",원본명단!$A4758)</f>
        <v/>
      </c>
      <c r="C4759" s="12" t="str">
        <f aca="false">IF($A4759="","",원본명단!$B4758)</f>
        <v/>
      </c>
      <c r="D4759" s="12" t="str">
        <f aca="false">IF($A4759="","",원본명단!$D4758)</f>
        <v/>
      </c>
      <c r="E4759" s="11" t="str">
        <f aca="false">IF($A4759="","",IF(원본명단!$H4758="",0,COUNTIF(원본명단!$H$3:$H$6002,원본명단!$H4758)))</f>
        <v/>
      </c>
      <c r="F4759" s="11" t="str">
        <f aca="false">IF($A4759="","",IF(원본명단!$I4758="",0,COUNTIF(원본명단!$I$3:$I$6002,원본명단!$I4758)))</f>
        <v/>
      </c>
      <c r="G4759" s="11" t="str">
        <f aca="false">IF($A4759="","",IF(원본명단!$K4758="",0,COUNTIF(원본명단!$K$3:$K$6002,원본명단!$K4758)))</f>
        <v/>
      </c>
      <c r="H4759" s="11" t="str">
        <f aca="false">IF($A4759="","",IF(MAX($E4759,$F4759,$G4759)&gt;1,"중복","-"))</f>
        <v/>
      </c>
      <c r="I4759" s="11" t="str">
        <f aca="false">IF($A4759="","",IF($H4759="-","-",IF(AND(IF(원본명단!$H4758="",TRUE(),COUNTIF(원본명단!$H$3:$H4758,원본명단!$H4758)=1),IF(원본명단!$I4758="",TRUE(),COUNTIF(원본명단!$I$3:$I4758,원본명단!$I4758)=1),IF(원본명단!$K4758="",TRUE(),COUNTIF(원본명단!$K$3:$K4758,원본명단!$K4758)=1)),"첫 건","중복 건")))</f>
        <v/>
      </c>
      <c r="J4759" s="11" t="str">
        <f aca="false">IF($A4759="","",IF($H4759="-","유지",IF($I4759="첫 건","유지","확인 필요")))</f>
        <v/>
      </c>
    </row>
    <row r="4760" customFormat="false" ht="15" hidden="false" customHeight="true" outlineLevel="0" collapsed="false">
      <c r="A4760" s="11" t="str">
        <f aca="false">IF(원본명단!$A4759="","",4757)</f>
        <v/>
      </c>
      <c r="B4760" s="12" t="str">
        <f aca="false">IF($A4760="","",원본명단!$A4759)</f>
        <v/>
      </c>
      <c r="C4760" s="12" t="str">
        <f aca="false">IF($A4760="","",원본명단!$B4759)</f>
        <v/>
      </c>
      <c r="D4760" s="12" t="str">
        <f aca="false">IF($A4760="","",원본명단!$D4759)</f>
        <v/>
      </c>
      <c r="E4760" s="11" t="str">
        <f aca="false">IF($A4760="","",IF(원본명단!$H4759="",0,COUNTIF(원본명단!$H$3:$H$6002,원본명단!$H4759)))</f>
        <v/>
      </c>
      <c r="F4760" s="11" t="str">
        <f aca="false">IF($A4760="","",IF(원본명단!$I4759="",0,COUNTIF(원본명단!$I$3:$I$6002,원본명단!$I4759)))</f>
        <v/>
      </c>
      <c r="G4760" s="11" t="str">
        <f aca="false">IF($A4760="","",IF(원본명단!$K4759="",0,COUNTIF(원본명단!$K$3:$K$6002,원본명단!$K4759)))</f>
        <v/>
      </c>
      <c r="H4760" s="11" t="str">
        <f aca="false">IF($A4760="","",IF(MAX($E4760,$F4760,$G4760)&gt;1,"중복","-"))</f>
        <v/>
      </c>
      <c r="I4760" s="11" t="str">
        <f aca="false">IF($A4760="","",IF($H4760="-","-",IF(AND(IF(원본명단!$H4759="",TRUE(),COUNTIF(원본명단!$H$3:$H4759,원본명단!$H4759)=1),IF(원본명단!$I4759="",TRUE(),COUNTIF(원본명단!$I$3:$I4759,원본명단!$I4759)=1),IF(원본명단!$K4759="",TRUE(),COUNTIF(원본명단!$K$3:$K4759,원본명단!$K4759)=1)),"첫 건","중복 건")))</f>
        <v/>
      </c>
      <c r="J4760" s="11" t="str">
        <f aca="false">IF($A4760="","",IF($H4760="-","유지",IF($I4760="첫 건","유지","확인 필요")))</f>
        <v/>
      </c>
    </row>
    <row r="4761" customFormat="false" ht="15" hidden="false" customHeight="true" outlineLevel="0" collapsed="false">
      <c r="A4761" s="11" t="str">
        <f aca="false">IF(원본명단!$A4760="","",4758)</f>
        <v/>
      </c>
      <c r="B4761" s="12" t="str">
        <f aca="false">IF($A4761="","",원본명단!$A4760)</f>
        <v/>
      </c>
      <c r="C4761" s="12" t="str">
        <f aca="false">IF($A4761="","",원본명단!$B4760)</f>
        <v/>
      </c>
      <c r="D4761" s="12" t="str">
        <f aca="false">IF($A4761="","",원본명단!$D4760)</f>
        <v/>
      </c>
      <c r="E4761" s="11" t="str">
        <f aca="false">IF($A4761="","",IF(원본명단!$H4760="",0,COUNTIF(원본명단!$H$3:$H$6002,원본명단!$H4760)))</f>
        <v/>
      </c>
      <c r="F4761" s="11" t="str">
        <f aca="false">IF($A4761="","",IF(원본명단!$I4760="",0,COUNTIF(원본명단!$I$3:$I$6002,원본명단!$I4760)))</f>
        <v/>
      </c>
      <c r="G4761" s="11" t="str">
        <f aca="false">IF($A4761="","",IF(원본명단!$K4760="",0,COUNTIF(원본명단!$K$3:$K$6002,원본명단!$K4760)))</f>
        <v/>
      </c>
      <c r="H4761" s="11" t="str">
        <f aca="false">IF($A4761="","",IF(MAX($E4761,$F4761,$G4761)&gt;1,"중복","-"))</f>
        <v/>
      </c>
      <c r="I4761" s="11" t="str">
        <f aca="false">IF($A4761="","",IF($H4761="-","-",IF(AND(IF(원본명단!$H4760="",TRUE(),COUNTIF(원본명단!$H$3:$H4760,원본명단!$H4760)=1),IF(원본명단!$I4760="",TRUE(),COUNTIF(원본명단!$I$3:$I4760,원본명단!$I4760)=1),IF(원본명단!$K4760="",TRUE(),COUNTIF(원본명단!$K$3:$K4760,원본명단!$K4760)=1)),"첫 건","중복 건")))</f>
        <v/>
      </c>
      <c r="J4761" s="11" t="str">
        <f aca="false">IF($A4761="","",IF($H4761="-","유지",IF($I4761="첫 건","유지","확인 필요")))</f>
        <v/>
      </c>
    </row>
    <row r="4762" customFormat="false" ht="15" hidden="false" customHeight="true" outlineLevel="0" collapsed="false">
      <c r="A4762" s="11" t="str">
        <f aca="false">IF(원본명단!$A4761="","",4759)</f>
        <v/>
      </c>
      <c r="B4762" s="12" t="str">
        <f aca="false">IF($A4762="","",원본명단!$A4761)</f>
        <v/>
      </c>
      <c r="C4762" s="12" t="str">
        <f aca="false">IF($A4762="","",원본명단!$B4761)</f>
        <v/>
      </c>
      <c r="D4762" s="12" t="str">
        <f aca="false">IF($A4762="","",원본명단!$D4761)</f>
        <v/>
      </c>
      <c r="E4762" s="11" t="str">
        <f aca="false">IF($A4762="","",IF(원본명단!$H4761="",0,COUNTIF(원본명단!$H$3:$H$6002,원본명단!$H4761)))</f>
        <v/>
      </c>
      <c r="F4762" s="11" t="str">
        <f aca="false">IF($A4762="","",IF(원본명단!$I4761="",0,COUNTIF(원본명단!$I$3:$I$6002,원본명단!$I4761)))</f>
        <v/>
      </c>
      <c r="G4762" s="11" t="str">
        <f aca="false">IF($A4762="","",IF(원본명단!$K4761="",0,COUNTIF(원본명단!$K$3:$K$6002,원본명단!$K4761)))</f>
        <v/>
      </c>
      <c r="H4762" s="11" t="str">
        <f aca="false">IF($A4762="","",IF(MAX($E4762,$F4762,$G4762)&gt;1,"중복","-"))</f>
        <v/>
      </c>
      <c r="I4762" s="11" t="str">
        <f aca="false">IF($A4762="","",IF($H4762="-","-",IF(AND(IF(원본명단!$H4761="",TRUE(),COUNTIF(원본명단!$H$3:$H4761,원본명단!$H4761)=1),IF(원본명단!$I4761="",TRUE(),COUNTIF(원본명단!$I$3:$I4761,원본명단!$I4761)=1),IF(원본명단!$K4761="",TRUE(),COUNTIF(원본명단!$K$3:$K4761,원본명단!$K4761)=1)),"첫 건","중복 건")))</f>
        <v/>
      </c>
      <c r="J4762" s="11" t="str">
        <f aca="false">IF($A4762="","",IF($H4762="-","유지",IF($I4762="첫 건","유지","확인 필요")))</f>
        <v/>
      </c>
    </row>
    <row r="4763" customFormat="false" ht="15" hidden="false" customHeight="true" outlineLevel="0" collapsed="false">
      <c r="A4763" s="11" t="str">
        <f aca="false">IF(원본명단!$A4762="","",4760)</f>
        <v/>
      </c>
      <c r="B4763" s="12" t="str">
        <f aca="false">IF($A4763="","",원본명단!$A4762)</f>
        <v/>
      </c>
      <c r="C4763" s="12" t="str">
        <f aca="false">IF($A4763="","",원본명단!$B4762)</f>
        <v/>
      </c>
      <c r="D4763" s="12" t="str">
        <f aca="false">IF($A4763="","",원본명단!$D4762)</f>
        <v/>
      </c>
      <c r="E4763" s="11" t="str">
        <f aca="false">IF($A4763="","",IF(원본명단!$H4762="",0,COUNTIF(원본명단!$H$3:$H$6002,원본명단!$H4762)))</f>
        <v/>
      </c>
      <c r="F4763" s="11" t="str">
        <f aca="false">IF($A4763="","",IF(원본명단!$I4762="",0,COUNTIF(원본명단!$I$3:$I$6002,원본명단!$I4762)))</f>
        <v/>
      </c>
      <c r="G4763" s="11" t="str">
        <f aca="false">IF($A4763="","",IF(원본명단!$K4762="",0,COUNTIF(원본명단!$K$3:$K$6002,원본명단!$K4762)))</f>
        <v/>
      </c>
      <c r="H4763" s="11" t="str">
        <f aca="false">IF($A4763="","",IF(MAX($E4763,$F4763,$G4763)&gt;1,"중복","-"))</f>
        <v/>
      </c>
      <c r="I4763" s="11" t="str">
        <f aca="false">IF($A4763="","",IF($H4763="-","-",IF(AND(IF(원본명단!$H4762="",TRUE(),COUNTIF(원본명단!$H$3:$H4762,원본명단!$H4762)=1),IF(원본명단!$I4762="",TRUE(),COUNTIF(원본명단!$I$3:$I4762,원본명단!$I4762)=1),IF(원본명단!$K4762="",TRUE(),COUNTIF(원본명단!$K$3:$K4762,원본명단!$K4762)=1)),"첫 건","중복 건")))</f>
        <v/>
      </c>
      <c r="J4763" s="11" t="str">
        <f aca="false">IF($A4763="","",IF($H4763="-","유지",IF($I4763="첫 건","유지","확인 필요")))</f>
        <v/>
      </c>
    </row>
    <row r="4764" customFormat="false" ht="15" hidden="false" customHeight="true" outlineLevel="0" collapsed="false">
      <c r="A4764" s="11" t="str">
        <f aca="false">IF(원본명단!$A4763="","",4761)</f>
        <v/>
      </c>
      <c r="B4764" s="12" t="str">
        <f aca="false">IF($A4764="","",원본명단!$A4763)</f>
        <v/>
      </c>
      <c r="C4764" s="12" t="str">
        <f aca="false">IF($A4764="","",원본명단!$B4763)</f>
        <v/>
      </c>
      <c r="D4764" s="12" t="str">
        <f aca="false">IF($A4764="","",원본명단!$D4763)</f>
        <v/>
      </c>
      <c r="E4764" s="11" t="str">
        <f aca="false">IF($A4764="","",IF(원본명단!$H4763="",0,COUNTIF(원본명단!$H$3:$H$6002,원본명단!$H4763)))</f>
        <v/>
      </c>
      <c r="F4764" s="11" t="str">
        <f aca="false">IF($A4764="","",IF(원본명단!$I4763="",0,COUNTIF(원본명단!$I$3:$I$6002,원본명단!$I4763)))</f>
        <v/>
      </c>
      <c r="G4764" s="11" t="str">
        <f aca="false">IF($A4764="","",IF(원본명단!$K4763="",0,COUNTIF(원본명단!$K$3:$K$6002,원본명단!$K4763)))</f>
        <v/>
      </c>
      <c r="H4764" s="11" t="str">
        <f aca="false">IF($A4764="","",IF(MAX($E4764,$F4764,$G4764)&gt;1,"중복","-"))</f>
        <v/>
      </c>
      <c r="I4764" s="11" t="str">
        <f aca="false">IF($A4764="","",IF($H4764="-","-",IF(AND(IF(원본명단!$H4763="",TRUE(),COUNTIF(원본명단!$H$3:$H4763,원본명단!$H4763)=1),IF(원본명단!$I4763="",TRUE(),COUNTIF(원본명단!$I$3:$I4763,원본명단!$I4763)=1),IF(원본명단!$K4763="",TRUE(),COUNTIF(원본명단!$K$3:$K4763,원본명단!$K4763)=1)),"첫 건","중복 건")))</f>
        <v/>
      </c>
      <c r="J4764" s="11" t="str">
        <f aca="false">IF($A4764="","",IF($H4764="-","유지",IF($I4764="첫 건","유지","확인 필요")))</f>
        <v/>
      </c>
    </row>
    <row r="4765" customFormat="false" ht="15" hidden="false" customHeight="true" outlineLevel="0" collapsed="false">
      <c r="A4765" s="11" t="str">
        <f aca="false">IF(원본명단!$A4764="","",4762)</f>
        <v/>
      </c>
      <c r="B4765" s="12" t="str">
        <f aca="false">IF($A4765="","",원본명단!$A4764)</f>
        <v/>
      </c>
      <c r="C4765" s="12" t="str">
        <f aca="false">IF($A4765="","",원본명단!$B4764)</f>
        <v/>
      </c>
      <c r="D4765" s="12" t="str">
        <f aca="false">IF($A4765="","",원본명단!$D4764)</f>
        <v/>
      </c>
      <c r="E4765" s="11" t="str">
        <f aca="false">IF($A4765="","",IF(원본명단!$H4764="",0,COUNTIF(원본명단!$H$3:$H$6002,원본명단!$H4764)))</f>
        <v/>
      </c>
      <c r="F4765" s="11" t="str">
        <f aca="false">IF($A4765="","",IF(원본명단!$I4764="",0,COUNTIF(원본명단!$I$3:$I$6002,원본명단!$I4764)))</f>
        <v/>
      </c>
      <c r="G4765" s="11" t="str">
        <f aca="false">IF($A4765="","",IF(원본명단!$K4764="",0,COUNTIF(원본명단!$K$3:$K$6002,원본명단!$K4764)))</f>
        <v/>
      </c>
      <c r="H4765" s="11" t="str">
        <f aca="false">IF($A4765="","",IF(MAX($E4765,$F4765,$G4765)&gt;1,"중복","-"))</f>
        <v/>
      </c>
      <c r="I4765" s="11" t="str">
        <f aca="false">IF($A4765="","",IF($H4765="-","-",IF(AND(IF(원본명단!$H4764="",TRUE(),COUNTIF(원본명단!$H$3:$H4764,원본명단!$H4764)=1),IF(원본명단!$I4764="",TRUE(),COUNTIF(원본명단!$I$3:$I4764,원본명단!$I4764)=1),IF(원본명단!$K4764="",TRUE(),COUNTIF(원본명단!$K$3:$K4764,원본명단!$K4764)=1)),"첫 건","중복 건")))</f>
        <v/>
      </c>
      <c r="J4765" s="11" t="str">
        <f aca="false">IF($A4765="","",IF($H4765="-","유지",IF($I4765="첫 건","유지","확인 필요")))</f>
        <v/>
      </c>
    </row>
    <row r="4766" customFormat="false" ht="15" hidden="false" customHeight="true" outlineLevel="0" collapsed="false">
      <c r="A4766" s="11" t="str">
        <f aca="false">IF(원본명단!$A4765="","",4763)</f>
        <v/>
      </c>
      <c r="B4766" s="12" t="str">
        <f aca="false">IF($A4766="","",원본명단!$A4765)</f>
        <v/>
      </c>
      <c r="C4766" s="12" t="str">
        <f aca="false">IF($A4766="","",원본명단!$B4765)</f>
        <v/>
      </c>
      <c r="D4766" s="12" t="str">
        <f aca="false">IF($A4766="","",원본명단!$D4765)</f>
        <v/>
      </c>
      <c r="E4766" s="11" t="str">
        <f aca="false">IF($A4766="","",IF(원본명단!$H4765="",0,COUNTIF(원본명단!$H$3:$H$6002,원본명단!$H4765)))</f>
        <v/>
      </c>
      <c r="F4766" s="11" t="str">
        <f aca="false">IF($A4766="","",IF(원본명단!$I4765="",0,COUNTIF(원본명단!$I$3:$I$6002,원본명단!$I4765)))</f>
        <v/>
      </c>
      <c r="G4766" s="11" t="str">
        <f aca="false">IF($A4766="","",IF(원본명단!$K4765="",0,COUNTIF(원본명단!$K$3:$K$6002,원본명단!$K4765)))</f>
        <v/>
      </c>
      <c r="H4766" s="11" t="str">
        <f aca="false">IF($A4766="","",IF(MAX($E4766,$F4766,$G4766)&gt;1,"중복","-"))</f>
        <v/>
      </c>
      <c r="I4766" s="11" t="str">
        <f aca="false">IF($A4766="","",IF($H4766="-","-",IF(AND(IF(원본명단!$H4765="",TRUE(),COUNTIF(원본명단!$H$3:$H4765,원본명단!$H4765)=1),IF(원본명단!$I4765="",TRUE(),COUNTIF(원본명단!$I$3:$I4765,원본명단!$I4765)=1),IF(원본명단!$K4765="",TRUE(),COUNTIF(원본명단!$K$3:$K4765,원본명단!$K4765)=1)),"첫 건","중복 건")))</f>
        <v/>
      </c>
      <c r="J4766" s="11" t="str">
        <f aca="false">IF($A4766="","",IF($H4766="-","유지",IF($I4766="첫 건","유지","확인 필요")))</f>
        <v/>
      </c>
    </row>
    <row r="4767" customFormat="false" ht="15" hidden="false" customHeight="true" outlineLevel="0" collapsed="false">
      <c r="A4767" s="11" t="str">
        <f aca="false">IF(원본명단!$A4766="","",4764)</f>
        <v/>
      </c>
      <c r="B4767" s="12" t="str">
        <f aca="false">IF($A4767="","",원본명단!$A4766)</f>
        <v/>
      </c>
      <c r="C4767" s="12" t="str">
        <f aca="false">IF($A4767="","",원본명단!$B4766)</f>
        <v/>
      </c>
      <c r="D4767" s="12" t="str">
        <f aca="false">IF($A4767="","",원본명단!$D4766)</f>
        <v/>
      </c>
      <c r="E4767" s="11" t="str">
        <f aca="false">IF($A4767="","",IF(원본명단!$H4766="",0,COUNTIF(원본명단!$H$3:$H$6002,원본명단!$H4766)))</f>
        <v/>
      </c>
      <c r="F4767" s="11" t="str">
        <f aca="false">IF($A4767="","",IF(원본명단!$I4766="",0,COUNTIF(원본명단!$I$3:$I$6002,원본명단!$I4766)))</f>
        <v/>
      </c>
      <c r="G4767" s="11" t="str">
        <f aca="false">IF($A4767="","",IF(원본명단!$K4766="",0,COUNTIF(원본명단!$K$3:$K$6002,원본명단!$K4766)))</f>
        <v/>
      </c>
      <c r="H4767" s="11" t="str">
        <f aca="false">IF($A4767="","",IF(MAX($E4767,$F4767,$G4767)&gt;1,"중복","-"))</f>
        <v/>
      </c>
      <c r="I4767" s="11" t="str">
        <f aca="false">IF($A4767="","",IF($H4767="-","-",IF(AND(IF(원본명단!$H4766="",TRUE(),COUNTIF(원본명단!$H$3:$H4766,원본명단!$H4766)=1),IF(원본명단!$I4766="",TRUE(),COUNTIF(원본명단!$I$3:$I4766,원본명단!$I4766)=1),IF(원본명단!$K4766="",TRUE(),COUNTIF(원본명단!$K$3:$K4766,원본명단!$K4766)=1)),"첫 건","중복 건")))</f>
        <v/>
      </c>
      <c r="J4767" s="11" t="str">
        <f aca="false">IF($A4767="","",IF($H4767="-","유지",IF($I4767="첫 건","유지","확인 필요")))</f>
        <v/>
      </c>
    </row>
    <row r="4768" customFormat="false" ht="15" hidden="false" customHeight="true" outlineLevel="0" collapsed="false">
      <c r="A4768" s="11" t="str">
        <f aca="false">IF(원본명단!$A4767="","",4765)</f>
        <v/>
      </c>
      <c r="B4768" s="12" t="str">
        <f aca="false">IF($A4768="","",원본명단!$A4767)</f>
        <v/>
      </c>
      <c r="C4768" s="12" t="str">
        <f aca="false">IF($A4768="","",원본명단!$B4767)</f>
        <v/>
      </c>
      <c r="D4768" s="12" t="str">
        <f aca="false">IF($A4768="","",원본명단!$D4767)</f>
        <v/>
      </c>
      <c r="E4768" s="11" t="str">
        <f aca="false">IF($A4768="","",IF(원본명단!$H4767="",0,COUNTIF(원본명단!$H$3:$H$6002,원본명단!$H4767)))</f>
        <v/>
      </c>
      <c r="F4768" s="11" t="str">
        <f aca="false">IF($A4768="","",IF(원본명단!$I4767="",0,COUNTIF(원본명단!$I$3:$I$6002,원본명단!$I4767)))</f>
        <v/>
      </c>
      <c r="G4768" s="11" t="str">
        <f aca="false">IF($A4768="","",IF(원본명단!$K4767="",0,COUNTIF(원본명단!$K$3:$K$6002,원본명단!$K4767)))</f>
        <v/>
      </c>
      <c r="H4768" s="11" t="str">
        <f aca="false">IF($A4768="","",IF(MAX($E4768,$F4768,$G4768)&gt;1,"중복","-"))</f>
        <v/>
      </c>
      <c r="I4768" s="11" t="str">
        <f aca="false">IF($A4768="","",IF($H4768="-","-",IF(AND(IF(원본명단!$H4767="",TRUE(),COUNTIF(원본명단!$H$3:$H4767,원본명단!$H4767)=1),IF(원본명단!$I4767="",TRUE(),COUNTIF(원본명단!$I$3:$I4767,원본명단!$I4767)=1),IF(원본명단!$K4767="",TRUE(),COUNTIF(원본명단!$K$3:$K4767,원본명단!$K4767)=1)),"첫 건","중복 건")))</f>
        <v/>
      </c>
      <c r="J4768" s="11" t="str">
        <f aca="false">IF($A4768="","",IF($H4768="-","유지",IF($I4768="첫 건","유지","확인 필요")))</f>
        <v/>
      </c>
    </row>
    <row r="4769" customFormat="false" ht="15" hidden="false" customHeight="true" outlineLevel="0" collapsed="false">
      <c r="A4769" s="11" t="str">
        <f aca="false">IF(원본명단!$A4768="","",4766)</f>
        <v/>
      </c>
      <c r="B4769" s="12" t="str">
        <f aca="false">IF($A4769="","",원본명단!$A4768)</f>
        <v/>
      </c>
      <c r="C4769" s="12" t="str">
        <f aca="false">IF($A4769="","",원본명단!$B4768)</f>
        <v/>
      </c>
      <c r="D4769" s="12" t="str">
        <f aca="false">IF($A4769="","",원본명단!$D4768)</f>
        <v/>
      </c>
      <c r="E4769" s="11" t="str">
        <f aca="false">IF($A4769="","",IF(원본명단!$H4768="",0,COUNTIF(원본명단!$H$3:$H$6002,원본명단!$H4768)))</f>
        <v/>
      </c>
      <c r="F4769" s="11" t="str">
        <f aca="false">IF($A4769="","",IF(원본명단!$I4768="",0,COUNTIF(원본명단!$I$3:$I$6002,원본명단!$I4768)))</f>
        <v/>
      </c>
      <c r="G4769" s="11" t="str">
        <f aca="false">IF($A4769="","",IF(원본명단!$K4768="",0,COUNTIF(원본명단!$K$3:$K$6002,원본명단!$K4768)))</f>
        <v/>
      </c>
      <c r="H4769" s="11" t="str">
        <f aca="false">IF($A4769="","",IF(MAX($E4769,$F4769,$G4769)&gt;1,"중복","-"))</f>
        <v/>
      </c>
      <c r="I4769" s="11" t="str">
        <f aca="false">IF($A4769="","",IF($H4769="-","-",IF(AND(IF(원본명단!$H4768="",TRUE(),COUNTIF(원본명단!$H$3:$H4768,원본명단!$H4768)=1),IF(원본명단!$I4768="",TRUE(),COUNTIF(원본명단!$I$3:$I4768,원본명단!$I4768)=1),IF(원본명단!$K4768="",TRUE(),COUNTIF(원본명단!$K$3:$K4768,원본명단!$K4768)=1)),"첫 건","중복 건")))</f>
        <v/>
      </c>
      <c r="J4769" s="11" t="str">
        <f aca="false">IF($A4769="","",IF($H4769="-","유지",IF($I4769="첫 건","유지","확인 필요")))</f>
        <v/>
      </c>
    </row>
    <row r="4770" customFormat="false" ht="15" hidden="false" customHeight="true" outlineLevel="0" collapsed="false">
      <c r="A4770" s="11" t="str">
        <f aca="false">IF(원본명단!$A4769="","",4767)</f>
        <v/>
      </c>
      <c r="B4770" s="12" t="str">
        <f aca="false">IF($A4770="","",원본명단!$A4769)</f>
        <v/>
      </c>
      <c r="C4770" s="12" t="str">
        <f aca="false">IF($A4770="","",원본명단!$B4769)</f>
        <v/>
      </c>
      <c r="D4770" s="12" t="str">
        <f aca="false">IF($A4770="","",원본명단!$D4769)</f>
        <v/>
      </c>
      <c r="E4770" s="11" t="str">
        <f aca="false">IF($A4770="","",IF(원본명단!$H4769="",0,COUNTIF(원본명단!$H$3:$H$6002,원본명단!$H4769)))</f>
        <v/>
      </c>
      <c r="F4770" s="11" t="str">
        <f aca="false">IF($A4770="","",IF(원본명단!$I4769="",0,COUNTIF(원본명단!$I$3:$I$6002,원본명단!$I4769)))</f>
        <v/>
      </c>
      <c r="G4770" s="11" t="str">
        <f aca="false">IF($A4770="","",IF(원본명단!$K4769="",0,COUNTIF(원본명단!$K$3:$K$6002,원본명단!$K4769)))</f>
        <v/>
      </c>
      <c r="H4770" s="11" t="str">
        <f aca="false">IF($A4770="","",IF(MAX($E4770,$F4770,$G4770)&gt;1,"중복","-"))</f>
        <v/>
      </c>
      <c r="I4770" s="11" t="str">
        <f aca="false">IF($A4770="","",IF($H4770="-","-",IF(AND(IF(원본명단!$H4769="",TRUE(),COUNTIF(원본명단!$H$3:$H4769,원본명단!$H4769)=1),IF(원본명단!$I4769="",TRUE(),COUNTIF(원본명단!$I$3:$I4769,원본명단!$I4769)=1),IF(원본명단!$K4769="",TRUE(),COUNTIF(원본명단!$K$3:$K4769,원본명단!$K4769)=1)),"첫 건","중복 건")))</f>
        <v/>
      </c>
      <c r="J4770" s="11" t="str">
        <f aca="false">IF($A4770="","",IF($H4770="-","유지",IF($I4770="첫 건","유지","확인 필요")))</f>
        <v/>
      </c>
    </row>
    <row r="4771" customFormat="false" ht="15" hidden="false" customHeight="true" outlineLevel="0" collapsed="false">
      <c r="A4771" s="11" t="str">
        <f aca="false">IF(원본명단!$A4770="","",4768)</f>
        <v/>
      </c>
      <c r="B4771" s="12" t="str">
        <f aca="false">IF($A4771="","",원본명단!$A4770)</f>
        <v/>
      </c>
      <c r="C4771" s="12" t="str">
        <f aca="false">IF($A4771="","",원본명단!$B4770)</f>
        <v/>
      </c>
      <c r="D4771" s="12" t="str">
        <f aca="false">IF($A4771="","",원본명단!$D4770)</f>
        <v/>
      </c>
      <c r="E4771" s="11" t="str">
        <f aca="false">IF($A4771="","",IF(원본명단!$H4770="",0,COUNTIF(원본명단!$H$3:$H$6002,원본명단!$H4770)))</f>
        <v/>
      </c>
      <c r="F4771" s="11" t="str">
        <f aca="false">IF($A4771="","",IF(원본명단!$I4770="",0,COUNTIF(원본명단!$I$3:$I$6002,원본명단!$I4770)))</f>
        <v/>
      </c>
      <c r="G4771" s="11" t="str">
        <f aca="false">IF($A4771="","",IF(원본명단!$K4770="",0,COUNTIF(원본명단!$K$3:$K$6002,원본명단!$K4770)))</f>
        <v/>
      </c>
      <c r="H4771" s="11" t="str">
        <f aca="false">IF($A4771="","",IF(MAX($E4771,$F4771,$G4771)&gt;1,"중복","-"))</f>
        <v/>
      </c>
      <c r="I4771" s="11" t="str">
        <f aca="false">IF($A4771="","",IF($H4771="-","-",IF(AND(IF(원본명단!$H4770="",TRUE(),COUNTIF(원본명단!$H$3:$H4770,원본명단!$H4770)=1),IF(원본명단!$I4770="",TRUE(),COUNTIF(원본명단!$I$3:$I4770,원본명단!$I4770)=1),IF(원본명단!$K4770="",TRUE(),COUNTIF(원본명단!$K$3:$K4770,원본명단!$K4770)=1)),"첫 건","중복 건")))</f>
        <v/>
      </c>
      <c r="J4771" s="11" t="str">
        <f aca="false">IF($A4771="","",IF($H4771="-","유지",IF($I4771="첫 건","유지","확인 필요")))</f>
        <v/>
      </c>
    </row>
    <row r="4772" customFormat="false" ht="15" hidden="false" customHeight="true" outlineLevel="0" collapsed="false">
      <c r="A4772" s="11" t="str">
        <f aca="false">IF(원본명단!$A4771="","",4769)</f>
        <v/>
      </c>
      <c r="B4772" s="12" t="str">
        <f aca="false">IF($A4772="","",원본명단!$A4771)</f>
        <v/>
      </c>
      <c r="C4772" s="12" t="str">
        <f aca="false">IF($A4772="","",원본명단!$B4771)</f>
        <v/>
      </c>
      <c r="D4772" s="12" t="str">
        <f aca="false">IF($A4772="","",원본명단!$D4771)</f>
        <v/>
      </c>
      <c r="E4772" s="11" t="str">
        <f aca="false">IF($A4772="","",IF(원본명단!$H4771="",0,COUNTIF(원본명단!$H$3:$H$6002,원본명단!$H4771)))</f>
        <v/>
      </c>
      <c r="F4772" s="11" t="str">
        <f aca="false">IF($A4772="","",IF(원본명단!$I4771="",0,COUNTIF(원본명단!$I$3:$I$6002,원본명단!$I4771)))</f>
        <v/>
      </c>
      <c r="G4772" s="11" t="str">
        <f aca="false">IF($A4772="","",IF(원본명단!$K4771="",0,COUNTIF(원본명단!$K$3:$K$6002,원본명단!$K4771)))</f>
        <v/>
      </c>
      <c r="H4772" s="11" t="str">
        <f aca="false">IF($A4772="","",IF(MAX($E4772,$F4772,$G4772)&gt;1,"중복","-"))</f>
        <v/>
      </c>
      <c r="I4772" s="11" t="str">
        <f aca="false">IF($A4772="","",IF($H4772="-","-",IF(AND(IF(원본명단!$H4771="",TRUE(),COUNTIF(원본명단!$H$3:$H4771,원본명단!$H4771)=1),IF(원본명단!$I4771="",TRUE(),COUNTIF(원본명단!$I$3:$I4771,원본명단!$I4771)=1),IF(원본명단!$K4771="",TRUE(),COUNTIF(원본명단!$K$3:$K4771,원본명단!$K4771)=1)),"첫 건","중복 건")))</f>
        <v/>
      </c>
      <c r="J4772" s="11" t="str">
        <f aca="false">IF($A4772="","",IF($H4772="-","유지",IF($I4772="첫 건","유지","확인 필요")))</f>
        <v/>
      </c>
    </row>
    <row r="4773" customFormat="false" ht="15" hidden="false" customHeight="true" outlineLevel="0" collapsed="false">
      <c r="A4773" s="11" t="str">
        <f aca="false">IF(원본명단!$A4772="","",4770)</f>
        <v/>
      </c>
      <c r="B4773" s="12" t="str">
        <f aca="false">IF($A4773="","",원본명단!$A4772)</f>
        <v/>
      </c>
      <c r="C4773" s="12" t="str">
        <f aca="false">IF($A4773="","",원본명단!$B4772)</f>
        <v/>
      </c>
      <c r="D4773" s="12" t="str">
        <f aca="false">IF($A4773="","",원본명단!$D4772)</f>
        <v/>
      </c>
      <c r="E4773" s="11" t="str">
        <f aca="false">IF($A4773="","",IF(원본명단!$H4772="",0,COUNTIF(원본명단!$H$3:$H$6002,원본명단!$H4772)))</f>
        <v/>
      </c>
      <c r="F4773" s="11" t="str">
        <f aca="false">IF($A4773="","",IF(원본명단!$I4772="",0,COUNTIF(원본명단!$I$3:$I$6002,원본명단!$I4772)))</f>
        <v/>
      </c>
      <c r="G4773" s="11" t="str">
        <f aca="false">IF($A4773="","",IF(원본명단!$K4772="",0,COUNTIF(원본명단!$K$3:$K$6002,원본명단!$K4772)))</f>
        <v/>
      </c>
      <c r="H4773" s="11" t="str">
        <f aca="false">IF($A4773="","",IF(MAX($E4773,$F4773,$G4773)&gt;1,"중복","-"))</f>
        <v/>
      </c>
      <c r="I4773" s="11" t="str">
        <f aca="false">IF($A4773="","",IF($H4773="-","-",IF(AND(IF(원본명단!$H4772="",TRUE(),COUNTIF(원본명단!$H$3:$H4772,원본명단!$H4772)=1),IF(원본명단!$I4772="",TRUE(),COUNTIF(원본명단!$I$3:$I4772,원본명단!$I4772)=1),IF(원본명단!$K4772="",TRUE(),COUNTIF(원본명단!$K$3:$K4772,원본명단!$K4772)=1)),"첫 건","중복 건")))</f>
        <v/>
      </c>
      <c r="J4773" s="11" t="str">
        <f aca="false">IF($A4773="","",IF($H4773="-","유지",IF($I4773="첫 건","유지","확인 필요")))</f>
        <v/>
      </c>
    </row>
    <row r="4774" customFormat="false" ht="15" hidden="false" customHeight="true" outlineLevel="0" collapsed="false">
      <c r="A4774" s="11" t="str">
        <f aca="false">IF(원본명단!$A4773="","",4771)</f>
        <v/>
      </c>
      <c r="B4774" s="12" t="str">
        <f aca="false">IF($A4774="","",원본명단!$A4773)</f>
        <v/>
      </c>
      <c r="C4774" s="12" t="str">
        <f aca="false">IF($A4774="","",원본명단!$B4773)</f>
        <v/>
      </c>
      <c r="D4774" s="12" t="str">
        <f aca="false">IF($A4774="","",원본명단!$D4773)</f>
        <v/>
      </c>
      <c r="E4774" s="11" t="str">
        <f aca="false">IF($A4774="","",IF(원본명단!$H4773="",0,COUNTIF(원본명단!$H$3:$H$6002,원본명단!$H4773)))</f>
        <v/>
      </c>
      <c r="F4774" s="11" t="str">
        <f aca="false">IF($A4774="","",IF(원본명단!$I4773="",0,COUNTIF(원본명단!$I$3:$I$6002,원본명단!$I4773)))</f>
        <v/>
      </c>
      <c r="G4774" s="11" t="str">
        <f aca="false">IF($A4774="","",IF(원본명단!$K4773="",0,COUNTIF(원본명단!$K$3:$K$6002,원본명단!$K4773)))</f>
        <v/>
      </c>
      <c r="H4774" s="11" t="str">
        <f aca="false">IF($A4774="","",IF(MAX($E4774,$F4774,$G4774)&gt;1,"중복","-"))</f>
        <v/>
      </c>
      <c r="I4774" s="11" t="str">
        <f aca="false">IF($A4774="","",IF($H4774="-","-",IF(AND(IF(원본명단!$H4773="",TRUE(),COUNTIF(원본명단!$H$3:$H4773,원본명단!$H4773)=1),IF(원본명단!$I4773="",TRUE(),COUNTIF(원본명단!$I$3:$I4773,원본명단!$I4773)=1),IF(원본명단!$K4773="",TRUE(),COUNTIF(원본명단!$K$3:$K4773,원본명단!$K4773)=1)),"첫 건","중복 건")))</f>
        <v/>
      </c>
      <c r="J4774" s="11" t="str">
        <f aca="false">IF($A4774="","",IF($H4774="-","유지",IF($I4774="첫 건","유지","확인 필요")))</f>
        <v/>
      </c>
    </row>
    <row r="4775" customFormat="false" ht="15" hidden="false" customHeight="true" outlineLevel="0" collapsed="false">
      <c r="A4775" s="11" t="str">
        <f aca="false">IF(원본명단!$A4774="","",4772)</f>
        <v/>
      </c>
      <c r="B4775" s="12" t="str">
        <f aca="false">IF($A4775="","",원본명단!$A4774)</f>
        <v/>
      </c>
      <c r="C4775" s="12" t="str">
        <f aca="false">IF($A4775="","",원본명단!$B4774)</f>
        <v/>
      </c>
      <c r="D4775" s="12" t="str">
        <f aca="false">IF($A4775="","",원본명단!$D4774)</f>
        <v/>
      </c>
      <c r="E4775" s="11" t="str">
        <f aca="false">IF($A4775="","",IF(원본명단!$H4774="",0,COUNTIF(원본명단!$H$3:$H$6002,원본명단!$H4774)))</f>
        <v/>
      </c>
      <c r="F4775" s="11" t="str">
        <f aca="false">IF($A4775="","",IF(원본명단!$I4774="",0,COUNTIF(원본명단!$I$3:$I$6002,원본명단!$I4774)))</f>
        <v/>
      </c>
      <c r="G4775" s="11" t="str">
        <f aca="false">IF($A4775="","",IF(원본명단!$K4774="",0,COUNTIF(원본명단!$K$3:$K$6002,원본명단!$K4774)))</f>
        <v/>
      </c>
      <c r="H4775" s="11" t="str">
        <f aca="false">IF($A4775="","",IF(MAX($E4775,$F4775,$G4775)&gt;1,"중복","-"))</f>
        <v/>
      </c>
      <c r="I4775" s="11" t="str">
        <f aca="false">IF($A4775="","",IF($H4775="-","-",IF(AND(IF(원본명단!$H4774="",TRUE(),COUNTIF(원본명단!$H$3:$H4774,원본명단!$H4774)=1),IF(원본명단!$I4774="",TRUE(),COUNTIF(원본명단!$I$3:$I4774,원본명단!$I4774)=1),IF(원본명단!$K4774="",TRUE(),COUNTIF(원본명단!$K$3:$K4774,원본명단!$K4774)=1)),"첫 건","중복 건")))</f>
        <v/>
      </c>
      <c r="J4775" s="11" t="str">
        <f aca="false">IF($A4775="","",IF($H4775="-","유지",IF($I4775="첫 건","유지","확인 필요")))</f>
        <v/>
      </c>
    </row>
    <row r="4776" customFormat="false" ht="15" hidden="false" customHeight="true" outlineLevel="0" collapsed="false">
      <c r="A4776" s="11" t="str">
        <f aca="false">IF(원본명단!$A4775="","",4773)</f>
        <v/>
      </c>
      <c r="B4776" s="12" t="str">
        <f aca="false">IF($A4776="","",원본명단!$A4775)</f>
        <v/>
      </c>
      <c r="C4776" s="12" t="str">
        <f aca="false">IF($A4776="","",원본명단!$B4775)</f>
        <v/>
      </c>
      <c r="D4776" s="12" t="str">
        <f aca="false">IF($A4776="","",원본명단!$D4775)</f>
        <v/>
      </c>
      <c r="E4776" s="11" t="str">
        <f aca="false">IF($A4776="","",IF(원본명단!$H4775="",0,COUNTIF(원본명단!$H$3:$H$6002,원본명단!$H4775)))</f>
        <v/>
      </c>
      <c r="F4776" s="11" t="str">
        <f aca="false">IF($A4776="","",IF(원본명단!$I4775="",0,COUNTIF(원본명단!$I$3:$I$6002,원본명단!$I4775)))</f>
        <v/>
      </c>
      <c r="G4776" s="11" t="str">
        <f aca="false">IF($A4776="","",IF(원본명단!$K4775="",0,COUNTIF(원본명단!$K$3:$K$6002,원본명단!$K4775)))</f>
        <v/>
      </c>
      <c r="H4776" s="11" t="str">
        <f aca="false">IF($A4776="","",IF(MAX($E4776,$F4776,$G4776)&gt;1,"중복","-"))</f>
        <v/>
      </c>
      <c r="I4776" s="11" t="str">
        <f aca="false">IF($A4776="","",IF($H4776="-","-",IF(AND(IF(원본명단!$H4775="",TRUE(),COUNTIF(원본명단!$H$3:$H4775,원본명단!$H4775)=1),IF(원본명단!$I4775="",TRUE(),COUNTIF(원본명단!$I$3:$I4775,원본명단!$I4775)=1),IF(원본명단!$K4775="",TRUE(),COUNTIF(원본명단!$K$3:$K4775,원본명단!$K4775)=1)),"첫 건","중복 건")))</f>
        <v/>
      </c>
      <c r="J4776" s="11" t="str">
        <f aca="false">IF($A4776="","",IF($H4776="-","유지",IF($I4776="첫 건","유지","확인 필요")))</f>
        <v/>
      </c>
    </row>
    <row r="4777" customFormat="false" ht="15" hidden="false" customHeight="true" outlineLevel="0" collapsed="false">
      <c r="A4777" s="11" t="str">
        <f aca="false">IF(원본명단!$A4776="","",4774)</f>
        <v/>
      </c>
      <c r="B4777" s="12" t="str">
        <f aca="false">IF($A4777="","",원본명단!$A4776)</f>
        <v/>
      </c>
      <c r="C4777" s="12" t="str">
        <f aca="false">IF($A4777="","",원본명단!$B4776)</f>
        <v/>
      </c>
      <c r="D4777" s="12" t="str">
        <f aca="false">IF($A4777="","",원본명단!$D4776)</f>
        <v/>
      </c>
      <c r="E4777" s="11" t="str">
        <f aca="false">IF($A4777="","",IF(원본명단!$H4776="",0,COUNTIF(원본명단!$H$3:$H$6002,원본명단!$H4776)))</f>
        <v/>
      </c>
      <c r="F4777" s="11" t="str">
        <f aca="false">IF($A4777="","",IF(원본명단!$I4776="",0,COUNTIF(원본명단!$I$3:$I$6002,원본명단!$I4776)))</f>
        <v/>
      </c>
      <c r="G4777" s="11" t="str">
        <f aca="false">IF($A4777="","",IF(원본명단!$K4776="",0,COUNTIF(원본명단!$K$3:$K$6002,원본명단!$K4776)))</f>
        <v/>
      </c>
      <c r="H4777" s="11" t="str">
        <f aca="false">IF($A4777="","",IF(MAX($E4777,$F4777,$G4777)&gt;1,"중복","-"))</f>
        <v/>
      </c>
      <c r="I4777" s="11" t="str">
        <f aca="false">IF($A4777="","",IF($H4777="-","-",IF(AND(IF(원본명단!$H4776="",TRUE(),COUNTIF(원본명단!$H$3:$H4776,원본명단!$H4776)=1),IF(원본명단!$I4776="",TRUE(),COUNTIF(원본명단!$I$3:$I4776,원본명단!$I4776)=1),IF(원본명단!$K4776="",TRUE(),COUNTIF(원본명단!$K$3:$K4776,원본명단!$K4776)=1)),"첫 건","중복 건")))</f>
        <v/>
      </c>
      <c r="J4777" s="11" t="str">
        <f aca="false">IF($A4777="","",IF($H4777="-","유지",IF($I4777="첫 건","유지","확인 필요")))</f>
        <v/>
      </c>
    </row>
    <row r="4778" customFormat="false" ht="15" hidden="false" customHeight="true" outlineLevel="0" collapsed="false">
      <c r="A4778" s="11" t="str">
        <f aca="false">IF(원본명단!$A4777="","",4775)</f>
        <v/>
      </c>
      <c r="B4778" s="12" t="str">
        <f aca="false">IF($A4778="","",원본명단!$A4777)</f>
        <v/>
      </c>
      <c r="C4778" s="12" t="str">
        <f aca="false">IF($A4778="","",원본명단!$B4777)</f>
        <v/>
      </c>
      <c r="D4778" s="12" t="str">
        <f aca="false">IF($A4778="","",원본명단!$D4777)</f>
        <v/>
      </c>
      <c r="E4778" s="11" t="str">
        <f aca="false">IF($A4778="","",IF(원본명단!$H4777="",0,COUNTIF(원본명단!$H$3:$H$6002,원본명단!$H4777)))</f>
        <v/>
      </c>
      <c r="F4778" s="11" t="str">
        <f aca="false">IF($A4778="","",IF(원본명단!$I4777="",0,COUNTIF(원본명단!$I$3:$I$6002,원본명단!$I4777)))</f>
        <v/>
      </c>
      <c r="G4778" s="11" t="str">
        <f aca="false">IF($A4778="","",IF(원본명단!$K4777="",0,COUNTIF(원본명단!$K$3:$K$6002,원본명단!$K4777)))</f>
        <v/>
      </c>
      <c r="H4778" s="11" t="str">
        <f aca="false">IF($A4778="","",IF(MAX($E4778,$F4778,$G4778)&gt;1,"중복","-"))</f>
        <v/>
      </c>
      <c r="I4778" s="11" t="str">
        <f aca="false">IF($A4778="","",IF($H4778="-","-",IF(AND(IF(원본명단!$H4777="",TRUE(),COUNTIF(원본명단!$H$3:$H4777,원본명단!$H4777)=1),IF(원본명단!$I4777="",TRUE(),COUNTIF(원본명단!$I$3:$I4777,원본명단!$I4777)=1),IF(원본명단!$K4777="",TRUE(),COUNTIF(원본명단!$K$3:$K4777,원본명단!$K4777)=1)),"첫 건","중복 건")))</f>
        <v/>
      </c>
      <c r="J4778" s="11" t="str">
        <f aca="false">IF($A4778="","",IF($H4778="-","유지",IF($I4778="첫 건","유지","확인 필요")))</f>
        <v/>
      </c>
    </row>
    <row r="4779" customFormat="false" ht="15" hidden="false" customHeight="true" outlineLevel="0" collapsed="false">
      <c r="A4779" s="11" t="str">
        <f aca="false">IF(원본명단!$A4778="","",4776)</f>
        <v/>
      </c>
      <c r="B4779" s="12" t="str">
        <f aca="false">IF($A4779="","",원본명단!$A4778)</f>
        <v/>
      </c>
      <c r="C4779" s="12" t="str">
        <f aca="false">IF($A4779="","",원본명단!$B4778)</f>
        <v/>
      </c>
      <c r="D4779" s="12" t="str">
        <f aca="false">IF($A4779="","",원본명단!$D4778)</f>
        <v/>
      </c>
      <c r="E4779" s="11" t="str">
        <f aca="false">IF($A4779="","",IF(원본명단!$H4778="",0,COUNTIF(원본명단!$H$3:$H$6002,원본명단!$H4778)))</f>
        <v/>
      </c>
      <c r="F4779" s="11" t="str">
        <f aca="false">IF($A4779="","",IF(원본명단!$I4778="",0,COUNTIF(원본명단!$I$3:$I$6002,원본명단!$I4778)))</f>
        <v/>
      </c>
      <c r="G4779" s="11" t="str">
        <f aca="false">IF($A4779="","",IF(원본명단!$K4778="",0,COUNTIF(원본명단!$K$3:$K$6002,원본명단!$K4778)))</f>
        <v/>
      </c>
      <c r="H4779" s="11" t="str">
        <f aca="false">IF($A4779="","",IF(MAX($E4779,$F4779,$G4779)&gt;1,"중복","-"))</f>
        <v/>
      </c>
      <c r="I4779" s="11" t="str">
        <f aca="false">IF($A4779="","",IF($H4779="-","-",IF(AND(IF(원본명단!$H4778="",TRUE(),COUNTIF(원본명단!$H$3:$H4778,원본명단!$H4778)=1),IF(원본명단!$I4778="",TRUE(),COUNTIF(원본명단!$I$3:$I4778,원본명단!$I4778)=1),IF(원본명단!$K4778="",TRUE(),COUNTIF(원본명단!$K$3:$K4778,원본명단!$K4778)=1)),"첫 건","중복 건")))</f>
        <v/>
      </c>
      <c r="J4779" s="11" t="str">
        <f aca="false">IF($A4779="","",IF($H4779="-","유지",IF($I4779="첫 건","유지","확인 필요")))</f>
        <v/>
      </c>
    </row>
    <row r="4780" customFormat="false" ht="15" hidden="false" customHeight="true" outlineLevel="0" collapsed="false">
      <c r="A4780" s="11" t="str">
        <f aca="false">IF(원본명단!$A4779="","",4777)</f>
        <v/>
      </c>
      <c r="B4780" s="12" t="str">
        <f aca="false">IF($A4780="","",원본명단!$A4779)</f>
        <v/>
      </c>
      <c r="C4780" s="12" t="str">
        <f aca="false">IF($A4780="","",원본명단!$B4779)</f>
        <v/>
      </c>
      <c r="D4780" s="12" t="str">
        <f aca="false">IF($A4780="","",원본명단!$D4779)</f>
        <v/>
      </c>
      <c r="E4780" s="11" t="str">
        <f aca="false">IF($A4780="","",IF(원본명단!$H4779="",0,COUNTIF(원본명단!$H$3:$H$6002,원본명단!$H4779)))</f>
        <v/>
      </c>
      <c r="F4780" s="11" t="str">
        <f aca="false">IF($A4780="","",IF(원본명단!$I4779="",0,COUNTIF(원본명단!$I$3:$I$6002,원본명단!$I4779)))</f>
        <v/>
      </c>
      <c r="G4780" s="11" t="str">
        <f aca="false">IF($A4780="","",IF(원본명단!$K4779="",0,COUNTIF(원본명단!$K$3:$K$6002,원본명단!$K4779)))</f>
        <v/>
      </c>
      <c r="H4780" s="11" t="str">
        <f aca="false">IF($A4780="","",IF(MAX($E4780,$F4780,$G4780)&gt;1,"중복","-"))</f>
        <v/>
      </c>
      <c r="I4780" s="11" t="str">
        <f aca="false">IF($A4780="","",IF($H4780="-","-",IF(AND(IF(원본명단!$H4779="",TRUE(),COUNTIF(원본명단!$H$3:$H4779,원본명단!$H4779)=1),IF(원본명단!$I4779="",TRUE(),COUNTIF(원본명단!$I$3:$I4779,원본명단!$I4779)=1),IF(원본명단!$K4779="",TRUE(),COUNTIF(원본명단!$K$3:$K4779,원본명단!$K4779)=1)),"첫 건","중복 건")))</f>
        <v/>
      </c>
      <c r="J4780" s="11" t="str">
        <f aca="false">IF($A4780="","",IF($H4780="-","유지",IF($I4780="첫 건","유지","확인 필요")))</f>
        <v/>
      </c>
    </row>
    <row r="4781" customFormat="false" ht="15" hidden="false" customHeight="true" outlineLevel="0" collapsed="false">
      <c r="A4781" s="11" t="str">
        <f aca="false">IF(원본명단!$A4780="","",4778)</f>
        <v/>
      </c>
      <c r="B4781" s="12" t="str">
        <f aca="false">IF($A4781="","",원본명단!$A4780)</f>
        <v/>
      </c>
      <c r="C4781" s="12" t="str">
        <f aca="false">IF($A4781="","",원본명단!$B4780)</f>
        <v/>
      </c>
      <c r="D4781" s="12" t="str">
        <f aca="false">IF($A4781="","",원본명단!$D4780)</f>
        <v/>
      </c>
      <c r="E4781" s="11" t="str">
        <f aca="false">IF($A4781="","",IF(원본명단!$H4780="",0,COUNTIF(원본명단!$H$3:$H$6002,원본명단!$H4780)))</f>
        <v/>
      </c>
      <c r="F4781" s="11" t="str">
        <f aca="false">IF($A4781="","",IF(원본명단!$I4780="",0,COUNTIF(원본명단!$I$3:$I$6002,원본명단!$I4780)))</f>
        <v/>
      </c>
      <c r="G4781" s="11" t="str">
        <f aca="false">IF($A4781="","",IF(원본명단!$K4780="",0,COUNTIF(원본명단!$K$3:$K$6002,원본명단!$K4780)))</f>
        <v/>
      </c>
      <c r="H4781" s="11" t="str">
        <f aca="false">IF($A4781="","",IF(MAX($E4781,$F4781,$G4781)&gt;1,"중복","-"))</f>
        <v/>
      </c>
      <c r="I4781" s="11" t="str">
        <f aca="false">IF($A4781="","",IF($H4781="-","-",IF(AND(IF(원본명단!$H4780="",TRUE(),COUNTIF(원본명단!$H$3:$H4780,원본명단!$H4780)=1),IF(원본명단!$I4780="",TRUE(),COUNTIF(원본명단!$I$3:$I4780,원본명단!$I4780)=1),IF(원본명단!$K4780="",TRUE(),COUNTIF(원본명단!$K$3:$K4780,원본명단!$K4780)=1)),"첫 건","중복 건")))</f>
        <v/>
      </c>
      <c r="J4781" s="11" t="str">
        <f aca="false">IF($A4781="","",IF($H4781="-","유지",IF($I4781="첫 건","유지","확인 필요")))</f>
        <v/>
      </c>
    </row>
    <row r="4782" customFormat="false" ht="15" hidden="false" customHeight="true" outlineLevel="0" collapsed="false">
      <c r="A4782" s="11" t="str">
        <f aca="false">IF(원본명단!$A4781="","",4779)</f>
        <v/>
      </c>
      <c r="B4782" s="12" t="str">
        <f aca="false">IF($A4782="","",원본명단!$A4781)</f>
        <v/>
      </c>
      <c r="C4782" s="12" t="str">
        <f aca="false">IF($A4782="","",원본명단!$B4781)</f>
        <v/>
      </c>
      <c r="D4782" s="12" t="str">
        <f aca="false">IF($A4782="","",원본명단!$D4781)</f>
        <v/>
      </c>
      <c r="E4782" s="11" t="str">
        <f aca="false">IF($A4782="","",IF(원본명단!$H4781="",0,COUNTIF(원본명단!$H$3:$H$6002,원본명단!$H4781)))</f>
        <v/>
      </c>
      <c r="F4782" s="11" t="str">
        <f aca="false">IF($A4782="","",IF(원본명단!$I4781="",0,COUNTIF(원본명단!$I$3:$I$6002,원본명단!$I4781)))</f>
        <v/>
      </c>
      <c r="G4782" s="11" t="str">
        <f aca="false">IF($A4782="","",IF(원본명단!$K4781="",0,COUNTIF(원본명단!$K$3:$K$6002,원본명단!$K4781)))</f>
        <v/>
      </c>
      <c r="H4782" s="11" t="str">
        <f aca="false">IF($A4782="","",IF(MAX($E4782,$F4782,$G4782)&gt;1,"중복","-"))</f>
        <v/>
      </c>
      <c r="I4782" s="11" t="str">
        <f aca="false">IF($A4782="","",IF($H4782="-","-",IF(AND(IF(원본명단!$H4781="",TRUE(),COUNTIF(원본명단!$H$3:$H4781,원본명단!$H4781)=1),IF(원본명단!$I4781="",TRUE(),COUNTIF(원본명단!$I$3:$I4781,원본명단!$I4781)=1),IF(원본명단!$K4781="",TRUE(),COUNTIF(원본명단!$K$3:$K4781,원본명단!$K4781)=1)),"첫 건","중복 건")))</f>
        <v/>
      </c>
      <c r="J4782" s="11" t="str">
        <f aca="false">IF($A4782="","",IF($H4782="-","유지",IF($I4782="첫 건","유지","확인 필요")))</f>
        <v/>
      </c>
    </row>
    <row r="4783" customFormat="false" ht="15" hidden="false" customHeight="true" outlineLevel="0" collapsed="false">
      <c r="A4783" s="11" t="str">
        <f aca="false">IF(원본명단!$A4782="","",4780)</f>
        <v/>
      </c>
      <c r="B4783" s="12" t="str">
        <f aca="false">IF($A4783="","",원본명단!$A4782)</f>
        <v/>
      </c>
      <c r="C4783" s="12" t="str">
        <f aca="false">IF($A4783="","",원본명단!$B4782)</f>
        <v/>
      </c>
      <c r="D4783" s="12" t="str">
        <f aca="false">IF($A4783="","",원본명단!$D4782)</f>
        <v/>
      </c>
      <c r="E4783" s="11" t="str">
        <f aca="false">IF($A4783="","",IF(원본명단!$H4782="",0,COUNTIF(원본명단!$H$3:$H$6002,원본명단!$H4782)))</f>
        <v/>
      </c>
      <c r="F4783" s="11" t="str">
        <f aca="false">IF($A4783="","",IF(원본명단!$I4782="",0,COUNTIF(원본명단!$I$3:$I$6002,원본명단!$I4782)))</f>
        <v/>
      </c>
      <c r="G4783" s="11" t="str">
        <f aca="false">IF($A4783="","",IF(원본명단!$K4782="",0,COUNTIF(원본명단!$K$3:$K$6002,원본명단!$K4782)))</f>
        <v/>
      </c>
      <c r="H4783" s="11" t="str">
        <f aca="false">IF($A4783="","",IF(MAX($E4783,$F4783,$G4783)&gt;1,"중복","-"))</f>
        <v/>
      </c>
      <c r="I4783" s="11" t="str">
        <f aca="false">IF($A4783="","",IF($H4783="-","-",IF(AND(IF(원본명단!$H4782="",TRUE(),COUNTIF(원본명단!$H$3:$H4782,원본명단!$H4782)=1),IF(원본명단!$I4782="",TRUE(),COUNTIF(원본명단!$I$3:$I4782,원본명단!$I4782)=1),IF(원본명단!$K4782="",TRUE(),COUNTIF(원본명단!$K$3:$K4782,원본명단!$K4782)=1)),"첫 건","중복 건")))</f>
        <v/>
      </c>
      <c r="J4783" s="11" t="str">
        <f aca="false">IF($A4783="","",IF($H4783="-","유지",IF($I4783="첫 건","유지","확인 필요")))</f>
        <v/>
      </c>
    </row>
    <row r="4784" customFormat="false" ht="15" hidden="false" customHeight="true" outlineLevel="0" collapsed="false">
      <c r="A4784" s="11" t="str">
        <f aca="false">IF(원본명단!$A4783="","",4781)</f>
        <v/>
      </c>
      <c r="B4784" s="12" t="str">
        <f aca="false">IF($A4784="","",원본명단!$A4783)</f>
        <v/>
      </c>
      <c r="C4784" s="12" t="str">
        <f aca="false">IF($A4784="","",원본명단!$B4783)</f>
        <v/>
      </c>
      <c r="D4784" s="12" t="str">
        <f aca="false">IF($A4784="","",원본명단!$D4783)</f>
        <v/>
      </c>
      <c r="E4784" s="11" t="str">
        <f aca="false">IF($A4784="","",IF(원본명단!$H4783="",0,COUNTIF(원본명단!$H$3:$H$6002,원본명단!$H4783)))</f>
        <v/>
      </c>
      <c r="F4784" s="11" t="str">
        <f aca="false">IF($A4784="","",IF(원본명단!$I4783="",0,COUNTIF(원본명단!$I$3:$I$6002,원본명단!$I4783)))</f>
        <v/>
      </c>
      <c r="G4784" s="11" t="str">
        <f aca="false">IF($A4784="","",IF(원본명단!$K4783="",0,COUNTIF(원본명단!$K$3:$K$6002,원본명단!$K4783)))</f>
        <v/>
      </c>
      <c r="H4784" s="11" t="str">
        <f aca="false">IF($A4784="","",IF(MAX($E4784,$F4784,$G4784)&gt;1,"중복","-"))</f>
        <v/>
      </c>
      <c r="I4784" s="11" t="str">
        <f aca="false">IF($A4784="","",IF($H4784="-","-",IF(AND(IF(원본명단!$H4783="",TRUE(),COUNTIF(원본명단!$H$3:$H4783,원본명단!$H4783)=1),IF(원본명단!$I4783="",TRUE(),COUNTIF(원본명단!$I$3:$I4783,원본명단!$I4783)=1),IF(원본명단!$K4783="",TRUE(),COUNTIF(원본명단!$K$3:$K4783,원본명단!$K4783)=1)),"첫 건","중복 건")))</f>
        <v/>
      </c>
      <c r="J4784" s="11" t="str">
        <f aca="false">IF($A4784="","",IF($H4784="-","유지",IF($I4784="첫 건","유지","확인 필요")))</f>
        <v/>
      </c>
    </row>
    <row r="4785" customFormat="false" ht="15" hidden="false" customHeight="true" outlineLevel="0" collapsed="false">
      <c r="A4785" s="11" t="str">
        <f aca="false">IF(원본명단!$A4784="","",4782)</f>
        <v/>
      </c>
      <c r="B4785" s="12" t="str">
        <f aca="false">IF($A4785="","",원본명단!$A4784)</f>
        <v/>
      </c>
      <c r="C4785" s="12" t="str">
        <f aca="false">IF($A4785="","",원본명단!$B4784)</f>
        <v/>
      </c>
      <c r="D4785" s="12" t="str">
        <f aca="false">IF($A4785="","",원본명단!$D4784)</f>
        <v/>
      </c>
      <c r="E4785" s="11" t="str">
        <f aca="false">IF($A4785="","",IF(원본명단!$H4784="",0,COUNTIF(원본명단!$H$3:$H$6002,원본명단!$H4784)))</f>
        <v/>
      </c>
      <c r="F4785" s="11" t="str">
        <f aca="false">IF($A4785="","",IF(원본명단!$I4784="",0,COUNTIF(원본명단!$I$3:$I$6002,원본명단!$I4784)))</f>
        <v/>
      </c>
      <c r="G4785" s="11" t="str">
        <f aca="false">IF($A4785="","",IF(원본명단!$K4784="",0,COUNTIF(원본명단!$K$3:$K$6002,원본명단!$K4784)))</f>
        <v/>
      </c>
      <c r="H4785" s="11" t="str">
        <f aca="false">IF($A4785="","",IF(MAX($E4785,$F4785,$G4785)&gt;1,"중복","-"))</f>
        <v/>
      </c>
      <c r="I4785" s="11" t="str">
        <f aca="false">IF($A4785="","",IF($H4785="-","-",IF(AND(IF(원본명단!$H4784="",TRUE(),COUNTIF(원본명단!$H$3:$H4784,원본명단!$H4784)=1),IF(원본명단!$I4784="",TRUE(),COUNTIF(원본명단!$I$3:$I4784,원본명단!$I4784)=1),IF(원본명단!$K4784="",TRUE(),COUNTIF(원본명단!$K$3:$K4784,원본명단!$K4784)=1)),"첫 건","중복 건")))</f>
        <v/>
      </c>
      <c r="J4785" s="11" t="str">
        <f aca="false">IF($A4785="","",IF($H4785="-","유지",IF($I4785="첫 건","유지","확인 필요")))</f>
        <v/>
      </c>
    </row>
    <row r="4786" customFormat="false" ht="15" hidden="false" customHeight="true" outlineLevel="0" collapsed="false">
      <c r="A4786" s="11" t="str">
        <f aca="false">IF(원본명단!$A4785="","",4783)</f>
        <v/>
      </c>
      <c r="B4786" s="12" t="str">
        <f aca="false">IF($A4786="","",원본명단!$A4785)</f>
        <v/>
      </c>
      <c r="C4786" s="12" t="str">
        <f aca="false">IF($A4786="","",원본명단!$B4785)</f>
        <v/>
      </c>
      <c r="D4786" s="12" t="str">
        <f aca="false">IF($A4786="","",원본명단!$D4785)</f>
        <v/>
      </c>
      <c r="E4786" s="11" t="str">
        <f aca="false">IF($A4786="","",IF(원본명단!$H4785="",0,COUNTIF(원본명단!$H$3:$H$6002,원본명단!$H4785)))</f>
        <v/>
      </c>
      <c r="F4786" s="11" t="str">
        <f aca="false">IF($A4786="","",IF(원본명단!$I4785="",0,COUNTIF(원본명단!$I$3:$I$6002,원본명단!$I4785)))</f>
        <v/>
      </c>
      <c r="G4786" s="11" t="str">
        <f aca="false">IF($A4786="","",IF(원본명단!$K4785="",0,COUNTIF(원본명단!$K$3:$K$6002,원본명단!$K4785)))</f>
        <v/>
      </c>
      <c r="H4786" s="11" t="str">
        <f aca="false">IF($A4786="","",IF(MAX($E4786,$F4786,$G4786)&gt;1,"중복","-"))</f>
        <v/>
      </c>
      <c r="I4786" s="11" t="str">
        <f aca="false">IF($A4786="","",IF($H4786="-","-",IF(AND(IF(원본명단!$H4785="",TRUE(),COUNTIF(원본명단!$H$3:$H4785,원본명단!$H4785)=1),IF(원본명단!$I4785="",TRUE(),COUNTIF(원본명단!$I$3:$I4785,원본명단!$I4785)=1),IF(원본명단!$K4785="",TRUE(),COUNTIF(원본명단!$K$3:$K4785,원본명단!$K4785)=1)),"첫 건","중복 건")))</f>
        <v/>
      </c>
      <c r="J4786" s="11" t="str">
        <f aca="false">IF($A4786="","",IF($H4786="-","유지",IF($I4786="첫 건","유지","확인 필요")))</f>
        <v/>
      </c>
    </row>
    <row r="4787" customFormat="false" ht="15" hidden="false" customHeight="true" outlineLevel="0" collapsed="false">
      <c r="A4787" s="11" t="str">
        <f aca="false">IF(원본명단!$A4786="","",4784)</f>
        <v/>
      </c>
      <c r="B4787" s="12" t="str">
        <f aca="false">IF($A4787="","",원본명단!$A4786)</f>
        <v/>
      </c>
      <c r="C4787" s="12" t="str">
        <f aca="false">IF($A4787="","",원본명단!$B4786)</f>
        <v/>
      </c>
      <c r="D4787" s="12" t="str">
        <f aca="false">IF($A4787="","",원본명단!$D4786)</f>
        <v/>
      </c>
      <c r="E4787" s="11" t="str">
        <f aca="false">IF($A4787="","",IF(원본명단!$H4786="",0,COUNTIF(원본명단!$H$3:$H$6002,원본명단!$H4786)))</f>
        <v/>
      </c>
      <c r="F4787" s="11" t="str">
        <f aca="false">IF($A4787="","",IF(원본명단!$I4786="",0,COUNTIF(원본명단!$I$3:$I$6002,원본명단!$I4786)))</f>
        <v/>
      </c>
      <c r="G4787" s="11" t="str">
        <f aca="false">IF($A4787="","",IF(원본명단!$K4786="",0,COUNTIF(원본명단!$K$3:$K$6002,원본명단!$K4786)))</f>
        <v/>
      </c>
      <c r="H4787" s="11" t="str">
        <f aca="false">IF($A4787="","",IF(MAX($E4787,$F4787,$G4787)&gt;1,"중복","-"))</f>
        <v/>
      </c>
      <c r="I4787" s="11" t="str">
        <f aca="false">IF($A4787="","",IF($H4787="-","-",IF(AND(IF(원본명단!$H4786="",TRUE(),COUNTIF(원본명단!$H$3:$H4786,원본명단!$H4786)=1),IF(원본명단!$I4786="",TRUE(),COUNTIF(원본명단!$I$3:$I4786,원본명단!$I4786)=1),IF(원본명단!$K4786="",TRUE(),COUNTIF(원본명단!$K$3:$K4786,원본명단!$K4786)=1)),"첫 건","중복 건")))</f>
        <v/>
      </c>
      <c r="J4787" s="11" t="str">
        <f aca="false">IF($A4787="","",IF($H4787="-","유지",IF($I4787="첫 건","유지","확인 필요")))</f>
        <v/>
      </c>
    </row>
    <row r="4788" customFormat="false" ht="15" hidden="false" customHeight="true" outlineLevel="0" collapsed="false">
      <c r="A4788" s="11" t="str">
        <f aca="false">IF(원본명단!$A4787="","",4785)</f>
        <v/>
      </c>
      <c r="B4788" s="12" t="str">
        <f aca="false">IF($A4788="","",원본명단!$A4787)</f>
        <v/>
      </c>
      <c r="C4788" s="12" t="str">
        <f aca="false">IF($A4788="","",원본명단!$B4787)</f>
        <v/>
      </c>
      <c r="D4788" s="12" t="str">
        <f aca="false">IF($A4788="","",원본명단!$D4787)</f>
        <v/>
      </c>
      <c r="E4788" s="11" t="str">
        <f aca="false">IF($A4788="","",IF(원본명단!$H4787="",0,COUNTIF(원본명단!$H$3:$H$6002,원본명단!$H4787)))</f>
        <v/>
      </c>
      <c r="F4788" s="11" t="str">
        <f aca="false">IF($A4788="","",IF(원본명단!$I4787="",0,COUNTIF(원본명단!$I$3:$I$6002,원본명단!$I4787)))</f>
        <v/>
      </c>
      <c r="G4788" s="11" t="str">
        <f aca="false">IF($A4788="","",IF(원본명단!$K4787="",0,COUNTIF(원본명단!$K$3:$K$6002,원본명단!$K4787)))</f>
        <v/>
      </c>
      <c r="H4788" s="11" t="str">
        <f aca="false">IF($A4788="","",IF(MAX($E4788,$F4788,$G4788)&gt;1,"중복","-"))</f>
        <v/>
      </c>
      <c r="I4788" s="11" t="str">
        <f aca="false">IF($A4788="","",IF($H4788="-","-",IF(AND(IF(원본명단!$H4787="",TRUE(),COUNTIF(원본명단!$H$3:$H4787,원본명단!$H4787)=1),IF(원본명단!$I4787="",TRUE(),COUNTIF(원본명단!$I$3:$I4787,원본명단!$I4787)=1),IF(원본명단!$K4787="",TRUE(),COUNTIF(원본명단!$K$3:$K4787,원본명단!$K4787)=1)),"첫 건","중복 건")))</f>
        <v/>
      </c>
      <c r="J4788" s="11" t="str">
        <f aca="false">IF($A4788="","",IF($H4788="-","유지",IF($I4788="첫 건","유지","확인 필요")))</f>
        <v/>
      </c>
    </row>
    <row r="4789" customFormat="false" ht="15" hidden="false" customHeight="true" outlineLevel="0" collapsed="false">
      <c r="A4789" s="11" t="str">
        <f aca="false">IF(원본명단!$A4788="","",4786)</f>
        <v/>
      </c>
      <c r="B4789" s="12" t="str">
        <f aca="false">IF($A4789="","",원본명단!$A4788)</f>
        <v/>
      </c>
      <c r="C4789" s="12" t="str">
        <f aca="false">IF($A4789="","",원본명단!$B4788)</f>
        <v/>
      </c>
      <c r="D4789" s="12" t="str">
        <f aca="false">IF($A4789="","",원본명단!$D4788)</f>
        <v/>
      </c>
      <c r="E4789" s="11" t="str">
        <f aca="false">IF($A4789="","",IF(원본명단!$H4788="",0,COUNTIF(원본명단!$H$3:$H$6002,원본명단!$H4788)))</f>
        <v/>
      </c>
      <c r="F4789" s="11" t="str">
        <f aca="false">IF($A4789="","",IF(원본명단!$I4788="",0,COUNTIF(원본명단!$I$3:$I$6002,원본명단!$I4788)))</f>
        <v/>
      </c>
      <c r="G4789" s="11" t="str">
        <f aca="false">IF($A4789="","",IF(원본명단!$K4788="",0,COUNTIF(원본명단!$K$3:$K$6002,원본명단!$K4788)))</f>
        <v/>
      </c>
      <c r="H4789" s="11" t="str">
        <f aca="false">IF($A4789="","",IF(MAX($E4789,$F4789,$G4789)&gt;1,"중복","-"))</f>
        <v/>
      </c>
      <c r="I4789" s="11" t="str">
        <f aca="false">IF($A4789="","",IF($H4789="-","-",IF(AND(IF(원본명단!$H4788="",TRUE(),COUNTIF(원본명단!$H$3:$H4788,원본명단!$H4788)=1),IF(원본명단!$I4788="",TRUE(),COUNTIF(원본명단!$I$3:$I4788,원본명단!$I4788)=1),IF(원본명단!$K4788="",TRUE(),COUNTIF(원본명단!$K$3:$K4788,원본명단!$K4788)=1)),"첫 건","중복 건")))</f>
        <v/>
      </c>
      <c r="J4789" s="11" t="str">
        <f aca="false">IF($A4789="","",IF($H4789="-","유지",IF($I4789="첫 건","유지","확인 필요")))</f>
        <v/>
      </c>
    </row>
    <row r="4790" customFormat="false" ht="15" hidden="false" customHeight="true" outlineLevel="0" collapsed="false">
      <c r="A4790" s="11" t="str">
        <f aca="false">IF(원본명단!$A4789="","",4787)</f>
        <v/>
      </c>
      <c r="B4790" s="12" t="str">
        <f aca="false">IF($A4790="","",원본명단!$A4789)</f>
        <v/>
      </c>
      <c r="C4790" s="12" t="str">
        <f aca="false">IF($A4790="","",원본명단!$B4789)</f>
        <v/>
      </c>
      <c r="D4790" s="12" t="str">
        <f aca="false">IF($A4790="","",원본명단!$D4789)</f>
        <v/>
      </c>
      <c r="E4790" s="11" t="str">
        <f aca="false">IF($A4790="","",IF(원본명단!$H4789="",0,COUNTIF(원본명단!$H$3:$H$6002,원본명단!$H4789)))</f>
        <v/>
      </c>
      <c r="F4790" s="11" t="str">
        <f aca="false">IF($A4790="","",IF(원본명단!$I4789="",0,COUNTIF(원본명단!$I$3:$I$6002,원본명단!$I4789)))</f>
        <v/>
      </c>
      <c r="G4790" s="11" t="str">
        <f aca="false">IF($A4790="","",IF(원본명단!$K4789="",0,COUNTIF(원본명단!$K$3:$K$6002,원본명단!$K4789)))</f>
        <v/>
      </c>
      <c r="H4790" s="11" t="str">
        <f aca="false">IF($A4790="","",IF(MAX($E4790,$F4790,$G4790)&gt;1,"중복","-"))</f>
        <v/>
      </c>
      <c r="I4790" s="11" t="str">
        <f aca="false">IF($A4790="","",IF($H4790="-","-",IF(AND(IF(원본명단!$H4789="",TRUE(),COUNTIF(원본명단!$H$3:$H4789,원본명단!$H4789)=1),IF(원본명단!$I4789="",TRUE(),COUNTIF(원본명단!$I$3:$I4789,원본명단!$I4789)=1),IF(원본명단!$K4789="",TRUE(),COUNTIF(원본명단!$K$3:$K4789,원본명단!$K4789)=1)),"첫 건","중복 건")))</f>
        <v/>
      </c>
      <c r="J4790" s="11" t="str">
        <f aca="false">IF($A4790="","",IF($H4790="-","유지",IF($I4790="첫 건","유지","확인 필요")))</f>
        <v/>
      </c>
    </row>
    <row r="4791" customFormat="false" ht="15" hidden="false" customHeight="true" outlineLevel="0" collapsed="false">
      <c r="A4791" s="11" t="str">
        <f aca="false">IF(원본명단!$A4790="","",4788)</f>
        <v/>
      </c>
      <c r="B4791" s="12" t="str">
        <f aca="false">IF($A4791="","",원본명단!$A4790)</f>
        <v/>
      </c>
      <c r="C4791" s="12" t="str">
        <f aca="false">IF($A4791="","",원본명단!$B4790)</f>
        <v/>
      </c>
      <c r="D4791" s="12" t="str">
        <f aca="false">IF($A4791="","",원본명단!$D4790)</f>
        <v/>
      </c>
      <c r="E4791" s="11" t="str">
        <f aca="false">IF($A4791="","",IF(원본명단!$H4790="",0,COUNTIF(원본명단!$H$3:$H$6002,원본명단!$H4790)))</f>
        <v/>
      </c>
      <c r="F4791" s="11" t="str">
        <f aca="false">IF($A4791="","",IF(원본명단!$I4790="",0,COUNTIF(원본명단!$I$3:$I$6002,원본명단!$I4790)))</f>
        <v/>
      </c>
      <c r="G4791" s="11" t="str">
        <f aca="false">IF($A4791="","",IF(원본명단!$K4790="",0,COUNTIF(원본명단!$K$3:$K$6002,원본명단!$K4790)))</f>
        <v/>
      </c>
      <c r="H4791" s="11" t="str">
        <f aca="false">IF($A4791="","",IF(MAX($E4791,$F4791,$G4791)&gt;1,"중복","-"))</f>
        <v/>
      </c>
      <c r="I4791" s="11" t="str">
        <f aca="false">IF($A4791="","",IF($H4791="-","-",IF(AND(IF(원본명단!$H4790="",TRUE(),COUNTIF(원본명단!$H$3:$H4790,원본명단!$H4790)=1),IF(원본명단!$I4790="",TRUE(),COUNTIF(원본명단!$I$3:$I4790,원본명단!$I4790)=1),IF(원본명단!$K4790="",TRUE(),COUNTIF(원본명단!$K$3:$K4790,원본명단!$K4790)=1)),"첫 건","중복 건")))</f>
        <v/>
      </c>
      <c r="J4791" s="11" t="str">
        <f aca="false">IF($A4791="","",IF($H4791="-","유지",IF($I4791="첫 건","유지","확인 필요")))</f>
        <v/>
      </c>
    </row>
    <row r="4792" customFormat="false" ht="15" hidden="false" customHeight="true" outlineLevel="0" collapsed="false">
      <c r="A4792" s="11" t="str">
        <f aca="false">IF(원본명단!$A4791="","",4789)</f>
        <v/>
      </c>
      <c r="B4792" s="12" t="str">
        <f aca="false">IF($A4792="","",원본명단!$A4791)</f>
        <v/>
      </c>
      <c r="C4792" s="12" t="str">
        <f aca="false">IF($A4792="","",원본명단!$B4791)</f>
        <v/>
      </c>
      <c r="D4792" s="12" t="str">
        <f aca="false">IF($A4792="","",원본명단!$D4791)</f>
        <v/>
      </c>
      <c r="E4792" s="11" t="str">
        <f aca="false">IF($A4792="","",IF(원본명단!$H4791="",0,COUNTIF(원본명단!$H$3:$H$6002,원본명단!$H4791)))</f>
        <v/>
      </c>
      <c r="F4792" s="11" t="str">
        <f aca="false">IF($A4792="","",IF(원본명단!$I4791="",0,COUNTIF(원본명단!$I$3:$I$6002,원본명단!$I4791)))</f>
        <v/>
      </c>
      <c r="G4792" s="11" t="str">
        <f aca="false">IF($A4792="","",IF(원본명단!$K4791="",0,COUNTIF(원본명단!$K$3:$K$6002,원본명단!$K4791)))</f>
        <v/>
      </c>
      <c r="H4792" s="11" t="str">
        <f aca="false">IF($A4792="","",IF(MAX($E4792,$F4792,$G4792)&gt;1,"중복","-"))</f>
        <v/>
      </c>
      <c r="I4792" s="11" t="str">
        <f aca="false">IF($A4792="","",IF($H4792="-","-",IF(AND(IF(원본명단!$H4791="",TRUE(),COUNTIF(원본명단!$H$3:$H4791,원본명단!$H4791)=1),IF(원본명단!$I4791="",TRUE(),COUNTIF(원본명단!$I$3:$I4791,원본명단!$I4791)=1),IF(원본명단!$K4791="",TRUE(),COUNTIF(원본명단!$K$3:$K4791,원본명단!$K4791)=1)),"첫 건","중복 건")))</f>
        <v/>
      </c>
      <c r="J4792" s="11" t="str">
        <f aca="false">IF($A4792="","",IF($H4792="-","유지",IF($I4792="첫 건","유지","확인 필요")))</f>
        <v/>
      </c>
    </row>
    <row r="4793" customFormat="false" ht="15" hidden="false" customHeight="true" outlineLevel="0" collapsed="false">
      <c r="A4793" s="11" t="str">
        <f aca="false">IF(원본명단!$A4792="","",4790)</f>
        <v/>
      </c>
      <c r="B4793" s="12" t="str">
        <f aca="false">IF($A4793="","",원본명단!$A4792)</f>
        <v/>
      </c>
      <c r="C4793" s="12" t="str">
        <f aca="false">IF($A4793="","",원본명단!$B4792)</f>
        <v/>
      </c>
      <c r="D4793" s="12" t="str">
        <f aca="false">IF($A4793="","",원본명단!$D4792)</f>
        <v/>
      </c>
      <c r="E4793" s="11" t="str">
        <f aca="false">IF($A4793="","",IF(원본명단!$H4792="",0,COUNTIF(원본명단!$H$3:$H$6002,원본명단!$H4792)))</f>
        <v/>
      </c>
      <c r="F4793" s="11" t="str">
        <f aca="false">IF($A4793="","",IF(원본명단!$I4792="",0,COUNTIF(원본명단!$I$3:$I$6002,원본명단!$I4792)))</f>
        <v/>
      </c>
      <c r="G4793" s="11" t="str">
        <f aca="false">IF($A4793="","",IF(원본명단!$K4792="",0,COUNTIF(원본명단!$K$3:$K$6002,원본명단!$K4792)))</f>
        <v/>
      </c>
      <c r="H4793" s="11" t="str">
        <f aca="false">IF($A4793="","",IF(MAX($E4793,$F4793,$G4793)&gt;1,"중복","-"))</f>
        <v/>
      </c>
      <c r="I4793" s="11" t="str">
        <f aca="false">IF($A4793="","",IF($H4793="-","-",IF(AND(IF(원본명단!$H4792="",TRUE(),COUNTIF(원본명단!$H$3:$H4792,원본명단!$H4792)=1),IF(원본명단!$I4792="",TRUE(),COUNTIF(원본명단!$I$3:$I4792,원본명단!$I4792)=1),IF(원본명단!$K4792="",TRUE(),COUNTIF(원본명단!$K$3:$K4792,원본명단!$K4792)=1)),"첫 건","중복 건")))</f>
        <v/>
      </c>
      <c r="J4793" s="11" t="str">
        <f aca="false">IF($A4793="","",IF($H4793="-","유지",IF($I4793="첫 건","유지","확인 필요")))</f>
        <v/>
      </c>
    </row>
    <row r="4794" customFormat="false" ht="15" hidden="false" customHeight="true" outlineLevel="0" collapsed="false">
      <c r="A4794" s="11" t="str">
        <f aca="false">IF(원본명단!$A4793="","",4791)</f>
        <v/>
      </c>
      <c r="B4794" s="12" t="str">
        <f aca="false">IF($A4794="","",원본명단!$A4793)</f>
        <v/>
      </c>
      <c r="C4794" s="12" t="str">
        <f aca="false">IF($A4794="","",원본명단!$B4793)</f>
        <v/>
      </c>
      <c r="D4794" s="12" t="str">
        <f aca="false">IF($A4794="","",원본명단!$D4793)</f>
        <v/>
      </c>
      <c r="E4794" s="11" t="str">
        <f aca="false">IF($A4794="","",IF(원본명단!$H4793="",0,COUNTIF(원본명단!$H$3:$H$6002,원본명단!$H4793)))</f>
        <v/>
      </c>
      <c r="F4794" s="11" t="str">
        <f aca="false">IF($A4794="","",IF(원본명단!$I4793="",0,COUNTIF(원본명단!$I$3:$I$6002,원본명단!$I4793)))</f>
        <v/>
      </c>
      <c r="G4794" s="11" t="str">
        <f aca="false">IF($A4794="","",IF(원본명단!$K4793="",0,COUNTIF(원본명단!$K$3:$K$6002,원본명단!$K4793)))</f>
        <v/>
      </c>
      <c r="H4794" s="11" t="str">
        <f aca="false">IF($A4794="","",IF(MAX($E4794,$F4794,$G4794)&gt;1,"중복","-"))</f>
        <v/>
      </c>
      <c r="I4794" s="11" t="str">
        <f aca="false">IF($A4794="","",IF($H4794="-","-",IF(AND(IF(원본명단!$H4793="",TRUE(),COUNTIF(원본명단!$H$3:$H4793,원본명단!$H4793)=1),IF(원본명단!$I4793="",TRUE(),COUNTIF(원본명단!$I$3:$I4793,원본명단!$I4793)=1),IF(원본명단!$K4793="",TRUE(),COUNTIF(원본명단!$K$3:$K4793,원본명단!$K4793)=1)),"첫 건","중복 건")))</f>
        <v/>
      </c>
      <c r="J4794" s="11" t="str">
        <f aca="false">IF($A4794="","",IF($H4794="-","유지",IF($I4794="첫 건","유지","확인 필요")))</f>
        <v/>
      </c>
    </row>
    <row r="4795" customFormat="false" ht="15" hidden="false" customHeight="true" outlineLevel="0" collapsed="false">
      <c r="A4795" s="11" t="str">
        <f aca="false">IF(원본명단!$A4794="","",4792)</f>
        <v/>
      </c>
      <c r="B4795" s="12" t="str">
        <f aca="false">IF($A4795="","",원본명단!$A4794)</f>
        <v/>
      </c>
      <c r="C4795" s="12" t="str">
        <f aca="false">IF($A4795="","",원본명단!$B4794)</f>
        <v/>
      </c>
      <c r="D4795" s="12" t="str">
        <f aca="false">IF($A4795="","",원본명단!$D4794)</f>
        <v/>
      </c>
      <c r="E4795" s="11" t="str">
        <f aca="false">IF($A4795="","",IF(원본명단!$H4794="",0,COUNTIF(원본명단!$H$3:$H$6002,원본명단!$H4794)))</f>
        <v/>
      </c>
      <c r="F4795" s="11" t="str">
        <f aca="false">IF($A4795="","",IF(원본명단!$I4794="",0,COUNTIF(원본명단!$I$3:$I$6002,원본명단!$I4794)))</f>
        <v/>
      </c>
      <c r="G4795" s="11" t="str">
        <f aca="false">IF($A4795="","",IF(원본명단!$K4794="",0,COUNTIF(원본명단!$K$3:$K$6002,원본명단!$K4794)))</f>
        <v/>
      </c>
      <c r="H4795" s="11" t="str">
        <f aca="false">IF($A4795="","",IF(MAX($E4795,$F4795,$G4795)&gt;1,"중복","-"))</f>
        <v/>
      </c>
      <c r="I4795" s="11" t="str">
        <f aca="false">IF($A4795="","",IF($H4795="-","-",IF(AND(IF(원본명단!$H4794="",TRUE(),COUNTIF(원본명단!$H$3:$H4794,원본명단!$H4794)=1),IF(원본명단!$I4794="",TRUE(),COUNTIF(원본명단!$I$3:$I4794,원본명단!$I4794)=1),IF(원본명단!$K4794="",TRUE(),COUNTIF(원본명단!$K$3:$K4794,원본명단!$K4794)=1)),"첫 건","중복 건")))</f>
        <v/>
      </c>
      <c r="J4795" s="11" t="str">
        <f aca="false">IF($A4795="","",IF($H4795="-","유지",IF($I4795="첫 건","유지","확인 필요")))</f>
        <v/>
      </c>
    </row>
    <row r="4796" customFormat="false" ht="15" hidden="false" customHeight="true" outlineLevel="0" collapsed="false">
      <c r="A4796" s="11" t="str">
        <f aca="false">IF(원본명단!$A4795="","",4793)</f>
        <v/>
      </c>
      <c r="B4796" s="12" t="str">
        <f aca="false">IF($A4796="","",원본명단!$A4795)</f>
        <v/>
      </c>
      <c r="C4796" s="12" t="str">
        <f aca="false">IF($A4796="","",원본명단!$B4795)</f>
        <v/>
      </c>
      <c r="D4796" s="12" t="str">
        <f aca="false">IF($A4796="","",원본명단!$D4795)</f>
        <v/>
      </c>
      <c r="E4796" s="11" t="str">
        <f aca="false">IF($A4796="","",IF(원본명단!$H4795="",0,COUNTIF(원본명단!$H$3:$H$6002,원본명단!$H4795)))</f>
        <v/>
      </c>
      <c r="F4796" s="11" t="str">
        <f aca="false">IF($A4796="","",IF(원본명단!$I4795="",0,COUNTIF(원본명단!$I$3:$I$6002,원본명단!$I4795)))</f>
        <v/>
      </c>
      <c r="G4796" s="11" t="str">
        <f aca="false">IF($A4796="","",IF(원본명단!$K4795="",0,COUNTIF(원본명단!$K$3:$K$6002,원본명단!$K4795)))</f>
        <v/>
      </c>
      <c r="H4796" s="11" t="str">
        <f aca="false">IF($A4796="","",IF(MAX($E4796,$F4796,$G4796)&gt;1,"중복","-"))</f>
        <v/>
      </c>
      <c r="I4796" s="11" t="str">
        <f aca="false">IF($A4796="","",IF($H4796="-","-",IF(AND(IF(원본명단!$H4795="",TRUE(),COUNTIF(원본명단!$H$3:$H4795,원본명단!$H4795)=1),IF(원본명단!$I4795="",TRUE(),COUNTIF(원본명단!$I$3:$I4795,원본명단!$I4795)=1),IF(원본명단!$K4795="",TRUE(),COUNTIF(원본명단!$K$3:$K4795,원본명단!$K4795)=1)),"첫 건","중복 건")))</f>
        <v/>
      </c>
      <c r="J4796" s="11" t="str">
        <f aca="false">IF($A4796="","",IF($H4796="-","유지",IF($I4796="첫 건","유지","확인 필요")))</f>
        <v/>
      </c>
    </row>
    <row r="4797" customFormat="false" ht="15" hidden="false" customHeight="true" outlineLevel="0" collapsed="false">
      <c r="A4797" s="11" t="str">
        <f aca="false">IF(원본명단!$A4796="","",4794)</f>
        <v/>
      </c>
      <c r="B4797" s="12" t="str">
        <f aca="false">IF($A4797="","",원본명단!$A4796)</f>
        <v/>
      </c>
      <c r="C4797" s="12" t="str">
        <f aca="false">IF($A4797="","",원본명단!$B4796)</f>
        <v/>
      </c>
      <c r="D4797" s="12" t="str">
        <f aca="false">IF($A4797="","",원본명단!$D4796)</f>
        <v/>
      </c>
      <c r="E4797" s="11" t="str">
        <f aca="false">IF($A4797="","",IF(원본명단!$H4796="",0,COUNTIF(원본명단!$H$3:$H$6002,원본명단!$H4796)))</f>
        <v/>
      </c>
      <c r="F4797" s="11" t="str">
        <f aca="false">IF($A4797="","",IF(원본명단!$I4796="",0,COUNTIF(원본명단!$I$3:$I$6002,원본명단!$I4796)))</f>
        <v/>
      </c>
      <c r="G4797" s="11" t="str">
        <f aca="false">IF($A4797="","",IF(원본명단!$K4796="",0,COUNTIF(원본명단!$K$3:$K$6002,원본명단!$K4796)))</f>
        <v/>
      </c>
      <c r="H4797" s="11" t="str">
        <f aca="false">IF($A4797="","",IF(MAX($E4797,$F4797,$G4797)&gt;1,"중복","-"))</f>
        <v/>
      </c>
      <c r="I4797" s="11" t="str">
        <f aca="false">IF($A4797="","",IF($H4797="-","-",IF(AND(IF(원본명단!$H4796="",TRUE(),COUNTIF(원본명단!$H$3:$H4796,원본명단!$H4796)=1),IF(원본명단!$I4796="",TRUE(),COUNTIF(원본명단!$I$3:$I4796,원본명단!$I4796)=1),IF(원본명단!$K4796="",TRUE(),COUNTIF(원본명단!$K$3:$K4796,원본명단!$K4796)=1)),"첫 건","중복 건")))</f>
        <v/>
      </c>
      <c r="J4797" s="11" t="str">
        <f aca="false">IF($A4797="","",IF($H4797="-","유지",IF($I4797="첫 건","유지","확인 필요")))</f>
        <v/>
      </c>
    </row>
    <row r="4798" customFormat="false" ht="15" hidden="false" customHeight="true" outlineLevel="0" collapsed="false">
      <c r="A4798" s="11" t="str">
        <f aca="false">IF(원본명단!$A4797="","",4795)</f>
        <v/>
      </c>
      <c r="B4798" s="12" t="str">
        <f aca="false">IF($A4798="","",원본명단!$A4797)</f>
        <v/>
      </c>
      <c r="C4798" s="12" t="str">
        <f aca="false">IF($A4798="","",원본명단!$B4797)</f>
        <v/>
      </c>
      <c r="D4798" s="12" t="str">
        <f aca="false">IF($A4798="","",원본명단!$D4797)</f>
        <v/>
      </c>
      <c r="E4798" s="11" t="str">
        <f aca="false">IF($A4798="","",IF(원본명단!$H4797="",0,COUNTIF(원본명단!$H$3:$H$6002,원본명단!$H4797)))</f>
        <v/>
      </c>
      <c r="F4798" s="11" t="str">
        <f aca="false">IF($A4798="","",IF(원본명단!$I4797="",0,COUNTIF(원본명단!$I$3:$I$6002,원본명단!$I4797)))</f>
        <v/>
      </c>
      <c r="G4798" s="11" t="str">
        <f aca="false">IF($A4798="","",IF(원본명단!$K4797="",0,COUNTIF(원본명단!$K$3:$K$6002,원본명단!$K4797)))</f>
        <v/>
      </c>
      <c r="H4798" s="11" t="str">
        <f aca="false">IF($A4798="","",IF(MAX($E4798,$F4798,$G4798)&gt;1,"중복","-"))</f>
        <v/>
      </c>
      <c r="I4798" s="11" t="str">
        <f aca="false">IF($A4798="","",IF($H4798="-","-",IF(AND(IF(원본명단!$H4797="",TRUE(),COUNTIF(원본명단!$H$3:$H4797,원본명단!$H4797)=1),IF(원본명단!$I4797="",TRUE(),COUNTIF(원본명단!$I$3:$I4797,원본명단!$I4797)=1),IF(원본명단!$K4797="",TRUE(),COUNTIF(원본명단!$K$3:$K4797,원본명단!$K4797)=1)),"첫 건","중복 건")))</f>
        <v/>
      </c>
      <c r="J4798" s="11" t="str">
        <f aca="false">IF($A4798="","",IF($H4798="-","유지",IF($I4798="첫 건","유지","확인 필요")))</f>
        <v/>
      </c>
    </row>
    <row r="4799" customFormat="false" ht="15" hidden="false" customHeight="true" outlineLevel="0" collapsed="false">
      <c r="A4799" s="11" t="str">
        <f aca="false">IF(원본명단!$A4798="","",4796)</f>
        <v/>
      </c>
      <c r="B4799" s="12" t="str">
        <f aca="false">IF($A4799="","",원본명단!$A4798)</f>
        <v/>
      </c>
      <c r="C4799" s="12" t="str">
        <f aca="false">IF($A4799="","",원본명단!$B4798)</f>
        <v/>
      </c>
      <c r="D4799" s="12" t="str">
        <f aca="false">IF($A4799="","",원본명단!$D4798)</f>
        <v/>
      </c>
      <c r="E4799" s="11" t="str">
        <f aca="false">IF($A4799="","",IF(원본명단!$H4798="",0,COUNTIF(원본명단!$H$3:$H$6002,원본명단!$H4798)))</f>
        <v/>
      </c>
      <c r="F4799" s="11" t="str">
        <f aca="false">IF($A4799="","",IF(원본명단!$I4798="",0,COUNTIF(원본명단!$I$3:$I$6002,원본명단!$I4798)))</f>
        <v/>
      </c>
      <c r="G4799" s="11" t="str">
        <f aca="false">IF($A4799="","",IF(원본명단!$K4798="",0,COUNTIF(원본명단!$K$3:$K$6002,원본명단!$K4798)))</f>
        <v/>
      </c>
      <c r="H4799" s="11" t="str">
        <f aca="false">IF($A4799="","",IF(MAX($E4799,$F4799,$G4799)&gt;1,"중복","-"))</f>
        <v/>
      </c>
      <c r="I4799" s="11" t="str">
        <f aca="false">IF($A4799="","",IF($H4799="-","-",IF(AND(IF(원본명단!$H4798="",TRUE(),COUNTIF(원본명단!$H$3:$H4798,원본명단!$H4798)=1),IF(원본명단!$I4798="",TRUE(),COUNTIF(원본명단!$I$3:$I4798,원본명단!$I4798)=1),IF(원본명단!$K4798="",TRUE(),COUNTIF(원본명단!$K$3:$K4798,원본명단!$K4798)=1)),"첫 건","중복 건")))</f>
        <v/>
      </c>
      <c r="J4799" s="11" t="str">
        <f aca="false">IF($A4799="","",IF($H4799="-","유지",IF($I4799="첫 건","유지","확인 필요")))</f>
        <v/>
      </c>
    </row>
    <row r="4800" customFormat="false" ht="15" hidden="false" customHeight="true" outlineLevel="0" collapsed="false">
      <c r="A4800" s="11" t="str">
        <f aca="false">IF(원본명단!$A4799="","",4797)</f>
        <v/>
      </c>
      <c r="B4800" s="12" t="str">
        <f aca="false">IF($A4800="","",원본명단!$A4799)</f>
        <v/>
      </c>
      <c r="C4800" s="12" t="str">
        <f aca="false">IF($A4800="","",원본명단!$B4799)</f>
        <v/>
      </c>
      <c r="D4800" s="12" t="str">
        <f aca="false">IF($A4800="","",원본명단!$D4799)</f>
        <v/>
      </c>
      <c r="E4800" s="11" t="str">
        <f aca="false">IF($A4800="","",IF(원본명단!$H4799="",0,COUNTIF(원본명단!$H$3:$H$6002,원본명단!$H4799)))</f>
        <v/>
      </c>
      <c r="F4800" s="11" t="str">
        <f aca="false">IF($A4800="","",IF(원본명단!$I4799="",0,COUNTIF(원본명단!$I$3:$I$6002,원본명단!$I4799)))</f>
        <v/>
      </c>
      <c r="G4800" s="11" t="str">
        <f aca="false">IF($A4800="","",IF(원본명단!$K4799="",0,COUNTIF(원본명단!$K$3:$K$6002,원본명단!$K4799)))</f>
        <v/>
      </c>
      <c r="H4800" s="11" t="str">
        <f aca="false">IF($A4800="","",IF(MAX($E4800,$F4800,$G4800)&gt;1,"중복","-"))</f>
        <v/>
      </c>
      <c r="I4800" s="11" t="str">
        <f aca="false">IF($A4800="","",IF($H4800="-","-",IF(AND(IF(원본명단!$H4799="",TRUE(),COUNTIF(원본명단!$H$3:$H4799,원본명단!$H4799)=1),IF(원본명단!$I4799="",TRUE(),COUNTIF(원본명단!$I$3:$I4799,원본명단!$I4799)=1),IF(원본명단!$K4799="",TRUE(),COUNTIF(원본명단!$K$3:$K4799,원본명단!$K4799)=1)),"첫 건","중복 건")))</f>
        <v/>
      </c>
      <c r="J4800" s="11" t="str">
        <f aca="false">IF($A4800="","",IF($H4800="-","유지",IF($I4800="첫 건","유지","확인 필요")))</f>
        <v/>
      </c>
    </row>
    <row r="4801" customFormat="false" ht="15" hidden="false" customHeight="true" outlineLevel="0" collapsed="false">
      <c r="A4801" s="11" t="str">
        <f aca="false">IF(원본명단!$A4800="","",4798)</f>
        <v/>
      </c>
      <c r="B4801" s="12" t="str">
        <f aca="false">IF($A4801="","",원본명단!$A4800)</f>
        <v/>
      </c>
      <c r="C4801" s="12" t="str">
        <f aca="false">IF($A4801="","",원본명단!$B4800)</f>
        <v/>
      </c>
      <c r="D4801" s="12" t="str">
        <f aca="false">IF($A4801="","",원본명단!$D4800)</f>
        <v/>
      </c>
      <c r="E4801" s="11" t="str">
        <f aca="false">IF($A4801="","",IF(원본명단!$H4800="",0,COUNTIF(원본명단!$H$3:$H$6002,원본명단!$H4800)))</f>
        <v/>
      </c>
      <c r="F4801" s="11" t="str">
        <f aca="false">IF($A4801="","",IF(원본명단!$I4800="",0,COUNTIF(원본명단!$I$3:$I$6002,원본명단!$I4800)))</f>
        <v/>
      </c>
      <c r="G4801" s="11" t="str">
        <f aca="false">IF($A4801="","",IF(원본명단!$K4800="",0,COUNTIF(원본명단!$K$3:$K$6002,원본명단!$K4800)))</f>
        <v/>
      </c>
      <c r="H4801" s="11" t="str">
        <f aca="false">IF($A4801="","",IF(MAX($E4801,$F4801,$G4801)&gt;1,"중복","-"))</f>
        <v/>
      </c>
      <c r="I4801" s="11" t="str">
        <f aca="false">IF($A4801="","",IF($H4801="-","-",IF(AND(IF(원본명단!$H4800="",TRUE(),COUNTIF(원본명단!$H$3:$H4800,원본명단!$H4800)=1),IF(원본명단!$I4800="",TRUE(),COUNTIF(원본명단!$I$3:$I4800,원본명단!$I4800)=1),IF(원본명단!$K4800="",TRUE(),COUNTIF(원본명단!$K$3:$K4800,원본명단!$K4800)=1)),"첫 건","중복 건")))</f>
        <v/>
      </c>
      <c r="J4801" s="11" t="str">
        <f aca="false">IF($A4801="","",IF($H4801="-","유지",IF($I4801="첫 건","유지","확인 필요")))</f>
        <v/>
      </c>
    </row>
    <row r="4802" customFormat="false" ht="15" hidden="false" customHeight="true" outlineLevel="0" collapsed="false">
      <c r="A4802" s="11" t="str">
        <f aca="false">IF(원본명단!$A4801="","",4799)</f>
        <v/>
      </c>
      <c r="B4802" s="12" t="str">
        <f aca="false">IF($A4802="","",원본명단!$A4801)</f>
        <v/>
      </c>
      <c r="C4802" s="12" t="str">
        <f aca="false">IF($A4802="","",원본명단!$B4801)</f>
        <v/>
      </c>
      <c r="D4802" s="12" t="str">
        <f aca="false">IF($A4802="","",원본명단!$D4801)</f>
        <v/>
      </c>
      <c r="E4802" s="11" t="str">
        <f aca="false">IF($A4802="","",IF(원본명단!$H4801="",0,COUNTIF(원본명단!$H$3:$H$6002,원본명단!$H4801)))</f>
        <v/>
      </c>
      <c r="F4802" s="11" t="str">
        <f aca="false">IF($A4802="","",IF(원본명단!$I4801="",0,COUNTIF(원본명단!$I$3:$I$6002,원본명단!$I4801)))</f>
        <v/>
      </c>
      <c r="G4802" s="11" t="str">
        <f aca="false">IF($A4802="","",IF(원본명단!$K4801="",0,COUNTIF(원본명단!$K$3:$K$6002,원본명단!$K4801)))</f>
        <v/>
      </c>
      <c r="H4802" s="11" t="str">
        <f aca="false">IF($A4802="","",IF(MAX($E4802,$F4802,$G4802)&gt;1,"중복","-"))</f>
        <v/>
      </c>
      <c r="I4802" s="11" t="str">
        <f aca="false">IF($A4802="","",IF($H4802="-","-",IF(AND(IF(원본명단!$H4801="",TRUE(),COUNTIF(원본명단!$H$3:$H4801,원본명단!$H4801)=1),IF(원본명단!$I4801="",TRUE(),COUNTIF(원본명단!$I$3:$I4801,원본명단!$I4801)=1),IF(원본명단!$K4801="",TRUE(),COUNTIF(원본명단!$K$3:$K4801,원본명단!$K4801)=1)),"첫 건","중복 건")))</f>
        <v/>
      </c>
      <c r="J4802" s="11" t="str">
        <f aca="false">IF($A4802="","",IF($H4802="-","유지",IF($I4802="첫 건","유지","확인 필요")))</f>
        <v/>
      </c>
    </row>
    <row r="4803" customFormat="false" ht="15" hidden="false" customHeight="true" outlineLevel="0" collapsed="false">
      <c r="A4803" s="11" t="str">
        <f aca="false">IF(원본명단!$A4802="","",4800)</f>
        <v/>
      </c>
      <c r="B4803" s="12" t="str">
        <f aca="false">IF($A4803="","",원본명단!$A4802)</f>
        <v/>
      </c>
      <c r="C4803" s="12" t="str">
        <f aca="false">IF($A4803="","",원본명단!$B4802)</f>
        <v/>
      </c>
      <c r="D4803" s="12" t="str">
        <f aca="false">IF($A4803="","",원본명단!$D4802)</f>
        <v/>
      </c>
      <c r="E4803" s="11" t="str">
        <f aca="false">IF($A4803="","",IF(원본명단!$H4802="",0,COUNTIF(원본명단!$H$3:$H$6002,원본명단!$H4802)))</f>
        <v/>
      </c>
      <c r="F4803" s="11" t="str">
        <f aca="false">IF($A4803="","",IF(원본명단!$I4802="",0,COUNTIF(원본명단!$I$3:$I$6002,원본명단!$I4802)))</f>
        <v/>
      </c>
      <c r="G4803" s="11" t="str">
        <f aca="false">IF($A4803="","",IF(원본명단!$K4802="",0,COUNTIF(원본명단!$K$3:$K$6002,원본명단!$K4802)))</f>
        <v/>
      </c>
      <c r="H4803" s="11" t="str">
        <f aca="false">IF($A4803="","",IF(MAX($E4803,$F4803,$G4803)&gt;1,"중복","-"))</f>
        <v/>
      </c>
      <c r="I4803" s="11" t="str">
        <f aca="false">IF($A4803="","",IF($H4803="-","-",IF(AND(IF(원본명단!$H4802="",TRUE(),COUNTIF(원본명단!$H$3:$H4802,원본명단!$H4802)=1),IF(원본명단!$I4802="",TRUE(),COUNTIF(원본명단!$I$3:$I4802,원본명단!$I4802)=1),IF(원본명단!$K4802="",TRUE(),COUNTIF(원본명단!$K$3:$K4802,원본명단!$K4802)=1)),"첫 건","중복 건")))</f>
        <v/>
      </c>
      <c r="J4803" s="11" t="str">
        <f aca="false">IF($A4803="","",IF($H4803="-","유지",IF($I4803="첫 건","유지","확인 필요")))</f>
        <v/>
      </c>
    </row>
    <row r="4804" customFormat="false" ht="15" hidden="false" customHeight="true" outlineLevel="0" collapsed="false">
      <c r="A4804" s="11" t="str">
        <f aca="false">IF(원본명단!$A4803="","",4801)</f>
        <v/>
      </c>
      <c r="B4804" s="12" t="str">
        <f aca="false">IF($A4804="","",원본명단!$A4803)</f>
        <v/>
      </c>
      <c r="C4804" s="12" t="str">
        <f aca="false">IF($A4804="","",원본명단!$B4803)</f>
        <v/>
      </c>
      <c r="D4804" s="12" t="str">
        <f aca="false">IF($A4804="","",원본명단!$D4803)</f>
        <v/>
      </c>
      <c r="E4804" s="11" t="str">
        <f aca="false">IF($A4804="","",IF(원본명단!$H4803="",0,COUNTIF(원본명단!$H$3:$H$6002,원본명단!$H4803)))</f>
        <v/>
      </c>
      <c r="F4804" s="11" t="str">
        <f aca="false">IF($A4804="","",IF(원본명단!$I4803="",0,COUNTIF(원본명단!$I$3:$I$6002,원본명단!$I4803)))</f>
        <v/>
      </c>
      <c r="G4804" s="11" t="str">
        <f aca="false">IF($A4804="","",IF(원본명단!$K4803="",0,COUNTIF(원본명단!$K$3:$K$6002,원본명단!$K4803)))</f>
        <v/>
      </c>
      <c r="H4804" s="11" t="str">
        <f aca="false">IF($A4804="","",IF(MAX($E4804,$F4804,$G4804)&gt;1,"중복","-"))</f>
        <v/>
      </c>
      <c r="I4804" s="11" t="str">
        <f aca="false">IF($A4804="","",IF($H4804="-","-",IF(AND(IF(원본명단!$H4803="",TRUE(),COUNTIF(원본명단!$H$3:$H4803,원본명단!$H4803)=1),IF(원본명단!$I4803="",TRUE(),COUNTIF(원본명단!$I$3:$I4803,원본명단!$I4803)=1),IF(원본명단!$K4803="",TRUE(),COUNTIF(원본명단!$K$3:$K4803,원본명단!$K4803)=1)),"첫 건","중복 건")))</f>
        <v/>
      </c>
      <c r="J4804" s="11" t="str">
        <f aca="false">IF($A4804="","",IF($H4804="-","유지",IF($I4804="첫 건","유지","확인 필요")))</f>
        <v/>
      </c>
    </row>
    <row r="4805" customFormat="false" ht="15" hidden="false" customHeight="true" outlineLevel="0" collapsed="false">
      <c r="A4805" s="11" t="str">
        <f aca="false">IF(원본명단!$A4804="","",4802)</f>
        <v/>
      </c>
      <c r="B4805" s="12" t="str">
        <f aca="false">IF($A4805="","",원본명단!$A4804)</f>
        <v/>
      </c>
      <c r="C4805" s="12" t="str">
        <f aca="false">IF($A4805="","",원본명단!$B4804)</f>
        <v/>
      </c>
      <c r="D4805" s="12" t="str">
        <f aca="false">IF($A4805="","",원본명단!$D4804)</f>
        <v/>
      </c>
      <c r="E4805" s="11" t="str">
        <f aca="false">IF($A4805="","",IF(원본명단!$H4804="",0,COUNTIF(원본명단!$H$3:$H$6002,원본명단!$H4804)))</f>
        <v/>
      </c>
      <c r="F4805" s="11" t="str">
        <f aca="false">IF($A4805="","",IF(원본명단!$I4804="",0,COUNTIF(원본명단!$I$3:$I$6002,원본명단!$I4804)))</f>
        <v/>
      </c>
      <c r="G4805" s="11" t="str">
        <f aca="false">IF($A4805="","",IF(원본명단!$K4804="",0,COUNTIF(원본명단!$K$3:$K$6002,원본명단!$K4804)))</f>
        <v/>
      </c>
      <c r="H4805" s="11" t="str">
        <f aca="false">IF($A4805="","",IF(MAX($E4805,$F4805,$G4805)&gt;1,"중복","-"))</f>
        <v/>
      </c>
      <c r="I4805" s="11" t="str">
        <f aca="false">IF($A4805="","",IF($H4805="-","-",IF(AND(IF(원본명단!$H4804="",TRUE(),COUNTIF(원본명단!$H$3:$H4804,원본명단!$H4804)=1),IF(원본명단!$I4804="",TRUE(),COUNTIF(원본명단!$I$3:$I4804,원본명단!$I4804)=1),IF(원본명단!$K4804="",TRUE(),COUNTIF(원본명단!$K$3:$K4804,원본명단!$K4804)=1)),"첫 건","중복 건")))</f>
        <v/>
      </c>
      <c r="J4805" s="11" t="str">
        <f aca="false">IF($A4805="","",IF($H4805="-","유지",IF($I4805="첫 건","유지","확인 필요")))</f>
        <v/>
      </c>
    </row>
    <row r="4806" customFormat="false" ht="15" hidden="false" customHeight="true" outlineLevel="0" collapsed="false">
      <c r="A4806" s="11" t="str">
        <f aca="false">IF(원본명단!$A4805="","",4803)</f>
        <v/>
      </c>
      <c r="B4806" s="12" t="str">
        <f aca="false">IF($A4806="","",원본명단!$A4805)</f>
        <v/>
      </c>
      <c r="C4806" s="12" t="str">
        <f aca="false">IF($A4806="","",원본명단!$B4805)</f>
        <v/>
      </c>
      <c r="D4806" s="12" t="str">
        <f aca="false">IF($A4806="","",원본명단!$D4805)</f>
        <v/>
      </c>
      <c r="E4806" s="11" t="str">
        <f aca="false">IF($A4806="","",IF(원본명단!$H4805="",0,COUNTIF(원본명단!$H$3:$H$6002,원본명단!$H4805)))</f>
        <v/>
      </c>
      <c r="F4806" s="11" t="str">
        <f aca="false">IF($A4806="","",IF(원본명단!$I4805="",0,COUNTIF(원본명단!$I$3:$I$6002,원본명단!$I4805)))</f>
        <v/>
      </c>
      <c r="G4806" s="11" t="str">
        <f aca="false">IF($A4806="","",IF(원본명단!$K4805="",0,COUNTIF(원본명단!$K$3:$K$6002,원본명단!$K4805)))</f>
        <v/>
      </c>
      <c r="H4806" s="11" t="str">
        <f aca="false">IF($A4806="","",IF(MAX($E4806,$F4806,$G4806)&gt;1,"중복","-"))</f>
        <v/>
      </c>
      <c r="I4806" s="11" t="str">
        <f aca="false">IF($A4806="","",IF($H4806="-","-",IF(AND(IF(원본명단!$H4805="",TRUE(),COUNTIF(원본명단!$H$3:$H4805,원본명단!$H4805)=1),IF(원본명단!$I4805="",TRUE(),COUNTIF(원본명단!$I$3:$I4805,원본명단!$I4805)=1),IF(원본명단!$K4805="",TRUE(),COUNTIF(원본명단!$K$3:$K4805,원본명단!$K4805)=1)),"첫 건","중복 건")))</f>
        <v/>
      </c>
      <c r="J4806" s="11" t="str">
        <f aca="false">IF($A4806="","",IF($H4806="-","유지",IF($I4806="첫 건","유지","확인 필요")))</f>
        <v/>
      </c>
    </row>
    <row r="4807" customFormat="false" ht="15" hidden="false" customHeight="true" outlineLevel="0" collapsed="false">
      <c r="A4807" s="11" t="str">
        <f aca="false">IF(원본명단!$A4806="","",4804)</f>
        <v/>
      </c>
      <c r="B4807" s="12" t="str">
        <f aca="false">IF($A4807="","",원본명단!$A4806)</f>
        <v/>
      </c>
      <c r="C4807" s="12" t="str">
        <f aca="false">IF($A4807="","",원본명단!$B4806)</f>
        <v/>
      </c>
      <c r="D4807" s="12" t="str">
        <f aca="false">IF($A4807="","",원본명단!$D4806)</f>
        <v/>
      </c>
      <c r="E4807" s="11" t="str">
        <f aca="false">IF($A4807="","",IF(원본명단!$H4806="",0,COUNTIF(원본명단!$H$3:$H$6002,원본명단!$H4806)))</f>
        <v/>
      </c>
      <c r="F4807" s="11" t="str">
        <f aca="false">IF($A4807="","",IF(원본명단!$I4806="",0,COUNTIF(원본명단!$I$3:$I$6002,원본명단!$I4806)))</f>
        <v/>
      </c>
      <c r="G4807" s="11" t="str">
        <f aca="false">IF($A4807="","",IF(원본명단!$K4806="",0,COUNTIF(원본명단!$K$3:$K$6002,원본명단!$K4806)))</f>
        <v/>
      </c>
      <c r="H4807" s="11" t="str">
        <f aca="false">IF($A4807="","",IF(MAX($E4807,$F4807,$G4807)&gt;1,"중복","-"))</f>
        <v/>
      </c>
      <c r="I4807" s="11" t="str">
        <f aca="false">IF($A4807="","",IF($H4807="-","-",IF(AND(IF(원본명단!$H4806="",TRUE(),COUNTIF(원본명단!$H$3:$H4806,원본명단!$H4806)=1),IF(원본명단!$I4806="",TRUE(),COUNTIF(원본명단!$I$3:$I4806,원본명단!$I4806)=1),IF(원본명단!$K4806="",TRUE(),COUNTIF(원본명단!$K$3:$K4806,원본명단!$K4806)=1)),"첫 건","중복 건")))</f>
        <v/>
      </c>
      <c r="J4807" s="11" t="str">
        <f aca="false">IF($A4807="","",IF($H4807="-","유지",IF($I4807="첫 건","유지","확인 필요")))</f>
        <v/>
      </c>
    </row>
    <row r="4808" customFormat="false" ht="15" hidden="false" customHeight="true" outlineLevel="0" collapsed="false">
      <c r="A4808" s="11" t="str">
        <f aca="false">IF(원본명단!$A4807="","",4805)</f>
        <v/>
      </c>
      <c r="B4808" s="12" t="str">
        <f aca="false">IF($A4808="","",원본명단!$A4807)</f>
        <v/>
      </c>
      <c r="C4808" s="12" t="str">
        <f aca="false">IF($A4808="","",원본명단!$B4807)</f>
        <v/>
      </c>
      <c r="D4808" s="12" t="str">
        <f aca="false">IF($A4808="","",원본명단!$D4807)</f>
        <v/>
      </c>
      <c r="E4808" s="11" t="str">
        <f aca="false">IF($A4808="","",IF(원본명단!$H4807="",0,COUNTIF(원본명단!$H$3:$H$6002,원본명단!$H4807)))</f>
        <v/>
      </c>
      <c r="F4808" s="11" t="str">
        <f aca="false">IF($A4808="","",IF(원본명단!$I4807="",0,COUNTIF(원본명단!$I$3:$I$6002,원본명단!$I4807)))</f>
        <v/>
      </c>
      <c r="G4808" s="11" t="str">
        <f aca="false">IF($A4808="","",IF(원본명단!$K4807="",0,COUNTIF(원본명단!$K$3:$K$6002,원본명단!$K4807)))</f>
        <v/>
      </c>
      <c r="H4808" s="11" t="str">
        <f aca="false">IF($A4808="","",IF(MAX($E4808,$F4808,$G4808)&gt;1,"중복","-"))</f>
        <v/>
      </c>
      <c r="I4808" s="11" t="str">
        <f aca="false">IF($A4808="","",IF($H4808="-","-",IF(AND(IF(원본명단!$H4807="",TRUE(),COUNTIF(원본명단!$H$3:$H4807,원본명단!$H4807)=1),IF(원본명단!$I4807="",TRUE(),COUNTIF(원본명단!$I$3:$I4807,원본명단!$I4807)=1),IF(원본명단!$K4807="",TRUE(),COUNTIF(원본명단!$K$3:$K4807,원본명단!$K4807)=1)),"첫 건","중복 건")))</f>
        <v/>
      </c>
      <c r="J4808" s="11" t="str">
        <f aca="false">IF($A4808="","",IF($H4808="-","유지",IF($I4808="첫 건","유지","확인 필요")))</f>
        <v/>
      </c>
    </row>
    <row r="4809" customFormat="false" ht="15" hidden="false" customHeight="true" outlineLevel="0" collapsed="false">
      <c r="A4809" s="11" t="str">
        <f aca="false">IF(원본명단!$A4808="","",4806)</f>
        <v/>
      </c>
      <c r="B4809" s="12" t="str">
        <f aca="false">IF($A4809="","",원본명단!$A4808)</f>
        <v/>
      </c>
      <c r="C4809" s="12" t="str">
        <f aca="false">IF($A4809="","",원본명단!$B4808)</f>
        <v/>
      </c>
      <c r="D4809" s="12" t="str">
        <f aca="false">IF($A4809="","",원본명단!$D4808)</f>
        <v/>
      </c>
      <c r="E4809" s="11" t="str">
        <f aca="false">IF($A4809="","",IF(원본명단!$H4808="",0,COUNTIF(원본명단!$H$3:$H$6002,원본명단!$H4808)))</f>
        <v/>
      </c>
      <c r="F4809" s="11" t="str">
        <f aca="false">IF($A4809="","",IF(원본명단!$I4808="",0,COUNTIF(원본명단!$I$3:$I$6002,원본명단!$I4808)))</f>
        <v/>
      </c>
      <c r="G4809" s="11" t="str">
        <f aca="false">IF($A4809="","",IF(원본명단!$K4808="",0,COUNTIF(원본명단!$K$3:$K$6002,원본명단!$K4808)))</f>
        <v/>
      </c>
      <c r="H4809" s="11" t="str">
        <f aca="false">IF($A4809="","",IF(MAX($E4809,$F4809,$G4809)&gt;1,"중복","-"))</f>
        <v/>
      </c>
      <c r="I4809" s="11" t="str">
        <f aca="false">IF($A4809="","",IF($H4809="-","-",IF(AND(IF(원본명단!$H4808="",TRUE(),COUNTIF(원본명단!$H$3:$H4808,원본명단!$H4808)=1),IF(원본명단!$I4808="",TRUE(),COUNTIF(원본명단!$I$3:$I4808,원본명단!$I4808)=1),IF(원본명단!$K4808="",TRUE(),COUNTIF(원본명단!$K$3:$K4808,원본명단!$K4808)=1)),"첫 건","중복 건")))</f>
        <v/>
      </c>
      <c r="J4809" s="11" t="str">
        <f aca="false">IF($A4809="","",IF($H4809="-","유지",IF($I4809="첫 건","유지","확인 필요")))</f>
        <v/>
      </c>
    </row>
    <row r="4810" customFormat="false" ht="15" hidden="false" customHeight="true" outlineLevel="0" collapsed="false">
      <c r="A4810" s="11" t="str">
        <f aca="false">IF(원본명단!$A4809="","",4807)</f>
        <v/>
      </c>
      <c r="B4810" s="12" t="str">
        <f aca="false">IF($A4810="","",원본명단!$A4809)</f>
        <v/>
      </c>
      <c r="C4810" s="12" t="str">
        <f aca="false">IF($A4810="","",원본명단!$B4809)</f>
        <v/>
      </c>
      <c r="D4810" s="12" t="str">
        <f aca="false">IF($A4810="","",원본명단!$D4809)</f>
        <v/>
      </c>
      <c r="E4810" s="11" t="str">
        <f aca="false">IF($A4810="","",IF(원본명단!$H4809="",0,COUNTIF(원본명단!$H$3:$H$6002,원본명단!$H4809)))</f>
        <v/>
      </c>
      <c r="F4810" s="11" t="str">
        <f aca="false">IF($A4810="","",IF(원본명단!$I4809="",0,COUNTIF(원본명단!$I$3:$I$6002,원본명단!$I4809)))</f>
        <v/>
      </c>
      <c r="G4810" s="11" t="str">
        <f aca="false">IF($A4810="","",IF(원본명단!$K4809="",0,COUNTIF(원본명단!$K$3:$K$6002,원본명단!$K4809)))</f>
        <v/>
      </c>
      <c r="H4810" s="11" t="str">
        <f aca="false">IF($A4810="","",IF(MAX($E4810,$F4810,$G4810)&gt;1,"중복","-"))</f>
        <v/>
      </c>
      <c r="I4810" s="11" t="str">
        <f aca="false">IF($A4810="","",IF($H4810="-","-",IF(AND(IF(원본명단!$H4809="",TRUE(),COUNTIF(원본명단!$H$3:$H4809,원본명단!$H4809)=1),IF(원본명단!$I4809="",TRUE(),COUNTIF(원본명단!$I$3:$I4809,원본명단!$I4809)=1),IF(원본명단!$K4809="",TRUE(),COUNTIF(원본명단!$K$3:$K4809,원본명단!$K4809)=1)),"첫 건","중복 건")))</f>
        <v/>
      </c>
      <c r="J4810" s="11" t="str">
        <f aca="false">IF($A4810="","",IF($H4810="-","유지",IF($I4810="첫 건","유지","확인 필요")))</f>
        <v/>
      </c>
    </row>
    <row r="4811" customFormat="false" ht="15" hidden="false" customHeight="true" outlineLevel="0" collapsed="false">
      <c r="A4811" s="11" t="str">
        <f aca="false">IF(원본명단!$A4810="","",4808)</f>
        <v/>
      </c>
      <c r="B4811" s="12" t="str">
        <f aca="false">IF($A4811="","",원본명단!$A4810)</f>
        <v/>
      </c>
      <c r="C4811" s="12" t="str">
        <f aca="false">IF($A4811="","",원본명단!$B4810)</f>
        <v/>
      </c>
      <c r="D4811" s="12" t="str">
        <f aca="false">IF($A4811="","",원본명단!$D4810)</f>
        <v/>
      </c>
      <c r="E4811" s="11" t="str">
        <f aca="false">IF($A4811="","",IF(원본명단!$H4810="",0,COUNTIF(원본명단!$H$3:$H$6002,원본명단!$H4810)))</f>
        <v/>
      </c>
      <c r="F4811" s="11" t="str">
        <f aca="false">IF($A4811="","",IF(원본명단!$I4810="",0,COUNTIF(원본명단!$I$3:$I$6002,원본명단!$I4810)))</f>
        <v/>
      </c>
      <c r="G4811" s="11" t="str">
        <f aca="false">IF($A4811="","",IF(원본명단!$K4810="",0,COUNTIF(원본명단!$K$3:$K$6002,원본명단!$K4810)))</f>
        <v/>
      </c>
      <c r="H4811" s="11" t="str">
        <f aca="false">IF($A4811="","",IF(MAX($E4811,$F4811,$G4811)&gt;1,"중복","-"))</f>
        <v/>
      </c>
      <c r="I4811" s="11" t="str">
        <f aca="false">IF($A4811="","",IF($H4811="-","-",IF(AND(IF(원본명단!$H4810="",TRUE(),COUNTIF(원본명단!$H$3:$H4810,원본명단!$H4810)=1),IF(원본명단!$I4810="",TRUE(),COUNTIF(원본명단!$I$3:$I4810,원본명단!$I4810)=1),IF(원본명단!$K4810="",TRUE(),COUNTIF(원본명단!$K$3:$K4810,원본명단!$K4810)=1)),"첫 건","중복 건")))</f>
        <v/>
      </c>
      <c r="J4811" s="11" t="str">
        <f aca="false">IF($A4811="","",IF($H4811="-","유지",IF($I4811="첫 건","유지","확인 필요")))</f>
        <v/>
      </c>
    </row>
    <row r="4812" customFormat="false" ht="15" hidden="false" customHeight="true" outlineLevel="0" collapsed="false">
      <c r="A4812" s="11" t="str">
        <f aca="false">IF(원본명단!$A4811="","",4809)</f>
        <v/>
      </c>
      <c r="B4812" s="12" t="str">
        <f aca="false">IF($A4812="","",원본명단!$A4811)</f>
        <v/>
      </c>
      <c r="C4812" s="12" t="str">
        <f aca="false">IF($A4812="","",원본명단!$B4811)</f>
        <v/>
      </c>
      <c r="D4812" s="12" t="str">
        <f aca="false">IF($A4812="","",원본명단!$D4811)</f>
        <v/>
      </c>
      <c r="E4812" s="11" t="str">
        <f aca="false">IF($A4812="","",IF(원본명단!$H4811="",0,COUNTIF(원본명단!$H$3:$H$6002,원본명단!$H4811)))</f>
        <v/>
      </c>
      <c r="F4812" s="11" t="str">
        <f aca="false">IF($A4812="","",IF(원본명단!$I4811="",0,COUNTIF(원본명단!$I$3:$I$6002,원본명단!$I4811)))</f>
        <v/>
      </c>
      <c r="G4812" s="11" t="str">
        <f aca="false">IF($A4812="","",IF(원본명단!$K4811="",0,COUNTIF(원본명단!$K$3:$K$6002,원본명단!$K4811)))</f>
        <v/>
      </c>
      <c r="H4812" s="11" t="str">
        <f aca="false">IF($A4812="","",IF(MAX($E4812,$F4812,$G4812)&gt;1,"중복","-"))</f>
        <v/>
      </c>
      <c r="I4812" s="11" t="str">
        <f aca="false">IF($A4812="","",IF($H4812="-","-",IF(AND(IF(원본명단!$H4811="",TRUE(),COUNTIF(원본명단!$H$3:$H4811,원본명단!$H4811)=1),IF(원본명단!$I4811="",TRUE(),COUNTIF(원본명단!$I$3:$I4811,원본명단!$I4811)=1),IF(원본명단!$K4811="",TRUE(),COUNTIF(원본명단!$K$3:$K4811,원본명단!$K4811)=1)),"첫 건","중복 건")))</f>
        <v/>
      </c>
      <c r="J4812" s="11" t="str">
        <f aca="false">IF($A4812="","",IF($H4812="-","유지",IF($I4812="첫 건","유지","확인 필요")))</f>
        <v/>
      </c>
    </row>
    <row r="4813" customFormat="false" ht="15" hidden="false" customHeight="true" outlineLevel="0" collapsed="false">
      <c r="A4813" s="11" t="str">
        <f aca="false">IF(원본명단!$A4812="","",4810)</f>
        <v/>
      </c>
      <c r="B4813" s="12" t="str">
        <f aca="false">IF($A4813="","",원본명단!$A4812)</f>
        <v/>
      </c>
      <c r="C4813" s="12" t="str">
        <f aca="false">IF($A4813="","",원본명단!$B4812)</f>
        <v/>
      </c>
      <c r="D4813" s="12" t="str">
        <f aca="false">IF($A4813="","",원본명단!$D4812)</f>
        <v/>
      </c>
      <c r="E4813" s="11" t="str">
        <f aca="false">IF($A4813="","",IF(원본명단!$H4812="",0,COUNTIF(원본명단!$H$3:$H$6002,원본명단!$H4812)))</f>
        <v/>
      </c>
      <c r="F4813" s="11" t="str">
        <f aca="false">IF($A4813="","",IF(원본명단!$I4812="",0,COUNTIF(원본명단!$I$3:$I$6002,원본명단!$I4812)))</f>
        <v/>
      </c>
      <c r="G4813" s="11" t="str">
        <f aca="false">IF($A4813="","",IF(원본명단!$K4812="",0,COUNTIF(원본명단!$K$3:$K$6002,원본명단!$K4812)))</f>
        <v/>
      </c>
      <c r="H4813" s="11" t="str">
        <f aca="false">IF($A4813="","",IF(MAX($E4813,$F4813,$G4813)&gt;1,"중복","-"))</f>
        <v/>
      </c>
      <c r="I4813" s="11" t="str">
        <f aca="false">IF($A4813="","",IF($H4813="-","-",IF(AND(IF(원본명단!$H4812="",TRUE(),COUNTIF(원본명단!$H$3:$H4812,원본명단!$H4812)=1),IF(원본명단!$I4812="",TRUE(),COUNTIF(원본명단!$I$3:$I4812,원본명단!$I4812)=1),IF(원본명단!$K4812="",TRUE(),COUNTIF(원본명단!$K$3:$K4812,원본명단!$K4812)=1)),"첫 건","중복 건")))</f>
        <v/>
      </c>
      <c r="J4813" s="11" t="str">
        <f aca="false">IF($A4813="","",IF($H4813="-","유지",IF($I4813="첫 건","유지","확인 필요")))</f>
        <v/>
      </c>
    </row>
    <row r="4814" customFormat="false" ht="15" hidden="false" customHeight="true" outlineLevel="0" collapsed="false">
      <c r="A4814" s="11" t="str">
        <f aca="false">IF(원본명단!$A4813="","",4811)</f>
        <v/>
      </c>
      <c r="B4814" s="12" t="str">
        <f aca="false">IF($A4814="","",원본명단!$A4813)</f>
        <v/>
      </c>
      <c r="C4814" s="12" t="str">
        <f aca="false">IF($A4814="","",원본명단!$B4813)</f>
        <v/>
      </c>
      <c r="D4814" s="12" t="str">
        <f aca="false">IF($A4814="","",원본명단!$D4813)</f>
        <v/>
      </c>
      <c r="E4814" s="11" t="str">
        <f aca="false">IF($A4814="","",IF(원본명단!$H4813="",0,COUNTIF(원본명단!$H$3:$H$6002,원본명단!$H4813)))</f>
        <v/>
      </c>
      <c r="F4814" s="11" t="str">
        <f aca="false">IF($A4814="","",IF(원본명단!$I4813="",0,COUNTIF(원본명단!$I$3:$I$6002,원본명단!$I4813)))</f>
        <v/>
      </c>
      <c r="G4814" s="11" t="str">
        <f aca="false">IF($A4814="","",IF(원본명단!$K4813="",0,COUNTIF(원본명단!$K$3:$K$6002,원본명단!$K4813)))</f>
        <v/>
      </c>
      <c r="H4814" s="11" t="str">
        <f aca="false">IF($A4814="","",IF(MAX($E4814,$F4814,$G4814)&gt;1,"중복","-"))</f>
        <v/>
      </c>
      <c r="I4814" s="11" t="str">
        <f aca="false">IF($A4814="","",IF($H4814="-","-",IF(AND(IF(원본명단!$H4813="",TRUE(),COUNTIF(원본명단!$H$3:$H4813,원본명단!$H4813)=1),IF(원본명단!$I4813="",TRUE(),COUNTIF(원본명단!$I$3:$I4813,원본명단!$I4813)=1),IF(원본명단!$K4813="",TRUE(),COUNTIF(원본명단!$K$3:$K4813,원본명단!$K4813)=1)),"첫 건","중복 건")))</f>
        <v/>
      </c>
      <c r="J4814" s="11" t="str">
        <f aca="false">IF($A4814="","",IF($H4814="-","유지",IF($I4814="첫 건","유지","확인 필요")))</f>
        <v/>
      </c>
    </row>
    <row r="4815" customFormat="false" ht="15" hidden="false" customHeight="true" outlineLevel="0" collapsed="false">
      <c r="A4815" s="11" t="str">
        <f aca="false">IF(원본명단!$A4814="","",4812)</f>
        <v/>
      </c>
      <c r="B4815" s="12" t="str">
        <f aca="false">IF($A4815="","",원본명단!$A4814)</f>
        <v/>
      </c>
      <c r="C4815" s="12" t="str">
        <f aca="false">IF($A4815="","",원본명단!$B4814)</f>
        <v/>
      </c>
      <c r="D4815" s="12" t="str">
        <f aca="false">IF($A4815="","",원본명단!$D4814)</f>
        <v/>
      </c>
      <c r="E4815" s="11" t="str">
        <f aca="false">IF($A4815="","",IF(원본명단!$H4814="",0,COUNTIF(원본명단!$H$3:$H$6002,원본명단!$H4814)))</f>
        <v/>
      </c>
      <c r="F4815" s="11" t="str">
        <f aca="false">IF($A4815="","",IF(원본명단!$I4814="",0,COUNTIF(원본명단!$I$3:$I$6002,원본명단!$I4814)))</f>
        <v/>
      </c>
      <c r="G4815" s="11" t="str">
        <f aca="false">IF($A4815="","",IF(원본명단!$K4814="",0,COUNTIF(원본명단!$K$3:$K$6002,원본명단!$K4814)))</f>
        <v/>
      </c>
      <c r="H4815" s="11" t="str">
        <f aca="false">IF($A4815="","",IF(MAX($E4815,$F4815,$G4815)&gt;1,"중복","-"))</f>
        <v/>
      </c>
      <c r="I4815" s="11" t="str">
        <f aca="false">IF($A4815="","",IF($H4815="-","-",IF(AND(IF(원본명단!$H4814="",TRUE(),COUNTIF(원본명단!$H$3:$H4814,원본명단!$H4814)=1),IF(원본명단!$I4814="",TRUE(),COUNTIF(원본명단!$I$3:$I4814,원본명단!$I4814)=1),IF(원본명단!$K4814="",TRUE(),COUNTIF(원본명단!$K$3:$K4814,원본명단!$K4814)=1)),"첫 건","중복 건")))</f>
        <v/>
      </c>
      <c r="J4815" s="11" t="str">
        <f aca="false">IF($A4815="","",IF($H4815="-","유지",IF($I4815="첫 건","유지","확인 필요")))</f>
        <v/>
      </c>
    </row>
    <row r="4816" customFormat="false" ht="15" hidden="false" customHeight="true" outlineLevel="0" collapsed="false">
      <c r="A4816" s="11" t="str">
        <f aca="false">IF(원본명단!$A4815="","",4813)</f>
        <v/>
      </c>
      <c r="B4816" s="12" t="str">
        <f aca="false">IF($A4816="","",원본명단!$A4815)</f>
        <v/>
      </c>
      <c r="C4816" s="12" t="str">
        <f aca="false">IF($A4816="","",원본명단!$B4815)</f>
        <v/>
      </c>
      <c r="D4816" s="12" t="str">
        <f aca="false">IF($A4816="","",원본명단!$D4815)</f>
        <v/>
      </c>
      <c r="E4816" s="11" t="str">
        <f aca="false">IF($A4816="","",IF(원본명단!$H4815="",0,COUNTIF(원본명단!$H$3:$H$6002,원본명단!$H4815)))</f>
        <v/>
      </c>
      <c r="F4816" s="11" t="str">
        <f aca="false">IF($A4816="","",IF(원본명단!$I4815="",0,COUNTIF(원본명단!$I$3:$I$6002,원본명단!$I4815)))</f>
        <v/>
      </c>
      <c r="G4816" s="11" t="str">
        <f aca="false">IF($A4816="","",IF(원본명단!$K4815="",0,COUNTIF(원본명단!$K$3:$K$6002,원본명단!$K4815)))</f>
        <v/>
      </c>
      <c r="H4816" s="11" t="str">
        <f aca="false">IF($A4816="","",IF(MAX($E4816,$F4816,$G4816)&gt;1,"중복","-"))</f>
        <v/>
      </c>
      <c r="I4816" s="11" t="str">
        <f aca="false">IF($A4816="","",IF($H4816="-","-",IF(AND(IF(원본명단!$H4815="",TRUE(),COUNTIF(원본명단!$H$3:$H4815,원본명단!$H4815)=1),IF(원본명단!$I4815="",TRUE(),COUNTIF(원본명단!$I$3:$I4815,원본명단!$I4815)=1),IF(원본명단!$K4815="",TRUE(),COUNTIF(원본명단!$K$3:$K4815,원본명단!$K4815)=1)),"첫 건","중복 건")))</f>
        <v/>
      </c>
      <c r="J4816" s="11" t="str">
        <f aca="false">IF($A4816="","",IF($H4816="-","유지",IF($I4816="첫 건","유지","확인 필요")))</f>
        <v/>
      </c>
    </row>
    <row r="4817" customFormat="false" ht="15" hidden="false" customHeight="true" outlineLevel="0" collapsed="false">
      <c r="A4817" s="11" t="str">
        <f aca="false">IF(원본명단!$A4816="","",4814)</f>
        <v/>
      </c>
      <c r="B4817" s="12" t="str">
        <f aca="false">IF($A4817="","",원본명단!$A4816)</f>
        <v/>
      </c>
      <c r="C4817" s="12" t="str">
        <f aca="false">IF($A4817="","",원본명단!$B4816)</f>
        <v/>
      </c>
      <c r="D4817" s="12" t="str">
        <f aca="false">IF($A4817="","",원본명단!$D4816)</f>
        <v/>
      </c>
      <c r="E4817" s="11" t="str">
        <f aca="false">IF($A4817="","",IF(원본명단!$H4816="",0,COUNTIF(원본명단!$H$3:$H$6002,원본명단!$H4816)))</f>
        <v/>
      </c>
      <c r="F4817" s="11" t="str">
        <f aca="false">IF($A4817="","",IF(원본명단!$I4816="",0,COUNTIF(원본명단!$I$3:$I$6002,원본명단!$I4816)))</f>
        <v/>
      </c>
      <c r="G4817" s="11" t="str">
        <f aca="false">IF($A4817="","",IF(원본명단!$K4816="",0,COUNTIF(원본명단!$K$3:$K$6002,원본명단!$K4816)))</f>
        <v/>
      </c>
      <c r="H4817" s="11" t="str">
        <f aca="false">IF($A4817="","",IF(MAX($E4817,$F4817,$G4817)&gt;1,"중복","-"))</f>
        <v/>
      </c>
      <c r="I4817" s="11" t="str">
        <f aca="false">IF($A4817="","",IF($H4817="-","-",IF(AND(IF(원본명단!$H4816="",TRUE(),COUNTIF(원본명단!$H$3:$H4816,원본명단!$H4816)=1),IF(원본명단!$I4816="",TRUE(),COUNTIF(원본명단!$I$3:$I4816,원본명단!$I4816)=1),IF(원본명단!$K4816="",TRUE(),COUNTIF(원본명단!$K$3:$K4816,원본명단!$K4816)=1)),"첫 건","중복 건")))</f>
        <v/>
      </c>
      <c r="J4817" s="11" t="str">
        <f aca="false">IF($A4817="","",IF($H4817="-","유지",IF($I4817="첫 건","유지","확인 필요")))</f>
        <v/>
      </c>
    </row>
    <row r="4818" customFormat="false" ht="15" hidden="false" customHeight="true" outlineLevel="0" collapsed="false">
      <c r="A4818" s="11" t="str">
        <f aca="false">IF(원본명단!$A4817="","",4815)</f>
        <v/>
      </c>
      <c r="B4818" s="12" t="str">
        <f aca="false">IF($A4818="","",원본명단!$A4817)</f>
        <v/>
      </c>
      <c r="C4818" s="12" t="str">
        <f aca="false">IF($A4818="","",원본명단!$B4817)</f>
        <v/>
      </c>
      <c r="D4818" s="12" t="str">
        <f aca="false">IF($A4818="","",원본명단!$D4817)</f>
        <v/>
      </c>
      <c r="E4818" s="11" t="str">
        <f aca="false">IF($A4818="","",IF(원본명단!$H4817="",0,COUNTIF(원본명단!$H$3:$H$6002,원본명단!$H4817)))</f>
        <v/>
      </c>
      <c r="F4818" s="11" t="str">
        <f aca="false">IF($A4818="","",IF(원본명단!$I4817="",0,COUNTIF(원본명단!$I$3:$I$6002,원본명단!$I4817)))</f>
        <v/>
      </c>
      <c r="G4818" s="11" t="str">
        <f aca="false">IF($A4818="","",IF(원본명단!$K4817="",0,COUNTIF(원본명단!$K$3:$K$6002,원본명단!$K4817)))</f>
        <v/>
      </c>
      <c r="H4818" s="11" t="str">
        <f aca="false">IF($A4818="","",IF(MAX($E4818,$F4818,$G4818)&gt;1,"중복","-"))</f>
        <v/>
      </c>
      <c r="I4818" s="11" t="str">
        <f aca="false">IF($A4818="","",IF($H4818="-","-",IF(AND(IF(원본명단!$H4817="",TRUE(),COUNTIF(원본명단!$H$3:$H4817,원본명단!$H4817)=1),IF(원본명단!$I4817="",TRUE(),COUNTIF(원본명단!$I$3:$I4817,원본명단!$I4817)=1),IF(원본명단!$K4817="",TRUE(),COUNTIF(원본명단!$K$3:$K4817,원본명단!$K4817)=1)),"첫 건","중복 건")))</f>
        <v/>
      </c>
      <c r="J4818" s="11" t="str">
        <f aca="false">IF($A4818="","",IF($H4818="-","유지",IF($I4818="첫 건","유지","확인 필요")))</f>
        <v/>
      </c>
    </row>
    <row r="4819" customFormat="false" ht="15" hidden="false" customHeight="true" outlineLevel="0" collapsed="false">
      <c r="A4819" s="11" t="str">
        <f aca="false">IF(원본명단!$A4818="","",4816)</f>
        <v/>
      </c>
      <c r="B4819" s="12" t="str">
        <f aca="false">IF($A4819="","",원본명단!$A4818)</f>
        <v/>
      </c>
      <c r="C4819" s="12" t="str">
        <f aca="false">IF($A4819="","",원본명단!$B4818)</f>
        <v/>
      </c>
      <c r="D4819" s="12" t="str">
        <f aca="false">IF($A4819="","",원본명단!$D4818)</f>
        <v/>
      </c>
      <c r="E4819" s="11" t="str">
        <f aca="false">IF($A4819="","",IF(원본명단!$H4818="",0,COUNTIF(원본명단!$H$3:$H$6002,원본명단!$H4818)))</f>
        <v/>
      </c>
      <c r="F4819" s="11" t="str">
        <f aca="false">IF($A4819="","",IF(원본명단!$I4818="",0,COUNTIF(원본명단!$I$3:$I$6002,원본명단!$I4818)))</f>
        <v/>
      </c>
      <c r="G4819" s="11" t="str">
        <f aca="false">IF($A4819="","",IF(원본명단!$K4818="",0,COUNTIF(원본명단!$K$3:$K$6002,원본명단!$K4818)))</f>
        <v/>
      </c>
      <c r="H4819" s="11" t="str">
        <f aca="false">IF($A4819="","",IF(MAX($E4819,$F4819,$G4819)&gt;1,"중복","-"))</f>
        <v/>
      </c>
      <c r="I4819" s="11" t="str">
        <f aca="false">IF($A4819="","",IF($H4819="-","-",IF(AND(IF(원본명단!$H4818="",TRUE(),COUNTIF(원본명단!$H$3:$H4818,원본명단!$H4818)=1),IF(원본명단!$I4818="",TRUE(),COUNTIF(원본명단!$I$3:$I4818,원본명단!$I4818)=1),IF(원본명단!$K4818="",TRUE(),COUNTIF(원본명단!$K$3:$K4818,원본명단!$K4818)=1)),"첫 건","중복 건")))</f>
        <v/>
      </c>
      <c r="J4819" s="11" t="str">
        <f aca="false">IF($A4819="","",IF($H4819="-","유지",IF($I4819="첫 건","유지","확인 필요")))</f>
        <v/>
      </c>
    </row>
    <row r="4820" customFormat="false" ht="15" hidden="false" customHeight="true" outlineLevel="0" collapsed="false">
      <c r="A4820" s="11" t="str">
        <f aca="false">IF(원본명단!$A4819="","",4817)</f>
        <v/>
      </c>
      <c r="B4820" s="12" t="str">
        <f aca="false">IF($A4820="","",원본명단!$A4819)</f>
        <v/>
      </c>
      <c r="C4820" s="12" t="str">
        <f aca="false">IF($A4820="","",원본명단!$B4819)</f>
        <v/>
      </c>
      <c r="D4820" s="12" t="str">
        <f aca="false">IF($A4820="","",원본명단!$D4819)</f>
        <v/>
      </c>
      <c r="E4820" s="11" t="str">
        <f aca="false">IF($A4820="","",IF(원본명단!$H4819="",0,COUNTIF(원본명단!$H$3:$H$6002,원본명단!$H4819)))</f>
        <v/>
      </c>
      <c r="F4820" s="11" t="str">
        <f aca="false">IF($A4820="","",IF(원본명단!$I4819="",0,COUNTIF(원본명단!$I$3:$I$6002,원본명단!$I4819)))</f>
        <v/>
      </c>
      <c r="G4820" s="11" t="str">
        <f aca="false">IF($A4820="","",IF(원본명단!$K4819="",0,COUNTIF(원본명단!$K$3:$K$6002,원본명단!$K4819)))</f>
        <v/>
      </c>
      <c r="H4820" s="11" t="str">
        <f aca="false">IF($A4820="","",IF(MAX($E4820,$F4820,$G4820)&gt;1,"중복","-"))</f>
        <v/>
      </c>
      <c r="I4820" s="11" t="str">
        <f aca="false">IF($A4820="","",IF($H4820="-","-",IF(AND(IF(원본명단!$H4819="",TRUE(),COUNTIF(원본명단!$H$3:$H4819,원본명단!$H4819)=1),IF(원본명단!$I4819="",TRUE(),COUNTIF(원본명단!$I$3:$I4819,원본명단!$I4819)=1),IF(원본명단!$K4819="",TRUE(),COUNTIF(원본명단!$K$3:$K4819,원본명단!$K4819)=1)),"첫 건","중복 건")))</f>
        <v/>
      </c>
      <c r="J4820" s="11" t="str">
        <f aca="false">IF($A4820="","",IF($H4820="-","유지",IF($I4820="첫 건","유지","확인 필요")))</f>
        <v/>
      </c>
    </row>
    <row r="4821" customFormat="false" ht="15" hidden="false" customHeight="true" outlineLevel="0" collapsed="false">
      <c r="A4821" s="11" t="str">
        <f aca="false">IF(원본명단!$A4820="","",4818)</f>
        <v/>
      </c>
      <c r="B4821" s="12" t="str">
        <f aca="false">IF($A4821="","",원본명단!$A4820)</f>
        <v/>
      </c>
      <c r="C4821" s="12" t="str">
        <f aca="false">IF($A4821="","",원본명단!$B4820)</f>
        <v/>
      </c>
      <c r="D4821" s="12" t="str">
        <f aca="false">IF($A4821="","",원본명단!$D4820)</f>
        <v/>
      </c>
      <c r="E4821" s="11" t="str">
        <f aca="false">IF($A4821="","",IF(원본명단!$H4820="",0,COUNTIF(원본명단!$H$3:$H$6002,원본명단!$H4820)))</f>
        <v/>
      </c>
      <c r="F4821" s="11" t="str">
        <f aca="false">IF($A4821="","",IF(원본명단!$I4820="",0,COUNTIF(원본명단!$I$3:$I$6002,원본명단!$I4820)))</f>
        <v/>
      </c>
      <c r="G4821" s="11" t="str">
        <f aca="false">IF($A4821="","",IF(원본명단!$K4820="",0,COUNTIF(원본명단!$K$3:$K$6002,원본명단!$K4820)))</f>
        <v/>
      </c>
      <c r="H4821" s="11" t="str">
        <f aca="false">IF($A4821="","",IF(MAX($E4821,$F4821,$G4821)&gt;1,"중복","-"))</f>
        <v/>
      </c>
      <c r="I4821" s="11" t="str">
        <f aca="false">IF($A4821="","",IF($H4821="-","-",IF(AND(IF(원본명단!$H4820="",TRUE(),COUNTIF(원본명단!$H$3:$H4820,원본명단!$H4820)=1),IF(원본명단!$I4820="",TRUE(),COUNTIF(원본명단!$I$3:$I4820,원본명단!$I4820)=1),IF(원본명단!$K4820="",TRUE(),COUNTIF(원본명단!$K$3:$K4820,원본명단!$K4820)=1)),"첫 건","중복 건")))</f>
        <v/>
      </c>
      <c r="J4821" s="11" t="str">
        <f aca="false">IF($A4821="","",IF($H4821="-","유지",IF($I4821="첫 건","유지","확인 필요")))</f>
        <v/>
      </c>
    </row>
    <row r="4822" customFormat="false" ht="15" hidden="false" customHeight="true" outlineLevel="0" collapsed="false">
      <c r="A4822" s="11" t="str">
        <f aca="false">IF(원본명단!$A4821="","",4819)</f>
        <v/>
      </c>
      <c r="B4822" s="12" t="str">
        <f aca="false">IF($A4822="","",원본명단!$A4821)</f>
        <v/>
      </c>
      <c r="C4822" s="12" t="str">
        <f aca="false">IF($A4822="","",원본명단!$B4821)</f>
        <v/>
      </c>
      <c r="D4822" s="12" t="str">
        <f aca="false">IF($A4822="","",원본명단!$D4821)</f>
        <v/>
      </c>
      <c r="E4822" s="11" t="str">
        <f aca="false">IF($A4822="","",IF(원본명단!$H4821="",0,COUNTIF(원본명단!$H$3:$H$6002,원본명단!$H4821)))</f>
        <v/>
      </c>
      <c r="F4822" s="11" t="str">
        <f aca="false">IF($A4822="","",IF(원본명단!$I4821="",0,COUNTIF(원본명단!$I$3:$I$6002,원본명단!$I4821)))</f>
        <v/>
      </c>
      <c r="G4822" s="11" t="str">
        <f aca="false">IF($A4822="","",IF(원본명단!$K4821="",0,COUNTIF(원본명단!$K$3:$K$6002,원본명단!$K4821)))</f>
        <v/>
      </c>
      <c r="H4822" s="11" t="str">
        <f aca="false">IF($A4822="","",IF(MAX($E4822,$F4822,$G4822)&gt;1,"중복","-"))</f>
        <v/>
      </c>
      <c r="I4822" s="11" t="str">
        <f aca="false">IF($A4822="","",IF($H4822="-","-",IF(AND(IF(원본명단!$H4821="",TRUE(),COUNTIF(원본명단!$H$3:$H4821,원본명단!$H4821)=1),IF(원본명단!$I4821="",TRUE(),COUNTIF(원본명단!$I$3:$I4821,원본명단!$I4821)=1),IF(원본명단!$K4821="",TRUE(),COUNTIF(원본명단!$K$3:$K4821,원본명단!$K4821)=1)),"첫 건","중복 건")))</f>
        <v/>
      </c>
      <c r="J4822" s="11" t="str">
        <f aca="false">IF($A4822="","",IF($H4822="-","유지",IF($I4822="첫 건","유지","확인 필요")))</f>
        <v/>
      </c>
    </row>
    <row r="4823" customFormat="false" ht="15" hidden="false" customHeight="true" outlineLevel="0" collapsed="false">
      <c r="A4823" s="11" t="str">
        <f aca="false">IF(원본명단!$A4822="","",4820)</f>
        <v/>
      </c>
      <c r="B4823" s="12" t="str">
        <f aca="false">IF($A4823="","",원본명단!$A4822)</f>
        <v/>
      </c>
      <c r="C4823" s="12" t="str">
        <f aca="false">IF($A4823="","",원본명단!$B4822)</f>
        <v/>
      </c>
      <c r="D4823" s="12" t="str">
        <f aca="false">IF($A4823="","",원본명단!$D4822)</f>
        <v/>
      </c>
      <c r="E4823" s="11" t="str">
        <f aca="false">IF($A4823="","",IF(원본명단!$H4822="",0,COUNTIF(원본명단!$H$3:$H$6002,원본명단!$H4822)))</f>
        <v/>
      </c>
      <c r="F4823" s="11" t="str">
        <f aca="false">IF($A4823="","",IF(원본명단!$I4822="",0,COUNTIF(원본명단!$I$3:$I$6002,원본명단!$I4822)))</f>
        <v/>
      </c>
      <c r="G4823" s="11" t="str">
        <f aca="false">IF($A4823="","",IF(원본명단!$K4822="",0,COUNTIF(원본명단!$K$3:$K$6002,원본명단!$K4822)))</f>
        <v/>
      </c>
      <c r="H4823" s="11" t="str">
        <f aca="false">IF($A4823="","",IF(MAX($E4823,$F4823,$G4823)&gt;1,"중복","-"))</f>
        <v/>
      </c>
      <c r="I4823" s="11" t="str">
        <f aca="false">IF($A4823="","",IF($H4823="-","-",IF(AND(IF(원본명단!$H4822="",TRUE(),COUNTIF(원본명단!$H$3:$H4822,원본명단!$H4822)=1),IF(원본명단!$I4822="",TRUE(),COUNTIF(원본명단!$I$3:$I4822,원본명단!$I4822)=1),IF(원본명단!$K4822="",TRUE(),COUNTIF(원본명단!$K$3:$K4822,원본명단!$K4822)=1)),"첫 건","중복 건")))</f>
        <v/>
      </c>
      <c r="J4823" s="11" t="str">
        <f aca="false">IF($A4823="","",IF($H4823="-","유지",IF($I4823="첫 건","유지","확인 필요")))</f>
        <v/>
      </c>
    </row>
    <row r="4824" customFormat="false" ht="15" hidden="false" customHeight="true" outlineLevel="0" collapsed="false">
      <c r="A4824" s="11" t="str">
        <f aca="false">IF(원본명단!$A4823="","",4821)</f>
        <v/>
      </c>
      <c r="B4824" s="12" t="str">
        <f aca="false">IF($A4824="","",원본명단!$A4823)</f>
        <v/>
      </c>
      <c r="C4824" s="12" t="str">
        <f aca="false">IF($A4824="","",원본명단!$B4823)</f>
        <v/>
      </c>
      <c r="D4824" s="12" t="str">
        <f aca="false">IF($A4824="","",원본명단!$D4823)</f>
        <v/>
      </c>
      <c r="E4824" s="11" t="str">
        <f aca="false">IF($A4824="","",IF(원본명단!$H4823="",0,COUNTIF(원본명단!$H$3:$H$6002,원본명단!$H4823)))</f>
        <v/>
      </c>
      <c r="F4824" s="11" t="str">
        <f aca="false">IF($A4824="","",IF(원본명단!$I4823="",0,COUNTIF(원본명단!$I$3:$I$6002,원본명단!$I4823)))</f>
        <v/>
      </c>
      <c r="G4824" s="11" t="str">
        <f aca="false">IF($A4824="","",IF(원본명단!$K4823="",0,COUNTIF(원본명단!$K$3:$K$6002,원본명단!$K4823)))</f>
        <v/>
      </c>
      <c r="H4824" s="11" t="str">
        <f aca="false">IF($A4824="","",IF(MAX($E4824,$F4824,$G4824)&gt;1,"중복","-"))</f>
        <v/>
      </c>
      <c r="I4824" s="11" t="str">
        <f aca="false">IF($A4824="","",IF($H4824="-","-",IF(AND(IF(원본명단!$H4823="",TRUE(),COUNTIF(원본명단!$H$3:$H4823,원본명단!$H4823)=1),IF(원본명단!$I4823="",TRUE(),COUNTIF(원본명단!$I$3:$I4823,원본명단!$I4823)=1),IF(원본명단!$K4823="",TRUE(),COUNTIF(원본명단!$K$3:$K4823,원본명단!$K4823)=1)),"첫 건","중복 건")))</f>
        <v/>
      </c>
      <c r="J4824" s="11" t="str">
        <f aca="false">IF($A4824="","",IF($H4824="-","유지",IF($I4824="첫 건","유지","확인 필요")))</f>
        <v/>
      </c>
    </row>
    <row r="4825" customFormat="false" ht="15" hidden="false" customHeight="true" outlineLevel="0" collapsed="false">
      <c r="A4825" s="11" t="str">
        <f aca="false">IF(원본명단!$A4824="","",4822)</f>
        <v/>
      </c>
      <c r="B4825" s="12" t="str">
        <f aca="false">IF($A4825="","",원본명단!$A4824)</f>
        <v/>
      </c>
      <c r="C4825" s="12" t="str">
        <f aca="false">IF($A4825="","",원본명단!$B4824)</f>
        <v/>
      </c>
      <c r="D4825" s="12" t="str">
        <f aca="false">IF($A4825="","",원본명단!$D4824)</f>
        <v/>
      </c>
      <c r="E4825" s="11" t="str">
        <f aca="false">IF($A4825="","",IF(원본명단!$H4824="",0,COUNTIF(원본명단!$H$3:$H$6002,원본명단!$H4824)))</f>
        <v/>
      </c>
      <c r="F4825" s="11" t="str">
        <f aca="false">IF($A4825="","",IF(원본명단!$I4824="",0,COUNTIF(원본명단!$I$3:$I$6002,원본명단!$I4824)))</f>
        <v/>
      </c>
      <c r="G4825" s="11" t="str">
        <f aca="false">IF($A4825="","",IF(원본명단!$K4824="",0,COUNTIF(원본명단!$K$3:$K$6002,원본명단!$K4824)))</f>
        <v/>
      </c>
      <c r="H4825" s="11" t="str">
        <f aca="false">IF($A4825="","",IF(MAX($E4825,$F4825,$G4825)&gt;1,"중복","-"))</f>
        <v/>
      </c>
      <c r="I4825" s="11" t="str">
        <f aca="false">IF($A4825="","",IF($H4825="-","-",IF(AND(IF(원본명단!$H4824="",TRUE(),COUNTIF(원본명단!$H$3:$H4824,원본명단!$H4824)=1),IF(원본명단!$I4824="",TRUE(),COUNTIF(원본명단!$I$3:$I4824,원본명단!$I4824)=1),IF(원본명단!$K4824="",TRUE(),COUNTIF(원본명단!$K$3:$K4824,원본명단!$K4824)=1)),"첫 건","중복 건")))</f>
        <v/>
      </c>
      <c r="J4825" s="11" t="str">
        <f aca="false">IF($A4825="","",IF($H4825="-","유지",IF($I4825="첫 건","유지","확인 필요")))</f>
        <v/>
      </c>
    </row>
    <row r="4826" customFormat="false" ht="15" hidden="false" customHeight="true" outlineLevel="0" collapsed="false">
      <c r="A4826" s="11" t="str">
        <f aca="false">IF(원본명단!$A4825="","",4823)</f>
        <v/>
      </c>
      <c r="B4826" s="12" t="str">
        <f aca="false">IF($A4826="","",원본명단!$A4825)</f>
        <v/>
      </c>
      <c r="C4826" s="12" t="str">
        <f aca="false">IF($A4826="","",원본명단!$B4825)</f>
        <v/>
      </c>
      <c r="D4826" s="12" t="str">
        <f aca="false">IF($A4826="","",원본명단!$D4825)</f>
        <v/>
      </c>
      <c r="E4826" s="11" t="str">
        <f aca="false">IF($A4826="","",IF(원본명단!$H4825="",0,COUNTIF(원본명단!$H$3:$H$6002,원본명단!$H4825)))</f>
        <v/>
      </c>
      <c r="F4826" s="11" t="str">
        <f aca="false">IF($A4826="","",IF(원본명단!$I4825="",0,COUNTIF(원본명단!$I$3:$I$6002,원본명단!$I4825)))</f>
        <v/>
      </c>
      <c r="G4826" s="11" t="str">
        <f aca="false">IF($A4826="","",IF(원본명단!$K4825="",0,COUNTIF(원본명단!$K$3:$K$6002,원본명단!$K4825)))</f>
        <v/>
      </c>
      <c r="H4826" s="11" t="str">
        <f aca="false">IF($A4826="","",IF(MAX($E4826,$F4826,$G4826)&gt;1,"중복","-"))</f>
        <v/>
      </c>
      <c r="I4826" s="11" t="str">
        <f aca="false">IF($A4826="","",IF($H4826="-","-",IF(AND(IF(원본명단!$H4825="",TRUE(),COUNTIF(원본명단!$H$3:$H4825,원본명단!$H4825)=1),IF(원본명단!$I4825="",TRUE(),COUNTIF(원본명단!$I$3:$I4825,원본명단!$I4825)=1),IF(원본명단!$K4825="",TRUE(),COUNTIF(원본명단!$K$3:$K4825,원본명단!$K4825)=1)),"첫 건","중복 건")))</f>
        <v/>
      </c>
      <c r="J4826" s="11" t="str">
        <f aca="false">IF($A4826="","",IF($H4826="-","유지",IF($I4826="첫 건","유지","확인 필요")))</f>
        <v/>
      </c>
    </row>
    <row r="4827" customFormat="false" ht="15" hidden="false" customHeight="true" outlineLevel="0" collapsed="false">
      <c r="A4827" s="11" t="str">
        <f aca="false">IF(원본명단!$A4826="","",4824)</f>
        <v/>
      </c>
      <c r="B4827" s="12" t="str">
        <f aca="false">IF($A4827="","",원본명단!$A4826)</f>
        <v/>
      </c>
      <c r="C4827" s="12" t="str">
        <f aca="false">IF($A4827="","",원본명단!$B4826)</f>
        <v/>
      </c>
      <c r="D4827" s="12" t="str">
        <f aca="false">IF($A4827="","",원본명단!$D4826)</f>
        <v/>
      </c>
      <c r="E4827" s="11" t="str">
        <f aca="false">IF($A4827="","",IF(원본명단!$H4826="",0,COUNTIF(원본명단!$H$3:$H$6002,원본명단!$H4826)))</f>
        <v/>
      </c>
      <c r="F4827" s="11" t="str">
        <f aca="false">IF($A4827="","",IF(원본명단!$I4826="",0,COUNTIF(원본명단!$I$3:$I$6002,원본명단!$I4826)))</f>
        <v/>
      </c>
      <c r="G4827" s="11" t="str">
        <f aca="false">IF($A4827="","",IF(원본명단!$K4826="",0,COUNTIF(원본명단!$K$3:$K$6002,원본명단!$K4826)))</f>
        <v/>
      </c>
      <c r="H4827" s="11" t="str">
        <f aca="false">IF($A4827="","",IF(MAX($E4827,$F4827,$G4827)&gt;1,"중복","-"))</f>
        <v/>
      </c>
      <c r="I4827" s="11" t="str">
        <f aca="false">IF($A4827="","",IF($H4827="-","-",IF(AND(IF(원본명단!$H4826="",TRUE(),COUNTIF(원본명단!$H$3:$H4826,원본명단!$H4826)=1),IF(원본명단!$I4826="",TRUE(),COUNTIF(원본명단!$I$3:$I4826,원본명단!$I4826)=1),IF(원본명단!$K4826="",TRUE(),COUNTIF(원본명단!$K$3:$K4826,원본명단!$K4826)=1)),"첫 건","중복 건")))</f>
        <v/>
      </c>
      <c r="J4827" s="11" t="str">
        <f aca="false">IF($A4827="","",IF($H4827="-","유지",IF($I4827="첫 건","유지","확인 필요")))</f>
        <v/>
      </c>
    </row>
    <row r="4828" customFormat="false" ht="15" hidden="false" customHeight="true" outlineLevel="0" collapsed="false">
      <c r="A4828" s="11" t="str">
        <f aca="false">IF(원본명단!$A4827="","",4825)</f>
        <v/>
      </c>
      <c r="B4828" s="12" t="str">
        <f aca="false">IF($A4828="","",원본명단!$A4827)</f>
        <v/>
      </c>
      <c r="C4828" s="12" t="str">
        <f aca="false">IF($A4828="","",원본명단!$B4827)</f>
        <v/>
      </c>
      <c r="D4828" s="12" t="str">
        <f aca="false">IF($A4828="","",원본명단!$D4827)</f>
        <v/>
      </c>
      <c r="E4828" s="11" t="str">
        <f aca="false">IF($A4828="","",IF(원본명단!$H4827="",0,COUNTIF(원본명단!$H$3:$H$6002,원본명단!$H4827)))</f>
        <v/>
      </c>
      <c r="F4828" s="11" t="str">
        <f aca="false">IF($A4828="","",IF(원본명단!$I4827="",0,COUNTIF(원본명단!$I$3:$I$6002,원본명단!$I4827)))</f>
        <v/>
      </c>
      <c r="G4828" s="11" t="str">
        <f aca="false">IF($A4828="","",IF(원본명단!$K4827="",0,COUNTIF(원본명단!$K$3:$K$6002,원본명단!$K4827)))</f>
        <v/>
      </c>
      <c r="H4828" s="11" t="str">
        <f aca="false">IF($A4828="","",IF(MAX($E4828,$F4828,$G4828)&gt;1,"중복","-"))</f>
        <v/>
      </c>
      <c r="I4828" s="11" t="str">
        <f aca="false">IF($A4828="","",IF($H4828="-","-",IF(AND(IF(원본명단!$H4827="",TRUE(),COUNTIF(원본명단!$H$3:$H4827,원본명단!$H4827)=1),IF(원본명단!$I4827="",TRUE(),COUNTIF(원본명단!$I$3:$I4827,원본명단!$I4827)=1),IF(원본명단!$K4827="",TRUE(),COUNTIF(원본명단!$K$3:$K4827,원본명단!$K4827)=1)),"첫 건","중복 건")))</f>
        <v/>
      </c>
      <c r="J4828" s="11" t="str">
        <f aca="false">IF($A4828="","",IF($H4828="-","유지",IF($I4828="첫 건","유지","확인 필요")))</f>
        <v/>
      </c>
    </row>
    <row r="4829" customFormat="false" ht="15" hidden="false" customHeight="true" outlineLevel="0" collapsed="false">
      <c r="A4829" s="11" t="str">
        <f aca="false">IF(원본명단!$A4828="","",4826)</f>
        <v/>
      </c>
      <c r="B4829" s="12" t="str">
        <f aca="false">IF($A4829="","",원본명단!$A4828)</f>
        <v/>
      </c>
      <c r="C4829" s="12" t="str">
        <f aca="false">IF($A4829="","",원본명단!$B4828)</f>
        <v/>
      </c>
      <c r="D4829" s="12" t="str">
        <f aca="false">IF($A4829="","",원본명단!$D4828)</f>
        <v/>
      </c>
      <c r="E4829" s="11" t="str">
        <f aca="false">IF($A4829="","",IF(원본명단!$H4828="",0,COUNTIF(원본명단!$H$3:$H$6002,원본명단!$H4828)))</f>
        <v/>
      </c>
      <c r="F4829" s="11" t="str">
        <f aca="false">IF($A4829="","",IF(원본명단!$I4828="",0,COUNTIF(원본명단!$I$3:$I$6002,원본명단!$I4828)))</f>
        <v/>
      </c>
      <c r="G4829" s="11" t="str">
        <f aca="false">IF($A4829="","",IF(원본명단!$K4828="",0,COUNTIF(원본명단!$K$3:$K$6002,원본명단!$K4828)))</f>
        <v/>
      </c>
      <c r="H4829" s="11" t="str">
        <f aca="false">IF($A4829="","",IF(MAX($E4829,$F4829,$G4829)&gt;1,"중복","-"))</f>
        <v/>
      </c>
      <c r="I4829" s="11" t="str">
        <f aca="false">IF($A4829="","",IF($H4829="-","-",IF(AND(IF(원본명단!$H4828="",TRUE(),COUNTIF(원본명단!$H$3:$H4828,원본명단!$H4828)=1),IF(원본명단!$I4828="",TRUE(),COUNTIF(원본명단!$I$3:$I4828,원본명단!$I4828)=1),IF(원본명단!$K4828="",TRUE(),COUNTIF(원본명단!$K$3:$K4828,원본명단!$K4828)=1)),"첫 건","중복 건")))</f>
        <v/>
      </c>
      <c r="J4829" s="11" t="str">
        <f aca="false">IF($A4829="","",IF($H4829="-","유지",IF($I4829="첫 건","유지","확인 필요")))</f>
        <v/>
      </c>
    </row>
    <row r="4830" customFormat="false" ht="15" hidden="false" customHeight="true" outlineLevel="0" collapsed="false">
      <c r="A4830" s="11" t="str">
        <f aca="false">IF(원본명단!$A4829="","",4827)</f>
        <v/>
      </c>
      <c r="B4830" s="12" t="str">
        <f aca="false">IF($A4830="","",원본명단!$A4829)</f>
        <v/>
      </c>
      <c r="C4830" s="12" t="str">
        <f aca="false">IF($A4830="","",원본명단!$B4829)</f>
        <v/>
      </c>
      <c r="D4830" s="12" t="str">
        <f aca="false">IF($A4830="","",원본명단!$D4829)</f>
        <v/>
      </c>
      <c r="E4830" s="11" t="str">
        <f aca="false">IF($A4830="","",IF(원본명단!$H4829="",0,COUNTIF(원본명단!$H$3:$H$6002,원본명단!$H4829)))</f>
        <v/>
      </c>
      <c r="F4830" s="11" t="str">
        <f aca="false">IF($A4830="","",IF(원본명단!$I4829="",0,COUNTIF(원본명단!$I$3:$I$6002,원본명단!$I4829)))</f>
        <v/>
      </c>
      <c r="G4830" s="11" t="str">
        <f aca="false">IF($A4830="","",IF(원본명단!$K4829="",0,COUNTIF(원본명단!$K$3:$K$6002,원본명단!$K4829)))</f>
        <v/>
      </c>
      <c r="H4830" s="11" t="str">
        <f aca="false">IF($A4830="","",IF(MAX($E4830,$F4830,$G4830)&gt;1,"중복","-"))</f>
        <v/>
      </c>
      <c r="I4830" s="11" t="str">
        <f aca="false">IF($A4830="","",IF($H4830="-","-",IF(AND(IF(원본명단!$H4829="",TRUE(),COUNTIF(원본명단!$H$3:$H4829,원본명단!$H4829)=1),IF(원본명단!$I4829="",TRUE(),COUNTIF(원본명단!$I$3:$I4829,원본명단!$I4829)=1),IF(원본명단!$K4829="",TRUE(),COUNTIF(원본명단!$K$3:$K4829,원본명단!$K4829)=1)),"첫 건","중복 건")))</f>
        <v/>
      </c>
      <c r="J4830" s="11" t="str">
        <f aca="false">IF($A4830="","",IF($H4830="-","유지",IF($I4830="첫 건","유지","확인 필요")))</f>
        <v/>
      </c>
    </row>
    <row r="4831" customFormat="false" ht="15" hidden="false" customHeight="true" outlineLevel="0" collapsed="false">
      <c r="A4831" s="11" t="str">
        <f aca="false">IF(원본명단!$A4830="","",4828)</f>
        <v/>
      </c>
      <c r="B4831" s="12" t="str">
        <f aca="false">IF($A4831="","",원본명단!$A4830)</f>
        <v/>
      </c>
      <c r="C4831" s="12" t="str">
        <f aca="false">IF($A4831="","",원본명단!$B4830)</f>
        <v/>
      </c>
      <c r="D4831" s="12" t="str">
        <f aca="false">IF($A4831="","",원본명단!$D4830)</f>
        <v/>
      </c>
      <c r="E4831" s="11" t="str">
        <f aca="false">IF($A4831="","",IF(원본명단!$H4830="",0,COUNTIF(원본명단!$H$3:$H$6002,원본명단!$H4830)))</f>
        <v/>
      </c>
      <c r="F4831" s="11" t="str">
        <f aca="false">IF($A4831="","",IF(원본명단!$I4830="",0,COUNTIF(원본명단!$I$3:$I$6002,원본명단!$I4830)))</f>
        <v/>
      </c>
      <c r="G4831" s="11" t="str">
        <f aca="false">IF($A4831="","",IF(원본명단!$K4830="",0,COUNTIF(원본명단!$K$3:$K$6002,원본명단!$K4830)))</f>
        <v/>
      </c>
      <c r="H4831" s="11" t="str">
        <f aca="false">IF($A4831="","",IF(MAX($E4831,$F4831,$G4831)&gt;1,"중복","-"))</f>
        <v/>
      </c>
      <c r="I4831" s="11" t="str">
        <f aca="false">IF($A4831="","",IF($H4831="-","-",IF(AND(IF(원본명단!$H4830="",TRUE(),COUNTIF(원본명단!$H$3:$H4830,원본명단!$H4830)=1),IF(원본명단!$I4830="",TRUE(),COUNTIF(원본명단!$I$3:$I4830,원본명단!$I4830)=1),IF(원본명단!$K4830="",TRUE(),COUNTIF(원본명단!$K$3:$K4830,원본명단!$K4830)=1)),"첫 건","중복 건")))</f>
        <v/>
      </c>
      <c r="J4831" s="11" t="str">
        <f aca="false">IF($A4831="","",IF($H4831="-","유지",IF($I4831="첫 건","유지","확인 필요")))</f>
        <v/>
      </c>
    </row>
    <row r="4832" customFormat="false" ht="15" hidden="false" customHeight="true" outlineLevel="0" collapsed="false">
      <c r="A4832" s="11" t="str">
        <f aca="false">IF(원본명단!$A4831="","",4829)</f>
        <v/>
      </c>
      <c r="B4832" s="12" t="str">
        <f aca="false">IF($A4832="","",원본명단!$A4831)</f>
        <v/>
      </c>
      <c r="C4832" s="12" t="str">
        <f aca="false">IF($A4832="","",원본명단!$B4831)</f>
        <v/>
      </c>
      <c r="D4832" s="12" t="str">
        <f aca="false">IF($A4832="","",원본명단!$D4831)</f>
        <v/>
      </c>
      <c r="E4832" s="11" t="str">
        <f aca="false">IF($A4832="","",IF(원본명단!$H4831="",0,COUNTIF(원본명단!$H$3:$H$6002,원본명단!$H4831)))</f>
        <v/>
      </c>
      <c r="F4832" s="11" t="str">
        <f aca="false">IF($A4832="","",IF(원본명단!$I4831="",0,COUNTIF(원본명단!$I$3:$I$6002,원본명단!$I4831)))</f>
        <v/>
      </c>
      <c r="G4832" s="11" t="str">
        <f aca="false">IF($A4832="","",IF(원본명단!$K4831="",0,COUNTIF(원본명단!$K$3:$K$6002,원본명단!$K4831)))</f>
        <v/>
      </c>
      <c r="H4832" s="11" t="str">
        <f aca="false">IF($A4832="","",IF(MAX($E4832,$F4832,$G4832)&gt;1,"중복","-"))</f>
        <v/>
      </c>
      <c r="I4832" s="11" t="str">
        <f aca="false">IF($A4832="","",IF($H4832="-","-",IF(AND(IF(원본명단!$H4831="",TRUE(),COUNTIF(원본명단!$H$3:$H4831,원본명단!$H4831)=1),IF(원본명단!$I4831="",TRUE(),COUNTIF(원본명단!$I$3:$I4831,원본명단!$I4831)=1),IF(원본명단!$K4831="",TRUE(),COUNTIF(원본명단!$K$3:$K4831,원본명단!$K4831)=1)),"첫 건","중복 건")))</f>
        <v/>
      </c>
      <c r="J4832" s="11" t="str">
        <f aca="false">IF($A4832="","",IF($H4832="-","유지",IF($I4832="첫 건","유지","확인 필요")))</f>
        <v/>
      </c>
    </row>
    <row r="4833" customFormat="false" ht="15" hidden="false" customHeight="true" outlineLevel="0" collapsed="false">
      <c r="A4833" s="11" t="str">
        <f aca="false">IF(원본명단!$A4832="","",4830)</f>
        <v/>
      </c>
      <c r="B4833" s="12" t="str">
        <f aca="false">IF($A4833="","",원본명단!$A4832)</f>
        <v/>
      </c>
      <c r="C4833" s="12" t="str">
        <f aca="false">IF($A4833="","",원본명단!$B4832)</f>
        <v/>
      </c>
      <c r="D4833" s="12" t="str">
        <f aca="false">IF($A4833="","",원본명단!$D4832)</f>
        <v/>
      </c>
      <c r="E4833" s="11" t="str">
        <f aca="false">IF($A4833="","",IF(원본명단!$H4832="",0,COUNTIF(원본명단!$H$3:$H$6002,원본명단!$H4832)))</f>
        <v/>
      </c>
      <c r="F4833" s="11" t="str">
        <f aca="false">IF($A4833="","",IF(원본명단!$I4832="",0,COUNTIF(원본명단!$I$3:$I$6002,원본명단!$I4832)))</f>
        <v/>
      </c>
      <c r="G4833" s="11" t="str">
        <f aca="false">IF($A4833="","",IF(원본명단!$K4832="",0,COUNTIF(원본명단!$K$3:$K$6002,원본명단!$K4832)))</f>
        <v/>
      </c>
      <c r="H4833" s="11" t="str">
        <f aca="false">IF($A4833="","",IF(MAX($E4833,$F4833,$G4833)&gt;1,"중복","-"))</f>
        <v/>
      </c>
      <c r="I4833" s="11" t="str">
        <f aca="false">IF($A4833="","",IF($H4833="-","-",IF(AND(IF(원본명단!$H4832="",TRUE(),COUNTIF(원본명단!$H$3:$H4832,원본명단!$H4832)=1),IF(원본명단!$I4832="",TRUE(),COUNTIF(원본명단!$I$3:$I4832,원본명단!$I4832)=1),IF(원본명단!$K4832="",TRUE(),COUNTIF(원본명단!$K$3:$K4832,원본명단!$K4832)=1)),"첫 건","중복 건")))</f>
        <v/>
      </c>
      <c r="J4833" s="11" t="str">
        <f aca="false">IF($A4833="","",IF($H4833="-","유지",IF($I4833="첫 건","유지","확인 필요")))</f>
        <v/>
      </c>
    </row>
    <row r="4834" customFormat="false" ht="15" hidden="false" customHeight="true" outlineLevel="0" collapsed="false">
      <c r="A4834" s="11" t="str">
        <f aca="false">IF(원본명단!$A4833="","",4831)</f>
        <v/>
      </c>
      <c r="B4834" s="12" t="str">
        <f aca="false">IF($A4834="","",원본명단!$A4833)</f>
        <v/>
      </c>
      <c r="C4834" s="12" t="str">
        <f aca="false">IF($A4834="","",원본명단!$B4833)</f>
        <v/>
      </c>
      <c r="D4834" s="12" t="str">
        <f aca="false">IF($A4834="","",원본명단!$D4833)</f>
        <v/>
      </c>
      <c r="E4834" s="11" t="str">
        <f aca="false">IF($A4834="","",IF(원본명단!$H4833="",0,COUNTIF(원본명단!$H$3:$H$6002,원본명단!$H4833)))</f>
        <v/>
      </c>
      <c r="F4834" s="11" t="str">
        <f aca="false">IF($A4834="","",IF(원본명단!$I4833="",0,COUNTIF(원본명단!$I$3:$I$6002,원본명단!$I4833)))</f>
        <v/>
      </c>
      <c r="G4834" s="11" t="str">
        <f aca="false">IF($A4834="","",IF(원본명단!$K4833="",0,COUNTIF(원본명단!$K$3:$K$6002,원본명단!$K4833)))</f>
        <v/>
      </c>
      <c r="H4834" s="11" t="str">
        <f aca="false">IF($A4834="","",IF(MAX($E4834,$F4834,$G4834)&gt;1,"중복","-"))</f>
        <v/>
      </c>
      <c r="I4834" s="11" t="str">
        <f aca="false">IF($A4834="","",IF($H4834="-","-",IF(AND(IF(원본명단!$H4833="",TRUE(),COUNTIF(원본명단!$H$3:$H4833,원본명단!$H4833)=1),IF(원본명단!$I4833="",TRUE(),COUNTIF(원본명단!$I$3:$I4833,원본명단!$I4833)=1),IF(원본명단!$K4833="",TRUE(),COUNTIF(원본명단!$K$3:$K4833,원본명단!$K4833)=1)),"첫 건","중복 건")))</f>
        <v/>
      </c>
      <c r="J4834" s="11" t="str">
        <f aca="false">IF($A4834="","",IF($H4834="-","유지",IF($I4834="첫 건","유지","확인 필요")))</f>
        <v/>
      </c>
    </row>
    <row r="4835" customFormat="false" ht="15" hidden="false" customHeight="true" outlineLevel="0" collapsed="false">
      <c r="A4835" s="11" t="str">
        <f aca="false">IF(원본명단!$A4834="","",4832)</f>
        <v/>
      </c>
      <c r="B4835" s="12" t="str">
        <f aca="false">IF($A4835="","",원본명단!$A4834)</f>
        <v/>
      </c>
      <c r="C4835" s="12" t="str">
        <f aca="false">IF($A4835="","",원본명단!$B4834)</f>
        <v/>
      </c>
      <c r="D4835" s="12" t="str">
        <f aca="false">IF($A4835="","",원본명단!$D4834)</f>
        <v/>
      </c>
      <c r="E4835" s="11" t="str">
        <f aca="false">IF($A4835="","",IF(원본명단!$H4834="",0,COUNTIF(원본명단!$H$3:$H$6002,원본명단!$H4834)))</f>
        <v/>
      </c>
      <c r="F4835" s="11" t="str">
        <f aca="false">IF($A4835="","",IF(원본명단!$I4834="",0,COUNTIF(원본명단!$I$3:$I$6002,원본명단!$I4834)))</f>
        <v/>
      </c>
      <c r="G4835" s="11" t="str">
        <f aca="false">IF($A4835="","",IF(원본명단!$K4834="",0,COUNTIF(원본명단!$K$3:$K$6002,원본명단!$K4834)))</f>
        <v/>
      </c>
      <c r="H4835" s="11" t="str">
        <f aca="false">IF($A4835="","",IF(MAX($E4835,$F4835,$G4835)&gt;1,"중복","-"))</f>
        <v/>
      </c>
      <c r="I4835" s="11" t="str">
        <f aca="false">IF($A4835="","",IF($H4835="-","-",IF(AND(IF(원본명단!$H4834="",TRUE(),COUNTIF(원본명단!$H$3:$H4834,원본명단!$H4834)=1),IF(원본명단!$I4834="",TRUE(),COUNTIF(원본명단!$I$3:$I4834,원본명단!$I4834)=1),IF(원본명단!$K4834="",TRUE(),COUNTIF(원본명단!$K$3:$K4834,원본명단!$K4834)=1)),"첫 건","중복 건")))</f>
        <v/>
      </c>
      <c r="J4835" s="11" t="str">
        <f aca="false">IF($A4835="","",IF($H4835="-","유지",IF($I4835="첫 건","유지","확인 필요")))</f>
        <v/>
      </c>
    </row>
    <row r="4836" customFormat="false" ht="15" hidden="false" customHeight="true" outlineLevel="0" collapsed="false">
      <c r="A4836" s="11" t="str">
        <f aca="false">IF(원본명단!$A4835="","",4833)</f>
        <v/>
      </c>
      <c r="B4836" s="12" t="str">
        <f aca="false">IF($A4836="","",원본명단!$A4835)</f>
        <v/>
      </c>
      <c r="C4836" s="12" t="str">
        <f aca="false">IF($A4836="","",원본명단!$B4835)</f>
        <v/>
      </c>
      <c r="D4836" s="12" t="str">
        <f aca="false">IF($A4836="","",원본명단!$D4835)</f>
        <v/>
      </c>
      <c r="E4836" s="11" t="str">
        <f aca="false">IF($A4836="","",IF(원본명단!$H4835="",0,COUNTIF(원본명단!$H$3:$H$6002,원본명단!$H4835)))</f>
        <v/>
      </c>
      <c r="F4836" s="11" t="str">
        <f aca="false">IF($A4836="","",IF(원본명단!$I4835="",0,COUNTIF(원본명단!$I$3:$I$6002,원본명단!$I4835)))</f>
        <v/>
      </c>
      <c r="G4836" s="11" t="str">
        <f aca="false">IF($A4836="","",IF(원본명단!$K4835="",0,COUNTIF(원본명단!$K$3:$K$6002,원본명단!$K4835)))</f>
        <v/>
      </c>
      <c r="H4836" s="11" t="str">
        <f aca="false">IF($A4836="","",IF(MAX($E4836,$F4836,$G4836)&gt;1,"중복","-"))</f>
        <v/>
      </c>
      <c r="I4836" s="11" t="str">
        <f aca="false">IF($A4836="","",IF($H4836="-","-",IF(AND(IF(원본명단!$H4835="",TRUE(),COUNTIF(원본명단!$H$3:$H4835,원본명단!$H4835)=1),IF(원본명단!$I4835="",TRUE(),COUNTIF(원본명단!$I$3:$I4835,원본명단!$I4835)=1),IF(원본명단!$K4835="",TRUE(),COUNTIF(원본명단!$K$3:$K4835,원본명단!$K4835)=1)),"첫 건","중복 건")))</f>
        <v/>
      </c>
      <c r="J4836" s="11" t="str">
        <f aca="false">IF($A4836="","",IF($H4836="-","유지",IF($I4836="첫 건","유지","확인 필요")))</f>
        <v/>
      </c>
    </row>
    <row r="4837" customFormat="false" ht="15" hidden="false" customHeight="true" outlineLevel="0" collapsed="false">
      <c r="A4837" s="11" t="str">
        <f aca="false">IF(원본명단!$A4836="","",4834)</f>
        <v/>
      </c>
      <c r="B4837" s="12" t="str">
        <f aca="false">IF($A4837="","",원본명단!$A4836)</f>
        <v/>
      </c>
      <c r="C4837" s="12" t="str">
        <f aca="false">IF($A4837="","",원본명단!$B4836)</f>
        <v/>
      </c>
      <c r="D4837" s="12" t="str">
        <f aca="false">IF($A4837="","",원본명단!$D4836)</f>
        <v/>
      </c>
      <c r="E4837" s="11" t="str">
        <f aca="false">IF($A4837="","",IF(원본명단!$H4836="",0,COUNTIF(원본명단!$H$3:$H$6002,원본명단!$H4836)))</f>
        <v/>
      </c>
      <c r="F4837" s="11" t="str">
        <f aca="false">IF($A4837="","",IF(원본명단!$I4836="",0,COUNTIF(원본명단!$I$3:$I$6002,원본명단!$I4836)))</f>
        <v/>
      </c>
      <c r="G4837" s="11" t="str">
        <f aca="false">IF($A4837="","",IF(원본명단!$K4836="",0,COUNTIF(원본명단!$K$3:$K$6002,원본명단!$K4836)))</f>
        <v/>
      </c>
      <c r="H4837" s="11" t="str">
        <f aca="false">IF($A4837="","",IF(MAX($E4837,$F4837,$G4837)&gt;1,"중복","-"))</f>
        <v/>
      </c>
      <c r="I4837" s="11" t="str">
        <f aca="false">IF($A4837="","",IF($H4837="-","-",IF(AND(IF(원본명단!$H4836="",TRUE(),COUNTIF(원본명단!$H$3:$H4836,원본명단!$H4836)=1),IF(원본명단!$I4836="",TRUE(),COUNTIF(원본명단!$I$3:$I4836,원본명단!$I4836)=1),IF(원본명단!$K4836="",TRUE(),COUNTIF(원본명단!$K$3:$K4836,원본명단!$K4836)=1)),"첫 건","중복 건")))</f>
        <v/>
      </c>
      <c r="J4837" s="11" t="str">
        <f aca="false">IF($A4837="","",IF($H4837="-","유지",IF($I4837="첫 건","유지","확인 필요")))</f>
        <v/>
      </c>
    </row>
    <row r="4838" customFormat="false" ht="15" hidden="false" customHeight="true" outlineLevel="0" collapsed="false">
      <c r="A4838" s="11" t="str">
        <f aca="false">IF(원본명단!$A4837="","",4835)</f>
        <v/>
      </c>
      <c r="B4838" s="12" t="str">
        <f aca="false">IF($A4838="","",원본명단!$A4837)</f>
        <v/>
      </c>
      <c r="C4838" s="12" t="str">
        <f aca="false">IF($A4838="","",원본명단!$B4837)</f>
        <v/>
      </c>
      <c r="D4838" s="12" t="str">
        <f aca="false">IF($A4838="","",원본명단!$D4837)</f>
        <v/>
      </c>
      <c r="E4838" s="11" t="str">
        <f aca="false">IF($A4838="","",IF(원본명단!$H4837="",0,COUNTIF(원본명단!$H$3:$H$6002,원본명단!$H4837)))</f>
        <v/>
      </c>
      <c r="F4838" s="11" t="str">
        <f aca="false">IF($A4838="","",IF(원본명단!$I4837="",0,COUNTIF(원본명단!$I$3:$I$6002,원본명단!$I4837)))</f>
        <v/>
      </c>
      <c r="G4838" s="11" t="str">
        <f aca="false">IF($A4838="","",IF(원본명단!$K4837="",0,COUNTIF(원본명단!$K$3:$K$6002,원본명단!$K4837)))</f>
        <v/>
      </c>
      <c r="H4838" s="11" t="str">
        <f aca="false">IF($A4838="","",IF(MAX($E4838,$F4838,$G4838)&gt;1,"중복","-"))</f>
        <v/>
      </c>
      <c r="I4838" s="11" t="str">
        <f aca="false">IF($A4838="","",IF($H4838="-","-",IF(AND(IF(원본명단!$H4837="",TRUE(),COUNTIF(원본명단!$H$3:$H4837,원본명단!$H4837)=1),IF(원본명단!$I4837="",TRUE(),COUNTIF(원본명단!$I$3:$I4837,원본명단!$I4837)=1),IF(원본명단!$K4837="",TRUE(),COUNTIF(원본명단!$K$3:$K4837,원본명단!$K4837)=1)),"첫 건","중복 건")))</f>
        <v/>
      </c>
      <c r="J4838" s="11" t="str">
        <f aca="false">IF($A4838="","",IF($H4838="-","유지",IF($I4838="첫 건","유지","확인 필요")))</f>
        <v/>
      </c>
    </row>
    <row r="4839" customFormat="false" ht="15" hidden="false" customHeight="true" outlineLevel="0" collapsed="false">
      <c r="A4839" s="11" t="str">
        <f aca="false">IF(원본명단!$A4838="","",4836)</f>
        <v/>
      </c>
      <c r="B4839" s="12" t="str">
        <f aca="false">IF($A4839="","",원본명단!$A4838)</f>
        <v/>
      </c>
      <c r="C4839" s="12" t="str">
        <f aca="false">IF($A4839="","",원본명단!$B4838)</f>
        <v/>
      </c>
      <c r="D4839" s="12" t="str">
        <f aca="false">IF($A4839="","",원본명단!$D4838)</f>
        <v/>
      </c>
      <c r="E4839" s="11" t="str">
        <f aca="false">IF($A4839="","",IF(원본명단!$H4838="",0,COUNTIF(원본명단!$H$3:$H$6002,원본명단!$H4838)))</f>
        <v/>
      </c>
      <c r="F4839" s="11" t="str">
        <f aca="false">IF($A4839="","",IF(원본명단!$I4838="",0,COUNTIF(원본명단!$I$3:$I$6002,원본명단!$I4838)))</f>
        <v/>
      </c>
      <c r="G4839" s="11" t="str">
        <f aca="false">IF($A4839="","",IF(원본명단!$K4838="",0,COUNTIF(원본명단!$K$3:$K$6002,원본명단!$K4838)))</f>
        <v/>
      </c>
      <c r="H4839" s="11" t="str">
        <f aca="false">IF($A4839="","",IF(MAX($E4839,$F4839,$G4839)&gt;1,"중복","-"))</f>
        <v/>
      </c>
      <c r="I4839" s="11" t="str">
        <f aca="false">IF($A4839="","",IF($H4839="-","-",IF(AND(IF(원본명단!$H4838="",TRUE(),COUNTIF(원본명단!$H$3:$H4838,원본명단!$H4838)=1),IF(원본명단!$I4838="",TRUE(),COUNTIF(원본명단!$I$3:$I4838,원본명단!$I4838)=1),IF(원본명단!$K4838="",TRUE(),COUNTIF(원본명단!$K$3:$K4838,원본명단!$K4838)=1)),"첫 건","중복 건")))</f>
        <v/>
      </c>
      <c r="J4839" s="11" t="str">
        <f aca="false">IF($A4839="","",IF($H4839="-","유지",IF($I4839="첫 건","유지","확인 필요")))</f>
        <v/>
      </c>
    </row>
    <row r="4840" customFormat="false" ht="15" hidden="false" customHeight="true" outlineLevel="0" collapsed="false">
      <c r="A4840" s="11" t="str">
        <f aca="false">IF(원본명단!$A4839="","",4837)</f>
        <v/>
      </c>
      <c r="B4840" s="12" t="str">
        <f aca="false">IF($A4840="","",원본명단!$A4839)</f>
        <v/>
      </c>
      <c r="C4840" s="12" t="str">
        <f aca="false">IF($A4840="","",원본명단!$B4839)</f>
        <v/>
      </c>
      <c r="D4840" s="12" t="str">
        <f aca="false">IF($A4840="","",원본명단!$D4839)</f>
        <v/>
      </c>
      <c r="E4840" s="11" t="str">
        <f aca="false">IF($A4840="","",IF(원본명단!$H4839="",0,COUNTIF(원본명단!$H$3:$H$6002,원본명단!$H4839)))</f>
        <v/>
      </c>
      <c r="F4840" s="11" t="str">
        <f aca="false">IF($A4840="","",IF(원본명단!$I4839="",0,COUNTIF(원본명단!$I$3:$I$6002,원본명단!$I4839)))</f>
        <v/>
      </c>
      <c r="G4840" s="11" t="str">
        <f aca="false">IF($A4840="","",IF(원본명단!$K4839="",0,COUNTIF(원본명단!$K$3:$K$6002,원본명단!$K4839)))</f>
        <v/>
      </c>
      <c r="H4840" s="11" t="str">
        <f aca="false">IF($A4840="","",IF(MAX($E4840,$F4840,$G4840)&gt;1,"중복","-"))</f>
        <v/>
      </c>
      <c r="I4840" s="11" t="str">
        <f aca="false">IF($A4840="","",IF($H4840="-","-",IF(AND(IF(원본명단!$H4839="",TRUE(),COUNTIF(원본명단!$H$3:$H4839,원본명단!$H4839)=1),IF(원본명단!$I4839="",TRUE(),COUNTIF(원본명단!$I$3:$I4839,원본명단!$I4839)=1),IF(원본명단!$K4839="",TRUE(),COUNTIF(원본명단!$K$3:$K4839,원본명단!$K4839)=1)),"첫 건","중복 건")))</f>
        <v/>
      </c>
      <c r="J4840" s="11" t="str">
        <f aca="false">IF($A4840="","",IF($H4840="-","유지",IF($I4840="첫 건","유지","확인 필요")))</f>
        <v/>
      </c>
    </row>
    <row r="4841" customFormat="false" ht="15" hidden="false" customHeight="true" outlineLevel="0" collapsed="false">
      <c r="A4841" s="11" t="str">
        <f aca="false">IF(원본명단!$A4840="","",4838)</f>
        <v/>
      </c>
      <c r="B4841" s="12" t="str">
        <f aca="false">IF($A4841="","",원본명단!$A4840)</f>
        <v/>
      </c>
      <c r="C4841" s="12" t="str">
        <f aca="false">IF($A4841="","",원본명단!$B4840)</f>
        <v/>
      </c>
      <c r="D4841" s="12" t="str">
        <f aca="false">IF($A4841="","",원본명단!$D4840)</f>
        <v/>
      </c>
      <c r="E4841" s="11" t="str">
        <f aca="false">IF($A4841="","",IF(원본명단!$H4840="",0,COUNTIF(원본명단!$H$3:$H$6002,원본명단!$H4840)))</f>
        <v/>
      </c>
      <c r="F4841" s="11" t="str">
        <f aca="false">IF($A4841="","",IF(원본명단!$I4840="",0,COUNTIF(원본명단!$I$3:$I$6002,원본명단!$I4840)))</f>
        <v/>
      </c>
      <c r="G4841" s="11" t="str">
        <f aca="false">IF($A4841="","",IF(원본명단!$K4840="",0,COUNTIF(원본명단!$K$3:$K$6002,원본명단!$K4840)))</f>
        <v/>
      </c>
      <c r="H4841" s="11" t="str">
        <f aca="false">IF($A4841="","",IF(MAX($E4841,$F4841,$G4841)&gt;1,"중복","-"))</f>
        <v/>
      </c>
      <c r="I4841" s="11" t="str">
        <f aca="false">IF($A4841="","",IF($H4841="-","-",IF(AND(IF(원본명단!$H4840="",TRUE(),COUNTIF(원본명단!$H$3:$H4840,원본명단!$H4840)=1),IF(원본명단!$I4840="",TRUE(),COUNTIF(원본명단!$I$3:$I4840,원본명단!$I4840)=1),IF(원본명단!$K4840="",TRUE(),COUNTIF(원본명단!$K$3:$K4840,원본명단!$K4840)=1)),"첫 건","중복 건")))</f>
        <v/>
      </c>
      <c r="J4841" s="11" t="str">
        <f aca="false">IF($A4841="","",IF($H4841="-","유지",IF($I4841="첫 건","유지","확인 필요")))</f>
        <v/>
      </c>
    </row>
    <row r="4842" customFormat="false" ht="15" hidden="false" customHeight="true" outlineLevel="0" collapsed="false">
      <c r="A4842" s="11" t="str">
        <f aca="false">IF(원본명단!$A4841="","",4839)</f>
        <v/>
      </c>
      <c r="B4842" s="12" t="str">
        <f aca="false">IF($A4842="","",원본명단!$A4841)</f>
        <v/>
      </c>
      <c r="C4842" s="12" t="str">
        <f aca="false">IF($A4842="","",원본명단!$B4841)</f>
        <v/>
      </c>
      <c r="D4842" s="12" t="str">
        <f aca="false">IF($A4842="","",원본명단!$D4841)</f>
        <v/>
      </c>
      <c r="E4842" s="11" t="str">
        <f aca="false">IF($A4842="","",IF(원본명단!$H4841="",0,COUNTIF(원본명단!$H$3:$H$6002,원본명단!$H4841)))</f>
        <v/>
      </c>
      <c r="F4842" s="11" t="str">
        <f aca="false">IF($A4842="","",IF(원본명단!$I4841="",0,COUNTIF(원본명단!$I$3:$I$6002,원본명단!$I4841)))</f>
        <v/>
      </c>
      <c r="G4842" s="11" t="str">
        <f aca="false">IF($A4842="","",IF(원본명단!$K4841="",0,COUNTIF(원본명단!$K$3:$K$6002,원본명단!$K4841)))</f>
        <v/>
      </c>
      <c r="H4842" s="11" t="str">
        <f aca="false">IF($A4842="","",IF(MAX($E4842,$F4842,$G4842)&gt;1,"중복","-"))</f>
        <v/>
      </c>
      <c r="I4842" s="11" t="str">
        <f aca="false">IF($A4842="","",IF($H4842="-","-",IF(AND(IF(원본명단!$H4841="",TRUE(),COUNTIF(원본명단!$H$3:$H4841,원본명단!$H4841)=1),IF(원본명단!$I4841="",TRUE(),COUNTIF(원본명단!$I$3:$I4841,원본명단!$I4841)=1),IF(원본명단!$K4841="",TRUE(),COUNTIF(원본명단!$K$3:$K4841,원본명단!$K4841)=1)),"첫 건","중복 건")))</f>
        <v/>
      </c>
      <c r="J4842" s="11" t="str">
        <f aca="false">IF($A4842="","",IF($H4842="-","유지",IF($I4842="첫 건","유지","확인 필요")))</f>
        <v/>
      </c>
    </row>
    <row r="4843" customFormat="false" ht="15" hidden="false" customHeight="true" outlineLevel="0" collapsed="false">
      <c r="A4843" s="11" t="str">
        <f aca="false">IF(원본명단!$A4842="","",4840)</f>
        <v/>
      </c>
      <c r="B4843" s="12" t="str">
        <f aca="false">IF($A4843="","",원본명단!$A4842)</f>
        <v/>
      </c>
      <c r="C4843" s="12" t="str">
        <f aca="false">IF($A4843="","",원본명단!$B4842)</f>
        <v/>
      </c>
      <c r="D4843" s="12" t="str">
        <f aca="false">IF($A4843="","",원본명단!$D4842)</f>
        <v/>
      </c>
      <c r="E4843" s="11" t="str">
        <f aca="false">IF($A4843="","",IF(원본명단!$H4842="",0,COUNTIF(원본명단!$H$3:$H$6002,원본명단!$H4842)))</f>
        <v/>
      </c>
      <c r="F4843" s="11" t="str">
        <f aca="false">IF($A4843="","",IF(원본명단!$I4842="",0,COUNTIF(원본명단!$I$3:$I$6002,원본명단!$I4842)))</f>
        <v/>
      </c>
      <c r="G4843" s="11" t="str">
        <f aca="false">IF($A4843="","",IF(원본명단!$K4842="",0,COUNTIF(원본명단!$K$3:$K$6002,원본명단!$K4842)))</f>
        <v/>
      </c>
      <c r="H4843" s="11" t="str">
        <f aca="false">IF($A4843="","",IF(MAX($E4843,$F4843,$G4843)&gt;1,"중복","-"))</f>
        <v/>
      </c>
      <c r="I4843" s="11" t="str">
        <f aca="false">IF($A4843="","",IF($H4843="-","-",IF(AND(IF(원본명단!$H4842="",TRUE(),COUNTIF(원본명단!$H$3:$H4842,원본명단!$H4842)=1),IF(원본명단!$I4842="",TRUE(),COUNTIF(원본명단!$I$3:$I4842,원본명단!$I4842)=1),IF(원본명단!$K4842="",TRUE(),COUNTIF(원본명단!$K$3:$K4842,원본명단!$K4842)=1)),"첫 건","중복 건")))</f>
        <v/>
      </c>
      <c r="J4843" s="11" t="str">
        <f aca="false">IF($A4843="","",IF($H4843="-","유지",IF($I4843="첫 건","유지","확인 필요")))</f>
        <v/>
      </c>
    </row>
    <row r="4844" customFormat="false" ht="15" hidden="false" customHeight="true" outlineLevel="0" collapsed="false">
      <c r="A4844" s="11" t="str">
        <f aca="false">IF(원본명단!$A4843="","",4841)</f>
        <v/>
      </c>
      <c r="B4844" s="12" t="str">
        <f aca="false">IF($A4844="","",원본명단!$A4843)</f>
        <v/>
      </c>
      <c r="C4844" s="12" t="str">
        <f aca="false">IF($A4844="","",원본명단!$B4843)</f>
        <v/>
      </c>
      <c r="D4844" s="12" t="str">
        <f aca="false">IF($A4844="","",원본명단!$D4843)</f>
        <v/>
      </c>
      <c r="E4844" s="11" t="str">
        <f aca="false">IF($A4844="","",IF(원본명단!$H4843="",0,COUNTIF(원본명단!$H$3:$H$6002,원본명단!$H4843)))</f>
        <v/>
      </c>
      <c r="F4844" s="11" t="str">
        <f aca="false">IF($A4844="","",IF(원본명단!$I4843="",0,COUNTIF(원본명단!$I$3:$I$6002,원본명단!$I4843)))</f>
        <v/>
      </c>
      <c r="G4844" s="11" t="str">
        <f aca="false">IF($A4844="","",IF(원본명단!$K4843="",0,COUNTIF(원본명단!$K$3:$K$6002,원본명단!$K4843)))</f>
        <v/>
      </c>
      <c r="H4844" s="11" t="str">
        <f aca="false">IF($A4844="","",IF(MAX($E4844,$F4844,$G4844)&gt;1,"중복","-"))</f>
        <v/>
      </c>
      <c r="I4844" s="11" t="str">
        <f aca="false">IF($A4844="","",IF($H4844="-","-",IF(AND(IF(원본명단!$H4843="",TRUE(),COUNTIF(원본명단!$H$3:$H4843,원본명단!$H4843)=1),IF(원본명단!$I4843="",TRUE(),COUNTIF(원본명단!$I$3:$I4843,원본명단!$I4843)=1),IF(원본명단!$K4843="",TRUE(),COUNTIF(원본명단!$K$3:$K4843,원본명단!$K4843)=1)),"첫 건","중복 건")))</f>
        <v/>
      </c>
      <c r="J4844" s="11" t="str">
        <f aca="false">IF($A4844="","",IF($H4844="-","유지",IF($I4844="첫 건","유지","확인 필요")))</f>
        <v/>
      </c>
    </row>
    <row r="4845" customFormat="false" ht="15" hidden="false" customHeight="true" outlineLevel="0" collapsed="false">
      <c r="A4845" s="11" t="str">
        <f aca="false">IF(원본명단!$A4844="","",4842)</f>
        <v/>
      </c>
      <c r="B4845" s="12" t="str">
        <f aca="false">IF($A4845="","",원본명단!$A4844)</f>
        <v/>
      </c>
      <c r="C4845" s="12" t="str">
        <f aca="false">IF($A4845="","",원본명단!$B4844)</f>
        <v/>
      </c>
      <c r="D4845" s="12" t="str">
        <f aca="false">IF($A4845="","",원본명단!$D4844)</f>
        <v/>
      </c>
      <c r="E4845" s="11" t="str">
        <f aca="false">IF($A4845="","",IF(원본명단!$H4844="",0,COUNTIF(원본명단!$H$3:$H$6002,원본명단!$H4844)))</f>
        <v/>
      </c>
      <c r="F4845" s="11" t="str">
        <f aca="false">IF($A4845="","",IF(원본명단!$I4844="",0,COUNTIF(원본명단!$I$3:$I$6002,원본명단!$I4844)))</f>
        <v/>
      </c>
      <c r="G4845" s="11" t="str">
        <f aca="false">IF($A4845="","",IF(원본명단!$K4844="",0,COUNTIF(원본명단!$K$3:$K$6002,원본명단!$K4844)))</f>
        <v/>
      </c>
      <c r="H4845" s="11" t="str">
        <f aca="false">IF($A4845="","",IF(MAX($E4845,$F4845,$G4845)&gt;1,"중복","-"))</f>
        <v/>
      </c>
      <c r="I4845" s="11" t="str">
        <f aca="false">IF($A4845="","",IF($H4845="-","-",IF(AND(IF(원본명단!$H4844="",TRUE(),COUNTIF(원본명단!$H$3:$H4844,원본명단!$H4844)=1),IF(원본명단!$I4844="",TRUE(),COUNTIF(원본명단!$I$3:$I4844,원본명단!$I4844)=1),IF(원본명단!$K4844="",TRUE(),COUNTIF(원본명단!$K$3:$K4844,원본명단!$K4844)=1)),"첫 건","중복 건")))</f>
        <v/>
      </c>
      <c r="J4845" s="11" t="str">
        <f aca="false">IF($A4845="","",IF($H4845="-","유지",IF($I4845="첫 건","유지","확인 필요")))</f>
        <v/>
      </c>
    </row>
    <row r="4846" customFormat="false" ht="15" hidden="false" customHeight="true" outlineLevel="0" collapsed="false">
      <c r="A4846" s="11" t="str">
        <f aca="false">IF(원본명단!$A4845="","",4843)</f>
        <v/>
      </c>
      <c r="B4846" s="12" t="str">
        <f aca="false">IF($A4846="","",원본명단!$A4845)</f>
        <v/>
      </c>
      <c r="C4846" s="12" t="str">
        <f aca="false">IF($A4846="","",원본명단!$B4845)</f>
        <v/>
      </c>
      <c r="D4846" s="12" t="str">
        <f aca="false">IF($A4846="","",원본명단!$D4845)</f>
        <v/>
      </c>
      <c r="E4846" s="11" t="str">
        <f aca="false">IF($A4846="","",IF(원본명단!$H4845="",0,COUNTIF(원본명단!$H$3:$H$6002,원본명단!$H4845)))</f>
        <v/>
      </c>
      <c r="F4846" s="11" t="str">
        <f aca="false">IF($A4846="","",IF(원본명단!$I4845="",0,COUNTIF(원본명단!$I$3:$I$6002,원본명단!$I4845)))</f>
        <v/>
      </c>
      <c r="G4846" s="11" t="str">
        <f aca="false">IF($A4846="","",IF(원본명단!$K4845="",0,COUNTIF(원본명단!$K$3:$K$6002,원본명단!$K4845)))</f>
        <v/>
      </c>
      <c r="H4846" s="11" t="str">
        <f aca="false">IF($A4846="","",IF(MAX($E4846,$F4846,$G4846)&gt;1,"중복","-"))</f>
        <v/>
      </c>
      <c r="I4846" s="11" t="str">
        <f aca="false">IF($A4846="","",IF($H4846="-","-",IF(AND(IF(원본명단!$H4845="",TRUE(),COUNTIF(원본명단!$H$3:$H4845,원본명단!$H4845)=1),IF(원본명단!$I4845="",TRUE(),COUNTIF(원본명단!$I$3:$I4845,원본명단!$I4845)=1),IF(원본명단!$K4845="",TRUE(),COUNTIF(원본명단!$K$3:$K4845,원본명단!$K4845)=1)),"첫 건","중복 건")))</f>
        <v/>
      </c>
      <c r="J4846" s="11" t="str">
        <f aca="false">IF($A4846="","",IF($H4846="-","유지",IF($I4846="첫 건","유지","확인 필요")))</f>
        <v/>
      </c>
    </row>
    <row r="4847" customFormat="false" ht="15" hidden="false" customHeight="true" outlineLevel="0" collapsed="false">
      <c r="A4847" s="11" t="str">
        <f aca="false">IF(원본명단!$A4846="","",4844)</f>
        <v/>
      </c>
      <c r="B4847" s="12" t="str">
        <f aca="false">IF($A4847="","",원본명단!$A4846)</f>
        <v/>
      </c>
      <c r="C4847" s="12" t="str">
        <f aca="false">IF($A4847="","",원본명단!$B4846)</f>
        <v/>
      </c>
      <c r="D4847" s="12" t="str">
        <f aca="false">IF($A4847="","",원본명단!$D4846)</f>
        <v/>
      </c>
      <c r="E4847" s="11" t="str">
        <f aca="false">IF($A4847="","",IF(원본명단!$H4846="",0,COUNTIF(원본명단!$H$3:$H$6002,원본명단!$H4846)))</f>
        <v/>
      </c>
      <c r="F4847" s="11" t="str">
        <f aca="false">IF($A4847="","",IF(원본명단!$I4846="",0,COUNTIF(원본명단!$I$3:$I$6002,원본명단!$I4846)))</f>
        <v/>
      </c>
      <c r="G4847" s="11" t="str">
        <f aca="false">IF($A4847="","",IF(원본명단!$K4846="",0,COUNTIF(원본명단!$K$3:$K$6002,원본명단!$K4846)))</f>
        <v/>
      </c>
      <c r="H4847" s="11" t="str">
        <f aca="false">IF($A4847="","",IF(MAX($E4847,$F4847,$G4847)&gt;1,"중복","-"))</f>
        <v/>
      </c>
      <c r="I4847" s="11" t="str">
        <f aca="false">IF($A4847="","",IF($H4847="-","-",IF(AND(IF(원본명단!$H4846="",TRUE(),COUNTIF(원본명단!$H$3:$H4846,원본명단!$H4846)=1),IF(원본명단!$I4846="",TRUE(),COUNTIF(원본명단!$I$3:$I4846,원본명단!$I4846)=1),IF(원본명단!$K4846="",TRUE(),COUNTIF(원본명단!$K$3:$K4846,원본명단!$K4846)=1)),"첫 건","중복 건")))</f>
        <v/>
      </c>
      <c r="J4847" s="11" t="str">
        <f aca="false">IF($A4847="","",IF($H4847="-","유지",IF($I4847="첫 건","유지","확인 필요")))</f>
        <v/>
      </c>
    </row>
    <row r="4848" customFormat="false" ht="15" hidden="false" customHeight="true" outlineLevel="0" collapsed="false">
      <c r="A4848" s="11" t="str">
        <f aca="false">IF(원본명단!$A4847="","",4845)</f>
        <v/>
      </c>
      <c r="B4848" s="12" t="str">
        <f aca="false">IF($A4848="","",원본명단!$A4847)</f>
        <v/>
      </c>
      <c r="C4848" s="12" t="str">
        <f aca="false">IF($A4848="","",원본명단!$B4847)</f>
        <v/>
      </c>
      <c r="D4848" s="12" t="str">
        <f aca="false">IF($A4848="","",원본명단!$D4847)</f>
        <v/>
      </c>
      <c r="E4848" s="11" t="str">
        <f aca="false">IF($A4848="","",IF(원본명단!$H4847="",0,COUNTIF(원본명단!$H$3:$H$6002,원본명단!$H4847)))</f>
        <v/>
      </c>
      <c r="F4848" s="11" t="str">
        <f aca="false">IF($A4848="","",IF(원본명단!$I4847="",0,COUNTIF(원본명단!$I$3:$I$6002,원본명단!$I4847)))</f>
        <v/>
      </c>
      <c r="G4848" s="11" t="str">
        <f aca="false">IF($A4848="","",IF(원본명단!$K4847="",0,COUNTIF(원본명단!$K$3:$K$6002,원본명단!$K4847)))</f>
        <v/>
      </c>
      <c r="H4848" s="11" t="str">
        <f aca="false">IF($A4848="","",IF(MAX($E4848,$F4848,$G4848)&gt;1,"중복","-"))</f>
        <v/>
      </c>
      <c r="I4848" s="11" t="str">
        <f aca="false">IF($A4848="","",IF($H4848="-","-",IF(AND(IF(원본명단!$H4847="",TRUE(),COUNTIF(원본명단!$H$3:$H4847,원본명단!$H4847)=1),IF(원본명단!$I4847="",TRUE(),COUNTIF(원본명단!$I$3:$I4847,원본명단!$I4847)=1),IF(원본명단!$K4847="",TRUE(),COUNTIF(원본명단!$K$3:$K4847,원본명단!$K4847)=1)),"첫 건","중복 건")))</f>
        <v/>
      </c>
      <c r="J4848" s="11" t="str">
        <f aca="false">IF($A4848="","",IF($H4848="-","유지",IF($I4848="첫 건","유지","확인 필요")))</f>
        <v/>
      </c>
    </row>
    <row r="4849" customFormat="false" ht="15" hidden="false" customHeight="true" outlineLevel="0" collapsed="false">
      <c r="A4849" s="11" t="str">
        <f aca="false">IF(원본명단!$A4848="","",4846)</f>
        <v/>
      </c>
      <c r="B4849" s="12" t="str">
        <f aca="false">IF($A4849="","",원본명단!$A4848)</f>
        <v/>
      </c>
      <c r="C4849" s="12" t="str">
        <f aca="false">IF($A4849="","",원본명단!$B4848)</f>
        <v/>
      </c>
      <c r="D4849" s="12" t="str">
        <f aca="false">IF($A4849="","",원본명단!$D4848)</f>
        <v/>
      </c>
      <c r="E4849" s="11" t="str">
        <f aca="false">IF($A4849="","",IF(원본명단!$H4848="",0,COUNTIF(원본명단!$H$3:$H$6002,원본명단!$H4848)))</f>
        <v/>
      </c>
      <c r="F4849" s="11" t="str">
        <f aca="false">IF($A4849="","",IF(원본명단!$I4848="",0,COUNTIF(원본명단!$I$3:$I$6002,원본명단!$I4848)))</f>
        <v/>
      </c>
      <c r="G4849" s="11" t="str">
        <f aca="false">IF($A4849="","",IF(원본명단!$K4848="",0,COUNTIF(원본명단!$K$3:$K$6002,원본명단!$K4848)))</f>
        <v/>
      </c>
      <c r="H4849" s="11" t="str">
        <f aca="false">IF($A4849="","",IF(MAX($E4849,$F4849,$G4849)&gt;1,"중복","-"))</f>
        <v/>
      </c>
      <c r="I4849" s="11" t="str">
        <f aca="false">IF($A4849="","",IF($H4849="-","-",IF(AND(IF(원본명단!$H4848="",TRUE(),COUNTIF(원본명단!$H$3:$H4848,원본명단!$H4848)=1),IF(원본명단!$I4848="",TRUE(),COUNTIF(원본명단!$I$3:$I4848,원본명단!$I4848)=1),IF(원본명단!$K4848="",TRUE(),COUNTIF(원본명단!$K$3:$K4848,원본명단!$K4848)=1)),"첫 건","중복 건")))</f>
        <v/>
      </c>
      <c r="J4849" s="11" t="str">
        <f aca="false">IF($A4849="","",IF($H4849="-","유지",IF($I4849="첫 건","유지","확인 필요")))</f>
        <v/>
      </c>
    </row>
    <row r="4850" customFormat="false" ht="15" hidden="false" customHeight="true" outlineLevel="0" collapsed="false">
      <c r="A4850" s="11" t="str">
        <f aca="false">IF(원본명단!$A4849="","",4847)</f>
        <v/>
      </c>
      <c r="B4850" s="12" t="str">
        <f aca="false">IF($A4850="","",원본명단!$A4849)</f>
        <v/>
      </c>
      <c r="C4850" s="12" t="str">
        <f aca="false">IF($A4850="","",원본명단!$B4849)</f>
        <v/>
      </c>
      <c r="D4850" s="12" t="str">
        <f aca="false">IF($A4850="","",원본명단!$D4849)</f>
        <v/>
      </c>
      <c r="E4850" s="11" t="str">
        <f aca="false">IF($A4850="","",IF(원본명단!$H4849="",0,COUNTIF(원본명단!$H$3:$H$6002,원본명단!$H4849)))</f>
        <v/>
      </c>
      <c r="F4850" s="11" t="str">
        <f aca="false">IF($A4850="","",IF(원본명단!$I4849="",0,COUNTIF(원본명단!$I$3:$I$6002,원본명단!$I4849)))</f>
        <v/>
      </c>
      <c r="G4850" s="11" t="str">
        <f aca="false">IF($A4850="","",IF(원본명단!$K4849="",0,COUNTIF(원본명단!$K$3:$K$6002,원본명단!$K4849)))</f>
        <v/>
      </c>
      <c r="H4850" s="11" t="str">
        <f aca="false">IF($A4850="","",IF(MAX($E4850,$F4850,$G4850)&gt;1,"중복","-"))</f>
        <v/>
      </c>
      <c r="I4850" s="11" t="str">
        <f aca="false">IF($A4850="","",IF($H4850="-","-",IF(AND(IF(원본명단!$H4849="",TRUE(),COUNTIF(원본명단!$H$3:$H4849,원본명단!$H4849)=1),IF(원본명단!$I4849="",TRUE(),COUNTIF(원본명단!$I$3:$I4849,원본명단!$I4849)=1),IF(원본명단!$K4849="",TRUE(),COUNTIF(원본명단!$K$3:$K4849,원본명단!$K4849)=1)),"첫 건","중복 건")))</f>
        <v/>
      </c>
      <c r="J4850" s="11" t="str">
        <f aca="false">IF($A4850="","",IF($H4850="-","유지",IF($I4850="첫 건","유지","확인 필요")))</f>
        <v/>
      </c>
    </row>
    <row r="4851" customFormat="false" ht="15" hidden="false" customHeight="true" outlineLevel="0" collapsed="false">
      <c r="A4851" s="11" t="str">
        <f aca="false">IF(원본명단!$A4850="","",4848)</f>
        <v/>
      </c>
      <c r="B4851" s="12" t="str">
        <f aca="false">IF($A4851="","",원본명단!$A4850)</f>
        <v/>
      </c>
      <c r="C4851" s="12" t="str">
        <f aca="false">IF($A4851="","",원본명단!$B4850)</f>
        <v/>
      </c>
      <c r="D4851" s="12" t="str">
        <f aca="false">IF($A4851="","",원본명단!$D4850)</f>
        <v/>
      </c>
      <c r="E4851" s="11" t="str">
        <f aca="false">IF($A4851="","",IF(원본명단!$H4850="",0,COUNTIF(원본명단!$H$3:$H$6002,원본명단!$H4850)))</f>
        <v/>
      </c>
      <c r="F4851" s="11" t="str">
        <f aca="false">IF($A4851="","",IF(원본명단!$I4850="",0,COUNTIF(원본명단!$I$3:$I$6002,원본명단!$I4850)))</f>
        <v/>
      </c>
      <c r="G4851" s="11" t="str">
        <f aca="false">IF($A4851="","",IF(원본명단!$K4850="",0,COUNTIF(원본명단!$K$3:$K$6002,원본명단!$K4850)))</f>
        <v/>
      </c>
      <c r="H4851" s="11" t="str">
        <f aca="false">IF($A4851="","",IF(MAX($E4851,$F4851,$G4851)&gt;1,"중복","-"))</f>
        <v/>
      </c>
      <c r="I4851" s="11" t="str">
        <f aca="false">IF($A4851="","",IF($H4851="-","-",IF(AND(IF(원본명단!$H4850="",TRUE(),COUNTIF(원본명단!$H$3:$H4850,원본명단!$H4850)=1),IF(원본명단!$I4850="",TRUE(),COUNTIF(원본명단!$I$3:$I4850,원본명단!$I4850)=1),IF(원본명단!$K4850="",TRUE(),COUNTIF(원본명단!$K$3:$K4850,원본명단!$K4850)=1)),"첫 건","중복 건")))</f>
        <v/>
      </c>
      <c r="J4851" s="11" t="str">
        <f aca="false">IF($A4851="","",IF($H4851="-","유지",IF($I4851="첫 건","유지","확인 필요")))</f>
        <v/>
      </c>
    </row>
    <row r="4852" customFormat="false" ht="15" hidden="false" customHeight="true" outlineLevel="0" collapsed="false">
      <c r="A4852" s="11" t="str">
        <f aca="false">IF(원본명단!$A4851="","",4849)</f>
        <v/>
      </c>
      <c r="B4852" s="12" t="str">
        <f aca="false">IF($A4852="","",원본명단!$A4851)</f>
        <v/>
      </c>
      <c r="C4852" s="12" t="str">
        <f aca="false">IF($A4852="","",원본명단!$B4851)</f>
        <v/>
      </c>
      <c r="D4852" s="12" t="str">
        <f aca="false">IF($A4852="","",원본명단!$D4851)</f>
        <v/>
      </c>
      <c r="E4852" s="11" t="str">
        <f aca="false">IF($A4852="","",IF(원본명단!$H4851="",0,COUNTIF(원본명단!$H$3:$H$6002,원본명단!$H4851)))</f>
        <v/>
      </c>
      <c r="F4852" s="11" t="str">
        <f aca="false">IF($A4852="","",IF(원본명단!$I4851="",0,COUNTIF(원본명단!$I$3:$I$6002,원본명단!$I4851)))</f>
        <v/>
      </c>
      <c r="G4852" s="11" t="str">
        <f aca="false">IF($A4852="","",IF(원본명단!$K4851="",0,COUNTIF(원본명단!$K$3:$K$6002,원본명단!$K4851)))</f>
        <v/>
      </c>
      <c r="H4852" s="11" t="str">
        <f aca="false">IF($A4852="","",IF(MAX($E4852,$F4852,$G4852)&gt;1,"중복","-"))</f>
        <v/>
      </c>
      <c r="I4852" s="11" t="str">
        <f aca="false">IF($A4852="","",IF($H4852="-","-",IF(AND(IF(원본명단!$H4851="",TRUE(),COUNTIF(원본명단!$H$3:$H4851,원본명단!$H4851)=1),IF(원본명단!$I4851="",TRUE(),COUNTIF(원본명단!$I$3:$I4851,원본명단!$I4851)=1),IF(원본명단!$K4851="",TRUE(),COUNTIF(원본명단!$K$3:$K4851,원본명단!$K4851)=1)),"첫 건","중복 건")))</f>
        <v/>
      </c>
      <c r="J4852" s="11" t="str">
        <f aca="false">IF($A4852="","",IF($H4852="-","유지",IF($I4852="첫 건","유지","확인 필요")))</f>
        <v/>
      </c>
    </row>
    <row r="4853" customFormat="false" ht="15" hidden="false" customHeight="true" outlineLevel="0" collapsed="false">
      <c r="A4853" s="11" t="str">
        <f aca="false">IF(원본명단!$A4852="","",4850)</f>
        <v/>
      </c>
      <c r="B4853" s="12" t="str">
        <f aca="false">IF($A4853="","",원본명단!$A4852)</f>
        <v/>
      </c>
      <c r="C4853" s="12" t="str">
        <f aca="false">IF($A4853="","",원본명단!$B4852)</f>
        <v/>
      </c>
      <c r="D4853" s="12" t="str">
        <f aca="false">IF($A4853="","",원본명단!$D4852)</f>
        <v/>
      </c>
      <c r="E4853" s="11" t="str">
        <f aca="false">IF($A4853="","",IF(원본명단!$H4852="",0,COUNTIF(원본명단!$H$3:$H$6002,원본명단!$H4852)))</f>
        <v/>
      </c>
      <c r="F4853" s="11" t="str">
        <f aca="false">IF($A4853="","",IF(원본명단!$I4852="",0,COUNTIF(원본명단!$I$3:$I$6002,원본명단!$I4852)))</f>
        <v/>
      </c>
      <c r="G4853" s="11" t="str">
        <f aca="false">IF($A4853="","",IF(원본명단!$K4852="",0,COUNTIF(원본명단!$K$3:$K$6002,원본명단!$K4852)))</f>
        <v/>
      </c>
      <c r="H4853" s="11" t="str">
        <f aca="false">IF($A4853="","",IF(MAX($E4853,$F4853,$G4853)&gt;1,"중복","-"))</f>
        <v/>
      </c>
      <c r="I4853" s="11" t="str">
        <f aca="false">IF($A4853="","",IF($H4853="-","-",IF(AND(IF(원본명단!$H4852="",TRUE(),COUNTIF(원본명단!$H$3:$H4852,원본명단!$H4852)=1),IF(원본명단!$I4852="",TRUE(),COUNTIF(원본명단!$I$3:$I4852,원본명단!$I4852)=1),IF(원본명단!$K4852="",TRUE(),COUNTIF(원본명단!$K$3:$K4852,원본명단!$K4852)=1)),"첫 건","중복 건")))</f>
        <v/>
      </c>
      <c r="J4853" s="11" t="str">
        <f aca="false">IF($A4853="","",IF($H4853="-","유지",IF($I4853="첫 건","유지","확인 필요")))</f>
        <v/>
      </c>
    </row>
    <row r="4854" customFormat="false" ht="15" hidden="false" customHeight="true" outlineLevel="0" collapsed="false">
      <c r="A4854" s="11" t="str">
        <f aca="false">IF(원본명단!$A4853="","",4851)</f>
        <v/>
      </c>
      <c r="B4854" s="12" t="str">
        <f aca="false">IF($A4854="","",원본명단!$A4853)</f>
        <v/>
      </c>
      <c r="C4854" s="12" t="str">
        <f aca="false">IF($A4854="","",원본명단!$B4853)</f>
        <v/>
      </c>
      <c r="D4854" s="12" t="str">
        <f aca="false">IF($A4854="","",원본명단!$D4853)</f>
        <v/>
      </c>
      <c r="E4854" s="11" t="str">
        <f aca="false">IF($A4854="","",IF(원본명단!$H4853="",0,COUNTIF(원본명단!$H$3:$H$6002,원본명단!$H4853)))</f>
        <v/>
      </c>
      <c r="F4854" s="11" t="str">
        <f aca="false">IF($A4854="","",IF(원본명단!$I4853="",0,COUNTIF(원본명단!$I$3:$I$6002,원본명단!$I4853)))</f>
        <v/>
      </c>
      <c r="G4854" s="11" t="str">
        <f aca="false">IF($A4854="","",IF(원본명단!$K4853="",0,COUNTIF(원본명단!$K$3:$K$6002,원본명단!$K4853)))</f>
        <v/>
      </c>
      <c r="H4854" s="11" t="str">
        <f aca="false">IF($A4854="","",IF(MAX($E4854,$F4854,$G4854)&gt;1,"중복","-"))</f>
        <v/>
      </c>
      <c r="I4854" s="11" t="str">
        <f aca="false">IF($A4854="","",IF($H4854="-","-",IF(AND(IF(원본명단!$H4853="",TRUE(),COUNTIF(원본명단!$H$3:$H4853,원본명단!$H4853)=1),IF(원본명단!$I4853="",TRUE(),COUNTIF(원본명단!$I$3:$I4853,원본명단!$I4853)=1),IF(원본명단!$K4853="",TRUE(),COUNTIF(원본명단!$K$3:$K4853,원본명단!$K4853)=1)),"첫 건","중복 건")))</f>
        <v/>
      </c>
      <c r="J4854" s="11" t="str">
        <f aca="false">IF($A4854="","",IF($H4854="-","유지",IF($I4854="첫 건","유지","확인 필요")))</f>
        <v/>
      </c>
    </row>
    <row r="4855" customFormat="false" ht="15" hidden="false" customHeight="true" outlineLevel="0" collapsed="false">
      <c r="A4855" s="11" t="str">
        <f aca="false">IF(원본명단!$A4854="","",4852)</f>
        <v/>
      </c>
      <c r="B4855" s="12" t="str">
        <f aca="false">IF($A4855="","",원본명단!$A4854)</f>
        <v/>
      </c>
      <c r="C4855" s="12" t="str">
        <f aca="false">IF($A4855="","",원본명단!$B4854)</f>
        <v/>
      </c>
      <c r="D4855" s="12" t="str">
        <f aca="false">IF($A4855="","",원본명단!$D4854)</f>
        <v/>
      </c>
      <c r="E4855" s="11" t="str">
        <f aca="false">IF($A4855="","",IF(원본명단!$H4854="",0,COUNTIF(원본명단!$H$3:$H$6002,원본명단!$H4854)))</f>
        <v/>
      </c>
      <c r="F4855" s="11" t="str">
        <f aca="false">IF($A4855="","",IF(원본명단!$I4854="",0,COUNTIF(원본명단!$I$3:$I$6002,원본명단!$I4854)))</f>
        <v/>
      </c>
      <c r="G4855" s="11" t="str">
        <f aca="false">IF($A4855="","",IF(원본명단!$K4854="",0,COUNTIF(원본명단!$K$3:$K$6002,원본명단!$K4854)))</f>
        <v/>
      </c>
      <c r="H4855" s="11" t="str">
        <f aca="false">IF($A4855="","",IF(MAX($E4855,$F4855,$G4855)&gt;1,"중복","-"))</f>
        <v/>
      </c>
      <c r="I4855" s="11" t="str">
        <f aca="false">IF($A4855="","",IF($H4855="-","-",IF(AND(IF(원본명단!$H4854="",TRUE(),COUNTIF(원본명단!$H$3:$H4854,원본명단!$H4854)=1),IF(원본명단!$I4854="",TRUE(),COUNTIF(원본명단!$I$3:$I4854,원본명단!$I4854)=1),IF(원본명단!$K4854="",TRUE(),COUNTIF(원본명단!$K$3:$K4854,원본명단!$K4854)=1)),"첫 건","중복 건")))</f>
        <v/>
      </c>
      <c r="J4855" s="11" t="str">
        <f aca="false">IF($A4855="","",IF($H4855="-","유지",IF($I4855="첫 건","유지","확인 필요")))</f>
        <v/>
      </c>
    </row>
    <row r="4856" customFormat="false" ht="15" hidden="false" customHeight="true" outlineLevel="0" collapsed="false">
      <c r="A4856" s="11" t="str">
        <f aca="false">IF(원본명단!$A4855="","",4853)</f>
        <v/>
      </c>
      <c r="B4856" s="12" t="str">
        <f aca="false">IF($A4856="","",원본명단!$A4855)</f>
        <v/>
      </c>
      <c r="C4856" s="12" t="str">
        <f aca="false">IF($A4856="","",원본명단!$B4855)</f>
        <v/>
      </c>
      <c r="D4856" s="12" t="str">
        <f aca="false">IF($A4856="","",원본명단!$D4855)</f>
        <v/>
      </c>
      <c r="E4856" s="11" t="str">
        <f aca="false">IF($A4856="","",IF(원본명단!$H4855="",0,COUNTIF(원본명단!$H$3:$H$6002,원본명단!$H4855)))</f>
        <v/>
      </c>
      <c r="F4856" s="11" t="str">
        <f aca="false">IF($A4856="","",IF(원본명단!$I4855="",0,COUNTIF(원본명단!$I$3:$I$6002,원본명단!$I4855)))</f>
        <v/>
      </c>
      <c r="G4856" s="11" t="str">
        <f aca="false">IF($A4856="","",IF(원본명단!$K4855="",0,COUNTIF(원본명단!$K$3:$K$6002,원본명단!$K4855)))</f>
        <v/>
      </c>
      <c r="H4856" s="11" t="str">
        <f aca="false">IF($A4856="","",IF(MAX($E4856,$F4856,$G4856)&gt;1,"중복","-"))</f>
        <v/>
      </c>
      <c r="I4856" s="11" t="str">
        <f aca="false">IF($A4856="","",IF($H4856="-","-",IF(AND(IF(원본명단!$H4855="",TRUE(),COUNTIF(원본명단!$H$3:$H4855,원본명단!$H4855)=1),IF(원본명단!$I4855="",TRUE(),COUNTIF(원본명단!$I$3:$I4855,원본명단!$I4855)=1),IF(원본명단!$K4855="",TRUE(),COUNTIF(원본명단!$K$3:$K4855,원본명단!$K4855)=1)),"첫 건","중복 건")))</f>
        <v/>
      </c>
      <c r="J4856" s="11" t="str">
        <f aca="false">IF($A4856="","",IF($H4856="-","유지",IF($I4856="첫 건","유지","확인 필요")))</f>
        <v/>
      </c>
    </row>
    <row r="4857" customFormat="false" ht="15" hidden="false" customHeight="true" outlineLevel="0" collapsed="false">
      <c r="A4857" s="11" t="str">
        <f aca="false">IF(원본명단!$A4856="","",4854)</f>
        <v/>
      </c>
      <c r="B4857" s="12" t="str">
        <f aca="false">IF($A4857="","",원본명단!$A4856)</f>
        <v/>
      </c>
      <c r="C4857" s="12" t="str">
        <f aca="false">IF($A4857="","",원본명단!$B4856)</f>
        <v/>
      </c>
      <c r="D4857" s="12" t="str">
        <f aca="false">IF($A4857="","",원본명단!$D4856)</f>
        <v/>
      </c>
      <c r="E4857" s="11" t="str">
        <f aca="false">IF($A4857="","",IF(원본명단!$H4856="",0,COUNTIF(원본명단!$H$3:$H$6002,원본명단!$H4856)))</f>
        <v/>
      </c>
      <c r="F4857" s="11" t="str">
        <f aca="false">IF($A4857="","",IF(원본명단!$I4856="",0,COUNTIF(원본명단!$I$3:$I$6002,원본명단!$I4856)))</f>
        <v/>
      </c>
      <c r="G4857" s="11" t="str">
        <f aca="false">IF($A4857="","",IF(원본명단!$K4856="",0,COUNTIF(원본명단!$K$3:$K$6002,원본명단!$K4856)))</f>
        <v/>
      </c>
      <c r="H4857" s="11" t="str">
        <f aca="false">IF($A4857="","",IF(MAX($E4857,$F4857,$G4857)&gt;1,"중복","-"))</f>
        <v/>
      </c>
      <c r="I4857" s="11" t="str">
        <f aca="false">IF($A4857="","",IF($H4857="-","-",IF(AND(IF(원본명단!$H4856="",TRUE(),COUNTIF(원본명단!$H$3:$H4856,원본명단!$H4856)=1),IF(원본명단!$I4856="",TRUE(),COUNTIF(원본명단!$I$3:$I4856,원본명단!$I4856)=1),IF(원본명단!$K4856="",TRUE(),COUNTIF(원본명단!$K$3:$K4856,원본명단!$K4856)=1)),"첫 건","중복 건")))</f>
        <v/>
      </c>
      <c r="J4857" s="11" t="str">
        <f aca="false">IF($A4857="","",IF($H4857="-","유지",IF($I4857="첫 건","유지","확인 필요")))</f>
        <v/>
      </c>
    </row>
    <row r="4858" customFormat="false" ht="15" hidden="false" customHeight="true" outlineLevel="0" collapsed="false">
      <c r="A4858" s="11" t="str">
        <f aca="false">IF(원본명단!$A4857="","",4855)</f>
        <v/>
      </c>
      <c r="B4858" s="12" t="str">
        <f aca="false">IF($A4858="","",원본명단!$A4857)</f>
        <v/>
      </c>
      <c r="C4858" s="12" t="str">
        <f aca="false">IF($A4858="","",원본명단!$B4857)</f>
        <v/>
      </c>
      <c r="D4858" s="12" t="str">
        <f aca="false">IF($A4858="","",원본명단!$D4857)</f>
        <v/>
      </c>
      <c r="E4858" s="11" t="str">
        <f aca="false">IF($A4858="","",IF(원본명단!$H4857="",0,COUNTIF(원본명단!$H$3:$H$6002,원본명단!$H4857)))</f>
        <v/>
      </c>
      <c r="F4858" s="11" t="str">
        <f aca="false">IF($A4858="","",IF(원본명단!$I4857="",0,COUNTIF(원본명단!$I$3:$I$6002,원본명단!$I4857)))</f>
        <v/>
      </c>
      <c r="G4858" s="11" t="str">
        <f aca="false">IF($A4858="","",IF(원본명단!$K4857="",0,COUNTIF(원본명단!$K$3:$K$6002,원본명단!$K4857)))</f>
        <v/>
      </c>
      <c r="H4858" s="11" t="str">
        <f aca="false">IF($A4858="","",IF(MAX($E4858,$F4858,$G4858)&gt;1,"중복","-"))</f>
        <v/>
      </c>
      <c r="I4858" s="11" t="str">
        <f aca="false">IF($A4858="","",IF($H4858="-","-",IF(AND(IF(원본명단!$H4857="",TRUE(),COUNTIF(원본명단!$H$3:$H4857,원본명단!$H4857)=1),IF(원본명단!$I4857="",TRUE(),COUNTIF(원본명단!$I$3:$I4857,원본명단!$I4857)=1),IF(원본명단!$K4857="",TRUE(),COUNTIF(원본명단!$K$3:$K4857,원본명단!$K4857)=1)),"첫 건","중복 건")))</f>
        <v/>
      </c>
      <c r="J4858" s="11" t="str">
        <f aca="false">IF($A4858="","",IF($H4858="-","유지",IF($I4858="첫 건","유지","확인 필요")))</f>
        <v/>
      </c>
    </row>
    <row r="4859" customFormat="false" ht="15" hidden="false" customHeight="true" outlineLevel="0" collapsed="false">
      <c r="A4859" s="11" t="str">
        <f aca="false">IF(원본명단!$A4858="","",4856)</f>
        <v/>
      </c>
      <c r="B4859" s="12" t="str">
        <f aca="false">IF($A4859="","",원본명단!$A4858)</f>
        <v/>
      </c>
      <c r="C4859" s="12" t="str">
        <f aca="false">IF($A4859="","",원본명단!$B4858)</f>
        <v/>
      </c>
      <c r="D4859" s="12" t="str">
        <f aca="false">IF($A4859="","",원본명단!$D4858)</f>
        <v/>
      </c>
      <c r="E4859" s="11" t="str">
        <f aca="false">IF($A4859="","",IF(원본명단!$H4858="",0,COUNTIF(원본명단!$H$3:$H$6002,원본명단!$H4858)))</f>
        <v/>
      </c>
      <c r="F4859" s="11" t="str">
        <f aca="false">IF($A4859="","",IF(원본명단!$I4858="",0,COUNTIF(원본명단!$I$3:$I$6002,원본명단!$I4858)))</f>
        <v/>
      </c>
      <c r="G4859" s="11" t="str">
        <f aca="false">IF($A4859="","",IF(원본명단!$K4858="",0,COUNTIF(원본명단!$K$3:$K$6002,원본명단!$K4858)))</f>
        <v/>
      </c>
      <c r="H4859" s="11" t="str">
        <f aca="false">IF($A4859="","",IF(MAX($E4859,$F4859,$G4859)&gt;1,"중복","-"))</f>
        <v/>
      </c>
      <c r="I4859" s="11" t="str">
        <f aca="false">IF($A4859="","",IF($H4859="-","-",IF(AND(IF(원본명단!$H4858="",TRUE(),COUNTIF(원본명단!$H$3:$H4858,원본명단!$H4858)=1),IF(원본명단!$I4858="",TRUE(),COUNTIF(원본명단!$I$3:$I4858,원본명단!$I4858)=1),IF(원본명단!$K4858="",TRUE(),COUNTIF(원본명단!$K$3:$K4858,원본명단!$K4858)=1)),"첫 건","중복 건")))</f>
        <v/>
      </c>
      <c r="J4859" s="11" t="str">
        <f aca="false">IF($A4859="","",IF($H4859="-","유지",IF($I4859="첫 건","유지","확인 필요")))</f>
        <v/>
      </c>
    </row>
    <row r="4860" customFormat="false" ht="15" hidden="false" customHeight="true" outlineLevel="0" collapsed="false">
      <c r="A4860" s="11" t="str">
        <f aca="false">IF(원본명단!$A4859="","",4857)</f>
        <v/>
      </c>
      <c r="B4860" s="12" t="str">
        <f aca="false">IF($A4860="","",원본명단!$A4859)</f>
        <v/>
      </c>
      <c r="C4860" s="12" t="str">
        <f aca="false">IF($A4860="","",원본명단!$B4859)</f>
        <v/>
      </c>
      <c r="D4860" s="12" t="str">
        <f aca="false">IF($A4860="","",원본명단!$D4859)</f>
        <v/>
      </c>
      <c r="E4860" s="11" t="str">
        <f aca="false">IF($A4860="","",IF(원본명단!$H4859="",0,COUNTIF(원본명단!$H$3:$H$6002,원본명단!$H4859)))</f>
        <v/>
      </c>
      <c r="F4860" s="11" t="str">
        <f aca="false">IF($A4860="","",IF(원본명단!$I4859="",0,COUNTIF(원본명단!$I$3:$I$6002,원본명단!$I4859)))</f>
        <v/>
      </c>
      <c r="G4860" s="11" t="str">
        <f aca="false">IF($A4860="","",IF(원본명단!$K4859="",0,COUNTIF(원본명단!$K$3:$K$6002,원본명단!$K4859)))</f>
        <v/>
      </c>
      <c r="H4860" s="11" t="str">
        <f aca="false">IF($A4860="","",IF(MAX($E4860,$F4860,$G4860)&gt;1,"중복","-"))</f>
        <v/>
      </c>
      <c r="I4860" s="11" t="str">
        <f aca="false">IF($A4860="","",IF($H4860="-","-",IF(AND(IF(원본명단!$H4859="",TRUE(),COUNTIF(원본명단!$H$3:$H4859,원본명단!$H4859)=1),IF(원본명단!$I4859="",TRUE(),COUNTIF(원본명단!$I$3:$I4859,원본명단!$I4859)=1),IF(원본명단!$K4859="",TRUE(),COUNTIF(원본명단!$K$3:$K4859,원본명단!$K4859)=1)),"첫 건","중복 건")))</f>
        <v/>
      </c>
      <c r="J4860" s="11" t="str">
        <f aca="false">IF($A4860="","",IF($H4860="-","유지",IF($I4860="첫 건","유지","확인 필요")))</f>
        <v/>
      </c>
    </row>
    <row r="4861" customFormat="false" ht="15" hidden="false" customHeight="true" outlineLevel="0" collapsed="false">
      <c r="A4861" s="11" t="str">
        <f aca="false">IF(원본명단!$A4860="","",4858)</f>
        <v/>
      </c>
      <c r="B4861" s="12" t="str">
        <f aca="false">IF($A4861="","",원본명단!$A4860)</f>
        <v/>
      </c>
      <c r="C4861" s="12" t="str">
        <f aca="false">IF($A4861="","",원본명단!$B4860)</f>
        <v/>
      </c>
      <c r="D4861" s="12" t="str">
        <f aca="false">IF($A4861="","",원본명단!$D4860)</f>
        <v/>
      </c>
      <c r="E4861" s="11" t="str">
        <f aca="false">IF($A4861="","",IF(원본명단!$H4860="",0,COUNTIF(원본명단!$H$3:$H$6002,원본명단!$H4860)))</f>
        <v/>
      </c>
      <c r="F4861" s="11" t="str">
        <f aca="false">IF($A4861="","",IF(원본명단!$I4860="",0,COUNTIF(원본명단!$I$3:$I$6002,원본명단!$I4860)))</f>
        <v/>
      </c>
      <c r="G4861" s="11" t="str">
        <f aca="false">IF($A4861="","",IF(원본명단!$K4860="",0,COUNTIF(원본명단!$K$3:$K$6002,원본명단!$K4860)))</f>
        <v/>
      </c>
      <c r="H4861" s="11" t="str">
        <f aca="false">IF($A4861="","",IF(MAX($E4861,$F4861,$G4861)&gt;1,"중복","-"))</f>
        <v/>
      </c>
      <c r="I4861" s="11" t="str">
        <f aca="false">IF($A4861="","",IF($H4861="-","-",IF(AND(IF(원본명단!$H4860="",TRUE(),COUNTIF(원본명단!$H$3:$H4860,원본명단!$H4860)=1),IF(원본명단!$I4860="",TRUE(),COUNTIF(원본명단!$I$3:$I4860,원본명단!$I4860)=1),IF(원본명단!$K4860="",TRUE(),COUNTIF(원본명단!$K$3:$K4860,원본명단!$K4860)=1)),"첫 건","중복 건")))</f>
        <v/>
      </c>
      <c r="J4861" s="11" t="str">
        <f aca="false">IF($A4861="","",IF($H4861="-","유지",IF($I4861="첫 건","유지","확인 필요")))</f>
        <v/>
      </c>
    </row>
    <row r="4862" customFormat="false" ht="15" hidden="false" customHeight="true" outlineLevel="0" collapsed="false">
      <c r="A4862" s="11" t="str">
        <f aca="false">IF(원본명단!$A4861="","",4859)</f>
        <v/>
      </c>
      <c r="B4862" s="12" t="str">
        <f aca="false">IF($A4862="","",원본명단!$A4861)</f>
        <v/>
      </c>
      <c r="C4862" s="12" t="str">
        <f aca="false">IF($A4862="","",원본명단!$B4861)</f>
        <v/>
      </c>
      <c r="D4862" s="12" t="str">
        <f aca="false">IF($A4862="","",원본명단!$D4861)</f>
        <v/>
      </c>
      <c r="E4862" s="11" t="str">
        <f aca="false">IF($A4862="","",IF(원본명단!$H4861="",0,COUNTIF(원본명단!$H$3:$H$6002,원본명단!$H4861)))</f>
        <v/>
      </c>
      <c r="F4862" s="11" t="str">
        <f aca="false">IF($A4862="","",IF(원본명단!$I4861="",0,COUNTIF(원본명단!$I$3:$I$6002,원본명단!$I4861)))</f>
        <v/>
      </c>
      <c r="G4862" s="11" t="str">
        <f aca="false">IF($A4862="","",IF(원본명단!$K4861="",0,COUNTIF(원본명단!$K$3:$K$6002,원본명단!$K4861)))</f>
        <v/>
      </c>
      <c r="H4862" s="11" t="str">
        <f aca="false">IF($A4862="","",IF(MAX($E4862,$F4862,$G4862)&gt;1,"중복","-"))</f>
        <v/>
      </c>
      <c r="I4862" s="11" t="str">
        <f aca="false">IF($A4862="","",IF($H4862="-","-",IF(AND(IF(원본명단!$H4861="",TRUE(),COUNTIF(원본명단!$H$3:$H4861,원본명단!$H4861)=1),IF(원본명단!$I4861="",TRUE(),COUNTIF(원본명단!$I$3:$I4861,원본명단!$I4861)=1),IF(원본명단!$K4861="",TRUE(),COUNTIF(원본명단!$K$3:$K4861,원본명단!$K4861)=1)),"첫 건","중복 건")))</f>
        <v/>
      </c>
      <c r="J4862" s="11" t="str">
        <f aca="false">IF($A4862="","",IF($H4862="-","유지",IF($I4862="첫 건","유지","확인 필요")))</f>
        <v/>
      </c>
    </row>
    <row r="4863" customFormat="false" ht="15" hidden="false" customHeight="true" outlineLevel="0" collapsed="false">
      <c r="A4863" s="11" t="str">
        <f aca="false">IF(원본명단!$A4862="","",4860)</f>
        <v/>
      </c>
      <c r="B4863" s="12" t="str">
        <f aca="false">IF($A4863="","",원본명단!$A4862)</f>
        <v/>
      </c>
      <c r="C4863" s="12" t="str">
        <f aca="false">IF($A4863="","",원본명단!$B4862)</f>
        <v/>
      </c>
      <c r="D4863" s="12" t="str">
        <f aca="false">IF($A4863="","",원본명단!$D4862)</f>
        <v/>
      </c>
      <c r="E4863" s="11" t="str">
        <f aca="false">IF($A4863="","",IF(원본명단!$H4862="",0,COUNTIF(원본명단!$H$3:$H$6002,원본명단!$H4862)))</f>
        <v/>
      </c>
      <c r="F4863" s="11" t="str">
        <f aca="false">IF($A4863="","",IF(원본명단!$I4862="",0,COUNTIF(원본명단!$I$3:$I$6002,원본명단!$I4862)))</f>
        <v/>
      </c>
      <c r="G4863" s="11" t="str">
        <f aca="false">IF($A4863="","",IF(원본명단!$K4862="",0,COUNTIF(원본명단!$K$3:$K$6002,원본명단!$K4862)))</f>
        <v/>
      </c>
      <c r="H4863" s="11" t="str">
        <f aca="false">IF($A4863="","",IF(MAX($E4863,$F4863,$G4863)&gt;1,"중복","-"))</f>
        <v/>
      </c>
      <c r="I4863" s="11" t="str">
        <f aca="false">IF($A4863="","",IF($H4863="-","-",IF(AND(IF(원본명단!$H4862="",TRUE(),COUNTIF(원본명단!$H$3:$H4862,원본명단!$H4862)=1),IF(원본명단!$I4862="",TRUE(),COUNTIF(원본명단!$I$3:$I4862,원본명단!$I4862)=1),IF(원본명단!$K4862="",TRUE(),COUNTIF(원본명단!$K$3:$K4862,원본명단!$K4862)=1)),"첫 건","중복 건")))</f>
        <v/>
      </c>
      <c r="J4863" s="11" t="str">
        <f aca="false">IF($A4863="","",IF($H4863="-","유지",IF($I4863="첫 건","유지","확인 필요")))</f>
        <v/>
      </c>
    </row>
    <row r="4864" customFormat="false" ht="15" hidden="false" customHeight="true" outlineLevel="0" collapsed="false">
      <c r="A4864" s="11" t="str">
        <f aca="false">IF(원본명단!$A4863="","",4861)</f>
        <v/>
      </c>
      <c r="B4864" s="12" t="str">
        <f aca="false">IF($A4864="","",원본명단!$A4863)</f>
        <v/>
      </c>
      <c r="C4864" s="12" t="str">
        <f aca="false">IF($A4864="","",원본명단!$B4863)</f>
        <v/>
      </c>
      <c r="D4864" s="12" t="str">
        <f aca="false">IF($A4864="","",원본명단!$D4863)</f>
        <v/>
      </c>
      <c r="E4864" s="11" t="str">
        <f aca="false">IF($A4864="","",IF(원본명단!$H4863="",0,COUNTIF(원본명단!$H$3:$H$6002,원본명단!$H4863)))</f>
        <v/>
      </c>
      <c r="F4864" s="11" t="str">
        <f aca="false">IF($A4864="","",IF(원본명단!$I4863="",0,COUNTIF(원본명단!$I$3:$I$6002,원본명단!$I4863)))</f>
        <v/>
      </c>
      <c r="G4864" s="11" t="str">
        <f aca="false">IF($A4864="","",IF(원본명단!$K4863="",0,COUNTIF(원본명단!$K$3:$K$6002,원본명단!$K4863)))</f>
        <v/>
      </c>
      <c r="H4864" s="11" t="str">
        <f aca="false">IF($A4864="","",IF(MAX($E4864,$F4864,$G4864)&gt;1,"중복","-"))</f>
        <v/>
      </c>
      <c r="I4864" s="11" t="str">
        <f aca="false">IF($A4864="","",IF($H4864="-","-",IF(AND(IF(원본명단!$H4863="",TRUE(),COUNTIF(원본명단!$H$3:$H4863,원본명단!$H4863)=1),IF(원본명단!$I4863="",TRUE(),COUNTIF(원본명단!$I$3:$I4863,원본명단!$I4863)=1),IF(원본명단!$K4863="",TRUE(),COUNTIF(원본명단!$K$3:$K4863,원본명단!$K4863)=1)),"첫 건","중복 건")))</f>
        <v/>
      </c>
      <c r="J4864" s="11" t="str">
        <f aca="false">IF($A4864="","",IF($H4864="-","유지",IF($I4864="첫 건","유지","확인 필요")))</f>
        <v/>
      </c>
    </row>
    <row r="4865" customFormat="false" ht="15" hidden="false" customHeight="true" outlineLevel="0" collapsed="false">
      <c r="A4865" s="11" t="str">
        <f aca="false">IF(원본명단!$A4864="","",4862)</f>
        <v/>
      </c>
      <c r="B4865" s="12" t="str">
        <f aca="false">IF($A4865="","",원본명단!$A4864)</f>
        <v/>
      </c>
      <c r="C4865" s="12" t="str">
        <f aca="false">IF($A4865="","",원본명단!$B4864)</f>
        <v/>
      </c>
      <c r="D4865" s="12" t="str">
        <f aca="false">IF($A4865="","",원본명단!$D4864)</f>
        <v/>
      </c>
      <c r="E4865" s="11" t="str">
        <f aca="false">IF($A4865="","",IF(원본명단!$H4864="",0,COUNTIF(원본명단!$H$3:$H$6002,원본명단!$H4864)))</f>
        <v/>
      </c>
      <c r="F4865" s="11" t="str">
        <f aca="false">IF($A4865="","",IF(원본명단!$I4864="",0,COUNTIF(원본명단!$I$3:$I$6002,원본명단!$I4864)))</f>
        <v/>
      </c>
      <c r="G4865" s="11" t="str">
        <f aca="false">IF($A4865="","",IF(원본명단!$K4864="",0,COUNTIF(원본명단!$K$3:$K$6002,원본명단!$K4864)))</f>
        <v/>
      </c>
      <c r="H4865" s="11" t="str">
        <f aca="false">IF($A4865="","",IF(MAX($E4865,$F4865,$G4865)&gt;1,"중복","-"))</f>
        <v/>
      </c>
      <c r="I4865" s="11" t="str">
        <f aca="false">IF($A4865="","",IF($H4865="-","-",IF(AND(IF(원본명단!$H4864="",TRUE(),COUNTIF(원본명단!$H$3:$H4864,원본명단!$H4864)=1),IF(원본명단!$I4864="",TRUE(),COUNTIF(원본명단!$I$3:$I4864,원본명단!$I4864)=1),IF(원본명단!$K4864="",TRUE(),COUNTIF(원본명단!$K$3:$K4864,원본명단!$K4864)=1)),"첫 건","중복 건")))</f>
        <v/>
      </c>
      <c r="J4865" s="11" t="str">
        <f aca="false">IF($A4865="","",IF($H4865="-","유지",IF($I4865="첫 건","유지","확인 필요")))</f>
        <v/>
      </c>
    </row>
    <row r="4866" customFormat="false" ht="15" hidden="false" customHeight="true" outlineLevel="0" collapsed="false">
      <c r="A4866" s="11" t="str">
        <f aca="false">IF(원본명단!$A4865="","",4863)</f>
        <v/>
      </c>
      <c r="B4866" s="12" t="str">
        <f aca="false">IF($A4866="","",원본명단!$A4865)</f>
        <v/>
      </c>
      <c r="C4866" s="12" t="str">
        <f aca="false">IF($A4866="","",원본명단!$B4865)</f>
        <v/>
      </c>
      <c r="D4866" s="12" t="str">
        <f aca="false">IF($A4866="","",원본명단!$D4865)</f>
        <v/>
      </c>
      <c r="E4866" s="11" t="str">
        <f aca="false">IF($A4866="","",IF(원본명단!$H4865="",0,COUNTIF(원본명단!$H$3:$H$6002,원본명단!$H4865)))</f>
        <v/>
      </c>
      <c r="F4866" s="11" t="str">
        <f aca="false">IF($A4866="","",IF(원본명단!$I4865="",0,COUNTIF(원본명단!$I$3:$I$6002,원본명단!$I4865)))</f>
        <v/>
      </c>
      <c r="G4866" s="11" t="str">
        <f aca="false">IF($A4866="","",IF(원본명단!$K4865="",0,COUNTIF(원본명단!$K$3:$K$6002,원본명단!$K4865)))</f>
        <v/>
      </c>
      <c r="H4866" s="11" t="str">
        <f aca="false">IF($A4866="","",IF(MAX($E4866,$F4866,$G4866)&gt;1,"중복","-"))</f>
        <v/>
      </c>
      <c r="I4866" s="11" t="str">
        <f aca="false">IF($A4866="","",IF($H4866="-","-",IF(AND(IF(원본명단!$H4865="",TRUE(),COUNTIF(원본명단!$H$3:$H4865,원본명단!$H4865)=1),IF(원본명단!$I4865="",TRUE(),COUNTIF(원본명단!$I$3:$I4865,원본명단!$I4865)=1),IF(원본명단!$K4865="",TRUE(),COUNTIF(원본명단!$K$3:$K4865,원본명단!$K4865)=1)),"첫 건","중복 건")))</f>
        <v/>
      </c>
      <c r="J4866" s="11" t="str">
        <f aca="false">IF($A4866="","",IF($H4866="-","유지",IF($I4866="첫 건","유지","확인 필요")))</f>
        <v/>
      </c>
    </row>
    <row r="4867" customFormat="false" ht="15" hidden="false" customHeight="true" outlineLevel="0" collapsed="false">
      <c r="A4867" s="11" t="str">
        <f aca="false">IF(원본명단!$A4866="","",4864)</f>
        <v/>
      </c>
      <c r="B4867" s="12" t="str">
        <f aca="false">IF($A4867="","",원본명단!$A4866)</f>
        <v/>
      </c>
      <c r="C4867" s="12" t="str">
        <f aca="false">IF($A4867="","",원본명단!$B4866)</f>
        <v/>
      </c>
      <c r="D4867" s="12" t="str">
        <f aca="false">IF($A4867="","",원본명단!$D4866)</f>
        <v/>
      </c>
      <c r="E4867" s="11" t="str">
        <f aca="false">IF($A4867="","",IF(원본명단!$H4866="",0,COUNTIF(원본명단!$H$3:$H$6002,원본명단!$H4866)))</f>
        <v/>
      </c>
      <c r="F4867" s="11" t="str">
        <f aca="false">IF($A4867="","",IF(원본명단!$I4866="",0,COUNTIF(원본명단!$I$3:$I$6002,원본명단!$I4866)))</f>
        <v/>
      </c>
      <c r="G4867" s="11" t="str">
        <f aca="false">IF($A4867="","",IF(원본명단!$K4866="",0,COUNTIF(원본명단!$K$3:$K$6002,원본명단!$K4866)))</f>
        <v/>
      </c>
      <c r="H4867" s="11" t="str">
        <f aca="false">IF($A4867="","",IF(MAX($E4867,$F4867,$G4867)&gt;1,"중복","-"))</f>
        <v/>
      </c>
      <c r="I4867" s="11" t="str">
        <f aca="false">IF($A4867="","",IF($H4867="-","-",IF(AND(IF(원본명단!$H4866="",TRUE(),COUNTIF(원본명단!$H$3:$H4866,원본명단!$H4866)=1),IF(원본명단!$I4866="",TRUE(),COUNTIF(원본명단!$I$3:$I4866,원본명단!$I4866)=1),IF(원본명단!$K4866="",TRUE(),COUNTIF(원본명단!$K$3:$K4866,원본명단!$K4866)=1)),"첫 건","중복 건")))</f>
        <v/>
      </c>
      <c r="J4867" s="11" t="str">
        <f aca="false">IF($A4867="","",IF($H4867="-","유지",IF($I4867="첫 건","유지","확인 필요")))</f>
        <v/>
      </c>
    </row>
    <row r="4868" customFormat="false" ht="15" hidden="false" customHeight="true" outlineLevel="0" collapsed="false">
      <c r="A4868" s="11" t="str">
        <f aca="false">IF(원본명단!$A4867="","",4865)</f>
        <v/>
      </c>
      <c r="B4868" s="12" t="str">
        <f aca="false">IF($A4868="","",원본명단!$A4867)</f>
        <v/>
      </c>
      <c r="C4868" s="12" t="str">
        <f aca="false">IF($A4868="","",원본명단!$B4867)</f>
        <v/>
      </c>
      <c r="D4868" s="12" t="str">
        <f aca="false">IF($A4868="","",원본명단!$D4867)</f>
        <v/>
      </c>
      <c r="E4868" s="11" t="str">
        <f aca="false">IF($A4868="","",IF(원본명단!$H4867="",0,COUNTIF(원본명단!$H$3:$H$6002,원본명단!$H4867)))</f>
        <v/>
      </c>
      <c r="F4868" s="11" t="str">
        <f aca="false">IF($A4868="","",IF(원본명단!$I4867="",0,COUNTIF(원본명단!$I$3:$I$6002,원본명단!$I4867)))</f>
        <v/>
      </c>
      <c r="G4868" s="11" t="str">
        <f aca="false">IF($A4868="","",IF(원본명단!$K4867="",0,COUNTIF(원본명단!$K$3:$K$6002,원본명단!$K4867)))</f>
        <v/>
      </c>
      <c r="H4868" s="11" t="str">
        <f aca="false">IF($A4868="","",IF(MAX($E4868,$F4868,$G4868)&gt;1,"중복","-"))</f>
        <v/>
      </c>
      <c r="I4868" s="11" t="str">
        <f aca="false">IF($A4868="","",IF($H4868="-","-",IF(AND(IF(원본명단!$H4867="",TRUE(),COUNTIF(원본명단!$H$3:$H4867,원본명단!$H4867)=1),IF(원본명단!$I4867="",TRUE(),COUNTIF(원본명단!$I$3:$I4867,원본명단!$I4867)=1),IF(원본명단!$K4867="",TRUE(),COUNTIF(원본명단!$K$3:$K4867,원본명단!$K4867)=1)),"첫 건","중복 건")))</f>
        <v/>
      </c>
      <c r="J4868" s="11" t="str">
        <f aca="false">IF($A4868="","",IF($H4868="-","유지",IF($I4868="첫 건","유지","확인 필요")))</f>
        <v/>
      </c>
    </row>
    <row r="4869" customFormat="false" ht="15" hidden="false" customHeight="true" outlineLevel="0" collapsed="false">
      <c r="A4869" s="11" t="str">
        <f aca="false">IF(원본명단!$A4868="","",4866)</f>
        <v/>
      </c>
      <c r="B4869" s="12" t="str">
        <f aca="false">IF($A4869="","",원본명단!$A4868)</f>
        <v/>
      </c>
      <c r="C4869" s="12" t="str">
        <f aca="false">IF($A4869="","",원본명단!$B4868)</f>
        <v/>
      </c>
      <c r="D4869" s="12" t="str">
        <f aca="false">IF($A4869="","",원본명단!$D4868)</f>
        <v/>
      </c>
      <c r="E4869" s="11" t="str">
        <f aca="false">IF($A4869="","",IF(원본명단!$H4868="",0,COUNTIF(원본명단!$H$3:$H$6002,원본명단!$H4868)))</f>
        <v/>
      </c>
      <c r="F4869" s="11" t="str">
        <f aca="false">IF($A4869="","",IF(원본명단!$I4868="",0,COUNTIF(원본명단!$I$3:$I$6002,원본명단!$I4868)))</f>
        <v/>
      </c>
      <c r="G4869" s="11" t="str">
        <f aca="false">IF($A4869="","",IF(원본명단!$K4868="",0,COUNTIF(원본명단!$K$3:$K$6002,원본명단!$K4868)))</f>
        <v/>
      </c>
      <c r="H4869" s="11" t="str">
        <f aca="false">IF($A4869="","",IF(MAX($E4869,$F4869,$G4869)&gt;1,"중복","-"))</f>
        <v/>
      </c>
      <c r="I4869" s="11" t="str">
        <f aca="false">IF($A4869="","",IF($H4869="-","-",IF(AND(IF(원본명단!$H4868="",TRUE(),COUNTIF(원본명단!$H$3:$H4868,원본명단!$H4868)=1),IF(원본명단!$I4868="",TRUE(),COUNTIF(원본명단!$I$3:$I4868,원본명단!$I4868)=1),IF(원본명단!$K4868="",TRUE(),COUNTIF(원본명단!$K$3:$K4868,원본명단!$K4868)=1)),"첫 건","중복 건")))</f>
        <v/>
      </c>
      <c r="J4869" s="11" t="str">
        <f aca="false">IF($A4869="","",IF($H4869="-","유지",IF($I4869="첫 건","유지","확인 필요")))</f>
        <v/>
      </c>
    </row>
    <row r="4870" customFormat="false" ht="15" hidden="false" customHeight="true" outlineLevel="0" collapsed="false">
      <c r="A4870" s="11" t="str">
        <f aca="false">IF(원본명단!$A4869="","",4867)</f>
        <v/>
      </c>
      <c r="B4870" s="12" t="str">
        <f aca="false">IF($A4870="","",원본명단!$A4869)</f>
        <v/>
      </c>
      <c r="C4870" s="12" t="str">
        <f aca="false">IF($A4870="","",원본명단!$B4869)</f>
        <v/>
      </c>
      <c r="D4870" s="12" t="str">
        <f aca="false">IF($A4870="","",원본명단!$D4869)</f>
        <v/>
      </c>
      <c r="E4870" s="11" t="str">
        <f aca="false">IF($A4870="","",IF(원본명단!$H4869="",0,COUNTIF(원본명단!$H$3:$H$6002,원본명단!$H4869)))</f>
        <v/>
      </c>
      <c r="F4870" s="11" t="str">
        <f aca="false">IF($A4870="","",IF(원본명단!$I4869="",0,COUNTIF(원본명단!$I$3:$I$6002,원본명단!$I4869)))</f>
        <v/>
      </c>
      <c r="G4870" s="11" t="str">
        <f aca="false">IF($A4870="","",IF(원본명단!$K4869="",0,COUNTIF(원본명단!$K$3:$K$6002,원본명단!$K4869)))</f>
        <v/>
      </c>
      <c r="H4870" s="11" t="str">
        <f aca="false">IF($A4870="","",IF(MAX($E4870,$F4870,$G4870)&gt;1,"중복","-"))</f>
        <v/>
      </c>
      <c r="I4870" s="11" t="str">
        <f aca="false">IF($A4870="","",IF($H4870="-","-",IF(AND(IF(원본명단!$H4869="",TRUE(),COUNTIF(원본명단!$H$3:$H4869,원본명단!$H4869)=1),IF(원본명단!$I4869="",TRUE(),COUNTIF(원본명단!$I$3:$I4869,원본명단!$I4869)=1),IF(원본명단!$K4869="",TRUE(),COUNTIF(원본명단!$K$3:$K4869,원본명단!$K4869)=1)),"첫 건","중복 건")))</f>
        <v/>
      </c>
      <c r="J4870" s="11" t="str">
        <f aca="false">IF($A4870="","",IF($H4870="-","유지",IF($I4870="첫 건","유지","확인 필요")))</f>
        <v/>
      </c>
    </row>
    <row r="4871" customFormat="false" ht="15" hidden="false" customHeight="true" outlineLevel="0" collapsed="false">
      <c r="A4871" s="11" t="str">
        <f aca="false">IF(원본명단!$A4870="","",4868)</f>
        <v/>
      </c>
      <c r="B4871" s="12" t="str">
        <f aca="false">IF($A4871="","",원본명단!$A4870)</f>
        <v/>
      </c>
      <c r="C4871" s="12" t="str">
        <f aca="false">IF($A4871="","",원본명단!$B4870)</f>
        <v/>
      </c>
      <c r="D4871" s="12" t="str">
        <f aca="false">IF($A4871="","",원본명단!$D4870)</f>
        <v/>
      </c>
      <c r="E4871" s="11" t="str">
        <f aca="false">IF($A4871="","",IF(원본명단!$H4870="",0,COUNTIF(원본명단!$H$3:$H$6002,원본명단!$H4870)))</f>
        <v/>
      </c>
      <c r="F4871" s="11" t="str">
        <f aca="false">IF($A4871="","",IF(원본명단!$I4870="",0,COUNTIF(원본명단!$I$3:$I$6002,원본명단!$I4870)))</f>
        <v/>
      </c>
      <c r="G4871" s="11" t="str">
        <f aca="false">IF($A4871="","",IF(원본명단!$K4870="",0,COUNTIF(원본명단!$K$3:$K$6002,원본명단!$K4870)))</f>
        <v/>
      </c>
      <c r="H4871" s="11" t="str">
        <f aca="false">IF($A4871="","",IF(MAX($E4871,$F4871,$G4871)&gt;1,"중복","-"))</f>
        <v/>
      </c>
      <c r="I4871" s="11" t="str">
        <f aca="false">IF($A4871="","",IF($H4871="-","-",IF(AND(IF(원본명단!$H4870="",TRUE(),COUNTIF(원본명단!$H$3:$H4870,원본명단!$H4870)=1),IF(원본명단!$I4870="",TRUE(),COUNTIF(원본명단!$I$3:$I4870,원본명단!$I4870)=1),IF(원본명단!$K4870="",TRUE(),COUNTIF(원본명단!$K$3:$K4870,원본명단!$K4870)=1)),"첫 건","중복 건")))</f>
        <v/>
      </c>
      <c r="J4871" s="11" t="str">
        <f aca="false">IF($A4871="","",IF($H4871="-","유지",IF($I4871="첫 건","유지","확인 필요")))</f>
        <v/>
      </c>
    </row>
    <row r="4872" customFormat="false" ht="15" hidden="false" customHeight="true" outlineLevel="0" collapsed="false">
      <c r="A4872" s="11" t="str">
        <f aca="false">IF(원본명단!$A4871="","",4869)</f>
        <v/>
      </c>
      <c r="B4872" s="12" t="str">
        <f aca="false">IF($A4872="","",원본명단!$A4871)</f>
        <v/>
      </c>
      <c r="C4872" s="12" t="str">
        <f aca="false">IF($A4872="","",원본명단!$B4871)</f>
        <v/>
      </c>
      <c r="D4872" s="12" t="str">
        <f aca="false">IF($A4872="","",원본명단!$D4871)</f>
        <v/>
      </c>
      <c r="E4872" s="11" t="str">
        <f aca="false">IF($A4872="","",IF(원본명단!$H4871="",0,COUNTIF(원본명단!$H$3:$H$6002,원본명단!$H4871)))</f>
        <v/>
      </c>
      <c r="F4872" s="11" t="str">
        <f aca="false">IF($A4872="","",IF(원본명단!$I4871="",0,COUNTIF(원본명단!$I$3:$I$6002,원본명단!$I4871)))</f>
        <v/>
      </c>
      <c r="G4872" s="11" t="str">
        <f aca="false">IF($A4872="","",IF(원본명단!$K4871="",0,COUNTIF(원본명단!$K$3:$K$6002,원본명단!$K4871)))</f>
        <v/>
      </c>
      <c r="H4872" s="11" t="str">
        <f aca="false">IF($A4872="","",IF(MAX($E4872,$F4872,$G4872)&gt;1,"중복","-"))</f>
        <v/>
      </c>
      <c r="I4872" s="11" t="str">
        <f aca="false">IF($A4872="","",IF($H4872="-","-",IF(AND(IF(원본명단!$H4871="",TRUE(),COUNTIF(원본명단!$H$3:$H4871,원본명단!$H4871)=1),IF(원본명단!$I4871="",TRUE(),COUNTIF(원본명단!$I$3:$I4871,원본명단!$I4871)=1),IF(원본명단!$K4871="",TRUE(),COUNTIF(원본명단!$K$3:$K4871,원본명단!$K4871)=1)),"첫 건","중복 건")))</f>
        <v/>
      </c>
      <c r="J4872" s="11" t="str">
        <f aca="false">IF($A4872="","",IF($H4872="-","유지",IF($I4872="첫 건","유지","확인 필요")))</f>
        <v/>
      </c>
    </row>
    <row r="4873" customFormat="false" ht="15" hidden="false" customHeight="true" outlineLevel="0" collapsed="false">
      <c r="A4873" s="11" t="str">
        <f aca="false">IF(원본명단!$A4872="","",4870)</f>
        <v/>
      </c>
      <c r="B4873" s="12" t="str">
        <f aca="false">IF($A4873="","",원본명단!$A4872)</f>
        <v/>
      </c>
      <c r="C4873" s="12" t="str">
        <f aca="false">IF($A4873="","",원본명단!$B4872)</f>
        <v/>
      </c>
      <c r="D4873" s="12" t="str">
        <f aca="false">IF($A4873="","",원본명단!$D4872)</f>
        <v/>
      </c>
      <c r="E4873" s="11" t="str">
        <f aca="false">IF($A4873="","",IF(원본명단!$H4872="",0,COUNTIF(원본명단!$H$3:$H$6002,원본명단!$H4872)))</f>
        <v/>
      </c>
      <c r="F4873" s="11" t="str">
        <f aca="false">IF($A4873="","",IF(원본명단!$I4872="",0,COUNTIF(원본명단!$I$3:$I$6002,원본명단!$I4872)))</f>
        <v/>
      </c>
      <c r="G4873" s="11" t="str">
        <f aca="false">IF($A4873="","",IF(원본명단!$K4872="",0,COUNTIF(원본명단!$K$3:$K$6002,원본명단!$K4872)))</f>
        <v/>
      </c>
      <c r="H4873" s="11" t="str">
        <f aca="false">IF($A4873="","",IF(MAX($E4873,$F4873,$G4873)&gt;1,"중복","-"))</f>
        <v/>
      </c>
      <c r="I4873" s="11" t="str">
        <f aca="false">IF($A4873="","",IF($H4873="-","-",IF(AND(IF(원본명단!$H4872="",TRUE(),COUNTIF(원본명단!$H$3:$H4872,원본명단!$H4872)=1),IF(원본명단!$I4872="",TRUE(),COUNTIF(원본명단!$I$3:$I4872,원본명단!$I4872)=1),IF(원본명단!$K4872="",TRUE(),COUNTIF(원본명단!$K$3:$K4872,원본명단!$K4872)=1)),"첫 건","중복 건")))</f>
        <v/>
      </c>
      <c r="J4873" s="11" t="str">
        <f aca="false">IF($A4873="","",IF($H4873="-","유지",IF($I4873="첫 건","유지","확인 필요")))</f>
        <v/>
      </c>
    </row>
    <row r="4874" customFormat="false" ht="15" hidden="false" customHeight="true" outlineLevel="0" collapsed="false">
      <c r="A4874" s="11" t="str">
        <f aca="false">IF(원본명단!$A4873="","",4871)</f>
        <v/>
      </c>
      <c r="B4874" s="12" t="str">
        <f aca="false">IF($A4874="","",원본명단!$A4873)</f>
        <v/>
      </c>
      <c r="C4874" s="12" t="str">
        <f aca="false">IF($A4874="","",원본명단!$B4873)</f>
        <v/>
      </c>
      <c r="D4874" s="12" t="str">
        <f aca="false">IF($A4874="","",원본명단!$D4873)</f>
        <v/>
      </c>
      <c r="E4874" s="11" t="str">
        <f aca="false">IF($A4874="","",IF(원본명단!$H4873="",0,COUNTIF(원본명단!$H$3:$H$6002,원본명단!$H4873)))</f>
        <v/>
      </c>
      <c r="F4874" s="11" t="str">
        <f aca="false">IF($A4874="","",IF(원본명단!$I4873="",0,COUNTIF(원본명단!$I$3:$I$6002,원본명단!$I4873)))</f>
        <v/>
      </c>
      <c r="G4874" s="11" t="str">
        <f aca="false">IF($A4874="","",IF(원본명단!$K4873="",0,COUNTIF(원본명단!$K$3:$K$6002,원본명단!$K4873)))</f>
        <v/>
      </c>
      <c r="H4874" s="11" t="str">
        <f aca="false">IF($A4874="","",IF(MAX($E4874,$F4874,$G4874)&gt;1,"중복","-"))</f>
        <v/>
      </c>
      <c r="I4874" s="11" t="str">
        <f aca="false">IF($A4874="","",IF($H4874="-","-",IF(AND(IF(원본명단!$H4873="",TRUE(),COUNTIF(원본명단!$H$3:$H4873,원본명단!$H4873)=1),IF(원본명단!$I4873="",TRUE(),COUNTIF(원본명단!$I$3:$I4873,원본명단!$I4873)=1),IF(원본명단!$K4873="",TRUE(),COUNTIF(원본명단!$K$3:$K4873,원본명단!$K4873)=1)),"첫 건","중복 건")))</f>
        <v/>
      </c>
      <c r="J4874" s="11" t="str">
        <f aca="false">IF($A4874="","",IF($H4874="-","유지",IF($I4874="첫 건","유지","확인 필요")))</f>
        <v/>
      </c>
    </row>
    <row r="4875" customFormat="false" ht="15" hidden="false" customHeight="true" outlineLevel="0" collapsed="false">
      <c r="A4875" s="11" t="str">
        <f aca="false">IF(원본명단!$A4874="","",4872)</f>
        <v/>
      </c>
      <c r="B4875" s="12" t="str">
        <f aca="false">IF($A4875="","",원본명단!$A4874)</f>
        <v/>
      </c>
      <c r="C4875" s="12" t="str">
        <f aca="false">IF($A4875="","",원본명단!$B4874)</f>
        <v/>
      </c>
      <c r="D4875" s="12" t="str">
        <f aca="false">IF($A4875="","",원본명단!$D4874)</f>
        <v/>
      </c>
      <c r="E4875" s="11" t="str">
        <f aca="false">IF($A4875="","",IF(원본명단!$H4874="",0,COUNTIF(원본명단!$H$3:$H$6002,원본명단!$H4874)))</f>
        <v/>
      </c>
      <c r="F4875" s="11" t="str">
        <f aca="false">IF($A4875="","",IF(원본명단!$I4874="",0,COUNTIF(원본명단!$I$3:$I$6002,원본명단!$I4874)))</f>
        <v/>
      </c>
      <c r="G4875" s="11" t="str">
        <f aca="false">IF($A4875="","",IF(원본명단!$K4874="",0,COUNTIF(원본명단!$K$3:$K$6002,원본명단!$K4874)))</f>
        <v/>
      </c>
      <c r="H4875" s="11" t="str">
        <f aca="false">IF($A4875="","",IF(MAX($E4875,$F4875,$G4875)&gt;1,"중복","-"))</f>
        <v/>
      </c>
      <c r="I4875" s="11" t="str">
        <f aca="false">IF($A4875="","",IF($H4875="-","-",IF(AND(IF(원본명단!$H4874="",TRUE(),COUNTIF(원본명단!$H$3:$H4874,원본명단!$H4874)=1),IF(원본명단!$I4874="",TRUE(),COUNTIF(원본명단!$I$3:$I4874,원본명단!$I4874)=1),IF(원본명단!$K4874="",TRUE(),COUNTIF(원본명단!$K$3:$K4874,원본명단!$K4874)=1)),"첫 건","중복 건")))</f>
        <v/>
      </c>
      <c r="J4875" s="11" t="str">
        <f aca="false">IF($A4875="","",IF($H4875="-","유지",IF($I4875="첫 건","유지","확인 필요")))</f>
        <v/>
      </c>
    </row>
    <row r="4876" customFormat="false" ht="15" hidden="false" customHeight="true" outlineLevel="0" collapsed="false">
      <c r="A4876" s="11" t="str">
        <f aca="false">IF(원본명단!$A4875="","",4873)</f>
        <v/>
      </c>
      <c r="B4876" s="12" t="str">
        <f aca="false">IF($A4876="","",원본명단!$A4875)</f>
        <v/>
      </c>
      <c r="C4876" s="12" t="str">
        <f aca="false">IF($A4876="","",원본명단!$B4875)</f>
        <v/>
      </c>
      <c r="D4876" s="12" t="str">
        <f aca="false">IF($A4876="","",원본명단!$D4875)</f>
        <v/>
      </c>
      <c r="E4876" s="11" t="str">
        <f aca="false">IF($A4876="","",IF(원본명단!$H4875="",0,COUNTIF(원본명단!$H$3:$H$6002,원본명단!$H4875)))</f>
        <v/>
      </c>
      <c r="F4876" s="11" t="str">
        <f aca="false">IF($A4876="","",IF(원본명단!$I4875="",0,COUNTIF(원본명단!$I$3:$I$6002,원본명단!$I4875)))</f>
        <v/>
      </c>
      <c r="G4876" s="11" t="str">
        <f aca="false">IF($A4876="","",IF(원본명단!$K4875="",0,COUNTIF(원본명단!$K$3:$K$6002,원본명단!$K4875)))</f>
        <v/>
      </c>
      <c r="H4876" s="11" t="str">
        <f aca="false">IF($A4876="","",IF(MAX($E4876,$F4876,$G4876)&gt;1,"중복","-"))</f>
        <v/>
      </c>
      <c r="I4876" s="11" t="str">
        <f aca="false">IF($A4876="","",IF($H4876="-","-",IF(AND(IF(원본명단!$H4875="",TRUE(),COUNTIF(원본명단!$H$3:$H4875,원본명단!$H4875)=1),IF(원본명단!$I4875="",TRUE(),COUNTIF(원본명단!$I$3:$I4875,원본명단!$I4875)=1),IF(원본명단!$K4875="",TRUE(),COUNTIF(원본명단!$K$3:$K4875,원본명단!$K4875)=1)),"첫 건","중복 건")))</f>
        <v/>
      </c>
      <c r="J4876" s="11" t="str">
        <f aca="false">IF($A4876="","",IF($H4876="-","유지",IF($I4876="첫 건","유지","확인 필요")))</f>
        <v/>
      </c>
    </row>
    <row r="4877" customFormat="false" ht="15" hidden="false" customHeight="true" outlineLevel="0" collapsed="false">
      <c r="A4877" s="11" t="str">
        <f aca="false">IF(원본명단!$A4876="","",4874)</f>
        <v/>
      </c>
      <c r="B4877" s="12" t="str">
        <f aca="false">IF($A4877="","",원본명단!$A4876)</f>
        <v/>
      </c>
      <c r="C4877" s="12" t="str">
        <f aca="false">IF($A4877="","",원본명단!$B4876)</f>
        <v/>
      </c>
      <c r="D4877" s="12" t="str">
        <f aca="false">IF($A4877="","",원본명단!$D4876)</f>
        <v/>
      </c>
      <c r="E4877" s="11" t="str">
        <f aca="false">IF($A4877="","",IF(원본명단!$H4876="",0,COUNTIF(원본명단!$H$3:$H$6002,원본명단!$H4876)))</f>
        <v/>
      </c>
      <c r="F4877" s="11" t="str">
        <f aca="false">IF($A4877="","",IF(원본명단!$I4876="",0,COUNTIF(원본명단!$I$3:$I$6002,원본명단!$I4876)))</f>
        <v/>
      </c>
      <c r="G4877" s="11" t="str">
        <f aca="false">IF($A4877="","",IF(원본명단!$K4876="",0,COUNTIF(원본명단!$K$3:$K$6002,원본명단!$K4876)))</f>
        <v/>
      </c>
      <c r="H4877" s="11" t="str">
        <f aca="false">IF($A4877="","",IF(MAX($E4877,$F4877,$G4877)&gt;1,"중복","-"))</f>
        <v/>
      </c>
      <c r="I4877" s="11" t="str">
        <f aca="false">IF($A4877="","",IF($H4877="-","-",IF(AND(IF(원본명단!$H4876="",TRUE(),COUNTIF(원본명단!$H$3:$H4876,원본명단!$H4876)=1),IF(원본명단!$I4876="",TRUE(),COUNTIF(원본명단!$I$3:$I4876,원본명단!$I4876)=1),IF(원본명단!$K4876="",TRUE(),COUNTIF(원본명단!$K$3:$K4876,원본명단!$K4876)=1)),"첫 건","중복 건")))</f>
        <v/>
      </c>
      <c r="J4877" s="11" t="str">
        <f aca="false">IF($A4877="","",IF($H4877="-","유지",IF($I4877="첫 건","유지","확인 필요")))</f>
        <v/>
      </c>
    </row>
    <row r="4878" customFormat="false" ht="15" hidden="false" customHeight="true" outlineLevel="0" collapsed="false">
      <c r="A4878" s="11" t="str">
        <f aca="false">IF(원본명단!$A4877="","",4875)</f>
        <v/>
      </c>
      <c r="B4878" s="12" t="str">
        <f aca="false">IF($A4878="","",원본명단!$A4877)</f>
        <v/>
      </c>
      <c r="C4878" s="12" t="str">
        <f aca="false">IF($A4878="","",원본명단!$B4877)</f>
        <v/>
      </c>
      <c r="D4878" s="12" t="str">
        <f aca="false">IF($A4878="","",원본명단!$D4877)</f>
        <v/>
      </c>
      <c r="E4878" s="11" t="str">
        <f aca="false">IF($A4878="","",IF(원본명단!$H4877="",0,COUNTIF(원본명단!$H$3:$H$6002,원본명단!$H4877)))</f>
        <v/>
      </c>
      <c r="F4878" s="11" t="str">
        <f aca="false">IF($A4878="","",IF(원본명단!$I4877="",0,COUNTIF(원본명단!$I$3:$I$6002,원본명단!$I4877)))</f>
        <v/>
      </c>
      <c r="G4878" s="11" t="str">
        <f aca="false">IF($A4878="","",IF(원본명단!$K4877="",0,COUNTIF(원본명단!$K$3:$K$6002,원본명단!$K4877)))</f>
        <v/>
      </c>
      <c r="H4878" s="11" t="str">
        <f aca="false">IF($A4878="","",IF(MAX($E4878,$F4878,$G4878)&gt;1,"중복","-"))</f>
        <v/>
      </c>
      <c r="I4878" s="11" t="str">
        <f aca="false">IF($A4878="","",IF($H4878="-","-",IF(AND(IF(원본명단!$H4877="",TRUE(),COUNTIF(원본명단!$H$3:$H4877,원본명단!$H4877)=1),IF(원본명단!$I4877="",TRUE(),COUNTIF(원본명단!$I$3:$I4877,원본명단!$I4877)=1),IF(원본명단!$K4877="",TRUE(),COUNTIF(원본명단!$K$3:$K4877,원본명단!$K4877)=1)),"첫 건","중복 건")))</f>
        <v/>
      </c>
      <c r="J4878" s="11" t="str">
        <f aca="false">IF($A4878="","",IF($H4878="-","유지",IF($I4878="첫 건","유지","확인 필요")))</f>
        <v/>
      </c>
    </row>
    <row r="4879" customFormat="false" ht="15" hidden="false" customHeight="true" outlineLevel="0" collapsed="false">
      <c r="A4879" s="11" t="str">
        <f aca="false">IF(원본명단!$A4878="","",4876)</f>
        <v/>
      </c>
      <c r="B4879" s="12" t="str">
        <f aca="false">IF($A4879="","",원본명단!$A4878)</f>
        <v/>
      </c>
      <c r="C4879" s="12" t="str">
        <f aca="false">IF($A4879="","",원본명단!$B4878)</f>
        <v/>
      </c>
      <c r="D4879" s="12" t="str">
        <f aca="false">IF($A4879="","",원본명단!$D4878)</f>
        <v/>
      </c>
      <c r="E4879" s="11" t="str">
        <f aca="false">IF($A4879="","",IF(원본명단!$H4878="",0,COUNTIF(원본명단!$H$3:$H$6002,원본명단!$H4878)))</f>
        <v/>
      </c>
      <c r="F4879" s="11" t="str">
        <f aca="false">IF($A4879="","",IF(원본명단!$I4878="",0,COUNTIF(원본명단!$I$3:$I$6002,원본명단!$I4878)))</f>
        <v/>
      </c>
      <c r="G4879" s="11" t="str">
        <f aca="false">IF($A4879="","",IF(원본명단!$K4878="",0,COUNTIF(원본명단!$K$3:$K$6002,원본명단!$K4878)))</f>
        <v/>
      </c>
      <c r="H4879" s="11" t="str">
        <f aca="false">IF($A4879="","",IF(MAX($E4879,$F4879,$G4879)&gt;1,"중복","-"))</f>
        <v/>
      </c>
      <c r="I4879" s="11" t="str">
        <f aca="false">IF($A4879="","",IF($H4879="-","-",IF(AND(IF(원본명단!$H4878="",TRUE(),COUNTIF(원본명단!$H$3:$H4878,원본명단!$H4878)=1),IF(원본명단!$I4878="",TRUE(),COUNTIF(원본명단!$I$3:$I4878,원본명단!$I4878)=1),IF(원본명단!$K4878="",TRUE(),COUNTIF(원본명단!$K$3:$K4878,원본명단!$K4878)=1)),"첫 건","중복 건")))</f>
        <v/>
      </c>
      <c r="J4879" s="11" t="str">
        <f aca="false">IF($A4879="","",IF($H4879="-","유지",IF($I4879="첫 건","유지","확인 필요")))</f>
        <v/>
      </c>
    </row>
    <row r="4880" customFormat="false" ht="15" hidden="false" customHeight="true" outlineLevel="0" collapsed="false">
      <c r="A4880" s="11" t="str">
        <f aca="false">IF(원본명단!$A4879="","",4877)</f>
        <v/>
      </c>
      <c r="B4880" s="12" t="str">
        <f aca="false">IF($A4880="","",원본명단!$A4879)</f>
        <v/>
      </c>
      <c r="C4880" s="12" t="str">
        <f aca="false">IF($A4880="","",원본명단!$B4879)</f>
        <v/>
      </c>
      <c r="D4880" s="12" t="str">
        <f aca="false">IF($A4880="","",원본명단!$D4879)</f>
        <v/>
      </c>
      <c r="E4880" s="11" t="str">
        <f aca="false">IF($A4880="","",IF(원본명단!$H4879="",0,COUNTIF(원본명단!$H$3:$H$6002,원본명단!$H4879)))</f>
        <v/>
      </c>
      <c r="F4880" s="11" t="str">
        <f aca="false">IF($A4880="","",IF(원본명단!$I4879="",0,COUNTIF(원본명단!$I$3:$I$6002,원본명단!$I4879)))</f>
        <v/>
      </c>
      <c r="G4880" s="11" t="str">
        <f aca="false">IF($A4880="","",IF(원본명단!$K4879="",0,COUNTIF(원본명단!$K$3:$K$6002,원본명단!$K4879)))</f>
        <v/>
      </c>
      <c r="H4880" s="11" t="str">
        <f aca="false">IF($A4880="","",IF(MAX($E4880,$F4880,$G4880)&gt;1,"중복","-"))</f>
        <v/>
      </c>
      <c r="I4880" s="11" t="str">
        <f aca="false">IF($A4880="","",IF($H4880="-","-",IF(AND(IF(원본명단!$H4879="",TRUE(),COUNTIF(원본명단!$H$3:$H4879,원본명단!$H4879)=1),IF(원본명단!$I4879="",TRUE(),COUNTIF(원본명단!$I$3:$I4879,원본명단!$I4879)=1),IF(원본명단!$K4879="",TRUE(),COUNTIF(원본명단!$K$3:$K4879,원본명단!$K4879)=1)),"첫 건","중복 건")))</f>
        <v/>
      </c>
      <c r="J4880" s="11" t="str">
        <f aca="false">IF($A4880="","",IF($H4880="-","유지",IF($I4880="첫 건","유지","확인 필요")))</f>
        <v/>
      </c>
    </row>
    <row r="4881" customFormat="false" ht="15" hidden="false" customHeight="true" outlineLevel="0" collapsed="false">
      <c r="A4881" s="11" t="str">
        <f aca="false">IF(원본명단!$A4880="","",4878)</f>
        <v/>
      </c>
      <c r="B4881" s="12" t="str">
        <f aca="false">IF($A4881="","",원본명단!$A4880)</f>
        <v/>
      </c>
      <c r="C4881" s="12" t="str">
        <f aca="false">IF($A4881="","",원본명단!$B4880)</f>
        <v/>
      </c>
      <c r="D4881" s="12" t="str">
        <f aca="false">IF($A4881="","",원본명단!$D4880)</f>
        <v/>
      </c>
      <c r="E4881" s="11" t="str">
        <f aca="false">IF($A4881="","",IF(원본명단!$H4880="",0,COUNTIF(원본명단!$H$3:$H$6002,원본명단!$H4880)))</f>
        <v/>
      </c>
      <c r="F4881" s="11" t="str">
        <f aca="false">IF($A4881="","",IF(원본명단!$I4880="",0,COUNTIF(원본명단!$I$3:$I$6002,원본명단!$I4880)))</f>
        <v/>
      </c>
      <c r="G4881" s="11" t="str">
        <f aca="false">IF($A4881="","",IF(원본명단!$K4880="",0,COUNTIF(원본명단!$K$3:$K$6002,원본명단!$K4880)))</f>
        <v/>
      </c>
      <c r="H4881" s="11" t="str">
        <f aca="false">IF($A4881="","",IF(MAX($E4881,$F4881,$G4881)&gt;1,"중복","-"))</f>
        <v/>
      </c>
      <c r="I4881" s="11" t="str">
        <f aca="false">IF($A4881="","",IF($H4881="-","-",IF(AND(IF(원본명단!$H4880="",TRUE(),COUNTIF(원본명단!$H$3:$H4880,원본명단!$H4880)=1),IF(원본명단!$I4880="",TRUE(),COUNTIF(원본명단!$I$3:$I4880,원본명단!$I4880)=1),IF(원본명단!$K4880="",TRUE(),COUNTIF(원본명단!$K$3:$K4880,원본명단!$K4880)=1)),"첫 건","중복 건")))</f>
        <v/>
      </c>
      <c r="J4881" s="11" t="str">
        <f aca="false">IF($A4881="","",IF($H4881="-","유지",IF($I4881="첫 건","유지","확인 필요")))</f>
        <v/>
      </c>
    </row>
    <row r="4882" customFormat="false" ht="15" hidden="false" customHeight="true" outlineLevel="0" collapsed="false">
      <c r="A4882" s="11" t="str">
        <f aca="false">IF(원본명단!$A4881="","",4879)</f>
        <v/>
      </c>
      <c r="B4882" s="12" t="str">
        <f aca="false">IF($A4882="","",원본명단!$A4881)</f>
        <v/>
      </c>
      <c r="C4882" s="12" t="str">
        <f aca="false">IF($A4882="","",원본명단!$B4881)</f>
        <v/>
      </c>
      <c r="D4882" s="12" t="str">
        <f aca="false">IF($A4882="","",원본명단!$D4881)</f>
        <v/>
      </c>
      <c r="E4882" s="11" t="str">
        <f aca="false">IF($A4882="","",IF(원본명단!$H4881="",0,COUNTIF(원본명단!$H$3:$H$6002,원본명단!$H4881)))</f>
        <v/>
      </c>
      <c r="F4882" s="11" t="str">
        <f aca="false">IF($A4882="","",IF(원본명단!$I4881="",0,COUNTIF(원본명단!$I$3:$I$6002,원본명단!$I4881)))</f>
        <v/>
      </c>
      <c r="G4882" s="11" t="str">
        <f aca="false">IF($A4882="","",IF(원본명단!$K4881="",0,COUNTIF(원본명단!$K$3:$K$6002,원본명단!$K4881)))</f>
        <v/>
      </c>
      <c r="H4882" s="11" t="str">
        <f aca="false">IF($A4882="","",IF(MAX($E4882,$F4882,$G4882)&gt;1,"중복","-"))</f>
        <v/>
      </c>
      <c r="I4882" s="11" t="str">
        <f aca="false">IF($A4882="","",IF($H4882="-","-",IF(AND(IF(원본명단!$H4881="",TRUE(),COUNTIF(원본명단!$H$3:$H4881,원본명단!$H4881)=1),IF(원본명단!$I4881="",TRUE(),COUNTIF(원본명단!$I$3:$I4881,원본명단!$I4881)=1),IF(원본명단!$K4881="",TRUE(),COUNTIF(원본명단!$K$3:$K4881,원본명단!$K4881)=1)),"첫 건","중복 건")))</f>
        <v/>
      </c>
      <c r="J4882" s="11" t="str">
        <f aca="false">IF($A4882="","",IF($H4882="-","유지",IF($I4882="첫 건","유지","확인 필요")))</f>
        <v/>
      </c>
    </row>
    <row r="4883" customFormat="false" ht="15" hidden="false" customHeight="true" outlineLevel="0" collapsed="false">
      <c r="A4883" s="11" t="str">
        <f aca="false">IF(원본명단!$A4882="","",4880)</f>
        <v/>
      </c>
      <c r="B4883" s="12" t="str">
        <f aca="false">IF($A4883="","",원본명단!$A4882)</f>
        <v/>
      </c>
      <c r="C4883" s="12" t="str">
        <f aca="false">IF($A4883="","",원본명단!$B4882)</f>
        <v/>
      </c>
      <c r="D4883" s="12" t="str">
        <f aca="false">IF($A4883="","",원본명단!$D4882)</f>
        <v/>
      </c>
      <c r="E4883" s="11" t="str">
        <f aca="false">IF($A4883="","",IF(원본명단!$H4882="",0,COUNTIF(원본명단!$H$3:$H$6002,원본명단!$H4882)))</f>
        <v/>
      </c>
      <c r="F4883" s="11" t="str">
        <f aca="false">IF($A4883="","",IF(원본명단!$I4882="",0,COUNTIF(원본명단!$I$3:$I$6002,원본명단!$I4882)))</f>
        <v/>
      </c>
      <c r="G4883" s="11" t="str">
        <f aca="false">IF($A4883="","",IF(원본명단!$K4882="",0,COUNTIF(원본명단!$K$3:$K$6002,원본명단!$K4882)))</f>
        <v/>
      </c>
      <c r="H4883" s="11" t="str">
        <f aca="false">IF($A4883="","",IF(MAX($E4883,$F4883,$G4883)&gt;1,"중복","-"))</f>
        <v/>
      </c>
      <c r="I4883" s="11" t="str">
        <f aca="false">IF($A4883="","",IF($H4883="-","-",IF(AND(IF(원본명단!$H4882="",TRUE(),COUNTIF(원본명단!$H$3:$H4882,원본명단!$H4882)=1),IF(원본명단!$I4882="",TRUE(),COUNTIF(원본명단!$I$3:$I4882,원본명단!$I4882)=1),IF(원본명단!$K4882="",TRUE(),COUNTIF(원본명단!$K$3:$K4882,원본명단!$K4882)=1)),"첫 건","중복 건")))</f>
        <v/>
      </c>
      <c r="J4883" s="11" t="str">
        <f aca="false">IF($A4883="","",IF($H4883="-","유지",IF($I4883="첫 건","유지","확인 필요")))</f>
        <v/>
      </c>
    </row>
    <row r="4884" customFormat="false" ht="15" hidden="false" customHeight="true" outlineLevel="0" collapsed="false">
      <c r="A4884" s="11" t="str">
        <f aca="false">IF(원본명단!$A4883="","",4881)</f>
        <v/>
      </c>
      <c r="B4884" s="12" t="str">
        <f aca="false">IF($A4884="","",원본명단!$A4883)</f>
        <v/>
      </c>
      <c r="C4884" s="12" t="str">
        <f aca="false">IF($A4884="","",원본명단!$B4883)</f>
        <v/>
      </c>
      <c r="D4884" s="12" t="str">
        <f aca="false">IF($A4884="","",원본명단!$D4883)</f>
        <v/>
      </c>
      <c r="E4884" s="11" t="str">
        <f aca="false">IF($A4884="","",IF(원본명단!$H4883="",0,COUNTIF(원본명단!$H$3:$H$6002,원본명단!$H4883)))</f>
        <v/>
      </c>
      <c r="F4884" s="11" t="str">
        <f aca="false">IF($A4884="","",IF(원본명단!$I4883="",0,COUNTIF(원본명단!$I$3:$I$6002,원본명단!$I4883)))</f>
        <v/>
      </c>
      <c r="G4884" s="11" t="str">
        <f aca="false">IF($A4884="","",IF(원본명단!$K4883="",0,COUNTIF(원본명단!$K$3:$K$6002,원본명단!$K4883)))</f>
        <v/>
      </c>
      <c r="H4884" s="11" t="str">
        <f aca="false">IF($A4884="","",IF(MAX($E4884,$F4884,$G4884)&gt;1,"중복","-"))</f>
        <v/>
      </c>
      <c r="I4884" s="11" t="str">
        <f aca="false">IF($A4884="","",IF($H4884="-","-",IF(AND(IF(원본명단!$H4883="",TRUE(),COUNTIF(원본명단!$H$3:$H4883,원본명단!$H4883)=1),IF(원본명단!$I4883="",TRUE(),COUNTIF(원본명단!$I$3:$I4883,원본명단!$I4883)=1),IF(원본명단!$K4883="",TRUE(),COUNTIF(원본명단!$K$3:$K4883,원본명단!$K4883)=1)),"첫 건","중복 건")))</f>
        <v/>
      </c>
      <c r="J4884" s="11" t="str">
        <f aca="false">IF($A4884="","",IF($H4884="-","유지",IF($I4884="첫 건","유지","확인 필요")))</f>
        <v/>
      </c>
    </row>
    <row r="4885" customFormat="false" ht="15" hidden="false" customHeight="true" outlineLevel="0" collapsed="false">
      <c r="A4885" s="11" t="str">
        <f aca="false">IF(원본명단!$A4884="","",4882)</f>
        <v/>
      </c>
      <c r="B4885" s="12" t="str">
        <f aca="false">IF($A4885="","",원본명단!$A4884)</f>
        <v/>
      </c>
      <c r="C4885" s="12" t="str">
        <f aca="false">IF($A4885="","",원본명단!$B4884)</f>
        <v/>
      </c>
      <c r="D4885" s="12" t="str">
        <f aca="false">IF($A4885="","",원본명단!$D4884)</f>
        <v/>
      </c>
      <c r="E4885" s="11" t="str">
        <f aca="false">IF($A4885="","",IF(원본명단!$H4884="",0,COUNTIF(원본명단!$H$3:$H$6002,원본명단!$H4884)))</f>
        <v/>
      </c>
      <c r="F4885" s="11" t="str">
        <f aca="false">IF($A4885="","",IF(원본명단!$I4884="",0,COUNTIF(원본명단!$I$3:$I$6002,원본명단!$I4884)))</f>
        <v/>
      </c>
      <c r="G4885" s="11" t="str">
        <f aca="false">IF($A4885="","",IF(원본명단!$K4884="",0,COUNTIF(원본명단!$K$3:$K$6002,원본명단!$K4884)))</f>
        <v/>
      </c>
      <c r="H4885" s="11" t="str">
        <f aca="false">IF($A4885="","",IF(MAX($E4885,$F4885,$G4885)&gt;1,"중복","-"))</f>
        <v/>
      </c>
      <c r="I4885" s="11" t="str">
        <f aca="false">IF($A4885="","",IF($H4885="-","-",IF(AND(IF(원본명단!$H4884="",TRUE(),COUNTIF(원본명단!$H$3:$H4884,원본명단!$H4884)=1),IF(원본명단!$I4884="",TRUE(),COUNTIF(원본명단!$I$3:$I4884,원본명단!$I4884)=1),IF(원본명단!$K4884="",TRUE(),COUNTIF(원본명단!$K$3:$K4884,원본명단!$K4884)=1)),"첫 건","중복 건")))</f>
        <v/>
      </c>
      <c r="J4885" s="11" t="str">
        <f aca="false">IF($A4885="","",IF($H4885="-","유지",IF($I4885="첫 건","유지","확인 필요")))</f>
        <v/>
      </c>
    </row>
    <row r="4886" customFormat="false" ht="15" hidden="false" customHeight="true" outlineLevel="0" collapsed="false">
      <c r="A4886" s="11" t="str">
        <f aca="false">IF(원본명단!$A4885="","",4883)</f>
        <v/>
      </c>
      <c r="B4886" s="12" t="str">
        <f aca="false">IF($A4886="","",원본명단!$A4885)</f>
        <v/>
      </c>
      <c r="C4886" s="12" t="str">
        <f aca="false">IF($A4886="","",원본명단!$B4885)</f>
        <v/>
      </c>
      <c r="D4886" s="12" t="str">
        <f aca="false">IF($A4886="","",원본명단!$D4885)</f>
        <v/>
      </c>
      <c r="E4886" s="11" t="str">
        <f aca="false">IF($A4886="","",IF(원본명단!$H4885="",0,COUNTIF(원본명단!$H$3:$H$6002,원본명단!$H4885)))</f>
        <v/>
      </c>
      <c r="F4886" s="11" t="str">
        <f aca="false">IF($A4886="","",IF(원본명단!$I4885="",0,COUNTIF(원본명단!$I$3:$I$6002,원본명단!$I4885)))</f>
        <v/>
      </c>
      <c r="G4886" s="11" t="str">
        <f aca="false">IF($A4886="","",IF(원본명단!$K4885="",0,COUNTIF(원본명단!$K$3:$K$6002,원본명단!$K4885)))</f>
        <v/>
      </c>
      <c r="H4886" s="11" t="str">
        <f aca="false">IF($A4886="","",IF(MAX($E4886,$F4886,$G4886)&gt;1,"중복","-"))</f>
        <v/>
      </c>
      <c r="I4886" s="11" t="str">
        <f aca="false">IF($A4886="","",IF($H4886="-","-",IF(AND(IF(원본명단!$H4885="",TRUE(),COUNTIF(원본명단!$H$3:$H4885,원본명단!$H4885)=1),IF(원본명단!$I4885="",TRUE(),COUNTIF(원본명단!$I$3:$I4885,원본명단!$I4885)=1),IF(원본명단!$K4885="",TRUE(),COUNTIF(원본명단!$K$3:$K4885,원본명단!$K4885)=1)),"첫 건","중복 건")))</f>
        <v/>
      </c>
      <c r="J4886" s="11" t="str">
        <f aca="false">IF($A4886="","",IF($H4886="-","유지",IF($I4886="첫 건","유지","확인 필요")))</f>
        <v/>
      </c>
    </row>
    <row r="4887" customFormat="false" ht="15" hidden="false" customHeight="true" outlineLevel="0" collapsed="false">
      <c r="A4887" s="11" t="str">
        <f aca="false">IF(원본명단!$A4886="","",4884)</f>
        <v/>
      </c>
      <c r="B4887" s="12" t="str">
        <f aca="false">IF($A4887="","",원본명단!$A4886)</f>
        <v/>
      </c>
      <c r="C4887" s="12" t="str">
        <f aca="false">IF($A4887="","",원본명단!$B4886)</f>
        <v/>
      </c>
      <c r="D4887" s="12" t="str">
        <f aca="false">IF($A4887="","",원본명단!$D4886)</f>
        <v/>
      </c>
      <c r="E4887" s="11" t="str">
        <f aca="false">IF($A4887="","",IF(원본명단!$H4886="",0,COUNTIF(원본명단!$H$3:$H$6002,원본명단!$H4886)))</f>
        <v/>
      </c>
      <c r="F4887" s="11" t="str">
        <f aca="false">IF($A4887="","",IF(원본명단!$I4886="",0,COUNTIF(원본명단!$I$3:$I$6002,원본명단!$I4886)))</f>
        <v/>
      </c>
      <c r="G4887" s="11" t="str">
        <f aca="false">IF($A4887="","",IF(원본명단!$K4886="",0,COUNTIF(원본명단!$K$3:$K$6002,원본명단!$K4886)))</f>
        <v/>
      </c>
      <c r="H4887" s="11" t="str">
        <f aca="false">IF($A4887="","",IF(MAX($E4887,$F4887,$G4887)&gt;1,"중복","-"))</f>
        <v/>
      </c>
      <c r="I4887" s="11" t="str">
        <f aca="false">IF($A4887="","",IF($H4887="-","-",IF(AND(IF(원본명단!$H4886="",TRUE(),COUNTIF(원본명단!$H$3:$H4886,원본명단!$H4886)=1),IF(원본명단!$I4886="",TRUE(),COUNTIF(원본명단!$I$3:$I4886,원본명단!$I4886)=1),IF(원본명단!$K4886="",TRUE(),COUNTIF(원본명단!$K$3:$K4886,원본명단!$K4886)=1)),"첫 건","중복 건")))</f>
        <v/>
      </c>
      <c r="J4887" s="11" t="str">
        <f aca="false">IF($A4887="","",IF($H4887="-","유지",IF($I4887="첫 건","유지","확인 필요")))</f>
        <v/>
      </c>
    </row>
    <row r="4888" customFormat="false" ht="15" hidden="false" customHeight="true" outlineLevel="0" collapsed="false">
      <c r="A4888" s="11" t="str">
        <f aca="false">IF(원본명단!$A4887="","",4885)</f>
        <v/>
      </c>
      <c r="B4888" s="12" t="str">
        <f aca="false">IF($A4888="","",원본명단!$A4887)</f>
        <v/>
      </c>
      <c r="C4888" s="12" t="str">
        <f aca="false">IF($A4888="","",원본명단!$B4887)</f>
        <v/>
      </c>
      <c r="D4888" s="12" t="str">
        <f aca="false">IF($A4888="","",원본명단!$D4887)</f>
        <v/>
      </c>
      <c r="E4888" s="11" t="str">
        <f aca="false">IF($A4888="","",IF(원본명단!$H4887="",0,COUNTIF(원본명단!$H$3:$H$6002,원본명단!$H4887)))</f>
        <v/>
      </c>
      <c r="F4888" s="11" t="str">
        <f aca="false">IF($A4888="","",IF(원본명단!$I4887="",0,COUNTIF(원본명단!$I$3:$I$6002,원본명단!$I4887)))</f>
        <v/>
      </c>
      <c r="G4888" s="11" t="str">
        <f aca="false">IF($A4888="","",IF(원본명단!$K4887="",0,COUNTIF(원본명단!$K$3:$K$6002,원본명단!$K4887)))</f>
        <v/>
      </c>
      <c r="H4888" s="11" t="str">
        <f aca="false">IF($A4888="","",IF(MAX($E4888,$F4888,$G4888)&gt;1,"중복","-"))</f>
        <v/>
      </c>
      <c r="I4888" s="11" t="str">
        <f aca="false">IF($A4888="","",IF($H4888="-","-",IF(AND(IF(원본명단!$H4887="",TRUE(),COUNTIF(원본명단!$H$3:$H4887,원본명단!$H4887)=1),IF(원본명단!$I4887="",TRUE(),COUNTIF(원본명단!$I$3:$I4887,원본명단!$I4887)=1),IF(원본명단!$K4887="",TRUE(),COUNTIF(원본명단!$K$3:$K4887,원본명단!$K4887)=1)),"첫 건","중복 건")))</f>
        <v/>
      </c>
      <c r="J4888" s="11" t="str">
        <f aca="false">IF($A4888="","",IF($H4888="-","유지",IF($I4888="첫 건","유지","확인 필요")))</f>
        <v/>
      </c>
    </row>
    <row r="4889" customFormat="false" ht="15" hidden="false" customHeight="true" outlineLevel="0" collapsed="false">
      <c r="A4889" s="11" t="str">
        <f aca="false">IF(원본명단!$A4888="","",4886)</f>
        <v/>
      </c>
      <c r="B4889" s="12" t="str">
        <f aca="false">IF($A4889="","",원본명단!$A4888)</f>
        <v/>
      </c>
      <c r="C4889" s="12" t="str">
        <f aca="false">IF($A4889="","",원본명단!$B4888)</f>
        <v/>
      </c>
      <c r="D4889" s="12" t="str">
        <f aca="false">IF($A4889="","",원본명단!$D4888)</f>
        <v/>
      </c>
      <c r="E4889" s="11" t="str">
        <f aca="false">IF($A4889="","",IF(원본명단!$H4888="",0,COUNTIF(원본명단!$H$3:$H$6002,원본명단!$H4888)))</f>
        <v/>
      </c>
      <c r="F4889" s="11" t="str">
        <f aca="false">IF($A4889="","",IF(원본명단!$I4888="",0,COUNTIF(원본명단!$I$3:$I$6002,원본명단!$I4888)))</f>
        <v/>
      </c>
      <c r="G4889" s="11" t="str">
        <f aca="false">IF($A4889="","",IF(원본명단!$K4888="",0,COUNTIF(원본명단!$K$3:$K$6002,원본명단!$K4888)))</f>
        <v/>
      </c>
      <c r="H4889" s="11" t="str">
        <f aca="false">IF($A4889="","",IF(MAX($E4889,$F4889,$G4889)&gt;1,"중복","-"))</f>
        <v/>
      </c>
      <c r="I4889" s="11" t="str">
        <f aca="false">IF($A4889="","",IF($H4889="-","-",IF(AND(IF(원본명단!$H4888="",TRUE(),COUNTIF(원본명단!$H$3:$H4888,원본명단!$H4888)=1),IF(원본명단!$I4888="",TRUE(),COUNTIF(원본명단!$I$3:$I4888,원본명단!$I4888)=1),IF(원본명단!$K4888="",TRUE(),COUNTIF(원본명단!$K$3:$K4888,원본명단!$K4888)=1)),"첫 건","중복 건")))</f>
        <v/>
      </c>
      <c r="J4889" s="11" t="str">
        <f aca="false">IF($A4889="","",IF($H4889="-","유지",IF($I4889="첫 건","유지","확인 필요")))</f>
        <v/>
      </c>
    </row>
    <row r="4890" customFormat="false" ht="15" hidden="false" customHeight="true" outlineLevel="0" collapsed="false">
      <c r="A4890" s="11" t="str">
        <f aca="false">IF(원본명단!$A4889="","",4887)</f>
        <v/>
      </c>
      <c r="B4890" s="12" t="str">
        <f aca="false">IF($A4890="","",원본명단!$A4889)</f>
        <v/>
      </c>
      <c r="C4890" s="12" t="str">
        <f aca="false">IF($A4890="","",원본명단!$B4889)</f>
        <v/>
      </c>
      <c r="D4890" s="12" t="str">
        <f aca="false">IF($A4890="","",원본명단!$D4889)</f>
        <v/>
      </c>
      <c r="E4890" s="11" t="str">
        <f aca="false">IF($A4890="","",IF(원본명단!$H4889="",0,COUNTIF(원본명단!$H$3:$H$6002,원본명단!$H4889)))</f>
        <v/>
      </c>
      <c r="F4890" s="11" t="str">
        <f aca="false">IF($A4890="","",IF(원본명단!$I4889="",0,COUNTIF(원본명단!$I$3:$I$6002,원본명단!$I4889)))</f>
        <v/>
      </c>
      <c r="G4890" s="11" t="str">
        <f aca="false">IF($A4890="","",IF(원본명단!$K4889="",0,COUNTIF(원본명단!$K$3:$K$6002,원본명단!$K4889)))</f>
        <v/>
      </c>
      <c r="H4890" s="11" t="str">
        <f aca="false">IF($A4890="","",IF(MAX($E4890,$F4890,$G4890)&gt;1,"중복","-"))</f>
        <v/>
      </c>
      <c r="I4890" s="11" t="str">
        <f aca="false">IF($A4890="","",IF($H4890="-","-",IF(AND(IF(원본명단!$H4889="",TRUE(),COUNTIF(원본명단!$H$3:$H4889,원본명단!$H4889)=1),IF(원본명단!$I4889="",TRUE(),COUNTIF(원본명단!$I$3:$I4889,원본명단!$I4889)=1),IF(원본명단!$K4889="",TRUE(),COUNTIF(원본명단!$K$3:$K4889,원본명단!$K4889)=1)),"첫 건","중복 건")))</f>
        <v/>
      </c>
      <c r="J4890" s="11" t="str">
        <f aca="false">IF($A4890="","",IF($H4890="-","유지",IF($I4890="첫 건","유지","확인 필요")))</f>
        <v/>
      </c>
    </row>
    <row r="4891" customFormat="false" ht="15" hidden="false" customHeight="true" outlineLevel="0" collapsed="false">
      <c r="A4891" s="11" t="str">
        <f aca="false">IF(원본명단!$A4890="","",4888)</f>
        <v/>
      </c>
      <c r="B4891" s="12" t="str">
        <f aca="false">IF($A4891="","",원본명단!$A4890)</f>
        <v/>
      </c>
      <c r="C4891" s="12" t="str">
        <f aca="false">IF($A4891="","",원본명단!$B4890)</f>
        <v/>
      </c>
      <c r="D4891" s="12" t="str">
        <f aca="false">IF($A4891="","",원본명단!$D4890)</f>
        <v/>
      </c>
      <c r="E4891" s="11" t="str">
        <f aca="false">IF($A4891="","",IF(원본명단!$H4890="",0,COUNTIF(원본명단!$H$3:$H$6002,원본명단!$H4890)))</f>
        <v/>
      </c>
      <c r="F4891" s="11" t="str">
        <f aca="false">IF($A4891="","",IF(원본명단!$I4890="",0,COUNTIF(원본명단!$I$3:$I$6002,원본명단!$I4890)))</f>
        <v/>
      </c>
      <c r="G4891" s="11" t="str">
        <f aca="false">IF($A4891="","",IF(원본명단!$K4890="",0,COUNTIF(원본명단!$K$3:$K$6002,원본명단!$K4890)))</f>
        <v/>
      </c>
      <c r="H4891" s="11" t="str">
        <f aca="false">IF($A4891="","",IF(MAX($E4891,$F4891,$G4891)&gt;1,"중복","-"))</f>
        <v/>
      </c>
      <c r="I4891" s="11" t="str">
        <f aca="false">IF($A4891="","",IF($H4891="-","-",IF(AND(IF(원본명단!$H4890="",TRUE(),COUNTIF(원본명단!$H$3:$H4890,원본명단!$H4890)=1),IF(원본명단!$I4890="",TRUE(),COUNTIF(원본명단!$I$3:$I4890,원본명단!$I4890)=1),IF(원본명단!$K4890="",TRUE(),COUNTIF(원본명단!$K$3:$K4890,원본명단!$K4890)=1)),"첫 건","중복 건")))</f>
        <v/>
      </c>
      <c r="J4891" s="11" t="str">
        <f aca="false">IF($A4891="","",IF($H4891="-","유지",IF($I4891="첫 건","유지","확인 필요")))</f>
        <v/>
      </c>
    </row>
    <row r="4892" customFormat="false" ht="15" hidden="false" customHeight="true" outlineLevel="0" collapsed="false">
      <c r="A4892" s="11" t="str">
        <f aca="false">IF(원본명단!$A4891="","",4889)</f>
        <v/>
      </c>
      <c r="B4892" s="12" t="str">
        <f aca="false">IF($A4892="","",원본명단!$A4891)</f>
        <v/>
      </c>
      <c r="C4892" s="12" t="str">
        <f aca="false">IF($A4892="","",원본명단!$B4891)</f>
        <v/>
      </c>
      <c r="D4892" s="12" t="str">
        <f aca="false">IF($A4892="","",원본명단!$D4891)</f>
        <v/>
      </c>
      <c r="E4892" s="11" t="str">
        <f aca="false">IF($A4892="","",IF(원본명단!$H4891="",0,COUNTIF(원본명단!$H$3:$H$6002,원본명단!$H4891)))</f>
        <v/>
      </c>
      <c r="F4892" s="11" t="str">
        <f aca="false">IF($A4892="","",IF(원본명단!$I4891="",0,COUNTIF(원본명단!$I$3:$I$6002,원본명단!$I4891)))</f>
        <v/>
      </c>
      <c r="G4892" s="11" t="str">
        <f aca="false">IF($A4892="","",IF(원본명단!$K4891="",0,COUNTIF(원본명단!$K$3:$K$6002,원본명단!$K4891)))</f>
        <v/>
      </c>
      <c r="H4892" s="11" t="str">
        <f aca="false">IF($A4892="","",IF(MAX($E4892,$F4892,$G4892)&gt;1,"중복","-"))</f>
        <v/>
      </c>
      <c r="I4892" s="11" t="str">
        <f aca="false">IF($A4892="","",IF($H4892="-","-",IF(AND(IF(원본명단!$H4891="",TRUE(),COUNTIF(원본명단!$H$3:$H4891,원본명단!$H4891)=1),IF(원본명단!$I4891="",TRUE(),COUNTIF(원본명단!$I$3:$I4891,원본명단!$I4891)=1),IF(원본명단!$K4891="",TRUE(),COUNTIF(원본명단!$K$3:$K4891,원본명단!$K4891)=1)),"첫 건","중복 건")))</f>
        <v/>
      </c>
      <c r="J4892" s="11" t="str">
        <f aca="false">IF($A4892="","",IF($H4892="-","유지",IF($I4892="첫 건","유지","확인 필요")))</f>
        <v/>
      </c>
    </row>
    <row r="4893" customFormat="false" ht="15" hidden="false" customHeight="true" outlineLevel="0" collapsed="false">
      <c r="A4893" s="11" t="str">
        <f aca="false">IF(원본명단!$A4892="","",4890)</f>
        <v/>
      </c>
      <c r="B4893" s="12" t="str">
        <f aca="false">IF($A4893="","",원본명단!$A4892)</f>
        <v/>
      </c>
      <c r="C4893" s="12" t="str">
        <f aca="false">IF($A4893="","",원본명단!$B4892)</f>
        <v/>
      </c>
      <c r="D4893" s="12" t="str">
        <f aca="false">IF($A4893="","",원본명단!$D4892)</f>
        <v/>
      </c>
      <c r="E4893" s="11" t="str">
        <f aca="false">IF($A4893="","",IF(원본명단!$H4892="",0,COUNTIF(원본명단!$H$3:$H$6002,원본명단!$H4892)))</f>
        <v/>
      </c>
      <c r="F4893" s="11" t="str">
        <f aca="false">IF($A4893="","",IF(원본명단!$I4892="",0,COUNTIF(원본명단!$I$3:$I$6002,원본명단!$I4892)))</f>
        <v/>
      </c>
      <c r="G4893" s="11" t="str">
        <f aca="false">IF($A4893="","",IF(원본명단!$K4892="",0,COUNTIF(원본명단!$K$3:$K$6002,원본명단!$K4892)))</f>
        <v/>
      </c>
      <c r="H4893" s="11" t="str">
        <f aca="false">IF($A4893="","",IF(MAX($E4893,$F4893,$G4893)&gt;1,"중복","-"))</f>
        <v/>
      </c>
      <c r="I4893" s="11" t="str">
        <f aca="false">IF($A4893="","",IF($H4893="-","-",IF(AND(IF(원본명단!$H4892="",TRUE(),COUNTIF(원본명단!$H$3:$H4892,원본명단!$H4892)=1),IF(원본명단!$I4892="",TRUE(),COUNTIF(원본명단!$I$3:$I4892,원본명단!$I4892)=1),IF(원본명단!$K4892="",TRUE(),COUNTIF(원본명단!$K$3:$K4892,원본명단!$K4892)=1)),"첫 건","중복 건")))</f>
        <v/>
      </c>
      <c r="J4893" s="11" t="str">
        <f aca="false">IF($A4893="","",IF($H4893="-","유지",IF($I4893="첫 건","유지","확인 필요")))</f>
        <v/>
      </c>
    </row>
    <row r="4894" customFormat="false" ht="15" hidden="false" customHeight="true" outlineLevel="0" collapsed="false">
      <c r="A4894" s="11" t="str">
        <f aca="false">IF(원본명단!$A4893="","",4891)</f>
        <v/>
      </c>
      <c r="B4894" s="12" t="str">
        <f aca="false">IF($A4894="","",원본명단!$A4893)</f>
        <v/>
      </c>
      <c r="C4894" s="12" t="str">
        <f aca="false">IF($A4894="","",원본명단!$B4893)</f>
        <v/>
      </c>
      <c r="D4894" s="12" t="str">
        <f aca="false">IF($A4894="","",원본명단!$D4893)</f>
        <v/>
      </c>
      <c r="E4894" s="11" t="str">
        <f aca="false">IF($A4894="","",IF(원본명단!$H4893="",0,COUNTIF(원본명단!$H$3:$H$6002,원본명단!$H4893)))</f>
        <v/>
      </c>
      <c r="F4894" s="11" t="str">
        <f aca="false">IF($A4894="","",IF(원본명단!$I4893="",0,COUNTIF(원본명단!$I$3:$I$6002,원본명단!$I4893)))</f>
        <v/>
      </c>
      <c r="G4894" s="11" t="str">
        <f aca="false">IF($A4894="","",IF(원본명단!$K4893="",0,COUNTIF(원본명단!$K$3:$K$6002,원본명단!$K4893)))</f>
        <v/>
      </c>
      <c r="H4894" s="11" t="str">
        <f aca="false">IF($A4894="","",IF(MAX($E4894,$F4894,$G4894)&gt;1,"중복","-"))</f>
        <v/>
      </c>
      <c r="I4894" s="11" t="str">
        <f aca="false">IF($A4894="","",IF($H4894="-","-",IF(AND(IF(원본명단!$H4893="",TRUE(),COUNTIF(원본명단!$H$3:$H4893,원본명단!$H4893)=1),IF(원본명단!$I4893="",TRUE(),COUNTIF(원본명단!$I$3:$I4893,원본명단!$I4893)=1),IF(원본명단!$K4893="",TRUE(),COUNTIF(원본명단!$K$3:$K4893,원본명단!$K4893)=1)),"첫 건","중복 건")))</f>
        <v/>
      </c>
      <c r="J4894" s="11" t="str">
        <f aca="false">IF($A4894="","",IF($H4894="-","유지",IF($I4894="첫 건","유지","확인 필요")))</f>
        <v/>
      </c>
    </row>
    <row r="4895" customFormat="false" ht="15" hidden="false" customHeight="true" outlineLevel="0" collapsed="false">
      <c r="A4895" s="11" t="str">
        <f aca="false">IF(원본명단!$A4894="","",4892)</f>
        <v/>
      </c>
      <c r="B4895" s="12" t="str">
        <f aca="false">IF($A4895="","",원본명단!$A4894)</f>
        <v/>
      </c>
      <c r="C4895" s="12" t="str">
        <f aca="false">IF($A4895="","",원본명단!$B4894)</f>
        <v/>
      </c>
      <c r="D4895" s="12" t="str">
        <f aca="false">IF($A4895="","",원본명단!$D4894)</f>
        <v/>
      </c>
      <c r="E4895" s="11" t="str">
        <f aca="false">IF($A4895="","",IF(원본명단!$H4894="",0,COUNTIF(원본명단!$H$3:$H$6002,원본명단!$H4894)))</f>
        <v/>
      </c>
      <c r="F4895" s="11" t="str">
        <f aca="false">IF($A4895="","",IF(원본명단!$I4894="",0,COUNTIF(원본명단!$I$3:$I$6002,원본명단!$I4894)))</f>
        <v/>
      </c>
      <c r="G4895" s="11" t="str">
        <f aca="false">IF($A4895="","",IF(원본명단!$K4894="",0,COUNTIF(원본명단!$K$3:$K$6002,원본명단!$K4894)))</f>
        <v/>
      </c>
      <c r="H4895" s="11" t="str">
        <f aca="false">IF($A4895="","",IF(MAX($E4895,$F4895,$G4895)&gt;1,"중복","-"))</f>
        <v/>
      </c>
      <c r="I4895" s="11" t="str">
        <f aca="false">IF($A4895="","",IF($H4895="-","-",IF(AND(IF(원본명단!$H4894="",TRUE(),COUNTIF(원본명단!$H$3:$H4894,원본명단!$H4894)=1),IF(원본명단!$I4894="",TRUE(),COUNTIF(원본명단!$I$3:$I4894,원본명단!$I4894)=1),IF(원본명단!$K4894="",TRUE(),COUNTIF(원본명단!$K$3:$K4894,원본명단!$K4894)=1)),"첫 건","중복 건")))</f>
        <v/>
      </c>
      <c r="J4895" s="11" t="str">
        <f aca="false">IF($A4895="","",IF($H4895="-","유지",IF($I4895="첫 건","유지","확인 필요")))</f>
        <v/>
      </c>
    </row>
    <row r="4896" customFormat="false" ht="15" hidden="false" customHeight="true" outlineLevel="0" collapsed="false">
      <c r="A4896" s="11" t="str">
        <f aca="false">IF(원본명단!$A4895="","",4893)</f>
        <v/>
      </c>
      <c r="B4896" s="12" t="str">
        <f aca="false">IF($A4896="","",원본명단!$A4895)</f>
        <v/>
      </c>
      <c r="C4896" s="12" t="str">
        <f aca="false">IF($A4896="","",원본명단!$B4895)</f>
        <v/>
      </c>
      <c r="D4896" s="12" t="str">
        <f aca="false">IF($A4896="","",원본명단!$D4895)</f>
        <v/>
      </c>
      <c r="E4896" s="11" t="str">
        <f aca="false">IF($A4896="","",IF(원본명단!$H4895="",0,COUNTIF(원본명단!$H$3:$H$6002,원본명단!$H4895)))</f>
        <v/>
      </c>
      <c r="F4896" s="11" t="str">
        <f aca="false">IF($A4896="","",IF(원본명단!$I4895="",0,COUNTIF(원본명단!$I$3:$I$6002,원본명단!$I4895)))</f>
        <v/>
      </c>
      <c r="G4896" s="11" t="str">
        <f aca="false">IF($A4896="","",IF(원본명단!$K4895="",0,COUNTIF(원본명단!$K$3:$K$6002,원본명단!$K4895)))</f>
        <v/>
      </c>
      <c r="H4896" s="11" t="str">
        <f aca="false">IF($A4896="","",IF(MAX($E4896,$F4896,$G4896)&gt;1,"중복","-"))</f>
        <v/>
      </c>
      <c r="I4896" s="11" t="str">
        <f aca="false">IF($A4896="","",IF($H4896="-","-",IF(AND(IF(원본명단!$H4895="",TRUE(),COUNTIF(원본명단!$H$3:$H4895,원본명단!$H4895)=1),IF(원본명단!$I4895="",TRUE(),COUNTIF(원본명단!$I$3:$I4895,원본명단!$I4895)=1),IF(원본명단!$K4895="",TRUE(),COUNTIF(원본명단!$K$3:$K4895,원본명단!$K4895)=1)),"첫 건","중복 건")))</f>
        <v/>
      </c>
      <c r="J4896" s="11" t="str">
        <f aca="false">IF($A4896="","",IF($H4896="-","유지",IF($I4896="첫 건","유지","확인 필요")))</f>
        <v/>
      </c>
    </row>
    <row r="4897" customFormat="false" ht="15" hidden="false" customHeight="true" outlineLevel="0" collapsed="false">
      <c r="A4897" s="11" t="str">
        <f aca="false">IF(원본명단!$A4896="","",4894)</f>
        <v/>
      </c>
      <c r="B4897" s="12" t="str">
        <f aca="false">IF($A4897="","",원본명단!$A4896)</f>
        <v/>
      </c>
      <c r="C4897" s="12" t="str">
        <f aca="false">IF($A4897="","",원본명단!$B4896)</f>
        <v/>
      </c>
      <c r="D4897" s="12" t="str">
        <f aca="false">IF($A4897="","",원본명단!$D4896)</f>
        <v/>
      </c>
      <c r="E4897" s="11" t="str">
        <f aca="false">IF($A4897="","",IF(원본명단!$H4896="",0,COUNTIF(원본명단!$H$3:$H$6002,원본명단!$H4896)))</f>
        <v/>
      </c>
      <c r="F4897" s="11" t="str">
        <f aca="false">IF($A4897="","",IF(원본명단!$I4896="",0,COUNTIF(원본명단!$I$3:$I$6002,원본명단!$I4896)))</f>
        <v/>
      </c>
      <c r="G4897" s="11" t="str">
        <f aca="false">IF($A4897="","",IF(원본명단!$K4896="",0,COUNTIF(원본명단!$K$3:$K$6002,원본명단!$K4896)))</f>
        <v/>
      </c>
      <c r="H4897" s="11" t="str">
        <f aca="false">IF($A4897="","",IF(MAX($E4897,$F4897,$G4897)&gt;1,"중복","-"))</f>
        <v/>
      </c>
      <c r="I4897" s="11" t="str">
        <f aca="false">IF($A4897="","",IF($H4897="-","-",IF(AND(IF(원본명단!$H4896="",TRUE(),COUNTIF(원본명단!$H$3:$H4896,원본명단!$H4896)=1),IF(원본명단!$I4896="",TRUE(),COUNTIF(원본명단!$I$3:$I4896,원본명단!$I4896)=1),IF(원본명단!$K4896="",TRUE(),COUNTIF(원본명단!$K$3:$K4896,원본명단!$K4896)=1)),"첫 건","중복 건")))</f>
        <v/>
      </c>
      <c r="J4897" s="11" t="str">
        <f aca="false">IF($A4897="","",IF($H4897="-","유지",IF($I4897="첫 건","유지","확인 필요")))</f>
        <v/>
      </c>
    </row>
    <row r="4898" customFormat="false" ht="15" hidden="false" customHeight="true" outlineLevel="0" collapsed="false">
      <c r="A4898" s="11" t="str">
        <f aca="false">IF(원본명단!$A4897="","",4895)</f>
        <v/>
      </c>
      <c r="B4898" s="12" t="str">
        <f aca="false">IF($A4898="","",원본명단!$A4897)</f>
        <v/>
      </c>
      <c r="C4898" s="12" t="str">
        <f aca="false">IF($A4898="","",원본명단!$B4897)</f>
        <v/>
      </c>
      <c r="D4898" s="12" t="str">
        <f aca="false">IF($A4898="","",원본명단!$D4897)</f>
        <v/>
      </c>
      <c r="E4898" s="11" t="str">
        <f aca="false">IF($A4898="","",IF(원본명단!$H4897="",0,COUNTIF(원본명단!$H$3:$H$6002,원본명단!$H4897)))</f>
        <v/>
      </c>
      <c r="F4898" s="11" t="str">
        <f aca="false">IF($A4898="","",IF(원본명단!$I4897="",0,COUNTIF(원본명단!$I$3:$I$6002,원본명단!$I4897)))</f>
        <v/>
      </c>
      <c r="G4898" s="11" t="str">
        <f aca="false">IF($A4898="","",IF(원본명단!$K4897="",0,COUNTIF(원본명단!$K$3:$K$6002,원본명단!$K4897)))</f>
        <v/>
      </c>
      <c r="H4898" s="11" t="str">
        <f aca="false">IF($A4898="","",IF(MAX($E4898,$F4898,$G4898)&gt;1,"중복","-"))</f>
        <v/>
      </c>
      <c r="I4898" s="11" t="str">
        <f aca="false">IF($A4898="","",IF($H4898="-","-",IF(AND(IF(원본명단!$H4897="",TRUE(),COUNTIF(원본명단!$H$3:$H4897,원본명단!$H4897)=1),IF(원본명단!$I4897="",TRUE(),COUNTIF(원본명단!$I$3:$I4897,원본명단!$I4897)=1),IF(원본명단!$K4897="",TRUE(),COUNTIF(원본명단!$K$3:$K4897,원본명단!$K4897)=1)),"첫 건","중복 건")))</f>
        <v/>
      </c>
      <c r="J4898" s="11" t="str">
        <f aca="false">IF($A4898="","",IF($H4898="-","유지",IF($I4898="첫 건","유지","확인 필요")))</f>
        <v/>
      </c>
    </row>
    <row r="4899" customFormat="false" ht="15" hidden="false" customHeight="true" outlineLevel="0" collapsed="false">
      <c r="A4899" s="11" t="str">
        <f aca="false">IF(원본명단!$A4898="","",4896)</f>
        <v/>
      </c>
      <c r="B4899" s="12" t="str">
        <f aca="false">IF($A4899="","",원본명단!$A4898)</f>
        <v/>
      </c>
      <c r="C4899" s="12" t="str">
        <f aca="false">IF($A4899="","",원본명단!$B4898)</f>
        <v/>
      </c>
      <c r="D4899" s="12" t="str">
        <f aca="false">IF($A4899="","",원본명단!$D4898)</f>
        <v/>
      </c>
      <c r="E4899" s="11" t="str">
        <f aca="false">IF($A4899="","",IF(원본명단!$H4898="",0,COUNTIF(원본명단!$H$3:$H$6002,원본명단!$H4898)))</f>
        <v/>
      </c>
      <c r="F4899" s="11" t="str">
        <f aca="false">IF($A4899="","",IF(원본명단!$I4898="",0,COUNTIF(원본명단!$I$3:$I$6002,원본명단!$I4898)))</f>
        <v/>
      </c>
      <c r="G4899" s="11" t="str">
        <f aca="false">IF($A4899="","",IF(원본명단!$K4898="",0,COUNTIF(원본명단!$K$3:$K$6002,원본명단!$K4898)))</f>
        <v/>
      </c>
      <c r="H4899" s="11" t="str">
        <f aca="false">IF($A4899="","",IF(MAX($E4899,$F4899,$G4899)&gt;1,"중복","-"))</f>
        <v/>
      </c>
      <c r="I4899" s="11" t="str">
        <f aca="false">IF($A4899="","",IF($H4899="-","-",IF(AND(IF(원본명단!$H4898="",TRUE(),COUNTIF(원본명단!$H$3:$H4898,원본명단!$H4898)=1),IF(원본명단!$I4898="",TRUE(),COUNTIF(원본명단!$I$3:$I4898,원본명단!$I4898)=1),IF(원본명단!$K4898="",TRUE(),COUNTIF(원본명단!$K$3:$K4898,원본명단!$K4898)=1)),"첫 건","중복 건")))</f>
        <v/>
      </c>
      <c r="J4899" s="11" t="str">
        <f aca="false">IF($A4899="","",IF($H4899="-","유지",IF($I4899="첫 건","유지","확인 필요")))</f>
        <v/>
      </c>
    </row>
    <row r="4900" customFormat="false" ht="15" hidden="false" customHeight="true" outlineLevel="0" collapsed="false">
      <c r="A4900" s="11" t="str">
        <f aca="false">IF(원본명단!$A4899="","",4897)</f>
        <v/>
      </c>
      <c r="B4900" s="12" t="str">
        <f aca="false">IF($A4900="","",원본명단!$A4899)</f>
        <v/>
      </c>
      <c r="C4900" s="12" t="str">
        <f aca="false">IF($A4900="","",원본명단!$B4899)</f>
        <v/>
      </c>
      <c r="D4900" s="12" t="str">
        <f aca="false">IF($A4900="","",원본명단!$D4899)</f>
        <v/>
      </c>
      <c r="E4900" s="11" t="str">
        <f aca="false">IF($A4900="","",IF(원본명단!$H4899="",0,COUNTIF(원본명단!$H$3:$H$6002,원본명단!$H4899)))</f>
        <v/>
      </c>
      <c r="F4900" s="11" t="str">
        <f aca="false">IF($A4900="","",IF(원본명단!$I4899="",0,COUNTIF(원본명단!$I$3:$I$6002,원본명단!$I4899)))</f>
        <v/>
      </c>
      <c r="G4900" s="11" t="str">
        <f aca="false">IF($A4900="","",IF(원본명단!$K4899="",0,COUNTIF(원본명단!$K$3:$K$6002,원본명단!$K4899)))</f>
        <v/>
      </c>
      <c r="H4900" s="11" t="str">
        <f aca="false">IF($A4900="","",IF(MAX($E4900,$F4900,$G4900)&gt;1,"중복","-"))</f>
        <v/>
      </c>
      <c r="I4900" s="11" t="str">
        <f aca="false">IF($A4900="","",IF($H4900="-","-",IF(AND(IF(원본명단!$H4899="",TRUE(),COUNTIF(원본명단!$H$3:$H4899,원본명단!$H4899)=1),IF(원본명단!$I4899="",TRUE(),COUNTIF(원본명단!$I$3:$I4899,원본명단!$I4899)=1),IF(원본명단!$K4899="",TRUE(),COUNTIF(원본명단!$K$3:$K4899,원본명단!$K4899)=1)),"첫 건","중복 건")))</f>
        <v/>
      </c>
      <c r="J4900" s="11" t="str">
        <f aca="false">IF($A4900="","",IF($H4900="-","유지",IF($I4900="첫 건","유지","확인 필요")))</f>
        <v/>
      </c>
    </row>
    <row r="4901" customFormat="false" ht="15" hidden="false" customHeight="true" outlineLevel="0" collapsed="false">
      <c r="A4901" s="11" t="str">
        <f aca="false">IF(원본명단!$A4900="","",4898)</f>
        <v/>
      </c>
      <c r="B4901" s="12" t="str">
        <f aca="false">IF($A4901="","",원본명단!$A4900)</f>
        <v/>
      </c>
      <c r="C4901" s="12" t="str">
        <f aca="false">IF($A4901="","",원본명단!$B4900)</f>
        <v/>
      </c>
      <c r="D4901" s="12" t="str">
        <f aca="false">IF($A4901="","",원본명단!$D4900)</f>
        <v/>
      </c>
      <c r="E4901" s="11" t="str">
        <f aca="false">IF($A4901="","",IF(원본명단!$H4900="",0,COUNTIF(원본명단!$H$3:$H$6002,원본명단!$H4900)))</f>
        <v/>
      </c>
      <c r="F4901" s="11" t="str">
        <f aca="false">IF($A4901="","",IF(원본명단!$I4900="",0,COUNTIF(원본명단!$I$3:$I$6002,원본명단!$I4900)))</f>
        <v/>
      </c>
      <c r="G4901" s="11" t="str">
        <f aca="false">IF($A4901="","",IF(원본명단!$K4900="",0,COUNTIF(원본명단!$K$3:$K$6002,원본명단!$K4900)))</f>
        <v/>
      </c>
      <c r="H4901" s="11" t="str">
        <f aca="false">IF($A4901="","",IF(MAX($E4901,$F4901,$G4901)&gt;1,"중복","-"))</f>
        <v/>
      </c>
      <c r="I4901" s="11" t="str">
        <f aca="false">IF($A4901="","",IF($H4901="-","-",IF(AND(IF(원본명단!$H4900="",TRUE(),COUNTIF(원본명단!$H$3:$H4900,원본명단!$H4900)=1),IF(원본명단!$I4900="",TRUE(),COUNTIF(원본명단!$I$3:$I4900,원본명단!$I4900)=1),IF(원본명단!$K4900="",TRUE(),COUNTIF(원본명단!$K$3:$K4900,원본명단!$K4900)=1)),"첫 건","중복 건")))</f>
        <v/>
      </c>
      <c r="J4901" s="11" t="str">
        <f aca="false">IF($A4901="","",IF($H4901="-","유지",IF($I4901="첫 건","유지","확인 필요")))</f>
        <v/>
      </c>
    </row>
    <row r="4902" customFormat="false" ht="15" hidden="false" customHeight="true" outlineLevel="0" collapsed="false">
      <c r="A4902" s="11" t="str">
        <f aca="false">IF(원본명단!$A4901="","",4899)</f>
        <v/>
      </c>
      <c r="B4902" s="12" t="str">
        <f aca="false">IF($A4902="","",원본명단!$A4901)</f>
        <v/>
      </c>
      <c r="C4902" s="12" t="str">
        <f aca="false">IF($A4902="","",원본명단!$B4901)</f>
        <v/>
      </c>
      <c r="D4902" s="12" t="str">
        <f aca="false">IF($A4902="","",원본명단!$D4901)</f>
        <v/>
      </c>
      <c r="E4902" s="11" t="str">
        <f aca="false">IF($A4902="","",IF(원본명단!$H4901="",0,COUNTIF(원본명단!$H$3:$H$6002,원본명단!$H4901)))</f>
        <v/>
      </c>
      <c r="F4902" s="11" t="str">
        <f aca="false">IF($A4902="","",IF(원본명단!$I4901="",0,COUNTIF(원본명단!$I$3:$I$6002,원본명단!$I4901)))</f>
        <v/>
      </c>
      <c r="G4902" s="11" t="str">
        <f aca="false">IF($A4902="","",IF(원본명단!$K4901="",0,COUNTIF(원본명단!$K$3:$K$6002,원본명단!$K4901)))</f>
        <v/>
      </c>
      <c r="H4902" s="11" t="str">
        <f aca="false">IF($A4902="","",IF(MAX($E4902,$F4902,$G4902)&gt;1,"중복","-"))</f>
        <v/>
      </c>
      <c r="I4902" s="11" t="str">
        <f aca="false">IF($A4902="","",IF($H4902="-","-",IF(AND(IF(원본명단!$H4901="",TRUE(),COUNTIF(원본명단!$H$3:$H4901,원본명단!$H4901)=1),IF(원본명단!$I4901="",TRUE(),COUNTIF(원본명단!$I$3:$I4901,원본명단!$I4901)=1),IF(원본명단!$K4901="",TRUE(),COUNTIF(원본명단!$K$3:$K4901,원본명단!$K4901)=1)),"첫 건","중복 건")))</f>
        <v/>
      </c>
      <c r="J4902" s="11" t="str">
        <f aca="false">IF($A4902="","",IF($H4902="-","유지",IF($I4902="첫 건","유지","확인 필요")))</f>
        <v/>
      </c>
    </row>
    <row r="4903" customFormat="false" ht="15" hidden="false" customHeight="true" outlineLevel="0" collapsed="false">
      <c r="A4903" s="11" t="str">
        <f aca="false">IF(원본명단!$A4902="","",4900)</f>
        <v/>
      </c>
      <c r="B4903" s="12" t="str">
        <f aca="false">IF($A4903="","",원본명단!$A4902)</f>
        <v/>
      </c>
      <c r="C4903" s="12" t="str">
        <f aca="false">IF($A4903="","",원본명단!$B4902)</f>
        <v/>
      </c>
      <c r="D4903" s="12" t="str">
        <f aca="false">IF($A4903="","",원본명단!$D4902)</f>
        <v/>
      </c>
      <c r="E4903" s="11" t="str">
        <f aca="false">IF($A4903="","",IF(원본명단!$H4902="",0,COUNTIF(원본명단!$H$3:$H$6002,원본명단!$H4902)))</f>
        <v/>
      </c>
      <c r="F4903" s="11" t="str">
        <f aca="false">IF($A4903="","",IF(원본명단!$I4902="",0,COUNTIF(원본명단!$I$3:$I$6002,원본명단!$I4902)))</f>
        <v/>
      </c>
      <c r="G4903" s="11" t="str">
        <f aca="false">IF($A4903="","",IF(원본명단!$K4902="",0,COUNTIF(원본명단!$K$3:$K$6002,원본명단!$K4902)))</f>
        <v/>
      </c>
      <c r="H4903" s="11" t="str">
        <f aca="false">IF($A4903="","",IF(MAX($E4903,$F4903,$G4903)&gt;1,"중복","-"))</f>
        <v/>
      </c>
      <c r="I4903" s="11" t="str">
        <f aca="false">IF($A4903="","",IF($H4903="-","-",IF(AND(IF(원본명단!$H4902="",TRUE(),COUNTIF(원본명단!$H$3:$H4902,원본명단!$H4902)=1),IF(원본명단!$I4902="",TRUE(),COUNTIF(원본명단!$I$3:$I4902,원본명단!$I4902)=1),IF(원본명단!$K4902="",TRUE(),COUNTIF(원본명단!$K$3:$K4902,원본명단!$K4902)=1)),"첫 건","중복 건")))</f>
        <v/>
      </c>
      <c r="J4903" s="11" t="str">
        <f aca="false">IF($A4903="","",IF($H4903="-","유지",IF($I4903="첫 건","유지","확인 필요")))</f>
        <v/>
      </c>
    </row>
    <row r="4904" customFormat="false" ht="15" hidden="false" customHeight="true" outlineLevel="0" collapsed="false">
      <c r="A4904" s="11" t="str">
        <f aca="false">IF(원본명단!$A4903="","",4901)</f>
        <v/>
      </c>
      <c r="B4904" s="12" t="str">
        <f aca="false">IF($A4904="","",원본명단!$A4903)</f>
        <v/>
      </c>
      <c r="C4904" s="12" t="str">
        <f aca="false">IF($A4904="","",원본명단!$B4903)</f>
        <v/>
      </c>
      <c r="D4904" s="12" t="str">
        <f aca="false">IF($A4904="","",원본명단!$D4903)</f>
        <v/>
      </c>
      <c r="E4904" s="11" t="str">
        <f aca="false">IF($A4904="","",IF(원본명단!$H4903="",0,COUNTIF(원본명단!$H$3:$H$6002,원본명단!$H4903)))</f>
        <v/>
      </c>
      <c r="F4904" s="11" t="str">
        <f aca="false">IF($A4904="","",IF(원본명단!$I4903="",0,COUNTIF(원본명단!$I$3:$I$6002,원본명단!$I4903)))</f>
        <v/>
      </c>
      <c r="G4904" s="11" t="str">
        <f aca="false">IF($A4904="","",IF(원본명단!$K4903="",0,COUNTIF(원본명단!$K$3:$K$6002,원본명단!$K4903)))</f>
        <v/>
      </c>
      <c r="H4904" s="11" t="str">
        <f aca="false">IF($A4904="","",IF(MAX($E4904,$F4904,$G4904)&gt;1,"중복","-"))</f>
        <v/>
      </c>
      <c r="I4904" s="11" t="str">
        <f aca="false">IF($A4904="","",IF($H4904="-","-",IF(AND(IF(원본명단!$H4903="",TRUE(),COUNTIF(원본명단!$H$3:$H4903,원본명단!$H4903)=1),IF(원본명단!$I4903="",TRUE(),COUNTIF(원본명단!$I$3:$I4903,원본명단!$I4903)=1),IF(원본명단!$K4903="",TRUE(),COUNTIF(원본명단!$K$3:$K4903,원본명단!$K4903)=1)),"첫 건","중복 건")))</f>
        <v/>
      </c>
      <c r="J4904" s="11" t="str">
        <f aca="false">IF($A4904="","",IF($H4904="-","유지",IF($I4904="첫 건","유지","확인 필요")))</f>
        <v/>
      </c>
    </row>
    <row r="4905" customFormat="false" ht="15" hidden="false" customHeight="true" outlineLevel="0" collapsed="false">
      <c r="A4905" s="11" t="str">
        <f aca="false">IF(원본명단!$A4904="","",4902)</f>
        <v/>
      </c>
      <c r="B4905" s="12" t="str">
        <f aca="false">IF($A4905="","",원본명단!$A4904)</f>
        <v/>
      </c>
      <c r="C4905" s="12" t="str">
        <f aca="false">IF($A4905="","",원본명단!$B4904)</f>
        <v/>
      </c>
      <c r="D4905" s="12" t="str">
        <f aca="false">IF($A4905="","",원본명단!$D4904)</f>
        <v/>
      </c>
      <c r="E4905" s="11" t="str">
        <f aca="false">IF($A4905="","",IF(원본명단!$H4904="",0,COUNTIF(원본명단!$H$3:$H$6002,원본명단!$H4904)))</f>
        <v/>
      </c>
      <c r="F4905" s="11" t="str">
        <f aca="false">IF($A4905="","",IF(원본명단!$I4904="",0,COUNTIF(원본명단!$I$3:$I$6002,원본명단!$I4904)))</f>
        <v/>
      </c>
      <c r="G4905" s="11" t="str">
        <f aca="false">IF($A4905="","",IF(원본명단!$K4904="",0,COUNTIF(원본명단!$K$3:$K$6002,원본명단!$K4904)))</f>
        <v/>
      </c>
      <c r="H4905" s="11" t="str">
        <f aca="false">IF($A4905="","",IF(MAX($E4905,$F4905,$G4905)&gt;1,"중복","-"))</f>
        <v/>
      </c>
      <c r="I4905" s="11" t="str">
        <f aca="false">IF($A4905="","",IF($H4905="-","-",IF(AND(IF(원본명단!$H4904="",TRUE(),COUNTIF(원본명단!$H$3:$H4904,원본명단!$H4904)=1),IF(원본명단!$I4904="",TRUE(),COUNTIF(원본명단!$I$3:$I4904,원본명단!$I4904)=1),IF(원본명단!$K4904="",TRUE(),COUNTIF(원본명단!$K$3:$K4904,원본명단!$K4904)=1)),"첫 건","중복 건")))</f>
        <v/>
      </c>
      <c r="J4905" s="11" t="str">
        <f aca="false">IF($A4905="","",IF($H4905="-","유지",IF($I4905="첫 건","유지","확인 필요")))</f>
        <v/>
      </c>
    </row>
    <row r="4906" customFormat="false" ht="15" hidden="false" customHeight="true" outlineLevel="0" collapsed="false">
      <c r="A4906" s="11" t="str">
        <f aca="false">IF(원본명단!$A4905="","",4903)</f>
        <v/>
      </c>
      <c r="B4906" s="12" t="str">
        <f aca="false">IF($A4906="","",원본명단!$A4905)</f>
        <v/>
      </c>
      <c r="C4906" s="12" t="str">
        <f aca="false">IF($A4906="","",원본명단!$B4905)</f>
        <v/>
      </c>
      <c r="D4906" s="12" t="str">
        <f aca="false">IF($A4906="","",원본명단!$D4905)</f>
        <v/>
      </c>
      <c r="E4906" s="11" t="str">
        <f aca="false">IF($A4906="","",IF(원본명단!$H4905="",0,COUNTIF(원본명단!$H$3:$H$6002,원본명단!$H4905)))</f>
        <v/>
      </c>
      <c r="F4906" s="11" t="str">
        <f aca="false">IF($A4906="","",IF(원본명단!$I4905="",0,COUNTIF(원본명단!$I$3:$I$6002,원본명단!$I4905)))</f>
        <v/>
      </c>
      <c r="G4906" s="11" t="str">
        <f aca="false">IF($A4906="","",IF(원본명단!$K4905="",0,COUNTIF(원본명단!$K$3:$K$6002,원본명단!$K4905)))</f>
        <v/>
      </c>
      <c r="H4906" s="11" t="str">
        <f aca="false">IF($A4906="","",IF(MAX($E4906,$F4906,$G4906)&gt;1,"중복","-"))</f>
        <v/>
      </c>
      <c r="I4906" s="11" t="str">
        <f aca="false">IF($A4906="","",IF($H4906="-","-",IF(AND(IF(원본명단!$H4905="",TRUE(),COUNTIF(원본명단!$H$3:$H4905,원본명단!$H4905)=1),IF(원본명단!$I4905="",TRUE(),COUNTIF(원본명단!$I$3:$I4905,원본명단!$I4905)=1),IF(원본명단!$K4905="",TRUE(),COUNTIF(원본명단!$K$3:$K4905,원본명단!$K4905)=1)),"첫 건","중복 건")))</f>
        <v/>
      </c>
      <c r="J4906" s="11" t="str">
        <f aca="false">IF($A4906="","",IF($H4906="-","유지",IF($I4906="첫 건","유지","확인 필요")))</f>
        <v/>
      </c>
    </row>
    <row r="4907" customFormat="false" ht="15" hidden="false" customHeight="true" outlineLevel="0" collapsed="false">
      <c r="A4907" s="11" t="str">
        <f aca="false">IF(원본명단!$A4906="","",4904)</f>
        <v/>
      </c>
      <c r="B4907" s="12" t="str">
        <f aca="false">IF($A4907="","",원본명단!$A4906)</f>
        <v/>
      </c>
      <c r="C4907" s="12" t="str">
        <f aca="false">IF($A4907="","",원본명단!$B4906)</f>
        <v/>
      </c>
      <c r="D4907" s="12" t="str">
        <f aca="false">IF($A4907="","",원본명단!$D4906)</f>
        <v/>
      </c>
      <c r="E4907" s="11" t="str">
        <f aca="false">IF($A4907="","",IF(원본명단!$H4906="",0,COUNTIF(원본명단!$H$3:$H$6002,원본명단!$H4906)))</f>
        <v/>
      </c>
      <c r="F4907" s="11" t="str">
        <f aca="false">IF($A4907="","",IF(원본명단!$I4906="",0,COUNTIF(원본명단!$I$3:$I$6002,원본명단!$I4906)))</f>
        <v/>
      </c>
      <c r="G4907" s="11" t="str">
        <f aca="false">IF($A4907="","",IF(원본명단!$K4906="",0,COUNTIF(원본명단!$K$3:$K$6002,원본명단!$K4906)))</f>
        <v/>
      </c>
      <c r="H4907" s="11" t="str">
        <f aca="false">IF($A4907="","",IF(MAX($E4907,$F4907,$G4907)&gt;1,"중복","-"))</f>
        <v/>
      </c>
      <c r="I4907" s="11" t="str">
        <f aca="false">IF($A4907="","",IF($H4907="-","-",IF(AND(IF(원본명단!$H4906="",TRUE(),COUNTIF(원본명단!$H$3:$H4906,원본명단!$H4906)=1),IF(원본명단!$I4906="",TRUE(),COUNTIF(원본명단!$I$3:$I4906,원본명단!$I4906)=1),IF(원본명단!$K4906="",TRUE(),COUNTIF(원본명단!$K$3:$K4906,원본명단!$K4906)=1)),"첫 건","중복 건")))</f>
        <v/>
      </c>
      <c r="J4907" s="11" t="str">
        <f aca="false">IF($A4907="","",IF($H4907="-","유지",IF($I4907="첫 건","유지","확인 필요")))</f>
        <v/>
      </c>
    </row>
    <row r="4908" customFormat="false" ht="15" hidden="false" customHeight="true" outlineLevel="0" collapsed="false">
      <c r="A4908" s="11" t="str">
        <f aca="false">IF(원본명단!$A4907="","",4905)</f>
        <v/>
      </c>
      <c r="B4908" s="12" t="str">
        <f aca="false">IF($A4908="","",원본명단!$A4907)</f>
        <v/>
      </c>
      <c r="C4908" s="12" t="str">
        <f aca="false">IF($A4908="","",원본명단!$B4907)</f>
        <v/>
      </c>
      <c r="D4908" s="12" t="str">
        <f aca="false">IF($A4908="","",원본명단!$D4907)</f>
        <v/>
      </c>
      <c r="E4908" s="11" t="str">
        <f aca="false">IF($A4908="","",IF(원본명단!$H4907="",0,COUNTIF(원본명단!$H$3:$H$6002,원본명단!$H4907)))</f>
        <v/>
      </c>
      <c r="F4908" s="11" t="str">
        <f aca="false">IF($A4908="","",IF(원본명단!$I4907="",0,COUNTIF(원본명단!$I$3:$I$6002,원본명단!$I4907)))</f>
        <v/>
      </c>
      <c r="G4908" s="11" t="str">
        <f aca="false">IF($A4908="","",IF(원본명단!$K4907="",0,COUNTIF(원본명단!$K$3:$K$6002,원본명단!$K4907)))</f>
        <v/>
      </c>
      <c r="H4908" s="11" t="str">
        <f aca="false">IF($A4908="","",IF(MAX($E4908,$F4908,$G4908)&gt;1,"중복","-"))</f>
        <v/>
      </c>
      <c r="I4908" s="11" t="str">
        <f aca="false">IF($A4908="","",IF($H4908="-","-",IF(AND(IF(원본명단!$H4907="",TRUE(),COUNTIF(원본명단!$H$3:$H4907,원본명단!$H4907)=1),IF(원본명단!$I4907="",TRUE(),COUNTIF(원본명단!$I$3:$I4907,원본명단!$I4907)=1),IF(원본명단!$K4907="",TRUE(),COUNTIF(원본명단!$K$3:$K4907,원본명단!$K4907)=1)),"첫 건","중복 건")))</f>
        <v/>
      </c>
      <c r="J4908" s="11" t="str">
        <f aca="false">IF($A4908="","",IF($H4908="-","유지",IF($I4908="첫 건","유지","확인 필요")))</f>
        <v/>
      </c>
    </row>
    <row r="4909" customFormat="false" ht="15" hidden="false" customHeight="true" outlineLevel="0" collapsed="false">
      <c r="A4909" s="11" t="str">
        <f aca="false">IF(원본명단!$A4908="","",4906)</f>
        <v/>
      </c>
      <c r="B4909" s="12" t="str">
        <f aca="false">IF($A4909="","",원본명단!$A4908)</f>
        <v/>
      </c>
      <c r="C4909" s="12" t="str">
        <f aca="false">IF($A4909="","",원본명단!$B4908)</f>
        <v/>
      </c>
      <c r="D4909" s="12" t="str">
        <f aca="false">IF($A4909="","",원본명단!$D4908)</f>
        <v/>
      </c>
      <c r="E4909" s="11" t="str">
        <f aca="false">IF($A4909="","",IF(원본명단!$H4908="",0,COUNTIF(원본명단!$H$3:$H$6002,원본명단!$H4908)))</f>
        <v/>
      </c>
      <c r="F4909" s="11" t="str">
        <f aca="false">IF($A4909="","",IF(원본명단!$I4908="",0,COUNTIF(원본명단!$I$3:$I$6002,원본명단!$I4908)))</f>
        <v/>
      </c>
      <c r="G4909" s="11" t="str">
        <f aca="false">IF($A4909="","",IF(원본명단!$K4908="",0,COUNTIF(원본명단!$K$3:$K$6002,원본명단!$K4908)))</f>
        <v/>
      </c>
      <c r="H4909" s="11" t="str">
        <f aca="false">IF($A4909="","",IF(MAX($E4909,$F4909,$G4909)&gt;1,"중복","-"))</f>
        <v/>
      </c>
      <c r="I4909" s="11" t="str">
        <f aca="false">IF($A4909="","",IF($H4909="-","-",IF(AND(IF(원본명단!$H4908="",TRUE(),COUNTIF(원본명단!$H$3:$H4908,원본명단!$H4908)=1),IF(원본명단!$I4908="",TRUE(),COUNTIF(원본명단!$I$3:$I4908,원본명단!$I4908)=1),IF(원본명단!$K4908="",TRUE(),COUNTIF(원본명단!$K$3:$K4908,원본명단!$K4908)=1)),"첫 건","중복 건")))</f>
        <v/>
      </c>
      <c r="J4909" s="11" t="str">
        <f aca="false">IF($A4909="","",IF($H4909="-","유지",IF($I4909="첫 건","유지","확인 필요")))</f>
        <v/>
      </c>
    </row>
    <row r="4910" customFormat="false" ht="15" hidden="false" customHeight="true" outlineLevel="0" collapsed="false">
      <c r="A4910" s="11" t="str">
        <f aca="false">IF(원본명단!$A4909="","",4907)</f>
        <v/>
      </c>
      <c r="B4910" s="12" t="str">
        <f aca="false">IF($A4910="","",원본명단!$A4909)</f>
        <v/>
      </c>
      <c r="C4910" s="12" t="str">
        <f aca="false">IF($A4910="","",원본명단!$B4909)</f>
        <v/>
      </c>
      <c r="D4910" s="12" t="str">
        <f aca="false">IF($A4910="","",원본명단!$D4909)</f>
        <v/>
      </c>
      <c r="E4910" s="11" t="str">
        <f aca="false">IF($A4910="","",IF(원본명단!$H4909="",0,COUNTIF(원본명단!$H$3:$H$6002,원본명단!$H4909)))</f>
        <v/>
      </c>
      <c r="F4910" s="11" t="str">
        <f aca="false">IF($A4910="","",IF(원본명단!$I4909="",0,COUNTIF(원본명단!$I$3:$I$6002,원본명단!$I4909)))</f>
        <v/>
      </c>
      <c r="G4910" s="11" t="str">
        <f aca="false">IF($A4910="","",IF(원본명단!$K4909="",0,COUNTIF(원본명단!$K$3:$K$6002,원본명단!$K4909)))</f>
        <v/>
      </c>
      <c r="H4910" s="11" t="str">
        <f aca="false">IF($A4910="","",IF(MAX($E4910,$F4910,$G4910)&gt;1,"중복","-"))</f>
        <v/>
      </c>
      <c r="I4910" s="11" t="str">
        <f aca="false">IF($A4910="","",IF($H4910="-","-",IF(AND(IF(원본명단!$H4909="",TRUE(),COUNTIF(원본명단!$H$3:$H4909,원본명단!$H4909)=1),IF(원본명단!$I4909="",TRUE(),COUNTIF(원본명단!$I$3:$I4909,원본명단!$I4909)=1),IF(원본명단!$K4909="",TRUE(),COUNTIF(원본명단!$K$3:$K4909,원본명단!$K4909)=1)),"첫 건","중복 건")))</f>
        <v/>
      </c>
      <c r="J4910" s="11" t="str">
        <f aca="false">IF($A4910="","",IF($H4910="-","유지",IF($I4910="첫 건","유지","확인 필요")))</f>
        <v/>
      </c>
    </row>
    <row r="4911" customFormat="false" ht="15" hidden="false" customHeight="true" outlineLevel="0" collapsed="false">
      <c r="A4911" s="11" t="str">
        <f aca="false">IF(원본명단!$A4910="","",4908)</f>
        <v/>
      </c>
      <c r="B4911" s="12" t="str">
        <f aca="false">IF($A4911="","",원본명단!$A4910)</f>
        <v/>
      </c>
      <c r="C4911" s="12" t="str">
        <f aca="false">IF($A4911="","",원본명단!$B4910)</f>
        <v/>
      </c>
      <c r="D4911" s="12" t="str">
        <f aca="false">IF($A4911="","",원본명단!$D4910)</f>
        <v/>
      </c>
      <c r="E4911" s="11" t="str">
        <f aca="false">IF($A4911="","",IF(원본명단!$H4910="",0,COUNTIF(원본명단!$H$3:$H$6002,원본명단!$H4910)))</f>
        <v/>
      </c>
      <c r="F4911" s="11" t="str">
        <f aca="false">IF($A4911="","",IF(원본명단!$I4910="",0,COUNTIF(원본명단!$I$3:$I$6002,원본명단!$I4910)))</f>
        <v/>
      </c>
      <c r="G4911" s="11" t="str">
        <f aca="false">IF($A4911="","",IF(원본명단!$K4910="",0,COUNTIF(원본명단!$K$3:$K$6002,원본명단!$K4910)))</f>
        <v/>
      </c>
      <c r="H4911" s="11" t="str">
        <f aca="false">IF($A4911="","",IF(MAX($E4911,$F4911,$G4911)&gt;1,"중복","-"))</f>
        <v/>
      </c>
      <c r="I4911" s="11" t="str">
        <f aca="false">IF($A4911="","",IF($H4911="-","-",IF(AND(IF(원본명단!$H4910="",TRUE(),COUNTIF(원본명단!$H$3:$H4910,원본명단!$H4910)=1),IF(원본명단!$I4910="",TRUE(),COUNTIF(원본명단!$I$3:$I4910,원본명단!$I4910)=1),IF(원본명단!$K4910="",TRUE(),COUNTIF(원본명단!$K$3:$K4910,원본명단!$K4910)=1)),"첫 건","중복 건")))</f>
        <v/>
      </c>
      <c r="J4911" s="11" t="str">
        <f aca="false">IF($A4911="","",IF($H4911="-","유지",IF($I4911="첫 건","유지","확인 필요")))</f>
        <v/>
      </c>
    </row>
    <row r="4912" customFormat="false" ht="15" hidden="false" customHeight="true" outlineLevel="0" collapsed="false">
      <c r="A4912" s="11" t="str">
        <f aca="false">IF(원본명단!$A4911="","",4909)</f>
        <v/>
      </c>
      <c r="B4912" s="12" t="str">
        <f aca="false">IF($A4912="","",원본명단!$A4911)</f>
        <v/>
      </c>
      <c r="C4912" s="12" t="str">
        <f aca="false">IF($A4912="","",원본명단!$B4911)</f>
        <v/>
      </c>
      <c r="D4912" s="12" t="str">
        <f aca="false">IF($A4912="","",원본명단!$D4911)</f>
        <v/>
      </c>
      <c r="E4912" s="11" t="str">
        <f aca="false">IF($A4912="","",IF(원본명단!$H4911="",0,COUNTIF(원본명단!$H$3:$H$6002,원본명단!$H4911)))</f>
        <v/>
      </c>
      <c r="F4912" s="11" t="str">
        <f aca="false">IF($A4912="","",IF(원본명단!$I4911="",0,COUNTIF(원본명단!$I$3:$I$6002,원본명단!$I4911)))</f>
        <v/>
      </c>
      <c r="G4912" s="11" t="str">
        <f aca="false">IF($A4912="","",IF(원본명단!$K4911="",0,COUNTIF(원본명단!$K$3:$K$6002,원본명단!$K4911)))</f>
        <v/>
      </c>
      <c r="H4912" s="11" t="str">
        <f aca="false">IF($A4912="","",IF(MAX($E4912,$F4912,$G4912)&gt;1,"중복","-"))</f>
        <v/>
      </c>
      <c r="I4912" s="11" t="str">
        <f aca="false">IF($A4912="","",IF($H4912="-","-",IF(AND(IF(원본명단!$H4911="",TRUE(),COUNTIF(원본명단!$H$3:$H4911,원본명단!$H4911)=1),IF(원본명단!$I4911="",TRUE(),COUNTIF(원본명단!$I$3:$I4911,원본명단!$I4911)=1),IF(원본명단!$K4911="",TRUE(),COUNTIF(원본명단!$K$3:$K4911,원본명단!$K4911)=1)),"첫 건","중복 건")))</f>
        <v/>
      </c>
      <c r="J4912" s="11" t="str">
        <f aca="false">IF($A4912="","",IF($H4912="-","유지",IF($I4912="첫 건","유지","확인 필요")))</f>
        <v/>
      </c>
    </row>
    <row r="4913" customFormat="false" ht="15" hidden="false" customHeight="true" outlineLevel="0" collapsed="false">
      <c r="A4913" s="11" t="str">
        <f aca="false">IF(원본명단!$A4912="","",4910)</f>
        <v/>
      </c>
      <c r="B4913" s="12" t="str">
        <f aca="false">IF($A4913="","",원본명단!$A4912)</f>
        <v/>
      </c>
      <c r="C4913" s="12" t="str">
        <f aca="false">IF($A4913="","",원본명단!$B4912)</f>
        <v/>
      </c>
      <c r="D4913" s="12" t="str">
        <f aca="false">IF($A4913="","",원본명단!$D4912)</f>
        <v/>
      </c>
      <c r="E4913" s="11" t="str">
        <f aca="false">IF($A4913="","",IF(원본명단!$H4912="",0,COUNTIF(원본명단!$H$3:$H$6002,원본명단!$H4912)))</f>
        <v/>
      </c>
      <c r="F4913" s="11" t="str">
        <f aca="false">IF($A4913="","",IF(원본명단!$I4912="",0,COUNTIF(원본명단!$I$3:$I$6002,원본명단!$I4912)))</f>
        <v/>
      </c>
      <c r="G4913" s="11" t="str">
        <f aca="false">IF($A4913="","",IF(원본명단!$K4912="",0,COUNTIF(원본명단!$K$3:$K$6002,원본명단!$K4912)))</f>
        <v/>
      </c>
      <c r="H4913" s="11" t="str">
        <f aca="false">IF($A4913="","",IF(MAX($E4913,$F4913,$G4913)&gt;1,"중복","-"))</f>
        <v/>
      </c>
      <c r="I4913" s="11" t="str">
        <f aca="false">IF($A4913="","",IF($H4913="-","-",IF(AND(IF(원본명단!$H4912="",TRUE(),COUNTIF(원본명단!$H$3:$H4912,원본명단!$H4912)=1),IF(원본명단!$I4912="",TRUE(),COUNTIF(원본명단!$I$3:$I4912,원본명단!$I4912)=1),IF(원본명단!$K4912="",TRUE(),COUNTIF(원본명단!$K$3:$K4912,원본명단!$K4912)=1)),"첫 건","중복 건")))</f>
        <v/>
      </c>
      <c r="J4913" s="11" t="str">
        <f aca="false">IF($A4913="","",IF($H4913="-","유지",IF($I4913="첫 건","유지","확인 필요")))</f>
        <v/>
      </c>
    </row>
    <row r="4914" customFormat="false" ht="15" hidden="false" customHeight="true" outlineLevel="0" collapsed="false">
      <c r="A4914" s="11" t="str">
        <f aca="false">IF(원본명단!$A4913="","",4911)</f>
        <v/>
      </c>
      <c r="B4914" s="12" t="str">
        <f aca="false">IF($A4914="","",원본명단!$A4913)</f>
        <v/>
      </c>
      <c r="C4914" s="12" t="str">
        <f aca="false">IF($A4914="","",원본명단!$B4913)</f>
        <v/>
      </c>
      <c r="D4914" s="12" t="str">
        <f aca="false">IF($A4914="","",원본명단!$D4913)</f>
        <v/>
      </c>
      <c r="E4914" s="11" t="str">
        <f aca="false">IF($A4914="","",IF(원본명단!$H4913="",0,COUNTIF(원본명단!$H$3:$H$6002,원본명단!$H4913)))</f>
        <v/>
      </c>
      <c r="F4914" s="11" t="str">
        <f aca="false">IF($A4914="","",IF(원본명단!$I4913="",0,COUNTIF(원본명단!$I$3:$I$6002,원본명단!$I4913)))</f>
        <v/>
      </c>
      <c r="G4914" s="11" t="str">
        <f aca="false">IF($A4914="","",IF(원본명단!$K4913="",0,COUNTIF(원본명단!$K$3:$K$6002,원본명단!$K4913)))</f>
        <v/>
      </c>
      <c r="H4914" s="11" t="str">
        <f aca="false">IF($A4914="","",IF(MAX($E4914,$F4914,$G4914)&gt;1,"중복","-"))</f>
        <v/>
      </c>
      <c r="I4914" s="11" t="str">
        <f aca="false">IF($A4914="","",IF($H4914="-","-",IF(AND(IF(원본명단!$H4913="",TRUE(),COUNTIF(원본명단!$H$3:$H4913,원본명단!$H4913)=1),IF(원본명단!$I4913="",TRUE(),COUNTIF(원본명단!$I$3:$I4913,원본명단!$I4913)=1),IF(원본명단!$K4913="",TRUE(),COUNTIF(원본명단!$K$3:$K4913,원본명단!$K4913)=1)),"첫 건","중복 건")))</f>
        <v/>
      </c>
      <c r="J4914" s="11" t="str">
        <f aca="false">IF($A4914="","",IF($H4914="-","유지",IF($I4914="첫 건","유지","확인 필요")))</f>
        <v/>
      </c>
    </row>
    <row r="4915" customFormat="false" ht="15" hidden="false" customHeight="true" outlineLevel="0" collapsed="false">
      <c r="A4915" s="11" t="str">
        <f aca="false">IF(원본명단!$A4914="","",4912)</f>
        <v/>
      </c>
      <c r="B4915" s="12" t="str">
        <f aca="false">IF($A4915="","",원본명단!$A4914)</f>
        <v/>
      </c>
      <c r="C4915" s="12" t="str">
        <f aca="false">IF($A4915="","",원본명단!$B4914)</f>
        <v/>
      </c>
      <c r="D4915" s="12" t="str">
        <f aca="false">IF($A4915="","",원본명단!$D4914)</f>
        <v/>
      </c>
      <c r="E4915" s="11" t="str">
        <f aca="false">IF($A4915="","",IF(원본명단!$H4914="",0,COUNTIF(원본명단!$H$3:$H$6002,원본명단!$H4914)))</f>
        <v/>
      </c>
      <c r="F4915" s="11" t="str">
        <f aca="false">IF($A4915="","",IF(원본명단!$I4914="",0,COUNTIF(원본명단!$I$3:$I$6002,원본명단!$I4914)))</f>
        <v/>
      </c>
      <c r="G4915" s="11" t="str">
        <f aca="false">IF($A4915="","",IF(원본명단!$K4914="",0,COUNTIF(원본명단!$K$3:$K$6002,원본명단!$K4914)))</f>
        <v/>
      </c>
      <c r="H4915" s="11" t="str">
        <f aca="false">IF($A4915="","",IF(MAX($E4915,$F4915,$G4915)&gt;1,"중복","-"))</f>
        <v/>
      </c>
      <c r="I4915" s="11" t="str">
        <f aca="false">IF($A4915="","",IF($H4915="-","-",IF(AND(IF(원본명단!$H4914="",TRUE(),COUNTIF(원본명단!$H$3:$H4914,원본명단!$H4914)=1),IF(원본명단!$I4914="",TRUE(),COUNTIF(원본명단!$I$3:$I4914,원본명단!$I4914)=1),IF(원본명단!$K4914="",TRUE(),COUNTIF(원본명단!$K$3:$K4914,원본명단!$K4914)=1)),"첫 건","중복 건")))</f>
        <v/>
      </c>
      <c r="J4915" s="11" t="str">
        <f aca="false">IF($A4915="","",IF($H4915="-","유지",IF($I4915="첫 건","유지","확인 필요")))</f>
        <v/>
      </c>
    </row>
    <row r="4916" customFormat="false" ht="15" hidden="false" customHeight="true" outlineLevel="0" collapsed="false">
      <c r="A4916" s="11" t="str">
        <f aca="false">IF(원본명단!$A4915="","",4913)</f>
        <v/>
      </c>
      <c r="B4916" s="12" t="str">
        <f aca="false">IF($A4916="","",원본명단!$A4915)</f>
        <v/>
      </c>
      <c r="C4916" s="12" t="str">
        <f aca="false">IF($A4916="","",원본명단!$B4915)</f>
        <v/>
      </c>
      <c r="D4916" s="12" t="str">
        <f aca="false">IF($A4916="","",원본명단!$D4915)</f>
        <v/>
      </c>
      <c r="E4916" s="11" t="str">
        <f aca="false">IF($A4916="","",IF(원본명단!$H4915="",0,COUNTIF(원본명단!$H$3:$H$6002,원본명단!$H4915)))</f>
        <v/>
      </c>
      <c r="F4916" s="11" t="str">
        <f aca="false">IF($A4916="","",IF(원본명단!$I4915="",0,COUNTIF(원본명단!$I$3:$I$6002,원본명단!$I4915)))</f>
        <v/>
      </c>
      <c r="G4916" s="11" t="str">
        <f aca="false">IF($A4916="","",IF(원본명단!$K4915="",0,COUNTIF(원본명단!$K$3:$K$6002,원본명단!$K4915)))</f>
        <v/>
      </c>
      <c r="H4916" s="11" t="str">
        <f aca="false">IF($A4916="","",IF(MAX($E4916,$F4916,$G4916)&gt;1,"중복","-"))</f>
        <v/>
      </c>
      <c r="I4916" s="11" t="str">
        <f aca="false">IF($A4916="","",IF($H4916="-","-",IF(AND(IF(원본명단!$H4915="",TRUE(),COUNTIF(원본명단!$H$3:$H4915,원본명단!$H4915)=1),IF(원본명단!$I4915="",TRUE(),COUNTIF(원본명단!$I$3:$I4915,원본명단!$I4915)=1),IF(원본명단!$K4915="",TRUE(),COUNTIF(원본명단!$K$3:$K4915,원본명단!$K4915)=1)),"첫 건","중복 건")))</f>
        <v/>
      </c>
      <c r="J4916" s="11" t="str">
        <f aca="false">IF($A4916="","",IF($H4916="-","유지",IF($I4916="첫 건","유지","확인 필요")))</f>
        <v/>
      </c>
    </row>
    <row r="4917" customFormat="false" ht="15" hidden="false" customHeight="true" outlineLevel="0" collapsed="false">
      <c r="A4917" s="11" t="str">
        <f aca="false">IF(원본명단!$A4916="","",4914)</f>
        <v/>
      </c>
      <c r="B4917" s="12" t="str">
        <f aca="false">IF($A4917="","",원본명단!$A4916)</f>
        <v/>
      </c>
      <c r="C4917" s="12" t="str">
        <f aca="false">IF($A4917="","",원본명단!$B4916)</f>
        <v/>
      </c>
      <c r="D4917" s="12" t="str">
        <f aca="false">IF($A4917="","",원본명단!$D4916)</f>
        <v/>
      </c>
      <c r="E4917" s="11" t="str">
        <f aca="false">IF($A4917="","",IF(원본명단!$H4916="",0,COUNTIF(원본명단!$H$3:$H$6002,원본명단!$H4916)))</f>
        <v/>
      </c>
      <c r="F4917" s="11" t="str">
        <f aca="false">IF($A4917="","",IF(원본명단!$I4916="",0,COUNTIF(원본명단!$I$3:$I$6002,원본명단!$I4916)))</f>
        <v/>
      </c>
      <c r="G4917" s="11" t="str">
        <f aca="false">IF($A4917="","",IF(원본명단!$K4916="",0,COUNTIF(원본명단!$K$3:$K$6002,원본명단!$K4916)))</f>
        <v/>
      </c>
      <c r="H4917" s="11" t="str">
        <f aca="false">IF($A4917="","",IF(MAX($E4917,$F4917,$G4917)&gt;1,"중복","-"))</f>
        <v/>
      </c>
      <c r="I4917" s="11" t="str">
        <f aca="false">IF($A4917="","",IF($H4917="-","-",IF(AND(IF(원본명단!$H4916="",TRUE(),COUNTIF(원본명단!$H$3:$H4916,원본명단!$H4916)=1),IF(원본명단!$I4916="",TRUE(),COUNTIF(원본명단!$I$3:$I4916,원본명단!$I4916)=1),IF(원본명단!$K4916="",TRUE(),COUNTIF(원본명단!$K$3:$K4916,원본명단!$K4916)=1)),"첫 건","중복 건")))</f>
        <v/>
      </c>
      <c r="J4917" s="11" t="str">
        <f aca="false">IF($A4917="","",IF($H4917="-","유지",IF($I4917="첫 건","유지","확인 필요")))</f>
        <v/>
      </c>
    </row>
    <row r="4918" customFormat="false" ht="15" hidden="false" customHeight="true" outlineLevel="0" collapsed="false">
      <c r="A4918" s="11" t="str">
        <f aca="false">IF(원본명단!$A4917="","",4915)</f>
        <v/>
      </c>
      <c r="B4918" s="12" t="str">
        <f aca="false">IF($A4918="","",원본명단!$A4917)</f>
        <v/>
      </c>
      <c r="C4918" s="12" t="str">
        <f aca="false">IF($A4918="","",원본명단!$B4917)</f>
        <v/>
      </c>
      <c r="D4918" s="12" t="str">
        <f aca="false">IF($A4918="","",원본명단!$D4917)</f>
        <v/>
      </c>
      <c r="E4918" s="11" t="str">
        <f aca="false">IF($A4918="","",IF(원본명단!$H4917="",0,COUNTIF(원본명단!$H$3:$H$6002,원본명단!$H4917)))</f>
        <v/>
      </c>
      <c r="F4918" s="11" t="str">
        <f aca="false">IF($A4918="","",IF(원본명단!$I4917="",0,COUNTIF(원본명단!$I$3:$I$6002,원본명단!$I4917)))</f>
        <v/>
      </c>
      <c r="G4918" s="11" t="str">
        <f aca="false">IF($A4918="","",IF(원본명단!$K4917="",0,COUNTIF(원본명단!$K$3:$K$6002,원본명단!$K4917)))</f>
        <v/>
      </c>
      <c r="H4918" s="11" t="str">
        <f aca="false">IF($A4918="","",IF(MAX($E4918,$F4918,$G4918)&gt;1,"중복","-"))</f>
        <v/>
      </c>
      <c r="I4918" s="11" t="str">
        <f aca="false">IF($A4918="","",IF($H4918="-","-",IF(AND(IF(원본명단!$H4917="",TRUE(),COUNTIF(원본명단!$H$3:$H4917,원본명단!$H4917)=1),IF(원본명단!$I4917="",TRUE(),COUNTIF(원본명단!$I$3:$I4917,원본명단!$I4917)=1),IF(원본명단!$K4917="",TRUE(),COUNTIF(원본명단!$K$3:$K4917,원본명단!$K4917)=1)),"첫 건","중복 건")))</f>
        <v/>
      </c>
      <c r="J4918" s="11" t="str">
        <f aca="false">IF($A4918="","",IF($H4918="-","유지",IF($I4918="첫 건","유지","확인 필요")))</f>
        <v/>
      </c>
    </row>
    <row r="4919" customFormat="false" ht="15" hidden="false" customHeight="true" outlineLevel="0" collapsed="false">
      <c r="A4919" s="11" t="str">
        <f aca="false">IF(원본명단!$A4918="","",4916)</f>
        <v/>
      </c>
      <c r="B4919" s="12" t="str">
        <f aca="false">IF($A4919="","",원본명단!$A4918)</f>
        <v/>
      </c>
      <c r="C4919" s="12" t="str">
        <f aca="false">IF($A4919="","",원본명단!$B4918)</f>
        <v/>
      </c>
      <c r="D4919" s="12" t="str">
        <f aca="false">IF($A4919="","",원본명단!$D4918)</f>
        <v/>
      </c>
      <c r="E4919" s="11" t="str">
        <f aca="false">IF($A4919="","",IF(원본명단!$H4918="",0,COUNTIF(원본명단!$H$3:$H$6002,원본명단!$H4918)))</f>
        <v/>
      </c>
      <c r="F4919" s="11" t="str">
        <f aca="false">IF($A4919="","",IF(원본명단!$I4918="",0,COUNTIF(원본명단!$I$3:$I$6002,원본명단!$I4918)))</f>
        <v/>
      </c>
      <c r="G4919" s="11" t="str">
        <f aca="false">IF($A4919="","",IF(원본명단!$K4918="",0,COUNTIF(원본명단!$K$3:$K$6002,원본명단!$K4918)))</f>
        <v/>
      </c>
      <c r="H4919" s="11" t="str">
        <f aca="false">IF($A4919="","",IF(MAX($E4919,$F4919,$G4919)&gt;1,"중복","-"))</f>
        <v/>
      </c>
      <c r="I4919" s="11" t="str">
        <f aca="false">IF($A4919="","",IF($H4919="-","-",IF(AND(IF(원본명단!$H4918="",TRUE(),COUNTIF(원본명단!$H$3:$H4918,원본명단!$H4918)=1),IF(원본명단!$I4918="",TRUE(),COUNTIF(원본명단!$I$3:$I4918,원본명단!$I4918)=1),IF(원본명단!$K4918="",TRUE(),COUNTIF(원본명단!$K$3:$K4918,원본명단!$K4918)=1)),"첫 건","중복 건")))</f>
        <v/>
      </c>
      <c r="J4919" s="11" t="str">
        <f aca="false">IF($A4919="","",IF($H4919="-","유지",IF($I4919="첫 건","유지","확인 필요")))</f>
        <v/>
      </c>
    </row>
    <row r="4920" customFormat="false" ht="15" hidden="false" customHeight="true" outlineLevel="0" collapsed="false">
      <c r="A4920" s="11" t="str">
        <f aca="false">IF(원본명단!$A4919="","",4917)</f>
        <v/>
      </c>
      <c r="B4920" s="12" t="str">
        <f aca="false">IF($A4920="","",원본명단!$A4919)</f>
        <v/>
      </c>
      <c r="C4920" s="12" t="str">
        <f aca="false">IF($A4920="","",원본명단!$B4919)</f>
        <v/>
      </c>
      <c r="D4920" s="12" t="str">
        <f aca="false">IF($A4920="","",원본명단!$D4919)</f>
        <v/>
      </c>
      <c r="E4920" s="11" t="str">
        <f aca="false">IF($A4920="","",IF(원본명단!$H4919="",0,COUNTIF(원본명단!$H$3:$H$6002,원본명단!$H4919)))</f>
        <v/>
      </c>
      <c r="F4920" s="11" t="str">
        <f aca="false">IF($A4920="","",IF(원본명단!$I4919="",0,COUNTIF(원본명단!$I$3:$I$6002,원본명단!$I4919)))</f>
        <v/>
      </c>
      <c r="G4920" s="11" t="str">
        <f aca="false">IF($A4920="","",IF(원본명단!$K4919="",0,COUNTIF(원본명단!$K$3:$K$6002,원본명단!$K4919)))</f>
        <v/>
      </c>
      <c r="H4920" s="11" t="str">
        <f aca="false">IF($A4920="","",IF(MAX($E4920,$F4920,$G4920)&gt;1,"중복","-"))</f>
        <v/>
      </c>
      <c r="I4920" s="11" t="str">
        <f aca="false">IF($A4920="","",IF($H4920="-","-",IF(AND(IF(원본명단!$H4919="",TRUE(),COUNTIF(원본명단!$H$3:$H4919,원본명단!$H4919)=1),IF(원본명단!$I4919="",TRUE(),COUNTIF(원본명단!$I$3:$I4919,원본명단!$I4919)=1),IF(원본명단!$K4919="",TRUE(),COUNTIF(원본명단!$K$3:$K4919,원본명단!$K4919)=1)),"첫 건","중복 건")))</f>
        <v/>
      </c>
      <c r="J4920" s="11" t="str">
        <f aca="false">IF($A4920="","",IF($H4920="-","유지",IF($I4920="첫 건","유지","확인 필요")))</f>
        <v/>
      </c>
    </row>
    <row r="4921" customFormat="false" ht="15" hidden="false" customHeight="true" outlineLevel="0" collapsed="false">
      <c r="A4921" s="11" t="str">
        <f aca="false">IF(원본명단!$A4920="","",4918)</f>
        <v/>
      </c>
      <c r="B4921" s="12" t="str">
        <f aca="false">IF($A4921="","",원본명단!$A4920)</f>
        <v/>
      </c>
      <c r="C4921" s="12" t="str">
        <f aca="false">IF($A4921="","",원본명단!$B4920)</f>
        <v/>
      </c>
      <c r="D4921" s="12" t="str">
        <f aca="false">IF($A4921="","",원본명단!$D4920)</f>
        <v/>
      </c>
      <c r="E4921" s="11" t="str">
        <f aca="false">IF($A4921="","",IF(원본명단!$H4920="",0,COUNTIF(원본명단!$H$3:$H$6002,원본명단!$H4920)))</f>
        <v/>
      </c>
      <c r="F4921" s="11" t="str">
        <f aca="false">IF($A4921="","",IF(원본명단!$I4920="",0,COUNTIF(원본명단!$I$3:$I$6002,원본명단!$I4920)))</f>
        <v/>
      </c>
      <c r="G4921" s="11" t="str">
        <f aca="false">IF($A4921="","",IF(원본명단!$K4920="",0,COUNTIF(원본명단!$K$3:$K$6002,원본명단!$K4920)))</f>
        <v/>
      </c>
      <c r="H4921" s="11" t="str">
        <f aca="false">IF($A4921="","",IF(MAX($E4921,$F4921,$G4921)&gt;1,"중복","-"))</f>
        <v/>
      </c>
      <c r="I4921" s="11" t="str">
        <f aca="false">IF($A4921="","",IF($H4921="-","-",IF(AND(IF(원본명단!$H4920="",TRUE(),COUNTIF(원본명단!$H$3:$H4920,원본명단!$H4920)=1),IF(원본명단!$I4920="",TRUE(),COUNTIF(원본명단!$I$3:$I4920,원본명단!$I4920)=1),IF(원본명단!$K4920="",TRUE(),COUNTIF(원본명단!$K$3:$K4920,원본명단!$K4920)=1)),"첫 건","중복 건")))</f>
        <v/>
      </c>
      <c r="J4921" s="11" t="str">
        <f aca="false">IF($A4921="","",IF($H4921="-","유지",IF($I4921="첫 건","유지","확인 필요")))</f>
        <v/>
      </c>
    </row>
    <row r="4922" customFormat="false" ht="15" hidden="false" customHeight="true" outlineLevel="0" collapsed="false">
      <c r="A4922" s="11" t="str">
        <f aca="false">IF(원본명단!$A4921="","",4919)</f>
        <v/>
      </c>
      <c r="B4922" s="12" t="str">
        <f aca="false">IF($A4922="","",원본명단!$A4921)</f>
        <v/>
      </c>
      <c r="C4922" s="12" t="str">
        <f aca="false">IF($A4922="","",원본명단!$B4921)</f>
        <v/>
      </c>
      <c r="D4922" s="12" t="str">
        <f aca="false">IF($A4922="","",원본명단!$D4921)</f>
        <v/>
      </c>
      <c r="E4922" s="11" t="str">
        <f aca="false">IF($A4922="","",IF(원본명단!$H4921="",0,COUNTIF(원본명단!$H$3:$H$6002,원본명단!$H4921)))</f>
        <v/>
      </c>
      <c r="F4922" s="11" t="str">
        <f aca="false">IF($A4922="","",IF(원본명단!$I4921="",0,COUNTIF(원본명단!$I$3:$I$6002,원본명단!$I4921)))</f>
        <v/>
      </c>
      <c r="G4922" s="11" t="str">
        <f aca="false">IF($A4922="","",IF(원본명단!$K4921="",0,COUNTIF(원본명단!$K$3:$K$6002,원본명단!$K4921)))</f>
        <v/>
      </c>
      <c r="H4922" s="11" t="str">
        <f aca="false">IF($A4922="","",IF(MAX($E4922,$F4922,$G4922)&gt;1,"중복","-"))</f>
        <v/>
      </c>
      <c r="I4922" s="11" t="str">
        <f aca="false">IF($A4922="","",IF($H4922="-","-",IF(AND(IF(원본명단!$H4921="",TRUE(),COUNTIF(원본명단!$H$3:$H4921,원본명단!$H4921)=1),IF(원본명단!$I4921="",TRUE(),COUNTIF(원본명단!$I$3:$I4921,원본명단!$I4921)=1),IF(원본명단!$K4921="",TRUE(),COUNTIF(원본명단!$K$3:$K4921,원본명단!$K4921)=1)),"첫 건","중복 건")))</f>
        <v/>
      </c>
      <c r="J4922" s="11" t="str">
        <f aca="false">IF($A4922="","",IF($H4922="-","유지",IF($I4922="첫 건","유지","확인 필요")))</f>
        <v/>
      </c>
    </row>
    <row r="4923" customFormat="false" ht="15" hidden="false" customHeight="true" outlineLevel="0" collapsed="false">
      <c r="A4923" s="11" t="str">
        <f aca="false">IF(원본명단!$A4922="","",4920)</f>
        <v/>
      </c>
      <c r="B4923" s="12" t="str">
        <f aca="false">IF($A4923="","",원본명단!$A4922)</f>
        <v/>
      </c>
      <c r="C4923" s="12" t="str">
        <f aca="false">IF($A4923="","",원본명단!$B4922)</f>
        <v/>
      </c>
      <c r="D4923" s="12" t="str">
        <f aca="false">IF($A4923="","",원본명단!$D4922)</f>
        <v/>
      </c>
      <c r="E4923" s="11" t="str">
        <f aca="false">IF($A4923="","",IF(원본명단!$H4922="",0,COUNTIF(원본명단!$H$3:$H$6002,원본명단!$H4922)))</f>
        <v/>
      </c>
      <c r="F4923" s="11" t="str">
        <f aca="false">IF($A4923="","",IF(원본명단!$I4922="",0,COUNTIF(원본명단!$I$3:$I$6002,원본명단!$I4922)))</f>
        <v/>
      </c>
      <c r="G4923" s="11" t="str">
        <f aca="false">IF($A4923="","",IF(원본명단!$K4922="",0,COUNTIF(원본명단!$K$3:$K$6002,원본명단!$K4922)))</f>
        <v/>
      </c>
      <c r="H4923" s="11" t="str">
        <f aca="false">IF($A4923="","",IF(MAX($E4923,$F4923,$G4923)&gt;1,"중복","-"))</f>
        <v/>
      </c>
      <c r="I4923" s="11" t="str">
        <f aca="false">IF($A4923="","",IF($H4923="-","-",IF(AND(IF(원본명단!$H4922="",TRUE(),COUNTIF(원본명단!$H$3:$H4922,원본명단!$H4922)=1),IF(원본명단!$I4922="",TRUE(),COUNTIF(원본명단!$I$3:$I4922,원본명단!$I4922)=1),IF(원본명단!$K4922="",TRUE(),COUNTIF(원본명단!$K$3:$K4922,원본명단!$K4922)=1)),"첫 건","중복 건")))</f>
        <v/>
      </c>
      <c r="J4923" s="11" t="str">
        <f aca="false">IF($A4923="","",IF($H4923="-","유지",IF($I4923="첫 건","유지","확인 필요")))</f>
        <v/>
      </c>
    </row>
    <row r="4924" customFormat="false" ht="15" hidden="false" customHeight="true" outlineLevel="0" collapsed="false">
      <c r="A4924" s="11" t="str">
        <f aca="false">IF(원본명단!$A4923="","",4921)</f>
        <v/>
      </c>
      <c r="B4924" s="12" t="str">
        <f aca="false">IF($A4924="","",원본명단!$A4923)</f>
        <v/>
      </c>
      <c r="C4924" s="12" t="str">
        <f aca="false">IF($A4924="","",원본명단!$B4923)</f>
        <v/>
      </c>
      <c r="D4924" s="12" t="str">
        <f aca="false">IF($A4924="","",원본명단!$D4923)</f>
        <v/>
      </c>
      <c r="E4924" s="11" t="str">
        <f aca="false">IF($A4924="","",IF(원본명단!$H4923="",0,COUNTIF(원본명단!$H$3:$H$6002,원본명단!$H4923)))</f>
        <v/>
      </c>
      <c r="F4924" s="11" t="str">
        <f aca="false">IF($A4924="","",IF(원본명단!$I4923="",0,COUNTIF(원본명단!$I$3:$I$6002,원본명단!$I4923)))</f>
        <v/>
      </c>
      <c r="G4924" s="11" t="str">
        <f aca="false">IF($A4924="","",IF(원본명단!$K4923="",0,COUNTIF(원본명단!$K$3:$K$6002,원본명단!$K4923)))</f>
        <v/>
      </c>
      <c r="H4924" s="11" t="str">
        <f aca="false">IF($A4924="","",IF(MAX($E4924,$F4924,$G4924)&gt;1,"중복","-"))</f>
        <v/>
      </c>
      <c r="I4924" s="11" t="str">
        <f aca="false">IF($A4924="","",IF($H4924="-","-",IF(AND(IF(원본명단!$H4923="",TRUE(),COUNTIF(원본명단!$H$3:$H4923,원본명단!$H4923)=1),IF(원본명단!$I4923="",TRUE(),COUNTIF(원본명단!$I$3:$I4923,원본명단!$I4923)=1),IF(원본명단!$K4923="",TRUE(),COUNTIF(원본명단!$K$3:$K4923,원본명단!$K4923)=1)),"첫 건","중복 건")))</f>
        <v/>
      </c>
      <c r="J4924" s="11" t="str">
        <f aca="false">IF($A4924="","",IF($H4924="-","유지",IF($I4924="첫 건","유지","확인 필요")))</f>
        <v/>
      </c>
    </row>
    <row r="4925" customFormat="false" ht="15" hidden="false" customHeight="true" outlineLevel="0" collapsed="false">
      <c r="A4925" s="11" t="str">
        <f aca="false">IF(원본명단!$A4924="","",4922)</f>
        <v/>
      </c>
      <c r="B4925" s="12" t="str">
        <f aca="false">IF($A4925="","",원본명단!$A4924)</f>
        <v/>
      </c>
      <c r="C4925" s="12" t="str">
        <f aca="false">IF($A4925="","",원본명단!$B4924)</f>
        <v/>
      </c>
      <c r="D4925" s="12" t="str">
        <f aca="false">IF($A4925="","",원본명단!$D4924)</f>
        <v/>
      </c>
      <c r="E4925" s="11" t="str">
        <f aca="false">IF($A4925="","",IF(원본명단!$H4924="",0,COUNTIF(원본명단!$H$3:$H$6002,원본명단!$H4924)))</f>
        <v/>
      </c>
      <c r="F4925" s="11" t="str">
        <f aca="false">IF($A4925="","",IF(원본명단!$I4924="",0,COUNTIF(원본명단!$I$3:$I$6002,원본명단!$I4924)))</f>
        <v/>
      </c>
      <c r="G4925" s="11" t="str">
        <f aca="false">IF($A4925="","",IF(원본명단!$K4924="",0,COUNTIF(원본명단!$K$3:$K$6002,원본명단!$K4924)))</f>
        <v/>
      </c>
      <c r="H4925" s="11" t="str">
        <f aca="false">IF($A4925="","",IF(MAX($E4925,$F4925,$G4925)&gt;1,"중복","-"))</f>
        <v/>
      </c>
      <c r="I4925" s="11" t="str">
        <f aca="false">IF($A4925="","",IF($H4925="-","-",IF(AND(IF(원본명단!$H4924="",TRUE(),COUNTIF(원본명단!$H$3:$H4924,원본명단!$H4924)=1),IF(원본명단!$I4924="",TRUE(),COUNTIF(원본명단!$I$3:$I4924,원본명단!$I4924)=1),IF(원본명단!$K4924="",TRUE(),COUNTIF(원본명단!$K$3:$K4924,원본명단!$K4924)=1)),"첫 건","중복 건")))</f>
        <v/>
      </c>
      <c r="J4925" s="11" t="str">
        <f aca="false">IF($A4925="","",IF($H4925="-","유지",IF($I4925="첫 건","유지","확인 필요")))</f>
        <v/>
      </c>
    </row>
    <row r="4926" customFormat="false" ht="15" hidden="false" customHeight="true" outlineLevel="0" collapsed="false">
      <c r="A4926" s="11" t="str">
        <f aca="false">IF(원본명단!$A4925="","",4923)</f>
        <v/>
      </c>
      <c r="B4926" s="12" t="str">
        <f aca="false">IF($A4926="","",원본명단!$A4925)</f>
        <v/>
      </c>
      <c r="C4926" s="12" t="str">
        <f aca="false">IF($A4926="","",원본명단!$B4925)</f>
        <v/>
      </c>
      <c r="D4926" s="12" t="str">
        <f aca="false">IF($A4926="","",원본명단!$D4925)</f>
        <v/>
      </c>
      <c r="E4926" s="11" t="str">
        <f aca="false">IF($A4926="","",IF(원본명단!$H4925="",0,COUNTIF(원본명단!$H$3:$H$6002,원본명단!$H4925)))</f>
        <v/>
      </c>
      <c r="F4926" s="11" t="str">
        <f aca="false">IF($A4926="","",IF(원본명단!$I4925="",0,COUNTIF(원본명단!$I$3:$I$6002,원본명단!$I4925)))</f>
        <v/>
      </c>
      <c r="G4926" s="11" t="str">
        <f aca="false">IF($A4926="","",IF(원본명단!$K4925="",0,COUNTIF(원본명단!$K$3:$K$6002,원본명단!$K4925)))</f>
        <v/>
      </c>
      <c r="H4926" s="11" t="str">
        <f aca="false">IF($A4926="","",IF(MAX($E4926,$F4926,$G4926)&gt;1,"중복","-"))</f>
        <v/>
      </c>
      <c r="I4926" s="11" t="str">
        <f aca="false">IF($A4926="","",IF($H4926="-","-",IF(AND(IF(원본명단!$H4925="",TRUE(),COUNTIF(원본명단!$H$3:$H4925,원본명단!$H4925)=1),IF(원본명단!$I4925="",TRUE(),COUNTIF(원본명단!$I$3:$I4925,원본명단!$I4925)=1),IF(원본명단!$K4925="",TRUE(),COUNTIF(원본명단!$K$3:$K4925,원본명단!$K4925)=1)),"첫 건","중복 건")))</f>
        <v/>
      </c>
      <c r="J4926" s="11" t="str">
        <f aca="false">IF($A4926="","",IF($H4926="-","유지",IF($I4926="첫 건","유지","확인 필요")))</f>
        <v/>
      </c>
    </row>
    <row r="4927" customFormat="false" ht="15" hidden="false" customHeight="true" outlineLevel="0" collapsed="false">
      <c r="A4927" s="11" t="str">
        <f aca="false">IF(원본명단!$A4926="","",4924)</f>
        <v/>
      </c>
      <c r="B4927" s="12" t="str">
        <f aca="false">IF($A4927="","",원본명단!$A4926)</f>
        <v/>
      </c>
      <c r="C4927" s="12" t="str">
        <f aca="false">IF($A4927="","",원본명단!$B4926)</f>
        <v/>
      </c>
      <c r="D4927" s="12" t="str">
        <f aca="false">IF($A4927="","",원본명단!$D4926)</f>
        <v/>
      </c>
      <c r="E4927" s="11" t="str">
        <f aca="false">IF($A4927="","",IF(원본명단!$H4926="",0,COUNTIF(원본명단!$H$3:$H$6002,원본명단!$H4926)))</f>
        <v/>
      </c>
      <c r="F4927" s="11" t="str">
        <f aca="false">IF($A4927="","",IF(원본명단!$I4926="",0,COUNTIF(원본명단!$I$3:$I$6002,원본명단!$I4926)))</f>
        <v/>
      </c>
      <c r="G4927" s="11" t="str">
        <f aca="false">IF($A4927="","",IF(원본명단!$K4926="",0,COUNTIF(원본명단!$K$3:$K$6002,원본명단!$K4926)))</f>
        <v/>
      </c>
      <c r="H4927" s="11" t="str">
        <f aca="false">IF($A4927="","",IF(MAX($E4927,$F4927,$G4927)&gt;1,"중복","-"))</f>
        <v/>
      </c>
      <c r="I4927" s="11" t="str">
        <f aca="false">IF($A4927="","",IF($H4927="-","-",IF(AND(IF(원본명단!$H4926="",TRUE(),COUNTIF(원본명단!$H$3:$H4926,원본명단!$H4926)=1),IF(원본명단!$I4926="",TRUE(),COUNTIF(원본명단!$I$3:$I4926,원본명단!$I4926)=1),IF(원본명단!$K4926="",TRUE(),COUNTIF(원본명단!$K$3:$K4926,원본명단!$K4926)=1)),"첫 건","중복 건")))</f>
        <v/>
      </c>
      <c r="J4927" s="11" t="str">
        <f aca="false">IF($A4927="","",IF($H4927="-","유지",IF($I4927="첫 건","유지","확인 필요")))</f>
        <v/>
      </c>
    </row>
    <row r="4928" customFormat="false" ht="15" hidden="false" customHeight="true" outlineLevel="0" collapsed="false">
      <c r="A4928" s="11" t="str">
        <f aca="false">IF(원본명단!$A4927="","",4925)</f>
        <v/>
      </c>
      <c r="B4928" s="12" t="str">
        <f aca="false">IF($A4928="","",원본명단!$A4927)</f>
        <v/>
      </c>
      <c r="C4928" s="12" t="str">
        <f aca="false">IF($A4928="","",원본명단!$B4927)</f>
        <v/>
      </c>
      <c r="D4928" s="12" t="str">
        <f aca="false">IF($A4928="","",원본명단!$D4927)</f>
        <v/>
      </c>
      <c r="E4928" s="11" t="str">
        <f aca="false">IF($A4928="","",IF(원본명단!$H4927="",0,COUNTIF(원본명단!$H$3:$H$6002,원본명단!$H4927)))</f>
        <v/>
      </c>
      <c r="F4928" s="11" t="str">
        <f aca="false">IF($A4928="","",IF(원본명단!$I4927="",0,COUNTIF(원본명단!$I$3:$I$6002,원본명단!$I4927)))</f>
        <v/>
      </c>
      <c r="G4928" s="11" t="str">
        <f aca="false">IF($A4928="","",IF(원본명단!$K4927="",0,COUNTIF(원본명단!$K$3:$K$6002,원본명단!$K4927)))</f>
        <v/>
      </c>
      <c r="H4928" s="11" t="str">
        <f aca="false">IF($A4928="","",IF(MAX($E4928,$F4928,$G4928)&gt;1,"중복","-"))</f>
        <v/>
      </c>
      <c r="I4928" s="11" t="str">
        <f aca="false">IF($A4928="","",IF($H4928="-","-",IF(AND(IF(원본명단!$H4927="",TRUE(),COUNTIF(원본명단!$H$3:$H4927,원본명단!$H4927)=1),IF(원본명단!$I4927="",TRUE(),COUNTIF(원본명단!$I$3:$I4927,원본명단!$I4927)=1),IF(원본명단!$K4927="",TRUE(),COUNTIF(원본명단!$K$3:$K4927,원본명단!$K4927)=1)),"첫 건","중복 건")))</f>
        <v/>
      </c>
      <c r="J4928" s="11" t="str">
        <f aca="false">IF($A4928="","",IF($H4928="-","유지",IF($I4928="첫 건","유지","확인 필요")))</f>
        <v/>
      </c>
    </row>
    <row r="4929" customFormat="false" ht="15" hidden="false" customHeight="true" outlineLevel="0" collapsed="false">
      <c r="A4929" s="11" t="str">
        <f aca="false">IF(원본명단!$A4928="","",4926)</f>
        <v/>
      </c>
      <c r="B4929" s="12" t="str">
        <f aca="false">IF($A4929="","",원본명단!$A4928)</f>
        <v/>
      </c>
      <c r="C4929" s="12" t="str">
        <f aca="false">IF($A4929="","",원본명단!$B4928)</f>
        <v/>
      </c>
      <c r="D4929" s="12" t="str">
        <f aca="false">IF($A4929="","",원본명단!$D4928)</f>
        <v/>
      </c>
      <c r="E4929" s="11" t="str">
        <f aca="false">IF($A4929="","",IF(원본명단!$H4928="",0,COUNTIF(원본명단!$H$3:$H$6002,원본명단!$H4928)))</f>
        <v/>
      </c>
      <c r="F4929" s="11" t="str">
        <f aca="false">IF($A4929="","",IF(원본명단!$I4928="",0,COUNTIF(원본명단!$I$3:$I$6002,원본명단!$I4928)))</f>
        <v/>
      </c>
      <c r="G4929" s="11" t="str">
        <f aca="false">IF($A4929="","",IF(원본명단!$K4928="",0,COUNTIF(원본명단!$K$3:$K$6002,원본명단!$K4928)))</f>
        <v/>
      </c>
      <c r="H4929" s="11" t="str">
        <f aca="false">IF($A4929="","",IF(MAX($E4929,$F4929,$G4929)&gt;1,"중복","-"))</f>
        <v/>
      </c>
      <c r="I4929" s="11" t="str">
        <f aca="false">IF($A4929="","",IF($H4929="-","-",IF(AND(IF(원본명단!$H4928="",TRUE(),COUNTIF(원본명단!$H$3:$H4928,원본명단!$H4928)=1),IF(원본명단!$I4928="",TRUE(),COUNTIF(원본명단!$I$3:$I4928,원본명단!$I4928)=1),IF(원본명단!$K4928="",TRUE(),COUNTIF(원본명단!$K$3:$K4928,원본명단!$K4928)=1)),"첫 건","중복 건")))</f>
        <v/>
      </c>
      <c r="J4929" s="11" t="str">
        <f aca="false">IF($A4929="","",IF($H4929="-","유지",IF($I4929="첫 건","유지","확인 필요")))</f>
        <v/>
      </c>
    </row>
    <row r="4930" customFormat="false" ht="15" hidden="false" customHeight="true" outlineLevel="0" collapsed="false">
      <c r="A4930" s="11" t="str">
        <f aca="false">IF(원본명단!$A4929="","",4927)</f>
        <v/>
      </c>
      <c r="B4930" s="12" t="str">
        <f aca="false">IF($A4930="","",원본명단!$A4929)</f>
        <v/>
      </c>
      <c r="C4930" s="12" t="str">
        <f aca="false">IF($A4930="","",원본명단!$B4929)</f>
        <v/>
      </c>
      <c r="D4930" s="12" t="str">
        <f aca="false">IF($A4930="","",원본명단!$D4929)</f>
        <v/>
      </c>
      <c r="E4930" s="11" t="str">
        <f aca="false">IF($A4930="","",IF(원본명단!$H4929="",0,COUNTIF(원본명단!$H$3:$H$6002,원본명단!$H4929)))</f>
        <v/>
      </c>
      <c r="F4930" s="11" t="str">
        <f aca="false">IF($A4930="","",IF(원본명단!$I4929="",0,COUNTIF(원본명단!$I$3:$I$6002,원본명단!$I4929)))</f>
        <v/>
      </c>
      <c r="G4930" s="11" t="str">
        <f aca="false">IF($A4930="","",IF(원본명단!$K4929="",0,COUNTIF(원본명단!$K$3:$K$6002,원본명단!$K4929)))</f>
        <v/>
      </c>
      <c r="H4930" s="11" t="str">
        <f aca="false">IF($A4930="","",IF(MAX($E4930,$F4930,$G4930)&gt;1,"중복","-"))</f>
        <v/>
      </c>
      <c r="I4930" s="11" t="str">
        <f aca="false">IF($A4930="","",IF($H4930="-","-",IF(AND(IF(원본명단!$H4929="",TRUE(),COUNTIF(원본명단!$H$3:$H4929,원본명단!$H4929)=1),IF(원본명단!$I4929="",TRUE(),COUNTIF(원본명단!$I$3:$I4929,원본명단!$I4929)=1),IF(원본명단!$K4929="",TRUE(),COUNTIF(원본명단!$K$3:$K4929,원본명단!$K4929)=1)),"첫 건","중복 건")))</f>
        <v/>
      </c>
      <c r="J4930" s="11" t="str">
        <f aca="false">IF($A4930="","",IF($H4930="-","유지",IF($I4930="첫 건","유지","확인 필요")))</f>
        <v/>
      </c>
    </row>
    <row r="4931" customFormat="false" ht="15" hidden="false" customHeight="true" outlineLevel="0" collapsed="false">
      <c r="A4931" s="11" t="str">
        <f aca="false">IF(원본명단!$A4930="","",4928)</f>
        <v/>
      </c>
      <c r="B4931" s="12" t="str">
        <f aca="false">IF($A4931="","",원본명단!$A4930)</f>
        <v/>
      </c>
      <c r="C4931" s="12" t="str">
        <f aca="false">IF($A4931="","",원본명단!$B4930)</f>
        <v/>
      </c>
      <c r="D4931" s="12" t="str">
        <f aca="false">IF($A4931="","",원본명단!$D4930)</f>
        <v/>
      </c>
      <c r="E4931" s="11" t="str">
        <f aca="false">IF($A4931="","",IF(원본명단!$H4930="",0,COUNTIF(원본명단!$H$3:$H$6002,원본명단!$H4930)))</f>
        <v/>
      </c>
      <c r="F4931" s="11" t="str">
        <f aca="false">IF($A4931="","",IF(원본명단!$I4930="",0,COUNTIF(원본명단!$I$3:$I$6002,원본명단!$I4930)))</f>
        <v/>
      </c>
      <c r="G4931" s="11" t="str">
        <f aca="false">IF($A4931="","",IF(원본명단!$K4930="",0,COUNTIF(원본명단!$K$3:$K$6002,원본명단!$K4930)))</f>
        <v/>
      </c>
      <c r="H4931" s="11" t="str">
        <f aca="false">IF($A4931="","",IF(MAX($E4931,$F4931,$G4931)&gt;1,"중복","-"))</f>
        <v/>
      </c>
      <c r="I4931" s="11" t="str">
        <f aca="false">IF($A4931="","",IF($H4931="-","-",IF(AND(IF(원본명단!$H4930="",TRUE(),COUNTIF(원본명단!$H$3:$H4930,원본명단!$H4930)=1),IF(원본명단!$I4930="",TRUE(),COUNTIF(원본명단!$I$3:$I4930,원본명단!$I4930)=1),IF(원본명단!$K4930="",TRUE(),COUNTIF(원본명단!$K$3:$K4930,원본명단!$K4930)=1)),"첫 건","중복 건")))</f>
        <v/>
      </c>
      <c r="J4931" s="11" t="str">
        <f aca="false">IF($A4931="","",IF($H4931="-","유지",IF($I4931="첫 건","유지","확인 필요")))</f>
        <v/>
      </c>
    </row>
    <row r="4932" customFormat="false" ht="15" hidden="false" customHeight="true" outlineLevel="0" collapsed="false">
      <c r="A4932" s="11" t="str">
        <f aca="false">IF(원본명단!$A4931="","",4929)</f>
        <v/>
      </c>
      <c r="B4932" s="12" t="str">
        <f aca="false">IF($A4932="","",원본명단!$A4931)</f>
        <v/>
      </c>
      <c r="C4932" s="12" t="str">
        <f aca="false">IF($A4932="","",원본명단!$B4931)</f>
        <v/>
      </c>
      <c r="D4932" s="12" t="str">
        <f aca="false">IF($A4932="","",원본명단!$D4931)</f>
        <v/>
      </c>
      <c r="E4932" s="11" t="str">
        <f aca="false">IF($A4932="","",IF(원본명단!$H4931="",0,COUNTIF(원본명단!$H$3:$H$6002,원본명단!$H4931)))</f>
        <v/>
      </c>
      <c r="F4932" s="11" t="str">
        <f aca="false">IF($A4932="","",IF(원본명단!$I4931="",0,COUNTIF(원본명단!$I$3:$I$6002,원본명단!$I4931)))</f>
        <v/>
      </c>
      <c r="G4932" s="11" t="str">
        <f aca="false">IF($A4932="","",IF(원본명단!$K4931="",0,COUNTIF(원본명단!$K$3:$K$6002,원본명단!$K4931)))</f>
        <v/>
      </c>
      <c r="H4932" s="11" t="str">
        <f aca="false">IF($A4932="","",IF(MAX($E4932,$F4932,$G4932)&gt;1,"중복","-"))</f>
        <v/>
      </c>
      <c r="I4932" s="11" t="str">
        <f aca="false">IF($A4932="","",IF($H4932="-","-",IF(AND(IF(원본명단!$H4931="",TRUE(),COUNTIF(원본명단!$H$3:$H4931,원본명단!$H4931)=1),IF(원본명단!$I4931="",TRUE(),COUNTIF(원본명단!$I$3:$I4931,원본명단!$I4931)=1),IF(원본명단!$K4931="",TRUE(),COUNTIF(원본명단!$K$3:$K4931,원본명단!$K4931)=1)),"첫 건","중복 건")))</f>
        <v/>
      </c>
      <c r="J4932" s="11" t="str">
        <f aca="false">IF($A4932="","",IF($H4932="-","유지",IF($I4932="첫 건","유지","확인 필요")))</f>
        <v/>
      </c>
    </row>
    <row r="4933" customFormat="false" ht="15" hidden="false" customHeight="true" outlineLevel="0" collapsed="false">
      <c r="A4933" s="11" t="str">
        <f aca="false">IF(원본명단!$A4932="","",4930)</f>
        <v/>
      </c>
      <c r="B4933" s="12" t="str">
        <f aca="false">IF($A4933="","",원본명단!$A4932)</f>
        <v/>
      </c>
      <c r="C4933" s="12" t="str">
        <f aca="false">IF($A4933="","",원본명단!$B4932)</f>
        <v/>
      </c>
      <c r="D4933" s="12" t="str">
        <f aca="false">IF($A4933="","",원본명단!$D4932)</f>
        <v/>
      </c>
      <c r="E4933" s="11" t="str">
        <f aca="false">IF($A4933="","",IF(원본명단!$H4932="",0,COUNTIF(원본명단!$H$3:$H$6002,원본명단!$H4932)))</f>
        <v/>
      </c>
      <c r="F4933" s="11" t="str">
        <f aca="false">IF($A4933="","",IF(원본명단!$I4932="",0,COUNTIF(원본명단!$I$3:$I$6002,원본명단!$I4932)))</f>
        <v/>
      </c>
      <c r="G4933" s="11" t="str">
        <f aca="false">IF($A4933="","",IF(원본명단!$K4932="",0,COUNTIF(원본명단!$K$3:$K$6002,원본명단!$K4932)))</f>
        <v/>
      </c>
      <c r="H4933" s="11" t="str">
        <f aca="false">IF($A4933="","",IF(MAX($E4933,$F4933,$G4933)&gt;1,"중복","-"))</f>
        <v/>
      </c>
      <c r="I4933" s="11" t="str">
        <f aca="false">IF($A4933="","",IF($H4933="-","-",IF(AND(IF(원본명단!$H4932="",TRUE(),COUNTIF(원본명단!$H$3:$H4932,원본명단!$H4932)=1),IF(원본명단!$I4932="",TRUE(),COUNTIF(원본명단!$I$3:$I4932,원본명단!$I4932)=1),IF(원본명단!$K4932="",TRUE(),COUNTIF(원본명단!$K$3:$K4932,원본명단!$K4932)=1)),"첫 건","중복 건")))</f>
        <v/>
      </c>
      <c r="J4933" s="11" t="str">
        <f aca="false">IF($A4933="","",IF($H4933="-","유지",IF($I4933="첫 건","유지","확인 필요")))</f>
        <v/>
      </c>
    </row>
    <row r="4934" customFormat="false" ht="15" hidden="false" customHeight="true" outlineLevel="0" collapsed="false">
      <c r="A4934" s="11" t="str">
        <f aca="false">IF(원본명단!$A4933="","",4931)</f>
        <v/>
      </c>
      <c r="B4934" s="12" t="str">
        <f aca="false">IF($A4934="","",원본명단!$A4933)</f>
        <v/>
      </c>
      <c r="C4934" s="12" t="str">
        <f aca="false">IF($A4934="","",원본명단!$B4933)</f>
        <v/>
      </c>
      <c r="D4934" s="12" t="str">
        <f aca="false">IF($A4934="","",원본명단!$D4933)</f>
        <v/>
      </c>
      <c r="E4934" s="11" t="str">
        <f aca="false">IF($A4934="","",IF(원본명단!$H4933="",0,COUNTIF(원본명단!$H$3:$H$6002,원본명단!$H4933)))</f>
        <v/>
      </c>
      <c r="F4934" s="11" t="str">
        <f aca="false">IF($A4934="","",IF(원본명단!$I4933="",0,COUNTIF(원본명단!$I$3:$I$6002,원본명단!$I4933)))</f>
        <v/>
      </c>
      <c r="G4934" s="11" t="str">
        <f aca="false">IF($A4934="","",IF(원본명단!$K4933="",0,COUNTIF(원본명단!$K$3:$K$6002,원본명단!$K4933)))</f>
        <v/>
      </c>
      <c r="H4934" s="11" t="str">
        <f aca="false">IF($A4934="","",IF(MAX($E4934,$F4934,$G4934)&gt;1,"중복","-"))</f>
        <v/>
      </c>
      <c r="I4934" s="11" t="str">
        <f aca="false">IF($A4934="","",IF($H4934="-","-",IF(AND(IF(원본명단!$H4933="",TRUE(),COUNTIF(원본명단!$H$3:$H4933,원본명단!$H4933)=1),IF(원본명단!$I4933="",TRUE(),COUNTIF(원본명단!$I$3:$I4933,원본명단!$I4933)=1),IF(원본명단!$K4933="",TRUE(),COUNTIF(원본명단!$K$3:$K4933,원본명단!$K4933)=1)),"첫 건","중복 건")))</f>
        <v/>
      </c>
      <c r="J4934" s="11" t="str">
        <f aca="false">IF($A4934="","",IF($H4934="-","유지",IF($I4934="첫 건","유지","확인 필요")))</f>
        <v/>
      </c>
    </row>
    <row r="4935" customFormat="false" ht="15" hidden="false" customHeight="true" outlineLevel="0" collapsed="false">
      <c r="A4935" s="11" t="str">
        <f aca="false">IF(원본명단!$A4934="","",4932)</f>
        <v/>
      </c>
      <c r="B4935" s="12" t="str">
        <f aca="false">IF($A4935="","",원본명단!$A4934)</f>
        <v/>
      </c>
      <c r="C4935" s="12" t="str">
        <f aca="false">IF($A4935="","",원본명단!$B4934)</f>
        <v/>
      </c>
      <c r="D4935" s="12" t="str">
        <f aca="false">IF($A4935="","",원본명단!$D4934)</f>
        <v/>
      </c>
      <c r="E4935" s="11" t="str">
        <f aca="false">IF($A4935="","",IF(원본명단!$H4934="",0,COUNTIF(원본명단!$H$3:$H$6002,원본명단!$H4934)))</f>
        <v/>
      </c>
      <c r="F4935" s="11" t="str">
        <f aca="false">IF($A4935="","",IF(원본명단!$I4934="",0,COUNTIF(원본명단!$I$3:$I$6002,원본명단!$I4934)))</f>
        <v/>
      </c>
      <c r="G4935" s="11" t="str">
        <f aca="false">IF($A4935="","",IF(원본명단!$K4934="",0,COUNTIF(원본명단!$K$3:$K$6002,원본명단!$K4934)))</f>
        <v/>
      </c>
      <c r="H4935" s="11" t="str">
        <f aca="false">IF($A4935="","",IF(MAX($E4935,$F4935,$G4935)&gt;1,"중복","-"))</f>
        <v/>
      </c>
      <c r="I4935" s="11" t="str">
        <f aca="false">IF($A4935="","",IF($H4935="-","-",IF(AND(IF(원본명단!$H4934="",TRUE(),COUNTIF(원본명단!$H$3:$H4934,원본명단!$H4934)=1),IF(원본명단!$I4934="",TRUE(),COUNTIF(원본명단!$I$3:$I4934,원본명단!$I4934)=1),IF(원본명단!$K4934="",TRUE(),COUNTIF(원본명단!$K$3:$K4934,원본명단!$K4934)=1)),"첫 건","중복 건")))</f>
        <v/>
      </c>
      <c r="J4935" s="11" t="str">
        <f aca="false">IF($A4935="","",IF($H4935="-","유지",IF($I4935="첫 건","유지","확인 필요")))</f>
        <v/>
      </c>
    </row>
    <row r="4936" customFormat="false" ht="15" hidden="false" customHeight="true" outlineLevel="0" collapsed="false">
      <c r="A4936" s="11" t="str">
        <f aca="false">IF(원본명단!$A4935="","",4933)</f>
        <v/>
      </c>
      <c r="B4936" s="12" t="str">
        <f aca="false">IF($A4936="","",원본명단!$A4935)</f>
        <v/>
      </c>
      <c r="C4936" s="12" t="str">
        <f aca="false">IF($A4936="","",원본명단!$B4935)</f>
        <v/>
      </c>
      <c r="D4936" s="12" t="str">
        <f aca="false">IF($A4936="","",원본명단!$D4935)</f>
        <v/>
      </c>
      <c r="E4936" s="11" t="str">
        <f aca="false">IF($A4936="","",IF(원본명단!$H4935="",0,COUNTIF(원본명단!$H$3:$H$6002,원본명단!$H4935)))</f>
        <v/>
      </c>
      <c r="F4936" s="11" t="str">
        <f aca="false">IF($A4936="","",IF(원본명단!$I4935="",0,COUNTIF(원본명단!$I$3:$I$6002,원본명단!$I4935)))</f>
        <v/>
      </c>
      <c r="G4936" s="11" t="str">
        <f aca="false">IF($A4936="","",IF(원본명단!$K4935="",0,COUNTIF(원본명단!$K$3:$K$6002,원본명단!$K4935)))</f>
        <v/>
      </c>
      <c r="H4936" s="11" t="str">
        <f aca="false">IF($A4936="","",IF(MAX($E4936,$F4936,$G4936)&gt;1,"중복","-"))</f>
        <v/>
      </c>
      <c r="I4936" s="11" t="str">
        <f aca="false">IF($A4936="","",IF($H4936="-","-",IF(AND(IF(원본명단!$H4935="",TRUE(),COUNTIF(원본명단!$H$3:$H4935,원본명단!$H4935)=1),IF(원본명단!$I4935="",TRUE(),COUNTIF(원본명단!$I$3:$I4935,원본명단!$I4935)=1),IF(원본명단!$K4935="",TRUE(),COUNTIF(원본명단!$K$3:$K4935,원본명단!$K4935)=1)),"첫 건","중복 건")))</f>
        <v/>
      </c>
      <c r="J4936" s="11" t="str">
        <f aca="false">IF($A4936="","",IF($H4936="-","유지",IF($I4936="첫 건","유지","확인 필요")))</f>
        <v/>
      </c>
    </row>
    <row r="4937" customFormat="false" ht="15" hidden="false" customHeight="true" outlineLevel="0" collapsed="false">
      <c r="A4937" s="11" t="str">
        <f aca="false">IF(원본명단!$A4936="","",4934)</f>
        <v/>
      </c>
      <c r="B4937" s="12" t="str">
        <f aca="false">IF($A4937="","",원본명단!$A4936)</f>
        <v/>
      </c>
      <c r="C4937" s="12" t="str">
        <f aca="false">IF($A4937="","",원본명단!$B4936)</f>
        <v/>
      </c>
      <c r="D4937" s="12" t="str">
        <f aca="false">IF($A4937="","",원본명단!$D4936)</f>
        <v/>
      </c>
      <c r="E4937" s="11" t="str">
        <f aca="false">IF($A4937="","",IF(원본명단!$H4936="",0,COUNTIF(원본명단!$H$3:$H$6002,원본명단!$H4936)))</f>
        <v/>
      </c>
      <c r="F4937" s="11" t="str">
        <f aca="false">IF($A4937="","",IF(원본명단!$I4936="",0,COUNTIF(원본명단!$I$3:$I$6002,원본명단!$I4936)))</f>
        <v/>
      </c>
      <c r="G4937" s="11" t="str">
        <f aca="false">IF($A4937="","",IF(원본명단!$K4936="",0,COUNTIF(원본명단!$K$3:$K$6002,원본명단!$K4936)))</f>
        <v/>
      </c>
      <c r="H4937" s="11" t="str">
        <f aca="false">IF($A4937="","",IF(MAX($E4937,$F4937,$G4937)&gt;1,"중복","-"))</f>
        <v/>
      </c>
      <c r="I4937" s="11" t="str">
        <f aca="false">IF($A4937="","",IF($H4937="-","-",IF(AND(IF(원본명단!$H4936="",TRUE(),COUNTIF(원본명단!$H$3:$H4936,원본명단!$H4936)=1),IF(원본명단!$I4936="",TRUE(),COUNTIF(원본명단!$I$3:$I4936,원본명단!$I4936)=1),IF(원본명단!$K4936="",TRUE(),COUNTIF(원본명단!$K$3:$K4936,원본명단!$K4936)=1)),"첫 건","중복 건")))</f>
        <v/>
      </c>
      <c r="J4937" s="11" t="str">
        <f aca="false">IF($A4937="","",IF($H4937="-","유지",IF($I4937="첫 건","유지","확인 필요")))</f>
        <v/>
      </c>
    </row>
    <row r="4938" customFormat="false" ht="15" hidden="false" customHeight="true" outlineLevel="0" collapsed="false">
      <c r="A4938" s="11" t="str">
        <f aca="false">IF(원본명단!$A4937="","",4935)</f>
        <v/>
      </c>
      <c r="B4938" s="12" t="str">
        <f aca="false">IF($A4938="","",원본명단!$A4937)</f>
        <v/>
      </c>
      <c r="C4938" s="12" t="str">
        <f aca="false">IF($A4938="","",원본명단!$B4937)</f>
        <v/>
      </c>
      <c r="D4938" s="12" t="str">
        <f aca="false">IF($A4938="","",원본명단!$D4937)</f>
        <v/>
      </c>
      <c r="E4938" s="11" t="str">
        <f aca="false">IF($A4938="","",IF(원본명단!$H4937="",0,COUNTIF(원본명단!$H$3:$H$6002,원본명단!$H4937)))</f>
        <v/>
      </c>
      <c r="F4938" s="11" t="str">
        <f aca="false">IF($A4938="","",IF(원본명단!$I4937="",0,COUNTIF(원본명단!$I$3:$I$6002,원본명단!$I4937)))</f>
        <v/>
      </c>
      <c r="G4938" s="11" t="str">
        <f aca="false">IF($A4938="","",IF(원본명단!$K4937="",0,COUNTIF(원본명단!$K$3:$K$6002,원본명단!$K4937)))</f>
        <v/>
      </c>
      <c r="H4938" s="11" t="str">
        <f aca="false">IF($A4938="","",IF(MAX($E4938,$F4938,$G4938)&gt;1,"중복","-"))</f>
        <v/>
      </c>
      <c r="I4938" s="11" t="str">
        <f aca="false">IF($A4938="","",IF($H4938="-","-",IF(AND(IF(원본명단!$H4937="",TRUE(),COUNTIF(원본명단!$H$3:$H4937,원본명단!$H4937)=1),IF(원본명단!$I4937="",TRUE(),COUNTIF(원본명단!$I$3:$I4937,원본명단!$I4937)=1),IF(원본명단!$K4937="",TRUE(),COUNTIF(원본명단!$K$3:$K4937,원본명단!$K4937)=1)),"첫 건","중복 건")))</f>
        <v/>
      </c>
      <c r="J4938" s="11" t="str">
        <f aca="false">IF($A4938="","",IF($H4938="-","유지",IF($I4938="첫 건","유지","확인 필요")))</f>
        <v/>
      </c>
    </row>
    <row r="4939" customFormat="false" ht="15" hidden="false" customHeight="true" outlineLevel="0" collapsed="false">
      <c r="A4939" s="11" t="str">
        <f aca="false">IF(원본명단!$A4938="","",4936)</f>
        <v/>
      </c>
      <c r="B4939" s="12" t="str">
        <f aca="false">IF($A4939="","",원본명단!$A4938)</f>
        <v/>
      </c>
      <c r="C4939" s="12" t="str">
        <f aca="false">IF($A4939="","",원본명단!$B4938)</f>
        <v/>
      </c>
      <c r="D4939" s="12" t="str">
        <f aca="false">IF($A4939="","",원본명단!$D4938)</f>
        <v/>
      </c>
      <c r="E4939" s="11" t="str">
        <f aca="false">IF($A4939="","",IF(원본명단!$H4938="",0,COUNTIF(원본명단!$H$3:$H$6002,원본명단!$H4938)))</f>
        <v/>
      </c>
      <c r="F4939" s="11" t="str">
        <f aca="false">IF($A4939="","",IF(원본명단!$I4938="",0,COUNTIF(원본명단!$I$3:$I$6002,원본명단!$I4938)))</f>
        <v/>
      </c>
      <c r="G4939" s="11" t="str">
        <f aca="false">IF($A4939="","",IF(원본명단!$K4938="",0,COUNTIF(원본명단!$K$3:$K$6002,원본명단!$K4938)))</f>
        <v/>
      </c>
      <c r="H4939" s="11" t="str">
        <f aca="false">IF($A4939="","",IF(MAX($E4939,$F4939,$G4939)&gt;1,"중복","-"))</f>
        <v/>
      </c>
      <c r="I4939" s="11" t="str">
        <f aca="false">IF($A4939="","",IF($H4939="-","-",IF(AND(IF(원본명단!$H4938="",TRUE(),COUNTIF(원본명단!$H$3:$H4938,원본명단!$H4938)=1),IF(원본명단!$I4938="",TRUE(),COUNTIF(원본명단!$I$3:$I4938,원본명단!$I4938)=1),IF(원본명단!$K4938="",TRUE(),COUNTIF(원본명단!$K$3:$K4938,원본명단!$K4938)=1)),"첫 건","중복 건")))</f>
        <v/>
      </c>
      <c r="J4939" s="11" t="str">
        <f aca="false">IF($A4939="","",IF($H4939="-","유지",IF($I4939="첫 건","유지","확인 필요")))</f>
        <v/>
      </c>
    </row>
    <row r="4940" customFormat="false" ht="15" hidden="false" customHeight="true" outlineLevel="0" collapsed="false">
      <c r="A4940" s="11" t="str">
        <f aca="false">IF(원본명단!$A4939="","",4937)</f>
        <v/>
      </c>
      <c r="B4940" s="12" t="str">
        <f aca="false">IF($A4940="","",원본명단!$A4939)</f>
        <v/>
      </c>
      <c r="C4940" s="12" t="str">
        <f aca="false">IF($A4940="","",원본명단!$B4939)</f>
        <v/>
      </c>
      <c r="D4940" s="12" t="str">
        <f aca="false">IF($A4940="","",원본명단!$D4939)</f>
        <v/>
      </c>
      <c r="E4940" s="11" t="str">
        <f aca="false">IF($A4940="","",IF(원본명단!$H4939="",0,COUNTIF(원본명단!$H$3:$H$6002,원본명단!$H4939)))</f>
        <v/>
      </c>
      <c r="F4940" s="11" t="str">
        <f aca="false">IF($A4940="","",IF(원본명단!$I4939="",0,COUNTIF(원본명단!$I$3:$I$6002,원본명단!$I4939)))</f>
        <v/>
      </c>
      <c r="G4940" s="11" t="str">
        <f aca="false">IF($A4940="","",IF(원본명단!$K4939="",0,COUNTIF(원본명단!$K$3:$K$6002,원본명단!$K4939)))</f>
        <v/>
      </c>
      <c r="H4940" s="11" t="str">
        <f aca="false">IF($A4940="","",IF(MAX($E4940,$F4940,$G4940)&gt;1,"중복","-"))</f>
        <v/>
      </c>
      <c r="I4940" s="11" t="str">
        <f aca="false">IF($A4940="","",IF($H4940="-","-",IF(AND(IF(원본명단!$H4939="",TRUE(),COUNTIF(원본명단!$H$3:$H4939,원본명단!$H4939)=1),IF(원본명단!$I4939="",TRUE(),COUNTIF(원본명단!$I$3:$I4939,원본명단!$I4939)=1),IF(원본명단!$K4939="",TRUE(),COUNTIF(원본명단!$K$3:$K4939,원본명단!$K4939)=1)),"첫 건","중복 건")))</f>
        <v/>
      </c>
      <c r="J4940" s="11" t="str">
        <f aca="false">IF($A4940="","",IF($H4940="-","유지",IF($I4940="첫 건","유지","확인 필요")))</f>
        <v/>
      </c>
    </row>
    <row r="4941" customFormat="false" ht="15" hidden="false" customHeight="true" outlineLevel="0" collapsed="false">
      <c r="A4941" s="11" t="str">
        <f aca="false">IF(원본명단!$A4940="","",4938)</f>
        <v/>
      </c>
      <c r="B4941" s="12" t="str">
        <f aca="false">IF($A4941="","",원본명단!$A4940)</f>
        <v/>
      </c>
      <c r="C4941" s="12" t="str">
        <f aca="false">IF($A4941="","",원본명단!$B4940)</f>
        <v/>
      </c>
      <c r="D4941" s="12" t="str">
        <f aca="false">IF($A4941="","",원본명단!$D4940)</f>
        <v/>
      </c>
      <c r="E4941" s="11" t="str">
        <f aca="false">IF($A4941="","",IF(원본명단!$H4940="",0,COUNTIF(원본명단!$H$3:$H$6002,원본명단!$H4940)))</f>
        <v/>
      </c>
      <c r="F4941" s="11" t="str">
        <f aca="false">IF($A4941="","",IF(원본명단!$I4940="",0,COUNTIF(원본명단!$I$3:$I$6002,원본명단!$I4940)))</f>
        <v/>
      </c>
      <c r="G4941" s="11" t="str">
        <f aca="false">IF($A4941="","",IF(원본명단!$K4940="",0,COUNTIF(원본명단!$K$3:$K$6002,원본명단!$K4940)))</f>
        <v/>
      </c>
      <c r="H4941" s="11" t="str">
        <f aca="false">IF($A4941="","",IF(MAX($E4941,$F4941,$G4941)&gt;1,"중복","-"))</f>
        <v/>
      </c>
      <c r="I4941" s="11" t="str">
        <f aca="false">IF($A4941="","",IF($H4941="-","-",IF(AND(IF(원본명단!$H4940="",TRUE(),COUNTIF(원본명단!$H$3:$H4940,원본명단!$H4940)=1),IF(원본명단!$I4940="",TRUE(),COUNTIF(원본명단!$I$3:$I4940,원본명단!$I4940)=1),IF(원본명단!$K4940="",TRUE(),COUNTIF(원본명단!$K$3:$K4940,원본명단!$K4940)=1)),"첫 건","중복 건")))</f>
        <v/>
      </c>
      <c r="J4941" s="11" t="str">
        <f aca="false">IF($A4941="","",IF($H4941="-","유지",IF($I4941="첫 건","유지","확인 필요")))</f>
        <v/>
      </c>
    </row>
    <row r="4942" customFormat="false" ht="15" hidden="false" customHeight="true" outlineLevel="0" collapsed="false">
      <c r="A4942" s="11" t="str">
        <f aca="false">IF(원본명단!$A4941="","",4939)</f>
        <v/>
      </c>
      <c r="B4942" s="12" t="str">
        <f aca="false">IF($A4942="","",원본명단!$A4941)</f>
        <v/>
      </c>
      <c r="C4942" s="12" t="str">
        <f aca="false">IF($A4942="","",원본명단!$B4941)</f>
        <v/>
      </c>
      <c r="D4942" s="12" t="str">
        <f aca="false">IF($A4942="","",원본명단!$D4941)</f>
        <v/>
      </c>
      <c r="E4942" s="11" t="str">
        <f aca="false">IF($A4942="","",IF(원본명단!$H4941="",0,COUNTIF(원본명단!$H$3:$H$6002,원본명단!$H4941)))</f>
        <v/>
      </c>
      <c r="F4942" s="11" t="str">
        <f aca="false">IF($A4942="","",IF(원본명단!$I4941="",0,COUNTIF(원본명단!$I$3:$I$6002,원본명단!$I4941)))</f>
        <v/>
      </c>
      <c r="G4942" s="11" t="str">
        <f aca="false">IF($A4942="","",IF(원본명단!$K4941="",0,COUNTIF(원본명단!$K$3:$K$6002,원본명단!$K4941)))</f>
        <v/>
      </c>
      <c r="H4942" s="11" t="str">
        <f aca="false">IF($A4942="","",IF(MAX($E4942,$F4942,$G4942)&gt;1,"중복","-"))</f>
        <v/>
      </c>
      <c r="I4942" s="11" t="str">
        <f aca="false">IF($A4942="","",IF($H4942="-","-",IF(AND(IF(원본명단!$H4941="",TRUE(),COUNTIF(원본명단!$H$3:$H4941,원본명단!$H4941)=1),IF(원본명단!$I4941="",TRUE(),COUNTIF(원본명단!$I$3:$I4941,원본명단!$I4941)=1),IF(원본명단!$K4941="",TRUE(),COUNTIF(원본명단!$K$3:$K4941,원본명단!$K4941)=1)),"첫 건","중복 건")))</f>
        <v/>
      </c>
      <c r="J4942" s="11" t="str">
        <f aca="false">IF($A4942="","",IF($H4942="-","유지",IF($I4942="첫 건","유지","확인 필요")))</f>
        <v/>
      </c>
    </row>
    <row r="4943" customFormat="false" ht="15" hidden="false" customHeight="true" outlineLevel="0" collapsed="false">
      <c r="A4943" s="11" t="str">
        <f aca="false">IF(원본명단!$A4942="","",4940)</f>
        <v/>
      </c>
      <c r="B4943" s="12" t="str">
        <f aca="false">IF($A4943="","",원본명단!$A4942)</f>
        <v/>
      </c>
      <c r="C4943" s="12" t="str">
        <f aca="false">IF($A4943="","",원본명단!$B4942)</f>
        <v/>
      </c>
      <c r="D4943" s="12" t="str">
        <f aca="false">IF($A4943="","",원본명단!$D4942)</f>
        <v/>
      </c>
      <c r="E4943" s="11" t="str">
        <f aca="false">IF($A4943="","",IF(원본명단!$H4942="",0,COUNTIF(원본명단!$H$3:$H$6002,원본명단!$H4942)))</f>
        <v/>
      </c>
      <c r="F4943" s="11" t="str">
        <f aca="false">IF($A4943="","",IF(원본명단!$I4942="",0,COUNTIF(원본명단!$I$3:$I$6002,원본명단!$I4942)))</f>
        <v/>
      </c>
      <c r="G4943" s="11" t="str">
        <f aca="false">IF($A4943="","",IF(원본명단!$K4942="",0,COUNTIF(원본명단!$K$3:$K$6002,원본명단!$K4942)))</f>
        <v/>
      </c>
      <c r="H4943" s="11" t="str">
        <f aca="false">IF($A4943="","",IF(MAX($E4943,$F4943,$G4943)&gt;1,"중복","-"))</f>
        <v/>
      </c>
      <c r="I4943" s="11" t="str">
        <f aca="false">IF($A4943="","",IF($H4943="-","-",IF(AND(IF(원본명단!$H4942="",TRUE(),COUNTIF(원본명단!$H$3:$H4942,원본명단!$H4942)=1),IF(원본명단!$I4942="",TRUE(),COUNTIF(원본명단!$I$3:$I4942,원본명단!$I4942)=1),IF(원본명단!$K4942="",TRUE(),COUNTIF(원본명단!$K$3:$K4942,원본명단!$K4942)=1)),"첫 건","중복 건")))</f>
        <v/>
      </c>
      <c r="J4943" s="11" t="str">
        <f aca="false">IF($A4943="","",IF($H4943="-","유지",IF($I4943="첫 건","유지","확인 필요")))</f>
        <v/>
      </c>
    </row>
    <row r="4944" customFormat="false" ht="15" hidden="false" customHeight="true" outlineLevel="0" collapsed="false">
      <c r="A4944" s="11" t="str">
        <f aca="false">IF(원본명단!$A4943="","",4941)</f>
        <v/>
      </c>
      <c r="B4944" s="12" t="str">
        <f aca="false">IF($A4944="","",원본명단!$A4943)</f>
        <v/>
      </c>
      <c r="C4944" s="12" t="str">
        <f aca="false">IF($A4944="","",원본명단!$B4943)</f>
        <v/>
      </c>
      <c r="D4944" s="12" t="str">
        <f aca="false">IF($A4944="","",원본명단!$D4943)</f>
        <v/>
      </c>
      <c r="E4944" s="11" t="str">
        <f aca="false">IF($A4944="","",IF(원본명단!$H4943="",0,COUNTIF(원본명단!$H$3:$H$6002,원본명단!$H4943)))</f>
        <v/>
      </c>
      <c r="F4944" s="11" t="str">
        <f aca="false">IF($A4944="","",IF(원본명단!$I4943="",0,COUNTIF(원본명단!$I$3:$I$6002,원본명단!$I4943)))</f>
        <v/>
      </c>
      <c r="G4944" s="11" t="str">
        <f aca="false">IF($A4944="","",IF(원본명단!$K4943="",0,COUNTIF(원본명단!$K$3:$K$6002,원본명단!$K4943)))</f>
        <v/>
      </c>
      <c r="H4944" s="11" t="str">
        <f aca="false">IF($A4944="","",IF(MAX($E4944,$F4944,$G4944)&gt;1,"중복","-"))</f>
        <v/>
      </c>
      <c r="I4944" s="11" t="str">
        <f aca="false">IF($A4944="","",IF($H4944="-","-",IF(AND(IF(원본명단!$H4943="",TRUE(),COUNTIF(원본명단!$H$3:$H4943,원본명단!$H4943)=1),IF(원본명단!$I4943="",TRUE(),COUNTIF(원본명단!$I$3:$I4943,원본명단!$I4943)=1),IF(원본명단!$K4943="",TRUE(),COUNTIF(원본명단!$K$3:$K4943,원본명단!$K4943)=1)),"첫 건","중복 건")))</f>
        <v/>
      </c>
      <c r="J4944" s="11" t="str">
        <f aca="false">IF($A4944="","",IF($H4944="-","유지",IF($I4944="첫 건","유지","확인 필요")))</f>
        <v/>
      </c>
    </row>
    <row r="4945" customFormat="false" ht="15" hidden="false" customHeight="true" outlineLevel="0" collapsed="false">
      <c r="A4945" s="11" t="str">
        <f aca="false">IF(원본명단!$A4944="","",4942)</f>
        <v/>
      </c>
      <c r="B4945" s="12" t="str">
        <f aca="false">IF($A4945="","",원본명단!$A4944)</f>
        <v/>
      </c>
      <c r="C4945" s="12" t="str">
        <f aca="false">IF($A4945="","",원본명단!$B4944)</f>
        <v/>
      </c>
      <c r="D4945" s="12" t="str">
        <f aca="false">IF($A4945="","",원본명단!$D4944)</f>
        <v/>
      </c>
      <c r="E4945" s="11" t="str">
        <f aca="false">IF($A4945="","",IF(원본명단!$H4944="",0,COUNTIF(원본명단!$H$3:$H$6002,원본명단!$H4944)))</f>
        <v/>
      </c>
      <c r="F4945" s="11" t="str">
        <f aca="false">IF($A4945="","",IF(원본명단!$I4944="",0,COUNTIF(원본명단!$I$3:$I$6002,원본명단!$I4944)))</f>
        <v/>
      </c>
      <c r="G4945" s="11" t="str">
        <f aca="false">IF($A4945="","",IF(원본명단!$K4944="",0,COUNTIF(원본명단!$K$3:$K$6002,원본명단!$K4944)))</f>
        <v/>
      </c>
      <c r="H4945" s="11" t="str">
        <f aca="false">IF($A4945="","",IF(MAX($E4945,$F4945,$G4945)&gt;1,"중복","-"))</f>
        <v/>
      </c>
      <c r="I4945" s="11" t="str">
        <f aca="false">IF($A4945="","",IF($H4945="-","-",IF(AND(IF(원본명단!$H4944="",TRUE(),COUNTIF(원본명단!$H$3:$H4944,원본명단!$H4944)=1),IF(원본명단!$I4944="",TRUE(),COUNTIF(원본명단!$I$3:$I4944,원본명단!$I4944)=1),IF(원본명단!$K4944="",TRUE(),COUNTIF(원본명단!$K$3:$K4944,원본명단!$K4944)=1)),"첫 건","중복 건")))</f>
        <v/>
      </c>
      <c r="J4945" s="11" t="str">
        <f aca="false">IF($A4945="","",IF($H4945="-","유지",IF($I4945="첫 건","유지","확인 필요")))</f>
        <v/>
      </c>
    </row>
    <row r="4946" customFormat="false" ht="15" hidden="false" customHeight="true" outlineLevel="0" collapsed="false">
      <c r="A4946" s="11" t="str">
        <f aca="false">IF(원본명단!$A4945="","",4943)</f>
        <v/>
      </c>
      <c r="B4946" s="12" t="str">
        <f aca="false">IF($A4946="","",원본명단!$A4945)</f>
        <v/>
      </c>
      <c r="C4946" s="12" t="str">
        <f aca="false">IF($A4946="","",원본명단!$B4945)</f>
        <v/>
      </c>
      <c r="D4946" s="12" t="str">
        <f aca="false">IF($A4946="","",원본명단!$D4945)</f>
        <v/>
      </c>
      <c r="E4946" s="11" t="str">
        <f aca="false">IF($A4946="","",IF(원본명단!$H4945="",0,COUNTIF(원본명단!$H$3:$H$6002,원본명단!$H4945)))</f>
        <v/>
      </c>
      <c r="F4946" s="11" t="str">
        <f aca="false">IF($A4946="","",IF(원본명단!$I4945="",0,COUNTIF(원본명단!$I$3:$I$6002,원본명단!$I4945)))</f>
        <v/>
      </c>
      <c r="G4946" s="11" t="str">
        <f aca="false">IF($A4946="","",IF(원본명단!$K4945="",0,COUNTIF(원본명단!$K$3:$K$6002,원본명단!$K4945)))</f>
        <v/>
      </c>
      <c r="H4946" s="11" t="str">
        <f aca="false">IF($A4946="","",IF(MAX($E4946,$F4946,$G4946)&gt;1,"중복","-"))</f>
        <v/>
      </c>
      <c r="I4946" s="11" t="str">
        <f aca="false">IF($A4946="","",IF($H4946="-","-",IF(AND(IF(원본명단!$H4945="",TRUE(),COUNTIF(원본명단!$H$3:$H4945,원본명단!$H4945)=1),IF(원본명단!$I4945="",TRUE(),COUNTIF(원본명단!$I$3:$I4945,원본명단!$I4945)=1),IF(원본명단!$K4945="",TRUE(),COUNTIF(원본명단!$K$3:$K4945,원본명단!$K4945)=1)),"첫 건","중복 건")))</f>
        <v/>
      </c>
      <c r="J4946" s="11" t="str">
        <f aca="false">IF($A4946="","",IF($H4946="-","유지",IF($I4946="첫 건","유지","확인 필요")))</f>
        <v/>
      </c>
    </row>
    <row r="4947" customFormat="false" ht="15" hidden="false" customHeight="true" outlineLevel="0" collapsed="false">
      <c r="A4947" s="11" t="str">
        <f aca="false">IF(원본명단!$A4946="","",4944)</f>
        <v/>
      </c>
      <c r="B4947" s="12" t="str">
        <f aca="false">IF($A4947="","",원본명단!$A4946)</f>
        <v/>
      </c>
      <c r="C4947" s="12" t="str">
        <f aca="false">IF($A4947="","",원본명단!$B4946)</f>
        <v/>
      </c>
      <c r="D4947" s="12" t="str">
        <f aca="false">IF($A4947="","",원본명단!$D4946)</f>
        <v/>
      </c>
      <c r="E4947" s="11" t="str">
        <f aca="false">IF($A4947="","",IF(원본명단!$H4946="",0,COUNTIF(원본명단!$H$3:$H$6002,원본명단!$H4946)))</f>
        <v/>
      </c>
      <c r="F4947" s="11" t="str">
        <f aca="false">IF($A4947="","",IF(원본명단!$I4946="",0,COUNTIF(원본명단!$I$3:$I$6002,원본명단!$I4946)))</f>
        <v/>
      </c>
      <c r="G4947" s="11" t="str">
        <f aca="false">IF($A4947="","",IF(원본명단!$K4946="",0,COUNTIF(원본명단!$K$3:$K$6002,원본명단!$K4946)))</f>
        <v/>
      </c>
      <c r="H4947" s="11" t="str">
        <f aca="false">IF($A4947="","",IF(MAX($E4947,$F4947,$G4947)&gt;1,"중복","-"))</f>
        <v/>
      </c>
      <c r="I4947" s="11" t="str">
        <f aca="false">IF($A4947="","",IF($H4947="-","-",IF(AND(IF(원본명단!$H4946="",TRUE(),COUNTIF(원본명단!$H$3:$H4946,원본명단!$H4946)=1),IF(원본명단!$I4946="",TRUE(),COUNTIF(원본명단!$I$3:$I4946,원본명단!$I4946)=1),IF(원본명단!$K4946="",TRUE(),COUNTIF(원본명단!$K$3:$K4946,원본명단!$K4946)=1)),"첫 건","중복 건")))</f>
        <v/>
      </c>
      <c r="J4947" s="11" t="str">
        <f aca="false">IF($A4947="","",IF($H4947="-","유지",IF($I4947="첫 건","유지","확인 필요")))</f>
        <v/>
      </c>
    </row>
    <row r="4948" customFormat="false" ht="15" hidden="false" customHeight="true" outlineLevel="0" collapsed="false">
      <c r="A4948" s="11" t="str">
        <f aca="false">IF(원본명단!$A4947="","",4945)</f>
        <v/>
      </c>
      <c r="B4948" s="12" t="str">
        <f aca="false">IF($A4948="","",원본명단!$A4947)</f>
        <v/>
      </c>
      <c r="C4948" s="12" t="str">
        <f aca="false">IF($A4948="","",원본명단!$B4947)</f>
        <v/>
      </c>
      <c r="D4948" s="12" t="str">
        <f aca="false">IF($A4948="","",원본명단!$D4947)</f>
        <v/>
      </c>
      <c r="E4948" s="11" t="str">
        <f aca="false">IF($A4948="","",IF(원본명단!$H4947="",0,COUNTIF(원본명단!$H$3:$H$6002,원본명단!$H4947)))</f>
        <v/>
      </c>
      <c r="F4948" s="11" t="str">
        <f aca="false">IF($A4948="","",IF(원본명단!$I4947="",0,COUNTIF(원본명단!$I$3:$I$6002,원본명단!$I4947)))</f>
        <v/>
      </c>
      <c r="G4948" s="11" t="str">
        <f aca="false">IF($A4948="","",IF(원본명단!$K4947="",0,COUNTIF(원본명단!$K$3:$K$6002,원본명단!$K4947)))</f>
        <v/>
      </c>
      <c r="H4948" s="11" t="str">
        <f aca="false">IF($A4948="","",IF(MAX($E4948,$F4948,$G4948)&gt;1,"중복","-"))</f>
        <v/>
      </c>
      <c r="I4948" s="11" t="str">
        <f aca="false">IF($A4948="","",IF($H4948="-","-",IF(AND(IF(원본명단!$H4947="",TRUE(),COUNTIF(원본명단!$H$3:$H4947,원본명단!$H4947)=1),IF(원본명단!$I4947="",TRUE(),COUNTIF(원본명단!$I$3:$I4947,원본명단!$I4947)=1),IF(원본명단!$K4947="",TRUE(),COUNTIF(원본명단!$K$3:$K4947,원본명단!$K4947)=1)),"첫 건","중복 건")))</f>
        <v/>
      </c>
      <c r="J4948" s="11" t="str">
        <f aca="false">IF($A4948="","",IF($H4948="-","유지",IF($I4948="첫 건","유지","확인 필요")))</f>
        <v/>
      </c>
    </row>
    <row r="4949" customFormat="false" ht="15" hidden="false" customHeight="true" outlineLevel="0" collapsed="false">
      <c r="A4949" s="11" t="str">
        <f aca="false">IF(원본명단!$A4948="","",4946)</f>
        <v/>
      </c>
      <c r="B4949" s="12" t="str">
        <f aca="false">IF($A4949="","",원본명단!$A4948)</f>
        <v/>
      </c>
      <c r="C4949" s="12" t="str">
        <f aca="false">IF($A4949="","",원본명단!$B4948)</f>
        <v/>
      </c>
      <c r="D4949" s="12" t="str">
        <f aca="false">IF($A4949="","",원본명단!$D4948)</f>
        <v/>
      </c>
      <c r="E4949" s="11" t="str">
        <f aca="false">IF($A4949="","",IF(원본명단!$H4948="",0,COUNTIF(원본명단!$H$3:$H$6002,원본명단!$H4948)))</f>
        <v/>
      </c>
      <c r="F4949" s="11" t="str">
        <f aca="false">IF($A4949="","",IF(원본명단!$I4948="",0,COUNTIF(원본명단!$I$3:$I$6002,원본명단!$I4948)))</f>
        <v/>
      </c>
      <c r="G4949" s="11" t="str">
        <f aca="false">IF($A4949="","",IF(원본명단!$K4948="",0,COUNTIF(원본명단!$K$3:$K$6002,원본명단!$K4948)))</f>
        <v/>
      </c>
      <c r="H4949" s="11" t="str">
        <f aca="false">IF($A4949="","",IF(MAX($E4949,$F4949,$G4949)&gt;1,"중복","-"))</f>
        <v/>
      </c>
      <c r="I4949" s="11" t="str">
        <f aca="false">IF($A4949="","",IF($H4949="-","-",IF(AND(IF(원본명단!$H4948="",TRUE(),COUNTIF(원본명단!$H$3:$H4948,원본명단!$H4948)=1),IF(원본명단!$I4948="",TRUE(),COUNTIF(원본명단!$I$3:$I4948,원본명단!$I4948)=1),IF(원본명단!$K4948="",TRUE(),COUNTIF(원본명단!$K$3:$K4948,원본명단!$K4948)=1)),"첫 건","중복 건")))</f>
        <v/>
      </c>
      <c r="J4949" s="11" t="str">
        <f aca="false">IF($A4949="","",IF($H4949="-","유지",IF($I4949="첫 건","유지","확인 필요")))</f>
        <v/>
      </c>
    </row>
    <row r="4950" customFormat="false" ht="15" hidden="false" customHeight="true" outlineLevel="0" collapsed="false">
      <c r="A4950" s="11" t="str">
        <f aca="false">IF(원본명단!$A4949="","",4947)</f>
        <v/>
      </c>
      <c r="B4950" s="12" t="str">
        <f aca="false">IF($A4950="","",원본명단!$A4949)</f>
        <v/>
      </c>
      <c r="C4950" s="12" t="str">
        <f aca="false">IF($A4950="","",원본명단!$B4949)</f>
        <v/>
      </c>
      <c r="D4950" s="12" t="str">
        <f aca="false">IF($A4950="","",원본명단!$D4949)</f>
        <v/>
      </c>
      <c r="E4950" s="11" t="str">
        <f aca="false">IF($A4950="","",IF(원본명단!$H4949="",0,COUNTIF(원본명단!$H$3:$H$6002,원본명단!$H4949)))</f>
        <v/>
      </c>
      <c r="F4950" s="11" t="str">
        <f aca="false">IF($A4950="","",IF(원본명단!$I4949="",0,COUNTIF(원본명단!$I$3:$I$6002,원본명단!$I4949)))</f>
        <v/>
      </c>
      <c r="G4950" s="11" t="str">
        <f aca="false">IF($A4950="","",IF(원본명단!$K4949="",0,COUNTIF(원본명단!$K$3:$K$6002,원본명단!$K4949)))</f>
        <v/>
      </c>
      <c r="H4950" s="11" t="str">
        <f aca="false">IF($A4950="","",IF(MAX($E4950,$F4950,$G4950)&gt;1,"중복","-"))</f>
        <v/>
      </c>
      <c r="I4950" s="11" t="str">
        <f aca="false">IF($A4950="","",IF($H4950="-","-",IF(AND(IF(원본명단!$H4949="",TRUE(),COUNTIF(원본명단!$H$3:$H4949,원본명단!$H4949)=1),IF(원본명단!$I4949="",TRUE(),COUNTIF(원본명단!$I$3:$I4949,원본명단!$I4949)=1),IF(원본명단!$K4949="",TRUE(),COUNTIF(원본명단!$K$3:$K4949,원본명단!$K4949)=1)),"첫 건","중복 건")))</f>
        <v/>
      </c>
      <c r="J4950" s="11" t="str">
        <f aca="false">IF($A4950="","",IF($H4950="-","유지",IF($I4950="첫 건","유지","확인 필요")))</f>
        <v/>
      </c>
    </row>
    <row r="4951" customFormat="false" ht="15" hidden="false" customHeight="true" outlineLevel="0" collapsed="false">
      <c r="A4951" s="11" t="str">
        <f aca="false">IF(원본명단!$A4950="","",4948)</f>
        <v/>
      </c>
      <c r="B4951" s="12" t="str">
        <f aca="false">IF($A4951="","",원본명단!$A4950)</f>
        <v/>
      </c>
      <c r="C4951" s="12" t="str">
        <f aca="false">IF($A4951="","",원본명단!$B4950)</f>
        <v/>
      </c>
      <c r="D4951" s="12" t="str">
        <f aca="false">IF($A4951="","",원본명단!$D4950)</f>
        <v/>
      </c>
      <c r="E4951" s="11" t="str">
        <f aca="false">IF($A4951="","",IF(원본명단!$H4950="",0,COUNTIF(원본명단!$H$3:$H$6002,원본명단!$H4950)))</f>
        <v/>
      </c>
      <c r="F4951" s="11" t="str">
        <f aca="false">IF($A4951="","",IF(원본명단!$I4950="",0,COUNTIF(원본명단!$I$3:$I$6002,원본명단!$I4950)))</f>
        <v/>
      </c>
      <c r="G4951" s="11" t="str">
        <f aca="false">IF($A4951="","",IF(원본명단!$K4950="",0,COUNTIF(원본명단!$K$3:$K$6002,원본명단!$K4950)))</f>
        <v/>
      </c>
      <c r="H4951" s="11" t="str">
        <f aca="false">IF($A4951="","",IF(MAX($E4951,$F4951,$G4951)&gt;1,"중복","-"))</f>
        <v/>
      </c>
      <c r="I4951" s="11" t="str">
        <f aca="false">IF($A4951="","",IF($H4951="-","-",IF(AND(IF(원본명단!$H4950="",TRUE(),COUNTIF(원본명단!$H$3:$H4950,원본명단!$H4950)=1),IF(원본명단!$I4950="",TRUE(),COUNTIF(원본명단!$I$3:$I4950,원본명단!$I4950)=1),IF(원본명단!$K4950="",TRUE(),COUNTIF(원본명단!$K$3:$K4950,원본명단!$K4950)=1)),"첫 건","중복 건")))</f>
        <v/>
      </c>
      <c r="J4951" s="11" t="str">
        <f aca="false">IF($A4951="","",IF($H4951="-","유지",IF($I4951="첫 건","유지","확인 필요")))</f>
        <v/>
      </c>
    </row>
    <row r="4952" customFormat="false" ht="15" hidden="false" customHeight="true" outlineLevel="0" collapsed="false">
      <c r="A4952" s="11" t="str">
        <f aca="false">IF(원본명단!$A4951="","",4949)</f>
        <v/>
      </c>
      <c r="B4952" s="12" t="str">
        <f aca="false">IF($A4952="","",원본명단!$A4951)</f>
        <v/>
      </c>
      <c r="C4952" s="12" t="str">
        <f aca="false">IF($A4952="","",원본명단!$B4951)</f>
        <v/>
      </c>
      <c r="D4952" s="12" t="str">
        <f aca="false">IF($A4952="","",원본명단!$D4951)</f>
        <v/>
      </c>
      <c r="E4952" s="11" t="str">
        <f aca="false">IF($A4952="","",IF(원본명단!$H4951="",0,COUNTIF(원본명단!$H$3:$H$6002,원본명단!$H4951)))</f>
        <v/>
      </c>
      <c r="F4952" s="11" t="str">
        <f aca="false">IF($A4952="","",IF(원본명단!$I4951="",0,COUNTIF(원본명단!$I$3:$I$6002,원본명단!$I4951)))</f>
        <v/>
      </c>
      <c r="G4952" s="11" t="str">
        <f aca="false">IF($A4952="","",IF(원본명단!$K4951="",0,COUNTIF(원본명단!$K$3:$K$6002,원본명단!$K4951)))</f>
        <v/>
      </c>
      <c r="H4952" s="11" t="str">
        <f aca="false">IF($A4952="","",IF(MAX($E4952,$F4952,$G4952)&gt;1,"중복","-"))</f>
        <v/>
      </c>
      <c r="I4952" s="11" t="str">
        <f aca="false">IF($A4952="","",IF($H4952="-","-",IF(AND(IF(원본명단!$H4951="",TRUE(),COUNTIF(원본명단!$H$3:$H4951,원본명단!$H4951)=1),IF(원본명단!$I4951="",TRUE(),COUNTIF(원본명단!$I$3:$I4951,원본명단!$I4951)=1),IF(원본명단!$K4951="",TRUE(),COUNTIF(원본명단!$K$3:$K4951,원본명단!$K4951)=1)),"첫 건","중복 건")))</f>
        <v/>
      </c>
      <c r="J4952" s="11" t="str">
        <f aca="false">IF($A4952="","",IF($H4952="-","유지",IF($I4952="첫 건","유지","확인 필요")))</f>
        <v/>
      </c>
    </row>
    <row r="4953" customFormat="false" ht="15" hidden="false" customHeight="true" outlineLevel="0" collapsed="false">
      <c r="A4953" s="11" t="str">
        <f aca="false">IF(원본명단!$A4952="","",4950)</f>
        <v/>
      </c>
      <c r="B4953" s="12" t="str">
        <f aca="false">IF($A4953="","",원본명단!$A4952)</f>
        <v/>
      </c>
      <c r="C4953" s="12" t="str">
        <f aca="false">IF($A4953="","",원본명단!$B4952)</f>
        <v/>
      </c>
      <c r="D4953" s="12" t="str">
        <f aca="false">IF($A4953="","",원본명단!$D4952)</f>
        <v/>
      </c>
      <c r="E4953" s="11" t="str">
        <f aca="false">IF($A4953="","",IF(원본명단!$H4952="",0,COUNTIF(원본명단!$H$3:$H$6002,원본명단!$H4952)))</f>
        <v/>
      </c>
      <c r="F4953" s="11" t="str">
        <f aca="false">IF($A4953="","",IF(원본명단!$I4952="",0,COUNTIF(원본명단!$I$3:$I$6002,원본명단!$I4952)))</f>
        <v/>
      </c>
      <c r="G4953" s="11" t="str">
        <f aca="false">IF($A4953="","",IF(원본명단!$K4952="",0,COUNTIF(원본명단!$K$3:$K$6002,원본명단!$K4952)))</f>
        <v/>
      </c>
      <c r="H4953" s="11" t="str">
        <f aca="false">IF($A4953="","",IF(MAX($E4953,$F4953,$G4953)&gt;1,"중복","-"))</f>
        <v/>
      </c>
      <c r="I4953" s="11" t="str">
        <f aca="false">IF($A4953="","",IF($H4953="-","-",IF(AND(IF(원본명단!$H4952="",TRUE(),COUNTIF(원본명단!$H$3:$H4952,원본명단!$H4952)=1),IF(원본명단!$I4952="",TRUE(),COUNTIF(원본명단!$I$3:$I4952,원본명단!$I4952)=1),IF(원본명단!$K4952="",TRUE(),COUNTIF(원본명단!$K$3:$K4952,원본명단!$K4952)=1)),"첫 건","중복 건")))</f>
        <v/>
      </c>
      <c r="J4953" s="11" t="str">
        <f aca="false">IF($A4953="","",IF($H4953="-","유지",IF($I4953="첫 건","유지","확인 필요")))</f>
        <v/>
      </c>
    </row>
    <row r="4954" customFormat="false" ht="15" hidden="false" customHeight="true" outlineLevel="0" collapsed="false">
      <c r="A4954" s="11" t="str">
        <f aca="false">IF(원본명단!$A4953="","",4951)</f>
        <v/>
      </c>
      <c r="B4954" s="12" t="str">
        <f aca="false">IF($A4954="","",원본명단!$A4953)</f>
        <v/>
      </c>
      <c r="C4954" s="12" t="str">
        <f aca="false">IF($A4954="","",원본명단!$B4953)</f>
        <v/>
      </c>
      <c r="D4954" s="12" t="str">
        <f aca="false">IF($A4954="","",원본명단!$D4953)</f>
        <v/>
      </c>
      <c r="E4954" s="11" t="str">
        <f aca="false">IF($A4954="","",IF(원본명단!$H4953="",0,COUNTIF(원본명단!$H$3:$H$6002,원본명단!$H4953)))</f>
        <v/>
      </c>
      <c r="F4954" s="11" t="str">
        <f aca="false">IF($A4954="","",IF(원본명단!$I4953="",0,COUNTIF(원본명단!$I$3:$I$6002,원본명단!$I4953)))</f>
        <v/>
      </c>
      <c r="G4954" s="11" t="str">
        <f aca="false">IF($A4954="","",IF(원본명단!$K4953="",0,COUNTIF(원본명단!$K$3:$K$6002,원본명단!$K4953)))</f>
        <v/>
      </c>
      <c r="H4954" s="11" t="str">
        <f aca="false">IF($A4954="","",IF(MAX($E4954,$F4954,$G4954)&gt;1,"중복","-"))</f>
        <v/>
      </c>
      <c r="I4954" s="11" t="str">
        <f aca="false">IF($A4954="","",IF($H4954="-","-",IF(AND(IF(원본명단!$H4953="",TRUE(),COUNTIF(원본명단!$H$3:$H4953,원본명단!$H4953)=1),IF(원본명단!$I4953="",TRUE(),COUNTIF(원본명단!$I$3:$I4953,원본명단!$I4953)=1),IF(원본명단!$K4953="",TRUE(),COUNTIF(원본명단!$K$3:$K4953,원본명단!$K4953)=1)),"첫 건","중복 건")))</f>
        <v/>
      </c>
      <c r="J4954" s="11" t="str">
        <f aca="false">IF($A4954="","",IF($H4954="-","유지",IF($I4954="첫 건","유지","확인 필요")))</f>
        <v/>
      </c>
    </row>
    <row r="4955" customFormat="false" ht="15" hidden="false" customHeight="true" outlineLevel="0" collapsed="false">
      <c r="A4955" s="11" t="str">
        <f aca="false">IF(원본명단!$A4954="","",4952)</f>
        <v/>
      </c>
      <c r="B4955" s="12" t="str">
        <f aca="false">IF($A4955="","",원본명단!$A4954)</f>
        <v/>
      </c>
      <c r="C4955" s="12" t="str">
        <f aca="false">IF($A4955="","",원본명단!$B4954)</f>
        <v/>
      </c>
      <c r="D4955" s="12" t="str">
        <f aca="false">IF($A4955="","",원본명단!$D4954)</f>
        <v/>
      </c>
      <c r="E4955" s="11" t="str">
        <f aca="false">IF($A4955="","",IF(원본명단!$H4954="",0,COUNTIF(원본명단!$H$3:$H$6002,원본명단!$H4954)))</f>
        <v/>
      </c>
      <c r="F4955" s="11" t="str">
        <f aca="false">IF($A4955="","",IF(원본명단!$I4954="",0,COUNTIF(원본명단!$I$3:$I$6002,원본명단!$I4954)))</f>
        <v/>
      </c>
      <c r="G4955" s="11" t="str">
        <f aca="false">IF($A4955="","",IF(원본명단!$K4954="",0,COUNTIF(원본명단!$K$3:$K$6002,원본명단!$K4954)))</f>
        <v/>
      </c>
      <c r="H4955" s="11" t="str">
        <f aca="false">IF($A4955="","",IF(MAX($E4955,$F4955,$G4955)&gt;1,"중복","-"))</f>
        <v/>
      </c>
      <c r="I4955" s="11" t="str">
        <f aca="false">IF($A4955="","",IF($H4955="-","-",IF(AND(IF(원본명단!$H4954="",TRUE(),COUNTIF(원본명단!$H$3:$H4954,원본명단!$H4954)=1),IF(원본명단!$I4954="",TRUE(),COUNTIF(원본명단!$I$3:$I4954,원본명단!$I4954)=1),IF(원본명단!$K4954="",TRUE(),COUNTIF(원본명단!$K$3:$K4954,원본명단!$K4954)=1)),"첫 건","중복 건")))</f>
        <v/>
      </c>
      <c r="J4955" s="11" t="str">
        <f aca="false">IF($A4955="","",IF($H4955="-","유지",IF($I4955="첫 건","유지","확인 필요")))</f>
        <v/>
      </c>
    </row>
    <row r="4956" customFormat="false" ht="15" hidden="false" customHeight="true" outlineLevel="0" collapsed="false">
      <c r="A4956" s="11" t="str">
        <f aca="false">IF(원본명단!$A4955="","",4953)</f>
        <v/>
      </c>
      <c r="B4956" s="12" t="str">
        <f aca="false">IF($A4956="","",원본명단!$A4955)</f>
        <v/>
      </c>
      <c r="C4956" s="12" t="str">
        <f aca="false">IF($A4956="","",원본명단!$B4955)</f>
        <v/>
      </c>
      <c r="D4956" s="12" t="str">
        <f aca="false">IF($A4956="","",원본명단!$D4955)</f>
        <v/>
      </c>
      <c r="E4956" s="11" t="str">
        <f aca="false">IF($A4956="","",IF(원본명단!$H4955="",0,COUNTIF(원본명단!$H$3:$H$6002,원본명단!$H4955)))</f>
        <v/>
      </c>
      <c r="F4956" s="11" t="str">
        <f aca="false">IF($A4956="","",IF(원본명단!$I4955="",0,COUNTIF(원본명단!$I$3:$I$6002,원본명단!$I4955)))</f>
        <v/>
      </c>
      <c r="G4956" s="11" t="str">
        <f aca="false">IF($A4956="","",IF(원본명단!$K4955="",0,COUNTIF(원본명단!$K$3:$K$6002,원본명단!$K4955)))</f>
        <v/>
      </c>
      <c r="H4956" s="11" t="str">
        <f aca="false">IF($A4956="","",IF(MAX($E4956,$F4956,$G4956)&gt;1,"중복","-"))</f>
        <v/>
      </c>
      <c r="I4956" s="11" t="str">
        <f aca="false">IF($A4956="","",IF($H4956="-","-",IF(AND(IF(원본명단!$H4955="",TRUE(),COUNTIF(원본명단!$H$3:$H4955,원본명단!$H4955)=1),IF(원본명단!$I4955="",TRUE(),COUNTIF(원본명단!$I$3:$I4955,원본명단!$I4955)=1),IF(원본명단!$K4955="",TRUE(),COUNTIF(원본명단!$K$3:$K4955,원본명단!$K4955)=1)),"첫 건","중복 건")))</f>
        <v/>
      </c>
      <c r="J4956" s="11" t="str">
        <f aca="false">IF($A4956="","",IF($H4956="-","유지",IF($I4956="첫 건","유지","확인 필요")))</f>
        <v/>
      </c>
    </row>
    <row r="4957" customFormat="false" ht="15" hidden="false" customHeight="true" outlineLevel="0" collapsed="false">
      <c r="A4957" s="11" t="str">
        <f aca="false">IF(원본명단!$A4956="","",4954)</f>
        <v/>
      </c>
      <c r="B4957" s="12" t="str">
        <f aca="false">IF($A4957="","",원본명단!$A4956)</f>
        <v/>
      </c>
      <c r="C4957" s="12" t="str">
        <f aca="false">IF($A4957="","",원본명단!$B4956)</f>
        <v/>
      </c>
      <c r="D4957" s="12" t="str">
        <f aca="false">IF($A4957="","",원본명단!$D4956)</f>
        <v/>
      </c>
      <c r="E4957" s="11" t="str">
        <f aca="false">IF($A4957="","",IF(원본명단!$H4956="",0,COUNTIF(원본명단!$H$3:$H$6002,원본명단!$H4956)))</f>
        <v/>
      </c>
      <c r="F4957" s="11" t="str">
        <f aca="false">IF($A4957="","",IF(원본명단!$I4956="",0,COUNTIF(원본명단!$I$3:$I$6002,원본명단!$I4956)))</f>
        <v/>
      </c>
      <c r="G4957" s="11" t="str">
        <f aca="false">IF($A4957="","",IF(원본명단!$K4956="",0,COUNTIF(원본명단!$K$3:$K$6002,원본명단!$K4956)))</f>
        <v/>
      </c>
      <c r="H4957" s="11" t="str">
        <f aca="false">IF($A4957="","",IF(MAX($E4957,$F4957,$G4957)&gt;1,"중복","-"))</f>
        <v/>
      </c>
      <c r="I4957" s="11" t="str">
        <f aca="false">IF($A4957="","",IF($H4957="-","-",IF(AND(IF(원본명단!$H4956="",TRUE(),COUNTIF(원본명단!$H$3:$H4956,원본명단!$H4956)=1),IF(원본명단!$I4956="",TRUE(),COUNTIF(원본명단!$I$3:$I4956,원본명단!$I4956)=1),IF(원본명단!$K4956="",TRUE(),COUNTIF(원본명단!$K$3:$K4956,원본명단!$K4956)=1)),"첫 건","중복 건")))</f>
        <v/>
      </c>
      <c r="J4957" s="11" t="str">
        <f aca="false">IF($A4957="","",IF($H4957="-","유지",IF($I4957="첫 건","유지","확인 필요")))</f>
        <v/>
      </c>
    </row>
    <row r="4958" customFormat="false" ht="15" hidden="false" customHeight="true" outlineLevel="0" collapsed="false">
      <c r="A4958" s="11" t="str">
        <f aca="false">IF(원본명단!$A4957="","",4955)</f>
        <v/>
      </c>
      <c r="B4958" s="12" t="str">
        <f aca="false">IF($A4958="","",원본명단!$A4957)</f>
        <v/>
      </c>
      <c r="C4958" s="12" t="str">
        <f aca="false">IF($A4958="","",원본명단!$B4957)</f>
        <v/>
      </c>
      <c r="D4958" s="12" t="str">
        <f aca="false">IF($A4958="","",원본명단!$D4957)</f>
        <v/>
      </c>
      <c r="E4958" s="11" t="str">
        <f aca="false">IF($A4958="","",IF(원본명단!$H4957="",0,COUNTIF(원본명단!$H$3:$H$6002,원본명단!$H4957)))</f>
        <v/>
      </c>
      <c r="F4958" s="11" t="str">
        <f aca="false">IF($A4958="","",IF(원본명단!$I4957="",0,COUNTIF(원본명단!$I$3:$I$6002,원본명단!$I4957)))</f>
        <v/>
      </c>
      <c r="G4958" s="11" t="str">
        <f aca="false">IF($A4958="","",IF(원본명단!$K4957="",0,COUNTIF(원본명단!$K$3:$K$6002,원본명단!$K4957)))</f>
        <v/>
      </c>
      <c r="H4958" s="11" t="str">
        <f aca="false">IF($A4958="","",IF(MAX($E4958,$F4958,$G4958)&gt;1,"중복","-"))</f>
        <v/>
      </c>
      <c r="I4958" s="11" t="str">
        <f aca="false">IF($A4958="","",IF($H4958="-","-",IF(AND(IF(원본명단!$H4957="",TRUE(),COUNTIF(원본명단!$H$3:$H4957,원본명단!$H4957)=1),IF(원본명단!$I4957="",TRUE(),COUNTIF(원본명단!$I$3:$I4957,원본명단!$I4957)=1),IF(원본명단!$K4957="",TRUE(),COUNTIF(원본명단!$K$3:$K4957,원본명단!$K4957)=1)),"첫 건","중복 건")))</f>
        <v/>
      </c>
      <c r="J4958" s="11" t="str">
        <f aca="false">IF($A4958="","",IF($H4958="-","유지",IF($I4958="첫 건","유지","확인 필요")))</f>
        <v/>
      </c>
    </row>
    <row r="4959" customFormat="false" ht="15" hidden="false" customHeight="true" outlineLevel="0" collapsed="false">
      <c r="A4959" s="11" t="str">
        <f aca="false">IF(원본명단!$A4958="","",4956)</f>
        <v/>
      </c>
      <c r="B4959" s="12" t="str">
        <f aca="false">IF($A4959="","",원본명단!$A4958)</f>
        <v/>
      </c>
      <c r="C4959" s="12" t="str">
        <f aca="false">IF($A4959="","",원본명단!$B4958)</f>
        <v/>
      </c>
      <c r="D4959" s="12" t="str">
        <f aca="false">IF($A4959="","",원본명단!$D4958)</f>
        <v/>
      </c>
      <c r="E4959" s="11" t="str">
        <f aca="false">IF($A4959="","",IF(원본명단!$H4958="",0,COUNTIF(원본명단!$H$3:$H$6002,원본명단!$H4958)))</f>
        <v/>
      </c>
      <c r="F4959" s="11" t="str">
        <f aca="false">IF($A4959="","",IF(원본명단!$I4958="",0,COUNTIF(원본명단!$I$3:$I$6002,원본명단!$I4958)))</f>
        <v/>
      </c>
      <c r="G4959" s="11" t="str">
        <f aca="false">IF($A4959="","",IF(원본명단!$K4958="",0,COUNTIF(원본명단!$K$3:$K$6002,원본명단!$K4958)))</f>
        <v/>
      </c>
      <c r="H4959" s="11" t="str">
        <f aca="false">IF($A4959="","",IF(MAX($E4959,$F4959,$G4959)&gt;1,"중복","-"))</f>
        <v/>
      </c>
      <c r="I4959" s="11" t="str">
        <f aca="false">IF($A4959="","",IF($H4959="-","-",IF(AND(IF(원본명단!$H4958="",TRUE(),COUNTIF(원본명단!$H$3:$H4958,원본명단!$H4958)=1),IF(원본명단!$I4958="",TRUE(),COUNTIF(원본명단!$I$3:$I4958,원본명단!$I4958)=1),IF(원본명단!$K4958="",TRUE(),COUNTIF(원본명단!$K$3:$K4958,원본명단!$K4958)=1)),"첫 건","중복 건")))</f>
        <v/>
      </c>
      <c r="J4959" s="11" t="str">
        <f aca="false">IF($A4959="","",IF($H4959="-","유지",IF($I4959="첫 건","유지","확인 필요")))</f>
        <v/>
      </c>
    </row>
    <row r="4960" customFormat="false" ht="15" hidden="false" customHeight="true" outlineLevel="0" collapsed="false">
      <c r="A4960" s="11" t="str">
        <f aca="false">IF(원본명단!$A4959="","",4957)</f>
        <v/>
      </c>
      <c r="B4960" s="12" t="str">
        <f aca="false">IF($A4960="","",원본명단!$A4959)</f>
        <v/>
      </c>
      <c r="C4960" s="12" t="str">
        <f aca="false">IF($A4960="","",원본명단!$B4959)</f>
        <v/>
      </c>
      <c r="D4960" s="12" t="str">
        <f aca="false">IF($A4960="","",원본명단!$D4959)</f>
        <v/>
      </c>
      <c r="E4960" s="11" t="str">
        <f aca="false">IF($A4960="","",IF(원본명단!$H4959="",0,COUNTIF(원본명단!$H$3:$H$6002,원본명단!$H4959)))</f>
        <v/>
      </c>
      <c r="F4960" s="11" t="str">
        <f aca="false">IF($A4960="","",IF(원본명단!$I4959="",0,COUNTIF(원본명단!$I$3:$I$6002,원본명단!$I4959)))</f>
        <v/>
      </c>
      <c r="G4960" s="11" t="str">
        <f aca="false">IF($A4960="","",IF(원본명단!$K4959="",0,COUNTIF(원본명단!$K$3:$K$6002,원본명단!$K4959)))</f>
        <v/>
      </c>
      <c r="H4960" s="11" t="str">
        <f aca="false">IF($A4960="","",IF(MAX($E4960,$F4960,$G4960)&gt;1,"중복","-"))</f>
        <v/>
      </c>
      <c r="I4960" s="11" t="str">
        <f aca="false">IF($A4960="","",IF($H4960="-","-",IF(AND(IF(원본명단!$H4959="",TRUE(),COUNTIF(원본명단!$H$3:$H4959,원본명단!$H4959)=1),IF(원본명단!$I4959="",TRUE(),COUNTIF(원본명단!$I$3:$I4959,원본명단!$I4959)=1),IF(원본명단!$K4959="",TRUE(),COUNTIF(원본명단!$K$3:$K4959,원본명단!$K4959)=1)),"첫 건","중복 건")))</f>
        <v/>
      </c>
      <c r="J4960" s="11" t="str">
        <f aca="false">IF($A4960="","",IF($H4960="-","유지",IF($I4960="첫 건","유지","확인 필요")))</f>
        <v/>
      </c>
    </row>
    <row r="4961" customFormat="false" ht="15" hidden="false" customHeight="true" outlineLevel="0" collapsed="false">
      <c r="A4961" s="11" t="str">
        <f aca="false">IF(원본명단!$A4960="","",4958)</f>
        <v/>
      </c>
      <c r="B4961" s="12" t="str">
        <f aca="false">IF($A4961="","",원본명단!$A4960)</f>
        <v/>
      </c>
      <c r="C4961" s="12" t="str">
        <f aca="false">IF($A4961="","",원본명단!$B4960)</f>
        <v/>
      </c>
      <c r="D4961" s="12" t="str">
        <f aca="false">IF($A4961="","",원본명단!$D4960)</f>
        <v/>
      </c>
      <c r="E4961" s="11" t="str">
        <f aca="false">IF($A4961="","",IF(원본명단!$H4960="",0,COUNTIF(원본명단!$H$3:$H$6002,원본명단!$H4960)))</f>
        <v/>
      </c>
      <c r="F4961" s="11" t="str">
        <f aca="false">IF($A4961="","",IF(원본명단!$I4960="",0,COUNTIF(원본명단!$I$3:$I$6002,원본명단!$I4960)))</f>
        <v/>
      </c>
      <c r="G4961" s="11" t="str">
        <f aca="false">IF($A4961="","",IF(원본명단!$K4960="",0,COUNTIF(원본명단!$K$3:$K$6002,원본명단!$K4960)))</f>
        <v/>
      </c>
      <c r="H4961" s="11" t="str">
        <f aca="false">IF($A4961="","",IF(MAX($E4961,$F4961,$G4961)&gt;1,"중복","-"))</f>
        <v/>
      </c>
      <c r="I4961" s="11" t="str">
        <f aca="false">IF($A4961="","",IF($H4961="-","-",IF(AND(IF(원본명단!$H4960="",TRUE(),COUNTIF(원본명단!$H$3:$H4960,원본명단!$H4960)=1),IF(원본명단!$I4960="",TRUE(),COUNTIF(원본명단!$I$3:$I4960,원본명단!$I4960)=1),IF(원본명단!$K4960="",TRUE(),COUNTIF(원본명단!$K$3:$K4960,원본명단!$K4960)=1)),"첫 건","중복 건")))</f>
        <v/>
      </c>
      <c r="J4961" s="11" t="str">
        <f aca="false">IF($A4961="","",IF($H4961="-","유지",IF($I4961="첫 건","유지","확인 필요")))</f>
        <v/>
      </c>
    </row>
    <row r="4962" customFormat="false" ht="15" hidden="false" customHeight="true" outlineLevel="0" collapsed="false">
      <c r="A4962" s="11" t="str">
        <f aca="false">IF(원본명단!$A4961="","",4959)</f>
        <v/>
      </c>
      <c r="B4962" s="12" t="str">
        <f aca="false">IF($A4962="","",원본명단!$A4961)</f>
        <v/>
      </c>
      <c r="C4962" s="12" t="str">
        <f aca="false">IF($A4962="","",원본명단!$B4961)</f>
        <v/>
      </c>
      <c r="D4962" s="12" t="str">
        <f aca="false">IF($A4962="","",원본명단!$D4961)</f>
        <v/>
      </c>
      <c r="E4962" s="11" t="str">
        <f aca="false">IF($A4962="","",IF(원본명단!$H4961="",0,COUNTIF(원본명단!$H$3:$H$6002,원본명단!$H4961)))</f>
        <v/>
      </c>
      <c r="F4962" s="11" t="str">
        <f aca="false">IF($A4962="","",IF(원본명단!$I4961="",0,COUNTIF(원본명단!$I$3:$I$6002,원본명단!$I4961)))</f>
        <v/>
      </c>
      <c r="G4962" s="11" t="str">
        <f aca="false">IF($A4962="","",IF(원본명단!$K4961="",0,COUNTIF(원본명단!$K$3:$K$6002,원본명단!$K4961)))</f>
        <v/>
      </c>
      <c r="H4962" s="11" t="str">
        <f aca="false">IF($A4962="","",IF(MAX($E4962,$F4962,$G4962)&gt;1,"중복","-"))</f>
        <v/>
      </c>
      <c r="I4962" s="11" t="str">
        <f aca="false">IF($A4962="","",IF($H4962="-","-",IF(AND(IF(원본명단!$H4961="",TRUE(),COUNTIF(원본명단!$H$3:$H4961,원본명단!$H4961)=1),IF(원본명단!$I4961="",TRUE(),COUNTIF(원본명단!$I$3:$I4961,원본명단!$I4961)=1),IF(원본명단!$K4961="",TRUE(),COUNTIF(원본명단!$K$3:$K4961,원본명단!$K4961)=1)),"첫 건","중복 건")))</f>
        <v/>
      </c>
      <c r="J4962" s="11" t="str">
        <f aca="false">IF($A4962="","",IF($H4962="-","유지",IF($I4962="첫 건","유지","확인 필요")))</f>
        <v/>
      </c>
    </row>
    <row r="4963" customFormat="false" ht="15" hidden="false" customHeight="true" outlineLevel="0" collapsed="false">
      <c r="A4963" s="11" t="str">
        <f aca="false">IF(원본명단!$A4962="","",4960)</f>
        <v/>
      </c>
      <c r="B4963" s="12" t="str">
        <f aca="false">IF($A4963="","",원본명단!$A4962)</f>
        <v/>
      </c>
      <c r="C4963" s="12" t="str">
        <f aca="false">IF($A4963="","",원본명단!$B4962)</f>
        <v/>
      </c>
      <c r="D4963" s="12" t="str">
        <f aca="false">IF($A4963="","",원본명단!$D4962)</f>
        <v/>
      </c>
      <c r="E4963" s="11" t="str">
        <f aca="false">IF($A4963="","",IF(원본명단!$H4962="",0,COUNTIF(원본명단!$H$3:$H$6002,원본명단!$H4962)))</f>
        <v/>
      </c>
      <c r="F4963" s="11" t="str">
        <f aca="false">IF($A4963="","",IF(원본명단!$I4962="",0,COUNTIF(원본명단!$I$3:$I$6002,원본명단!$I4962)))</f>
        <v/>
      </c>
      <c r="G4963" s="11" t="str">
        <f aca="false">IF($A4963="","",IF(원본명단!$K4962="",0,COUNTIF(원본명단!$K$3:$K$6002,원본명단!$K4962)))</f>
        <v/>
      </c>
      <c r="H4963" s="11" t="str">
        <f aca="false">IF($A4963="","",IF(MAX($E4963,$F4963,$G4963)&gt;1,"중복","-"))</f>
        <v/>
      </c>
      <c r="I4963" s="11" t="str">
        <f aca="false">IF($A4963="","",IF($H4963="-","-",IF(AND(IF(원본명단!$H4962="",TRUE(),COUNTIF(원본명단!$H$3:$H4962,원본명단!$H4962)=1),IF(원본명단!$I4962="",TRUE(),COUNTIF(원본명단!$I$3:$I4962,원본명단!$I4962)=1),IF(원본명단!$K4962="",TRUE(),COUNTIF(원본명단!$K$3:$K4962,원본명단!$K4962)=1)),"첫 건","중복 건")))</f>
        <v/>
      </c>
      <c r="J4963" s="11" t="str">
        <f aca="false">IF($A4963="","",IF($H4963="-","유지",IF($I4963="첫 건","유지","확인 필요")))</f>
        <v/>
      </c>
    </row>
    <row r="4964" customFormat="false" ht="15" hidden="false" customHeight="true" outlineLevel="0" collapsed="false">
      <c r="A4964" s="11" t="str">
        <f aca="false">IF(원본명단!$A4963="","",4961)</f>
        <v/>
      </c>
      <c r="B4964" s="12" t="str">
        <f aca="false">IF($A4964="","",원본명단!$A4963)</f>
        <v/>
      </c>
      <c r="C4964" s="12" t="str">
        <f aca="false">IF($A4964="","",원본명단!$B4963)</f>
        <v/>
      </c>
      <c r="D4964" s="12" t="str">
        <f aca="false">IF($A4964="","",원본명단!$D4963)</f>
        <v/>
      </c>
      <c r="E4964" s="11" t="str">
        <f aca="false">IF($A4964="","",IF(원본명단!$H4963="",0,COUNTIF(원본명단!$H$3:$H$6002,원본명단!$H4963)))</f>
        <v/>
      </c>
      <c r="F4964" s="11" t="str">
        <f aca="false">IF($A4964="","",IF(원본명단!$I4963="",0,COUNTIF(원본명단!$I$3:$I$6002,원본명단!$I4963)))</f>
        <v/>
      </c>
      <c r="G4964" s="11" t="str">
        <f aca="false">IF($A4964="","",IF(원본명단!$K4963="",0,COUNTIF(원본명단!$K$3:$K$6002,원본명단!$K4963)))</f>
        <v/>
      </c>
      <c r="H4964" s="11" t="str">
        <f aca="false">IF($A4964="","",IF(MAX($E4964,$F4964,$G4964)&gt;1,"중복","-"))</f>
        <v/>
      </c>
      <c r="I4964" s="11" t="str">
        <f aca="false">IF($A4964="","",IF($H4964="-","-",IF(AND(IF(원본명단!$H4963="",TRUE(),COUNTIF(원본명단!$H$3:$H4963,원본명단!$H4963)=1),IF(원본명단!$I4963="",TRUE(),COUNTIF(원본명단!$I$3:$I4963,원본명단!$I4963)=1),IF(원본명단!$K4963="",TRUE(),COUNTIF(원본명단!$K$3:$K4963,원본명단!$K4963)=1)),"첫 건","중복 건")))</f>
        <v/>
      </c>
      <c r="J4964" s="11" t="str">
        <f aca="false">IF($A4964="","",IF($H4964="-","유지",IF($I4964="첫 건","유지","확인 필요")))</f>
        <v/>
      </c>
    </row>
    <row r="4965" customFormat="false" ht="15" hidden="false" customHeight="true" outlineLevel="0" collapsed="false">
      <c r="A4965" s="11" t="str">
        <f aca="false">IF(원본명단!$A4964="","",4962)</f>
        <v/>
      </c>
      <c r="B4965" s="12" t="str">
        <f aca="false">IF($A4965="","",원본명단!$A4964)</f>
        <v/>
      </c>
      <c r="C4965" s="12" t="str">
        <f aca="false">IF($A4965="","",원본명단!$B4964)</f>
        <v/>
      </c>
      <c r="D4965" s="12" t="str">
        <f aca="false">IF($A4965="","",원본명단!$D4964)</f>
        <v/>
      </c>
      <c r="E4965" s="11" t="str">
        <f aca="false">IF($A4965="","",IF(원본명단!$H4964="",0,COUNTIF(원본명단!$H$3:$H$6002,원본명단!$H4964)))</f>
        <v/>
      </c>
      <c r="F4965" s="11" t="str">
        <f aca="false">IF($A4965="","",IF(원본명단!$I4964="",0,COUNTIF(원본명단!$I$3:$I$6002,원본명단!$I4964)))</f>
        <v/>
      </c>
      <c r="G4965" s="11" t="str">
        <f aca="false">IF($A4965="","",IF(원본명단!$K4964="",0,COUNTIF(원본명단!$K$3:$K$6002,원본명단!$K4964)))</f>
        <v/>
      </c>
      <c r="H4965" s="11" t="str">
        <f aca="false">IF($A4965="","",IF(MAX($E4965,$F4965,$G4965)&gt;1,"중복","-"))</f>
        <v/>
      </c>
      <c r="I4965" s="11" t="str">
        <f aca="false">IF($A4965="","",IF($H4965="-","-",IF(AND(IF(원본명단!$H4964="",TRUE(),COUNTIF(원본명단!$H$3:$H4964,원본명단!$H4964)=1),IF(원본명단!$I4964="",TRUE(),COUNTIF(원본명단!$I$3:$I4964,원본명단!$I4964)=1),IF(원본명단!$K4964="",TRUE(),COUNTIF(원본명단!$K$3:$K4964,원본명단!$K4964)=1)),"첫 건","중복 건")))</f>
        <v/>
      </c>
      <c r="J4965" s="11" t="str">
        <f aca="false">IF($A4965="","",IF($H4965="-","유지",IF($I4965="첫 건","유지","확인 필요")))</f>
        <v/>
      </c>
    </row>
    <row r="4966" customFormat="false" ht="15" hidden="false" customHeight="true" outlineLevel="0" collapsed="false">
      <c r="A4966" s="11" t="str">
        <f aca="false">IF(원본명단!$A4965="","",4963)</f>
        <v/>
      </c>
      <c r="B4966" s="12" t="str">
        <f aca="false">IF($A4966="","",원본명단!$A4965)</f>
        <v/>
      </c>
      <c r="C4966" s="12" t="str">
        <f aca="false">IF($A4966="","",원본명단!$B4965)</f>
        <v/>
      </c>
      <c r="D4966" s="12" t="str">
        <f aca="false">IF($A4966="","",원본명단!$D4965)</f>
        <v/>
      </c>
      <c r="E4966" s="11" t="str">
        <f aca="false">IF($A4966="","",IF(원본명단!$H4965="",0,COUNTIF(원본명단!$H$3:$H$6002,원본명단!$H4965)))</f>
        <v/>
      </c>
      <c r="F4966" s="11" t="str">
        <f aca="false">IF($A4966="","",IF(원본명단!$I4965="",0,COUNTIF(원본명단!$I$3:$I$6002,원본명단!$I4965)))</f>
        <v/>
      </c>
      <c r="G4966" s="11" t="str">
        <f aca="false">IF($A4966="","",IF(원본명단!$K4965="",0,COUNTIF(원본명단!$K$3:$K$6002,원본명단!$K4965)))</f>
        <v/>
      </c>
      <c r="H4966" s="11" t="str">
        <f aca="false">IF($A4966="","",IF(MAX($E4966,$F4966,$G4966)&gt;1,"중복","-"))</f>
        <v/>
      </c>
      <c r="I4966" s="11" t="str">
        <f aca="false">IF($A4966="","",IF($H4966="-","-",IF(AND(IF(원본명단!$H4965="",TRUE(),COUNTIF(원본명단!$H$3:$H4965,원본명단!$H4965)=1),IF(원본명단!$I4965="",TRUE(),COUNTIF(원본명단!$I$3:$I4965,원본명단!$I4965)=1),IF(원본명단!$K4965="",TRUE(),COUNTIF(원본명단!$K$3:$K4965,원본명단!$K4965)=1)),"첫 건","중복 건")))</f>
        <v/>
      </c>
      <c r="J4966" s="11" t="str">
        <f aca="false">IF($A4966="","",IF($H4966="-","유지",IF($I4966="첫 건","유지","확인 필요")))</f>
        <v/>
      </c>
    </row>
    <row r="4967" customFormat="false" ht="15" hidden="false" customHeight="true" outlineLevel="0" collapsed="false">
      <c r="A4967" s="11" t="str">
        <f aca="false">IF(원본명단!$A4966="","",4964)</f>
        <v/>
      </c>
      <c r="B4967" s="12" t="str">
        <f aca="false">IF($A4967="","",원본명단!$A4966)</f>
        <v/>
      </c>
      <c r="C4967" s="12" t="str">
        <f aca="false">IF($A4967="","",원본명단!$B4966)</f>
        <v/>
      </c>
      <c r="D4967" s="12" t="str">
        <f aca="false">IF($A4967="","",원본명단!$D4966)</f>
        <v/>
      </c>
      <c r="E4967" s="11" t="str">
        <f aca="false">IF($A4967="","",IF(원본명단!$H4966="",0,COUNTIF(원본명단!$H$3:$H$6002,원본명단!$H4966)))</f>
        <v/>
      </c>
      <c r="F4967" s="11" t="str">
        <f aca="false">IF($A4967="","",IF(원본명단!$I4966="",0,COUNTIF(원본명단!$I$3:$I$6002,원본명단!$I4966)))</f>
        <v/>
      </c>
      <c r="G4967" s="11" t="str">
        <f aca="false">IF($A4967="","",IF(원본명단!$K4966="",0,COUNTIF(원본명단!$K$3:$K$6002,원본명단!$K4966)))</f>
        <v/>
      </c>
      <c r="H4967" s="11" t="str">
        <f aca="false">IF($A4967="","",IF(MAX($E4967,$F4967,$G4967)&gt;1,"중복","-"))</f>
        <v/>
      </c>
      <c r="I4967" s="11" t="str">
        <f aca="false">IF($A4967="","",IF($H4967="-","-",IF(AND(IF(원본명단!$H4966="",TRUE(),COUNTIF(원본명단!$H$3:$H4966,원본명단!$H4966)=1),IF(원본명단!$I4966="",TRUE(),COUNTIF(원본명단!$I$3:$I4966,원본명단!$I4966)=1),IF(원본명단!$K4966="",TRUE(),COUNTIF(원본명단!$K$3:$K4966,원본명단!$K4966)=1)),"첫 건","중복 건")))</f>
        <v/>
      </c>
      <c r="J4967" s="11" t="str">
        <f aca="false">IF($A4967="","",IF($H4967="-","유지",IF($I4967="첫 건","유지","확인 필요")))</f>
        <v/>
      </c>
    </row>
    <row r="4968" customFormat="false" ht="15" hidden="false" customHeight="true" outlineLevel="0" collapsed="false">
      <c r="A4968" s="11" t="str">
        <f aca="false">IF(원본명단!$A4967="","",4965)</f>
        <v/>
      </c>
      <c r="B4968" s="12" t="str">
        <f aca="false">IF($A4968="","",원본명단!$A4967)</f>
        <v/>
      </c>
      <c r="C4968" s="12" t="str">
        <f aca="false">IF($A4968="","",원본명단!$B4967)</f>
        <v/>
      </c>
      <c r="D4968" s="12" t="str">
        <f aca="false">IF($A4968="","",원본명단!$D4967)</f>
        <v/>
      </c>
      <c r="E4968" s="11" t="str">
        <f aca="false">IF($A4968="","",IF(원본명단!$H4967="",0,COUNTIF(원본명단!$H$3:$H$6002,원본명단!$H4967)))</f>
        <v/>
      </c>
      <c r="F4968" s="11" t="str">
        <f aca="false">IF($A4968="","",IF(원본명단!$I4967="",0,COUNTIF(원본명단!$I$3:$I$6002,원본명단!$I4967)))</f>
        <v/>
      </c>
      <c r="G4968" s="11" t="str">
        <f aca="false">IF($A4968="","",IF(원본명단!$K4967="",0,COUNTIF(원본명단!$K$3:$K$6002,원본명단!$K4967)))</f>
        <v/>
      </c>
      <c r="H4968" s="11" t="str">
        <f aca="false">IF($A4968="","",IF(MAX($E4968,$F4968,$G4968)&gt;1,"중복","-"))</f>
        <v/>
      </c>
      <c r="I4968" s="11" t="str">
        <f aca="false">IF($A4968="","",IF($H4968="-","-",IF(AND(IF(원본명단!$H4967="",TRUE(),COUNTIF(원본명단!$H$3:$H4967,원본명단!$H4967)=1),IF(원본명단!$I4967="",TRUE(),COUNTIF(원본명단!$I$3:$I4967,원본명단!$I4967)=1),IF(원본명단!$K4967="",TRUE(),COUNTIF(원본명단!$K$3:$K4967,원본명단!$K4967)=1)),"첫 건","중복 건")))</f>
        <v/>
      </c>
      <c r="J4968" s="11" t="str">
        <f aca="false">IF($A4968="","",IF($H4968="-","유지",IF($I4968="첫 건","유지","확인 필요")))</f>
        <v/>
      </c>
    </row>
    <row r="4969" customFormat="false" ht="15" hidden="false" customHeight="true" outlineLevel="0" collapsed="false">
      <c r="A4969" s="11" t="str">
        <f aca="false">IF(원본명단!$A4968="","",4966)</f>
        <v/>
      </c>
      <c r="B4969" s="12" t="str">
        <f aca="false">IF($A4969="","",원본명단!$A4968)</f>
        <v/>
      </c>
      <c r="C4969" s="12" t="str">
        <f aca="false">IF($A4969="","",원본명단!$B4968)</f>
        <v/>
      </c>
      <c r="D4969" s="12" t="str">
        <f aca="false">IF($A4969="","",원본명단!$D4968)</f>
        <v/>
      </c>
      <c r="E4969" s="11" t="str">
        <f aca="false">IF($A4969="","",IF(원본명단!$H4968="",0,COUNTIF(원본명단!$H$3:$H$6002,원본명단!$H4968)))</f>
        <v/>
      </c>
      <c r="F4969" s="11" t="str">
        <f aca="false">IF($A4969="","",IF(원본명단!$I4968="",0,COUNTIF(원본명단!$I$3:$I$6002,원본명단!$I4968)))</f>
        <v/>
      </c>
      <c r="G4969" s="11" t="str">
        <f aca="false">IF($A4969="","",IF(원본명단!$K4968="",0,COUNTIF(원본명단!$K$3:$K$6002,원본명단!$K4968)))</f>
        <v/>
      </c>
      <c r="H4969" s="11" t="str">
        <f aca="false">IF($A4969="","",IF(MAX($E4969,$F4969,$G4969)&gt;1,"중복","-"))</f>
        <v/>
      </c>
      <c r="I4969" s="11" t="str">
        <f aca="false">IF($A4969="","",IF($H4969="-","-",IF(AND(IF(원본명단!$H4968="",TRUE(),COUNTIF(원본명단!$H$3:$H4968,원본명단!$H4968)=1),IF(원본명단!$I4968="",TRUE(),COUNTIF(원본명단!$I$3:$I4968,원본명단!$I4968)=1),IF(원본명단!$K4968="",TRUE(),COUNTIF(원본명단!$K$3:$K4968,원본명단!$K4968)=1)),"첫 건","중복 건")))</f>
        <v/>
      </c>
      <c r="J4969" s="11" t="str">
        <f aca="false">IF($A4969="","",IF($H4969="-","유지",IF($I4969="첫 건","유지","확인 필요")))</f>
        <v/>
      </c>
    </row>
    <row r="4970" customFormat="false" ht="15" hidden="false" customHeight="true" outlineLevel="0" collapsed="false">
      <c r="A4970" s="11" t="str">
        <f aca="false">IF(원본명단!$A4969="","",4967)</f>
        <v/>
      </c>
      <c r="B4970" s="12" t="str">
        <f aca="false">IF($A4970="","",원본명단!$A4969)</f>
        <v/>
      </c>
      <c r="C4970" s="12" t="str">
        <f aca="false">IF($A4970="","",원본명단!$B4969)</f>
        <v/>
      </c>
      <c r="D4970" s="12" t="str">
        <f aca="false">IF($A4970="","",원본명단!$D4969)</f>
        <v/>
      </c>
      <c r="E4970" s="11" t="str">
        <f aca="false">IF($A4970="","",IF(원본명단!$H4969="",0,COUNTIF(원본명단!$H$3:$H$6002,원본명단!$H4969)))</f>
        <v/>
      </c>
      <c r="F4970" s="11" t="str">
        <f aca="false">IF($A4970="","",IF(원본명단!$I4969="",0,COUNTIF(원본명단!$I$3:$I$6002,원본명단!$I4969)))</f>
        <v/>
      </c>
      <c r="G4970" s="11" t="str">
        <f aca="false">IF($A4970="","",IF(원본명단!$K4969="",0,COUNTIF(원본명단!$K$3:$K$6002,원본명단!$K4969)))</f>
        <v/>
      </c>
      <c r="H4970" s="11" t="str">
        <f aca="false">IF($A4970="","",IF(MAX($E4970,$F4970,$G4970)&gt;1,"중복","-"))</f>
        <v/>
      </c>
      <c r="I4970" s="11" t="str">
        <f aca="false">IF($A4970="","",IF($H4970="-","-",IF(AND(IF(원본명단!$H4969="",TRUE(),COUNTIF(원본명단!$H$3:$H4969,원본명단!$H4969)=1),IF(원본명단!$I4969="",TRUE(),COUNTIF(원본명단!$I$3:$I4969,원본명단!$I4969)=1),IF(원본명단!$K4969="",TRUE(),COUNTIF(원본명단!$K$3:$K4969,원본명단!$K4969)=1)),"첫 건","중복 건")))</f>
        <v/>
      </c>
      <c r="J4970" s="11" t="str">
        <f aca="false">IF($A4970="","",IF($H4970="-","유지",IF($I4970="첫 건","유지","확인 필요")))</f>
        <v/>
      </c>
    </row>
    <row r="4971" customFormat="false" ht="15" hidden="false" customHeight="true" outlineLevel="0" collapsed="false">
      <c r="A4971" s="11" t="str">
        <f aca="false">IF(원본명단!$A4970="","",4968)</f>
        <v/>
      </c>
      <c r="B4971" s="12" t="str">
        <f aca="false">IF($A4971="","",원본명단!$A4970)</f>
        <v/>
      </c>
      <c r="C4971" s="12" t="str">
        <f aca="false">IF($A4971="","",원본명단!$B4970)</f>
        <v/>
      </c>
      <c r="D4971" s="12" t="str">
        <f aca="false">IF($A4971="","",원본명단!$D4970)</f>
        <v/>
      </c>
      <c r="E4971" s="11" t="str">
        <f aca="false">IF($A4971="","",IF(원본명단!$H4970="",0,COUNTIF(원본명단!$H$3:$H$6002,원본명단!$H4970)))</f>
        <v/>
      </c>
      <c r="F4971" s="11" t="str">
        <f aca="false">IF($A4971="","",IF(원본명단!$I4970="",0,COUNTIF(원본명단!$I$3:$I$6002,원본명단!$I4970)))</f>
        <v/>
      </c>
      <c r="G4971" s="11" t="str">
        <f aca="false">IF($A4971="","",IF(원본명단!$K4970="",0,COUNTIF(원본명단!$K$3:$K$6002,원본명단!$K4970)))</f>
        <v/>
      </c>
      <c r="H4971" s="11" t="str">
        <f aca="false">IF($A4971="","",IF(MAX($E4971,$F4971,$G4971)&gt;1,"중복","-"))</f>
        <v/>
      </c>
      <c r="I4971" s="11" t="str">
        <f aca="false">IF($A4971="","",IF($H4971="-","-",IF(AND(IF(원본명단!$H4970="",TRUE(),COUNTIF(원본명단!$H$3:$H4970,원본명단!$H4970)=1),IF(원본명단!$I4970="",TRUE(),COUNTIF(원본명단!$I$3:$I4970,원본명단!$I4970)=1),IF(원본명단!$K4970="",TRUE(),COUNTIF(원본명단!$K$3:$K4970,원본명단!$K4970)=1)),"첫 건","중복 건")))</f>
        <v/>
      </c>
      <c r="J4971" s="11" t="str">
        <f aca="false">IF($A4971="","",IF($H4971="-","유지",IF($I4971="첫 건","유지","확인 필요")))</f>
        <v/>
      </c>
    </row>
    <row r="4972" customFormat="false" ht="15" hidden="false" customHeight="true" outlineLevel="0" collapsed="false">
      <c r="A4972" s="11" t="str">
        <f aca="false">IF(원본명단!$A4971="","",4969)</f>
        <v/>
      </c>
      <c r="B4972" s="12" t="str">
        <f aca="false">IF($A4972="","",원본명단!$A4971)</f>
        <v/>
      </c>
      <c r="C4972" s="12" t="str">
        <f aca="false">IF($A4972="","",원본명단!$B4971)</f>
        <v/>
      </c>
      <c r="D4972" s="12" t="str">
        <f aca="false">IF($A4972="","",원본명단!$D4971)</f>
        <v/>
      </c>
      <c r="E4972" s="11" t="str">
        <f aca="false">IF($A4972="","",IF(원본명단!$H4971="",0,COUNTIF(원본명단!$H$3:$H$6002,원본명단!$H4971)))</f>
        <v/>
      </c>
      <c r="F4972" s="11" t="str">
        <f aca="false">IF($A4972="","",IF(원본명단!$I4971="",0,COUNTIF(원본명단!$I$3:$I$6002,원본명단!$I4971)))</f>
        <v/>
      </c>
      <c r="G4972" s="11" t="str">
        <f aca="false">IF($A4972="","",IF(원본명단!$K4971="",0,COUNTIF(원본명단!$K$3:$K$6002,원본명단!$K4971)))</f>
        <v/>
      </c>
      <c r="H4972" s="11" t="str">
        <f aca="false">IF($A4972="","",IF(MAX($E4972,$F4972,$G4972)&gt;1,"중복","-"))</f>
        <v/>
      </c>
      <c r="I4972" s="11" t="str">
        <f aca="false">IF($A4972="","",IF($H4972="-","-",IF(AND(IF(원본명단!$H4971="",TRUE(),COUNTIF(원본명단!$H$3:$H4971,원본명단!$H4971)=1),IF(원본명단!$I4971="",TRUE(),COUNTIF(원본명단!$I$3:$I4971,원본명단!$I4971)=1),IF(원본명단!$K4971="",TRUE(),COUNTIF(원본명단!$K$3:$K4971,원본명단!$K4971)=1)),"첫 건","중복 건")))</f>
        <v/>
      </c>
      <c r="J4972" s="11" t="str">
        <f aca="false">IF($A4972="","",IF($H4972="-","유지",IF($I4972="첫 건","유지","확인 필요")))</f>
        <v/>
      </c>
    </row>
    <row r="4973" customFormat="false" ht="15" hidden="false" customHeight="true" outlineLevel="0" collapsed="false">
      <c r="A4973" s="11" t="str">
        <f aca="false">IF(원본명단!$A4972="","",4970)</f>
        <v/>
      </c>
      <c r="B4973" s="12" t="str">
        <f aca="false">IF($A4973="","",원본명단!$A4972)</f>
        <v/>
      </c>
      <c r="C4973" s="12" t="str">
        <f aca="false">IF($A4973="","",원본명단!$B4972)</f>
        <v/>
      </c>
      <c r="D4973" s="12" t="str">
        <f aca="false">IF($A4973="","",원본명단!$D4972)</f>
        <v/>
      </c>
      <c r="E4973" s="11" t="str">
        <f aca="false">IF($A4973="","",IF(원본명단!$H4972="",0,COUNTIF(원본명단!$H$3:$H$6002,원본명단!$H4972)))</f>
        <v/>
      </c>
      <c r="F4973" s="11" t="str">
        <f aca="false">IF($A4973="","",IF(원본명단!$I4972="",0,COUNTIF(원본명단!$I$3:$I$6002,원본명단!$I4972)))</f>
        <v/>
      </c>
      <c r="G4973" s="11" t="str">
        <f aca="false">IF($A4973="","",IF(원본명단!$K4972="",0,COUNTIF(원본명단!$K$3:$K$6002,원본명단!$K4972)))</f>
        <v/>
      </c>
      <c r="H4973" s="11" t="str">
        <f aca="false">IF($A4973="","",IF(MAX($E4973,$F4973,$G4973)&gt;1,"중복","-"))</f>
        <v/>
      </c>
      <c r="I4973" s="11" t="str">
        <f aca="false">IF($A4973="","",IF($H4973="-","-",IF(AND(IF(원본명단!$H4972="",TRUE(),COUNTIF(원본명단!$H$3:$H4972,원본명단!$H4972)=1),IF(원본명단!$I4972="",TRUE(),COUNTIF(원본명단!$I$3:$I4972,원본명단!$I4972)=1),IF(원본명단!$K4972="",TRUE(),COUNTIF(원본명단!$K$3:$K4972,원본명단!$K4972)=1)),"첫 건","중복 건")))</f>
        <v/>
      </c>
      <c r="J4973" s="11" t="str">
        <f aca="false">IF($A4973="","",IF($H4973="-","유지",IF($I4973="첫 건","유지","확인 필요")))</f>
        <v/>
      </c>
    </row>
    <row r="4974" customFormat="false" ht="15" hidden="false" customHeight="true" outlineLevel="0" collapsed="false">
      <c r="A4974" s="11" t="str">
        <f aca="false">IF(원본명단!$A4973="","",4971)</f>
        <v/>
      </c>
      <c r="B4974" s="12" t="str">
        <f aca="false">IF($A4974="","",원본명단!$A4973)</f>
        <v/>
      </c>
      <c r="C4974" s="12" t="str">
        <f aca="false">IF($A4974="","",원본명단!$B4973)</f>
        <v/>
      </c>
      <c r="D4974" s="12" t="str">
        <f aca="false">IF($A4974="","",원본명단!$D4973)</f>
        <v/>
      </c>
      <c r="E4974" s="11" t="str">
        <f aca="false">IF($A4974="","",IF(원본명단!$H4973="",0,COUNTIF(원본명단!$H$3:$H$6002,원본명단!$H4973)))</f>
        <v/>
      </c>
      <c r="F4974" s="11" t="str">
        <f aca="false">IF($A4974="","",IF(원본명단!$I4973="",0,COUNTIF(원본명단!$I$3:$I$6002,원본명단!$I4973)))</f>
        <v/>
      </c>
      <c r="G4974" s="11" t="str">
        <f aca="false">IF($A4974="","",IF(원본명단!$K4973="",0,COUNTIF(원본명단!$K$3:$K$6002,원본명단!$K4973)))</f>
        <v/>
      </c>
      <c r="H4974" s="11" t="str">
        <f aca="false">IF($A4974="","",IF(MAX($E4974,$F4974,$G4974)&gt;1,"중복","-"))</f>
        <v/>
      </c>
      <c r="I4974" s="11" t="str">
        <f aca="false">IF($A4974="","",IF($H4974="-","-",IF(AND(IF(원본명단!$H4973="",TRUE(),COUNTIF(원본명단!$H$3:$H4973,원본명단!$H4973)=1),IF(원본명단!$I4973="",TRUE(),COUNTIF(원본명단!$I$3:$I4973,원본명단!$I4973)=1),IF(원본명단!$K4973="",TRUE(),COUNTIF(원본명단!$K$3:$K4973,원본명단!$K4973)=1)),"첫 건","중복 건")))</f>
        <v/>
      </c>
      <c r="J4974" s="11" t="str">
        <f aca="false">IF($A4974="","",IF($H4974="-","유지",IF($I4974="첫 건","유지","확인 필요")))</f>
        <v/>
      </c>
    </row>
    <row r="4975" customFormat="false" ht="15" hidden="false" customHeight="true" outlineLevel="0" collapsed="false">
      <c r="A4975" s="11" t="str">
        <f aca="false">IF(원본명단!$A4974="","",4972)</f>
        <v/>
      </c>
      <c r="B4975" s="12" t="str">
        <f aca="false">IF($A4975="","",원본명단!$A4974)</f>
        <v/>
      </c>
      <c r="C4975" s="12" t="str">
        <f aca="false">IF($A4975="","",원본명단!$B4974)</f>
        <v/>
      </c>
      <c r="D4975" s="12" t="str">
        <f aca="false">IF($A4975="","",원본명단!$D4974)</f>
        <v/>
      </c>
      <c r="E4975" s="11" t="str">
        <f aca="false">IF($A4975="","",IF(원본명단!$H4974="",0,COUNTIF(원본명단!$H$3:$H$6002,원본명단!$H4974)))</f>
        <v/>
      </c>
      <c r="F4975" s="11" t="str">
        <f aca="false">IF($A4975="","",IF(원본명단!$I4974="",0,COUNTIF(원본명단!$I$3:$I$6002,원본명단!$I4974)))</f>
        <v/>
      </c>
      <c r="G4975" s="11" t="str">
        <f aca="false">IF($A4975="","",IF(원본명단!$K4974="",0,COUNTIF(원본명단!$K$3:$K$6002,원본명단!$K4974)))</f>
        <v/>
      </c>
      <c r="H4975" s="11" t="str">
        <f aca="false">IF($A4975="","",IF(MAX($E4975,$F4975,$G4975)&gt;1,"중복","-"))</f>
        <v/>
      </c>
      <c r="I4975" s="11" t="str">
        <f aca="false">IF($A4975="","",IF($H4975="-","-",IF(AND(IF(원본명단!$H4974="",TRUE(),COUNTIF(원본명단!$H$3:$H4974,원본명단!$H4974)=1),IF(원본명단!$I4974="",TRUE(),COUNTIF(원본명단!$I$3:$I4974,원본명단!$I4974)=1),IF(원본명단!$K4974="",TRUE(),COUNTIF(원본명단!$K$3:$K4974,원본명단!$K4974)=1)),"첫 건","중복 건")))</f>
        <v/>
      </c>
      <c r="J4975" s="11" t="str">
        <f aca="false">IF($A4975="","",IF($H4975="-","유지",IF($I4975="첫 건","유지","확인 필요")))</f>
        <v/>
      </c>
    </row>
    <row r="4976" customFormat="false" ht="15" hidden="false" customHeight="true" outlineLevel="0" collapsed="false">
      <c r="A4976" s="11" t="str">
        <f aca="false">IF(원본명단!$A4975="","",4973)</f>
        <v/>
      </c>
      <c r="B4976" s="12" t="str">
        <f aca="false">IF($A4976="","",원본명단!$A4975)</f>
        <v/>
      </c>
      <c r="C4976" s="12" t="str">
        <f aca="false">IF($A4976="","",원본명단!$B4975)</f>
        <v/>
      </c>
      <c r="D4976" s="12" t="str">
        <f aca="false">IF($A4976="","",원본명단!$D4975)</f>
        <v/>
      </c>
      <c r="E4976" s="11" t="str">
        <f aca="false">IF($A4976="","",IF(원본명단!$H4975="",0,COUNTIF(원본명단!$H$3:$H$6002,원본명단!$H4975)))</f>
        <v/>
      </c>
      <c r="F4976" s="11" t="str">
        <f aca="false">IF($A4976="","",IF(원본명단!$I4975="",0,COUNTIF(원본명단!$I$3:$I$6002,원본명단!$I4975)))</f>
        <v/>
      </c>
      <c r="G4976" s="11" t="str">
        <f aca="false">IF($A4976="","",IF(원본명단!$K4975="",0,COUNTIF(원본명단!$K$3:$K$6002,원본명단!$K4975)))</f>
        <v/>
      </c>
      <c r="H4976" s="11" t="str">
        <f aca="false">IF($A4976="","",IF(MAX($E4976,$F4976,$G4976)&gt;1,"중복","-"))</f>
        <v/>
      </c>
      <c r="I4976" s="11" t="str">
        <f aca="false">IF($A4976="","",IF($H4976="-","-",IF(AND(IF(원본명단!$H4975="",TRUE(),COUNTIF(원본명단!$H$3:$H4975,원본명단!$H4975)=1),IF(원본명단!$I4975="",TRUE(),COUNTIF(원본명단!$I$3:$I4975,원본명단!$I4975)=1),IF(원본명단!$K4975="",TRUE(),COUNTIF(원본명단!$K$3:$K4975,원본명단!$K4975)=1)),"첫 건","중복 건")))</f>
        <v/>
      </c>
      <c r="J4976" s="11" t="str">
        <f aca="false">IF($A4976="","",IF($H4976="-","유지",IF($I4976="첫 건","유지","확인 필요")))</f>
        <v/>
      </c>
    </row>
    <row r="4977" customFormat="false" ht="15" hidden="false" customHeight="true" outlineLevel="0" collapsed="false">
      <c r="A4977" s="11" t="str">
        <f aca="false">IF(원본명단!$A4976="","",4974)</f>
        <v/>
      </c>
      <c r="B4977" s="12" t="str">
        <f aca="false">IF($A4977="","",원본명단!$A4976)</f>
        <v/>
      </c>
      <c r="C4977" s="12" t="str">
        <f aca="false">IF($A4977="","",원본명단!$B4976)</f>
        <v/>
      </c>
      <c r="D4977" s="12" t="str">
        <f aca="false">IF($A4977="","",원본명단!$D4976)</f>
        <v/>
      </c>
      <c r="E4977" s="11" t="str">
        <f aca="false">IF($A4977="","",IF(원본명단!$H4976="",0,COUNTIF(원본명단!$H$3:$H$6002,원본명단!$H4976)))</f>
        <v/>
      </c>
      <c r="F4977" s="11" t="str">
        <f aca="false">IF($A4977="","",IF(원본명단!$I4976="",0,COUNTIF(원본명단!$I$3:$I$6002,원본명단!$I4976)))</f>
        <v/>
      </c>
      <c r="G4977" s="11" t="str">
        <f aca="false">IF($A4977="","",IF(원본명단!$K4976="",0,COUNTIF(원본명단!$K$3:$K$6002,원본명단!$K4976)))</f>
        <v/>
      </c>
      <c r="H4977" s="11" t="str">
        <f aca="false">IF($A4977="","",IF(MAX($E4977,$F4977,$G4977)&gt;1,"중복","-"))</f>
        <v/>
      </c>
      <c r="I4977" s="11" t="str">
        <f aca="false">IF($A4977="","",IF($H4977="-","-",IF(AND(IF(원본명단!$H4976="",TRUE(),COUNTIF(원본명단!$H$3:$H4976,원본명단!$H4976)=1),IF(원본명단!$I4976="",TRUE(),COUNTIF(원본명단!$I$3:$I4976,원본명단!$I4976)=1),IF(원본명단!$K4976="",TRUE(),COUNTIF(원본명단!$K$3:$K4976,원본명단!$K4976)=1)),"첫 건","중복 건")))</f>
        <v/>
      </c>
      <c r="J4977" s="11" t="str">
        <f aca="false">IF($A4977="","",IF($H4977="-","유지",IF($I4977="첫 건","유지","확인 필요")))</f>
        <v/>
      </c>
    </row>
    <row r="4978" customFormat="false" ht="15" hidden="false" customHeight="true" outlineLevel="0" collapsed="false">
      <c r="A4978" s="11" t="str">
        <f aca="false">IF(원본명단!$A4977="","",4975)</f>
        <v/>
      </c>
      <c r="B4978" s="12" t="str">
        <f aca="false">IF($A4978="","",원본명단!$A4977)</f>
        <v/>
      </c>
      <c r="C4978" s="12" t="str">
        <f aca="false">IF($A4978="","",원본명단!$B4977)</f>
        <v/>
      </c>
      <c r="D4978" s="12" t="str">
        <f aca="false">IF($A4978="","",원본명단!$D4977)</f>
        <v/>
      </c>
      <c r="E4978" s="11" t="str">
        <f aca="false">IF($A4978="","",IF(원본명단!$H4977="",0,COUNTIF(원본명단!$H$3:$H$6002,원본명단!$H4977)))</f>
        <v/>
      </c>
      <c r="F4978" s="11" t="str">
        <f aca="false">IF($A4978="","",IF(원본명단!$I4977="",0,COUNTIF(원본명단!$I$3:$I$6002,원본명단!$I4977)))</f>
        <v/>
      </c>
      <c r="G4978" s="11" t="str">
        <f aca="false">IF($A4978="","",IF(원본명단!$K4977="",0,COUNTIF(원본명단!$K$3:$K$6002,원본명단!$K4977)))</f>
        <v/>
      </c>
      <c r="H4978" s="11" t="str">
        <f aca="false">IF($A4978="","",IF(MAX($E4978,$F4978,$G4978)&gt;1,"중복","-"))</f>
        <v/>
      </c>
      <c r="I4978" s="11" t="str">
        <f aca="false">IF($A4978="","",IF($H4978="-","-",IF(AND(IF(원본명단!$H4977="",TRUE(),COUNTIF(원본명단!$H$3:$H4977,원본명단!$H4977)=1),IF(원본명단!$I4977="",TRUE(),COUNTIF(원본명단!$I$3:$I4977,원본명단!$I4977)=1),IF(원본명단!$K4977="",TRUE(),COUNTIF(원본명단!$K$3:$K4977,원본명단!$K4977)=1)),"첫 건","중복 건")))</f>
        <v/>
      </c>
      <c r="J4978" s="11" t="str">
        <f aca="false">IF($A4978="","",IF($H4978="-","유지",IF($I4978="첫 건","유지","확인 필요")))</f>
        <v/>
      </c>
    </row>
    <row r="4979" customFormat="false" ht="15" hidden="false" customHeight="true" outlineLevel="0" collapsed="false">
      <c r="A4979" s="11" t="str">
        <f aca="false">IF(원본명단!$A4978="","",4976)</f>
        <v/>
      </c>
      <c r="B4979" s="12" t="str">
        <f aca="false">IF($A4979="","",원본명단!$A4978)</f>
        <v/>
      </c>
      <c r="C4979" s="12" t="str">
        <f aca="false">IF($A4979="","",원본명단!$B4978)</f>
        <v/>
      </c>
      <c r="D4979" s="12" t="str">
        <f aca="false">IF($A4979="","",원본명단!$D4978)</f>
        <v/>
      </c>
      <c r="E4979" s="11" t="str">
        <f aca="false">IF($A4979="","",IF(원본명단!$H4978="",0,COUNTIF(원본명단!$H$3:$H$6002,원본명단!$H4978)))</f>
        <v/>
      </c>
      <c r="F4979" s="11" t="str">
        <f aca="false">IF($A4979="","",IF(원본명단!$I4978="",0,COUNTIF(원본명단!$I$3:$I$6002,원본명단!$I4978)))</f>
        <v/>
      </c>
      <c r="G4979" s="11" t="str">
        <f aca="false">IF($A4979="","",IF(원본명단!$K4978="",0,COUNTIF(원본명단!$K$3:$K$6002,원본명단!$K4978)))</f>
        <v/>
      </c>
      <c r="H4979" s="11" t="str">
        <f aca="false">IF($A4979="","",IF(MAX($E4979,$F4979,$G4979)&gt;1,"중복","-"))</f>
        <v/>
      </c>
      <c r="I4979" s="11" t="str">
        <f aca="false">IF($A4979="","",IF($H4979="-","-",IF(AND(IF(원본명단!$H4978="",TRUE(),COUNTIF(원본명단!$H$3:$H4978,원본명단!$H4978)=1),IF(원본명단!$I4978="",TRUE(),COUNTIF(원본명단!$I$3:$I4978,원본명단!$I4978)=1),IF(원본명단!$K4978="",TRUE(),COUNTIF(원본명단!$K$3:$K4978,원본명단!$K4978)=1)),"첫 건","중복 건")))</f>
        <v/>
      </c>
      <c r="J4979" s="11" t="str">
        <f aca="false">IF($A4979="","",IF($H4979="-","유지",IF($I4979="첫 건","유지","확인 필요")))</f>
        <v/>
      </c>
    </row>
    <row r="4980" customFormat="false" ht="15" hidden="false" customHeight="true" outlineLevel="0" collapsed="false">
      <c r="A4980" s="11" t="str">
        <f aca="false">IF(원본명단!$A4979="","",4977)</f>
        <v/>
      </c>
      <c r="B4980" s="12" t="str">
        <f aca="false">IF($A4980="","",원본명단!$A4979)</f>
        <v/>
      </c>
      <c r="C4980" s="12" t="str">
        <f aca="false">IF($A4980="","",원본명단!$B4979)</f>
        <v/>
      </c>
      <c r="D4980" s="12" t="str">
        <f aca="false">IF($A4980="","",원본명단!$D4979)</f>
        <v/>
      </c>
      <c r="E4980" s="11" t="str">
        <f aca="false">IF($A4980="","",IF(원본명단!$H4979="",0,COUNTIF(원본명단!$H$3:$H$6002,원본명단!$H4979)))</f>
        <v/>
      </c>
      <c r="F4980" s="11" t="str">
        <f aca="false">IF($A4980="","",IF(원본명단!$I4979="",0,COUNTIF(원본명단!$I$3:$I$6002,원본명단!$I4979)))</f>
        <v/>
      </c>
      <c r="G4980" s="11" t="str">
        <f aca="false">IF($A4980="","",IF(원본명단!$K4979="",0,COUNTIF(원본명단!$K$3:$K$6002,원본명단!$K4979)))</f>
        <v/>
      </c>
      <c r="H4980" s="11" t="str">
        <f aca="false">IF($A4980="","",IF(MAX($E4980,$F4980,$G4980)&gt;1,"중복","-"))</f>
        <v/>
      </c>
      <c r="I4980" s="11" t="str">
        <f aca="false">IF($A4980="","",IF($H4980="-","-",IF(AND(IF(원본명단!$H4979="",TRUE(),COUNTIF(원본명단!$H$3:$H4979,원본명단!$H4979)=1),IF(원본명단!$I4979="",TRUE(),COUNTIF(원본명단!$I$3:$I4979,원본명단!$I4979)=1),IF(원본명단!$K4979="",TRUE(),COUNTIF(원본명단!$K$3:$K4979,원본명단!$K4979)=1)),"첫 건","중복 건")))</f>
        <v/>
      </c>
      <c r="J4980" s="11" t="str">
        <f aca="false">IF($A4980="","",IF($H4980="-","유지",IF($I4980="첫 건","유지","확인 필요")))</f>
        <v/>
      </c>
    </row>
    <row r="4981" customFormat="false" ht="15" hidden="false" customHeight="true" outlineLevel="0" collapsed="false">
      <c r="A4981" s="11" t="str">
        <f aca="false">IF(원본명단!$A4980="","",4978)</f>
        <v/>
      </c>
      <c r="B4981" s="12" t="str">
        <f aca="false">IF($A4981="","",원본명단!$A4980)</f>
        <v/>
      </c>
      <c r="C4981" s="12" t="str">
        <f aca="false">IF($A4981="","",원본명단!$B4980)</f>
        <v/>
      </c>
      <c r="D4981" s="12" t="str">
        <f aca="false">IF($A4981="","",원본명단!$D4980)</f>
        <v/>
      </c>
      <c r="E4981" s="11" t="str">
        <f aca="false">IF($A4981="","",IF(원본명단!$H4980="",0,COUNTIF(원본명단!$H$3:$H$6002,원본명단!$H4980)))</f>
        <v/>
      </c>
      <c r="F4981" s="11" t="str">
        <f aca="false">IF($A4981="","",IF(원본명단!$I4980="",0,COUNTIF(원본명단!$I$3:$I$6002,원본명단!$I4980)))</f>
        <v/>
      </c>
      <c r="G4981" s="11" t="str">
        <f aca="false">IF($A4981="","",IF(원본명단!$K4980="",0,COUNTIF(원본명단!$K$3:$K$6002,원본명단!$K4980)))</f>
        <v/>
      </c>
      <c r="H4981" s="11" t="str">
        <f aca="false">IF($A4981="","",IF(MAX($E4981,$F4981,$G4981)&gt;1,"중복","-"))</f>
        <v/>
      </c>
      <c r="I4981" s="11" t="str">
        <f aca="false">IF($A4981="","",IF($H4981="-","-",IF(AND(IF(원본명단!$H4980="",TRUE(),COUNTIF(원본명단!$H$3:$H4980,원본명단!$H4980)=1),IF(원본명단!$I4980="",TRUE(),COUNTIF(원본명단!$I$3:$I4980,원본명단!$I4980)=1),IF(원본명단!$K4980="",TRUE(),COUNTIF(원본명단!$K$3:$K4980,원본명단!$K4980)=1)),"첫 건","중복 건")))</f>
        <v/>
      </c>
      <c r="J4981" s="11" t="str">
        <f aca="false">IF($A4981="","",IF($H4981="-","유지",IF($I4981="첫 건","유지","확인 필요")))</f>
        <v/>
      </c>
    </row>
    <row r="4982" customFormat="false" ht="15" hidden="false" customHeight="true" outlineLevel="0" collapsed="false">
      <c r="A4982" s="11" t="str">
        <f aca="false">IF(원본명단!$A4981="","",4979)</f>
        <v/>
      </c>
      <c r="B4982" s="12" t="str">
        <f aca="false">IF($A4982="","",원본명단!$A4981)</f>
        <v/>
      </c>
      <c r="C4982" s="12" t="str">
        <f aca="false">IF($A4982="","",원본명단!$B4981)</f>
        <v/>
      </c>
      <c r="D4982" s="12" t="str">
        <f aca="false">IF($A4982="","",원본명단!$D4981)</f>
        <v/>
      </c>
      <c r="E4982" s="11" t="str">
        <f aca="false">IF($A4982="","",IF(원본명단!$H4981="",0,COUNTIF(원본명단!$H$3:$H$6002,원본명단!$H4981)))</f>
        <v/>
      </c>
      <c r="F4982" s="11" t="str">
        <f aca="false">IF($A4982="","",IF(원본명단!$I4981="",0,COUNTIF(원본명단!$I$3:$I$6002,원본명단!$I4981)))</f>
        <v/>
      </c>
      <c r="G4982" s="11" t="str">
        <f aca="false">IF($A4982="","",IF(원본명단!$K4981="",0,COUNTIF(원본명단!$K$3:$K$6002,원본명단!$K4981)))</f>
        <v/>
      </c>
      <c r="H4982" s="11" t="str">
        <f aca="false">IF($A4982="","",IF(MAX($E4982,$F4982,$G4982)&gt;1,"중복","-"))</f>
        <v/>
      </c>
      <c r="I4982" s="11" t="str">
        <f aca="false">IF($A4982="","",IF($H4982="-","-",IF(AND(IF(원본명단!$H4981="",TRUE(),COUNTIF(원본명단!$H$3:$H4981,원본명단!$H4981)=1),IF(원본명단!$I4981="",TRUE(),COUNTIF(원본명단!$I$3:$I4981,원본명단!$I4981)=1),IF(원본명단!$K4981="",TRUE(),COUNTIF(원본명단!$K$3:$K4981,원본명단!$K4981)=1)),"첫 건","중복 건")))</f>
        <v/>
      </c>
      <c r="J4982" s="11" t="str">
        <f aca="false">IF($A4982="","",IF($H4982="-","유지",IF($I4982="첫 건","유지","확인 필요")))</f>
        <v/>
      </c>
    </row>
    <row r="4983" customFormat="false" ht="15" hidden="false" customHeight="true" outlineLevel="0" collapsed="false">
      <c r="A4983" s="11" t="str">
        <f aca="false">IF(원본명단!$A4982="","",4980)</f>
        <v/>
      </c>
      <c r="B4983" s="12" t="str">
        <f aca="false">IF($A4983="","",원본명단!$A4982)</f>
        <v/>
      </c>
      <c r="C4983" s="12" t="str">
        <f aca="false">IF($A4983="","",원본명단!$B4982)</f>
        <v/>
      </c>
      <c r="D4983" s="12" t="str">
        <f aca="false">IF($A4983="","",원본명단!$D4982)</f>
        <v/>
      </c>
      <c r="E4983" s="11" t="str">
        <f aca="false">IF($A4983="","",IF(원본명단!$H4982="",0,COUNTIF(원본명단!$H$3:$H$6002,원본명단!$H4982)))</f>
        <v/>
      </c>
      <c r="F4983" s="11" t="str">
        <f aca="false">IF($A4983="","",IF(원본명단!$I4982="",0,COUNTIF(원본명단!$I$3:$I$6002,원본명단!$I4982)))</f>
        <v/>
      </c>
      <c r="G4983" s="11" t="str">
        <f aca="false">IF($A4983="","",IF(원본명단!$K4982="",0,COUNTIF(원본명단!$K$3:$K$6002,원본명단!$K4982)))</f>
        <v/>
      </c>
      <c r="H4983" s="11" t="str">
        <f aca="false">IF($A4983="","",IF(MAX($E4983,$F4983,$G4983)&gt;1,"중복","-"))</f>
        <v/>
      </c>
      <c r="I4983" s="11" t="str">
        <f aca="false">IF($A4983="","",IF($H4983="-","-",IF(AND(IF(원본명단!$H4982="",TRUE(),COUNTIF(원본명단!$H$3:$H4982,원본명단!$H4982)=1),IF(원본명단!$I4982="",TRUE(),COUNTIF(원본명단!$I$3:$I4982,원본명단!$I4982)=1),IF(원본명단!$K4982="",TRUE(),COUNTIF(원본명단!$K$3:$K4982,원본명단!$K4982)=1)),"첫 건","중복 건")))</f>
        <v/>
      </c>
      <c r="J4983" s="11" t="str">
        <f aca="false">IF($A4983="","",IF($H4983="-","유지",IF($I4983="첫 건","유지","확인 필요")))</f>
        <v/>
      </c>
    </row>
    <row r="4984" customFormat="false" ht="15" hidden="false" customHeight="true" outlineLevel="0" collapsed="false">
      <c r="A4984" s="11" t="str">
        <f aca="false">IF(원본명단!$A4983="","",4981)</f>
        <v/>
      </c>
      <c r="B4984" s="12" t="str">
        <f aca="false">IF($A4984="","",원본명단!$A4983)</f>
        <v/>
      </c>
      <c r="C4984" s="12" t="str">
        <f aca="false">IF($A4984="","",원본명단!$B4983)</f>
        <v/>
      </c>
      <c r="D4984" s="12" t="str">
        <f aca="false">IF($A4984="","",원본명단!$D4983)</f>
        <v/>
      </c>
      <c r="E4984" s="11" t="str">
        <f aca="false">IF($A4984="","",IF(원본명단!$H4983="",0,COUNTIF(원본명단!$H$3:$H$6002,원본명단!$H4983)))</f>
        <v/>
      </c>
      <c r="F4984" s="11" t="str">
        <f aca="false">IF($A4984="","",IF(원본명단!$I4983="",0,COUNTIF(원본명단!$I$3:$I$6002,원본명단!$I4983)))</f>
        <v/>
      </c>
      <c r="G4984" s="11" t="str">
        <f aca="false">IF($A4984="","",IF(원본명단!$K4983="",0,COUNTIF(원본명단!$K$3:$K$6002,원본명단!$K4983)))</f>
        <v/>
      </c>
      <c r="H4984" s="11" t="str">
        <f aca="false">IF($A4984="","",IF(MAX($E4984,$F4984,$G4984)&gt;1,"중복","-"))</f>
        <v/>
      </c>
      <c r="I4984" s="11" t="str">
        <f aca="false">IF($A4984="","",IF($H4984="-","-",IF(AND(IF(원본명단!$H4983="",TRUE(),COUNTIF(원본명단!$H$3:$H4983,원본명단!$H4983)=1),IF(원본명단!$I4983="",TRUE(),COUNTIF(원본명단!$I$3:$I4983,원본명단!$I4983)=1),IF(원본명단!$K4983="",TRUE(),COUNTIF(원본명단!$K$3:$K4983,원본명단!$K4983)=1)),"첫 건","중복 건")))</f>
        <v/>
      </c>
      <c r="J4984" s="11" t="str">
        <f aca="false">IF($A4984="","",IF($H4984="-","유지",IF($I4984="첫 건","유지","확인 필요")))</f>
        <v/>
      </c>
    </row>
    <row r="4985" customFormat="false" ht="15" hidden="false" customHeight="true" outlineLevel="0" collapsed="false">
      <c r="A4985" s="11" t="str">
        <f aca="false">IF(원본명단!$A4984="","",4982)</f>
        <v/>
      </c>
      <c r="B4985" s="12" t="str">
        <f aca="false">IF($A4985="","",원본명단!$A4984)</f>
        <v/>
      </c>
      <c r="C4985" s="12" t="str">
        <f aca="false">IF($A4985="","",원본명단!$B4984)</f>
        <v/>
      </c>
      <c r="D4985" s="12" t="str">
        <f aca="false">IF($A4985="","",원본명단!$D4984)</f>
        <v/>
      </c>
      <c r="E4985" s="11" t="str">
        <f aca="false">IF($A4985="","",IF(원본명단!$H4984="",0,COUNTIF(원본명단!$H$3:$H$6002,원본명단!$H4984)))</f>
        <v/>
      </c>
      <c r="F4985" s="11" t="str">
        <f aca="false">IF($A4985="","",IF(원본명단!$I4984="",0,COUNTIF(원본명단!$I$3:$I$6002,원본명단!$I4984)))</f>
        <v/>
      </c>
      <c r="G4985" s="11" t="str">
        <f aca="false">IF($A4985="","",IF(원본명단!$K4984="",0,COUNTIF(원본명단!$K$3:$K$6002,원본명단!$K4984)))</f>
        <v/>
      </c>
      <c r="H4985" s="11" t="str">
        <f aca="false">IF($A4985="","",IF(MAX($E4985,$F4985,$G4985)&gt;1,"중복","-"))</f>
        <v/>
      </c>
      <c r="I4985" s="11" t="str">
        <f aca="false">IF($A4985="","",IF($H4985="-","-",IF(AND(IF(원본명단!$H4984="",TRUE(),COUNTIF(원본명단!$H$3:$H4984,원본명단!$H4984)=1),IF(원본명단!$I4984="",TRUE(),COUNTIF(원본명단!$I$3:$I4984,원본명단!$I4984)=1),IF(원본명단!$K4984="",TRUE(),COUNTIF(원본명단!$K$3:$K4984,원본명단!$K4984)=1)),"첫 건","중복 건")))</f>
        <v/>
      </c>
      <c r="J4985" s="11" t="str">
        <f aca="false">IF($A4985="","",IF($H4985="-","유지",IF($I4985="첫 건","유지","확인 필요")))</f>
        <v/>
      </c>
    </row>
    <row r="4986" customFormat="false" ht="15" hidden="false" customHeight="true" outlineLevel="0" collapsed="false">
      <c r="A4986" s="11" t="str">
        <f aca="false">IF(원본명단!$A4985="","",4983)</f>
        <v/>
      </c>
      <c r="B4986" s="12" t="str">
        <f aca="false">IF($A4986="","",원본명단!$A4985)</f>
        <v/>
      </c>
      <c r="C4986" s="12" t="str">
        <f aca="false">IF($A4986="","",원본명단!$B4985)</f>
        <v/>
      </c>
      <c r="D4986" s="12" t="str">
        <f aca="false">IF($A4986="","",원본명단!$D4985)</f>
        <v/>
      </c>
      <c r="E4986" s="11" t="str">
        <f aca="false">IF($A4986="","",IF(원본명단!$H4985="",0,COUNTIF(원본명단!$H$3:$H$6002,원본명단!$H4985)))</f>
        <v/>
      </c>
      <c r="F4986" s="11" t="str">
        <f aca="false">IF($A4986="","",IF(원본명단!$I4985="",0,COUNTIF(원본명단!$I$3:$I$6002,원본명단!$I4985)))</f>
        <v/>
      </c>
      <c r="G4986" s="11" t="str">
        <f aca="false">IF($A4986="","",IF(원본명단!$K4985="",0,COUNTIF(원본명단!$K$3:$K$6002,원본명단!$K4985)))</f>
        <v/>
      </c>
      <c r="H4986" s="11" t="str">
        <f aca="false">IF($A4986="","",IF(MAX($E4986,$F4986,$G4986)&gt;1,"중복","-"))</f>
        <v/>
      </c>
      <c r="I4986" s="11" t="str">
        <f aca="false">IF($A4986="","",IF($H4986="-","-",IF(AND(IF(원본명단!$H4985="",TRUE(),COUNTIF(원본명단!$H$3:$H4985,원본명단!$H4985)=1),IF(원본명단!$I4985="",TRUE(),COUNTIF(원본명단!$I$3:$I4985,원본명단!$I4985)=1),IF(원본명단!$K4985="",TRUE(),COUNTIF(원본명단!$K$3:$K4985,원본명단!$K4985)=1)),"첫 건","중복 건")))</f>
        <v/>
      </c>
      <c r="J4986" s="11" t="str">
        <f aca="false">IF($A4986="","",IF($H4986="-","유지",IF($I4986="첫 건","유지","확인 필요")))</f>
        <v/>
      </c>
    </row>
    <row r="4987" customFormat="false" ht="15" hidden="false" customHeight="true" outlineLevel="0" collapsed="false">
      <c r="A4987" s="11" t="str">
        <f aca="false">IF(원본명단!$A4986="","",4984)</f>
        <v/>
      </c>
      <c r="B4987" s="12" t="str">
        <f aca="false">IF($A4987="","",원본명단!$A4986)</f>
        <v/>
      </c>
      <c r="C4987" s="12" t="str">
        <f aca="false">IF($A4987="","",원본명단!$B4986)</f>
        <v/>
      </c>
      <c r="D4987" s="12" t="str">
        <f aca="false">IF($A4987="","",원본명단!$D4986)</f>
        <v/>
      </c>
      <c r="E4987" s="11" t="str">
        <f aca="false">IF($A4987="","",IF(원본명단!$H4986="",0,COUNTIF(원본명단!$H$3:$H$6002,원본명단!$H4986)))</f>
        <v/>
      </c>
      <c r="F4987" s="11" t="str">
        <f aca="false">IF($A4987="","",IF(원본명단!$I4986="",0,COUNTIF(원본명단!$I$3:$I$6002,원본명단!$I4986)))</f>
        <v/>
      </c>
      <c r="G4987" s="11" t="str">
        <f aca="false">IF($A4987="","",IF(원본명단!$K4986="",0,COUNTIF(원본명단!$K$3:$K$6002,원본명단!$K4986)))</f>
        <v/>
      </c>
      <c r="H4987" s="11" t="str">
        <f aca="false">IF($A4987="","",IF(MAX($E4987,$F4987,$G4987)&gt;1,"중복","-"))</f>
        <v/>
      </c>
      <c r="I4987" s="11" t="str">
        <f aca="false">IF($A4987="","",IF($H4987="-","-",IF(AND(IF(원본명단!$H4986="",TRUE(),COUNTIF(원본명단!$H$3:$H4986,원본명단!$H4986)=1),IF(원본명단!$I4986="",TRUE(),COUNTIF(원본명단!$I$3:$I4986,원본명단!$I4986)=1),IF(원본명단!$K4986="",TRUE(),COUNTIF(원본명단!$K$3:$K4986,원본명단!$K4986)=1)),"첫 건","중복 건")))</f>
        <v/>
      </c>
      <c r="J4987" s="11" t="str">
        <f aca="false">IF($A4987="","",IF($H4987="-","유지",IF($I4987="첫 건","유지","확인 필요")))</f>
        <v/>
      </c>
    </row>
    <row r="4988" customFormat="false" ht="15" hidden="false" customHeight="true" outlineLevel="0" collapsed="false">
      <c r="A4988" s="11" t="str">
        <f aca="false">IF(원본명단!$A4987="","",4985)</f>
        <v/>
      </c>
      <c r="B4988" s="12" t="str">
        <f aca="false">IF($A4988="","",원본명단!$A4987)</f>
        <v/>
      </c>
      <c r="C4988" s="12" t="str">
        <f aca="false">IF($A4988="","",원본명단!$B4987)</f>
        <v/>
      </c>
      <c r="D4988" s="12" t="str">
        <f aca="false">IF($A4988="","",원본명단!$D4987)</f>
        <v/>
      </c>
      <c r="E4988" s="11" t="str">
        <f aca="false">IF($A4988="","",IF(원본명단!$H4987="",0,COUNTIF(원본명단!$H$3:$H$6002,원본명단!$H4987)))</f>
        <v/>
      </c>
      <c r="F4988" s="11" t="str">
        <f aca="false">IF($A4988="","",IF(원본명단!$I4987="",0,COUNTIF(원본명단!$I$3:$I$6002,원본명단!$I4987)))</f>
        <v/>
      </c>
      <c r="G4988" s="11" t="str">
        <f aca="false">IF($A4988="","",IF(원본명단!$K4987="",0,COUNTIF(원본명단!$K$3:$K$6002,원본명단!$K4987)))</f>
        <v/>
      </c>
      <c r="H4988" s="11" t="str">
        <f aca="false">IF($A4988="","",IF(MAX($E4988,$F4988,$G4988)&gt;1,"중복","-"))</f>
        <v/>
      </c>
      <c r="I4988" s="11" t="str">
        <f aca="false">IF($A4988="","",IF($H4988="-","-",IF(AND(IF(원본명단!$H4987="",TRUE(),COUNTIF(원본명단!$H$3:$H4987,원본명단!$H4987)=1),IF(원본명단!$I4987="",TRUE(),COUNTIF(원본명단!$I$3:$I4987,원본명단!$I4987)=1),IF(원본명단!$K4987="",TRUE(),COUNTIF(원본명단!$K$3:$K4987,원본명단!$K4987)=1)),"첫 건","중복 건")))</f>
        <v/>
      </c>
      <c r="J4988" s="11" t="str">
        <f aca="false">IF($A4988="","",IF($H4988="-","유지",IF($I4988="첫 건","유지","확인 필요")))</f>
        <v/>
      </c>
    </row>
    <row r="4989" customFormat="false" ht="15" hidden="false" customHeight="true" outlineLevel="0" collapsed="false">
      <c r="A4989" s="11" t="str">
        <f aca="false">IF(원본명단!$A4988="","",4986)</f>
        <v/>
      </c>
      <c r="B4989" s="12" t="str">
        <f aca="false">IF($A4989="","",원본명단!$A4988)</f>
        <v/>
      </c>
      <c r="C4989" s="12" t="str">
        <f aca="false">IF($A4989="","",원본명단!$B4988)</f>
        <v/>
      </c>
      <c r="D4989" s="12" t="str">
        <f aca="false">IF($A4989="","",원본명단!$D4988)</f>
        <v/>
      </c>
      <c r="E4989" s="11" t="str">
        <f aca="false">IF($A4989="","",IF(원본명단!$H4988="",0,COUNTIF(원본명단!$H$3:$H$6002,원본명단!$H4988)))</f>
        <v/>
      </c>
      <c r="F4989" s="11" t="str">
        <f aca="false">IF($A4989="","",IF(원본명단!$I4988="",0,COUNTIF(원본명단!$I$3:$I$6002,원본명단!$I4988)))</f>
        <v/>
      </c>
      <c r="G4989" s="11" t="str">
        <f aca="false">IF($A4989="","",IF(원본명단!$K4988="",0,COUNTIF(원본명단!$K$3:$K$6002,원본명단!$K4988)))</f>
        <v/>
      </c>
      <c r="H4989" s="11" t="str">
        <f aca="false">IF($A4989="","",IF(MAX($E4989,$F4989,$G4989)&gt;1,"중복","-"))</f>
        <v/>
      </c>
      <c r="I4989" s="11" t="str">
        <f aca="false">IF($A4989="","",IF($H4989="-","-",IF(AND(IF(원본명단!$H4988="",TRUE(),COUNTIF(원본명단!$H$3:$H4988,원본명단!$H4988)=1),IF(원본명단!$I4988="",TRUE(),COUNTIF(원본명단!$I$3:$I4988,원본명단!$I4988)=1),IF(원본명단!$K4988="",TRUE(),COUNTIF(원본명단!$K$3:$K4988,원본명단!$K4988)=1)),"첫 건","중복 건")))</f>
        <v/>
      </c>
      <c r="J4989" s="11" t="str">
        <f aca="false">IF($A4989="","",IF($H4989="-","유지",IF($I4989="첫 건","유지","확인 필요")))</f>
        <v/>
      </c>
    </row>
    <row r="4990" customFormat="false" ht="15" hidden="false" customHeight="true" outlineLevel="0" collapsed="false">
      <c r="A4990" s="11" t="str">
        <f aca="false">IF(원본명단!$A4989="","",4987)</f>
        <v/>
      </c>
      <c r="B4990" s="12" t="str">
        <f aca="false">IF($A4990="","",원본명단!$A4989)</f>
        <v/>
      </c>
      <c r="C4990" s="12" t="str">
        <f aca="false">IF($A4990="","",원본명단!$B4989)</f>
        <v/>
      </c>
      <c r="D4990" s="12" t="str">
        <f aca="false">IF($A4990="","",원본명단!$D4989)</f>
        <v/>
      </c>
      <c r="E4990" s="11" t="str">
        <f aca="false">IF($A4990="","",IF(원본명단!$H4989="",0,COUNTIF(원본명단!$H$3:$H$6002,원본명단!$H4989)))</f>
        <v/>
      </c>
      <c r="F4990" s="11" t="str">
        <f aca="false">IF($A4990="","",IF(원본명단!$I4989="",0,COUNTIF(원본명단!$I$3:$I$6002,원본명단!$I4989)))</f>
        <v/>
      </c>
      <c r="G4990" s="11" t="str">
        <f aca="false">IF($A4990="","",IF(원본명단!$K4989="",0,COUNTIF(원본명단!$K$3:$K$6002,원본명단!$K4989)))</f>
        <v/>
      </c>
      <c r="H4990" s="11" t="str">
        <f aca="false">IF($A4990="","",IF(MAX($E4990,$F4990,$G4990)&gt;1,"중복","-"))</f>
        <v/>
      </c>
      <c r="I4990" s="11" t="str">
        <f aca="false">IF($A4990="","",IF($H4990="-","-",IF(AND(IF(원본명단!$H4989="",TRUE(),COUNTIF(원본명단!$H$3:$H4989,원본명단!$H4989)=1),IF(원본명단!$I4989="",TRUE(),COUNTIF(원본명단!$I$3:$I4989,원본명단!$I4989)=1),IF(원본명단!$K4989="",TRUE(),COUNTIF(원본명단!$K$3:$K4989,원본명단!$K4989)=1)),"첫 건","중복 건")))</f>
        <v/>
      </c>
      <c r="J4990" s="11" t="str">
        <f aca="false">IF($A4990="","",IF($H4990="-","유지",IF($I4990="첫 건","유지","확인 필요")))</f>
        <v/>
      </c>
    </row>
    <row r="4991" customFormat="false" ht="15" hidden="false" customHeight="true" outlineLevel="0" collapsed="false">
      <c r="A4991" s="11" t="str">
        <f aca="false">IF(원본명단!$A4990="","",4988)</f>
        <v/>
      </c>
      <c r="B4991" s="12" t="str">
        <f aca="false">IF($A4991="","",원본명단!$A4990)</f>
        <v/>
      </c>
      <c r="C4991" s="12" t="str">
        <f aca="false">IF($A4991="","",원본명단!$B4990)</f>
        <v/>
      </c>
      <c r="D4991" s="12" t="str">
        <f aca="false">IF($A4991="","",원본명단!$D4990)</f>
        <v/>
      </c>
      <c r="E4991" s="11" t="str">
        <f aca="false">IF($A4991="","",IF(원본명단!$H4990="",0,COUNTIF(원본명단!$H$3:$H$6002,원본명단!$H4990)))</f>
        <v/>
      </c>
      <c r="F4991" s="11" t="str">
        <f aca="false">IF($A4991="","",IF(원본명단!$I4990="",0,COUNTIF(원본명단!$I$3:$I$6002,원본명단!$I4990)))</f>
        <v/>
      </c>
      <c r="G4991" s="11" t="str">
        <f aca="false">IF($A4991="","",IF(원본명단!$K4990="",0,COUNTIF(원본명단!$K$3:$K$6002,원본명단!$K4990)))</f>
        <v/>
      </c>
      <c r="H4991" s="11" t="str">
        <f aca="false">IF($A4991="","",IF(MAX($E4991,$F4991,$G4991)&gt;1,"중복","-"))</f>
        <v/>
      </c>
      <c r="I4991" s="11" t="str">
        <f aca="false">IF($A4991="","",IF($H4991="-","-",IF(AND(IF(원본명단!$H4990="",TRUE(),COUNTIF(원본명단!$H$3:$H4990,원본명단!$H4990)=1),IF(원본명단!$I4990="",TRUE(),COUNTIF(원본명단!$I$3:$I4990,원본명단!$I4990)=1),IF(원본명단!$K4990="",TRUE(),COUNTIF(원본명단!$K$3:$K4990,원본명단!$K4990)=1)),"첫 건","중복 건")))</f>
        <v/>
      </c>
      <c r="J4991" s="11" t="str">
        <f aca="false">IF($A4991="","",IF($H4991="-","유지",IF($I4991="첫 건","유지","확인 필요")))</f>
        <v/>
      </c>
    </row>
    <row r="4992" customFormat="false" ht="15" hidden="false" customHeight="true" outlineLevel="0" collapsed="false">
      <c r="A4992" s="11" t="str">
        <f aca="false">IF(원본명단!$A4991="","",4989)</f>
        <v/>
      </c>
      <c r="B4992" s="12" t="str">
        <f aca="false">IF($A4992="","",원본명단!$A4991)</f>
        <v/>
      </c>
      <c r="C4992" s="12" t="str">
        <f aca="false">IF($A4992="","",원본명단!$B4991)</f>
        <v/>
      </c>
      <c r="D4992" s="12" t="str">
        <f aca="false">IF($A4992="","",원본명단!$D4991)</f>
        <v/>
      </c>
      <c r="E4992" s="11" t="str">
        <f aca="false">IF($A4992="","",IF(원본명단!$H4991="",0,COUNTIF(원본명단!$H$3:$H$6002,원본명단!$H4991)))</f>
        <v/>
      </c>
      <c r="F4992" s="11" t="str">
        <f aca="false">IF($A4992="","",IF(원본명단!$I4991="",0,COUNTIF(원본명단!$I$3:$I$6002,원본명단!$I4991)))</f>
        <v/>
      </c>
      <c r="G4992" s="11" t="str">
        <f aca="false">IF($A4992="","",IF(원본명단!$K4991="",0,COUNTIF(원본명단!$K$3:$K$6002,원본명단!$K4991)))</f>
        <v/>
      </c>
      <c r="H4992" s="11" t="str">
        <f aca="false">IF($A4992="","",IF(MAX($E4992,$F4992,$G4992)&gt;1,"중복","-"))</f>
        <v/>
      </c>
      <c r="I4992" s="11" t="str">
        <f aca="false">IF($A4992="","",IF($H4992="-","-",IF(AND(IF(원본명단!$H4991="",TRUE(),COUNTIF(원본명단!$H$3:$H4991,원본명단!$H4991)=1),IF(원본명단!$I4991="",TRUE(),COUNTIF(원본명단!$I$3:$I4991,원본명단!$I4991)=1),IF(원본명단!$K4991="",TRUE(),COUNTIF(원본명단!$K$3:$K4991,원본명단!$K4991)=1)),"첫 건","중복 건")))</f>
        <v/>
      </c>
      <c r="J4992" s="11" t="str">
        <f aca="false">IF($A4992="","",IF($H4992="-","유지",IF($I4992="첫 건","유지","확인 필요")))</f>
        <v/>
      </c>
    </row>
    <row r="4993" customFormat="false" ht="15" hidden="false" customHeight="true" outlineLevel="0" collapsed="false">
      <c r="A4993" s="11" t="str">
        <f aca="false">IF(원본명단!$A4992="","",4990)</f>
        <v/>
      </c>
      <c r="B4993" s="12" t="str">
        <f aca="false">IF($A4993="","",원본명단!$A4992)</f>
        <v/>
      </c>
      <c r="C4993" s="12" t="str">
        <f aca="false">IF($A4993="","",원본명단!$B4992)</f>
        <v/>
      </c>
      <c r="D4993" s="12" t="str">
        <f aca="false">IF($A4993="","",원본명단!$D4992)</f>
        <v/>
      </c>
      <c r="E4993" s="11" t="str">
        <f aca="false">IF($A4993="","",IF(원본명단!$H4992="",0,COUNTIF(원본명단!$H$3:$H$6002,원본명단!$H4992)))</f>
        <v/>
      </c>
      <c r="F4993" s="11" t="str">
        <f aca="false">IF($A4993="","",IF(원본명단!$I4992="",0,COUNTIF(원본명단!$I$3:$I$6002,원본명단!$I4992)))</f>
        <v/>
      </c>
      <c r="G4993" s="11" t="str">
        <f aca="false">IF($A4993="","",IF(원본명단!$K4992="",0,COUNTIF(원본명단!$K$3:$K$6002,원본명단!$K4992)))</f>
        <v/>
      </c>
      <c r="H4993" s="11" t="str">
        <f aca="false">IF($A4993="","",IF(MAX($E4993,$F4993,$G4993)&gt;1,"중복","-"))</f>
        <v/>
      </c>
      <c r="I4993" s="11" t="str">
        <f aca="false">IF($A4993="","",IF($H4993="-","-",IF(AND(IF(원본명단!$H4992="",TRUE(),COUNTIF(원본명단!$H$3:$H4992,원본명단!$H4992)=1),IF(원본명단!$I4992="",TRUE(),COUNTIF(원본명단!$I$3:$I4992,원본명단!$I4992)=1),IF(원본명단!$K4992="",TRUE(),COUNTIF(원본명단!$K$3:$K4992,원본명단!$K4992)=1)),"첫 건","중복 건")))</f>
        <v/>
      </c>
      <c r="J4993" s="11" t="str">
        <f aca="false">IF($A4993="","",IF($H4993="-","유지",IF($I4993="첫 건","유지","확인 필요")))</f>
        <v/>
      </c>
    </row>
    <row r="4994" customFormat="false" ht="15" hidden="false" customHeight="true" outlineLevel="0" collapsed="false">
      <c r="A4994" s="11" t="str">
        <f aca="false">IF(원본명단!$A4993="","",4991)</f>
        <v/>
      </c>
      <c r="B4994" s="12" t="str">
        <f aca="false">IF($A4994="","",원본명단!$A4993)</f>
        <v/>
      </c>
      <c r="C4994" s="12" t="str">
        <f aca="false">IF($A4994="","",원본명단!$B4993)</f>
        <v/>
      </c>
      <c r="D4994" s="12" t="str">
        <f aca="false">IF($A4994="","",원본명단!$D4993)</f>
        <v/>
      </c>
      <c r="E4994" s="11" t="str">
        <f aca="false">IF($A4994="","",IF(원본명단!$H4993="",0,COUNTIF(원본명단!$H$3:$H$6002,원본명단!$H4993)))</f>
        <v/>
      </c>
      <c r="F4994" s="11" t="str">
        <f aca="false">IF($A4994="","",IF(원본명단!$I4993="",0,COUNTIF(원본명단!$I$3:$I$6002,원본명단!$I4993)))</f>
        <v/>
      </c>
      <c r="G4994" s="11" t="str">
        <f aca="false">IF($A4994="","",IF(원본명단!$K4993="",0,COUNTIF(원본명단!$K$3:$K$6002,원본명단!$K4993)))</f>
        <v/>
      </c>
      <c r="H4994" s="11" t="str">
        <f aca="false">IF($A4994="","",IF(MAX($E4994,$F4994,$G4994)&gt;1,"중복","-"))</f>
        <v/>
      </c>
      <c r="I4994" s="11" t="str">
        <f aca="false">IF($A4994="","",IF($H4994="-","-",IF(AND(IF(원본명단!$H4993="",TRUE(),COUNTIF(원본명단!$H$3:$H4993,원본명단!$H4993)=1),IF(원본명단!$I4993="",TRUE(),COUNTIF(원본명단!$I$3:$I4993,원본명단!$I4993)=1),IF(원본명단!$K4993="",TRUE(),COUNTIF(원본명단!$K$3:$K4993,원본명단!$K4993)=1)),"첫 건","중복 건")))</f>
        <v/>
      </c>
      <c r="J4994" s="11" t="str">
        <f aca="false">IF($A4994="","",IF($H4994="-","유지",IF($I4994="첫 건","유지","확인 필요")))</f>
        <v/>
      </c>
    </row>
    <row r="4995" customFormat="false" ht="15" hidden="false" customHeight="true" outlineLevel="0" collapsed="false">
      <c r="A4995" s="11" t="str">
        <f aca="false">IF(원본명단!$A4994="","",4992)</f>
        <v/>
      </c>
      <c r="B4995" s="12" t="str">
        <f aca="false">IF($A4995="","",원본명단!$A4994)</f>
        <v/>
      </c>
      <c r="C4995" s="12" t="str">
        <f aca="false">IF($A4995="","",원본명단!$B4994)</f>
        <v/>
      </c>
      <c r="D4995" s="12" t="str">
        <f aca="false">IF($A4995="","",원본명단!$D4994)</f>
        <v/>
      </c>
      <c r="E4995" s="11" t="str">
        <f aca="false">IF($A4995="","",IF(원본명단!$H4994="",0,COUNTIF(원본명단!$H$3:$H$6002,원본명단!$H4994)))</f>
        <v/>
      </c>
      <c r="F4995" s="11" t="str">
        <f aca="false">IF($A4995="","",IF(원본명단!$I4994="",0,COUNTIF(원본명단!$I$3:$I$6002,원본명단!$I4994)))</f>
        <v/>
      </c>
      <c r="G4995" s="11" t="str">
        <f aca="false">IF($A4995="","",IF(원본명단!$K4994="",0,COUNTIF(원본명단!$K$3:$K$6002,원본명단!$K4994)))</f>
        <v/>
      </c>
      <c r="H4995" s="11" t="str">
        <f aca="false">IF($A4995="","",IF(MAX($E4995,$F4995,$G4995)&gt;1,"중복","-"))</f>
        <v/>
      </c>
      <c r="I4995" s="11" t="str">
        <f aca="false">IF($A4995="","",IF($H4995="-","-",IF(AND(IF(원본명단!$H4994="",TRUE(),COUNTIF(원본명단!$H$3:$H4994,원본명단!$H4994)=1),IF(원본명단!$I4994="",TRUE(),COUNTIF(원본명단!$I$3:$I4994,원본명단!$I4994)=1),IF(원본명단!$K4994="",TRUE(),COUNTIF(원본명단!$K$3:$K4994,원본명단!$K4994)=1)),"첫 건","중복 건")))</f>
        <v/>
      </c>
      <c r="J4995" s="11" t="str">
        <f aca="false">IF($A4995="","",IF($H4995="-","유지",IF($I4995="첫 건","유지","확인 필요")))</f>
        <v/>
      </c>
    </row>
    <row r="4996" customFormat="false" ht="15" hidden="false" customHeight="true" outlineLevel="0" collapsed="false">
      <c r="A4996" s="11" t="str">
        <f aca="false">IF(원본명단!$A4995="","",4993)</f>
        <v/>
      </c>
      <c r="B4996" s="12" t="str">
        <f aca="false">IF($A4996="","",원본명단!$A4995)</f>
        <v/>
      </c>
      <c r="C4996" s="12" t="str">
        <f aca="false">IF($A4996="","",원본명단!$B4995)</f>
        <v/>
      </c>
      <c r="D4996" s="12" t="str">
        <f aca="false">IF($A4996="","",원본명단!$D4995)</f>
        <v/>
      </c>
      <c r="E4996" s="11" t="str">
        <f aca="false">IF($A4996="","",IF(원본명단!$H4995="",0,COUNTIF(원본명단!$H$3:$H$6002,원본명단!$H4995)))</f>
        <v/>
      </c>
      <c r="F4996" s="11" t="str">
        <f aca="false">IF($A4996="","",IF(원본명단!$I4995="",0,COUNTIF(원본명단!$I$3:$I$6002,원본명단!$I4995)))</f>
        <v/>
      </c>
      <c r="G4996" s="11" t="str">
        <f aca="false">IF($A4996="","",IF(원본명단!$K4995="",0,COUNTIF(원본명단!$K$3:$K$6002,원본명단!$K4995)))</f>
        <v/>
      </c>
      <c r="H4996" s="11" t="str">
        <f aca="false">IF($A4996="","",IF(MAX($E4996,$F4996,$G4996)&gt;1,"중복","-"))</f>
        <v/>
      </c>
      <c r="I4996" s="11" t="str">
        <f aca="false">IF($A4996="","",IF($H4996="-","-",IF(AND(IF(원본명단!$H4995="",TRUE(),COUNTIF(원본명단!$H$3:$H4995,원본명단!$H4995)=1),IF(원본명단!$I4995="",TRUE(),COUNTIF(원본명단!$I$3:$I4995,원본명단!$I4995)=1),IF(원본명단!$K4995="",TRUE(),COUNTIF(원본명단!$K$3:$K4995,원본명단!$K4995)=1)),"첫 건","중복 건")))</f>
        <v/>
      </c>
      <c r="J4996" s="11" t="str">
        <f aca="false">IF($A4996="","",IF($H4996="-","유지",IF($I4996="첫 건","유지","확인 필요")))</f>
        <v/>
      </c>
    </row>
    <row r="4997" customFormat="false" ht="15" hidden="false" customHeight="true" outlineLevel="0" collapsed="false">
      <c r="A4997" s="11" t="str">
        <f aca="false">IF(원본명단!$A4996="","",4994)</f>
        <v/>
      </c>
      <c r="B4997" s="12" t="str">
        <f aca="false">IF($A4997="","",원본명단!$A4996)</f>
        <v/>
      </c>
      <c r="C4997" s="12" t="str">
        <f aca="false">IF($A4997="","",원본명단!$B4996)</f>
        <v/>
      </c>
      <c r="D4997" s="12" t="str">
        <f aca="false">IF($A4997="","",원본명단!$D4996)</f>
        <v/>
      </c>
      <c r="E4997" s="11" t="str">
        <f aca="false">IF($A4997="","",IF(원본명단!$H4996="",0,COUNTIF(원본명단!$H$3:$H$6002,원본명단!$H4996)))</f>
        <v/>
      </c>
      <c r="F4997" s="11" t="str">
        <f aca="false">IF($A4997="","",IF(원본명단!$I4996="",0,COUNTIF(원본명단!$I$3:$I$6002,원본명단!$I4996)))</f>
        <v/>
      </c>
      <c r="G4997" s="11" t="str">
        <f aca="false">IF($A4997="","",IF(원본명단!$K4996="",0,COUNTIF(원본명단!$K$3:$K$6002,원본명단!$K4996)))</f>
        <v/>
      </c>
      <c r="H4997" s="11" t="str">
        <f aca="false">IF($A4997="","",IF(MAX($E4997,$F4997,$G4997)&gt;1,"중복","-"))</f>
        <v/>
      </c>
      <c r="I4997" s="11" t="str">
        <f aca="false">IF($A4997="","",IF($H4997="-","-",IF(AND(IF(원본명단!$H4996="",TRUE(),COUNTIF(원본명단!$H$3:$H4996,원본명단!$H4996)=1),IF(원본명단!$I4996="",TRUE(),COUNTIF(원본명단!$I$3:$I4996,원본명단!$I4996)=1),IF(원본명단!$K4996="",TRUE(),COUNTIF(원본명단!$K$3:$K4996,원본명단!$K4996)=1)),"첫 건","중복 건")))</f>
        <v/>
      </c>
      <c r="J4997" s="11" t="str">
        <f aca="false">IF($A4997="","",IF($H4997="-","유지",IF($I4997="첫 건","유지","확인 필요")))</f>
        <v/>
      </c>
    </row>
    <row r="4998" customFormat="false" ht="15" hidden="false" customHeight="true" outlineLevel="0" collapsed="false">
      <c r="A4998" s="11" t="str">
        <f aca="false">IF(원본명단!$A4997="","",4995)</f>
        <v/>
      </c>
      <c r="B4998" s="12" t="str">
        <f aca="false">IF($A4998="","",원본명단!$A4997)</f>
        <v/>
      </c>
      <c r="C4998" s="12" t="str">
        <f aca="false">IF($A4998="","",원본명단!$B4997)</f>
        <v/>
      </c>
      <c r="D4998" s="12" t="str">
        <f aca="false">IF($A4998="","",원본명단!$D4997)</f>
        <v/>
      </c>
      <c r="E4998" s="11" t="str">
        <f aca="false">IF($A4998="","",IF(원본명단!$H4997="",0,COUNTIF(원본명단!$H$3:$H$6002,원본명단!$H4997)))</f>
        <v/>
      </c>
      <c r="F4998" s="11" t="str">
        <f aca="false">IF($A4998="","",IF(원본명단!$I4997="",0,COUNTIF(원본명단!$I$3:$I$6002,원본명단!$I4997)))</f>
        <v/>
      </c>
      <c r="G4998" s="11" t="str">
        <f aca="false">IF($A4998="","",IF(원본명단!$K4997="",0,COUNTIF(원본명단!$K$3:$K$6002,원본명단!$K4997)))</f>
        <v/>
      </c>
      <c r="H4998" s="11" t="str">
        <f aca="false">IF($A4998="","",IF(MAX($E4998,$F4998,$G4998)&gt;1,"중복","-"))</f>
        <v/>
      </c>
      <c r="I4998" s="11" t="str">
        <f aca="false">IF($A4998="","",IF($H4998="-","-",IF(AND(IF(원본명단!$H4997="",TRUE(),COUNTIF(원본명단!$H$3:$H4997,원본명단!$H4997)=1),IF(원본명단!$I4997="",TRUE(),COUNTIF(원본명단!$I$3:$I4997,원본명단!$I4997)=1),IF(원본명단!$K4997="",TRUE(),COUNTIF(원본명단!$K$3:$K4997,원본명단!$K4997)=1)),"첫 건","중복 건")))</f>
        <v/>
      </c>
      <c r="J4998" s="11" t="str">
        <f aca="false">IF($A4998="","",IF($H4998="-","유지",IF($I4998="첫 건","유지","확인 필요")))</f>
        <v/>
      </c>
    </row>
    <row r="4999" customFormat="false" ht="15" hidden="false" customHeight="true" outlineLevel="0" collapsed="false">
      <c r="A4999" s="11" t="str">
        <f aca="false">IF(원본명단!$A4998="","",4996)</f>
        <v/>
      </c>
      <c r="B4999" s="12" t="str">
        <f aca="false">IF($A4999="","",원본명단!$A4998)</f>
        <v/>
      </c>
      <c r="C4999" s="12" t="str">
        <f aca="false">IF($A4999="","",원본명단!$B4998)</f>
        <v/>
      </c>
      <c r="D4999" s="12" t="str">
        <f aca="false">IF($A4999="","",원본명단!$D4998)</f>
        <v/>
      </c>
      <c r="E4999" s="11" t="str">
        <f aca="false">IF($A4999="","",IF(원본명단!$H4998="",0,COUNTIF(원본명단!$H$3:$H$6002,원본명단!$H4998)))</f>
        <v/>
      </c>
      <c r="F4999" s="11" t="str">
        <f aca="false">IF($A4999="","",IF(원본명단!$I4998="",0,COUNTIF(원본명단!$I$3:$I$6002,원본명단!$I4998)))</f>
        <v/>
      </c>
      <c r="G4999" s="11" t="str">
        <f aca="false">IF($A4999="","",IF(원본명단!$K4998="",0,COUNTIF(원본명단!$K$3:$K$6002,원본명단!$K4998)))</f>
        <v/>
      </c>
      <c r="H4999" s="11" t="str">
        <f aca="false">IF($A4999="","",IF(MAX($E4999,$F4999,$G4999)&gt;1,"중복","-"))</f>
        <v/>
      </c>
      <c r="I4999" s="11" t="str">
        <f aca="false">IF($A4999="","",IF($H4999="-","-",IF(AND(IF(원본명단!$H4998="",TRUE(),COUNTIF(원본명단!$H$3:$H4998,원본명단!$H4998)=1),IF(원본명단!$I4998="",TRUE(),COUNTIF(원본명단!$I$3:$I4998,원본명단!$I4998)=1),IF(원본명단!$K4998="",TRUE(),COUNTIF(원본명단!$K$3:$K4998,원본명단!$K4998)=1)),"첫 건","중복 건")))</f>
        <v/>
      </c>
      <c r="J4999" s="11" t="str">
        <f aca="false">IF($A4999="","",IF($H4999="-","유지",IF($I4999="첫 건","유지","확인 필요")))</f>
        <v/>
      </c>
    </row>
    <row r="5000" customFormat="false" ht="15" hidden="false" customHeight="true" outlineLevel="0" collapsed="false">
      <c r="A5000" s="11" t="str">
        <f aca="false">IF(원본명단!$A4999="","",4997)</f>
        <v/>
      </c>
      <c r="B5000" s="12" t="str">
        <f aca="false">IF($A5000="","",원본명단!$A4999)</f>
        <v/>
      </c>
      <c r="C5000" s="12" t="str">
        <f aca="false">IF($A5000="","",원본명단!$B4999)</f>
        <v/>
      </c>
      <c r="D5000" s="12" t="str">
        <f aca="false">IF($A5000="","",원본명단!$D4999)</f>
        <v/>
      </c>
      <c r="E5000" s="11" t="str">
        <f aca="false">IF($A5000="","",IF(원본명단!$H4999="",0,COUNTIF(원본명단!$H$3:$H$6002,원본명단!$H4999)))</f>
        <v/>
      </c>
      <c r="F5000" s="11" t="str">
        <f aca="false">IF($A5000="","",IF(원본명단!$I4999="",0,COUNTIF(원본명단!$I$3:$I$6002,원본명단!$I4999)))</f>
        <v/>
      </c>
      <c r="G5000" s="11" t="str">
        <f aca="false">IF($A5000="","",IF(원본명단!$K4999="",0,COUNTIF(원본명단!$K$3:$K$6002,원본명단!$K4999)))</f>
        <v/>
      </c>
      <c r="H5000" s="11" t="str">
        <f aca="false">IF($A5000="","",IF(MAX($E5000,$F5000,$G5000)&gt;1,"중복","-"))</f>
        <v/>
      </c>
      <c r="I5000" s="11" t="str">
        <f aca="false">IF($A5000="","",IF($H5000="-","-",IF(AND(IF(원본명단!$H4999="",TRUE(),COUNTIF(원본명단!$H$3:$H4999,원본명단!$H4999)=1),IF(원본명단!$I4999="",TRUE(),COUNTIF(원본명단!$I$3:$I4999,원본명단!$I4999)=1),IF(원본명단!$K4999="",TRUE(),COUNTIF(원본명단!$K$3:$K4999,원본명단!$K4999)=1)),"첫 건","중복 건")))</f>
        <v/>
      </c>
      <c r="J5000" s="11" t="str">
        <f aca="false">IF($A5000="","",IF($H5000="-","유지",IF($I5000="첫 건","유지","확인 필요")))</f>
        <v/>
      </c>
    </row>
    <row r="5001" customFormat="false" ht="15" hidden="false" customHeight="true" outlineLevel="0" collapsed="false">
      <c r="A5001" s="11" t="str">
        <f aca="false">IF(원본명단!$A5000="","",4998)</f>
        <v/>
      </c>
      <c r="B5001" s="12" t="str">
        <f aca="false">IF($A5001="","",원본명단!$A5000)</f>
        <v/>
      </c>
      <c r="C5001" s="12" t="str">
        <f aca="false">IF($A5001="","",원본명단!$B5000)</f>
        <v/>
      </c>
      <c r="D5001" s="12" t="str">
        <f aca="false">IF($A5001="","",원본명단!$D5000)</f>
        <v/>
      </c>
      <c r="E5001" s="11" t="str">
        <f aca="false">IF($A5001="","",IF(원본명단!$H5000="",0,COUNTIF(원본명단!$H$3:$H$6002,원본명단!$H5000)))</f>
        <v/>
      </c>
      <c r="F5001" s="11" t="str">
        <f aca="false">IF($A5001="","",IF(원본명단!$I5000="",0,COUNTIF(원본명단!$I$3:$I$6002,원본명단!$I5000)))</f>
        <v/>
      </c>
      <c r="G5001" s="11" t="str">
        <f aca="false">IF($A5001="","",IF(원본명단!$K5000="",0,COUNTIF(원본명단!$K$3:$K$6002,원본명단!$K5000)))</f>
        <v/>
      </c>
      <c r="H5001" s="11" t="str">
        <f aca="false">IF($A5001="","",IF(MAX($E5001,$F5001,$G5001)&gt;1,"중복","-"))</f>
        <v/>
      </c>
      <c r="I5001" s="11" t="str">
        <f aca="false">IF($A5001="","",IF($H5001="-","-",IF(AND(IF(원본명단!$H5000="",TRUE(),COUNTIF(원본명단!$H$3:$H5000,원본명단!$H5000)=1),IF(원본명단!$I5000="",TRUE(),COUNTIF(원본명단!$I$3:$I5000,원본명단!$I5000)=1),IF(원본명단!$K5000="",TRUE(),COUNTIF(원본명단!$K$3:$K5000,원본명단!$K5000)=1)),"첫 건","중복 건")))</f>
        <v/>
      </c>
      <c r="J5001" s="11" t="str">
        <f aca="false">IF($A5001="","",IF($H5001="-","유지",IF($I5001="첫 건","유지","확인 필요")))</f>
        <v/>
      </c>
    </row>
    <row r="5002" customFormat="false" ht="15" hidden="false" customHeight="true" outlineLevel="0" collapsed="false">
      <c r="A5002" s="11" t="str">
        <f aca="false">IF(원본명단!$A5001="","",4999)</f>
        <v/>
      </c>
      <c r="B5002" s="12" t="str">
        <f aca="false">IF($A5002="","",원본명단!$A5001)</f>
        <v/>
      </c>
      <c r="C5002" s="12" t="str">
        <f aca="false">IF($A5002="","",원본명단!$B5001)</f>
        <v/>
      </c>
      <c r="D5002" s="12" t="str">
        <f aca="false">IF($A5002="","",원본명단!$D5001)</f>
        <v/>
      </c>
      <c r="E5002" s="11" t="str">
        <f aca="false">IF($A5002="","",IF(원본명단!$H5001="",0,COUNTIF(원본명단!$H$3:$H$6002,원본명단!$H5001)))</f>
        <v/>
      </c>
      <c r="F5002" s="11" t="str">
        <f aca="false">IF($A5002="","",IF(원본명단!$I5001="",0,COUNTIF(원본명단!$I$3:$I$6002,원본명단!$I5001)))</f>
        <v/>
      </c>
      <c r="G5002" s="11" t="str">
        <f aca="false">IF($A5002="","",IF(원본명단!$K5001="",0,COUNTIF(원본명단!$K$3:$K$6002,원본명단!$K5001)))</f>
        <v/>
      </c>
      <c r="H5002" s="11" t="str">
        <f aca="false">IF($A5002="","",IF(MAX($E5002,$F5002,$G5002)&gt;1,"중복","-"))</f>
        <v/>
      </c>
      <c r="I5002" s="11" t="str">
        <f aca="false">IF($A5002="","",IF($H5002="-","-",IF(AND(IF(원본명단!$H5001="",TRUE(),COUNTIF(원본명단!$H$3:$H5001,원본명단!$H5001)=1),IF(원본명단!$I5001="",TRUE(),COUNTIF(원본명단!$I$3:$I5001,원본명단!$I5001)=1),IF(원본명단!$K5001="",TRUE(),COUNTIF(원본명단!$K$3:$K5001,원본명단!$K5001)=1)),"첫 건","중복 건")))</f>
        <v/>
      </c>
      <c r="J5002" s="11" t="str">
        <f aca="false">IF($A5002="","",IF($H5002="-","유지",IF($I5002="첫 건","유지","확인 필요")))</f>
        <v/>
      </c>
    </row>
    <row r="5003" customFormat="false" ht="15" hidden="false" customHeight="true" outlineLevel="0" collapsed="false">
      <c r="A5003" s="11" t="str">
        <f aca="false">IF(원본명단!$A5002="","",5000)</f>
        <v/>
      </c>
      <c r="B5003" s="12" t="str">
        <f aca="false">IF($A5003="","",원본명단!$A5002)</f>
        <v/>
      </c>
      <c r="C5003" s="12" t="str">
        <f aca="false">IF($A5003="","",원본명단!$B5002)</f>
        <v/>
      </c>
      <c r="D5003" s="12" t="str">
        <f aca="false">IF($A5003="","",원본명단!$D5002)</f>
        <v/>
      </c>
      <c r="E5003" s="11" t="str">
        <f aca="false">IF($A5003="","",IF(원본명단!$H5002="",0,COUNTIF(원본명단!$H$3:$H$6002,원본명단!$H5002)))</f>
        <v/>
      </c>
      <c r="F5003" s="11" t="str">
        <f aca="false">IF($A5003="","",IF(원본명단!$I5002="",0,COUNTIF(원본명단!$I$3:$I$6002,원본명단!$I5002)))</f>
        <v/>
      </c>
      <c r="G5003" s="11" t="str">
        <f aca="false">IF($A5003="","",IF(원본명단!$K5002="",0,COUNTIF(원본명단!$K$3:$K$6002,원본명단!$K5002)))</f>
        <v/>
      </c>
      <c r="H5003" s="11" t="str">
        <f aca="false">IF($A5003="","",IF(MAX($E5003,$F5003,$G5003)&gt;1,"중복","-"))</f>
        <v/>
      </c>
      <c r="I5003" s="11" t="str">
        <f aca="false">IF($A5003="","",IF($H5003="-","-",IF(AND(IF(원본명단!$H5002="",TRUE(),COUNTIF(원본명단!$H$3:$H5002,원본명단!$H5002)=1),IF(원본명단!$I5002="",TRUE(),COUNTIF(원본명단!$I$3:$I5002,원본명단!$I5002)=1),IF(원본명단!$K5002="",TRUE(),COUNTIF(원본명단!$K$3:$K5002,원본명단!$K5002)=1)),"첫 건","중복 건")))</f>
        <v/>
      </c>
      <c r="J5003" s="11" t="str">
        <f aca="false">IF($A5003="","",IF($H5003="-","유지",IF($I5003="첫 건","유지","확인 필요")))</f>
        <v/>
      </c>
    </row>
    <row r="5004" customFormat="false" ht="15" hidden="false" customHeight="true" outlineLevel="0" collapsed="false">
      <c r="A5004" s="11" t="str">
        <f aca="false">IF(원본명단!$A5003="","",5001)</f>
        <v/>
      </c>
      <c r="B5004" s="12" t="str">
        <f aca="false">IF($A5004="","",원본명단!$A5003)</f>
        <v/>
      </c>
      <c r="C5004" s="12" t="str">
        <f aca="false">IF($A5004="","",원본명단!$B5003)</f>
        <v/>
      </c>
      <c r="D5004" s="12" t="str">
        <f aca="false">IF($A5004="","",원본명단!$D5003)</f>
        <v/>
      </c>
      <c r="E5004" s="11" t="str">
        <f aca="false">IF($A5004="","",IF(원본명단!$H5003="",0,COUNTIF(원본명단!$H$3:$H$6002,원본명단!$H5003)))</f>
        <v/>
      </c>
      <c r="F5004" s="11" t="str">
        <f aca="false">IF($A5004="","",IF(원본명단!$I5003="",0,COUNTIF(원본명단!$I$3:$I$6002,원본명단!$I5003)))</f>
        <v/>
      </c>
      <c r="G5004" s="11" t="str">
        <f aca="false">IF($A5004="","",IF(원본명단!$K5003="",0,COUNTIF(원본명단!$K$3:$K$6002,원본명단!$K5003)))</f>
        <v/>
      </c>
      <c r="H5004" s="11" t="str">
        <f aca="false">IF($A5004="","",IF(MAX($E5004,$F5004,$G5004)&gt;1,"중복","-"))</f>
        <v/>
      </c>
      <c r="I5004" s="11" t="str">
        <f aca="false">IF($A5004="","",IF($H5004="-","-",IF(AND(IF(원본명단!$H5003="",TRUE(),COUNTIF(원본명단!$H$3:$H5003,원본명단!$H5003)=1),IF(원본명단!$I5003="",TRUE(),COUNTIF(원본명단!$I$3:$I5003,원본명단!$I5003)=1),IF(원본명단!$K5003="",TRUE(),COUNTIF(원본명단!$K$3:$K5003,원본명단!$K5003)=1)),"첫 건","중복 건")))</f>
        <v/>
      </c>
      <c r="J5004" s="11" t="str">
        <f aca="false">IF($A5004="","",IF($H5004="-","유지",IF($I5004="첫 건","유지","확인 필요")))</f>
        <v/>
      </c>
    </row>
    <row r="5005" customFormat="false" ht="15" hidden="false" customHeight="true" outlineLevel="0" collapsed="false">
      <c r="A5005" s="11" t="str">
        <f aca="false">IF(원본명단!$A5004="","",5002)</f>
        <v/>
      </c>
      <c r="B5005" s="12" t="str">
        <f aca="false">IF($A5005="","",원본명단!$A5004)</f>
        <v/>
      </c>
      <c r="C5005" s="12" t="str">
        <f aca="false">IF($A5005="","",원본명단!$B5004)</f>
        <v/>
      </c>
      <c r="D5005" s="12" t="str">
        <f aca="false">IF($A5005="","",원본명단!$D5004)</f>
        <v/>
      </c>
      <c r="E5005" s="11" t="str">
        <f aca="false">IF($A5005="","",IF(원본명단!$H5004="",0,COUNTIF(원본명단!$H$3:$H$6002,원본명단!$H5004)))</f>
        <v/>
      </c>
      <c r="F5005" s="11" t="str">
        <f aca="false">IF($A5005="","",IF(원본명단!$I5004="",0,COUNTIF(원본명단!$I$3:$I$6002,원본명단!$I5004)))</f>
        <v/>
      </c>
      <c r="G5005" s="11" t="str">
        <f aca="false">IF($A5005="","",IF(원본명단!$K5004="",0,COUNTIF(원본명단!$K$3:$K$6002,원본명단!$K5004)))</f>
        <v/>
      </c>
      <c r="H5005" s="11" t="str">
        <f aca="false">IF($A5005="","",IF(MAX($E5005,$F5005,$G5005)&gt;1,"중복","-"))</f>
        <v/>
      </c>
      <c r="I5005" s="11" t="str">
        <f aca="false">IF($A5005="","",IF($H5005="-","-",IF(AND(IF(원본명단!$H5004="",TRUE(),COUNTIF(원본명단!$H$3:$H5004,원본명단!$H5004)=1),IF(원본명단!$I5004="",TRUE(),COUNTIF(원본명단!$I$3:$I5004,원본명단!$I5004)=1),IF(원본명단!$K5004="",TRUE(),COUNTIF(원본명단!$K$3:$K5004,원본명단!$K5004)=1)),"첫 건","중복 건")))</f>
        <v/>
      </c>
      <c r="J5005" s="11" t="str">
        <f aca="false">IF($A5005="","",IF($H5005="-","유지",IF($I5005="첫 건","유지","확인 필요")))</f>
        <v/>
      </c>
    </row>
    <row r="5006" customFormat="false" ht="15" hidden="false" customHeight="true" outlineLevel="0" collapsed="false">
      <c r="A5006" s="11" t="str">
        <f aca="false">IF(원본명단!$A5005="","",5003)</f>
        <v/>
      </c>
      <c r="B5006" s="12" t="str">
        <f aca="false">IF($A5006="","",원본명단!$A5005)</f>
        <v/>
      </c>
      <c r="C5006" s="12" t="str">
        <f aca="false">IF($A5006="","",원본명단!$B5005)</f>
        <v/>
      </c>
      <c r="D5006" s="12" t="str">
        <f aca="false">IF($A5006="","",원본명단!$D5005)</f>
        <v/>
      </c>
      <c r="E5006" s="11" t="str">
        <f aca="false">IF($A5006="","",IF(원본명단!$H5005="",0,COUNTIF(원본명단!$H$3:$H$6002,원본명단!$H5005)))</f>
        <v/>
      </c>
      <c r="F5006" s="11" t="str">
        <f aca="false">IF($A5006="","",IF(원본명단!$I5005="",0,COUNTIF(원본명단!$I$3:$I$6002,원본명단!$I5005)))</f>
        <v/>
      </c>
      <c r="G5006" s="11" t="str">
        <f aca="false">IF($A5006="","",IF(원본명단!$K5005="",0,COUNTIF(원본명단!$K$3:$K$6002,원본명단!$K5005)))</f>
        <v/>
      </c>
      <c r="H5006" s="11" t="str">
        <f aca="false">IF($A5006="","",IF(MAX($E5006,$F5006,$G5006)&gt;1,"중복","-"))</f>
        <v/>
      </c>
      <c r="I5006" s="11" t="str">
        <f aca="false">IF($A5006="","",IF($H5006="-","-",IF(AND(IF(원본명단!$H5005="",TRUE(),COUNTIF(원본명단!$H$3:$H5005,원본명단!$H5005)=1),IF(원본명단!$I5005="",TRUE(),COUNTIF(원본명단!$I$3:$I5005,원본명단!$I5005)=1),IF(원본명단!$K5005="",TRUE(),COUNTIF(원본명단!$K$3:$K5005,원본명단!$K5005)=1)),"첫 건","중복 건")))</f>
        <v/>
      </c>
      <c r="J5006" s="11" t="str">
        <f aca="false">IF($A5006="","",IF($H5006="-","유지",IF($I5006="첫 건","유지","확인 필요")))</f>
        <v/>
      </c>
    </row>
    <row r="5007" customFormat="false" ht="15" hidden="false" customHeight="true" outlineLevel="0" collapsed="false">
      <c r="A5007" s="11" t="str">
        <f aca="false">IF(원본명단!$A5006="","",5004)</f>
        <v/>
      </c>
      <c r="B5007" s="12" t="str">
        <f aca="false">IF($A5007="","",원본명단!$A5006)</f>
        <v/>
      </c>
      <c r="C5007" s="12" t="str">
        <f aca="false">IF($A5007="","",원본명단!$B5006)</f>
        <v/>
      </c>
      <c r="D5007" s="12" t="str">
        <f aca="false">IF($A5007="","",원본명단!$D5006)</f>
        <v/>
      </c>
      <c r="E5007" s="11" t="str">
        <f aca="false">IF($A5007="","",IF(원본명단!$H5006="",0,COUNTIF(원본명단!$H$3:$H$6002,원본명단!$H5006)))</f>
        <v/>
      </c>
      <c r="F5007" s="11" t="str">
        <f aca="false">IF($A5007="","",IF(원본명단!$I5006="",0,COUNTIF(원본명단!$I$3:$I$6002,원본명단!$I5006)))</f>
        <v/>
      </c>
      <c r="G5007" s="11" t="str">
        <f aca="false">IF($A5007="","",IF(원본명단!$K5006="",0,COUNTIF(원본명단!$K$3:$K$6002,원본명단!$K5006)))</f>
        <v/>
      </c>
      <c r="H5007" s="11" t="str">
        <f aca="false">IF($A5007="","",IF(MAX($E5007,$F5007,$G5007)&gt;1,"중복","-"))</f>
        <v/>
      </c>
      <c r="I5007" s="11" t="str">
        <f aca="false">IF($A5007="","",IF($H5007="-","-",IF(AND(IF(원본명단!$H5006="",TRUE(),COUNTIF(원본명단!$H$3:$H5006,원본명단!$H5006)=1),IF(원본명단!$I5006="",TRUE(),COUNTIF(원본명단!$I$3:$I5006,원본명단!$I5006)=1),IF(원본명단!$K5006="",TRUE(),COUNTIF(원본명단!$K$3:$K5006,원본명단!$K5006)=1)),"첫 건","중복 건")))</f>
        <v/>
      </c>
      <c r="J5007" s="11" t="str">
        <f aca="false">IF($A5007="","",IF($H5007="-","유지",IF($I5007="첫 건","유지","확인 필요")))</f>
        <v/>
      </c>
    </row>
    <row r="5008" customFormat="false" ht="15" hidden="false" customHeight="true" outlineLevel="0" collapsed="false">
      <c r="A5008" s="11" t="str">
        <f aca="false">IF(원본명단!$A5007="","",5005)</f>
        <v/>
      </c>
      <c r="B5008" s="12" t="str">
        <f aca="false">IF($A5008="","",원본명단!$A5007)</f>
        <v/>
      </c>
      <c r="C5008" s="12" t="str">
        <f aca="false">IF($A5008="","",원본명단!$B5007)</f>
        <v/>
      </c>
      <c r="D5008" s="12" t="str">
        <f aca="false">IF($A5008="","",원본명단!$D5007)</f>
        <v/>
      </c>
      <c r="E5008" s="11" t="str">
        <f aca="false">IF($A5008="","",IF(원본명단!$H5007="",0,COUNTIF(원본명단!$H$3:$H$6002,원본명단!$H5007)))</f>
        <v/>
      </c>
      <c r="F5008" s="11" t="str">
        <f aca="false">IF($A5008="","",IF(원본명단!$I5007="",0,COUNTIF(원본명단!$I$3:$I$6002,원본명단!$I5007)))</f>
        <v/>
      </c>
      <c r="G5008" s="11" t="str">
        <f aca="false">IF($A5008="","",IF(원본명단!$K5007="",0,COUNTIF(원본명단!$K$3:$K$6002,원본명단!$K5007)))</f>
        <v/>
      </c>
      <c r="H5008" s="11" t="str">
        <f aca="false">IF($A5008="","",IF(MAX($E5008,$F5008,$G5008)&gt;1,"중복","-"))</f>
        <v/>
      </c>
      <c r="I5008" s="11" t="str">
        <f aca="false">IF($A5008="","",IF($H5008="-","-",IF(AND(IF(원본명단!$H5007="",TRUE(),COUNTIF(원본명단!$H$3:$H5007,원본명단!$H5007)=1),IF(원본명단!$I5007="",TRUE(),COUNTIF(원본명단!$I$3:$I5007,원본명단!$I5007)=1),IF(원본명단!$K5007="",TRUE(),COUNTIF(원본명단!$K$3:$K5007,원본명단!$K5007)=1)),"첫 건","중복 건")))</f>
        <v/>
      </c>
      <c r="J5008" s="11" t="str">
        <f aca="false">IF($A5008="","",IF($H5008="-","유지",IF($I5008="첫 건","유지","확인 필요")))</f>
        <v/>
      </c>
    </row>
    <row r="5009" customFormat="false" ht="15" hidden="false" customHeight="true" outlineLevel="0" collapsed="false">
      <c r="A5009" s="11" t="str">
        <f aca="false">IF(원본명단!$A5008="","",5006)</f>
        <v/>
      </c>
      <c r="B5009" s="12" t="str">
        <f aca="false">IF($A5009="","",원본명단!$A5008)</f>
        <v/>
      </c>
      <c r="C5009" s="12" t="str">
        <f aca="false">IF($A5009="","",원본명단!$B5008)</f>
        <v/>
      </c>
      <c r="D5009" s="12" t="str">
        <f aca="false">IF($A5009="","",원본명단!$D5008)</f>
        <v/>
      </c>
      <c r="E5009" s="11" t="str">
        <f aca="false">IF($A5009="","",IF(원본명단!$H5008="",0,COUNTIF(원본명단!$H$3:$H$6002,원본명단!$H5008)))</f>
        <v/>
      </c>
      <c r="F5009" s="11" t="str">
        <f aca="false">IF($A5009="","",IF(원본명단!$I5008="",0,COUNTIF(원본명단!$I$3:$I$6002,원본명단!$I5008)))</f>
        <v/>
      </c>
      <c r="G5009" s="11" t="str">
        <f aca="false">IF($A5009="","",IF(원본명단!$K5008="",0,COUNTIF(원본명단!$K$3:$K$6002,원본명단!$K5008)))</f>
        <v/>
      </c>
      <c r="H5009" s="11" t="str">
        <f aca="false">IF($A5009="","",IF(MAX($E5009,$F5009,$G5009)&gt;1,"중복","-"))</f>
        <v/>
      </c>
      <c r="I5009" s="11" t="str">
        <f aca="false">IF($A5009="","",IF($H5009="-","-",IF(AND(IF(원본명단!$H5008="",TRUE(),COUNTIF(원본명단!$H$3:$H5008,원본명단!$H5008)=1),IF(원본명단!$I5008="",TRUE(),COUNTIF(원본명단!$I$3:$I5008,원본명단!$I5008)=1),IF(원본명단!$K5008="",TRUE(),COUNTIF(원본명단!$K$3:$K5008,원본명단!$K5008)=1)),"첫 건","중복 건")))</f>
        <v/>
      </c>
      <c r="J5009" s="11" t="str">
        <f aca="false">IF($A5009="","",IF($H5009="-","유지",IF($I5009="첫 건","유지","확인 필요")))</f>
        <v/>
      </c>
    </row>
    <row r="5010" customFormat="false" ht="15" hidden="false" customHeight="true" outlineLevel="0" collapsed="false">
      <c r="A5010" s="11" t="str">
        <f aca="false">IF(원본명단!$A5009="","",5007)</f>
        <v/>
      </c>
      <c r="B5010" s="12" t="str">
        <f aca="false">IF($A5010="","",원본명단!$A5009)</f>
        <v/>
      </c>
      <c r="C5010" s="12" t="str">
        <f aca="false">IF($A5010="","",원본명단!$B5009)</f>
        <v/>
      </c>
      <c r="D5010" s="12" t="str">
        <f aca="false">IF($A5010="","",원본명단!$D5009)</f>
        <v/>
      </c>
      <c r="E5010" s="11" t="str">
        <f aca="false">IF($A5010="","",IF(원본명단!$H5009="",0,COUNTIF(원본명단!$H$3:$H$6002,원본명단!$H5009)))</f>
        <v/>
      </c>
      <c r="F5010" s="11" t="str">
        <f aca="false">IF($A5010="","",IF(원본명단!$I5009="",0,COUNTIF(원본명단!$I$3:$I$6002,원본명단!$I5009)))</f>
        <v/>
      </c>
      <c r="G5010" s="11" t="str">
        <f aca="false">IF($A5010="","",IF(원본명단!$K5009="",0,COUNTIF(원본명단!$K$3:$K$6002,원본명단!$K5009)))</f>
        <v/>
      </c>
      <c r="H5010" s="11" t="str">
        <f aca="false">IF($A5010="","",IF(MAX($E5010,$F5010,$G5010)&gt;1,"중복","-"))</f>
        <v/>
      </c>
      <c r="I5010" s="11" t="str">
        <f aca="false">IF($A5010="","",IF($H5010="-","-",IF(AND(IF(원본명단!$H5009="",TRUE(),COUNTIF(원본명단!$H$3:$H5009,원본명단!$H5009)=1),IF(원본명단!$I5009="",TRUE(),COUNTIF(원본명단!$I$3:$I5009,원본명단!$I5009)=1),IF(원본명단!$K5009="",TRUE(),COUNTIF(원본명단!$K$3:$K5009,원본명단!$K5009)=1)),"첫 건","중복 건")))</f>
        <v/>
      </c>
      <c r="J5010" s="11" t="str">
        <f aca="false">IF($A5010="","",IF($H5010="-","유지",IF($I5010="첫 건","유지","확인 필요")))</f>
        <v/>
      </c>
    </row>
    <row r="5011" customFormat="false" ht="15" hidden="false" customHeight="true" outlineLevel="0" collapsed="false">
      <c r="A5011" s="11" t="str">
        <f aca="false">IF(원본명단!$A5010="","",5008)</f>
        <v/>
      </c>
      <c r="B5011" s="12" t="str">
        <f aca="false">IF($A5011="","",원본명단!$A5010)</f>
        <v/>
      </c>
      <c r="C5011" s="12" t="str">
        <f aca="false">IF($A5011="","",원본명단!$B5010)</f>
        <v/>
      </c>
      <c r="D5011" s="12" t="str">
        <f aca="false">IF($A5011="","",원본명단!$D5010)</f>
        <v/>
      </c>
      <c r="E5011" s="11" t="str">
        <f aca="false">IF($A5011="","",IF(원본명단!$H5010="",0,COUNTIF(원본명단!$H$3:$H$6002,원본명단!$H5010)))</f>
        <v/>
      </c>
      <c r="F5011" s="11" t="str">
        <f aca="false">IF($A5011="","",IF(원본명단!$I5010="",0,COUNTIF(원본명단!$I$3:$I$6002,원본명단!$I5010)))</f>
        <v/>
      </c>
      <c r="G5011" s="11" t="str">
        <f aca="false">IF($A5011="","",IF(원본명단!$K5010="",0,COUNTIF(원본명단!$K$3:$K$6002,원본명단!$K5010)))</f>
        <v/>
      </c>
      <c r="H5011" s="11" t="str">
        <f aca="false">IF($A5011="","",IF(MAX($E5011,$F5011,$G5011)&gt;1,"중복","-"))</f>
        <v/>
      </c>
      <c r="I5011" s="11" t="str">
        <f aca="false">IF($A5011="","",IF($H5011="-","-",IF(AND(IF(원본명단!$H5010="",TRUE(),COUNTIF(원본명단!$H$3:$H5010,원본명단!$H5010)=1),IF(원본명단!$I5010="",TRUE(),COUNTIF(원본명단!$I$3:$I5010,원본명단!$I5010)=1),IF(원본명단!$K5010="",TRUE(),COUNTIF(원본명단!$K$3:$K5010,원본명단!$K5010)=1)),"첫 건","중복 건")))</f>
        <v/>
      </c>
      <c r="J5011" s="11" t="str">
        <f aca="false">IF($A5011="","",IF($H5011="-","유지",IF($I5011="첫 건","유지","확인 필요")))</f>
        <v/>
      </c>
    </row>
    <row r="5012" customFormat="false" ht="15" hidden="false" customHeight="true" outlineLevel="0" collapsed="false">
      <c r="A5012" s="11" t="str">
        <f aca="false">IF(원본명단!$A5011="","",5009)</f>
        <v/>
      </c>
      <c r="B5012" s="12" t="str">
        <f aca="false">IF($A5012="","",원본명단!$A5011)</f>
        <v/>
      </c>
      <c r="C5012" s="12" t="str">
        <f aca="false">IF($A5012="","",원본명단!$B5011)</f>
        <v/>
      </c>
      <c r="D5012" s="12" t="str">
        <f aca="false">IF($A5012="","",원본명단!$D5011)</f>
        <v/>
      </c>
      <c r="E5012" s="11" t="str">
        <f aca="false">IF($A5012="","",IF(원본명단!$H5011="",0,COUNTIF(원본명단!$H$3:$H$6002,원본명단!$H5011)))</f>
        <v/>
      </c>
      <c r="F5012" s="11" t="str">
        <f aca="false">IF($A5012="","",IF(원본명단!$I5011="",0,COUNTIF(원본명단!$I$3:$I$6002,원본명단!$I5011)))</f>
        <v/>
      </c>
      <c r="G5012" s="11" t="str">
        <f aca="false">IF($A5012="","",IF(원본명단!$K5011="",0,COUNTIF(원본명단!$K$3:$K$6002,원본명단!$K5011)))</f>
        <v/>
      </c>
      <c r="H5012" s="11" t="str">
        <f aca="false">IF($A5012="","",IF(MAX($E5012,$F5012,$G5012)&gt;1,"중복","-"))</f>
        <v/>
      </c>
      <c r="I5012" s="11" t="str">
        <f aca="false">IF($A5012="","",IF($H5012="-","-",IF(AND(IF(원본명단!$H5011="",TRUE(),COUNTIF(원본명단!$H$3:$H5011,원본명단!$H5011)=1),IF(원본명단!$I5011="",TRUE(),COUNTIF(원본명단!$I$3:$I5011,원본명단!$I5011)=1),IF(원본명단!$K5011="",TRUE(),COUNTIF(원본명단!$K$3:$K5011,원본명단!$K5011)=1)),"첫 건","중복 건")))</f>
        <v/>
      </c>
      <c r="J5012" s="11" t="str">
        <f aca="false">IF($A5012="","",IF($H5012="-","유지",IF($I5012="첫 건","유지","확인 필요")))</f>
        <v/>
      </c>
    </row>
    <row r="5013" customFormat="false" ht="15" hidden="false" customHeight="true" outlineLevel="0" collapsed="false">
      <c r="A5013" s="11" t="str">
        <f aca="false">IF(원본명단!$A5012="","",5010)</f>
        <v/>
      </c>
      <c r="B5013" s="12" t="str">
        <f aca="false">IF($A5013="","",원본명단!$A5012)</f>
        <v/>
      </c>
      <c r="C5013" s="12" t="str">
        <f aca="false">IF($A5013="","",원본명단!$B5012)</f>
        <v/>
      </c>
      <c r="D5013" s="12" t="str">
        <f aca="false">IF($A5013="","",원본명단!$D5012)</f>
        <v/>
      </c>
      <c r="E5013" s="11" t="str">
        <f aca="false">IF($A5013="","",IF(원본명단!$H5012="",0,COUNTIF(원본명단!$H$3:$H$6002,원본명단!$H5012)))</f>
        <v/>
      </c>
      <c r="F5013" s="11" t="str">
        <f aca="false">IF($A5013="","",IF(원본명단!$I5012="",0,COUNTIF(원본명단!$I$3:$I$6002,원본명단!$I5012)))</f>
        <v/>
      </c>
      <c r="G5013" s="11" t="str">
        <f aca="false">IF($A5013="","",IF(원본명단!$K5012="",0,COUNTIF(원본명단!$K$3:$K$6002,원본명단!$K5012)))</f>
        <v/>
      </c>
      <c r="H5013" s="11" t="str">
        <f aca="false">IF($A5013="","",IF(MAX($E5013,$F5013,$G5013)&gt;1,"중복","-"))</f>
        <v/>
      </c>
      <c r="I5013" s="11" t="str">
        <f aca="false">IF($A5013="","",IF($H5013="-","-",IF(AND(IF(원본명단!$H5012="",TRUE(),COUNTIF(원본명단!$H$3:$H5012,원본명단!$H5012)=1),IF(원본명단!$I5012="",TRUE(),COUNTIF(원본명단!$I$3:$I5012,원본명단!$I5012)=1),IF(원본명단!$K5012="",TRUE(),COUNTIF(원본명단!$K$3:$K5012,원본명단!$K5012)=1)),"첫 건","중복 건")))</f>
        <v/>
      </c>
      <c r="J5013" s="11" t="str">
        <f aca="false">IF($A5013="","",IF($H5013="-","유지",IF($I5013="첫 건","유지","확인 필요")))</f>
        <v/>
      </c>
    </row>
    <row r="5014" customFormat="false" ht="15" hidden="false" customHeight="true" outlineLevel="0" collapsed="false">
      <c r="A5014" s="11" t="str">
        <f aca="false">IF(원본명단!$A5013="","",5011)</f>
        <v/>
      </c>
      <c r="B5014" s="12" t="str">
        <f aca="false">IF($A5014="","",원본명단!$A5013)</f>
        <v/>
      </c>
      <c r="C5014" s="12" t="str">
        <f aca="false">IF($A5014="","",원본명단!$B5013)</f>
        <v/>
      </c>
      <c r="D5014" s="12" t="str">
        <f aca="false">IF($A5014="","",원본명단!$D5013)</f>
        <v/>
      </c>
      <c r="E5014" s="11" t="str">
        <f aca="false">IF($A5014="","",IF(원본명단!$H5013="",0,COUNTIF(원본명단!$H$3:$H$6002,원본명단!$H5013)))</f>
        <v/>
      </c>
      <c r="F5014" s="11" t="str">
        <f aca="false">IF($A5014="","",IF(원본명단!$I5013="",0,COUNTIF(원본명단!$I$3:$I$6002,원본명단!$I5013)))</f>
        <v/>
      </c>
      <c r="G5014" s="11" t="str">
        <f aca="false">IF($A5014="","",IF(원본명단!$K5013="",0,COUNTIF(원본명단!$K$3:$K$6002,원본명단!$K5013)))</f>
        <v/>
      </c>
      <c r="H5014" s="11" t="str">
        <f aca="false">IF($A5014="","",IF(MAX($E5014,$F5014,$G5014)&gt;1,"중복","-"))</f>
        <v/>
      </c>
      <c r="I5014" s="11" t="str">
        <f aca="false">IF($A5014="","",IF($H5014="-","-",IF(AND(IF(원본명단!$H5013="",TRUE(),COUNTIF(원본명단!$H$3:$H5013,원본명단!$H5013)=1),IF(원본명단!$I5013="",TRUE(),COUNTIF(원본명단!$I$3:$I5013,원본명단!$I5013)=1),IF(원본명단!$K5013="",TRUE(),COUNTIF(원본명단!$K$3:$K5013,원본명단!$K5013)=1)),"첫 건","중복 건")))</f>
        <v/>
      </c>
      <c r="J5014" s="11" t="str">
        <f aca="false">IF($A5014="","",IF($H5014="-","유지",IF($I5014="첫 건","유지","확인 필요")))</f>
        <v/>
      </c>
    </row>
    <row r="5015" customFormat="false" ht="15" hidden="false" customHeight="true" outlineLevel="0" collapsed="false">
      <c r="A5015" s="11" t="str">
        <f aca="false">IF(원본명단!$A5014="","",5012)</f>
        <v/>
      </c>
      <c r="B5015" s="12" t="str">
        <f aca="false">IF($A5015="","",원본명단!$A5014)</f>
        <v/>
      </c>
      <c r="C5015" s="12" t="str">
        <f aca="false">IF($A5015="","",원본명단!$B5014)</f>
        <v/>
      </c>
      <c r="D5015" s="12" t="str">
        <f aca="false">IF($A5015="","",원본명단!$D5014)</f>
        <v/>
      </c>
      <c r="E5015" s="11" t="str">
        <f aca="false">IF($A5015="","",IF(원본명단!$H5014="",0,COUNTIF(원본명단!$H$3:$H$6002,원본명단!$H5014)))</f>
        <v/>
      </c>
      <c r="F5015" s="11" t="str">
        <f aca="false">IF($A5015="","",IF(원본명단!$I5014="",0,COUNTIF(원본명단!$I$3:$I$6002,원본명단!$I5014)))</f>
        <v/>
      </c>
      <c r="G5015" s="11" t="str">
        <f aca="false">IF($A5015="","",IF(원본명단!$K5014="",0,COUNTIF(원본명단!$K$3:$K$6002,원본명단!$K5014)))</f>
        <v/>
      </c>
      <c r="H5015" s="11" t="str">
        <f aca="false">IF($A5015="","",IF(MAX($E5015,$F5015,$G5015)&gt;1,"중복","-"))</f>
        <v/>
      </c>
      <c r="I5015" s="11" t="str">
        <f aca="false">IF($A5015="","",IF($H5015="-","-",IF(AND(IF(원본명단!$H5014="",TRUE(),COUNTIF(원본명단!$H$3:$H5014,원본명단!$H5014)=1),IF(원본명단!$I5014="",TRUE(),COUNTIF(원본명단!$I$3:$I5014,원본명단!$I5014)=1),IF(원본명단!$K5014="",TRUE(),COUNTIF(원본명단!$K$3:$K5014,원본명단!$K5014)=1)),"첫 건","중복 건")))</f>
        <v/>
      </c>
      <c r="J5015" s="11" t="str">
        <f aca="false">IF($A5015="","",IF($H5015="-","유지",IF($I5015="첫 건","유지","확인 필요")))</f>
        <v/>
      </c>
    </row>
    <row r="5016" customFormat="false" ht="15" hidden="false" customHeight="true" outlineLevel="0" collapsed="false">
      <c r="A5016" s="11" t="str">
        <f aca="false">IF(원본명단!$A5015="","",5013)</f>
        <v/>
      </c>
      <c r="B5016" s="12" t="str">
        <f aca="false">IF($A5016="","",원본명단!$A5015)</f>
        <v/>
      </c>
      <c r="C5016" s="12" t="str">
        <f aca="false">IF($A5016="","",원본명단!$B5015)</f>
        <v/>
      </c>
      <c r="D5016" s="12" t="str">
        <f aca="false">IF($A5016="","",원본명단!$D5015)</f>
        <v/>
      </c>
      <c r="E5016" s="11" t="str">
        <f aca="false">IF($A5016="","",IF(원본명단!$H5015="",0,COUNTIF(원본명단!$H$3:$H$6002,원본명단!$H5015)))</f>
        <v/>
      </c>
      <c r="F5016" s="11" t="str">
        <f aca="false">IF($A5016="","",IF(원본명단!$I5015="",0,COUNTIF(원본명단!$I$3:$I$6002,원본명단!$I5015)))</f>
        <v/>
      </c>
      <c r="G5016" s="11" t="str">
        <f aca="false">IF($A5016="","",IF(원본명단!$K5015="",0,COUNTIF(원본명단!$K$3:$K$6002,원본명단!$K5015)))</f>
        <v/>
      </c>
      <c r="H5016" s="11" t="str">
        <f aca="false">IF($A5016="","",IF(MAX($E5016,$F5016,$G5016)&gt;1,"중복","-"))</f>
        <v/>
      </c>
      <c r="I5016" s="11" t="str">
        <f aca="false">IF($A5016="","",IF($H5016="-","-",IF(AND(IF(원본명단!$H5015="",TRUE(),COUNTIF(원본명단!$H$3:$H5015,원본명단!$H5015)=1),IF(원본명단!$I5015="",TRUE(),COUNTIF(원본명단!$I$3:$I5015,원본명단!$I5015)=1),IF(원본명단!$K5015="",TRUE(),COUNTIF(원본명단!$K$3:$K5015,원본명단!$K5015)=1)),"첫 건","중복 건")))</f>
        <v/>
      </c>
      <c r="J5016" s="11" t="str">
        <f aca="false">IF($A5016="","",IF($H5016="-","유지",IF($I5016="첫 건","유지","확인 필요")))</f>
        <v/>
      </c>
    </row>
    <row r="5017" customFormat="false" ht="15" hidden="false" customHeight="true" outlineLevel="0" collapsed="false">
      <c r="A5017" s="11" t="str">
        <f aca="false">IF(원본명단!$A5016="","",5014)</f>
        <v/>
      </c>
      <c r="B5017" s="12" t="str">
        <f aca="false">IF($A5017="","",원본명단!$A5016)</f>
        <v/>
      </c>
      <c r="C5017" s="12" t="str">
        <f aca="false">IF($A5017="","",원본명단!$B5016)</f>
        <v/>
      </c>
      <c r="D5017" s="12" t="str">
        <f aca="false">IF($A5017="","",원본명단!$D5016)</f>
        <v/>
      </c>
      <c r="E5017" s="11" t="str">
        <f aca="false">IF($A5017="","",IF(원본명단!$H5016="",0,COUNTIF(원본명단!$H$3:$H$6002,원본명단!$H5016)))</f>
        <v/>
      </c>
      <c r="F5017" s="11" t="str">
        <f aca="false">IF($A5017="","",IF(원본명단!$I5016="",0,COUNTIF(원본명단!$I$3:$I$6002,원본명단!$I5016)))</f>
        <v/>
      </c>
      <c r="G5017" s="11" t="str">
        <f aca="false">IF($A5017="","",IF(원본명단!$K5016="",0,COUNTIF(원본명단!$K$3:$K$6002,원본명단!$K5016)))</f>
        <v/>
      </c>
      <c r="H5017" s="11" t="str">
        <f aca="false">IF($A5017="","",IF(MAX($E5017,$F5017,$G5017)&gt;1,"중복","-"))</f>
        <v/>
      </c>
      <c r="I5017" s="11" t="str">
        <f aca="false">IF($A5017="","",IF($H5017="-","-",IF(AND(IF(원본명단!$H5016="",TRUE(),COUNTIF(원본명단!$H$3:$H5016,원본명단!$H5016)=1),IF(원본명단!$I5016="",TRUE(),COUNTIF(원본명단!$I$3:$I5016,원본명단!$I5016)=1),IF(원본명단!$K5016="",TRUE(),COUNTIF(원본명단!$K$3:$K5016,원본명단!$K5016)=1)),"첫 건","중복 건")))</f>
        <v/>
      </c>
      <c r="J5017" s="11" t="str">
        <f aca="false">IF($A5017="","",IF($H5017="-","유지",IF($I5017="첫 건","유지","확인 필요")))</f>
        <v/>
      </c>
    </row>
    <row r="5018" customFormat="false" ht="15" hidden="false" customHeight="true" outlineLevel="0" collapsed="false">
      <c r="A5018" s="11" t="str">
        <f aca="false">IF(원본명단!$A5017="","",5015)</f>
        <v/>
      </c>
      <c r="B5018" s="12" t="str">
        <f aca="false">IF($A5018="","",원본명단!$A5017)</f>
        <v/>
      </c>
      <c r="C5018" s="12" t="str">
        <f aca="false">IF($A5018="","",원본명단!$B5017)</f>
        <v/>
      </c>
      <c r="D5018" s="12" t="str">
        <f aca="false">IF($A5018="","",원본명단!$D5017)</f>
        <v/>
      </c>
      <c r="E5018" s="11" t="str">
        <f aca="false">IF($A5018="","",IF(원본명단!$H5017="",0,COUNTIF(원본명단!$H$3:$H$6002,원본명단!$H5017)))</f>
        <v/>
      </c>
      <c r="F5018" s="11" t="str">
        <f aca="false">IF($A5018="","",IF(원본명단!$I5017="",0,COUNTIF(원본명단!$I$3:$I$6002,원본명단!$I5017)))</f>
        <v/>
      </c>
      <c r="G5018" s="11" t="str">
        <f aca="false">IF($A5018="","",IF(원본명단!$K5017="",0,COUNTIF(원본명단!$K$3:$K$6002,원본명단!$K5017)))</f>
        <v/>
      </c>
      <c r="H5018" s="11" t="str">
        <f aca="false">IF($A5018="","",IF(MAX($E5018,$F5018,$G5018)&gt;1,"중복","-"))</f>
        <v/>
      </c>
      <c r="I5018" s="11" t="str">
        <f aca="false">IF($A5018="","",IF($H5018="-","-",IF(AND(IF(원본명단!$H5017="",TRUE(),COUNTIF(원본명단!$H$3:$H5017,원본명단!$H5017)=1),IF(원본명단!$I5017="",TRUE(),COUNTIF(원본명단!$I$3:$I5017,원본명단!$I5017)=1),IF(원본명단!$K5017="",TRUE(),COUNTIF(원본명단!$K$3:$K5017,원본명단!$K5017)=1)),"첫 건","중복 건")))</f>
        <v/>
      </c>
      <c r="J5018" s="11" t="str">
        <f aca="false">IF($A5018="","",IF($H5018="-","유지",IF($I5018="첫 건","유지","확인 필요")))</f>
        <v/>
      </c>
    </row>
    <row r="5019" customFormat="false" ht="15" hidden="false" customHeight="true" outlineLevel="0" collapsed="false">
      <c r="A5019" s="11" t="str">
        <f aca="false">IF(원본명단!$A5018="","",5016)</f>
        <v/>
      </c>
      <c r="B5019" s="12" t="str">
        <f aca="false">IF($A5019="","",원본명단!$A5018)</f>
        <v/>
      </c>
      <c r="C5019" s="12" t="str">
        <f aca="false">IF($A5019="","",원본명단!$B5018)</f>
        <v/>
      </c>
      <c r="D5019" s="12" t="str">
        <f aca="false">IF($A5019="","",원본명단!$D5018)</f>
        <v/>
      </c>
      <c r="E5019" s="11" t="str">
        <f aca="false">IF($A5019="","",IF(원본명단!$H5018="",0,COUNTIF(원본명단!$H$3:$H$6002,원본명단!$H5018)))</f>
        <v/>
      </c>
      <c r="F5019" s="11" t="str">
        <f aca="false">IF($A5019="","",IF(원본명단!$I5018="",0,COUNTIF(원본명단!$I$3:$I$6002,원본명단!$I5018)))</f>
        <v/>
      </c>
      <c r="G5019" s="11" t="str">
        <f aca="false">IF($A5019="","",IF(원본명단!$K5018="",0,COUNTIF(원본명단!$K$3:$K$6002,원본명단!$K5018)))</f>
        <v/>
      </c>
      <c r="H5019" s="11" t="str">
        <f aca="false">IF($A5019="","",IF(MAX($E5019,$F5019,$G5019)&gt;1,"중복","-"))</f>
        <v/>
      </c>
      <c r="I5019" s="11" t="str">
        <f aca="false">IF($A5019="","",IF($H5019="-","-",IF(AND(IF(원본명단!$H5018="",TRUE(),COUNTIF(원본명단!$H$3:$H5018,원본명단!$H5018)=1),IF(원본명단!$I5018="",TRUE(),COUNTIF(원본명단!$I$3:$I5018,원본명단!$I5018)=1),IF(원본명단!$K5018="",TRUE(),COUNTIF(원본명단!$K$3:$K5018,원본명단!$K5018)=1)),"첫 건","중복 건")))</f>
        <v/>
      </c>
      <c r="J5019" s="11" t="str">
        <f aca="false">IF($A5019="","",IF($H5019="-","유지",IF($I5019="첫 건","유지","확인 필요")))</f>
        <v/>
      </c>
    </row>
    <row r="5020" customFormat="false" ht="15" hidden="false" customHeight="true" outlineLevel="0" collapsed="false">
      <c r="A5020" s="11" t="str">
        <f aca="false">IF(원본명단!$A5019="","",5017)</f>
        <v/>
      </c>
      <c r="B5020" s="12" t="str">
        <f aca="false">IF($A5020="","",원본명단!$A5019)</f>
        <v/>
      </c>
      <c r="C5020" s="12" t="str">
        <f aca="false">IF($A5020="","",원본명단!$B5019)</f>
        <v/>
      </c>
      <c r="D5020" s="12" t="str">
        <f aca="false">IF($A5020="","",원본명단!$D5019)</f>
        <v/>
      </c>
      <c r="E5020" s="11" t="str">
        <f aca="false">IF($A5020="","",IF(원본명단!$H5019="",0,COUNTIF(원본명단!$H$3:$H$6002,원본명단!$H5019)))</f>
        <v/>
      </c>
      <c r="F5020" s="11" t="str">
        <f aca="false">IF($A5020="","",IF(원본명단!$I5019="",0,COUNTIF(원본명단!$I$3:$I$6002,원본명단!$I5019)))</f>
        <v/>
      </c>
      <c r="G5020" s="11" t="str">
        <f aca="false">IF($A5020="","",IF(원본명단!$K5019="",0,COUNTIF(원본명단!$K$3:$K$6002,원본명단!$K5019)))</f>
        <v/>
      </c>
      <c r="H5020" s="11" t="str">
        <f aca="false">IF($A5020="","",IF(MAX($E5020,$F5020,$G5020)&gt;1,"중복","-"))</f>
        <v/>
      </c>
      <c r="I5020" s="11" t="str">
        <f aca="false">IF($A5020="","",IF($H5020="-","-",IF(AND(IF(원본명단!$H5019="",TRUE(),COUNTIF(원본명단!$H$3:$H5019,원본명단!$H5019)=1),IF(원본명단!$I5019="",TRUE(),COUNTIF(원본명단!$I$3:$I5019,원본명단!$I5019)=1),IF(원본명단!$K5019="",TRUE(),COUNTIF(원본명단!$K$3:$K5019,원본명단!$K5019)=1)),"첫 건","중복 건")))</f>
        <v/>
      </c>
      <c r="J5020" s="11" t="str">
        <f aca="false">IF($A5020="","",IF($H5020="-","유지",IF($I5020="첫 건","유지","확인 필요")))</f>
        <v/>
      </c>
    </row>
    <row r="5021" customFormat="false" ht="15" hidden="false" customHeight="true" outlineLevel="0" collapsed="false">
      <c r="A5021" s="11" t="str">
        <f aca="false">IF(원본명단!$A5020="","",5018)</f>
        <v/>
      </c>
      <c r="B5021" s="12" t="str">
        <f aca="false">IF($A5021="","",원본명단!$A5020)</f>
        <v/>
      </c>
      <c r="C5021" s="12" t="str">
        <f aca="false">IF($A5021="","",원본명단!$B5020)</f>
        <v/>
      </c>
      <c r="D5021" s="12" t="str">
        <f aca="false">IF($A5021="","",원본명단!$D5020)</f>
        <v/>
      </c>
      <c r="E5021" s="11" t="str">
        <f aca="false">IF($A5021="","",IF(원본명단!$H5020="",0,COUNTIF(원본명단!$H$3:$H$6002,원본명단!$H5020)))</f>
        <v/>
      </c>
      <c r="F5021" s="11" t="str">
        <f aca="false">IF($A5021="","",IF(원본명단!$I5020="",0,COUNTIF(원본명단!$I$3:$I$6002,원본명단!$I5020)))</f>
        <v/>
      </c>
      <c r="G5021" s="11" t="str">
        <f aca="false">IF($A5021="","",IF(원본명단!$K5020="",0,COUNTIF(원본명단!$K$3:$K$6002,원본명단!$K5020)))</f>
        <v/>
      </c>
      <c r="H5021" s="11" t="str">
        <f aca="false">IF($A5021="","",IF(MAX($E5021,$F5021,$G5021)&gt;1,"중복","-"))</f>
        <v/>
      </c>
      <c r="I5021" s="11" t="str">
        <f aca="false">IF($A5021="","",IF($H5021="-","-",IF(AND(IF(원본명단!$H5020="",TRUE(),COUNTIF(원본명단!$H$3:$H5020,원본명단!$H5020)=1),IF(원본명단!$I5020="",TRUE(),COUNTIF(원본명단!$I$3:$I5020,원본명단!$I5020)=1),IF(원본명단!$K5020="",TRUE(),COUNTIF(원본명단!$K$3:$K5020,원본명단!$K5020)=1)),"첫 건","중복 건")))</f>
        <v/>
      </c>
      <c r="J5021" s="11" t="str">
        <f aca="false">IF($A5021="","",IF($H5021="-","유지",IF($I5021="첫 건","유지","확인 필요")))</f>
        <v/>
      </c>
    </row>
    <row r="5022" customFormat="false" ht="15" hidden="false" customHeight="true" outlineLevel="0" collapsed="false">
      <c r="A5022" s="11" t="str">
        <f aca="false">IF(원본명단!$A5021="","",5019)</f>
        <v/>
      </c>
      <c r="B5022" s="12" t="str">
        <f aca="false">IF($A5022="","",원본명단!$A5021)</f>
        <v/>
      </c>
      <c r="C5022" s="12" t="str">
        <f aca="false">IF($A5022="","",원본명단!$B5021)</f>
        <v/>
      </c>
      <c r="D5022" s="12" t="str">
        <f aca="false">IF($A5022="","",원본명단!$D5021)</f>
        <v/>
      </c>
      <c r="E5022" s="11" t="str">
        <f aca="false">IF($A5022="","",IF(원본명단!$H5021="",0,COUNTIF(원본명단!$H$3:$H$6002,원본명단!$H5021)))</f>
        <v/>
      </c>
      <c r="F5022" s="11" t="str">
        <f aca="false">IF($A5022="","",IF(원본명단!$I5021="",0,COUNTIF(원본명단!$I$3:$I$6002,원본명단!$I5021)))</f>
        <v/>
      </c>
      <c r="G5022" s="11" t="str">
        <f aca="false">IF($A5022="","",IF(원본명단!$K5021="",0,COUNTIF(원본명단!$K$3:$K$6002,원본명단!$K5021)))</f>
        <v/>
      </c>
      <c r="H5022" s="11" t="str">
        <f aca="false">IF($A5022="","",IF(MAX($E5022,$F5022,$G5022)&gt;1,"중복","-"))</f>
        <v/>
      </c>
      <c r="I5022" s="11" t="str">
        <f aca="false">IF($A5022="","",IF($H5022="-","-",IF(AND(IF(원본명단!$H5021="",TRUE(),COUNTIF(원본명단!$H$3:$H5021,원본명단!$H5021)=1),IF(원본명단!$I5021="",TRUE(),COUNTIF(원본명단!$I$3:$I5021,원본명단!$I5021)=1),IF(원본명단!$K5021="",TRUE(),COUNTIF(원본명단!$K$3:$K5021,원본명단!$K5021)=1)),"첫 건","중복 건")))</f>
        <v/>
      </c>
      <c r="J5022" s="11" t="str">
        <f aca="false">IF($A5022="","",IF($H5022="-","유지",IF($I5022="첫 건","유지","확인 필요")))</f>
        <v/>
      </c>
    </row>
    <row r="5023" customFormat="false" ht="15" hidden="false" customHeight="true" outlineLevel="0" collapsed="false">
      <c r="A5023" s="11" t="str">
        <f aca="false">IF(원본명단!$A5022="","",5020)</f>
        <v/>
      </c>
      <c r="B5023" s="12" t="str">
        <f aca="false">IF($A5023="","",원본명단!$A5022)</f>
        <v/>
      </c>
      <c r="C5023" s="12" t="str">
        <f aca="false">IF($A5023="","",원본명단!$B5022)</f>
        <v/>
      </c>
      <c r="D5023" s="12" t="str">
        <f aca="false">IF($A5023="","",원본명단!$D5022)</f>
        <v/>
      </c>
      <c r="E5023" s="11" t="str">
        <f aca="false">IF($A5023="","",IF(원본명단!$H5022="",0,COUNTIF(원본명단!$H$3:$H$6002,원본명단!$H5022)))</f>
        <v/>
      </c>
      <c r="F5023" s="11" t="str">
        <f aca="false">IF($A5023="","",IF(원본명단!$I5022="",0,COUNTIF(원본명단!$I$3:$I$6002,원본명단!$I5022)))</f>
        <v/>
      </c>
      <c r="G5023" s="11" t="str">
        <f aca="false">IF($A5023="","",IF(원본명단!$K5022="",0,COUNTIF(원본명단!$K$3:$K$6002,원본명단!$K5022)))</f>
        <v/>
      </c>
      <c r="H5023" s="11" t="str">
        <f aca="false">IF($A5023="","",IF(MAX($E5023,$F5023,$G5023)&gt;1,"중복","-"))</f>
        <v/>
      </c>
      <c r="I5023" s="11" t="str">
        <f aca="false">IF($A5023="","",IF($H5023="-","-",IF(AND(IF(원본명단!$H5022="",TRUE(),COUNTIF(원본명단!$H$3:$H5022,원본명단!$H5022)=1),IF(원본명단!$I5022="",TRUE(),COUNTIF(원본명단!$I$3:$I5022,원본명단!$I5022)=1),IF(원본명단!$K5022="",TRUE(),COUNTIF(원본명단!$K$3:$K5022,원본명단!$K5022)=1)),"첫 건","중복 건")))</f>
        <v/>
      </c>
      <c r="J5023" s="11" t="str">
        <f aca="false">IF($A5023="","",IF($H5023="-","유지",IF($I5023="첫 건","유지","확인 필요")))</f>
        <v/>
      </c>
    </row>
    <row r="5024" customFormat="false" ht="15" hidden="false" customHeight="true" outlineLevel="0" collapsed="false">
      <c r="A5024" s="11" t="str">
        <f aca="false">IF(원본명단!$A5023="","",5021)</f>
        <v/>
      </c>
      <c r="B5024" s="12" t="str">
        <f aca="false">IF($A5024="","",원본명단!$A5023)</f>
        <v/>
      </c>
      <c r="C5024" s="12" t="str">
        <f aca="false">IF($A5024="","",원본명단!$B5023)</f>
        <v/>
      </c>
      <c r="D5024" s="12" t="str">
        <f aca="false">IF($A5024="","",원본명단!$D5023)</f>
        <v/>
      </c>
      <c r="E5024" s="11" t="str">
        <f aca="false">IF($A5024="","",IF(원본명단!$H5023="",0,COUNTIF(원본명단!$H$3:$H$6002,원본명단!$H5023)))</f>
        <v/>
      </c>
      <c r="F5024" s="11" t="str">
        <f aca="false">IF($A5024="","",IF(원본명단!$I5023="",0,COUNTIF(원본명단!$I$3:$I$6002,원본명단!$I5023)))</f>
        <v/>
      </c>
      <c r="G5024" s="11" t="str">
        <f aca="false">IF($A5024="","",IF(원본명단!$K5023="",0,COUNTIF(원본명단!$K$3:$K$6002,원본명단!$K5023)))</f>
        <v/>
      </c>
      <c r="H5024" s="11" t="str">
        <f aca="false">IF($A5024="","",IF(MAX($E5024,$F5024,$G5024)&gt;1,"중복","-"))</f>
        <v/>
      </c>
      <c r="I5024" s="11" t="str">
        <f aca="false">IF($A5024="","",IF($H5024="-","-",IF(AND(IF(원본명단!$H5023="",TRUE(),COUNTIF(원본명단!$H$3:$H5023,원본명단!$H5023)=1),IF(원본명단!$I5023="",TRUE(),COUNTIF(원본명단!$I$3:$I5023,원본명단!$I5023)=1),IF(원본명단!$K5023="",TRUE(),COUNTIF(원본명단!$K$3:$K5023,원본명단!$K5023)=1)),"첫 건","중복 건")))</f>
        <v/>
      </c>
      <c r="J5024" s="11" t="str">
        <f aca="false">IF($A5024="","",IF($H5024="-","유지",IF($I5024="첫 건","유지","확인 필요")))</f>
        <v/>
      </c>
    </row>
    <row r="5025" customFormat="false" ht="15" hidden="false" customHeight="true" outlineLevel="0" collapsed="false">
      <c r="A5025" s="11" t="str">
        <f aca="false">IF(원본명단!$A5024="","",5022)</f>
        <v/>
      </c>
      <c r="B5025" s="12" t="str">
        <f aca="false">IF($A5025="","",원본명단!$A5024)</f>
        <v/>
      </c>
      <c r="C5025" s="12" t="str">
        <f aca="false">IF($A5025="","",원본명단!$B5024)</f>
        <v/>
      </c>
      <c r="D5025" s="12" t="str">
        <f aca="false">IF($A5025="","",원본명단!$D5024)</f>
        <v/>
      </c>
      <c r="E5025" s="11" t="str">
        <f aca="false">IF($A5025="","",IF(원본명단!$H5024="",0,COUNTIF(원본명단!$H$3:$H$6002,원본명단!$H5024)))</f>
        <v/>
      </c>
      <c r="F5025" s="11" t="str">
        <f aca="false">IF($A5025="","",IF(원본명단!$I5024="",0,COUNTIF(원본명단!$I$3:$I$6002,원본명단!$I5024)))</f>
        <v/>
      </c>
      <c r="G5025" s="11" t="str">
        <f aca="false">IF($A5025="","",IF(원본명단!$K5024="",0,COUNTIF(원본명단!$K$3:$K$6002,원본명단!$K5024)))</f>
        <v/>
      </c>
      <c r="H5025" s="11" t="str">
        <f aca="false">IF($A5025="","",IF(MAX($E5025,$F5025,$G5025)&gt;1,"중복","-"))</f>
        <v/>
      </c>
      <c r="I5025" s="11" t="str">
        <f aca="false">IF($A5025="","",IF($H5025="-","-",IF(AND(IF(원본명단!$H5024="",TRUE(),COUNTIF(원본명단!$H$3:$H5024,원본명단!$H5024)=1),IF(원본명단!$I5024="",TRUE(),COUNTIF(원본명단!$I$3:$I5024,원본명단!$I5024)=1),IF(원본명단!$K5024="",TRUE(),COUNTIF(원본명단!$K$3:$K5024,원본명단!$K5024)=1)),"첫 건","중복 건")))</f>
        <v/>
      </c>
      <c r="J5025" s="11" t="str">
        <f aca="false">IF($A5025="","",IF($H5025="-","유지",IF($I5025="첫 건","유지","확인 필요")))</f>
        <v/>
      </c>
    </row>
    <row r="5026" customFormat="false" ht="15" hidden="false" customHeight="true" outlineLevel="0" collapsed="false">
      <c r="A5026" s="11" t="str">
        <f aca="false">IF(원본명단!$A5025="","",5023)</f>
        <v/>
      </c>
      <c r="B5026" s="12" t="str">
        <f aca="false">IF($A5026="","",원본명단!$A5025)</f>
        <v/>
      </c>
      <c r="C5026" s="12" t="str">
        <f aca="false">IF($A5026="","",원본명단!$B5025)</f>
        <v/>
      </c>
      <c r="D5026" s="12" t="str">
        <f aca="false">IF($A5026="","",원본명단!$D5025)</f>
        <v/>
      </c>
      <c r="E5026" s="11" t="str">
        <f aca="false">IF($A5026="","",IF(원본명단!$H5025="",0,COUNTIF(원본명단!$H$3:$H$6002,원본명단!$H5025)))</f>
        <v/>
      </c>
      <c r="F5026" s="11" t="str">
        <f aca="false">IF($A5026="","",IF(원본명단!$I5025="",0,COUNTIF(원본명단!$I$3:$I$6002,원본명단!$I5025)))</f>
        <v/>
      </c>
      <c r="G5026" s="11" t="str">
        <f aca="false">IF($A5026="","",IF(원본명단!$K5025="",0,COUNTIF(원본명단!$K$3:$K$6002,원본명단!$K5025)))</f>
        <v/>
      </c>
      <c r="H5026" s="11" t="str">
        <f aca="false">IF($A5026="","",IF(MAX($E5026,$F5026,$G5026)&gt;1,"중복","-"))</f>
        <v/>
      </c>
      <c r="I5026" s="11" t="str">
        <f aca="false">IF($A5026="","",IF($H5026="-","-",IF(AND(IF(원본명단!$H5025="",TRUE(),COUNTIF(원본명단!$H$3:$H5025,원본명단!$H5025)=1),IF(원본명단!$I5025="",TRUE(),COUNTIF(원본명단!$I$3:$I5025,원본명단!$I5025)=1),IF(원본명단!$K5025="",TRUE(),COUNTIF(원본명단!$K$3:$K5025,원본명단!$K5025)=1)),"첫 건","중복 건")))</f>
        <v/>
      </c>
      <c r="J5026" s="11" t="str">
        <f aca="false">IF($A5026="","",IF($H5026="-","유지",IF($I5026="첫 건","유지","확인 필요")))</f>
        <v/>
      </c>
    </row>
    <row r="5027" customFormat="false" ht="15" hidden="false" customHeight="true" outlineLevel="0" collapsed="false">
      <c r="A5027" s="11" t="str">
        <f aca="false">IF(원본명단!$A5026="","",5024)</f>
        <v/>
      </c>
      <c r="B5027" s="12" t="str">
        <f aca="false">IF($A5027="","",원본명단!$A5026)</f>
        <v/>
      </c>
      <c r="C5027" s="12" t="str">
        <f aca="false">IF($A5027="","",원본명단!$B5026)</f>
        <v/>
      </c>
      <c r="D5027" s="12" t="str">
        <f aca="false">IF($A5027="","",원본명단!$D5026)</f>
        <v/>
      </c>
      <c r="E5027" s="11" t="str">
        <f aca="false">IF($A5027="","",IF(원본명단!$H5026="",0,COUNTIF(원본명단!$H$3:$H$6002,원본명단!$H5026)))</f>
        <v/>
      </c>
      <c r="F5027" s="11" t="str">
        <f aca="false">IF($A5027="","",IF(원본명단!$I5026="",0,COUNTIF(원본명단!$I$3:$I$6002,원본명단!$I5026)))</f>
        <v/>
      </c>
      <c r="G5027" s="11" t="str">
        <f aca="false">IF($A5027="","",IF(원본명단!$K5026="",0,COUNTIF(원본명단!$K$3:$K$6002,원본명단!$K5026)))</f>
        <v/>
      </c>
      <c r="H5027" s="11" t="str">
        <f aca="false">IF($A5027="","",IF(MAX($E5027,$F5027,$G5027)&gt;1,"중복","-"))</f>
        <v/>
      </c>
      <c r="I5027" s="11" t="str">
        <f aca="false">IF($A5027="","",IF($H5027="-","-",IF(AND(IF(원본명단!$H5026="",TRUE(),COUNTIF(원본명단!$H$3:$H5026,원본명단!$H5026)=1),IF(원본명단!$I5026="",TRUE(),COUNTIF(원본명단!$I$3:$I5026,원본명단!$I5026)=1),IF(원본명단!$K5026="",TRUE(),COUNTIF(원본명단!$K$3:$K5026,원본명단!$K5026)=1)),"첫 건","중복 건")))</f>
        <v/>
      </c>
      <c r="J5027" s="11" t="str">
        <f aca="false">IF($A5027="","",IF($H5027="-","유지",IF($I5027="첫 건","유지","확인 필요")))</f>
        <v/>
      </c>
    </row>
    <row r="5028" customFormat="false" ht="15" hidden="false" customHeight="true" outlineLevel="0" collapsed="false">
      <c r="A5028" s="11" t="str">
        <f aca="false">IF(원본명단!$A5027="","",5025)</f>
        <v/>
      </c>
      <c r="B5028" s="12" t="str">
        <f aca="false">IF($A5028="","",원본명단!$A5027)</f>
        <v/>
      </c>
      <c r="C5028" s="12" t="str">
        <f aca="false">IF($A5028="","",원본명단!$B5027)</f>
        <v/>
      </c>
      <c r="D5028" s="12" t="str">
        <f aca="false">IF($A5028="","",원본명단!$D5027)</f>
        <v/>
      </c>
      <c r="E5028" s="11" t="str">
        <f aca="false">IF($A5028="","",IF(원본명단!$H5027="",0,COUNTIF(원본명단!$H$3:$H$6002,원본명단!$H5027)))</f>
        <v/>
      </c>
      <c r="F5028" s="11" t="str">
        <f aca="false">IF($A5028="","",IF(원본명단!$I5027="",0,COUNTIF(원본명단!$I$3:$I$6002,원본명단!$I5027)))</f>
        <v/>
      </c>
      <c r="G5028" s="11" t="str">
        <f aca="false">IF($A5028="","",IF(원본명단!$K5027="",0,COUNTIF(원본명단!$K$3:$K$6002,원본명단!$K5027)))</f>
        <v/>
      </c>
      <c r="H5028" s="11" t="str">
        <f aca="false">IF($A5028="","",IF(MAX($E5028,$F5028,$G5028)&gt;1,"중복","-"))</f>
        <v/>
      </c>
      <c r="I5028" s="11" t="str">
        <f aca="false">IF($A5028="","",IF($H5028="-","-",IF(AND(IF(원본명단!$H5027="",TRUE(),COUNTIF(원본명단!$H$3:$H5027,원본명단!$H5027)=1),IF(원본명단!$I5027="",TRUE(),COUNTIF(원본명단!$I$3:$I5027,원본명단!$I5027)=1),IF(원본명단!$K5027="",TRUE(),COUNTIF(원본명단!$K$3:$K5027,원본명단!$K5027)=1)),"첫 건","중복 건")))</f>
        <v/>
      </c>
      <c r="J5028" s="11" t="str">
        <f aca="false">IF($A5028="","",IF($H5028="-","유지",IF($I5028="첫 건","유지","확인 필요")))</f>
        <v/>
      </c>
    </row>
    <row r="5029" customFormat="false" ht="15" hidden="false" customHeight="true" outlineLevel="0" collapsed="false">
      <c r="A5029" s="11" t="str">
        <f aca="false">IF(원본명단!$A5028="","",5026)</f>
        <v/>
      </c>
      <c r="B5029" s="12" t="str">
        <f aca="false">IF($A5029="","",원본명단!$A5028)</f>
        <v/>
      </c>
      <c r="C5029" s="12" t="str">
        <f aca="false">IF($A5029="","",원본명단!$B5028)</f>
        <v/>
      </c>
      <c r="D5029" s="12" t="str">
        <f aca="false">IF($A5029="","",원본명단!$D5028)</f>
        <v/>
      </c>
      <c r="E5029" s="11" t="str">
        <f aca="false">IF($A5029="","",IF(원본명단!$H5028="",0,COUNTIF(원본명단!$H$3:$H$6002,원본명단!$H5028)))</f>
        <v/>
      </c>
      <c r="F5029" s="11" t="str">
        <f aca="false">IF($A5029="","",IF(원본명단!$I5028="",0,COUNTIF(원본명단!$I$3:$I$6002,원본명단!$I5028)))</f>
        <v/>
      </c>
      <c r="G5029" s="11" t="str">
        <f aca="false">IF($A5029="","",IF(원본명단!$K5028="",0,COUNTIF(원본명단!$K$3:$K$6002,원본명단!$K5028)))</f>
        <v/>
      </c>
      <c r="H5029" s="11" t="str">
        <f aca="false">IF($A5029="","",IF(MAX($E5029,$F5029,$G5029)&gt;1,"중복","-"))</f>
        <v/>
      </c>
      <c r="I5029" s="11" t="str">
        <f aca="false">IF($A5029="","",IF($H5029="-","-",IF(AND(IF(원본명단!$H5028="",TRUE(),COUNTIF(원본명단!$H$3:$H5028,원본명단!$H5028)=1),IF(원본명단!$I5028="",TRUE(),COUNTIF(원본명단!$I$3:$I5028,원본명단!$I5028)=1),IF(원본명단!$K5028="",TRUE(),COUNTIF(원본명단!$K$3:$K5028,원본명단!$K5028)=1)),"첫 건","중복 건")))</f>
        <v/>
      </c>
      <c r="J5029" s="11" t="str">
        <f aca="false">IF($A5029="","",IF($H5029="-","유지",IF($I5029="첫 건","유지","확인 필요")))</f>
        <v/>
      </c>
    </row>
    <row r="5030" customFormat="false" ht="15" hidden="false" customHeight="true" outlineLevel="0" collapsed="false">
      <c r="A5030" s="11" t="str">
        <f aca="false">IF(원본명단!$A5029="","",5027)</f>
        <v/>
      </c>
      <c r="B5030" s="12" t="str">
        <f aca="false">IF($A5030="","",원본명단!$A5029)</f>
        <v/>
      </c>
      <c r="C5030" s="12" t="str">
        <f aca="false">IF($A5030="","",원본명단!$B5029)</f>
        <v/>
      </c>
      <c r="D5030" s="12" t="str">
        <f aca="false">IF($A5030="","",원본명단!$D5029)</f>
        <v/>
      </c>
      <c r="E5030" s="11" t="str">
        <f aca="false">IF($A5030="","",IF(원본명단!$H5029="",0,COUNTIF(원본명단!$H$3:$H$6002,원본명단!$H5029)))</f>
        <v/>
      </c>
      <c r="F5030" s="11" t="str">
        <f aca="false">IF($A5030="","",IF(원본명단!$I5029="",0,COUNTIF(원본명단!$I$3:$I$6002,원본명단!$I5029)))</f>
        <v/>
      </c>
      <c r="G5030" s="11" t="str">
        <f aca="false">IF($A5030="","",IF(원본명단!$K5029="",0,COUNTIF(원본명단!$K$3:$K$6002,원본명단!$K5029)))</f>
        <v/>
      </c>
      <c r="H5030" s="11" t="str">
        <f aca="false">IF($A5030="","",IF(MAX($E5030,$F5030,$G5030)&gt;1,"중복","-"))</f>
        <v/>
      </c>
      <c r="I5030" s="11" t="str">
        <f aca="false">IF($A5030="","",IF($H5030="-","-",IF(AND(IF(원본명단!$H5029="",TRUE(),COUNTIF(원본명단!$H$3:$H5029,원본명단!$H5029)=1),IF(원본명단!$I5029="",TRUE(),COUNTIF(원본명단!$I$3:$I5029,원본명단!$I5029)=1),IF(원본명단!$K5029="",TRUE(),COUNTIF(원본명단!$K$3:$K5029,원본명단!$K5029)=1)),"첫 건","중복 건")))</f>
        <v/>
      </c>
      <c r="J5030" s="11" t="str">
        <f aca="false">IF($A5030="","",IF($H5030="-","유지",IF($I5030="첫 건","유지","확인 필요")))</f>
        <v/>
      </c>
    </row>
    <row r="5031" customFormat="false" ht="15" hidden="false" customHeight="true" outlineLevel="0" collapsed="false">
      <c r="A5031" s="11" t="str">
        <f aca="false">IF(원본명단!$A5030="","",5028)</f>
        <v/>
      </c>
      <c r="B5031" s="12" t="str">
        <f aca="false">IF($A5031="","",원본명단!$A5030)</f>
        <v/>
      </c>
      <c r="C5031" s="12" t="str">
        <f aca="false">IF($A5031="","",원본명단!$B5030)</f>
        <v/>
      </c>
      <c r="D5031" s="12" t="str">
        <f aca="false">IF($A5031="","",원본명단!$D5030)</f>
        <v/>
      </c>
      <c r="E5031" s="11" t="str">
        <f aca="false">IF($A5031="","",IF(원본명단!$H5030="",0,COUNTIF(원본명단!$H$3:$H$6002,원본명단!$H5030)))</f>
        <v/>
      </c>
      <c r="F5031" s="11" t="str">
        <f aca="false">IF($A5031="","",IF(원본명단!$I5030="",0,COUNTIF(원본명단!$I$3:$I$6002,원본명단!$I5030)))</f>
        <v/>
      </c>
      <c r="G5031" s="11" t="str">
        <f aca="false">IF($A5031="","",IF(원본명단!$K5030="",0,COUNTIF(원본명단!$K$3:$K$6002,원본명단!$K5030)))</f>
        <v/>
      </c>
      <c r="H5031" s="11" t="str">
        <f aca="false">IF($A5031="","",IF(MAX($E5031,$F5031,$G5031)&gt;1,"중복","-"))</f>
        <v/>
      </c>
      <c r="I5031" s="11" t="str">
        <f aca="false">IF($A5031="","",IF($H5031="-","-",IF(AND(IF(원본명단!$H5030="",TRUE(),COUNTIF(원본명단!$H$3:$H5030,원본명단!$H5030)=1),IF(원본명단!$I5030="",TRUE(),COUNTIF(원본명단!$I$3:$I5030,원본명단!$I5030)=1),IF(원본명단!$K5030="",TRUE(),COUNTIF(원본명단!$K$3:$K5030,원본명단!$K5030)=1)),"첫 건","중복 건")))</f>
        <v/>
      </c>
      <c r="J5031" s="11" t="str">
        <f aca="false">IF($A5031="","",IF($H5031="-","유지",IF($I5031="첫 건","유지","확인 필요")))</f>
        <v/>
      </c>
    </row>
    <row r="5032" customFormat="false" ht="15" hidden="false" customHeight="true" outlineLevel="0" collapsed="false">
      <c r="A5032" s="11" t="str">
        <f aca="false">IF(원본명단!$A5031="","",5029)</f>
        <v/>
      </c>
      <c r="B5032" s="12" t="str">
        <f aca="false">IF($A5032="","",원본명단!$A5031)</f>
        <v/>
      </c>
      <c r="C5032" s="12" t="str">
        <f aca="false">IF($A5032="","",원본명단!$B5031)</f>
        <v/>
      </c>
      <c r="D5032" s="12" t="str">
        <f aca="false">IF($A5032="","",원본명단!$D5031)</f>
        <v/>
      </c>
      <c r="E5032" s="11" t="str">
        <f aca="false">IF($A5032="","",IF(원본명단!$H5031="",0,COUNTIF(원본명단!$H$3:$H$6002,원본명단!$H5031)))</f>
        <v/>
      </c>
      <c r="F5032" s="11" t="str">
        <f aca="false">IF($A5032="","",IF(원본명단!$I5031="",0,COUNTIF(원본명단!$I$3:$I$6002,원본명단!$I5031)))</f>
        <v/>
      </c>
      <c r="G5032" s="11" t="str">
        <f aca="false">IF($A5032="","",IF(원본명단!$K5031="",0,COUNTIF(원본명단!$K$3:$K$6002,원본명단!$K5031)))</f>
        <v/>
      </c>
      <c r="H5032" s="11" t="str">
        <f aca="false">IF($A5032="","",IF(MAX($E5032,$F5032,$G5032)&gt;1,"중복","-"))</f>
        <v/>
      </c>
      <c r="I5032" s="11" t="str">
        <f aca="false">IF($A5032="","",IF($H5032="-","-",IF(AND(IF(원본명단!$H5031="",TRUE(),COUNTIF(원본명단!$H$3:$H5031,원본명단!$H5031)=1),IF(원본명단!$I5031="",TRUE(),COUNTIF(원본명단!$I$3:$I5031,원본명단!$I5031)=1),IF(원본명단!$K5031="",TRUE(),COUNTIF(원본명단!$K$3:$K5031,원본명단!$K5031)=1)),"첫 건","중복 건")))</f>
        <v/>
      </c>
      <c r="J5032" s="11" t="str">
        <f aca="false">IF($A5032="","",IF($H5032="-","유지",IF($I5032="첫 건","유지","확인 필요")))</f>
        <v/>
      </c>
    </row>
    <row r="5033" customFormat="false" ht="15" hidden="false" customHeight="true" outlineLevel="0" collapsed="false">
      <c r="A5033" s="11" t="str">
        <f aca="false">IF(원본명단!$A5032="","",5030)</f>
        <v/>
      </c>
      <c r="B5033" s="12" t="str">
        <f aca="false">IF($A5033="","",원본명단!$A5032)</f>
        <v/>
      </c>
      <c r="C5033" s="12" t="str">
        <f aca="false">IF($A5033="","",원본명단!$B5032)</f>
        <v/>
      </c>
      <c r="D5033" s="12" t="str">
        <f aca="false">IF($A5033="","",원본명단!$D5032)</f>
        <v/>
      </c>
      <c r="E5033" s="11" t="str">
        <f aca="false">IF($A5033="","",IF(원본명단!$H5032="",0,COUNTIF(원본명단!$H$3:$H$6002,원본명단!$H5032)))</f>
        <v/>
      </c>
      <c r="F5033" s="11" t="str">
        <f aca="false">IF($A5033="","",IF(원본명단!$I5032="",0,COUNTIF(원본명단!$I$3:$I$6002,원본명단!$I5032)))</f>
        <v/>
      </c>
      <c r="G5033" s="11" t="str">
        <f aca="false">IF($A5033="","",IF(원본명단!$K5032="",0,COUNTIF(원본명단!$K$3:$K$6002,원본명단!$K5032)))</f>
        <v/>
      </c>
      <c r="H5033" s="11" t="str">
        <f aca="false">IF($A5033="","",IF(MAX($E5033,$F5033,$G5033)&gt;1,"중복","-"))</f>
        <v/>
      </c>
      <c r="I5033" s="11" t="str">
        <f aca="false">IF($A5033="","",IF($H5033="-","-",IF(AND(IF(원본명단!$H5032="",TRUE(),COUNTIF(원본명단!$H$3:$H5032,원본명단!$H5032)=1),IF(원본명단!$I5032="",TRUE(),COUNTIF(원본명단!$I$3:$I5032,원본명단!$I5032)=1),IF(원본명단!$K5032="",TRUE(),COUNTIF(원본명단!$K$3:$K5032,원본명단!$K5032)=1)),"첫 건","중복 건")))</f>
        <v/>
      </c>
      <c r="J5033" s="11" t="str">
        <f aca="false">IF($A5033="","",IF($H5033="-","유지",IF($I5033="첫 건","유지","확인 필요")))</f>
        <v/>
      </c>
    </row>
    <row r="5034" customFormat="false" ht="15" hidden="false" customHeight="true" outlineLevel="0" collapsed="false">
      <c r="A5034" s="11" t="str">
        <f aca="false">IF(원본명단!$A5033="","",5031)</f>
        <v/>
      </c>
      <c r="B5034" s="12" t="str">
        <f aca="false">IF($A5034="","",원본명단!$A5033)</f>
        <v/>
      </c>
      <c r="C5034" s="12" t="str">
        <f aca="false">IF($A5034="","",원본명단!$B5033)</f>
        <v/>
      </c>
      <c r="D5034" s="12" t="str">
        <f aca="false">IF($A5034="","",원본명단!$D5033)</f>
        <v/>
      </c>
      <c r="E5034" s="11" t="str">
        <f aca="false">IF($A5034="","",IF(원본명단!$H5033="",0,COUNTIF(원본명단!$H$3:$H$6002,원본명단!$H5033)))</f>
        <v/>
      </c>
      <c r="F5034" s="11" t="str">
        <f aca="false">IF($A5034="","",IF(원본명단!$I5033="",0,COUNTIF(원본명단!$I$3:$I$6002,원본명단!$I5033)))</f>
        <v/>
      </c>
      <c r="G5034" s="11" t="str">
        <f aca="false">IF($A5034="","",IF(원본명단!$K5033="",0,COUNTIF(원본명단!$K$3:$K$6002,원본명단!$K5033)))</f>
        <v/>
      </c>
      <c r="H5034" s="11" t="str">
        <f aca="false">IF($A5034="","",IF(MAX($E5034,$F5034,$G5034)&gt;1,"중복","-"))</f>
        <v/>
      </c>
      <c r="I5034" s="11" t="str">
        <f aca="false">IF($A5034="","",IF($H5034="-","-",IF(AND(IF(원본명단!$H5033="",TRUE(),COUNTIF(원본명단!$H$3:$H5033,원본명단!$H5033)=1),IF(원본명단!$I5033="",TRUE(),COUNTIF(원본명단!$I$3:$I5033,원본명단!$I5033)=1),IF(원본명단!$K5033="",TRUE(),COUNTIF(원본명단!$K$3:$K5033,원본명단!$K5033)=1)),"첫 건","중복 건")))</f>
        <v/>
      </c>
      <c r="J5034" s="11" t="str">
        <f aca="false">IF($A5034="","",IF($H5034="-","유지",IF($I5034="첫 건","유지","확인 필요")))</f>
        <v/>
      </c>
    </row>
    <row r="5035" customFormat="false" ht="15" hidden="false" customHeight="true" outlineLevel="0" collapsed="false">
      <c r="A5035" s="11" t="str">
        <f aca="false">IF(원본명단!$A5034="","",5032)</f>
        <v/>
      </c>
      <c r="B5035" s="12" t="str">
        <f aca="false">IF($A5035="","",원본명단!$A5034)</f>
        <v/>
      </c>
      <c r="C5035" s="12" t="str">
        <f aca="false">IF($A5035="","",원본명단!$B5034)</f>
        <v/>
      </c>
      <c r="D5035" s="12" t="str">
        <f aca="false">IF($A5035="","",원본명단!$D5034)</f>
        <v/>
      </c>
      <c r="E5035" s="11" t="str">
        <f aca="false">IF($A5035="","",IF(원본명단!$H5034="",0,COUNTIF(원본명단!$H$3:$H$6002,원본명단!$H5034)))</f>
        <v/>
      </c>
      <c r="F5035" s="11" t="str">
        <f aca="false">IF($A5035="","",IF(원본명단!$I5034="",0,COUNTIF(원본명단!$I$3:$I$6002,원본명단!$I5034)))</f>
        <v/>
      </c>
      <c r="G5035" s="11" t="str">
        <f aca="false">IF($A5035="","",IF(원본명단!$K5034="",0,COUNTIF(원본명단!$K$3:$K$6002,원본명단!$K5034)))</f>
        <v/>
      </c>
      <c r="H5035" s="11" t="str">
        <f aca="false">IF($A5035="","",IF(MAX($E5035,$F5035,$G5035)&gt;1,"중복","-"))</f>
        <v/>
      </c>
      <c r="I5035" s="11" t="str">
        <f aca="false">IF($A5035="","",IF($H5035="-","-",IF(AND(IF(원본명단!$H5034="",TRUE(),COUNTIF(원본명단!$H$3:$H5034,원본명단!$H5034)=1),IF(원본명단!$I5034="",TRUE(),COUNTIF(원본명단!$I$3:$I5034,원본명단!$I5034)=1),IF(원본명단!$K5034="",TRUE(),COUNTIF(원본명단!$K$3:$K5034,원본명단!$K5034)=1)),"첫 건","중복 건")))</f>
        <v/>
      </c>
      <c r="J5035" s="11" t="str">
        <f aca="false">IF($A5035="","",IF($H5035="-","유지",IF($I5035="첫 건","유지","확인 필요")))</f>
        <v/>
      </c>
    </row>
    <row r="5036" customFormat="false" ht="15" hidden="false" customHeight="true" outlineLevel="0" collapsed="false">
      <c r="A5036" s="11" t="str">
        <f aca="false">IF(원본명단!$A5035="","",5033)</f>
        <v/>
      </c>
      <c r="B5036" s="12" t="str">
        <f aca="false">IF($A5036="","",원본명단!$A5035)</f>
        <v/>
      </c>
      <c r="C5036" s="12" t="str">
        <f aca="false">IF($A5036="","",원본명단!$B5035)</f>
        <v/>
      </c>
      <c r="D5036" s="12" t="str">
        <f aca="false">IF($A5036="","",원본명단!$D5035)</f>
        <v/>
      </c>
      <c r="E5036" s="11" t="str">
        <f aca="false">IF($A5036="","",IF(원본명단!$H5035="",0,COUNTIF(원본명단!$H$3:$H$6002,원본명단!$H5035)))</f>
        <v/>
      </c>
      <c r="F5036" s="11" t="str">
        <f aca="false">IF($A5036="","",IF(원본명단!$I5035="",0,COUNTIF(원본명단!$I$3:$I$6002,원본명단!$I5035)))</f>
        <v/>
      </c>
      <c r="G5036" s="11" t="str">
        <f aca="false">IF($A5036="","",IF(원본명단!$K5035="",0,COUNTIF(원본명단!$K$3:$K$6002,원본명단!$K5035)))</f>
        <v/>
      </c>
      <c r="H5036" s="11" t="str">
        <f aca="false">IF($A5036="","",IF(MAX($E5036,$F5036,$G5036)&gt;1,"중복","-"))</f>
        <v/>
      </c>
      <c r="I5036" s="11" t="str">
        <f aca="false">IF($A5036="","",IF($H5036="-","-",IF(AND(IF(원본명단!$H5035="",TRUE(),COUNTIF(원본명단!$H$3:$H5035,원본명단!$H5035)=1),IF(원본명단!$I5035="",TRUE(),COUNTIF(원본명단!$I$3:$I5035,원본명단!$I5035)=1),IF(원본명단!$K5035="",TRUE(),COUNTIF(원본명단!$K$3:$K5035,원본명단!$K5035)=1)),"첫 건","중복 건")))</f>
        <v/>
      </c>
      <c r="J5036" s="11" t="str">
        <f aca="false">IF($A5036="","",IF($H5036="-","유지",IF($I5036="첫 건","유지","확인 필요")))</f>
        <v/>
      </c>
    </row>
    <row r="5037" customFormat="false" ht="15" hidden="false" customHeight="true" outlineLevel="0" collapsed="false">
      <c r="A5037" s="11" t="str">
        <f aca="false">IF(원본명단!$A5036="","",5034)</f>
        <v/>
      </c>
      <c r="B5037" s="12" t="str">
        <f aca="false">IF($A5037="","",원본명단!$A5036)</f>
        <v/>
      </c>
      <c r="C5037" s="12" t="str">
        <f aca="false">IF($A5037="","",원본명단!$B5036)</f>
        <v/>
      </c>
      <c r="D5037" s="12" t="str">
        <f aca="false">IF($A5037="","",원본명단!$D5036)</f>
        <v/>
      </c>
      <c r="E5037" s="11" t="str">
        <f aca="false">IF($A5037="","",IF(원본명단!$H5036="",0,COUNTIF(원본명단!$H$3:$H$6002,원본명단!$H5036)))</f>
        <v/>
      </c>
      <c r="F5037" s="11" t="str">
        <f aca="false">IF($A5037="","",IF(원본명단!$I5036="",0,COUNTIF(원본명단!$I$3:$I$6002,원본명단!$I5036)))</f>
        <v/>
      </c>
      <c r="G5037" s="11" t="str">
        <f aca="false">IF($A5037="","",IF(원본명단!$K5036="",0,COUNTIF(원본명단!$K$3:$K$6002,원본명단!$K5036)))</f>
        <v/>
      </c>
      <c r="H5037" s="11" t="str">
        <f aca="false">IF($A5037="","",IF(MAX($E5037,$F5037,$G5037)&gt;1,"중복","-"))</f>
        <v/>
      </c>
      <c r="I5037" s="11" t="str">
        <f aca="false">IF($A5037="","",IF($H5037="-","-",IF(AND(IF(원본명단!$H5036="",TRUE(),COUNTIF(원본명단!$H$3:$H5036,원본명단!$H5036)=1),IF(원본명단!$I5036="",TRUE(),COUNTIF(원본명단!$I$3:$I5036,원본명단!$I5036)=1),IF(원본명단!$K5036="",TRUE(),COUNTIF(원본명단!$K$3:$K5036,원본명단!$K5036)=1)),"첫 건","중복 건")))</f>
        <v/>
      </c>
      <c r="J5037" s="11" t="str">
        <f aca="false">IF($A5037="","",IF($H5037="-","유지",IF($I5037="첫 건","유지","확인 필요")))</f>
        <v/>
      </c>
    </row>
    <row r="5038" customFormat="false" ht="15" hidden="false" customHeight="true" outlineLevel="0" collapsed="false">
      <c r="A5038" s="11" t="str">
        <f aca="false">IF(원본명단!$A5037="","",5035)</f>
        <v/>
      </c>
      <c r="B5038" s="12" t="str">
        <f aca="false">IF($A5038="","",원본명단!$A5037)</f>
        <v/>
      </c>
      <c r="C5038" s="12" t="str">
        <f aca="false">IF($A5038="","",원본명단!$B5037)</f>
        <v/>
      </c>
      <c r="D5038" s="12" t="str">
        <f aca="false">IF($A5038="","",원본명단!$D5037)</f>
        <v/>
      </c>
      <c r="E5038" s="11" t="str">
        <f aca="false">IF($A5038="","",IF(원본명단!$H5037="",0,COUNTIF(원본명단!$H$3:$H$6002,원본명단!$H5037)))</f>
        <v/>
      </c>
      <c r="F5038" s="11" t="str">
        <f aca="false">IF($A5038="","",IF(원본명단!$I5037="",0,COUNTIF(원본명단!$I$3:$I$6002,원본명단!$I5037)))</f>
        <v/>
      </c>
      <c r="G5038" s="11" t="str">
        <f aca="false">IF($A5038="","",IF(원본명단!$K5037="",0,COUNTIF(원본명단!$K$3:$K$6002,원본명단!$K5037)))</f>
        <v/>
      </c>
      <c r="H5038" s="11" t="str">
        <f aca="false">IF($A5038="","",IF(MAX($E5038,$F5038,$G5038)&gt;1,"중복","-"))</f>
        <v/>
      </c>
      <c r="I5038" s="11" t="str">
        <f aca="false">IF($A5038="","",IF($H5038="-","-",IF(AND(IF(원본명단!$H5037="",TRUE(),COUNTIF(원본명단!$H$3:$H5037,원본명단!$H5037)=1),IF(원본명단!$I5037="",TRUE(),COUNTIF(원본명단!$I$3:$I5037,원본명단!$I5037)=1),IF(원본명단!$K5037="",TRUE(),COUNTIF(원본명단!$K$3:$K5037,원본명단!$K5037)=1)),"첫 건","중복 건")))</f>
        <v/>
      </c>
      <c r="J5038" s="11" t="str">
        <f aca="false">IF($A5038="","",IF($H5038="-","유지",IF($I5038="첫 건","유지","확인 필요")))</f>
        <v/>
      </c>
    </row>
    <row r="5039" customFormat="false" ht="15" hidden="false" customHeight="true" outlineLevel="0" collapsed="false">
      <c r="A5039" s="11" t="str">
        <f aca="false">IF(원본명단!$A5038="","",5036)</f>
        <v/>
      </c>
      <c r="B5039" s="12" t="str">
        <f aca="false">IF($A5039="","",원본명단!$A5038)</f>
        <v/>
      </c>
      <c r="C5039" s="12" t="str">
        <f aca="false">IF($A5039="","",원본명단!$B5038)</f>
        <v/>
      </c>
      <c r="D5039" s="12" t="str">
        <f aca="false">IF($A5039="","",원본명단!$D5038)</f>
        <v/>
      </c>
      <c r="E5039" s="11" t="str">
        <f aca="false">IF($A5039="","",IF(원본명단!$H5038="",0,COUNTIF(원본명단!$H$3:$H$6002,원본명단!$H5038)))</f>
        <v/>
      </c>
      <c r="F5039" s="11" t="str">
        <f aca="false">IF($A5039="","",IF(원본명단!$I5038="",0,COUNTIF(원본명단!$I$3:$I$6002,원본명단!$I5038)))</f>
        <v/>
      </c>
      <c r="G5039" s="11" t="str">
        <f aca="false">IF($A5039="","",IF(원본명단!$K5038="",0,COUNTIF(원본명단!$K$3:$K$6002,원본명단!$K5038)))</f>
        <v/>
      </c>
      <c r="H5039" s="11" t="str">
        <f aca="false">IF($A5039="","",IF(MAX($E5039,$F5039,$G5039)&gt;1,"중복","-"))</f>
        <v/>
      </c>
      <c r="I5039" s="11" t="str">
        <f aca="false">IF($A5039="","",IF($H5039="-","-",IF(AND(IF(원본명단!$H5038="",TRUE(),COUNTIF(원본명단!$H$3:$H5038,원본명단!$H5038)=1),IF(원본명단!$I5038="",TRUE(),COUNTIF(원본명단!$I$3:$I5038,원본명단!$I5038)=1),IF(원본명단!$K5038="",TRUE(),COUNTIF(원본명단!$K$3:$K5038,원본명단!$K5038)=1)),"첫 건","중복 건")))</f>
        <v/>
      </c>
      <c r="J5039" s="11" t="str">
        <f aca="false">IF($A5039="","",IF($H5039="-","유지",IF($I5039="첫 건","유지","확인 필요")))</f>
        <v/>
      </c>
    </row>
    <row r="5040" customFormat="false" ht="15" hidden="false" customHeight="true" outlineLevel="0" collapsed="false">
      <c r="A5040" s="11" t="str">
        <f aca="false">IF(원본명단!$A5039="","",5037)</f>
        <v/>
      </c>
      <c r="B5040" s="12" t="str">
        <f aca="false">IF($A5040="","",원본명단!$A5039)</f>
        <v/>
      </c>
      <c r="C5040" s="12" t="str">
        <f aca="false">IF($A5040="","",원본명단!$B5039)</f>
        <v/>
      </c>
      <c r="D5040" s="12" t="str">
        <f aca="false">IF($A5040="","",원본명단!$D5039)</f>
        <v/>
      </c>
      <c r="E5040" s="11" t="str">
        <f aca="false">IF($A5040="","",IF(원본명단!$H5039="",0,COUNTIF(원본명단!$H$3:$H$6002,원본명단!$H5039)))</f>
        <v/>
      </c>
      <c r="F5040" s="11" t="str">
        <f aca="false">IF($A5040="","",IF(원본명단!$I5039="",0,COUNTIF(원본명단!$I$3:$I$6002,원본명단!$I5039)))</f>
        <v/>
      </c>
      <c r="G5040" s="11" t="str">
        <f aca="false">IF($A5040="","",IF(원본명단!$K5039="",0,COUNTIF(원본명단!$K$3:$K$6002,원본명단!$K5039)))</f>
        <v/>
      </c>
      <c r="H5040" s="11" t="str">
        <f aca="false">IF($A5040="","",IF(MAX($E5040,$F5040,$G5040)&gt;1,"중복","-"))</f>
        <v/>
      </c>
      <c r="I5040" s="11" t="str">
        <f aca="false">IF($A5040="","",IF($H5040="-","-",IF(AND(IF(원본명단!$H5039="",TRUE(),COUNTIF(원본명단!$H$3:$H5039,원본명단!$H5039)=1),IF(원본명단!$I5039="",TRUE(),COUNTIF(원본명단!$I$3:$I5039,원본명단!$I5039)=1),IF(원본명단!$K5039="",TRUE(),COUNTIF(원본명단!$K$3:$K5039,원본명단!$K5039)=1)),"첫 건","중복 건")))</f>
        <v/>
      </c>
      <c r="J5040" s="11" t="str">
        <f aca="false">IF($A5040="","",IF($H5040="-","유지",IF($I5040="첫 건","유지","확인 필요")))</f>
        <v/>
      </c>
    </row>
    <row r="5041" customFormat="false" ht="15" hidden="false" customHeight="true" outlineLevel="0" collapsed="false">
      <c r="A5041" s="11" t="str">
        <f aca="false">IF(원본명단!$A5040="","",5038)</f>
        <v/>
      </c>
      <c r="B5041" s="12" t="str">
        <f aca="false">IF($A5041="","",원본명단!$A5040)</f>
        <v/>
      </c>
      <c r="C5041" s="12" t="str">
        <f aca="false">IF($A5041="","",원본명단!$B5040)</f>
        <v/>
      </c>
      <c r="D5041" s="12" t="str">
        <f aca="false">IF($A5041="","",원본명단!$D5040)</f>
        <v/>
      </c>
      <c r="E5041" s="11" t="str">
        <f aca="false">IF($A5041="","",IF(원본명단!$H5040="",0,COUNTIF(원본명단!$H$3:$H$6002,원본명단!$H5040)))</f>
        <v/>
      </c>
      <c r="F5041" s="11" t="str">
        <f aca="false">IF($A5041="","",IF(원본명단!$I5040="",0,COUNTIF(원본명단!$I$3:$I$6002,원본명단!$I5040)))</f>
        <v/>
      </c>
      <c r="G5041" s="11" t="str">
        <f aca="false">IF($A5041="","",IF(원본명단!$K5040="",0,COUNTIF(원본명단!$K$3:$K$6002,원본명단!$K5040)))</f>
        <v/>
      </c>
      <c r="H5041" s="11" t="str">
        <f aca="false">IF($A5041="","",IF(MAX($E5041,$F5041,$G5041)&gt;1,"중복","-"))</f>
        <v/>
      </c>
      <c r="I5041" s="11" t="str">
        <f aca="false">IF($A5041="","",IF($H5041="-","-",IF(AND(IF(원본명단!$H5040="",TRUE(),COUNTIF(원본명단!$H$3:$H5040,원본명단!$H5040)=1),IF(원본명단!$I5040="",TRUE(),COUNTIF(원본명단!$I$3:$I5040,원본명단!$I5040)=1),IF(원본명단!$K5040="",TRUE(),COUNTIF(원본명단!$K$3:$K5040,원본명단!$K5040)=1)),"첫 건","중복 건")))</f>
        <v/>
      </c>
      <c r="J5041" s="11" t="str">
        <f aca="false">IF($A5041="","",IF($H5041="-","유지",IF($I5041="첫 건","유지","확인 필요")))</f>
        <v/>
      </c>
    </row>
    <row r="5042" customFormat="false" ht="15" hidden="false" customHeight="true" outlineLevel="0" collapsed="false">
      <c r="A5042" s="11" t="str">
        <f aca="false">IF(원본명단!$A5041="","",5039)</f>
        <v/>
      </c>
      <c r="B5042" s="12" t="str">
        <f aca="false">IF($A5042="","",원본명단!$A5041)</f>
        <v/>
      </c>
      <c r="C5042" s="12" t="str">
        <f aca="false">IF($A5042="","",원본명단!$B5041)</f>
        <v/>
      </c>
      <c r="D5042" s="12" t="str">
        <f aca="false">IF($A5042="","",원본명단!$D5041)</f>
        <v/>
      </c>
      <c r="E5042" s="11" t="str">
        <f aca="false">IF($A5042="","",IF(원본명단!$H5041="",0,COUNTIF(원본명단!$H$3:$H$6002,원본명단!$H5041)))</f>
        <v/>
      </c>
      <c r="F5042" s="11" t="str">
        <f aca="false">IF($A5042="","",IF(원본명단!$I5041="",0,COUNTIF(원본명단!$I$3:$I$6002,원본명단!$I5041)))</f>
        <v/>
      </c>
      <c r="G5042" s="11" t="str">
        <f aca="false">IF($A5042="","",IF(원본명단!$K5041="",0,COUNTIF(원본명단!$K$3:$K$6002,원본명단!$K5041)))</f>
        <v/>
      </c>
      <c r="H5042" s="11" t="str">
        <f aca="false">IF($A5042="","",IF(MAX($E5042,$F5042,$G5042)&gt;1,"중복","-"))</f>
        <v/>
      </c>
      <c r="I5042" s="11" t="str">
        <f aca="false">IF($A5042="","",IF($H5042="-","-",IF(AND(IF(원본명단!$H5041="",TRUE(),COUNTIF(원본명단!$H$3:$H5041,원본명단!$H5041)=1),IF(원본명단!$I5041="",TRUE(),COUNTIF(원본명단!$I$3:$I5041,원본명단!$I5041)=1),IF(원본명단!$K5041="",TRUE(),COUNTIF(원본명단!$K$3:$K5041,원본명단!$K5041)=1)),"첫 건","중복 건")))</f>
        <v/>
      </c>
      <c r="J5042" s="11" t="str">
        <f aca="false">IF($A5042="","",IF($H5042="-","유지",IF($I5042="첫 건","유지","확인 필요")))</f>
        <v/>
      </c>
    </row>
    <row r="5043" customFormat="false" ht="15" hidden="false" customHeight="true" outlineLevel="0" collapsed="false">
      <c r="A5043" s="11" t="str">
        <f aca="false">IF(원본명단!$A5042="","",5040)</f>
        <v/>
      </c>
      <c r="B5043" s="12" t="str">
        <f aca="false">IF($A5043="","",원본명단!$A5042)</f>
        <v/>
      </c>
      <c r="C5043" s="12" t="str">
        <f aca="false">IF($A5043="","",원본명단!$B5042)</f>
        <v/>
      </c>
      <c r="D5043" s="12" t="str">
        <f aca="false">IF($A5043="","",원본명단!$D5042)</f>
        <v/>
      </c>
      <c r="E5043" s="11" t="str">
        <f aca="false">IF($A5043="","",IF(원본명단!$H5042="",0,COUNTIF(원본명단!$H$3:$H$6002,원본명단!$H5042)))</f>
        <v/>
      </c>
      <c r="F5043" s="11" t="str">
        <f aca="false">IF($A5043="","",IF(원본명단!$I5042="",0,COUNTIF(원본명단!$I$3:$I$6002,원본명단!$I5042)))</f>
        <v/>
      </c>
      <c r="G5043" s="11" t="str">
        <f aca="false">IF($A5043="","",IF(원본명단!$K5042="",0,COUNTIF(원본명단!$K$3:$K$6002,원본명단!$K5042)))</f>
        <v/>
      </c>
      <c r="H5043" s="11" t="str">
        <f aca="false">IF($A5043="","",IF(MAX($E5043,$F5043,$G5043)&gt;1,"중복","-"))</f>
        <v/>
      </c>
      <c r="I5043" s="11" t="str">
        <f aca="false">IF($A5043="","",IF($H5043="-","-",IF(AND(IF(원본명단!$H5042="",TRUE(),COUNTIF(원본명단!$H$3:$H5042,원본명단!$H5042)=1),IF(원본명단!$I5042="",TRUE(),COUNTIF(원본명단!$I$3:$I5042,원본명단!$I5042)=1),IF(원본명단!$K5042="",TRUE(),COUNTIF(원본명단!$K$3:$K5042,원본명단!$K5042)=1)),"첫 건","중복 건")))</f>
        <v/>
      </c>
      <c r="J5043" s="11" t="str">
        <f aca="false">IF($A5043="","",IF($H5043="-","유지",IF($I5043="첫 건","유지","확인 필요")))</f>
        <v/>
      </c>
    </row>
    <row r="5044" customFormat="false" ht="15" hidden="false" customHeight="true" outlineLevel="0" collapsed="false">
      <c r="A5044" s="11" t="str">
        <f aca="false">IF(원본명단!$A5043="","",5041)</f>
        <v/>
      </c>
      <c r="B5044" s="12" t="str">
        <f aca="false">IF($A5044="","",원본명단!$A5043)</f>
        <v/>
      </c>
      <c r="C5044" s="12" t="str">
        <f aca="false">IF($A5044="","",원본명단!$B5043)</f>
        <v/>
      </c>
      <c r="D5044" s="12" t="str">
        <f aca="false">IF($A5044="","",원본명단!$D5043)</f>
        <v/>
      </c>
      <c r="E5044" s="11" t="str">
        <f aca="false">IF($A5044="","",IF(원본명단!$H5043="",0,COUNTIF(원본명단!$H$3:$H$6002,원본명단!$H5043)))</f>
        <v/>
      </c>
      <c r="F5044" s="11" t="str">
        <f aca="false">IF($A5044="","",IF(원본명단!$I5043="",0,COUNTIF(원본명단!$I$3:$I$6002,원본명단!$I5043)))</f>
        <v/>
      </c>
      <c r="G5044" s="11" t="str">
        <f aca="false">IF($A5044="","",IF(원본명단!$K5043="",0,COUNTIF(원본명단!$K$3:$K$6002,원본명단!$K5043)))</f>
        <v/>
      </c>
      <c r="H5044" s="11" t="str">
        <f aca="false">IF($A5044="","",IF(MAX($E5044,$F5044,$G5044)&gt;1,"중복","-"))</f>
        <v/>
      </c>
      <c r="I5044" s="11" t="str">
        <f aca="false">IF($A5044="","",IF($H5044="-","-",IF(AND(IF(원본명단!$H5043="",TRUE(),COUNTIF(원본명단!$H$3:$H5043,원본명단!$H5043)=1),IF(원본명단!$I5043="",TRUE(),COUNTIF(원본명단!$I$3:$I5043,원본명단!$I5043)=1),IF(원본명단!$K5043="",TRUE(),COUNTIF(원본명단!$K$3:$K5043,원본명단!$K5043)=1)),"첫 건","중복 건")))</f>
        <v/>
      </c>
      <c r="J5044" s="11" t="str">
        <f aca="false">IF($A5044="","",IF($H5044="-","유지",IF($I5044="첫 건","유지","확인 필요")))</f>
        <v/>
      </c>
    </row>
    <row r="5045" customFormat="false" ht="15" hidden="false" customHeight="true" outlineLevel="0" collapsed="false">
      <c r="A5045" s="11" t="str">
        <f aca="false">IF(원본명단!$A5044="","",5042)</f>
        <v/>
      </c>
      <c r="B5045" s="12" t="str">
        <f aca="false">IF($A5045="","",원본명단!$A5044)</f>
        <v/>
      </c>
      <c r="C5045" s="12" t="str">
        <f aca="false">IF($A5045="","",원본명단!$B5044)</f>
        <v/>
      </c>
      <c r="D5045" s="12" t="str">
        <f aca="false">IF($A5045="","",원본명단!$D5044)</f>
        <v/>
      </c>
      <c r="E5045" s="11" t="str">
        <f aca="false">IF($A5045="","",IF(원본명단!$H5044="",0,COUNTIF(원본명단!$H$3:$H$6002,원본명단!$H5044)))</f>
        <v/>
      </c>
      <c r="F5045" s="11" t="str">
        <f aca="false">IF($A5045="","",IF(원본명단!$I5044="",0,COUNTIF(원본명단!$I$3:$I$6002,원본명단!$I5044)))</f>
        <v/>
      </c>
      <c r="G5045" s="11" t="str">
        <f aca="false">IF($A5045="","",IF(원본명단!$K5044="",0,COUNTIF(원본명단!$K$3:$K$6002,원본명단!$K5044)))</f>
        <v/>
      </c>
      <c r="H5045" s="11" t="str">
        <f aca="false">IF($A5045="","",IF(MAX($E5045,$F5045,$G5045)&gt;1,"중복","-"))</f>
        <v/>
      </c>
      <c r="I5045" s="11" t="str">
        <f aca="false">IF($A5045="","",IF($H5045="-","-",IF(AND(IF(원본명단!$H5044="",TRUE(),COUNTIF(원본명단!$H$3:$H5044,원본명단!$H5044)=1),IF(원본명단!$I5044="",TRUE(),COUNTIF(원본명단!$I$3:$I5044,원본명단!$I5044)=1),IF(원본명단!$K5044="",TRUE(),COUNTIF(원본명단!$K$3:$K5044,원본명단!$K5044)=1)),"첫 건","중복 건")))</f>
        <v/>
      </c>
      <c r="J5045" s="11" t="str">
        <f aca="false">IF($A5045="","",IF($H5045="-","유지",IF($I5045="첫 건","유지","확인 필요")))</f>
        <v/>
      </c>
    </row>
    <row r="5046" customFormat="false" ht="15" hidden="false" customHeight="true" outlineLevel="0" collapsed="false">
      <c r="A5046" s="11" t="str">
        <f aca="false">IF(원본명단!$A5045="","",5043)</f>
        <v/>
      </c>
      <c r="B5046" s="12" t="str">
        <f aca="false">IF($A5046="","",원본명단!$A5045)</f>
        <v/>
      </c>
      <c r="C5046" s="12" t="str">
        <f aca="false">IF($A5046="","",원본명단!$B5045)</f>
        <v/>
      </c>
      <c r="D5046" s="12" t="str">
        <f aca="false">IF($A5046="","",원본명단!$D5045)</f>
        <v/>
      </c>
      <c r="E5046" s="11" t="str">
        <f aca="false">IF($A5046="","",IF(원본명단!$H5045="",0,COUNTIF(원본명단!$H$3:$H$6002,원본명단!$H5045)))</f>
        <v/>
      </c>
      <c r="F5046" s="11" t="str">
        <f aca="false">IF($A5046="","",IF(원본명단!$I5045="",0,COUNTIF(원본명단!$I$3:$I$6002,원본명단!$I5045)))</f>
        <v/>
      </c>
      <c r="G5046" s="11" t="str">
        <f aca="false">IF($A5046="","",IF(원본명단!$K5045="",0,COUNTIF(원본명단!$K$3:$K$6002,원본명단!$K5045)))</f>
        <v/>
      </c>
      <c r="H5046" s="11" t="str">
        <f aca="false">IF($A5046="","",IF(MAX($E5046,$F5046,$G5046)&gt;1,"중복","-"))</f>
        <v/>
      </c>
      <c r="I5046" s="11" t="str">
        <f aca="false">IF($A5046="","",IF($H5046="-","-",IF(AND(IF(원본명단!$H5045="",TRUE(),COUNTIF(원본명단!$H$3:$H5045,원본명단!$H5045)=1),IF(원본명단!$I5045="",TRUE(),COUNTIF(원본명단!$I$3:$I5045,원본명단!$I5045)=1),IF(원본명단!$K5045="",TRUE(),COUNTIF(원본명단!$K$3:$K5045,원본명단!$K5045)=1)),"첫 건","중복 건")))</f>
        <v/>
      </c>
      <c r="J5046" s="11" t="str">
        <f aca="false">IF($A5046="","",IF($H5046="-","유지",IF($I5046="첫 건","유지","확인 필요")))</f>
        <v/>
      </c>
    </row>
    <row r="5047" customFormat="false" ht="15" hidden="false" customHeight="true" outlineLevel="0" collapsed="false">
      <c r="A5047" s="11" t="str">
        <f aca="false">IF(원본명단!$A5046="","",5044)</f>
        <v/>
      </c>
      <c r="B5047" s="12" t="str">
        <f aca="false">IF($A5047="","",원본명단!$A5046)</f>
        <v/>
      </c>
      <c r="C5047" s="12" t="str">
        <f aca="false">IF($A5047="","",원본명단!$B5046)</f>
        <v/>
      </c>
      <c r="D5047" s="12" t="str">
        <f aca="false">IF($A5047="","",원본명단!$D5046)</f>
        <v/>
      </c>
      <c r="E5047" s="11" t="str">
        <f aca="false">IF($A5047="","",IF(원본명단!$H5046="",0,COUNTIF(원본명단!$H$3:$H$6002,원본명단!$H5046)))</f>
        <v/>
      </c>
      <c r="F5047" s="11" t="str">
        <f aca="false">IF($A5047="","",IF(원본명단!$I5046="",0,COUNTIF(원본명단!$I$3:$I$6002,원본명단!$I5046)))</f>
        <v/>
      </c>
      <c r="G5047" s="11" t="str">
        <f aca="false">IF($A5047="","",IF(원본명단!$K5046="",0,COUNTIF(원본명단!$K$3:$K$6002,원본명단!$K5046)))</f>
        <v/>
      </c>
      <c r="H5047" s="11" t="str">
        <f aca="false">IF($A5047="","",IF(MAX($E5047,$F5047,$G5047)&gt;1,"중복","-"))</f>
        <v/>
      </c>
      <c r="I5047" s="11" t="str">
        <f aca="false">IF($A5047="","",IF($H5047="-","-",IF(AND(IF(원본명단!$H5046="",TRUE(),COUNTIF(원본명단!$H$3:$H5046,원본명단!$H5046)=1),IF(원본명단!$I5046="",TRUE(),COUNTIF(원본명단!$I$3:$I5046,원본명단!$I5046)=1),IF(원본명단!$K5046="",TRUE(),COUNTIF(원본명단!$K$3:$K5046,원본명단!$K5046)=1)),"첫 건","중복 건")))</f>
        <v/>
      </c>
      <c r="J5047" s="11" t="str">
        <f aca="false">IF($A5047="","",IF($H5047="-","유지",IF($I5047="첫 건","유지","확인 필요")))</f>
        <v/>
      </c>
    </row>
    <row r="5048" customFormat="false" ht="15" hidden="false" customHeight="true" outlineLevel="0" collapsed="false">
      <c r="A5048" s="11" t="str">
        <f aca="false">IF(원본명단!$A5047="","",5045)</f>
        <v/>
      </c>
      <c r="B5048" s="12" t="str">
        <f aca="false">IF($A5048="","",원본명단!$A5047)</f>
        <v/>
      </c>
      <c r="C5048" s="12" t="str">
        <f aca="false">IF($A5048="","",원본명단!$B5047)</f>
        <v/>
      </c>
      <c r="D5048" s="12" t="str">
        <f aca="false">IF($A5048="","",원본명단!$D5047)</f>
        <v/>
      </c>
      <c r="E5048" s="11" t="str">
        <f aca="false">IF($A5048="","",IF(원본명단!$H5047="",0,COUNTIF(원본명단!$H$3:$H$6002,원본명단!$H5047)))</f>
        <v/>
      </c>
      <c r="F5048" s="11" t="str">
        <f aca="false">IF($A5048="","",IF(원본명단!$I5047="",0,COUNTIF(원본명단!$I$3:$I$6002,원본명단!$I5047)))</f>
        <v/>
      </c>
      <c r="G5048" s="11" t="str">
        <f aca="false">IF($A5048="","",IF(원본명단!$K5047="",0,COUNTIF(원본명단!$K$3:$K$6002,원본명단!$K5047)))</f>
        <v/>
      </c>
      <c r="H5048" s="11" t="str">
        <f aca="false">IF($A5048="","",IF(MAX($E5048,$F5048,$G5048)&gt;1,"중복","-"))</f>
        <v/>
      </c>
      <c r="I5048" s="11" t="str">
        <f aca="false">IF($A5048="","",IF($H5048="-","-",IF(AND(IF(원본명단!$H5047="",TRUE(),COUNTIF(원본명단!$H$3:$H5047,원본명단!$H5047)=1),IF(원본명단!$I5047="",TRUE(),COUNTIF(원본명단!$I$3:$I5047,원본명단!$I5047)=1),IF(원본명단!$K5047="",TRUE(),COUNTIF(원본명단!$K$3:$K5047,원본명단!$K5047)=1)),"첫 건","중복 건")))</f>
        <v/>
      </c>
      <c r="J5048" s="11" t="str">
        <f aca="false">IF($A5048="","",IF($H5048="-","유지",IF($I5048="첫 건","유지","확인 필요")))</f>
        <v/>
      </c>
    </row>
    <row r="5049" customFormat="false" ht="15" hidden="false" customHeight="true" outlineLevel="0" collapsed="false">
      <c r="A5049" s="11" t="str">
        <f aca="false">IF(원본명단!$A5048="","",5046)</f>
        <v/>
      </c>
      <c r="B5049" s="12" t="str">
        <f aca="false">IF($A5049="","",원본명단!$A5048)</f>
        <v/>
      </c>
      <c r="C5049" s="12" t="str">
        <f aca="false">IF($A5049="","",원본명단!$B5048)</f>
        <v/>
      </c>
      <c r="D5049" s="12" t="str">
        <f aca="false">IF($A5049="","",원본명단!$D5048)</f>
        <v/>
      </c>
      <c r="E5049" s="11" t="str">
        <f aca="false">IF($A5049="","",IF(원본명단!$H5048="",0,COUNTIF(원본명단!$H$3:$H$6002,원본명단!$H5048)))</f>
        <v/>
      </c>
      <c r="F5049" s="11" t="str">
        <f aca="false">IF($A5049="","",IF(원본명단!$I5048="",0,COUNTIF(원본명단!$I$3:$I$6002,원본명단!$I5048)))</f>
        <v/>
      </c>
      <c r="G5049" s="11" t="str">
        <f aca="false">IF($A5049="","",IF(원본명단!$K5048="",0,COUNTIF(원본명단!$K$3:$K$6002,원본명단!$K5048)))</f>
        <v/>
      </c>
      <c r="H5049" s="11" t="str">
        <f aca="false">IF($A5049="","",IF(MAX($E5049,$F5049,$G5049)&gt;1,"중복","-"))</f>
        <v/>
      </c>
      <c r="I5049" s="11" t="str">
        <f aca="false">IF($A5049="","",IF($H5049="-","-",IF(AND(IF(원본명단!$H5048="",TRUE(),COUNTIF(원본명단!$H$3:$H5048,원본명단!$H5048)=1),IF(원본명단!$I5048="",TRUE(),COUNTIF(원본명단!$I$3:$I5048,원본명단!$I5048)=1),IF(원본명단!$K5048="",TRUE(),COUNTIF(원본명단!$K$3:$K5048,원본명단!$K5048)=1)),"첫 건","중복 건")))</f>
        <v/>
      </c>
      <c r="J5049" s="11" t="str">
        <f aca="false">IF($A5049="","",IF($H5049="-","유지",IF($I5049="첫 건","유지","확인 필요")))</f>
        <v/>
      </c>
    </row>
    <row r="5050" customFormat="false" ht="15" hidden="false" customHeight="true" outlineLevel="0" collapsed="false">
      <c r="A5050" s="11" t="str">
        <f aca="false">IF(원본명단!$A5049="","",5047)</f>
        <v/>
      </c>
      <c r="B5050" s="12" t="str">
        <f aca="false">IF($A5050="","",원본명단!$A5049)</f>
        <v/>
      </c>
      <c r="C5050" s="12" t="str">
        <f aca="false">IF($A5050="","",원본명단!$B5049)</f>
        <v/>
      </c>
      <c r="D5050" s="12" t="str">
        <f aca="false">IF($A5050="","",원본명단!$D5049)</f>
        <v/>
      </c>
      <c r="E5050" s="11" t="str">
        <f aca="false">IF($A5050="","",IF(원본명단!$H5049="",0,COUNTIF(원본명단!$H$3:$H$6002,원본명단!$H5049)))</f>
        <v/>
      </c>
      <c r="F5050" s="11" t="str">
        <f aca="false">IF($A5050="","",IF(원본명단!$I5049="",0,COUNTIF(원본명단!$I$3:$I$6002,원본명단!$I5049)))</f>
        <v/>
      </c>
      <c r="G5050" s="11" t="str">
        <f aca="false">IF($A5050="","",IF(원본명단!$K5049="",0,COUNTIF(원본명단!$K$3:$K$6002,원본명단!$K5049)))</f>
        <v/>
      </c>
      <c r="H5050" s="11" t="str">
        <f aca="false">IF($A5050="","",IF(MAX($E5050,$F5050,$G5050)&gt;1,"중복","-"))</f>
        <v/>
      </c>
      <c r="I5050" s="11" t="str">
        <f aca="false">IF($A5050="","",IF($H5050="-","-",IF(AND(IF(원본명단!$H5049="",TRUE(),COUNTIF(원본명단!$H$3:$H5049,원본명단!$H5049)=1),IF(원본명단!$I5049="",TRUE(),COUNTIF(원본명단!$I$3:$I5049,원본명단!$I5049)=1),IF(원본명단!$K5049="",TRUE(),COUNTIF(원본명단!$K$3:$K5049,원본명단!$K5049)=1)),"첫 건","중복 건")))</f>
        <v/>
      </c>
      <c r="J5050" s="11" t="str">
        <f aca="false">IF($A5050="","",IF($H5050="-","유지",IF($I5050="첫 건","유지","확인 필요")))</f>
        <v/>
      </c>
    </row>
    <row r="5051" customFormat="false" ht="15" hidden="false" customHeight="true" outlineLevel="0" collapsed="false">
      <c r="A5051" s="11" t="str">
        <f aca="false">IF(원본명단!$A5050="","",5048)</f>
        <v/>
      </c>
      <c r="B5051" s="12" t="str">
        <f aca="false">IF($A5051="","",원본명단!$A5050)</f>
        <v/>
      </c>
      <c r="C5051" s="12" t="str">
        <f aca="false">IF($A5051="","",원본명단!$B5050)</f>
        <v/>
      </c>
      <c r="D5051" s="12" t="str">
        <f aca="false">IF($A5051="","",원본명단!$D5050)</f>
        <v/>
      </c>
      <c r="E5051" s="11" t="str">
        <f aca="false">IF($A5051="","",IF(원본명단!$H5050="",0,COUNTIF(원본명단!$H$3:$H$6002,원본명단!$H5050)))</f>
        <v/>
      </c>
      <c r="F5051" s="11" t="str">
        <f aca="false">IF($A5051="","",IF(원본명단!$I5050="",0,COUNTIF(원본명단!$I$3:$I$6002,원본명단!$I5050)))</f>
        <v/>
      </c>
      <c r="G5051" s="11" t="str">
        <f aca="false">IF($A5051="","",IF(원본명단!$K5050="",0,COUNTIF(원본명단!$K$3:$K$6002,원본명단!$K5050)))</f>
        <v/>
      </c>
      <c r="H5051" s="11" t="str">
        <f aca="false">IF($A5051="","",IF(MAX($E5051,$F5051,$G5051)&gt;1,"중복","-"))</f>
        <v/>
      </c>
      <c r="I5051" s="11" t="str">
        <f aca="false">IF($A5051="","",IF($H5051="-","-",IF(AND(IF(원본명단!$H5050="",TRUE(),COUNTIF(원본명단!$H$3:$H5050,원본명단!$H5050)=1),IF(원본명단!$I5050="",TRUE(),COUNTIF(원본명단!$I$3:$I5050,원본명단!$I5050)=1),IF(원본명단!$K5050="",TRUE(),COUNTIF(원본명단!$K$3:$K5050,원본명단!$K5050)=1)),"첫 건","중복 건")))</f>
        <v/>
      </c>
      <c r="J5051" s="11" t="str">
        <f aca="false">IF($A5051="","",IF($H5051="-","유지",IF($I5051="첫 건","유지","확인 필요")))</f>
        <v/>
      </c>
    </row>
    <row r="5052" customFormat="false" ht="15" hidden="false" customHeight="true" outlineLevel="0" collapsed="false">
      <c r="A5052" s="11" t="str">
        <f aca="false">IF(원본명단!$A5051="","",5049)</f>
        <v/>
      </c>
      <c r="B5052" s="12" t="str">
        <f aca="false">IF($A5052="","",원본명단!$A5051)</f>
        <v/>
      </c>
      <c r="C5052" s="12" t="str">
        <f aca="false">IF($A5052="","",원본명단!$B5051)</f>
        <v/>
      </c>
      <c r="D5052" s="12" t="str">
        <f aca="false">IF($A5052="","",원본명단!$D5051)</f>
        <v/>
      </c>
      <c r="E5052" s="11" t="str">
        <f aca="false">IF($A5052="","",IF(원본명단!$H5051="",0,COUNTIF(원본명단!$H$3:$H$6002,원본명단!$H5051)))</f>
        <v/>
      </c>
      <c r="F5052" s="11" t="str">
        <f aca="false">IF($A5052="","",IF(원본명단!$I5051="",0,COUNTIF(원본명단!$I$3:$I$6002,원본명단!$I5051)))</f>
        <v/>
      </c>
      <c r="G5052" s="11" t="str">
        <f aca="false">IF($A5052="","",IF(원본명단!$K5051="",0,COUNTIF(원본명단!$K$3:$K$6002,원본명단!$K5051)))</f>
        <v/>
      </c>
      <c r="H5052" s="11" t="str">
        <f aca="false">IF($A5052="","",IF(MAX($E5052,$F5052,$G5052)&gt;1,"중복","-"))</f>
        <v/>
      </c>
      <c r="I5052" s="11" t="str">
        <f aca="false">IF($A5052="","",IF($H5052="-","-",IF(AND(IF(원본명단!$H5051="",TRUE(),COUNTIF(원본명단!$H$3:$H5051,원본명단!$H5051)=1),IF(원본명단!$I5051="",TRUE(),COUNTIF(원본명단!$I$3:$I5051,원본명단!$I5051)=1),IF(원본명단!$K5051="",TRUE(),COUNTIF(원본명단!$K$3:$K5051,원본명단!$K5051)=1)),"첫 건","중복 건")))</f>
        <v/>
      </c>
      <c r="J5052" s="11" t="str">
        <f aca="false">IF($A5052="","",IF($H5052="-","유지",IF($I5052="첫 건","유지","확인 필요")))</f>
        <v/>
      </c>
    </row>
    <row r="5053" customFormat="false" ht="15" hidden="false" customHeight="true" outlineLevel="0" collapsed="false">
      <c r="A5053" s="11" t="str">
        <f aca="false">IF(원본명단!$A5052="","",5050)</f>
        <v/>
      </c>
      <c r="B5053" s="12" t="str">
        <f aca="false">IF($A5053="","",원본명단!$A5052)</f>
        <v/>
      </c>
      <c r="C5053" s="12" t="str">
        <f aca="false">IF($A5053="","",원본명단!$B5052)</f>
        <v/>
      </c>
      <c r="D5053" s="12" t="str">
        <f aca="false">IF($A5053="","",원본명단!$D5052)</f>
        <v/>
      </c>
      <c r="E5053" s="11" t="str">
        <f aca="false">IF($A5053="","",IF(원본명단!$H5052="",0,COUNTIF(원본명단!$H$3:$H$6002,원본명단!$H5052)))</f>
        <v/>
      </c>
      <c r="F5053" s="11" t="str">
        <f aca="false">IF($A5053="","",IF(원본명단!$I5052="",0,COUNTIF(원본명단!$I$3:$I$6002,원본명단!$I5052)))</f>
        <v/>
      </c>
      <c r="G5053" s="11" t="str">
        <f aca="false">IF($A5053="","",IF(원본명단!$K5052="",0,COUNTIF(원본명단!$K$3:$K$6002,원본명단!$K5052)))</f>
        <v/>
      </c>
      <c r="H5053" s="11" t="str">
        <f aca="false">IF($A5053="","",IF(MAX($E5053,$F5053,$G5053)&gt;1,"중복","-"))</f>
        <v/>
      </c>
      <c r="I5053" s="11" t="str">
        <f aca="false">IF($A5053="","",IF($H5053="-","-",IF(AND(IF(원본명단!$H5052="",TRUE(),COUNTIF(원본명단!$H$3:$H5052,원본명단!$H5052)=1),IF(원본명단!$I5052="",TRUE(),COUNTIF(원본명단!$I$3:$I5052,원본명단!$I5052)=1),IF(원본명단!$K5052="",TRUE(),COUNTIF(원본명단!$K$3:$K5052,원본명단!$K5052)=1)),"첫 건","중복 건")))</f>
        <v/>
      </c>
      <c r="J5053" s="11" t="str">
        <f aca="false">IF($A5053="","",IF($H5053="-","유지",IF($I5053="첫 건","유지","확인 필요")))</f>
        <v/>
      </c>
    </row>
    <row r="5054" customFormat="false" ht="15" hidden="false" customHeight="true" outlineLevel="0" collapsed="false">
      <c r="A5054" s="11" t="str">
        <f aca="false">IF(원본명단!$A5053="","",5051)</f>
        <v/>
      </c>
      <c r="B5054" s="12" t="str">
        <f aca="false">IF($A5054="","",원본명단!$A5053)</f>
        <v/>
      </c>
      <c r="C5054" s="12" t="str">
        <f aca="false">IF($A5054="","",원본명단!$B5053)</f>
        <v/>
      </c>
      <c r="D5054" s="12" t="str">
        <f aca="false">IF($A5054="","",원본명단!$D5053)</f>
        <v/>
      </c>
      <c r="E5054" s="11" t="str">
        <f aca="false">IF($A5054="","",IF(원본명단!$H5053="",0,COUNTIF(원본명단!$H$3:$H$6002,원본명단!$H5053)))</f>
        <v/>
      </c>
      <c r="F5054" s="11" t="str">
        <f aca="false">IF($A5054="","",IF(원본명단!$I5053="",0,COUNTIF(원본명단!$I$3:$I$6002,원본명단!$I5053)))</f>
        <v/>
      </c>
      <c r="G5054" s="11" t="str">
        <f aca="false">IF($A5054="","",IF(원본명단!$K5053="",0,COUNTIF(원본명단!$K$3:$K$6002,원본명단!$K5053)))</f>
        <v/>
      </c>
      <c r="H5054" s="11" t="str">
        <f aca="false">IF($A5054="","",IF(MAX($E5054,$F5054,$G5054)&gt;1,"중복","-"))</f>
        <v/>
      </c>
      <c r="I5054" s="11" t="str">
        <f aca="false">IF($A5054="","",IF($H5054="-","-",IF(AND(IF(원본명단!$H5053="",TRUE(),COUNTIF(원본명단!$H$3:$H5053,원본명단!$H5053)=1),IF(원본명단!$I5053="",TRUE(),COUNTIF(원본명단!$I$3:$I5053,원본명단!$I5053)=1),IF(원본명단!$K5053="",TRUE(),COUNTIF(원본명단!$K$3:$K5053,원본명단!$K5053)=1)),"첫 건","중복 건")))</f>
        <v/>
      </c>
      <c r="J5054" s="11" t="str">
        <f aca="false">IF($A5054="","",IF($H5054="-","유지",IF($I5054="첫 건","유지","확인 필요")))</f>
        <v/>
      </c>
    </row>
    <row r="5055" customFormat="false" ht="15" hidden="false" customHeight="true" outlineLevel="0" collapsed="false">
      <c r="A5055" s="11" t="str">
        <f aca="false">IF(원본명단!$A5054="","",5052)</f>
        <v/>
      </c>
      <c r="B5055" s="12" t="str">
        <f aca="false">IF($A5055="","",원본명단!$A5054)</f>
        <v/>
      </c>
      <c r="C5055" s="12" t="str">
        <f aca="false">IF($A5055="","",원본명단!$B5054)</f>
        <v/>
      </c>
      <c r="D5055" s="12" t="str">
        <f aca="false">IF($A5055="","",원본명단!$D5054)</f>
        <v/>
      </c>
      <c r="E5055" s="11" t="str">
        <f aca="false">IF($A5055="","",IF(원본명단!$H5054="",0,COUNTIF(원본명단!$H$3:$H$6002,원본명단!$H5054)))</f>
        <v/>
      </c>
      <c r="F5055" s="11" t="str">
        <f aca="false">IF($A5055="","",IF(원본명단!$I5054="",0,COUNTIF(원본명단!$I$3:$I$6002,원본명단!$I5054)))</f>
        <v/>
      </c>
      <c r="G5055" s="11" t="str">
        <f aca="false">IF($A5055="","",IF(원본명단!$K5054="",0,COUNTIF(원본명단!$K$3:$K$6002,원본명단!$K5054)))</f>
        <v/>
      </c>
      <c r="H5055" s="11" t="str">
        <f aca="false">IF($A5055="","",IF(MAX($E5055,$F5055,$G5055)&gt;1,"중복","-"))</f>
        <v/>
      </c>
      <c r="I5055" s="11" t="str">
        <f aca="false">IF($A5055="","",IF($H5055="-","-",IF(AND(IF(원본명단!$H5054="",TRUE(),COUNTIF(원본명단!$H$3:$H5054,원본명단!$H5054)=1),IF(원본명단!$I5054="",TRUE(),COUNTIF(원본명단!$I$3:$I5054,원본명단!$I5054)=1),IF(원본명단!$K5054="",TRUE(),COUNTIF(원본명단!$K$3:$K5054,원본명단!$K5054)=1)),"첫 건","중복 건")))</f>
        <v/>
      </c>
      <c r="J5055" s="11" t="str">
        <f aca="false">IF($A5055="","",IF($H5055="-","유지",IF($I5055="첫 건","유지","확인 필요")))</f>
        <v/>
      </c>
    </row>
    <row r="5056" customFormat="false" ht="15" hidden="false" customHeight="true" outlineLevel="0" collapsed="false">
      <c r="A5056" s="11" t="str">
        <f aca="false">IF(원본명단!$A5055="","",5053)</f>
        <v/>
      </c>
      <c r="B5056" s="12" t="str">
        <f aca="false">IF($A5056="","",원본명단!$A5055)</f>
        <v/>
      </c>
      <c r="C5056" s="12" t="str">
        <f aca="false">IF($A5056="","",원본명단!$B5055)</f>
        <v/>
      </c>
      <c r="D5056" s="12" t="str">
        <f aca="false">IF($A5056="","",원본명단!$D5055)</f>
        <v/>
      </c>
      <c r="E5056" s="11" t="str">
        <f aca="false">IF($A5056="","",IF(원본명단!$H5055="",0,COUNTIF(원본명단!$H$3:$H$6002,원본명단!$H5055)))</f>
        <v/>
      </c>
      <c r="F5056" s="11" t="str">
        <f aca="false">IF($A5056="","",IF(원본명단!$I5055="",0,COUNTIF(원본명단!$I$3:$I$6002,원본명단!$I5055)))</f>
        <v/>
      </c>
      <c r="G5056" s="11" t="str">
        <f aca="false">IF($A5056="","",IF(원본명단!$K5055="",0,COUNTIF(원본명단!$K$3:$K$6002,원본명단!$K5055)))</f>
        <v/>
      </c>
      <c r="H5056" s="11" t="str">
        <f aca="false">IF($A5056="","",IF(MAX($E5056,$F5056,$G5056)&gt;1,"중복","-"))</f>
        <v/>
      </c>
      <c r="I5056" s="11" t="str">
        <f aca="false">IF($A5056="","",IF($H5056="-","-",IF(AND(IF(원본명단!$H5055="",TRUE(),COUNTIF(원본명단!$H$3:$H5055,원본명단!$H5055)=1),IF(원본명단!$I5055="",TRUE(),COUNTIF(원본명단!$I$3:$I5055,원본명단!$I5055)=1),IF(원본명단!$K5055="",TRUE(),COUNTIF(원본명단!$K$3:$K5055,원본명단!$K5055)=1)),"첫 건","중복 건")))</f>
        <v/>
      </c>
      <c r="J5056" s="11" t="str">
        <f aca="false">IF($A5056="","",IF($H5056="-","유지",IF($I5056="첫 건","유지","확인 필요")))</f>
        <v/>
      </c>
    </row>
    <row r="5057" customFormat="false" ht="15" hidden="false" customHeight="true" outlineLevel="0" collapsed="false">
      <c r="A5057" s="11" t="str">
        <f aca="false">IF(원본명단!$A5056="","",5054)</f>
        <v/>
      </c>
      <c r="B5057" s="12" t="str">
        <f aca="false">IF($A5057="","",원본명단!$A5056)</f>
        <v/>
      </c>
      <c r="C5057" s="12" t="str">
        <f aca="false">IF($A5057="","",원본명단!$B5056)</f>
        <v/>
      </c>
      <c r="D5057" s="12" t="str">
        <f aca="false">IF($A5057="","",원본명단!$D5056)</f>
        <v/>
      </c>
      <c r="E5057" s="11" t="str">
        <f aca="false">IF($A5057="","",IF(원본명단!$H5056="",0,COUNTIF(원본명단!$H$3:$H$6002,원본명단!$H5056)))</f>
        <v/>
      </c>
      <c r="F5057" s="11" t="str">
        <f aca="false">IF($A5057="","",IF(원본명단!$I5056="",0,COUNTIF(원본명단!$I$3:$I$6002,원본명단!$I5056)))</f>
        <v/>
      </c>
      <c r="G5057" s="11" t="str">
        <f aca="false">IF($A5057="","",IF(원본명단!$K5056="",0,COUNTIF(원본명단!$K$3:$K$6002,원본명단!$K5056)))</f>
        <v/>
      </c>
      <c r="H5057" s="11" t="str">
        <f aca="false">IF($A5057="","",IF(MAX($E5057,$F5057,$G5057)&gt;1,"중복","-"))</f>
        <v/>
      </c>
      <c r="I5057" s="11" t="str">
        <f aca="false">IF($A5057="","",IF($H5057="-","-",IF(AND(IF(원본명단!$H5056="",TRUE(),COUNTIF(원본명단!$H$3:$H5056,원본명단!$H5056)=1),IF(원본명단!$I5056="",TRUE(),COUNTIF(원본명단!$I$3:$I5056,원본명단!$I5056)=1),IF(원본명단!$K5056="",TRUE(),COUNTIF(원본명단!$K$3:$K5056,원본명단!$K5056)=1)),"첫 건","중복 건")))</f>
        <v/>
      </c>
      <c r="J5057" s="11" t="str">
        <f aca="false">IF($A5057="","",IF($H5057="-","유지",IF($I5057="첫 건","유지","확인 필요")))</f>
        <v/>
      </c>
    </row>
    <row r="5058" customFormat="false" ht="15" hidden="false" customHeight="true" outlineLevel="0" collapsed="false">
      <c r="A5058" s="11" t="str">
        <f aca="false">IF(원본명단!$A5057="","",5055)</f>
        <v/>
      </c>
      <c r="B5058" s="12" t="str">
        <f aca="false">IF($A5058="","",원본명단!$A5057)</f>
        <v/>
      </c>
      <c r="C5058" s="12" t="str">
        <f aca="false">IF($A5058="","",원본명단!$B5057)</f>
        <v/>
      </c>
      <c r="D5058" s="12" t="str">
        <f aca="false">IF($A5058="","",원본명단!$D5057)</f>
        <v/>
      </c>
      <c r="E5058" s="11" t="str">
        <f aca="false">IF($A5058="","",IF(원본명단!$H5057="",0,COUNTIF(원본명단!$H$3:$H$6002,원본명단!$H5057)))</f>
        <v/>
      </c>
      <c r="F5058" s="11" t="str">
        <f aca="false">IF($A5058="","",IF(원본명단!$I5057="",0,COUNTIF(원본명단!$I$3:$I$6002,원본명단!$I5057)))</f>
        <v/>
      </c>
      <c r="G5058" s="11" t="str">
        <f aca="false">IF($A5058="","",IF(원본명단!$K5057="",0,COUNTIF(원본명단!$K$3:$K$6002,원본명단!$K5057)))</f>
        <v/>
      </c>
      <c r="H5058" s="11" t="str">
        <f aca="false">IF($A5058="","",IF(MAX($E5058,$F5058,$G5058)&gt;1,"중복","-"))</f>
        <v/>
      </c>
      <c r="I5058" s="11" t="str">
        <f aca="false">IF($A5058="","",IF($H5058="-","-",IF(AND(IF(원본명단!$H5057="",TRUE(),COUNTIF(원본명단!$H$3:$H5057,원본명단!$H5057)=1),IF(원본명단!$I5057="",TRUE(),COUNTIF(원본명단!$I$3:$I5057,원본명단!$I5057)=1),IF(원본명단!$K5057="",TRUE(),COUNTIF(원본명단!$K$3:$K5057,원본명단!$K5057)=1)),"첫 건","중복 건")))</f>
        <v/>
      </c>
      <c r="J5058" s="11" t="str">
        <f aca="false">IF($A5058="","",IF($H5058="-","유지",IF($I5058="첫 건","유지","확인 필요")))</f>
        <v/>
      </c>
    </row>
    <row r="5059" customFormat="false" ht="15" hidden="false" customHeight="true" outlineLevel="0" collapsed="false">
      <c r="A5059" s="11" t="str">
        <f aca="false">IF(원본명단!$A5058="","",5056)</f>
        <v/>
      </c>
      <c r="B5059" s="12" t="str">
        <f aca="false">IF($A5059="","",원본명단!$A5058)</f>
        <v/>
      </c>
      <c r="C5059" s="12" t="str">
        <f aca="false">IF($A5059="","",원본명단!$B5058)</f>
        <v/>
      </c>
      <c r="D5059" s="12" t="str">
        <f aca="false">IF($A5059="","",원본명단!$D5058)</f>
        <v/>
      </c>
      <c r="E5059" s="11" t="str">
        <f aca="false">IF($A5059="","",IF(원본명단!$H5058="",0,COUNTIF(원본명단!$H$3:$H$6002,원본명단!$H5058)))</f>
        <v/>
      </c>
      <c r="F5059" s="11" t="str">
        <f aca="false">IF($A5059="","",IF(원본명단!$I5058="",0,COUNTIF(원본명단!$I$3:$I$6002,원본명단!$I5058)))</f>
        <v/>
      </c>
      <c r="G5059" s="11" t="str">
        <f aca="false">IF($A5059="","",IF(원본명단!$K5058="",0,COUNTIF(원본명단!$K$3:$K$6002,원본명단!$K5058)))</f>
        <v/>
      </c>
      <c r="H5059" s="11" t="str">
        <f aca="false">IF($A5059="","",IF(MAX($E5059,$F5059,$G5059)&gt;1,"중복","-"))</f>
        <v/>
      </c>
      <c r="I5059" s="11" t="str">
        <f aca="false">IF($A5059="","",IF($H5059="-","-",IF(AND(IF(원본명단!$H5058="",TRUE(),COUNTIF(원본명단!$H$3:$H5058,원본명단!$H5058)=1),IF(원본명단!$I5058="",TRUE(),COUNTIF(원본명단!$I$3:$I5058,원본명단!$I5058)=1),IF(원본명단!$K5058="",TRUE(),COUNTIF(원본명단!$K$3:$K5058,원본명단!$K5058)=1)),"첫 건","중복 건")))</f>
        <v/>
      </c>
      <c r="J5059" s="11" t="str">
        <f aca="false">IF($A5059="","",IF($H5059="-","유지",IF($I5059="첫 건","유지","확인 필요")))</f>
        <v/>
      </c>
    </row>
    <row r="5060" customFormat="false" ht="15" hidden="false" customHeight="true" outlineLevel="0" collapsed="false">
      <c r="A5060" s="11" t="str">
        <f aca="false">IF(원본명단!$A5059="","",5057)</f>
        <v/>
      </c>
      <c r="B5060" s="12" t="str">
        <f aca="false">IF($A5060="","",원본명단!$A5059)</f>
        <v/>
      </c>
      <c r="C5060" s="12" t="str">
        <f aca="false">IF($A5060="","",원본명단!$B5059)</f>
        <v/>
      </c>
      <c r="D5060" s="12" t="str">
        <f aca="false">IF($A5060="","",원본명단!$D5059)</f>
        <v/>
      </c>
      <c r="E5060" s="11" t="str">
        <f aca="false">IF($A5060="","",IF(원본명단!$H5059="",0,COUNTIF(원본명단!$H$3:$H$6002,원본명단!$H5059)))</f>
        <v/>
      </c>
      <c r="F5060" s="11" t="str">
        <f aca="false">IF($A5060="","",IF(원본명단!$I5059="",0,COUNTIF(원본명단!$I$3:$I$6002,원본명단!$I5059)))</f>
        <v/>
      </c>
      <c r="G5060" s="11" t="str">
        <f aca="false">IF($A5060="","",IF(원본명단!$K5059="",0,COUNTIF(원본명단!$K$3:$K$6002,원본명단!$K5059)))</f>
        <v/>
      </c>
      <c r="H5060" s="11" t="str">
        <f aca="false">IF($A5060="","",IF(MAX($E5060,$F5060,$G5060)&gt;1,"중복","-"))</f>
        <v/>
      </c>
      <c r="I5060" s="11" t="str">
        <f aca="false">IF($A5060="","",IF($H5060="-","-",IF(AND(IF(원본명단!$H5059="",TRUE(),COUNTIF(원본명단!$H$3:$H5059,원본명단!$H5059)=1),IF(원본명단!$I5059="",TRUE(),COUNTIF(원본명단!$I$3:$I5059,원본명단!$I5059)=1),IF(원본명단!$K5059="",TRUE(),COUNTIF(원본명단!$K$3:$K5059,원본명단!$K5059)=1)),"첫 건","중복 건")))</f>
        <v/>
      </c>
      <c r="J5060" s="11" t="str">
        <f aca="false">IF($A5060="","",IF($H5060="-","유지",IF($I5060="첫 건","유지","확인 필요")))</f>
        <v/>
      </c>
    </row>
    <row r="5061" customFormat="false" ht="15" hidden="false" customHeight="true" outlineLevel="0" collapsed="false">
      <c r="A5061" s="11" t="str">
        <f aca="false">IF(원본명단!$A5060="","",5058)</f>
        <v/>
      </c>
      <c r="B5061" s="12" t="str">
        <f aca="false">IF($A5061="","",원본명단!$A5060)</f>
        <v/>
      </c>
      <c r="C5061" s="12" t="str">
        <f aca="false">IF($A5061="","",원본명단!$B5060)</f>
        <v/>
      </c>
      <c r="D5061" s="12" t="str">
        <f aca="false">IF($A5061="","",원본명단!$D5060)</f>
        <v/>
      </c>
      <c r="E5061" s="11" t="str">
        <f aca="false">IF($A5061="","",IF(원본명단!$H5060="",0,COUNTIF(원본명단!$H$3:$H$6002,원본명단!$H5060)))</f>
        <v/>
      </c>
      <c r="F5061" s="11" t="str">
        <f aca="false">IF($A5061="","",IF(원본명단!$I5060="",0,COUNTIF(원본명단!$I$3:$I$6002,원본명단!$I5060)))</f>
        <v/>
      </c>
      <c r="G5061" s="11" t="str">
        <f aca="false">IF($A5061="","",IF(원본명단!$K5060="",0,COUNTIF(원본명단!$K$3:$K$6002,원본명단!$K5060)))</f>
        <v/>
      </c>
      <c r="H5061" s="11" t="str">
        <f aca="false">IF($A5061="","",IF(MAX($E5061,$F5061,$G5061)&gt;1,"중복","-"))</f>
        <v/>
      </c>
      <c r="I5061" s="11" t="str">
        <f aca="false">IF($A5061="","",IF($H5061="-","-",IF(AND(IF(원본명단!$H5060="",TRUE(),COUNTIF(원본명단!$H$3:$H5060,원본명단!$H5060)=1),IF(원본명단!$I5060="",TRUE(),COUNTIF(원본명단!$I$3:$I5060,원본명단!$I5060)=1),IF(원본명단!$K5060="",TRUE(),COUNTIF(원본명단!$K$3:$K5060,원본명단!$K5060)=1)),"첫 건","중복 건")))</f>
        <v/>
      </c>
      <c r="J5061" s="11" t="str">
        <f aca="false">IF($A5061="","",IF($H5061="-","유지",IF($I5061="첫 건","유지","확인 필요")))</f>
        <v/>
      </c>
    </row>
    <row r="5062" customFormat="false" ht="15" hidden="false" customHeight="true" outlineLevel="0" collapsed="false">
      <c r="A5062" s="11" t="str">
        <f aca="false">IF(원본명단!$A5061="","",5059)</f>
        <v/>
      </c>
      <c r="B5062" s="12" t="str">
        <f aca="false">IF($A5062="","",원본명단!$A5061)</f>
        <v/>
      </c>
      <c r="C5062" s="12" t="str">
        <f aca="false">IF($A5062="","",원본명단!$B5061)</f>
        <v/>
      </c>
      <c r="D5062" s="12" t="str">
        <f aca="false">IF($A5062="","",원본명단!$D5061)</f>
        <v/>
      </c>
      <c r="E5062" s="11" t="str">
        <f aca="false">IF($A5062="","",IF(원본명단!$H5061="",0,COUNTIF(원본명단!$H$3:$H$6002,원본명단!$H5061)))</f>
        <v/>
      </c>
      <c r="F5062" s="11" t="str">
        <f aca="false">IF($A5062="","",IF(원본명단!$I5061="",0,COUNTIF(원본명단!$I$3:$I$6002,원본명단!$I5061)))</f>
        <v/>
      </c>
      <c r="G5062" s="11" t="str">
        <f aca="false">IF($A5062="","",IF(원본명단!$K5061="",0,COUNTIF(원본명단!$K$3:$K$6002,원본명단!$K5061)))</f>
        <v/>
      </c>
      <c r="H5062" s="11" t="str">
        <f aca="false">IF($A5062="","",IF(MAX($E5062,$F5062,$G5062)&gt;1,"중복","-"))</f>
        <v/>
      </c>
      <c r="I5062" s="11" t="str">
        <f aca="false">IF($A5062="","",IF($H5062="-","-",IF(AND(IF(원본명단!$H5061="",TRUE(),COUNTIF(원본명단!$H$3:$H5061,원본명단!$H5061)=1),IF(원본명단!$I5061="",TRUE(),COUNTIF(원본명단!$I$3:$I5061,원본명단!$I5061)=1),IF(원본명단!$K5061="",TRUE(),COUNTIF(원본명단!$K$3:$K5061,원본명단!$K5061)=1)),"첫 건","중복 건")))</f>
        <v/>
      </c>
      <c r="J5062" s="11" t="str">
        <f aca="false">IF($A5062="","",IF($H5062="-","유지",IF($I5062="첫 건","유지","확인 필요")))</f>
        <v/>
      </c>
    </row>
    <row r="5063" customFormat="false" ht="15" hidden="false" customHeight="true" outlineLevel="0" collapsed="false">
      <c r="A5063" s="11" t="str">
        <f aca="false">IF(원본명단!$A5062="","",5060)</f>
        <v/>
      </c>
      <c r="B5063" s="12" t="str">
        <f aca="false">IF($A5063="","",원본명단!$A5062)</f>
        <v/>
      </c>
      <c r="C5063" s="12" t="str">
        <f aca="false">IF($A5063="","",원본명단!$B5062)</f>
        <v/>
      </c>
      <c r="D5063" s="12" t="str">
        <f aca="false">IF($A5063="","",원본명단!$D5062)</f>
        <v/>
      </c>
      <c r="E5063" s="11" t="str">
        <f aca="false">IF($A5063="","",IF(원본명단!$H5062="",0,COUNTIF(원본명단!$H$3:$H$6002,원본명단!$H5062)))</f>
        <v/>
      </c>
      <c r="F5063" s="11" t="str">
        <f aca="false">IF($A5063="","",IF(원본명단!$I5062="",0,COUNTIF(원본명단!$I$3:$I$6002,원본명단!$I5062)))</f>
        <v/>
      </c>
      <c r="G5063" s="11" t="str">
        <f aca="false">IF($A5063="","",IF(원본명단!$K5062="",0,COUNTIF(원본명단!$K$3:$K$6002,원본명단!$K5062)))</f>
        <v/>
      </c>
      <c r="H5063" s="11" t="str">
        <f aca="false">IF($A5063="","",IF(MAX($E5063,$F5063,$G5063)&gt;1,"중복","-"))</f>
        <v/>
      </c>
      <c r="I5063" s="11" t="str">
        <f aca="false">IF($A5063="","",IF($H5063="-","-",IF(AND(IF(원본명단!$H5062="",TRUE(),COUNTIF(원본명단!$H$3:$H5062,원본명단!$H5062)=1),IF(원본명단!$I5062="",TRUE(),COUNTIF(원본명단!$I$3:$I5062,원본명단!$I5062)=1),IF(원본명단!$K5062="",TRUE(),COUNTIF(원본명단!$K$3:$K5062,원본명단!$K5062)=1)),"첫 건","중복 건")))</f>
        <v/>
      </c>
      <c r="J5063" s="11" t="str">
        <f aca="false">IF($A5063="","",IF($H5063="-","유지",IF($I5063="첫 건","유지","확인 필요")))</f>
        <v/>
      </c>
    </row>
    <row r="5064" customFormat="false" ht="15" hidden="false" customHeight="true" outlineLevel="0" collapsed="false">
      <c r="A5064" s="11" t="str">
        <f aca="false">IF(원본명단!$A5063="","",5061)</f>
        <v/>
      </c>
      <c r="B5064" s="12" t="str">
        <f aca="false">IF($A5064="","",원본명단!$A5063)</f>
        <v/>
      </c>
      <c r="C5064" s="12" t="str">
        <f aca="false">IF($A5064="","",원본명단!$B5063)</f>
        <v/>
      </c>
      <c r="D5064" s="12" t="str">
        <f aca="false">IF($A5064="","",원본명단!$D5063)</f>
        <v/>
      </c>
      <c r="E5064" s="11" t="str">
        <f aca="false">IF($A5064="","",IF(원본명단!$H5063="",0,COUNTIF(원본명단!$H$3:$H$6002,원본명단!$H5063)))</f>
        <v/>
      </c>
      <c r="F5064" s="11" t="str">
        <f aca="false">IF($A5064="","",IF(원본명단!$I5063="",0,COUNTIF(원본명단!$I$3:$I$6002,원본명단!$I5063)))</f>
        <v/>
      </c>
      <c r="G5064" s="11" t="str">
        <f aca="false">IF($A5064="","",IF(원본명단!$K5063="",0,COUNTIF(원본명단!$K$3:$K$6002,원본명단!$K5063)))</f>
        <v/>
      </c>
      <c r="H5064" s="11" t="str">
        <f aca="false">IF($A5064="","",IF(MAX($E5064,$F5064,$G5064)&gt;1,"중복","-"))</f>
        <v/>
      </c>
      <c r="I5064" s="11" t="str">
        <f aca="false">IF($A5064="","",IF($H5064="-","-",IF(AND(IF(원본명단!$H5063="",TRUE(),COUNTIF(원본명단!$H$3:$H5063,원본명단!$H5063)=1),IF(원본명단!$I5063="",TRUE(),COUNTIF(원본명단!$I$3:$I5063,원본명단!$I5063)=1),IF(원본명단!$K5063="",TRUE(),COUNTIF(원본명단!$K$3:$K5063,원본명단!$K5063)=1)),"첫 건","중복 건")))</f>
        <v/>
      </c>
      <c r="J5064" s="11" t="str">
        <f aca="false">IF($A5064="","",IF($H5064="-","유지",IF($I5064="첫 건","유지","확인 필요")))</f>
        <v/>
      </c>
    </row>
    <row r="5065" customFormat="false" ht="15" hidden="false" customHeight="true" outlineLevel="0" collapsed="false">
      <c r="A5065" s="11" t="str">
        <f aca="false">IF(원본명단!$A5064="","",5062)</f>
        <v/>
      </c>
      <c r="B5065" s="12" t="str">
        <f aca="false">IF($A5065="","",원본명단!$A5064)</f>
        <v/>
      </c>
      <c r="C5065" s="12" t="str">
        <f aca="false">IF($A5065="","",원본명단!$B5064)</f>
        <v/>
      </c>
      <c r="D5065" s="12" t="str">
        <f aca="false">IF($A5065="","",원본명단!$D5064)</f>
        <v/>
      </c>
      <c r="E5065" s="11" t="str">
        <f aca="false">IF($A5065="","",IF(원본명단!$H5064="",0,COUNTIF(원본명단!$H$3:$H$6002,원본명단!$H5064)))</f>
        <v/>
      </c>
      <c r="F5065" s="11" t="str">
        <f aca="false">IF($A5065="","",IF(원본명단!$I5064="",0,COUNTIF(원본명단!$I$3:$I$6002,원본명단!$I5064)))</f>
        <v/>
      </c>
      <c r="G5065" s="11" t="str">
        <f aca="false">IF($A5065="","",IF(원본명단!$K5064="",0,COUNTIF(원본명단!$K$3:$K$6002,원본명단!$K5064)))</f>
        <v/>
      </c>
      <c r="H5065" s="11" t="str">
        <f aca="false">IF($A5065="","",IF(MAX($E5065,$F5065,$G5065)&gt;1,"중복","-"))</f>
        <v/>
      </c>
      <c r="I5065" s="11" t="str">
        <f aca="false">IF($A5065="","",IF($H5065="-","-",IF(AND(IF(원본명단!$H5064="",TRUE(),COUNTIF(원본명단!$H$3:$H5064,원본명단!$H5064)=1),IF(원본명단!$I5064="",TRUE(),COUNTIF(원본명단!$I$3:$I5064,원본명단!$I5064)=1),IF(원본명단!$K5064="",TRUE(),COUNTIF(원본명단!$K$3:$K5064,원본명단!$K5064)=1)),"첫 건","중복 건")))</f>
        <v/>
      </c>
      <c r="J5065" s="11" t="str">
        <f aca="false">IF($A5065="","",IF($H5065="-","유지",IF($I5065="첫 건","유지","확인 필요")))</f>
        <v/>
      </c>
    </row>
    <row r="5066" customFormat="false" ht="15" hidden="false" customHeight="true" outlineLevel="0" collapsed="false">
      <c r="A5066" s="11" t="str">
        <f aca="false">IF(원본명단!$A5065="","",5063)</f>
        <v/>
      </c>
      <c r="B5066" s="12" t="str">
        <f aca="false">IF($A5066="","",원본명단!$A5065)</f>
        <v/>
      </c>
      <c r="C5066" s="12" t="str">
        <f aca="false">IF($A5066="","",원본명단!$B5065)</f>
        <v/>
      </c>
      <c r="D5066" s="12" t="str">
        <f aca="false">IF($A5066="","",원본명단!$D5065)</f>
        <v/>
      </c>
      <c r="E5066" s="11" t="str">
        <f aca="false">IF($A5066="","",IF(원본명단!$H5065="",0,COUNTIF(원본명단!$H$3:$H$6002,원본명단!$H5065)))</f>
        <v/>
      </c>
      <c r="F5066" s="11" t="str">
        <f aca="false">IF($A5066="","",IF(원본명단!$I5065="",0,COUNTIF(원본명단!$I$3:$I$6002,원본명단!$I5065)))</f>
        <v/>
      </c>
      <c r="G5066" s="11" t="str">
        <f aca="false">IF($A5066="","",IF(원본명단!$K5065="",0,COUNTIF(원본명단!$K$3:$K$6002,원본명단!$K5065)))</f>
        <v/>
      </c>
      <c r="H5066" s="11" t="str">
        <f aca="false">IF($A5066="","",IF(MAX($E5066,$F5066,$G5066)&gt;1,"중복","-"))</f>
        <v/>
      </c>
      <c r="I5066" s="11" t="str">
        <f aca="false">IF($A5066="","",IF($H5066="-","-",IF(AND(IF(원본명단!$H5065="",TRUE(),COUNTIF(원본명단!$H$3:$H5065,원본명단!$H5065)=1),IF(원본명단!$I5065="",TRUE(),COUNTIF(원본명단!$I$3:$I5065,원본명단!$I5065)=1),IF(원본명단!$K5065="",TRUE(),COUNTIF(원본명단!$K$3:$K5065,원본명단!$K5065)=1)),"첫 건","중복 건")))</f>
        <v/>
      </c>
      <c r="J5066" s="11" t="str">
        <f aca="false">IF($A5066="","",IF($H5066="-","유지",IF($I5066="첫 건","유지","확인 필요")))</f>
        <v/>
      </c>
    </row>
    <row r="5067" customFormat="false" ht="15" hidden="false" customHeight="true" outlineLevel="0" collapsed="false">
      <c r="A5067" s="11" t="str">
        <f aca="false">IF(원본명단!$A5066="","",5064)</f>
        <v/>
      </c>
      <c r="B5067" s="12" t="str">
        <f aca="false">IF($A5067="","",원본명단!$A5066)</f>
        <v/>
      </c>
      <c r="C5067" s="12" t="str">
        <f aca="false">IF($A5067="","",원본명단!$B5066)</f>
        <v/>
      </c>
      <c r="D5067" s="12" t="str">
        <f aca="false">IF($A5067="","",원본명단!$D5066)</f>
        <v/>
      </c>
      <c r="E5067" s="11" t="str">
        <f aca="false">IF($A5067="","",IF(원본명단!$H5066="",0,COUNTIF(원본명단!$H$3:$H$6002,원본명단!$H5066)))</f>
        <v/>
      </c>
      <c r="F5067" s="11" t="str">
        <f aca="false">IF($A5067="","",IF(원본명단!$I5066="",0,COUNTIF(원본명단!$I$3:$I$6002,원본명단!$I5066)))</f>
        <v/>
      </c>
      <c r="G5067" s="11" t="str">
        <f aca="false">IF($A5067="","",IF(원본명단!$K5066="",0,COUNTIF(원본명단!$K$3:$K$6002,원본명단!$K5066)))</f>
        <v/>
      </c>
      <c r="H5067" s="11" t="str">
        <f aca="false">IF($A5067="","",IF(MAX($E5067,$F5067,$G5067)&gt;1,"중복","-"))</f>
        <v/>
      </c>
      <c r="I5067" s="11" t="str">
        <f aca="false">IF($A5067="","",IF($H5067="-","-",IF(AND(IF(원본명단!$H5066="",TRUE(),COUNTIF(원본명단!$H$3:$H5066,원본명단!$H5066)=1),IF(원본명단!$I5066="",TRUE(),COUNTIF(원본명단!$I$3:$I5066,원본명단!$I5066)=1),IF(원본명단!$K5066="",TRUE(),COUNTIF(원본명단!$K$3:$K5066,원본명단!$K5066)=1)),"첫 건","중복 건")))</f>
        <v/>
      </c>
      <c r="J5067" s="11" t="str">
        <f aca="false">IF($A5067="","",IF($H5067="-","유지",IF($I5067="첫 건","유지","확인 필요")))</f>
        <v/>
      </c>
    </row>
    <row r="5068" customFormat="false" ht="15" hidden="false" customHeight="true" outlineLevel="0" collapsed="false">
      <c r="A5068" s="11" t="str">
        <f aca="false">IF(원본명단!$A5067="","",5065)</f>
        <v/>
      </c>
      <c r="B5068" s="12" t="str">
        <f aca="false">IF($A5068="","",원본명단!$A5067)</f>
        <v/>
      </c>
      <c r="C5068" s="12" t="str">
        <f aca="false">IF($A5068="","",원본명단!$B5067)</f>
        <v/>
      </c>
      <c r="D5068" s="12" t="str">
        <f aca="false">IF($A5068="","",원본명단!$D5067)</f>
        <v/>
      </c>
      <c r="E5068" s="11" t="str">
        <f aca="false">IF($A5068="","",IF(원본명단!$H5067="",0,COUNTIF(원본명단!$H$3:$H$6002,원본명단!$H5067)))</f>
        <v/>
      </c>
      <c r="F5068" s="11" t="str">
        <f aca="false">IF($A5068="","",IF(원본명단!$I5067="",0,COUNTIF(원본명단!$I$3:$I$6002,원본명단!$I5067)))</f>
        <v/>
      </c>
      <c r="G5068" s="11" t="str">
        <f aca="false">IF($A5068="","",IF(원본명단!$K5067="",0,COUNTIF(원본명단!$K$3:$K$6002,원본명단!$K5067)))</f>
        <v/>
      </c>
      <c r="H5068" s="11" t="str">
        <f aca="false">IF($A5068="","",IF(MAX($E5068,$F5068,$G5068)&gt;1,"중복","-"))</f>
        <v/>
      </c>
      <c r="I5068" s="11" t="str">
        <f aca="false">IF($A5068="","",IF($H5068="-","-",IF(AND(IF(원본명단!$H5067="",TRUE(),COUNTIF(원본명단!$H$3:$H5067,원본명단!$H5067)=1),IF(원본명단!$I5067="",TRUE(),COUNTIF(원본명단!$I$3:$I5067,원본명단!$I5067)=1),IF(원본명단!$K5067="",TRUE(),COUNTIF(원본명단!$K$3:$K5067,원본명단!$K5067)=1)),"첫 건","중복 건")))</f>
        <v/>
      </c>
      <c r="J5068" s="11" t="str">
        <f aca="false">IF($A5068="","",IF($H5068="-","유지",IF($I5068="첫 건","유지","확인 필요")))</f>
        <v/>
      </c>
    </row>
    <row r="5069" customFormat="false" ht="15" hidden="false" customHeight="true" outlineLevel="0" collapsed="false">
      <c r="A5069" s="11" t="str">
        <f aca="false">IF(원본명단!$A5068="","",5066)</f>
        <v/>
      </c>
      <c r="B5069" s="12" t="str">
        <f aca="false">IF($A5069="","",원본명단!$A5068)</f>
        <v/>
      </c>
      <c r="C5069" s="12" t="str">
        <f aca="false">IF($A5069="","",원본명단!$B5068)</f>
        <v/>
      </c>
      <c r="D5069" s="12" t="str">
        <f aca="false">IF($A5069="","",원본명단!$D5068)</f>
        <v/>
      </c>
      <c r="E5069" s="11" t="str">
        <f aca="false">IF($A5069="","",IF(원본명단!$H5068="",0,COUNTIF(원본명단!$H$3:$H$6002,원본명단!$H5068)))</f>
        <v/>
      </c>
      <c r="F5069" s="11" t="str">
        <f aca="false">IF($A5069="","",IF(원본명단!$I5068="",0,COUNTIF(원본명단!$I$3:$I$6002,원본명단!$I5068)))</f>
        <v/>
      </c>
      <c r="G5069" s="11" t="str">
        <f aca="false">IF($A5069="","",IF(원본명단!$K5068="",0,COUNTIF(원본명단!$K$3:$K$6002,원본명단!$K5068)))</f>
        <v/>
      </c>
      <c r="H5069" s="11" t="str">
        <f aca="false">IF($A5069="","",IF(MAX($E5069,$F5069,$G5069)&gt;1,"중복","-"))</f>
        <v/>
      </c>
      <c r="I5069" s="11" t="str">
        <f aca="false">IF($A5069="","",IF($H5069="-","-",IF(AND(IF(원본명단!$H5068="",TRUE(),COUNTIF(원본명단!$H$3:$H5068,원본명단!$H5068)=1),IF(원본명단!$I5068="",TRUE(),COUNTIF(원본명단!$I$3:$I5068,원본명단!$I5068)=1),IF(원본명단!$K5068="",TRUE(),COUNTIF(원본명단!$K$3:$K5068,원본명단!$K5068)=1)),"첫 건","중복 건")))</f>
        <v/>
      </c>
      <c r="J5069" s="11" t="str">
        <f aca="false">IF($A5069="","",IF($H5069="-","유지",IF($I5069="첫 건","유지","확인 필요")))</f>
        <v/>
      </c>
    </row>
    <row r="5070" customFormat="false" ht="15" hidden="false" customHeight="true" outlineLevel="0" collapsed="false">
      <c r="A5070" s="11" t="str">
        <f aca="false">IF(원본명단!$A5069="","",5067)</f>
        <v/>
      </c>
      <c r="B5070" s="12" t="str">
        <f aca="false">IF($A5070="","",원본명단!$A5069)</f>
        <v/>
      </c>
      <c r="C5070" s="12" t="str">
        <f aca="false">IF($A5070="","",원본명단!$B5069)</f>
        <v/>
      </c>
      <c r="D5070" s="12" t="str">
        <f aca="false">IF($A5070="","",원본명단!$D5069)</f>
        <v/>
      </c>
      <c r="E5070" s="11" t="str">
        <f aca="false">IF($A5070="","",IF(원본명단!$H5069="",0,COUNTIF(원본명단!$H$3:$H$6002,원본명단!$H5069)))</f>
        <v/>
      </c>
      <c r="F5070" s="11" t="str">
        <f aca="false">IF($A5070="","",IF(원본명단!$I5069="",0,COUNTIF(원본명단!$I$3:$I$6002,원본명단!$I5069)))</f>
        <v/>
      </c>
      <c r="G5070" s="11" t="str">
        <f aca="false">IF($A5070="","",IF(원본명단!$K5069="",0,COUNTIF(원본명단!$K$3:$K$6002,원본명단!$K5069)))</f>
        <v/>
      </c>
      <c r="H5070" s="11" t="str">
        <f aca="false">IF($A5070="","",IF(MAX($E5070,$F5070,$G5070)&gt;1,"중복","-"))</f>
        <v/>
      </c>
      <c r="I5070" s="11" t="str">
        <f aca="false">IF($A5070="","",IF($H5070="-","-",IF(AND(IF(원본명단!$H5069="",TRUE(),COUNTIF(원본명단!$H$3:$H5069,원본명단!$H5069)=1),IF(원본명단!$I5069="",TRUE(),COUNTIF(원본명단!$I$3:$I5069,원본명단!$I5069)=1),IF(원본명단!$K5069="",TRUE(),COUNTIF(원본명단!$K$3:$K5069,원본명단!$K5069)=1)),"첫 건","중복 건")))</f>
        <v/>
      </c>
      <c r="J5070" s="11" t="str">
        <f aca="false">IF($A5070="","",IF($H5070="-","유지",IF($I5070="첫 건","유지","확인 필요")))</f>
        <v/>
      </c>
    </row>
    <row r="5071" customFormat="false" ht="15" hidden="false" customHeight="true" outlineLevel="0" collapsed="false">
      <c r="A5071" s="11" t="str">
        <f aca="false">IF(원본명단!$A5070="","",5068)</f>
        <v/>
      </c>
      <c r="B5071" s="12" t="str">
        <f aca="false">IF($A5071="","",원본명단!$A5070)</f>
        <v/>
      </c>
      <c r="C5071" s="12" t="str">
        <f aca="false">IF($A5071="","",원본명단!$B5070)</f>
        <v/>
      </c>
      <c r="D5071" s="12" t="str">
        <f aca="false">IF($A5071="","",원본명단!$D5070)</f>
        <v/>
      </c>
      <c r="E5071" s="11" t="str">
        <f aca="false">IF($A5071="","",IF(원본명단!$H5070="",0,COUNTIF(원본명단!$H$3:$H$6002,원본명단!$H5070)))</f>
        <v/>
      </c>
      <c r="F5071" s="11" t="str">
        <f aca="false">IF($A5071="","",IF(원본명단!$I5070="",0,COUNTIF(원본명단!$I$3:$I$6002,원본명단!$I5070)))</f>
        <v/>
      </c>
      <c r="G5071" s="11" t="str">
        <f aca="false">IF($A5071="","",IF(원본명단!$K5070="",0,COUNTIF(원본명단!$K$3:$K$6002,원본명단!$K5070)))</f>
        <v/>
      </c>
      <c r="H5071" s="11" t="str">
        <f aca="false">IF($A5071="","",IF(MAX($E5071,$F5071,$G5071)&gt;1,"중복","-"))</f>
        <v/>
      </c>
      <c r="I5071" s="11" t="str">
        <f aca="false">IF($A5071="","",IF($H5071="-","-",IF(AND(IF(원본명단!$H5070="",TRUE(),COUNTIF(원본명단!$H$3:$H5070,원본명단!$H5070)=1),IF(원본명단!$I5070="",TRUE(),COUNTIF(원본명단!$I$3:$I5070,원본명단!$I5070)=1),IF(원본명단!$K5070="",TRUE(),COUNTIF(원본명단!$K$3:$K5070,원본명단!$K5070)=1)),"첫 건","중복 건")))</f>
        <v/>
      </c>
      <c r="J5071" s="11" t="str">
        <f aca="false">IF($A5071="","",IF($H5071="-","유지",IF($I5071="첫 건","유지","확인 필요")))</f>
        <v/>
      </c>
    </row>
    <row r="5072" customFormat="false" ht="15" hidden="false" customHeight="true" outlineLevel="0" collapsed="false">
      <c r="A5072" s="11" t="str">
        <f aca="false">IF(원본명단!$A5071="","",5069)</f>
        <v/>
      </c>
      <c r="B5072" s="12" t="str">
        <f aca="false">IF($A5072="","",원본명단!$A5071)</f>
        <v/>
      </c>
      <c r="C5072" s="12" t="str">
        <f aca="false">IF($A5072="","",원본명단!$B5071)</f>
        <v/>
      </c>
      <c r="D5072" s="12" t="str">
        <f aca="false">IF($A5072="","",원본명단!$D5071)</f>
        <v/>
      </c>
      <c r="E5072" s="11" t="str">
        <f aca="false">IF($A5072="","",IF(원본명단!$H5071="",0,COUNTIF(원본명단!$H$3:$H$6002,원본명단!$H5071)))</f>
        <v/>
      </c>
      <c r="F5072" s="11" t="str">
        <f aca="false">IF($A5072="","",IF(원본명단!$I5071="",0,COUNTIF(원본명단!$I$3:$I$6002,원본명단!$I5071)))</f>
        <v/>
      </c>
      <c r="G5072" s="11" t="str">
        <f aca="false">IF($A5072="","",IF(원본명단!$K5071="",0,COUNTIF(원본명단!$K$3:$K$6002,원본명단!$K5071)))</f>
        <v/>
      </c>
      <c r="H5072" s="11" t="str">
        <f aca="false">IF($A5072="","",IF(MAX($E5072,$F5072,$G5072)&gt;1,"중복","-"))</f>
        <v/>
      </c>
      <c r="I5072" s="11" t="str">
        <f aca="false">IF($A5072="","",IF($H5072="-","-",IF(AND(IF(원본명단!$H5071="",TRUE(),COUNTIF(원본명단!$H$3:$H5071,원본명단!$H5071)=1),IF(원본명단!$I5071="",TRUE(),COUNTIF(원본명단!$I$3:$I5071,원본명단!$I5071)=1),IF(원본명단!$K5071="",TRUE(),COUNTIF(원본명단!$K$3:$K5071,원본명단!$K5071)=1)),"첫 건","중복 건")))</f>
        <v/>
      </c>
      <c r="J5072" s="11" t="str">
        <f aca="false">IF($A5072="","",IF($H5072="-","유지",IF($I5072="첫 건","유지","확인 필요")))</f>
        <v/>
      </c>
    </row>
    <row r="5073" customFormat="false" ht="15" hidden="false" customHeight="true" outlineLevel="0" collapsed="false">
      <c r="A5073" s="11" t="str">
        <f aca="false">IF(원본명단!$A5072="","",5070)</f>
        <v/>
      </c>
      <c r="B5073" s="12" t="str">
        <f aca="false">IF($A5073="","",원본명단!$A5072)</f>
        <v/>
      </c>
      <c r="C5073" s="12" t="str">
        <f aca="false">IF($A5073="","",원본명단!$B5072)</f>
        <v/>
      </c>
      <c r="D5073" s="12" t="str">
        <f aca="false">IF($A5073="","",원본명단!$D5072)</f>
        <v/>
      </c>
      <c r="E5073" s="11" t="str">
        <f aca="false">IF($A5073="","",IF(원본명단!$H5072="",0,COUNTIF(원본명단!$H$3:$H$6002,원본명단!$H5072)))</f>
        <v/>
      </c>
      <c r="F5073" s="11" t="str">
        <f aca="false">IF($A5073="","",IF(원본명단!$I5072="",0,COUNTIF(원본명단!$I$3:$I$6002,원본명단!$I5072)))</f>
        <v/>
      </c>
      <c r="G5073" s="11" t="str">
        <f aca="false">IF($A5073="","",IF(원본명단!$K5072="",0,COUNTIF(원본명단!$K$3:$K$6002,원본명단!$K5072)))</f>
        <v/>
      </c>
      <c r="H5073" s="11" t="str">
        <f aca="false">IF($A5073="","",IF(MAX($E5073,$F5073,$G5073)&gt;1,"중복","-"))</f>
        <v/>
      </c>
      <c r="I5073" s="11" t="str">
        <f aca="false">IF($A5073="","",IF($H5073="-","-",IF(AND(IF(원본명단!$H5072="",TRUE(),COUNTIF(원본명단!$H$3:$H5072,원본명단!$H5072)=1),IF(원본명단!$I5072="",TRUE(),COUNTIF(원본명단!$I$3:$I5072,원본명단!$I5072)=1),IF(원본명단!$K5072="",TRUE(),COUNTIF(원본명단!$K$3:$K5072,원본명단!$K5072)=1)),"첫 건","중복 건")))</f>
        <v/>
      </c>
      <c r="J5073" s="11" t="str">
        <f aca="false">IF($A5073="","",IF($H5073="-","유지",IF($I5073="첫 건","유지","확인 필요")))</f>
        <v/>
      </c>
    </row>
    <row r="5074" customFormat="false" ht="15" hidden="false" customHeight="true" outlineLevel="0" collapsed="false">
      <c r="A5074" s="11" t="str">
        <f aca="false">IF(원본명단!$A5073="","",5071)</f>
        <v/>
      </c>
      <c r="B5074" s="12" t="str">
        <f aca="false">IF($A5074="","",원본명단!$A5073)</f>
        <v/>
      </c>
      <c r="C5074" s="12" t="str">
        <f aca="false">IF($A5074="","",원본명단!$B5073)</f>
        <v/>
      </c>
      <c r="D5074" s="12" t="str">
        <f aca="false">IF($A5074="","",원본명단!$D5073)</f>
        <v/>
      </c>
      <c r="E5074" s="11" t="str">
        <f aca="false">IF($A5074="","",IF(원본명단!$H5073="",0,COUNTIF(원본명단!$H$3:$H$6002,원본명단!$H5073)))</f>
        <v/>
      </c>
      <c r="F5074" s="11" t="str">
        <f aca="false">IF($A5074="","",IF(원본명단!$I5073="",0,COUNTIF(원본명단!$I$3:$I$6002,원본명단!$I5073)))</f>
        <v/>
      </c>
      <c r="G5074" s="11" t="str">
        <f aca="false">IF($A5074="","",IF(원본명단!$K5073="",0,COUNTIF(원본명단!$K$3:$K$6002,원본명단!$K5073)))</f>
        <v/>
      </c>
      <c r="H5074" s="11" t="str">
        <f aca="false">IF($A5074="","",IF(MAX($E5074,$F5074,$G5074)&gt;1,"중복","-"))</f>
        <v/>
      </c>
      <c r="I5074" s="11" t="str">
        <f aca="false">IF($A5074="","",IF($H5074="-","-",IF(AND(IF(원본명단!$H5073="",TRUE(),COUNTIF(원본명단!$H$3:$H5073,원본명단!$H5073)=1),IF(원본명단!$I5073="",TRUE(),COUNTIF(원본명단!$I$3:$I5073,원본명단!$I5073)=1),IF(원본명단!$K5073="",TRUE(),COUNTIF(원본명단!$K$3:$K5073,원본명단!$K5073)=1)),"첫 건","중복 건")))</f>
        <v/>
      </c>
      <c r="J5074" s="11" t="str">
        <f aca="false">IF($A5074="","",IF($H5074="-","유지",IF($I5074="첫 건","유지","확인 필요")))</f>
        <v/>
      </c>
    </row>
    <row r="5075" customFormat="false" ht="15" hidden="false" customHeight="true" outlineLevel="0" collapsed="false">
      <c r="A5075" s="11" t="str">
        <f aca="false">IF(원본명단!$A5074="","",5072)</f>
        <v/>
      </c>
      <c r="B5075" s="12" t="str">
        <f aca="false">IF($A5075="","",원본명단!$A5074)</f>
        <v/>
      </c>
      <c r="C5075" s="12" t="str">
        <f aca="false">IF($A5075="","",원본명단!$B5074)</f>
        <v/>
      </c>
      <c r="D5075" s="12" t="str">
        <f aca="false">IF($A5075="","",원본명단!$D5074)</f>
        <v/>
      </c>
      <c r="E5075" s="11" t="str">
        <f aca="false">IF($A5075="","",IF(원본명단!$H5074="",0,COUNTIF(원본명단!$H$3:$H$6002,원본명단!$H5074)))</f>
        <v/>
      </c>
      <c r="F5075" s="11" t="str">
        <f aca="false">IF($A5075="","",IF(원본명단!$I5074="",0,COUNTIF(원본명단!$I$3:$I$6002,원본명단!$I5074)))</f>
        <v/>
      </c>
      <c r="G5075" s="11" t="str">
        <f aca="false">IF($A5075="","",IF(원본명단!$K5074="",0,COUNTIF(원본명단!$K$3:$K$6002,원본명단!$K5074)))</f>
        <v/>
      </c>
      <c r="H5075" s="11" t="str">
        <f aca="false">IF($A5075="","",IF(MAX($E5075,$F5075,$G5075)&gt;1,"중복","-"))</f>
        <v/>
      </c>
      <c r="I5075" s="11" t="str">
        <f aca="false">IF($A5075="","",IF($H5075="-","-",IF(AND(IF(원본명단!$H5074="",TRUE(),COUNTIF(원본명단!$H$3:$H5074,원본명단!$H5074)=1),IF(원본명단!$I5074="",TRUE(),COUNTIF(원본명단!$I$3:$I5074,원본명단!$I5074)=1),IF(원본명단!$K5074="",TRUE(),COUNTIF(원본명단!$K$3:$K5074,원본명단!$K5074)=1)),"첫 건","중복 건")))</f>
        <v/>
      </c>
      <c r="J5075" s="11" t="str">
        <f aca="false">IF($A5075="","",IF($H5075="-","유지",IF($I5075="첫 건","유지","확인 필요")))</f>
        <v/>
      </c>
    </row>
    <row r="5076" customFormat="false" ht="15" hidden="false" customHeight="true" outlineLevel="0" collapsed="false">
      <c r="A5076" s="11" t="str">
        <f aca="false">IF(원본명단!$A5075="","",5073)</f>
        <v/>
      </c>
      <c r="B5076" s="12" t="str">
        <f aca="false">IF($A5076="","",원본명단!$A5075)</f>
        <v/>
      </c>
      <c r="C5076" s="12" t="str">
        <f aca="false">IF($A5076="","",원본명단!$B5075)</f>
        <v/>
      </c>
      <c r="D5076" s="12" t="str">
        <f aca="false">IF($A5076="","",원본명단!$D5075)</f>
        <v/>
      </c>
      <c r="E5076" s="11" t="str">
        <f aca="false">IF($A5076="","",IF(원본명단!$H5075="",0,COUNTIF(원본명단!$H$3:$H$6002,원본명단!$H5075)))</f>
        <v/>
      </c>
      <c r="F5076" s="11" t="str">
        <f aca="false">IF($A5076="","",IF(원본명단!$I5075="",0,COUNTIF(원본명단!$I$3:$I$6002,원본명단!$I5075)))</f>
        <v/>
      </c>
      <c r="G5076" s="11" t="str">
        <f aca="false">IF($A5076="","",IF(원본명단!$K5075="",0,COUNTIF(원본명단!$K$3:$K$6002,원본명단!$K5075)))</f>
        <v/>
      </c>
      <c r="H5076" s="11" t="str">
        <f aca="false">IF($A5076="","",IF(MAX($E5076,$F5076,$G5076)&gt;1,"중복","-"))</f>
        <v/>
      </c>
      <c r="I5076" s="11" t="str">
        <f aca="false">IF($A5076="","",IF($H5076="-","-",IF(AND(IF(원본명단!$H5075="",TRUE(),COUNTIF(원본명단!$H$3:$H5075,원본명단!$H5075)=1),IF(원본명단!$I5075="",TRUE(),COUNTIF(원본명단!$I$3:$I5075,원본명단!$I5075)=1),IF(원본명단!$K5075="",TRUE(),COUNTIF(원본명단!$K$3:$K5075,원본명단!$K5075)=1)),"첫 건","중복 건")))</f>
        <v/>
      </c>
      <c r="J5076" s="11" t="str">
        <f aca="false">IF($A5076="","",IF($H5076="-","유지",IF($I5076="첫 건","유지","확인 필요")))</f>
        <v/>
      </c>
    </row>
    <row r="5077" customFormat="false" ht="15" hidden="false" customHeight="true" outlineLevel="0" collapsed="false">
      <c r="A5077" s="11" t="str">
        <f aca="false">IF(원본명단!$A5076="","",5074)</f>
        <v/>
      </c>
      <c r="B5077" s="12" t="str">
        <f aca="false">IF($A5077="","",원본명단!$A5076)</f>
        <v/>
      </c>
      <c r="C5077" s="12" t="str">
        <f aca="false">IF($A5077="","",원본명단!$B5076)</f>
        <v/>
      </c>
      <c r="D5077" s="12" t="str">
        <f aca="false">IF($A5077="","",원본명단!$D5076)</f>
        <v/>
      </c>
      <c r="E5077" s="11" t="str">
        <f aca="false">IF($A5077="","",IF(원본명단!$H5076="",0,COUNTIF(원본명단!$H$3:$H$6002,원본명단!$H5076)))</f>
        <v/>
      </c>
      <c r="F5077" s="11" t="str">
        <f aca="false">IF($A5077="","",IF(원본명단!$I5076="",0,COUNTIF(원본명단!$I$3:$I$6002,원본명단!$I5076)))</f>
        <v/>
      </c>
      <c r="G5077" s="11" t="str">
        <f aca="false">IF($A5077="","",IF(원본명단!$K5076="",0,COUNTIF(원본명단!$K$3:$K$6002,원본명단!$K5076)))</f>
        <v/>
      </c>
      <c r="H5077" s="11" t="str">
        <f aca="false">IF($A5077="","",IF(MAX($E5077,$F5077,$G5077)&gt;1,"중복","-"))</f>
        <v/>
      </c>
      <c r="I5077" s="11" t="str">
        <f aca="false">IF($A5077="","",IF($H5077="-","-",IF(AND(IF(원본명단!$H5076="",TRUE(),COUNTIF(원본명단!$H$3:$H5076,원본명단!$H5076)=1),IF(원본명단!$I5076="",TRUE(),COUNTIF(원본명단!$I$3:$I5076,원본명단!$I5076)=1),IF(원본명단!$K5076="",TRUE(),COUNTIF(원본명단!$K$3:$K5076,원본명단!$K5076)=1)),"첫 건","중복 건")))</f>
        <v/>
      </c>
      <c r="J5077" s="11" t="str">
        <f aca="false">IF($A5077="","",IF($H5077="-","유지",IF($I5077="첫 건","유지","확인 필요")))</f>
        <v/>
      </c>
    </row>
    <row r="5078" customFormat="false" ht="15" hidden="false" customHeight="true" outlineLevel="0" collapsed="false">
      <c r="A5078" s="11" t="str">
        <f aca="false">IF(원본명단!$A5077="","",5075)</f>
        <v/>
      </c>
      <c r="B5078" s="12" t="str">
        <f aca="false">IF($A5078="","",원본명단!$A5077)</f>
        <v/>
      </c>
      <c r="C5078" s="12" t="str">
        <f aca="false">IF($A5078="","",원본명단!$B5077)</f>
        <v/>
      </c>
      <c r="D5078" s="12" t="str">
        <f aca="false">IF($A5078="","",원본명단!$D5077)</f>
        <v/>
      </c>
      <c r="E5078" s="11" t="str">
        <f aca="false">IF($A5078="","",IF(원본명단!$H5077="",0,COUNTIF(원본명단!$H$3:$H$6002,원본명단!$H5077)))</f>
        <v/>
      </c>
      <c r="F5078" s="11" t="str">
        <f aca="false">IF($A5078="","",IF(원본명단!$I5077="",0,COUNTIF(원본명단!$I$3:$I$6002,원본명단!$I5077)))</f>
        <v/>
      </c>
      <c r="G5078" s="11" t="str">
        <f aca="false">IF($A5078="","",IF(원본명단!$K5077="",0,COUNTIF(원본명단!$K$3:$K$6002,원본명단!$K5077)))</f>
        <v/>
      </c>
      <c r="H5078" s="11" t="str">
        <f aca="false">IF($A5078="","",IF(MAX($E5078,$F5078,$G5078)&gt;1,"중복","-"))</f>
        <v/>
      </c>
      <c r="I5078" s="11" t="str">
        <f aca="false">IF($A5078="","",IF($H5078="-","-",IF(AND(IF(원본명단!$H5077="",TRUE(),COUNTIF(원본명단!$H$3:$H5077,원본명단!$H5077)=1),IF(원본명단!$I5077="",TRUE(),COUNTIF(원본명단!$I$3:$I5077,원본명단!$I5077)=1),IF(원본명단!$K5077="",TRUE(),COUNTIF(원본명단!$K$3:$K5077,원본명단!$K5077)=1)),"첫 건","중복 건")))</f>
        <v/>
      </c>
      <c r="J5078" s="11" t="str">
        <f aca="false">IF($A5078="","",IF($H5078="-","유지",IF($I5078="첫 건","유지","확인 필요")))</f>
        <v/>
      </c>
    </row>
    <row r="5079" customFormat="false" ht="15" hidden="false" customHeight="true" outlineLevel="0" collapsed="false">
      <c r="A5079" s="11" t="str">
        <f aca="false">IF(원본명단!$A5078="","",5076)</f>
        <v/>
      </c>
      <c r="B5079" s="12" t="str">
        <f aca="false">IF($A5079="","",원본명단!$A5078)</f>
        <v/>
      </c>
      <c r="C5079" s="12" t="str">
        <f aca="false">IF($A5079="","",원본명단!$B5078)</f>
        <v/>
      </c>
      <c r="D5079" s="12" t="str">
        <f aca="false">IF($A5079="","",원본명단!$D5078)</f>
        <v/>
      </c>
      <c r="E5079" s="11" t="str">
        <f aca="false">IF($A5079="","",IF(원본명단!$H5078="",0,COUNTIF(원본명단!$H$3:$H$6002,원본명단!$H5078)))</f>
        <v/>
      </c>
      <c r="F5079" s="11" t="str">
        <f aca="false">IF($A5079="","",IF(원본명단!$I5078="",0,COUNTIF(원본명단!$I$3:$I$6002,원본명단!$I5078)))</f>
        <v/>
      </c>
      <c r="G5079" s="11" t="str">
        <f aca="false">IF($A5079="","",IF(원본명단!$K5078="",0,COUNTIF(원본명단!$K$3:$K$6002,원본명단!$K5078)))</f>
        <v/>
      </c>
      <c r="H5079" s="11" t="str">
        <f aca="false">IF($A5079="","",IF(MAX($E5079,$F5079,$G5079)&gt;1,"중복","-"))</f>
        <v/>
      </c>
      <c r="I5079" s="11" t="str">
        <f aca="false">IF($A5079="","",IF($H5079="-","-",IF(AND(IF(원본명단!$H5078="",TRUE(),COUNTIF(원본명단!$H$3:$H5078,원본명단!$H5078)=1),IF(원본명단!$I5078="",TRUE(),COUNTIF(원본명단!$I$3:$I5078,원본명단!$I5078)=1),IF(원본명단!$K5078="",TRUE(),COUNTIF(원본명단!$K$3:$K5078,원본명단!$K5078)=1)),"첫 건","중복 건")))</f>
        <v/>
      </c>
      <c r="J5079" s="11" t="str">
        <f aca="false">IF($A5079="","",IF($H5079="-","유지",IF($I5079="첫 건","유지","확인 필요")))</f>
        <v/>
      </c>
    </row>
    <row r="5080" customFormat="false" ht="15" hidden="false" customHeight="true" outlineLevel="0" collapsed="false">
      <c r="A5080" s="11" t="str">
        <f aca="false">IF(원본명단!$A5079="","",5077)</f>
        <v/>
      </c>
      <c r="B5080" s="12" t="str">
        <f aca="false">IF($A5080="","",원본명단!$A5079)</f>
        <v/>
      </c>
      <c r="C5080" s="12" t="str">
        <f aca="false">IF($A5080="","",원본명단!$B5079)</f>
        <v/>
      </c>
      <c r="D5080" s="12" t="str">
        <f aca="false">IF($A5080="","",원본명단!$D5079)</f>
        <v/>
      </c>
      <c r="E5080" s="11" t="str">
        <f aca="false">IF($A5080="","",IF(원본명단!$H5079="",0,COUNTIF(원본명단!$H$3:$H$6002,원본명단!$H5079)))</f>
        <v/>
      </c>
      <c r="F5080" s="11" t="str">
        <f aca="false">IF($A5080="","",IF(원본명단!$I5079="",0,COUNTIF(원본명단!$I$3:$I$6002,원본명단!$I5079)))</f>
        <v/>
      </c>
      <c r="G5080" s="11" t="str">
        <f aca="false">IF($A5080="","",IF(원본명단!$K5079="",0,COUNTIF(원본명단!$K$3:$K$6002,원본명단!$K5079)))</f>
        <v/>
      </c>
      <c r="H5080" s="11" t="str">
        <f aca="false">IF($A5080="","",IF(MAX($E5080,$F5080,$G5080)&gt;1,"중복","-"))</f>
        <v/>
      </c>
      <c r="I5080" s="11" t="str">
        <f aca="false">IF($A5080="","",IF($H5080="-","-",IF(AND(IF(원본명단!$H5079="",TRUE(),COUNTIF(원본명단!$H$3:$H5079,원본명단!$H5079)=1),IF(원본명단!$I5079="",TRUE(),COUNTIF(원본명단!$I$3:$I5079,원본명단!$I5079)=1),IF(원본명단!$K5079="",TRUE(),COUNTIF(원본명단!$K$3:$K5079,원본명단!$K5079)=1)),"첫 건","중복 건")))</f>
        <v/>
      </c>
      <c r="J5080" s="11" t="str">
        <f aca="false">IF($A5080="","",IF($H5080="-","유지",IF($I5080="첫 건","유지","확인 필요")))</f>
        <v/>
      </c>
    </row>
    <row r="5081" customFormat="false" ht="15" hidden="false" customHeight="true" outlineLevel="0" collapsed="false">
      <c r="A5081" s="11" t="str">
        <f aca="false">IF(원본명단!$A5080="","",5078)</f>
        <v/>
      </c>
      <c r="B5081" s="12" t="str">
        <f aca="false">IF($A5081="","",원본명단!$A5080)</f>
        <v/>
      </c>
      <c r="C5081" s="12" t="str">
        <f aca="false">IF($A5081="","",원본명단!$B5080)</f>
        <v/>
      </c>
      <c r="D5081" s="12" t="str">
        <f aca="false">IF($A5081="","",원본명단!$D5080)</f>
        <v/>
      </c>
      <c r="E5081" s="11" t="str">
        <f aca="false">IF($A5081="","",IF(원본명단!$H5080="",0,COUNTIF(원본명단!$H$3:$H$6002,원본명단!$H5080)))</f>
        <v/>
      </c>
      <c r="F5081" s="11" t="str">
        <f aca="false">IF($A5081="","",IF(원본명단!$I5080="",0,COUNTIF(원본명단!$I$3:$I$6002,원본명단!$I5080)))</f>
        <v/>
      </c>
      <c r="G5081" s="11" t="str">
        <f aca="false">IF($A5081="","",IF(원본명단!$K5080="",0,COUNTIF(원본명단!$K$3:$K$6002,원본명단!$K5080)))</f>
        <v/>
      </c>
      <c r="H5081" s="11" t="str">
        <f aca="false">IF($A5081="","",IF(MAX($E5081,$F5081,$G5081)&gt;1,"중복","-"))</f>
        <v/>
      </c>
      <c r="I5081" s="11" t="str">
        <f aca="false">IF($A5081="","",IF($H5081="-","-",IF(AND(IF(원본명단!$H5080="",TRUE(),COUNTIF(원본명단!$H$3:$H5080,원본명단!$H5080)=1),IF(원본명단!$I5080="",TRUE(),COUNTIF(원본명단!$I$3:$I5080,원본명단!$I5080)=1),IF(원본명단!$K5080="",TRUE(),COUNTIF(원본명단!$K$3:$K5080,원본명단!$K5080)=1)),"첫 건","중복 건")))</f>
        <v/>
      </c>
      <c r="J5081" s="11" t="str">
        <f aca="false">IF($A5081="","",IF($H5081="-","유지",IF($I5081="첫 건","유지","확인 필요")))</f>
        <v/>
      </c>
    </row>
    <row r="5082" customFormat="false" ht="15" hidden="false" customHeight="true" outlineLevel="0" collapsed="false">
      <c r="A5082" s="11" t="str">
        <f aca="false">IF(원본명단!$A5081="","",5079)</f>
        <v/>
      </c>
      <c r="B5082" s="12" t="str">
        <f aca="false">IF($A5082="","",원본명단!$A5081)</f>
        <v/>
      </c>
      <c r="C5082" s="12" t="str">
        <f aca="false">IF($A5082="","",원본명단!$B5081)</f>
        <v/>
      </c>
      <c r="D5082" s="12" t="str">
        <f aca="false">IF($A5082="","",원본명단!$D5081)</f>
        <v/>
      </c>
      <c r="E5082" s="11" t="str">
        <f aca="false">IF($A5082="","",IF(원본명단!$H5081="",0,COUNTIF(원본명단!$H$3:$H$6002,원본명단!$H5081)))</f>
        <v/>
      </c>
      <c r="F5082" s="11" t="str">
        <f aca="false">IF($A5082="","",IF(원본명단!$I5081="",0,COUNTIF(원본명단!$I$3:$I$6002,원본명단!$I5081)))</f>
        <v/>
      </c>
      <c r="G5082" s="11" t="str">
        <f aca="false">IF($A5082="","",IF(원본명단!$K5081="",0,COUNTIF(원본명단!$K$3:$K$6002,원본명단!$K5081)))</f>
        <v/>
      </c>
      <c r="H5082" s="11" t="str">
        <f aca="false">IF($A5082="","",IF(MAX($E5082,$F5082,$G5082)&gt;1,"중복","-"))</f>
        <v/>
      </c>
      <c r="I5082" s="11" t="str">
        <f aca="false">IF($A5082="","",IF($H5082="-","-",IF(AND(IF(원본명단!$H5081="",TRUE(),COUNTIF(원본명단!$H$3:$H5081,원본명단!$H5081)=1),IF(원본명단!$I5081="",TRUE(),COUNTIF(원본명단!$I$3:$I5081,원본명단!$I5081)=1),IF(원본명단!$K5081="",TRUE(),COUNTIF(원본명단!$K$3:$K5081,원본명단!$K5081)=1)),"첫 건","중복 건")))</f>
        <v/>
      </c>
      <c r="J5082" s="11" t="str">
        <f aca="false">IF($A5082="","",IF($H5082="-","유지",IF($I5082="첫 건","유지","확인 필요")))</f>
        <v/>
      </c>
    </row>
    <row r="5083" customFormat="false" ht="15" hidden="false" customHeight="true" outlineLevel="0" collapsed="false">
      <c r="A5083" s="11" t="str">
        <f aca="false">IF(원본명단!$A5082="","",5080)</f>
        <v/>
      </c>
      <c r="B5083" s="12" t="str">
        <f aca="false">IF($A5083="","",원본명단!$A5082)</f>
        <v/>
      </c>
      <c r="C5083" s="12" t="str">
        <f aca="false">IF($A5083="","",원본명단!$B5082)</f>
        <v/>
      </c>
      <c r="D5083" s="12" t="str">
        <f aca="false">IF($A5083="","",원본명단!$D5082)</f>
        <v/>
      </c>
      <c r="E5083" s="11" t="str">
        <f aca="false">IF($A5083="","",IF(원본명단!$H5082="",0,COUNTIF(원본명단!$H$3:$H$6002,원본명단!$H5082)))</f>
        <v/>
      </c>
      <c r="F5083" s="11" t="str">
        <f aca="false">IF($A5083="","",IF(원본명단!$I5082="",0,COUNTIF(원본명단!$I$3:$I$6002,원본명단!$I5082)))</f>
        <v/>
      </c>
      <c r="G5083" s="11" t="str">
        <f aca="false">IF($A5083="","",IF(원본명단!$K5082="",0,COUNTIF(원본명단!$K$3:$K$6002,원본명단!$K5082)))</f>
        <v/>
      </c>
      <c r="H5083" s="11" t="str">
        <f aca="false">IF($A5083="","",IF(MAX($E5083,$F5083,$G5083)&gt;1,"중복","-"))</f>
        <v/>
      </c>
      <c r="I5083" s="11" t="str">
        <f aca="false">IF($A5083="","",IF($H5083="-","-",IF(AND(IF(원본명단!$H5082="",TRUE(),COUNTIF(원본명단!$H$3:$H5082,원본명단!$H5082)=1),IF(원본명단!$I5082="",TRUE(),COUNTIF(원본명단!$I$3:$I5082,원본명단!$I5082)=1),IF(원본명단!$K5082="",TRUE(),COUNTIF(원본명단!$K$3:$K5082,원본명단!$K5082)=1)),"첫 건","중복 건")))</f>
        <v/>
      </c>
      <c r="J5083" s="11" t="str">
        <f aca="false">IF($A5083="","",IF($H5083="-","유지",IF($I5083="첫 건","유지","확인 필요")))</f>
        <v/>
      </c>
    </row>
    <row r="5084" customFormat="false" ht="15" hidden="false" customHeight="true" outlineLevel="0" collapsed="false">
      <c r="A5084" s="11" t="str">
        <f aca="false">IF(원본명단!$A5083="","",5081)</f>
        <v/>
      </c>
      <c r="B5084" s="12" t="str">
        <f aca="false">IF($A5084="","",원본명단!$A5083)</f>
        <v/>
      </c>
      <c r="C5084" s="12" t="str">
        <f aca="false">IF($A5084="","",원본명단!$B5083)</f>
        <v/>
      </c>
      <c r="D5084" s="12" t="str">
        <f aca="false">IF($A5084="","",원본명단!$D5083)</f>
        <v/>
      </c>
      <c r="E5084" s="11" t="str">
        <f aca="false">IF($A5084="","",IF(원본명단!$H5083="",0,COUNTIF(원본명단!$H$3:$H$6002,원본명단!$H5083)))</f>
        <v/>
      </c>
      <c r="F5084" s="11" t="str">
        <f aca="false">IF($A5084="","",IF(원본명단!$I5083="",0,COUNTIF(원본명단!$I$3:$I$6002,원본명단!$I5083)))</f>
        <v/>
      </c>
      <c r="G5084" s="11" t="str">
        <f aca="false">IF($A5084="","",IF(원본명단!$K5083="",0,COUNTIF(원본명단!$K$3:$K$6002,원본명단!$K5083)))</f>
        <v/>
      </c>
      <c r="H5084" s="11" t="str">
        <f aca="false">IF($A5084="","",IF(MAX($E5084,$F5084,$G5084)&gt;1,"중복","-"))</f>
        <v/>
      </c>
      <c r="I5084" s="11" t="str">
        <f aca="false">IF($A5084="","",IF($H5084="-","-",IF(AND(IF(원본명단!$H5083="",TRUE(),COUNTIF(원본명단!$H$3:$H5083,원본명단!$H5083)=1),IF(원본명단!$I5083="",TRUE(),COUNTIF(원본명단!$I$3:$I5083,원본명단!$I5083)=1),IF(원본명단!$K5083="",TRUE(),COUNTIF(원본명단!$K$3:$K5083,원본명단!$K5083)=1)),"첫 건","중복 건")))</f>
        <v/>
      </c>
      <c r="J5084" s="11" t="str">
        <f aca="false">IF($A5084="","",IF($H5084="-","유지",IF($I5084="첫 건","유지","확인 필요")))</f>
        <v/>
      </c>
    </row>
    <row r="5085" customFormat="false" ht="15" hidden="false" customHeight="true" outlineLevel="0" collapsed="false">
      <c r="A5085" s="11" t="str">
        <f aca="false">IF(원본명단!$A5084="","",5082)</f>
        <v/>
      </c>
      <c r="B5085" s="12" t="str">
        <f aca="false">IF($A5085="","",원본명단!$A5084)</f>
        <v/>
      </c>
      <c r="C5085" s="12" t="str">
        <f aca="false">IF($A5085="","",원본명단!$B5084)</f>
        <v/>
      </c>
      <c r="D5085" s="12" t="str">
        <f aca="false">IF($A5085="","",원본명단!$D5084)</f>
        <v/>
      </c>
      <c r="E5085" s="11" t="str">
        <f aca="false">IF($A5085="","",IF(원본명단!$H5084="",0,COUNTIF(원본명단!$H$3:$H$6002,원본명단!$H5084)))</f>
        <v/>
      </c>
      <c r="F5085" s="11" t="str">
        <f aca="false">IF($A5085="","",IF(원본명단!$I5084="",0,COUNTIF(원본명단!$I$3:$I$6002,원본명단!$I5084)))</f>
        <v/>
      </c>
      <c r="G5085" s="11" t="str">
        <f aca="false">IF($A5085="","",IF(원본명단!$K5084="",0,COUNTIF(원본명단!$K$3:$K$6002,원본명단!$K5084)))</f>
        <v/>
      </c>
      <c r="H5085" s="11" t="str">
        <f aca="false">IF($A5085="","",IF(MAX($E5085,$F5085,$G5085)&gt;1,"중복","-"))</f>
        <v/>
      </c>
      <c r="I5085" s="11" t="str">
        <f aca="false">IF($A5085="","",IF($H5085="-","-",IF(AND(IF(원본명단!$H5084="",TRUE(),COUNTIF(원본명단!$H$3:$H5084,원본명단!$H5084)=1),IF(원본명단!$I5084="",TRUE(),COUNTIF(원본명단!$I$3:$I5084,원본명단!$I5084)=1),IF(원본명단!$K5084="",TRUE(),COUNTIF(원본명단!$K$3:$K5084,원본명단!$K5084)=1)),"첫 건","중복 건")))</f>
        <v/>
      </c>
      <c r="J5085" s="11" t="str">
        <f aca="false">IF($A5085="","",IF($H5085="-","유지",IF($I5085="첫 건","유지","확인 필요")))</f>
        <v/>
      </c>
    </row>
    <row r="5086" customFormat="false" ht="15" hidden="false" customHeight="true" outlineLevel="0" collapsed="false">
      <c r="A5086" s="11" t="str">
        <f aca="false">IF(원본명단!$A5085="","",5083)</f>
        <v/>
      </c>
      <c r="B5086" s="12" t="str">
        <f aca="false">IF($A5086="","",원본명단!$A5085)</f>
        <v/>
      </c>
      <c r="C5086" s="12" t="str">
        <f aca="false">IF($A5086="","",원본명단!$B5085)</f>
        <v/>
      </c>
      <c r="D5086" s="12" t="str">
        <f aca="false">IF($A5086="","",원본명단!$D5085)</f>
        <v/>
      </c>
      <c r="E5086" s="11" t="str">
        <f aca="false">IF($A5086="","",IF(원본명단!$H5085="",0,COUNTIF(원본명단!$H$3:$H$6002,원본명단!$H5085)))</f>
        <v/>
      </c>
      <c r="F5086" s="11" t="str">
        <f aca="false">IF($A5086="","",IF(원본명단!$I5085="",0,COUNTIF(원본명단!$I$3:$I$6002,원본명단!$I5085)))</f>
        <v/>
      </c>
      <c r="G5086" s="11" t="str">
        <f aca="false">IF($A5086="","",IF(원본명단!$K5085="",0,COUNTIF(원본명단!$K$3:$K$6002,원본명단!$K5085)))</f>
        <v/>
      </c>
      <c r="H5086" s="11" t="str">
        <f aca="false">IF($A5086="","",IF(MAX($E5086,$F5086,$G5086)&gt;1,"중복","-"))</f>
        <v/>
      </c>
      <c r="I5086" s="11" t="str">
        <f aca="false">IF($A5086="","",IF($H5086="-","-",IF(AND(IF(원본명단!$H5085="",TRUE(),COUNTIF(원본명단!$H$3:$H5085,원본명단!$H5085)=1),IF(원본명단!$I5085="",TRUE(),COUNTIF(원본명단!$I$3:$I5085,원본명단!$I5085)=1),IF(원본명단!$K5085="",TRUE(),COUNTIF(원본명단!$K$3:$K5085,원본명단!$K5085)=1)),"첫 건","중복 건")))</f>
        <v/>
      </c>
      <c r="J5086" s="11" t="str">
        <f aca="false">IF($A5086="","",IF($H5086="-","유지",IF($I5086="첫 건","유지","확인 필요")))</f>
        <v/>
      </c>
    </row>
    <row r="5087" customFormat="false" ht="15" hidden="false" customHeight="true" outlineLevel="0" collapsed="false">
      <c r="A5087" s="11" t="str">
        <f aca="false">IF(원본명단!$A5086="","",5084)</f>
        <v/>
      </c>
      <c r="B5087" s="12" t="str">
        <f aca="false">IF($A5087="","",원본명단!$A5086)</f>
        <v/>
      </c>
      <c r="C5087" s="12" t="str">
        <f aca="false">IF($A5087="","",원본명단!$B5086)</f>
        <v/>
      </c>
      <c r="D5087" s="12" t="str">
        <f aca="false">IF($A5087="","",원본명단!$D5086)</f>
        <v/>
      </c>
      <c r="E5087" s="11" t="str">
        <f aca="false">IF($A5087="","",IF(원본명단!$H5086="",0,COUNTIF(원본명단!$H$3:$H$6002,원본명단!$H5086)))</f>
        <v/>
      </c>
      <c r="F5087" s="11" t="str">
        <f aca="false">IF($A5087="","",IF(원본명단!$I5086="",0,COUNTIF(원본명단!$I$3:$I$6002,원본명단!$I5086)))</f>
        <v/>
      </c>
      <c r="G5087" s="11" t="str">
        <f aca="false">IF($A5087="","",IF(원본명단!$K5086="",0,COUNTIF(원본명단!$K$3:$K$6002,원본명단!$K5086)))</f>
        <v/>
      </c>
      <c r="H5087" s="11" t="str">
        <f aca="false">IF($A5087="","",IF(MAX($E5087,$F5087,$G5087)&gt;1,"중복","-"))</f>
        <v/>
      </c>
      <c r="I5087" s="11" t="str">
        <f aca="false">IF($A5087="","",IF($H5087="-","-",IF(AND(IF(원본명단!$H5086="",TRUE(),COUNTIF(원본명단!$H$3:$H5086,원본명단!$H5086)=1),IF(원본명단!$I5086="",TRUE(),COUNTIF(원본명단!$I$3:$I5086,원본명단!$I5086)=1),IF(원본명단!$K5086="",TRUE(),COUNTIF(원본명단!$K$3:$K5086,원본명단!$K5086)=1)),"첫 건","중복 건")))</f>
        <v/>
      </c>
      <c r="J5087" s="11" t="str">
        <f aca="false">IF($A5087="","",IF($H5087="-","유지",IF($I5087="첫 건","유지","확인 필요")))</f>
        <v/>
      </c>
    </row>
    <row r="5088" customFormat="false" ht="15" hidden="false" customHeight="true" outlineLevel="0" collapsed="false">
      <c r="A5088" s="11" t="str">
        <f aca="false">IF(원본명단!$A5087="","",5085)</f>
        <v/>
      </c>
      <c r="B5088" s="12" t="str">
        <f aca="false">IF($A5088="","",원본명단!$A5087)</f>
        <v/>
      </c>
      <c r="C5088" s="12" t="str">
        <f aca="false">IF($A5088="","",원본명단!$B5087)</f>
        <v/>
      </c>
      <c r="D5088" s="12" t="str">
        <f aca="false">IF($A5088="","",원본명단!$D5087)</f>
        <v/>
      </c>
      <c r="E5088" s="11" t="str">
        <f aca="false">IF($A5088="","",IF(원본명단!$H5087="",0,COUNTIF(원본명단!$H$3:$H$6002,원본명단!$H5087)))</f>
        <v/>
      </c>
      <c r="F5088" s="11" t="str">
        <f aca="false">IF($A5088="","",IF(원본명단!$I5087="",0,COUNTIF(원본명단!$I$3:$I$6002,원본명단!$I5087)))</f>
        <v/>
      </c>
      <c r="G5088" s="11" t="str">
        <f aca="false">IF($A5088="","",IF(원본명단!$K5087="",0,COUNTIF(원본명단!$K$3:$K$6002,원본명단!$K5087)))</f>
        <v/>
      </c>
      <c r="H5088" s="11" t="str">
        <f aca="false">IF($A5088="","",IF(MAX($E5088,$F5088,$G5088)&gt;1,"중복","-"))</f>
        <v/>
      </c>
      <c r="I5088" s="11" t="str">
        <f aca="false">IF($A5088="","",IF($H5088="-","-",IF(AND(IF(원본명단!$H5087="",TRUE(),COUNTIF(원본명단!$H$3:$H5087,원본명단!$H5087)=1),IF(원본명단!$I5087="",TRUE(),COUNTIF(원본명단!$I$3:$I5087,원본명단!$I5087)=1),IF(원본명단!$K5087="",TRUE(),COUNTIF(원본명단!$K$3:$K5087,원본명단!$K5087)=1)),"첫 건","중복 건")))</f>
        <v/>
      </c>
      <c r="J5088" s="11" t="str">
        <f aca="false">IF($A5088="","",IF($H5088="-","유지",IF($I5088="첫 건","유지","확인 필요")))</f>
        <v/>
      </c>
    </row>
    <row r="5089" customFormat="false" ht="15" hidden="false" customHeight="true" outlineLevel="0" collapsed="false">
      <c r="A5089" s="11" t="str">
        <f aca="false">IF(원본명단!$A5088="","",5086)</f>
        <v/>
      </c>
      <c r="B5089" s="12" t="str">
        <f aca="false">IF($A5089="","",원본명단!$A5088)</f>
        <v/>
      </c>
      <c r="C5089" s="12" t="str">
        <f aca="false">IF($A5089="","",원본명단!$B5088)</f>
        <v/>
      </c>
      <c r="D5089" s="12" t="str">
        <f aca="false">IF($A5089="","",원본명단!$D5088)</f>
        <v/>
      </c>
      <c r="E5089" s="11" t="str">
        <f aca="false">IF($A5089="","",IF(원본명단!$H5088="",0,COUNTIF(원본명단!$H$3:$H$6002,원본명단!$H5088)))</f>
        <v/>
      </c>
      <c r="F5089" s="11" t="str">
        <f aca="false">IF($A5089="","",IF(원본명단!$I5088="",0,COUNTIF(원본명단!$I$3:$I$6002,원본명단!$I5088)))</f>
        <v/>
      </c>
      <c r="G5089" s="11" t="str">
        <f aca="false">IF($A5089="","",IF(원본명단!$K5088="",0,COUNTIF(원본명단!$K$3:$K$6002,원본명단!$K5088)))</f>
        <v/>
      </c>
      <c r="H5089" s="11" t="str">
        <f aca="false">IF($A5089="","",IF(MAX($E5089,$F5089,$G5089)&gt;1,"중복","-"))</f>
        <v/>
      </c>
      <c r="I5089" s="11" t="str">
        <f aca="false">IF($A5089="","",IF($H5089="-","-",IF(AND(IF(원본명단!$H5088="",TRUE(),COUNTIF(원본명단!$H$3:$H5088,원본명단!$H5088)=1),IF(원본명단!$I5088="",TRUE(),COUNTIF(원본명단!$I$3:$I5088,원본명단!$I5088)=1),IF(원본명단!$K5088="",TRUE(),COUNTIF(원본명단!$K$3:$K5088,원본명단!$K5088)=1)),"첫 건","중복 건")))</f>
        <v/>
      </c>
      <c r="J5089" s="11" t="str">
        <f aca="false">IF($A5089="","",IF($H5089="-","유지",IF($I5089="첫 건","유지","확인 필요")))</f>
        <v/>
      </c>
    </row>
    <row r="5090" customFormat="false" ht="15" hidden="false" customHeight="true" outlineLevel="0" collapsed="false">
      <c r="A5090" s="11" t="str">
        <f aca="false">IF(원본명단!$A5089="","",5087)</f>
        <v/>
      </c>
      <c r="B5090" s="12" t="str">
        <f aca="false">IF($A5090="","",원본명단!$A5089)</f>
        <v/>
      </c>
      <c r="C5090" s="12" t="str">
        <f aca="false">IF($A5090="","",원본명단!$B5089)</f>
        <v/>
      </c>
      <c r="D5090" s="12" t="str">
        <f aca="false">IF($A5090="","",원본명단!$D5089)</f>
        <v/>
      </c>
      <c r="E5090" s="11" t="str">
        <f aca="false">IF($A5090="","",IF(원본명단!$H5089="",0,COUNTIF(원본명단!$H$3:$H$6002,원본명단!$H5089)))</f>
        <v/>
      </c>
      <c r="F5090" s="11" t="str">
        <f aca="false">IF($A5090="","",IF(원본명단!$I5089="",0,COUNTIF(원본명단!$I$3:$I$6002,원본명단!$I5089)))</f>
        <v/>
      </c>
      <c r="G5090" s="11" t="str">
        <f aca="false">IF($A5090="","",IF(원본명단!$K5089="",0,COUNTIF(원본명단!$K$3:$K$6002,원본명단!$K5089)))</f>
        <v/>
      </c>
      <c r="H5090" s="11" t="str">
        <f aca="false">IF($A5090="","",IF(MAX($E5090,$F5090,$G5090)&gt;1,"중복","-"))</f>
        <v/>
      </c>
      <c r="I5090" s="11" t="str">
        <f aca="false">IF($A5090="","",IF($H5090="-","-",IF(AND(IF(원본명단!$H5089="",TRUE(),COUNTIF(원본명단!$H$3:$H5089,원본명단!$H5089)=1),IF(원본명단!$I5089="",TRUE(),COUNTIF(원본명단!$I$3:$I5089,원본명단!$I5089)=1),IF(원본명단!$K5089="",TRUE(),COUNTIF(원본명단!$K$3:$K5089,원본명단!$K5089)=1)),"첫 건","중복 건")))</f>
        <v/>
      </c>
      <c r="J5090" s="11" t="str">
        <f aca="false">IF($A5090="","",IF($H5090="-","유지",IF($I5090="첫 건","유지","확인 필요")))</f>
        <v/>
      </c>
    </row>
    <row r="5091" customFormat="false" ht="15" hidden="false" customHeight="true" outlineLevel="0" collapsed="false">
      <c r="A5091" s="11" t="str">
        <f aca="false">IF(원본명단!$A5090="","",5088)</f>
        <v/>
      </c>
      <c r="B5091" s="12" t="str">
        <f aca="false">IF($A5091="","",원본명단!$A5090)</f>
        <v/>
      </c>
      <c r="C5091" s="12" t="str">
        <f aca="false">IF($A5091="","",원본명단!$B5090)</f>
        <v/>
      </c>
      <c r="D5091" s="12" t="str">
        <f aca="false">IF($A5091="","",원본명단!$D5090)</f>
        <v/>
      </c>
      <c r="E5091" s="11" t="str">
        <f aca="false">IF($A5091="","",IF(원본명단!$H5090="",0,COUNTIF(원본명단!$H$3:$H$6002,원본명단!$H5090)))</f>
        <v/>
      </c>
      <c r="F5091" s="11" t="str">
        <f aca="false">IF($A5091="","",IF(원본명단!$I5090="",0,COUNTIF(원본명단!$I$3:$I$6002,원본명단!$I5090)))</f>
        <v/>
      </c>
      <c r="G5091" s="11" t="str">
        <f aca="false">IF($A5091="","",IF(원본명단!$K5090="",0,COUNTIF(원본명단!$K$3:$K$6002,원본명단!$K5090)))</f>
        <v/>
      </c>
      <c r="H5091" s="11" t="str">
        <f aca="false">IF($A5091="","",IF(MAX($E5091,$F5091,$G5091)&gt;1,"중복","-"))</f>
        <v/>
      </c>
      <c r="I5091" s="11" t="str">
        <f aca="false">IF($A5091="","",IF($H5091="-","-",IF(AND(IF(원본명단!$H5090="",TRUE(),COUNTIF(원본명단!$H$3:$H5090,원본명단!$H5090)=1),IF(원본명단!$I5090="",TRUE(),COUNTIF(원본명단!$I$3:$I5090,원본명단!$I5090)=1),IF(원본명단!$K5090="",TRUE(),COUNTIF(원본명단!$K$3:$K5090,원본명단!$K5090)=1)),"첫 건","중복 건")))</f>
        <v/>
      </c>
      <c r="J5091" s="11" t="str">
        <f aca="false">IF($A5091="","",IF($H5091="-","유지",IF($I5091="첫 건","유지","확인 필요")))</f>
        <v/>
      </c>
    </row>
    <row r="5092" customFormat="false" ht="15" hidden="false" customHeight="true" outlineLevel="0" collapsed="false">
      <c r="A5092" s="11" t="str">
        <f aca="false">IF(원본명단!$A5091="","",5089)</f>
        <v/>
      </c>
      <c r="B5092" s="12" t="str">
        <f aca="false">IF($A5092="","",원본명단!$A5091)</f>
        <v/>
      </c>
      <c r="C5092" s="12" t="str">
        <f aca="false">IF($A5092="","",원본명단!$B5091)</f>
        <v/>
      </c>
      <c r="D5092" s="12" t="str">
        <f aca="false">IF($A5092="","",원본명단!$D5091)</f>
        <v/>
      </c>
      <c r="E5092" s="11" t="str">
        <f aca="false">IF($A5092="","",IF(원본명단!$H5091="",0,COUNTIF(원본명단!$H$3:$H$6002,원본명단!$H5091)))</f>
        <v/>
      </c>
      <c r="F5092" s="11" t="str">
        <f aca="false">IF($A5092="","",IF(원본명단!$I5091="",0,COUNTIF(원본명단!$I$3:$I$6002,원본명단!$I5091)))</f>
        <v/>
      </c>
      <c r="G5092" s="11" t="str">
        <f aca="false">IF($A5092="","",IF(원본명단!$K5091="",0,COUNTIF(원본명단!$K$3:$K$6002,원본명단!$K5091)))</f>
        <v/>
      </c>
      <c r="H5092" s="11" t="str">
        <f aca="false">IF($A5092="","",IF(MAX($E5092,$F5092,$G5092)&gt;1,"중복","-"))</f>
        <v/>
      </c>
      <c r="I5092" s="11" t="str">
        <f aca="false">IF($A5092="","",IF($H5092="-","-",IF(AND(IF(원본명단!$H5091="",TRUE(),COUNTIF(원본명단!$H$3:$H5091,원본명단!$H5091)=1),IF(원본명단!$I5091="",TRUE(),COUNTIF(원본명단!$I$3:$I5091,원본명단!$I5091)=1),IF(원본명단!$K5091="",TRUE(),COUNTIF(원본명단!$K$3:$K5091,원본명단!$K5091)=1)),"첫 건","중복 건")))</f>
        <v/>
      </c>
      <c r="J5092" s="11" t="str">
        <f aca="false">IF($A5092="","",IF($H5092="-","유지",IF($I5092="첫 건","유지","확인 필요")))</f>
        <v/>
      </c>
    </row>
    <row r="5093" customFormat="false" ht="15" hidden="false" customHeight="true" outlineLevel="0" collapsed="false">
      <c r="A5093" s="11" t="str">
        <f aca="false">IF(원본명단!$A5092="","",5090)</f>
        <v/>
      </c>
      <c r="B5093" s="12" t="str">
        <f aca="false">IF($A5093="","",원본명단!$A5092)</f>
        <v/>
      </c>
      <c r="C5093" s="12" t="str">
        <f aca="false">IF($A5093="","",원본명단!$B5092)</f>
        <v/>
      </c>
      <c r="D5093" s="12" t="str">
        <f aca="false">IF($A5093="","",원본명단!$D5092)</f>
        <v/>
      </c>
      <c r="E5093" s="11" t="str">
        <f aca="false">IF($A5093="","",IF(원본명단!$H5092="",0,COUNTIF(원본명단!$H$3:$H$6002,원본명단!$H5092)))</f>
        <v/>
      </c>
      <c r="F5093" s="11" t="str">
        <f aca="false">IF($A5093="","",IF(원본명단!$I5092="",0,COUNTIF(원본명단!$I$3:$I$6002,원본명단!$I5092)))</f>
        <v/>
      </c>
      <c r="G5093" s="11" t="str">
        <f aca="false">IF($A5093="","",IF(원본명단!$K5092="",0,COUNTIF(원본명단!$K$3:$K$6002,원본명단!$K5092)))</f>
        <v/>
      </c>
      <c r="H5093" s="11" t="str">
        <f aca="false">IF($A5093="","",IF(MAX($E5093,$F5093,$G5093)&gt;1,"중복","-"))</f>
        <v/>
      </c>
      <c r="I5093" s="11" t="str">
        <f aca="false">IF($A5093="","",IF($H5093="-","-",IF(AND(IF(원본명단!$H5092="",TRUE(),COUNTIF(원본명단!$H$3:$H5092,원본명단!$H5092)=1),IF(원본명단!$I5092="",TRUE(),COUNTIF(원본명단!$I$3:$I5092,원본명단!$I5092)=1),IF(원본명단!$K5092="",TRUE(),COUNTIF(원본명단!$K$3:$K5092,원본명단!$K5092)=1)),"첫 건","중복 건")))</f>
        <v/>
      </c>
      <c r="J5093" s="11" t="str">
        <f aca="false">IF($A5093="","",IF($H5093="-","유지",IF($I5093="첫 건","유지","확인 필요")))</f>
        <v/>
      </c>
    </row>
    <row r="5094" customFormat="false" ht="15" hidden="false" customHeight="true" outlineLevel="0" collapsed="false">
      <c r="A5094" s="11" t="str">
        <f aca="false">IF(원본명단!$A5093="","",5091)</f>
        <v/>
      </c>
      <c r="B5094" s="12" t="str">
        <f aca="false">IF($A5094="","",원본명단!$A5093)</f>
        <v/>
      </c>
      <c r="C5094" s="12" t="str">
        <f aca="false">IF($A5094="","",원본명단!$B5093)</f>
        <v/>
      </c>
      <c r="D5094" s="12" t="str">
        <f aca="false">IF($A5094="","",원본명단!$D5093)</f>
        <v/>
      </c>
      <c r="E5094" s="11" t="str">
        <f aca="false">IF($A5094="","",IF(원본명단!$H5093="",0,COUNTIF(원본명단!$H$3:$H$6002,원본명단!$H5093)))</f>
        <v/>
      </c>
      <c r="F5094" s="11" t="str">
        <f aca="false">IF($A5094="","",IF(원본명단!$I5093="",0,COUNTIF(원본명단!$I$3:$I$6002,원본명단!$I5093)))</f>
        <v/>
      </c>
      <c r="G5094" s="11" t="str">
        <f aca="false">IF($A5094="","",IF(원본명단!$K5093="",0,COUNTIF(원본명단!$K$3:$K$6002,원본명단!$K5093)))</f>
        <v/>
      </c>
      <c r="H5094" s="11" t="str">
        <f aca="false">IF($A5094="","",IF(MAX($E5094,$F5094,$G5094)&gt;1,"중복","-"))</f>
        <v/>
      </c>
      <c r="I5094" s="11" t="str">
        <f aca="false">IF($A5094="","",IF($H5094="-","-",IF(AND(IF(원본명단!$H5093="",TRUE(),COUNTIF(원본명단!$H$3:$H5093,원본명단!$H5093)=1),IF(원본명단!$I5093="",TRUE(),COUNTIF(원본명단!$I$3:$I5093,원본명단!$I5093)=1),IF(원본명단!$K5093="",TRUE(),COUNTIF(원본명단!$K$3:$K5093,원본명단!$K5093)=1)),"첫 건","중복 건")))</f>
        <v/>
      </c>
      <c r="J5094" s="11" t="str">
        <f aca="false">IF($A5094="","",IF($H5094="-","유지",IF($I5094="첫 건","유지","확인 필요")))</f>
        <v/>
      </c>
    </row>
    <row r="5095" customFormat="false" ht="15" hidden="false" customHeight="true" outlineLevel="0" collapsed="false">
      <c r="A5095" s="11" t="str">
        <f aca="false">IF(원본명단!$A5094="","",5092)</f>
        <v/>
      </c>
      <c r="B5095" s="12" t="str">
        <f aca="false">IF($A5095="","",원본명단!$A5094)</f>
        <v/>
      </c>
      <c r="C5095" s="12" t="str">
        <f aca="false">IF($A5095="","",원본명단!$B5094)</f>
        <v/>
      </c>
      <c r="D5095" s="12" t="str">
        <f aca="false">IF($A5095="","",원본명단!$D5094)</f>
        <v/>
      </c>
      <c r="E5095" s="11" t="str">
        <f aca="false">IF($A5095="","",IF(원본명단!$H5094="",0,COUNTIF(원본명단!$H$3:$H$6002,원본명단!$H5094)))</f>
        <v/>
      </c>
      <c r="F5095" s="11" t="str">
        <f aca="false">IF($A5095="","",IF(원본명단!$I5094="",0,COUNTIF(원본명단!$I$3:$I$6002,원본명단!$I5094)))</f>
        <v/>
      </c>
      <c r="G5095" s="11" t="str">
        <f aca="false">IF($A5095="","",IF(원본명단!$K5094="",0,COUNTIF(원본명단!$K$3:$K$6002,원본명단!$K5094)))</f>
        <v/>
      </c>
      <c r="H5095" s="11" t="str">
        <f aca="false">IF($A5095="","",IF(MAX($E5095,$F5095,$G5095)&gt;1,"중복","-"))</f>
        <v/>
      </c>
      <c r="I5095" s="11" t="str">
        <f aca="false">IF($A5095="","",IF($H5095="-","-",IF(AND(IF(원본명단!$H5094="",TRUE(),COUNTIF(원본명단!$H$3:$H5094,원본명단!$H5094)=1),IF(원본명단!$I5094="",TRUE(),COUNTIF(원본명단!$I$3:$I5094,원본명단!$I5094)=1),IF(원본명단!$K5094="",TRUE(),COUNTIF(원본명단!$K$3:$K5094,원본명단!$K5094)=1)),"첫 건","중복 건")))</f>
        <v/>
      </c>
      <c r="J5095" s="11" t="str">
        <f aca="false">IF($A5095="","",IF($H5095="-","유지",IF($I5095="첫 건","유지","확인 필요")))</f>
        <v/>
      </c>
    </row>
    <row r="5096" customFormat="false" ht="15" hidden="false" customHeight="true" outlineLevel="0" collapsed="false">
      <c r="A5096" s="11" t="str">
        <f aca="false">IF(원본명단!$A5095="","",5093)</f>
        <v/>
      </c>
      <c r="B5096" s="12" t="str">
        <f aca="false">IF($A5096="","",원본명단!$A5095)</f>
        <v/>
      </c>
      <c r="C5096" s="12" t="str">
        <f aca="false">IF($A5096="","",원본명단!$B5095)</f>
        <v/>
      </c>
      <c r="D5096" s="12" t="str">
        <f aca="false">IF($A5096="","",원본명단!$D5095)</f>
        <v/>
      </c>
      <c r="E5096" s="11" t="str">
        <f aca="false">IF($A5096="","",IF(원본명단!$H5095="",0,COUNTIF(원본명단!$H$3:$H$6002,원본명단!$H5095)))</f>
        <v/>
      </c>
      <c r="F5096" s="11" t="str">
        <f aca="false">IF($A5096="","",IF(원본명단!$I5095="",0,COUNTIF(원본명단!$I$3:$I$6002,원본명단!$I5095)))</f>
        <v/>
      </c>
      <c r="G5096" s="11" t="str">
        <f aca="false">IF($A5096="","",IF(원본명단!$K5095="",0,COUNTIF(원본명단!$K$3:$K$6002,원본명단!$K5095)))</f>
        <v/>
      </c>
      <c r="H5096" s="11" t="str">
        <f aca="false">IF($A5096="","",IF(MAX($E5096,$F5096,$G5096)&gt;1,"중복","-"))</f>
        <v/>
      </c>
      <c r="I5096" s="11" t="str">
        <f aca="false">IF($A5096="","",IF($H5096="-","-",IF(AND(IF(원본명단!$H5095="",TRUE(),COUNTIF(원본명단!$H$3:$H5095,원본명단!$H5095)=1),IF(원본명단!$I5095="",TRUE(),COUNTIF(원본명단!$I$3:$I5095,원본명단!$I5095)=1),IF(원본명단!$K5095="",TRUE(),COUNTIF(원본명단!$K$3:$K5095,원본명단!$K5095)=1)),"첫 건","중복 건")))</f>
        <v/>
      </c>
      <c r="J5096" s="11" t="str">
        <f aca="false">IF($A5096="","",IF($H5096="-","유지",IF($I5096="첫 건","유지","확인 필요")))</f>
        <v/>
      </c>
    </row>
    <row r="5097" customFormat="false" ht="15" hidden="false" customHeight="true" outlineLevel="0" collapsed="false">
      <c r="A5097" s="11" t="str">
        <f aca="false">IF(원본명단!$A5096="","",5094)</f>
        <v/>
      </c>
      <c r="B5097" s="12" t="str">
        <f aca="false">IF($A5097="","",원본명단!$A5096)</f>
        <v/>
      </c>
      <c r="C5097" s="12" t="str">
        <f aca="false">IF($A5097="","",원본명단!$B5096)</f>
        <v/>
      </c>
      <c r="D5097" s="12" t="str">
        <f aca="false">IF($A5097="","",원본명단!$D5096)</f>
        <v/>
      </c>
      <c r="E5097" s="11" t="str">
        <f aca="false">IF($A5097="","",IF(원본명단!$H5096="",0,COUNTIF(원본명단!$H$3:$H$6002,원본명단!$H5096)))</f>
        <v/>
      </c>
      <c r="F5097" s="11" t="str">
        <f aca="false">IF($A5097="","",IF(원본명단!$I5096="",0,COUNTIF(원본명단!$I$3:$I$6002,원본명단!$I5096)))</f>
        <v/>
      </c>
      <c r="G5097" s="11" t="str">
        <f aca="false">IF($A5097="","",IF(원본명단!$K5096="",0,COUNTIF(원본명단!$K$3:$K$6002,원본명단!$K5096)))</f>
        <v/>
      </c>
      <c r="H5097" s="11" t="str">
        <f aca="false">IF($A5097="","",IF(MAX($E5097,$F5097,$G5097)&gt;1,"중복","-"))</f>
        <v/>
      </c>
      <c r="I5097" s="11" t="str">
        <f aca="false">IF($A5097="","",IF($H5097="-","-",IF(AND(IF(원본명단!$H5096="",TRUE(),COUNTIF(원본명단!$H$3:$H5096,원본명단!$H5096)=1),IF(원본명단!$I5096="",TRUE(),COUNTIF(원본명단!$I$3:$I5096,원본명단!$I5096)=1),IF(원본명단!$K5096="",TRUE(),COUNTIF(원본명단!$K$3:$K5096,원본명단!$K5096)=1)),"첫 건","중복 건")))</f>
        <v/>
      </c>
      <c r="J5097" s="11" t="str">
        <f aca="false">IF($A5097="","",IF($H5097="-","유지",IF($I5097="첫 건","유지","확인 필요")))</f>
        <v/>
      </c>
    </row>
    <row r="5098" customFormat="false" ht="15" hidden="false" customHeight="true" outlineLevel="0" collapsed="false">
      <c r="A5098" s="11" t="str">
        <f aca="false">IF(원본명단!$A5097="","",5095)</f>
        <v/>
      </c>
      <c r="B5098" s="12" t="str">
        <f aca="false">IF($A5098="","",원본명단!$A5097)</f>
        <v/>
      </c>
      <c r="C5098" s="12" t="str">
        <f aca="false">IF($A5098="","",원본명단!$B5097)</f>
        <v/>
      </c>
      <c r="D5098" s="12" t="str">
        <f aca="false">IF($A5098="","",원본명단!$D5097)</f>
        <v/>
      </c>
      <c r="E5098" s="11" t="str">
        <f aca="false">IF($A5098="","",IF(원본명단!$H5097="",0,COUNTIF(원본명단!$H$3:$H$6002,원본명단!$H5097)))</f>
        <v/>
      </c>
      <c r="F5098" s="11" t="str">
        <f aca="false">IF($A5098="","",IF(원본명단!$I5097="",0,COUNTIF(원본명단!$I$3:$I$6002,원본명단!$I5097)))</f>
        <v/>
      </c>
      <c r="G5098" s="11" t="str">
        <f aca="false">IF($A5098="","",IF(원본명단!$K5097="",0,COUNTIF(원본명단!$K$3:$K$6002,원본명단!$K5097)))</f>
        <v/>
      </c>
      <c r="H5098" s="11" t="str">
        <f aca="false">IF($A5098="","",IF(MAX($E5098,$F5098,$G5098)&gt;1,"중복","-"))</f>
        <v/>
      </c>
      <c r="I5098" s="11" t="str">
        <f aca="false">IF($A5098="","",IF($H5098="-","-",IF(AND(IF(원본명단!$H5097="",TRUE(),COUNTIF(원본명단!$H$3:$H5097,원본명단!$H5097)=1),IF(원본명단!$I5097="",TRUE(),COUNTIF(원본명단!$I$3:$I5097,원본명단!$I5097)=1),IF(원본명단!$K5097="",TRUE(),COUNTIF(원본명단!$K$3:$K5097,원본명단!$K5097)=1)),"첫 건","중복 건")))</f>
        <v/>
      </c>
      <c r="J5098" s="11" t="str">
        <f aca="false">IF($A5098="","",IF($H5098="-","유지",IF($I5098="첫 건","유지","확인 필요")))</f>
        <v/>
      </c>
    </row>
    <row r="5099" customFormat="false" ht="15" hidden="false" customHeight="true" outlineLevel="0" collapsed="false">
      <c r="A5099" s="11" t="str">
        <f aca="false">IF(원본명단!$A5098="","",5096)</f>
        <v/>
      </c>
      <c r="B5099" s="12" t="str">
        <f aca="false">IF($A5099="","",원본명단!$A5098)</f>
        <v/>
      </c>
      <c r="C5099" s="12" t="str">
        <f aca="false">IF($A5099="","",원본명단!$B5098)</f>
        <v/>
      </c>
      <c r="D5099" s="12" t="str">
        <f aca="false">IF($A5099="","",원본명단!$D5098)</f>
        <v/>
      </c>
      <c r="E5099" s="11" t="str">
        <f aca="false">IF($A5099="","",IF(원본명단!$H5098="",0,COUNTIF(원본명단!$H$3:$H$6002,원본명단!$H5098)))</f>
        <v/>
      </c>
      <c r="F5099" s="11" t="str">
        <f aca="false">IF($A5099="","",IF(원본명단!$I5098="",0,COUNTIF(원본명단!$I$3:$I$6002,원본명단!$I5098)))</f>
        <v/>
      </c>
      <c r="G5099" s="11" t="str">
        <f aca="false">IF($A5099="","",IF(원본명단!$K5098="",0,COUNTIF(원본명단!$K$3:$K$6002,원본명단!$K5098)))</f>
        <v/>
      </c>
      <c r="H5099" s="11" t="str">
        <f aca="false">IF($A5099="","",IF(MAX($E5099,$F5099,$G5099)&gt;1,"중복","-"))</f>
        <v/>
      </c>
      <c r="I5099" s="11" t="str">
        <f aca="false">IF($A5099="","",IF($H5099="-","-",IF(AND(IF(원본명단!$H5098="",TRUE(),COUNTIF(원본명단!$H$3:$H5098,원본명단!$H5098)=1),IF(원본명단!$I5098="",TRUE(),COUNTIF(원본명단!$I$3:$I5098,원본명단!$I5098)=1),IF(원본명단!$K5098="",TRUE(),COUNTIF(원본명단!$K$3:$K5098,원본명단!$K5098)=1)),"첫 건","중복 건")))</f>
        <v/>
      </c>
      <c r="J5099" s="11" t="str">
        <f aca="false">IF($A5099="","",IF($H5099="-","유지",IF($I5099="첫 건","유지","확인 필요")))</f>
        <v/>
      </c>
    </row>
    <row r="5100" customFormat="false" ht="15" hidden="false" customHeight="true" outlineLevel="0" collapsed="false">
      <c r="A5100" s="11" t="str">
        <f aca="false">IF(원본명단!$A5099="","",5097)</f>
        <v/>
      </c>
      <c r="B5100" s="12" t="str">
        <f aca="false">IF($A5100="","",원본명단!$A5099)</f>
        <v/>
      </c>
      <c r="C5100" s="12" t="str">
        <f aca="false">IF($A5100="","",원본명단!$B5099)</f>
        <v/>
      </c>
      <c r="D5100" s="12" t="str">
        <f aca="false">IF($A5100="","",원본명단!$D5099)</f>
        <v/>
      </c>
      <c r="E5100" s="11" t="str">
        <f aca="false">IF($A5100="","",IF(원본명단!$H5099="",0,COUNTIF(원본명단!$H$3:$H$6002,원본명단!$H5099)))</f>
        <v/>
      </c>
      <c r="F5100" s="11" t="str">
        <f aca="false">IF($A5100="","",IF(원본명단!$I5099="",0,COUNTIF(원본명단!$I$3:$I$6002,원본명단!$I5099)))</f>
        <v/>
      </c>
      <c r="G5100" s="11" t="str">
        <f aca="false">IF($A5100="","",IF(원본명단!$K5099="",0,COUNTIF(원본명단!$K$3:$K$6002,원본명단!$K5099)))</f>
        <v/>
      </c>
      <c r="H5100" s="11" t="str">
        <f aca="false">IF($A5100="","",IF(MAX($E5100,$F5100,$G5100)&gt;1,"중복","-"))</f>
        <v/>
      </c>
      <c r="I5100" s="11" t="str">
        <f aca="false">IF($A5100="","",IF($H5100="-","-",IF(AND(IF(원본명단!$H5099="",TRUE(),COUNTIF(원본명단!$H$3:$H5099,원본명단!$H5099)=1),IF(원본명단!$I5099="",TRUE(),COUNTIF(원본명단!$I$3:$I5099,원본명단!$I5099)=1),IF(원본명단!$K5099="",TRUE(),COUNTIF(원본명단!$K$3:$K5099,원본명단!$K5099)=1)),"첫 건","중복 건")))</f>
        <v/>
      </c>
      <c r="J5100" s="11" t="str">
        <f aca="false">IF($A5100="","",IF($H5100="-","유지",IF($I5100="첫 건","유지","확인 필요")))</f>
        <v/>
      </c>
    </row>
    <row r="5101" customFormat="false" ht="15" hidden="false" customHeight="true" outlineLevel="0" collapsed="false">
      <c r="A5101" s="11" t="str">
        <f aca="false">IF(원본명단!$A5100="","",5098)</f>
        <v/>
      </c>
      <c r="B5101" s="12" t="str">
        <f aca="false">IF($A5101="","",원본명단!$A5100)</f>
        <v/>
      </c>
      <c r="C5101" s="12" t="str">
        <f aca="false">IF($A5101="","",원본명단!$B5100)</f>
        <v/>
      </c>
      <c r="D5101" s="12" t="str">
        <f aca="false">IF($A5101="","",원본명단!$D5100)</f>
        <v/>
      </c>
      <c r="E5101" s="11" t="str">
        <f aca="false">IF($A5101="","",IF(원본명단!$H5100="",0,COUNTIF(원본명단!$H$3:$H$6002,원본명단!$H5100)))</f>
        <v/>
      </c>
      <c r="F5101" s="11" t="str">
        <f aca="false">IF($A5101="","",IF(원본명단!$I5100="",0,COUNTIF(원본명단!$I$3:$I$6002,원본명단!$I5100)))</f>
        <v/>
      </c>
      <c r="G5101" s="11" t="str">
        <f aca="false">IF($A5101="","",IF(원본명단!$K5100="",0,COUNTIF(원본명단!$K$3:$K$6002,원본명단!$K5100)))</f>
        <v/>
      </c>
      <c r="H5101" s="11" t="str">
        <f aca="false">IF($A5101="","",IF(MAX($E5101,$F5101,$G5101)&gt;1,"중복","-"))</f>
        <v/>
      </c>
      <c r="I5101" s="11" t="str">
        <f aca="false">IF($A5101="","",IF($H5101="-","-",IF(AND(IF(원본명단!$H5100="",TRUE(),COUNTIF(원본명단!$H$3:$H5100,원본명단!$H5100)=1),IF(원본명단!$I5100="",TRUE(),COUNTIF(원본명단!$I$3:$I5100,원본명단!$I5100)=1),IF(원본명단!$K5100="",TRUE(),COUNTIF(원본명단!$K$3:$K5100,원본명단!$K5100)=1)),"첫 건","중복 건")))</f>
        <v/>
      </c>
      <c r="J5101" s="11" t="str">
        <f aca="false">IF($A5101="","",IF($H5101="-","유지",IF($I5101="첫 건","유지","확인 필요")))</f>
        <v/>
      </c>
    </row>
    <row r="5102" customFormat="false" ht="15" hidden="false" customHeight="true" outlineLevel="0" collapsed="false">
      <c r="A5102" s="11" t="str">
        <f aca="false">IF(원본명단!$A5101="","",5099)</f>
        <v/>
      </c>
      <c r="B5102" s="12" t="str">
        <f aca="false">IF($A5102="","",원본명단!$A5101)</f>
        <v/>
      </c>
      <c r="C5102" s="12" t="str">
        <f aca="false">IF($A5102="","",원본명단!$B5101)</f>
        <v/>
      </c>
      <c r="D5102" s="12" t="str">
        <f aca="false">IF($A5102="","",원본명단!$D5101)</f>
        <v/>
      </c>
      <c r="E5102" s="11" t="str">
        <f aca="false">IF($A5102="","",IF(원본명단!$H5101="",0,COUNTIF(원본명단!$H$3:$H$6002,원본명단!$H5101)))</f>
        <v/>
      </c>
      <c r="F5102" s="11" t="str">
        <f aca="false">IF($A5102="","",IF(원본명단!$I5101="",0,COUNTIF(원본명단!$I$3:$I$6002,원본명단!$I5101)))</f>
        <v/>
      </c>
      <c r="G5102" s="11" t="str">
        <f aca="false">IF($A5102="","",IF(원본명단!$K5101="",0,COUNTIF(원본명단!$K$3:$K$6002,원본명단!$K5101)))</f>
        <v/>
      </c>
      <c r="H5102" s="11" t="str">
        <f aca="false">IF($A5102="","",IF(MAX($E5102,$F5102,$G5102)&gt;1,"중복","-"))</f>
        <v/>
      </c>
      <c r="I5102" s="11" t="str">
        <f aca="false">IF($A5102="","",IF($H5102="-","-",IF(AND(IF(원본명단!$H5101="",TRUE(),COUNTIF(원본명단!$H$3:$H5101,원본명단!$H5101)=1),IF(원본명단!$I5101="",TRUE(),COUNTIF(원본명단!$I$3:$I5101,원본명단!$I5101)=1),IF(원본명단!$K5101="",TRUE(),COUNTIF(원본명단!$K$3:$K5101,원본명단!$K5101)=1)),"첫 건","중복 건")))</f>
        <v/>
      </c>
      <c r="J5102" s="11" t="str">
        <f aca="false">IF($A5102="","",IF($H5102="-","유지",IF($I5102="첫 건","유지","확인 필요")))</f>
        <v/>
      </c>
    </row>
    <row r="5103" customFormat="false" ht="15" hidden="false" customHeight="true" outlineLevel="0" collapsed="false">
      <c r="A5103" s="11" t="str">
        <f aca="false">IF(원본명단!$A5102="","",5100)</f>
        <v/>
      </c>
      <c r="B5103" s="12" t="str">
        <f aca="false">IF($A5103="","",원본명단!$A5102)</f>
        <v/>
      </c>
      <c r="C5103" s="12" t="str">
        <f aca="false">IF($A5103="","",원본명단!$B5102)</f>
        <v/>
      </c>
      <c r="D5103" s="12" t="str">
        <f aca="false">IF($A5103="","",원본명단!$D5102)</f>
        <v/>
      </c>
      <c r="E5103" s="11" t="str">
        <f aca="false">IF($A5103="","",IF(원본명단!$H5102="",0,COUNTIF(원본명단!$H$3:$H$6002,원본명단!$H5102)))</f>
        <v/>
      </c>
      <c r="F5103" s="11" t="str">
        <f aca="false">IF($A5103="","",IF(원본명단!$I5102="",0,COUNTIF(원본명단!$I$3:$I$6002,원본명단!$I5102)))</f>
        <v/>
      </c>
      <c r="G5103" s="11" t="str">
        <f aca="false">IF($A5103="","",IF(원본명단!$K5102="",0,COUNTIF(원본명단!$K$3:$K$6002,원본명단!$K5102)))</f>
        <v/>
      </c>
      <c r="H5103" s="11" t="str">
        <f aca="false">IF($A5103="","",IF(MAX($E5103,$F5103,$G5103)&gt;1,"중복","-"))</f>
        <v/>
      </c>
      <c r="I5103" s="11" t="str">
        <f aca="false">IF($A5103="","",IF($H5103="-","-",IF(AND(IF(원본명단!$H5102="",TRUE(),COUNTIF(원본명단!$H$3:$H5102,원본명단!$H5102)=1),IF(원본명단!$I5102="",TRUE(),COUNTIF(원본명단!$I$3:$I5102,원본명단!$I5102)=1),IF(원본명단!$K5102="",TRUE(),COUNTIF(원본명단!$K$3:$K5102,원본명단!$K5102)=1)),"첫 건","중복 건")))</f>
        <v/>
      </c>
      <c r="J5103" s="11" t="str">
        <f aca="false">IF($A5103="","",IF($H5103="-","유지",IF($I5103="첫 건","유지","확인 필요")))</f>
        <v/>
      </c>
    </row>
    <row r="5104" customFormat="false" ht="15" hidden="false" customHeight="true" outlineLevel="0" collapsed="false">
      <c r="A5104" s="11" t="str">
        <f aca="false">IF(원본명단!$A5103="","",5101)</f>
        <v/>
      </c>
      <c r="B5104" s="12" t="str">
        <f aca="false">IF($A5104="","",원본명단!$A5103)</f>
        <v/>
      </c>
      <c r="C5104" s="12" t="str">
        <f aca="false">IF($A5104="","",원본명단!$B5103)</f>
        <v/>
      </c>
      <c r="D5104" s="12" t="str">
        <f aca="false">IF($A5104="","",원본명단!$D5103)</f>
        <v/>
      </c>
      <c r="E5104" s="11" t="str">
        <f aca="false">IF($A5104="","",IF(원본명단!$H5103="",0,COUNTIF(원본명단!$H$3:$H$6002,원본명단!$H5103)))</f>
        <v/>
      </c>
      <c r="F5104" s="11" t="str">
        <f aca="false">IF($A5104="","",IF(원본명단!$I5103="",0,COUNTIF(원본명단!$I$3:$I$6002,원본명단!$I5103)))</f>
        <v/>
      </c>
      <c r="G5104" s="11" t="str">
        <f aca="false">IF($A5104="","",IF(원본명단!$K5103="",0,COUNTIF(원본명단!$K$3:$K$6002,원본명단!$K5103)))</f>
        <v/>
      </c>
      <c r="H5104" s="11" t="str">
        <f aca="false">IF($A5104="","",IF(MAX($E5104,$F5104,$G5104)&gt;1,"중복","-"))</f>
        <v/>
      </c>
      <c r="I5104" s="11" t="str">
        <f aca="false">IF($A5104="","",IF($H5104="-","-",IF(AND(IF(원본명단!$H5103="",TRUE(),COUNTIF(원본명단!$H$3:$H5103,원본명단!$H5103)=1),IF(원본명단!$I5103="",TRUE(),COUNTIF(원본명단!$I$3:$I5103,원본명단!$I5103)=1),IF(원본명단!$K5103="",TRUE(),COUNTIF(원본명단!$K$3:$K5103,원본명단!$K5103)=1)),"첫 건","중복 건")))</f>
        <v/>
      </c>
      <c r="J5104" s="11" t="str">
        <f aca="false">IF($A5104="","",IF($H5104="-","유지",IF($I5104="첫 건","유지","확인 필요")))</f>
        <v/>
      </c>
    </row>
    <row r="5105" customFormat="false" ht="15" hidden="false" customHeight="true" outlineLevel="0" collapsed="false">
      <c r="A5105" s="11" t="str">
        <f aca="false">IF(원본명단!$A5104="","",5102)</f>
        <v/>
      </c>
      <c r="B5105" s="12" t="str">
        <f aca="false">IF($A5105="","",원본명단!$A5104)</f>
        <v/>
      </c>
      <c r="C5105" s="12" t="str">
        <f aca="false">IF($A5105="","",원본명단!$B5104)</f>
        <v/>
      </c>
      <c r="D5105" s="12" t="str">
        <f aca="false">IF($A5105="","",원본명단!$D5104)</f>
        <v/>
      </c>
      <c r="E5105" s="11" t="str">
        <f aca="false">IF($A5105="","",IF(원본명단!$H5104="",0,COUNTIF(원본명단!$H$3:$H$6002,원본명단!$H5104)))</f>
        <v/>
      </c>
      <c r="F5105" s="11" t="str">
        <f aca="false">IF($A5105="","",IF(원본명단!$I5104="",0,COUNTIF(원본명단!$I$3:$I$6002,원본명단!$I5104)))</f>
        <v/>
      </c>
      <c r="G5105" s="11" t="str">
        <f aca="false">IF($A5105="","",IF(원본명단!$K5104="",0,COUNTIF(원본명단!$K$3:$K$6002,원본명단!$K5104)))</f>
        <v/>
      </c>
      <c r="H5105" s="11" t="str">
        <f aca="false">IF($A5105="","",IF(MAX($E5105,$F5105,$G5105)&gt;1,"중복","-"))</f>
        <v/>
      </c>
      <c r="I5105" s="11" t="str">
        <f aca="false">IF($A5105="","",IF($H5105="-","-",IF(AND(IF(원본명단!$H5104="",TRUE(),COUNTIF(원본명단!$H$3:$H5104,원본명단!$H5104)=1),IF(원본명단!$I5104="",TRUE(),COUNTIF(원본명단!$I$3:$I5104,원본명단!$I5104)=1),IF(원본명단!$K5104="",TRUE(),COUNTIF(원본명단!$K$3:$K5104,원본명단!$K5104)=1)),"첫 건","중복 건")))</f>
        <v/>
      </c>
      <c r="J5105" s="11" t="str">
        <f aca="false">IF($A5105="","",IF($H5105="-","유지",IF($I5105="첫 건","유지","확인 필요")))</f>
        <v/>
      </c>
    </row>
    <row r="5106" customFormat="false" ht="15" hidden="false" customHeight="true" outlineLevel="0" collapsed="false">
      <c r="A5106" s="11" t="str">
        <f aca="false">IF(원본명단!$A5105="","",5103)</f>
        <v/>
      </c>
      <c r="B5106" s="12" t="str">
        <f aca="false">IF($A5106="","",원본명단!$A5105)</f>
        <v/>
      </c>
      <c r="C5106" s="12" t="str">
        <f aca="false">IF($A5106="","",원본명단!$B5105)</f>
        <v/>
      </c>
      <c r="D5106" s="12" t="str">
        <f aca="false">IF($A5106="","",원본명단!$D5105)</f>
        <v/>
      </c>
      <c r="E5106" s="11" t="str">
        <f aca="false">IF($A5106="","",IF(원본명단!$H5105="",0,COUNTIF(원본명단!$H$3:$H$6002,원본명단!$H5105)))</f>
        <v/>
      </c>
      <c r="F5106" s="11" t="str">
        <f aca="false">IF($A5106="","",IF(원본명단!$I5105="",0,COUNTIF(원본명단!$I$3:$I$6002,원본명단!$I5105)))</f>
        <v/>
      </c>
      <c r="G5106" s="11" t="str">
        <f aca="false">IF($A5106="","",IF(원본명단!$K5105="",0,COUNTIF(원본명단!$K$3:$K$6002,원본명단!$K5105)))</f>
        <v/>
      </c>
      <c r="H5106" s="11" t="str">
        <f aca="false">IF($A5106="","",IF(MAX($E5106,$F5106,$G5106)&gt;1,"중복","-"))</f>
        <v/>
      </c>
      <c r="I5106" s="11" t="str">
        <f aca="false">IF($A5106="","",IF($H5106="-","-",IF(AND(IF(원본명단!$H5105="",TRUE(),COUNTIF(원본명단!$H$3:$H5105,원본명단!$H5105)=1),IF(원본명단!$I5105="",TRUE(),COUNTIF(원본명단!$I$3:$I5105,원본명단!$I5105)=1),IF(원본명단!$K5105="",TRUE(),COUNTIF(원본명단!$K$3:$K5105,원본명단!$K5105)=1)),"첫 건","중복 건")))</f>
        <v/>
      </c>
      <c r="J5106" s="11" t="str">
        <f aca="false">IF($A5106="","",IF($H5106="-","유지",IF($I5106="첫 건","유지","확인 필요")))</f>
        <v/>
      </c>
    </row>
    <row r="5107" customFormat="false" ht="15" hidden="false" customHeight="true" outlineLevel="0" collapsed="false">
      <c r="A5107" s="11" t="str">
        <f aca="false">IF(원본명단!$A5106="","",5104)</f>
        <v/>
      </c>
      <c r="B5107" s="12" t="str">
        <f aca="false">IF($A5107="","",원본명단!$A5106)</f>
        <v/>
      </c>
      <c r="C5107" s="12" t="str">
        <f aca="false">IF($A5107="","",원본명단!$B5106)</f>
        <v/>
      </c>
      <c r="D5107" s="12" t="str">
        <f aca="false">IF($A5107="","",원본명단!$D5106)</f>
        <v/>
      </c>
      <c r="E5107" s="11" t="str">
        <f aca="false">IF($A5107="","",IF(원본명단!$H5106="",0,COUNTIF(원본명단!$H$3:$H$6002,원본명단!$H5106)))</f>
        <v/>
      </c>
      <c r="F5107" s="11" t="str">
        <f aca="false">IF($A5107="","",IF(원본명단!$I5106="",0,COUNTIF(원본명단!$I$3:$I$6002,원본명단!$I5106)))</f>
        <v/>
      </c>
      <c r="G5107" s="11" t="str">
        <f aca="false">IF($A5107="","",IF(원본명단!$K5106="",0,COUNTIF(원본명단!$K$3:$K$6002,원본명단!$K5106)))</f>
        <v/>
      </c>
      <c r="H5107" s="11" t="str">
        <f aca="false">IF($A5107="","",IF(MAX($E5107,$F5107,$G5107)&gt;1,"중복","-"))</f>
        <v/>
      </c>
      <c r="I5107" s="11" t="str">
        <f aca="false">IF($A5107="","",IF($H5107="-","-",IF(AND(IF(원본명단!$H5106="",TRUE(),COUNTIF(원본명단!$H$3:$H5106,원본명단!$H5106)=1),IF(원본명단!$I5106="",TRUE(),COUNTIF(원본명단!$I$3:$I5106,원본명단!$I5106)=1),IF(원본명단!$K5106="",TRUE(),COUNTIF(원본명단!$K$3:$K5106,원본명단!$K5106)=1)),"첫 건","중복 건")))</f>
        <v/>
      </c>
      <c r="J5107" s="11" t="str">
        <f aca="false">IF($A5107="","",IF($H5107="-","유지",IF($I5107="첫 건","유지","확인 필요")))</f>
        <v/>
      </c>
    </row>
    <row r="5108" customFormat="false" ht="15" hidden="false" customHeight="true" outlineLevel="0" collapsed="false">
      <c r="A5108" s="11" t="str">
        <f aca="false">IF(원본명단!$A5107="","",5105)</f>
        <v/>
      </c>
      <c r="B5108" s="12" t="str">
        <f aca="false">IF($A5108="","",원본명단!$A5107)</f>
        <v/>
      </c>
      <c r="C5108" s="12" t="str">
        <f aca="false">IF($A5108="","",원본명단!$B5107)</f>
        <v/>
      </c>
      <c r="D5108" s="12" t="str">
        <f aca="false">IF($A5108="","",원본명단!$D5107)</f>
        <v/>
      </c>
      <c r="E5108" s="11" t="str">
        <f aca="false">IF($A5108="","",IF(원본명단!$H5107="",0,COUNTIF(원본명단!$H$3:$H$6002,원본명단!$H5107)))</f>
        <v/>
      </c>
      <c r="F5108" s="11" t="str">
        <f aca="false">IF($A5108="","",IF(원본명단!$I5107="",0,COUNTIF(원본명단!$I$3:$I$6002,원본명단!$I5107)))</f>
        <v/>
      </c>
      <c r="G5108" s="11" t="str">
        <f aca="false">IF($A5108="","",IF(원본명단!$K5107="",0,COUNTIF(원본명단!$K$3:$K$6002,원본명단!$K5107)))</f>
        <v/>
      </c>
      <c r="H5108" s="11" t="str">
        <f aca="false">IF($A5108="","",IF(MAX($E5108,$F5108,$G5108)&gt;1,"중복","-"))</f>
        <v/>
      </c>
      <c r="I5108" s="11" t="str">
        <f aca="false">IF($A5108="","",IF($H5108="-","-",IF(AND(IF(원본명단!$H5107="",TRUE(),COUNTIF(원본명단!$H$3:$H5107,원본명단!$H5107)=1),IF(원본명단!$I5107="",TRUE(),COUNTIF(원본명단!$I$3:$I5107,원본명단!$I5107)=1),IF(원본명단!$K5107="",TRUE(),COUNTIF(원본명단!$K$3:$K5107,원본명단!$K5107)=1)),"첫 건","중복 건")))</f>
        <v/>
      </c>
      <c r="J5108" s="11" t="str">
        <f aca="false">IF($A5108="","",IF($H5108="-","유지",IF($I5108="첫 건","유지","확인 필요")))</f>
        <v/>
      </c>
    </row>
    <row r="5109" customFormat="false" ht="15" hidden="false" customHeight="true" outlineLevel="0" collapsed="false">
      <c r="A5109" s="11" t="str">
        <f aca="false">IF(원본명단!$A5108="","",5106)</f>
        <v/>
      </c>
      <c r="B5109" s="12" t="str">
        <f aca="false">IF($A5109="","",원본명단!$A5108)</f>
        <v/>
      </c>
      <c r="C5109" s="12" t="str">
        <f aca="false">IF($A5109="","",원본명단!$B5108)</f>
        <v/>
      </c>
      <c r="D5109" s="12" t="str">
        <f aca="false">IF($A5109="","",원본명단!$D5108)</f>
        <v/>
      </c>
      <c r="E5109" s="11" t="str">
        <f aca="false">IF($A5109="","",IF(원본명단!$H5108="",0,COUNTIF(원본명단!$H$3:$H$6002,원본명단!$H5108)))</f>
        <v/>
      </c>
      <c r="F5109" s="11" t="str">
        <f aca="false">IF($A5109="","",IF(원본명단!$I5108="",0,COUNTIF(원본명단!$I$3:$I$6002,원본명단!$I5108)))</f>
        <v/>
      </c>
      <c r="G5109" s="11" t="str">
        <f aca="false">IF($A5109="","",IF(원본명단!$K5108="",0,COUNTIF(원본명단!$K$3:$K$6002,원본명단!$K5108)))</f>
        <v/>
      </c>
      <c r="H5109" s="11" t="str">
        <f aca="false">IF($A5109="","",IF(MAX($E5109,$F5109,$G5109)&gt;1,"중복","-"))</f>
        <v/>
      </c>
      <c r="I5109" s="11" t="str">
        <f aca="false">IF($A5109="","",IF($H5109="-","-",IF(AND(IF(원본명단!$H5108="",TRUE(),COUNTIF(원본명단!$H$3:$H5108,원본명단!$H5108)=1),IF(원본명단!$I5108="",TRUE(),COUNTIF(원본명단!$I$3:$I5108,원본명단!$I5108)=1),IF(원본명단!$K5108="",TRUE(),COUNTIF(원본명단!$K$3:$K5108,원본명단!$K5108)=1)),"첫 건","중복 건")))</f>
        <v/>
      </c>
      <c r="J5109" s="11" t="str">
        <f aca="false">IF($A5109="","",IF($H5109="-","유지",IF($I5109="첫 건","유지","확인 필요")))</f>
        <v/>
      </c>
    </row>
    <row r="5110" customFormat="false" ht="15" hidden="false" customHeight="true" outlineLevel="0" collapsed="false">
      <c r="A5110" s="11" t="str">
        <f aca="false">IF(원본명단!$A5109="","",5107)</f>
        <v/>
      </c>
      <c r="B5110" s="12" t="str">
        <f aca="false">IF($A5110="","",원본명단!$A5109)</f>
        <v/>
      </c>
      <c r="C5110" s="12" t="str">
        <f aca="false">IF($A5110="","",원본명단!$B5109)</f>
        <v/>
      </c>
      <c r="D5110" s="12" t="str">
        <f aca="false">IF($A5110="","",원본명단!$D5109)</f>
        <v/>
      </c>
      <c r="E5110" s="11" t="str">
        <f aca="false">IF($A5110="","",IF(원본명단!$H5109="",0,COUNTIF(원본명단!$H$3:$H$6002,원본명단!$H5109)))</f>
        <v/>
      </c>
      <c r="F5110" s="11" t="str">
        <f aca="false">IF($A5110="","",IF(원본명단!$I5109="",0,COUNTIF(원본명단!$I$3:$I$6002,원본명단!$I5109)))</f>
        <v/>
      </c>
      <c r="G5110" s="11" t="str">
        <f aca="false">IF($A5110="","",IF(원본명단!$K5109="",0,COUNTIF(원본명단!$K$3:$K$6002,원본명단!$K5109)))</f>
        <v/>
      </c>
      <c r="H5110" s="11" t="str">
        <f aca="false">IF($A5110="","",IF(MAX($E5110,$F5110,$G5110)&gt;1,"중복","-"))</f>
        <v/>
      </c>
      <c r="I5110" s="11" t="str">
        <f aca="false">IF($A5110="","",IF($H5110="-","-",IF(AND(IF(원본명단!$H5109="",TRUE(),COUNTIF(원본명단!$H$3:$H5109,원본명단!$H5109)=1),IF(원본명단!$I5109="",TRUE(),COUNTIF(원본명단!$I$3:$I5109,원본명단!$I5109)=1),IF(원본명단!$K5109="",TRUE(),COUNTIF(원본명단!$K$3:$K5109,원본명단!$K5109)=1)),"첫 건","중복 건")))</f>
        <v/>
      </c>
      <c r="J5110" s="11" t="str">
        <f aca="false">IF($A5110="","",IF($H5110="-","유지",IF($I5110="첫 건","유지","확인 필요")))</f>
        <v/>
      </c>
    </row>
    <row r="5111" customFormat="false" ht="15" hidden="false" customHeight="true" outlineLevel="0" collapsed="false">
      <c r="A5111" s="11" t="str">
        <f aca="false">IF(원본명단!$A5110="","",5108)</f>
        <v/>
      </c>
      <c r="B5111" s="12" t="str">
        <f aca="false">IF($A5111="","",원본명단!$A5110)</f>
        <v/>
      </c>
      <c r="C5111" s="12" t="str">
        <f aca="false">IF($A5111="","",원본명단!$B5110)</f>
        <v/>
      </c>
      <c r="D5111" s="12" t="str">
        <f aca="false">IF($A5111="","",원본명단!$D5110)</f>
        <v/>
      </c>
      <c r="E5111" s="11" t="str">
        <f aca="false">IF($A5111="","",IF(원본명단!$H5110="",0,COUNTIF(원본명단!$H$3:$H$6002,원본명단!$H5110)))</f>
        <v/>
      </c>
      <c r="F5111" s="11" t="str">
        <f aca="false">IF($A5111="","",IF(원본명단!$I5110="",0,COUNTIF(원본명단!$I$3:$I$6002,원본명단!$I5110)))</f>
        <v/>
      </c>
      <c r="G5111" s="11" t="str">
        <f aca="false">IF($A5111="","",IF(원본명단!$K5110="",0,COUNTIF(원본명단!$K$3:$K$6002,원본명단!$K5110)))</f>
        <v/>
      </c>
      <c r="H5111" s="11" t="str">
        <f aca="false">IF($A5111="","",IF(MAX($E5111,$F5111,$G5111)&gt;1,"중복","-"))</f>
        <v/>
      </c>
      <c r="I5111" s="11" t="str">
        <f aca="false">IF($A5111="","",IF($H5111="-","-",IF(AND(IF(원본명단!$H5110="",TRUE(),COUNTIF(원본명단!$H$3:$H5110,원본명단!$H5110)=1),IF(원본명단!$I5110="",TRUE(),COUNTIF(원본명단!$I$3:$I5110,원본명단!$I5110)=1),IF(원본명단!$K5110="",TRUE(),COUNTIF(원본명단!$K$3:$K5110,원본명단!$K5110)=1)),"첫 건","중복 건")))</f>
        <v/>
      </c>
      <c r="J5111" s="11" t="str">
        <f aca="false">IF($A5111="","",IF($H5111="-","유지",IF($I5111="첫 건","유지","확인 필요")))</f>
        <v/>
      </c>
    </row>
    <row r="5112" customFormat="false" ht="15" hidden="false" customHeight="true" outlineLevel="0" collapsed="false">
      <c r="A5112" s="11" t="str">
        <f aca="false">IF(원본명단!$A5111="","",5109)</f>
        <v/>
      </c>
      <c r="B5112" s="12" t="str">
        <f aca="false">IF($A5112="","",원본명단!$A5111)</f>
        <v/>
      </c>
      <c r="C5112" s="12" t="str">
        <f aca="false">IF($A5112="","",원본명단!$B5111)</f>
        <v/>
      </c>
      <c r="D5112" s="12" t="str">
        <f aca="false">IF($A5112="","",원본명단!$D5111)</f>
        <v/>
      </c>
      <c r="E5112" s="11" t="str">
        <f aca="false">IF($A5112="","",IF(원본명단!$H5111="",0,COUNTIF(원본명단!$H$3:$H$6002,원본명단!$H5111)))</f>
        <v/>
      </c>
      <c r="F5112" s="11" t="str">
        <f aca="false">IF($A5112="","",IF(원본명단!$I5111="",0,COUNTIF(원본명단!$I$3:$I$6002,원본명단!$I5111)))</f>
        <v/>
      </c>
      <c r="G5112" s="11" t="str">
        <f aca="false">IF($A5112="","",IF(원본명단!$K5111="",0,COUNTIF(원본명단!$K$3:$K$6002,원본명단!$K5111)))</f>
        <v/>
      </c>
      <c r="H5112" s="11" t="str">
        <f aca="false">IF($A5112="","",IF(MAX($E5112,$F5112,$G5112)&gt;1,"중복","-"))</f>
        <v/>
      </c>
      <c r="I5112" s="11" t="str">
        <f aca="false">IF($A5112="","",IF($H5112="-","-",IF(AND(IF(원본명단!$H5111="",TRUE(),COUNTIF(원본명단!$H$3:$H5111,원본명단!$H5111)=1),IF(원본명단!$I5111="",TRUE(),COUNTIF(원본명단!$I$3:$I5111,원본명단!$I5111)=1),IF(원본명단!$K5111="",TRUE(),COUNTIF(원본명단!$K$3:$K5111,원본명단!$K5111)=1)),"첫 건","중복 건")))</f>
        <v/>
      </c>
      <c r="J5112" s="11" t="str">
        <f aca="false">IF($A5112="","",IF($H5112="-","유지",IF($I5112="첫 건","유지","확인 필요")))</f>
        <v/>
      </c>
    </row>
    <row r="5113" customFormat="false" ht="15" hidden="false" customHeight="true" outlineLevel="0" collapsed="false">
      <c r="A5113" s="11" t="str">
        <f aca="false">IF(원본명단!$A5112="","",5110)</f>
        <v/>
      </c>
      <c r="B5113" s="12" t="str">
        <f aca="false">IF($A5113="","",원본명단!$A5112)</f>
        <v/>
      </c>
      <c r="C5113" s="12" t="str">
        <f aca="false">IF($A5113="","",원본명단!$B5112)</f>
        <v/>
      </c>
      <c r="D5113" s="12" t="str">
        <f aca="false">IF($A5113="","",원본명단!$D5112)</f>
        <v/>
      </c>
      <c r="E5113" s="11" t="str">
        <f aca="false">IF($A5113="","",IF(원본명단!$H5112="",0,COUNTIF(원본명단!$H$3:$H$6002,원본명단!$H5112)))</f>
        <v/>
      </c>
      <c r="F5113" s="11" t="str">
        <f aca="false">IF($A5113="","",IF(원본명단!$I5112="",0,COUNTIF(원본명단!$I$3:$I$6002,원본명단!$I5112)))</f>
        <v/>
      </c>
      <c r="G5113" s="11" t="str">
        <f aca="false">IF($A5113="","",IF(원본명단!$K5112="",0,COUNTIF(원본명단!$K$3:$K$6002,원본명단!$K5112)))</f>
        <v/>
      </c>
      <c r="H5113" s="11" t="str">
        <f aca="false">IF($A5113="","",IF(MAX($E5113,$F5113,$G5113)&gt;1,"중복","-"))</f>
        <v/>
      </c>
      <c r="I5113" s="11" t="str">
        <f aca="false">IF($A5113="","",IF($H5113="-","-",IF(AND(IF(원본명단!$H5112="",TRUE(),COUNTIF(원본명단!$H$3:$H5112,원본명단!$H5112)=1),IF(원본명단!$I5112="",TRUE(),COUNTIF(원본명단!$I$3:$I5112,원본명단!$I5112)=1),IF(원본명단!$K5112="",TRUE(),COUNTIF(원본명단!$K$3:$K5112,원본명단!$K5112)=1)),"첫 건","중복 건")))</f>
        <v/>
      </c>
      <c r="J5113" s="11" t="str">
        <f aca="false">IF($A5113="","",IF($H5113="-","유지",IF($I5113="첫 건","유지","확인 필요")))</f>
        <v/>
      </c>
    </row>
    <row r="5114" customFormat="false" ht="15" hidden="false" customHeight="true" outlineLevel="0" collapsed="false">
      <c r="A5114" s="11" t="str">
        <f aca="false">IF(원본명단!$A5113="","",5111)</f>
        <v/>
      </c>
      <c r="B5114" s="12" t="str">
        <f aca="false">IF($A5114="","",원본명단!$A5113)</f>
        <v/>
      </c>
      <c r="C5114" s="12" t="str">
        <f aca="false">IF($A5114="","",원본명단!$B5113)</f>
        <v/>
      </c>
      <c r="D5114" s="12" t="str">
        <f aca="false">IF($A5114="","",원본명단!$D5113)</f>
        <v/>
      </c>
      <c r="E5114" s="11" t="str">
        <f aca="false">IF($A5114="","",IF(원본명단!$H5113="",0,COUNTIF(원본명단!$H$3:$H$6002,원본명단!$H5113)))</f>
        <v/>
      </c>
      <c r="F5114" s="11" t="str">
        <f aca="false">IF($A5114="","",IF(원본명단!$I5113="",0,COUNTIF(원본명단!$I$3:$I$6002,원본명단!$I5113)))</f>
        <v/>
      </c>
      <c r="G5114" s="11" t="str">
        <f aca="false">IF($A5114="","",IF(원본명단!$K5113="",0,COUNTIF(원본명단!$K$3:$K$6002,원본명단!$K5113)))</f>
        <v/>
      </c>
      <c r="H5114" s="11" t="str">
        <f aca="false">IF($A5114="","",IF(MAX($E5114,$F5114,$G5114)&gt;1,"중복","-"))</f>
        <v/>
      </c>
      <c r="I5114" s="11" t="str">
        <f aca="false">IF($A5114="","",IF($H5114="-","-",IF(AND(IF(원본명단!$H5113="",TRUE(),COUNTIF(원본명단!$H$3:$H5113,원본명단!$H5113)=1),IF(원본명단!$I5113="",TRUE(),COUNTIF(원본명단!$I$3:$I5113,원본명단!$I5113)=1),IF(원본명단!$K5113="",TRUE(),COUNTIF(원본명단!$K$3:$K5113,원본명단!$K5113)=1)),"첫 건","중복 건")))</f>
        <v/>
      </c>
      <c r="J5114" s="11" t="str">
        <f aca="false">IF($A5114="","",IF($H5114="-","유지",IF($I5114="첫 건","유지","확인 필요")))</f>
        <v/>
      </c>
    </row>
    <row r="5115" customFormat="false" ht="15" hidden="false" customHeight="true" outlineLevel="0" collapsed="false">
      <c r="A5115" s="11" t="str">
        <f aca="false">IF(원본명단!$A5114="","",5112)</f>
        <v/>
      </c>
      <c r="B5115" s="12" t="str">
        <f aca="false">IF($A5115="","",원본명단!$A5114)</f>
        <v/>
      </c>
      <c r="C5115" s="12" t="str">
        <f aca="false">IF($A5115="","",원본명단!$B5114)</f>
        <v/>
      </c>
      <c r="D5115" s="12" t="str">
        <f aca="false">IF($A5115="","",원본명단!$D5114)</f>
        <v/>
      </c>
      <c r="E5115" s="11" t="str">
        <f aca="false">IF($A5115="","",IF(원본명단!$H5114="",0,COUNTIF(원본명단!$H$3:$H$6002,원본명단!$H5114)))</f>
        <v/>
      </c>
      <c r="F5115" s="11" t="str">
        <f aca="false">IF($A5115="","",IF(원본명단!$I5114="",0,COUNTIF(원본명단!$I$3:$I$6002,원본명단!$I5114)))</f>
        <v/>
      </c>
      <c r="G5115" s="11" t="str">
        <f aca="false">IF($A5115="","",IF(원본명단!$K5114="",0,COUNTIF(원본명단!$K$3:$K$6002,원본명단!$K5114)))</f>
        <v/>
      </c>
      <c r="H5115" s="11" t="str">
        <f aca="false">IF($A5115="","",IF(MAX($E5115,$F5115,$G5115)&gt;1,"중복","-"))</f>
        <v/>
      </c>
      <c r="I5115" s="11" t="str">
        <f aca="false">IF($A5115="","",IF($H5115="-","-",IF(AND(IF(원본명단!$H5114="",TRUE(),COUNTIF(원본명단!$H$3:$H5114,원본명단!$H5114)=1),IF(원본명단!$I5114="",TRUE(),COUNTIF(원본명단!$I$3:$I5114,원본명단!$I5114)=1),IF(원본명단!$K5114="",TRUE(),COUNTIF(원본명단!$K$3:$K5114,원본명단!$K5114)=1)),"첫 건","중복 건")))</f>
        <v/>
      </c>
      <c r="J5115" s="11" t="str">
        <f aca="false">IF($A5115="","",IF($H5115="-","유지",IF($I5115="첫 건","유지","확인 필요")))</f>
        <v/>
      </c>
    </row>
    <row r="5116" customFormat="false" ht="15" hidden="false" customHeight="true" outlineLevel="0" collapsed="false">
      <c r="A5116" s="11" t="str">
        <f aca="false">IF(원본명단!$A5115="","",5113)</f>
        <v/>
      </c>
      <c r="B5116" s="12" t="str">
        <f aca="false">IF($A5116="","",원본명단!$A5115)</f>
        <v/>
      </c>
      <c r="C5116" s="12" t="str">
        <f aca="false">IF($A5116="","",원본명단!$B5115)</f>
        <v/>
      </c>
      <c r="D5116" s="12" t="str">
        <f aca="false">IF($A5116="","",원본명단!$D5115)</f>
        <v/>
      </c>
      <c r="E5116" s="11" t="str">
        <f aca="false">IF($A5116="","",IF(원본명단!$H5115="",0,COUNTIF(원본명단!$H$3:$H$6002,원본명단!$H5115)))</f>
        <v/>
      </c>
      <c r="F5116" s="11" t="str">
        <f aca="false">IF($A5116="","",IF(원본명단!$I5115="",0,COUNTIF(원본명단!$I$3:$I$6002,원본명단!$I5115)))</f>
        <v/>
      </c>
      <c r="G5116" s="11" t="str">
        <f aca="false">IF($A5116="","",IF(원본명단!$K5115="",0,COUNTIF(원본명단!$K$3:$K$6002,원본명단!$K5115)))</f>
        <v/>
      </c>
      <c r="H5116" s="11" t="str">
        <f aca="false">IF($A5116="","",IF(MAX($E5116,$F5116,$G5116)&gt;1,"중복","-"))</f>
        <v/>
      </c>
      <c r="I5116" s="11" t="str">
        <f aca="false">IF($A5116="","",IF($H5116="-","-",IF(AND(IF(원본명단!$H5115="",TRUE(),COUNTIF(원본명단!$H$3:$H5115,원본명단!$H5115)=1),IF(원본명단!$I5115="",TRUE(),COUNTIF(원본명단!$I$3:$I5115,원본명단!$I5115)=1),IF(원본명단!$K5115="",TRUE(),COUNTIF(원본명단!$K$3:$K5115,원본명단!$K5115)=1)),"첫 건","중복 건")))</f>
        <v/>
      </c>
      <c r="J5116" s="11" t="str">
        <f aca="false">IF($A5116="","",IF($H5116="-","유지",IF($I5116="첫 건","유지","확인 필요")))</f>
        <v/>
      </c>
    </row>
    <row r="5117" customFormat="false" ht="15" hidden="false" customHeight="true" outlineLevel="0" collapsed="false">
      <c r="A5117" s="11" t="str">
        <f aca="false">IF(원본명단!$A5116="","",5114)</f>
        <v/>
      </c>
      <c r="B5117" s="12" t="str">
        <f aca="false">IF($A5117="","",원본명단!$A5116)</f>
        <v/>
      </c>
      <c r="C5117" s="12" t="str">
        <f aca="false">IF($A5117="","",원본명단!$B5116)</f>
        <v/>
      </c>
      <c r="D5117" s="12" t="str">
        <f aca="false">IF($A5117="","",원본명단!$D5116)</f>
        <v/>
      </c>
      <c r="E5117" s="11" t="str">
        <f aca="false">IF($A5117="","",IF(원본명단!$H5116="",0,COUNTIF(원본명단!$H$3:$H$6002,원본명단!$H5116)))</f>
        <v/>
      </c>
      <c r="F5117" s="11" t="str">
        <f aca="false">IF($A5117="","",IF(원본명단!$I5116="",0,COUNTIF(원본명단!$I$3:$I$6002,원본명단!$I5116)))</f>
        <v/>
      </c>
      <c r="G5117" s="11" t="str">
        <f aca="false">IF($A5117="","",IF(원본명단!$K5116="",0,COUNTIF(원본명단!$K$3:$K$6002,원본명단!$K5116)))</f>
        <v/>
      </c>
      <c r="H5117" s="11" t="str">
        <f aca="false">IF($A5117="","",IF(MAX($E5117,$F5117,$G5117)&gt;1,"중복","-"))</f>
        <v/>
      </c>
      <c r="I5117" s="11" t="str">
        <f aca="false">IF($A5117="","",IF($H5117="-","-",IF(AND(IF(원본명단!$H5116="",TRUE(),COUNTIF(원본명단!$H$3:$H5116,원본명단!$H5116)=1),IF(원본명단!$I5116="",TRUE(),COUNTIF(원본명단!$I$3:$I5116,원본명단!$I5116)=1),IF(원본명단!$K5116="",TRUE(),COUNTIF(원본명단!$K$3:$K5116,원본명단!$K5116)=1)),"첫 건","중복 건")))</f>
        <v/>
      </c>
      <c r="J5117" s="11" t="str">
        <f aca="false">IF($A5117="","",IF($H5117="-","유지",IF($I5117="첫 건","유지","확인 필요")))</f>
        <v/>
      </c>
    </row>
    <row r="5118" customFormat="false" ht="15" hidden="false" customHeight="true" outlineLevel="0" collapsed="false">
      <c r="A5118" s="11" t="str">
        <f aca="false">IF(원본명단!$A5117="","",5115)</f>
        <v/>
      </c>
      <c r="B5118" s="12" t="str">
        <f aca="false">IF($A5118="","",원본명단!$A5117)</f>
        <v/>
      </c>
      <c r="C5118" s="12" t="str">
        <f aca="false">IF($A5118="","",원본명단!$B5117)</f>
        <v/>
      </c>
      <c r="D5118" s="12" t="str">
        <f aca="false">IF($A5118="","",원본명단!$D5117)</f>
        <v/>
      </c>
      <c r="E5118" s="11" t="str">
        <f aca="false">IF($A5118="","",IF(원본명단!$H5117="",0,COUNTIF(원본명단!$H$3:$H$6002,원본명단!$H5117)))</f>
        <v/>
      </c>
      <c r="F5118" s="11" t="str">
        <f aca="false">IF($A5118="","",IF(원본명단!$I5117="",0,COUNTIF(원본명단!$I$3:$I$6002,원본명단!$I5117)))</f>
        <v/>
      </c>
      <c r="G5118" s="11" t="str">
        <f aca="false">IF($A5118="","",IF(원본명단!$K5117="",0,COUNTIF(원본명단!$K$3:$K$6002,원본명단!$K5117)))</f>
        <v/>
      </c>
      <c r="H5118" s="11" t="str">
        <f aca="false">IF($A5118="","",IF(MAX($E5118,$F5118,$G5118)&gt;1,"중복","-"))</f>
        <v/>
      </c>
      <c r="I5118" s="11" t="str">
        <f aca="false">IF($A5118="","",IF($H5118="-","-",IF(AND(IF(원본명단!$H5117="",TRUE(),COUNTIF(원본명단!$H$3:$H5117,원본명단!$H5117)=1),IF(원본명단!$I5117="",TRUE(),COUNTIF(원본명단!$I$3:$I5117,원본명단!$I5117)=1),IF(원본명단!$K5117="",TRUE(),COUNTIF(원본명단!$K$3:$K5117,원본명단!$K5117)=1)),"첫 건","중복 건")))</f>
        <v/>
      </c>
      <c r="J5118" s="11" t="str">
        <f aca="false">IF($A5118="","",IF($H5118="-","유지",IF($I5118="첫 건","유지","확인 필요")))</f>
        <v/>
      </c>
    </row>
    <row r="5119" customFormat="false" ht="15" hidden="false" customHeight="true" outlineLevel="0" collapsed="false">
      <c r="A5119" s="11" t="str">
        <f aca="false">IF(원본명단!$A5118="","",5116)</f>
        <v/>
      </c>
      <c r="B5119" s="12" t="str">
        <f aca="false">IF($A5119="","",원본명단!$A5118)</f>
        <v/>
      </c>
      <c r="C5119" s="12" t="str">
        <f aca="false">IF($A5119="","",원본명단!$B5118)</f>
        <v/>
      </c>
      <c r="D5119" s="12" t="str">
        <f aca="false">IF($A5119="","",원본명단!$D5118)</f>
        <v/>
      </c>
      <c r="E5119" s="11" t="str">
        <f aca="false">IF($A5119="","",IF(원본명단!$H5118="",0,COUNTIF(원본명단!$H$3:$H$6002,원본명단!$H5118)))</f>
        <v/>
      </c>
      <c r="F5119" s="11" t="str">
        <f aca="false">IF($A5119="","",IF(원본명단!$I5118="",0,COUNTIF(원본명단!$I$3:$I$6002,원본명단!$I5118)))</f>
        <v/>
      </c>
      <c r="G5119" s="11" t="str">
        <f aca="false">IF($A5119="","",IF(원본명단!$K5118="",0,COUNTIF(원본명단!$K$3:$K$6002,원본명단!$K5118)))</f>
        <v/>
      </c>
      <c r="H5119" s="11" t="str">
        <f aca="false">IF($A5119="","",IF(MAX($E5119,$F5119,$G5119)&gt;1,"중복","-"))</f>
        <v/>
      </c>
      <c r="I5119" s="11" t="str">
        <f aca="false">IF($A5119="","",IF($H5119="-","-",IF(AND(IF(원본명단!$H5118="",TRUE(),COUNTIF(원본명단!$H$3:$H5118,원본명단!$H5118)=1),IF(원본명단!$I5118="",TRUE(),COUNTIF(원본명단!$I$3:$I5118,원본명단!$I5118)=1),IF(원본명단!$K5118="",TRUE(),COUNTIF(원본명단!$K$3:$K5118,원본명단!$K5118)=1)),"첫 건","중복 건")))</f>
        <v/>
      </c>
      <c r="J5119" s="11" t="str">
        <f aca="false">IF($A5119="","",IF($H5119="-","유지",IF($I5119="첫 건","유지","확인 필요")))</f>
        <v/>
      </c>
    </row>
    <row r="5120" customFormat="false" ht="15" hidden="false" customHeight="true" outlineLevel="0" collapsed="false">
      <c r="A5120" s="11" t="str">
        <f aca="false">IF(원본명단!$A5119="","",5117)</f>
        <v/>
      </c>
      <c r="B5120" s="12" t="str">
        <f aca="false">IF($A5120="","",원본명단!$A5119)</f>
        <v/>
      </c>
      <c r="C5120" s="12" t="str">
        <f aca="false">IF($A5120="","",원본명단!$B5119)</f>
        <v/>
      </c>
      <c r="D5120" s="12" t="str">
        <f aca="false">IF($A5120="","",원본명단!$D5119)</f>
        <v/>
      </c>
      <c r="E5120" s="11" t="str">
        <f aca="false">IF($A5120="","",IF(원본명단!$H5119="",0,COUNTIF(원본명단!$H$3:$H$6002,원본명단!$H5119)))</f>
        <v/>
      </c>
      <c r="F5120" s="11" t="str">
        <f aca="false">IF($A5120="","",IF(원본명단!$I5119="",0,COUNTIF(원본명단!$I$3:$I$6002,원본명단!$I5119)))</f>
        <v/>
      </c>
      <c r="G5120" s="11" t="str">
        <f aca="false">IF($A5120="","",IF(원본명단!$K5119="",0,COUNTIF(원본명단!$K$3:$K$6002,원본명단!$K5119)))</f>
        <v/>
      </c>
      <c r="H5120" s="11" t="str">
        <f aca="false">IF($A5120="","",IF(MAX($E5120,$F5120,$G5120)&gt;1,"중복","-"))</f>
        <v/>
      </c>
      <c r="I5120" s="11" t="str">
        <f aca="false">IF($A5120="","",IF($H5120="-","-",IF(AND(IF(원본명단!$H5119="",TRUE(),COUNTIF(원본명단!$H$3:$H5119,원본명단!$H5119)=1),IF(원본명단!$I5119="",TRUE(),COUNTIF(원본명단!$I$3:$I5119,원본명단!$I5119)=1),IF(원본명단!$K5119="",TRUE(),COUNTIF(원본명단!$K$3:$K5119,원본명단!$K5119)=1)),"첫 건","중복 건")))</f>
        <v/>
      </c>
      <c r="J5120" s="11" t="str">
        <f aca="false">IF($A5120="","",IF($H5120="-","유지",IF($I5120="첫 건","유지","확인 필요")))</f>
        <v/>
      </c>
    </row>
    <row r="5121" customFormat="false" ht="15" hidden="false" customHeight="true" outlineLevel="0" collapsed="false">
      <c r="A5121" s="11" t="str">
        <f aca="false">IF(원본명단!$A5120="","",5118)</f>
        <v/>
      </c>
      <c r="B5121" s="12" t="str">
        <f aca="false">IF($A5121="","",원본명단!$A5120)</f>
        <v/>
      </c>
      <c r="C5121" s="12" t="str">
        <f aca="false">IF($A5121="","",원본명단!$B5120)</f>
        <v/>
      </c>
      <c r="D5121" s="12" t="str">
        <f aca="false">IF($A5121="","",원본명단!$D5120)</f>
        <v/>
      </c>
      <c r="E5121" s="11" t="str">
        <f aca="false">IF($A5121="","",IF(원본명단!$H5120="",0,COUNTIF(원본명단!$H$3:$H$6002,원본명단!$H5120)))</f>
        <v/>
      </c>
      <c r="F5121" s="11" t="str">
        <f aca="false">IF($A5121="","",IF(원본명단!$I5120="",0,COUNTIF(원본명단!$I$3:$I$6002,원본명단!$I5120)))</f>
        <v/>
      </c>
      <c r="G5121" s="11" t="str">
        <f aca="false">IF($A5121="","",IF(원본명단!$K5120="",0,COUNTIF(원본명단!$K$3:$K$6002,원본명단!$K5120)))</f>
        <v/>
      </c>
      <c r="H5121" s="11" t="str">
        <f aca="false">IF($A5121="","",IF(MAX($E5121,$F5121,$G5121)&gt;1,"중복","-"))</f>
        <v/>
      </c>
      <c r="I5121" s="11" t="str">
        <f aca="false">IF($A5121="","",IF($H5121="-","-",IF(AND(IF(원본명단!$H5120="",TRUE(),COUNTIF(원본명단!$H$3:$H5120,원본명단!$H5120)=1),IF(원본명단!$I5120="",TRUE(),COUNTIF(원본명단!$I$3:$I5120,원본명단!$I5120)=1),IF(원본명단!$K5120="",TRUE(),COUNTIF(원본명단!$K$3:$K5120,원본명단!$K5120)=1)),"첫 건","중복 건")))</f>
        <v/>
      </c>
      <c r="J5121" s="11" t="str">
        <f aca="false">IF($A5121="","",IF($H5121="-","유지",IF($I5121="첫 건","유지","확인 필요")))</f>
        <v/>
      </c>
    </row>
    <row r="5122" customFormat="false" ht="15" hidden="false" customHeight="true" outlineLevel="0" collapsed="false">
      <c r="A5122" s="11" t="str">
        <f aca="false">IF(원본명단!$A5121="","",5119)</f>
        <v/>
      </c>
      <c r="B5122" s="12" t="str">
        <f aca="false">IF($A5122="","",원본명단!$A5121)</f>
        <v/>
      </c>
      <c r="C5122" s="12" t="str">
        <f aca="false">IF($A5122="","",원본명단!$B5121)</f>
        <v/>
      </c>
      <c r="D5122" s="12" t="str">
        <f aca="false">IF($A5122="","",원본명단!$D5121)</f>
        <v/>
      </c>
      <c r="E5122" s="11" t="str">
        <f aca="false">IF($A5122="","",IF(원본명단!$H5121="",0,COUNTIF(원본명단!$H$3:$H$6002,원본명단!$H5121)))</f>
        <v/>
      </c>
      <c r="F5122" s="11" t="str">
        <f aca="false">IF($A5122="","",IF(원본명단!$I5121="",0,COUNTIF(원본명단!$I$3:$I$6002,원본명단!$I5121)))</f>
        <v/>
      </c>
      <c r="G5122" s="11" t="str">
        <f aca="false">IF($A5122="","",IF(원본명단!$K5121="",0,COUNTIF(원본명단!$K$3:$K$6002,원본명단!$K5121)))</f>
        <v/>
      </c>
      <c r="H5122" s="11" t="str">
        <f aca="false">IF($A5122="","",IF(MAX($E5122,$F5122,$G5122)&gt;1,"중복","-"))</f>
        <v/>
      </c>
      <c r="I5122" s="11" t="str">
        <f aca="false">IF($A5122="","",IF($H5122="-","-",IF(AND(IF(원본명단!$H5121="",TRUE(),COUNTIF(원본명단!$H$3:$H5121,원본명단!$H5121)=1),IF(원본명단!$I5121="",TRUE(),COUNTIF(원본명단!$I$3:$I5121,원본명단!$I5121)=1),IF(원본명단!$K5121="",TRUE(),COUNTIF(원본명단!$K$3:$K5121,원본명단!$K5121)=1)),"첫 건","중복 건")))</f>
        <v/>
      </c>
      <c r="J5122" s="11" t="str">
        <f aca="false">IF($A5122="","",IF($H5122="-","유지",IF($I5122="첫 건","유지","확인 필요")))</f>
        <v/>
      </c>
    </row>
    <row r="5123" customFormat="false" ht="15" hidden="false" customHeight="true" outlineLevel="0" collapsed="false">
      <c r="A5123" s="11" t="str">
        <f aca="false">IF(원본명단!$A5122="","",5120)</f>
        <v/>
      </c>
      <c r="B5123" s="12" t="str">
        <f aca="false">IF($A5123="","",원본명단!$A5122)</f>
        <v/>
      </c>
      <c r="C5123" s="12" t="str">
        <f aca="false">IF($A5123="","",원본명단!$B5122)</f>
        <v/>
      </c>
      <c r="D5123" s="12" t="str">
        <f aca="false">IF($A5123="","",원본명단!$D5122)</f>
        <v/>
      </c>
      <c r="E5123" s="11" t="str">
        <f aca="false">IF($A5123="","",IF(원본명단!$H5122="",0,COUNTIF(원본명단!$H$3:$H$6002,원본명단!$H5122)))</f>
        <v/>
      </c>
      <c r="F5123" s="11" t="str">
        <f aca="false">IF($A5123="","",IF(원본명단!$I5122="",0,COUNTIF(원본명단!$I$3:$I$6002,원본명단!$I5122)))</f>
        <v/>
      </c>
      <c r="G5123" s="11" t="str">
        <f aca="false">IF($A5123="","",IF(원본명단!$K5122="",0,COUNTIF(원본명단!$K$3:$K$6002,원본명단!$K5122)))</f>
        <v/>
      </c>
      <c r="H5123" s="11" t="str">
        <f aca="false">IF($A5123="","",IF(MAX($E5123,$F5123,$G5123)&gt;1,"중복","-"))</f>
        <v/>
      </c>
      <c r="I5123" s="11" t="str">
        <f aca="false">IF($A5123="","",IF($H5123="-","-",IF(AND(IF(원본명단!$H5122="",TRUE(),COUNTIF(원본명단!$H$3:$H5122,원본명단!$H5122)=1),IF(원본명단!$I5122="",TRUE(),COUNTIF(원본명단!$I$3:$I5122,원본명단!$I5122)=1),IF(원본명단!$K5122="",TRUE(),COUNTIF(원본명단!$K$3:$K5122,원본명단!$K5122)=1)),"첫 건","중복 건")))</f>
        <v/>
      </c>
      <c r="J5123" s="11" t="str">
        <f aca="false">IF($A5123="","",IF($H5123="-","유지",IF($I5123="첫 건","유지","확인 필요")))</f>
        <v/>
      </c>
    </row>
    <row r="5124" customFormat="false" ht="15" hidden="false" customHeight="true" outlineLevel="0" collapsed="false">
      <c r="A5124" s="11" t="str">
        <f aca="false">IF(원본명단!$A5123="","",5121)</f>
        <v/>
      </c>
      <c r="B5124" s="12" t="str">
        <f aca="false">IF($A5124="","",원본명단!$A5123)</f>
        <v/>
      </c>
      <c r="C5124" s="12" t="str">
        <f aca="false">IF($A5124="","",원본명단!$B5123)</f>
        <v/>
      </c>
      <c r="D5124" s="12" t="str">
        <f aca="false">IF($A5124="","",원본명단!$D5123)</f>
        <v/>
      </c>
      <c r="E5124" s="11" t="str">
        <f aca="false">IF($A5124="","",IF(원본명단!$H5123="",0,COUNTIF(원본명단!$H$3:$H$6002,원본명단!$H5123)))</f>
        <v/>
      </c>
      <c r="F5124" s="11" t="str">
        <f aca="false">IF($A5124="","",IF(원본명단!$I5123="",0,COUNTIF(원본명단!$I$3:$I$6002,원본명단!$I5123)))</f>
        <v/>
      </c>
      <c r="G5124" s="11" t="str">
        <f aca="false">IF($A5124="","",IF(원본명단!$K5123="",0,COUNTIF(원본명단!$K$3:$K$6002,원본명단!$K5123)))</f>
        <v/>
      </c>
      <c r="H5124" s="11" t="str">
        <f aca="false">IF($A5124="","",IF(MAX($E5124,$F5124,$G5124)&gt;1,"중복","-"))</f>
        <v/>
      </c>
      <c r="I5124" s="11" t="str">
        <f aca="false">IF($A5124="","",IF($H5124="-","-",IF(AND(IF(원본명단!$H5123="",TRUE(),COUNTIF(원본명단!$H$3:$H5123,원본명단!$H5123)=1),IF(원본명단!$I5123="",TRUE(),COUNTIF(원본명단!$I$3:$I5123,원본명단!$I5123)=1),IF(원본명단!$K5123="",TRUE(),COUNTIF(원본명단!$K$3:$K5123,원본명단!$K5123)=1)),"첫 건","중복 건")))</f>
        <v/>
      </c>
      <c r="J5124" s="11" t="str">
        <f aca="false">IF($A5124="","",IF($H5124="-","유지",IF($I5124="첫 건","유지","확인 필요")))</f>
        <v/>
      </c>
    </row>
    <row r="5125" customFormat="false" ht="15" hidden="false" customHeight="true" outlineLevel="0" collapsed="false">
      <c r="A5125" s="11" t="str">
        <f aca="false">IF(원본명단!$A5124="","",5122)</f>
        <v/>
      </c>
      <c r="B5125" s="12" t="str">
        <f aca="false">IF($A5125="","",원본명단!$A5124)</f>
        <v/>
      </c>
      <c r="C5125" s="12" t="str">
        <f aca="false">IF($A5125="","",원본명단!$B5124)</f>
        <v/>
      </c>
      <c r="D5125" s="12" t="str">
        <f aca="false">IF($A5125="","",원본명단!$D5124)</f>
        <v/>
      </c>
      <c r="E5125" s="11" t="str">
        <f aca="false">IF($A5125="","",IF(원본명단!$H5124="",0,COUNTIF(원본명단!$H$3:$H$6002,원본명단!$H5124)))</f>
        <v/>
      </c>
      <c r="F5125" s="11" t="str">
        <f aca="false">IF($A5125="","",IF(원본명단!$I5124="",0,COUNTIF(원본명단!$I$3:$I$6002,원본명단!$I5124)))</f>
        <v/>
      </c>
      <c r="G5125" s="11" t="str">
        <f aca="false">IF($A5125="","",IF(원본명단!$K5124="",0,COUNTIF(원본명단!$K$3:$K$6002,원본명단!$K5124)))</f>
        <v/>
      </c>
      <c r="H5125" s="11" t="str">
        <f aca="false">IF($A5125="","",IF(MAX($E5125,$F5125,$G5125)&gt;1,"중복","-"))</f>
        <v/>
      </c>
      <c r="I5125" s="11" t="str">
        <f aca="false">IF($A5125="","",IF($H5125="-","-",IF(AND(IF(원본명단!$H5124="",TRUE(),COUNTIF(원본명단!$H$3:$H5124,원본명단!$H5124)=1),IF(원본명단!$I5124="",TRUE(),COUNTIF(원본명단!$I$3:$I5124,원본명단!$I5124)=1),IF(원본명단!$K5124="",TRUE(),COUNTIF(원본명단!$K$3:$K5124,원본명단!$K5124)=1)),"첫 건","중복 건")))</f>
        <v/>
      </c>
      <c r="J5125" s="11" t="str">
        <f aca="false">IF($A5125="","",IF($H5125="-","유지",IF($I5125="첫 건","유지","확인 필요")))</f>
        <v/>
      </c>
    </row>
    <row r="5126" customFormat="false" ht="15" hidden="false" customHeight="true" outlineLevel="0" collapsed="false">
      <c r="A5126" s="11" t="str">
        <f aca="false">IF(원본명단!$A5125="","",5123)</f>
        <v/>
      </c>
      <c r="B5126" s="12" t="str">
        <f aca="false">IF($A5126="","",원본명단!$A5125)</f>
        <v/>
      </c>
      <c r="C5126" s="12" t="str">
        <f aca="false">IF($A5126="","",원본명단!$B5125)</f>
        <v/>
      </c>
      <c r="D5126" s="12" t="str">
        <f aca="false">IF($A5126="","",원본명단!$D5125)</f>
        <v/>
      </c>
      <c r="E5126" s="11" t="str">
        <f aca="false">IF($A5126="","",IF(원본명단!$H5125="",0,COUNTIF(원본명단!$H$3:$H$6002,원본명단!$H5125)))</f>
        <v/>
      </c>
      <c r="F5126" s="11" t="str">
        <f aca="false">IF($A5126="","",IF(원본명단!$I5125="",0,COUNTIF(원본명단!$I$3:$I$6002,원본명단!$I5125)))</f>
        <v/>
      </c>
      <c r="G5126" s="11" t="str">
        <f aca="false">IF($A5126="","",IF(원본명단!$K5125="",0,COUNTIF(원본명단!$K$3:$K$6002,원본명단!$K5125)))</f>
        <v/>
      </c>
      <c r="H5126" s="11" t="str">
        <f aca="false">IF($A5126="","",IF(MAX($E5126,$F5126,$G5126)&gt;1,"중복","-"))</f>
        <v/>
      </c>
      <c r="I5126" s="11" t="str">
        <f aca="false">IF($A5126="","",IF($H5126="-","-",IF(AND(IF(원본명단!$H5125="",TRUE(),COUNTIF(원본명단!$H$3:$H5125,원본명단!$H5125)=1),IF(원본명단!$I5125="",TRUE(),COUNTIF(원본명단!$I$3:$I5125,원본명단!$I5125)=1),IF(원본명단!$K5125="",TRUE(),COUNTIF(원본명단!$K$3:$K5125,원본명단!$K5125)=1)),"첫 건","중복 건")))</f>
        <v/>
      </c>
      <c r="J5126" s="11" t="str">
        <f aca="false">IF($A5126="","",IF($H5126="-","유지",IF($I5126="첫 건","유지","확인 필요")))</f>
        <v/>
      </c>
    </row>
    <row r="5127" customFormat="false" ht="15" hidden="false" customHeight="true" outlineLevel="0" collapsed="false">
      <c r="A5127" s="11" t="str">
        <f aca="false">IF(원본명단!$A5126="","",5124)</f>
        <v/>
      </c>
      <c r="B5127" s="12" t="str">
        <f aca="false">IF($A5127="","",원본명단!$A5126)</f>
        <v/>
      </c>
      <c r="C5127" s="12" t="str">
        <f aca="false">IF($A5127="","",원본명단!$B5126)</f>
        <v/>
      </c>
      <c r="D5127" s="12" t="str">
        <f aca="false">IF($A5127="","",원본명단!$D5126)</f>
        <v/>
      </c>
      <c r="E5127" s="11" t="str">
        <f aca="false">IF($A5127="","",IF(원본명단!$H5126="",0,COUNTIF(원본명단!$H$3:$H$6002,원본명단!$H5126)))</f>
        <v/>
      </c>
      <c r="F5127" s="11" t="str">
        <f aca="false">IF($A5127="","",IF(원본명단!$I5126="",0,COUNTIF(원본명단!$I$3:$I$6002,원본명단!$I5126)))</f>
        <v/>
      </c>
      <c r="G5127" s="11" t="str">
        <f aca="false">IF($A5127="","",IF(원본명단!$K5126="",0,COUNTIF(원본명단!$K$3:$K$6002,원본명단!$K5126)))</f>
        <v/>
      </c>
      <c r="H5127" s="11" t="str">
        <f aca="false">IF($A5127="","",IF(MAX($E5127,$F5127,$G5127)&gt;1,"중복","-"))</f>
        <v/>
      </c>
      <c r="I5127" s="11" t="str">
        <f aca="false">IF($A5127="","",IF($H5127="-","-",IF(AND(IF(원본명단!$H5126="",TRUE(),COUNTIF(원본명단!$H$3:$H5126,원본명단!$H5126)=1),IF(원본명단!$I5126="",TRUE(),COUNTIF(원본명단!$I$3:$I5126,원본명단!$I5126)=1),IF(원본명단!$K5126="",TRUE(),COUNTIF(원본명단!$K$3:$K5126,원본명단!$K5126)=1)),"첫 건","중복 건")))</f>
        <v/>
      </c>
      <c r="J5127" s="11" t="str">
        <f aca="false">IF($A5127="","",IF($H5127="-","유지",IF($I5127="첫 건","유지","확인 필요")))</f>
        <v/>
      </c>
    </row>
    <row r="5128" customFormat="false" ht="15" hidden="false" customHeight="true" outlineLevel="0" collapsed="false">
      <c r="A5128" s="11" t="str">
        <f aca="false">IF(원본명단!$A5127="","",5125)</f>
        <v/>
      </c>
      <c r="B5128" s="12" t="str">
        <f aca="false">IF($A5128="","",원본명단!$A5127)</f>
        <v/>
      </c>
      <c r="C5128" s="12" t="str">
        <f aca="false">IF($A5128="","",원본명단!$B5127)</f>
        <v/>
      </c>
      <c r="D5128" s="12" t="str">
        <f aca="false">IF($A5128="","",원본명단!$D5127)</f>
        <v/>
      </c>
      <c r="E5128" s="11" t="str">
        <f aca="false">IF($A5128="","",IF(원본명단!$H5127="",0,COUNTIF(원본명단!$H$3:$H$6002,원본명단!$H5127)))</f>
        <v/>
      </c>
      <c r="F5128" s="11" t="str">
        <f aca="false">IF($A5128="","",IF(원본명단!$I5127="",0,COUNTIF(원본명단!$I$3:$I$6002,원본명단!$I5127)))</f>
        <v/>
      </c>
      <c r="G5128" s="11" t="str">
        <f aca="false">IF($A5128="","",IF(원본명단!$K5127="",0,COUNTIF(원본명단!$K$3:$K$6002,원본명단!$K5127)))</f>
        <v/>
      </c>
      <c r="H5128" s="11" t="str">
        <f aca="false">IF($A5128="","",IF(MAX($E5128,$F5128,$G5128)&gt;1,"중복","-"))</f>
        <v/>
      </c>
      <c r="I5128" s="11" t="str">
        <f aca="false">IF($A5128="","",IF($H5128="-","-",IF(AND(IF(원본명단!$H5127="",TRUE(),COUNTIF(원본명단!$H$3:$H5127,원본명단!$H5127)=1),IF(원본명단!$I5127="",TRUE(),COUNTIF(원본명단!$I$3:$I5127,원본명단!$I5127)=1),IF(원본명단!$K5127="",TRUE(),COUNTIF(원본명단!$K$3:$K5127,원본명단!$K5127)=1)),"첫 건","중복 건")))</f>
        <v/>
      </c>
      <c r="J5128" s="11" t="str">
        <f aca="false">IF($A5128="","",IF($H5128="-","유지",IF($I5128="첫 건","유지","확인 필요")))</f>
        <v/>
      </c>
    </row>
    <row r="5129" customFormat="false" ht="15" hidden="false" customHeight="true" outlineLevel="0" collapsed="false">
      <c r="A5129" s="11" t="str">
        <f aca="false">IF(원본명단!$A5128="","",5126)</f>
        <v/>
      </c>
      <c r="B5129" s="12" t="str">
        <f aca="false">IF($A5129="","",원본명단!$A5128)</f>
        <v/>
      </c>
      <c r="C5129" s="12" t="str">
        <f aca="false">IF($A5129="","",원본명단!$B5128)</f>
        <v/>
      </c>
      <c r="D5129" s="12" t="str">
        <f aca="false">IF($A5129="","",원본명단!$D5128)</f>
        <v/>
      </c>
      <c r="E5129" s="11" t="str">
        <f aca="false">IF($A5129="","",IF(원본명단!$H5128="",0,COUNTIF(원본명단!$H$3:$H$6002,원본명단!$H5128)))</f>
        <v/>
      </c>
      <c r="F5129" s="11" t="str">
        <f aca="false">IF($A5129="","",IF(원본명단!$I5128="",0,COUNTIF(원본명단!$I$3:$I$6002,원본명단!$I5128)))</f>
        <v/>
      </c>
      <c r="G5129" s="11" t="str">
        <f aca="false">IF($A5129="","",IF(원본명단!$K5128="",0,COUNTIF(원본명단!$K$3:$K$6002,원본명단!$K5128)))</f>
        <v/>
      </c>
      <c r="H5129" s="11" t="str">
        <f aca="false">IF($A5129="","",IF(MAX($E5129,$F5129,$G5129)&gt;1,"중복","-"))</f>
        <v/>
      </c>
      <c r="I5129" s="11" t="str">
        <f aca="false">IF($A5129="","",IF($H5129="-","-",IF(AND(IF(원본명단!$H5128="",TRUE(),COUNTIF(원본명단!$H$3:$H5128,원본명단!$H5128)=1),IF(원본명단!$I5128="",TRUE(),COUNTIF(원본명단!$I$3:$I5128,원본명단!$I5128)=1),IF(원본명단!$K5128="",TRUE(),COUNTIF(원본명단!$K$3:$K5128,원본명단!$K5128)=1)),"첫 건","중복 건")))</f>
        <v/>
      </c>
      <c r="J5129" s="11" t="str">
        <f aca="false">IF($A5129="","",IF($H5129="-","유지",IF($I5129="첫 건","유지","확인 필요")))</f>
        <v/>
      </c>
    </row>
    <row r="5130" customFormat="false" ht="15" hidden="false" customHeight="true" outlineLevel="0" collapsed="false">
      <c r="A5130" s="11" t="str">
        <f aca="false">IF(원본명단!$A5129="","",5127)</f>
        <v/>
      </c>
      <c r="B5130" s="12" t="str">
        <f aca="false">IF($A5130="","",원본명단!$A5129)</f>
        <v/>
      </c>
      <c r="C5130" s="12" t="str">
        <f aca="false">IF($A5130="","",원본명단!$B5129)</f>
        <v/>
      </c>
      <c r="D5130" s="12" t="str">
        <f aca="false">IF($A5130="","",원본명단!$D5129)</f>
        <v/>
      </c>
      <c r="E5130" s="11" t="str">
        <f aca="false">IF($A5130="","",IF(원본명단!$H5129="",0,COUNTIF(원본명단!$H$3:$H$6002,원본명단!$H5129)))</f>
        <v/>
      </c>
      <c r="F5130" s="11" t="str">
        <f aca="false">IF($A5130="","",IF(원본명단!$I5129="",0,COUNTIF(원본명단!$I$3:$I$6002,원본명단!$I5129)))</f>
        <v/>
      </c>
      <c r="G5130" s="11" t="str">
        <f aca="false">IF($A5130="","",IF(원본명단!$K5129="",0,COUNTIF(원본명단!$K$3:$K$6002,원본명단!$K5129)))</f>
        <v/>
      </c>
      <c r="H5130" s="11" t="str">
        <f aca="false">IF($A5130="","",IF(MAX($E5130,$F5130,$G5130)&gt;1,"중복","-"))</f>
        <v/>
      </c>
      <c r="I5130" s="11" t="str">
        <f aca="false">IF($A5130="","",IF($H5130="-","-",IF(AND(IF(원본명단!$H5129="",TRUE(),COUNTIF(원본명단!$H$3:$H5129,원본명단!$H5129)=1),IF(원본명단!$I5129="",TRUE(),COUNTIF(원본명단!$I$3:$I5129,원본명단!$I5129)=1),IF(원본명단!$K5129="",TRUE(),COUNTIF(원본명단!$K$3:$K5129,원본명단!$K5129)=1)),"첫 건","중복 건")))</f>
        <v/>
      </c>
      <c r="J5130" s="11" t="str">
        <f aca="false">IF($A5130="","",IF($H5130="-","유지",IF($I5130="첫 건","유지","확인 필요")))</f>
        <v/>
      </c>
    </row>
    <row r="5131" customFormat="false" ht="15" hidden="false" customHeight="true" outlineLevel="0" collapsed="false">
      <c r="A5131" s="11" t="str">
        <f aca="false">IF(원본명단!$A5130="","",5128)</f>
        <v/>
      </c>
      <c r="B5131" s="12" t="str">
        <f aca="false">IF($A5131="","",원본명단!$A5130)</f>
        <v/>
      </c>
      <c r="C5131" s="12" t="str">
        <f aca="false">IF($A5131="","",원본명단!$B5130)</f>
        <v/>
      </c>
      <c r="D5131" s="12" t="str">
        <f aca="false">IF($A5131="","",원본명단!$D5130)</f>
        <v/>
      </c>
      <c r="E5131" s="11" t="str">
        <f aca="false">IF($A5131="","",IF(원본명단!$H5130="",0,COUNTIF(원본명단!$H$3:$H$6002,원본명단!$H5130)))</f>
        <v/>
      </c>
      <c r="F5131" s="11" t="str">
        <f aca="false">IF($A5131="","",IF(원본명단!$I5130="",0,COUNTIF(원본명단!$I$3:$I$6002,원본명단!$I5130)))</f>
        <v/>
      </c>
      <c r="G5131" s="11" t="str">
        <f aca="false">IF($A5131="","",IF(원본명단!$K5130="",0,COUNTIF(원본명단!$K$3:$K$6002,원본명단!$K5130)))</f>
        <v/>
      </c>
      <c r="H5131" s="11" t="str">
        <f aca="false">IF($A5131="","",IF(MAX($E5131,$F5131,$G5131)&gt;1,"중복","-"))</f>
        <v/>
      </c>
      <c r="I5131" s="11" t="str">
        <f aca="false">IF($A5131="","",IF($H5131="-","-",IF(AND(IF(원본명단!$H5130="",TRUE(),COUNTIF(원본명단!$H$3:$H5130,원본명단!$H5130)=1),IF(원본명단!$I5130="",TRUE(),COUNTIF(원본명단!$I$3:$I5130,원본명단!$I5130)=1),IF(원본명단!$K5130="",TRUE(),COUNTIF(원본명단!$K$3:$K5130,원본명단!$K5130)=1)),"첫 건","중복 건")))</f>
        <v/>
      </c>
      <c r="J5131" s="11" t="str">
        <f aca="false">IF($A5131="","",IF($H5131="-","유지",IF($I5131="첫 건","유지","확인 필요")))</f>
        <v/>
      </c>
    </row>
    <row r="5132" customFormat="false" ht="15" hidden="false" customHeight="true" outlineLevel="0" collapsed="false">
      <c r="A5132" s="11" t="str">
        <f aca="false">IF(원본명단!$A5131="","",5129)</f>
        <v/>
      </c>
      <c r="B5132" s="12" t="str">
        <f aca="false">IF($A5132="","",원본명단!$A5131)</f>
        <v/>
      </c>
      <c r="C5132" s="12" t="str">
        <f aca="false">IF($A5132="","",원본명단!$B5131)</f>
        <v/>
      </c>
      <c r="D5132" s="12" t="str">
        <f aca="false">IF($A5132="","",원본명단!$D5131)</f>
        <v/>
      </c>
      <c r="E5132" s="11" t="str">
        <f aca="false">IF($A5132="","",IF(원본명단!$H5131="",0,COUNTIF(원본명단!$H$3:$H$6002,원본명단!$H5131)))</f>
        <v/>
      </c>
      <c r="F5132" s="11" t="str">
        <f aca="false">IF($A5132="","",IF(원본명단!$I5131="",0,COUNTIF(원본명단!$I$3:$I$6002,원본명단!$I5131)))</f>
        <v/>
      </c>
      <c r="G5132" s="11" t="str">
        <f aca="false">IF($A5132="","",IF(원본명단!$K5131="",0,COUNTIF(원본명단!$K$3:$K$6002,원본명단!$K5131)))</f>
        <v/>
      </c>
      <c r="H5132" s="11" t="str">
        <f aca="false">IF($A5132="","",IF(MAX($E5132,$F5132,$G5132)&gt;1,"중복","-"))</f>
        <v/>
      </c>
      <c r="I5132" s="11" t="str">
        <f aca="false">IF($A5132="","",IF($H5132="-","-",IF(AND(IF(원본명단!$H5131="",TRUE(),COUNTIF(원본명단!$H$3:$H5131,원본명단!$H5131)=1),IF(원본명단!$I5131="",TRUE(),COUNTIF(원본명단!$I$3:$I5131,원본명단!$I5131)=1),IF(원본명단!$K5131="",TRUE(),COUNTIF(원본명단!$K$3:$K5131,원본명단!$K5131)=1)),"첫 건","중복 건")))</f>
        <v/>
      </c>
      <c r="J5132" s="11" t="str">
        <f aca="false">IF($A5132="","",IF($H5132="-","유지",IF($I5132="첫 건","유지","확인 필요")))</f>
        <v/>
      </c>
    </row>
    <row r="5133" customFormat="false" ht="15" hidden="false" customHeight="true" outlineLevel="0" collapsed="false">
      <c r="A5133" s="11" t="str">
        <f aca="false">IF(원본명단!$A5132="","",5130)</f>
        <v/>
      </c>
      <c r="B5133" s="12" t="str">
        <f aca="false">IF($A5133="","",원본명단!$A5132)</f>
        <v/>
      </c>
      <c r="C5133" s="12" t="str">
        <f aca="false">IF($A5133="","",원본명단!$B5132)</f>
        <v/>
      </c>
      <c r="D5133" s="12" t="str">
        <f aca="false">IF($A5133="","",원본명단!$D5132)</f>
        <v/>
      </c>
      <c r="E5133" s="11" t="str">
        <f aca="false">IF($A5133="","",IF(원본명단!$H5132="",0,COUNTIF(원본명단!$H$3:$H$6002,원본명단!$H5132)))</f>
        <v/>
      </c>
      <c r="F5133" s="11" t="str">
        <f aca="false">IF($A5133="","",IF(원본명단!$I5132="",0,COUNTIF(원본명단!$I$3:$I$6002,원본명단!$I5132)))</f>
        <v/>
      </c>
      <c r="G5133" s="11" t="str">
        <f aca="false">IF($A5133="","",IF(원본명단!$K5132="",0,COUNTIF(원본명단!$K$3:$K$6002,원본명단!$K5132)))</f>
        <v/>
      </c>
      <c r="H5133" s="11" t="str">
        <f aca="false">IF($A5133="","",IF(MAX($E5133,$F5133,$G5133)&gt;1,"중복","-"))</f>
        <v/>
      </c>
      <c r="I5133" s="11" t="str">
        <f aca="false">IF($A5133="","",IF($H5133="-","-",IF(AND(IF(원본명단!$H5132="",TRUE(),COUNTIF(원본명단!$H$3:$H5132,원본명단!$H5132)=1),IF(원본명단!$I5132="",TRUE(),COUNTIF(원본명단!$I$3:$I5132,원본명단!$I5132)=1),IF(원본명단!$K5132="",TRUE(),COUNTIF(원본명단!$K$3:$K5132,원본명단!$K5132)=1)),"첫 건","중복 건")))</f>
        <v/>
      </c>
      <c r="J5133" s="11" t="str">
        <f aca="false">IF($A5133="","",IF($H5133="-","유지",IF($I5133="첫 건","유지","확인 필요")))</f>
        <v/>
      </c>
    </row>
    <row r="5134" customFormat="false" ht="15" hidden="false" customHeight="true" outlineLevel="0" collapsed="false">
      <c r="A5134" s="11" t="str">
        <f aca="false">IF(원본명단!$A5133="","",5131)</f>
        <v/>
      </c>
      <c r="B5134" s="12" t="str">
        <f aca="false">IF($A5134="","",원본명단!$A5133)</f>
        <v/>
      </c>
      <c r="C5134" s="12" t="str">
        <f aca="false">IF($A5134="","",원본명단!$B5133)</f>
        <v/>
      </c>
      <c r="D5134" s="12" t="str">
        <f aca="false">IF($A5134="","",원본명단!$D5133)</f>
        <v/>
      </c>
      <c r="E5134" s="11" t="str">
        <f aca="false">IF($A5134="","",IF(원본명단!$H5133="",0,COUNTIF(원본명단!$H$3:$H$6002,원본명단!$H5133)))</f>
        <v/>
      </c>
      <c r="F5134" s="11" t="str">
        <f aca="false">IF($A5134="","",IF(원본명단!$I5133="",0,COUNTIF(원본명단!$I$3:$I$6002,원본명단!$I5133)))</f>
        <v/>
      </c>
      <c r="G5134" s="11" t="str">
        <f aca="false">IF($A5134="","",IF(원본명단!$K5133="",0,COUNTIF(원본명단!$K$3:$K$6002,원본명단!$K5133)))</f>
        <v/>
      </c>
      <c r="H5134" s="11" t="str">
        <f aca="false">IF($A5134="","",IF(MAX($E5134,$F5134,$G5134)&gt;1,"중복","-"))</f>
        <v/>
      </c>
      <c r="I5134" s="11" t="str">
        <f aca="false">IF($A5134="","",IF($H5134="-","-",IF(AND(IF(원본명단!$H5133="",TRUE(),COUNTIF(원본명단!$H$3:$H5133,원본명단!$H5133)=1),IF(원본명단!$I5133="",TRUE(),COUNTIF(원본명단!$I$3:$I5133,원본명단!$I5133)=1),IF(원본명단!$K5133="",TRUE(),COUNTIF(원본명단!$K$3:$K5133,원본명단!$K5133)=1)),"첫 건","중복 건")))</f>
        <v/>
      </c>
      <c r="J5134" s="11" t="str">
        <f aca="false">IF($A5134="","",IF($H5134="-","유지",IF($I5134="첫 건","유지","확인 필요")))</f>
        <v/>
      </c>
    </row>
    <row r="5135" customFormat="false" ht="15" hidden="false" customHeight="true" outlineLevel="0" collapsed="false">
      <c r="A5135" s="11" t="str">
        <f aca="false">IF(원본명단!$A5134="","",5132)</f>
        <v/>
      </c>
      <c r="B5135" s="12" t="str">
        <f aca="false">IF($A5135="","",원본명단!$A5134)</f>
        <v/>
      </c>
      <c r="C5135" s="12" t="str">
        <f aca="false">IF($A5135="","",원본명단!$B5134)</f>
        <v/>
      </c>
      <c r="D5135" s="12" t="str">
        <f aca="false">IF($A5135="","",원본명단!$D5134)</f>
        <v/>
      </c>
      <c r="E5135" s="11" t="str">
        <f aca="false">IF($A5135="","",IF(원본명단!$H5134="",0,COUNTIF(원본명단!$H$3:$H$6002,원본명단!$H5134)))</f>
        <v/>
      </c>
      <c r="F5135" s="11" t="str">
        <f aca="false">IF($A5135="","",IF(원본명단!$I5134="",0,COUNTIF(원본명단!$I$3:$I$6002,원본명단!$I5134)))</f>
        <v/>
      </c>
      <c r="G5135" s="11" t="str">
        <f aca="false">IF($A5135="","",IF(원본명단!$K5134="",0,COUNTIF(원본명단!$K$3:$K$6002,원본명단!$K5134)))</f>
        <v/>
      </c>
      <c r="H5135" s="11" t="str">
        <f aca="false">IF($A5135="","",IF(MAX($E5135,$F5135,$G5135)&gt;1,"중복","-"))</f>
        <v/>
      </c>
      <c r="I5135" s="11" t="str">
        <f aca="false">IF($A5135="","",IF($H5135="-","-",IF(AND(IF(원본명단!$H5134="",TRUE(),COUNTIF(원본명단!$H$3:$H5134,원본명단!$H5134)=1),IF(원본명단!$I5134="",TRUE(),COUNTIF(원본명단!$I$3:$I5134,원본명단!$I5134)=1),IF(원본명단!$K5134="",TRUE(),COUNTIF(원본명단!$K$3:$K5134,원본명단!$K5134)=1)),"첫 건","중복 건")))</f>
        <v/>
      </c>
      <c r="J5135" s="11" t="str">
        <f aca="false">IF($A5135="","",IF($H5135="-","유지",IF($I5135="첫 건","유지","확인 필요")))</f>
        <v/>
      </c>
    </row>
    <row r="5136" customFormat="false" ht="15" hidden="false" customHeight="true" outlineLevel="0" collapsed="false">
      <c r="A5136" s="11" t="str">
        <f aca="false">IF(원본명단!$A5135="","",5133)</f>
        <v/>
      </c>
      <c r="B5136" s="12" t="str">
        <f aca="false">IF($A5136="","",원본명단!$A5135)</f>
        <v/>
      </c>
      <c r="C5136" s="12" t="str">
        <f aca="false">IF($A5136="","",원본명단!$B5135)</f>
        <v/>
      </c>
      <c r="D5136" s="12" t="str">
        <f aca="false">IF($A5136="","",원본명단!$D5135)</f>
        <v/>
      </c>
      <c r="E5136" s="11" t="str">
        <f aca="false">IF($A5136="","",IF(원본명단!$H5135="",0,COUNTIF(원본명단!$H$3:$H$6002,원본명단!$H5135)))</f>
        <v/>
      </c>
      <c r="F5136" s="11" t="str">
        <f aca="false">IF($A5136="","",IF(원본명단!$I5135="",0,COUNTIF(원본명단!$I$3:$I$6002,원본명단!$I5135)))</f>
        <v/>
      </c>
      <c r="G5136" s="11" t="str">
        <f aca="false">IF($A5136="","",IF(원본명단!$K5135="",0,COUNTIF(원본명단!$K$3:$K$6002,원본명단!$K5135)))</f>
        <v/>
      </c>
      <c r="H5136" s="11" t="str">
        <f aca="false">IF($A5136="","",IF(MAX($E5136,$F5136,$G5136)&gt;1,"중복","-"))</f>
        <v/>
      </c>
      <c r="I5136" s="11" t="str">
        <f aca="false">IF($A5136="","",IF($H5136="-","-",IF(AND(IF(원본명단!$H5135="",TRUE(),COUNTIF(원본명단!$H$3:$H5135,원본명단!$H5135)=1),IF(원본명단!$I5135="",TRUE(),COUNTIF(원본명단!$I$3:$I5135,원본명단!$I5135)=1),IF(원본명단!$K5135="",TRUE(),COUNTIF(원본명단!$K$3:$K5135,원본명단!$K5135)=1)),"첫 건","중복 건")))</f>
        <v/>
      </c>
      <c r="J5136" s="11" t="str">
        <f aca="false">IF($A5136="","",IF($H5136="-","유지",IF($I5136="첫 건","유지","확인 필요")))</f>
        <v/>
      </c>
    </row>
    <row r="5137" customFormat="false" ht="15" hidden="false" customHeight="true" outlineLevel="0" collapsed="false">
      <c r="A5137" s="11" t="str">
        <f aca="false">IF(원본명단!$A5136="","",5134)</f>
        <v/>
      </c>
      <c r="B5137" s="12" t="str">
        <f aca="false">IF($A5137="","",원본명단!$A5136)</f>
        <v/>
      </c>
      <c r="C5137" s="12" t="str">
        <f aca="false">IF($A5137="","",원본명단!$B5136)</f>
        <v/>
      </c>
      <c r="D5137" s="12" t="str">
        <f aca="false">IF($A5137="","",원본명단!$D5136)</f>
        <v/>
      </c>
      <c r="E5137" s="11" t="str">
        <f aca="false">IF($A5137="","",IF(원본명단!$H5136="",0,COUNTIF(원본명단!$H$3:$H$6002,원본명단!$H5136)))</f>
        <v/>
      </c>
      <c r="F5137" s="11" t="str">
        <f aca="false">IF($A5137="","",IF(원본명단!$I5136="",0,COUNTIF(원본명단!$I$3:$I$6002,원본명단!$I5136)))</f>
        <v/>
      </c>
      <c r="G5137" s="11" t="str">
        <f aca="false">IF($A5137="","",IF(원본명단!$K5136="",0,COUNTIF(원본명단!$K$3:$K$6002,원본명단!$K5136)))</f>
        <v/>
      </c>
      <c r="H5137" s="11" t="str">
        <f aca="false">IF($A5137="","",IF(MAX($E5137,$F5137,$G5137)&gt;1,"중복","-"))</f>
        <v/>
      </c>
      <c r="I5137" s="11" t="str">
        <f aca="false">IF($A5137="","",IF($H5137="-","-",IF(AND(IF(원본명단!$H5136="",TRUE(),COUNTIF(원본명단!$H$3:$H5136,원본명단!$H5136)=1),IF(원본명단!$I5136="",TRUE(),COUNTIF(원본명단!$I$3:$I5136,원본명단!$I5136)=1),IF(원본명단!$K5136="",TRUE(),COUNTIF(원본명단!$K$3:$K5136,원본명단!$K5136)=1)),"첫 건","중복 건")))</f>
        <v/>
      </c>
      <c r="J5137" s="11" t="str">
        <f aca="false">IF($A5137="","",IF($H5137="-","유지",IF($I5137="첫 건","유지","확인 필요")))</f>
        <v/>
      </c>
    </row>
    <row r="5138" customFormat="false" ht="15" hidden="false" customHeight="true" outlineLevel="0" collapsed="false">
      <c r="A5138" s="11" t="str">
        <f aca="false">IF(원본명단!$A5137="","",5135)</f>
        <v/>
      </c>
      <c r="B5138" s="12" t="str">
        <f aca="false">IF($A5138="","",원본명단!$A5137)</f>
        <v/>
      </c>
      <c r="C5138" s="12" t="str">
        <f aca="false">IF($A5138="","",원본명단!$B5137)</f>
        <v/>
      </c>
      <c r="D5138" s="12" t="str">
        <f aca="false">IF($A5138="","",원본명단!$D5137)</f>
        <v/>
      </c>
      <c r="E5138" s="11" t="str">
        <f aca="false">IF($A5138="","",IF(원본명단!$H5137="",0,COUNTIF(원본명단!$H$3:$H$6002,원본명단!$H5137)))</f>
        <v/>
      </c>
      <c r="F5138" s="11" t="str">
        <f aca="false">IF($A5138="","",IF(원본명단!$I5137="",0,COUNTIF(원본명단!$I$3:$I$6002,원본명단!$I5137)))</f>
        <v/>
      </c>
      <c r="G5138" s="11" t="str">
        <f aca="false">IF($A5138="","",IF(원본명단!$K5137="",0,COUNTIF(원본명단!$K$3:$K$6002,원본명단!$K5137)))</f>
        <v/>
      </c>
      <c r="H5138" s="11" t="str">
        <f aca="false">IF($A5138="","",IF(MAX($E5138,$F5138,$G5138)&gt;1,"중복","-"))</f>
        <v/>
      </c>
      <c r="I5138" s="11" t="str">
        <f aca="false">IF($A5138="","",IF($H5138="-","-",IF(AND(IF(원본명단!$H5137="",TRUE(),COUNTIF(원본명단!$H$3:$H5137,원본명단!$H5137)=1),IF(원본명단!$I5137="",TRUE(),COUNTIF(원본명단!$I$3:$I5137,원본명단!$I5137)=1),IF(원본명단!$K5137="",TRUE(),COUNTIF(원본명단!$K$3:$K5137,원본명단!$K5137)=1)),"첫 건","중복 건")))</f>
        <v/>
      </c>
      <c r="J5138" s="11" t="str">
        <f aca="false">IF($A5138="","",IF($H5138="-","유지",IF($I5138="첫 건","유지","확인 필요")))</f>
        <v/>
      </c>
    </row>
    <row r="5139" customFormat="false" ht="15" hidden="false" customHeight="true" outlineLevel="0" collapsed="false">
      <c r="A5139" s="11" t="str">
        <f aca="false">IF(원본명단!$A5138="","",5136)</f>
        <v/>
      </c>
      <c r="B5139" s="12" t="str">
        <f aca="false">IF($A5139="","",원본명단!$A5138)</f>
        <v/>
      </c>
      <c r="C5139" s="12" t="str">
        <f aca="false">IF($A5139="","",원본명단!$B5138)</f>
        <v/>
      </c>
      <c r="D5139" s="12" t="str">
        <f aca="false">IF($A5139="","",원본명단!$D5138)</f>
        <v/>
      </c>
      <c r="E5139" s="11" t="str">
        <f aca="false">IF($A5139="","",IF(원본명단!$H5138="",0,COUNTIF(원본명단!$H$3:$H$6002,원본명단!$H5138)))</f>
        <v/>
      </c>
      <c r="F5139" s="11" t="str">
        <f aca="false">IF($A5139="","",IF(원본명단!$I5138="",0,COUNTIF(원본명단!$I$3:$I$6002,원본명단!$I5138)))</f>
        <v/>
      </c>
      <c r="G5139" s="11" t="str">
        <f aca="false">IF($A5139="","",IF(원본명단!$K5138="",0,COUNTIF(원본명단!$K$3:$K$6002,원본명단!$K5138)))</f>
        <v/>
      </c>
      <c r="H5139" s="11" t="str">
        <f aca="false">IF($A5139="","",IF(MAX($E5139,$F5139,$G5139)&gt;1,"중복","-"))</f>
        <v/>
      </c>
      <c r="I5139" s="11" t="str">
        <f aca="false">IF($A5139="","",IF($H5139="-","-",IF(AND(IF(원본명단!$H5138="",TRUE(),COUNTIF(원본명단!$H$3:$H5138,원본명단!$H5138)=1),IF(원본명단!$I5138="",TRUE(),COUNTIF(원본명단!$I$3:$I5138,원본명단!$I5138)=1),IF(원본명단!$K5138="",TRUE(),COUNTIF(원본명단!$K$3:$K5138,원본명단!$K5138)=1)),"첫 건","중복 건")))</f>
        <v/>
      </c>
      <c r="J5139" s="11" t="str">
        <f aca="false">IF($A5139="","",IF($H5139="-","유지",IF($I5139="첫 건","유지","확인 필요")))</f>
        <v/>
      </c>
    </row>
    <row r="5140" customFormat="false" ht="15" hidden="false" customHeight="true" outlineLevel="0" collapsed="false">
      <c r="A5140" s="11" t="str">
        <f aca="false">IF(원본명단!$A5139="","",5137)</f>
        <v/>
      </c>
      <c r="B5140" s="12" t="str">
        <f aca="false">IF($A5140="","",원본명단!$A5139)</f>
        <v/>
      </c>
      <c r="C5140" s="12" t="str">
        <f aca="false">IF($A5140="","",원본명단!$B5139)</f>
        <v/>
      </c>
      <c r="D5140" s="12" t="str">
        <f aca="false">IF($A5140="","",원본명단!$D5139)</f>
        <v/>
      </c>
      <c r="E5140" s="11" t="str">
        <f aca="false">IF($A5140="","",IF(원본명단!$H5139="",0,COUNTIF(원본명단!$H$3:$H$6002,원본명단!$H5139)))</f>
        <v/>
      </c>
      <c r="F5140" s="11" t="str">
        <f aca="false">IF($A5140="","",IF(원본명단!$I5139="",0,COUNTIF(원본명단!$I$3:$I$6002,원본명단!$I5139)))</f>
        <v/>
      </c>
      <c r="G5140" s="11" t="str">
        <f aca="false">IF($A5140="","",IF(원본명단!$K5139="",0,COUNTIF(원본명단!$K$3:$K$6002,원본명단!$K5139)))</f>
        <v/>
      </c>
      <c r="H5140" s="11" t="str">
        <f aca="false">IF($A5140="","",IF(MAX($E5140,$F5140,$G5140)&gt;1,"중복","-"))</f>
        <v/>
      </c>
      <c r="I5140" s="11" t="str">
        <f aca="false">IF($A5140="","",IF($H5140="-","-",IF(AND(IF(원본명단!$H5139="",TRUE(),COUNTIF(원본명단!$H$3:$H5139,원본명단!$H5139)=1),IF(원본명단!$I5139="",TRUE(),COUNTIF(원본명단!$I$3:$I5139,원본명단!$I5139)=1),IF(원본명단!$K5139="",TRUE(),COUNTIF(원본명단!$K$3:$K5139,원본명단!$K5139)=1)),"첫 건","중복 건")))</f>
        <v/>
      </c>
      <c r="J5140" s="11" t="str">
        <f aca="false">IF($A5140="","",IF($H5140="-","유지",IF($I5140="첫 건","유지","확인 필요")))</f>
        <v/>
      </c>
    </row>
    <row r="5141" customFormat="false" ht="15" hidden="false" customHeight="true" outlineLevel="0" collapsed="false">
      <c r="A5141" s="11" t="str">
        <f aca="false">IF(원본명단!$A5140="","",5138)</f>
        <v/>
      </c>
      <c r="B5141" s="12" t="str">
        <f aca="false">IF($A5141="","",원본명단!$A5140)</f>
        <v/>
      </c>
      <c r="C5141" s="12" t="str">
        <f aca="false">IF($A5141="","",원본명단!$B5140)</f>
        <v/>
      </c>
      <c r="D5141" s="12" t="str">
        <f aca="false">IF($A5141="","",원본명단!$D5140)</f>
        <v/>
      </c>
      <c r="E5141" s="11" t="str">
        <f aca="false">IF($A5141="","",IF(원본명단!$H5140="",0,COUNTIF(원본명단!$H$3:$H$6002,원본명단!$H5140)))</f>
        <v/>
      </c>
      <c r="F5141" s="11" t="str">
        <f aca="false">IF($A5141="","",IF(원본명단!$I5140="",0,COUNTIF(원본명단!$I$3:$I$6002,원본명단!$I5140)))</f>
        <v/>
      </c>
      <c r="G5141" s="11" t="str">
        <f aca="false">IF($A5141="","",IF(원본명단!$K5140="",0,COUNTIF(원본명단!$K$3:$K$6002,원본명단!$K5140)))</f>
        <v/>
      </c>
      <c r="H5141" s="11" t="str">
        <f aca="false">IF($A5141="","",IF(MAX($E5141,$F5141,$G5141)&gt;1,"중복","-"))</f>
        <v/>
      </c>
      <c r="I5141" s="11" t="str">
        <f aca="false">IF($A5141="","",IF($H5141="-","-",IF(AND(IF(원본명단!$H5140="",TRUE(),COUNTIF(원본명단!$H$3:$H5140,원본명단!$H5140)=1),IF(원본명단!$I5140="",TRUE(),COUNTIF(원본명단!$I$3:$I5140,원본명단!$I5140)=1),IF(원본명단!$K5140="",TRUE(),COUNTIF(원본명단!$K$3:$K5140,원본명단!$K5140)=1)),"첫 건","중복 건")))</f>
        <v/>
      </c>
      <c r="J5141" s="11" t="str">
        <f aca="false">IF($A5141="","",IF($H5141="-","유지",IF($I5141="첫 건","유지","확인 필요")))</f>
        <v/>
      </c>
    </row>
    <row r="5142" customFormat="false" ht="15" hidden="false" customHeight="true" outlineLevel="0" collapsed="false">
      <c r="A5142" s="11" t="str">
        <f aca="false">IF(원본명단!$A5141="","",5139)</f>
        <v/>
      </c>
      <c r="B5142" s="12" t="str">
        <f aca="false">IF($A5142="","",원본명단!$A5141)</f>
        <v/>
      </c>
      <c r="C5142" s="12" t="str">
        <f aca="false">IF($A5142="","",원본명단!$B5141)</f>
        <v/>
      </c>
      <c r="D5142" s="12" t="str">
        <f aca="false">IF($A5142="","",원본명단!$D5141)</f>
        <v/>
      </c>
      <c r="E5142" s="11" t="str">
        <f aca="false">IF($A5142="","",IF(원본명단!$H5141="",0,COUNTIF(원본명단!$H$3:$H$6002,원본명단!$H5141)))</f>
        <v/>
      </c>
      <c r="F5142" s="11" t="str">
        <f aca="false">IF($A5142="","",IF(원본명단!$I5141="",0,COUNTIF(원본명단!$I$3:$I$6002,원본명단!$I5141)))</f>
        <v/>
      </c>
      <c r="G5142" s="11" t="str">
        <f aca="false">IF($A5142="","",IF(원본명단!$K5141="",0,COUNTIF(원본명단!$K$3:$K$6002,원본명단!$K5141)))</f>
        <v/>
      </c>
      <c r="H5142" s="11" t="str">
        <f aca="false">IF($A5142="","",IF(MAX($E5142,$F5142,$G5142)&gt;1,"중복","-"))</f>
        <v/>
      </c>
      <c r="I5142" s="11" t="str">
        <f aca="false">IF($A5142="","",IF($H5142="-","-",IF(AND(IF(원본명단!$H5141="",TRUE(),COUNTIF(원본명단!$H$3:$H5141,원본명단!$H5141)=1),IF(원본명단!$I5141="",TRUE(),COUNTIF(원본명단!$I$3:$I5141,원본명단!$I5141)=1),IF(원본명단!$K5141="",TRUE(),COUNTIF(원본명단!$K$3:$K5141,원본명단!$K5141)=1)),"첫 건","중복 건")))</f>
        <v/>
      </c>
      <c r="J5142" s="11" t="str">
        <f aca="false">IF($A5142="","",IF($H5142="-","유지",IF($I5142="첫 건","유지","확인 필요")))</f>
        <v/>
      </c>
    </row>
    <row r="5143" customFormat="false" ht="15" hidden="false" customHeight="true" outlineLevel="0" collapsed="false">
      <c r="A5143" s="11" t="str">
        <f aca="false">IF(원본명단!$A5142="","",5140)</f>
        <v/>
      </c>
      <c r="B5143" s="12" t="str">
        <f aca="false">IF($A5143="","",원본명단!$A5142)</f>
        <v/>
      </c>
      <c r="C5143" s="12" t="str">
        <f aca="false">IF($A5143="","",원본명단!$B5142)</f>
        <v/>
      </c>
      <c r="D5143" s="12" t="str">
        <f aca="false">IF($A5143="","",원본명단!$D5142)</f>
        <v/>
      </c>
      <c r="E5143" s="11" t="str">
        <f aca="false">IF($A5143="","",IF(원본명단!$H5142="",0,COUNTIF(원본명단!$H$3:$H$6002,원본명단!$H5142)))</f>
        <v/>
      </c>
      <c r="F5143" s="11" t="str">
        <f aca="false">IF($A5143="","",IF(원본명단!$I5142="",0,COUNTIF(원본명단!$I$3:$I$6002,원본명단!$I5142)))</f>
        <v/>
      </c>
      <c r="G5143" s="11" t="str">
        <f aca="false">IF($A5143="","",IF(원본명단!$K5142="",0,COUNTIF(원본명단!$K$3:$K$6002,원본명단!$K5142)))</f>
        <v/>
      </c>
      <c r="H5143" s="11" t="str">
        <f aca="false">IF($A5143="","",IF(MAX($E5143,$F5143,$G5143)&gt;1,"중복","-"))</f>
        <v/>
      </c>
      <c r="I5143" s="11" t="str">
        <f aca="false">IF($A5143="","",IF($H5143="-","-",IF(AND(IF(원본명단!$H5142="",TRUE(),COUNTIF(원본명단!$H$3:$H5142,원본명단!$H5142)=1),IF(원본명단!$I5142="",TRUE(),COUNTIF(원본명단!$I$3:$I5142,원본명단!$I5142)=1),IF(원본명단!$K5142="",TRUE(),COUNTIF(원본명단!$K$3:$K5142,원본명단!$K5142)=1)),"첫 건","중복 건")))</f>
        <v/>
      </c>
      <c r="J5143" s="11" t="str">
        <f aca="false">IF($A5143="","",IF($H5143="-","유지",IF($I5143="첫 건","유지","확인 필요")))</f>
        <v/>
      </c>
    </row>
    <row r="5144" customFormat="false" ht="15" hidden="false" customHeight="true" outlineLevel="0" collapsed="false">
      <c r="A5144" s="11" t="str">
        <f aca="false">IF(원본명단!$A5143="","",5141)</f>
        <v/>
      </c>
      <c r="B5144" s="12" t="str">
        <f aca="false">IF($A5144="","",원본명단!$A5143)</f>
        <v/>
      </c>
      <c r="C5144" s="12" t="str">
        <f aca="false">IF($A5144="","",원본명단!$B5143)</f>
        <v/>
      </c>
      <c r="D5144" s="12" t="str">
        <f aca="false">IF($A5144="","",원본명단!$D5143)</f>
        <v/>
      </c>
      <c r="E5144" s="11" t="str">
        <f aca="false">IF($A5144="","",IF(원본명단!$H5143="",0,COUNTIF(원본명단!$H$3:$H$6002,원본명단!$H5143)))</f>
        <v/>
      </c>
      <c r="F5144" s="11" t="str">
        <f aca="false">IF($A5144="","",IF(원본명단!$I5143="",0,COUNTIF(원본명단!$I$3:$I$6002,원본명단!$I5143)))</f>
        <v/>
      </c>
      <c r="G5144" s="11" t="str">
        <f aca="false">IF($A5144="","",IF(원본명단!$K5143="",0,COUNTIF(원본명단!$K$3:$K$6002,원본명단!$K5143)))</f>
        <v/>
      </c>
      <c r="H5144" s="11" t="str">
        <f aca="false">IF($A5144="","",IF(MAX($E5144,$F5144,$G5144)&gt;1,"중복","-"))</f>
        <v/>
      </c>
      <c r="I5144" s="11" t="str">
        <f aca="false">IF($A5144="","",IF($H5144="-","-",IF(AND(IF(원본명단!$H5143="",TRUE(),COUNTIF(원본명단!$H$3:$H5143,원본명단!$H5143)=1),IF(원본명단!$I5143="",TRUE(),COUNTIF(원본명단!$I$3:$I5143,원본명단!$I5143)=1),IF(원본명단!$K5143="",TRUE(),COUNTIF(원본명단!$K$3:$K5143,원본명단!$K5143)=1)),"첫 건","중복 건")))</f>
        <v/>
      </c>
      <c r="J5144" s="11" t="str">
        <f aca="false">IF($A5144="","",IF($H5144="-","유지",IF($I5144="첫 건","유지","확인 필요")))</f>
        <v/>
      </c>
    </row>
    <row r="5145" customFormat="false" ht="15" hidden="false" customHeight="true" outlineLevel="0" collapsed="false">
      <c r="A5145" s="11" t="str">
        <f aca="false">IF(원본명단!$A5144="","",5142)</f>
        <v/>
      </c>
      <c r="B5145" s="12" t="str">
        <f aca="false">IF($A5145="","",원본명단!$A5144)</f>
        <v/>
      </c>
      <c r="C5145" s="12" t="str">
        <f aca="false">IF($A5145="","",원본명단!$B5144)</f>
        <v/>
      </c>
      <c r="D5145" s="12" t="str">
        <f aca="false">IF($A5145="","",원본명단!$D5144)</f>
        <v/>
      </c>
      <c r="E5145" s="11" t="str">
        <f aca="false">IF($A5145="","",IF(원본명단!$H5144="",0,COUNTIF(원본명단!$H$3:$H$6002,원본명단!$H5144)))</f>
        <v/>
      </c>
      <c r="F5145" s="11" t="str">
        <f aca="false">IF($A5145="","",IF(원본명단!$I5144="",0,COUNTIF(원본명단!$I$3:$I$6002,원본명단!$I5144)))</f>
        <v/>
      </c>
      <c r="G5145" s="11" t="str">
        <f aca="false">IF($A5145="","",IF(원본명단!$K5144="",0,COUNTIF(원본명단!$K$3:$K$6002,원본명단!$K5144)))</f>
        <v/>
      </c>
      <c r="H5145" s="11" t="str">
        <f aca="false">IF($A5145="","",IF(MAX($E5145,$F5145,$G5145)&gt;1,"중복","-"))</f>
        <v/>
      </c>
      <c r="I5145" s="11" t="str">
        <f aca="false">IF($A5145="","",IF($H5145="-","-",IF(AND(IF(원본명단!$H5144="",TRUE(),COUNTIF(원본명단!$H$3:$H5144,원본명단!$H5144)=1),IF(원본명단!$I5144="",TRUE(),COUNTIF(원본명단!$I$3:$I5144,원본명단!$I5144)=1),IF(원본명단!$K5144="",TRUE(),COUNTIF(원본명단!$K$3:$K5144,원본명단!$K5144)=1)),"첫 건","중복 건")))</f>
        <v/>
      </c>
      <c r="J5145" s="11" t="str">
        <f aca="false">IF($A5145="","",IF($H5145="-","유지",IF($I5145="첫 건","유지","확인 필요")))</f>
        <v/>
      </c>
    </row>
    <row r="5146" customFormat="false" ht="15" hidden="false" customHeight="true" outlineLevel="0" collapsed="false">
      <c r="A5146" s="11" t="str">
        <f aca="false">IF(원본명단!$A5145="","",5143)</f>
        <v/>
      </c>
      <c r="B5146" s="12" t="str">
        <f aca="false">IF($A5146="","",원본명단!$A5145)</f>
        <v/>
      </c>
      <c r="C5146" s="12" t="str">
        <f aca="false">IF($A5146="","",원본명단!$B5145)</f>
        <v/>
      </c>
      <c r="D5146" s="12" t="str">
        <f aca="false">IF($A5146="","",원본명단!$D5145)</f>
        <v/>
      </c>
      <c r="E5146" s="11" t="str">
        <f aca="false">IF($A5146="","",IF(원본명단!$H5145="",0,COUNTIF(원본명단!$H$3:$H$6002,원본명단!$H5145)))</f>
        <v/>
      </c>
      <c r="F5146" s="11" t="str">
        <f aca="false">IF($A5146="","",IF(원본명단!$I5145="",0,COUNTIF(원본명단!$I$3:$I$6002,원본명단!$I5145)))</f>
        <v/>
      </c>
      <c r="G5146" s="11" t="str">
        <f aca="false">IF($A5146="","",IF(원본명단!$K5145="",0,COUNTIF(원본명단!$K$3:$K$6002,원본명단!$K5145)))</f>
        <v/>
      </c>
      <c r="H5146" s="11" t="str">
        <f aca="false">IF($A5146="","",IF(MAX($E5146,$F5146,$G5146)&gt;1,"중복","-"))</f>
        <v/>
      </c>
      <c r="I5146" s="11" t="str">
        <f aca="false">IF($A5146="","",IF($H5146="-","-",IF(AND(IF(원본명단!$H5145="",TRUE(),COUNTIF(원본명단!$H$3:$H5145,원본명단!$H5145)=1),IF(원본명단!$I5145="",TRUE(),COUNTIF(원본명단!$I$3:$I5145,원본명단!$I5145)=1),IF(원본명단!$K5145="",TRUE(),COUNTIF(원본명단!$K$3:$K5145,원본명단!$K5145)=1)),"첫 건","중복 건")))</f>
        <v/>
      </c>
      <c r="J5146" s="11" t="str">
        <f aca="false">IF($A5146="","",IF($H5146="-","유지",IF($I5146="첫 건","유지","확인 필요")))</f>
        <v/>
      </c>
    </row>
    <row r="5147" customFormat="false" ht="15" hidden="false" customHeight="true" outlineLevel="0" collapsed="false">
      <c r="A5147" s="11" t="str">
        <f aca="false">IF(원본명단!$A5146="","",5144)</f>
        <v/>
      </c>
      <c r="B5147" s="12" t="str">
        <f aca="false">IF($A5147="","",원본명단!$A5146)</f>
        <v/>
      </c>
      <c r="C5147" s="12" t="str">
        <f aca="false">IF($A5147="","",원본명단!$B5146)</f>
        <v/>
      </c>
      <c r="D5147" s="12" t="str">
        <f aca="false">IF($A5147="","",원본명단!$D5146)</f>
        <v/>
      </c>
      <c r="E5147" s="11" t="str">
        <f aca="false">IF($A5147="","",IF(원본명단!$H5146="",0,COUNTIF(원본명단!$H$3:$H$6002,원본명단!$H5146)))</f>
        <v/>
      </c>
      <c r="F5147" s="11" t="str">
        <f aca="false">IF($A5147="","",IF(원본명단!$I5146="",0,COUNTIF(원본명단!$I$3:$I$6002,원본명단!$I5146)))</f>
        <v/>
      </c>
      <c r="G5147" s="11" t="str">
        <f aca="false">IF($A5147="","",IF(원본명단!$K5146="",0,COUNTIF(원본명단!$K$3:$K$6002,원본명단!$K5146)))</f>
        <v/>
      </c>
      <c r="H5147" s="11" t="str">
        <f aca="false">IF($A5147="","",IF(MAX($E5147,$F5147,$G5147)&gt;1,"중복","-"))</f>
        <v/>
      </c>
      <c r="I5147" s="11" t="str">
        <f aca="false">IF($A5147="","",IF($H5147="-","-",IF(AND(IF(원본명단!$H5146="",TRUE(),COUNTIF(원본명단!$H$3:$H5146,원본명단!$H5146)=1),IF(원본명단!$I5146="",TRUE(),COUNTIF(원본명단!$I$3:$I5146,원본명단!$I5146)=1),IF(원본명단!$K5146="",TRUE(),COUNTIF(원본명단!$K$3:$K5146,원본명단!$K5146)=1)),"첫 건","중복 건")))</f>
        <v/>
      </c>
      <c r="J5147" s="11" t="str">
        <f aca="false">IF($A5147="","",IF($H5147="-","유지",IF($I5147="첫 건","유지","확인 필요")))</f>
        <v/>
      </c>
    </row>
    <row r="5148" customFormat="false" ht="15" hidden="false" customHeight="true" outlineLevel="0" collapsed="false">
      <c r="A5148" s="11" t="str">
        <f aca="false">IF(원본명단!$A5147="","",5145)</f>
        <v/>
      </c>
      <c r="B5148" s="12" t="str">
        <f aca="false">IF($A5148="","",원본명단!$A5147)</f>
        <v/>
      </c>
      <c r="C5148" s="12" t="str">
        <f aca="false">IF($A5148="","",원본명단!$B5147)</f>
        <v/>
      </c>
      <c r="D5148" s="12" t="str">
        <f aca="false">IF($A5148="","",원본명단!$D5147)</f>
        <v/>
      </c>
      <c r="E5148" s="11" t="str">
        <f aca="false">IF($A5148="","",IF(원본명단!$H5147="",0,COUNTIF(원본명단!$H$3:$H$6002,원본명단!$H5147)))</f>
        <v/>
      </c>
      <c r="F5148" s="11" t="str">
        <f aca="false">IF($A5148="","",IF(원본명단!$I5147="",0,COUNTIF(원본명단!$I$3:$I$6002,원본명단!$I5147)))</f>
        <v/>
      </c>
      <c r="G5148" s="11" t="str">
        <f aca="false">IF($A5148="","",IF(원본명단!$K5147="",0,COUNTIF(원본명단!$K$3:$K$6002,원본명단!$K5147)))</f>
        <v/>
      </c>
      <c r="H5148" s="11" t="str">
        <f aca="false">IF($A5148="","",IF(MAX($E5148,$F5148,$G5148)&gt;1,"중복","-"))</f>
        <v/>
      </c>
      <c r="I5148" s="11" t="str">
        <f aca="false">IF($A5148="","",IF($H5148="-","-",IF(AND(IF(원본명단!$H5147="",TRUE(),COUNTIF(원본명단!$H$3:$H5147,원본명단!$H5147)=1),IF(원본명단!$I5147="",TRUE(),COUNTIF(원본명단!$I$3:$I5147,원본명단!$I5147)=1),IF(원본명단!$K5147="",TRUE(),COUNTIF(원본명단!$K$3:$K5147,원본명단!$K5147)=1)),"첫 건","중복 건")))</f>
        <v/>
      </c>
      <c r="J5148" s="11" t="str">
        <f aca="false">IF($A5148="","",IF($H5148="-","유지",IF($I5148="첫 건","유지","확인 필요")))</f>
        <v/>
      </c>
    </row>
    <row r="5149" customFormat="false" ht="15" hidden="false" customHeight="true" outlineLevel="0" collapsed="false">
      <c r="A5149" s="11" t="str">
        <f aca="false">IF(원본명단!$A5148="","",5146)</f>
        <v/>
      </c>
      <c r="B5149" s="12" t="str">
        <f aca="false">IF($A5149="","",원본명단!$A5148)</f>
        <v/>
      </c>
      <c r="C5149" s="12" t="str">
        <f aca="false">IF($A5149="","",원본명단!$B5148)</f>
        <v/>
      </c>
      <c r="D5149" s="12" t="str">
        <f aca="false">IF($A5149="","",원본명단!$D5148)</f>
        <v/>
      </c>
      <c r="E5149" s="11" t="str">
        <f aca="false">IF($A5149="","",IF(원본명단!$H5148="",0,COUNTIF(원본명단!$H$3:$H$6002,원본명단!$H5148)))</f>
        <v/>
      </c>
      <c r="F5149" s="11" t="str">
        <f aca="false">IF($A5149="","",IF(원본명단!$I5148="",0,COUNTIF(원본명단!$I$3:$I$6002,원본명단!$I5148)))</f>
        <v/>
      </c>
      <c r="G5149" s="11" t="str">
        <f aca="false">IF($A5149="","",IF(원본명단!$K5148="",0,COUNTIF(원본명단!$K$3:$K$6002,원본명단!$K5148)))</f>
        <v/>
      </c>
      <c r="H5149" s="11" t="str">
        <f aca="false">IF($A5149="","",IF(MAX($E5149,$F5149,$G5149)&gt;1,"중복","-"))</f>
        <v/>
      </c>
      <c r="I5149" s="11" t="str">
        <f aca="false">IF($A5149="","",IF($H5149="-","-",IF(AND(IF(원본명단!$H5148="",TRUE(),COUNTIF(원본명단!$H$3:$H5148,원본명단!$H5148)=1),IF(원본명단!$I5148="",TRUE(),COUNTIF(원본명단!$I$3:$I5148,원본명단!$I5148)=1),IF(원본명단!$K5148="",TRUE(),COUNTIF(원본명단!$K$3:$K5148,원본명단!$K5148)=1)),"첫 건","중복 건")))</f>
        <v/>
      </c>
      <c r="J5149" s="11" t="str">
        <f aca="false">IF($A5149="","",IF($H5149="-","유지",IF($I5149="첫 건","유지","확인 필요")))</f>
        <v/>
      </c>
    </row>
    <row r="5150" customFormat="false" ht="15" hidden="false" customHeight="true" outlineLevel="0" collapsed="false">
      <c r="A5150" s="11" t="str">
        <f aca="false">IF(원본명단!$A5149="","",5147)</f>
        <v/>
      </c>
      <c r="B5150" s="12" t="str">
        <f aca="false">IF($A5150="","",원본명단!$A5149)</f>
        <v/>
      </c>
      <c r="C5150" s="12" t="str">
        <f aca="false">IF($A5150="","",원본명단!$B5149)</f>
        <v/>
      </c>
      <c r="D5150" s="12" t="str">
        <f aca="false">IF($A5150="","",원본명단!$D5149)</f>
        <v/>
      </c>
      <c r="E5150" s="11" t="str">
        <f aca="false">IF($A5150="","",IF(원본명단!$H5149="",0,COUNTIF(원본명단!$H$3:$H$6002,원본명단!$H5149)))</f>
        <v/>
      </c>
      <c r="F5150" s="11" t="str">
        <f aca="false">IF($A5150="","",IF(원본명단!$I5149="",0,COUNTIF(원본명단!$I$3:$I$6002,원본명단!$I5149)))</f>
        <v/>
      </c>
      <c r="G5150" s="11" t="str">
        <f aca="false">IF($A5150="","",IF(원본명단!$K5149="",0,COUNTIF(원본명단!$K$3:$K$6002,원본명단!$K5149)))</f>
        <v/>
      </c>
      <c r="H5150" s="11" t="str">
        <f aca="false">IF($A5150="","",IF(MAX($E5150,$F5150,$G5150)&gt;1,"중복","-"))</f>
        <v/>
      </c>
      <c r="I5150" s="11" t="str">
        <f aca="false">IF($A5150="","",IF($H5150="-","-",IF(AND(IF(원본명단!$H5149="",TRUE(),COUNTIF(원본명단!$H$3:$H5149,원본명단!$H5149)=1),IF(원본명단!$I5149="",TRUE(),COUNTIF(원본명단!$I$3:$I5149,원본명단!$I5149)=1),IF(원본명단!$K5149="",TRUE(),COUNTIF(원본명단!$K$3:$K5149,원본명단!$K5149)=1)),"첫 건","중복 건")))</f>
        <v/>
      </c>
      <c r="J5150" s="11" t="str">
        <f aca="false">IF($A5150="","",IF($H5150="-","유지",IF($I5150="첫 건","유지","확인 필요")))</f>
        <v/>
      </c>
    </row>
    <row r="5151" customFormat="false" ht="15" hidden="false" customHeight="true" outlineLevel="0" collapsed="false">
      <c r="A5151" s="11" t="str">
        <f aca="false">IF(원본명단!$A5150="","",5148)</f>
        <v/>
      </c>
      <c r="B5151" s="12" t="str">
        <f aca="false">IF($A5151="","",원본명단!$A5150)</f>
        <v/>
      </c>
      <c r="C5151" s="12" t="str">
        <f aca="false">IF($A5151="","",원본명단!$B5150)</f>
        <v/>
      </c>
      <c r="D5151" s="12" t="str">
        <f aca="false">IF($A5151="","",원본명단!$D5150)</f>
        <v/>
      </c>
      <c r="E5151" s="11" t="str">
        <f aca="false">IF($A5151="","",IF(원본명단!$H5150="",0,COUNTIF(원본명단!$H$3:$H$6002,원본명단!$H5150)))</f>
        <v/>
      </c>
      <c r="F5151" s="11" t="str">
        <f aca="false">IF($A5151="","",IF(원본명단!$I5150="",0,COUNTIF(원본명단!$I$3:$I$6002,원본명단!$I5150)))</f>
        <v/>
      </c>
      <c r="G5151" s="11" t="str">
        <f aca="false">IF($A5151="","",IF(원본명단!$K5150="",0,COUNTIF(원본명단!$K$3:$K$6002,원본명단!$K5150)))</f>
        <v/>
      </c>
      <c r="H5151" s="11" t="str">
        <f aca="false">IF($A5151="","",IF(MAX($E5151,$F5151,$G5151)&gt;1,"중복","-"))</f>
        <v/>
      </c>
      <c r="I5151" s="11" t="str">
        <f aca="false">IF($A5151="","",IF($H5151="-","-",IF(AND(IF(원본명단!$H5150="",TRUE(),COUNTIF(원본명단!$H$3:$H5150,원본명단!$H5150)=1),IF(원본명단!$I5150="",TRUE(),COUNTIF(원본명단!$I$3:$I5150,원본명단!$I5150)=1),IF(원본명단!$K5150="",TRUE(),COUNTIF(원본명단!$K$3:$K5150,원본명단!$K5150)=1)),"첫 건","중복 건")))</f>
        <v/>
      </c>
      <c r="J5151" s="11" t="str">
        <f aca="false">IF($A5151="","",IF($H5151="-","유지",IF($I5151="첫 건","유지","확인 필요")))</f>
        <v/>
      </c>
    </row>
    <row r="5152" customFormat="false" ht="15" hidden="false" customHeight="true" outlineLevel="0" collapsed="false">
      <c r="A5152" s="11" t="str">
        <f aca="false">IF(원본명단!$A5151="","",5149)</f>
        <v/>
      </c>
      <c r="B5152" s="12" t="str">
        <f aca="false">IF($A5152="","",원본명단!$A5151)</f>
        <v/>
      </c>
      <c r="C5152" s="12" t="str">
        <f aca="false">IF($A5152="","",원본명단!$B5151)</f>
        <v/>
      </c>
      <c r="D5152" s="12" t="str">
        <f aca="false">IF($A5152="","",원본명단!$D5151)</f>
        <v/>
      </c>
      <c r="E5152" s="11" t="str">
        <f aca="false">IF($A5152="","",IF(원본명단!$H5151="",0,COUNTIF(원본명단!$H$3:$H$6002,원본명단!$H5151)))</f>
        <v/>
      </c>
      <c r="F5152" s="11" t="str">
        <f aca="false">IF($A5152="","",IF(원본명단!$I5151="",0,COUNTIF(원본명단!$I$3:$I$6002,원본명단!$I5151)))</f>
        <v/>
      </c>
      <c r="G5152" s="11" t="str">
        <f aca="false">IF($A5152="","",IF(원본명단!$K5151="",0,COUNTIF(원본명단!$K$3:$K$6002,원본명단!$K5151)))</f>
        <v/>
      </c>
      <c r="H5152" s="11" t="str">
        <f aca="false">IF($A5152="","",IF(MAX($E5152,$F5152,$G5152)&gt;1,"중복","-"))</f>
        <v/>
      </c>
      <c r="I5152" s="11" t="str">
        <f aca="false">IF($A5152="","",IF($H5152="-","-",IF(AND(IF(원본명단!$H5151="",TRUE(),COUNTIF(원본명단!$H$3:$H5151,원본명단!$H5151)=1),IF(원본명단!$I5151="",TRUE(),COUNTIF(원본명단!$I$3:$I5151,원본명단!$I5151)=1),IF(원본명단!$K5151="",TRUE(),COUNTIF(원본명단!$K$3:$K5151,원본명단!$K5151)=1)),"첫 건","중복 건")))</f>
        <v/>
      </c>
      <c r="J5152" s="11" t="str">
        <f aca="false">IF($A5152="","",IF($H5152="-","유지",IF($I5152="첫 건","유지","확인 필요")))</f>
        <v/>
      </c>
    </row>
    <row r="5153" customFormat="false" ht="15" hidden="false" customHeight="true" outlineLevel="0" collapsed="false">
      <c r="A5153" s="11" t="str">
        <f aca="false">IF(원본명단!$A5152="","",5150)</f>
        <v/>
      </c>
      <c r="B5153" s="12" t="str">
        <f aca="false">IF($A5153="","",원본명단!$A5152)</f>
        <v/>
      </c>
      <c r="C5153" s="12" t="str">
        <f aca="false">IF($A5153="","",원본명단!$B5152)</f>
        <v/>
      </c>
      <c r="D5153" s="12" t="str">
        <f aca="false">IF($A5153="","",원본명단!$D5152)</f>
        <v/>
      </c>
      <c r="E5153" s="11" t="str">
        <f aca="false">IF($A5153="","",IF(원본명단!$H5152="",0,COUNTIF(원본명단!$H$3:$H$6002,원본명단!$H5152)))</f>
        <v/>
      </c>
      <c r="F5153" s="11" t="str">
        <f aca="false">IF($A5153="","",IF(원본명단!$I5152="",0,COUNTIF(원본명단!$I$3:$I$6002,원본명단!$I5152)))</f>
        <v/>
      </c>
      <c r="G5153" s="11" t="str">
        <f aca="false">IF($A5153="","",IF(원본명단!$K5152="",0,COUNTIF(원본명단!$K$3:$K$6002,원본명단!$K5152)))</f>
        <v/>
      </c>
      <c r="H5153" s="11" t="str">
        <f aca="false">IF($A5153="","",IF(MAX($E5153,$F5153,$G5153)&gt;1,"중복","-"))</f>
        <v/>
      </c>
      <c r="I5153" s="11" t="str">
        <f aca="false">IF($A5153="","",IF($H5153="-","-",IF(AND(IF(원본명단!$H5152="",TRUE(),COUNTIF(원본명단!$H$3:$H5152,원본명단!$H5152)=1),IF(원본명단!$I5152="",TRUE(),COUNTIF(원본명단!$I$3:$I5152,원본명단!$I5152)=1),IF(원본명단!$K5152="",TRUE(),COUNTIF(원본명단!$K$3:$K5152,원본명단!$K5152)=1)),"첫 건","중복 건")))</f>
        <v/>
      </c>
      <c r="J5153" s="11" t="str">
        <f aca="false">IF($A5153="","",IF($H5153="-","유지",IF($I5153="첫 건","유지","확인 필요")))</f>
        <v/>
      </c>
    </row>
    <row r="5154" customFormat="false" ht="15" hidden="false" customHeight="true" outlineLevel="0" collapsed="false">
      <c r="A5154" s="11" t="str">
        <f aca="false">IF(원본명단!$A5153="","",5151)</f>
        <v/>
      </c>
      <c r="B5154" s="12" t="str">
        <f aca="false">IF($A5154="","",원본명단!$A5153)</f>
        <v/>
      </c>
      <c r="C5154" s="12" t="str">
        <f aca="false">IF($A5154="","",원본명단!$B5153)</f>
        <v/>
      </c>
      <c r="D5154" s="12" t="str">
        <f aca="false">IF($A5154="","",원본명단!$D5153)</f>
        <v/>
      </c>
      <c r="E5154" s="11" t="str">
        <f aca="false">IF($A5154="","",IF(원본명단!$H5153="",0,COUNTIF(원본명단!$H$3:$H$6002,원본명단!$H5153)))</f>
        <v/>
      </c>
      <c r="F5154" s="11" t="str">
        <f aca="false">IF($A5154="","",IF(원본명단!$I5153="",0,COUNTIF(원본명단!$I$3:$I$6002,원본명단!$I5153)))</f>
        <v/>
      </c>
      <c r="G5154" s="11" t="str">
        <f aca="false">IF($A5154="","",IF(원본명단!$K5153="",0,COUNTIF(원본명단!$K$3:$K$6002,원본명단!$K5153)))</f>
        <v/>
      </c>
      <c r="H5154" s="11" t="str">
        <f aca="false">IF($A5154="","",IF(MAX($E5154,$F5154,$G5154)&gt;1,"중복","-"))</f>
        <v/>
      </c>
      <c r="I5154" s="11" t="str">
        <f aca="false">IF($A5154="","",IF($H5154="-","-",IF(AND(IF(원본명단!$H5153="",TRUE(),COUNTIF(원본명단!$H$3:$H5153,원본명단!$H5153)=1),IF(원본명단!$I5153="",TRUE(),COUNTIF(원본명단!$I$3:$I5153,원본명단!$I5153)=1),IF(원본명단!$K5153="",TRUE(),COUNTIF(원본명단!$K$3:$K5153,원본명단!$K5153)=1)),"첫 건","중복 건")))</f>
        <v/>
      </c>
      <c r="J5154" s="11" t="str">
        <f aca="false">IF($A5154="","",IF($H5154="-","유지",IF($I5154="첫 건","유지","확인 필요")))</f>
        <v/>
      </c>
    </row>
    <row r="5155" customFormat="false" ht="15" hidden="false" customHeight="true" outlineLevel="0" collapsed="false">
      <c r="A5155" s="11" t="str">
        <f aca="false">IF(원본명단!$A5154="","",5152)</f>
        <v/>
      </c>
      <c r="B5155" s="12" t="str">
        <f aca="false">IF($A5155="","",원본명단!$A5154)</f>
        <v/>
      </c>
      <c r="C5155" s="12" t="str">
        <f aca="false">IF($A5155="","",원본명단!$B5154)</f>
        <v/>
      </c>
      <c r="D5155" s="12" t="str">
        <f aca="false">IF($A5155="","",원본명단!$D5154)</f>
        <v/>
      </c>
      <c r="E5155" s="11" t="str">
        <f aca="false">IF($A5155="","",IF(원본명단!$H5154="",0,COUNTIF(원본명단!$H$3:$H$6002,원본명단!$H5154)))</f>
        <v/>
      </c>
      <c r="F5155" s="11" t="str">
        <f aca="false">IF($A5155="","",IF(원본명단!$I5154="",0,COUNTIF(원본명단!$I$3:$I$6002,원본명단!$I5154)))</f>
        <v/>
      </c>
      <c r="G5155" s="11" t="str">
        <f aca="false">IF($A5155="","",IF(원본명단!$K5154="",0,COUNTIF(원본명단!$K$3:$K$6002,원본명단!$K5154)))</f>
        <v/>
      </c>
      <c r="H5155" s="11" t="str">
        <f aca="false">IF($A5155="","",IF(MAX($E5155,$F5155,$G5155)&gt;1,"중복","-"))</f>
        <v/>
      </c>
      <c r="I5155" s="11" t="str">
        <f aca="false">IF($A5155="","",IF($H5155="-","-",IF(AND(IF(원본명단!$H5154="",TRUE(),COUNTIF(원본명단!$H$3:$H5154,원본명단!$H5154)=1),IF(원본명단!$I5154="",TRUE(),COUNTIF(원본명단!$I$3:$I5154,원본명단!$I5154)=1),IF(원본명단!$K5154="",TRUE(),COUNTIF(원본명단!$K$3:$K5154,원본명단!$K5154)=1)),"첫 건","중복 건")))</f>
        <v/>
      </c>
      <c r="J5155" s="11" t="str">
        <f aca="false">IF($A5155="","",IF($H5155="-","유지",IF($I5155="첫 건","유지","확인 필요")))</f>
        <v/>
      </c>
    </row>
    <row r="5156" customFormat="false" ht="15" hidden="false" customHeight="true" outlineLevel="0" collapsed="false">
      <c r="A5156" s="11" t="str">
        <f aca="false">IF(원본명단!$A5155="","",5153)</f>
        <v/>
      </c>
      <c r="B5156" s="12" t="str">
        <f aca="false">IF($A5156="","",원본명단!$A5155)</f>
        <v/>
      </c>
      <c r="C5156" s="12" t="str">
        <f aca="false">IF($A5156="","",원본명단!$B5155)</f>
        <v/>
      </c>
      <c r="D5156" s="12" t="str">
        <f aca="false">IF($A5156="","",원본명단!$D5155)</f>
        <v/>
      </c>
      <c r="E5156" s="11" t="str">
        <f aca="false">IF($A5156="","",IF(원본명단!$H5155="",0,COUNTIF(원본명단!$H$3:$H$6002,원본명단!$H5155)))</f>
        <v/>
      </c>
      <c r="F5156" s="11" t="str">
        <f aca="false">IF($A5156="","",IF(원본명단!$I5155="",0,COUNTIF(원본명단!$I$3:$I$6002,원본명단!$I5155)))</f>
        <v/>
      </c>
      <c r="G5156" s="11" t="str">
        <f aca="false">IF($A5156="","",IF(원본명단!$K5155="",0,COUNTIF(원본명단!$K$3:$K$6002,원본명단!$K5155)))</f>
        <v/>
      </c>
      <c r="H5156" s="11" t="str">
        <f aca="false">IF($A5156="","",IF(MAX($E5156,$F5156,$G5156)&gt;1,"중복","-"))</f>
        <v/>
      </c>
      <c r="I5156" s="11" t="str">
        <f aca="false">IF($A5156="","",IF($H5156="-","-",IF(AND(IF(원본명단!$H5155="",TRUE(),COUNTIF(원본명단!$H$3:$H5155,원본명단!$H5155)=1),IF(원본명단!$I5155="",TRUE(),COUNTIF(원본명단!$I$3:$I5155,원본명단!$I5155)=1),IF(원본명단!$K5155="",TRUE(),COUNTIF(원본명단!$K$3:$K5155,원본명단!$K5155)=1)),"첫 건","중복 건")))</f>
        <v/>
      </c>
      <c r="J5156" s="11" t="str">
        <f aca="false">IF($A5156="","",IF($H5156="-","유지",IF($I5156="첫 건","유지","확인 필요")))</f>
        <v/>
      </c>
    </row>
    <row r="5157" customFormat="false" ht="15" hidden="false" customHeight="true" outlineLevel="0" collapsed="false">
      <c r="A5157" s="11" t="str">
        <f aca="false">IF(원본명단!$A5156="","",5154)</f>
        <v/>
      </c>
      <c r="B5157" s="12" t="str">
        <f aca="false">IF($A5157="","",원본명단!$A5156)</f>
        <v/>
      </c>
      <c r="C5157" s="12" t="str">
        <f aca="false">IF($A5157="","",원본명단!$B5156)</f>
        <v/>
      </c>
      <c r="D5157" s="12" t="str">
        <f aca="false">IF($A5157="","",원본명단!$D5156)</f>
        <v/>
      </c>
      <c r="E5157" s="11" t="str">
        <f aca="false">IF($A5157="","",IF(원본명단!$H5156="",0,COUNTIF(원본명단!$H$3:$H$6002,원본명단!$H5156)))</f>
        <v/>
      </c>
      <c r="F5157" s="11" t="str">
        <f aca="false">IF($A5157="","",IF(원본명단!$I5156="",0,COUNTIF(원본명단!$I$3:$I$6002,원본명단!$I5156)))</f>
        <v/>
      </c>
      <c r="G5157" s="11" t="str">
        <f aca="false">IF($A5157="","",IF(원본명단!$K5156="",0,COUNTIF(원본명단!$K$3:$K$6002,원본명단!$K5156)))</f>
        <v/>
      </c>
      <c r="H5157" s="11" t="str">
        <f aca="false">IF($A5157="","",IF(MAX($E5157,$F5157,$G5157)&gt;1,"중복","-"))</f>
        <v/>
      </c>
      <c r="I5157" s="11" t="str">
        <f aca="false">IF($A5157="","",IF($H5157="-","-",IF(AND(IF(원본명단!$H5156="",TRUE(),COUNTIF(원본명단!$H$3:$H5156,원본명단!$H5156)=1),IF(원본명단!$I5156="",TRUE(),COUNTIF(원본명단!$I$3:$I5156,원본명단!$I5156)=1),IF(원본명단!$K5156="",TRUE(),COUNTIF(원본명단!$K$3:$K5156,원본명단!$K5156)=1)),"첫 건","중복 건")))</f>
        <v/>
      </c>
      <c r="J5157" s="11" t="str">
        <f aca="false">IF($A5157="","",IF($H5157="-","유지",IF($I5157="첫 건","유지","확인 필요")))</f>
        <v/>
      </c>
    </row>
    <row r="5158" customFormat="false" ht="15" hidden="false" customHeight="true" outlineLevel="0" collapsed="false">
      <c r="A5158" s="11" t="str">
        <f aca="false">IF(원본명단!$A5157="","",5155)</f>
        <v/>
      </c>
      <c r="B5158" s="12" t="str">
        <f aca="false">IF($A5158="","",원본명단!$A5157)</f>
        <v/>
      </c>
      <c r="C5158" s="12" t="str">
        <f aca="false">IF($A5158="","",원본명단!$B5157)</f>
        <v/>
      </c>
      <c r="D5158" s="12" t="str">
        <f aca="false">IF($A5158="","",원본명단!$D5157)</f>
        <v/>
      </c>
      <c r="E5158" s="11" t="str">
        <f aca="false">IF($A5158="","",IF(원본명단!$H5157="",0,COUNTIF(원본명단!$H$3:$H$6002,원본명단!$H5157)))</f>
        <v/>
      </c>
      <c r="F5158" s="11" t="str">
        <f aca="false">IF($A5158="","",IF(원본명단!$I5157="",0,COUNTIF(원본명단!$I$3:$I$6002,원본명단!$I5157)))</f>
        <v/>
      </c>
      <c r="G5158" s="11" t="str">
        <f aca="false">IF($A5158="","",IF(원본명단!$K5157="",0,COUNTIF(원본명단!$K$3:$K$6002,원본명단!$K5157)))</f>
        <v/>
      </c>
      <c r="H5158" s="11" t="str">
        <f aca="false">IF($A5158="","",IF(MAX($E5158,$F5158,$G5158)&gt;1,"중복","-"))</f>
        <v/>
      </c>
      <c r="I5158" s="11" t="str">
        <f aca="false">IF($A5158="","",IF($H5158="-","-",IF(AND(IF(원본명단!$H5157="",TRUE(),COUNTIF(원본명단!$H$3:$H5157,원본명단!$H5157)=1),IF(원본명단!$I5157="",TRUE(),COUNTIF(원본명단!$I$3:$I5157,원본명단!$I5157)=1),IF(원본명단!$K5157="",TRUE(),COUNTIF(원본명단!$K$3:$K5157,원본명단!$K5157)=1)),"첫 건","중복 건")))</f>
        <v/>
      </c>
      <c r="J5158" s="11" t="str">
        <f aca="false">IF($A5158="","",IF($H5158="-","유지",IF($I5158="첫 건","유지","확인 필요")))</f>
        <v/>
      </c>
    </row>
    <row r="5159" customFormat="false" ht="15" hidden="false" customHeight="true" outlineLevel="0" collapsed="false">
      <c r="A5159" s="11" t="str">
        <f aca="false">IF(원본명단!$A5158="","",5156)</f>
        <v/>
      </c>
      <c r="B5159" s="12" t="str">
        <f aca="false">IF($A5159="","",원본명단!$A5158)</f>
        <v/>
      </c>
      <c r="C5159" s="12" t="str">
        <f aca="false">IF($A5159="","",원본명단!$B5158)</f>
        <v/>
      </c>
      <c r="D5159" s="12" t="str">
        <f aca="false">IF($A5159="","",원본명단!$D5158)</f>
        <v/>
      </c>
      <c r="E5159" s="11" t="str">
        <f aca="false">IF($A5159="","",IF(원본명단!$H5158="",0,COUNTIF(원본명단!$H$3:$H$6002,원본명단!$H5158)))</f>
        <v/>
      </c>
      <c r="F5159" s="11" t="str">
        <f aca="false">IF($A5159="","",IF(원본명단!$I5158="",0,COUNTIF(원본명단!$I$3:$I$6002,원본명단!$I5158)))</f>
        <v/>
      </c>
      <c r="G5159" s="11" t="str">
        <f aca="false">IF($A5159="","",IF(원본명단!$K5158="",0,COUNTIF(원본명단!$K$3:$K$6002,원본명단!$K5158)))</f>
        <v/>
      </c>
      <c r="H5159" s="11" t="str">
        <f aca="false">IF($A5159="","",IF(MAX($E5159,$F5159,$G5159)&gt;1,"중복","-"))</f>
        <v/>
      </c>
      <c r="I5159" s="11" t="str">
        <f aca="false">IF($A5159="","",IF($H5159="-","-",IF(AND(IF(원본명단!$H5158="",TRUE(),COUNTIF(원본명단!$H$3:$H5158,원본명단!$H5158)=1),IF(원본명단!$I5158="",TRUE(),COUNTIF(원본명단!$I$3:$I5158,원본명단!$I5158)=1),IF(원본명단!$K5158="",TRUE(),COUNTIF(원본명단!$K$3:$K5158,원본명단!$K5158)=1)),"첫 건","중복 건")))</f>
        <v/>
      </c>
      <c r="J5159" s="11" t="str">
        <f aca="false">IF($A5159="","",IF($H5159="-","유지",IF($I5159="첫 건","유지","확인 필요")))</f>
        <v/>
      </c>
    </row>
    <row r="5160" customFormat="false" ht="15" hidden="false" customHeight="true" outlineLevel="0" collapsed="false">
      <c r="A5160" s="11" t="str">
        <f aca="false">IF(원본명단!$A5159="","",5157)</f>
        <v/>
      </c>
      <c r="B5160" s="12" t="str">
        <f aca="false">IF($A5160="","",원본명단!$A5159)</f>
        <v/>
      </c>
      <c r="C5160" s="12" t="str">
        <f aca="false">IF($A5160="","",원본명단!$B5159)</f>
        <v/>
      </c>
      <c r="D5160" s="12" t="str">
        <f aca="false">IF($A5160="","",원본명단!$D5159)</f>
        <v/>
      </c>
      <c r="E5160" s="11" t="str">
        <f aca="false">IF($A5160="","",IF(원본명단!$H5159="",0,COUNTIF(원본명단!$H$3:$H$6002,원본명단!$H5159)))</f>
        <v/>
      </c>
      <c r="F5160" s="11" t="str">
        <f aca="false">IF($A5160="","",IF(원본명단!$I5159="",0,COUNTIF(원본명단!$I$3:$I$6002,원본명단!$I5159)))</f>
        <v/>
      </c>
      <c r="G5160" s="11" t="str">
        <f aca="false">IF($A5160="","",IF(원본명단!$K5159="",0,COUNTIF(원본명단!$K$3:$K$6002,원본명단!$K5159)))</f>
        <v/>
      </c>
      <c r="H5160" s="11" t="str">
        <f aca="false">IF($A5160="","",IF(MAX($E5160,$F5160,$G5160)&gt;1,"중복","-"))</f>
        <v/>
      </c>
      <c r="I5160" s="11" t="str">
        <f aca="false">IF($A5160="","",IF($H5160="-","-",IF(AND(IF(원본명단!$H5159="",TRUE(),COUNTIF(원본명단!$H$3:$H5159,원본명단!$H5159)=1),IF(원본명단!$I5159="",TRUE(),COUNTIF(원본명단!$I$3:$I5159,원본명단!$I5159)=1),IF(원본명단!$K5159="",TRUE(),COUNTIF(원본명단!$K$3:$K5159,원본명단!$K5159)=1)),"첫 건","중복 건")))</f>
        <v/>
      </c>
      <c r="J5160" s="11" t="str">
        <f aca="false">IF($A5160="","",IF($H5160="-","유지",IF($I5160="첫 건","유지","확인 필요")))</f>
        <v/>
      </c>
    </row>
    <row r="5161" customFormat="false" ht="15" hidden="false" customHeight="true" outlineLevel="0" collapsed="false">
      <c r="A5161" s="11" t="str">
        <f aca="false">IF(원본명단!$A5160="","",5158)</f>
        <v/>
      </c>
      <c r="B5161" s="12" t="str">
        <f aca="false">IF($A5161="","",원본명단!$A5160)</f>
        <v/>
      </c>
      <c r="C5161" s="12" t="str">
        <f aca="false">IF($A5161="","",원본명단!$B5160)</f>
        <v/>
      </c>
      <c r="D5161" s="12" t="str">
        <f aca="false">IF($A5161="","",원본명단!$D5160)</f>
        <v/>
      </c>
      <c r="E5161" s="11" t="str">
        <f aca="false">IF($A5161="","",IF(원본명단!$H5160="",0,COUNTIF(원본명단!$H$3:$H$6002,원본명단!$H5160)))</f>
        <v/>
      </c>
      <c r="F5161" s="11" t="str">
        <f aca="false">IF($A5161="","",IF(원본명단!$I5160="",0,COUNTIF(원본명단!$I$3:$I$6002,원본명단!$I5160)))</f>
        <v/>
      </c>
      <c r="G5161" s="11" t="str">
        <f aca="false">IF($A5161="","",IF(원본명단!$K5160="",0,COUNTIF(원본명단!$K$3:$K$6002,원본명단!$K5160)))</f>
        <v/>
      </c>
      <c r="H5161" s="11" t="str">
        <f aca="false">IF($A5161="","",IF(MAX($E5161,$F5161,$G5161)&gt;1,"중복","-"))</f>
        <v/>
      </c>
      <c r="I5161" s="11" t="str">
        <f aca="false">IF($A5161="","",IF($H5161="-","-",IF(AND(IF(원본명단!$H5160="",TRUE(),COUNTIF(원본명단!$H$3:$H5160,원본명단!$H5160)=1),IF(원본명단!$I5160="",TRUE(),COUNTIF(원본명단!$I$3:$I5160,원본명단!$I5160)=1),IF(원본명단!$K5160="",TRUE(),COUNTIF(원본명단!$K$3:$K5160,원본명단!$K5160)=1)),"첫 건","중복 건")))</f>
        <v/>
      </c>
      <c r="J5161" s="11" t="str">
        <f aca="false">IF($A5161="","",IF($H5161="-","유지",IF($I5161="첫 건","유지","확인 필요")))</f>
        <v/>
      </c>
    </row>
    <row r="5162" customFormat="false" ht="15" hidden="false" customHeight="true" outlineLevel="0" collapsed="false">
      <c r="A5162" s="11" t="str">
        <f aca="false">IF(원본명단!$A5161="","",5159)</f>
        <v/>
      </c>
      <c r="B5162" s="12" t="str">
        <f aca="false">IF($A5162="","",원본명단!$A5161)</f>
        <v/>
      </c>
      <c r="C5162" s="12" t="str">
        <f aca="false">IF($A5162="","",원본명단!$B5161)</f>
        <v/>
      </c>
      <c r="D5162" s="12" t="str">
        <f aca="false">IF($A5162="","",원본명단!$D5161)</f>
        <v/>
      </c>
      <c r="E5162" s="11" t="str">
        <f aca="false">IF($A5162="","",IF(원본명단!$H5161="",0,COUNTIF(원본명단!$H$3:$H$6002,원본명단!$H5161)))</f>
        <v/>
      </c>
      <c r="F5162" s="11" t="str">
        <f aca="false">IF($A5162="","",IF(원본명단!$I5161="",0,COUNTIF(원본명단!$I$3:$I$6002,원본명단!$I5161)))</f>
        <v/>
      </c>
      <c r="G5162" s="11" t="str">
        <f aca="false">IF($A5162="","",IF(원본명단!$K5161="",0,COUNTIF(원본명단!$K$3:$K$6002,원본명단!$K5161)))</f>
        <v/>
      </c>
      <c r="H5162" s="11" t="str">
        <f aca="false">IF($A5162="","",IF(MAX($E5162,$F5162,$G5162)&gt;1,"중복","-"))</f>
        <v/>
      </c>
      <c r="I5162" s="11" t="str">
        <f aca="false">IF($A5162="","",IF($H5162="-","-",IF(AND(IF(원본명단!$H5161="",TRUE(),COUNTIF(원본명단!$H$3:$H5161,원본명단!$H5161)=1),IF(원본명단!$I5161="",TRUE(),COUNTIF(원본명단!$I$3:$I5161,원본명단!$I5161)=1),IF(원본명단!$K5161="",TRUE(),COUNTIF(원본명단!$K$3:$K5161,원본명단!$K5161)=1)),"첫 건","중복 건")))</f>
        <v/>
      </c>
      <c r="J5162" s="11" t="str">
        <f aca="false">IF($A5162="","",IF($H5162="-","유지",IF($I5162="첫 건","유지","확인 필요")))</f>
        <v/>
      </c>
    </row>
    <row r="5163" customFormat="false" ht="15" hidden="false" customHeight="true" outlineLevel="0" collapsed="false">
      <c r="A5163" s="11" t="str">
        <f aca="false">IF(원본명단!$A5162="","",5160)</f>
        <v/>
      </c>
      <c r="B5163" s="12" t="str">
        <f aca="false">IF($A5163="","",원본명단!$A5162)</f>
        <v/>
      </c>
      <c r="C5163" s="12" t="str">
        <f aca="false">IF($A5163="","",원본명단!$B5162)</f>
        <v/>
      </c>
      <c r="D5163" s="12" t="str">
        <f aca="false">IF($A5163="","",원본명단!$D5162)</f>
        <v/>
      </c>
      <c r="E5163" s="11" t="str">
        <f aca="false">IF($A5163="","",IF(원본명단!$H5162="",0,COUNTIF(원본명단!$H$3:$H$6002,원본명단!$H5162)))</f>
        <v/>
      </c>
      <c r="F5163" s="11" t="str">
        <f aca="false">IF($A5163="","",IF(원본명단!$I5162="",0,COUNTIF(원본명단!$I$3:$I$6002,원본명단!$I5162)))</f>
        <v/>
      </c>
      <c r="G5163" s="11" t="str">
        <f aca="false">IF($A5163="","",IF(원본명단!$K5162="",0,COUNTIF(원본명단!$K$3:$K$6002,원본명단!$K5162)))</f>
        <v/>
      </c>
      <c r="H5163" s="11" t="str">
        <f aca="false">IF($A5163="","",IF(MAX($E5163,$F5163,$G5163)&gt;1,"중복","-"))</f>
        <v/>
      </c>
      <c r="I5163" s="11" t="str">
        <f aca="false">IF($A5163="","",IF($H5163="-","-",IF(AND(IF(원본명단!$H5162="",TRUE(),COUNTIF(원본명단!$H$3:$H5162,원본명단!$H5162)=1),IF(원본명단!$I5162="",TRUE(),COUNTIF(원본명단!$I$3:$I5162,원본명단!$I5162)=1),IF(원본명단!$K5162="",TRUE(),COUNTIF(원본명단!$K$3:$K5162,원본명단!$K5162)=1)),"첫 건","중복 건")))</f>
        <v/>
      </c>
      <c r="J5163" s="11" t="str">
        <f aca="false">IF($A5163="","",IF($H5163="-","유지",IF($I5163="첫 건","유지","확인 필요")))</f>
        <v/>
      </c>
    </row>
    <row r="5164" customFormat="false" ht="15" hidden="false" customHeight="true" outlineLevel="0" collapsed="false">
      <c r="A5164" s="11" t="str">
        <f aca="false">IF(원본명단!$A5163="","",5161)</f>
        <v/>
      </c>
      <c r="B5164" s="12" t="str">
        <f aca="false">IF($A5164="","",원본명단!$A5163)</f>
        <v/>
      </c>
      <c r="C5164" s="12" t="str">
        <f aca="false">IF($A5164="","",원본명단!$B5163)</f>
        <v/>
      </c>
      <c r="D5164" s="12" t="str">
        <f aca="false">IF($A5164="","",원본명단!$D5163)</f>
        <v/>
      </c>
      <c r="E5164" s="11" t="str">
        <f aca="false">IF($A5164="","",IF(원본명단!$H5163="",0,COUNTIF(원본명단!$H$3:$H$6002,원본명단!$H5163)))</f>
        <v/>
      </c>
      <c r="F5164" s="11" t="str">
        <f aca="false">IF($A5164="","",IF(원본명단!$I5163="",0,COUNTIF(원본명단!$I$3:$I$6002,원본명단!$I5163)))</f>
        <v/>
      </c>
      <c r="G5164" s="11" t="str">
        <f aca="false">IF($A5164="","",IF(원본명단!$K5163="",0,COUNTIF(원본명단!$K$3:$K$6002,원본명단!$K5163)))</f>
        <v/>
      </c>
      <c r="H5164" s="11" t="str">
        <f aca="false">IF($A5164="","",IF(MAX($E5164,$F5164,$G5164)&gt;1,"중복","-"))</f>
        <v/>
      </c>
      <c r="I5164" s="11" t="str">
        <f aca="false">IF($A5164="","",IF($H5164="-","-",IF(AND(IF(원본명단!$H5163="",TRUE(),COUNTIF(원본명단!$H$3:$H5163,원본명단!$H5163)=1),IF(원본명단!$I5163="",TRUE(),COUNTIF(원본명단!$I$3:$I5163,원본명단!$I5163)=1),IF(원본명단!$K5163="",TRUE(),COUNTIF(원본명단!$K$3:$K5163,원본명단!$K5163)=1)),"첫 건","중복 건")))</f>
        <v/>
      </c>
      <c r="J5164" s="11" t="str">
        <f aca="false">IF($A5164="","",IF($H5164="-","유지",IF($I5164="첫 건","유지","확인 필요")))</f>
        <v/>
      </c>
    </row>
    <row r="5165" customFormat="false" ht="15" hidden="false" customHeight="true" outlineLevel="0" collapsed="false">
      <c r="A5165" s="11" t="str">
        <f aca="false">IF(원본명단!$A5164="","",5162)</f>
        <v/>
      </c>
      <c r="B5165" s="12" t="str">
        <f aca="false">IF($A5165="","",원본명단!$A5164)</f>
        <v/>
      </c>
      <c r="C5165" s="12" t="str">
        <f aca="false">IF($A5165="","",원본명단!$B5164)</f>
        <v/>
      </c>
      <c r="D5165" s="12" t="str">
        <f aca="false">IF($A5165="","",원본명단!$D5164)</f>
        <v/>
      </c>
      <c r="E5165" s="11" t="str">
        <f aca="false">IF($A5165="","",IF(원본명단!$H5164="",0,COUNTIF(원본명단!$H$3:$H$6002,원본명단!$H5164)))</f>
        <v/>
      </c>
      <c r="F5165" s="11" t="str">
        <f aca="false">IF($A5165="","",IF(원본명단!$I5164="",0,COUNTIF(원본명단!$I$3:$I$6002,원본명단!$I5164)))</f>
        <v/>
      </c>
      <c r="G5165" s="11" t="str">
        <f aca="false">IF($A5165="","",IF(원본명단!$K5164="",0,COUNTIF(원본명단!$K$3:$K$6002,원본명단!$K5164)))</f>
        <v/>
      </c>
      <c r="H5165" s="11" t="str">
        <f aca="false">IF($A5165="","",IF(MAX($E5165,$F5165,$G5165)&gt;1,"중복","-"))</f>
        <v/>
      </c>
      <c r="I5165" s="11" t="str">
        <f aca="false">IF($A5165="","",IF($H5165="-","-",IF(AND(IF(원본명단!$H5164="",TRUE(),COUNTIF(원본명단!$H$3:$H5164,원본명단!$H5164)=1),IF(원본명단!$I5164="",TRUE(),COUNTIF(원본명단!$I$3:$I5164,원본명단!$I5164)=1),IF(원본명단!$K5164="",TRUE(),COUNTIF(원본명단!$K$3:$K5164,원본명단!$K5164)=1)),"첫 건","중복 건")))</f>
        <v/>
      </c>
      <c r="J5165" s="11" t="str">
        <f aca="false">IF($A5165="","",IF($H5165="-","유지",IF($I5165="첫 건","유지","확인 필요")))</f>
        <v/>
      </c>
    </row>
    <row r="5166" customFormat="false" ht="15" hidden="false" customHeight="true" outlineLevel="0" collapsed="false">
      <c r="A5166" s="11" t="str">
        <f aca="false">IF(원본명단!$A5165="","",5163)</f>
        <v/>
      </c>
      <c r="B5166" s="12" t="str">
        <f aca="false">IF($A5166="","",원본명단!$A5165)</f>
        <v/>
      </c>
      <c r="C5166" s="12" t="str">
        <f aca="false">IF($A5166="","",원본명단!$B5165)</f>
        <v/>
      </c>
      <c r="D5166" s="12" t="str">
        <f aca="false">IF($A5166="","",원본명단!$D5165)</f>
        <v/>
      </c>
      <c r="E5166" s="11" t="str">
        <f aca="false">IF($A5166="","",IF(원본명단!$H5165="",0,COUNTIF(원본명단!$H$3:$H$6002,원본명단!$H5165)))</f>
        <v/>
      </c>
      <c r="F5166" s="11" t="str">
        <f aca="false">IF($A5166="","",IF(원본명단!$I5165="",0,COUNTIF(원본명단!$I$3:$I$6002,원본명단!$I5165)))</f>
        <v/>
      </c>
      <c r="G5166" s="11" t="str">
        <f aca="false">IF($A5166="","",IF(원본명단!$K5165="",0,COUNTIF(원본명단!$K$3:$K$6002,원본명단!$K5165)))</f>
        <v/>
      </c>
      <c r="H5166" s="11" t="str">
        <f aca="false">IF($A5166="","",IF(MAX($E5166,$F5166,$G5166)&gt;1,"중복","-"))</f>
        <v/>
      </c>
      <c r="I5166" s="11" t="str">
        <f aca="false">IF($A5166="","",IF($H5166="-","-",IF(AND(IF(원본명단!$H5165="",TRUE(),COUNTIF(원본명단!$H$3:$H5165,원본명단!$H5165)=1),IF(원본명단!$I5165="",TRUE(),COUNTIF(원본명단!$I$3:$I5165,원본명단!$I5165)=1),IF(원본명단!$K5165="",TRUE(),COUNTIF(원본명단!$K$3:$K5165,원본명단!$K5165)=1)),"첫 건","중복 건")))</f>
        <v/>
      </c>
      <c r="J5166" s="11" t="str">
        <f aca="false">IF($A5166="","",IF($H5166="-","유지",IF($I5166="첫 건","유지","확인 필요")))</f>
        <v/>
      </c>
    </row>
    <row r="5167" customFormat="false" ht="15" hidden="false" customHeight="true" outlineLevel="0" collapsed="false">
      <c r="A5167" s="11" t="str">
        <f aca="false">IF(원본명단!$A5166="","",5164)</f>
        <v/>
      </c>
      <c r="B5167" s="12" t="str">
        <f aca="false">IF($A5167="","",원본명단!$A5166)</f>
        <v/>
      </c>
      <c r="C5167" s="12" t="str">
        <f aca="false">IF($A5167="","",원본명단!$B5166)</f>
        <v/>
      </c>
      <c r="D5167" s="12" t="str">
        <f aca="false">IF($A5167="","",원본명단!$D5166)</f>
        <v/>
      </c>
      <c r="E5167" s="11" t="str">
        <f aca="false">IF($A5167="","",IF(원본명단!$H5166="",0,COUNTIF(원본명단!$H$3:$H$6002,원본명단!$H5166)))</f>
        <v/>
      </c>
      <c r="F5167" s="11" t="str">
        <f aca="false">IF($A5167="","",IF(원본명단!$I5166="",0,COUNTIF(원본명단!$I$3:$I$6002,원본명단!$I5166)))</f>
        <v/>
      </c>
      <c r="G5167" s="11" t="str">
        <f aca="false">IF($A5167="","",IF(원본명단!$K5166="",0,COUNTIF(원본명단!$K$3:$K$6002,원본명단!$K5166)))</f>
        <v/>
      </c>
      <c r="H5167" s="11" t="str">
        <f aca="false">IF($A5167="","",IF(MAX($E5167,$F5167,$G5167)&gt;1,"중복","-"))</f>
        <v/>
      </c>
      <c r="I5167" s="11" t="str">
        <f aca="false">IF($A5167="","",IF($H5167="-","-",IF(AND(IF(원본명단!$H5166="",TRUE(),COUNTIF(원본명단!$H$3:$H5166,원본명단!$H5166)=1),IF(원본명단!$I5166="",TRUE(),COUNTIF(원본명단!$I$3:$I5166,원본명단!$I5166)=1),IF(원본명단!$K5166="",TRUE(),COUNTIF(원본명단!$K$3:$K5166,원본명단!$K5166)=1)),"첫 건","중복 건")))</f>
        <v/>
      </c>
      <c r="J5167" s="11" t="str">
        <f aca="false">IF($A5167="","",IF($H5167="-","유지",IF($I5167="첫 건","유지","확인 필요")))</f>
        <v/>
      </c>
    </row>
    <row r="5168" customFormat="false" ht="15" hidden="false" customHeight="true" outlineLevel="0" collapsed="false">
      <c r="A5168" s="11" t="str">
        <f aca="false">IF(원본명단!$A5167="","",5165)</f>
        <v/>
      </c>
      <c r="B5168" s="12" t="str">
        <f aca="false">IF($A5168="","",원본명단!$A5167)</f>
        <v/>
      </c>
      <c r="C5168" s="12" t="str">
        <f aca="false">IF($A5168="","",원본명단!$B5167)</f>
        <v/>
      </c>
      <c r="D5168" s="12" t="str">
        <f aca="false">IF($A5168="","",원본명단!$D5167)</f>
        <v/>
      </c>
      <c r="E5168" s="11" t="str">
        <f aca="false">IF($A5168="","",IF(원본명단!$H5167="",0,COUNTIF(원본명단!$H$3:$H$6002,원본명단!$H5167)))</f>
        <v/>
      </c>
      <c r="F5168" s="11" t="str">
        <f aca="false">IF($A5168="","",IF(원본명단!$I5167="",0,COUNTIF(원본명단!$I$3:$I$6002,원본명단!$I5167)))</f>
        <v/>
      </c>
      <c r="G5168" s="11" t="str">
        <f aca="false">IF($A5168="","",IF(원본명단!$K5167="",0,COUNTIF(원본명단!$K$3:$K$6002,원본명단!$K5167)))</f>
        <v/>
      </c>
      <c r="H5168" s="11" t="str">
        <f aca="false">IF($A5168="","",IF(MAX($E5168,$F5168,$G5168)&gt;1,"중복","-"))</f>
        <v/>
      </c>
      <c r="I5168" s="11" t="str">
        <f aca="false">IF($A5168="","",IF($H5168="-","-",IF(AND(IF(원본명단!$H5167="",TRUE(),COUNTIF(원본명단!$H$3:$H5167,원본명단!$H5167)=1),IF(원본명단!$I5167="",TRUE(),COUNTIF(원본명단!$I$3:$I5167,원본명단!$I5167)=1),IF(원본명단!$K5167="",TRUE(),COUNTIF(원본명단!$K$3:$K5167,원본명단!$K5167)=1)),"첫 건","중복 건")))</f>
        <v/>
      </c>
      <c r="J5168" s="11" t="str">
        <f aca="false">IF($A5168="","",IF($H5168="-","유지",IF($I5168="첫 건","유지","확인 필요")))</f>
        <v/>
      </c>
    </row>
    <row r="5169" customFormat="false" ht="15" hidden="false" customHeight="true" outlineLevel="0" collapsed="false">
      <c r="A5169" s="11" t="str">
        <f aca="false">IF(원본명단!$A5168="","",5166)</f>
        <v/>
      </c>
      <c r="B5169" s="12" t="str">
        <f aca="false">IF($A5169="","",원본명단!$A5168)</f>
        <v/>
      </c>
      <c r="C5169" s="12" t="str">
        <f aca="false">IF($A5169="","",원본명단!$B5168)</f>
        <v/>
      </c>
      <c r="D5169" s="12" t="str">
        <f aca="false">IF($A5169="","",원본명단!$D5168)</f>
        <v/>
      </c>
      <c r="E5169" s="11" t="str">
        <f aca="false">IF($A5169="","",IF(원본명단!$H5168="",0,COUNTIF(원본명단!$H$3:$H$6002,원본명단!$H5168)))</f>
        <v/>
      </c>
      <c r="F5169" s="11" t="str">
        <f aca="false">IF($A5169="","",IF(원본명단!$I5168="",0,COUNTIF(원본명단!$I$3:$I$6002,원본명단!$I5168)))</f>
        <v/>
      </c>
      <c r="G5169" s="11" t="str">
        <f aca="false">IF($A5169="","",IF(원본명단!$K5168="",0,COUNTIF(원본명단!$K$3:$K$6002,원본명단!$K5168)))</f>
        <v/>
      </c>
      <c r="H5169" s="11" t="str">
        <f aca="false">IF($A5169="","",IF(MAX($E5169,$F5169,$G5169)&gt;1,"중복","-"))</f>
        <v/>
      </c>
      <c r="I5169" s="11" t="str">
        <f aca="false">IF($A5169="","",IF($H5169="-","-",IF(AND(IF(원본명단!$H5168="",TRUE(),COUNTIF(원본명단!$H$3:$H5168,원본명단!$H5168)=1),IF(원본명단!$I5168="",TRUE(),COUNTIF(원본명단!$I$3:$I5168,원본명단!$I5168)=1),IF(원본명단!$K5168="",TRUE(),COUNTIF(원본명단!$K$3:$K5168,원본명단!$K5168)=1)),"첫 건","중복 건")))</f>
        <v/>
      </c>
      <c r="J5169" s="11" t="str">
        <f aca="false">IF($A5169="","",IF($H5169="-","유지",IF($I5169="첫 건","유지","확인 필요")))</f>
        <v/>
      </c>
    </row>
    <row r="5170" customFormat="false" ht="15" hidden="false" customHeight="true" outlineLevel="0" collapsed="false">
      <c r="A5170" s="11" t="str">
        <f aca="false">IF(원본명단!$A5169="","",5167)</f>
        <v/>
      </c>
      <c r="B5170" s="12" t="str">
        <f aca="false">IF($A5170="","",원본명단!$A5169)</f>
        <v/>
      </c>
      <c r="C5170" s="12" t="str">
        <f aca="false">IF($A5170="","",원본명단!$B5169)</f>
        <v/>
      </c>
      <c r="D5170" s="12" t="str">
        <f aca="false">IF($A5170="","",원본명단!$D5169)</f>
        <v/>
      </c>
      <c r="E5170" s="11" t="str">
        <f aca="false">IF($A5170="","",IF(원본명단!$H5169="",0,COUNTIF(원본명단!$H$3:$H$6002,원본명단!$H5169)))</f>
        <v/>
      </c>
      <c r="F5170" s="11" t="str">
        <f aca="false">IF($A5170="","",IF(원본명단!$I5169="",0,COUNTIF(원본명단!$I$3:$I$6002,원본명단!$I5169)))</f>
        <v/>
      </c>
      <c r="G5170" s="11" t="str">
        <f aca="false">IF($A5170="","",IF(원본명단!$K5169="",0,COUNTIF(원본명단!$K$3:$K$6002,원본명단!$K5169)))</f>
        <v/>
      </c>
      <c r="H5170" s="11" t="str">
        <f aca="false">IF($A5170="","",IF(MAX($E5170,$F5170,$G5170)&gt;1,"중복","-"))</f>
        <v/>
      </c>
      <c r="I5170" s="11" t="str">
        <f aca="false">IF($A5170="","",IF($H5170="-","-",IF(AND(IF(원본명단!$H5169="",TRUE(),COUNTIF(원본명단!$H$3:$H5169,원본명단!$H5169)=1),IF(원본명단!$I5169="",TRUE(),COUNTIF(원본명단!$I$3:$I5169,원본명단!$I5169)=1),IF(원본명단!$K5169="",TRUE(),COUNTIF(원본명단!$K$3:$K5169,원본명단!$K5169)=1)),"첫 건","중복 건")))</f>
        <v/>
      </c>
      <c r="J5170" s="11" t="str">
        <f aca="false">IF($A5170="","",IF($H5170="-","유지",IF($I5170="첫 건","유지","확인 필요")))</f>
        <v/>
      </c>
    </row>
    <row r="5171" customFormat="false" ht="15" hidden="false" customHeight="true" outlineLevel="0" collapsed="false">
      <c r="A5171" s="11" t="str">
        <f aca="false">IF(원본명단!$A5170="","",5168)</f>
        <v/>
      </c>
      <c r="B5171" s="12" t="str">
        <f aca="false">IF($A5171="","",원본명단!$A5170)</f>
        <v/>
      </c>
      <c r="C5171" s="12" t="str">
        <f aca="false">IF($A5171="","",원본명단!$B5170)</f>
        <v/>
      </c>
      <c r="D5171" s="12" t="str">
        <f aca="false">IF($A5171="","",원본명단!$D5170)</f>
        <v/>
      </c>
      <c r="E5171" s="11" t="str">
        <f aca="false">IF($A5171="","",IF(원본명단!$H5170="",0,COUNTIF(원본명단!$H$3:$H$6002,원본명단!$H5170)))</f>
        <v/>
      </c>
      <c r="F5171" s="11" t="str">
        <f aca="false">IF($A5171="","",IF(원본명단!$I5170="",0,COUNTIF(원본명단!$I$3:$I$6002,원본명단!$I5170)))</f>
        <v/>
      </c>
      <c r="G5171" s="11" t="str">
        <f aca="false">IF($A5171="","",IF(원본명단!$K5170="",0,COUNTIF(원본명단!$K$3:$K$6002,원본명단!$K5170)))</f>
        <v/>
      </c>
      <c r="H5171" s="11" t="str">
        <f aca="false">IF($A5171="","",IF(MAX($E5171,$F5171,$G5171)&gt;1,"중복","-"))</f>
        <v/>
      </c>
      <c r="I5171" s="11" t="str">
        <f aca="false">IF($A5171="","",IF($H5171="-","-",IF(AND(IF(원본명단!$H5170="",TRUE(),COUNTIF(원본명단!$H$3:$H5170,원본명단!$H5170)=1),IF(원본명단!$I5170="",TRUE(),COUNTIF(원본명단!$I$3:$I5170,원본명단!$I5170)=1),IF(원본명단!$K5170="",TRUE(),COUNTIF(원본명단!$K$3:$K5170,원본명단!$K5170)=1)),"첫 건","중복 건")))</f>
        <v/>
      </c>
      <c r="J5171" s="11" t="str">
        <f aca="false">IF($A5171="","",IF($H5171="-","유지",IF($I5171="첫 건","유지","확인 필요")))</f>
        <v/>
      </c>
    </row>
    <row r="5172" customFormat="false" ht="15" hidden="false" customHeight="true" outlineLevel="0" collapsed="false">
      <c r="A5172" s="11" t="str">
        <f aca="false">IF(원본명단!$A5171="","",5169)</f>
        <v/>
      </c>
      <c r="B5172" s="12" t="str">
        <f aca="false">IF($A5172="","",원본명단!$A5171)</f>
        <v/>
      </c>
      <c r="C5172" s="12" t="str">
        <f aca="false">IF($A5172="","",원본명단!$B5171)</f>
        <v/>
      </c>
      <c r="D5172" s="12" t="str">
        <f aca="false">IF($A5172="","",원본명단!$D5171)</f>
        <v/>
      </c>
      <c r="E5172" s="11" t="str">
        <f aca="false">IF($A5172="","",IF(원본명단!$H5171="",0,COUNTIF(원본명단!$H$3:$H$6002,원본명단!$H5171)))</f>
        <v/>
      </c>
      <c r="F5172" s="11" t="str">
        <f aca="false">IF($A5172="","",IF(원본명단!$I5171="",0,COUNTIF(원본명단!$I$3:$I$6002,원본명단!$I5171)))</f>
        <v/>
      </c>
      <c r="G5172" s="11" t="str">
        <f aca="false">IF($A5172="","",IF(원본명단!$K5171="",0,COUNTIF(원본명단!$K$3:$K$6002,원본명단!$K5171)))</f>
        <v/>
      </c>
      <c r="H5172" s="11" t="str">
        <f aca="false">IF($A5172="","",IF(MAX($E5172,$F5172,$G5172)&gt;1,"중복","-"))</f>
        <v/>
      </c>
      <c r="I5172" s="11" t="str">
        <f aca="false">IF($A5172="","",IF($H5172="-","-",IF(AND(IF(원본명단!$H5171="",TRUE(),COUNTIF(원본명단!$H$3:$H5171,원본명단!$H5171)=1),IF(원본명단!$I5171="",TRUE(),COUNTIF(원본명단!$I$3:$I5171,원본명단!$I5171)=1),IF(원본명단!$K5171="",TRUE(),COUNTIF(원본명단!$K$3:$K5171,원본명단!$K5171)=1)),"첫 건","중복 건")))</f>
        <v/>
      </c>
      <c r="J5172" s="11" t="str">
        <f aca="false">IF($A5172="","",IF($H5172="-","유지",IF($I5172="첫 건","유지","확인 필요")))</f>
        <v/>
      </c>
    </row>
    <row r="5173" customFormat="false" ht="15" hidden="false" customHeight="true" outlineLevel="0" collapsed="false">
      <c r="A5173" s="11" t="str">
        <f aca="false">IF(원본명단!$A5172="","",5170)</f>
        <v/>
      </c>
      <c r="B5173" s="12" t="str">
        <f aca="false">IF($A5173="","",원본명단!$A5172)</f>
        <v/>
      </c>
      <c r="C5173" s="12" t="str">
        <f aca="false">IF($A5173="","",원본명단!$B5172)</f>
        <v/>
      </c>
      <c r="D5173" s="12" t="str">
        <f aca="false">IF($A5173="","",원본명단!$D5172)</f>
        <v/>
      </c>
      <c r="E5173" s="11" t="str">
        <f aca="false">IF($A5173="","",IF(원본명단!$H5172="",0,COUNTIF(원본명단!$H$3:$H$6002,원본명단!$H5172)))</f>
        <v/>
      </c>
      <c r="F5173" s="11" t="str">
        <f aca="false">IF($A5173="","",IF(원본명단!$I5172="",0,COUNTIF(원본명단!$I$3:$I$6002,원본명단!$I5172)))</f>
        <v/>
      </c>
      <c r="G5173" s="11" t="str">
        <f aca="false">IF($A5173="","",IF(원본명단!$K5172="",0,COUNTIF(원본명단!$K$3:$K$6002,원본명단!$K5172)))</f>
        <v/>
      </c>
      <c r="H5173" s="11" t="str">
        <f aca="false">IF($A5173="","",IF(MAX($E5173,$F5173,$G5173)&gt;1,"중복","-"))</f>
        <v/>
      </c>
      <c r="I5173" s="11" t="str">
        <f aca="false">IF($A5173="","",IF($H5173="-","-",IF(AND(IF(원본명단!$H5172="",TRUE(),COUNTIF(원본명단!$H$3:$H5172,원본명단!$H5172)=1),IF(원본명단!$I5172="",TRUE(),COUNTIF(원본명단!$I$3:$I5172,원본명단!$I5172)=1),IF(원본명단!$K5172="",TRUE(),COUNTIF(원본명단!$K$3:$K5172,원본명단!$K5172)=1)),"첫 건","중복 건")))</f>
        <v/>
      </c>
      <c r="J5173" s="11" t="str">
        <f aca="false">IF($A5173="","",IF($H5173="-","유지",IF($I5173="첫 건","유지","확인 필요")))</f>
        <v/>
      </c>
    </row>
    <row r="5174" customFormat="false" ht="15" hidden="false" customHeight="true" outlineLevel="0" collapsed="false">
      <c r="A5174" s="11" t="str">
        <f aca="false">IF(원본명단!$A5173="","",5171)</f>
        <v/>
      </c>
      <c r="B5174" s="12" t="str">
        <f aca="false">IF($A5174="","",원본명단!$A5173)</f>
        <v/>
      </c>
      <c r="C5174" s="12" t="str">
        <f aca="false">IF($A5174="","",원본명단!$B5173)</f>
        <v/>
      </c>
      <c r="D5174" s="12" t="str">
        <f aca="false">IF($A5174="","",원본명단!$D5173)</f>
        <v/>
      </c>
      <c r="E5174" s="11" t="str">
        <f aca="false">IF($A5174="","",IF(원본명단!$H5173="",0,COUNTIF(원본명단!$H$3:$H$6002,원본명단!$H5173)))</f>
        <v/>
      </c>
      <c r="F5174" s="11" t="str">
        <f aca="false">IF($A5174="","",IF(원본명단!$I5173="",0,COUNTIF(원본명단!$I$3:$I$6002,원본명단!$I5173)))</f>
        <v/>
      </c>
      <c r="G5174" s="11" t="str">
        <f aca="false">IF($A5174="","",IF(원본명단!$K5173="",0,COUNTIF(원본명단!$K$3:$K$6002,원본명단!$K5173)))</f>
        <v/>
      </c>
      <c r="H5174" s="11" t="str">
        <f aca="false">IF($A5174="","",IF(MAX($E5174,$F5174,$G5174)&gt;1,"중복","-"))</f>
        <v/>
      </c>
      <c r="I5174" s="11" t="str">
        <f aca="false">IF($A5174="","",IF($H5174="-","-",IF(AND(IF(원본명단!$H5173="",TRUE(),COUNTIF(원본명단!$H$3:$H5173,원본명단!$H5173)=1),IF(원본명단!$I5173="",TRUE(),COUNTIF(원본명단!$I$3:$I5173,원본명단!$I5173)=1),IF(원본명단!$K5173="",TRUE(),COUNTIF(원본명단!$K$3:$K5173,원본명단!$K5173)=1)),"첫 건","중복 건")))</f>
        <v/>
      </c>
      <c r="J5174" s="11" t="str">
        <f aca="false">IF($A5174="","",IF($H5174="-","유지",IF($I5174="첫 건","유지","확인 필요")))</f>
        <v/>
      </c>
    </row>
    <row r="5175" customFormat="false" ht="15" hidden="false" customHeight="true" outlineLevel="0" collapsed="false">
      <c r="A5175" s="11" t="str">
        <f aca="false">IF(원본명단!$A5174="","",5172)</f>
        <v/>
      </c>
      <c r="B5175" s="12" t="str">
        <f aca="false">IF($A5175="","",원본명단!$A5174)</f>
        <v/>
      </c>
      <c r="C5175" s="12" t="str">
        <f aca="false">IF($A5175="","",원본명단!$B5174)</f>
        <v/>
      </c>
      <c r="D5175" s="12" t="str">
        <f aca="false">IF($A5175="","",원본명단!$D5174)</f>
        <v/>
      </c>
      <c r="E5175" s="11" t="str">
        <f aca="false">IF($A5175="","",IF(원본명단!$H5174="",0,COUNTIF(원본명단!$H$3:$H$6002,원본명단!$H5174)))</f>
        <v/>
      </c>
      <c r="F5175" s="11" t="str">
        <f aca="false">IF($A5175="","",IF(원본명단!$I5174="",0,COUNTIF(원본명단!$I$3:$I$6002,원본명단!$I5174)))</f>
        <v/>
      </c>
      <c r="G5175" s="11" t="str">
        <f aca="false">IF($A5175="","",IF(원본명단!$K5174="",0,COUNTIF(원본명단!$K$3:$K$6002,원본명단!$K5174)))</f>
        <v/>
      </c>
      <c r="H5175" s="11" t="str">
        <f aca="false">IF($A5175="","",IF(MAX($E5175,$F5175,$G5175)&gt;1,"중복","-"))</f>
        <v/>
      </c>
      <c r="I5175" s="11" t="str">
        <f aca="false">IF($A5175="","",IF($H5175="-","-",IF(AND(IF(원본명단!$H5174="",TRUE(),COUNTIF(원본명단!$H$3:$H5174,원본명단!$H5174)=1),IF(원본명단!$I5174="",TRUE(),COUNTIF(원본명단!$I$3:$I5174,원본명단!$I5174)=1),IF(원본명단!$K5174="",TRUE(),COUNTIF(원본명단!$K$3:$K5174,원본명단!$K5174)=1)),"첫 건","중복 건")))</f>
        <v/>
      </c>
      <c r="J5175" s="11" t="str">
        <f aca="false">IF($A5175="","",IF($H5175="-","유지",IF($I5175="첫 건","유지","확인 필요")))</f>
        <v/>
      </c>
    </row>
    <row r="5176" customFormat="false" ht="15" hidden="false" customHeight="true" outlineLevel="0" collapsed="false">
      <c r="A5176" s="11" t="str">
        <f aca="false">IF(원본명단!$A5175="","",5173)</f>
        <v/>
      </c>
      <c r="B5176" s="12" t="str">
        <f aca="false">IF($A5176="","",원본명단!$A5175)</f>
        <v/>
      </c>
      <c r="C5176" s="12" t="str">
        <f aca="false">IF($A5176="","",원본명단!$B5175)</f>
        <v/>
      </c>
      <c r="D5176" s="12" t="str">
        <f aca="false">IF($A5176="","",원본명단!$D5175)</f>
        <v/>
      </c>
      <c r="E5176" s="11" t="str">
        <f aca="false">IF($A5176="","",IF(원본명단!$H5175="",0,COUNTIF(원본명단!$H$3:$H$6002,원본명단!$H5175)))</f>
        <v/>
      </c>
      <c r="F5176" s="11" t="str">
        <f aca="false">IF($A5176="","",IF(원본명단!$I5175="",0,COUNTIF(원본명단!$I$3:$I$6002,원본명단!$I5175)))</f>
        <v/>
      </c>
      <c r="G5176" s="11" t="str">
        <f aca="false">IF($A5176="","",IF(원본명단!$K5175="",0,COUNTIF(원본명단!$K$3:$K$6002,원본명단!$K5175)))</f>
        <v/>
      </c>
      <c r="H5176" s="11" t="str">
        <f aca="false">IF($A5176="","",IF(MAX($E5176,$F5176,$G5176)&gt;1,"중복","-"))</f>
        <v/>
      </c>
      <c r="I5176" s="11" t="str">
        <f aca="false">IF($A5176="","",IF($H5176="-","-",IF(AND(IF(원본명단!$H5175="",TRUE(),COUNTIF(원본명단!$H$3:$H5175,원본명단!$H5175)=1),IF(원본명단!$I5175="",TRUE(),COUNTIF(원본명단!$I$3:$I5175,원본명단!$I5175)=1),IF(원본명단!$K5175="",TRUE(),COUNTIF(원본명단!$K$3:$K5175,원본명단!$K5175)=1)),"첫 건","중복 건")))</f>
        <v/>
      </c>
      <c r="J5176" s="11" t="str">
        <f aca="false">IF($A5176="","",IF($H5176="-","유지",IF($I5176="첫 건","유지","확인 필요")))</f>
        <v/>
      </c>
    </row>
    <row r="5177" customFormat="false" ht="15" hidden="false" customHeight="true" outlineLevel="0" collapsed="false">
      <c r="A5177" s="11" t="str">
        <f aca="false">IF(원본명단!$A5176="","",5174)</f>
        <v/>
      </c>
      <c r="B5177" s="12" t="str">
        <f aca="false">IF($A5177="","",원본명단!$A5176)</f>
        <v/>
      </c>
      <c r="C5177" s="12" t="str">
        <f aca="false">IF($A5177="","",원본명단!$B5176)</f>
        <v/>
      </c>
      <c r="D5177" s="12" t="str">
        <f aca="false">IF($A5177="","",원본명단!$D5176)</f>
        <v/>
      </c>
      <c r="E5177" s="11" t="str">
        <f aca="false">IF($A5177="","",IF(원본명단!$H5176="",0,COUNTIF(원본명단!$H$3:$H$6002,원본명단!$H5176)))</f>
        <v/>
      </c>
      <c r="F5177" s="11" t="str">
        <f aca="false">IF($A5177="","",IF(원본명단!$I5176="",0,COUNTIF(원본명단!$I$3:$I$6002,원본명단!$I5176)))</f>
        <v/>
      </c>
      <c r="G5177" s="11" t="str">
        <f aca="false">IF($A5177="","",IF(원본명단!$K5176="",0,COUNTIF(원본명단!$K$3:$K$6002,원본명단!$K5176)))</f>
        <v/>
      </c>
      <c r="H5177" s="11" t="str">
        <f aca="false">IF($A5177="","",IF(MAX($E5177,$F5177,$G5177)&gt;1,"중복","-"))</f>
        <v/>
      </c>
      <c r="I5177" s="11" t="str">
        <f aca="false">IF($A5177="","",IF($H5177="-","-",IF(AND(IF(원본명단!$H5176="",TRUE(),COUNTIF(원본명단!$H$3:$H5176,원본명단!$H5176)=1),IF(원본명단!$I5176="",TRUE(),COUNTIF(원본명단!$I$3:$I5176,원본명단!$I5176)=1),IF(원본명단!$K5176="",TRUE(),COUNTIF(원본명단!$K$3:$K5176,원본명단!$K5176)=1)),"첫 건","중복 건")))</f>
        <v/>
      </c>
      <c r="J5177" s="11" t="str">
        <f aca="false">IF($A5177="","",IF($H5177="-","유지",IF($I5177="첫 건","유지","확인 필요")))</f>
        <v/>
      </c>
    </row>
    <row r="5178" customFormat="false" ht="15" hidden="false" customHeight="true" outlineLevel="0" collapsed="false">
      <c r="A5178" s="11" t="str">
        <f aca="false">IF(원본명단!$A5177="","",5175)</f>
        <v/>
      </c>
      <c r="B5178" s="12" t="str">
        <f aca="false">IF($A5178="","",원본명단!$A5177)</f>
        <v/>
      </c>
      <c r="C5178" s="12" t="str">
        <f aca="false">IF($A5178="","",원본명단!$B5177)</f>
        <v/>
      </c>
      <c r="D5178" s="12" t="str">
        <f aca="false">IF($A5178="","",원본명단!$D5177)</f>
        <v/>
      </c>
      <c r="E5178" s="11" t="str">
        <f aca="false">IF($A5178="","",IF(원본명단!$H5177="",0,COUNTIF(원본명단!$H$3:$H$6002,원본명단!$H5177)))</f>
        <v/>
      </c>
      <c r="F5178" s="11" t="str">
        <f aca="false">IF($A5178="","",IF(원본명단!$I5177="",0,COUNTIF(원본명단!$I$3:$I$6002,원본명단!$I5177)))</f>
        <v/>
      </c>
      <c r="G5178" s="11" t="str">
        <f aca="false">IF($A5178="","",IF(원본명단!$K5177="",0,COUNTIF(원본명단!$K$3:$K$6002,원본명단!$K5177)))</f>
        <v/>
      </c>
      <c r="H5178" s="11" t="str">
        <f aca="false">IF($A5178="","",IF(MAX($E5178,$F5178,$G5178)&gt;1,"중복","-"))</f>
        <v/>
      </c>
      <c r="I5178" s="11" t="str">
        <f aca="false">IF($A5178="","",IF($H5178="-","-",IF(AND(IF(원본명단!$H5177="",TRUE(),COUNTIF(원본명단!$H$3:$H5177,원본명단!$H5177)=1),IF(원본명단!$I5177="",TRUE(),COUNTIF(원본명단!$I$3:$I5177,원본명단!$I5177)=1),IF(원본명단!$K5177="",TRUE(),COUNTIF(원본명단!$K$3:$K5177,원본명단!$K5177)=1)),"첫 건","중복 건")))</f>
        <v/>
      </c>
      <c r="J5178" s="11" t="str">
        <f aca="false">IF($A5178="","",IF($H5178="-","유지",IF($I5178="첫 건","유지","확인 필요")))</f>
        <v/>
      </c>
    </row>
    <row r="5179" customFormat="false" ht="15" hidden="false" customHeight="true" outlineLevel="0" collapsed="false">
      <c r="A5179" s="11" t="str">
        <f aca="false">IF(원본명단!$A5178="","",5176)</f>
        <v/>
      </c>
      <c r="B5179" s="12" t="str">
        <f aca="false">IF($A5179="","",원본명단!$A5178)</f>
        <v/>
      </c>
      <c r="C5179" s="12" t="str">
        <f aca="false">IF($A5179="","",원본명단!$B5178)</f>
        <v/>
      </c>
      <c r="D5179" s="12" t="str">
        <f aca="false">IF($A5179="","",원본명단!$D5178)</f>
        <v/>
      </c>
      <c r="E5179" s="11" t="str">
        <f aca="false">IF($A5179="","",IF(원본명단!$H5178="",0,COUNTIF(원본명단!$H$3:$H$6002,원본명단!$H5178)))</f>
        <v/>
      </c>
      <c r="F5179" s="11" t="str">
        <f aca="false">IF($A5179="","",IF(원본명단!$I5178="",0,COUNTIF(원본명단!$I$3:$I$6002,원본명단!$I5178)))</f>
        <v/>
      </c>
      <c r="G5179" s="11" t="str">
        <f aca="false">IF($A5179="","",IF(원본명단!$K5178="",0,COUNTIF(원본명단!$K$3:$K$6002,원본명단!$K5178)))</f>
        <v/>
      </c>
      <c r="H5179" s="11" t="str">
        <f aca="false">IF($A5179="","",IF(MAX($E5179,$F5179,$G5179)&gt;1,"중복","-"))</f>
        <v/>
      </c>
      <c r="I5179" s="11" t="str">
        <f aca="false">IF($A5179="","",IF($H5179="-","-",IF(AND(IF(원본명단!$H5178="",TRUE(),COUNTIF(원본명단!$H$3:$H5178,원본명단!$H5178)=1),IF(원본명단!$I5178="",TRUE(),COUNTIF(원본명단!$I$3:$I5178,원본명단!$I5178)=1),IF(원본명단!$K5178="",TRUE(),COUNTIF(원본명단!$K$3:$K5178,원본명단!$K5178)=1)),"첫 건","중복 건")))</f>
        <v/>
      </c>
      <c r="J5179" s="11" t="str">
        <f aca="false">IF($A5179="","",IF($H5179="-","유지",IF($I5179="첫 건","유지","확인 필요")))</f>
        <v/>
      </c>
    </row>
    <row r="5180" customFormat="false" ht="15" hidden="false" customHeight="true" outlineLevel="0" collapsed="false">
      <c r="A5180" s="11" t="str">
        <f aca="false">IF(원본명단!$A5179="","",5177)</f>
        <v/>
      </c>
      <c r="B5180" s="12" t="str">
        <f aca="false">IF($A5180="","",원본명단!$A5179)</f>
        <v/>
      </c>
      <c r="C5180" s="12" t="str">
        <f aca="false">IF($A5180="","",원본명단!$B5179)</f>
        <v/>
      </c>
      <c r="D5180" s="12" t="str">
        <f aca="false">IF($A5180="","",원본명단!$D5179)</f>
        <v/>
      </c>
      <c r="E5180" s="11" t="str">
        <f aca="false">IF($A5180="","",IF(원본명단!$H5179="",0,COUNTIF(원본명단!$H$3:$H$6002,원본명단!$H5179)))</f>
        <v/>
      </c>
      <c r="F5180" s="11" t="str">
        <f aca="false">IF($A5180="","",IF(원본명단!$I5179="",0,COUNTIF(원본명단!$I$3:$I$6002,원본명단!$I5179)))</f>
        <v/>
      </c>
      <c r="G5180" s="11" t="str">
        <f aca="false">IF($A5180="","",IF(원본명단!$K5179="",0,COUNTIF(원본명단!$K$3:$K$6002,원본명단!$K5179)))</f>
        <v/>
      </c>
      <c r="H5180" s="11" t="str">
        <f aca="false">IF($A5180="","",IF(MAX($E5180,$F5180,$G5180)&gt;1,"중복","-"))</f>
        <v/>
      </c>
      <c r="I5180" s="11" t="str">
        <f aca="false">IF($A5180="","",IF($H5180="-","-",IF(AND(IF(원본명단!$H5179="",TRUE(),COUNTIF(원본명단!$H$3:$H5179,원본명단!$H5179)=1),IF(원본명단!$I5179="",TRUE(),COUNTIF(원본명단!$I$3:$I5179,원본명단!$I5179)=1),IF(원본명단!$K5179="",TRUE(),COUNTIF(원본명단!$K$3:$K5179,원본명단!$K5179)=1)),"첫 건","중복 건")))</f>
        <v/>
      </c>
      <c r="J5180" s="11" t="str">
        <f aca="false">IF($A5180="","",IF($H5180="-","유지",IF($I5180="첫 건","유지","확인 필요")))</f>
        <v/>
      </c>
    </row>
    <row r="5181" customFormat="false" ht="15" hidden="false" customHeight="true" outlineLevel="0" collapsed="false">
      <c r="A5181" s="11" t="str">
        <f aca="false">IF(원본명단!$A5180="","",5178)</f>
        <v/>
      </c>
      <c r="B5181" s="12" t="str">
        <f aca="false">IF($A5181="","",원본명단!$A5180)</f>
        <v/>
      </c>
      <c r="C5181" s="12" t="str">
        <f aca="false">IF($A5181="","",원본명단!$B5180)</f>
        <v/>
      </c>
      <c r="D5181" s="12" t="str">
        <f aca="false">IF($A5181="","",원본명단!$D5180)</f>
        <v/>
      </c>
      <c r="E5181" s="11" t="str">
        <f aca="false">IF($A5181="","",IF(원본명단!$H5180="",0,COUNTIF(원본명단!$H$3:$H$6002,원본명단!$H5180)))</f>
        <v/>
      </c>
      <c r="F5181" s="11" t="str">
        <f aca="false">IF($A5181="","",IF(원본명단!$I5180="",0,COUNTIF(원본명단!$I$3:$I$6002,원본명단!$I5180)))</f>
        <v/>
      </c>
      <c r="G5181" s="11" t="str">
        <f aca="false">IF($A5181="","",IF(원본명단!$K5180="",0,COUNTIF(원본명단!$K$3:$K$6002,원본명단!$K5180)))</f>
        <v/>
      </c>
      <c r="H5181" s="11" t="str">
        <f aca="false">IF($A5181="","",IF(MAX($E5181,$F5181,$G5181)&gt;1,"중복","-"))</f>
        <v/>
      </c>
      <c r="I5181" s="11" t="str">
        <f aca="false">IF($A5181="","",IF($H5181="-","-",IF(AND(IF(원본명단!$H5180="",TRUE(),COUNTIF(원본명단!$H$3:$H5180,원본명단!$H5180)=1),IF(원본명단!$I5180="",TRUE(),COUNTIF(원본명단!$I$3:$I5180,원본명단!$I5180)=1),IF(원본명단!$K5180="",TRUE(),COUNTIF(원본명단!$K$3:$K5180,원본명단!$K5180)=1)),"첫 건","중복 건")))</f>
        <v/>
      </c>
      <c r="J5181" s="11" t="str">
        <f aca="false">IF($A5181="","",IF($H5181="-","유지",IF($I5181="첫 건","유지","확인 필요")))</f>
        <v/>
      </c>
    </row>
    <row r="5182" customFormat="false" ht="15" hidden="false" customHeight="true" outlineLevel="0" collapsed="false">
      <c r="A5182" s="11" t="str">
        <f aca="false">IF(원본명단!$A5181="","",5179)</f>
        <v/>
      </c>
      <c r="B5182" s="12" t="str">
        <f aca="false">IF($A5182="","",원본명단!$A5181)</f>
        <v/>
      </c>
      <c r="C5182" s="12" t="str">
        <f aca="false">IF($A5182="","",원본명단!$B5181)</f>
        <v/>
      </c>
      <c r="D5182" s="12" t="str">
        <f aca="false">IF($A5182="","",원본명단!$D5181)</f>
        <v/>
      </c>
      <c r="E5182" s="11" t="str">
        <f aca="false">IF($A5182="","",IF(원본명단!$H5181="",0,COUNTIF(원본명단!$H$3:$H$6002,원본명단!$H5181)))</f>
        <v/>
      </c>
      <c r="F5182" s="11" t="str">
        <f aca="false">IF($A5182="","",IF(원본명단!$I5181="",0,COUNTIF(원본명단!$I$3:$I$6002,원본명단!$I5181)))</f>
        <v/>
      </c>
      <c r="G5182" s="11" t="str">
        <f aca="false">IF($A5182="","",IF(원본명단!$K5181="",0,COUNTIF(원본명단!$K$3:$K$6002,원본명단!$K5181)))</f>
        <v/>
      </c>
      <c r="H5182" s="11" t="str">
        <f aca="false">IF($A5182="","",IF(MAX($E5182,$F5182,$G5182)&gt;1,"중복","-"))</f>
        <v/>
      </c>
      <c r="I5182" s="11" t="str">
        <f aca="false">IF($A5182="","",IF($H5182="-","-",IF(AND(IF(원본명단!$H5181="",TRUE(),COUNTIF(원본명단!$H$3:$H5181,원본명단!$H5181)=1),IF(원본명단!$I5181="",TRUE(),COUNTIF(원본명단!$I$3:$I5181,원본명단!$I5181)=1),IF(원본명단!$K5181="",TRUE(),COUNTIF(원본명단!$K$3:$K5181,원본명단!$K5181)=1)),"첫 건","중복 건")))</f>
        <v/>
      </c>
      <c r="J5182" s="11" t="str">
        <f aca="false">IF($A5182="","",IF($H5182="-","유지",IF($I5182="첫 건","유지","확인 필요")))</f>
        <v/>
      </c>
    </row>
    <row r="5183" customFormat="false" ht="15" hidden="false" customHeight="true" outlineLevel="0" collapsed="false">
      <c r="A5183" s="11" t="str">
        <f aca="false">IF(원본명단!$A5182="","",5180)</f>
        <v/>
      </c>
      <c r="B5183" s="12" t="str">
        <f aca="false">IF($A5183="","",원본명단!$A5182)</f>
        <v/>
      </c>
      <c r="C5183" s="12" t="str">
        <f aca="false">IF($A5183="","",원본명단!$B5182)</f>
        <v/>
      </c>
      <c r="D5183" s="12" t="str">
        <f aca="false">IF($A5183="","",원본명단!$D5182)</f>
        <v/>
      </c>
      <c r="E5183" s="11" t="str">
        <f aca="false">IF($A5183="","",IF(원본명단!$H5182="",0,COUNTIF(원본명단!$H$3:$H$6002,원본명단!$H5182)))</f>
        <v/>
      </c>
      <c r="F5183" s="11" t="str">
        <f aca="false">IF($A5183="","",IF(원본명단!$I5182="",0,COUNTIF(원본명단!$I$3:$I$6002,원본명단!$I5182)))</f>
        <v/>
      </c>
      <c r="G5183" s="11" t="str">
        <f aca="false">IF($A5183="","",IF(원본명단!$K5182="",0,COUNTIF(원본명단!$K$3:$K$6002,원본명단!$K5182)))</f>
        <v/>
      </c>
      <c r="H5183" s="11" t="str">
        <f aca="false">IF($A5183="","",IF(MAX($E5183,$F5183,$G5183)&gt;1,"중복","-"))</f>
        <v/>
      </c>
      <c r="I5183" s="11" t="str">
        <f aca="false">IF($A5183="","",IF($H5183="-","-",IF(AND(IF(원본명단!$H5182="",TRUE(),COUNTIF(원본명단!$H$3:$H5182,원본명단!$H5182)=1),IF(원본명단!$I5182="",TRUE(),COUNTIF(원본명단!$I$3:$I5182,원본명단!$I5182)=1),IF(원본명단!$K5182="",TRUE(),COUNTIF(원본명단!$K$3:$K5182,원본명단!$K5182)=1)),"첫 건","중복 건")))</f>
        <v/>
      </c>
      <c r="J5183" s="11" t="str">
        <f aca="false">IF($A5183="","",IF($H5183="-","유지",IF($I5183="첫 건","유지","확인 필요")))</f>
        <v/>
      </c>
    </row>
    <row r="5184" customFormat="false" ht="15" hidden="false" customHeight="true" outlineLevel="0" collapsed="false">
      <c r="A5184" s="11" t="str">
        <f aca="false">IF(원본명단!$A5183="","",5181)</f>
        <v/>
      </c>
      <c r="B5184" s="12" t="str">
        <f aca="false">IF($A5184="","",원본명단!$A5183)</f>
        <v/>
      </c>
      <c r="C5184" s="12" t="str">
        <f aca="false">IF($A5184="","",원본명단!$B5183)</f>
        <v/>
      </c>
      <c r="D5184" s="12" t="str">
        <f aca="false">IF($A5184="","",원본명단!$D5183)</f>
        <v/>
      </c>
      <c r="E5184" s="11" t="str">
        <f aca="false">IF($A5184="","",IF(원본명단!$H5183="",0,COUNTIF(원본명단!$H$3:$H$6002,원본명단!$H5183)))</f>
        <v/>
      </c>
      <c r="F5184" s="11" t="str">
        <f aca="false">IF($A5184="","",IF(원본명단!$I5183="",0,COUNTIF(원본명단!$I$3:$I$6002,원본명단!$I5183)))</f>
        <v/>
      </c>
      <c r="G5184" s="11" t="str">
        <f aca="false">IF($A5184="","",IF(원본명단!$K5183="",0,COUNTIF(원본명단!$K$3:$K$6002,원본명단!$K5183)))</f>
        <v/>
      </c>
      <c r="H5184" s="11" t="str">
        <f aca="false">IF($A5184="","",IF(MAX($E5184,$F5184,$G5184)&gt;1,"중복","-"))</f>
        <v/>
      </c>
      <c r="I5184" s="11" t="str">
        <f aca="false">IF($A5184="","",IF($H5184="-","-",IF(AND(IF(원본명단!$H5183="",TRUE(),COUNTIF(원본명단!$H$3:$H5183,원본명단!$H5183)=1),IF(원본명단!$I5183="",TRUE(),COUNTIF(원본명단!$I$3:$I5183,원본명단!$I5183)=1),IF(원본명단!$K5183="",TRUE(),COUNTIF(원본명단!$K$3:$K5183,원본명단!$K5183)=1)),"첫 건","중복 건")))</f>
        <v/>
      </c>
      <c r="J5184" s="11" t="str">
        <f aca="false">IF($A5184="","",IF($H5184="-","유지",IF($I5184="첫 건","유지","확인 필요")))</f>
        <v/>
      </c>
    </row>
    <row r="5185" customFormat="false" ht="15" hidden="false" customHeight="true" outlineLevel="0" collapsed="false">
      <c r="A5185" s="11" t="str">
        <f aca="false">IF(원본명단!$A5184="","",5182)</f>
        <v/>
      </c>
      <c r="B5185" s="12" t="str">
        <f aca="false">IF($A5185="","",원본명단!$A5184)</f>
        <v/>
      </c>
      <c r="C5185" s="12" t="str">
        <f aca="false">IF($A5185="","",원본명단!$B5184)</f>
        <v/>
      </c>
      <c r="D5185" s="12" t="str">
        <f aca="false">IF($A5185="","",원본명단!$D5184)</f>
        <v/>
      </c>
      <c r="E5185" s="11" t="str">
        <f aca="false">IF($A5185="","",IF(원본명단!$H5184="",0,COUNTIF(원본명단!$H$3:$H$6002,원본명단!$H5184)))</f>
        <v/>
      </c>
      <c r="F5185" s="11" t="str">
        <f aca="false">IF($A5185="","",IF(원본명단!$I5184="",0,COUNTIF(원본명단!$I$3:$I$6002,원본명단!$I5184)))</f>
        <v/>
      </c>
      <c r="G5185" s="11" t="str">
        <f aca="false">IF($A5185="","",IF(원본명단!$K5184="",0,COUNTIF(원본명단!$K$3:$K$6002,원본명단!$K5184)))</f>
        <v/>
      </c>
      <c r="H5185" s="11" t="str">
        <f aca="false">IF($A5185="","",IF(MAX($E5185,$F5185,$G5185)&gt;1,"중복","-"))</f>
        <v/>
      </c>
      <c r="I5185" s="11" t="str">
        <f aca="false">IF($A5185="","",IF($H5185="-","-",IF(AND(IF(원본명단!$H5184="",TRUE(),COUNTIF(원본명단!$H$3:$H5184,원본명단!$H5184)=1),IF(원본명단!$I5184="",TRUE(),COUNTIF(원본명단!$I$3:$I5184,원본명단!$I5184)=1),IF(원본명단!$K5184="",TRUE(),COUNTIF(원본명단!$K$3:$K5184,원본명단!$K5184)=1)),"첫 건","중복 건")))</f>
        <v/>
      </c>
      <c r="J5185" s="11" t="str">
        <f aca="false">IF($A5185="","",IF($H5185="-","유지",IF($I5185="첫 건","유지","확인 필요")))</f>
        <v/>
      </c>
    </row>
    <row r="5186" customFormat="false" ht="15" hidden="false" customHeight="true" outlineLevel="0" collapsed="false">
      <c r="A5186" s="11" t="str">
        <f aca="false">IF(원본명단!$A5185="","",5183)</f>
        <v/>
      </c>
      <c r="B5186" s="12" t="str">
        <f aca="false">IF($A5186="","",원본명단!$A5185)</f>
        <v/>
      </c>
      <c r="C5186" s="12" t="str">
        <f aca="false">IF($A5186="","",원본명단!$B5185)</f>
        <v/>
      </c>
      <c r="D5186" s="12" t="str">
        <f aca="false">IF($A5186="","",원본명단!$D5185)</f>
        <v/>
      </c>
      <c r="E5186" s="11" t="str">
        <f aca="false">IF($A5186="","",IF(원본명단!$H5185="",0,COUNTIF(원본명단!$H$3:$H$6002,원본명단!$H5185)))</f>
        <v/>
      </c>
      <c r="F5186" s="11" t="str">
        <f aca="false">IF($A5186="","",IF(원본명단!$I5185="",0,COUNTIF(원본명단!$I$3:$I$6002,원본명단!$I5185)))</f>
        <v/>
      </c>
      <c r="G5186" s="11" t="str">
        <f aca="false">IF($A5186="","",IF(원본명단!$K5185="",0,COUNTIF(원본명단!$K$3:$K$6002,원본명단!$K5185)))</f>
        <v/>
      </c>
      <c r="H5186" s="11" t="str">
        <f aca="false">IF($A5186="","",IF(MAX($E5186,$F5186,$G5186)&gt;1,"중복","-"))</f>
        <v/>
      </c>
      <c r="I5186" s="11" t="str">
        <f aca="false">IF($A5186="","",IF($H5186="-","-",IF(AND(IF(원본명단!$H5185="",TRUE(),COUNTIF(원본명단!$H$3:$H5185,원본명단!$H5185)=1),IF(원본명단!$I5185="",TRUE(),COUNTIF(원본명단!$I$3:$I5185,원본명단!$I5185)=1),IF(원본명단!$K5185="",TRUE(),COUNTIF(원본명단!$K$3:$K5185,원본명단!$K5185)=1)),"첫 건","중복 건")))</f>
        <v/>
      </c>
      <c r="J5186" s="11" t="str">
        <f aca="false">IF($A5186="","",IF($H5186="-","유지",IF($I5186="첫 건","유지","확인 필요")))</f>
        <v/>
      </c>
    </row>
    <row r="5187" customFormat="false" ht="15" hidden="false" customHeight="true" outlineLevel="0" collapsed="false">
      <c r="A5187" s="11" t="str">
        <f aca="false">IF(원본명단!$A5186="","",5184)</f>
        <v/>
      </c>
      <c r="B5187" s="12" t="str">
        <f aca="false">IF($A5187="","",원본명단!$A5186)</f>
        <v/>
      </c>
      <c r="C5187" s="12" t="str">
        <f aca="false">IF($A5187="","",원본명단!$B5186)</f>
        <v/>
      </c>
      <c r="D5187" s="12" t="str">
        <f aca="false">IF($A5187="","",원본명단!$D5186)</f>
        <v/>
      </c>
      <c r="E5187" s="11" t="str">
        <f aca="false">IF($A5187="","",IF(원본명단!$H5186="",0,COUNTIF(원본명단!$H$3:$H$6002,원본명단!$H5186)))</f>
        <v/>
      </c>
      <c r="F5187" s="11" t="str">
        <f aca="false">IF($A5187="","",IF(원본명단!$I5186="",0,COUNTIF(원본명단!$I$3:$I$6002,원본명단!$I5186)))</f>
        <v/>
      </c>
      <c r="G5187" s="11" t="str">
        <f aca="false">IF($A5187="","",IF(원본명단!$K5186="",0,COUNTIF(원본명단!$K$3:$K$6002,원본명단!$K5186)))</f>
        <v/>
      </c>
      <c r="H5187" s="11" t="str">
        <f aca="false">IF($A5187="","",IF(MAX($E5187,$F5187,$G5187)&gt;1,"중복","-"))</f>
        <v/>
      </c>
      <c r="I5187" s="11" t="str">
        <f aca="false">IF($A5187="","",IF($H5187="-","-",IF(AND(IF(원본명단!$H5186="",TRUE(),COUNTIF(원본명단!$H$3:$H5186,원본명단!$H5186)=1),IF(원본명단!$I5186="",TRUE(),COUNTIF(원본명단!$I$3:$I5186,원본명단!$I5186)=1),IF(원본명단!$K5186="",TRUE(),COUNTIF(원본명단!$K$3:$K5186,원본명단!$K5186)=1)),"첫 건","중복 건")))</f>
        <v/>
      </c>
      <c r="J5187" s="11" t="str">
        <f aca="false">IF($A5187="","",IF($H5187="-","유지",IF($I5187="첫 건","유지","확인 필요")))</f>
        <v/>
      </c>
    </row>
    <row r="5188" customFormat="false" ht="15" hidden="false" customHeight="true" outlineLevel="0" collapsed="false">
      <c r="A5188" s="11" t="str">
        <f aca="false">IF(원본명단!$A5187="","",5185)</f>
        <v/>
      </c>
      <c r="B5188" s="12" t="str">
        <f aca="false">IF($A5188="","",원본명단!$A5187)</f>
        <v/>
      </c>
      <c r="C5188" s="12" t="str">
        <f aca="false">IF($A5188="","",원본명단!$B5187)</f>
        <v/>
      </c>
      <c r="D5188" s="12" t="str">
        <f aca="false">IF($A5188="","",원본명단!$D5187)</f>
        <v/>
      </c>
      <c r="E5188" s="11" t="str">
        <f aca="false">IF($A5188="","",IF(원본명단!$H5187="",0,COUNTIF(원본명단!$H$3:$H$6002,원본명단!$H5187)))</f>
        <v/>
      </c>
      <c r="F5188" s="11" t="str">
        <f aca="false">IF($A5188="","",IF(원본명단!$I5187="",0,COUNTIF(원본명단!$I$3:$I$6002,원본명단!$I5187)))</f>
        <v/>
      </c>
      <c r="G5188" s="11" t="str">
        <f aca="false">IF($A5188="","",IF(원본명단!$K5187="",0,COUNTIF(원본명단!$K$3:$K$6002,원본명단!$K5187)))</f>
        <v/>
      </c>
      <c r="H5188" s="11" t="str">
        <f aca="false">IF($A5188="","",IF(MAX($E5188,$F5188,$G5188)&gt;1,"중복","-"))</f>
        <v/>
      </c>
      <c r="I5188" s="11" t="str">
        <f aca="false">IF($A5188="","",IF($H5188="-","-",IF(AND(IF(원본명단!$H5187="",TRUE(),COUNTIF(원본명단!$H$3:$H5187,원본명단!$H5187)=1),IF(원본명단!$I5187="",TRUE(),COUNTIF(원본명단!$I$3:$I5187,원본명단!$I5187)=1),IF(원본명단!$K5187="",TRUE(),COUNTIF(원본명단!$K$3:$K5187,원본명단!$K5187)=1)),"첫 건","중복 건")))</f>
        <v/>
      </c>
      <c r="J5188" s="11" t="str">
        <f aca="false">IF($A5188="","",IF($H5188="-","유지",IF($I5188="첫 건","유지","확인 필요")))</f>
        <v/>
      </c>
    </row>
    <row r="5189" customFormat="false" ht="15" hidden="false" customHeight="true" outlineLevel="0" collapsed="false">
      <c r="A5189" s="11" t="str">
        <f aca="false">IF(원본명단!$A5188="","",5186)</f>
        <v/>
      </c>
      <c r="B5189" s="12" t="str">
        <f aca="false">IF($A5189="","",원본명단!$A5188)</f>
        <v/>
      </c>
      <c r="C5189" s="12" t="str">
        <f aca="false">IF($A5189="","",원본명단!$B5188)</f>
        <v/>
      </c>
      <c r="D5189" s="12" t="str">
        <f aca="false">IF($A5189="","",원본명단!$D5188)</f>
        <v/>
      </c>
      <c r="E5189" s="11" t="str">
        <f aca="false">IF($A5189="","",IF(원본명단!$H5188="",0,COUNTIF(원본명단!$H$3:$H$6002,원본명단!$H5188)))</f>
        <v/>
      </c>
      <c r="F5189" s="11" t="str">
        <f aca="false">IF($A5189="","",IF(원본명단!$I5188="",0,COUNTIF(원본명단!$I$3:$I$6002,원본명단!$I5188)))</f>
        <v/>
      </c>
      <c r="G5189" s="11" t="str">
        <f aca="false">IF($A5189="","",IF(원본명단!$K5188="",0,COUNTIF(원본명단!$K$3:$K$6002,원본명단!$K5188)))</f>
        <v/>
      </c>
      <c r="H5189" s="11" t="str">
        <f aca="false">IF($A5189="","",IF(MAX($E5189,$F5189,$G5189)&gt;1,"중복","-"))</f>
        <v/>
      </c>
      <c r="I5189" s="11" t="str">
        <f aca="false">IF($A5189="","",IF($H5189="-","-",IF(AND(IF(원본명단!$H5188="",TRUE(),COUNTIF(원본명단!$H$3:$H5188,원본명단!$H5188)=1),IF(원본명단!$I5188="",TRUE(),COUNTIF(원본명단!$I$3:$I5188,원본명단!$I5188)=1),IF(원본명단!$K5188="",TRUE(),COUNTIF(원본명단!$K$3:$K5188,원본명단!$K5188)=1)),"첫 건","중복 건")))</f>
        <v/>
      </c>
      <c r="J5189" s="11" t="str">
        <f aca="false">IF($A5189="","",IF($H5189="-","유지",IF($I5189="첫 건","유지","확인 필요")))</f>
        <v/>
      </c>
    </row>
    <row r="5190" customFormat="false" ht="15" hidden="false" customHeight="true" outlineLevel="0" collapsed="false">
      <c r="A5190" s="11" t="str">
        <f aca="false">IF(원본명단!$A5189="","",5187)</f>
        <v/>
      </c>
      <c r="B5190" s="12" t="str">
        <f aca="false">IF($A5190="","",원본명단!$A5189)</f>
        <v/>
      </c>
      <c r="C5190" s="12" t="str">
        <f aca="false">IF($A5190="","",원본명단!$B5189)</f>
        <v/>
      </c>
      <c r="D5190" s="12" t="str">
        <f aca="false">IF($A5190="","",원본명단!$D5189)</f>
        <v/>
      </c>
      <c r="E5190" s="11" t="str">
        <f aca="false">IF($A5190="","",IF(원본명단!$H5189="",0,COUNTIF(원본명단!$H$3:$H$6002,원본명단!$H5189)))</f>
        <v/>
      </c>
      <c r="F5190" s="11" t="str">
        <f aca="false">IF($A5190="","",IF(원본명단!$I5189="",0,COUNTIF(원본명단!$I$3:$I$6002,원본명단!$I5189)))</f>
        <v/>
      </c>
      <c r="G5190" s="11" t="str">
        <f aca="false">IF($A5190="","",IF(원본명단!$K5189="",0,COUNTIF(원본명단!$K$3:$K$6002,원본명단!$K5189)))</f>
        <v/>
      </c>
      <c r="H5190" s="11" t="str">
        <f aca="false">IF($A5190="","",IF(MAX($E5190,$F5190,$G5190)&gt;1,"중복","-"))</f>
        <v/>
      </c>
      <c r="I5190" s="11" t="str">
        <f aca="false">IF($A5190="","",IF($H5190="-","-",IF(AND(IF(원본명단!$H5189="",TRUE(),COUNTIF(원본명단!$H$3:$H5189,원본명단!$H5189)=1),IF(원본명단!$I5189="",TRUE(),COUNTIF(원본명단!$I$3:$I5189,원본명단!$I5189)=1),IF(원본명단!$K5189="",TRUE(),COUNTIF(원본명단!$K$3:$K5189,원본명단!$K5189)=1)),"첫 건","중복 건")))</f>
        <v/>
      </c>
      <c r="J5190" s="11" t="str">
        <f aca="false">IF($A5190="","",IF($H5190="-","유지",IF($I5190="첫 건","유지","확인 필요")))</f>
        <v/>
      </c>
    </row>
    <row r="5191" customFormat="false" ht="15" hidden="false" customHeight="true" outlineLevel="0" collapsed="false">
      <c r="A5191" s="11" t="str">
        <f aca="false">IF(원본명단!$A5190="","",5188)</f>
        <v/>
      </c>
      <c r="B5191" s="12" t="str">
        <f aca="false">IF($A5191="","",원본명단!$A5190)</f>
        <v/>
      </c>
      <c r="C5191" s="12" t="str">
        <f aca="false">IF($A5191="","",원본명단!$B5190)</f>
        <v/>
      </c>
      <c r="D5191" s="12" t="str">
        <f aca="false">IF($A5191="","",원본명단!$D5190)</f>
        <v/>
      </c>
      <c r="E5191" s="11" t="str">
        <f aca="false">IF($A5191="","",IF(원본명단!$H5190="",0,COUNTIF(원본명단!$H$3:$H$6002,원본명단!$H5190)))</f>
        <v/>
      </c>
      <c r="F5191" s="11" t="str">
        <f aca="false">IF($A5191="","",IF(원본명단!$I5190="",0,COUNTIF(원본명단!$I$3:$I$6002,원본명단!$I5190)))</f>
        <v/>
      </c>
      <c r="G5191" s="11" t="str">
        <f aca="false">IF($A5191="","",IF(원본명단!$K5190="",0,COUNTIF(원본명단!$K$3:$K$6002,원본명단!$K5190)))</f>
        <v/>
      </c>
      <c r="H5191" s="11" t="str">
        <f aca="false">IF($A5191="","",IF(MAX($E5191,$F5191,$G5191)&gt;1,"중복","-"))</f>
        <v/>
      </c>
      <c r="I5191" s="11" t="str">
        <f aca="false">IF($A5191="","",IF($H5191="-","-",IF(AND(IF(원본명단!$H5190="",TRUE(),COUNTIF(원본명단!$H$3:$H5190,원본명단!$H5190)=1),IF(원본명단!$I5190="",TRUE(),COUNTIF(원본명단!$I$3:$I5190,원본명단!$I5190)=1),IF(원본명단!$K5190="",TRUE(),COUNTIF(원본명단!$K$3:$K5190,원본명단!$K5190)=1)),"첫 건","중복 건")))</f>
        <v/>
      </c>
      <c r="J5191" s="11" t="str">
        <f aca="false">IF($A5191="","",IF($H5191="-","유지",IF($I5191="첫 건","유지","확인 필요")))</f>
        <v/>
      </c>
    </row>
    <row r="5192" customFormat="false" ht="15" hidden="false" customHeight="true" outlineLevel="0" collapsed="false">
      <c r="A5192" s="11" t="str">
        <f aca="false">IF(원본명단!$A5191="","",5189)</f>
        <v/>
      </c>
      <c r="B5192" s="12" t="str">
        <f aca="false">IF($A5192="","",원본명단!$A5191)</f>
        <v/>
      </c>
      <c r="C5192" s="12" t="str">
        <f aca="false">IF($A5192="","",원본명단!$B5191)</f>
        <v/>
      </c>
      <c r="D5192" s="12" t="str">
        <f aca="false">IF($A5192="","",원본명단!$D5191)</f>
        <v/>
      </c>
      <c r="E5192" s="11" t="str">
        <f aca="false">IF($A5192="","",IF(원본명단!$H5191="",0,COUNTIF(원본명단!$H$3:$H$6002,원본명단!$H5191)))</f>
        <v/>
      </c>
      <c r="F5192" s="11" t="str">
        <f aca="false">IF($A5192="","",IF(원본명단!$I5191="",0,COUNTIF(원본명단!$I$3:$I$6002,원본명단!$I5191)))</f>
        <v/>
      </c>
      <c r="G5192" s="11" t="str">
        <f aca="false">IF($A5192="","",IF(원본명단!$K5191="",0,COUNTIF(원본명단!$K$3:$K$6002,원본명단!$K5191)))</f>
        <v/>
      </c>
      <c r="H5192" s="11" t="str">
        <f aca="false">IF($A5192="","",IF(MAX($E5192,$F5192,$G5192)&gt;1,"중복","-"))</f>
        <v/>
      </c>
      <c r="I5192" s="11" t="str">
        <f aca="false">IF($A5192="","",IF($H5192="-","-",IF(AND(IF(원본명단!$H5191="",TRUE(),COUNTIF(원본명단!$H$3:$H5191,원본명단!$H5191)=1),IF(원본명단!$I5191="",TRUE(),COUNTIF(원본명단!$I$3:$I5191,원본명단!$I5191)=1),IF(원본명단!$K5191="",TRUE(),COUNTIF(원본명단!$K$3:$K5191,원본명단!$K5191)=1)),"첫 건","중복 건")))</f>
        <v/>
      </c>
      <c r="J5192" s="11" t="str">
        <f aca="false">IF($A5192="","",IF($H5192="-","유지",IF($I5192="첫 건","유지","확인 필요")))</f>
        <v/>
      </c>
    </row>
    <row r="5193" customFormat="false" ht="15" hidden="false" customHeight="true" outlineLevel="0" collapsed="false">
      <c r="A5193" s="11" t="str">
        <f aca="false">IF(원본명단!$A5192="","",5190)</f>
        <v/>
      </c>
      <c r="B5193" s="12" t="str">
        <f aca="false">IF($A5193="","",원본명단!$A5192)</f>
        <v/>
      </c>
      <c r="C5193" s="12" t="str">
        <f aca="false">IF($A5193="","",원본명단!$B5192)</f>
        <v/>
      </c>
      <c r="D5193" s="12" t="str">
        <f aca="false">IF($A5193="","",원본명단!$D5192)</f>
        <v/>
      </c>
      <c r="E5193" s="11" t="str">
        <f aca="false">IF($A5193="","",IF(원본명단!$H5192="",0,COUNTIF(원본명단!$H$3:$H$6002,원본명단!$H5192)))</f>
        <v/>
      </c>
      <c r="F5193" s="11" t="str">
        <f aca="false">IF($A5193="","",IF(원본명단!$I5192="",0,COUNTIF(원본명단!$I$3:$I$6002,원본명단!$I5192)))</f>
        <v/>
      </c>
      <c r="G5193" s="11" t="str">
        <f aca="false">IF($A5193="","",IF(원본명단!$K5192="",0,COUNTIF(원본명단!$K$3:$K$6002,원본명단!$K5192)))</f>
        <v/>
      </c>
      <c r="H5193" s="11" t="str">
        <f aca="false">IF($A5193="","",IF(MAX($E5193,$F5193,$G5193)&gt;1,"중복","-"))</f>
        <v/>
      </c>
      <c r="I5193" s="11" t="str">
        <f aca="false">IF($A5193="","",IF($H5193="-","-",IF(AND(IF(원본명단!$H5192="",TRUE(),COUNTIF(원본명단!$H$3:$H5192,원본명단!$H5192)=1),IF(원본명단!$I5192="",TRUE(),COUNTIF(원본명단!$I$3:$I5192,원본명단!$I5192)=1),IF(원본명단!$K5192="",TRUE(),COUNTIF(원본명단!$K$3:$K5192,원본명단!$K5192)=1)),"첫 건","중복 건")))</f>
        <v/>
      </c>
      <c r="J5193" s="11" t="str">
        <f aca="false">IF($A5193="","",IF($H5193="-","유지",IF($I5193="첫 건","유지","확인 필요")))</f>
        <v/>
      </c>
    </row>
    <row r="5194" customFormat="false" ht="15" hidden="false" customHeight="true" outlineLevel="0" collapsed="false">
      <c r="A5194" s="11" t="str">
        <f aca="false">IF(원본명단!$A5193="","",5191)</f>
        <v/>
      </c>
      <c r="B5194" s="12" t="str">
        <f aca="false">IF($A5194="","",원본명단!$A5193)</f>
        <v/>
      </c>
      <c r="C5194" s="12" t="str">
        <f aca="false">IF($A5194="","",원본명단!$B5193)</f>
        <v/>
      </c>
      <c r="D5194" s="12" t="str">
        <f aca="false">IF($A5194="","",원본명단!$D5193)</f>
        <v/>
      </c>
      <c r="E5194" s="11" t="str">
        <f aca="false">IF($A5194="","",IF(원본명단!$H5193="",0,COUNTIF(원본명단!$H$3:$H$6002,원본명단!$H5193)))</f>
        <v/>
      </c>
      <c r="F5194" s="11" t="str">
        <f aca="false">IF($A5194="","",IF(원본명단!$I5193="",0,COUNTIF(원본명단!$I$3:$I$6002,원본명단!$I5193)))</f>
        <v/>
      </c>
      <c r="G5194" s="11" t="str">
        <f aca="false">IF($A5194="","",IF(원본명단!$K5193="",0,COUNTIF(원본명단!$K$3:$K$6002,원본명단!$K5193)))</f>
        <v/>
      </c>
      <c r="H5194" s="11" t="str">
        <f aca="false">IF($A5194="","",IF(MAX($E5194,$F5194,$G5194)&gt;1,"중복","-"))</f>
        <v/>
      </c>
      <c r="I5194" s="11" t="str">
        <f aca="false">IF($A5194="","",IF($H5194="-","-",IF(AND(IF(원본명단!$H5193="",TRUE(),COUNTIF(원본명단!$H$3:$H5193,원본명단!$H5193)=1),IF(원본명단!$I5193="",TRUE(),COUNTIF(원본명단!$I$3:$I5193,원본명단!$I5193)=1),IF(원본명단!$K5193="",TRUE(),COUNTIF(원본명단!$K$3:$K5193,원본명단!$K5193)=1)),"첫 건","중복 건")))</f>
        <v/>
      </c>
      <c r="J5194" s="11" t="str">
        <f aca="false">IF($A5194="","",IF($H5194="-","유지",IF($I5194="첫 건","유지","확인 필요")))</f>
        <v/>
      </c>
    </row>
    <row r="5195" customFormat="false" ht="15" hidden="false" customHeight="true" outlineLevel="0" collapsed="false">
      <c r="A5195" s="11" t="str">
        <f aca="false">IF(원본명단!$A5194="","",5192)</f>
        <v/>
      </c>
      <c r="B5195" s="12" t="str">
        <f aca="false">IF($A5195="","",원본명단!$A5194)</f>
        <v/>
      </c>
      <c r="C5195" s="12" t="str">
        <f aca="false">IF($A5195="","",원본명단!$B5194)</f>
        <v/>
      </c>
      <c r="D5195" s="12" t="str">
        <f aca="false">IF($A5195="","",원본명단!$D5194)</f>
        <v/>
      </c>
      <c r="E5195" s="11" t="str">
        <f aca="false">IF($A5195="","",IF(원본명단!$H5194="",0,COUNTIF(원본명단!$H$3:$H$6002,원본명단!$H5194)))</f>
        <v/>
      </c>
      <c r="F5195" s="11" t="str">
        <f aca="false">IF($A5195="","",IF(원본명단!$I5194="",0,COUNTIF(원본명단!$I$3:$I$6002,원본명단!$I5194)))</f>
        <v/>
      </c>
      <c r="G5195" s="11" t="str">
        <f aca="false">IF($A5195="","",IF(원본명단!$K5194="",0,COUNTIF(원본명단!$K$3:$K$6002,원본명단!$K5194)))</f>
        <v/>
      </c>
      <c r="H5195" s="11" t="str">
        <f aca="false">IF($A5195="","",IF(MAX($E5195,$F5195,$G5195)&gt;1,"중복","-"))</f>
        <v/>
      </c>
      <c r="I5195" s="11" t="str">
        <f aca="false">IF($A5195="","",IF($H5195="-","-",IF(AND(IF(원본명단!$H5194="",TRUE(),COUNTIF(원본명단!$H$3:$H5194,원본명단!$H5194)=1),IF(원본명단!$I5194="",TRUE(),COUNTIF(원본명단!$I$3:$I5194,원본명단!$I5194)=1),IF(원본명단!$K5194="",TRUE(),COUNTIF(원본명단!$K$3:$K5194,원본명단!$K5194)=1)),"첫 건","중복 건")))</f>
        <v/>
      </c>
      <c r="J5195" s="11" t="str">
        <f aca="false">IF($A5195="","",IF($H5195="-","유지",IF($I5195="첫 건","유지","확인 필요")))</f>
        <v/>
      </c>
    </row>
    <row r="5196" customFormat="false" ht="15" hidden="false" customHeight="true" outlineLevel="0" collapsed="false">
      <c r="A5196" s="11" t="str">
        <f aca="false">IF(원본명단!$A5195="","",5193)</f>
        <v/>
      </c>
      <c r="B5196" s="12" t="str">
        <f aca="false">IF($A5196="","",원본명단!$A5195)</f>
        <v/>
      </c>
      <c r="C5196" s="12" t="str">
        <f aca="false">IF($A5196="","",원본명단!$B5195)</f>
        <v/>
      </c>
      <c r="D5196" s="12" t="str">
        <f aca="false">IF($A5196="","",원본명단!$D5195)</f>
        <v/>
      </c>
      <c r="E5196" s="11" t="str">
        <f aca="false">IF($A5196="","",IF(원본명단!$H5195="",0,COUNTIF(원본명단!$H$3:$H$6002,원본명단!$H5195)))</f>
        <v/>
      </c>
      <c r="F5196" s="11" t="str">
        <f aca="false">IF($A5196="","",IF(원본명단!$I5195="",0,COUNTIF(원본명단!$I$3:$I$6002,원본명단!$I5195)))</f>
        <v/>
      </c>
      <c r="G5196" s="11" t="str">
        <f aca="false">IF($A5196="","",IF(원본명단!$K5195="",0,COUNTIF(원본명단!$K$3:$K$6002,원본명단!$K5195)))</f>
        <v/>
      </c>
      <c r="H5196" s="11" t="str">
        <f aca="false">IF($A5196="","",IF(MAX($E5196,$F5196,$G5196)&gt;1,"중복","-"))</f>
        <v/>
      </c>
      <c r="I5196" s="11" t="str">
        <f aca="false">IF($A5196="","",IF($H5196="-","-",IF(AND(IF(원본명단!$H5195="",TRUE(),COUNTIF(원본명단!$H$3:$H5195,원본명단!$H5195)=1),IF(원본명단!$I5195="",TRUE(),COUNTIF(원본명단!$I$3:$I5195,원본명단!$I5195)=1),IF(원본명단!$K5195="",TRUE(),COUNTIF(원본명단!$K$3:$K5195,원본명단!$K5195)=1)),"첫 건","중복 건")))</f>
        <v/>
      </c>
      <c r="J5196" s="11" t="str">
        <f aca="false">IF($A5196="","",IF($H5196="-","유지",IF($I5196="첫 건","유지","확인 필요")))</f>
        <v/>
      </c>
    </row>
    <row r="5197" customFormat="false" ht="15" hidden="false" customHeight="true" outlineLevel="0" collapsed="false">
      <c r="A5197" s="11" t="str">
        <f aca="false">IF(원본명단!$A5196="","",5194)</f>
        <v/>
      </c>
      <c r="B5197" s="12" t="str">
        <f aca="false">IF($A5197="","",원본명단!$A5196)</f>
        <v/>
      </c>
      <c r="C5197" s="12" t="str">
        <f aca="false">IF($A5197="","",원본명단!$B5196)</f>
        <v/>
      </c>
      <c r="D5197" s="12" t="str">
        <f aca="false">IF($A5197="","",원본명단!$D5196)</f>
        <v/>
      </c>
      <c r="E5197" s="11" t="str">
        <f aca="false">IF($A5197="","",IF(원본명단!$H5196="",0,COUNTIF(원본명단!$H$3:$H$6002,원본명단!$H5196)))</f>
        <v/>
      </c>
      <c r="F5197" s="11" t="str">
        <f aca="false">IF($A5197="","",IF(원본명단!$I5196="",0,COUNTIF(원본명단!$I$3:$I$6002,원본명단!$I5196)))</f>
        <v/>
      </c>
      <c r="G5197" s="11" t="str">
        <f aca="false">IF($A5197="","",IF(원본명단!$K5196="",0,COUNTIF(원본명단!$K$3:$K$6002,원본명단!$K5196)))</f>
        <v/>
      </c>
      <c r="H5197" s="11" t="str">
        <f aca="false">IF($A5197="","",IF(MAX($E5197,$F5197,$G5197)&gt;1,"중복","-"))</f>
        <v/>
      </c>
      <c r="I5197" s="11" t="str">
        <f aca="false">IF($A5197="","",IF($H5197="-","-",IF(AND(IF(원본명단!$H5196="",TRUE(),COUNTIF(원본명단!$H$3:$H5196,원본명단!$H5196)=1),IF(원본명단!$I5196="",TRUE(),COUNTIF(원본명단!$I$3:$I5196,원본명단!$I5196)=1),IF(원본명단!$K5196="",TRUE(),COUNTIF(원본명단!$K$3:$K5196,원본명단!$K5196)=1)),"첫 건","중복 건")))</f>
        <v/>
      </c>
      <c r="J5197" s="11" t="str">
        <f aca="false">IF($A5197="","",IF($H5197="-","유지",IF($I5197="첫 건","유지","확인 필요")))</f>
        <v/>
      </c>
    </row>
    <row r="5198" customFormat="false" ht="15" hidden="false" customHeight="true" outlineLevel="0" collapsed="false">
      <c r="A5198" s="11" t="str">
        <f aca="false">IF(원본명단!$A5197="","",5195)</f>
        <v/>
      </c>
      <c r="B5198" s="12" t="str">
        <f aca="false">IF($A5198="","",원본명단!$A5197)</f>
        <v/>
      </c>
      <c r="C5198" s="12" t="str">
        <f aca="false">IF($A5198="","",원본명단!$B5197)</f>
        <v/>
      </c>
      <c r="D5198" s="12" t="str">
        <f aca="false">IF($A5198="","",원본명단!$D5197)</f>
        <v/>
      </c>
      <c r="E5198" s="11" t="str">
        <f aca="false">IF($A5198="","",IF(원본명단!$H5197="",0,COUNTIF(원본명단!$H$3:$H$6002,원본명단!$H5197)))</f>
        <v/>
      </c>
      <c r="F5198" s="11" t="str">
        <f aca="false">IF($A5198="","",IF(원본명단!$I5197="",0,COUNTIF(원본명단!$I$3:$I$6002,원본명단!$I5197)))</f>
        <v/>
      </c>
      <c r="G5198" s="11" t="str">
        <f aca="false">IF($A5198="","",IF(원본명단!$K5197="",0,COUNTIF(원본명단!$K$3:$K$6002,원본명단!$K5197)))</f>
        <v/>
      </c>
      <c r="H5198" s="11" t="str">
        <f aca="false">IF($A5198="","",IF(MAX($E5198,$F5198,$G5198)&gt;1,"중복","-"))</f>
        <v/>
      </c>
      <c r="I5198" s="11" t="str">
        <f aca="false">IF($A5198="","",IF($H5198="-","-",IF(AND(IF(원본명단!$H5197="",TRUE(),COUNTIF(원본명단!$H$3:$H5197,원본명단!$H5197)=1),IF(원본명단!$I5197="",TRUE(),COUNTIF(원본명단!$I$3:$I5197,원본명단!$I5197)=1),IF(원본명단!$K5197="",TRUE(),COUNTIF(원본명단!$K$3:$K5197,원본명단!$K5197)=1)),"첫 건","중복 건")))</f>
        <v/>
      </c>
      <c r="J5198" s="11" t="str">
        <f aca="false">IF($A5198="","",IF($H5198="-","유지",IF($I5198="첫 건","유지","확인 필요")))</f>
        <v/>
      </c>
    </row>
    <row r="5199" customFormat="false" ht="15" hidden="false" customHeight="true" outlineLevel="0" collapsed="false">
      <c r="A5199" s="11" t="str">
        <f aca="false">IF(원본명단!$A5198="","",5196)</f>
        <v/>
      </c>
      <c r="B5199" s="12" t="str">
        <f aca="false">IF($A5199="","",원본명단!$A5198)</f>
        <v/>
      </c>
      <c r="C5199" s="12" t="str">
        <f aca="false">IF($A5199="","",원본명단!$B5198)</f>
        <v/>
      </c>
      <c r="D5199" s="12" t="str">
        <f aca="false">IF($A5199="","",원본명단!$D5198)</f>
        <v/>
      </c>
      <c r="E5199" s="11" t="str">
        <f aca="false">IF($A5199="","",IF(원본명단!$H5198="",0,COUNTIF(원본명단!$H$3:$H$6002,원본명단!$H5198)))</f>
        <v/>
      </c>
      <c r="F5199" s="11" t="str">
        <f aca="false">IF($A5199="","",IF(원본명단!$I5198="",0,COUNTIF(원본명단!$I$3:$I$6002,원본명단!$I5198)))</f>
        <v/>
      </c>
      <c r="G5199" s="11" t="str">
        <f aca="false">IF($A5199="","",IF(원본명단!$K5198="",0,COUNTIF(원본명단!$K$3:$K$6002,원본명단!$K5198)))</f>
        <v/>
      </c>
      <c r="H5199" s="11" t="str">
        <f aca="false">IF($A5199="","",IF(MAX($E5199,$F5199,$G5199)&gt;1,"중복","-"))</f>
        <v/>
      </c>
      <c r="I5199" s="11" t="str">
        <f aca="false">IF($A5199="","",IF($H5199="-","-",IF(AND(IF(원본명단!$H5198="",TRUE(),COUNTIF(원본명단!$H$3:$H5198,원본명단!$H5198)=1),IF(원본명단!$I5198="",TRUE(),COUNTIF(원본명단!$I$3:$I5198,원본명단!$I5198)=1),IF(원본명단!$K5198="",TRUE(),COUNTIF(원본명단!$K$3:$K5198,원본명단!$K5198)=1)),"첫 건","중복 건")))</f>
        <v/>
      </c>
      <c r="J5199" s="11" t="str">
        <f aca="false">IF($A5199="","",IF($H5199="-","유지",IF($I5199="첫 건","유지","확인 필요")))</f>
        <v/>
      </c>
    </row>
    <row r="5200" customFormat="false" ht="15" hidden="false" customHeight="true" outlineLevel="0" collapsed="false">
      <c r="A5200" s="11" t="str">
        <f aca="false">IF(원본명단!$A5199="","",5197)</f>
        <v/>
      </c>
      <c r="B5200" s="12" t="str">
        <f aca="false">IF($A5200="","",원본명단!$A5199)</f>
        <v/>
      </c>
      <c r="C5200" s="12" t="str">
        <f aca="false">IF($A5200="","",원본명단!$B5199)</f>
        <v/>
      </c>
      <c r="D5200" s="12" t="str">
        <f aca="false">IF($A5200="","",원본명단!$D5199)</f>
        <v/>
      </c>
      <c r="E5200" s="11" t="str">
        <f aca="false">IF($A5200="","",IF(원본명단!$H5199="",0,COUNTIF(원본명단!$H$3:$H$6002,원본명단!$H5199)))</f>
        <v/>
      </c>
      <c r="F5200" s="11" t="str">
        <f aca="false">IF($A5200="","",IF(원본명단!$I5199="",0,COUNTIF(원본명단!$I$3:$I$6002,원본명단!$I5199)))</f>
        <v/>
      </c>
      <c r="G5200" s="11" t="str">
        <f aca="false">IF($A5200="","",IF(원본명단!$K5199="",0,COUNTIF(원본명단!$K$3:$K$6002,원본명단!$K5199)))</f>
        <v/>
      </c>
      <c r="H5200" s="11" t="str">
        <f aca="false">IF($A5200="","",IF(MAX($E5200,$F5200,$G5200)&gt;1,"중복","-"))</f>
        <v/>
      </c>
      <c r="I5200" s="11" t="str">
        <f aca="false">IF($A5200="","",IF($H5200="-","-",IF(AND(IF(원본명단!$H5199="",TRUE(),COUNTIF(원본명단!$H$3:$H5199,원본명단!$H5199)=1),IF(원본명단!$I5199="",TRUE(),COUNTIF(원본명단!$I$3:$I5199,원본명단!$I5199)=1),IF(원본명단!$K5199="",TRUE(),COUNTIF(원본명단!$K$3:$K5199,원본명단!$K5199)=1)),"첫 건","중복 건")))</f>
        <v/>
      </c>
      <c r="J5200" s="11" t="str">
        <f aca="false">IF($A5200="","",IF($H5200="-","유지",IF($I5200="첫 건","유지","확인 필요")))</f>
        <v/>
      </c>
    </row>
    <row r="5201" customFormat="false" ht="15" hidden="false" customHeight="true" outlineLevel="0" collapsed="false">
      <c r="A5201" s="11" t="str">
        <f aca="false">IF(원본명단!$A5200="","",5198)</f>
        <v/>
      </c>
      <c r="B5201" s="12" t="str">
        <f aca="false">IF($A5201="","",원본명단!$A5200)</f>
        <v/>
      </c>
      <c r="C5201" s="12" t="str">
        <f aca="false">IF($A5201="","",원본명단!$B5200)</f>
        <v/>
      </c>
      <c r="D5201" s="12" t="str">
        <f aca="false">IF($A5201="","",원본명단!$D5200)</f>
        <v/>
      </c>
      <c r="E5201" s="11" t="str">
        <f aca="false">IF($A5201="","",IF(원본명단!$H5200="",0,COUNTIF(원본명단!$H$3:$H$6002,원본명단!$H5200)))</f>
        <v/>
      </c>
      <c r="F5201" s="11" t="str">
        <f aca="false">IF($A5201="","",IF(원본명단!$I5200="",0,COUNTIF(원본명단!$I$3:$I$6002,원본명단!$I5200)))</f>
        <v/>
      </c>
      <c r="G5201" s="11" t="str">
        <f aca="false">IF($A5201="","",IF(원본명단!$K5200="",0,COUNTIF(원본명단!$K$3:$K$6002,원본명단!$K5200)))</f>
        <v/>
      </c>
      <c r="H5201" s="11" t="str">
        <f aca="false">IF($A5201="","",IF(MAX($E5201,$F5201,$G5201)&gt;1,"중복","-"))</f>
        <v/>
      </c>
      <c r="I5201" s="11" t="str">
        <f aca="false">IF($A5201="","",IF($H5201="-","-",IF(AND(IF(원본명단!$H5200="",TRUE(),COUNTIF(원본명단!$H$3:$H5200,원본명단!$H5200)=1),IF(원본명단!$I5200="",TRUE(),COUNTIF(원본명단!$I$3:$I5200,원본명단!$I5200)=1),IF(원본명단!$K5200="",TRUE(),COUNTIF(원본명단!$K$3:$K5200,원본명단!$K5200)=1)),"첫 건","중복 건")))</f>
        <v/>
      </c>
      <c r="J5201" s="11" t="str">
        <f aca="false">IF($A5201="","",IF($H5201="-","유지",IF($I5201="첫 건","유지","확인 필요")))</f>
        <v/>
      </c>
    </row>
    <row r="5202" customFormat="false" ht="15" hidden="false" customHeight="true" outlineLevel="0" collapsed="false">
      <c r="A5202" s="11" t="str">
        <f aca="false">IF(원본명단!$A5201="","",5199)</f>
        <v/>
      </c>
      <c r="B5202" s="12" t="str">
        <f aca="false">IF($A5202="","",원본명단!$A5201)</f>
        <v/>
      </c>
      <c r="C5202" s="12" t="str">
        <f aca="false">IF($A5202="","",원본명단!$B5201)</f>
        <v/>
      </c>
      <c r="D5202" s="12" t="str">
        <f aca="false">IF($A5202="","",원본명단!$D5201)</f>
        <v/>
      </c>
      <c r="E5202" s="11" t="str">
        <f aca="false">IF($A5202="","",IF(원본명단!$H5201="",0,COUNTIF(원본명단!$H$3:$H$6002,원본명단!$H5201)))</f>
        <v/>
      </c>
      <c r="F5202" s="11" t="str">
        <f aca="false">IF($A5202="","",IF(원본명단!$I5201="",0,COUNTIF(원본명단!$I$3:$I$6002,원본명단!$I5201)))</f>
        <v/>
      </c>
      <c r="G5202" s="11" t="str">
        <f aca="false">IF($A5202="","",IF(원본명단!$K5201="",0,COUNTIF(원본명단!$K$3:$K$6002,원본명단!$K5201)))</f>
        <v/>
      </c>
      <c r="H5202" s="11" t="str">
        <f aca="false">IF($A5202="","",IF(MAX($E5202,$F5202,$G5202)&gt;1,"중복","-"))</f>
        <v/>
      </c>
      <c r="I5202" s="11" t="str">
        <f aca="false">IF($A5202="","",IF($H5202="-","-",IF(AND(IF(원본명단!$H5201="",TRUE(),COUNTIF(원본명단!$H$3:$H5201,원본명단!$H5201)=1),IF(원본명단!$I5201="",TRUE(),COUNTIF(원본명단!$I$3:$I5201,원본명단!$I5201)=1),IF(원본명단!$K5201="",TRUE(),COUNTIF(원본명단!$K$3:$K5201,원본명단!$K5201)=1)),"첫 건","중복 건")))</f>
        <v/>
      </c>
      <c r="J5202" s="11" t="str">
        <f aca="false">IF($A5202="","",IF($H5202="-","유지",IF($I5202="첫 건","유지","확인 필요")))</f>
        <v/>
      </c>
    </row>
    <row r="5203" customFormat="false" ht="15" hidden="false" customHeight="true" outlineLevel="0" collapsed="false">
      <c r="A5203" s="11" t="str">
        <f aca="false">IF(원본명단!$A5202="","",5200)</f>
        <v/>
      </c>
      <c r="B5203" s="12" t="str">
        <f aca="false">IF($A5203="","",원본명단!$A5202)</f>
        <v/>
      </c>
      <c r="C5203" s="12" t="str">
        <f aca="false">IF($A5203="","",원본명단!$B5202)</f>
        <v/>
      </c>
      <c r="D5203" s="12" t="str">
        <f aca="false">IF($A5203="","",원본명단!$D5202)</f>
        <v/>
      </c>
      <c r="E5203" s="11" t="str">
        <f aca="false">IF($A5203="","",IF(원본명단!$H5202="",0,COUNTIF(원본명단!$H$3:$H$6002,원본명단!$H5202)))</f>
        <v/>
      </c>
      <c r="F5203" s="11" t="str">
        <f aca="false">IF($A5203="","",IF(원본명단!$I5202="",0,COUNTIF(원본명단!$I$3:$I$6002,원본명단!$I5202)))</f>
        <v/>
      </c>
      <c r="G5203" s="11" t="str">
        <f aca="false">IF($A5203="","",IF(원본명단!$K5202="",0,COUNTIF(원본명단!$K$3:$K$6002,원본명단!$K5202)))</f>
        <v/>
      </c>
      <c r="H5203" s="11" t="str">
        <f aca="false">IF($A5203="","",IF(MAX($E5203,$F5203,$G5203)&gt;1,"중복","-"))</f>
        <v/>
      </c>
      <c r="I5203" s="11" t="str">
        <f aca="false">IF($A5203="","",IF($H5203="-","-",IF(AND(IF(원본명단!$H5202="",TRUE(),COUNTIF(원본명단!$H$3:$H5202,원본명단!$H5202)=1),IF(원본명단!$I5202="",TRUE(),COUNTIF(원본명단!$I$3:$I5202,원본명단!$I5202)=1),IF(원본명단!$K5202="",TRUE(),COUNTIF(원본명단!$K$3:$K5202,원본명단!$K5202)=1)),"첫 건","중복 건")))</f>
        <v/>
      </c>
      <c r="J5203" s="11" t="str">
        <f aca="false">IF($A5203="","",IF($H5203="-","유지",IF($I5203="첫 건","유지","확인 필요")))</f>
        <v/>
      </c>
    </row>
    <row r="5204" customFormat="false" ht="15" hidden="false" customHeight="true" outlineLevel="0" collapsed="false">
      <c r="A5204" s="11" t="str">
        <f aca="false">IF(원본명단!$A5203="","",5201)</f>
        <v/>
      </c>
      <c r="B5204" s="12" t="str">
        <f aca="false">IF($A5204="","",원본명단!$A5203)</f>
        <v/>
      </c>
      <c r="C5204" s="12" t="str">
        <f aca="false">IF($A5204="","",원본명단!$B5203)</f>
        <v/>
      </c>
      <c r="D5204" s="12" t="str">
        <f aca="false">IF($A5204="","",원본명단!$D5203)</f>
        <v/>
      </c>
      <c r="E5204" s="11" t="str">
        <f aca="false">IF($A5204="","",IF(원본명단!$H5203="",0,COUNTIF(원본명단!$H$3:$H$6002,원본명단!$H5203)))</f>
        <v/>
      </c>
      <c r="F5204" s="11" t="str">
        <f aca="false">IF($A5204="","",IF(원본명단!$I5203="",0,COUNTIF(원본명단!$I$3:$I$6002,원본명단!$I5203)))</f>
        <v/>
      </c>
      <c r="G5204" s="11" t="str">
        <f aca="false">IF($A5204="","",IF(원본명단!$K5203="",0,COUNTIF(원본명단!$K$3:$K$6002,원본명단!$K5203)))</f>
        <v/>
      </c>
      <c r="H5204" s="11" t="str">
        <f aca="false">IF($A5204="","",IF(MAX($E5204,$F5204,$G5204)&gt;1,"중복","-"))</f>
        <v/>
      </c>
      <c r="I5204" s="11" t="str">
        <f aca="false">IF($A5204="","",IF($H5204="-","-",IF(AND(IF(원본명단!$H5203="",TRUE(),COUNTIF(원본명단!$H$3:$H5203,원본명단!$H5203)=1),IF(원본명단!$I5203="",TRUE(),COUNTIF(원본명단!$I$3:$I5203,원본명단!$I5203)=1),IF(원본명단!$K5203="",TRUE(),COUNTIF(원본명단!$K$3:$K5203,원본명단!$K5203)=1)),"첫 건","중복 건")))</f>
        <v/>
      </c>
      <c r="J5204" s="11" t="str">
        <f aca="false">IF($A5204="","",IF($H5204="-","유지",IF($I5204="첫 건","유지","확인 필요")))</f>
        <v/>
      </c>
    </row>
    <row r="5205" customFormat="false" ht="15" hidden="false" customHeight="true" outlineLevel="0" collapsed="false">
      <c r="A5205" s="11" t="str">
        <f aca="false">IF(원본명단!$A5204="","",5202)</f>
        <v/>
      </c>
      <c r="B5205" s="12" t="str">
        <f aca="false">IF($A5205="","",원본명단!$A5204)</f>
        <v/>
      </c>
      <c r="C5205" s="12" t="str">
        <f aca="false">IF($A5205="","",원본명단!$B5204)</f>
        <v/>
      </c>
      <c r="D5205" s="12" t="str">
        <f aca="false">IF($A5205="","",원본명단!$D5204)</f>
        <v/>
      </c>
      <c r="E5205" s="11" t="str">
        <f aca="false">IF($A5205="","",IF(원본명단!$H5204="",0,COUNTIF(원본명단!$H$3:$H$6002,원본명단!$H5204)))</f>
        <v/>
      </c>
      <c r="F5205" s="11" t="str">
        <f aca="false">IF($A5205="","",IF(원본명단!$I5204="",0,COUNTIF(원본명단!$I$3:$I$6002,원본명단!$I5204)))</f>
        <v/>
      </c>
      <c r="G5205" s="11" t="str">
        <f aca="false">IF($A5205="","",IF(원본명단!$K5204="",0,COUNTIF(원본명단!$K$3:$K$6002,원본명단!$K5204)))</f>
        <v/>
      </c>
      <c r="H5205" s="11" t="str">
        <f aca="false">IF($A5205="","",IF(MAX($E5205,$F5205,$G5205)&gt;1,"중복","-"))</f>
        <v/>
      </c>
      <c r="I5205" s="11" t="str">
        <f aca="false">IF($A5205="","",IF($H5205="-","-",IF(AND(IF(원본명단!$H5204="",TRUE(),COUNTIF(원본명단!$H$3:$H5204,원본명단!$H5204)=1),IF(원본명단!$I5204="",TRUE(),COUNTIF(원본명단!$I$3:$I5204,원본명단!$I5204)=1),IF(원본명단!$K5204="",TRUE(),COUNTIF(원본명단!$K$3:$K5204,원본명단!$K5204)=1)),"첫 건","중복 건")))</f>
        <v/>
      </c>
      <c r="J5205" s="11" t="str">
        <f aca="false">IF($A5205="","",IF($H5205="-","유지",IF($I5205="첫 건","유지","확인 필요")))</f>
        <v/>
      </c>
    </row>
    <row r="5206" customFormat="false" ht="15" hidden="false" customHeight="true" outlineLevel="0" collapsed="false">
      <c r="A5206" s="11" t="str">
        <f aca="false">IF(원본명단!$A5205="","",5203)</f>
        <v/>
      </c>
      <c r="B5206" s="12" t="str">
        <f aca="false">IF($A5206="","",원본명단!$A5205)</f>
        <v/>
      </c>
      <c r="C5206" s="12" t="str">
        <f aca="false">IF($A5206="","",원본명단!$B5205)</f>
        <v/>
      </c>
      <c r="D5206" s="12" t="str">
        <f aca="false">IF($A5206="","",원본명단!$D5205)</f>
        <v/>
      </c>
      <c r="E5206" s="11" t="str">
        <f aca="false">IF($A5206="","",IF(원본명단!$H5205="",0,COUNTIF(원본명단!$H$3:$H$6002,원본명단!$H5205)))</f>
        <v/>
      </c>
      <c r="F5206" s="11" t="str">
        <f aca="false">IF($A5206="","",IF(원본명단!$I5205="",0,COUNTIF(원본명단!$I$3:$I$6002,원본명단!$I5205)))</f>
        <v/>
      </c>
      <c r="G5206" s="11" t="str">
        <f aca="false">IF($A5206="","",IF(원본명단!$K5205="",0,COUNTIF(원본명단!$K$3:$K$6002,원본명단!$K5205)))</f>
        <v/>
      </c>
      <c r="H5206" s="11" t="str">
        <f aca="false">IF($A5206="","",IF(MAX($E5206,$F5206,$G5206)&gt;1,"중복","-"))</f>
        <v/>
      </c>
      <c r="I5206" s="11" t="str">
        <f aca="false">IF($A5206="","",IF($H5206="-","-",IF(AND(IF(원본명단!$H5205="",TRUE(),COUNTIF(원본명단!$H$3:$H5205,원본명단!$H5205)=1),IF(원본명단!$I5205="",TRUE(),COUNTIF(원본명단!$I$3:$I5205,원본명단!$I5205)=1),IF(원본명단!$K5205="",TRUE(),COUNTIF(원본명단!$K$3:$K5205,원본명단!$K5205)=1)),"첫 건","중복 건")))</f>
        <v/>
      </c>
      <c r="J5206" s="11" t="str">
        <f aca="false">IF($A5206="","",IF($H5206="-","유지",IF($I5206="첫 건","유지","확인 필요")))</f>
        <v/>
      </c>
    </row>
    <row r="5207" customFormat="false" ht="15" hidden="false" customHeight="true" outlineLevel="0" collapsed="false">
      <c r="A5207" s="11" t="str">
        <f aca="false">IF(원본명단!$A5206="","",5204)</f>
        <v/>
      </c>
      <c r="B5207" s="12" t="str">
        <f aca="false">IF($A5207="","",원본명단!$A5206)</f>
        <v/>
      </c>
      <c r="C5207" s="12" t="str">
        <f aca="false">IF($A5207="","",원본명단!$B5206)</f>
        <v/>
      </c>
      <c r="D5207" s="12" t="str">
        <f aca="false">IF($A5207="","",원본명단!$D5206)</f>
        <v/>
      </c>
      <c r="E5207" s="11" t="str">
        <f aca="false">IF($A5207="","",IF(원본명단!$H5206="",0,COUNTIF(원본명단!$H$3:$H$6002,원본명단!$H5206)))</f>
        <v/>
      </c>
      <c r="F5207" s="11" t="str">
        <f aca="false">IF($A5207="","",IF(원본명단!$I5206="",0,COUNTIF(원본명단!$I$3:$I$6002,원본명단!$I5206)))</f>
        <v/>
      </c>
      <c r="G5207" s="11" t="str">
        <f aca="false">IF($A5207="","",IF(원본명단!$K5206="",0,COUNTIF(원본명단!$K$3:$K$6002,원본명단!$K5206)))</f>
        <v/>
      </c>
      <c r="H5207" s="11" t="str">
        <f aca="false">IF($A5207="","",IF(MAX($E5207,$F5207,$G5207)&gt;1,"중복","-"))</f>
        <v/>
      </c>
      <c r="I5207" s="11" t="str">
        <f aca="false">IF($A5207="","",IF($H5207="-","-",IF(AND(IF(원본명단!$H5206="",TRUE(),COUNTIF(원본명단!$H$3:$H5206,원본명단!$H5206)=1),IF(원본명단!$I5206="",TRUE(),COUNTIF(원본명단!$I$3:$I5206,원본명단!$I5206)=1),IF(원본명단!$K5206="",TRUE(),COUNTIF(원본명단!$K$3:$K5206,원본명단!$K5206)=1)),"첫 건","중복 건")))</f>
        <v/>
      </c>
      <c r="J5207" s="11" t="str">
        <f aca="false">IF($A5207="","",IF($H5207="-","유지",IF($I5207="첫 건","유지","확인 필요")))</f>
        <v/>
      </c>
    </row>
    <row r="5208" customFormat="false" ht="15" hidden="false" customHeight="true" outlineLevel="0" collapsed="false">
      <c r="A5208" s="11" t="str">
        <f aca="false">IF(원본명단!$A5207="","",5205)</f>
        <v/>
      </c>
      <c r="B5208" s="12" t="str">
        <f aca="false">IF($A5208="","",원본명단!$A5207)</f>
        <v/>
      </c>
      <c r="C5208" s="12" t="str">
        <f aca="false">IF($A5208="","",원본명단!$B5207)</f>
        <v/>
      </c>
      <c r="D5208" s="12" t="str">
        <f aca="false">IF($A5208="","",원본명단!$D5207)</f>
        <v/>
      </c>
      <c r="E5208" s="11" t="str">
        <f aca="false">IF($A5208="","",IF(원본명단!$H5207="",0,COUNTIF(원본명단!$H$3:$H$6002,원본명단!$H5207)))</f>
        <v/>
      </c>
      <c r="F5208" s="11" t="str">
        <f aca="false">IF($A5208="","",IF(원본명단!$I5207="",0,COUNTIF(원본명단!$I$3:$I$6002,원본명단!$I5207)))</f>
        <v/>
      </c>
      <c r="G5208" s="11" t="str">
        <f aca="false">IF($A5208="","",IF(원본명단!$K5207="",0,COUNTIF(원본명단!$K$3:$K$6002,원본명단!$K5207)))</f>
        <v/>
      </c>
      <c r="H5208" s="11" t="str">
        <f aca="false">IF($A5208="","",IF(MAX($E5208,$F5208,$G5208)&gt;1,"중복","-"))</f>
        <v/>
      </c>
      <c r="I5208" s="11" t="str">
        <f aca="false">IF($A5208="","",IF($H5208="-","-",IF(AND(IF(원본명단!$H5207="",TRUE(),COUNTIF(원본명단!$H$3:$H5207,원본명단!$H5207)=1),IF(원본명단!$I5207="",TRUE(),COUNTIF(원본명단!$I$3:$I5207,원본명단!$I5207)=1),IF(원본명단!$K5207="",TRUE(),COUNTIF(원본명단!$K$3:$K5207,원본명단!$K5207)=1)),"첫 건","중복 건")))</f>
        <v/>
      </c>
      <c r="J5208" s="11" t="str">
        <f aca="false">IF($A5208="","",IF($H5208="-","유지",IF($I5208="첫 건","유지","확인 필요")))</f>
        <v/>
      </c>
    </row>
    <row r="5209" customFormat="false" ht="15" hidden="false" customHeight="true" outlineLevel="0" collapsed="false">
      <c r="A5209" s="11" t="str">
        <f aca="false">IF(원본명단!$A5208="","",5206)</f>
        <v/>
      </c>
      <c r="B5209" s="12" t="str">
        <f aca="false">IF($A5209="","",원본명단!$A5208)</f>
        <v/>
      </c>
      <c r="C5209" s="12" t="str">
        <f aca="false">IF($A5209="","",원본명단!$B5208)</f>
        <v/>
      </c>
      <c r="D5209" s="12" t="str">
        <f aca="false">IF($A5209="","",원본명단!$D5208)</f>
        <v/>
      </c>
      <c r="E5209" s="11" t="str">
        <f aca="false">IF($A5209="","",IF(원본명단!$H5208="",0,COUNTIF(원본명단!$H$3:$H$6002,원본명단!$H5208)))</f>
        <v/>
      </c>
      <c r="F5209" s="11" t="str">
        <f aca="false">IF($A5209="","",IF(원본명단!$I5208="",0,COUNTIF(원본명단!$I$3:$I$6002,원본명단!$I5208)))</f>
        <v/>
      </c>
      <c r="G5209" s="11" t="str">
        <f aca="false">IF($A5209="","",IF(원본명단!$K5208="",0,COUNTIF(원본명단!$K$3:$K$6002,원본명단!$K5208)))</f>
        <v/>
      </c>
      <c r="H5209" s="11" t="str">
        <f aca="false">IF($A5209="","",IF(MAX($E5209,$F5209,$G5209)&gt;1,"중복","-"))</f>
        <v/>
      </c>
      <c r="I5209" s="11" t="str">
        <f aca="false">IF($A5209="","",IF($H5209="-","-",IF(AND(IF(원본명단!$H5208="",TRUE(),COUNTIF(원본명단!$H$3:$H5208,원본명단!$H5208)=1),IF(원본명단!$I5208="",TRUE(),COUNTIF(원본명단!$I$3:$I5208,원본명단!$I5208)=1),IF(원본명단!$K5208="",TRUE(),COUNTIF(원본명단!$K$3:$K5208,원본명단!$K5208)=1)),"첫 건","중복 건")))</f>
        <v/>
      </c>
      <c r="J5209" s="11" t="str">
        <f aca="false">IF($A5209="","",IF($H5209="-","유지",IF($I5209="첫 건","유지","확인 필요")))</f>
        <v/>
      </c>
    </row>
    <row r="5210" customFormat="false" ht="15" hidden="false" customHeight="true" outlineLevel="0" collapsed="false">
      <c r="A5210" s="11" t="str">
        <f aca="false">IF(원본명단!$A5209="","",5207)</f>
        <v/>
      </c>
      <c r="B5210" s="12" t="str">
        <f aca="false">IF($A5210="","",원본명단!$A5209)</f>
        <v/>
      </c>
      <c r="C5210" s="12" t="str">
        <f aca="false">IF($A5210="","",원본명단!$B5209)</f>
        <v/>
      </c>
      <c r="D5210" s="12" t="str">
        <f aca="false">IF($A5210="","",원본명단!$D5209)</f>
        <v/>
      </c>
      <c r="E5210" s="11" t="str">
        <f aca="false">IF($A5210="","",IF(원본명단!$H5209="",0,COUNTIF(원본명단!$H$3:$H$6002,원본명단!$H5209)))</f>
        <v/>
      </c>
      <c r="F5210" s="11" t="str">
        <f aca="false">IF($A5210="","",IF(원본명단!$I5209="",0,COUNTIF(원본명단!$I$3:$I$6002,원본명단!$I5209)))</f>
        <v/>
      </c>
      <c r="G5210" s="11" t="str">
        <f aca="false">IF($A5210="","",IF(원본명단!$K5209="",0,COUNTIF(원본명단!$K$3:$K$6002,원본명단!$K5209)))</f>
        <v/>
      </c>
      <c r="H5210" s="11" t="str">
        <f aca="false">IF($A5210="","",IF(MAX($E5210,$F5210,$G5210)&gt;1,"중복","-"))</f>
        <v/>
      </c>
      <c r="I5210" s="11" t="str">
        <f aca="false">IF($A5210="","",IF($H5210="-","-",IF(AND(IF(원본명단!$H5209="",TRUE(),COUNTIF(원본명단!$H$3:$H5209,원본명단!$H5209)=1),IF(원본명단!$I5209="",TRUE(),COUNTIF(원본명단!$I$3:$I5209,원본명단!$I5209)=1),IF(원본명단!$K5209="",TRUE(),COUNTIF(원본명단!$K$3:$K5209,원본명단!$K5209)=1)),"첫 건","중복 건")))</f>
        <v/>
      </c>
      <c r="J5210" s="11" t="str">
        <f aca="false">IF($A5210="","",IF($H5210="-","유지",IF($I5210="첫 건","유지","확인 필요")))</f>
        <v/>
      </c>
    </row>
    <row r="5211" customFormat="false" ht="15" hidden="false" customHeight="true" outlineLevel="0" collapsed="false">
      <c r="A5211" s="11" t="str">
        <f aca="false">IF(원본명단!$A5210="","",5208)</f>
        <v/>
      </c>
      <c r="B5211" s="12" t="str">
        <f aca="false">IF($A5211="","",원본명단!$A5210)</f>
        <v/>
      </c>
      <c r="C5211" s="12" t="str">
        <f aca="false">IF($A5211="","",원본명단!$B5210)</f>
        <v/>
      </c>
      <c r="D5211" s="12" t="str">
        <f aca="false">IF($A5211="","",원본명단!$D5210)</f>
        <v/>
      </c>
      <c r="E5211" s="11" t="str">
        <f aca="false">IF($A5211="","",IF(원본명단!$H5210="",0,COUNTIF(원본명단!$H$3:$H$6002,원본명단!$H5210)))</f>
        <v/>
      </c>
      <c r="F5211" s="11" t="str">
        <f aca="false">IF($A5211="","",IF(원본명단!$I5210="",0,COUNTIF(원본명단!$I$3:$I$6002,원본명단!$I5210)))</f>
        <v/>
      </c>
      <c r="G5211" s="11" t="str">
        <f aca="false">IF($A5211="","",IF(원본명단!$K5210="",0,COUNTIF(원본명단!$K$3:$K$6002,원본명단!$K5210)))</f>
        <v/>
      </c>
      <c r="H5211" s="11" t="str">
        <f aca="false">IF($A5211="","",IF(MAX($E5211,$F5211,$G5211)&gt;1,"중복","-"))</f>
        <v/>
      </c>
      <c r="I5211" s="11" t="str">
        <f aca="false">IF($A5211="","",IF($H5211="-","-",IF(AND(IF(원본명단!$H5210="",TRUE(),COUNTIF(원본명단!$H$3:$H5210,원본명단!$H5210)=1),IF(원본명단!$I5210="",TRUE(),COUNTIF(원본명단!$I$3:$I5210,원본명단!$I5210)=1),IF(원본명단!$K5210="",TRUE(),COUNTIF(원본명단!$K$3:$K5210,원본명단!$K5210)=1)),"첫 건","중복 건")))</f>
        <v/>
      </c>
      <c r="J5211" s="11" t="str">
        <f aca="false">IF($A5211="","",IF($H5211="-","유지",IF($I5211="첫 건","유지","확인 필요")))</f>
        <v/>
      </c>
    </row>
    <row r="5212" customFormat="false" ht="15" hidden="false" customHeight="true" outlineLevel="0" collapsed="false">
      <c r="A5212" s="11" t="str">
        <f aca="false">IF(원본명단!$A5211="","",5209)</f>
        <v/>
      </c>
      <c r="B5212" s="12" t="str">
        <f aca="false">IF($A5212="","",원본명단!$A5211)</f>
        <v/>
      </c>
      <c r="C5212" s="12" t="str">
        <f aca="false">IF($A5212="","",원본명단!$B5211)</f>
        <v/>
      </c>
      <c r="D5212" s="12" t="str">
        <f aca="false">IF($A5212="","",원본명단!$D5211)</f>
        <v/>
      </c>
      <c r="E5212" s="11" t="str">
        <f aca="false">IF($A5212="","",IF(원본명단!$H5211="",0,COUNTIF(원본명단!$H$3:$H$6002,원본명단!$H5211)))</f>
        <v/>
      </c>
      <c r="F5212" s="11" t="str">
        <f aca="false">IF($A5212="","",IF(원본명단!$I5211="",0,COUNTIF(원본명단!$I$3:$I$6002,원본명단!$I5211)))</f>
        <v/>
      </c>
      <c r="G5212" s="11" t="str">
        <f aca="false">IF($A5212="","",IF(원본명단!$K5211="",0,COUNTIF(원본명단!$K$3:$K$6002,원본명단!$K5211)))</f>
        <v/>
      </c>
      <c r="H5212" s="11" t="str">
        <f aca="false">IF($A5212="","",IF(MAX($E5212,$F5212,$G5212)&gt;1,"중복","-"))</f>
        <v/>
      </c>
      <c r="I5212" s="11" t="str">
        <f aca="false">IF($A5212="","",IF($H5212="-","-",IF(AND(IF(원본명단!$H5211="",TRUE(),COUNTIF(원본명단!$H$3:$H5211,원본명단!$H5211)=1),IF(원본명단!$I5211="",TRUE(),COUNTIF(원본명단!$I$3:$I5211,원본명단!$I5211)=1),IF(원본명단!$K5211="",TRUE(),COUNTIF(원본명단!$K$3:$K5211,원본명단!$K5211)=1)),"첫 건","중복 건")))</f>
        <v/>
      </c>
      <c r="J5212" s="11" t="str">
        <f aca="false">IF($A5212="","",IF($H5212="-","유지",IF($I5212="첫 건","유지","확인 필요")))</f>
        <v/>
      </c>
    </row>
    <row r="5213" customFormat="false" ht="15" hidden="false" customHeight="true" outlineLevel="0" collapsed="false">
      <c r="A5213" s="11" t="str">
        <f aca="false">IF(원본명단!$A5212="","",5210)</f>
        <v/>
      </c>
      <c r="B5213" s="12" t="str">
        <f aca="false">IF($A5213="","",원본명단!$A5212)</f>
        <v/>
      </c>
      <c r="C5213" s="12" t="str">
        <f aca="false">IF($A5213="","",원본명단!$B5212)</f>
        <v/>
      </c>
      <c r="D5213" s="12" t="str">
        <f aca="false">IF($A5213="","",원본명단!$D5212)</f>
        <v/>
      </c>
      <c r="E5213" s="11" t="str">
        <f aca="false">IF($A5213="","",IF(원본명단!$H5212="",0,COUNTIF(원본명단!$H$3:$H$6002,원본명단!$H5212)))</f>
        <v/>
      </c>
      <c r="F5213" s="11" t="str">
        <f aca="false">IF($A5213="","",IF(원본명단!$I5212="",0,COUNTIF(원본명단!$I$3:$I$6002,원본명단!$I5212)))</f>
        <v/>
      </c>
      <c r="G5213" s="11" t="str">
        <f aca="false">IF($A5213="","",IF(원본명단!$K5212="",0,COUNTIF(원본명단!$K$3:$K$6002,원본명단!$K5212)))</f>
        <v/>
      </c>
      <c r="H5213" s="11" t="str">
        <f aca="false">IF($A5213="","",IF(MAX($E5213,$F5213,$G5213)&gt;1,"중복","-"))</f>
        <v/>
      </c>
      <c r="I5213" s="11" t="str">
        <f aca="false">IF($A5213="","",IF($H5213="-","-",IF(AND(IF(원본명단!$H5212="",TRUE(),COUNTIF(원본명단!$H$3:$H5212,원본명단!$H5212)=1),IF(원본명단!$I5212="",TRUE(),COUNTIF(원본명단!$I$3:$I5212,원본명단!$I5212)=1),IF(원본명단!$K5212="",TRUE(),COUNTIF(원본명단!$K$3:$K5212,원본명단!$K5212)=1)),"첫 건","중복 건")))</f>
        <v/>
      </c>
      <c r="J5213" s="11" t="str">
        <f aca="false">IF($A5213="","",IF($H5213="-","유지",IF($I5213="첫 건","유지","확인 필요")))</f>
        <v/>
      </c>
    </row>
    <row r="5214" customFormat="false" ht="15" hidden="false" customHeight="true" outlineLevel="0" collapsed="false">
      <c r="A5214" s="11" t="str">
        <f aca="false">IF(원본명단!$A5213="","",5211)</f>
        <v/>
      </c>
      <c r="B5214" s="12" t="str">
        <f aca="false">IF($A5214="","",원본명단!$A5213)</f>
        <v/>
      </c>
      <c r="C5214" s="12" t="str">
        <f aca="false">IF($A5214="","",원본명단!$B5213)</f>
        <v/>
      </c>
      <c r="D5214" s="12" t="str">
        <f aca="false">IF($A5214="","",원본명단!$D5213)</f>
        <v/>
      </c>
      <c r="E5214" s="11" t="str">
        <f aca="false">IF($A5214="","",IF(원본명단!$H5213="",0,COUNTIF(원본명단!$H$3:$H$6002,원본명단!$H5213)))</f>
        <v/>
      </c>
      <c r="F5214" s="11" t="str">
        <f aca="false">IF($A5214="","",IF(원본명단!$I5213="",0,COUNTIF(원본명단!$I$3:$I$6002,원본명단!$I5213)))</f>
        <v/>
      </c>
      <c r="G5214" s="11" t="str">
        <f aca="false">IF($A5214="","",IF(원본명단!$K5213="",0,COUNTIF(원본명단!$K$3:$K$6002,원본명단!$K5213)))</f>
        <v/>
      </c>
      <c r="H5214" s="11" t="str">
        <f aca="false">IF($A5214="","",IF(MAX($E5214,$F5214,$G5214)&gt;1,"중복","-"))</f>
        <v/>
      </c>
      <c r="I5214" s="11" t="str">
        <f aca="false">IF($A5214="","",IF($H5214="-","-",IF(AND(IF(원본명단!$H5213="",TRUE(),COUNTIF(원본명단!$H$3:$H5213,원본명단!$H5213)=1),IF(원본명단!$I5213="",TRUE(),COUNTIF(원본명단!$I$3:$I5213,원본명단!$I5213)=1),IF(원본명단!$K5213="",TRUE(),COUNTIF(원본명단!$K$3:$K5213,원본명단!$K5213)=1)),"첫 건","중복 건")))</f>
        <v/>
      </c>
      <c r="J5214" s="11" t="str">
        <f aca="false">IF($A5214="","",IF($H5214="-","유지",IF($I5214="첫 건","유지","확인 필요")))</f>
        <v/>
      </c>
    </row>
    <row r="5215" customFormat="false" ht="15" hidden="false" customHeight="true" outlineLevel="0" collapsed="false">
      <c r="A5215" s="11" t="str">
        <f aca="false">IF(원본명단!$A5214="","",5212)</f>
        <v/>
      </c>
      <c r="B5215" s="12" t="str">
        <f aca="false">IF($A5215="","",원본명단!$A5214)</f>
        <v/>
      </c>
      <c r="C5215" s="12" t="str">
        <f aca="false">IF($A5215="","",원본명단!$B5214)</f>
        <v/>
      </c>
      <c r="D5215" s="12" t="str">
        <f aca="false">IF($A5215="","",원본명단!$D5214)</f>
        <v/>
      </c>
      <c r="E5215" s="11" t="str">
        <f aca="false">IF($A5215="","",IF(원본명단!$H5214="",0,COUNTIF(원본명단!$H$3:$H$6002,원본명단!$H5214)))</f>
        <v/>
      </c>
      <c r="F5215" s="11" t="str">
        <f aca="false">IF($A5215="","",IF(원본명단!$I5214="",0,COUNTIF(원본명단!$I$3:$I$6002,원본명단!$I5214)))</f>
        <v/>
      </c>
      <c r="G5215" s="11" t="str">
        <f aca="false">IF($A5215="","",IF(원본명단!$K5214="",0,COUNTIF(원본명단!$K$3:$K$6002,원본명단!$K5214)))</f>
        <v/>
      </c>
      <c r="H5215" s="11" t="str">
        <f aca="false">IF($A5215="","",IF(MAX($E5215,$F5215,$G5215)&gt;1,"중복","-"))</f>
        <v/>
      </c>
      <c r="I5215" s="11" t="str">
        <f aca="false">IF($A5215="","",IF($H5215="-","-",IF(AND(IF(원본명단!$H5214="",TRUE(),COUNTIF(원본명단!$H$3:$H5214,원본명단!$H5214)=1),IF(원본명단!$I5214="",TRUE(),COUNTIF(원본명단!$I$3:$I5214,원본명단!$I5214)=1),IF(원본명단!$K5214="",TRUE(),COUNTIF(원본명단!$K$3:$K5214,원본명단!$K5214)=1)),"첫 건","중복 건")))</f>
        <v/>
      </c>
      <c r="J5215" s="11" t="str">
        <f aca="false">IF($A5215="","",IF($H5215="-","유지",IF($I5215="첫 건","유지","확인 필요")))</f>
        <v/>
      </c>
    </row>
    <row r="5216" customFormat="false" ht="15" hidden="false" customHeight="true" outlineLevel="0" collapsed="false">
      <c r="A5216" s="11" t="str">
        <f aca="false">IF(원본명단!$A5215="","",5213)</f>
        <v/>
      </c>
      <c r="B5216" s="12" t="str">
        <f aca="false">IF($A5216="","",원본명단!$A5215)</f>
        <v/>
      </c>
      <c r="C5216" s="12" t="str">
        <f aca="false">IF($A5216="","",원본명단!$B5215)</f>
        <v/>
      </c>
      <c r="D5216" s="12" t="str">
        <f aca="false">IF($A5216="","",원본명단!$D5215)</f>
        <v/>
      </c>
      <c r="E5216" s="11" t="str">
        <f aca="false">IF($A5216="","",IF(원본명단!$H5215="",0,COUNTIF(원본명단!$H$3:$H$6002,원본명단!$H5215)))</f>
        <v/>
      </c>
      <c r="F5216" s="11" t="str">
        <f aca="false">IF($A5216="","",IF(원본명단!$I5215="",0,COUNTIF(원본명단!$I$3:$I$6002,원본명단!$I5215)))</f>
        <v/>
      </c>
      <c r="G5216" s="11" t="str">
        <f aca="false">IF($A5216="","",IF(원본명단!$K5215="",0,COUNTIF(원본명단!$K$3:$K$6002,원본명단!$K5215)))</f>
        <v/>
      </c>
      <c r="H5216" s="11" t="str">
        <f aca="false">IF($A5216="","",IF(MAX($E5216,$F5216,$G5216)&gt;1,"중복","-"))</f>
        <v/>
      </c>
      <c r="I5216" s="11" t="str">
        <f aca="false">IF($A5216="","",IF($H5216="-","-",IF(AND(IF(원본명단!$H5215="",TRUE(),COUNTIF(원본명단!$H$3:$H5215,원본명단!$H5215)=1),IF(원본명단!$I5215="",TRUE(),COUNTIF(원본명단!$I$3:$I5215,원본명단!$I5215)=1),IF(원본명단!$K5215="",TRUE(),COUNTIF(원본명단!$K$3:$K5215,원본명단!$K5215)=1)),"첫 건","중복 건")))</f>
        <v/>
      </c>
      <c r="J5216" s="11" t="str">
        <f aca="false">IF($A5216="","",IF($H5216="-","유지",IF($I5216="첫 건","유지","확인 필요")))</f>
        <v/>
      </c>
    </row>
    <row r="5217" customFormat="false" ht="15" hidden="false" customHeight="true" outlineLevel="0" collapsed="false">
      <c r="A5217" s="11" t="str">
        <f aca="false">IF(원본명단!$A5216="","",5214)</f>
        <v/>
      </c>
      <c r="B5217" s="12" t="str">
        <f aca="false">IF($A5217="","",원본명단!$A5216)</f>
        <v/>
      </c>
      <c r="C5217" s="12" t="str">
        <f aca="false">IF($A5217="","",원본명단!$B5216)</f>
        <v/>
      </c>
      <c r="D5217" s="12" t="str">
        <f aca="false">IF($A5217="","",원본명단!$D5216)</f>
        <v/>
      </c>
      <c r="E5217" s="11" t="str">
        <f aca="false">IF($A5217="","",IF(원본명단!$H5216="",0,COUNTIF(원본명단!$H$3:$H$6002,원본명단!$H5216)))</f>
        <v/>
      </c>
      <c r="F5217" s="11" t="str">
        <f aca="false">IF($A5217="","",IF(원본명단!$I5216="",0,COUNTIF(원본명단!$I$3:$I$6002,원본명단!$I5216)))</f>
        <v/>
      </c>
      <c r="G5217" s="11" t="str">
        <f aca="false">IF($A5217="","",IF(원본명단!$K5216="",0,COUNTIF(원본명단!$K$3:$K$6002,원본명단!$K5216)))</f>
        <v/>
      </c>
      <c r="H5217" s="11" t="str">
        <f aca="false">IF($A5217="","",IF(MAX($E5217,$F5217,$G5217)&gt;1,"중복","-"))</f>
        <v/>
      </c>
      <c r="I5217" s="11" t="str">
        <f aca="false">IF($A5217="","",IF($H5217="-","-",IF(AND(IF(원본명단!$H5216="",TRUE(),COUNTIF(원본명단!$H$3:$H5216,원본명단!$H5216)=1),IF(원본명단!$I5216="",TRUE(),COUNTIF(원본명단!$I$3:$I5216,원본명단!$I5216)=1),IF(원본명단!$K5216="",TRUE(),COUNTIF(원본명단!$K$3:$K5216,원본명단!$K5216)=1)),"첫 건","중복 건")))</f>
        <v/>
      </c>
      <c r="J5217" s="11" t="str">
        <f aca="false">IF($A5217="","",IF($H5217="-","유지",IF($I5217="첫 건","유지","확인 필요")))</f>
        <v/>
      </c>
    </row>
    <row r="5218" customFormat="false" ht="15" hidden="false" customHeight="true" outlineLevel="0" collapsed="false">
      <c r="A5218" s="11" t="str">
        <f aca="false">IF(원본명단!$A5217="","",5215)</f>
        <v/>
      </c>
      <c r="B5218" s="12" t="str">
        <f aca="false">IF($A5218="","",원본명단!$A5217)</f>
        <v/>
      </c>
      <c r="C5218" s="12" t="str">
        <f aca="false">IF($A5218="","",원본명단!$B5217)</f>
        <v/>
      </c>
      <c r="D5218" s="12" t="str">
        <f aca="false">IF($A5218="","",원본명단!$D5217)</f>
        <v/>
      </c>
      <c r="E5218" s="11" t="str">
        <f aca="false">IF($A5218="","",IF(원본명단!$H5217="",0,COUNTIF(원본명단!$H$3:$H$6002,원본명단!$H5217)))</f>
        <v/>
      </c>
      <c r="F5218" s="11" t="str">
        <f aca="false">IF($A5218="","",IF(원본명단!$I5217="",0,COUNTIF(원본명단!$I$3:$I$6002,원본명단!$I5217)))</f>
        <v/>
      </c>
      <c r="G5218" s="11" t="str">
        <f aca="false">IF($A5218="","",IF(원본명단!$K5217="",0,COUNTIF(원본명단!$K$3:$K$6002,원본명단!$K5217)))</f>
        <v/>
      </c>
      <c r="H5218" s="11" t="str">
        <f aca="false">IF($A5218="","",IF(MAX($E5218,$F5218,$G5218)&gt;1,"중복","-"))</f>
        <v/>
      </c>
      <c r="I5218" s="11" t="str">
        <f aca="false">IF($A5218="","",IF($H5218="-","-",IF(AND(IF(원본명단!$H5217="",TRUE(),COUNTIF(원본명단!$H$3:$H5217,원본명단!$H5217)=1),IF(원본명단!$I5217="",TRUE(),COUNTIF(원본명단!$I$3:$I5217,원본명단!$I5217)=1),IF(원본명단!$K5217="",TRUE(),COUNTIF(원본명단!$K$3:$K5217,원본명단!$K5217)=1)),"첫 건","중복 건")))</f>
        <v/>
      </c>
      <c r="J5218" s="11" t="str">
        <f aca="false">IF($A5218="","",IF($H5218="-","유지",IF($I5218="첫 건","유지","확인 필요")))</f>
        <v/>
      </c>
    </row>
    <row r="5219" customFormat="false" ht="15" hidden="false" customHeight="true" outlineLevel="0" collapsed="false">
      <c r="A5219" s="11" t="str">
        <f aca="false">IF(원본명단!$A5218="","",5216)</f>
        <v/>
      </c>
      <c r="B5219" s="12" t="str">
        <f aca="false">IF($A5219="","",원본명단!$A5218)</f>
        <v/>
      </c>
      <c r="C5219" s="12" t="str">
        <f aca="false">IF($A5219="","",원본명단!$B5218)</f>
        <v/>
      </c>
      <c r="D5219" s="12" t="str">
        <f aca="false">IF($A5219="","",원본명단!$D5218)</f>
        <v/>
      </c>
      <c r="E5219" s="11" t="str">
        <f aca="false">IF($A5219="","",IF(원본명단!$H5218="",0,COUNTIF(원본명단!$H$3:$H$6002,원본명단!$H5218)))</f>
        <v/>
      </c>
      <c r="F5219" s="11" t="str">
        <f aca="false">IF($A5219="","",IF(원본명단!$I5218="",0,COUNTIF(원본명단!$I$3:$I$6002,원본명단!$I5218)))</f>
        <v/>
      </c>
      <c r="G5219" s="11" t="str">
        <f aca="false">IF($A5219="","",IF(원본명단!$K5218="",0,COUNTIF(원본명단!$K$3:$K$6002,원본명단!$K5218)))</f>
        <v/>
      </c>
      <c r="H5219" s="11" t="str">
        <f aca="false">IF($A5219="","",IF(MAX($E5219,$F5219,$G5219)&gt;1,"중복","-"))</f>
        <v/>
      </c>
      <c r="I5219" s="11" t="str">
        <f aca="false">IF($A5219="","",IF($H5219="-","-",IF(AND(IF(원본명단!$H5218="",TRUE(),COUNTIF(원본명단!$H$3:$H5218,원본명단!$H5218)=1),IF(원본명단!$I5218="",TRUE(),COUNTIF(원본명단!$I$3:$I5218,원본명단!$I5218)=1),IF(원본명단!$K5218="",TRUE(),COUNTIF(원본명단!$K$3:$K5218,원본명단!$K5218)=1)),"첫 건","중복 건")))</f>
        <v/>
      </c>
      <c r="J5219" s="11" t="str">
        <f aca="false">IF($A5219="","",IF($H5219="-","유지",IF($I5219="첫 건","유지","확인 필요")))</f>
        <v/>
      </c>
    </row>
    <row r="5220" customFormat="false" ht="15" hidden="false" customHeight="true" outlineLevel="0" collapsed="false">
      <c r="A5220" s="11" t="str">
        <f aca="false">IF(원본명단!$A5219="","",5217)</f>
        <v/>
      </c>
      <c r="B5220" s="12" t="str">
        <f aca="false">IF($A5220="","",원본명단!$A5219)</f>
        <v/>
      </c>
      <c r="C5220" s="12" t="str">
        <f aca="false">IF($A5220="","",원본명단!$B5219)</f>
        <v/>
      </c>
      <c r="D5220" s="12" t="str">
        <f aca="false">IF($A5220="","",원본명단!$D5219)</f>
        <v/>
      </c>
      <c r="E5220" s="11" t="str">
        <f aca="false">IF($A5220="","",IF(원본명단!$H5219="",0,COUNTIF(원본명단!$H$3:$H$6002,원본명단!$H5219)))</f>
        <v/>
      </c>
      <c r="F5220" s="11" t="str">
        <f aca="false">IF($A5220="","",IF(원본명단!$I5219="",0,COUNTIF(원본명단!$I$3:$I$6002,원본명단!$I5219)))</f>
        <v/>
      </c>
      <c r="G5220" s="11" t="str">
        <f aca="false">IF($A5220="","",IF(원본명단!$K5219="",0,COUNTIF(원본명단!$K$3:$K$6002,원본명단!$K5219)))</f>
        <v/>
      </c>
      <c r="H5220" s="11" t="str">
        <f aca="false">IF($A5220="","",IF(MAX($E5220,$F5220,$G5220)&gt;1,"중복","-"))</f>
        <v/>
      </c>
      <c r="I5220" s="11" t="str">
        <f aca="false">IF($A5220="","",IF($H5220="-","-",IF(AND(IF(원본명단!$H5219="",TRUE(),COUNTIF(원본명단!$H$3:$H5219,원본명단!$H5219)=1),IF(원본명단!$I5219="",TRUE(),COUNTIF(원본명단!$I$3:$I5219,원본명단!$I5219)=1),IF(원본명단!$K5219="",TRUE(),COUNTIF(원본명단!$K$3:$K5219,원본명단!$K5219)=1)),"첫 건","중복 건")))</f>
        <v/>
      </c>
      <c r="J5220" s="11" t="str">
        <f aca="false">IF($A5220="","",IF($H5220="-","유지",IF($I5220="첫 건","유지","확인 필요")))</f>
        <v/>
      </c>
    </row>
    <row r="5221" customFormat="false" ht="15" hidden="false" customHeight="true" outlineLevel="0" collapsed="false">
      <c r="A5221" s="11" t="str">
        <f aca="false">IF(원본명단!$A5220="","",5218)</f>
        <v/>
      </c>
      <c r="B5221" s="12" t="str">
        <f aca="false">IF($A5221="","",원본명단!$A5220)</f>
        <v/>
      </c>
      <c r="C5221" s="12" t="str">
        <f aca="false">IF($A5221="","",원본명단!$B5220)</f>
        <v/>
      </c>
      <c r="D5221" s="12" t="str">
        <f aca="false">IF($A5221="","",원본명단!$D5220)</f>
        <v/>
      </c>
      <c r="E5221" s="11" t="str">
        <f aca="false">IF($A5221="","",IF(원본명단!$H5220="",0,COUNTIF(원본명단!$H$3:$H$6002,원본명단!$H5220)))</f>
        <v/>
      </c>
      <c r="F5221" s="11" t="str">
        <f aca="false">IF($A5221="","",IF(원본명단!$I5220="",0,COUNTIF(원본명단!$I$3:$I$6002,원본명단!$I5220)))</f>
        <v/>
      </c>
      <c r="G5221" s="11" t="str">
        <f aca="false">IF($A5221="","",IF(원본명단!$K5220="",0,COUNTIF(원본명단!$K$3:$K$6002,원본명단!$K5220)))</f>
        <v/>
      </c>
      <c r="H5221" s="11" t="str">
        <f aca="false">IF($A5221="","",IF(MAX($E5221,$F5221,$G5221)&gt;1,"중복","-"))</f>
        <v/>
      </c>
      <c r="I5221" s="11" t="str">
        <f aca="false">IF($A5221="","",IF($H5221="-","-",IF(AND(IF(원본명단!$H5220="",TRUE(),COUNTIF(원본명단!$H$3:$H5220,원본명단!$H5220)=1),IF(원본명단!$I5220="",TRUE(),COUNTIF(원본명단!$I$3:$I5220,원본명단!$I5220)=1),IF(원본명단!$K5220="",TRUE(),COUNTIF(원본명단!$K$3:$K5220,원본명단!$K5220)=1)),"첫 건","중복 건")))</f>
        <v/>
      </c>
      <c r="J5221" s="11" t="str">
        <f aca="false">IF($A5221="","",IF($H5221="-","유지",IF($I5221="첫 건","유지","확인 필요")))</f>
        <v/>
      </c>
    </row>
    <row r="5222" customFormat="false" ht="15" hidden="false" customHeight="true" outlineLevel="0" collapsed="false">
      <c r="A5222" s="11" t="str">
        <f aca="false">IF(원본명단!$A5221="","",5219)</f>
        <v/>
      </c>
      <c r="B5222" s="12" t="str">
        <f aca="false">IF($A5222="","",원본명단!$A5221)</f>
        <v/>
      </c>
      <c r="C5222" s="12" t="str">
        <f aca="false">IF($A5222="","",원본명단!$B5221)</f>
        <v/>
      </c>
      <c r="D5222" s="12" t="str">
        <f aca="false">IF($A5222="","",원본명단!$D5221)</f>
        <v/>
      </c>
      <c r="E5222" s="11" t="str">
        <f aca="false">IF($A5222="","",IF(원본명단!$H5221="",0,COUNTIF(원본명단!$H$3:$H$6002,원본명단!$H5221)))</f>
        <v/>
      </c>
      <c r="F5222" s="11" t="str">
        <f aca="false">IF($A5222="","",IF(원본명단!$I5221="",0,COUNTIF(원본명단!$I$3:$I$6002,원본명단!$I5221)))</f>
        <v/>
      </c>
      <c r="G5222" s="11" t="str">
        <f aca="false">IF($A5222="","",IF(원본명단!$K5221="",0,COUNTIF(원본명단!$K$3:$K$6002,원본명단!$K5221)))</f>
        <v/>
      </c>
      <c r="H5222" s="11" t="str">
        <f aca="false">IF($A5222="","",IF(MAX($E5222,$F5222,$G5222)&gt;1,"중복","-"))</f>
        <v/>
      </c>
      <c r="I5222" s="11" t="str">
        <f aca="false">IF($A5222="","",IF($H5222="-","-",IF(AND(IF(원본명단!$H5221="",TRUE(),COUNTIF(원본명단!$H$3:$H5221,원본명단!$H5221)=1),IF(원본명단!$I5221="",TRUE(),COUNTIF(원본명단!$I$3:$I5221,원본명단!$I5221)=1),IF(원본명단!$K5221="",TRUE(),COUNTIF(원본명단!$K$3:$K5221,원본명단!$K5221)=1)),"첫 건","중복 건")))</f>
        <v/>
      </c>
      <c r="J5222" s="11" t="str">
        <f aca="false">IF($A5222="","",IF($H5222="-","유지",IF($I5222="첫 건","유지","확인 필요")))</f>
        <v/>
      </c>
    </row>
    <row r="5223" customFormat="false" ht="15" hidden="false" customHeight="true" outlineLevel="0" collapsed="false">
      <c r="A5223" s="11" t="str">
        <f aca="false">IF(원본명단!$A5222="","",5220)</f>
        <v/>
      </c>
      <c r="B5223" s="12" t="str">
        <f aca="false">IF($A5223="","",원본명단!$A5222)</f>
        <v/>
      </c>
      <c r="C5223" s="12" t="str">
        <f aca="false">IF($A5223="","",원본명단!$B5222)</f>
        <v/>
      </c>
      <c r="D5223" s="12" t="str">
        <f aca="false">IF($A5223="","",원본명단!$D5222)</f>
        <v/>
      </c>
      <c r="E5223" s="11" t="str">
        <f aca="false">IF($A5223="","",IF(원본명단!$H5222="",0,COUNTIF(원본명단!$H$3:$H$6002,원본명단!$H5222)))</f>
        <v/>
      </c>
      <c r="F5223" s="11" t="str">
        <f aca="false">IF($A5223="","",IF(원본명단!$I5222="",0,COUNTIF(원본명단!$I$3:$I$6002,원본명단!$I5222)))</f>
        <v/>
      </c>
      <c r="G5223" s="11" t="str">
        <f aca="false">IF($A5223="","",IF(원본명단!$K5222="",0,COUNTIF(원본명단!$K$3:$K$6002,원본명단!$K5222)))</f>
        <v/>
      </c>
      <c r="H5223" s="11" t="str">
        <f aca="false">IF($A5223="","",IF(MAX($E5223,$F5223,$G5223)&gt;1,"중복","-"))</f>
        <v/>
      </c>
      <c r="I5223" s="11" t="str">
        <f aca="false">IF($A5223="","",IF($H5223="-","-",IF(AND(IF(원본명단!$H5222="",TRUE(),COUNTIF(원본명단!$H$3:$H5222,원본명단!$H5222)=1),IF(원본명단!$I5222="",TRUE(),COUNTIF(원본명단!$I$3:$I5222,원본명단!$I5222)=1),IF(원본명단!$K5222="",TRUE(),COUNTIF(원본명단!$K$3:$K5222,원본명단!$K5222)=1)),"첫 건","중복 건")))</f>
        <v/>
      </c>
      <c r="J5223" s="11" t="str">
        <f aca="false">IF($A5223="","",IF($H5223="-","유지",IF($I5223="첫 건","유지","확인 필요")))</f>
        <v/>
      </c>
    </row>
    <row r="5224" customFormat="false" ht="15" hidden="false" customHeight="true" outlineLevel="0" collapsed="false">
      <c r="A5224" s="11" t="str">
        <f aca="false">IF(원본명단!$A5223="","",5221)</f>
        <v/>
      </c>
      <c r="B5224" s="12" t="str">
        <f aca="false">IF($A5224="","",원본명단!$A5223)</f>
        <v/>
      </c>
      <c r="C5224" s="12" t="str">
        <f aca="false">IF($A5224="","",원본명단!$B5223)</f>
        <v/>
      </c>
      <c r="D5224" s="12" t="str">
        <f aca="false">IF($A5224="","",원본명단!$D5223)</f>
        <v/>
      </c>
      <c r="E5224" s="11" t="str">
        <f aca="false">IF($A5224="","",IF(원본명단!$H5223="",0,COUNTIF(원본명단!$H$3:$H$6002,원본명단!$H5223)))</f>
        <v/>
      </c>
      <c r="F5224" s="11" t="str">
        <f aca="false">IF($A5224="","",IF(원본명단!$I5223="",0,COUNTIF(원본명단!$I$3:$I$6002,원본명단!$I5223)))</f>
        <v/>
      </c>
      <c r="G5224" s="11" t="str">
        <f aca="false">IF($A5224="","",IF(원본명단!$K5223="",0,COUNTIF(원본명단!$K$3:$K$6002,원본명단!$K5223)))</f>
        <v/>
      </c>
      <c r="H5224" s="11" t="str">
        <f aca="false">IF($A5224="","",IF(MAX($E5224,$F5224,$G5224)&gt;1,"중복","-"))</f>
        <v/>
      </c>
      <c r="I5224" s="11" t="str">
        <f aca="false">IF($A5224="","",IF($H5224="-","-",IF(AND(IF(원본명단!$H5223="",TRUE(),COUNTIF(원본명단!$H$3:$H5223,원본명단!$H5223)=1),IF(원본명단!$I5223="",TRUE(),COUNTIF(원본명단!$I$3:$I5223,원본명단!$I5223)=1),IF(원본명단!$K5223="",TRUE(),COUNTIF(원본명단!$K$3:$K5223,원본명단!$K5223)=1)),"첫 건","중복 건")))</f>
        <v/>
      </c>
      <c r="J5224" s="11" t="str">
        <f aca="false">IF($A5224="","",IF($H5224="-","유지",IF($I5224="첫 건","유지","확인 필요")))</f>
        <v/>
      </c>
    </row>
    <row r="5225" customFormat="false" ht="15" hidden="false" customHeight="true" outlineLevel="0" collapsed="false">
      <c r="A5225" s="11" t="str">
        <f aca="false">IF(원본명단!$A5224="","",5222)</f>
        <v/>
      </c>
      <c r="B5225" s="12" t="str">
        <f aca="false">IF($A5225="","",원본명단!$A5224)</f>
        <v/>
      </c>
      <c r="C5225" s="12" t="str">
        <f aca="false">IF($A5225="","",원본명단!$B5224)</f>
        <v/>
      </c>
      <c r="D5225" s="12" t="str">
        <f aca="false">IF($A5225="","",원본명단!$D5224)</f>
        <v/>
      </c>
      <c r="E5225" s="11" t="str">
        <f aca="false">IF($A5225="","",IF(원본명단!$H5224="",0,COUNTIF(원본명단!$H$3:$H$6002,원본명단!$H5224)))</f>
        <v/>
      </c>
      <c r="F5225" s="11" t="str">
        <f aca="false">IF($A5225="","",IF(원본명단!$I5224="",0,COUNTIF(원본명단!$I$3:$I$6002,원본명단!$I5224)))</f>
        <v/>
      </c>
      <c r="G5225" s="11" t="str">
        <f aca="false">IF($A5225="","",IF(원본명단!$K5224="",0,COUNTIF(원본명단!$K$3:$K$6002,원본명단!$K5224)))</f>
        <v/>
      </c>
      <c r="H5225" s="11" t="str">
        <f aca="false">IF($A5225="","",IF(MAX($E5225,$F5225,$G5225)&gt;1,"중복","-"))</f>
        <v/>
      </c>
      <c r="I5225" s="11" t="str">
        <f aca="false">IF($A5225="","",IF($H5225="-","-",IF(AND(IF(원본명단!$H5224="",TRUE(),COUNTIF(원본명단!$H$3:$H5224,원본명단!$H5224)=1),IF(원본명단!$I5224="",TRUE(),COUNTIF(원본명단!$I$3:$I5224,원본명단!$I5224)=1),IF(원본명단!$K5224="",TRUE(),COUNTIF(원본명단!$K$3:$K5224,원본명단!$K5224)=1)),"첫 건","중복 건")))</f>
        <v/>
      </c>
      <c r="J5225" s="11" t="str">
        <f aca="false">IF($A5225="","",IF($H5225="-","유지",IF($I5225="첫 건","유지","확인 필요")))</f>
        <v/>
      </c>
    </row>
    <row r="5226" customFormat="false" ht="15" hidden="false" customHeight="true" outlineLevel="0" collapsed="false">
      <c r="A5226" s="11" t="str">
        <f aca="false">IF(원본명단!$A5225="","",5223)</f>
        <v/>
      </c>
      <c r="B5226" s="12" t="str">
        <f aca="false">IF($A5226="","",원본명단!$A5225)</f>
        <v/>
      </c>
      <c r="C5226" s="12" t="str">
        <f aca="false">IF($A5226="","",원본명단!$B5225)</f>
        <v/>
      </c>
      <c r="D5226" s="12" t="str">
        <f aca="false">IF($A5226="","",원본명단!$D5225)</f>
        <v/>
      </c>
      <c r="E5226" s="11" t="str">
        <f aca="false">IF($A5226="","",IF(원본명단!$H5225="",0,COUNTIF(원본명단!$H$3:$H$6002,원본명단!$H5225)))</f>
        <v/>
      </c>
      <c r="F5226" s="11" t="str">
        <f aca="false">IF($A5226="","",IF(원본명단!$I5225="",0,COUNTIF(원본명단!$I$3:$I$6002,원본명단!$I5225)))</f>
        <v/>
      </c>
      <c r="G5226" s="11" t="str">
        <f aca="false">IF($A5226="","",IF(원본명단!$K5225="",0,COUNTIF(원본명단!$K$3:$K$6002,원본명단!$K5225)))</f>
        <v/>
      </c>
      <c r="H5226" s="11" t="str">
        <f aca="false">IF($A5226="","",IF(MAX($E5226,$F5226,$G5226)&gt;1,"중복","-"))</f>
        <v/>
      </c>
      <c r="I5226" s="11" t="str">
        <f aca="false">IF($A5226="","",IF($H5226="-","-",IF(AND(IF(원본명단!$H5225="",TRUE(),COUNTIF(원본명단!$H$3:$H5225,원본명단!$H5225)=1),IF(원본명단!$I5225="",TRUE(),COUNTIF(원본명단!$I$3:$I5225,원본명단!$I5225)=1),IF(원본명단!$K5225="",TRUE(),COUNTIF(원본명단!$K$3:$K5225,원본명단!$K5225)=1)),"첫 건","중복 건")))</f>
        <v/>
      </c>
      <c r="J5226" s="11" t="str">
        <f aca="false">IF($A5226="","",IF($H5226="-","유지",IF($I5226="첫 건","유지","확인 필요")))</f>
        <v/>
      </c>
    </row>
    <row r="5227" customFormat="false" ht="15" hidden="false" customHeight="true" outlineLevel="0" collapsed="false">
      <c r="A5227" s="11" t="str">
        <f aca="false">IF(원본명단!$A5226="","",5224)</f>
        <v/>
      </c>
      <c r="B5227" s="12" t="str">
        <f aca="false">IF($A5227="","",원본명단!$A5226)</f>
        <v/>
      </c>
      <c r="C5227" s="12" t="str">
        <f aca="false">IF($A5227="","",원본명단!$B5226)</f>
        <v/>
      </c>
      <c r="D5227" s="12" t="str">
        <f aca="false">IF($A5227="","",원본명단!$D5226)</f>
        <v/>
      </c>
      <c r="E5227" s="11" t="str">
        <f aca="false">IF($A5227="","",IF(원본명단!$H5226="",0,COUNTIF(원본명단!$H$3:$H$6002,원본명단!$H5226)))</f>
        <v/>
      </c>
      <c r="F5227" s="11" t="str">
        <f aca="false">IF($A5227="","",IF(원본명단!$I5226="",0,COUNTIF(원본명단!$I$3:$I$6002,원본명단!$I5226)))</f>
        <v/>
      </c>
      <c r="G5227" s="11" t="str">
        <f aca="false">IF($A5227="","",IF(원본명단!$K5226="",0,COUNTIF(원본명단!$K$3:$K$6002,원본명단!$K5226)))</f>
        <v/>
      </c>
      <c r="H5227" s="11" t="str">
        <f aca="false">IF($A5227="","",IF(MAX($E5227,$F5227,$G5227)&gt;1,"중복","-"))</f>
        <v/>
      </c>
      <c r="I5227" s="11" t="str">
        <f aca="false">IF($A5227="","",IF($H5227="-","-",IF(AND(IF(원본명단!$H5226="",TRUE(),COUNTIF(원본명단!$H$3:$H5226,원본명단!$H5226)=1),IF(원본명단!$I5226="",TRUE(),COUNTIF(원본명단!$I$3:$I5226,원본명단!$I5226)=1),IF(원본명단!$K5226="",TRUE(),COUNTIF(원본명단!$K$3:$K5226,원본명단!$K5226)=1)),"첫 건","중복 건")))</f>
        <v/>
      </c>
      <c r="J5227" s="11" t="str">
        <f aca="false">IF($A5227="","",IF($H5227="-","유지",IF($I5227="첫 건","유지","확인 필요")))</f>
        <v/>
      </c>
    </row>
    <row r="5228" customFormat="false" ht="15" hidden="false" customHeight="true" outlineLevel="0" collapsed="false">
      <c r="A5228" s="11" t="str">
        <f aca="false">IF(원본명단!$A5227="","",5225)</f>
        <v/>
      </c>
      <c r="B5228" s="12" t="str">
        <f aca="false">IF($A5228="","",원본명단!$A5227)</f>
        <v/>
      </c>
      <c r="C5228" s="12" t="str">
        <f aca="false">IF($A5228="","",원본명단!$B5227)</f>
        <v/>
      </c>
      <c r="D5228" s="12" t="str">
        <f aca="false">IF($A5228="","",원본명단!$D5227)</f>
        <v/>
      </c>
      <c r="E5228" s="11" t="str">
        <f aca="false">IF($A5228="","",IF(원본명단!$H5227="",0,COUNTIF(원본명단!$H$3:$H$6002,원본명단!$H5227)))</f>
        <v/>
      </c>
      <c r="F5228" s="11" t="str">
        <f aca="false">IF($A5228="","",IF(원본명단!$I5227="",0,COUNTIF(원본명단!$I$3:$I$6002,원본명단!$I5227)))</f>
        <v/>
      </c>
      <c r="G5228" s="11" t="str">
        <f aca="false">IF($A5228="","",IF(원본명단!$K5227="",0,COUNTIF(원본명단!$K$3:$K$6002,원본명단!$K5227)))</f>
        <v/>
      </c>
      <c r="H5228" s="11" t="str">
        <f aca="false">IF($A5228="","",IF(MAX($E5228,$F5228,$G5228)&gt;1,"중복","-"))</f>
        <v/>
      </c>
      <c r="I5228" s="11" t="str">
        <f aca="false">IF($A5228="","",IF($H5228="-","-",IF(AND(IF(원본명단!$H5227="",TRUE(),COUNTIF(원본명단!$H$3:$H5227,원본명단!$H5227)=1),IF(원본명단!$I5227="",TRUE(),COUNTIF(원본명단!$I$3:$I5227,원본명단!$I5227)=1),IF(원본명단!$K5227="",TRUE(),COUNTIF(원본명단!$K$3:$K5227,원본명단!$K5227)=1)),"첫 건","중복 건")))</f>
        <v/>
      </c>
      <c r="J5228" s="11" t="str">
        <f aca="false">IF($A5228="","",IF($H5228="-","유지",IF($I5228="첫 건","유지","확인 필요")))</f>
        <v/>
      </c>
    </row>
    <row r="5229" customFormat="false" ht="15" hidden="false" customHeight="true" outlineLevel="0" collapsed="false">
      <c r="A5229" s="11" t="str">
        <f aca="false">IF(원본명단!$A5228="","",5226)</f>
        <v/>
      </c>
      <c r="B5229" s="12" t="str">
        <f aca="false">IF($A5229="","",원본명단!$A5228)</f>
        <v/>
      </c>
      <c r="C5229" s="12" t="str">
        <f aca="false">IF($A5229="","",원본명단!$B5228)</f>
        <v/>
      </c>
      <c r="D5229" s="12" t="str">
        <f aca="false">IF($A5229="","",원본명단!$D5228)</f>
        <v/>
      </c>
      <c r="E5229" s="11" t="str">
        <f aca="false">IF($A5229="","",IF(원본명단!$H5228="",0,COUNTIF(원본명단!$H$3:$H$6002,원본명단!$H5228)))</f>
        <v/>
      </c>
      <c r="F5229" s="11" t="str">
        <f aca="false">IF($A5229="","",IF(원본명단!$I5228="",0,COUNTIF(원본명단!$I$3:$I$6002,원본명단!$I5228)))</f>
        <v/>
      </c>
      <c r="G5229" s="11" t="str">
        <f aca="false">IF($A5229="","",IF(원본명단!$K5228="",0,COUNTIF(원본명단!$K$3:$K$6002,원본명단!$K5228)))</f>
        <v/>
      </c>
      <c r="H5229" s="11" t="str">
        <f aca="false">IF($A5229="","",IF(MAX($E5229,$F5229,$G5229)&gt;1,"중복","-"))</f>
        <v/>
      </c>
      <c r="I5229" s="11" t="str">
        <f aca="false">IF($A5229="","",IF($H5229="-","-",IF(AND(IF(원본명단!$H5228="",TRUE(),COUNTIF(원본명단!$H$3:$H5228,원본명단!$H5228)=1),IF(원본명단!$I5228="",TRUE(),COUNTIF(원본명단!$I$3:$I5228,원본명단!$I5228)=1),IF(원본명단!$K5228="",TRUE(),COUNTIF(원본명단!$K$3:$K5228,원본명단!$K5228)=1)),"첫 건","중복 건")))</f>
        <v/>
      </c>
      <c r="J5229" s="11" t="str">
        <f aca="false">IF($A5229="","",IF($H5229="-","유지",IF($I5229="첫 건","유지","확인 필요")))</f>
        <v/>
      </c>
    </row>
    <row r="5230" customFormat="false" ht="15" hidden="false" customHeight="true" outlineLevel="0" collapsed="false">
      <c r="A5230" s="11" t="str">
        <f aca="false">IF(원본명단!$A5229="","",5227)</f>
        <v/>
      </c>
      <c r="B5230" s="12" t="str">
        <f aca="false">IF($A5230="","",원본명단!$A5229)</f>
        <v/>
      </c>
      <c r="C5230" s="12" t="str">
        <f aca="false">IF($A5230="","",원본명단!$B5229)</f>
        <v/>
      </c>
      <c r="D5230" s="12" t="str">
        <f aca="false">IF($A5230="","",원본명단!$D5229)</f>
        <v/>
      </c>
      <c r="E5230" s="11" t="str">
        <f aca="false">IF($A5230="","",IF(원본명단!$H5229="",0,COUNTIF(원본명단!$H$3:$H$6002,원본명단!$H5229)))</f>
        <v/>
      </c>
      <c r="F5230" s="11" t="str">
        <f aca="false">IF($A5230="","",IF(원본명단!$I5229="",0,COUNTIF(원본명단!$I$3:$I$6002,원본명단!$I5229)))</f>
        <v/>
      </c>
      <c r="G5230" s="11" t="str">
        <f aca="false">IF($A5230="","",IF(원본명단!$K5229="",0,COUNTIF(원본명단!$K$3:$K$6002,원본명단!$K5229)))</f>
        <v/>
      </c>
      <c r="H5230" s="11" t="str">
        <f aca="false">IF($A5230="","",IF(MAX($E5230,$F5230,$G5230)&gt;1,"중복","-"))</f>
        <v/>
      </c>
      <c r="I5230" s="11" t="str">
        <f aca="false">IF($A5230="","",IF($H5230="-","-",IF(AND(IF(원본명단!$H5229="",TRUE(),COUNTIF(원본명단!$H$3:$H5229,원본명단!$H5229)=1),IF(원본명단!$I5229="",TRUE(),COUNTIF(원본명단!$I$3:$I5229,원본명단!$I5229)=1),IF(원본명단!$K5229="",TRUE(),COUNTIF(원본명단!$K$3:$K5229,원본명단!$K5229)=1)),"첫 건","중복 건")))</f>
        <v/>
      </c>
      <c r="J5230" s="11" t="str">
        <f aca="false">IF($A5230="","",IF($H5230="-","유지",IF($I5230="첫 건","유지","확인 필요")))</f>
        <v/>
      </c>
    </row>
    <row r="5231" customFormat="false" ht="15" hidden="false" customHeight="true" outlineLevel="0" collapsed="false">
      <c r="A5231" s="11" t="str">
        <f aca="false">IF(원본명단!$A5230="","",5228)</f>
        <v/>
      </c>
      <c r="B5231" s="12" t="str">
        <f aca="false">IF($A5231="","",원본명단!$A5230)</f>
        <v/>
      </c>
      <c r="C5231" s="12" t="str">
        <f aca="false">IF($A5231="","",원본명단!$B5230)</f>
        <v/>
      </c>
      <c r="D5231" s="12" t="str">
        <f aca="false">IF($A5231="","",원본명단!$D5230)</f>
        <v/>
      </c>
      <c r="E5231" s="11" t="str">
        <f aca="false">IF($A5231="","",IF(원본명단!$H5230="",0,COUNTIF(원본명단!$H$3:$H$6002,원본명단!$H5230)))</f>
        <v/>
      </c>
      <c r="F5231" s="11" t="str">
        <f aca="false">IF($A5231="","",IF(원본명단!$I5230="",0,COUNTIF(원본명단!$I$3:$I$6002,원본명단!$I5230)))</f>
        <v/>
      </c>
      <c r="G5231" s="11" t="str">
        <f aca="false">IF($A5231="","",IF(원본명단!$K5230="",0,COUNTIF(원본명단!$K$3:$K$6002,원본명단!$K5230)))</f>
        <v/>
      </c>
      <c r="H5231" s="11" t="str">
        <f aca="false">IF($A5231="","",IF(MAX($E5231,$F5231,$G5231)&gt;1,"중복","-"))</f>
        <v/>
      </c>
      <c r="I5231" s="11" t="str">
        <f aca="false">IF($A5231="","",IF($H5231="-","-",IF(AND(IF(원본명단!$H5230="",TRUE(),COUNTIF(원본명단!$H$3:$H5230,원본명단!$H5230)=1),IF(원본명단!$I5230="",TRUE(),COUNTIF(원본명단!$I$3:$I5230,원본명단!$I5230)=1),IF(원본명단!$K5230="",TRUE(),COUNTIF(원본명단!$K$3:$K5230,원본명단!$K5230)=1)),"첫 건","중복 건")))</f>
        <v/>
      </c>
      <c r="J5231" s="11" t="str">
        <f aca="false">IF($A5231="","",IF($H5231="-","유지",IF($I5231="첫 건","유지","확인 필요")))</f>
        <v/>
      </c>
    </row>
    <row r="5232" customFormat="false" ht="15" hidden="false" customHeight="true" outlineLevel="0" collapsed="false">
      <c r="A5232" s="11" t="str">
        <f aca="false">IF(원본명단!$A5231="","",5229)</f>
        <v/>
      </c>
      <c r="B5232" s="12" t="str">
        <f aca="false">IF($A5232="","",원본명단!$A5231)</f>
        <v/>
      </c>
      <c r="C5232" s="12" t="str">
        <f aca="false">IF($A5232="","",원본명단!$B5231)</f>
        <v/>
      </c>
      <c r="D5232" s="12" t="str">
        <f aca="false">IF($A5232="","",원본명단!$D5231)</f>
        <v/>
      </c>
      <c r="E5232" s="11" t="str">
        <f aca="false">IF($A5232="","",IF(원본명단!$H5231="",0,COUNTIF(원본명단!$H$3:$H$6002,원본명단!$H5231)))</f>
        <v/>
      </c>
      <c r="F5232" s="11" t="str">
        <f aca="false">IF($A5232="","",IF(원본명단!$I5231="",0,COUNTIF(원본명단!$I$3:$I$6002,원본명단!$I5231)))</f>
        <v/>
      </c>
      <c r="G5232" s="11" t="str">
        <f aca="false">IF($A5232="","",IF(원본명단!$K5231="",0,COUNTIF(원본명단!$K$3:$K$6002,원본명단!$K5231)))</f>
        <v/>
      </c>
      <c r="H5232" s="11" t="str">
        <f aca="false">IF($A5232="","",IF(MAX($E5232,$F5232,$G5232)&gt;1,"중복","-"))</f>
        <v/>
      </c>
      <c r="I5232" s="11" t="str">
        <f aca="false">IF($A5232="","",IF($H5232="-","-",IF(AND(IF(원본명단!$H5231="",TRUE(),COUNTIF(원본명단!$H$3:$H5231,원본명단!$H5231)=1),IF(원본명단!$I5231="",TRUE(),COUNTIF(원본명단!$I$3:$I5231,원본명단!$I5231)=1),IF(원본명단!$K5231="",TRUE(),COUNTIF(원본명단!$K$3:$K5231,원본명단!$K5231)=1)),"첫 건","중복 건")))</f>
        <v/>
      </c>
      <c r="J5232" s="11" t="str">
        <f aca="false">IF($A5232="","",IF($H5232="-","유지",IF($I5232="첫 건","유지","확인 필요")))</f>
        <v/>
      </c>
    </row>
    <row r="5233" customFormat="false" ht="15" hidden="false" customHeight="true" outlineLevel="0" collapsed="false">
      <c r="A5233" s="11" t="str">
        <f aca="false">IF(원본명단!$A5232="","",5230)</f>
        <v/>
      </c>
      <c r="B5233" s="12" t="str">
        <f aca="false">IF($A5233="","",원본명단!$A5232)</f>
        <v/>
      </c>
      <c r="C5233" s="12" t="str">
        <f aca="false">IF($A5233="","",원본명단!$B5232)</f>
        <v/>
      </c>
      <c r="D5233" s="12" t="str">
        <f aca="false">IF($A5233="","",원본명단!$D5232)</f>
        <v/>
      </c>
      <c r="E5233" s="11" t="str">
        <f aca="false">IF($A5233="","",IF(원본명단!$H5232="",0,COUNTIF(원본명단!$H$3:$H$6002,원본명단!$H5232)))</f>
        <v/>
      </c>
      <c r="F5233" s="11" t="str">
        <f aca="false">IF($A5233="","",IF(원본명단!$I5232="",0,COUNTIF(원본명단!$I$3:$I$6002,원본명단!$I5232)))</f>
        <v/>
      </c>
      <c r="G5233" s="11" t="str">
        <f aca="false">IF($A5233="","",IF(원본명단!$K5232="",0,COUNTIF(원본명단!$K$3:$K$6002,원본명단!$K5232)))</f>
        <v/>
      </c>
      <c r="H5233" s="11" t="str">
        <f aca="false">IF($A5233="","",IF(MAX($E5233,$F5233,$G5233)&gt;1,"중복","-"))</f>
        <v/>
      </c>
      <c r="I5233" s="11" t="str">
        <f aca="false">IF($A5233="","",IF($H5233="-","-",IF(AND(IF(원본명단!$H5232="",TRUE(),COUNTIF(원본명단!$H$3:$H5232,원본명단!$H5232)=1),IF(원본명단!$I5232="",TRUE(),COUNTIF(원본명단!$I$3:$I5232,원본명단!$I5232)=1),IF(원본명단!$K5232="",TRUE(),COUNTIF(원본명단!$K$3:$K5232,원본명단!$K5232)=1)),"첫 건","중복 건")))</f>
        <v/>
      </c>
      <c r="J5233" s="11" t="str">
        <f aca="false">IF($A5233="","",IF($H5233="-","유지",IF($I5233="첫 건","유지","확인 필요")))</f>
        <v/>
      </c>
    </row>
    <row r="5234" customFormat="false" ht="15" hidden="false" customHeight="true" outlineLevel="0" collapsed="false">
      <c r="A5234" s="11" t="str">
        <f aca="false">IF(원본명단!$A5233="","",5231)</f>
        <v/>
      </c>
      <c r="B5234" s="12" t="str">
        <f aca="false">IF($A5234="","",원본명단!$A5233)</f>
        <v/>
      </c>
      <c r="C5234" s="12" t="str">
        <f aca="false">IF($A5234="","",원본명단!$B5233)</f>
        <v/>
      </c>
      <c r="D5234" s="12" t="str">
        <f aca="false">IF($A5234="","",원본명단!$D5233)</f>
        <v/>
      </c>
      <c r="E5234" s="11" t="str">
        <f aca="false">IF($A5234="","",IF(원본명단!$H5233="",0,COUNTIF(원본명단!$H$3:$H$6002,원본명단!$H5233)))</f>
        <v/>
      </c>
      <c r="F5234" s="11" t="str">
        <f aca="false">IF($A5234="","",IF(원본명단!$I5233="",0,COUNTIF(원본명단!$I$3:$I$6002,원본명단!$I5233)))</f>
        <v/>
      </c>
      <c r="G5234" s="11" t="str">
        <f aca="false">IF($A5234="","",IF(원본명단!$K5233="",0,COUNTIF(원본명단!$K$3:$K$6002,원본명단!$K5233)))</f>
        <v/>
      </c>
      <c r="H5234" s="11" t="str">
        <f aca="false">IF($A5234="","",IF(MAX($E5234,$F5234,$G5234)&gt;1,"중복","-"))</f>
        <v/>
      </c>
      <c r="I5234" s="11" t="str">
        <f aca="false">IF($A5234="","",IF($H5234="-","-",IF(AND(IF(원본명단!$H5233="",TRUE(),COUNTIF(원본명단!$H$3:$H5233,원본명단!$H5233)=1),IF(원본명단!$I5233="",TRUE(),COUNTIF(원본명단!$I$3:$I5233,원본명단!$I5233)=1),IF(원본명단!$K5233="",TRUE(),COUNTIF(원본명단!$K$3:$K5233,원본명단!$K5233)=1)),"첫 건","중복 건")))</f>
        <v/>
      </c>
      <c r="J5234" s="11" t="str">
        <f aca="false">IF($A5234="","",IF($H5234="-","유지",IF($I5234="첫 건","유지","확인 필요")))</f>
        <v/>
      </c>
    </row>
    <row r="5235" customFormat="false" ht="15" hidden="false" customHeight="true" outlineLevel="0" collapsed="false">
      <c r="A5235" s="11" t="str">
        <f aca="false">IF(원본명단!$A5234="","",5232)</f>
        <v/>
      </c>
      <c r="B5235" s="12" t="str">
        <f aca="false">IF($A5235="","",원본명단!$A5234)</f>
        <v/>
      </c>
      <c r="C5235" s="12" t="str">
        <f aca="false">IF($A5235="","",원본명단!$B5234)</f>
        <v/>
      </c>
      <c r="D5235" s="12" t="str">
        <f aca="false">IF($A5235="","",원본명단!$D5234)</f>
        <v/>
      </c>
      <c r="E5235" s="11" t="str">
        <f aca="false">IF($A5235="","",IF(원본명단!$H5234="",0,COUNTIF(원본명단!$H$3:$H$6002,원본명단!$H5234)))</f>
        <v/>
      </c>
      <c r="F5235" s="11" t="str">
        <f aca="false">IF($A5235="","",IF(원본명단!$I5234="",0,COUNTIF(원본명단!$I$3:$I$6002,원본명단!$I5234)))</f>
        <v/>
      </c>
      <c r="G5235" s="11" t="str">
        <f aca="false">IF($A5235="","",IF(원본명단!$K5234="",0,COUNTIF(원본명단!$K$3:$K$6002,원본명단!$K5234)))</f>
        <v/>
      </c>
      <c r="H5235" s="11" t="str">
        <f aca="false">IF($A5235="","",IF(MAX($E5235,$F5235,$G5235)&gt;1,"중복","-"))</f>
        <v/>
      </c>
      <c r="I5235" s="11" t="str">
        <f aca="false">IF($A5235="","",IF($H5235="-","-",IF(AND(IF(원본명단!$H5234="",TRUE(),COUNTIF(원본명단!$H$3:$H5234,원본명단!$H5234)=1),IF(원본명단!$I5234="",TRUE(),COUNTIF(원본명단!$I$3:$I5234,원본명단!$I5234)=1),IF(원본명단!$K5234="",TRUE(),COUNTIF(원본명단!$K$3:$K5234,원본명단!$K5234)=1)),"첫 건","중복 건")))</f>
        <v/>
      </c>
      <c r="J5235" s="11" t="str">
        <f aca="false">IF($A5235="","",IF($H5235="-","유지",IF($I5235="첫 건","유지","확인 필요")))</f>
        <v/>
      </c>
    </row>
    <row r="5236" customFormat="false" ht="15" hidden="false" customHeight="true" outlineLevel="0" collapsed="false">
      <c r="A5236" s="11" t="str">
        <f aca="false">IF(원본명단!$A5235="","",5233)</f>
        <v/>
      </c>
      <c r="B5236" s="12" t="str">
        <f aca="false">IF($A5236="","",원본명단!$A5235)</f>
        <v/>
      </c>
      <c r="C5236" s="12" t="str">
        <f aca="false">IF($A5236="","",원본명단!$B5235)</f>
        <v/>
      </c>
      <c r="D5236" s="12" t="str">
        <f aca="false">IF($A5236="","",원본명단!$D5235)</f>
        <v/>
      </c>
      <c r="E5236" s="11" t="str">
        <f aca="false">IF($A5236="","",IF(원본명단!$H5235="",0,COUNTIF(원본명단!$H$3:$H$6002,원본명단!$H5235)))</f>
        <v/>
      </c>
      <c r="F5236" s="11" t="str">
        <f aca="false">IF($A5236="","",IF(원본명단!$I5235="",0,COUNTIF(원본명단!$I$3:$I$6002,원본명단!$I5235)))</f>
        <v/>
      </c>
      <c r="G5236" s="11" t="str">
        <f aca="false">IF($A5236="","",IF(원본명단!$K5235="",0,COUNTIF(원본명단!$K$3:$K$6002,원본명단!$K5235)))</f>
        <v/>
      </c>
      <c r="H5236" s="11" t="str">
        <f aca="false">IF($A5236="","",IF(MAX($E5236,$F5236,$G5236)&gt;1,"중복","-"))</f>
        <v/>
      </c>
      <c r="I5236" s="11" t="str">
        <f aca="false">IF($A5236="","",IF($H5236="-","-",IF(AND(IF(원본명단!$H5235="",TRUE(),COUNTIF(원본명단!$H$3:$H5235,원본명단!$H5235)=1),IF(원본명단!$I5235="",TRUE(),COUNTIF(원본명단!$I$3:$I5235,원본명단!$I5235)=1),IF(원본명단!$K5235="",TRUE(),COUNTIF(원본명단!$K$3:$K5235,원본명단!$K5235)=1)),"첫 건","중복 건")))</f>
        <v/>
      </c>
      <c r="J5236" s="11" t="str">
        <f aca="false">IF($A5236="","",IF($H5236="-","유지",IF($I5236="첫 건","유지","확인 필요")))</f>
        <v/>
      </c>
    </row>
    <row r="5237" customFormat="false" ht="15" hidden="false" customHeight="true" outlineLevel="0" collapsed="false">
      <c r="A5237" s="11" t="str">
        <f aca="false">IF(원본명단!$A5236="","",5234)</f>
        <v/>
      </c>
      <c r="B5237" s="12" t="str">
        <f aca="false">IF($A5237="","",원본명단!$A5236)</f>
        <v/>
      </c>
      <c r="C5237" s="12" t="str">
        <f aca="false">IF($A5237="","",원본명단!$B5236)</f>
        <v/>
      </c>
      <c r="D5237" s="12" t="str">
        <f aca="false">IF($A5237="","",원본명단!$D5236)</f>
        <v/>
      </c>
      <c r="E5237" s="11" t="str">
        <f aca="false">IF($A5237="","",IF(원본명단!$H5236="",0,COUNTIF(원본명단!$H$3:$H$6002,원본명단!$H5236)))</f>
        <v/>
      </c>
      <c r="F5237" s="11" t="str">
        <f aca="false">IF($A5237="","",IF(원본명단!$I5236="",0,COUNTIF(원본명단!$I$3:$I$6002,원본명단!$I5236)))</f>
        <v/>
      </c>
      <c r="G5237" s="11" t="str">
        <f aca="false">IF($A5237="","",IF(원본명단!$K5236="",0,COUNTIF(원본명단!$K$3:$K$6002,원본명단!$K5236)))</f>
        <v/>
      </c>
      <c r="H5237" s="11" t="str">
        <f aca="false">IF($A5237="","",IF(MAX($E5237,$F5237,$G5237)&gt;1,"중복","-"))</f>
        <v/>
      </c>
      <c r="I5237" s="11" t="str">
        <f aca="false">IF($A5237="","",IF($H5237="-","-",IF(AND(IF(원본명단!$H5236="",TRUE(),COUNTIF(원본명단!$H$3:$H5236,원본명단!$H5236)=1),IF(원본명단!$I5236="",TRUE(),COUNTIF(원본명단!$I$3:$I5236,원본명단!$I5236)=1),IF(원본명단!$K5236="",TRUE(),COUNTIF(원본명단!$K$3:$K5236,원본명단!$K5236)=1)),"첫 건","중복 건")))</f>
        <v/>
      </c>
      <c r="J5237" s="11" t="str">
        <f aca="false">IF($A5237="","",IF($H5237="-","유지",IF($I5237="첫 건","유지","확인 필요")))</f>
        <v/>
      </c>
    </row>
    <row r="5238" customFormat="false" ht="15" hidden="false" customHeight="true" outlineLevel="0" collapsed="false">
      <c r="A5238" s="11" t="str">
        <f aca="false">IF(원본명단!$A5237="","",5235)</f>
        <v/>
      </c>
      <c r="B5238" s="12" t="str">
        <f aca="false">IF($A5238="","",원본명단!$A5237)</f>
        <v/>
      </c>
      <c r="C5238" s="12" t="str">
        <f aca="false">IF($A5238="","",원본명단!$B5237)</f>
        <v/>
      </c>
      <c r="D5238" s="12" t="str">
        <f aca="false">IF($A5238="","",원본명단!$D5237)</f>
        <v/>
      </c>
      <c r="E5238" s="11" t="str">
        <f aca="false">IF($A5238="","",IF(원본명단!$H5237="",0,COUNTIF(원본명단!$H$3:$H$6002,원본명단!$H5237)))</f>
        <v/>
      </c>
      <c r="F5238" s="11" t="str">
        <f aca="false">IF($A5238="","",IF(원본명단!$I5237="",0,COUNTIF(원본명단!$I$3:$I$6002,원본명단!$I5237)))</f>
        <v/>
      </c>
      <c r="G5238" s="11" t="str">
        <f aca="false">IF($A5238="","",IF(원본명단!$K5237="",0,COUNTIF(원본명단!$K$3:$K$6002,원본명단!$K5237)))</f>
        <v/>
      </c>
      <c r="H5238" s="11" t="str">
        <f aca="false">IF($A5238="","",IF(MAX($E5238,$F5238,$G5238)&gt;1,"중복","-"))</f>
        <v/>
      </c>
      <c r="I5238" s="11" t="str">
        <f aca="false">IF($A5238="","",IF($H5238="-","-",IF(AND(IF(원본명단!$H5237="",TRUE(),COUNTIF(원본명단!$H$3:$H5237,원본명단!$H5237)=1),IF(원본명단!$I5237="",TRUE(),COUNTIF(원본명단!$I$3:$I5237,원본명단!$I5237)=1),IF(원본명단!$K5237="",TRUE(),COUNTIF(원본명단!$K$3:$K5237,원본명단!$K5237)=1)),"첫 건","중복 건")))</f>
        <v/>
      </c>
      <c r="J5238" s="11" t="str">
        <f aca="false">IF($A5238="","",IF($H5238="-","유지",IF($I5238="첫 건","유지","확인 필요")))</f>
        <v/>
      </c>
    </row>
    <row r="5239" customFormat="false" ht="15" hidden="false" customHeight="true" outlineLevel="0" collapsed="false">
      <c r="A5239" s="11" t="str">
        <f aca="false">IF(원본명단!$A5238="","",5236)</f>
        <v/>
      </c>
      <c r="B5239" s="12" t="str">
        <f aca="false">IF($A5239="","",원본명단!$A5238)</f>
        <v/>
      </c>
      <c r="C5239" s="12" t="str">
        <f aca="false">IF($A5239="","",원본명단!$B5238)</f>
        <v/>
      </c>
      <c r="D5239" s="12" t="str">
        <f aca="false">IF($A5239="","",원본명단!$D5238)</f>
        <v/>
      </c>
      <c r="E5239" s="11" t="str">
        <f aca="false">IF($A5239="","",IF(원본명단!$H5238="",0,COUNTIF(원본명단!$H$3:$H$6002,원본명단!$H5238)))</f>
        <v/>
      </c>
      <c r="F5239" s="11" t="str">
        <f aca="false">IF($A5239="","",IF(원본명단!$I5238="",0,COUNTIF(원본명단!$I$3:$I$6002,원본명단!$I5238)))</f>
        <v/>
      </c>
      <c r="G5239" s="11" t="str">
        <f aca="false">IF($A5239="","",IF(원본명단!$K5238="",0,COUNTIF(원본명단!$K$3:$K$6002,원본명단!$K5238)))</f>
        <v/>
      </c>
      <c r="H5239" s="11" t="str">
        <f aca="false">IF($A5239="","",IF(MAX($E5239,$F5239,$G5239)&gt;1,"중복","-"))</f>
        <v/>
      </c>
      <c r="I5239" s="11" t="str">
        <f aca="false">IF($A5239="","",IF($H5239="-","-",IF(AND(IF(원본명단!$H5238="",TRUE(),COUNTIF(원본명단!$H$3:$H5238,원본명단!$H5238)=1),IF(원본명단!$I5238="",TRUE(),COUNTIF(원본명단!$I$3:$I5238,원본명단!$I5238)=1),IF(원본명단!$K5238="",TRUE(),COUNTIF(원본명단!$K$3:$K5238,원본명단!$K5238)=1)),"첫 건","중복 건")))</f>
        <v/>
      </c>
      <c r="J5239" s="11" t="str">
        <f aca="false">IF($A5239="","",IF($H5239="-","유지",IF($I5239="첫 건","유지","확인 필요")))</f>
        <v/>
      </c>
    </row>
    <row r="5240" customFormat="false" ht="15" hidden="false" customHeight="true" outlineLevel="0" collapsed="false">
      <c r="A5240" s="11" t="str">
        <f aca="false">IF(원본명단!$A5239="","",5237)</f>
        <v/>
      </c>
      <c r="B5240" s="12" t="str">
        <f aca="false">IF($A5240="","",원본명단!$A5239)</f>
        <v/>
      </c>
      <c r="C5240" s="12" t="str">
        <f aca="false">IF($A5240="","",원본명단!$B5239)</f>
        <v/>
      </c>
      <c r="D5240" s="12" t="str">
        <f aca="false">IF($A5240="","",원본명단!$D5239)</f>
        <v/>
      </c>
      <c r="E5240" s="11" t="str">
        <f aca="false">IF($A5240="","",IF(원본명단!$H5239="",0,COUNTIF(원본명단!$H$3:$H$6002,원본명단!$H5239)))</f>
        <v/>
      </c>
      <c r="F5240" s="11" t="str">
        <f aca="false">IF($A5240="","",IF(원본명단!$I5239="",0,COUNTIF(원본명단!$I$3:$I$6002,원본명단!$I5239)))</f>
        <v/>
      </c>
      <c r="G5240" s="11" t="str">
        <f aca="false">IF($A5240="","",IF(원본명단!$K5239="",0,COUNTIF(원본명단!$K$3:$K$6002,원본명단!$K5239)))</f>
        <v/>
      </c>
      <c r="H5240" s="11" t="str">
        <f aca="false">IF($A5240="","",IF(MAX($E5240,$F5240,$G5240)&gt;1,"중복","-"))</f>
        <v/>
      </c>
      <c r="I5240" s="11" t="str">
        <f aca="false">IF($A5240="","",IF($H5240="-","-",IF(AND(IF(원본명단!$H5239="",TRUE(),COUNTIF(원본명단!$H$3:$H5239,원본명단!$H5239)=1),IF(원본명단!$I5239="",TRUE(),COUNTIF(원본명단!$I$3:$I5239,원본명단!$I5239)=1),IF(원본명단!$K5239="",TRUE(),COUNTIF(원본명단!$K$3:$K5239,원본명단!$K5239)=1)),"첫 건","중복 건")))</f>
        <v/>
      </c>
      <c r="J5240" s="11" t="str">
        <f aca="false">IF($A5240="","",IF($H5240="-","유지",IF($I5240="첫 건","유지","확인 필요")))</f>
        <v/>
      </c>
    </row>
    <row r="5241" customFormat="false" ht="15" hidden="false" customHeight="true" outlineLevel="0" collapsed="false">
      <c r="A5241" s="11" t="str">
        <f aca="false">IF(원본명단!$A5240="","",5238)</f>
        <v/>
      </c>
      <c r="B5241" s="12" t="str">
        <f aca="false">IF($A5241="","",원본명단!$A5240)</f>
        <v/>
      </c>
      <c r="C5241" s="12" t="str">
        <f aca="false">IF($A5241="","",원본명단!$B5240)</f>
        <v/>
      </c>
      <c r="D5241" s="12" t="str">
        <f aca="false">IF($A5241="","",원본명단!$D5240)</f>
        <v/>
      </c>
      <c r="E5241" s="11" t="str">
        <f aca="false">IF($A5241="","",IF(원본명단!$H5240="",0,COUNTIF(원본명단!$H$3:$H$6002,원본명단!$H5240)))</f>
        <v/>
      </c>
      <c r="F5241" s="11" t="str">
        <f aca="false">IF($A5241="","",IF(원본명단!$I5240="",0,COUNTIF(원본명단!$I$3:$I$6002,원본명단!$I5240)))</f>
        <v/>
      </c>
      <c r="G5241" s="11" t="str">
        <f aca="false">IF($A5241="","",IF(원본명단!$K5240="",0,COUNTIF(원본명단!$K$3:$K$6002,원본명단!$K5240)))</f>
        <v/>
      </c>
      <c r="H5241" s="11" t="str">
        <f aca="false">IF($A5241="","",IF(MAX($E5241,$F5241,$G5241)&gt;1,"중복","-"))</f>
        <v/>
      </c>
      <c r="I5241" s="11" t="str">
        <f aca="false">IF($A5241="","",IF($H5241="-","-",IF(AND(IF(원본명단!$H5240="",TRUE(),COUNTIF(원본명단!$H$3:$H5240,원본명단!$H5240)=1),IF(원본명단!$I5240="",TRUE(),COUNTIF(원본명단!$I$3:$I5240,원본명단!$I5240)=1),IF(원본명단!$K5240="",TRUE(),COUNTIF(원본명단!$K$3:$K5240,원본명단!$K5240)=1)),"첫 건","중복 건")))</f>
        <v/>
      </c>
      <c r="J5241" s="11" t="str">
        <f aca="false">IF($A5241="","",IF($H5241="-","유지",IF($I5241="첫 건","유지","확인 필요")))</f>
        <v/>
      </c>
    </row>
    <row r="5242" customFormat="false" ht="15" hidden="false" customHeight="true" outlineLevel="0" collapsed="false">
      <c r="A5242" s="11" t="str">
        <f aca="false">IF(원본명단!$A5241="","",5239)</f>
        <v/>
      </c>
      <c r="B5242" s="12" t="str">
        <f aca="false">IF($A5242="","",원본명단!$A5241)</f>
        <v/>
      </c>
      <c r="C5242" s="12" t="str">
        <f aca="false">IF($A5242="","",원본명단!$B5241)</f>
        <v/>
      </c>
      <c r="D5242" s="12" t="str">
        <f aca="false">IF($A5242="","",원본명단!$D5241)</f>
        <v/>
      </c>
      <c r="E5242" s="11" t="str">
        <f aca="false">IF($A5242="","",IF(원본명단!$H5241="",0,COUNTIF(원본명단!$H$3:$H$6002,원본명단!$H5241)))</f>
        <v/>
      </c>
      <c r="F5242" s="11" t="str">
        <f aca="false">IF($A5242="","",IF(원본명단!$I5241="",0,COUNTIF(원본명단!$I$3:$I$6002,원본명단!$I5241)))</f>
        <v/>
      </c>
      <c r="G5242" s="11" t="str">
        <f aca="false">IF($A5242="","",IF(원본명단!$K5241="",0,COUNTIF(원본명단!$K$3:$K$6002,원본명단!$K5241)))</f>
        <v/>
      </c>
      <c r="H5242" s="11" t="str">
        <f aca="false">IF($A5242="","",IF(MAX($E5242,$F5242,$G5242)&gt;1,"중복","-"))</f>
        <v/>
      </c>
      <c r="I5242" s="11" t="str">
        <f aca="false">IF($A5242="","",IF($H5242="-","-",IF(AND(IF(원본명단!$H5241="",TRUE(),COUNTIF(원본명단!$H$3:$H5241,원본명단!$H5241)=1),IF(원본명단!$I5241="",TRUE(),COUNTIF(원본명단!$I$3:$I5241,원본명단!$I5241)=1),IF(원본명단!$K5241="",TRUE(),COUNTIF(원본명단!$K$3:$K5241,원본명단!$K5241)=1)),"첫 건","중복 건")))</f>
        <v/>
      </c>
      <c r="J5242" s="11" t="str">
        <f aca="false">IF($A5242="","",IF($H5242="-","유지",IF($I5242="첫 건","유지","확인 필요")))</f>
        <v/>
      </c>
    </row>
    <row r="5243" customFormat="false" ht="15" hidden="false" customHeight="true" outlineLevel="0" collapsed="false">
      <c r="A5243" s="11" t="str">
        <f aca="false">IF(원본명단!$A5242="","",5240)</f>
        <v/>
      </c>
      <c r="B5243" s="12" t="str">
        <f aca="false">IF($A5243="","",원본명단!$A5242)</f>
        <v/>
      </c>
      <c r="C5243" s="12" t="str">
        <f aca="false">IF($A5243="","",원본명단!$B5242)</f>
        <v/>
      </c>
      <c r="D5243" s="12" t="str">
        <f aca="false">IF($A5243="","",원본명단!$D5242)</f>
        <v/>
      </c>
      <c r="E5243" s="11" t="str">
        <f aca="false">IF($A5243="","",IF(원본명단!$H5242="",0,COUNTIF(원본명단!$H$3:$H$6002,원본명단!$H5242)))</f>
        <v/>
      </c>
      <c r="F5243" s="11" t="str">
        <f aca="false">IF($A5243="","",IF(원본명단!$I5242="",0,COUNTIF(원본명단!$I$3:$I$6002,원본명단!$I5242)))</f>
        <v/>
      </c>
      <c r="G5243" s="11" t="str">
        <f aca="false">IF($A5243="","",IF(원본명단!$K5242="",0,COUNTIF(원본명단!$K$3:$K$6002,원본명단!$K5242)))</f>
        <v/>
      </c>
      <c r="H5243" s="11" t="str">
        <f aca="false">IF($A5243="","",IF(MAX($E5243,$F5243,$G5243)&gt;1,"중복","-"))</f>
        <v/>
      </c>
      <c r="I5243" s="11" t="str">
        <f aca="false">IF($A5243="","",IF($H5243="-","-",IF(AND(IF(원본명단!$H5242="",TRUE(),COUNTIF(원본명단!$H$3:$H5242,원본명단!$H5242)=1),IF(원본명단!$I5242="",TRUE(),COUNTIF(원본명단!$I$3:$I5242,원본명단!$I5242)=1),IF(원본명단!$K5242="",TRUE(),COUNTIF(원본명단!$K$3:$K5242,원본명단!$K5242)=1)),"첫 건","중복 건")))</f>
        <v/>
      </c>
      <c r="J5243" s="11" t="str">
        <f aca="false">IF($A5243="","",IF($H5243="-","유지",IF($I5243="첫 건","유지","확인 필요")))</f>
        <v/>
      </c>
    </row>
    <row r="5244" customFormat="false" ht="15" hidden="false" customHeight="true" outlineLevel="0" collapsed="false">
      <c r="A5244" s="11" t="str">
        <f aca="false">IF(원본명단!$A5243="","",5241)</f>
        <v/>
      </c>
      <c r="B5244" s="12" t="str">
        <f aca="false">IF($A5244="","",원본명단!$A5243)</f>
        <v/>
      </c>
      <c r="C5244" s="12" t="str">
        <f aca="false">IF($A5244="","",원본명단!$B5243)</f>
        <v/>
      </c>
      <c r="D5244" s="12" t="str">
        <f aca="false">IF($A5244="","",원본명단!$D5243)</f>
        <v/>
      </c>
      <c r="E5244" s="11" t="str">
        <f aca="false">IF($A5244="","",IF(원본명단!$H5243="",0,COUNTIF(원본명단!$H$3:$H$6002,원본명단!$H5243)))</f>
        <v/>
      </c>
      <c r="F5244" s="11" t="str">
        <f aca="false">IF($A5244="","",IF(원본명단!$I5243="",0,COUNTIF(원본명단!$I$3:$I$6002,원본명단!$I5243)))</f>
        <v/>
      </c>
      <c r="G5244" s="11" t="str">
        <f aca="false">IF($A5244="","",IF(원본명단!$K5243="",0,COUNTIF(원본명단!$K$3:$K$6002,원본명단!$K5243)))</f>
        <v/>
      </c>
      <c r="H5244" s="11" t="str">
        <f aca="false">IF($A5244="","",IF(MAX($E5244,$F5244,$G5244)&gt;1,"중복","-"))</f>
        <v/>
      </c>
      <c r="I5244" s="11" t="str">
        <f aca="false">IF($A5244="","",IF($H5244="-","-",IF(AND(IF(원본명단!$H5243="",TRUE(),COUNTIF(원본명단!$H$3:$H5243,원본명단!$H5243)=1),IF(원본명단!$I5243="",TRUE(),COUNTIF(원본명단!$I$3:$I5243,원본명단!$I5243)=1),IF(원본명단!$K5243="",TRUE(),COUNTIF(원본명단!$K$3:$K5243,원본명단!$K5243)=1)),"첫 건","중복 건")))</f>
        <v/>
      </c>
      <c r="J5244" s="11" t="str">
        <f aca="false">IF($A5244="","",IF($H5244="-","유지",IF($I5244="첫 건","유지","확인 필요")))</f>
        <v/>
      </c>
    </row>
    <row r="5245" customFormat="false" ht="15" hidden="false" customHeight="true" outlineLevel="0" collapsed="false">
      <c r="A5245" s="11" t="str">
        <f aca="false">IF(원본명단!$A5244="","",5242)</f>
        <v/>
      </c>
      <c r="B5245" s="12" t="str">
        <f aca="false">IF($A5245="","",원본명단!$A5244)</f>
        <v/>
      </c>
      <c r="C5245" s="12" t="str">
        <f aca="false">IF($A5245="","",원본명단!$B5244)</f>
        <v/>
      </c>
      <c r="D5245" s="12" t="str">
        <f aca="false">IF($A5245="","",원본명단!$D5244)</f>
        <v/>
      </c>
      <c r="E5245" s="11" t="str">
        <f aca="false">IF($A5245="","",IF(원본명단!$H5244="",0,COUNTIF(원본명단!$H$3:$H$6002,원본명단!$H5244)))</f>
        <v/>
      </c>
      <c r="F5245" s="11" t="str">
        <f aca="false">IF($A5245="","",IF(원본명단!$I5244="",0,COUNTIF(원본명단!$I$3:$I$6002,원본명단!$I5244)))</f>
        <v/>
      </c>
      <c r="G5245" s="11" t="str">
        <f aca="false">IF($A5245="","",IF(원본명단!$K5244="",0,COUNTIF(원본명단!$K$3:$K$6002,원본명단!$K5244)))</f>
        <v/>
      </c>
      <c r="H5245" s="11" t="str">
        <f aca="false">IF($A5245="","",IF(MAX($E5245,$F5245,$G5245)&gt;1,"중복","-"))</f>
        <v/>
      </c>
      <c r="I5245" s="11" t="str">
        <f aca="false">IF($A5245="","",IF($H5245="-","-",IF(AND(IF(원본명단!$H5244="",TRUE(),COUNTIF(원본명단!$H$3:$H5244,원본명단!$H5244)=1),IF(원본명단!$I5244="",TRUE(),COUNTIF(원본명단!$I$3:$I5244,원본명단!$I5244)=1),IF(원본명단!$K5244="",TRUE(),COUNTIF(원본명단!$K$3:$K5244,원본명단!$K5244)=1)),"첫 건","중복 건")))</f>
        <v/>
      </c>
      <c r="J5245" s="11" t="str">
        <f aca="false">IF($A5245="","",IF($H5245="-","유지",IF($I5245="첫 건","유지","확인 필요")))</f>
        <v/>
      </c>
    </row>
    <row r="5246" customFormat="false" ht="15" hidden="false" customHeight="true" outlineLevel="0" collapsed="false">
      <c r="A5246" s="11" t="str">
        <f aca="false">IF(원본명단!$A5245="","",5243)</f>
        <v/>
      </c>
      <c r="B5246" s="12" t="str">
        <f aca="false">IF($A5246="","",원본명단!$A5245)</f>
        <v/>
      </c>
      <c r="C5246" s="12" t="str">
        <f aca="false">IF($A5246="","",원본명단!$B5245)</f>
        <v/>
      </c>
      <c r="D5246" s="12" t="str">
        <f aca="false">IF($A5246="","",원본명단!$D5245)</f>
        <v/>
      </c>
      <c r="E5246" s="11" t="str">
        <f aca="false">IF($A5246="","",IF(원본명단!$H5245="",0,COUNTIF(원본명단!$H$3:$H$6002,원본명단!$H5245)))</f>
        <v/>
      </c>
      <c r="F5246" s="11" t="str">
        <f aca="false">IF($A5246="","",IF(원본명단!$I5245="",0,COUNTIF(원본명단!$I$3:$I$6002,원본명단!$I5245)))</f>
        <v/>
      </c>
      <c r="G5246" s="11" t="str">
        <f aca="false">IF($A5246="","",IF(원본명단!$K5245="",0,COUNTIF(원본명단!$K$3:$K$6002,원본명단!$K5245)))</f>
        <v/>
      </c>
      <c r="H5246" s="11" t="str">
        <f aca="false">IF($A5246="","",IF(MAX($E5246,$F5246,$G5246)&gt;1,"중복","-"))</f>
        <v/>
      </c>
      <c r="I5246" s="11" t="str">
        <f aca="false">IF($A5246="","",IF($H5246="-","-",IF(AND(IF(원본명단!$H5245="",TRUE(),COUNTIF(원본명단!$H$3:$H5245,원본명단!$H5245)=1),IF(원본명단!$I5245="",TRUE(),COUNTIF(원본명단!$I$3:$I5245,원본명단!$I5245)=1),IF(원본명단!$K5245="",TRUE(),COUNTIF(원본명단!$K$3:$K5245,원본명단!$K5245)=1)),"첫 건","중복 건")))</f>
        <v/>
      </c>
      <c r="J5246" s="11" t="str">
        <f aca="false">IF($A5246="","",IF($H5246="-","유지",IF($I5246="첫 건","유지","확인 필요")))</f>
        <v/>
      </c>
    </row>
    <row r="5247" customFormat="false" ht="15" hidden="false" customHeight="true" outlineLevel="0" collapsed="false">
      <c r="A5247" s="11" t="str">
        <f aca="false">IF(원본명단!$A5246="","",5244)</f>
        <v/>
      </c>
      <c r="B5247" s="12" t="str">
        <f aca="false">IF($A5247="","",원본명단!$A5246)</f>
        <v/>
      </c>
      <c r="C5247" s="12" t="str">
        <f aca="false">IF($A5247="","",원본명단!$B5246)</f>
        <v/>
      </c>
      <c r="D5247" s="12" t="str">
        <f aca="false">IF($A5247="","",원본명단!$D5246)</f>
        <v/>
      </c>
      <c r="E5247" s="11" t="str">
        <f aca="false">IF($A5247="","",IF(원본명단!$H5246="",0,COUNTIF(원본명단!$H$3:$H$6002,원본명단!$H5246)))</f>
        <v/>
      </c>
      <c r="F5247" s="11" t="str">
        <f aca="false">IF($A5247="","",IF(원본명단!$I5246="",0,COUNTIF(원본명단!$I$3:$I$6002,원본명단!$I5246)))</f>
        <v/>
      </c>
      <c r="G5247" s="11" t="str">
        <f aca="false">IF($A5247="","",IF(원본명단!$K5246="",0,COUNTIF(원본명단!$K$3:$K$6002,원본명단!$K5246)))</f>
        <v/>
      </c>
      <c r="H5247" s="11" t="str">
        <f aca="false">IF($A5247="","",IF(MAX($E5247,$F5247,$G5247)&gt;1,"중복","-"))</f>
        <v/>
      </c>
      <c r="I5247" s="11" t="str">
        <f aca="false">IF($A5247="","",IF($H5247="-","-",IF(AND(IF(원본명단!$H5246="",TRUE(),COUNTIF(원본명단!$H$3:$H5246,원본명단!$H5246)=1),IF(원본명단!$I5246="",TRUE(),COUNTIF(원본명단!$I$3:$I5246,원본명단!$I5246)=1),IF(원본명단!$K5246="",TRUE(),COUNTIF(원본명단!$K$3:$K5246,원본명단!$K5246)=1)),"첫 건","중복 건")))</f>
        <v/>
      </c>
      <c r="J5247" s="11" t="str">
        <f aca="false">IF($A5247="","",IF($H5247="-","유지",IF($I5247="첫 건","유지","확인 필요")))</f>
        <v/>
      </c>
    </row>
    <row r="5248" customFormat="false" ht="15" hidden="false" customHeight="true" outlineLevel="0" collapsed="false">
      <c r="A5248" s="11" t="str">
        <f aca="false">IF(원본명단!$A5247="","",5245)</f>
        <v/>
      </c>
      <c r="B5248" s="12" t="str">
        <f aca="false">IF($A5248="","",원본명단!$A5247)</f>
        <v/>
      </c>
      <c r="C5248" s="12" t="str">
        <f aca="false">IF($A5248="","",원본명단!$B5247)</f>
        <v/>
      </c>
      <c r="D5248" s="12" t="str">
        <f aca="false">IF($A5248="","",원본명단!$D5247)</f>
        <v/>
      </c>
      <c r="E5248" s="11" t="str">
        <f aca="false">IF($A5248="","",IF(원본명단!$H5247="",0,COUNTIF(원본명단!$H$3:$H$6002,원본명단!$H5247)))</f>
        <v/>
      </c>
      <c r="F5248" s="11" t="str">
        <f aca="false">IF($A5248="","",IF(원본명단!$I5247="",0,COUNTIF(원본명단!$I$3:$I$6002,원본명단!$I5247)))</f>
        <v/>
      </c>
      <c r="G5248" s="11" t="str">
        <f aca="false">IF($A5248="","",IF(원본명단!$K5247="",0,COUNTIF(원본명단!$K$3:$K$6002,원본명단!$K5247)))</f>
        <v/>
      </c>
      <c r="H5248" s="11" t="str">
        <f aca="false">IF($A5248="","",IF(MAX($E5248,$F5248,$G5248)&gt;1,"중복","-"))</f>
        <v/>
      </c>
      <c r="I5248" s="11" t="str">
        <f aca="false">IF($A5248="","",IF($H5248="-","-",IF(AND(IF(원본명단!$H5247="",TRUE(),COUNTIF(원본명단!$H$3:$H5247,원본명단!$H5247)=1),IF(원본명단!$I5247="",TRUE(),COUNTIF(원본명단!$I$3:$I5247,원본명단!$I5247)=1),IF(원본명단!$K5247="",TRUE(),COUNTIF(원본명단!$K$3:$K5247,원본명단!$K5247)=1)),"첫 건","중복 건")))</f>
        <v/>
      </c>
      <c r="J5248" s="11" t="str">
        <f aca="false">IF($A5248="","",IF($H5248="-","유지",IF($I5248="첫 건","유지","확인 필요")))</f>
        <v/>
      </c>
    </row>
    <row r="5249" customFormat="false" ht="15" hidden="false" customHeight="true" outlineLevel="0" collapsed="false">
      <c r="A5249" s="11" t="str">
        <f aca="false">IF(원본명단!$A5248="","",5246)</f>
        <v/>
      </c>
      <c r="B5249" s="12" t="str">
        <f aca="false">IF($A5249="","",원본명단!$A5248)</f>
        <v/>
      </c>
      <c r="C5249" s="12" t="str">
        <f aca="false">IF($A5249="","",원본명단!$B5248)</f>
        <v/>
      </c>
      <c r="D5249" s="12" t="str">
        <f aca="false">IF($A5249="","",원본명단!$D5248)</f>
        <v/>
      </c>
      <c r="E5249" s="11" t="str">
        <f aca="false">IF($A5249="","",IF(원본명단!$H5248="",0,COUNTIF(원본명단!$H$3:$H$6002,원본명단!$H5248)))</f>
        <v/>
      </c>
      <c r="F5249" s="11" t="str">
        <f aca="false">IF($A5249="","",IF(원본명단!$I5248="",0,COUNTIF(원본명단!$I$3:$I$6002,원본명단!$I5248)))</f>
        <v/>
      </c>
      <c r="G5249" s="11" t="str">
        <f aca="false">IF($A5249="","",IF(원본명단!$K5248="",0,COUNTIF(원본명단!$K$3:$K$6002,원본명단!$K5248)))</f>
        <v/>
      </c>
      <c r="H5249" s="11" t="str">
        <f aca="false">IF($A5249="","",IF(MAX($E5249,$F5249,$G5249)&gt;1,"중복","-"))</f>
        <v/>
      </c>
      <c r="I5249" s="11" t="str">
        <f aca="false">IF($A5249="","",IF($H5249="-","-",IF(AND(IF(원본명단!$H5248="",TRUE(),COUNTIF(원본명단!$H$3:$H5248,원본명단!$H5248)=1),IF(원본명단!$I5248="",TRUE(),COUNTIF(원본명단!$I$3:$I5248,원본명단!$I5248)=1),IF(원본명단!$K5248="",TRUE(),COUNTIF(원본명단!$K$3:$K5248,원본명단!$K5248)=1)),"첫 건","중복 건")))</f>
        <v/>
      </c>
      <c r="J5249" s="11" t="str">
        <f aca="false">IF($A5249="","",IF($H5249="-","유지",IF($I5249="첫 건","유지","확인 필요")))</f>
        <v/>
      </c>
    </row>
    <row r="5250" customFormat="false" ht="15" hidden="false" customHeight="true" outlineLevel="0" collapsed="false">
      <c r="A5250" s="11" t="str">
        <f aca="false">IF(원본명단!$A5249="","",5247)</f>
        <v/>
      </c>
      <c r="B5250" s="12" t="str">
        <f aca="false">IF($A5250="","",원본명단!$A5249)</f>
        <v/>
      </c>
      <c r="C5250" s="12" t="str">
        <f aca="false">IF($A5250="","",원본명단!$B5249)</f>
        <v/>
      </c>
      <c r="D5250" s="12" t="str">
        <f aca="false">IF($A5250="","",원본명단!$D5249)</f>
        <v/>
      </c>
      <c r="E5250" s="11" t="str">
        <f aca="false">IF($A5250="","",IF(원본명단!$H5249="",0,COUNTIF(원본명단!$H$3:$H$6002,원본명단!$H5249)))</f>
        <v/>
      </c>
      <c r="F5250" s="11" t="str">
        <f aca="false">IF($A5250="","",IF(원본명단!$I5249="",0,COUNTIF(원본명단!$I$3:$I$6002,원본명단!$I5249)))</f>
        <v/>
      </c>
      <c r="G5250" s="11" t="str">
        <f aca="false">IF($A5250="","",IF(원본명단!$K5249="",0,COUNTIF(원본명단!$K$3:$K$6002,원본명단!$K5249)))</f>
        <v/>
      </c>
      <c r="H5250" s="11" t="str">
        <f aca="false">IF($A5250="","",IF(MAX($E5250,$F5250,$G5250)&gt;1,"중복","-"))</f>
        <v/>
      </c>
      <c r="I5250" s="11" t="str">
        <f aca="false">IF($A5250="","",IF($H5250="-","-",IF(AND(IF(원본명단!$H5249="",TRUE(),COUNTIF(원본명단!$H$3:$H5249,원본명단!$H5249)=1),IF(원본명단!$I5249="",TRUE(),COUNTIF(원본명단!$I$3:$I5249,원본명단!$I5249)=1),IF(원본명단!$K5249="",TRUE(),COUNTIF(원본명단!$K$3:$K5249,원본명단!$K5249)=1)),"첫 건","중복 건")))</f>
        <v/>
      </c>
      <c r="J5250" s="11" t="str">
        <f aca="false">IF($A5250="","",IF($H5250="-","유지",IF($I5250="첫 건","유지","확인 필요")))</f>
        <v/>
      </c>
    </row>
    <row r="5251" customFormat="false" ht="15" hidden="false" customHeight="true" outlineLevel="0" collapsed="false">
      <c r="A5251" s="11" t="str">
        <f aca="false">IF(원본명단!$A5250="","",5248)</f>
        <v/>
      </c>
      <c r="B5251" s="12" t="str">
        <f aca="false">IF($A5251="","",원본명단!$A5250)</f>
        <v/>
      </c>
      <c r="C5251" s="12" t="str">
        <f aca="false">IF($A5251="","",원본명단!$B5250)</f>
        <v/>
      </c>
      <c r="D5251" s="12" t="str">
        <f aca="false">IF($A5251="","",원본명단!$D5250)</f>
        <v/>
      </c>
      <c r="E5251" s="11" t="str">
        <f aca="false">IF($A5251="","",IF(원본명단!$H5250="",0,COUNTIF(원본명단!$H$3:$H$6002,원본명단!$H5250)))</f>
        <v/>
      </c>
      <c r="F5251" s="11" t="str">
        <f aca="false">IF($A5251="","",IF(원본명단!$I5250="",0,COUNTIF(원본명단!$I$3:$I$6002,원본명단!$I5250)))</f>
        <v/>
      </c>
      <c r="G5251" s="11" t="str">
        <f aca="false">IF($A5251="","",IF(원본명단!$K5250="",0,COUNTIF(원본명단!$K$3:$K$6002,원본명단!$K5250)))</f>
        <v/>
      </c>
      <c r="H5251" s="11" t="str">
        <f aca="false">IF($A5251="","",IF(MAX($E5251,$F5251,$G5251)&gt;1,"중복","-"))</f>
        <v/>
      </c>
      <c r="I5251" s="11" t="str">
        <f aca="false">IF($A5251="","",IF($H5251="-","-",IF(AND(IF(원본명단!$H5250="",TRUE(),COUNTIF(원본명단!$H$3:$H5250,원본명단!$H5250)=1),IF(원본명단!$I5250="",TRUE(),COUNTIF(원본명단!$I$3:$I5250,원본명단!$I5250)=1),IF(원본명단!$K5250="",TRUE(),COUNTIF(원본명단!$K$3:$K5250,원본명단!$K5250)=1)),"첫 건","중복 건")))</f>
        <v/>
      </c>
      <c r="J5251" s="11" t="str">
        <f aca="false">IF($A5251="","",IF($H5251="-","유지",IF($I5251="첫 건","유지","확인 필요")))</f>
        <v/>
      </c>
    </row>
    <row r="5252" customFormat="false" ht="15" hidden="false" customHeight="true" outlineLevel="0" collapsed="false">
      <c r="A5252" s="11" t="str">
        <f aca="false">IF(원본명단!$A5251="","",5249)</f>
        <v/>
      </c>
      <c r="B5252" s="12" t="str">
        <f aca="false">IF($A5252="","",원본명단!$A5251)</f>
        <v/>
      </c>
      <c r="C5252" s="12" t="str">
        <f aca="false">IF($A5252="","",원본명단!$B5251)</f>
        <v/>
      </c>
      <c r="D5252" s="12" t="str">
        <f aca="false">IF($A5252="","",원본명단!$D5251)</f>
        <v/>
      </c>
      <c r="E5252" s="11" t="str">
        <f aca="false">IF($A5252="","",IF(원본명단!$H5251="",0,COUNTIF(원본명단!$H$3:$H$6002,원본명단!$H5251)))</f>
        <v/>
      </c>
      <c r="F5252" s="11" t="str">
        <f aca="false">IF($A5252="","",IF(원본명단!$I5251="",0,COUNTIF(원본명단!$I$3:$I$6002,원본명단!$I5251)))</f>
        <v/>
      </c>
      <c r="G5252" s="11" t="str">
        <f aca="false">IF($A5252="","",IF(원본명단!$K5251="",0,COUNTIF(원본명단!$K$3:$K$6002,원본명단!$K5251)))</f>
        <v/>
      </c>
      <c r="H5252" s="11" t="str">
        <f aca="false">IF($A5252="","",IF(MAX($E5252,$F5252,$G5252)&gt;1,"중복","-"))</f>
        <v/>
      </c>
      <c r="I5252" s="11" t="str">
        <f aca="false">IF($A5252="","",IF($H5252="-","-",IF(AND(IF(원본명단!$H5251="",TRUE(),COUNTIF(원본명단!$H$3:$H5251,원본명단!$H5251)=1),IF(원본명단!$I5251="",TRUE(),COUNTIF(원본명단!$I$3:$I5251,원본명단!$I5251)=1),IF(원본명단!$K5251="",TRUE(),COUNTIF(원본명단!$K$3:$K5251,원본명단!$K5251)=1)),"첫 건","중복 건")))</f>
        <v/>
      </c>
      <c r="J5252" s="11" t="str">
        <f aca="false">IF($A5252="","",IF($H5252="-","유지",IF($I5252="첫 건","유지","확인 필요")))</f>
        <v/>
      </c>
    </row>
    <row r="5253" customFormat="false" ht="15" hidden="false" customHeight="true" outlineLevel="0" collapsed="false">
      <c r="A5253" s="11" t="str">
        <f aca="false">IF(원본명단!$A5252="","",5250)</f>
        <v/>
      </c>
      <c r="B5253" s="12" t="str">
        <f aca="false">IF($A5253="","",원본명단!$A5252)</f>
        <v/>
      </c>
      <c r="C5253" s="12" t="str">
        <f aca="false">IF($A5253="","",원본명단!$B5252)</f>
        <v/>
      </c>
      <c r="D5253" s="12" t="str">
        <f aca="false">IF($A5253="","",원본명단!$D5252)</f>
        <v/>
      </c>
      <c r="E5253" s="11" t="str">
        <f aca="false">IF($A5253="","",IF(원본명단!$H5252="",0,COUNTIF(원본명단!$H$3:$H$6002,원본명단!$H5252)))</f>
        <v/>
      </c>
      <c r="F5253" s="11" t="str">
        <f aca="false">IF($A5253="","",IF(원본명단!$I5252="",0,COUNTIF(원본명단!$I$3:$I$6002,원본명단!$I5252)))</f>
        <v/>
      </c>
      <c r="G5253" s="11" t="str">
        <f aca="false">IF($A5253="","",IF(원본명단!$K5252="",0,COUNTIF(원본명단!$K$3:$K$6002,원본명단!$K5252)))</f>
        <v/>
      </c>
      <c r="H5253" s="11" t="str">
        <f aca="false">IF($A5253="","",IF(MAX($E5253,$F5253,$G5253)&gt;1,"중복","-"))</f>
        <v/>
      </c>
      <c r="I5253" s="11" t="str">
        <f aca="false">IF($A5253="","",IF($H5253="-","-",IF(AND(IF(원본명단!$H5252="",TRUE(),COUNTIF(원본명단!$H$3:$H5252,원본명단!$H5252)=1),IF(원본명단!$I5252="",TRUE(),COUNTIF(원본명단!$I$3:$I5252,원본명단!$I5252)=1),IF(원본명단!$K5252="",TRUE(),COUNTIF(원본명단!$K$3:$K5252,원본명단!$K5252)=1)),"첫 건","중복 건")))</f>
        <v/>
      </c>
      <c r="J5253" s="11" t="str">
        <f aca="false">IF($A5253="","",IF($H5253="-","유지",IF($I5253="첫 건","유지","확인 필요")))</f>
        <v/>
      </c>
    </row>
    <row r="5254" customFormat="false" ht="15" hidden="false" customHeight="true" outlineLevel="0" collapsed="false">
      <c r="A5254" s="11" t="str">
        <f aca="false">IF(원본명단!$A5253="","",5251)</f>
        <v/>
      </c>
      <c r="B5254" s="12" t="str">
        <f aca="false">IF($A5254="","",원본명단!$A5253)</f>
        <v/>
      </c>
      <c r="C5254" s="12" t="str">
        <f aca="false">IF($A5254="","",원본명단!$B5253)</f>
        <v/>
      </c>
      <c r="D5254" s="12" t="str">
        <f aca="false">IF($A5254="","",원본명단!$D5253)</f>
        <v/>
      </c>
      <c r="E5254" s="11" t="str">
        <f aca="false">IF($A5254="","",IF(원본명단!$H5253="",0,COUNTIF(원본명단!$H$3:$H$6002,원본명단!$H5253)))</f>
        <v/>
      </c>
      <c r="F5254" s="11" t="str">
        <f aca="false">IF($A5254="","",IF(원본명단!$I5253="",0,COUNTIF(원본명단!$I$3:$I$6002,원본명단!$I5253)))</f>
        <v/>
      </c>
      <c r="G5254" s="11" t="str">
        <f aca="false">IF($A5254="","",IF(원본명단!$K5253="",0,COUNTIF(원본명단!$K$3:$K$6002,원본명단!$K5253)))</f>
        <v/>
      </c>
      <c r="H5254" s="11" t="str">
        <f aca="false">IF($A5254="","",IF(MAX($E5254,$F5254,$G5254)&gt;1,"중복","-"))</f>
        <v/>
      </c>
      <c r="I5254" s="11" t="str">
        <f aca="false">IF($A5254="","",IF($H5254="-","-",IF(AND(IF(원본명단!$H5253="",TRUE(),COUNTIF(원본명단!$H$3:$H5253,원본명단!$H5253)=1),IF(원본명단!$I5253="",TRUE(),COUNTIF(원본명단!$I$3:$I5253,원본명단!$I5253)=1),IF(원본명단!$K5253="",TRUE(),COUNTIF(원본명단!$K$3:$K5253,원본명단!$K5253)=1)),"첫 건","중복 건")))</f>
        <v/>
      </c>
      <c r="J5254" s="11" t="str">
        <f aca="false">IF($A5254="","",IF($H5254="-","유지",IF($I5254="첫 건","유지","확인 필요")))</f>
        <v/>
      </c>
    </row>
    <row r="5255" customFormat="false" ht="15" hidden="false" customHeight="true" outlineLevel="0" collapsed="false">
      <c r="A5255" s="11" t="str">
        <f aca="false">IF(원본명단!$A5254="","",5252)</f>
        <v/>
      </c>
      <c r="B5255" s="12" t="str">
        <f aca="false">IF($A5255="","",원본명단!$A5254)</f>
        <v/>
      </c>
      <c r="C5255" s="12" t="str">
        <f aca="false">IF($A5255="","",원본명단!$B5254)</f>
        <v/>
      </c>
      <c r="D5255" s="12" t="str">
        <f aca="false">IF($A5255="","",원본명단!$D5254)</f>
        <v/>
      </c>
      <c r="E5255" s="11" t="str">
        <f aca="false">IF($A5255="","",IF(원본명단!$H5254="",0,COUNTIF(원본명단!$H$3:$H$6002,원본명단!$H5254)))</f>
        <v/>
      </c>
      <c r="F5255" s="11" t="str">
        <f aca="false">IF($A5255="","",IF(원본명단!$I5254="",0,COUNTIF(원본명단!$I$3:$I$6002,원본명단!$I5254)))</f>
        <v/>
      </c>
      <c r="G5255" s="11" t="str">
        <f aca="false">IF($A5255="","",IF(원본명단!$K5254="",0,COUNTIF(원본명단!$K$3:$K$6002,원본명단!$K5254)))</f>
        <v/>
      </c>
      <c r="H5255" s="11" t="str">
        <f aca="false">IF($A5255="","",IF(MAX($E5255,$F5255,$G5255)&gt;1,"중복","-"))</f>
        <v/>
      </c>
      <c r="I5255" s="11" t="str">
        <f aca="false">IF($A5255="","",IF($H5255="-","-",IF(AND(IF(원본명단!$H5254="",TRUE(),COUNTIF(원본명단!$H$3:$H5254,원본명단!$H5254)=1),IF(원본명단!$I5254="",TRUE(),COUNTIF(원본명단!$I$3:$I5254,원본명단!$I5254)=1),IF(원본명단!$K5254="",TRUE(),COUNTIF(원본명단!$K$3:$K5254,원본명단!$K5254)=1)),"첫 건","중복 건")))</f>
        <v/>
      </c>
      <c r="J5255" s="11" t="str">
        <f aca="false">IF($A5255="","",IF($H5255="-","유지",IF($I5255="첫 건","유지","확인 필요")))</f>
        <v/>
      </c>
    </row>
    <row r="5256" customFormat="false" ht="15" hidden="false" customHeight="true" outlineLevel="0" collapsed="false">
      <c r="A5256" s="11" t="str">
        <f aca="false">IF(원본명단!$A5255="","",5253)</f>
        <v/>
      </c>
      <c r="B5256" s="12" t="str">
        <f aca="false">IF($A5256="","",원본명단!$A5255)</f>
        <v/>
      </c>
      <c r="C5256" s="12" t="str">
        <f aca="false">IF($A5256="","",원본명단!$B5255)</f>
        <v/>
      </c>
      <c r="D5256" s="12" t="str">
        <f aca="false">IF($A5256="","",원본명단!$D5255)</f>
        <v/>
      </c>
      <c r="E5256" s="11" t="str">
        <f aca="false">IF($A5256="","",IF(원본명단!$H5255="",0,COUNTIF(원본명단!$H$3:$H$6002,원본명단!$H5255)))</f>
        <v/>
      </c>
      <c r="F5256" s="11" t="str">
        <f aca="false">IF($A5256="","",IF(원본명단!$I5255="",0,COUNTIF(원본명단!$I$3:$I$6002,원본명단!$I5255)))</f>
        <v/>
      </c>
      <c r="G5256" s="11" t="str">
        <f aca="false">IF($A5256="","",IF(원본명단!$K5255="",0,COUNTIF(원본명단!$K$3:$K$6002,원본명단!$K5255)))</f>
        <v/>
      </c>
      <c r="H5256" s="11" t="str">
        <f aca="false">IF($A5256="","",IF(MAX($E5256,$F5256,$G5256)&gt;1,"중복","-"))</f>
        <v/>
      </c>
      <c r="I5256" s="11" t="str">
        <f aca="false">IF($A5256="","",IF($H5256="-","-",IF(AND(IF(원본명단!$H5255="",TRUE(),COUNTIF(원본명단!$H$3:$H5255,원본명단!$H5255)=1),IF(원본명단!$I5255="",TRUE(),COUNTIF(원본명단!$I$3:$I5255,원본명단!$I5255)=1),IF(원본명단!$K5255="",TRUE(),COUNTIF(원본명단!$K$3:$K5255,원본명단!$K5255)=1)),"첫 건","중복 건")))</f>
        <v/>
      </c>
      <c r="J5256" s="11" t="str">
        <f aca="false">IF($A5256="","",IF($H5256="-","유지",IF($I5256="첫 건","유지","확인 필요")))</f>
        <v/>
      </c>
    </row>
    <row r="5257" customFormat="false" ht="15" hidden="false" customHeight="true" outlineLevel="0" collapsed="false">
      <c r="A5257" s="11" t="str">
        <f aca="false">IF(원본명단!$A5256="","",5254)</f>
        <v/>
      </c>
      <c r="B5257" s="12" t="str">
        <f aca="false">IF($A5257="","",원본명단!$A5256)</f>
        <v/>
      </c>
      <c r="C5257" s="12" t="str">
        <f aca="false">IF($A5257="","",원본명단!$B5256)</f>
        <v/>
      </c>
      <c r="D5257" s="12" t="str">
        <f aca="false">IF($A5257="","",원본명단!$D5256)</f>
        <v/>
      </c>
      <c r="E5257" s="11" t="str">
        <f aca="false">IF($A5257="","",IF(원본명단!$H5256="",0,COUNTIF(원본명단!$H$3:$H$6002,원본명단!$H5256)))</f>
        <v/>
      </c>
      <c r="F5257" s="11" t="str">
        <f aca="false">IF($A5257="","",IF(원본명단!$I5256="",0,COUNTIF(원본명단!$I$3:$I$6002,원본명단!$I5256)))</f>
        <v/>
      </c>
      <c r="G5257" s="11" t="str">
        <f aca="false">IF($A5257="","",IF(원본명단!$K5256="",0,COUNTIF(원본명단!$K$3:$K$6002,원본명단!$K5256)))</f>
        <v/>
      </c>
      <c r="H5257" s="11" t="str">
        <f aca="false">IF($A5257="","",IF(MAX($E5257,$F5257,$G5257)&gt;1,"중복","-"))</f>
        <v/>
      </c>
      <c r="I5257" s="11" t="str">
        <f aca="false">IF($A5257="","",IF($H5257="-","-",IF(AND(IF(원본명단!$H5256="",TRUE(),COUNTIF(원본명단!$H$3:$H5256,원본명단!$H5256)=1),IF(원본명단!$I5256="",TRUE(),COUNTIF(원본명단!$I$3:$I5256,원본명단!$I5256)=1),IF(원본명단!$K5256="",TRUE(),COUNTIF(원본명단!$K$3:$K5256,원본명단!$K5256)=1)),"첫 건","중복 건")))</f>
        <v/>
      </c>
      <c r="J5257" s="11" t="str">
        <f aca="false">IF($A5257="","",IF($H5257="-","유지",IF($I5257="첫 건","유지","확인 필요")))</f>
        <v/>
      </c>
    </row>
    <row r="5258" customFormat="false" ht="15" hidden="false" customHeight="true" outlineLevel="0" collapsed="false">
      <c r="A5258" s="11" t="str">
        <f aca="false">IF(원본명단!$A5257="","",5255)</f>
        <v/>
      </c>
      <c r="B5258" s="12" t="str">
        <f aca="false">IF($A5258="","",원본명단!$A5257)</f>
        <v/>
      </c>
      <c r="C5258" s="12" t="str">
        <f aca="false">IF($A5258="","",원본명단!$B5257)</f>
        <v/>
      </c>
      <c r="D5258" s="12" t="str">
        <f aca="false">IF($A5258="","",원본명단!$D5257)</f>
        <v/>
      </c>
      <c r="E5258" s="11" t="str">
        <f aca="false">IF($A5258="","",IF(원본명단!$H5257="",0,COUNTIF(원본명단!$H$3:$H$6002,원본명단!$H5257)))</f>
        <v/>
      </c>
      <c r="F5258" s="11" t="str">
        <f aca="false">IF($A5258="","",IF(원본명단!$I5257="",0,COUNTIF(원본명단!$I$3:$I$6002,원본명단!$I5257)))</f>
        <v/>
      </c>
      <c r="G5258" s="11" t="str">
        <f aca="false">IF($A5258="","",IF(원본명단!$K5257="",0,COUNTIF(원본명단!$K$3:$K$6002,원본명단!$K5257)))</f>
        <v/>
      </c>
      <c r="H5258" s="11" t="str">
        <f aca="false">IF($A5258="","",IF(MAX($E5258,$F5258,$G5258)&gt;1,"중복","-"))</f>
        <v/>
      </c>
      <c r="I5258" s="11" t="str">
        <f aca="false">IF($A5258="","",IF($H5258="-","-",IF(AND(IF(원본명단!$H5257="",TRUE(),COUNTIF(원본명단!$H$3:$H5257,원본명단!$H5257)=1),IF(원본명단!$I5257="",TRUE(),COUNTIF(원본명단!$I$3:$I5257,원본명단!$I5257)=1),IF(원본명단!$K5257="",TRUE(),COUNTIF(원본명단!$K$3:$K5257,원본명단!$K5257)=1)),"첫 건","중복 건")))</f>
        <v/>
      </c>
      <c r="J5258" s="11" t="str">
        <f aca="false">IF($A5258="","",IF($H5258="-","유지",IF($I5258="첫 건","유지","확인 필요")))</f>
        <v/>
      </c>
    </row>
    <row r="5259" customFormat="false" ht="15" hidden="false" customHeight="true" outlineLevel="0" collapsed="false">
      <c r="A5259" s="11" t="str">
        <f aca="false">IF(원본명단!$A5258="","",5256)</f>
        <v/>
      </c>
      <c r="B5259" s="12" t="str">
        <f aca="false">IF($A5259="","",원본명단!$A5258)</f>
        <v/>
      </c>
      <c r="C5259" s="12" t="str">
        <f aca="false">IF($A5259="","",원본명단!$B5258)</f>
        <v/>
      </c>
      <c r="D5259" s="12" t="str">
        <f aca="false">IF($A5259="","",원본명단!$D5258)</f>
        <v/>
      </c>
      <c r="E5259" s="11" t="str">
        <f aca="false">IF($A5259="","",IF(원본명단!$H5258="",0,COUNTIF(원본명단!$H$3:$H$6002,원본명단!$H5258)))</f>
        <v/>
      </c>
      <c r="F5259" s="11" t="str">
        <f aca="false">IF($A5259="","",IF(원본명단!$I5258="",0,COUNTIF(원본명단!$I$3:$I$6002,원본명단!$I5258)))</f>
        <v/>
      </c>
      <c r="G5259" s="11" t="str">
        <f aca="false">IF($A5259="","",IF(원본명단!$K5258="",0,COUNTIF(원본명단!$K$3:$K$6002,원본명단!$K5258)))</f>
        <v/>
      </c>
      <c r="H5259" s="11" t="str">
        <f aca="false">IF($A5259="","",IF(MAX($E5259,$F5259,$G5259)&gt;1,"중복","-"))</f>
        <v/>
      </c>
      <c r="I5259" s="11" t="str">
        <f aca="false">IF($A5259="","",IF($H5259="-","-",IF(AND(IF(원본명단!$H5258="",TRUE(),COUNTIF(원본명단!$H$3:$H5258,원본명단!$H5258)=1),IF(원본명단!$I5258="",TRUE(),COUNTIF(원본명단!$I$3:$I5258,원본명단!$I5258)=1),IF(원본명단!$K5258="",TRUE(),COUNTIF(원본명단!$K$3:$K5258,원본명단!$K5258)=1)),"첫 건","중복 건")))</f>
        <v/>
      </c>
      <c r="J5259" s="11" t="str">
        <f aca="false">IF($A5259="","",IF($H5259="-","유지",IF($I5259="첫 건","유지","확인 필요")))</f>
        <v/>
      </c>
    </row>
    <row r="5260" customFormat="false" ht="15" hidden="false" customHeight="true" outlineLevel="0" collapsed="false">
      <c r="A5260" s="11" t="str">
        <f aca="false">IF(원본명단!$A5259="","",5257)</f>
        <v/>
      </c>
      <c r="B5260" s="12" t="str">
        <f aca="false">IF($A5260="","",원본명단!$A5259)</f>
        <v/>
      </c>
      <c r="C5260" s="12" t="str">
        <f aca="false">IF($A5260="","",원본명단!$B5259)</f>
        <v/>
      </c>
      <c r="D5260" s="12" t="str">
        <f aca="false">IF($A5260="","",원본명단!$D5259)</f>
        <v/>
      </c>
      <c r="E5260" s="11" t="str">
        <f aca="false">IF($A5260="","",IF(원본명단!$H5259="",0,COUNTIF(원본명단!$H$3:$H$6002,원본명단!$H5259)))</f>
        <v/>
      </c>
      <c r="F5260" s="11" t="str">
        <f aca="false">IF($A5260="","",IF(원본명단!$I5259="",0,COUNTIF(원본명단!$I$3:$I$6002,원본명단!$I5259)))</f>
        <v/>
      </c>
      <c r="G5260" s="11" t="str">
        <f aca="false">IF($A5260="","",IF(원본명단!$K5259="",0,COUNTIF(원본명단!$K$3:$K$6002,원본명단!$K5259)))</f>
        <v/>
      </c>
      <c r="H5260" s="11" t="str">
        <f aca="false">IF($A5260="","",IF(MAX($E5260,$F5260,$G5260)&gt;1,"중복","-"))</f>
        <v/>
      </c>
      <c r="I5260" s="11" t="str">
        <f aca="false">IF($A5260="","",IF($H5260="-","-",IF(AND(IF(원본명단!$H5259="",TRUE(),COUNTIF(원본명단!$H$3:$H5259,원본명단!$H5259)=1),IF(원본명단!$I5259="",TRUE(),COUNTIF(원본명단!$I$3:$I5259,원본명단!$I5259)=1),IF(원본명단!$K5259="",TRUE(),COUNTIF(원본명단!$K$3:$K5259,원본명단!$K5259)=1)),"첫 건","중복 건")))</f>
        <v/>
      </c>
      <c r="J5260" s="11" t="str">
        <f aca="false">IF($A5260="","",IF($H5260="-","유지",IF($I5260="첫 건","유지","확인 필요")))</f>
        <v/>
      </c>
    </row>
    <row r="5261" customFormat="false" ht="15" hidden="false" customHeight="true" outlineLevel="0" collapsed="false">
      <c r="A5261" s="11" t="str">
        <f aca="false">IF(원본명단!$A5260="","",5258)</f>
        <v/>
      </c>
      <c r="B5261" s="12" t="str">
        <f aca="false">IF($A5261="","",원본명단!$A5260)</f>
        <v/>
      </c>
      <c r="C5261" s="12" t="str">
        <f aca="false">IF($A5261="","",원본명단!$B5260)</f>
        <v/>
      </c>
      <c r="D5261" s="12" t="str">
        <f aca="false">IF($A5261="","",원본명단!$D5260)</f>
        <v/>
      </c>
      <c r="E5261" s="11" t="str">
        <f aca="false">IF($A5261="","",IF(원본명단!$H5260="",0,COUNTIF(원본명단!$H$3:$H$6002,원본명단!$H5260)))</f>
        <v/>
      </c>
      <c r="F5261" s="11" t="str">
        <f aca="false">IF($A5261="","",IF(원본명단!$I5260="",0,COUNTIF(원본명단!$I$3:$I$6002,원본명단!$I5260)))</f>
        <v/>
      </c>
      <c r="G5261" s="11" t="str">
        <f aca="false">IF($A5261="","",IF(원본명단!$K5260="",0,COUNTIF(원본명단!$K$3:$K$6002,원본명단!$K5260)))</f>
        <v/>
      </c>
      <c r="H5261" s="11" t="str">
        <f aca="false">IF($A5261="","",IF(MAX($E5261,$F5261,$G5261)&gt;1,"중복","-"))</f>
        <v/>
      </c>
      <c r="I5261" s="11" t="str">
        <f aca="false">IF($A5261="","",IF($H5261="-","-",IF(AND(IF(원본명단!$H5260="",TRUE(),COUNTIF(원본명단!$H$3:$H5260,원본명단!$H5260)=1),IF(원본명단!$I5260="",TRUE(),COUNTIF(원본명단!$I$3:$I5260,원본명단!$I5260)=1),IF(원본명단!$K5260="",TRUE(),COUNTIF(원본명단!$K$3:$K5260,원본명단!$K5260)=1)),"첫 건","중복 건")))</f>
        <v/>
      </c>
      <c r="J5261" s="11" t="str">
        <f aca="false">IF($A5261="","",IF($H5261="-","유지",IF($I5261="첫 건","유지","확인 필요")))</f>
        <v/>
      </c>
    </row>
    <row r="5262" customFormat="false" ht="15" hidden="false" customHeight="true" outlineLevel="0" collapsed="false">
      <c r="A5262" s="11" t="str">
        <f aca="false">IF(원본명단!$A5261="","",5259)</f>
        <v/>
      </c>
      <c r="B5262" s="12" t="str">
        <f aca="false">IF($A5262="","",원본명단!$A5261)</f>
        <v/>
      </c>
      <c r="C5262" s="12" t="str">
        <f aca="false">IF($A5262="","",원본명단!$B5261)</f>
        <v/>
      </c>
      <c r="D5262" s="12" t="str">
        <f aca="false">IF($A5262="","",원본명단!$D5261)</f>
        <v/>
      </c>
      <c r="E5262" s="11" t="str">
        <f aca="false">IF($A5262="","",IF(원본명단!$H5261="",0,COUNTIF(원본명단!$H$3:$H$6002,원본명단!$H5261)))</f>
        <v/>
      </c>
      <c r="F5262" s="11" t="str">
        <f aca="false">IF($A5262="","",IF(원본명단!$I5261="",0,COUNTIF(원본명단!$I$3:$I$6002,원본명단!$I5261)))</f>
        <v/>
      </c>
      <c r="G5262" s="11" t="str">
        <f aca="false">IF($A5262="","",IF(원본명단!$K5261="",0,COUNTIF(원본명단!$K$3:$K$6002,원본명단!$K5261)))</f>
        <v/>
      </c>
      <c r="H5262" s="11" t="str">
        <f aca="false">IF($A5262="","",IF(MAX($E5262,$F5262,$G5262)&gt;1,"중복","-"))</f>
        <v/>
      </c>
      <c r="I5262" s="11" t="str">
        <f aca="false">IF($A5262="","",IF($H5262="-","-",IF(AND(IF(원본명단!$H5261="",TRUE(),COUNTIF(원본명단!$H$3:$H5261,원본명단!$H5261)=1),IF(원본명단!$I5261="",TRUE(),COUNTIF(원본명단!$I$3:$I5261,원본명단!$I5261)=1),IF(원본명단!$K5261="",TRUE(),COUNTIF(원본명단!$K$3:$K5261,원본명단!$K5261)=1)),"첫 건","중복 건")))</f>
        <v/>
      </c>
      <c r="J5262" s="11" t="str">
        <f aca="false">IF($A5262="","",IF($H5262="-","유지",IF($I5262="첫 건","유지","확인 필요")))</f>
        <v/>
      </c>
    </row>
    <row r="5263" customFormat="false" ht="15" hidden="false" customHeight="true" outlineLevel="0" collapsed="false">
      <c r="A5263" s="11" t="str">
        <f aca="false">IF(원본명단!$A5262="","",5260)</f>
        <v/>
      </c>
      <c r="B5263" s="12" t="str">
        <f aca="false">IF($A5263="","",원본명단!$A5262)</f>
        <v/>
      </c>
      <c r="C5263" s="12" t="str">
        <f aca="false">IF($A5263="","",원본명단!$B5262)</f>
        <v/>
      </c>
      <c r="D5263" s="12" t="str">
        <f aca="false">IF($A5263="","",원본명단!$D5262)</f>
        <v/>
      </c>
      <c r="E5263" s="11" t="str">
        <f aca="false">IF($A5263="","",IF(원본명단!$H5262="",0,COUNTIF(원본명단!$H$3:$H$6002,원본명단!$H5262)))</f>
        <v/>
      </c>
      <c r="F5263" s="11" t="str">
        <f aca="false">IF($A5263="","",IF(원본명단!$I5262="",0,COUNTIF(원본명단!$I$3:$I$6002,원본명단!$I5262)))</f>
        <v/>
      </c>
      <c r="G5263" s="11" t="str">
        <f aca="false">IF($A5263="","",IF(원본명단!$K5262="",0,COUNTIF(원본명단!$K$3:$K$6002,원본명단!$K5262)))</f>
        <v/>
      </c>
      <c r="H5263" s="11" t="str">
        <f aca="false">IF($A5263="","",IF(MAX($E5263,$F5263,$G5263)&gt;1,"중복","-"))</f>
        <v/>
      </c>
      <c r="I5263" s="11" t="str">
        <f aca="false">IF($A5263="","",IF($H5263="-","-",IF(AND(IF(원본명단!$H5262="",TRUE(),COUNTIF(원본명단!$H$3:$H5262,원본명단!$H5262)=1),IF(원본명단!$I5262="",TRUE(),COUNTIF(원본명단!$I$3:$I5262,원본명단!$I5262)=1),IF(원본명단!$K5262="",TRUE(),COUNTIF(원본명단!$K$3:$K5262,원본명단!$K5262)=1)),"첫 건","중복 건")))</f>
        <v/>
      </c>
      <c r="J5263" s="11" t="str">
        <f aca="false">IF($A5263="","",IF($H5263="-","유지",IF($I5263="첫 건","유지","확인 필요")))</f>
        <v/>
      </c>
    </row>
    <row r="5264" customFormat="false" ht="15" hidden="false" customHeight="true" outlineLevel="0" collapsed="false">
      <c r="A5264" s="11" t="str">
        <f aca="false">IF(원본명단!$A5263="","",5261)</f>
        <v/>
      </c>
      <c r="B5264" s="12" t="str">
        <f aca="false">IF($A5264="","",원본명단!$A5263)</f>
        <v/>
      </c>
      <c r="C5264" s="12" t="str">
        <f aca="false">IF($A5264="","",원본명단!$B5263)</f>
        <v/>
      </c>
      <c r="D5264" s="12" t="str">
        <f aca="false">IF($A5264="","",원본명단!$D5263)</f>
        <v/>
      </c>
      <c r="E5264" s="11" t="str">
        <f aca="false">IF($A5264="","",IF(원본명단!$H5263="",0,COUNTIF(원본명단!$H$3:$H$6002,원본명단!$H5263)))</f>
        <v/>
      </c>
      <c r="F5264" s="11" t="str">
        <f aca="false">IF($A5264="","",IF(원본명단!$I5263="",0,COUNTIF(원본명단!$I$3:$I$6002,원본명단!$I5263)))</f>
        <v/>
      </c>
      <c r="G5264" s="11" t="str">
        <f aca="false">IF($A5264="","",IF(원본명단!$K5263="",0,COUNTIF(원본명단!$K$3:$K$6002,원본명단!$K5263)))</f>
        <v/>
      </c>
      <c r="H5264" s="11" t="str">
        <f aca="false">IF($A5264="","",IF(MAX($E5264,$F5264,$G5264)&gt;1,"중복","-"))</f>
        <v/>
      </c>
      <c r="I5264" s="11" t="str">
        <f aca="false">IF($A5264="","",IF($H5264="-","-",IF(AND(IF(원본명단!$H5263="",TRUE(),COUNTIF(원본명단!$H$3:$H5263,원본명단!$H5263)=1),IF(원본명단!$I5263="",TRUE(),COUNTIF(원본명단!$I$3:$I5263,원본명단!$I5263)=1),IF(원본명단!$K5263="",TRUE(),COUNTIF(원본명단!$K$3:$K5263,원본명단!$K5263)=1)),"첫 건","중복 건")))</f>
        <v/>
      </c>
      <c r="J5264" s="11" t="str">
        <f aca="false">IF($A5264="","",IF($H5264="-","유지",IF($I5264="첫 건","유지","확인 필요")))</f>
        <v/>
      </c>
    </row>
    <row r="5265" customFormat="false" ht="15" hidden="false" customHeight="true" outlineLevel="0" collapsed="false">
      <c r="A5265" s="11" t="str">
        <f aca="false">IF(원본명단!$A5264="","",5262)</f>
        <v/>
      </c>
      <c r="B5265" s="12" t="str">
        <f aca="false">IF($A5265="","",원본명단!$A5264)</f>
        <v/>
      </c>
      <c r="C5265" s="12" t="str">
        <f aca="false">IF($A5265="","",원본명단!$B5264)</f>
        <v/>
      </c>
      <c r="D5265" s="12" t="str">
        <f aca="false">IF($A5265="","",원본명단!$D5264)</f>
        <v/>
      </c>
      <c r="E5265" s="11" t="str">
        <f aca="false">IF($A5265="","",IF(원본명단!$H5264="",0,COUNTIF(원본명단!$H$3:$H$6002,원본명단!$H5264)))</f>
        <v/>
      </c>
      <c r="F5265" s="11" t="str">
        <f aca="false">IF($A5265="","",IF(원본명단!$I5264="",0,COUNTIF(원본명단!$I$3:$I$6002,원본명단!$I5264)))</f>
        <v/>
      </c>
      <c r="G5265" s="11" t="str">
        <f aca="false">IF($A5265="","",IF(원본명단!$K5264="",0,COUNTIF(원본명단!$K$3:$K$6002,원본명단!$K5264)))</f>
        <v/>
      </c>
      <c r="H5265" s="11" t="str">
        <f aca="false">IF($A5265="","",IF(MAX($E5265,$F5265,$G5265)&gt;1,"중복","-"))</f>
        <v/>
      </c>
      <c r="I5265" s="11" t="str">
        <f aca="false">IF($A5265="","",IF($H5265="-","-",IF(AND(IF(원본명단!$H5264="",TRUE(),COUNTIF(원본명단!$H$3:$H5264,원본명단!$H5264)=1),IF(원본명단!$I5264="",TRUE(),COUNTIF(원본명단!$I$3:$I5264,원본명단!$I5264)=1),IF(원본명단!$K5264="",TRUE(),COUNTIF(원본명단!$K$3:$K5264,원본명단!$K5264)=1)),"첫 건","중복 건")))</f>
        <v/>
      </c>
      <c r="J5265" s="11" t="str">
        <f aca="false">IF($A5265="","",IF($H5265="-","유지",IF($I5265="첫 건","유지","확인 필요")))</f>
        <v/>
      </c>
    </row>
    <row r="5266" customFormat="false" ht="15" hidden="false" customHeight="true" outlineLevel="0" collapsed="false">
      <c r="A5266" s="11" t="str">
        <f aca="false">IF(원본명단!$A5265="","",5263)</f>
        <v/>
      </c>
      <c r="B5266" s="12" t="str">
        <f aca="false">IF($A5266="","",원본명단!$A5265)</f>
        <v/>
      </c>
      <c r="C5266" s="12" t="str">
        <f aca="false">IF($A5266="","",원본명단!$B5265)</f>
        <v/>
      </c>
      <c r="D5266" s="12" t="str">
        <f aca="false">IF($A5266="","",원본명단!$D5265)</f>
        <v/>
      </c>
      <c r="E5266" s="11" t="str">
        <f aca="false">IF($A5266="","",IF(원본명단!$H5265="",0,COUNTIF(원본명단!$H$3:$H$6002,원본명단!$H5265)))</f>
        <v/>
      </c>
      <c r="F5266" s="11" t="str">
        <f aca="false">IF($A5266="","",IF(원본명단!$I5265="",0,COUNTIF(원본명단!$I$3:$I$6002,원본명단!$I5265)))</f>
        <v/>
      </c>
      <c r="G5266" s="11" t="str">
        <f aca="false">IF($A5266="","",IF(원본명단!$K5265="",0,COUNTIF(원본명단!$K$3:$K$6002,원본명단!$K5265)))</f>
        <v/>
      </c>
      <c r="H5266" s="11" t="str">
        <f aca="false">IF($A5266="","",IF(MAX($E5266,$F5266,$G5266)&gt;1,"중복","-"))</f>
        <v/>
      </c>
      <c r="I5266" s="11" t="str">
        <f aca="false">IF($A5266="","",IF($H5266="-","-",IF(AND(IF(원본명단!$H5265="",TRUE(),COUNTIF(원본명단!$H$3:$H5265,원본명단!$H5265)=1),IF(원본명단!$I5265="",TRUE(),COUNTIF(원본명단!$I$3:$I5265,원본명단!$I5265)=1),IF(원본명단!$K5265="",TRUE(),COUNTIF(원본명단!$K$3:$K5265,원본명단!$K5265)=1)),"첫 건","중복 건")))</f>
        <v/>
      </c>
      <c r="J5266" s="11" t="str">
        <f aca="false">IF($A5266="","",IF($H5266="-","유지",IF($I5266="첫 건","유지","확인 필요")))</f>
        <v/>
      </c>
    </row>
    <row r="5267" customFormat="false" ht="15" hidden="false" customHeight="true" outlineLevel="0" collapsed="false">
      <c r="A5267" s="11" t="str">
        <f aca="false">IF(원본명단!$A5266="","",5264)</f>
        <v/>
      </c>
      <c r="B5267" s="12" t="str">
        <f aca="false">IF($A5267="","",원본명단!$A5266)</f>
        <v/>
      </c>
      <c r="C5267" s="12" t="str">
        <f aca="false">IF($A5267="","",원본명단!$B5266)</f>
        <v/>
      </c>
      <c r="D5267" s="12" t="str">
        <f aca="false">IF($A5267="","",원본명단!$D5266)</f>
        <v/>
      </c>
      <c r="E5267" s="11" t="str">
        <f aca="false">IF($A5267="","",IF(원본명단!$H5266="",0,COUNTIF(원본명단!$H$3:$H$6002,원본명단!$H5266)))</f>
        <v/>
      </c>
      <c r="F5267" s="11" t="str">
        <f aca="false">IF($A5267="","",IF(원본명단!$I5266="",0,COUNTIF(원본명단!$I$3:$I$6002,원본명단!$I5266)))</f>
        <v/>
      </c>
      <c r="G5267" s="11" t="str">
        <f aca="false">IF($A5267="","",IF(원본명단!$K5266="",0,COUNTIF(원본명단!$K$3:$K$6002,원본명단!$K5266)))</f>
        <v/>
      </c>
      <c r="H5267" s="11" t="str">
        <f aca="false">IF($A5267="","",IF(MAX($E5267,$F5267,$G5267)&gt;1,"중복","-"))</f>
        <v/>
      </c>
      <c r="I5267" s="11" t="str">
        <f aca="false">IF($A5267="","",IF($H5267="-","-",IF(AND(IF(원본명단!$H5266="",TRUE(),COUNTIF(원본명단!$H$3:$H5266,원본명단!$H5266)=1),IF(원본명단!$I5266="",TRUE(),COUNTIF(원본명단!$I$3:$I5266,원본명단!$I5266)=1),IF(원본명단!$K5266="",TRUE(),COUNTIF(원본명단!$K$3:$K5266,원본명단!$K5266)=1)),"첫 건","중복 건")))</f>
        <v/>
      </c>
      <c r="J5267" s="11" t="str">
        <f aca="false">IF($A5267="","",IF($H5267="-","유지",IF($I5267="첫 건","유지","확인 필요")))</f>
        <v/>
      </c>
    </row>
    <row r="5268" customFormat="false" ht="15" hidden="false" customHeight="true" outlineLevel="0" collapsed="false">
      <c r="A5268" s="11" t="str">
        <f aca="false">IF(원본명단!$A5267="","",5265)</f>
        <v/>
      </c>
      <c r="B5268" s="12" t="str">
        <f aca="false">IF($A5268="","",원본명단!$A5267)</f>
        <v/>
      </c>
      <c r="C5268" s="12" t="str">
        <f aca="false">IF($A5268="","",원본명단!$B5267)</f>
        <v/>
      </c>
      <c r="D5268" s="12" t="str">
        <f aca="false">IF($A5268="","",원본명단!$D5267)</f>
        <v/>
      </c>
      <c r="E5268" s="11" t="str">
        <f aca="false">IF($A5268="","",IF(원본명단!$H5267="",0,COUNTIF(원본명단!$H$3:$H$6002,원본명단!$H5267)))</f>
        <v/>
      </c>
      <c r="F5268" s="11" t="str">
        <f aca="false">IF($A5268="","",IF(원본명단!$I5267="",0,COUNTIF(원본명단!$I$3:$I$6002,원본명단!$I5267)))</f>
        <v/>
      </c>
      <c r="G5268" s="11" t="str">
        <f aca="false">IF($A5268="","",IF(원본명단!$K5267="",0,COUNTIF(원본명단!$K$3:$K$6002,원본명단!$K5267)))</f>
        <v/>
      </c>
      <c r="H5268" s="11" t="str">
        <f aca="false">IF($A5268="","",IF(MAX($E5268,$F5268,$G5268)&gt;1,"중복","-"))</f>
        <v/>
      </c>
      <c r="I5268" s="11" t="str">
        <f aca="false">IF($A5268="","",IF($H5268="-","-",IF(AND(IF(원본명단!$H5267="",TRUE(),COUNTIF(원본명단!$H$3:$H5267,원본명단!$H5267)=1),IF(원본명단!$I5267="",TRUE(),COUNTIF(원본명단!$I$3:$I5267,원본명단!$I5267)=1),IF(원본명단!$K5267="",TRUE(),COUNTIF(원본명단!$K$3:$K5267,원본명단!$K5267)=1)),"첫 건","중복 건")))</f>
        <v/>
      </c>
      <c r="J5268" s="11" t="str">
        <f aca="false">IF($A5268="","",IF($H5268="-","유지",IF($I5268="첫 건","유지","확인 필요")))</f>
        <v/>
      </c>
    </row>
    <row r="5269" customFormat="false" ht="15" hidden="false" customHeight="true" outlineLevel="0" collapsed="false">
      <c r="A5269" s="11" t="str">
        <f aca="false">IF(원본명단!$A5268="","",5266)</f>
        <v/>
      </c>
      <c r="B5269" s="12" t="str">
        <f aca="false">IF($A5269="","",원본명단!$A5268)</f>
        <v/>
      </c>
      <c r="C5269" s="12" t="str">
        <f aca="false">IF($A5269="","",원본명단!$B5268)</f>
        <v/>
      </c>
      <c r="D5269" s="12" t="str">
        <f aca="false">IF($A5269="","",원본명단!$D5268)</f>
        <v/>
      </c>
      <c r="E5269" s="11" t="str">
        <f aca="false">IF($A5269="","",IF(원본명단!$H5268="",0,COUNTIF(원본명단!$H$3:$H$6002,원본명단!$H5268)))</f>
        <v/>
      </c>
      <c r="F5269" s="11" t="str">
        <f aca="false">IF($A5269="","",IF(원본명단!$I5268="",0,COUNTIF(원본명단!$I$3:$I$6002,원본명단!$I5268)))</f>
        <v/>
      </c>
      <c r="G5269" s="11" t="str">
        <f aca="false">IF($A5269="","",IF(원본명단!$K5268="",0,COUNTIF(원본명단!$K$3:$K$6002,원본명단!$K5268)))</f>
        <v/>
      </c>
      <c r="H5269" s="11" t="str">
        <f aca="false">IF($A5269="","",IF(MAX($E5269,$F5269,$G5269)&gt;1,"중복","-"))</f>
        <v/>
      </c>
      <c r="I5269" s="11" t="str">
        <f aca="false">IF($A5269="","",IF($H5269="-","-",IF(AND(IF(원본명단!$H5268="",TRUE(),COUNTIF(원본명단!$H$3:$H5268,원본명단!$H5268)=1),IF(원본명단!$I5268="",TRUE(),COUNTIF(원본명단!$I$3:$I5268,원본명단!$I5268)=1),IF(원본명단!$K5268="",TRUE(),COUNTIF(원본명단!$K$3:$K5268,원본명단!$K5268)=1)),"첫 건","중복 건")))</f>
        <v/>
      </c>
      <c r="J5269" s="11" t="str">
        <f aca="false">IF($A5269="","",IF($H5269="-","유지",IF($I5269="첫 건","유지","확인 필요")))</f>
        <v/>
      </c>
    </row>
    <row r="5270" customFormat="false" ht="15" hidden="false" customHeight="true" outlineLevel="0" collapsed="false">
      <c r="A5270" s="11" t="str">
        <f aca="false">IF(원본명단!$A5269="","",5267)</f>
        <v/>
      </c>
      <c r="B5270" s="12" t="str">
        <f aca="false">IF($A5270="","",원본명단!$A5269)</f>
        <v/>
      </c>
      <c r="C5270" s="12" t="str">
        <f aca="false">IF($A5270="","",원본명단!$B5269)</f>
        <v/>
      </c>
      <c r="D5270" s="12" t="str">
        <f aca="false">IF($A5270="","",원본명단!$D5269)</f>
        <v/>
      </c>
      <c r="E5270" s="11" t="str">
        <f aca="false">IF($A5270="","",IF(원본명단!$H5269="",0,COUNTIF(원본명단!$H$3:$H$6002,원본명단!$H5269)))</f>
        <v/>
      </c>
      <c r="F5270" s="11" t="str">
        <f aca="false">IF($A5270="","",IF(원본명단!$I5269="",0,COUNTIF(원본명단!$I$3:$I$6002,원본명단!$I5269)))</f>
        <v/>
      </c>
      <c r="G5270" s="11" t="str">
        <f aca="false">IF($A5270="","",IF(원본명단!$K5269="",0,COUNTIF(원본명단!$K$3:$K$6002,원본명단!$K5269)))</f>
        <v/>
      </c>
      <c r="H5270" s="11" t="str">
        <f aca="false">IF($A5270="","",IF(MAX($E5270,$F5270,$G5270)&gt;1,"중복","-"))</f>
        <v/>
      </c>
      <c r="I5270" s="11" t="str">
        <f aca="false">IF($A5270="","",IF($H5270="-","-",IF(AND(IF(원본명단!$H5269="",TRUE(),COUNTIF(원본명단!$H$3:$H5269,원본명단!$H5269)=1),IF(원본명단!$I5269="",TRUE(),COUNTIF(원본명단!$I$3:$I5269,원본명단!$I5269)=1),IF(원본명단!$K5269="",TRUE(),COUNTIF(원본명단!$K$3:$K5269,원본명단!$K5269)=1)),"첫 건","중복 건")))</f>
        <v/>
      </c>
      <c r="J5270" s="11" t="str">
        <f aca="false">IF($A5270="","",IF($H5270="-","유지",IF($I5270="첫 건","유지","확인 필요")))</f>
        <v/>
      </c>
    </row>
    <row r="5271" customFormat="false" ht="15" hidden="false" customHeight="true" outlineLevel="0" collapsed="false">
      <c r="A5271" s="11" t="str">
        <f aca="false">IF(원본명단!$A5270="","",5268)</f>
        <v/>
      </c>
      <c r="B5271" s="12" t="str">
        <f aca="false">IF($A5271="","",원본명단!$A5270)</f>
        <v/>
      </c>
      <c r="C5271" s="12" t="str">
        <f aca="false">IF($A5271="","",원본명단!$B5270)</f>
        <v/>
      </c>
      <c r="D5271" s="12" t="str">
        <f aca="false">IF($A5271="","",원본명단!$D5270)</f>
        <v/>
      </c>
      <c r="E5271" s="11" t="str">
        <f aca="false">IF($A5271="","",IF(원본명단!$H5270="",0,COUNTIF(원본명단!$H$3:$H$6002,원본명단!$H5270)))</f>
        <v/>
      </c>
      <c r="F5271" s="11" t="str">
        <f aca="false">IF($A5271="","",IF(원본명단!$I5270="",0,COUNTIF(원본명단!$I$3:$I$6002,원본명단!$I5270)))</f>
        <v/>
      </c>
      <c r="G5271" s="11" t="str">
        <f aca="false">IF($A5271="","",IF(원본명단!$K5270="",0,COUNTIF(원본명단!$K$3:$K$6002,원본명단!$K5270)))</f>
        <v/>
      </c>
      <c r="H5271" s="11" t="str">
        <f aca="false">IF($A5271="","",IF(MAX($E5271,$F5271,$G5271)&gt;1,"중복","-"))</f>
        <v/>
      </c>
      <c r="I5271" s="11" t="str">
        <f aca="false">IF($A5271="","",IF($H5271="-","-",IF(AND(IF(원본명단!$H5270="",TRUE(),COUNTIF(원본명단!$H$3:$H5270,원본명단!$H5270)=1),IF(원본명단!$I5270="",TRUE(),COUNTIF(원본명단!$I$3:$I5270,원본명단!$I5270)=1),IF(원본명단!$K5270="",TRUE(),COUNTIF(원본명단!$K$3:$K5270,원본명단!$K5270)=1)),"첫 건","중복 건")))</f>
        <v/>
      </c>
      <c r="J5271" s="11" t="str">
        <f aca="false">IF($A5271="","",IF($H5271="-","유지",IF($I5271="첫 건","유지","확인 필요")))</f>
        <v/>
      </c>
    </row>
    <row r="5272" customFormat="false" ht="15" hidden="false" customHeight="true" outlineLevel="0" collapsed="false">
      <c r="A5272" s="11" t="str">
        <f aca="false">IF(원본명단!$A5271="","",5269)</f>
        <v/>
      </c>
      <c r="B5272" s="12" t="str">
        <f aca="false">IF($A5272="","",원본명단!$A5271)</f>
        <v/>
      </c>
      <c r="C5272" s="12" t="str">
        <f aca="false">IF($A5272="","",원본명단!$B5271)</f>
        <v/>
      </c>
      <c r="D5272" s="12" t="str">
        <f aca="false">IF($A5272="","",원본명단!$D5271)</f>
        <v/>
      </c>
      <c r="E5272" s="11" t="str">
        <f aca="false">IF($A5272="","",IF(원본명단!$H5271="",0,COUNTIF(원본명단!$H$3:$H$6002,원본명단!$H5271)))</f>
        <v/>
      </c>
      <c r="F5272" s="11" t="str">
        <f aca="false">IF($A5272="","",IF(원본명단!$I5271="",0,COUNTIF(원본명단!$I$3:$I$6002,원본명단!$I5271)))</f>
        <v/>
      </c>
      <c r="G5272" s="11" t="str">
        <f aca="false">IF($A5272="","",IF(원본명단!$K5271="",0,COUNTIF(원본명단!$K$3:$K$6002,원본명단!$K5271)))</f>
        <v/>
      </c>
      <c r="H5272" s="11" t="str">
        <f aca="false">IF($A5272="","",IF(MAX($E5272,$F5272,$G5272)&gt;1,"중복","-"))</f>
        <v/>
      </c>
      <c r="I5272" s="11" t="str">
        <f aca="false">IF($A5272="","",IF($H5272="-","-",IF(AND(IF(원본명단!$H5271="",TRUE(),COUNTIF(원본명단!$H$3:$H5271,원본명단!$H5271)=1),IF(원본명단!$I5271="",TRUE(),COUNTIF(원본명단!$I$3:$I5271,원본명단!$I5271)=1),IF(원본명단!$K5271="",TRUE(),COUNTIF(원본명단!$K$3:$K5271,원본명단!$K5271)=1)),"첫 건","중복 건")))</f>
        <v/>
      </c>
      <c r="J5272" s="11" t="str">
        <f aca="false">IF($A5272="","",IF($H5272="-","유지",IF($I5272="첫 건","유지","확인 필요")))</f>
        <v/>
      </c>
    </row>
    <row r="5273" customFormat="false" ht="15" hidden="false" customHeight="true" outlineLevel="0" collapsed="false">
      <c r="A5273" s="11" t="str">
        <f aca="false">IF(원본명단!$A5272="","",5270)</f>
        <v/>
      </c>
      <c r="B5273" s="12" t="str">
        <f aca="false">IF($A5273="","",원본명단!$A5272)</f>
        <v/>
      </c>
      <c r="C5273" s="12" t="str">
        <f aca="false">IF($A5273="","",원본명단!$B5272)</f>
        <v/>
      </c>
      <c r="D5273" s="12" t="str">
        <f aca="false">IF($A5273="","",원본명단!$D5272)</f>
        <v/>
      </c>
      <c r="E5273" s="11" t="str">
        <f aca="false">IF($A5273="","",IF(원본명단!$H5272="",0,COUNTIF(원본명단!$H$3:$H$6002,원본명단!$H5272)))</f>
        <v/>
      </c>
      <c r="F5273" s="11" t="str">
        <f aca="false">IF($A5273="","",IF(원본명단!$I5272="",0,COUNTIF(원본명단!$I$3:$I$6002,원본명단!$I5272)))</f>
        <v/>
      </c>
      <c r="G5273" s="11" t="str">
        <f aca="false">IF($A5273="","",IF(원본명단!$K5272="",0,COUNTIF(원본명단!$K$3:$K$6002,원본명단!$K5272)))</f>
        <v/>
      </c>
      <c r="H5273" s="11" t="str">
        <f aca="false">IF($A5273="","",IF(MAX($E5273,$F5273,$G5273)&gt;1,"중복","-"))</f>
        <v/>
      </c>
      <c r="I5273" s="11" t="str">
        <f aca="false">IF($A5273="","",IF($H5273="-","-",IF(AND(IF(원본명단!$H5272="",TRUE(),COUNTIF(원본명단!$H$3:$H5272,원본명단!$H5272)=1),IF(원본명단!$I5272="",TRUE(),COUNTIF(원본명단!$I$3:$I5272,원본명단!$I5272)=1),IF(원본명단!$K5272="",TRUE(),COUNTIF(원본명단!$K$3:$K5272,원본명단!$K5272)=1)),"첫 건","중복 건")))</f>
        <v/>
      </c>
      <c r="J5273" s="11" t="str">
        <f aca="false">IF($A5273="","",IF($H5273="-","유지",IF($I5273="첫 건","유지","확인 필요")))</f>
        <v/>
      </c>
    </row>
    <row r="5274" customFormat="false" ht="15" hidden="false" customHeight="true" outlineLevel="0" collapsed="false">
      <c r="A5274" s="11" t="str">
        <f aca="false">IF(원본명단!$A5273="","",5271)</f>
        <v/>
      </c>
      <c r="B5274" s="12" t="str">
        <f aca="false">IF($A5274="","",원본명단!$A5273)</f>
        <v/>
      </c>
      <c r="C5274" s="12" t="str">
        <f aca="false">IF($A5274="","",원본명단!$B5273)</f>
        <v/>
      </c>
      <c r="D5274" s="12" t="str">
        <f aca="false">IF($A5274="","",원본명단!$D5273)</f>
        <v/>
      </c>
      <c r="E5274" s="11" t="str">
        <f aca="false">IF($A5274="","",IF(원본명단!$H5273="",0,COUNTIF(원본명단!$H$3:$H$6002,원본명단!$H5273)))</f>
        <v/>
      </c>
      <c r="F5274" s="11" t="str">
        <f aca="false">IF($A5274="","",IF(원본명단!$I5273="",0,COUNTIF(원본명단!$I$3:$I$6002,원본명단!$I5273)))</f>
        <v/>
      </c>
      <c r="G5274" s="11" t="str">
        <f aca="false">IF($A5274="","",IF(원본명단!$K5273="",0,COUNTIF(원본명단!$K$3:$K$6002,원본명단!$K5273)))</f>
        <v/>
      </c>
      <c r="H5274" s="11" t="str">
        <f aca="false">IF($A5274="","",IF(MAX($E5274,$F5274,$G5274)&gt;1,"중복","-"))</f>
        <v/>
      </c>
      <c r="I5274" s="11" t="str">
        <f aca="false">IF($A5274="","",IF($H5274="-","-",IF(AND(IF(원본명단!$H5273="",TRUE(),COUNTIF(원본명단!$H$3:$H5273,원본명단!$H5273)=1),IF(원본명단!$I5273="",TRUE(),COUNTIF(원본명단!$I$3:$I5273,원본명단!$I5273)=1),IF(원본명단!$K5273="",TRUE(),COUNTIF(원본명단!$K$3:$K5273,원본명단!$K5273)=1)),"첫 건","중복 건")))</f>
        <v/>
      </c>
      <c r="J5274" s="11" t="str">
        <f aca="false">IF($A5274="","",IF($H5274="-","유지",IF($I5274="첫 건","유지","확인 필요")))</f>
        <v/>
      </c>
    </row>
    <row r="5275" customFormat="false" ht="15" hidden="false" customHeight="true" outlineLevel="0" collapsed="false">
      <c r="A5275" s="11" t="str">
        <f aca="false">IF(원본명단!$A5274="","",5272)</f>
        <v/>
      </c>
      <c r="B5275" s="12" t="str">
        <f aca="false">IF($A5275="","",원본명단!$A5274)</f>
        <v/>
      </c>
      <c r="C5275" s="12" t="str">
        <f aca="false">IF($A5275="","",원본명단!$B5274)</f>
        <v/>
      </c>
      <c r="D5275" s="12" t="str">
        <f aca="false">IF($A5275="","",원본명단!$D5274)</f>
        <v/>
      </c>
      <c r="E5275" s="11" t="str">
        <f aca="false">IF($A5275="","",IF(원본명단!$H5274="",0,COUNTIF(원본명단!$H$3:$H$6002,원본명단!$H5274)))</f>
        <v/>
      </c>
      <c r="F5275" s="11" t="str">
        <f aca="false">IF($A5275="","",IF(원본명단!$I5274="",0,COUNTIF(원본명단!$I$3:$I$6002,원본명단!$I5274)))</f>
        <v/>
      </c>
      <c r="G5275" s="11" t="str">
        <f aca="false">IF($A5275="","",IF(원본명단!$K5274="",0,COUNTIF(원본명단!$K$3:$K$6002,원본명단!$K5274)))</f>
        <v/>
      </c>
      <c r="H5275" s="11" t="str">
        <f aca="false">IF($A5275="","",IF(MAX($E5275,$F5275,$G5275)&gt;1,"중복","-"))</f>
        <v/>
      </c>
      <c r="I5275" s="11" t="str">
        <f aca="false">IF($A5275="","",IF($H5275="-","-",IF(AND(IF(원본명단!$H5274="",TRUE(),COUNTIF(원본명단!$H$3:$H5274,원본명단!$H5274)=1),IF(원본명단!$I5274="",TRUE(),COUNTIF(원본명단!$I$3:$I5274,원본명단!$I5274)=1),IF(원본명단!$K5274="",TRUE(),COUNTIF(원본명단!$K$3:$K5274,원본명단!$K5274)=1)),"첫 건","중복 건")))</f>
        <v/>
      </c>
      <c r="J5275" s="11" t="str">
        <f aca="false">IF($A5275="","",IF($H5275="-","유지",IF($I5275="첫 건","유지","확인 필요")))</f>
        <v/>
      </c>
    </row>
    <row r="5276" customFormat="false" ht="15" hidden="false" customHeight="true" outlineLevel="0" collapsed="false">
      <c r="A5276" s="11" t="str">
        <f aca="false">IF(원본명단!$A5275="","",5273)</f>
        <v/>
      </c>
      <c r="B5276" s="12" t="str">
        <f aca="false">IF($A5276="","",원본명단!$A5275)</f>
        <v/>
      </c>
      <c r="C5276" s="12" t="str">
        <f aca="false">IF($A5276="","",원본명단!$B5275)</f>
        <v/>
      </c>
      <c r="D5276" s="12" t="str">
        <f aca="false">IF($A5276="","",원본명단!$D5275)</f>
        <v/>
      </c>
      <c r="E5276" s="11" t="str">
        <f aca="false">IF($A5276="","",IF(원본명단!$H5275="",0,COUNTIF(원본명단!$H$3:$H$6002,원본명단!$H5275)))</f>
        <v/>
      </c>
      <c r="F5276" s="11" t="str">
        <f aca="false">IF($A5276="","",IF(원본명단!$I5275="",0,COUNTIF(원본명단!$I$3:$I$6002,원본명단!$I5275)))</f>
        <v/>
      </c>
      <c r="G5276" s="11" t="str">
        <f aca="false">IF($A5276="","",IF(원본명단!$K5275="",0,COUNTIF(원본명단!$K$3:$K$6002,원본명단!$K5275)))</f>
        <v/>
      </c>
      <c r="H5276" s="11" t="str">
        <f aca="false">IF($A5276="","",IF(MAX($E5276,$F5276,$G5276)&gt;1,"중복","-"))</f>
        <v/>
      </c>
      <c r="I5276" s="11" t="str">
        <f aca="false">IF($A5276="","",IF($H5276="-","-",IF(AND(IF(원본명단!$H5275="",TRUE(),COUNTIF(원본명단!$H$3:$H5275,원본명단!$H5275)=1),IF(원본명단!$I5275="",TRUE(),COUNTIF(원본명단!$I$3:$I5275,원본명단!$I5275)=1),IF(원본명단!$K5275="",TRUE(),COUNTIF(원본명단!$K$3:$K5275,원본명단!$K5275)=1)),"첫 건","중복 건")))</f>
        <v/>
      </c>
      <c r="J5276" s="11" t="str">
        <f aca="false">IF($A5276="","",IF($H5276="-","유지",IF($I5276="첫 건","유지","확인 필요")))</f>
        <v/>
      </c>
    </row>
    <row r="5277" customFormat="false" ht="15" hidden="false" customHeight="true" outlineLevel="0" collapsed="false">
      <c r="A5277" s="11" t="str">
        <f aca="false">IF(원본명단!$A5276="","",5274)</f>
        <v/>
      </c>
      <c r="B5277" s="12" t="str">
        <f aca="false">IF($A5277="","",원본명단!$A5276)</f>
        <v/>
      </c>
      <c r="C5277" s="12" t="str">
        <f aca="false">IF($A5277="","",원본명단!$B5276)</f>
        <v/>
      </c>
      <c r="D5277" s="12" t="str">
        <f aca="false">IF($A5277="","",원본명단!$D5276)</f>
        <v/>
      </c>
      <c r="E5277" s="11" t="str">
        <f aca="false">IF($A5277="","",IF(원본명단!$H5276="",0,COUNTIF(원본명단!$H$3:$H$6002,원본명단!$H5276)))</f>
        <v/>
      </c>
      <c r="F5277" s="11" t="str">
        <f aca="false">IF($A5277="","",IF(원본명단!$I5276="",0,COUNTIF(원본명단!$I$3:$I$6002,원본명단!$I5276)))</f>
        <v/>
      </c>
      <c r="G5277" s="11" t="str">
        <f aca="false">IF($A5277="","",IF(원본명단!$K5276="",0,COUNTIF(원본명단!$K$3:$K$6002,원본명단!$K5276)))</f>
        <v/>
      </c>
      <c r="H5277" s="11" t="str">
        <f aca="false">IF($A5277="","",IF(MAX($E5277,$F5277,$G5277)&gt;1,"중복","-"))</f>
        <v/>
      </c>
      <c r="I5277" s="11" t="str">
        <f aca="false">IF($A5277="","",IF($H5277="-","-",IF(AND(IF(원본명단!$H5276="",TRUE(),COUNTIF(원본명단!$H$3:$H5276,원본명단!$H5276)=1),IF(원본명단!$I5276="",TRUE(),COUNTIF(원본명단!$I$3:$I5276,원본명단!$I5276)=1),IF(원본명단!$K5276="",TRUE(),COUNTIF(원본명단!$K$3:$K5276,원본명단!$K5276)=1)),"첫 건","중복 건")))</f>
        <v/>
      </c>
      <c r="J5277" s="11" t="str">
        <f aca="false">IF($A5277="","",IF($H5277="-","유지",IF($I5277="첫 건","유지","확인 필요")))</f>
        <v/>
      </c>
    </row>
    <row r="5278" customFormat="false" ht="15" hidden="false" customHeight="true" outlineLevel="0" collapsed="false">
      <c r="A5278" s="11" t="str">
        <f aca="false">IF(원본명단!$A5277="","",5275)</f>
        <v/>
      </c>
      <c r="B5278" s="12" t="str">
        <f aca="false">IF($A5278="","",원본명단!$A5277)</f>
        <v/>
      </c>
      <c r="C5278" s="12" t="str">
        <f aca="false">IF($A5278="","",원본명단!$B5277)</f>
        <v/>
      </c>
      <c r="D5278" s="12" t="str">
        <f aca="false">IF($A5278="","",원본명단!$D5277)</f>
        <v/>
      </c>
      <c r="E5278" s="11" t="str">
        <f aca="false">IF($A5278="","",IF(원본명단!$H5277="",0,COUNTIF(원본명단!$H$3:$H$6002,원본명단!$H5277)))</f>
        <v/>
      </c>
      <c r="F5278" s="11" t="str">
        <f aca="false">IF($A5278="","",IF(원본명단!$I5277="",0,COUNTIF(원본명단!$I$3:$I$6002,원본명단!$I5277)))</f>
        <v/>
      </c>
      <c r="G5278" s="11" t="str">
        <f aca="false">IF($A5278="","",IF(원본명단!$K5277="",0,COUNTIF(원본명단!$K$3:$K$6002,원본명단!$K5277)))</f>
        <v/>
      </c>
      <c r="H5278" s="11" t="str">
        <f aca="false">IF($A5278="","",IF(MAX($E5278,$F5278,$G5278)&gt;1,"중복","-"))</f>
        <v/>
      </c>
      <c r="I5278" s="11" t="str">
        <f aca="false">IF($A5278="","",IF($H5278="-","-",IF(AND(IF(원본명단!$H5277="",TRUE(),COUNTIF(원본명단!$H$3:$H5277,원본명단!$H5277)=1),IF(원본명단!$I5277="",TRUE(),COUNTIF(원본명단!$I$3:$I5277,원본명단!$I5277)=1),IF(원본명단!$K5277="",TRUE(),COUNTIF(원본명단!$K$3:$K5277,원본명단!$K5277)=1)),"첫 건","중복 건")))</f>
        <v/>
      </c>
      <c r="J5278" s="11" t="str">
        <f aca="false">IF($A5278="","",IF($H5278="-","유지",IF($I5278="첫 건","유지","확인 필요")))</f>
        <v/>
      </c>
    </row>
    <row r="5279" customFormat="false" ht="15" hidden="false" customHeight="true" outlineLevel="0" collapsed="false">
      <c r="A5279" s="11" t="str">
        <f aca="false">IF(원본명단!$A5278="","",5276)</f>
        <v/>
      </c>
      <c r="B5279" s="12" t="str">
        <f aca="false">IF($A5279="","",원본명단!$A5278)</f>
        <v/>
      </c>
      <c r="C5279" s="12" t="str">
        <f aca="false">IF($A5279="","",원본명단!$B5278)</f>
        <v/>
      </c>
      <c r="D5279" s="12" t="str">
        <f aca="false">IF($A5279="","",원본명단!$D5278)</f>
        <v/>
      </c>
      <c r="E5279" s="11" t="str">
        <f aca="false">IF($A5279="","",IF(원본명단!$H5278="",0,COUNTIF(원본명단!$H$3:$H$6002,원본명단!$H5278)))</f>
        <v/>
      </c>
      <c r="F5279" s="11" t="str">
        <f aca="false">IF($A5279="","",IF(원본명단!$I5278="",0,COUNTIF(원본명단!$I$3:$I$6002,원본명단!$I5278)))</f>
        <v/>
      </c>
      <c r="G5279" s="11" t="str">
        <f aca="false">IF($A5279="","",IF(원본명단!$K5278="",0,COUNTIF(원본명단!$K$3:$K$6002,원본명단!$K5278)))</f>
        <v/>
      </c>
      <c r="H5279" s="11" t="str">
        <f aca="false">IF($A5279="","",IF(MAX($E5279,$F5279,$G5279)&gt;1,"중복","-"))</f>
        <v/>
      </c>
      <c r="I5279" s="11" t="str">
        <f aca="false">IF($A5279="","",IF($H5279="-","-",IF(AND(IF(원본명단!$H5278="",TRUE(),COUNTIF(원본명단!$H$3:$H5278,원본명단!$H5278)=1),IF(원본명단!$I5278="",TRUE(),COUNTIF(원본명단!$I$3:$I5278,원본명단!$I5278)=1),IF(원본명단!$K5278="",TRUE(),COUNTIF(원본명단!$K$3:$K5278,원본명단!$K5278)=1)),"첫 건","중복 건")))</f>
        <v/>
      </c>
      <c r="J5279" s="11" t="str">
        <f aca="false">IF($A5279="","",IF($H5279="-","유지",IF($I5279="첫 건","유지","확인 필요")))</f>
        <v/>
      </c>
    </row>
    <row r="5280" customFormat="false" ht="15" hidden="false" customHeight="true" outlineLevel="0" collapsed="false">
      <c r="A5280" s="11" t="str">
        <f aca="false">IF(원본명단!$A5279="","",5277)</f>
        <v/>
      </c>
      <c r="B5280" s="12" t="str">
        <f aca="false">IF($A5280="","",원본명단!$A5279)</f>
        <v/>
      </c>
      <c r="C5280" s="12" t="str">
        <f aca="false">IF($A5280="","",원본명단!$B5279)</f>
        <v/>
      </c>
      <c r="D5280" s="12" t="str">
        <f aca="false">IF($A5280="","",원본명단!$D5279)</f>
        <v/>
      </c>
      <c r="E5280" s="11" t="str">
        <f aca="false">IF($A5280="","",IF(원본명단!$H5279="",0,COUNTIF(원본명단!$H$3:$H$6002,원본명단!$H5279)))</f>
        <v/>
      </c>
      <c r="F5280" s="11" t="str">
        <f aca="false">IF($A5280="","",IF(원본명단!$I5279="",0,COUNTIF(원본명단!$I$3:$I$6002,원본명단!$I5279)))</f>
        <v/>
      </c>
      <c r="G5280" s="11" t="str">
        <f aca="false">IF($A5280="","",IF(원본명단!$K5279="",0,COUNTIF(원본명단!$K$3:$K$6002,원본명단!$K5279)))</f>
        <v/>
      </c>
      <c r="H5280" s="11" t="str">
        <f aca="false">IF($A5280="","",IF(MAX($E5280,$F5280,$G5280)&gt;1,"중복","-"))</f>
        <v/>
      </c>
      <c r="I5280" s="11" t="str">
        <f aca="false">IF($A5280="","",IF($H5280="-","-",IF(AND(IF(원본명단!$H5279="",TRUE(),COUNTIF(원본명단!$H$3:$H5279,원본명단!$H5279)=1),IF(원본명단!$I5279="",TRUE(),COUNTIF(원본명단!$I$3:$I5279,원본명단!$I5279)=1),IF(원본명단!$K5279="",TRUE(),COUNTIF(원본명단!$K$3:$K5279,원본명단!$K5279)=1)),"첫 건","중복 건")))</f>
        <v/>
      </c>
      <c r="J5280" s="11" t="str">
        <f aca="false">IF($A5280="","",IF($H5280="-","유지",IF($I5280="첫 건","유지","확인 필요")))</f>
        <v/>
      </c>
    </row>
    <row r="5281" customFormat="false" ht="15" hidden="false" customHeight="true" outlineLevel="0" collapsed="false">
      <c r="A5281" s="11" t="str">
        <f aca="false">IF(원본명단!$A5280="","",5278)</f>
        <v/>
      </c>
      <c r="B5281" s="12" t="str">
        <f aca="false">IF($A5281="","",원본명단!$A5280)</f>
        <v/>
      </c>
      <c r="C5281" s="12" t="str">
        <f aca="false">IF($A5281="","",원본명단!$B5280)</f>
        <v/>
      </c>
      <c r="D5281" s="12" t="str">
        <f aca="false">IF($A5281="","",원본명단!$D5280)</f>
        <v/>
      </c>
      <c r="E5281" s="11" t="str">
        <f aca="false">IF($A5281="","",IF(원본명단!$H5280="",0,COUNTIF(원본명단!$H$3:$H$6002,원본명단!$H5280)))</f>
        <v/>
      </c>
      <c r="F5281" s="11" t="str">
        <f aca="false">IF($A5281="","",IF(원본명단!$I5280="",0,COUNTIF(원본명단!$I$3:$I$6002,원본명단!$I5280)))</f>
        <v/>
      </c>
      <c r="G5281" s="11" t="str">
        <f aca="false">IF($A5281="","",IF(원본명단!$K5280="",0,COUNTIF(원본명단!$K$3:$K$6002,원본명단!$K5280)))</f>
        <v/>
      </c>
      <c r="H5281" s="11" t="str">
        <f aca="false">IF($A5281="","",IF(MAX($E5281,$F5281,$G5281)&gt;1,"중복","-"))</f>
        <v/>
      </c>
      <c r="I5281" s="11" t="str">
        <f aca="false">IF($A5281="","",IF($H5281="-","-",IF(AND(IF(원본명단!$H5280="",TRUE(),COUNTIF(원본명단!$H$3:$H5280,원본명단!$H5280)=1),IF(원본명단!$I5280="",TRUE(),COUNTIF(원본명단!$I$3:$I5280,원본명단!$I5280)=1),IF(원본명단!$K5280="",TRUE(),COUNTIF(원본명단!$K$3:$K5280,원본명단!$K5280)=1)),"첫 건","중복 건")))</f>
        <v/>
      </c>
      <c r="J5281" s="11" t="str">
        <f aca="false">IF($A5281="","",IF($H5281="-","유지",IF($I5281="첫 건","유지","확인 필요")))</f>
        <v/>
      </c>
    </row>
    <row r="5282" customFormat="false" ht="15" hidden="false" customHeight="true" outlineLevel="0" collapsed="false">
      <c r="A5282" s="11" t="str">
        <f aca="false">IF(원본명단!$A5281="","",5279)</f>
        <v/>
      </c>
      <c r="B5282" s="12" t="str">
        <f aca="false">IF($A5282="","",원본명단!$A5281)</f>
        <v/>
      </c>
      <c r="C5282" s="12" t="str">
        <f aca="false">IF($A5282="","",원본명단!$B5281)</f>
        <v/>
      </c>
      <c r="D5282" s="12" t="str">
        <f aca="false">IF($A5282="","",원본명단!$D5281)</f>
        <v/>
      </c>
      <c r="E5282" s="11" t="str">
        <f aca="false">IF($A5282="","",IF(원본명단!$H5281="",0,COUNTIF(원본명단!$H$3:$H$6002,원본명단!$H5281)))</f>
        <v/>
      </c>
      <c r="F5282" s="11" t="str">
        <f aca="false">IF($A5282="","",IF(원본명단!$I5281="",0,COUNTIF(원본명단!$I$3:$I$6002,원본명단!$I5281)))</f>
        <v/>
      </c>
      <c r="G5282" s="11" t="str">
        <f aca="false">IF($A5282="","",IF(원본명단!$K5281="",0,COUNTIF(원본명단!$K$3:$K$6002,원본명단!$K5281)))</f>
        <v/>
      </c>
      <c r="H5282" s="11" t="str">
        <f aca="false">IF($A5282="","",IF(MAX($E5282,$F5282,$G5282)&gt;1,"중복","-"))</f>
        <v/>
      </c>
      <c r="I5282" s="11" t="str">
        <f aca="false">IF($A5282="","",IF($H5282="-","-",IF(AND(IF(원본명단!$H5281="",TRUE(),COUNTIF(원본명단!$H$3:$H5281,원본명단!$H5281)=1),IF(원본명단!$I5281="",TRUE(),COUNTIF(원본명단!$I$3:$I5281,원본명단!$I5281)=1),IF(원본명단!$K5281="",TRUE(),COUNTIF(원본명단!$K$3:$K5281,원본명단!$K5281)=1)),"첫 건","중복 건")))</f>
        <v/>
      </c>
      <c r="J5282" s="11" t="str">
        <f aca="false">IF($A5282="","",IF($H5282="-","유지",IF($I5282="첫 건","유지","확인 필요")))</f>
        <v/>
      </c>
    </row>
    <row r="5283" customFormat="false" ht="15" hidden="false" customHeight="true" outlineLevel="0" collapsed="false">
      <c r="A5283" s="11" t="str">
        <f aca="false">IF(원본명단!$A5282="","",5280)</f>
        <v/>
      </c>
      <c r="B5283" s="12" t="str">
        <f aca="false">IF($A5283="","",원본명단!$A5282)</f>
        <v/>
      </c>
      <c r="C5283" s="12" t="str">
        <f aca="false">IF($A5283="","",원본명단!$B5282)</f>
        <v/>
      </c>
      <c r="D5283" s="12" t="str">
        <f aca="false">IF($A5283="","",원본명단!$D5282)</f>
        <v/>
      </c>
      <c r="E5283" s="11" t="str">
        <f aca="false">IF($A5283="","",IF(원본명단!$H5282="",0,COUNTIF(원본명단!$H$3:$H$6002,원본명단!$H5282)))</f>
        <v/>
      </c>
      <c r="F5283" s="11" t="str">
        <f aca="false">IF($A5283="","",IF(원본명단!$I5282="",0,COUNTIF(원본명단!$I$3:$I$6002,원본명단!$I5282)))</f>
        <v/>
      </c>
      <c r="G5283" s="11" t="str">
        <f aca="false">IF($A5283="","",IF(원본명단!$K5282="",0,COUNTIF(원본명단!$K$3:$K$6002,원본명단!$K5282)))</f>
        <v/>
      </c>
      <c r="H5283" s="11" t="str">
        <f aca="false">IF($A5283="","",IF(MAX($E5283,$F5283,$G5283)&gt;1,"중복","-"))</f>
        <v/>
      </c>
      <c r="I5283" s="11" t="str">
        <f aca="false">IF($A5283="","",IF($H5283="-","-",IF(AND(IF(원본명단!$H5282="",TRUE(),COUNTIF(원본명단!$H$3:$H5282,원본명단!$H5282)=1),IF(원본명단!$I5282="",TRUE(),COUNTIF(원본명단!$I$3:$I5282,원본명단!$I5282)=1),IF(원본명단!$K5282="",TRUE(),COUNTIF(원본명단!$K$3:$K5282,원본명단!$K5282)=1)),"첫 건","중복 건")))</f>
        <v/>
      </c>
      <c r="J5283" s="11" t="str">
        <f aca="false">IF($A5283="","",IF($H5283="-","유지",IF($I5283="첫 건","유지","확인 필요")))</f>
        <v/>
      </c>
    </row>
    <row r="5284" customFormat="false" ht="15" hidden="false" customHeight="true" outlineLevel="0" collapsed="false">
      <c r="A5284" s="11" t="str">
        <f aca="false">IF(원본명단!$A5283="","",5281)</f>
        <v/>
      </c>
      <c r="B5284" s="12" t="str">
        <f aca="false">IF($A5284="","",원본명단!$A5283)</f>
        <v/>
      </c>
      <c r="C5284" s="12" t="str">
        <f aca="false">IF($A5284="","",원본명단!$B5283)</f>
        <v/>
      </c>
      <c r="D5284" s="12" t="str">
        <f aca="false">IF($A5284="","",원본명단!$D5283)</f>
        <v/>
      </c>
      <c r="E5284" s="11" t="str">
        <f aca="false">IF($A5284="","",IF(원본명단!$H5283="",0,COUNTIF(원본명단!$H$3:$H$6002,원본명단!$H5283)))</f>
        <v/>
      </c>
      <c r="F5284" s="11" t="str">
        <f aca="false">IF($A5284="","",IF(원본명단!$I5283="",0,COUNTIF(원본명단!$I$3:$I$6002,원본명단!$I5283)))</f>
        <v/>
      </c>
      <c r="G5284" s="11" t="str">
        <f aca="false">IF($A5284="","",IF(원본명단!$K5283="",0,COUNTIF(원본명단!$K$3:$K$6002,원본명단!$K5283)))</f>
        <v/>
      </c>
      <c r="H5284" s="11" t="str">
        <f aca="false">IF($A5284="","",IF(MAX($E5284,$F5284,$G5284)&gt;1,"중복","-"))</f>
        <v/>
      </c>
      <c r="I5284" s="11" t="str">
        <f aca="false">IF($A5284="","",IF($H5284="-","-",IF(AND(IF(원본명단!$H5283="",TRUE(),COUNTIF(원본명단!$H$3:$H5283,원본명단!$H5283)=1),IF(원본명단!$I5283="",TRUE(),COUNTIF(원본명단!$I$3:$I5283,원본명단!$I5283)=1),IF(원본명단!$K5283="",TRUE(),COUNTIF(원본명단!$K$3:$K5283,원본명단!$K5283)=1)),"첫 건","중복 건")))</f>
        <v/>
      </c>
      <c r="J5284" s="11" t="str">
        <f aca="false">IF($A5284="","",IF($H5284="-","유지",IF($I5284="첫 건","유지","확인 필요")))</f>
        <v/>
      </c>
    </row>
    <row r="5285" customFormat="false" ht="15" hidden="false" customHeight="true" outlineLevel="0" collapsed="false">
      <c r="A5285" s="11" t="str">
        <f aca="false">IF(원본명단!$A5284="","",5282)</f>
        <v/>
      </c>
      <c r="B5285" s="12" t="str">
        <f aca="false">IF($A5285="","",원본명단!$A5284)</f>
        <v/>
      </c>
      <c r="C5285" s="12" t="str">
        <f aca="false">IF($A5285="","",원본명단!$B5284)</f>
        <v/>
      </c>
      <c r="D5285" s="12" t="str">
        <f aca="false">IF($A5285="","",원본명단!$D5284)</f>
        <v/>
      </c>
      <c r="E5285" s="11" t="str">
        <f aca="false">IF($A5285="","",IF(원본명단!$H5284="",0,COUNTIF(원본명단!$H$3:$H$6002,원본명단!$H5284)))</f>
        <v/>
      </c>
      <c r="F5285" s="11" t="str">
        <f aca="false">IF($A5285="","",IF(원본명단!$I5284="",0,COUNTIF(원본명단!$I$3:$I$6002,원본명단!$I5284)))</f>
        <v/>
      </c>
      <c r="G5285" s="11" t="str">
        <f aca="false">IF($A5285="","",IF(원본명단!$K5284="",0,COUNTIF(원본명단!$K$3:$K$6002,원본명단!$K5284)))</f>
        <v/>
      </c>
      <c r="H5285" s="11" t="str">
        <f aca="false">IF($A5285="","",IF(MAX($E5285,$F5285,$G5285)&gt;1,"중복","-"))</f>
        <v/>
      </c>
      <c r="I5285" s="11" t="str">
        <f aca="false">IF($A5285="","",IF($H5285="-","-",IF(AND(IF(원본명단!$H5284="",TRUE(),COUNTIF(원본명단!$H$3:$H5284,원본명단!$H5284)=1),IF(원본명단!$I5284="",TRUE(),COUNTIF(원본명단!$I$3:$I5284,원본명단!$I5284)=1),IF(원본명단!$K5284="",TRUE(),COUNTIF(원본명단!$K$3:$K5284,원본명단!$K5284)=1)),"첫 건","중복 건")))</f>
        <v/>
      </c>
      <c r="J5285" s="11" t="str">
        <f aca="false">IF($A5285="","",IF($H5285="-","유지",IF($I5285="첫 건","유지","확인 필요")))</f>
        <v/>
      </c>
    </row>
    <row r="5286" customFormat="false" ht="15" hidden="false" customHeight="true" outlineLevel="0" collapsed="false">
      <c r="A5286" s="11" t="str">
        <f aca="false">IF(원본명단!$A5285="","",5283)</f>
        <v/>
      </c>
      <c r="B5286" s="12" t="str">
        <f aca="false">IF($A5286="","",원본명단!$A5285)</f>
        <v/>
      </c>
      <c r="C5286" s="12" t="str">
        <f aca="false">IF($A5286="","",원본명단!$B5285)</f>
        <v/>
      </c>
      <c r="D5286" s="12" t="str">
        <f aca="false">IF($A5286="","",원본명단!$D5285)</f>
        <v/>
      </c>
      <c r="E5286" s="11" t="str">
        <f aca="false">IF($A5286="","",IF(원본명단!$H5285="",0,COUNTIF(원본명단!$H$3:$H$6002,원본명단!$H5285)))</f>
        <v/>
      </c>
      <c r="F5286" s="11" t="str">
        <f aca="false">IF($A5286="","",IF(원본명단!$I5285="",0,COUNTIF(원본명단!$I$3:$I$6002,원본명단!$I5285)))</f>
        <v/>
      </c>
      <c r="G5286" s="11" t="str">
        <f aca="false">IF($A5286="","",IF(원본명단!$K5285="",0,COUNTIF(원본명단!$K$3:$K$6002,원본명단!$K5285)))</f>
        <v/>
      </c>
      <c r="H5286" s="11" t="str">
        <f aca="false">IF($A5286="","",IF(MAX($E5286,$F5286,$G5286)&gt;1,"중복","-"))</f>
        <v/>
      </c>
      <c r="I5286" s="11" t="str">
        <f aca="false">IF($A5286="","",IF($H5286="-","-",IF(AND(IF(원본명단!$H5285="",TRUE(),COUNTIF(원본명단!$H$3:$H5285,원본명단!$H5285)=1),IF(원본명단!$I5285="",TRUE(),COUNTIF(원본명단!$I$3:$I5285,원본명단!$I5285)=1),IF(원본명단!$K5285="",TRUE(),COUNTIF(원본명단!$K$3:$K5285,원본명단!$K5285)=1)),"첫 건","중복 건")))</f>
        <v/>
      </c>
      <c r="J5286" s="11" t="str">
        <f aca="false">IF($A5286="","",IF($H5286="-","유지",IF($I5286="첫 건","유지","확인 필요")))</f>
        <v/>
      </c>
    </row>
    <row r="5287" customFormat="false" ht="15" hidden="false" customHeight="true" outlineLevel="0" collapsed="false">
      <c r="A5287" s="11" t="str">
        <f aca="false">IF(원본명단!$A5286="","",5284)</f>
        <v/>
      </c>
      <c r="B5287" s="12" t="str">
        <f aca="false">IF($A5287="","",원본명단!$A5286)</f>
        <v/>
      </c>
      <c r="C5287" s="12" t="str">
        <f aca="false">IF($A5287="","",원본명단!$B5286)</f>
        <v/>
      </c>
      <c r="D5287" s="12" t="str">
        <f aca="false">IF($A5287="","",원본명단!$D5286)</f>
        <v/>
      </c>
      <c r="E5287" s="11" t="str">
        <f aca="false">IF($A5287="","",IF(원본명단!$H5286="",0,COUNTIF(원본명단!$H$3:$H$6002,원본명단!$H5286)))</f>
        <v/>
      </c>
      <c r="F5287" s="11" t="str">
        <f aca="false">IF($A5287="","",IF(원본명단!$I5286="",0,COUNTIF(원본명단!$I$3:$I$6002,원본명단!$I5286)))</f>
        <v/>
      </c>
      <c r="G5287" s="11" t="str">
        <f aca="false">IF($A5287="","",IF(원본명단!$K5286="",0,COUNTIF(원본명단!$K$3:$K$6002,원본명단!$K5286)))</f>
        <v/>
      </c>
      <c r="H5287" s="11" t="str">
        <f aca="false">IF($A5287="","",IF(MAX($E5287,$F5287,$G5287)&gt;1,"중복","-"))</f>
        <v/>
      </c>
      <c r="I5287" s="11" t="str">
        <f aca="false">IF($A5287="","",IF($H5287="-","-",IF(AND(IF(원본명단!$H5286="",TRUE(),COUNTIF(원본명단!$H$3:$H5286,원본명단!$H5286)=1),IF(원본명단!$I5286="",TRUE(),COUNTIF(원본명단!$I$3:$I5286,원본명단!$I5286)=1),IF(원본명단!$K5286="",TRUE(),COUNTIF(원본명단!$K$3:$K5286,원본명단!$K5286)=1)),"첫 건","중복 건")))</f>
        <v/>
      </c>
      <c r="J5287" s="11" t="str">
        <f aca="false">IF($A5287="","",IF($H5287="-","유지",IF($I5287="첫 건","유지","확인 필요")))</f>
        <v/>
      </c>
    </row>
    <row r="5288" customFormat="false" ht="15" hidden="false" customHeight="true" outlineLevel="0" collapsed="false">
      <c r="A5288" s="11" t="str">
        <f aca="false">IF(원본명단!$A5287="","",5285)</f>
        <v/>
      </c>
      <c r="B5288" s="12" t="str">
        <f aca="false">IF($A5288="","",원본명단!$A5287)</f>
        <v/>
      </c>
      <c r="C5288" s="12" t="str">
        <f aca="false">IF($A5288="","",원본명단!$B5287)</f>
        <v/>
      </c>
      <c r="D5288" s="12" t="str">
        <f aca="false">IF($A5288="","",원본명단!$D5287)</f>
        <v/>
      </c>
      <c r="E5288" s="11" t="str">
        <f aca="false">IF($A5288="","",IF(원본명단!$H5287="",0,COUNTIF(원본명단!$H$3:$H$6002,원본명단!$H5287)))</f>
        <v/>
      </c>
      <c r="F5288" s="11" t="str">
        <f aca="false">IF($A5288="","",IF(원본명단!$I5287="",0,COUNTIF(원본명단!$I$3:$I$6002,원본명단!$I5287)))</f>
        <v/>
      </c>
      <c r="G5288" s="11" t="str">
        <f aca="false">IF($A5288="","",IF(원본명단!$K5287="",0,COUNTIF(원본명단!$K$3:$K$6002,원본명단!$K5287)))</f>
        <v/>
      </c>
      <c r="H5288" s="11" t="str">
        <f aca="false">IF($A5288="","",IF(MAX($E5288,$F5288,$G5288)&gt;1,"중복","-"))</f>
        <v/>
      </c>
      <c r="I5288" s="11" t="str">
        <f aca="false">IF($A5288="","",IF($H5288="-","-",IF(AND(IF(원본명단!$H5287="",TRUE(),COUNTIF(원본명단!$H$3:$H5287,원본명단!$H5287)=1),IF(원본명단!$I5287="",TRUE(),COUNTIF(원본명단!$I$3:$I5287,원본명단!$I5287)=1),IF(원본명단!$K5287="",TRUE(),COUNTIF(원본명단!$K$3:$K5287,원본명단!$K5287)=1)),"첫 건","중복 건")))</f>
        <v/>
      </c>
      <c r="J5288" s="11" t="str">
        <f aca="false">IF($A5288="","",IF($H5288="-","유지",IF($I5288="첫 건","유지","확인 필요")))</f>
        <v/>
      </c>
    </row>
    <row r="5289" customFormat="false" ht="15" hidden="false" customHeight="true" outlineLevel="0" collapsed="false">
      <c r="A5289" s="11" t="str">
        <f aca="false">IF(원본명단!$A5288="","",5286)</f>
        <v/>
      </c>
      <c r="B5289" s="12" t="str">
        <f aca="false">IF($A5289="","",원본명단!$A5288)</f>
        <v/>
      </c>
      <c r="C5289" s="12" t="str">
        <f aca="false">IF($A5289="","",원본명단!$B5288)</f>
        <v/>
      </c>
      <c r="D5289" s="12" t="str">
        <f aca="false">IF($A5289="","",원본명단!$D5288)</f>
        <v/>
      </c>
      <c r="E5289" s="11" t="str">
        <f aca="false">IF($A5289="","",IF(원본명단!$H5288="",0,COUNTIF(원본명단!$H$3:$H$6002,원본명단!$H5288)))</f>
        <v/>
      </c>
      <c r="F5289" s="11" t="str">
        <f aca="false">IF($A5289="","",IF(원본명단!$I5288="",0,COUNTIF(원본명단!$I$3:$I$6002,원본명단!$I5288)))</f>
        <v/>
      </c>
      <c r="G5289" s="11" t="str">
        <f aca="false">IF($A5289="","",IF(원본명단!$K5288="",0,COUNTIF(원본명단!$K$3:$K$6002,원본명단!$K5288)))</f>
        <v/>
      </c>
      <c r="H5289" s="11" t="str">
        <f aca="false">IF($A5289="","",IF(MAX($E5289,$F5289,$G5289)&gt;1,"중복","-"))</f>
        <v/>
      </c>
      <c r="I5289" s="11" t="str">
        <f aca="false">IF($A5289="","",IF($H5289="-","-",IF(AND(IF(원본명단!$H5288="",TRUE(),COUNTIF(원본명단!$H$3:$H5288,원본명단!$H5288)=1),IF(원본명단!$I5288="",TRUE(),COUNTIF(원본명단!$I$3:$I5288,원본명단!$I5288)=1),IF(원본명단!$K5288="",TRUE(),COUNTIF(원본명단!$K$3:$K5288,원본명단!$K5288)=1)),"첫 건","중복 건")))</f>
        <v/>
      </c>
      <c r="J5289" s="11" t="str">
        <f aca="false">IF($A5289="","",IF($H5289="-","유지",IF($I5289="첫 건","유지","확인 필요")))</f>
        <v/>
      </c>
    </row>
    <row r="5290" customFormat="false" ht="15" hidden="false" customHeight="true" outlineLevel="0" collapsed="false">
      <c r="A5290" s="11" t="str">
        <f aca="false">IF(원본명단!$A5289="","",5287)</f>
        <v/>
      </c>
      <c r="B5290" s="12" t="str">
        <f aca="false">IF($A5290="","",원본명단!$A5289)</f>
        <v/>
      </c>
      <c r="C5290" s="12" t="str">
        <f aca="false">IF($A5290="","",원본명단!$B5289)</f>
        <v/>
      </c>
      <c r="D5290" s="12" t="str">
        <f aca="false">IF($A5290="","",원본명단!$D5289)</f>
        <v/>
      </c>
      <c r="E5290" s="11" t="str">
        <f aca="false">IF($A5290="","",IF(원본명단!$H5289="",0,COUNTIF(원본명단!$H$3:$H$6002,원본명단!$H5289)))</f>
        <v/>
      </c>
      <c r="F5290" s="11" t="str">
        <f aca="false">IF($A5290="","",IF(원본명단!$I5289="",0,COUNTIF(원본명단!$I$3:$I$6002,원본명단!$I5289)))</f>
        <v/>
      </c>
      <c r="G5290" s="11" t="str">
        <f aca="false">IF($A5290="","",IF(원본명단!$K5289="",0,COUNTIF(원본명단!$K$3:$K$6002,원본명단!$K5289)))</f>
        <v/>
      </c>
      <c r="H5290" s="11" t="str">
        <f aca="false">IF($A5290="","",IF(MAX($E5290,$F5290,$G5290)&gt;1,"중복","-"))</f>
        <v/>
      </c>
      <c r="I5290" s="11" t="str">
        <f aca="false">IF($A5290="","",IF($H5290="-","-",IF(AND(IF(원본명단!$H5289="",TRUE(),COUNTIF(원본명단!$H$3:$H5289,원본명단!$H5289)=1),IF(원본명단!$I5289="",TRUE(),COUNTIF(원본명단!$I$3:$I5289,원본명단!$I5289)=1),IF(원본명단!$K5289="",TRUE(),COUNTIF(원본명단!$K$3:$K5289,원본명단!$K5289)=1)),"첫 건","중복 건")))</f>
        <v/>
      </c>
      <c r="J5290" s="11" t="str">
        <f aca="false">IF($A5290="","",IF($H5290="-","유지",IF($I5290="첫 건","유지","확인 필요")))</f>
        <v/>
      </c>
    </row>
    <row r="5291" customFormat="false" ht="15" hidden="false" customHeight="true" outlineLevel="0" collapsed="false">
      <c r="A5291" s="11" t="str">
        <f aca="false">IF(원본명단!$A5290="","",5288)</f>
        <v/>
      </c>
      <c r="B5291" s="12" t="str">
        <f aca="false">IF($A5291="","",원본명단!$A5290)</f>
        <v/>
      </c>
      <c r="C5291" s="12" t="str">
        <f aca="false">IF($A5291="","",원본명단!$B5290)</f>
        <v/>
      </c>
      <c r="D5291" s="12" t="str">
        <f aca="false">IF($A5291="","",원본명단!$D5290)</f>
        <v/>
      </c>
      <c r="E5291" s="11" t="str">
        <f aca="false">IF($A5291="","",IF(원본명단!$H5290="",0,COUNTIF(원본명단!$H$3:$H$6002,원본명단!$H5290)))</f>
        <v/>
      </c>
      <c r="F5291" s="11" t="str">
        <f aca="false">IF($A5291="","",IF(원본명단!$I5290="",0,COUNTIF(원본명단!$I$3:$I$6002,원본명단!$I5290)))</f>
        <v/>
      </c>
      <c r="G5291" s="11" t="str">
        <f aca="false">IF($A5291="","",IF(원본명단!$K5290="",0,COUNTIF(원본명단!$K$3:$K$6002,원본명단!$K5290)))</f>
        <v/>
      </c>
      <c r="H5291" s="11" t="str">
        <f aca="false">IF($A5291="","",IF(MAX($E5291,$F5291,$G5291)&gt;1,"중복","-"))</f>
        <v/>
      </c>
      <c r="I5291" s="11" t="str">
        <f aca="false">IF($A5291="","",IF($H5291="-","-",IF(AND(IF(원본명단!$H5290="",TRUE(),COUNTIF(원본명단!$H$3:$H5290,원본명단!$H5290)=1),IF(원본명단!$I5290="",TRUE(),COUNTIF(원본명단!$I$3:$I5290,원본명단!$I5290)=1),IF(원본명단!$K5290="",TRUE(),COUNTIF(원본명단!$K$3:$K5290,원본명단!$K5290)=1)),"첫 건","중복 건")))</f>
        <v/>
      </c>
      <c r="J5291" s="11" t="str">
        <f aca="false">IF($A5291="","",IF($H5291="-","유지",IF($I5291="첫 건","유지","확인 필요")))</f>
        <v/>
      </c>
    </row>
    <row r="5292" customFormat="false" ht="15" hidden="false" customHeight="true" outlineLevel="0" collapsed="false">
      <c r="A5292" s="11" t="str">
        <f aca="false">IF(원본명단!$A5291="","",5289)</f>
        <v/>
      </c>
      <c r="B5292" s="12" t="str">
        <f aca="false">IF($A5292="","",원본명단!$A5291)</f>
        <v/>
      </c>
      <c r="C5292" s="12" t="str">
        <f aca="false">IF($A5292="","",원본명단!$B5291)</f>
        <v/>
      </c>
      <c r="D5292" s="12" t="str">
        <f aca="false">IF($A5292="","",원본명단!$D5291)</f>
        <v/>
      </c>
      <c r="E5292" s="11" t="str">
        <f aca="false">IF($A5292="","",IF(원본명단!$H5291="",0,COUNTIF(원본명단!$H$3:$H$6002,원본명단!$H5291)))</f>
        <v/>
      </c>
      <c r="F5292" s="11" t="str">
        <f aca="false">IF($A5292="","",IF(원본명단!$I5291="",0,COUNTIF(원본명단!$I$3:$I$6002,원본명단!$I5291)))</f>
        <v/>
      </c>
      <c r="G5292" s="11" t="str">
        <f aca="false">IF($A5292="","",IF(원본명단!$K5291="",0,COUNTIF(원본명단!$K$3:$K$6002,원본명단!$K5291)))</f>
        <v/>
      </c>
      <c r="H5292" s="11" t="str">
        <f aca="false">IF($A5292="","",IF(MAX($E5292,$F5292,$G5292)&gt;1,"중복","-"))</f>
        <v/>
      </c>
      <c r="I5292" s="11" t="str">
        <f aca="false">IF($A5292="","",IF($H5292="-","-",IF(AND(IF(원본명단!$H5291="",TRUE(),COUNTIF(원본명단!$H$3:$H5291,원본명단!$H5291)=1),IF(원본명단!$I5291="",TRUE(),COUNTIF(원본명단!$I$3:$I5291,원본명단!$I5291)=1),IF(원본명단!$K5291="",TRUE(),COUNTIF(원본명단!$K$3:$K5291,원본명단!$K5291)=1)),"첫 건","중복 건")))</f>
        <v/>
      </c>
      <c r="J5292" s="11" t="str">
        <f aca="false">IF($A5292="","",IF($H5292="-","유지",IF($I5292="첫 건","유지","확인 필요")))</f>
        <v/>
      </c>
    </row>
    <row r="5293" customFormat="false" ht="15" hidden="false" customHeight="true" outlineLevel="0" collapsed="false">
      <c r="A5293" s="11" t="str">
        <f aca="false">IF(원본명단!$A5292="","",5290)</f>
        <v/>
      </c>
      <c r="B5293" s="12" t="str">
        <f aca="false">IF($A5293="","",원본명단!$A5292)</f>
        <v/>
      </c>
      <c r="C5293" s="12" t="str">
        <f aca="false">IF($A5293="","",원본명단!$B5292)</f>
        <v/>
      </c>
      <c r="D5293" s="12" t="str">
        <f aca="false">IF($A5293="","",원본명단!$D5292)</f>
        <v/>
      </c>
      <c r="E5293" s="11" t="str">
        <f aca="false">IF($A5293="","",IF(원본명단!$H5292="",0,COUNTIF(원본명단!$H$3:$H$6002,원본명단!$H5292)))</f>
        <v/>
      </c>
      <c r="F5293" s="11" t="str">
        <f aca="false">IF($A5293="","",IF(원본명단!$I5292="",0,COUNTIF(원본명단!$I$3:$I$6002,원본명단!$I5292)))</f>
        <v/>
      </c>
      <c r="G5293" s="11" t="str">
        <f aca="false">IF($A5293="","",IF(원본명단!$K5292="",0,COUNTIF(원본명단!$K$3:$K$6002,원본명단!$K5292)))</f>
        <v/>
      </c>
      <c r="H5293" s="11" t="str">
        <f aca="false">IF($A5293="","",IF(MAX($E5293,$F5293,$G5293)&gt;1,"중복","-"))</f>
        <v/>
      </c>
      <c r="I5293" s="11" t="str">
        <f aca="false">IF($A5293="","",IF($H5293="-","-",IF(AND(IF(원본명단!$H5292="",TRUE(),COUNTIF(원본명단!$H$3:$H5292,원본명단!$H5292)=1),IF(원본명단!$I5292="",TRUE(),COUNTIF(원본명단!$I$3:$I5292,원본명단!$I5292)=1),IF(원본명단!$K5292="",TRUE(),COUNTIF(원본명단!$K$3:$K5292,원본명단!$K5292)=1)),"첫 건","중복 건")))</f>
        <v/>
      </c>
      <c r="J5293" s="11" t="str">
        <f aca="false">IF($A5293="","",IF($H5293="-","유지",IF($I5293="첫 건","유지","확인 필요")))</f>
        <v/>
      </c>
    </row>
    <row r="5294" customFormat="false" ht="15" hidden="false" customHeight="true" outlineLevel="0" collapsed="false">
      <c r="A5294" s="11" t="str">
        <f aca="false">IF(원본명단!$A5293="","",5291)</f>
        <v/>
      </c>
      <c r="B5294" s="12" t="str">
        <f aca="false">IF($A5294="","",원본명단!$A5293)</f>
        <v/>
      </c>
      <c r="C5294" s="12" t="str">
        <f aca="false">IF($A5294="","",원본명단!$B5293)</f>
        <v/>
      </c>
      <c r="D5294" s="12" t="str">
        <f aca="false">IF($A5294="","",원본명단!$D5293)</f>
        <v/>
      </c>
      <c r="E5294" s="11" t="str">
        <f aca="false">IF($A5294="","",IF(원본명단!$H5293="",0,COUNTIF(원본명단!$H$3:$H$6002,원본명단!$H5293)))</f>
        <v/>
      </c>
      <c r="F5294" s="11" t="str">
        <f aca="false">IF($A5294="","",IF(원본명단!$I5293="",0,COUNTIF(원본명단!$I$3:$I$6002,원본명단!$I5293)))</f>
        <v/>
      </c>
      <c r="G5294" s="11" t="str">
        <f aca="false">IF($A5294="","",IF(원본명단!$K5293="",0,COUNTIF(원본명단!$K$3:$K$6002,원본명단!$K5293)))</f>
        <v/>
      </c>
      <c r="H5294" s="11" t="str">
        <f aca="false">IF($A5294="","",IF(MAX($E5294,$F5294,$G5294)&gt;1,"중복","-"))</f>
        <v/>
      </c>
      <c r="I5294" s="11" t="str">
        <f aca="false">IF($A5294="","",IF($H5294="-","-",IF(AND(IF(원본명단!$H5293="",TRUE(),COUNTIF(원본명단!$H$3:$H5293,원본명단!$H5293)=1),IF(원본명단!$I5293="",TRUE(),COUNTIF(원본명단!$I$3:$I5293,원본명단!$I5293)=1),IF(원본명단!$K5293="",TRUE(),COUNTIF(원본명단!$K$3:$K5293,원본명단!$K5293)=1)),"첫 건","중복 건")))</f>
        <v/>
      </c>
      <c r="J5294" s="11" t="str">
        <f aca="false">IF($A5294="","",IF($H5294="-","유지",IF($I5294="첫 건","유지","확인 필요")))</f>
        <v/>
      </c>
    </row>
    <row r="5295" customFormat="false" ht="15" hidden="false" customHeight="true" outlineLevel="0" collapsed="false">
      <c r="A5295" s="11" t="str">
        <f aca="false">IF(원본명단!$A5294="","",5292)</f>
        <v/>
      </c>
      <c r="B5295" s="12" t="str">
        <f aca="false">IF($A5295="","",원본명단!$A5294)</f>
        <v/>
      </c>
      <c r="C5295" s="12" t="str">
        <f aca="false">IF($A5295="","",원본명단!$B5294)</f>
        <v/>
      </c>
      <c r="D5295" s="12" t="str">
        <f aca="false">IF($A5295="","",원본명단!$D5294)</f>
        <v/>
      </c>
      <c r="E5295" s="11" t="str">
        <f aca="false">IF($A5295="","",IF(원본명단!$H5294="",0,COUNTIF(원본명단!$H$3:$H$6002,원본명단!$H5294)))</f>
        <v/>
      </c>
      <c r="F5295" s="11" t="str">
        <f aca="false">IF($A5295="","",IF(원본명단!$I5294="",0,COUNTIF(원본명단!$I$3:$I$6002,원본명단!$I5294)))</f>
        <v/>
      </c>
      <c r="G5295" s="11" t="str">
        <f aca="false">IF($A5295="","",IF(원본명단!$K5294="",0,COUNTIF(원본명단!$K$3:$K$6002,원본명단!$K5294)))</f>
        <v/>
      </c>
      <c r="H5295" s="11" t="str">
        <f aca="false">IF($A5295="","",IF(MAX($E5295,$F5295,$G5295)&gt;1,"중복","-"))</f>
        <v/>
      </c>
      <c r="I5295" s="11" t="str">
        <f aca="false">IF($A5295="","",IF($H5295="-","-",IF(AND(IF(원본명단!$H5294="",TRUE(),COUNTIF(원본명단!$H$3:$H5294,원본명단!$H5294)=1),IF(원본명단!$I5294="",TRUE(),COUNTIF(원본명단!$I$3:$I5294,원본명단!$I5294)=1),IF(원본명단!$K5294="",TRUE(),COUNTIF(원본명단!$K$3:$K5294,원본명단!$K5294)=1)),"첫 건","중복 건")))</f>
        <v/>
      </c>
      <c r="J5295" s="11" t="str">
        <f aca="false">IF($A5295="","",IF($H5295="-","유지",IF($I5295="첫 건","유지","확인 필요")))</f>
        <v/>
      </c>
    </row>
    <row r="5296" customFormat="false" ht="15" hidden="false" customHeight="true" outlineLevel="0" collapsed="false">
      <c r="A5296" s="11" t="str">
        <f aca="false">IF(원본명단!$A5295="","",5293)</f>
        <v/>
      </c>
      <c r="B5296" s="12" t="str">
        <f aca="false">IF($A5296="","",원본명단!$A5295)</f>
        <v/>
      </c>
      <c r="C5296" s="12" t="str">
        <f aca="false">IF($A5296="","",원본명단!$B5295)</f>
        <v/>
      </c>
      <c r="D5296" s="12" t="str">
        <f aca="false">IF($A5296="","",원본명단!$D5295)</f>
        <v/>
      </c>
      <c r="E5296" s="11" t="str">
        <f aca="false">IF($A5296="","",IF(원본명단!$H5295="",0,COUNTIF(원본명단!$H$3:$H$6002,원본명단!$H5295)))</f>
        <v/>
      </c>
      <c r="F5296" s="11" t="str">
        <f aca="false">IF($A5296="","",IF(원본명단!$I5295="",0,COUNTIF(원본명단!$I$3:$I$6002,원본명단!$I5295)))</f>
        <v/>
      </c>
      <c r="G5296" s="11" t="str">
        <f aca="false">IF($A5296="","",IF(원본명단!$K5295="",0,COUNTIF(원본명단!$K$3:$K$6002,원본명단!$K5295)))</f>
        <v/>
      </c>
      <c r="H5296" s="11" t="str">
        <f aca="false">IF($A5296="","",IF(MAX($E5296,$F5296,$G5296)&gt;1,"중복","-"))</f>
        <v/>
      </c>
      <c r="I5296" s="11" t="str">
        <f aca="false">IF($A5296="","",IF($H5296="-","-",IF(AND(IF(원본명단!$H5295="",TRUE(),COUNTIF(원본명단!$H$3:$H5295,원본명단!$H5295)=1),IF(원본명단!$I5295="",TRUE(),COUNTIF(원본명단!$I$3:$I5295,원본명단!$I5295)=1),IF(원본명단!$K5295="",TRUE(),COUNTIF(원본명단!$K$3:$K5295,원본명단!$K5295)=1)),"첫 건","중복 건")))</f>
        <v/>
      </c>
      <c r="J5296" s="11" t="str">
        <f aca="false">IF($A5296="","",IF($H5296="-","유지",IF($I5296="첫 건","유지","확인 필요")))</f>
        <v/>
      </c>
    </row>
    <row r="5297" customFormat="false" ht="15" hidden="false" customHeight="true" outlineLevel="0" collapsed="false">
      <c r="A5297" s="11" t="str">
        <f aca="false">IF(원본명단!$A5296="","",5294)</f>
        <v/>
      </c>
      <c r="B5297" s="12" t="str">
        <f aca="false">IF($A5297="","",원본명단!$A5296)</f>
        <v/>
      </c>
      <c r="C5297" s="12" t="str">
        <f aca="false">IF($A5297="","",원본명단!$B5296)</f>
        <v/>
      </c>
      <c r="D5297" s="12" t="str">
        <f aca="false">IF($A5297="","",원본명단!$D5296)</f>
        <v/>
      </c>
      <c r="E5297" s="11" t="str">
        <f aca="false">IF($A5297="","",IF(원본명단!$H5296="",0,COUNTIF(원본명단!$H$3:$H$6002,원본명단!$H5296)))</f>
        <v/>
      </c>
      <c r="F5297" s="11" t="str">
        <f aca="false">IF($A5297="","",IF(원본명단!$I5296="",0,COUNTIF(원본명단!$I$3:$I$6002,원본명단!$I5296)))</f>
        <v/>
      </c>
      <c r="G5297" s="11" t="str">
        <f aca="false">IF($A5297="","",IF(원본명단!$K5296="",0,COUNTIF(원본명단!$K$3:$K$6002,원본명단!$K5296)))</f>
        <v/>
      </c>
      <c r="H5297" s="11" t="str">
        <f aca="false">IF($A5297="","",IF(MAX($E5297,$F5297,$G5297)&gt;1,"중복","-"))</f>
        <v/>
      </c>
      <c r="I5297" s="11" t="str">
        <f aca="false">IF($A5297="","",IF($H5297="-","-",IF(AND(IF(원본명단!$H5296="",TRUE(),COUNTIF(원본명단!$H$3:$H5296,원본명단!$H5296)=1),IF(원본명단!$I5296="",TRUE(),COUNTIF(원본명단!$I$3:$I5296,원본명단!$I5296)=1),IF(원본명단!$K5296="",TRUE(),COUNTIF(원본명단!$K$3:$K5296,원본명단!$K5296)=1)),"첫 건","중복 건")))</f>
        <v/>
      </c>
      <c r="J5297" s="11" t="str">
        <f aca="false">IF($A5297="","",IF($H5297="-","유지",IF($I5297="첫 건","유지","확인 필요")))</f>
        <v/>
      </c>
    </row>
    <row r="5298" customFormat="false" ht="15" hidden="false" customHeight="true" outlineLevel="0" collapsed="false">
      <c r="A5298" s="11" t="str">
        <f aca="false">IF(원본명단!$A5297="","",5295)</f>
        <v/>
      </c>
      <c r="B5298" s="12" t="str">
        <f aca="false">IF($A5298="","",원본명단!$A5297)</f>
        <v/>
      </c>
      <c r="C5298" s="12" t="str">
        <f aca="false">IF($A5298="","",원본명단!$B5297)</f>
        <v/>
      </c>
      <c r="D5298" s="12" t="str">
        <f aca="false">IF($A5298="","",원본명단!$D5297)</f>
        <v/>
      </c>
      <c r="E5298" s="11" t="str">
        <f aca="false">IF($A5298="","",IF(원본명단!$H5297="",0,COUNTIF(원본명단!$H$3:$H$6002,원본명단!$H5297)))</f>
        <v/>
      </c>
      <c r="F5298" s="11" t="str">
        <f aca="false">IF($A5298="","",IF(원본명단!$I5297="",0,COUNTIF(원본명단!$I$3:$I$6002,원본명단!$I5297)))</f>
        <v/>
      </c>
      <c r="G5298" s="11" t="str">
        <f aca="false">IF($A5298="","",IF(원본명단!$K5297="",0,COUNTIF(원본명단!$K$3:$K$6002,원본명단!$K5297)))</f>
        <v/>
      </c>
      <c r="H5298" s="11" t="str">
        <f aca="false">IF($A5298="","",IF(MAX($E5298,$F5298,$G5298)&gt;1,"중복","-"))</f>
        <v/>
      </c>
      <c r="I5298" s="11" t="str">
        <f aca="false">IF($A5298="","",IF($H5298="-","-",IF(AND(IF(원본명단!$H5297="",TRUE(),COUNTIF(원본명단!$H$3:$H5297,원본명단!$H5297)=1),IF(원본명단!$I5297="",TRUE(),COUNTIF(원본명단!$I$3:$I5297,원본명단!$I5297)=1),IF(원본명단!$K5297="",TRUE(),COUNTIF(원본명단!$K$3:$K5297,원본명단!$K5297)=1)),"첫 건","중복 건")))</f>
        <v/>
      </c>
      <c r="J5298" s="11" t="str">
        <f aca="false">IF($A5298="","",IF($H5298="-","유지",IF($I5298="첫 건","유지","확인 필요")))</f>
        <v/>
      </c>
    </row>
    <row r="5299" customFormat="false" ht="15" hidden="false" customHeight="true" outlineLevel="0" collapsed="false">
      <c r="A5299" s="11" t="str">
        <f aca="false">IF(원본명단!$A5298="","",5296)</f>
        <v/>
      </c>
      <c r="B5299" s="12" t="str">
        <f aca="false">IF($A5299="","",원본명단!$A5298)</f>
        <v/>
      </c>
      <c r="C5299" s="12" t="str">
        <f aca="false">IF($A5299="","",원본명단!$B5298)</f>
        <v/>
      </c>
      <c r="D5299" s="12" t="str">
        <f aca="false">IF($A5299="","",원본명단!$D5298)</f>
        <v/>
      </c>
      <c r="E5299" s="11" t="str">
        <f aca="false">IF($A5299="","",IF(원본명단!$H5298="",0,COUNTIF(원본명단!$H$3:$H$6002,원본명단!$H5298)))</f>
        <v/>
      </c>
      <c r="F5299" s="11" t="str">
        <f aca="false">IF($A5299="","",IF(원본명단!$I5298="",0,COUNTIF(원본명단!$I$3:$I$6002,원본명단!$I5298)))</f>
        <v/>
      </c>
      <c r="G5299" s="11" t="str">
        <f aca="false">IF($A5299="","",IF(원본명단!$K5298="",0,COUNTIF(원본명단!$K$3:$K$6002,원본명단!$K5298)))</f>
        <v/>
      </c>
      <c r="H5299" s="11" t="str">
        <f aca="false">IF($A5299="","",IF(MAX($E5299,$F5299,$G5299)&gt;1,"중복","-"))</f>
        <v/>
      </c>
      <c r="I5299" s="11" t="str">
        <f aca="false">IF($A5299="","",IF($H5299="-","-",IF(AND(IF(원본명단!$H5298="",TRUE(),COUNTIF(원본명단!$H$3:$H5298,원본명단!$H5298)=1),IF(원본명단!$I5298="",TRUE(),COUNTIF(원본명단!$I$3:$I5298,원본명단!$I5298)=1),IF(원본명단!$K5298="",TRUE(),COUNTIF(원본명단!$K$3:$K5298,원본명단!$K5298)=1)),"첫 건","중복 건")))</f>
        <v/>
      </c>
      <c r="J5299" s="11" t="str">
        <f aca="false">IF($A5299="","",IF($H5299="-","유지",IF($I5299="첫 건","유지","확인 필요")))</f>
        <v/>
      </c>
    </row>
    <row r="5300" customFormat="false" ht="15" hidden="false" customHeight="true" outlineLevel="0" collapsed="false">
      <c r="A5300" s="11" t="str">
        <f aca="false">IF(원본명단!$A5299="","",5297)</f>
        <v/>
      </c>
      <c r="B5300" s="12" t="str">
        <f aca="false">IF($A5300="","",원본명단!$A5299)</f>
        <v/>
      </c>
      <c r="C5300" s="12" t="str">
        <f aca="false">IF($A5300="","",원본명단!$B5299)</f>
        <v/>
      </c>
      <c r="D5300" s="12" t="str">
        <f aca="false">IF($A5300="","",원본명단!$D5299)</f>
        <v/>
      </c>
      <c r="E5300" s="11" t="str">
        <f aca="false">IF($A5300="","",IF(원본명단!$H5299="",0,COUNTIF(원본명단!$H$3:$H$6002,원본명단!$H5299)))</f>
        <v/>
      </c>
      <c r="F5300" s="11" t="str">
        <f aca="false">IF($A5300="","",IF(원본명단!$I5299="",0,COUNTIF(원본명단!$I$3:$I$6002,원본명단!$I5299)))</f>
        <v/>
      </c>
      <c r="G5300" s="11" t="str">
        <f aca="false">IF($A5300="","",IF(원본명단!$K5299="",0,COUNTIF(원본명단!$K$3:$K$6002,원본명단!$K5299)))</f>
        <v/>
      </c>
      <c r="H5300" s="11" t="str">
        <f aca="false">IF($A5300="","",IF(MAX($E5300,$F5300,$G5300)&gt;1,"중복","-"))</f>
        <v/>
      </c>
      <c r="I5300" s="11" t="str">
        <f aca="false">IF($A5300="","",IF($H5300="-","-",IF(AND(IF(원본명단!$H5299="",TRUE(),COUNTIF(원본명단!$H$3:$H5299,원본명단!$H5299)=1),IF(원본명단!$I5299="",TRUE(),COUNTIF(원본명단!$I$3:$I5299,원본명단!$I5299)=1),IF(원본명단!$K5299="",TRUE(),COUNTIF(원본명단!$K$3:$K5299,원본명단!$K5299)=1)),"첫 건","중복 건")))</f>
        <v/>
      </c>
      <c r="J5300" s="11" t="str">
        <f aca="false">IF($A5300="","",IF($H5300="-","유지",IF($I5300="첫 건","유지","확인 필요")))</f>
        <v/>
      </c>
    </row>
    <row r="5301" customFormat="false" ht="15" hidden="false" customHeight="true" outlineLevel="0" collapsed="false">
      <c r="A5301" s="11" t="str">
        <f aca="false">IF(원본명단!$A5300="","",5298)</f>
        <v/>
      </c>
      <c r="B5301" s="12" t="str">
        <f aca="false">IF($A5301="","",원본명단!$A5300)</f>
        <v/>
      </c>
      <c r="C5301" s="12" t="str">
        <f aca="false">IF($A5301="","",원본명단!$B5300)</f>
        <v/>
      </c>
      <c r="D5301" s="12" t="str">
        <f aca="false">IF($A5301="","",원본명단!$D5300)</f>
        <v/>
      </c>
      <c r="E5301" s="11" t="str">
        <f aca="false">IF($A5301="","",IF(원본명단!$H5300="",0,COUNTIF(원본명단!$H$3:$H$6002,원본명단!$H5300)))</f>
        <v/>
      </c>
      <c r="F5301" s="11" t="str">
        <f aca="false">IF($A5301="","",IF(원본명단!$I5300="",0,COUNTIF(원본명단!$I$3:$I$6002,원본명단!$I5300)))</f>
        <v/>
      </c>
      <c r="G5301" s="11" t="str">
        <f aca="false">IF($A5301="","",IF(원본명단!$K5300="",0,COUNTIF(원본명단!$K$3:$K$6002,원본명단!$K5300)))</f>
        <v/>
      </c>
      <c r="H5301" s="11" t="str">
        <f aca="false">IF($A5301="","",IF(MAX($E5301,$F5301,$G5301)&gt;1,"중복","-"))</f>
        <v/>
      </c>
      <c r="I5301" s="11" t="str">
        <f aca="false">IF($A5301="","",IF($H5301="-","-",IF(AND(IF(원본명단!$H5300="",TRUE(),COUNTIF(원본명단!$H$3:$H5300,원본명단!$H5300)=1),IF(원본명단!$I5300="",TRUE(),COUNTIF(원본명단!$I$3:$I5300,원본명단!$I5300)=1),IF(원본명단!$K5300="",TRUE(),COUNTIF(원본명단!$K$3:$K5300,원본명단!$K5300)=1)),"첫 건","중복 건")))</f>
        <v/>
      </c>
      <c r="J5301" s="11" t="str">
        <f aca="false">IF($A5301="","",IF($H5301="-","유지",IF($I5301="첫 건","유지","확인 필요")))</f>
        <v/>
      </c>
    </row>
    <row r="5302" customFormat="false" ht="15" hidden="false" customHeight="true" outlineLevel="0" collapsed="false">
      <c r="A5302" s="11" t="str">
        <f aca="false">IF(원본명단!$A5301="","",5299)</f>
        <v/>
      </c>
      <c r="B5302" s="12" t="str">
        <f aca="false">IF($A5302="","",원본명단!$A5301)</f>
        <v/>
      </c>
      <c r="C5302" s="12" t="str">
        <f aca="false">IF($A5302="","",원본명단!$B5301)</f>
        <v/>
      </c>
      <c r="D5302" s="12" t="str">
        <f aca="false">IF($A5302="","",원본명단!$D5301)</f>
        <v/>
      </c>
      <c r="E5302" s="11" t="str">
        <f aca="false">IF($A5302="","",IF(원본명단!$H5301="",0,COUNTIF(원본명단!$H$3:$H$6002,원본명단!$H5301)))</f>
        <v/>
      </c>
      <c r="F5302" s="11" t="str">
        <f aca="false">IF($A5302="","",IF(원본명단!$I5301="",0,COUNTIF(원본명단!$I$3:$I$6002,원본명단!$I5301)))</f>
        <v/>
      </c>
      <c r="G5302" s="11" t="str">
        <f aca="false">IF($A5302="","",IF(원본명단!$K5301="",0,COUNTIF(원본명단!$K$3:$K$6002,원본명단!$K5301)))</f>
        <v/>
      </c>
      <c r="H5302" s="11" t="str">
        <f aca="false">IF($A5302="","",IF(MAX($E5302,$F5302,$G5302)&gt;1,"중복","-"))</f>
        <v/>
      </c>
      <c r="I5302" s="11" t="str">
        <f aca="false">IF($A5302="","",IF($H5302="-","-",IF(AND(IF(원본명단!$H5301="",TRUE(),COUNTIF(원본명단!$H$3:$H5301,원본명단!$H5301)=1),IF(원본명단!$I5301="",TRUE(),COUNTIF(원본명단!$I$3:$I5301,원본명단!$I5301)=1),IF(원본명단!$K5301="",TRUE(),COUNTIF(원본명단!$K$3:$K5301,원본명단!$K5301)=1)),"첫 건","중복 건")))</f>
        <v/>
      </c>
      <c r="J5302" s="11" t="str">
        <f aca="false">IF($A5302="","",IF($H5302="-","유지",IF($I5302="첫 건","유지","확인 필요")))</f>
        <v/>
      </c>
    </row>
    <row r="5303" customFormat="false" ht="15" hidden="false" customHeight="true" outlineLevel="0" collapsed="false">
      <c r="A5303" s="11" t="str">
        <f aca="false">IF(원본명단!$A5302="","",5300)</f>
        <v/>
      </c>
      <c r="B5303" s="12" t="str">
        <f aca="false">IF($A5303="","",원본명단!$A5302)</f>
        <v/>
      </c>
      <c r="C5303" s="12" t="str">
        <f aca="false">IF($A5303="","",원본명단!$B5302)</f>
        <v/>
      </c>
      <c r="D5303" s="12" t="str">
        <f aca="false">IF($A5303="","",원본명단!$D5302)</f>
        <v/>
      </c>
      <c r="E5303" s="11" t="str">
        <f aca="false">IF($A5303="","",IF(원본명단!$H5302="",0,COUNTIF(원본명단!$H$3:$H$6002,원본명단!$H5302)))</f>
        <v/>
      </c>
      <c r="F5303" s="11" t="str">
        <f aca="false">IF($A5303="","",IF(원본명단!$I5302="",0,COUNTIF(원본명단!$I$3:$I$6002,원본명단!$I5302)))</f>
        <v/>
      </c>
      <c r="G5303" s="11" t="str">
        <f aca="false">IF($A5303="","",IF(원본명단!$K5302="",0,COUNTIF(원본명단!$K$3:$K$6002,원본명단!$K5302)))</f>
        <v/>
      </c>
      <c r="H5303" s="11" t="str">
        <f aca="false">IF($A5303="","",IF(MAX($E5303,$F5303,$G5303)&gt;1,"중복","-"))</f>
        <v/>
      </c>
      <c r="I5303" s="11" t="str">
        <f aca="false">IF($A5303="","",IF($H5303="-","-",IF(AND(IF(원본명단!$H5302="",TRUE(),COUNTIF(원본명단!$H$3:$H5302,원본명단!$H5302)=1),IF(원본명단!$I5302="",TRUE(),COUNTIF(원본명단!$I$3:$I5302,원본명단!$I5302)=1),IF(원본명단!$K5302="",TRUE(),COUNTIF(원본명단!$K$3:$K5302,원본명단!$K5302)=1)),"첫 건","중복 건")))</f>
        <v/>
      </c>
      <c r="J5303" s="11" t="str">
        <f aca="false">IF($A5303="","",IF($H5303="-","유지",IF($I5303="첫 건","유지","확인 필요")))</f>
        <v/>
      </c>
    </row>
    <row r="5304" customFormat="false" ht="15" hidden="false" customHeight="true" outlineLevel="0" collapsed="false">
      <c r="A5304" s="11" t="str">
        <f aca="false">IF(원본명단!$A5303="","",5301)</f>
        <v/>
      </c>
      <c r="B5304" s="12" t="str">
        <f aca="false">IF($A5304="","",원본명단!$A5303)</f>
        <v/>
      </c>
      <c r="C5304" s="12" t="str">
        <f aca="false">IF($A5304="","",원본명단!$B5303)</f>
        <v/>
      </c>
      <c r="D5304" s="12" t="str">
        <f aca="false">IF($A5304="","",원본명단!$D5303)</f>
        <v/>
      </c>
      <c r="E5304" s="11" t="str">
        <f aca="false">IF($A5304="","",IF(원본명단!$H5303="",0,COUNTIF(원본명단!$H$3:$H$6002,원본명단!$H5303)))</f>
        <v/>
      </c>
      <c r="F5304" s="11" t="str">
        <f aca="false">IF($A5304="","",IF(원본명단!$I5303="",0,COUNTIF(원본명단!$I$3:$I$6002,원본명단!$I5303)))</f>
        <v/>
      </c>
      <c r="G5304" s="11" t="str">
        <f aca="false">IF($A5304="","",IF(원본명단!$K5303="",0,COUNTIF(원본명단!$K$3:$K$6002,원본명단!$K5303)))</f>
        <v/>
      </c>
      <c r="H5304" s="11" t="str">
        <f aca="false">IF($A5304="","",IF(MAX($E5304,$F5304,$G5304)&gt;1,"중복","-"))</f>
        <v/>
      </c>
      <c r="I5304" s="11" t="str">
        <f aca="false">IF($A5304="","",IF($H5304="-","-",IF(AND(IF(원본명단!$H5303="",TRUE(),COUNTIF(원본명단!$H$3:$H5303,원본명단!$H5303)=1),IF(원본명단!$I5303="",TRUE(),COUNTIF(원본명단!$I$3:$I5303,원본명단!$I5303)=1),IF(원본명단!$K5303="",TRUE(),COUNTIF(원본명단!$K$3:$K5303,원본명단!$K5303)=1)),"첫 건","중복 건")))</f>
        <v/>
      </c>
      <c r="J5304" s="11" t="str">
        <f aca="false">IF($A5304="","",IF($H5304="-","유지",IF($I5304="첫 건","유지","확인 필요")))</f>
        <v/>
      </c>
    </row>
    <row r="5305" customFormat="false" ht="15" hidden="false" customHeight="true" outlineLevel="0" collapsed="false">
      <c r="A5305" s="11" t="str">
        <f aca="false">IF(원본명단!$A5304="","",5302)</f>
        <v/>
      </c>
      <c r="B5305" s="12" t="str">
        <f aca="false">IF($A5305="","",원본명단!$A5304)</f>
        <v/>
      </c>
      <c r="C5305" s="12" t="str">
        <f aca="false">IF($A5305="","",원본명단!$B5304)</f>
        <v/>
      </c>
      <c r="D5305" s="12" t="str">
        <f aca="false">IF($A5305="","",원본명단!$D5304)</f>
        <v/>
      </c>
      <c r="E5305" s="11" t="str">
        <f aca="false">IF($A5305="","",IF(원본명단!$H5304="",0,COUNTIF(원본명단!$H$3:$H$6002,원본명단!$H5304)))</f>
        <v/>
      </c>
      <c r="F5305" s="11" t="str">
        <f aca="false">IF($A5305="","",IF(원본명단!$I5304="",0,COUNTIF(원본명단!$I$3:$I$6002,원본명단!$I5304)))</f>
        <v/>
      </c>
      <c r="G5305" s="11" t="str">
        <f aca="false">IF($A5305="","",IF(원본명단!$K5304="",0,COUNTIF(원본명단!$K$3:$K$6002,원본명단!$K5304)))</f>
        <v/>
      </c>
      <c r="H5305" s="11" t="str">
        <f aca="false">IF($A5305="","",IF(MAX($E5305,$F5305,$G5305)&gt;1,"중복","-"))</f>
        <v/>
      </c>
      <c r="I5305" s="11" t="str">
        <f aca="false">IF($A5305="","",IF($H5305="-","-",IF(AND(IF(원본명단!$H5304="",TRUE(),COUNTIF(원본명단!$H$3:$H5304,원본명단!$H5304)=1),IF(원본명단!$I5304="",TRUE(),COUNTIF(원본명단!$I$3:$I5304,원본명단!$I5304)=1),IF(원본명단!$K5304="",TRUE(),COUNTIF(원본명단!$K$3:$K5304,원본명단!$K5304)=1)),"첫 건","중복 건")))</f>
        <v/>
      </c>
      <c r="J5305" s="11" t="str">
        <f aca="false">IF($A5305="","",IF($H5305="-","유지",IF($I5305="첫 건","유지","확인 필요")))</f>
        <v/>
      </c>
    </row>
    <row r="5306" customFormat="false" ht="15" hidden="false" customHeight="true" outlineLevel="0" collapsed="false">
      <c r="A5306" s="11" t="str">
        <f aca="false">IF(원본명단!$A5305="","",5303)</f>
        <v/>
      </c>
      <c r="B5306" s="12" t="str">
        <f aca="false">IF($A5306="","",원본명단!$A5305)</f>
        <v/>
      </c>
      <c r="C5306" s="12" t="str">
        <f aca="false">IF($A5306="","",원본명단!$B5305)</f>
        <v/>
      </c>
      <c r="D5306" s="12" t="str">
        <f aca="false">IF($A5306="","",원본명단!$D5305)</f>
        <v/>
      </c>
      <c r="E5306" s="11" t="str">
        <f aca="false">IF($A5306="","",IF(원본명단!$H5305="",0,COUNTIF(원본명단!$H$3:$H$6002,원본명단!$H5305)))</f>
        <v/>
      </c>
      <c r="F5306" s="11" t="str">
        <f aca="false">IF($A5306="","",IF(원본명단!$I5305="",0,COUNTIF(원본명단!$I$3:$I$6002,원본명단!$I5305)))</f>
        <v/>
      </c>
      <c r="G5306" s="11" t="str">
        <f aca="false">IF($A5306="","",IF(원본명단!$K5305="",0,COUNTIF(원본명단!$K$3:$K$6002,원본명단!$K5305)))</f>
        <v/>
      </c>
      <c r="H5306" s="11" t="str">
        <f aca="false">IF($A5306="","",IF(MAX($E5306,$F5306,$G5306)&gt;1,"중복","-"))</f>
        <v/>
      </c>
      <c r="I5306" s="11" t="str">
        <f aca="false">IF($A5306="","",IF($H5306="-","-",IF(AND(IF(원본명단!$H5305="",TRUE(),COUNTIF(원본명단!$H$3:$H5305,원본명단!$H5305)=1),IF(원본명단!$I5305="",TRUE(),COUNTIF(원본명단!$I$3:$I5305,원본명단!$I5305)=1),IF(원본명단!$K5305="",TRUE(),COUNTIF(원본명단!$K$3:$K5305,원본명단!$K5305)=1)),"첫 건","중복 건")))</f>
        <v/>
      </c>
      <c r="J5306" s="11" t="str">
        <f aca="false">IF($A5306="","",IF($H5306="-","유지",IF($I5306="첫 건","유지","확인 필요")))</f>
        <v/>
      </c>
    </row>
    <row r="5307" customFormat="false" ht="15" hidden="false" customHeight="true" outlineLevel="0" collapsed="false">
      <c r="A5307" s="11" t="str">
        <f aca="false">IF(원본명단!$A5306="","",5304)</f>
        <v/>
      </c>
      <c r="B5307" s="12" t="str">
        <f aca="false">IF($A5307="","",원본명단!$A5306)</f>
        <v/>
      </c>
      <c r="C5307" s="12" t="str">
        <f aca="false">IF($A5307="","",원본명단!$B5306)</f>
        <v/>
      </c>
      <c r="D5307" s="12" t="str">
        <f aca="false">IF($A5307="","",원본명단!$D5306)</f>
        <v/>
      </c>
      <c r="E5307" s="11" t="str">
        <f aca="false">IF($A5307="","",IF(원본명단!$H5306="",0,COUNTIF(원본명단!$H$3:$H$6002,원본명단!$H5306)))</f>
        <v/>
      </c>
      <c r="F5307" s="11" t="str">
        <f aca="false">IF($A5307="","",IF(원본명단!$I5306="",0,COUNTIF(원본명단!$I$3:$I$6002,원본명단!$I5306)))</f>
        <v/>
      </c>
      <c r="G5307" s="11" t="str">
        <f aca="false">IF($A5307="","",IF(원본명단!$K5306="",0,COUNTIF(원본명단!$K$3:$K$6002,원본명단!$K5306)))</f>
        <v/>
      </c>
      <c r="H5307" s="11" t="str">
        <f aca="false">IF($A5307="","",IF(MAX($E5307,$F5307,$G5307)&gt;1,"중복","-"))</f>
        <v/>
      </c>
      <c r="I5307" s="11" t="str">
        <f aca="false">IF($A5307="","",IF($H5307="-","-",IF(AND(IF(원본명단!$H5306="",TRUE(),COUNTIF(원본명단!$H$3:$H5306,원본명단!$H5306)=1),IF(원본명단!$I5306="",TRUE(),COUNTIF(원본명단!$I$3:$I5306,원본명단!$I5306)=1),IF(원본명단!$K5306="",TRUE(),COUNTIF(원본명단!$K$3:$K5306,원본명단!$K5306)=1)),"첫 건","중복 건")))</f>
        <v/>
      </c>
      <c r="J5307" s="11" t="str">
        <f aca="false">IF($A5307="","",IF($H5307="-","유지",IF($I5307="첫 건","유지","확인 필요")))</f>
        <v/>
      </c>
    </row>
    <row r="5308" customFormat="false" ht="15" hidden="false" customHeight="true" outlineLevel="0" collapsed="false">
      <c r="A5308" s="11" t="str">
        <f aca="false">IF(원본명단!$A5307="","",5305)</f>
        <v/>
      </c>
      <c r="B5308" s="12" t="str">
        <f aca="false">IF($A5308="","",원본명단!$A5307)</f>
        <v/>
      </c>
      <c r="C5308" s="12" t="str">
        <f aca="false">IF($A5308="","",원본명단!$B5307)</f>
        <v/>
      </c>
      <c r="D5308" s="12" t="str">
        <f aca="false">IF($A5308="","",원본명단!$D5307)</f>
        <v/>
      </c>
      <c r="E5308" s="11" t="str">
        <f aca="false">IF($A5308="","",IF(원본명단!$H5307="",0,COUNTIF(원본명단!$H$3:$H$6002,원본명단!$H5307)))</f>
        <v/>
      </c>
      <c r="F5308" s="11" t="str">
        <f aca="false">IF($A5308="","",IF(원본명단!$I5307="",0,COUNTIF(원본명단!$I$3:$I$6002,원본명단!$I5307)))</f>
        <v/>
      </c>
      <c r="G5308" s="11" t="str">
        <f aca="false">IF($A5308="","",IF(원본명단!$K5307="",0,COUNTIF(원본명단!$K$3:$K$6002,원본명단!$K5307)))</f>
        <v/>
      </c>
      <c r="H5308" s="11" t="str">
        <f aca="false">IF($A5308="","",IF(MAX($E5308,$F5308,$G5308)&gt;1,"중복","-"))</f>
        <v/>
      </c>
      <c r="I5308" s="11" t="str">
        <f aca="false">IF($A5308="","",IF($H5308="-","-",IF(AND(IF(원본명단!$H5307="",TRUE(),COUNTIF(원본명단!$H$3:$H5307,원본명단!$H5307)=1),IF(원본명단!$I5307="",TRUE(),COUNTIF(원본명단!$I$3:$I5307,원본명단!$I5307)=1),IF(원본명단!$K5307="",TRUE(),COUNTIF(원본명단!$K$3:$K5307,원본명단!$K5307)=1)),"첫 건","중복 건")))</f>
        <v/>
      </c>
      <c r="J5308" s="11" t="str">
        <f aca="false">IF($A5308="","",IF($H5308="-","유지",IF($I5308="첫 건","유지","확인 필요")))</f>
        <v/>
      </c>
    </row>
    <row r="5309" customFormat="false" ht="15" hidden="false" customHeight="true" outlineLevel="0" collapsed="false">
      <c r="A5309" s="11" t="str">
        <f aca="false">IF(원본명단!$A5308="","",5306)</f>
        <v/>
      </c>
      <c r="B5309" s="12" t="str">
        <f aca="false">IF($A5309="","",원본명단!$A5308)</f>
        <v/>
      </c>
      <c r="C5309" s="12" t="str">
        <f aca="false">IF($A5309="","",원본명단!$B5308)</f>
        <v/>
      </c>
      <c r="D5309" s="12" t="str">
        <f aca="false">IF($A5309="","",원본명단!$D5308)</f>
        <v/>
      </c>
      <c r="E5309" s="11" t="str">
        <f aca="false">IF($A5309="","",IF(원본명단!$H5308="",0,COUNTIF(원본명단!$H$3:$H$6002,원본명단!$H5308)))</f>
        <v/>
      </c>
      <c r="F5309" s="11" t="str">
        <f aca="false">IF($A5309="","",IF(원본명단!$I5308="",0,COUNTIF(원본명단!$I$3:$I$6002,원본명단!$I5308)))</f>
        <v/>
      </c>
      <c r="G5309" s="11" t="str">
        <f aca="false">IF($A5309="","",IF(원본명단!$K5308="",0,COUNTIF(원본명단!$K$3:$K$6002,원본명단!$K5308)))</f>
        <v/>
      </c>
      <c r="H5309" s="11" t="str">
        <f aca="false">IF($A5309="","",IF(MAX($E5309,$F5309,$G5309)&gt;1,"중복","-"))</f>
        <v/>
      </c>
      <c r="I5309" s="11" t="str">
        <f aca="false">IF($A5309="","",IF($H5309="-","-",IF(AND(IF(원본명단!$H5308="",TRUE(),COUNTIF(원본명단!$H$3:$H5308,원본명단!$H5308)=1),IF(원본명단!$I5308="",TRUE(),COUNTIF(원본명단!$I$3:$I5308,원본명단!$I5308)=1),IF(원본명단!$K5308="",TRUE(),COUNTIF(원본명단!$K$3:$K5308,원본명단!$K5308)=1)),"첫 건","중복 건")))</f>
        <v/>
      </c>
      <c r="J5309" s="11" t="str">
        <f aca="false">IF($A5309="","",IF($H5309="-","유지",IF($I5309="첫 건","유지","확인 필요")))</f>
        <v/>
      </c>
    </row>
    <row r="5310" customFormat="false" ht="15" hidden="false" customHeight="true" outlineLevel="0" collapsed="false">
      <c r="A5310" s="11" t="str">
        <f aca="false">IF(원본명단!$A5309="","",5307)</f>
        <v/>
      </c>
      <c r="B5310" s="12" t="str">
        <f aca="false">IF($A5310="","",원본명단!$A5309)</f>
        <v/>
      </c>
      <c r="C5310" s="12" t="str">
        <f aca="false">IF($A5310="","",원본명단!$B5309)</f>
        <v/>
      </c>
      <c r="D5310" s="12" t="str">
        <f aca="false">IF($A5310="","",원본명단!$D5309)</f>
        <v/>
      </c>
      <c r="E5310" s="11" t="str">
        <f aca="false">IF($A5310="","",IF(원본명단!$H5309="",0,COUNTIF(원본명단!$H$3:$H$6002,원본명단!$H5309)))</f>
        <v/>
      </c>
      <c r="F5310" s="11" t="str">
        <f aca="false">IF($A5310="","",IF(원본명단!$I5309="",0,COUNTIF(원본명단!$I$3:$I$6002,원본명단!$I5309)))</f>
        <v/>
      </c>
      <c r="G5310" s="11" t="str">
        <f aca="false">IF($A5310="","",IF(원본명단!$K5309="",0,COUNTIF(원본명단!$K$3:$K$6002,원본명단!$K5309)))</f>
        <v/>
      </c>
      <c r="H5310" s="11" t="str">
        <f aca="false">IF($A5310="","",IF(MAX($E5310,$F5310,$G5310)&gt;1,"중복","-"))</f>
        <v/>
      </c>
      <c r="I5310" s="11" t="str">
        <f aca="false">IF($A5310="","",IF($H5310="-","-",IF(AND(IF(원본명단!$H5309="",TRUE(),COUNTIF(원본명단!$H$3:$H5309,원본명단!$H5309)=1),IF(원본명단!$I5309="",TRUE(),COUNTIF(원본명단!$I$3:$I5309,원본명단!$I5309)=1),IF(원본명단!$K5309="",TRUE(),COUNTIF(원본명단!$K$3:$K5309,원본명단!$K5309)=1)),"첫 건","중복 건")))</f>
        <v/>
      </c>
      <c r="J5310" s="11" t="str">
        <f aca="false">IF($A5310="","",IF($H5310="-","유지",IF($I5310="첫 건","유지","확인 필요")))</f>
        <v/>
      </c>
    </row>
    <row r="5311" customFormat="false" ht="15" hidden="false" customHeight="true" outlineLevel="0" collapsed="false">
      <c r="A5311" s="11" t="str">
        <f aca="false">IF(원본명단!$A5310="","",5308)</f>
        <v/>
      </c>
      <c r="B5311" s="12" t="str">
        <f aca="false">IF($A5311="","",원본명단!$A5310)</f>
        <v/>
      </c>
      <c r="C5311" s="12" t="str">
        <f aca="false">IF($A5311="","",원본명단!$B5310)</f>
        <v/>
      </c>
      <c r="D5311" s="12" t="str">
        <f aca="false">IF($A5311="","",원본명단!$D5310)</f>
        <v/>
      </c>
      <c r="E5311" s="11" t="str">
        <f aca="false">IF($A5311="","",IF(원본명단!$H5310="",0,COUNTIF(원본명단!$H$3:$H$6002,원본명단!$H5310)))</f>
        <v/>
      </c>
      <c r="F5311" s="11" t="str">
        <f aca="false">IF($A5311="","",IF(원본명단!$I5310="",0,COUNTIF(원본명단!$I$3:$I$6002,원본명단!$I5310)))</f>
        <v/>
      </c>
      <c r="G5311" s="11" t="str">
        <f aca="false">IF($A5311="","",IF(원본명단!$K5310="",0,COUNTIF(원본명단!$K$3:$K$6002,원본명단!$K5310)))</f>
        <v/>
      </c>
      <c r="H5311" s="11" t="str">
        <f aca="false">IF($A5311="","",IF(MAX($E5311,$F5311,$G5311)&gt;1,"중복","-"))</f>
        <v/>
      </c>
      <c r="I5311" s="11" t="str">
        <f aca="false">IF($A5311="","",IF($H5311="-","-",IF(AND(IF(원본명단!$H5310="",TRUE(),COUNTIF(원본명단!$H$3:$H5310,원본명단!$H5310)=1),IF(원본명단!$I5310="",TRUE(),COUNTIF(원본명단!$I$3:$I5310,원본명단!$I5310)=1),IF(원본명단!$K5310="",TRUE(),COUNTIF(원본명단!$K$3:$K5310,원본명단!$K5310)=1)),"첫 건","중복 건")))</f>
        <v/>
      </c>
      <c r="J5311" s="11" t="str">
        <f aca="false">IF($A5311="","",IF($H5311="-","유지",IF($I5311="첫 건","유지","확인 필요")))</f>
        <v/>
      </c>
    </row>
    <row r="5312" customFormat="false" ht="15" hidden="false" customHeight="true" outlineLevel="0" collapsed="false">
      <c r="A5312" s="11" t="str">
        <f aca="false">IF(원본명단!$A5311="","",5309)</f>
        <v/>
      </c>
      <c r="B5312" s="12" t="str">
        <f aca="false">IF($A5312="","",원본명단!$A5311)</f>
        <v/>
      </c>
      <c r="C5312" s="12" t="str">
        <f aca="false">IF($A5312="","",원본명단!$B5311)</f>
        <v/>
      </c>
      <c r="D5312" s="12" t="str">
        <f aca="false">IF($A5312="","",원본명단!$D5311)</f>
        <v/>
      </c>
      <c r="E5312" s="11" t="str">
        <f aca="false">IF($A5312="","",IF(원본명단!$H5311="",0,COUNTIF(원본명단!$H$3:$H$6002,원본명단!$H5311)))</f>
        <v/>
      </c>
      <c r="F5312" s="11" t="str">
        <f aca="false">IF($A5312="","",IF(원본명단!$I5311="",0,COUNTIF(원본명단!$I$3:$I$6002,원본명단!$I5311)))</f>
        <v/>
      </c>
      <c r="G5312" s="11" t="str">
        <f aca="false">IF($A5312="","",IF(원본명단!$K5311="",0,COUNTIF(원본명단!$K$3:$K$6002,원본명단!$K5311)))</f>
        <v/>
      </c>
      <c r="H5312" s="11" t="str">
        <f aca="false">IF($A5312="","",IF(MAX($E5312,$F5312,$G5312)&gt;1,"중복","-"))</f>
        <v/>
      </c>
      <c r="I5312" s="11" t="str">
        <f aca="false">IF($A5312="","",IF($H5312="-","-",IF(AND(IF(원본명단!$H5311="",TRUE(),COUNTIF(원본명단!$H$3:$H5311,원본명단!$H5311)=1),IF(원본명단!$I5311="",TRUE(),COUNTIF(원본명단!$I$3:$I5311,원본명단!$I5311)=1),IF(원본명단!$K5311="",TRUE(),COUNTIF(원본명단!$K$3:$K5311,원본명단!$K5311)=1)),"첫 건","중복 건")))</f>
        <v/>
      </c>
      <c r="J5312" s="11" t="str">
        <f aca="false">IF($A5312="","",IF($H5312="-","유지",IF($I5312="첫 건","유지","확인 필요")))</f>
        <v/>
      </c>
    </row>
    <row r="5313" customFormat="false" ht="15" hidden="false" customHeight="true" outlineLevel="0" collapsed="false">
      <c r="A5313" s="11" t="str">
        <f aca="false">IF(원본명단!$A5312="","",5310)</f>
        <v/>
      </c>
      <c r="B5313" s="12" t="str">
        <f aca="false">IF($A5313="","",원본명단!$A5312)</f>
        <v/>
      </c>
      <c r="C5313" s="12" t="str">
        <f aca="false">IF($A5313="","",원본명단!$B5312)</f>
        <v/>
      </c>
      <c r="D5313" s="12" t="str">
        <f aca="false">IF($A5313="","",원본명단!$D5312)</f>
        <v/>
      </c>
      <c r="E5313" s="11" t="str">
        <f aca="false">IF($A5313="","",IF(원본명단!$H5312="",0,COUNTIF(원본명단!$H$3:$H$6002,원본명단!$H5312)))</f>
        <v/>
      </c>
      <c r="F5313" s="11" t="str">
        <f aca="false">IF($A5313="","",IF(원본명단!$I5312="",0,COUNTIF(원본명단!$I$3:$I$6002,원본명단!$I5312)))</f>
        <v/>
      </c>
      <c r="G5313" s="11" t="str">
        <f aca="false">IF($A5313="","",IF(원본명단!$K5312="",0,COUNTIF(원본명단!$K$3:$K$6002,원본명단!$K5312)))</f>
        <v/>
      </c>
      <c r="H5313" s="11" t="str">
        <f aca="false">IF($A5313="","",IF(MAX($E5313,$F5313,$G5313)&gt;1,"중복","-"))</f>
        <v/>
      </c>
      <c r="I5313" s="11" t="str">
        <f aca="false">IF($A5313="","",IF($H5313="-","-",IF(AND(IF(원본명단!$H5312="",TRUE(),COUNTIF(원본명단!$H$3:$H5312,원본명단!$H5312)=1),IF(원본명단!$I5312="",TRUE(),COUNTIF(원본명단!$I$3:$I5312,원본명단!$I5312)=1),IF(원본명단!$K5312="",TRUE(),COUNTIF(원본명단!$K$3:$K5312,원본명단!$K5312)=1)),"첫 건","중복 건")))</f>
        <v/>
      </c>
      <c r="J5313" s="11" t="str">
        <f aca="false">IF($A5313="","",IF($H5313="-","유지",IF($I5313="첫 건","유지","확인 필요")))</f>
        <v/>
      </c>
    </row>
    <row r="5314" customFormat="false" ht="15" hidden="false" customHeight="true" outlineLevel="0" collapsed="false">
      <c r="A5314" s="11" t="str">
        <f aca="false">IF(원본명단!$A5313="","",5311)</f>
        <v/>
      </c>
      <c r="B5314" s="12" t="str">
        <f aca="false">IF($A5314="","",원본명단!$A5313)</f>
        <v/>
      </c>
      <c r="C5314" s="12" t="str">
        <f aca="false">IF($A5314="","",원본명단!$B5313)</f>
        <v/>
      </c>
      <c r="D5314" s="12" t="str">
        <f aca="false">IF($A5314="","",원본명단!$D5313)</f>
        <v/>
      </c>
      <c r="E5314" s="11" t="str">
        <f aca="false">IF($A5314="","",IF(원본명단!$H5313="",0,COUNTIF(원본명단!$H$3:$H$6002,원본명단!$H5313)))</f>
        <v/>
      </c>
      <c r="F5314" s="11" t="str">
        <f aca="false">IF($A5314="","",IF(원본명단!$I5313="",0,COUNTIF(원본명단!$I$3:$I$6002,원본명단!$I5313)))</f>
        <v/>
      </c>
      <c r="G5314" s="11" t="str">
        <f aca="false">IF($A5314="","",IF(원본명단!$K5313="",0,COUNTIF(원본명단!$K$3:$K$6002,원본명단!$K5313)))</f>
        <v/>
      </c>
      <c r="H5314" s="11" t="str">
        <f aca="false">IF($A5314="","",IF(MAX($E5314,$F5314,$G5314)&gt;1,"중복","-"))</f>
        <v/>
      </c>
      <c r="I5314" s="11" t="str">
        <f aca="false">IF($A5314="","",IF($H5314="-","-",IF(AND(IF(원본명단!$H5313="",TRUE(),COUNTIF(원본명단!$H$3:$H5313,원본명단!$H5313)=1),IF(원본명단!$I5313="",TRUE(),COUNTIF(원본명단!$I$3:$I5313,원본명단!$I5313)=1),IF(원본명단!$K5313="",TRUE(),COUNTIF(원본명단!$K$3:$K5313,원본명단!$K5313)=1)),"첫 건","중복 건")))</f>
        <v/>
      </c>
      <c r="J5314" s="11" t="str">
        <f aca="false">IF($A5314="","",IF($H5314="-","유지",IF($I5314="첫 건","유지","확인 필요")))</f>
        <v/>
      </c>
    </row>
    <row r="5315" customFormat="false" ht="15" hidden="false" customHeight="true" outlineLevel="0" collapsed="false">
      <c r="A5315" s="11" t="str">
        <f aca="false">IF(원본명단!$A5314="","",5312)</f>
        <v/>
      </c>
      <c r="B5315" s="12" t="str">
        <f aca="false">IF($A5315="","",원본명단!$A5314)</f>
        <v/>
      </c>
      <c r="C5315" s="12" t="str">
        <f aca="false">IF($A5315="","",원본명단!$B5314)</f>
        <v/>
      </c>
      <c r="D5315" s="12" t="str">
        <f aca="false">IF($A5315="","",원본명단!$D5314)</f>
        <v/>
      </c>
      <c r="E5315" s="11" t="str">
        <f aca="false">IF($A5315="","",IF(원본명단!$H5314="",0,COUNTIF(원본명단!$H$3:$H$6002,원본명단!$H5314)))</f>
        <v/>
      </c>
      <c r="F5315" s="11" t="str">
        <f aca="false">IF($A5315="","",IF(원본명단!$I5314="",0,COUNTIF(원본명단!$I$3:$I$6002,원본명단!$I5314)))</f>
        <v/>
      </c>
      <c r="G5315" s="11" t="str">
        <f aca="false">IF($A5315="","",IF(원본명단!$K5314="",0,COUNTIF(원본명단!$K$3:$K$6002,원본명단!$K5314)))</f>
        <v/>
      </c>
      <c r="H5315" s="11" t="str">
        <f aca="false">IF($A5315="","",IF(MAX($E5315,$F5315,$G5315)&gt;1,"중복","-"))</f>
        <v/>
      </c>
      <c r="I5315" s="11" t="str">
        <f aca="false">IF($A5315="","",IF($H5315="-","-",IF(AND(IF(원본명단!$H5314="",TRUE(),COUNTIF(원본명단!$H$3:$H5314,원본명단!$H5314)=1),IF(원본명단!$I5314="",TRUE(),COUNTIF(원본명단!$I$3:$I5314,원본명단!$I5314)=1),IF(원본명단!$K5314="",TRUE(),COUNTIF(원본명단!$K$3:$K5314,원본명단!$K5314)=1)),"첫 건","중복 건")))</f>
        <v/>
      </c>
      <c r="J5315" s="11" t="str">
        <f aca="false">IF($A5315="","",IF($H5315="-","유지",IF($I5315="첫 건","유지","확인 필요")))</f>
        <v/>
      </c>
    </row>
    <row r="5316" customFormat="false" ht="15" hidden="false" customHeight="true" outlineLevel="0" collapsed="false">
      <c r="A5316" s="11" t="str">
        <f aca="false">IF(원본명단!$A5315="","",5313)</f>
        <v/>
      </c>
      <c r="B5316" s="12" t="str">
        <f aca="false">IF($A5316="","",원본명단!$A5315)</f>
        <v/>
      </c>
      <c r="C5316" s="12" t="str">
        <f aca="false">IF($A5316="","",원본명단!$B5315)</f>
        <v/>
      </c>
      <c r="D5316" s="12" t="str">
        <f aca="false">IF($A5316="","",원본명단!$D5315)</f>
        <v/>
      </c>
      <c r="E5316" s="11" t="str">
        <f aca="false">IF($A5316="","",IF(원본명단!$H5315="",0,COUNTIF(원본명단!$H$3:$H$6002,원본명단!$H5315)))</f>
        <v/>
      </c>
      <c r="F5316" s="11" t="str">
        <f aca="false">IF($A5316="","",IF(원본명단!$I5315="",0,COUNTIF(원본명단!$I$3:$I$6002,원본명단!$I5315)))</f>
        <v/>
      </c>
      <c r="G5316" s="11" t="str">
        <f aca="false">IF($A5316="","",IF(원본명단!$K5315="",0,COUNTIF(원본명단!$K$3:$K$6002,원본명단!$K5315)))</f>
        <v/>
      </c>
      <c r="H5316" s="11" t="str">
        <f aca="false">IF($A5316="","",IF(MAX($E5316,$F5316,$G5316)&gt;1,"중복","-"))</f>
        <v/>
      </c>
      <c r="I5316" s="11" t="str">
        <f aca="false">IF($A5316="","",IF($H5316="-","-",IF(AND(IF(원본명단!$H5315="",TRUE(),COUNTIF(원본명단!$H$3:$H5315,원본명단!$H5315)=1),IF(원본명단!$I5315="",TRUE(),COUNTIF(원본명단!$I$3:$I5315,원본명단!$I5315)=1),IF(원본명단!$K5315="",TRUE(),COUNTIF(원본명단!$K$3:$K5315,원본명단!$K5315)=1)),"첫 건","중복 건")))</f>
        <v/>
      </c>
      <c r="J5316" s="11" t="str">
        <f aca="false">IF($A5316="","",IF($H5316="-","유지",IF($I5316="첫 건","유지","확인 필요")))</f>
        <v/>
      </c>
    </row>
    <row r="5317" customFormat="false" ht="15" hidden="false" customHeight="true" outlineLevel="0" collapsed="false">
      <c r="A5317" s="11" t="str">
        <f aca="false">IF(원본명단!$A5316="","",5314)</f>
        <v/>
      </c>
      <c r="B5317" s="12" t="str">
        <f aca="false">IF($A5317="","",원본명단!$A5316)</f>
        <v/>
      </c>
      <c r="C5317" s="12" t="str">
        <f aca="false">IF($A5317="","",원본명단!$B5316)</f>
        <v/>
      </c>
      <c r="D5317" s="12" t="str">
        <f aca="false">IF($A5317="","",원본명단!$D5316)</f>
        <v/>
      </c>
      <c r="E5317" s="11" t="str">
        <f aca="false">IF($A5317="","",IF(원본명단!$H5316="",0,COUNTIF(원본명단!$H$3:$H$6002,원본명단!$H5316)))</f>
        <v/>
      </c>
      <c r="F5317" s="11" t="str">
        <f aca="false">IF($A5317="","",IF(원본명단!$I5316="",0,COUNTIF(원본명단!$I$3:$I$6002,원본명단!$I5316)))</f>
        <v/>
      </c>
      <c r="G5317" s="11" t="str">
        <f aca="false">IF($A5317="","",IF(원본명단!$K5316="",0,COUNTIF(원본명단!$K$3:$K$6002,원본명단!$K5316)))</f>
        <v/>
      </c>
      <c r="H5317" s="11" t="str">
        <f aca="false">IF($A5317="","",IF(MAX($E5317,$F5317,$G5317)&gt;1,"중복","-"))</f>
        <v/>
      </c>
      <c r="I5317" s="11" t="str">
        <f aca="false">IF($A5317="","",IF($H5317="-","-",IF(AND(IF(원본명단!$H5316="",TRUE(),COUNTIF(원본명단!$H$3:$H5316,원본명단!$H5316)=1),IF(원본명단!$I5316="",TRUE(),COUNTIF(원본명단!$I$3:$I5316,원본명단!$I5316)=1),IF(원본명단!$K5316="",TRUE(),COUNTIF(원본명단!$K$3:$K5316,원본명단!$K5316)=1)),"첫 건","중복 건")))</f>
        <v/>
      </c>
      <c r="J5317" s="11" t="str">
        <f aca="false">IF($A5317="","",IF($H5317="-","유지",IF($I5317="첫 건","유지","확인 필요")))</f>
        <v/>
      </c>
    </row>
    <row r="5318" customFormat="false" ht="15" hidden="false" customHeight="true" outlineLevel="0" collapsed="false">
      <c r="A5318" s="11" t="str">
        <f aca="false">IF(원본명단!$A5317="","",5315)</f>
        <v/>
      </c>
      <c r="B5318" s="12" t="str">
        <f aca="false">IF($A5318="","",원본명단!$A5317)</f>
        <v/>
      </c>
      <c r="C5318" s="12" t="str">
        <f aca="false">IF($A5318="","",원본명단!$B5317)</f>
        <v/>
      </c>
      <c r="D5318" s="12" t="str">
        <f aca="false">IF($A5318="","",원본명단!$D5317)</f>
        <v/>
      </c>
      <c r="E5318" s="11" t="str">
        <f aca="false">IF($A5318="","",IF(원본명단!$H5317="",0,COUNTIF(원본명단!$H$3:$H$6002,원본명단!$H5317)))</f>
        <v/>
      </c>
      <c r="F5318" s="11" t="str">
        <f aca="false">IF($A5318="","",IF(원본명단!$I5317="",0,COUNTIF(원본명단!$I$3:$I$6002,원본명단!$I5317)))</f>
        <v/>
      </c>
      <c r="G5318" s="11" t="str">
        <f aca="false">IF($A5318="","",IF(원본명단!$K5317="",0,COUNTIF(원본명단!$K$3:$K$6002,원본명단!$K5317)))</f>
        <v/>
      </c>
      <c r="H5318" s="11" t="str">
        <f aca="false">IF($A5318="","",IF(MAX($E5318,$F5318,$G5318)&gt;1,"중복","-"))</f>
        <v/>
      </c>
      <c r="I5318" s="11" t="str">
        <f aca="false">IF($A5318="","",IF($H5318="-","-",IF(AND(IF(원본명단!$H5317="",TRUE(),COUNTIF(원본명단!$H$3:$H5317,원본명단!$H5317)=1),IF(원본명단!$I5317="",TRUE(),COUNTIF(원본명단!$I$3:$I5317,원본명단!$I5317)=1),IF(원본명단!$K5317="",TRUE(),COUNTIF(원본명단!$K$3:$K5317,원본명단!$K5317)=1)),"첫 건","중복 건")))</f>
        <v/>
      </c>
      <c r="J5318" s="11" t="str">
        <f aca="false">IF($A5318="","",IF($H5318="-","유지",IF($I5318="첫 건","유지","확인 필요")))</f>
        <v/>
      </c>
    </row>
    <row r="5319" customFormat="false" ht="15" hidden="false" customHeight="true" outlineLevel="0" collapsed="false">
      <c r="A5319" s="11" t="str">
        <f aca="false">IF(원본명단!$A5318="","",5316)</f>
        <v/>
      </c>
      <c r="B5319" s="12" t="str">
        <f aca="false">IF($A5319="","",원본명단!$A5318)</f>
        <v/>
      </c>
      <c r="C5319" s="12" t="str">
        <f aca="false">IF($A5319="","",원본명단!$B5318)</f>
        <v/>
      </c>
      <c r="D5319" s="12" t="str">
        <f aca="false">IF($A5319="","",원본명단!$D5318)</f>
        <v/>
      </c>
      <c r="E5319" s="11" t="str">
        <f aca="false">IF($A5319="","",IF(원본명단!$H5318="",0,COUNTIF(원본명단!$H$3:$H$6002,원본명단!$H5318)))</f>
        <v/>
      </c>
      <c r="F5319" s="11" t="str">
        <f aca="false">IF($A5319="","",IF(원본명단!$I5318="",0,COUNTIF(원본명단!$I$3:$I$6002,원본명단!$I5318)))</f>
        <v/>
      </c>
      <c r="G5319" s="11" t="str">
        <f aca="false">IF($A5319="","",IF(원본명단!$K5318="",0,COUNTIF(원본명단!$K$3:$K$6002,원본명단!$K5318)))</f>
        <v/>
      </c>
      <c r="H5319" s="11" t="str">
        <f aca="false">IF($A5319="","",IF(MAX($E5319,$F5319,$G5319)&gt;1,"중복","-"))</f>
        <v/>
      </c>
      <c r="I5319" s="11" t="str">
        <f aca="false">IF($A5319="","",IF($H5319="-","-",IF(AND(IF(원본명단!$H5318="",TRUE(),COUNTIF(원본명단!$H$3:$H5318,원본명단!$H5318)=1),IF(원본명단!$I5318="",TRUE(),COUNTIF(원본명단!$I$3:$I5318,원본명단!$I5318)=1),IF(원본명단!$K5318="",TRUE(),COUNTIF(원본명단!$K$3:$K5318,원본명단!$K5318)=1)),"첫 건","중복 건")))</f>
        <v/>
      </c>
      <c r="J5319" s="11" t="str">
        <f aca="false">IF($A5319="","",IF($H5319="-","유지",IF($I5319="첫 건","유지","확인 필요")))</f>
        <v/>
      </c>
    </row>
    <row r="5320" customFormat="false" ht="15" hidden="false" customHeight="true" outlineLevel="0" collapsed="false">
      <c r="A5320" s="11" t="str">
        <f aca="false">IF(원본명단!$A5319="","",5317)</f>
        <v/>
      </c>
      <c r="B5320" s="12" t="str">
        <f aca="false">IF($A5320="","",원본명단!$A5319)</f>
        <v/>
      </c>
      <c r="C5320" s="12" t="str">
        <f aca="false">IF($A5320="","",원본명단!$B5319)</f>
        <v/>
      </c>
      <c r="D5320" s="12" t="str">
        <f aca="false">IF($A5320="","",원본명단!$D5319)</f>
        <v/>
      </c>
      <c r="E5320" s="11" t="str">
        <f aca="false">IF($A5320="","",IF(원본명단!$H5319="",0,COUNTIF(원본명단!$H$3:$H$6002,원본명단!$H5319)))</f>
        <v/>
      </c>
      <c r="F5320" s="11" t="str">
        <f aca="false">IF($A5320="","",IF(원본명단!$I5319="",0,COUNTIF(원본명단!$I$3:$I$6002,원본명단!$I5319)))</f>
        <v/>
      </c>
      <c r="G5320" s="11" t="str">
        <f aca="false">IF($A5320="","",IF(원본명단!$K5319="",0,COUNTIF(원본명단!$K$3:$K$6002,원본명단!$K5319)))</f>
        <v/>
      </c>
      <c r="H5320" s="11" t="str">
        <f aca="false">IF($A5320="","",IF(MAX($E5320,$F5320,$G5320)&gt;1,"중복","-"))</f>
        <v/>
      </c>
      <c r="I5320" s="11" t="str">
        <f aca="false">IF($A5320="","",IF($H5320="-","-",IF(AND(IF(원본명단!$H5319="",TRUE(),COUNTIF(원본명단!$H$3:$H5319,원본명단!$H5319)=1),IF(원본명단!$I5319="",TRUE(),COUNTIF(원본명단!$I$3:$I5319,원본명단!$I5319)=1),IF(원본명단!$K5319="",TRUE(),COUNTIF(원본명단!$K$3:$K5319,원본명단!$K5319)=1)),"첫 건","중복 건")))</f>
        <v/>
      </c>
      <c r="J5320" s="11" t="str">
        <f aca="false">IF($A5320="","",IF($H5320="-","유지",IF($I5320="첫 건","유지","확인 필요")))</f>
        <v/>
      </c>
    </row>
    <row r="5321" customFormat="false" ht="15" hidden="false" customHeight="true" outlineLevel="0" collapsed="false">
      <c r="A5321" s="11" t="str">
        <f aca="false">IF(원본명단!$A5320="","",5318)</f>
        <v/>
      </c>
      <c r="B5321" s="12" t="str">
        <f aca="false">IF($A5321="","",원본명단!$A5320)</f>
        <v/>
      </c>
      <c r="C5321" s="12" t="str">
        <f aca="false">IF($A5321="","",원본명단!$B5320)</f>
        <v/>
      </c>
      <c r="D5321" s="12" t="str">
        <f aca="false">IF($A5321="","",원본명단!$D5320)</f>
        <v/>
      </c>
      <c r="E5321" s="11" t="str">
        <f aca="false">IF($A5321="","",IF(원본명단!$H5320="",0,COUNTIF(원본명단!$H$3:$H$6002,원본명단!$H5320)))</f>
        <v/>
      </c>
      <c r="F5321" s="11" t="str">
        <f aca="false">IF($A5321="","",IF(원본명단!$I5320="",0,COUNTIF(원본명단!$I$3:$I$6002,원본명단!$I5320)))</f>
        <v/>
      </c>
      <c r="G5321" s="11" t="str">
        <f aca="false">IF($A5321="","",IF(원본명단!$K5320="",0,COUNTIF(원본명단!$K$3:$K$6002,원본명단!$K5320)))</f>
        <v/>
      </c>
      <c r="H5321" s="11" t="str">
        <f aca="false">IF($A5321="","",IF(MAX($E5321,$F5321,$G5321)&gt;1,"중복","-"))</f>
        <v/>
      </c>
      <c r="I5321" s="11" t="str">
        <f aca="false">IF($A5321="","",IF($H5321="-","-",IF(AND(IF(원본명단!$H5320="",TRUE(),COUNTIF(원본명단!$H$3:$H5320,원본명단!$H5320)=1),IF(원본명단!$I5320="",TRUE(),COUNTIF(원본명단!$I$3:$I5320,원본명단!$I5320)=1),IF(원본명단!$K5320="",TRUE(),COUNTIF(원본명단!$K$3:$K5320,원본명단!$K5320)=1)),"첫 건","중복 건")))</f>
        <v/>
      </c>
      <c r="J5321" s="11" t="str">
        <f aca="false">IF($A5321="","",IF($H5321="-","유지",IF($I5321="첫 건","유지","확인 필요")))</f>
        <v/>
      </c>
    </row>
    <row r="5322" customFormat="false" ht="15" hidden="false" customHeight="true" outlineLevel="0" collapsed="false">
      <c r="A5322" s="11" t="str">
        <f aca="false">IF(원본명단!$A5321="","",5319)</f>
        <v/>
      </c>
      <c r="B5322" s="12" t="str">
        <f aca="false">IF($A5322="","",원본명단!$A5321)</f>
        <v/>
      </c>
      <c r="C5322" s="12" t="str">
        <f aca="false">IF($A5322="","",원본명단!$B5321)</f>
        <v/>
      </c>
      <c r="D5322" s="12" t="str">
        <f aca="false">IF($A5322="","",원본명단!$D5321)</f>
        <v/>
      </c>
      <c r="E5322" s="11" t="str">
        <f aca="false">IF($A5322="","",IF(원본명단!$H5321="",0,COUNTIF(원본명단!$H$3:$H$6002,원본명단!$H5321)))</f>
        <v/>
      </c>
      <c r="F5322" s="11" t="str">
        <f aca="false">IF($A5322="","",IF(원본명단!$I5321="",0,COUNTIF(원본명단!$I$3:$I$6002,원본명단!$I5321)))</f>
        <v/>
      </c>
      <c r="G5322" s="11" t="str">
        <f aca="false">IF($A5322="","",IF(원본명단!$K5321="",0,COUNTIF(원본명단!$K$3:$K$6002,원본명단!$K5321)))</f>
        <v/>
      </c>
      <c r="H5322" s="11" t="str">
        <f aca="false">IF($A5322="","",IF(MAX($E5322,$F5322,$G5322)&gt;1,"중복","-"))</f>
        <v/>
      </c>
      <c r="I5322" s="11" t="str">
        <f aca="false">IF($A5322="","",IF($H5322="-","-",IF(AND(IF(원본명단!$H5321="",TRUE(),COUNTIF(원본명단!$H$3:$H5321,원본명단!$H5321)=1),IF(원본명단!$I5321="",TRUE(),COUNTIF(원본명단!$I$3:$I5321,원본명단!$I5321)=1),IF(원본명단!$K5321="",TRUE(),COUNTIF(원본명단!$K$3:$K5321,원본명단!$K5321)=1)),"첫 건","중복 건")))</f>
        <v/>
      </c>
      <c r="J5322" s="11" t="str">
        <f aca="false">IF($A5322="","",IF($H5322="-","유지",IF($I5322="첫 건","유지","확인 필요")))</f>
        <v/>
      </c>
    </row>
    <row r="5323" customFormat="false" ht="15" hidden="false" customHeight="true" outlineLevel="0" collapsed="false">
      <c r="A5323" s="11" t="str">
        <f aca="false">IF(원본명단!$A5322="","",5320)</f>
        <v/>
      </c>
      <c r="B5323" s="12" t="str">
        <f aca="false">IF($A5323="","",원본명단!$A5322)</f>
        <v/>
      </c>
      <c r="C5323" s="12" t="str">
        <f aca="false">IF($A5323="","",원본명단!$B5322)</f>
        <v/>
      </c>
      <c r="D5323" s="12" t="str">
        <f aca="false">IF($A5323="","",원본명단!$D5322)</f>
        <v/>
      </c>
      <c r="E5323" s="11" t="str">
        <f aca="false">IF($A5323="","",IF(원본명단!$H5322="",0,COUNTIF(원본명단!$H$3:$H$6002,원본명단!$H5322)))</f>
        <v/>
      </c>
      <c r="F5323" s="11" t="str">
        <f aca="false">IF($A5323="","",IF(원본명단!$I5322="",0,COUNTIF(원본명단!$I$3:$I$6002,원본명단!$I5322)))</f>
        <v/>
      </c>
      <c r="G5323" s="11" t="str">
        <f aca="false">IF($A5323="","",IF(원본명단!$K5322="",0,COUNTIF(원본명단!$K$3:$K$6002,원본명단!$K5322)))</f>
        <v/>
      </c>
      <c r="H5323" s="11" t="str">
        <f aca="false">IF($A5323="","",IF(MAX($E5323,$F5323,$G5323)&gt;1,"중복","-"))</f>
        <v/>
      </c>
      <c r="I5323" s="11" t="str">
        <f aca="false">IF($A5323="","",IF($H5323="-","-",IF(AND(IF(원본명단!$H5322="",TRUE(),COUNTIF(원본명단!$H$3:$H5322,원본명단!$H5322)=1),IF(원본명단!$I5322="",TRUE(),COUNTIF(원본명단!$I$3:$I5322,원본명단!$I5322)=1),IF(원본명단!$K5322="",TRUE(),COUNTIF(원본명단!$K$3:$K5322,원본명단!$K5322)=1)),"첫 건","중복 건")))</f>
        <v/>
      </c>
      <c r="J5323" s="11" t="str">
        <f aca="false">IF($A5323="","",IF($H5323="-","유지",IF($I5323="첫 건","유지","확인 필요")))</f>
        <v/>
      </c>
    </row>
    <row r="5324" customFormat="false" ht="15" hidden="false" customHeight="true" outlineLevel="0" collapsed="false">
      <c r="A5324" s="11" t="str">
        <f aca="false">IF(원본명단!$A5323="","",5321)</f>
        <v/>
      </c>
      <c r="B5324" s="12" t="str">
        <f aca="false">IF($A5324="","",원본명단!$A5323)</f>
        <v/>
      </c>
      <c r="C5324" s="12" t="str">
        <f aca="false">IF($A5324="","",원본명단!$B5323)</f>
        <v/>
      </c>
      <c r="D5324" s="12" t="str">
        <f aca="false">IF($A5324="","",원본명단!$D5323)</f>
        <v/>
      </c>
      <c r="E5324" s="11" t="str">
        <f aca="false">IF($A5324="","",IF(원본명단!$H5323="",0,COUNTIF(원본명단!$H$3:$H$6002,원본명단!$H5323)))</f>
        <v/>
      </c>
      <c r="F5324" s="11" t="str">
        <f aca="false">IF($A5324="","",IF(원본명단!$I5323="",0,COUNTIF(원본명단!$I$3:$I$6002,원본명단!$I5323)))</f>
        <v/>
      </c>
      <c r="G5324" s="11" t="str">
        <f aca="false">IF($A5324="","",IF(원본명단!$K5323="",0,COUNTIF(원본명단!$K$3:$K$6002,원본명단!$K5323)))</f>
        <v/>
      </c>
      <c r="H5324" s="11" t="str">
        <f aca="false">IF($A5324="","",IF(MAX($E5324,$F5324,$G5324)&gt;1,"중복","-"))</f>
        <v/>
      </c>
      <c r="I5324" s="11" t="str">
        <f aca="false">IF($A5324="","",IF($H5324="-","-",IF(AND(IF(원본명단!$H5323="",TRUE(),COUNTIF(원본명단!$H$3:$H5323,원본명단!$H5323)=1),IF(원본명단!$I5323="",TRUE(),COUNTIF(원본명단!$I$3:$I5323,원본명단!$I5323)=1),IF(원본명단!$K5323="",TRUE(),COUNTIF(원본명단!$K$3:$K5323,원본명단!$K5323)=1)),"첫 건","중복 건")))</f>
        <v/>
      </c>
      <c r="J5324" s="11" t="str">
        <f aca="false">IF($A5324="","",IF($H5324="-","유지",IF($I5324="첫 건","유지","확인 필요")))</f>
        <v/>
      </c>
    </row>
    <row r="5325" customFormat="false" ht="15" hidden="false" customHeight="true" outlineLevel="0" collapsed="false">
      <c r="A5325" s="11" t="str">
        <f aca="false">IF(원본명단!$A5324="","",5322)</f>
        <v/>
      </c>
      <c r="B5325" s="12" t="str">
        <f aca="false">IF($A5325="","",원본명단!$A5324)</f>
        <v/>
      </c>
      <c r="C5325" s="12" t="str">
        <f aca="false">IF($A5325="","",원본명단!$B5324)</f>
        <v/>
      </c>
      <c r="D5325" s="12" t="str">
        <f aca="false">IF($A5325="","",원본명단!$D5324)</f>
        <v/>
      </c>
      <c r="E5325" s="11" t="str">
        <f aca="false">IF($A5325="","",IF(원본명단!$H5324="",0,COUNTIF(원본명단!$H$3:$H$6002,원본명단!$H5324)))</f>
        <v/>
      </c>
      <c r="F5325" s="11" t="str">
        <f aca="false">IF($A5325="","",IF(원본명단!$I5324="",0,COUNTIF(원본명단!$I$3:$I$6002,원본명단!$I5324)))</f>
        <v/>
      </c>
      <c r="G5325" s="11" t="str">
        <f aca="false">IF($A5325="","",IF(원본명단!$K5324="",0,COUNTIF(원본명단!$K$3:$K$6002,원본명단!$K5324)))</f>
        <v/>
      </c>
      <c r="H5325" s="11" t="str">
        <f aca="false">IF($A5325="","",IF(MAX($E5325,$F5325,$G5325)&gt;1,"중복","-"))</f>
        <v/>
      </c>
      <c r="I5325" s="11" t="str">
        <f aca="false">IF($A5325="","",IF($H5325="-","-",IF(AND(IF(원본명단!$H5324="",TRUE(),COUNTIF(원본명단!$H$3:$H5324,원본명단!$H5324)=1),IF(원본명단!$I5324="",TRUE(),COUNTIF(원본명단!$I$3:$I5324,원본명단!$I5324)=1),IF(원본명단!$K5324="",TRUE(),COUNTIF(원본명단!$K$3:$K5324,원본명단!$K5324)=1)),"첫 건","중복 건")))</f>
        <v/>
      </c>
      <c r="J5325" s="11" t="str">
        <f aca="false">IF($A5325="","",IF($H5325="-","유지",IF($I5325="첫 건","유지","확인 필요")))</f>
        <v/>
      </c>
    </row>
    <row r="5326" customFormat="false" ht="15" hidden="false" customHeight="true" outlineLevel="0" collapsed="false">
      <c r="A5326" s="11" t="str">
        <f aca="false">IF(원본명단!$A5325="","",5323)</f>
        <v/>
      </c>
      <c r="B5326" s="12" t="str">
        <f aca="false">IF($A5326="","",원본명단!$A5325)</f>
        <v/>
      </c>
      <c r="C5326" s="12" t="str">
        <f aca="false">IF($A5326="","",원본명단!$B5325)</f>
        <v/>
      </c>
      <c r="D5326" s="12" t="str">
        <f aca="false">IF($A5326="","",원본명단!$D5325)</f>
        <v/>
      </c>
      <c r="E5326" s="11" t="str">
        <f aca="false">IF($A5326="","",IF(원본명단!$H5325="",0,COUNTIF(원본명단!$H$3:$H$6002,원본명단!$H5325)))</f>
        <v/>
      </c>
      <c r="F5326" s="11" t="str">
        <f aca="false">IF($A5326="","",IF(원본명단!$I5325="",0,COUNTIF(원본명단!$I$3:$I$6002,원본명단!$I5325)))</f>
        <v/>
      </c>
      <c r="G5326" s="11" t="str">
        <f aca="false">IF($A5326="","",IF(원본명단!$K5325="",0,COUNTIF(원본명단!$K$3:$K$6002,원본명단!$K5325)))</f>
        <v/>
      </c>
      <c r="H5326" s="11" t="str">
        <f aca="false">IF($A5326="","",IF(MAX($E5326,$F5326,$G5326)&gt;1,"중복","-"))</f>
        <v/>
      </c>
      <c r="I5326" s="11" t="str">
        <f aca="false">IF($A5326="","",IF($H5326="-","-",IF(AND(IF(원본명단!$H5325="",TRUE(),COUNTIF(원본명단!$H$3:$H5325,원본명단!$H5325)=1),IF(원본명단!$I5325="",TRUE(),COUNTIF(원본명단!$I$3:$I5325,원본명단!$I5325)=1),IF(원본명단!$K5325="",TRUE(),COUNTIF(원본명단!$K$3:$K5325,원본명단!$K5325)=1)),"첫 건","중복 건")))</f>
        <v/>
      </c>
      <c r="J5326" s="11" t="str">
        <f aca="false">IF($A5326="","",IF($H5326="-","유지",IF($I5326="첫 건","유지","확인 필요")))</f>
        <v/>
      </c>
    </row>
    <row r="5327" customFormat="false" ht="15" hidden="false" customHeight="true" outlineLevel="0" collapsed="false">
      <c r="A5327" s="11" t="str">
        <f aca="false">IF(원본명단!$A5326="","",5324)</f>
        <v/>
      </c>
      <c r="B5327" s="12" t="str">
        <f aca="false">IF($A5327="","",원본명단!$A5326)</f>
        <v/>
      </c>
      <c r="C5327" s="12" t="str">
        <f aca="false">IF($A5327="","",원본명단!$B5326)</f>
        <v/>
      </c>
      <c r="D5327" s="12" t="str">
        <f aca="false">IF($A5327="","",원본명단!$D5326)</f>
        <v/>
      </c>
      <c r="E5327" s="11" t="str">
        <f aca="false">IF($A5327="","",IF(원본명단!$H5326="",0,COUNTIF(원본명단!$H$3:$H$6002,원본명단!$H5326)))</f>
        <v/>
      </c>
      <c r="F5327" s="11" t="str">
        <f aca="false">IF($A5327="","",IF(원본명단!$I5326="",0,COUNTIF(원본명단!$I$3:$I$6002,원본명단!$I5326)))</f>
        <v/>
      </c>
      <c r="G5327" s="11" t="str">
        <f aca="false">IF($A5327="","",IF(원본명단!$K5326="",0,COUNTIF(원본명단!$K$3:$K$6002,원본명단!$K5326)))</f>
        <v/>
      </c>
      <c r="H5327" s="11" t="str">
        <f aca="false">IF($A5327="","",IF(MAX($E5327,$F5327,$G5327)&gt;1,"중복","-"))</f>
        <v/>
      </c>
      <c r="I5327" s="11" t="str">
        <f aca="false">IF($A5327="","",IF($H5327="-","-",IF(AND(IF(원본명단!$H5326="",TRUE(),COUNTIF(원본명단!$H$3:$H5326,원본명단!$H5326)=1),IF(원본명단!$I5326="",TRUE(),COUNTIF(원본명단!$I$3:$I5326,원본명단!$I5326)=1),IF(원본명단!$K5326="",TRUE(),COUNTIF(원본명단!$K$3:$K5326,원본명단!$K5326)=1)),"첫 건","중복 건")))</f>
        <v/>
      </c>
      <c r="J5327" s="11" t="str">
        <f aca="false">IF($A5327="","",IF($H5327="-","유지",IF($I5327="첫 건","유지","확인 필요")))</f>
        <v/>
      </c>
    </row>
    <row r="5328" customFormat="false" ht="15" hidden="false" customHeight="true" outlineLevel="0" collapsed="false">
      <c r="A5328" s="11" t="str">
        <f aca="false">IF(원본명단!$A5327="","",5325)</f>
        <v/>
      </c>
      <c r="B5328" s="12" t="str">
        <f aca="false">IF($A5328="","",원본명단!$A5327)</f>
        <v/>
      </c>
      <c r="C5328" s="12" t="str">
        <f aca="false">IF($A5328="","",원본명단!$B5327)</f>
        <v/>
      </c>
      <c r="D5328" s="12" t="str">
        <f aca="false">IF($A5328="","",원본명단!$D5327)</f>
        <v/>
      </c>
      <c r="E5328" s="11" t="str">
        <f aca="false">IF($A5328="","",IF(원본명단!$H5327="",0,COUNTIF(원본명단!$H$3:$H$6002,원본명단!$H5327)))</f>
        <v/>
      </c>
      <c r="F5328" s="11" t="str">
        <f aca="false">IF($A5328="","",IF(원본명단!$I5327="",0,COUNTIF(원본명단!$I$3:$I$6002,원본명단!$I5327)))</f>
        <v/>
      </c>
      <c r="G5328" s="11" t="str">
        <f aca="false">IF($A5328="","",IF(원본명단!$K5327="",0,COUNTIF(원본명단!$K$3:$K$6002,원본명단!$K5327)))</f>
        <v/>
      </c>
      <c r="H5328" s="11" t="str">
        <f aca="false">IF($A5328="","",IF(MAX($E5328,$F5328,$G5328)&gt;1,"중복","-"))</f>
        <v/>
      </c>
      <c r="I5328" s="11" t="str">
        <f aca="false">IF($A5328="","",IF($H5328="-","-",IF(AND(IF(원본명단!$H5327="",TRUE(),COUNTIF(원본명단!$H$3:$H5327,원본명단!$H5327)=1),IF(원본명단!$I5327="",TRUE(),COUNTIF(원본명단!$I$3:$I5327,원본명단!$I5327)=1),IF(원본명단!$K5327="",TRUE(),COUNTIF(원본명단!$K$3:$K5327,원본명단!$K5327)=1)),"첫 건","중복 건")))</f>
        <v/>
      </c>
      <c r="J5328" s="11" t="str">
        <f aca="false">IF($A5328="","",IF($H5328="-","유지",IF($I5328="첫 건","유지","확인 필요")))</f>
        <v/>
      </c>
    </row>
    <row r="5329" customFormat="false" ht="15" hidden="false" customHeight="true" outlineLevel="0" collapsed="false">
      <c r="A5329" s="11" t="str">
        <f aca="false">IF(원본명단!$A5328="","",5326)</f>
        <v/>
      </c>
      <c r="B5329" s="12" t="str">
        <f aca="false">IF($A5329="","",원본명단!$A5328)</f>
        <v/>
      </c>
      <c r="C5329" s="12" t="str">
        <f aca="false">IF($A5329="","",원본명단!$B5328)</f>
        <v/>
      </c>
      <c r="D5329" s="12" t="str">
        <f aca="false">IF($A5329="","",원본명단!$D5328)</f>
        <v/>
      </c>
      <c r="E5329" s="11" t="str">
        <f aca="false">IF($A5329="","",IF(원본명단!$H5328="",0,COUNTIF(원본명단!$H$3:$H$6002,원본명단!$H5328)))</f>
        <v/>
      </c>
      <c r="F5329" s="11" t="str">
        <f aca="false">IF($A5329="","",IF(원본명단!$I5328="",0,COUNTIF(원본명단!$I$3:$I$6002,원본명단!$I5328)))</f>
        <v/>
      </c>
      <c r="G5329" s="11" t="str">
        <f aca="false">IF($A5329="","",IF(원본명단!$K5328="",0,COUNTIF(원본명단!$K$3:$K$6002,원본명단!$K5328)))</f>
        <v/>
      </c>
      <c r="H5329" s="11" t="str">
        <f aca="false">IF($A5329="","",IF(MAX($E5329,$F5329,$G5329)&gt;1,"중복","-"))</f>
        <v/>
      </c>
      <c r="I5329" s="11" t="str">
        <f aca="false">IF($A5329="","",IF($H5329="-","-",IF(AND(IF(원본명단!$H5328="",TRUE(),COUNTIF(원본명단!$H$3:$H5328,원본명단!$H5328)=1),IF(원본명단!$I5328="",TRUE(),COUNTIF(원본명단!$I$3:$I5328,원본명단!$I5328)=1),IF(원본명단!$K5328="",TRUE(),COUNTIF(원본명단!$K$3:$K5328,원본명단!$K5328)=1)),"첫 건","중복 건")))</f>
        <v/>
      </c>
      <c r="J5329" s="11" t="str">
        <f aca="false">IF($A5329="","",IF($H5329="-","유지",IF($I5329="첫 건","유지","확인 필요")))</f>
        <v/>
      </c>
    </row>
    <row r="5330" customFormat="false" ht="15" hidden="false" customHeight="true" outlineLevel="0" collapsed="false">
      <c r="A5330" s="11" t="str">
        <f aca="false">IF(원본명단!$A5329="","",5327)</f>
        <v/>
      </c>
      <c r="B5330" s="12" t="str">
        <f aca="false">IF($A5330="","",원본명단!$A5329)</f>
        <v/>
      </c>
      <c r="C5330" s="12" t="str">
        <f aca="false">IF($A5330="","",원본명단!$B5329)</f>
        <v/>
      </c>
      <c r="D5330" s="12" t="str">
        <f aca="false">IF($A5330="","",원본명단!$D5329)</f>
        <v/>
      </c>
      <c r="E5330" s="11" t="str">
        <f aca="false">IF($A5330="","",IF(원본명단!$H5329="",0,COUNTIF(원본명단!$H$3:$H$6002,원본명단!$H5329)))</f>
        <v/>
      </c>
      <c r="F5330" s="11" t="str">
        <f aca="false">IF($A5330="","",IF(원본명단!$I5329="",0,COUNTIF(원본명단!$I$3:$I$6002,원본명단!$I5329)))</f>
        <v/>
      </c>
      <c r="G5330" s="11" t="str">
        <f aca="false">IF($A5330="","",IF(원본명단!$K5329="",0,COUNTIF(원본명단!$K$3:$K$6002,원본명단!$K5329)))</f>
        <v/>
      </c>
      <c r="H5330" s="11" t="str">
        <f aca="false">IF($A5330="","",IF(MAX($E5330,$F5330,$G5330)&gt;1,"중복","-"))</f>
        <v/>
      </c>
      <c r="I5330" s="11" t="str">
        <f aca="false">IF($A5330="","",IF($H5330="-","-",IF(AND(IF(원본명단!$H5329="",TRUE(),COUNTIF(원본명단!$H$3:$H5329,원본명단!$H5329)=1),IF(원본명단!$I5329="",TRUE(),COUNTIF(원본명단!$I$3:$I5329,원본명단!$I5329)=1),IF(원본명단!$K5329="",TRUE(),COUNTIF(원본명단!$K$3:$K5329,원본명단!$K5329)=1)),"첫 건","중복 건")))</f>
        <v/>
      </c>
      <c r="J5330" s="11" t="str">
        <f aca="false">IF($A5330="","",IF($H5330="-","유지",IF($I5330="첫 건","유지","확인 필요")))</f>
        <v/>
      </c>
    </row>
    <row r="5331" customFormat="false" ht="15" hidden="false" customHeight="true" outlineLevel="0" collapsed="false">
      <c r="A5331" s="11" t="str">
        <f aca="false">IF(원본명단!$A5330="","",5328)</f>
        <v/>
      </c>
      <c r="B5331" s="12" t="str">
        <f aca="false">IF($A5331="","",원본명단!$A5330)</f>
        <v/>
      </c>
      <c r="C5331" s="12" t="str">
        <f aca="false">IF($A5331="","",원본명단!$B5330)</f>
        <v/>
      </c>
      <c r="D5331" s="12" t="str">
        <f aca="false">IF($A5331="","",원본명단!$D5330)</f>
        <v/>
      </c>
      <c r="E5331" s="11" t="str">
        <f aca="false">IF($A5331="","",IF(원본명단!$H5330="",0,COUNTIF(원본명단!$H$3:$H$6002,원본명단!$H5330)))</f>
        <v/>
      </c>
      <c r="F5331" s="11" t="str">
        <f aca="false">IF($A5331="","",IF(원본명단!$I5330="",0,COUNTIF(원본명단!$I$3:$I$6002,원본명단!$I5330)))</f>
        <v/>
      </c>
      <c r="G5331" s="11" t="str">
        <f aca="false">IF($A5331="","",IF(원본명단!$K5330="",0,COUNTIF(원본명단!$K$3:$K$6002,원본명단!$K5330)))</f>
        <v/>
      </c>
      <c r="H5331" s="11" t="str">
        <f aca="false">IF($A5331="","",IF(MAX($E5331,$F5331,$G5331)&gt;1,"중복","-"))</f>
        <v/>
      </c>
      <c r="I5331" s="11" t="str">
        <f aca="false">IF($A5331="","",IF($H5331="-","-",IF(AND(IF(원본명단!$H5330="",TRUE(),COUNTIF(원본명단!$H$3:$H5330,원본명단!$H5330)=1),IF(원본명단!$I5330="",TRUE(),COUNTIF(원본명단!$I$3:$I5330,원본명단!$I5330)=1),IF(원본명단!$K5330="",TRUE(),COUNTIF(원본명단!$K$3:$K5330,원본명단!$K5330)=1)),"첫 건","중복 건")))</f>
        <v/>
      </c>
      <c r="J5331" s="11" t="str">
        <f aca="false">IF($A5331="","",IF($H5331="-","유지",IF($I5331="첫 건","유지","확인 필요")))</f>
        <v/>
      </c>
    </row>
    <row r="5332" customFormat="false" ht="15" hidden="false" customHeight="true" outlineLevel="0" collapsed="false">
      <c r="A5332" s="11" t="str">
        <f aca="false">IF(원본명단!$A5331="","",5329)</f>
        <v/>
      </c>
      <c r="B5332" s="12" t="str">
        <f aca="false">IF($A5332="","",원본명단!$A5331)</f>
        <v/>
      </c>
      <c r="C5332" s="12" t="str">
        <f aca="false">IF($A5332="","",원본명단!$B5331)</f>
        <v/>
      </c>
      <c r="D5332" s="12" t="str">
        <f aca="false">IF($A5332="","",원본명단!$D5331)</f>
        <v/>
      </c>
      <c r="E5332" s="11" t="str">
        <f aca="false">IF($A5332="","",IF(원본명단!$H5331="",0,COUNTIF(원본명단!$H$3:$H$6002,원본명단!$H5331)))</f>
        <v/>
      </c>
      <c r="F5332" s="11" t="str">
        <f aca="false">IF($A5332="","",IF(원본명단!$I5331="",0,COUNTIF(원본명단!$I$3:$I$6002,원본명단!$I5331)))</f>
        <v/>
      </c>
      <c r="G5332" s="11" t="str">
        <f aca="false">IF($A5332="","",IF(원본명단!$K5331="",0,COUNTIF(원본명단!$K$3:$K$6002,원본명단!$K5331)))</f>
        <v/>
      </c>
      <c r="H5332" s="11" t="str">
        <f aca="false">IF($A5332="","",IF(MAX($E5332,$F5332,$G5332)&gt;1,"중복","-"))</f>
        <v/>
      </c>
      <c r="I5332" s="11" t="str">
        <f aca="false">IF($A5332="","",IF($H5332="-","-",IF(AND(IF(원본명단!$H5331="",TRUE(),COUNTIF(원본명단!$H$3:$H5331,원본명단!$H5331)=1),IF(원본명단!$I5331="",TRUE(),COUNTIF(원본명단!$I$3:$I5331,원본명단!$I5331)=1),IF(원본명단!$K5331="",TRUE(),COUNTIF(원본명단!$K$3:$K5331,원본명단!$K5331)=1)),"첫 건","중복 건")))</f>
        <v/>
      </c>
      <c r="J5332" s="11" t="str">
        <f aca="false">IF($A5332="","",IF($H5332="-","유지",IF($I5332="첫 건","유지","확인 필요")))</f>
        <v/>
      </c>
    </row>
    <row r="5333" customFormat="false" ht="15" hidden="false" customHeight="true" outlineLevel="0" collapsed="false">
      <c r="A5333" s="11" t="str">
        <f aca="false">IF(원본명단!$A5332="","",5330)</f>
        <v/>
      </c>
      <c r="B5333" s="12" t="str">
        <f aca="false">IF($A5333="","",원본명단!$A5332)</f>
        <v/>
      </c>
      <c r="C5333" s="12" t="str">
        <f aca="false">IF($A5333="","",원본명단!$B5332)</f>
        <v/>
      </c>
      <c r="D5333" s="12" t="str">
        <f aca="false">IF($A5333="","",원본명단!$D5332)</f>
        <v/>
      </c>
      <c r="E5333" s="11" t="str">
        <f aca="false">IF($A5333="","",IF(원본명단!$H5332="",0,COUNTIF(원본명단!$H$3:$H$6002,원본명단!$H5332)))</f>
        <v/>
      </c>
      <c r="F5333" s="11" t="str">
        <f aca="false">IF($A5333="","",IF(원본명단!$I5332="",0,COUNTIF(원본명단!$I$3:$I$6002,원본명단!$I5332)))</f>
        <v/>
      </c>
      <c r="G5333" s="11" t="str">
        <f aca="false">IF($A5333="","",IF(원본명단!$K5332="",0,COUNTIF(원본명단!$K$3:$K$6002,원본명단!$K5332)))</f>
        <v/>
      </c>
      <c r="H5333" s="11" t="str">
        <f aca="false">IF($A5333="","",IF(MAX($E5333,$F5333,$G5333)&gt;1,"중복","-"))</f>
        <v/>
      </c>
      <c r="I5333" s="11" t="str">
        <f aca="false">IF($A5333="","",IF($H5333="-","-",IF(AND(IF(원본명단!$H5332="",TRUE(),COUNTIF(원본명단!$H$3:$H5332,원본명단!$H5332)=1),IF(원본명단!$I5332="",TRUE(),COUNTIF(원본명단!$I$3:$I5332,원본명단!$I5332)=1),IF(원본명단!$K5332="",TRUE(),COUNTIF(원본명단!$K$3:$K5332,원본명단!$K5332)=1)),"첫 건","중복 건")))</f>
        <v/>
      </c>
      <c r="J5333" s="11" t="str">
        <f aca="false">IF($A5333="","",IF($H5333="-","유지",IF($I5333="첫 건","유지","확인 필요")))</f>
        <v/>
      </c>
    </row>
    <row r="5334" customFormat="false" ht="15" hidden="false" customHeight="true" outlineLevel="0" collapsed="false">
      <c r="A5334" s="11" t="str">
        <f aca="false">IF(원본명단!$A5333="","",5331)</f>
        <v/>
      </c>
      <c r="B5334" s="12" t="str">
        <f aca="false">IF($A5334="","",원본명단!$A5333)</f>
        <v/>
      </c>
      <c r="C5334" s="12" t="str">
        <f aca="false">IF($A5334="","",원본명단!$B5333)</f>
        <v/>
      </c>
      <c r="D5334" s="12" t="str">
        <f aca="false">IF($A5334="","",원본명단!$D5333)</f>
        <v/>
      </c>
      <c r="E5334" s="11" t="str">
        <f aca="false">IF($A5334="","",IF(원본명단!$H5333="",0,COUNTIF(원본명단!$H$3:$H$6002,원본명단!$H5333)))</f>
        <v/>
      </c>
      <c r="F5334" s="11" t="str">
        <f aca="false">IF($A5334="","",IF(원본명단!$I5333="",0,COUNTIF(원본명단!$I$3:$I$6002,원본명단!$I5333)))</f>
        <v/>
      </c>
      <c r="G5334" s="11" t="str">
        <f aca="false">IF($A5334="","",IF(원본명단!$K5333="",0,COUNTIF(원본명단!$K$3:$K$6002,원본명단!$K5333)))</f>
        <v/>
      </c>
      <c r="H5334" s="11" t="str">
        <f aca="false">IF($A5334="","",IF(MAX($E5334,$F5334,$G5334)&gt;1,"중복","-"))</f>
        <v/>
      </c>
      <c r="I5334" s="11" t="str">
        <f aca="false">IF($A5334="","",IF($H5334="-","-",IF(AND(IF(원본명단!$H5333="",TRUE(),COUNTIF(원본명단!$H$3:$H5333,원본명단!$H5333)=1),IF(원본명단!$I5333="",TRUE(),COUNTIF(원본명단!$I$3:$I5333,원본명단!$I5333)=1),IF(원본명단!$K5333="",TRUE(),COUNTIF(원본명단!$K$3:$K5333,원본명단!$K5333)=1)),"첫 건","중복 건")))</f>
        <v/>
      </c>
      <c r="J5334" s="11" t="str">
        <f aca="false">IF($A5334="","",IF($H5334="-","유지",IF($I5334="첫 건","유지","확인 필요")))</f>
        <v/>
      </c>
    </row>
    <row r="5335" customFormat="false" ht="15" hidden="false" customHeight="true" outlineLevel="0" collapsed="false">
      <c r="A5335" s="11" t="str">
        <f aca="false">IF(원본명단!$A5334="","",5332)</f>
        <v/>
      </c>
      <c r="B5335" s="12" t="str">
        <f aca="false">IF($A5335="","",원본명단!$A5334)</f>
        <v/>
      </c>
      <c r="C5335" s="12" t="str">
        <f aca="false">IF($A5335="","",원본명단!$B5334)</f>
        <v/>
      </c>
      <c r="D5335" s="12" t="str">
        <f aca="false">IF($A5335="","",원본명단!$D5334)</f>
        <v/>
      </c>
      <c r="E5335" s="11" t="str">
        <f aca="false">IF($A5335="","",IF(원본명단!$H5334="",0,COUNTIF(원본명단!$H$3:$H$6002,원본명단!$H5334)))</f>
        <v/>
      </c>
      <c r="F5335" s="11" t="str">
        <f aca="false">IF($A5335="","",IF(원본명단!$I5334="",0,COUNTIF(원본명단!$I$3:$I$6002,원본명단!$I5334)))</f>
        <v/>
      </c>
      <c r="G5335" s="11" t="str">
        <f aca="false">IF($A5335="","",IF(원본명단!$K5334="",0,COUNTIF(원본명단!$K$3:$K$6002,원본명단!$K5334)))</f>
        <v/>
      </c>
      <c r="H5335" s="11" t="str">
        <f aca="false">IF($A5335="","",IF(MAX($E5335,$F5335,$G5335)&gt;1,"중복","-"))</f>
        <v/>
      </c>
      <c r="I5335" s="11" t="str">
        <f aca="false">IF($A5335="","",IF($H5335="-","-",IF(AND(IF(원본명단!$H5334="",TRUE(),COUNTIF(원본명단!$H$3:$H5334,원본명단!$H5334)=1),IF(원본명단!$I5334="",TRUE(),COUNTIF(원본명단!$I$3:$I5334,원본명단!$I5334)=1),IF(원본명단!$K5334="",TRUE(),COUNTIF(원본명단!$K$3:$K5334,원본명단!$K5334)=1)),"첫 건","중복 건")))</f>
        <v/>
      </c>
      <c r="J5335" s="11" t="str">
        <f aca="false">IF($A5335="","",IF($H5335="-","유지",IF($I5335="첫 건","유지","확인 필요")))</f>
        <v/>
      </c>
    </row>
    <row r="5336" customFormat="false" ht="15" hidden="false" customHeight="true" outlineLevel="0" collapsed="false">
      <c r="A5336" s="11" t="str">
        <f aca="false">IF(원본명단!$A5335="","",5333)</f>
        <v/>
      </c>
      <c r="B5336" s="12" t="str">
        <f aca="false">IF($A5336="","",원본명단!$A5335)</f>
        <v/>
      </c>
      <c r="C5336" s="12" t="str">
        <f aca="false">IF($A5336="","",원본명단!$B5335)</f>
        <v/>
      </c>
      <c r="D5336" s="12" t="str">
        <f aca="false">IF($A5336="","",원본명단!$D5335)</f>
        <v/>
      </c>
      <c r="E5336" s="11" t="str">
        <f aca="false">IF($A5336="","",IF(원본명단!$H5335="",0,COUNTIF(원본명단!$H$3:$H$6002,원본명단!$H5335)))</f>
        <v/>
      </c>
      <c r="F5336" s="11" t="str">
        <f aca="false">IF($A5336="","",IF(원본명단!$I5335="",0,COUNTIF(원본명단!$I$3:$I$6002,원본명단!$I5335)))</f>
        <v/>
      </c>
      <c r="G5336" s="11" t="str">
        <f aca="false">IF($A5336="","",IF(원본명단!$K5335="",0,COUNTIF(원본명단!$K$3:$K$6002,원본명단!$K5335)))</f>
        <v/>
      </c>
      <c r="H5336" s="11" t="str">
        <f aca="false">IF($A5336="","",IF(MAX($E5336,$F5336,$G5336)&gt;1,"중복","-"))</f>
        <v/>
      </c>
      <c r="I5336" s="11" t="str">
        <f aca="false">IF($A5336="","",IF($H5336="-","-",IF(AND(IF(원본명단!$H5335="",TRUE(),COUNTIF(원본명단!$H$3:$H5335,원본명단!$H5335)=1),IF(원본명단!$I5335="",TRUE(),COUNTIF(원본명단!$I$3:$I5335,원본명단!$I5335)=1),IF(원본명단!$K5335="",TRUE(),COUNTIF(원본명단!$K$3:$K5335,원본명단!$K5335)=1)),"첫 건","중복 건")))</f>
        <v/>
      </c>
      <c r="J5336" s="11" t="str">
        <f aca="false">IF($A5336="","",IF($H5336="-","유지",IF($I5336="첫 건","유지","확인 필요")))</f>
        <v/>
      </c>
    </row>
    <row r="5337" customFormat="false" ht="15" hidden="false" customHeight="true" outlineLevel="0" collapsed="false">
      <c r="A5337" s="11" t="str">
        <f aca="false">IF(원본명단!$A5336="","",5334)</f>
        <v/>
      </c>
      <c r="B5337" s="12" t="str">
        <f aca="false">IF($A5337="","",원본명단!$A5336)</f>
        <v/>
      </c>
      <c r="C5337" s="12" t="str">
        <f aca="false">IF($A5337="","",원본명단!$B5336)</f>
        <v/>
      </c>
      <c r="D5337" s="12" t="str">
        <f aca="false">IF($A5337="","",원본명단!$D5336)</f>
        <v/>
      </c>
      <c r="E5337" s="11" t="str">
        <f aca="false">IF($A5337="","",IF(원본명단!$H5336="",0,COUNTIF(원본명단!$H$3:$H$6002,원본명단!$H5336)))</f>
        <v/>
      </c>
      <c r="F5337" s="11" t="str">
        <f aca="false">IF($A5337="","",IF(원본명단!$I5336="",0,COUNTIF(원본명단!$I$3:$I$6002,원본명단!$I5336)))</f>
        <v/>
      </c>
      <c r="G5337" s="11" t="str">
        <f aca="false">IF($A5337="","",IF(원본명단!$K5336="",0,COUNTIF(원본명단!$K$3:$K$6002,원본명단!$K5336)))</f>
        <v/>
      </c>
      <c r="H5337" s="11" t="str">
        <f aca="false">IF($A5337="","",IF(MAX($E5337,$F5337,$G5337)&gt;1,"중복","-"))</f>
        <v/>
      </c>
      <c r="I5337" s="11" t="str">
        <f aca="false">IF($A5337="","",IF($H5337="-","-",IF(AND(IF(원본명단!$H5336="",TRUE(),COUNTIF(원본명단!$H$3:$H5336,원본명단!$H5336)=1),IF(원본명단!$I5336="",TRUE(),COUNTIF(원본명단!$I$3:$I5336,원본명단!$I5336)=1),IF(원본명단!$K5336="",TRUE(),COUNTIF(원본명단!$K$3:$K5336,원본명단!$K5336)=1)),"첫 건","중복 건")))</f>
        <v/>
      </c>
      <c r="J5337" s="11" t="str">
        <f aca="false">IF($A5337="","",IF($H5337="-","유지",IF($I5337="첫 건","유지","확인 필요")))</f>
        <v/>
      </c>
    </row>
    <row r="5338" customFormat="false" ht="15" hidden="false" customHeight="true" outlineLevel="0" collapsed="false">
      <c r="A5338" s="11" t="str">
        <f aca="false">IF(원본명단!$A5337="","",5335)</f>
        <v/>
      </c>
      <c r="B5338" s="12" t="str">
        <f aca="false">IF($A5338="","",원본명단!$A5337)</f>
        <v/>
      </c>
      <c r="C5338" s="12" t="str">
        <f aca="false">IF($A5338="","",원본명단!$B5337)</f>
        <v/>
      </c>
      <c r="D5338" s="12" t="str">
        <f aca="false">IF($A5338="","",원본명단!$D5337)</f>
        <v/>
      </c>
      <c r="E5338" s="11" t="str">
        <f aca="false">IF($A5338="","",IF(원본명단!$H5337="",0,COUNTIF(원본명단!$H$3:$H$6002,원본명단!$H5337)))</f>
        <v/>
      </c>
      <c r="F5338" s="11" t="str">
        <f aca="false">IF($A5338="","",IF(원본명단!$I5337="",0,COUNTIF(원본명단!$I$3:$I$6002,원본명단!$I5337)))</f>
        <v/>
      </c>
      <c r="G5338" s="11" t="str">
        <f aca="false">IF($A5338="","",IF(원본명단!$K5337="",0,COUNTIF(원본명단!$K$3:$K$6002,원본명단!$K5337)))</f>
        <v/>
      </c>
      <c r="H5338" s="11" t="str">
        <f aca="false">IF($A5338="","",IF(MAX($E5338,$F5338,$G5338)&gt;1,"중복","-"))</f>
        <v/>
      </c>
      <c r="I5338" s="11" t="str">
        <f aca="false">IF($A5338="","",IF($H5338="-","-",IF(AND(IF(원본명단!$H5337="",TRUE(),COUNTIF(원본명단!$H$3:$H5337,원본명단!$H5337)=1),IF(원본명단!$I5337="",TRUE(),COUNTIF(원본명단!$I$3:$I5337,원본명단!$I5337)=1),IF(원본명단!$K5337="",TRUE(),COUNTIF(원본명단!$K$3:$K5337,원본명단!$K5337)=1)),"첫 건","중복 건")))</f>
        <v/>
      </c>
      <c r="J5338" s="11" t="str">
        <f aca="false">IF($A5338="","",IF($H5338="-","유지",IF($I5338="첫 건","유지","확인 필요")))</f>
        <v/>
      </c>
    </row>
    <row r="5339" customFormat="false" ht="15" hidden="false" customHeight="true" outlineLevel="0" collapsed="false">
      <c r="A5339" s="11" t="str">
        <f aca="false">IF(원본명단!$A5338="","",5336)</f>
        <v/>
      </c>
      <c r="B5339" s="12" t="str">
        <f aca="false">IF($A5339="","",원본명단!$A5338)</f>
        <v/>
      </c>
      <c r="C5339" s="12" t="str">
        <f aca="false">IF($A5339="","",원본명단!$B5338)</f>
        <v/>
      </c>
      <c r="D5339" s="12" t="str">
        <f aca="false">IF($A5339="","",원본명단!$D5338)</f>
        <v/>
      </c>
      <c r="E5339" s="11" t="str">
        <f aca="false">IF($A5339="","",IF(원본명단!$H5338="",0,COUNTIF(원본명단!$H$3:$H$6002,원본명단!$H5338)))</f>
        <v/>
      </c>
      <c r="F5339" s="11" t="str">
        <f aca="false">IF($A5339="","",IF(원본명단!$I5338="",0,COUNTIF(원본명단!$I$3:$I$6002,원본명단!$I5338)))</f>
        <v/>
      </c>
      <c r="G5339" s="11" t="str">
        <f aca="false">IF($A5339="","",IF(원본명단!$K5338="",0,COUNTIF(원본명단!$K$3:$K$6002,원본명단!$K5338)))</f>
        <v/>
      </c>
      <c r="H5339" s="11" t="str">
        <f aca="false">IF($A5339="","",IF(MAX($E5339,$F5339,$G5339)&gt;1,"중복","-"))</f>
        <v/>
      </c>
      <c r="I5339" s="11" t="str">
        <f aca="false">IF($A5339="","",IF($H5339="-","-",IF(AND(IF(원본명단!$H5338="",TRUE(),COUNTIF(원본명단!$H$3:$H5338,원본명단!$H5338)=1),IF(원본명단!$I5338="",TRUE(),COUNTIF(원본명단!$I$3:$I5338,원본명단!$I5338)=1),IF(원본명단!$K5338="",TRUE(),COUNTIF(원본명단!$K$3:$K5338,원본명단!$K5338)=1)),"첫 건","중복 건")))</f>
        <v/>
      </c>
      <c r="J5339" s="11" t="str">
        <f aca="false">IF($A5339="","",IF($H5339="-","유지",IF($I5339="첫 건","유지","확인 필요")))</f>
        <v/>
      </c>
    </row>
    <row r="5340" customFormat="false" ht="15" hidden="false" customHeight="true" outlineLevel="0" collapsed="false">
      <c r="A5340" s="11" t="str">
        <f aca="false">IF(원본명단!$A5339="","",5337)</f>
        <v/>
      </c>
      <c r="B5340" s="12" t="str">
        <f aca="false">IF($A5340="","",원본명단!$A5339)</f>
        <v/>
      </c>
      <c r="C5340" s="12" t="str">
        <f aca="false">IF($A5340="","",원본명단!$B5339)</f>
        <v/>
      </c>
      <c r="D5340" s="12" t="str">
        <f aca="false">IF($A5340="","",원본명단!$D5339)</f>
        <v/>
      </c>
      <c r="E5340" s="11" t="str">
        <f aca="false">IF($A5340="","",IF(원본명단!$H5339="",0,COUNTIF(원본명단!$H$3:$H$6002,원본명단!$H5339)))</f>
        <v/>
      </c>
      <c r="F5340" s="11" t="str">
        <f aca="false">IF($A5340="","",IF(원본명단!$I5339="",0,COUNTIF(원본명단!$I$3:$I$6002,원본명단!$I5339)))</f>
        <v/>
      </c>
      <c r="G5340" s="11" t="str">
        <f aca="false">IF($A5340="","",IF(원본명단!$K5339="",0,COUNTIF(원본명단!$K$3:$K$6002,원본명단!$K5339)))</f>
        <v/>
      </c>
      <c r="H5340" s="11" t="str">
        <f aca="false">IF($A5340="","",IF(MAX($E5340,$F5340,$G5340)&gt;1,"중복","-"))</f>
        <v/>
      </c>
      <c r="I5340" s="11" t="str">
        <f aca="false">IF($A5340="","",IF($H5340="-","-",IF(AND(IF(원본명단!$H5339="",TRUE(),COUNTIF(원본명단!$H$3:$H5339,원본명단!$H5339)=1),IF(원본명단!$I5339="",TRUE(),COUNTIF(원본명단!$I$3:$I5339,원본명단!$I5339)=1),IF(원본명단!$K5339="",TRUE(),COUNTIF(원본명단!$K$3:$K5339,원본명단!$K5339)=1)),"첫 건","중복 건")))</f>
        <v/>
      </c>
      <c r="J5340" s="11" t="str">
        <f aca="false">IF($A5340="","",IF($H5340="-","유지",IF($I5340="첫 건","유지","확인 필요")))</f>
        <v/>
      </c>
    </row>
    <row r="5341" customFormat="false" ht="15" hidden="false" customHeight="true" outlineLevel="0" collapsed="false">
      <c r="A5341" s="11" t="str">
        <f aca="false">IF(원본명단!$A5340="","",5338)</f>
        <v/>
      </c>
      <c r="B5341" s="12" t="str">
        <f aca="false">IF($A5341="","",원본명단!$A5340)</f>
        <v/>
      </c>
      <c r="C5341" s="12" t="str">
        <f aca="false">IF($A5341="","",원본명단!$B5340)</f>
        <v/>
      </c>
      <c r="D5341" s="12" t="str">
        <f aca="false">IF($A5341="","",원본명단!$D5340)</f>
        <v/>
      </c>
      <c r="E5341" s="11" t="str">
        <f aca="false">IF($A5341="","",IF(원본명단!$H5340="",0,COUNTIF(원본명단!$H$3:$H$6002,원본명단!$H5340)))</f>
        <v/>
      </c>
      <c r="F5341" s="11" t="str">
        <f aca="false">IF($A5341="","",IF(원본명단!$I5340="",0,COUNTIF(원본명단!$I$3:$I$6002,원본명단!$I5340)))</f>
        <v/>
      </c>
      <c r="G5341" s="11" t="str">
        <f aca="false">IF($A5341="","",IF(원본명단!$K5340="",0,COUNTIF(원본명단!$K$3:$K$6002,원본명단!$K5340)))</f>
        <v/>
      </c>
      <c r="H5341" s="11" t="str">
        <f aca="false">IF($A5341="","",IF(MAX($E5341,$F5341,$G5341)&gt;1,"중복","-"))</f>
        <v/>
      </c>
      <c r="I5341" s="11" t="str">
        <f aca="false">IF($A5341="","",IF($H5341="-","-",IF(AND(IF(원본명단!$H5340="",TRUE(),COUNTIF(원본명단!$H$3:$H5340,원본명단!$H5340)=1),IF(원본명단!$I5340="",TRUE(),COUNTIF(원본명단!$I$3:$I5340,원본명단!$I5340)=1),IF(원본명단!$K5340="",TRUE(),COUNTIF(원본명단!$K$3:$K5340,원본명단!$K5340)=1)),"첫 건","중복 건")))</f>
        <v/>
      </c>
      <c r="J5341" s="11" t="str">
        <f aca="false">IF($A5341="","",IF($H5341="-","유지",IF($I5341="첫 건","유지","확인 필요")))</f>
        <v/>
      </c>
    </row>
    <row r="5342" customFormat="false" ht="15" hidden="false" customHeight="true" outlineLevel="0" collapsed="false">
      <c r="A5342" s="11" t="str">
        <f aca="false">IF(원본명단!$A5341="","",5339)</f>
        <v/>
      </c>
      <c r="B5342" s="12" t="str">
        <f aca="false">IF($A5342="","",원본명단!$A5341)</f>
        <v/>
      </c>
      <c r="C5342" s="12" t="str">
        <f aca="false">IF($A5342="","",원본명단!$B5341)</f>
        <v/>
      </c>
      <c r="D5342" s="12" t="str">
        <f aca="false">IF($A5342="","",원본명단!$D5341)</f>
        <v/>
      </c>
      <c r="E5342" s="11" t="str">
        <f aca="false">IF($A5342="","",IF(원본명단!$H5341="",0,COUNTIF(원본명단!$H$3:$H$6002,원본명단!$H5341)))</f>
        <v/>
      </c>
      <c r="F5342" s="11" t="str">
        <f aca="false">IF($A5342="","",IF(원본명단!$I5341="",0,COUNTIF(원본명단!$I$3:$I$6002,원본명단!$I5341)))</f>
        <v/>
      </c>
      <c r="G5342" s="11" t="str">
        <f aca="false">IF($A5342="","",IF(원본명단!$K5341="",0,COUNTIF(원본명단!$K$3:$K$6002,원본명단!$K5341)))</f>
        <v/>
      </c>
      <c r="H5342" s="11" t="str">
        <f aca="false">IF($A5342="","",IF(MAX($E5342,$F5342,$G5342)&gt;1,"중복","-"))</f>
        <v/>
      </c>
      <c r="I5342" s="11" t="str">
        <f aca="false">IF($A5342="","",IF($H5342="-","-",IF(AND(IF(원본명단!$H5341="",TRUE(),COUNTIF(원본명단!$H$3:$H5341,원본명단!$H5341)=1),IF(원본명단!$I5341="",TRUE(),COUNTIF(원본명단!$I$3:$I5341,원본명단!$I5341)=1),IF(원본명단!$K5341="",TRUE(),COUNTIF(원본명단!$K$3:$K5341,원본명단!$K5341)=1)),"첫 건","중복 건")))</f>
        <v/>
      </c>
      <c r="J5342" s="11" t="str">
        <f aca="false">IF($A5342="","",IF($H5342="-","유지",IF($I5342="첫 건","유지","확인 필요")))</f>
        <v/>
      </c>
    </row>
    <row r="5343" customFormat="false" ht="15" hidden="false" customHeight="true" outlineLevel="0" collapsed="false">
      <c r="A5343" s="11" t="str">
        <f aca="false">IF(원본명단!$A5342="","",5340)</f>
        <v/>
      </c>
      <c r="B5343" s="12" t="str">
        <f aca="false">IF($A5343="","",원본명단!$A5342)</f>
        <v/>
      </c>
      <c r="C5343" s="12" t="str">
        <f aca="false">IF($A5343="","",원본명단!$B5342)</f>
        <v/>
      </c>
      <c r="D5343" s="12" t="str">
        <f aca="false">IF($A5343="","",원본명단!$D5342)</f>
        <v/>
      </c>
      <c r="E5343" s="11" t="str">
        <f aca="false">IF($A5343="","",IF(원본명단!$H5342="",0,COUNTIF(원본명단!$H$3:$H$6002,원본명단!$H5342)))</f>
        <v/>
      </c>
      <c r="F5343" s="11" t="str">
        <f aca="false">IF($A5343="","",IF(원본명단!$I5342="",0,COUNTIF(원본명단!$I$3:$I$6002,원본명단!$I5342)))</f>
        <v/>
      </c>
      <c r="G5343" s="11" t="str">
        <f aca="false">IF($A5343="","",IF(원본명단!$K5342="",0,COUNTIF(원본명단!$K$3:$K$6002,원본명단!$K5342)))</f>
        <v/>
      </c>
      <c r="H5343" s="11" t="str">
        <f aca="false">IF($A5343="","",IF(MAX($E5343,$F5343,$G5343)&gt;1,"중복","-"))</f>
        <v/>
      </c>
      <c r="I5343" s="11" t="str">
        <f aca="false">IF($A5343="","",IF($H5343="-","-",IF(AND(IF(원본명단!$H5342="",TRUE(),COUNTIF(원본명단!$H$3:$H5342,원본명단!$H5342)=1),IF(원본명단!$I5342="",TRUE(),COUNTIF(원본명단!$I$3:$I5342,원본명단!$I5342)=1),IF(원본명단!$K5342="",TRUE(),COUNTIF(원본명단!$K$3:$K5342,원본명단!$K5342)=1)),"첫 건","중복 건")))</f>
        <v/>
      </c>
      <c r="J5343" s="11" t="str">
        <f aca="false">IF($A5343="","",IF($H5343="-","유지",IF($I5343="첫 건","유지","확인 필요")))</f>
        <v/>
      </c>
    </row>
    <row r="5344" customFormat="false" ht="15" hidden="false" customHeight="true" outlineLevel="0" collapsed="false">
      <c r="A5344" s="11" t="str">
        <f aca="false">IF(원본명단!$A5343="","",5341)</f>
        <v/>
      </c>
      <c r="B5344" s="12" t="str">
        <f aca="false">IF($A5344="","",원본명단!$A5343)</f>
        <v/>
      </c>
      <c r="C5344" s="12" t="str">
        <f aca="false">IF($A5344="","",원본명단!$B5343)</f>
        <v/>
      </c>
      <c r="D5344" s="12" t="str">
        <f aca="false">IF($A5344="","",원본명단!$D5343)</f>
        <v/>
      </c>
      <c r="E5344" s="11" t="str">
        <f aca="false">IF($A5344="","",IF(원본명단!$H5343="",0,COUNTIF(원본명단!$H$3:$H$6002,원본명단!$H5343)))</f>
        <v/>
      </c>
      <c r="F5344" s="11" t="str">
        <f aca="false">IF($A5344="","",IF(원본명단!$I5343="",0,COUNTIF(원본명단!$I$3:$I$6002,원본명단!$I5343)))</f>
        <v/>
      </c>
      <c r="G5344" s="11" t="str">
        <f aca="false">IF($A5344="","",IF(원본명단!$K5343="",0,COUNTIF(원본명단!$K$3:$K$6002,원본명단!$K5343)))</f>
        <v/>
      </c>
      <c r="H5344" s="11" t="str">
        <f aca="false">IF($A5344="","",IF(MAX($E5344,$F5344,$G5344)&gt;1,"중복","-"))</f>
        <v/>
      </c>
      <c r="I5344" s="11" t="str">
        <f aca="false">IF($A5344="","",IF($H5344="-","-",IF(AND(IF(원본명단!$H5343="",TRUE(),COUNTIF(원본명단!$H$3:$H5343,원본명단!$H5343)=1),IF(원본명단!$I5343="",TRUE(),COUNTIF(원본명단!$I$3:$I5343,원본명단!$I5343)=1),IF(원본명단!$K5343="",TRUE(),COUNTIF(원본명단!$K$3:$K5343,원본명단!$K5343)=1)),"첫 건","중복 건")))</f>
        <v/>
      </c>
      <c r="J5344" s="11" t="str">
        <f aca="false">IF($A5344="","",IF($H5344="-","유지",IF($I5344="첫 건","유지","확인 필요")))</f>
        <v/>
      </c>
    </row>
    <row r="5345" customFormat="false" ht="15" hidden="false" customHeight="true" outlineLevel="0" collapsed="false">
      <c r="A5345" s="11" t="str">
        <f aca="false">IF(원본명단!$A5344="","",5342)</f>
        <v/>
      </c>
      <c r="B5345" s="12" t="str">
        <f aca="false">IF($A5345="","",원본명단!$A5344)</f>
        <v/>
      </c>
      <c r="C5345" s="12" t="str">
        <f aca="false">IF($A5345="","",원본명단!$B5344)</f>
        <v/>
      </c>
      <c r="D5345" s="12" t="str">
        <f aca="false">IF($A5345="","",원본명단!$D5344)</f>
        <v/>
      </c>
      <c r="E5345" s="11" t="str">
        <f aca="false">IF($A5345="","",IF(원본명단!$H5344="",0,COUNTIF(원본명단!$H$3:$H$6002,원본명단!$H5344)))</f>
        <v/>
      </c>
      <c r="F5345" s="11" t="str">
        <f aca="false">IF($A5345="","",IF(원본명단!$I5344="",0,COUNTIF(원본명단!$I$3:$I$6002,원본명단!$I5344)))</f>
        <v/>
      </c>
      <c r="G5345" s="11" t="str">
        <f aca="false">IF($A5345="","",IF(원본명단!$K5344="",0,COUNTIF(원본명단!$K$3:$K$6002,원본명단!$K5344)))</f>
        <v/>
      </c>
      <c r="H5345" s="11" t="str">
        <f aca="false">IF($A5345="","",IF(MAX($E5345,$F5345,$G5345)&gt;1,"중복","-"))</f>
        <v/>
      </c>
      <c r="I5345" s="11" t="str">
        <f aca="false">IF($A5345="","",IF($H5345="-","-",IF(AND(IF(원본명단!$H5344="",TRUE(),COUNTIF(원본명단!$H$3:$H5344,원본명단!$H5344)=1),IF(원본명단!$I5344="",TRUE(),COUNTIF(원본명단!$I$3:$I5344,원본명단!$I5344)=1),IF(원본명단!$K5344="",TRUE(),COUNTIF(원본명단!$K$3:$K5344,원본명단!$K5344)=1)),"첫 건","중복 건")))</f>
        <v/>
      </c>
      <c r="J5345" s="11" t="str">
        <f aca="false">IF($A5345="","",IF($H5345="-","유지",IF($I5345="첫 건","유지","확인 필요")))</f>
        <v/>
      </c>
    </row>
    <row r="5346" customFormat="false" ht="15" hidden="false" customHeight="true" outlineLevel="0" collapsed="false">
      <c r="A5346" s="11" t="str">
        <f aca="false">IF(원본명단!$A5345="","",5343)</f>
        <v/>
      </c>
      <c r="B5346" s="12" t="str">
        <f aca="false">IF($A5346="","",원본명단!$A5345)</f>
        <v/>
      </c>
      <c r="C5346" s="12" t="str">
        <f aca="false">IF($A5346="","",원본명단!$B5345)</f>
        <v/>
      </c>
      <c r="D5346" s="12" t="str">
        <f aca="false">IF($A5346="","",원본명단!$D5345)</f>
        <v/>
      </c>
      <c r="E5346" s="11" t="str">
        <f aca="false">IF($A5346="","",IF(원본명단!$H5345="",0,COUNTIF(원본명단!$H$3:$H$6002,원본명단!$H5345)))</f>
        <v/>
      </c>
      <c r="F5346" s="11" t="str">
        <f aca="false">IF($A5346="","",IF(원본명단!$I5345="",0,COUNTIF(원본명단!$I$3:$I$6002,원본명단!$I5345)))</f>
        <v/>
      </c>
      <c r="G5346" s="11" t="str">
        <f aca="false">IF($A5346="","",IF(원본명단!$K5345="",0,COUNTIF(원본명단!$K$3:$K$6002,원본명단!$K5345)))</f>
        <v/>
      </c>
      <c r="H5346" s="11" t="str">
        <f aca="false">IF($A5346="","",IF(MAX($E5346,$F5346,$G5346)&gt;1,"중복","-"))</f>
        <v/>
      </c>
      <c r="I5346" s="11" t="str">
        <f aca="false">IF($A5346="","",IF($H5346="-","-",IF(AND(IF(원본명단!$H5345="",TRUE(),COUNTIF(원본명단!$H$3:$H5345,원본명단!$H5345)=1),IF(원본명단!$I5345="",TRUE(),COUNTIF(원본명단!$I$3:$I5345,원본명단!$I5345)=1),IF(원본명단!$K5345="",TRUE(),COUNTIF(원본명단!$K$3:$K5345,원본명단!$K5345)=1)),"첫 건","중복 건")))</f>
        <v/>
      </c>
      <c r="J5346" s="11" t="str">
        <f aca="false">IF($A5346="","",IF($H5346="-","유지",IF($I5346="첫 건","유지","확인 필요")))</f>
        <v/>
      </c>
    </row>
    <row r="5347" customFormat="false" ht="15" hidden="false" customHeight="true" outlineLevel="0" collapsed="false">
      <c r="A5347" s="11" t="str">
        <f aca="false">IF(원본명단!$A5346="","",5344)</f>
        <v/>
      </c>
      <c r="B5347" s="12" t="str">
        <f aca="false">IF($A5347="","",원본명단!$A5346)</f>
        <v/>
      </c>
      <c r="C5347" s="12" t="str">
        <f aca="false">IF($A5347="","",원본명단!$B5346)</f>
        <v/>
      </c>
      <c r="D5347" s="12" t="str">
        <f aca="false">IF($A5347="","",원본명단!$D5346)</f>
        <v/>
      </c>
      <c r="E5347" s="11" t="str">
        <f aca="false">IF($A5347="","",IF(원본명단!$H5346="",0,COUNTIF(원본명단!$H$3:$H$6002,원본명단!$H5346)))</f>
        <v/>
      </c>
      <c r="F5347" s="11" t="str">
        <f aca="false">IF($A5347="","",IF(원본명단!$I5346="",0,COUNTIF(원본명단!$I$3:$I$6002,원본명단!$I5346)))</f>
        <v/>
      </c>
      <c r="G5347" s="11" t="str">
        <f aca="false">IF($A5347="","",IF(원본명단!$K5346="",0,COUNTIF(원본명단!$K$3:$K$6002,원본명단!$K5346)))</f>
        <v/>
      </c>
      <c r="H5347" s="11" t="str">
        <f aca="false">IF($A5347="","",IF(MAX($E5347,$F5347,$G5347)&gt;1,"중복","-"))</f>
        <v/>
      </c>
      <c r="I5347" s="11" t="str">
        <f aca="false">IF($A5347="","",IF($H5347="-","-",IF(AND(IF(원본명단!$H5346="",TRUE(),COUNTIF(원본명단!$H$3:$H5346,원본명단!$H5346)=1),IF(원본명단!$I5346="",TRUE(),COUNTIF(원본명단!$I$3:$I5346,원본명단!$I5346)=1),IF(원본명단!$K5346="",TRUE(),COUNTIF(원본명단!$K$3:$K5346,원본명단!$K5346)=1)),"첫 건","중복 건")))</f>
        <v/>
      </c>
      <c r="J5347" s="11" t="str">
        <f aca="false">IF($A5347="","",IF($H5347="-","유지",IF($I5347="첫 건","유지","확인 필요")))</f>
        <v/>
      </c>
    </row>
    <row r="5348" customFormat="false" ht="15" hidden="false" customHeight="true" outlineLevel="0" collapsed="false">
      <c r="A5348" s="11" t="str">
        <f aca="false">IF(원본명단!$A5347="","",5345)</f>
        <v/>
      </c>
      <c r="B5348" s="12" t="str">
        <f aca="false">IF($A5348="","",원본명단!$A5347)</f>
        <v/>
      </c>
      <c r="C5348" s="12" t="str">
        <f aca="false">IF($A5348="","",원본명단!$B5347)</f>
        <v/>
      </c>
      <c r="D5348" s="12" t="str">
        <f aca="false">IF($A5348="","",원본명단!$D5347)</f>
        <v/>
      </c>
      <c r="E5348" s="11" t="str">
        <f aca="false">IF($A5348="","",IF(원본명단!$H5347="",0,COUNTIF(원본명단!$H$3:$H$6002,원본명단!$H5347)))</f>
        <v/>
      </c>
      <c r="F5348" s="11" t="str">
        <f aca="false">IF($A5348="","",IF(원본명단!$I5347="",0,COUNTIF(원본명단!$I$3:$I$6002,원본명단!$I5347)))</f>
        <v/>
      </c>
      <c r="G5348" s="11" t="str">
        <f aca="false">IF($A5348="","",IF(원본명단!$K5347="",0,COUNTIF(원본명단!$K$3:$K$6002,원본명단!$K5347)))</f>
        <v/>
      </c>
      <c r="H5348" s="11" t="str">
        <f aca="false">IF($A5348="","",IF(MAX($E5348,$F5348,$G5348)&gt;1,"중복","-"))</f>
        <v/>
      </c>
      <c r="I5348" s="11" t="str">
        <f aca="false">IF($A5348="","",IF($H5348="-","-",IF(AND(IF(원본명단!$H5347="",TRUE(),COUNTIF(원본명단!$H$3:$H5347,원본명단!$H5347)=1),IF(원본명단!$I5347="",TRUE(),COUNTIF(원본명단!$I$3:$I5347,원본명단!$I5347)=1),IF(원본명단!$K5347="",TRUE(),COUNTIF(원본명단!$K$3:$K5347,원본명단!$K5347)=1)),"첫 건","중복 건")))</f>
        <v/>
      </c>
      <c r="J5348" s="11" t="str">
        <f aca="false">IF($A5348="","",IF($H5348="-","유지",IF($I5348="첫 건","유지","확인 필요")))</f>
        <v/>
      </c>
    </row>
    <row r="5349" customFormat="false" ht="15" hidden="false" customHeight="true" outlineLevel="0" collapsed="false">
      <c r="A5349" s="11" t="str">
        <f aca="false">IF(원본명단!$A5348="","",5346)</f>
        <v/>
      </c>
      <c r="B5349" s="12" t="str">
        <f aca="false">IF($A5349="","",원본명단!$A5348)</f>
        <v/>
      </c>
      <c r="C5349" s="12" t="str">
        <f aca="false">IF($A5349="","",원본명단!$B5348)</f>
        <v/>
      </c>
      <c r="D5349" s="12" t="str">
        <f aca="false">IF($A5349="","",원본명단!$D5348)</f>
        <v/>
      </c>
      <c r="E5349" s="11" t="str">
        <f aca="false">IF($A5349="","",IF(원본명단!$H5348="",0,COUNTIF(원본명단!$H$3:$H$6002,원본명단!$H5348)))</f>
        <v/>
      </c>
      <c r="F5349" s="11" t="str">
        <f aca="false">IF($A5349="","",IF(원본명단!$I5348="",0,COUNTIF(원본명단!$I$3:$I$6002,원본명단!$I5348)))</f>
        <v/>
      </c>
      <c r="G5349" s="11" t="str">
        <f aca="false">IF($A5349="","",IF(원본명단!$K5348="",0,COUNTIF(원본명단!$K$3:$K$6002,원본명단!$K5348)))</f>
        <v/>
      </c>
      <c r="H5349" s="11" t="str">
        <f aca="false">IF($A5349="","",IF(MAX($E5349,$F5349,$G5349)&gt;1,"중복","-"))</f>
        <v/>
      </c>
      <c r="I5349" s="11" t="str">
        <f aca="false">IF($A5349="","",IF($H5349="-","-",IF(AND(IF(원본명단!$H5348="",TRUE(),COUNTIF(원본명단!$H$3:$H5348,원본명단!$H5348)=1),IF(원본명단!$I5348="",TRUE(),COUNTIF(원본명단!$I$3:$I5348,원본명단!$I5348)=1),IF(원본명단!$K5348="",TRUE(),COUNTIF(원본명단!$K$3:$K5348,원본명단!$K5348)=1)),"첫 건","중복 건")))</f>
        <v/>
      </c>
      <c r="J5349" s="11" t="str">
        <f aca="false">IF($A5349="","",IF($H5349="-","유지",IF($I5349="첫 건","유지","확인 필요")))</f>
        <v/>
      </c>
    </row>
    <row r="5350" customFormat="false" ht="15" hidden="false" customHeight="true" outlineLevel="0" collapsed="false">
      <c r="A5350" s="11" t="str">
        <f aca="false">IF(원본명단!$A5349="","",5347)</f>
        <v/>
      </c>
      <c r="B5350" s="12" t="str">
        <f aca="false">IF($A5350="","",원본명단!$A5349)</f>
        <v/>
      </c>
      <c r="C5350" s="12" t="str">
        <f aca="false">IF($A5350="","",원본명단!$B5349)</f>
        <v/>
      </c>
      <c r="D5350" s="12" t="str">
        <f aca="false">IF($A5350="","",원본명단!$D5349)</f>
        <v/>
      </c>
      <c r="E5350" s="11" t="str">
        <f aca="false">IF($A5350="","",IF(원본명단!$H5349="",0,COUNTIF(원본명단!$H$3:$H$6002,원본명단!$H5349)))</f>
        <v/>
      </c>
      <c r="F5350" s="11" t="str">
        <f aca="false">IF($A5350="","",IF(원본명단!$I5349="",0,COUNTIF(원본명단!$I$3:$I$6002,원본명단!$I5349)))</f>
        <v/>
      </c>
      <c r="G5350" s="11" t="str">
        <f aca="false">IF($A5350="","",IF(원본명단!$K5349="",0,COUNTIF(원본명단!$K$3:$K$6002,원본명단!$K5349)))</f>
        <v/>
      </c>
      <c r="H5350" s="11" t="str">
        <f aca="false">IF($A5350="","",IF(MAX($E5350,$F5350,$G5350)&gt;1,"중복","-"))</f>
        <v/>
      </c>
      <c r="I5350" s="11" t="str">
        <f aca="false">IF($A5350="","",IF($H5350="-","-",IF(AND(IF(원본명단!$H5349="",TRUE(),COUNTIF(원본명단!$H$3:$H5349,원본명단!$H5349)=1),IF(원본명단!$I5349="",TRUE(),COUNTIF(원본명단!$I$3:$I5349,원본명단!$I5349)=1),IF(원본명단!$K5349="",TRUE(),COUNTIF(원본명단!$K$3:$K5349,원본명단!$K5349)=1)),"첫 건","중복 건")))</f>
        <v/>
      </c>
      <c r="J5350" s="11" t="str">
        <f aca="false">IF($A5350="","",IF($H5350="-","유지",IF($I5350="첫 건","유지","확인 필요")))</f>
        <v/>
      </c>
    </row>
    <row r="5351" customFormat="false" ht="15" hidden="false" customHeight="true" outlineLevel="0" collapsed="false">
      <c r="A5351" s="11" t="str">
        <f aca="false">IF(원본명단!$A5350="","",5348)</f>
        <v/>
      </c>
      <c r="B5351" s="12" t="str">
        <f aca="false">IF($A5351="","",원본명단!$A5350)</f>
        <v/>
      </c>
      <c r="C5351" s="12" t="str">
        <f aca="false">IF($A5351="","",원본명단!$B5350)</f>
        <v/>
      </c>
      <c r="D5351" s="12" t="str">
        <f aca="false">IF($A5351="","",원본명단!$D5350)</f>
        <v/>
      </c>
      <c r="E5351" s="11" t="str">
        <f aca="false">IF($A5351="","",IF(원본명단!$H5350="",0,COUNTIF(원본명단!$H$3:$H$6002,원본명단!$H5350)))</f>
        <v/>
      </c>
      <c r="F5351" s="11" t="str">
        <f aca="false">IF($A5351="","",IF(원본명단!$I5350="",0,COUNTIF(원본명단!$I$3:$I$6002,원본명단!$I5350)))</f>
        <v/>
      </c>
      <c r="G5351" s="11" t="str">
        <f aca="false">IF($A5351="","",IF(원본명단!$K5350="",0,COUNTIF(원본명단!$K$3:$K$6002,원본명단!$K5350)))</f>
        <v/>
      </c>
      <c r="H5351" s="11" t="str">
        <f aca="false">IF($A5351="","",IF(MAX($E5351,$F5351,$G5351)&gt;1,"중복","-"))</f>
        <v/>
      </c>
      <c r="I5351" s="11" t="str">
        <f aca="false">IF($A5351="","",IF($H5351="-","-",IF(AND(IF(원본명단!$H5350="",TRUE(),COUNTIF(원본명단!$H$3:$H5350,원본명단!$H5350)=1),IF(원본명단!$I5350="",TRUE(),COUNTIF(원본명단!$I$3:$I5350,원본명단!$I5350)=1),IF(원본명단!$K5350="",TRUE(),COUNTIF(원본명단!$K$3:$K5350,원본명단!$K5350)=1)),"첫 건","중복 건")))</f>
        <v/>
      </c>
      <c r="J5351" s="11" t="str">
        <f aca="false">IF($A5351="","",IF($H5351="-","유지",IF($I5351="첫 건","유지","확인 필요")))</f>
        <v/>
      </c>
    </row>
    <row r="5352" customFormat="false" ht="15" hidden="false" customHeight="true" outlineLevel="0" collapsed="false">
      <c r="A5352" s="11" t="str">
        <f aca="false">IF(원본명단!$A5351="","",5349)</f>
        <v/>
      </c>
      <c r="B5352" s="12" t="str">
        <f aca="false">IF($A5352="","",원본명단!$A5351)</f>
        <v/>
      </c>
      <c r="C5352" s="12" t="str">
        <f aca="false">IF($A5352="","",원본명단!$B5351)</f>
        <v/>
      </c>
      <c r="D5352" s="12" t="str">
        <f aca="false">IF($A5352="","",원본명단!$D5351)</f>
        <v/>
      </c>
      <c r="E5352" s="11" t="str">
        <f aca="false">IF($A5352="","",IF(원본명단!$H5351="",0,COUNTIF(원본명단!$H$3:$H$6002,원본명단!$H5351)))</f>
        <v/>
      </c>
      <c r="F5352" s="11" t="str">
        <f aca="false">IF($A5352="","",IF(원본명단!$I5351="",0,COUNTIF(원본명단!$I$3:$I$6002,원본명단!$I5351)))</f>
        <v/>
      </c>
      <c r="G5352" s="11" t="str">
        <f aca="false">IF($A5352="","",IF(원본명단!$K5351="",0,COUNTIF(원본명단!$K$3:$K$6002,원본명단!$K5351)))</f>
        <v/>
      </c>
      <c r="H5352" s="11" t="str">
        <f aca="false">IF($A5352="","",IF(MAX($E5352,$F5352,$G5352)&gt;1,"중복","-"))</f>
        <v/>
      </c>
      <c r="I5352" s="11" t="str">
        <f aca="false">IF($A5352="","",IF($H5352="-","-",IF(AND(IF(원본명단!$H5351="",TRUE(),COUNTIF(원본명단!$H$3:$H5351,원본명단!$H5351)=1),IF(원본명단!$I5351="",TRUE(),COUNTIF(원본명단!$I$3:$I5351,원본명단!$I5351)=1),IF(원본명단!$K5351="",TRUE(),COUNTIF(원본명단!$K$3:$K5351,원본명단!$K5351)=1)),"첫 건","중복 건")))</f>
        <v/>
      </c>
      <c r="J5352" s="11" t="str">
        <f aca="false">IF($A5352="","",IF($H5352="-","유지",IF($I5352="첫 건","유지","확인 필요")))</f>
        <v/>
      </c>
    </row>
    <row r="5353" customFormat="false" ht="15" hidden="false" customHeight="true" outlineLevel="0" collapsed="false">
      <c r="A5353" s="11" t="str">
        <f aca="false">IF(원본명단!$A5352="","",5350)</f>
        <v/>
      </c>
      <c r="B5353" s="12" t="str">
        <f aca="false">IF($A5353="","",원본명단!$A5352)</f>
        <v/>
      </c>
      <c r="C5353" s="12" t="str">
        <f aca="false">IF($A5353="","",원본명단!$B5352)</f>
        <v/>
      </c>
      <c r="D5353" s="12" t="str">
        <f aca="false">IF($A5353="","",원본명단!$D5352)</f>
        <v/>
      </c>
      <c r="E5353" s="11" t="str">
        <f aca="false">IF($A5353="","",IF(원본명단!$H5352="",0,COUNTIF(원본명단!$H$3:$H$6002,원본명단!$H5352)))</f>
        <v/>
      </c>
      <c r="F5353" s="11" t="str">
        <f aca="false">IF($A5353="","",IF(원본명단!$I5352="",0,COUNTIF(원본명단!$I$3:$I$6002,원본명단!$I5352)))</f>
        <v/>
      </c>
      <c r="G5353" s="11" t="str">
        <f aca="false">IF($A5353="","",IF(원본명단!$K5352="",0,COUNTIF(원본명단!$K$3:$K$6002,원본명단!$K5352)))</f>
        <v/>
      </c>
      <c r="H5353" s="11" t="str">
        <f aca="false">IF($A5353="","",IF(MAX($E5353,$F5353,$G5353)&gt;1,"중복","-"))</f>
        <v/>
      </c>
      <c r="I5353" s="11" t="str">
        <f aca="false">IF($A5353="","",IF($H5353="-","-",IF(AND(IF(원본명단!$H5352="",TRUE(),COUNTIF(원본명단!$H$3:$H5352,원본명단!$H5352)=1),IF(원본명단!$I5352="",TRUE(),COUNTIF(원본명단!$I$3:$I5352,원본명단!$I5352)=1),IF(원본명단!$K5352="",TRUE(),COUNTIF(원본명단!$K$3:$K5352,원본명단!$K5352)=1)),"첫 건","중복 건")))</f>
        <v/>
      </c>
      <c r="J5353" s="11" t="str">
        <f aca="false">IF($A5353="","",IF($H5353="-","유지",IF($I5353="첫 건","유지","확인 필요")))</f>
        <v/>
      </c>
    </row>
    <row r="5354" customFormat="false" ht="15" hidden="false" customHeight="true" outlineLevel="0" collapsed="false">
      <c r="A5354" s="11" t="str">
        <f aca="false">IF(원본명단!$A5353="","",5351)</f>
        <v/>
      </c>
      <c r="B5354" s="12" t="str">
        <f aca="false">IF($A5354="","",원본명단!$A5353)</f>
        <v/>
      </c>
      <c r="C5354" s="12" t="str">
        <f aca="false">IF($A5354="","",원본명단!$B5353)</f>
        <v/>
      </c>
      <c r="D5354" s="12" t="str">
        <f aca="false">IF($A5354="","",원본명단!$D5353)</f>
        <v/>
      </c>
      <c r="E5354" s="11" t="str">
        <f aca="false">IF($A5354="","",IF(원본명단!$H5353="",0,COUNTIF(원본명단!$H$3:$H$6002,원본명단!$H5353)))</f>
        <v/>
      </c>
      <c r="F5354" s="11" t="str">
        <f aca="false">IF($A5354="","",IF(원본명단!$I5353="",0,COUNTIF(원본명단!$I$3:$I$6002,원본명단!$I5353)))</f>
        <v/>
      </c>
      <c r="G5354" s="11" t="str">
        <f aca="false">IF($A5354="","",IF(원본명단!$K5353="",0,COUNTIF(원본명단!$K$3:$K$6002,원본명단!$K5353)))</f>
        <v/>
      </c>
      <c r="H5354" s="11" t="str">
        <f aca="false">IF($A5354="","",IF(MAX($E5354,$F5354,$G5354)&gt;1,"중복","-"))</f>
        <v/>
      </c>
      <c r="I5354" s="11" t="str">
        <f aca="false">IF($A5354="","",IF($H5354="-","-",IF(AND(IF(원본명단!$H5353="",TRUE(),COUNTIF(원본명단!$H$3:$H5353,원본명단!$H5353)=1),IF(원본명단!$I5353="",TRUE(),COUNTIF(원본명단!$I$3:$I5353,원본명단!$I5353)=1),IF(원본명단!$K5353="",TRUE(),COUNTIF(원본명단!$K$3:$K5353,원본명단!$K5353)=1)),"첫 건","중복 건")))</f>
        <v/>
      </c>
      <c r="J5354" s="11" t="str">
        <f aca="false">IF($A5354="","",IF($H5354="-","유지",IF($I5354="첫 건","유지","확인 필요")))</f>
        <v/>
      </c>
    </row>
    <row r="5355" customFormat="false" ht="15" hidden="false" customHeight="true" outlineLevel="0" collapsed="false">
      <c r="A5355" s="11" t="str">
        <f aca="false">IF(원본명단!$A5354="","",5352)</f>
        <v/>
      </c>
      <c r="B5355" s="12" t="str">
        <f aca="false">IF($A5355="","",원본명단!$A5354)</f>
        <v/>
      </c>
      <c r="C5355" s="12" t="str">
        <f aca="false">IF($A5355="","",원본명단!$B5354)</f>
        <v/>
      </c>
      <c r="D5355" s="12" t="str">
        <f aca="false">IF($A5355="","",원본명단!$D5354)</f>
        <v/>
      </c>
      <c r="E5355" s="11" t="str">
        <f aca="false">IF($A5355="","",IF(원본명단!$H5354="",0,COUNTIF(원본명단!$H$3:$H$6002,원본명단!$H5354)))</f>
        <v/>
      </c>
      <c r="F5355" s="11" t="str">
        <f aca="false">IF($A5355="","",IF(원본명단!$I5354="",0,COUNTIF(원본명단!$I$3:$I$6002,원본명단!$I5354)))</f>
        <v/>
      </c>
      <c r="G5355" s="11" t="str">
        <f aca="false">IF($A5355="","",IF(원본명단!$K5354="",0,COUNTIF(원본명단!$K$3:$K$6002,원본명단!$K5354)))</f>
        <v/>
      </c>
      <c r="H5355" s="11" t="str">
        <f aca="false">IF($A5355="","",IF(MAX($E5355,$F5355,$G5355)&gt;1,"중복","-"))</f>
        <v/>
      </c>
      <c r="I5355" s="11" t="str">
        <f aca="false">IF($A5355="","",IF($H5355="-","-",IF(AND(IF(원본명단!$H5354="",TRUE(),COUNTIF(원본명단!$H$3:$H5354,원본명단!$H5354)=1),IF(원본명단!$I5354="",TRUE(),COUNTIF(원본명단!$I$3:$I5354,원본명단!$I5354)=1),IF(원본명단!$K5354="",TRUE(),COUNTIF(원본명단!$K$3:$K5354,원본명단!$K5354)=1)),"첫 건","중복 건")))</f>
        <v/>
      </c>
      <c r="J5355" s="11" t="str">
        <f aca="false">IF($A5355="","",IF($H5355="-","유지",IF($I5355="첫 건","유지","확인 필요")))</f>
        <v/>
      </c>
    </row>
    <row r="5356" customFormat="false" ht="15" hidden="false" customHeight="true" outlineLevel="0" collapsed="false">
      <c r="A5356" s="11" t="str">
        <f aca="false">IF(원본명단!$A5355="","",5353)</f>
        <v/>
      </c>
      <c r="B5356" s="12" t="str">
        <f aca="false">IF($A5356="","",원본명단!$A5355)</f>
        <v/>
      </c>
      <c r="C5356" s="12" t="str">
        <f aca="false">IF($A5356="","",원본명단!$B5355)</f>
        <v/>
      </c>
      <c r="D5356" s="12" t="str">
        <f aca="false">IF($A5356="","",원본명단!$D5355)</f>
        <v/>
      </c>
      <c r="E5356" s="11" t="str">
        <f aca="false">IF($A5356="","",IF(원본명단!$H5355="",0,COUNTIF(원본명단!$H$3:$H$6002,원본명단!$H5355)))</f>
        <v/>
      </c>
      <c r="F5356" s="11" t="str">
        <f aca="false">IF($A5356="","",IF(원본명단!$I5355="",0,COUNTIF(원본명단!$I$3:$I$6002,원본명단!$I5355)))</f>
        <v/>
      </c>
      <c r="G5356" s="11" t="str">
        <f aca="false">IF($A5356="","",IF(원본명단!$K5355="",0,COUNTIF(원본명단!$K$3:$K$6002,원본명단!$K5355)))</f>
        <v/>
      </c>
      <c r="H5356" s="11" t="str">
        <f aca="false">IF($A5356="","",IF(MAX($E5356,$F5356,$G5356)&gt;1,"중복","-"))</f>
        <v/>
      </c>
      <c r="I5356" s="11" t="str">
        <f aca="false">IF($A5356="","",IF($H5356="-","-",IF(AND(IF(원본명단!$H5355="",TRUE(),COUNTIF(원본명단!$H$3:$H5355,원본명단!$H5355)=1),IF(원본명단!$I5355="",TRUE(),COUNTIF(원본명단!$I$3:$I5355,원본명단!$I5355)=1),IF(원본명단!$K5355="",TRUE(),COUNTIF(원본명단!$K$3:$K5355,원본명단!$K5355)=1)),"첫 건","중복 건")))</f>
        <v/>
      </c>
      <c r="J5356" s="11" t="str">
        <f aca="false">IF($A5356="","",IF($H5356="-","유지",IF($I5356="첫 건","유지","확인 필요")))</f>
        <v/>
      </c>
    </row>
    <row r="5357" customFormat="false" ht="15" hidden="false" customHeight="true" outlineLevel="0" collapsed="false">
      <c r="A5357" s="11" t="str">
        <f aca="false">IF(원본명단!$A5356="","",5354)</f>
        <v/>
      </c>
      <c r="B5357" s="12" t="str">
        <f aca="false">IF($A5357="","",원본명단!$A5356)</f>
        <v/>
      </c>
      <c r="C5357" s="12" t="str">
        <f aca="false">IF($A5357="","",원본명단!$B5356)</f>
        <v/>
      </c>
      <c r="D5357" s="12" t="str">
        <f aca="false">IF($A5357="","",원본명단!$D5356)</f>
        <v/>
      </c>
      <c r="E5357" s="11" t="str">
        <f aca="false">IF($A5357="","",IF(원본명단!$H5356="",0,COUNTIF(원본명단!$H$3:$H$6002,원본명단!$H5356)))</f>
        <v/>
      </c>
      <c r="F5357" s="11" t="str">
        <f aca="false">IF($A5357="","",IF(원본명단!$I5356="",0,COUNTIF(원본명단!$I$3:$I$6002,원본명단!$I5356)))</f>
        <v/>
      </c>
      <c r="G5357" s="11" t="str">
        <f aca="false">IF($A5357="","",IF(원본명단!$K5356="",0,COUNTIF(원본명단!$K$3:$K$6002,원본명단!$K5356)))</f>
        <v/>
      </c>
      <c r="H5357" s="11" t="str">
        <f aca="false">IF($A5357="","",IF(MAX($E5357,$F5357,$G5357)&gt;1,"중복","-"))</f>
        <v/>
      </c>
      <c r="I5357" s="11" t="str">
        <f aca="false">IF($A5357="","",IF($H5357="-","-",IF(AND(IF(원본명단!$H5356="",TRUE(),COUNTIF(원본명단!$H$3:$H5356,원본명단!$H5356)=1),IF(원본명단!$I5356="",TRUE(),COUNTIF(원본명단!$I$3:$I5356,원본명단!$I5356)=1),IF(원본명단!$K5356="",TRUE(),COUNTIF(원본명단!$K$3:$K5356,원본명단!$K5356)=1)),"첫 건","중복 건")))</f>
        <v/>
      </c>
      <c r="J5357" s="11" t="str">
        <f aca="false">IF($A5357="","",IF($H5357="-","유지",IF($I5357="첫 건","유지","확인 필요")))</f>
        <v/>
      </c>
    </row>
    <row r="5358" customFormat="false" ht="15" hidden="false" customHeight="true" outlineLevel="0" collapsed="false">
      <c r="A5358" s="11" t="str">
        <f aca="false">IF(원본명단!$A5357="","",5355)</f>
        <v/>
      </c>
      <c r="B5358" s="12" t="str">
        <f aca="false">IF($A5358="","",원본명단!$A5357)</f>
        <v/>
      </c>
      <c r="C5358" s="12" t="str">
        <f aca="false">IF($A5358="","",원본명단!$B5357)</f>
        <v/>
      </c>
      <c r="D5358" s="12" t="str">
        <f aca="false">IF($A5358="","",원본명단!$D5357)</f>
        <v/>
      </c>
      <c r="E5358" s="11" t="str">
        <f aca="false">IF($A5358="","",IF(원본명단!$H5357="",0,COUNTIF(원본명단!$H$3:$H$6002,원본명단!$H5357)))</f>
        <v/>
      </c>
      <c r="F5358" s="11" t="str">
        <f aca="false">IF($A5358="","",IF(원본명단!$I5357="",0,COUNTIF(원본명단!$I$3:$I$6002,원본명단!$I5357)))</f>
        <v/>
      </c>
      <c r="G5358" s="11" t="str">
        <f aca="false">IF($A5358="","",IF(원본명단!$K5357="",0,COUNTIF(원본명단!$K$3:$K$6002,원본명단!$K5357)))</f>
        <v/>
      </c>
      <c r="H5358" s="11" t="str">
        <f aca="false">IF($A5358="","",IF(MAX($E5358,$F5358,$G5358)&gt;1,"중복","-"))</f>
        <v/>
      </c>
      <c r="I5358" s="11" t="str">
        <f aca="false">IF($A5358="","",IF($H5358="-","-",IF(AND(IF(원본명단!$H5357="",TRUE(),COUNTIF(원본명단!$H$3:$H5357,원본명단!$H5357)=1),IF(원본명단!$I5357="",TRUE(),COUNTIF(원본명단!$I$3:$I5357,원본명단!$I5357)=1),IF(원본명단!$K5357="",TRUE(),COUNTIF(원본명단!$K$3:$K5357,원본명단!$K5357)=1)),"첫 건","중복 건")))</f>
        <v/>
      </c>
      <c r="J5358" s="11" t="str">
        <f aca="false">IF($A5358="","",IF($H5358="-","유지",IF($I5358="첫 건","유지","확인 필요")))</f>
        <v/>
      </c>
    </row>
    <row r="5359" customFormat="false" ht="15" hidden="false" customHeight="true" outlineLevel="0" collapsed="false">
      <c r="A5359" s="11" t="str">
        <f aca="false">IF(원본명단!$A5358="","",5356)</f>
        <v/>
      </c>
      <c r="B5359" s="12" t="str">
        <f aca="false">IF($A5359="","",원본명단!$A5358)</f>
        <v/>
      </c>
      <c r="C5359" s="12" t="str">
        <f aca="false">IF($A5359="","",원본명단!$B5358)</f>
        <v/>
      </c>
      <c r="D5359" s="12" t="str">
        <f aca="false">IF($A5359="","",원본명단!$D5358)</f>
        <v/>
      </c>
      <c r="E5359" s="11" t="str">
        <f aca="false">IF($A5359="","",IF(원본명단!$H5358="",0,COUNTIF(원본명단!$H$3:$H$6002,원본명단!$H5358)))</f>
        <v/>
      </c>
      <c r="F5359" s="11" t="str">
        <f aca="false">IF($A5359="","",IF(원본명단!$I5358="",0,COUNTIF(원본명단!$I$3:$I$6002,원본명단!$I5358)))</f>
        <v/>
      </c>
      <c r="G5359" s="11" t="str">
        <f aca="false">IF($A5359="","",IF(원본명단!$K5358="",0,COUNTIF(원본명단!$K$3:$K$6002,원본명단!$K5358)))</f>
        <v/>
      </c>
      <c r="H5359" s="11" t="str">
        <f aca="false">IF($A5359="","",IF(MAX($E5359,$F5359,$G5359)&gt;1,"중복","-"))</f>
        <v/>
      </c>
      <c r="I5359" s="11" t="str">
        <f aca="false">IF($A5359="","",IF($H5359="-","-",IF(AND(IF(원본명단!$H5358="",TRUE(),COUNTIF(원본명단!$H$3:$H5358,원본명단!$H5358)=1),IF(원본명단!$I5358="",TRUE(),COUNTIF(원본명단!$I$3:$I5358,원본명단!$I5358)=1),IF(원본명단!$K5358="",TRUE(),COUNTIF(원본명단!$K$3:$K5358,원본명단!$K5358)=1)),"첫 건","중복 건")))</f>
        <v/>
      </c>
      <c r="J5359" s="11" t="str">
        <f aca="false">IF($A5359="","",IF($H5359="-","유지",IF($I5359="첫 건","유지","확인 필요")))</f>
        <v/>
      </c>
    </row>
    <row r="5360" customFormat="false" ht="15" hidden="false" customHeight="true" outlineLevel="0" collapsed="false">
      <c r="A5360" s="11" t="str">
        <f aca="false">IF(원본명단!$A5359="","",5357)</f>
        <v/>
      </c>
      <c r="B5360" s="12" t="str">
        <f aca="false">IF($A5360="","",원본명단!$A5359)</f>
        <v/>
      </c>
      <c r="C5360" s="12" t="str">
        <f aca="false">IF($A5360="","",원본명단!$B5359)</f>
        <v/>
      </c>
      <c r="D5360" s="12" t="str">
        <f aca="false">IF($A5360="","",원본명단!$D5359)</f>
        <v/>
      </c>
      <c r="E5360" s="11" t="str">
        <f aca="false">IF($A5360="","",IF(원본명단!$H5359="",0,COUNTIF(원본명단!$H$3:$H$6002,원본명단!$H5359)))</f>
        <v/>
      </c>
      <c r="F5360" s="11" t="str">
        <f aca="false">IF($A5360="","",IF(원본명단!$I5359="",0,COUNTIF(원본명단!$I$3:$I$6002,원본명단!$I5359)))</f>
        <v/>
      </c>
      <c r="G5360" s="11" t="str">
        <f aca="false">IF($A5360="","",IF(원본명단!$K5359="",0,COUNTIF(원본명단!$K$3:$K$6002,원본명단!$K5359)))</f>
        <v/>
      </c>
      <c r="H5360" s="11" t="str">
        <f aca="false">IF($A5360="","",IF(MAX($E5360,$F5360,$G5360)&gt;1,"중복","-"))</f>
        <v/>
      </c>
      <c r="I5360" s="11" t="str">
        <f aca="false">IF($A5360="","",IF($H5360="-","-",IF(AND(IF(원본명단!$H5359="",TRUE(),COUNTIF(원본명단!$H$3:$H5359,원본명단!$H5359)=1),IF(원본명단!$I5359="",TRUE(),COUNTIF(원본명단!$I$3:$I5359,원본명단!$I5359)=1),IF(원본명단!$K5359="",TRUE(),COUNTIF(원본명단!$K$3:$K5359,원본명단!$K5359)=1)),"첫 건","중복 건")))</f>
        <v/>
      </c>
      <c r="J5360" s="11" t="str">
        <f aca="false">IF($A5360="","",IF($H5360="-","유지",IF($I5360="첫 건","유지","확인 필요")))</f>
        <v/>
      </c>
    </row>
    <row r="5361" customFormat="false" ht="15" hidden="false" customHeight="true" outlineLevel="0" collapsed="false">
      <c r="A5361" s="11" t="str">
        <f aca="false">IF(원본명단!$A5360="","",5358)</f>
        <v/>
      </c>
      <c r="B5361" s="12" t="str">
        <f aca="false">IF($A5361="","",원본명단!$A5360)</f>
        <v/>
      </c>
      <c r="C5361" s="12" t="str">
        <f aca="false">IF($A5361="","",원본명단!$B5360)</f>
        <v/>
      </c>
      <c r="D5361" s="12" t="str">
        <f aca="false">IF($A5361="","",원본명단!$D5360)</f>
        <v/>
      </c>
      <c r="E5361" s="11" t="str">
        <f aca="false">IF($A5361="","",IF(원본명단!$H5360="",0,COUNTIF(원본명단!$H$3:$H$6002,원본명단!$H5360)))</f>
        <v/>
      </c>
      <c r="F5361" s="11" t="str">
        <f aca="false">IF($A5361="","",IF(원본명단!$I5360="",0,COUNTIF(원본명단!$I$3:$I$6002,원본명단!$I5360)))</f>
        <v/>
      </c>
      <c r="G5361" s="11" t="str">
        <f aca="false">IF($A5361="","",IF(원본명단!$K5360="",0,COUNTIF(원본명단!$K$3:$K$6002,원본명단!$K5360)))</f>
        <v/>
      </c>
      <c r="H5361" s="11" t="str">
        <f aca="false">IF($A5361="","",IF(MAX($E5361,$F5361,$G5361)&gt;1,"중복","-"))</f>
        <v/>
      </c>
      <c r="I5361" s="11" t="str">
        <f aca="false">IF($A5361="","",IF($H5361="-","-",IF(AND(IF(원본명단!$H5360="",TRUE(),COUNTIF(원본명단!$H$3:$H5360,원본명단!$H5360)=1),IF(원본명단!$I5360="",TRUE(),COUNTIF(원본명단!$I$3:$I5360,원본명단!$I5360)=1),IF(원본명단!$K5360="",TRUE(),COUNTIF(원본명단!$K$3:$K5360,원본명단!$K5360)=1)),"첫 건","중복 건")))</f>
        <v/>
      </c>
      <c r="J5361" s="11" t="str">
        <f aca="false">IF($A5361="","",IF($H5361="-","유지",IF($I5361="첫 건","유지","확인 필요")))</f>
        <v/>
      </c>
    </row>
    <row r="5362" customFormat="false" ht="15" hidden="false" customHeight="true" outlineLevel="0" collapsed="false">
      <c r="A5362" s="11" t="str">
        <f aca="false">IF(원본명단!$A5361="","",5359)</f>
        <v/>
      </c>
      <c r="B5362" s="12" t="str">
        <f aca="false">IF($A5362="","",원본명단!$A5361)</f>
        <v/>
      </c>
      <c r="C5362" s="12" t="str">
        <f aca="false">IF($A5362="","",원본명단!$B5361)</f>
        <v/>
      </c>
      <c r="D5362" s="12" t="str">
        <f aca="false">IF($A5362="","",원본명단!$D5361)</f>
        <v/>
      </c>
      <c r="E5362" s="11" t="str">
        <f aca="false">IF($A5362="","",IF(원본명단!$H5361="",0,COUNTIF(원본명단!$H$3:$H$6002,원본명단!$H5361)))</f>
        <v/>
      </c>
      <c r="F5362" s="11" t="str">
        <f aca="false">IF($A5362="","",IF(원본명단!$I5361="",0,COUNTIF(원본명단!$I$3:$I$6002,원본명단!$I5361)))</f>
        <v/>
      </c>
      <c r="G5362" s="11" t="str">
        <f aca="false">IF($A5362="","",IF(원본명단!$K5361="",0,COUNTIF(원본명단!$K$3:$K$6002,원본명단!$K5361)))</f>
        <v/>
      </c>
      <c r="H5362" s="11" t="str">
        <f aca="false">IF($A5362="","",IF(MAX($E5362,$F5362,$G5362)&gt;1,"중복","-"))</f>
        <v/>
      </c>
      <c r="I5362" s="11" t="str">
        <f aca="false">IF($A5362="","",IF($H5362="-","-",IF(AND(IF(원본명단!$H5361="",TRUE(),COUNTIF(원본명단!$H$3:$H5361,원본명단!$H5361)=1),IF(원본명단!$I5361="",TRUE(),COUNTIF(원본명단!$I$3:$I5361,원본명단!$I5361)=1),IF(원본명단!$K5361="",TRUE(),COUNTIF(원본명단!$K$3:$K5361,원본명단!$K5361)=1)),"첫 건","중복 건")))</f>
        <v/>
      </c>
      <c r="J5362" s="11" t="str">
        <f aca="false">IF($A5362="","",IF($H5362="-","유지",IF($I5362="첫 건","유지","확인 필요")))</f>
        <v/>
      </c>
    </row>
    <row r="5363" customFormat="false" ht="15" hidden="false" customHeight="true" outlineLevel="0" collapsed="false">
      <c r="A5363" s="11" t="str">
        <f aca="false">IF(원본명단!$A5362="","",5360)</f>
        <v/>
      </c>
      <c r="B5363" s="12" t="str">
        <f aca="false">IF($A5363="","",원본명단!$A5362)</f>
        <v/>
      </c>
      <c r="C5363" s="12" t="str">
        <f aca="false">IF($A5363="","",원본명단!$B5362)</f>
        <v/>
      </c>
      <c r="D5363" s="12" t="str">
        <f aca="false">IF($A5363="","",원본명단!$D5362)</f>
        <v/>
      </c>
      <c r="E5363" s="11" t="str">
        <f aca="false">IF($A5363="","",IF(원본명단!$H5362="",0,COUNTIF(원본명단!$H$3:$H$6002,원본명단!$H5362)))</f>
        <v/>
      </c>
      <c r="F5363" s="11" t="str">
        <f aca="false">IF($A5363="","",IF(원본명단!$I5362="",0,COUNTIF(원본명단!$I$3:$I$6002,원본명단!$I5362)))</f>
        <v/>
      </c>
      <c r="G5363" s="11" t="str">
        <f aca="false">IF($A5363="","",IF(원본명단!$K5362="",0,COUNTIF(원본명단!$K$3:$K$6002,원본명단!$K5362)))</f>
        <v/>
      </c>
      <c r="H5363" s="11" t="str">
        <f aca="false">IF($A5363="","",IF(MAX($E5363,$F5363,$G5363)&gt;1,"중복","-"))</f>
        <v/>
      </c>
      <c r="I5363" s="11" t="str">
        <f aca="false">IF($A5363="","",IF($H5363="-","-",IF(AND(IF(원본명단!$H5362="",TRUE(),COUNTIF(원본명단!$H$3:$H5362,원본명단!$H5362)=1),IF(원본명단!$I5362="",TRUE(),COUNTIF(원본명단!$I$3:$I5362,원본명단!$I5362)=1),IF(원본명단!$K5362="",TRUE(),COUNTIF(원본명단!$K$3:$K5362,원본명단!$K5362)=1)),"첫 건","중복 건")))</f>
        <v/>
      </c>
      <c r="J5363" s="11" t="str">
        <f aca="false">IF($A5363="","",IF($H5363="-","유지",IF($I5363="첫 건","유지","확인 필요")))</f>
        <v/>
      </c>
    </row>
    <row r="5364" customFormat="false" ht="15" hidden="false" customHeight="true" outlineLevel="0" collapsed="false">
      <c r="A5364" s="11" t="str">
        <f aca="false">IF(원본명단!$A5363="","",5361)</f>
        <v/>
      </c>
      <c r="B5364" s="12" t="str">
        <f aca="false">IF($A5364="","",원본명단!$A5363)</f>
        <v/>
      </c>
      <c r="C5364" s="12" t="str">
        <f aca="false">IF($A5364="","",원본명단!$B5363)</f>
        <v/>
      </c>
      <c r="D5364" s="12" t="str">
        <f aca="false">IF($A5364="","",원본명단!$D5363)</f>
        <v/>
      </c>
      <c r="E5364" s="11" t="str">
        <f aca="false">IF($A5364="","",IF(원본명단!$H5363="",0,COUNTIF(원본명단!$H$3:$H$6002,원본명단!$H5363)))</f>
        <v/>
      </c>
      <c r="F5364" s="11" t="str">
        <f aca="false">IF($A5364="","",IF(원본명단!$I5363="",0,COUNTIF(원본명단!$I$3:$I$6002,원본명단!$I5363)))</f>
        <v/>
      </c>
      <c r="G5364" s="11" t="str">
        <f aca="false">IF($A5364="","",IF(원본명단!$K5363="",0,COUNTIF(원본명단!$K$3:$K$6002,원본명단!$K5363)))</f>
        <v/>
      </c>
      <c r="H5364" s="11" t="str">
        <f aca="false">IF($A5364="","",IF(MAX($E5364,$F5364,$G5364)&gt;1,"중복","-"))</f>
        <v/>
      </c>
      <c r="I5364" s="11" t="str">
        <f aca="false">IF($A5364="","",IF($H5364="-","-",IF(AND(IF(원본명단!$H5363="",TRUE(),COUNTIF(원본명단!$H$3:$H5363,원본명단!$H5363)=1),IF(원본명단!$I5363="",TRUE(),COUNTIF(원본명단!$I$3:$I5363,원본명단!$I5363)=1),IF(원본명단!$K5363="",TRUE(),COUNTIF(원본명단!$K$3:$K5363,원본명단!$K5363)=1)),"첫 건","중복 건")))</f>
        <v/>
      </c>
      <c r="J5364" s="11" t="str">
        <f aca="false">IF($A5364="","",IF($H5364="-","유지",IF($I5364="첫 건","유지","확인 필요")))</f>
        <v/>
      </c>
    </row>
    <row r="5365" customFormat="false" ht="15" hidden="false" customHeight="true" outlineLevel="0" collapsed="false">
      <c r="A5365" s="11" t="str">
        <f aca="false">IF(원본명단!$A5364="","",5362)</f>
        <v/>
      </c>
      <c r="B5365" s="12" t="str">
        <f aca="false">IF($A5365="","",원본명단!$A5364)</f>
        <v/>
      </c>
      <c r="C5365" s="12" t="str">
        <f aca="false">IF($A5365="","",원본명단!$B5364)</f>
        <v/>
      </c>
      <c r="D5365" s="12" t="str">
        <f aca="false">IF($A5365="","",원본명단!$D5364)</f>
        <v/>
      </c>
      <c r="E5365" s="11" t="str">
        <f aca="false">IF($A5365="","",IF(원본명단!$H5364="",0,COUNTIF(원본명단!$H$3:$H$6002,원본명단!$H5364)))</f>
        <v/>
      </c>
      <c r="F5365" s="11" t="str">
        <f aca="false">IF($A5365="","",IF(원본명단!$I5364="",0,COUNTIF(원본명단!$I$3:$I$6002,원본명단!$I5364)))</f>
        <v/>
      </c>
      <c r="G5365" s="11" t="str">
        <f aca="false">IF($A5365="","",IF(원본명단!$K5364="",0,COUNTIF(원본명단!$K$3:$K$6002,원본명단!$K5364)))</f>
        <v/>
      </c>
      <c r="H5365" s="11" t="str">
        <f aca="false">IF($A5365="","",IF(MAX($E5365,$F5365,$G5365)&gt;1,"중복","-"))</f>
        <v/>
      </c>
      <c r="I5365" s="11" t="str">
        <f aca="false">IF($A5365="","",IF($H5365="-","-",IF(AND(IF(원본명단!$H5364="",TRUE(),COUNTIF(원본명단!$H$3:$H5364,원본명단!$H5364)=1),IF(원본명단!$I5364="",TRUE(),COUNTIF(원본명단!$I$3:$I5364,원본명단!$I5364)=1),IF(원본명단!$K5364="",TRUE(),COUNTIF(원본명단!$K$3:$K5364,원본명단!$K5364)=1)),"첫 건","중복 건")))</f>
        <v/>
      </c>
      <c r="J5365" s="11" t="str">
        <f aca="false">IF($A5365="","",IF($H5365="-","유지",IF($I5365="첫 건","유지","확인 필요")))</f>
        <v/>
      </c>
    </row>
    <row r="5366" customFormat="false" ht="15" hidden="false" customHeight="true" outlineLevel="0" collapsed="false">
      <c r="A5366" s="11" t="str">
        <f aca="false">IF(원본명단!$A5365="","",5363)</f>
        <v/>
      </c>
      <c r="B5366" s="12" t="str">
        <f aca="false">IF($A5366="","",원본명단!$A5365)</f>
        <v/>
      </c>
      <c r="C5366" s="12" t="str">
        <f aca="false">IF($A5366="","",원본명단!$B5365)</f>
        <v/>
      </c>
      <c r="D5366" s="12" t="str">
        <f aca="false">IF($A5366="","",원본명단!$D5365)</f>
        <v/>
      </c>
      <c r="E5366" s="11" t="str">
        <f aca="false">IF($A5366="","",IF(원본명단!$H5365="",0,COUNTIF(원본명단!$H$3:$H$6002,원본명단!$H5365)))</f>
        <v/>
      </c>
      <c r="F5366" s="11" t="str">
        <f aca="false">IF($A5366="","",IF(원본명단!$I5365="",0,COUNTIF(원본명단!$I$3:$I$6002,원본명단!$I5365)))</f>
        <v/>
      </c>
      <c r="G5366" s="11" t="str">
        <f aca="false">IF($A5366="","",IF(원본명단!$K5365="",0,COUNTIF(원본명단!$K$3:$K$6002,원본명단!$K5365)))</f>
        <v/>
      </c>
      <c r="H5366" s="11" t="str">
        <f aca="false">IF($A5366="","",IF(MAX($E5366,$F5366,$G5366)&gt;1,"중복","-"))</f>
        <v/>
      </c>
      <c r="I5366" s="11" t="str">
        <f aca="false">IF($A5366="","",IF($H5366="-","-",IF(AND(IF(원본명단!$H5365="",TRUE(),COUNTIF(원본명단!$H$3:$H5365,원본명단!$H5365)=1),IF(원본명단!$I5365="",TRUE(),COUNTIF(원본명단!$I$3:$I5365,원본명단!$I5365)=1),IF(원본명단!$K5365="",TRUE(),COUNTIF(원본명단!$K$3:$K5365,원본명단!$K5365)=1)),"첫 건","중복 건")))</f>
        <v/>
      </c>
      <c r="J5366" s="11" t="str">
        <f aca="false">IF($A5366="","",IF($H5366="-","유지",IF($I5366="첫 건","유지","확인 필요")))</f>
        <v/>
      </c>
    </row>
    <row r="5367" customFormat="false" ht="15" hidden="false" customHeight="true" outlineLevel="0" collapsed="false">
      <c r="A5367" s="11" t="str">
        <f aca="false">IF(원본명단!$A5366="","",5364)</f>
        <v/>
      </c>
      <c r="B5367" s="12" t="str">
        <f aca="false">IF($A5367="","",원본명단!$A5366)</f>
        <v/>
      </c>
      <c r="C5367" s="12" t="str">
        <f aca="false">IF($A5367="","",원본명단!$B5366)</f>
        <v/>
      </c>
      <c r="D5367" s="12" t="str">
        <f aca="false">IF($A5367="","",원본명단!$D5366)</f>
        <v/>
      </c>
      <c r="E5367" s="11" t="str">
        <f aca="false">IF($A5367="","",IF(원본명단!$H5366="",0,COUNTIF(원본명단!$H$3:$H$6002,원본명단!$H5366)))</f>
        <v/>
      </c>
      <c r="F5367" s="11" t="str">
        <f aca="false">IF($A5367="","",IF(원본명단!$I5366="",0,COUNTIF(원본명단!$I$3:$I$6002,원본명단!$I5366)))</f>
        <v/>
      </c>
      <c r="G5367" s="11" t="str">
        <f aca="false">IF($A5367="","",IF(원본명단!$K5366="",0,COUNTIF(원본명단!$K$3:$K$6002,원본명단!$K5366)))</f>
        <v/>
      </c>
      <c r="H5367" s="11" t="str">
        <f aca="false">IF($A5367="","",IF(MAX($E5367,$F5367,$G5367)&gt;1,"중복","-"))</f>
        <v/>
      </c>
      <c r="I5367" s="11" t="str">
        <f aca="false">IF($A5367="","",IF($H5367="-","-",IF(AND(IF(원본명단!$H5366="",TRUE(),COUNTIF(원본명단!$H$3:$H5366,원본명단!$H5366)=1),IF(원본명단!$I5366="",TRUE(),COUNTIF(원본명단!$I$3:$I5366,원본명단!$I5366)=1),IF(원본명단!$K5366="",TRUE(),COUNTIF(원본명단!$K$3:$K5366,원본명단!$K5366)=1)),"첫 건","중복 건")))</f>
        <v/>
      </c>
      <c r="J5367" s="11" t="str">
        <f aca="false">IF($A5367="","",IF($H5367="-","유지",IF($I5367="첫 건","유지","확인 필요")))</f>
        <v/>
      </c>
    </row>
    <row r="5368" customFormat="false" ht="15" hidden="false" customHeight="true" outlineLevel="0" collapsed="false">
      <c r="A5368" s="11" t="str">
        <f aca="false">IF(원본명단!$A5367="","",5365)</f>
        <v/>
      </c>
      <c r="B5368" s="12" t="str">
        <f aca="false">IF($A5368="","",원본명단!$A5367)</f>
        <v/>
      </c>
      <c r="C5368" s="12" t="str">
        <f aca="false">IF($A5368="","",원본명단!$B5367)</f>
        <v/>
      </c>
      <c r="D5368" s="12" t="str">
        <f aca="false">IF($A5368="","",원본명단!$D5367)</f>
        <v/>
      </c>
      <c r="E5368" s="11" t="str">
        <f aca="false">IF($A5368="","",IF(원본명단!$H5367="",0,COUNTIF(원본명단!$H$3:$H$6002,원본명단!$H5367)))</f>
        <v/>
      </c>
      <c r="F5368" s="11" t="str">
        <f aca="false">IF($A5368="","",IF(원본명단!$I5367="",0,COUNTIF(원본명단!$I$3:$I$6002,원본명단!$I5367)))</f>
        <v/>
      </c>
      <c r="G5368" s="11" t="str">
        <f aca="false">IF($A5368="","",IF(원본명단!$K5367="",0,COUNTIF(원본명단!$K$3:$K$6002,원본명단!$K5367)))</f>
        <v/>
      </c>
      <c r="H5368" s="11" t="str">
        <f aca="false">IF($A5368="","",IF(MAX($E5368,$F5368,$G5368)&gt;1,"중복","-"))</f>
        <v/>
      </c>
      <c r="I5368" s="11" t="str">
        <f aca="false">IF($A5368="","",IF($H5368="-","-",IF(AND(IF(원본명단!$H5367="",TRUE(),COUNTIF(원본명단!$H$3:$H5367,원본명단!$H5367)=1),IF(원본명단!$I5367="",TRUE(),COUNTIF(원본명단!$I$3:$I5367,원본명단!$I5367)=1),IF(원본명단!$K5367="",TRUE(),COUNTIF(원본명단!$K$3:$K5367,원본명단!$K5367)=1)),"첫 건","중복 건")))</f>
        <v/>
      </c>
      <c r="J5368" s="11" t="str">
        <f aca="false">IF($A5368="","",IF($H5368="-","유지",IF($I5368="첫 건","유지","확인 필요")))</f>
        <v/>
      </c>
    </row>
    <row r="5369" customFormat="false" ht="15" hidden="false" customHeight="true" outlineLevel="0" collapsed="false">
      <c r="A5369" s="11" t="str">
        <f aca="false">IF(원본명단!$A5368="","",5366)</f>
        <v/>
      </c>
      <c r="B5369" s="12" t="str">
        <f aca="false">IF($A5369="","",원본명단!$A5368)</f>
        <v/>
      </c>
      <c r="C5369" s="12" t="str">
        <f aca="false">IF($A5369="","",원본명단!$B5368)</f>
        <v/>
      </c>
      <c r="D5369" s="12" t="str">
        <f aca="false">IF($A5369="","",원본명단!$D5368)</f>
        <v/>
      </c>
      <c r="E5369" s="11" t="str">
        <f aca="false">IF($A5369="","",IF(원본명단!$H5368="",0,COUNTIF(원본명단!$H$3:$H$6002,원본명단!$H5368)))</f>
        <v/>
      </c>
      <c r="F5369" s="11" t="str">
        <f aca="false">IF($A5369="","",IF(원본명단!$I5368="",0,COUNTIF(원본명단!$I$3:$I$6002,원본명단!$I5368)))</f>
        <v/>
      </c>
      <c r="G5369" s="11" t="str">
        <f aca="false">IF($A5369="","",IF(원본명단!$K5368="",0,COUNTIF(원본명단!$K$3:$K$6002,원본명단!$K5368)))</f>
        <v/>
      </c>
      <c r="H5369" s="11" t="str">
        <f aca="false">IF($A5369="","",IF(MAX($E5369,$F5369,$G5369)&gt;1,"중복","-"))</f>
        <v/>
      </c>
      <c r="I5369" s="11" t="str">
        <f aca="false">IF($A5369="","",IF($H5369="-","-",IF(AND(IF(원본명단!$H5368="",TRUE(),COUNTIF(원본명단!$H$3:$H5368,원본명단!$H5368)=1),IF(원본명단!$I5368="",TRUE(),COUNTIF(원본명단!$I$3:$I5368,원본명단!$I5368)=1),IF(원본명단!$K5368="",TRUE(),COUNTIF(원본명단!$K$3:$K5368,원본명단!$K5368)=1)),"첫 건","중복 건")))</f>
        <v/>
      </c>
      <c r="J5369" s="11" t="str">
        <f aca="false">IF($A5369="","",IF($H5369="-","유지",IF($I5369="첫 건","유지","확인 필요")))</f>
        <v/>
      </c>
    </row>
    <row r="5370" customFormat="false" ht="15" hidden="false" customHeight="true" outlineLevel="0" collapsed="false">
      <c r="A5370" s="11" t="str">
        <f aca="false">IF(원본명단!$A5369="","",5367)</f>
        <v/>
      </c>
      <c r="B5370" s="12" t="str">
        <f aca="false">IF($A5370="","",원본명단!$A5369)</f>
        <v/>
      </c>
      <c r="C5370" s="12" t="str">
        <f aca="false">IF($A5370="","",원본명단!$B5369)</f>
        <v/>
      </c>
      <c r="D5370" s="12" t="str">
        <f aca="false">IF($A5370="","",원본명단!$D5369)</f>
        <v/>
      </c>
      <c r="E5370" s="11" t="str">
        <f aca="false">IF($A5370="","",IF(원본명단!$H5369="",0,COUNTIF(원본명단!$H$3:$H$6002,원본명단!$H5369)))</f>
        <v/>
      </c>
      <c r="F5370" s="11" t="str">
        <f aca="false">IF($A5370="","",IF(원본명단!$I5369="",0,COUNTIF(원본명단!$I$3:$I$6002,원본명단!$I5369)))</f>
        <v/>
      </c>
      <c r="G5370" s="11" t="str">
        <f aca="false">IF($A5370="","",IF(원본명단!$K5369="",0,COUNTIF(원본명단!$K$3:$K$6002,원본명단!$K5369)))</f>
        <v/>
      </c>
      <c r="H5370" s="11" t="str">
        <f aca="false">IF($A5370="","",IF(MAX($E5370,$F5370,$G5370)&gt;1,"중복","-"))</f>
        <v/>
      </c>
      <c r="I5370" s="11" t="str">
        <f aca="false">IF($A5370="","",IF($H5370="-","-",IF(AND(IF(원본명단!$H5369="",TRUE(),COUNTIF(원본명단!$H$3:$H5369,원본명단!$H5369)=1),IF(원본명단!$I5369="",TRUE(),COUNTIF(원본명단!$I$3:$I5369,원본명단!$I5369)=1),IF(원본명단!$K5369="",TRUE(),COUNTIF(원본명단!$K$3:$K5369,원본명단!$K5369)=1)),"첫 건","중복 건")))</f>
        <v/>
      </c>
      <c r="J5370" s="11" t="str">
        <f aca="false">IF($A5370="","",IF($H5370="-","유지",IF($I5370="첫 건","유지","확인 필요")))</f>
        <v/>
      </c>
    </row>
    <row r="5371" customFormat="false" ht="15" hidden="false" customHeight="true" outlineLevel="0" collapsed="false">
      <c r="A5371" s="11" t="str">
        <f aca="false">IF(원본명단!$A5370="","",5368)</f>
        <v/>
      </c>
      <c r="B5371" s="12" t="str">
        <f aca="false">IF($A5371="","",원본명단!$A5370)</f>
        <v/>
      </c>
      <c r="C5371" s="12" t="str">
        <f aca="false">IF($A5371="","",원본명단!$B5370)</f>
        <v/>
      </c>
      <c r="D5371" s="12" t="str">
        <f aca="false">IF($A5371="","",원본명단!$D5370)</f>
        <v/>
      </c>
      <c r="E5371" s="11" t="str">
        <f aca="false">IF($A5371="","",IF(원본명단!$H5370="",0,COUNTIF(원본명단!$H$3:$H$6002,원본명단!$H5370)))</f>
        <v/>
      </c>
      <c r="F5371" s="11" t="str">
        <f aca="false">IF($A5371="","",IF(원본명단!$I5370="",0,COUNTIF(원본명단!$I$3:$I$6002,원본명단!$I5370)))</f>
        <v/>
      </c>
      <c r="G5371" s="11" t="str">
        <f aca="false">IF($A5371="","",IF(원본명단!$K5370="",0,COUNTIF(원본명단!$K$3:$K$6002,원본명단!$K5370)))</f>
        <v/>
      </c>
      <c r="H5371" s="11" t="str">
        <f aca="false">IF($A5371="","",IF(MAX($E5371,$F5371,$G5371)&gt;1,"중복","-"))</f>
        <v/>
      </c>
      <c r="I5371" s="11" t="str">
        <f aca="false">IF($A5371="","",IF($H5371="-","-",IF(AND(IF(원본명단!$H5370="",TRUE(),COUNTIF(원본명단!$H$3:$H5370,원본명단!$H5370)=1),IF(원본명단!$I5370="",TRUE(),COUNTIF(원본명단!$I$3:$I5370,원본명단!$I5370)=1),IF(원본명단!$K5370="",TRUE(),COUNTIF(원본명단!$K$3:$K5370,원본명단!$K5370)=1)),"첫 건","중복 건")))</f>
        <v/>
      </c>
      <c r="J5371" s="11" t="str">
        <f aca="false">IF($A5371="","",IF($H5371="-","유지",IF($I5371="첫 건","유지","확인 필요")))</f>
        <v/>
      </c>
    </row>
    <row r="5372" customFormat="false" ht="15" hidden="false" customHeight="true" outlineLevel="0" collapsed="false">
      <c r="A5372" s="11" t="str">
        <f aca="false">IF(원본명단!$A5371="","",5369)</f>
        <v/>
      </c>
      <c r="B5372" s="12" t="str">
        <f aca="false">IF($A5372="","",원본명단!$A5371)</f>
        <v/>
      </c>
      <c r="C5372" s="12" t="str">
        <f aca="false">IF($A5372="","",원본명단!$B5371)</f>
        <v/>
      </c>
      <c r="D5372" s="12" t="str">
        <f aca="false">IF($A5372="","",원본명단!$D5371)</f>
        <v/>
      </c>
      <c r="E5372" s="11" t="str">
        <f aca="false">IF($A5372="","",IF(원본명단!$H5371="",0,COUNTIF(원본명단!$H$3:$H$6002,원본명단!$H5371)))</f>
        <v/>
      </c>
      <c r="F5372" s="11" t="str">
        <f aca="false">IF($A5372="","",IF(원본명단!$I5371="",0,COUNTIF(원본명단!$I$3:$I$6002,원본명단!$I5371)))</f>
        <v/>
      </c>
      <c r="G5372" s="11" t="str">
        <f aca="false">IF($A5372="","",IF(원본명단!$K5371="",0,COUNTIF(원본명단!$K$3:$K$6002,원본명단!$K5371)))</f>
        <v/>
      </c>
      <c r="H5372" s="11" t="str">
        <f aca="false">IF($A5372="","",IF(MAX($E5372,$F5372,$G5372)&gt;1,"중복","-"))</f>
        <v/>
      </c>
      <c r="I5372" s="11" t="str">
        <f aca="false">IF($A5372="","",IF($H5372="-","-",IF(AND(IF(원본명단!$H5371="",TRUE(),COUNTIF(원본명단!$H$3:$H5371,원본명단!$H5371)=1),IF(원본명단!$I5371="",TRUE(),COUNTIF(원본명단!$I$3:$I5371,원본명단!$I5371)=1),IF(원본명단!$K5371="",TRUE(),COUNTIF(원본명단!$K$3:$K5371,원본명단!$K5371)=1)),"첫 건","중복 건")))</f>
        <v/>
      </c>
      <c r="J5372" s="11" t="str">
        <f aca="false">IF($A5372="","",IF($H5372="-","유지",IF($I5372="첫 건","유지","확인 필요")))</f>
        <v/>
      </c>
    </row>
    <row r="5373" customFormat="false" ht="15" hidden="false" customHeight="true" outlineLevel="0" collapsed="false">
      <c r="A5373" s="11" t="str">
        <f aca="false">IF(원본명단!$A5372="","",5370)</f>
        <v/>
      </c>
      <c r="B5373" s="12" t="str">
        <f aca="false">IF($A5373="","",원본명단!$A5372)</f>
        <v/>
      </c>
      <c r="C5373" s="12" t="str">
        <f aca="false">IF($A5373="","",원본명단!$B5372)</f>
        <v/>
      </c>
      <c r="D5373" s="12" t="str">
        <f aca="false">IF($A5373="","",원본명단!$D5372)</f>
        <v/>
      </c>
      <c r="E5373" s="11" t="str">
        <f aca="false">IF($A5373="","",IF(원본명단!$H5372="",0,COUNTIF(원본명단!$H$3:$H$6002,원본명단!$H5372)))</f>
        <v/>
      </c>
      <c r="F5373" s="11" t="str">
        <f aca="false">IF($A5373="","",IF(원본명단!$I5372="",0,COUNTIF(원본명단!$I$3:$I$6002,원본명단!$I5372)))</f>
        <v/>
      </c>
      <c r="G5373" s="11" t="str">
        <f aca="false">IF($A5373="","",IF(원본명단!$K5372="",0,COUNTIF(원본명단!$K$3:$K$6002,원본명단!$K5372)))</f>
        <v/>
      </c>
      <c r="H5373" s="11" t="str">
        <f aca="false">IF($A5373="","",IF(MAX($E5373,$F5373,$G5373)&gt;1,"중복","-"))</f>
        <v/>
      </c>
      <c r="I5373" s="11" t="str">
        <f aca="false">IF($A5373="","",IF($H5373="-","-",IF(AND(IF(원본명단!$H5372="",TRUE(),COUNTIF(원본명단!$H$3:$H5372,원본명단!$H5372)=1),IF(원본명단!$I5372="",TRUE(),COUNTIF(원본명단!$I$3:$I5372,원본명단!$I5372)=1),IF(원본명단!$K5372="",TRUE(),COUNTIF(원본명단!$K$3:$K5372,원본명단!$K5372)=1)),"첫 건","중복 건")))</f>
        <v/>
      </c>
      <c r="J5373" s="11" t="str">
        <f aca="false">IF($A5373="","",IF($H5373="-","유지",IF($I5373="첫 건","유지","확인 필요")))</f>
        <v/>
      </c>
    </row>
    <row r="5374" customFormat="false" ht="15" hidden="false" customHeight="true" outlineLevel="0" collapsed="false">
      <c r="A5374" s="11" t="str">
        <f aca="false">IF(원본명단!$A5373="","",5371)</f>
        <v/>
      </c>
      <c r="B5374" s="12" t="str">
        <f aca="false">IF($A5374="","",원본명단!$A5373)</f>
        <v/>
      </c>
      <c r="C5374" s="12" t="str">
        <f aca="false">IF($A5374="","",원본명단!$B5373)</f>
        <v/>
      </c>
      <c r="D5374" s="12" t="str">
        <f aca="false">IF($A5374="","",원본명단!$D5373)</f>
        <v/>
      </c>
      <c r="E5374" s="11" t="str">
        <f aca="false">IF($A5374="","",IF(원본명단!$H5373="",0,COUNTIF(원본명단!$H$3:$H$6002,원본명단!$H5373)))</f>
        <v/>
      </c>
      <c r="F5374" s="11" t="str">
        <f aca="false">IF($A5374="","",IF(원본명단!$I5373="",0,COUNTIF(원본명단!$I$3:$I$6002,원본명단!$I5373)))</f>
        <v/>
      </c>
      <c r="G5374" s="11" t="str">
        <f aca="false">IF($A5374="","",IF(원본명단!$K5373="",0,COUNTIF(원본명단!$K$3:$K$6002,원본명단!$K5373)))</f>
        <v/>
      </c>
      <c r="H5374" s="11" t="str">
        <f aca="false">IF($A5374="","",IF(MAX($E5374,$F5374,$G5374)&gt;1,"중복","-"))</f>
        <v/>
      </c>
      <c r="I5374" s="11" t="str">
        <f aca="false">IF($A5374="","",IF($H5374="-","-",IF(AND(IF(원본명단!$H5373="",TRUE(),COUNTIF(원본명단!$H$3:$H5373,원본명단!$H5373)=1),IF(원본명단!$I5373="",TRUE(),COUNTIF(원본명단!$I$3:$I5373,원본명단!$I5373)=1),IF(원본명단!$K5373="",TRUE(),COUNTIF(원본명단!$K$3:$K5373,원본명단!$K5373)=1)),"첫 건","중복 건")))</f>
        <v/>
      </c>
      <c r="J5374" s="11" t="str">
        <f aca="false">IF($A5374="","",IF($H5374="-","유지",IF($I5374="첫 건","유지","확인 필요")))</f>
        <v/>
      </c>
    </row>
    <row r="5375" customFormat="false" ht="15" hidden="false" customHeight="true" outlineLevel="0" collapsed="false">
      <c r="A5375" s="11" t="str">
        <f aca="false">IF(원본명단!$A5374="","",5372)</f>
        <v/>
      </c>
      <c r="B5375" s="12" t="str">
        <f aca="false">IF($A5375="","",원본명단!$A5374)</f>
        <v/>
      </c>
      <c r="C5375" s="12" t="str">
        <f aca="false">IF($A5375="","",원본명단!$B5374)</f>
        <v/>
      </c>
      <c r="D5375" s="12" t="str">
        <f aca="false">IF($A5375="","",원본명단!$D5374)</f>
        <v/>
      </c>
      <c r="E5375" s="11" t="str">
        <f aca="false">IF($A5375="","",IF(원본명단!$H5374="",0,COUNTIF(원본명단!$H$3:$H$6002,원본명단!$H5374)))</f>
        <v/>
      </c>
      <c r="F5375" s="11" t="str">
        <f aca="false">IF($A5375="","",IF(원본명단!$I5374="",0,COUNTIF(원본명단!$I$3:$I$6002,원본명단!$I5374)))</f>
        <v/>
      </c>
      <c r="G5375" s="11" t="str">
        <f aca="false">IF($A5375="","",IF(원본명단!$K5374="",0,COUNTIF(원본명단!$K$3:$K$6002,원본명단!$K5374)))</f>
        <v/>
      </c>
      <c r="H5375" s="11" t="str">
        <f aca="false">IF($A5375="","",IF(MAX($E5375,$F5375,$G5375)&gt;1,"중복","-"))</f>
        <v/>
      </c>
      <c r="I5375" s="11" t="str">
        <f aca="false">IF($A5375="","",IF($H5375="-","-",IF(AND(IF(원본명단!$H5374="",TRUE(),COUNTIF(원본명단!$H$3:$H5374,원본명단!$H5374)=1),IF(원본명단!$I5374="",TRUE(),COUNTIF(원본명단!$I$3:$I5374,원본명단!$I5374)=1),IF(원본명단!$K5374="",TRUE(),COUNTIF(원본명단!$K$3:$K5374,원본명단!$K5374)=1)),"첫 건","중복 건")))</f>
        <v/>
      </c>
      <c r="J5375" s="11" t="str">
        <f aca="false">IF($A5375="","",IF($H5375="-","유지",IF($I5375="첫 건","유지","확인 필요")))</f>
        <v/>
      </c>
    </row>
    <row r="5376" customFormat="false" ht="15" hidden="false" customHeight="true" outlineLevel="0" collapsed="false">
      <c r="A5376" s="11" t="str">
        <f aca="false">IF(원본명단!$A5375="","",5373)</f>
        <v/>
      </c>
      <c r="B5376" s="12" t="str">
        <f aca="false">IF($A5376="","",원본명단!$A5375)</f>
        <v/>
      </c>
      <c r="C5376" s="12" t="str">
        <f aca="false">IF($A5376="","",원본명단!$B5375)</f>
        <v/>
      </c>
      <c r="D5376" s="12" t="str">
        <f aca="false">IF($A5376="","",원본명단!$D5375)</f>
        <v/>
      </c>
      <c r="E5376" s="11" t="str">
        <f aca="false">IF($A5376="","",IF(원본명단!$H5375="",0,COUNTIF(원본명단!$H$3:$H$6002,원본명단!$H5375)))</f>
        <v/>
      </c>
      <c r="F5376" s="11" t="str">
        <f aca="false">IF($A5376="","",IF(원본명단!$I5375="",0,COUNTIF(원본명단!$I$3:$I$6002,원본명단!$I5375)))</f>
        <v/>
      </c>
      <c r="G5376" s="11" t="str">
        <f aca="false">IF($A5376="","",IF(원본명단!$K5375="",0,COUNTIF(원본명단!$K$3:$K$6002,원본명단!$K5375)))</f>
        <v/>
      </c>
      <c r="H5376" s="11" t="str">
        <f aca="false">IF($A5376="","",IF(MAX($E5376,$F5376,$G5376)&gt;1,"중복","-"))</f>
        <v/>
      </c>
      <c r="I5376" s="11" t="str">
        <f aca="false">IF($A5376="","",IF($H5376="-","-",IF(AND(IF(원본명단!$H5375="",TRUE(),COUNTIF(원본명단!$H$3:$H5375,원본명단!$H5375)=1),IF(원본명단!$I5375="",TRUE(),COUNTIF(원본명단!$I$3:$I5375,원본명단!$I5375)=1),IF(원본명단!$K5375="",TRUE(),COUNTIF(원본명단!$K$3:$K5375,원본명단!$K5375)=1)),"첫 건","중복 건")))</f>
        <v/>
      </c>
      <c r="J5376" s="11" t="str">
        <f aca="false">IF($A5376="","",IF($H5376="-","유지",IF($I5376="첫 건","유지","확인 필요")))</f>
        <v/>
      </c>
    </row>
    <row r="5377" customFormat="false" ht="15" hidden="false" customHeight="true" outlineLevel="0" collapsed="false">
      <c r="A5377" s="11" t="str">
        <f aca="false">IF(원본명단!$A5376="","",5374)</f>
        <v/>
      </c>
      <c r="B5377" s="12" t="str">
        <f aca="false">IF($A5377="","",원본명단!$A5376)</f>
        <v/>
      </c>
      <c r="C5377" s="12" t="str">
        <f aca="false">IF($A5377="","",원본명단!$B5376)</f>
        <v/>
      </c>
      <c r="D5377" s="12" t="str">
        <f aca="false">IF($A5377="","",원본명단!$D5376)</f>
        <v/>
      </c>
      <c r="E5377" s="11" t="str">
        <f aca="false">IF($A5377="","",IF(원본명단!$H5376="",0,COUNTIF(원본명단!$H$3:$H$6002,원본명단!$H5376)))</f>
        <v/>
      </c>
      <c r="F5377" s="11" t="str">
        <f aca="false">IF($A5377="","",IF(원본명단!$I5376="",0,COUNTIF(원본명단!$I$3:$I$6002,원본명단!$I5376)))</f>
        <v/>
      </c>
      <c r="G5377" s="11" t="str">
        <f aca="false">IF($A5377="","",IF(원본명단!$K5376="",0,COUNTIF(원본명단!$K$3:$K$6002,원본명단!$K5376)))</f>
        <v/>
      </c>
      <c r="H5377" s="11" t="str">
        <f aca="false">IF($A5377="","",IF(MAX($E5377,$F5377,$G5377)&gt;1,"중복","-"))</f>
        <v/>
      </c>
      <c r="I5377" s="11" t="str">
        <f aca="false">IF($A5377="","",IF($H5377="-","-",IF(AND(IF(원본명단!$H5376="",TRUE(),COUNTIF(원본명단!$H$3:$H5376,원본명단!$H5376)=1),IF(원본명단!$I5376="",TRUE(),COUNTIF(원본명단!$I$3:$I5376,원본명단!$I5376)=1),IF(원본명단!$K5376="",TRUE(),COUNTIF(원본명단!$K$3:$K5376,원본명단!$K5376)=1)),"첫 건","중복 건")))</f>
        <v/>
      </c>
      <c r="J5377" s="11" t="str">
        <f aca="false">IF($A5377="","",IF($H5377="-","유지",IF($I5377="첫 건","유지","확인 필요")))</f>
        <v/>
      </c>
    </row>
    <row r="5378" customFormat="false" ht="15" hidden="false" customHeight="true" outlineLevel="0" collapsed="false">
      <c r="A5378" s="11" t="str">
        <f aca="false">IF(원본명단!$A5377="","",5375)</f>
        <v/>
      </c>
      <c r="B5378" s="12" t="str">
        <f aca="false">IF($A5378="","",원본명단!$A5377)</f>
        <v/>
      </c>
      <c r="C5378" s="12" t="str">
        <f aca="false">IF($A5378="","",원본명단!$B5377)</f>
        <v/>
      </c>
      <c r="D5378" s="12" t="str">
        <f aca="false">IF($A5378="","",원본명단!$D5377)</f>
        <v/>
      </c>
      <c r="E5378" s="11" t="str">
        <f aca="false">IF($A5378="","",IF(원본명단!$H5377="",0,COUNTIF(원본명단!$H$3:$H$6002,원본명단!$H5377)))</f>
        <v/>
      </c>
      <c r="F5378" s="11" t="str">
        <f aca="false">IF($A5378="","",IF(원본명단!$I5377="",0,COUNTIF(원본명단!$I$3:$I$6002,원본명단!$I5377)))</f>
        <v/>
      </c>
      <c r="G5378" s="11" t="str">
        <f aca="false">IF($A5378="","",IF(원본명단!$K5377="",0,COUNTIF(원본명단!$K$3:$K$6002,원본명단!$K5377)))</f>
        <v/>
      </c>
      <c r="H5378" s="11" t="str">
        <f aca="false">IF($A5378="","",IF(MAX($E5378,$F5378,$G5378)&gt;1,"중복","-"))</f>
        <v/>
      </c>
      <c r="I5378" s="11" t="str">
        <f aca="false">IF($A5378="","",IF($H5378="-","-",IF(AND(IF(원본명단!$H5377="",TRUE(),COUNTIF(원본명단!$H$3:$H5377,원본명단!$H5377)=1),IF(원본명단!$I5377="",TRUE(),COUNTIF(원본명단!$I$3:$I5377,원본명단!$I5377)=1),IF(원본명단!$K5377="",TRUE(),COUNTIF(원본명단!$K$3:$K5377,원본명단!$K5377)=1)),"첫 건","중복 건")))</f>
        <v/>
      </c>
      <c r="J5378" s="11" t="str">
        <f aca="false">IF($A5378="","",IF($H5378="-","유지",IF($I5378="첫 건","유지","확인 필요")))</f>
        <v/>
      </c>
    </row>
    <row r="5379" customFormat="false" ht="15" hidden="false" customHeight="true" outlineLevel="0" collapsed="false">
      <c r="A5379" s="11" t="str">
        <f aca="false">IF(원본명단!$A5378="","",5376)</f>
        <v/>
      </c>
      <c r="B5379" s="12" t="str">
        <f aca="false">IF($A5379="","",원본명단!$A5378)</f>
        <v/>
      </c>
      <c r="C5379" s="12" t="str">
        <f aca="false">IF($A5379="","",원본명단!$B5378)</f>
        <v/>
      </c>
      <c r="D5379" s="12" t="str">
        <f aca="false">IF($A5379="","",원본명단!$D5378)</f>
        <v/>
      </c>
      <c r="E5379" s="11" t="str">
        <f aca="false">IF($A5379="","",IF(원본명단!$H5378="",0,COUNTIF(원본명단!$H$3:$H$6002,원본명단!$H5378)))</f>
        <v/>
      </c>
      <c r="F5379" s="11" t="str">
        <f aca="false">IF($A5379="","",IF(원본명단!$I5378="",0,COUNTIF(원본명단!$I$3:$I$6002,원본명단!$I5378)))</f>
        <v/>
      </c>
      <c r="G5379" s="11" t="str">
        <f aca="false">IF($A5379="","",IF(원본명단!$K5378="",0,COUNTIF(원본명단!$K$3:$K$6002,원본명단!$K5378)))</f>
        <v/>
      </c>
      <c r="H5379" s="11" t="str">
        <f aca="false">IF($A5379="","",IF(MAX($E5379,$F5379,$G5379)&gt;1,"중복","-"))</f>
        <v/>
      </c>
      <c r="I5379" s="11" t="str">
        <f aca="false">IF($A5379="","",IF($H5379="-","-",IF(AND(IF(원본명단!$H5378="",TRUE(),COUNTIF(원본명단!$H$3:$H5378,원본명단!$H5378)=1),IF(원본명단!$I5378="",TRUE(),COUNTIF(원본명단!$I$3:$I5378,원본명단!$I5378)=1),IF(원본명단!$K5378="",TRUE(),COUNTIF(원본명단!$K$3:$K5378,원본명단!$K5378)=1)),"첫 건","중복 건")))</f>
        <v/>
      </c>
      <c r="J5379" s="11" t="str">
        <f aca="false">IF($A5379="","",IF($H5379="-","유지",IF($I5379="첫 건","유지","확인 필요")))</f>
        <v/>
      </c>
    </row>
    <row r="5380" customFormat="false" ht="15" hidden="false" customHeight="true" outlineLevel="0" collapsed="false">
      <c r="A5380" s="11" t="str">
        <f aca="false">IF(원본명단!$A5379="","",5377)</f>
        <v/>
      </c>
      <c r="B5380" s="12" t="str">
        <f aca="false">IF($A5380="","",원본명단!$A5379)</f>
        <v/>
      </c>
      <c r="C5380" s="12" t="str">
        <f aca="false">IF($A5380="","",원본명단!$B5379)</f>
        <v/>
      </c>
      <c r="D5380" s="12" t="str">
        <f aca="false">IF($A5380="","",원본명단!$D5379)</f>
        <v/>
      </c>
      <c r="E5380" s="11" t="str">
        <f aca="false">IF($A5380="","",IF(원본명단!$H5379="",0,COUNTIF(원본명단!$H$3:$H$6002,원본명단!$H5379)))</f>
        <v/>
      </c>
      <c r="F5380" s="11" t="str">
        <f aca="false">IF($A5380="","",IF(원본명단!$I5379="",0,COUNTIF(원본명단!$I$3:$I$6002,원본명단!$I5379)))</f>
        <v/>
      </c>
      <c r="G5380" s="11" t="str">
        <f aca="false">IF($A5380="","",IF(원본명단!$K5379="",0,COUNTIF(원본명단!$K$3:$K$6002,원본명단!$K5379)))</f>
        <v/>
      </c>
      <c r="H5380" s="11" t="str">
        <f aca="false">IF($A5380="","",IF(MAX($E5380,$F5380,$G5380)&gt;1,"중복","-"))</f>
        <v/>
      </c>
      <c r="I5380" s="11" t="str">
        <f aca="false">IF($A5380="","",IF($H5380="-","-",IF(AND(IF(원본명단!$H5379="",TRUE(),COUNTIF(원본명단!$H$3:$H5379,원본명단!$H5379)=1),IF(원본명단!$I5379="",TRUE(),COUNTIF(원본명단!$I$3:$I5379,원본명단!$I5379)=1),IF(원본명단!$K5379="",TRUE(),COUNTIF(원본명단!$K$3:$K5379,원본명단!$K5379)=1)),"첫 건","중복 건")))</f>
        <v/>
      </c>
      <c r="J5380" s="11" t="str">
        <f aca="false">IF($A5380="","",IF($H5380="-","유지",IF($I5380="첫 건","유지","확인 필요")))</f>
        <v/>
      </c>
    </row>
    <row r="5381" customFormat="false" ht="15" hidden="false" customHeight="true" outlineLevel="0" collapsed="false">
      <c r="A5381" s="11" t="str">
        <f aca="false">IF(원본명단!$A5380="","",5378)</f>
        <v/>
      </c>
      <c r="B5381" s="12" t="str">
        <f aca="false">IF($A5381="","",원본명단!$A5380)</f>
        <v/>
      </c>
      <c r="C5381" s="12" t="str">
        <f aca="false">IF($A5381="","",원본명단!$B5380)</f>
        <v/>
      </c>
      <c r="D5381" s="12" t="str">
        <f aca="false">IF($A5381="","",원본명단!$D5380)</f>
        <v/>
      </c>
      <c r="E5381" s="11" t="str">
        <f aca="false">IF($A5381="","",IF(원본명단!$H5380="",0,COUNTIF(원본명단!$H$3:$H$6002,원본명단!$H5380)))</f>
        <v/>
      </c>
      <c r="F5381" s="11" t="str">
        <f aca="false">IF($A5381="","",IF(원본명단!$I5380="",0,COUNTIF(원본명단!$I$3:$I$6002,원본명단!$I5380)))</f>
        <v/>
      </c>
      <c r="G5381" s="11" t="str">
        <f aca="false">IF($A5381="","",IF(원본명단!$K5380="",0,COUNTIF(원본명단!$K$3:$K$6002,원본명단!$K5380)))</f>
        <v/>
      </c>
      <c r="H5381" s="11" t="str">
        <f aca="false">IF($A5381="","",IF(MAX($E5381,$F5381,$G5381)&gt;1,"중복","-"))</f>
        <v/>
      </c>
      <c r="I5381" s="11" t="str">
        <f aca="false">IF($A5381="","",IF($H5381="-","-",IF(AND(IF(원본명단!$H5380="",TRUE(),COUNTIF(원본명단!$H$3:$H5380,원본명단!$H5380)=1),IF(원본명단!$I5380="",TRUE(),COUNTIF(원본명단!$I$3:$I5380,원본명단!$I5380)=1),IF(원본명단!$K5380="",TRUE(),COUNTIF(원본명단!$K$3:$K5380,원본명단!$K5380)=1)),"첫 건","중복 건")))</f>
        <v/>
      </c>
      <c r="J5381" s="11" t="str">
        <f aca="false">IF($A5381="","",IF($H5381="-","유지",IF($I5381="첫 건","유지","확인 필요")))</f>
        <v/>
      </c>
    </row>
    <row r="5382" customFormat="false" ht="15" hidden="false" customHeight="true" outlineLevel="0" collapsed="false">
      <c r="A5382" s="11" t="str">
        <f aca="false">IF(원본명단!$A5381="","",5379)</f>
        <v/>
      </c>
      <c r="B5382" s="12" t="str">
        <f aca="false">IF($A5382="","",원본명단!$A5381)</f>
        <v/>
      </c>
      <c r="C5382" s="12" t="str">
        <f aca="false">IF($A5382="","",원본명단!$B5381)</f>
        <v/>
      </c>
      <c r="D5382" s="12" t="str">
        <f aca="false">IF($A5382="","",원본명단!$D5381)</f>
        <v/>
      </c>
      <c r="E5382" s="11" t="str">
        <f aca="false">IF($A5382="","",IF(원본명단!$H5381="",0,COUNTIF(원본명단!$H$3:$H$6002,원본명단!$H5381)))</f>
        <v/>
      </c>
      <c r="F5382" s="11" t="str">
        <f aca="false">IF($A5382="","",IF(원본명단!$I5381="",0,COUNTIF(원본명단!$I$3:$I$6002,원본명단!$I5381)))</f>
        <v/>
      </c>
      <c r="G5382" s="11" t="str">
        <f aca="false">IF($A5382="","",IF(원본명단!$K5381="",0,COUNTIF(원본명단!$K$3:$K$6002,원본명단!$K5381)))</f>
        <v/>
      </c>
      <c r="H5382" s="11" t="str">
        <f aca="false">IF($A5382="","",IF(MAX($E5382,$F5382,$G5382)&gt;1,"중복","-"))</f>
        <v/>
      </c>
      <c r="I5382" s="11" t="str">
        <f aca="false">IF($A5382="","",IF($H5382="-","-",IF(AND(IF(원본명단!$H5381="",TRUE(),COUNTIF(원본명단!$H$3:$H5381,원본명단!$H5381)=1),IF(원본명단!$I5381="",TRUE(),COUNTIF(원본명단!$I$3:$I5381,원본명단!$I5381)=1),IF(원본명단!$K5381="",TRUE(),COUNTIF(원본명단!$K$3:$K5381,원본명단!$K5381)=1)),"첫 건","중복 건")))</f>
        <v/>
      </c>
      <c r="J5382" s="11" t="str">
        <f aca="false">IF($A5382="","",IF($H5382="-","유지",IF($I5382="첫 건","유지","확인 필요")))</f>
        <v/>
      </c>
    </row>
    <row r="5383" customFormat="false" ht="15" hidden="false" customHeight="true" outlineLevel="0" collapsed="false">
      <c r="A5383" s="11" t="str">
        <f aca="false">IF(원본명단!$A5382="","",5380)</f>
        <v/>
      </c>
      <c r="B5383" s="12" t="str">
        <f aca="false">IF($A5383="","",원본명단!$A5382)</f>
        <v/>
      </c>
      <c r="C5383" s="12" t="str">
        <f aca="false">IF($A5383="","",원본명단!$B5382)</f>
        <v/>
      </c>
      <c r="D5383" s="12" t="str">
        <f aca="false">IF($A5383="","",원본명단!$D5382)</f>
        <v/>
      </c>
      <c r="E5383" s="11" t="str">
        <f aca="false">IF($A5383="","",IF(원본명단!$H5382="",0,COUNTIF(원본명단!$H$3:$H$6002,원본명단!$H5382)))</f>
        <v/>
      </c>
      <c r="F5383" s="11" t="str">
        <f aca="false">IF($A5383="","",IF(원본명단!$I5382="",0,COUNTIF(원본명단!$I$3:$I$6002,원본명단!$I5382)))</f>
        <v/>
      </c>
      <c r="G5383" s="11" t="str">
        <f aca="false">IF($A5383="","",IF(원본명단!$K5382="",0,COUNTIF(원본명단!$K$3:$K$6002,원본명단!$K5382)))</f>
        <v/>
      </c>
      <c r="H5383" s="11" t="str">
        <f aca="false">IF($A5383="","",IF(MAX($E5383,$F5383,$G5383)&gt;1,"중복","-"))</f>
        <v/>
      </c>
      <c r="I5383" s="11" t="str">
        <f aca="false">IF($A5383="","",IF($H5383="-","-",IF(AND(IF(원본명단!$H5382="",TRUE(),COUNTIF(원본명단!$H$3:$H5382,원본명단!$H5382)=1),IF(원본명단!$I5382="",TRUE(),COUNTIF(원본명단!$I$3:$I5382,원본명단!$I5382)=1),IF(원본명단!$K5382="",TRUE(),COUNTIF(원본명단!$K$3:$K5382,원본명단!$K5382)=1)),"첫 건","중복 건")))</f>
        <v/>
      </c>
      <c r="J5383" s="11" t="str">
        <f aca="false">IF($A5383="","",IF($H5383="-","유지",IF($I5383="첫 건","유지","확인 필요")))</f>
        <v/>
      </c>
    </row>
    <row r="5384" customFormat="false" ht="15" hidden="false" customHeight="true" outlineLevel="0" collapsed="false">
      <c r="A5384" s="11" t="str">
        <f aca="false">IF(원본명단!$A5383="","",5381)</f>
        <v/>
      </c>
      <c r="B5384" s="12" t="str">
        <f aca="false">IF($A5384="","",원본명단!$A5383)</f>
        <v/>
      </c>
      <c r="C5384" s="12" t="str">
        <f aca="false">IF($A5384="","",원본명단!$B5383)</f>
        <v/>
      </c>
      <c r="D5384" s="12" t="str">
        <f aca="false">IF($A5384="","",원본명단!$D5383)</f>
        <v/>
      </c>
      <c r="E5384" s="11" t="str">
        <f aca="false">IF($A5384="","",IF(원본명단!$H5383="",0,COUNTIF(원본명단!$H$3:$H$6002,원본명단!$H5383)))</f>
        <v/>
      </c>
      <c r="F5384" s="11" t="str">
        <f aca="false">IF($A5384="","",IF(원본명단!$I5383="",0,COUNTIF(원본명단!$I$3:$I$6002,원본명단!$I5383)))</f>
        <v/>
      </c>
      <c r="G5384" s="11" t="str">
        <f aca="false">IF($A5384="","",IF(원본명단!$K5383="",0,COUNTIF(원본명단!$K$3:$K$6002,원본명단!$K5383)))</f>
        <v/>
      </c>
      <c r="H5384" s="11" t="str">
        <f aca="false">IF($A5384="","",IF(MAX($E5384,$F5384,$G5384)&gt;1,"중복","-"))</f>
        <v/>
      </c>
      <c r="I5384" s="11" t="str">
        <f aca="false">IF($A5384="","",IF($H5384="-","-",IF(AND(IF(원본명단!$H5383="",TRUE(),COUNTIF(원본명단!$H$3:$H5383,원본명단!$H5383)=1),IF(원본명단!$I5383="",TRUE(),COUNTIF(원본명단!$I$3:$I5383,원본명단!$I5383)=1),IF(원본명단!$K5383="",TRUE(),COUNTIF(원본명단!$K$3:$K5383,원본명단!$K5383)=1)),"첫 건","중복 건")))</f>
        <v/>
      </c>
      <c r="J5384" s="11" t="str">
        <f aca="false">IF($A5384="","",IF($H5384="-","유지",IF($I5384="첫 건","유지","확인 필요")))</f>
        <v/>
      </c>
    </row>
    <row r="5385" customFormat="false" ht="15" hidden="false" customHeight="true" outlineLevel="0" collapsed="false">
      <c r="A5385" s="11" t="str">
        <f aca="false">IF(원본명단!$A5384="","",5382)</f>
        <v/>
      </c>
      <c r="B5385" s="12" t="str">
        <f aca="false">IF($A5385="","",원본명단!$A5384)</f>
        <v/>
      </c>
      <c r="C5385" s="12" t="str">
        <f aca="false">IF($A5385="","",원본명단!$B5384)</f>
        <v/>
      </c>
      <c r="D5385" s="12" t="str">
        <f aca="false">IF($A5385="","",원본명단!$D5384)</f>
        <v/>
      </c>
      <c r="E5385" s="11" t="str">
        <f aca="false">IF($A5385="","",IF(원본명단!$H5384="",0,COUNTIF(원본명단!$H$3:$H$6002,원본명단!$H5384)))</f>
        <v/>
      </c>
      <c r="F5385" s="11" t="str">
        <f aca="false">IF($A5385="","",IF(원본명단!$I5384="",0,COUNTIF(원본명단!$I$3:$I$6002,원본명단!$I5384)))</f>
        <v/>
      </c>
      <c r="G5385" s="11" t="str">
        <f aca="false">IF($A5385="","",IF(원본명단!$K5384="",0,COUNTIF(원본명단!$K$3:$K$6002,원본명단!$K5384)))</f>
        <v/>
      </c>
      <c r="H5385" s="11" t="str">
        <f aca="false">IF($A5385="","",IF(MAX($E5385,$F5385,$G5385)&gt;1,"중복","-"))</f>
        <v/>
      </c>
      <c r="I5385" s="11" t="str">
        <f aca="false">IF($A5385="","",IF($H5385="-","-",IF(AND(IF(원본명단!$H5384="",TRUE(),COUNTIF(원본명단!$H$3:$H5384,원본명단!$H5384)=1),IF(원본명단!$I5384="",TRUE(),COUNTIF(원본명단!$I$3:$I5384,원본명단!$I5384)=1),IF(원본명단!$K5384="",TRUE(),COUNTIF(원본명단!$K$3:$K5384,원본명단!$K5384)=1)),"첫 건","중복 건")))</f>
        <v/>
      </c>
      <c r="J5385" s="11" t="str">
        <f aca="false">IF($A5385="","",IF($H5385="-","유지",IF($I5385="첫 건","유지","확인 필요")))</f>
        <v/>
      </c>
    </row>
    <row r="5386" customFormat="false" ht="15" hidden="false" customHeight="true" outlineLevel="0" collapsed="false">
      <c r="A5386" s="11" t="str">
        <f aca="false">IF(원본명단!$A5385="","",5383)</f>
        <v/>
      </c>
      <c r="B5386" s="12" t="str">
        <f aca="false">IF($A5386="","",원본명단!$A5385)</f>
        <v/>
      </c>
      <c r="C5386" s="12" t="str">
        <f aca="false">IF($A5386="","",원본명단!$B5385)</f>
        <v/>
      </c>
      <c r="D5386" s="12" t="str">
        <f aca="false">IF($A5386="","",원본명단!$D5385)</f>
        <v/>
      </c>
      <c r="E5386" s="11" t="str">
        <f aca="false">IF($A5386="","",IF(원본명단!$H5385="",0,COUNTIF(원본명단!$H$3:$H$6002,원본명단!$H5385)))</f>
        <v/>
      </c>
      <c r="F5386" s="11" t="str">
        <f aca="false">IF($A5386="","",IF(원본명단!$I5385="",0,COUNTIF(원본명단!$I$3:$I$6002,원본명단!$I5385)))</f>
        <v/>
      </c>
      <c r="G5386" s="11" t="str">
        <f aca="false">IF($A5386="","",IF(원본명단!$K5385="",0,COUNTIF(원본명단!$K$3:$K$6002,원본명단!$K5385)))</f>
        <v/>
      </c>
      <c r="H5386" s="11" t="str">
        <f aca="false">IF($A5386="","",IF(MAX($E5386,$F5386,$G5386)&gt;1,"중복","-"))</f>
        <v/>
      </c>
      <c r="I5386" s="11" t="str">
        <f aca="false">IF($A5386="","",IF($H5386="-","-",IF(AND(IF(원본명단!$H5385="",TRUE(),COUNTIF(원본명단!$H$3:$H5385,원본명단!$H5385)=1),IF(원본명단!$I5385="",TRUE(),COUNTIF(원본명단!$I$3:$I5385,원본명단!$I5385)=1),IF(원본명단!$K5385="",TRUE(),COUNTIF(원본명단!$K$3:$K5385,원본명단!$K5385)=1)),"첫 건","중복 건")))</f>
        <v/>
      </c>
      <c r="J5386" s="11" t="str">
        <f aca="false">IF($A5386="","",IF($H5386="-","유지",IF($I5386="첫 건","유지","확인 필요")))</f>
        <v/>
      </c>
    </row>
    <row r="5387" customFormat="false" ht="15" hidden="false" customHeight="true" outlineLevel="0" collapsed="false">
      <c r="A5387" s="11" t="str">
        <f aca="false">IF(원본명단!$A5386="","",5384)</f>
        <v/>
      </c>
      <c r="B5387" s="12" t="str">
        <f aca="false">IF($A5387="","",원본명단!$A5386)</f>
        <v/>
      </c>
      <c r="C5387" s="12" t="str">
        <f aca="false">IF($A5387="","",원본명단!$B5386)</f>
        <v/>
      </c>
      <c r="D5387" s="12" t="str">
        <f aca="false">IF($A5387="","",원본명단!$D5386)</f>
        <v/>
      </c>
      <c r="E5387" s="11" t="str">
        <f aca="false">IF($A5387="","",IF(원본명단!$H5386="",0,COUNTIF(원본명단!$H$3:$H$6002,원본명단!$H5386)))</f>
        <v/>
      </c>
      <c r="F5387" s="11" t="str">
        <f aca="false">IF($A5387="","",IF(원본명단!$I5386="",0,COUNTIF(원본명단!$I$3:$I$6002,원본명단!$I5386)))</f>
        <v/>
      </c>
      <c r="G5387" s="11" t="str">
        <f aca="false">IF($A5387="","",IF(원본명단!$K5386="",0,COUNTIF(원본명단!$K$3:$K$6002,원본명단!$K5386)))</f>
        <v/>
      </c>
      <c r="H5387" s="11" t="str">
        <f aca="false">IF($A5387="","",IF(MAX($E5387,$F5387,$G5387)&gt;1,"중복","-"))</f>
        <v/>
      </c>
      <c r="I5387" s="11" t="str">
        <f aca="false">IF($A5387="","",IF($H5387="-","-",IF(AND(IF(원본명단!$H5386="",TRUE(),COUNTIF(원본명단!$H$3:$H5386,원본명단!$H5386)=1),IF(원본명단!$I5386="",TRUE(),COUNTIF(원본명단!$I$3:$I5386,원본명단!$I5386)=1),IF(원본명단!$K5386="",TRUE(),COUNTIF(원본명단!$K$3:$K5386,원본명단!$K5386)=1)),"첫 건","중복 건")))</f>
        <v/>
      </c>
      <c r="J5387" s="11" t="str">
        <f aca="false">IF($A5387="","",IF($H5387="-","유지",IF($I5387="첫 건","유지","확인 필요")))</f>
        <v/>
      </c>
    </row>
    <row r="5388" customFormat="false" ht="15" hidden="false" customHeight="true" outlineLevel="0" collapsed="false">
      <c r="A5388" s="11" t="str">
        <f aca="false">IF(원본명단!$A5387="","",5385)</f>
        <v/>
      </c>
      <c r="B5388" s="12" t="str">
        <f aca="false">IF($A5388="","",원본명단!$A5387)</f>
        <v/>
      </c>
      <c r="C5388" s="12" t="str">
        <f aca="false">IF($A5388="","",원본명단!$B5387)</f>
        <v/>
      </c>
      <c r="D5388" s="12" t="str">
        <f aca="false">IF($A5388="","",원본명단!$D5387)</f>
        <v/>
      </c>
      <c r="E5388" s="11" t="str">
        <f aca="false">IF($A5388="","",IF(원본명단!$H5387="",0,COUNTIF(원본명단!$H$3:$H$6002,원본명단!$H5387)))</f>
        <v/>
      </c>
      <c r="F5388" s="11" t="str">
        <f aca="false">IF($A5388="","",IF(원본명단!$I5387="",0,COUNTIF(원본명단!$I$3:$I$6002,원본명단!$I5387)))</f>
        <v/>
      </c>
      <c r="G5388" s="11" t="str">
        <f aca="false">IF($A5388="","",IF(원본명단!$K5387="",0,COUNTIF(원본명단!$K$3:$K$6002,원본명단!$K5387)))</f>
        <v/>
      </c>
      <c r="H5388" s="11" t="str">
        <f aca="false">IF($A5388="","",IF(MAX($E5388,$F5388,$G5388)&gt;1,"중복","-"))</f>
        <v/>
      </c>
      <c r="I5388" s="11" t="str">
        <f aca="false">IF($A5388="","",IF($H5388="-","-",IF(AND(IF(원본명단!$H5387="",TRUE(),COUNTIF(원본명단!$H$3:$H5387,원본명단!$H5387)=1),IF(원본명단!$I5387="",TRUE(),COUNTIF(원본명단!$I$3:$I5387,원본명단!$I5387)=1),IF(원본명단!$K5387="",TRUE(),COUNTIF(원본명단!$K$3:$K5387,원본명단!$K5387)=1)),"첫 건","중복 건")))</f>
        <v/>
      </c>
      <c r="J5388" s="11" t="str">
        <f aca="false">IF($A5388="","",IF($H5388="-","유지",IF($I5388="첫 건","유지","확인 필요")))</f>
        <v/>
      </c>
    </row>
    <row r="5389" customFormat="false" ht="15" hidden="false" customHeight="true" outlineLevel="0" collapsed="false">
      <c r="A5389" s="11" t="str">
        <f aca="false">IF(원본명단!$A5388="","",5386)</f>
        <v/>
      </c>
      <c r="B5389" s="12" t="str">
        <f aca="false">IF($A5389="","",원본명단!$A5388)</f>
        <v/>
      </c>
      <c r="C5389" s="12" t="str">
        <f aca="false">IF($A5389="","",원본명단!$B5388)</f>
        <v/>
      </c>
      <c r="D5389" s="12" t="str">
        <f aca="false">IF($A5389="","",원본명단!$D5388)</f>
        <v/>
      </c>
      <c r="E5389" s="11" t="str">
        <f aca="false">IF($A5389="","",IF(원본명단!$H5388="",0,COUNTIF(원본명단!$H$3:$H$6002,원본명단!$H5388)))</f>
        <v/>
      </c>
      <c r="F5389" s="11" t="str">
        <f aca="false">IF($A5389="","",IF(원본명단!$I5388="",0,COUNTIF(원본명단!$I$3:$I$6002,원본명단!$I5388)))</f>
        <v/>
      </c>
      <c r="G5389" s="11" t="str">
        <f aca="false">IF($A5389="","",IF(원본명단!$K5388="",0,COUNTIF(원본명단!$K$3:$K$6002,원본명단!$K5388)))</f>
        <v/>
      </c>
      <c r="H5389" s="11" t="str">
        <f aca="false">IF($A5389="","",IF(MAX($E5389,$F5389,$G5389)&gt;1,"중복","-"))</f>
        <v/>
      </c>
      <c r="I5389" s="11" t="str">
        <f aca="false">IF($A5389="","",IF($H5389="-","-",IF(AND(IF(원본명단!$H5388="",TRUE(),COUNTIF(원본명단!$H$3:$H5388,원본명단!$H5388)=1),IF(원본명단!$I5388="",TRUE(),COUNTIF(원본명단!$I$3:$I5388,원본명단!$I5388)=1),IF(원본명단!$K5388="",TRUE(),COUNTIF(원본명단!$K$3:$K5388,원본명단!$K5388)=1)),"첫 건","중복 건")))</f>
        <v/>
      </c>
      <c r="J5389" s="11" t="str">
        <f aca="false">IF($A5389="","",IF($H5389="-","유지",IF($I5389="첫 건","유지","확인 필요")))</f>
        <v/>
      </c>
    </row>
    <row r="5390" customFormat="false" ht="15" hidden="false" customHeight="true" outlineLevel="0" collapsed="false">
      <c r="A5390" s="11" t="str">
        <f aca="false">IF(원본명단!$A5389="","",5387)</f>
        <v/>
      </c>
      <c r="B5390" s="12" t="str">
        <f aca="false">IF($A5390="","",원본명단!$A5389)</f>
        <v/>
      </c>
      <c r="C5390" s="12" t="str">
        <f aca="false">IF($A5390="","",원본명단!$B5389)</f>
        <v/>
      </c>
      <c r="D5390" s="12" t="str">
        <f aca="false">IF($A5390="","",원본명단!$D5389)</f>
        <v/>
      </c>
      <c r="E5390" s="11" t="str">
        <f aca="false">IF($A5390="","",IF(원본명단!$H5389="",0,COUNTIF(원본명단!$H$3:$H$6002,원본명단!$H5389)))</f>
        <v/>
      </c>
      <c r="F5390" s="11" t="str">
        <f aca="false">IF($A5390="","",IF(원본명단!$I5389="",0,COUNTIF(원본명단!$I$3:$I$6002,원본명단!$I5389)))</f>
        <v/>
      </c>
      <c r="G5390" s="11" t="str">
        <f aca="false">IF($A5390="","",IF(원본명단!$K5389="",0,COUNTIF(원본명단!$K$3:$K$6002,원본명단!$K5389)))</f>
        <v/>
      </c>
      <c r="H5390" s="11" t="str">
        <f aca="false">IF($A5390="","",IF(MAX($E5390,$F5390,$G5390)&gt;1,"중복","-"))</f>
        <v/>
      </c>
      <c r="I5390" s="11" t="str">
        <f aca="false">IF($A5390="","",IF($H5390="-","-",IF(AND(IF(원본명단!$H5389="",TRUE(),COUNTIF(원본명단!$H$3:$H5389,원본명단!$H5389)=1),IF(원본명단!$I5389="",TRUE(),COUNTIF(원본명단!$I$3:$I5389,원본명단!$I5389)=1),IF(원본명단!$K5389="",TRUE(),COUNTIF(원본명단!$K$3:$K5389,원본명단!$K5389)=1)),"첫 건","중복 건")))</f>
        <v/>
      </c>
      <c r="J5390" s="11" t="str">
        <f aca="false">IF($A5390="","",IF($H5390="-","유지",IF($I5390="첫 건","유지","확인 필요")))</f>
        <v/>
      </c>
    </row>
    <row r="5391" customFormat="false" ht="15" hidden="false" customHeight="true" outlineLevel="0" collapsed="false">
      <c r="A5391" s="11" t="str">
        <f aca="false">IF(원본명단!$A5390="","",5388)</f>
        <v/>
      </c>
      <c r="B5391" s="12" t="str">
        <f aca="false">IF($A5391="","",원본명단!$A5390)</f>
        <v/>
      </c>
      <c r="C5391" s="12" t="str">
        <f aca="false">IF($A5391="","",원본명단!$B5390)</f>
        <v/>
      </c>
      <c r="D5391" s="12" t="str">
        <f aca="false">IF($A5391="","",원본명단!$D5390)</f>
        <v/>
      </c>
      <c r="E5391" s="11" t="str">
        <f aca="false">IF($A5391="","",IF(원본명단!$H5390="",0,COUNTIF(원본명단!$H$3:$H$6002,원본명단!$H5390)))</f>
        <v/>
      </c>
      <c r="F5391" s="11" t="str">
        <f aca="false">IF($A5391="","",IF(원본명단!$I5390="",0,COUNTIF(원본명단!$I$3:$I$6002,원본명단!$I5390)))</f>
        <v/>
      </c>
      <c r="G5391" s="11" t="str">
        <f aca="false">IF($A5391="","",IF(원본명단!$K5390="",0,COUNTIF(원본명단!$K$3:$K$6002,원본명단!$K5390)))</f>
        <v/>
      </c>
      <c r="H5391" s="11" t="str">
        <f aca="false">IF($A5391="","",IF(MAX($E5391,$F5391,$G5391)&gt;1,"중복","-"))</f>
        <v/>
      </c>
      <c r="I5391" s="11" t="str">
        <f aca="false">IF($A5391="","",IF($H5391="-","-",IF(AND(IF(원본명단!$H5390="",TRUE(),COUNTIF(원본명단!$H$3:$H5390,원본명단!$H5390)=1),IF(원본명단!$I5390="",TRUE(),COUNTIF(원본명단!$I$3:$I5390,원본명단!$I5390)=1),IF(원본명단!$K5390="",TRUE(),COUNTIF(원본명단!$K$3:$K5390,원본명단!$K5390)=1)),"첫 건","중복 건")))</f>
        <v/>
      </c>
      <c r="J5391" s="11" t="str">
        <f aca="false">IF($A5391="","",IF($H5391="-","유지",IF($I5391="첫 건","유지","확인 필요")))</f>
        <v/>
      </c>
    </row>
    <row r="5392" customFormat="false" ht="15" hidden="false" customHeight="true" outlineLevel="0" collapsed="false">
      <c r="A5392" s="11" t="str">
        <f aca="false">IF(원본명단!$A5391="","",5389)</f>
        <v/>
      </c>
      <c r="B5392" s="12" t="str">
        <f aca="false">IF($A5392="","",원본명단!$A5391)</f>
        <v/>
      </c>
      <c r="C5392" s="12" t="str">
        <f aca="false">IF($A5392="","",원본명단!$B5391)</f>
        <v/>
      </c>
      <c r="D5392" s="12" t="str">
        <f aca="false">IF($A5392="","",원본명단!$D5391)</f>
        <v/>
      </c>
      <c r="E5392" s="11" t="str">
        <f aca="false">IF($A5392="","",IF(원본명단!$H5391="",0,COUNTIF(원본명단!$H$3:$H$6002,원본명단!$H5391)))</f>
        <v/>
      </c>
      <c r="F5392" s="11" t="str">
        <f aca="false">IF($A5392="","",IF(원본명단!$I5391="",0,COUNTIF(원본명단!$I$3:$I$6002,원본명단!$I5391)))</f>
        <v/>
      </c>
      <c r="G5392" s="11" t="str">
        <f aca="false">IF($A5392="","",IF(원본명단!$K5391="",0,COUNTIF(원본명단!$K$3:$K$6002,원본명단!$K5391)))</f>
        <v/>
      </c>
      <c r="H5392" s="11" t="str">
        <f aca="false">IF($A5392="","",IF(MAX($E5392,$F5392,$G5392)&gt;1,"중복","-"))</f>
        <v/>
      </c>
      <c r="I5392" s="11" t="str">
        <f aca="false">IF($A5392="","",IF($H5392="-","-",IF(AND(IF(원본명단!$H5391="",TRUE(),COUNTIF(원본명단!$H$3:$H5391,원본명단!$H5391)=1),IF(원본명단!$I5391="",TRUE(),COUNTIF(원본명단!$I$3:$I5391,원본명단!$I5391)=1),IF(원본명단!$K5391="",TRUE(),COUNTIF(원본명단!$K$3:$K5391,원본명단!$K5391)=1)),"첫 건","중복 건")))</f>
        <v/>
      </c>
      <c r="J5392" s="11" t="str">
        <f aca="false">IF($A5392="","",IF($H5392="-","유지",IF($I5392="첫 건","유지","확인 필요")))</f>
        <v/>
      </c>
    </row>
    <row r="5393" customFormat="false" ht="15" hidden="false" customHeight="true" outlineLevel="0" collapsed="false">
      <c r="A5393" s="11" t="str">
        <f aca="false">IF(원본명단!$A5392="","",5390)</f>
        <v/>
      </c>
      <c r="B5393" s="12" t="str">
        <f aca="false">IF($A5393="","",원본명단!$A5392)</f>
        <v/>
      </c>
      <c r="C5393" s="12" t="str">
        <f aca="false">IF($A5393="","",원본명단!$B5392)</f>
        <v/>
      </c>
      <c r="D5393" s="12" t="str">
        <f aca="false">IF($A5393="","",원본명단!$D5392)</f>
        <v/>
      </c>
      <c r="E5393" s="11" t="str">
        <f aca="false">IF($A5393="","",IF(원본명단!$H5392="",0,COUNTIF(원본명단!$H$3:$H$6002,원본명단!$H5392)))</f>
        <v/>
      </c>
      <c r="F5393" s="11" t="str">
        <f aca="false">IF($A5393="","",IF(원본명단!$I5392="",0,COUNTIF(원본명단!$I$3:$I$6002,원본명단!$I5392)))</f>
        <v/>
      </c>
      <c r="G5393" s="11" t="str">
        <f aca="false">IF($A5393="","",IF(원본명단!$K5392="",0,COUNTIF(원본명단!$K$3:$K$6002,원본명단!$K5392)))</f>
        <v/>
      </c>
      <c r="H5393" s="11" t="str">
        <f aca="false">IF($A5393="","",IF(MAX($E5393,$F5393,$G5393)&gt;1,"중복","-"))</f>
        <v/>
      </c>
      <c r="I5393" s="11" t="str">
        <f aca="false">IF($A5393="","",IF($H5393="-","-",IF(AND(IF(원본명단!$H5392="",TRUE(),COUNTIF(원본명단!$H$3:$H5392,원본명단!$H5392)=1),IF(원본명단!$I5392="",TRUE(),COUNTIF(원본명단!$I$3:$I5392,원본명단!$I5392)=1),IF(원본명단!$K5392="",TRUE(),COUNTIF(원본명단!$K$3:$K5392,원본명단!$K5392)=1)),"첫 건","중복 건")))</f>
        <v/>
      </c>
      <c r="J5393" s="11" t="str">
        <f aca="false">IF($A5393="","",IF($H5393="-","유지",IF($I5393="첫 건","유지","확인 필요")))</f>
        <v/>
      </c>
    </row>
    <row r="5394" customFormat="false" ht="15" hidden="false" customHeight="true" outlineLevel="0" collapsed="false">
      <c r="A5394" s="11" t="str">
        <f aca="false">IF(원본명단!$A5393="","",5391)</f>
        <v/>
      </c>
      <c r="B5394" s="12" t="str">
        <f aca="false">IF($A5394="","",원본명단!$A5393)</f>
        <v/>
      </c>
      <c r="C5394" s="12" t="str">
        <f aca="false">IF($A5394="","",원본명단!$B5393)</f>
        <v/>
      </c>
      <c r="D5394" s="12" t="str">
        <f aca="false">IF($A5394="","",원본명단!$D5393)</f>
        <v/>
      </c>
      <c r="E5394" s="11" t="str">
        <f aca="false">IF($A5394="","",IF(원본명단!$H5393="",0,COUNTIF(원본명단!$H$3:$H$6002,원본명단!$H5393)))</f>
        <v/>
      </c>
      <c r="F5394" s="11" t="str">
        <f aca="false">IF($A5394="","",IF(원본명단!$I5393="",0,COUNTIF(원본명단!$I$3:$I$6002,원본명단!$I5393)))</f>
        <v/>
      </c>
      <c r="G5394" s="11" t="str">
        <f aca="false">IF($A5394="","",IF(원본명단!$K5393="",0,COUNTIF(원본명단!$K$3:$K$6002,원본명단!$K5393)))</f>
        <v/>
      </c>
      <c r="H5394" s="11" t="str">
        <f aca="false">IF($A5394="","",IF(MAX($E5394,$F5394,$G5394)&gt;1,"중복","-"))</f>
        <v/>
      </c>
      <c r="I5394" s="11" t="str">
        <f aca="false">IF($A5394="","",IF($H5394="-","-",IF(AND(IF(원본명단!$H5393="",TRUE(),COUNTIF(원본명단!$H$3:$H5393,원본명단!$H5393)=1),IF(원본명단!$I5393="",TRUE(),COUNTIF(원본명단!$I$3:$I5393,원본명단!$I5393)=1),IF(원본명단!$K5393="",TRUE(),COUNTIF(원본명단!$K$3:$K5393,원본명단!$K5393)=1)),"첫 건","중복 건")))</f>
        <v/>
      </c>
      <c r="J5394" s="11" t="str">
        <f aca="false">IF($A5394="","",IF($H5394="-","유지",IF($I5394="첫 건","유지","확인 필요")))</f>
        <v/>
      </c>
    </row>
    <row r="5395" customFormat="false" ht="15" hidden="false" customHeight="true" outlineLevel="0" collapsed="false">
      <c r="A5395" s="11" t="str">
        <f aca="false">IF(원본명단!$A5394="","",5392)</f>
        <v/>
      </c>
      <c r="B5395" s="12" t="str">
        <f aca="false">IF($A5395="","",원본명단!$A5394)</f>
        <v/>
      </c>
      <c r="C5395" s="12" t="str">
        <f aca="false">IF($A5395="","",원본명단!$B5394)</f>
        <v/>
      </c>
      <c r="D5395" s="12" t="str">
        <f aca="false">IF($A5395="","",원본명단!$D5394)</f>
        <v/>
      </c>
      <c r="E5395" s="11" t="str">
        <f aca="false">IF($A5395="","",IF(원본명단!$H5394="",0,COUNTIF(원본명단!$H$3:$H$6002,원본명단!$H5394)))</f>
        <v/>
      </c>
      <c r="F5395" s="11" t="str">
        <f aca="false">IF($A5395="","",IF(원본명단!$I5394="",0,COUNTIF(원본명단!$I$3:$I$6002,원본명단!$I5394)))</f>
        <v/>
      </c>
      <c r="G5395" s="11" t="str">
        <f aca="false">IF($A5395="","",IF(원본명단!$K5394="",0,COUNTIF(원본명단!$K$3:$K$6002,원본명단!$K5394)))</f>
        <v/>
      </c>
      <c r="H5395" s="11" t="str">
        <f aca="false">IF($A5395="","",IF(MAX($E5395,$F5395,$G5395)&gt;1,"중복","-"))</f>
        <v/>
      </c>
      <c r="I5395" s="11" t="str">
        <f aca="false">IF($A5395="","",IF($H5395="-","-",IF(AND(IF(원본명단!$H5394="",TRUE(),COUNTIF(원본명단!$H$3:$H5394,원본명단!$H5394)=1),IF(원본명단!$I5394="",TRUE(),COUNTIF(원본명단!$I$3:$I5394,원본명단!$I5394)=1),IF(원본명단!$K5394="",TRUE(),COUNTIF(원본명단!$K$3:$K5394,원본명단!$K5394)=1)),"첫 건","중복 건")))</f>
        <v/>
      </c>
      <c r="J5395" s="11" t="str">
        <f aca="false">IF($A5395="","",IF($H5395="-","유지",IF($I5395="첫 건","유지","확인 필요")))</f>
        <v/>
      </c>
    </row>
    <row r="5396" customFormat="false" ht="15" hidden="false" customHeight="true" outlineLevel="0" collapsed="false">
      <c r="A5396" s="11" t="str">
        <f aca="false">IF(원본명단!$A5395="","",5393)</f>
        <v/>
      </c>
      <c r="B5396" s="12" t="str">
        <f aca="false">IF($A5396="","",원본명단!$A5395)</f>
        <v/>
      </c>
      <c r="C5396" s="12" t="str">
        <f aca="false">IF($A5396="","",원본명단!$B5395)</f>
        <v/>
      </c>
      <c r="D5396" s="12" t="str">
        <f aca="false">IF($A5396="","",원본명단!$D5395)</f>
        <v/>
      </c>
      <c r="E5396" s="11" t="str">
        <f aca="false">IF($A5396="","",IF(원본명단!$H5395="",0,COUNTIF(원본명단!$H$3:$H$6002,원본명단!$H5395)))</f>
        <v/>
      </c>
      <c r="F5396" s="11" t="str">
        <f aca="false">IF($A5396="","",IF(원본명단!$I5395="",0,COUNTIF(원본명단!$I$3:$I$6002,원본명단!$I5395)))</f>
        <v/>
      </c>
      <c r="G5396" s="11" t="str">
        <f aca="false">IF($A5396="","",IF(원본명단!$K5395="",0,COUNTIF(원본명단!$K$3:$K$6002,원본명단!$K5395)))</f>
        <v/>
      </c>
      <c r="H5396" s="11" t="str">
        <f aca="false">IF($A5396="","",IF(MAX($E5396,$F5396,$G5396)&gt;1,"중복","-"))</f>
        <v/>
      </c>
      <c r="I5396" s="11" t="str">
        <f aca="false">IF($A5396="","",IF($H5396="-","-",IF(AND(IF(원본명단!$H5395="",TRUE(),COUNTIF(원본명단!$H$3:$H5395,원본명단!$H5395)=1),IF(원본명단!$I5395="",TRUE(),COUNTIF(원본명단!$I$3:$I5395,원본명단!$I5395)=1),IF(원본명단!$K5395="",TRUE(),COUNTIF(원본명단!$K$3:$K5395,원본명단!$K5395)=1)),"첫 건","중복 건")))</f>
        <v/>
      </c>
      <c r="J5396" s="11" t="str">
        <f aca="false">IF($A5396="","",IF($H5396="-","유지",IF($I5396="첫 건","유지","확인 필요")))</f>
        <v/>
      </c>
    </row>
    <row r="5397" customFormat="false" ht="15" hidden="false" customHeight="true" outlineLevel="0" collapsed="false">
      <c r="A5397" s="11" t="str">
        <f aca="false">IF(원본명단!$A5396="","",5394)</f>
        <v/>
      </c>
      <c r="B5397" s="12" t="str">
        <f aca="false">IF($A5397="","",원본명단!$A5396)</f>
        <v/>
      </c>
      <c r="C5397" s="12" t="str">
        <f aca="false">IF($A5397="","",원본명단!$B5396)</f>
        <v/>
      </c>
      <c r="D5397" s="12" t="str">
        <f aca="false">IF($A5397="","",원본명단!$D5396)</f>
        <v/>
      </c>
      <c r="E5397" s="11" t="str">
        <f aca="false">IF($A5397="","",IF(원본명단!$H5396="",0,COUNTIF(원본명단!$H$3:$H$6002,원본명단!$H5396)))</f>
        <v/>
      </c>
      <c r="F5397" s="11" t="str">
        <f aca="false">IF($A5397="","",IF(원본명단!$I5396="",0,COUNTIF(원본명단!$I$3:$I$6002,원본명단!$I5396)))</f>
        <v/>
      </c>
      <c r="G5397" s="11" t="str">
        <f aca="false">IF($A5397="","",IF(원본명단!$K5396="",0,COUNTIF(원본명단!$K$3:$K$6002,원본명단!$K5396)))</f>
        <v/>
      </c>
      <c r="H5397" s="11" t="str">
        <f aca="false">IF($A5397="","",IF(MAX($E5397,$F5397,$G5397)&gt;1,"중복","-"))</f>
        <v/>
      </c>
      <c r="I5397" s="11" t="str">
        <f aca="false">IF($A5397="","",IF($H5397="-","-",IF(AND(IF(원본명단!$H5396="",TRUE(),COUNTIF(원본명단!$H$3:$H5396,원본명단!$H5396)=1),IF(원본명단!$I5396="",TRUE(),COUNTIF(원본명단!$I$3:$I5396,원본명단!$I5396)=1),IF(원본명단!$K5396="",TRUE(),COUNTIF(원본명단!$K$3:$K5396,원본명단!$K5396)=1)),"첫 건","중복 건")))</f>
        <v/>
      </c>
      <c r="J5397" s="11" t="str">
        <f aca="false">IF($A5397="","",IF($H5397="-","유지",IF($I5397="첫 건","유지","확인 필요")))</f>
        <v/>
      </c>
    </row>
    <row r="5398" customFormat="false" ht="15" hidden="false" customHeight="true" outlineLevel="0" collapsed="false">
      <c r="A5398" s="11" t="str">
        <f aca="false">IF(원본명단!$A5397="","",5395)</f>
        <v/>
      </c>
      <c r="B5398" s="12" t="str">
        <f aca="false">IF($A5398="","",원본명단!$A5397)</f>
        <v/>
      </c>
      <c r="C5398" s="12" t="str">
        <f aca="false">IF($A5398="","",원본명단!$B5397)</f>
        <v/>
      </c>
      <c r="D5398" s="12" t="str">
        <f aca="false">IF($A5398="","",원본명단!$D5397)</f>
        <v/>
      </c>
      <c r="E5398" s="11" t="str">
        <f aca="false">IF($A5398="","",IF(원본명단!$H5397="",0,COUNTIF(원본명단!$H$3:$H$6002,원본명단!$H5397)))</f>
        <v/>
      </c>
      <c r="F5398" s="11" t="str">
        <f aca="false">IF($A5398="","",IF(원본명단!$I5397="",0,COUNTIF(원본명단!$I$3:$I$6002,원본명단!$I5397)))</f>
        <v/>
      </c>
      <c r="G5398" s="11" t="str">
        <f aca="false">IF($A5398="","",IF(원본명단!$K5397="",0,COUNTIF(원본명단!$K$3:$K$6002,원본명단!$K5397)))</f>
        <v/>
      </c>
      <c r="H5398" s="11" t="str">
        <f aca="false">IF($A5398="","",IF(MAX($E5398,$F5398,$G5398)&gt;1,"중복","-"))</f>
        <v/>
      </c>
      <c r="I5398" s="11" t="str">
        <f aca="false">IF($A5398="","",IF($H5398="-","-",IF(AND(IF(원본명단!$H5397="",TRUE(),COUNTIF(원본명단!$H$3:$H5397,원본명단!$H5397)=1),IF(원본명단!$I5397="",TRUE(),COUNTIF(원본명단!$I$3:$I5397,원본명단!$I5397)=1),IF(원본명단!$K5397="",TRUE(),COUNTIF(원본명단!$K$3:$K5397,원본명단!$K5397)=1)),"첫 건","중복 건")))</f>
        <v/>
      </c>
      <c r="J5398" s="11" t="str">
        <f aca="false">IF($A5398="","",IF($H5398="-","유지",IF($I5398="첫 건","유지","확인 필요")))</f>
        <v/>
      </c>
    </row>
    <row r="5399" customFormat="false" ht="15" hidden="false" customHeight="true" outlineLevel="0" collapsed="false">
      <c r="A5399" s="11" t="str">
        <f aca="false">IF(원본명단!$A5398="","",5396)</f>
        <v/>
      </c>
      <c r="B5399" s="12" t="str">
        <f aca="false">IF($A5399="","",원본명단!$A5398)</f>
        <v/>
      </c>
      <c r="C5399" s="12" t="str">
        <f aca="false">IF($A5399="","",원본명단!$B5398)</f>
        <v/>
      </c>
      <c r="D5399" s="12" t="str">
        <f aca="false">IF($A5399="","",원본명단!$D5398)</f>
        <v/>
      </c>
      <c r="E5399" s="11" t="str">
        <f aca="false">IF($A5399="","",IF(원본명단!$H5398="",0,COUNTIF(원본명단!$H$3:$H$6002,원본명단!$H5398)))</f>
        <v/>
      </c>
      <c r="F5399" s="11" t="str">
        <f aca="false">IF($A5399="","",IF(원본명단!$I5398="",0,COUNTIF(원본명단!$I$3:$I$6002,원본명단!$I5398)))</f>
        <v/>
      </c>
      <c r="G5399" s="11" t="str">
        <f aca="false">IF($A5399="","",IF(원본명단!$K5398="",0,COUNTIF(원본명단!$K$3:$K$6002,원본명단!$K5398)))</f>
        <v/>
      </c>
      <c r="H5399" s="11" t="str">
        <f aca="false">IF($A5399="","",IF(MAX($E5399,$F5399,$G5399)&gt;1,"중복","-"))</f>
        <v/>
      </c>
      <c r="I5399" s="11" t="str">
        <f aca="false">IF($A5399="","",IF($H5399="-","-",IF(AND(IF(원본명단!$H5398="",TRUE(),COUNTIF(원본명단!$H$3:$H5398,원본명단!$H5398)=1),IF(원본명단!$I5398="",TRUE(),COUNTIF(원본명단!$I$3:$I5398,원본명단!$I5398)=1),IF(원본명단!$K5398="",TRUE(),COUNTIF(원본명단!$K$3:$K5398,원본명단!$K5398)=1)),"첫 건","중복 건")))</f>
        <v/>
      </c>
      <c r="J5399" s="11" t="str">
        <f aca="false">IF($A5399="","",IF($H5399="-","유지",IF($I5399="첫 건","유지","확인 필요")))</f>
        <v/>
      </c>
    </row>
    <row r="5400" customFormat="false" ht="15" hidden="false" customHeight="true" outlineLevel="0" collapsed="false">
      <c r="A5400" s="11" t="str">
        <f aca="false">IF(원본명단!$A5399="","",5397)</f>
        <v/>
      </c>
      <c r="B5400" s="12" t="str">
        <f aca="false">IF($A5400="","",원본명단!$A5399)</f>
        <v/>
      </c>
      <c r="C5400" s="12" t="str">
        <f aca="false">IF($A5400="","",원본명단!$B5399)</f>
        <v/>
      </c>
      <c r="D5400" s="12" t="str">
        <f aca="false">IF($A5400="","",원본명단!$D5399)</f>
        <v/>
      </c>
      <c r="E5400" s="11" t="str">
        <f aca="false">IF($A5400="","",IF(원본명단!$H5399="",0,COUNTIF(원본명단!$H$3:$H$6002,원본명단!$H5399)))</f>
        <v/>
      </c>
      <c r="F5400" s="11" t="str">
        <f aca="false">IF($A5400="","",IF(원본명단!$I5399="",0,COUNTIF(원본명단!$I$3:$I$6002,원본명단!$I5399)))</f>
        <v/>
      </c>
      <c r="G5400" s="11" t="str">
        <f aca="false">IF($A5400="","",IF(원본명단!$K5399="",0,COUNTIF(원본명단!$K$3:$K$6002,원본명단!$K5399)))</f>
        <v/>
      </c>
      <c r="H5400" s="11" t="str">
        <f aca="false">IF($A5400="","",IF(MAX($E5400,$F5400,$G5400)&gt;1,"중복","-"))</f>
        <v/>
      </c>
      <c r="I5400" s="11" t="str">
        <f aca="false">IF($A5400="","",IF($H5400="-","-",IF(AND(IF(원본명단!$H5399="",TRUE(),COUNTIF(원본명단!$H$3:$H5399,원본명단!$H5399)=1),IF(원본명단!$I5399="",TRUE(),COUNTIF(원본명단!$I$3:$I5399,원본명단!$I5399)=1),IF(원본명단!$K5399="",TRUE(),COUNTIF(원본명단!$K$3:$K5399,원본명단!$K5399)=1)),"첫 건","중복 건")))</f>
        <v/>
      </c>
      <c r="J5400" s="11" t="str">
        <f aca="false">IF($A5400="","",IF($H5400="-","유지",IF($I5400="첫 건","유지","확인 필요")))</f>
        <v/>
      </c>
    </row>
    <row r="5401" customFormat="false" ht="15" hidden="false" customHeight="true" outlineLevel="0" collapsed="false">
      <c r="A5401" s="11" t="str">
        <f aca="false">IF(원본명단!$A5400="","",5398)</f>
        <v/>
      </c>
      <c r="B5401" s="12" t="str">
        <f aca="false">IF($A5401="","",원본명단!$A5400)</f>
        <v/>
      </c>
      <c r="C5401" s="12" t="str">
        <f aca="false">IF($A5401="","",원본명단!$B5400)</f>
        <v/>
      </c>
      <c r="D5401" s="12" t="str">
        <f aca="false">IF($A5401="","",원본명단!$D5400)</f>
        <v/>
      </c>
      <c r="E5401" s="11" t="str">
        <f aca="false">IF($A5401="","",IF(원본명단!$H5400="",0,COUNTIF(원본명단!$H$3:$H$6002,원본명단!$H5400)))</f>
        <v/>
      </c>
      <c r="F5401" s="11" t="str">
        <f aca="false">IF($A5401="","",IF(원본명단!$I5400="",0,COUNTIF(원본명단!$I$3:$I$6002,원본명단!$I5400)))</f>
        <v/>
      </c>
      <c r="G5401" s="11" t="str">
        <f aca="false">IF($A5401="","",IF(원본명단!$K5400="",0,COUNTIF(원본명단!$K$3:$K$6002,원본명단!$K5400)))</f>
        <v/>
      </c>
      <c r="H5401" s="11" t="str">
        <f aca="false">IF($A5401="","",IF(MAX($E5401,$F5401,$G5401)&gt;1,"중복","-"))</f>
        <v/>
      </c>
      <c r="I5401" s="11" t="str">
        <f aca="false">IF($A5401="","",IF($H5401="-","-",IF(AND(IF(원본명단!$H5400="",TRUE(),COUNTIF(원본명단!$H$3:$H5400,원본명단!$H5400)=1),IF(원본명단!$I5400="",TRUE(),COUNTIF(원본명단!$I$3:$I5400,원본명단!$I5400)=1),IF(원본명단!$K5400="",TRUE(),COUNTIF(원본명단!$K$3:$K5400,원본명단!$K5400)=1)),"첫 건","중복 건")))</f>
        <v/>
      </c>
      <c r="J5401" s="11" t="str">
        <f aca="false">IF($A5401="","",IF($H5401="-","유지",IF($I5401="첫 건","유지","확인 필요")))</f>
        <v/>
      </c>
    </row>
    <row r="5402" customFormat="false" ht="15" hidden="false" customHeight="true" outlineLevel="0" collapsed="false">
      <c r="A5402" s="11" t="str">
        <f aca="false">IF(원본명단!$A5401="","",5399)</f>
        <v/>
      </c>
      <c r="B5402" s="12" t="str">
        <f aca="false">IF($A5402="","",원본명단!$A5401)</f>
        <v/>
      </c>
      <c r="C5402" s="12" t="str">
        <f aca="false">IF($A5402="","",원본명단!$B5401)</f>
        <v/>
      </c>
      <c r="D5402" s="12" t="str">
        <f aca="false">IF($A5402="","",원본명단!$D5401)</f>
        <v/>
      </c>
      <c r="E5402" s="11" t="str">
        <f aca="false">IF($A5402="","",IF(원본명단!$H5401="",0,COUNTIF(원본명단!$H$3:$H$6002,원본명단!$H5401)))</f>
        <v/>
      </c>
      <c r="F5402" s="11" t="str">
        <f aca="false">IF($A5402="","",IF(원본명단!$I5401="",0,COUNTIF(원본명단!$I$3:$I$6002,원본명단!$I5401)))</f>
        <v/>
      </c>
      <c r="G5402" s="11" t="str">
        <f aca="false">IF($A5402="","",IF(원본명단!$K5401="",0,COUNTIF(원본명단!$K$3:$K$6002,원본명단!$K5401)))</f>
        <v/>
      </c>
      <c r="H5402" s="11" t="str">
        <f aca="false">IF($A5402="","",IF(MAX($E5402,$F5402,$G5402)&gt;1,"중복","-"))</f>
        <v/>
      </c>
      <c r="I5402" s="11" t="str">
        <f aca="false">IF($A5402="","",IF($H5402="-","-",IF(AND(IF(원본명단!$H5401="",TRUE(),COUNTIF(원본명단!$H$3:$H5401,원본명단!$H5401)=1),IF(원본명단!$I5401="",TRUE(),COUNTIF(원본명단!$I$3:$I5401,원본명단!$I5401)=1),IF(원본명단!$K5401="",TRUE(),COUNTIF(원본명단!$K$3:$K5401,원본명단!$K5401)=1)),"첫 건","중복 건")))</f>
        <v/>
      </c>
      <c r="J5402" s="11" t="str">
        <f aca="false">IF($A5402="","",IF($H5402="-","유지",IF($I5402="첫 건","유지","확인 필요")))</f>
        <v/>
      </c>
    </row>
    <row r="5403" customFormat="false" ht="15" hidden="false" customHeight="true" outlineLevel="0" collapsed="false">
      <c r="A5403" s="11" t="str">
        <f aca="false">IF(원본명단!$A5402="","",5400)</f>
        <v/>
      </c>
      <c r="B5403" s="12" t="str">
        <f aca="false">IF($A5403="","",원본명단!$A5402)</f>
        <v/>
      </c>
      <c r="C5403" s="12" t="str">
        <f aca="false">IF($A5403="","",원본명단!$B5402)</f>
        <v/>
      </c>
      <c r="D5403" s="12" t="str">
        <f aca="false">IF($A5403="","",원본명단!$D5402)</f>
        <v/>
      </c>
      <c r="E5403" s="11" t="str">
        <f aca="false">IF($A5403="","",IF(원본명단!$H5402="",0,COUNTIF(원본명단!$H$3:$H$6002,원본명단!$H5402)))</f>
        <v/>
      </c>
      <c r="F5403" s="11" t="str">
        <f aca="false">IF($A5403="","",IF(원본명단!$I5402="",0,COUNTIF(원본명단!$I$3:$I$6002,원본명단!$I5402)))</f>
        <v/>
      </c>
      <c r="G5403" s="11" t="str">
        <f aca="false">IF($A5403="","",IF(원본명단!$K5402="",0,COUNTIF(원본명단!$K$3:$K$6002,원본명단!$K5402)))</f>
        <v/>
      </c>
      <c r="H5403" s="11" t="str">
        <f aca="false">IF($A5403="","",IF(MAX($E5403,$F5403,$G5403)&gt;1,"중복","-"))</f>
        <v/>
      </c>
      <c r="I5403" s="11" t="str">
        <f aca="false">IF($A5403="","",IF($H5403="-","-",IF(AND(IF(원본명단!$H5402="",TRUE(),COUNTIF(원본명단!$H$3:$H5402,원본명단!$H5402)=1),IF(원본명단!$I5402="",TRUE(),COUNTIF(원본명단!$I$3:$I5402,원본명단!$I5402)=1),IF(원본명단!$K5402="",TRUE(),COUNTIF(원본명단!$K$3:$K5402,원본명단!$K5402)=1)),"첫 건","중복 건")))</f>
        <v/>
      </c>
      <c r="J5403" s="11" t="str">
        <f aca="false">IF($A5403="","",IF($H5403="-","유지",IF($I5403="첫 건","유지","확인 필요")))</f>
        <v/>
      </c>
    </row>
    <row r="5404" customFormat="false" ht="15" hidden="false" customHeight="true" outlineLevel="0" collapsed="false">
      <c r="A5404" s="11" t="str">
        <f aca="false">IF(원본명단!$A5403="","",5401)</f>
        <v/>
      </c>
      <c r="B5404" s="12" t="str">
        <f aca="false">IF($A5404="","",원본명단!$A5403)</f>
        <v/>
      </c>
      <c r="C5404" s="12" t="str">
        <f aca="false">IF($A5404="","",원본명단!$B5403)</f>
        <v/>
      </c>
      <c r="D5404" s="12" t="str">
        <f aca="false">IF($A5404="","",원본명단!$D5403)</f>
        <v/>
      </c>
      <c r="E5404" s="11" t="str">
        <f aca="false">IF($A5404="","",IF(원본명단!$H5403="",0,COUNTIF(원본명단!$H$3:$H$6002,원본명단!$H5403)))</f>
        <v/>
      </c>
      <c r="F5404" s="11" t="str">
        <f aca="false">IF($A5404="","",IF(원본명단!$I5403="",0,COUNTIF(원본명단!$I$3:$I$6002,원본명단!$I5403)))</f>
        <v/>
      </c>
      <c r="G5404" s="11" t="str">
        <f aca="false">IF($A5404="","",IF(원본명단!$K5403="",0,COUNTIF(원본명단!$K$3:$K$6002,원본명단!$K5403)))</f>
        <v/>
      </c>
      <c r="H5404" s="11" t="str">
        <f aca="false">IF($A5404="","",IF(MAX($E5404,$F5404,$G5404)&gt;1,"중복","-"))</f>
        <v/>
      </c>
      <c r="I5404" s="11" t="str">
        <f aca="false">IF($A5404="","",IF($H5404="-","-",IF(AND(IF(원본명단!$H5403="",TRUE(),COUNTIF(원본명단!$H$3:$H5403,원본명단!$H5403)=1),IF(원본명단!$I5403="",TRUE(),COUNTIF(원본명단!$I$3:$I5403,원본명단!$I5403)=1),IF(원본명단!$K5403="",TRUE(),COUNTIF(원본명단!$K$3:$K5403,원본명단!$K5403)=1)),"첫 건","중복 건")))</f>
        <v/>
      </c>
      <c r="J5404" s="11" t="str">
        <f aca="false">IF($A5404="","",IF($H5404="-","유지",IF($I5404="첫 건","유지","확인 필요")))</f>
        <v/>
      </c>
    </row>
    <row r="5405" customFormat="false" ht="15" hidden="false" customHeight="true" outlineLevel="0" collapsed="false">
      <c r="A5405" s="11" t="str">
        <f aca="false">IF(원본명단!$A5404="","",5402)</f>
        <v/>
      </c>
      <c r="B5405" s="12" t="str">
        <f aca="false">IF($A5405="","",원본명단!$A5404)</f>
        <v/>
      </c>
      <c r="C5405" s="12" t="str">
        <f aca="false">IF($A5405="","",원본명단!$B5404)</f>
        <v/>
      </c>
      <c r="D5405" s="12" t="str">
        <f aca="false">IF($A5405="","",원본명단!$D5404)</f>
        <v/>
      </c>
      <c r="E5405" s="11" t="str">
        <f aca="false">IF($A5405="","",IF(원본명단!$H5404="",0,COUNTIF(원본명단!$H$3:$H$6002,원본명단!$H5404)))</f>
        <v/>
      </c>
      <c r="F5405" s="11" t="str">
        <f aca="false">IF($A5405="","",IF(원본명단!$I5404="",0,COUNTIF(원본명단!$I$3:$I$6002,원본명단!$I5404)))</f>
        <v/>
      </c>
      <c r="G5405" s="11" t="str">
        <f aca="false">IF($A5405="","",IF(원본명단!$K5404="",0,COUNTIF(원본명단!$K$3:$K$6002,원본명단!$K5404)))</f>
        <v/>
      </c>
      <c r="H5405" s="11" t="str">
        <f aca="false">IF($A5405="","",IF(MAX($E5405,$F5405,$G5405)&gt;1,"중복","-"))</f>
        <v/>
      </c>
      <c r="I5405" s="11" t="str">
        <f aca="false">IF($A5405="","",IF($H5405="-","-",IF(AND(IF(원본명단!$H5404="",TRUE(),COUNTIF(원본명단!$H$3:$H5404,원본명단!$H5404)=1),IF(원본명단!$I5404="",TRUE(),COUNTIF(원본명단!$I$3:$I5404,원본명단!$I5404)=1),IF(원본명단!$K5404="",TRUE(),COUNTIF(원본명단!$K$3:$K5404,원본명단!$K5404)=1)),"첫 건","중복 건")))</f>
        <v/>
      </c>
      <c r="J5405" s="11" t="str">
        <f aca="false">IF($A5405="","",IF($H5405="-","유지",IF($I5405="첫 건","유지","확인 필요")))</f>
        <v/>
      </c>
    </row>
    <row r="5406" customFormat="false" ht="15" hidden="false" customHeight="true" outlineLevel="0" collapsed="false">
      <c r="A5406" s="11" t="str">
        <f aca="false">IF(원본명단!$A5405="","",5403)</f>
        <v/>
      </c>
      <c r="B5406" s="12" t="str">
        <f aca="false">IF($A5406="","",원본명단!$A5405)</f>
        <v/>
      </c>
      <c r="C5406" s="12" t="str">
        <f aca="false">IF($A5406="","",원본명단!$B5405)</f>
        <v/>
      </c>
      <c r="D5406" s="12" t="str">
        <f aca="false">IF($A5406="","",원본명단!$D5405)</f>
        <v/>
      </c>
      <c r="E5406" s="11" t="str">
        <f aca="false">IF($A5406="","",IF(원본명단!$H5405="",0,COUNTIF(원본명단!$H$3:$H$6002,원본명단!$H5405)))</f>
        <v/>
      </c>
      <c r="F5406" s="11" t="str">
        <f aca="false">IF($A5406="","",IF(원본명단!$I5405="",0,COUNTIF(원본명단!$I$3:$I$6002,원본명단!$I5405)))</f>
        <v/>
      </c>
      <c r="G5406" s="11" t="str">
        <f aca="false">IF($A5406="","",IF(원본명단!$K5405="",0,COUNTIF(원본명단!$K$3:$K$6002,원본명단!$K5405)))</f>
        <v/>
      </c>
      <c r="H5406" s="11" t="str">
        <f aca="false">IF($A5406="","",IF(MAX($E5406,$F5406,$G5406)&gt;1,"중복","-"))</f>
        <v/>
      </c>
      <c r="I5406" s="11" t="str">
        <f aca="false">IF($A5406="","",IF($H5406="-","-",IF(AND(IF(원본명단!$H5405="",TRUE(),COUNTIF(원본명단!$H$3:$H5405,원본명단!$H5405)=1),IF(원본명단!$I5405="",TRUE(),COUNTIF(원본명단!$I$3:$I5405,원본명단!$I5405)=1),IF(원본명단!$K5405="",TRUE(),COUNTIF(원본명단!$K$3:$K5405,원본명단!$K5405)=1)),"첫 건","중복 건")))</f>
        <v/>
      </c>
      <c r="J5406" s="11" t="str">
        <f aca="false">IF($A5406="","",IF($H5406="-","유지",IF($I5406="첫 건","유지","확인 필요")))</f>
        <v/>
      </c>
    </row>
    <row r="5407" customFormat="false" ht="15" hidden="false" customHeight="true" outlineLevel="0" collapsed="false">
      <c r="A5407" s="11" t="str">
        <f aca="false">IF(원본명단!$A5406="","",5404)</f>
        <v/>
      </c>
      <c r="B5407" s="12" t="str">
        <f aca="false">IF($A5407="","",원본명단!$A5406)</f>
        <v/>
      </c>
      <c r="C5407" s="12" t="str">
        <f aca="false">IF($A5407="","",원본명단!$B5406)</f>
        <v/>
      </c>
      <c r="D5407" s="12" t="str">
        <f aca="false">IF($A5407="","",원본명단!$D5406)</f>
        <v/>
      </c>
      <c r="E5407" s="11" t="str">
        <f aca="false">IF($A5407="","",IF(원본명단!$H5406="",0,COUNTIF(원본명단!$H$3:$H$6002,원본명단!$H5406)))</f>
        <v/>
      </c>
      <c r="F5407" s="11" t="str">
        <f aca="false">IF($A5407="","",IF(원본명단!$I5406="",0,COUNTIF(원본명단!$I$3:$I$6002,원본명단!$I5406)))</f>
        <v/>
      </c>
      <c r="G5407" s="11" t="str">
        <f aca="false">IF($A5407="","",IF(원본명단!$K5406="",0,COUNTIF(원본명단!$K$3:$K$6002,원본명단!$K5406)))</f>
        <v/>
      </c>
      <c r="H5407" s="11" t="str">
        <f aca="false">IF($A5407="","",IF(MAX($E5407,$F5407,$G5407)&gt;1,"중복","-"))</f>
        <v/>
      </c>
      <c r="I5407" s="11" t="str">
        <f aca="false">IF($A5407="","",IF($H5407="-","-",IF(AND(IF(원본명단!$H5406="",TRUE(),COUNTIF(원본명단!$H$3:$H5406,원본명단!$H5406)=1),IF(원본명단!$I5406="",TRUE(),COUNTIF(원본명단!$I$3:$I5406,원본명단!$I5406)=1),IF(원본명단!$K5406="",TRUE(),COUNTIF(원본명단!$K$3:$K5406,원본명단!$K5406)=1)),"첫 건","중복 건")))</f>
        <v/>
      </c>
      <c r="J5407" s="11" t="str">
        <f aca="false">IF($A5407="","",IF($H5407="-","유지",IF($I5407="첫 건","유지","확인 필요")))</f>
        <v/>
      </c>
    </row>
    <row r="5408" customFormat="false" ht="15" hidden="false" customHeight="true" outlineLevel="0" collapsed="false">
      <c r="A5408" s="11" t="str">
        <f aca="false">IF(원본명단!$A5407="","",5405)</f>
        <v/>
      </c>
      <c r="B5408" s="12" t="str">
        <f aca="false">IF($A5408="","",원본명단!$A5407)</f>
        <v/>
      </c>
      <c r="C5408" s="12" t="str">
        <f aca="false">IF($A5408="","",원본명단!$B5407)</f>
        <v/>
      </c>
      <c r="D5408" s="12" t="str">
        <f aca="false">IF($A5408="","",원본명단!$D5407)</f>
        <v/>
      </c>
      <c r="E5408" s="11" t="str">
        <f aca="false">IF($A5408="","",IF(원본명단!$H5407="",0,COUNTIF(원본명단!$H$3:$H$6002,원본명단!$H5407)))</f>
        <v/>
      </c>
      <c r="F5408" s="11" t="str">
        <f aca="false">IF($A5408="","",IF(원본명단!$I5407="",0,COUNTIF(원본명단!$I$3:$I$6002,원본명단!$I5407)))</f>
        <v/>
      </c>
      <c r="G5408" s="11" t="str">
        <f aca="false">IF($A5408="","",IF(원본명단!$K5407="",0,COUNTIF(원본명단!$K$3:$K$6002,원본명단!$K5407)))</f>
        <v/>
      </c>
      <c r="H5408" s="11" t="str">
        <f aca="false">IF($A5408="","",IF(MAX($E5408,$F5408,$G5408)&gt;1,"중복","-"))</f>
        <v/>
      </c>
      <c r="I5408" s="11" t="str">
        <f aca="false">IF($A5408="","",IF($H5408="-","-",IF(AND(IF(원본명단!$H5407="",TRUE(),COUNTIF(원본명단!$H$3:$H5407,원본명단!$H5407)=1),IF(원본명단!$I5407="",TRUE(),COUNTIF(원본명단!$I$3:$I5407,원본명단!$I5407)=1),IF(원본명단!$K5407="",TRUE(),COUNTIF(원본명단!$K$3:$K5407,원본명단!$K5407)=1)),"첫 건","중복 건")))</f>
        <v/>
      </c>
      <c r="J5408" s="11" t="str">
        <f aca="false">IF($A5408="","",IF($H5408="-","유지",IF($I5408="첫 건","유지","확인 필요")))</f>
        <v/>
      </c>
    </row>
    <row r="5409" customFormat="false" ht="15" hidden="false" customHeight="true" outlineLevel="0" collapsed="false">
      <c r="A5409" s="11" t="str">
        <f aca="false">IF(원본명단!$A5408="","",5406)</f>
        <v/>
      </c>
      <c r="B5409" s="12" t="str">
        <f aca="false">IF($A5409="","",원본명단!$A5408)</f>
        <v/>
      </c>
      <c r="C5409" s="12" t="str">
        <f aca="false">IF($A5409="","",원본명단!$B5408)</f>
        <v/>
      </c>
      <c r="D5409" s="12" t="str">
        <f aca="false">IF($A5409="","",원본명단!$D5408)</f>
        <v/>
      </c>
      <c r="E5409" s="11" t="str">
        <f aca="false">IF($A5409="","",IF(원본명단!$H5408="",0,COUNTIF(원본명단!$H$3:$H$6002,원본명단!$H5408)))</f>
        <v/>
      </c>
      <c r="F5409" s="11" t="str">
        <f aca="false">IF($A5409="","",IF(원본명단!$I5408="",0,COUNTIF(원본명단!$I$3:$I$6002,원본명단!$I5408)))</f>
        <v/>
      </c>
      <c r="G5409" s="11" t="str">
        <f aca="false">IF($A5409="","",IF(원본명단!$K5408="",0,COUNTIF(원본명단!$K$3:$K$6002,원본명단!$K5408)))</f>
        <v/>
      </c>
      <c r="H5409" s="11" t="str">
        <f aca="false">IF($A5409="","",IF(MAX($E5409,$F5409,$G5409)&gt;1,"중복","-"))</f>
        <v/>
      </c>
      <c r="I5409" s="11" t="str">
        <f aca="false">IF($A5409="","",IF($H5409="-","-",IF(AND(IF(원본명단!$H5408="",TRUE(),COUNTIF(원본명단!$H$3:$H5408,원본명단!$H5408)=1),IF(원본명단!$I5408="",TRUE(),COUNTIF(원본명단!$I$3:$I5408,원본명단!$I5408)=1),IF(원본명단!$K5408="",TRUE(),COUNTIF(원본명단!$K$3:$K5408,원본명단!$K5408)=1)),"첫 건","중복 건")))</f>
        <v/>
      </c>
      <c r="J5409" s="11" t="str">
        <f aca="false">IF($A5409="","",IF($H5409="-","유지",IF($I5409="첫 건","유지","확인 필요")))</f>
        <v/>
      </c>
    </row>
    <row r="5410" customFormat="false" ht="15" hidden="false" customHeight="true" outlineLevel="0" collapsed="false">
      <c r="A5410" s="11" t="str">
        <f aca="false">IF(원본명단!$A5409="","",5407)</f>
        <v/>
      </c>
      <c r="B5410" s="12" t="str">
        <f aca="false">IF($A5410="","",원본명단!$A5409)</f>
        <v/>
      </c>
      <c r="C5410" s="12" t="str">
        <f aca="false">IF($A5410="","",원본명단!$B5409)</f>
        <v/>
      </c>
      <c r="D5410" s="12" t="str">
        <f aca="false">IF($A5410="","",원본명단!$D5409)</f>
        <v/>
      </c>
      <c r="E5410" s="11" t="str">
        <f aca="false">IF($A5410="","",IF(원본명단!$H5409="",0,COUNTIF(원본명단!$H$3:$H$6002,원본명단!$H5409)))</f>
        <v/>
      </c>
      <c r="F5410" s="11" t="str">
        <f aca="false">IF($A5410="","",IF(원본명단!$I5409="",0,COUNTIF(원본명단!$I$3:$I$6002,원본명단!$I5409)))</f>
        <v/>
      </c>
      <c r="G5410" s="11" t="str">
        <f aca="false">IF($A5410="","",IF(원본명단!$K5409="",0,COUNTIF(원본명단!$K$3:$K$6002,원본명단!$K5409)))</f>
        <v/>
      </c>
      <c r="H5410" s="11" t="str">
        <f aca="false">IF($A5410="","",IF(MAX($E5410,$F5410,$G5410)&gt;1,"중복","-"))</f>
        <v/>
      </c>
      <c r="I5410" s="11" t="str">
        <f aca="false">IF($A5410="","",IF($H5410="-","-",IF(AND(IF(원본명단!$H5409="",TRUE(),COUNTIF(원본명단!$H$3:$H5409,원본명단!$H5409)=1),IF(원본명단!$I5409="",TRUE(),COUNTIF(원본명단!$I$3:$I5409,원본명단!$I5409)=1),IF(원본명단!$K5409="",TRUE(),COUNTIF(원본명단!$K$3:$K5409,원본명단!$K5409)=1)),"첫 건","중복 건")))</f>
        <v/>
      </c>
      <c r="J5410" s="11" t="str">
        <f aca="false">IF($A5410="","",IF($H5410="-","유지",IF($I5410="첫 건","유지","확인 필요")))</f>
        <v/>
      </c>
    </row>
    <row r="5411" customFormat="false" ht="15" hidden="false" customHeight="true" outlineLevel="0" collapsed="false">
      <c r="A5411" s="11" t="str">
        <f aca="false">IF(원본명단!$A5410="","",5408)</f>
        <v/>
      </c>
      <c r="B5411" s="12" t="str">
        <f aca="false">IF($A5411="","",원본명단!$A5410)</f>
        <v/>
      </c>
      <c r="C5411" s="12" t="str">
        <f aca="false">IF($A5411="","",원본명단!$B5410)</f>
        <v/>
      </c>
      <c r="D5411" s="12" t="str">
        <f aca="false">IF($A5411="","",원본명단!$D5410)</f>
        <v/>
      </c>
      <c r="E5411" s="11" t="str">
        <f aca="false">IF($A5411="","",IF(원본명단!$H5410="",0,COUNTIF(원본명단!$H$3:$H$6002,원본명단!$H5410)))</f>
        <v/>
      </c>
      <c r="F5411" s="11" t="str">
        <f aca="false">IF($A5411="","",IF(원본명단!$I5410="",0,COUNTIF(원본명단!$I$3:$I$6002,원본명단!$I5410)))</f>
        <v/>
      </c>
      <c r="G5411" s="11" t="str">
        <f aca="false">IF($A5411="","",IF(원본명단!$K5410="",0,COUNTIF(원본명단!$K$3:$K$6002,원본명단!$K5410)))</f>
        <v/>
      </c>
      <c r="H5411" s="11" t="str">
        <f aca="false">IF($A5411="","",IF(MAX($E5411,$F5411,$G5411)&gt;1,"중복","-"))</f>
        <v/>
      </c>
      <c r="I5411" s="11" t="str">
        <f aca="false">IF($A5411="","",IF($H5411="-","-",IF(AND(IF(원본명단!$H5410="",TRUE(),COUNTIF(원본명단!$H$3:$H5410,원본명단!$H5410)=1),IF(원본명단!$I5410="",TRUE(),COUNTIF(원본명단!$I$3:$I5410,원본명단!$I5410)=1),IF(원본명단!$K5410="",TRUE(),COUNTIF(원본명단!$K$3:$K5410,원본명단!$K5410)=1)),"첫 건","중복 건")))</f>
        <v/>
      </c>
      <c r="J5411" s="11" t="str">
        <f aca="false">IF($A5411="","",IF($H5411="-","유지",IF($I5411="첫 건","유지","확인 필요")))</f>
        <v/>
      </c>
    </row>
    <row r="5412" customFormat="false" ht="15" hidden="false" customHeight="true" outlineLevel="0" collapsed="false">
      <c r="A5412" s="11" t="str">
        <f aca="false">IF(원본명단!$A5411="","",5409)</f>
        <v/>
      </c>
      <c r="B5412" s="12" t="str">
        <f aca="false">IF($A5412="","",원본명단!$A5411)</f>
        <v/>
      </c>
      <c r="C5412" s="12" t="str">
        <f aca="false">IF($A5412="","",원본명단!$B5411)</f>
        <v/>
      </c>
      <c r="D5412" s="12" t="str">
        <f aca="false">IF($A5412="","",원본명단!$D5411)</f>
        <v/>
      </c>
      <c r="E5412" s="11" t="str">
        <f aca="false">IF($A5412="","",IF(원본명단!$H5411="",0,COUNTIF(원본명단!$H$3:$H$6002,원본명단!$H5411)))</f>
        <v/>
      </c>
      <c r="F5412" s="11" t="str">
        <f aca="false">IF($A5412="","",IF(원본명단!$I5411="",0,COUNTIF(원본명단!$I$3:$I$6002,원본명단!$I5411)))</f>
        <v/>
      </c>
      <c r="G5412" s="11" t="str">
        <f aca="false">IF($A5412="","",IF(원본명단!$K5411="",0,COUNTIF(원본명단!$K$3:$K$6002,원본명단!$K5411)))</f>
        <v/>
      </c>
      <c r="H5412" s="11" t="str">
        <f aca="false">IF($A5412="","",IF(MAX($E5412,$F5412,$G5412)&gt;1,"중복","-"))</f>
        <v/>
      </c>
      <c r="I5412" s="11" t="str">
        <f aca="false">IF($A5412="","",IF($H5412="-","-",IF(AND(IF(원본명단!$H5411="",TRUE(),COUNTIF(원본명단!$H$3:$H5411,원본명단!$H5411)=1),IF(원본명단!$I5411="",TRUE(),COUNTIF(원본명단!$I$3:$I5411,원본명단!$I5411)=1),IF(원본명단!$K5411="",TRUE(),COUNTIF(원본명단!$K$3:$K5411,원본명단!$K5411)=1)),"첫 건","중복 건")))</f>
        <v/>
      </c>
      <c r="J5412" s="11" t="str">
        <f aca="false">IF($A5412="","",IF($H5412="-","유지",IF($I5412="첫 건","유지","확인 필요")))</f>
        <v/>
      </c>
    </row>
    <row r="5413" customFormat="false" ht="15" hidden="false" customHeight="true" outlineLevel="0" collapsed="false">
      <c r="A5413" s="11" t="str">
        <f aca="false">IF(원본명단!$A5412="","",5410)</f>
        <v/>
      </c>
      <c r="B5413" s="12" t="str">
        <f aca="false">IF($A5413="","",원본명단!$A5412)</f>
        <v/>
      </c>
      <c r="C5413" s="12" t="str">
        <f aca="false">IF($A5413="","",원본명단!$B5412)</f>
        <v/>
      </c>
      <c r="D5413" s="12" t="str">
        <f aca="false">IF($A5413="","",원본명단!$D5412)</f>
        <v/>
      </c>
      <c r="E5413" s="11" t="str">
        <f aca="false">IF($A5413="","",IF(원본명단!$H5412="",0,COUNTIF(원본명단!$H$3:$H$6002,원본명단!$H5412)))</f>
        <v/>
      </c>
      <c r="F5413" s="11" t="str">
        <f aca="false">IF($A5413="","",IF(원본명단!$I5412="",0,COUNTIF(원본명단!$I$3:$I$6002,원본명단!$I5412)))</f>
        <v/>
      </c>
      <c r="G5413" s="11" t="str">
        <f aca="false">IF($A5413="","",IF(원본명단!$K5412="",0,COUNTIF(원본명단!$K$3:$K$6002,원본명단!$K5412)))</f>
        <v/>
      </c>
      <c r="H5413" s="11" t="str">
        <f aca="false">IF($A5413="","",IF(MAX($E5413,$F5413,$G5413)&gt;1,"중복","-"))</f>
        <v/>
      </c>
      <c r="I5413" s="11" t="str">
        <f aca="false">IF($A5413="","",IF($H5413="-","-",IF(AND(IF(원본명단!$H5412="",TRUE(),COUNTIF(원본명단!$H$3:$H5412,원본명단!$H5412)=1),IF(원본명단!$I5412="",TRUE(),COUNTIF(원본명단!$I$3:$I5412,원본명단!$I5412)=1),IF(원본명단!$K5412="",TRUE(),COUNTIF(원본명단!$K$3:$K5412,원본명단!$K5412)=1)),"첫 건","중복 건")))</f>
        <v/>
      </c>
      <c r="J5413" s="11" t="str">
        <f aca="false">IF($A5413="","",IF($H5413="-","유지",IF($I5413="첫 건","유지","확인 필요")))</f>
        <v/>
      </c>
    </row>
    <row r="5414" customFormat="false" ht="15" hidden="false" customHeight="true" outlineLevel="0" collapsed="false">
      <c r="A5414" s="11" t="str">
        <f aca="false">IF(원본명단!$A5413="","",5411)</f>
        <v/>
      </c>
      <c r="B5414" s="12" t="str">
        <f aca="false">IF($A5414="","",원본명단!$A5413)</f>
        <v/>
      </c>
      <c r="C5414" s="12" t="str">
        <f aca="false">IF($A5414="","",원본명단!$B5413)</f>
        <v/>
      </c>
      <c r="D5414" s="12" t="str">
        <f aca="false">IF($A5414="","",원본명단!$D5413)</f>
        <v/>
      </c>
      <c r="E5414" s="11" t="str">
        <f aca="false">IF($A5414="","",IF(원본명단!$H5413="",0,COUNTIF(원본명단!$H$3:$H$6002,원본명단!$H5413)))</f>
        <v/>
      </c>
      <c r="F5414" s="11" t="str">
        <f aca="false">IF($A5414="","",IF(원본명단!$I5413="",0,COUNTIF(원본명단!$I$3:$I$6002,원본명단!$I5413)))</f>
        <v/>
      </c>
      <c r="G5414" s="11" t="str">
        <f aca="false">IF($A5414="","",IF(원본명단!$K5413="",0,COUNTIF(원본명단!$K$3:$K$6002,원본명단!$K5413)))</f>
        <v/>
      </c>
      <c r="H5414" s="11" t="str">
        <f aca="false">IF($A5414="","",IF(MAX($E5414,$F5414,$G5414)&gt;1,"중복","-"))</f>
        <v/>
      </c>
      <c r="I5414" s="11" t="str">
        <f aca="false">IF($A5414="","",IF($H5414="-","-",IF(AND(IF(원본명단!$H5413="",TRUE(),COUNTIF(원본명단!$H$3:$H5413,원본명단!$H5413)=1),IF(원본명단!$I5413="",TRUE(),COUNTIF(원본명단!$I$3:$I5413,원본명단!$I5413)=1),IF(원본명단!$K5413="",TRUE(),COUNTIF(원본명단!$K$3:$K5413,원본명단!$K5413)=1)),"첫 건","중복 건")))</f>
        <v/>
      </c>
      <c r="J5414" s="11" t="str">
        <f aca="false">IF($A5414="","",IF($H5414="-","유지",IF($I5414="첫 건","유지","확인 필요")))</f>
        <v/>
      </c>
    </row>
    <row r="5415" customFormat="false" ht="15" hidden="false" customHeight="true" outlineLevel="0" collapsed="false">
      <c r="A5415" s="11" t="str">
        <f aca="false">IF(원본명단!$A5414="","",5412)</f>
        <v/>
      </c>
      <c r="B5415" s="12" t="str">
        <f aca="false">IF($A5415="","",원본명단!$A5414)</f>
        <v/>
      </c>
      <c r="C5415" s="12" t="str">
        <f aca="false">IF($A5415="","",원본명단!$B5414)</f>
        <v/>
      </c>
      <c r="D5415" s="12" t="str">
        <f aca="false">IF($A5415="","",원본명단!$D5414)</f>
        <v/>
      </c>
      <c r="E5415" s="11" t="str">
        <f aca="false">IF($A5415="","",IF(원본명단!$H5414="",0,COUNTIF(원본명단!$H$3:$H$6002,원본명단!$H5414)))</f>
        <v/>
      </c>
      <c r="F5415" s="11" t="str">
        <f aca="false">IF($A5415="","",IF(원본명단!$I5414="",0,COUNTIF(원본명단!$I$3:$I$6002,원본명단!$I5414)))</f>
        <v/>
      </c>
      <c r="G5415" s="11" t="str">
        <f aca="false">IF($A5415="","",IF(원본명단!$K5414="",0,COUNTIF(원본명단!$K$3:$K$6002,원본명단!$K5414)))</f>
        <v/>
      </c>
      <c r="H5415" s="11" t="str">
        <f aca="false">IF($A5415="","",IF(MAX($E5415,$F5415,$G5415)&gt;1,"중복","-"))</f>
        <v/>
      </c>
      <c r="I5415" s="11" t="str">
        <f aca="false">IF($A5415="","",IF($H5415="-","-",IF(AND(IF(원본명단!$H5414="",TRUE(),COUNTIF(원본명단!$H$3:$H5414,원본명단!$H5414)=1),IF(원본명단!$I5414="",TRUE(),COUNTIF(원본명단!$I$3:$I5414,원본명단!$I5414)=1),IF(원본명단!$K5414="",TRUE(),COUNTIF(원본명단!$K$3:$K5414,원본명단!$K5414)=1)),"첫 건","중복 건")))</f>
        <v/>
      </c>
      <c r="J5415" s="11" t="str">
        <f aca="false">IF($A5415="","",IF($H5415="-","유지",IF($I5415="첫 건","유지","확인 필요")))</f>
        <v/>
      </c>
    </row>
    <row r="5416" customFormat="false" ht="15" hidden="false" customHeight="true" outlineLevel="0" collapsed="false">
      <c r="A5416" s="11" t="str">
        <f aca="false">IF(원본명단!$A5415="","",5413)</f>
        <v/>
      </c>
      <c r="B5416" s="12" t="str">
        <f aca="false">IF($A5416="","",원본명단!$A5415)</f>
        <v/>
      </c>
      <c r="C5416" s="12" t="str">
        <f aca="false">IF($A5416="","",원본명단!$B5415)</f>
        <v/>
      </c>
      <c r="D5416" s="12" t="str">
        <f aca="false">IF($A5416="","",원본명단!$D5415)</f>
        <v/>
      </c>
      <c r="E5416" s="11" t="str">
        <f aca="false">IF($A5416="","",IF(원본명단!$H5415="",0,COUNTIF(원본명단!$H$3:$H$6002,원본명단!$H5415)))</f>
        <v/>
      </c>
      <c r="F5416" s="11" t="str">
        <f aca="false">IF($A5416="","",IF(원본명단!$I5415="",0,COUNTIF(원본명단!$I$3:$I$6002,원본명단!$I5415)))</f>
        <v/>
      </c>
      <c r="G5416" s="11" t="str">
        <f aca="false">IF($A5416="","",IF(원본명단!$K5415="",0,COUNTIF(원본명단!$K$3:$K$6002,원본명단!$K5415)))</f>
        <v/>
      </c>
      <c r="H5416" s="11" t="str">
        <f aca="false">IF($A5416="","",IF(MAX($E5416,$F5416,$G5416)&gt;1,"중복","-"))</f>
        <v/>
      </c>
      <c r="I5416" s="11" t="str">
        <f aca="false">IF($A5416="","",IF($H5416="-","-",IF(AND(IF(원본명단!$H5415="",TRUE(),COUNTIF(원본명단!$H$3:$H5415,원본명단!$H5415)=1),IF(원본명단!$I5415="",TRUE(),COUNTIF(원본명단!$I$3:$I5415,원본명단!$I5415)=1),IF(원본명단!$K5415="",TRUE(),COUNTIF(원본명단!$K$3:$K5415,원본명단!$K5415)=1)),"첫 건","중복 건")))</f>
        <v/>
      </c>
      <c r="J5416" s="11" t="str">
        <f aca="false">IF($A5416="","",IF($H5416="-","유지",IF($I5416="첫 건","유지","확인 필요")))</f>
        <v/>
      </c>
    </row>
    <row r="5417" customFormat="false" ht="15" hidden="false" customHeight="true" outlineLevel="0" collapsed="false">
      <c r="A5417" s="11" t="str">
        <f aca="false">IF(원본명단!$A5416="","",5414)</f>
        <v/>
      </c>
      <c r="B5417" s="12" t="str">
        <f aca="false">IF($A5417="","",원본명단!$A5416)</f>
        <v/>
      </c>
      <c r="C5417" s="12" t="str">
        <f aca="false">IF($A5417="","",원본명단!$B5416)</f>
        <v/>
      </c>
      <c r="D5417" s="12" t="str">
        <f aca="false">IF($A5417="","",원본명단!$D5416)</f>
        <v/>
      </c>
      <c r="E5417" s="11" t="str">
        <f aca="false">IF($A5417="","",IF(원본명단!$H5416="",0,COUNTIF(원본명단!$H$3:$H$6002,원본명단!$H5416)))</f>
        <v/>
      </c>
      <c r="F5417" s="11" t="str">
        <f aca="false">IF($A5417="","",IF(원본명단!$I5416="",0,COUNTIF(원본명단!$I$3:$I$6002,원본명단!$I5416)))</f>
        <v/>
      </c>
      <c r="G5417" s="11" t="str">
        <f aca="false">IF($A5417="","",IF(원본명단!$K5416="",0,COUNTIF(원본명단!$K$3:$K$6002,원본명단!$K5416)))</f>
        <v/>
      </c>
      <c r="H5417" s="11" t="str">
        <f aca="false">IF($A5417="","",IF(MAX($E5417,$F5417,$G5417)&gt;1,"중복","-"))</f>
        <v/>
      </c>
      <c r="I5417" s="11" t="str">
        <f aca="false">IF($A5417="","",IF($H5417="-","-",IF(AND(IF(원본명단!$H5416="",TRUE(),COUNTIF(원본명단!$H$3:$H5416,원본명단!$H5416)=1),IF(원본명단!$I5416="",TRUE(),COUNTIF(원본명단!$I$3:$I5416,원본명단!$I5416)=1),IF(원본명단!$K5416="",TRUE(),COUNTIF(원본명단!$K$3:$K5416,원본명단!$K5416)=1)),"첫 건","중복 건")))</f>
        <v/>
      </c>
      <c r="J5417" s="11" t="str">
        <f aca="false">IF($A5417="","",IF($H5417="-","유지",IF($I5417="첫 건","유지","확인 필요")))</f>
        <v/>
      </c>
    </row>
    <row r="5418" customFormat="false" ht="15" hidden="false" customHeight="true" outlineLevel="0" collapsed="false">
      <c r="A5418" s="11" t="str">
        <f aca="false">IF(원본명단!$A5417="","",5415)</f>
        <v/>
      </c>
      <c r="B5418" s="12" t="str">
        <f aca="false">IF($A5418="","",원본명단!$A5417)</f>
        <v/>
      </c>
      <c r="C5418" s="12" t="str">
        <f aca="false">IF($A5418="","",원본명단!$B5417)</f>
        <v/>
      </c>
      <c r="D5418" s="12" t="str">
        <f aca="false">IF($A5418="","",원본명단!$D5417)</f>
        <v/>
      </c>
      <c r="E5418" s="11" t="str">
        <f aca="false">IF($A5418="","",IF(원본명단!$H5417="",0,COUNTIF(원본명단!$H$3:$H$6002,원본명단!$H5417)))</f>
        <v/>
      </c>
      <c r="F5418" s="11" t="str">
        <f aca="false">IF($A5418="","",IF(원본명단!$I5417="",0,COUNTIF(원본명단!$I$3:$I$6002,원본명단!$I5417)))</f>
        <v/>
      </c>
      <c r="G5418" s="11" t="str">
        <f aca="false">IF($A5418="","",IF(원본명단!$K5417="",0,COUNTIF(원본명단!$K$3:$K$6002,원본명단!$K5417)))</f>
        <v/>
      </c>
      <c r="H5418" s="11" t="str">
        <f aca="false">IF($A5418="","",IF(MAX($E5418,$F5418,$G5418)&gt;1,"중복","-"))</f>
        <v/>
      </c>
      <c r="I5418" s="11" t="str">
        <f aca="false">IF($A5418="","",IF($H5418="-","-",IF(AND(IF(원본명단!$H5417="",TRUE(),COUNTIF(원본명단!$H$3:$H5417,원본명단!$H5417)=1),IF(원본명단!$I5417="",TRUE(),COUNTIF(원본명단!$I$3:$I5417,원본명단!$I5417)=1),IF(원본명단!$K5417="",TRUE(),COUNTIF(원본명단!$K$3:$K5417,원본명단!$K5417)=1)),"첫 건","중복 건")))</f>
        <v/>
      </c>
      <c r="J5418" s="11" t="str">
        <f aca="false">IF($A5418="","",IF($H5418="-","유지",IF($I5418="첫 건","유지","확인 필요")))</f>
        <v/>
      </c>
    </row>
    <row r="5419" customFormat="false" ht="15" hidden="false" customHeight="true" outlineLevel="0" collapsed="false">
      <c r="A5419" s="11" t="str">
        <f aca="false">IF(원본명단!$A5418="","",5416)</f>
        <v/>
      </c>
      <c r="B5419" s="12" t="str">
        <f aca="false">IF($A5419="","",원본명단!$A5418)</f>
        <v/>
      </c>
      <c r="C5419" s="12" t="str">
        <f aca="false">IF($A5419="","",원본명단!$B5418)</f>
        <v/>
      </c>
      <c r="D5419" s="12" t="str">
        <f aca="false">IF($A5419="","",원본명단!$D5418)</f>
        <v/>
      </c>
      <c r="E5419" s="11" t="str">
        <f aca="false">IF($A5419="","",IF(원본명단!$H5418="",0,COUNTIF(원본명단!$H$3:$H$6002,원본명단!$H5418)))</f>
        <v/>
      </c>
      <c r="F5419" s="11" t="str">
        <f aca="false">IF($A5419="","",IF(원본명단!$I5418="",0,COUNTIF(원본명단!$I$3:$I$6002,원본명단!$I5418)))</f>
        <v/>
      </c>
      <c r="G5419" s="11" t="str">
        <f aca="false">IF($A5419="","",IF(원본명단!$K5418="",0,COUNTIF(원본명단!$K$3:$K$6002,원본명단!$K5418)))</f>
        <v/>
      </c>
      <c r="H5419" s="11" t="str">
        <f aca="false">IF($A5419="","",IF(MAX($E5419,$F5419,$G5419)&gt;1,"중복","-"))</f>
        <v/>
      </c>
      <c r="I5419" s="11" t="str">
        <f aca="false">IF($A5419="","",IF($H5419="-","-",IF(AND(IF(원본명단!$H5418="",TRUE(),COUNTIF(원본명단!$H$3:$H5418,원본명단!$H5418)=1),IF(원본명단!$I5418="",TRUE(),COUNTIF(원본명단!$I$3:$I5418,원본명단!$I5418)=1),IF(원본명단!$K5418="",TRUE(),COUNTIF(원본명단!$K$3:$K5418,원본명단!$K5418)=1)),"첫 건","중복 건")))</f>
        <v/>
      </c>
      <c r="J5419" s="11" t="str">
        <f aca="false">IF($A5419="","",IF($H5419="-","유지",IF($I5419="첫 건","유지","확인 필요")))</f>
        <v/>
      </c>
    </row>
    <row r="5420" customFormat="false" ht="15" hidden="false" customHeight="true" outlineLevel="0" collapsed="false">
      <c r="A5420" s="11" t="str">
        <f aca="false">IF(원본명단!$A5419="","",5417)</f>
        <v/>
      </c>
      <c r="B5420" s="12" t="str">
        <f aca="false">IF($A5420="","",원본명단!$A5419)</f>
        <v/>
      </c>
      <c r="C5420" s="12" t="str">
        <f aca="false">IF($A5420="","",원본명단!$B5419)</f>
        <v/>
      </c>
      <c r="D5420" s="12" t="str">
        <f aca="false">IF($A5420="","",원본명단!$D5419)</f>
        <v/>
      </c>
      <c r="E5420" s="11" t="str">
        <f aca="false">IF($A5420="","",IF(원본명단!$H5419="",0,COUNTIF(원본명단!$H$3:$H$6002,원본명단!$H5419)))</f>
        <v/>
      </c>
      <c r="F5420" s="11" t="str">
        <f aca="false">IF($A5420="","",IF(원본명단!$I5419="",0,COUNTIF(원본명단!$I$3:$I$6002,원본명단!$I5419)))</f>
        <v/>
      </c>
      <c r="G5420" s="11" t="str">
        <f aca="false">IF($A5420="","",IF(원본명단!$K5419="",0,COUNTIF(원본명단!$K$3:$K$6002,원본명단!$K5419)))</f>
        <v/>
      </c>
      <c r="H5420" s="11" t="str">
        <f aca="false">IF($A5420="","",IF(MAX($E5420,$F5420,$G5420)&gt;1,"중복","-"))</f>
        <v/>
      </c>
      <c r="I5420" s="11" t="str">
        <f aca="false">IF($A5420="","",IF($H5420="-","-",IF(AND(IF(원본명단!$H5419="",TRUE(),COUNTIF(원본명단!$H$3:$H5419,원본명단!$H5419)=1),IF(원본명단!$I5419="",TRUE(),COUNTIF(원본명단!$I$3:$I5419,원본명단!$I5419)=1),IF(원본명단!$K5419="",TRUE(),COUNTIF(원본명단!$K$3:$K5419,원본명단!$K5419)=1)),"첫 건","중복 건")))</f>
        <v/>
      </c>
      <c r="J5420" s="11" t="str">
        <f aca="false">IF($A5420="","",IF($H5420="-","유지",IF($I5420="첫 건","유지","확인 필요")))</f>
        <v/>
      </c>
    </row>
    <row r="5421" customFormat="false" ht="15" hidden="false" customHeight="true" outlineLevel="0" collapsed="false">
      <c r="A5421" s="11" t="str">
        <f aca="false">IF(원본명단!$A5420="","",5418)</f>
        <v/>
      </c>
      <c r="B5421" s="12" t="str">
        <f aca="false">IF($A5421="","",원본명단!$A5420)</f>
        <v/>
      </c>
      <c r="C5421" s="12" t="str">
        <f aca="false">IF($A5421="","",원본명단!$B5420)</f>
        <v/>
      </c>
      <c r="D5421" s="12" t="str">
        <f aca="false">IF($A5421="","",원본명단!$D5420)</f>
        <v/>
      </c>
      <c r="E5421" s="11" t="str">
        <f aca="false">IF($A5421="","",IF(원본명단!$H5420="",0,COUNTIF(원본명단!$H$3:$H$6002,원본명단!$H5420)))</f>
        <v/>
      </c>
      <c r="F5421" s="11" t="str">
        <f aca="false">IF($A5421="","",IF(원본명단!$I5420="",0,COUNTIF(원본명단!$I$3:$I$6002,원본명단!$I5420)))</f>
        <v/>
      </c>
      <c r="G5421" s="11" t="str">
        <f aca="false">IF($A5421="","",IF(원본명단!$K5420="",0,COUNTIF(원본명단!$K$3:$K$6002,원본명단!$K5420)))</f>
        <v/>
      </c>
      <c r="H5421" s="11" t="str">
        <f aca="false">IF($A5421="","",IF(MAX($E5421,$F5421,$G5421)&gt;1,"중복","-"))</f>
        <v/>
      </c>
      <c r="I5421" s="11" t="str">
        <f aca="false">IF($A5421="","",IF($H5421="-","-",IF(AND(IF(원본명단!$H5420="",TRUE(),COUNTIF(원본명단!$H$3:$H5420,원본명단!$H5420)=1),IF(원본명단!$I5420="",TRUE(),COUNTIF(원본명단!$I$3:$I5420,원본명단!$I5420)=1),IF(원본명단!$K5420="",TRUE(),COUNTIF(원본명단!$K$3:$K5420,원본명단!$K5420)=1)),"첫 건","중복 건")))</f>
        <v/>
      </c>
      <c r="J5421" s="11" t="str">
        <f aca="false">IF($A5421="","",IF($H5421="-","유지",IF($I5421="첫 건","유지","확인 필요")))</f>
        <v/>
      </c>
    </row>
    <row r="5422" customFormat="false" ht="15" hidden="false" customHeight="true" outlineLevel="0" collapsed="false">
      <c r="A5422" s="11" t="str">
        <f aca="false">IF(원본명단!$A5421="","",5419)</f>
        <v/>
      </c>
      <c r="B5422" s="12" t="str">
        <f aca="false">IF($A5422="","",원본명단!$A5421)</f>
        <v/>
      </c>
      <c r="C5422" s="12" t="str">
        <f aca="false">IF($A5422="","",원본명단!$B5421)</f>
        <v/>
      </c>
      <c r="D5422" s="12" t="str">
        <f aca="false">IF($A5422="","",원본명단!$D5421)</f>
        <v/>
      </c>
      <c r="E5422" s="11" t="str">
        <f aca="false">IF($A5422="","",IF(원본명단!$H5421="",0,COUNTIF(원본명단!$H$3:$H$6002,원본명단!$H5421)))</f>
        <v/>
      </c>
      <c r="F5422" s="11" t="str">
        <f aca="false">IF($A5422="","",IF(원본명단!$I5421="",0,COUNTIF(원본명단!$I$3:$I$6002,원본명단!$I5421)))</f>
        <v/>
      </c>
      <c r="G5422" s="11" t="str">
        <f aca="false">IF($A5422="","",IF(원본명단!$K5421="",0,COUNTIF(원본명단!$K$3:$K$6002,원본명단!$K5421)))</f>
        <v/>
      </c>
      <c r="H5422" s="11" t="str">
        <f aca="false">IF($A5422="","",IF(MAX($E5422,$F5422,$G5422)&gt;1,"중복","-"))</f>
        <v/>
      </c>
      <c r="I5422" s="11" t="str">
        <f aca="false">IF($A5422="","",IF($H5422="-","-",IF(AND(IF(원본명단!$H5421="",TRUE(),COUNTIF(원본명단!$H$3:$H5421,원본명단!$H5421)=1),IF(원본명단!$I5421="",TRUE(),COUNTIF(원본명단!$I$3:$I5421,원본명단!$I5421)=1),IF(원본명단!$K5421="",TRUE(),COUNTIF(원본명단!$K$3:$K5421,원본명단!$K5421)=1)),"첫 건","중복 건")))</f>
        <v/>
      </c>
      <c r="J5422" s="11" t="str">
        <f aca="false">IF($A5422="","",IF($H5422="-","유지",IF($I5422="첫 건","유지","확인 필요")))</f>
        <v/>
      </c>
    </row>
    <row r="5423" customFormat="false" ht="15" hidden="false" customHeight="true" outlineLevel="0" collapsed="false">
      <c r="A5423" s="11" t="str">
        <f aca="false">IF(원본명단!$A5422="","",5420)</f>
        <v/>
      </c>
      <c r="B5423" s="12" t="str">
        <f aca="false">IF($A5423="","",원본명단!$A5422)</f>
        <v/>
      </c>
      <c r="C5423" s="12" t="str">
        <f aca="false">IF($A5423="","",원본명단!$B5422)</f>
        <v/>
      </c>
      <c r="D5423" s="12" t="str">
        <f aca="false">IF($A5423="","",원본명단!$D5422)</f>
        <v/>
      </c>
      <c r="E5423" s="11" t="str">
        <f aca="false">IF($A5423="","",IF(원본명단!$H5422="",0,COUNTIF(원본명단!$H$3:$H$6002,원본명단!$H5422)))</f>
        <v/>
      </c>
      <c r="F5423" s="11" t="str">
        <f aca="false">IF($A5423="","",IF(원본명단!$I5422="",0,COUNTIF(원본명단!$I$3:$I$6002,원본명단!$I5422)))</f>
        <v/>
      </c>
      <c r="G5423" s="11" t="str">
        <f aca="false">IF($A5423="","",IF(원본명단!$K5422="",0,COUNTIF(원본명단!$K$3:$K$6002,원본명단!$K5422)))</f>
        <v/>
      </c>
      <c r="H5423" s="11" t="str">
        <f aca="false">IF($A5423="","",IF(MAX($E5423,$F5423,$G5423)&gt;1,"중복","-"))</f>
        <v/>
      </c>
      <c r="I5423" s="11" t="str">
        <f aca="false">IF($A5423="","",IF($H5423="-","-",IF(AND(IF(원본명단!$H5422="",TRUE(),COUNTIF(원본명단!$H$3:$H5422,원본명단!$H5422)=1),IF(원본명단!$I5422="",TRUE(),COUNTIF(원본명단!$I$3:$I5422,원본명단!$I5422)=1),IF(원본명단!$K5422="",TRUE(),COUNTIF(원본명단!$K$3:$K5422,원본명단!$K5422)=1)),"첫 건","중복 건")))</f>
        <v/>
      </c>
      <c r="J5423" s="11" t="str">
        <f aca="false">IF($A5423="","",IF($H5423="-","유지",IF($I5423="첫 건","유지","확인 필요")))</f>
        <v/>
      </c>
    </row>
    <row r="5424" customFormat="false" ht="15" hidden="false" customHeight="true" outlineLevel="0" collapsed="false">
      <c r="A5424" s="11" t="str">
        <f aca="false">IF(원본명단!$A5423="","",5421)</f>
        <v/>
      </c>
      <c r="B5424" s="12" t="str">
        <f aca="false">IF($A5424="","",원본명단!$A5423)</f>
        <v/>
      </c>
      <c r="C5424" s="12" t="str">
        <f aca="false">IF($A5424="","",원본명단!$B5423)</f>
        <v/>
      </c>
      <c r="D5424" s="12" t="str">
        <f aca="false">IF($A5424="","",원본명단!$D5423)</f>
        <v/>
      </c>
      <c r="E5424" s="11" t="str">
        <f aca="false">IF($A5424="","",IF(원본명단!$H5423="",0,COUNTIF(원본명단!$H$3:$H$6002,원본명단!$H5423)))</f>
        <v/>
      </c>
      <c r="F5424" s="11" t="str">
        <f aca="false">IF($A5424="","",IF(원본명단!$I5423="",0,COUNTIF(원본명단!$I$3:$I$6002,원본명단!$I5423)))</f>
        <v/>
      </c>
      <c r="G5424" s="11" t="str">
        <f aca="false">IF($A5424="","",IF(원본명단!$K5423="",0,COUNTIF(원본명단!$K$3:$K$6002,원본명단!$K5423)))</f>
        <v/>
      </c>
      <c r="H5424" s="11" t="str">
        <f aca="false">IF($A5424="","",IF(MAX($E5424,$F5424,$G5424)&gt;1,"중복","-"))</f>
        <v/>
      </c>
      <c r="I5424" s="11" t="str">
        <f aca="false">IF($A5424="","",IF($H5424="-","-",IF(AND(IF(원본명단!$H5423="",TRUE(),COUNTIF(원본명단!$H$3:$H5423,원본명단!$H5423)=1),IF(원본명단!$I5423="",TRUE(),COUNTIF(원본명단!$I$3:$I5423,원본명단!$I5423)=1),IF(원본명단!$K5423="",TRUE(),COUNTIF(원본명단!$K$3:$K5423,원본명단!$K5423)=1)),"첫 건","중복 건")))</f>
        <v/>
      </c>
      <c r="J5424" s="11" t="str">
        <f aca="false">IF($A5424="","",IF($H5424="-","유지",IF($I5424="첫 건","유지","확인 필요")))</f>
        <v/>
      </c>
    </row>
    <row r="5425" customFormat="false" ht="15" hidden="false" customHeight="true" outlineLevel="0" collapsed="false">
      <c r="A5425" s="11" t="str">
        <f aca="false">IF(원본명단!$A5424="","",5422)</f>
        <v/>
      </c>
      <c r="B5425" s="12" t="str">
        <f aca="false">IF($A5425="","",원본명단!$A5424)</f>
        <v/>
      </c>
      <c r="C5425" s="12" t="str">
        <f aca="false">IF($A5425="","",원본명단!$B5424)</f>
        <v/>
      </c>
      <c r="D5425" s="12" t="str">
        <f aca="false">IF($A5425="","",원본명단!$D5424)</f>
        <v/>
      </c>
      <c r="E5425" s="11" t="str">
        <f aca="false">IF($A5425="","",IF(원본명단!$H5424="",0,COUNTIF(원본명단!$H$3:$H$6002,원본명단!$H5424)))</f>
        <v/>
      </c>
      <c r="F5425" s="11" t="str">
        <f aca="false">IF($A5425="","",IF(원본명단!$I5424="",0,COUNTIF(원본명단!$I$3:$I$6002,원본명단!$I5424)))</f>
        <v/>
      </c>
      <c r="G5425" s="11" t="str">
        <f aca="false">IF($A5425="","",IF(원본명단!$K5424="",0,COUNTIF(원본명단!$K$3:$K$6002,원본명단!$K5424)))</f>
        <v/>
      </c>
      <c r="H5425" s="11" t="str">
        <f aca="false">IF($A5425="","",IF(MAX($E5425,$F5425,$G5425)&gt;1,"중복","-"))</f>
        <v/>
      </c>
      <c r="I5425" s="11" t="str">
        <f aca="false">IF($A5425="","",IF($H5425="-","-",IF(AND(IF(원본명단!$H5424="",TRUE(),COUNTIF(원본명단!$H$3:$H5424,원본명단!$H5424)=1),IF(원본명단!$I5424="",TRUE(),COUNTIF(원본명단!$I$3:$I5424,원본명단!$I5424)=1),IF(원본명단!$K5424="",TRUE(),COUNTIF(원본명단!$K$3:$K5424,원본명단!$K5424)=1)),"첫 건","중복 건")))</f>
        <v/>
      </c>
      <c r="J5425" s="11" t="str">
        <f aca="false">IF($A5425="","",IF($H5425="-","유지",IF($I5425="첫 건","유지","확인 필요")))</f>
        <v/>
      </c>
    </row>
    <row r="5426" customFormat="false" ht="15" hidden="false" customHeight="true" outlineLevel="0" collapsed="false">
      <c r="A5426" s="11" t="str">
        <f aca="false">IF(원본명단!$A5425="","",5423)</f>
        <v/>
      </c>
      <c r="B5426" s="12" t="str">
        <f aca="false">IF($A5426="","",원본명단!$A5425)</f>
        <v/>
      </c>
      <c r="C5426" s="12" t="str">
        <f aca="false">IF($A5426="","",원본명단!$B5425)</f>
        <v/>
      </c>
      <c r="D5426" s="12" t="str">
        <f aca="false">IF($A5426="","",원본명단!$D5425)</f>
        <v/>
      </c>
      <c r="E5426" s="11" t="str">
        <f aca="false">IF($A5426="","",IF(원본명단!$H5425="",0,COUNTIF(원본명단!$H$3:$H$6002,원본명단!$H5425)))</f>
        <v/>
      </c>
      <c r="F5426" s="11" t="str">
        <f aca="false">IF($A5426="","",IF(원본명단!$I5425="",0,COUNTIF(원본명단!$I$3:$I$6002,원본명단!$I5425)))</f>
        <v/>
      </c>
      <c r="G5426" s="11" t="str">
        <f aca="false">IF($A5426="","",IF(원본명단!$K5425="",0,COUNTIF(원본명단!$K$3:$K$6002,원본명단!$K5425)))</f>
        <v/>
      </c>
      <c r="H5426" s="11" t="str">
        <f aca="false">IF($A5426="","",IF(MAX($E5426,$F5426,$G5426)&gt;1,"중복","-"))</f>
        <v/>
      </c>
      <c r="I5426" s="11" t="str">
        <f aca="false">IF($A5426="","",IF($H5426="-","-",IF(AND(IF(원본명단!$H5425="",TRUE(),COUNTIF(원본명단!$H$3:$H5425,원본명단!$H5425)=1),IF(원본명단!$I5425="",TRUE(),COUNTIF(원본명단!$I$3:$I5425,원본명단!$I5425)=1),IF(원본명단!$K5425="",TRUE(),COUNTIF(원본명단!$K$3:$K5425,원본명단!$K5425)=1)),"첫 건","중복 건")))</f>
        <v/>
      </c>
      <c r="J5426" s="11" t="str">
        <f aca="false">IF($A5426="","",IF($H5426="-","유지",IF($I5426="첫 건","유지","확인 필요")))</f>
        <v/>
      </c>
    </row>
    <row r="5427" customFormat="false" ht="15" hidden="false" customHeight="true" outlineLevel="0" collapsed="false">
      <c r="A5427" s="11" t="str">
        <f aca="false">IF(원본명단!$A5426="","",5424)</f>
        <v/>
      </c>
      <c r="B5427" s="12" t="str">
        <f aca="false">IF($A5427="","",원본명단!$A5426)</f>
        <v/>
      </c>
      <c r="C5427" s="12" t="str">
        <f aca="false">IF($A5427="","",원본명단!$B5426)</f>
        <v/>
      </c>
      <c r="D5427" s="12" t="str">
        <f aca="false">IF($A5427="","",원본명단!$D5426)</f>
        <v/>
      </c>
      <c r="E5427" s="11" t="str">
        <f aca="false">IF($A5427="","",IF(원본명단!$H5426="",0,COUNTIF(원본명단!$H$3:$H$6002,원본명단!$H5426)))</f>
        <v/>
      </c>
      <c r="F5427" s="11" t="str">
        <f aca="false">IF($A5427="","",IF(원본명단!$I5426="",0,COUNTIF(원본명단!$I$3:$I$6002,원본명단!$I5426)))</f>
        <v/>
      </c>
      <c r="G5427" s="11" t="str">
        <f aca="false">IF($A5427="","",IF(원본명단!$K5426="",0,COUNTIF(원본명단!$K$3:$K$6002,원본명단!$K5426)))</f>
        <v/>
      </c>
      <c r="H5427" s="11" t="str">
        <f aca="false">IF($A5427="","",IF(MAX($E5427,$F5427,$G5427)&gt;1,"중복","-"))</f>
        <v/>
      </c>
      <c r="I5427" s="11" t="str">
        <f aca="false">IF($A5427="","",IF($H5427="-","-",IF(AND(IF(원본명단!$H5426="",TRUE(),COUNTIF(원본명단!$H$3:$H5426,원본명단!$H5426)=1),IF(원본명단!$I5426="",TRUE(),COUNTIF(원본명단!$I$3:$I5426,원본명단!$I5426)=1),IF(원본명단!$K5426="",TRUE(),COUNTIF(원본명단!$K$3:$K5426,원본명단!$K5426)=1)),"첫 건","중복 건")))</f>
        <v/>
      </c>
      <c r="J5427" s="11" t="str">
        <f aca="false">IF($A5427="","",IF($H5427="-","유지",IF($I5427="첫 건","유지","확인 필요")))</f>
        <v/>
      </c>
    </row>
    <row r="5428" customFormat="false" ht="15" hidden="false" customHeight="true" outlineLevel="0" collapsed="false">
      <c r="A5428" s="11" t="str">
        <f aca="false">IF(원본명단!$A5427="","",5425)</f>
        <v/>
      </c>
      <c r="B5428" s="12" t="str">
        <f aca="false">IF($A5428="","",원본명단!$A5427)</f>
        <v/>
      </c>
      <c r="C5428" s="12" t="str">
        <f aca="false">IF($A5428="","",원본명단!$B5427)</f>
        <v/>
      </c>
      <c r="D5428" s="12" t="str">
        <f aca="false">IF($A5428="","",원본명단!$D5427)</f>
        <v/>
      </c>
      <c r="E5428" s="11" t="str">
        <f aca="false">IF($A5428="","",IF(원본명단!$H5427="",0,COUNTIF(원본명단!$H$3:$H$6002,원본명단!$H5427)))</f>
        <v/>
      </c>
      <c r="F5428" s="11" t="str">
        <f aca="false">IF($A5428="","",IF(원본명단!$I5427="",0,COUNTIF(원본명단!$I$3:$I$6002,원본명단!$I5427)))</f>
        <v/>
      </c>
      <c r="G5428" s="11" t="str">
        <f aca="false">IF($A5428="","",IF(원본명단!$K5427="",0,COUNTIF(원본명단!$K$3:$K$6002,원본명단!$K5427)))</f>
        <v/>
      </c>
      <c r="H5428" s="11" t="str">
        <f aca="false">IF($A5428="","",IF(MAX($E5428,$F5428,$G5428)&gt;1,"중복","-"))</f>
        <v/>
      </c>
      <c r="I5428" s="11" t="str">
        <f aca="false">IF($A5428="","",IF($H5428="-","-",IF(AND(IF(원본명단!$H5427="",TRUE(),COUNTIF(원본명단!$H$3:$H5427,원본명단!$H5427)=1),IF(원본명단!$I5427="",TRUE(),COUNTIF(원본명단!$I$3:$I5427,원본명단!$I5427)=1),IF(원본명단!$K5427="",TRUE(),COUNTIF(원본명단!$K$3:$K5427,원본명단!$K5427)=1)),"첫 건","중복 건")))</f>
        <v/>
      </c>
      <c r="J5428" s="11" t="str">
        <f aca="false">IF($A5428="","",IF($H5428="-","유지",IF($I5428="첫 건","유지","확인 필요")))</f>
        <v/>
      </c>
    </row>
    <row r="5429" customFormat="false" ht="15" hidden="false" customHeight="true" outlineLevel="0" collapsed="false">
      <c r="A5429" s="11" t="str">
        <f aca="false">IF(원본명단!$A5428="","",5426)</f>
        <v/>
      </c>
      <c r="B5429" s="12" t="str">
        <f aca="false">IF($A5429="","",원본명단!$A5428)</f>
        <v/>
      </c>
      <c r="C5429" s="12" t="str">
        <f aca="false">IF($A5429="","",원본명단!$B5428)</f>
        <v/>
      </c>
      <c r="D5429" s="12" t="str">
        <f aca="false">IF($A5429="","",원본명단!$D5428)</f>
        <v/>
      </c>
      <c r="E5429" s="11" t="str">
        <f aca="false">IF($A5429="","",IF(원본명단!$H5428="",0,COUNTIF(원본명단!$H$3:$H$6002,원본명단!$H5428)))</f>
        <v/>
      </c>
      <c r="F5429" s="11" t="str">
        <f aca="false">IF($A5429="","",IF(원본명단!$I5428="",0,COUNTIF(원본명단!$I$3:$I$6002,원본명단!$I5428)))</f>
        <v/>
      </c>
      <c r="G5429" s="11" t="str">
        <f aca="false">IF($A5429="","",IF(원본명단!$K5428="",0,COUNTIF(원본명단!$K$3:$K$6002,원본명단!$K5428)))</f>
        <v/>
      </c>
      <c r="H5429" s="11" t="str">
        <f aca="false">IF($A5429="","",IF(MAX($E5429,$F5429,$G5429)&gt;1,"중복","-"))</f>
        <v/>
      </c>
      <c r="I5429" s="11" t="str">
        <f aca="false">IF($A5429="","",IF($H5429="-","-",IF(AND(IF(원본명단!$H5428="",TRUE(),COUNTIF(원본명단!$H$3:$H5428,원본명단!$H5428)=1),IF(원본명단!$I5428="",TRUE(),COUNTIF(원본명단!$I$3:$I5428,원본명단!$I5428)=1),IF(원본명단!$K5428="",TRUE(),COUNTIF(원본명단!$K$3:$K5428,원본명단!$K5428)=1)),"첫 건","중복 건")))</f>
        <v/>
      </c>
      <c r="J5429" s="11" t="str">
        <f aca="false">IF($A5429="","",IF($H5429="-","유지",IF($I5429="첫 건","유지","확인 필요")))</f>
        <v/>
      </c>
    </row>
    <row r="5430" customFormat="false" ht="15" hidden="false" customHeight="true" outlineLevel="0" collapsed="false">
      <c r="A5430" s="11" t="str">
        <f aca="false">IF(원본명단!$A5429="","",5427)</f>
        <v/>
      </c>
      <c r="B5430" s="12" t="str">
        <f aca="false">IF($A5430="","",원본명단!$A5429)</f>
        <v/>
      </c>
      <c r="C5430" s="12" t="str">
        <f aca="false">IF($A5430="","",원본명단!$B5429)</f>
        <v/>
      </c>
      <c r="D5430" s="12" t="str">
        <f aca="false">IF($A5430="","",원본명단!$D5429)</f>
        <v/>
      </c>
      <c r="E5430" s="11" t="str">
        <f aca="false">IF($A5430="","",IF(원본명단!$H5429="",0,COUNTIF(원본명단!$H$3:$H$6002,원본명단!$H5429)))</f>
        <v/>
      </c>
      <c r="F5430" s="11" t="str">
        <f aca="false">IF($A5430="","",IF(원본명단!$I5429="",0,COUNTIF(원본명단!$I$3:$I$6002,원본명단!$I5429)))</f>
        <v/>
      </c>
      <c r="G5430" s="11" t="str">
        <f aca="false">IF($A5430="","",IF(원본명단!$K5429="",0,COUNTIF(원본명단!$K$3:$K$6002,원본명단!$K5429)))</f>
        <v/>
      </c>
      <c r="H5430" s="11" t="str">
        <f aca="false">IF($A5430="","",IF(MAX($E5430,$F5430,$G5430)&gt;1,"중복","-"))</f>
        <v/>
      </c>
      <c r="I5430" s="11" t="str">
        <f aca="false">IF($A5430="","",IF($H5430="-","-",IF(AND(IF(원본명단!$H5429="",TRUE(),COUNTIF(원본명단!$H$3:$H5429,원본명단!$H5429)=1),IF(원본명단!$I5429="",TRUE(),COUNTIF(원본명단!$I$3:$I5429,원본명단!$I5429)=1),IF(원본명단!$K5429="",TRUE(),COUNTIF(원본명단!$K$3:$K5429,원본명단!$K5429)=1)),"첫 건","중복 건")))</f>
        <v/>
      </c>
      <c r="J5430" s="11" t="str">
        <f aca="false">IF($A5430="","",IF($H5430="-","유지",IF($I5430="첫 건","유지","확인 필요")))</f>
        <v/>
      </c>
    </row>
    <row r="5431" customFormat="false" ht="15" hidden="false" customHeight="true" outlineLevel="0" collapsed="false">
      <c r="A5431" s="11" t="str">
        <f aca="false">IF(원본명단!$A5430="","",5428)</f>
        <v/>
      </c>
      <c r="B5431" s="12" t="str">
        <f aca="false">IF($A5431="","",원본명단!$A5430)</f>
        <v/>
      </c>
      <c r="C5431" s="12" t="str">
        <f aca="false">IF($A5431="","",원본명단!$B5430)</f>
        <v/>
      </c>
      <c r="D5431" s="12" t="str">
        <f aca="false">IF($A5431="","",원본명단!$D5430)</f>
        <v/>
      </c>
      <c r="E5431" s="11" t="str">
        <f aca="false">IF($A5431="","",IF(원본명단!$H5430="",0,COUNTIF(원본명단!$H$3:$H$6002,원본명단!$H5430)))</f>
        <v/>
      </c>
      <c r="F5431" s="11" t="str">
        <f aca="false">IF($A5431="","",IF(원본명단!$I5430="",0,COUNTIF(원본명단!$I$3:$I$6002,원본명단!$I5430)))</f>
        <v/>
      </c>
      <c r="G5431" s="11" t="str">
        <f aca="false">IF($A5431="","",IF(원본명단!$K5430="",0,COUNTIF(원본명단!$K$3:$K$6002,원본명단!$K5430)))</f>
        <v/>
      </c>
      <c r="H5431" s="11" t="str">
        <f aca="false">IF($A5431="","",IF(MAX($E5431,$F5431,$G5431)&gt;1,"중복","-"))</f>
        <v/>
      </c>
      <c r="I5431" s="11" t="str">
        <f aca="false">IF($A5431="","",IF($H5431="-","-",IF(AND(IF(원본명단!$H5430="",TRUE(),COUNTIF(원본명단!$H$3:$H5430,원본명단!$H5430)=1),IF(원본명단!$I5430="",TRUE(),COUNTIF(원본명단!$I$3:$I5430,원본명단!$I5430)=1),IF(원본명단!$K5430="",TRUE(),COUNTIF(원본명단!$K$3:$K5430,원본명단!$K5430)=1)),"첫 건","중복 건")))</f>
        <v/>
      </c>
      <c r="J5431" s="11" t="str">
        <f aca="false">IF($A5431="","",IF($H5431="-","유지",IF($I5431="첫 건","유지","확인 필요")))</f>
        <v/>
      </c>
    </row>
    <row r="5432" customFormat="false" ht="15" hidden="false" customHeight="true" outlineLevel="0" collapsed="false">
      <c r="A5432" s="11" t="str">
        <f aca="false">IF(원본명단!$A5431="","",5429)</f>
        <v/>
      </c>
      <c r="B5432" s="12" t="str">
        <f aca="false">IF($A5432="","",원본명단!$A5431)</f>
        <v/>
      </c>
      <c r="C5432" s="12" t="str">
        <f aca="false">IF($A5432="","",원본명단!$B5431)</f>
        <v/>
      </c>
      <c r="D5432" s="12" t="str">
        <f aca="false">IF($A5432="","",원본명단!$D5431)</f>
        <v/>
      </c>
      <c r="E5432" s="11" t="str">
        <f aca="false">IF($A5432="","",IF(원본명단!$H5431="",0,COUNTIF(원본명단!$H$3:$H$6002,원본명단!$H5431)))</f>
        <v/>
      </c>
      <c r="F5432" s="11" t="str">
        <f aca="false">IF($A5432="","",IF(원본명단!$I5431="",0,COUNTIF(원본명단!$I$3:$I$6002,원본명단!$I5431)))</f>
        <v/>
      </c>
      <c r="G5432" s="11" t="str">
        <f aca="false">IF($A5432="","",IF(원본명단!$K5431="",0,COUNTIF(원본명단!$K$3:$K$6002,원본명단!$K5431)))</f>
        <v/>
      </c>
      <c r="H5432" s="11" t="str">
        <f aca="false">IF($A5432="","",IF(MAX($E5432,$F5432,$G5432)&gt;1,"중복","-"))</f>
        <v/>
      </c>
      <c r="I5432" s="11" t="str">
        <f aca="false">IF($A5432="","",IF($H5432="-","-",IF(AND(IF(원본명단!$H5431="",TRUE(),COUNTIF(원본명단!$H$3:$H5431,원본명단!$H5431)=1),IF(원본명단!$I5431="",TRUE(),COUNTIF(원본명단!$I$3:$I5431,원본명단!$I5431)=1),IF(원본명단!$K5431="",TRUE(),COUNTIF(원본명단!$K$3:$K5431,원본명단!$K5431)=1)),"첫 건","중복 건")))</f>
        <v/>
      </c>
      <c r="J5432" s="11" t="str">
        <f aca="false">IF($A5432="","",IF($H5432="-","유지",IF($I5432="첫 건","유지","확인 필요")))</f>
        <v/>
      </c>
    </row>
    <row r="5433" customFormat="false" ht="15" hidden="false" customHeight="true" outlineLevel="0" collapsed="false">
      <c r="A5433" s="11" t="str">
        <f aca="false">IF(원본명단!$A5432="","",5430)</f>
        <v/>
      </c>
      <c r="B5433" s="12" t="str">
        <f aca="false">IF($A5433="","",원본명단!$A5432)</f>
        <v/>
      </c>
      <c r="C5433" s="12" t="str">
        <f aca="false">IF($A5433="","",원본명단!$B5432)</f>
        <v/>
      </c>
      <c r="D5433" s="12" t="str">
        <f aca="false">IF($A5433="","",원본명단!$D5432)</f>
        <v/>
      </c>
      <c r="E5433" s="11" t="str">
        <f aca="false">IF($A5433="","",IF(원본명단!$H5432="",0,COUNTIF(원본명단!$H$3:$H$6002,원본명단!$H5432)))</f>
        <v/>
      </c>
      <c r="F5433" s="11" t="str">
        <f aca="false">IF($A5433="","",IF(원본명단!$I5432="",0,COUNTIF(원본명단!$I$3:$I$6002,원본명단!$I5432)))</f>
        <v/>
      </c>
      <c r="G5433" s="11" t="str">
        <f aca="false">IF($A5433="","",IF(원본명단!$K5432="",0,COUNTIF(원본명단!$K$3:$K$6002,원본명단!$K5432)))</f>
        <v/>
      </c>
      <c r="H5433" s="11" t="str">
        <f aca="false">IF($A5433="","",IF(MAX($E5433,$F5433,$G5433)&gt;1,"중복","-"))</f>
        <v/>
      </c>
      <c r="I5433" s="11" t="str">
        <f aca="false">IF($A5433="","",IF($H5433="-","-",IF(AND(IF(원본명단!$H5432="",TRUE(),COUNTIF(원본명단!$H$3:$H5432,원본명단!$H5432)=1),IF(원본명단!$I5432="",TRUE(),COUNTIF(원본명단!$I$3:$I5432,원본명단!$I5432)=1),IF(원본명단!$K5432="",TRUE(),COUNTIF(원본명단!$K$3:$K5432,원본명단!$K5432)=1)),"첫 건","중복 건")))</f>
        <v/>
      </c>
      <c r="J5433" s="11" t="str">
        <f aca="false">IF($A5433="","",IF($H5433="-","유지",IF($I5433="첫 건","유지","확인 필요")))</f>
        <v/>
      </c>
    </row>
    <row r="5434" customFormat="false" ht="15" hidden="false" customHeight="true" outlineLevel="0" collapsed="false">
      <c r="A5434" s="11" t="str">
        <f aca="false">IF(원본명단!$A5433="","",5431)</f>
        <v/>
      </c>
      <c r="B5434" s="12" t="str">
        <f aca="false">IF($A5434="","",원본명단!$A5433)</f>
        <v/>
      </c>
      <c r="C5434" s="12" t="str">
        <f aca="false">IF($A5434="","",원본명단!$B5433)</f>
        <v/>
      </c>
      <c r="D5434" s="12" t="str">
        <f aca="false">IF($A5434="","",원본명단!$D5433)</f>
        <v/>
      </c>
      <c r="E5434" s="11" t="str">
        <f aca="false">IF($A5434="","",IF(원본명단!$H5433="",0,COUNTIF(원본명단!$H$3:$H$6002,원본명단!$H5433)))</f>
        <v/>
      </c>
      <c r="F5434" s="11" t="str">
        <f aca="false">IF($A5434="","",IF(원본명단!$I5433="",0,COUNTIF(원본명단!$I$3:$I$6002,원본명단!$I5433)))</f>
        <v/>
      </c>
      <c r="G5434" s="11" t="str">
        <f aca="false">IF($A5434="","",IF(원본명단!$K5433="",0,COUNTIF(원본명단!$K$3:$K$6002,원본명단!$K5433)))</f>
        <v/>
      </c>
      <c r="H5434" s="11" t="str">
        <f aca="false">IF($A5434="","",IF(MAX($E5434,$F5434,$G5434)&gt;1,"중복","-"))</f>
        <v/>
      </c>
      <c r="I5434" s="11" t="str">
        <f aca="false">IF($A5434="","",IF($H5434="-","-",IF(AND(IF(원본명단!$H5433="",TRUE(),COUNTIF(원본명단!$H$3:$H5433,원본명단!$H5433)=1),IF(원본명단!$I5433="",TRUE(),COUNTIF(원본명단!$I$3:$I5433,원본명단!$I5433)=1),IF(원본명단!$K5433="",TRUE(),COUNTIF(원본명단!$K$3:$K5433,원본명단!$K5433)=1)),"첫 건","중복 건")))</f>
        <v/>
      </c>
      <c r="J5434" s="11" t="str">
        <f aca="false">IF($A5434="","",IF($H5434="-","유지",IF($I5434="첫 건","유지","확인 필요")))</f>
        <v/>
      </c>
    </row>
    <row r="5435" customFormat="false" ht="15" hidden="false" customHeight="true" outlineLevel="0" collapsed="false">
      <c r="A5435" s="11" t="str">
        <f aca="false">IF(원본명단!$A5434="","",5432)</f>
        <v/>
      </c>
      <c r="B5435" s="12" t="str">
        <f aca="false">IF($A5435="","",원본명단!$A5434)</f>
        <v/>
      </c>
      <c r="C5435" s="12" t="str">
        <f aca="false">IF($A5435="","",원본명단!$B5434)</f>
        <v/>
      </c>
      <c r="D5435" s="12" t="str">
        <f aca="false">IF($A5435="","",원본명단!$D5434)</f>
        <v/>
      </c>
      <c r="E5435" s="11" t="str">
        <f aca="false">IF($A5435="","",IF(원본명단!$H5434="",0,COUNTIF(원본명단!$H$3:$H$6002,원본명단!$H5434)))</f>
        <v/>
      </c>
      <c r="F5435" s="11" t="str">
        <f aca="false">IF($A5435="","",IF(원본명단!$I5434="",0,COUNTIF(원본명단!$I$3:$I$6002,원본명단!$I5434)))</f>
        <v/>
      </c>
      <c r="G5435" s="11" t="str">
        <f aca="false">IF($A5435="","",IF(원본명단!$K5434="",0,COUNTIF(원본명단!$K$3:$K$6002,원본명단!$K5434)))</f>
        <v/>
      </c>
      <c r="H5435" s="11" t="str">
        <f aca="false">IF($A5435="","",IF(MAX($E5435,$F5435,$G5435)&gt;1,"중복","-"))</f>
        <v/>
      </c>
      <c r="I5435" s="11" t="str">
        <f aca="false">IF($A5435="","",IF($H5435="-","-",IF(AND(IF(원본명단!$H5434="",TRUE(),COUNTIF(원본명단!$H$3:$H5434,원본명단!$H5434)=1),IF(원본명단!$I5434="",TRUE(),COUNTIF(원본명단!$I$3:$I5434,원본명단!$I5434)=1),IF(원본명단!$K5434="",TRUE(),COUNTIF(원본명단!$K$3:$K5434,원본명단!$K5434)=1)),"첫 건","중복 건")))</f>
        <v/>
      </c>
      <c r="J5435" s="11" t="str">
        <f aca="false">IF($A5435="","",IF($H5435="-","유지",IF($I5435="첫 건","유지","확인 필요")))</f>
        <v/>
      </c>
    </row>
    <row r="5436" customFormat="false" ht="15" hidden="false" customHeight="true" outlineLevel="0" collapsed="false">
      <c r="A5436" s="11" t="str">
        <f aca="false">IF(원본명단!$A5435="","",5433)</f>
        <v/>
      </c>
      <c r="B5436" s="12" t="str">
        <f aca="false">IF($A5436="","",원본명단!$A5435)</f>
        <v/>
      </c>
      <c r="C5436" s="12" t="str">
        <f aca="false">IF($A5436="","",원본명단!$B5435)</f>
        <v/>
      </c>
      <c r="D5436" s="12" t="str">
        <f aca="false">IF($A5436="","",원본명단!$D5435)</f>
        <v/>
      </c>
      <c r="E5436" s="11" t="str">
        <f aca="false">IF($A5436="","",IF(원본명단!$H5435="",0,COUNTIF(원본명단!$H$3:$H$6002,원본명단!$H5435)))</f>
        <v/>
      </c>
      <c r="F5436" s="11" t="str">
        <f aca="false">IF($A5436="","",IF(원본명단!$I5435="",0,COUNTIF(원본명단!$I$3:$I$6002,원본명단!$I5435)))</f>
        <v/>
      </c>
      <c r="G5436" s="11" t="str">
        <f aca="false">IF($A5436="","",IF(원본명단!$K5435="",0,COUNTIF(원본명단!$K$3:$K$6002,원본명단!$K5435)))</f>
        <v/>
      </c>
      <c r="H5436" s="11" t="str">
        <f aca="false">IF($A5436="","",IF(MAX($E5436,$F5436,$G5436)&gt;1,"중복","-"))</f>
        <v/>
      </c>
      <c r="I5436" s="11" t="str">
        <f aca="false">IF($A5436="","",IF($H5436="-","-",IF(AND(IF(원본명단!$H5435="",TRUE(),COUNTIF(원본명단!$H$3:$H5435,원본명단!$H5435)=1),IF(원본명단!$I5435="",TRUE(),COUNTIF(원본명단!$I$3:$I5435,원본명단!$I5435)=1),IF(원본명단!$K5435="",TRUE(),COUNTIF(원본명단!$K$3:$K5435,원본명단!$K5435)=1)),"첫 건","중복 건")))</f>
        <v/>
      </c>
      <c r="J5436" s="11" t="str">
        <f aca="false">IF($A5436="","",IF($H5436="-","유지",IF($I5436="첫 건","유지","확인 필요")))</f>
        <v/>
      </c>
    </row>
    <row r="5437" customFormat="false" ht="15" hidden="false" customHeight="true" outlineLevel="0" collapsed="false">
      <c r="A5437" s="11" t="str">
        <f aca="false">IF(원본명단!$A5436="","",5434)</f>
        <v/>
      </c>
      <c r="B5437" s="12" t="str">
        <f aca="false">IF($A5437="","",원본명단!$A5436)</f>
        <v/>
      </c>
      <c r="C5437" s="12" t="str">
        <f aca="false">IF($A5437="","",원본명단!$B5436)</f>
        <v/>
      </c>
      <c r="D5437" s="12" t="str">
        <f aca="false">IF($A5437="","",원본명단!$D5436)</f>
        <v/>
      </c>
      <c r="E5437" s="11" t="str">
        <f aca="false">IF($A5437="","",IF(원본명단!$H5436="",0,COUNTIF(원본명단!$H$3:$H$6002,원본명단!$H5436)))</f>
        <v/>
      </c>
      <c r="F5437" s="11" t="str">
        <f aca="false">IF($A5437="","",IF(원본명단!$I5436="",0,COUNTIF(원본명단!$I$3:$I$6002,원본명단!$I5436)))</f>
        <v/>
      </c>
      <c r="G5437" s="11" t="str">
        <f aca="false">IF($A5437="","",IF(원본명단!$K5436="",0,COUNTIF(원본명단!$K$3:$K$6002,원본명단!$K5436)))</f>
        <v/>
      </c>
      <c r="H5437" s="11" t="str">
        <f aca="false">IF($A5437="","",IF(MAX($E5437,$F5437,$G5437)&gt;1,"중복","-"))</f>
        <v/>
      </c>
      <c r="I5437" s="11" t="str">
        <f aca="false">IF($A5437="","",IF($H5437="-","-",IF(AND(IF(원본명단!$H5436="",TRUE(),COUNTIF(원본명단!$H$3:$H5436,원본명단!$H5436)=1),IF(원본명단!$I5436="",TRUE(),COUNTIF(원본명단!$I$3:$I5436,원본명단!$I5436)=1),IF(원본명단!$K5436="",TRUE(),COUNTIF(원본명단!$K$3:$K5436,원본명단!$K5436)=1)),"첫 건","중복 건")))</f>
        <v/>
      </c>
      <c r="J5437" s="11" t="str">
        <f aca="false">IF($A5437="","",IF($H5437="-","유지",IF($I5437="첫 건","유지","확인 필요")))</f>
        <v/>
      </c>
    </row>
    <row r="5438" customFormat="false" ht="15" hidden="false" customHeight="true" outlineLevel="0" collapsed="false">
      <c r="A5438" s="11" t="str">
        <f aca="false">IF(원본명단!$A5437="","",5435)</f>
        <v/>
      </c>
      <c r="B5438" s="12" t="str">
        <f aca="false">IF($A5438="","",원본명단!$A5437)</f>
        <v/>
      </c>
      <c r="C5438" s="12" t="str">
        <f aca="false">IF($A5438="","",원본명단!$B5437)</f>
        <v/>
      </c>
      <c r="D5438" s="12" t="str">
        <f aca="false">IF($A5438="","",원본명단!$D5437)</f>
        <v/>
      </c>
      <c r="E5438" s="11" t="str">
        <f aca="false">IF($A5438="","",IF(원본명단!$H5437="",0,COUNTIF(원본명단!$H$3:$H$6002,원본명단!$H5437)))</f>
        <v/>
      </c>
      <c r="F5438" s="11" t="str">
        <f aca="false">IF($A5438="","",IF(원본명단!$I5437="",0,COUNTIF(원본명단!$I$3:$I$6002,원본명단!$I5437)))</f>
        <v/>
      </c>
      <c r="G5438" s="11" t="str">
        <f aca="false">IF($A5438="","",IF(원본명단!$K5437="",0,COUNTIF(원본명단!$K$3:$K$6002,원본명단!$K5437)))</f>
        <v/>
      </c>
      <c r="H5438" s="11" t="str">
        <f aca="false">IF($A5438="","",IF(MAX($E5438,$F5438,$G5438)&gt;1,"중복","-"))</f>
        <v/>
      </c>
      <c r="I5438" s="11" t="str">
        <f aca="false">IF($A5438="","",IF($H5438="-","-",IF(AND(IF(원본명단!$H5437="",TRUE(),COUNTIF(원본명단!$H$3:$H5437,원본명단!$H5437)=1),IF(원본명단!$I5437="",TRUE(),COUNTIF(원본명단!$I$3:$I5437,원본명단!$I5437)=1),IF(원본명단!$K5437="",TRUE(),COUNTIF(원본명단!$K$3:$K5437,원본명단!$K5437)=1)),"첫 건","중복 건")))</f>
        <v/>
      </c>
      <c r="J5438" s="11" t="str">
        <f aca="false">IF($A5438="","",IF($H5438="-","유지",IF($I5438="첫 건","유지","확인 필요")))</f>
        <v/>
      </c>
    </row>
    <row r="5439" customFormat="false" ht="15" hidden="false" customHeight="true" outlineLevel="0" collapsed="false">
      <c r="A5439" s="11" t="str">
        <f aca="false">IF(원본명단!$A5438="","",5436)</f>
        <v/>
      </c>
      <c r="B5439" s="12" t="str">
        <f aca="false">IF($A5439="","",원본명단!$A5438)</f>
        <v/>
      </c>
      <c r="C5439" s="12" t="str">
        <f aca="false">IF($A5439="","",원본명단!$B5438)</f>
        <v/>
      </c>
      <c r="D5439" s="12" t="str">
        <f aca="false">IF($A5439="","",원본명단!$D5438)</f>
        <v/>
      </c>
      <c r="E5439" s="11" t="str">
        <f aca="false">IF($A5439="","",IF(원본명단!$H5438="",0,COUNTIF(원본명단!$H$3:$H$6002,원본명단!$H5438)))</f>
        <v/>
      </c>
      <c r="F5439" s="11" t="str">
        <f aca="false">IF($A5439="","",IF(원본명단!$I5438="",0,COUNTIF(원본명단!$I$3:$I$6002,원본명단!$I5438)))</f>
        <v/>
      </c>
      <c r="G5439" s="11" t="str">
        <f aca="false">IF($A5439="","",IF(원본명단!$K5438="",0,COUNTIF(원본명단!$K$3:$K$6002,원본명단!$K5438)))</f>
        <v/>
      </c>
      <c r="H5439" s="11" t="str">
        <f aca="false">IF($A5439="","",IF(MAX($E5439,$F5439,$G5439)&gt;1,"중복","-"))</f>
        <v/>
      </c>
      <c r="I5439" s="11" t="str">
        <f aca="false">IF($A5439="","",IF($H5439="-","-",IF(AND(IF(원본명단!$H5438="",TRUE(),COUNTIF(원본명단!$H$3:$H5438,원본명단!$H5438)=1),IF(원본명단!$I5438="",TRUE(),COUNTIF(원본명단!$I$3:$I5438,원본명단!$I5438)=1),IF(원본명단!$K5438="",TRUE(),COUNTIF(원본명단!$K$3:$K5438,원본명단!$K5438)=1)),"첫 건","중복 건")))</f>
        <v/>
      </c>
      <c r="J5439" s="11" t="str">
        <f aca="false">IF($A5439="","",IF($H5439="-","유지",IF($I5439="첫 건","유지","확인 필요")))</f>
        <v/>
      </c>
    </row>
    <row r="5440" customFormat="false" ht="15" hidden="false" customHeight="true" outlineLevel="0" collapsed="false">
      <c r="A5440" s="11" t="str">
        <f aca="false">IF(원본명단!$A5439="","",5437)</f>
        <v/>
      </c>
      <c r="B5440" s="12" t="str">
        <f aca="false">IF($A5440="","",원본명단!$A5439)</f>
        <v/>
      </c>
      <c r="C5440" s="12" t="str">
        <f aca="false">IF($A5440="","",원본명단!$B5439)</f>
        <v/>
      </c>
      <c r="D5440" s="12" t="str">
        <f aca="false">IF($A5440="","",원본명단!$D5439)</f>
        <v/>
      </c>
      <c r="E5440" s="11" t="str">
        <f aca="false">IF($A5440="","",IF(원본명단!$H5439="",0,COUNTIF(원본명단!$H$3:$H$6002,원본명단!$H5439)))</f>
        <v/>
      </c>
      <c r="F5440" s="11" t="str">
        <f aca="false">IF($A5440="","",IF(원본명단!$I5439="",0,COUNTIF(원본명단!$I$3:$I$6002,원본명단!$I5439)))</f>
        <v/>
      </c>
      <c r="G5440" s="11" t="str">
        <f aca="false">IF($A5440="","",IF(원본명단!$K5439="",0,COUNTIF(원본명단!$K$3:$K$6002,원본명단!$K5439)))</f>
        <v/>
      </c>
      <c r="H5440" s="11" t="str">
        <f aca="false">IF($A5440="","",IF(MAX($E5440,$F5440,$G5440)&gt;1,"중복","-"))</f>
        <v/>
      </c>
      <c r="I5440" s="11" t="str">
        <f aca="false">IF($A5440="","",IF($H5440="-","-",IF(AND(IF(원본명단!$H5439="",TRUE(),COUNTIF(원본명단!$H$3:$H5439,원본명단!$H5439)=1),IF(원본명단!$I5439="",TRUE(),COUNTIF(원본명단!$I$3:$I5439,원본명단!$I5439)=1),IF(원본명단!$K5439="",TRUE(),COUNTIF(원본명단!$K$3:$K5439,원본명단!$K5439)=1)),"첫 건","중복 건")))</f>
        <v/>
      </c>
      <c r="J5440" s="11" t="str">
        <f aca="false">IF($A5440="","",IF($H5440="-","유지",IF($I5440="첫 건","유지","확인 필요")))</f>
        <v/>
      </c>
    </row>
    <row r="5441" customFormat="false" ht="15" hidden="false" customHeight="true" outlineLevel="0" collapsed="false">
      <c r="A5441" s="11" t="str">
        <f aca="false">IF(원본명단!$A5440="","",5438)</f>
        <v/>
      </c>
      <c r="B5441" s="12" t="str">
        <f aca="false">IF($A5441="","",원본명단!$A5440)</f>
        <v/>
      </c>
      <c r="C5441" s="12" t="str">
        <f aca="false">IF($A5441="","",원본명단!$B5440)</f>
        <v/>
      </c>
      <c r="D5441" s="12" t="str">
        <f aca="false">IF($A5441="","",원본명단!$D5440)</f>
        <v/>
      </c>
      <c r="E5441" s="11" t="str">
        <f aca="false">IF($A5441="","",IF(원본명단!$H5440="",0,COUNTIF(원본명단!$H$3:$H$6002,원본명단!$H5440)))</f>
        <v/>
      </c>
      <c r="F5441" s="11" t="str">
        <f aca="false">IF($A5441="","",IF(원본명단!$I5440="",0,COUNTIF(원본명단!$I$3:$I$6002,원본명단!$I5440)))</f>
        <v/>
      </c>
      <c r="G5441" s="11" t="str">
        <f aca="false">IF($A5441="","",IF(원본명단!$K5440="",0,COUNTIF(원본명단!$K$3:$K$6002,원본명단!$K5440)))</f>
        <v/>
      </c>
      <c r="H5441" s="11" t="str">
        <f aca="false">IF($A5441="","",IF(MAX($E5441,$F5441,$G5441)&gt;1,"중복","-"))</f>
        <v/>
      </c>
      <c r="I5441" s="11" t="str">
        <f aca="false">IF($A5441="","",IF($H5441="-","-",IF(AND(IF(원본명단!$H5440="",TRUE(),COUNTIF(원본명단!$H$3:$H5440,원본명단!$H5440)=1),IF(원본명단!$I5440="",TRUE(),COUNTIF(원본명단!$I$3:$I5440,원본명단!$I5440)=1),IF(원본명단!$K5440="",TRUE(),COUNTIF(원본명단!$K$3:$K5440,원본명단!$K5440)=1)),"첫 건","중복 건")))</f>
        <v/>
      </c>
      <c r="J5441" s="11" t="str">
        <f aca="false">IF($A5441="","",IF($H5441="-","유지",IF($I5441="첫 건","유지","확인 필요")))</f>
        <v/>
      </c>
    </row>
    <row r="5442" customFormat="false" ht="15" hidden="false" customHeight="true" outlineLevel="0" collapsed="false">
      <c r="A5442" s="11" t="str">
        <f aca="false">IF(원본명단!$A5441="","",5439)</f>
        <v/>
      </c>
      <c r="B5442" s="12" t="str">
        <f aca="false">IF($A5442="","",원본명단!$A5441)</f>
        <v/>
      </c>
      <c r="C5442" s="12" t="str">
        <f aca="false">IF($A5442="","",원본명단!$B5441)</f>
        <v/>
      </c>
      <c r="D5442" s="12" t="str">
        <f aca="false">IF($A5442="","",원본명단!$D5441)</f>
        <v/>
      </c>
      <c r="E5442" s="11" t="str">
        <f aca="false">IF($A5442="","",IF(원본명단!$H5441="",0,COUNTIF(원본명단!$H$3:$H$6002,원본명단!$H5441)))</f>
        <v/>
      </c>
      <c r="F5442" s="11" t="str">
        <f aca="false">IF($A5442="","",IF(원본명단!$I5441="",0,COUNTIF(원본명단!$I$3:$I$6002,원본명단!$I5441)))</f>
        <v/>
      </c>
      <c r="G5442" s="11" t="str">
        <f aca="false">IF($A5442="","",IF(원본명단!$K5441="",0,COUNTIF(원본명단!$K$3:$K$6002,원본명단!$K5441)))</f>
        <v/>
      </c>
      <c r="H5442" s="11" t="str">
        <f aca="false">IF($A5442="","",IF(MAX($E5442,$F5442,$G5442)&gt;1,"중복","-"))</f>
        <v/>
      </c>
      <c r="I5442" s="11" t="str">
        <f aca="false">IF($A5442="","",IF($H5442="-","-",IF(AND(IF(원본명단!$H5441="",TRUE(),COUNTIF(원본명단!$H$3:$H5441,원본명단!$H5441)=1),IF(원본명단!$I5441="",TRUE(),COUNTIF(원본명단!$I$3:$I5441,원본명단!$I5441)=1),IF(원본명단!$K5441="",TRUE(),COUNTIF(원본명단!$K$3:$K5441,원본명단!$K5441)=1)),"첫 건","중복 건")))</f>
        <v/>
      </c>
      <c r="J5442" s="11" t="str">
        <f aca="false">IF($A5442="","",IF($H5442="-","유지",IF($I5442="첫 건","유지","확인 필요")))</f>
        <v/>
      </c>
    </row>
    <row r="5443" customFormat="false" ht="15" hidden="false" customHeight="true" outlineLevel="0" collapsed="false">
      <c r="A5443" s="11" t="str">
        <f aca="false">IF(원본명단!$A5442="","",5440)</f>
        <v/>
      </c>
      <c r="B5443" s="12" t="str">
        <f aca="false">IF($A5443="","",원본명단!$A5442)</f>
        <v/>
      </c>
      <c r="C5443" s="12" t="str">
        <f aca="false">IF($A5443="","",원본명단!$B5442)</f>
        <v/>
      </c>
      <c r="D5443" s="12" t="str">
        <f aca="false">IF($A5443="","",원본명단!$D5442)</f>
        <v/>
      </c>
      <c r="E5443" s="11" t="str">
        <f aca="false">IF($A5443="","",IF(원본명단!$H5442="",0,COUNTIF(원본명단!$H$3:$H$6002,원본명단!$H5442)))</f>
        <v/>
      </c>
      <c r="F5443" s="11" t="str">
        <f aca="false">IF($A5443="","",IF(원본명단!$I5442="",0,COUNTIF(원본명단!$I$3:$I$6002,원본명단!$I5442)))</f>
        <v/>
      </c>
      <c r="G5443" s="11" t="str">
        <f aca="false">IF($A5443="","",IF(원본명단!$K5442="",0,COUNTIF(원본명단!$K$3:$K$6002,원본명단!$K5442)))</f>
        <v/>
      </c>
      <c r="H5443" s="11" t="str">
        <f aca="false">IF($A5443="","",IF(MAX($E5443,$F5443,$G5443)&gt;1,"중복","-"))</f>
        <v/>
      </c>
      <c r="I5443" s="11" t="str">
        <f aca="false">IF($A5443="","",IF($H5443="-","-",IF(AND(IF(원본명단!$H5442="",TRUE(),COUNTIF(원본명단!$H$3:$H5442,원본명단!$H5442)=1),IF(원본명단!$I5442="",TRUE(),COUNTIF(원본명단!$I$3:$I5442,원본명단!$I5442)=1),IF(원본명단!$K5442="",TRUE(),COUNTIF(원본명단!$K$3:$K5442,원본명단!$K5442)=1)),"첫 건","중복 건")))</f>
        <v/>
      </c>
      <c r="J5443" s="11" t="str">
        <f aca="false">IF($A5443="","",IF($H5443="-","유지",IF($I5443="첫 건","유지","확인 필요")))</f>
        <v/>
      </c>
    </row>
    <row r="5444" customFormat="false" ht="15" hidden="false" customHeight="true" outlineLevel="0" collapsed="false">
      <c r="A5444" s="11" t="str">
        <f aca="false">IF(원본명단!$A5443="","",5441)</f>
        <v/>
      </c>
      <c r="B5444" s="12" t="str">
        <f aca="false">IF($A5444="","",원본명단!$A5443)</f>
        <v/>
      </c>
      <c r="C5444" s="12" t="str">
        <f aca="false">IF($A5444="","",원본명단!$B5443)</f>
        <v/>
      </c>
      <c r="D5444" s="12" t="str">
        <f aca="false">IF($A5444="","",원본명단!$D5443)</f>
        <v/>
      </c>
      <c r="E5444" s="11" t="str">
        <f aca="false">IF($A5444="","",IF(원본명단!$H5443="",0,COUNTIF(원본명단!$H$3:$H$6002,원본명단!$H5443)))</f>
        <v/>
      </c>
      <c r="F5444" s="11" t="str">
        <f aca="false">IF($A5444="","",IF(원본명단!$I5443="",0,COUNTIF(원본명단!$I$3:$I$6002,원본명단!$I5443)))</f>
        <v/>
      </c>
      <c r="G5444" s="11" t="str">
        <f aca="false">IF($A5444="","",IF(원본명단!$K5443="",0,COUNTIF(원본명단!$K$3:$K$6002,원본명단!$K5443)))</f>
        <v/>
      </c>
      <c r="H5444" s="11" t="str">
        <f aca="false">IF($A5444="","",IF(MAX($E5444,$F5444,$G5444)&gt;1,"중복","-"))</f>
        <v/>
      </c>
      <c r="I5444" s="11" t="str">
        <f aca="false">IF($A5444="","",IF($H5444="-","-",IF(AND(IF(원본명단!$H5443="",TRUE(),COUNTIF(원본명단!$H$3:$H5443,원본명단!$H5443)=1),IF(원본명단!$I5443="",TRUE(),COUNTIF(원본명단!$I$3:$I5443,원본명단!$I5443)=1),IF(원본명단!$K5443="",TRUE(),COUNTIF(원본명단!$K$3:$K5443,원본명단!$K5443)=1)),"첫 건","중복 건")))</f>
        <v/>
      </c>
      <c r="J5444" s="11" t="str">
        <f aca="false">IF($A5444="","",IF($H5444="-","유지",IF($I5444="첫 건","유지","확인 필요")))</f>
        <v/>
      </c>
    </row>
    <row r="5445" customFormat="false" ht="15" hidden="false" customHeight="true" outlineLevel="0" collapsed="false">
      <c r="A5445" s="11" t="str">
        <f aca="false">IF(원본명단!$A5444="","",5442)</f>
        <v/>
      </c>
      <c r="B5445" s="12" t="str">
        <f aca="false">IF($A5445="","",원본명단!$A5444)</f>
        <v/>
      </c>
      <c r="C5445" s="12" t="str">
        <f aca="false">IF($A5445="","",원본명단!$B5444)</f>
        <v/>
      </c>
      <c r="D5445" s="12" t="str">
        <f aca="false">IF($A5445="","",원본명단!$D5444)</f>
        <v/>
      </c>
      <c r="E5445" s="11" t="str">
        <f aca="false">IF($A5445="","",IF(원본명단!$H5444="",0,COUNTIF(원본명단!$H$3:$H$6002,원본명단!$H5444)))</f>
        <v/>
      </c>
      <c r="F5445" s="11" t="str">
        <f aca="false">IF($A5445="","",IF(원본명단!$I5444="",0,COUNTIF(원본명단!$I$3:$I$6002,원본명단!$I5444)))</f>
        <v/>
      </c>
      <c r="G5445" s="11" t="str">
        <f aca="false">IF($A5445="","",IF(원본명단!$K5444="",0,COUNTIF(원본명단!$K$3:$K$6002,원본명단!$K5444)))</f>
        <v/>
      </c>
      <c r="H5445" s="11" t="str">
        <f aca="false">IF($A5445="","",IF(MAX($E5445,$F5445,$G5445)&gt;1,"중복","-"))</f>
        <v/>
      </c>
      <c r="I5445" s="11" t="str">
        <f aca="false">IF($A5445="","",IF($H5445="-","-",IF(AND(IF(원본명단!$H5444="",TRUE(),COUNTIF(원본명단!$H$3:$H5444,원본명단!$H5444)=1),IF(원본명단!$I5444="",TRUE(),COUNTIF(원본명단!$I$3:$I5444,원본명단!$I5444)=1),IF(원본명단!$K5444="",TRUE(),COUNTIF(원본명단!$K$3:$K5444,원본명단!$K5444)=1)),"첫 건","중복 건")))</f>
        <v/>
      </c>
      <c r="J5445" s="11" t="str">
        <f aca="false">IF($A5445="","",IF($H5445="-","유지",IF($I5445="첫 건","유지","확인 필요")))</f>
        <v/>
      </c>
    </row>
    <row r="5446" customFormat="false" ht="15" hidden="false" customHeight="true" outlineLevel="0" collapsed="false">
      <c r="A5446" s="11" t="str">
        <f aca="false">IF(원본명단!$A5445="","",5443)</f>
        <v/>
      </c>
      <c r="B5446" s="12" t="str">
        <f aca="false">IF($A5446="","",원본명단!$A5445)</f>
        <v/>
      </c>
      <c r="C5446" s="12" t="str">
        <f aca="false">IF($A5446="","",원본명단!$B5445)</f>
        <v/>
      </c>
      <c r="D5446" s="12" t="str">
        <f aca="false">IF($A5446="","",원본명단!$D5445)</f>
        <v/>
      </c>
      <c r="E5446" s="11" t="str">
        <f aca="false">IF($A5446="","",IF(원본명단!$H5445="",0,COUNTIF(원본명단!$H$3:$H$6002,원본명단!$H5445)))</f>
        <v/>
      </c>
      <c r="F5446" s="11" t="str">
        <f aca="false">IF($A5446="","",IF(원본명단!$I5445="",0,COUNTIF(원본명단!$I$3:$I$6002,원본명단!$I5445)))</f>
        <v/>
      </c>
      <c r="G5446" s="11" t="str">
        <f aca="false">IF($A5446="","",IF(원본명단!$K5445="",0,COUNTIF(원본명단!$K$3:$K$6002,원본명단!$K5445)))</f>
        <v/>
      </c>
      <c r="H5446" s="11" t="str">
        <f aca="false">IF($A5446="","",IF(MAX($E5446,$F5446,$G5446)&gt;1,"중복","-"))</f>
        <v/>
      </c>
      <c r="I5446" s="11" t="str">
        <f aca="false">IF($A5446="","",IF($H5446="-","-",IF(AND(IF(원본명단!$H5445="",TRUE(),COUNTIF(원본명단!$H$3:$H5445,원본명단!$H5445)=1),IF(원본명단!$I5445="",TRUE(),COUNTIF(원본명단!$I$3:$I5445,원본명단!$I5445)=1),IF(원본명단!$K5445="",TRUE(),COUNTIF(원본명단!$K$3:$K5445,원본명단!$K5445)=1)),"첫 건","중복 건")))</f>
        <v/>
      </c>
      <c r="J5446" s="11" t="str">
        <f aca="false">IF($A5446="","",IF($H5446="-","유지",IF($I5446="첫 건","유지","확인 필요")))</f>
        <v/>
      </c>
    </row>
    <row r="5447" customFormat="false" ht="15" hidden="false" customHeight="true" outlineLevel="0" collapsed="false">
      <c r="A5447" s="11" t="str">
        <f aca="false">IF(원본명단!$A5446="","",5444)</f>
        <v/>
      </c>
      <c r="B5447" s="12" t="str">
        <f aca="false">IF($A5447="","",원본명단!$A5446)</f>
        <v/>
      </c>
      <c r="C5447" s="12" t="str">
        <f aca="false">IF($A5447="","",원본명단!$B5446)</f>
        <v/>
      </c>
      <c r="D5447" s="12" t="str">
        <f aca="false">IF($A5447="","",원본명단!$D5446)</f>
        <v/>
      </c>
      <c r="E5447" s="11" t="str">
        <f aca="false">IF($A5447="","",IF(원본명단!$H5446="",0,COUNTIF(원본명단!$H$3:$H$6002,원본명단!$H5446)))</f>
        <v/>
      </c>
      <c r="F5447" s="11" t="str">
        <f aca="false">IF($A5447="","",IF(원본명단!$I5446="",0,COUNTIF(원본명단!$I$3:$I$6002,원본명단!$I5446)))</f>
        <v/>
      </c>
      <c r="G5447" s="11" t="str">
        <f aca="false">IF($A5447="","",IF(원본명단!$K5446="",0,COUNTIF(원본명단!$K$3:$K$6002,원본명단!$K5446)))</f>
        <v/>
      </c>
      <c r="H5447" s="11" t="str">
        <f aca="false">IF($A5447="","",IF(MAX($E5447,$F5447,$G5447)&gt;1,"중복","-"))</f>
        <v/>
      </c>
      <c r="I5447" s="11" t="str">
        <f aca="false">IF($A5447="","",IF($H5447="-","-",IF(AND(IF(원본명단!$H5446="",TRUE(),COUNTIF(원본명단!$H$3:$H5446,원본명단!$H5446)=1),IF(원본명단!$I5446="",TRUE(),COUNTIF(원본명단!$I$3:$I5446,원본명단!$I5446)=1),IF(원본명단!$K5446="",TRUE(),COUNTIF(원본명단!$K$3:$K5446,원본명단!$K5446)=1)),"첫 건","중복 건")))</f>
        <v/>
      </c>
      <c r="J5447" s="11" t="str">
        <f aca="false">IF($A5447="","",IF($H5447="-","유지",IF($I5447="첫 건","유지","확인 필요")))</f>
        <v/>
      </c>
    </row>
    <row r="5448" customFormat="false" ht="15" hidden="false" customHeight="true" outlineLevel="0" collapsed="false">
      <c r="A5448" s="11" t="str">
        <f aca="false">IF(원본명단!$A5447="","",5445)</f>
        <v/>
      </c>
      <c r="B5448" s="12" t="str">
        <f aca="false">IF($A5448="","",원본명단!$A5447)</f>
        <v/>
      </c>
      <c r="C5448" s="12" t="str">
        <f aca="false">IF($A5448="","",원본명단!$B5447)</f>
        <v/>
      </c>
      <c r="D5448" s="12" t="str">
        <f aca="false">IF($A5448="","",원본명단!$D5447)</f>
        <v/>
      </c>
      <c r="E5448" s="11" t="str">
        <f aca="false">IF($A5448="","",IF(원본명단!$H5447="",0,COUNTIF(원본명단!$H$3:$H$6002,원본명단!$H5447)))</f>
        <v/>
      </c>
      <c r="F5448" s="11" t="str">
        <f aca="false">IF($A5448="","",IF(원본명단!$I5447="",0,COUNTIF(원본명단!$I$3:$I$6002,원본명단!$I5447)))</f>
        <v/>
      </c>
      <c r="G5448" s="11" t="str">
        <f aca="false">IF($A5448="","",IF(원본명단!$K5447="",0,COUNTIF(원본명단!$K$3:$K$6002,원본명단!$K5447)))</f>
        <v/>
      </c>
      <c r="H5448" s="11" t="str">
        <f aca="false">IF($A5448="","",IF(MAX($E5448,$F5448,$G5448)&gt;1,"중복","-"))</f>
        <v/>
      </c>
      <c r="I5448" s="11" t="str">
        <f aca="false">IF($A5448="","",IF($H5448="-","-",IF(AND(IF(원본명단!$H5447="",TRUE(),COUNTIF(원본명단!$H$3:$H5447,원본명단!$H5447)=1),IF(원본명단!$I5447="",TRUE(),COUNTIF(원본명단!$I$3:$I5447,원본명단!$I5447)=1),IF(원본명단!$K5447="",TRUE(),COUNTIF(원본명단!$K$3:$K5447,원본명단!$K5447)=1)),"첫 건","중복 건")))</f>
        <v/>
      </c>
      <c r="J5448" s="11" t="str">
        <f aca="false">IF($A5448="","",IF($H5448="-","유지",IF($I5448="첫 건","유지","확인 필요")))</f>
        <v/>
      </c>
    </row>
    <row r="5449" customFormat="false" ht="15" hidden="false" customHeight="true" outlineLevel="0" collapsed="false">
      <c r="A5449" s="11" t="str">
        <f aca="false">IF(원본명단!$A5448="","",5446)</f>
        <v/>
      </c>
      <c r="B5449" s="12" t="str">
        <f aca="false">IF($A5449="","",원본명단!$A5448)</f>
        <v/>
      </c>
      <c r="C5449" s="12" t="str">
        <f aca="false">IF($A5449="","",원본명단!$B5448)</f>
        <v/>
      </c>
      <c r="D5449" s="12" t="str">
        <f aca="false">IF($A5449="","",원본명단!$D5448)</f>
        <v/>
      </c>
      <c r="E5449" s="11" t="str">
        <f aca="false">IF($A5449="","",IF(원본명단!$H5448="",0,COUNTIF(원본명단!$H$3:$H$6002,원본명단!$H5448)))</f>
        <v/>
      </c>
      <c r="F5449" s="11" t="str">
        <f aca="false">IF($A5449="","",IF(원본명단!$I5448="",0,COUNTIF(원본명단!$I$3:$I$6002,원본명단!$I5448)))</f>
        <v/>
      </c>
      <c r="G5449" s="11" t="str">
        <f aca="false">IF($A5449="","",IF(원본명단!$K5448="",0,COUNTIF(원본명단!$K$3:$K$6002,원본명단!$K5448)))</f>
        <v/>
      </c>
      <c r="H5449" s="11" t="str">
        <f aca="false">IF($A5449="","",IF(MAX($E5449,$F5449,$G5449)&gt;1,"중복","-"))</f>
        <v/>
      </c>
      <c r="I5449" s="11" t="str">
        <f aca="false">IF($A5449="","",IF($H5449="-","-",IF(AND(IF(원본명단!$H5448="",TRUE(),COUNTIF(원본명단!$H$3:$H5448,원본명단!$H5448)=1),IF(원본명단!$I5448="",TRUE(),COUNTIF(원본명단!$I$3:$I5448,원본명단!$I5448)=1),IF(원본명단!$K5448="",TRUE(),COUNTIF(원본명단!$K$3:$K5448,원본명단!$K5448)=1)),"첫 건","중복 건")))</f>
        <v/>
      </c>
      <c r="J5449" s="11" t="str">
        <f aca="false">IF($A5449="","",IF($H5449="-","유지",IF($I5449="첫 건","유지","확인 필요")))</f>
        <v/>
      </c>
    </row>
    <row r="5450" customFormat="false" ht="15" hidden="false" customHeight="true" outlineLevel="0" collapsed="false">
      <c r="A5450" s="11" t="str">
        <f aca="false">IF(원본명단!$A5449="","",5447)</f>
        <v/>
      </c>
      <c r="B5450" s="12" t="str">
        <f aca="false">IF($A5450="","",원본명단!$A5449)</f>
        <v/>
      </c>
      <c r="C5450" s="12" t="str">
        <f aca="false">IF($A5450="","",원본명단!$B5449)</f>
        <v/>
      </c>
      <c r="D5450" s="12" t="str">
        <f aca="false">IF($A5450="","",원본명단!$D5449)</f>
        <v/>
      </c>
      <c r="E5450" s="11" t="str">
        <f aca="false">IF($A5450="","",IF(원본명단!$H5449="",0,COUNTIF(원본명단!$H$3:$H$6002,원본명단!$H5449)))</f>
        <v/>
      </c>
      <c r="F5450" s="11" t="str">
        <f aca="false">IF($A5450="","",IF(원본명단!$I5449="",0,COUNTIF(원본명단!$I$3:$I$6002,원본명단!$I5449)))</f>
        <v/>
      </c>
      <c r="G5450" s="11" t="str">
        <f aca="false">IF($A5450="","",IF(원본명단!$K5449="",0,COUNTIF(원본명단!$K$3:$K$6002,원본명단!$K5449)))</f>
        <v/>
      </c>
      <c r="H5450" s="11" t="str">
        <f aca="false">IF($A5450="","",IF(MAX($E5450,$F5450,$G5450)&gt;1,"중복","-"))</f>
        <v/>
      </c>
      <c r="I5450" s="11" t="str">
        <f aca="false">IF($A5450="","",IF($H5450="-","-",IF(AND(IF(원본명단!$H5449="",TRUE(),COUNTIF(원본명단!$H$3:$H5449,원본명단!$H5449)=1),IF(원본명단!$I5449="",TRUE(),COUNTIF(원본명단!$I$3:$I5449,원본명단!$I5449)=1),IF(원본명단!$K5449="",TRUE(),COUNTIF(원본명단!$K$3:$K5449,원본명단!$K5449)=1)),"첫 건","중복 건")))</f>
        <v/>
      </c>
      <c r="J5450" s="11" t="str">
        <f aca="false">IF($A5450="","",IF($H5450="-","유지",IF($I5450="첫 건","유지","확인 필요")))</f>
        <v/>
      </c>
    </row>
    <row r="5451" customFormat="false" ht="15" hidden="false" customHeight="true" outlineLevel="0" collapsed="false">
      <c r="A5451" s="11" t="str">
        <f aca="false">IF(원본명단!$A5450="","",5448)</f>
        <v/>
      </c>
      <c r="B5451" s="12" t="str">
        <f aca="false">IF($A5451="","",원본명단!$A5450)</f>
        <v/>
      </c>
      <c r="C5451" s="12" t="str">
        <f aca="false">IF($A5451="","",원본명단!$B5450)</f>
        <v/>
      </c>
      <c r="D5451" s="12" t="str">
        <f aca="false">IF($A5451="","",원본명단!$D5450)</f>
        <v/>
      </c>
      <c r="E5451" s="11" t="str">
        <f aca="false">IF($A5451="","",IF(원본명단!$H5450="",0,COUNTIF(원본명단!$H$3:$H$6002,원본명단!$H5450)))</f>
        <v/>
      </c>
      <c r="F5451" s="11" t="str">
        <f aca="false">IF($A5451="","",IF(원본명단!$I5450="",0,COUNTIF(원본명단!$I$3:$I$6002,원본명단!$I5450)))</f>
        <v/>
      </c>
      <c r="G5451" s="11" t="str">
        <f aca="false">IF($A5451="","",IF(원본명단!$K5450="",0,COUNTIF(원본명단!$K$3:$K$6002,원본명단!$K5450)))</f>
        <v/>
      </c>
      <c r="H5451" s="11" t="str">
        <f aca="false">IF($A5451="","",IF(MAX($E5451,$F5451,$G5451)&gt;1,"중복","-"))</f>
        <v/>
      </c>
      <c r="I5451" s="11" t="str">
        <f aca="false">IF($A5451="","",IF($H5451="-","-",IF(AND(IF(원본명단!$H5450="",TRUE(),COUNTIF(원본명단!$H$3:$H5450,원본명단!$H5450)=1),IF(원본명단!$I5450="",TRUE(),COUNTIF(원본명단!$I$3:$I5450,원본명단!$I5450)=1),IF(원본명단!$K5450="",TRUE(),COUNTIF(원본명단!$K$3:$K5450,원본명단!$K5450)=1)),"첫 건","중복 건")))</f>
        <v/>
      </c>
      <c r="J5451" s="11" t="str">
        <f aca="false">IF($A5451="","",IF($H5451="-","유지",IF($I5451="첫 건","유지","확인 필요")))</f>
        <v/>
      </c>
    </row>
    <row r="5452" customFormat="false" ht="15" hidden="false" customHeight="true" outlineLevel="0" collapsed="false">
      <c r="A5452" s="11" t="str">
        <f aca="false">IF(원본명단!$A5451="","",5449)</f>
        <v/>
      </c>
      <c r="B5452" s="12" t="str">
        <f aca="false">IF($A5452="","",원본명단!$A5451)</f>
        <v/>
      </c>
      <c r="C5452" s="12" t="str">
        <f aca="false">IF($A5452="","",원본명단!$B5451)</f>
        <v/>
      </c>
      <c r="D5452" s="12" t="str">
        <f aca="false">IF($A5452="","",원본명단!$D5451)</f>
        <v/>
      </c>
      <c r="E5452" s="11" t="str">
        <f aca="false">IF($A5452="","",IF(원본명단!$H5451="",0,COUNTIF(원본명단!$H$3:$H$6002,원본명단!$H5451)))</f>
        <v/>
      </c>
      <c r="F5452" s="11" t="str">
        <f aca="false">IF($A5452="","",IF(원본명단!$I5451="",0,COUNTIF(원본명단!$I$3:$I$6002,원본명단!$I5451)))</f>
        <v/>
      </c>
      <c r="G5452" s="11" t="str">
        <f aca="false">IF($A5452="","",IF(원본명단!$K5451="",0,COUNTIF(원본명단!$K$3:$K$6002,원본명단!$K5451)))</f>
        <v/>
      </c>
      <c r="H5452" s="11" t="str">
        <f aca="false">IF($A5452="","",IF(MAX($E5452,$F5452,$G5452)&gt;1,"중복","-"))</f>
        <v/>
      </c>
      <c r="I5452" s="11" t="str">
        <f aca="false">IF($A5452="","",IF($H5452="-","-",IF(AND(IF(원본명단!$H5451="",TRUE(),COUNTIF(원본명단!$H$3:$H5451,원본명단!$H5451)=1),IF(원본명단!$I5451="",TRUE(),COUNTIF(원본명단!$I$3:$I5451,원본명단!$I5451)=1),IF(원본명단!$K5451="",TRUE(),COUNTIF(원본명단!$K$3:$K5451,원본명단!$K5451)=1)),"첫 건","중복 건")))</f>
        <v/>
      </c>
      <c r="J5452" s="11" t="str">
        <f aca="false">IF($A5452="","",IF($H5452="-","유지",IF($I5452="첫 건","유지","확인 필요")))</f>
        <v/>
      </c>
    </row>
    <row r="5453" customFormat="false" ht="15" hidden="false" customHeight="true" outlineLevel="0" collapsed="false">
      <c r="A5453" s="11" t="str">
        <f aca="false">IF(원본명단!$A5452="","",5450)</f>
        <v/>
      </c>
      <c r="B5453" s="12" t="str">
        <f aca="false">IF($A5453="","",원본명단!$A5452)</f>
        <v/>
      </c>
      <c r="C5453" s="12" t="str">
        <f aca="false">IF($A5453="","",원본명단!$B5452)</f>
        <v/>
      </c>
      <c r="D5453" s="12" t="str">
        <f aca="false">IF($A5453="","",원본명단!$D5452)</f>
        <v/>
      </c>
      <c r="E5453" s="11" t="str">
        <f aca="false">IF($A5453="","",IF(원본명단!$H5452="",0,COUNTIF(원본명단!$H$3:$H$6002,원본명단!$H5452)))</f>
        <v/>
      </c>
      <c r="F5453" s="11" t="str">
        <f aca="false">IF($A5453="","",IF(원본명단!$I5452="",0,COUNTIF(원본명단!$I$3:$I$6002,원본명단!$I5452)))</f>
        <v/>
      </c>
      <c r="G5453" s="11" t="str">
        <f aca="false">IF($A5453="","",IF(원본명단!$K5452="",0,COUNTIF(원본명단!$K$3:$K$6002,원본명단!$K5452)))</f>
        <v/>
      </c>
      <c r="H5453" s="11" t="str">
        <f aca="false">IF($A5453="","",IF(MAX($E5453,$F5453,$G5453)&gt;1,"중복","-"))</f>
        <v/>
      </c>
      <c r="I5453" s="11" t="str">
        <f aca="false">IF($A5453="","",IF($H5453="-","-",IF(AND(IF(원본명단!$H5452="",TRUE(),COUNTIF(원본명단!$H$3:$H5452,원본명단!$H5452)=1),IF(원본명단!$I5452="",TRUE(),COUNTIF(원본명단!$I$3:$I5452,원본명단!$I5452)=1),IF(원본명단!$K5452="",TRUE(),COUNTIF(원본명단!$K$3:$K5452,원본명단!$K5452)=1)),"첫 건","중복 건")))</f>
        <v/>
      </c>
      <c r="J5453" s="11" t="str">
        <f aca="false">IF($A5453="","",IF($H5453="-","유지",IF($I5453="첫 건","유지","확인 필요")))</f>
        <v/>
      </c>
    </row>
    <row r="5454" customFormat="false" ht="15" hidden="false" customHeight="true" outlineLevel="0" collapsed="false">
      <c r="A5454" s="11" t="str">
        <f aca="false">IF(원본명단!$A5453="","",5451)</f>
        <v/>
      </c>
      <c r="B5454" s="12" t="str">
        <f aca="false">IF($A5454="","",원본명단!$A5453)</f>
        <v/>
      </c>
      <c r="C5454" s="12" t="str">
        <f aca="false">IF($A5454="","",원본명단!$B5453)</f>
        <v/>
      </c>
      <c r="D5454" s="12" t="str">
        <f aca="false">IF($A5454="","",원본명단!$D5453)</f>
        <v/>
      </c>
      <c r="E5454" s="11" t="str">
        <f aca="false">IF($A5454="","",IF(원본명단!$H5453="",0,COUNTIF(원본명단!$H$3:$H$6002,원본명단!$H5453)))</f>
        <v/>
      </c>
      <c r="F5454" s="11" t="str">
        <f aca="false">IF($A5454="","",IF(원본명단!$I5453="",0,COUNTIF(원본명단!$I$3:$I$6002,원본명단!$I5453)))</f>
        <v/>
      </c>
      <c r="G5454" s="11" t="str">
        <f aca="false">IF($A5454="","",IF(원본명단!$K5453="",0,COUNTIF(원본명단!$K$3:$K$6002,원본명단!$K5453)))</f>
        <v/>
      </c>
      <c r="H5454" s="11" t="str">
        <f aca="false">IF($A5454="","",IF(MAX($E5454,$F5454,$G5454)&gt;1,"중복","-"))</f>
        <v/>
      </c>
      <c r="I5454" s="11" t="str">
        <f aca="false">IF($A5454="","",IF($H5454="-","-",IF(AND(IF(원본명단!$H5453="",TRUE(),COUNTIF(원본명단!$H$3:$H5453,원본명단!$H5453)=1),IF(원본명단!$I5453="",TRUE(),COUNTIF(원본명단!$I$3:$I5453,원본명단!$I5453)=1),IF(원본명단!$K5453="",TRUE(),COUNTIF(원본명단!$K$3:$K5453,원본명단!$K5453)=1)),"첫 건","중복 건")))</f>
        <v/>
      </c>
      <c r="J5454" s="11" t="str">
        <f aca="false">IF($A5454="","",IF($H5454="-","유지",IF($I5454="첫 건","유지","확인 필요")))</f>
        <v/>
      </c>
    </row>
    <row r="5455" customFormat="false" ht="15" hidden="false" customHeight="true" outlineLevel="0" collapsed="false">
      <c r="A5455" s="11" t="str">
        <f aca="false">IF(원본명단!$A5454="","",5452)</f>
        <v/>
      </c>
      <c r="B5455" s="12" t="str">
        <f aca="false">IF($A5455="","",원본명단!$A5454)</f>
        <v/>
      </c>
      <c r="C5455" s="12" t="str">
        <f aca="false">IF($A5455="","",원본명단!$B5454)</f>
        <v/>
      </c>
      <c r="D5455" s="12" t="str">
        <f aca="false">IF($A5455="","",원본명단!$D5454)</f>
        <v/>
      </c>
      <c r="E5455" s="11" t="str">
        <f aca="false">IF($A5455="","",IF(원본명단!$H5454="",0,COUNTIF(원본명단!$H$3:$H$6002,원본명단!$H5454)))</f>
        <v/>
      </c>
      <c r="F5455" s="11" t="str">
        <f aca="false">IF($A5455="","",IF(원본명단!$I5454="",0,COUNTIF(원본명단!$I$3:$I$6002,원본명단!$I5454)))</f>
        <v/>
      </c>
      <c r="G5455" s="11" t="str">
        <f aca="false">IF($A5455="","",IF(원본명단!$K5454="",0,COUNTIF(원본명단!$K$3:$K$6002,원본명단!$K5454)))</f>
        <v/>
      </c>
      <c r="H5455" s="11" t="str">
        <f aca="false">IF($A5455="","",IF(MAX($E5455,$F5455,$G5455)&gt;1,"중복","-"))</f>
        <v/>
      </c>
      <c r="I5455" s="11" t="str">
        <f aca="false">IF($A5455="","",IF($H5455="-","-",IF(AND(IF(원본명단!$H5454="",TRUE(),COUNTIF(원본명단!$H$3:$H5454,원본명단!$H5454)=1),IF(원본명단!$I5454="",TRUE(),COUNTIF(원본명단!$I$3:$I5454,원본명단!$I5454)=1),IF(원본명단!$K5454="",TRUE(),COUNTIF(원본명단!$K$3:$K5454,원본명단!$K5454)=1)),"첫 건","중복 건")))</f>
        <v/>
      </c>
      <c r="J5455" s="11" t="str">
        <f aca="false">IF($A5455="","",IF($H5455="-","유지",IF($I5455="첫 건","유지","확인 필요")))</f>
        <v/>
      </c>
    </row>
    <row r="5456" customFormat="false" ht="15" hidden="false" customHeight="true" outlineLevel="0" collapsed="false">
      <c r="A5456" s="11" t="str">
        <f aca="false">IF(원본명단!$A5455="","",5453)</f>
        <v/>
      </c>
      <c r="B5456" s="12" t="str">
        <f aca="false">IF($A5456="","",원본명단!$A5455)</f>
        <v/>
      </c>
      <c r="C5456" s="12" t="str">
        <f aca="false">IF($A5456="","",원본명단!$B5455)</f>
        <v/>
      </c>
      <c r="D5456" s="12" t="str">
        <f aca="false">IF($A5456="","",원본명단!$D5455)</f>
        <v/>
      </c>
      <c r="E5456" s="11" t="str">
        <f aca="false">IF($A5456="","",IF(원본명단!$H5455="",0,COUNTIF(원본명단!$H$3:$H$6002,원본명단!$H5455)))</f>
        <v/>
      </c>
      <c r="F5456" s="11" t="str">
        <f aca="false">IF($A5456="","",IF(원본명단!$I5455="",0,COUNTIF(원본명단!$I$3:$I$6002,원본명단!$I5455)))</f>
        <v/>
      </c>
      <c r="G5456" s="11" t="str">
        <f aca="false">IF($A5456="","",IF(원본명단!$K5455="",0,COUNTIF(원본명단!$K$3:$K$6002,원본명단!$K5455)))</f>
        <v/>
      </c>
      <c r="H5456" s="11" t="str">
        <f aca="false">IF($A5456="","",IF(MAX($E5456,$F5456,$G5456)&gt;1,"중복","-"))</f>
        <v/>
      </c>
      <c r="I5456" s="11" t="str">
        <f aca="false">IF($A5456="","",IF($H5456="-","-",IF(AND(IF(원본명단!$H5455="",TRUE(),COUNTIF(원본명단!$H$3:$H5455,원본명단!$H5455)=1),IF(원본명단!$I5455="",TRUE(),COUNTIF(원본명단!$I$3:$I5455,원본명단!$I5455)=1),IF(원본명단!$K5455="",TRUE(),COUNTIF(원본명단!$K$3:$K5455,원본명단!$K5455)=1)),"첫 건","중복 건")))</f>
        <v/>
      </c>
      <c r="J5456" s="11" t="str">
        <f aca="false">IF($A5456="","",IF($H5456="-","유지",IF($I5456="첫 건","유지","확인 필요")))</f>
        <v/>
      </c>
    </row>
    <row r="5457" customFormat="false" ht="15" hidden="false" customHeight="true" outlineLevel="0" collapsed="false">
      <c r="A5457" s="11" t="str">
        <f aca="false">IF(원본명단!$A5456="","",5454)</f>
        <v/>
      </c>
      <c r="B5457" s="12" t="str">
        <f aca="false">IF($A5457="","",원본명단!$A5456)</f>
        <v/>
      </c>
      <c r="C5457" s="12" t="str">
        <f aca="false">IF($A5457="","",원본명단!$B5456)</f>
        <v/>
      </c>
      <c r="D5457" s="12" t="str">
        <f aca="false">IF($A5457="","",원본명단!$D5456)</f>
        <v/>
      </c>
      <c r="E5457" s="11" t="str">
        <f aca="false">IF($A5457="","",IF(원본명단!$H5456="",0,COUNTIF(원본명단!$H$3:$H$6002,원본명단!$H5456)))</f>
        <v/>
      </c>
      <c r="F5457" s="11" t="str">
        <f aca="false">IF($A5457="","",IF(원본명단!$I5456="",0,COUNTIF(원본명단!$I$3:$I$6002,원본명단!$I5456)))</f>
        <v/>
      </c>
      <c r="G5457" s="11" t="str">
        <f aca="false">IF($A5457="","",IF(원본명단!$K5456="",0,COUNTIF(원본명단!$K$3:$K$6002,원본명단!$K5456)))</f>
        <v/>
      </c>
      <c r="H5457" s="11" t="str">
        <f aca="false">IF($A5457="","",IF(MAX($E5457,$F5457,$G5457)&gt;1,"중복","-"))</f>
        <v/>
      </c>
      <c r="I5457" s="11" t="str">
        <f aca="false">IF($A5457="","",IF($H5457="-","-",IF(AND(IF(원본명단!$H5456="",TRUE(),COUNTIF(원본명단!$H$3:$H5456,원본명단!$H5456)=1),IF(원본명단!$I5456="",TRUE(),COUNTIF(원본명단!$I$3:$I5456,원본명단!$I5456)=1),IF(원본명단!$K5456="",TRUE(),COUNTIF(원본명단!$K$3:$K5456,원본명단!$K5456)=1)),"첫 건","중복 건")))</f>
        <v/>
      </c>
      <c r="J5457" s="11" t="str">
        <f aca="false">IF($A5457="","",IF($H5457="-","유지",IF($I5457="첫 건","유지","확인 필요")))</f>
        <v/>
      </c>
    </row>
    <row r="5458" customFormat="false" ht="15" hidden="false" customHeight="true" outlineLevel="0" collapsed="false">
      <c r="A5458" s="11" t="str">
        <f aca="false">IF(원본명단!$A5457="","",5455)</f>
        <v/>
      </c>
      <c r="B5458" s="12" t="str">
        <f aca="false">IF($A5458="","",원본명단!$A5457)</f>
        <v/>
      </c>
      <c r="C5458" s="12" t="str">
        <f aca="false">IF($A5458="","",원본명단!$B5457)</f>
        <v/>
      </c>
      <c r="D5458" s="12" t="str">
        <f aca="false">IF($A5458="","",원본명단!$D5457)</f>
        <v/>
      </c>
      <c r="E5458" s="11" t="str">
        <f aca="false">IF($A5458="","",IF(원본명단!$H5457="",0,COUNTIF(원본명단!$H$3:$H$6002,원본명단!$H5457)))</f>
        <v/>
      </c>
      <c r="F5458" s="11" t="str">
        <f aca="false">IF($A5458="","",IF(원본명단!$I5457="",0,COUNTIF(원본명단!$I$3:$I$6002,원본명단!$I5457)))</f>
        <v/>
      </c>
      <c r="G5458" s="11" t="str">
        <f aca="false">IF($A5458="","",IF(원본명단!$K5457="",0,COUNTIF(원본명단!$K$3:$K$6002,원본명단!$K5457)))</f>
        <v/>
      </c>
      <c r="H5458" s="11" t="str">
        <f aca="false">IF($A5458="","",IF(MAX($E5458,$F5458,$G5458)&gt;1,"중복","-"))</f>
        <v/>
      </c>
      <c r="I5458" s="11" t="str">
        <f aca="false">IF($A5458="","",IF($H5458="-","-",IF(AND(IF(원본명단!$H5457="",TRUE(),COUNTIF(원본명단!$H$3:$H5457,원본명단!$H5457)=1),IF(원본명단!$I5457="",TRUE(),COUNTIF(원본명단!$I$3:$I5457,원본명단!$I5457)=1),IF(원본명단!$K5457="",TRUE(),COUNTIF(원본명단!$K$3:$K5457,원본명단!$K5457)=1)),"첫 건","중복 건")))</f>
        <v/>
      </c>
      <c r="J5458" s="11" t="str">
        <f aca="false">IF($A5458="","",IF($H5458="-","유지",IF($I5458="첫 건","유지","확인 필요")))</f>
        <v/>
      </c>
    </row>
    <row r="5459" customFormat="false" ht="15" hidden="false" customHeight="true" outlineLevel="0" collapsed="false">
      <c r="A5459" s="11" t="str">
        <f aca="false">IF(원본명단!$A5458="","",5456)</f>
        <v/>
      </c>
      <c r="B5459" s="12" t="str">
        <f aca="false">IF($A5459="","",원본명단!$A5458)</f>
        <v/>
      </c>
      <c r="C5459" s="12" t="str">
        <f aca="false">IF($A5459="","",원본명단!$B5458)</f>
        <v/>
      </c>
      <c r="D5459" s="12" t="str">
        <f aca="false">IF($A5459="","",원본명단!$D5458)</f>
        <v/>
      </c>
      <c r="E5459" s="11" t="str">
        <f aca="false">IF($A5459="","",IF(원본명단!$H5458="",0,COUNTIF(원본명단!$H$3:$H$6002,원본명단!$H5458)))</f>
        <v/>
      </c>
      <c r="F5459" s="11" t="str">
        <f aca="false">IF($A5459="","",IF(원본명단!$I5458="",0,COUNTIF(원본명단!$I$3:$I$6002,원본명단!$I5458)))</f>
        <v/>
      </c>
      <c r="G5459" s="11" t="str">
        <f aca="false">IF($A5459="","",IF(원본명단!$K5458="",0,COUNTIF(원본명단!$K$3:$K$6002,원본명단!$K5458)))</f>
        <v/>
      </c>
      <c r="H5459" s="11" t="str">
        <f aca="false">IF($A5459="","",IF(MAX($E5459,$F5459,$G5459)&gt;1,"중복","-"))</f>
        <v/>
      </c>
      <c r="I5459" s="11" t="str">
        <f aca="false">IF($A5459="","",IF($H5459="-","-",IF(AND(IF(원본명단!$H5458="",TRUE(),COUNTIF(원본명단!$H$3:$H5458,원본명단!$H5458)=1),IF(원본명단!$I5458="",TRUE(),COUNTIF(원본명단!$I$3:$I5458,원본명단!$I5458)=1),IF(원본명단!$K5458="",TRUE(),COUNTIF(원본명단!$K$3:$K5458,원본명단!$K5458)=1)),"첫 건","중복 건")))</f>
        <v/>
      </c>
      <c r="J5459" s="11" t="str">
        <f aca="false">IF($A5459="","",IF($H5459="-","유지",IF($I5459="첫 건","유지","확인 필요")))</f>
        <v/>
      </c>
    </row>
    <row r="5460" customFormat="false" ht="15" hidden="false" customHeight="true" outlineLevel="0" collapsed="false">
      <c r="A5460" s="11" t="str">
        <f aca="false">IF(원본명단!$A5459="","",5457)</f>
        <v/>
      </c>
      <c r="B5460" s="12" t="str">
        <f aca="false">IF($A5460="","",원본명단!$A5459)</f>
        <v/>
      </c>
      <c r="C5460" s="12" t="str">
        <f aca="false">IF($A5460="","",원본명단!$B5459)</f>
        <v/>
      </c>
      <c r="D5460" s="12" t="str">
        <f aca="false">IF($A5460="","",원본명단!$D5459)</f>
        <v/>
      </c>
      <c r="E5460" s="11" t="str">
        <f aca="false">IF($A5460="","",IF(원본명단!$H5459="",0,COUNTIF(원본명단!$H$3:$H$6002,원본명단!$H5459)))</f>
        <v/>
      </c>
      <c r="F5460" s="11" t="str">
        <f aca="false">IF($A5460="","",IF(원본명단!$I5459="",0,COUNTIF(원본명단!$I$3:$I$6002,원본명단!$I5459)))</f>
        <v/>
      </c>
      <c r="G5460" s="11" t="str">
        <f aca="false">IF($A5460="","",IF(원본명단!$K5459="",0,COUNTIF(원본명단!$K$3:$K$6002,원본명단!$K5459)))</f>
        <v/>
      </c>
      <c r="H5460" s="11" t="str">
        <f aca="false">IF($A5460="","",IF(MAX($E5460,$F5460,$G5460)&gt;1,"중복","-"))</f>
        <v/>
      </c>
      <c r="I5460" s="11" t="str">
        <f aca="false">IF($A5460="","",IF($H5460="-","-",IF(AND(IF(원본명단!$H5459="",TRUE(),COUNTIF(원본명단!$H$3:$H5459,원본명단!$H5459)=1),IF(원본명단!$I5459="",TRUE(),COUNTIF(원본명단!$I$3:$I5459,원본명단!$I5459)=1),IF(원본명단!$K5459="",TRUE(),COUNTIF(원본명단!$K$3:$K5459,원본명단!$K5459)=1)),"첫 건","중복 건")))</f>
        <v/>
      </c>
      <c r="J5460" s="11" t="str">
        <f aca="false">IF($A5460="","",IF($H5460="-","유지",IF($I5460="첫 건","유지","확인 필요")))</f>
        <v/>
      </c>
    </row>
    <row r="5461" customFormat="false" ht="15" hidden="false" customHeight="true" outlineLevel="0" collapsed="false">
      <c r="A5461" s="11" t="str">
        <f aca="false">IF(원본명단!$A5460="","",5458)</f>
        <v/>
      </c>
      <c r="B5461" s="12" t="str">
        <f aca="false">IF($A5461="","",원본명단!$A5460)</f>
        <v/>
      </c>
      <c r="C5461" s="12" t="str">
        <f aca="false">IF($A5461="","",원본명단!$B5460)</f>
        <v/>
      </c>
      <c r="D5461" s="12" t="str">
        <f aca="false">IF($A5461="","",원본명단!$D5460)</f>
        <v/>
      </c>
      <c r="E5461" s="11" t="str">
        <f aca="false">IF($A5461="","",IF(원본명단!$H5460="",0,COUNTIF(원본명단!$H$3:$H$6002,원본명단!$H5460)))</f>
        <v/>
      </c>
      <c r="F5461" s="11" t="str">
        <f aca="false">IF($A5461="","",IF(원본명단!$I5460="",0,COUNTIF(원본명단!$I$3:$I$6002,원본명단!$I5460)))</f>
        <v/>
      </c>
      <c r="G5461" s="11" t="str">
        <f aca="false">IF($A5461="","",IF(원본명단!$K5460="",0,COUNTIF(원본명단!$K$3:$K$6002,원본명단!$K5460)))</f>
        <v/>
      </c>
      <c r="H5461" s="11" t="str">
        <f aca="false">IF($A5461="","",IF(MAX($E5461,$F5461,$G5461)&gt;1,"중복","-"))</f>
        <v/>
      </c>
      <c r="I5461" s="11" t="str">
        <f aca="false">IF($A5461="","",IF($H5461="-","-",IF(AND(IF(원본명단!$H5460="",TRUE(),COUNTIF(원본명단!$H$3:$H5460,원본명단!$H5460)=1),IF(원본명단!$I5460="",TRUE(),COUNTIF(원본명단!$I$3:$I5460,원본명단!$I5460)=1),IF(원본명단!$K5460="",TRUE(),COUNTIF(원본명단!$K$3:$K5460,원본명단!$K5460)=1)),"첫 건","중복 건")))</f>
        <v/>
      </c>
      <c r="J5461" s="11" t="str">
        <f aca="false">IF($A5461="","",IF($H5461="-","유지",IF($I5461="첫 건","유지","확인 필요")))</f>
        <v/>
      </c>
    </row>
    <row r="5462" customFormat="false" ht="15" hidden="false" customHeight="true" outlineLevel="0" collapsed="false">
      <c r="A5462" s="11" t="str">
        <f aca="false">IF(원본명단!$A5461="","",5459)</f>
        <v/>
      </c>
      <c r="B5462" s="12" t="str">
        <f aca="false">IF($A5462="","",원본명단!$A5461)</f>
        <v/>
      </c>
      <c r="C5462" s="12" t="str">
        <f aca="false">IF($A5462="","",원본명단!$B5461)</f>
        <v/>
      </c>
      <c r="D5462" s="12" t="str">
        <f aca="false">IF($A5462="","",원본명단!$D5461)</f>
        <v/>
      </c>
      <c r="E5462" s="11" t="str">
        <f aca="false">IF($A5462="","",IF(원본명단!$H5461="",0,COUNTIF(원본명단!$H$3:$H$6002,원본명단!$H5461)))</f>
        <v/>
      </c>
      <c r="F5462" s="11" t="str">
        <f aca="false">IF($A5462="","",IF(원본명단!$I5461="",0,COUNTIF(원본명단!$I$3:$I$6002,원본명단!$I5461)))</f>
        <v/>
      </c>
      <c r="G5462" s="11" t="str">
        <f aca="false">IF($A5462="","",IF(원본명단!$K5461="",0,COUNTIF(원본명단!$K$3:$K$6002,원본명단!$K5461)))</f>
        <v/>
      </c>
      <c r="H5462" s="11" t="str">
        <f aca="false">IF($A5462="","",IF(MAX($E5462,$F5462,$G5462)&gt;1,"중복","-"))</f>
        <v/>
      </c>
      <c r="I5462" s="11" t="str">
        <f aca="false">IF($A5462="","",IF($H5462="-","-",IF(AND(IF(원본명단!$H5461="",TRUE(),COUNTIF(원본명단!$H$3:$H5461,원본명단!$H5461)=1),IF(원본명단!$I5461="",TRUE(),COUNTIF(원본명단!$I$3:$I5461,원본명단!$I5461)=1),IF(원본명단!$K5461="",TRUE(),COUNTIF(원본명단!$K$3:$K5461,원본명단!$K5461)=1)),"첫 건","중복 건")))</f>
        <v/>
      </c>
      <c r="J5462" s="11" t="str">
        <f aca="false">IF($A5462="","",IF($H5462="-","유지",IF($I5462="첫 건","유지","확인 필요")))</f>
        <v/>
      </c>
    </row>
    <row r="5463" customFormat="false" ht="15" hidden="false" customHeight="true" outlineLevel="0" collapsed="false">
      <c r="A5463" s="11" t="str">
        <f aca="false">IF(원본명단!$A5462="","",5460)</f>
        <v/>
      </c>
      <c r="B5463" s="12" t="str">
        <f aca="false">IF($A5463="","",원본명단!$A5462)</f>
        <v/>
      </c>
      <c r="C5463" s="12" t="str">
        <f aca="false">IF($A5463="","",원본명단!$B5462)</f>
        <v/>
      </c>
      <c r="D5463" s="12" t="str">
        <f aca="false">IF($A5463="","",원본명단!$D5462)</f>
        <v/>
      </c>
      <c r="E5463" s="11" t="str">
        <f aca="false">IF($A5463="","",IF(원본명단!$H5462="",0,COUNTIF(원본명단!$H$3:$H$6002,원본명단!$H5462)))</f>
        <v/>
      </c>
      <c r="F5463" s="11" t="str">
        <f aca="false">IF($A5463="","",IF(원본명단!$I5462="",0,COUNTIF(원본명단!$I$3:$I$6002,원본명단!$I5462)))</f>
        <v/>
      </c>
      <c r="G5463" s="11" t="str">
        <f aca="false">IF($A5463="","",IF(원본명단!$K5462="",0,COUNTIF(원본명단!$K$3:$K$6002,원본명단!$K5462)))</f>
        <v/>
      </c>
      <c r="H5463" s="11" t="str">
        <f aca="false">IF($A5463="","",IF(MAX($E5463,$F5463,$G5463)&gt;1,"중복","-"))</f>
        <v/>
      </c>
      <c r="I5463" s="11" t="str">
        <f aca="false">IF($A5463="","",IF($H5463="-","-",IF(AND(IF(원본명단!$H5462="",TRUE(),COUNTIF(원본명단!$H$3:$H5462,원본명단!$H5462)=1),IF(원본명단!$I5462="",TRUE(),COUNTIF(원본명단!$I$3:$I5462,원본명단!$I5462)=1),IF(원본명단!$K5462="",TRUE(),COUNTIF(원본명단!$K$3:$K5462,원본명단!$K5462)=1)),"첫 건","중복 건")))</f>
        <v/>
      </c>
      <c r="J5463" s="11" t="str">
        <f aca="false">IF($A5463="","",IF($H5463="-","유지",IF($I5463="첫 건","유지","확인 필요")))</f>
        <v/>
      </c>
    </row>
    <row r="5464" customFormat="false" ht="15" hidden="false" customHeight="true" outlineLevel="0" collapsed="false">
      <c r="A5464" s="11" t="str">
        <f aca="false">IF(원본명단!$A5463="","",5461)</f>
        <v/>
      </c>
      <c r="B5464" s="12" t="str">
        <f aca="false">IF($A5464="","",원본명단!$A5463)</f>
        <v/>
      </c>
      <c r="C5464" s="12" t="str">
        <f aca="false">IF($A5464="","",원본명단!$B5463)</f>
        <v/>
      </c>
      <c r="D5464" s="12" t="str">
        <f aca="false">IF($A5464="","",원본명단!$D5463)</f>
        <v/>
      </c>
      <c r="E5464" s="11" t="str">
        <f aca="false">IF($A5464="","",IF(원본명단!$H5463="",0,COUNTIF(원본명단!$H$3:$H$6002,원본명단!$H5463)))</f>
        <v/>
      </c>
      <c r="F5464" s="11" t="str">
        <f aca="false">IF($A5464="","",IF(원본명단!$I5463="",0,COUNTIF(원본명단!$I$3:$I$6002,원본명단!$I5463)))</f>
        <v/>
      </c>
      <c r="G5464" s="11" t="str">
        <f aca="false">IF($A5464="","",IF(원본명단!$K5463="",0,COUNTIF(원본명단!$K$3:$K$6002,원본명단!$K5463)))</f>
        <v/>
      </c>
      <c r="H5464" s="11" t="str">
        <f aca="false">IF($A5464="","",IF(MAX($E5464,$F5464,$G5464)&gt;1,"중복","-"))</f>
        <v/>
      </c>
      <c r="I5464" s="11" t="str">
        <f aca="false">IF($A5464="","",IF($H5464="-","-",IF(AND(IF(원본명단!$H5463="",TRUE(),COUNTIF(원본명단!$H$3:$H5463,원본명단!$H5463)=1),IF(원본명단!$I5463="",TRUE(),COUNTIF(원본명단!$I$3:$I5463,원본명단!$I5463)=1),IF(원본명단!$K5463="",TRUE(),COUNTIF(원본명단!$K$3:$K5463,원본명단!$K5463)=1)),"첫 건","중복 건")))</f>
        <v/>
      </c>
      <c r="J5464" s="11" t="str">
        <f aca="false">IF($A5464="","",IF($H5464="-","유지",IF($I5464="첫 건","유지","확인 필요")))</f>
        <v/>
      </c>
    </row>
    <row r="5465" customFormat="false" ht="15" hidden="false" customHeight="true" outlineLevel="0" collapsed="false">
      <c r="A5465" s="11" t="str">
        <f aca="false">IF(원본명단!$A5464="","",5462)</f>
        <v/>
      </c>
      <c r="B5465" s="12" t="str">
        <f aca="false">IF($A5465="","",원본명단!$A5464)</f>
        <v/>
      </c>
      <c r="C5465" s="12" t="str">
        <f aca="false">IF($A5465="","",원본명단!$B5464)</f>
        <v/>
      </c>
      <c r="D5465" s="12" t="str">
        <f aca="false">IF($A5465="","",원본명단!$D5464)</f>
        <v/>
      </c>
      <c r="E5465" s="11" t="str">
        <f aca="false">IF($A5465="","",IF(원본명단!$H5464="",0,COUNTIF(원본명단!$H$3:$H$6002,원본명단!$H5464)))</f>
        <v/>
      </c>
      <c r="F5465" s="11" t="str">
        <f aca="false">IF($A5465="","",IF(원본명단!$I5464="",0,COUNTIF(원본명단!$I$3:$I$6002,원본명단!$I5464)))</f>
        <v/>
      </c>
      <c r="G5465" s="11" t="str">
        <f aca="false">IF($A5465="","",IF(원본명단!$K5464="",0,COUNTIF(원본명단!$K$3:$K$6002,원본명단!$K5464)))</f>
        <v/>
      </c>
      <c r="H5465" s="11" t="str">
        <f aca="false">IF($A5465="","",IF(MAX($E5465,$F5465,$G5465)&gt;1,"중복","-"))</f>
        <v/>
      </c>
      <c r="I5465" s="11" t="str">
        <f aca="false">IF($A5465="","",IF($H5465="-","-",IF(AND(IF(원본명단!$H5464="",TRUE(),COUNTIF(원본명단!$H$3:$H5464,원본명단!$H5464)=1),IF(원본명단!$I5464="",TRUE(),COUNTIF(원본명단!$I$3:$I5464,원본명단!$I5464)=1),IF(원본명단!$K5464="",TRUE(),COUNTIF(원본명단!$K$3:$K5464,원본명단!$K5464)=1)),"첫 건","중복 건")))</f>
        <v/>
      </c>
      <c r="J5465" s="11" t="str">
        <f aca="false">IF($A5465="","",IF($H5465="-","유지",IF($I5465="첫 건","유지","확인 필요")))</f>
        <v/>
      </c>
    </row>
    <row r="5466" customFormat="false" ht="15" hidden="false" customHeight="true" outlineLevel="0" collapsed="false">
      <c r="A5466" s="11" t="str">
        <f aca="false">IF(원본명단!$A5465="","",5463)</f>
        <v/>
      </c>
      <c r="B5466" s="12" t="str">
        <f aca="false">IF($A5466="","",원본명단!$A5465)</f>
        <v/>
      </c>
      <c r="C5466" s="12" t="str">
        <f aca="false">IF($A5466="","",원본명단!$B5465)</f>
        <v/>
      </c>
      <c r="D5466" s="12" t="str">
        <f aca="false">IF($A5466="","",원본명단!$D5465)</f>
        <v/>
      </c>
      <c r="E5466" s="11" t="str">
        <f aca="false">IF($A5466="","",IF(원본명단!$H5465="",0,COUNTIF(원본명단!$H$3:$H$6002,원본명단!$H5465)))</f>
        <v/>
      </c>
      <c r="F5466" s="11" t="str">
        <f aca="false">IF($A5466="","",IF(원본명단!$I5465="",0,COUNTIF(원본명단!$I$3:$I$6002,원본명단!$I5465)))</f>
        <v/>
      </c>
      <c r="G5466" s="11" t="str">
        <f aca="false">IF($A5466="","",IF(원본명단!$K5465="",0,COUNTIF(원본명단!$K$3:$K$6002,원본명단!$K5465)))</f>
        <v/>
      </c>
      <c r="H5466" s="11" t="str">
        <f aca="false">IF($A5466="","",IF(MAX($E5466,$F5466,$G5466)&gt;1,"중복","-"))</f>
        <v/>
      </c>
      <c r="I5466" s="11" t="str">
        <f aca="false">IF($A5466="","",IF($H5466="-","-",IF(AND(IF(원본명단!$H5465="",TRUE(),COUNTIF(원본명단!$H$3:$H5465,원본명단!$H5465)=1),IF(원본명단!$I5465="",TRUE(),COUNTIF(원본명단!$I$3:$I5465,원본명단!$I5465)=1),IF(원본명단!$K5465="",TRUE(),COUNTIF(원본명단!$K$3:$K5465,원본명단!$K5465)=1)),"첫 건","중복 건")))</f>
        <v/>
      </c>
      <c r="J5466" s="11" t="str">
        <f aca="false">IF($A5466="","",IF($H5466="-","유지",IF($I5466="첫 건","유지","확인 필요")))</f>
        <v/>
      </c>
    </row>
    <row r="5467" customFormat="false" ht="15" hidden="false" customHeight="true" outlineLevel="0" collapsed="false">
      <c r="A5467" s="11" t="str">
        <f aca="false">IF(원본명단!$A5466="","",5464)</f>
        <v/>
      </c>
      <c r="B5467" s="12" t="str">
        <f aca="false">IF($A5467="","",원본명단!$A5466)</f>
        <v/>
      </c>
      <c r="C5467" s="12" t="str">
        <f aca="false">IF($A5467="","",원본명단!$B5466)</f>
        <v/>
      </c>
      <c r="D5467" s="12" t="str">
        <f aca="false">IF($A5467="","",원본명단!$D5466)</f>
        <v/>
      </c>
      <c r="E5467" s="11" t="str">
        <f aca="false">IF($A5467="","",IF(원본명단!$H5466="",0,COUNTIF(원본명단!$H$3:$H$6002,원본명단!$H5466)))</f>
        <v/>
      </c>
      <c r="F5467" s="11" t="str">
        <f aca="false">IF($A5467="","",IF(원본명단!$I5466="",0,COUNTIF(원본명단!$I$3:$I$6002,원본명단!$I5466)))</f>
        <v/>
      </c>
      <c r="G5467" s="11" t="str">
        <f aca="false">IF($A5467="","",IF(원본명단!$K5466="",0,COUNTIF(원본명단!$K$3:$K$6002,원본명단!$K5466)))</f>
        <v/>
      </c>
      <c r="H5467" s="11" t="str">
        <f aca="false">IF($A5467="","",IF(MAX($E5467,$F5467,$G5467)&gt;1,"중복","-"))</f>
        <v/>
      </c>
      <c r="I5467" s="11" t="str">
        <f aca="false">IF($A5467="","",IF($H5467="-","-",IF(AND(IF(원본명단!$H5466="",TRUE(),COUNTIF(원본명단!$H$3:$H5466,원본명단!$H5466)=1),IF(원본명단!$I5466="",TRUE(),COUNTIF(원본명단!$I$3:$I5466,원본명단!$I5466)=1),IF(원본명단!$K5466="",TRUE(),COUNTIF(원본명단!$K$3:$K5466,원본명단!$K5466)=1)),"첫 건","중복 건")))</f>
        <v/>
      </c>
      <c r="J5467" s="11" t="str">
        <f aca="false">IF($A5467="","",IF($H5467="-","유지",IF($I5467="첫 건","유지","확인 필요")))</f>
        <v/>
      </c>
    </row>
    <row r="5468" customFormat="false" ht="15" hidden="false" customHeight="true" outlineLevel="0" collapsed="false">
      <c r="A5468" s="11" t="str">
        <f aca="false">IF(원본명단!$A5467="","",5465)</f>
        <v/>
      </c>
      <c r="B5468" s="12" t="str">
        <f aca="false">IF($A5468="","",원본명단!$A5467)</f>
        <v/>
      </c>
      <c r="C5468" s="12" t="str">
        <f aca="false">IF($A5468="","",원본명단!$B5467)</f>
        <v/>
      </c>
      <c r="D5468" s="12" t="str">
        <f aca="false">IF($A5468="","",원본명단!$D5467)</f>
        <v/>
      </c>
      <c r="E5468" s="11" t="str">
        <f aca="false">IF($A5468="","",IF(원본명단!$H5467="",0,COUNTIF(원본명단!$H$3:$H$6002,원본명단!$H5467)))</f>
        <v/>
      </c>
      <c r="F5468" s="11" t="str">
        <f aca="false">IF($A5468="","",IF(원본명단!$I5467="",0,COUNTIF(원본명단!$I$3:$I$6002,원본명단!$I5467)))</f>
        <v/>
      </c>
      <c r="G5468" s="11" t="str">
        <f aca="false">IF($A5468="","",IF(원본명단!$K5467="",0,COUNTIF(원본명단!$K$3:$K$6002,원본명단!$K5467)))</f>
        <v/>
      </c>
      <c r="H5468" s="11" t="str">
        <f aca="false">IF($A5468="","",IF(MAX($E5468,$F5468,$G5468)&gt;1,"중복","-"))</f>
        <v/>
      </c>
      <c r="I5468" s="11" t="str">
        <f aca="false">IF($A5468="","",IF($H5468="-","-",IF(AND(IF(원본명단!$H5467="",TRUE(),COUNTIF(원본명단!$H$3:$H5467,원본명단!$H5467)=1),IF(원본명단!$I5467="",TRUE(),COUNTIF(원본명단!$I$3:$I5467,원본명단!$I5467)=1),IF(원본명단!$K5467="",TRUE(),COUNTIF(원본명단!$K$3:$K5467,원본명단!$K5467)=1)),"첫 건","중복 건")))</f>
        <v/>
      </c>
      <c r="J5468" s="11" t="str">
        <f aca="false">IF($A5468="","",IF($H5468="-","유지",IF($I5468="첫 건","유지","확인 필요")))</f>
        <v/>
      </c>
    </row>
    <row r="5469" customFormat="false" ht="15" hidden="false" customHeight="true" outlineLevel="0" collapsed="false">
      <c r="A5469" s="11" t="str">
        <f aca="false">IF(원본명단!$A5468="","",5466)</f>
        <v/>
      </c>
      <c r="B5469" s="12" t="str">
        <f aca="false">IF($A5469="","",원본명단!$A5468)</f>
        <v/>
      </c>
      <c r="C5469" s="12" t="str">
        <f aca="false">IF($A5469="","",원본명단!$B5468)</f>
        <v/>
      </c>
      <c r="D5469" s="12" t="str">
        <f aca="false">IF($A5469="","",원본명단!$D5468)</f>
        <v/>
      </c>
      <c r="E5469" s="11" t="str">
        <f aca="false">IF($A5469="","",IF(원본명단!$H5468="",0,COUNTIF(원본명단!$H$3:$H$6002,원본명단!$H5468)))</f>
        <v/>
      </c>
      <c r="F5469" s="11" t="str">
        <f aca="false">IF($A5469="","",IF(원본명단!$I5468="",0,COUNTIF(원본명단!$I$3:$I$6002,원본명단!$I5468)))</f>
        <v/>
      </c>
      <c r="G5469" s="11" t="str">
        <f aca="false">IF($A5469="","",IF(원본명단!$K5468="",0,COUNTIF(원본명단!$K$3:$K$6002,원본명단!$K5468)))</f>
        <v/>
      </c>
      <c r="H5469" s="11" t="str">
        <f aca="false">IF($A5469="","",IF(MAX($E5469,$F5469,$G5469)&gt;1,"중복","-"))</f>
        <v/>
      </c>
      <c r="I5469" s="11" t="str">
        <f aca="false">IF($A5469="","",IF($H5469="-","-",IF(AND(IF(원본명단!$H5468="",TRUE(),COUNTIF(원본명단!$H$3:$H5468,원본명단!$H5468)=1),IF(원본명단!$I5468="",TRUE(),COUNTIF(원본명단!$I$3:$I5468,원본명단!$I5468)=1),IF(원본명단!$K5468="",TRUE(),COUNTIF(원본명단!$K$3:$K5468,원본명단!$K5468)=1)),"첫 건","중복 건")))</f>
        <v/>
      </c>
      <c r="J5469" s="11" t="str">
        <f aca="false">IF($A5469="","",IF($H5469="-","유지",IF($I5469="첫 건","유지","확인 필요")))</f>
        <v/>
      </c>
    </row>
    <row r="5470" customFormat="false" ht="15" hidden="false" customHeight="true" outlineLevel="0" collapsed="false">
      <c r="A5470" s="11" t="str">
        <f aca="false">IF(원본명단!$A5469="","",5467)</f>
        <v/>
      </c>
      <c r="B5470" s="12" t="str">
        <f aca="false">IF($A5470="","",원본명단!$A5469)</f>
        <v/>
      </c>
      <c r="C5470" s="12" t="str">
        <f aca="false">IF($A5470="","",원본명단!$B5469)</f>
        <v/>
      </c>
      <c r="D5470" s="12" t="str">
        <f aca="false">IF($A5470="","",원본명단!$D5469)</f>
        <v/>
      </c>
      <c r="E5470" s="11" t="str">
        <f aca="false">IF($A5470="","",IF(원본명단!$H5469="",0,COUNTIF(원본명단!$H$3:$H$6002,원본명단!$H5469)))</f>
        <v/>
      </c>
      <c r="F5470" s="11" t="str">
        <f aca="false">IF($A5470="","",IF(원본명단!$I5469="",0,COUNTIF(원본명단!$I$3:$I$6002,원본명단!$I5469)))</f>
        <v/>
      </c>
      <c r="G5470" s="11" t="str">
        <f aca="false">IF($A5470="","",IF(원본명단!$K5469="",0,COUNTIF(원본명단!$K$3:$K$6002,원본명단!$K5469)))</f>
        <v/>
      </c>
      <c r="H5470" s="11" t="str">
        <f aca="false">IF($A5470="","",IF(MAX($E5470,$F5470,$G5470)&gt;1,"중복","-"))</f>
        <v/>
      </c>
      <c r="I5470" s="11" t="str">
        <f aca="false">IF($A5470="","",IF($H5470="-","-",IF(AND(IF(원본명단!$H5469="",TRUE(),COUNTIF(원본명단!$H$3:$H5469,원본명단!$H5469)=1),IF(원본명단!$I5469="",TRUE(),COUNTIF(원본명단!$I$3:$I5469,원본명단!$I5469)=1),IF(원본명단!$K5469="",TRUE(),COUNTIF(원본명단!$K$3:$K5469,원본명단!$K5469)=1)),"첫 건","중복 건")))</f>
        <v/>
      </c>
      <c r="J5470" s="11" t="str">
        <f aca="false">IF($A5470="","",IF($H5470="-","유지",IF($I5470="첫 건","유지","확인 필요")))</f>
        <v/>
      </c>
    </row>
    <row r="5471" customFormat="false" ht="15" hidden="false" customHeight="true" outlineLevel="0" collapsed="false">
      <c r="A5471" s="11" t="str">
        <f aca="false">IF(원본명단!$A5470="","",5468)</f>
        <v/>
      </c>
      <c r="B5471" s="12" t="str">
        <f aca="false">IF($A5471="","",원본명단!$A5470)</f>
        <v/>
      </c>
      <c r="C5471" s="12" t="str">
        <f aca="false">IF($A5471="","",원본명단!$B5470)</f>
        <v/>
      </c>
      <c r="D5471" s="12" t="str">
        <f aca="false">IF($A5471="","",원본명단!$D5470)</f>
        <v/>
      </c>
      <c r="E5471" s="11" t="str">
        <f aca="false">IF($A5471="","",IF(원본명단!$H5470="",0,COUNTIF(원본명단!$H$3:$H$6002,원본명단!$H5470)))</f>
        <v/>
      </c>
      <c r="F5471" s="11" t="str">
        <f aca="false">IF($A5471="","",IF(원본명단!$I5470="",0,COUNTIF(원본명단!$I$3:$I$6002,원본명단!$I5470)))</f>
        <v/>
      </c>
      <c r="G5471" s="11" t="str">
        <f aca="false">IF($A5471="","",IF(원본명단!$K5470="",0,COUNTIF(원본명단!$K$3:$K$6002,원본명단!$K5470)))</f>
        <v/>
      </c>
      <c r="H5471" s="11" t="str">
        <f aca="false">IF($A5471="","",IF(MAX($E5471,$F5471,$G5471)&gt;1,"중복","-"))</f>
        <v/>
      </c>
      <c r="I5471" s="11" t="str">
        <f aca="false">IF($A5471="","",IF($H5471="-","-",IF(AND(IF(원본명단!$H5470="",TRUE(),COUNTIF(원본명단!$H$3:$H5470,원본명단!$H5470)=1),IF(원본명단!$I5470="",TRUE(),COUNTIF(원본명단!$I$3:$I5470,원본명단!$I5470)=1),IF(원본명단!$K5470="",TRUE(),COUNTIF(원본명단!$K$3:$K5470,원본명단!$K5470)=1)),"첫 건","중복 건")))</f>
        <v/>
      </c>
      <c r="J5471" s="11" t="str">
        <f aca="false">IF($A5471="","",IF($H5471="-","유지",IF($I5471="첫 건","유지","확인 필요")))</f>
        <v/>
      </c>
    </row>
    <row r="5472" customFormat="false" ht="15" hidden="false" customHeight="true" outlineLevel="0" collapsed="false">
      <c r="A5472" s="11" t="str">
        <f aca="false">IF(원본명단!$A5471="","",5469)</f>
        <v/>
      </c>
      <c r="B5472" s="12" t="str">
        <f aca="false">IF($A5472="","",원본명단!$A5471)</f>
        <v/>
      </c>
      <c r="C5472" s="12" t="str">
        <f aca="false">IF($A5472="","",원본명단!$B5471)</f>
        <v/>
      </c>
      <c r="D5472" s="12" t="str">
        <f aca="false">IF($A5472="","",원본명단!$D5471)</f>
        <v/>
      </c>
      <c r="E5472" s="11" t="str">
        <f aca="false">IF($A5472="","",IF(원본명단!$H5471="",0,COUNTIF(원본명단!$H$3:$H$6002,원본명단!$H5471)))</f>
        <v/>
      </c>
      <c r="F5472" s="11" t="str">
        <f aca="false">IF($A5472="","",IF(원본명단!$I5471="",0,COUNTIF(원본명단!$I$3:$I$6002,원본명단!$I5471)))</f>
        <v/>
      </c>
      <c r="G5472" s="11" t="str">
        <f aca="false">IF($A5472="","",IF(원본명단!$K5471="",0,COUNTIF(원본명단!$K$3:$K$6002,원본명단!$K5471)))</f>
        <v/>
      </c>
      <c r="H5472" s="11" t="str">
        <f aca="false">IF($A5472="","",IF(MAX($E5472,$F5472,$G5472)&gt;1,"중복","-"))</f>
        <v/>
      </c>
      <c r="I5472" s="11" t="str">
        <f aca="false">IF($A5472="","",IF($H5472="-","-",IF(AND(IF(원본명단!$H5471="",TRUE(),COUNTIF(원본명단!$H$3:$H5471,원본명단!$H5471)=1),IF(원본명단!$I5471="",TRUE(),COUNTIF(원본명단!$I$3:$I5471,원본명단!$I5471)=1),IF(원본명단!$K5471="",TRUE(),COUNTIF(원본명단!$K$3:$K5471,원본명단!$K5471)=1)),"첫 건","중복 건")))</f>
        <v/>
      </c>
      <c r="J5472" s="11" t="str">
        <f aca="false">IF($A5472="","",IF($H5472="-","유지",IF($I5472="첫 건","유지","확인 필요")))</f>
        <v/>
      </c>
    </row>
    <row r="5473" customFormat="false" ht="15" hidden="false" customHeight="true" outlineLevel="0" collapsed="false">
      <c r="A5473" s="11" t="str">
        <f aca="false">IF(원본명단!$A5472="","",5470)</f>
        <v/>
      </c>
      <c r="B5473" s="12" t="str">
        <f aca="false">IF($A5473="","",원본명단!$A5472)</f>
        <v/>
      </c>
      <c r="C5473" s="12" t="str">
        <f aca="false">IF($A5473="","",원본명단!$B5472)</f>
        <v/>
      </c>
      <c r="D5473" s="12" t="str">
        <f aca="false">IF($A5473="","",원본명단!$D5472)</f>
        <v/>
      </c>
      <c r="E5473" s="11" t="str">
        <f aca="false">IF($A5473="","",IF(원본명단!$H5472="",0,COUNTIF(원본명단!$H$3:$H$6002,원본명단!$H5472)))</f>
        <v/>
      </c>
      <c r="F5473" s="11" t="str">
        <f aca="false">IF($A5473="","",IF(원본명단!$I5472="",0,COUNTIF(원본명단!$I$3:$I$6002,원본명단!$I5472)))</f>
        <v/>
      </c>
      <c r="G5473" s="11" t="str">
        <f aca="false">IF($A5473="","",IF(원본명단!$K5472="",0,COUNTIF(원본명단!$K$3:$K$6002,원본명단!$K5472)))</f>
        <v/>
      </c>
      <c r="H5473" s="11" t="str">
        <f aca="false">IF($A5473="","",IF(MAX($E5473,$F5473,$G5473)&gt;1,"중복","-"))</f>
        <v/>
      </c>
      <c r="I5473" s="11" t="str">
        <f aca="false">IF($A5473="","",IF($H5473="-","-",IF(AND(IF(원본명단!$H5472="",TRUE(),COUNTIF(원본명단!$H$3:$H5472,원본명단!$H5472)=1),IF(원본명단!$I5472="",TRUE(),COUNTIF(원본명단!$I$3:$I5472,원본명단!$I5472)=1),IF(원본명단!$K5472="",TRUE(),COUNTIF(원본명단!$K$3:$K5472,원본명단!$K5472)=1)),"첫 건","중복 건")))</f>
        <v/>
      </c>
      <c r="J5473" s="11" t="str">
        <f aca="false">IF($A5473="","",IF($H5473="-","유지",IF($I5473="첫 건","유지","확인 필요")))</f>
        <v/>
      </c>
    </row>
    <row r="5474" customFormat="false" ht="15" hidden="false" customHeight="true" outlineLevel="0" collapsed="false">
      <c r="A5474" s="11" t="str">
        <f aca="false">IF(원본명단!$A5473="","",5471)</f>
        <v/>
      </c>
      <c r="B5474" s="12" t="str">
        <f aca="false">IF($A5474="","",원본명단!$A5473)</f>
        <v/>
      </c>
      <c r="C5474" s="12" t="str">
        <f aca="false">IF($A5474="","",원본명단!$B5473)</f>
        <v/>
      </c>
      <c r="D5474" s="12" t="str">
        <f aca="false">IF($A5474="","",원본명단!$D5473)</f>
        <v/>
      </c>
      <c r="E5474" s="11" t="str">
        <f aca="false">IF($A5474="","",IF(원본명단!$H5473="",0,COUNTIF(원본명단!$H$3:$H$6002,원본명단!$H5473)))</f>
        <v/>
      </c>
      <c r="F5474" s="11" t="str">
        <f aca="false">IF($A5474="","",IF(원본명단!$I5473="",0,COUNTIF(원본명단!$I$3:$I$6002,원본명단!$I5473)))</f>
        <v/>
      </c>
      <c r="G5474" s="11" t="str">
        <f aca="false">IF($A5474="","",IF(원본명단!$K5473="",0,COUNTIF(원본명단!$K$3:$K$6002,원본명단!$K5473)))</f>
        <v/>
      </c>
      <c r="H5474" s="11" t="str">
        <f aca="false">IF($A5474="","",IF(MAX($E5474,$F5474,$G5474)&gt;1,"중복","-"))</f>
        <v/>
      </c>
      <c r="I5474" s="11" t="str">
        <f aca="false">IF($A5474="","",IF($H5474="-","-",IF(AND(IF(원본명단!$H5473="",TRUE(),COUNTIF(원본명단!$H$3:$H5473,원본명단!$H5473)=1),IF(원본명단!$I5473="",TRUE(),COUNTIF(원본명단!$I$3:$I5473,원본명단!$I5473)=1),IF(원본명단!$K5473="",TRUE(),COUNTIF(원본명단!$K$3:$K5473,원본명단!$K5473)=1)),"첫 건","중복 건")))</f>
        <v/>
      </c>
      <c r="J5474" s="11" t="str">
        <f aca="false">IF($A5474="","",IF($H5474="-","유지",IF($I5474="첫 건","유지","확인 필요")))</f>
        <v/>
      </c>
    </row>
    <row r="5475" customFormat="false" ht="15" hidden="false" customHeight="true" outlineLevel="0" collapsed="false">
      <c r="A5475" s="11" t="str">
        <f aca="false">IF(원본명단!$A5474="","",5472)</f>
        <v/>
      </c>
      <c r="B5475" s="12" t="str">
        <f aca="false">IF($A5475="","",원본명단!$A5474)</f>
        <v/>
      </c>
      <c r="C5475" s="12" t="str">
        <f aca="false">IF($A5475="","",원본명단!$B5474)</f>
        <v/>
      </c>
      <c r="D5475" s="12" t="str">
        <f aca="false">IF($A5475="","",원본명단!$D5474)</f>
        <v/>
      </c>
      <c r="E5475" s="11" t="str">
        <f aca="false">IF($A5475="","",IF(원본명단!$H5474="",0,COUNTIF(원본명단!$H$3:$H$6002,원본명단!$H5474)))</f>
        <v/>
      </c>
      <c r="F5475" s="11" t="str">
        <f aca="false">IF($A5475="","",IF(원본명단!$I5474="",0,COUNTIF(원본명단!$I$3:$I$6002,원본명단!$I5474)))</f>
        <v/>
      </c>
      <c r="G5475" s="11" t="str">
        <f aca="false">IF($A5475="","",IF(원본명단!$K5474="",0,COUNTIF(원본명단!$K$3:$K$6002,원본명단!$K5474)))</f>
        <v/>
      </c>
      <c r="H5475" s="11" t="str">
        <f aca="false">IF($A5475="","",IF(MAX($E5475,$F5475,$G5475)&gt;1,"중복","-"))</f>
        <v/>
      </c>
      <c r="I5475" s="11" t="str">
        <f aca="false">IF($A5475="","",IF($H5475="-","-",IF(AND(IF(원본명단!$H5474="",TRUE(),COUNTIF(원본명단!$H$3:$H5474,원본명단!$H5474)=1),IF(원본명단!$I5474="",TRUE(),COUNTIF(원본명단!$I$3:$I5474,원본명단!$I5474)=1),IF(원본명단!$K5474="",TRUE(),COUNTIF(원본명단!$K$3:$K5474,원본명단!$K5474)=1)),"첫 건","중복 건")))</f>
        <v/>
      </c>
      <c r="J5475" s="11" t="str">
        <f aca="false">IF($A5475="","",IF($H5475="-","유지",IF($I5475="첫 건","유지","확인 필요")))</f>
        <v/>
      </c>
    </row>
    <row r="5476" customFormat="false" ht="15" hidden="false" customHeight="true" outlineLevel="0" collapsed="false">
      <c r="A5476" s="11" t="str">
        <f aca="false">IF(원본명단!$A5475="","",5473)</f>
        <v/>
      </c>
      <c r="B5476" s="12" t="str">
        <f aca="false">IF($A5476="","",원본명단!$A5475)</f>
        <v/>
      </c>
      <c r="C5476" s="12" t="str">
        <f aca="false">IF($A5476="","",원본명단!$B5475)</f>
        <v/>
      </c>
      <c r="D5476" s="12" t="str">
        <f aca="false">IF($A5476="","",원본명단!$D5475)</f>
        <v/>
      </c>
      <c r="E5476" s="11" t="str">
        <f aca="false">IF($A5476="","",IF(원본명단!$H5475="",0,COUNTIF(원본명단!$H$3:$H$6002,원본명단!$H5475)))</f>
        <v/>
      </c>
      <c r="F5476" s="11" t="str">
        <f aca="false">IF($A5476="","",IF(원본명단!$I5475="",0,COUNTIF(원본명단!$I$3:$I$6002,원본명단!$I5475)))</f>
        <v/>
      </c>
      <c r="G5476" s="11" t="str">
        <f aca="false">IF($A5476="","",IF(원본명단!$K5475="",0,COUNTIF(원본명단!$K$3:$K$6002,원본명단!$K5475)))</f>
        <v/>
      </c>
      <c r="H5476" s="11" t="str">
        <f aca="false">IF($A5476="","",IF(MAX($E5476,$F5476,$G5476)&gt;1,"중복","-"))</f>
        <v/>
      </c>
      <c r="I5476" s="11" t="str">
        <f aca="false">IF($A5476="","",IF($H5476="-","-",IF(AND(IF(원본명단!$H5475="",TRUE(),COUNTIF(원본명단!$H$3:$H5475,원본명단!$H5475)=1),IF(원본명단!$I5475="",TRUE(),COUNTIF(원본명단!$I$3:$I5475,원본명단!$I5475)=1),IF(원본명단!$K5475="",TRUE(),COUNTIF(원본명단!$K$3:$K5475,원본명단!$K5475)=1)),"첫 건","중복 건")))</f>
        <v/>
      </c>
      <c r="J5476" s="11" t="str">
        <f aca="false">IF($A5476="","",IF($H5476="-","유지",IF($I5476="첫 건","유지","확인 필요")))</f>
        <v/>
      </c>
    </row>
    <row r="5477" customFormat="false" ht="15" hidden="false" customHeight="true" outlineLevel="0" collapsed="false">
      <c r="A5477" s="11" t="str">
        <f aca="false">IF(원본명단!$A5476="","",5474)</f>
        <v/>
      </c>
      <c r="B5477" s="12" t="str">
        <f aca="false">IF($A5477="","",원본명단!$A5476)</f>
        <v/>
      </c>
      <c r="C5477" s="12" t="str">
        <f aca="false">IF($A5477="","",원본명단!$B5476)</f>
        <v/>
      </c>
      <c r="D5477" s="12" t="str">
        <f aca="false">IF($A5477="","",원본명단!$D5476)</f>
        <v/>
      </c>
      <c r="E5477" s="11" t="str">
        <f aca="false">IF($A5477="","",IF(원본명단!$H5476="",0,COUNTIF(원본명단!$H$3:$H$6002,원본명단!$H5476)))</f>
        <v/>
      </c>
      <c r="F5477" s="11" t="str">
        <f aca="false">IF($A5477="","",IF(원본명단!$I5476="",0,COUNTIF(원본명단!$I$3:$I$6002,원본명단!$I5476)))</f>
        <v/>
      </c>
      <c r="G5477" s="11" t="str">
        <f aca="false">IF($A5477="","",IF(원본명단!$K5476="",0,COUNTIF(원본명단!$K$3:$K$6002,원본명단!$K5476)))</f>
        <v/>
      </c>
      <c r="H5477" s="11" t="str">
        <f aca="false">IF($A5477="","",IF(MAX($E5477,$F5477,$G5477)&gt;1,"중복","-"))</f>
        <v/>
      </c>
      <c r="I5477" s="11" t="str">
        <f aca="false">IF($A5477="","",IF($H5477="-","-",IF(AND(IF(원본명단!$H5476="",TRUE(),COUNTIF(원본명단!$H$3:$H5476,원본명단!$H5476)=1),IF(원본명단!$I5476="",TRUE(),COUNTIF(원본명단!$I$3:$I5476,원본명단!$I5476)=1),IF(원본명단!$K5476="",TRUE(),COUNTIF(원본명단!$K$3:$K5476,원본명단!$K5476)=1)),"첫 건","중복 건")))</f>
        <v/>
      </c>
      <c r="J5477" s="11" t="str">
        <f aca="false">IF($A5477="","",IF($H5477="-","유지",IF($I5477="첫 건","유지","확인 필요")))</f>
        <v/>
      </c>
    </row>
    <row r="5478" customFormat="false" ht="15" hidden="false" customHeight="true" outlineLevel="0" collapsed="false">
      <c r="A5478" s="11" t="str">
        <f aca="false">IF(원본명단!$A5477="","",5475)</f>
        <v/>
      </c>
      <c r="B5478" s="12" t="str">
        <f aca="false">IF($A5478="","",원본명단!$A5477)</f>
        <v/>
      </c>
      <c r="C5478" s="12" t="str">
        <f aca="false">IF($A5478="","",원본명단!$B5477)</f>
        <v/>
      </c>
      <c r="D5478" s="12" t="str">
        <f aca="false">IF($A5478="","",원본명단!$D5477)</f>
        <v/>
      </c>
      <c r="E5478" s="11" t="str">
        <f aca="false">IF($A5478="","",IF(원본명단!$H5477="",0,COUNTIF(원본명단!$H$3:$H$6002,원본명단!$H5477)))</f>
        <v/>
      </c>
      <c r="F5478" s="11" t="str">
        <f aca="false">IF($A5478="","",IF(원본명단!$I5477="",0,COUNTIF(원본명단!$I$3:$I$6002,원본명단!$I5477)))</f>
        <v/>
      </c>
      <c r="G5478" s="11" t="str">
        <f aca="false">IF($A5478="","",IF(원본명단!$K5477="",0,COUNTIF(원본명단!$K$3:$K$6002,원본명단!$K5477)))</f>
        <v/>
      </c>
      <c r="H5478" s="11" t="str">
        <f aca="false">IF($A5478="","",IF(MAX($E5478,$F5478,$G5478)&gt;1,"중복","-"))</f>
        <v/>
      </c>
      <c r="I5478" s="11" t="str">
        <f aca="false">IF($A5478="","",IF($H5478="-","-",IF(AND(IF(원본명단!$H5477="",TRUE(),COUNTIF(원본명단!$H$3:$H5477,원본명단!$H5477)=1),IF(원본명단!$I5477="",TRUE(),COUNTIF(원본명단!$I$3:$I5477,원본명단!$I5477)=1),IF(원본명단!$K5477="",TRUE(),COUNTIF(원본명단!$K$3:$K5477,원본명단!$K5477)=1)),"첫 건","중복 건")))</f>
        <v/>
      </c>
      <c r="J5478" s="11" t="str">
        <f aca="false">IF($A5478="","",IF($H5478="-","유지",IF($I5478="첫 건","유지","확인 필요")))</f>
        <v/>
      </c>
    </row>
    <row r="5479" customFormat="false" ht="15" hidden="false" customHeight="true" outlineLevel="0" collapsed="false">
      <c r="A5479" s="11" t="str">
        <f aca="false">IF(원본명단!$A5478="","",5476)</f>
        <v/>
      </c>
      <c r="B5479" s="12" t="str">
        <f aca="false">IF($A5479="","",원본명단!$A5478)</f>
        <v/>
      </c>
      <c r="C5479" s="12" t="str">
        <f aca="false">IF($A5479="","",원본명단!$B5478)</f>
        <v/>
      </c>
      <c r="D5479" s="12" t="str">
        <f aca="false">IF($A5479="","",원본명단!$D5478)</f>
        <v/>
      </c>
      <c r="E5479" s="11" t="str">
        <f aca="false">IF($A5479="","",IF(원본명단!$H5478="",0,COUNTIF(원본명단!$H$3:$H$6002,원본명단!$H5478)))</f>
        <v/>
      </c>
      <c r="F5479" s="11" t="str">
        <f aca="false">IF($A5479="","",IF(원본명단!$I5478="",0,COUNTIF(원본명단!$I$3:$I$6002,원본명단!$I5478)))</f>
        <v/>
      </c>
      <c r="G5479" s="11" t="str">
        <f aca="false">IF($A5479="","",IF(원본명단!$K5478="",0,COUNTIF(원본명단!$K$3:$K$6002,원본명단!$K5478)))</f>
        <v/>
      </c>
      <c r="H5479" s="11" t="str">
        <f aca="false">IF($A5479="","",IF(MAX($E5479,$F5479,$G5479)&gt;1,"중복","-"))</f>
        <v/>
      </c>
      <c r="I5479" s="11" t="str">
        <f aca="false">IF($A5479="","",IF($H5479="-","-",IF(AND(IF(원본명단!$H5478="",TRUE(),COUNTIF(원본명단!$H$3:$H5478,원본명단!$H5478)=1),IF(원본명단!$I5478="",TRUE(),COUNTIF(원본명단!$I$3:$I5478,원본명단!$I5478)=1),IF(원본명단!$K5478="",TRUE(),COUNTIF(원본명단!$K$3:$K5478,원본명단!$K5478)=1)),"첫 건","중복 건")))</f>
        <v/>
      </c>
      <c r="J5479" s="11" t="str">
        <f aca="false">IF($A5479="","",IF($H5479="-","유지",IF($I5479="첫 건","유지","확인 필요")))</f>
        <v/>
      </c>
    </row>
    <row r="5480" customFormat="false" ht="15" hidden="false" customHeight="true" outlineLevel="0" collapsed="false">
      <c r="A5480" s="11" t="str">
        <f aca="false">IF(원본명단!$A5479="","",5477)</f>
        <v/>
      </c>
      <c r="B5480" s="12" t="str">
        <f aca="false">IF($A5480="","",원본명단!$A5479)</f>
        <v/>
      </c>
      <c r="C5480" s="12" t="str">
        <f aca="false">IF($A5480="","",원본명단!$B5479)</f>
        <v/>
      </c>
      <c r="D5480" s="12" t="str">
        <f aca="false">IF($A5480="","",원본명단!$D5479)</f>
        <v/>
      </c>
      <c r="E5480" s="11" t="str">
        <f aca="false">IF($A5480="","",IF(원본명단!$H5479="",0,COUNTIF(원본명단!$H$3:$H$6002,원본명단!$H5479)))</f>
        <v/>
      </c>
      <c r="F5480" s="11" t="str">
        <f aca="false">IF($A5480="","",IF(원본명단!$I5479="",0,COUNTIF(원본명단!$I$3:$I$6002,원본명단!$I5479)))</f>
        <v/>
      </c>
      <c r="G5480" s="11" t="str">
        <f aca="false">IF($A5480="","",IF(원본명단!$K5479="",0,COUNTIF(원본명단!$K$3:$K$6002,원본명단!$K5479)))</f>
        <v/>
      </c>
      <c r="H5480" s="11" t="str">
        <f aca="false">IF($A5480="","",IF(MAX($E5480,$F5480,$G5480)&gt;1,"중복","-"))</f>
        <v/>
      </c>
      <c r="I5480" s="11" t="str">
        <f aca="false">IF($A5480="","",IF($H5480="-","-",IF(AND(IF(원본명단!$H5479="",TRUE(),COUNTIF(원본명단!$H$3:$H5479,원본명단!$H5479)=1),IF(원본명단!$I5479="",TRUE(),COUNTIF(원본명단!$I$3:$I5479,원본명단!$I5479)=1),IF(원본명단!$K5479="",TRUE(),COUNTIF(원본명단!$K$3:$K5479,원본명단!$K5479)=1)),"첫 건","중복 건")))</f>
        <v/>
      </c>
      <c r="J5480" s="11" t="str">
        <f aca="false">IF($A5480="","",IF($H5480="-","유지",IF($I5480="첫 건","유지","확인 필요")))</f>
        <v/>
      </c>
    </row>
    <row r="5481" customFormat="false" ht="15" hidden="false" customHeight="true" outlineLevel="0" collapsed="false">
      <c r="A5481" s="11" t="str">
        <f aca="false">IF(원본명단!$A5480="","",5478)</f>
        <v/>
      </c>
      <c r="B5481" s="12" t="str">
        <f aca="false">IF($A5481="","",원본명단!$A5480)</f>
        <v/>
      </c>
      <c r="C5481" s="12" t="str">
        <f aca="false">IF($A5481="","",원본명단!$B5480)</f>
        <v/>
      </c>
      <c r="D5481" s="12" t="str">
        <f aca="false">IF($A5481="","",원본명단!$D5480)</f>
        <v/>
      </c>
      <c r="E5481" s="11" t="str">
        <f aca="false">IF($A5481="","",IF(원본명단!$H5480="",0,COUNTIF(원본명단!$H$3:$H$6002,원본명단!$H5480)))</f>
        <v/>
      </c>
      <c r="F5481" s="11" t="str">
        <f aca="false">IF($A5481="","",IF(원본명단!$I5480="",0,COUNTIF(원본명단!$I$3:$I$6002,원본명단!$I5480)))</f>
        <v/>
      </c>
      <c r="G5481" s="11" t="str">
        <f aca="false">IF($A5481="","",IF(원본명단!$K5480="",0,COUNTIF(원본명단!$K$3:$K$6002,원본명단!$K5480)))</f>
        <v/>
      </c>
      <c r="H5481" s="11" t="str">
        <f aca="false">IF($A5481="","",IF(MAX($E5481,$F5481,$G5481)&gt;1,"중복","-"))</f>
        <v/>
      </c>
      <c r="I5481" s="11" t="str">
        <f aca="false">IF($A5481="","",IF($H5481="-","-",IF(AND(IF(원본명단!$H5480="",TRUE(),COUNTIF(원본명단!$H$3:$H5480,원본명단!$H5480)=1),IF(원본명단!$I5480="",TRUE(),COUNTIF(원본명단!$I$3:$I5480,원본명단!$I5480)=1),IF(원본명단!$K5480="",TRUE(),COUNTIF(원본명단!$K$3:$K5480,원본명단!$K5480)=1)),"첫 건","중복 건")))</f>
        <v/>
      </c>
      <c r="J5481" s="11" t="str">
        <f aca="false">IF($A5481="","",IF($H5481="-","유지",IF($I5481="첫 건","유지","확인 필요")))</f>
        <v/>
      </c>
    </row>
    <row r="5482" customFormat="false" ht="15" hidden="false" customHeight="true" outlineLevel="0" collapsed="false">
      <c r="A5482" s="11" t="str">
        <f aca="false">IF(원본명단!$A5481="","",5479)</f>
        <v/>
      </c>
      <c r="B5482" s="12" t="str">
        <f aca="false">IF($A5482="","",원본명단!$A5481)</f>
        <v/>
      </c>
      <c r="C5482" s="12" t="str">
        <f aca="false">IF($A5482="","",원본명단!$B5481)</f>
        <v/>
      </c>
      <c r="D5482" s="12" t="str">
        <f aca="false">IF($A5482="","",원본명단!$D5481)</f>
        <v/>
      </c>
      <c r="E5482" s="11" t="str">
        <f aca="false">IF($A5482="","",IF(원본명단!$H5481="",0,COUNTIF(원본명단!$H$3:$H$6002,원본명단!$H5481)))</f>
        <v/>
      </c>
      <c r="F5482" s="11" t="str">
        <f aca="false">IF($A5482="","",IF(원본명단!$I5481="",0,COUNTIF(원본명단!$I$3:$I$6002,원본명단!$I5481)))</f>
        <v/>
      </c>
      <c r="G5482" s="11" t="str">
        <f aca="false">IF($A5482="","",IF(원본명단!$K5481="",0,COUNTIF(원본명단!$K$3:$K$6002,원본명단!$K5481)))</f>
        <v/>
      </c>
      <c r="H5482" s="11" t="str">
        <f aca="false">IF($A5482="","",IF(MAX($E5482,$F5482,$G5482)&gt;1,"중복","-"))</f>
        <v/>
      </c>
      <c r="I5482" s="11" t="str">
        <f aca="false">IF($A5482="","",IF($H5482="-","-",IF(AND(IF(원본명단!$H5481="",TRUE(),COUNTIF(원본명단!$H$3:$H5481,원본명단!$H5481)=1),IF(원본명단!$I5481="",TRUE(),COUNTIF(원본명단!$I$3:$I5481,원본명단!$I5481)=1),IF(원본명단!$K5481="",TRUE(),COUNTIF(원본명단!$K$3:$K5481,원본명단!$K5481)=1)),"첫 건","중복 건")))</f>
        <v/>
      </c>
      <c r="J5482" s="11" t="str">
        <f aca="false">IF($A5482="","",IF($H5482="-","유지",IF($I5482="첫 건","유지","확인 필요")))</f>
        <v/>
      </c>
    </row>
    <row r="5483" customFormat="false" ht="15" hidden="false" customHeight="true" outlineLevel="0" collapsed="false">
      <c r="A5483" s="11" t="str">
        <f aca="false">IF(원본명단!$A5482="","",5480)</f>
        <v/>
      </c>
      <c r="B5483" s="12" t="str">
        <f aca="false">IF($A5483="","",원본명단!$A5482)</f>
        <v/>
      </c>
      <c r="C5483" s="12" t="str">
        <f aca="false">IF($A5483="","",원본명단!$B5482)</f>
        <v/>
      </c>
      <c r="D5483" s="12" t="str">
        <f aca="false">IF($A5483="","",원본명단!$D5482)</f>
        <v/>
      </c>
      <c r="E5483" s="11" t="str">
        <f aca="false">IF($A5483="","",IF(원본명단!$H5482="",0,COUNTIF(원본명단!$H$3:$H$6002,원본명단!$H5482)))</f>
        <v/>
      </c>
      <c r="F5483" s="11" t="str">
        <f aca="false">IF($A5483="","",IF(원본명단!$I5482="",0,COUNTIF(원본명단!$I$3:$I$6002,원본명단!$I5482)))</f>
        <v/>
      </c>
      <c r="G5483" s="11" t="str">
        <f aca="false">IF($A5483="","",IF(원본명단!$K5482="",0,COUNTIF(원본명단!$K$3:$K$6002,원본명단!$K5482)))</f>
        <v/>
      </c>
      <c r="H5483" s="11" t="str">
        <f aca="false">IF($A5483="","",IF(MAX($E5483,$F5483,$G5483)&gt;1,"중복","-"))</f>
        <v/>
      </c>
      <c r="I5483" s="11" t="str">
        <f aca="false">IF($A5483="","",IF($H5483="-","-",IF(AND(IF(원본명단!$H5482="",TRUE(),COUNTIF(원본명단!$H$3:$H5482,원본명단!$H5482)=1),IF(원본명단!$I5482="",TRUE(),COUNTIF(원본명단!$I$3:$I5482,원본명단!$I5482)=1),IF(원본명단!$K5482="",TRUE(),COUNTIF(원본명단!$K$3:$K5482,원본명단!$K5482)=1)),"첫 건","중복 건")))</f>
        <v/>
      </c>
      <c r="J5483" s="11" t="str">
        <f aca="false">IF($A5483="","",IF($H5483="-","유지",IF($I5483="첫 건","유지","확인 필요")))</f>
        <v/>
      </c>
    </row>
    <row r="5484" customFormat="false" ht="15" hidden="false" customHeight="true" outlineLevel="0" collapsed="false">
      <c r="A5484" s="11" t="str">
        <f aca="false">IF(원본명단!$A5483="","",5481)</f>
        <v/>
      </c>
      <c r="B5484" s="12" t="str">
        <f aca="false">IF($A5484="","",원본명단!$A5483)</f>
        <v/>
      </c>
      <c r="C5484" s="12" t="str">
        <f aca="false">IF($A5484="","",원본명단!$B5483)</f>
        <v/>
      </c>
      <c r="D5484" s="12" t="str">
        <f aca="false">IF($A5484="","",원본명단!$D5483)</f>
        <v/>
      </c>
      <c r="E5484" s="11" t="str">
        <f aca="false">IF($A5484="","",IF(원본명단!$H5483="",0,COUNTIF(원본명단!$H$3:$H$6002,원본명단!$H5483)))</f>
        <v/>
      </c>
      <c r="F5484" s="11" t="str">
        <f aca="false">IF($A5484="","",IF(원본명단!$I5483="",0,COUNTIF(원본명단!$I$3:$I$6002,원본명단!$I5483)))</f>
        <v/>
      </c>
      <c r="G5484" s="11" t="str">
        <f aca="false">IF($A5484="","",IF(원본명단!$K5483="",0,COUNTIF(원본명단!$K$3:$K$6002,원본명단!$K5483)))</f>
        <v/>
      </c>
      <c r="H5484" s="11" t="str">
        <f aca="false">IF($A5484="","",IF(MAX($E5484,$F5484,$G5484)&gt;1,"중복","-"))</f>
        <v/>
      </c>
      <c r="I5484" s="11" t="str">
        <f aca="false">IF($A5484="","",IF($H5484="-","-",IF(AND(IF(원본명단!$H5483="",TRUE(),COUNTIF(원본명단!$H$3:$H5483,원본명단!$H5483)=1),IF(원본명단!$I5483="",TRUE(),COUNTIF(원본명단!$I$3:$I5483,원본명단!$I5483)=1),IF(원본명단!$K5483="",TRUE(),COUNTIF(원본명단!$K$3:$K5483,원본명단!$K5483)=1)),"첫 건","중복 건")))</f>
        <v/>
      </c>
      <c r="J5484" s="11" t="str">
        <f aca="false">IF($A5484="","",IF($H5484="-","유지",IF($I5484="첫 건","유지","확인 필요")))</f>
        <v/>
      </c>
    </row>
    <row r="5485" customFormat="false" ht="15" hidden="false" customHeight="true" outlineLevel="0" collapsed="false">
      <c r="A5485" s="11" t="str">
        <f aca="false">IF(원본명단!$A5484="","",5482)</f>
        <v/>
      </c>
      <c r="B5485" s="12" t="str">
        <f aca="false">IF($A5485="","",원본명단!$A5484)</f>
        <v/>
      </c>
      <c r="C5485" s="12" t="str">
        <f aca="false">IF($A5485="","",원본명단!$B5484)</f>
        <v/>
      </c>
      <c r="D5485" s="12" t="str">
        <f aca="false">IF($A5485="","",원본명단!$D5484)</f>
        <v/>
      </c>
      <c r="E5485" s="11" t="str">
        <f aca="false">IF($A5485="","",IF(원본명단!$H5484="",0,COUNTIF(원본명단!$H$3:$H$6002,원본명단!$H5484)))</f>
        <v/>
      </c>
      <c r="F5485" s="11" t="str">
        <f aca="false">IF($A5485="","",IF(원본명단!$I5484="",0,COUNTIF(원본명단!$I$3:$I$6002,원본명단!$I5484)))</f>
        <v/>
      </c>
      <c r="G5485" s="11" t="str">
        <f aca="false">IF($A5485="","",IF(원본명단!$K5484="",0,COUNTIF(원본명단!$K$3:$K$6002,원본명단!$K5484)))</f>
        <v/>
      </c>
      <c r="H5485" s="11" t="str">
        <f aca="false">IF($A5485="","",IF(MAX($E5485,$F5485,$G5485)&gt;1,"중복","-"))</f>
        <v/>
      </c>
      <c r="I5485" s="11" t="str">
        <f aca="false">IF($A5485="","",IF($H5485="-","-",IF(AND(IF(원본명단!$H5484="",TRUE(),COUNTIF(원본명단!$H$3:$H5484,원본명단!$H5484)=1),IF(원본명단!$I5484="",TRUE(),COUNTIF(원본명단!$I$3:$I5484,원본명단!$I5484)=1),IF(원본명단!$K5484="",TRUE(),COUNTIF(원본명단!$K$3:$K5484,원본명단!$K5484)=1)),"첫 건","중복 건")))</f>
        <v/>
      </c>
      <c r="J5485" s="11" t="str">
        <f aca="false">IF($A5485="","",IF($H5485="-","유지",IF($I5485="첫 건","유지","확인 필요")))</f>
        <v/>
      </c>
    </row>
    <row r="5486" customFormat="false" ht="15" hidden="false" customHeight="true" outlineLevel="0" collapsed="false">
      <c r="A5486" s="11" t="str">
        <f aca="false">IF(원본명단!$A5485="","",5483)</f>
        <v/>
      </c>
      <c r="B5486" s="12" t="str">
        <f aca="false">IF($A5486="","",원본명단!$A5485)</f>
        <v/>
      </c>
      <c r="C5486" s="12" t="str">
        <f aca="false">IF($A5486="","",원본명단!$B5485)</f>
        <v/>
      </c>
      <c r="D5486" s="12" t="str">
        <f aca="false">IF($A5486="","",원본명단!$D5485)</f>
        <v/>
      </c>
      <c r="E5486" s="11" t="str">
        <f aca="false">IF($A5486="","",IF(원본명단!$H5485="",0,COUNTIF(원본명단!$H$3:$H$6002,원본명단!$H5485)))</f>
        <v/>
      </c>
      <c r="F5486" s="11" t="str">
        <f aca="false">IF($A5486="","",IF(원본명단!$I5485="",0,COUNTIF(원본명단!$I$3:$I$6002,원본명단!$I5485)))</f>
        <v/>
      </c>
      <c r="G5486" s="11" t="str">
        <f aca="false">IF($A5486="","",IF(원본명단!$K5485="",0,COUNTIF(원본명단!$K$3:$K$6002,원본명단!$K5485)))</f>
        <v/>
      </c>
      <c r="H5486" s="11" t="str">
        <f aca="false">IF($A5486="","",IF(MAX($E5486,$F5486,$G5486)&gt;1,"중복","-"))</f>
        <v/>
      </c>
      <c r="I5486" s="11" t="str">
        <f aca="false">IF($A5486="","",IF($H5486="-","-",IF(AND(IF(원본명단!$H5485="",TRUE(),COUNTIF(원본명단!$H$3:$H5485,원본명단!$H5485)=1),IF(원본명단!$I5485="",TRUE(),COUNTIF(원본명단!$I$3:$I5485,원본명단!$I5485)=1),IF(원본명단!$K5485="",TRUE(),COUNTIF(원본명단!$K$3:$K5485,원본명단!$K5485)=1)),"첫 건","중복 건")))</f>
        <v/>
      </c>
      <c r="J5486" s="11" t="str">
        <f aca="false">IF($A5486="","",IF($H5486="-","유지",IF($I5486="첫 건","유지","확인 필요")))</f>
        <v/>
      </c>
    </row>
    <row r="5487" customFormat="false" ht="15" hidden="false" customHeight="true" outlineLevel="0" collapsed="false">
      <c r="A5487" s="11" t="str">
        <f aca="false">IF(원본명단!$A5486="","",5484)</f>
        <v/>
      </c>
      <c r="B5487" s="12" t="str">
        <f aca="false">IF($A5487="","",원본명단!$A5486)</f>
        <v/>
      </c>
      <c r="C5487" s="12" t="str">
        <f aca="false">IF($A5487="","",원본명단!$B5486)</f>
        <v/>
      </c>
      <c r="D5487" s="12" t="str">
        <f aca="false">IF($A5487="","",원본명단!$D5486)</f>
        <v/>
      </c>
      <c r="E5487" s="11" t="str">
        <f aca="false">IF($A5487="","",IF(원본명단!$H5486="",0,COUNTIF(원본명단!$H$3:$H$6002,원본명단!$H5486)))</f>
        <v/>
      </c>
      <c r="F5487" s="11" t="str">
        <f aca="false">IF($A5487="","",IF(원본명단!$I5486="",0,COUNTIF(원본명단!$I$3:$I$6002,원본명단!$I5486)))</f>
        <v/>
      </c>
      <c r="G5487" s="11" t="str">
        <f aca="false">IF($A5487="","",IF(원본명단!$K5486="",0,COUNTIF(원본명단!$K$3:$K$6002,원본명단!$K5486)))</f>
        <v/>
      </c>
      <c r="H5487" s="11" t="str">
        <f aca="false">IF($A5487="","",IF(MAX($E5487,$F5487,$G5487)&gt;1,"중복","-"))</f>
        <v/>
      </c>
      <c r="I5487" s="11" t="str">
        <f aca="false">IF($A5487="","",IF($H5487="-","-",IF(AND(IF(원본명단!$H5486="",TRUE(),COUNTIF(원본명단!$H$3:$H5486,원본명단!$H5486)=1),IF(원본명단!$I5486="",TRUE(),COUNTIF(원본명단!$I$3:$I5486,원본명단!$I5486)=1),IF(원본명단!$K5486="",TRUE(),COUNTIF(원본명단!$K$3:$K5486,원본명단!$K5486)=1)),"첫 건","중복 건")))</f>
        <v/>
      </c>
      <c r="J5487" s="11" t="str">
        <f aca="false">IF($A5487="","",IF($H5487="-","유지",IF($I5487="첫 건","유지","확인 필요")))</f>
        <v/>
      </c>
    </row>
    <row r="5488" customFormat="false" ht="15" hidden="false" customHeight="true" outlineLevel="0" collapsed="false">
      <c r="A5488" s="11" t="str">
        <f aca="false">IF(원본명단!$A5487="","",5485)</f>
        <v/>
      </c>
      <c r="B5488" s="12" t="str">
        <f aca="false">IF($A5488="","",원본명단!$A5487)</f>
        <v/>
      </c>
      <c r="C5488" s="12" t="str">
        <f aca="false">IF($A5488="","",원본명단!$B5487)</f>
        <v/>
      </c>
      <c r="D5488" s="12" t="str">
        <f aca="false">IF($A5488="","",원본명단!$D5487)</f>
        <v/>
      </c>
      <c r="E5488" s="11" t="str">
        <f aca="false">IF($A5488="","",IF(원본명단!$H5487="",0,COUNTIF(원본명단!$H$3:$H$6002,원본명단!$H5487)))</f>
        <v/>
      </c>
      <c r="F5488" s="11" t="str">
        <f aca="false">IF($A5488="","",IF(원본명단!$I5487="",0,COUNTIF(원본명단!$I$3:$I$6002,원본명단!$I5487)))</f>
        <v/>
      </c>
      <c r="G5488" s="11" t="str">
        <f aca="false">IF($A5488="","",IF(원본명단!$K5487="",0,COUNTIF(원본명단!$K$3:$K$6002,원본명단!$K5487)))</f>
        <v/>
      </c>
      <c r="H5488" s="11" t="str">
        <f aca="false">IF($A5488="","",IF(MAX($E5488,$F5488,$G5488)&gt;1,"중복","-"))</f>
        <v/>
      </c>
      <c r="I5488" s="11" t="str">
        <f aca="false">IF($A5488="","",IF($H5488="-","-",IF(AND(IF(원본명단!$H5487="",TRUE(),COUNTIF(원본명단!$H$3:$H5487,원본명단!$H5487)=1),IF(원본명단!$I5487="",TRUE(),COUNTIF(원본명단!$I$3:$I5487,원본명단!$I5487)=1),IF(원본명단!$K5487="",TRUE(),COUNTIF(원본명단!$K$3:$K5487,원본명단!$K5487)=1)),"첫 건","중복 건")))</f>
        <v/>
      </c>
      <c r="J5488" s="11" t="str">
        <f aca="false">IF($A5488="","",IF($H5488="-","유지",IF($I5488="첫 건","유지","확인 필요")))</f>
        <v/>
      </c>
    </row>
    <row r="5489" customFormat="false" ht="15" hidden="false" customHeight="true" outlineLevel="0" collapsed="false">
      <c r="A5489" s="11" t="str">
        <f aca="false">IF(원본명단!$A5488="","",5486)</f>
        <v/>
      </c>
      <c r="B5489" s="12" t="str">
        <f aca="false">IF($A5489="","",원본명단!$A5488)</f>
        <v/>
      </c>
      <c r="C5489" s="12" t="str">
        <f aca="false">IF($A5489="","",원본명단!$B5488)</f>
        <v/>
      </c>
      <c r="D5489" s="12" t="str">
        <f aca="false">IF($A5489="","",원본명단!$D5488)</f>
        <v/>
      </c>
      <c r="E5489" s="11" t="str">
        <f aca="false">IF($A5489="","",IF(원본명단!$H5488="",0,COUNTIF(원본명단!$H$3:$H$6002,원본명단!$H5488)))</f>
        <v/>
      </c>
      <c r="F5489" s="11" t="str">
        <f aca="false">IF($A5489="","",IF(원본명단!$I5488="",0,COUNTIF(원본명단!$I$3:$I$6002,원본명단!$I5488)))</f>
        <v/>
      </c>
      <c r="G5489" s="11" t="str">
        <f aca="false">IF($A5489="","",IF(원본명단!$K5488="",0,COUNTIF(원본명단!$K$3:$K$6002,원본명단!$K5488)))</f>
        <v/>
      </c>
      <c r="H5489" s="11" t="str">
        <f aca="false">IF($A5489="","",IF(MAX($E5489,$F5489,$G5489)&gt;1,"중복","-"))</f>
        <v/>
      </c>
      <c r="I5489" s="11" t="str">
        <f aca="false">IF($A5489="","",IF($H5489="-","-",IF(AND(IF(원본명단!$H5488="",TRUE(),COUNTIF(원본명단!$H$3:$H5488,원본명단!$H5488)=1),IF(원본명단!$I5488="",TRUE(),COUNTIF(원본명단!$I$3:$I5488,원본명단!$I5488)=1),IF(원본명단!$K5488="",TRUE(),COUNTIF(원본명단!$K$3:$K5488,원본명단!$K5488)=1)),"첫 건","중복 건")))</f>
        <v/>
      </c>
      <c r="J5489" s="11" t="str">
        <f aca="false">IF($A5489="","",IF($H5489="-","유지",IF($I5489="첫 건","유지","확인 필요")))</f>
        <v/>
      </c>
    </row>
    <row r="5490" customFormat="false" ht="15" hidden="false" customHeight="true" outlineLevel="0" collapsed="false">
      <c r="A5490" s="11" t="str">
        <f aca="false">IF(원본명단!$A5489="","",5487)</f>
        <v/>
      </c>
      <c r="B5490" s="12" t="str">
        <f aca="false">IF($A5490="","",원본명단!$A5489)</f>
        <v/>
      </c>
      <c r="C5490" s="12" t="str">
        <f aca="false">IF($A5490="","",원본명단!$B5489)</f>
        <v/>
      </c>
      <c r="D5490" s="12" t="str">
        <f aca="false">IF($A5490="","",원본명단!$D5489)</f>
        <v/>
      </c>
      <c r="E5490" s="11" t="str">
        <f aca="false">IF($A5490="","",IF(원본명단!$H5489="",0,COUNTIF(원본명단!$H$3:$H$6002,원본명단!$H5489)))</f>
        <v/>
      </c>
      <c r="F5490" s="11" t="str">
        <f aca="false">IF($A5490="","",IF(원본명단!$I5489="",0,COUNTIF(원본명단!$I$3:$I$6002,원본명단!$I5489)))</f>
        <v/>
      </c>
      <c r="G5490" s="11" t="str">
        <f aca="false">IF($A5490="","",IF(원본명단!$K5489="",0,COUNTIF(원본명단!$K$3:$K$6002,원본명단!$K5489)))</f>
        <v/>
      </c>
      <c r="H5490" s="11" t="str">
        <f aca="false">IF($A5490="","",IF(MAX($E5490,$F5490,$G5490)&gt;1,"중복","-"))</f>
        <v/>
      </c>
      <c r="I5490" s="11" t="str">
        <f aca="false">IF($A5490="","",IF($H5490="-","-",IF(AND(IF(원본명단!$H5489="",TRUE(),COUNTIF(원본명단!$H$3:$H5489,원본명단!$H5489)=1),IF(원본명단!$I5489="",TRUE(),COUNTIF(원본명단!$I$3:$I5489,원본명단!$I5489)=1),IF(원본명단!$K5489="",TRUE(),COUNTIF(원본명단!$K$3:$K5489,원본명단!$K5489)=1)),"첫 건","중복 건")))</f>
        <v/>
      </c>
      <c r="J5490" s="11" t="str">
        <f aca="false">IF($A5490="","",IF($H5490="-","유지",IF($I5490="첫 건","유지","확인 필요")))</f>
        <v/>
      </c>
    </row>
    <row r="5491" customFormat="false" ht="15" hidden="false" customHeight="true" outlineLevel="0" collapsed="false">
      <c r="A5491" s="11" t="str">
        <f aca="false">IF(원본명단!$A5490="","",5488)</f>
        <v/>
      </c>
      <c r="B5491" s="12" t="str">
        <f aca="false">IF($A5491="","",원본명단!$A5490)</f>
        <v/>
      </c>
      <c r="C5491" s="12" t="str">
        <f aca="false">IF($A5491="","",원본명단!$B5490)</f>
        <v/>
      </c>
      <c r="D5491" s="12" t="str">
        <f aca="false">IF($A5491="","",원본명단!$D5490)</f>
        <v/>
      </c>
      <c r="E5491" s="11" t="str">
        <f aca="false">IF($A5491="","",IF(원본명단!$H5490="",0,COUNTIF(원본명단!$H$3:$H$6002,원본명단!$H5490)))</f>
        <v/>
      </c>
      <c r="F5491" s="11" t="str">
        <f aca="false">IF($A5491="","",IF(원본명단!$I5490="",0,COUNTIF(원본명단!$I$3:$I$6002,원본명단!$I5490)))</f>
        <v/>
      </c>
      <c r="G5491" s="11" t="str">
        <f aca="false">IF($A5491="","",IF(원본명단!$K5490="",0,COUNTIF(원본명단!$K$3:$K$6002,원본명단!$K5490)))</f>
        <v/>
      </c>
      <c r="H5491" s="11" t="str">
        <f aca="false">IF($A5491="","",IF(MAX($E5491,$F5491,$G5491)&gt;1,"중복","-"))</f>
        <v/>
      </c>
      <c r="I5491" s="11" t="str">
        <f aca="false">IF($A5491="","",IF($H5491="-","-",IF(AND(IF(원본명단!$H5490="",TRUE(),COUNTIF(원본명단!$H$3:$H5490,원본명단!$H5490)=1),IF(원본명단!$I5490="",TRUE(),COUNTIF(원본명단!$I$3:$I5490,원본명단!$I5490)=1),IF(원본명단!$K5490="",TRUE(),COUNTIF(원본명단!$K$3:$K5490,원본명단!$K5490)=1)),"첫 건","중복 건")))</f>
        <v/>
      </c>
      <c r="J5491" s="11" t="str">
        <f aca="false">IF($A5491="","",IF($H5491="-","유지",IF($I5491="첫 건","유지","확인 필요")))</f>
        <v/>
      </c>
    </row>
    <row r="5492" customFormat="false" ht="15" hidden="false" customHeight="true" outlineLevel="0" collapsed="false">
      <c r="A5492" s="11" t="str">
        <f aca="false">IF(원본명단!$A5491="","",5489)</f>
        <v/>
      </c>
      <c r="B5492" s="12" t="str">
        <f aca="false">IF($A5492="","",원본명단!$A5491)</f>
        <v/>
      </c>
      <c r="C5492" s="12" t="str">
        <f aca="false">IF($A5492="","",원본명단!$B5491)</f>
        <v/>
      </c>
      <c r="D5492" s="12" t="str">
        <f aca="false">IF($A5492="","",원본명단!$D5491)</f>
        <v/>
      </c>
      <c r="E5492" s="11" t="str">
        <f aca="false">IF($A5492="","",IF(원본명단!$H5491="",0,COUNTIF(원본명단!$H$3:$H$6002,원본명단!$H5491)))</f>
        <v/>
      </c>
      <c r="F5492" s="11" t="str">
        <f aca="false">IF($A5492="","",IF(원본명단!$I5491="",0,COUNTIF(원본명단!$I$3:$I$6002,원본명단!$I5491)))</f>
        <v/>
      </c>
      <c r="G5492" s="11" t="str">
        <f aca="false">IF($A5492="","",IF(원본명단!$K5491="",0,COUNTIF(원본명단!$K$3:$K$6002,원본명단!$K5491)))</f>
        <v/>
      </c>
      <c r="H5492" s="11" t="str">
        <f aca="false">IF($A5492="","",IF(MAX($E5492,$F5492,$G5492)&gt;1,"중복","-"))</f>
        <v/>
      </c>
      <c r="I5492" s="11" t="str">
        <f aca="false">IF($A5492="","",IF($H5492="-","-",IF(AND(IF(원본명단!$H5491="",TRUE(),COUNTIF(원본명단!$H$3:$H5491,원본명단!$H5491)=1),IF(원본명단!$I5491="",TRUE(),COUNTIF(원본명단!$I$3:$I5491,원본명단!$I5491)=1),IF(원본명단!$K5491="",TRUE(),COUNTIF(원본명단!$K$3:$K5491,원본명단!$K5491)=1)),"첫 건","중복 건")))</f>
        <v/>
      </c>
      <c r="J5492" s="11" t="str">
        <f aca="false">IF($A5492="","",IF($H5492="-","유지",IF($I5492="첫 건","유지","확인 필요")))</f>
        <v/>
      </c>
    </row>
    <row r="5493" customFormat="false" ht="15" hidden="false" customHeight="true" outlineLevel="0" collapsed="false">
      <c r="A5493" s="11" t="str">
        <f aca="false">IF(원본명단!$A5492="","",5490)</f>
        <v/>
      </c>
      <c r="B5493" s="12" t="str">
        <f aca="false">IF($A5493="","",원본명단!$A5492)</f>
        <v/>
      </c>
      <c r="C5493" s="12" t="str">
        <f aca="false">IF($A5493="","",원본명단!$B5492)</f>
        <v/>
      </c>
      <c r="D5493" s="12" t="str">
        <f aca="false">IF($A5493="","",원본명단!$D5492)</f>
        <v/>
      </c>
      <c r="E5493" s="11" t="str">
        <f aca="false">IF($A5493="","",IF(원본명단!$H5492="",0,COUNTIF(원본명단!$H$3:$H$6002,원본명단!$H5492)))</f>
        <v/>
      </c>
      <c r="F5493" s="11" t="str">
        <f aca="false">IF($A5493="","",IF(원본명단!$I5492="",0,COUNTIF(원본명단!$I$3:$I$6002,원본명단!$I5492)))</f>
        <v/>
      </c>
      <c r="G5493" s="11" t="str">
        <f aca="false">IF($A5493="","",IF(원본명단!$K5492="",0,COUNTIF(원본명단!$K$3:$K$6002,원본명단!$K5492)))</f>
        <v/>
      </c>
      <c r="H5493" s="11" t="str">
        <f aca="false">IF($A5493="","",IF(MAX($E5493,$F5493,$G5493)&gt;1,"중복","-"))</f>
        <v/>
      </c>
      <c r="I5493" s="11" t="str">
        <f aca="false">IF($A5493="","",IF($H5493="-","-",IF(AND(IF(원본명단!$H5492="",TRUE(),COUNTIF(원본명단!$H$3:$H5492,원본명단!$H5492)=1),IF(원본명단!$I5492="",TRUE(),COUNTIF(원본명단!$I$3:$I5492,원본명단!$I5492)=1),IF(원본명단!$K5492="",TRUE(),COUNTIF(원본명단!$K$3:$K5492,원본명단!$K5492)=1)),"첫 건","중복 건")))</f>
        <v/>
      </c>
      <c r="J5493" s="11" t="str">
        <f aca="false">IF($A5493="","",IF($H5493="-","유지",IF($I5493="첫 건","유지","확인 필요")))</f>
        <v/>
      </c>
    </row>
    <row r="5494" customFormat="false" ht="15" hidden="false" customHeight="true" outlineLevel="0" collapsed="false">
      <c r="A5494" s="11" t="str">
        <f aca="false">IF(원본명단!$A5493="","",5491)</f>
        <v/>
      </c>
      <c r="B5494" s="12" t="str">
        <f aca="false">IF($A5494="","",원본명단!$A5493)</f>
        <v/>
      </c>
      <c r="C5494" s="12" t="str">
        <f aca="false">IF($A5494="","",원본명단!$B5493)</f>
        <v/>
      </c>
      <c r="D5494" s="12" t="str">
        <f aca="false">IF($A5494="","",원본명단!$D5493)</f>
        <v/>
      </c>
      <c r="E5494" s="11" t="str">
        <f aca="false">IF($A5494="","",IF(원본명단!$H5493="",0,COUNTIF(원본명단!$H$3:$H$6002,원본명단!$H5493)))</f>
        <v/>
      </c>
      <c r="F5494" s="11" t="str">
        <f aca="false">IF($A5494="","",IF(원본명단!$I5493="",0,COUNTIF(원본명단!$I$3:$I$6002,원본명단!$I5493)))</f>
        <v/>
      </c>
      <c r="G5494" s="11" t="str">
        <f aca="false">IF($A5494="","",IF(원본명단!$K5493="",0,COUNTIF(원본명단!$K$3:$K$6002,원본명단!$K5493)))</f>
        <v/>
      </c>
      <c r="H5494" s="11" t="str">
        <f aca="false">IF($A5494="","",IF(MAX($E5494,$F5494,$G5494)&gt;1,"중복","-"))</f>
        <v/>
      </c>
      <c r="I5494" s="11" t="str">
        <f aca="false">IF($A5494="","",IF($H5494="-","-",IF(AND(IF(원본명단!$H5493="",TRUE(),COUNTIF(원본명단!$H$3:$H5493,원본명단!$H5493)=1),IF(원본명단!$I5493="",TRUE(),COUNTIF(원본명단!$I$3:$I5493,원본명단!$I5493)=1),IF(원본명단!$K5493="",TRUE(),COUNTIF(원본명단!$K$3:$K5493,원본명단!$K5493)=1)),"첫 건","중복 건")))</f>
        <v/>
      </c>
      <c r="J5494" s="11" t="str">
        <f aca="false">IF($A5494="","",IF($H5494="-","유지",IF($I5494="첫 건","유지","확인 필요")))</f>
        <v/>
      </c>
    </row>
    <row r="5495" customFormat="false" ht="15" hidden="false" customHeight="true" outlineLevel="0" collapsed="false">
      <c r="A5495" s="11" t="str">
        <f aca="false">IF(원본명단!$A5494="","",5492)</f>
        <v/>
      </c>
      <c r="B5495" s="12" t="str">
        <f aca="false">IF($A5495="","",원본명단!$A5494)</f>
        <v/>
      </c>
      <c r="C5495" s="12" t="str">
        <f aca="false">IF($A5495="","",원본명단!$B5494)</f>
        <v/>
      </c>
      <c r="D5495" s="12" t="str">
        <f aca="false">IF($A5495="","",원본명단!$D5494)</f>
        <v/>
      </c>
      <c r="E5495" s="11" t="str">
        <f aca="false">IF($A5495="","",IF(원본명단!$H5494="",0,COUNTIF(원본명단!$H$3:$H$6002,원본명단!$H5494)))</f>
        <v/>
      </c>
      <c r="F5495" s="11" t="str">
        <f aca="false">IF($A5495="","",IF(원본명단!$I5494="",0,COUNTIF(원본명단!$I$3:$I$6002,원본명단!$I5494)))</f>
        <v/>
      </c>
      <c r="G5495" s="11" t="str">
        <f aca="false">IF($A5495="","",IF(원본명단!$K5494="",0,COUNTIF(원본명단!$K$3:$K$6002,원본명단!$K5494)))</f>
        <v/>
      </c>
      <c r="H5495" s="11" t="str">
        <f aca="false">IF($A5495="","",IF(MAX($E5495,$F5495,$G5495)&gt;1,"중복","-"))</f>
        <v/>
      </c>
      <c r="I5495" s="11" t="str">
        <f aca="false">IF($A5495="","",IF($H5495="-","-",IF(AND(IF(원본명단!$H5494="",TRUE(),COUNTIF(원본명단!$H$3:$H5494,원본명단!$H5494)=1),IF(원본명단!$I5494="",TRUE(),COUNTIF(원본명단!$I$3:$I5494,원본명단!$I5494)=1),IF(원본명단!$K5494="",TRUE(),COUNTIF(원본명단!$K$3:$K5494,원본명단!$K5494)=1)),"첫 건","중복 건")))</f>
        <v/>
      </c>
      <c r="J5495" s="11" t="str">
        <f aca="false">IF($A5495="","",IF($H5495="-","유지",IF($I5495="첫 건","유지","확인 필요")))</f>
        <v/>
      </c>
    </row>
    <row r="5496" customFormat="false" ht="15" hidden="false" customHeight="true" outlineLevel="0" collapsed="false">
      <c r="A5496" s="11" t="str">
        <f aca="false">IF(원본명단!$A5495="","",5493)</f>
        <v/>
      </c>
      <c r="B5496" s="12" t="str">
        <f aca="false">IF($A5496="","",원본명단!$A5495)</f>
        <v/>
      </c>
      <c r="C5496" s="12" t="str">
        <f aca="false">IF($A5496="","",원본명단!$B5495)</f>
        <v/>
      </c>
      <c r="D5496" s="12" t="str">
        <f aca="false">IF($A5496="","",원본명단!$D5495)</f>
        <v/>
      </c>
      <c r="E5496" s="11" t="str">
        <f aca="false">IF($A5496="","",IF(원본명단!$H5495="",0,COUNTIF(원본명단!$H$3:$H$6002,원본명단!$H5495)))</f>
        <v/>
      </c>
      <c r="F5496" s="11" t="str">
        <f aca="false">IF($A5496="","",IF(원본명단!$I5495="",0,COUNTIF(원본명단!$I$3:$I$6002,원본명단!$I5495)))</f>
        <v/>
      </c>
      <c r="G5496" s="11" t="str">
        <f aca="false">IF($A5496="","",IF(원본명단!$K5495="",0,COUNTIF(원본명단!$K$3:$K$6002,원본명단!$K5495)))</f>
        <v/>
      </c>
      <c r="H5496" s="11" t="str">
        <f aca="false">IF($A5496="","",IF(MAX($E5496,$F5496,$G5496)&gt;1,"중복","-"))</f>
        <v/>
      </c>
      <c r="I5496" s="11" t="str">
        <f aca="false">IF($A5496="","",IF($H5496="-","-",IF(AND(IF(원본명단!$H5495="",TRUE(),COUNTIF(원본명단!$H$3:$H5495,원본명단!$H5495)=1),IF(원본명단!$I5495="",TRUE(),COUNTIF(원본명단!$I$3:$I5495,원본명단!$I5495)=1),IF(원본명단!$K5495="",TRUE(),COUNTIF(원본명단!$K$3:$K5495,원본명단!$K5495)=1)),"첫 건","중복 건")))</f>
        <v/>
      </c>
      <c r="J5496" s="11" t="str">
        <f aca="false">IF($A5496="","",IF($H5496="-","유지",IF($I5496="첫 건","유지","확인 필요")))</f>
        <v/>
      </c>
    </row>
    <row r="5497" customFormat="false" ht="15" hidden="false" customHeight="true" outlineLevel="0" collapsed="false">
      <c r="A5497" s="11" t="str">
        <f aca="false">IF(원본명단!$A5496="","",5494)</f>
        <v/>
      </c>
      <c r="B5497" s="12" t="str">
        <f aca="false">IF($A5497="","",원본명단!$A5496)</f>
        <v/>
      </c>
      <c r="C5497" s="12" t="str">
        <f aca="false">IF($A5497="","",원본명단!$B5496)</f>
        <v/>
      </c>
      <c r="D5497" s="12" t="str">
        <f aca="false">IF($A5497="","",원본명단!$D5496)</f>
        <v/>
      </c>
      <c r="E5497" s="11" t="str">
        <f aca="false">IF($A5497="","",IF(원본명단!$H5496="",0,COUNTIF(원본명단!$H$3:$H$6002,원본명단!$H5496)))</f>
        <v/>
      </c>
      <c r="F5497" s="11" t="str">
        <f aca="false">IF($A5497="","",IF(원본명단!$I5496="",0,COUNTIF(원본명단!$I$3:$I$6002,원본명단!$I5496)))</f>
        <v/>
      </c>
      <c r="G5497" s="11" t="str">
        <f aca="false">IF($A5497="","",IF(원본명단!$K5496="",0,COUNTIF(원본명단!$K$3:$K$6002,원본명단!$K5496)))</f>
        <v/>
      </c>
      <c r="H5497" s="11" t="str">
        <f aca="false">IF($A5497="","",IF(MAX($E5497,$F5497,$G5497)&gt;1,"중복","-"))</f>
        <v/>
      </c>
      <c r="I5497" s="11" t="str">
        <f aca="false">IF($A5497="","",IF($H5497="-","-",IF(AND(IF(원본명단!$H5496="",TRUE(),COUNTIF(원본명단!$H$3:$H5496,원본명단!$H5496)=1),IF(원본명단!$I5496="",TRUE(),COUNTIF(원본명단!$I$3:$I5496,원본명단!$I5496)=1),IF(원본명단!$K5496="",TRUE(),COUNTIF(원본명단!$K$3:$K5496,원본명단!$K5496)=1)),"첫 건","중복 건")))</f>
        <v/>
      </c>
      <c r="J5497" s="11" t="str">
        <f aca="false">IF($A5497="","",IF($H5497="-","유지",IF($I5497="첫 건","유지","확인 필요")))</f>
        <v/>
      </c>
    </row>
    <row r="5498" customFormat="false" ht="15" hidden="false" customHeight="true" outlineLevel="0" collapsed="false">
      <c r="A5498" s="11" t="str">
        <f aca="false">IF(원본명단!$A5497="","",5495)</f>
        <v/>
      </c>
      <c r="B5498" s="12" t="str">
        <f aca="false">IF($A5498="","",원본명단!$A5497)</f>
        <v/>
      </c>
      <c r="C5498" s="12" t="str">
        <f aca="false">IF($A5498="","",원본명단!$B5497)</f>
        <v/>
      </c>
      <c r="D5498" s="12" t="str">
        <f aca="false">IF($A5498="","",원본명단!$D5497)</f>
        <v/>
      </c>
      <c r="E5498" s="11" t="str">
        <f aca="false">IF($A5498="","",IF(원본명단!$H5497="",0,COUNTIF(원본명단!$H$3:$H$6002,원본명단!$H5497)))</f>
        <v/>
      </c>
      <c r="F5498" s="11" t="str">
        <f aca="false">IF($A5498="","",IF(원본명단!$I5497="",0,COUNTIF(원본명단!$I$3:$I$6002,원본명단!$I5497)))</f>
        <v/>
      </c>
      <c r="G5498" s="11" t="str">
        <f aca="false">IF($A5498="","",IF(원본명단!$K5497="",0,COUNTIF(원본명단!$K$3:$K$6002,원본명단!$K5497)))</f>
        <v/>
      </c>
      <c r="H5498" s="11" t="str">
        <f aca="false">IF($A5498="","",IF(MAX($E5498,$F5498,$G5498)&gt;1,"중복","-"))</f>
        <v/>
      </c>
      <c r="I5498" s="11" t="str">
        <f aca="false">IF($A5498="","",IF($H5498="-","-",IF(AND(IF(원본명단!$H5497="",TRUE(),COUNTIF(원본명단!$H$3:$H5497,원본명단!$H5497)=1),IF(원본명단!$I5497="",TRUE(),COUNTIF(원본명단!$I$3:$I5497,원본명단!$I5497)=1),IF(원본명단!$K5497="",TRUE(),COUNTIF(원본명단!$K$3:$K5497,원본명단!$K5497)=1)),"첫 건","중복 건")))</f>
        <v/>
      </c>
      <c r="J5498" s="11" t="str">
        <f aca="false">IF($A5498="","",IF($H5498="-","유지",IF($I5498="첫 건","유지","확인 필요")))</f>
        <v/>
      </c>
    </row>
    <row r="5499" customFormat="false" ht="15" hidden="false" customHeight="true" outlineLevel="0" collapsed="false">
      <c r="A5499" s="11" t="str">
        <f aca="false">IF(원본명단!$A5498="","",5496)</f>
        <v/>
      </c>
      <c r="B5499" s="12" t="str">
        <f aca="false">IF($A5499="","",원본명단!$A5498)</f>
        <v/>
      </c>
      <c r="C5499" s="12" t="str">
        <f aca="false">IF($A5499="","",원본명단!$B5498)</f>
        <v/>
      </c>
      <c r="D5499" s="12" t="str">
        <f aca="false">IF($A5499="","",원본명단!$D5498)</f>
        <v/>
      </c>
      <c r="E5499" s="11" t="str">
        <f aca="false">IF($A5499="","",IF(원본명단!$H5498="",0,COUNTIF(원본명단!$H$3:$H$6002,원본명단!$H5498)))</f>
        <v/>
      </c>
      <c r="F5499" s="11" t="str">
        <f aca="false">IF($A5499="","",IF(원본명단!$I5498="",0,COUNTIF(원본명단!$I$3:$I$6002,원본명단!$I5498)))</f>
        <v/>
      </c>
      <c r="G5499" s="11" t="str">
        <f aca="false">IF($A5499="","",IF(원본명단!$K5498="",0,COUNTIF(원본명단!$K$3:$K$6002,원본명단!$K5498)))</f>
        <v/>
      </c>
      <c r="H5499" s="11" t="str">
        <f aca="false">IF($A5499="","",IF(MAX($E5499,$F5499,$G5499)&gt;1,"중복","-"))</f>
        <v/>
      </c>
      <c r="I5499" s="11" t="str">
        <f aca="false">IF($A5499="","",IF($H5499="-","-",IF(AND(IF(원본명단!$H5498="",TRUE(),COUNTIF(원본명단!$H$3:$H5498,원본명단!$H5498)=1),IF(원본명단!$I5498="",TRUE(),COUNTIF(원본명단!$I$3:$I5498,원본명단!$I5498)=1),IF(원본명단!$K5498="",TRUE(),COUNTIF(원본명단!$K$3:$K5498,원본명단!$K5498)=1)),"첫 건","중복 건")))</f>
        <v/>
      </c>
      <c r="J5499" s="11" t="str">
        <f aca="false">IF($A5499="","",IF($H5499="-","유지",IF($I5499="첫 건","유지","확인 필요")))</f>
        <v/>
      </c>
    </row>
    <row r="5500" customFormat="false" ht="15" hidden="false" customHeight="true" outlineLevel="0" collapsed="false">
      <c r="A5500" s="11" t="str">
        <f aca="false">IF(원본명단!$A5499="","",5497)</f>
        <v/>
      </c>
      <c r="B5500" s="12" t="str">
        <f aca="false">IF($A5500="","",원본명단!$A5499)</f>
        <v/>
      </c>
      <c r="C5500" s="12" t="str">
        <f aca="false">IF($A5500="","",원본명단!$B5499)</f>
        <v/>
      </c>
      <c r="D5500" s="12" t="str">
        <f aca="false">IF($A5500="","",원본명단!$D5499)</f>
        <v/>
      </c>
      <c r="E5500" s="11" t="str">
        <f aca="false">IF($A5500="","",IF(원본명단!$H5499="",0,COUNTIF(원본명단!$H$3:$H$6002,원본명단!$H5499)))</f>
        <v/>
      </c>
      <c r="F5500" s="11" t="str">
        <f aca="false">IF($A5500="","",IF(원본명단!$I5499="",0,COUNTIF(원본명단!$I$3:$I$6002,원본명단!$I5499)))</f>
        <v/>
      </c>
      <c r="G5500" s="11" t="str">
        <f aca="false">IF($A5500="","",IF(원본명단!$K5499="",0,COUNTIF(원본명단!$K$3:$K$6002,원본명단!$K5499)))</f>
        <v/>
      </c>
      <c r="H5500" s="11" t="str">
        <f aca="false">IF($A5500="","",IF(MAX($E5500,$F5500,$G5500)&gt;1,"중복","-"))</f>
        <v/>
      </c>
      <c r="I5500" s="11" t="str">
        <f aca="false">IF($A5500="","",IF($H5500="-","-",IF(AND(IF(원본명단!$H5499="",TRUE(),COUNTIF(원본명단!$H$3:$H5499,원본명단!$H5499)=1),IF(원본명단!$I5499="",TRUE(),COUNTIF(원본명단!$I$3:$I5499,원본명단!$I5499)=1),IF(원본명단!$K5499="",TRUE(),COUNTIF(원본명단!$K$3:$K5499,원본명단!$K5499)=1)),"첫 건","중복 건")))</f>
        <v/>
      </c>
      <c r="J5500" s="11" t="str">
        <f aca="false">IF($A5500="","",IF($H5500="-","유지",IF($I5500="첫 건","유지","확인 필요")))</f>
        <v/>
      </c>
    </row>
    <row r="5501" customFormat="false" ht="15" hidden="false" customHeight="true" outlineLevel="0" collapsed="false">
      <c r="A5501" s="11" t="str">
        <f aca="false">IF(원본명단!$A5500="","",5498)</f>
        <v/>
      </c>
      <c r="B5501" s="12" t="str">
        <f aca="false">IF($A5501="","",원본명단!$A5500)</f>
        <v/>
      </c>
      <c r="C5501" s="12" t="str">
        <f aca="false">IF($A5501="","",원본명단!$B5500)</f>
        <v/>
      </c>
      <c r="D5501" s="12" t="str">
        <f aca="false">IF($A5501="","",원본명단!$D5500)</f>
        <v/>
      </c>
      <c r="E5501" s="11" t="str">
        <f aca="false">IF($A5501="","",IF(원본명단!$H5500="",0,COUNTIF(원본명단!$H$3:$H$6002,원본명단!$H5500)))</f>
        <v/>
      </c>
      <c r="F5501" s="11" t="str">
        <f aca="false">IF($A5501="","",IF(원본명단!$I5500="",0,COUNTIF(원본명단!$I$3:$I$6002,원본명단!$I5500)))</f>
        <v/>
      </c>
      <c r="G5501" s="11" t="str">
        <f aca="false">IF($A5501="","",IF(원본명단!$K5500="",0,COUNTIF(원본명단!$K$3:$K$6002,원본명단!$K5500)))</f>
        <v/>
      </c>
      <c r="H5501" s="11" t="str">
        <f aca="false">IF($A5501="","",IF(MAX($E5501,$F5501,$G5501)&gt;1,"중복","-"))</f>
        <v/>
      </c>
      <c r="I5501" s="11" t="str">
        <f aca="false">IF($A5501="","",IF($H5501="-","-",IF(AND(IF(원본명단!$H5500="",TRUE(),COUNTIF(원본명단!$H$3:$H5500,원본명단!$H5500)=1),IF(원본명단!$I5500="",TRUE(),COUNTIF(원본명단!$I$3:$I5500,원본명단!$I5500)=1),IF(원본명단!$K5500="",TRUE(),COUNTIF(원본명단!$K$3:$K5500,원본명단!$K5500)=1)),"첫 건","중복 건")))</f>
        <v/>
      </c>
      <c r="J5501" s="11" t="str">
        <f aca="false">IF($A5501="","",IF($H5501="-","유지",IF($I5501="첫 건","유지","확인 필요")))</f>
        <v/>
      </c>
    </row>
    <row r="5502" customFormat="false" ht="15" hidden="false" customHeight="true" outlineLevel="0" collapsed="false">
      <c r="A5502" s="11" t="str">
        <f aca="false">IF(원본명단!$A5501="","",5499)</f>
        <v/>
      </c>
      <c r="B5502" s="12" t="str">
        <f aca="false">IF($A5502="","",원본명단!$A5501)</f>
        <v/>
      </c>
      <c r="C5502" s="12" t="str">
        <f aca="false">IF($A5502="","",원본명단!$B5501)</f>
        <v/>
      </c>
      <c r="D5502" s="12" t="str">
        <f aca="false">IF($A5502="","",원본명단!$D5501)</f>
        <v/>
      </c>
      <c r="E5502" s="11" t="str">
        <f aca="false">IF($A5502="","",IF(원본명단!$H5501="",0,COUNTIF(원본명단!$H$3:$H$6002,원본명단!$H5501)))</f>
        <v/>
      </c>
      <c r="F5502" s="11" t="str">
        <f aca="false">IF($A5502="","",IF(원본명단!$I5501="",0,COUNTIF(원본명단!$I$3:$I$6002,원본명단!$I5501)))</f>
        <v/>
      </c>
      <c r="G5502" s="11" t="str">
        <f aca="false">IF($A5502="","",IF(원본명단!$K5501="",0,COUNTIF(원본명단!$K$3:$K$6002,원본명단!$K5501)))</f>
        <v/>
      </c>
      <c r="H5502" s="11" t="str">
        <f aca="false">IF($A5502="","",IF(MAX($E5502,$F5502,$G5502)&gt;1,"중복","-"))</f>
        <v/>
      </c>
      <c r="I5502" s="11" t="str">
        <f aca="false">IF($A5502="","",IF($H5502="-","-",IF(AND(IF(원본명단!$H5501="",TRUE(),COUNTIF(원본명단!$H$3:$H5501,원본명단!$H5501)=1),IF(원본명단!$I5501="",TRUE(),COUNTIF(원본명단!$I$3:$I5501,원본명단!$I5501)=1),IF(원본명단!$K5501="",TRUE(),COUNTIF(원본명단!$K$3:$K5501,원본명단!$K5501)=1)),"첫 건","중복 건")))</f>
        <v/>
      </c>
      <c r="J5502" s="11" t="str">
        <f aca="false">IF($A5502="","",IF($H5502="-","유지",IF($I5502="첫 건","유지","확인 필요")))</f>
        <v/>
      </c>
    </row>
    <row r="5503" customFormat="false" ht="15" hidden="false" customHeight="true" outlineLevel="0" collapsed="false">
      <c r="A5503" s="11" t="str">
        <f aca="false">IF(원본명단!$A5502="","",5500)</f>
        <v/>
      </c>
      <c r="B5503" s="12" t="str">
        <f aca="false">IF($A5503="","",원본명단!$A5502)</f>
        <v/>
      </c>
      <c r="C5503" s="12" t="str">
        <f aca="false">IF($A5503="","",원본명단!$B5502)</f>
        <v/>
      </c>
      <c r="D5503" s="12" t="str">
        <f aca="false">IF($A5503="","",원본명단!$D5502)</f>
        <v/>
      </c>
      <c r="E5503" s="11" t="str">
        <f aca="false">IF($A5503="","",IF(원본명단!$H5502="",0,COUNTIF(원본명단!$H$3:$H$6002,원본명단!$H5502)))</f>
        <v/>
      </c>
      <c r="F5503" s="11" t="str">
        <f aca="false">IF($A5503="","",IF(원본명단!$I5502="",0,COUNTIF(원본명단!$I$3:$I$6002,원본명단!$I5502)))</f>
        <v/>
      </c>
      <c r="G5503" s="11" t="str">
        <f aca="false">IF($A5503="","",IF(원본명단!$K5502="",0,COUNTIF(원본명단!$K$3:$K$6002,원본명단!$K5502)))</f>
        <v/>
      </c>
      <c r="H5503" s="11" t="str">
        <f aca="false">IF($A5503="","",IF(MAX($E5503,$F5503,$G5503)&gt;1,"중복","-"))</f>
        <v/>
      </c>
      <c r="I5503" s="11" t="str">
        <f aca="false">IF($A5503="","",IF($H5503="-","-",IF(AND(IF(원본명단!$H5502="",TRUE(),COUNTIF(원본명단!$H$3:$H5502,원본명단!$H5502)=1),IF(원본명단!$I5502="",TRUE(),COUNTIF(원본명단!$I$3:$I5502,원본명단!$I5502)=1),IF(원본명단!$K5502="",TRUE(),COUNTIF(원본명단!$K$3:$K5502,원본명단!$K5502)=1)),"첫 건","중복 건")))</f>
        <v/>
      </c>
      <c r="J5503" s="11" t="str">
        <f aca="false">IF($A5503="","",IF($H5503="-","유지",IF($I5503="첫 건","유지","확인 필요")))</f>
        <v/>
      </c>
    </row>
    <row r="5504" customFormat="false" ht="15" hidden="false" customHeight="true" outlineLevel="0" collapsed="false">
      <c r="A5504" s="11" t="str">
        <f aca="false">IF(원본명단!$A5503="","",5501)</f>
        <v/>
      </c>
      <c r="B5504" s="12" t="str">
        <f aca="false">IF($A5504="","",원본명단!$A5503)</f>
        <v/>
      </c>
      <c r="C5504" s="12" t="str">
        <f aca="false">IF($A5504="","",원본명단!$B5503)</f>
        <v/>
      </c>
      <c r="D5504" s="12" t="str">
        <f aca="false">IF($A5504="","",원본명단!$D5503)</f>
        <v/>
      </c>
      <c r="E5504" s="11" t="str">
        <f aca="false">IF($A5504="","",IF(원본명단!$H5503="",0,COUNTIF(원본명단!$H$3:$H$6002,원본명단!$H5503)))</f>
        <v/>
      </c>
      <c r="F5504" s="11" t="str">
        <f aca="false">IF($A5504="","",IF(원본명단!$I5503="",0,COUNTIF(원본명단!$I$3:$I$6002,원본명단!$I5503)))</f>
        <v/>
      </c>
      <c r="G5504" s="11" t="str">
        <f aca="false">IF($A5504="","",IF(원본명단!$K5503="",0,COUNTIF(원본명단!$K$3:$K$6002,원본명단!$K5503)))</f>
        <v/>
      </c>
      <c r="H5504" s="11" t="str">
        <f aca="false">IF($A5504="","",IF(MAX($E5504,$F5504,$G5504)&gt;1,"중복","-"))</f>
        <v/>
      </c>
      <c r="I5504" s="11" t="str">
        <f aca="false">IF($A5504="","",IF($H5504="-","-",IF(AND(IF(원본명단!$H5503="",TRUE(),COUNTIF(원본명단!$H$3:$H5503,원본명단!$H5503)=1),IF(원본명단!$I5503="",TRUE(),COUNTIF(원본명단!$I$3:$I5503,원본명단!$I5503)=1),IF(원본명단!$K5503="",TRUE(),COUNTIF(원본명단!$K$3:$K5503,원본명단!$K5503)=1)),"첫 건","중복 건")))</f>
        <v/>
      </c>
      <c r="J5504" s="11" t="str">
        <f aca="false">IF($A5504="","",IF($H5504="-","유지",IF($I5504="첫 건","유지","확인 필요")))</f>
        <v/>
      </c>
    </row>
    <row r="5505" customFormat="false" ht="15" hidden="false" customHeight="true" outlineLevel="0" collapsed="false">
      <c r="A5505" s="11" t="str">
        <f aca="false">IF(원본명단!$A5504="","",5502)</f>
        <v/>
      </c>
      <c r="B5505" s="12" t="str">
        <f aca="false">IF($A5505="","",원본명단!$A5504)</f>
        <v/>
      </c>
      <c r="C5505" s="12" t="str">
        <f aca="false">IF($A5505="","",원본명단!$B5504)</f>
        <v/>
      </c>
      <c r="D5505" s="12" t="str">
        <f aca="false">IF($A5505="","",원본명단!$D5504)</f>
        <v/>
      </c>
      <c r="E5505" s="11" t="str">
        <f aca="false">IF($A5505="","",IF(원본명단!$H5504="",0,COUNTIF(원본명단!$H$3:$H$6002,원본명단!$H5504)))</f>
        <v/>
      </c>
      <c r="F5505" s="11" t="str">
        <f aca="false">IF($A5505="","",IF(원본명단!$I5504="",0,COUNTIF(원본명단!$I$3:$I$6002,원본명단!$I5504)))</f>
        <v/>
      </c>
      <c r="G5505" s="11" t="str">
        <f aca="false">IF($A5505="","",IF(원본명단!$K5504="",0,COUNTIF(원본명단!$K$3:$K$6002,원본명단!$K5504)))</f>
        <v/>
      </c>
      <c r="H5505" s="11" t="str">
        <f aca="false">IF($A5505="","",IF(MAX($E5505,$F5505,$G5505)&gt;1,"중복","-"))</f>
        <v/>
      </c>
      <c r="I5505" s="11" t="str">
        <f aca="false">IF($A5505="","",IF($H5505="-","-",IF(AND(IF(원본명단!$H5504="",TRUE(),COUNTIF(원본명단!$H$3:$H5504,원본명단!$H5504)=1),IF(원본명단!$I5504="",TRUE(),COUNTIF(원본명단!$I$3:$I5504,원본명단!$I5504)=1),IF(원본명단!$K5504="",TRUE(),COUNTIF(원본명단!$K$3:$K5504,원본명단!$K5504)=1)),"첫 건","중복 건")))</f>
        <v/>
      </c>
      <c r="J5505" s="11" t="str">
        <f aca="false">IF($A5505="","",IF($H5505="-","유지",IF($I5505="첫 건","유지","확인 필요")))</f>
        <v/>
      </c>
    </row>
    <row r="5506" customFormat="false" ht="15" hidden="false" customHeight="true" outlineLevel="0" collapsed="false">
      <c r="A5506" s="11" t="str">
        <f aca="false">IF(원본명단!$A5505="","",5503)</f>
        <v/>
      </c>
      <c r="B5506" s="12" t="str">
        <f aca="false">IF($A5506="","",원본명단!$A5505)</f>
        <v/>
      </c>
      <c r="C5506" s="12" t="str">
        <f aca="false">IF($A5506="","",원본명단!$B5505)</f>
        <v/>
      </c>
      <c r="D5506" s="12" t="str">
        <f aca="false">IF($A5506="","",원본명단!$D5505)</f>
        <v/>
      </c>
      <c r="E5506" s="11" t="str">
        <f aca="false">IF($A5506="","",IF(원본명단!$H5505="",0,COUNTIF(원본명단!$H$3:$H$6002,원본명단!$H5505)))</f>
        <v/>
      </c>
      <c r="F5506" s="11" t="str">
        <f aca="false">IF($A5506="","",IF(원본명단!$I5505="",0,COUNTIF(원본명단!$I$3:$I$6002,원본명단!$I5505)))</f>
        <v/>
      </c>
      <c r="G5506" s="11" t="str">
        <f aca="false">IF($A5506="","",IF(원본명단!$K5505="",0,COUNTIF(원본명단!$K$3:$K$6002,원본명단!$K5505)))</f>
        <v/>
      </c>
      <c r="H5506" s="11" t="str">
        <f aca="false">IF($A5506="","",IF(MAX($E5506,$F5506,$G5506)&gt;1,"중복","-"))</f>
        <v/>
      </c>
      <c r="I5506" s="11" t="str">
        <f aca="false">IF($A5506="","",IF($H5506="-","-",IF(AND(IF(원본명단!$H5505="",TRUE(),COUNTIF(원본명단!$H$3:$H5505,원본명단!$H5505)=1),IF(원본명단!$I5505="",TRUE(),COUNTIF(원본명단!$I$3:$I5505,원본명단!$I5505)=1),IF(원본명단!$K5505="",TRUE(),COUNTIF(원본명단!$K$3:$K5505,원본명단!$K5505)=1)),"첫 건","중복 건")))</f>
        <v/>
      </c>
      <c r="J5506" s="11" t="str">
        <f aca="false">IF($A5506="","",IF($H5506="-","유지",IF($I5506="첫 건","유지","확인 필요")))</f>
        <v/>
      </c>
    </row>
    <row r="5507" customFormat="false" ht="15" hidden="false" customHeight="true" outlineLevel="0" collapsed="false">
      <c r="A5507" s="11" t="str">
        <f aca="false">IF(원본명단!$A5506="","",5504)</f>
        <v/>
      </c>
      <c r="B5507" s="12" t="str">
        <f aca="false">IF($A5507="","",원본명단!$A5506)</f>
        <v/>
      </c>
      <c r="C5507" s="12" t="str">
        <f aca="false">IF($A5507="","",원본명단!$B5506)</f>
        <v/>
      </c>
      <c r="D5507" s="12" t="str">
        <f aca="false">IF($A5507="","",원본명단!$D5506)</f>
        <v/>
      </c>
      <c r="E5507" s="11" t="str">
        <f aca="false">IF($A5507="","",IF(원본명단!$H5506="",0,COUNTIF(원본명단!$H$3:$H$6002,원본명단!$H5506)))</f>
        <v/>
      </c>
      <c r="F5507" s="11" t="str">
        <f aca="false">IF($A5507="","",IF(원본명단!$I5506="",0,COUNTIF(원본명단!$I$3:$I$6002,원본명단!$I5506)))</f>
        <v/>
      </c>
      <c r="G5507" s="11" t="str">
        <f aca="false">IF($A5507="","",IF(원본명단!$K5506="",0,COUNTIF(원본명단!$K$3:$K$6002,원본명단!$K5506)))</f>
        <v/>
      </c>
      <c r="H5507" s="11" t="str">
        <f aca="false">IF($A5507="","",IF(MAX($E5507,$F5507,$G5507)&gt;1,"중복","-"))</f>
        <v/>
      </c>
      <c r="I5507" s="11" t="str">
        <f aca="false">IF($A5507="","",IF($H5507="-","-",IF(AND(IF(원본명단!$H5506="",TRUE(),COUNTIF(원본명단!$H$3:$H5506,원본명단!$H5506)=1),IF(원본명단!$I5506="",TRUE(),COUNTIF(원본명단!$I$3:$I5506,원본명단!$I5506)=1),IF(원본명단!$K5506="",TRUE(),COUNTIF(원본명단!$K$3:$K5506,원본명단!$K5506)=1)),"첫 건","중복 건")))</f>
        <v/>
      </c>
      <c r="J5507" s="11" t="str">
        <f aca="false">IF($A5507="","",IF($H5507="-","유지",IF($I5507="첫 건","유지","확인 필요")))</f>
        <v/>
      </c>
    </row>
    <row r="5508" customFormat="false" ht="15" hidden="false" customHeight="true" outlineLevel="0" collapsed="false">
      <c r="A5508" s="11" t="str">
        <f aca="false">IF(원본명단!$A5507="","",5505)</f>
        <v/>
      </c>
      <c r="B5508" s="12" t="str">
        <f aca="false">IF($A5508="","",원본명단!$A5507)</f>
        <v/>
      </c>
      <c r="C5508" s="12" t="str">
        <f aca="false">IF($A5508="","",원본명단!$B5507)</f>
        <v/>
      </c>
      <c r="D5508" s="12" t="str">
        <f aca="false">IF($A5508="","",원본명단!$D5507)</f>
        <v/>
      </c>
      <c r="E5508" s="11" t="str">
        <f aca="false">IF($A5508="","",IF(원본명단!$H5507="",0,COUNTIF(원본명단!$H$3:$H$6002,원본명단!$H5507)))</f>
        <v/>
      </c>
      <c r="F5508" s="11" t="str">
        <f aca="false">IF($A5508="","",IF(원본명단!$I5507="",0,COUNTIF(원본명단!$I$3:$I$6002,원본명단!$I5507)))</f>
        <v/>
      </c>
      <c r="G5508" s="11" t="str">
        <f aca="false">IF($A5508="","",IF(원본명단!$K5507="",0,COUNTIF(원본명단!$K$3:$K$6002,원본명단!$K5507)))</f>
        <v/>
      </c>
      <c r="H5508" s="11" t="str">
        <f aca="false">IF($A5508="","",IF(MAX($E5508,$F5508,$G5508)&gt;1,"중복","-"))</f>
        <v/>
      </c>
      <c r="I5508" s="11" t="str">
        <f aca="false">IF($A5508="","",IF($H5508="-","-",IF(AND(IF(원본명단!$H5507="",TRUE(),COUNTIF(원본명단!$H$3:$H5507,원본명단!$H5507)=1),IF(원본명단!$I5507="",TRUE(),COUNTIF(원본명단!$I$3:$I5507,원본명단!$I5507)=1),IF(원본명단!$K5507="",TRUE(),COUNTIF(원본명단!$K$3:$K5507,원본명단!$K5507)=1)),"첫 건","중복 건")))</f>
        <v/>
      </c>
      <c r="J5508" s="11" t="str">
        <f aca="false">IF($A5508="","",IF($H5508="-","유지",IF($I5508="첫 건","유지","확인 필요")))</f>
        <v/>
      </c>
    </row>
    <row r="5509" customFormat="false" ht="15" hidden="false" customHeight="true" outlineLevel="0" collapsed="false">
      <c r="A5509" s="11" t="str">
        <f aca="false">IF(원본명단!$A5508="","",5506)</f>
        <v/>
      </c>
      <c r="B5509" s="12" t="str">
        <f aca="false">IF($A5509="","",원본명단!$A5508)</f>
        <v/>
      </c>
      <c r="C5509" s="12" t="str">
        <f aca="false">IF($A5509="","",원본명단!$B5508)</f>
        <v/>
      </c>
      <c r="D5509" s="12" t="str">
        <f aca="false">IF($A5509="","",원본명단!$D5508)</f>
        <v/>
      </c>
      <c r="E5509" s="11" t="str">
        <f aca="false">IF($A5509="","",IF(원본명단!$H5508="",0,COUNTIF(원본명단!$H$3:$H$6002,원본명단!$H5508)))</f>
        <v/>
      </c>
      <c r="F5509" s="11" t="str">
        <f aca="false">IF($A5509="","",IF(원본명단!$I5508="",0,COUNTIF(원본명단!$I$3:$I$6002,원본명단!$I5508)))</f>
        <v/>
      </c>
      <c r="G5509" s="11" t="str">
        <f aca="false">IF($A5509="","",IF(원본명단!$K5508="",0,COUNTIF(원본명단!$K$3:$K$6002,원본명단!$K5508)))</f>
        <v/>
      </c>
      <c r="H5509" s="11" t="str">
        <f aca="false">IF($A5509="","",IF(MAX($E5509,$F5509,$G5509)&gt;1,"중복","-"))</f>
        <v/>
      </c>
      <c r="I5509" s="11" t="str">
        <f aca="false">IF($A5509="","",IF($H5509="-","-",IF(AND(IF(원본명단!$H5508="",TRUE(),COUNTIF(원본명단!$H$3:$H5508,원본명단!$H5508)=1),IF(원본명단!$I5508="",TRUE(),COUNTIF(원본명단!$I$3:$I5508,원본명단!$I5508)=1),IF(원본명단!$K5508="",TRUE(),COUNTIF(원본명단!$K$3:$K5508,원본명단!$K5508)=1)),"첫 건","중복 건")))</f>
        <v/>
      </c>
      <c r="J5509" s="11" t="str">
        <f aca="false">IF($A5509="","",IF($H5509="-","유지",IF($I5509="첫 건","유지","확인 필요")))</f>
        <v/>
      </c>
    </row>
    <row r="5510" customFormat="false" ht="15" hidden="false" customHeight="true" outlineLevel="0" collapsed="false">
      <c r="A5510" s="11" t="str">
        <f aca="false">IF(원본명단!$A5509="","",5507)</f>
        <v/>
      </c>
      <c r="B5510" s="12" t="str">
        <f aca="false">IF($A5510="","",원본명단!$A5509)</f>
        <v/>
      </c>
      <c r="C5510" s="12" t="str">
        <f aca="false">IF($A5510="","",원본명단!$B5509)</f>
        <v/>
      </c>
      <c r="D5510" s="12" t="str">
        <f aca="false">IF($A5510="","",원본명단!$D5509)</f>
        <v/>
      </c>
      <c r="E5510" s="11" t="str">
        <f aca="false">IF($A5510="","",IF(원본명단!$H5509="",0,COUNTIF(원본명단!$H$3:$H$6002,원본명단!$H5509)))</f>
        <v/>
      </c>
      <c r="F5510" s="11" t="str">
        <f aca="false">IF($A5510="","",IF(원본명단!$I5509="",0,COUNTIF(원본명단!$I$3:$I$6002,원본명단!$I5509)))</f>
        <v/>
      </c>
      <c r="G5510" s="11" t="str">
        <f aca="false">IF($A5510="","",IF(원본명단!$K5509="",0,COUNTIF(원본명단!$K$3:$K$6002,원본명단!$K5509)))</f>
        <v/>
      </c>
      <c r="H5510" s="11" t="str">
        <f aca="false">IF($A5510="","",IF(MAX($E5510,$F5510,$G5510)&gt;1,"중복","-"))</f>
        <v/>
      </c>
      <c r="I5510" s="11" t="str">
        <f aca="false">IF($A5510="","",IF($H5510="-","-",IF(AND(IF(원본명단!$H5509="",TRUE(),COUNTIF(원본명단!$H$3:$H5509,원본명단!$H5509)=1),IF(원본명단!$I5509="",TRUE(),COUNTIF(원본명단!$I$3:$I5509,원본명단!$I5509)=1),IF(원본명단!$K5509="",TRUE(),COUNTIF(원본명단!$K$3:$K5509,원본명단!$K5509)=1)),"첫 건","중복 건")))</f>
        <v/>
      </c>
      <c r="J5510" s="11" t="str">
        <f aca="false">IF($A5510="","",IF($H5510="-","유지",IF($I5510="첫 건","유지","확인 필요")))</f>
        <v/>
      </c>
    </row>
    <row r="5511" customFormat="false" ht="15" hidden="false" customHeight="true" outlineLevel="0" collapsed="false">
      <c r="A5511" s="11" t="str">
        <f aca="false">IF(원본명단!$A5510="","",5508)</f>
        <v/>
      </c>
      <c r="B5511" s="12" t="str">
        <f aca="false">IF($A5511="","",원본명단!$A5510)</f>
        <v/>
      </c>
      <c r="C5511" s="12" t="str">
        <f aca="false">IF($A5511="","",원본명단!$B5510)</f>
        <v/>
      </c>
      <c r="D5511" s="12" t="str">
        <f aca="false">IF($A5511="","",원본명단!$D5510)</f>
        <v/>
      </c>
      <c r="E5511" s="11" t="str">
        <f aca="false">IF($A5511="","",IF(원본명단!$H5510="",0,COUNTIF(원본명단!$H$3:$H$6002,원본명단!$H5510)))</f>
        <v/>
      </c>
      <c r="F5511" s="11" t="str">
        <f aca="false">IF($A5511="","",IF(원본명단!$I5510="",0,COUNTIF(원본명단!$I$3:$I$6002,원본명단!$I5510)))</f>
        <v/>
      </c>
      <c r="G5511" s="11" t="str">
        <f aca="false">IF($A5511="","",IF(원본명단!$K5510="",0,COUNTIF(원본명단!$K$3:$K$6002,원본명단!$K5510)))</f>
        <v/>
      </c>
      <c r="H5511" s="11" t="str">
        <f aca="false">IF($A5511="","",IF(MAX($E5511,$F5511,$G5511)&gt;1,"중복","-"))</f>
        <v/>
      </c>
      <c r="I5511" s="11" t="str">
        <f aca="false">IF($A5511="","",IF($H5511="-","-",IF(AND(IF(원본명단!$H5510="",TRUE(),COUNTIF(원본명단!$H$3:$H5510,원본명단!$H5510)=1),IF(원본명단!$I5510="",TRUE(),COUNTIF(원본명단!$I$3:$I5510,원본명단!$I5510)=1),IF(원본명단!$K5510="",TRUE(),COUNTIF(원본명단!$K$3:$K5510,원본명단!$K5510)=1)),"첫 건","중복 건")))</f>
        <v/>
      </c>
      <c r="J5511" s="11" t="str">
        <f aca="false">IF($A5511="","",IF($H5511="-","유지",IF($I5511="첫 건","유지","확인 필요")))</f>
        <v/>
      </c>
    </row>
    <row r="5512" customFormat="false" ht="15" hidden="false" customHeight="true" outlineLevel="0" collapsed="false">
      <c r="A5512" s="11" t="str">
        <f aca="false">IF(원본명단!$A5511="","",5509)</f>
        <v/>
      </c>
      <c r="B5512" s="12" t="str">
        <f aca="false">IF($A5512="","",원본명단!$A5511)</f>
        <v/>
      </c>
      <c r="C5512" s="12" t="str">
        <f aca="false">IF($A5512="","",원본명단!$B5511)</f>
        <v/>
      </c>
      <c r="D5512" s="12" t="str">
        <f aca="false">IF($A5512="","",원본명단!$D5511)</f>
        <v/>
      </c>
      <c r="E5512" s="11" t="str">
        <f aca="false">IF($A5512="","",IF(원본명단!$H5511="",0,COUNTIF(원본명단!$H$3:$H$6002,원본명단!$H5511)))</f>
        <v/>
      </c>
      <c r="F5512" s="11" t="str">
        <f aca="false">IF($A5512="","",IF(원본명단!$I5511="",0,COUNTIF(원본명단!$I$3:$I$6002,원본명단!$I5511)))</f>
        <v/>
      </c>
      <c r="G5512" s="11" t="str">
        <f aca="false">IF($A5512="","",IF(원본명단!$K5511="",0,COUNTIF(원본명단!$K$3:$K$6002,원본명단!$K5511)))</f>
        <v/>
      </c>
      <c r="H5512" s="11" t="str">
        <f aca="false">IF($A5512="","",IF(MAX($E5512,$F5512,$G5512)&gt;1,"중복","-"))</f>
        <v/>
      </c>
      <c r="I5512" s="11" t="str">
        <f aca="false">IF($A5512="","",IF($H5512="-","-",IF(AND(IF(원본명단!$H5511="",TRUE(),COUNTIF(원본명단!$H$3:$H5511,원본명단!$H5511)=1),IF(원본명단!$I5511="",TRUE(),COUNTIF(원본명단!$I$3:$I5511,원본명단!$I5511)=1),IF(원본명단!$K5511="",TRUE(),COUNTIF(원본명단!$K$3:$K5511,원본명단!$K5511)=1)),"첫 건","중복 건")))</f>
        <v/>
      </c>
      <c r="J5512" s="11" t="str">
        <f aca="false">IF($A5512="","",IF($H5512="-","유지",IF($I5512="첫 건","유지","확인 필요")))</f>
        <v/>
      </c>
    </row>
    <row r="5513" customFormat="false" ht="15" hidden="false" customHeight="true" outlineLevel="0" collapsed="false">
      <c r="A5513" s="11" t="str">
        <f aca="false">IF(원본명단!$A5512="","",5510)</f>
        <v/>
      </c>
      <c r="B5513" s="12" t="str">
        <f aca="false">IF($A5513="","",원본명단!$A5512)</f>
        <v/>
      </c>
      <c r="C5513" s="12" t="str">
        <f aca="false">IF($A5513="","",원본명단!$B5512)</f>
        <v/>
      </c>
      <c r="D5513" s="12" t="str">
        <f aca="false">IF($A5513="","",원본명단!$D5512)</f>
        <v/>
      </c>
      <c r="E5513" s="11" t="str">
        <f aca="false">IF($A5513="","",IF(원본명단!$H5512="",0,COUNTIF(원본명단!$H$3:$H$6002,원본명단!$H5512)))</f>
        <v/>
      </c>
      <c r="F5513" s="11" t="str">
        <f aca="false">IF($A5513="","",IF(원본명단!$I5512="",0,COUNTIF(원본명단!$I$3:$I$6002,원본명단!$I5512)))</f>
        <v/>
      </c>
      <c r="G5513" s="11" t="str">
        <f aca="false">IF($A5513="","",IF(원본명단!$K5512="",0,COUNTIF(원본명단!$K$3:$K$6002,원본명단!$K5512)))</f>
        <v/>
      </c>
      <c r="H5513" s="11" t="str">
        <f aca="false">IF($A5513="","",IF(MAX($E5513,$F5513,$G5513)&gt;1,"중복","-"))</f>
        <v/>
      </c>
      <c r="I5513" s="11" t="str">
        <f aca="false">IF($A5513="","",IF($H5513="-","-",IF(AND(IF(원본명단!$H5512="",TRUE(),COUNTIF(원본명단!$H$3:$H5512,원본명단!$H5512)=1),IF(원본명단!$I5512="",TRUE(),COUNTIF(원본명단!$I$3:$I5512,원본명단!$I5512)=1),IF(원본명단!$K5512="",TRUE(),COUNTIF(원본명단!$K$3:$K5512,원본명단!$K5512)=1)),"첫 건","중복 건")))</f>
        <v/>
      </c>
      <c r="J5513" s="11" t="str">
        <f aca="false">IF($A5513="","",IF($H5513="-","유지",IF($I5513="첫 건","유지","확인 필요")))</f>
        <v/>
      </c>
    </row>
    <row r="5514" customFormat="false" ht="15" hidden="false" customHeight="true" outlineLevel="0" collapsed="false">
      <c r="A5514" s="11" t="str">
        <f aca="false">IF(원본명단!$A5513="","",5511)</f>
        <v/>
      </c>
      <c r="B5514" s="12" t="str">
        <f aca="false">IF($A5514="","",원본명단!$A5513)</f>
        <v/>
      </c>
      <c r="C5514" s="12" t="str">
        <f aca="false">IF($A5514="","",원본명단!$B5513)</f>
        <v/>
      </c>
      <c r="D5514" s="12" t="str">
        <f aca="false">IF($A5514="","",원본명단!$D5513)</f>
        <v/>
      </c>
      <c r="E5514" s="11" t="str">
        <f aca="false">IF($A5514="","",IF(원본명단!$H5513="",0,COUNTIF(원본명단!$H$3:$H$6002,원본명단!$H5513)))</f>
        <v/>
      </c>
      <c r="F5514" s="11" t="str">
        <f aca="false">IF($A5514="","",IF(원본명단!$I5513="",0,COUNTIF(원본명단!$I$3:$I$6002,원본명단!$I5513)))</f>
        <v/>
      </c>
      <c r="G5514" s="11" t="str">
        <f aca="false">IF($A5514="","",IF(원본명단!$K5513="",0,COUNTIF(원본명단!$K$3:$K$6002,원본명단!$K5513)))</f>
        <v/>
      </c>
      <c r="H5514" s="11" t="str">
        <f aca="false">IF($A5514="","",IF(MAX($E5514,$F5514,$G5514)&gt;1,"중복","-"))</f>
        <v/>
      </c>
      <c r="I5514" s="11" t="str">
        <f aca="false">IF($A5514="","",IF($H5514="-","-",IF(AND(IF(원본명단!$H5513="",TRUE(),COUNTIF(원본명단!$H$3:$H5513,원본명단!$H5513)=1),IF(원본명단!$I5513="",TRUE(),COUNTIF(원본명단!$I$3:$I5513,원본명단!$I5513)=1),IF(원본명단!$K5513="",TRUE(),COUNTIF(원본명단!$K$3:$K5513,원본명단!$K5513)=1)),"첫 건","중복 건")))</f>
        <v/>
      </c>
      <c r="J5514" s="11" t="str">
        <f aca="false">IF($A5514="","",IF($H5514="-","유지",IF($I5514="첫 건","유지","확인 필요")))</f>
        <v/>
      </c>
    </row>
    <row r="5515" customFormat="false" ht="15" hidden="false" customHeight="true" outlineLevel="0" collapsed="false">
      <c r="A5515" s="11" t="str">
        <f aca="false">IF(원본명단!$A5514="","",5512)</f>
        <v/>
      </c>
      <c r="B5515" s="12" t="str">
        <f aca="false">IF($A5515="","",원본명단!$A5514)</f>
        <v/>
      </c>
      <c r="C5515" s="12" t="str">
        <f aca="false">IF($A5515="","",원본명단!$B5514)</f>
        <v/>
      </c>
      <c r="D5515" s="12" t="str">
        <f aca="false">IF($A5515="","",원본명단!$D5514)</f>
        <v/>
      </c>
      <c r="E5515" s="11" t="str">
        <f aca="false">IF($A5515="","",IF(원본명단!$H5514="",0,COUNTIF(원본명단!$H$3:$H$6002,원본명단!$H5514)))</f>
        <v/>
      </c>
      <c r="F5515" s="11" t="str">
        <f aca="false">IF($A5515="","",IF(원본명단!$I5514="",0,COUNTIF(원본명단!$I$3:$I$6002,원본명단!$I5514)))</f>
        <v/>
      </c>
      <c r="G5515" s="11" t="str">
        <f aca="false">IF($A5515="","",IF(원본명단!$K5514="",0,COUNTIF(원본명단!$K$3:$K$6002,원본명단!$K5514)))</f>
        <v/>
      </c>
      <c r="H5515" s="11" t="str">
        <f aca="false">IF($A5515="","",IF(MAX($E5515,$F5515,$G5515)&gt;1,"중복","-"))</f>
        <v/>
      </c>
      <c r="I5515" s="11" t="str">
        <f aca="false">IF($A5515="","",IF($H5515="-","-",IF(AND(IF(원본명단!$H5514="",TRUE(),COUNTIF(원본명단!$H$3:$H5514,원본명단!$H5514)=1),IF(원본명단!$I5514="",TRUE(),COUNTIF(원본명단!$I$3:$I5514,원본명단!$I5514)=1),IF(원본명단!$K5514="",TRUE(),COUNTIF(원본명단!$K$3:$K5514,원본명단!$K5514)=1)),"첫 건","중복 건")))</f>
        <v/>
      </c>
      <c r="J5515" s="11" t="str">
        <f aca="false">IF($A5515="","",IF($H5515="-","유지",IF($I5515="첫 건","유지","확인 필요")))</f>
        <v/>
      </c>
    </row>
    <row r="5516" customFormat="false" ht="15" hidden="false" customHeight="true" outlineLevel="0" collapsed="false">
      <c r="A5516" s="11" t="str">
        <f aca="false">IF(원본명단!$A5515="","",5513)</f>
        <v/>
      </c>
      <c r="B5516" s="12" t="str">
        <f aca="false">IF($A5516="","",원본명단!$A5515)</f>
        <v/>
      </c>
      <c r="C5516" s="12" t="str">
        <f aca="false">IF($A5516="","",원본명단!$B5515)</f>
        <v/>
      </c>
      <c r="D5516" s="12" t="str">
        <f aca="false">IF($A5516="","",원본명단!$D5515)</f>
        <v/>
      </c>
      <c r="E5516" s="11" t="str">
        <f aca="false">IF($A5516="","",IF(원본명단!$H5515="",0,COUNTIF(원본명단!$H$3:$H$6002,원본명단!$H5515)))</f>
        <v/>
      </c>
      <c r="F5516" s="11" t="str">
        <f aca="false">IF($A5516="","",IF(원본명단!$I5515="",0,COUNTIF(원본명단!$I$3:$I$6002,원본명단!$I5515)))</f>
        <v/>
      </c>
      <c r="G5516" s="11" t="str">
        <f aca="false">IF($A5516="","",IF(원본명단!$K5515="",0,COUNTIF(원본명단!$K$3:$K$6002,원본명단!$K5515)))</f>
        <v/>
      </c>
      <c r="H5516" s="11" t="str">
        <f aca="false">IF($A5516="","",IF(MAX($E5516,$F5516,$G5516)&gt;1,"중복","-"))</f>
        <v/>
      </c>
      <c r="I5516" s="11" t="str">
        <f aca="false">IF($A5516="","",IF($H5516="-","-",IF(AND(IF(원본명단!$H5515="",TRUE(),COUNTIF(원본명단!$H$3:$H5515,원본명단!$H5515)=1),IF(원본명단!$I5515="",TRUE(),COUNTIF(원본명단!$I$3:$I5515,원본명단!$I5515)=1),IF(원본명단!$K5515="",TRUE(),COUNTIF(원본명단!$K$3:$K5515,원본명단!$K5515)=1)),"첫 건","중복 건")))</f>
        <v/>
      </c>
      <c r="J5516" s="11" t="str">
        <f aca="false">IF($A5516="","",IF($H5516="-","유지",IF($I5516="첫 건","유지","확인 필요")))</f>
        <v/>
      </c>
    </row>
    <row r="5517" customFormat="false" ht="15" hidden="false" customHeight="true" outlineLevel="0" collapsed="false">
      <c r="A5517" s="11" t="str">
        <f aca="false">IF(원본명단!$A5516="","",5514)</f>
        <v/>
      </c>
      <c r="B5517" s="12" t="str">
        <f aca="false">IF($A5517="","",원본명단!$A5516)</f>
        <v/>
      </c>
      <c r="C5517" s="12" t="str">
        <f aca="false">IF($A5517="","",원본명단!$B5516)</f>
        <v/>
      </c>
      <c r="D5517" s="12" t="str">
        <f aca="false">IF($A5517="","",원본명단!$D5516)</f>
        <v/>
      </c>
      <c r="E5517" s="11" t="str">
        <f aca="false">IF($A5517="","",IF(원본명단!$H5516="",0,COUNTIF(원본명단!$H$3:$H$6002,원본명단!$H5516)))</f>
        <v/>
      </c>
      <c r="F5517" s="11" t="str">
        <f aca="false">IF($A5517="","",IF(원본명단!$I5516="",0,COUNTIF(원본명단!$I$3:$I$6002,원본명단!$I5516)))</f>
        <v/>
      </c>
      <c r="G5517" s="11" t="str">
        <f aca="false">IF($A5517="","",IF(원본명단!$K5516="",0,COUNTIF(원본명단!$K$3:$K$6002,원본명단!$K5516)))</f>
        <v/>
      </c>
      <c r="H5517" s="11" t="str">
        <f aca="false">IF($A5517="","",IF(MAX($E5517,$F5517,$G5517)&gt;1,"중복","-"))</f>
        <v/>
      </c>
      <c r="I5517" s="11" t="str">
        <f aca="false">IF($A5517="","",IF($H5517="-","-",IF(AND(IF(원본명단!$H5516="",TRUE(),COUNTIF(원본명단!$H$3:$H5516,원본명단!$H5516)=1),IF(원본명단!$I5516="",TRUE(),COUNTIF(원본명단!$I$3:$I5516,원본명단!$I5516)=1),IF(원본명단!$K5516="",TRUE(),COUNTIF(원본명단!$K$3:$K5516,원본명단!$K5516)=1)),"첫 건","중복 건")))</f>
        <v/>
      </c>
      <c r="J5517" s="11" t="str">
        <f aca="false">IF($A5517="","",IF($H5517="-","유지",IF($I5517="첫 건","유지","확인 필요")))</f>
        <v/>
      </c>
    </row>
    <row r="5518" customFormat="false" ht="15" hidden="false" customHeight="true" outlineLevel="0" collapsed="false">
      <c r="A5518" s="11" t="str">
        <f aca="false">IF(원본명단!$A5517="","",5515)</f>
        <v/>
      </c>
      <c r="B5518" s="12" t="str">
        <f aca="false">IF($A5518="","",원본명단!$A5517)</f>
        <v/>
      </c>
      <c r="C5518" s="12" t="str">
        <f aca="false">IF($A5518="","",원본명단!$B5517)</f>
        <v/>
      </c>
      <c r="D5518" s="12" t="str">
        <f aca="false">IF($A5518="","",원본명단!$D5517)</f>
        <v/>
      </c>
      <c r="E5518" s="11" t="str">
        <f aca="false">IF($A5518="","",IF(원본명단!$H5517="",0,COUNTIF(원본명단!$H$3:$H$6002,원본명단!$H5517)))</f>
        <v/>
      </c>
      <c r="F5518" s="11" t="str">
        <f aca="false">IF($A5518="","",IF(원본명단!$I5517="",0,COUNTIF(원본명단!$I$3:$I$6002,원본명단!$I5517)))</f>
        <v/>
      </c>
      <c r="G5518" s="11" t="str">
        <f aca="false">IF($A5518="","",IF(원본명단!$K5517="",0,COUNTIF(원본명단!$K$3:$K$6002,원본명단!$K5517)))</f>
        <v/>
      </c>
      <c r="H5518" s="11" t="str">
        <f aca="false">IF($A5518="","",IF(MAX($E5518,$F5518,$G5518)&gt;1,"중복","-"))</f>
        <v/>
      </c>
      <c r="I5518" s="11" t="str">
        <f aca="false">IF($A5518="","",IF($H5518="-","-",IF(AND(IF(원본명단!$H5517="",TRUE(),COUNTIF(원본명단!$H$3:$H5517,원본명단!$H5517)=1),IF(원본명단!$I5517="",TRUE(),COUNTIF(원본명단!$I$3:$I5517,원본명단!$I5517)=1),IF(원본명단!$K5517="",TRUE(),COUNTIF(원본명단!$K$3:$K5517,원본명단!$K5517)=1)),"첫 건","중복 건")))</f>
        <v/>
      </c>
      <c r="J5518" s="11" t="str">
        <f aca="false">IF($A5518="","",IF($H5518="-","유지",IF($I5518="첫 건","유지","확인 필요")))</f>
        <v/>
      </c>
    </row>
    <row r="5519" customFormat="false" ht="15" hidden="false" customHeight="true" outlineLevel="0" collapsed="false">
      <c r="A5519" s="11" t="str">
        <f aca="false">IF(원본명단!$A5518="","",5516)</f>
        <v/>
      </c>
      <c r="B5519" s="12" t="str">
        <f aca="false">IF($A5519="","",원본명단!$A5518)</f>
        <v/>
      </c>
      <c r="C5519" s="12" t="str">
        <f aca="false">IF($A5519="","",원본명단!$B5518)</f>
        <v/>
      </c>
      <c r="D5519" s="12" t="str">
        <f aca="false">IF($A5519="","",원본명단!$D5518)</f>
        <v/>
      </c>
      <c r="E5519" s="11" t="str">
        <f aca="false">IF($A5519="","",IF(원본명단!$H5518="",0,COUNTIF(원본명단!$H$3:$H$6002,원본명단!$H5518)))</f>
        <v/>
      </c>
      <c r="F5519" s="11" t="str">
        <f aca="false">IF($A5519="","",IF(원본명단!$I5518="",0,COUNTIF(원본명단!$I$3:$I$6002,원본명단!$I5518)))</f>
        <v/>
      </c>
      <c r="G5519" s="11" t="str">
        <f aca="false">IF($A5519="","",IF(원본명단!$K5518="",0,COUNTIF(원본명단!$K$3:$K$6002,원본명단!$K5518)))</f>
        <v/>
      </c>
      <c r="H5519" s="11" t="str">
        <f aca="false">IF($A5519="","",IF(MAX($E5519,$F5519,$G5519)&gt;1,"중복","-"))</f>
        <v/>
      </c>
      <c r="I5519" s="11" t="str">
        <f aca="false">IF($A5519="","",IF($H5519="-","-",IF(AND(IF(원본명단!$H5518="",TRUE(),COUNTIF(원본명단!$H$3:$H5518,원본명단!$H5518)=1),IF(원본명단!$I5518="",TRUE(),COUNTIF(원본명단!$I$3:$I5518,원본명단!$I5518)=1),IF(원본명단!$K5518="",TRUE(),COUNTIF(원본명단!$K$3:$K5518,원본명단!$K5518)=1)),"첫 건","중복 건")))</f>
        <v/>
      </c>
      <c r="J5519" s="11" t="str">
        <f aca="false">IF($A5519="","",IF($H5519="-","유지",IF($I5519="첫 건","유지","확인 필요")))</f>
        <v/>
      </c>
    </row>
    <row r="5520" customFormat="false" ht="15" hidden="false" customHeight="true" outlineLevel="0" collapsed="false">
      <c r="A5520" s="11" t="str">
        <f aca="false">IF(원본명단!$A5519="","",5517)</f>
        <v/>
      </c>
      <c r="B5520" s="12" t="str">
        <f aca="false">IF($A5520="","",원본명단!$A5519)</f>
        <v/>
      </c>
      <c r="C5520" s="12" t="str">
        <f aca="false">IF($A5520="","",원본명단!$B5519)</f>
        <v/>
      </c>
      <c r="D5520" s="12" t="str">
        <f aca="false">IF($A5520="","",원본명단!$D5519)</f>
        <v/>
      </c>
      <c r="E5520" s="11" t="str">
        <f aca="false">IF($A5520="","",IF(원본명단!$H5519="",0,COUNTIF(원본명단!$H$3:$H$6002,원본명단!$H5519)))</f>
        <v/>
      </c>
      <c r="F5520" s="11" t="str">
        <f aca="false">IF($A5520="","",IF(원본명단!$I5519="",0,COUNTIF(원본명단!$I$3:$I$6002,원본명단!$I5519)))</f>
        <v/>
      </c>
      <c r="G5520" s="11" t="str">
        <f aca="false">IF($A5520="","",IF(원본명단!$K5519="",0,COUNTIF(원본명단!$K$3:$K$6002,원본명단!$K5519)))</f>
        <v/>
      </c>
      <c r="H5520" s="11" t="str">
        <f aca="false">IF($A5520="","",IF(MAX($E5520,$F5520,$G5520)&gt;1,"중복","-"))</f>
        <v/>
      </c>
      <c r="I5520" s="11" t="str">
        <f aca="false">IF($A5520="","",IF($H5520="-","-",IF(AND(IF(원본명단!$H5519="",TRUE(),COUNTIF(원본명단!$H$3:$H5519,원본명단!$H5519)=1),IF(원본명단!$I5519="",TRUE(),COUNTIF(원본명단!$I$3:$I5519,원본명단!$I5519)=1),IF(원본명단!$K5519="",TRUE(),COUNTIF(원본명단!$K$3:$K5519,원본명단!$K5519)=1)),"첫 건","중복 건")))</f>
        <v/>
      </c>
      <c r="J5520" s="11" t="str">
        <f aca="false">IF($A5520="","",IF($H5520="-","유지",IF($I5520="첫 건","유지","확인 필요")))</f>
        <v/>
      </c>
    </row>
    <row r="5521" customFormat="false" ht="15" hidden="false" customHeight="true" outlineLevel="0" collapsed="false">
      <c r="A5521" s="11" t="str">
        <f aca="false">IF(원본명단!$A5520="","",5518)</f>
        <v/>
      </c>
      <c r="B5521" s="12" t="str">
        <f aca="false">IF($A5521="","",원본명단!$A5520)</f>
        <v/>
      </c>
      <c r="C5521" s="12" t="str">
        <f aca="false">IF($A5521="","",원본명단!$B5520)</f>
        <v/>
      </c>
      <c r="D5521" s="12" t="str">
        <f aca="false">IF($A5521="","",원본명단!$D5520)</f>
        <v/>
      </c>
      <c r="E5521" s="11" t="str">
        <f aca="false">IF($A5521="","",IF(원본명단!$H5520="",0,COUNTIF(원본명단!$H$3:$H$6002,원본명단!$H5520)))</f>
        <v/>
      </c>
      <c r="F5521" s="11" t="str">
        <f aca="false">IF($A5521="","",IF(원본명단!$I5520="",0,COUNTIF(원본명단!$I$3:$I$6002,원본명단!$I5520)))</f>
        <v/>
      </c>
      <c r="G5521" s="11" t="str">
        <f aca="false">IF($A5521="","",IF(원본명단!$K5520="",0,COUNTIF(원본명단!$K$3:$K$6002,원본명단!$K5520)))</f>
        <v/>
      </c>
      <c r="H5521" s="11" t="str">
        <f aca="false">IF($A5521="","",IF(MAX($E5521,$F5521,$G5521)&gt;1,"중복","-"))</f>
        <v/>
      </c>
      <c r="I5521" s="11" t="str">
        <f aca="false">IF($A5521="","",IF($H5521="-","-",IF(AND(IF(원본명단!$H5520="",TRUE(),COUNTIF(원본명단!$H$3:$H5520,원본명단!$H5520)=1),IF(원본명단!$I5520="",TRUE(),COUNTIF(원본명단!$I$3:$I5520,원본명단!$I5520)=1),IF(원본명단!$K5520="",TRUE(),COUNTIF(원본명단!$K$3:$K5520,원본명단!$K5520)=1)),"첫 건","중복 건")))</f>
        <v/>
      </c>
      <c r="J5521" s="11" t="str">
        <f aca="false">IF($A5521="","",IF($H5521="-","유지",IF($I5521="첫 건","유지","확인 필요")))</f>
        <v/>
      </c>
    </row>
    <row r="5522" customFormat="false" ht="15" hidden="false" customHeight="true" outlineLevel="0" collapsed="false">
      <c r="A5522" s="11" t="str">
        <f aca="false">IF(원본명단!$A5521="","",5519)</f>
        <v/>
      </c>
      <c r="B5522" s="12" t="str">
        <f aca="false">IF($A5522="","",원본명단!$A5521)</f>
        <v/>
      </c>
      <c r="C5522" s="12" t="str">
        <f aca="false">IF($A5522="","",원본명단!$B5521)</f>
        <v/>
      </c>
      <c r="D5522" s="12" t="str">
        <f aca="false">IF($A5522="","",원본명단!$D5521)</f>
        <v/>
      </c>
      <c r="E5522" s="11" t="str">
        <f aca="false">IF($A5522="","",IF(원본명단!$H5521="",0,COUNTIF(원본명단!$H$3:$H$6002,원본명단!$H5521)))</f>
        <v/>
      </c>
      <c r="F5522" s="11" t="str">
        <f aca="false">IF($A5522="","",IF(원본명단!$I5521="",0,COUNTIF(원본명단!$I$3:$I$6002,원본명단!$I5521)))</f>
        <v/>
      </c>
      <c r="G5522" s="11" t="str">
        <f aca="false">IF($A5522="","",IF(원본명단!$K5521="",0,COUNTIF(원본명단!$K$3:$K$6002,원본명단!$K5521)))</f>
        <v/>
      </c>
      <c r="H5522" s="11" t="str">
        <f aca="false">IF($A5522="","",IF(MAX($E5522,$F5522,$G5522)&gt;1,"중복","-"))</f>
        <v/>
      </c>
      <c r="I5522" s="11" t="str">
        <f aca="false">IF($A5522="","",IF($H5522="-","-",IF(AND(IF(원본명단!$H5521="",TRUE(),COUNTIF(원본명단!$H$3:$H5521,원본명단!$H5521)=1),IF(원본명단!$I5521="",TRUE(),COUNTIF(원본명단!$I$3:$I5521,원본명단!$I5521)=1),IF(원본명단!$K5521="",TRUE(),COUNTIF(원본명단!$K$3:$K5521,원본명단!$K5521)=1)),"첫 건","중복 건")))</f>
        <v/>
      </c>
      <c r="J5522" s="11" t="str">
        <f aca="false">IF($A5522="","",IF($H5522="-","유지",IF($I5522="첫 건","유지","확인 필요")))</f>
        <v/>
      </c>
    </row>
    <row r="5523" customFormat="false" ht="15" hidden="false" customHeight="true" outlineLevel="0" collapsed="false">
      <c r="A5523" s="11" t="str">
        <f aca="false">IF(원본명단!$A5522="","",5520)</f>
        <v/>
      </c>
      <c r="B5523" s="12" t="str">
        <f aca="false">IF($A5523="","",원본명단!$A5522)</f>
        <v/>
      </c>
      <c r="C5523" s="12" t="str">
        <f aca="false">IF($A5523="","",원본명단!$B5522)</f>
        <v/>
      </c>
      <c r="D5523" s="12" t="str">
        <f aca="false">IF($A5523="","",원본명단!$D5522)</f>
        <v/>
      </c>
      <c r="E5523" s="11" t="str">
        <f aca="false">IF($A5523="","",IF(원본명단!$H5522="",0,COUNTIF(원본명단!$H$3:$H$6002,원본명단!$H5522)))</f>
        <v/>
      </c>
      <c r="F5523" s="11" t="str">
        <f aca="false">IF($A5523="","",IF(원본명단!$I5522="",0,COUNTIF(원본명단!$I$3:$I$6002,원본명단!$I5522)))</f>
        <v/>
      </c>
      <c r="G5523" s="11" t="str">
        <f aca="false">IF($A5523="","",IF(원본명단!$K5522="",0,COUNTIF(원본명단!$K$3:$K$6002,원본명단!$K5522)))</f>
        <v/>
      </c>
      <c r="H5523" s="11" t="str">
        <f aca="false">IF($A5523="","",IF(MAX($E5523,$F5523,$G5523)&gt;1,"중복","-"))</f>
        <v/>
      </c>
      <c r="I5523" s="11" t="str">
        <f aca="false">IF($A5523="","",IF($H5523="-","-",IF(AND(IF(원본명단!$H5522="",TRUE(),COUNTIF(원본명단!$H$3:$H5522,원본명단!$H5522)=1),IF(원본명단!$I5522="",TRUE(),COUNTIF(원본명단!$I$3:$I5522,원본명단!$I5522)=1),IF(원본명단!$K5522="",TRUE(),COUNTIF(원본명단!$K$3:$K5522,원본명단!$K5522)=1)),"첫 건","중복 건")))</f>
        <v/>
      </c>
      <c r="J5523" s="11" t="str">
        <f aca="false">IF($A5523="","",IF($H5523="-","유지",IF($I5523="첫 건","유지","확인 필요")))</f>
        <v/>
      </c>
    </row>
    <row r="5524" customFormat="false" ht="15" hidden="false" customHeight="true" outlineLevel="0" collapsed="false">
      <c r="A5524" s="11" t="str">
        <f aca="false">IF(원본명단!$A5523="","",5521)</f>
        <v/>
      </c>
      <c r="B5524" s="12" t="str">
        <f aca="false">IF($A5524="","",원본명단!$A5523)</f>
        <v/>
      </c>
      <c r="C5524" s="12" t="str">
        <f aca="false">IF($A5524="","",원본명단!$B5523)</f>
        <v/>
      </c>
      <c r="D5524" s="12" t="str">
        <f aca="false">IF($A5524="","",원본명단!$D5523)</f>
        <v/>
      </c>
      <c r="E5524" s="11" t="str">
        <f aca="false">IF($A5524="","",IF(원본명단!$H5523="",0,COUNTIF(원본명단!$H$3:$H$6002,원본명단!$H5523)))</f>
        <v/>
      </c>
      <c r="F5524" s="11" t="str">
        <f aca="false">IF($A5524="","",IF(원본명단!$I5523="",0,COUNTIF(원본명단!$I$3:$I$6002,원본명단!$I5523)))</f>
        <v/>
      </c>
      <c r="G5524" s="11" t="str">
        <f aca="false">IF($A5524="","",IF(원본명단!$K5523="",0,COUNTIF(원본명단!$K$3:$K$6002,원본명단!$K5523)))</f>
        <v/>
      </c>
      <c r="H5524" s="11" t="str">
        <f aca="false">IF($A5524="","",IF(MAX($E5524,$F5524,$G5524)&gt;1,"중복","-"))</f>
        <v/>
      </c>
      <c r="I5524" s="11" t="str">
        <f aca="false">IF($A5524="","",IF($H5524="-","-",IF(AND(IF(원본명단!$H5523="",TRUE(),COUNTIF(원본명단!$H$3:$H5523,원본명단!$H5523)=1),IF(원본명단!$I5523="",TRUE(),COUNTIF(원본명단!$I$3:$I5523,원본명단!$I5523)=1),IF(원본명단!$K5523="",TRUE(),COUNTIF(원본명단!$K$3:$K5523,원본명단!$K5523)=1)),"첫 건","중복 건")))</f>
        <v/>
      </c>
      <c r="J5524" s="11" t="str">
        <f aca="false">IF($A5524="","",IF($H5524="-","유지",IF($I5524="첫 건","유지","확인 필요")))</f>
        <v/>
      </c>
    </row>
    <row r="5525" customFormat="false" ht="15" hidden="false" customHeight="true" outlineLevel="0" collapsed="false">
      <c r="A5525" s="11" t="str">
        <f aca="false">IF(원본명단!$A5524="","",5522)</f>
        <v/>
      </c>
      <c r="B5525" s="12" t="str">
        <f aca="false">IF($A5525="","",원본명단!$A5524)</f>
        <v/>
      </c>
      <c r="C5525" s="12" t="str">
        <f aca="false">IF($A5525="","",원본명단!$B5524)</f>
        <v/>
      </c>
      <c r="D5525" s="12" t="str">
        <f aca="false">IF($A5525="","",원본명단!$D5524)</f>
        <v/>
      </c>
      <c r="E5525" s="11" t="str">
        <f aca="false">IF($A5525="","",IF(원본명단!$H5524="",0,COUNTIF(원본명단!$H$3:$H$6002,원본명단!$H5524)))</f>
        <v/>
      </c>
      <c r="F5525" s="11" t="str">
        <f aca="false">IF($A5525="","",IF(원본명단!$I5524="",0,COUNTIF(원본명단!$I$3:$I$6002,원본명단!$I5524)))</f>
        <v/>
      </c>
      <c r="G5525" s="11" t="str">
        <f aca="false">IF($A5525="","",IF(원본명단!$K5524="",0,COUNTIF(원본명단!$K$3:$K$6002,원본명단!$K5524)))</f>
        <v/>
      </c>
      <c r="H5525" s="11" t="str">
        <f aca="false">IF($A5525="","",IF(MAX($E5525,$F5525,$G5525)&gt;1,"중복","-"))</f>
        <v/>
      </c>
      <c r="I5525" s="11" t="str">
        <f aca="false">IF($A5525="","",IF($H5525="-","-",IF(AND(IF(원본명단!$H5524="",TRUE(),COUNTIF(원본명단!$H$3:$H5524,원본명단!$H5524)=1),IF(원본명단!$I5524="",TRUE(),COUNTIF(원본명단!$I$3:$I5524,원본명단!$I5524)=1),IF(원본명단!$K5524="",TRUE(),COUNTIF(원본명단!$K$3:$K5524,원본명단!$K5524)=1)),"첫 건","중복 건")))</f>
        <v/>
      </c>
      <c r="J5525" s="11" t="str">
        <f aca="false">IF($A5525="","",IF($H5525="-","유지",IF($I5525="첫 건","유지","확인 필요")))</f>
        <v/>
      </c>
    </row>
    <row r="5526" customFormat="false" ht="15" hidden="false" customHeight="true" outlineLevel="0" collapsed="false">
      <c r="A5526" s="11" t="str">
        <f aca="false">IF(원본명단!$A5525="","",5523)</f>
        <v/>
      </c>
      <c r="B5526" s="12" t="str">
        <f aca="false">IF($A5526="","",원본명단!$A5525)</f>
        <v/>
      </c>
      <c r="C5526" s="12" t="str">
        <f aca="false">IF($A5526="","",원본명단!$B5525)</f>
        <v/>
      </c>
      <c r="D5526" s="12" t="str">
        <f aca="false">IF($A5526="","",원본명단!$D5525)</f>
        <v/>
      </c>
      <c r="E5526" s="11" t="str">
        <f aca="false">IF($A5526="","",IF(원본명단!$H5525="",0,COUNTIF(원본명단!$H$3:$H$6002,원본명단!$H5525)))</f>
        <v/>
      </c>
      <c r="F5526" s="11" t="str">
        <f aca="false">IF($A5526="","",IF(원본명단!$I5525="",0,COUNTIF(원본명단!$I$3:$I$6002,원본명단!$I5525)))</f>
        <v/>
      </c>
      <c r="G5526" s="11" t="str">
        <f aca="false">IF($A5526="","",IF(원본명단!$K5525="",0,COUNTIF(원본명단!$K$3:$K$6002,원본명단!$K5525)))</f>
        <v/>
      </c>
      <c r="H5526" s="11" t="str">
        <f aca="false">IF($A5526="","",IF(MAX($E5526,$F5526,$G5526)&gt;1,"중복","-"))</f>
        <v/>
      </c>
      <c r="I5526" s="11" t="str">
        <f aca="false">IF($A5526="","",IF($H5526="-","-",IF(AND(IF(원본명단!$H5525="",TRUE(),COUNTIF(원본명단!$H$3:$H5525,원본명단!$H5525)=1),IF(원본명단!$I5525="",TRUE(),COUNTIF(원본명단!$I$3:$I5525,원본명단!$I5525)=1),IF(원본명단!$K5525="",TRUE(),COUNTIF(원본명단!$K$3:$K5525,원본명단!$K5525)=1)),"첫 건","중복 건")))</f>
        <v/>
      </c>
      <c r="J5526" s="11" t="str">
        <f aca="false">IF($A5526="","",IF($H5526="-","유지",IF($I5526="첫 건","유지","확인 필요")))</f>
        <v/>
      </c>
    </row>
    <row r="5527" customFormat="false" ht="15" hidden="false" customHeight="true" outlineLevel="0" collapsed="false">
      <c r="A5527" s="11" t="str">
        <f aca="false">IF(원본명단!$A5526="","",5524)</f>
        <v/>
      </c>
      <c r="B5527" s="12" t="str">
        <f aca="false">IF($A5527="","",원본명단!$A5526)</f>
        <v/>
      </c>
      <c r="C5527" s="12" t="str">
        <f aca="false">IF($A5527="","",원본명단!$B5526)</f>
        <v/>
      </c>
      <c r="D5527" s="12" t="str">
        <f aca="false">IF($A5527="","",원본명단!$D5526)</f>
        <v/>
      </c>
      <c r="E5527" s="11" t="str">
        <f aca="false">IF($A5527="","",IF(원본명단!$H5526="",0,COUNTIF(원본명단!$H$3:$H$6002,원본명단!$H5526)))</f>
        <v/>
      </c>
      <c r="F5527" s="11" t="str">
        <f aca="false">IF($A5527="","",IF(원본명단!$I5526="",0,COUNTIF(원본명단!$I$3:$I$6002,원본명단!$I5526)))</f>
        <v/>
      </c>
      <c r="G5527" s="11" t="str">
        <f aca="false">IF($A5527="","",IF(원본명단!$K5526="",0,COUNTIF(원본명단!$K$3:$K$6002,원본명단!$K5526)))</f>
        <v/>
      </c>
      <c r="H5527" s="11" t="str">
        <f aca="false">IF($A5527="","",IF(MAX($E5527,$F5527,$G5527)&gt;1,"중복","-"))</f>
        <v/>
      </c>
      <c r="I5527" s="11" t="str">
        <f aca="false">IF($A5527="","",IF($H5527="-","-",IF(AND(IF(원본명단!$H5526="",TRUE(),COUNTIF(원본명단!$H$3:$H5526,원본명단!$H5526)=1),IF(원본명단!$I5526="",TRUE(),COUNTIF(원본명단!$I$3:$I5526,원본명단!$I5526)=1),IF(원본명단!$K5526="",TRUE(),COUNTIF(원본명단!$K$3:$K5526,원본명단!$K5526)=1)),"첫 건","중복 건")))</f>
        <v/>
      </c>
      <c r="J5527" s="11" t="str">
        <f aca="false">IF($A5527="","",IF($H5527="-","유지",IF($I5527="첫 건","유지","확인 필요")))</f>
        <v/>
      </c>
    </row>
    <row r="5528" customFormat="false" ht="15" hidden="false" customHeight="true" outlineLevel="0" collapsed="false">
      <c r="A5528" s="11" t="str">
        <f aca="false">IF(원본명단!$A5527="","",5525)</f>
        <v/>
      </c>
      <c r="B5528" s="12" t="str">
        <f aca="false">IF($A5528="","",원본명단!$A5527)</f>
        <v/>
      </c>
      <c r="C5528" s="12" t="str">
        <f aca="false">IF($A5528="","",원본명단!$B5527)</f>
        <v/>
      </c>
      <c r="D5528" s="12" t="str">
        <f aca="false">IF($A5528="","",원본명단!$D5527)</f>
        <v/>
      </c>
      <c r="E5528" s="11" t="str">
        <f aca="false">IF($A5528="","",IF(원본명단!$H5527="",0,COUNTIF(원본명단!$H$3:$H$6002,원본명단!$H5527)))</f>
        <v/>
      </c>
      <c r="F5528" s="11" t="str">
        <f aca="false">IF($A5528="","",IF(원본명단!$I5527="",0,COUNTIF(원본명단!$I$3:$I$6002,원본명단!$I5527)))</f>
        <v/>
      </c>
      <c r="G5528" s="11" t="str">
        <f aca="false">IF($A5528="","",IF(원본명단!$K5527="",0,COUNTIF(원본명단!$K$3:$K$6002,원본명단!$K5527)))</f>
        <v/>
      </c>
      <c r="H5528" s="11" t="str">
        <f aca="false">IF($A5528="","",IF(MAX($E5528,$F5528,$G5528)&gt;1,"중복","-"))</f>
        <v/>
      </c>
      <c r="I5528" s="11" t="str">
        <f aca="false">IF($A5528="","",IF($H5528="-","-",IF(AND(IF(원본명단!$H5527="",TRUE(),COUNTIF(원본명단!$H$3:$H5527,원본명단!$H5527)=1),IF(원본명단!$I5527="",TRUE(),COUNTIF(원본명단!$I$3:$I5527,원본명단!$I5527)=1),IF(원본명단!$K5527="",TRUE(),COUNTIF(원본명단!$K$3:$K5527,원본명단!$K5527)=1)),"첫 건","중복 건")))</f>
        <v/>
      </c>
      <c r="J5528" s="11" t="str">
        <f aca="false">IF($A5528="","",IF($H5528="-","유지",IF($I5528="첫 건","유지","확인 필요")))</f>
        <v/>
      </c>
    </row>
    <row r="5529" customFormat="false" ht="15" hidden="false" customHeight="true" outlineLevel="0" collapsed="false">
      <c r="A5529" s="11" t="str">
        <f aca="false">IF(원본명단!$A5528="","",5526)</f>
        <v/>
      </c>
      <c r="B5529" s="12" t="str">
        <f aca="false">IF($A5529="","",원본명단!$A5528)</f>
        <v/>
      </c>
      <c r="C5529" s="12" t="str">
        <f aca="false">IF($A5529="","",원본명단!$B5528)</f>
        <v/>
      </c>
      <c r="D5529" s="12" t="str">
        <f aca="false">IF($A5529="","",원본명단!$D5528)</f>
        <v/>
      </c>
      <c r="E5529" s="11" t="str">
        <f aca="false">IF($A5529="","",IF(원본명단!$H5528="",0,COUNTIF(원본명단!$H$3:$H$6002,원본명단!$H5528)))</f>
        <v/>
      </c>
      <c r="F5529" s="11" t="str">
        <f aca="false">IF($A5529="","",IF(원본명단!$I5528="",0,COUNTIF(원본명단!$I$3:$I$6002,원본명단!$I5528)))</f>
        <v/>
      </c>
      <c r="G5529" s="11" t="str">
        <f aca="false">IF($A5529="","",IF(원본명단!$K5528="",0,COUNTIF(원본명단!$K$3:$K$6002,원본명단!$K5528)))</f>
        <v/>
      </c>
      <c r="H5529" s="11" t="str">
        <f aca="false">IF($A5529="","",IF(MAX($E5529,$F5529,$G5529)&gt;1,"중복","-"))</f>
        <v/>
      </c>
      <c r="I5529" s="11" t="str">
        <f aca="false">IF($A5529="","",IF($H5529="-","-",IF(AND(IF(원본명단!$H5528="",TRUE(),COUNTIF(원본명단!$H$3:$H5528,원본명단!$H5528)=1),IF(원본명단!$I5528="",TRUE(),COUNTIF(원본명단!$I$3:$I5528,원본명단!$I5528)=1),IF(원본명단!$K5528="",TRUE(),COUNTIF(원본명단!$K$3:$K5528,원본명단!$K5528)=1)),"첫 건","중복 건")))</f>
        <v/>
      </c>
      <c r="J5529" s="11" t="str">
        <f aca="false">IF($A5529="","",IF($H5529="-","유지",IF($I5529="첫 건","유지","확인 필요")))</f>
        <v/>
      </c>
    </row>
    <row r="5530" customFormat="false" ht="15" hidden="false" customHeight="true" outlineLevel="0" collapsed="false">
      <c r="A5530" s="11" t="str">
        <f aca="false">IF(원본명단!$A5529="","",5527)</f>
        <v/>
      </c>
      <c r="B5530" s="12" t="str">
        <f aca="false">IF($A5530="","",원본명단!$A5529)</f>
        <v/>
      </c>
      <c r="C5530" s="12" t="str">
        <f aca="false">IF($A5530="","",원본명단!$B5529)</f>
        <v/>
      </c>
      <c r="D5530" s="12" t="str">
        <f aca="false">IF($A5530="","",원본명단!$D5529)</f>
        <v/>
      </c>
      <c r="E5530" s="11" t="str">
        <f aca="false">IF($A5530="","",IF(원본명단!$H5529="",0,COUNTIF(원본명단!$H$3:$H$6002,원본명단!$H5529)))</f>
        <v/>
      </c>
      <c r="F5530" s="11" t="str">
        <f aca="false">IF($A5530="","",IF(원본명단!$I5529="",0,COUNTIF(원본명단!$I$3:$I$6002,원본명단!$I5529)))</f>
        <v/>
      </c>
      <c r="G5530" s="11" t="str">
        <f aca="false">IF($A5530="","",IF(원본명단!$K5529="",0,COUNTIF(원본명단!$K$3:$K$6002,원본명단!$K5529)))</f>
        <v/>
      </c>
      <c r="H5530" s="11" t="str">
        <f aca="false">IF($A5530="","",IF(MAX($E5530,$F5530,$G5530)&gt;1,"중복","-"))</f>
        <v/>
      </c>
      <c r="I5530" s="11" t="str">
        <f aca="false">IF($A5530="","",IF($H5530="-","-",IF(AND(IF(원본명단!$H5529="",TRUE(),COUNTIF(원본명단!$H$3:$H5529,원본명단!$H5529)=1),IF(원본명단!$I5529="",TRUE(),COUNTIF(원본명단!$I$3:$I5529,원본명단!$I5529)=1),IF(원본명단!$K5529="",TRUE(),COUNTIF(원본명단!$K$3:$K5529,원본명단!$K5529)=1)),"첫 건","중복 건")))</f>
        <v/>
      </c>
      <c r="J5530" s="11" t="str">
        <f aca="false">IF($A5530="","",IF($H5530="-","유지",IF($I5530="첫 건","유지","확인 필요")))</f>
        <v/>
      </c>
    </row>
    <row r="5531" customFormat="false" ht="15" hidden="false" customHeight="true" outlineLevel="0" collapsed="false">
      <c r="A5531" s="11" t="str">
        <f aca="false">IF(원본명단!$A5530="","",5528)</f>
        <v/>
      </c>
      <c r="B5531" s="12" t="str">
        <f aca="false">IF($A5531="","",원본명단!$A5530)</f>
        <v/>
      </c>
      <c r="C5531" s="12" t="str">
        <f aca="false">IF($A5531="","",원본명단!$B5530)</f>
        <v/>
      </c>
      <c r="D5531" s="12" t="str">
        <f aca="false">IF($A5531="","",원본명단!$D5530)</f>
        <v/>
      </c>
      <c r="E5531" s="11" t="str">
        <f aca="false">IF($A5531="","",IF(원본명단!$H5530="",0,COUNTIF(원본명단!$H$3:$H$6002,원본명단!$H5530)))</f>
        <v/>
      </c>
      <c r="F5531" s="11" t="str">
        <f aca="false">IF($A5531="","",IF(원본명단!$I5530="",0,COUNTIF(원본명단!$I$3:$I$6002,원본명단!$I5530)))</f>
        <v/>
      </c>
      <c r="G5531" s="11" t="str">
        <f aca="false">IF($A5531="","",IF(원본명단!$K5530="",0,COUNTIF(원본명단!$K$3:$K$6002,원본명단!$K5530)))</f>
        <v/>
      </c>
      <c r="H5531" s="11" t="str">
        <f aca="false">IF($A5531="","",IF(MAX($E5531,$F5531,$G5531)&gt;1,"중복","-"))</f>
        <v/>
      </c>
      <c r="I5531" s="11" t="str">
        <f aca="false">IF($A5531="","",IF($H5531="-","-",IF(AND(IF(원본명단!$H5530="",TRUE(),COUNTIF(원본명단!$H$3:$H5530,원본명단!$H5530)=1),IF(원본명단!$I5530="",TRUE(),COUNTIF(원본명단!$I$3:$I5530,원본명단!$I5530)=1),IF(원본명단!$K5530="",TRUE(),COUNTIF(원본명단!$K$3:$K5530,원본명단!$K5530)=1)),"첫 건","중복 건")))</f>
        <v/>
      </c>
      <c r="J5531" s="11" t="str">
        <f aca="false">IF($A5531="","",IF($H5531="-","유지",IF($I5531="첫 건","유지","확인 필요")))</f>
        <v/>
      </c>
    </row>
    <row r="5532" customFormat="false" ht="15" hidden="false" customHeight="true" outlineLevel="0" collapsed="false">
      <c r="A5532" s="11" t="str">
        <f aca="false">IF(원본명단!$A5531="","",5529)</f>
        <v/>
      </c>
      <c r="B5532" s="12" t="str">
        <f aca="false">IF($A5532="","",원본명단!$A5531)</f>
        <v/>
      </c>
      <c r="C5532" s="12" t="str">
        <f aca="false">IF($A5532="","",원본명단!$B5531)</f>
        <v/>
      </c>
      <c r="D5532" s="12" t="str">
        <f aca="false">IF($A5532="","",원본명단!$D5531)</f>
        <v/>
      </c>
      <c r="E5532" s="11" t="str">
        <f aca="false">IF($A5532="","",IF(원본명단!$H5531="",0,COUNTIF(원본명단!$H$3:$H$6002,원본명단!$H5531)))</f>
        <v/>
      </c>
      <c r="F5532" s="11" t="str">
        <f aca="false">IF($A5532="","",IF(원본명단!$I5531="",0,COUNTIF(원본명단!$I$3:$I$6002,원본명단!$I5531)))</f>
        <v/>
      </c>
      <c r="G5532" s="11" t="str">
        <f aca="false">IF($A5532="","",IF(원본명단!$K5531="",0,COUNTIF(원본명단!$K$3:$K$6002,원본명단!$K5531)))</f>
        <v/>
      </c>
      <c r="H5532" s="11" t="str">
        <f aca="false">IF($A5532="","",IF(MAX($E5532,$F5532,$G5532)&gt;1,"중복","-"))</f>
        <v/>
      </c>
      <c r="I5532" s="11" t="str">
        <f aca="false">IF($A5532="","",IF($H5532="-","-",IF(AND(IF(원본명단!$H5531="",TRUE(),COUNTIF(원본명단!$H$3:$H5531,원본명단!$H5531)=1),IF(원본명단!$I5531="",TRUE(),COUNTIF(원본명단!$I$3:$I5531,원본명단!$I5531)=1),IF(원본명단!$K5531="",TRUE(),COUNTIF(원본명단!$K$3:$K5531,원본명단!$K5531)=1)),"첫 건","중복 건")))</f>
        <v/>
      </c>
      <c r="J5532" s="11" t="str">
        <f aca="false">IF($A5532="","",IF($H5532="-","유지",IF($I5532="첫 건","유지","확인 필요")))</f>
        <v/>
      </c>
    </row>
    <row r="5533" customFormat="false" ht="15" hidden="false" customHeight="true" outlineLevel="0" collapsed="false">
      <c r="A5533" s="11" t="str">
        <f aca="false">IF(원본명단!$A5532="","",5530)</f>
        <v/>
      </c>
      <c r="B5533" s="12" t="str">
        <f aca="false">IF($A5533="","",원본명단!$A5532)</f>
        <v/>
      </c>
      <c r="C5533" s="12" t="str">
        <f aca="false">IF($A5533="","",원본명단!$B5532)</f>
        <v/>
      </c>
      <c r="D5533" s="12" t="str">
        <f aca="false">IF($A5533="","",원본명단!$D5532)</f>
        <v/>
      </c>
      <c r="E5533" s="11" t="str">
        <f aca="false">IF($A5533="","",IF(원본명단!$H5532="",0,COUNTIF(원본명단!$H$3:$H$6002,원본명단!$H5532)))</f>
        <v/>
      </c>
      <c r="F5533" s="11" t="str">
        <f aca="false">IF($A5533="","",IF(원본명단!$I5532="",0,COUNTIF(원본명단!$I$3:$I$6002,원본명단!$I5532)))</f>
        <v/>
      </c>
      <c r="G5533" s="11" t="str">
        <f aca="false">IF($A5533="","",IF(원본명단!$K5532="",0,COUNTIF(원본명단!$K$3:$K$6002,원본명단!$K5532)))</f>
        <v/>
      </c>
      <c r="H5533" s="11" t="str">
        <f aca="false">IF($A5533="","",IF(MAX($E5533,$F5533,$G5533)&gt;1,"중복","-"))</f>
        <v/>
      </c>
      <c r="I5533" s="11" t="str">
        <f aca="false">IF($A5533="","",IF($H5533="-","-",IF(AND(IF(원본명단!$H5532="",TRUE(),COUNTIF(원본명단!$H$3:$H5532,원본명단!$H5532)=1),IF(원본명단!$I5532="",TRUE(),COUNTIF(원본명단!$I$3:$I5532,원본명단!$I5532)=1),IF(원본명단!$K5532="",TRUE(),COUNTIF(원본명단!$K$3:$K5532,원본명단!$K5532)=1)),"첫 건","중복 건")))</f>
        <v/>
      </c>
      <c r="J5533" s="11" t="str">
        <f aca="false">IF($A5533="","",IF($H5533="-","유지",IF($I5533="첫 건","유지","확인 필요")))</f>
        <v/>
      </c>
    </row>
    <row r="5534" customFormat="false" ht="15" hidden="false" customHeight="true" outlineLevel="0" collapsed="false">
      <c r="A5534" s="11" t="str">
        <f aca="false">IF(원본명단!$A5533="","",5531)</f>
        <v/>
      </c>
      <c r="B5534" s="12" t="str">
        <f aca="false">IF($A5534="","",원본명단!$A5533)</f>
        <v/>
      </c>
      <c r="C5534" s="12" t="str">
        <f aca="false">IF($A5534="","",원본명단!$B5533)</f>
        <v/>
      </c>
      <c r="D5534" s="12" t="str">
        <f aca="false">IF($A5534="","",원본명단!$D5533)</f>
        <v/>
      </c>
      <c r="E5534" s="11" t="str">
        <f aca="false">IF($A5534="","",IF(원본명단!$H5533="",0,COUNTIF(원본명단!$H$3:$H$6002,원본명단!$H5533)))</f>
        <v/>
      </c>
      <c r="F5534" s="11" t="str">
        <f aca="false">IF($A5534="","",IF(원본명단!$I5533="",0,COUNTIF(원본명단!$I$3:$I$6002,원본명단!$I5533)))</f>
        <v/>
      </c>
      <c r="G5534" s="11" t="str">
        <f aca="false">IF($A5534="","",IF(원본명단!$K5533="",0,COUNTIF(원본명단!$K$3:$K$6002,원본명단!$K5533)))</f>
        <v/>
      </c>
      <c r="H5534" s="11" t="str">
        <f aca="false">IF($A5534="","",IF(MAX($E5534,$F5534,$G5534)&gt;1,"중복","-"))</f>
        <v/>
      </c>
      <c r="I5534" s="11" t="str">
        <f aca="false">IF($A5534="","",IF($H5534="-","-",IF(AND(IF(원본명단!$H5533="",TRUE(),COUNTIF(원본명단!$H$3:$H5533,원본명단!$H5533)=1),IF(원본명단!$I5533="",TRUE(),COUNTIF(원본명단!$I$3:$I5533,원본명단!$I5533)=1),IF(원본명단!$K5533="",TRUE(),COUNTIF(원본명단!$K$3:$K5533,원본명단!$K5533)=1)),"첫 건","중복 건")))</f>
        <v/>
      </c>
      <c r="J5534" s="11" t="str">
        <f aca="false">IF($A5534="","",IF($H5534="-","유지",IF($I5534="첫 건","유지","확인 필요")))</f>
        <v/>
      </c>
    </row>
    <row r="5535" customFormat="false" ht="15" hidden="false" customHeight="true" outlineLevel="0" collapsed="false">
      <c r="A5535" s="11" t="str">
        <f aca="false">IF(원본명단!$A5534="","",5532)</f>
        <v/>
      </c>
      <c r="B5535" s="12" t="str">
        <f aca="false">IF($A5535="","",원본명단!$A5534)</f>
        <v/>
      </c>
      <c r="C5535" s="12" t="str">
        <f aca="false">IF($A5535="","",원본명단!$B5534)</f>
        <v/>
      </c>
      <c r="D5535" s="12" t="str">
        <f aca="false">IF($A5535="","",원본명단!$D5534)</f>
        <v/>
      </c>
      <c r="E5535" s="11" t="str">
        <f aca="false">IF($A5535="","",IF(원본명단!$H5534="",0,COUNTIF(원본명단!$H$3:$H$6002,원본명단!$H5534)))</f>
        <v/>
      </c>
      <c r="F5535" s="11" t="str">
        <f aca="false">IF($A5535="","",IF(원본명단!$I5534="",0,COUNTIF(원본명단!$I$3:$I$6002,원본명단!$I5534)))</f>
        <v/>
      </c>
      <c r="G5535" s="11" t="str">
        <f aca="false">IF($A5535="","",IF(원본명단!$K5534="",0,COUNTIF(원본명단!$K$3:$K$6002,원본명단!$K5534)))</f>
        <v/>
      </c>
      <c r="H5535" s="11" t="str">
        <f aca="false">IF($A5535="","",IF(MAX($E5535,$F5535,$G5535)&gt;1,"중복","-"))</f>
        <v/>
      </c>
      <c r="I5535" s="11" t="str">
        <f aca="false">IF($A5535="","",IF($H5535="-","-",IF(AND(IF(원본명단!$H5534="",TRUE(),COUNTIF(원본명단!$H$3:$H5534,원본명단!$H5534)=1),IF(원본명단!$I5534="",TRUE(),COUNTIF(원본명단!$I$3:$I5534,원본명단!$I5534)=1),IF(원본명단!$K5534="",TRUE(),COUNTIF(원본명단!$K$3:$K5534,원본명단!$K5534)=1)),"첫 건","중복 건")))</f>
        <v/>
      </c>
      <c r="J5535" s="11" t="str">
        <f aca="false">IF($A5535="","",IF($H5535="-","유지",IF($I5535="첫 건","유지","확인 필요")))</f>
        <v/>
      </c>
    </row>
    <row r="5536" customFormat="false" ht="15" hidden="false" customHeight="true" outlineLevel="0" collapsed="false">
      <c r="A5536" s="11" t="str">
        <f aca="false">IF(원본명단!$A5535="","",5533)</f>
        <v/>
      </c>
      <c r="B5536" s="12" t="str">
        <f aca="false">IF($A5536="","",원본명단!$A5535)</f>
        <v/>
      </c>
      <c r="C5536" s="12" t="str">
        <f aca="false">IF($A5536="","",원본명단!$B5535)</f>
        <v/>
      </c>
      <c r="D5536" s="12" t="str">
        <f aca="false">IF($A5536="","",원본명단!$D5535)</f>
        <v/>
      </c>
      <c r="E5536" s="11" t="str">
        <f aca="false">IF($A5536="","",IF(원본명단!$H5535="",0,COUNTIF(원본명단!$H$3:$H$6002,원본명단!$H5535)))</f>
        <v/>
      </c>
      <c r="F5536" s="11" t="str">
        <f aca="false">IF($A5536="","",IF(원본명단!$I5535="",0,COUNTIF(원본명단!$I$3:$I$6002,원본명단!$I5535)))</f>
        <v/>
      </c>
      <c r="G5536" s="11" t="str">
        <f aca="false">IF($A5536="","",IF(원본명단!$K5535="",0,COUNTIF(원본명단!$K$3:$K$6002,원본명단!$K5535)))</f>
        <v/>
      </c>
      <c r="H5536" s="11" t="str">
        <f aca="false">IF($A5536="","",IF(MAX($E5536,$F5536,$G5536)&gt;1,"중복","-"))</f>
        <v/>
      </c>
      <c r="I5536" s="11" t="str">
        <f aca="false">IF($A5536="","",IF($H5536="-","-",IF(AND(IF(원본명단!$H5535="",TRUE(),COUNTIF(원본명단!$H$3:$H5535,원본명단!$H5535)=1),IF(원본명단!$I5535="",TRUE(),COUNTIF(원본명단!$I$3:$I5535,원본명단!$I5535)=1),IF(원본명단!$K5535="",TRUE(),COUNTIF(원본명단!$K$3:$K5535,원본명단!$K5535)=1)),"첫 건","중복 건")))</f>
        <v/>
      </c>
      <c r="J5536" s="11" t="str">
        <f aca="false">IF($A5536="","",IF($H5536="-","유지",IF($I5536="첫 건","유지","확인 필요")))</f>
        <v/>
      </c>
    </row>
    <row r="5537" customFormat="false" ht="15" hidden="false" customHeight="true" outlineLevel="0" collapsed="false">
      <c r="A5537" s="11" t="str">
        <f aca="false">IF(원본명단!$A5536="","",5534)</f>
        <v/>
      </c>
      <c r="B5537" s="12" t="str">
        <f aca="false">IF($A5537="","",원본명단!$A5536)</f>
        <v/>
      </c>
      <c r="C5537" s="12" t="str">
        <f aca="false">IF($A5537="","",원본명단!$B5536)</f>
        <v/>
      </c>
      <c r="D5537" s="12" t="str">
        <f aca="false">IF($A5537="","",원본명단!$D5536)</f>
        <v/>
      </c>
      <c r="E5537" s="11" t="str">
        <f aca="false">IF($A5537="","",IF(원본명단!$H5536="",0,COUNTIF(원본명단!$H$3:$H$6002,원본명단!$H5536)))</f>
        <v/>
      </c>
      <c r="F5537" s="11" t="str">
        <f aca="false">IF($A5537="","",IF(원본명단!$I5536="",0,COUNTIF(원본명단!$I$3:$I$6002,원본명단!$I5536)))</f>
        <v/>
      </c>
      <c r="G5537" s="11" t="str">
        <f aca="false">IF($A5537="","",IF(원본명단!$K5536="",0,COUNTIF(원본명단!$K$3:$K$6002,원본명단!$K5536)))</f>
        <v/>
      </c>
      <c r="H5537" s="11" t="str">
        <f aca="false">IF($A5537="","",IF(MAX($E5537,$F5537,$G5537)&gt;1,"중복","-"))</f>
        <v/>
      </c>
      <c r="I5537" s="11" t="str">
        <f aca="false">IF($A5537="","",IF($H5537="-","-",IF(AND(IF(원본명단!$H5536="",TRUE(),COUNTIF(원본명단!$H$3:$H5536,원본명단!$H5536)=1),IF(원본명단!$I5536="",TRUE(),COUNTIF(원본명단!$I$3:$I5536,원본명단!$I5536)=1),IF(원본명단!$K5536="",TRUE(),COUNTIF(원본명단!$K$3:$K5536,원본명단!$K5536)=1)),"첫 건","중복 건")))</f>
        <v/>
      </c>
      <c r="J5537" s="11" t="str">
        <f aca="false">IF($A5537="","",IF($H5537="-","유지",IF($I5537="첫 건","유지","확인 필요")))</f>
        <v/>
      </c>
    </row>
    <row r="5538" customFormat="false" ht="15" hidden="false" customHeight="true" outlineLevel="0" collapsed="false">
      <c r="A5538" s="11" t="str">
        <f aca="false">IF(원본명단!$A5537="","",5535)</f>
        <v/>
      </c>
      <c r="B5538" s="12" t="str">
        <f aca="false">IF($A5538="","",원본명단!$A5537)</f>
        <v/>
      </c>
      <c r="C5538" s="12" t="str">
        <f aca="false">IF($A5538="","",원본명단!$B5537)</f>
        <v/>
      </c>
      <c r="D5538" s="12" t="str">
        <f aca="false">IF($A5538="","",원본명단!$D5537)</f>
        <v/>
      </c>
      <c r="E5538" s="11" t="str">
        <f aca="false">IF($A5538="","",IF(원본명단!$H5537="",0,COUNTIF(원본명단!$H$3:$H$6002,원본명단!$H5537)))</f>
        <v/>
      </c>
      <c r="F5538" s="11" t="str">
        <f aca="false">IF($A5538="","",IF(원본명단!$I5537="",0,COUNTIF(원본명단!$I$3:$I$6002,원본명단!$I5537)))</f>
        <v/>
      </c>
      <c r="G5538" s="11" t="str">
        <f aca="false">IF($A5538="","",IF(원본명단!$K5537="",0,COUNTIF(원본명단!$K$3:$K$6002,원본명단!$K5537)))</f>
        <v/>
      </c>
      <c r="H5538" s="11" t="str">
        <f aca="false">IF($A5538="","",IF(MAX($E5538,$F5538,$G5538)&gt;1,"중복","-"))</f>
        <v/>
      </c>
      <c r="I5538" s="11" t="str">
        <f aca="false">IF($A5538="","",IF($H5538="-","-",IF(AND(IF(원본명단!$H5537="",TRUE(),COUNTIF(원본명단!$H$3:$H5537,원본명단!$H5537)=1),IF(원본명단!$I5537="",TRUE(),COUNTIF(원본명단!$I$3:$I5537,원본명단!$I5537)=1),IF(원본명단!$K5537="",TRUE(),COUNTIF(원본명단!$K$3:$K5537,원본명단!$K5537)=1)),"첫 건","중복 건")))</f>
        <v/>
      </c>
      <c r="J5538" s="11" t="str">
        <f aca="false">IF($A5538="","",IF($H5538="-","유지",IF($I5538="첫 건","유지","확인 필요")))</f>
        <v/>
      </c>
    </row>
    <row r="5539" customFormat="false" ht="15" hidden="false" customHeight="true" outlineLevel="0" collapsed="false">
      <c r="A5539" s="11" t="str">
        <f aca="false">IF(원본명단!$A5538="","",5536)</f>
        <v/>
      </c>
      <c r="B5539" s="12" t="str">
        <f aca="false">IF($A5539="","",원본명단!$A5538)</f>
        <v/>
      </c>
      <c r="C5539" s="12" t="str">
        <f aca="false">IF($A5539="","",원본명단!$B5538)</f>
        <v/>
      </c>
      <c r="D5539" s="12" t="str">
        <f aca="false">IF($A5539="","",원본명단!$D5538)</f>
        <v/>
      </c>
      <c r="E5539" s="11" t="str">
        <f aca="false">IF($A5539="","",IF(원본명단!$H5538="",0,COUNTIF(원본명단!$H$3:$H$6002,원본명단!$H5538)))</f>
        <v/>
      </c>
      <c r="F5539" s="11" t="str">
        <f aca="false">IF($A5539="","",IF(원본명단!$I5538="",0,COUNTIF(원본명단!$I$3:$I$6002,원본명단!$I5538)))</f>
        <v/>
      </c>
      <c r="G5539" s="11" t="str">
        <f aca="false">IF($A5539="","",IF(원본명단!$K5538="",0,COUNTIF(원본명단!$K$3:$K$6002,원본명단!$K5538)))</f>
        <v/>
      </c>
      <c r="H5539" s="11" t="str">
        <f aca="false">IF($A5539="","",IF(MAX($E5539,$F5539,$G5539)&gt;1,"중복","-"))</f>
        <v/>
      </c>
      <c r="I5539" s="11" t="str">
        <f aca="false">IF($A5539="","",IF($H5539="-","-",IF(AND(IF(원본명단!$H5538="",TRUE(),COUNTIF(원본명단!$H$3:$H5538,원본명단!$H5538)=1),IF(원본명단!$I5538="",TRUE(),COUNTIF(원본명단!$I$3:$I5538,원본명단!$I5538)=1),IF(원본명단!$K5538="",TRUE(),COUNTIF(원본명단!$K$3:$K5538,원본명단!$K5538)=1)),"첫 건","중복 건")))</f>
        <v/>
      </c>
      <c r="J5539" s="11" t="str">
        <f aca="false">IF($A5539="","",IF($H5539="-","유지",IF($I5539="첫 건","유지","확인 필요")))</f>
        <v/>
      </c>
    </row>
    <row r="5540" customFormat="false" ht="15" hidden="false" customHeight="true" outlineLevel="0" collapsed="false">
      <c r="A5540" s="11" t="str">
        <f aca="false">IF(원본명단!$A5539="","",5537)</f>
        <v/>
      </c>
      <c r="B5540" s="12" t="str">
        <f aca="false">IF($A5540="","",원본명단!$A5539)</f>
        <v/>
      </c>
      <c r="C5540" s="12" t="str">
        <f aca="false">IF($A5540="","",원본명단!$B5539)</f>
        <v/>
      </c>
      <c r="D5540" s="12" t="str">
        <f aca="false">IF($A5540="","",원본명단!$D5539)</f>
        <v/>
      </c>
      <c r="E5540" s="11" t="str">
        <f aca="false">IF($A5540="","",IF(원본명단!$H5539="",0,COUNTIF(원본명단!$H$3:$H$6002,원본명단!$H5539)))</f>
        <v/>
      </c>
      <c r="F5540" s="11" t="str">
        <f aca="false">IF($A5540="","",IF(원본명단!$I5539="",0,COUNTIF(원본명단!$I$3:$I$6002,원본명단!$I5539)))</f>
        <v/>
      </c>
      <c r="G5540" s="11" t="str">
        <f aca="false">IF($A5540="","",IF(원본명단!$K5539="",0,COUNTIF(원본명단!$K$3:$K$6002,원본명단!$K5539)))</f>
        <v/>
      </c>
      <c r="H5540" s="11" t="str">
        <f aca="false">IF($A5540="","",IF(MAX($E5540,$F5540,$G5540)&gt;1,"중복","-"))</f>
        <v/>
      </c>
      <c r="I5540" s="11" t="str">
        <f aca="false">IF($A5540="","",IF($H5540="-","-",IF(AND(IF(원본명단!$H5539="",TRUE(),COUNTIF(원본명단!$H$3:$H5539,원본명단!$H5539)=1),IF(원본명단!$I5539="",TRUE(),COUNTIF(원본명단!$I$3:$I5539,원본명단!$I5539)=1),IF(원본명단!$K5539="",TRUE(),COUNTIF(원본명단!$K$3:$K5539,원본명단!$K5539)=1)),"첫 건","중복 건")))</f>
        <v/>
      </c>
      <c r="J5540" s="11" t="str">
        <f aca="false">IF($A5540="","",IF($H5540="-","유지",IF($I5540="첫 건","유지","확인 필요")))</f>
        <v/>
      </c>
    </row>
    <row r="5541" customFormat="false" ht="15" hidden="false" customHeight="true" outlineLevel="0" collapsed="false">
      <c r="A5541" s="11" t="str">
        <f aca="false">IF(원본명단!$A5540="","",5538)</f>
        <v/>
      </c>
      <c r="B5541" s="12" t="str">
        <f aca="false">IF($A5541="","",원본명단!$A5540)</f>
        <v/>
      </c>
      <c r="C5541" s="12" t="str">
        <f aca="false">IF($A5541="","",원본명단!$B5540)</f>
        <v/>
      </c>
      <c r="D5541" s="12" t="str">
        <f aca="false">IF($A5541="","",원본명단!$D5540)</f>
        <v/>
      </c>
      <c r="E5541" s="11" t="str">
        <f aca="false">IF($A5541="","",IF(원본명단!$H5540="",0,COUNTIF(원본명단!$H$3:$H$6002,원본명단!$H5540)))</f>
        <v/>
      </c>
      <c r="F5541" s="11" t="str">
        <f aca="false">IF($A5541="","",IF(원본명단!$I5540="",0,COUNTIF(원본명단!$I$3:$I$6002,원본명단!$I5540)))</f>
        <v/>
      </c>
      <c r="G5541" s="11" t="str">
        <f aca="false">IF($A5541="","",IF(원본명단!$K5540="",0,COUNTIF(원본명단!$K$3:$K$6002,원본명단!$K5540)))</f>
        <v/>
      </c>
      <c r="H5541" s="11" t="str">
        <f aca="false">IF($A5541="","",IF(MAX($E5541,$F5541,$G5541)&gt;1,"중복","-"))</f>
        <v/>
      </c>
      <c r="I5541" s="11" t="str">
        <f aca="false">IF($A5541="","",IF($H5541="-","-",IF(AND(IF(원본명단!$H5540="",TRUE(),COUNTIF(원본명단!$H$3:$H5540,원본명단!$H5540)=1),IF(원본명단!$I5540="",TRUE(),COUNTIF(원본명단!$I$3:$I5540,원본명단!$I5540)=1),IF(원본명단!$K5540="",TRUE(),COUNTIF(원본명단!$K$3:$K5540,원본명단!$K5540)=1)),"첫 건","중복 건")))</f>
        <v/>
      </c>
      <c r="J5541" s="11" t="str">
        <f aca="false">IF($A5541="","",IF($H5541="-","유지",IF($I5541="첫 건","유지","확인 필요")))</f>
        <v/>
      </c>
    </row>
    <row r="5542" customFormat="false" ht="15" hidden="false" customHeight="true" outlineLevel="0" collapsed="false">
      <c r="A5542" s="11" t="str">
        <f aca="false">IF(원본명단!$A5541="","",5539)</f>
        <v/>
      </c>
      <c r="B5542" s="12" t="str">
        <f aca="false">IF($A5542="","",원본명단!$A5541)</f>
        <v/>
      </c>
      <c r="C5542" s="12" t="str">
        <f aca="false">IF($A5542="","",원본명단!$B5541)</f>
        <v/>
      </c>
      <c r="D5542" s="12" t="str">
        <f aca="false">IF($A5542="","",원본명단!$D5541)</f>
        <v/>
      </c>
      <c r="E5542" s="11" t="str">
        <f aca="false">IF($A5542="","",IF(원본명단!$H5541="",0,COUNTIF(원본명단!$H$3:$H$6002,원본명단!$H5541)))</f>
        <v/>
      </c>
      <c r="F5542" s="11" t="str">
        <f aca="false">IF($A5542="","",IF(원본명단!$I5541="",0,COUNTIF(원본명단!$I$3:$I$6002,원본명단!$I5541)))</f>
        <v/>
      </c>
      <c r="G5542" s="11" t="str">
        <f aca="false">IF($A5542="","",IF(원본명단!$K5541="",0,COUNTIF(원본명단!$K$3:$K$6002,원본명단!$K5541)))</f>
        <v/>
      </c>
      <c r="H5542" s="11" t="str">
        <f aca="false">IF($A5542="","",IF(MAX($E5542,$F5542,$G5542)&gt;1,"중복","-"))</f>
        <v/>
      </c>
      <c r="I5542" s="11" t="str">
        <f aca="false">IF($A5542="","",IF($H5542="-","-",IF(AND(IF(원본명단!$H5541="",TRUE(),COUNTIF(원본명단!$H$3:$H5541,원본명단!$H5541)=1),IF(원본명단!$I5541="",TRUE(),COUNTIF(원본명단!$I$3:$I5541,원본명단!$I5541)=1),IF(원본명단!$K5541="",TRUE(),COUNTIF(원본명단!$K$3:$K5541,원본명단!$K5541)=1)),"첫 건","중복 건")))</f>
        <v/>
      </c>
      <c r="J5542" s="11" t="str">
        <f aca="false">IF($A5542="","",IF($H5542="-","유지",IF($I5542="첫 건","유지","확인 필요")))</f>
        <v/>
      </c>
    </row>
    <row r="5543" customFormat="false" ht="15" hidden="false" customHeight="true" outlineLevel="0" collapsed="false">
      <c r="A5543" s="11" t="str">
        <f aca="false">IF(원본명단!$A5542="","",5540)</f>
        <v/>
      </c>
      <c r="B5543" s="12" t="str">
        <f aca="false">IF($A5543="","",원본명단!$A5542)</f>
        <v/>
      </c>
      <c r="C5543" s="12" t="str">
        <f aca="false">IF($A5543="","",원본명단!$B5542)</f>
        <v/>
      </c>
      <c r="D5543" s="12" t="str">
        <f aca="false">IF($A5543="","",원본명단!$D5542)</f>
        <v/>
      </c>
      <c r="E5543" s="11" t="str">
        <f aca="false">IF($A5543="","",IF(원본명단!$H5542="",0,COUNTIF(원본명단!$H$3:$H$6002,원본명단!$H5542)))</f>
        <v/>
      </c>
      <c r="F5543" s="11" t="str">
        <f aca="false">IF($A5543="","",IF(원본명단!$I5542="",0,COUNTIF(원본명단!$I$3:$I$6002,원본명단!$I5542)))</f>
        <v/>
      </c>
      <c r="G5543" s="11" t="str">
        <f aca="false">IF($A5543="","",IF(원본명단!$K5542="",0,COUNTIF(원본명단!$K$3:$K$6002,원본명단!$K5542)))</f>
        <v/>
      </c>
      <c r="H5543" s="11" t="str">
        <f aca="false">IF($A5543="","",IF(MAX($E5543,$F5543,$G5543)&gt;1,"중복","-"))</f>
        <v/>
      </c>
      <c r="I5543" s="11" t="str">
        <f aca="false">IF($A5543="","",IF($H5543="-","-",IF(AND(IF(원본명단!$H5542="",TRUE(),COUNTIF(원본명단!$H$3:$H5542,원본명단!$H5542)=1),IF(원본명단!$I5542="",TRUE(),COUNTIF(원본명단!$I$3:$I5542,원본명단!$I5542)=1),IF(원본명단!$K5542="",TRUE(),COUNTIF(원본명단!$K$3:$K5542,원본명단!$K5542)=1)),"첫 건","중복 건")))</f>
        <v/>
      </c>
      <c r="J5543" s="11" t="str">
        <f aca="false">IF($A5543="","",IF($H5543="-","유지",IF($I5543="첫 건","유지","확인 필요")))</f>
        <v/>
      </c>
    </row>
    <row r="5544" customFormat="false" ht="15" hidden="false" customHeight="true" outlineLevel="0" collapsed="false">
      <c r="A5544" s="11" t="str">
        <f aca="false">IF(원본명단!$A5543="","",5541)</f>
        <v/>
      </c>
      <c r="B5544" s="12" t="str">
        <f aca="false">IF($A5544="","",원본명단!$A5543)</f>
        <v/>
      </c>
      <c r="C5544" s="12" t="str">
        <f aca="false">IF($A5544="","",원본명단!$B5543)</f>
        <v/>
      </c>
      <c r="D5544" s="12" t="str">
        <f aca="false">IF($A5544="","",원본명단!$D5543)</f>
        <v/>
      </c>
      <c r="E5544" s="11" t="str">
        <f aca="false">IF($A5544="","",IF(원본명단!$H5543="",0,COUNTIF(원본명단!$H$3:$H$6002,원본명단!$H5543)))</f>
        <v/>
      </c>
      <c r="F5544" s="11" t="str">
        <f aca="false">IF($A5544="","",IF(원본명단!$I5543="",0,COUNTIF(원본명단!$I$3:$I$6002,원본명단!$I5543)))</f>
        <v/>
      </c>
      <c r="G5544" s="11" t="str">
        <f aca="false">IF($A5544="","",IF(원본명단!$K5543="",0,COUNTIF(원본명단!$K$3:$K$6002,원본명단!$K5543)))</f>
        <v/>
      </c>
      <c r="H5544" s="11" t="str">
        <f aca="false">IF($A5544="","",IF(MAX($E5544,$F5544,$G5544)&gt;1,"중복","-"))</f>
        <v/>
      </c>
      <c r="I5544" s="11" t="str">
        <f aca="false">IF($A5544="","",IF($H5544="-","-",IF(AND(IF(원본명단!$H5543="",TRUE(),COUNTIF(원본명단!$H$3:$H5543,원본명단!$H5543)=1),IF(원본명단!$I5543="",TRUE(),COUNTIF(원본명단!$I$3:$I5543,원본명단!$I5543)=1),IF(원본명단!$K5543="",TRUE(),COUNTIF(원본명단!$K$3:$K5543,원본명단!$K5543)=1)),"첫 건","중복 건")))</f>
        <v/>
      </c>
      <c r="J5544" s="11" t="str">
        <f aca="false">IF($A5544="","",IF($H5544="-","유지",IF($I5544="첫 건","유지","확인 필요")))</f>
        <v/>
      </c>
    </row>
    <row r="5545" customFormat="false" ht="15" hidden="false" customHeight="true" outlineLevel="0" collapsed="false">
      <c r="A5545" s="11" t="str">
        <f aca="false">IF(원본명단!$A5544="","",5542)</f>
        <v/>
      </c>
      <c r="B5545" s="12" t="str">
        <f aca="false">IF($A5545="","",원본명단!$A5544)</f>
        <v/>
      </c>
      <c r="C5545" s="12" t="str">
        <f aca="false">IF($A5545="","",원본명단!$B5544)</f>
        <v/>
      </c>
      <c r="D5545" s="12" t="str">
        <f aca="false">IF($A5545="","",원본명단!$D5544)</f>
        <v/>
      </c>
      <c r="E5545" s="11" t="str">
        <f aca="false">IF($A5545="","",IF(원본명단!$H5544="",0,COUNTIF(원본명단!$H$3:$H$6002,원본명단!$H5544)))</f>
        <v/>
      </c>
      <c r="F5545" s="11" t="str">
        <f aca="false">IF($A5545="","",IF(원본명단!$I5544="",0,COUNTIF(원본명단!$I$3:$I$6002,원본명단!$I5544)))</f>
        <v/>
      </c>
      <c r="G5545" s="11" t="str">
        <f aca="false">IF($A5545="","",IF(원본명단!$K5544="",0,COUNTIF(원본명단!$K$3:$K$6002,원본명단!$K5544)))</f>
        <v/>
      </c>
      <c r="H5545" s="11" t="str">
        <f aca="false">IF($A5545="","",IF(MAX($E5545,$F5545,$G5545)&gt;1,"중복","-"))</f>
        <v/>
      </c>
      <c r="I5545" s="11" t="str">
        <f aca="false">IF($A5545="","",IF($H5545="-","-",IF(AND(IF(원본명단!$H5544="",TRUE(),COUNTIF(원본명단!$H$3:$H5544,원본명단!$H5544)=1),IF(원본명단!$I5544="",TRUE(),COUNTIF(원본명단!$I$3:$I5544,원본명단!$I5544)=1),IF(원본명단!$K5544="",TRUE(),COUNTIF(원본명단!$K$3:$K5544,원본명단!$K5544)=1)),"첫 건","중복 건")))</f>
        <v/>
      </c>
      <c r="J5545" s="11" t="str">
        <f aca="false">IF($A5545="","",IF($H5545="-","유지",IF($I5545="첫 건","유지","확인 필요")))</f>
        <v/>
      </c>
    </row>
    <row r="5546" customFormat="false" ht="15" hidden="false" customHeight="true" outlineLevel="0" collapsed="false">
      <c r="A5546" s="11" t="str">
        <f aca="false">IF(원본명단!$A5545="","",5543)</f>
        <v/>
      </c>
      <c r="B5546" s="12" t="str">
        <f aca="false">IF($A5546="","",원본명단!$A5545)</f>
        <v/>
      </c>
      <c r="C5546" s="12" t="str">
        <f aca="false">IF($A5546="","",원본명단!$B5545)</f>
        <v/>
      </c>
      <c r="D5546" s="12" t="str">
        <f aca="false">IF($A5546="","",원본명단!$D5545)</f>
        <v/>
      </c>
      <c r="E5546" s="11" t="str">
        <f aca="false">IF($A5546="","",IF(원본명단!$H5545="",0,COUNTIF(원본명단!$H$3:$H$6002,원본명단!$H5545)))</f>
        <v/>
      </c>
      <c r="F5546" s="11" t="str">
        <f aca="false">IF($A5546="","",IF(원본명단!$I5545="",0,COUNTIF(원본명단!$I$3:$I$6002,원본명단!$I5545)))</f>
        <v/>
      </c>
      <c r="G5546" s="11" t="str">
        <f aca="false">IF($A5546="","",IF(원본명단!$K5545="",0,COUNTIF(원본명단!$K$3:$K$6002,원본명단!$K5545)))</f>
        <v/>
      </c>
      <c r="H5546" s="11" t="str">
        <f aca="false">IF($A5546="","",IF(MAX($E5546,$F5546,$G5546)&gt;1,"중복","-"))</f>
        <v/>
      </c>
      <c r="I5546" s="11" t="str">
        <f aca="false">IF($A5546="","",IF($H5546="-","-",IF(AND(IF(원본명단!$H5545="",TRUE(),COUNTIF(원본명단!$H$3:$H5545,원본명단!$H5545)=1),IF(원본명단!$I5545="",TRUE(),COUNTIF(원본명단!$I$3:$I5545,원본명단!$I5545)=1),IF(원본명단!$K5545="",TRUE(),COUNTIF(원본명단!$K$3:$K5545,원본명단!$K5545)=1)),"첫 건","중복 건")))</f>
        <v/>
      </c>
      <c r="J5546" s="11" t="str">
        <f aca="false">IF($A5546="","",IF($H5546="-","유지",IF($I5546="첫 건","유지","확인 필요")))</f>
        <v/>
      </c>
    </row>
    <row r="5547" customFormat="false" ht="15" hidden="false" customHeight="true" outlineLevel="0" collapsed="false">
      <c r="A5547" s="11" t="str">
        <f aca="false">IF(원본명단!$A5546="","",5544)</f>
        <v/>
      </c>
      <c r="B5547" s="12" t="str">
        <f aca="false">IF($A5547="","",원본명단!$A5546)</f>
        <v/>
      </c>
      <c r="C5547" s="12" t="str">
        <f aca="false">IF($A5547="","",원본명단!$B5546)</f>
        <v/>
      </c>
      <c r="D5547" s="12" t="str">
        <f aca="false">IF($A5547="","",원본명단!$D5546)</f>
        <v/>
      </c>
      <c r="E5547" s="11" t="str">
        <f aca="false">IF($A5547="","",IF(원본명단!$H5546="",0,COUNTIF(원본명단!$H$3:$H$6002,원본명단!$H5546)))</f>
        <v/>
      </c>
      <c r="F5547" s="11" t="str">
        <f aca="false">IF($A5547="","",IF(원본명단!$I5546="",0,COUNTIF(원본명단!$I$3:$I$6002,원본명단!$I5546)))</f>
        <v/>
      </c>
      <c r="G5547" s="11" t="str">
        <f aca="false">IF($A5547="","",IF(원본명단!$K5546="",0,COUNTIF(원본명단!$K$3:$K$6002,원본명단!$K5546)))</f>
        <v/>
      </c>
      <c r="H5547" s="11" t="str">
        <f aca="false">IF($A5547="","",IF(MAX($E5547,$F5547,$G5547)&gt;1,"중복","-"))</f>
        <v/>
      </c>
      <c r="I5547" s="11" t="str">
        <f aca="false">IF($A5547="","",IF($H5547="-","-",IF(AND(IF(원본명단!$H5546="",TRUE(),COUNTIF(원본명단!$H$3:$H5546,원본명단!$H5546)=1),IF(원본명단!$I5546="",TRUE(),COUNTIF(원본명단!$I$3:$I5546,원본명단!$I5546)=1),IF(원본명단!$K5546="",TRUE(),COUNTIF(원본명단!$K$3:$K5546,원본명단!$K5546)=1)),"첫 건","중복 건")))</f>
        <v/>
      </c>
      <c r="J5547" s="11" t="str">
        <f aca="false">IF($A5547="","",IF($H5547="-","유지",IF($I5547="첫 건","유지","확인 필요")))</f>
        <v/>
      </c>
    </row>
    <row r="5548" customFormat="false" ht="15" hidden="false" customHeight="true" outlineLevel="0" collapsed="false">
      <c r="A5548" s="11" t="str">
        <f aca="false">IF(원본명단!$A5547="","",5545)</f>
        <v/>
      </c>
      <c r="B5548" s="12" t="str">
        <f aca="false">IF($A5548="","",원본명단!$A5547)</f>
        <v/>
      </c>
      <c r="C5548" s="12" t="str">
        <f aca="false">IF($A5548="","",원본명단!$B5547)</f>
        <v/>
      </c>
      <c r="D5548" s="12" t="str">
        <f aca="false">IF($A5548="","",원본명단!$D5547)</f>
        <v/>
      </c>
      <c r="E5548" s="11" t="str">
        <f aca="false">IF($A5548="","",IF(원본명단!$H5547="",0,COUNTIF(원본명단!$H$3:$H$6002,원본명단!$H5547)))</f>
        <v/>
      </c>
      <c r="F5548" s="11" t="str">
        <f aca="false">IF($A5548="","",IF(원본명단!$I5547="",0,COUNTIF(원본명단!$I$3:$I$6002,원본명단!$I5547)))</f>
        <v/>
      </c>
      <c r="G5548" s="11" t="str">
        <f aca="false">IF($A5548="","",IF(원본명단!$K5547="",0,COUNTIF(원본명단!$K$3:$K$6002,원본명단!$K5547)))</f>
        <v/>
      </c>
      <c r="H5548" s="11" t="str">
        <f aca="false">IF($A5548="","",IF(MAX($E5548,$F5548,$G5548)&gt;1,"중복","-"))</f>
        <v/>
      </c>
      <c r="I5548" s="11" t="str">
        <f aca="false">IF($A5548="","",IF($H5548="-","-",IF(AND(IF(원본명단!$H5547="",TRUE(),COUNTIF(원본명단!$H$3:$H5547,원본명단!$H5547)=1),IF(원본명단!$I5547="",TRUE(),COUNTIF(원본명단!$I$3:$I5547,원본명단!$I5547)=1),IF(원본명단!$K5547="",TRUE(),COUNTIF(원본명단!$K$3:$K5547,원본명단!$K5547)=1)),"첫 건","중복 건")))</f>
        <v/>
      </c>
      <c r="J5548" s="11" t="str">
        <f aca="false">IF($A5548="","",IF($H5548="-","유지",IF($I5548="첫 건","유지","확인 필요")))</f>
        <v/>
      </c>
    </row>
    <row r="5549" customFormat="false" ht="15" hidden="false" customHeight="true" outlineLevel="0" collapsed="false">
      <c r="A5549" s="11" t="str">
        <f aca="false">IF(원본명단!$A5548="","",5546)</f>
        <v/>
      </c>
      <c r="B5549" s="12" t="str">
        <f aca="false">IF($A5549="","",원본명단!$A5548)</f>
        <v/>
      </c>
      <c r="C5549" s="12" t="str">
        <f aca="false">IF($A5549="","",원본명단!$B5548)</f>
        <v/>
      </c>
      <c r="D5549" s="12" t="str">
        <f aca="false">IF($A5549="","",원본명단!$D5548)</f>
        <v/>
      </c>
      <c r="E5549" s="11" t="str">
        <f aca="false">IF($A5549="","",IF(원본명단!$H5548="",0,COUNTIF(원본명단!$H$3:$H$6002,원본명단!$H5548)))</f>
        <v/>
      </c>
      <c r="F5549" s="11" t="str">
        <f aca="false">IF($A5549="","",IF(원본명단!$I5548="",0,COUNTIF(원본명단!$I$3:$I$6002,원본명단!$I5548)))</f>
        <v/>
      </c>
      <c r="G5549" s="11" t="str">
        <f aca="false">IF($A5549="","",IF(원본명단!$K5548="",0,COUNTIF(원본명단!$K$3:$K$6002,원본명단!$K5548)))</f>
        <v/>
      </c>
      <c r="H5549" s="11" t="str">
        <f aca="false">IF($A5549="","",IF(MAX($E5549,$F5549,$G5549)&gt;1,"중복","-"))</f>
        <v/>
      </c>
      <c r="I5549" s="11" t="str">
        <f aca="false">IF($A5549="","",IF($H5549="-","-",IF(AND(IF(원본명단!$H5548="",TRUE(),COUNTIF(원본명단!$H$3:$H5548,원본명단!$H5548)=1),IF(원본명단!$I5548="",TRUE(),COUNTIF(원본명단!$I$3:$I5548,원본명단!$I5548)=1),IF(원본명단!$K5548="",TRUE(),COUNTIF(원본명단!$K$3:$K5548,원본명단!$K5548)=1)),"첫 건","중복 건")))</f>
        <v/>
      </c>
      <c r="J5549" s="11" t="str">
        <f aca="false">IF($A5549="","",IF($H5549="-","유지",IF($I5549="첫 건","유지","확인 필요")))</f>
        <v/>
      </c>
    </row>
    <row r="5550" customFormat="false" ht="15" hidden="false" customHeight="true" outlineLevel="0" collapsed="false">
      <c r="A5550" s="11" t="str">
        <f aca="false">IF(원본명단!$A5549="","",5547)</f>
        <v/>
      </c>
      <c r="B5550" s="12" t="str">
        <f aca="false">IF($A5550="","",원본명단!$A5549)</f>
        <v/>
      </c>
      <c r="C5550" s="12" t="str">
        <f aca="false">IF($A5550="","",원본명단!$B5549)</f>
        <v/>
      </c>
      <c r="D5550" s="12" t="str">
        <f aca="false">IF($A5550="","",원본명단!$D5549)</f>
        <v/>
      </c>
      <c r="E5550" s="11" t="str">
        <f aca="false">IF($A5550="","",IF(원본명단!$H5549="",0,COUNTIF(원본명단!$H$3:$H$6002,원본명단!$H5549)))</f>
        <v/>
      </c>
      <c r="F5550" s="11" t="str">
        <f aca="false">IF($A5550="","",IF(원본명단!$I5549="",0,COUNTIF(원본명단!$I$3:$I$6002,원본명단!$I5549)))</f>
        <v/>
      </c>
      <c r="G5550" s="11" t="str">
        <f aca="false">IF($A5550="","",IF(원본명단!$K5549="",0,COUNTIF(원본명단!$K$3:$K$6002,원본명단!$K5549)))</f>
        <v/>
      </c>
      <c r="H5550" s="11" t="str">
        <f aca="false">IF($A5550="","",IF(MAX($E5550,$F5550,$G5550)&gt;1,"중복","-"))</f>
        <v/>
      </c>
      <c r="I5550" s="11" t="str">
        <f aca="false">IF($A5550="","",IF($H5550="-","-",IF(AND(IF(원본명단!$H5549="",TRUE(),COUNTIF(원본명단!$H$3:$H5549,원본명단!$H5549)=1),IF(원본명단!$I5549="",TRUE(),COUNTIF(원본명단!$I$3:$I5549,원본명단!$I5549)=1),IF(원본명단!$K5549="",TRUE(),COUNTIF(원본명단!$K$3:$K5549,원본명단!$K5549)=1)),"첫 건","중복 건")))</f>
        <v/>
      </c>
      <c r="J5550" s="11" t="str">
        <f aca="false">IF($A5550="","",IF($H5550="-","유지",IF($I5550="첫 건","유지","확인 필요")))</f>
        <v/>
      </c>
    </row>
    <row r="5551" customFormat="false" ht="15" hidden="false" customHeight="true" outlineLevel="0" collapsed="false">
      <c r="A5551" s="11" t="str">
        <f aca="false">IF(원본명단!$A5550="","",5548)</f>
        <v/>
      </c>
      <c r="B5551" s="12" t="str">
        <f aca="false">IF($A5551="","",원본명단!$A5550)</f>
        <v/>
      </c>
      <c r="C5551" s="12" t="str">
        <f aca="false">IF($A5551="","",원본명단!$B5550)</f>
        <v/>
      </c>
      <c r="D5551" s="12" t="str">
        <f aca="false">IF($A5551="","",원본명단!$D5550)</f>
        <v/>
      </c>
      <c r="E5551" s="11" t="str">
        <f aca="false">IF($A5551="","",IF(원본명단!$H5550="",0,COUNTIF(원본명단!$H$3:$H$6002,원본명단!$H5550)))</f>
        <v/>
      </c>
      <c r="F5551" s="11" t="str">
        <f aca="false">IF($A5551="","",IF(원본명단!$I5550="",0,COUNTIF(원본명단!$I$3:$I$6002,원본명단!$I5550)))</f>
        <v/>
      </c>
      <c r="G5551" s="11" t="str">
        <f aca="false">IF($A5551="","",IF(원본명단!$K5550="",0,COUNTIF(원본명단!$K$3:$K$6002,원본명단!$K5550)))</f>
        <v/>
      </c>
      <c r="H5551" s="11" t="str">
        <f aca="false">IF($A5551="","",IF(MAX($E5551,$F5551,$G5551)&gt;1,"중복","-"))</f>
        <v/>
      </c>
      <c r="I5551" s="11" t="str">
        <f aca="false">IF($A5551="","",IF($H5551="-","-",IF(AND(IF(원본명단!$H5550="",TRUE(),COUNTIF(원본명단!$H$3:$H5550,원본명단!$H5550)=1),IF(원본명단!$I5550="",TRUE(),COUNTIF(원본명단!$I$3:$I5550,원본명단!$I5550)=1),IF(원본명단!$K5550="",TRUE(),COUNTIF(원본명단!$K$3:$K5550,원본명단!$K5550)=1)),"첫 건","중복 건")))</f>
        <v/>
      </c>
      <c r="J5551" s="11" t="str">
        <f aca="false">IF($A5551="","",IF($H5551="-","유지",IF($I5551="첫 건","유지","확인 필요")))</f>
        <v/>
      </c>
    </row>
    <row r="5552" customFormat="false" ht="15" hidden="false" customHeight="true" outlineLevel="0" collapsed="false">
      <c r="A5552" s="11" t="str">
        <f aca="false">IF(원본명단!$A5551="","",5549)</f>
        <v/>
      </c>
      <c r="B5552" s="12" t="str">
        <f aca="false">IF($A5552="","",원본명단!$A5551)</f>
        <v/>
      </c>
      <c r="C5552" s="12" t="str">
        <f aca="false">IF($A5552="","",원본명단!$B5551)</f>
        <v/>
      </c>
      <c r="D5552" s="12" t="str">
        <f aca="false">IF($A5552="","",원본명단!$D5551)</f>
        <v/>
      </c>
      <c r="E5552" s="11" t="str">
        <f aca="false">IF($A5552="","",IF(원본명단!$H5551="",0,COUNTIF(원본명단!$H$3:$H$6002,원본명단!$H5551)))</f>
        <v/>
      </c>
      <c r="F5552" s="11" t="str">
        <f aca="false">IF($A5552="","",IF(원본명단!$I5551="",0,COUNTIF(원본명단!$I$3:$I$6002,원본명단!$I5551)))</f>
        <v/>
      </c>
      <c r="G5552" s="11" t="str">
        <f aca="false">IF($A5552="","",IF(원본명단!$K5551="",0,COUNTIF(원본명단!$K$3:$K$6002,원본명단!$K5551)))</f>
        <v/>
      </c>
      <c r="H5552" s="11" t="str">
        <f aca="false">IF($A5552="","",IF(MAX($E5552,$F5552,$G5552)&gt;1,"중복","-"))</f>
        <v/>
      </c>
      <c r="I5552" s="11" t="str">
        <f aca="false">IF($A5552="","",IF($H5552="-","-",IF(AND(IF(원본명단!$H5551="",TRUE(),COUNTIF(원본명단!$H$3:$H5551,원본명단!$H5551)=1),IF(원본명단!$I5551="",TRUE(),COUNTIF(원본명단!$I$3:$I5551,원본명단!$I5551)=1),IF(원본명단!$K5551="",TRUE(),COUNTIF(원본명단!$K$3:$K5551,원본명단!$K5551)=1)),"첫 건","중복 건")))</f>
        <v/>
      </c>
      <c r="J5552" s="11" t="str">
        <f aca="false">IF($A5552="","",IF($H5552="-","유지",IF($I5552="첫 건","유지","확인 필요")))</f>
        <v/>
      </c>
    </row>
    <row r="5553" customFormat="false" ht="15" hidden="false" customHeight="true" outlineLevel="0" collapsed="false">
      <c r="A5553" s="11" t="str">
        <f aca="false">IF(원본명단!$A5552="","",5550)</f>
        <v/>
      </c>
      <c r="B5553" s="12" t="str">
        <f aca="false">IF($A5553="","",원본명단!$A5552)</f>
        <v/>
      </c>
      <c r="C5553" s="12" t="str">
        <f aca="false">IF($A5553="","",원본명단!$B5552)</f>
        <v/>
      </c>
      <c r="D5553" s="12" t="str">
        <f aca="false">IF($A5553="","",원본명단!$D5552)</f>
        <v/>
      </c>
      <c r="E5553" s="11" t="str">
        <f aca="false">IF($A5553="","",IF(원본명단!$H5552="",0,COUNTIF(원본명단!$H$3:$H$6002,원본명단!$H5552)))</f>
        <v/>
      </c>
      <c r="F5553" s="11" t="str">
        <f aca="false">IF($A5553="","",IF(원본명단!$I5552="",0,COUNTIF(원본명단!$I$3:$I$6002,원본명단!$I5552)))</f>
        <v/>
      </c>
      <c r="G5553" s="11" t="str">
        <f aca="false">IF($A5553="","",IF(원본명단!$K5552="",0,COUNTIF(원본명단!$K$3:$K$6002,원본명단!$K5552)))</f>
        <v/>
      </c>
      <c r="H5553" s="11" t="str">
        <f aca="false">IF($A5553="","",IF(MAX($E5553,$F5553,$G5553)&gt;1,"중복","-"))</f>
        <v/>
      </c>
      <c r="I5553" s="11" t="str">
        <f aca="false">IF($A5553="","",IF($H5553="-","-",IF(AND(IF(원본명단!$H5552="",TRUE(),COUNTIF(원본명단!$H$3:$H5552,원본명단!$H5552)=1),IF(원본명단!$I5552="",TRUE(),COUNTIF(원본명단!$I$3:$I5552,원본명단!$I5552)=1),IF(원본명단!$K5552="",TRUE(),COUNTIF(원본명단!$K$3:$K5552,원본명단!$K5552)=1)),"첫 건","중복 건")))</f>
        <v/>
      </c>
      <c r="J5553" s="11" t="str">
        <f aca="false">IF($A5553="","",IF($H5553="-","유지",IF($I5553="첫 건","유지","확인 필요")))</f>
        <v/>
      </c>
    </row>
    <row r="5554" customFormat="false" ht="15" hidden="false" customHeight="true" outlineLevel="0" collapsed="false">
      <c r="A5554" s="11" t="str">
        <f aca="false">IF(원본명단!$A5553="","",5551)</f>
        <v/>
      </c>
      <c r="B5554" s="12" t="str">
        <f aca="false">IF($A5554="","",원본명단!$A5553)</f>
        <v/>
      </c>
      <c r="C5554" s="12" t="str">
        <f aca="false">IF($A5554="","",원본명단!$B5553)</f>
        <v/>
      </c>
      <c r="D5554" s="12" t="str">
        <f aca="false">IF($A5554="","",원본명단!$D5553)</f>
        <v/>
      </c>
      <c r="E5554" s="11" t="str">
        <f aca="false">IF($A5554="","",IF(원본명단!$H5553="",0,COUNTIF(원본명단!$H$3:$H$6002,원본명단!$H5553)))</f>
        <v/>
      </c>
      <c r="F5554" s="11" t="str">
        <f aca="false">IF($A5554="","",IF(원본명단!$I5553="",0,COUNTIF(원본명단!$I$3:$I$6002,원본명단!$I5553)))</f>
        <v/>
      </c>
      <c r="G5554" s="11" t="str">
        <f aca="false">IF($A5554="","",IF(원본명단!$K5553="",0,COUNTIF(원본명단!$K$3:$K$6002,원본명단!$K5553)))</f>
        <v/>
      </c>
      <c r="H5554" s="11" t="str">
        <f aca="false">IF($A5554="","",IF(MAX($E5554,$F5554,$G5554)&gt;1,"중복","-"))</f>
        <v/>
      </c>
      <c r="I5554" s="11" t="str">
        <f aca="false">IF($A5554="","",IF($H5554="-","-",IF(AND(IF(원본명단!$H5553="",TRUE(),COUNTIF(원본명단!$H$3:$H5553,원본명단!$H5553)=1),IF(원본명단!$I5553="",TRUE(),COUNTIF(원본명단!$I$3:$I5553,원본명단!$I5553)=1),IF(원본명단!$K5553="",TRUE(),COUNTIF(원본명단!$K$3:$K5553,원본명단!$K5553)=1)),"첫 건","중복 건")))</f>
        <v/>
      </c>
      <c r="J5554" s="11" t="str">
        <f aca="false">IF($A5554="","",IF($H5554="-","유지",IF($I5554="첫 건","유지","확인 필요")))</f>
        <v/>
      </c>
    </row>
    <row r="5555" customFormat="false" ht="15" hidden="false" customHeight="true" outlineLevel="0" collapsed="false">
      <c r="A5555" s="11" t="str">
        <f aca="false">IF(원본명단!$A5554="","",5552)</f>
        <v/>
      </c>
      <c r="B5555" s="12" t="str">
        <f aca="false">IF($A5555="","",원본명단!$A5554)</f>
        <v/>
      </c>
      <c r="C5555" s="12" t="str">
        <f aca="false">IF($A5555="","",원본명단!$B5554)</f>
        <v/>
      </c>
      <c r="D5555" s="12" t="str">
        <f aca="false">IF($A5555="","",원본명단!$D5554)</f>
        <v/>
      </c>
      <c r="E5555" s="11" t="str">
        <f aca="false">IF($A5555="","",IF(원본명단!$H5554="",0,COUNTIF(원본명단!$H$3:$H$6002,원본명단!$H5554)))</f>
        <v/>
      </c>
      <c r="F5555" s="11" t="str">
        <f aca="false">IF($A5555="","",IF(원본명단!$I5554="",0,COUNTIF(원본명단!$I$3:$I$6002,원본명단!$I5554)))</f>
        <v/>
      </c>
      <c r="G5555" s="11" t="str">
        <f aca="false">IF($A5555="","",IF(원본명단!$K5554="",0,COUNTIF(원본명단!$K$3:$K$6002,원본명단!$K5554)))</f>
        <v/>
      </c>
      <c r="H5555" s="11" t="str">
        <f aca="false">IF($A5555="","",IF(MAX($E5555,$F5555,$G5555)&gt;1,"중복","-"))</f>
        <v/>
      </c>
      <c r="I5555" s="11" t="str">
        <f aca="false">IF($A5555="","",IF($H5555="-","-",IF(AND(IF(원본명단!$H5554="",TRUE(),COUNTIF(원본명단!$H$3:$H5554,원본명단!$H5554)=1),IF(원본명단!$I5554="",TRUE(),COUNTIF(원본명단!$I$3:$I5554,원본명단!$I5554)=1),IF(원본명단!$K5554="",TRUE(),COUNTIF(원본명단!$K$3:$K5554,원본명단!$K5554)=1)),"첫 건","중복 건")))</f>
        <v/>
      </c>
      <c r="J5555" s="11" t="str">
        <f aca="false">IF($A5555="","",IF($H5555="-","유지",IF($I5555="첫 건","유지","확인 필요")))</f>
        <v/>
      </c>
    </row>
    <row r="5556" customFormat="false" ht="15" hidden="false" customHeight="true" outlineLevel="0" collapsed="false">
      <c r="A5556" s="11" t="str">
        <f aca="false">IF(원본명단!$A5555="","",5553)</f>
        <v/>
      </c>
      <c r="B5556" s="12" t="str">
        <f aca="false">IF($A5556="","",원본명단!$A5555)</f>
        <v/>
      </c>
      <c r="C5556" s="12" t="str">
        <f aca="false">IF($A5556="","",원본명단!$B5555)</f>
        <v/>
      </c>
      <c r="D5556" s="12" t="str">
        <f aca="false">IF($A5556="","",원본명단!$D5555)</f>
        <v/>
      </c>
      <c r="E5556" s="11" t="str">
        <f aca="false">IF($A5556="","",IF(원본명단!$H5555="",0,COUNTIF(원본명단!$H$3:$H$6002,원본명단!$H5555)))</f>
        <v/>
      </c>
      <c r="F5556" s="11" t="str">
        <f aca="false">IF($A5556="","",IF(원본명단!$I5555="",0,COUNTIF(원본명단!$I$3:$I$6002,원본명단!$I5555)))</f>
        <v/>
      </c>
      <c r="G5556" s="11" t="str">
        <f aca="false">IF($A5556="","",IF(원본명단!$K5555="",0,COUNTIF(원본명단!$K$3:$K$6002,원본명단!$K5555)))</f>
        <v/>
      </c>
      <c r="H5556" s="11" t="str">
        <f aca="false">IF($A5556="","",IF(MAX($E5556,$F5556,$G5556)&gt;1,"중복","-"))</f>
        <v/>
      </c>
      <c r="I5556" s="11" t="str">
        <f aca="false">IF($A5556="","",IF($H5556="-","-",IF(AND(IF(원본명단!$H5555="",TRUE(),COUNTIF(원본명단!$H$3:$H5555,원본명단!$H5555)=1),IF(원본명단!$I5555="",TRUE(),COUNTIF(원본명단!$I$3:$I5555,원본명단!$I5555)=1),IF(원본명단!$K5555="",TRUE(),COUNTIF(원본명단!$K$3:$K5555,원본명단!$K5555)=1)),"첫 건","중복 건")))</f>
        <v/>
      </c>
      <c r="J5556" s="11" t="str">
        <f aca="false">IF($A5556="","",IF($H5556="-","유지",IF($I5556="첫 건","유지","확인 필요")))</f>
        <v/>
      </c>
    </row>
    <row r="5557" customFormat="false" ht="15" hidden="false" customHeight="true" outlineLevel="0" collapsed="false">
      <c r="A5557" s="11" t="str">
        <f aca="false">IF(원본명단!$A5556="","",5554)</f>
        <v/>
      </c>
      <c r="B5557" s="12" t="str">
        <f aca="false">IF($A5557="","",원본명단!$A5556)</f>
        <v/>
      </c>
      <c r="C5557" s="12" t="str">
        <f aca="false">IF($A5557="","",원본명단!$B5556)</f>
        <v/>
      </c>
      <c r="D5557" s="12" t="str">
        <f aca="false">IF($A5557="","",원본명단!$D5556)</f>
        <v/>
      </c>
      <c r="E5557" s="11" t="str">
        <f aca="false">IF($A5557="","",IF(원본명단!$H5556="",0,COUNTIF(원본명단!$H$3:$H$6002,원본명단!$H5556)))</f>
        <v/>
      </c>
      <c r="F5557" s="11" t="str">
        <f aca="false">IF($A5557="","",IF(원본명단!$I5556="",0,COUNTIF(원본명단!$I$3:$I$6002,원본명단!$I5556)))</f>
        <v/>
      </c>
      <c r="G5557" s="11" t="str">
        <f aca="false">IF($A5557="","",IF(원본명단!$K5556="",0,COUNTIF(원본명단!$K$3:$K$6002,원본명단!$K5556)))</f>
        <v/>
      </c>
      <c r="H5557" s="11" t="str">
        <f aca="false">IF($A5557="","",IF(MAX($E5557,$F5557,$G5557)&gt;1,"중복","-"))</f>
        <v/>
      </c>
      <c r="I5557" s="11" t="str">
        <f aca="false">IF($A5557="","",IF($H5557="-","-",IF(AND(IF(원본명단!$H5556="",TRUE(),COUNTIF(원본명단!$H$3:$H5556,원본명단!$H5556)=1),IF(원본명단!$I5556="",TRUE(),COUNTIF(원본명단!$I$3:$I5556,원본명단!$I5556)=1),IF(원본명단!$K5556="",TRUE(),COUNTIF(원본명단!$K$3:$K5556,원본명단!$K5556)=1)),"첫 건","중복 건")))</f>
        <v/>
      </c>
      <c r="J5557" s="11" t="str">
        <f aca="false">IF($A5557="","",IF($H5557="-","유지",IF($I5557="첫 건","유지","확인 필요")))</f>
        <v/>
      </c>
    </row>
    <row r="5558" customFormat="false" ht="15" hidden="false" customHeight="true" outlineLevel="0" collapsed="false">
      <c r="A5558" s="11" t="str">
        <f aca="false">IF(원본명단!$A5557="","",5555)</f>
        <v/>
      </c>
      <c r="B5558" s="12" t="str">
        <f aca="false">IF($A5558="","",원본명단!$A5557)</f>
        <v/>
      </c>
      <c r="C5558" s="12" t="str">
        <f aca="false">IF($A5558="","",원본명단!$B5557)</f>
        <v/>
      </c>
      <c r="D5558" s="12" t="str">
        <f aca="false">IF($A5558="","",원본명단!$D5557)</f>
        <v/>
      </c>
      <c r="E5558" s="11" t="str">
        <f aca="false">IF($A5558="","",IF(원본명단!$H5557="",0,COUNTIF(원본명단!$H$3:$H$6002,원본명단!$H5557)))</f>
        <v/>
      </c>
      <c r="F5558" s="11" t="str">
        <f aca="false">IF($A5558="","",IF(원본명단!$I5557="",0,COUNTIF(원본명단!$I$3:$I$6002,원본명단!$I5557)))</f>
        <v/>
      </c>
      <c r="G5558" s="11" t="str">
        <f aca="false">IF($A5558="","",IF(원본명단!$K5557="",0,COUNTIF(원본명단!$K$3:$K$6002,원본명단!$K5557)))</f>
        <v/>
      </c>
      <c r="H5558" s="11" t="str">
        <f aca="false">IF($A5558="","",IF(MAX($E5558,$F5558,$G5558)&gt;1,"중복","-"))</f>
        <v/>
      </c>
      <c r="I5558" s="11" t="str">
        <f aca="false">IF($A5558="","",IF($H5558="-","-",IF(AND(IF(원본명단!$H5557="",TRUE(),COUNTIF(원본명단!$H$3:$H5557,원본명단!$H5557)=1),IF(원본명단!$I5557="",TRUE(),COUNTIF(원본명단!$I$3:$I5557,원본명단!$I5557)=1),IF(원본명단!$K5557="",TRUE(),COUNTIF(원본명단!$K$3:$K5557,원본명단!$K5557)=1)),"첫 건","중복 건")))</f>
        <v/>
      </c>
      <c r="J5558" s="11" t="str">
        <f aca="false">IF($A5558="","",IF($H5558="-","유지",IF($I5558="첫 건","유지","확인 필요")))</f>
        <v/>
      </c>
    </row>
    <row r="5559" customFormat="false" ht="15" hidden="false" customHeight="true" outlineLevel="0" collapsed="false">
      <c r="A5559" s="11" t="str">
        <f aca="false">IF(원본명단!$A5558="","",5556)</f>
        <v/>
      </c>
      <c r="B5559" s="12" t="str">
        <f aca="false">IF($A5559="","",원본명단!$A5558)</f>
        <v/>
      </c>
      <c r="C5559" s="12" t="str">
        <f aca="false">IF($A5559="","",원본명단!$B5558)</f>
        <v/>
      </c>
      <c r="D5559" s="12" t="str">
        <f aca="false">IF($A5559="","",원본명단!$D5558)</f>
        <v/>
      </c>
      <c r="E5559" s="11" t="str">
        <f aca="false">IF($A5559="","",IF(원본명단!$H5558="",0,COUNTIF(원본명단!$H$3:$H$6002,원본명단!$H5558)))</f>
        <v/>
      </c>
      <c r="F5559" s="11" t="str">
        <f aca="false">IF($A5559="","",IF(원본명단!$I5558="",0,COUNTIF(원본명단!$I$3:$I$6002,원본명단!$I5558)))</f>
        <v/>
      </c>
      <c r="G5559" s="11" t="str">
        <f aca="false">IF($A5559="","",IF(원본명단!$K5558="",0,COUNTIF(원본명단!$K$3:$K$6002,원본명단!$K5558)))</f>
        <v/>
      </c>
      <c r="H5559" s="11" t="str">
        <f aca="false">IF($A5559="","",IF(MAX($E5559,$F5559,$G5559)&gt;1,"중복","-"))</f>
        <v/>
      </c>
      <c r="I5559" s="11" t="str">
        <f aca="false">IF($A5559="","",IF($H5559="-","-",IF(AND(IF(원본명단!$H5558="",TRUE(),COUNTIF(원본명단!$H$3:$H5558,원본명단!$H5558)=1),IF(원본명단!$I5558="",TRUE(),COUNTIF(원본명단!$I$3:$I5558,원본명단!$I5558)=1),IF(원본명단!$K5558="",TRUE(),COUNTIF(원본명단!$K$3:$K5558,원본명단!$K5558)=1)),"첫 건","중복 건")))</f>
        <v/>
      </c>
      <c r="J5559" s="11" t="str">
        <f aca="false">IF($A5559="","",IF($H5559="-","유지",IF($I5559="첫 건","유지","확인 필요")))</f>
        <v/>
      </c>
    </row>
    <row r="5560" customFormat="false" ht="15" hidden="false" customHeight="true" outlineLevel="0" collapsed="false">
      <c r="A5560" s="11" t="str">
        <f aca="false">IF(원본명단!$A5559="","",5557)</f>
        <v/>
      </c>
      <c r="B5560" s="12" t="str">
        <f aca="false">IF($A5560="","",원본명단!$A5559)</f>
        <v/>
      </c>
      <c r="C5560" s="12" t="str">
        <f aca="false">IF($A5560="","",원본명단!$B5559)</f>
        <v/>
      </c>
      <c r="D5560" s="12" t="str">
        <f aca="false">IF($A5560="","",원본명단!$D5559)</f>
        <v/>
      </c>
      <c r="E5560" s="11" t="str">
        <f aca="false">IF($A5560="","",IF(원본명단!$H5559="",0,COUNTIF(원본명단!$H$3:$H$6002,원본명단!$H5559)))</f>
        <v/>
      </c>
      <c r="F5560" s="11" t="str">
        <f aca="false">IF($A5560="","",IF(원본명단!$I5559="",0,COUNTIF(원본명단!$I$3:$I$6002,원본명단!$I5559)))</f>
        <v/>
      </c>
      <c r="G5560" s="11" t="str">
        <f aca="false">IF($A5560="","",IF(원본명단!$K5559="",0,COUNTIF(원본명단!$K$3:$K$6002,원본명단!$K5559)))</f>
        <v/>
      </c>
      <c r="H5560" s="11" t="str">
        <f aca="false">IF($A5560="","",IF(MAX($E5560,$F5560,$G5560)&gt;1,"중복","-"))</f>
        <v/>
      </c>
      <c r="I5560" s="11" t="str">
        <f aca="false">IF($A5560="","",IF($H5560="-","-",IF(AND(IF(원본명단!$H5559="",TRUE(),COUNTIF(원본명단!$H$3:$H5559,원본명단!$H5559)=1),IF(원본명단!$I5559="",TRUE(),COUNTIF(원본명단!$I$3:$I5559,원본명단!$I5559)=1),IF(원본명단!$K5559="",TRUE(),COUNTIF(원본명단!$K$3:$K5559,원본명단!$K5559)=1)),"첫 건","중복 건")))</f>
        <v/>
      </c>
      <c r="J5560" s="11" t="str">
        <f aca="false">IF($A5560="","",IF($H5560="-","유지",IF($I5560="첫 건","유지","확인 필요")))</f>
        <v/>
      </c>
    </row>
    <row r="5561" customFormat="false" ht="15" hidden="false" customHeight="true" outlineLevel="0" collapsed="false">
      <c r="A5561" s="11" t="str">
        <f aca="false">IF(원본명단!$A5560="","",5558)</f>
        <v/>
      </c>
      <c r="B5561" s="12" t="str">
        <f aca="false">IF($A5561="","",원본명단!$A5560)</f>
        <v/>
      </c>
      <c r="C5561" s="12" t="str">
        <f aca="false">IF($A5561="","",원본명단!$B5560)</f>
        <v/>
      </c>
      <c r="D5561" s="12" t="str">
        <f aca="false">IF($A5561="","",원본명단!$D5560)</f>
        <v/>
      </c>
      <c r="E5561" s="11" t="str">
        <f aca="false">IF($A5561="","",IF(원본명단!$H5560="",0,COUNTIF(원본명단!$H$3:$H$6002,원본명단!$H5560)))</f>
        <v/>
      </c>
      <c r="F5561" s="11" t="str">
        <f aca="false">IF($A5561="","",IF(원본명단!$I5560="",0,COUNTIF(원본명단!$I$3:$I$6002,원본명단!$I5560)))</f>
        <v/>
      </c>
      <c r="G5561" s="11" t="str">
        <f aca="false">IF($A5561="","",IF(원본명단!$K5560="",0,COUNTIF(원본명단!$K$3:$K$6002,원본명단!$K5560)))</f>
        <v/>
      </c>
      <c r="H5561" s="11" t="str">
        <f aca="false">IF($A5561="","",IF(MAX($E5561,$F5561,$G5561)&gt;1,"중복","-"))</f>
        <v/>
      </c>
      <c r="I5561" s="11" t="str">
        <f aca="false">IF($A5561="","",IF($H5561="-","-",IF(AND(IF(원본명단!$H5560="",TRUE(),COUNTIF(원본명단!$H$3:$H5560,원본명단!$H5560)=1),IF(원본명단!$I5560="",TRUE(),COUNTIF(원본명단!$I$3:$I5560,원본명단!$I5560)=1),IF(원본명단!$K5560="",TRUE(),COUNTIF(원본명단!$K$3:$K5560,원본명단!$K5560)=1)),"첫 건","중복 건")))</f>
        <v/>
      </c>
      <c r="J5561" s="11" t="str">
        <f aca="false">IF($A5561="","",IF($H5561="-","유지",IF($I5561="첫 건","유지","확인 필요")))</f>
        <v/>
      </c>
    </row>
    <row r="5562" customFormat="false" ht="15" hidden="false" customHeight="true" outlineLevel="0" collapsed="false">
      <c r="A5562" s="11" t="str">
        <f aca="false">IF(원본명단!$A5561="","",5559)</f>
        <v/>
      </c>
      <c r="B5562" s="12" t="str">
        <f aca="false">IF($A5562="","",원본명단!$A5561)</f>
        <v/>
      </c>
      <c r="C5562" s="12" t="str">
        <f aca="false">IF($A5562="","",원본명단!$B5561)</f>
        <v/>
      </c>
      <c r="D5562" s="12" t="str">
        <f aca="false">IF($A5562="","",원본명단!$D5561)</f>
        <v/>
      </c>
      <c r="E5562" s="11" t="str">
        <f aca="false">IF($A5562="","",IF(원본명단!$H5561="",0,COUNTIF(원본명단!$H$3:$H$6002,원본명단!$H5561)))</f>
        <v/>
      </c>
      <c r="F5562" s="11" t="str">
        <f aca="false">IF($A5562="","",IF(원본명단!$I5561="",0,COUNTIF(원본명단!$I$3:$I$6002,원본명단!$I5561)))</f>
        <v/>
      </c>
      <c r="G5562" s="11" t="str">
        <f aca="false">IF($A5562="","",IF(원본명단!$K5561="",0,COUNTIF(원본명단!$K$3:$K$6002,원본명단!$K5561)))</f>
        <v/>
      </c>
      <c r="H5562" s="11" t="str">
        <f aca="false">IF($A5562="","",IF(MAX($E5562,$F5562,$G5562)&gt;1,"중복","-"))</f>
        <v/>
      </c>
      <c r="I5562" s="11" t="str">
        <f aca="false">IF($A5562="","",IF($H5562="-","-",IF(AND(IF(원본명단!$H5561="",TRUE(),COUNTIF(원본명단!$H$3:$H5561,원본명단!$H5561)=1),IF(원본명단!$I5561="",TRUE(),COUNTIF(원본명단!$I$3:$I5561,원본명단!$I5561)=1),IF(원본명단!$K5561="",TRUE(),COUNTIF(원본명단!$K$3:$K5561,원본명단!$K5561)=1)),"첫 건","중복 건")))</f>
        <v/>
      </c>
      <c r="J5562" s="11" t="str">
        <f aca="false">IF($A5562="","",IF($H5562="-","유지",IF($I5562="첫 건","유지","확인 필요")))</f>
        <v/>
      </c>
    </row>
    <row r="5563" customFormat="false" ht="15" hidden="false" customHeight="true" outlineLevel="0" collapsed="false">
      <c r="A5563" s="11" t="str">
        <f aca="false">IF(원본명단!$A5562="","",5560)</f>
        <v/>
      </c>
      <c r="B5563" s="12" t="str">
        <f aca="false">IF($A5563="","",원본명단!$A5562)</f>
        <v/>
      </c>
      <c r="C5563" s="12" t="str">
        <f aca="false">IF($A5563="","",원본명단!$B5562)</f>
        <v/>
      </c>
      <c r="D5563" s="12" t="str">
        <f aca="false">IF($A5563="","",원본명단!$D5562)</f>
        <v/>
      </c>
      <c r="E5563" s="11" t="str">
        <f aca="false">IF($A5563="","",IF(원본명단!$H5562="",0,COUNTIF(원본명단!$H$3:$H$6002,원본명단!$H5562)))</f>
        <v/>
      </c>
      <c r="F5563" s="11" t="str">
        <f aca="false">IF($A5563="","",IF(원본명단!$I5562="",0,COUNTIF(원본명단!$I$3:$I$6002,원본명단!$I5562)))</f>
        <v/>
      </c>
      <c r="G5563" s="11" t="str">
        <f aca="false">IF($A5563="","",IF(원본명단!$K5562="",0,COUNTIF(원본명단!$K$3:$K$6002,원본명단!$K5562)))</f>
        <v/>
      </c>
      <c r="H5563" s="11" t="str">
        <f aca="false">IF($A5563="","",IF(MAX($E5563,$F5563,$G5563)&gt;1,"중복","-"))</f>
        <v/>
      </c>
      <c r="I5563" s="11" t="str">
        <f aca="false">IF($A5563="","",IF($H5563="-","-",IF(AND(IF(원본명단!$H5562="",TRUE(),COUNTIF(원본명단!$H$3:$H5562,원본명단!$H5562)=1),IF(원본명단!$I5562="",TRUE(),COUNTIF(원본명단!$I$3:$I5562,원본명단!$I5562)=1),IF(원본명단!$K5562="",TRUE(),COUNTIF(원본명단!$K$3:$K5562,원본명단!$K5562)=1)),"첫 건","중복 건")))</f>
        <v/>
      </c>
      <c r="J5563" s="11" t="str">
        <f aca="false">IF($A5563="","",IF($H5563="-","유지",IF($I5563="첫 건","유지","확인 필요")))</f>
        <v/>
      </c>
    </row>
    <row r="5564" customFormat="false" ht="15" hidden="false" customHeight="true" outlineLevel="0" collapsed="false">
      <c r="A5564" s="11" t="str">
        <f aca="false">IF(원본명단!$A5563="","",5561)</f>
        <v/>
      </c>
      <c r="B5564" s="12" t="str">
        <f aca="false">IF($A5564="","",원본명단!$A5563)</f>
        <v/>
      </c>
      <c r="C5564" s="12" t="str">
        <f aca="false">IF($A5564="","",원본명단!$B5563)</f>
        <v/>
      </c>
      <c r="D5564" s="12" t="str">
        <f aca="false">IF($A5564="","",원본명단!$D5563)</f>
        <v/>
      </c>
      <c r="E5564" s="11" t="str">
        <f aca="false">IF($A5564="","",IF(원본명단!$H5563="",0,COUNTIF(원본명단!$H$3:$H$6002,원본명단!$H5563)))</f>
        <v/>
      </c>
      <c r="F5564" s="11" t="str">
        <f aca="false">IF($A5564="","",IF(원본명단!$I5563="",0,COUNTIF(원본명단!$I$3:$I$6002,원본명단!$I5563)))</f>
        <v/>
      </c>
      <c r="G5564" s="11" t="str">
        <f aca="false">IF($A5564="","",IF(원본명단!$K5563="",0,COUNTIF(원본명단!$K$3:$K$6002,원본명단!$K5563)))</f>
        <v/>
      </c>
      <c r="H5564" s="11" t="str">
        <f aca="false">IF($A5564="","",IF(MAX($E5564,$F5564,$G5564)&gt;1,"중복","-"))</f>
        <v/>
      </c>
      <c r="I5564" s="11" t="str">
        <f aca="false">IF($A5564="","",IF($H5564="-","-",IF(AND(IF(원본명단!$H5563="",TRUE(),COUNTIF(원본명단!$H$3:$H5563,원본명단!$H5563)=1),IF(원본명단!$I5563="",TRUE(),COUNTIF(원본명단!$I$3:$I5563,원본명단!$I5563)=1),IF(원본명단!$K5563="",TRUE(),COUNTIF(원본명단!$K$3:$K5563,원본명단!$K5563)=1)),"첫 건","중복 건")))</f>
        <v/>
      </c>
      <c r="J5564" s="11" t="str">
        <f aca="false">IF($A5564="","",IF($H5564="-","유지",IF($I5564="첫 건","유지","확인 필요")))</f>
        <v/>
      </c>
    </row>
    <row r="5565" customFormat="false" ht="15" hidden="false" customHeight="true" outlineLevel="0" collapsed="false">
      <c r="A5565" s="11" t="str">
        <f aca="false">IF(원본명단!$A5564="","",5562)</f>
        <v/>
      </c>
      <c r="B5565" s="12" t="str">
        <f aca="false">IF($A5565="","",원본명단!$A5564)</f>
        <v/>
      </c>
      <c r="C5565" s="12" t="str">
        <f aca="false">IF($A5565="","",원본명단!$B5564)</f>
        <v/>
      </c>
      <c r="D5565" s="12" t="str">
        <f aca="false">IF($A5565="","",원본명단!$D5564)</f>
        <v/>
      </c>
      <c r="E5565" s="11" t="str">
        <f aca="false">IF($A5565="","",IF(원본명단!$H5564="",0,COUNTIF(원본명단!$H$3:$H$6002,원본명단!$H5564)))</f>
        <v/>
      </c>
      <c r="F5565" s="11" t="str">
        <f aca="false">IF($A5565="","",IF(원본명단!$I5564="",0,COUNTIF(원본명단!$I$3:$I$6002,원본명단!$I5564)))</f>
        <v/>
      </c>
      <c r="G5565" s="11" t="str">
        <f aca="false">IF($A5565="","",IF(원본명단!$K5564="",0,COUNTIF(원본명단!$K$3:$K$6002,원본명단!$K5564)))</f>
        <v/>
      </c>
      <c r="H5565" s="11" t="str">
        <f aca="false">IF($A5565="","",IF(MAX($E5565,$F5565,$G5565)&gt;1,"중복","-"))</f>
        <v/>
      </c>
      <c r="I5565" s="11" t="str">
        <f aca="false">IF($A5565="","",IF($H5565="-","-",IF(AND(IF(원본명단!$H5564="",TRUE(),COUNTIF(원본명단!$H$3:$H5564,원본명단!$H5564)=1),IF(원본명단!$I5564="",TRUE(),COUNTIF(원본명단!$I$3:$I5564,원본명단!$I5564)=1),IF(원본명단!$K5564="",TRUE(),COUNTIF(원본명단!$K$3:$K5564,원본명단!$K5564)=1)),"첫 건","중복 건")))</f>
        <v/>
      </c>
      <c r="J5565" s="11" t="str">
        <f aca="false">IF($A5565="","",IF($H5565="-","유지",IF($I5565="첫 건","유지","확인 필요")))</f>
        <v/>
      </c>
    </row>
    <row r="5566" customFormat="false" ht="15" hidden="false" customHeight="true" outlineLevel="0" collapsed="false">
      <c r="A5566" s="11" t="str">
        <f aca="false">IF(원본명단!$A5565="","",5563)</f>
        <v/>
      </c>
      <c r="B5566" s="12" t="str">
        <f aca="false">IF($A5566="","",원본명단!$A5565)</f>
        <v/>
      </c>
      <c r="C5566" s="12" t="str">
        <f aca="false">IF($A5566="","",원본명단!$B5565)</f>
        <v/>
      </c>
      <c r="D5566" s="12" t="str">
        <f aca="false">IF($A5566="","",원본명단!$D5565)</f>
        <v/>
      </c>
      <c r="E5566" s="11" t="str">
        <f aca="false">IF($A5566="","",IF(원본명단!$H5565="",0,COUNTIF(원본명단!$H$3:$H$6002,원본명단!$H5565)))</f>
        <v/>
      </c>
      <c r="F5566" s="11" t="str">
        <f aca="false">IF($A5566="","",IF(원본명단!$I5565="",0,COUNTIF(원본명단!$I$3:$I$6002,원본명단!$I5565)))</f>
        <v/>
      </c>
      <c r="G5566" s="11" t="str">
        <f aca="false">IF($A5566="","",IF(원본명단!$K5565="",0,COUNTIF(원본명단!$K$3:$K$6002,원본명단!$K5565)))</f>
        <v/>
      </c>
      <c r="H5566" s="11" t="str">
        <f aca="false">IF($A5566="","",IF(MAX($E5566,$F5566,$G5566)&gt;1,"중복","-"))</f>
        <v/>
      </c>
      <c r="I5566" s="11" t="str">
        <f aca="false">IF($A5566="","",IF($H5566="-","-",IF(AND(IF(원본명단!$H5565="",TRUE(),COUNTIF(원본명단!$H$3:$H5565,원본명단!$H5565)=1),IF(원본명단!$I5565="",TRUE(),COUNTIF(원본명단!$I$3:$I5565,원본명단!$I5565)=1),IF(원본명단!$K5565="",TRUE(),COUNTIF(원본명단!$K$3:$K5565,원본명단!$K5565)=1)),"첫 건","중복 건")))</f>
        <v/>
      </c>
      <c r="J5566" s="11" t="str">
        <f aca="false">IF($A5566="","",IF($H5566="-","유지",IF($I5566="첫 건","유지","확인 필요")))</f>
        <v/>
      </c>
    </row>
    <row r="5567" customFormat="false" ht="15" hidden="false" customHeight="true" outlineLevel="0" collapsed="false">
      <c r="A5567" s="11" t="str">
        <f aca="false">IF(원본명단!$A5566="","",5564)</f>
        <v/>
      </c>
      <c r="B5567" s="12" t="str">
        <f aca="false">IF($A5567="","",원본명단!$A5566)</f>
        <v/>
      </c>
      <c r="C5567" s="12" t="str">
        <f aca="false">IF($A5567="","",원본명단!$B5566)</f>
        <v/>
      </c>
      <c r="D5567" s="12" t="str">
        <f aca="false">IF($A5567="","",원본명단!$D5566)</f>
        <v/>
      </c>
      <c r="E5567" s="11" t="str">
        <f aca="false">IF($A5567="","",IF(원본명단!$H5566="",0,COUNTIF(원본명단!$H$3:$H$6002,원본명단!$H5566)))</f>
        <v/>
      </c>
      <c r="F5567" s="11" t="str">
        <f aca="false">IF($A5567="","",IF(원본명단!$I5566="",0,COUNTIF(원본명단!$I$3:$I$6002,원본명단!$I5566)))</f>
        <v/>
      </c>
      <c r="G5567" s="11" t="str">
        <f aca="false">IF($A5567="","",IF(원본명단!$K5566="",0,COUNTIF(원본명단!$K$3:$K$6002,원본명단!$K5566)))</f>
        <v/>
      </c>
      <c r="H5567" s="11" t="str">
        <f aca="false">IF($A5567="","",IF(MAX($E5567,$F5567,$G5567)&gt;1,"중복","-"))</f>
        <v/>
      </c>
      <c r="I5567" s="11" t="str">
        <f aca="false">IF($A5567="","",IF($H5567="-","-",IF(AND(IF(원본명단!$H5566="",TRUE(),COUNTIF(원본명단!$H$3:$H5566,원본명단!$H5566)=1),IF(원본명단!$I5566="",TRUE(),COUNTIF(원본명단!$I$3:$I5566,원본명단!$I5566)=1),IF(원본명단!$K5566="",TRUE(),COUNTIF(원본명단!$K$3:$K5566,원본명단!$K5566)=1)),"첫 건","중복 건")))</f>
        <v/>
      </c>
      <c r="J5567" s="11" t="str">
        <f aca="false">IF($A5567="","",IF($H5567="-","유지",IF($I5567="첫 건","유지","확인 필요")))</f>
        <v/>
      </c>
    </row>
    <row r="5568" customFormat="false" ht="15" hidden="false" customHeight="true" outlineLevel="0" collapsed="false">
      <c r="A5568" s="11" t="str">
        <f aca="false">IF(원본명단!$A5567="","",5565)</f>
        <v/>
      </c>
      <c r="B5568" s="12" t="str">
        <f aca="false">IF($A5568="","",원본명단!$A5567)</f>
        <v/>
      </c>
      <c r="C5568" s="12" t="str">
        <f aca="false">IF($A5568="","",원본명단!$B5567)</f>
        <v/>
      </c>
      <c r="D5568" s="12" t="str">
        <f aca="false">IF($A5568="","",원본명단!$D5567)</f>
        <v/>
      </c>
      <c r="E5568" s="11" t="str">
        <f aca="false">IF($A5568="","",IF(원본명단!$H5567="",0,COUNTIF(원본명단!$H$3:$H$6002,원본명단!$H5567)))</f>
        <v/>
      </c>
      <c r="F5568" s="11" t="str">
        <f aca="false">IF($A5568="","",IF(원본명단!$I5567="",0,COUNTIF(원본명단!$I$3:$I$6002,원본명단!$I5567)))</f>
        <v/>
      </c>
      <c r="G5568" s="11" t="str">
        <f aca="false">IF($A5568="","",IF(원본명단!$K5567="",0,COUNTIF(원본명단!$K$3:$K$6002,원본명단!$K5567)))</f>
        <v/>
      </c>
      <c r="H5568" s="11" t="str">
        <f aca="false">IF($A5568="","",IF(MAX($E5568,$F5568,$G5568)&gt;1,"중복","-"))</f>
        <v/>
      </c>
      <c r="I5568" s="11" t="str">
        <f aca="false">IF($A5568="","",IF($H5568="-","-",IF(AND(IF(원본명단!$H5567="",TRUE(),COUNTIF(원본명단!$H$3:$H5567,원본명단!$H5567)=1),IF(원본명단!$I5567="",TRUE(),COUNTIF(원본명단!$I$3:$I5567,원본명단!$I5567)=1),IF(원본명단!$K5567="",TRUE(),COUNTIF(원본명단!$K$3:$K5567,원본명단!$K5567)=1)),"첫 건","중복 건")))</f>
        <v/>
      </c>
      <c r="J5568" s="11" t="str">
        <f aca="false">IF($A5568="","",IF($H5568="-","유지",IF($I5568="첫 건","유지","확인 필요")))</f>
        <v/>
      </c>
    </row>
    <row r="5569" customFormat="false" ht="15" hidden="false" customHeight="true" outlineLevel="0" collapsed="false">
      <c r="A5569" s="11" t="str">
        <f aca="false">IF(원본명단!$A5568="","",5566)</f>
        <v/>
      </c>
      <c r="B5569" s="12" t="str">
        <f aca="false">IF($A5569="","",원본명단!$A5568)</f>
        <v/>
      </c>
      <c r="C5569" s="12" t="str">
        <f aca="false">IF($A5569="","",원본명단!$B5568)</f>
        <v/>
      </c>
      <c r="D5569" s="12" t="str">
        <f aca="false">IF($A5569="","",원본명단!$D5568)</f>
        <v/>
      </c>
      <c r="E5569" s="11" t="str">
        <f aca="false">IF($A5569="","",IF(원본명단!$H5568="",0,COUNTIF(원본명단!$H$3:$H$6002,원본명단!$H5568)))</f>
        <v/>
      </c>
      <c r="F5569" s="11" t="str">
        <f aca="false">IF($A5569="","",IF(원본명단!$I5568="",0,COUNTIF(원본명단!$I$3:$I$6002,원본명단!$I5568)))</f>
        <v/>
      </c>
      <c r="G5569" s="11" t="str">
        <f aca="false">IF($A5569="","",IF(원본명단!$K5568="",0,COUNTIF(원본명단!$K$3:$K$6002,원본명단!$K5568)))</f>
        <v/>
      </c>
      <c r="H5569" s="11" t="str">
        <f aca="false">IF($A5569="","",IF(MAX($E5569,$F5569,$G5569)&gt;1,"중복","-"))</f>
        <v/>
      </c>
      <c r="I5569" s="11" t="str">
        <f aca="false">IF($A5569="","",IF($H5569="-","-",IF(AND(IF(원본명단!$H5568="",TRUE(),COUNTIF(원본명단!$H$3:$H5568,원본명단!$H5568)=1),IF(원본명단!$I5568="",TRUE(),COUNTIF(원본명단!$I$3:$I5568,원본명단!$I5568)=1),IF(원본명단!$K5568="",TRUE(),COUNTIF(원본명단!$K$3:$K5568,원본명단!$K5568)=1)),"첫 건","중복 건")))</f>
        <v/>
      </c>
      <c r="J5569" s="11" t="str">
        <f aca="false">IF($A5569="","",IF($H5569="-","유지",IF($I5569="첫 건","유지","확인 필요")))</f>
        <v/>
      </c>
    </row>
    <row r="5570" customFormat="false" ht="15" hidden="false" customHeight="true" outlineLevel="0" collapsed="false">
      <c r="A5570" s="11" t="str">
        <f aca="false">IF(원본명단!$A5569="","",5567)</f>
        <v/>
      </c>
      <c r="B5570" s="12" t="str">
        <f aca="false">IF($A5570="","",원본명단!$A5569)</f>
        <v/>
      </c>
      <c r="C5570" s="12" t="str">
        <f aca="false">IF($A5570="","",원본명단!$B5569)</f>
        <v/>
      </c>
      <c r="D5570" s="12" t="str">
        <f aca="false">IF($A5570="","",원본명단!$D5569)</f>
        <v/>
      </c>
      <c r="E5570" s="11" t="str">
        <f aca="false">IF($A5570="","",IF(원본명단!$H5569="",0,COUNTIF(원본명단!$H$3:$H$6002,원본명단!$H5569)))</f>
        <v/>
      </c>
      <c r="F5570" s="11" t="str">
        <f aca="false">IF($A5570="","",IF(원본명단!$I5569="",0,COUNTIF(원본명단!$I$3:$I$6002,원본명단!$I5569)))</f>
        <v/>
      </c>
      <c r="G5570" s="11" t="str">
        <f aca="false">IF($A5570="","",IF(원본명단!$K5569="",0,COUNTIF(원본명단!$K$3:$K$6002,원본명단!$K5569)))</f>
        <v/>
      </c>
      <c r="H5570" s="11" t="str">
        <f aca="false">IF($A5570="","",IF(MAX($E5570,$F5570,$G5570)&gt;1,"중복","-"))</f>
        <v/>
      </c>
      <c r="I5570" s="11" t="str">
        <f aca="false">IF($A5570="","",IF($H5570="-","-",IF(AND(IF(원본명단!$H5569="",TRUE(),COUNTIF(원본명단!$H$3:$H5569,원본명단!$H5569)=1),IF(원본명단!$I5569="",TRUE(),COUNTIF(원본명단!$I$3:$I5569,원본명단!$I5569)=1),IF(원본명단!$K5569="",TRUE(),COUNTIF(원본명단!$K$3:$K5569,원본명단!$K5569)=1)),"첫 건","중복 건")))</f>
        <v/>
      </c>
      <c r="J5570" s="11" t="str">
        <f aca="false">IF($A5570="","",IF($H5570="-","유지",IF($I5570="첫 건","유지","확인 필요")))</f>
        <v/>
      </c>
    </row>
    <row r="5571" customFormat="false" ht="15" hidden="false" customHeight="true" outlineLevel="0" collapsed="false">
      <c r="A5571" s="11" t="str">
        <f aca="false">IF(원본명단!$A5570="","",5568)</f>
        <v/>
      </c>
      <c r="B5571" s="12" t="str">
        <f aca="false">IF($A5571="","",원본명단!$A5570)</f>
        <v/>
      </c>
      <c r="C5571" s="12" t="str">
        <f aca="false">IF($A5571="","",원본명단!$B5570)</f>
        <v/>
      </c>
      <c r="D5571" s="12" t="str">
        <f aca="false">IF($A5571="","",원본명단!$D5570)</f>
        <v/>
      </c>
      <c r="E5571" s="11" t="str">
        <f aca="false">IF($A5571="","",IF(원본명단!$H5570="",0,COUNTIF(원본명단!$H$3:$H$6002,원본명단!$H5570)))</f>
        <v/>
      </c>
      <c r="F5571" s="11" t="str">
        <f aca="false">IF($A5571="","",IF(원본명단!$I5570="",0,COUNTIF(원본명단!$I$3:$I$6002,원본명단!$I5570)))</f>
        <v/>
      </c>
      <c r="G5571" s="11" t="str">
        <f aca="false">IF($A5571="","",IF(원본명단!$K5570="",0,COUNTIF(원본명단!$K$3:$K$6002,원본명단!$K5570)))</f>
        <v/>
      </c>
      <c r="H5571" s="11" t="str">
        <f aca="false">IF($A5571="","",IF(MAX($E5571,$F5571,$G5571)&gt;1,"중복","-"))</f>
        <v/>
      </c>
      <c r="I5571" s="11" t="str">
        <f aca="false">IF($A5571="","",IF($H5571="-","-",IF(AND(IF(원본명단!$H5570="",TRUE(),COUNTIF(원본명단!$H$3:$H5570,원본명단!$H5570)=1),IF(원본명단!$I5570="",TRUE(),COUNTIF(원본명단!$I$3:$I5570,원본명단!$I5570)=1),IF(원본명단!$K5570="",TRUE(),COUNTIF(원본명단!$K$3:$K5570,원본명단!$K5570)=1)),"첫 건","중복 건")))</f>
        <v/>
      </c>
      <c r="J5571" s="11" t="str">
        <f aca="false">IF($A5571="","",IF($H5571="-","유지",IF($I5571="첫 건","유지","확인 필요")))</f>
        <v/>
      </c>
    </row>
    <row r="5572" customFormat="false" ht="15" hidden="false" customHeight="true" outlineLevel="0" collapsed="false">
      <c r="A5572" s="11" t="str">
        <f aca="false">IF(원본명단!$A5571="","",5569)</f>
        <v/>
      </c>
      <c r="B5572" s="12" t="str">
        <f aca="false">IF($A5572="","",원본명단!$A5571)</f>
        <v/>
      </c>
      <c r="C5572" s="12" t="str">
        <f aca="false">IF($A5572="","",원본명단!$B5571)</f>
        <v/>
      </c>
      <c r="D5572" s="12" t="str">
        <f aca="false">IF($A5572="","",원본명단!$D5571)</f>
        <v/>
      </c>
      <c r="E5572" s="11" t="str">
        <f aca="false">IF($A5572="","",IF(원본명단!$H5571="",0,COUNTIF(원본명단!$H$3:$H$6002,원본명단!$H5571)))</f>
        <v/>
      </c>
      <c r="F5572" s="11" t="str">
        <f aca="false">IF($A5572="","",IF(원본명단!$I5571="",0,COUNTIF(원본명단!$I$3:$I$6002,원본명단!$I5571)))</f>
        <v/>
      </c>
      <c r="G5572" s="11" t="str">
        <f aca="false">IF($A5572="","",IF(원본명단!$K5571="",0,COUNTIF(원본명단!$K$3:$K$6002,원본명단!$K5571)))</f>
        <v/>
      </c>
      <c r="H5572" s="11" t="str">
        <f aca="false">IF($A5572="","",IF(MAX($E5572,$F5572,$G5572)&gt;1,"중복","-"))</f>
        <v/>
      </c>
      <c r="I5572" s="11" t="str">
        <f aca="false">IF($A5572="","",IF($H5572="-","-",IF(AND(IF(원본명단!$H5571="",TRUE(),COUNTIF(원본명단!$H$3:$H5571,원본명단!$H5571)=1),IF(원본명단!$I5571="",TRUE(),COUNTIF(원본명단!$I$3:$I5571,원본명단!$I5571)=1),IF(원본명단!$K5571="",TRUE(),COUNTIF(원본명단!$K$3:$K5571,원본명단!$K5571)=1)),"첫 건","중복 건")))</f>
        <v/>
      </c>
      <c r="J5572" s="11" t="str">
        <f aca="false">IF($A5572="","",IF($H5572="-","유지",IF($I5572="첫 건","유지","확인 필요")))</f>
        <v/>
      </c>
    </row>
    <row r="5573" customFormat="false" ht="15" hidden="false" customHeight="true" outlineLevel="0" collapsed="false">
      <c r="A5573" s="11" t="str">
        <f aca="false">IF(원본명단!$A5572="","",5570)</f>
        <v/>
      </c>
      <c r="B5573" s="12" t="str">
        <f aca="false">IF($A5573="","",원본명단!$A5572)</f>
        <v/>
      </c>
      <c r="C5573" s="12" t="str">
        <f aca="false">IF($A5573="","",원본명단!$B5572)</f>
        <v/>
      </c>
      <c r="D5573" s="12" t="str">
        <f aca="false">IF($A5573="","",원본명단!$D5572)</f>
        <v/>
      </c>
      <c r="E5573" s="11" t="str">
        <f aca="false">IF($A5573="","",IF(원본명단!$H5572="",0,COUNTIF(원본명단!$H$3:$H$6002,원본명단!$H5572)))</f>
        <v/>
      </c>
      <c r="F5573" s="11" t="str">
        <f aca="false">IF($A5573="","",IF(원본명단!$I5572="",0,COUNTIF(원본명단!$I$3:$I$6002,원본명단!$I5572)))</f>
        <v/>
      </c>
      <c r="G5573" s="11" t="str">
        <f aca="false">IF($A5573="","",IF(원본명단!$K5572="",0,COUNTIF(원본명단!$K$3:$K$6002,원본명단!$K5572)))</f>
        <v/>
      </c>
      <c r="H5573" s="11" t="str">
        <f aca="false">IF($A5573="","",IF(MAX($E5573,$F5573,$G5573)&gt;1,"중복","-"))</f>
        <v/>
      </c>
      <c r="I5573" s="11" t="str">
        <f aca="false">IF($A5573="","",IF($H5573="-","-",IF(AND(IF(원본명단!$H5572="",TRUE(),COUNTIF(원본명단!$H$3:$H5572,원본명단!$H5572)=1),IF(원본명단!$I5572="",TRUE(),COUNTIF(원본명단!$I$3:$I5572,원본명단!$I5572)=1),IF(원본명단!$K5572="",TRUE(),COUNTIF(원본명단!$K$3:$K5572,원본명단!$K5572)=1)),"첫 건","중복 건")))</f>
        <v/>
      </c>
      <c r="J5573" s="11" t="str">
        <f aca="false">IF($A5573="","",IF($H5573="-","유지",IF($I5573="첫 건","유지","확인 필요")))</f>
        <v/>
      </c>
    </row>
    <row r="5574" customFormat="false" ht="15" hidden="false" customHeight="true" outlineLevel="0" collapsed="false">
      <c r="A5574" s="11" t="str">
        <f aca="false">IF(원본명단!$A5573="","",5571)</f>
        <v/>
      </c>
      <c r="B5574" s="12" t="str">
        <f aca="false">IF($A5574="","",원본명단!$A5573)</f>
        <v/>
      </c>
      <c r="C5574" s="12" t="str">
        <f aca="false">IF($A5574="","",원본명단!$B5573)</f>
        <v/>
      </c>
      <c r="D5574" s="12" t="str">
        <f aca="false">IF($A5574="","",원본명단!$D5573)</f>
        <v/>
      </c>
      <c r="E5574" s="11" t="str">
        <f aca="false">IF($A5574="","",IF(원본명단!$H5573="",0,COUNTIF(원본명단!$H$3:$H$6002,원본명단!$H5573)))</f>
        <v/>
      </c>
      <c r="F5574" s="11" t="str">
        <f aca="false">IF($A5574="","",IF(원본명단!$I5573="",0,COUNTIF(원본명단!$I$3:$I$6002,원본명단!$I5573)))</f>
        <v/>
      </c>
      <c r="G5574" s="11" t="str">
        <f aca="false">IF($A5574="","",IF(원본명단!$K5573="",0,COUNTIF(원본명단!$K$3:$K$6002,원본명단!$K5573)))</f>
        <v/>
      </c>
      <c r="H5574" s="11" t="str">
        <f aca="false">IF($A5574="","",IF(MAX($E5574,$F5574,$G5574)&gt;1,"중복","-"))</f>
        <v/>
      </c>
      <c r="I5574" s="11" t="str">
        <f aca="false">IF($A5574="","",IF($H5574="-","-",IF(AND(IF(원본명단!$H5573="",TRUE(),COUNTIF(원본명단!$H$3:$H5573,원본명단!$H5573)=1),IF(원본명단!$I5573="",TRUE(),COUNTIF(원본명단!$I$3:$I5573,원본명단!$I5573)=1),IF(원본명단!$K5573="",TRUE(),COUNTIF(원본명단!$K$3:$K5573,원본명단!$K5573)=1)),"첫 건","중복 건")))</f>
        <v/>
      </c>
      <c r="J5574" s="11" t="str">
        <f aca="false">IF($A5574="","",IF($H5574="-","유지",IF($I5574="첫 건","유지","확인 필요")))</f>
        <v/>
      </c>
    </row>
    <row r="5575" customFormat="false" ht="15" hidden="false" customHeight="true" outlineLevel="0" collapsed="false">
      <c r="A5575" s="11" t="str">
        <f aca="false">IF(원본명단!$A5574="","",5572)</f>
        <v/>
      </c>
      <c r="B5575" s="12" t="str">
        <f aca="false">IF($A5575="","",원본명단!$A5574)</f>
        <v/>
      </c>
      <c r="C5575" s="12" t="str">
        <f aca="false">IF($A5575="","",원본명단!$B5574)</f>
        <v/>
      </c>
      <c r="D5575" s="12" t="str">
        <f aca="false">IF($A5575="","",원본명단!$D5574)</f>
        <v/>
      </c>
      <c r="E5575" s="11" t="str">
        <f aca="false">IF($A5575="","",IF(원본명단!$H5574="",0,COUNTIF(원본명단!$H$3:$H$6002,원본명단!$H5574)))</f>
        <v/>
      </c>
      <c r="F5575" s="11" t="str">
        <f aca="false">IF($A5575="","",IF(원본명단!$I5574="",0,COUNTIF(원본명단!$I$3:$I$6002,원본명단!$I5574)))</f>
        <v/>
      </c>
      <c r="G5575" s="11" t="str">
        <f aca="false">IF($A5575="","",IF(원본명단!$K5574="",0,COUNTIF(원본명단!$K$3:$K$6002,원본명단!$K5574)))</f>
        <v/>
      </c>
      <c r="H5575" s="11" t="str">
        <f aca="false">IF($A5575="","",IF(MAX($E5575,$F5575,$G5575)&gt;1,"중복","-"))</f>
        <v/>
      </c>
      <c r="I5575" s="11" t="str">
        <f aca="false">IF($A5575="","",IF($H5575="-","-",IF(AND(IF(원본명단!$H5574="",TRUE(),COUNTIF(원본명단!$H$3:$H5574,원본명단!$H5574)=1),IF(원본명단!$I5574="",TRUE(),COUNTIF(원본명단!$I$3:$I5574,원본명단!$I5574)=1),IF(원본명단!$K5574="",TRUE(),COUNTIF(원본명단!$K$3:$K5574,원본명단!$K5574)=1)),"첫 건","중복 건")))</f>
        <v/>
      </c>
      <c r="J5575" s="11" t="str">
        <f aca="false">IF($A5575="","",IF($H5575="-","유지",IF($I5575="첫 건","유지","확인 필요")))</f>
        <v/>
      </c>
    </row>
    <row r="5576" customFormat="false" ht="15" hidden="false" customHeight="true" outlineLevel="0" collapsed="false">
      <c r="A5576" s="11" t="str">
        <f aca="false">IF(원본명단!$A5575="","",5573)</f>
        <v/>
      </c>
      <c r="B5576" s="12" t="str">
        <f aca="false">IF($A5576="","",원본명단!$A5575)</f>
        <v/>
      </c>
      <c r="C5576" s="12" t="str">
        <f aca="false">IF($A5576="","",원본명단!$B5575)</f>
        <v/>
      </c>
      <c r="D5576" s="12" t="str">
        <f aca="false">IF($A5576="","",원본명단!$D5575)</f>
        <v/>
      </c>
      <c r="E5576" s="11" t="str">
        <f aca="false">IF($A5576="","",IF(원본명단!$H5575="",0,COUNTIF(원본명단!$H$3:$H$6002,원본명단!$H5575)))</f>
        <v/>
      </c>
      <c r="F5576" s="11" t="str">
        <f aca="false">IF($A5576="","",IF(원본명단!$I5575="",0,COUNTIF(원본명단!$I$3:$I$6002,원본명단!$I5575)))</f>
        <v/>
      </c>
      <c r="G5576" s="11" t="str">
        <f aca="false">IF($A5576="","",IF(원본명단!$K5575="",0,COUNTIF(원본명단!$K$3:$K$6002,원본명단!$K5575)))</f>
        <v/>
      </c>
      <c r="H5576" s="11" t="str">
        <f aca="false">IF($A5576="","",IF(MAX($E5576,$F5576,$G5576)&gt;1,"중복","-"))</f>
        <v/>
      </c>
      <c r="I5576" s="11" t="str">
        <f aca="false">IF($A5576="","",IF($H5576="-","-",IF(AND(IF(원본명단!$H5575="",TRUE(),COUNTIF(원본명단!$H$3:$H5575,원본명단!$H5575)=1),IF(원본명단!$I5575="",TRUE(),COUNTIF(원본명단!$I$3:$I5575,원본명단!$I5575)=1),IF(원본명단!$K5575="",TRUE(),COUNTIF(원본명단!$K$3:$K5575,원본명단!$K5575)=1)),"첫 건","중복 건")))</f>
        <v/>
      </c>
      <c r="J5576" s="11" t="str">
        <f aca="false">IF($A5576="","",IF($H5576="-","유지",IF($I5576="첫 건","유지","확인 필요")))</f>
        <v/>
      </c>
    </row>
    <row r="5577" customFormat="false" ht="15" hidden="false" customHeight="true" outlineLevel="0" collapsed="false">
      <c r="A5577" s="11" t="str">
        <f aca="false">IF(원본명단!$A5576="","",5574)</f>
        <v/>
      </c>
      <c r="B5577" s="12" t="str">
        <f aca="false">IF($A5577="","",원본명단!$A5576)</f>
        <v/>
      </c>
      <c r="C5577" s="12" t="str">
        <f aca="false">IF($A5577="","",원본명단!$B5576)</f>
        <v/>
      </c>
      <c r="D5577" s="12" t="str">
        <f aca="false">IF($A5577="","",원본명단!$D5576)</f>
        <v/>
      </c>
      <c r="E5577" s="11" t="str">
        <f aca="false">IF($A5577="","",IF(원본명단!$H5576="",0,COUNTIF(원본명단!$H$3:$H$6002,원본명단!$H5576)))</f>
        <v/>
      </c>
      <c r="F5577" s="11" t="str">
        <f aca="false">IF($A5577="","",IF(원본명단!$I5576="",0,COUNTIF(원본명단!$I$3:$I$6002,원본명단!$I5576)))</f>
        <v/>
      </c>
      <c r="G5577" s="11" t="str">
        <f aca="false">IF($A5577="","",IF(원본명단!$K5576="",0,COUNTIF(원본명단!$K$3:$K$6002,원본명단!$K5576)))</f>
        <v/>
      </c>
      <c r="H5577" s="11" t="str">
        <f aca="false">IF($A5577="","",IF(MAX($E5577,$F5577,$G5577)&gt;1,"중복","-"))</f>
        <v/>
      </c>
      <c r="I5577" s="11" t="str">
        <f aca="false">IF($A5577="","",IF($H5577="-","-",IF(AND(IF(원본명단!$H5576="",TRUE(),COUNTIF(원본명단!$H$3:$H5576,원본명단!$H5576)=1),IF(원본명단!$I5576="",TRUE(),COUNTIF(원본명단!$I$3:$I5576,원본명단!$I5576)=1),IF(원본명단!$K5576="",TRUE(),COUNTIF(원본명단!$K$3:$K5576,원본명단!$K5576)=1)),"첫 건","중복 건")))</f>
        <v/>
      </c>
      <c r="J5577" s="11" t="str">
        <f aca="false">IF($A5577="","",IF($H5577="-","유지",IF($I5577="첫 건","유지","확인 필요")))</f>
        <v/>
      </c>
    </row>
    <row r="5578" customFormat="false" ht="15" hidden="false" customHeight="true" outlineLevel="0" collapsed="false">
      <c r="A5578" s="11" t="str">
        <f aca="false">IF(원본명단!$A5577="","",5575)</f>
        <v/>
      </c>
      <c r="B5578" s="12" t="str">
        <f aca="false">IF($A5578="","",원본명단!$A5577)</f>
        <v/>
      </c>
      <c r="C5578" s="12" t="str">
        <f aca="false">IF($A5578="","",원본명단!$B5577)</f>
        <v/>
      </c>
      <c r="D5578" s="12" t="str">
        <f aca="false">IF($A5578="","",원본명단!$D5577)</f>
        <v/>
      </c>
      <c r="E5578" s="11" t="str">
        <f aca="false">IF($A5578="","",IF(원본명단!$H5577="",0,COUNTIF(원본명단!$H$3:$H$6002,원본명단!$H5577)))</f>
        <v/>
      </c>
      <c r="F5578" s="11" t="str">
        <f aca="false">IF($A5578="","",IF(원본명단!$I5577="",0,COUNTIF(원본명단!$I$3:$I$6002,원본명단!$I5577)))</f>
        <v/>
      </c>
      <c r="G5578" s="11" t="str">
        <f aca="false">IF($A5578="","",IF(원본명단!$K5577="",0,COUNTIF(원본명단!$K$3:$K$6002,원본명단!$K5577)))</f>
        <v/>
      </c>
      <c r="H5578" s="11" t="str">
        <f aca="false">IF($A5578="","",IF(MAX($E5578,$F5578,$G5578)&gt;1,"중복","-"))</f>
        <v/>
      </c>
      <c r="I5578" s="11" t="str">
        <f aca="false">IF($A5578="","",IF($H5578="-","-",IF(AND(IF(원본명단!$H5577="",TRUE(),COUNTIF(원본명단!$H$3:$H5577,원본명단!$H5577)=1),IF(원본명단!$I5577="",TRUE(),COUNTIF(원본명단!$I$3:$I5577,원본명단!$I5577)=1),IF(원본명단!$K5577="",TRUE(),COUNTIF(원본명단!$K$3:$K5577,원본명단!$K5577)=1)),"첫 건","중복 건")))</f>
        <v/>
      </c>
      <c r="J5578" s="11" t="str">
        <f aca="false">IF($A5578="","",IF($H5578="-","유지",IF($I5578="첫 건","유지","확인 필요")))</f>
        <v/>
      </c>
    </row>
    <row r="5579" customFormat="false" ht="15" hidden="false" customHeight="true" outlineLevel="0" collapsed="false">
      <c r="A5579" s="11" t="str">
        <f aca="false">IF(원본명단!$A5578="","",5576)</f>
        <v/>
      </c>
      <c r="B5579" s="12" t="str">
        <f aca="false">IF($A5579="","",원본명단!$A5578)</f>
        <v/>
      </c>
      <c r="C5579" s="12" t="str">
        <f aca="false">IF($A5579="","",원본명단!$B5578)</f>
        <v/>
      </c>
      <c r="D5579" s="12" t="str">
        <f aca="false">IF($A5579="","",원본명단!$D5578)</f>
        <v/>
      </c>
      <c r="E5579" s="11" t="str">
        <f aca="false">IF($A5579="","",IF(원본명단!$H5578="",0,COUNTIF(원본명단!$H$3:$H$6002,원본명단!$H5578)))</f>
        <v/>
      </c>
      <c r="F5579" s="11" t="str">
        <f aca="false">IF($A5579="","",IF(원본명단!$I5578="",0,COUNTIF(원본명단!$I$3:$I$6002,원본명단!$I5578)))</f>
        <v/>
      </c>
      <c r="G5579" s="11" t="str">
        <f aca="false">IF($A5579="","",IF(원본명단!$K5578="",0,COUNTIF(원본명단!$K$3:$K$6002,원본명단!$K5578)))</f>
        <v/>
      </c>
      <c r="H5579" s="11" t="str">
        <f aca="false">IF($A5579="","",IF(MAX($E5579,$F5579,$G5579)&gt;1,"중복","-"))</f>
        <v/>
      </c>
      <c r="I5579" s="11" t="str">
        <f aca="false">IF($A5579="","",IF($H5579="-","-",IF(AND(IF(원본명단!$H5578="",TRUE(),COUNTIF(원본명단!$H$3:$H5578,원본명단!$H5578)=1),IF(원본명단!$I5578="",TRUE(),COUNTIF(원본명단!$I$3:$I5578,원본명단!$I5578)=1),IF(원본명단!$K5578="",TRUE(),COUNTIF(원본명단!$K$3:$K5578,원본명단!$K5578)=1)),"첫 건","중복 건")))</f>
        <v/>
      </c>
      <c r="J5579" s="11" t="str">
        <f aca="false">IF($A5579="","",IF($H5579="-","유지",IF($I5579="첫 건","유지","확인 필요")))</f>
        <v/>
      </c>
    </row>
    <row r="5580" customFormat="false" ht="15" hidden="false" customHeight="true" outlineLevel="0" collapsed="false">
      <c r="A5580" s="11" t="str">
        <f aca="false">IF(원본명단!$A5579="","",5577)</f>
        <v/>
      </c>
      <c r="B5580" s="12" t="str">
        <f aca="false">IF($A5580="","",원본명단!$A5579)</f>
        <v/>
      </c>
      <c r="C5580" s="12" t="str">
        <f aca="false">IF($A5580="","",원본명단!$B5579)</f>
        <v/>
      </c>
      <c r="D5580" s="12" t="str">
        <f aca="false">IF($A5580="","",원본명단!$D5579)</f>
        <v/>
      </c>
      <c r="E5580" s="11" t="str">
        <f aca="false">IF($A5580="","",IF(원본명단!$H5579="",0,COUNTIF(원본명단!$H$3:$H$6002,원본명단!$H5579)))</f>
        <v/>
      </c>
      <c r="F5580" s="11" t="str">
        <f aca="false">IF($A5580="","",IF(원본명단!$I5579="",0,COUNTIF(원본명단!$I$3:$I$6002,원본명단!$I5579)))</f>
        <v/>
      </c>
      <c r="G5580" s="11" t="str">
        <f aca="false">IF($A5580="","",IF(원본명단!$K5579="",0,COUNTIF(원본명단!$K$3:$K$6002,원본명단!$K5579)))</f>
        <v/>
      </c>
      <c r="H5580" s="11" t="str">
        <f aca="false">IF($A5580="","",IF(MAX($E5580,$F5580,$G5580)&gt;1,"중복","-"))</f>
        <v/>
      </c>
      <c r="I5580" s="11" t="str">
        <f aca="false">IF($A5580="","",IF($H5580="-","-",IF(AND(IF(원본명단!$H5579="",TRUE(),COUNTIF(원본명단!$H$3:$H5579,원본명단!$H5579)=1),IF(원본명단!$I5579="",TRUE(),COUNTIF(원본명단!$I$3:$I5579,원본명단!$I5579)=1),IF(원본명단!$K5579="",TRUE(),COUNTIF(원본명단!$K$3:$K5579,원본명단!$K5579)=1)),"첫 건","중복 건")))</f>
        <v/>
      </c>
      <c r="J5580" s="11" t="str">
        <f aca="false">IF($A5580="","",IF($H5580="-","유지",IF($I5580="첫 건","유지","확인 필요")))</f>
        <v/>
      </c>
    </row>
    <row r="5581" customFormat="false" ht="15" hidden="false" customHeight="true" outlineLevel="0" collapsed="false">
      <c r="A5581" s="11" t="str">
        <f aca="false">IF(원본명단!$A5580="","",5578)</f>
        <v/>
      </c>
      <c r="B5581" s="12" t="str">
        <f aca="false">IF($A5581="","",원본명단!$A5580)</f>
        <v/>
      </c>
      <c r="C5581" s="12" t="str">
        <f aca="false">IF($A5581="","",원본명단!$B5580)</f>
        <v/>
      </c>
      <c r="D5581" s="12" t="str">
        <f aca="false">IF($A5581="","",원본명단!$D5580)</f>
        <v/>
      </c>
      <c r="E5581" s="11" t="str">
        <f aca="false">IF($A5581="","",IF(원본명단!$H5580="",0,COUNTIF(원본명단!$H$3:$H$6002,원본명단!$H5580)))</f>
        <v/>
      </c>
      <c r="F5581" s="11" t="str">
        <f aca="false">IF($A5581="","",IF(원본명단!$I5580="",0,COUNTIF(원본명단!$I$3:$I$6002,원본명단!$I5580)))</f>
        <v/>
      </c>
      <c r="G5581" s="11" t="str">
        <f aca="false">IF($A5581="","",IF(원본명단!$K5580="",0,COUNTIF(원본명단!$K$3:$K$6002,원본명단!$K5580)))</f>
        <v/>
      </c>
      <c r="H5581" s="11" t="str">
        <f aca="false">IF($A5581="","",IF(MAX($E5581,$F5581,$G5581)&gt;1,"중복","-"))</f>
        <v/>
      </c>
      <c r="I5581" s="11" t="str">
        <f aca="false">IF($A5581="","",IF($H5581="-","-",IF(AND(IF(원본명단!$H5580="",TRUE(),COUNTIF(원본명단!$H$3:$H5580,원본명단!$H5580)=1),IF(원본명단!$I5580="",TRUE(),COUNTIF(원본명단!$I$3:$I5580,원본명단!$I5580)=1),IF(원본명단!$K5580="",TRUE(),COUNTIF(원본명단!$K$3:$K5580,원본명단!$K5580)=1)),"첫 건","중복 건")))</f>
        <v/>
      </c>
      <c r="J5581" s="11" t="str">
        <f aca="false">IF($A5581="","",IF($H5581="-","유지",IF($I5581="첫 건","유지","확인 필요")))</f>
        <v/>
      </c>
    </row>
    <row r="5582" customFormat="false" ht="15" hidden="false" customHeight="true" outlineLevel="0" collapsed="false">
      <c r="A5582" s="11" t="str">
        <f aca="false">IF(원본명단!$A5581="","",5579)</f>
        <v/>
      </c>
      <c r="B5582" s="12" t="str">
        <f aca="false">IF($A5582="","",원본명단!$A5581)</f>
        <v/>
      </c>
      <c r="C5582" s="12" t="str">
        <f aca="false">IF($A5582="","",원본명단!$B5581)</f>
        <v/>
      </c>
      <c r="D5582" s="12" t="str">
        <f aca="false">IF($A5582="","",원본명단!$D5581)</f>
        <v/>
      </c>
      <c r="E5582" s="11" t="str">
        <f aca="false">IF($A5582="","",IF(원본명단!$H5581="",0,COUNTIF(원본명단!$H$3:$H$6002,원본명단!$H5581)))</f>
        <v/>
      </c>
      <c r="F5582" s="11" t="str">
        <f aca="false">IF($A5582="","",IF(원본명단!$I5581="",0,COUNTIF(원본명단!$I$3:$I$6002,원본명단!$I5581)))</f>
        <v/>
      </c>
      <c r="G5582" s="11" t="str">
        <f aca="false">IF($A5582="","",IF(원본명단!$K5581="",0,COUNTIF(원본명단!$K$3:$K$6002,원본명단!$K5581)))</f>
        <v/>
      </c>
      <c r="H5582" s="11" t="str">
        <f aca="false">IF($A5582="","",IF(MAX($E5582,$F5582,$G5582)&gt;1,"중복","-"))</f>
        <v/>
      </c>
      <c r="I5582" s="11" t="str">
        <f aca="false">IF($A5582="","",IF($H5582="-","-",IF(AND(IF(원본명단!$H5581="",TRUE(),COUNTIF(원본명단!$H$3:$H5581,원본명단!$H5581)=1),IF(원본명단!$I5581="",TRUE(),COUNTIF(원본명단!$I$3:$I5581,원본명단!$I5581)=1),IF(원본명단!$K5581="",TRUE(),COUNTIF(원본명단!$K$3:$K5581,원본명단!$K5581)=1)),"첫 건","중복 건")))</f>
        <v/>
      </c>
      <c r="J5582" s="11" t="str">
        <f aca="false">IF($A5582="","",IF($H5582="-","유지",IF($I5582="첫 건","유지","확인 필요")))</f>
        <v/>
      </c>
    </row>
    <row r="5583" customFormat="false" ht="15" hidden="false" customHeight="true" outlineLevel="0" collapsed="false">
      <c r="A5583" s="11" t="str">
        <f aca="false">IF(원본명단!$A5582="","",5580)</f>
        <v/>
      </c>
      <c r="B5583" s="12" t="str">
        <f aca="false">IF($A5583="","",원본명단!$A5582)</f>
        <v/>
      </c>
      <c r="C5583" s="12" t="str">
        <f aca="false">IF($A5583="","",원본명단!$B5582)</f>
        <v/>
      </c>
      <c r="D5583" s="12" t="str">
        <f aca="false">IF($A5583="","",원본명단!$D5582)</f>
        <v/>
      </c>
      <c r="E5583" s="11" t="str">
        <f aca="false">IF($A5583="","",IF(원본명단!$H5582="",0,COUNTIF(원본명단!$H$3:$H$6002,원본명단!$H5582)))</f>
        <v/>
      </c>
      <c r="F5583" s="11" t="str">
        <f aca="false">IF($A5583="","",IF(원본명단!$I5582="",0,COUNTIF(원본명단!$I$3:$I$6002,원본명단!$I5582)))</f>
        <v/>
      </c>
      <c r="G5583" s="11" t="str">
        <f aca="false">IF($A5583="","",IF(원본명단!$K5582="",0,COUNTIF(원본명단!$K$3:$K$6002,원본명단!$K5582)))</f>
        <v/>
      </c>
      <c r="H5583" s="11" t="str">
        <f aca="false">IF($A5583="","",IF(MAX($E5583,$F5583,$G5583)&gt;1,"중복","-"))</f>
        <v/>
      </c>
      <c r="I5583" s="11" t="str">
        <f aca="false">IF($A5583="","",IF($H5583="-","-",IF(AND(IF(원본명단!$H5582="",TRUE(),COUNTIF(원본명단!$H$3:$H5582,원본명단!$H5582)=1),IF(원본명단!$I5582="",TRUE(),COUNTIF(원본명단!$I$3:$I5582,원본명단!$I5582)=1),IF(원본명단!$K5582="",TRUE(),COUNTIF(원본명단!$K$3:$K5582,원본명단!$K5582)=1)),"첫 건","중복 건")))</f>
        <v/>
      </c>
      <c r="J5583" s="11" t="str">
        <f aca="false">IF($A5583="","",IF($H5583="-","유지",IF($I5583="첫 건","유지","확인 필요")))</f>
        <v/>
      </c>
    </row>
    <row r="5584" customFormat="false" ht="15" hidden="false" customHeight="true" outlineLevel="0" collapsed="false">
      <c r="A5584" s="11" t="str">
        <f aca="false">IF(원본명단!$A5583="","",5581)</f>
        <v/>
      </c>
      <c r="B5584" s="12" t="str">
        <f aca="false">IF($A5584="","",원본명단!$A5583)</f>
        <v/>
      </c>
      <c r="C5584" s="12" t="str">
        <f aca="false">IF($A5584="","",원본명단!$B5583)</f>
        <v/>
      </c>
      <c r="D5584" s="12" t="str">
        <f aca="false">IF($A5584="","",원본명단!$D5583)</f>
        <v/>
      </c>
      <c r="E5584" s="11" t="str">
        <f aca="false">IF($A5584="","",IF(원본명단!$H5583="",0,COUNTIF(원본명단!$H$3:$H$6002,원본명단!$H5583)))</f>
        <v/>
      </c>
      <c r="F5584" s="11" t="str">
        <f aca="false">IF($A5584="","",IF(원본명단!$I5583="",0,COUNTIF(원본명단!$I$3:$I$6002,원본명단!$I5583)))</f>
        <v/>
      </c>
      <c r="G5584" s="11" t="str">
        <f aca="false">IF($A5584="","",IF(원본명단!$K5583="",0,COUNTIF(원본명단!$K$3:$K$6002,원본명단!$K5583)))</f>
        <v/>
      </c>
      <c r="H5584" s="11" t="str">
        <f aca="false">IF($A5584="","",IF(MAX($E5584,$F5584,$G5584)&gt;1,"중복","-"))</f>
        <v/>
      </c>
      <c r="I5584" s="11" t="str">
        <f aca="false">IF($A5584="","",IF($H5584="-","-",IF(AND(IF(원본명단!$H5583="",TRUE(),COUNTIF(원본명단!$H$3:$H5583,원본명단!$H5583)=1),IF(원본명단!$I5583="",TRUE(),COUNTIF(원본명단!$I$3:$I5583,원본명단!$I5583)=1),IF(원본명단!$K5583="",TRUE(),COUNTIF(원본명단!$K$3:$K5583,원본명단!$K5583)=1)),"첫 건","중복 건")))</f>
        <v/>
      </c>
      <c r="J5584" s="11" t="str">
        <f aca="false">IF($A5584="","",IF($H5584="-","유지",IF($I5584="첫 건","유지","확인 필요")))</f>
        <v/>
      </c>
    </row>
    <row r="5585" customFormat="false" ht="15" hidden="false" customHeight="true" outlineLevel="0" collapsed="false">
      <c r="A5585" s="11" t="str">
        <f aca="false">IF(원본명단!$A5584="","",5582)</f>
        <v/>
      </c>
      <c r="B5585" s="12" t="str">
        <f aca="false">IF($A5585="","",원본명단!$A5584)</f>
        <v/>
      </c>
      <c r="C5585" s="12" t="str">
        <f aca="false">IF($A5585="","",원본명단!$B5584)</f>
        <v/>
      </c>
      <c r="D5585" s="12" t="str">
        <f aca="false">IF($A5585="","",원본명단!$D5584)</f>
        <v/>
      </c>
      <c r="E5585" s="11" t="str">
        <f aca="false">IF($A5585="","",IF(원본명단!$H5584="",0,COUNTIF(원본명단!$H$3:$H$6002,원본명단!$H5584)))</f>
        <v/>
      </c>
      <c r="F5585" s="11" t="str">
        <f aca="false">IF($A5585="","",IF(원본명단!$I5584="",0,COUNTIF(원본명단!$I$3:$I$6002,원본명단!$I5584)))</f>
        <v/>
      </c>
      <c r="G5585" s="11" t="str">
        <f aca="false">IF($A5585="","",IF(원본명단!$K5584="",0,COUNTIF(원본명단!$K$3:$K$6002,원본명단!$K5584)))</f>
        <v/>
      </c>
      <c r="H5585" s="11" t="str">
        <f aca="false">IF($A5585="","",IF(MAX($E5585,$F5585,$G5585)&gt;1,"중복","-"))</f>
        <v/>
      </c>
      <c r="I5585" s="11" t="str">
        <f aca="false">IF($A5585="","",IF($H5585="-","-",IF(AND(IF(원본명단!$H5584="",TRUE(),COUNTIF(원본명단!$H$3:$H5584,원본명단!$H5584)=1),IF(원본명단!$I5584="",TRUE(),COUNTIF(원본명단!$I$3:$I5584,원본명단!$I5584)=1),IF(원본명단!$K5584="",TRUE(),COUNTIF(원본명단!$K$3:$K5584,원본명단!$K5584)=1)),"첫 건","중복 건")))</f>
        <v/>
      </c>
      <c r="J5585" s="11" t="str">
        <f aca="false">IF($A5585="","",IF($H5585="-","유지",IF($I5585="첫 건","유지","확인 필요")))</f>
        <v/>
      </c>
    </row>
    <row r="5586" customFormat="false" ht="15" hidden="false" customHeight="true" outlineLevel="0" collapsed="false">
      <c r="A5586" s="11" t="str">
        <f aca="false">IF(원본명단!$A5585="","",5583)</f>
        <v/>
      </c>
      <c r="B5586" s="12" t="str">
        <f aca="false">IF($A5586="","",원본명단!$A5585)</f>
        <v/>
      </c>
      <c r="C5586" s="12" t="str">
        <f aca="false">IF($A5586="","",원본명단!$B5585)</f>
        <v/>
      </c>
      <c r="D5586" s="12" t="str">
        <f aca="false">IF($A5586="","",원본명단!$D5585)</f>
        <v/>
      </c>
      <c r="E5586" s="11" t="str">
        <f aca="false">IF($A5586="","",IF(원본명단!$H5585="",0,COUNTIF(원본명단!$H$3:$H$6002,원본명단!$H5585)))</f>
        <v/>
      </c>
      <c r="F5586" s="11" t="str">
        <f aca="false">IF($A5586="","",IF(원본명단!$I5585="",0,COUNTIF(원본명단!$I$3:$I$6002,원본명단!$I5585)))</f>
        <v/>
      </c>
      <c r="G5586" s="11" t="str">
        <f aca="false">IF($A5586="","",IF(원본명단!$K5585="",0,COUNTIF(원본명단!$K$3:$K$6002,원본명단!$K5585)))</f>
        <v/>
      </c>
      <c r="H5586" s="11" t="str">
        <f aca="false">IF($A5586="","",IF(MAX($E5586,$F5586,$G5586)&gt;1,"중복","-"))</f>
        <v/>
      </c>
      <c r="I5586" s="11" t="str">
        <f aca="false">IF($A5586="","",IF($H5586="-","-",IF(AND(IF(원본명단!$H5585="",TRUE(),COUNTIF(원본명단!$H$3:$H5585,원본명단!$H5585)=1),IF(원본명단!$I5585="",TRUE(),COUNTIF(원본명단!$I$3:$I5585,원본명단!$I5585)=1),IF(원본명단!$K5585="",TRUE(),COUNTIF(원본명단!$K$3:$K5585,원본명단!$K5585)=1)),"첫 건","중복 건")))</f>
        <v/>
      </c>
      <c r="J5586" s="11" t="str">
        <f aca="false">IF($A5586="","",IF($H5586="-","유지",IF($I5586="첫 건","유지","확인 필요")))</f>
        <v/>
      </c>
    </row>
    <row r="5587" customFormat="false" ht="15" hidden="false" customHeight="true" outlineLevel="0" collapsed="false">
      <c r="A5587" s="11" t="str">
        <f aca="false">IF(원본명단!$A5586="","",5584)</f>
        <v/>
      </c>
      <c r="B5587" s="12" t="str">
        <f aca="false">IF($A5587="","",원본명단!$A5586)</f>
        <v/>
      </c>
      <c r="C5587" s="12" t="str">
        <f aca="false">IF($A5587="","",원본명단!$B5586)</f>
        <v/>
      </c>
      <c r="D5587" s="12" t="str">
        <f aca="false">IF($A5587="","",원본명단!$D5586)</f>
        <v/>
      </c>
      <c r="E5587" s="11" t="str">
        <f aca="false">IF($A5587="","",IF(원본명단!$H5586="",0,COUNTIF(원본명단!$H$3:$H$6002,원본명단!$H5586)))</f>
        <v/>
      </c>
      <c r="F5587" s="11" t="str">
        <f aca="false">IF($A5587="","",IF(원본명단!$I5586="",0,COUNTIF(원본명단!$I$3:$I$6002,원본명단!$I5586)))</f>
        <v/>
      </c>
      <c r="G5587" s="11" t="str">
        <f aca="false">IF($A5587="","",IF(원본명단!$K5586="",0,COUNTIF(원본명단!$K$3:$K$6002,원본명단!$K5586)))</f>
        <v/>
      </c>
      <c r="H5587" s="11" t="str">
        <f aca="false">IF($A5587="","",IF(MAX($E5587,$F5587,$G5587)&gt;1,"중복","-"))</f>
        <v/>
      </c>
      <c r="I5587" s="11" t="str">
        <f aca="false">IF($A5587="","",IF($H5587="-","-",IF(AND(IF(원본명단!$H5586="",TRUE(),COUNTIF(원본명단!$H$3:$H5586,원본명단!$H5586)=1),IF(원본명단!$I5586="",TRUE(),COUNTIF(원본명단!$I$3:$I5586,원본명단!$I5586)=1),IF(원본명단!$K5586="",TRUE(),COUNTIF(원본명단!$K$3:$K5586,원본명단!$K5586)=1)),"첫 건","중복 건")))</f>
        <v/>
      </c>
      <c r="J5587" s="11" t="str">
        <f aca="false">IF($A5587="","",IF($H5587="-","유지",IF($I5587="첫 건","유지","확인 필요")))</f>
        <v/>
      </c>
    </row>
    <row r="5588" customFormat="false" ht="15" hidden="false" customHeight="true" outlineLevel="0" collapsed="false">
      <c r="A5588" s="11" t="str">
        <f aca="false">IF(원본명단!$A5587="","",5585)</f>
        <v/>
      </c>
      <c r="B5588" s="12" t="str">
        <f aca="false">IF($A5588="","",원본명단!$A5587)</f>
        <v/>
      </c>
      <c r="C5588" s="12" t="str">
        <f aca="false">IF($A5588="","",원본명단!$B5587)</f>
        <v/>
      </c>
      <c r="D5588" s="12" t="str">
        <f aca="false">IF($A5588="","",원본명단!$D5587)</f>
        <v/>
      </c>
      <c r="E5588" s="11" t="str">
        <f aca="false">IF($A5588="","",IF(원본명단!$H5587="",0,COUNTIF(원본명단!$H$3:$H$6002,원본명단!$H5587)))</f>
        <v/>
      </c>
      <c r="F5588" s="11" t="str">
        <f aca="false">IF($A5588="","",IF(원본명단!$I5587="",0,COUNTIF(원본명단!$I$3:$I$6002,원본명단!$I5587)))</f>
        <v/>
      </c>
      <c r="G5588" s="11" t="str">
        <f aca="false">IF($A5588="","",IF(원본명단!$K5587="",0,COUNTIF(원본명단!$K$3:$K$6002,원본명단!$K5587)))</f>
        <v/>
      </c>
      <c r="H5588" s="11" t="str">
        <f aca="false">IF($A5588="","",IF(MAX($E5588,$F5588,$G5588)&gt;1,"중복","-"))</f>
        <v/>
      </c>
      <c r="I5588" s="11" t="str">
        <f aca="false">IF($A5588="","",IF($H5588="-","-",IF(AND(IF(원본명단!$H5587="",TRUE(),COUNTIF(원본명단!$H$3:$H5587,원본명단!$H5587)=1),IF(원본명단!$I5587="",TRUE(),COUNTIF(원본명단!$I$3:$I5587,원본명단!$I5587)=1),IF(원본명단!$K5587="",TRUE(),COUNTIF(원본명단!$K$3:$K5587,원본명단!$K5587)=1)),"첫 건","중복 건")))</f>
        <v/>
      </c>
      <c r="J5588" s="11" t="str">
        <f aca="false">IF($A5588="","",IF($H5588="-","유지",IF($I5588="첫 건","유지","확인 필요")))</f>
        <v/>
      </c>
    </row>
    <row r="5589" customFormat="false" ht="15" hidden="false" customHeight="true" outlineLevel="0" collapsed="false">
      <c r="A5589" s="11" t="str">
        <f aca="false">IF(원본명단!$A5588="","",5586)</f>
        <v/>
      </c>
      <c r="B5589" s="12" t="str">
        <f aca="false">IF($A5589="","",원본명단!$A5588)</f>
        <v/>
      </c>
      <c r="C5589" s="12" t="str">
        <f aca="false">IF($A5589="","",원본명단!$B5588)</f>
        <v/>
      </c>
      <c r="D5589" s="12" t="str">
        <f aca="false">IF($A5589="","",원본명단!$D5588)</f>
        <v/>
      </c>
      <c r="E5589" s="11" t="str">
        <f aca="false">IF($A5589="","",IF(원본명단!$H5588="",0,COUNTIF(원본명단!$H$3:$H$6002,원본명단!$H5588)))</f>
        <v/>
      </c>
      <c r="F5589" s="11" t="str">
        <f aca="false">IF($A5589="","",IF(원본명단!$I5588="",0,COUNTIF(원본명단!$I$3:$I$6002,원본명단!$I5588)))</f>
        <v/>
      </c>
      <c r="G5589" s="11" t="str">
        <f aca="false">IF($A5589="","",IF(원본명단!$K5588="",0,COUNTIF(원본명단!$K$3:$K$6002,원본명단!$K5588)))</f>
        <v/>
      </c>
      <c r="H5589" s="11" t="str">
        <f aca="false">IF($A5589="","",IF(MAX($E5589,$F5589,$G5589)&gt;1,"중복","-"))</f>
        <v/>
      </c>
      <c r="I5589" s="11" t="str">
        <f aca="false">IF($A5589="","",IF($H5589="-","-",IF(AND(IF(원본명단!$H5588="",TRUE(),COUNTIF(원본명단!$H$3:$H5588,원본명단!$H5588)=1),IF(원본명단!$I5588="",TRUE(),COUNTIF(원본명단!$I$3:$I5588,원본명단!$I5588)=1),IF(원본명단!$K5588="",TRUE(),COUNTIF(원본명단!$K$3:$K5588,원본명단!$K5588)=1)),"첫 건","중복 건")))</f>
        <v/>
      </c>
      <c r="J5589" s="11" t="str">
        <f aca="false">IF($A5589="","",IF($H5589="-","유지",IF($I5589="첫 건","유지","확인 필요")))</f>
        <v/>
      </c>
    </row>
    <row r="5590" customFormat="false" ht="15" hidden="false" customHeight="true" outlineLevel="0" collapsed="false">
      <c r="A5590" s="11" t="str">
        <f aca="false">IF(원본명단!$A5589="","",5587)</f>
        <v/>
      </c>
      <c r="B5590" s="12" t="str">
        <f aca="false">IF($A5590="","",원본명단!$A5589)</f>
        <v/>
      </c>
      <c r="C5590" s="12" t="str">
        <f aca="false">IF($A5590="","",원본명단!$B5589)</f>
        <v/>
      </c>
      <c r="D5590" s="12" t="str">
        <f aca="false">IF($A5590="","",원본명단!$D5589)</f>
        <v/>
      </c>
      <c r="E5590" s="11" t="str">
        <f aca="false">IF($A5590="","",IF(원본명단!$H5589="",0,COUNTIF(원본명단!$H$3:$H$6002,원본명단!$H5589)))</f>
        <v/>
      </c>
      <c r="F5590" s="11" t="str">
        <f aca="false">IF($A5590="","",IF(원본명단!$I5589="",0,COUNTIF(원본명단!$I$3:$I$6002,원본명단!$I5589)))</f>
        <v/>
      </c>
      <c r="G5590" s="11" t="str">
        <f aca="false">IF($A5590="","",IF(원본명단!$K5589="",0,COUNTIF(원본명단!$K$3:$K$6002,원본명단!$K5589)))</f>
        <v/>
      </c>
      <c r="H5590" s="11" t="str">
        <f aca="false">IF($A5590="","",IF(MAX($E5590,$F5590,$G5590)&gt;1,"중복","-"))</f>
        <v/>
      </c>
      <c r="I5590" s="11" t="str">
        <f aca="false">IF($A5590="","",IF($H5590="-","-",IF(AND(IF(원본명단!$H5589="",TRUE(),COUNTIF(원본명단!$H$3:$H5589,원본명단!$H5589)=1),IF(원본명단!$I5589="",TRUE(),COUNTIF(원본명단!$I$3:$I5589,원본명단!$I5589)=1),IF(원본명단!$K5589="",TRUE(),COUNTIF(원본명단!$K$3:$K5589,원본명단!$K5589)=1)),"첫 건","중복 건")))</f>
        <v/>
      </c>
      <c r="J5590" s="11" t="str">
        <f aca="false">IF($A5590="","",IF($H5590="-","유지",IF($I5590="첫 건","유지","확인 필요")))</f>
        <v/>
      </c>
    </row>
    <row r="5591" customFormat="false" ht="15" hidden="false" customHeight="true" outlineLevel="0" collapsed="false">
      <c r="A5591" s="11" t="str">
        <f aca="false">IF(원본명단!$A5590="","",5588)</f>
        <v/>
      </c>
      <c r="B5591" s="12" t="str">
        <f aca="false">IF($A5591="","",원본명단!$A5590)</f>
        <v/>
      </c>
      <c r="C5591" s="12" t="str">
        <f aca="false">IF($A5591="","",원본명단!$B5590)</f>
        <v/>
      </c>
      <c r="D5591" s="12" t="str">
        <f aca="false">IF($A5591="","",원본명단!$D5590)</f>
        <v/>
      </c>
      <c r="E5591" s="11" t="str">
        <f aca="false">IF($A5591="","",IF(원본명단!$H5590="",0,COUNTIF(원본명단!$H$3:$H$6002,원본명단!$H5590)))</f>
        <v/>
      </c>
      <c r="F5591" s="11" t="str">
        <f aca="false">IF($A5591="","",IF(원본명단!$I5590="",0,COUNTIF(원본명단!$I$3:$I$6002,원본명단!$I5590)))</f>
        <v/>
      </c>
      <c r="G5591" s="11" t="str">
        <f aca="false">IF($A5591="","",IF(원본명단!$K5590="",0,COUNTIF(원본명단!$K$3:$K$6002,원본명단!$K5590)))</f>
        <v/>
      </c>
      <c r="H5591" s="11" t="str">
        <f aca="false">IF($A5591="","",IF(MAX($E5591,$F5591,$G5591)&gt;1,"중복","-"))</f>
        <v/>
      </c>
      <c r="I5591" s="11" t="str">
        <f aca="false">IF($A5591="","",IF($H5591="-","-",IF(AND(IF(원본명단!$H5590="",TRUE(),COUNTIF(원본명단!$H$3:$H5590,원본명단!$H5590)=1),IF(원본명단!$I5590="",TRUE(),COUNTIF(원본명단!$I$3:$I5590,원본명단!$I5590)=1),IF(원본명단!$K5590="",TRUE(),COUNTIF(원본명단!$K$3:$K5590,원본명단!$K5590)=1)),"첫 건","중복 건")))</f>
        <v/>
      </c>
      <c r="J5591" s="11" t="str">
        <f aca="false">IF($A5591="","",IF($H5591="-","유지",IF($I5591="첫 건","유지","확인 필요")))</f>
        <v/>
      </c>
    </row>
    <row r="5592" customFormat="false" ht="15" hidden="false" customHeight="true" outlineLevel="0" collapsed="false">
      <c r="A5592" s="11" t="str">
        <f aca="false">IF(원본명단!$A5591="","",5589)</f>
        <v/>
      </c>
      <c r="B5592" s="12" t="str">
        <f aca="false">IF($A5592="","",원본명단!$A5591)</f>
        <v/>
      </c>
      <c r="C5592" s="12" t="str">
        <f aca="false">IF($A5592="","",원본명단!$B5591)</f>
        <v/>
      </c>
      <c r="D5592" s="12" t="str">
        <f aca="false">IF($A5592="","",원본명단!$D5591)</f>
        <v/>
      </c>
      <c r="E5592" s="11" t="str">
        <f aca="false">IF($A5592="","",IF(원본명단!$H5591="",0,COUNTIF(원본명단!$H$3:$H$6002,원본명단!$H5591)))</f>
        <v/>
      </c>
      <c r="F5592" s="11" t="str">
        <f aca="false">IF($A5592="","",IF(원본명단!$I5591="",0,COUNTIF(원본명단!$I$3:$I$6002,원본명단!$I5591)))</f>
        <v/>
      </c>
      <c r="G5592" s="11" t="str">
        <f aca="false">IF($A5592="","",IF(원본명단!$K5591="",0,COUNTIF(원본명단!$K$3:$K$6002,원본명단!$K5591)))</f>
        <v/>
      </c>
      <c r="H5592" s="11" t="str">
        <f aca="false">IF($A5592="","",IF(MAX($E5592,$F5592,$G5592)&gt;1,"중복","-"))</f>
        <v/>
      </c>
      <c r="I5592" s="11" t="str">
        <f aca="false">IF($A5592="","",IF($H5592="-","-",IF(AND(IF(원본명단!$H5591="",TRUE(),COUNTIF(원본명단!$H$3:$H5591,원본명단!$H5591)=1),IF(원본명단!$I5591="",TRUE(),COUNTIF(원본명단!$I$3:$I5591,원본명단!$I5591)=1),IF(원본명단!$K5591="",TRUE(),COUNTIF(원본명단!$K$3:$K5591,원본명단!$K5591)=1)),"첫 건","중복 건")))</f>
        <v/>
      </c>
      <c r="J5592" s="11" t="str">
        <f aca="false">IF($A5592="","",IF($H5592="-","유지",IF($I5592="첫 건","유지","확인 필요")))</f>
        <v/>
      </c>
    </row>
    <row r="5593" customFormat="false" ht="15" hidden="false" customHeight="true" outlineLevel="0" collapsed="false">
      <c r="A5593" s="11" t="str">
        <f aca="false">IF(원본명단!$A5592="","",5590)</f>
        <v/>
      </c>
      <c r="B5593" s="12" t="str">
        <f aca="false">IF($A5593="","",원본명단!$A5592)</f>
        <v/>
      </c>
      <c r="C5593" s="12" t="str">
        <f aca="false">IF($A5593="","",원본명단!$B5592)</f>
        <v/>
      </c>
      <c r="D5593" s="12" t="str">
        <f aca="false">IF($A5593="","",원본명단!$D5592)</f>
        <v/>
      </c>
      <c r="E5593" s="11" t="str">
        <f aca="false">IF($A5593="","",IF(원본명단!$H5592="",0,COUNTIF(원본명단!$H$3:$H$6002,원본명단!$H5592)))</f>
        <v/>
      </c>
      <c r="F5593" s="11" t="str">
        <f aca="false">IF($A5593="","",IF(원본명단!$I5592="",0,COUNTIF(원본명단!$I$3:$I$6002,원본명단!$I5592)))</f>
        <v/>
      </c>
      <c r="G5593" s="11" t="str">
        <f aca="false">IF($A5593="","",IF(원본명단!$K5592="",0,COUNTIF(원본명단!$K$3:$K$6002,원본명단!$K5592)))</f>
        <v/>
      </c>
      <c r="H5593" s="11" t="str">
        <f aca="false">IF($A5593="","",IF(MAX($E5593,$F5593,$G5593)&gt;1,"중복","-"))</f>
        <v/>
      </c>
      <c r="I5593" s="11" t="str">
        <f aca="false">IF($A5593="","",IF($H5593="-","-",IF(AND(IF(원본명단!$H5592="",TRUE(),COUNTIF(원본명단!$H$3:$H5592,원본명단!$H5592)=1),IF(원본명단!$I5592="",TRUE(),COUNTIF(원본명단!$I$3:$I5592,원본명단!$I5592)=1),IF(원본명단!$K5592="",TRUE(),COUNTIF(원본명단!$K$3:$K5592,원본명단!$K5592)=1)),"첫 건","중복 건")))</f>
        <v/>
      </c>
      <c r="J5593" s="11" t="str">
        <f aca="false">IF($A5593="","",IF($H5593="-","유지",IF($I5593="첫 건","유지","확인 필요")))</f>
        <v/>
      </c>
    </row>
    <row r="5594" customFormat="false" ht="15" hidden="false" customHeight="true" outlineLevel="0" collapsed="false">
      <c r="A5594" s="11" t="str">
        <f aca="false">IF(원본명단!$A5593="","",5591)</f>
        <v/>
      </c>
      <c r="B5594" s="12" t="str">
        <f aca="false">IF($A5594="","",원본명단!$A5593)</f>
        <v/>
      </c>
      <c r="C5594" s="12" t="str">
        <f aca="false">IF($A5594="","",원본명단!$B5593)</f>
        <v/>
      </c>
      <c r="D5594" s="12" t="str">
        <f aca="false">IF($A5594="","",원본명단!$D5593)</f>
        <v/>
      </c>
      <c r="E5594" s="11" t="str">
        <f aca="false">IF($A5594="","",IF(원본명단!$H5593="",0,COUNTIF(원본명단!$H$3:$H$6002,원본명단!$H5593)))</f>
        <v/>
      </c>
      <c r="F5594" s="11" t="str">
        <f aca="false">IF($A5594="","",IF(원본명단!$I5593="",0,COUNTIF(원본명단!$I$3:$I$6002,원본명단!$I5593)))</f>
        <v/>
      </c>
      <c r="G5594" s="11" t="str">
        <f aca="false">IF($A5594="","",IF(원본명단!$K5593="",0,COUNTIF(원본명단!$K$3:$K$6002,원본명단!$K5593)))</f>
        <v/>
      </c>
      <c r="H5594" s="11" t="str">
        <f aca="false">IF($A5594="","",IF(MAX($E5594,$F5594,$G5594)&gt;1,"중복","-"))</f>
        <v/>
      </c>
      <c r="I5594" s="11" t="str">
        <f aca="false">IF($A5594="","",IF($H5594="-","-",IF(AND(IF(원본명단!$H5593="",TRUE(),COUNTIF(원본명단!$H$3:$H5593,원본명단!$H5593)=1),IF(원본명단!$I5593="",TRUE(),COUNTIF(원본명단!$I$3:$I5593,원본명단!$I5593)=1),IF(원본명단!$K5593="",TRUE(),COUNTIF(원본명단!$K$3:$K5593,원본명단!$K5593)=1)),"첫 건","중복 건")))</f>
        <v/>
      </c>
      <c r="J5594" s="11" t="str">
        <f aca="false">IF($A5594="","",IF($H5594="-","유지",IF($I5594="첫 건","유지","확인 필요")))</f>
        <v/>
      </c>
    </row>
    <row r="5595" customFormat="false" ht="15" hidden="false" customHeight="true" outlineLevel="0" collapsed="false">
      <c r="A5595" s="11" t="str">
        <f aca="false">IF(원본명단!$A5594="","",5592)</f>
        <v/>
      </c>
      <c r="B5595" s="12" t="str">
        <f aca="false">IF($A5595="","",원본명단!$A5594)</f>
        <v/>
      </c>
      <c r="C5595" s="12" t="str">
        <f aca="false">IF($A5595="","",원본명단!$B5594)</f>
        <v/>
      </c>
      <c r="D5595" s="12" t="str">
        <f aca="false">IF($A5595="","",원본명단!$D5594)</f>
        <v/>
      </c>
      <c r="E5595" s="11" t="str">
        <f aca="false">IF($A5595="","",IF(원본명단!$H5594="",0,COUNTIF(원본명단!$H$3:$H$6002,원본명단!$H5594)))</f>
        <v/>
      </c>
      <c r="F5595" s="11" t="str">
        <f aca="false">IF($A5595="","",IF(원본명단!$I5594="",0,COUNTIF(원본명단!$I$3:$I$6002,원본명단!$I5594)))</f>
        <v/>
      </c>
      <c r="G5595" s="11" t="str">
        <f aca="false">IF($A5595="","",IF(원본명단!$K5594="",0,COUNTIF(원본명단!$K$3:$K$6002,원본명단!$K5594)))</f>
        <v/>
      </c>
      <c r="H5595" s="11" t="str">
        <f aca="false">IF($A5595="","",IF(MAX($E5595,$F5595,$G5595)&gt;1,"중복","-"))</f>
        <v/>
      </c>
      <c r="I5595" s="11" t="str">
        <f aca="false">IF($A5595="","",IF($H5595="-","-",IF(AND(IF(원본명단!$H5594="",TRUE(),COUNTIF(원본명단!$H$3:$H5594,원본명단!$H5594)=1),IF(원본명단!$I5594="",TRUE(),COUNTIF(원본명단!$I$3:$I5594,원본명단!$I5594)=1),IF(원본명단!$K5594="",TRUE(),COUNTIF(원본명단!$K$3:$K5594,원본명단!$K5594)=1)),"첫 건","중복 건")))</f>
        <v/>
      </c>
      <c r="J5595" s="11" t="str">
        <f aca="false">IF($A5595="","",IF($H5595="-","유지",IF($I5595="첫 건","유지","확인 필요")))</f>
        <v/>
      </c>
    </row>
    <row r="5596" customFormat="false" ht="15" hidden="false" customHeight="true" outlineLevel="0" collapsed="false">
      <c r="A5596" s="11" t="str">
        <f aca="false">IF(원본명단!$A5595="","",5593)</f>
        <v/>
      </c>
      <c r="B5596" s="12" t="str">
        <f aca="false">IF($A5596="","",원본명단!$A5595)</f>
        <v/>
      </c>
      <c r="C5596" s="12" t="str">
        <f aca="false">IF($A5596="","",원본명단!$B5595)</f>
        <v/>
      </c>
      <c r="D5596" s="12" t="str">
        <f aca="false">IF($A5596="","",원본명단!$D5595)</f>
        <v/>
      </c>
      <c r="E5596" s="11" t="str">
        <f aca="false">IF($A5596="","",IF(원본명단!$H5595="",0,COUNTIF(원본명단!$H$3:$H$6002,원본명단!$H5595)))</f>
        <v/>
      </c>
      <c r="F5596" s="11" t="str">
        <f aca="false">IF($A5596="","",IF(원본명단!$I5595="",0,COUNTIF(원본명단!$I$3:$I$6002,원본명단!$I5595)))</f>
        <v/>
      </c>
      <c r="G5596" s="11" t="str">
        <f aca="false">IF($A5596="","",IF(원본명단!$K5595="",0,COUNTIF(원본명단!$K$3:$K$6002,원본명단!$K5595)))</f>
        <v/>
      </c>
      <c r="H5596" s="11" t="str">
        <f aca="false">IF($A5596="","",IF(MAX($E5596,$F5596,$G5596)&gt;1,"중복","-"))</f>
        <v/>
      </c>
      <c r="I5596" s="11" t="str">
        <f aca="false">IF($A5596="","",IF($H5596="-","-",IF(AND(IF(원본명단!$H5595="",TRUE(),COUNTIF(원본명단!$H$3:$H5595,원본명단!$H5595)=1),IF(원본명단!$I5595="",TRUE(),COUNTIF(원본명단!$I$3:$I5595,원본명단!$I5595)=1),IF(원본명단!$K5595="",TRUE(),COUNTIF(원본명단!$K$3:$K5595,원본명단!$K5595)=1)),"첫 건","중복 건")))</f>
        <v/>
      </c>
      <c r="J5596" s="11" t="str">
        <f aca="false">IF($A5596="","",IF($H5596="-","유지",IF($I5596="첫 건","유지","확인 필요")))</f>
        <v/>
      </c>
    </row>
    <row r="5597" customFormat="false" ht="15" hidden="false" customHeight="true" outlineLevel="0" collapsed="false">
      <c r="A5597" s="11" t="str">
        <f aca="false">IF(원본명단!$A5596="","",5594)</f>
        <v/>
      </c>
      <c r="B5597" s="12" t="str">
        <f aca="false">IF($A5597="","",원본명단!$A5596)</f>
        <v/>
      </c>
      <c r="C5597" s="12" t="str">
        <f aca="false">IF($A5597="","",원본명단!$B5596)</f>
        <v/>
      </c>
      <c r="D5597" s="12" t="str">
        <f aca="false">IF($A5597="","",원본명단!$D5596)</f>
        <v/>
      </c>
      <c r="E5597" s="11" t="str">
        <f aca="false">IF($A5597="","",IF(원본명단!$H5596="",0,COUNTIF(원본명단!$H$3:$H$6002,원본명단!$H5596)))</f>
        <v/>
      </c>
      <c r="F5597" s="11" t="str">
        <f aca="false">IF($A5597="","",IF(원본명단!$I5596="",0,COUNTIF(원본명단!$I$3:$I$6002,원본명단!$I5596)))</f>
        <v/>
      </c>
      <c r="G5597" s="11" t="str">
        <f aca="false">IF($A5597="","",IF(원본명단!$K5596="",0,COUNTIF(원본명단!$K$3:$K$6002,원본명단!$K5596)))</f>
        <v/>
      </c>
      <c r="H5597" s="11" t="str">
        <f aca="false">IF($A5597="","",IF(MAX($E5597,$F5597,$G5597)&gt;1,"중복","-"))</f>
        <v/>
      </c>
      <c r="I5597" s="11" t="str">
        <f aca="false">IF($A5597="","",IF($H5597="-","-",IF(AND(IF(원본명단!$H5596="",TRUE(),COUNTIF(원본명단!$H$3:$H5596,원본명단!$H5596)=1),IF(원본명단!$I5596="",TRUE(),COUNTIF(원본명단!$I$3:$I5596,원본명단!$I5596)=1),IF(원본명단!$K5596="",TRUE(),COUNTIF(원본명단!$K$3:$K5596,원본명단!$K5596)=1)),"첫 건","중복 건")))</f>
        <v/>
      </c>
      <c r="J5597" s="11" t="str">
        <f aca="false">IF($A5597="","",IF($H5597="-","유지",IF($I5597="첫 건","유지","확인 필요")))</f>
        <v/>
      </c>
    </row>
    <row r="5598" customFormat="false" ht="15" hidden="false" customHeight="true" outlineLevel="0" collapsed="false">
      <c r="A5598" s="11" t="str">
        <f aca="false">IF(원본명단!$A5597="","",5595)</f>
        <v/>
      </c>
      <c r="B5598" s="12" t="str">
        <f aca="false">IF($A5598="","",원본명단!$A5597)</f>
        <v/>
      </c>
      <c r="C5598" s="12" t="str">
        <f aca="false">IF($A5598="","",원본명단!$B5597)</f>
        <v/>
      </c>
      <c r="D5598" s="12" t="str">
        <f aca="false">IF($A5598="","",원본명단!$D5597)</f>
        <v/>
      </c>
      <c r="E5598" s="11" t="str">
        <f aca="false">IF($A5598="","",IF(원본명단!$H5597="",0,COUNTIF(원본명단!$H$3:$H$6002,원본명단!$H5597)))</f>
        <v/>
      </c>
      <c r="F5598" s="11" t="str">
        <f aca="false">IF($A5598="","",IF(원본명단!$I5597="",0,COUNTIF(원본명단!$I$3:$I$6002,원본명단!$I5597)))</f>
        <v/>
      </c>
      <c r="G5598" s="11" t="str">
        <f aca="false">IF($A5598="","",IF(원본명단!$K5597="",0,COUNTIF(원본명단!$K$3:$K$6002,원본명단!$K5597)))</f>
        <v/>
      </c>
      <c r="H5598" s="11" t="str">
        <f aca="false">IF($A5598="","",IF(MAX($E5598,$F5598,$G5598)&gt;1,"중복","-"))</f>
        <v/>
      </c>
      <c r="I5598" s="11" t="str">
        <f aca="false">IF($A5598="","",IF($H5598="-","-",IF(AND(IF(원본명단!$H5597="",TRUE(),COUNTIF(원본명단!$H$3:$H5597,원본명단!$H5597)=1),IF(원본명단!$I5597="",TRUE(),COUNTIF(원본명단!$I$3:$I5597,원본명단!$I5597)=1),IF(원본명단!$K5597="",TRUE(),COUNTIF(원본명단!$K$3:$K5597,원본명단!$K5597)=1)),"첫 건","중복 건")))</f>
        <v/>
      </c>
      <c r="J5598" s="11" t="str">
        <f aca="false">IF($A5598="","",IF($H5598="-","유지",IF($I5598="첫 건","유지","확인 필요")))</f>
        <v/>
      </c>
    </row>
    <row r="5599" customFormat="false" ht="15" hidden="false" customHeight="true" outlineLevel="0" collapsed="false">
      <c r="A5599" s="11" t="str">
        <f aca="false">IF(원본명단!$A5598="","",5596)</f>
        <v/>
      </c>
      <c r="B5599" s="12" t="str">
        <f aca="false">IF($A5599="","",원본명단!$A5598)</f>
        <v/>
      </c>
      <c r="C5599" s="12" t="str">
        <f aca="false">IF($A5599="","",원본명단!$B5598)</f>
        <v/>
      </c>
      <c r="D5599" s="12" t="str">
        <f aca="false">IF($A5599="","",원본명단!$D5598)</f>
        <v/>
      </c>
      <c r="E5599" s="11" t="str">
        <f aca="false">IF($A5599="","",IF(원본명단!$H5598="",0,COUNTIF(원본명단!$H$3:$H$6002,원본명단!$H5598)))</f>
        <v/>
      </c>
      <c r="F5599" s="11" t="str">
        <f aca="false">IF($A5599="","",IF(원본명단!$I5598="",0,COUNTIF(원본명단!$I$3:$I$6002,원본명단!$I5598)))</f>
        <v/>
      </c>
      <c r="G5599" s="11" t="str">
        <f aca="false">IF($A5599="","",IF(원본명단!$K5598="",0,COUNTIF(원본명단!$K$3:$K$6002,원본명단!$K5598)))</f>
        <v/>
      </c>
      <c r="H5599" s="11" t="str">
        <f aca="false">IF($A5599="","",IF(MAX($E5599,$F5599,$G5599)&gt;1,"중복","-"))</f>
        <v/>
      </c>
      <c r="I5599" s="11" t="str">
        <f aca="false">IF($A5599="","",IF($H5599="-","-",IF(AND(IF(원본명단!$H5598="",TRUE(),COUNTIF(원본명단!$H$3:$H5598,원본명단!$H5598)=1),IF(원본명단!$I5598="",TRUE(),COUNTIF(원본명단!$I$3:$I5598,원본명단!$I5598)=1),IF(원본명단!$K5598="",TRUE(),COUNTIF(원본명단!$K$3:$K5598,원본명단!$K5598)=1)),"첫 건","중복 건")))</f>
        <v/>
      </c>
      <c r="J5599" s="11" t="str">
        <f aca="false">IF($A5599="","",IF($H5599="-","유지",IF($I5599="첫 건","유지","확인 필요")))</f>
        <v/>
      </c>
    </row>
    <row r="5600" customFormat="false" ht="15" hidden="false" customHeight="true" outlineLevel="0" collapsed="false">
      <c r="A5600" s="11" t="str">
        <f aca="false">IF(원본명단!$A5599="","",5597)</f>
        <v/>
      </c>
      <c r="B5600" s="12" t="str">
        <f aca="false">IF($A5600="","",원본명단!$A5599)</f>
        <v/>
      </c>
      <c r="C5600" s="12" t="str">
        <f aca="false">IF($A5600="","",원본명단!$B5599)</f>
        <v/>
      </c>
      <c r="D5600" s="12" t="str">
        <f aca="false">IF($A5600="","",원본명단!$D5599)</f>
        <v/>
      </c>
      <c r="E5600" s="11" t="str">
        <f aca="false">IF($A5600="","",IF(원본명단!$H5599="",0,COUNTIF(원본명단!$H$3:$H$6002,원본명단!$H5599)))</f>
        <v/>
      </c>
      <c r="F5600" s="11" t="str">
        <f aca="false">IF($A5600="","",IF(원본명단!$I5599="",0,COUNTIF(원본명단!$I$3:$I$6002,원본명단!$I5599)))</f>
        <v/>
      </c>
      <c r="G5600" s="11" t="str">
        <f aca="false">IF($A5600="","",IF(원본명단!$K5599="",0,COUNTIF(원본명단!$K$3:$K$6002,원본명단!$K5599)))</f>
        <v/>
      </c>
      <c r="H5600" s="11" t="str">
        <f aca="false">IF($A5600="","",IF(MAX($E5600,$F5600,$G5600)&gt;1,"중복","-"))</f>
        <v/>
      </c>
      <c r="I5600" s="11" t="str">
        <f aca="false">IF($A5600="","",IF($H5600="-","-",IF(AND(IF(원본명단!$H5599="",TRUE(),COUNTIF(원본명단!$H$3:$H5599,원본명단!$H5599)=1),IF(원본명단!$I5599="",TRUE(),COUNTIF(원본명단!$I$3:$I5599,원본명단!$I5599)=1),IF(원본명단!$K5599="",TRUE(),COUNTIF(원본명단!$K$3:$K5599,원본명단!$K5599)=1)),"첫 건","중복 건")))</f>
        <v/>
      </c>
      <c r="J5600" s="11" t="str">
        <f aca="false">IF($A5600="","",IF($H5600="-","유지",IF($I5600="첫 건","유지","확인 필요")))</f>
        <v/>
      </c>
    </row>
    <row r="5601" customFormat="false" ht="15" hidden="false" customHeight="true" outlineLevel="0" collapsed="false">
      <c r="A5601" s="11" t="str">
        <f aca="false">IF(원본명단!$A5600="","",5598)</f>
        <v/>
      </c>
      <c r="B5601" s="12" t="str">
        <f aca="false">IF($A5601="","",원본명단!$A5600)</f>
        <v/>
      </c>
      <c r="C5601" s="12" t="str">
        <f aca="false">IF($A5601="","",원본명단!$B5600)</f>
        <v/>
      </c>
      <c r="D5601" s="12" t="str">
        <f aca="false">IF($A5601="","",원본명단!$D5600)</f>
        <v/>
      </c>
      <c r="E5601" s="11" t="str">
        <f aca="false">IF($A5601="","",IF(원본명단!$H5600="",0,COUNTIF(원본명단!$H$3:$H$6002,원본명단!$H5600)))</f>
        <v/>
      </c>
      <c r="F5601" s="11" t="str">
        <f aca="false">IF($A5601="","",IF(원본명단!$I5600="",0,COUNTIF(원본명단!$I$3:$I$6002,원본명단!$I5600)))</f>
        <v/>
      </c>
      <c r="G5601" s="11" t="str">
        <f aca="false">IF($A5601="","",IF(원본명단!$K5600="",0,COUNTIF(원본명단!$K$3:$K$6002,원본명단!$K5600)))</f>
        <v/>
      </c>
      <c r="H5601" s="11" t="str">
        <f aca="false">IF($A5601="","",IF(MAX($E5601,$F5601,$G5601)&gt;1,"중복","-"))</f>
        <v/>
      </c>
      <c r="I5601" s="11" t="str">
        <f aca="false">IF($A5601="","",IF($H5601="-","-",IF(AND(IF(원본명단!$H5600="",TRUE(),COUNTIF(원본명단!$H$3:$H5600,원본명단!$H5600)=1),IF(원본명단!$I5600="",TRUE(),COUNTIF(원본명단!$I$3:$I5600,원본명단!$I5600)=1),IF(원본명단!$K5600="",TRUE(),COUNTIF(원본명단!$K$3:$K5600,원본명단!$K5600)=1)),"첫 건","중복 건")))</f>
        <v/>
      </c>
      <c r="J5601" s="11" t="str">
        <f aca="false">IF($A5601="","",IF($H5601="-","유지",IF($I5601="첫 건","유지","확인 필요")))</f>
        <v/>
      </c>
    </row>
    <row r="5602" customFormat="false" ht="15" hidden="false" customHeight="true" outlineLevel="0" collapsed="false">
      <c r="A5602" s="11" t="str">
        <f aca="false">IF(원본명단!$A5601="","",5599)</f>
        <v/>
      </c>
      <c r="B5602" s="12" t="str">
        <f aca="false">IF($A5602="","",원본명단!$A5601)</f>
        <v/>
      </c>
      <c r="C5602" s="12" t="str">
        <f aca="false">IF($A5602="","",원본명단!$B5601)</f>
        <v/>
      </c>
      <c r="D5602" s="12" t="str">
        <f aca="false">IF($A5602="","",원본명단!$D5601)</f>
        <v/>
      </c>
      <c r="E5602" s="11" t="str">
        <f aca="false">IF($A5602="","",IF(원본명단!$H5601="",0,COUNTIF(원본명단!$H$3:$H$6002,원본명단!$H5601)))</f>
        <v/>
      </c>
      <c r="F5602" s="11" t="str">
        <f aca="false">IF($A5602="","",IF(원본명단!$I5601="",0,COUNTIF(원본명단!$I$3:$I$6002,원본명단!$I5601)))</f>
        <v/>
      </c>
      <c r="G5602" s="11" t="str">
        <f aca="false">IF($A5602="","",IF(원본명단!$K5601="",0,COUNTIF(원본명단!$K$3:$K$6002,원본명단!$K5601)))</f>
        <v/>
      </c>
      <c r="H5602" s="11" t="str">
        <f aca="false">IF($A5602="","",IF(MAX($E5602,$F5602,$G5602)&gt;1,"중복","-"))</f>
        <v/>
      </c>
      <c r="I5602" s="11" t="str">
        <f aca="false">IF($A5602="","",IF($H5602="-","-",IF(AND(IF(원본명단!$H5601="",TRUE(),COUNTIF(원본명단!$H$3:$H5601,원본명단!$H5601)=1),IF(원본명단!$I5601="",TRUE(),COUNTIF(원본명단!$I$3:$I5601,원본명단!$I5601)=1),IF(원본명단!$K5601="",TRUE(),COUNTIF(원본명단!$K$3:$K5601,원본명단!$K5601)=1)),"첫 건","중복 건")))</f>
        <v/>
      </c>
      <c r="J5602" s="11" t="str">
        <f aca="false">IF($A5602="","",IF($H5602="-","유지",IF($I5602="첫 건","유지","확인 필요")))</f>
        <v/>
      </c>
    </row>
    <row r="5603" customFormat="false" ht="15" hidden="false" customHeight="true" outlineLevel="0" collapsed="false">
      <c r="A5603" s="11" t="str">
        <f aca="false">IF(원본명단!$A5602="","",5600)</f>
        <v/>
      </c>
      <c r="B5603" s="12" t="str">
        <f aca="false">IF($A5603="","",원본명단!$A5602)</f>
        <v/>
      </c>
      <c r="C5603" s="12" t="str">
        <f aca="false">IF($A5603="","",원본명단!$B5602)</f>
        <v/>
      </c>
      <c r="D5603" s="12" t="str">
        <f aca="false">IF($A5603="","",원본명단!$D5602)</f>
        <v/>
      </c>
      <c r="E5603" s="11" t="str">
        <f aca="false">IF($A5603="","",IF(원본명단!$H5602="",0,COUNTIF(원본명단!$H$3:$H$6002,원본명단!$H5602)))</f>
        <v/>
      </c>
      <c r="F5603" s="11" t="str">
        <f aca="false">IF($A5603="","",IF(원본명단!$I5602="",0,COUNTIF(원본명단!$I$3:$I$6002,원본명단!$I5602)))</f>
        <v/>
      </c>
      <c r="G5603" s="11" t="str">
        <f aca="false">IF($A5603="","",IF(원본명단!$K5602="",0,COUNTIF(원본명단!$K$3:$K$6002,원본명단!$K5602)))</f>
        <v/>
      </c>
      <c r="H5603" s="11" t="str">
        <f aca="false">IF($A5603="","",IF(MAX($E5603,$F5603,$G5603)&gt;1,"중복","-"))</f>
        <v/>
      </c>
      <c r="I5603" s="11" t="str">
        <f aca="false">IF($A5603="","",IF($H5603="-","-",IF(AND(IF(원본명단!$H5602="",TRUE(),COUNTIF(원본명단!$H$3:$H5602,원본명단!$H5602)=1),IF(원본명단!$I5602="",TRUE(),COUNTIF(원본명단!$I$3:$I5602,원본명단!$I5602)=1),IF(원본명단!$K5602="",TRUE(),COUNTIF(원본명단!$K$3:$K5602,원본명단!$K5602)=1)),"첫 건","중복 건")))</f>
        <v/>
      </c>
      <c r="J5603" s="11" t="str">
        <f aca="false">IF($A5603="","",IF($H5603="-","유지",IF($I5603="첫 건","유지","확인 필요")))</f>
        <v/>
      </c>
    </row>
    <row r="5604" customFormat="false" ht="15" hidden="false" customHeight="true" outlineLevel="0" collapsed="false">
      <c r="A5604" s="11" t="str">
        <f aca="false">IF(원본명단!$A5603="","",5601)</f>
        <v/>
      </c>
      <c r="B5604" s="12" t="str">
        <f aca="false">IF($A5604="","",원본명단!$A5603)</f>
        <v/>
      </c>
      <c r="C5604" s="12" t="str">
        <f aca="false">IF($A5604="","",원본명단!$B5603)</f>
        <v/>
      </c>
      <c r="D5604" s="12" t="str">
        <f aca="false">IF($A5604="","",원본명단!$D5603)</f>
        <v/>
      </c>
      <c r="E5604" s="11" t="str">
        <f aca="false">IF($A5604="","",IF(원본명단!$H5603="",0,COUNTIF(원본명단!$H$3:$H$6002,원본명단!$H5603)))</f>
        <v/>
      </c>
      <c r="F5604" s="11" t="str">
        <f aca="false">IF($A5604="","",IF(원본명단!$I5603="",0,COUNTIF(원본명단!$I$3:$I$6002,원본명단!$I5603)))</f>
        <v/>
      </c>
      <c r="G5604" s="11" t="str">
        <f aca="false">IF($A5604="","",IF(원본명단!$K5603="",0,COUNTIF(원본명단!$K$3:$K$6002,원본명단!$K5603)))</f>
        <v/>
      </c>
      <c r="H5604" s="11" t="str">
        <f aca="false">IF($A5604="","",IF(MAX($E5604,$F5604,$G5604)&gt;1,"중복","-"))</f>
        <v/>
      </c>
      <c r="I5604" s="11" t="str">
        <f aca="false">IF($A5604="","",IF($H5604="-","-",IF(AND(IF(원본명단!$H5603="",TRUE(),COUNTIF(원본명단!$H$3:$H5603,원본명단!$H5603)=1),IF(원본명단!$I5603="",TRUE(),COUNTIF(원본명단!$I$3:$I5603,원본명단!$I5603)=1),IF(원본명단!$K5603="",TRUE(),COUNTIF(원본명단!$K$3:$K5603,원본명단!$K5603)=1)),"첫 건","중복 건")))</f>
        <v/>
      </c>
      <c r="J5604" s="11" t="str">
        <f aca="false">IF($A5604="","",IF($H5604="-","유지",IF($I5604="첫 건","유지","확인 필요")))</f>
        <v/>
      </c>
    </row>
    <row r="5605" customFormat="false" ht="15" hidden="false" customHeight="true" outlineLevel="0" collapsed="false">
      <c r="A5605" s="11" t="str">
        <f aca="false">IF(원본명단!$A5604="","",5602)</f>
        <v/>
      </c>
      <c r="B5605" s="12" t="str">
        <f aca="false">IF($A5605="","",원본명단!$A5604)</f>
        <v/>
      </c>
      <c r="C5605" s="12" t="str">
        <f aca="false">IF($A5605="","",원본명단!$B5604)</f>
        <v/>
      </c>
      <c r="D5605" s="12" t="str">
        <f aca="false">IF($A5605="","",원본명단!$D5604)</f>
        <v/>
      </c>
      <c r="E5605" s="11" t="str">
        <f aca="false">IF($A5605="","",IF(원본명단!$H5604="",0,COUNTIF(원본명단!$H$3:$H$6002,원본명단!$H5604)))</f>
        <v/>
      </c>
      <c r="F5605" s="11" t="str">
        <f aca="false">IF($A5605="","",IF(원본명단!$I5604="",0,COUNTIF(원본명단!$I$3:$I$6002,원본명단!$I5604)))</f>
        <v/>
      </c>
      <c r="G5605" s="11" t="str">
        <f aca="false">IF($A5605="","",IF(원본명단!$K5604="",0,COUNTIF(원본명단!$K$3:$K$6002,원본명단!$K5604)))</f>
        <v/>
      </c>
      <c r="H5605" s="11" t="str">
        <f aca="false">IF($A5605="","",IF(MAX($E5605,$F5605,$G5605)&gt;1,"중복","-"))</f>
        <v/>
      </c>
      <c r="I5605" s="11" t="str">
        <f aca="false">IF($A5605="","",IF($H5605="-","-",IF(AND(IF(원본명단!$H5604="",TRUE(),COUNTIF(원본명단!$H$3:$H5604,원본명단!$H5604)=1),IF(원본명단!$I5604="",TRUE(),COUNTIF(원본명단!$I$3:$I5604,원본명단!$I5604)=1),IF(원본명단!$K5604="",TRUE(),COUNTIF(원본명단!$K$3:$K5604,원본명단!$K5604)=1)),"첫 건","중복 건")))</f>
        <v/>
      </c>
      <c r="J5605" s="11" t="str">
        <f aca="false">IF($A5605="","",IF($H5605="-","유지",IF($I5605="첫 건","유지","확인 필요")))</f>
        <v/>
      </c>
    </row>
    <row r="5606" customFormat="false" ht="15" hidden="false" customHeight="true" outlineLevel="0" collapsed="false">
      <c r="A5606" s="11" t="str">
        <f aca="false">IF(원본명단!$A5605="","",5603)</f>
        <v/>
      </c>
      <c r="B5606" s="12" t="str">
        <f aca="false">IF($A5606="","",원본명단!$A5605)</f>
        <v/>
      </c>
      <c r="C5606" s="12" t="str">
        <f aca="false">IF($A5606="","",원본명단!$B5605)</f>
        <v/>
      </c>
      <c r="D5606" s="12" t="str">
        <f aca="false">IF($A5606="","",원본명단!$D5605)</f>
        <v/>
      </c>
      <c r="E5606" s="11" t="str">
        <f aca="false">IF($A5606="","",IF(원본명단!$H5605="",0,COUNTIF(원본명단!$H$3:$H$6002,원본명단!$H5605)))</f>
        <v/>
      </c>
      <c r="F5606" s="11" t="str">
        <f aca="false">IF($A5606="","",IF(원본명단!$I5605="",0,COUNTIF(원본명단!$I$3:$I$6002,원본명단!$I5605)))</f>
        <v/>
      </c>
      <c r="G5606" s="11" t="str">
        <f aca="false">IF($A5606="","",IF(원본명단!$K5605="",0,COUNTIF(원본명단!$K$3:$K$6002,원본명단!$K5605)))</f>
        <v/>
      </c>
      <c r="H5606" s="11" t="str">
        <f aca="false">IF($A5606="","",IF(MAX($E5606,$F5606,$G5606)&gt;1,"중복","-"))</f>
        <v/>
      </c>
      <c r="I5606" s="11" t="str">
        <f aca="false">IF($A5606="","",IF($H5606="-","-",IF(AND(IF(원본명단!$H5605="",TRUE(),COUNTIF(원본명단!$H$3:$H5605,원본명단!$H5605)=1),IF(원본명단!$I5605="",TRUE(),COUNTIF(원본명단!$I$3:$I5605,원본명단!$I5605)=1),IF(원본명단!$K5605="",TRUE(),COUNTIF(원본명단!$K$3:$K5605,원본명단!$K5605)=1)),"첫 건","중복 건")))</f>
        <v/>
      </c>
      <c r="J5606" s="11" t="str">
        <f aca="false">IF($A5606="","",IF($H5606="-","유지",IF($I5606="첫 건","유지","확인 필요")))</f>
        <v/>
      </c>
    </row>
    <row r="5607" customFormat="false" ht="15" hidden="false" customHeight="true" outlineLevel="0" collapsed="false">
      <c r="A5607" s="11" t="str">
        <f aca="false">IF(원본명단!$A5606="","",5604)</f>
        <v/>
      </c>
      <c r="B5607" s="12" t="str">
        <f aca="false">IF($A5607="","",원본명단!$A5606)</f>
        <v/>
      </c>
      <c r="C5607" s="12" t="str">
        <f aca="false">IF($A5607="","",원본명단!$B5606)</f>
        <v/>
      </c>
      <c r="D5607" s="12" t="str">
        <f aca="false">IF($A5607="","",원본명단!$D5606)</f>
        <v/>
      </c>
      <c r="E5607" s="11" t="str">
        <f aca="false">IF($A5607="","",IF(원본명단!$H5606="",0,COUNTIF(원본명단!$H$3:$H$6002,원본명단!$H5606)))</f>
        <v/>
      </c>
      <c r="F5607" s="11" t="str">
        <f aca="false">IF($A5607="","",IF(원본명단!$I5606="",0,COUNTIF(원본명단!$I$3:$I$6002,원본명단!$I5606)))</f>
        <v/>
      </c>
      <c r="G5607" s="11" t="str">
        <f aca="false">IF($A5607="","",IF(원본명단!$K5606="",0,COUNTIF(원본명단!$K$3:$K$6002,원본명단!$K5606)))</f>
        <v/>
      </c>
      <c r="H5607" s="11" t="str">
        <f aca="false">IF($A5607="","",IF(MAX($E5607,$F5607,$G5607)&gt;1,"중복","-"))</f>
        <v/>
      </c>
      <c r="I5607" s="11" t="str">
        <f aca="false">IF($A5607="","",IF($H5607="-","-",IF(AND(IF(원본명단!$H5606="",TRUE(),COUNTIF(원본명단!$H$3:$H5606,원본명단!$H5606)=1),IF(원본명단!$I5606="",TRUE(),COUNTIF(원본명단!$I$3:$I5606,원본명단!$I5606)=1),IF(원본명단!$K5606="",TRUE(),COUNTIF(원본명단!$K$3:$K5606,원본명단!$K5606)=1)),"첫 건","중복 건")))</f>
        <v/>
      </c>
      <c r="J5607" s="11" t="str">
        <f aca="false">IF($A5607="","",IF($H5607="-","유지",IF($I5607="첫 건","유지","확인 필요")))</f>
        <v/>
      </c>
    </row>
    <row r="5608" customFormat="false" ht="15" hidden="false" customHeight="true" outlineLevel="0" collapsed="false">
      <c r="A5608" s="11" t="str">
        <f aca="false">IF(원본명단!$A5607="","",5605)</f>
        <v/>
      </c>
      <c r="B5608" s="12" t="str">
        <f aca="false">IF($A5608="","",원본명단!$A5607)</f>
        <v/>
      </c>
      <c r="C5608" s="12" t="str">
        <f aca="false">IF($A5608="","",원본명단!$B5607)</f>
        <v/>
      </c>
      <c r="D5608" s="12" t="str">
        <f aca="false">IF($A5608="","",원본명단!$D5607)</f>
        <v/>
      </c>
      <c r="E5608" s="11" t="str">
        <f aca="false">IF($A5608="","",IF(원본명단!$H5607="",0,COUNTIF(원본명단!$H$3:$H$6002,원본명단!$H5607)))</f>
        <v/>
      </c>
      <c r="F5608" s="11" t="str">
        <f aca="false">IF($A5608="","",IF(원본명단!$I5607="",0,COUNTIF(원본명단!$I$3:$I$6002,원본명단!$I5607)))</f>
        <v/>
      </c>
      <c r="G5608" s="11" t="str">
        <f aca="false">IF($A5608="","",IF(원본명단!$K5607="",0,COUNTIF(원본명단!$K$3:$K$6002,원본명단!$K5607)))</f>
        <v/>
      </c>
      <c r="H5608" s="11" t="str">
        <f aca="false">IF($A5608="","",IF(MAX($E5608,$F5608,$G5608)&gt;1,"중복","-"))</f>
        <v/>
      </c>
      <c r="I5608" s="11" t="str">
        <f aca="false">IF($A5608="","",IF($H5608="-","-",IF(AND(IF(원본명단!$H5607="",TRUE(),COUNTIF(원본명단!$H$3:$H5607,원본명단!$H5607)=1),IF(원본명단!$I5607="",TRUE(),COUNTIF(원본명단!$I$3:$I5607,원본명단!$I5607)=1),IF(원본명단!$K5607="",TRUE(),COUNTIF(원본명단!$K$3:$K5607,원본명단!$K5607)=1)),"첫 건","중복 건")))</f>
        <v/>
      </c>
      <c r="J5608" s="11" t="str">
        <f aca="false">IF($A5608="","",IF($H5608="-","유지",IF($I5608="첫 건","유지","확인 필요")))</f>
        <v/>
      </c>
    </row>
    <row r="5609" customFormat="false" ht="15" hidden="false" customHeight="true" outlineLevel="0" collapsed="false">
      <c r="A5609" s="11" t="str">
        <f aca="false">IF(원본명단!$A5608="","",5606)</f>
        <v/>
      </c>
      <c r="B5609" s="12" t="str">
        <f aca="false">IF($A5609="","",원본명단!$A5608)</f>
        <v/>
      </c>
      <c r="C5609" s="12" t="str">
        <f aca="false">IF($A5609="","",원본명단!$B5608)</f>
        <v/>
      </c>
      <c r="D5609" s="12" t="str">
        <f aca="false">IF($A5609="","",원본명단!$D5608)</f>
        <v/>
      </c>
      <c r="E5609" s="11" t="str">
        <f aca="false">IF($A5609="","",IF(원본명단!$H5608="",0,COUNTIF(원본명단!$H$3:$H$6002,원본명단!$H5608)))</f>
        <v/>
      </c>
      <c r="F5609" s="11" t="str">
        <f aca="false">IF($A5609="","",IF(원본명단!$I5608="",0,COUNTIF(원본명단!$I$3:$I$6002,원본명단!$I5608)))</f>
        <v/>
      </c>
      <c r="G5609" s="11" t="str">
        <f aca="false">IF($A5609="","",IF(원본명단!$K5608="",0,COUNTIF(원본명단!$K$3:$K$6002,원본명단!$K5608)))</f>
        <v/>
      </c>
      <c r="H5609" s="11" t="str">
        <f aca="false">IF($A5609="","",IF(MAX($E5609,$F5609,$G5609)&gt;1,"중복","-"))</f>
        <v/>
      </c>
      <c r="I5609" s="11" t="str">
        <f aca="false">IF($A5609="","",IF($H5609="-","-",IF(AND(IF(원본명단!$H5608="",TRUE(),COUNTIF(원본명단!$H$3:$H5608,원본명단!$H5608)=1),IF(원본명단!$I5608="",TRUE(),COUNTIF(원본명단!$I$3:$I5608,원본명단!$I5608)=1),IF(원본명단!$K5608="",TRUE(),COUNTIF(원본명단!$K$3:$K5608,원본명단!$K5608)=1)),"첫 건","중복 건")))</f>
        <v/>
      </c>
      <c r="J5609" s="11" t="str">
        <f aca="false">IF($A5609="","",IF($H5609="-","유지",IF($I5609="첫 건","유지","확인 필요")))</f>
        <v/>
      </c>
    </row>
    <row r="5610" customFormat="false" ht="15" hidden="false" customHeight="true" outlineLevel="0" collapsed="false">
      <c r="A5610" s="11" t="str">
        <f aca="false">IF(원본명단!$A5609="","",5607)</f>
        <v/>
      </c>
      <c r="B5610" s="12" t="str">
        <f aca="false">IF($A5610="","",원본명단!$A5609)</f>
        <v/>
      </c>
      <c r="C5610" s="12" t="str">
        <f aca="false">IF($A5610="","",원본명단!$B5609)</f>
        <v/>
      </c>
      <c r="D5610" s="12" t="str">
        <f aca="false">IF($A5610="","",원본명단!$D5609)</f>
        <v/>
      </c>
      <c r="E5610" s="11" t="str">
        <f aca="false">IF($A5610="","",IF(원본명단!$H5609="",0,COUNTIF(원본명단!$H$3:$H$6002,원본명단!$H5609)))</f>
        <v/>
      </c>
      <c r="F5610" s="11" t="str">
        <f aca="false">IF($A5610="","",IF(원본명단!$I5609="",0,COUNTIF(원본명단!$I$3:$I$6002,원본명단!$I5609)))</f>
        <v/>
      </c>
      <c r="G5610" s="11" t="str">
        <f aca="false">IF($A5610="","",IF(원본명단!$K5609="",0,COUNTIF(원본명단!$K$3:$K$6002,원본명단!$K5609)))</f>
        <v/>
      </c>
      <c r="H5610" s="11" t="str">
        <f aca="false">IF($A5610="","",IF(MAX($E5610,$F5610,$G5610)&gt;1,"중복","-"))</f>
        <v/>
      </c>
      <c r="I5610" s="11" t="str">
        <f aca="false">IF($A5610="","",IF($H5610="-","-",IF(AND(IF(원본명단!$H5609="",TRUE(),COUNTIF(원본명단!$H$3:$H5609,원본명단!$H5609)=1),IF(원본명단!$I5609="",TRUE(),COUNTIF(원본명단!$I$3:$I5609,원본명단!$I5609)=1),IF(원본명단!$K5609="",TRUE(),COUNTIF(원본명단!$K$3:$K5609,원본명단!$K5609)=1)),"첫 건","중복 건")))</f>
        <v/>
      </c>
      <c r="J5610" s="11" t="str">
        <f aca="false">IF($A5610="","",IF($H5610="-","유지",IF($I5610="첫 건","유지","확인 필요")))</f>
        <v/>
      </c>
    </row>
    <row r="5611" customFormat="false" ht="15" hidden="false" customHeight="true" outlineLevel="0" collapsed="false">
      <c r="A5611" s="11" t="str">
        <f aca="false">IF(원본명단!$A5610="","",5608)</f>
        <v/>
      </c>
      <c r="B5611" s="12" t="str">
        <f aca="false">IF($A5611="","",원본명단!$A5610)</f>
        <v/>
      </c>
      <c r="C5611" s="12" t="str">
        <f aca="false">IF($A5611="","",원본명단!$B5610)</f>
        <v/>
      </c>
      <c r="D5611" s="12" t="str">
        <f aca="false">IF($A5611="","",원본명단!$D5610)</f>
        <v/>
      </c>
      <c r="E5611" s="11" t="str">
        <f aca="false">IF($A5611="","",IF(원본명단!$H5610="",0,COUNTIF(원본명단!$H$3:$H$6002,원본명단!$H5610)))</f>
        <v/>
      </c>
      <c r="F5611" s="11" t="str">
        <f aca="false">IF($A5611="","",IF(원본명단!$I5610="",0,COUNTIF(원본명단!$I$3:$I$6002,원본명단!$I5610)))</f>
        <v/>
      </c>
      <c r="G5611" s="11" t="str">
        <f aca="false">IF($A5611="","",IF(원본명단!$K5610="",0,COUNTIF(원본명단!$K$3:$K$6002,원본명단!$K5610)))</f>
        <v/>
      </c>
      <c r="H5611" s="11" t="str">
        <f aca="false">IF($A5611="","",IF(MAX($E5611,$F5611,$G5611)&gt;1,"중복","-"))</f>
        <v/>
      </c>
      <c r="I5611" s="11" t="str">
        <f aca="false">IF($A5611="","",IF($H5611="-","-",IF(AND(IF(원본명단!$H5610="",TRUE(),COUNTIF(원본명단!$H$3:$H5610,원본명단!$H5610)=1),IF(원본명단!$I5610="",TRUE(),COUNTIF(원본명단!$I$3:$I5610,원본명단!$I5610)=1),IF(원본명단!$K5610="",TRUE(),COUNTIF(원본명단!$K$3:$K5610,원본명단!$K5610)=1)),"첫 건","중복 건")))</f>
        <v/>
      </c>
      <c r="J5611" s="11" t="str">
        <f aca="false">IF($A5611="","",IF($H5611="-","유지",IF($I5611="첫 건","유지","확인 필요")))</f>
        <v/>
      </c>
    </row>
    <row r="5612" customFormat="false" ht="15" hidden="false" customHeight="true" outlineLevel="0" collapsed="false">
      <c r="A5612" s="11" t="str">
        <f aca="false">IF(원본명단!$A5611="","",5609)</f>
        <v/>
      </c>
      <c r="B5612" s="12" t="str">
        <f aca="false">IF($A5612="","",원본명단!$A5611)</f>
        <v/>
      </c>
      <c r="C5612" s="12" t="str">
        <f aca="false">IF($A5612="","",원본명단!$B5611)</f>
        <v/>
      </c>
      <c r="D5612" s="12" t="str">
        <f aca="false">IF($A5612="","",원본명단!$D5611)</f>
        <v/>
      </c>
      <c r="E5612" s="11" t="str">
        <f aca="false">IF($A5612="","",IF(원본명단!$H5611="",0,COUNTIF(원본명단!$H$3:$H$6002,원본명단!$H5611)))</f>
        <v/>
      </c>
      <c r="F5612" s="11" t="str">
        <f aca="false">IF($A5612="","",IF(원본명단!$I5611="",0,COUNTIF(원본명단!$I$3:$I$6002,원본명단!$I5611)))</f>
        <v/>
      </c>
      <c r="G5612" s="11" t="str">
        <f aca="false">IF($A5612="","",IF(원본명단!$K5611="",0,COUNTIF(원본명단!$K$3:$K$6002,원본명단!$K5611)))</f>
        <v/>
      </c>
      <c r="H5612" s="11" t="str">
        <f aca="false">IF($A5612="","",IF(MAX($E5612,$F5612,$G5612)&gt;1,"중복","-"))</f>
        <v/>
      </c>
      <c r="I5612" s="11" t="str">
        <f aca="false">IF($A5612="","",IF($H5612="-","-",IF(AND(IF(원본명단!$H5611="",TRUE(),COUNTIF(원본명단!$H$3:$H5611,원본명단!$H5611)=1),IF(원본명단!$I5611="",TRUE(),COUNTIF(원본명단!$I$3:$I5611,원본명단!$I5611)=1),IF(원본명단!$K5611="",TRUE(),COUNTIF(원본명단!$K$3:$K5611,원본명단!$K5611)=1)),"첫 건","중복 건")))</f>
        <v/>
      </c>
      <c r="J5612" s="11" t="str">
        <f aca="false">IF($A5612="","",IF($H5612="-","유지",IF($I5612="첫 건","유지","확인 필요")))</f>
        <v/>
      </c>
    </row>
    <row r="5613" customFormat="false" ht="15" hidden="false" customHeight="true" outlineLevel="0" collapsed="false">
      <c r="A5613" s="11" t="str">
        <f aca="false">IF(원본명단!$A5612="","",5610)</f>
        <v/>
      </c>
      <c r="B5613" s="12" t="str">
        <f aca="false">IF($A5613="","",원본명단!$A5612)</f>
        <v/>
      </c>
      <c r="C5613" s="12" t="str">
        <f aca="false">IF($A5613="","",원본명단!$B5612)</f>
        <v/>
      </c>
      <c r="D5613" s="12" t="str">
        <f aca="false">IF($A5613="","",원본명단!$D5612)</f>
        <v/>
      </c>
      <c r="E5613" s="11" t="str">
        <f aca="false">IF($A5613="","",IF(원본명단!$H5612="",0,COUNTIF(원본명단!$H$3:$H$6002,원본명단!$H5612)))</f>
        <v/>
      </c>
      <c r="F5613" s="11" t="str">
        <f aca="false">IF($A5613="","",IF(원본명단!$I5612="",0,COUNTIF(원본명단!$I$3:$I$6002,원본명단!$I5612)))</f>
        <v/>
      </c>
      <c r="G5613" s="11" t="str">
        <f aca="false">IF($A5613="","",IF(원본명단!$K5612="",0,COUNTIF(원본명단!$K$3:$K$6002,원본명단!$K5612)))</f>
        <v/>
      </c>
      <c r="H5613" s="11" t="str">
        <f aca="false">IF($A5613="","",IF(MAX($E5613,$F5613,$G5613)&gt;1,"중복","-"))</f>
        <v/>
      </c>
      <c r="I5613" s="11" t="str">
        <f aca="false">IF($A5613="","",IF($H5613="-","-",IF(AND(IF(원본명단!$H5612="",TRUE(),COUNTIF(원본명단!$H$3:$H5612,원본명단!$H5612)=1),IF(원본명단!$I5612="",TRUE(),COUNTIF(원본명단!$I$3:$I5612,원본명단!$I5612)=1),IF(원본명단!$K5612="",TRUE(),COUNTIF(원본명단!$K$3:$K5612,원본명단!$K5612)=1)),"첫 건","중복 건")))</f>
        <v/>
      </c>
      <c r="J5613" s="11" t="str">
        <f aca="false">IF($A5613="","",IF($H5613="-","유지",IF($I5613="첫 건","유지","확인 필요")))</f>
        <v/>
      </c>
    </row>
    <row r="5614" customFormat="false" ht="15" hidden="false" customHeight="true" outlineLevel="0" collapsed="false">
      <c r="A5614" s="11" t="str">
        <f aca="false">IF(원본명단!$A5613="","",5611)</f>
        <v/>
      </c>
      <c r="B5614" s="12" t="str">
        <f aca="false">IF($A5614="","",원본명단!$A5613)</f>
        <v/>
      </c>
      <c r="C5614" s="12" t="str">
        <f aca="false">IF($A5614="","",원본명단!$B5613)</f>
        <v/>
      </c>
      <c r="D5614" s="12" t="str">
        <f aca="false">IF($A5614="","",원본명단!$D5613)</f>
        <v/>
      </c>
      <c r="E5614" s="11" t="str">
        <f aca="false">IF($A5614="","",IF(원본명단!$H5613="",0,COUNTIF(원본명단!$H$3:$H$6002,원본명단!$H5613)))</f>
        <v/>
      </c>
      <c r="F5614" s="11" t="str">
        <f aca="false">IF($A5614="","",IF(원본명단!$I5613="",0,COUNTIF(원본명단!$I$3:$I$6002,원본명단!$I5613)))</f>
        <v/>
      </c>
      <c r="G5614" s="11" t="str">
        <f aca="false">IF($A5614="","",IF(원본명단!$K5613="",0,COUNTIF(원본명단!$K$3:$K$6002,원본명단!$K5613)))</f>
        <v/>
      </c>
      <c r="H5614" s="11" t="str">
        <f aca="false">IF($A5614="","",IF(MAX($E5614,$F5614,$G5614)&gt;1,"중복","-"))</f>
        <v/>
      </c>
      <c r="I5614" s="11" t="str">
        <f aca="false">IF($A5614="","",IF($H5614="-","-",IF(AND(IF(원본명단!$H5613="",TRUE(),COUNTIF(원본명단!$H$3:$H5613,원본명단!$H5613)=1),IF(원본명단!$I5613="",TRUE(),COUNTIF(원본명단!$I$3:$I5613,원본명단!$I5613)=1),IF(원본명단!$K5613="",TRUE(),COUNTIF(원본명단!$K$3:$K5613,원본명단!$K5613)=1)),"첫 건","중복 건")))</f>
        <v/>
      </c>
      <c r="J5614" s="11" t="str">
        <f aca="false">IF($A5614="","",IF($H5614="-","유지",IF($I5614="첫 건","유지","확인 필요")))</f>
        <v/>
      </c>
    </row>
    <row r="5615" customFormat="false" ht="15" hidden="false" customHeight="true" outlineLevel="0" collapsed="false">
      <c r="A5615" s="11" t="str">
        <f aca="false">IF(원본명단!$A5614="","",5612)</f>
        <v/>
      </c>
      <c r="B5615" s="12" t="str">
        <f aca="false">IF($A5615="","",원본명단!$A5614)</f>
        <v/>
      </c>
      <c r="C5615" s="12" t="str">
        <f aca="false">IF($A5615="","",원본명단!$B5614)</f>
        <v/>
      </c>
      <c r="D5615" s="12" t="str">
        <f aca="false">IF($A5615="","",원본명단!$D5614)</f>
        <v/>
      </c>
      <c r="E5615" s="11" t="str">
        <f aca="false">IF($A5615="","",IF(원본명단!$H5614="",0,COUNTIF(원본명단!$H$3:$H$6002,원본명단!$H5614)))</f>
        <v/>
      </c>
      <c r="F5615" s="11" t="str">
        <f aca="false">IF($A5615="","",IF(원본명단!$I5614="",0,COUNTIF(원본명단!$I$3:$I$6002,원본명단!$I5614)))</f>
        <v/>
      </c>
      <c r="G5615" s="11" t="str">
        <f aca="false">IF($A5615="","",IF(원본명단!$K5614="",0,COUNTIF(원본명단!$K$3:$K$6002,원본명단!$K5614)))</f>
        <v/>
      </c>
      <c r="H5615" s="11" t="str">
        <f aca="false">IF($A5615="","",IF(MAX($E5615,$F5615,$G5615)&gt;1,"중복","-"))</f>
        <v/>
      </c>
      <c r="I5615" s="11" t="str">
        <f aca="false">IF($A5615="","",IF($H5615="-","-",IF(AND(IF(원본명단!$H5614="",TRUE(),COUNTIF(원본명단!$H$3:$H5614,원본명단!$H5614)=1),IF(원본명단!$I5614="",TRUE(),COUNTIF(원본명단!$I$3:$I5614,원본명단!$I5614)=1),IF(원본명단!$K5614="",TRUE(),COUNTIF(원본명단!$K$3:$K5614,원본명단!$K5614)=1)),"첫 건","중복 건")))</f>
        <v/>
      </c>
      <c r="J5615" s="11" t="str">
        <f aca="false">IF($A5615="","",IF($H5615="-","유지",IF($I5615="첫 건","유지","확인 필요")))</f>
        <v/>
      </c>
    </row>
    <row r="5616" customFormat="false" ht="15" hidden="false" customHeight="true" outlineLevel="0" collapsed="false">
      <c r="A5616" s="11" t="str">
        <f aca="false">IF(원본명단!$A5615="","",5613)</f>
        <v/>
      </c>
      <c r="B5616" s="12" t="str">
        <f aca="false">IF($A5616="","",원본명단!$A5615)</f>
        <v/>
      </c>
      <c r="C5616" s="12" t="str">
        <f aca="false">IF($A5616="","",원본명단!$B5615)</f>
        <v/>
      </c>
      <c r="D5616" s="12" t="str">
        <f aca="false">IF($A5616="","",원본명단!$D5615)</f>
        <v/>
      </c>
      <c r="E5616" s="11" t="str">
        <f aca="false">IF($A5616="","",IF(원본명단!$H5615="",0,COUNTIF(원본명단!$H$3:$H$6002,원본명단!$H5615)))</f>
        <v/>
      </c>
      <c r="F5616" s="11" t="str">
        <f aca="false">IF($A5616="","",IF(원본명단!$I5615="",0,COUNTIF(원본명단!$I$3:$I$6002,원본명단!$I5615)))</f>
        <v/>
      </c>
      <c r="G5616" s="11" t="str">
        <f aca="false">IF($A5616="","",IF(원본명단!$K5615="",0,COUNTIF(원본명단!$K$3:$K$6002,원본명단!$K5615)))</f>
        <v/>
      </c>
      <c r="H5616" s="11" t="str">
        <f aca="false">IF($A5616="","",IF(MAX($E5616,$F5616,$G5616)&gt;1,"중복","-"))</f>
        <v/>
      </c>
      <c r="I5616" s="11" t="str">
        <f aca="false">IF($A5616="","",IF($H5616="-","-",IF(AND(IF(원본명단!$H5615="",TRUE(),COUNTIF(원본명단!$H$3:$H5615,원본명단!$H5615)=1),IF(원본명단!$I5615="",TRUE(),COUNTIF(원본명단!$I$3:$I5615,원본명단!$I5615)=1),IF(원본명단!$K5615="",TRUE(),COUNTIF(원본명단!$K$3:$K5615,원본명단!$K5615)=1)),"첫 건","중복 건")))</f>
        <v/>
      </c>
      <c r="J5616" s="11" t="str">
        <f aca="false">IF($A5616="","",IF($H5616="-","유지",IF($I5616="첫 건","유지","확인 필요")))</f>
        <v/>
      </c>
    </row>
    <row r="5617" customFormat="false" ht="15" hidden="false" customHeight="true" outlineLevel="0" collapsed="false">
      <c r="A5617" s="11" t="str">
        <f aca="false">IF(원본명단!$A5616="","",5614)</f>
        <v/>
      </c>
      <c r="B5617" s="12" t="str">
        <f aca="false">IF($A5617="","",원본명단!$A5616)</f>
        <v/>
      </c>
      <c r="C5617" s="12" t="str">
        <f aca="false">IF($A5617="","",원본명단!$B5616)</f>
        <v/>
      </c>
      <c r="D5617" s="12" t="str">
        <f aca="false">IF($A5617="","",원본명단!$D5616)</f>
        <v/>
      </c>
      <c r="E5617" s="11" t="str">
        <f aca="false">IF($A5617="","",IF(원본명단!$H5616="",0,COUNTIF(원본명단!$H$3:$H$6002,원본명단!$H5616)))</f>
        <v/>
      </c>
      <c r="F5617" s="11" t="str">
        <f aca="false">IF($A5617="","",IF(원본명단!$I5616="",0,COUNTIF(원본명단!$I$3:$I$6002,원본명단!$I5616)))</f>
        <v/>
      </c>
      <c r="G5617" s="11" t="str">
        <f aca="false">IF($A5617="","",IF(원본명단!$K5616="",0,COUNTIF(원본명단!$K$3:$K$6002,원본명단!$K5616)))</f>
        <v/>
      </c>
      <c r="H5617" s="11" t="str">
        <f aca="false">IF($A5617="","",IF(MAX($E5617,$F5617,$G5617)&gt;1,"중복","-"))</f>
        <v/>
      </c>
      <c r="I5617" s="11" t="str">
        <f aca="false">IF($A5617="","",IF($H5617="-","-",IF(AND(IF(원본명단!$H5616="",TRUE(),COUNTIF(원본명단!$H$3:$H5616,원본명단!$H5616)=1),IF(원본명단!$I5616="",TRUE(),COUNTIF(원본명단!$I$3:$I5616,원본명단!$I5616)=1),IF(원본명단!$K5616="",TRUE(),COUNTIF(원본명단!$K$3:$K5616,원본명단!$K5616)=1)),"첫 건","중복 건")))</f>
        <v/>
      </c>
      <c r="J5617" s="11" t="str">
        <f aca="false">IF($A5617="","",IF($H5617="-","유지",IF($I5617="첫 건","유지","확인 필요")))</f>
        <v/>
      </c>
    </row>
    <row r="5618" customFormat="false" ht="15" hidden="false" customHeight="true" outlineLevel="0" collapsed="false">
      <c r="A5618" s="11" t="str">
        <f aca="false">IF(원본명단!$A5617="","",5615)</f>
        <v/>
      </c>
      <c r="B5618" s="12" t="str">
        <f aca="false">IF($A5618="","",원본명단!$A5617)</f>
        <v/>
      </c>
      <c r="C5618" s="12" t="str">
        <f aca="false">IF($A5618="","",원본명단!$B5617)</f>
        <v/>
      </c>
      <c r="D5618" s="12" t="str">
        <f aca="false">IF($A5618="","",원본명단!$D5617)</f>
        <v/>
      </c>
      <c r="E5618" s="11" t="str">
        <f aca="false">IF($A5618="","",IF(원본명단!$H5617="",0,COUNTIF(원본명단!$H$3:$H$6002,원본명단!$H5617)))</f>
        <v/>
      </c>
      <c r="F5618" s="11" t="str">
        <f aca="false">IF($A5618="","",IF(원본명단!$I5617="",0,COUNTIF(원본명단!$I$3:$I$6002,원본명단!$I5617)))</f>
        <v/>
      </c>
      <c r="G5618" s="11" t="str">
        <f aca="false">IF($A5618="","",IF(원본명단!$K5617="",0,COUNTIF(원본명단!$K$3:$K$6002,원본명단!$K5617)))</f>
        <v/>
      </c>
      <c r="H5618" s="11" t="str">
        <f aca="false">IF($A5618="","",IF(MAX($E5618,$F5618,$G5618)&gt;1,"중복","-"))</f>
        <v/>
      </c>
      <c r="I5618" s="11" t="str">
        <f aca="false">IF($A5618="","",IF($H5618="-","-",IF(AND(IF(원본명단!$H5617="",TRUE(),COUNTIF(원본명단!$H$3:$H5617,원본명단!$H5617)=1),IF(원본명단!$I5617="",TRUE(),COUNTIF(원본명단!$I$3:$I5617,원본명단!$I5617)=1),IF(원본명단!$K5617="",TRUE(),COUNTIF(원본명단!$K$3:$K5617,원본명단!$K5617)=1)),"첫 건","중복 건")))</f>
        <v/>
      </c>
      <c r="J5618" s="11" t="str">
        <f aca="false">IF($A5618="","",IF($H5618="-","유지",IF($I5618="첫 건","유지","확인 필요")))</f>
        <v/>
      </c>
    </row>
    <row r="5619" customFormat="false" ht="15" hidden="false" customHeight="true" outlineLevel="0" collapsed="false">
      <c r="A5619" s="11" t="str">
        <f aca="false">IF(원본명단!$A5618="","",5616)</f>
        <v/>
      </c>
      <c r="B5619" s="12" t="str">
        <f aca="false">IF($A5619="","",원본명단!$A5618)</f>
        <v/>
      </c>
      <c r="C5619" s="12" t="str">
        <f aca="false">IF($A5619="","",원본명단!$B5618)</f>
        <v/>
      </c>
      <c r="D5619" s="12" t="str">
        <f aca="false">IF($A5619="","",원본명단!$D5618)</f>
        <v/>
      </c>
      <c r="E5619" s="11" t="str">
        <f aca="false">IF($A5619="","",IF(원본명단!$H5618="",0,COUNTIF(원본명단!$H$3:$H$6002,원본명단!$H5618)))</f>
        <v/>
      </c>
      <c r="F5619" s="11" t="str">
        <f aca="false">IF($A5619="","",IF(원본명단!$I5618="",0,COUNTIF(원본명단!$I$3:$I$6002,원본명단!$I5618)))</f>
        <v/>
      </c>
      <c r="G5619" s="11" t="str">
        <f aca="false">IF($A5619="","",IF(원본명단!$K5618="",0,COUNTIF(원본명단!$K$3:$K$6002,원본명단!$K5618)))</f>
        <v/>
      </c>
      <c r="H5619" s="11" t="str">
        <f aca="false">IF($A5619="","",IF(MAX($E5619,$F5619,$G5619)&gt;1,"중복","-"))</f>
        <v/>
      </c>
      <c r="I5619" s="11" t="str">
        <f aca="false">IF($A5619="","",IF($H5619="-","-",IF(AND(IF(원본명단!$H5618="",TRUE(),COUNTIF(원본명단!$H$3:$H5618,원본명단!$H5618)=1),IF(원본명단!$I5618="",TRUE(),COUNTIF(원본명단!$I$3:$I5618,원본명단!$I5618)=1),IF(원본명단!$K5618="",TRUE(),COUNTIF(원본명단!$K$3:$K5618,원본명단!$K5618)=1)),"첫 건","중복 건")))</f>
        <v/>
      </c>
      <c r="J5619" s="11" t="str">
        <f aca="false">IF($A5619="","",IF($H5619="-","유지",IF($I5619="첫 건","유지","확인 필요")))</f>
        <v/>
      </c>
    </row>
    <row r="5620" customFormat="false" ht="15" hidden="false" customHeight="true" outlineLevel="0" collapsed="false">
      <c r="A5620" s="11" t="str">
        <f aca="false">IF(원본명단!$A5619="","",5617)</f>
        <v/>
      </c>
      <c r="B5620" s="12" t="str">
        <f aca="false">IF($A5620="","",원본명단!$A5619)</f>
        <v/>
      </c>
      <c r="C5620" s="12" t="str">
        <f aca="false">IF($A5620="","",원본명단!$B5619)</f>
        <v/>
      </c>
      <c r="D5620" s="12" t="str">
        <f aca="false">IF($A5620="","",원본명단!$D5619)</f>
        <v/>
      </c>
      <c r="E5620" s="11" t="str">
        <f aca="false">IF($A5620="","",IF(원본명단!$H5619="",0,COUNTIF(원본명단!$H$3:$H$6002,원본명단!$H5619)))</f>
        <v/>
      </c>
      <c r="F5620" s="11" t="str">
        <f aca="false">IF($A5620="","",IF(원본명단!$I5619="",0,COUNTIF(원본명단!$I$3:$I$6002,원본명단!$I5619)))</f>
        <v/>
      </c>
      <c r="G5620" s="11" t="str">
        <f aca="false">IF($A5620="","",IF(원본명단!$K5619="",0,COUNTIF(원본명단!$K$3:$K$6002,원본명단!$K5619)))</f>
        <v/>
      </c>
      <c r="H5620" s="11" t="str">
        <f aca="false">IF($A5620="","",IF(MAX($E5620,$F5620,$G5620)&gt;1,"중복","-"))</f>
        <v/>
      </c>
      <c r="I5620" s="11" t="str">
        <f aca="false">IF($A5620="","",IF($H5620="-","-",IF(AND(IF(원본명단!$H5619="",TRUE(),COUNTIF(원본명단!$H$3:$H5619,원본명단!$H5619)=1),IF(원본명단!$I5619="",TRUE(),COUNTIF(원본명단!$I$3:$I5619,원본명단!$I5619)=1),IF(원본명단!$K5619="",TRUE(),COUNTIF(원본명단!$K$3:$K5619,원본명단!$K5619)=1)),"첫 건","중복 건")))</f>
        <v/>
      </c>
      <c r="J5620" s="11" t="str">
        <f aca="false">IF($A5620="","",IF($H5620="-","유지",IF($I5620="첫 건","유지","확인 필요")))</f>
        <v/>
      </c>
    </row>
    <row r="5621" customFormat="false" ht="15" hidden="false" customHeight="true" outlineLevel="0" collapsed="false">
      <c r="A5621" s="11" t="str">
        <f aca="false">IF(원본명단!$A5620="","",5618)</f>
        <v/>
      </c>
      <c r="B5621" s="12" t="str">
        <f aca="false">IF($A5621="","",원본명단!$A5620)</f>
        <v/>
      </c>
      <c r="C5621" s="12" t="str">
        <f aca="false">IF($A5621="","",원본명단!$B5620)</f>
        <v/>
      </c>
      <c r="D5621" s="12" t="str">
        <f aca="false">IF($A5621="","",원본명단!$D5620)</f>
        <v/>
      </c>
      <c r="E5621" s="11" t="str">
        <f aca="false">IF($A5621="","",IF(원본명단!$H5620="",0,COUNTIF(원본명단!$H$3:$H$6002,원본명단!$H5620)))</f>
        <v/>
      </c>
      <c r="F5621" s="11" t="str">
        <f aca="false">IF($A5621="","",IF(원본명단!$I5620="",0,COUNTIF(원본명단!$I$3:$I$6002,원본명단!$I5620)))</f>
        <v/>
      </c>
      <c r="G5621" s="11" t="str">
        <f aca="false">IF($A5621="","",IF(원본명단!$K5620="",0,COUNTIF(원본명단!$K$3:$K$6002,원본명단!$K5620)))</f>
        <v/>
      </c>
      <c r="H5621" s="11" t="str">
        <f aca="false">IF($A5621="","",IF(MAX($E5621,$F5621,$G5621)&gt;1,"중복","-"))</f>
        <v/>
      </c>
      <c r="I5621" s="11" t="str">
        <f aca="false">IF($A5621="","",IF($H5621="-","-",IF(AND(IF(원본명단!$H5620="",TRUE(),COUNTIF(원본명단!$H$3:$H5620,원본명단!$H5620)=1),IF(원본명단!$I5620="",TRUE(),COUNTIF(원본명단!$I$3:$I5620,원본명단!$I5620)=1),IF(원본명단!$K5620="",TRUE(),COUNTIF(원본명단!$K$3:$K5620,원본명단!$K5620)=1)),"첫 건","중복 건")))</f>
        <v/>
      </c>
      <c r="J5621" s="11" t="str">
        <f aca="false">IF($A5621="","",IF($H5621="-","유지",IF($I5621="첫 건","유지","확인 필요")))</f>
        <v/>
      </c>
    </row>
    <row r="5622" customFormat="false" ht="15" hidden="false" customHeight="true" outlineLevel="0" collapsed="false">
      <c r="A5622" s="11" t="str">
        <f aca="false">IF(원본명단!$A5621="","",5619)</f>
        <v/>
      </c>
      <c r="B5622" s="12" t="str">
        <f aca="false">IF($A5622="","",원본명단!$A5621)</f>
        <v/>
      </c>
      <c r="C5622" s="12" t="str">
        <f aca="false">IF($A5622="","",원본명단!$B5621)</f>
        <v/>
      </c>
      <c r="D5622" s="12" t="str">
        <f aca="false">IF($A5622="","",원본명단!$D5621)</f>
        <v/>
      </c>
      <c r="E5622" s="11" t="str">
        <f aca="false">IF($A5622="","",IF(원본명단!$H5621="",0,COUNTIF(원본명단!$H$3:$H$6002,원본명단!$H5621)))</f>
        <v/>
      </c>
      <c r="F5622" s="11" t="str">
        <f aca="false">IF($A5622="","",IF(원본명단!$I5621="",0,COUNTIF(원본명단!$I$3:$I$6002,원본명단!$I5621)))</f>
        <v/>
      </c>
      <c r="G5622" s="11" t="str">
        <f aca="false">IF($A5622="","",IF(원본명단!$K5621="",0,COUNTIF(원본명단!$K$3:$K$6002,원본명단!$K5621)))</f>
        <v/>
      </c>
      <c r="H5622" s="11" t="str">
        <f aca="false">IF($A5622="","",IF(MAX($E5622,$F5622,$G5622)&gt;1,"중복","-"))</f>
        <v/>
      </c>
      <c r="I5622" s="11" t="str">
        <f aca="false">IF($A5622="","",IF($H5622="-","-",IF(AND(IF(원본명단!$H5621="",TRUE(),COUNTIF(원본명단!$H$3:$H5621,원본명단!$H5621)=1),IF(원본명단!$I5621="",TRUE(),COUNTIF(원본명단!$I$3:$I5621,원본명단!$I5621)=1),IF(원본명단!$K5621="",TRUE(),COUNTIF(원본명단!$K$3:$K5621,원본명단!$K5621)=1)),"첫 건","중복 건")))</f>
        <v/>
      </c>
      <c r="J5622" s="11" t="str">
        <f aca="false">IF($A5622="","",IF($H5622="-","유지",IF($I5622="첫 건","유지","확인 필요")))</f>
        <v/>
      </c>
    </row>
    <row r="5623" customFormat="false" ht="15" hidden="false" customHeight="true" outlineLevel="0" collapsed="false">
      <c r="A5623" s="11" t="str">
        <f aca="false">IF(원본명단!$A5622="","",5620)</f>
        <v/>
      </c>
      <c r="B5623" s="12" t="str">
        <f aca="false">IF($A5623="","",원본명단!$A5622)</f>
        <v/>
      </c>
      <c r="C5623" s="12" t="str">
        <f aca="false">IF($A5623="","",원본명단!$B5622)</f>
        <v/>
      </c>
      <c r="D5623" s="12" t="str">
        <f aca="false">IF($A5623="","",원본명단!$D5622)</f>
        <v/>
      </c>
      <c r="E5623" s="11" t="str">
        <f aca="false">IF($A5623="","",IF(원본명단!$H5622="",0,COUNTIF(원본명단!$H$3:$H$6002,원본명단!$H5622)))</f>
        <v/>
      </c>
      <c r="F5623" s="11" t="str">
        <f aca="false">IF($A5623="","",IF(원본명단!$I5622="",0,COUNTIF(원본명단!$I$3:$I$6002,원본명단!$I5622)))</f>
        <v/>
      </c>
      <c r="G5623" s="11" t="str">
        <f aca="false">IF($A5623="","",IF(원본명단!$K5622="",0,COUNTIF(원본명단!$K$3:$K$6002,원본명단!$K5622)))</f>
        <v/>
      </c>
      <c r="H5623" s="11" t="str">
        <f aca="false">IF($A5623="","",IF(MAX($E5623,$F5623,$G5623)&gt;1,"중복","-"))</f>
        <v/>
      </c>
      <c r="I5623" s="11" t="str">
        <f aca="false">IF($A5623="","",IF($H5623="-","-",IF(AND(IF(원본명단!$H5622="",TRUE(),COUNTIF(원본명단!$H$3:$H5622,원본명단!$H5622)=1),IF(원본명단!$I5622="",TRUE(),COUNTIF(원본명단!$I$3:$I5622,원본명단!$I5622)=1),IF(원본명단!$K5622="",TRUE(),COUNTIF(원본명단!$K$3:$K5622,원본명단!$K5622)=1)),"첫 건","중복 건")))</f>
        <v/>
      </c>
      <c r="J5623" s="11" t="str">
        <f aca="false">IF($A5623="","",IF($H5623="-","유지",IF($I5623="첫 건","유지","확인 필요")))</f>
        <v/>
      </c>
    </row>
    <row r="5624" customFormat="false" ht="15" hidden="false" customHeight="true" outlineLevel="0" collapsed="false">
      <c r="A5624" s="11" t="str">
        <f aca="false">IF(원본명단!$A5623="","",5621)</f>
        <v/>
      </c>
      <c r="B5624" s="12" t="str">
        <f aca="false">IF($A5624="","",원본명단!$A5623)</f>
        <v/>
      </c>
      <c r="C5624" s="12" t="str">
        <f aca="false">IF($A5624="","",원본명단!$B5623)</f>
        <v/>
      </c>
      <c r="D5624" s="12" t="str">
        <f aca="false">IF($A5624="","",원본명단!$D5623)</f>
        <v/>
      </c>
      <c r="E5624" s="11" t="str">
        <f aca="false">IF($A5624="","",IF(원본명단!$H5623="",0,COUNTIF(원본명단!$H$3:$H$6002,원본명단!$H5623)))</f>
        <v/>
      </c>
      <c r="F5624" s="11" t="str">
        <f aca="false">IF($A5624="","",IF(원본명단!$I5623="",0,COUNTIF(원본명단!$I$3:$I$6002,원본명단!$I5623)))</f>
        <v/>
      </c>
      <c r="G5624" s="11" t="str">
        <f aca="false">IF($A5624="","",IF(원본명단!$K5623="",0,COUNTIF(원본명단!$K$3:$K$6002,원본명단!$K5623)))</f>
        <v/>
      </c>
      <c r="H5624" s="11" t="str">
        <f aca="false">IF($A5624="","",IF(MAX($E5624,$F5624,$G5624)&gt;1,"중복","-"))</f>
        <v/>
      </c>
      <c r="I5624" s="11" t="str">
        <f aca="false">IF($A5624="","",IF($H5624="-","-",IF(AND(IF(원본명단!$H5623="",TRUE(),COUNTIF(원본명단!$H$3:$H5623,원본명단!$H5623)=1),IF(원본명단!$I5623="",TRUE(),COUNTIF(원본명단!$I$3:$I5623,원본명단!$I5623)=1),IF(원본명단!$K5623="",TRUE(),COUNTIF(원본명단!$K$3:$K5623,원본명단!$K5623)=1)),"첫 건","중복 건")))</f>
        <v/>
      </c>
      <c r="J5624" s="11" t="str">
        <f aca="false">IF($A5624="","",IF($H5624="-","유지",IF($I5624="첫 건","유지","확인 필요")))</f>
        <v/>
      </c>
    </row>
    <row r="5625" customFormat="false" ht="15" hidden="false" customHeight="true" outlineLevel="0" collapsed="false">
      <c r="A5625" s="11" t="str">
        <f aca="false">IF(원본명단!$A5624="","",5622)</f>
        <v/>
      </c>
      <c r="B5625" s="12" t="str">
        <f aca="false">IF($A5625="","",원본명단!$A5624)</f>
        <v/>
      </c>
      <c r="C5625" s="12" t="str">
        <f aca="false">IF($A5625="","",원본명단!$B5624)</f>
        <v/>
      </c>
      <c r="D5625" s="12" t="str">
        <f aca="false">IF($A5625="","",원본명단!$D5624)</f>
        <v/>
      </c>
      <c r="E5625" s="11" t="str">
        <f aca="false">IF($A5625="","",IF(원본명단!$H5624="",0,COUNTIF(원본명단!$H$3:$H$6002,원본명단!$H5624)))</f>
        <v/>
      </c>
      <c r="F5625" s="11" t="str">
        <f aca="false">IF($A5625="","",IF(원본명단!$I5624="",0,COUNTIF(원본명단!$I$3:$I$6002,원본명단!$I5624)))</f>
        <v/>
      </c>
      <c r="G5625" s="11" t="str">
        <f aca="false">IF($A5625="","",IF(원본명단!$K5624="",0,COUNTIF(원본명단!$K$3:$K$6002,원본명단!$K5624)))</f>
        <v/>
      </c>
      <c r="H5625" s="11" t="str">
        <f aca="false">IF($A5625="","",IF(MAX($E5625,$F5625,$G5625)&gt;1,"중복","-"))</f>
        <v/>
      </c>
      <c r="I5625" s="11" t="str">
        <f aca="false">IF($A5625="","",IF($H5625="-","-",IF(AND(IF(원본명단!$H5624="",TRUE(),COUNTIF(원본명단!$H$3:$H5624,원본명단!$H5624)=1),IF(원본명단!$I5624="",TRUE(),COUNTIF(원본명단!$I$3:$I5624,원본명단!$I5624)=1),IF(원본명단!$K5624="",TRUE(),COUNTIF(원본명단!$K$3:$K5624,원본명단!$K5624)=1)),"첫 건","중복 건")))</f>
        <v/>
      </c>
      <c r="J5625" s="11" t="str">
        <f aca="false">IF($A5625="","",IF($H5625="-","유지",IF($I5625="첫 건","유지","확인 필요")))</f>
        <v/>
      </c>
    </row>
    <row r="5626" customFormat="false" ht="15" hidden="false" customHeight="true" outlineLevel="0" collapsed="false">
      <c r="A5626" s="11" t="str">
        <f aca="false">IF(원본명단!$A5625="","",5623)</f>
        <v/>
      </c>
      <c r="B5626" s="12" t="str">
        <f aca="false">IF($A5626="","",원본명단!$A5625)</f>
        <v/>
      </c>
      <c r="C5626" s="12" t="str">
        <f aca="false">IF($A5626="","",원본명단!$B5625)</f>
        <v/>
      </c>
      <c r="D5626" s="12" t="str">
        <f aca="false">IF($A5626="","",원본명단!$D5625)</f>
        <v/>
      </c>
      <c r="E5626" s="11" t="str">
        <f aca="false">IF($A5626="","",IF(원본명단!$H5625="",0,COUNTIF(원본명단!$H$3:$H$6002,원본명단!$H5625)))</f>
        <v/>
      </c>
      <c r="F5626" s="11" t="str">
        <f aca="false">IF($A5626="","",IF(원본명단!$I5625="",0,COUNTIF(원본명단!$I$3:$I$6002,원본명단!$I5625)))</f>
        <v/>
      </c>
      <c r="G5626" s="11" t="str">
        <f aca="false">IF($A5626="","",IF(원본명단!$K5625="",0,COUNTIF(원본명단!$K$3:$K$6002,원본명단!$K5625)))</f>
        <v/>
      </c>
      <c r="H5626" s="11" t="str">
        <f aca="false">IF($A5626="","",IF(MAX($E5626,$F5626,$G5626)&gt;1,"중복","-"))</f>
        <v/>
      </c>
      <c r="I5626" s="11" t="str">
        <f aca="false">IF($A5626="","",IF($H5626="-","-",IF(AND(IF(원본명단!$H5625="",TRUE(),COUNTIF(원본명단!$H$3:$H5625,원본명단!$H5625)=1),IF(원본명단!$I5625="",TRUE(),COUNTIF(원본명단!$I$3:$I5625,원본명단!$I5625)=1),IF(원본명단!$K5625="",TRUE(),COUNTIF(원본명단!$K$3:$K5625,원본명단!$K5625)=1)),"첫 건","중복 건")))</f>
        <v/>
      </c>
      <c r="J5626" s="11" t="str">
        <f aca="false">IF($A5626="","",IF($H5626="-","유지",IF($I5626="첫 건","유지","확인 필요")))</f>
        <v/>
      </c>
    </row>
    <row r="5627" customFormat="false" ht="15" hidden="false" customHeight="true" outlineLevel="0" collapsed="false">
      <c r="A5627" s="11" t="str">
        <f aca="false">IF(원본명단!$A5626="","",5624)</f>
        <v/>
      </c>
      <c r="B5627" s="12" t="str">
        <f aca="false">IF($A5627="","",원본명단!$A5626)</f>
        <v/>
      </c>
      <c r="C5627" s="12" t="str">
        <f aca="false">IF($A5627="","",원본명단!$B5626)</f>
        <v/>
      </c>
      <c r="D5627" s="12" t="str">
        <f aca="false">IF($A5627="","",원본명단!$D5626)</f>
        <v/>
      </c>
      <c r="E5627" s="11" t="str">
        <f aca="false">IF($A5627="","",IF(원본명단!$H5626="",0,COUNTIF(원본명단!$H$3:$H$6002,원본명단!$H5626)))</f>
        <v/>
      </c>
      <c r="F5627" s="11" t="str">
        <f aca="false">IF($A5627="","",IF(원본명단!$I5626="",0,COUNTIF(원본명단!$I$3:$I$6002,원본명단!$I5626)))</f>
        <v/>
      </c>
      <c r="G5627" s="11" t="str">
        <f aca="false">IF($A5627="","",IF(원본명단!$K5626="",0,COUNTIF(원본명단!$K$3:$K$6002,원본명단!$K5626)))</f>
        <v/>
      </c>
      <c r="H5627" s="11" t="str">
        <f aca="false">IF($A5627="","",IF(MAX($E5627,$F5627,$G5627)&gt;1,"중복","-"))</f>
        <v/>
      </c>
      <c r="I5627" s="11" t="str">
        <f aca="false">IF($A5627="","",IF($H5627="-","-",IF(AND(IF(원본명단!$H5626="",TRUE(),COUNTIF(원본명단!$H$3:$H5626,원본명단!$H5626)=1),IF(원본명단!$I5626="",TRUE(),COUNTIF(원본명단!$I$3:$I5626,원본명단!$I5626)=1),IF(원본명단!$K5626="",TRUE(),COUNTIF(원본명단!$K$3:$K5626,원본명단!$K5626)=1)),"첫 건","중복 건")))</f>
        <v/>
      </c>
      <c r="J5627" s="11" t="str">
        <f aca="false">IF($A5627="","",IF($H5627="-","유지",IF($I5627="첫 건","유지","확인 필요")))</f>
        <v/>
      </c>
    </row>
    <row r="5628" customFormat="false" ht="15" hidden="false" customHeight="true" outlineLevel="0" collapsed="false">
      <c r="A5628" s="11" t="str">
        <f aca="false">IF(원본명단!$A5627="","",5625)</f>
        <v/>
      </c>
      <c r="B5628" s="12" t="str">
        <f aca="false">IF($A5628="","",원본명단!$A5627)</f>
        <v/>
      </c>
      <c r="C5628" s="12" t="str">
        <f aca="false">IF($A5628="","",원본명단!$B5627)</f>
        <v/>
      </c>
      <c r="D5628" s="12" t="str">
        <f aca="false">IF($A5628="","",원본명단!$D5627)</f>
        <v/>
      </c>
      <c r="E5628" s="11" t="str">
        <f aca="false">IF($A5628="","",IF(원본명단!$H5627="",0,COUNTIF(원본명단!$H$3:$H$6002,원본명단!$H5627)))</f>
        <v/>
      </c>
      <c r="F5628" s="11" t="str">
        <f aca="false">IF($A5628="","",IF(원본명단!$I5627="",0,COUNTIF(원본명단!$I$3:$I$6002,원본명단!$I5627)))</f>
        <v/>
      </c>
      <c r="G5628" s="11" t="str">
        <f aca="false">IF($A5628="","",IF(원본명단!$K5627="",0,COUNTIF(원본명단!$K$3:$K$6002,원본명단!$K5627)))</f>
        <v/>
      </c>
      <c r="H5628" s="11" t="str">
        <f aca="false">IF($A5628="","",IF(MAX($E5628,$F5628,$G5628)&gt;1,"중복","-"))</f>
        <v/>
      </c>
      <c r="I5628" s="11" t="str">
        <f aca="false">IF($A5628="","",IF($H5628="-","-",IF(AND(IF(원본명단!$H5627="",TRUE(),COUNTIF(원본명단!$H$3:$H5627,원본명단!$H5627)=1),IF(원본명단!$I5627="",TRUE(),COUNTIF(원본명단!$I$3:$I5627,원본명단!$I5627)=1),IF(원본명단!$K5627="",TRUE(),COUNTIF(원본명단!$K$3:$K5627,원본명단!$K5627)=1)),"첫 건","중복 건")))</f>
        <v/>
      </c>
      <c r="J5628" s="11" t="str">
        <f aca="false">IF($A5628="","",IF($H5628="-","유지",IF($I5628="첫 건","유지","확인 필요")))</f>
        <v/>
      </c>
    </row>
    <row r="5629" customFormat="false" ht="15" hidden="false" customHeight="true" outlineLevel="0" collapsed="false">
      <c r="A5629" s="11" t="str">
        <f aca="false">IF(원본명단!$A5628="","",5626)</f>
        <v/>
      </c>
      <c r="B5629" s="12" t="str">
        <f aca="false">IF($A5629="","",원본명단!$A5628)</f>
        <v/>
      </c>
      <c r="C5629" s="12" t="str">
        <f aca="false">IF($A5629="","",원본명단!$B5628)</f>
        <v/>
      </c>
      <c r="D5629" s="12" t="str">
        <f aca="false">IF($A5629="","",원본명단!$D5628)</f>
        <v/>
      </c>
      <c r="E5629" s="11" t="str">
        <f aca="false">IF($A5629="","",IF(원본명단!$H5628="",0,COUNTIF(원본명단!$H$3:$H$6002,원본명단!$H5628)))</f>
        <v/>
      </c>
      <c r="F5629" s="11" t="str">
        <f aca="false">IF($A5629="","",IF(원본명단!$I5628="",0,COUNTIF(원본명단!$I$3:$I$6002,원본명단!$I5628)))</f>
        <v/>
      </c>
      <c r="G5629" s="11" t="str">
        <f aca="false">IF($A5629="","",IF(원본명단!$K5628="",0,COUNTIF(원본명단!$K$3:$K$6002,원본명단!$K5628)))</f>
        <v/>
      </c>
      <c r="H5629" s="11" t="str">
        <f aca="false">IF($A5629="","",IF(MAX($E5629,$F5629,$G5629)&gt;1,"중복","-"))</f>
        <v/>
      </c>
      <c r="I5629" s="11" t="str">
        <f aca="false">IF($A5629="","",IF($H5629="-","-",IF(AND(IF(원본명단!$H5628="",TRUE(),COUNTIF(원본명단!$H$3:$H5628,원본명단!$H5628)=1),IF(원본명단!$I5628="",TRUE(),COUNTIF(원본명단!$I$3:$I5628,원본명단!$I5628)=1),IF(원본명단!$K5628="",TRUE(),COUNTIF(원본명단!$K$3:$K5628,원본명단!$K5628)=1)),"첫 건","중복 건")))</f>
        <v/>
      </c>
      <c r="J5629" s="11" t="str">
        <f aca="false">IF($A5629="","",IF($H5629="-","유지",IF($I5629="첫 건","유지","확인 필요")))</f>
        <v/>
      </c>
    </row>
    <row r="5630" customFormat="false" ht="15" hidden="false" customHeight="true" outlineLevel="0" collapsed="false">
      <c r="A5630" s="11" t="str">
        <f aca="false">IF(원본명단!$A5629="","",5627)</f>
        <v/>
      </c>
      <c r="B5630" s="12" t="str">
        <f aca="false">IF($A5630="","",원본명단!$A5629)</f>
        <v/>
      </c>
      <c r="C5630" s="12" t="str">
        <f aca="false">IF($A5630="","",원본명단!$B5629)</f>
        <v/>
      </c>
      <c r="D5630" s="12" t="str">
        <f aca="false">IF($A5630="","",원본명단!$D5629)</f>
        <v/>
      </c>
      <c r="E5630" s="11" t="str">
        <f aca="false">IF($A5630="","",IF(원본명단!$H5629="",0,COUNTIF(원본명단!$H$3:$H$6002,원본명단!$H5629)))</f>
        <v/>
      </c>
      <c r="F5630" s="11" t="str">
        <f aca="false">IF($A5630="","",IF(원본명단!$I5629="",0,COUNTIF(원본명단!$I$3:$I$6002,원본명단!$I5629)))</f>
        <v/>
      </c>
      <c r="G5630" s="11" t="str">
        <f aca="false">IF($A5630="","",IF(원본명단!$K5629="",0,COUNTIF(원본명단!$K$3:$K$6002,원본명단!$K5629)))</f>
        <v/>
      </c>
      <c r="H5630" s="11" t="str">
        <f aca="false">IF($A5630="","",IF(MAX($E5630,$F5630,$G5630)&gt;1,"중복","-"))</f>
        <v/>
      </c>
      <c r="I5630" s="11" t="str">
        <f aca="false">IF($A5630="","",IF($H5630="-","-",IF(AND(IF(원본명단!$H5629="",TRUE(),COUNTIF(원본명단!$H$3:$H5629,원본명단!$H5629)=1),IF(원본명단!$I5629="",TRUE(),COUNTIF(원본명단!$I$3:$I5629,원본명단!$I5629)=1),IF(원본명단!$K5629="",TRUE(),COUNTIF(원본명단!$K$3:$K5629,원본명단!$K5629)=1)),"첫 건","중복 건")))</f>
        <v/>
      </c>
      <c r="J5630" s="11" t="str">
        <f aca="false">IF($A5630="","",IF($H5630="-","유지",IF($I5630="첫 건","유지","확인 필요")))</f>
        <v/>
      </c>
    </row>
    <row r="5631" customFormat="false" ht="15" hidden="false" customHeight="true" outlineLevel="0" collapsed="false">
      <c r="A5631" s="11" t="str">
        <f aca="false">IF(원본명단!$A5630="","",5628)</f>
        <v/>
      </c>
      <c r="B5631" s="12" t="str">
        <f aca="false">IF($A5631="","",원본명단!$A5630)</f>
        <v/>
      </c>
      <c r="C5631" s="12" t="str">
        <f aca="false">IF($A5631="","",원본명단!$B5630)</f>
        <v/>
      </c>
      <c r="D5631" s="12" t="str">
        <f aca="false">IF($A5631="","",원본명단!$D5630)</f>
        <v/>
      </c>
      <c r="E5631" s="11" t="str">
        <f aca="false">IF($A5631="","",IF(원본명단!$H5630="",0,COUNTIF(원본명단!$H$3:$H$6002,원본명단!$H5630)))</f>
        <v/>
      </c>
      <c r="F5631" s="11" t="str">
        <f aca="false">IF($A5631="","",IF(원본명단!$I5630="",0,COUNTIF(원본명단!$I$3:$I$6002,원본명단!$I5630)))</f>
        <v/>
      </c>
      <c r="G5631" s="11" t="str">
        <f aca="false">IF($A5631="","",IF(원본명단!$K5630="",0,COUNTIF(원본명단!$K$3:$K$6002,원본명단!$K5630)))</f>
        <v/>
      </c>
      <c r="H5631" s="11" t="str">
        <f aca="false">IF($A5631="","",IF(MAX($E5631,$F5631,$G5631)&gt;1,"중복","-"))</f>
        <v/>
      </c>
      <c r="I5631" s="11" t="str">
        <f aca="false">IF($A5631="","",IF($H5631="-","-",IF(AND(IF(원본명단!$H5630="",TRUE(),COUNTIF(원본명단!$H$3:$H5630,원본명단!$H5630)=1),IF(원본명단!$I5630="",TRUE(),COUNTIF(원본명단!$I$3:$I5630,원본명단!$I5630)=1),IF(원본명단!$K5630="",TRUE(),COUNTIF(원본명단!$K$3:$K5630,원본명단!$K5630)=1)),"첫 건","중복 건")))</f>
        <v/>
      </c>
      <c r="J5631" s="11" t="str">
        <f aca="false">IF($A5631="","",IF($H5631="-","유지",IF($I5631="첫 건","유지","확인 필요")))</f>
        <v/>
      </c>
    </row>
    <row r="5632" customFormat="false" ht="15" hidden="false" customHeight="true" outlineLevel="0" collapsed="false">
      <c r="A5632" s="11" t="str">
        <f aca="false">IF(원본명단!$A5631="","",5629)</f>
        <v/>
      </c>
      <c r="B5632" s="12" t="str">
        <f aca="false">IF($A5632="","",원본명단!$A5631)</f>
        <v/>
      </c>
      <c r="C5632" s="12" t="str">
        <f aca="false">IF($A5632="","",원본명단!$B5631)</f>
        <v/>
      </c>
      <c r="D5632" s="12" t="str">
        <f aca="false">IF($A5632="","",원본명단!$D5631)</f>
        <v/>
      </c>
      <c r="E5632" s="11" t="str">
        <f aca="false">IF($A5632="","",IF(원본명단!$H5631="",0,COUNTIF(원본명단!$H$3:$H$6002,원본명단!$H5631)))</f>
        <v/>
      </c>
      <c r="F5632" s="11" t="str">
        <f aca="false">IF($A5632="","",IF(원본명단!$I5631="",0,COUNTIF(원본명단!$I$3:$I$6002,원본명단!$I5631)))</f>
        <v/>
      </c>
      <c r="G5632" s="11" t="str">
        <f aca="false">IF($A5632="","",IF(원본명단!$K5631="",0,COUNTIF(원본명단!$K$3:$K$6002,원본명단!$K5631)))</f>
        <v/>
      </c>
      <c r="H5632" s="11" t="str">
        <f aca="false">IF($A5632="","",IF(MAX($E5632,$F5632,$G5632)&gt;1,"중복","-"))</f>
        <v/>
      </c>
      <c r="I5632" s="11" t="str">
        <f aca="false">IF($A5632="","",IF($H5632="-","-",IF(AND(IF(원본명단!$H5631="",TRUE(),COUNTIF(원본명단!$H$3:$H5631,원본명단!$H5631)=1),IF(원본명단!$I5631="",TRUE(),COUNTIF(원본명단!$I$3:$I5631,원본명단!$I5631)=1),IF(원본명단!$K5631="",TRUE(),COUNTIF(원본명단!$K$3:$K5631,원본명단!$K5631)=1)),"첫 건","중복 건")))</f>
        <v/>
      </c>
      <c r="J5632" s="11" t="str">
        <f aca="false">IF($A5632="","",IF($H5632="-","유지",IF($I5632="첫 건","유지","확인 필요")))</f>
        <v/>
      </c>
    </row>
    <row r="5633" customFormat="false" ht="15" hidden="false" customHeight="true" outlineLevel="0" collapsed="false">
      <c r="A5633" s="11" t="str">
        <f aca="false">IF(원본명단!$A5632="","",5630)</f>
        <v/>
      </c>
      <c r="B5633" s="12" t="str">
        <f aca="false">IF($A5633="","",원본명단!$A5632)</f>
        <v/>
      </c>
      <c r="C5633" s="12" t="str">
        <f aca="false">IF($A5633="","",원본명단!$B5632)</f>
        <v/>
      </c>
      <c r="D5633" s="12" t="str">
        <f aca="false">IF($A5633="","",원본명단!$D5632)</f>
        <v/>
      </c>
      <c r="E5633" s="11" t="str">
        <f aca="false">IF($A5633="","",IF(원본명단!$H5632="",0,COUNTIF(원본명단!$H$3:$H$6002,원본명단!$H5632)))</f>
        <v/>
      </c>
      <c r="F5633" s="11" t="str">
        <f aca="false">IF($A5633="","",IF(원본명단!$I5632="",0,COUNTIF(원본명단!$I$3:$I$6002,원본명단!$I5632)))</f>
        <v/>
      </c>
      <c r="G5633" s="11" t="str">
        <f aca="false">IF($A5633="","",IF(원본명단!$K5632="",0,COUNTIF(원본명단!$K$3:$K$6002,원본명단!$K5632)))</f>
        <v/>
      </c>
      <c r="H5633" s="11" t="str">
        <f aca="false">IF($A5633="","",IF(MAX($E5633,$F5633,$G5633)&gt;1,"중복","-"))</f>
        <v/>
      </c>
      <c r="I5633" s="11" t="str">
        <f aca="false">IF($A5633="","",IF($H5633="-","-",IF(AND(IF(원본명단!$H5632="",TRUE(),COUNTIF(원본명단!$H$3:$H5632,원본명단!$H5632)=1),IF(원본명단!$I5632="",TRUE(),COUNTIF(원본명단!$I$3:$I5632,원본명단!$I5632)=1),IF(원본명단!$K5632="",TRUE(),COUNTIF(원본명단!$K$3:$K5632,원본명단!$K5632)=1)),"첫 건","중복 건")))</f>
        <v/>
      </c>
      <c r="J5633" s="11" t="str">
        <f aca="false">IF($A5633="","",IF($H5633="-","유지",IF($I5633="첫 건","유지","확인 필요")))</f>
        <v/>
      </c>
    </row>
    <row r="5634" customFormat="false" ht="15" hidden="false" customHeight="true" outlineLevel="0" collapsed="false">
      <c r="A5634" s="11" t="str">
        <f aca="false">IF(원본명단!$A5633="","",5631)</f>
        <v/>
      </c>
      <c r="B5634" s="12" t="str">
        <f aca="false">IF($A5634="","",원본명단!$A5633)</f>
        <v/>
      </c>
      <c r="C5634" s="12" t="str">
        <f aca="false">IF($A5634="","",원본명단!$B5633)</f>
        <v/>
      </c>
      <c r="D5634" s="12" t="str">
        <f aca="false">IF($A5634="","",원본명단!$D5633)</f>
        <v/>
      </c>
      <c r="E5634" s="11" t="str">
        <f aca="false">IF($A5634="","",IF(원본명단!$H5633="",0,COUNTIF(원본명단!$H$3:$H$6002,원본명단!$H5633)))</f>
        <v/>
      </c>
      <c r="F5634" s="11" t="str">
        <f aca="false">IF($A5634="","",IF(원본명단!$I5633="",0,COUNTIF(원본명단!$I$3:$I$6002,원본명단!$I5633)))</f>
        <v/>
      </c>
      <c r="G5634" s="11" t="str">
        <f aca="false">IF($A5634="","",IF(원본명단!$K5633="",0,COUNTIF(원본명단!$K$3:$K$6002,원본명단!$K5633)))</f>
        <v/>
      </c>
      <c r="H5634" s="11" t="str">
        <f aca="false">IF($A5634="","",IF(MAX($E5634,$F5634,$G5634)&gt;1,"중복","-"))</f>
        <v/>
      </c>
      <c r="I5634" s="11" t="str">
        <f aca="false">IF($A5634="","",IF($H5634="-","-",IF(AND(IF(원본명단!$H5633="",TRUE(),COUNTIF(원본명단!$H$3:$H5633,원본명단!$H5633)=1),IF(원본명단!$I5633="",TRUE(),COUNTIF(원본명단!$I$3:$I5633,원본명단!$I5633)=1),IF(원본명단!$K5633="",TRUE(),COUNTIF(원본명단!$K$3:$K5633,원본명단!$K5633)=1)),"첫 건","중복 건")))</f>
        <v/>
      </c>
      <c r="J5634" s="11" t="str">
        <f aca="false">IF($A5634="","",IF($H5634="-","유지",IF($I5634="첫 건","유지","확인 필요")))</f>
        <v/>
      </c>
    </row>
    <row r="5635" customFormat="false" ht="15" hidden="false" customHeight="true" outlineLevel="0" collapsed="false">
      <c r="A5635" s="11" t="str">
        <f aca="false">IF(원본명단!$A5634="","",5632)</f>
        <v/>
      </c>
      <c r="B5635" s="12" t="str">
        <f aca="false">IF($A5635="","",원본명단!$A5634)</f>
        <v/>
      </c>
      <c r="C5635" s="12" t="str">
        <f aca="false">IF($A5635="","",원본명단!$B5634)</f>
        <v/>
      </c>
      <c r="D5635" s="12" t="str">
        <f aca="false">IF($A5635="","",원본명단!$D5634)</f>
        <v/>
      </c>
      <c r="E5635" s="11" t="str">
        <f aca="false">IF($A5635="","",IF(원본명단!$H5634="",0,COUNTIF(원본명단!$H$3:$H$6002,원본명단!$H5634)))</f>
        <v/>
      </c>
      <c r="F5635" s="11" t="str">
        <f aca="false">IF($A5635="","",IF(원본명단!$I5634="",0,COUNTIF(원본명단!$I$3:$I$6002,원본명단!$I5634)))</f>
        <v/>
      </c>
      <c r="G5635" s="11" t="str">
        <f aca="false">IF($A5635="","",IF(원본명단!$K5634="",0,COUNTIF(원본명단!$K$3:$K$6002,원본명단!$K5634)))</f>
        <v/>
      </c>
      <c r="H5635" s="11" t="str">
        <f aca="false">IF($A5635="","",IF(MAX($E5635,$F5635,$G5635)&gt;1,"중복","-"))</f>
        <v/>
      </c>
      <c r="I5635" s="11" t="str">
        <f aca="false">IF($A5635="","",IF($H5635="-","-",IF(AND(IF(원본명단!$H5634="",TRUE(),COUNTIF(원본명단!$H$3:$H5634,원본명단!$H5634)=1),IF(원본명단!$I5634="",TRUE(),COUNTIF(원본명단!$I$3:$I5634,원본명단!$I5634)=1),IF(원본명단!$K5634="",TRUE(),COUNTIF(원본명단!$K$3:$K5634,원본명단!$K5634)=1)),"첫 건","중복 건")))</f>
        <v/>
      </c>
      <c r="J5635" s="11" t="str">
        <f aca="false">IF($A5635="","",IF($H5635="-","유지",IF($I5635="첫 건","유지","확인 필요")))</f>
        <v/>
      </c>
    </row>
    <row r="5636" customFormat="false" ht="15" hidden="false" customHeight="true" outlineLevel="0" collapsed="false">
      <c r="A5636" s="11" t="str">
        <f aca="false">IF(원본명단!$A5635="","",5633)</f>
        <v/>
      </c>
      <c r="B5636" s="12" t="str">
        <f aca="false">IF($A5636="","",원본명단!$A5635)</f>
        <v/>
      </c>
      <c r="C5636" s="12" t="str">
        <f aca="false">IF($A5636="","",원본명단!$B5635)</f>
        <v/>
      </c>
      <c r="D5636" s="12" t="str">
        <f aca="false">IF($A5636="","",원본명단!$D5635)</f>
        <v/>
      </c>
      <c r="E5636" s="11" t="str">
        <f aca="false">IF($A5636="","",IF(원본명단!$H5635="",0,COUNTIF(원본명단!$H$3:$H$6002,원본명단!$H5635)))</f>
        <v/>
      </c>
      <c r="F5636" s="11" t="str">
        <f aca="false">IF($A5636="","",IF(원본명단!$I5635="",0,COUNTIF(원본명단!$I$3:$I$6002,원본명단!$I5635)))</f>
        <v/>
      </c>
      <c r="G5636" s="11" t="str">
        <f aca="false">IF($A5636="","",IF(원본명단!$K5635="",0,COUNTIF(원본명단!$K$3:$K$6002,원본명단!$K5635)))</f>
        <v/>
      </c>
      <c r="H5636" s="11" t="str">
        <f aca="false">IF($A5636="","",IF(MAX($E5636,$F5636,$G5636)&gt;1,"중복","-"))</f>
        <v/>
      </c>
      <c r="I5636" s="11" t="str">
        <f aca="false">IF($A5636="","",IF($H5636="-","-",IF(AND(IF(원본명단!$H5635="",TRUE(),COUNTIF(원본명단!$H$3:$H5635,원본명단!$H5635)=1),IF(원본명단!$I5635="",TRUE(),COUNTIF(원본명단!$I$3:$I5635,원본명단!$I5635)=1),IF(원본명단!$K5635="",TRUE(),COUNTIF(원본명단!$K$3:$K5635,원본명단!$K5635)=1)),"첫 건","중복 건")))</f>
        <v/>
      </c>
      <c r="J5636" s="11" t="str">
        <f aca="false">IF($A5636="","",IF($H5636="-","유지",IF($I5636="첫 건","유지","확인 필요")))</f>
        <v/>
      </c>
    </row>
    <row r="5637" customFormat="false" ht="15" hidden="false" customHeight="true" outlineLevel="0" collapsed="false">
      <c r="A5637" s="11" t="str">
        <f aca="false">IF(원본명단!$A5636="","",5634)</f>
        <v/>
      </c>
      <c r="B5637" s="12" t="str">
        <f aca="false">IF($A5637="","",원본명단!$A5636)</f>
        <v/>
      </c>
      <c r="C5637" s="12" t="str">
        <f aca="false">IF($A5637="","",원본명단!$B5636)</f>
        <v/>
      </c>
      <c r="D5637" s="12" t="str">
        <f aca="false">IF($A5637="","",원본명단!$D5636)</f>
        <v/>
      </c>
      <c r="E5637" s="11" t="str">
        <f aca="false">IF($A5637="","",IF(원본명단!$H5636="",0,COUNTIF(원본명단!$H$3:$H$6002,원본명단!$H5636)))</f>
        <v/>
      </c>
      <c r="F5637" s="11" t="str">
        <f aca="false">IF($A5637="","",IF(원본명단!$I5636="",0,COUNTIF(원본명단!$I$3:$I$6002,원본명단!$I5636)))</f>
        <v/>
      </c>
      <c r="G5637" s="11" t="str">
        <f aca="false">IF($A5637="","",IF(원본명단!$K5636="",0,COUNTIF(원본명단!$K$3:$K$6002,원본명단!$K5636)))</f>
        <v/>
      </c>
      <c r="H5637" s="11" t="str">
        <f aca="false">IF($A5637="","",IF(MAX($E5637,$F5637,$G5637)&gt;1,"중복","-"))</f>
        <v/>
      </c>
      <c r="I5637" s="11" t="str">
        <f aca="false">IF($A5637="","",IF($H5637="-","-",IF(AND(IF(원본명단!$H5636="",TRUE(),COUNTIF(원본명단!$H$3:$H5636,원본명단!$H5636)=1),IF(원본명단!$I5636="",TRUE(),COUNTIF(원본명단!$I$3:$I5636,원본명단!$I5636)=1),IF(원본명단!$K5636="",TRUE(),COUNTIF(원본명단!$K$3:$K5636,원본명단!$K5636)=1)),"첫 건","중복 건")))</f>
        <v/>
      </c>
      <c r="J5637" s="11" t="str">
        <f aca="false">IF($A5637="","",IF($H5637="-","유지",IF($I5637="첫 건","유지","확인 필요")))</f>
        <v/>
      </c>
    </row>
    <row r="5638" customFormat="false" ht="15" hidden="false" customHeight="true" outlineLevel="0" collapsed="false">
      <c r="A5638" s="11" t="str">
        <f aca="false">IF(원본명단!$A5637="","",5635)</f>
        <v/>
      </c>
      <c r="B5638" s="12" t="str">
        <f aca="false">IF($A5638="","",원본명단!$A5637)</f>
        <v/>
      </c>
      <c r="C5638" s="12" t="str">
        <f aca="false">IF($A5638="","",원본명단!$B5637)</f>
        <v/>
      </c>
      <c r="D5638" s="12" t="str">
        <f aca="false">IF($A5638="","",원본명단!$D5637)</f>
        <v/>
      </c>
      <c r="E5638" s="11" t="str">
        <f aca="false">IF($A5638="","",IF(원본명단!$H5637="",0,COUNTIF(원본명단!$H$3:$H$6002,원본명단!$H5637)))</f>
        <v/>
      </c>
      <c r="F5638" s="11" t="str">
        <f aca="false">IF($A5638="","",IF(원본명단!$I5637="",0,COUNTIF(원본명단!$I$3:$I$6002,원본명단!$I5637)))</f>
        <v/>
      </c>
      <c r="G5638" s="11" t="str">
        <f aca="false">IF($A5638="","",IF(원본명단!$K5637="",0,COUNTIF(원본명단!$K$3:$K$6002,원본명단!$K5637)))</f>
        <v/>
      </c>
      <c r="H5638" s="11" t="str">
        <f aca="false">IF($A5638="","",IF(MAX($E5638,$F5638,$G5638)&gt;1,"중복","-"))</f>
        <v/>
      </c>
      <c r="I5638" s="11" t="str">
        <f aca="false">IF($A5638="","",IF($H5638="-","-",IF(AND(IF(원본명단!$H5637="",TRUE(),COUNTIF(원본명단!$H$3:$H5637,원본명단!$H5637)=1),IF(원본명단!$I5637="",TRUE(),COUNTIF(원본명단!$I$3:$I5637,원본명단!$I5637)=1),IF(원본명단!$K5637="",TRUE(),COUNTIF(원본명단!$K$3:$K5637,원본명단!$K5637)=1)),"첫 건","중복 건")))</f>
        <v/>
      </c>
      <c r="J5638" s="11" t="str">
        <f aca="false">IF($A5638="","",IF($H5638="-","유지",IF($I5638="첫 건","유지","확인 필요")))</f>
        <v/>
      </c>
    </row>
    <row r="5639" customFormat="false" ht="15" hidden="false" customHeight="true" outlineLevel="0" collapsed="false">
      <c r="A5639" s="11" t="str">
        <f aca="false">IF(원본명단!$A5638="","",5636)</f>
        <v/>
      </c>
      <c r="B5639" s="12" t="str">
        <f aca="false">IF($A5639="","",원본명단!$A5638)</f>
        <v/>
      </c>
      <c r="C5639" s="12" t="str">
        <f aca="false">IF($A5639="","",원본명단!$B5638)</f>
        <v/>
      </c>
      <c r="D5639" s="12" t="str">
        <f aca="false">IF($A5639="","",원본명단!$D5638)</f>
        <v/>
      </c>
      <c r="E5639" s="11" t="str">
        <f aca="false">IF($A5639="","",IF(원본명단!$H5638="",0,COUNTIF(원본명단!$H$3:$H$6002,원본명단!$H5638)))</f>
        <v/>
      </c>
      <c r="F5639" s="11" t="str">
        <f aca="false">IF($A5639="","",IF(원본명단!$I5638="",0,COUNTIF(원본명단!$I$3:$I$6002,원본명단!$I5638)))</f>
        <v/>
      </c>
      <c r="G5639" s="11" t="str">
        <f aca="false">IF($A5639="","",IF(원본명단!$K5638="",0,COUNTIF(원본명단!$K$3:$K$6002,원본명단!$K5638)))</f>
        <v/>
      </c>
      <c r="H5639" s="11" t="str">
        <f aca="false">IF($A5639="","",IF(MAX($E5639,$F5639,$G5639)&gt;1,"중복","-"))</f>
        <v/>
      </c>
      <c r="I5639" s="11" t="str">
        <f aca="false">IF($A5639="","",IF($H5639="-","-",IF(AND(IF(원본명단!$H5638="",TRUE(),COUNTIF(원본명단!$H$3:$H5638,원본명단!$H5638)=1),IF(원본명단!$I5638="",TRUE(),COUNTIF(원본명단!$I$3:$I5638,원본명단!$I5638)=1),IF(원본명단!$K5638="",TRUE(),COUNTIF(원본명단!$K$3:$K5638,원본명단!$K5638)=1)),"첫 건","중복 건")))</f>
        <v/>
      </c>
      <c r="J5639" s="11" t="str">
        <f aca="false">IF($A5639="","",IF($H5639="-","유지",IF($I5639="첫 건","유지","확인 필요")))</f>
        <v/>
      </c>
    </row>
    <row r="5640" customFormat="false" ht="15" hidden="false" customHeight="true" outlineLevel="0" collapsed="false">
      <c r="A5640" s="11" t="str">
        <f aca="false">IF(원본명단!$A5639="","",5637)</f>
        <v/>
      </c>
      <c r="B5640" s="12" t="str">
        <f aca="false">IF($A5640="","",원본명단!$A5639)</f>
        <v/>
      </c>
      <c r="C5640" s="12" t="str">
        <f aca="false">IF($A5640="","",원본명단!$B5639)</f>
        <v/>
      </c>
      <c r="D5640" s="12" t="str">
        <f aca="false">IF($A5640="","",원본명단!$D5639)</f>
        <v/>
      </c>
      <c r="E5640" s="11" t="str">
        <f aca="false">IF($A5640="","",IF(원본명단!$H5639="",0,COUNTIF(원본명단!$H$3:$H$6002,원본명단!$H5639)))</f>
        <v/>
      </c>
      <c r="F5640" s="11" t="str">
        <f aca="false">IF($A5640="","",IF(원본명단!$I5639="",0,COUNTIF(원본명단!$I$3:$I$6002,원본명단!$I5639)))</f>
        <v/>
      </c>
      <c r="G5640" s="11" t="str">
        <f aca="false">IF($A5640="","",IF(원본명단!$K5639="",0,COUNTIF(원본명단!$K$3:$K$6002,원본명단!$K5639)))</f>
        <v/>
      </c>
      <c r="H5640" s="11" t="str">
        <f aca="false">IF($A5640="","",IF(MAX($E5640,$F5640,$G5640)&gt;1,"중복","-"))</f>
        <v/>
      </c>
      <c r="I5640" s="11" t="str">
        <f aca="false">IF($A5640="","",IF($H5640="-","-",IF(AND(IF(원본명단!$H5639="",TRUE(),COUNTIF(원본명단!$H$3:$H5639,원본명단!$H5639)=1),IF(원본명단!$I5639="",TRUE(),COUNTIF(원본명단!$I$3:$I5639,원본명단!$I5639)=1),IF(원본명단!$K5639="",TRUE(),COUNTIF(원본명단!$K$3:$K5639,원본명단!$K5639)=1)),"첫 건","중복 건")))</f>
        <v/>
      </c>
      <c r="J5640" s="11" t="str">
        <f aca="false">IF($A5640="","",IF($H5640="-","유지",IF($I5640="첫 건","유지","확인 필요")))</f>
        <v/>
      </c>
    </row>
    <row r="5641" customFormat="false" ht="15" hidden="false" customHeight="true" outlineLevel="0" collapsed="false">
      <c r="A5641" s="11" t="str">
        <f aca="false">IF(원본명단!$A5640="","",5638)</f>
        <v/>
      </c>
      <c r="B5641" s="12" t="str">
        <f aca="false">IF($A5641="","",원본명단!$A5640)</f>
        <v/>
      </c>
      <c r="C5641" s="12" t="str">
        <f aca="false">IF($A5641="","",원본명단!$B5640)</f>
        <v/>
      </c>
      <c r="D5641" s="12" t="str">
        <f aca="false">IF($A5641="","",원본명단!$D5640)</f>
        <v/>
      </c>
      <c r="E5641" s="11" t="str">
        <f aca="false">IF($A5641="","",IF(원본명단!$H5640="",0,COUNTIF(원본명단!$H$3:$H$6002,원본명단!$H5640)))</f>
        <v/>
      </c>
      <c r="F5641" s="11" t="str">
        <f aca="false">IF($A5641="","",IF(원본명단!$I5640="",0,COUNTIF(원본명단!$I$3:$I$6002,원본명단!$I5640)))</f>
        <v/>
      </c>
      <c r="G5641" s="11" t="str">
        <f aca="false">IF($A5641="","",IF(원본명단!$K5640="",0,COUNTIF(원본명단!$K$3:$K$6002,원본명단!$K5640)))</f>
        <v/>
      </c>
      <c r="H5641" s="11" t="str">
        <f aca="false">IF($A5641="","",IF(MAX($E5641,$F5641,$G5641)&gt;1,"중복","-"))</f>
        <v/>
      </c>
      <c r="I5641" s="11" t="str">
        <f aca="false">IF($A5641="","",IF($H5641="-","-",IF(AND(IF(원본명단!$H5640="",TRUE(),COUNTIF(원본명단!$H$3:$H5640,원본명단!$H5640)=1),IF(원본명단!$I5640="",TRUE(),COUNTIF(원본명단!$I$3:$I5640,원본명단!$I5640)=1),IF(원본명단!$K5640="",TRUE(),COUNTIF(원본명단!$K$3:$K5640,원본명단!$K5640)=1)),"첫 건","중복 건")))</f>
        <v/>
      </c>
      <c r="J5641" s="11" t="str">
        <f aca="false">IF($A5641="","",IF($H5641="-","유지",IF($I5641="첫 건","유지","확인 필요")))</f>
        <v/>
      </c>
    </row>
    <row r="5642" customFormat="false" ht="15" hidden="false" customHeight="true" outlineLevel="0" collapsed="false">
      <c r="A5642" s="11" t="str">
        <f aca="false">IF(원본명단!$A5641="","",5639)</f>
        <v/>
      </c>
      <c r="B5642" s="12" t="str">
        <f aca="false">IF($A5642="","",원본명단!$A5641)</f>
        <v/>
      </c>
      <c r="C5642" s="12" t="str">
        <f aca="false">IF($A5642="","",원본명단!$B5641)</f>
        <v/>
      </c>
      <c r="D5642" s="12" t="str">
        <f aca="false">IF($A5642="","",원본명단!$D5641)</f>
        <v/>
      </c>
      <c r="E5642" s="11" t="str">
        <f aca="false">IF($A5642="","",IF(원본명단!$H5641="",0,COUNTIF(원본명단!$H$3:$H$6002,원본명단!$H5641)))</f>
        <v/>
      </c>
      <c r="F5642" s="11" t="str">
        <f aca="false">IF($A5642="","",IF(원본명단!$I5641="",0,COUNTIF(원본명단!$I$3:$I$6002,원본명단!$I5641)))</f>
        <v/>
      </c>
      <c r="G5642" s="11" t="str">
        <f aca="false">IF($A5642="","",IF(원본명단!$K5641="",0,COUNTIF(원본명단!$K$3:$K$6002,원본명단!$K5641)))</f>
        <v/>
      </c>
      <c r="H5642" s="11" t="str">
        <f aca="false">IF($A5642="","",IF(MAX($E5642,$F5642,$G5642)&gt;1,"중복","-"))</f>
        <v/>
      </c>
      <c r="I5642" s="11" t="str">
        <f aca="false">IF($A5642="","",IF($H5642="-","-",IF(AND(IF(원본명단!$H5641="",TRUE(),COUNTIF(원본명단!$H$3:$H5641,원본명단!$H5641)=1),IF(원본명단!$I5641="",TRUE(),COUNTIF(원본명단!$I$3:$I5641,원본명단!$I5641)=1),IF(원본명단!$K5641="",TRUE(),COUNTIF(원본명단!$K$3:$K5641,원본명단!$K5641)=1)),"첫 건","중복 건")))</f>
        <v/>
      </c>
      <c r="J5642" s="11" t="str">
        <f aca="false">IF($A5642="","",IF($H5642="-","유지",IF($I5642="첫 건","유지","확인 필요")))</f>
        <v/>
      </c>
    </row>
    <row r="5643" customFormat="false" ht="15" hidden="false" customHeight="true" outlineLevel="0" collapsed="false">
      <c r="A5643" s="11" t="str">
        <f aca="false">IF(원본명단!$A5642="","",5640)</f>
        <v/>
      </c>
      <c r="B5643" s="12" t="str">
        <f aca="false">IF($A5643="","",원본명단!$A5642)</f>
        <v/>
      </c>
      <c r="C5643" s="12" t="str">
        <f aca="false">IF($A5643="","",원본명단!$B5642)</f>
        <v/>
      </c>
      <c r="D5643" s="12" t="str">
        <f aca="false">IF($A5643="","",원본명단!$D5642)</f>
        <v/>
      </c>
      <c r="E5643" s="11" t="str">
        <f aca="false">IF($A5643="","",IF(원본명단!$H5642="",0,COUNTIF(원본명단!$H$3:$H$6002,원본명단!$H5642)))</f>
        <v/>
      </c>
      <c r="F5643" s="11" t="str">
        <f aca="false">IF($A5643="","",IF(원본명단!$I5642="",0,COUNTIF(원본명단!$I$3:$I$6002,원본명단!$I5642)))</f>
        <v/>
      </c>
      <c r="G5643" s="11" t="str">
        <f aca="false">IF($A5643="","",IF(원본명단!$K5642="",0,COUNTIF(원본명단!$K$3:$K$6002,원본명단!$K5642)))</f>
        <v/>
      </c>
      <c r="H5643" s="11" t="str">
        <f aca="false">IF($A5643="","",IF(MAX($E5643,$F5643,$G5643)&gt;1,"중복","-"))</f>
        <v/>
      </c>
      <c r="I5643" s="11" t="str">
        <f aca="false">IF($A5643="","",IF($H5643="-","-",IF(AND(IF(원본명단!$H5642="",TRUE(),COUNTIF(원본명단!$H$3:$H5642,원본명단!$H5642)=1),IF(원본명단!$I5642="",TRUE(),COUNTIF(원본명단!$I$3:$I5642,원본명단!$I5642)=1),IF(원본명단!$K5642="",TRUE(),COUNTIF(원본명단!$K$3:$K5642,원본명단!$K5642)=1)),"첫 건","중복 건")))</f>
        <v/>
      </c>
      <c r="J5643" s="11" t="str">
        <f aca="false">IF($A5643="","",IF($H5643="-","유지",IF($I5643="첫 건","유지","확인 필요")))</f>
        <v/>
      </c>
    </row>
    <row r="5644" customFormat="false" ht="15" hidden="false" customHeight="true" outlineLevel="0" collapsed="false">
      <c r="A5644" s="11" t="str">
        <f aca="false">IF(원본명단!$A5643="","",5641)</f>
        <v/>
      </c>
      <c r="B5644" s="12" t="str">
        <f aca="false">IF($A5644="","",원본명단!$A5643)</f>
        <v/>
      </c>
      <c r="C5644" s="12" t="str">
        <f aca="false">IF($A5644="","",원본명단!$B5643)</f>
        <v/>
      </c>
      <c r="D5644" s="12" t="str">
        <f aca="false">IF($A5644="","",원본명단!$D5643)</f>
        <v/>
      </c>
      <c r="E5644" s="11" t="str">
        <f aca="false">IF($A5644="","",IF(원본명단!$H5643="",0,COUNTIF(원본명단!$H$3:$H$6002,원본명단!$H5643)))</f>
        <v/>
      </c>
      <c r="F5644" s="11" t="str">
        <f aca="false">IF($A5644="","",IF(원본명단!$I5643="",0,COUNTIF(원본명단!$I$3:$I$6002,원본명단!$I5643)))</f>
        <v/>
      </c>
      <c r="G5644" s="11" t="str">
        <f aca="false">IF($A5644="","",IF(원본명단!$K5643="",0,COUNTIF(원본명단!$K$3:$K$6002,원본명단!$K5643)))</f>
        <v/>
      </c>
      <c r="H5644" s="11" t="str">
        <f aca="false">IF($A5644="","",IF(MAX($E5644,$F5644,$G5644)&gt;1,"중복","-"))</f>
        <v/>
      </c>
      <c r="I5644" s="11" t="str">
        <f aca="false">IF($A5644="","",IF($H5644="-","-",IF(AND(IF(원본명단!$H5643="",TRUE(),COUNTIF(원본명단!$H$3:$H5643,원본명단!$H5643)=1),IF(원본명단!$I5643="",TRUE(),COUNTIF(원본명단!$I$3:$I5643,원본명단!$I5643)=1),IF(원본명단!$K5643="",TRUE(),COUNTIF(원본명단!$K$3:$K5643,원본명단!$K5643)=1)),"첫 건","중복 건")))</f>
        <v/>
      </c>
      <c r="J5644" s="11" t="str">
        <f aca="false">IF($A5644="","",IF($H5644="-","유지",IF($I5644="첫 건","유지","확인 필요")))</f>
        <v/>
      </c>
    </row>
    <row r="5645" customFormat="false" ht="15" hidden="false" customHeight="true" outlineLevel="0" collapsed="false">
      <c r="A5645" s="11" t="str">
        <f aca="false">IF(원본명단!$A5644="","",5642)</f>
        <v/>
      </c>
      <c r="B5645" s="12" t="str">
        <f aca="false">IF($A5645="","",원본명단!$A5644)</f>
        <v/>
      </c>
      <c r="C5645" s="12" t="str">
        <f aca="false">IF($A5645="","",원본명단!$B5644)</f>
        <v/>
      </c>
      <c r="D5645" s="12" t="str">
        <f aca="false">IF($A5645="","",원본명단!$D5644)</f>
        <v/>
      </c>
      <c r="E5645" s="11" t="str">
        <f aca="false">IF($A5645="","",IF(원본명단!$H5644="",0,COUNTIF(원본명단!$H$3:$H$6002,원본명단!$H5644)))</f>
        <v/>
      </c>
      <c r="F5645" s="11" t="str">
        <f aca="false">IF($A5645="","",IF(원본명단!$I5644="",0,COUNTIF(원본명단!$I$3:$I$6002,원본명단!$I5644)))</f>
        <v/>
      </c>
      <c r="G5645" s="11" t="str">
        <f aca="false">IF($A5645="","",IF(원본명단!$K5644="",0,COUNTIF(원본명단!$K$3:$K$6002,원본명단!$K5644)))</f>
        <v/>
      </c>
      <c r="H5645" s="11" t="str">
        <f aca="false">IF($A5645="","",IF(MAX($E5645,$F5645,$G5645)&gt;1,"중복","-"))</f>
        <v/>
      </c>
      <c r="I5645" s="11" t="str">
        <f aca="false">IF($A5645="","",IF($H5645="-","-",IF(AND(IF(원본명단!$H5644="",TRUE(),COUNTIF(원본명단!$H$3:$H5644,원본명단!$H5644)=1),IF(원본명단!$I5644="",TRUE(),COUNTIF(원본명단!$I$3:$I5644,원본명단!$I5644)=1),IF(원본명단!$K5644="",TRUE(),COUNTIF(원본명단!$K$3:$K5644,원본명단!$K5644)=1)),"첫 건","중복 건")))</f>
        <v/>
      </c>
      <c r="J5645" s="11" t="str">
        <f aca="false">IF($A5645="","",IF($H5645="-","유지",IF($I5645="첫 건","유지","확인 필요")))</f>
        <v/>
      </c>
    </row>
    <row r="5646" customFormat="false" ht="15" hidden="false" customHeight="true" outlineLevel="0" collapsed="false">
      <c r="A5646" s="11" t="str">
        <f aca="false">IF(원본명단!$A5645="","",5643)</f>
        <v/>
      </c>
      <c r="B5646" s="12" t="str">
        <f aca="false">IF($A5646="","",원본명단!$A5645)</f>
        <v/>
      </c>
      <c r="C5646" s="12" t="str">
        <f aca="false">IF($A5646="","",원본명단!$B5645)</f>
        <v/>
      </c>
      <c r="D5646" s="12" t="str">
        <f aca="false">IF($A5646="","",원본명단!$D5645)</f>
        <v/>
      </c>
      <c r="E5646" s="11" t="str">
        <f aca="false">IF($A5646="","",IF(원본명단!$H5645="",0,COUNTIF(원본명단!$H$3:$H$6002,원본명단!$H5645)))</f>
        <v/>
      </c>
      <c r="F5646" s="11" t="str">
        <f aca="false">IF($A5646="","",IF(원본명단!$I5645="",0,COUNTIF(원본명단!$I$3:$I$6002,원본명단!$I5645)))</f>
        <v/>
      </c>
      <c r="G5646" s="11" t="str">
        <f aca="false">IF($A5646="","",IF(원본명단!$K5645="",0,COUNTIF(원본명단!$K$3:$K$6002,원본명단!$K5645)))</f>
        <v/>
      </c>
      <c r="H5646" s="11" t="str">
        <f aca="false">IF($A5646="","",IF(MAX($E5646,$F5646,$G5646)&gt;1,"중복","-"))</f>
        <v/>
      </c>
      <c r="I5646" s="11" t="str">
        <f aca="false">IF($A5646="","",IF($H5646="-","-",IF(AND(IF(원본명단!$H5645="",TRUE(),COUNTIF(원본명단!$H$3:$H5645,원본명단!$H5645)=1),IF(원본명단!$I5645="",TRUE(),COUNTIF(원본명단!$I$3:$I5645,원본명단!$I5645)=1),IF(원본명단!$K5645="",TRUE(),COUNTIF(원본명단!$K$3:$K5645,원본명단!$K5645)=1)),"첫 건","중복 건")))</f>
        <v/>
      </c>
      <c r="J5646" s="11" t="str">
        <f aca="false">IF($A5646="","",IF($H5646="-","유지",IF($I5646="첫 건","유지","확인 필요")))</f>
        <v/>
      </c>
    </row>
    <row r="5647" customFormat="false" ht="15" hidden="false" customHeight="true" outlineLevel="0" collapsed="false">
      <c r="A5647" s="11" t="str">
        <f aca="false">IF(원본명단!$A5646="","",5644)</f>
        <v/>
      </c>
      <c r="B5647" s="12" t="str">
        <f aca="false">IF($A5647="","",원본명단!$A5646)</f>
        <v/>
      </c>
      <c r="C5647" s="12" t="str">
        <f aca="false">IF($A5647="","",원본명단!$B5646)</f>
        <v/>
      </c>
      <c r="D5647" s="12" t="str">
        <f aca="false">IF($A5647="","",원본명단!$D5646)</f>
        <v/>
      </c>
      <c r="E5647" s="11" t="str">
        <f aca="false">IF($A5647="","",IF(원본명단!$H5646="",0,COUNTIF(원본명단!$H$3:$H$6002,원본명단!$H5646)))</f>
        <v/>
      </c>
      <c r="F5647" s="11" t="str">
        <f aca="false">IF($A5647="","",IF(원본명단!$I5646="",0,COUNTIF(원본명단!$I$3:$I$6002,원본명단!$I5646)))</f>
        <v/>
      </c>
      <c r="G5647" s="11" t="str">
        <f aca="false">IF($A5647="","",IF(원본명단!$K5646="",0,COUNTIF(원본명단!$K$3:$K$6002,원본명단!$K5646)))</f>
        <v/>
      </c>
      <c r="H5647" s="11" t="str">
        <f aca="false">IF($A5647="","",IF(MAX($E5647,$F5647,$G5647)&gt;1,"중복","-"))</f>
        <v/>
      </c>
      <c r="I5647" s="11" t="str">
        <f aca="false">IF($A5647="","",IF($H5647="-","-",IF(AND(IF(원본명단!$H5646="",TRUE(),COUNTIF(원본명단!$H$3:$H5646,원본명단!$H5646)=1),IF(원본명단!$I5646="",TRUE(),COUNTIF(원본명단!$I$3:$I5646,원본명단!$I5646)=1),IF(원본명단!$K5646="",TRUE(),COUNTIF(원본명단!$K$3:$K5646,원본명단!$K5646)=1)),"첫 건","중복 건")))</f>
        <v/>
      </c>
      <c r="J5647" s="11" t="str">
        <f aca="false">IF($A5647="","",IF($H5647="-","유지",IF($I5647="첫 건","유지","확인 필요")))</f>
        <v/>
      </c>
    </row>
    <row r="5648" customFormat="false" ht="15" hidden="false" customHeight="true" outlineLevel="0" collapsed="false">
      <c r="A5648" s="11" t="str">
        <f aca="false">IF(원본명단!$A5647="","",5645)</f>
        <v/>
      </c>
      <c r="B5648" s="12" t="str">
        <f aca="false">IF($A5648="","",원본명단!$A5647)</f>
        <v/>
      </c>
      <c r="C5648" s="12" t="str">
        <f aca="false">IF($A5648="","",원본명단!$B5647)</f>
        <v/>
      </c>
      <c r="D5648" s="12" t="str">
        <f aca="false">IF($A5648="","",원본명단!$D5647)</f>
        <v/>
      </c>
      <c r="E5648" s="11" t="str">
        <f aca="false">IF($A5648="","",IF(원본명단!$H5647="",0,COUNTIF(원본명단!$H$3:$H$6002,원본명단!$H5647)))</f>
        <v/>
      </c>
      <c r="F5648" s="11" t="str">
        <f aca="false">IF($A5648="","",IF(원본명단!$I5647="",0,COUNTIF(원본명단!$I$3:$I$6002,원본명단!$I5647)))</f>
        <v/>
      </c>
      <c r="G5648" s="11" t="str">
        <f aca="false">IF($A5648="","",IF(원본명단!$K5647="",0,COUNTIF(원본명단!$K$3:$K$6002,원본명단!$K5647)))</f>
        <v/>
      </c>
      <c r="H5648" s="11" t="str">
        <f aca="false">IF($A5648="","",IF(MAX($E5648,$F5648,$G5648)&gt;1,"중복","-"))</f>
        <v/>
      </c>
      <c r="I5648" s="11" t="str">
        <f aca="false">IF($A5648="","",IF($H5648="-","-",IF(AND(IF(원본명단!$H5647="",TRUE(),COUNTIF(원본명단!$H$3:$H5647,원본명단!$H5647)=1),IF(원본명단!$I5647="",TRUE(),COUNTIF(원본명단!$I$3:$I5647,원본명단!$I5647)=1),IF(원본명단!$K5647="",TRUE(),COUNTIF(원본명단!$K$3:$K5647,원본명단!$K5647)=1)),"첫 건","중복 건")))</f>
        <v/>
      </c>
      <c r="J5648" s="11" t="str">
        <f aca="false">IF($A5648="","",IF($H5648="-","유지",IF($I5648="첫 건","유지","확인 필요")))</f>
        <v/>
      </c>
    </row>
    <row r="5649" customFormat="false" ht="15" hidden="false" customHeight="true" outlineLevel="0" collapsed="false">
      <c r="A5649" s="11" t="str">
        <f aca="false">IF(원본명단!$A5648="","",5646)</f>
        <v/>
      </c>
      <c r="B5649" s="12" t="str">
        <f aca="false">IF($A5649="","",원본명단!$A5648)</f>
        <v/>
      </c>
      <c r="C5649" s="12" t="str">
        <f aca="false">IF($A5649="","",원본명단!$B5648)</f>
        <v/>
      </c>
      <c r="D5649" s="12" t="str">
        <f aca="false">IF($A5649="","",원본명단!$D5648)</f>
        <v/>
      </c>
      <c r="E5649" s="11" t="str">
        <f aca="false">IF($A5649="","",IF(원본명단!$H5648="",0,COUNTIF(원본명단!$H$3:$H$6002,원본명단!$H5648)))</f>
        <v/>
      </c>
      <c r="F5649" s="11" t="str">
        <f aca="false">IF($A5649="","",IF(원본명단!$I5648="",0,COUNTIF(원본명단!$I$3:$I$6002,원본명단!$I5648)))</f>
        <v/>
      </c>
      <c r="G5649" s="11" t="str">
        <f aca="false">IF($A5649="","",IF(원본명단!$K5648="",0,COUNTIF(원본명단!$K$3:$K$6002,원본명단!$K5648)))</f>
        <v/>
      </c>
      <c r="H5649" s="11" t="str">
        <f aca="false">IF($A5649="","",IF(MAX($E5649,$F5649,$G5649)&gt;1,"중복","-"))</f>
        <v/>
      </c>
      <c r="I5649" s="11" t="str">
        <f aca="false">IF($A5649="","",IF($H5649="-","-",IF(AND(IF(원본명단!$H5648="",TRUE(),COUNTIF(원본명단!$H$3:$H5648,원본명단!$H5648)=1),IF(원본명단!$I5648="",TRUE(),COUNTIF(원본명단!$I$3:$I5648,원본명단!$I5648)=1),IF(원본명단!$K5648="",TRUE(),COUNTIF(원본명단!$K$3:$K5648,원본명단!$K5648)=1)),"첫 건","중복 건")))</f>
        <v/>
      </c>
      <c r="J5649" s="11" t="str">
        <f aca="false">IF($A5649="","",IF($H5649="-","유지",IF($I5649="첫 건","유지","확인 필요")))</f>
        <v/>
      </c>
    </row>
    <row r="5650" customFormat="false" ht="15" hidden="false" customHeight="true" outlineLevel="0" collapsed="false">
      <c r="A5650" s="11" t="str">
        <f aca="false">IF(원본명단!$A5649="","",5647)</f>
        <v/>
      </c>
      <c r="B5650" s="12" t="str">
        <f aca="false">IF($A5650="","",원본명단!$A5649)</f>
        <v/>
      </c>
      <c r="C5650" s="12" t="str">
        <f aca="false">IF($A5650="","",원본명단!$B5649)</f>
        <v/>
      </c>
      <c r="D5650" s="12" t="str">
        <f aca="false">IF($A5650="","",원본명단!$D5649)</f>
        <v/>
      </c>
      <c r="E5650" s="11" t="str">
        <f aca="false">IF($A5650="","",IF(원본명단!$H5649="",0,COUNTIF(원본명단!$H$3:$H$6002,원본명단!$H5649)))</f>
        <v/>
      </c>
      <c r="F5650" s="11" t="str">
        <f aca="false">IF($A5650="","",IF(원본명단!$I5649="",0,COUNTIF(원본명단!$I$3:$I$6002,원본명단!$I5649)))</f>
        <v/>
      </c>
      <c r="G5650" s="11" t="str">
        <f aca="false">IF($A5650="","",IF(원본명단!$K5649="",0,COUNTIF(원본명단!$K$3:$K$6002,원본명단!$K5649)))</f>
        <v/>
      </c>
      <c r="H5650" s="11" t="str">
        <f aca="false">IF($A5650="","",IF(MAX($E5650,$F5650,$G5650)&gt;1,"중복","-"))</f>
        <v/>
      </c>
      <c r="I5650" s="11" t="str">
        <f aca="false">IF($A5650="","",IF($H5650="-","-",IF(AND(IF(원본명단!$H5649="",TRUE(),COUNTIF(원본명단!$H$3:$H5649,원본명단!$H5649)=1),IF(원본명단!$I5649="",TRUE(),COUNTIF(원본명단!$I$3:$I5649,원본명단!$I5649)=1),IF(원본명단!$K5649="",TRUE(),COUNTIF(원본명단!$K$3:$K5649,원본명단!$K5649)=1)),"첫 건","중복 건")))</f>
        <v/>
      </c>
      <c r="J5650" s="11" t="str">
        <f aca="false">IF($A5650="","",IF($H5650="-","유지",IF($I5650="첫 건","유지","확인 필요")))</f>
        <v/>
      </c>
    </row>
    <row r="5651" customFormat="false" ht="15" hidden="false" customHeight="true" outlineLevel="0" collapsed="false">
      <c r="A5651" s="11" t="str">
        <f aca="false">IF(원본명단!$A5650="","",5648)</f>
        <v/>
      </c>
      <c r="B5651" s="12" t="str">
        <f aca="false">IF($A5651="","",원본명단!$A5650)</f>
        <v/>
      </c>
      <c r="C5651" s="12" t="str">
        <f aca="false">IF($A5651="","",원본명단!$B5650)</f>
        <v/>
      </c>
      <c r="D5651" s="12" t="str">
        <f aca="false">IF($A5651="","",원본명단!$D5650)</f>
        <v/>
      </c>
      <c r="E5651" s="11" t="str">
        <f aca="false">IF($A5651="","",IF(원본명단!$H5650="",0,COUNTIF(원본명단!$H$3:$H$6002,원본명단!$H5650)))</f>
        <v/>
      </c>
      <c r="F5651" s="11" t="str">
        <f aca="false">IF($A5651="","",IF(원본명단!$I5650="",0,COUNTIF(원본명단!$I$3:$I$6002,원본명단!$I5650)))</f>
        <v/>
      </c>
      <c r="G5651" s="11" t="str">
        <f aca="false">IF($A5651="","",IF(원본명단!$K5650="",0,COUNTIF(원본명단!$K$3:$K$6002,원본명단!$K5650)))</f>
        <v/>
      </c>
      <c r="H5651" s="11" t="str">
        <f aca="false">IF($A5651="","",IF(MAX($E5651,$F5651,$G5651)&gt;1,"중복","-"))</f>
        <v/>
      </c>
      <c r="I5651" s="11" t="str">
        <f aca="false">IF($A5651="","",IF($H5651="-","-",IF(AND(IF(원본명단!$H5650="",TRUE(),COUNTIF(원본명단!$H$3:$H5650,원본명단!$H5650)=1),IF(원본명단!$I5650="",TRUE(),COUNTIF(원본명단!$I$3:$I5650,원본명단!$I5650)=1),IF(원본명단!$K5650="",TRUE(),COUNTIF(원본명단!$K$3:$K5650,원본명단!$K5650)=1)),"첫 건","중복 건")))</f>
        <v/>
      </c>
      <c r="J5651" s="11" t="str">
        <f aca="false">IF($A5651="","",IF($H5651="-","유지",IF($I5651="첫 건","유지","확인 필요")))</f>
        <v/>
      </c>
    </row>
    <row r="5652" customFormat="false" ht="15" hidden="false" customHeight="true" outlineLevel="0" collapsed="false">
      <c r="A5652" s="11" t="str">
        <f aca="false">IF(원본명단!$A5651="","",5649)</f>
        <v/>
      </c>
      <c r="B5652" s="12" t="str">
        <f aca="false">IF($A5652="","",원본명단!$A5651)</f>
        <v/>
      </c>
      <c r="C5652" s="12" t="str">
        <f aca="false">IF($A5652="","",원본명단!$B5651)</f>
        <v/>
      </c>
      <c r="D5652" s="12" t="str">
        <f aca="false">IF($A5652="","",원본명단!$D5651)</f>
        <v/>
      </c>
      <c r="E5652" s="11" t="str">
        <f aca="false">IF($A5652="","",IF(원본명단!$H5651="",0,COUNTIF(원본명단!$H$3:$H$6002,원본명단!$H5651)))</f>
        <v/>
      </c>
      <c r="F5652" s="11" t="str">
        <f aca="false">IF($A5652="","",IF(원본명단!$I5651="",0,COUNTIF(원본명단!$I$3:$I$6002,원본명단!$I5651)))</f>
        <v/>
      </c>
      <c r="G5652" s="11" t="str">
        <f aca="false">IF($A5652="","",IF(원본명단!$K5651="",0,COUNTIF(원본명단!$K$3:$K$6002,원본명단!$K5651)))</f>
        <v/>
      </c>
      <c r="H5652" s="11" t="str">
        <f aca="false">IF($A5652="","",IF(MAX($E5652,$F5652,$G5652)&gt;1,"중복","-"))</f>
        <v/>
      </c>
      <c r="I5652" s="11" t="str">
        <f aca="false">IF($A5652="","",IF($H5652="-","-",IF(AND(IF(원본명단!$H5651="",TRUE(),COUNTIF(원본명단!$H$3:$H5651,원본명단!$H5651)=1),IF(원본명단!$I5651="",TRUE(),COUNTIF(원본명단!$I$3:$I5651,원본명단!$I5651)=1),IF(원본명단!$K5651="",TRUE(),COUNTIF(원본명단!$K$3:$K5651,원본명단!$K5651)=1)),"첫 건","중복 건")))</f>
        <v/>
      </c>
      <c r="J5652" s="11" t="str">
        <f aca="false">IF($A5652="","",IF($H5652="-","유지",IF($I5652="첫 건","유지","확인 필요")))</f>
        <v/>
      </c>
    </row>
    <row r="5653" customFormat="false" ht="15" hidden="false" customHeight="true" outlineLevel="0" collapsed="false">
      <c r="A5653" s="11" t="str">
        <f aca="false">IF(원본명단!$A5652="","",5650)</f>
        <v/>
      </c>
      <c r="B5653" s="12" t="str">
        <f aca="false">IF($A5653="","",원본명단!$A5652)</f>
        <v/>
      </c>
      <c r="C5653" s="12" t="str">
        <f aca="false">IF($A5653="","",원본명단!$B5652)</f>
        <v/>
      </c>
      <c r="D5653" s="12" t="str">
        <f aca="false">IF($A5653="","",원본명단!$D5652)</f>
        <v/>
      </c>
      <c r="E5653" s="11" t="str">
        <f aca="false">IF($A5653="","",IF(원본명단!$H5652="",0,COUNTIF(원본명단!$H$3:$H$6002,원본명단!$H5652)))</f>
        <v/>
      </c>
      <c r="F5653" s="11" t="str">
        <f aca="false">IF($A5653="","",IF(원본명단!$I5652="",0,COUNTIF(원본명단!$I$3:$I$6002,원본명단!$I5652)))</f>
        <v/>
      </c>
      <c r="G5653" s="11" t="str">
        <f aca="false">IF($A5653="","",IF(원본명단!$K5652="",0,COUNTIF(원본명단!$K$3:$K$6002,원본명단!$K5652)))</f>
        <v/>
      </c>
      <c r="H5653" s="11" t="str">
        <f aca="false">IF($A5653="","",IF(MAX($E5653,$F5653,$G5653)&gt;1,"중복","-"))</f>
        <v/>
      </c>
      <c r="I5653" s="11" t="str">
        <f aca="false">IF($A5653="","",IF($H5653="-","-",IF(AND(IF(원본명단!$H5652="",TRUE(),COUNTIF(원본명단!$H$3:$H5652,원본명단!$H5652)=1),IF(원본명단!$I5652="",TRUE(),COUNTIF(원본명단!$I$3:$I5652,원본명단!$I5652)=1),IF(원본명단!$K5652="",TRUE(),COUNTIF(원본명단!$K$3:$K5652,원본명단!$K5652)=1)),"첫 건","중복 건")))</f>
        <v/>
      </c>
      <c r="J5653" s="11" t="str">
        <f aca="false">IF($A5653="","",IF($H5653="-","유지",IF($I5653="첫 건","유지","확인 필요")))</f>
        <v/>
      </c>
    </row>
    <row r="5654" customFormat="false" ht="15" hidden="false" customHeight="true" outlineLevel="0" collapsed="false">
      <c r="A5654" s="11" t="str">
        <f aca="false">IF(원본명단!$A5653="","",5651)</f>
        <v/>
      </c>
      <c r="B5654" s="12" t="str">
        <f aca="false">IF($A5654="","",원본명단!$A5653)</f>
        <v/>
      </c>
      <c r="C5654" s="12" t="str">
        <f aca="false">IF($A5654="","",원본명단!$B5653)</f>
        <v/>
      </c>
      <c r="D5654" s="12" t="str">
        <f aca="false">IF($A5654="","",원본명단!$D5653)</f>
        <v/>
      </c>
      <c r="E5654" s="11" t="str">
        <f aca="false">IF($A5654="","",IF(원본명단!$H5653="",0,COUNTIF(원본명단!$H$3:$H$6002,원본명단!$H5653)))</f>
        <v/>
      </c>
      <c r="F5654" s="11" t="str">
        <f aca="false">IF($A5654="","",IF(원본명단!$I5653="",0,COUNTIF(원본명단!$I$3:$I$6002,원본명단!$I5653)))</f>
        <v/>
      </c>
      <c r="G5654" s="11" t="str">
        <f aca="false">IF($A5654="","",IF(원본명단!$K5653="",0,COUNTIF(원본명단!$K$3:$K$6002,원본명단!$K5653)))</f>
        <v/>
      </c>
      <c r="H5654" s="11" t="str">
        <f aca="false">IF($A5654="","",IF(MAX($E5654,$F5654,$G5654)&gt;1,"중복","-"))</f>
        <v/>
      </c>
      <c r="I5654" s="11" t="str">
        <f aca="false">IF($A5654="","",IF($H5654="-","-",IF(AND(IF(원본명단!$H5653="",TRUE(),COUNTIF(원본명단!$H$3:$H5653,원본명단!$H5653)=1),IF(원본명단!$I5653="",TRUE(),COUNTIF(원본명단!$I$3:$I5653,원본명단!$I5653)=1),IF(원본명단!$K5653="",TRUE(),COUNTIF(원본명단!$K$3:$K5653,원본명단!$K5653)=1)),"첫 건","중복 건")))</f>
        <v/>
      </c>
      <c r="J5654" s="11" t="str">
        <f aca="false">IF($A5654="","",IF($H5654="-","유지",IF($I5654="첫 건","유지","확인 필요")))</f>
        <v/>
      </c>
    </row>
    <row r="5655" customFormat="false" ht="15" hidden="false" customHeight="true" outlineLevel="0" collapsed="false">
      <c r="A5655" s="11" t="str">
        <f aca="false">IF(원본명단!$A5654="","",5652)</f>
        <v/>
      </c>
      <c r="B5655" s="12" t="str">
        <f aca="false">IF($A5655="","",원본명단!$A5654)</f>
        <v/>
      </c>
      <c r="C5655" s="12" t="str">
        <f aca="false">IF($A5655="","",원본명단!$B5654)</f>
        <v/>
      </c>
      <c r="D5655" s="12" t="str">
        <f aca="false">IF($A5655="","",원본명단!$D5654)</f>
        <v/>
      </c>
      <c r="E5655" s="11" t="str">
        <f aca="false">IF($A5655="","",IF(원본명단!$H5654="",0,COUNTIF(원본명단!$H$3:$H$6002,원본명단!$H5654)))</f>
        <v/>
      </c>
      <c r="F5655" s="11" t="str">
        <f aca="false">IF($A5655="","",IF(원본명단!$I5654="",0,COUNTIF(원본명단!$I$3:$I$6002,원본명단!$I5654)))</f>
        <v/>
      </c>
      <c r="G5655" s="11" t="str">
        <f aca="false">IF($A5655="","",IF(원본명단!$K5654="",0,COUNTIF(원본명단!$K$3:$K$6002,원본명단!$K5654)))</f>
        <v/>
      </c>
      <c r="H5655" s="11" t="str">
        <f aca="false">IF($A5655="","",IF(MAX($E5655,$F5655,$G5655)&gt;1,"중복","-"))</f>
        <v/>
      </c>
      <c r="I5655" s="11" t="str">
        <f aca="false">IF($A5655="","",IF($H5655="-","-",IF(AND(IF(원본명단!$H5654="",TRUE(),COUNTIF(원본명단!$H$3:$H5654,원본명단!$H5654)=1),IF(원본명단!$I5654="",TRUE(),COUNTIF(원본명단!$I$3:$I5654,원본명단!$I5654)=1),IF(원본명단!$K5654="",TRUE(),COUNTIF(원본명단!$K$3:$K5654,원본명단!$K5654)=1)),"첫 건","중복 건")))</f>
        <v/>
      </c>
      <c r="J5655" s="11" t="str">
        <f aca="false">IF($A5655="","",IF($H5655="-","유지",IF($I5655="첫 건","유지","확인 필요")))</f>
        <v/>
      </c>
    </row>
    <row r="5656" customFormat="false" ht="15" hidden="false" customHeight="true" outlineLevel="0" collapsed="false">
      <c r="A5656" s="11" t="str">
        <f aca="false">IF(원본명단!$A5655="","",5653)</f>
        <v/>
      </c>
      <c r="B5656" s="12" t="str">
        <f aca="false">IF($A5656="","",원본명단!$A5655)</f>
        <v/>
      </c>
      <c r="C5656" s="12" t="str">
        <f aca="false">IF($A5656="","",원본명단!$B5655)</f>
        <v/>
      </c>
      <c r="D5656" s="12" t="str">
        <f aca="false">IF($A5656="","",원본명단!$D5655)</f>
        <v/>
      </c>
      <c r="E5656" s="11" t="str">
        <f aca="false">IF($A5656="","",IF(원본명단!$H5655="",0,COUNTIF(원본명단!$H$3:$H$6002,원본명단!$H5655)))</f>
        <v/>
      </c>
      <c r="F5656" s="11" t="str">
        <f aca="false">IF($A5656="","",IF(원본명단!$I5655="",0,COUNTIF(원본명단!$I$3:$I$6002,원본명단!$I5655)))</f>
        <v/>
      </c>
      <c r="G5656" s="11" t="str">
        <f aca="false">IF($A5656="","",IF(원본명단!$K5655="",0,COUNTIF(원본명단!$K$3:$K$6002,원본명단!$K5655)))</f>
        <v/>
      </c>
      <c r="H5656" s="11" t="str">
        <f aca="false">IF($A5656="","",IF(MAX($E5656,$F5656,$G5656)&gt;1,"중복","-"))</f>
        <v/>
      </c>
      <c r="I5656" s="11" t="str">
        <f aca="false">IF($A5656="","",IF($H5656="-","-",IF(AND(IF(원본명단!$H5655="",TRUE(),COUNTIF(원본명단!$H$3:$H5655,원본명단!$H5655)=1),IF(원본명단!$I5655="",TRUE(),COUNTIF(원본명단!$I$3:$I5655,원본명단!$I5655)=1),IF(원본명단!$K5655="",TRUE(),COUNTIF(원본명단!$K$3:$K5655,원본명단!$K5655)=1)),"첫 건","중복 건")))</f>
        <v/>
      </c>
      <c r="J5656" s="11" t="str">
        <f aca="false">IF($A5656="","",IF($H5656="-","유지",IF($I5656="첫 건","유지","확인 필요")))</f>
        <v/>
      </c>
    </row>
    <row r="5657" customFormat="false" ht="15" hidden="false" customHeight="true" outlineLevel="0" collapsed="false">
      <c r="A5657" s="11" t="str">
        <f aca="false">IF(원본명단!$A5656="","",5654)</f>
        <v/>
      </c>
      <c r="B5657" s="12" t="str">
        <f aca="false">IF($A5657="","",원본명단!$A5656)</f>
        <v/>
      </c>
      <c r="C5657" s="12" t="str">
        <f aca="false">IF($A5657="","",원본명단!$B5656)</f>
        <v/>
      </c>
      <c r="D5657" s="12" t="str">
        <f aca="false">IF($A5657="","",원본명단!$D5656)</f>
        <v/>
      </c>
      <c r="E5657" s="11" t="str">
        <f aca="false">IF($A5657="","",IF(원본명단!$H5656="",0,COUNTIF(원본명단!$H$3:$H$6002,원본명단!$H5656)))</f>
        <v/>
      </c>
      <c r="F5657" s="11" t="str">
        <f aca="false">IF($A5657="","",IF(원본명단!$I5656="",0,COUNTIF(원본명단!$I$3:$I$6002,원본명단!$I5656)))</f>
        <v/>
      </c>
      <c r="G5657" s="11" t="str">
        <f aca="false">IF($A5657="","",IF(원본명단!$K5656="",0,COUNTIF(원본명단!$K$3:$K$6002,원본명단!$K5656)))</f>
        <v/>
      </c>
      <c r="H5657" s="11" t="str">
        <f aca="false">IF($A5657="","",IF(MAX($E5657,$F5657,$G5657)&gt;1,"중복","-"))</f>
        <v/>
      </c>
      <c r="I5657" s="11" t="str">
        <f aca="false">IF($A5657="","",IF($H5657="-","-",IF(AND(IF(원본명단!$H5656="",TRUE(),COUNTIF(원본명단!$H$3:$H5656,원본명단!$H5656)=1),IF(원본명단!$I5656="",TRUE(),COUNTIF(원본명단!$I$3:$I5656,원본명단!$I5656)=1),IF(원본명단!$K5656="",TRUE(),COUNTIF(원본명단!$K$3:$K5656,원본명단!$K5656)=1)),"첫 건","중복 건")))</f>
        <v/>
      </c>
      <c r="J5657" s="11" t="str">
        <f aca="false">IF($A5657="","",IF($H5657="-","유지",IF($I5657="첫 건","유지","확인 필요")))</f>
        <v/>
      </c>
    </row>
    <row r="5658" customFormat="false" ht="15" hidden="false" customHeight="true" outlineLevel="0" collapsed="false">
      <c r="A5658" s="11" t="str">
        <f aca="false">IF(원본명단!$A5657="","",5655)</f>
        <v/>
      </c>
      <c r="B5658" s="12" t="str">
        <f aca="false">IF($A5658="","",원본명단!$A5657)</f>
        <v/>
      </c>
      <c r="C5658" s="12" t="str">
        <f aca="false">IF($A5658="","",원본명단!$B5657)</f>
        <v/>
      </c>
      <c r="D5658" s="12" t="str">
        <f aca="false">IF($A5658="","",원본명단!$D5657)</f>
        <v/>
      </c>
      <c r="E5658" s="11" t="str">
        <f aca="false">IF($A5658="","",IF(원본명단!$H5657="",0,COUNTIF(원본명단!$H$3:$H$6002,원본명단!$H5657)))</f>
        <v/>
      </c>
      <c r="F5658" s="11" t="str">
        <f aca="false">IF($A5658="","",IF(원본명단!$I5657="",0,COUNTIF(원본명단!$I$3:$I$6002,원본명단!$I5657)))</f>
        <v/>
      </c>
      <c r="G5658" s="11" t="str">
        <f aca="false">IF($A5658="","",IF(원본명단!$K5657="",0,COUNTIF(원본명단!$K$3:$K$6002,원본명단!$K5657)))</f>
        <v/>
      </c>
      <c r="H5658" s="11" t="str">
        <f aca="false">IF($A5658="","",IF(MAX($E5658,$F5658,$G5658)&gt;1,"중복","-"))</f>
        <v/>
      </c>
      <c r="I5658" s="11" t="str">
        <f aca="false">IF($A5658="","",IF($H5658="-","-",IF(AND(IF(원본명단!$H5657="",TRUE(),COUNTIF(원본명단!$H$3:$H5657,원본명단!$H5657)=1),IF(원본명단!$I5657="",TRUE(),COUNTIF(원본명단!$I$3:$I5657,원본명단!$I5657)=1),IF(원본명단!$K5657="",TRUE(),COUNTIF(원본명단!$K$3:$K5657,원본명단!$K5657)=1)),"첫 건","중복 건")))</f>
        <v/>
      </c>
      <c r="J5658" s="11" t="str">
        <f aca="false">IF($A5658="","",IF($H5658="-","유지",IF($I5658="첫 건","유지","확인 필요")))</f>
        <v/>
      </c>
    </row>
    <row r="5659" customFormat="false" ht="15" hidden="false" customHeight="true" outlineLevel="0" collapsed="false">
      <c r="A5659" s="11" t="str">
        <f aca="false">IF(원본명단!$A5658="","",5656)</f>
        <v/>
      </c>
      <c r="B5659" s="12" t="str">
        <f aca="false">IF($A5659="","",원본명단!$A5658)</f>
        <v/>
      </c>
      <c r="C5659" s="12" t="str">
        <f aca="false">IF($A5659="","",원본명단!$B5658)</f>
        <v/>
      </c>
      <c r="D5659" s="12" t="str">
        <f aca="false">IF($A5659="","",원본명단!$D5658)</f>
        <v/>
      </c>
      <c r="E5659" s="11" t="str">
        <f aca="false">IF($A5659="","",IF(원본명단!$H5658="",0,COUNTIF(원본명단!$H$3:$H$6002,원본명단!$H5658)))</f>
        <v/>
      </c>
      <c r="F5659" s="11" t="str">
        <f aca="false">IF($A5659="","",IF(원본명단!$I5658="",0,COUNTIF(원본명단!$I$3:$I$6002,원본명단!$I5658)))</f>
        <v/>
      </c>
      <c r="G5659" s="11" t="str">
        <f aca="false">IF($A5659="","",IF(원본명단!$K5658="",0,COUNTIF(원본명단!$K$3:$K$6002,원본명단!$K5658)))</f>
        <v/>
      </c>
      <c r="H5659" s="11" t="str">
        <f aca="false">IF($A5659="","",IF(MAX($E5659,$F5659,$G5659)&gt;1,"중복","-"))</f>
        <v/>
      </c>
      <c r="I5659" s="11" t="str">
        <f aca="false">IF($A5659="","",IF($H5659="-","-",IF(AND(IF(원본명단!$H5658="",TRUE(),COUNTIF(원본명단!$H$3:$H5658,원본명단!$H5658)=1),IF(원본명단!$I5658="",TRUE(),COUNTIF(원본명단!$I$3:$I5658,원본명단!$I5658)=1),IF(원본명단!$K5658="",TRUE(),COUNTIF(원본명단!$K$3:$K5658,원본명단!$K5658)=1)),"첫 건","중복 건")))</f>
        <v/>
      </c>
      <c r="J5659" s="11" t="str">
        <f aca="false">IF($A5659="","",IF($H5659="-","유지",IF($I5659="첫 건","유지","확인 필요")))</f>
        <v/>
      </c>
    </row>
    <row r="5660" customFormat="false" ht="15" hidden="false" customHeight="true" outlineLevel="0" collapsed="false">
      <c r="A5660" s="11" t="str">
        <f aca="false">IF(원본명단!$A5659="","",5657)</f>
        <v/>
      </c>
      <c r="B5660" s="12" t="str">
        <f aca="false">IF($A5660="","",원본명단!$A5659)</f>
        <v/>
      </c>
      <c r="C5660" s="12" t="str">
        <f aca="false">IF($A5660="","",원본명단!$B5659)</f>
        <v/>
      </c>
      <c r="D5660" s="12" t="str">
        <f aca="false">IF($A5660="","",원본명단!$D5659)</f>
        <v/>
      </c>
      <c r="E5660" s="11" t="str">
        <f aca="false">IF($A5660="","",IF(원본명단!$H5659="",0,COUNTIF(원본명단!$H$3:$H$6002,원본명단!$H5659)))</f>
        <v/>
      </c>
      <c r="F5660" s="11" t="str">
        <f aca="false">IF($A5660="","",IF(원본명단!$I5659="",0,COUNTIF(원본명단!$I$3:$I$6002,원본명단!$I5659)))</f>
        <v/>
      </c>
      <c r="G5660" s="11" t="str">
        <f aca="false">IF($A5660="","",IF(원본명단!$K5659="",0,COUNTIF(원본명단!$K$3:$K$6002,원본명단!$K5659)))</f>
        <v/>
      </c>
      <c r="H5660" s="11" t="str">
        <f aca="false">IF($A5660="","",IF(MAX($E5660,$F5660,$G5660)&gt;1,"중복","-"))</f>
        <v/>
      </c>
      <c r="I5660" s="11" t="str">
        <f aca="false">IF($A5660="","",IF($H5660="-","-",IF(AND(IF(원본명단!$H5659="",TRUE(),COUNTIF(원본명단!$H$3:$H5659,원본명단!$H5659)=1),IF(원본명단!$I5659="",TRUE(),COUNTIF(원본명단!$I$3:$I5659,원본명단!$I5659)=1),IF(원본명단!$K5659="",TRUE(),COUNTIF(원본명단!$K$3:$K5659,원본명단!$K5659)=1)),"첫 건","중복 건")))</f>
        <v/>
      </c>
      <c r="J5660" s="11" t="str">
        <f aca="false">IF($A5660="","",IF($H5660="-","유지",IF($I5660="첫 건","유지","확인 필요")))</f>
        <v/>
      </c>
    </row>
    <row r="5661" customFormat="false" ht="15" hidden="false" customHeight="true" outlineLevel="0" collapsed="false">
      <c r="A5661" s="11" t="str">
        <f aca="false">IF(원본명단!$A5660="","",5658)</f>
        <v/>
      </c>
      <c r="B5661" s="12" t="str">
        <f aca="false">IF($A5661="","",원본명단!$A5660)</f>
        <v/>
      </c>
      <c r="C5661" s="12" t="str">
        <f aca="false">IF($A5661="","",원본명단!$B5660)</f>
        <v/>
      </c>
      <c r="D5661" s="12" t="str">
        <f aca="false">IF($A5661="","",원본명단!$D5660)</f>
        <v/>
      </c>
      <c r="E5661" s="11" t="str">
        <f aca="false">IF($A5661="","",IF(원본명단!$H5660="",0,COUNTIF(원본명단!$H$3:$H$6002,원본명단!$H5660)))</f>
        <v/>
      </c>
      <c r="F5661" s="11" t="str">
        <f aca="false">IF($A5661="","",IF(원본명단!$I5660="",0,COUNTIF(원본명단!$I$3:$I$6002,원본명단!$I5660)))</f>
        <v/>
      </c>
      <c r="G5661" s="11" t="str">
        <f aca="false">IF($A5661="","",IF(원본명단!$K5660="",0,COUNTIF(원본명단!$K$3:$K$6002,원본명단!$K5660)))</f>
        <v/>
      </c>
      <c r="H5661" s="11" t="str">
        <f aca="false">IF($A5661="","",IF(MAX($E5661,$F5661,$G5661)&gt;1,"중복","-"))</f>
        <v/>
      </c>
      <c r="I5661" s="11" t="str">
        <f aca="false">IF($A5661="","",IF($H5661="-","-",IF(AND(IF(원본명단!$H5660="",TRUE(),COUNTIF(원본명단!$H$3:$H5660,원본명단!$H5660)=1),IF(원본명단!$I5660="",TRUE(),COUNTIF(원본명단!$I$3:$I5660,원본명단!$I5660)=1),IF(원본명단!$K5660="",TRUE(),COUNTIF(원본명단!$K$3:$K5660,원본명단!$K5660)=1)),"첫 건","중복 건")))</f>
        <v/>
      </c>
      <c r="J5661" s="11" t="str">
        <f aca="false">IF($A5661="","",IF($H5661="-","유지",IF($I5661="첫 건","유지","확인 필요")))</f>
        <v/>
      </c>
    </row>
    <row r="5662" customFormat="false" ht="15" hidden="false" customHeight="true" outlineLevel="0" collapsed="false">
      <c r="A5662" s="11" t="str">
        <f aca="false">IF(원본명단!$A5661="","",5659)</f>
        <v/>
      </c>
      <c r="B5662" s="12" t="str">
        <f aca="false">IF($A5662="","",원본명단!$A5661)</f>
        <v/>
      </c>
      <c r="C5662" s="12" t="str">
        <f aca="false">IF($A5662="","",원본명단!$B5661)</f>
        <v/>
      </c>
      <c r="D5662" s="12" t="str">
        <f aca="false">IF($A5662="","",원본명단!$D5661)</f>
        <v/>
      </c>
      <c r="E5662" s="11" t="str">
        <f aca="false">IF($A5662="","",IF(원본명단!$H5661="",0,COUNTIF(원본명단!$H$3:$H$6002,원본명단!$H5661)))</f>
        <v/>
      </c>
      <c r="F5662" s="11" t="str">
        <f aca="false">IF($A5662="","",IF(원본명단!$I5661="",0,COUNTIF(원본명단!$I$3:$I$6002,원본명단!$I5661)))</f>
        <v/>
      </c>
      <c r="G5662" s="11" t="str">
        <f aca="false">IF($A5662="","",IF(원본명단!$K5661="",0,COUNTIF(원본명단!$K$3:$K$6002,원본명단!$K5661)))</f>
        <v/>
      </c>
      <c r="H5662" s="11" t="str">
        <f aca="false">IF($A5662="","",IF(MAX($E5662,$F5662,$G5662)&gt;1,"중복","-"))</f>
        <v/>
      </c>
      <c r="I5662" s="11" t="str">
        <f aca="false">IF($A5662="","",IF($H5662="-","-",IF(AND(IF(원본명단!$H5661="",TRUE(),COUNTIF(원본명단!$H$3:$H5661,원본명단!$H5661)=1),IF(원본명단!$I5661="",TRUE(),COUNTIF(원본명단!$I$3:$I5661,원본명단!$I5661)=1),IF(원본명단!$K5661="",TRUE(),COUNTIF(원본명단!$K$3:$K5661,원본명단!$K5661)=1)),"첫 건","중복 건")))</f>
        <v/>
      </c>
      <c r="J5662" s="11" t="str">
        <f aca="false">IF($A5662="","",IF($H5662="-","유지",IF($I5662="첫 건","유지","확인 필요")))</f>
        <v/>
      </c>
    </row>
    <row r="5663" customFormat="false" ht="15" hidden="false" customHeight="true" outlineLevel="0" collapsed="false">
      <c r="A5663" s="11" t="str">
        <f aca="false">IF(원본명단!$A5662="","",5660)</f>
        <v/>
      </c>
      <c r="B5663" s="12" t="str">
        <f aca="false">IF($A5663="","",원본명단!$A5662)</f>
        <v/>
      </c>
      <c r="C5663" s="12" t="str">
        <f aca="false">IF($A5663="","",원본명단!$B5662)</f>
        <v/>
      </c>
      <c r="D5663" s="12" t="str">
        <f aca="false">IF($A5663="","",원본명단!$D5662)</f>
        <v/>
      </c>
      <c r="E5663" s="11" t="str">
        <f aca="false">IF($A5663="","",IF(원본명단!$H5662="",0,COUNTIF(원본명단!$H$3:$H$6002,원본명단!$H5662)))</f>
        <v/>
      </c>
      <c r="F5663" s="11" t="str">
        <f aca="false">IF($A5663="","",IF(원본명단!$I5662="",0,COUNTIF(원본명단!$I$3:$I$6002,원본명단!$I5662)))</f>
        <v/>
      </c>
      <c r="G5663" s="11" t="str">
        <f aca="false">IF($A5663="","",IF(원본명단!$K5662="",0,COUNTIF(원본명단!$K$3:$K$6002,원본명단!$K5662)))</f>
        <v/>
      </c>
      <c r="H5663" s="11" t="str">
        <f aca="false">IF($A5663="","",IF(MAX($E5663,$F5663,$G5663)&gt;1,"중복","-"))</f>
        <v/>
      </c>
      <c r="I5663" s="11" t="str">
        <f aca="false">IF($A5663="","",IF($H5663="-","-",IF(AND(IF(원본명단!$H5662="",TRUE(),COUNTIF(원본명단!$H$3:$H5662,원본명단!$H5662)=1),IF(원본명단!$I5662="",TRUE(),COUNTIF(원본명단!$I$3:$I5662,원본명단!$I5662)=1),IF(원본명단!$K5662="",TRUE(),COUNTIF(원본명단!$K$3:$K5662,원본명단!$K5662)=1)),"첫 건","중복 건")))</f>
        <v/>
      </c>
      <c r="J5663" s="11" t="str">
        <f aca="false">IF($A5663="","",IF($H5663="-","유지",IF($I5663="첫 건","유지","확인 필요")))</f>
        <v/>
      </c>
    </row>
    <row r="5664" customFormat="false" ht="15" hidden="false" customHeight="true" outlineLevel="0" collapsed="false">
      <c r="A5664" s="11" t="str">
        <f aca="false">IF(원본명단!$A5663="","",5661)</f>
        <v/>
      </c>
      <c r="B5664" s="12" t="str">
        <f aca="false">IF($A5664="","",원본명단!$A5663)</f>
        <v/>
      </c>
      <c r="C5664" s="12" t="str">
        <f aca="false">IF($A5664="","",원본명단!$B5663)</f>
        <v/>
      </c>
      <c r="D5664" s="12" t="str">
        <f aca="false">IF($A5664="","",원본명단!$D5663)</f>
        <v/>
      </c>
      <c r="E5664" s="11" t="str">
        <f aca="false">IF($A5664="","",IF(원본명단!$H5663="",0,COUNTIF(원본명단!$H$3:$H$6002,원본명단!$H5663)))</f>
        <v/>
      </c>
      <c r="F5664" s="11" t="str">
        <f aca="false">IF($A5664="","",IF(원본명단!$I5663="",0,COUNTIF(원본명단!$I$3:$I$6002,원본명단!$I5663)))</f>
        <v/>
      </c>
      <c r="G5664" s="11" t="str">
        <f aca="false">IF($A5664="","",IF(원본명단!$K5663="",0,COUNTIF(원본명단!$K$3:$K$6002,원본명단!$K5663)))</f>
        <v/>
      </c>
      <c r="H5664" s="11" t="str">
        <f aca="false">IF($A5664="","",IF(MAX($E5664,$F5664,$G5664)&gt;1,"중복","-"))</f>
        <v/>
      </c>
      <c r="I5664" s="11" t="str">
        <f aca="false">IF($A5664="","",IF($H5664="-","-",IF(AND(IF(원본명단!$H5663="",TRUE(),COUNTIF(원본명단!$H$3:$H5663,원본명단!$H5663)=1),IF(원본명단!$I5663="",TRUE(),COUNTIF(원본명단!$I$3:$I5663,원본명단!$I5663)=1),IF(원본명단!$K5663="",TRUE(),COUNTIF(원본명단!$K$3:$K5663,원본명단!$K5663)=1)),"첫 건","중복 건")))</f>
        <v/>
      </c>
      <c r="J5664" s="11" t="str">
        <f aca="false">IF($A5664="","",IF($H5664="-","유지",IF($I5664="첫 건","유지","확인 필요")))</f>
        <v/>
      </c>
    </row>
    <row r="5665" customFormat="false" ht="15" hidden="false" customHeight="true" outlineLevel="0" collapsed="false">
      <c r="A5665" s="11" t="str">
        <f aca="false">IF(원본명단!$A5664="","",5662)</f>
        <v/>
      </c>
      <c r="B5665" s="12" t="str">
        <f aca="false">IF($A5665="","",원본명단!$A5664)</f>
        <v/>
      </c>
      <c r="C5665" s="12" t="str">
        <f aca="false">IF($A5665="","",원본명단!$B5664)</f>
        <v/>
      </c>
      <c r="D5665" s="12" t="str">
        <f aca="false">IF($A5665="","",원본명단!$D5664)</f>
        <v/>
      </c>
      <c r="E5665" s="11" t="str">
        <f aca="false">IF($A5665="","",IF(원본명단!$H5664="",0,COUNTIF(원본명단!$H$3:$H$6002,원본명단!$H5664)))</f>
        <v/>
      </c>
      <c r="F5665" s="11" t="str">
        <f aca="false">IF($A5665="","",IF(원본명단!$I5664="",0,COUNTIF(원본명단!$I$3:$I$6002,원본명단!$I5664)))</f>
        <v/>
      </c>
      <c r="G5665" s="11" t="str">
        <f aca="false">IF($A5665="","",IF(원본명단!$K5664="",0,COUNTIF(원본명단!$K$3:$K$6002,원본명단!$K5664)))</f>
        <v/>
      </c>
      <c r="H5665" s="11" t="str">
        <f aca="false">IF($A5665="","",IF(MAX($E5665,$F5665,$G5665)&gt;1,"중복","-"))</f>
        <v/>
      </c>
      <c r="I5665" s="11" t="str">
        <f aca="false">IF($A5665="","",IF($H5665="-","-",IF(AND(IF(원본명단!$H5664="",TRUE(),COUNTIF(원본명단!$H$3:$H5664,원본명단!$H5664)=1),IF(원본명단!$I5664="",TRUE(),COUNTIF(원본명단!$I$3:$I5664,원본명단!$I5664)=1),IF(원본명단!$K5664="",TRUE(),COUNTIF(원본명단!$K$3:$K5664,원본명단!$K5664)=1)),"첫 건","중복 건")))</f>
        <v/>
      </c>
      <c r="J5665" s="11" t="str">
        <f aca="false">IF($A5665="","",IF($H5665="-","유지",IF($I5665="첫 건","유지","확인 필요")))</f>
        <v/>
      </c>
    </row>
    <row r="5666" customFormat="false" ht="15" hidden="false" customHeight="true" outlineLevel="0" collapsed="false">
      <c r="A5666" s="11" t="str">
        <f aca="false">IF(원본명단!$A5665="","",5663)</f>
        <v/>
      </c>
      <c r="B5666" s="12" t="str">
        <f aca="false">IF($A5666="","",원본명단!$A5665)</f>
        <v/>
      </c>
      <c r="C5666" s="12" t="str">
        <f aca="false">IF($A5666="","",원본명단!$B5665)</f>
        <v/>
      </c>
      <c r="D5666" s="12" t="str">
        <f aca="false">IF($A5666="","",원본명단!$D5665)</f>
        <v/>
      </c>
      <c r="E5666" s="11" t="str">
        <f aca="false">IF($A5666="","",IF(원본명단!$H5665="",0,COUNTIF(원본명단!$H$3:$H$6002,원본명단!$H5665)))</f>
        <v/>
      </c>
      <c r="F5666" s="11" t="str">
        <f aca="false">IF($A5666="","",IF(원본명단!$I5665="",0,COUNTIF(원본명단!$I$3:$I$6002,원본명단!$I5665)))</f>
        <v/>
      </c>
      <c r="G5666" s="11" t="str">
        <f aca="false">IF($A5666="","",IF(원본명단!$K5665="",0,COUNTIF(원본명단!$K$3:$K$6002,원본명단!$K5665)))</f>
        <v/>
      </c>
      <c r="H5666" s="11" t="str">
        <f aca="false">IF($A5666="","",IF(MAX($E5666,$F5666,$G5666)&gt;1,"중복","-"))</f>
        <v/>
      </c>
      <c r="I5666" s="11" t="str">
        <f aca="false">IF($A5666="","",IF($H5666="-","-",IF(AND(IF(원본명단!$H5665="",TRUE(),COUNTIF(원본명단!$H$3:$H5665,원본명단!$H5665)=1),IF(원본명단!$I5665="",TRUE(),COUNTIF(원본명단!$I$3:$I5665,원본명단!$I5665)=1),IF(원본명단!$K5665="",TRUE(),COUNTIF(원본명단!$K$3:$K5665,원본명단!$K5665)=1)),"첫 건","중복 건")))</f>
        <v/>
      </c>
      <c r="J5666" s="11" t="str">
        <f aca="false">IF($A5666="","",IF($H5666="-","유지",IF($I5666="첫 건","유지","확인 필요")))</f>
        <v/>
      </c>
    </row>
    <row r="5667" customFormat="false" ht="15" hidden="false" customHeight="true" outlineLevel="0" collapsed="false">
      <c r="A5667" s="11" t="str">
        <f aca="false">IF(원본명단!$A5666="","",5664)</f>
        <v/>
      </c>
      <c r="B5667" s="12" t="str">
        <f aca="false">IF($A5667="","",원본명단!$A5666)</f>
        <v/>
      </c>
      <c r="C5667" s="12" t="str">
        <f aca="false">IF($A5667="","",원본명단!$B5666)</f>
        <v/>
      </c>
      <c r="D5667" s="12" t="str">
        <f aca="false">IF($A5667="","",원본명단!$D5666)</f>
        <v/>
      </c>
      <c r="E5667" s="11" t="str">
        <f aca="false">IF($A5667="","",IF(원본명단!$H5666="",0,COUNTIF(원본명단!$H$3:$H$6002,원본명단!$H5666)))</f>
        <v/>
      </c>
      <c r="F5667" s="11" t="str">
        <f aca="false">IF($A5667="","",IF(원본명단!$I5666="",0,COUNTIF(원본명단!$I$3:$I$6002,원본명단!$I5666)))</f>
        <v/>
      </c>
      <c r="G5667" s="11" t="str">
        <f aca="false">IF($A5667="","",IF(원본명단!$K5666="",0,COUNTIF(원본명단!$K$3:$K$6002,원본명단!$K5666)))</f>
        <v/>
      </c>
      <c r="H5667" s="11" t="str">
        <f aca="false">IF($A5667="","",IF(MAX($E5667,$F5667,$G5667)&gt;1,"중복","-"))</f>
        <v/>
      </c>
      <c r="I5667" s="11" t="str">
        <f aca="false">IF($A5667="","",IF($H5667="-","-",IF(AND(IF(원본명단!$H5666="",TRUE(),COUNTIF(원본명단!$H$3:$H5666,원본명단!$H5666)=1),IF(원본명단!$I5666="",TRUE(),COUNTIF(원본명단!$I$3:$I5666,원본명단!$I5666)=1),IF(원본명단!$K5666="",TRUE(),COUNTIF(원본명단!$K$3:$K5666,원본명단!$K5666)=1)),"첫 건","중복 건")))</f>
        <v/>
      </c>
      <c r="J5667" s="11" t="str">
        <f aca="false">IF($A5667="","",IF($H5667="-","유지",IF($I5667="첫 건","유지","확인 필요")))</f>
        <v/>
      </c>
    </row>
    <row r="5668" customFormat="false" ht="15" hidden="false" customHeight="true" outlineLevel="0" collapsed="false">
      <c r="A5668" s="11" t="str">
        <f aca="false">IF(원본명단!$A5667="","",5665)</f>
        <v/>
      </c>
      <c r="B5668" s="12" t="str">
        <f aca="false">IF($A5668="","",원본명단!$A5667)</f>
        <v/>
      </c>
      <c r="C5668" s="12" t="str">
        <f aca="false">IF($A5668="","",원본명단!$B5667)</f>
        <v/>
      </c>
      <c r="D5668" s="12" t="str">
        <f aca="false">IF($A5668="","",원본명단!$D5667)</f>
        <v/>
      </c>
      <c r="E5668" s="11" t="str">
        <f aca="false">IF($A5668="","",IF(원본명단!$H5667="",0,COUNTIF(원본명단!$H$3:$H$6002,원본명단!$H5667)))</f>
        <v/>
      </c>
      <c r="F5668" s="11" t="str">
        <f aca="false">IF($A5668="","",IF(원본명단!$I5667="",0,COUNTIF(원본명단!$I$3:$I$6002,원본명단!$I5667)))</f>
        <v/>
      </c>
      <c r="G5668" s="11" t="str">
        <f aca="false">IF($A5668="","",IF(원본명단!$K5667="",0,COUNTIF(원본명단!$K$3:$K$6002,원본명단!$K5667)))</f>
        <v/>
      </c>
      <c r="H5668" s="11" t="str">
        <f aca="false">IF($A5668="","",IF(MAX($E5668,$F5668,$G5668)&gt;1,"중복","-"))</f>
        <v/>
      </c>
      <c r="I5668" s="11" t="str">
        <f aca="false">IF($A5668="","",IF($H5668="-","-",IF(AND(IF(원본명단!$H5667="",TRUE(),COUNTIF(원본명단!$H$3:$H5667,원본명단!$H5667)=1),IF(원본명단!$I5667="",TRUE(),COUNTIF(원본명단!$I$3:$I5667,원본명단!$I5667)=1),IF(원본명단!$K5667="",TRUE(),COUNTIF(원본명단!$K$3:$K5667,원본명단!$K5667)=1)),"첫 건","중복 건")))</f>
        <v/>
      </c>
      <c r="J5668" s="11" t="str">
        <f aca="false">IF($A5668="","",IF($H5668="-","유지",IF($I5668="첫 건","유지","확인 필요")))</f>
        <v/>
      </c>
    </row>
    <row r="5669" customFormat="false" ht="15" hidden="false" customHeight="true" outlineLevel="0" collapsed="false">
      <c r="A5669" s="11" t="str">
        <f aca="false">IF(원본명단!$A5668="","",5666)</f>
        <v/>
      </c>
      <c r="B5669" s="12" t="str">
        <f aca="false">IF($A5669="","",원본명단!$A5668)</f>
        <v/>
      </c>
      <c r="C5669" s="12" t="str">
        <f aca="false">IF($A5669="","",원본명단!$B5668)</f>
        <v/>
      </c>
      <c r="D5669" s="12" t="str">
        <f aca="false">IF($A5669="","",원본명단!$D5668)</f>
        <v/>
      </c>
      <c r="E5669" s="11" t="str">
        <f aca="false">IF($A5669="","",IF(원본명단!$H5668="",0,COUNTIF(원본명단!$H$3:$H$6002,원본명단!$H5668)))</f>
        <v/>
      </c>
      <c r="F5669" s="11" t="str">
        <f aca="false">IF($A5669="","",IF(원본명단!$I5668="",0,COUNTIF(원본명단!$I$3:$I$6002,원본명단!$I5668)))</f>
        <v/>
      </c>
      <c r="G5669" s="11" t="str">
        <f aca="false">IF($A5669="","",IF(원본명단!$K5668="",0,COUNTIF(원본명단!$K$3:$K$6002,원본명단!$K5668)))</f>
        <v/>
      </c>
      <c r="H5669" s="11" t="str">
        <f aca="false">IF($A5669="","",IF(MAX($E5669,$F5669,$G5669)&gt;1,"중복","-"))</f>
        <v/>
      </c>
      <c r="I5669" s="11" t="str">
        <f aca="false">IF($A5669="","",IF($H5669="-","-",IF(AND(IF(원본명단!$H5668="",TRUE(),COUNTIF(원본명단!$H$3:$H5668,원본명단!$H5668)=1),IF(원본명단!$I5668="",TRUE(),COUNTIF(원본명단!$I$3:$I5668,원본명단!$I5668)=1),IF(원본명단!$K5668="",TRUE(),COUNTIF(원본명단!$K$3:$K5668,원본명단!$K5668)=1)),"첫 건","중복 건")))</f>
        <v/>
      </c>
      <c r="J5669" s="11" t="str">
        <f aca="false">IF($A5669="","",IF($H5669="-","유지",IF($I5669="첫 건","유지","확인 필요")))</f>
        <v/>
      </c>
    </row>
    <row r="5670" customFormat="false" ht="15" hidden="false" customHeight="true" outlineLevel="0" collapsed="false">
      <c r="A5670" s="11" t="str">
        <f aca="false">IF(원본명단!$A5669="","",5667)</f>
        <v/>
      </c>
      <c r="B5670" s="12" t="str">
        <f aca="false">IF($A5670="","",원본명단!$A5669)</f>
        <v/>
      </c>
      <c r="C5670" s="12" t="str">
        <f aca="false">IF($A5670="","",원본명단!$B5669)</f>
        <v/>
      </c>
      <c r="D5670" s="12" t="str">
        <f aca="false">IF($A5670="","",원본명단!$D5669)</f>
        <v/>
      </c>
      <c r="E5670" s="11" t="str">
        <f aca="false">IF($A5670="","",IF(원본명단!$H5669="",0,COUNTIF(원본명단!$H$3:$H$6002,원본명단!$H5669)))</f>
        <v/>
      </c>
      <c r="F5670" s="11" t="str">
        <f aca="false">IF($A5670="","",IF(원본명단!$I5669="",0,COUNTIF(원본명단!$I$3:$I$6002,원본명단!$I5669)))</f>
        <v/>
      </c>
      <c r="G5670" s="11" t="str">
        <f aca="false">IF($A5670="","",IF(원본명단!$K5669="",0,COUNTIF(원본명단!$K$3:$K$6002,원본명단!$K5669)))</f>
        <v/>
      </c>
      <c r="H5670" s="11" t="str">
        <f aca="false">IF($A5670="","",IF(MAX($E5670,$F5670,$G5670)&gt;1,"중복","-"))</f>
        <v/>
      </c>
      <c r="I5670" s="11" t="str">
        <f aca="false">IF($A5670="","",IF($H5670="-","-",IF(AND(IF(원본명단!$H5669="",TRUE(),COUNTIF(원본명단!$H$3:$H5669,원본명단!$H5669)=1),IF(원본명단!$I5669="",TRUE(),COUNTIF(원본명단!$I$3:$I5669,원본명단!$I5669)=1),IF(원본명단!$K5669="",TRUE(),COUNTIF(원본명단!$K$3:$K5669,원본명단!$K5669)=1)),"첫 건","중복 건")))</f>
        <v/>
      </c>
      <c r="J5670" s="11" t="str">
        <f aca="false">IF($A5670="","",IF($H5670="-","유지",IF($I5670="첫 건","유지","확인 필요")))</f>
        <v/>
      </c>
    </row>
    <row r="5671" customFormat="false" ht="15" hidden="false" customHeight="true" outlineLevel="0" collapsed="false">
      <c r="A5671" s="11" t="str">
        <f aca="false">IF(원본명단!$A5670="","",5668)</f>
        <v/>
      </c>
      <c r="B5671" s="12" t="str">
        <f aca="false">IF($A5671="","",원본명단!$A5670)</f>
        <v/>
      </c>
      <c r="C5671" s="12" t="str">
        <f aca="false">IF($A5671="","",원본명단!$B5670)</f>
        <v/>
      </c>
      <c r="D5671" s="12" t="str">
        <f aca="false">IF($A5671="","",원본명단!$D5670)</f>
        <v/>
      </c>
      <c r="E5671" s="11" t="str">
        <f aca="false">IF($A5671="","",IF(원본명단!$H5670="",0,COUNTIF(원본명단!$H$3:$H$6002,원본명단!$H5670)))</f>
        <v/>
      </c>
      <c r="F5671" s="11" t="str">
        <f aca="false">IF($A5671="","",IF(원본명단!$I5670="",0,COUNTIF(원본명단!$I$3:$I$6002,원본명단!$I5670)))</f>
        <v/>
      </c>
      <c r="G5671" s="11" t="str">
        <f aca="false">IF($A5671="","",IF(원본명단!$K5670="",0,COUNTIF(원본명단!$K$3:$K$6002,원본명단!$K5670)))</f>
        <v/>
      </c>
      <c r="H5671" s="11" t="str">
        <f aca="false">IF($A5671="","",IF(MAX($E5671,$F5671,$G5671)&gt;1,"중복","-"))</f>
        <v/>
      </c>
      <c r="I5671" s="11" t="str">
        <f aca="false">IF($A5671="","",IF($H5671="-","-",IF(AND(IF(원본명단!$H5670="",TRUE(),COUNTIF(원본명단!$H$3:$H5670,원본명단!$H5670)=1),IF(원본명단!$I5670="",TRUE(),COUNTIF(원본명단!$I$3:$I5670,원본명단!$I5670)=1),IF(원본명단!$K5670="",TRUE(),COUNTIF(원본명단!$K$3:$K5670,원본명단!$K5670)=1)),"첫 건","중복 건")))</f>
        <v/>
      </c>
      <c r="J5671" s="11" t="str">
        <f aca="false">IF($A5671="","",IF($H5671="-","유지",IF($I5671="첫 건","유지","확인 필요")))</f>
        <v/>
      </c>
    </row>
    <row r="5672" customFormat="false" ht="15" hidden="false" customHeight="true" outlineLevel="0" collapsed="false">
      <c r="A5672" s="11" t="str">
        <f aca="false">IF(원본명단!$A5671="","",5669)</f>
        <v/>
      </c>
      <c r="B5672" s="12" t="str">
        <f aca="false">IF($A5672="","",원본명단!$A5671)</f>
        <v/>
      </c>
      <c r="C5672" s="12" t="str">
        <f aca="false">IF($A5672="","",원본명단!$B5671)</f>
        <v/>
      </c>
      <c r="D5672" s="12" t="str">
        <f aca="false">IF($A5672="","",원본명단!$D5671)</f>
        <v/>
      </c>
      <c r="E5672" s="11" t="str">
        <f aca="false">IF($A5672="","",IF(원본명단!$H5671="",0,COUNTIF(원본명단!$H$3:$H$6002,원본명단!$H5671)))</f>
        <v/>
      </c>
      <c r="F5672" s="11" t="str">
        <f aca="false">IF($A5672="","",IF(원본명단!$I5671="",0,COUNTIF(원본명단!$I$3:$I$6002,원본명단!$I5671)))</f>
        <v/>
      </c>
      <c r="G5672" s="11" t="str">
        <f aca="false">IF($A5672="","",IF(원본명단!$K5671="",0,COUNTIF(원본명단!$K$3:$K$6002,원본명단!$K5671)))</f>
        <v/>
      </c>
      <c r="H5672" s="11" t="str">
        <f aca="false">IF($A5672="","",IF(MAX($E5672,$F5672,$G5672)&gt;1,"중복","-"))</f>
        <v/>
      </c>
      <c r="I5672" s="11" t="str">
        <f aca="false">IF($A5672="","",IF($H5672="-","-",IF(AND(IF(원본명단!$H5671="",TRUE(),COUNTIF(원본명단!$H$3:$H5671,원본명단!$H5671)=1),IF(원본명단!$I5671="",TRUE(),COUNTIF(원본명단!$I$3:$I5671,원본명단!$I5671)=1),IF(원본명단!$K5671="",TRUE(),COUNTIF(원본명단!$K$3:$K5671,원본명단!$K5671)=1)),"첫 건","중복 건")))</f>
        <v/>
      </c>
      <c r="J5672" s="11" t="str">
        <f aca="false">IF($A5672="","",IF($H5672="-","유지",IF($I5672="첫 건","유지","확인 필요")))</f>
        <v/>
      </c>
    </row>
    <row r="5673" customFormat="false" ht="15" hidden="false" customHeight="true" outlineLevel="0" collapsed="false">
      <c r="A5673" s="11" t="str">
        <f aca="false">IF(원본명단!$A5672="","",5670)</f>
        <v/>
      </c>
      <c r="B5673" s="12" t="str">
        <f aca="false">IF($A5673="","",원본명단!$A5672)</f>
        <v/>
      </c>
      <c r="C5673" s="12" t="str">
        <f aca="false">IF($A5673="","",원본명단!$B5672)</f>
        <v/>
      </c>
      <c r="D5673" s="12" t="str">
        <f aca="false">IF($A5673="","",원본명단!$D5672)</f>
        <v/>
      </c>
      <c r="E5673" s="11" t="str">
        <f aca="false">IF($A5673="","",IF(원본명단!$H5672="",0,COUNTIF(원본명단!$H$3:$H$6002,원본명단!$H5672)))</f>
        <v/>
      </c>
      <c r="F5673" s="11" t="str">
        <f aca="false">IF($A5673="","",IF(원본명단!$I5672="",0,COUNTIF(원본명단!$I$3:$I$6002,원본명단!$I5672)))</f>
        <v/>
      </c>
      <c r="G5673" s="11" t="str">
        <f aca="false">IF($A5673="","",IF(원본명단!$K5672="",0,COUNTIF(원본명단!$K$3:$K$6002,원본명단!$K5672)))</f>
        <v/>
      </c>
      <c r="H5673" s="11" t="str">
        <f aca="false">IF($A5673="","",IF(MAX($E5673,$F5673,$G5673)&gt;1,"중복","-"))</f>
        <v/>
      </c>
      <c r="I5673" s="11" t="str">
        <f aca="false">IF($A5673="","",IF($H5673="-","-",IF(AND(IF(원본명단!$H5672="",TRUE(),COUNTIF(원본명단!$H$3:$H5672,원본명단!$H5672)=1),IF(원본명단!$I5672="",TRUE(),COUNTIF(원본명단!$I$3:$I5672,원본명단!$I5672)=1),IF(원본명단!$K5672="",TRUE(),COUNTIF(원본명단!$K$3:$K5672,원본명단!$K5672)=1)),"첫 건","중복 건")))</f>
        <v/>
      </c>
      <c r="J5673" s="11" t="str">
        <f aca="false">IF($A5673="","",IF($H5673="-","유지",IF($I5673="첫 건","유지","확인 필요")))</f>
        <v/>
      </c>
    </row>
    <row r="5674" customFormat="false" ht="15" hidden="false" customHeight="true" outlineLevel="0" collapsed="false">
      <c r="A5674" s="11" t="str">
        <f aca="false">IF(원본명단!$A5673="","",5671)</f>
        <v/>
      </c>
      <c r="B5674" s="12" t="str">
        <f aca="false">IF($A5674="","",원본명단!$A5673)</f>
        <v/>
      </c>
      <c r="C5674" s="12" t="str">
        <f aca="false">IF($A5674="","",원본명단!$B5673)</f>
        <v/>
      </c>
      <c r="D5674" s="12" t="str">
        <f aca="false">IF($A5674="","",원본명단!$D5673)</f>
        <v/>
      </c>
      <c r="E5674" s="11" t="str">
        <f aca="false">IF($A5674="","",IF(원본명단!$H5673="",0,COUNTIF(원본명단!$H$3:$H$6002,원본명단!$H5673)))</f>
        <v/>
      </c>
      <c r="F5674" s="11" t="str">
        <f aca="false">IF($A5674="","",IF(원본명단!$I5673="",0,COUNTIF(원본명단!$I$3:$I$6002,원본명단!$I5673)))</f>
        <v/>
      </c>
      <c r="G5674" s="11" t="str">
        <f aca="false">IF($A5674="","",IF(원본명단!$K5673="",0,COUNTIF(원본명단!$K$3:$K$6002,원본명단!$K5673)))</f>
        <v/>
      </c>
      <c r="H5674" s="11" t="str">
        <f aca="false">IF($A5674="","",IF(MAX($E5674,$F5674,$G5674)&gt;1,"중복","-"))</f>
        <v/>
      </c>
      <c r="I5674" s="11" t="str">
        <f aca="false">IF($A5674="","",IF($H5674="-","-",IF(AND(IF(원본명단!$H5673="",TRUE(),COUNTIF(원본명단!$H$3:$H5673,원본명단!$H5673)=1),IF(원본명단!$I5673="",TRUE(),COUNTIF(원본명단!$I$3:$I5673,원본명단!$I5673)=1),IF(원본명단!$K5673="",TRUE(),COUNTIF(원본명단!$K$3:$K5673,원본명단!$K5673)=1)),"첫 건","중복 건")))</f>
        <v/>
      </c>
      <c r="J5674" s="11" t="str">
        <f aca="false">IF($A5674="","",IF($H5674="-","유지",IF($I5674="첫 건","유지","확인 필요")))</f>
        <v/>
      </c>
    </row>
    <row r="5675" customFormat="false" ht="15" hidden="false" customHeight="true" outlineLevel="0" collapsed="false">
      <c r="A5675" s="11" t="str">
        <f aca="false">IF(원본명단!$A5674="","",5672)</f>
        <v/>
      </c>
      <c r="B5675" s="12" t="str">
        <f aca="false">IF($A5675="","",원본명단!$A5674)</f>
        <v/>
      </c>
      <c r="C5675" s="12" t="str">
        <f aca="false">IF($A5675="","",원본명단!$B5674)</f>
        <v/>
      </c>
      <c r="D5675" s="12" t="str">
        <f aca="false">IF($A5675="","",원본명단!$D5674)</f>
        <v/>
      </c>
      <c r="E5675" s="11" t="str">
        <f aca="false">IF($A5675="","",IF(원본명단!$H5674="",0,COUNTIF(원본명단!$H$3:$H$6002,원본명단!$H5674)))</f>
        <v/>
      </c>
      <c r="F5675" s="11" t="str">
        <f aca="false">IF($A5675="","",IF(원본명단!$I5674="",0,COUNTIF(원본명단!$I$3:$I$6002,원본명단!$I5674)))</f>
        <v/>
      </c>
      <c r="G5675" s="11" t="str">
        <f aca="false">IF($A5675="","",IF(원본명단!$K5674="",0,COUNTIF(원본명단!$K$3:$K$6002,원본명단!$K5674)))</f>
        <v/>
      </c>
      <c r="H5675" s="11" t="str">
        <f aca="false">IF($A5675="","",IF(MAX($E5675,$F5675,$G5675)&gt;1,"중복","-"))</f>
        <v/>
      </c>
      <c r="I5675" s="11" t="str">
        <f aca="false">IF($A5675="","",IF($H5675="-","-",IF(AND(IF(원본명단!$H5674="",TRUE(),COUNTIF(원본명단!$H$3:$H5674,원본명단!$H5674)=1),IF(원본명단!$I5674="",TRUE(),COUNTIF(원본명단!$I$3:$I5674,원본명단!$I5674)=1),IF(원본명단!$K5674="",TRUE(),COUNTIF(원본명단!$K$3:$K5674,원본명단!$K5674)=1)),"첫 건","중복 건")))</f>
        <v/>
      </c>
      <c r="J5675" s="11" t="str">
        <f aca="false">IF($A5675="","",IF($H5675="-","유지",IF($I5675="첫 건","유지","확인 필요")))</f>
        <v/>
      </c>
    </row>
    <row r="5676" customFormat="false" ht="15" hidden="false" customHeight="true" outlineLevel="0" collapsed="false">
      <c r="A5676" s="11" t="str">
        <f aca="false">IF(원본명단!$A5675="","",5673)</f>
        <v/>
      </c>
      <c r="B5676" s="12" t="str">
        <f aca="false">IF($A5676="","",원본명단!$A5675)</f>
        <v/>
      </c>
      <c r="C5676" s="12" t="str">
        <f aca="false">IF($A5676="","",원본명단!$B5675)</f>
        <v/>
      </c>
      <c r="D5676" s="12" t="str">
        <f aca="false">IF($A5676="","",원본명단!$D5675)</f>
        <v/>
      </c>
      <c r="E5676" s="11" t="str">
        <f aca="false">IF($A5676="","",IF(원본명단!$H5675="",0,COUNTIF(원본명단!$H$3:$H$6002,원본명단!$H5675)))</f>
        <v/>
      </c>
      <c r="F5676" s="11" t="str">
        <f aca="false">IF($A5676="","",IF(원본명단!$I5675="",0,COUNTIF(원본명단!$I$3:$I$6002,원본명단!$I5675)))</f>
        <v/>
      </c>
      <c r="G5676" s="11" t="str">
        <f aca="false">IF($A5676="","",IF(원본명단!$K5675="",0,COUNTIF(원본명단!$K$3:$K$6002,원본명단!$K5675)))</f>
        <v/>
      </c>
      <c r="H5676" s="11" t="str">
        <f aca="false">IF($A5676="","",IF(MAX($E5676,$F5676,$G5676)&gt;1,"중복","-"))</f>
        <v/>
      </c>
      <c r="I5676" s="11" t="str">
        <f aca="false">IF($A5676="","",IF($H5676="-","-",IF(AND(IF(원본명단!$H5675="",TRUE(),COUNTIF(원본명단!$H$3:$H5675,원본명단!$H5675)=1),IF(원본명단!$I5675="",TRUE(),COUNTIF(원본명단!$I$3:$I5675,원본명단!$I5675)=1),IF(원본명단!$K5675="",TRUE(),COUNTIF(원본명단!$K$3:$K5675,원본명단!$K5675)=1)),"첫 건","중복 건")))</f>
        <v/>
      </c>
      <c r="J5676" s="11" t="str">
        <f aca="false">IF($A5676="","",IF($H5676="-","유지",IF($I5676="첫 건","유지","확인 필요")))</f>
        <v/>
      </c>
    </row>
    <row r="5677" customFormat="false" ht="15" hidden="false" customHeight="true" outlineLevel="0" collapsed="false">
      <c r="A5677" s="11" t="str">
        <f aca="false">IF(원본명단!$A5676="","",5674)</f>
        <v/>
      </c>
      <c r="B5677" s="12" t="str">
        <f aca="false">IF($A5677="","",원본명단!$A5676)</f>
        <v/>
      </c>
      <c r="C5677" s="12" t="str">
        <f aca="false">IF($A5677="","",원본명단!$B5676)</f>
        <v/>
      </c>
      <c r="D5677" s="12" t="str">
        <f aca="false">IF($A5677="","",원본명단!$D5676)</f>
        <v/>
      </c>
      <c r="E5677" s="11" t="str">
        <f aca="false">IF($A5677="","",IF(원본명단!$H5676="",0,COUNTIF(원본명단!$H$3:$H$6002,원본명단!$H5676)))</f>
        <v/>
      </c>
      <c r="F5677" s="11" t="str">
        <f aca="false">IF($A5677="","",IF(원본명단!$I5676="",0,COUNTIF(원본명단!$I$3:$I$6002,원본명단!$I5676)))</f>
        <v/>
      </c>
      <c r="G5677" s="11" t="str">
        <f aca="false">IF($A5677="","",IF(원본명단!$K5676="",0,COUNTIF(원본명단!$K$3:$K$6002,원본명단!$K5676)))</f>
        <v/>
      </c>
      <c r="H5677" s="11" t="str">
        <f aca="false">IF($A5677="","",IF(MAX($E5677,$F5677,$G5677)&gt;1,"중복","-"))</f>
        <v/>
      </c>
      <c r="I5677" s="11" t="str">
        <f aca="false">IF($A5677="","",IF($H5677="-","-",IF(AND(IF(원본명단!$H5676="",TRUE(),COUNTIF(원본명단!$H$3:$H5676,원본명단!$H5676)=1),IF(원본명단!$I5676="",TRUE(),COUNTIF(원본명단!$I$3:$I5676,원본명단!$I5676)=1),IF(원본명단!$K5676="",TRUE(),COUNTIF(원본명단!$K$3:$K5676,원본명단!$K5676)=1)),"첫 건","중복 건")))</f>
        <v/>
      </c>
      <c r="J5677" s="11" t="str">
        <f aca="false">IF($A5677="","",IF($H5677="-","유지",IF($I5677="첫 건","유지","확인 필요")))</f>
        <v/>
      </c>
    </row>
    <row r="5678" customFormat="false" ht="15" hidden="false" customHeight="true" outlineLevel="0" collapsed="false">
      <c r="A5678" s="11" t="str">
        <f aca="false">IF(원본명단!$A5677="","",5675)</f>
        <v/>
      </c>
      <c r="B5678" s="12" t="str">
        <f aca="false">IF($A5678="","",원본명단!$A5677)</f>
        <v/>
      </c>
      <c r="C5678" s="12" t="str">
        <f aca="false">IF($A5678="","",원본명단!$B5677)</f>
        <v/>
      </c>
      <c r="D5678" s="12" t="str">
        <f aca="false">IF($A5678="","",원본명단!$D5677)</f>
        <v/>
      </c>
      <c r="E5678" s="11" t="str">
        <f aca="false">IF($A5678="","",IF(원본명단!$H5677="",0,COUNTIF(원본명단!$H$3:$H$6002,원본명단!$H5677)))</f>
        <v/>
      </c>
      <c r="F5678" s="11" t="str">
        <f aca="false">IF($A5678="","",IF(원본명단!$I5677="",0,COUNTIF(원본명단!$I$3:$I$6002,원본명단!$I5677)))</f>
        <v/>
      </c>
      <c r="G5678" s="11" t="str">
        <f aca="false">IF($A5678="","",IF(원본명단!$K5677="",0,COUNTIF(원본명단!$K$3:$K$6002,원본명단!$K5677)))</f>
        <v/>
      </c>
      <c r="H5678" s="11" t="str">
        <f aca="false">IF($A5678="","",IF(MAX($E5678,$F5678,$G5678)&gt;1,"중복","-"))</f>
        <v/>
      </c>
      <c r="I5678" s="11" t="str">
        <f aca="false">IF($A5678="","",IF($H5678="-","-",IF(AND(IF(원본명단!$H5677="",TRUE(),COUNTIF(원본명단!$H$3:$H5677,원본명단!$H5677)=1),IF(원본명단!$I5677="",TRUE(),COUNTIF(원본명단!$I$3:$I5677,원본명단!$I5677)=1),IF(원본명단!$K5677="",TRUE(),COUNTIF(원본명단!$K$3:$K5677,원본명단!$K5677)=1)),"첫 건","중복 건")))</f>
        <v/>
      </c>
      <c r="J5678" s="11" t="str">
        <f aca="false">IF($A5678="","",IF($H5678="-","유지",IF($I5678="첫 건","유지","확인 필요")))</f>
        <v/>
      </c>
    </row>
    <row r="5679" customFormat="false" ht="15" hidden="false" customHeight="true" outlineLevel="0" collapsed="false">
      <c r="A5679" s="11" t="str">
        <f aca="false">IF(원본명단!$A5678="","",5676)</f>
        <v/>
      </c>
      <c r="B5679" s="12" t="str">
        <f aca="false">IF($A5679="","",원본명단!$A5678)</f>
        <v/>
      </c>
      <c r="C5679" s="12" t="str">
        <f aca="false">IF($A5679="","",원본명단!$B5678)</f>
        <v/>
      </c>
      <c r="D5679" s="12" t="str">
        <f aca="false">IF($A5679="","",원본명단!$D5678)</f>
        <v/>
      </c>
      <c r="E5679" s="11" t="str">
        <f aca="false">IF($A5679="","",IF(원본명단!$H5678="",0,COUNTIF(원본명단!$H$3:$H$6002,원본명단!$H5678)))</f>
        <v/>
      </c>
      <c r="F5679" s="11" t="str">
        <f aca="false">IF($A5679="","",IF(원본명단!$I5678="",0,COUNTIF(원본명단!$I$3:$I$6002,원본명단!$I5678)))</f>
        <v/>
      </c>
      <c r="G5679" s="11" t="str">
        <f aca="false">IF($A5679="","",IF(원본명단!$K5678="",0,COUNTIF(원본명단!$K$3:$K$6002,원본명단!$K5678)))</f>
        <v/>
      </c>
      <c r="H5679" s="11" t="str">
        <f aca="false">IF($A5679="","",IF(MAX($E5679,$F5679,$G5679)&gt;1,"중복","-"))</f>
        <v/>
      </c>
      <c r="I5679" s="11" t="str">
        <f aca="false">IF($A5679="","",IF($H5679="-","-",IF(AND(IF(원본명단!$H5678="",TRUE(),COUNTIF(원본명단!$H$3:$H5678,원본명단!$H5678)=1),IF(원본명단!$I5678="",TRUE(),COUNTIF(원본명단!$I$3:$I5678,원본명단!$I5678)=1),IF(원본명단!$K5678="",TRUE(),COUNTIF(원본명단!$K$3:$K5678,원본명단!$K5678)=1)),"첫 건","중복 건")))</f>
        <v/>
      </c>
      <c r="J5679" s="11" t="str">
        <f aca="false">IF($A5679="","",IF($H5679="-","유지",IF($I5679="첫 건","유지","확인 필요")))</f>
        <v/>
      </c>
    </row>
    <row r="5680" customFormat="false" ht="15" hidden="false" customHeight="true" outlineLevel="0" collapsed="false">
      <c r="A5680" s="11" t="str">
        <f aca="false">IF(원본명단!$A5679="","",5677)</f>
        <v/>
      </c>
      <c r="B5680" s="12" t="str">
        <f aca="false">IF($A5680="","",원본명단!$A5679)</f>
        <v/>
      </c>
      <c r="C5680" s="12" t="str">
        <f aca="false">IF($A5680="","",원본명단!$B5679)</f>
        <v/>
      </c>
      <c r="D5680" s="12" t="str">
        <f aca="false">IF($A5680="","",원본명단!$D5679)</f>
        <v/>
      </c>
      <c r="E5680" s="11" t="str">
        <f aca="false">IF($A5680="","",IF(원본명단!$H5679="",0,COUNTIF(원본명단!$H$3:$H$6002,원본명단!$H5679)))</f>
        <v/>
      </c>
      <c r="F5680" s="11" t="str">
        <f aca="false">IF($A5680="","",IF(원본명단!$I5679="",0,COUNTIF(원본명단!$I$3:$I$6002,원본명단!$I5679)))</f>
        <v/>
      </c>
      <c r="G5680" s="11" t="str">
        <f aca="false">IF($A5680="","",IF(원본명단!$K5679="",0,COUNTIF(원본명단!$K$3:$K$6002,원본명단!$K5679)))</f>
        <v/>
      </c>
      <c r="H5680" s="11" t="str">
        <f aca="false">IF($A5680="","",IF(MAX($E5680,$F5680,$G5680)&gt;1,"중복","-"))</f>
        <v/>
      </c>
      <c r="I5680" s="11" t="str">
        <f aca="false">IF($A5680="","",IF($H5680="-","-",IF(AND(IF(원본명단!$H5679="",TRUE(),COUNTIF(원본명단!$H$3:$H5679,원본명단!$H5679)=1),IF(원본명단!$I5679="",TRUE(),COUNTIF(원본명단!$I$3:$I5679,원본명단!$I5679)=1),IF(원본명단!$K5679="",TRUE(),COUNTIF(원본명단!$K$3:$K5679,원본명단!$K5679)=1)),"첫 건","중복 건")))</f>
        <v/>
      </c>
      <c r="J5680" s="11" t="str">
        <f aca="false">IF($A5680="","",IF($H5680="-","유지",IF($I5680="첫 건","유지","확인 필요")))</f>
        <v/>
      </c>
    </row>
    <row r="5681" customFormat="false" ht="15" hidden="false" customHeight="true" outlineLevel="0" collapsed="false">
      <c r="A5681" s="11" t="str">
        <f aca="false">IF(원본명단!$A5680="","",5678)</f>
        <v/>
      </c>
      <c r="B5681" s="12" t="str">
        <f aca="false">IF($A5681="","",원본명단!$A5680)</f>
        <v/>
      </c>
      <c r="C5681" s="12" t="str">
        <f aca="false">IF($A5681="","",원본명단!$B5680)</f>
        <v/>
      </c>
      <c r="D5681" s="12" t="str">
        <f aca="false">IF($A5681="","",원본명단!$D5680)</f>
        <v/>
      </c>
      <c r="E5681" s="11" t="str">
        <f aca="false">IF($A5681="","",IF(원본명단!$H5680="",0,COUNTIF(원본명단!$H$3:$H$6002,원본명단!$H5680)))</f>
        <v/>
      </c>
      <c r="F5681" s="11" t="str">
        <f aca="false">IF($A5681="","",IF(원본명단!$I5680="",0,COUNTIF(원본명단!$I$3:$I$6002,원본명단!$I5680)))</f>
        <v/>
      </c>
      <c r="G5681" s="11" t="str">
        <f aca="false">IF($A5681="","",IF(원본명단!$K5680="",0,COUNTIF(원본명단!$K$3:$K$6002,원본명단!$K5680)))</f>
        <v/>
      </c>
      <c r="H5681" s="11" t="str">
        <f aca="false">IF($A5681="","",IF(MAX($E5681,$F5681,$G5681)&gt;1,"중복","-"))</f>
        <v/>
      </c>
      <c r="I5681" s="11" t="str">
        <f aca="false">IF($A5681="","",IF($H5681="-","-",IF(AND(IF(원본명단!$H5680="",TRUE(),COUNTIF(원본명단!$H$3:$H5680,원본명단!$H5680)=1),IF(원본명단!$I5680="",TRUE(),COUNTIF(원본명단!$I$3:$I5680,원본명단!$I5680)=1),IF(원본명단!$K5680="",TRUE(),COUNTIF(원본명단!$K$3:$K5680,원본명단!$K5680)=1)),"첫 건","중복 건")))</f>
        <v/>
      </c>
      <c r="J5681" s="11" t="str">
        <f aca="false">IF($A5681="","",IF($H5681="-","유지",IF($I5681="첫 건","유지","확인 필요")))</f>
        <v/>
      </c>
    </row>
    <row r="5682" customFormat="false" ht="15" hidden="false" customHeight="true" outlineLevel="0" collapsed="false">
      <c r="A5682" s="11" t="str">
        <f aca="false">IF(원본명단!$A5681="","",5679)</f>
        <v/>
      </c>
      <c r="B5682" s="12" t="str">
        <f aca="false">IF($A5682="","",원본명단!$A5681)</f>
        <v/>
      </c>
      <c r="C5682" s="12" t="str">
        <f aca="false">IF($A5682="","",원본명단!$B5681)</f>
        <v/>
      </c>
      <c r="D5682" s="12" t="str">
        <f aca="false">IF($A5682="","",원본명단!$D5681)</f>
        <v/>
      </c>
      <c r="E5682" s="11" t="str">
        <f aca="false">IF($A5682="","",IF(원본명단!$H5681="",0,COUNTIF(원본명단!$H$3:$H$6002,원본명단!$H5681)))</f>
        <v/>
      </c>
      <c r="F5682" s="11" t="str">
        <f aca="false">IF($A5682="","",IF(원본명단!$I5681="",0,COUNTIF(원본명단!$I$3:$I$6002,원본명단!$I5681)))</f>
        <v/>
      </c>
      <c r="G5682" s="11" t="str">
        <f aca="false">IF($A5682="","",IF(원본명단!$K5681="",0,COUNTIF(원본명단!$K$3:$K$6002,원본명단!$K5681)))</f>
        <v/>
      </c>
      <c r="H5682" s="11" t="str">
        <f aca="false">IF($A5682="","",IF(MAX($E5682,$F5682,$G5682)&gt;1,"중복","-"))</f>
        <v/>
      </c>
      <c r="I5682" s="11" t="str">
        <f aca="false">IF($A5682="","",IF($H5682="-","-",IF(AND(IF(원본명단!$H5681="",TRUE(),COUNTIF(원본명단!$H$3:$H5681,원본명단!$H5681)=1),IF(원본명단!$I5681="",TRUE(),COUNTIF(원본명단!$I$3:$I5681,원본명단!$I5681)=1),IF(원본명단!$K5681="",TRUE(),COUNTIF(원본명단!$K$3:$K5681,원본명단!$K5681)=1)),"첫 건","중복 건")))</f>
        <v/>
      </c>
      <c r="J5682" s="11" t="str">
        <f aca="false">IF($A5682="","",IF($H5682="-","유지",IF($I5682="첫 건","유지","확인 필요")))</f>
        <v/>
      </c>
    </row>
    <row r="5683" customFormat="false" ht="15" hidden="false" customHeight="true" outlineLevel="0" collapsed="false">
      <c r="A5683" s="11" t="str">
        <f aca="false">IF(원본명단!$A5682="","",5680)</f>
        <v/>
      </c>
      <c r="B5683" s="12" t="str">
        <f aca="false">IF($A5683="","",원본명단!$A5682)</f>
        <v/>
      </c>
      <c r="C5683" s="12" t="str">
        <f aca="false">IF($A5683="","",원본명단!$B5682)</f>
        <v/>
      </c>
      <c r="D5683" s="12" t="str">
        <f aca="false">IF($A5683="","",원본명단!$D5682)</f>
        <v/>
      </c>
      <c r="E5683" s="11" t="str">
        <f aca="false">IF($A5683="","",IF(원본명단!$H5682="",0,COUNTIF(원본명단!$H$3:$H$6002,원본명단!$H5682)))</f>
        <v/>
      </c>
      <c r="F5683" s="11" t="str">
        <f aca="false">IF($A5683="","",IF(원본명단!$I5682="",0,COUNTIF(원본명단!$I$3:$I$6002,원본명단!$I5682)))</f>
        <v/>
      </c>
      <c r="G5683" s="11" t="str">
        <f aca="false">IF($A5683="","",IF(원본명단!$K5682="",0,COUNTIF(원본명단!$K$3:$K$6002,원본명단!$K5682)))</f>
        <v/>
      </c>
      <c r="H5683" s="11" t="str">
        <f aca="false">IF($A5683="","",IF(MAX($E5683,$F5683,$G5683)&gt;1,"중복","-"))</f>
        <v/>
      </c>
      <c r="I5683" s="11" t="str">
        <f aca="false">IF($A5683="","",IF($H5683="-","-",IF(AND(IF(원본명단!$H5682="",TRUE(),COUNTIF(원본명단!$H$3:$H5682,원본명단!$H5682)=1),IF(원본명단!$I5682="",TRUE(),COUNTIF(원본명단!$I$3:$I5682,원본명단!$I5682)=1),IF(원본명단!$K5682="",TRUE(),COUNTIF(원본명단!$K$3:$K5682,원본명단!$K5682)=1)),"첫 건","중복 건")))</f>
        <v/>
      </c>
      <c r="J5683" s="11" t="str">
        <f aca="false">IF($A5683="","",IF($H5683="-","유지",IF($I5683="첫 건","유지","확인 필요")))</f>
        <v/>
      </c>
    </row>
    <row r="5684" customFormat="false" ht="15" hidden="false" customHeight="true" outlineLevel="0" collapsed="false">
      <c r="A5684" s="11" t="str">
        <f aca="false">IF(원본명단!$A5683="","",5681)</f>
        <v/>
      </c>
      <c r="B5684" s="12" t="str">
        <f aca="false">IF($A5684="","",원본명단!$A5683)</f>
        <v/>
      </c>
      <c r="C5684" s="12" t="str">
        <f aca="false">IF($A5684="","",원본명단!$B5683)</f>
        <v/>
      </c>
      <c r="D5684" s="12" t="str">
        <f aca="false">IF($A5684="","",원본명단!$D5683)</f>
        <v/>
      </c>
      <c r="E5684" s="11" t="str">
        <f aca="false">IF($A5684="","",IF(원본명단!$H5683="",0,COUNTIF(원본명단!$H$3:$H$6002,원본명단!$H5683)))</f>
        <v/>
      </c>
      <c r="F5684" s="11" t="str">
        <f aca="false">IF($A5684="","",IF(원본명단!$I5683="",0,COUNTIF(원본명단!$I$3:$I$6002,원본명단!$I5683)))</f>
        <v/>
      </c>
      <c r="G5684" s="11" t="str">
        <f aca="false">IF($A5684="","",IF(원본명단!$K5683="",0,COUNTIF(원본명단!$K$3:$K$6002,원본명단!$K5683)))</f>
        <v/>
      </c>
      <c r="H5684" s="11" t="str">
        <f aca="false">IF($A5684="","",IF(MAX($E5684,$F5684,$G5684)&gt;1,"중복","-"))</f>
        <v/>
      </c>
      <c r="I5684" s="11" t="str">
        <f aca="false">IF($A5684="","",IF($H5684="-","-",IF(AND(IF(원본명단!$H5683="",TRUE(),COUNTIF(원본명단!$H$3:$H5683,원본명단!$H5683)=1),IF(원본명단!$I5683="",TRUE(),COUNTIF(원본명단!$I$3:$I5683,원본명단!$I5683)=1),IF(원본명단!$K5683="",TRUE(),COUNTIF(원본명단!$K$3:$K5683,원본명단!$K5683)=1)),"첫 건","중복 건")))</f>
        <v/>
      </c>
      <c r="J5684" s="11" t="str">
        <f aca="false">IF($A5684="","",IF($H5684="-","유지",IF($I5684="첫 건","유지","확인 필요")))</f>
        <v/>
      </c>
    </row>
    <row r="5685" customFormat="false" ht="15" hidden="false" customHeight="true" outlineLevel="0" collapsed="false">
      <c r="A5685" s="11" t="str">
        <f aca="false">IF(원본명단!$A5684="","",5682)</f>
        <v/>
      </c>
      <c r="B5685" s="12" t="str">
        <f aca="false">IF($A5685="","",원본명단!$A5684)</f>
        <v/>
      </c>
      <c r="C5685" s="12" t="str">
        <f aca="false">IF($A5685="","",원본명단!$B5684)</f>
        <v/>
      </c>
      <c r="D5685" s="12" t="str">
        <f aca="false">IF($A5685="","",원본명단!$D5684)</f>
        <v/>
      </c>
      <c r="E5685" s="11" t="str">
        <f aca="false">IF($A5685="","",IF(원본명단!$H5684="",0,COUNTIF(원본명단!$H$3:$H$6002,원본명단!$H5684)))</f>
        <v/>
      </c>
      <c r="F5685" s="11" t="str">
        <f aca="false">IF($A5685="","",IF(원본명단!$I5684="",0,COUNTIF(원본명단!$I$3:$I$6002,원본명단!$I5684)))</f>
        <v/>
      </c>
      <c r="G5685" s="11" t="str">
        <f aca="false">IF($A5685="","",IF(원본명단!$K5684="",0,COUNTIF(원본명단!$K$3:$K$6002,원본명단!$K5684)))</f>
        <v/>
      </c>
      <c r="H5685" s="11" t="str">
        <f aca="false">IF($A5685="","",IF(MAX($E5685,$F5685,$G5685)&gt;1,"중복","-"))</f>
        <v/>
      </c>
      <c r="I5685" s="11" t="str">
        <f aca="false">IF($A5685="","",IF($H5685="-","-",IF(AND(IF(원본명단!$H5684="",TRUE(),COUNTIF(원본명단!$H$3:$H5684,원본명단!$H5684)=1),IF(원본명단!$I5684="",TRUE(),COUNTIF(원본명단!$I$3:$I5684,원본명단!$I5684)=1),IF(원본명단!$K5684="",TRUE(),COUNTIF(원본명단!$K$3:$K5684,원본명단!$K5684)=1)),"첫 건","중복 건")))</f>
        <v/>
      </c>
      <c r="J5685" s="11" t="str">
        <f aca="false">IF($A5685="","",IF($H5685="-","유지",IF($I5685="첫 건","유지","확인 필요")))</f>
        <v/>
      </c>
    </row>
    <row r="5686" customFormat="false" ht="15" hidden="false" customHeight="true" outlineLevel="0" collapsed="false">
      <c r="A5686" s="11" t="str">
        <f aca="false">IF(원본명단!$A5685="","",5683)</f>
        <v/>
      </c>
      <c r="B5686" s="12" t="str">
        <f aca="false">IF($A5686="","",원본명단!$A5685)</f>
        <v/>
      </c>
      <c r="C5686" s="12" t="str">
        <f aca="false">IF($A5686="","",원본명단!$B5685)</f>
        <v/>
      </c>
      <c r="D5686" s="12" t="str">
        <f aca="false">IF($A5686="","",원본명단!$D5685)</f>
        <v/>
      </c>
      <c r="E5686" s="11" t="str">
        <f aca="false">IF($A5686="","",IF(원본명단!$H5685="",0,COUNTIF(원본명단!$H$3:$H$6002,원본명단!$H5685)))</f>
        <v/>
      </c>
      <c r="F5686" s="11" t="str">
        <f aca="false">IF($A5686="","",IF(원본명단!$I5685="",0,COUNTIF(원본명단!$I$3:$I$6002,원본명단!$I5685)))</f>
        <v/>
      </c>
      <c r="G5686" s="11" t="str">
        <f aca="false">IF($A5686="","",IF(원본명단!$K5685="",0,COUNTIF(원본명단!$K$3:$K$6002,원본명단!$K5685)))</f>
        <v/>
      </c>
      <c r="H5686" s="11" t="str">
        <f aca="false">IF($A5686="","",IF(MAX($E5686,$F5686,$G5686)&gt;1,"중복","-"))</f>
        <v/>
      </c>
      <c r="I5686" s="11" t="str">
        <f aca="false">IF($A5686="","",IF($H5686="-","-",IF(AND(IF(원본명단!$H5685="",TRUE(),COUNTIF(원본명단!$H$3:$H5685,원본명단!$H5685)=1),IF(원본명단!$I5685="",TRUE(),COUNTIF(원본명단!$I$3:$I5685,원본명단!$I5685)=1),IF(원본명단!$K5685="",TRUE(),COUNTIF(원본명단!$K$3:$K5685,원본명단!$K5685)=1)),"첫 건","중복 건")))</f>
        <v/>
      </c>
      <c r="J5686" s="11" t="str">
        <f aca="false">IF($A5686="","",IF($H5686="-","유지",IF($I5686="첫 건","유지","확인 필요")))</f>
        <v/>
      </c>
    </row>
    <row r="5687" customFormat="false" ht="15" hidden="false" customHeight="true" outlineLevel="0" collapsed="false">
      <c r="A5687" s="11" t="str">
        <f aca="false">IF(원본명단!$A5686="","",5684)</f>
        <v/>
      </c>
      <c r="B5687" s="12" t="str">
        <f aca="false">IF($A5687="","",원본명단!$A5686)</f>
        <v/>
      </c>
      <c r="C5687" s="12" t="str">
        <f aca="false">IF($A5687="","",원본명단!$B5686)</f>
        <v/>
      </c>
      <c r="D5687" s="12" t="str">
        <f aca="false">IF($A5687="","",원본명단!$D5686)</f>
        <v/>
      </c>
      <c r="E5687" s="11" t="str">
        <f aca="false">IF($A5687="","",IF(원본명단!$H5686="",0,COUNTIF(원본명단!$H$3:$H$6002,원본명단!$H5686)))</f>
        <v/>
      </c>
      <c r="F5687" s="11" t="str">
        <f aca="false">IF($A5687="","",IF(원본명단!$I5686="",0,COUNTIF(원본명단!$I$3:$I$6002,원본명단!$I5686)))</f>
        <v/>
      </c>
      <c r="G5687" s="11" t="str">
        <f aca="false">IF($A5687="","",IF(원본명단!$K5686="",0,COUNTIF(원본명단!$K$3:$K$6002,원본명단!$K5686)))</f>
        <v/>
      </c>
      <c r="H5687" s="11" t="str">
        <f aca="false">IF($A5687="","",IF(MAX($E5687,$F5687,$G5687)&gt;1,"중복","-"))</f>
        <v/>
      </c>
      <c r="I5687" s="11" t="str">
        <f aca="false">IF($A5687="","",IF($H5687="-","-",IF(AND(IF(원본명단!$H5686="",TRUE(),COUNTIF(원본명단!$H$3:$H5686,원본명단!$H5686)=1),IF(원본명단!$I5686="",TRUE(),COUNTIF(원본명단!$I$3:$I5686,원본명단!$I5686)=1),IF(원본명단!$K5686="",TRUE(),COUNTIF(원본명단!$K$3:$K5686,원본명단!$K5686)=1)),"첫 건","중복 건")))</f>
        <v/>
      </c>
      <c r="J5687" s="11" t="str">
        <f aca="false">IF($A5687="","",IF($H5687="-","유지",IF($I5687="첫 건","유지","확인 필요")))</f>
        <v/>
      </c>
    </row>
    <row r="5688" customFormat="false" ht="15" hidden="false" customHeight="true" outlineLevel="0" collapsed="false">
      <c r="A5688" s="11" t="str">
        <f aca="false">IF(원본명단!$A5687="","",5685)</f>
        <v/>
      </c>
      <c r="B5688" s="12" t="str">
        <f aca="false">IF($A5688="","",원본명단!$A5687)</f>
        <v/>
      </c>
      <c r="C5688" s="12" t="str">
        <f aca="false">IF($A5688="","",원본명단!$B5687)</f>
        <v/>
      </c>
      <c r="D5688" s="12" t="str">
        <f aca="false">IF($A5688="","",원본명단!$D5687)</f>
        <v/>
      </c>
      <c r="E5688" s="11" t="str">
        <f aca="false">IF($A5688="","",IF(원본명단!$H5687="",0,COUNTIF(원본명단!$H$3:$H$6002,원본명단!$H5687)))</f>
        <v/>
      </c>
      <c r="F5688" s="11" t="str">
        <f aca="false">IF($A5688="","",IF(원본명단!$I5687="",0,COUNTIF(원본명단!$I$3:$I$6002,원본명단!$I5687)))</f>
        <v/>
      </c>
      <c r="G5688" s="11" t="str">
        <f aca="false">IF($A5688="","",IF(원본명단!$K5687="",0,COUNTIF(원본명단!$K$3:$K$6002,원본명단!$K5687)))</f>
        <v/>
      </c>
      <c r="H5688" s="11" t="str">
        <f aca="false">IF($A5688="","",IF(MAX($E5688,$F5688,$G5688)&gt;1,"중복","-"))</f>
        <v/>
      </c>
      <c r="I5688" s="11" t="str">
        <f aca="false">IF($A5688="","",IF($H5688="-","-",IF(AND(IF(원본명단!$H5687="",TRUE(),COUNTIF(원본명단!$H$3:$H5687,원본명단!$H5687)=1),IF(원본명단!$I5687="",TRUE(),COUNTIF(원본명단!$I$3:$I5687,원본명단!$I5687)=1),IF(원본명단!$K5687="",TRUE(),COUNTIF(원본명단!$K$3:$K5687,원본명단!$K5687)=1)),"첫 건","중복 건")))</f>
        <v/>
      </c>
      <c r="J5688" s="11" t="str">
        <f aca="false">IF($A5688="","",IF($H5688="-","유지",IF($I5688="첫 건","유지","확인 필요")))</f>
        <v/>
      </c>
    </row>
    <row r="5689" customFormat="false" ht="15" hidden="false" customHeight="true" outlineLevel="0" collapsed="false">
      <c r="A5689" s="11" t="str">
        <f aca="false">IF(원본명단!$A5688="","",5686)</f>
        <v/>
      </c>
      <c r="B5689" s="12" t="str">
        <f aca="false">IF($A5689="","",원본명단!$A5688)</f>
        <v/>
      </c>
      <c r="C5689" s="12" t="str">
        <f aca="false">IF($A5689="","",원본명단!$B5688)</f>
        <v/>
      </c>
      <c r="D5689" s="12" t="str">
        <f aca="false">IF($A5689="","",원본명단!$D5688)</f>
        <v/>
      </c>
      <c r="E5689" s="11" t="str">
        <f aca="false">IF($A5689="","",IF(원본명단!$H5688="",0,COUNTIF(원본명단!$H$3:$H$6002,원본명단!$H5688)))</f>
        <v/>
      </c>
      <c r="F5689" s="11" t="str">
        <f aca="false">IF($A5689="","",IF(원본명단!$I5688="",0,COUNTIF(원본명단!$I$3:$I$6002,원본명단!$I5688)))</f>
        <v/>
      </c>
      <c r="G5689" s="11" t="str">
        <f aca="false">IF($A5689="","",IF(원본명단!$K5688="",0,COUNTIF(원본명단!$K$3:$K$6002,원본명단!$K5688)))</f>
        <v/>
      </c>
      <c r="H5689" s="11" t="str">
        <f aca="false">IF($A5689="","",IF(MAX($E5689,$F5689,$G5689)&gt;1,"중복","-"))</f>
        <v/>
      </c>
      <c r="I5689" s="11" t="str">
        <f aca="false">IF($A5689="","",IF($H5689="-","-",IF(AND(IF(원본명단!$H5688="",TRUE(),COUNTIF(원본명단!$H$3:$H5688,원본명단!$H5688)=1),IF(원본명단!$I5688="",TRUE(),COUNTIF(원본명단!$I$3:$I5688,원본명단!$I5688)=1),IF(원본명단!$K5688="",TRUE(),COUNTIF(원본명단!$K$3:$K5688,원본명단!$K5688)=1)),"첫 건","중복 건")))</f>
        <v/>
      </c>
      <c r="J5689" s="11" t="str">
        <f aca="false">IF($A5689="","",IF($H5689="-","유지",IF($I5689="첫 건","유지","확인 필요")))</f>
        <v/>
      </c>
    </row>
    <row r="5690" customFormat="false" ht="15" hidden="false" customHeight="true" outlineLevel="0" collapsed="false">
      <c r="A5690" s="11" t="str">
        <f aca="false">IF(원본명단!$A5689="","",5687)</f>
        <v/>
      </c>
      <c r="B5690" s="12" t="str">
        <f aca="false">IF($A5690="","",원본명단!$A5689)</f>
        <v/>
      </c>
      <c r="C5690" s="12" t="str">
        <f aca="false">IF($A5690="","",원본명단!$B5689)</f>
        <v/>
      </c>
      <c r="D5690" s="12" t="str">
        <f aca="false">IF($A5690="","",원본명단!$D5689)</f>
        <v/>
      </c>
      <c r="E5690" s="11" t="str">
        <f aca="false">IF($A5690="","",IF(원본명단!$H5689="",0,COUNTIF(원본명단!$H$3:$H$6002,원본명단!$H5689)))</f>
        <v/>
      </c>
      <c r="F5690" s="11" t="str">
        <f aca="false">IF($A5690="","",IF(원본명단!$I5689="",0,COUNTIF(원본명단!$I$3:$I$6002,원본명단!$I5689)))</f>
        <v/>
      </c>
      <c r="G5690" s="11" t="str">
        <f aca="false">IF($A5690="","",IF(원본명단!$K5689="",0,COUNTIF(원본명단!$K$3:$K$6002,원본명단!$K5689)))</f>
        <v/>
      </c>
      <c r="H5690" s="11" t="str">
        <f aca="false">IF($A5690="","",IF(MAX($E5690,$F5690,$G5690)&gt;1,"중복","-"))</f>
        <v/>
      </c>
      <c r="I5690" s="11" t="str">
        <f aca="false">IF($A5690="","",IF($H5690="-","-",IF(AND(IF(원본명단!$H5689="",TRUE(),COUNTIF(원본명단!$H$3:$H5689,원본명단!$H5689)=1),IF(원본명단!$I5689="",TRUE(),COUNTIF(원본명단!$I$3:$I5689,원본명단!$I5689)=1),IF(원본명단!$K5689="",TRUE(),COUNTIF(원본명단!$K$3:$K5689,원본명단!$K5689)=1)),"첫 건","중복 건")))</f>
        <v/>
      </c>
      <c r="J5690" s="11" t="str">
        <f aca="false">IF($A5690="","",IF($H5690="-","유지",IF($I5690="첫 건","유지","확인 필요")))</f>
        <v/>
      </c>
    </row>
    <row r="5691" customFormat="false" ht="15" hidden="false" customHeight="true" outlineLevel="0" collapsed="false">
      <c r="A5691" s="11" t="str">
        <f aca="false">IF(원본명단!$A5690="","",5688)</f>
        <v/>
      </c>
      <c r="B5691" s="12" t="str">
        <f aca="false">IF($A5691="","",원본명단!$A5690)</f>
        <v/>
      </c>
      <c r="C5691" s="12" t="str">
        <f aca="false">IF($A5691="","",원본명단!$B5690)</f>
        <v/>
      </c>
      <c r="D5691" s="12" t="str">
        <f aca="false">IF($A5691="","",원본명단!$D5690)</f>
        <v/>
      </c>
      <c r="E5691" s="11" t="str">
        <f aca="false">IF($A5691="","",IF(원본명단!$H5690="",0,COUNTIF(원본명단!$H$3:$H$6002,원본명단!$H5690)))</f>
        <v/>
      </c>
      <c r="F5691" s="11" t="str">
        <f aca="false">IF($A5691="","",IF(원본명단!$I5690="",0,COUNTIF(원본명단!$I$3:$I$6002,원본명단!$I5690)))</f>
        <v/>
      </c>
      <c r="G5691" s="11" t="str">
        <f aca="false">IF($A5691="","",IF(원본명단!$K5690="",0,COUNTIF(원본명단!$K$3:$K$6002,원본명단!$K5690)))</f>
        <v/>
      </c>
      <c r="H5691" s="11" t="str">
        <f aca="false">IF($A5691="","",IF(MAX($E5691,$F5691,$G5691)&gt;1,"중복","-"))</f>
        <v/>
      </c>
      <c r="I5691" s="11" t="str">
        <f aca="false">IF($A5691="","",IF($H5691="-","-",IF(AND(IF(원본명단!$H5690="",TRUE(),COUNTIF(원본명단!$H$3:$H5690,원본명단!$H5690)=1),IF(원본명단!$I5690="",TRUE(),COUNTIF(원본명단!$I$3:$I5690,원본명단!$I5690)=1),IF(원본명단!$K5690="",TRUE(),COUNTIF(원본명단!$K$3:$K5690,원본명단!$K5690)=1)),"첫 건","중복 건")))</f>
        <v/>
      </c>
      <c r="J5691" s="11" t="str">
        <f aca="false">IF($A5691="","",IF($H5691="-","유지",IF($I5691="첫 건","유지","확인 필요")))</f>
        <v/>
      </c>
    </row>
    <row r="5692" customFormat="false" ht="15" hidden="false" customHeight="true" outlineLevel="0" collapsed="false">
      <c r="A5692" s="11" t="str">
        <f aca="false">IF(원본명단!$A5691="","",5689)</f>
        <v/>
      </c>
      <c r="B5692" s="12" t="str">
        <f aca="false">IF($A5692="","",원본명단!$A5691)</f>
        <v/>
      </c>
      <c r="C5692" s="12" t="str">
        <f aca="false">IF($A5692="","",원본명단!$B5691)</f>
        <v/>
      </c>
      <c r="D5692" s="12" t="str">
        <f aca="false">IF($A5692="","",원본명단!$D5691)</f>
        <v/>
      </c>
      <c r="E5692" s="11" t="str">
        <f aca="false">IF($A5692="","",IF(원본명단!$H5691="",0,COUNTIF(원본명단!$H$3:$H$6002,원본명단!$H5691)))</f>
        <v/>
      </c>
      <c r="F5692" s="11" t="str">
        <f aca="false">IF($A5692="","",IF(원본명단!$I5691="",0,COUNTIF(원본명단!$I$3:$I$6002,원본명단!$I5691)))</f>
        <v/>
      </c>
      <c r="G5692" s="11" t="str">
        <f aca="false">IF($A5692="","",IF(원본명단!$K5691="",0,COUNTIF(원본명단!$K$3:$K$6002,원본명단!$K5691)))</f>
        <v/>
      </c>
      <c r="H5692" s="11" t="str">
        <f aca="false">IF($A5692="","",IF(MAX($E5692,$F5692,$G5692)&gt;1,"중복","-"))</f>
        <v/>
      </c>
      <c r="I5692" s="11" t="str">
        <f aca="false">IF($A5692="","",IF($H5692="-","-",IF(AND(IF(원본명단!$H5691="",TRUE(),COUNTIF(원본명단!$H$3:$H5691,원본명단!$H5691)=1),IF(원본명단!$I5691="",TRUE(),COUNTIF(원본명단!$I$3:$I5691,원본명단!$I5691)=1),IF(원본명단!$K5691="",TRUE(),COUNTIF(원본명단!$K$3:$K5691,원본명단!$K5691)=1)),"첫 건","중복 건")))</f>
        <v/>
      </c>
      <c r="J5692" s="11" t="str">
        <f aca="false">IF($A5692="","",IF($H5692="-","유지",IF($I5692="첫 건","유지","확인 필요")))</f>
        <v/>
      </c>
    </row>
    <row r="5693" customFormat="false" ht="15" hidden="false" customHeight="true" outlineLevel="0" collapsed="false">
      <c r="A5693" s="11" t="str">
        <f aca="false">IF(원본명단!$A5692="","",5690)</f>
        <v/>
      </c>
      <c r="B5693" s="12" t="str">
        <f aca="false">IF($A5693="","",원본명단!$A5692)</f>
        <v/>
      </c>
      <c r="C5693" s="12" t="str">
        <f aca="false">IF($A5693="","",원본명단!$B5692)</f>
        <v/>
      </c>
      <c r="D5693" s="12" t="str">
        <f aca="false">IF($A5693="","",원본명단!$D5692)</f>
        <v/>
      </c>
      <c r="E5693" s="11" t="str">
        <f aca="false">IF($A5693="","",IF(원본명단!$H5692="",0,COUNTIF(원본명단!$H$3:$H$6002,원본명단!$H5692)))</f>
        <v/>
      </c>
      <c r="F5693" s="11" t="str">
        <f aca="false">IF($A5693="","",IF(원본명단!$I5692="",0,COUNTIF(원본명단!$I$3:$I$6002,원본명단!$I5692)))</f>
        <v/>
      </c>
      <c r="G5693" s="11" t="str">
        <f aca="false">IF($A5693="","",IF(원본명단!$K5692="",0,COUNTIF(원본명단!$K$3:$K$6002,원본명단!$K5692)))</f>
        <v/>
      </c>
      <c r="H5693" s="11" t="str">
        <f aca="false">IF($A5693="","",IF(MAX($E5693,$F5693,$G5693)&gt;1,"중복","-"))</f>
        <v/>
      </c>
      <c r="I5693" s="11" t="str">
        <f aca="false">IF($A5693="","",IF($H5693="-","-",IF(AND(IF(원본명단!$H5692="",TRUE(),COUNTIF(원본명단!$H$3:$H5692,원본명단!$H5692)=1),IF(원본명단!$I5692="",TRUE(),COUNTIF(원본명단!$I$3:$I5692,원본명단!$I5692)=1),IF(원본명단!$K5692="",TRUE(),COUNTIF(원본명단!$K$3:$K5692,원본명단!$K5692)=1)),"첫 건","중복 건")))</f>
        <v/>
      </c>
      <c r="J5693" s="11" t="str">
        <f aca="false">IF($A5693="","",IF($H5693="-","유지",IF($I5693="첫 건","유지","확인 필요")))</f>
        <v/>
      </c>
    </row>
    <row r="5694" customFormat="false" ht="15" hidden="false" customHeight="true" outlineLevel="0" collapsed="false">
      <c r="A5694" s="11" t="str">
        <f aca="false">IF(원본명단!$A5693="","",5691)</f>
        <v/>
      </c>
      <c r="B5694" s="12" t="str">
        <f aca="false">IF($A5694="","",원본명단!$A5693)</f>
        <v/>
      </c>
      <c r="C5694" s="12" t="str">
        <f aca="false">IF($A5694="","",원본명단!$B5693)</f>
        <v/>
      </c>
      <c r="D5694" s="12" t="str">
        <f aca="false">IF($A5694="","",원본명단!$D5693)</f>
        <v/>
      </c>
      <c r="E5694" s="11" t="str">
        <f aca="false">IF($A5694="","",IF(원본명단!$H5693="",0,COUNTIF(원본명단!$H$3:$H$6002,원본명단!$H5693)))</f>
        <v/>
      </c>
      <c r="F5694" s="11" t="str">
        <f aca="false">IF($A5694="","",IF(원본명단!$I5693="",0,COUNTIF(원본명단!$I$3:$I$6002,원본명단!$I5693)))</f>
        <v/>
      </c>
      <c r="G5694" s="11" t="str">
        <f aca="false">IF($A5694="","",IF(원본명단!$K5693="",0,COUNTIF(원본명단!$K$3:$K$6002,원본명단!$K5693)))</f>
        <v/>
      </c>
      <c r="H5694" s="11" t="str">
        <f aca="false">IF($A5694="","",IF(MAX($E5694,$F5694,$G5694)&gt;1,"중복","-"))</f>
        <v/>
      </c>
      <c r="I5694" s="11" t="str">
        <f aca="false">IF($A5694="","",IF($H5694="-","-",IF(AND(IF(원본명단!$H5693="",TRUE(),COUNTIF(원본명단!$H$3:$H5693,원본명단!$H5693)=1),IF(원본명단!$I5693="",TRUE(),COUNTIF(원본명단!$I$3:$I5693,원본명단!$I5693)=1),IF(원본명단!$K5693="",TRUE(),COUNTIF(원본명단!$K$3:$K5693,원본명단!$K5693)=1)),"첫 건","중복 건")))</f>
        <v/>
      </c>
      <c r="J5694" s="11" t="str">
        <f aca="false">IF($A5694="","",IF($H5694="-","유지",IF($I5694="첫 건","유지","확인 필요")))</f>
        <v/>
      </c>
    </row>
    <row r="5695" customFormat="false" ht="15" hidden="false" customHeight="true" outlineLevel="0" collapsed="false">
      <c r="A5695" s="11" t="str">
        <f aca="false">IF(원본명단!$A5694="","",5692)</f>
        <v/>
      </c>
      <c r="B5695" s="12" t="str">
        <f aca="false">IF($A5695="","",원본명단!$A5694)</f>
        <v/>
      </c>
      <c r="C5695" s="12" t="str">
        <f aca="false">IF($A5695="","",원본명단!$B5694)</f>
        <v/>
      </c>
      <c r="D5695" s="12" t="str">
        <f aca="false">IF($A5695="","",원본명단!$D5694)</f>
        <v/>
      </c>
      <c r="E5695" s="11" t="str">
        <f aca="false">IF($A5695="","",IF(원본명단!$H5694="",0,COUNTIF(원본명단!$H$3:$H$6002,원본명단!$H5694)))</f>
        <v/>
      </c>
      <c r="F5695" s="11" t="str">
        <f aca="false">IF($A5695="","",IF(원본명단!$I5694="",0,COUNTIF(원본명단!$I$3:$I$6002,원본명단!$I5694)))</f>
        <v/>
      </c>
      <c r="G5695" s="11" t="str">
        <f aca="false">IF($A5695="","",IF(원본명단!$K5694="",0,COUNTIF(원본명단!$K$3:$K$6002,원본명단!$K5694)))</f>
        <v/>
      </c>
      <c r="H5695" s="11" t="str">
        <f aca="false">IF($A5695="","",IF(MAX($E5695,$F5695,$G5695)&gt;1,"중복","-"))</f>
        <v/>
      </c>
      <c r="I5695" s="11" t="str">
        <f aca="false">IF($A5695="","",IF($H5695="-","-",IF(AND(IF(원본명단!$H5694="",TRUE(),COUNTIF(원본명단!$H$3:$H5694,원본명단!$H5694)=1),IF(원본명단!$I5694="",TRUE(),COUNTIF(원본명단!$I$3:$I5694,원본명단!$I5694)=1),IF(원본명단!$K5694="",TRUE(),COUNTIF(원본명단!$K$3:$K5694,원본명단!$K5694)=1)),"첫 건","중복 건")))</f>
        <v/>
      </c>
      <c r="J5695" s="11" t="str">
        <f aca="false">IF($A5695="","",IF($H5695="-","유지",IF($I5695="첫 건","유지","확인 필요")))</f>
        <v/>
      </c>
    </row>
    <row r="5696" customFormat="false" ht="15" hidden="false" customHeight="true" outlineLevel="0" collapsed="false">
      <c r="A5696" s="11" t="str">
        <f aca="false">IF(원본명단!$A5695="","",5693)</f>
        <v/>
      </c>
      <c r="B5696" s="12" t="str">
        <f aca="false">IF($A5696="","",원본명단!$A5695)</f>
        <v/>
      </c>
      <c r="C5696" s="12" t="str">
        <f aca="false">IF($A5696="","",원본명단!$B5695)</f>
        <v/>
      </c>
      <c r="D5696" s="12" t="str">
        <f aca="false">IF($A5696="","",원본명단!$D5695)</f>
        <v/>
      </c>
      <c r="E5696" s="11" t="str">
        <f aca="false">IF($A5696="","",IF(원본명단!$H5695="",0,COUNTIF(원본명단!$H$3:$H$6002,원본명단!$H5695)))</f>
        <v/>
      </c>
      <c r="F5696" s="11" t="str">
        <f aca="false">IF($A5696="","",IF(원본명단!$I5695="",0,COUNTIF(원본명단!$I$3:$I$6002,원본명단!$I5695)))</f>
        <v/>
      </c>
      <c r="G5696" s="11" t="str">
        <f aca="false">IF($A5696="","",IF(원본명단!$K5695="",0,COUNTIF(원본명단!$K$3:$K$6002,원본명단!$K5695)))</f>
        <v/>
      </c>
      <c r="H5696" s="11" t="str">
        <f aca="false">IF($A5696="","",IF(MAX($E5696,$F5696,$G5696)&gt;1,"중복","-"))</f>
        <v/>
      </c>
      <c r="I5696" s="11" t="str">
        <f aca="false">IF($A5696="","",IF($H5696="-","-",IF(AND(IF(원본명단!$H5695="",TRUE(),COUNTIF(원본명단!$H$3:$H5695,원본명단!$H5695)=1),IF(원본명단!$I5695="",TRUE(),COUNTIF(원본명단!$I$3:$I5695,원본명단!$I5695)=1),IF(원본명단!$K5695="",TRUE(),COUNTIF(원본명단!$K$3:$K5695,원본명단!$K5695)=1)),"첫 건","중복 건")))</f>
        <v/>
      </c>
      <c r="J5696" s="11" t="str">
        <f aca="false">IF($A5696="","",IF($H5696="-","유지",IF($I5696="첫 건","유지","확인 필요")))</f>
        <v/>
      </c>
    </row>
    <row r="5697" customFormat="false" ht="15" hidden="false" customHeight="true" outlineLevel="0" collapsed="false">
      <c r="A5697" s="11" t="str">
        <f aca="false">IF(원본명단!$A5696="","",5694)</f>
        <v/>
      </c>
      <c r="B5697" s="12" t="str">
        <f aca="false">IF($A5697="","",원본명단!$A5696)</f>
        <v/>
      </c>
      <c r="C5697" s="12" t="str">
        <f aca="false">IF($A5697="","",원본명단!$B5696)</f>
        <v/>
      </c>
      <c r="D5697" s="12" t="str">
        <f aca="false">IF($A5697="","",원본명단!$D5696)</f>
        <v/>
      </c>
      <c r="E5697" s="11" t="str">
        <f aca="false">IF($A5697="","",IF(원본명단!$H5696="",0,COUNTIF(원본명단!$H$3:$H$6002,원본명단!$H5696)))</f>
        <v/>
      </c>
      <c r="F5697" s="11" t="str">
        <f aca="false">IF($A5697="","",IF(원본명단!$I5696="",0,COUNTIF(원본명단!$I$3:$I$6002,원본명단!$I5696)))</f>
        <v/>
      </c>
      <c r="G5697" s="11" t="str">
        <f aca="false">IF($A5697="","",IF(원본명단!$K5696="",0,COUNTIF(원본명단!$K$3:$K$6002,원본명단!$K5696)))</f>
        <v/>
      </c>
      <c r="H5697" s="11" t="str">
        <f aca="false">IF($A5697="","",IF(MAX($E5697,$F5697,$G5697)&gt;1,"중복","-"))</f>
        <v/>
      </c>
      <c r="I5697" s="11" t="str">
        <f aca="false">IF($A5697="","",IF($H5697="-","-",IF(AND(IF(원본명단!$H5696="",TRUE(),COUNTIF(원본명단!$H$3:$H5696,원본명단!$H5696)=1),IF(원본명단!$I5696="",TRUE(),COUNTIF(원본명단!$I$3:$I5696,원본명단!$I5696)=1),IF(원본명단!$K5696="",TRUE(),COUNTIF(원본명단!$K$3:$K5696,원본명단!$K5696)=1)),"첫 건","중복 건")))</f>
        <v/>
      </c>
      <c r="J5697" s="11" t="str">
        <f aca="false">IF($A5697="","",IF($H5697="-","유지",IF($I5697="첫 건","유지","확인 필요")))</f>
        <v/>
      </c>
    </row>
    <row r="5698" customFormat="false" ht="15" hidden="false" customHeight="true" outlineLevel="0" collapsed="false">
      <c r="A5698" s="11" t="str">
        <f aca="false">IF(원본명단!$A5697="","",5695)</f>
        <v/>
      </c>
      <c r="B5698" s="12" t="str">
        <f aca="false">IF($A5698="","",원본명단!$A5697)</f>
        <v/>
      </c>
      <c r="C5698" s="12" t="str">
        <f aca="false">IF($A5698="","",원본명단!$B5697)</f>
        <v/>
      </c>
      <c r="D5698" s="12" t="str">
        <f aca="false">IF($A5698="","",원본명단!$D5697)</f>
        <v/>
      </c>
      <c r="E5698" s="11" t="str">
        <f aca="false">IF($A5698="","",IF(원본명단!$H5697="",0,COUNTIF(원본명단!$H$3:$H$6002,원본명단!$H5697)))</f>
        <v/>
      </c>
      <c r="F5698" s="11" t="str">
        <f aca="false">IF($A5698="","",IF(원본명단!$I5697="",0,COUNTIF(원본명단!$I$3:$I$6002,원본명단!$I5697)))</f>
        <v/>
      </c>
      <c r="G5698" s="11" t="str">
        <f aca="false">IF($A5698="","",IF(원본명단!$K5697="",0,COUNTIF(원본명단!$K$3:$K$6002,원본명단!$K5697)))</f>
        <v/>
      </c>
      <c r="H5698" s="11" t="str">
        <f aca="false">IF($A5698="","",IF(MAX($E5698,$F5698,$G5698)&gt;1,"중복","-"))</f>
        <v/>
      </c>
      <c r="I5698" s="11" t="str">
        <f aca="false">IF($A5698="","",IF($H5698="-","-",IF(AND(IF(원본명단!$H5697="",TRUE(),COUNTIF(원본명단!$H$3:$H5697,원본명단!$H5697)=1),IF(원본명단!$I5697="",TRUE(),COUNTIF(원본명단!$I$3:$I5697,원본명단!$I5697)=1),IF(원본명단!$K5697="",TRUE(),COUNTIF(원본명단!$K$3:$K5697,원본명단!$K5697)=1)),"첫 건","중복 건")))</f>
        <v/>
      </c>
      <c r="J5698" s="11" t="str">
        <f aca="false">IF($A5698="","",IF($H5698="-","유지",IF($I5698="첫 건","유지","확인 필요")))</f>
        <v/>
      </c>
    </row>
    <row r="5699" customFormat="false" ht="15" hidden="false" customHeight="true" outlineLevel="0" collapsed="false">
      <c r="A5699" s="11" t="str">
        <f aca="false">IF(원본명단!$A5698="","",5696)</f>
        <v/>
      </c>
      <c r="B5699" s="12" t="str">
        <f aca="false">IF($A5699="","",원본명단!$A5698)</f>
        <v/>
      </c>
      <c r="C5699" s="12" t="str">
        <f aca="false">IF($A5699="","",원본명단!$B5698)</f>
        <v/>
      </c>
      <c r="D5699" s="12" t="str">
        <f aca="false">IF($A5699="","",원본명단!$D5698)</f>
        <v/>
      </c>
      <c r="E5699" s="11" t="str">
        <f aca="false">IF($A5699="","",IF(원본명단!$H5698="",0,COUNTIF(원본명단!$H$3:$H$6002,원본명단!$H5698)))</f>
        <v/>
      </c>
      <c r="F5699" s="11" t="str">
        <f aca="false">IF($A5699="","",IF(원본명단!$I5698="",0,COUNTIF(원본명단!$I$3:$I$6002,원본명단!$I5698)))</f>
        <v/>
      </c>
      <c r="G5699" s="11" t="str">
        <f aca="false">IF($A5699="","",IF(원본명단!$K5698="",0,COUNTIF(원본명단!$K$3:$K$6002,원본명단!$K5698)))</f>
        <v/>
      </c>
      <c r="H5699" s="11" t="str">
        <f aca="false">IF($A5699="","",IF(MAX($E5699,$F5699,$G5699)&gt;1,"중복","-"))</f>
        <v/>
      </c>
      <c r="I5699" s="11" t="str">
        <f aca="false">IF($A5699="","",IF($H5699="-","-",IF(AND(IF(원본명단!$H5698="",TRUE(),COUNTIF(원본명단!$H$3:$H5698,원본명단!$H5698)=1),IF(원본명단!$I5698="",TRUE(),COUNTIF(원본명단!$I$3:$I5698,원본명단!$I5698)=1),IF(원본명단!$K5698="",TRUE(),COUNTIF(원본명단!$K$3:$K5698,원본명단!$K5698)=1)),"첫 건","중복 건")))</f>
        <v/>
      </c>
      <c r="J5699" s="11" t="str">
        <f aca="false">IF($A5699="","",IF($H5699="-","유지",IF($I5699="첫 건","유지","확인 필요")))</f>
        <v/>
      </c>
    </row>
    <row r="5700" customFormat="false" ht="15" hidden="false" customHeight="true" outlineLevel="0" collapsed="false">
      <c r="A5700" s="11" t="str">
        <f aca="false">IF(원본명단!$A5699="","",5697)</f>
        <v/>
      </c>
      <c r="B5700" s="12" t="str">
        <f aca="false">IF($A5700="","",원본명단!$A5699)</f>
        <v/>
      </c>
      <c r="C5700" s="12" t="str">
        <f aca="false">IF($A5700="","",원본명단!$B5699)</f>
        <v/>
      </c>
      <c r="D5700" s="12" t="str">
        <f aca="false">IF($A5700="","",원본명단!$D5699)</f>
        <v/>
      </c>
      <c r="E5700" s="11" t="str">
        <f aca="false">IF($A5700="","",IF(원본명단!$H5699="",0,COUNTIF(원본명단!$H$3:$H$6002,원본명단!$H5699)))</f>
        <v/>
      </c>
      <c r="F5700" s="11" t="str">
        <f aca="false">IF($A5700="","",IF(원본명단!$I5699="",0,COUNTIF(원본명단!$I$3:$I$6002,원본명단!$I5699)))</f>
        <v/>
      </c>
      <c r="G5700" s="11" t="str">
        <f aca="false">IF($A5700="","",IF(원본명단!$K5699="",0,COUNTIF(원본명단!$K$3:$K$6002,원본명단!$K5699)))</f>
        <v/>
      </c>
      <c r="H5700" s="11" t="str">
        <f aca="false">IF($A5700="","",IF(MAX($E5700,$F5700,$G5700)&gt;1,"중복","-"))</f>
        <v/>
      </c>
      <c r="I5700" s="11" t="str">
        <f aca="false">IF($A5700="","",IF($H5700="-","-",IF(AND(IF(원본명단!$H5699="",TRUE(),COUNTIF(원본명단!$H$3:$H5699,원본명단!$H5699)=1),IF(원본명단!$I5699="",TRUE(),COUNTIF(원본명단!$I$3:$I5699,원본명단!$I5699)=1),IF(원본명단!$K5699="",TRUE(),COUNTIF(원본명단!$K$3:$K5699,원본명단!$K5699)=1)),"첫 건","중복 건")))</f>
        <v/>
      </c>
      <c r="J5700" s="11" t="str">
        <f aca="false">IF($A5700="","",IF($H5700="-","유지",IF($I5700="첫 건","유지","확인 필요")))</f>
        <v/>
      </c>
    </row>
    <row r="5701" customFormat="false" ht="15" hidden="false" customHeight="true" outlineLevel="0" collapsed="false">
      <c r="A5701" s="11" t="str">
        <f aca="false">IF(원본명단!$A5700="","",5698)</f>
        <v/>
      </c>
      <c r="B5701" s="12" t="str">
        <f aca="false">IF($A5701="","",원본명단!$A5700)</f>
        <v/>
      </c>
      <c r="C5701" s="12" t="str">
        <f aca="false">IF($A5701="","",원본명단!$B5700)</f>
        <v/>
      </c>
      <c r="D5701" s="12" t="str">
        <f aca="false">IF($A5701="","",원본명단!$D5700)</f>
        <v/>
      </c>
      <c r="E5701" s="11" t="str">
        <f aca="false">IF($A5701="","",IF(원본명단!$H5700="",0,COUNTIF(원본명단!$H$3:$H$6002,원본명단!$H5700)))</f>
        <v/>
      </c>
      <c r="F5701" s="11" t="str">
        <f aca="false">IF($A5701="","",IF(원본명단!$I5700="",0,COUNTIF(원본명단!$I$3:$I$6002,원본명단!$I5700)))</f>
        <v/>
      </c>
      <c r="G5701" s="11" t="str">
        <f aca="false">IF($A5701="","",IF(원본명단!$K5700="",0,COUNTIF(원본명단!$K$3:$K$6002,원본명단!$K5700)))</f>
        <v/>
      </c>
      <c r="H5701" s="11" t="str">
        <f aca="false">IF($A5701="","",IF(MAX($E5701,$F5701,$G5701)&gt;1,"중복","-"))</f>
        <v/>
      </c>
      <c r="I5701" s="11" t="str">
        <f aca="false">IF($A5701="","",IF($H5701="-","-",IF(AND(IF(원본명단!$H5700="",TRUE(),COUNTIF(원본명단!$H$3:$H5700,원본명단!$H5700)=1),IF(원본명단!$I5700="",TRUE(),COUNTIF(원본명단!$I$3:$I5700,원본명단!$I5700)=1),IF(원본명단!$K5700="",TRUE(),COUNTIF(원본명단!$K$3:$K5700,원본명단!$K5700)=1)),"첫 건","중복 건")))</f>
        <v/>
      </c>
      <c r="J5701" s="11" t="str">
        <f aca="false">IF($A5701="","",IF($H5701="-","유지",IF($I5701="첫 건","유지","확인 필요")))</f>
        <v/>
      </c>
    </row>
    <row r="5702" customFormat="false" ht="15" hidden="false" customHeight="true" outlineLevel="0" collapsed="false">
      <c r="A5702" s="11" t="str">
        <f aca="false">IF(원본명단!$A5701="","",5699)</f>
        <v/>
      </c>
      <c r="B5702" s="12" t="str">
        <f aca="false">IF($A5702="","",원본명단!$A5701)</f>
        <v/>
      </c>
      <c r="C5702" s="12" t="str">
        <f aca="false">IF($A5702="","",원본명단!$B5701)</f>
        <v/>
      </c>
      <c r="D5702" s="12" t="str">
        <f aca="false">IF($A5702="","",원본명단!$D5701)</f>
        <v/>
      </c>
      <c r="E5702" s="11" t="str">
        <f aca="false">IF($A5702="","",IF(원본명단!$H5701="",0,COUNTIF(원본명단!$H$3:$H$6002,원본명단!$H5701)))</f>
        <v/>
      </c>
      <c r="F5702" s="11" t="str">
        <f aca="false">IF($A5702="","",IF(원본명단!$I5701="",0,COUNTIF(원본명단!$I$3:$I$6002,원본명단!$I5701)))</f>
        <v/>
      </c>
      <c r="G5702" s="11" t="str">
        <f aca="false">IF($A5702="","",IF(원본명단!$K5701="",0,COUNTIF(원본명단!$K$3:$K$6002,원본명단!$K5701)))</f>
        <v/>
      </c>
      <c r="H5702" s="11" t="str">
        <f aca="false">IF($A5702="","",IF(MAX($E5702,$F5702,$G5702)&gt;1,"중복","-"))</f>
        <v/>
      </c>
      <c r="I5702" s="11" t="str">
        <f aca="false">IF($A5702="","",IF($H5702="-","-",IF(AND(IF(원본명단!$H5701="",TRUE(),COUNTIF(원본명단!$H$3:$H5701,원본명단!$H5701)=1),IF(원본명단!$I5701="",TRUE(),COUNTIF(원본명단!$I$3:$I5701,원본명단!$I5701)=1),IF(원본명단!$K5701="",TRUE(),COUNTIF(원본명단!$K$3:$K5701,원본명단!$K5701)=1)),"첫 건","중복 건")))</f>
        <v/>
      </c>
      <c r="J5702" s="11" t="str">
        <f aca="false">IF($A5702="","",IF($H5702="-","유지",IF($I5702="첫 건","유지","확인 필요")))</f>
        <v/>
      </c>
    </row>
    <row r="5703" customFormat="false" ht="15" hidden="false" customHeight="true" outlineLevel="0" collapsed="false">
      <c r="A5703" s="11" t="str">
        <f aca="false">IF(원본명단!$A5702="","",5700)</f>
        <v/>
      </c>
      <c r="B5703" s="12" t="str">
        <f aca="false">IF($A5703="","",원본명단!$A5702)</f>
        <v/>
      </c>
      <c r="C5703" s="12" t="str">
        <f aca="false">IF($A5703="","",원본명단!$B5702)</f>
        <v/>
      </c>
      <c r="D5703" s="12" t="str">
        <f aca="false">IF($A5703="","",원본명단!$D5702)</f>
        <v/>
      </c>
      <c r="E5703" s="11" t="str">
        <f aca="false">IF($A5703="","",IF(원본명단!$H5702="",0,COUNTIF(원본명단!$H$3:$H$6002,원본명단!$H5702)))</f>
        <v/>
      </c>
      <c r="F5703" s="11" t="str">
        <f aca="false">IF($A5703="","",IF(원본명단!$I5702="",0,COUNTIF(원본명단!$I$3:$I$6002,원본명단!$I5702)))</f>
        <v/>
      </c>
      <c r="G5703" s="11" t="str">
        <f aca="false">IF($A5703="","",IF(원본명단!$K5702="",0,COUNTIF(원본명단!$K$3:$K$6002,원본명단!$K5702)))</f>
        <v/>
      </c>
      <c r="H5703" s="11" t="str">
        <f aca="false">IF($A5703="","",IF(MAX($E5703,$F5703,$G5703)&gt;1,"중복","-"))</f>
        <v/>
      </c>
      <c r="I5703" s="11" t="str">
        <f aca="false">IF($A5703="","",IF($H5703="-","-",IF(AND(IF(원본명단!$H5702="",TRUE(),COUNTIF(원본명단!$H$3:$H5702,원본명단!$H5702)=1),IF(원본명단!$I5702="",TRUE(),COUNTIF(원본명단!$I$3:$I5702,원본명단!$I5702)=1),IF(원본명단!$K5702="",TRUE(),COUNTIF(원본명단!$K$3:$K5702,원본명단!$K5702)=1)),"첫 건","중복 건")))</f>
        <v/>
      </c>
      <c r="J5703" s="11" t="str">
        <f aca="false">IF($A5703="","",IF($H5703="-","유지",IF($I5703="첫 건","유지","확인 필요")))</f>
        <v/>
      </c>
    </row>
    <row r="5704" customFormat="false" ht="15" hidden="false" customHeight="true" outlineLevel="0" collapsed="false">
      <c r="A5704" s="11" t="str">
        <f aca="false">IF(원본명단!$A5703="","",5701)</f>
        <v/>
      </c>
      <c r="B5704" s="12" t="str">
        <f aca="false">IF($A5704="","",원본명단!$A5703)</f>
        <v/>
      </c>
      <c r="C5704" s="12" t="str">
        <f aca="false">IF($A5704="","",원본명단!$B5703)</f>
        <v/>
      </c>
      <c r="D5704" s="12" t="str">
        <f aca="false">IF($A5704="","",원본명단!$D5703)</f>
        <v/>
      </c>
      <c r="E5704" s="11" t="str">
        <f aca="false">IF($A5704="","",IF(원본명단!$H5703="",0,COUNTIF(원본명단!$H$3:$H$6002,원본명단!$H5703)))</f>
        <v/>
      </c>
      <c r="F5704" s="11" t="str">
        <f aca="false">IF($A5704="","",IF(원본명단!$I5703="",0,COUNTIF(원본명단!$I$3:$I$6002,원본명단!$I5703)))</f>
        <v/>
      </c>
      <c r="G5704" s="11" t="str">
        <f aca="false">IF($A5704="","",IF(원본명단!$K5703="",0,COUNTIF(원본명단!$K$3:$K$6002,원본명단!$K5703)))</f>
        <v/>
      </c>
      <c r="H5704" s="11" t="str">
        <f aca="false">IF($A5704="","",IF(MAX($E5704,$F5704,$G5704)&gt;1,"중복","-"))</f>
        <v/>
      </c>
      <c r="I5704" s="11" t="str">
        <f aca="false">IF($A5704="","",IF($H5704="-","-",IF(AND(IF(원본명단!$H5703="",TRUE(),COUNTIF(원본명단!$H$3:$H5703,원본명단!$H5703)=1),IF(원본명단!$I5703="",TRUE(),COUNTIF(원본명단!$I$3:$I5703,원본명단!$I5703)=1),IF(원본명단!$K5703="",TRUE(),COUNTIF(원본명단!$K$3:$K5703,원본명단!$K5703)=1)),"첫 건","중복 건")))</f>
        <v/>
      </c>
      <c r="J5704" s="11" t="str">
        <f aca="false">IF($A5704="","",IF($H5704="-","유지",IF($I5704="첫 건","유지","확인 필요")))</f>
        <v/>
      </c>
    </row>
    <row r="5705" customFormat="false" ht="15" hidden="false" customHeight="true" outlineLevel="0" collapsed="false">
      <c r="A5705" s="11" t="str">
        <f aca="false">IF(원본명단!$A5704="","",5702)</f>
        <v/>
      </c>
      <c r="B5705" s="12" t="str">
        <f aca="false">IF($A5705="","",원본명단!$A5704)</f>
        <v/>
      </c>
      <c r="C5705" s="12" t="str">
        <f aca="false">IF($A5705="","",원본명단!$B5704)</f>
        <v/>
      </c>
      <c r="D5705" s="12" t="str">
        <f aca="false">IF($A5705="","",원본명단!$D5704)</f>
        <v/>
      </c>
      <c r="E5705" s="11" t="str">
        <f aca="false">IF($A5705="","",IF(원본명단!$H5704="",0,COUNTIF(원본명단!$H$3:$H$6002,원본명단!$H5704)))</f>
        <v/>
      </c>
      <c r="F5705" s="11" t="str">
        <f aca="false">IF($A5705="","",IF(원본명단!$I5704="",0,COUNTIF(원본명단!$I$3:$I$6002,원본명단!$I5704)))</f>
        <v/>
      </c>
      <c r="G5705" s="11" t="str">
        <f aca="false">IF($A5705="","",IF(원본명단!$K5704="",0,COUNTIF(원본명단!$K$3:$K$6002,원본명단!$K5704)))</f>
        <v/>
      </c>
      <c r="H5705" s="11" t="str">
        <f aca="false">IF($A5705="","",IF(MAX($E5705,$F5705,$G5705)&gt;1,"중복","-"))</f>
        <v/>
      </c>
      <c r="I5705" s="11" t="str">
        <f aca="false">IF($A5705="","",IF($H5705="-","-",IF(AND(IF(원본명단!$H5704="",TRUE(),COUNTIF(원본명단!$H$3:$H5704,원본명단!$H5704)=1),IF(원본명단!$I5704="",TRUE(),COUNTIF(원본명단!$I$3:$I5704,원본명단!$I5704)=1),IF(원본명단!$K5704="",TRUE(),COUNTIF(원본명단!$K$3:$K5704,원본명단!$K5704)=1)),"첫 건","중복 건")))</f>
        <v/>
      </c>
      <c r="J5705" s="11" t="str">
        <f aca="false">IF($A5705="","",IF($H5705="-","유지",IF($I5705="첫 건","유지","확인 필요")))</f>
        <v/>
      </c>
    </row>
    <row r="5706" customFormat="false" ht="15" hidden="false" customHeight="true" outlineLevel="0" collapsed="false">
      <c r="A5706" s="11" t="str">
        <f aca="false">IF(원본명단!$A5705="","",5703)</f>
        <v/>
      </c>
      <c r="B5706" s="12" t="str">
        <f aca="false">IF($A5706="","",원본명단!$A5705)</f>
        <v/>
      </c>
      <c r="C5706" s="12" t="str">
        <f aca="false">IF($A5706="","",원본명단!$B5705)</f>
        <v/>
      </c>
      <c r="D5706" s="12" t="str">
        <f aca="false">IF($A5706="","",원본명단!$D5705)</f>
        <v/>
      </c>
      <c r="E5706" s="11" t="str">
        <f aca="false">IF($A5706="","",IF(원본명단!$H5705="",0,COUNTIF(원본명단!$H$3:$H$6002,원본명단!$H5705)))</f>
        <v/>
      </c>
      <c r="F5706" s="11" t="str">
        <f aca="false">IF($A5706="","",IF(원본명단!$I5705="",0,COUNTIF(원본명단!$I$3:$I$6002,원본명단!$I5705)))</f>
        <v/>
      </c>
      <c r="G5706" s="11" t="str">
        <f aca="false">IF($A5706="","",IF(원본명단!$K5705="",0,COUNTIF(원본명단!$K$3:$K$6002,원본명단!$K5705)))</f>
        <v/>
      </c>
      <c r="H5706" s="11" t="str">
        <f aca="false">IF($A5706="","",IF(MAX($E5706,$F5706,$G5706)&gt;1,"중복","-"))</f>
        <v/>
      </c>
      <c r="I5706" s="11" t="str">
        <f aca="false">IF($A5706="","",IF($H5706="-","-",IF(AND(IF(원본명단!$H5705="",TRUE(),COUNTIF(원본명단!$H$3:$H5705,원본명단!$H5705)=1),IF(원본명단!$I5705="",TRUE(),COUNTIF(원본명단!$I$3:$I5705,원본명단!$I5705)=1),IF(원본명단!$K5705="",TRUE(),COUNTIF(원본명단!$K$3:$K5705,원본명단!$K5705)=1)),"첫 건","중복 건")))</f>
        <v/>
      </c>
      <c r="J5706" s="11" t="str">
        <f aca="false">IF($A5706="","",IF($H5706="-","유지",IF($I5706="첫 건","유지","확인 필요")))</f>
        <v/>
      </c>
    </row>
    <row r="5707" customFormat="false" ht="15" hidden="false" customHeight="true" outlineLevel="0" collapsed="false">
      <c r="A5707" s="11" t="str">
        <f aca="false">IF(원본명단!$A5706="","",5704)</f>
        <v/>
      </c>
      <c r="B5707" s="12" t="str">
        <f aca="false">IF($A5707="","",원본명단!$A5706)</f>
        <v/>
      </c>
      <c r="C5707" s="12" t="str">
        <f aca="false">IF($A5707="","",원본명단!$B5706)</f>
        <v/>
      </c>
      <c r="D5707" s="12" t="str">
        <f aca="false">IF($A5707="","",원본명단!$D5706)</f>
        <v/>
      </c>
      <c r="E5707" s="11" t="str">
        <f aca="false">IF($A5707="","",IF(원본명단!$H5706="",0,COUNTIF(원본명단!$H$3:$H$6002,원본명단!$H5706)))</f>
        <v/>
      </c>
      <c r="F5707" s="11" t="str">
        <f aca="false">IF($A5707="","",IF(원본명단!$I5706="",0,COUNTIF(원본명단!$I$3:$I$6002,원본명단!$I5706)))</f>
        <v/>
      </c>
      <c r="G5707" s="11" t="str">
        <f aca="false">IF($A5707="","",IF(원본명단!$K5706="",0,COUNTIF(원본명단!$K$3:$K$6002,원본명단!$K5706)))</f>
        <v/>
      </c>
      <c r="H5707" s="11" t="str">
        <f aca="false">IF($A5707="","",IF(MAX($E5707,$F5707,$G5707)&gt;1,"중복","-"))</f>
        <v/>
      </c>
      <c r="I5707" s="11" t="str">
        <f aca="false">IF($A5707="","",IF($H5707="-","-",IF(AND(IF(원본명단!$H5706="",TRUE(),COUNTIF(원본명단!$H$3:$H5706,원본명단!$H5706)=1),IF(원본명단!$I5706="",TRUE(),COUNTIF(원본명단!$I$3:$I5706,원본명단!$I5706)=1),IF(원본명단!$K5706="",TRUE(),COUNTIF(원본명단!$K$3:$K5706,원본명단!$K5706)=1)),"첫 건","중복 건")))</f>
        <v/>
      </c>
      <c r="J5707" s="11" t="str">
        <f aca="false">IF($A5707="","",IF($H5707="-","유지",IF($I5707="첫 건","유지","확인 필요")))</f>
        <v/>
      </c>
    </row>
    <row r="5708" customFormat="false" ht="15" hidden="false" customHeight="true" outlineLevel="0" collapsed="false">
      <c r="A5708" s="11" t="str">
        <f aca="false">IF(원본명단!$A5707="","",5705)</f>
        <v/>
      </c>
      <c r="B5708" s="12" t="str">
        <f aca="false">IF($A5708="","",원본명단!$A5707)</f>
        <v/>
      </c>
      <c r="C5708" s="12" t="str">
        <f aca="false">IF($A5708="","",원본명단!$B5707)</f>
        <v/>
      </c>
      <c r="D5708" s="12" t="str">
        <f aca="false">IF($A5708="","",원본명단!$D5707)</f>
        <v/>
      </c>
      <c r="E5708" s="11" t="str">
        <f aca="false">IF($A5708="","",IF(원본명단!$H5707="",0,COUNTIF(원본명단!$H$3:$H$6002,원본명단!$H5707)))</f>
        <v/>
      </c>
      <c r="F5708" s="11" t="str">
        <f aca="false">IF($A5708="","",IF(원본명단!$I5707="",0,COUNTIF(원본명단!$I$3:$I$6002,원본명단!$I5707)))</f>
        <v/>
      </c>
      <c r="G5708" s="11" t="str">
        <f aca="false">IF($A5708="","",IF(원본명단!$K5707="",0,COUNTIF(원본명단!$K$3:$K$6002,원본명단!$K5707)))</f>
        <v/>
      </c>
      <c r="H5708" s="11" t="str">
        <f aca="false">IF($A5708="","",IF(MAX($E5708,$F5708,$G5708)&gt;1,"중복","-"))</f>
        <v/>
      </c>
      <c r="I5708" s="11" t="str">
        <f aca="false">IF($A5708="","",IF($H5708="-","-",IF(AND(IF(원본명단!$H5707="",TRUE(),COUNTIF(원본명단!$H$3:$H5707,원본명단!$H5707)=1),IF(원본명단!$I5707="",TRUE(),COUNTIF(원본명단!$I$3:$I5707,원본명단!$I5707)=1),IF(원본명단!$K5707="",TRUE(),COUNTIF(원본명단!$K$3:$K5707,원본명단!$K5707)=1)),"첫 건","중복 건")))</f>
        <v/>
      </c>
      <c r="J5708" s="11" t="str">
        <f aca="false">IF($A5708="","",IF($H5708="-","유지",IF($I5708="첫 건","유지","확인 필요")))</f>
        <v/>
      </c>
    </row>
    <row r="5709" customFormat="false" ht="15" hidden="false" customHeight="true" outlineLevel="0" collapsed="false">
      <c r="A5709" s="11" t="str">
        <f aca="false">IF(원본명단!$A5708="","",5706)</f>
        <v/>
      </c>
      <c r="B5709" s="12" t="str">
        <f aca="false">IF($A5709="","",원본명단!$A5708)</f>
        <v/>
      </c>
      <c r="C5709" s="12" t="str">
        <f aca="false">IF($A5709="","",원본명단!$B5708)</f>
        <v/>
      </c>
      <c r="D5709" s="12" t="str">
        <f aca="false">IF($A5709="","",원본명단!$D5708)</f>
        <v/>
      </c>
      <c r="E5709" s="11" t="str">
        <f aca="false">IF($A5709="","",IF(원본명단!$H5708="",0,COUNTIF(원본명단!$H$3:$H$6002,원본명단!$H5708)))</f>
        <v/>
      </c>
      <c r="F5709" s="11" t="str">
        <f aca="false">IF($A5709="","",IF(원본명단!$I5708="",0,COUNTIF(원본명단!$I$3:$I$6002,원본명단!$I5708)))</f>
        <v/>
      </c>
      <c r="G5709" s="11" t="str">
        <f aca="false">IF($A5709="","",IF(원본명단!$K5708="",0,COUNTIF(원본명단!$K$3:$K$6002,원본명단!$K5708)))</f>
        <v/>
      </c>
      <c r="H5709" s="11" t="str">
        <f aca="false">IF($A5709="","",IF(MAX($E5709,$F5709,$G5709)&gt;1,"중복","-"))</f>
        <v/>
      </c>
      <c r="I5709" s="11" t="str">
        <f aca="false">IF($A5709="","",IF($H5709="-","-",IF(AND(IF(원본명단!$H5708="",TRUE(),COUNTIF(원본명단!$H$3:$H5708,원본명단!$H5708)=1),IF(원본명단!$I5708="",TRUE(),COUNTIF(원본명단!$I$3:$I5708,원본명단!$I5708)=1),IF(원본명단!$K5708="",TRUE(),COUNTIF(원본명단!$K$3:$K5708,원본명단!$K5708)=1)),"첫 건","중복 건")))</f>
        <v/>
      </c>
      <c r="J5709" s="11" t="str">
        <f aca="false">IF($A5709="","",IF($H5709="-","유지",IF($I5709="첫 건","유지","확인 필요")))</f>
        <v/>
      </c>
    </row>
    <row r="5710" customFormat="false" ht="15" hidden="false" customHeight="true" outlineLevel="0" collapsed="false">
      <c r="A5710" s="11" t="str">
        <f aca="false">IF(원본명단!$A5709="","",5707)</f>
        <v/>
      </c>
      <c r="B5710" s="12" t="str">
        <f aca="false">IF($A5710="","",원본명단!$A5709)</f>
        <v/>
      </c>
      <c r="C5710" s="12" t="str">
        <f aca="false">IF($A5710="","",원본명단!$B5709)</f>
        <v/>
      </c>
      <c r="D5710" s="12" t="str">
        <f aca="false">IF($A5710="","",원본명단!$D5709)</f>
        <v/>
      </c>
      <c r="E5710" s="11" t="str">
        <f aca="false">IF($A5710="","",IF(원본명단!$H5709="",0,COUNTIF(원본명단!$H$3:$H$6002,원본명단!$H5709)))</f>
        <v/>
      </c>
      <c r="F5710" s="11" t="str">
        <f aca="false">IF($A5710="","",IF(원본명단!$I5709="",0,COUNTIF(원본명단!$I$3:$I$6002,원본명단!$I5709)))</f>
        <v/>
      </c>
      <c r="G5710" s="11" t="str">
        <f aca="false">IF($A5710="","",IF(원본명단!$K5709="",0,COUNTIF(원본명단!$K$3:$K$6002,원본명단!$K5709)))</f>
        <v/>
      </c>
      <c r="H5710" s="11" t="str">
        <f aca="false">IF($A5710="","",IF(MAX($E5710,$F5710,$G5710)&gt;1,"중복","-"))</f>
        <v/>
      </c>
      <c r="I5710" s="11" t="str">
        <f aca="false">IF($A5710="","",IF($H5710="-","-",IF(AND(IF(원본명단!$H5709="",TRUE(),COUNTIF(원본명단!$H$3:$H5709,원본명단!$H5709)=1),IF(원본명단!$I5709="",TRUE(),COUNTIF(원본명단!$I$3:$I5709,원본명단!$I5709)=1),IF(원본명단!$K5709="",TRUE(),COUNTIF(원본명단!$K$3:$K5709,원본명단!$K5709)=1)),"첫 건","중복 건")))</f>
        <v/>
      </c>
      <c r="J5710" s="11" t="str">
        <f aca="false">IF($A5710="","",IF($H5710="-","유지",IF($I5710="첫 건","유지","확인 필요")))</f>
        <v/>
      </c>
    </row>
    <row r="5711" customFormat="false" ht="15" hidden="false" customHeight="true" outlineLevel="0" collapsed="false">
      <c r="A5711" s="11" t="str">
        <f aca="false">IF(원본명단!$A5710="","",5708)</f>
        <v/>
      </c>
      <c r="B5711" s="12" t="str">
        <f aca="false">IF($A5711="","",원본명단!$A5710)</f>
        <v/>
      </c>
      <c r="C5711" s="12" t="str">
        <f aca="false">IF($A5711="","",원본명단!$B5710)</f>
        <v/>
      </c>
      <c r="D5711" s="12" t="str">
        <f aca="false">IF($A5711="","",원본명단!$D5710)</f>
        <v/>
      </c>
      <c r="E5711" s="11" t="str">
        <f aca="false">IF($A5711="","",IF(원본명단!$H5710="",0,COUNTIF(원본명단!$H$3:$H$6002,원본명단!$H5710)))</f>
        <v/>
      </c>
      <c r="F5711" s="11" t="str">
        <f aca="false">IF($A5711="","",IF(원본명단!$I5710="",0,COUNTIF(원본명단!$I$3:$I$6002,원본명단!$I5710)))</f>
        <v/>
      </c>
      <c r="G5711" s="11" t="str">
        <f aca="false">IF($A5711="","",IF(원본명단!$K5710="",0,COUNTIF(원본명단!$K$3:$K$6002,원본명단!$K5710)))</f>
        <v/>
      </c>
      <c r="H5711" s="11" t="str">
        <f aca="false">IF($A5711="","",IF(MAX($E5711,$F5711,$G5711)&gt;1,"중복","-"))</f>
        <v/>
      </c>
      <c r="I5711" s="11" t="str">
        <f aca="false">IF($A5711="","",IF($H5711="-","-",IF(AND(IF(원본명단!$H5710="",TRUE(),COUNTIF(원본명단!$H$3:$H5710,원본명단!$H5710)=1),IF(원본명단!$I5710="",TRUE(),COUNTIF(원본명단!$I$3:$I5710,원본명단!$I5710)=1),IF(원본명단!$K5710="",TRUE(),COUNTIF(원본명단!$K$3:$K5710,원본명단!$K5710)=1)),"첫 건","중복 건")))</f>
        <v/>
      </c>
      <c r="J5711" s="11" t="str">
        <f aca="false">IF($A5711="","",IF($H5711="-","유지",IF($I5711="첫 건","유지","확인 필요")))</f>
        <v/>
      </c>
    </row>
    <row r="5712" customFormat="false" ht="15" hidden="false" customHeight="true" outlineLevel="0" collapsed="false">
      <c r="A5712" s="11" t="str">
        <f aca="false">IF(원본명단!$A5711="","",5709)</f>
        <v/>
      </c>
      <c r="B5712" s="12" t="str">
        <f aca="false">IF($A5712="","",원본명단!$A5711)</f>
        <v/>
      </c>
      <c r="C5712" s="12" t="str">
        <f aca="false">IF($A5712="","",원본명단!$B5711)</f>
        <v/>
      </c>
      <c r="D5712" s="12" t="str">
        <f aca="false">IF($A5712="","",원본명단!$D5711)</f>
        <v/>
      </c>
      <c r="E5712" s="11" t="str">
        <f aca="false">IF($A5712="","",IF(원본명단!$H5711="",0,COUNTIF(원본명단!$H$3:$H$6002,원본명단!$H5711)))</f>
        <v/>
      </c>
      <c r="F5712" s="11" t="str">
        <f aca="false">IF($A5712="","",IF(원본명단!$I5711="",0,COUNTIF(원본명단!$I$3:$I$6002,원본명단!$I5711)))</f>
        <v/>
      </c>
      <c r="G5712" s="11" t="str">
        <f aca="false">IF($A5712="","",IF(원본명단!$K5711="",0,COUNTIF(원본명단!$K$3:$K$6002,원본명단!$K5711)))</f>
        <v/>
      </c>
      <c r="H5712" s="11" t="str">
        <f aca="false">IF($A5712="","",IF(MAX($E5712,$F5712,$G5712)&gt;1,"중복","-"))</f>
        <v/>
      </c>
      <c r="I5712" s="11" t="str">
        <f aca="false">IF($A5712="","",IF($H5712="-","-",IF(AND(IF(원본명단!$H5711="",TRUE(),COUNTIF(원본명단!$H$3:$H5711,원본명단!$H5711)=1),IF(원본명단!$I5711="",TRUE(),COUNTIF(원본명단!$I$3:$I5711,원본명단!$I5711)=1),IF(원본명단!$K5711="",TRUE(),COUNTIF(원본명단!$K$3:$K5711,원본명단!$K5711)=1)),"첫 건","중복 건")))</f>
        <v/>
      </c>
      <c r="J5712" s="11" t="str">
        <f aca="false">IF($A5712="","",IF($H5712="-","유지",IF($I5712="첫 건","유지","확인 필요")))</f>
        <v/>
      </c>
    </row>
    <row r="5713" customFormat="false" ht="15" hidden="false" customHeight="true" outlineLevel="0" collapsed="false">
      <c r="A5713" s="11" t="str">
        <f aca="false">IF(원본명단!$A5712="","",5710)</f>
        <v/>
      </c>
      <c r="B5713" s="12" t="str">
        <f aca="false">IF($A5713="","",원본명단!$A5712)</f>
        <v/>
      </c>
      <c r="C5713" s="12" t="str">
        <f aca="false">IF($A5713="","",원본명단!$B5712)</f>
        <v/>
      </c>
      <c r="D5713" s="12" t="str">
        <f aca="false">IF($A5713="","",원본명단!$D5712)</f>
        <v/>
      </c>
      <c r="E5713" s="11" t="str">
        <f aca="false">IF($A5713="","",IF(원본명단!$H5712="",0,COUNTIF(원본명단!$H$3:$H$6002,원본명단!$H5712)))</f>
        <v/>
      </c>
      <c r="F5713" s="11" t="str">
        <f aca="false">IF($A5713="","",IF(원본명단!$I5712="",0,COUNTIF(원본명단!$I$3:$I$6002,원본명단!$I5712)))</f>
        <v/>
      </c>
      <c r="G5713" s="11" t="str">
        <f aca="false">IF($A5713="","",IF(원본명단!$K5712="",0,COUNTIF(원본명단!$K$3:$K$6002,원본명단!$K5712)))</f>
        <v/>
      </c>
      <c r="H5713" s="11" t="str">
        <f aca="false">IF($A5713="","",IF(MAX($E5713,$F5713,$G5713)&gt;1,"중복","-"))</f>
        <v/>
      </c>
      <c r="I5713" s="11" t="str">
        <f aca="false">IF($A5713="","",IF($H5713="-","-",IF(AND(IF(원본명단!$H5712="",TRUE(),COUNTIF(원본명단!$H$3:$H5712,원본명단!$H5712)=1),IF(원본명단!$I5712="",TRUE(),COUNTIF(원본명단!$I$3:$I5712,원본명단!$I5712)=1),IF(원본명단!$K5712="",TRUE(),COUNTIF(원본명단!$K$3:$K5712,원본명단!$K5712)=1)),"첫 건","중복 건")))</f>
        <v/>
      </c>
      <c r="J5713" s="11" t="str">
        <f aca="false">IF($A5713="","",IF($H5713="-","유지",IF($I5713="첫 건","유지","확인 필요")))</f>
        <v/>
      </c>
    </row>
    <row r="5714" customFormat="false" ht="15" hidden="false" customHeight="true" outlineLevel="0" collapsed="false">
      <c r="A5714" s="11" t="str">
        <f aca="false">IF(원본명단!$A5713="","",5711)</f>
        <v/>
      </c>
      <c r="B5714" s="12" t="str">
        <f aca="false">IF($A5714="","",원본명단!$A5713)</f>
        <v/>
      </c>
      <c r="C5714" s="12" t="str">
        <f aca="false">IF($A5714="","",원본명단!$B5713)</f>
        <v/>
      </c>
      <c r="D5714" s="12" t="str">
        <f aca="false">IF($A5714="","",원본명단!$D5713)</f>
        <v/>
      </c>
      <c r="E5714" s="11" t="str">
        <f aca="false">IF($A5714="","",IF(원본명단!$H5713="",0,COUNTIF(원본명단!$H$3:$H$6002,원본명단!$H5713)))</f>
        <v/>
      </c>
      <c r="F5714" s="11" t="str">
        <f aca="false">IF($A5714="","",IF(원본명단!$I5713="",0,COUNTIF(원본명단!$I$3:$I$6002,원본명단!$I5713)))</f>
        <v/>
      </c>
      <c r="G5714" s="11" t="str">
        <f aca="false">IF($A5714="","",IF(원본명단!$K5713="",0,COUNTIF(원본명단!$K$3:$K$6002,원본명단!$K5713)))</f>
        <v/>
      </c>
      <c r="H5714" s="11" t="str">
        <f aca="false">IF($A5714="","",IF(MAX($E5714,$F5714,$G5714)&gt;1,"중복","-"))</f>
        <v/>
      </c>
      <c r="I5714" s="11" t="str">
        <f aca="false">IF($A5714="","",IF($H5714="-","-",IF(AND(IF(원본명단!$H5713="",TRUE(),COUNTIF(원본명단!$H$3:$H5713,원본명단!$H5713)=1),IF(원본명단!$I5713="",TRUE(),COUNTIF(원본명단!$I$3:$I5713,원본명단!$I5713)=1),IF(원본명단!$K5713="",TRUE(),COUNTIF(원본명단!$K$3:$K5713,원본명단!$K5713)=1)),"첫 건","중복 건")))</f>
        <v/>
      </c>
      <c r="J5714" s="11" t="str">
        <f aca="false">IF($A5714="","",IF($H5714="-","유지",IF($I5714="첫 건","유지","확인 필요")))</f>
        <v/>
      </c>
    </row>
    <row r="5715" customFormat="false" ht="15" hidden="false" customHeight="true" outlineLevel="0" collapsed="false">
      <c r="A5715" s="11" t="str">
        <f aca="false">IF(원본명단!$A5714="","",5712)</f>
        <v/>
      </c>
      <c r="B5715" s="12" t="str">
        <f aca="false">IF($A5715="","",원본명단!$A5714)</f>
        <v/>
      </c>
      <c r="C5715" s="12" t="str">
        <f aca="false">IF($A5715="","",원본명단!$B5714)</f>
        <v/>
      </c>
      <c r="D5715" s="12" t="str">
        <f aca="false">IF($A5715="","",원본명단!$D5714)</f>
        <v/>
      </c>
      <c r="E5715" s="11" t="str">
        <f aca="false">IF($A5715="","",IF(원본명단!$H5714="",0,COUNTIF(원본명단!$H$3:$H$6002,원본명단!$H5714)))</f>
        <v/>
      </c>
      <c r="F5715" s="11" t="str">
        <f aca="false">IF($A5715="","",IF(원본명단!$I5714="",0,COUNTIF(원본명단!$I$3:$I$6002,원본명단!$I5714)))</f>
        <v/>
      </c>
      <c r="G5715" s="11" t="str">
        <f aca="false">IF($A5715="","",IF(원본명단!$K5714="",0,COUNTIF(원본명단!$K$3:$K$6002,원본명단!$K5714)))</f>
        <v/>
      </c>
      <c r="H5715" s="11" t="str">
        <f aca="false">IF($A5715="","",IF(MAX($E5715,$F5715,$G5715)&gt;1,"중복","-"))</f>
        <v/>
      </c>
      <c r="I5715" s="11" t="str">
        <f aca="false">IF($A5715="","",IF($H5715="-","-",IF(AND(IF(원본명단!$H5714="",TRUE(),COUNTIF(원본명단!$H$3:$H5714,원본명단!$H5714)=1),IF(원본명단!$I5714="",TRUE(),COUNTIF(원본명단!$I$3:$I5714,원본명단!$I5714)=1),IF(원본명단!$K5714="",TRUE(),COUNTIF(원본명단!$K$3:$K5714,원본명단!$K5714)=1)),"첫 건","중복 건")))</f>
        <v/>
      </c>
      <c r="J5715" s="11" t="str">
        <f aca="false">IF($A5715="","",IF($H5715="-","유지",IF($I5715="첫 건","유지","확인 필요")))</f>
        <v/>
      </c>
    </row>
    <row r="5716" customFormat="false" ht="15" hidden="false" customHeight="true" outlineLevel="0" collapsed="false">
      <c r="A5716" s="11" t="str">
        <f aca="false">IF(원본명단!$A5715="","",5713)</f>
        <v/>
      </c>
      <c r="B5716" s="12" t="str">
        <f aca="false">IF($A5716="","",원본명단!$A5715)</f>
        <v/>
      </c>
      <c r="C5716" s="12" t="str">
        <f aca="false">IF($A5716="","",원본명단!$B5715)</f>
        <v/>
      </c>
      <c r="D5716" s="12" t="str">
        <f aca="false">IF($A5716="","",원본명단!$D5715)</f>
        <v/>
      </c>
      <c r="E5716" s="11" t="str">
        <f aca="false">IF($A5716="","",IF(원본명단!$H5715="",0,COUNTIF(원본명단!$H$3:$H$6002,원본명단!$H5715)))</f>
        <v/>
      </c>
      <c r="F5716" s="11" t="str">
        <f aca="false">IF($A5716="","",IF(원본명단!$I5715="",0,COUNTIF(원본명단!$I$3:$I$6002,원본명단!$I5715)))</f>
        <v/>
      </c>
      <c r="G5716" s="11" t="str">
        <f aca="false">IF($A5716="","",IF(원본명단!$K5715="",0,COUNTIF(원본명단!$K$3:$K$6002,원본명단!$K5715)))</f>
        <v/>
      </c>
      <c r="H5716" s="11" t="str">
        <f aca="false">IF($A5716="","",IF(MAX($E5716,$F5716,$G5716)&gt;1,"중복","-"))</f>
        <v/>
      </c>
      <c r="I5716" s="11" t="str">
        <f aca="false">IF($A5716="","",IF($H5716="-","-",IF(AND(IF(원본명단!$H5715="",TRUE(),COUNTIF(원본명단!$H$3:$H5715,원본명단!$H5715)=1),IF(원본명단!$I5715="",TRUE(),COUNTIF(원본명단!$I$3:$I5715,원본명단!$I5715)=1),IF(원본명단!$K5715="",TRUE(),COUNTIF(원본명단!$K$3:$K5715,원본명단!$K5715)=1)),"첫 건","중복 건")))</f>
        <v/>
      </c>
      <c r="J5716" s="11" t="str">
        <f aca="false">IF($A5716="","",IF($H5716="-","유지",IF($I5716="첫 건","유지","확인 필요")))</f>
        <v/>
      </c>
    </row>
    <row r="5717" customFormat="false" ht="15" hidden="false" customHeight="true" outlineLevel="0" collapsed="false">
      <c r="A5717" s="11" t="str">
        <f aca="false">IF(원본명단!$A5716="","",5714)</f>
        <v/>
      </c>
      <c r="B5717" s="12" t="str">
        <f aca="false">IF($A5717="","",원본명단!$A5716)</f>
        <v/>
      </c>
      <c r="C5717" s="12" t="str">
        <f aca="false">IF($A5717="","",원본명단!$B5716)</f>
        <v/>
      </c>
      <c r="D5717" s="12" t="str">
        <f aca="false">IF($A5717="","",원본명단!$D5716)</f>
        <v/>
      </c>
      <c r="E5717" s="11" t="str">
        <f aca="false">IF($A5717="","",IF(원본명단!$H5716="",0,COUNTIF(원본명단!$H$3:$H$6002,원본명단!$H5716)))</f>
        <v/>
      </c>
      <c r="F5717" s="11" t="str">
        <f aca="false">IF($A5717="","",IF(원본명단!$I5716="",0,COUNTIF(원본명단!$I$3:$I$6002,원본명단!$I5716)))</f>
        <v/>
      </c>
      <c r="G5717" s="11" t="str">
        <f aca="false">IF($A5717="","",IF(원본명단!$K5716="",0,COUNTIF(원본명단!$K$3:$K$6002,원본명단!$K5716)))</f>
        <v/>
      </c>
      <c r="H5717" s="11" t="str">
        <f aca="false">IF($A5717="","",IF(MAX($E5717,$F5717,$G5717)&gt;1,"중복","-"))</f>
        <v/>
      </c>
      <c r="I5717" s="11" t="str">
        <f aca="false">IF($A5717="","",IF($H5717="-","-",IF(AND(IF(원본명단!$H5716="",TRUE(),COUNTIF(원본명단!$H$3:$H5716,원본명단!$H5716)=1),IF(원본명단!$I5716="",TRUE(),COUNTIF(원본명단!$I$3:$I5716,원본명단!$I5716)=1),IF(원본명단!$K5716="",TRUE(),COUNTIF(원본명단!$K$3:$K5716,원본명단!$K5716)=1)),"첫 건","중복 건")))</f>
        <v/>
      </c>
      <c r="J5717" s="11" t="str">
        <f aca="false">IF($A5717="","",IF($H5717="-","유지",IF($I5717="첫 건","유지","확인 필요")))</f>
        <v/>
      </c>
    </row>
    <row r="5718" customFormat="false" ht="15" hidden="false" customHeight="true" outlineLevel="0" collapsed="false">
      <c r="A5718" s="11" t="str">
        <f aca="false">IF(원본명단!$A5717="","",5715)</f>
        <v/>
      </c>
      <c r="B5718" s="12" t="str">
        <f aca="false">IF($A5718="","",원본명단!$A5717)</f>
        <v/>
      </c>
      <c r="C5718" s="12" t="str">
        <f aca="false">IF($A5718="","",원본명단!$B5717)</f>
        <v/>
      </c>
      <c r="D5718" s="12" t="str">
        <f aca="false">IF($A5718="","",원본명단!$D5717)</f>
        <v/>
      </c>
      <c r="E5718" s="11" t="str">
        <f aca="false">IF($A5718="","",IF(원본명단!$H5717="",0,COUNTIF(원본명단!$H$3:$H$6002,원본명단!$H5717)))</f>
        <v/>
      </c>
      <c r="F5718" s="11" t="str">
        <f aca="false">IF($A5718="","",IF(원본명단!$I5717="",0,COUNTIF(원본명단!$I$3:$I$6002,원본명단!$I5717)))</f>
        <v/>
      </c>
      <c r="G5718" s="11" t="str">
        <f aca="false">IF($A5718="","",IF(원본명단!$K5717="",0,COUNTIF(원본명단!$K$3:$K$6002,원본명단!$K5717)))</f>
        <v/>
      </c>
      <c r="H5718" s="11" t="str">
        <f aca="false">IF($A5718="","",IF(MAX($E5718,$F5718,$G5718)&gt;1,"중복","-"))</f>
        <v/>
      </c>
      <c r="I5718" s="11" t="str">
        <f aca="false">IF($A5718="","",IF($H5718="-","-",IF(AND(IF(원본명단!$H5717="",TRUE(),COUNTIF(원본명단!$H$3:$H5717,원본명단!$H5717)=1),IF(원본명단!$I5717="",TRUE(),COUNTIF(원본명단!$I$3:$I5717,원본명단!$I5717)=1),IF(원본명단!$K5717="",TRUE(),COUNTIF(원본명단!$K$3:$K5717,원본명단!$K5717)=1)),"첫 건","중복 건")))</f>
        <v/>
      </c>
      <c r="J5718" s="11" t="str">
        <f aca="false">IF($A5718="","",IF($H5718="-","유지",IF($I5718="첫 건","유지","확인 필요")))</f>
        <v/>
      </c>
    </row>
    <row r="5719" customFormat="false" ht="15" hidden="false" customHeight="true" outlineLevel="0" collapsed="false">
      <c r="A5719" s="11" t="str">
        <f aca="false">IF(원본명단!$A5718="","",5716)</f>
        <v/>
      </c>
      <c r="B5719" s="12" t="str">
        <f aca="false">IF($A5719="","",원본명단!$A5718)</f>
        <v/>
      </c>
      <c r="C5719" s="12" t="str">
        <f aca="false">IF($A5719="","",원본명단!$B5718)</f>
        <v/>
      </c>
      <c r="D5719" s="12" t="str">
        <f aca="false">IF($A5719="","",원본명단!$D5718)</f>
        <v/>
      </c>
      <c r="E5719" s="11" t="str">
        <f aca="false">IF($A5719="","",IF(원본명단!$H5718="",0,COUNTIF(원본명단!$H$3:$H$6002,원본명단!$H5718)))</f>
        <v/>
      </c>
      <c r="F5719" s="11" t="str">
        <f aca="false">IF($A5719="","",IF(원본명단!$I5718="",0,COUNTIF(원본명단!$I$3:$I$6002,원본명단!$I5718)))</f>
        <v/>
      </c>
      <c r="G5719" s="11" t="str">
        <f aca="false">IF($A5719="","",IF(원본명단!$K5718="",0,COUNTIF(원본명단!$K$3:$K$6002,원본명단!$K5718)))</f>
        <v/>
      </c>
      <c r="H5719" s="11" t="str">
        <f aca="false">IF($A5719="","",IF(MAX($E5719,$F5719,$G5719)&gt;1,"중복","-"))</f>
        <v/>
      </c>
      <c r="I5719" s="11" t="str">
        <f aca="false">IF($A5719="","",IF($H5719="-","-",IF(AND(IF(원본명단!$H5718="",TRUE(),COUNTIF(원본명단!$H$3:$H5718,원본명단!$H5718)=1),IF(원본명단!$I5718="",TRUE(),COUNTIF(원본명단!$I$3:$I5718,원본명단!$I5718)=1),IF(원본명단!$K5718="",TRUE(),COUNTIF(원본명단!$K$3:$K5718,원본명단!$K5718)=1)),"첫 건","중복 건")))</f>
        <v/>
      </c>
      <c r="J5719" s="11" t="str">
        <f aca="false">IF($A5719="","",IF($H5719="-","유지",IF($I5719="첫 건","유지","확인 필요")))</f>
        <v/>
      </c>
    </row>
    <row r="5720" customFormat="false" ht="15" hidden="false" customHeight="true" outlineLevel="0" collapsed="false">
      <c r="A5720" s="11" t="str">
        <f aca="false">IF(원본명단!$A5719="","",5717)</f>
        <v/>
      </c>
      <c r="B5720" s="12" t="str">
        <f aca="false">IF($A5720="","",원본명단!$A5719)</f>
        <v/>
      </c>
      <c r="C5720" s="12" t="str">
        <f aca="false">IF($A5720="","",원본명단!$B5719)</f>
        <v/>
      </c>
      <c r="D5720" s="12" t="str">
        <f aca="false">IF($A5720="","",원본명단!$D5719)</f>
        <v/>
      </c>
      <c r="E5720" s="11" t="str">
        <f aca="false">IF($A5720="","",IF(원본명단!$H5719="",0,COUNTIF(원본명단!$H$3:$H$6002,원본명단!$H5719)))</f>
        <v/>
      </c>
      <c r="F5720" s="11" t="str">
        <f aca="false">IF($A5720="","",IF(원본명단!$I5719="",0,COUNTIF(원본명단!$I$3:$I$6002,원본명단!$I5719)))</f>
        <v/>
      </c>
      <c r="G5720" s="11" t="str">
        <f aca="false">IF($A5720="","",IF(원본명단!$K5719="",0,COUNTIF(원본명단!$K$3:$K$6002,원본명단!$K5719)))</f>
        <v/>
      </c>
      <c r="H5720" s="11" t="str">
        <f aca="false">IF($A5720="","",IF(MAX($E5720,$F5720,$G5720)&gt;1,"중복","-"))</f>
        <v/>
      </c>
      <c r="I5720" s="11" t="str">
        <f aca="false">IF($A5720="","",IF($H5720="-","-",IF(AND(IF(원본명단!$H5719="",TRUE(),COUNTIF(원본명단!$H$3:$H5719,원본명단!$H5719)=1),IF(원본명단!$I5719="",TRUE(),COUNTIF(원본명단!$I$3:$I5719,원본명단!$I5719)=1),IF(원본명단!$K5719="",TRUE(),COUNTIF(원본명단!$K$3:$K5719,원본명단!$K5719)=1)),"첫 건","중복 건")))</f>
        <v/>
      </c>
      <c r="J5720" s="11" t="str">
        <f aca="false">IF($A5720="","",IF($H5720="-","유지",IF($I5720="첫 건","유지","확인 필요")))</f>
        <v/>
      </c>
    </row>
    <row r="5721" customFormat="false" ht="15" hidden="false" customHeight="true" outlineLevel="0" collapsed="false">
      <c r="A5721" s="11" t="str">
        <f aca="false">IF(원본명단!$A5720="","",5718)</f>
        <v/>
      </c>
      <c r="B5721" s="12" t="str">
        <f aca="false">IF($A5721="","",원본명단!$A5720)</f>
        <v/>
      </c>
      <c r="C5721" s="12" t="str">
        <f aca="false">IF($A5721="","",원본명단!$B5720)</f>
        <v/>
      </c>
      <c r="D5721" s="12" t="str">
        <f aca="false">IF($A5721="","",원본명단!$D5720)</f>
        <v/>
      </c>
      <c r="E5721" s="11" t="str">
        <f aca="false">IF($A5721="","",IF(원본명단!$H5720="",0,COUNTIF(원본명단!$H$3:$H$6002,원본명단!$H5720)))</f>
        <v/>
      </c>
      <c r="F5721" s="11" t="str">
        <f aca="false">IF($A5721="","",IF(원본명단!$I5720="",0,COUNTIF(원본명단!$I$3:$I$6002,원본명단!$I5720)))</f>
        <v/>
      </c>
      <c r="G5721" s="11" t="str">
        <f aca="false">IF($A5721="","",IF(원본명단!$K5720="",0,COUNTIF(원본명단!$K$3:$K$6002,원본명단!$K5720)))</f>
        <v/>
      </c>
      <c r="H5721" s="11" t="str">
        <f aca="false">IF($A5721="","",IF(MAX($E5721,$F5721,$G5721)&gt;1,"중복","-"))</f>
        <v/>
      </c>
      <c r="I5721" s="11" t="str">
        <f aca="false">IF($A5721="","",IF($H5721="-","-",IF(AND(IF(원본명단!$H5720="",TRUE(),COUNTIF(원본명단!$H$3:$H5720,원본명단!$H5720)=1),IF(원본명단!$I5720="",TRUE(),COUNTIF(원본명단!$I$3:$I5720,원본명단!$I5720)=1),IF(원본명단!$K5720="",TRUE(),COUNTIF(원본명단!$K$3:$K5720,원본명단!$K5720)=1)),"첫 건","중복 건")))</f>
        <v/>
      </c>
      <c r="J5721" s="11" t="str">
        <f aca="false">IF($A5721="","",IF($H5721="-","유지",IF($I5721="첫 건","유지","확인 필요")))</f>
        <v/>
      </c>
    </row>
    <row r="5722" customFormat="false" ht="15" hidden="false" customHeight="true" outlineLevel="0" collapsed="false">
      <c r="A5722" s="11" t="str">
        <f aca="false">IF(원본명단!$A5721="","",5719)</f>
        <v/>
      </c>
      <c r="B5722" s="12" t="str">
        <f aca="false">IF($A5722="","",원본명단!$A5721)</f>
        <v/>
      </c>
      <c r="C5722" s="12" t="str">
        <f aca="false">IF($A5722="","",원본명단!$B5721)</f>
        <v/>
      </c>
      <c r="D5722" s="12" t="str">
        <f aca="false">IF($A5722="","",원본명단!$D5721)</f>
        <v/>
      </c>
      <c r="E5722" s="11" t="str">
        <f aca="false">IF($A5722="","",IF(원본명단!$H5721="",0,COUNTIF(원본명단!$H$3:$H$6002,원본명단!$H5721)))</f>
        <v/>
      </c>
      <c r="F5722" s="11" t="str">
        <f aca="false">IF($A5722="","",IF(원본명단!$I5721="",0,COUNTIF(원본명단!$I$3:$I$6002,원본명단!$I5721)))</f>
        <v/>
      </c>
      <c r="G5722" s="11" t="str">
        <f aca="false">IF($A5722="","",IF(원본명단!$K5721="",0,COUNTIF(원본명단!$K$3:$K$6002,원본명단!$K5721)))</f>
        <v/>
      </c>
      <c r="H5722" s="11" t="str">
        <f aca="false">IF($A5722="","",IF(MAX($E5722,$F5722,$G5722)&gt;1,"중복","-"))</f>
        <v/>
      </c>
      <c r="I5722" s="11" t="str">
        <f aca="false">IF($A5722="","",IF($H5722="-","-",IF(AND(IF(원본명단!$H5721="",TRUE(),COUNTIF(원본명단!$H$3:$H5721,원본명단!$H5721)=1),IF(원본명단!$I5721="",TRUE(),COUNTIF(원본명단!$I$3:$I5721,원본명단!$I5721)=1),IF(원본명단!$K5721="",TRUE(),COUNTIF(원본명단!$K$3:$K5721,원본명단!$K5721)=1)),"첫 건","중복 건")))</f>
        <v/>
      </c>
      <c r="J5722" s="11" t="str">
        <f aca="false">IF($A5722="","",IF($H5722="-","유지",IF($I5722="첫 건","유지","확인 필요")))</f>
        <v/>
      </c>
    </row>
    <row r="5723" customFormat="false" ht="15" hidden="false" customHeight="true" outlineLevel="0" collapsed="false">
      <c r="A5723" s="11" t="str">
        <f aca="false">IF(원본명단!$A5722="","",5720)</f>
        <v/>
      </c>
      <c r="B5723" s="12" t="str">
        <f aca="false">IF($A5723="","",원본명단!$A5722)</f>
        <v/>
      </c>
      <c r="C5723" s="12" t="str">
        <f aca="false">IF($A5723="","",원본명단!$B5722)</f>
        <v/>
      </c>
      <c r="D5723" s="12" t="str">
        <f aca="false">IF($A5723="","",원본명단!$D5722)</f>
        <v/>
      </c>
      <c r="E5723" s="11" t="str">
        <f aca="false">IF($A5723="","",IF(원본명단!$H5722="",0,COUNTIF(원본명단!$H$3:$H$6002,원본명단!$H5722)))</f>
        <v/>
      </c>
      <c r="F5723" s="11" t="str">
        <f aca="false">IF($A5723="","",IF(원본명단!$I5722="",0,COUNTIF(원본명단!$I$3:$I$6002,원본명단!$I5722)))</f>
        <v/>
      </c>
      <c r="G5723" s="11" t="str">
        <f aca="false">IF($A5723="","",IF(원본명단!$K5722="",0,COUNTIF(원본명단!$K$3:$K$6002,원본명단!$K5722)))</f>
        <v/>
      </c>
      <c r="H5723" s="11" t="str">
        <f aca="false">IF($A5723="","",IF(MAX($E5723,$F5723,$G5723)&gt;1,"중복","-"))</f>
        <v/>
      </c>
      <c r="I5723" s="11" t="str">
        <f aca="false">IF($A5723="","",IF($H5723="-","-",IF(AND(IF(원본명단!$H5722="",TRUE(),COUNTIF(원본명단!$H$3:$H5722,원본명단!$H5722)=1),IF(원본명단!$I5722="",TRUE(),COUNTIF(원본명단!$I$3:$I5722,원본명단!$I5722)=1),IF(원본명단!$K5722="",TRUE(),COUNTIF(원본명단!$K$3:$K5722,원본명단!$K5722)=1)),"첫 건","중복 건")))</f>
        <v/>
      </c>
      <c r="J5723" s="11" t="str">
        <f aca="false">IF($A5723="","",IF($H5723="-","유지",IF($I5723="첫 건","유지","확인 필요")))</f>
        <v/>
      </c>
    </row>
    <row r="5724" customFormat="false" ht="15" hidden="false" customHeight="true" outlineLevel="0" collapsed="false">
      <c r="A5724" s="11" t="str">
        <f aca="false">IF(원본명단!$A5723="","",5721)</f>
        <v/>
      </c>
      <c r="B5724" s="12" t="str">
        <f aca="false">IF($A5724="","",원본명단!$A5723)</f>
        <v/>
      </c>
      <c r="C5724" s="12" t="str">
        <f aca="false">IF($A5724="","",원본명단!$B5723)</f>
        <v/>
      </c>
      <c r="D5724" s="12" t="str">
        <f aca="false">IF($A5724="","",원본명단!$D5723)</f>
        <v/>
      </c>
      <c r="E5724" s="11" t="str">
        <f aca="false">IF($A5724="","",IF(원본명단!$H5723="",0,COUNTIF(원본명단!$H$3:$H$6002,원본명단!$H5723)))</f>
        <v/>
      </c>
      <c r="F5724" s="11" t="str">
        <f aca="false">IF($A5724="","",IF(원본명단!$I5723="",0,COUNTIF(원본명단!$I$3:$I$6002,원본명단!$I5723)))</f>
        <v/>
      </c>
      <c r="G5724" s="11" t="str">
        <f aca="false">IF($A5724="","",IF(원본명단!$K5723="",0,COUNTIF(원본명단!$K$3:$K$6002,원본명단!$K5723)))</f>
        <v/>
      </c>
      <c r="H5724" s="11" t="str">
        <f aca="false">IF($A5724="","",IF(MAX($E5724,$F5724,$G5724)&gt;1,"중복","-"))</f>
        <v/>
      </c>
      <c r="I5724" s="11" t="str">
        <f aca="false">IF($A5724="","",IF($H5724="-","-",IF(AND(IF(원본명단!$H5723="",TRUE(),COUNTIF(원본명단!$H$3:$H5723,원본명단!$H5723)=1),IF(원본명단!$I5723="",TRUE(),COUNTIF(원본명단!$I$3:$I5723,원본명단!$I5723)=1),IF(원본명단!$K5723="",TRUE(),COUNTIF(원본명단!$K$3:$K5723,원본명단!$K5723)=1)),"첫 건","중복 건")))</f>
        <v/>
      </c>
      <c r="J5724" s="11" t="str">
        <f aca="false">IF($A5724="","",IF($H5724="-","유지",IF($I5724="첫 건","유지","확인 필요")))</f>
        <v/>
      </c>
    </row>
    <row r="5725" customFormat="false" ht="15" hidden="false" customHeight="true" outlineLevel="0" collapsed="false">
      <c r="A5725" s="11" t="str">
        <f aca="false">IF(원본명단!$A5724="","",5722)</f>
        <v/>
      </c>
      <c r="B5725" s="12" t="str">
        <f aca="false">IF($A5725="","",원본명단!$A5724)</f>
        <v/>
      </c>
      <c r="C5725" s="12" t="str">
        <f aca="false">IF($A5725="","",원본명단!$B5724)</f>
        <v/>
      </c>
      <c r="D5725" s="12" t="str">
        <f aca="false">IF($A5725="","",원본명단!$D5724)</f>
        <v/>
      </c>
      <c r="E5725" s="11" t="str">
        <f aca="false">IF($A5725="","",IF(원본명단!$H5724="",0,COUNTIF(원본명단!$H$3:$H$6002,원본명단!$H5724)))</f>
        <v/>
      </c>
      <c r="F5725" s="11" t="str">
        <f aca="false">IF($A5725="","",IF(원본명단!$I5724="",0,COUNTIF(원본명단!$I$3:$I$6002,원본명단!$I5724)))</f>
        <v/>
      </c>
      <c r="G5725" s="11" t="str">
        <f aca="false">IF($A5725="","",IF(원본명단!$K5724="",0,COUNTIF(원본명단!$K$3:$K$6002,원본명단!$K5724)))</f>
        <v/>
      </c>
      <c r="H5725" s="11" t="str">
        <f aca="false">IF($A5725="","",IF(MAX($E5725,$F5725,$G5725)&gt;1,"중복","-"))</f>
        <v/>
      </c>
      <c r="I5725" s="11" t="str">
        <f aca="false">IF($A5725="","",IF($H5725="-","-",IF(AND(IF(원본명단!$H5724="",TRUE(),COUNTIF(원본명단!$H$3:$H5724,원본명단!$H5724)=1),IF(원본명단!$I5724="",TRUE(),COUNTIF(원본명단!$I$3:$I5724,원본명단!$I5724)=1),IF(원본명단!$K5724="",TRUE(),COUNTIF(원본명단!$K$3:$K5724,원본명단!$K5724)=1)),"첫 건","중복 건")))</f>
        <v/>
      </c>
      <c r="J5725" s="11" t="str">
        <f aca="false">IF($A5725="","",IF($H5725="-","유지",IF($I5725="첫 건","유지","확인 필요")))</f>
        <v/>
      </c>
    </row>
    <row r="5726" customFormat="false" ht="15" hidden="false" customHeight="true" outlineLevel="0" collapsed="false">
      <c r="A5726" s="11" t="str">
        <f aca="false">IF(원본명단!$A5725="","",5723)</f>
        <v/>
      </c>
      <c r="B5726" s="12" t="str">
        <f aca="false">IF($A5726="","",원본명단!$A5725)</f>
        <v/>
      </c>
      <c r="C5726" s="12" t="str">
        <f aca="false">IF($A5726="","",원본명단!$B5725)</f>
        <v/>
      </c>
      <c r="D5726" s="12" t="str">
        <f aca="false">IF($A5726="","",원본명단!$D5725)</f>
        <v/>
      </c>
      <c r="E5726" s="11" t="str">
        <f aca="false">IF($A5726="","",IF(원본명단!$H5725="",0,COUNTIF(원본명단!$H$3:$H$6002,원본명단!$H5725)))</f>
        <v/>
      </c>
      <c r="F5726" s="11" t="str">
        <f aca="false">IF($A5726="","",IF(원본명단!$I5725="",0,COUNTIF(원본명단!$I$3:$I$6002,원본명단!$I5725)))</f>
        <v/>
      </c>
      <c r="G5726" s="11" t="str">
        <f aca="false">IF($A5726="","",IF(원본명단!$K5725="",0,COUNTIF(원본명단!$K$3:$K$6002,원본명단!$K5725)))</f>
        <v/>
      </c>
      <c r="H5726" s="11" t="str">
        <f aca="false">IF($A5726="","",IF(MAX($E5726,$F5726,$G5726)&gt;1,"중복","-"))</f>
        <v/>
      </c>
      <c r="I5726" s="11" t="str">
        <f aca="false">IF($A5726="","",IF($H5726="-","-",IF(AND(IF(원본명단!$H5725="",TRUE(),COUNTIF(원본명단!$H$3:$H5725,원본명단!$H5725)=1),IF(원본명단!$I5725="",TRUE(),COUNTIF(원본명단!$I$3:$I5725,원본명단!$I5725)=1),IF(원본명단!$K5725="",TRUE(),COUNTIF(원본명단!$K$3:$K5725,원본명단!$K5725)=1)),"첫 건","중복 건")))</f>
        <v/>
      </c>
      <c r="J5726" s="11" t="str">
        <f aca="false">IF($A5726="","",IF($H5726="-","유지",IF($I5726="첫 건","유지","확인 필요")))</f>
        <v/>
      </c>
    </row>
    <row r="5727" customFormat="false" ht="15" hidden="false" customHeight="true" outlineLevel="0" collapsed="false">
      <c r="A5727" s="11" t="str">
        <f aca="false">IF(원본명단!$A5726="","",5724)</f>
        <v/>
      </c>
      <c r="B5727" s="12" t="str">
        <f aca="false">IF($A5727="","",원본명단!$A5726)</f>
        <v/>
      </c>
      <c r="C5727" s="12" t="str">
        <f aca="false">IF($A5727="","",원본명단!$B5726)</f>
        <v/>
      </c>
      <c r="D5727" s="12" t="str">
        <f aca="false">IF($A5727="","",원본명단!$D5726)</f>
        <v/>
      </c>
      <c r="E5727" s="11" t="str">
        <f aca="false">IF($A5727="","",IF(원본명단!$H5726="",0,COUNTIF(원본명단!$H$3:$H$6002,원본명단!$H5726)))</f>
        <v/>
      </c>
      <c r="F5727" s="11" t="str">
        <f aca="false">IF($A5727="","",IF(원본명단!$I5726="",0,COUNTIF(원본명단!$I$3:$I$6002,원본명단!$I5726)))</f>
        <v/>
      </c>
      <c r="G5727" s="11" t="str">
        <f aca="false">IF($A5727="","",IF(원본명단!$K5726="",0,COUNTIF(원본명단!$K$3:$K$6002,원본명단!$K5726)))</f>
        <v/>
      </c>
      <c r="H5727" s="11" t="str">
        <f aca="false">IF($A5727="","",IF(MAX($E5727,$F5727,$G5727)&gt;1,"중복","-"))</f>
        <v/>
      </c>
      <c r="I5727" s="11" t="str">
        <f aca="false">IF($A5727="","",IF($H5727="-","-",IF(AND(IF(원본명단!$H5726="",TRUE(),COUNTIF(원본명단!$H$3:$H5726,원본명단!$H5726)=1),IF(원본명단!$I5726="",TRUE(),COUNTIF(원본명단!$I$3:$I5726,원본명단!$I5726)=1),IF(원본명단!$K5726="",TRUE(),COUNTIF(원본명단!$K$3:$K5726,원본명단!$K5726)=1)),"첫 건","중복 건")))</f>
        <v/>
      </c>
      <c r="J5727" s="11" t="str">
        <f aca="false">IF($A5727="","",IF($H5727="-","유지",IF($I5727="첫 건","유지","확인 필요")))</f>
        <v/>
      </c>
    </row>
    <row r="5728" customFormat="false" ht="15" hidden="false" customHeight="true" outlineLevel="0" collapsed="false">
      <c r="A5728" s="11" t="str">
        <f aca="false">IF(원본명단!$A5727="","",5725)</f>
        <v/>
      </c>
      <c r="B5728" s="12" t="str">
        <f aca="false">IF($A5728="","",원본명단!$A5727)</f>
        <v/>
      </c>
      <c r="C5728" s="12" t="str">
        <f aca="false">IF($A5728="","",원본명단!$B5727)</f>
        <v/>
      </c>
      <c r="D5728" s="12" t="str">
        <f aca="false">IF($A5728="","",원본명단!$D5727)</f>
        <v/>
      </c>
      <c r="E5728" s="11" t="str">
        <f aca="false">IF($A5728="","",IF(원본명단!$H5727="",0,COUNTIF(원본명단!$H$3:$H$6002,원본명단!$H5727)))</f>
        <v/>
      </c>
      <c r="F5728" s="11" t="str">
        <f aca="false">IF($A5728="","",IF(원본명단!$I5727="",0,COUNTIF(원본명단!$I$3:$I$6002,원본명단!$I5727)))</f>
        <v/>
      </c>
      <c r="G5728" s="11" t="str">
        <f aca="false">IF($A5728="","",IF(원본명단!$K5727="",0,COUNTIF(원본명단!$K$3:$K$6002,원본명단!$K5727)))</f>
        <v/>
      </c>
      <c r="H5728" s="11" t="str">
        <f aca="false">IF($A5728="","",IF(MAX($E5728,$F5728,$G5728)&gt;1,"중복","-"))</f>
        <v/>
      </c>
      <c r="I5728" s="11" t="str">
        <f aca="false">IF($A5728="","",IF($H5728="-","-",IF(AND(IF(원본명단!$H5727="",TRUE(),COUNTIF(원본명단!$H$3:$H5727,원본명단!$H5727)=1),IF(원본명단!$I5727="",TRUE(),COUNTIF(원본명단!$I$3:$I5727,원본명단!$I5727)=1),IF(원본명단!$K5727="",TRUE(),COUNTIF(원본명단!$K$3:$K5727,원본명단!$K5727)=1)),"첫 건","중복 건")))</f>
        <v/>
      </c>
      <c r="J5728" s="11" t="str">
        <f aca="false">IF($A5728="","",IF($H5728="-","유지",IF($I5728="첫 건","유지","확인 필요")))</f>
        <v/>
      </c>
    </row>
    <row r="5729" customFormat="false" ht="15" hidden="false" customHeight="true" outlineLevel="0" collapsed="false">
      <c r="A5729" s="11" t="str">
        <f aca="false">IF(원본명단!$A5728="","",5726)</f>
        <v/>
      </c>
      <c r="B5729" s="12" t="str">
        <f aca="false">IF($A5729="","",원본명단!$A5728)</f>
        <v/>
      </c>
      <c r="C5729" s="12" t="str">
        <f aca="false">IF($A5729="","",원본명단!$B5728)</f>
        <v/>
      </c>
      <c r="D5729" s="12" t="str">
        <f aca="false">IF($A5729="","",원본명단!$D5728)</f>
        <v/>
      </c>
      <c r="E5729" s="11" t="str">
        <f aca="false">IF($A5729="","",IF(원본명단!$H5728="",0,COUNTIF(원본명단!$H$3:$H$6002,원본명단!$H5728)))</f>
        <v/>
      </c>
      <c r="F5729" s="11" t="str">
        <f aca="false">IF($A5729="","",IF(원본명단!$I5728="",0,COUNTIF(원본명단!$I$3:$I$6002,원본명단!$I5728)))</f>
        <v/>
      </c>
      <c r="G5729" s="11" t="str">
        <f aca="false">IF($A5729="","",IF(원본명단!$K5728="",0,COUNTIF(원본명단!$K$3:$K$6002,원본명단!$K5728)))</f>
        <v/>
      </c>
      <c r="H5729" s="11" t="str">
        <f aca="false">IF($A5729="","",IF(MAX($E5729,$F5729,$G5729)&gt;1,"중복","-"))</f>
        <v/>
      </c>
      <c r="I5729" s="11" t="str">
        <f aca="false">IF($A5729="","",IF($H5729="-","-",IF(AND(IF(원본명단!$H5728="",TRUE(),COUNTIF(원본명단!$H$3:$H5728,원본명단!$H5728)=1),IF(원본명단!$I5728="",TRUE(),COUNTIF(원본명단!$I$3:$I5728,원본명단!$I5728)=1),IF(원본명단!$K5728="",TRUE(),COUNTIF(원본명단!$K$3:$K5728,원본명단!$K5728)=1)),"첫 건","중복 건")))</f>
        <v/>
      </c>
      <c r="J5729" s="11" t="str">
        <f aca="false">IF($A5729="","",IF($H5729="-","유지",IF($I5729="첫 건","유지","확인 필요")))</f>
        <v/>
      </c>
    </row>
    <row r="5730" customFormat="false" ht="15" hidden="false" customHeight="true" outlineLevel="0" collapsed="false">
      <c r="A5730" s="11" t="str">
        <f aca="false">IF(원본명단!$A5729="","",5727)</f>
        <v/>
      </c>
      <c r="B5730" s="12" t="str">
        <f aca="false">IF($A5730="","",원본명단!$A5729)</f>
        <v/>
      </c>
      <c r="C5730" s="12" t="str">
        <f aca="false">IF($A5730="","",원본명단!$B5729)</f>
        <v/>
      </c>
      <c r="D5730" s="12" t="str">
        <f aca="false">IF($A5730="","",원본명단!$D5729)</f>
        <v/>
      </c>
      <c r="E5730" s="11" t="str">
        <f aca="false">IF($A5730="","",IF(원본명단!$H5729="",0,COUNTIF(원본명단!$H$3:$H$6002,원본명단!$H5729)))</f>
        <v/>
      </c>
      <c r="F5730" s="11" t="str">
        <f aca="false">IF($A5730="","",IF(원본명단!$I5729="",0,COUNTIF(원본명단!$I$3:$I$6002,원본명단!$I5729)))</f>
        <v/>
      </c>
      <c r="G5730" s="11" t="str">
        <f aca="false">IF($A5730="","",IF(원본명단!$K5729="",0,COUNTIF(원본명단!$K$3:$K$6002,원본명단!$K5729)))</f>
        <v/>
      </c>
      <c r="H5730" s="11" t="str">
        <f aca="false">IF($A5730="","",IF(MAX($E5730,$F5730,$G5730)&gt;1,"중복","-"))</f>
        <v/>
      </c>
      <c r="I5730" s="11" t="str">
        <f aca="false">IF($A5730="","",IF($H5730="-","-",IF(AND(IF(원본명단!$H5729="",TRUE(),COUNTIF(원본명단!$H$3:$H5729,원본명단!$H5729)=1),IF(원본명단!$I5729="",TRUE(),COUNTIF(원본명단!$I$3:$I5729,원본명단!$I5729)=1),IF(원본명단!$K5729="",TRUE(),COUNTIF(원본명단!$K$3:$K5729,원본명단!$K5729)=1)),"첫 건","중복 건")))</f>
        <v/>
      </c>
      <c r="J5730" s="11" t="str">
        <f aca="false">IF($A5730="","",IF($H5730="-","유지",IF($I5730="첫 건","유지","확인 필요")))</f>
        <v/>
      </c>
    </row>
    <row r="5731" customFormat="false" ht="15" hidden="false" customHeight="true" outlineLevel="0" collapsed="false">
      <c r="A5731" s="11" t="str">
        <f aca="false">IF(원본명단!$A5730="","",5728)</f>
        <v/>
      </c>
      <c r="B5731" s="12" t="str">
        <f aca="false">IF($A5731="","",원본명단!$A5730)</f>
        <v/>
      </c>
      <c r="C5731" s="12" t="str">
        <f aca="false">IF($A5731="","",원본명단!$B5730)</f>
        <v/>
      </c>
      <c r="D5731" s="12" t="str">
        <f aca="false">IF($A5731="","",원본명단!$D5730)</f>
        <v/>
      </c>
      <c r="E5731" s="11" t="str">
        <f aca="false">IF($A5731="","",IF(원본명단!$H5730="",0,COUNTIF(원본명단!$H$3:$H$6002,원본명단!$H5730)))</f>
        <v/>
      </c>
      <c r="F5731" s="11" t="str">
        <f aca="false">IF($A5731="","",IF(원본명단!$I5730="",0,COUNTIF(원본명단!$I$3:$I$6002,원본명단!$I5730)))</f>
        <v/>
      </c>
      <c r="G5731" s="11" t="str">
        <f aca="false">IF($A5731="","",IF(원본명단!$K5730="",0,COUNTIF(원본명단!$K$3:$K$6002,원본명단!$K5730)))</f>
        <v/>
      </c>
      <c r="H5731" s="11" t="str">
        <f aca="false">IF($A5731="","",IF(MAX($E5731,$F5731,$G5731)&gt;1,"중복","-"))</f>
        <v/>
      </c>
      <c r="I5731" s="11" t="str">
        <f aca="false">IF($A5731="","",IF($H5731="-","-",IF(AND(IF(원본명단!$H5730="",TRUE(),COUNTIF(원본명단!$H$3:$H5730,원본명단!$H5730)=1),IF(원본명단!$I5730="",TRUE(),COUNTIF(원본명단!$I$3:$I5730,원본명단!$I5730)=1),IF(원본명단!$K5730="",TRUE(),COUNTIF(원본명단!$K$3:$K5730,원본명단!$K5730)=1)),"첫 건","중복 건")))</f>
        <v/>
      </c>
      <c r="J5731" s="11" t="str">
        <f aca="false">IF($A5731="","",IF($H5731="-","유지",IF($I5731="첫 건","유지","확인 필요")))</f>
        <v/>
      </c>
    </row>
    <row r="5732" customFormat="false" ht="15" hidden="false" customHeight="true" outlineLevel="0" collapsed="false">
      <c r="A5732" s="11" t="str">
        <f aca="false">IF(원본명단!$A5731="","",5729)</f>
        <v/>
      </c>
      <c r="B5732" s="12" t="str">
        <f aca="false">IF($A5732="","",원본명단!$A5731)</f>
        <v/>
      </c>
      <c r="C5732" s="12" t="str">
        <f aca="false">IF($A5732="","",원본명단!$B5731)</f>
        <v/>
      </c>
      <c r="D5732" s="12" t="str">
        <f aca="false">IF($A5732="","",원본명단!$D5731)</f>
        <v/>
      </c>
      <c r="E5732" s="11" t="str">
        <f aca="false">IF($A5732="","",IF(원본명단!$H5731="",0,COUNTIF(원본명단!$H$3:$H$6002,원본명단!$H5731)))</f>
        <v/>
      </c>
      <c r="F5732" s="11" t="str">
        <f aca="false">IF($A5732="","",IF(원본명단!$I5731="",0,COUNTIF(원본명단!$I$3:$I$6002,원본명단!$I5731)))</f>
        <v/>
      </c>
      <c r="G5732" s="11" t="str">
        <f aca="false">IF($A5732="","",IF(원본명단!$K5731="",0,COUNTIF(원본명단!$K$3:$K$6002,원본명단!$K5731)))</f>
        <v/>
      </c>
      <c r="H5732" s="11" t="str">
        <f aca="false">IF($A5732="","",IF(MAX($E5732,$F5732,$G5732)&gt;1,"중복","-"))</f>
        <v/>
      </c>
      <c r="I5732" s="11" t="str">
        <f aca="false">IF($A5732="","",IF($H5732="-","-",IF(AND(IF(원본명단!$H5731="",TRUE(),COUNTIF(원본명단!$H$3:$H5731,원본명단!$H5731)=1),IF(원본명단!$I5731="",TRUE(),COUNTIF(원본명단!$I$3:$I5731,원본명단!$I5731)=1),IF(원본명단!$K5731="",TRUE(),COUNTIF(원본명단!$K$3:$K5731,원본명단!$K5731)=1)),"첫 건","중복 건")))</f>
        <v/>
      </c>
      <c r="J5732" s="11" t="str">
        <f aca="false">IF($A5732="","",IF($H5732="-","유지",IF($I5732="첫 건","유지","확인 필요")))</f>
        <v/>
      </c>
    </row>
    <row r="5733" customFormat="false" ht="15" hidden="false" customHeight="true" outlineLevel="0" collapsed="false">
      <c r="A5733" s="11" t="str">
        <f aca="false">IF(원본명단!$A5732="","",5730)</f>
        <v/>
      </c>
      <c r="B5733" s="12" t="str">
        <f aca="false">IF($A5733="","",원본명단!$A5732)</f>
        <v/>
      </c>
      <c r="C5733" s="12" t="str">
        <f aca="false">IF($A5733="","",원본명단!$B5732)</f>
        <v/>
      </c>
      <c r="D5733" s="12" t="str">
        <f aca="false">IF($A5733="","",원본명단!$D5732)</f>
        <v/>
      </c>
      <c r="E5733" s="11" t="str">
        <f aca="false">IF($A5733="","",IF(원본명단!$H5732="",0,COUNTIF(원본명단!$H$3:$H$6002,원본명단!$H5732)))</f>
        <v/>
      </c>
      <c r="F5733" s="11" t="str">
        <f aca="false">IF($A5733="","",IF(원본명단!$I5732="",0,COUNTIF(원본명단!$I$3:$I$6002,원본명단!$I5732)))</f>
        <v/>
      </c>
      <c r="G5733" s="11" t="str">
        <f aca="false">IF($A5733="","",IF(원본명단!$K5732="",0,COUNTIF(원본명단!$K$3:$K$6002,원본명단!$K5732)))</f>
        <v/>
      </c>
      <c r="H5733" s="11" t="str">
        <f aca="false">IF($A5733="","",IF(MAX($E5733,$F5733,$G5733)&gt;1,"중복","-"))</f>
        <v/>
      </c>
      <c r="I5733" s="11" t="str">
        <f aca="false">IF($A5733="","",IF($H5733="-","-",IF(AND(IF(원본명단!$H5732="",TRUE(),COUNTIF(원본명단!$H$3:$H5732,원본명단!$H5732)=1),IF(원본명단!$I5732="",TRUE(),COUNTIF(원본명단!$I$3:$I5732,원본명단!$I5732)=1),IF(원본명단!$K5732="",TRUE(),COUNTIF(원본명단!$K$3:$K5732,원본명단!$K5732)=1)),"첫 건","중복 건")))</f>
        <v/>
      </c>
      <c r="J5733" s="11" t="str">
        <f aca="false">IF($A5733="","",IF($H5733="-","유지",IF($I5733="첫 건","유지","확인 필요")))</f>
        <v/>
      </c>
    </row>
    <row r="5734" customFormat="false" ht="15" hidden="false" customHeight="true" outlineLevel="0" collapsed="false">
      <c r="A5734" s="11" t="str">
        <f aca="false">IF(원본명단!$A5733="","",5731)</f>
        <v/>
      </c>
      <c r="B5734" s="12" t="str">
        <f aca="false">IF($A5734="","",원본명단!$A5733)</f>
        <v/>
      </c>
      <c r="C5734" s="12" t="str">
        <f aca="false">IF($A5734="","",원본명단!$B5733)</f>
        <v/>
      </c>
      <c r="D5734" s="12" t="str">
        <f aca="false">IF($A5734="","",원본명단!$D5733)</f>
        <v/>
      </c>
      <c r="E5734" s="11" t="str">
        <f aca="false">IF($A5734="","",IF(원본명단!$H5733="",0,COUNTIF(원본명단!$H$3:$H$6002,원본명단!$H5733)))</f>
        <v/>
      </c>
      <c r="F5734" s="11" t="str">
        <f aca="false">IF($A5734="","",IF(원본명단!$I5733="",0,COUNTIF(원본명단!$I$3:$I$6002,원본명단!$I5733)))</f>
        <v/>
      </c>
      <c r="G5734" s="11" t="str">
        <f aca="false">IF($A5734="","",IF(원본명단!$K5733="",0,COUNTIF(원본명단!$K$3:$K$6002,원본명단!$K5733)))</f>
        <v/>
      </c>
      <c r="H5734" s="11" t="str">
        <f aca="false">IF($A5734="","",IF(MAX($E5734,$F5734,$G5734)&gt;1,"중복","-"))</f>
        <v/>
      </c>
      <c r="I5734" s="11" t="str">
        <f aca="false">IF($A5734="","",IF($H5734="-","-",IF(AND(IF(원본명단!$H5733="",TRUE(),COUNTIF(원본명단!$H$3:$H5733,원본명단!$H5733)=1),IF(원본명단!$I5733="",TRUE(),COUNTIF(원본명단!$I$3:$I5733,원본명단!$I5733)=1),IF(원본명단!$K5733="",TRUE(),COUNTIF(원본명단!$K$3:$K5733,원본명단!$K5733)=1)),"첫 건","중복 건")))</f>
        <v/>
      </c>
      <c r="J5734" s="11" t="str">
        <f aca="false">IF($A5734="","",IF($H5734="-","유지",IF($I5734="첫 건","유지","확인 필요")))</f>
        <v/>
      </c>
    </row>
    <row r="5735" customFormat="false" ht="15" hidden="false" customHeight="true" outlineLevel="0" collapsed="false">
      <c r="A5735" s="11" t="str">
        <f aca="false">IF(원본명단!$A5734="","",5732)</f>
        <v/>
      </c>
      <c r="B5735" s="12" t="str">
        <f aca="false">IF($A5735="","",원본명단!$A5734)</f>
        <v/>
      </c>
      <c r="C5735" s="12" t="str">
        <f aca="false">IF($A5735="","",원본명단!$B5734)</f>
        <v/>
      </c>
      <c r="D5735" s="12" t="str">
        <f aca="false">IF($A5735="","",원본명단!$D5734)</f>
        <v/>
      </c>
      <c r="E5735" s="11" t="str">
        <f aca="false">IF($A5735="","",IF(원본명단!$H5734="",0,COUNTIF(원본명단!$H$3:$H$6002,원본명단!$H5734)))</f>
        <v/>
      </c>
      <c r="F5735" s="11" t="str">
        <f aca="false">IF($A5735="","",IF(원본명단!$I5734="",0,COUNTIF(원본명단!$I$3:$I$6002,원본명단!$I5734)))</f>
        <v/>
      </c>
      <c r="G5735" s="11" t="str">
        <f aca="false">IF($A5735="","",IF(원본명단!$K5734="",0,COUNTIF(원본명단!$K$3:$K$6002,원본명단!$K5734)))</f>
        <v/>
      </c>
      <c r="H5735" s="11" t="str">
        <f aca="false">IF($A5735="","",IF(MAX($E5735,$F5735,$G5735)&gt;1,"중복","-"))</f>
        <v/>
      </c>
      <c r="I5735" s="11" t="str">
        <f aca="false">IF($A5735="","",IF($H5735="-","-",IF(AND(IF(원본명단!$H5734="",TRUE(),COUNTIF(원본명단!$H$3:$H5734,원본명단!$H5734)=1),IF(원본명단!$I5734="",TRUE(),COUNTIF(원본명단!$I$3:$I5734,원본명단!$I5734)=1),IF(원본명단!$K5734="",TRUE(),COUNTIF(원본명단!$K$3:$K5734,원본명단!$K5734)=1)),"첫 건","중복 건")))</f>
        <v/>
      </c>
      <c r="J5735" s="11" t="str">
        <f aca="false">IF($A5735="","",IF($H5735="-","유지",IF($I5735="첫 건","유지","확인 필요")))</f>
        <v/>
      </c>
    </row>
    <row r="5736" customFormat="false" ht="15" hidden="false" customHeight="true" outlineLevel="0" collapsed="false">
      <c r="A5736" s="11" t="str">
        <f aca="false">IF(원본명단!$A5735="","",5733)</f>
        <v/>
      </c>
      <c r="B5736" s="12" t="str">
        <f aca="false">IF($A5736="","",원본명단!$A5735)</f>
        <v/>
      </c>
      <c r="C5736" s="12" t="str">
        <f aca="false">IF($A5736="","",원본명단!$B5735)</f>
        <v/>
      </c>
      <c r="D5736" s="12" t="str">
        <f aca="false">IF($A5736="","",원본명단!$D5735)</f>
        <v/>
      </c>
      <c r="E5736" s="11" t="str">
        <f aca="false">IF($A5736="","",IF(원본명단!$H5735="",0,COUNTIF(원본명단!$H$3:$H$6002,원본명단!$H5735)))</f>
        <v/>
      </c>
      <c r="F5736" s="11" t="str">
        <f aca="false">IF($A5736="","",IF(원본명단!$I5735="",0,COUNTIF(원본명단!$I$3:$I$6002,원본명단!$I5735)))</f>
        <v/>
      </c>
      <c r="G5736" s="11" t="str">
        <f aca="false">IF($A5736="","",IF(원본명단!$K5735="",0,COUNTIF(원본명단!$K$3:$K$6002,원본명단!$K5735)))</f>
        <v/>
      </c>
      <c r="H5736" s="11" t="str">
        <f aca="false">IF($A5736="","",IF(MAX($E5736,$F5736,$G5736)&gt;1,"중복","-"))</f>
        <v/>
      </c>
      <c r="I5736" s="11" t="str">
        <f aca="false">IF($A5736="","",IF($H5736="-","-",IF(AND(IF(원본명단!$H5735="",TRUE(),COUNTIF(원본명단!$H$3:$H5735,원본명단!$H5735)=1),IF(원본명단!$I5735="",TRUE(),COUNTIF(원본명단!$I$3:$I5735,원본명단!$I5735)=1),IF(원본명단!$K5735="",TRUE(),COUNTIF(원본명단!$K$3:$K5735,원본명단!$K5735)=1)),"첫 건","중복 건")))</f>
        <v/>
      </c>
      <c r="J5736" s="11" t="str">
        <f aca="false">IF($A5736="","",IF($H5736="-","유지",IF($I5736="첫 건","유지","확인 필요")))</f>
        <v/>
      </c>
    </row>
    <row r="5737" customFormat="false" ht="15" hidden="false" customHeight="true" outlineLevel="0" collapsed="false">
      <c r="A5737" s="11" t="str">
        <f aca="false">IF(원본명단!$A5736="","",5734)</f>
        <v/>
      </c>
      <c r="B5737" s="12" t="str">
        <f aca="false">IF($A5737="","",원본명단!$A5736)</f>
        <v/>
      </c>
      <c r="C5737" s="12" t="str">
        <f aca="false">IF($A5737="","",원본명단!$B5736)</f>
        <v/>
      </c>
      <c r="D5737" s="12" t="str">
        <f aca="false">IF($A5737="","",원본명단!$D5736)</f>
        <v/>
      </c>
      <c r="E5737" s="11" t="str">
        <f aca="false">IF($A5737="","",IF(원본명단!$H5736="",0,COUNTIF(원본명단!$H$3:$H$6002,원본명단!$H5736)))</f>
        <v/>
      </c>
      <c r="F5737" s="11" t="str">
        <f aca="false">IF($A5737="","",IF(원본명단!$I5736="",0,COUNTIF(원본명단!$I$3:$I$6002,원본명단!$I5736)))</f>
        <v/>
      </c>
      <c r="G5737" s="11" t="str">
        <f aca="false">IF($A5737="","",IF(원본명단!$K5736="",0,COUNTIF(원본명단!$K$3:$K$6002,원본명단!$K5736)))</f>
        <v/>
      </c>
      <c r="H5737" s="11" t="str">
        <f aca="false">IF($A5737="","",IF(MAX($E5737,$F5737,$G5737)&gt;1,"중복","-"))</f>
        <v/>
      </c>
      <c r="I5737" s="11" t="str">
        <f aca="false">IF($A5737="","",IF($H5737="-","-",IF(AND(IF(원본명단!$H5736="",TRUE(),COUNTIF(원본명단!$H$3:$H5736,원본명단!$H5736)=1),IF(원본명단!$I5736="",TRUE(),COUNTIF(원본명단!$I$3:$I5736,원본명단!$I5736)=1),IF(원본명단!$K5736="",TRUE(),COUNTIF(원본명단!$K$3:$K5736,원본명단!$K5736)=1)),"첫 건","중복 건")))</f>
        <v/>
      </c>
      <c r="J5737" s="11" t="str">
        <f aca="false">IF($A5737="","",IF($H5737="-","유지",IF($I5737="첫 건","유지","확인 필요")))</f>
        <v/>
      </c>
    </row>
    <row r="5738" customFormat="false" ht="15" hidden="false" customHeight="true" outlineLevel="0" collapsed="false">
      <c r="A5738" s="11" t="str">
        <f aca="false">IF(원본명단!$A5737="","",5735)</f>
        <v/>
      </c>
      <c r="B5738" s="12" t="str">
        <f aca="false">IF($A5738="","",원본명단!$A5737)</f>
        <v/>
      </c>
      <c r="C5738" s="12" t="str">
        <f aca="false">IF($A5738="","",원본명단!$B5737)</f>
        <v/>
      </c>
      <c r="D5738" s="12" t="str">
        <f aca="false">IF($A5738="","",원본명단!$D5737)</f>
        <v/>
      </c>
      <c r="E5738" s="11" t="str">
        <f aca="false">IF($A5738="","",IF(원본명단!$H5737="",0,COUNTIF(원본명단!$H$3:$H$6002,원본명단!$H5737)))</f>
        <v/>
      </c>
      <c r="F5738" s="11" t="str">
        <f aca="false">IF($A5738="","",IF(원본명단!$I5737="",0,COUNTIF(원본명단!$I$3:$I$6002,원본명단!$I5737)))</f>
        <v/>
      </c>
      <c r="G5738" s="11" t="str">
        <f aca="false">IF($A5738="","",IF(원본명단!$K5737="",0,COUNTIF(원본명단!$K$3:$K$6002,원본명단!$K5737)))</f>
        <v/>
      </c>
      <c r="H5738" s="11" t="str">
        <f aca="false">IF($A5738="","",IF(MAX($E5738,$F5738,$G5738)&gt;1,"중복","-"))</f>
        <v/>
      </c>
      <c r="I5738" s="11" t="str">
        <f aca="false">IF($A5738="","",IF($H5738="-","-",IF(AND(IF(원본명단!$H5737="",TRUE(),COUNTIF(원본명단!$H$3:$H5737,원본명단!$H5737)=1),IF(원본명단!$I5737="",TRUE(),COUNTIF(원본명단!$I$3:$I5737,원본명단!$I5737)=1),IF(원본명단!$K5737="",TRUE(),COUNTIF(원본명단!$K$3:$K5737,원본명단!$K5737)=1)),"첫 건","중복 건")))</f>
        <v/>
      </c>
      <c r="J5738" s="11" t="str">
        <f aca="false">IF($A5738="","",IF($H5738="-","유지",IF($I5738="첫 건","유지","확인 필요")))</f>
        <v/>
      </c>
    </row>
    <row r="5739" customFormat="false" ht="15" hidden="false" customHeight="true" outlineLevel="0" collapsed="false">
      <c r="A5739" s="11" t="str">
        <f aca="false">IF(원본명단!$A5738="","",5736)</f>
        <v/>
      </c>
      <c r="B5739" s="12" t="str">
        <f aca="false">IF($A5739="","",원본명단!$A5738)</f>
        <v/>
      </c>
      <c r="C5739" s="12" t="str">
        <f aca="false">IF($A5739="","",원본명단!$B5738)</f>
        <v/>
      </c>
      <c r="D5739" s="12" t="str">
        <f aca="false">IF($A5739="","",원본명단!$D5738)</f>
        <v/>
      </c>
      <c r="E5739" s="11" t="str">
        <f aca="false">IF($A5739="","",IF(원본명단!$H5738="",0,COUNTIF(원본명단!$H$3:$H$6002,원본명단!$H5738)))</f>
        <v/>
      </c>
      <c r="F5739" s="11" t="str">
        <f aca="false">IF($A5739="","",IF(원본명단!$I5738="",0,COUNTIF(원본명단!$I$3:$I$6002,원본명단!$I5738)))</f>
        <v/>
      </c>
      <c r="G5739" s="11" t="str">
        <f aca="false">IF($A5739="","",IF(원본명단!$K5738="",0,COUNTIF(원본명단!$K$3:$K$6002,원본명단!$K5738)))</f>
        <v/>
      </c>
      <c r="H5739" s="11" t="str">
        <f aca="false">IF($A5739="","",IF(MAX($E5739,$F5739,$G5739)&gt;1,"중복","-"))</f>
        <v/>
      </c>
      <c r="I5739" s="11" t="str">
        <f aca="false">IF($A5739="","",IF($H5739="-","-",IF(AND(IF(원본명단!$H5738="",TRUE(),COUNTIF(원본명단!$H$3:$H5738,원본명단!$H5738)=1),IF(원본명단!$I5738="",TRUE(),COUNTIF(원본명단!$I$3:$I5738,원본명단!$I5738)=1),IF(원본명단!$K5738="",TRUE(),COUNTIF(원본명단!$K$3:$K5738,원본명단!$K5738)=1)),"첫 건","중복 건")))</f>
        <v/>
      </c>
      <c r="J5739" s="11" t="str">
        <f aca="false">IF($A5739="","",IF($H5739="-","유지",IF($I5739="첫 건","유지","확인 필요")))</f>
        <v/>
      </c>
    </row>
    <row r="5740" customFormat="false" ht="15" hidden="false" customHeight="true" outlineLevel="0" collapsed="false">
      <c r="A5740" s="11" t="str">
        <f aca="false">IF(원본명단!$A5739="","",5737)</f>
        <v/>
      </c>
      <c r="B5740" s="12" t="str">
        <f aca="false">IF($A5740="","",원본명단!$A5739)</f>
        <v/>
      </c>
      <c r="C5740" s="12" t="str">
        <f aca="false">IF($A5740="","",원본명단!$B5739)</f>
        <v/>
      </c>
      <c r="D5740" s="12" t="str">
        <f aca="false">IF($A5740="","",원본명단!$D5739)</f>
        <v/>
      </c>
      <c r="E5740" s="11" t="str">
        <f aca="false">IF($A5740="","",IF(원본명단!$H5739="",0,COUNTIF(원본명단!$H$3:$H$6002,원본명단!$H5739)))</f>
        <v/>
      </c>
      <c r="F5740" s="11" t="str">
        <f aca="false">IF($A5740="","",IF(원본명단!$I5739="",0,COUNTIF(원본명단!$I$3:$I$6002,원본명단!$I5739)))</f>
        <v/>
      </c>
      <c r="G5740" s="11" t="str">
        <f aca="false">IF($A5740="","",IF(원본명단!$K5739="",0,COUNTIF(원본명단!$K$3:$K$6002,원본명단!$K5739)))</f>
        <v/>
      </c>
      <c r="H5740" s="11" t="str">
        <f aca="false">IF($A5740="","",IF(MAX($E5740,$F5740,$G5740)&gt;1,"중복","-"))</f>
        <v/>
      </c>
      <c r="I5740" s="11" t="str">
        <f aca="false">IF($A5740="","",IF($H5740="-","-",IF(AND(IF(원본명단!$H5739="",TRUE(),COUNTIF(원본명단!$H$3:$H5739,원본명단!$H5739)=1),IF(원본명단!$I5739="",TRUE(),COUNTIF(원본명단!$I$3:$I5739,원본명단!$I5739)=1),IF(원본명단!$K5739="",TRUE(),COUNTIF(원본명단!$K$3:$K5739,원본명단!$K5739)=1)),"첫 건","중복 건")))</f>
        <v/>
      </c>
      <c r="J5740" s="11" t="str">
        <f aca="false">IF($A5740="","",IF($H5740="-","유지",IF($I5740="첫 건","유지","확인 필요")))</f>
        <v/>
      </c>
    </row>
    <row r="5741" customFormat="false" ht="15" hidden="false" customHeight="true" outlineLevel="0" collapsed="false">
      <c r="A5741" s="11" t="str">
        <f aca="false">IF(원본명단!$A5740="","",5738)</f>
        <v/>
      </c>
      <c r="B5741" s="12" t="str">
        <f aca="false">IF($A5741="","",원본명단!$A5740)</f>
        <v/>
      </c>
      <c r="C5741" s="12" t="str">
        <f aca="false">IF($A5741="","",원본명단!$B5740)</f>
        <v/>
      </c>
      <c r="D5741" s="12" t="str">
        <f aca="false">IF($A5741="","",원본명단!$D5740)</f>
        <v/>
      </c>
      <c r="E5741" s="11" t="str">
        <f aca="false">IF($A5741="","",IF(원본명단!$H5740="",0,COUNTIF(원본명단!$H$3:$H$6002,원본명단!$H5740)))</f>
        <v/>
      </c>
      <c r="F5741" s="11" t="str">
        <f aca="false">IF($A5741="","",IF(원본명단!$I5740="",0,COUNTIF(원본명단!$I$3:$I$6002,원본명단!$I5740)))</f>
        <v/>
      </c>
      <c r="G5741" s="11" t="str">
        <f aca="false">IF($A5741="","",IF(원본명단!$K5740="",0,COUNTIF(원본명단!$K$3:$K$6002,원본명단!$K5740)))</f>
        <v/>
      </c>
      <c r="H5741" s="11" t="str">
        <f aca="false">IF($A5741="","",IF(MAX($E5741,$F5741,$G5741)&gt;1,"중복","-"))</f>
        <v/>
      </c>
      <c r="I5741" s="11" t="str">
        <f aca="false">IF($A5741="","",IF($H5741="-","-",IF(AND(IF(원본명단!$H5740="",TRUE(),COUNTIF(원본명단!$H$3:$H5740,원본명단!$H5740)=1),IF(원본명단!$I5740="",TRUE(),COUNTIF(원본명단!$I$3:$I5740,원본명단!$I5740)=1),IF(원본명단!$K5740="",TRUE(),COUNTIF(원본명단!$K$3:$K5740,원본명단!$K5740)=1)),"첫 건","중복 건")))</f>
        <v/>
      </c>
      <c r="J5741" s="11" t="str">
        <f aca="false">IF($A5741="","",IF($H5741="-","유지",IF($I5741="첫 건","유지","확인 필요")))</f>
        <v/>
      </c>
    </row>
    <row r="5742" customFormat="false" ht="15" hidden="false" customHeight="true" outlineLevel="0" collapsed="false">
      <c r="A5742" s="11" t="str">
        <f aca="false">IF(원본명단!$A5741="","",5739)</f>
        <v/>
      </c>
      <c r="B5742" s="12" t="str">
        <f aca="false">IF($A5742="","",원본명단!$A5741)</f>
        <v/>
      </c>
      <c r="C5742" s="12" t="str">
        <f aca="false">IF($A5742="","",원본명단!$B5741)</f>
        <v/>
      </c>
      <c r="D5742" s="12" t="str">
        <f aca="false">IF($A5742="","",원본명단!$D5741)</f>
        <v/>
      </c>
      <c r="E5742" s="11" t="str">
        <f aca="false">IF($A5742="","",IF(원본명단!$H5741="",0,COUNTIF(원본명단!$H$3:$H$6002,원본명단!$H5741)))</f>
        <v/>
      </c>
      <c r="F5742" s="11" t="str">
        <f aca="false">IF($A5742="","",IF(원본명단!$I5741="",0,COUNTIF(원본명단!$I$3:$I$6002,원본명단!$I5741)))</f>
        <v/>
      </c>
      <c r="G5742" s="11" t="str">
        <f aca="false">IF($A5742="","",IF(원본명단!$K5741="",0,COUNTIF(원본명단!$K$3:$K$6002,원본명단!$K5741)))</f>
        <v/>
      </c>
      <c r="H5742" s="11" t="str">
        <f aca="false">IF($A5742="","",IF(MAX($E5742,$F5742,$G5742)&gt;1,"중복","-"))</f>
        <v/>
      </c>
      <c r="I5742" s="11" t="str">
        <f aca="false">IF($A5742="","",IF($H5742="-","-",IF(AND(IF(원본명단!$H5741="",TRUE(),COUNTIF(원본명단!$H$3:$H5741,원본명단!$H5741)=1),IF(원본명단!$I5741="",TRUE(),COUNTIF(원본명단!$I$3:$I5741,원본명단!$I5741)=1),IF(원본명단!$K5741="",TRUE(),COUNTIF(원본명단!$K$3:$K5741,원본명단!$K5741)=1)),"첫 건","중복 건")))</f>
        <v/>
      </c>
      <c r="J5742" s="11" t="str">
        <f aca="false">IF($A5742="","",IF($H5742="-","유지",IF($I5742="첫 건","유지","확인 필요")))</f>
        <v/>
      </c>
    </row>
    <row r="5743" customFormat="false" ht="15" hidden="false" customHeight="true" outlineLevel="0" collapsed="false">
      <c r="A5743" s="11" t="str">
        <f aca="false">IF(원본명단!$A5742="","",5740)</f>
        <v/>
      </c>
      <c r="B5743" s="12" t="str">
        <f aca="false">IF($A5743="","",원본명단!$A5742)</f>
        <v/>
      </c>
      <c r="C5743" s="12" t="str">
        <f aca="false">IF($A5743="","",원본명단!$B5742)</f>
        <v/>
      </c>
      <c r="D5743" s="12" t="str">
        <f aca="false">IF($A5743="","",원본명단!$D5742)</f>
        <v/>
      </c>
      <c r="E5743" s="11" t="str">
        <f aca="false">IF($A5743="","",IF(원본명단!$H5742="",0,COUNTIF(원본명단!$H$3:$H$6002,원본명단!$H5742)))</f>
        <v/>
      </c>
      <c r="F5743" s="11" t="str">
        <f aca="false">IF($A5743="","",IF(원본명단!$I5742="",0,COUNTIF(원본명단!$I$3:$I$6002,원본명단!$I5742)))</f>
        <v/>
      </c>
      <c r="G5743" s="11" t="str">
        <f aca="false">IF($A5743="","",IF(원본명단!$K5742="",0,COUNTIF(원본명단!$K$3:$K$6002,원본명단!$K5742)))</f>
        <v/>
      </c>
      <c r="H5743" s="11" t="str">
        <f aca="false">IF($A5743="","",IF(MAX($E5743,$F5743,$G5743)&gt;1,"중복","-"))</f>
        <v/>
      </c>
      <c r="I5743" s="11" t="str">
        <f aca="false">IF($A5743="","",IF($H5743="-","-",IF(AND(IF(원본명단!$H5742="",TRUE(),COUNTIF(원본명단!$H$3:$H5742,원본명단!$H5742)=1),IF(원본명단!$I5742="",TRUE(),COUNTIF(원본명단!$I$3:$I5742,원본명단!$I5742)=1),IF(원본명단!$K5742="",TRUE(),COUNTIF(원본명단!$K$3:$K5742,원본명단!$K5742)=1)),"첫 건","중복 건")))</f>
        <v/>
      </c>
      <c r="J5743" s="11" t="str">
        <f aca="false">IF($A5743="","",IF($H5743="-","유지",IF($I5743="첫 건","유지","확인 필요")))</f>
        <v/>
      </c>
    </row>
    <row r="5744" customFormat="false" ht="15" hidden="false" customHeight="true" outlineLevel="0" collapsed="false">
      <c r="A5744" s="11" t="str">
        <f aca="false">IF(원본명단!$A5743="","",5741)</f>
        <v/>
      </c>
      <c r="B5744" s="12" t="str">
        <f aca="false">IF($A5744="","",원본명단!$A5743)</f>
        <v/>
      </c>
      <c r="C5744" s="12" t="str">
        <f aca="false">IF($A5744="","",원본명단!$B5743)</f>
        <v/>
      </c>
      <c r="D5744" s="12" t="str">
        <f aca="false">IF($A5744="","",원본명단!$D5743)</f>
        <v/>
      </c>
      <c r="E5744" s="11" t="str">
        <f aca="false">IF($A5744="","",IF(원본명단!$H5743="",0,COUNTIF(원본명단!$H$3:$H$6002,원본명단!$H5743)))</f>
        <v/>
      </c>
      <c r="F5744" s="11" t="str">
        <f aca="false">IF($A5744="","",IF(원본명단!$I5743="",0,COUNTIF(원본명단!$I$3:$I$6002,원본명단!$I5743)))</f>
        <v/>
      </c>
      <c r="G5744" s="11" t="str">
        <f aca="false">IF($A5744="","",IF(원본명단!$K5743="",0,COUNTIF(원본명단!$K$3:$K$6002,원본명단!$K5743)))</f>
        <v/>
      </c>
      <c r="H5744" s="11" t="str">
        <f aca="false">IF($A5744="","",IF(MAX($E5744,$F5744,$G5744)&gt;1,"중복","-"))</f>
        <v/>
      </c>
      <c r="I5744" s="11" t="str">
        <f aca="false">IF($A5744="","",IF($H5744="-","-",IF(AND(IF(원본명단!$H5743="",TRUE(),COUNTIF(원본명단!$H$3:$H5743,원본명단!$H5743)=1),IF(원본명단!$I5743="",TRUE(),COUNTIF(원본명단!$I$3:$I5743,원본명단!$I5743)=1),IF(원본명단!$K5743="",TRUE(),COUNTIF(원본명단!$K$3:$K5743,원본명단!$K5743)=1)),"첫 건","중복 건")))</f>
        <v/>
      </c>
      <c r="J5744" s="11" t="str">
        <f aca="false">IF($A5744="","",IF($H5744="-","유지",IF($I5744="첫 건","유지","확인 필요")))</f>
        <v/>
      </c>
    </row>
    <row r="5745" customFormat="false" ht="15" hidden="false" customHeight="true" outlineLevel="0" collapsed="false">
      <c r="A5745" s="11" t="str">
        <f aca="false">IF(원본명단!$A5744="","",5742)</f>
        <v/>
      </c>
      <c r="B5745" s="12" t="str">
        <f aca="false">IF($A5745="","",원본명단!$A5744)</f>
        <v/>
      </c>
      <c r="C5745" s="12" t="str">
        <f aca="false">IF($A5745="","",원본명단!$B5744)</f>
        <v/>
      </c>
      <c r="D5745" s="12" t="str">
        <f aca="false">IF($A5745="","",원본명단!$D5744)</f>
        <v/>
      </c>
      <c r="E5745" s="11" t="str">
        <f aca="false">IF($A5745="","",IF(원본명단!$H5744="",0,COUNTIF(원본명단!$H$3:$H$6002,원본명단!$H5744)))</f>
        <v/>
      </c>
      <c r="F5745" s="11" t="str">
        <f aca="false">IF($A5745="","",IF(원본명단!$I5744="",0,COUNTIF(원본명단!$I$3:$I$6002,원본명단!$I5744)))</f>
        <v/>
      </c>
      <c r="G5745" s="11" t="str">
        <f aca="false">IF($A5745="","",IF(원본명단!$K5744="",0,COUNTIF(원본명단!$K$3:$K$6002,원본명단!$K5744)))</f>
        <v/>
      </c>
      <c r="H5745" s="11" t="str">
        <f aca="false">IF($A5745="","",IF(MAX($E5745,$F5745,$G5745)&gt;1,"중복","-"))</f>
        <v/>
      </c>
      <c r="I5745" s="11" t="str">
        <f aca="false">IF($A5745="","",IF($H5745="-","-",IF(AND(IF(원본명단!$H5744="",TRUE(),COUNTIF(원본명단!$H$3:$H5744,원본명단!$H5744)=1),IF(원본명단!$I5744="",TRUE(),COUNTIF(원본명단!$I$3:$I5744,원본명단!$I5744)=1),IF(원본명단!$K5744="",TRUE(),COUNTIF(원본명단!$K$3:$K5744,원본명단!$K5744)=1)),"첫 건","중복 건")))</f>
        <v/>
      </c>
      <c r="J5745" s="11" t="str">
        <f aca="false">IF($A5745="","",IF($H5745="-","유지",IF($I5745="첫 건","유지","확인 필요")))</f>
        <v/>
      </c>
    </row>
    <row r="5746" customFormat="false" ht="15" hidden="false" customHeight="true" outlineLevel="0" collapsed="false">
      <c r="A5746" s="11" t="str">
        <f aca="false">IF(원본명단!$A5745="","",5743)</f>
        <v/>
      </c>
      <c r="B5746" s="12" t="str">
        <f aca="false">IF($A5746="","",원본명단!$A5745)</f>
        <v/>
      </c>
      <c r="C5746" s="12" t="str">
        <f aca="false">IF($A5746="","",원본명단!$B5745)</f>
        <v/>
      </c>
      <c r="D5746" s="12" t="str">
        <f aca="false">IF($A5746="","",원본명단!$D5745)</f>
        <v/>
      </c>
      <c r="E5746" s="11" t="str">
        <f aca="false">IF($A5746="","",IF(원본명단!$H5745="",0,COUNTIF(원본명단!$H$3:$H$6002,원본명단!$H5745)))</f>
        <v/>
      </c>
      <c r="F5746" s="11" t="str">
        <f aca="false">IF($A5746="","",IF(원본명단!$I5745="",0,COUNTIF(원본명단!$I$3:$I$6002,원본명단!$I5745)))</f>
        <v/>
      </c>
      <c r="G5746" s="11" t="str">
        <f aca="false">IF($A5746="","",IF(원본명단!$K5745="",0,COUNTIF(원본명단!$K$3:$K$6002,원본명단!$K5745)))</f>
        <v/>
      </c>
      <c r="H5746" s="11" t="str">
        <f aca="false">IF($A5746="","",IF(MAX($E5746,$F5746,$G5746)&gt;1,"중복","-"))</f>
        <v/>
      </c>
      <c r="I5746" s="11" t="str">
        <f aca="false">IF($A5746="","",IF($H5746="-","-",IF(AND(IF(원본명단!$H5745="",TRUE(),COUNTIF(원본명단!$H$3:$H5745,원본명단!$H5745)=1),IF(원본명단!$I5745="",TRUE(),COUNTIF(원본명단!$I$3:$I5745,원본명단!$I5745)=1),IF(원본명단!$K5745="",TRUE(),COUNTIF(원본명단!$K$3:$K5745,원본명단!$K5745)=1)),"첫 건","중복 건")))</f>
        <v/>
      </c>
      <c r="J5746" s="11" t="str">
        <f aca="false">IF($A5746="","",IF($H5746="-","유지",IF($I5746="첫 건","유지","확인 필요")))</f>
        <v/>
      </c>
    </row>
    <row r="5747" customFormat="false" ht="15" hidden="false" customHeight="true" outlineLevel="0" collapsed="false">
      <c r="A5747" s="11" t="str">
        <f aca="false">IF(원본명단!$A5746="","",5744)</f>
        <v/>
      </c>
      <c r="B5747" s="12" t="str">
        <f aca="false">IF($A5747="","",원본명단!$A5746)</f>
        <v/>
      </c>
      <c r="C5747" s="12" t="str">
        <f aca="false">IF($A5747="","",원본명단!$B5746)</f>
        <v/>
      </c>
      <c r="D5747" s="12" t="str">
        <f aca="false">IF($A5747="","",원본명단!$D5746)</f>
        <v/>
      </c>
      <c r="E5747" s="11" t="str">
        <f aca="false">IF($A5747="","",IF(원본명단!$H5746="",0,COUNTIF(원본명단!$H$3:$H$6002,원본명단!$H5746)))</f>
        <v/>
      </c>
      <c r="F5747" s="11" t="str">
        <f aca="false">IF($A5747="","",IF(원본명단!$I5746="",0,COUNTIF(원본명단!$I$3:$I$6002,원본명단!$I5746)))</f>
        <v/>
      </c>
      <c r="G5747" s="11" t="str">
        <f aca="false">IF($A5747="","",IF(원본명단!$K5746="",0,COUNTIF(원본명단!$K$3:$K$6002,원본명단!$K5746)))</f>
        <v/>
      </c>
      <c r="H5747" s="11" t="str">
        <f aca="false">IF($A5747="","",IF(MAX($E5747,$F5747,$G5747)&gt;1,"중복","-"))</f>
        <v/>
      </c>
      <c r="I5747" s="11" t="str">
        <f aca="false">IF($A5747="","",IF($H5747="-","-",IF(AND(IF(원본명단!$H5746="",TRUE(),COUNTIF(원본명단!$H$3:$H5746,원본명단!$H5746)=1),IF(원본명단!$I5746="",TRUE(),COUNTIF(원본명단!$I$3:$I5746,원본명단!$I5746)=1),IF(원본명단!$K5746="",TRUE(),COUNTIF(원본명단!$K$3:$K5746,원본명단!$K5746)=1)),"첫 건","중복 건")))</f>
        <v/>
      </c>
      <c r="J5747" s="11" t="str">
        <f aca="false">IF($A5747="","",IF($H5747="-","유지",IF($I5747="첫 건","유지","확인 필요")))</f>
        <v/>
      </c>
    </row>
    <row r="5748" customFormat="false" ht="15" hidden="false" customHeight="true" outlineLevel="0" collapsed="false">
      <c r="A5748" s="11" t="str">
        <f aca="false">IF(원본명단!$A5747="","",5745)</f>
        <v/>
      </c>
      <c r="B5748" s="12" t="str">
        <f aca="false">IF($A5748="","",원본명단!$A5747)</f>
        <v/>
      </c>
      <c r="C5748" s="12" t="str">
        <f aca="false">IF($A5748="","",원본명단!$B5747)</f>
        <v/>
      </c>
      <c r="D5748" s="12" t="str">
        <f aca="false">IF($A5748="","",원본명단!$D5747)</f>
        <v/>
      </c>
      <c r="E5748" s="11" t="str">
        <f aca="false">IF($A5748="","",IF(원본명단!$H5747="",0,COUNTIF(원본명단!$H$3:$H$6002,원본명단!$H5747)))</f>
        <v/>
      </c>
      <c r="F5748" s="11" t="str">
        <f aca="false">IF($A5748="","",IF(원본명단!$I5747="",0,COUNTIF(원본명단!$I$3:$I$6002,원본명단!$I5747)))</f>
        <v/>
      </c>
      <c r="G5748" s="11" t="str">
        <f aca="false">IF($A5748="","",IF(원본명단!$K5747="",0,COUNTIF(원본명단!$K$3:$K$6002,원본명단!$K5747)))</f>
        <v/>
      </c>
      <c r="H5748" s="11" t="str">
        <f aca="false">IF($A5748="","",IF(MAX($E5748,$F5748,$G5748)&gt;1,"중복","-"))</f>
        <v/>
      </c>
      <c r="I5748" s="11" t="str">
        <f aca="false">IF($A5748="","",IF($H5748="-","-",IF(AND(IF(원본명단!$H5747="",TRUE(),COUNTIF(원본명단!$H$3:$H5747,원본명단!$H5747)=1),IF(원본명단!$I5747="",TRUE(),COUNTIF(원본명단!$I$3:$I5747,원본명단!$I5747)=1),IF(원본명단!$K5747="",TRUE(),COUNTIF(원본명단!$K$3:$K5747,원본명단!$K5747)=1)),"첫 건","중복 건")))</f>
        <v/>
      </c>
      <c r="J5748" s="11" t="str">
        <f aca="false">IF($A5748="","",IF($H5748="-","유지",IF($I5748="첫 건","유지","확인 필요")))</f>
        <v/>
      </c>
    </row>
    <row r="5749" customFormat="false" ht="15" hidden="false" customHeight="true" outlineLevel="0" collapsed="false">
      <c r="A5749" s="11" t="str">
        <f aca="false">IF(원본명단!$A5748="","",5746)</f>
        <v/>
      </c>
      <c r="B5749" s="12" t="str">
        <f aca="false">IF($A5749="","",원본명단!$A5748)</f>
        <v/>
      </c>
      <c r="C5749" s="12" t="str">
        <f aca="false">IF($A5749="","",원본명단!$B5748)</f>
        <v/>
      </c>
      <c r="D5749" s="12" t="str">
        <f aca="false">IF($A5749="","",원본명단!$D5748)</f>
        <v/>
      </c>
      <c r="E5749" s="11" t="str">
        <f aca="false">IF($A5749="","",IF(원본명단!$H5748="",0,COUNTIF(원본명단!$H$3:$H$6002,원본명단!$H5748)))</f>
        <v/>
      </c>
      <c r="F5749" s="11" t="str">
        <f aca="false">IF($A5749="","",IF(원본명단!$I5748="",0,COUNTIF(원본명단!$I$3:$I$6002,원본명단!$I5748)))</f>
        <v/>
      </c>
      <c r="G5749" s="11" t="str">
        <f aca="false">IF($A5749="","",IF(원본명단!$K5748="",0,COUNTIF(원본명단!$K$3:$K$6002,원본명단!$K5748)))</f>
        <v/>
      </c>
      <c r="H5749" s="11" t="str">
        <f aca="false">IF($A5749="","",IF(MAX($E5749,$F5749,$G5749)&gt;1,"중복","-"))</f>
        <v/>
      </c>
      <c r="I5749" s="11" t="str">
        <f aca="false">IF($A5749="","",IF($H5749="-","-",IF(AND(IF(원본명단!$H5748="",TRUE(),COUNTIF(원본명단!$H$3:$H5748,원본명단!$H5748)=1),IF(원본명단!$I5748="",TRUE(),COUNTIF(원본명단!$I$3:$I5748,원본명단!$I5748)=1),IF(원본명단!$K5748="",TRUE(),COUNTIF(원본명단!$K$3:$K5748,원본명단!$K5748)=1)),"첫 건","중복 건")))</f>
        <v/>
      </c>
      <c r="J5749" s="11" t="str">
        <f aca="false">IF($A5749="","",IF($H5749="-","유지",IF($I5749="첫 건","유지","확인 필요")))</f>
        <v/>
      </c>
    </row>
    <row r="5750" customFormat="false" ht="15" hidden="false" customHeight="true" outlineLevel="0" collapsed="false">
      <c r="A5750" s="11" t="str">
        <f aca="false">IF(원본명단!$A5749="","",5747)</f>
        <v/>
      </c>
      <c r="B5750" s="12" t="str">
        <f aca="false">IF($A5750="","",원본명단!$A5749)</f>
        <v/>
      </c>
      <c r="C5750" s="12" t="str">
        <f aca="false">IF($A5750="","",원본명단!$B5749)</f>
        <v/>
      </c>
      <c r="D5750" s="12" t="str">
        <f aca="false">IF($A5750="","",원본명단!$D5749)</f>
        <v/>
      </c>
      <c r="E5750" s="11" t="str">
        <f aca="false">IF($A5750="","",IF(원본명단!$H5749="",0,COUNTIF(원본명단!$H$3:$H$6002,원본명단!$H5749)))</f>
        <v/>
      </c>
      <c r="F5750" s="11" t="str">
        <f aca="false">IF($A5750="","",IF(원본명단!$I5749="",0,COUNTIF(원본명단!$I$3:$I$6002,원본명단!$I5749)))</f>
        <v/>
      </c>
      <c r="G5750" s="11" t="str">
        <f aca="false">IF($A5750="","",IF(원본명단!$K5749="",0,COUNTIF(원본명단!$K$3:$K$6002,원본명단!$K5749)))</f>
        <v/>
      </c>
      <c r="H5750" s="11" t="str">
        <f aca="false">IF($A5750="","",IF(MAX($E5750,$F5750,$G5750)&gt;1,"중복","-"))</f>
        <v/>
      </c>
      <c r="I5750" s="11" t="str">
        <f aca="false">IF($A5750="","",IF($H5750="-","-",IF(AND(IF(원본명단!$H5749="",TRUE(),COUNTIF(원본명단!$H$3:$H5749,원본명단!$H5749)=1),IF(원본명단!$I5749="",TRUE(),COUNTIF(원본명단!$I$3:$I5749,원본명단!$I5749)=1),IF(원본명단!$K5749="",TRUE(),COUNTIF(원본명단!$K$3:$K5749,원본명단!$K5749)=1)),"첫 건","중복 건")))</f>
        <v/>
      </c>
      <c r="J5750" s="11" t="str">
        <f aca="false">IF($A5750="","",IF($H5750="-","유지",IF($I5750="첫 건","유지","확인 필요")))</f>
        <v/>
      </c>
    </row>
    <row r="5751" customFormat="false" ht="15" hidden="false" customHeight="true" outlineLevel="0" collapsed="false">
      <c r="A5751" s="11" t="str">
        <f aca="false">IF(원본명단!$A5750="","",5748)</f>
        <v/>
      </c>
      <c r="B5751" s="12" t="str">
        <f aca="false">IF($A5751="","",원본명단!$A5750)</f>
        <v/>
      </c>
      <c r="C5751" s="12" t="str">
        <f aca="false">IF($A5751="","",원본명단!$B5750)</f>
        <v/>
      </c>
      <c r="D5751" s="12" t="str">
        <f aca="false">IF($A5751="","",원본명단!$D5750)</f>
        <v/>
      </c>
      <c r="E5751" s="11" t="str">
        <f aca="false">IF($A5751="","",IF(원본명단!$H5750="",0,COUNTIF(원본명단!$H$3:$H$6002,원본명단!$H5750)))</f>
        <v/>
      </c>
      <c r="F5751" s="11" t="str">
        <f aca="false">IF($A5751="","",IF(원본명단!$I5750="",0,COUNTIF(원본명단!$I$3:$I$6002,원본명단!$I5750)))</f>
        <v/>
      </c>
      <c r="G5751" s="11" t="str">
        <f aca="false">IF($A5751="","",IF(원본명단!$K5750="",0,COUNTIF(원본명단!$K$3:$K$6002,원본명단!$K5750)))</f>
        <v/>
      </c>
      <c r="H5751" s="11" t="str">
        <f aca="false">IF($A5751="","",IF(MAX($E5751,$F5751,$G5751)&gt;1,"중복","-"))</f>
        <v/>
      </c>
      <c r="I5751" s="11" t="str">
        <f aca="false">IF($A5751="","",IF($H5751="-","-",IF(AND(IF(원본명단!$H5750="",TRUE(),COUNTIF(원본명단!$H$3:$H5750,원본명단!$H5750)=1),IF(원본명단!$I5750="",TRUE(),COUNTIF(원본명단!$I$3:$I5750,원본명단!$I5750)=1),IF(원본명단!$K5750="",TRUE(),COUNTIF(원본명단!$K$3:$K5750,원본명단!$K5750)=1)),"첫 건","중복 건")))</f>
        <v/>
      </c>
      <c r="J5751" s="11" t="str">
        <f aca="false">IF($A5751="","",IF($H5751="-","유지",IF($I5751="첫 건","유지","확인 필요")))</f>
        <v/>
      </c>
    </row>
    <row r="5752" customFormat="false" ht="15" hidden="false" customHeight="true" outlineLevel="0" collapsed="false">
      <c r="A5752" s="11" t="str">
        <f aca="false">IF(원본명단!$A5751="","",5749)</f>
        <v/>
      </c>
      <c r="B5752" s="12" t="str">
        <f aca="false">IF($A5752="","",원본명단!$A5751)</f>
        <v/>
      </c>
      <c r="C5752" s="12" t="str">
        <f aca="false">IF($A5752="","",원본명단!$B5751)</f>
        <v/>
      </c>
      <c r="D5752" s="12" t="str">
        <f aca="false">IF($A5752="","",원본명단!$D5751)</f>
        <v/>
      </c>
      <c r="E5752" s="11" t="str">
        <f aca="false">IF($A5752="","",IF(원본명단!$H5751="",0,COUNTIF(원본명단!$H$3:$H$6002,원본명단!$H5751)))</f>
        <v/>
      </c>
      <c r="F5752" s="11" t="str">
        <f aca="false">IF($A5752="","",IF(원본명단!$I5751="",0,COUNTIF(원본명단!$I$3:$I$6002,원본명단!$I5751)))</f>
        <v/>
      </c>
      <c r="G5752" s="11" t="str">
        <f aca="false">IF($A5752="","",IF(원본명단!$K5751="",0,COUNTIF(원본명단!$K$3:$K$6002,원본명단!$K5751)))</f>
        <v/>
      </c>
      <c r="H5752" s="11" t="str">
        <f aca="false">IF($A5752="","",IF(MAX($E5752,$F5752,$G5752)&gt;1,"중복","-"))</f>
        <v/>
      </c>
      <c r="I5752" s="11" t="str">
        <f aca="false">IF($A5752="","",IF($H5752="-","-",IF(AND(IF(원본명단!$H5751="",TRUE(),COUNTIF(원본명단!$H$3:$H5751,원본명단!$H5751)=1),IF(원본명단!$I5751="",TRUE(),COUNTIF(원본명단!$I$3:$I5751,원본명단!$I5751)=1),IF(원본명단!$K5751="",TRUE(),COUNTIF(원본명단!$K$3:$K5751,원본명단!$K5751)=1)),"첫 건","중복 건")))</f>
        <v/>
      </c>
      <c r="J5752" s="11" t="str">
        <f aca="false">IF($A5752="","",IF($H5752="-","유지",IF($I5752="첫 건","유지","확인 필요")))</f>
        <v/>
      </c>
    </row>
    <row r="5753" customFormat="false" ht="15" hidden="false" customHeight="true" outlineLevel="0" collapsed="false">
      <c r="A5753" s="11" t="str">
        <f aca="false">IF(원본명단!$A5752="","",5750)</f>
        <v/>
      </c>
      <c r="B5753" s="12" t="str">
        <f aca="false">IF($A5753="","",원본명단!$A5752)</f>
        <v/>
      </c>
      <c r="C5753" s="12" t="str">
        <f aca="false">IF($A5753="","",원본명단!$B5752)</f>
        <v/>
      </c>
      <c r="D5753" s="12" t="str">
        <f aca="false">IF($A5753="","",원본명단!$D5752)</f>
        <v/>
      </c>
      <c r="E5753" s="11" t="str">
        <f aca="false">IF($A5753="","",IF(원본명단!$H5752="",0,COUNTIF(원본명단!$H$3:$H$6002,원본명단!$H5752)))</f>
        <v/>
      </c>
      <c r="F5753" s="11" t="str">
        <f aca="false">IF($A5753="","",IF(원본명단!$I5752="",0,COUNTIF(원본명단!$I$3:$I$6002,원본명단!$I5752)))</f>
        <v/>
      </c>
      <c r="G5753" s="11" t="str">
        <f aca="false">IF($A5753="","",IF(원본명단!$K5752="",0,COUNTIF(원본명단!$K$3:$K$6002,원본명단!$K5752)))</f>
        <v/>
      </c>
      <c r="H5753" s="11" t="str">
        <f aca="false">IF($A5753="","",IF(MAX($E5753,$F5753,$G5753)&gt;1,"중복","-"))</f>
        <v/>
      </c>
      <c r="I5753" s="11" t="str">
        <f aca="false">IF($A5753="","",IF($H5753="-","-",IF(AND(IF(원본명단!$H5752="",TRUE(),COUNTIF(원본명단!$H$3:$H5752,원본명단!$H5752)=1),IF(원본명단!$I5752="",TRUE(),COUNTIF(원본명단!$I$3:$I5752,원본명단!$I5752)=1),IF(원본명단!$K5752="",TRUE(),COUNTIF(원본명단!$K$3:$K5752,원본명단!$K5752)=1)),"첫 건","중복 건")))</f>
        <v/>
      </c>
      <c r="J5753" s="11" t="str">
        <f aca="false">IF($A5753="","",IF($H5753="-","유지",IF($I5753="첫 건","유지","확인 필요")))</f>
        <v/>
      </c>
    </row>
    <row r="5754" customFormat="false" ht="15" hidden="false" customHeight="true" outlineLevel="0" collapsed="false">
      <c r="A5754" s="11" t="str">
        <f aca="false">IF(원본명단!$A5753="","",5751)</f>
        <v/>
      </c>
      <c r="B5754" s="12" t="str">
        <f aca="false">IF($A5754="","",원본명단!$A5753)</f>
        <v/>
      </c>
      <c r="C5754" s="12" t="str">
        <f aca="false">IF($A5754="","",원본명단!$B5753)</f>
        <v/>
      </c>
      <c r="D5754" s="12" t="str">
        <f aca="false">IF($A5754="","",원본명단!$D5753)</f>
        <v/>
      </c>
      <c r="E5754" s="11" t="str">
        <f aca="false">IF($A5754="","",IF(원본명단!$H5753="",0,COUNTIF(원본명단!$H$3:$H$6002,원본명단!$H5753)))</f>
        <v/>
      </c>
      <c r="F5754" s="11" t="str">
        <f aca="false">IF($A5754="","",IF(원본명단!$I5753="",0,COUNTIF(원본명단!$I$3:$I$6002,원본명단!$I5753)))</f>
        <v/>
      </c>
      <c r="G5754" s="11" t="str">
        <f aca="false">IF($A5754="","",IF(원본명단!$K5753="",0,COUNTIF(원본명단!$K$3:$K$6002,원본명단!$K5753)))</f>
        <v/>
      </c>
      <c r="H5754" s="11" t="str">
        <f aca="false">IF($A5754="","",IF(MAX($E5754,$F5754,$G5754)&gt;1,"중복","-"))</f>
        <v/>
      </c>
      <c r="I5754" s="11" t="str">
        <f aca="false">IF($A5754="","",IF($H5754="-","-",IF(AND(IF(원본명단!$H5753="",TRUE(),COUNTIF(원본명단!$H$3:$H5753,원본명단!$H5753)=1),IF(원본명단!$I5753="",TRUE(),COUNTIF(원본명단!$I$3:$I5753,원본명단!$I5753)=1),IF(원본명단!$K5753="",TRUE(),COUNTIF(원본명단!$K$3:$K5753,원본명단!$K5753)=1)),"첫 건","중복 건")))</f>
        <v/>
      </c>
      <c r="J5754" s="11" t="str">
        <f aca="false">IF($A5754="","",IF($H5754="-","유지",IF($I5754="첫 건","유지","확인 필요")))</f>
        <v/>
      </c>
    </row>
    <row r="5755" customFormat="false" ht="15" hidden="false" customHeight="true" outlineLevel="0" collapsed="false">
      <c r="A5755" s="11" t="str">
        <f aca="false">IF(원본명단!$A5754="","",5752)</f>
        <v/>
      </c>
      <c r="B5755" s="12" t="str">
        <f aca="false">IF($A5755="","",원본명단!$A5754)</f>
        <v/>
      </c>
      <c r="C5755" s="12" t="str">
        <f aca="false">IF($A5755="","",원본명단!$B5754)</f>
        <v/>
      </c>
      <c r="D5755" s="12" t="str">
        <f aca="false">IF($A5755="","",원본명단!$D5754)</f>
        <v/>
      </c>
      <c r="E5755" s="11" t="str">
        <f aca="false">IF($A5755="","",IF(원본명단!$H5754="",0,COUNTIF(원본명단!$H$3:$H$6002,원본명단!$H5754)))</f>
        <v/>
      </c>
      <c r="F5755" s="11" t="str">
        <f aca="false">IF($A5755="","",IF(원본명단!$I5754="",0,COUNTIF(원본명단!$I$3:$I$6002,원본명단!$I5754)))</f>
        <v/>
      </c>
      <c r="G5755" s="11" t="str">
        <f aca="false">IF($A5755="","",IF(원본명단!$K5754="",0,COUNTIF(원본명단!$K$3:$K$6002,원본명단!$K5754)))</f>
        <v/>
      </c>
      <c r="H5755" s="11" t="str">
        <f aca="false">IF($A5755="","",IF(MAX($E5755,$F5755,$G5755)&gt;1,"중복","-"))</f>
        <v/>
      </c>
      <c r="I5755" s="11" t="str">
        <f aca="false">IF($A5755="","",IF($H5755="-","-",IF(AND(IF(원본명단!$H5754="",TRUE(),COUNTIF(원본명단!$H$3:$H5754,원본명단!$H5754)=1),IF(원본명단!$I5754="",TRUE(),COUNTIF(원본명단!$I$3:$I5754,원본명단!$I5754)=1),IF(원본명단!$K5754="",TRUE(),COUNTIF(원본명단!$K$3:$K5754,원본명단!$K5754)=1)),"첫 건","중복 건")))</f>
        <v/>
      </c>
      <c r="J5755" s="11" t="str">
        <f aca="false">IF($A5755="","",IF($H5755="-","유지",IF($I5755="첫 건","유지","확인 필요")))</f>
        <v/>
      </c>
    </row>
    <row r="5756" customFormat="false" ht="15" hidden="false" customHeight="true" outlineLevel="0" collapsed="false">
      <c r="A5756" s="11" t="str">
        <f aca="false">IF(원본명단!$A5755="","",5753)</f>
        <v/>
      </c>
      <c r="B5756" s="12" t="str">
        <f aca="false">IF($A5756="","",원본명단!$A5755)</f>
        <v/>
      </c>
      <c r="C5756" s="12" t="str">
        <f aca="false">IF($A5756="","",원본명단!$B5755)</f>
        <v/>
      </c>
      <c r="D5756" s="12" t="str">
        <f aca="false">IF($A5756="","",원본명단!$D5755)</f>
        <v/>
      </c>
      <c r="E5756" s="11" t="str">
        <f aca="false">IF($A5756="","",IF(원본명단!$H5755="",0,COUNTIF(원본명단!$H$3:$H$6002,원본명단!$H5755)))</f>
        <v/>
      </c>
      <c r="F5756" s="11" t="str">
        <f aca="false">IF($A5756="","",IF(원본명단!$I5755="",0,COUNTIF(원본명단!$I$3:$I$6002,원본명단!$I5755)))</f>
        <v/>
      </c>
      <c r="G5756" s="11" t="str">
        <f aca="false">IF($A5756="","",IF(원본명단!$K5755="",0,COUNTIF(원본명단!$K$3:$K$6002,원본명단!$K5755)))</f>
        <v/>
      </c>
      <c r="H5756" s="11" t="str">
        <f aca="false">IF($A5756="","",IF(MAX($E5756,$F5756,$G5756)&gt;1,"중복","-"))</f>
        <v/>
      </c>
      <c r="I5756" s="11" t="str">
        <f aca="false">IF($A5756="","",IF($H5756="-","-",IF(AND(IF(원본명단!$H5755="",TRUE(),COUNTIF(원본명단!$H$3:$H5755,원본명단!$H5755)=1),IF(원본명단!$I5755="",TRUE(),COUNTIF(원본명단!$I$3:$I5755,원본명단!$I5755)=1),IF(원본명단!$K5755="",TRUE(),COUNTIF(원본명단!$K$3:$K5755,원본명단!$K5755)=1)),"첫 건","중복 건")))</f>
        <v/>
      </c>
      <c r="J5756" s="11" t="str">
        <f aca="false">IF($A5756="","",IF($H5756="-","유지",IF($I5756="첫 건","유지","확인 필요")))</f>
        <v/>
      </c>
    </row>
    <row r="5757" customFormat="false" ht="15" hidden="false" customHeight="true" outlineLevel="0" collapsed="false">
      <c r="A5757" s="11" t="str">
        <f aca="false">IF(원본명단!$A5756="","",5754)</f>
        <v/>
      </c>
      <c r="B5757" s="12" t="str">
        <f aca="false">IF($A5757="","",원본명단!$A5756)</f>
        <v/>
      </c>
      <c r="C5757" s="12" t="str">
        <f aca="false">IF($A5757="","",원본명단!$B5756)</f>
        <v/>
      </c>
      <c r="D5757" s="12" t="str">
        <f aca="false">IF($A5757="","",원본명단!$D5756)</f>
        <v/>
      </c>
      <c r="E5757" s="11" t="str">
        <f aca="false">IF($A5757="","",IF(원본명단!$H5756="",0,COUNTIF(원본명단!$H$3:$H$6002,원본명단!$H5756)))</f>
        <v/>
      </c>
      <c r="F5757" s="11" t="str">
        <f aca="false">IF($A5757="","",IF(원본명단!$I5756="",0,COUNTIF(원본명단!$I$3:$I$6002,원본명단!$I5756)))</f>
        <v/>
      </c>
      <c r="G5757" s="11" t="str">
        <f aca="false">IF($A5757="","",IF(원본명단!$K5756="",0,COUNTIF(원본명단!$K$3:$K$6002,원본명단!$K5756)))</f>
        <v/>
      </c>
      <c r="H5757" s="11" t="str">
        <f aca="false">IF($A5757="","",IF(MAX($E5757,$F5757,$G5757)&gt;1,"중복","-"))</f>
        <v/>
      </c>
      <c r="I5757" s="11" t="str">
        <f aca="false">IF($A5757="","",IF($H5757="-","-",IF(AND(IF(원본명단!$H5756="",TRUE(),COUNTIF(원본명단!$H$3:$H5756,원본명단!$H5756)=1),IF(원본명단!$I5756="",TRUE(),COUNTIF(원본명단!$I$3:$I5756,원본명단!$I5756)=1),IF(원본명단!$K5756="",TRUE(),COUNTIF(원본명단!$K$3:$K5756,원본명단!$K5756)=1)),"첫 건","중복 건")))</f>
        <v/>
      </c>
      <c r="J5757" s="11" t="str">
        <f aca="false">IF($A5757="","",IF($H5757="-","유지",IF($I5757="첫 건","유지","확인 필요")))</f>
        <v/>
      </c>
    </row>
    <row r="5758" customFormat="false" ht="15" hidden="false" customHeight="true" outlineLevel="0" collapsed="false">
      <c r="A5758" s="11" t="str">
        <f aca="false">IF(원본명단!$A5757="","",5755)</f>
        <v/>
      </c>
      <c r="B5758" s="12" t="str">
        <f aca="false">IF($A5758="","",원본명단!$A5757)</f>
        <v/>
      </c>
      <c r="C5758" s="12" t="str">
        <f aca="false">IF($A5758="","",원본명단!$B5757)</f>
        <v/>
      </c>
      <c r="D5758" s="12" t="str">
        <f aca="false">IF($A5758="","",원본명단!$D5757)</f>
        <v/>
      </c>
      <c r="E5758" s="11" t="str">
        <f aca="false">IF($A5758="","",IF(원본명단!$H5757="",0,COUNTIF(원본명단!$H$3:$H$6002,원본명단!$H5757)))</f>
        <v/>
      </c>
      <c r="F5758" s="11" t="str">
        <f aca="false">IF($A5758="","",IF(원본명단!$I5757="",0,COUNTIF(원본명단!$I$3:$I$6002,원본명단!$I5757)))</f>
        <v/>
      </c>
      <c r="G5758" s="11" t="str">
        <f aca="false">IF($A5758="","",IF(원본명단!$K5757="",0,COUNTIF(원본명단!$K$3:$K$6002,원본명단!$K5757)))</f>
        <v/>
      </c>
      <c r="H5758" s="11" t="str">
        <f aca="false">IF($A5758="","",IF(MAX($E5758,$F5758,$G5758)&gt;1,"중복","-"))</f>
        <v/>
      </c>
      <c r="I5758" s="11" t="str">
        <f aca="false">IF($A5758="","",IF($H5758="-","-",IF(AND(IF(원본명단!$H5757="",TRUE(),COUNTIF(원본명단!$H$3:$H5757,원본명단!$H5757)=1),IF(원본명단!$I5757="",TRUE(),COUNTIF(원본명단!$I$3:$I5757,원본명단!$I5757)=1),IF(원본명단!$K5757="",TRUE(),COUNTIF(원본명단!$K$3:$K5757,원본명단!$K5757)=1)),"첫 건","중복 건")))</f>
        <v/>
      </c>
      <c r="J5758" s="11" t="str">
        <f aca="false">IF($A5758="","",IF($H5758="-","유지",IF($I5758="첫 건","유지","확인 필요")))</f>
        <v/>
      </c>
    </row>
    <row r="5759" customFormat="false" ht="15" hidden="false" customHeight="true" outlineLevel="0" collapsed="false">
      <c r="A5759" s="11" t="str">
        <f aca="false">IF(원본명단!$A5758="","",5756)</f>
        <v/>
      </c>
      <c r="B5759" s="12" t="str">
        <f aca="false">IF($A5759="","",원본명단!$A5758)</f>
        <v/>
      </c>
      <c r="C5759" s="12" t="str">
        <f aca="false">IF($A5759="","",원본명단!$B5758)</f>
        <v/>
      </c>
      <c r="D5759" s="12" t="str">
        <f aca="false">IF($A5759="","",원본명단!$D5758)</f>
        <v/>
      </c>
      <c r="E5759" s="11" t="str">
        <f aca="false">IF($A5759="","",IF(원본명단!$H5758="",0,COUNTIF(원본명단!$H$3:$H$6002,원본명단!$H5758)))</f>
        <v/>
      </c>
      <c r="F5759" s="11" t="str">
        <f aca="false">IF($A5759="","",IF(원본명단!$I5758="",0,COUNTIF(원본명단!$I$3:$I$6002,원본명단!$I5758)))</f>
        <v/>
      </c>
      <c r="G5759" s="11" t="str">
        <f aca="false">IF($A5759="","",IF(원본명단!$K5758="",0,COUNTIF(원본명단!$K$3:$K$6002,원본명단!$K5758)))</f>
        <v/>
      </c>
      <c r="H5759" s="11" t="str">
        <f aca="false">IF($A5759="","",IF(MAX($E5759,$F5759,$G5759)&gt;1,"중복","-"))</f>
        <v/>
      </c>
      <c r="I5759" s="11" t="str">
        <f aca="false">IF($A5759="","",IF($H5759="-","-",IF(AND(IF(원본명단!$H5758="",TRUE(),COUNTIF(원본명단!$H$3:$H5758,원본명단!$H5758)=1),IF(원본명단!$I5758="",TRUE(),COUNTIF(원본명단!$I$3:$I5758,원본명단!$I5758)=1),IF(원본명단!$K5758="",TRUE(),COUNTIF(원본명단!$K$3:$K5758,원본명단!$K5758)=1)),"첫 건","중복 건")))</f>
        <v/>
      </c>
      <c r="J5759" s="11" t="str">
        <f aca="false">IF($A5759="","",IF($H5759="-","유지",IF($I5759="첫 건","유지","확인 필요")))</f>
        <v/>
      </c>
    </row>
    <row r="5760" customFormat="false" ht="15" hidden="false" customHeight="true" outlineLevel="0" collapsed="false">
      <c r="A5760" s="11" t="str">
        <f aca="false">IF(원본명단!$A5759="","",5757)</f>
        <v/>
      </c>
      <c r="B5760" s="12" t="str">
        <f aca="false">IF($A5760="","",원본명단!$A5759)</f>
        <v/>
      </c>
      <c r="C5760" s="12" t="str">
        <f aca="false">IF($A5760="","",원본명단!$B5759)</f>
        <v/>
      </c>
      <c r="D5760" s="12" t="str">
        <f aca="false">IF($A5760="","",원본명단!$D5759)</f>
        <v/>
      </c>
      <c r="E5760" s="11" t="str">
        <f aca="false">IF($A5760="","",IF(원본명단!$H5759="",0,COUNTIF(원본명단!$H$3:$H$6002,원본명단!$H5759)))</f>
        <v/>
      </c>
      <c r="F5760" s="11" t="str">
        <f aca="false">IF($A5760="","",IF(원본명단!$I5759="",0,COUNTIF(원본명단!$I$3:$I$6002,원본명단!$I5759)))</f>
        <v/>
      </c>
      <c r="G5760" s="11" t="str">
        <f aca="false">IF($A5760="","",IF(원본명단!$K5759="",0,COUNTIF(원본명단!$K$3:$K$6002,원본명단!$K5759)))</f>
        <v/>
      </c>
      <c r="H5760" s="11" t="str">
        <f aca="false">IF($A5760="","",IF(MAX($E5760,$F5760,$G5760)&gt;1,"중복","-"))</f>
        <v/>
      </c>
      <c r="I5760" s="11" t="str">
        <f aca="false">IF($A5760="","",IF($H5760="-","-",IF(AND(IF(원본명단!$H5759="",TRUE(),COUNTIF(원본명단!$H$3:$H5759,원본명단!$H5759)=1),IF(원본명단!$I5759="",TRUE(),COUNTIF(원본명단!$I$3:$I5759,원본명단!$I5759)=1),IF(원본명단!$K5759="",TRUE(),COUNTIF(원본명단!$K$3:$K5759,원본명단!$K5759)=1)),"첫 건","중복 건")))</f>
        <v/>
      </c>
      <c r="J5760" s="11" t="str">
        <f aca="false">IF($A5760="","",IF($H5760="-","유지",IF($I5760="첫 건","유지","확인 필요")))</f>
        <v/>
      </c>
    </row>
    <row r="5761" customFormat="false" ht="15" hidden="false" customHeight="true" outlineLevel="0" collapsed="false">
      <c r="A5761" s="11" t="str">
        <f aca="false">IF(원본명단!$A5760="","",5758)</f>
        <v/>
      </c>
      <c r="B5761" s="12" t="str">
        <f aca="false">IF($A5761="","",원본명단!$A5760)</f>
        <v/>
      </c>
      <c r="C5761" s="12" t="str">
        <f aca="false">IF($A5761="","",원본명단!$B5760)</f>
        <v/>
      </c>
      <c r="D5761" s="12" t="str">
        <f aca="false">IF($A5761="","",원본명단!$D5760)</f>
        <v/>
      </c>
      <c r="E5761" s="11" t="str">
        <f aca="false">IF($A5761="","",IF(원본명단!$H5760="",0,COUNTIF(원본명단!$H$3:$H$6002,원본명단!$H5760)))</f>
        <v/>
      </c>
      <c r="F5761" s="11" t="str">
        <f aca="false">IF($A5761="","",IF(원본명단!$I5760="",0,COUNTIF(원본명단!$I$3:$I$6002,원본명단!$I5760)))</f>
        <v/>
      </c>
      <c r="G5761" s="11" t="str">
        <f aca="false">IF($A5761="","",IF(원본명단!$K5760="",0,COUNTIF(원본명단!$K$3:$K$6002,원본명단!$K5760)))</f>
        <v/>
      </c>
      <c r="H5761" s="11" t="str">
        <f aca="false">IF($A5761="","",IF(MAX($E5761,$F5761,$G5761)&gt;1,"중복","-"))</f>
        <v/>
      </c>
      <c r="I5761" s="11" t="str">
        <f aca="false">IF($A5761="","",IF($H5761="-","-",IF(AND(IF(원본명단!$H5760="",TRUE(),COUNTIF(원본명단!$H$3:$H5760,원본명단!$H5760)=1),IF(원본명단!$I5760="",TRUE(),COUNTIF(원본명단!$I$3:$I5760,원본명단!$I5760)=1),IF(원본명단!$K5760="",TRUE(),COUNTIF(원본명단!$K$3:$K5760,원본명단!$K5760)=1)),"첫 건","중복 건")))</f>
        <v/>
      </c>
      <c r="J5761" s="11" t="str">
        <f aca="false">IF($A5761="","",IF($H5761="-","유지",IF($I5761="첫 건","유지","확인 필요")))</f>
        <v/>
      </c>
    </row>
    <row r="5762" customFormat="false" ht="15" hidden="false" customHeight="true" outlineLevel="0" collapsed="false">
      <c r="A5762" s="11" t="str">
        <f aca="false">IF(원본명단!$A5761="","",5759)</f>
        <v/>
      </c>
      <c r="B5762" s="12" t="str">
        <f aca="false">IF($A5762="","",원본명단!$A5761)</f>
        <v/>
      </c>
      <c r="C5762" s="12" t="str">
        <f aca="false">IF($A5762="","",원본명단!$B5761)</f>
        <v/>
      </c>
      <c r="D5762" s="12" t="str">
        <f aca="false">IF($A5762="","",원본명단!$D5761)</f>
        <v/>
      </c>
      <c r="E5762" s="11" t="str">
        <f aca="false">IF($A5762="","",IF(원본명단!$H5761="",0,COUNTIF(원본명단!$H$3:$H$6002,원본명단!$H5761)))</f>
        <v/>
      </c>
      <c r="F5762" s="11" t="str">
        <f aca="false">IF($A5762="","",IF(원본명단!$I5761="",0,COUNTIF(원본명단!$I$3:$I$6002,원본명단!$I5761)))</f>
        <v/>
      </c>
      <c r="G5762" s="11" t="str">
        <f aca="false">IF($A5762="","",IF(원본명단!$K5761="",0,COUNTIF(원본명단!$K$3:$K$6002,원본명단!$K5761)))</f>
        <v/>
      </c>
      <c r="H5762" s="11" t="str">
        <f aca="false">IF($A5762="","",IF(MAX($E5762,$F5762,$G5762)&gt;1,"중복","-"))</f>
        <v/>
      </c>
      <c r="I5762" s="11" t="str">
        <f aca="false">IF($A5762="","",IF($H5762="-","-",IF(AND(IF(원본명단!$H5761="",TRUE(),COUNTIF(원본명단!$H$3:$H5761,원본명단!$H5761)=1),IF(원본명단!$I5761="",TRUE(),COUNTIF(원본명단!$I$3:$I5761,원본명단!$I5761)=1),IF(원본명단!$K5761="",TRUE(),COUNTIF(원본명단!$K$3:$K5761,원본명단!$K5761)=1)),"첫 건","중복 건")))</f>
        <v/>
      </c>
      <c r="J5762" s="11" t="str">
        <f aca="false">IF($A5762="","",IF($H5762="-","유지",IF($I5762="첫 건","유지","확인 필요")))</f>
        <v/>
      </c>
    </row>
    <row r="5763" customFormat="false" ht="15" hidden="false" customHeight="true" outlineLevel="0" collapsed="false">
      <c r="A5763" s="11" t="str">
        <f aca="false">IF(원본명단!$A5762="","",5760)</f>
        <v/>
      </c>
      <c r="B5763" s="12" t="str">
        <f aca="false">IF($A5763="","",원본명단!$A5762)</f>
        <v/>
      </c>
      <c r="C5763" s="12" t="str">
        <f aca="false">IF($A5763="","",원본명단!$B5762)</f>
        <v/>
      </c>
      <c r="D5763" s="12" t="str">
        <f aca="false">IF($A5763="","",원본명단!$D5762)</f>
        <v/>
      </c>
      <c r="E5763" s="11" t="str">
        <f aca="false">IF($A5763="","",IF(원본명단!$H5762="",0,COUNTIF(원본명단!$H$3:$H$6002,원본명단!$H5762)))</f>
        <v/>
      </c>
      <c r="F5763" s="11" t="str">
        <f aca="false">IF($A5763="","",IF(원본명단!$I5762="",0,COUNTIF(원본명단!$I$3:$I$6002,원본명단!$I5762)))</f>
        <v/>
      </c>
      <c r="G5763" s="11" t="str">
        <f aca="false">IF($A5763="","",IF(원본명단!$K5762="",0,COUNTIF(원본명단!$K$3:$K$6002,원본명단!$K5762)))</f>
        <v/>
      </c>
      <c r="H5763" s="11" t="str">
        <f aca="false">IF($A5763="","",IF(MAX($E5763,$F5763,$G5763)&gt;1,"중복","-"))</f>
        <v/>
      </c>
      <c r="I5763" s="11" t="str">
        <f aca="false">IF($A5763="","",IF($H5763="-","-",IF(AND(IF(원본명단!$H5762="",TRUE(),COUNTIF(원본명단!$H$3:$H5762,원본명단!$H5762)=1),IF(원본명단!$I5762="",TRUE(),COUNTIF(원본명단!$I$3:$I5762,원본명단!$I5762)=1),IF(원본명단!$K5762="",TRUE(),COUNTIF(원본명단!$K$3:$K5762,원본명단!$K5762)=1)),"첫 건","중복 건")))</f>
        <v/>
      </c>
      <c r="J5763" s="11" t="str">
        <f aca="false">IF($A5763="","",IF($H5763="-","유지",IF($I5763="첫 건","유지","확인 필요")))</f>
        <v/>
      </c>
    </row>
    <row r="5764" customFormat="false" ht="15" hidden="false" customHeight="true" outlineLevel="0" collapsed="false">
      <c r="A5764" s="11" t="str">
        <f aca="false">IF(원본명단!$A5763="","",5761)</f>
        <v/>
      </c>
      <c r="B5764" s="12" t="str">
        <f aca="false">IF($A5764="","",원본명단!$A5763)</f>
        <v/>
      </c>
      <c r="C5764" s="12" t="str">
        <f aca="false">IF($A5764="","",원본명단!$B5763)</f>
        <v/>
      </c>
      <c r="D5764" s="12" t="str">
        <f aca="false">IF($A5764="","",원본명단!$D5763)</f>
        <v/>
      </c>
      <c r="E5764" s="11" t="str">
        <f aca="false">IF($A5764="","",IF(원본명단!$H5763="",0,COUNTIF(원본명단!$H$3:$H$6002,원본명단!$H5763)))</f>
        <v/>
      </c>
      <c r="F5764" s="11" t="str">
        <f aca="false">IF($A5764="","",IF(원본명단!$I5763="",0,COUNTIF(원본명단!$I$3:$I$6002,원본명단!$I5763)))</f>
        <v/>
      </c>
      <c r="G5764" s="11" t="str">
        <f aca="false">IF($A5764="","",IF(원본명단!$K5763="",0,COUNTIF(원본명단!$K$3:$K$6002,원본명단!$K5763)))</f>
        <v/>
      </c>
      <c r="H5764" s="11" t="str">
        <f aca="false">IF($A5764="","",IF(MAX($E5764,$F5764,$G5764)&gt;1,"중복","-"))</f>
        <v/>
      </c>
      <c r="I5764" s="11" t="str">
        <f aca="false">IF($A5764="","",IF($H5764="-","-",IF(AND(IF(원본명단!$H5763="",TRUE(),COUNTIF(원본명단!$H$3:$H5763,원본명단!$H5763)=1),IF(원본명단!$I5763="",TRUE(),COUNTIF(원본명단!$I$3:$I5763,원본명단!$I5763)=1),IF(원본명단!$K5763="",TRUE(),COUNTIF(원본명단!$K$3:$K5763,원본명단!$K5763)=1)),"첫 건","중복 건")))</f>
        <v/>
      </c>
      <c r="J5764" s="11" t="str">
        <f aca="false">IF($A5764="","",IF($H5764="-","유지",IF($I5764="첫 건","유지","확인 필요")))</f>
        <v/>
      </c>
    </row>
    <row r="5765" customFormat="false" ht="15" hidden="false" customHeight="true" outlineLevel="0" collapsed="false">
      <c r="A5765" s="11" t="str">
        <f aca="false">IF(원본명단!$A5764="","",5762)</f>
        <v/>
      </c>
      <c r="B5765" s="12" t="str">
        <f aca="false">IF($A5765="","",원본명단!$A5764)</f>
        <v/>
      </c>
      <c r="C5765" s="12" t="str">
        <f aca="false">IF($A5765="","",원본명단!$B5764)</f>
        <v/>
      </c>
      <c r="D5765" s="12" t="str">
        <f aca="false">IF($A5765="","",원본명단!$D5764)</f>
        <v/>
      </c>
      <c r="E5765" s="11" t="str">
        <f aca="false">IF($A5765="","",IF(원본명단!$H5764="",0,COUNTIF(원본명단!$H$3:$H$6002,원본명단!$H5764)))</f>
        <v/>
      </c>
      <c r="F5765" s="11" t="str">
        <f aca="false">IF($A5765="","",IF(원본명단!$I5764="",0,COUNTIF(원본명단!$I$3:$I$6002,원본명단!$I5764)))</f>
        <v/>
      </c>
      <c r="G5765" s="11" t="str">
        <f aca="false">IF($A5765="","",IF(원본명단!$K5764="",0,COUNTIF(원본명단!$K$3:$K$6002,원본명단!$K5764)))</f>
        <v/>
      </c>
      <c r="H5765" s="11" t="str">
        <f aca="false">IF($A5765="","",IF(MAX($E5765,$F5765,$G5765)&gt;1,"중복","-"))</f>
        <v/>
      </c>
      <c r="I5765" s="11" t="str">
        <f aca="false">IF($A5765="","",IF($H5765="-","-",IF(AND(IF(원본명단!$H5764="",TRUE(),COUNTIF(원본명단!$H$3:$H5764,원본명단!$H5764)=1),IF(원본명단!$I5764="",TRUE(),COUNTIF(원본명단!$I$3:$I5764,원본명단!$I5764)=1),IF(원본명단!$K5764="",TRUE(),COUNTIF(원본명단!$K$3:$K5764,원본명단!$K5764)=1)),"첫 건","중복 건")))</f>
        <v/>
      </c>
      <c r="J5765" s="11" t="str">
        <f aca="false">IF($A5765="","",IF($H5765="-","유지",IF($I5765="첫 건","유지","확인 필요")))</f>
        <v/>
      </c>
    </row>
    <row r="5766" customFormat="false" ht="15" hidden="false" customHeight="true" outlineLevel="0" collapsed="false">
      <c r="A5766" s="11" t="str">
        <f aca="false">IF(원본명단!$A5765="","",5763)</f>
        <v/>
      </c>
      <c r="B5766" s="12" t="str">
        <f aca="false">IF($A5766="","",원본명단!$A5765)</f>
        <v/>
      </c>
      <c r="C5766" s="12" t="str">
        <f aca="false">IF($A5766="","",원본명단!$B5765)</f>
        <v/>
      </c>
      <c r="D5766" s="12" t="str">
        <f aca="false">IF($A5766="","",원본명단!$D5765)</f>
        <v/>
      </c>
      <c r="E5766" s="11" t="str">
        <f aca="false">IF($A5766="","",IF(원본명단!$H5765="",0,COUNTIF(원본명단!$H$3:$H$6002,원본명단!$H5765)))</f>
        <v/>
      </c>
      <c r="F5766" s="11" t="str">
        <f aca="false">IF($A5766="","",IF(원본명단!$I5765="",0,COUNTIF(원본명단!$I$3:$I$6002,원본명단!$I5765)))</f>
        <v/>
      </c>
      <c r="G5766" s="11" t="str">
        <f aca="false">IF($A5766="","",IF(원본명단!$K5765="",0,COUNTIF(원본명단!$K$3:$K$6002,원본명단!$K5765)))</f>
        <v/>
      </c>
      <c r="H5766" s="11" t="str">
        <f aca="false">IF($A5766="","",IF(MAX($E5766,$F5766,$G5766)&gt;1,"중복","-"))</f>
        <v/>
      </c>
      <c r="I5766" s="11" t="str">
        <f aca="false">IF($A5766="","",IF($H5766="-","-",IF(AND(IF(원본명단!$H5765="",TRUE(),COUNTIF(원본명단!$H$3:$H5765,원본명단!$H5765)=1),IF(원본명단!$I5765="",TRUE(),COUNTIF(원본명단!$I$3:$I5765,원본명단!$I5765)=1),IF(원본명단!$K5765="",TRUE(),COUNTIF(원본명단!$K$3:$K5765,원본명단!$K5765)=1)),"첫 건","중복 건")))</f>
        <v/>
      </c>
      <c r="J5766" s="11" t="str">
        <f aca="false">IF($A5766="","",IF($H5766="-","유지",IF($I5766="첫 건","유지","확인 필요")))</f>
        <v/>
      </c>
    </row>
    <row r="5767" customFormat="false" ht="15" hidden="false" customHeight="true" outlineLevel="0" collapsed="false">
      <c r="A5767" s="11" t="str">
        <f aca="false">IF(원본명단!$A5766="","",5764)</f>
        <v/>
      </c>
      <c r="B5767" s="12" t="str">
        <f aca="false">IF($A5767="","",원본명단!$A5766)</f>
        <v/>
      </c>
      <c r="C5767" s="12" t="str">
        <f aca="false">IF($A5767="","",원본명단!$B5766)</f>
        <v/>
      </c>
      <c r="D5767" s="12" t="str">
        <f aca="false">IF($A5767="","",원본명단!$D5766)</f>
        <v/>
      </c>
      <c r="E5767" s="11" t="str">
        <f aca="false">IF($A5767="","",IF(원본명단!$H5766="",0,COUNTIF(원본명단!$H$3:$H$6002,원본명단!$H5766)))</f>
        <v/>
      </c>
      <c r="F5767" s="11" t="str">
        <f aca="false">IF($A5767="","",IF(원본명단!$I5766="",0,COUNTIF(원본명단!$I$3:$I$6002,원본명단!$I5766)))</f>
        <v/>
      </c>
      <c r="G5767" s="11" t="str">
        <f aca="false">IF($A5767="","",IF(원본명단!$K5766="",0,COUNTIF(원본명단!$K$3:$K$6002,원본명단!$K5766)))</f>
        <v/>
      </c>
      <c r="H5767" s="11" t="str">
        <f aca="false">IF($A5767="","",IF(MAX($E5767,$F5767,$G5767)&gt;1,"중복","-"))</f>
        <v/>
      </c>
      <c r="I5767" s="11" t="str">
        <f aca="false">IF($A5767="","",IF($H5767="-","-",IF(AND(IF(원본명단!$H5766="",TRUE(),COUNTIF(원본명단!$H$3:$H5766,원본명단!$H5766)=1),IF(원본명단!$I5766="",TRUE(),COUNTIF(원본명단!$I$3:$I5766,원본명단!$I5766)=1),IF(원본명단!$K5766="",TRUE(),COUNTIF(원본명단!$K$3:$K5766,원본명단!$K5766)=1)),"첫 건","중복 건")))</f>
        <v/>
      </c>
      <c r="J5767" s="11" t="str">
        <f aca="false">IF($A5767="","",IF($H5767="-","유지",IF($I5767="첫 건","유지","확인 필요")))</f>
        <v/>
      </c>
    </row>
    <row r="5768" customFormat="false" ht="15" hidden="false" customHeight="true" outlineLevel="0" collapsed="false">
      <c r="A5768" s="11" t="str">
        <f aca="false">IF(원본명단!$A5767="","",5765)</f>
        <v/>
      </c>
      <c r="B5768" s="12" t="str">
        <f aca="false">IF($A5768="","",원본명단!$A5767)</f>
        <v/>
      </c>
      <c r="C5768" s="12" t="str">
        <f aca="false">IF($A5768="","",원본명단!$B5767)</f>
        <v/>
      </c>
      <c r="D5768" s="12" t="str">
        <f aca="false">IF($A5768="","",원본명단!$D5767)</f>
        <v/>
      </c>
      <c r="E5768" s="11" t="str">
        <f aca="false">IF($A5768="","",IF(원본명단!$H5767="",0,COUNTIF(원본명단!$H$3:$H$6002,원본명단!$H5767)))</f>
        <v/>
      </c>
      <c r="F5768" s="11" t="str">
        <f aca="false">IF($A5768="","",IF(원본명단!$I5767="",0,COUNTIF(원본명단!$I$3:$I$6002,원본명단!$I5767)))</f>
        <v/>
      </c>
      <c r="G5768" s="11" t="str">
        <f aca="false">IF($A5768="","",IF(원본명단!$K5767="",0,COUNTIF(원본명단!$K$3:$K$6002,원본명단!$K5767)))</f>
        <v/>
      </c>
      <c r="H5768" s="11" t="str">
        <f aca="false">IF($A5768="","",IF(MAX($E5768,$F5768,$G5768)&gt;1,"중복","-"))</f>
        <v/>
      </c>
      <c r="I5768" s="11" t="str">
        <f aca="false">IF($A5768="","",IF($H5768="-","-",IF(AND(IF(원본명단!$H5767="",TRUE(),COUNTIF(원본명단!$H$3:$H5767,원본명단!$H5767)=1),IF(원본명단!$I5767="",TRUE(),COUNTIF(원본명단!$I$3:$I5767,원본명단!$I5767)=1),IF(원본명단!$K5767="",TRUE(),COUNTIF(원본명단!$K$3:$K5767,원본명단!$K5767)=1)),"첫 건","중복 건")))</f>
        <v/>
      </c>
      <c r="J5768" s="11" t="str">
        <f aca="false">IF($A5768="","",IF($H5768="-","유지",IF($I5768="첫 건","유지","확인 필요")))</f>
        <v/>
      </c>
    </row>
    <row r="5769" customFormat="false" ht="15" hidden="false" customHeight="true" outlineLevel="0" collapsed="false">
      <c r="A5769" s="11" t="str">
        <f aca="false">IF(원본명단!$A5768="","",5766)</f>
        <v/>
      </c>
      <c r="B5769" s="12" t="str">
        <f aca="false">IF($A5769="","",원본명단!$A5768)</f>
        <v/>
      </c>
      <c r="C5769" s="12" t="str">
        <f aca="false">IF($A5769="","",원본명단!$B5768)</f>
        <v/>
      </c>
      <c r="D5769" s="12" t="str">
        <f aca="false">IF($A5769="","",원본명단!$D5768)</f>
        <v/>
      </c>
      <c r="E5769" s="11" t="str">
        <f aca="false">IF($A5769="","",IF(원본명단!$H5768="",0,COUNTIF(원본명단!$H$3:$H$6002,원본명단!$H5768)))</f>
        <v/>
      </c>
      <c r="F5769" s="11" t="str">
        <f aca="false">IF($A5769="","",IF(원본명단!$I5768="",0,COUNTIF(원본명단!$I$3:$I$6002,원본명단!$I5768)))</f>
        <v/>
      </c>
      <c r="G5769" s="11" t="str">
        <f aca="false">IF($A5769="","",IF(원본명단!$K5768="",0,COUNTIF(원본명단!$K$3:$K$6002,원본명단!$K5768)))</f>
        <v/>
      </c>
      <c r="H5769" s="11" t="str">
        <f aca="false">IF($A5769="","",IF(MAX($E5769,$F5769,$G5769)&gt;1,"중복","-"))</f>
        <v/>
      </c>
      <c r="I5769" s="11" t="str">
        <f aca="false">IF($A5769="","",IF($H5769="-","-",IF(AND(IF(원본명단!$H5768="",TRUE(),COUNTIF(원본명단!$H$3:$H5768,원본명단!$H5768)=1),IF(원본명단!$I5768="",TRUE(),COUNTIF(원본명단!$I$3:$I5768,원본명단!$I5768)=1),IF(원본명단!$K5768="",TRUE(),COUNTIF(원본명단!$K$3:$K5768,원본명단!$K5768)=1)),"첫 건","중복 건")))</f>
        <v/>
      </c>
      <c r="J5769" s="11" t="str">
        <f aca="false">IF($A5769="","",IF($H5769="-","유지",IF($I5769="첫 건","유지","확인 필요")))</f>
        <v/>
      </c>
    </row>
    <row r="5770" customFormat="false" ht="15" hidden="false" customHeight="true" outlineLevel="0" collapsed="false">
      <c r="A5770" s="11" t="str">
        <f aca="false">IF(원본명단!$A5769="","",5767)</f>
        <v/>
      </c>
      <c r="B5770" s="12" t="str">
        <f aca="false">IF($A5770="","",원본명단!$A5769)</f>
        <v/>
      </c>
      <c r="C5770" s="12" t="str">
        <f aca="false">IF($A5770="","",원본명단!$B5769)</f>
        <v/>
      </c>
      <c r="D5770" s="12" t="str">
        <f aca="false">IF($A5770="","",원본명단!$D5769)</f>
        <v/>
      </c>
      <c r="E5770" s="11" t="str">
        <f aca="false">IF($A5770="","",IF(원본명단!$H5769="",0,COUNTIF(원본명단!$H$3:$H$6002,원본명단!$H5769)))</f>
        <v/>
      </c>
      <c r="F5770" s="11" t="str">
        <f aca="false">IF($A5770="","",IF(원본명단!$I5769="",0,COUNTIF(원본명단!$I$3:$I$6002,원본명단!$I5769)))</f>
        <v/>
      </c>
      <c r="G5770" s="11" t="str">
        <f aca="false">IF($A5770="","",IF(원본명단!$K5769="",0,COUNTIF(원본명단!$K$3:$K$6002,원본명단!$K5769)))</f>
        <v/>
      </c>
      <c r="H5770" s="11" t="str">
        <f aca="false">IF($A5770="","",IF(MAX($E5770,$F5770,$G5770)&gt;1,"중복","-"))</f>
        <v/>
      </c>
      <c r="I5770" s="11" t="str">
        <f aca="false">IF($A5770="","",IF($H5770="-","-",IF(AND(IF(원본명단!$H5769="",TRUE(),COUNTIF(원본명단!$H$3:$H5769,원본명단!$H5769)=1),IF(원본명단!$I5769="",TRUE(),COUNTIF(원본명단!$I$3:$I5769,원본명단!$I5769)=1),IF(원본명단!$K5769="",TRUE(),COUNTIF(원본명단!$K$3:$K5769,원본명단!$K5769)=1)),"첫 건","중복 건")))</f>
        <v/>
      </c>
      <c r="J5770" s="11" t="str">
        <f aca="false">IF($A5770="","",IF($H5770="-","유지",IF($I5770="첫 건","유지","확인 필요")))</f>
        <v/>
      </c>
    </row>
    <row r="5771" customFormat="false" ht="15" hidden="false" customHeight="true" outlineLevel="0" collapsed="false">
      <c r="A5771" s="11" t="str">
        <f aca="false">IF(원본명단!$A5770="","",5768)</f>
        <v/>
      </c>
      <c r="B5771" s="12" t="str">
        <f aca="false">IF($A5771="","",원본명단!$A5770)</f>
        <v/>
      </c>
      <c r="C5771" s="12" t="str">
        <f aca="false">IF($A5771="","",원본명단!$B5770)</f>
        <v/>
      </c>
      <c r="D5771" s="12" t="str">
        <f aca="false">IF($A5771="","",원본명단!$D5770)</f>
        <v/>
      </c>
      <c r="E5771" s="11" t="str">
        <f aca="false">IF($A5771="","",IF(원본명단!$H5770="",0,COUNTIF(원본명단!$H$3:$H$6002,원본명단!$H5770)))</f>
        <v/>
      </c>
      <c r="F5771" s="11" t="str">
        <f aca="false">IF($A5771="","",IF(원본명단!$I5770="",0,COUNTIF(원본명단!$I$3:$I$6002,원본명단!$I5770)))</f>
        <v/>
      </c>
      <c r="G5771" s="11" t="str">
        <f aca="false">IF($A5771="","",IF(원본명단!$K5770="",0,COUNTIF(원본명단!$K$3:$K$6002,원본명단!$K5770)))</f>
        <v/>
      </c>
      <c r="H5771" s="11" t="str">
        <f aca="false">IF($A5771="","",IF(MAX($E5771,$F5771,$G5771)&gt;1,"중복","-"))</f>
        <v/>
      </c>
      <c r="I5771" s="11" t="str">
        <f aca="false">IF($A5771="","",IF($H5771="-","-",IF(AND(IF(원본명단!$H5770="",TRUE(),COUNTIF(원본명단!$H$3:$H5770,원본명단!$H5770)=1),IF(원본명단!$I5770="",TRUE(),COUNTIF(원본명단!$I$3:$I5770,원본명단!$I5770)=1),IF(원본명단!$K5770="",TRUE(),COUNTIF(원본명단!$K$3:$K5770,원본명단!$K5770)=1)),"첫 건","중복 건")))</f>
        <v/>
      </c>
      <c r="J5771" s="11" t="str">
        <f aca="false">IF($A5771="","",IF($H5771="-","유지",IF($I5771="첫 건","유지","확인 필요")))</f>
        <v/>
      </c>
    </row>
    <row r="5772" customFormat="false" ht="15" hidden="false" customHeight="true" outlineLevel="0" collapsed="false">
      <c r="A5772" s="11" t="str">
        <f aca="false">IF(원본명단!$A5771="","",5769)</f>
        <v/>
      </c>
      <c r="B5772" s="12" t="str">
        <f aca="false">IF($A5772="","",원본명단!$A5771)</f>
        <v/>
      </c>
      <c r="C5772" s="12" t="str">
        <f aca="false">IF($A5772="","",원본명단!$B5771)</f>
        <v/>
      </c>
      <c r="D5772" s="12" t="str">
        <f aca="false">IF($A5772="","",원본명단!$D5771)</f>
        <v/>
      </c>
      <c r="E5772" s="11" t="str">
        <f aca="false">IF($A5772="","",IF(원본명단!$H5771="",0,COUNTIF(원본명단!$H$3:$H$6002,원본명단!$H5771)))</f>
        <v/>
      </c>
      <c r="F5772" s="11" t="str">
        <f aca="false">IF($A5772="","",IF(원본명단!$I5771="",0,COUNTIF(원본명단!$I$3:$I$6002,원본명단!$I5771)))</f>
        <v/>
      </c>
      <c r="G5772" s="11" t="str">
        <f aca="false">IF($A5772="","",IF(원본명단!$K5771="",0,COUNTIF(원본명단!$K$3:$K$6002,원본명단!$K5771)))</f>
        <v/>
      </c>
      <c r="H5772" s="11" t="str">
        <f aca="false">IF($A5772="","",IF(MAX($E5772,$F5772,$G5772)&gt;1,"중복","-"))</f>
        <v/>
      </c>
      <c r="I5772" s="11" t="str">
        <f aca="false">IF($A5772="","",IF($H5772="-","-",IF(AND(IF(원본명단!$H5771="",TRUE(),COUNTIF(원본명단!$H$3:$H5771,원본명단!$H5771)=1),IF(원본명단!$I5771="",TRUE(),COUNTIF(원본명단!$I$3:$I5771,원본명단!$I5771)=1),IF(원본명단!$K5771="",TRUE(),COUNTIF(원본명단!$K$3:$K5771,원본명단!$K5771)=1)),"첫 건","중복 건")))</f>
        <v/>
      </c>
      <c r="J5772" s="11" t="str">
        <f aca="false">IF($A5772="","",IF($H5772="-","유지",IF($I5772="첫 건","유지","확인 필요")))</f>
        <v/>
      </c>
    </row>
    <row r="5773" customFormat="false" ht="15" hidden="false" customHeight="true" outlineLevel="0" collapsed="false">
      <c r="A5773" s="11" t="str">
        <f aca="false">IF(원본명단!$A5772="","",5770)</f>
        <v/>
      </c>
      <c r="B5773" s="12" t="str">
        <f aca="false">IF($A5773="","",원본명단!$A5772)</f>
        <v/>
      </c>
      <c r="C5773" s="12" t="str">
        <f aca="false">IF($A5773="","",원본명단!$B5772)</f>
        <v/>
      </c>
      <c r="D5773" s="12" t="str">
        <f aca="false">IF($A5773="","",원본명단!$D5772)</f>
        <v/>
      </c>
      <c r="E5773" s="11" t="str">
        <f aca="false">IF($A5773="","",IF(원본명단!$H5772="",0,COUNTIF(원본명단!$H$3:$H$6002,원본명단!$H5772)))</f>
        <v/>
      </c>
      <c r="F5773" s="11" t="str">
        <f aca="false">IF($A5773="","",IF(원본명단!$I5772="",0,COUNTIF(원본명단!$I$3:$I$6002,원본명단!$I5772)))</f>
        <v/>
      </c>
      <c r="G5773" s="11" t="str">
        <f aca="false">IF($A5773="","",IF(원본명단!$K5772="",0,COUNTIF(원본명단!$K$3:$K$6002,원본명단!$K5772)))</f>
        <v/>
      </c>
      <c r="H5773" s="11" t="str">
        <f aca="false">IF($A5773="","",IF(MAX($E5773,$F5773,$G5773)&gt;1,"중복","-"))</f>
        <v/>
      </c>
      <c r="I5773" s="11" t="str">
        <f aca="false">IF($A5773="","",IF($H5773="-","-",IF(AND(IF(원본명단!$H5772="",TRUE(),COUNTIF(원본명단!$H$3:$H5772,원본명단!$H5772)=1),IF(원본명단!$I5772="",TRUE(),COUNTIF(원본명단!$I$3:$I5772,원본명단!$I5772)=1),IF(원본명단!$K5772="",TRUE(),COUNTIF(원본명단!$K$3:$K5772,원본명단!$K5772)=1)),"첫 건","중복 건")))</f>
        <v/>
      </c>
      <c r="J5773" s="11" t="str">
        <f aca="false">IF($A5773="","",IF($H5773="-","유지",IF($I5773="첫 건","유지","확인 필요")))</f>
        <v/>
      </c>
    </row>
    <row r="5774" customFormat="false" ht="15" hidden="false" customHeight="true" outlineLevel="0" collapsed="false">
      <c r="A5774" s="11" t="str">
        <f aca="false">IF(원본명단!$A5773="","",5771)</f>
        <v/>
      </c>
      <c r="B5774" s="12" t="str">
        <f aca="false">IF($A5774="","",원본명단!$A5773)</f>
        <v/>
      </c>
      <c r="C5774" s="12" t="str">
        <f aca="false">IF($A5774="","",원본명단!$B5773)</f>
        <v/>
      </c>
      <c r="D5774" s="12" t="str">
        <f aca="false">IF($A5774="","",원본명단!$D5773)</f>
        <v/>
      </c>
      <c r="E5774" s="11" t="str">
        <f aca="false">IF($A5774="","",IF(원본명단!$H5773="",0,COUNTIF(원본명단!$H$3:$H$6002,원본명단!$H5773)))</f>
        <v/>
      </c>
      <c r="F5774" s="11" t="str">
        <f aca="false">IF($A5774="","",IF(원본명단!$I5773="",0,COUNTIF(원본명단!$I$3:$I$6002,원본명단!$I5773)))</f>
        <v/>
      </c>
      <c r="G5774" s="11" t="str">
        <f aca="false">IF($A5774="","",IF(원본명단!$K5773="",0,COUNTIF(원본명단!$K$3:$K$6002,원본명단!$K5773)))</f>
        <v/>
      </c>
      <c r="H5774" s="11" t="str">
        <f aca="false">IF($A5774="","",IF(MAX($E5774,$F5774,$G5774)&gt;1,"중복","-"))</f>
        <v/>
      </c>
      <c r="I5774" s="11" t="str">
        <f aca="false">IF($A5774="","",IF($H5774="-","-",IF(AND(IF(원본명단!$H5773="",TRUE(),COUNTIF(원본명단!$H$3:$H5773,원본명단!$H5773)=1),IF(원본명단!$I5773="",TRUE(),COUNTIF(원본명단!$I$3:$I5773,원본명단!$I5773)=1),IF(원본명단!$K5773="",TRUE(),COUNTIF(원본명단!$K$3:$K5773,원본명단!$K5773)=1)),"첫 건","중복 건")))</f>
        <v/>
      </c>
      <c r="J5774" s="11" t="str">
        <f aca="false">IF($A5774="","",IF($H5774="-","유지",IF($I5774="첫 건","유지","확인 필요")))</f>
        <v/>
      </c>
    </row>
    <row r="5775" customFormat="false" ht="15" hidden="false" customHeight="true" outlineLevel="0" collapsed="false">
      <c r="A5775" s="11" t="str">
        <f aca="false">IF(원본명단!$A5774="","",5772)</f>
        <v/>
      </c>
      <c r="B5775" s="12" t="str">
        <f aca="false">IF($A5775="","",원본명단!$A5774)</f>
        <v/>
      </c>
      <c r="C5775" s="12" t="str">
        <f aca="false">IF($A5775="","",원본명단!$B5774)</f>
        <v/>
      </c>
      <c r="D5775" s="12" t="str">
        <f aca="false">IF($A5775="","",원본명단!$D5774)</f>
        <v/>
      </c>
      <c r="E5775" s="11" t="str">
        <f aca="false">IF($A5775="","",IF(원본명단!$H5774="",0,COUNTIF(원본명단!$H$3:$H$6002,원본명단!$H5774)))</f>
        <v/>
      </c>
      <c r="F5775" s="11" t="str">
        <f aca="false">IF($A5775="","",IF(원본명단!$I5774="",0,COUNTIF(원본명단!$I$3:$I$6002,원본명단!$I5774)))</f>
        <v/>
      </c>
      <c r="G5775" s="11" t="str">
        <f aca="false">IF($A5775="","",IF(원본명단!$K5774="",0,COUNTIF(원본명단!$K$3:$K$6002,원본명단!$K5774)))</f>
        <v/>
      </c>
      <c r="H5775" s="11" t="str">
        <f aca="false">IF($A5775="","",IF(MAX($E5775,$F5775,$G5775)&gt;1,"중복","-"))</f>
        <v/>
      </c>
      <c r="I5775" s="11" t="str">
        <f aca="false">IF($A5775="","",IF($H5775="-","-",IF(AND(IF(원본명단!$H5774="",TRUE(),COUNTIF(원본명단!$H$3:$H5774,원본명단!$H5774)=1),IF(원본명단!$I5774="",TRUE(),COUNTIF(원본명단!$I$3:$I5774,원본명단!$I5774)=1),IF(원본명단!$K5774="",TRUE(),COUNTIF(원본명단!$K$3:$K5774,원본명단!$K5774)=1)),"첫 건","중복 건")))</f>
        <v/>
      </c>
      <c r="J5775" s="11" t="str">
        <f aca="false">IF($A5775="","",IF($H5775="-","유지",IF($I5775="첫 건","유지","확인 필요")))</f>
        <v/>
      </c>
    </row>
    <row r="5776" customFormat="false" ht="15" hidden="false" customHeight="true" outlineLevel="0" collapsed="false">
      <c r="A5776" s="11" t="str">
        <f aca="false">IF(원본명단!$A5775="","",5773)</f>
        <v/>
      </c>
      <c r="B5776" s="12" t="str">
        <f aca="false">IF($A5776="","",원본명단!$A5775)</f>
        <v/>
      </c>
      <c r="C5776" s="12" t="str">
        <f aca="false">IF($A5776="","",원본명단!$B5775)</f>
        <v/>
      </c>
      <c r="D5776" s="12" t="str">
        <f aca="false">IF($A5776="","",원본명단!$D5775)</f>
        <v/>
      </c>
      <c r="E5776" s="11" t="str">
        <f aca="false">IF($A5776="","",IF(원본명단!$H5775="",0,COUNTIF(원본명단!$H$3:$H$6002,원본명단!$H5775)))</f>
        <v/>
      </c>
      <c r="F5776" s="11" t="str">
        <f aca="false">IF($A5776="","",IF(원본명단!$I5775="",0,COUNTIF(원본명단!$I$3:$I$6002,원본명단!$I5775)))</f>
        <v/>
      </c>
      <c r="G5776" s="11" t="str">
        <f aca="false">IF($A5776="","",IF(원본명단!$K5775="",0,COUNTIF(원본명단!$K$3:$K$6002,원본명단!$K5775)))</f>
        <v/>
      </c>
      <c r="H5776" s="11" t="str">
        <f aca="false">IF($A5776="","",IF(MAX($E5776,$F5776,$G5776)&gt;1,"중복","-"))</f>
        <v/>
      </c>
      <c r="I5776" s="11" t="str">
        <f aca="false">IF($A5776="","",IF($H5776="-","-",IF(AND(IF(원본명단!$H5775="",TRUE(),COUNTIF(원본명단!$H$3:$H5775,원본명단!$H5775)=1),IF(원본명단!$I5775="",TRUE(),COUNTIF(원본명단!$I$3:$I5775,원본명단!$I5775)=1),IF(원본명단!$K5775="",TRUE(),COUNTIF(원본명단!$K$3:$K5775,원본명단!$K5775)=1)),"첫 건","중복 건")))</f>
        <v/>
      </c>
      <c r="J5776" s="11" t="str">
        <f aca="false">IF($A5776="","",IF($H5776="-","유지",IF($I5776="첫 건","유지","확인 필요")))</f>
        <v/>
      </c>
    </row>
    <row r="5777" customFormat="false" ht="15" hidden="false" customHeight="true" outlineLevel="0" collapsed="false">
      <c r="A5777" s="11" t="str">
        <f aca="false">IF(원본명단!$A5776="","",5774)</f>
        <v/>
      </c>
      <c r="B5777" s="12" t="str">
        <f aca="false">IF($A5777="","",원본명단!$A5776)</f>
        <v/>
      </c>
      <c r="C5777" s="12" t="str">
        <f aca="false">IF($A5777="","",원본명단!$B5776)</f>
        <v/>
      </c>
      <c r="D5777" s="12" t="str">
        <f aca="false">IF($A5777="","",원본명단!$D5776)</f>
        <v/>
      </c>
      <c r="E5777" s="11" t="str">
        <f aca="false">IF($A5777="","",IF(원본명단!$H5776="",0,COUNTIF(원본명단!$H$3:$H$6002,원본명단!$H5776)))</f>
        <v/>
      </c>
      <c r="F5777" s="11" t="str">
        <f aca="false">IF($A5777="","",IF(원본명단!$I5776="",0,COUNTIF(원본명단!$I$3:$I$6002,원본명단!$I5776)))</f>
        <v/>
      </c>
      <c r="G5777" s="11" t="str">
        <f aca="false">IF($A5777="","",IF(원본명단!$K5776="",0,COUNTIF(원본명단!$K$3:$K$6002,원본명단!$K5776)))</f>
        <v/>
      </c>
      <c r="H5777" s="11" t="str">
        <f aca="false">IF($A5777="","",IF(MAX($E5777,$F5777,$G5777)&gt;1,"중복","-"))</f>
        <v/>
      </c>
      <c r="I5777" s="11" t="str">
        <f aca="false">IF($A5777="","",IF($H5777="-","-",IF(AND(IF(원본명단!$H5776="",TRUE(),COUNTIF(원본명단!$H$3:$H5776,원본명단!$H5776)=1),IF(원본명단!$I5776="",TRUE(),COUNTIF(원본명단!$I$3:$I5776,원본명단!$I5776)=1),IF(원본명단!$K5776="",TRUE(),COUNTIF(원본명단!$K$3:$K5776,원본명단!$K5776)=1)),"첫 건","중복 건")))</f>
        <v/>
      </c>
      <c r="J5777" s="11" t="str">
        <f aca="false">IF($A5777="","",IF($H5777="-","유지",IF($I5777="첫 건","유지","확인 필요")))</f>
        <v/>
      </c>
    </row>
    <row r="5778" customFormat="false" ht="15" hidden="false" customHeight="true" outlineLevel="0" collapsed="false">
      <c r="A5778" s="11" t="str">
        <f aca="false">IF(원본명단!$A5777="","",5775)</f>
        <v/>
      </c>
      <c r="B5778" s="12" t="str">
        <f aca="false">IF($A5778="","",원본명단!$A5777)</f>
        <v/>
      </c>
      <c r="C5778" s="12" t="str">
        <f aca="false">IF($A5778="","",원본명단!$B5777)</f>
        <v/>
      </c>
      <c r="D5778" s="12" t="str">
        <f aca="false">IF($A5778="","",원본명단!$D5777)</f>
        <v/>
      </c>
      <c r="E5778" s="11" t="str">
        <f aca="false">IF($A5778="","",IF(원본명단!$H5777="",0,COUNTIF(원본명단!$H$3:$H$6002,원본명단!$H5777)))</f>
        <v/>
      </c>
      <c r="F5778" s="11" t="str">
        <f aca="false">IF($A5778="","",IF(원본명단!$I5777="",0,COUNTIF(원본명단!$I$3:$I$6002,원본명단!$I5777)))</f>
        <v/>
      </c>
      <c r="G5778" s="11" t="str">
        <f aca="false">IF($A5778="","",IF(원본명단!$K5777="",0,COUNTIF(원본명단!$K$3:$K$6002,원본명단!$K5777)))</f>
        <v/>
      </c>
      <c r="H5778" s="11" t="str">
        <f aca="false">IF($A5778="","",IF(MAX($E5778,$F5778,$G5778)&gt;1,"중복","-"))</f>
        <v/>
      </c>
      <c r="I5778" s="11" t="str">
        <f aca="false">IF($A5778="","",IF($H5778="-","-",IF(AND(IF(원본명단!$H5777="",TRUE(),COUNTIF(원본명단!$H$3:$H5777,원본명단!$H5777)=1),IF(원본명단!$I5777="",TRUE(),COUNTIF(원본명단!$I$3:$I5777,원본명단!$I5777)=1),IF(원본명단!$K5777="",TRUE(),COUNTIF(원본명단!$K$3:$K5777,원본명단!$K5777)=1)),"첫 건","중복 건")))</f>
        <v/>
      </c>
      <c r="J5778" s="11" t="str">
        <f aca="false">IF($A5778="","",IF($H5778="-","유지",IF($I5778="첫 건","유지","확인 필요")))</f>
        <v/>
      </c>
    </row>
    <row r="5779" customFormat="false" ht="15" hidden="false" customHeight="true" outlineLevel="0" collapsed="false">
      <c r="A5779" s="11" t="str">
        <f aca="false">IF(원본명단!$A5778="","",5776)</f>
        <v/>
      </c>
      <c r="B5779" s="12" t="str">
        <f aca="false">IF($A5779="","",원본명단!$A5778)</f>
        <v/>
      </c>
      <c r="C5779" s="12" t="str">
        <f aca="false">IF($A5779="","",원본명단!$B5778)</f>
        <v/>
      </c>
      <c r="D5779" s="12" t="str">
        <f aca="false">IF($A5779="","",원본명단!$D5778)</f>
        <v/>
      </c>
      <c r="E5779" s="11" t="str">
        <f aca="false">IF($A5779="","",IF(원본명단!$H5778="",0,COUNTIF(원본명단!$H$3:$H$6002,원본명단!$H5778)))</f>
        <v/>
      </c>
      <c r="F5779" s="11" t="str">
        <f aca="false">IF($A5779="","",IF(원본명단!$I5778="",0,COUNTIF(원본명단!$I$3:$I$6002,원본명단!$I5778)))</f>
        <v/>
      </c>
      <c r="G5779" s="11" t="str">
        <f aca="false">IF($A5779="","",IF(원본명단!$K5778="",0,COUNTIF(원본명단!$K$3:$K$6002,원본명단!$K5778)))</f>
        <v/>
      </c>
      <c r="H5779" s="11" t="str">
        <f aca="false">IF($A5779="","",IF(MAX($E5779,$F5779,$G5779)&gt;1,"중복","-"))</f>
        <v/>
      </c>
      <c r="I5779" s="11" t="str">
        <f aca="false">IF($A5779="","",IF($H5779="-","-",IF(AND(IF(원본명단!$H5778="",TRUE(),COUNTIF(원본명단!$H$3:$H5778,원본명단!$H5778)=1),IF(원본명단!$I5778="",TRUE(),COUNTIF(원본명단!$I$3:$I5778,원본명단!$I5778)=1),IF(원본명단!$K5778="",TRUE(),COUNTIF(원본명단!$K$3:$K5778,원본명단!$K5778)=1)),"첫 건","중복 건")))</f>
        <v/>
      </c>
      <c r="J5779" s="11" t="str">
        <f aca="false">IF($A5779="","",IF($H5779="-","유지",IF($I5779="첫 건","유지","확인 필요")))</f>
        <v/>
      </c>
    </row>
    <row r="5780" customFormat="false" ht="15" hidden="false" customHeight="true" outlineLevel="0" collapsed="false">
      <c r="A5780" s="11" t="str">
        <f aca="false">IF(원본명단!$A5779="","",5777)</f>
        <v/>
      </c>
      <c r="B5780" s="12" t="str">
        <f aca="false">IF($A5780="","",원본명단!$A5779)</f>
        <v/>
      </c>
      <c r="C5780" s="12" t="str">
        <f aca="false">IF($A5780="","",원본명단!$B5779)</f>
        <v/>
      </c>
      <c r="D5780" s="12" t="str">
        <f aca="false">IF($A5780="","",원본명단!$D5779)</f>
        <v/>
      </c>
      <c r="E5780" s="11" t="str">
        <f aca="false">IF($A5780="","",IF(원본명단!$H5779="",0,COUNTIF(원본명단!$H$3:$H$6002,원본명단!$H5779)))</f>
        <v/>
      </c>
      <c r="F5780" s="11" t="str">
        <f aca="false">IF($A5780="","",IF(원본명단!$I5779="",0,COUNTIF(원본명단!$I$3:$I$6002,원본명단!$I5779)))</f>
        <v/>
      </c>
      <c r="G5780" s="11" t="str">
        <f aca="false">IF($A5780="","",IF(원본명단!$K5779="",0,COUNTIF(원본명단!$K$3:$K$6002,원본명단!$K5779)))</f>
        <v/>
      </c>
      <c r="H5780" s="11" t="str">
        <f aca="false">IF($A5780="","",IF(MAX($E5780,$F5780,$G5780)&gt;1,"중복","-"))</f>
        <v/>
      </c>
      <c r="I5780" s="11" t="str">
        <f aca="false">IF($A5780="","",IF($H5780="-","-",IF(AND(IF(원본명단!$H5779="",TRUE(),COUNTIF(원본명단!$H$3:$H5779,원본명단!$H5779)=1),IF(원본명단!$I5779="",TRUE(),COUNTIF(원본명단!$I$3:$I5779,원본명단!$I5779)=1),IF(원본명단!$K5779="",TRUE(),COUNTIF(원본명단!$K$3:$K5779,원본명단!$K5779)=1)),"첫 건","중복 건")))</f>
        <v/>
      </c>
      <c r="J5780" s="11" t="str">
        <f aca="false">IF($A5780="","",IF($H5780="-","유지",IF($I5780="첫 건","유지","확인 필요")))</f>
        <v/>
      </c>
    </row>
    <row r="5781" customFormat="false" ht="15" hidden="false" customHeight="true" outlineLevel="0" collapsed="false">
      <c r="A5781" s="11" t="str">
        <f aca="false">IF(원본명단!$A5780="","",5778)</f>
        <v/>
      </c>
      <c r="B5781" s="12" t="str">
        <f aca="false">IF($A5781="","",원본명단!$A5780)</f>
        <v/>
      </c>
      <c r="C5781" s="12" t="str">
        <f aca="false">IF($A5781="","",원본명단!$B5780)</f>
        <v/>
      </c>
      <c r="D5781" s="12" t="str">
        <f aca="false">IF($A5781="","",원본명단!$D5780)</f>
        <v/>
      </c>
      <c r="E5781" s="11" t="str">
        <f aca="false">IF($A5781="","",IF(원본명단!$H5780="",0,COUNTIF(원본명단!$H$3:$H$6002,원본명단!$H5780)))</f>
        <v/>
      </c>
      <c r="F5781" s="11" t="str">
        <f aca="false">IF($A5781="","",IF(원본명단!$I5780="",0,COUNTIF(원본명단!$I$3:$I$6002,원본명단!$I5780)))</f>
        <v/>
      </c>
      <c r="G5781" s="11" t="str">
        <f aca="false">IF($A5781="","",IF(원본명단!$K5780="",0,COUNTIF(원본명단!$K$3:$K$6002,원본명단!$K5780)))</f>
        <v/>
      </c>
      <c r="H5781" s="11" t="str">
        <f aca="false">IF($A5781="","",IF(MAX($E5781,$F5781,$G5781)&gt;1,"중복","-"))</f>
        <v/>
      </c>
      <c r="I5781" s="11" t="str">
        <f aca="false">IF($A5781="","",IF($H5781="-","-",IF(AND(IF(원본명단!$H5780="",TRUE(),COUNTIF(원본명단!$H$3:$H5780,원본명단!$H5780)=1),IF(원본명단!$I5780="",TRUE(),COUNTIF(원본명단!$I$3:$I5780,원본명단!$I5780)=1),IF(원본명단!$K5780="",TRUE(),COUNTIF(원본명단!$K$3:$K5780,원본명단!$K5780)=1)),"첫 건","중복 건")))</f>
        <v/>
      </c>
      <c r="J5781" s="11" t="str">
        <f aca="false">IF($A5781="","",IF($H5781="-","유지",IF($I5781="첫 건","유지","확인 필요")))</f>
        <v/>
      </c>
    </row>
    <row r="5782" customFormat="false" ht="15" hidden="false" customHeight="true" outlineLevel="0" collapsed="false">
      <c r="A5782" s="11" t="str">
        <f aca="false">IF(원본명단!$A5781="","",5779)</f>
        <v/>
      </c>
      <c r="B5782" s="12" t="str">
        <f aca="false">IF($A5782="","",원본명단!$A5781)</f>
        <v/>
      </c>
      <c r="C5782" s="12" t="str">
        <f aca="false">IF($A5782="","",원본명단!$B5781)</f>
        <v/>
      </c>
      <c r="D5782" s="12" t="str">
        <f aca="false">IF($A5782="","",원본명단!$D5781)</f>
        <v/>
      </c>
      <c r="E5782" s="11" t="str">
        <f aca="false">IF($A5782="","",IF(원본명단!$H5781="",0,COUNTIF(원본명단!$H$3:$H$6002,원본명단!$H5781)))</f>
        <v/>
      </c>
      <c r="F5782" s="11" t="str">
        <f aca="false">IF($A5782="","",IF(원본명단!$I5781="",0,COUNTIF(원본명단!$I$3:$I$6002,원본명단!$I5781)))</f>
        <v/>
      </c>
      <c r="G5782" s="11" t="str">
        <f aca="false">IF($A5782="","",IF(원본명단!$K5781="",0,COUNTIF(원본명단!$K$3:$K$6002,원본명단!$K5781)))</f>
        <v/>
      </c>
      <c r="H5782" s="11" t="str">
        <f aca="false">IF($A5782="","",IF(MAX($E5782,$F5782,$G5782)&gt;1,"중복","-"))</f>
        <v/>
      </c>
      <c r="I5782" s="11" t="str">
        <f aca="false">IF($A5782="","",IF($H5782="-","-",IF(AND(IF(원본명단!$H5781="",TRUE(),COUNTIF(원본명단!$H$3:$H5781,원본명단!$H5781)=1),IF(원본명단!$I5781="",TRUE(),COUNTIF(원본명단!$I$3:$I5781,원본명단!$I5781)=1),IF(원본명단!$K5781="",TRUE(),COUNTIF(원본명단!$K$3:$K5781,원본명단!$K5781)=1)),"첫 건","중복 건")))</f>
        <v/>
      </c>
      <c r="J5782" s="11" t="str">
        <f aca="false">IF($A5782="","",IF($H5782="-","유지",IF($I5782="첫 건","유지","확인 필요")))</f>
        <v/>
      </c>
    </row>
    <row r="5783" customFormat="false" ht="15" hidden="false" customHeight="true" outlineLevel="0" collapsed="false">
      <c r="A5783" s="11" t="str">
        <f aca="false">IF(원본명단!$A5782="","",5780)</f>
        <v/>
      </c>
      <c r="B5783" s="12" t="str">
        <f aca="false">IF($A5783="","",원본명단!$A5782)</f>
        <v/>
      </c>
      <c r="C5783" s="12" t="str">
        <f aca="false">IF($A5783="","",원본명단!$B5782)</f>
        <v/>
      </c>
      <c r="D5783" s="12" t="str">
        <f aca="false">IF($A5783="","",원본명단!$D5782)</f>
        <v/>
      </c>
      <c r="E5783" s="11" t="str">
        <f aca="false">IF($A5783="","",IF(원본명단!$H5782="",0,COUNTIF(원본명단!$H$3:$H$6002,원본명단!$H5782)))</f>
        <v/>
      </c>
      <c r="F5783" s="11" t="str">
        <f aca="false">IF($A5783="","",IF(원본명단!$I5782="",0,COUNTIF(원본명단!$I$3:$I$6002,원본명단!$I5782)))</f>
        <v/>
      </c>
      <c r="G5783" s="11" t="str">
        <f aca="false">IF($A5783="","",IF(원본명단!$K5782="",0,COUNTIF(원본명단!$K$3:$K$6002,원본명단!$K5782)))</f>
        <v/>
      </c>
      <c r="H5783" s="11" t="str">
        <f aca="false">IF($A5783="","",IF(MAX($E5783,$F5783,$G5783)&gt;1,"중복","-"))</f>
        <v/>
      </c>
      <c r="I5783" s="11" t="str">
        <f aca="false">IF($A5783="","",IF($H5783="-","-",IF(AND(IF(원본명단!$H5782="",TRUE(),COUNTIF(원본명단!$H$3:$H5782,원본명단!$H5782)=1),IF(원본명단!$I5782="",TRUE(),COUNTIF(원본명단!$I$3:$I5782,원본명단!$I5782)=1),IF(원본명단!$K5782="",TRUE(),COUNTIF(원본명단!$K$3:$K5782,원본명단!$K5782)=1)),"첫 건","중복 건")))</f>
        <v/>
      </c>
      <c r="J5783" s="11" t="str">
        <f aca="false">IF($A5783="","",IF($H5783="-","유지",IF($I5783="첫 건","유지","확인 필요")))</f>
        <v/>
      </c>
    </row>
    <row r="5784" customFormat="false" ht="15" hidden="false" customHeight="true" outlineLevel="0" collapsed="false">
      <c r="A5784" s="11" t="str">
        <f aca="false">IF(원본명단!$A5783="","",5781)</f>
        <v/>
      </c>
      <c r="B5784" s="12" t="str">
        <f aca="false">IF($A5784="","",원본명단!$A5783)</f>
        <v/>
      </c>
      <c r="C5784" s="12" t="str">
        <f aca="false">IF($A5784="","",원본명단!$B5783)</f>
        <v/>
      </c>
      <c r="D5784" s="12" t="str">
        <f aca="false">IF($A5784="","",원본명단!$D5783)</f>
        <v/>
      </c>
      <c r="E5784" s="11" t="str">
        <f aca="false">IF($A5784="","",IF(원본명단!$H5783="",0,COUNTIF(원본명단!$H$3:$H$6002,원본명단!$H5783)))</f>
        <v/>
      </c>
      <c r="F5784" s="11" t="str">
        <f aca="false">IF($A5784="","",IF(원본명단!$I5783="",0,COUNTIF(원본명단!$I$3:$I$6002,원본명단!$I5783)))</f>
        <v/>
      </c>
      <c r="G5784" s="11" t="str">
        <f aca="false">IF($A5784="","",IF(원본명단!$K5783="",0,COUNTIF(원본명단!$K$3:$K$6002,원본명단!$K5783)))</f>
        <v/>
      </c>
      <c r="H5784" s="11" t="str">
        <f aca="false">IF($A5784="","",IF(MAX($E5784,$F5784,$G5784)&gt;1,"중복","-"))</f>
        <v/>
      </c>
      <c r="I5784" s="11" t="str">
        <f aca="false">IF($A5784="","",IF($H5784="-","-",IF(AND(IF(원본명단!$H5783="",TRUE(),COUNTIF(원본명단!$H$3:$H5783,원본명단!$H5783)=1),IF(원본명단!$I5783="",TRUE(),COUNTIF(원본명단!$I$3:$I5783,원본명단!$I5783)=1),IF(원본명단!$K5783="",TRUE(),COUNTIF(원본명단!$K$3:$K5783,원본명단!$K5783)=1)),"첫 건","중복 건")))</f>
        <v/>
      </c>
      <c r="J5784" s="11" t="str">
        <f aca="false">IF($A5784="","",IF($H5784="-","유지",IF($I5784="첫 건","유지","확인 필요")))</f>
        <v/>
      </c>
    </row>
    <row r="5785" customFormat="false" ht="15" hidden="false" customHeight="true" outlineLevel="0" collapsed="false">
      <c r="A5785" s="11" t="str">
        <f aca="false">IF(원본명단!$A5784="","",5782)</f>
        <v/>
      </c>
      <c r="B5785" s="12" t="str">
        <f aca="false">IF($A5785="","",원본명단!$A5784)</f>
        <v/>
      </c>
      <c r="C5785" s="12" t="str">
        <f aca="false">IF($A5785="","",원본명단!$B5784)</f>
        <v/>
      </c>
      <c r="D5785" s="12" t="str">
        <f aca="false">IF($A5785="","",원본명단!$D5784)</f>
        <v/>
      </c>
      <c r="E5785" s="11" t="str">
        <f aca="false">IF($A5785="","",IF(원본명단!$H5784="",0,COUNTIF(원본명단!$H$3:$H$6002,원본명단!$H5784)))</f>
        <v/>
      </c>
      <c r="F5785" s="11" t="str">
        <f aca="false">IF($A5785="","",IF(원본명단!$I5784="",0,COUNTIF(원본명단!$I$3:$I$6002,원본명단!$I5784)))</f>
        <v/>
      </c>
      <c r="G5785" s="11" t="str">
        <f aca="false">IF($A5785="","",IF(원본명단!$K5784="",0,COUNTIF(원본명단!$K$3:$K$6002,원본명단!$K5784)))</f>
        <v/>
      </c>
      <c r="H5785" s="11" t="str">
        <f aca="false">IF($A5785="","",IF(MAX($E5785,$F5785,$G5785)&gt;1,"중복","-"))</f>
        <v/>
      </c>
      <c r="I5785" s="11" t="str">
        <f aca="false">IF($A5785="","",IF($H5785="-","-",IF(AND(IF(원본명단!$H5784="",TRUE(),COUNTIF(원본명단!$H$3:$H5784,원본명단!$H5784)=1),IF(원본명단!$I5784="",TRUE(),COUNTIF(원본명단!$I$3:$I5784,원본명단!$I5784)=1),IF(원본명단!$K5784="",TRUE(),COUNTIF(원본명단!$K$3:$K5784,원본명단!$K5784)=1)),"첫 건","중복 건")))</f>
        <v/>
      </c>
      <c r="J5785" s="11" t="str">
        <f aca="false">IF($A5785="","",IF($H5785="-","유지",IF($I5785="첫 건","유지","확인 필요")))</f>
        <v/>
      </c>
    </row>
    <row r="5786" customFormat="false" ht="15" hidden="false" customHeight="true" outlineLevel="0" collapsed="false">
      <c r="A5786" s="11" t="str">
        <f aca="false">IF(원본명단!$A5785="","",5783)</f>
        <v/>
      </c>
      <c r="B5786" s="12" t="str">
        <f aca="false">IF($A5786="","",원본명단!$A5785)</f>
        <v/>
      </c>
      <c r="C5786" s="12" t="str">
        <f aca="false">IF($A5786="","",원본명단!$B5785)</f>
        <v/>
      </c>
      <c r="D5786" s="12" t="str">
        <f aca="false">IF($A5786="","",원본명단!$D5785)</f>
        <v/>
      </c>
      <c r="E5786" s="11" t="str">
        <f aca="false">IF($A5786="","",IF(원본명단!$H5785="",0,COUNTIF(원본명단!$H$3:$H$6002,원본명단!$H5785)))</f>
        <v/>
      </c>
      <c r="F5786" s="11" t="str">
        <f aca="false">IF($A5786="","",IF(원본명단!$I5785="",0,COUNTIF(원본명단!$I$3:$I$6002,원본명단!$I5785)))</f>
        <v/>
      </c>
      <c r="G5786" s="11" t="str">
        <f aca="false">IF($A5786="","",IF(원본명단!$K5785="",0,COUNTIF(원본명단!$K$3:$K$6002,원본명단!$K5785)))</f>
        <v/>
      </c>
      <c r="H5786" s="11" t="str">
        <f aca="false">IF($A5786="","",IF(MAX($E5786,$F5786,$G5786)&gt;1,"중복","-"))</f>
        <v/>
      </c>
      <c r="I5786" s="11" t="str">
        <f aca="false">IF($A5786="","",IF($H5786="-","-",IF(AND(IF(원본명단!$H5785="",TRUE(),COUNTIF(원본명단!$H$3:$H5785,원본명단!$H5785)=1),IF(원본명단!$I5785="",TRUE(),COUNTIF(원본명단!$I$3:$I5785,원본명단!$I5785)=1),IF(원본명단!$K5785="",TRUE(),COUNTIF(원본명단!$K$3:$K5785,원본명단!$K5785)=1)),"첫 건","중복 건")))</f>
        <v/>
      </c>
      <c r="J5786" s="11" t="str">
        <f aca="false">IF($A5786="","",IF($H5786="-","유지",IF($I5786="첫 건","유지","확인 필요")))</f>
        <v/>
      </c>
    </row>
    <row r="5787" customFormat="false" ht="15" hidden="false" customHeight="true" outlineLevel="0" collapsed="false">
      <c r="A5787" s="11" t="str">
        <f aca="false">IF(원본명단!$A5786="","",5784)</f>
        <v/>
      </c>
      <c r="B5787" s="12" t="str">
        <f aca="false">IF($A5787="","",원본명단!$A5786)</f>
        <v/>
      </c>
      <c r="C5787" s="12" t="str">
        <f aca="false">IF($A5787="","",원본명단!$B5786)</f>
        <v/>
      </c>
      <c r="D5787" s="12" t="str">
        <f aca="false">IF($A5787="","",원본명단!$D5786)</f>
        <v/>
      </c>
      <c r="E5787" s="11" t="str">
        <f aca="false">IF($A5787="","",IF(원본명단!$H5786="",0,COUNTIF(원본명단!$H$3:$H$6002,원본명단!$H5786)))</f>
        <v/>
      </c>
      <c r="F5787" s="11" t="str">
        <f aca="false">IF($A5787="","",IF(원본명단!$I5786="",0,COUNTIF(원본명단!$I$3:$I$6002,원본명단!$I5786)))</f>
        <v/>
      </c>
      <c r="G5787" s="11" t="str">
        <f aca="false">IF($A5787="","",IF(원본명단!$K5786="",0,COUNTIF(원본명단!$K$3:$K$6002,원본명단!$K5786)))</f>
        <v/>
      </c>
      <c r="H5787" s="11" t="str">
        <f aca="false">IF($A5787="","",IF(MAX($E5787,$F5787,$G5787)&gt;1,"중복","-"))</f>
        <v/>
      </c>
      <c r="I5787" s="11" t="str">
        <f aca="false">IF($A5787="","",IF($H5787="-","-",IF(AND(IF(원본명단!$H5786="",TRUE(),COUNTIF(원본명단!$H$3:$H5786,원본명단!$H5786)=1),IF(원본명단!$I5786="",TRUE(),COUNTIF(원본명단!$I$3:$I5786,원본명단!$I5786)=1),IF(원본명단!$K5786="",TRUE(),COUNTIF(원본명단!$K$3:$K5786,원본명단!$K5786)=1)),"첫 건","중복 건")))</f>
        <v/>
      </c>
      <c r="J5787" s="11" t="str">
        <f aca="false">IF($A5787="","",IF($H5787="-","유지",IF($I5787="첫 건","유지","확인 필요")))</f>
        <v/>
      </c>
    </row>
    <row r="5788" customFormat="false" ht="15" hidden="false" customHeight="true" outlineLevel="0" collapsed="false">
      <c r="A5788" s="11" t="str">
        <f aca="false">IF(원본명단!$A5787="","",5785)</f>
        <v/>
      </c>
      <c r="B5788" s="12" t="str">
        <f aca="false">IF($A5788="","",원본명단!$A5787)</f>
        <v/>
      </c>
      <c r="C5788" s="12" t="str">
        <f aca="false">IF($A5788="","",원본명단!$B5787)</f>
        <v/>
      </c>
      <c r="D5788" s="12" t="str">
        <f aca="false">IF($A5788="","",원본명단!$D5787)</f>
        <v/>
      </c>
      <c r="E5788" s="11" t="str">
        <f aca="false">IF($A5788="","",IF(원본명단!$H5787="",0,COUNTIF(원본명단!$H$3:$H$6002,원본명단!$H5787)))</f>
        <v/>
      </c>
      <c r="F5788" s="11" t="str">
        <f aca="false">IF($A5788="","",IF(원본명단!$I5787="",0,COUNTIF(원본명단!$I$3:$I$6002,원본명단!$I5787)))</f>
        <v/>
      </c>
      <c r="G5788" s="11" t="str">
        <f aca="false">IF($A5788="","",IF(원본명단!$K5787="",0,COUNTIF(원본명단!$K$3:$K$6002,원본명단!$K5787)))</f>
        <v/>
      </c>
      <c r="H5788" s="11" t="str">
        <f aca="false">IF($A5788="","",IF(MAX($E5788,$F5788,$G5788)&gt;1,"중복","-"))</f>
        <v/>
      </c>
      <c r="I5788" s="11" t="str">
        <f aca="false">IF($A5788="","",IF($H5788="-","-",IF(AND(IF(원본명단!$H5787="",TRUE(),COUNTIF(원본명단!$H$3:$H5787,원본명단!$H5787)=1),IF(원본명단!$I5787="",TRUE(),COUNTIF(원본명단!$I$3:$I5787,원본명단!$I5787)=1),IF(원본명단!$K5787="",TRUE(),COUNTIF(원본명단!$K$3:$K5787,원본명단!$K5787)=1)),"첫 건","중복 건")))</f>
        <v/>
      </c>
      <c r="J5788" s="11" t="str">
        <f aca="false">IF($A5788="","",IF($H5788="-","유지",IF($I5788="첫 건","유지","확인 필요")))</f>
        <v/>
      </c>
    </row>
    <row r="5789" customFormat="false" ht="15" hidden="false" customHeight="true" outlineLevel="0" collapsed="false">
      <c r="A5789" s="11" t="str">
        <f aca="false">IF(원본명단!$A5788="","",5786)</f>
        <v/>
      </c>
      <c r="B5789" s="12" t="str">
        <f aca="false">IF($A5789="","",원본명단!$A5788)</f>
        <v/>
      </c>
      <c r="C5789" s="12" t="str">
        <f aca="false">IF($A5789="","",원본명단!$B5788)</f>
        <v/>
      </c>
      <c r="D5789" s="12" t="str">
        <f aca="false">IF($A5789="","",원본명단!$D5788)</f>
        <v/>
      </c>
      <c r="E5789" s="11" t="str">
        <f aca="false">IF($A5789="","",IF(원본명단!$H5788="",0,COUNTIF(원본명단!$H$3:$H$6002,원본명단!$H5788)))</f>
        <v/>
      </c>
      <c r="F5789" s="11" t="str">
        <f aca="false">IF($A5789="","",IF(원본명단!$I5788="",0,COUNTIF(원본명단!$I$3:$I$6002,원본명단!$I5788)))</f>
        <v/>
      </c>
      <c r="G5789" s="11" t="str">
        <f aca="false">IF($A5789="","",IF(원본명단!$K5788="",0,COUNTIF(원본명단!$K$3:$K$6002,원본명단!$K5788)))</f>
        <v/>
      </c>
      <c r="H5789" s="11" t="str">
        <f aca="false">IF($A5789="","",IF(MAX($E5789,$F5789,$G5789)&gt;1,"중복","-"))</f>
        <v/>
      </c>
      <c r="I5789" s="11" t="str">
        <f aca="false">IF($A5789="","",IF($H5789="-","-",IF(AND(IF(원본명단!$H5788="",TRUE(),COUNTIF(원본명단!$H$3:$H5788,원본명단!$H5788)=1),IF(원본명단!$I5788="",TRUE(),COUNTIF(원본명단!$I$3:$I5788,원본명단!$I5788)=1),IF(원본명단!$K5788="",TRUE(),COUNTIF(원본명단!$K$3:$K5788,원본명단!$K5788)=1)),"첫 건","중복 건")))</f>
        <v/>
      </c>
      <c r="J5789" s="11" t="str">
        <f aca="false">IF($A5789="","",IF($H5789="-","유지",IF($I5789="첫 건","유지","확인 필요")))</f>
        <v/>
      </c>
    </row>
    <row r="5790" customFormat="false" ht="15" hidden="false" customHeight="true" outlineLevel="0" collapsed="false">
      <c r="A5790" s="11" t="str">
        <f aca="false">IF(원본명단!$A5789="","",5787)</f>
        <v/>
      </c>
      <c r="B5790" s="12" t="str">
        <f aca="false">IF($A5790="","",원본명단!$A5789)</f>
        <v/>
      </c>
      <c r="C5790" s="12" t="str">
        <f aca="false">IF($A5790="","",원본명단!$B5789)</f>
        <v/>
      </c>
      <c r="D5790" s="12" t="str">
        <f aca="false">IF($A5790="","",원본명단!$D5789)</f>
        <v/>
      </c>
      <c r="E5790" s="11" t="str">
        <f aca="false">IF($A5790="","",IF(원본명단!$H5789="",0,COUNTIF(원본명단!$H$3:$H$6002,원본명단!$H5789)))</f>
        <v/>
      </c>
      <c r="F5790" s="11" t="str">
        <f aca="false">IF($A5790="","",IF(원본명단!$I5789="",0,COUNTIF(원본명단!$I$3:$I$6002,원본명단!$I5789)))</f>
        <v/>
      </c>
      <c r="G5790" s="11" t="str">
        <f aca="false">IF($A5790="","",IF(원본명단!$K5789="",0,COUNTIF(원본명단!$K$3:$K$6002,원본명단!$K5789)))</f>
        <v/>
      </c>
      <c r="H5790" s="11" t="str">
        <f aca="false">IF($A5790="","",IF(MAX($E5790,$F5790,$G5790)&gt;1,"중복","-"))</f>
        <v/>
      </c>
      <c r="I5790" s="11" t="str">
        <f aca="false">IF($A5790="","",IF($H5790="-","-",IF(AND(IF(원본명단!$H5789="",TRUE(),COUNTIF(원본명단!$H$3:$H5789,원본명단!$H5789)=1),IF(원본명단!$I5789="",TRUE(),COUNTIF(원본명단!$I$3:$I5789,원본명단!$I5789)=1),IF(원본명단!$K5789="",TRUE(),COUNTIF(원본명단!$K$3:$K5789,원본명단!$K5789)=1)),"첫 건","중복 건")))</f>
        <v/>
      </c>
      <c r="J5790" s="11" t="str">
        <f aca="false">IF($A5790="","",IF($H5790="-","유지",IF($I5790="첫 건","유지","확인 필요")))</f>
        <v/>
      </c>
    </row>
    <row r="5791" customFormat="false" ht="15" hidden="false" customHeight="true" outlineLevel="0" collapsed="false">
      <c r="A5791" s="11" t="str">
        <f aca="false">IF(원본명단!$A5790="","",5788)</f>
        <v/>
      </c>
      <c r="B5791" s="12" t="str">
        <f aca="false">IF($A5791="","",원본명단!$A5790)</f>
        <v/>
      </c>
      <c r="C5791" s="12" t="str">
        <f aca="false">IF($A5791="","",원본명단!$B5790)</f>
        <v/>
      </c>
      <c r="D5791" s="12" t="str">
        <f aca="false">IF($A5791="","",원본명단!$D5790)</f>
        <v/>
      </c>
      <c r="E5791" s="11" t="str">
        <f aca="false">IF($A5791="","",IF(원본명단!$H5790="",0,COUNTIF(원본명단!$H$3:$H$6002,원본명단!$H5790)))</f>
        <v/>
      </c>
      <c r="F5791" s="11" t="str">
        <f aca="false">IF($A5791="","",IF(원본명단!$I5790="",0,COUNTIF(원본명단!$I$3:$I$6002,원본명단!$I5790)))</f>
        <v/>
      </c>
      <c r="G5791" s="11" t="str">
        <f aca="false">IF($A5791="","",IF(원본명단!$K5790="",0,COUNTIF(원본명단!$K$3:$K$6002,원본명단!$K5790)))</f>
        <v/>
      </c>
      <c r="H5791" s="11" t="str">
        <f aca="false">IF($A5791="","",IF(MAX($E5791,$F5791,$G5791)&gt;1,"중복","-"))</f>
        <v/>
      </c>
      <c r="I5791" s="11" t="str">
        <f aca="false">IF($A5791="","",IF($H5791="-","-",IF(AND(IF(원본명단!$H5790="",TRUE(),COUNTIF(원본명단!$H$3:$H5790,원본명단!$H5790)=1),IF(원본명단!$I5790="",TRUE(),COUNTIF(원본명단!$I$3:$I5790,원본명단!$I5790)=1),IF(원본명단!$K5790="",TRUE(),COUNTIF(원본명단!$K$3:$K5790,원본명단!$K5790)=1)),"첫 건","중복 건")))</f>
        <v/>
      </c>
      <c r="J5791" s="11" t="str">
        <f aca="false">IF($A5791="","",IF($H5791="-","유지",IF($I5791="첫 건","유지","확인 필요")))</f>
        <v/>
      </c>
    </row>
    <row r="5792" customFormat="false" ht="15" hidden="false" customHeight="true" outlineLevel="0" collapsed="false">
      <c r="A5792" s="11" t="str">
        <f aca="false">IF(원본명단!$A5791="","",5789)</f>
        <v/>
      </c>
      <c r="B5792" s="12" t="str">
        <f aca="false">IF($A5792="","",원본명단!$A5791)</f>
        <v/>
      </c>
      <c r="C5792" s="12" t="str">
        <f aca="false">IF($A5792="","",원본명단!$B5791)</f>
        <v/>
      </c>
      <c r="D5792" s="12" t="str">
        <f aca="false">IF($A5792="","",원본명단!$D5791)</f>
        <v/>
      </c>
      <c r="E5792" s="11" t="str">
        <f aca="false">IF($A5792="","",IF(원본명단!$H5791="",0,COUNTIF(원본명단!$H$3:$H$6002,원본명단!$H5791)))</f>
        <v/>
      </c>
      <c r="F5792" s="11" t="str">
        <f aca="false">IF($A5792="","",IF(원본명단!$I5791="",0,COUNTIF(원본명단!$I$3:$I$6002,원본명단!$I5791)))</f>
        <v/>
      </c>
      <c r="G5792" s="11" t="str">
        <f aca="false">IF($A5792="","",IF(원본명단!$K5791="",0,COUNTIF(원본명단!$K$3:$K$6002,원본명단!$K5791)))</f>
        <v/>
      </c>
      <c r="H5792" s="11" t="str">
        <f aca="false">IF($A5792="","",IF(MAX($E5792,$F5792,$G5792)&gt;1,"중복","-"))</f>
        <v/>
      </c>
      <c r="I5792" s="11" t="str">
        <f aca="false">IF($A5792="","",IF($H5792="-","-",IF(AND(IF(원본명단!$H5791="",TRUE(),COUNTIF(원본명단!$H$3:$H5791,원본명단!$H5791)=1),IF(원본명단!$I5791="",TRUE(),COUNTIF(원본명단!$I$3:$I5791,원본명단!$I5791)=1),IF(원본명단!$K5791="",TRUE(),COUNTIF(원본명단!$K$3:$K5791,원본명단!$K5791)=1)),"첫 건","중복 건")))</f>
        <v/>
      </c>
      <c r="J5792" s="11" t="str">
        <f aca="false">IF($A5792="","",IF($H5792="-","유지",IF($I5792="첫 건","유지","확인 필요")))</f>
        <v/>
      </c>
    </row>
    <row r="5793" customFormat="false" ht="15" hidden="false" customHeight="true" outlineLevel="0" collapsed="false">
      <c r="A5793" s="11" t="str">
        <f aca="false">IF(원본명단!$A5792="","",5790)</f>
        <v/>
      </c>
      <c r="B5793" s="12" t="str">
        <f aca="false">IF($A5793="","",원본명단!$A5792)</f>
        <v/>
      </c>
      <c r="C5793" s="12" t="str">
        <f aca="false">IF($A5793="","",원본명단!$B5792)</f>
        <v/>
      </c>
      <c r="D5793" s="12" t="str">
        <f aca="false">IF($A5793="","",원본명단!$D5792)</f>
        <v/>
      </c>
      <c r="E5793" s="11" t="str">
        <f aca="false">IF($A5793="","",IF(원본명단!$H5792="",0,COUNTIF(원본명단!$H$3:$H$6002,원본명단!$H5792)))</f>
        <v/>
      </c>
      <c r="F5793" s="11" t="str">
        <f aca="false">IF($A5793="","",IF(원본명단!$I5792="",0,COUNTIF(원본명단!$I$3:$I$6002,원본명단!$I5792)))</f>
        <v/>
      </c>
      <c r="G5793" s="11" t="str">
        <f aca="false">IF($A5793="","",IF(원본명단!$K5792="",0,COUNTIF(원본명단!$K$3:$K$6002,원본명단!$K5792)))</f>
        <v/>
      </c>
      <c r="H5793" s="11" t="str">
        <f aca="false">IF($A5793="","",IF(MAX($E5793,$F5793,$G5793)&gt;1,"중복","-"))</f>
        <v/>
      </c>
      <c r="I5793" s="11" t="str">
        <f aca="false">IF($A5793="","",IF($H5793="-","-",IF(AND(IF(원본명단!$H5792="",TRUE(),COUNTIF(원본명단!$H$3:$H5792,원본명단!$H5792)=1),IF(원본명단!$I5792="",TRUE(),COUNTIF(원본명단!$I$3:$I5792,원본명단!$I5792)=1),IF(원본명단!$K5792="",TRUE(),COUNTIF(원본명단!$K$3:$K5792,원본명단!$K5792)=1)),"첫 건","중복 건")))</f>
        <v/>
      </c>
      <c r="J5793" s="11" t="str">
        <f aca="false">IF($A5793="","",IF($H5793="-","유지",IF($I5793="첫 건","유지","확인 필요")))</f>
        <v/>
      </c>
    </row>
    <row r="5794" customFormat="false" ht="15" hidden="false" customHeight="true" outlineLevel="0" collapsed="false">
      <c r="A5794" s="11" t="str">
        <f aca="false">IF(원본명단!$A5793="","",5791)</f>
        <v/>
      </c>
      <c r="B5794" s="12" t="str">
        <f aca="false">IF($A5794="","",원본명단!$A5793)</f>
        <v/>
      </c>
      <c r="C5794" s="12" t="str">
        <f aca="false">IF($A5794="","",원본명단!$B5793)</f>
        <v/>
      </c>
      <c r="D5794" s="12" t="str">
        <f aca="false">IF($A5794="","",원본명단!$D5793)</f>
        <v/>
      </c>
      <c r="E5794" s="11" t="str">
        <f aca="false">IF($A5794="","",IF(원본명단!$H5793="",0,COUNTIF(원본명단!$H$3:$H$6002,원본명단!$H5793)))</f>
        <v/>
      </c>
      <c r="F5794" s="11" t="str">
        <f aca="false">IF($A5794="","",IF(원본명단!$I5793="",0,COUNTIF(원본명단!$I$3:$I$6002,원본명단!$I5793)))</f>
        <v/>
      </c>
      <c r="G5794" s="11" t="str">
        <f aca="false">IF($A5794="","",IF(원본명단!$K5793="",0,COUNTIF(원본명단!$K$3:$K$6002,원본명단!$K5793)))</f>
        <v/>
      </c>
      <c r="H5794" s="11" t="str">
        <f aca="false">IF($A5794="","",IF(MAX($E5794,$F5794,$G5794)&gt;1,"중복","-"))</f>
        <v/>
      </c>
      <c r="I5794" s="11" t="str">
        <f aca="false">IF($A5794="","",IF($H5794="-","-",IF(AND(IF(원본명단!$H5793="",TRUE(),COUNTIF(원본명단!$H$3:$H5793,원본명단!$H5793)=1),IF(원본명단!$I5793="",TRUE(),COUNTIF(원본명단!$I$3:$I5793,원본명단!$I5793)=1),IF(원본명단!$K5793="",TRUE(),COUNTIF(원본명단!$K$3:$K5793,원본명단!$K5793)=1)),"첫 건","중복 건")))</f>
        <v/>
      </c>
      <c r="J5794" s="11" t="str">
        <f aca="false">IF($A5794="","",IF($H5794="-","유지",IF($I5794="첫 건","유지","확인 필요")))</f>
        <v/>
      </c>
    </row>
    <row r="5795" customFormat="false" ht="15" hidden="false" customHeight="true" outlineLevel="0" collapsed="false">
      <c r="A5795" s="11" t="str">
        <f aca="false">IF(원본명단!$A5794="","",5792)</f>
        <v/>
      </c>
      <c r="B5795" s="12" t="str">
        <f aca="false">IF($A5795="","",원본명단!$A5794)</f>
        <v/>
      </c>
      <c r="C5795" s="12" t="str">
        <f aca="false">IF($A5795="","",원본명단!$B5794)</f>
        <v/>
      </c>
      <c r="D5795" s="12" t="str">
        <f aca="false">IF($A5795="","",원본명단!$D5794)</f>
        <v/>
      </c>
      <c r="E5795" s="11" t="str">
        <f aca="false">IF($A5795="","",IF(원본명단!$H5794="",0,COUNTIF(원본명단!$H$3:$H$6002,원본명단!$H5794)))</f>
        <v/>
      </c>
      <c r="F5795" s="11" t="str">
        <f aca="false">IF($A5795="","",IF(원본명단!$I5794="",0,COUNTIF(원본명단!$I$3:$I$6002,원본명단!$I5794)))</f>
        <v/>
      </c>
      <c r="G5795" s="11" t="str">
        <f aca="false">IF($A5795="","",IF(원본명단!$K5794="",0,COUNTIF(원본명단!$K$3:$K$6002,원본명단!$K5794)))</f>
        <v/>
      </c>
      <c r="H5795" s="11" t="str">
        <f aca="false">IF($A5795="","",IF(MAX($E5795,$F5795,$G5795)&gt;1,"중복","-"))</f>
        <v/>
      </c>
      <c r="I5795" s="11" t="str">
        <f aca="false">IF($A5795="","",IF($H5795="-","-",IF(AND(IF(원본명단!$H5794="",TRUE(),COUNTIF(원본명단!$H$3:$H5794,원본명단!$H5794)=1),IF(원본명단!$I5794="",TRUE(),COUNTIF(원본명단!$I$3:$I5794,원본명단!$I5794)=1),IF(원본명단!$K5794="",TRUE(),COUNTIF(원본명단!$K$3:$K5794,원본명단!$K5794)=1)),"첫 건","중복 건")))</f>
        <v/>
      </c>
      <c r="J5795" s="11" t="str">
        <f aca="false">IF($A5795="","",IF($H5795="-","유지",IF($I5795="첫 건","유지","확인 필요")))</f>
        <v/>
      </c>
    </row>
    <row r="5796" customFormat="false" ht="15" hidden="false" customHeight="true" outlineLevel="0" collapsed="false">
      <c r="A5796" s="11" t="str">
        <f aca="false">IF(원본명단!$A5795="","",5793)</f>
        <v/>
      </c>
      <c r="B5796" s="12" t="str">
        <f aca="false">IF($A5796="","",원본명단!$A5795)</f>
        <v/>
      </c>
      <c r="C5796" s="12" t="str">
        <f aca="false">IF($A5796="","",원본명단!$B5795)</f>
        <v/>
      </c>
      <c r="D5796" s="12" t="str">
        <f aca="false">IF($A5796="","",원본명단!$D5795)</f>
        <v/>
      </c>
      <c r="E5796" s="11" t="str">
        <f aca="false">IF($A5796="","",IF(원본명단!$H5795="",0,COUNTIF(원본명단!$H$3:$H$6002,원본명단!$H5795)))</f>
        <v/>
      </c>
      <c r="F5796" s="11" t="str">
        <f aca="false">IF($A5796="","",IF(원본명단!$I5795="",0,COUNTIF(원본명단!$I$3:$I$6002,원본명단!$I5795)))</f>
        <v/>
      </c>
      <c r="G5796" s="11" t="str">
        <f aca="false">IF($A5796="","",IF(원본명단!$K5795="",0,COUNTIF(원본명단!$K$3:$K$6002,원본명단!$K5795)))</f>
        <v/>
      </c>
      <c r="H5796" s="11" t="str">
        <f aca="false">IF($A5796="","",IF(MAX($E5796,$F5796,$G5796)&gt;1,"중복","-"))</f>
        <v/>
      </c>
      <c r="I5796" s="11" t="str">
        <f aca="false">IF($A5796="","",IF($H5796="-","-",IF(AND(IF(원본명단!$H5795="",TRUE(),COUNTIF(원본명단!$H$3:$H5795,원본명단!$H5795)=1),IF(원본명단!$I5795="",TRUE(),COUNTIF(원본명단!$I$3:$I5795,원본명단!$I5795)=1),IF(원본명단!$K5795="",TRUE(),COUNTIF(원본명단!$K$3:$K5795,원본명단!$K5795)=1)),"첫 건","중복 건")))</f>
        <v/>
      </c>
      <c r="J5796" s="11" t="str">
        <f aca="false">IF($A5796="","",IF($H5796="-","유지",IF($I5796="첫 건","유지","확인 필요")))</f>
        <v/>
      </c>
    </row>
    <row r="5797" customFormat="false" ht="15" hidden="false" customHeight="true" outlineLevel="0" collapsed="false">
      <c r="A5797" s="11" t="str">
        <f aca="false">IF(원본명단!$A5796="","",5794)</f>
        <v/>
      </c>
      <c r="B5797" s="12" t="str">
        <f aca="false">IF($A5797="","",원본명단!$A5796)</f>
        <v/>
      </c>
      <c r="C5797" s="12" t="str">
        <f aca="false">IF($A5797="","",원본명단!$B5796)</f>
        <v/>
      </c>
      <c r="D5797" s="12" t="str">
        <f aca="false">IF($A5797="","",원본명단!$D5796)</f>
        <v/>
      </c>
      <c r="E5797" s="11" t="str">
        <f aca="false">IF($A5797="","",IF(원본명단!$H5796="",0,COUNTIF(원본명단!$H$3:$H$6002,원본명단!$H5796)))</f>
        <v/>
      </c>
      <c r="F5797" s="11" t="str">
        <f aca="false">IF($A5797="","",IF(원본명단!$I5796="",0,COUNTIF(원본명단!$I$3:$I$6002,원본명단!$I5796)))</f>
        <v/>
      </c>
      <c r="G5797" s="11" t="str">
        <f aca="false">IF($A5797="","",IF(원본명단!$K5796="",0,COUNTIF(원본명단!$K$3:$K$6002,원본명단!$K5796)))</f>
        <v/>
      </c>
      <c r="H5797" s="11" t="str">
        <f aca="false">IF($A5797="","",IF(MAX($E5797,$F5797,$G5797)&gt;1,"중복","-"))</f>
        <v/>
      </c>
      <c r="I5797" s="11" t="str">
        <f aca="false">IF($A5797="","",IF($H5797="-","-",IF(AND(IF(원본명단!$H5796="",TRUE(),COUNTIF(원본명단!$H$3:$H5796,원본명단!$H5796)=1),IF(원본명단!$I5796="",TRUE(),COUNTIF(원본명단!$I$3:$I5796,원본명단!$I5796)=1),IF(원본명단!$K5796="",TRUE(),COUNTIF(원본명단!$K$3:$K5796,원본명단!$K5796)=1)),"첫 건","중복 건")))</f>
        <v/>
      </c>
      <c r="J5797" s="11" t="str">
        <f aca="false">IF($A5797="","",IF($H5797="-","유지",IF($I5797="첫 건","유지","확인 필요")))</f>
        <v/>
      </c>
    </row>
    <row r="5798" customFormat="false" ht="15" hidden="false" customHeight="true" outlineLevel="0" collapsed="false">
      <c r="A5798" s="11" t="str">
        <f aca="false">IF(원본명단!$A5797="","",5795)</f>
        <v/>
      </c>
      <c r="B5798" s="12" t="str">
        <f aca="false">IF($A5798="","",원본명단!$A5797)</f>
        <v/>
      </c>
      <c r="C5798" s="12" t="str">
        <f aca="false">IF($A5798="","",원본명단!$B5797)</f>
        <v/>
      </c>
      <c r="D5798" s="12" t="str">
        <f aca="false">IF($A5798="","",원본명단!$D5797)</f>
        <v/>
      </c>
      <c r="E5798" s="11" t="str">
        <f aca="false">IF($A5798="","",IF(원본명단!$H5797="",0,COUNTIF(원본명단!$H$3:$H$6002,원본명단!$H5797)))</f>
        <v/>
      </c>
      <c r="F5798" s="11" t="str">
        <f aca="false">IF($A5798="","",IF(원본명단!$I5797="",0,COUNTIF(원본명단!$I$3:$I$6002,원본명단!$I5797)))</f>
        <v/>
      </c>
      <c r="G5798" s="11" t="str">
        <f aca="false">IF($A5798="","",IF(원본명단!$K5797="",0,COUNTIF(원본명단!$K$3:$K$6002,원본명단!$K5797)))</f>
        <v/>
      </c>
      <c r="H5798" s="11" t="str">
        <f aca="false">IF($A5798="","",IF(MAX($E5798,$F5798,$G5798)&gt;1,"중복","-"))</f>
        <v/>
      </c>
      <c r="I5798" s="11" t="str">
        <f aca="false">IF($A5798="","",IF($H5798="-","-",IF(AND(IF(원본명단!$H5797="",TRUE(),COUNTIF(원본명단!$H$3:$H5797,원본명단!$H5797)=1),IF(원본명단!$I5797="",TRUE(),COUNTIF(원본명단!$I$3:$I5797,원본명단!$I5797)=1),IF(원본명단!$K5797="",TRUE(),COUNTIF(원본명단!$K$3:$K5797,원본명단!$K5797)=1)),"첫 건","중복 건")))</f>
        <v/>
      </c>
      <c r="J5798" s="11" t="str">
        <f aca="false">IF($A5798="","",IF($H5798="-","유지",IF($I5798="첫 건","유지","확인 필요")))</f>
        <v/>
      </c>
    </row>
    <row r="5799" customFormat="false" ht="15" hidden="false" customHeight="true" outlineLevel="0" collapsed="false">
      <c r="A5799" s="11" t="str">
        <f aca="false">IF(원본명단!$A5798="","",5796)</f>
        <v/>
      </c>
      <c r="B5799" s="12" t="str">
        <f aca="false">IF($A5799="","",원본명단!$A5798)</f>
        <v/>
      </c>
      <c r="C5799" s="12" t="str">
        <f aca="false">IF($A5799="","",원본명단!$B5798)</f>
        <v/>
      </c>
      <c r="D5799" s="12" t="str">
        <f aca="false">IF($A5799="","",원본명단!$D5798)</f>
        <v/>
      </c>
      <c r="E5799" s="11" t="str">
        <f aca="false">IF($A5799="","",IF(원본명단!$H5798="",0,COUNTIF(원본명단!$H$3:$H$6002,원본명단!$H5798)))</f>
        <v/>
      </c>
      <c r="F5799" s="11" t="str">
        <f aca="false">IF($A5799="","",IF(원본명단!$I5798="",0,COUNTIF(원본명단!$I$3:$I$6002,원본명단!$I5798)))</f>
        <v/>
      </c>
      <c r="G5799" s="11" t="str">
        <f aca="false">IF($A5799="","",IF(원본명단!$K5798="",0,COUNTIF(원본명단!$K$3:$K$6002,원본명단!$K5798)))</f>
        <v/>
      </c>
      <c r="H5799" s="11" t="str">
        <f aca="false">IF($A5799="","",IF(MAX($E5799,$F5799,$G5799)&gt;1,"중복","-"))</f>
        <v/>
      </c>
      <c r="I5799" s="11" t="str">
        <f aca="false">IF($A5799="","",IF($H5799="-","-",IF(AND(IF(원본명단!$H5798="",TRUE(),COUNTIF(원본명단!$H$3:$H5798,원본명단!$H5798)=1),IF(원본명단!$I5798="",TRUE(),COUNTIF(원본명단!$I$3:$I5798,원본명단!$I5798)=1),IF(원본명단!$K5798="",TRUE(),COUNTIF(원본명단!$K$3:$K5798,원본명단!$K5798)=1)),"첫 건","중복 건")))</f>
        <v/>
      </c>
      <c r="J5799" s="11" t="str">
        <f aca="false">IF($A5799="","",IF($H5799="-","유지",IF($I5799="첫 건","유지","확인 필요")))</f>
        <v/>
      </c>
    </row>
    <row r="5800" customFormat="false" ht="15" hidden="false" customHeight="true" outlineLevel="0" collapsed="false">
      <c r="A5800" s="11" t="str">
        <f aca="false">IF(원본명단!$A5799="","",5797)</f>
        <v/>
      </c>
      <c r="B5800" s="12" t="str">
        <f aca="false">IF($A5800="","",원본명단!$A5799)</f>
        <v/>
      </c>
      <c r="C5800" s="12" t="str">
        <f aca="false">IF($A5800="","",원본명단!$B5799)</f>
        <v/>
      </c>
      <c r="D5800" s="12" t="str">
        <f aca="false">IF($A5800="","",원본명단!$D5799)</f>
        <v/>
      </c>
      <c r="E5800" s="11" t="str">
        <f aca="false">IF($A5800="","",IF(원본명단!$H5799="",0,COUNTIF(원본명단!$H$3:$H$6002,원본명단!$H5799)))</f>
        <v/>
      </c>
      <c r="F5800" s="11" t="str">
        <f aca="false">IF($A5800="","",IF(원본명단!$I5799="",0,COUNTIF(원본명단!$I$3:$I$6002,원본명단!$I5799)))</f>
        <v/>
      </c>
      <c r="G5800" s="11" t="str">
        <f aca="false">IF($A5800="","",IF(원본명단!$K5799="",0,COUNTIF(원본명단!$K$3:$K$6002,원본명단!$K5799)))</f>
        <v/>
      </c>
      <c r="H5800" s="11" t="str">
        <f aca="false">IF($A5800="","",IF(MAX($E5800,$F5800,$G5800)&gt;1,"중복","-"))</f>
        <v/>
      </c>
      <c r="I5800" s="11" t="str">
        <f aca="false">IF($A5800="","",IF($H5800="-","-",IF(AND(IF(원본명단!$H5799="",TRUE(),COUNTIF(원본명단!$H$3:$H5799,원본명단!$H5799)=1),IF(원본명단!$I5799="",TRUE(),COUNTIF(원본명단!$I$3:$I5799,원본명단!$I5799)=1),IF(원본명단!$K5799="",TRUE(),COUNTIF(원본명단!$K$3:$K5799,원본명단!$K5799)=1)),"첫 건","중복 건")))</f>
        <v/>
      </c>
      <c r="J5800" s="11" t="str">
        <f aca="false">IF($A5800="","",IF($H5800="-","유지",IF($I5800="첫 건","유지","확인 필요")))</f>
        <v/>
      </c>
    </row>
    <row r="5801" customFormat="false" ht="15" hidden="false" customHeight="true" outlineLevel="0" collapsed="false">
      <c r="A5801" s="11" t="str">
        <f aca="false">IF(원본명단!$A5800="","",5798)</f>
        <v/>
      </c>
      <c r="B5801" s="12" t="str">
        <f aca="false">IF($A5801="","",원본명단!$A5800)</f>
        <v/>
      </c>
      <c r="C5801" s="12" t="str">
        <f aca="false">IF($A5801="","",원본명단!$B5800)</f>
        <v/>
      </c>
      <c r="D5801" s="12" t="str">
        <f aca="false">IF($A5801="","",원본명단!$D5800)</f>
        <v/>
      </c>
      <c r="E5801" s="11" t="str">
        <f aca="false">IF($A5801="","",IF(원본명단!$H5800="",0,COUNTIF(원본명단!$H$3:$H$6002,원본명단!$H5800)))</f>
        <v/>
      </c>
      <c r="F5801" s="11" t="str">
        <f aca="false">IF($A5801="","",IF(원본명단!$I5800="",0,COUNTIF(원본명단!$I$3:$I$6002,원본명단!$I5800)))</f>
        <v/>
      </c>
      <c r="G5801" s="11" t="str">
        <f aca="false">IF($A5801="","",IF(원본명단!$K5800="",0,COUNTIF(원본명단!$K$3:$K$6002,원본명단!$K5800)))</f>
        <v/>
      </c>
      <c r="H5801" s="11" t="str">
        <f aca="false">IF($A5801="","",IF(MAX($E5801,$F5801,$G5801)&gt;1,"중복","-"))</f>
        <v/>
      </c>
      <c r="I5801" s="11" t="str">
        <f aca="false">IF($A5801="","",IF($H5801="-","-",IF(AND(IF(원본명단!$H5800="",TRUE(),COUNTIF(원본명단!$H$3:$H5800,원본명단!$H5800)=1),IF(원본명단!$I5800="",TRUE(),COUNTIF(원본명단!$I$3:$I5800,원본명단!$I5800)=1),IF(원본명단!$K5800="",TRUE(),COUNTIF(원본명단!$K$3:$K5800,원본명단!$K5800)=1)),"첫 건","중복 건")))</f>
        <v/>
      </c>
      <c r="J5801" s="11" t="str">
        <f aca="false">IF($A5801="","",IF($H5801="-","유지",IF($I5801="첫 건","유지","확인 필요")))</f>
        <v/>
      </c>
    </row>
    <row r="5802" customFormat="false" ht="15" hidden="false" customHeight="true" outlineLevel="0" collapsed="false">
      <c r="A5802" s="11" t="str">
        <f aca="false">IF(원본명단!$A5801="","",5799)</f>
        <v/>
      </c>
      <c r="B5802" s="12" t="str">
        <f aca="false">IF($A5802="","",원본명단!$A5801)</f>
        <v/>
      </c>
      <c r="C5802" s="12" t="str">
        <f aca="false">IF($A5802="","",원본명단!$B5801)</f>
        <v/>
      </c>
      <c r="D5802" s="12" t="str">
        <f aca="false">IF($A5802="","",원본명단!$D5801)</f>
        <v/>
      </c>
      <c r="E5802" s="11" t="str">
        <f aca="false">IF($A5802="","",IF(원본명단!$H5801="",0,COUNTIF(원본명단!$H$3:$H$6002,원본명단!$H5801)))</f>
        <v/>
      </c>
      <c r="F5802" s="11" t="str">
        <f aca="false">IF($A5802="","",IF(원본명단!$I5801="",0,COUNTIF(원본명단!$I$3:$I$6002,원본명단!$I5801)))</f>
        <v/>
      </c>
      <c r="G5802" s="11" t="str">
        <f aca="false">IF($A5802="","",IF(원본명단!$K5801="",0,COUNTIF(원본명단!$K$3:$K$6002,원본명단!$K5801)))</f>
        <v/>
      </c>
      <c r="H5802" s="11" t="str">
        <f aca="false">IF($A5802="","",IF(MAX($E5802,$F5802,$G5802)&gt;1,"중복","-"))</f>
        <v/>
      </c>
      <c r="I5802" s="11" t="str">
        <f aca="false">IF($A5802="","",IF($H5802="-","-",IF(AND(IF(원본명단!$H5801="",TRUE(),COUNTIF(원본명단!$H$3:$H5801,원본명단!$H5801)=1),IF(원본명단!$I5801="",TRUE(),COUNTIF(원본명단!$I$3:$I5801,원본명단!$I5801)=1),IF(원본명단!$K5801="",TRUE(),COUNTIF(원본명단!$K$3:$K5801,원본명단!$K5801)=1)),"첫 건","중복 건")))</f>
        <v/>
      </c>
      <c r="J5802" s="11" t="str">
        <f aca="false">IF($A5802="","",IF($H5802="-","유지",IF($I5802="첫 건","유지","확인 필요")))</f>
        <v/>
      </c>
    </row>
    <row r="5803" customFormat="false" ht="15" hidden="false" customHeight="true" outlineLevel="0" collapsed="false">
      <c r="A5803" s="11" t="str">
        <f aca="false">IF(원본명단!$A5802="","",5800)</f>
        <v/>
      </c>
      <c r="B5803" s="12" t="str">
        <f aca="false">IF($A5803="","",원본명단!$A5802)</f>
        <v/>
      </c>
      <c r="C5803" s="12" t="str">
        <f aca="false">IF($A5803="","",원본명단!$B5802)</f>
        <v/>
      </c>
      <c r="D5803" s="12" t="str">
        <f aca="false">IF($A5803="","",원본명단!$D5802)</f>
        <v/>
      </c>
      <c r="E5803" s="11" t="str">
        <f aca="false">IF($A5803="","",IF(원본명단!$H5802="",0,COUNTIF(원본명단!$H$3:$H$6002,원본명단!$H5802)))</f>
        <v/>
      </c>
      <c r="F5803" s="11" t="str">
        <f aca="false">IF($A5803="","",IF(원본명단!$I5802="",0,COUNTIF(원본명단!$I$3:$I$6002,원본명단!$I5802)))</f>
        <v/>
      </c>
      <c r="G5803" s="11" t="str">
        <f aca="false">IF($A5803="","",IF(원본명단!$K5802="",0,COUNTIF(원본명단!$K$3:$K$6002,원본명단!$K5802)))</f>
        <v/>
      </c>
      <c r="H5803" s="11" t="str">
        <f aca="false">IF($A5803="","",IF(MAX($E5803,$F5803,$G5803)&gt;1,"중복","-"))</f>
        <v/>
      </c>
      <c r="I5803" s="11" t="str">
        <f aca="false">IF($A5803="","",IF($H5803="-","-",IF(AND(IF(원본명단!$H5802="",TRUE(),COUNTIF(원본명단!$H$3:$H5802,원본명단!$H5802)=1),IF(원본명단!$I5802="",TRUE(),COUNTIF(원본명단!$I$3:$I5802,원본명단!$I5802)=1),IF(원본명단!$K5802="",TRUE(),COUNTIF(원본명단!$K$3:$K5802,원본명단!$K5802)=1)),"첫 건","중복 건")))</f>
        <v/>
      </c>
      <c r="J5803" s="11" t="str">
        <f aca="false">IF($A5803="","",IF($H5803="-","유지",IF($I5803="첫 건","유지","확인 필요")))</f>
        <v/>
      </c>
    </row>
    <row r="5804" customFormat="false" ht="15" hidden="false" customHeight="true" outlineLevel="0" collapsed="false">
      <c r="A5804" s="11" t="str">
        <f aca="false">IF(원본명단!$A5803="","",5801)</f>
        <v/>
      </c>
      <c r="B5804" s="12" t="str">
        <f aca="false">IF($A5804="","",원본명단!$A5803)</f>
        <v/>
      </c>
      <c r="C5804" s="12" t="str">
        <f aca="false">IF($A5804="","",원본명단!$B5803)</f>
        <v/>
      </c>
      <c r="D5804" s="12" t="str">
        <f aca="false">IF($A5804="","",원본명단!$D5803)</f>
        <v/>
      </c>
      <c r="E5804" s="11" t="str">
        <f aca="false">IF($A5804="","",IF(원본명단!$H5803="",0,COUNTIF(원본명단!$H$3:$H$6002,원본명단!$H5803)))</f>
        <v/>
      </c>
      <c r="F5804" s="11" t="str">
        <f aca="false">IF($A5804="","",IF(원본명단!$I5803="",0,COUNTIF(원본명단!$I$3:$I$6002,원본명단!$I5803)))</f>
        <v/>
      </c>
      <c r="G5804" s="11" t="str">
        <f aca="false">IF($A5804="","",IF(원본명단!$K5803="",0,COUNTIF(원본명단!$K$3:$K$6002,원본명단!$K5803)))</f>
        <v/>
      </c>
      <c r="H5804" s="11" t="str">
        <f aca="false">IF($A5804="","",IF(MAX($E5804,$F5804,$G5804)&gt;1,"중복","-"))</f>
        <v/>
      </c>
      <c r="I5804" s="11" t="str">
        <f aca="false">IF($A5804="","",IF($H5804="-","-",IF(AND(IF(원본명단!$H5803="",TRUE(),COUNTIF(원본명단!$H$3:$H5803,원본명단!$H5803)=1),IF(원본명단!$I5803="",TRUE(),COUNTIF(원본명단!$I$3:$I5803,원본명단!$I5803)=1),IF(원본명단!$K5803="",TRUE(),COUNTIF(원본명단!$K$3:$K5803,원본명단!$K5803)=1)),"첫 건","중복 건")))</f>
        <v/>
      </c>
      <c r="J5804" s="11" t="str">
        <f aca="false">IF($A5804="","",IF($H5804="-","유지",IF($I5804="첫 건","유지","확인 필요")))</f>
        <v/>
      </c>
    </row>
    <row r="5805" customFormat="false" ht="15" hidden="false" customHeight="true" outlineLevel="0" collapsed="false">
      <c r="A5805" s="11" t="str">
        <f aca="false">IF(원본명단!$A5804="","",5802)</f>
        <v/>
      </c>
      <c r="B5805" s="12" t="str">
        <f aca="false">IF($A5805="","",원본명단!$A5804)</f>
        <v/>
      </c>
      <c r="C5805" s="12" t="str">
        <f aca="false">IF($A5805="","",원본명단!$B5804)</f>
        <v/>
      </c>
      <c r="D5805" s="12" t="str">
        <f aca="false">IF($A5805="","",원본명단!$D5804)</f>
        <v/>
      </c>
      <c r="E5805" s="11" t="str">
        <f aca="false">IF($A5805="","",IF(원본명단!$H5804="",0,COUNTIF(원본명단!$H$3:$H$6002,원본명단!$H5804)))</f>
        <v/>
      </c>
      <c r="F5805" s="11" t="str">
        <f aca="false">IF($A5805="","",IF(원본명단!$I5804="",0,COUNTIF(원본명단!$I$3:$I$6002,원본명단!$I5804)))</f>
        <v/>
      </c>
      <c r="G5805" s="11" t="str">
        <f aca="false">IF($A5805="","",IF(원본명단!$K5804="",0,COUNTIF(원본명단!$K$3:$K$6002,원본명단!$K5804)))</f>
        <v/>
      </c>
      <c r="H5805" s="11" t="str">
        <f aca="false">IF($A5805="","",IF(MAX($E5805,$F5805,$G5805)&gt;1,"중복","-"))</f>
        <v/>
      </c>
      <c r="I5805" s="11" t="str">
        <f aca="false">IF($A5805="","",IF($H5805="-","-",IF(AND(IF(원본명단!$H5804="",TRUE(),COUNTIF(원본명단!$H$3:$H5804,원본명단!$H5804)=1),IF(원본명단!$I5804="",TRUE(),COUNTIF(원본명단!$I$3:$I5804,원본명단!$I5804)=1),IF(원본명단!$K5804="",TRUE(),COUNTIF(원본명단!$K$3:$K5804,원본명단!$K5804)=1)),"첫 건","중복 건")))</f>
        <v/>
      </c>
      <c r="J5805" s="11" t="str">
        <f aca="false">IF($A5805="","",IF($H5805="-","유지",IF($I5805="첫 건","유지","확인 필요")))</f>
        <v/>
      </c>
    </row>
    <row r="5806" customFormat="false" ht="15" hidden="false" customHeight="true" outlineLevel="0" collapsed="false">
      <c r="A5806" s="11" t="str">
        <f aca="false">IF(원본명단!$A5805="","",5803)</f>
        <v/>
      </c>
      <c r="B5806" s="12" t="str">
        <f aca="false">IF($A5806="","",원본명단!$A5805)</f>
        <v/>
      </c>
      <c r="C5806" s="12" t="str">
        <f aca="false">IF($A5806="","",원본명단!$B5805)</f>
        <v/>
      </c>
      <c r="D5806" s="12" t="str">
        <f aca="false">IF($A5806="","",원본명단!$D5805)</f>
        <v/>
      </c>
      <c r="E5806" s="11" t="str">
        <f aca="false">IF($A5806="","",IF(원본명단!$H5805="",0,COUNTIF(원본명단!$H$3:$H$6002,원본명단!$H5805)))</f>
        <v/>
      </c>
      <c r="F5806" s="11" t="str">
        <f aca="false">IF($A5806="","",IF(원본명단!$I5805="",0,COUNTIF(원본명단!$I$3:$I$6002,원본명단!$I5805)))</f>
        <v/>
      </c>
      <c r="G5806" s="11" t="str">
        <f aca="false">IF($A5806="","",IF(원본명단!$K5805="",0,COUNTIF(원본명단!$K$3:$K$6002,원본명단!$K5805)))</f>
        <v/>
      </c>
      <c r="H5806" s="11" t="str">
        <f aca="false">IF($A5806="","",IF(MAX($E5806,$F5806,$G5806)&gt;1,"중복","-"))</f>
        <v/>
      </c>
      <c r="I5806" s="11" t="str">
        <f aca="false">IF($A5806="","",IF($H5806="-","-",IF(AND(IF(원본명단!$H5805="",TRUE(),COUNTIF(원본명단!$H$3:$H5805,원본명단!$H5805)=1),IF(원본명단!$I5805="",TRUE(),COUNTIF(원본명단!$I$3:$I5805,원본명단!$I5805)=1),IF(원본명단!$K5805="",TRUE(),COUNTIF(원본명단!$K$3:$K5805,원본명단!$K5805)=1)),"첫 건","중복 건")))</f>
        <v/>
      </c>
      <c r="J5806" s="11" t="str">
        <f aca="false">IF($A5806="","",IF($H5806="-","유지",IF($I5806="첫 건","유지","확인 필요")))</f>
        <v/>
      </c>
    </row>
    <row r="5807" customFormat="false" ht="15" hidden="false" customHeight="true" outlineLevel="0" collapsed="false">
      <c r="A5807" s="11" t="str">
        <f aca="false">IF(원본명단!$A5806="","",5804)</f>
        <v/>
      </c>
      <c r="B5807" s="12" t="str">
        <f aca="false">IF($A5807="","",원본명단!$A5806)</f>
        <v/>
      </c>
      <c r="C5807" s="12" t="str">
        <f aca="false">IF($A5807="","",원본명단!$B5806)</f>
        <v/>
      </c>
      <c r="D5807" s="12" t="str">
        <f aca="false">IF($A5807="","",원본명단!$D5806)</f>
        <v/>
      </c>
      <c r="E5807" s="11" t="str">
        <f aca="false">IF($A5807="","",IF(원본명단!$H5806="",0,COUNTIF(원본명단!$H$3:$H$6002,원본명단!$H5806)))</f>
        <v/>
      </c>
      <c r="F5807" s="11" t="str">
        <f aca="false">IF($A5807="","",IF(원본명단!$I5806="",0,COUNTIF(원본명단!$I$3:$I$6002,원본명단!$I5806)))</f>
        <v/>
      </c>
      <c r="G5807" s="11" t="str">
        <f aca="false">IF($A5807="","",IF(원본명단!$K5806="",0,COUNTIF(원본명단!$K$3:$K$6002,원본명단!$K5806)))</f>
        <v/>
      </c>
      <c r="H5807" s="11" t="str">
        <f aca="false">IF($A5807="","",IF(MAX($E5807,$F5807,$G5807)&gt;1,"중복","-"))</f>
        <v/>
      </c>
      <c r="I5807" s="11" t="str">
        <f aca="false">IF($A5807="","",IF($H5807="-","-",IF(AND(IF(원본명단!$H5806="",TRUE(),COUNTIF(원본명단!$H$3:$H5806,원본명단!$H5806)=1),IF(원본명단!$I5806="",TRUE(),COUNTIF(원본명단!$I$3:$I5806,원본명단!$I5806)=1),IF(원본명단!$K5806="",TRUE(),COUNTIF(원본명단!$K$3:$K5806,원본명단!$K5806)=1)),"첫 건","중복 건")))</f>
        <v/>
      </c>
      <c r="J5807" s="11" t="str">
        <f aca="false">IF($A5807="","",IF($H5807="-","유지",IF($I5807="첫 건","유지","확인 필요")))</f>
        <v/>
      </c>
    </row>
    <row r="5808" customFormat="false" ht="15" hidden="false" customHeight="true" outlineLevel="0" collapsed="false">
      <c r="A5808" s="11" t="str">
        <f aca="false">IF(원본명단!$A5807="","",5805)</f>
        <v/>
      </c>
      <c r="B5808" s="12" t="str">
        <f aca="false">IF($A5808="","",원본명단!$A5807)</f>
        <v/>
      </c>
      <c r="C5808" s="12" t="str">
        <f aca="false">IF($A5808="","",원본명단!$B5807)</f>
        <v/>
      </c>
      <c r="D5808" s="12" t="str">
        <f aca="false">IF($A5808="","",원본명단!$D5807)</f>
        <v/>
      </c>
      <c r="E5808" s="11" t="str">
        <f aca="false">IF($A5808="","",IF(원본명단!$H5807="",0,COUNTIF(원본명단!$H$3:$H$6002,원본명단!$H5807)))</f>
        <v/>
      </c>
      <c r="F5808" s="11" t="str">
        <f aca="false">IF($A5808="","",IF(원본명단!$I5807="",0,COUNTIF(원본명단!$I$3:$I$6002,원본명단!$I5807)))</f>
        <v/>
      </c>
      <c r="G5808" s="11" t="str">
        <f aca="false">IF($A5808="","",IF(원본명단!$K5807="",0,COUNTIF(원본명단!$K$3:$K$6002,원본명단!$K5807)))</f>
        <v/>
      </c>
      <c r="H5808" s="11" t="str">
        <f aca="false">IF($A5808="","",IF(MAX($E5808,$F5808,$G5808)&gt;1,"중복","-"))</f>
        <v/>
      </c>
      <c r="I5808" s="11" t="str">
        <f aca="false">IF($A5808="","",IF($H5808="-","-",IF(AND(IF(원본명단!$H5807="",TRUE(),COUNTIF(원본명단!$H$3:$H5807,원본명단!$H5807)=1),IF(원본명단!$I5807="",TRUE(),COUNTIF(원본명단!$I$3:$I5807,원본명단!$I5807)=1),IF(원본명단!$K5807="",TRUE(),COUNTIF(원본명단!$K$3:$K5807,원본명단!$K5807)=1)),"첫 건","중복 건")))</f>
        <v/>
      </c>
      <c r="J5808" s="11" t="str">
        <f aca="false">IF($A5808="","",IF($H5808="-","유지",IF($I5808="첫 건","유지","확인 필요")))</f>
        <v/>
      </c>
    </row>
    <row r="5809" customFormat="false" ht="15" hidden="false" customHeight="true" outlineLevel="0" collapsed="false">
      <c r="A5809" s="11" t="str">
        <f aca="false">IF(원본명단!$A5808="","",5806)</f>
        <v/>
      </c>
      <c r="B5809" s="12" t="str">
        <f aca="false">IF($A5809="","",원본명단!$A5808)</f>
        <v/>
      </c>
      <c r="C5809" s="12" t="str">
        <f aca="false">IF($A5809="","",원본명단!$B5808)</f>
        <v/>
      </c>
      <c r="D5809" s="12" t="str">
        <f aca="false">IF($A5809="","",원본명단!$D5808)</f>
        <v/>
      </c>
      <c r="E5809" s="11" t="str">
        <f aca="false">IF($A5809="","",IF(원본명단!$H5808="",0,COUNTIF(원본명단!$H$3:$H$6002,원본명단!$H5808)))</f>
        <v/>
      </c>
      <c r="F5809" s="11" t="str">
        <f aca="false">IF($A5809="","",IF(원본명단!$I5808="",0,COUNTIF(원본명단!$I$3:$I$6002,원본명단!$I5808)))</f>
        <v/>
      </c>
      <c r="G5809" s="11" t="str">
        <f aca="false">IF($A5809="","",IF(원본명단!$K5808="",0,COUNTIF(원본명단!$K$3:$K$6002,원본명단!$K5808)))</f>
        <v/>
      </c>
      <c r="H5809" s="11" t="str">
        <f aca="false">IF($A5809="","",IF(MAX($E5809,$F5809,$G5809)&gt;1,"중복","-"))</f>
        <v/>
      </c>
      <c r="I5809" s="11" t="str">
        <f aca="false">IF($A5809="","",IF($H5809="-","-",IF(AND(IF(원본명단!$H5808="",TRUE(),COUNTIF(원본명단!$H$3:$H5808,원본명단!$H5808)=1),IF(원본명단!$I5808="",TRUE(),COUNTIF(원본명단!$I$3:$I5808,원본명단!$I5808)=1),IF(원본명단!$K5808="",TRUE(),COUNTIF(원본명단!$K$3:$K5808,원본명단!$K5808)=1)),"첫 건","중복 건")))</f>
        <v/>
      </c>
      <c r="J5809" s="11" t="str">
        <f aca="false">IF($A5809="","",IF($H5809="-","유지",IF($I5809="첫 건","유지","확인 필요")))</f>
        <v/>
      </c>
    </row>
    <row r="5810" customFormat="false" ht="15" hidden="false" customHeight="true" outlineLevel="0" collapsed="false">
      <c r="A5810" s="11" t="str">
        <f aca="false">IF(원본명단!$A5809="","",5807)</f>
        <v/>
      </c>
      <c r="B5810" s="12" t="str">
        <f aca="false">IF($A5810="","",원본명단!$A5809)</f>
        <v/>
      </c>
      <c r="C5810" s="12" t="str">
        <f aca="false">IF($A5810="","",원본명단!$B5809)</f>
        <v/>
      </c>
      <c r="D5810" s="12" t="str">
        <f aca="false">IF($A5810="","",원본명단!$D5809)</f>
        <v/>
      </c>
      <c r="E5810" s="11" t="str">
        <f aca="false">IF($A5810="","",IF(원본명단!$H5809="",0,COUNTIF(원본명단!$H$3:$H$6002,원본명단!$H5809)))</f>
        <v/>
      </c>
      <c r="F5810" s="11" t="str">
        <f aca="false">IF($A5810="","",IF(원본명단!$I5809="",0,COUNTIF(원본명단!$I$3:$I$6002,원본명단!$I5809)))</f>
        <v/>
      </c>
      <c r="G5810" s="11" t="str">
        <f aca="false">IF($A5810="","",IF(원본명단!$K5809="",0,COUNTIF(원본명단!$K$3:$K$6002,원본명단!$K5809)))</f>
        <v/>
      </c>
      <c r="H5810" s="11" t="str">
        <f aca="false">IF($A5810="","",IF(MAX($E5810,$F5810,$G5810)&gt;1,"중복","-"))</f>
        <v/>
      </c>
      <c r="I5810" s="11" t="str">
        <f aca="false">IF($A5810="","",IF($H5810="-","-",IF(AND(IF(원본명단!$H5809="",TRUE(),COUNTIF(원본명단!$H$3:$H5809,원본명단!$H5809)=1),IF(원본명단!$I5809="",TRUE(),COUNTIF(원본명단!$I$3:$I5809,원본명단!$I5809)=1),IF(원본명단!$K5809="",TRUE(),COUNTIF(원본명단!$K$3:$K5809,원본명단!$K5809)=1)),"첫 건","중복 건")))</f>
        <v/>
      </c>
      <c r="J5810" s="11" t="str">
        <f aca="false">IF($A5810="","",IF($H5810="-","유지",IF($I5810="첫 건","유지","확인 필요")))</f>
        <v/>
      </c>
    </row>
    <row r="5811" customFormat="false" ht="15" hidden="false" customHeight="true" outlineLevel="0" collapsed="false">
      <c r="A5811" s="11" t="str">
        <f aca="false">IF(원본명단!$A5810="","",5808)</f>
        <v/>
      </c>
      <c r="B5811" s="12" t="str">
        <f aca="false">IF($A5811="","",원본명단!$A5810)</f>
        <v/>
      </c>
      <c r="C5811" s="12" t="str">
        <f aca="false">IF($A5811="","",원본명단!$B5810)</f>
        <v/>
      </c>
      <c r="D5811" s="12" t="str">
        <f aca="false">IF($A5811="","",원본명단!$D5810)</f>
        <v/>
      </c>
      <c r="E5811" s="11" t="str">
        <f aca="false">IF($A5811="","",IF(원본명단!$H5810="",0,COUNTIF(원본명단!$H$3:$H$6002,원본명단!$H5810)))</f>
        <v/>
      </c>
      <c r="F5811" s="11" t="str">
        <f aca="false">IF($A5811="","",IF(원본명단!$I5810="",0,COUNTIF(원본명단!$I$3:$I$6002,원본명단!$I5810)))</f>
        <v/>
      </c>
      <c r="G5811" s="11" t="str">
        <f aca="false">IF($A5811="","",IF(원본명단!$K5810="",0,COUNTIF(원본명단!$K$3:$K$6002,원본명단!$K5810)))</f>
        <v/>
      </c>
      <c r="H5811" s="11" t="str">
        <f aca="false">IF($A5811="","",IF(MAX($E5811,$F5811,$G5811)&gt;1,"중복","-"))</f>
        <v/>
      </c>
      <c r="I5811" s="11" t="str">
        <f aca="false">IF($A5811="","",IF($H5811="-","-",IF(AND(IF(원본명단!$H5810="",TRUE(),COUNTIF(원본명단!$H$3:$H5810,원본명단!$H5810)=1),IF(원본명단!$I5810="",TRUE(),COUNTIF(원본명단!$I$3:$I5810,원본명단!$I5810)=1),IF(원본명단!$K5810="",TRUE(),COUNTIF(원본명단!$K$3:$K5810,원본명단!$K5810)=1)),"첫 건","중복 건")))</f>
        <v/>
      </c>
      <c r="J5811" s="11" t="str">
        <f aca="false">IF($A5811="","",IF($H5811="-","유지",IF($I5811="첫 건","유지","확인 필요")))</f>
        <v/>
      </c>
    </row>
    <row r="5812" customFormat="false" ht="15" hidden="false" customHeight="true" outlineLevel="0" collapsed="false">
      <c r="A5812" s="11" t="str">
        <f aca="false">IF(원본명단!$A5811="","",5809)</f>
        <v/>
      </c>
      <c r="B5812" s="12" t="str">
        <f aca="false">IF($A5812="","",원본명단!$A5811)</f>
        <v/>
      </c>
      <c r="C5812" s="12" t="str">
        <f aca="false">IF($A5812="","",원본명단!$B5811)</f>
        <v/>
      </c>
      <c r="D5812" s="12" t="str">
        <f aca="false">IF($A5812="","",원본명단!$D5811)</f>
        <v/>
      </c>
      <c r="E5812" s="11" t="str">
        <f aca="false">IF($A5812="","",IF(원본명단!$H5811="",0,COUNTIF(원본명단!$H$3:$H$6002,원본명단!$H5811)))</f>
        <v/>
      </c>
      <c r="F5812" s="11" t="str">
        <f aca="false">IF($A5812="","",IF(원본명단!$I5811="",0,COUNTIF(원본명단!$I$3:$I$6002,원본명단!$I5811)))</f>
        <v/>
      </c>
      <c r="G5812" s="11" t="str">
        <f aca="false">IF($A5812="","",IF(원본명단!$K5811="",0,COUNTIF(원본명단!$K$3:$K$6002,원본명단!$K5811)))</f>
        <v/>
      </c>
      <c r="H5812" s="11" t="str">
        <f aca="false">IF($A5812="","",IF(MAX($E5812,$F5812,$G5812)&gt;1,"중복","-"))</f>
        <v/>
      </c>
      <c r="I5812" s="11" t="str">
        <f aca="false">IF($A5812="","",IF($H5812="-","-",IF(AND(IF(원본명단!$H5811="",TRUE(),COUNTIF(원본명단!$H$3:$H5811,원본명단!$H5811)=1),IF(원본명단!$I5811="",TRUE(),COUNTIF(원본명단!$I$3:$I5811,원본명단!$I5811)=1),IF(원본명단!$K5811="",TRUE(),COUNTIF(원본명단!$K$3:$K5811,원본명단!$K5811)=1)),"첫 건","중복 건")))</f>
        <v/>
      </c>
      <c r="J5812" s="11" t="str">
        <f aca="false">IF($A5812="","",IF($H5812="-","유지",IF($I5812="첫 건","유지","확인 필요")))</f>
        <v/>
      </c>
    </row>
    <row r="5813" customFormat="false" ht="15" hidden="false" customHeight="true" outlineLevel="0" collapsed="false">
      <c r="A5813" s="11" t="str">
        <f aca="false">IF(원본명단!$A5812="","",5810)</f>
        <v/>
      </c>
      <c r="B5813" s="12" t="str">
        <f aca="false">IF($A5813="","",원본명단!$A5812)</f>
        <v/>
      </c>
      <c r="C5813" s="12" t="str">
        <f aca="false">IF($A5813="","",원본명단!$B5812)</f>
        <v/>
      </c>
      <c r="D5813" s="12" t="str">
        <f aca="false">IF($A5813="","",원본명단!$D5812)</f>
        <v/>
      </c>
      <c r="E5813" s="11" t="str">
        <f aca="false">IF($A5813="","",IF(원본명단!$H5812="",0,COUNTIF(원본명단!$H$3:$H$6002,원본명단!$H5812)))</f>
        <v/>
      </c>
      <c r="F5813" s="11" t="str">
        <f aca="false">IF($A5813="","",IF(원본명단!$I5812="",0,COUNTIF(원본명단!$I$3:$I$6002,원본명단!$I5812)))</f>
        <v/>
      </c>
      <c r="G5813" s="11" t="str">
        <f aca="false">IF($A5813="","",IF(원본명단!$K5812="",0,COUNTIF(원본명단!$K$3:$K$6002,원본명단!$K5812)))</f>
        <v/>
      </c>
      <c r="H5813" s="11" t="str">
        <f aca="false">IF($A5813="","",IF(MAX($E5813,$F5813,$G5813)&gt;1,"중복","-"))</f>
        <v/>
      </c>
      <c r="I5813" s="11" t="str">
        <f aca="false">IF($A5813="","",IF($H5813="-","-",IF(AND(IF(원본명단!$H5812="",TRUE(),COUNTIF(원본명단!$H$3:$H5812,원본명단!$H5812)=1),IF(원본명단!$I5812="",TRUE(),COUNTIF(원본명단!$I$3:$I5812,원본명단!$I5812)=1),IF(원본명단!$K5812="",TRUE(),COUNTIF(원본명단!$K$3:$K5812,원본명단!$K5812)=1)),"첫 건","중복 건")))</f>
        <v/>
      </c>
      <c r="J5813" s="11" t="str">
        <f aca="false">IF($A5813="","",IF($H5813="-","유지",IF($I5813="첫 건","유지","확인 필요")))</f>
        <v/>
      </c>
    </row>
    <row r="5814" customFormat="false" ht="15" hidden="false" customHeight="true" outlineLevel="0" collapsed="false">
      <c r="A5814" s="11" t="str">
        <f aca="false">IF(원본명단!$A5813="","",5811)</f>
        <v/>
      </c>
      <c r="B5814" s="12" t="str">
        <f aca="false">IF($A5814="","",원본명단!$A5813)</f>
        <v/>
      </c>
      <c r="C5814" s="12" t="str">
        <f aca="false">IF($A5814="","",원본명단!$B5813)</f>
        <v/>
      </c>
      <c r="D5814" s="12" t="str">
        <f aca="false">IF($A5814="","",원본명단!$D5813)</f>
        <v/>
      </c>
      <c r="E5814" s="11" t="str">
        <f aca="false">IF($A5814="","",IF(원본명단!$H5813="",0,COUNTIF(원본명단!$H$3:$H$6002,원본명단!$H5813)))</f>
        <v/>
      </c>
      <c r="F5814" s="11" t="str">
        <f aca="false">IF($A5814="","",IF(원본명단!$I5813="",0,COUNTIF(원본명단!$I$3:$I$6002,원본명단!$I5813)))</f>
        <v/>
      </c>
      <c r="G5814" s="11" t="str">
        <f aca="false">IF($A5814="","",IF(원본명단!$K5813="",0,COUNTIF(원본명단!$K$3:$K$6002,원본명단!$K5813)))</f>
        <v/>
      </c>
      <c r="H5814" s="11" t="str">
        <f aca="false">IF($A5814="","",IF(MAX($E5814,$F5814,$G5814)&gt;1,"중복","-"))</f>
        <v/>
      </c>
      <c r="I5814" s="11" t="str">
        <f aca="false">IF($A5814="","",IF($H5814="-","-",IF(AND(IF(원본명단!$H5813="",TRUE(),COUNTIF(원본명단!$H$3:$H5813,원본명단!$H5813)=1),IF(원본명단!$I5813="",TRUE(),COUNTIF(원본명단!$I$3:$I5813,원본명단!$I5813)=1),IF(원본명단!$K5813="",TRUE(),COUNTIF(원본명단!$K$3:$K5813,원본명단!$K5813)=1)),"첫 건","중복 건")))</f>
        <v/>
      </c>
      <c r="J5814" s="11" t="str">
        <f aca="false">IF($A5814="","",IF($H5814="-","유지",IF($I5814="첫 건","유지","확인 필요")))</f>
        <v/>
      </c>
    </row>
    <row r="5815" customFormat="false" ht="15" hidden="false" customHeight="true" outlineLevel="0" collapsed="false">
      <c r="A5815" s="11" t="str">
        <f aca="false">IF(원본명단!$A5814="","",5812)</f>
        <v/>
      </c>
      <c r="B5815" s="12" t="str">
        <f aca="false">IF($A5815="","",원본명단!$A5814)</f>
        <v/>
      </c>
      <c r="C5815" s="12" t="str">
        <f aca="false">IF($A5815="","",원본명단!$B5814)</f>
        <v/>
      </c>
      <c r="D5815" s="12" t="str">
        <f aca="false">IF($A5815="","",원본명단!$D5814)</f>
        <v/>
      </c>
      <c r="E5815" s="11" t="str">
        <f aca="false">IF($A5815="","",IF(원본명단!$H5814="",0,COUNTIF(원본명단!$H$3:$H$6002,원본명단!$H5814)))</f>
        <v/>
      </c>
      <c r="F5815" s="11" t="str">
        <f aca="false">IF($A5815="","",IF(원본명단!$I5814="",0,COUNTIF(원본명단!$I$3:$I$6002,원본명단!$I5814)))</f>
        <v/>
      </c>
      <c r="G5815" s="11" t="str">
        <f aca="false">IF($A5815="","",IF(원본명단!$K5814="",0,COUNTIF(원본명단!$K$3:$K$6002,원본명단!$K5814)))</f>
        <v/>
      </c>
      <c r="H5815" s="11" t="str">
        <f aca="false">IF($A5815="","",IF(MAX($E5815,$F5815,$G5815)&gt;1,"중복","-"))</f>
        <v/>
      </c>
      <c r="I5815" s="11" t="str">
        <f aca="false">IF($A5815="","",IF($H5815="-","-",IF(AND(IF(원본명단!$H5814="",TRUE(),COUNTIF(원본명단!$H$3:$H5814,원본명단!$H5814)=1),IF(원본명단!$I5814="",TRUE(),COUNTIF(원본명단!$I$3:$I5814,원본명단!$I5814)=1),IF(원본명단!$K5814="",TRUE(),COUNTIF(원본명단!$K$3:$K5814,원본명단!$K5814)=1)),"첫 건","중복 건")))</f>
        <v/>
      </c>
      <c r="J5815" s="11" t="str">
        <f aca="false">IF($A5815="","",IF($H5815="-","유지",IF($I5815="첫 건","유지","확인 필요")))</f>
        <v/>
      </c>
    </row>
    <row r="5816" customFormat="false" ht="15" hidden="false" customHeight="true" outlineLevel="0" collapsed="false">
      <c r="A5816" s="11" t="str">
        <f aca="false">IF(원본명단!$A5815="","",5813)</f>
        <v/>
      </c>
      <c r="B5816" s="12" t="str">
        <f aca="false">IF($A5816="","",원본명단!$A5815)</f>
        <v/>
      </c>
      <c r="C5816" s="12" t="str">
        <f aca="false">IF($A5816="","",원본명단!$B5815)</f>
        <v/>
      </c>
      <c r="D5816" s="12" t="str">
        <f aca="false">IF($A5816="","",원본명단!$D5815)</f>
        <v/>
      </c>
      <c r="E5816" s="11" t="str">
        <f aca="false">IF($A5816="","",IF(원본명단!$H5815="",0,COUNTIF(원본명단!$H$3:$H$6002,원본명단!$H5815)))</f>
        <v/>
      </c>
      <c r="F5816" s="11" t="str">
        <f aca="false">IF($A5816="","",IF(원본명단!$I5815="",0,COUNTIF(원본명단!$I$3:$I$6002,원본명단!$I5815)))</f>
        <v/>
      </c>
      <c r="G5816" s="11" t="str">
        <f aca="false">IF($A5816="","",IF(원본명단!$K5815="",0,COUNTIF(원본명단!$K$3:$K$6002,원본명단!$K5815)))</f>
        <v/>
      </c>
      <c r="H5816" s="11" t="str">
        <f aca="false">IF($A5816="","",IF(MAX($E5816,$F5816,$G5816)&gt;1,"중복","-"))</f>
        <v/>
      </c>
      <c r="I5816" s="11" t="str">
        <f aca="false">IF($A5816="","",IF($H5816="-","-",IF(AND(IF(원본명단!$H5815="",TRUE(),COUNTIF(원본명단!$H$3:$H5815,원본명단!$H5815)=1),IF(원본명단!$I5815="",TRUE(),COUNTIF(원본명단!$I$3:$I5815,원본명단!$I5815)=1),IF(원본명단!$K5815="",TRUE(),COUNTIF(원본명단!$K$3:$K5815,원본명단!$K5815)=1)),"첫 건","중복 건")))</f>
        <v/>
      </c>
      <c r="J5816" s="11" t="str">
        <f aca="false">IF($A5816="","",IF($H5816="-","유지",IF($I5816="첫 건","유지","확인 필요")))</f>
        <v/>
      </c>
    </row>
    <row r="5817" customFormat="false" ht="15" hidden="false" customHeight="true" outlineLevel="0" collapsed="false">
      <c r="A5817" s="11" t="str">
        <f aca="false">IF(원본명단!$A5816="","",5814)</f>
        <v/>
      </c>
      <c r="B5817" s="12" t="str">
        <f aca="false">IF($A5817="","",원본명단!$A5816)</f>
        <v/>
      </c>
      <c r="C5817" s="12" t="str">
        <f aca="false">IF($A5817="","",원본명단!$B5816)</f>
        <v/>
      </c>
      <c r="D5817" s="12" t="str">
        <f aca="false">IF($A5817="","",원본명단!$D5816)</f>
        <v/>
      </c>
      <c r="E5817" s="11" t="str">
        <f aca="false">IF($A5817="","",IF(원본명단!$H5816="",0,COUNTIF(원본명단!$H$3:$H$6002,원본명단!$H5816)))</f>
        <v/>
      </c>
      <c r="F5817" s="11" t="str">
        <f aca="false">IF($A5817="","",IF(원본명단!$I5816="",0,COUNTIF(원본명단!$I$3:$I$6002,원본명단!$I5816)))</f>
        <v/>
      </c>
      <c r="G5817" s="11" t="str">
        <f aca="false">IF($A5817="","",IF(원본명단!$K5816="",0,COUNTIF(원본명단!$K$3:$K$6002,원본명단!$K5816)))</f>
        <v/>
      </c>
      <c r="H5817" s="11" t="str">
        <f aca="false">IF($A5817="","",IF(MAX($E5817,$F5817,$G5817)&gt;1,"중복","-"))</f>
        <v/>
      </c>
      <c r="I5817" s="11" t="str">
        <f aca="false">IF($A5817="","",IF($H5817="-","-",IF(AND(IF(원본명단!$H5816="",TRUE(),COUNTIF(원본명단!$H$3:$H5816,원본명단!$H5816)=1),IF(원본명단!$I5816="",TRUE(),COUNTIF(원본명단!$I$3:$I5816,원본명단!$I5816)=1),IF(원본명단!$K5816="",TRUE(),COUNTIF(원본명단!$K$3:$K5816,원본명단!$K5816)=1)),"첫 건","중복 건")))</f>
        <v/>
      </c>
      <c r="J5817" s="11" t="str">
        <f aca="false">IF($A5817="","",IF($H5817="-","유지",IF($I5817="첫 건","유지","확인 필요")))</f>
        <v/>
      </c>
    </row>
    <row r="5818" customFormat="false" ht="15" hidden="false" customHeight="true" outlineLevel="0" collapsed="false">
      <c r="A5818" s="11" t="str">
        <f aca="false">IF(원본명단!$A5817="","",5815)</f>
        <v/>
      </c>
      <c r="B5818" s="12" t="str">
        <f aca="false">IF($A5818="","",원본명단!$A5817)</f>
        <v/>
      </c>
      <c r="C5818" s="12" t="str">
        <f aca="false">IF($A5818="","",원본명단!$B5817)</f>
        <v/>
      </c>
      <c r="D5818" s="12" t="str">
        <f aca="false">IF($A5818="","",원본명단!$D5817)</f>
        <v/>
      </c>
      <c r="E5818" s="11" t="str">
        <f aca="false">IF($A5818="","",IF(원본명단!$H5817="",0,COUNTIF(원본명단!$H$3:$H$6002,원본명단!$H5817)))</f>
        <v/>
      </c>
      <c r="F5818" s="11" t="str">
        <f aca="false">IF($A5818="","",IF(원본명단!$I5817="",0,COUNTIF(원본명단!$I$3:$I$6002,원본명단!$I5817)))</f>
        <v/>
      </c>
      <c r="G5818" s="11" t="str">
        <f aca="false">IF($A5818="","",IF(원본명단!$K5817="",0,COUNTIF(원본명단!$K$3:$K$6002,원본명단!$K5817)))</f>
        <v/>
      </c>
      <c r="H5818" s="11" t="str">
        <f aca="false">IF($A5818="","",IF(MAX($E5818,$F5818,$G5818)&gt;1,"중복","-"))</f>
        <v/>
      </c>
      <c r="I5818" s="11" t="str">
        <f aca="false">IF($A5818="","",IF($H5818="-","-",IF(AND(IF(원본명단!$H5817="",TRUE(),COUNTIF(원본명단!$H$3:$H5817,원본명단!$H5817)=1),IF(원본명단!$I5817="",TRUE(),COUNTIF(원본명단!$I$3:$I5817,원본명단!$I5817)=1),IF(원본명단!$K5817="",TRUE(),COUNTIF(원본명단!$K$3:$K5817,원본명단!$K5817)=1)),"첫 건","중복 건")))</f>
        <v/>
      </c>
      <c r="J5818" s="11" t="str">
        <f aca="false">IF($A5818="","",IF($H5818="-","유지",IF($I5818="첫 건","유지","확인 필요")))</f>
        <v/>
      </c>
    </row>
    <row r="5819" customFormat="false" ht="15" hidden="false" customHeight="true" outlineLevel="0" collapsed="false">
      <c r="A5819" s="11" t="str">
        <f aca="false">IF(원본명단!$A5818="","",5816)</f>
        <v/>
      </c>
      <c r="B5819" s="12" t="str">
        <f aca="false">IF($A5819="","",원본명단!$A5818)</f>
        <v/>
      </c>
      <c r="C5819" s="12" t="str">
        <f aca="false">IF($A5819="","",원본명단!$B5818)</f>
        <v/>
      </c>
      <c r="D5819" s="12" t="str">
        <f aca="false">IF($A5819="","",원본명단!$D5818)</f>
        <v/>
      </c>
      <c r="E5819" s="11" t="str">
        <f aca="false">IF($A5819="","",IF(원본명단!$H5818="",0,COUNTIF(원본명단!$H$3:$H$6002,원본명단!$H5818)))</f>
        <v/>
      </c>
      <c r="F5819" s="11" t="str">
        <f aca="false">IF($A5819="","",IF(원본명단!$I5818="",0,COUNTIF(원본명단!$I$3:$I$6002,원본명단!$I5818)))</f>
        <v/>
      </c>
      <c r="G5819" s="11" t="str">
        <f aca="false">IF($A5819="","",IF(원본명단!$K5818="",0,COUNTIF(원본명단!$K$3:$K$6002,원본명단!$K5818)))</f>
        <v/>
      </c>
      <c r="H5819" s="11" t="str">
        <f aca="false">IF($A5819="","",IF(MAX($E5819,$F5819,$G5819)&gt;1,"중복","-"))</f>
        <v/>
      </c>
      <c r="I5819" s="11" t="str">
        <f aca="false">IF($A5819="","",IF($H5819="-","-",IF(AND(IF(원본명단!$H5818="",TRUE(),COUNTIF(원본명단!$H$3:$H5818,원본명단!$H5818)=1),IF(원본명단!$I5818="",TRUE(),COUNTIF(원본명단!$I$3:$I5818,원본명단!$I5818)=1),IF(원본명단!$K5818="",TRUE(),COUNTIF(원본명단!$K$3:$K5818,원본명단!$K5818)=1)),"첫 건","중복 건")))</f>
        <v/>
      </c>
      <c r="J5819" s="11" t="str">
        <f aca="false">IF($A5819="","",IF($H5819="-","유지",IF($I5819="첫 건","유지","확인 필요")))</f>
        <v/>
      </c>
    </row>
    <row r="5820" customFormat="false" ht="15" hidden="false" customHeight="true" outlineLevel="0" collapsed="false">
      <c r="A5820" s="11" t="str">
        <f aca="false">IF(원본명단!$A5819="","",5817)</f>
        <v/>
      </c>
      <c r="B5820" s="12" t="str">
        <f aca="false">IF($A5820="","",원본명단!$A5819)</f>
        <v/>
      </c>
      <c r="C5820" s="12" t="str">
        <f aca="false">IF($A5820="","",원본명단!$B5819)</f>
        <v/>
      </c>
      <c r="D5820" s="12" t="str">
        <f aca="false">IF($A5820="","",원본명단!$D5819)</f>
        <v/>
      </c>
      <c r="E5820" s="11" t="str">
        <f aca="false">IF($A5820="","",IF(원본명단!$H5819="",0,COUNTIF(원본명단!$H$3:$H$6002,원본명단!$H5819)))</f>
        <v/>
      </c>
      <c r="F5820" s="11" t="str">
        <f aca="false">IF($A5820="","",IF(원본명단!$I5819="",0,COUNTIF(원본명단!$I$3:$I$6002,원본명단!$I5819)))</f>
        <v/>
      </c>
      <c r="G5820" s="11" t="str">
        <f aca="false">IF($A5820="","",IF(원본명단!$K5819="",0,COUNTIF(원본명단!$K$3:$K$6002,원본명단!$K5819)))</f>
        <v/>
      </c>
      <c r="H5820" s="11" t="str">
        <f aca="false">IF($A5820="","",IF(MAX($E5820,$F5820,$G5820)&gt;1,"중복","-"))</f>
        <v/>
      </c>
      <c r="I5820" s="11" t="str">
        <f aca="false">IF($A5820="","",IF($H5820="-","-",IF(AND(IF(원본명단!$H5819="",TRUE(),COUNTIF(원본명단!$H$3:$H5819,원본명단!$H5819)=1),IF(원본명단!$I5819="",TRUE(),COUNTIF(원본명단!$I$3:$I5819,원본명단!$I5819)=1),IF(원본명단!$K5819="",TRUE(),COUNTIF(원본명단!$K$3:$K5819,원본명단!$K5819)=1)),"첫 건","중복 건")))</f>
        <v/>
      </c>
      <c r="J5820" s="11" t="str">
        <f aca="false">IF($A5820="","",IF($H5820="-","유지",IF($I5820="첫 건","유지","확인 필요")))</f>
        <v/>
      </c>
    </row>
    <row r="5821" customFormat="false" ht="15" hidden="false" customHeight="true" outlineLevel="0" collapsed="false">
      <c r="A5821" s="11" t="str">
        <f aca="false">IF(원본명단!$A5820="","",5818)</f>
        <v/>
      </c>
      <c r="B5821" s="12" t="str">
        <f aca="false">IF($A5821="","",원본명단!$A5820)</f>
        <v/>
      </c>
      <c r="C5821" s="12" t="str">
        <f aca="false">IF($A5821="","",원본명단!$B5820)</f>
        <v/>
      </c>
      <c r="D5821" s="12" t="str">
        <f aca="false">IF($A5821="","",원본명단!$D5820)</f>
        <v/>
      </c>
      <c r="E5821" s="11" t="str">
        <f aca="false">IF($A5821="","",IF(원본명단!$H5820="",0,COUNTIF(원본명단!$H$3:$H$6002,원본명단!$H5820)))</f>
        <v/>
      </c>
      <c r="F5821" s="11" t="str">
        <f aca="false">IF($A5821="","",IF(원본명단!$I5820="",0,COUNTIF(원본명단!$I$3:$I$6002,원본명단!$I5820)))</f>
        <v/>
      </c>
      <c r="G5821" s="11" t="str">
        <f aca="false">IF($A5821="","",IF(원본명단!$K5820="",0,COUNTIF(원본명단!$K$3:$K$6002,원본명단!$K5820)))</f>
        <v/>
      </c>
      <c r="H5821" s="11" t="str">
        <f aca="false">IF($A5821="","",IF(MAX($E5821,$F5821,$G5821)&gt;1,"중복","-"))</f>
        <v/>
      </c>
      <c r="I5821" s="11" t="str">
        <f aca="false">IF($A5821="","",IF($H5821="-","-",IF(AND(IF(원본명단!$H5820="",TRUE(),COUNTIF(원본명단!$H$3:$H5820,원본명단!$H5820)=1),IF(원본명단!$I5820="",TRUE(),COUNTIF(원본명단!$I$3:$I5820,원본명단!$I5820)=1),IF(원본명단!$K5820="",TRUE(),COUNTIF(원본명단!$K$3:$K5820,원본명단!$K5820)=1)),"첫 건","중복 건")))</f>
        <v/>
      </c>
      <c r="J5821" s="11" t="str">
        <f aca="false">IF($A5821="","",IF($H5821="-","유지",IF($I5821="첫 건","유지","확인 필요")))</f>
        <v/>
      </c>
    </row>
    <row r="5822" customFormat="false" ht="15" hidden="false" customHeight="true" outlineLevel="0" collapsed="false">
      <c r="A5822" s="11" t="str">
        <f aca="false">IF(원본명단!$A5821="","",5819)</f>
        <v/>
      </c>
      <c r="B5822" s="12" t="str">
        <f aca="false">IF($A5822="","",원본명단!$A5821)</f>
        <v/>
      </c>
      <c r="C5822" s="12" t="str">
        <f aca="false">IF($A5822="","",원본명단!$B5821)</f>
        <v/>
      </c>
      <c r="D5822" s="12" t="str">
        <f aca="false">IF($A5822="","",원본명단!$D5821)</f>
        <v/>
      </c>
      <c r="E5822" s="11" t="str">
        <f aca="false">IF($A5822="","",IF(원본명단!$H5821="",0,COUNTIF(원본명단!$H$3:$H$6002,원본명단!$H5821)))</f>
        <v/>
      </c>
      <c r="F5822" s="11" t="str">
        <f aca="false">IF($A5822="","",IF(원본명단!$I5821="",0,COUNTIF(원본명단!$I$3:$I$6002,원본명단!$I5821)))</f>
        <v/>
      </c>
      <c r="G5822" s="11" t="str">
        <f aca="false">IF($A5822="","",IF(원본명단!$K5821="",0,COUNTIF(원본명단!$K$3:$K$6002,원본명단!$K5821)))</f>
        <v/>
      </c>
      <c r="H5822" s="11" t="str">
        <f aca="false">IF($A5822="","",IF(MAX($E5822,$F5822,$G5822)&gt;1,"중복","-"))</f>
        <v/>
      </c>
      <c r="I5822" s="11" t="str">
        <f aca="false">IF($A5822="","",IF($H5822="-","-",IF(AND(IF(원본명단!$H5821="",TRUE(),COUNTIF(원본명단!$H$3:$H5821,원본명단!$H5821)=1),IF(원본명단!$I5821="",TRUE(),COUNTIF(원본명단!$I$3:$I5821,원본명단!$I5821)=1),IF(원본명단!$K5821="",TRUE(),COUNTIF(원본명단!$K$3:$K5821,원본명단!$K5821)=1)),"첫 건","중복 건")))</f>
        <v/>
      </c>
      <c r="J5822" s="11" t="str">
        <f aca="false">IF($A5822="","",IF($H5822="-","유지",IF($I5822="첫 건","유지","확인 필요")))</f>
        <v/>
      </c>
    </row>
    <row r="5823" customFormat="false" ht="15" hidden="false" customHeight="true" outlineLevel="0" collapsed="false">
      <c r="A5823" s="11" t="str">
        <f aca="false">IF(원본명단!$A5822="","",5820)</f>
        <v/>
      </c>
      <c r="B5823" s="12" t="str">
        <f aca="false">IF($A5823="","",원본명단!$A5822)</f>
        <v/>
      </c>
      <c r="C5823" s="12" t="str">
        <f aca="false">IF($A5823="","",원본명단!$B5822)</f>
        <v/>
      </c>
      <c r="D5823" s="12" t="str">
        <f aca="false">IF($A5823="","",원본명단!$D5822)</f>
        <v/>
      </c>
      <c r="E5823" s="11" t="str">
        <f aca="false">IF($A5823="","",IF(원본명단!$H5822="",0,COUNTIF(원본명단!$H$3:$H$6002,원본명단!$H5822)))</f>
        <v/>
      </c>
      <c r="F5823" s="11" t="str">
        <f aca="false">IF($A5823="","",IF(원본명단!$I5822="",0,COUNTIF(원본명단!$I$3:$I$6002,원본명단!$I5822)))</f>
        <v/>
      </c>
      <c r="G5823" s="11" t="str">
        <f aca="false">IF($A5823="","",IF(원본명단!$K5822="",0,COUNTIF(원본명단!$K$3:$K$6002,원본명단!$K5822)))</f>
        <v/>
      </c>
      <c r="H5823" s="11" t="str">
        <f aca="false">IF($A5823="","",IF(MAX($E5823,$F5823,$G5823)&gt;1,"중복","-"))</f>
        <v/>
      </c>
      <c r="I5823" s="11" t="str">
        <f aca="false">IF($A5823="","",IF($H5823="-","-",IF(AND(IF(원본명단!$H5822="",TRUE(),COUNTIF(원본명단!$H$3:$H5822,원본명단!$H5822)=1),IF(원본명단!$I5822="",TRUE(),COUNTIF(원본명단!$I$3:$I5822,원본명단!$I5822)=1),IF(원본명단!$K5822="",TRUE(),COUNTIF(원본명단!$K$3:$K5822,원본명단!$K5822)=1)),"첫 건","중복 건")))</f>
        <v/>
      </c>
      <c r="J5823" s="11" t="str">
        <f aca="false">IF($A5823="","",IF($H5823="-","유지",IF($I5823="첫 건","유지","확인 필요")))</f>
        <v/>
      </c>
    </row>
    <row r="5824" customFormat="false" ht="15" hidden="false" customHeight="true" outlineLevel="0" collapsed="false">
      <c r="A5824" s="11" t="str">
        <f aca="false">IF(원본명단!$A5823="","",5821)</f>
        <v/>
      </c>
      <c r="B5824" s="12" t="str">
        <f aca="false">IF($A5824="","",원본명단!$A5823)</f>
        <v/>
      </c>
      <c r="C5824" s="12" t="str">
        <f aca="false">IF($A5824="","",원본명단!$B5823)</f>
        <v/>
      </c>
      <c r="D5824" s="12" t="str">
        <f aca="false">IF($A5824="","",원본명단!$D5823)</f>
        <v/>
      </c>
      <c r="E5824" s="11" t="str">
        <f aca="false">IF($A5824="","",IF(원본명단!$H5823="",0,COUNTIF(원본명단!$H$3:$H$6002,원본명단!$H5823)))</f>
        <v/>
      </c>
      <c r="F5824" s="11" t="str">
        <f aca="false">IF($A5824="","",IF(원본명단!$I5823="",0,COUNTIF(원본명단!$I$3:$I$6002,원본명단!$I5823)))</f>
        <v/>
      </c>
      <c r="G5824" s="11" t="str">
        <f aca="false">IF($A5824="","",IF(원본명단!$K5823="",0,COUNTIF(원본명단!$K$3:$K$6002,원본명단!$K5823)))</f>
        <v/>
      </c>
      <c r="H5824" s="11" t="str">
        <f aca="false">IF($A5824="","",IF(MAX($E5824,$F5824,$G5824)&gt;1,"중복","-"))</f>
        <v/>
      </c>
      <c r="I5824" s="11" t="str">
        <f aca="false">IF($A5824="","",IF($H5824="-","-",IF(AND(IF(원본명단!$H5823="",TRUE(),COUNTIF(원본명단!$H$3:$H5823,원본명단!$H5823)=1),IF(원본명단!$I5823="",TRUE(),COUNTIF(원본명단!$I$3:$I5823,원본명단!$I5823)=1),IF(원본명단!$K5823="",TRUE(),COUNTIF(원본명단!$K$3:$K5823,원본명단!$K5823)=1)),"첫 건","중복 건")))</f>
        <v/>
      </c>
      <c r="J5824" s="11" t="str">
        <f aca="false">IF($A5824="","",IF($H5824="-","유지",IF($I5824="첫 건","유지","확인 필요")))</f>
        <v/>
      </c>
    </row>
    <row r="5825" customFormat="false" ht="15" hidden="false" customHeight="true" outlineLevel="0" collapsed="false">
      <c r="A5825" s="11" t="str">
        <f aca="false">IF(원본명단!$A5824="","",5822)</f>
        <v/>
      </c>
      <c r="B5825" s="12" t="str">
        <f aca="false">IF($A5825="","",원본명단!$A5824)</f>
        <v/>
      </c>
      <c r="C5825" s="12" t="str">
        <f aca="false">IF($A5825="","",원본명단!$B5824)</f>
        <v/>
      </c>
      <c r="D5825" s="12" t="str">
        <f aca="false">IF($A5825="","",원본명단!$D5824)</f>
        <v/>
      </c>
      <c r="E5825" s="11" t="str">
        <f aca="false">IF($A5825="","",IF(원본명단!$H5824="",0,COUNTIF(원본명단!$H$3:$H$6002,원본명단!$H5824)))</f>
        <v/>
      </c>
      <c r="F5825" s="11" t="str">
        <f aca="false">IF($A5825="","",IF(원본명단!$I5824="",0,COUNTIF(원본명단!$I$3:$I$6002,원본명단!$I5824)))</f>
        <v/>
      </c>
      <c r="G5825" s="11" t="str">
        <f aca="false">IF($A5825="","",IF(원본명단!$K5824="",0,COUNTIF(원본명단!$K$3:$K$6002,원본명단!$K5824)))</f>
        <v/>
      </c>
      <c r="H5825" s="11" t="str">
        <f aca="false">IF($A5825="","",IF(MAX($E5825,$F5825,$G5825)&gt;1,"중복","-"))</f>
        <v/>
      </c>
      <c r="I5825" s="11" t="str">
        <f aca="false">IF($A5825="","",IF($H5825="-","-",IF(AND(IF(원본명단!$H5824="",TRUE(),COUNTIF(원본명단!$H$3:$H5824,원본명단!$H5824)=1),IF(원본명단!$I5824="",TRUE(),COUNTIF(원본명단!$I$3:$I5824,원본명단!$I5824)=1),IF(원본명단!$K5824="",TRUE(),COUNTIF(원본명단!$K$3:$K5824,원본명단!$K5824)=1)),"첫 건","중복 건")))</f>
        <v/>
      </c>
      <c r="J5825" s="11" t="str">
        <f aca="false">IF($A5825="","",IF($H5825="-","유지",IF($I5825="첫 건","유지","확인 필요")))</f>
        <v/>
      </c>
    </row>
    <row r="5826" customFormat="false" ht="15" hidden="false" customHeight="true" outlineLevel="0" collapsed="false">
      <c r="A5826" s="11" t="str">
        <f aca="false">IF(원본명단!$A5825="","",5823)</f>
        <v/>
      </c>
      <c r="B5826" s="12" t="str">
        <f aca="false">IF($A5826="","",원본명단!$A5825)</f>
        <v/>
      </c>
      <c r="C5826" s="12" t="str">
        <f aca="false">IF($A5826="","",원본명단!$B5825)</f>
        <v/>
      </c>
      <c r="D5826" s="12" t="str">
        <f aca="false">IF($A5826="","",원본명단!$D5825)</f>
        <v/>
      </c>
      <c r="E5826" s="11" t="str">
        <f aca="false">IF($A5826="","",IF(원본명단!$H5825="",0,COUNTIF(원본명단!$H$3:$H$6002,원본명단!$H5825)))</f>
        <v/>
      </c>
      <c r="F5826" s="11" t="str">
        <f aca="false">IF($A5826="","",IF(원본명단!$I5825="",0,COUNTIF(원본명단!$I$3:$I$6002,원본명단!$I5825)))</f>
        <v/>
      </c>
      <c r="G5826" s="11" t="str">
        <f aca="false">IF($A5826="","",IF(원본명단!$K5825="",0,COUNTIF(원본명단!$K$3:$K$6002,원본명단!$K5825)))</f>
        <v/>
      </c>
      <c r="H5826" s="11" t="str">
        <f aca="false">IF($A5826="","",IF(MAX($E5826,$F5826,$G5826)&gt;1,"중복","-"))</f>
        <v/>
      </c>
      <c r="I5826" s="11" t="str">
        <f aca="false">IF($A5826="","",IF($H5826="-","-",IF(AND(IF(원본명단!$H5825="",TRUE(),COUNTIF(원본명단!$H$3:$H5825,원본명단!$H5825)=1),IF(원본명단!$I5825="",TRUE(),COUNTIF(원본명단!$I$3:$I5825,원본명단!$I5825)=1),IF(원본명단!$K5825="",TRUE(),COUNTIF(원본명단!$K$3:$K5825,원본명단!$K5825)=1)),"첫 건","중복 건")))</f>
        <v/>
      </c>
      <c r="J5826" s="11" t="str">
        <f aca="false">IF($A5826="","",IF($H5826="-","유지",IF($I5826="첫 건","유지","확인 필요")))</f>
        <v/>
      </c>
    </row>
    <row r="5827" customFormat="false" ht="15" hidden="false" customHeight="true" outlineLevel="0" collapsed="false">
      <c r="A5827" s="11" t="str">
        <f aca="false">IF(원본명단!$A5826="","",5824)</f>
        <v/>
      </c>
      <c r="B5827" s="12" t="str">
        <f aca="false">IF($A5827="","",원본명단!$A5826)</f>
        <v/>
      </c>
      <c r="C5827" s="12" t="str">
        <f aca="false">IF($A5827="","",원본명단!$B5826)</f>
        <v/>
      </c>
      <c r="D5827" s="12" t="str">
        <f aca="false">IF($A5827="","",원본명단!$D5826)</f>
        <v/>
      </c>
      <c r="E5827" s="11" t="str">
        <f aca="false">IF($A5827="","",IF(원본명단!$H5826="",0,COUNTIF(원본명단!$H$3:$H$6002,원본명단!$H5826)))</f>
        <v/>
      </c>
      <c r="F5827" s="11" t="str">
        <f aca="false">IF($A5827="","",IF(원본명단!$I5826="",0,COUNTIF(원본명단!$I$3:$I$6002,원본명단!$I5826)))</f>
        <v/>
      </c>
      <c r="G5827" s="11" t="str">
        <f aca="false">IF($A5827="","",IF(원본명단!$K5826="",0,COUNTIF(원본명단!$K$3:$K$6002,원본명단!$K5826)))</f>
        <v/>
      </c>
      <c r="H5827" s="11" t="str">
        <f aca="false">IF($A5827="","",IF(MAX($E5827,$F5827,$G5827)&gt;1,"중복","-"))</f>
        <v/>
      </c>
      <c r="I5827" s="11" t="str">
        <f aca="false">IF($A5827="","",IF($H5827="-","-",IF(AND(IF(원본명단!$H5826="",TRUE(),COUNTIF(원본명단!$H$3:$H5826,원본명단!$H5826)=1),IF(원본명단!$I5826="",TRUE(),COUNTIF(원본명단!$I$3:$I5826,원본명단!$I5826)=1),IF(원본명단!$K5826="",TRUE(),COUNTIF(원본명단!$K$3:$K5826,원본명단!$K5826)=1)),"첫 건","중복 건")))</f>
        <v/>
      </c>
      <c r="J5827" s="11" t="str">
        <f aca="false">IF($A5827="","",IF($H5827="-","유지",IF($I5827="첫 건","유지","확인 필요")))</f>
        <v/>
      </c>
    </row>
    <row r="5828" customFormat="false" ht="15" hidden="false" customHeight="true" outlineLevel="0" collapsed="false">
      <c r="A5828" s="11" t="str">
        <f aca="false">IF(원본명단!$A5827="","",5825)</f>
        <v/>
      </c>
      <c r="B5828" s="12" t="str">
        <f aca="false">IF($A5828="","",원본명단!$A5827)</f>
        <v/>
      </c>
      <c r="C5828" s="12" t="str">
        <f aca="false">IF($A5828="","",원본명단!$B5827)</f>
        <v/>
      </c>
      <c r="D5828" s="12" t="str">
        <f aca="false">IF($A5828="","",원본명단!$D5827)</f>
        <v/>
      </c>
      <c r="E5828" s="11" t="str">
        <f aca="false">IF($A5828="","",IF(원본명단!$H5827="",0,COUNTIF(원본명단!$H$3:$H$6002,원본명단!$H5827)))</f>
        <v/>
      </c>
      <c r="F5828" s="11" t="str">
        <f aca="false">IF($A5828="","",IF(원본명단!$I5827="",0,COUNTIF(원본명단!$I$3:$I$6002,원본명단!$I5827)))</f>
        <v/>
      </c>
      <c r="G5828" s="11" t="str">
        <f aca="false">IF($A5828="","",IF(원본명단!$K5827="",0,COUNTIF(원본명단!$K$3:$K$6002,원본명단!$K5827)))</f>
        <v/>
      </c>
      <c r="H5828" s="11" t="str">
        <f aca="false">IF($A5828="","",IF(MAX($E5828,$F5828,$G5828)&gt;1,"중복","-"))</f>
        <v/>
      </c>
      <c r="I5828" s="11" t="str">
        <f aca="false">IF($A5828="","",IF($H5828="-","-",IF(AND(IF(원본명단!$H5827="",TRUE(),COUNTIF(원본명단!$H$3:$H5827,원본명단!$H5827)=1),IF(원본명단!$I5827="",TRUE(),COUNTIF(원본명단!$I$3:$I5827,원본명단!$I5827)=1),IF(원본명단!$K5827="",TRUE(),COUNTIF(원본명단!$K$3:$K5827,원본명단!$K5827)=1)),"첫 건","중복 건")))</f>
        <v/>
      </c>
      <c r="J5828" s="11" t="str">
        <f aca="false">IF($A5828="","",IF($H5828="-","유지",IF($I5828="첫 건","유지","확인 필요")))</f>
        <v/>
      </c>
    </row>
    <row r="5829" customFormat="false" ht="15" hidden="false" customHeight="true" outlineLevel="0" collapsed="false">
      <c r="A5829" s="11" t="str">
        <f aca="false">IF(원본명단!$A5828="","",5826)</f>
        <v/>
      </c>
      <c r="B5829" s="12" t="str">
        <f aca="false">IF($A5829="","",원본명단!$A5828)</f>
        <v/>
      </c>
      <c r="C5829" s="12" t="str">
        <f aca="false">IF($A5829="","",원본명단!$B5828)</f>
        <v/>
      </c>
      <c r="D5829" s="12" t="str">
        <f aca="false">IF($A5829="","",원본명단!$D5828)</f>
        <v/>
      </c>
      <c r="E5829" s="11" t="str">
        <f aca="false">IF($A5829="","",IF(원본명단!$H5828="",0,COUNTIF(원본명단!$H$3:$H$6002,원본명단!$H5828)))</f>
        <v/>
      </c>
      <c r="F5829" s="11" t="str">
        <f aca="false">IF($A5829="","",IF(원본명단!$I5828="",0,COUNTIF(원본명단!$I$3:$I$6002,원본명단!$I5828)))</f>
        <v/>
      </c>
      <c r="G5829" s="11" t="str">
        <f aca="false">IF($A5829="","",IF(원본명단!$K5828="",0,COUNTIF(원본명단!$K$3:$K$6002,원본명단!$K5828)))</f>
        <v/>
      </c>
      <c r="H5829" s="11" t="str">
        <f aca="false">IF($A5829="","",IF(MAX($E5829,$F5829,$G5829)&gt;1,"중복","-"))</f>
        <v/>
      </c>
      <c r="I5829" s="11" t="str">
        <f aca="false">IF($A5829="","",IF($H5829="-","-",IF(AND(IF(원본명단!$H5828="",TRUE(),COUNTIF(원본명단!$H$3:$H5828,원본명단!$H5828)=1),IF(원본명단!$I5828="",TRUE(),COUNTIF(원본명단!$I$3:$I5828,원본명단!$I5828)=1),IF(원본명단!$K5828="",TRUE(),COUNTIF(원본명단!$K$3:$K5828,원본명단!$K5828)=1)),"첫 건","중복 건")))</f>
        <v/>
      </c>
      <c r="J5829" s="11" t="str">
        <f aca="false">IF($A5829="","",IF($H5829="-","유지",IF($I5829="첫 건","유지","확인 필요")))</f>
        <v/>
      </c>
    </row>
    <row r="5830" customFormat="false" ht="15" hidden="false" customHeight="true" outlineLevel="0" collapsed="false">
      <c r="A5830" s="11" t="str">
        <f aca="false">IF(원본명단!$A5829="","",5827)</f>
        <v/>
      </c>
      <c r="B5830" s="12" t="str">
        <f aca="false">IF($A5830="","",원본명단!$A5829)</f>
        <v/>
      </c>
      <c r="C5830" s="12" t="str">
        <f aca="false">IF($A5830="","",원본명단!$B5829)</f>
        <v/>
      </c>
      <c r="D5830" s="12" t="str">
        <f aca="false">IF($A5830="","",원본명단!$D5829)</f>
        <v/>
      </c>
      <c r="E5830" s="11" t="str">
        <f aca="false">IF($A5830="","",IF(원본명단!$H5829="",0,COUNTIF(원본명단!$H$3:$H$6002,원본명단!$H5829)))</f>
        <v/>
      </c>
      <c r="F5830" s="11" t="str">
        <f aca="false">IF($A5830="","",IF(원본명단!$I5829="",0,COUNTIF(원본명단!$I$3:$I$6002,원본명단!$I5829)))</f>
        <v/>
      </c>
      <c r="G5830" s="11" t="str">
        <f aca="false">IF($A5830="","",IF(원본명단!$K5829="",0,COUNTIF(원본명단!$K$3:$K$6002,원본명단!$K5829)))</f>
        <v/>
      </c>
      <c r="H5830" s="11" t="str">
        <f aca="false">IF($A5830="","",IF(MAX($E5830,$F5830,$G5830)&gt;1,"중복","-"))</f>
        <v/>
      </c>
      <c r="I5830" s="11" t="str">
        <f aca="false">IF($A5830="","",IF($H5830="-","-",IF(AND(IF(원본명단!$H5829="",TRUE(),COUNTIF(원본명단!$H$3:$H5829,원본명단!$H5829)=1),IF(원본명단!$I5829="",TRUE(),COUNTIF(원본명단!$I$3:$I5829,원본명단!$I5829)=1),IF(원본명단!$K5829="",TRUE(),COUNTIF(원본명단!$K$3:$K5829,원본명단!$K5829)=1)),"첫 건","중복 건")))</f>
        <v/>
      </c>
      <c r="J5830" s="11" t="str">
        <f aca="false">IF($A5830="","",IF($H5830="-","유지",IF($I5830="첫 건","유지","확인 필요")))</f>
        <v/>
      </c>
    </row>
    <row r="5831" customFormat="false" ht="15" hidden="false" customHeight="true" outlineLevel="0" collapsed="false">
      <c r="A5831" s="11" t="str">
        <f aca="false">IF(원본명단!$A5830="","",5828)</f>
        <v/>
      </c>
      <c r="B5831" s="12" t="str">
        <f aca="false">IF($A5831="","",원본명단!$A5830)</f>
        <v/>
      </c>
      <c r="C5831" s="12" t="str">
        <f aca="false">IF($A5831="","",원본명단!$B5830)</f>
        <v/>
      </c>
      <c r="D5831" s="12" t="str">
        <f aca="false">IF($A5831="","",원본명단!$D5830)</f>
        <v/>
      </c>
      <c r="E5831" s="11" t="str">
        <f aca="false">IF($A5831="","",IF(원본명단!$H5830="",0,COUNTIF(원본명단!$H$3:$H$6002,원본명단!$H5830)))</f>
        <v/>
      </c>
      <c r="F5831" s="11" t="str">
        <f aca="false">IF($A5831="","",IF(원본명단!$I5830="",0,COUNTIF(원본명단!$I$3:$I$6002,원본명단!$I5830)))</f>
        <v/>
      </c>
      <c r="G5831" s="11" t="str">
        <f aca="false">IF($A5831="","",IF(원본명단!$K5830="",0,COUNTIF(원본명단!$K$3:$K$6002,원본명단!$K5830)))</f>
        <v/>
      </c>
      <c r="H5831" s="11" t="str">
        <f aca="false">IF($A5831="","",IF(MAX($E5831,$F5831,$G5831)&gt;1,"중복","-"))</f>
        <v/>
      </c>
      <c r="I5831" s="11" t="str">
        <f aca="false">IF($A5831="","",IF($H5831="-","-",IF(AND(IF(원본명단!$H5830="",TRUE(),COUNTIF(원본명단!$H$3:$H5830,원본명단!$H5830)=1),IF(원본명단!$I5830="",TRUE(),COUNTIF(원본명단!$I$3:$I5830,원본명단!$I5830)=1),IF(원본명단!$K5830="",TRUE(),COUNTIF(원본명단!$K$3:$K5830,원본명단!$K5830)=1)),"첫 건","중복 건")))</f>
        <v/>
      </c>
      <c r="J5831" s="11" t="str">
        <f aca="false">IF($A5831="","",IF($H5831="-","유지",IF($I5831="첫 건","유지","확인 필요")))</f>
        <v/>
      </c>
    </row>
    <row r="5832" customFormat="false" ht="15" hidden="false" customHeight="true" outlineLevel="0" collapsed="false">
      <c r="A5832" s="11" t="str">
        <f aca="false">IF(원본명단!$A5831="","",5829)</f>
        <v/>
      </c>
      <c r="B5832" s="12" t="str">
        <f aca="false">IF($A5832="","",원본명단!$A5831)</f>
        <v/>
      </c>
      <c r="C5832" s="12" t="str">
        <f aca="false">IF($A5832="","",원본명단!$B5831)</f>
        <v/>
      </c>
      <c r="D5832" s="12" t="str">
        <f aca="false">IF($A5832="","",원본명단!$D5831)</f>
        <v/>
      </c>
      <c r="E5832" s="11" t="str">
        <f aca="false">IF($A5832="","",IF(원본명단!$H5831="",0,COUNTIF(원본명단!$H$3:$H$6002,원본명단!$H5831)))</f>
        <v/>
      </c>
      <c r="F5832" s="11" t="str">
        <f aca="false">IF($A5832="","",IF(원본명단!$I5831="",0,COUNTIF(원본명단!$I$3:$I$6002,원본명단!$I5831)))</f>
        <v/>
      </c>
      <c r="G5832" s="11" t="str">
        <f aca="false">IF($A5832="","",IF(원본명단!$K5831="",0,COUNTIF(원본명단!$K$3:$K$6002,원본명단!$K5831)))</f>
        <v/>
      </c>
      <c r="H5832" s="11" t="str">
        <f aca="false">IF($A5832="","",IF(MAX($E5832,$F5832,$G5832)&gt;1,"중복","-"))</f>
        <v/>
      </c>
      <c r="I5832" s="11" t="str">
        <f aca="false">IF($A5832="","",IF($H5832="-","-",IF(AND(IF(원본명단!$H5831="",TRUE(),COUNTIF(원본명단!$H$3:$H5831,원본명단!$H5831)=1),IF(원본명단!$I5831="",TRUE(),COUNTIF(원본명단!$I$3:$I5831,원본명단!$I5831)=1),IF(원본명단!$K5831="",TRUE(),COUNTIF(원본명단!$K$3:$K5831,원본명단!$K5831)=1)),"첫 건","중복 건")))</f>
        <v/>
      </c>
      <c r="J5832" s="11" t="str">
        <f aca="false">IF($A5832="","",IF($H5832="-","유지",IF($I5832="첫 건","유지","확인 필요")))</f>
        <v/>
      </c>
    </row>
    <row r="5833" customFormat="false" ht="15" hidden="false" customHeight="true" outlineLevel="0" collapsed="false">
      <c r="A5833" s="11" t="str">
        <f aca="false">IF(원본명단!$A5832="","",5830)</f>
        <v/>
      </c>
      <c r="B5833" s="12" t="str">
        <f aca="false">IF($A5833="","",원본명단!$A5832)</f>
        <v/>
      </c>
      <c r="C5833" s="12" t="str">
        <f aca="false">IF($A5833="","",원본명단!$B5832)</f>
        <v/>
      </c>
      <c r="D5833" s="12" t="str">
        <f aca="false">IF($A5833="","",원본명단!$D5832)</f>
        <v/>
      </c>
      <c r="E5833" s="11" t="str">
        <f aca="false">IF($A5833="","",IF(원본명단!$H5832="",0,COUNTIF(원본명단!$H$3:$H$6002,원본명단!$H5832)))</f>
        <v/>
      </c>
      <c r="F5833" s="11" t="str">
        <f aca="false">IF($A5833="","",IF(원본명단!$I5832="",0,COUNTIF(원본명단!$I$3:$I$6002,원본명단!$I5832)))</f>
        <v/>
      </c>
      <c r="G5833" s="11" t="str">
        <f aca="false">IF($A5833="","",IF(원본명단!$K5832="",0,COUNTIF(원본명단!$K$3:$K$6002,원본명단!$K5832)))</f>
        <v/>
      </c>
      <c r="H5833" s="11" t="str">
        <f aca="false">IF($A5833="","",IF(MAX($E5833,$F5833,$G5833)&gt;1,"중복","-"))</f>
        <v/>
      </c>
      <c r="I5833" s="11" t="str">
        <f aca="false">IF($A5833="","",IF($H5833="-","-",IF(AND(IF(원본명단!$H5832="",TRUE(),COUNTIF(원본명단!$H$3:$H5832,원본명단!$H5832)=1),IF(원본명단!$I5832="",TRUE(),COUNTIF(원본명단!$I$3:$I5832,원본명단!$I5832)=1),IF(원본명단!$K5832="",TRUE(),COUNTIF(원본명단!$K$3:$K5832,원본명단!$K5832)=1)),"첫 건","중복 건")))</f>
        <v/>
      </c>
      <c r="J5833" s="11" t="str">
        <f aca="false">IF($A5833="","",IF($H5833="-","유지",IF($I5833="첫 건","유지","확인 필요")))</f>
        <v/>
      </c>
    </row>
    <row r="5834" customFormat="false" ht="15" hidden="false" customHeight="true" outlineLevel="0" collapsed="false">
      <c r="A5834" s="11" t="str">
        <f aca="false">IF(원본명단!$A5833="","",5831)</f>
        <v/>
      </c>
      <c r="B5834" s="12" t="str">
        <f aca="false">IF($A5834="","",원본명단!$A5833)</f>
        <v/>
      </c>
      <c r="C5834" s="12" t="str">
        <f aca="false">IF($A5834="","",원본명단!$B5833)</f>
        <v/>
      </c>
      <c r="D5834" s="12" t="str">
        <f aca="false">IF($A5834="","",원본명단!$D5833)</f>
        <v/>
      </c>
      <c r="E5834" s="11" t="str">
        <f aca="false">IF($A5834="","",IF(원본명단!$H5833="",0,COUNTIF(원본명단!$H$3:$H$6002,원본명단!$H5833)))</f>
        <v/>
      </c>
      <c r="F5834" s="11" t="str">
        <f aca="false">IF($A5834="","",IF(원본명단!$I5833="",0,COUNTIF(원본명단!$I$3:$I$6002,원본명단!$I5833)))</f>
        <v/>
      </c>
      <c r="G5834" s="11" t="str">
        <f aca="false">IF($A5834="","",IF(원본명단!$K5833="",0,COUNTIF(원본명단!$K$3:$K$6002,원본명단!$K5833)))</f>
        <v/>
      </c>
      <c r="H5834" s="11" t="str">
        <f aca="false">IF($A5834="","",IF(MAX($E5834,$F5834,$G5834)&gt;1,"중복","-"))</f>
        <v/>
      </c>
      <c r="I5834" s="11" t="str">
        <f aca="false">IF($A5834="","",IF($H5834="-","-",IF(AND(IF(원본명단!$H5833="",TRUE(),COUNTIF(원본명단!$H$3:$H5833,원본명단!$H5833)=1),IF(원본명단!$I5833="",TRUE(),COUNTIF(원본명단!$I$3:$I5833,원본명단!$I5833)=1),IF(원본명단!$K5833="",TRUE(),COUNTIF(원본명단!$K$3:$K5833,원본명단!$K5833)=1)),"첫 건","중복 건")))</f>
        <v/>
      </c>
      <c r="J5834" s="11" t="str">
        <f aca="false">IF($A5834="","",IF($H5834="-","유지",IF($I5834="첫 건","유지","확인 필요")))</f>
        <v/>
      </c>
    </row>
    <row r="5835" customFormat="false" ht="15" hidden="false" customHeight="true" outlineLevel="0" collapsed="false">
      <c r="A5835" s="11" t="str">
        <f aca="false">IF(원본명단!$A5834="","",5832)</f>
        <v/>
      </c>
      <c r="B5835" s="12" t="str">
        <f aca="false">IF($A5835="","",원본명단!$A5834)</f>
        <v/>
      </c>
      <c r="C5835" s="12" t="str">
        <f aca="false">IF($A5835="","",원본명단!$B5834)</f>
        <v/>
      </c>
      <c r="D5835" s="12" t="str">
        <f aca="false">IF($A5835="","",원본명단!$D5834)</f>
        <v/>
      </c>
      <c r="E5835" s="11" t="str">
        <f aca="false">IF($A5835="","",IF(원본명단!$H5834="",0,COUNTIF(원본명단!$H$3:$H$6002,원본명단!$H5834)))</f>
        <v/>
      </c>
      <c r="F5835" s="11" t="str">
        <f aca="false">IF($A5835="","",IF(원본명단!$I5834="",0,COUNTIF(원본명단!$I$3:$I$6002,원본명단!$I5834)))</f>
        <v/>
      </c>
      <c r="G5835" s="11" t="str">
        <f aca="false">IF($A5835="","",IF(원본명단!$K5834="",0,COUNTIF(원본명단!$K$3:$K$6002,원본명단!$K5834)))</f>
        <v/>
      </c>
      <c r="H5835" s="11" t="str">
        <f aca="false">IF($A5835="","",IF(MAX($E5835,$F5835,$G5835)&gt;1,"중복","-"))</f>
        <v/>
      </c>
      <c r="I5835" s="11" t="str">
        <f aca="false">IF($A5835="","",IF($H5835="-","-",IF(AND(IF(원본명단!$H5834="",TRUE(),COUNTIF(원본명단!$H$3:$H5834,원본명단!$H5834)=1),IF(원본명단!$I5834="",TRUE(),COUNTIF(원본명단!$I$3:$I5834,원본명단!$I5834)=1),IF(원본명단!$K5834="",TRUE(),COUNTIF(원본명단!$K$3:$K5834,원본명단!$K5834)=1)),"첫 건","중복 건")))</f>
        <v/>
      </c>
      <c r="J5835" s="11" t="str">
        <f aca="false">IF($A5835="","",IF($H5835="-","유지",IF($I5835="첫 건","유지","확인 필요")))</f>
        <v/>
      </c>
    </row>
    <row r="5836" customFormat="false" ht="15" hidden="false" customHeight="true" outlineLevel="0" collapsed="false">
      <c r="A5836" s="11" t="str">
        <f aca="false">IF(원본명단!$A5835="","",5833)</f>
        <v/>
      </c>
      <c r="B5836" s="12" t="str">
        <f aca="false">IF($A5836="","",원본명단!$A5835)</f>
        <v/>
      </c>
      <c r="C5836" s="12" t="str">
        <f aca="false">IF($A5836="","",원본명단!$B5835)</f>
        <v/>
      </c>
      <c r="D5836" s="12" t="str">
        <f aca="false">IF($A5836="","",원본명단!$D5835)</f>
        <v/>
      </c>
      <c r="E5836" s="11" t="str">
        <f aca="false">IF($A5836="","",IF(원본명단!$H5835="",0,COUNTIF(원본명단!$H$3:$H$6002,원본명단!$H5835)))</f>
        <v/>
      </c>
      <c r="F5836" s="11" t="str">
        <f aca="false">IF($A5836="","",IF(원본명단!$I5835="",0,COUNTIF(원본명단!$I$3:$I$6002,원본명단!$I5835)))</f>
        <v/>
      </c>
      <c r="G5836" s="11" t="str">
        <f aca="false">IF($A5836="","",IF(원본명단!$K5835="",0,COUNTIF(원본명단!$K$3:$K$6002,원본명단!$K5835)))</f>
        <v/>
      </c>
      <c r="H5836" s="11" t="str">
        <f aca="false">IF($A5836="","",IF(MAX($E5836,$F5836,$G5836)&gt;1,"중복","-"))</f>
        <v/>
      </c>
      <c r="I5836" s="11" t="str">
        <f aca="false">IF($A5836="","",IF($H5836="-","-",IF(AND(IF(원본명단!$H5835="",TRUE(),COUNTIF(원본명단!$H$3:$H5835,원본명단!$H5835)=1),IF(원본명단!$I5835="",TRUE(),COUNTIF(원본명단!$I$3:$I5835,원본명단!$I5835)=1),IF(원본명단!$K5835="",TRUE(),COUNTIF(원본명단!$K$3:$K5835,원본명단!$K5835)=1)),"첫 건","중복 건")))</f>
        <v/>
      </c>
      <c r="J5836" s="11" t="str">
        <f aca="false">IF($A5836="","",IF($H5836="-","유지",IF($I5836="첫 건","유지","확인 필요")))</f>
        <v/>
      </c>
    </row>
    <row r="5837" customFormat="false" ht="15" hidden="false" customHeight="true" outlineLevel="0" collapsed="false">
      <c r="A5837" s="11" t="str">
        <f aca="false">IF(원본명단!$A5836="","",5834)</f>
        <v/>
      </c>
      <c r="B5837" s="12" t="str">
        <f aca="false">IF($A5837="","",원본명단!$A5836)</f>
        <v/>
      </c>
      <c r="C5837" s="12" t="str">
        <f aca="false">IF($A5837="","",원본명단!$B5836)</f>
        <v/>
      </c>
      <c r="D5837" s="12" t="str">
        <f aca="false">IF($A5837="","",원본명단!$D5836)</f>
        <v/>
      </c>
      <c r="E5837" s="11" t="str">
        <f aca="false">IF($A5837="","",IF(원본명단!$H5836="",0,COUNTIF(원본명단!$H$3:$H$6002,원본명단!$H5836)))</f>
        <v/>
      </c>
      <c r="F5837" s="11" t="str">
        <f aca="false">IF($A5837="","",IF(원본명단!$I5836="",0,COUNTIF(원본명단!$I$3:$I$6002,원본명단!$I5836)))</f>
        <v/>
      </c>
      <c r="G5837" s="11" t="str">
        <f aca="false">IF($A5837="","",IF(원본명단!$K5836="",0,COUNTIF(원본명단!$K$3:$K$6002,원본명단!$K5836)))</f>
        <v/>
      </c>
      <c r="H5837" s="11" t="str">
        <f aca="false">IF($A5837="","",IF(MAX($E5837,$F5837,$G5837)&gt;1,"중복","-"))</f>
        <v/>
      </c>
      <c r="I5837" s="11" t="str">
        <f aca="false">IF($A5837="","",IF($H5837="-","-",IF(AND(IF(원본명단!$H5836="",TRUE(),COUNTIF(원본명단!$H$3:$H5836,원본명단!$H5836)=1),IF(원본명단!$I5836="",TRUE(),COUNTIF(원본명단!$I$3:$I5836,원본명단!$I5836)=1),IF(원본명단!$K5836="",TRUE(),COUNTIF(원본명단!$K$3:$K5836,원본명단!$K5836)=1)),"첫 건","중복 건")))</f>
        <v/>
      </c>
      <c r="J5837" s="11" t="str">
        <f aca="false">IF($A5837="","",IF($H5837="-","유지",IF($I5837="첫 건","유지","확인 필요")))</f>
        <v/>
      </c>
    </row>
    <row r="5838" customFormat="false" ht="15" hidden="false" customHeight="true" outlineLevel="0" collapsed="false">
      <c r="A5838" s="11" t="str">
        <f aca="false">IF(원본명단!$A5837="","",5835)</f>
        <v/>
      </c>
      <c r="B5838" s="12" t="str">
        <f aca="false">IF($A5838="","",원본명단!$A5837)</f>
        <v/>
      </c>
      <c r="C5838" s="12" t="str">
        <f aca="false">IF($A5838="","",원본명단!$B5837)</f>
        <v/>
      </c>
      <c r="D5838" s="12" t="str">
        <f aca="false">IF($A5838="","",원본명단!$D5837)</f>
        <v/>
      </c>
      <c r="E5838" s="11" t="str">
        <f aca="false">IF($A5838="","",IF(원본명단!$H5837="",0,COUNTIF(원본명단!$H$3:$H$6002,원본명단!$H5837)))</f>
        <v/>
      </c>
      <c r="F5838" s="11" t="str">
        <f aca="false">IF($A5838="","",IF(원본명단!$I5837="",0,COUNTIF(원본명단!$I$3:$I$6002,원본명단!$I5837)))</f>
        <v/>
      </c>
      <c r="G5838" s="11" t="str">
        <f aca="false">IF($A5838="","",IF(원본명단!$K5837="",0,COUNTIF(원본명단!$K$3:$K$6002,원본명단!$K5837)))</f>
        <v/>
      </c>
      <c r="H5838" s="11" t="str">
        <f aca="false">IF($A5838="","",IF(MAX($E5838,$F5838,$G5838)&gt;1,"중복","-"))</f>
        <v/>
      </c>
      <c r="I5838" s="11" t="str">
        <f aca="false">IF($A5838="","",IF($H5838="-","-",IF(AND(IF(원본명단!$H5837="",TRUE(),COUNTIF(원본명단!$H$3:$H5837,원본명단!$H5837)=1),IF(원본명단!$I5837="",TRUE(),COUNTIF(원본명단!$I$3:$I5837,원본명단!$I5837)=1),IF(원본명단!$K5837="",TRUE(),COUNTIF(원본명단!$K$3:$K5837,원본명단!$K5837)=1)),"첫 건","중복 건")))</f>
        <v/>
      </c>
      <c r="J5838" s="11" t="str">
        <f aca="false">IF($A5838="","",IF($H5838="-","유지",IF($I5838="첫 건","유지","확인 필요")))</f>
        <v/>
      </c>
    </row>
    <row r="5839" customFormat="false" ht="15" hidden="false" customHeight="true" outlineLevel="0" collapsed="false">
      <c r="A5839" s="11" t="str">
        <f aca="false">IF(원본명단!$A5838="","",5836)</f>
        <v/>
      </c>
      <c r="B5839" s="12" t="str">
        <f aca="false">IF($A5839="","",원본명단!$A5838)</f>
        <v/>
      </c>
      <c r="C5839" s="12" t="str">
        <f aca="false">IF($A5839="","",원본명단!$B5838)</f>
        <v/>
      </c>
      <c r="D5839" s="12" t="str">
        <f aca="false">IF($A5839="","",원본명단!$D5838)</f>
        <v/>
      </c>
      <c r="E5839" s="11" t="str">
        <f aca="false">IF($A5839="","",IF(원본명단!$H5838="",0,COUNTIF(원본명단!$H$3:$H$6002,원본명단!$H5838)))</f>
        <v/>
      </c>
      <c r="F5839" s="11" t="str">
        <f aca="false">IF($A5839="","",IF(원본명단!$I5838="",0,COUNTIF(원본명단!$I$3:$I$6002,원본명단!$I5838)))</f>
        <v/>
      </c>
      <c r="G5839" s="11" t="str">
        <f aca="false">IF($A5839="","",IF(원본명단!$K5838="",0,COUNTIF(원본명단!$K$3:$K$6002,원본명단!$K5838)))</f>
        <v/>
      </c>
      <c r="H5839" s="11" t="str">
        <f aca="false">IF($A5839="","",IF(MAX($E5839,$F5839,$G5839)&gt;1,"중복","-"))</f>
        <v/>
      </c>
      <c r="I5839" s="11" t="str">
        <f aca="false">IF($A5839="","",IF($H5839="-","-",IF(AND(IF(원본명단!$H5838="",TRUE(),COUNTIF(원본명단!$H$3:$H5838,원본명단!$H5838)=1),IF(원본명단!$I5838="",TRUE(),COUNTIF(원본명단!$I$3:$I5838,원본명단!$I5838)=1),IF(원본명단!$K5838="",TRUE(),COUNTIF(원본명단!$K$3:$K5838,원본명단!$K5838)=1)),"첫 건","중복 건")))</f>
        <v/>
      </c>
      <c r="J5839" s="11" t="str">
        <f aca="false">IF($A5839="","",IF($H5839="-","유지",IF($I5839="첫 건","유지","확인 필요")))</f>
        <v/>
      </c>
    </row>
    <row r="5840" customFormat="false" ht="15" hidden="false" customHeight="true" outlineLevel="0" collapsed="false">
      <c r="A5840" s="11" t="str">
        <f aca="false">IF(원본명단!$A5839="","",5837)</f>
        <v/>
      </c>
      <c r="B5840" s="12" t="str">
        <f aca="false">IF($A5840="","",원본명단!$A5839)</f>
        <v/>
      </c>
      <c r="C5840" s="12" t="str">
        <f aca="false">IF($A5840="","",원본명단!$B5839)</f>
        <v/>
      </c>
      <c r="D5840" s="12" t="str">
        <f aca="false">IF($A5840="","",원본명단!$D5839)</f>
        <v/>
      </c>
      <c r="E5840" s="11" t="str">
        <f aca="false">IF($A5840="","",IF(원본명단!$H5839="",0,COUNTIF(원본명단!$H$3:$H$6002,원본명단!$H5839)))</f>
        <v/>
      </c>
      <c r="F5840" s="11" t="str">
        <f aca="false">IF($A5840="","",IF(원본명단!$I5839="",0,COUNTIF(원본명단!$I$3:$I$6002,원본명단!$I5839)))</f>
        <v/>
      </c>
      <c r="G5840" s="11" t="str">
        <f aca="false">IF($A5840="","",IF(원본명단!$K5839="",0,COUNTIF(원본명단!$K$3:$K$6002,원본명단!$K5839)))</f>
        <v/>
      </c>
      <c r="H5840" s="11" t="str">
        <f aca="false">IF($A5840="","",IF(MAX($E5840,$F5840,$G5840)&gt;1,"중복","-"))</f>
        <v/>
      </c>
      <c r="I5840" s="11" t="str">
        <f aca="false">IF($A5840="","",IF($H5840="-","-",IF(AND(IF(원본명단!$H5839="",TRUE(),COUNTIF(원본명단!$H$3:$H5839,원본명단!$H5839)=1),IF(원본명단!$I5839="",TRUE(),COUNTIF(원본명단!$I$3:$I5839,원본명단!$I5839)=1),IF(원본명단!$K5839="",TRUE(),COUNTIF(원본명단!$K$3:$K5839,원본명단!$K5839)=1)),"첫 건","중복 건")))</f>
        <v/>
      </c>
      <c r="J5840" s="11" t="str">
        <f aca="false">IF($A5840="","",IF($H5840="-","유지",IF($I5840="첫 건","유지","확인 필요")))</f>
        <v/>
      </c>
    </row>
    <row r="5841" customFormat="false" ht="15" hidden="false" customHeight="true" outlineLevel="0" collapsed="false">
      <c r="A5841" s="11" t="str">
        <f aca="false">IF(원본명단!$A5840="","",5838)</f>
        <v/>
      </c>
      <c r="B5841" s="12" t="str">
        <f aca="false">IF($A5841="","",원본명단!$A5840)</f>
        <v/>
      </c>
      <c r="C5841" s="12" t="str">
        <f aca="false">IF($A5841="","",원본명단!$B5840)</f>
        <v/>
      </c>
      <c r="D5841" s="12" t="str">
        <f aca="false">IF($A5841="","",원본명단!$D5840)</f>
        <v/>
      </c>
      <c r="E5841" s="11" t="str">
        <f aca="false">IF($A5841="","",IF(원본명단!$H5840="",0,COUNTIF(원본명단!$H$3:$H$6002,원본명단!$H5840)))</f>
        <v/>
      </c>
      <c r="F5841" s="11" t="str">
        <f aca="false">IF($A5841="","",IF(원본명단!$I5840="",0,COUNTIF(원본명단!$I$3:$I$6002,원본명단!$I5840)))</f>
        <v/>
      </c>
      <c r="G5841" s="11" t="str">
        <f aca="false">IF($A5841="","",IF(원본명단!$K5840="",0,COUNTIF(원본명단!$K$3:$K$6002,원본명단!$K5840)))</f>
        <v/>
      </c>
      <c r="H5841" s="11" t="str">
        <f aca="false">IF($A5841="","",IF(MAX($E5841,$F5841,$G5841)&gt;1,"중복","-"))</f>
        <v/>
      </c>
      <c r="I5841" s="11" t="str">
        <f aca="false">IF($A5841="","",IF($H5841="-","-",IF(AND(IF(원본명단!$H5840="",TRUE(),COUNTIF(원본명단!$H$3:$H5840,원본명단!$H5840)=1),IF(원본명단!$I5840="",TRUE(),COUNTIF(원본명단!$I$3:$I5840,원본명단!$I5840)=1),IF(원본명단!$K5840="",TRUE(),COUNTIF(원본명단!$K$3:$K5840,원본명단!$K5840)=1)),"첫 건","중복 건")))</f>
        <v/>
      </c>
      <c r="J5841" s="11" t="str">
        <f aca="false">IF($A5841="","",IF($H5841="-","유지",IF($I5841="첫 건","유지","확인 필요")))</f>
        <v/>
      </c>
    </row>
    <row r="5842" customFormat="false" ht="15" hidden="false" customHeight="true" outlineLevel="0" collapsed="false">
      <c r="A5842" s="11" t="str">
        <f aca="false">IF(원본명단!$A5841="","",5839)</f>
        <v/>
      </c>
      <c r="B5842" s="12" t="str">
        <f aca="false">IF($A5842="","",원본명단!$A5841)</f>
        <v/>
      </c>
      <c r="C5842" s="12" t="str">
        <f aca="false">IF($A5842="","",원본명단!$B5841)</f>
        <v/>
      </c>
      <c r="D5842" s="12" t="str">
        <f aca="false">IF($A5842="","",원본명단!$D5841)</f>
        <v/>
      </c>
      <c r="E5842" s="11" t="str">
        <f aca="false">IF($A5842="","",IF(원본명단!$H5841="",0,COUNTIF(원본명단!$H$3:$H$6002,원본명단!$H5841)))</f>
        <v/>
      </c>
      <c r="F5842" s="11" t="str">
        <f aca="false">IF($A5842="","",IF(원본명단!$I5841="",0,COUNTIF(원본명단!$I$3:$I$6002,원본명단!$I5841)))</f>
        <v/>
      </c>
      <c r="G5842" s="11" t="str">
        <f aca="false">IF($A5842="","",IF(원본명단!$K5841="",0,COUNTIF(원본명단!$K$3:$K$6002,원본명단!$K5841)))</f>
        <v/>
      </c>
      <c r="H5842" s="11" t="str">
        <f aca="false">IF($A5842="","",IF(MAX($E5842,$F5842,$G5842)&gt;1,"중복","-"))</f>
        <v/>
      </c>
      <c r="I5842" s="11" t="str">
        <f aca="false">IF($A5842="","",IF($H5842="-","-",IF(AND(IF(원본명단!$H5841="",TRUE(),COUNTIF(원본명단!$H$3:$H5841,원본명단!$H5841)=1),IF(원본명단!$I5841="",TRUE(),COUNTIF(원본명단!$I$3:$I5841,원본명단!$I5841)=1),IF(원본명단!$K5841="",TRUE(),COUNTIF(원본명단!$K$3:$K5841,원본명단!$K5841)=1)),"첫 건","중복 건")))</f>
        <v/>
      </c>
      <c r="J5842" s="11" t="str">
        <f aca="false">IF($A5842="","",IF($H5842="-","유지",IF($I5842="첫 건","유지","확인 필요")))</f>
        <v/>
      </c>
    </row>
    <row r="5843" customFormat="false" ht="15" hidden="false" customHeight="true" outlineLevel="0" collapsed="false">
      <c r="A5843" s="11" t="str">
        <f aca="false">IF(원본명단!$A5842="","",5840)</f>
        <v/>
      </c>
      <c r="B5843" s="12" t="str">
        <f aca="false">IF($A5843="","",원본명단!$A5842)</f>
        <v/>
      </c>
      <c r="C5843" s="12" t="str">
        <f aca="false">IF($A5843="","",원본명단!$B5842)</f>
        <v/>
      </c>
      <c r="D5843" s="12" t="str">
        <f aca="false">IF($A5843="","",원본명단!$D5842)</f>
        <v/>
      </c>
      <c r="E5843" s="11" t="str">
        <f aca="false">IF($A5843="","",IF(원본명단!$H5842="",0,COUNTIF(원본명단!$H$3:$H$6002,원본명단!$H5842)))</f>
        <v/>
      </c>
      <c r="F5843" s="11" t="str">
        <f aca="false">IF($A5843="","",IF(원본명단!$I5842="",0,COUNTIF(원본명단!$I$3:$I$6002,원본명단!$I5842)))</f>
        <v/>
      </c>
      <c r="G5843" s="11" t="str">
        <f aca="false">IF($A5843="","",IF(원본명단!$K5842="",0,COUNTIF(원본명단!$K$3:$K$6002,원본명단!$K5842)))</f>
        <v/>
      </c>
      <c r="H5843" s="11" t="str">
        <f aca="false">IF($A5843="","",IF(MAX($E5843,$F5843,$G5843)&gt;1,"중복","-"))</f>
        <v/>
      </c>
      <c r="I5843" s="11" t="str">
        <f aca="false">IF($A5843="","",IF($H5843="-","-",IF(AND(IF(원본명단!$H5842="",TRUE(),COUNTIF(원본명단!$H$3:$H5842,원본명단!$H5842)=1),IF(원본명단!$I5842="",TRUE(),COUNTIF(원본명단!$I$3:$I5842,원본명단!$I5842)=1),IF(원본명단!$K5842="",TRUE(),COUNTIF(원본명단!$K$3:$K5842,원본명단!$K5842)=1)),"첫 건","중복 건")))</f>
        <v/>
      </c>
      <c r="J5843" s="11" t="str">
        <f aca="false">IF($A5843="","",IF($H5843="-","유지",IF($I5843="첫 건","유지","확인 필요")))</f>
        <v/>
      </c>
    </row>
    <row r="5844" customFormat="false" ht="15" hidden="false" customHeight="true" outlineLevel="0" collapsed="false">
      <c r="A5844" s="11" t="str">
        <f aca="false">IF(원본명단!$A5843="","",5841)</f>
        <v/>
      </c>
      <c r="B5844" s="12" t="str">
        <f aca="false">IF($A5844="","",원본명단!$A5843)</f>
        <v/>
      </c>
      <c r="C5844" s="12" t="str">
        <f aca="false">IF($A5844="","",원본명단!$B5843)</f>
        <v/>
      </c>
      <c r="D5844" s="12" t="str">
        <f aca="false">IF($A5844="","",원본명단!$D5843)</f>
        <v/>
      </c>
      <c r="E5844" s="11" t="str">
        <f aca="false">IF($A5844="","",IF(원본명단!$H5843="",0,COUNTIF(원본명단!$H$3:$H$6002,원본명단!$H5843)))</f>
        <v/>
      </c>
      <c r="F5844" s="11" t="str">
        <f aca="false">IF($A5844="","",IF(원본명단!$I5843="",0,COUNTIF(원본명단!$I$3:$I$6002,원본명단!$I5843)))</f>
        <v/>
      </c>
      <c r="G5844" s="11" t="str">
        <f aca="false">IF($A5844="","",IF(원본명단!$K5843="",0,COUNTIF(원본명단!$K$3:$K$6002,원본명단!$K5843)))</f>
        <v/>
      </c>
      <c r="H5844" s="11" t="str">
        <f aca="false">IF($A5844="","",IF(MAX($E5844,$F5844,$G5844)&gt;1,"중복","-"))</f>
        <v/>
      </c>
      <c r="I5844" s="11" t="str">
        <f aca="false">IF($A5844="","",IF($H5844="-","-",IF(AND(IF(원본명단!$H5843="",TRUE(),COUNTIF(원본명단!$H$3:$H5843,원본명단!$H5843)=1),IF(원본명단!$I5843="",TRUE(),COUNTIF(원본명단!$I$3:$I5843,원본명단!$I5843)=1),IF(원본명단!$K5843="",TRUE(),COUNTIF(원본명단!$K$3:$K5843,원본명단!$K5843)=1)),"첫 건","중복 건")))</f>
        <v/>
      </c>
      <c r="J5844" s="11" t="str">
        <f aca="false">IF($A5844="","",IF($H5844="-","유지",IF($I5844="첫 건","유지","확인 필요")))</f>
        <v/>
      </c>
    </row>
    <row r="5845" customFormat="false" ht="15" hidden="false" customHeight="true" outlineLevel="0" collapsed="false">
      <c r="A5845" s="11" t="str">
        <f aca="false">IF(원본명단!$A5844="","",5842)</f>
        <v/>
      </c>
      <c r="B5845" s="12" t="str">
        <f aca="false">IF($A5845="","",원본명단!$A5844)</f>
        <v/>
      </c>
      <c r="C5845" s="12" t="str">
        <f aca="false">IF($A5845="","",원본명단!$B5844)</f>
        <v/>
      </c>
      <c r="D5845" s="12" t="str">
        <f aca="false">IF($A5845="","",원본명단!$D5844)</f>
        <v/>
      </c>
      <c r="E5845" s="11" t="str">
        <f aca="false">IF($A5845="","",IF(원본명단!$H5844="",0,COUNTIF(원본명단!$H$3:$H$6002,원본명단!$H5844)))</f>
        <v/>
      </c>
      <c r="F5845" s="11" t="str">
        <f aca="false">IF($A5845="","",IF(원본명단!$I5844="",0,COUNTIF(원본명단!$I$3:$I$6002,원본명단!$I5844)))</f>
        <v/>
      </c>
      <c r="G5845" s="11" t="str">
        <f aca="false">IF($A5845="","",IF(원본명단!$K5844="",0,COUNTIF(원본명단!$K$3:$K$6002,원본명단!$K5844)))</f>
        <v/>
      </c>
      <c r="H5845" s="11" t="str">
        <f aca="false">IF($A5845="","",IF(MAX($E5845,$F5845,$G5845)&gt;1,"중복","-"))</f>
        <v/>
      </c>
      <c r="I5845" s="11" t="str">
        <f aca="false">IF($A5845="","",IF($H5845="-","-",IF(AND(IF(원본명단!$H5844="",TRUE(),COUNTIF(원본명단!$H$3:$H5844,원본명단!$H5844)=1),IF(원본명단!$I5844="",TRUE(),COUNTIF(원본명단!$I$3:$I5844,원본명단!$I5844)=1),IF(원본명단!$K5844="",TRUE(),COUNTIF(원본명단!$K$3:$K5844,원본명단!$K5844)=1)),"첫 건","중복 건")))</f>
        <v/>
      </c>
      <c r="J5845" s="11" t="str">
        <f aca="false">IF($A5845="","",IF($H5845="-","유지",IF($I5845="첫 건","유지","확인 필요")))</f>
        <v/>
      </c>
    </row>
    <row r="5846" customFormat="false" ht="15" hidden="false" customHeight="true" outlineLevel="0" collapsed="false">
      <c r="A5846" s="11" t="str">
        <f aca="false">IF(원본명단!$A5845="","",5843)</f>
        <v/>
      </c>
      <c r="B5846" s="12" t="str">
        <f aca="false">IF($A5846="","",원본명단!$A5845)</f>
        <v/>
      </c>
      <c r="C5846" s="12" t="str">
        <f aca="false">IF($A5846="","",원본명단!$B5845)</f>
        <v/>
      </c>
      <c r="D5846" s="12" t="str">
        <f aca="false">IF($A5846="","",원본명단!$D5845)</f>
        <v/>
      </c>
      <c r="E5846" s="11" t="str">
        <f aca="false">IF($A5846="","",IF(원본명단!$H5845="",0,COUNTIF(원본명단!$H$3:$H$6002,원본명단!$H5845)))</f>
        <v/>
      </c>
      <c r="F5846" s="11" t="str">
        <f aca="false">IF($A5846="","",IF(원본명단!$I5845="",0,COUNTIF(원본명단!$I$3:$I$6002,원본명단!$I5845)))</f>
        <v/>
      </c>
      <c r="G5846" s="11" t="str">
        <f aca="false">IF($A5846="","",IF(원본명단!$K5845="",0,COUNTIF(원본명단!$K$3:$K$6002,원본명단!$K5845)))</f>
        <v/>
      </c>
      <c r="H5846" s="11" t="str">
        <f aca="false">IF($A5846="","",IF(MAX($E5846,$F5846,$G5846)&gt;1,"중복","-"))</f>
        <v/>
      </c>
      <c r="I5846" s="11" t="str">
        <f aca="false">IF($A5846="","",IF($H5846="-","-",IF(AND(IF(원본명단!$H5845="",TRUE(),COUNTIF(원본명단!$H$3:$H5845,원본명단!$H5845)=1),IF(원본명단!$I5845="",TRUE(),COUNTIF(원본명단!$I$3:$I5845,원본명단!$I5845)=1),IF(원본명단!$K5845="",TRUE(),COUNTIF(원본명단!$K$3:$K5845,원본명단!$K5845)=1)),"첫 건","중복 건")))</f>
        <v/>
      </c>
      <c r="J5846" s="11" t="str">
        <f aca="false">IF($A5846="","",IF($H5846="-","유지",IF($I5846="첫 건","유지","확인 필요")))</f>
        <v/>
      </c>
    </row>
    <row r="5847" customFormat="false" ht="15" hidden="false" customHeight="true" outlineLevel="0" collapsed="false">
      <c r="A5847" s="11" t="str">
        <f aca="false">IF(원본명단!$A5846="","",5844)</f>
        <v/>
      </c>
      <c r="B5847" s="12" t="str">
        <f aca="false">IF($A5847="","",원본명단!$A5846)</f>
        <v/>
      </c>
      <c r="C5847" s="12" t="str">
        <f aca="false">IF($A5847="","",원본명단!$B5846)</f>
        <v/>
      </c>
      <c r="D5847" s="12" t="str">
        <f aca="false">IF($A5847="","",원본명단!$D5846)</f>
        <v/>
      </c>
      <c r="E5847" s="11" t="str">
        <f aca="false">IF($A5847="","",IF(원본명단!$H5846="",0,COUNTIF(원본명단!$H$3:$H$6002,원본명단!$H5846)))</f>
        <v/>
      </c>
      <c r="F5847" s="11" t="str">
        <f aca="false">IF($A5847="","",IF(원본명단!$I5846="",0,COUNTIF(원본명단!$I$3:$I$6002,원본명단!$I5846)))</f>
        <v/>
      </c>
      <c r="G5847" s="11" t="str">
        <f aca="false">IF($A5847="","",IF(원본명단!$K5846="",0,COUNTIF(원본명단!$K$3:$K$6002,원본명단!$K5846)))</f>
        <v/>
      </c>
      <c r="H5847" s="11" t="str">
        <f aca="false">IF($A5847="","",IF(MAX($E5847,$F5847,$G5847)&gt;1,"중복","-"))</f>
        <v/>
      </c>
      <c r="I5847" s="11" t="str">
        <f aca="false">IF($A5847="","",IF($H5847="-","-",IF(AND(IF(원본명단!$H5846="",TRUE(),COUNTIF(원본명단!$H$3:$H5846,원본명단!$H5846)=1),IF(원본명단!$I5846="",TRUE(),COUNTIF(원본명단!$I$3:$I5846,원본명단!$I5846)=1),IF(원본명단!$K5846="",TRUE(),COUNTIF(원본명단!$K$3:$K5846,원본명단!$K5846)=1)),"첫 건","중복 건")))</f>
        <v/>
      </c>
      <c r="J5847" s="11" t="str">
        <f aca="false">IF($A5847="","",IF($H5847="-","유지",IF($I5847="첫 건","유지","확인 필요")))</f>
        <v/>
      </c>
    </row>
    <row r="5848" customFormat="false" ht="15" hidden="false" customHeight="true" outlineLevel="0" collapsed="false">
      <c r="A5848" s="11" t="str">
        <f aca="false">IF(원본명단!$A5847="","",5845)</f>
        <v/>
      </c>
      <c r="B5848" s="12" t="str">
        <f aca="false">IF($A5848="","",원본명단!$A5847)</f>
        <v/>
      </c>
      <c r="C5848" s="12" t="str">
        <f aca="false">IF($A5848="","",원본명단!$B5847)</f>
        <v/>
      </c>
      <c r="D5848" s="12" t="str">
        <f aca="false">IF($A5848="","",원본명단!$D5847)</f>
        <v/>
      </c>
      <c r="E5848" s="11" t="str">
        <f aca="false">IF($A5848="","",IF(원본명단!$H5847="",0,COUNTIF(원본명단!$H$3:$H$6002,원본명단!$H5847)))</f>
        <v/>
      </c>
      <c r="F5848" s="11" t="str">
        <f aca="false">IF($A5848="","",IF(원본명단!$I5847="",0,COUNTIF(원본명단!$I$3:$I$6002,원본명단!$I5847)))</f>
        <v/>
      </c>
      <c r="G5848" s="11" t="str">
        <f aca="false">IF($A5848="","",IF(원본명단!$K5847="",0,COUNTIF(원본명단!$K$3:$K$6002,원본명단!$K5847)))</f>
        <v/>
      </c>
      <c r="H5848" s="11" t="str">
        <f aca="false">IF($A5848="","",IF(MAX($E5848,$F5848,$G5848)&gt;1,"중복","-"))</f>
        <v/>
      </c>
      <c r="I5848" s="11" t="str">
        <f aca="false">IF($A5848="","",IF($H5848="-","-",IF(AND(IF(원본명단!$H5847="",TRUE(),COUNTIF(원본명단!$H$3:$H5847,원본명단!$H5847)=1),IF(원본명단!$I5847="",TRUE(),COUNTIF(원본명단!$I$3:$I5847,원본명단!$I5847)=1),IF(원본명단!$K5847="",TRUE(),COUNTIF(원본명단!$K$3:$K5847,원본명단!$K5847)=1)),"첫 건","중복 건")))</f>
        <v/>
      </c>
      <c r="J5848" s="11" t="str">
        <f aca="false">IF($A5848="","",IF($H5848="-","유지",IF($I5848="첫 건","유지","확인 필요")))</f>
        <v/>
      </c>
    </row>
    <row r="5849" customFormat="false" ht="15" hidden="false" customHeight="true" outlineLevel="0" collapsed="false">
      <c r="A5849" s="11" t="str">
        <f aca="false">IF(원본명단!$A5848="","",5846)</f>
        <v/>
      </c>
      <c r="B5849" s="12" t="str">
        <f aca="false">IF($A5849="","",원본명단!$A5848)</f>
        <v/>
      </c>
      <c r="C5849" s="12" t="str">
        <f aca="false">IF($A5849="","",원본명단!$B5848)</f>
        <v/>
      </c>
      <c r="D5849" s="12" t="str">
        <f aca="false">IF($A5849="","",원본명단!$D5848)</f>
        <v/>
      </c>
      <c r="E5849" s="11" t="str">
        <f aca="false">IF($A5849="","",IF(원본명단!$H5848="",0,COUNTIF(원본명단!$H$3:$H$6002,원본명단!$H5848)))</f>
        <v/>
      </c>
      <c r="F5849" s="11" t="str">
        <f aca="false">IF($A5849="","",IF(원본명단!$I5848="",0,COUNTIF(원본명단!$I$3:$I$6002,원본명단!$I5848)))</f>
        <v/>
      </c>
      <c r="G5849" s="11" t="str">
        <f aca="false">IF($A5849="","",IF(원본명단!$K5848="",0,COUNTIF(원본명단!$K$3:$K$6002,원본명단!$K5848)))</f>
        <v/>
      </c>
      <c r="H5849" s="11" t="str">
        <f aca="false">IF($A5849="","",IF(MAX($E5849,$F5849,$G5849)&gt;1,"중복","-"))</f>
        <v/>
      </c>
      <c r="I5849" s="11" t="str">
        <f aca="false">IF($A5849="","",IF($H5849="-","-",IF(AND(IF(원본명단!$H5848="",TRUE(),COUNTIF(원본명단!$H$3:$H5848,원본명단!$H5848)=1),IF(원본명단!$I5848="",TRUE(),COUNTIF(원본명단!$I$3:$I5848,원본명단!$I5848)=1),IF(원본명단!$K5848="",TRUE(),COUNTIF(원본명단!$K$3:$K5848,원본명단!$K5848)=1)),"첫 건","중복 건")))</f>
        <v/>
      </c>
      <c r="J5849" s="11" t="str">
        <f aca="false">IF($A5849="","",IF($H5849="-","유지",IF($I5849="첫 건","유지","확인 필요")))</f>
        <v/>
      </c>
    </row>
    <row r="5850" customFormat="false" ht="15" hidden="false" customHeight="true" outlineLevel="0" collapsed="false">
      <c r="A5850" s="11" t="str">
        <f aca="false">IF(원본명단!$A5849="","",5847)</f>
        <v/>
      </c>
      <c r="B5850" s="12" t="str">
        <f aca="false">IF($A5850="","",원본명단!$A5849)</f>
        <v/>
      </c>
      <c r="C5850" s="12" t="str">
        <f aca="false">IF($A5850="","",원본명단!$B5849)</f>
        <v/>
      </c>
      <c r="D5850" s="12" t="str">
        <f aca="false">IF($A5850="","",원본명단!$D5849)</f>
        <v/>
      </c>
      <c r="E5850" s="11" t="str">
        <f aca="false">IF($A5850="","",IF(원본명단!$H5849="",0,COUNTIF(원본명단!$H$3:$H$6002,원본명단!$H5849)))</f>
        <v/>
      </c>
      <c r="F5850" s="11" t="str">
        <f aca="false">IF($A5850="","",IF(원본명단!$I5849="",0,COUNTIF(원본명단!$I$3:$I$6002,원본명단!$I5849)))</f>
        <v/>
      </c>
      <c r="G5850" s="11" t="str">
        <f aca="false">IF($A5850="","",IF(원본명단!$K5849="",0,COUNTIF(원본명단!$K$3:$K$6002,원본명단!$K5849)))</f>
        <v/>
      </c>
      <c r="H5850" s="11" t="str">
        <f aca="false">IF($A5850="","",IF(MAX($E5850,$F5850,$G5850)&gt;1,"중복","-"))</f>
        <v/>
      </c>
      <c r="I5850" s="11" t="str">
        <f aca="false">IF($A5850="","",IF($H5850="-","-",IF(AND(IF(원본명단!$H5849="",TRUE(),COUNTIF(원본명단!$H$3:$H5849,원본명단!$H5849)=1),IF(원본명단!$I5849="",TRUE(),COUNTIF(원본명단!$I$3:$I5849,원본명단!$I5849)=1),IF(원본명단!$K5849="",TRUE(),COUNTIF(원본명단!$K$3:$K5849,원본명단!$K5849)=1)),"첫 건","중복 건")))</f>
        <v/>
      </c>
      <c r="J5850" s="11" t="str">
        <f aca="false">IF($A5850="","",IF($H5850="-","유지",IF($I5850="첫 건","유지","확인 필요")))</f>
        <v/>
      </c>
    </row>
    <row r="5851" customFormat="false" ht="15" hidden="false" customHeight="true" outlineLevel="0" collapsed="false">
      <c r="A5851" s="11" t="str">
        <f aca="false">IF(원본명단!$A5850="","",5848)</f>
        <v/>
      </c>
      <c r="B5851" s="12" t="str">
        <f aca="false">IF($A5851="","",원본명단!$A5850)</f>
        <v/>
      </c>
      <c r="C5851" s="12" t="str">
        <f aca="false">IF($A5851="","",원본명단!$B5850)</f>
        <v/>
      </c>
      <c r="D5851" s="12" t="str">
        <f aca="false">IF($A5851="","",원본명단!$D5850)</f>
        <v/>
      </c>
      <c r="E5851" s="11" t="str">
        <f aca="false">IF($A5851="","",IF(원본명단!$H5850="",0,COUNTIF(원본명단!$H$3:$H$6002,원본명단!$H5850)))</f>
        <v/>
      </c>
      <c r="F5851" s="11" t="str">
        <f aca="false">IF($A5851="","",IF(원본명단!$I5850="",0,COUNTIF(원본명단!$I$3:$I$6002,원본명단!$I5850)))</f>
        <v/>
      </c>
      <c r="G5851" s="11" t="str">
        <f aca="false">IF($A5851="","",IF(원본명단!$K5850="",0,COUNTIF(원본명단!$K$3:$K$6002,원본명단!$K5850)))</f>
        <v/>
      </c>
      <c r="H5851" s="11" t="str">
        <f aca="false">IF($A5851="","",IF(MAX($E5851,$F5851,$G5851)&gt;1,"중복","-"))</f>
        <v/>
      </c>
      <c r="I5851" s="11" t="str">
        <f aca="false">IF($A5851="","",IF($H5851="-","-",IF(AND(IF(원본명단!$H5850="",TRUE(),COUNTIF(원본명단!$H$3:$H5850,원본명단!$H5850)=1),IF(원본명단!$I5850="",TRUE(),COUNTIF(원본명단!$I$3:$I5850,원본명단!$I5850)=1),IF(원본명단!$K5850="",TRUE(),COUNTIF(원본명단!$K$3:$K5850,원본명단!$K5850)=1)),"첫 건","중복 건")))</f>
        <v/>
      </c>
      <c r="J5851" s="11" t="str">
        <f aca="false">IF($A5851="","",IF($H5851="-","유지",IF($I5851="첫 건","유지","확인 필요")))</f>
        <v/>
      </c>
    </row>
    <row r="5852" customFormat="false" ht="15" hidden="false" customHeight="true" outlineLevel="0" collapsed="false">
      <c r="A5852" s="11" t="str">
        <f aca="false">IF(원본명단!$A5851="","",5849)</f>
        <v/>
      </c>
      <c r="B5852" s="12" t="str">
        <f aca="false">IF($A5852="","",원본명단!$A5851)</f>
        <v/>
      </c>
      <c r="C5852" s="12" t="str">
        <f aca="false">IF($A5852="","",원본명단!$B5851)</f>
        <v/>
      </c>
      <c r="D5852" s="12" t="str">
        <f aca="false">IF($A5852="","",원본명단!$D5851)</f>
        <v/>
      </c>
      <c r="E5852" s="11" t="str">
        <f aca="false">IF($A5852="","",IF(원본명단!$H5851="",0,COUNTIF(원본명단!$H$3:$H$6002,원본명단!$H5851)))</f>
        <v/>
      </c>
      <c r="F5852" s="11" t="str">
        <f aca="false">IF($A5852="","",IF(원본명단!$I5851="",0,COUNTIF(원본명단!$I$3:$I$6002,원본명단!$I5851)))</f>
        <v/>
      </c>
      <c r="G5852" s="11" t="str">
        <f aca="false">IF($A5852="","",IF(원본명단!$K5851="",0,COUNTIF(원본명단!$K$3:$K$6002,원본명단!$K5851)))</f>
        <v/>
      </c>
      <c r="H5852" s="11" t="str">
        <f aca="false">IF($A5852="","",IF(MAX($E5852,$F5852,$G5852)&gt;1,"중복","-"))</f>
        <v/>
      </c>
      <c r="I5852" s="11" t="str">
        <f aca="false">IF($A5852="","",IF($H5852="-","-",IF(AND(IF(원본명단!$H5851="",TRUE(),COUNTIF(원본명단!$H$3:$H5851,원본명단!$H5851)=1),IF(원본명단!$I5851="",TRUE(),COUNTIF(원본명단!$I$3:$I5851,원본명단!$I5851)=1),IF(원본명단!$K5851="",TRUE(),COUNTIF(원본명단!$K$3:$K5851,원본명단!$K5851)=1)),"첫 건","중복 건")))</f>
        <v/>
      </c>
      <c r="J5852" s="11" t="str">
        <f aca="false">IF($A5852="","",IF($H5852="-","유지",IF($I5852="첫 건","유지","확인 필요")))</f>
        <v/>
      </c>
    </row>
    <row r="5853" customFormat="false" ht="15" hidden="false" customHeight="true" outlineLevel="0" collapsed="false">
      <c r="A5853" s="11" t="str">
        <f aca="false">IF(원본명단!$A5852="","",5850)</f>
        <v/>
      </c>
      <c r="B5853" s="12" t="str">
        <f aca="false">IF($A5853="","",원본명단!$A5852)</f>
        <v/>
      </c>
      <c r="C5853" s="12" t="str">
        <f aca="false">IF($A5853="","",원본명단!$B5852)</f>
        <v/>
      </c>
      <c r="D5853" s="12" t="str">
        <f aca="false">IF($A5853="","",원본명단!$D5852)</f>
        <v/>
      </c>
      <c r="E5853" s="11" t="str">
        <f aca="false">IF($A5853="","",IF(원본명단!$H5852="",0,COUNTIF(원본명단!$H$3:$H$6002,원본명단!$H5852)))</f>
        <v/>
      </c>
      <c r="F5853" s="11" t="str">
        <f aca="false">IF($A5853="","",IF(원본명단!$I5852="",0,COUNTIF(원본명단!$I$3:$I$6002,원본명단!$I5852)))</f>
        <v/>
      </c>
      <c r="G5853" s="11" t="str">
        <f aca="false">IF($A5853="","",IF(원본명단!$K5852="",0,COUNTIF(원본명단!$K$3:$K$6002,원본명단!$K5852)))</f>
        <v/>
      </c>
      <c r="H5853" s="11" t="str">
        <f aca="false">IF($A5853="","",IF(MAX($E5853,$F5853,$G5853)&gt;1,"중복","-"))</f>
        <v/>
      </c>
      <c r="I5853" s="11" t="str">
        <f aca="false">IF($A5853="","",IF($H5853="-","-",IF(AND(IF(원본명단!$H5852="",TRUE(),COUNTIF(원본명단!$H$3:$H5852,원본명단!$H5852)=1),IF(원본명단!$I5852="",TRUE(),COUNTIF(원본명단!$I$3:$I5852,원본명단!$I5852)=1),IF(원본명단!$K5852="",TRUE(),COUNTIF(원본명단!$K$3:$K5852,원본명단!$K5852)=1)),"첫 건","중복 건")))</f>
        <v/>
      </c>
      <c r="J5853" s="11" t="str">
        <f aca="false">IF($A5853="","",IF($H5853="-","유지",IF($I5853="첫 건","유지","확인 필요")))</f>
        <v/>
      </c>
    </row>
    <row r="5854" customFormat="false" ht="15" hidden="false" customHeight="true" outlineLevel="0" collapsed="false">
      <c r="A5854" s="11" t="str">
        <f aca="false">IF(원본명단!$A5853="","",5851)</f>
        <v/>
      </c>
      <c r="B5854" s="12" t="str">
        <f aca="false">IF($A5854="","",원본명단!$A5853)</f>
        <v/>
      </c>
      <c r="C5854" s="12" t="str">
        <f aca="false">IF($A5854="","",원본명단!$B5853)</f>
        <v/>
      </c>
      <c r="D5854" s="12" t="str">
        <f aca="false">IF($A5854="","",원본명단!$D5853)</f>
        <v/>
      </c>
      <c r="E5854" s="11" t="str">
        <f aca="false">IF($A5854="","",IF(원본명단!$H5853="",0,COUNTIF(원본명단!$H$3:$H$6002,원본명단!$H5853)))</f>
        <v/>
      </c>
      <c r="F5854" s="11" t="str">
        <f aca="false">IF($A5854="","",IF(원본명단!$I5853="",0,COUNTIF(원본명단!$I$3:$I$6002,원본명단!$I5853)))</f>
        <v/>
      </c>
      <c r="G5854" s="11" t="str">
        <f aca="false">IF($A5854="","",IF(원본명단!$K5853="",0,COUNTIF(원본명단!$K$3:$K$6002,원본명단!$K5853)))</f>
        <v/>
      </c>
      <c r="H5854" s="11" t="str">
        <f aca="false">IF($A5854="","",IF(MAX($E5854,$F5854,$G5854)&gt;1,"중복","-"))</f>
        <v/>
      </c>
      <c r="I5854" s="11" t="str">
        <f aca="false">IF($A5854="","",IF($H5854="-","-",IF(AND(IF(원본명단!$H5853="",TRUE(),COUNTIF(원본명단!$H$3:$H5853,원본명단!$H5853)=1),IF(원본명단!$I5853="",TRUE(),COUNTIF(원본명단!$I$3:$I5853,원본명단!$I5853)=1),IF(원본명단!$K5853="",TRUE(),COUNTIF(원본명단!$K$3:$K5853,원본명단!$K5853)=1)),"첫 건","중복 건")))</f>
        <v/>
      </c>
      <c r="J5854" s="11" t="str">
        <f aca="false">IF($A5854="","",IF($H5854="-","유지",IF($I5854="첫 건","유지","확인 필요")))</f>
        <v/>
      </c>
    </row>
    <row r="5855" customFormat="false" ht="15" hidden="false" customHeight="true" outlineLevel="0" collapsed="false">
      <c r="A5855" s="11" t="str">
        <f aca="false">IF(원본명단!$A5854="","",5852)</f>
        <v/>
      </c>
      <c r="B5855" s="12" t="str">
        <f aca="false">IF($A5855="","",원본명단!$A5854)</f>
        <v/>
      </c>
      <c r="C5855" s="12" t="str">
        <f aca="false">IF($A5855="","",원본명단!$B5854)</f>
        <v/>
      </c>
      <c r="D5855" s="12" t="str">
        <f aca="false">IF($A5855="","",원본명단!$D5854)</f>
        <v/>
      </c>
      <c r="E5855" s="11" t="str">
        <f aca="false">IF($A5855="","",IF(원본명단!$H5854="",0,COUNTIF(원본명단!$H$3:$H$6002,원본명단!$H5854)))</f>
        <v/>
      </c>
      <c r="F5855" s="11" t="str">
        <f aca="false">IF($A5855="","",IF(원본명단!$I5854="",0,COUNTIF(원본명단!$I$3:$I$6002,원본명단!$I5854)))</f>
        <v/>
      </c>
      <c r="G5855" s="11" t="str">
        <f aca="false">IF($A5855="","",IF(원본명단!$K5854="",0,COUNTIF(원본명단!$K$3:$K$6002,원본명단!$K5854)))</f>
        <v/>
      </c>
      <c r="H5855" s="11" t="str">
        <f aca="false">IF($A5855="","",IF(MAX($E5855,$F5855,$G5855)&gt;1,"중복","-"))</f>
        <v/>
      </c>
      <c r="I5855" s="11" t="str">
        <f aca="false">IF($A5855="","",IF($H5855="-","-",IF(AND(IF(원본명단!$H5854="",TRUE(),COUNTIF(원본명단!$H$3:$H5854,원본명단!$H5854)=1),IF(원본명단!$I5854="",TRUE(),COUNTIF(원본명단!$I$3:$I5854,원본명단!$I5854)=1),IF(원본명단!$K5854="",TRUE(),COUNTIF(원본명단!$K$3:$K5854,원본명단!$K5854)=1)),"첫 건","중복 건")))</f>
        <v/>
      </c>
      <c r="J5855" s="11" t="str">
        <f aca="false">IF($A5855="","",IF($H5855="-","유지",IF($I5855="첫 건","유지","확인 필요")))</f>
        <v/>
      </c>
    </row>
    <row r="5856" customFormat="false" ht="15" hidden="false" customHeight="true" outlineLevel="0" collapsed="false">
      <c r="A5856" s="11" t="str">
        <f aca="false">IF(원본명단!$A5855="","",5853)</f>
        <v/>
      </c>
      <c r="B5856" s="12" t="str">
        <f aca="false">IF($A5856="","",원본명단!$A5855)</f>
        <v/>
      </c>
      <c r="C5856" s="12" t="str">
        <f aca="false">IF($A5856="","",원본명단!$B5855)</f>
        <v/>
      </c>
      <c r="D5856" s="12" t="str">
        <f aca="false">IF($A5856="","",원본명단!$D5855)</f>
        <v/>
      </c>
      <c r="E5856" s="11" t="str">
        <f aca="false">IF($A5856="","",IF(원본명단!$H5855="",0,COUNTIF(원본명단!$H$3:$H$6002,원본명단!$H5855)))</f>
        <v/>
      </c>
      <c r="F5856" s="11" t="str">
        <f aca="false">IF($A5856="","",IF(원본명단!$I5855="",0,COUNTIF(원본명단!$I$3:$I$6002,원본명단!$I5855)))</f>
        <v/>
      </c>
      <c r="G5856" s="11" t="str">
        <f aca="false">IF($A5856="","",IF(원본명단!$K5855="",0,COUNTIF(원본명단!$K$3:$K$6002,원본명단!$K5855)))</f>
        <v/>
      </c>
      <c r="H5856" s="11" t="str">
        <f aca="false">IF($A5856="","",IF(MAX($E5856,$F5856,$G5856)&gt;1,"중복","-"))</f>
        <v/>
      </c>
      <c r="I5856" s="11" t="str">
        <f aca="false">IF($A5856="","",IF($H5856="-","-",IF(AND(IF(원본명단!$H5855="",TRUE(),COUNTIF(원본명단!$H$3:$H5855,원본명단!$H5855)=1),IF(원본명단!$I5855="",TRUE(),COUNTIF(원본명단!$I$3:$I5855,원본명단!$I5855)=1),IF(원본명단!$K5855="",TRUE(),COUNTIF(원본명단!$K$3:$K5855,원본명단!$K5855)=1)),"첫 건","중복 건")))</f>
        <v/>
      </c>
      <c r="J5856" s="11" t="str">
        <f aca="false">IF($A5856="","",IF($H5856="-","유지",IF($I5856="첫 건","유지","확인 필요")))</f>
        <v/>
      </c>
    </row>
    <row r="5857" customFormat="false" ht="15" hidden="false" customHeight="true" outlineLevel="0" collapsed="false">
      <c r="A5857" s="11" t="str">
        <f aca="false">IF(원본명단!$A5856="","",5854)</f>
        <v/>
      </c>
      <c r="B5857" s="12" t="str">
        <f aca="false">IF($A5857="","",원본명단!$A5856)</f>
        <v/>
      </c>
      <c r="C5857" s="12" t="str">
        <f aca="false">IF($A5857="","",원본명단!$B5856)</f>
        <v/>
      </c>
      <c r="D5857" s="12" t="str">
        <f aca="false">IF($A5857="","",원본명단!$D5856)</f>
        <v/>
      </c>
      <c r="E5857" s="11" t="str">
        <f aca="false">IF($A5857="","",IF(원본명단!$H5856="",0,COUNTIF(원본명단!$H$3:$H$6002,원본명단!$H5856)))</f>
        <v/>
      </c>
      <c r="F5857" s="11" t="str">
        <f aca="false">IF($A5857="","",IF(원본명단!$I5856="",0,COUNTIF(원본명단!$I$3:$I$6002,원본명단!$I5856)))</f>
        <v/>
      </c>
      <c r="G5857" s="11" t="str">
        <f aca="false">IF($A5857="","",IF(원본명단!$K5856="",0,COUNTIF(원본명단!$K$3:$K$6002,원본명단!$K5856)))</f>
        <v/>
      </c>
      <c r="H5857" s="11" t="str">
        <f aca="false">IF($A5857="","",IF(MAX($E5857,$F5857,$G5857)&gt;1,"중복","-"))</f>
        <v/>
      </c>
      <c r="I5857" s="11" t="str">
        <f aca="false">IF($A5857="","",IF($H5857="-","-",IF(AND(IF(원본명단!$H5856="",TRUE(),COUNTIF(원본명단!$H$3:$H5856,원본명단!$H5856)=1),IF(원본명단!$I5856="",TRUE(),COUNTIF(원본명단!$I$3:$I5856,원본명단!$I5856)=1),IF(원본명단!$K5856="",TRUE(),COUNTIF(원본명단!$K$3:$K5856,원본명단!$K5856)=1)),"첫 건","중복 건")))</f>
        <v/>
      </c>
      <c r="J5857" s="11" t="str">
        <f aca="false">IF($A5857="","",IF($H5857="-","유지",IF($I5857="첫 건","유지","확인 필요")))</f>
        <v/>
      </c>
    </row>
    <row r="5858" customFormat="false" ht="15" hidden="false" customHeight="true" outlineLevel="0" collapsed="false">
      <c r="A5858" s="11" t="str">
        <f aca="false">IF(원본명단!$A5857="","",5855)</f>
        <v/>
      </c>
      <c r="B5858" s="12" t="str">
        <f aca="false">IF($A5858="","",원본명단!$A5857)</f>
        <v/>
      </c>
      <c r="C5858" s="12" t="str">
        <f aca="false">IF($A5858="","",원본명단!$B5857)</f>
        <v/>
      </c>
      <c r="D5858" s="12" t="str">
        <f aca="false">IF($A5858="","",원본명단!$D5857)</f>
        <v/>
      </c>
      <c r="E5858" s="11" t="str">
        <f aca="false">IF($A5858="","",IF(원본명단!$H5857="",0,COUNTIF(원본명단!$H$3:$H$6002,원본명단!$H5857)))</f>
        <v/>
      </c>
      <c r="F5858" s="11" t="str">
        <f aca="false">IF($A5858="","",IF(원본명단!$I5857="",0,COUNTIF(원본명단!$I$3:$I$6002,원본명단!$I5857)))</f>
        <v/>
      </c>
      <c r="G5858" s="11" t="str">
        <f aca="false">IF($A5858="","",IF(원본명단!$K5857="",0,COUNTIF(원본명단!$K$3:$K$6002,원본명단!$K5857)))</f>
        <v/>
      </c>
      <c r="H5858" s="11" t="str">
        <f aca="false">IF($A5858="","",IF(MAX($E5858,$F5858,$G5858)&gt;1,"중복","-"))</f>
        <v/>
      </c>
      <c r="I5858" s="11" t="str">
        <f aca="false">IF($A5858="","",IF($H5858="-","-",IF(AND(IF(원본명단!$H5857="",TRUE(),COUNTIF(원본명단!$H$3:$H5857,원본명단!$H5857)=1),IF(원본명단!$I5857="",TRUE(),COUNTIF(원본명단!$I$3:$I5857,원본명단!$I5857)=1),IF(원본명단!$K5857="",TRUE(),COUNTIF(원본명단!$K$3:$K5857,원본명단!$K5857)=1)),"첫 건","중복 건")))</f>
        <v/>
      </c>
      <c r="J5858" s="11" t="str">
        <f aca="false">IF($A5858="","",IF($H5858="-","유지",IF($I5858="첫 건","유지","확인 필요")))</f>
        <v/>
      </c>
    </row>
    <row r="5859" customFormat="false" ht="15" hidden="false" customHeight="true" outlineLevel="0" collapsed="false">
      <c r="A5859" s="11" t="str">
        <f aca="false">IF(원본명단!$A5858="","",5856)</f>
        <v/>
      </c>
      <c r="B5859" s="12" t="str">
        <f aca="false">IF($A5859="","",원본명단!$A5858)</f>
        <v/>
      </c>
      <c r="C5859" s="12" t="str">
        <f aca="false">IF($A5859="","",원본명단!$B5858)</f>
        <v/>
      </c>
      <c r="D5859" s="12" t="str">
        <f aca="false">IF($A5859="","",원본명단!$D5858)</f>
        <v/>
      </c>
      <c r="E5859" s="11" t="str">
        <f aca="false">IF($A5859="","",IF(원본명단!$H5858="",0,COUNTIF(원본명단!$H$3:$H$6002,원본명단!$H5858)))</f>
        <v/>
      </c>
      <c r="F5859" s="11" t="str">
        <f aca="false">IF($A5859="","",IF(원본명단!$I5858="",0,COUNTIF(원본명단!$I$3:$I$6002,원본명단!$I5858)))</f>
        <v/>
      </c>
      <c r="G5859" s="11" t="str">
        <f aca="false">IF($A5859="","",IF(원본명단!$K5858="",0,COUNTIF(원본명단!$K$3:$K$6002,원본명단!$K5858)))</f>
        <v/>
      </c>
      <c r="H5859" s="11" t="str">
        <f aca="false">IF($A5859="","",IF(MAX($E5859,$F5859,$G5859)&gt;1,"중복","-"))</f>
        <v/>
      </c>
      <c r="I5859" s="11" t="str">
        <f aca="false">IF($A5859="","",IF($H5859="-","-",IF(AND(IF(원본명단!$H5858="",TRUE(),COUNTIF(원본명단!$H$3:$H5858,원본명단!$H5858)=1),IF(원본명단!$I5858="",TRUE(),COUNTIF(원본명단!$I$3:$I5858,원본명단!$I5858)=1),IF(원본명단!$K5858="",TRUE(),COUNTIF(원본명단!$K$3:$K5858,원본명단!$K5858)=1)),"첫 건","중복 건")))</f>
        <v/>
      </c>
      <c r="J5859" s="11" t="str">
        <f aca="false">IF($A5859="","",IF($H5859="-","유지",IF($I5859="첫 건","유지","확인 필요")))</f>
        <v/>
      </c>
    </row>
    <row r="5860" customFormat="false" ht="15" hidden="false" customHeight="true" outlineLevel="0" collapsed="false">
      <c r="A5860" s="11" t="str">
        <f aca="false">IF(원본명단!$A5859="","",5857)</f>
        <v/>
      </c>
      <c r="B5860" s="12" t="str">
        <f aca="false">IF($A5860="","",원본명단!$A5859)</f>
        <v/>
      </c>
      <c r="C5860" s="12" t="str">
        <f aca="false">IF($A5860="","",원본명단!$B5859)</f>
        <v/>
      </c>
      <c r="D5860" s="12" t="str">
        <f aca="false">IF($A5860="","",원본명단!$D5859)</f>
        <v/>
      </c>
      <c r="E5860" s="11" t="str">
        <f aca="false">IF($A5860="","",IF(원본명단!$H5859="",0,COUNTIF(원본명단!$H$3:$H$6002,원본명단!$H5859)))</f>
        <v/>
      </c>
      <c r="F5860" s="11" t="str">
        <f aca="false">IF($A5860="","",IF(원본명단!$I5859="",0,COUNTIF(원본명단!$I$3:$I$6002,원본명단!$I5859)))</f>
        <v/>
      </c>
      <c r="G5860" s="11" t="str">
        <f aca="false">IF($A5860="","",IF(원본명단!$K5859="",0,COUNTIF(원본명단!$K$3:$K$6002,원본명단!$K5859)))</f>
        <v/>
      </c>
      <c r="H5860" s="11" t="str">
        <f aca="false">IF($A5860="","",IF(MAX($E5860,$F5860,$G5860)&gt;1,"중복","-"))</f>
        <v/>
      </c>
      <c r="I5860" s="11" t="str">
        <f aca="false">IF($A5860="","",IF($H5860="-","-",IF(AND(IF(원본명단!$H5859="",TRUE(),COUNTIF(원본명단!$H$3:$H5859,원본명단!$H5859)=1),IF(원본명단!$I5859="",TRUE(),COUNTIF(원본명단!$I$3:$I5859,원본명단!$I5859)=1),IF(원본명단!$K5859="",TRUE(),COUNTIF(원본명단!$K$3:$K5859,원본명단!$K5859)=1)),"첫 건","중복 건")))</f>
        <v/>
      </c>
      <c r="J5860" s="11" t="str">
        <f aca="false">IF($A5860="","",IF($H5860="-","유지",IF($I5860="첫 건","유지","확인 필요")))</f>
        <v/>
      </c>
    </row>
    <row r="5861" customFormat="false" ht="15" hidden="false" customHeight="true" outlineLevel="0" collapsed="false">
      <c r="A5861" s="11" t="str">
        <f aca="false">IF(원본명단!$A5860="","",5858)</f>
        <v/>
      </c>
      <c r="B5861" s="12" t="str">
        <f aca="false">IF($A5861="","",원본명단!$A5860)</f>
        <v/>
      </c>
      <c r="C5861" s="12" t="str">
        <f aca="false">IF($A5861="","",원본명단!$B5860)</f>
        <v/>
      </c>
      <c r="D5861" s="12" t="str">
        <f aca="false">IF($A5861="","",원본명단!$D5860)</f>
        <v/>
      </c>
      <c r="E5861" s="11" t="str">
        <f aca="false">IF($A5861="","",IF(원본명단!$H5860="",0,COUNTIF(원본명단!$H$3:$H$6002,원본명단!$H5860)))</f>
        <v/>
      </c>
      <c r="F5861" s="11" t="str">
        <f aca="false">IF($A5861="","",IF(원본명단!$I5860="",0,COUNTIF(원본명단!$I$3:$I$6002,원본명단!$I5860)))</f>
        <v/>
      </c>
      <c r="G5861" s="11" t="str">
        <f aca="false">IF($A5861="","",IF(원본명단!$K5860="",0,COUNTIF(원본명단!$K$3:$K$6002,원본명단!$K5860)))</f>
        <v/>
      </c>
      <c r="H5861" s="11" t="str">
        <f aca="false">IF($A5861="","",IF(MAX($E5861,$F5861,$G5861)&gt;1,"중복","-"))</f>
        <v/>
      </c>
      <c r="I5861" s="11" t="str">
        <f aca="false">IF($A5861="","",IF($H5861="-","-",IF(AND(IF(원본명단!$H5860="",TRUE(),COUNTIF(원본명단!$H$3:$H5860,원본명단!$H5860)=1),IF(원본명단!$I5860="",TRUE(),COUNTIF(원본명단!$I$3:$I5860,원본명단!$I5860)=1),IF(원본명단!$K5860="",TRUE(),COUNTIF(원본명단!$K$3:$K5860,원본명단!$K5860)=1)),"첫 건","중복 건")))</f>
        <v/>
      </c>
      <c r="J5861" s="11" t="str">
        <f aca="false">IF($A5861="","",IF($H5861="-","유지",IF($I5861="첫 건","유지","확인 필요")))</f>
        <v/>
      </c>
    </row>
    <row r="5862" customFormat="false" ht="15" hidden="false" customHeight="true" outlineLevel="0" collapsed="false">
      <c r="A5862" s="11" t="str">
        <f aca="false">IF(원본명단!$A5861="","",5859)</f>
        <v/>
      </c>
      <c r="B5862" s="12" t="str">
        <f aca="false">IF($A5862="","",원본명단!$A5861)</f>
        <v/>
      </c>
      <c r="C5862" s="12" t="str">
        <f aca="false">IF($A5862="","",원본명단!$B5861)</f>
        <v/>
      </c>
      <c r="D5862" s="12" t="str">
        <f aca="false">IF($A5862="","",원본명단!$D5861)</f>
        <v/>
      </c>
      <c r="E5862" s="11" t="str">
        <f aca="false">IF($A5862="","",IF(원본명단!$H5861="",0,COUNTIF(원본명단!$H$3:$H$6002,원본명단!$H5861)))</f>
        <v/>
      </c>
      <c r="F5862" s="11" t="str">
        <f aca="false">IF($A5862="","",IF(원본명단!$I5861="",0,COUNTIF(원본명단!$I$3:$I$6002,원본명단!$I5861)))</f>
        <v/>
      </c>
      <c r="G5862" s="11" t="str">
        <f aca="false">IF($A5862="","",IF(원본명단!$K5861="",0,COUNTIF(원본명단!$K$3:$K$6002,원본명단!$K5861)))</f>
        <v/>
      </c>
      <c r="H5862" s="11" t="str">
        <f aca="false">IF($A5862="","",IF(MAX($E5862,$F5862,$G5862)&gt;1,"중복","-"))</f>
        <v/>
      </c>
      <c r="I5862" s="11" t="str">
        <f aca="false">IF($A5862="","",IF($H5862="-","-",IF(AND(IF(원본명단!$H5861="",TRUE(),COUNTIF(원본명단!$H$3:$H5861,원본명단!$H5861)=1),IF(원본명단!$I5861="",TRUE(),COUNTIF(원본명단!$I$3:$I5861,원본명단!$I5861)=1),IF(원본명단!$K5861="",TRUE(),COUNTIF(원본명단!$K$3:$K5861,원본명단!$K5861)=1)),"첫 건","중복 건")))</f>
        <v/>
      </c>
      <c r="J5862" s="11" t="str">
        <f aca="false">IF($A5862="","",IF($H5862="-","유지",IF($I5862="첫 건","유지","확인 필요")))</f>
        <v/>
      </c>
    </row>
    <row r="5863" customFormat="false" ht="15" hidden="false" customHeight="true" outlineLevel="0" collapsed="false">
      <c r="A5863" s="11" t="str">
        <f aca="false">IF(원본명단!$A5862="","",5860)</f>
        <v/>
      </c>
      <c r="B5863" s="12" t="str">
        <f aca="false">IF($A5863="","",원본명단!$A5862)</f>
        <v/>
      </c>
      <c r="C5863" s="12" t="str">
        <f aca="false">IF($A5863="","",원본명단!$B5862)</f>
        <v/>
      </c>
      <c r="D5863" s="12" t="str">
        <f aca="false">IF($A5863="","",원본명단!$D5862)</f>
        <v/>
      </c>
      <c r="E5863" s="11" t="str">
        <f aca="false">IF($A5863="","",IF(원본명단!$H5862="",0,COUNTIF(원본명단!$H$3:$H$6002,원본명단!$H5862)))</f>
        <v/>
      </c>
      <c r="F5863" s="11" t="str">
        <f aca="false">IF($A5863="","",IF(원본명단!$I5862="",0,COUNTIF(원본명단!$I$3:$I$6002,원본명단!$I5862)))</f>
        <v/>
      </c>
      <c r="G5863" s="11" t="str">
        <f aca="false">IF($A5863="","",IF(원본명단!$K5862="",0,COUNTIF(원본명단!$K$3:$K$6002,원본명단!$K5862)))</f>
        <v/>
      </c>
      <c r="H5863" s="11" t="str">
        <f aca="false">IF($A5863="","",IF(MAX($E5863,$F5863,$G5863)&gt;1,"중복","-"))</f>
        <v/>
      </c>
      <c r="I5863" s="11" t="str">
        <f aca="false">IF($A5863="","",IF($H5863="-","-",IF(AND(IF(원본명단!$H5862="",TRUE(),COUNTIF(원본명단!$H$3:$H5862,원본명단!$H5862)=1),IF(원본명단!$I5862="",TRUE(),COUNTIF(원본명단!$I$3:$I5862,원본명단!$I5862)=1),IF(원본명단!$K5862="",TRUE(),COUNTIF(원본명단!$K$3:$K5862,원본명단!$K5862)=1)),"첫 건","중복 건")))</f>
        <v/>
      </c>
      <c r="J5863" s="11" t="str">
        <f aca="false">IF($A5863="","",IF($H5863="-","유지",IF($I5863="첫 건","유지","확인 필요")))</f>
        <v/>
      </c>
    </row>
    <row r="5864" customFormat="false" ht="15" hidden="false" customHeight="true" outlineLevel="0" collapsed="false">
      <c r="A5864" s="11" t="str">
        <f aca="false">IF(원본명단!$A5863="","",5861)</f>
        <v/>
      </c>
      <c r="B5864" s="12" t="str">
        <f aca="false">IF($A5864="","",원본명단!$A5863)</f>
        <v/>
      </c>
      <c r="C5864" s="12" t="str">
        <f aca="false">IF($A5864="","",원본명단!$B5863)</f>
        <v/>
      </c>
      <c r="D5864" s="12" t="str">
        <f aca="false">IF($A5864="","",원본명단!$D5863)</f>
        <v/>
      </c>
      <c r="E5864" s="11" t="str">
        <f aca="false">IF($A5864="","",IF(원본명단!$H5863="",0,COUNTIF(원본명단!$H$3:$H$6002,원본명단!$H5863)))</f>
        <v/>
      </c>
      <c r="F5864" s="11" t="str">
        <f aca="false">IF($A5864="","",IF(원본명단!$I5863="",0,COUNTIF(원본명단!$I$3:$I$6002,원본명단!$I5863)))</f>
        <v/>
      </c>
      <c r="G5864" s="11" t="str">
        <f aca="false">IF($A5864="","",IF(원본명단!$K5863="",0,COUNTIF(원본명단!$K$3:$K$6002,원본명단!$K5863)))</f>
        <v/>
      </c>
      <c r="H5864" s="11" t="str">
        <f aca="false">IF($A5864="","",IF(MAX($E5864,$F5864,$G5864)&gt;1,"중복","-"))</f>
        <v/>
      </c>
      <c r="I5864" s="11" t="str">
        <f aca="false">IF($A5864="","",IF($H5864="-","-",IF(AND(IF(원본명단!$H5863="",TRUE(),COUNTIF(원본명단!$H$3:$H5863,원본명단!$H5863)=1),IF(원본명단!$I5863="",TRUE(),COUNTIF(원본명단!$I$3:$I5863,원본명단!$I5863)=1),IF(원본명단!$K5863="",TRUE(),COUNTIF(원본명단!$K$3:$K5863,원본명단!$K5863)=1)),"첫 건","중복 건")))</f>
        <v/>
      </c>
      <c r="J5864" s="11" t="str">
        <f aca="false">IF($A5864="","",IF($H5864="-","유지",IF($I5864="첫 건","유지","확인 필요")))</f>
        <v/>
      </c>
    </row>
    <row r="5865" customFormat="false" ht="15" hidden="false" customHeight="true" outlineLevel="0" collapsed="false">
      <c r="A5865" s="11" t="str">
        <f aca="false">IF(원본명단!$A5864="","",5862)</f>
        <v/>
      </c>
      <c r="B5865" s="12" t="str">
        <f aca="false">IF($A5865="","",원본명단!$A5864)</f>
        <v/>
      </c>
      <c r="C5865" s="12" t="str">
        <f aca="false">IF($A5865="","",원본명단!$B5864)</f>
        <v/>
      </c>
      <c r="D5865" s="12" t="str">
        <f aca="false">IF($A5865="","",원본명단!$D5864)</f>
        <v/>
      </c>
      <c r="E5865" s="11" t="str">
        <f aca="false">IF($A5865="","",IF(원본명단!$H5864="",0,COUNTIF(원본명단!$H$3:$H$6002,원본명단!$H5864)))</f>
        <v/>
      </c>
      <c r="F5865" s="11" t="str">
        <f aca="false">IF($A5865="","",IF(원본명단!$I5864="",0,COUNTIF(원본명단!$I$3:$I$6002,원본명단!$I5864)))</f>
        <v/>
      </c>
      <c r="G5865" s="11" t="str">
        <f aca="false">IF($A5865="","",IF(원본명단!$K5864="",0,COUNTIF(원본명단!$K$3:$K$6002,원본명단!$K5864)))</f>
        <v/>
      </c>
      <c r="H5865" s="11" t="str">
        <f aca="false">IF($A5865="","",IF(MAX($E5865,$F5865,$G5865)&gt;1,"중복","-"))</f>
        <v/>
      </c>
      <c r="I5865" s="11" t="str">
        <f aca="false">IF($A5865="","",IF($H5865="-","-",IF(AND(IF(원본명단!$H5864="",TRUE(),COUNTIF(원본명단!$H$3:$H5864,원본명단!$H5864)=1),IF(원본명단!$I5864="",TRUE(),COUNTIF(원본명단!$I$3:$I5864,원본명단!$I5864)=1),IF(원본명단!$K5864="",TRUE(),COUNTIF(원본명단!$K$3:$K5864,원본명단!$K5864)=1)),"첫 건","중복 건")))</f>
        <v/>
      </c>
      <c r="J5865" s="11" t="str">
        <f aca="false">IF($A5865="","",IF($H5865="-","유지",IF($I5865="첫 건","유지","확인 필요")))</f>
        <v/>
      </c>
    </row>
    <row r="5866" customFormat="false" ht="15" hidden="false" customHeight="true" outlineLevel="0" collapsed="false">
      <c r="A5866" s="11" t="str">
        <f aca="false">IF(원본명단!$A5865="","",5863)</f>
        <v/>
      </c>
      <c r="B5866" s="12" t="str">
        <f aca="false">IF($A5866="","",원본명단!$A5865)</f>
        <v/>
      </c>
      <c r="C5866" s="12" t="str">
        <f aca="false">IF($A5866="","",원본명단!$B5865)</f>
        <v/>
      </c>
      <c r="D5866" s="12" t="str">
        <f aca="false">IF($A5866="","",원본명단!$D5865)</f>
        <v/>
      </c>
      <c r="E5866" s="11" t="str">
        <f aca="false">IF($A5866="","",IF(원본명단!$H5865="",0,COUNTIF(원본명단!$H$3:$H$6002,원본명단!$H5865)))</f>
        <v/>
      </c>
      <c r="F5866" s="11" t="str">
        <f aca="false">IF($A5866="","",IF(원본명단!$I5865="",0,COUNTIF(원본명단!$I$3:$I$6002,원본명단!$I5865)))</f>
        <v/>
      </c>
      <c r="G5866" s="11" t="str">
        <f aca="false">IF($A5866="","",IF(원본명단!$K5865="",0,COUNTIF(원본명단!$K$3:$K$6002,원본명단!$K5865)))</f>
        <v/>
      </c>
      <c r="H5866" s="11" t="str">
        <f aca="false">IF($A5866="","",IF(MAX($E5866,$F5866,$G5866)&gt;1,"중복","-"))</f>
        <v/>
      </c>
      <c r="I5866" s="11" t="str">
        <f aca="false">IF($A5866="","",IF($H5866="-","-",IF(AND(IF(원본명단!$H5865="",TRUE(),COUNTIF(원본명단!$H$3:$H5865,원본명단!$H5865)=1),IF(원본명단!$I5865="",TRUE(),COUNTIF(원본명단!$I$3:$I5865,원본명단!$I5865)=1),IF(원본명단!$K5865="",TRUE(),COUNTIF(원본명단!$K$3:$K5865,원본명단!$K5865)=1)),"첫 건","중복 건")))</f>
        <v/>
      </c>
      <c r="J5866" s="11" t="str">
        <f aca="false">IF($A5866="","",IF($H5866="-","유지",IF($I5866="첫 건","유지","확인 필요")))</f>
        <v/>
      </c>
    </row>
    <row r="5867" customFormat="false" ht="15" hidden="false" customHeight="true" outlineLevel="0" collapsed="false">
      <c r="A5867" s="11" t="str">
        <f aca="false">IF(원본명단!$A5866="","",5864)</f>
        <v/>
      </c>
      <c r="B5867" s="12" t="str">
        <f aca="false">IF($A5867="","",원본명단!$A5866)</f>
        <v/>
      </c>
      <c r="C5867" s="12" t="str">
        <f aca="false">IF($A5867="","",원본명단!$B5866)</f>
        <v/>
      </c>
      <c r="D5867" s="12" t="str">
        <f aca="false">IF($A5867="","",원본명단!$D5866)</f>
        <v/>
      </c>
      <c r="E5867" s="11" t="str">
        <f aca="false">IF($A5867="","",IF(원본명단!$H5866="",0,COUNTIF(원본명단!$H$3:$H$6002,원본명단!$H5866)))</f>
        <v/>
      </c>
      <c r="F5867" s="11" t="str">
        <f aca="false">IF($A5867="","",IF(원본명단!$I5866="",0,COUNTIF(원본명단!$I$3:$I$6002,원본명단!$I5866)))</f>
        <v/>
      </c>
      <c r="G5867" s="11" t="str">
        <f aca="false">IF($A5867="","",IF(원본명단!$K5866="",0,COUNTIF(원본명단!$K$3:$K$6002,원본명단!$K5866)))</f>
        <v/>
      </c>
      <c r="H5867" s="11" t="str">
        <f aca="false">IF($A5867="","",IF(MAX($E5867,$F5867,$G5867)&gt;1,"중복","-"))</f>
        <v/>
      </c>
      <c r="I5867" s="11" t="str">
        <f aca="false">IF($A5867="","",IF($H5867="-","-",IF(AND(IF(원본명단!$H5866="",TRUE(),COUNTIF(원본명단!$H$3:$H5866,원본명단!$H5866)=1),IF(원본명단!$I5866="",TRUE(),COUNTIF(원본명단!$I$3:$I5866,원본명단!$I5866)=1),IF(원본명단!$K5866="",TRUE(),COUNTIF(원본명단!$K$3:$K5866,원본명단!$K5866)=1)),"첫 건","중복 건")))</f>
        <v/>
      </c>
      <c r="J5867" s="11" t="str">
        <f aca="false">IF($A5867="","",IF($H5867="-","유지",IF($I5867="첫 건","유지","확인 필요")))</f>
        <v/>
      </c>
    </row>
    <row r="5868" customFormat="false" ht="15" hidden="false" customHeight="true" outlineLevel="0" collapsed="false">
      <c r="A5868" s="11" t="str">
        <f aca="false">IF(원본명단!$A5867="","",5865)</f>
        <v/>
      </c>
      <c r="B5868" s="12" t="str">
        <f aca="false">IF($A5868="","",원본명단!$A5867)</f>
        <v/>
      </c>
      <c r="C5868" s="12" t="str">
        <f aca="false">IF($A5868="","",원본명단!$B5867)</f>
        <v/>
      </c>
      <c r="D5868" s="12" t="str">
        <f aca="false">IF($A5868="","",원본명단!$D5867)</f>
        <v/>
      </c>
      <c r="E5868" s="11" t="str">
        <f aca="false">IF($A5868="","",IF(원본명단!$H5867="",0,COUNTIF(원본명단!$H$3:$H$6002,원본명단!$H5867)))</f>
        <v/>
      </c>
      <c r="F5868" s="11" t="str">
        <f aca="false">IF($A5868="","",IF(원본명단!$I5867="",0,COUNTIF(원본명단!$I$3:$I$6002,원본명단!$I5867)))</f>
        <v/>
      </c>
      <c r="G5868" s="11" t="str">
        <f aca="false">IF($A5868="","",IF(원본명단!$K5867="",0,COUNTIF(원본명단!$K$3:$K$6002,원본명단!$K5867)))</f>
        <v/>
      </c>
      <c r="H5868" s="11" t="str">
        <f aca="false">IF($A5868="","",IF(MAX($E5868,$F5868,$G5868)&gt;1,"중복","-"))</f>
        <v/>
      </c>
      <c r="I5868" s="11" t="str">
        <f aca="false">IF($A5868="","",IF($H5868="-","-",IF(AND(IF(원본명단!$H5867="",TRUE(),COUNTIF(원본명단!$H$3:$H5867,원본명단!$H5867)=1),IF(원본명단!$I5867="",TRUE(),COUNTIF(원본명단!$I$3:$I5867,원본명단!$I5867)=1),IF(원본명단!$K5867="",TRUE(),COUNTIF(원본명단!$K$3:$K5867,원본명단!$K5867)=1)),"첫 건","중복 건")))</f>
        <v/>
      </c>
      <c r="J5868" s="11" t="str">
        <f aca="false">IF($A5868="","",IF($H5868="-","유지",IF($I5868="첫 건","유지","확인 필요")))</f>
        <v/>
      </c>
    </row>
    <row r="5869" customFormat="false" ht="15" hidden="false" customHeight="true" outlineLevel="0" collapsed="false">
      <c r="A5869" s="11" t="str">
        <f aca="false">IF(원본명단!$A5868="","",5866)</f>
        <v/>
      </c>
      <c r="B5869" s="12" t="str">
        <f aca="false">IF($A5869="","",원본명단!$A5868)</f>
        <v/>
      </c>
      <c r="C5869" s="12" t="str">
        <f aca="false">IF($A5869="","",원본명단!$B5868)</f>
        <v/>
      </c>
      <c r="D5869" s="12" t="str">
        <f aca="false">IF($A5869="","",원본명단!$D5868)</f>
        <v/>
      </c>
      <c r="E5869" s="11" t="str">
        <f aca="false">IF($A5869="","",IF(원본명단!$H5868="",0,COUNTIF(원본명단!$H$3:$H$6002,원본명단!$H5868)))</f>
        <v/>
      </c>
      <c r="F5869" s="11" t="str">
        <f aca="false">IF($A5869="","",IF(원본명단!$I5868="",0,COUNTIF(원본명단!$I$3:$I$6002,원본명단!$I5868)))</f>
        <v/>
      </c>
      <c r="G5869" s="11" t="str">
        <f aca="false">IF($A5869="","",IF(원본명단!$K5868="",0,COUNTIF(원본명단!$K$3:$K$6002,원본명단!$K5868)))</f>
        <v/>
      </c>
      <c r="H5869" s="11" t="str">
        <f aca="false">IF($A5869="","",IF(MAX($E5869,$F5869,$G5869)&gt;1,"중복","-"))</f>
        <v/>
      </c>
      <c r="I5869" s="11" t="str">
        <f aca="false">IF($A5869="","",IF($H5869="-","-",IF(AND(IF(원본명단!$H5868="",TRUE(),COUNTIF(원본명단!$H$3:$H5868,원본명단!$H5868)=1),IF(원본명단!$I5868="",TRUE(),COUNTIF(원본명단!$I$3:$I5868,원본명단!$I5868)=1),IF(원본명단!$K5868="",TRUE(),COUNTIF(원본명단!$K$3:$K5868,원본명단!$K5868)=1)),"첫 건","중복 건")))</f>
        <v/>
      </c>
      <c r="J5869" s="11" t="str">
        <f aca="false">IF($A5869="","",IF($H5869="-","유지",IF($I5869="첫 건","유지","확인 필요")))</f>
        <v/>
      </c>
    </row>
    <row r="5870" customFormat="false" ht="15" hidden="false" customHeight="true" outlineLevel="0" collapsed="false">
      <c r="A5870" s="11" t="str">
        <f aca="false">IF(원본명단!$A5869="","",5867)</f>
        <v/>
      </c>
      <c r="B5870" s="12" t="str">
        <f aca="false">IF($A5870="","",원본명단!$A5869)</f>
        <v/>
      </c>
      <c r="C5870" s="12" t="str">
        <f aca="false">IF($A5870="","",원본명단!$B5869)</f>
        <v/>
      </c>
      <c r="D5870" s="12" t="str">
        <f aca="false">IF($A5870="","",원본명단!$D5869)</f>
        <v/>
      </c>
      <c r="E5870" s="11" t="str">
        <f aca="false">IF($A5870="","",IF(원본명단!$H5869="",0,COUNTIF(원본명단!$H$3:$H$6002,원본명단!$H5869)))</f>
        <v/>
      </c>
      <c r="F5870" s="11" t="str">
        <f aca="false">IF($A5870="","",IF(원본명단!$I5869="",0,COUNTIF(원본명단!$I$3:$I$6002,원본명단!$I5869)))</f>
        <v/>
      </c>
      <c r="G5870" s="11" t="str">
        <f aca="false">IF($A5870="","",IF(원본명단!$K5869="",0,COUNTIF(원본명단!$K$3:$K$6002,원본명단!$K5869)))</f>
        <v/>
      </c>
      <c r="H5870" s="11" t="str">
        <f aca="false">IF($A5870="","",IF(MAX($E5870,$F5870,$G5870)&gt;1,"중복","-"))</f>
        <v/>
      </c>
      <c r="I5870" s="11" t="str">
        <f aca="false">IF($A5870="","",IF($H5870="-","-",IF(AND(IF(원본명단!$H5869="",TRUE(),COUNTIF(원본명단!$H$3:$H5869,원본명단!$H5869)=1),IF(원본명단!$I5869="",TRUE(),COUNTIF(원본명단!$I$3:$I5869,원본명단!$I5869)=1),IF(원본명단!$K5869="",TRUE(),COUNTIF(원본명단!$K$3:$K5869,원본명단!$K5869)=1)),"첫 건","중복 건")))</f>
        <v/>
      </c>
      <c r="J5870" s="11" t="str">
        <f aca="false">IF($A5870="","",IF($H5870="-","유지",IF($I5870="첫 건","유지","확인 필요")))</f>
        <v/>
      </c>
    </row>
    <row r="5871" customFormat="false" ht="15" hidden="false" customHeight="true" outlineLevel="0" collapsed="false">
      <c r="A5871" s="11" t="str">
        <f aca="false">IF(원본명단!$A5870="","",5868)</f>
        <v/>
      </c>
      <c r="B5871" s="12" t="str">
        <f aca="false">IF($A5871="","",원본명단!$A5870)</f>
        <v/>
      </c>
      <c r="C5871" s="12" t="str">
        <f aca="false">IF($A5871="","",원본명단!$B5870)</f>
        <v/>
      </c>
      <c r="D5871" s="12" t="str">
        <f aca="false">IF($A5871="","",원본명단!$D5870)</f>
        <v/>
      </c>
      <c r="E5871" s="11" t="str">
        <f aca="false">IF($A5871="","",IF(원본명단!$H5870="",0,COUNTIF(원본명단!$H$3:$H$6002,원본명단!$H5870)))</f>
        <v/>
      </c>
      <c r="F5871" s="11" t="str">
        <f aca="false">IF($A5871="","",IF(원본명단!$I5870="",0,COUNTIF(원본명단!$I$3:$I$6002,원본명단!$I5870)))</f>
        <v/>
      </c>
      <c r="G5871" s="11" t="str">
        <f aca="false">IF($A5871="","",IF(원본명단!$K5870="",0,COUNTIF(원본명단!$K$3:$K$6002,원본명단!$K5870)))</f>
        <v/>
      </c>
      <c r="H5871" s="11" t="str">
        <f aca="false">IF($A5871="","",IF(MAX($E5871,$F5871,$G5871)&gt;1,"중복","-"))</f>
        <v/>
      </c>
      <c r="I5871" s="11" t="str">
        <f aca="false">IF($A5871="","",IF($H5871="-","-",IF(AND(IF(원본명단!$H5870="",TRUE(),COUNTIF(원본명단!$H$3:$H5870,원본명단!$H5870)=1),IF(원본명단!$I5870="",TRUE(),COUNTIF(원본명단!$I$3:$I5870,원본명단!$I5870)=1),IF(원본명단!$K5870="",TRUE(),COUNTIF(원본명단!$K$3:$K5870,원본명단!$K5870)=1)),"첫 건","중복 건")))</f>
        <v/>
      </c>
      <c r="J5871" s="11" t="str">
        <f aca="false">IF($A5871="","",IF($H5871="-","유지",IF($I5871="첫 건","유지","확인 필요")))</f>
        <v/>
      </c>
    </row>
    <row r="5872" customFormat="false" ht="15" hidden="false" customHeight="true" outlineLevel="0" collapsed="false">
      <c r="A5872" s="11" t="str">
        <f aca="false">IF(원본명단!$A5871="","",5869)</f>
        <v/>
      </c>
      <c r="B5872" s="12" t="str">
        <f aca="false">IF($A5872="","",원본명단!$A5871)</f>
        <v/>
      </c>
      <c r="C5872" s="12" t="str">
        <f aca="false">IF($A5872="","",원본명단!$B5871)</f>
        <v/>
      </c>
      <c r="D5872" s="12" t="str">
        <f aca="false">IF($A5872="","",원본명단!$D5871)</f>
        <v/>
      </c>
      <c r="E5872" s="11" t="str">
        <f aca="false">IF($A5872="","",IF(원본명단!$H5871="",0,COUNTIF(원본명단!$H$3:$H$6002,원본명단!$H5871)))</f>
        <v/>
      </c>
      <c r="F5872" s="11" t="str">
        <f aca="false">IF($A5872="","",IF(원본명단!$I5871="",0,COUNTIF(원본명단!$I$3:$I$6002,원본명단!$I5871)))</f>
        <v/>
      </c>
      <c r="G5872" s="11" t="str">
        <f aca="false">IF($A5872="","",IF(원본명단!$K5871="",0,COUNTIF(원본명단!$K$3:$K$6002,원본명단!$K5871)))</f>
        <v/>
      </c>
      <c r="H5872" s="11" t="str">
        <f aca="false">IF($A5872="","",IF(MAX($E5872,$F5872,$G5872)&gt;1,"중복","-"))</f>
        <v/>
      </c>
      <c r="I5872" s="11" t="str">
        <f aca="false">IF($A5872="","",IF($H5872="-","-",IF(AND(IF(원본명단!$H5871="",TRUE(),COUNTIF(원본명단!$H$3:$H5871,원본명단!$H5871)=1),IF(원본명단!$I5871="",TRUE(),COUNTIF(원본명단!$I$3:$I5871,원본명단!$I5871)=1),IF(원본명단!$K5871="",TRUE(),COUNTIF(원본명단!$K$3:$K5871,원본명단!$K5871)=1)),"첫 건","중복 건")))</f>
        <v/>
      </c>
      <c r="J5872" s="11" t="str">
        <f aca="false">IF($A5872="","",IF($H5872="-","유지",IF($I5872="첫 건","유지","확인 필요")))</f>
        <v/>
      </c>
    </row>
    <row r="5873" customFormat="false" ht="15" hidden="false" customHeight="true" outlineLevel="0" collapsed="false">
      <c r="A5873" s="11" t="str">
        <f aca="false">IF(원본명단!$A5872="","",5870)</f>
        <v/>
      </c>
      <c r="B5873" s="12" t="str">
        <f aca="false">IF($A5873="","",원본명단!$A5872)</f>
        <v/>
      </c>
      <c r="C5873" s="12" t="str">
        <f aca="false">IF($A5873="","",원본명단!$B5872)</f>
        <v/>
      </c>
      <c r="D5873" s="12" t="str">
        <f aca="false">IF($A5873="","",원본명단!$D5872)</f>
        <v/>
      </c>
      <c r="E5873" s="11" t="str">
        <f aca="false">IF($A5873="","",IF(원본명단!$H5872="",0,COUNTIF(원본명단!$H$3:$H$6002,원본명단!$H5872)))</f>
        <v/>
      </c>
      <c r="F5873" s="11" t="str">
        <f aca="false">IF($A5873="","",IF(원본명단!$I5872="",0,COUNTIF(원본명단!$I$3:$I$6002,원본명단!$I5872)))</f>
        <v/>
      </c>
      <c r="G5873" s="11" t="str">
        <f aca="false">IF($A5873="","",IF(원본명단!$K5872="",0,COUNTIF(원본명단!$K$3:$K$6002,원본명단!$K5872)))</f>
        <v/>
      </c>
      <c r="H5873" s="11" t="str">
        <f aca="false">IF($A5873="","",IF(MAX($E5873,$F5873,$G5873)&gt;1,"중복","-"))</f>
        <v/>
      </c>
      <c r="I5873" s="11" t="str">
        <f aca="false">IF($A5873="","",IF($H5873="-","-",IF(AND(IF(원본명단!$H5872="",TRUE(),COUNTIF(원본명단!$H$3:$H5872,원본명단!$H5872)=1),IF(원본명단!$I5872="",TRUE(),COUNTIF(원본명단!$I$3:$I5872,원본명단!$I5872)=1),IF(원본명단!$K5872="",TRUE(),COUNTIF(원본명단!$K$3:$K5872,원본명단!$K5872)=1)),"첫 건","중복 건")))</f>
        <v/>
      </c>
      <c r="J5873" s="11" t="str">
        <f aca="false">IF($A5873="","",IF($H5873="-","유지",IF($I5873="첫 건","유지","확인 필요")))</f>
        <v/>
      </c>
    </row>
    <row r="5874" customFormat="false" ht="15" hidden="false" customHeight="true" outlineLevel="0" collapsed="false">
      <c r="A5874" s="11" t="str">
        <f aca="false">IF(원본명단!$A5873="","",5871)</f>
        <v/>
      </c>
      <c r="B5874" s="12" t="str">
        <f aca="false">IF($A5874="","",원본명단!$A5873)</f>
        <v/>
      </c>
      <c r="C5874" s="12" t="str">
        <f aca="false">IF($A5874="","",원본명단!$B5873)</f>
        <v/>
      </c>
      <c r="D5874" s="12" t="str">
        <f aca="false">IF($A5874="","",원본명단!$D5873)</f>
        <v/>
      </c>
      <c r="E5874" s="11" t="str">
        <f aca="false">IF($A5874="","",IF(원본명단!$H5873="",0,COUNTIF(원본명단!$H$3:$H$6002,원본명단!$H5873)))</f>
        <v/>
      </c>
      <c r="F5874" s="11" t="str">
        <f aca="false">IF($A5874="","",IF(원본명단!$I5873="",0,COUNTIF(원본명단!$I$3:$I$6002,원본명단!$I5873)))</f>
        <v/>
      </c>
      <c r="G5874" s="11" t="str">
        <f aca="false">IF($A5874="","",IF(원본명단!$K5873="",0,COUNTIF(원본명단!$K$3:$K$6002,원본명단!$K5873)))</f>
        <v/>
      </c>
      <c r="H5874" s="11" t="str">
        <f aca="false">IF($A5874="","",IF(MAX($E5874,$F5874,$G5874)&gt;1,"중복","-"))</f>
        <v/>
      </c>
      <c r="I5874" s="11" t="str">
        <f aca="false">IF($A5874="","",IF($H5874="-","-",IF(AND(IF(원본명단!$H5873="",TRUE(),COUNTIF(원본명단!$H$3:$H5873,원본명단!$H5873)=1),IF(원본명단!$I5873="",TRUE(),COUNTIF(원본명단!$I$3:$I5873,원본명단!$I5873)=1),IF(원본명단!$K5873="",TRUE(),COUNTIF(원본명단!$K$3:$K5873,원본명단!$K5873)=1)),"첫 건","중복 건")))</f>
        <v/>
      </c>
      <c r="J5874" s="11" t="str">
        <f aca="false">IF($A5874="","",IF($H5874="-","유지",IF($I5874="첫 건","유지","확인 필요")))</f>
        <v/>
      </c>
    </row>
    <row r="5875" customFormat="false" ht="15" hidden="false" customHeight="true" outlineLevel="0" collapsed="false">
      <c r="A5875" s="11" t="str">
        <f aca="false">IF(원본명단!$A5874="","",5872)</f>
        <v/>
      </c>
      <c r="B5875" s="12" t="str">
        <f aca="false">IF($A5875="","",원본명단!$A5874)</f>
        <v/>
      </c>
      <c r="C5875" s="12" t="str">
        <f aca="false">IF($A5875="","",원본명단!$B5874)</f>
        <v/>
      </c>
      <c r="D5875" s="12" t="str">
        <f aca="false">IF($A5875="","",원본명단!$D5874)</f>
        <v/>
      </c>
      <c r="E5875" s="11" t="str">
        <f aca="false">IF($A5875="","",IF(원본명단!$H5874="",0,COUNTIF(원본명단!$H$3:$H$6002,원본명단!$H5874)))</f>
        <v/>
      </c>
      <c r="F5875" s="11" t="str">
        <f aca="false">IF($A5875="","",IF(원본명단!$I5874="",0,COUNTIF(원본명단!$I$3:$I$6002,원본명단!$I5874)))</f>
        <v/>
      </c>
      <c r="G5875" s="11" t="str">
        <f aca="false">IF($A5875="","",IF(원본명단!$K5874="",0,COUNTIF(원본명단!$K$3:$K$6002,원본명단!$K5874)))</f>
        <v/>
      </c>
      <c r="H5875" s="11" t="str">
        <f aca="false">IF($A5875="","",IF(MAX($E5875,$F5875,$G5875)&gt;1,"중복","-"))</f>
        <v/>
      </c>
      <c r="I5875" s="11" t="str">
        <f aca="false">IF($A5875="","",IF($H5875="-","-",IF(AND(IF(원본명단!$H5874="",TRUE(),COUNTIF(원본명단!$H$3:$H5874,원본명단!$H5874)=1),IF(원본명단!$I5874="",TRUE(),COUNTIF(원본명단!$I$3:$I5874,원본명단!$I5874)=1),IF(원본명단!$K5874="",TRUE(),COUNTIF(원본명단!$K$3:$K5874,원본명단!$K5874)=1)),"첫 건","중복 건")))</f>
        <v/>
      </c>
      <c r="J5875" s="11" t="str">
        <f aca="false">IF($A5875="","",IF($H5875="-","유지",IF($I5875="첫 건","유지","확인 필요")))</f>
        <v/>
      </c>
    </row>
    <row r="5876" customFormat="false" ht="15" hidden="false" customHeight="true" outlineLevel="0" collapsed="false">
      <c r="A5876" s="11" t="str">
        <f aca="false">IF(원본명단!$A5875="","",5873)</f>
        <v/>
      </c>
      <c r="B5876" s="12" t="str">
        <f aca="false">IF($A5876="","",원본명단!$A5875)</f>
        <v/>
      </c>
      <c r="C5876" s="12" t="str">
        <f aca="false">IF($A5876="","",원본명단!$B5875)</f>
        <v/>
      </c>
      <c r="D5876" s="12" t="str">
        <f aca="false">IF($A5876="","",원본명단!$D5875)</f>
        <v/>
      </c>
      <c r="E5876" s="11" t="str">
        <f aca="false">IF($A5876="","",IF(원본명단!$H5875="",0,COUNTIF(원본명단!$H$3:$H$6002,원본명단!$H5875)))</f>
        <v/>
      </c>
      <c r="F5876" s="11" t="str">
        <f aca="false">IF($A5876="","",IF(원본명단!$I5875="",0,COUNTIF(원본명단!$I$3:$I$6002,원본명단!$I5875)))</f>
        <v/>
      </c>
      <c r="G5876" s="11" t="str">
        <f aca="false">IF($A5876="","",IF(원본명단!$K5875="",0,COUNTIF(원본명단!$K$3:$K$6002,원본명단!$K5875)))</f>
        <v/>
      </c>
      <c r="H5876" s="11" t="str">
        <f aca="false">IF($A5876="","",IF(MAX($E5876,$F5876,$G5876)&gt;1,"중복","-"))</f>
        <v/>
      </c>
      <c r="I5876" s="11" t="str">
        <f aca="false">IF($A5876="","",IF($H5876="-","-",IF(AND(IF(원본명단!$H5875="",TRUE(),COUNTIF(원본명단!$H$3:$H5875,원본명단!$H5875)=1),IF(원본명단!$I5875="",TRUE(),COUNTIF(원본명단!$I$3:$I5875,원본명단!$I5875)=1),IF(원본명단!$K5875="",TRUE(),COUNTIF(원본명단!$K$3:$K5875,원본명단!$K5875)=1)),"첫 건","중복 건")))</f>
        <v/>
      </c>
      <c r="J5876" s="11" t="str">
        <f aca="false">IF($A5876="","",IF($H5876="-","유지",IF($I5876="첫 건","유지","확인 필요")))</f>
        <v/>
      </c>
    </row>
    <row r="5877" customFormat="false" ht="15" hidden="false" customHeight="true" outlineLevel="0" collapsed="false">
      <c r="A5877" s="11" t="str">
        <f aca="false">IF(원본명단!$A5876="","",5874)</f>
        <v/>
      </c>
      <c r="B5877" s="12" t="str">
        <f aca="false">IF($A5877="","",원본명단!$A5876)</f>
        <v/>
      </c>
      <c r="C5877" s="12" t="str">
        <f aca="false">IF($A5877="","",원본명단!$B5876)</f>
        <v/>
      </c>
      <c r="D5877" s="12" t="str">
        <f aca="false">IF($A5877="","",원본명단!$D5876)</f>
        <v/>
      </c>
      <c r="E5877" s="11" t="str">
        <f aca="false">IF($A5877="","",IF(원본명단!$H5876="",0,COUNTIF(원본명단!$H$3:$H$6002,원본명단!$H5876)))</f>
        <v/>
      </c>
      <c r="F5877" s="11" t="str">
        <f aca="false">IF($A5877="","",IF(원본명단!$I5876="",0,COUNTIF(원본명단!$I$3:$I$6002,원본명단!$I5876)))</f>
        <v/>
      </c>
      <c r="G5877" s="11" t="str">
        <f aca="false">IF($A5877="","",IF(원본명단!$K5876="",0,COUNTIF(원본명단!$K$3:$K$6002,원본명단!$K5876)))</f>
        <v/>
      </c>
      <c r="H5877" s="11" t="str">
        <f aca="false">IF($A5877="","",IF(MAX($E5877,$F5877,$G5877)&gt;1,"중복","-"))</f>
        <v/>
      </c>
      <c r="I5877" s="11" t="str">
        <f aca="false">IF($A5877="","",IF($H5877="-","-",IF(AND(IF(원본명단!$H5876="",TRUE(),COUNTIF(원본명단!$H$3:$H5876,원본명단!$H5876)=1),IF(원본명단!$I5876="",TRUE(),COUNTIF(원본명단!$I$3:$I5876,원본명단!$I5876)=1),IF(원본명단!$K5876="",TRUE(),COUNTIF(원본명단!$K$3:$K5876,원본명단!$K5876)=1)),"첫 건","중복 건")))</f>
        <v/>
      </c>
      <c r="J5877" s="11" t="str">
        <f aca="false">IF($A5877="","",IF($H5877="-","유지",IF($I5877="첫 건","유지","확인 필요")))</f>
        <v/>
      </c>
    </row>
    <row r="5878" customFormat="false" ht="15" hidden="false" customHeight="true" outlineLevel="0" collapsed="false">
      <c r="A5878" s="11" t="str">
        <f aca="false">IF(원본명단!$A5877="","",5875)</f>
        <v/>
      </c>
      <c r="B5878" s="12" t="str">
        <f aca="false">IF($A5878="","",원본명단!$A5877)</f>
        <v/>
      </c>
      <c r="C5878" s="12" t="str">
        <f aca="false">IF($A5878="","",원본명단!$B5877)</f>
        <v/>
      </c>
      <c r="D5878" s="12" t="str">
        <f aca="false">IF($A5878="","",원본명단!$D5877)</f>
        <v/>
      </c>
      <c r="E5878" s="11" t="str">
        <f aca="false">IF($A5878="","",IF(원본명단!$H5877="",0,COUNTIF(원본명단!$H$3:$H$6002,원본명단!$H5877)))</f>
        <v/>
      </c>
      <c r="F5878" s="11" t="str">
        <f aca="false">IF($A5878="","",IF(원본명단!$I5877="",0,COUNTIF(원본명단!$I$3:$I$6002,원본명단!$I5877)))</f>
        <v/>
      </c>
      <c r="G5878" s="11" t="str">
        <f aca="false">IF($A5878="","",IF(원본명단!$K5877="",0,COUNTIF(원본명단!$K$3:$K$6002,원본명단!$K5877)))</f>
        <v/>
      </c>
      <c r="H5878" s="11" t="str">
        <f aca="false">IF($A5878="","",IF(MAX($E5878,$F5878,$G5878)&gt;1,"중복","-"))</f>
        <v/>
      </c>
      <c r="I5878" s="11" t="str">
        <f aca="false">IF($A5878="","",IF($H5878="-","-",IF(AND(IF(원본명단!$H5877="",TRUE(),COUNTIF(원본명단!$H$3:$H5877,원본명단!$H5877)=1),IF(원본명단!$I5877="",TRUE(),COUNTIF(원본명단!$I$3:$I5877,원본명단!$I5877)=1),IF(원본명단!$K5877="",TRUE(),COUNTIF(원본명단!$K$3:$K5877,원본명단!$K5877)=1)),"첫 건","중복 건")))</f>
        <v/>
      </c>
      <c r="J5878" s="11" t="str">
        <f aca="false">IF($A5878="","",IF($H5878="-","유지",IF($I5878="첫 건","유지","확인 필요")))</f>
        <v/>
      </c>
    </row>
    <row r="5879" customFormat="false" ht="15" hidden="false" customHeight="true" outlineLevel="0" collapsed="false">
      <c r="A5879" s="11" t="str">
        <f aca="false">IF(원본명단!$A5878="","",5876)</f>
        <v/>
      </c>
      <c r="B5879" s="12" t="str">
        <f aca="false">IF($A5879="","",원본명단!$A5878)</f>
        <v/>
      </c>
      <c r="C5879" s="12" t="str">
        <f aca="false">IF($A5879="","",원본명단!$B5878)</f>
        <v/>
      </c>
      <c r="D5879" s="12" t="str">
        <f aca="false">IF($A5879="","",원본명단!$D5878)</f>
        <v/>
      </c>
      <c r="E5879" s="11" t="str">
        <f aca="false">IF($A5879="","",IF(원본명단!$H5878="",0,COUNTIF(원본명단!$H$3:$H$6002,원본명단!$H5878)))</f>
        <v/>
      </c>
      <c r="F5879" s="11" t="str">
        <f aca="false">IF($A5879="","",IF(원본명단!$I5878="",0,COUNTIF(원본명단!$I$3:$I$6002,원본명단!$I5878)))</f>
        <v/>
      </c>
      <c r="G5879" s="11" t="str">
        <f aca="false">IF($A5879="","",IF(원본명단!$K5878="",0,COUNTIF(원본명단!$K$3:$K$6002,원본명단!$K5878)))</f>
        <v/>
      </c>
      <c r="H5879" s="11" t="str">
        <f aca="false">IF($A5879="","",IF(MAX($E5879,$F5879,$G5879)&gt;1,"중복","-"))</f>
        <v/>
      </c>
      <c r="I5879" s="11" t="str">
        <f aca="false">IF($A5879="","",IF($H5879="-","-",IF(AND(IF(원본명단!$H5878="",TRUE(),COUNTIF(원본명단!$H$3:$H5878,원본명단!$H5878)=1),IF(원본명단!$I5878="",TRUE(),COUNTIF(원본명단!$I$3:$I5878,원본명단!$I5878)=1),IF(원본명단!$K5878="",TRUE(),COUNTIF(원본명단!$K$3:$K5878,원본명단!$K5878)=1)),"첫 건","중복 건")))</f>
        <v/>
      </c>
      <c r="J5879" s="11" t="str">
        <f aca="false">IF($A5879="","",IF($H5879="-","유지",IF($I5879="첫 건","유지","확인 필요")))</f>
        <v/>
      </c>
    </row>
    <row r="5880" customFormat="false" ht="15" hidden="false" customHeight="true" outlineLevel="0" collapsed="false">
      <c r="A5880" s="11" t="str">
        <f aca="false">IF(원본명단!$A5879="","",5877)</f>
        <v/>
      </c>
      <c r="B5880" s="12" t="str">
        <f aca="false">IF($A5880="","",원본명단!$A5879)</f>
        <v/>
      </c>
      <c r="C5880" s="12" t="str">
        <f aca="false">IF($A5880="","",원본명단!$B5879)</f>
        <v/>
      </c>
      <c r="D5880" s="12" t="str">
        <f aca="false">IF($A5880="","",원본명단!$D5879)</f>
        <v/>
      </c>
      <c r="E5880" s="11" t="str">
        <f aca="false">IF($A5880="","",IF(원본명단!$H5879="",0,COUNTIF(원본명단!$H$3:$H$6002,원본명단!$H5879)))</f>
        <v/>
      </c>
      <c r="F5880" s="11" t="str">
        <f aca="false">IF($A5880="","",IF(원본명단!$I5879="",0,COUNTIF(원본명단!$I$3:$I$6002,원본명단!$I5879)))</f>
        <v/>
      </c>
      <c r="G5880" s="11" t="str">
        <f aca="false">IF($A5880="","",IF(원본명단!$K5879="",0,COUNTIF(원본명단!$K$3:$K$6002,원본명단!$K5879)))</f>
        <v/>
      </c>
      <c r="H5880" s="11" t="str">
        <f aca="false">IF($A5880="","",IF(MAX($E5880,$F5880,$G5880)&gt;1,"중복","-"))</f>
        <v/>
      </c>
      <c r="I5880" s="11" t="str">
        <f aca="false">IF($A5880="","",IF($H5880="-","-",IF(AND(IF(원본명단!$H5879="",TRUE(),COUNTIF(원본명단!$H$3:$H5879,원본명단!$H5879)=1),IF(원본명단!$I5879="",TRUE(),COUNTIF(원본명단!$I$3:$I5879,원본명단!$I5879)=1),IF(원본명단!$K5879="",TRUE(),COUNTIF(원본명단!$K$3:$K5879,원본명단!$K5879)=1)),"첫 건","중복 건")))</f>
        <v/>
      </c>
      <c r="J5880" s="11" t="str">
        <f aca="false">IF($A5880="","",IF($H5880="-","유지",IF($I5880="첫 건","유지","확인 필요")))</f>
        <v/>
      </c>
    </row>
    <row r="5881" customFormat="false" ht="15" hidden="false" customHeight="true" outlineLevel="0" collapsed="false">
      <c r="A5881" s="11" t="str">
        <f aca="false">IF(원본명단!$A5880="","",5878)</f>
        <v/>
      </c>
      <c r="B5881" s="12" t="str">
        <f aca="false">IF($A5881="","",원본명단!$A5880)</f>
        <v/>
      </c>
      <c r="C5881" s="12" t="str">
        <f aca="false">IF($A5881="","",원본명단!$B5880)</f>
        <v/>
      </c>
      <c r="D5881" s="12" t="str">
        <f aca="false">IF($A5881="","",원본명단!$D5880)</f>
        <v/>
      </c>
      <c r="E5881" s="11" t="str">
        <f aca="false">IF($A5881="","",IF(원본명단!$H5880="",0,COUNTIF(원본명단!$H$3:$H$6002,원본명단!$H5880)))</f>
        <v/>
      </c>
      <c r="F5881" s="11" t="str">
        <f aca="false">IF($A5881="","",IF(원본명단!$I5880="",0,COUNTIF(원본명단!$I$3:$I$6002,원본명단!$I5880)))</f>
        <v/>
      </c>
      <c r="G5881" s="11" t="str">
        <f aca="false">IF($A5881="","",IF(원본명단!$K5880="",0,COUNTIF(원본명단!$K$3:$K$6002,원본명단!$K5880)))</f>
        <v/>
      </c>
      <c r="H5881" s="11" t="str">
        <f aca="false">IF($A5881="","",IF(MAX($E5881,$F5881,$G5881)&gt;1,"중복","-"))</f>
        <v/>
      </c>
      <c r="I5881" s="11" t="str">
        <f aca="false">IF($A5881="","",IF($H5881="-","-",IF(AND(IF(원본명단!$H5880="",TRUE(),COUNTIF(원본명단!$H$3:$H5880,원본명단!$H5880)=1),IF(원본명단!$I5880="",TRUE(),COUNTIF(원본명단!$I$3:$I5880,원본명단!$I5880)=1),IF(원본명단!$K5880="",TRUE(),COUNTIF(원본명단!$K$3:$K5880,원본명단!$K5880)=1)),"첫 건","중복 건")))</f>
        <v/>
      </c>
      <c r="J5881" s="11" t="str">
        <f aca="false">IF($A5881="","",IF($H5881="-","유지",IF($I5881="첫 건","유지","확인 필요")))</f>
        <v/>
      </c>
    </row>
    <row r="5882" customFormat="false" ht="15" hidden="false" customHeight="true" outlineLevel="0" collapsed="false">
      <c r="A5882" s="11" t="str">
        <f aca="false">IF(원본명단!$A5881="","",5879)</f>
        <v/>
      </c>
      <c r="B5882" s="12" t="str">
        <f aca="false">IF($A5882="","",원본명단!$A5881)</f>
        <v/>
      </c>
      <c r="C5882" s="12" t="str">
        <f aca="false">IF($A5882="","",원본명단!$B5881)</f>
        <v/>
      </c>
      <c r="D5882" s="12" t="str">
        <f aca="false">IF($A5882="","",원본명단!$D5881)</f>
        <v/>
      </c>
      <c r="E5882" s="11" t="str">
        <f aca="false">IF($A5882="","",IF(원본명단!$H5881="",0,COUNTIF(원본명단!$H$3:$H$6002,원본명단!$H5881)))</f>
        <v/>
      </c>
      <c r="F5882" s="11" t="str">
        <f aca="false">IF($A5882="","",IF(원본명단!$I5881="",0,COUNTIF(원본명단!$I$3:$I$6002,원본명단!$I5881)))</f>
        <v/>
      </c>
      <c r="G5882" s="11" t="str">
        <f aca="false">IF($A5882="","",IF(원본명단!$K5881="",0,COUNTIF(원본명단!$K$3:$K$6002,원본명단!$K5881)))</f>
        <v/>
      </c>
      <c r="H5882" s="11" t="str">
        <f aca="false">IF($A5882="","",IF(MAX($E5882,$F5882,$G5882)&gt;1,"중복","-"))</f>
        <v/>
      </c>
      <c r="I5882" s="11" t="str">
        <f aca="false">IF($A5882="","",IF($H5882="-","-",IF(AND(IF(원본명단!$H5881="",TRUE(),COUNTIF(원본명단!$H$3:$H5881,원본명단!$H5881)=1),IF(원본명단!$I5881="",TRUE(),COUNTIF(원본명단!$I$3:$I5881,원본명단!$I5881)=1),IF(원본명단!$K5881="",TRUE(),COUNTIF(원본명단!$K$3:$K5881,원본명단!$K5881)=1)),"첫 건","중복 건")))</f>
        <v/>
      </c>
      <c r="J5882" s="11" t="str">
        <f aca="false">IF($A5882="","",IF($H5882="-","유지",IF($I5882="첫 건","유지","확인 필요")))</f>
        <v/>
      </c>
    </row>
    <row r="5883" customFormat="false" ht="15" hidden="false" customHeight="true" outlineLevel="0" collapsed="false">
      <c r="A5883" s="11" t="str">
        <f aca="false">IF(원본명단!$A5882="","",5880)</f>
        <v/>
      </c>
      <c r="B5883" s="12" t="str">
        <f aca="false">IF($A5883="","",원본명단!$A5882)</f>
        <v/>
      </c>
      <c r="C5883" s="12" t="str">
        <f aca="false">IF($A5883="","",원본명단!$B5882)</f>
        <v/>
      </c>
      <c r="D5883" s="12" t="str">
        <f aca="false">IF($A5883="","",원본명단!$D5882)</f>
        <v/>
      </c>
      <c r="E5883" s="11" t="str">
        <f aca="false">IF($A5883="","",IF(원본명단!$H5882="",0,COUNTIF(원본명단!$H$3:$H$6002,원본명단!$H5882)))</f>
        <v/>
      </c>
      <c r="F5883" s="11" t="str">
        <f aca="false">IF($A5883="","",IF(원본명단!$I5882="",0,COUNTIF(원본명단!$I$3:$I$6002,원본명단!$I5882)))</f>
        <v/>
      </c>
      <c r="G5883" s="11" t="str">
        <f aca="false">IF($A5883="","",IF(원본명단!$K5882="",0,COUNTIF(원본명단!$K$3:$K$6002,원본명단!$K5882)))</f>
        <v/>
      </c>
      <c r="H5883" s="11" t="str">
        <f aca="false">IF($A5883="","",IF(MAX($E5883,$F5883,$G5883)&gt;1,"중복","-"))</f>
        <v/>
      </c>
      <c r="I5883" s="11" t="str">
        <f aca="false">IF($A5883="","",IF($H5883="-","-",IF(AND(IF(원본명단!$H5882="",TRUE(),COUNTIF(원본명단!$H$3:$H5882,원본명단!$H5882)=1),IF(원본명단!$I5882="",TRUE(),COUNTIF(원본명단!$I$3:$I5882,원본명단!$I5882)=1),IF(원본명단!$K5882="",TRUE(),COUNTIF(원본명단!$K$3:$K5882,원본명단!$K5882)=1)),"첫 건","중복 건")))</f>
        <v/>
      </c>
      <c r="J5883" s="11" t="str">
        <f aca="false">IF($A5883="","",IF($H5883="-","유지",IF($I5883="첫 건","유지","확인 필요")))</f>
        <v/>
      </c>
    </row>
    <row r="5884" customFormat="false" ht="15" hidden="false" customHeight="true" outlineLevel="0" collapsed="false">
      <c r="A5884" s="11" t="str">
        <f aca="false">IF(원본명단!$A5883="","",5881)</f>
        <v/>
      </c>
      <c r="B5884" s="12" t="str">
        <f aca="false">IF($A5884="","",원본명단!$A5883)</f>
        <v/>
      </c>
      <c r="C5884" s="12" t="str">
        <f aca="false">IF($A5884="","",원본명단!$B5883)</f>
        <v/>
      </c>
      <c r="D5884" s="12" t="str">
        <f aca="false">IF($A5884="","",원본명단!$D5883)</f>
        <v/>
      </c>
      <c r="E5884" s="11" t="str">
        <f aca="false">IF($A5884="","",IF(원본명단!$H5883="",0,COUNTIF(원본명단!$H$3:$H$6002,원본명단!$H5883)))</f>
        <v/>
      </c>
      <c r="F5884" s="11" t="str">
        <f aca="false">IF($A5884="","",IF(원본명단!$I5883="",0,COUNTIF(원본명단!$I$3:$I$6002,원본명단!$I5883)))</f>
        <v/>
      </c>
      <c r="G5884" s="11" t="str">
        <f aca="false">IF($A5884="","",IF(원본명단!$K5883="",0,COUNTIF(원본명단!$K$3:$K$6002,원본명단!$K5883)))</f>
        <v/>
      </c>
      <c r="H5884" s="11" t="str">
        <f aca="false">IF($A5884="","",IF(MAX($E5884,$F5884,$G5884)&gt;1,"중복","-"))</f>
        <v/>
      </c>
      <c r="I5884" s="11" t="str">
        <f aca="false">IF($A5884="","",IF($H5884="-","-",IF(AND(IF(원본명단!$H5883="",TRUE(),COUNTIF(원본명단!$H$3:$H5883,원본명단!$H5883)=1),IF(원본명단!$I5883="",TRUE(),COUNTIF(원본명단!$I$3:$I5883,원본명단!$I5883)=1),IF(원본명단!$K5883="",TRUE(),COUNTIF(원본명단!$K$3:$K5883,원본명단!$K5883)=1)),"첫 건","중복 건")))</f>
        <v/>
      </c>
      <c r="J5884" s="11" t="str">
        <f aca="false">IF($A5884="","",IF($H5884="-","유지",IF($I5884="첫 건","유지","확인 필요")))</f>
        <v/>
      </c>
    </row>
    <row r="5885" customFormat="false" ht="15" hidden="false" customHeight="true" outlineLevel="0" collapsed="false">
      <c r="A5885" s="11" t="str">
        <f aca="false">IF(원본명단!$A5884="","",5882)</f>
        <v/>
      </c>
      <c r="B5885" s="12" t="str">
        <f aca="false">IF($A5885="","",원본명단!$A5884)</f>
        <v/>
      </c>
      <c r="C5885" s="12" t="str">
        <f aca="false">IF($A5885="","",원본명단!$B5884)</f>
        <v/>
      </c>
      <c r="D5885" s="12" t="str">
        <f aca="false">IF($A5885="","",원본명단!$D5884)</f>
        <v/>
      </c>
      <c r="E5885" s="11" t="str">
        <f aca="false">IF($A5885="","",IF(원본명단!$H5884="",0,COUNTIF(원본명단!$H$3:$H$6002,원본명단!$H5884)))</f>
        <v/>
      </c>
      <c r="F5885" s="11" t="str">
        <f aca="false">IF($A5885="","",IF(원본명단!$I5884="",0,COUNTIF(원본명단!$I$3:$I$6002,원본명단!$I5884)))</f>
        <v/>
      </c>
      <c r="G5885" s="11" t="str">
        <f aca="false">IF($A5885="","",IF(원본명단!$K5884="",0,COUNTIF(원본명단!$K$3:$K$6002,원본명단!$K5884)))</f>
        <v/>
      </c>
      <c r="H5885" s="11" t="str">
        <f aca="false">IF($A5885="","",IF(MAX($E5885,$F5885,$G5885)&gt;1,"중복","-"))</f>
        <v/>
      </c>
      <c r="I5885" s="11" t="str">
        <f aca="false">IF($A5885="","",IF($H5885="-","-",IF(AND(IF(원본명단!$H5884="",TRUE(),COUNTIF(원본명단!$H$3:$H5884,원본명단!$H5884)=1),IF(원본명단!$I5884="",TRUE(),COUNTIF(원본명단!$I$3:$I5884,원본명단!$I5884)=1),IF(원본명단!$K5884="",TRUE(),COUNTIF(원본명단!$K$3:$K5884,원본명단!$K5884)=1)),"첫 건","중복 건")))</f>
        <v/>
      </c>
      <c r="J5885" s="11" t="str">
        <f aca="false">IF($A5885="","",IF($H5885="-","유지",IF($I5885="첫 건","유지","확인 필요")))</f>
        <v/>
      </c>
    </row>
    <row r="5886" customFormat="false" ht="15" hidden="false" customHeight="true" outlineLevel="0" collapsed="false">
      <c r="A5886" s="11" t="str">
        <f aca="false">IF(원본명단!$A5885="","",5883)</f>
        <v/>
      </c>
      <c r="B5886" s="12" t="str">
        <f aca="false">IF($A5886="","",원본명단!$A5885)</f>
        <v/>
      </c>
      <c r="C5886" s="12" t="str">
        <f aca="false">IF($A5886="","",원본명단!$B5885)</f>
        <v/>
      </c>
      <c r="D5886" s="12" t="str">
        <f aca="false">IF($A5886="","",원본명단!$D5885)</f>
        <v/>
      </c>
      <c r="E5886" s="11" t="str">
        <f aca="false">IF($A5886="","",IF(원본명단!$H5885="",0,COUNTIF(원본명단!$H$3:$H$6002,원본명단!$H5885)))</f>
        <v/>
      </c>
      <c r="F5886" s="11" t="str">
        <f aca="false">IF($A5886="","",IF(원본명단!$I5885="",0,COUNTIF(원본명단!$I$3:$I$6002,원본명단!$I5885)))</f>
        <v/>
      </c>
      <c r="G5886" s="11" t="str">
        <f aca="false">IF($A5886="","",IF(원본명단!$K5885="",0,COUNTIF(원본명단!$K$3:$K$6002,원본명단!$K5885)))</f>
        <v/>
      </c>
      <c r="H5886" s="11" t="str">
        <f aca="false">IF($A5886="","",IF(MAX($E5886,$F5886,$G5886)&gt;1,"중복","-"))</f>
        <v/>
      </c>
      <c r="I5886" s="11" t="str">
        <f aca="false">IF($A5886="","",IF($H5886="-","-",IF(AND(IF(원본명단!$H5885="",TRUE(),COUNTIF(원본명단!$H$3:$H5885,원본명단!$H5885)=1),IF(원본명단!$I5885="",TRUE(),COUNTIF(원본명단!$I$3:$I5885,원본명단!$I5885)=1),IF(원본명단!$K5885="",TRUE(),COUNTIF(원본명단!$K$3:$K5885,원본명단!$K5885)=1)),"첫 건","중복 건")))</f>
        <v/>
      </c>
      <c r="J5886" s="11" t="str">
        <f aca="false">IF($A5886="","",IF($H5886="-","유지",IF($I5886="첫 건","유지","확인 필요")))</f>
        <v/>
      </c>
    </row>
    <row r="5887" customFormat="false" ht="15" hidden="false" customHeight="true" outlineLevel="0" collapsed="false">
      <c r="A5887" s="11" t="str">
        <f aca="false">IF(원본명단!$A5886="","",5884)</f>
        <v/>
      </c>
      <c r="B5887" s="12" t="str">
        <f aca="false">IF($A5887="","",원본명단!$A5886)</f>
        <v/>
      </c>
      <c r="C5887" s="12" t="str">
        <f aca="false">IF($A5887="","",원본명단!$B5886)</f>
        <v/>
      </c>
      <c r="D5887" s="12" t="str">
        <f aca="false">IF($A5887="","",원본명단!$D5886)</f>
        <v/>
      </c>
      <c r="E5887" s="11" t="str">
        <f aca="false">IF($A5887="","",IF(원본명단!$H5886="",0,COUNTIF(원본명단!$H$3:$H$6002,원본명단!$H5886)))</f>
        <v/>
      </c>
      <c r="F5887" s="11" t="str">
        <f aca="false">IF($A5887="","",IF(원본명단!$I5886="",0,COUNTIF(원본명단!$I$3:$I$6002,원본명단!$I5886)))</f>
        <v/>
      </c>
      <c r="G5887" s="11" t="str">
        <f aca="false">IF($A5887="","",IF(원본명단!$K5886="",0,COUNTIF(원본명단!$K$3:$K$6002,원본명단!$K5886)))</f>
        <v/>
      </c>
      <c r="H5887" s="11" t="str">
        <f aca="false">IF($A5887="","",IF(MAX($E5887,$F5887,$G5887)&gt;1,"중복","-"))</f>
        <v/>
      </c>
      <c r="I5887" s="11" t="str">
        <f aca="false">IF($A5887="","",IF($H5887="-","-",IF(AND(IF(원본명단!$H5886="",TRUE(),COUNTIF(원본명단!$H$3:$H5886,원본명단!$H5886)=1),IF(원본명단!$I5886="",TRUE(),COUNTIF(원본명단!$I$3:$I5886,원본명단!$I5886)=1),IF(원본명단!$K5886="",TRUE(),COUNTIF(원본명단!$K$3:$K5886,원본명단!$K5886)=1)),"첫 건","중복 건")))</f>
        <v/>
      </c>
      <c r="J5887" s="11" t="str">
        <f aca="false">IF($A5887="","",IF($H5887="-","유지",IF($I5887="첫 건","유지","확인 필요")))</f>
        <v/>
      </c>
    </row>
    <row r="5888" customFormat="false" ht="15" hidden="false" customHeight="true" outlineLevel="0" collapsed="false">
      <c r="A5888" s="11" t="str">
        <f aca="false">IF(원본명단!$A5887="","",5885)</f>
        <v/>
      </c>
      <c r="B5888" s="12" t="str">
        <f aca="false">IF($A5888="","",원본명단!$A5887)</f>
        <v/>
      </c>
      <c r="C5888" s="12" t="str">
        <f aca="false">IF($A5888="","",원본명단!$B5887)</f>
        <v/>
      </c>
      <c r="D5888" s="12" t="str">
        <f aca="false">IF($A5888="","",원본명단!$D5887)</f>
        <v/>
      </c>
      <c r="E5888" s="11" t="str">
        <f aca="false">IF($A5888="","",IF(원본명단!$H5887="",0,COUNTIF(원본명단!$H$3:$H$6002,원본명단!$H5887)))</f>
        <v/>
      </c>
      <c r="F5888" s="11" t="str">
        <f aca="false">IF($A5888="","",IF(원본명단!$I5887="",0,COUNTIF(원본명단!$I$3:$I$6002,원본명단!$I5887)))</f>
        <v/>
      </c>
      <c r="G5888" s="11" t="str">
        <f aca="false">IF($A5888="","",IF(원본명단!$K5887="",0,COUNTIF(원본명단!$K$3:$K$6002,원본명단!$K5887)))</f>
        <v/>
      </c>
      <c r="H5888" s="11" t="str">
        <f aca="false">IF($A5888="","",IF(MAX($E5888,$F5888,$G5888)&gt;1,"중복","-"))</f>
        <v/>
      </c>
      <c r="I5888" s="11" t="str">
        <f aca="false">IF($A5888="","",IF($H5888="-","-",IF(AND(IF(원본명단!$H5887="",TRUE(),COUNTIF(원본명단!$H$3:$H5887,원본명단!$H5887)=1),IF(원본명단!$I5887="",TRUE(),COUNTIF(원본명단!$I$3:$I5887,원본명단!$I5887)=1),IF(원본명단!$K5887="",TRUE(),COUNTIF(원본명단!$K$3:$K5887,원본명단!$K5887)=1)),"첫 건","중복 건")))</f>
        <v/>
      </c>
      <c r="J5888" s="11" t="str">
        <f aca="false">IF($A5888="","",IF($H5888="-","유지",IF($I5888="첫 건","유지","확인 필요")))</f>
        <v/>
      </c>
    </row>
    <row r="5889" customFormat="false" ht="15" hidden="false" customHeight="true" outlineLevel="0" collapsed="false">
      <c r="A5889" s="11" t="str">
        <f aca="false">IF(원본명단!$A5888="","",5886)</f>
        <v/>
      </c>
      <c r="B5889" s="12" t="str">
        <f aca="false">IF($A5889="","",원본명단!$A5888)</f>
        <v/>
      </c>
      <c r="C5889" s="12" t="str">
        <f aca="false">IF($A5889="","",원본명단!$B5888)</f>
        <v/>
      </c>
      <c r="D5889" s="12" t="str">
        <f aca="false">IF($A5889="","",원본명단!$D5888)</f>
        <v/>
      </c>
      <c r="E5889" s="11" t="str">
        <f aca="false">IF($A5889="","",IF(원본명단!$H5888="",0,COUNTIF(원본명단!$H$3:$H$6002,원본명단!$H5888)))</f>
        <v/>
      </c>
      <c r="F5889" s="11" t="str">
        <f aca="false">IF($A5889="","",IF(원본명단!$I5888="",0,COUNTIF(원본명단!$I$3:$I$6002,원본명단!$I5888)))</f>
        <v/>
      </c>
      <c r="G5889" s="11" t="str">
        <f aca="false">IF($A5889="","",IF(원본명단!$K5888="",0,COUNTIF(원본명단!$K$3:$K$6002,원본명단!$K5888)))</f>
        <v/>
      </c>
      <c r="H5889" s="11" t="str">
        <f aca="false">IF($A5889="","",IF(MAX($E5889,$F5889,$G5889)&gt;1,"중복","-"))</f>
        <v/>
      </c>
      <c r="I5889" s="11" t="str">
        <f aca="false">IF($A5889="","",IF($H5889="-","-",IF(AND(IF(원본명단!$H5888="",TRUE(),COUNTIF(원본명단!$H$3:$H5888,원본명단!$H5888)=1),IF(원본명단!$I5888="",TRUE(),COUNTIF(원본명단!$I$3:$I5888,원본명단!$I5888)=1),IF(원본명단!$K5888="",TRUE(),COUNTIF(원본명단!$K$3:$K5888,원본명단!$K5888)=1)),"첫 건","중복 건")))</f>
        <v/>
      </c>
      <c r="J5889" s="11" t="str">
        <f aca="false">IF($A5889="","",IF($H5889="-","유지",IF($I5889="첫 건","유지","확인 필요")))</f>
        <v/>
      </c>
    </row>
    <row r="5890" customFormat="false" ht="15" hidden="false" customHeight="true" outlineLevel="0" collapsed="false">
      <c r="A5890" s="11" t="str">
        <f aca="false">IF(원본명단!$A5889="","",5887)</f>
        <v/>
      </c>
      <c r="B5890" s="12" t="str">
        <f aca="false">IF($A5890="","",원본명단!$A5889)</f>
        <v/>
      </c>
      <c r="C5890" s="12" t="str">
        <f aca="false">IF($A5890="","",원본명단!$B5889)</f>
        <v/>
      </c>
      <c r="D5890" s="12" t="str">
        <f aca="false">IF($A5890="","",원본명단!$D5889)</f>
        <v/>
      </c>
      <c r="E5890" s="11" t="str">
        <f aca="false">IF($A5890="","",IF(원본명단!$H5889="",0,COUNTIF(원본명단!$H$3:$H$6002,원본명단!$H5889)))</f>
        <v/>
      </c>
      <c r="F5890" s="11" t="str">
        <f aca="false">IF($A5890="","",IF(원본명단!$I5889="",0,COUNTIF(원본명단!$I$3:$I$6002,원본명단!$I5889)))</f>
        <v/>
      </c>
      <c r="G5890" s="11" t="str">
        <f aca="false">IF($A5890="","",IF(원본명단!$K5889="",0,COUNTIF(원본명단!$K$3:$K$6002,원본명단!$K5889)))</f>
        <v/>
      </c>
      <c r="H5890" s="11" t="str">
        <f aca="false">IF($A5890="","",IF(MAX($E5890,$F5890,$G5890)&gt;1,"중복","-"))</f>
        <v/>
      </c>
      <c r="I5890" s="11" t="str">
        <f aca="false">IF($A5890="","",IF($H5890="-","-",IF(AND(IF(원본명단!$H5889="",TRUE(),COUNTIF(원본명단!$H$3:$H5889,원본명단!$H5889)=1),IF(원본명단!$I5889="",TRUE(),COUNTIF(원본명단!$I$3:$I5889,원본명단!$I5889)=1),IF(원본명단!$K5889="",TRUE(),COUNTIF(원본명단!$K$3:$K5889,원본명단!$K5889)=1)),"첫 건","중복 건")))</f>
        <v/>
      </c>
      <c r="J5890" s="11" t="str">
        <f aca="false">IF($A5890="","",IF($H5890="-","유지",IF($I5890="첫 건","유지","확인 필요")))</f>
        <v/>
      </c>
    </row>
    <row r="5891" customFormat="false" ht="15" hidden="false" customHeight="true" outlineLevel="0" collapsed="false">
      <c r="A5891" s="11" t="str">
        <f aca="false">IF(원본명단!$A5890="","",5888)</f>
        <v/>
      </c>
      <c r="B5891" s="12" t="str">
        <f aca="false">IF($A5891="","",원본명단!$A5890)</f>
        <v/>
      </c>
      <c r="C5891" s="12" t="str">
        <f aca="false">IF($A5891="","",원본명단!$B5890)</f>
        <v/>
      </c>
      <c r="D5891" s="12" t="str">
        <f aca="false">IF($A5891="","",원본명단!$D5890)</f>
        <v/>
      </c>
      <c r="E5891" s="11" t="str">
        <f aca="false">IF($A5891="","",IF(원본명단!$H5890="",0,COUNTIF(원본명단!$H$3:$H$6002,원본명단!$H5890)))</f>
        <v/>
      </c>
      <c r="F5891" s="11" t="str">
        <f aca="false">IF($A5891="","",IF(원본명단!$I5890="",0,COUNTIF(원본명단!$I$3:$I$6002,원본명단!$I5890)))</f>
        <v/>
      </c>
      <c r="G5891" s="11" t="str">
        <f aca="false">IF($A5891="","",IF(원본명단!$K5890="",0,COUNTIF(원본명단!$K$3:$K$6002,원본명단!$K5890)))</f>
        <v/>
      </c>
      <c r="H5891" s="11" t="str">
        <f aca="false">IF($A5891="","",IF(MAX($E5891,$F5891,$G5891)&gt;1,"중복","-"))</f>
        <v/>
      </c>
      <c r="I5891" s="11" t="str">
        <f aca="false">IF($A5891="","",IF($H5891="-","-",IF(AND(IF(원본명단!$H5890="",TRUE(),COUNTIF(원본명단!$H$3:$H5890,원본명단!$H5890)=1),IF(원본명단!$I5890="",TRUE(),COUNTIF(원본명단!$I$3:$I5890,원본명단!$I5890)=1),IF(원본명단!$K5890="",TRUE(),COUNTIF(원본명단!$K$3:$K5890,원본명단!$K5890)=1)),"첫 건","중복 건")))</f>
        <v/>
      </c>
      <c r="J5891" s="11" t="str">
        <f aca="false">IF($A5891="","",IF($H5891="-","유지",IF($I5891="첫 건","유지","확인 필요")))</f>
        <v/>
      </c>
    </row>
    <row r="5892" customFormat="false" ht="15" hidden="false" customHeight="true" outlineLevel="0" collapsed="false">
      <c r="A5892" s="11" t="str">
        <f aca="false">IF(원본명단!$A5891="","",5889)</f>
        <v/>
      </c>
      <c r="B5892" s="12" t="str">
        <f aca="false">IF($A5892="","",원본명단!$A5891)</f>
        <v/>
      </c>
      <c r="C5892" s="12" t="str">
        <f aca="false">IF($A5892="","",원본명단!$B5891)</f>
        <v/>
      </c>
      <c r="D5892" s="12" t="str">
        <f aca="false">IF($A5892="","",원본명단!$D5891)</f>
        <v/>
      </c>
      <c r="E5892" s="11" t="str">
        <f aca="false">IF($A5892="","",IF(원본명단!$H5891="",0,COUNTIF(원본명단!$H$3:$H$6002,원본명단!$H5891)))</f>
        <v/>
      </c>
      <c r="F5892" s="11" t="str">
        <f aca="false">IF($A5892="","",IF(원본명단!$I5891="",0,COUNTIF(원본명단!$I$3:$I$6002,원본명단!$I5891)))</f>
        <v/>
      </c>
      <c r="G5892" s="11" t="str">
        <f aca="false">IF($A5892="","",IF(원본명단!$K5891="",0,COUNTIF(원본명단!$K$3:$K$6002,원본명단!$K5891)))</f>
        <v/>
      </c>
      <c r="H5892" s="11" t="str">
        <f aca="false">IF($A5892="","",IF(MAX($E5892,$F5892,$G5892)&gt;1,"중복","-"))</f>
        <v/>
      </c>
      <c r="I5892" s="11" t="str">
        <f aca="false">IF($A5892="","",IF($H5892="-","-",IF(AND(IF(원본명단!$H5891="",TRUE(),COUNTIF(원본명단!$H$3:$H5891,원본명단!$H5891)=1),IF(원본명단!$I5891="",TRUE(),COUNTIF(원본명단!$I$3:$I5891,원본명단!$I5891)=1),IF(원본명단!$K5891="",TRUE(),COUNTIF(원본명단!$K$3:$K5891,원본명단!$K5891)=1)),"첫 건","중복 건")))</f>
        <v/>
      </c>
      <c r="J5892" s="11" t="str">
        <f aca="false">IF($A5892="","",IF($H5892="-","유지",IF($I5892="첫 건","유지","확인 필요")))</f>
        <v/>
      </c>
    </row>
    <row r="5893" customFormat="false" ht="15" hidden="false" customHeight="true" outlineLevel="0" collapsed="false">
      <c r="A5893" s="11" t="str">
        <f aca="false">IF(원본명단!$A5892="","",5890)</f>
        <v/>
      </c>
      <c r="B5893" s="12" t="str">
        <f aca="false">IF($A5893="","",원본명단!$A5892)</f>
        <v/>
      </c>
      <c r="C5893" s="12" t="str">
        <f aca="false">IF($A5893="","",원본명단!$B5892)</f>
        <v/>
      </c>
      <c r="D5893" s="12" t="str">
        <f aca="false">IF($A5893="","",원본명단!$D5892)</f>
        <v/>
      </c>
      <c r="E5893" s="11" t="str">
        <f aca="false">IF($A5893="","",IF(원본명단!$H5892="",0,COUNTIF(원본명단!$H$3:$H$6002,원본명단!$H5892)))</f>
        <v/>
      </c>
      <c r="F5893" s="11" t="str">
        <f aca="false">IF($A5893="","",IF(원본명단!$I5892="",0,COUNTIF(원본명단!$I$3:$I$6002,원본명단!$I5892)))</f>
        <v/>
      </c>
      <c r="G5893" s="11" t="str">
        <f aca="false">IF($A5893="","",IF(원본명단!$K5892="",0,COUNTIF(원본명단!$K$3:$K$6002,원본명단!$K5892)))</f>
        <v/>
      </c>
      <c r="H5893" s="11" t="str">
        <f aca="false">IF($A5893="","",IF(MAX($E5893,$F5893,$G5893)&gt;1,"중복","-"))</f>
        <v/>
      </c>
      <c r="I5893" s="11" t="str">
        <f aca="false">IF($A5893="","",IF($H5893="-","-",IF(AND(IF(원본명단!$H5892="",TRUE(),COUNTIF(원본명단!$H$3:$H5892,원본명단!$H5892)=1),IF(원본명단!$I5892="",TRUE(),COUNTIF(원본명단!$I$3:$I5892,원본명단!$I5892)=1),IF(원본명단!$K5892="",TRUE(),COUNTIF(원본명단!$K$3:$K5892,원본명단!$K5892)=1)),"첫 건","중복 건")))</f>
        <v/>
      </c>
      <c r="J5893" s="11" t="str">
        <f aca="false">IF($A5893="","",IF($H5893="-","유지",IF($I5893="첫 건","유지","확인 필요")))</f>
        <v/>
      </c>
    </row>
    <row r="5894" customFormat="false" ht="15" hidden="false" customHeight="true" outlineLevel="0" collapsed="false">
      <c r="A5894" s="11" t="str">
        <f aca="false">IF(원본명단!$A5893="","",5891)</f>
        <v/>
      </c>
      <c r="B5894" s="12" t="str">
        <f aca="false">IF($A5894="","",원본명단!$A5893)</f>
        <v/>
      </c>
      <c r="C5894" s="12" t="str">
        <f aca="false">IF($A5894="","",원본명단!$B5893)</f>
        <v/>
      </c>
      <c r="D5894" s="12" t="str">
        <f aca="false">IF($A5894="","",원본명단!$D5893)</f>
        <v/>
      </c>
      <c r="E5894" s="11" t="str">
        <f aca="false">IF($A5894="","",IF(원본명단!$H5893="",0,COUNTIF(원본명단!$H$3:$H$6002,원본명단!$H5893)))</f>
        <v/>
      </c>
      <c r="F5894" s="11" t="str">
        <f aca="false">IF($A5894="","",IF(원본명단!$I5893="",0,COUNTIF(원본명단!$I$3:$I$6002,원본명단!$I5893)))</f>
        <v/>
      </c>
      <c r="G5894" s="11" t="str">
        <f aca="false">IF($A5894="","",IF(원본명단!$K5893="",0,COUNTIF(원본명단!$K$3:$K$6002,원본명단!$K5893)))</f>
        <v/>
      </c>
      <c r="H5894" s="11" t="str">
        <f aca="false">IF($A5894="","",IF(MAX($E5894,$F5894,$G5894)&gt;1,"중복","-"))</f>
        <v/>
      </c>
      <c r="I5894" s="11" t="str">
        <f aca="false">IF($A5894="","",IF($H5894="-","-",IF(AND(IF(원본명단!$H5893="",TRUE(),COUNTIF(원본명단!$H$3:$H5893,원본명단!$H5893)=1),IF(원본명단!$I5893="",TRUE(),COUNTIF(원본명단!$I$3:$I5893,원본명단!$I5893)=1),IF(원본명단!$K5893="",TRUE(),COUNTIF(원본명단!$K$3:$K5893,원본명단!$K5893)=1)),"첫 건","중복 건")))</f>
        <v/>
      </c>
      <c r="J5894" s="11" t="str">
        <f aca="false">IF($A5894="","",IF($H5894="-","유지",IF($I5894="첫 건","유지","확인 필요")))</f>
        <v/>
      </c>
    </row>
    <row r="5895" customFormat="false" ht="15" hidden="false" customHeight="true" outlineLevel="0" collapsed="false">
      <c r="A5895" s="11" t="str">
        <f aca="false">IF(원본명단!$A5894="","",5892)</f>
        <v/>
      </c>
      <c r="B5895" s="12" t="str">
        <f aca="false">IF($A5895="","",원본명단!$A5894)</f>
        <v/>
      </c>
      <c r="C5895" s="12" t="str">
        <f aca="false">IF($A5895="","",원본명단!$B5894)</f>
        <v/>
      </c>
      <c r="D5895" s="12" t="str">
        <f aca="false">IF($A5895="","",원본명단!$D5894)</f>
        <v/>
      </c>
      <c r="E5895" s="11" t="str">
        <f aca="false">IF($A5895="","",IF(원본명단!$H5894="",0,COUNTIF(원본명단!$H$3:$H$6002,원본명단!$H5894)))</f>
        <v/>
      </c>
      <c r="F5895" s="11" t="str">
        <f aca="false">IF($A5895="","",IF(원본명단!$I5894="",0,COUNTIF(원본명단!$I$3:$I$6002,원본명단!$I5894)))</f>
        <v/>
      </c>
      <c r="G5895" s="11" t="str">
        <f aca="false">IF($A5895="","",IF(원본명단!$K5894="",0,COUNTIF(원본명단!$K$3:$K$6002,원본명단!$K5894)))</f>
        <v/>
      </c>
      <c r="H5895" s="11" t="str">
        <f aca="false">IF($A5895="","",IF(MAX($E5895,$F5895,$G5895)&gt;1,"중복","-"))</f>
        <v/>
      </c>
      <c r="I5895" s="11" t="str">
        <f aca="false">IF($A5895="","",IF($H5895="-","-",IF(AND(IF(원본명단!$H5894="",TRUE(),COUNTIF(원본명단!$H$3:$H5894,원본명단!$H5894)=1),IF(원본명단!$I5894="",TRUE(),COUNTIF(원본명단!$I$3:$I5894,원본명단!$I5894)=1),IF(원본명단!$K5894="",TRUE(),COUNTIF(원본명단!$K$3:$K5894,원본명단!$K5894)=1)),"첫 건","중복 건")))</f>
        <v/>
      </c>
      <c r="J5895" s="11" t="str">
        <f aca="false">IF($A5895="","",IF($H5895="-","유지",IF($I5895="첫 건","유지","확인 필요")))</f>
        <v/>
      </c>
    </row>
    <row r="5896" customFormat="false" ht="15" hidden="false" customHeight="true" outlineLevel="0" collapsed="false">
      <c r="A5896" s="11" t="str">
        <f aca="false">IF(원본명단!$A5895="","",5893)</f>
        <v/>
      </c>
      <c r="B5896" s="12" t="str">
        <f aca="false">IF($A5896="","",원본명단!$A5895)</f>
        <v/>
      </c>
      <c r="C5896" s="12" t="str">
        <f aca="false">IF($A5896="","",원본명단!$B5895)</f>
        <v/>
      </c>
      <c r="D5896" s="12" t="str">
        <f aca="false">IF($A5896="","",원본명단!$D5895)</f>
        <v/>
      </c>
      <c r="E5896" s="11" t="str">
        <f aca="false">IF($A5896="","",IF(원본명단!$H5895="",0,COUNTIF(원본명단!$H$3:$H$6002,원본명단!$H5895)))</f>
        <v/>
      </c>
      <c r="F5896" s="11" t="str">
        <f aca="false">IF($A5896="","",IF(원본명단!$I5895="",0,COUNTIF(원본명단!$I$3:$I$6002,원본명단!$I5895)))</f>
        <v/>
      </c>
      <c r="G5896" s="11" t="str">
        <f aca="false">IF($A5896="","",IF(원본명단!$K5895="",0,COUNTIF(원본명단!$K$3:$K$6002,원본명단!$K5895)))</f>
        <v/>
      </c>
      <c r="H5896" s="11" t="str">
        <f aca="false">IF($A5896="","",IF(MAX($E5896,$F5896,$G5896)&gt;1,"중복","-"))</f>
        <v/>
      </c>
      <c r="I5896" s="11" t="str">
        <f aca="false">IF($A5896="","",IF($H5896="-","-",IF(AND(IF(원본명단!$H5895="",TRUE(),COUNTIF(원본명단!$H$3:$H5895,원본명단!$H5895)=1),IF(원본명단!$I5895="",TRUE(),COUNTIF(원본명단!$I$3:$I5895,원본명단!$I5895)=1),IF(원본명단!$K5895="",TRUE(),COUNTIF(원본명단!$K$3:$K5895,원본명단!$K5895)=1)),"첫 건","중복 건")))</f>
        <v/>
      </c>
      <c r="J5896" s="11" t="str">
        <f aca="false">IF($A5896="","",IF($H5896="-","유지",IF($I5896="첫 건","유지","확인 필요")))</f>
        <v/>
      </c>
    </row>
    <row r="5897" customFormat="false" ht="15" hidden="false" customHeight="true" outlineLevel="0" collapsed="false">
      <c r="A5897" s="11" t="str">
        <f aca="false">IF(원본명단!$A5896="","",5894)</f>
        <v/>
      </c>
      <c r="B5897" s="12" t="str">
        <f aca="false">IF($A5897="","",원본명단!$A5896)</f>
        <v/>
      </c>
      <c r="C5897" s="12" t="str">
        <f aca="false">IF($A5897="","",원본명단!$B5896)</f>
        <v/>
      </c>
      <c r="D5897" s="12" t="str">
        <f aca="false">IF($A5897="","",원본명단!$D5896)</f>
        <v/>
      </c>
      <c r="E5897" s="11" t="str">
        <f aca="false">IF($A5897="","",IF(원본명단!$H5896="",0,COUNTIF(원본명단!$H$3:$H$6002,원본명단!$H5896)))</f>
        <v/>
      </c>
      <c r="F5897" s="11" t="str">
        <f aca="false">IF($A5897="","",IF(원본명단!$I5896="",0,COUNTIF(원본명단!$I$3:$I$6002,원본명단!$I5896)))</f>
        <v/>
      </c>
      <c r="G5897" s="11" t="str">
        <f aca="false">IF($A5897="","",IF(원본명단!$K5896="",0,COUNTIF(원본명단!$K$3:$K$6002,원본명단!$K5896)))</f>
        <v/>
      </c>
      <c r="H5897" s="11" t="str">
        <f aca="false">IF($A5897="","",IF(MAX($E5897,$F5897,$G5897)&gt;1,"중복","-"))</f>
        <v/>
      </c>
      <c r="I5897" s="11" t="str">
        <f aca="false">IF($A5897="","",IF($H5897="-","-",IF(AND(IF(원본명단!$H5896="",TRUE(),COUNTIF(원본명단!$H$3:$H5896,원본명단!$H5896)=1),IF(원본명단!$I5896="",TRUE(),COUNTIF(원본명단!$I$3:$I5896,원본명단!$I5896)=1),IF(원본명단!$K5896="",TRUE(),COUNTIF(원본명단!$K$3:$K5896,원본명단!$K5896)=1)),"첫 건","중복 건")))</f>
        <v/>
      </c>
      <c r="J5897" s="11" t="str">
        <f aca="false">IF($A5897="","",IF($H5897="-","유지",IF($I5897="첫 건","유지","확인 필요")))</f>
        <v/>
      </c>
    </row>
    <row r="5898" customFormat="false" ht="15" hidden="false" customHeight="true" outlineLevel="0" collapsed="false">
      <c r="A5898" s="11" t="str">
        <f aca="false">IF(원본명단!$A5897="","",5895)</f>
        <v/>
      </c>
      <c r="B5898" s="12" t="str">
        <f aca="false">IF($A5898="","",원본명단!$A5897)</f>
        <v/>
      </c>
      <c r="C5898" s="12" t="str">
        <f aca="false">IF($A5898="","",원본명단!$B5897)</f>
        <v/>
      </c>
      <c r="D5898" s="12" t="str">
        <f aca="false">IF($A5898="","",원본명단!$D5897)</f>
        <v/>
      </c>
      <c r="E5898" s="11" t="str">
        <f aca="false">IF($A5898="","",IF(원본명단!$H5897="",0,COUNTIF(원본명단!$H$3:$H$6002,원본명단!$H5897)))</f>
        <v/>
      </c>
      <c r="F5898" s="11" t="str">
        <f aca="false">IF($A5898="","",IF(원본명단!$I5897="",0,COUNTIF(원본명단!$I$3:$I$6002,원본명단!$I5897)))</f>
        <v/>
      </c>
      <c r="G5898" s="11" t="str">
        <f aca="false">IF($A5898="","",IF(원본명단!$K5897="",0,COUNTIF(원본명단!$K$3:$K$6002,원본명단!$K5897)))</f>
        <v/>
      </c>
      <c r="H5898" s="11" t="str">
        <f aca="false">IF($A5898="","",IF(MAX($E5898,$F5898,$G5898)&gt;1,"중복","-"))</f>
        <v/>
      </c>
      <c r="I5898" s="11" t="str">
        <f aca="false">IF($A5898="","",IF($H5898="-","-",IF(AND(IF(원본명단!$H5897="",TRUE(),COUNTIF(원본명단!$H$3:$H5897,원본명단!$H5897)=1),IF(원본명단!$I5897="",TRUE(),COUNTIF(원본명단!$I$3:$I5897,원본명단!$I5897)=1),IF(원본명단!$K5897="",TRUE(),COUNTIF(원본명단!$K$3:$K5897,원본명단!$K5897)=1)),"첫 건","중복 건")))</f>
        <v/>
      </c>
      <c r="J5898" s="11" t="str">
        <f aca="false">IF($A5898="","",IF($H5898="-","유지",IF($I5898="첫 건","유지","확인 필요")))</f>
        <v/>
      </c>
    </row>
    <row r="5899" customFormat="false" ht="15" hidden="false" customHeight="true" outlineLevel="0" collapsed="false">
      <c r="A5899" s="11" t="str">
        <f aca="false">IF(원본명단!$A5898="","",5896)</f>
        <v/>
      </c>
      <c r="B5899" s="12" t="str">
        <f aca="false">IF($A5899="","",원본명단!$A5898)</f>
        <v/>
      </c>
      <c r="C5899" s="12" t="str">
        <f aca="false">IF($A5899="","",원본명단!$B5898)</f>
        <v/>
      </c>
      <c r="D5899" s="12" t="str">
        <f aca="false">IF($A5899="","",원본명단!$D5898)</f>
        <v/>
      </c>
      <c r="E5899" s="11" t="str">
        <f aca="false">IF($A5899="","",IF(원본명단!$H5898="",0,COUNTIF(원본명단!$H$3:$H$6002,원본명단!$H5898)))</f>
        <v/>
      </c>
      <c r="F5899" s="11" t="str">
        <f aca="false">IF($A5899="","",IF(원본명단!$I5898="",0,COUNTIF(원본명단!$I$3:$I$6002,원본명단!$I5898)))</f>
        <v/>
      </c>
      <c r="G5899" s="11" t="str">
        <f aca="false">IF($A5899="","",IF(원본명단!$K5898="",0,COUNTIF(원본명단!$K$3:$K$6002,원본명단!$K5898)))</f>
        <v/>
      </c>
      <c r="H5899" s="11" t="str">
        <f aca="false">IF($A5899="","",IF(MAX($E5899,$F5899,$G5899)&gt;1,"중복","-"))</f>
        <v/>
      </c>
      <c r="I5899" s="11" t="str">
        <f aca="false">IF($A5899="","",IF($H5899="-","-",IF(AND(IF(원본명단!$H5898="",TRUE(),COUNTIF(원본명단!$H$3:$H5898,원본명단!$H5898)=1),IF(원본명단!$I5898="",TRUE(),COUNTIF(원본명단!$I$3:$I5898,원본명단!$I5898)=1),IF(원본명단!$K5898="",TRUE(),COUNTIF(원본명단!$K$3:$K5898,원본명단!$K5898)=1)),"첫 건","중복 건")))</f>
        <v/>
      </c>
      <c r="J5899" s="11" t="str">
        <f aca="false">IF($A5899="","",IF($H5899="-","유지",IF($I5899="첫 건","유지","확인 필요")))</f>
        <v/>
      </c>
    </row>
    <row r="5900" customFormat="false" ht="15" hidden="false" customHeight="true" outlineLevel="0" collapsed="false">
      <c r="A5900" s="11" t="str">
        <f aca="false">IF(원본명단!$A5899="","",5897)</f>
        <v/>
      </c>
      <c r="B5900" s="12" t="str">
        <f aca="false">IF($A5900="","",원본명단!$A5899)</f>
        <v/>
      </c>
      <c r="C5900" s="12" t="str">
        <f aca="false">IF($A5900="","",원본명단!$B5899)</f>
        <v/>
      </c>
      <c r="D5900" s="12" t="str">
        <f aca="false">IF($A5900="","",원본명단!$D5899)</f>
        <v/>
      </c>
      <c r="E5900" s="11" t="str">
        <f aca="false">IF($A5900="","",IF(원본명단!$H5899="",0,COUNTIF(원본명단!$H$3:$H$6002,원본명단!$H5899)))</f>
        <v/>
      </c>
      <c r="F5900" s="11" t="str">
        <f aca="false">IF($A5900="","",IF(원본명단!$I5899="",0,COUNTIF(원본명단!$I$3:$I$6002,원본명단!$I5899)))</f>
        <v/>
      </c>
      <c r="G5900" s="11" t="str">
        <f aca="false">IF($A5900="","",IF(원본명단!$K5899="",0,COUNTIF(원본명단!$K$3:$K$6002,원본명단!$K5899)))</f>
        <v/>
      </c>
      <c r="H5900" s="11" t="str">
        <f aca="false">IF($A5900="","",IF(MAX($E5900,$F5900,$G5900)&gt;1,"중복","-"))</f>
        <v/>
      </c>
      <c r="I5900" s="11" t="str">
        <f aca="false">IF($A5900="","",IF($H5900="-","-",IF(AND(IF(원본명단!$H5899="",TRUE(),COUNTIF(원본명단!$H$3:$H5899,원본명단!$H5899)=1),IF(원본명단!$I5899="",TRUE(),COUNTIF(원본명단!$I$3:$I5899,원본명단!$I5899)=1),IF(원본명단!$K5899="",TRUE(),COUNTIF(원본명단!$K$3:$K5899,원본명단!$K5899)=1)),"첫 건","중복 건")))</f>
        <v/>
      </c>
      <c r="J5900" s="11" t="str">
        <f aca="false">IF($A5900="","",IF($H5900="-","유지",IF($I5900="첫 건","유지","확인 필요")))</f>
        <v/>
      </c>
    </row>
    <row r="5901" customFormat="false" ht="15" hidden="false" customHeight="true" outlineLevel="0" collapsed="false">
      <c r="A5901" s="11" t="str">
        <f aca="false">IF(원본명단!$A5900="","",5898)</f>
        <v/>
      </c>
      <c r="B5901" s="12" t="str">
        <f aca="false">IF($A5901="","",원본명단!$A5900)</f>
        <v/>
      </c>
      <c r="C5901" s="12" t="str">
        <f aca="false">IF($A5901="","",원본명단!$B5900)</f>
        <v/>
      </c>
      <c r="D5901" s="12" t="str">
        <f aca="false">IF($A5901="","",원본명단!$D5900)</f>
        <v/>
      </c>
      <c r="E5901" s="11" t="str">
        <f aca="false">IF($A5901="","",IF(원본명단!$H5900="",0,COUNTIF(원본명단!$H$3:$H$6002,원본명단!$H5900)))</f>
        <v/>
      </c>
      <c r="F5901" s="11" t="str">
        <f aca="false">IF($A5901="","",IF(원본명단!$I5900="",0,COUNTIF(원본명단!$I$3:$I$6002,원본명단!$I5900)))</f>
        <v/>
      </c>
      <c r="G5901" s="11" t="str">
        <f aca="false">IF($A5901="","",IF(원본명단!$K5900="",0,COUNTIF(원본명단!$K$3:$K$6002,원본명단!$K5900)))</f>
        <v/>
      </c>
      <c r="H5901" s="11" t="str">
        <f aca="false">IF($A5901="","",IF(MAX($E5901,$F5901,$G5901)&gt;1,"중복","-"))</f>
        <v/>
      </c>
      <c r="I5901" s="11" t="str">
        <f aca="false">IF($A5901="","",IF($H5901="-","-",IF(AND(IF(원본명단!$H5900="",TRUE(),COUNTIF(원본명단!$H$3:$H5900,원본명단!$H5900)=1),IF(원본명단!$I5900="",TRUE(),COUNTIF(원본명단!$I$3:$I5900,원본명단!$I5900)=1),IF(원본명단!$K5900="",TRUE(),COUNTIF(원본명단!$K$3:$K5900,원본명단!$K5900)=1)),"첫 건","중복 건")))</f>
        <v/>
      </c>
      <c r="J5901" s="11" t="str">
        <f aca="false">IF($A5901="","",IF($H5901="-","유지",IF($I5901="첫 건","유지","확인 필요")))</f>
        <v/>
      </c>
    </row>
    <row r="5902" customFormat="false" ht="15" hidden="false" customHeight="true" outlineLevel="0" collapsed="false">
      <c r="A5902" s="11" t="str">
        <f aca="false">IF(원본명단!$A5901="","",5899)</f>
        <v/>
      </c>
      <c r="B5902" s="12" t="str">
        <f aca="false">IF($A5902="","",원본명단!$A5901)</f>
        <v/>
      </c>
      <c r="C5902" s="12" t="str">
        <f aca="false">IF($A5902="","",원본명단!$B5901)</f>
        <v/>
      </c>
      <c r="D5902" s="12" t="str">
        <f aca="false">IF($A5902="","",원본명단!$D5901)</f>
        <v/>
      </c>
      <c r="E5902" s="11" t="str">
        <f aca="false">IF($A5902="","",IF(원본명단!$H5901="",0,COUNTIF(원본명단!$H$3:$H$6002,원본명단!$H5901)))</f>
        <v/>
      </c>
      <c r="F5902" s="11" t="str">
        <f aca="false">IF($A5902="","",IF(원본명단!$I5901="",0,COUNTIF(원본명단!$I$3:$I$6002,원본명단!$I5901)))</f>
        <v/>
      </c>
      <c r="G5902" s="11" t="str">
        <f aca="false">IF($A5902="","",IF(원본명단!$K5901="",0,COUNTIF(원본명단!$K$3:$K$6002,원본명단!$K5901)))</f>
        <v/>
      </c>
      <c r="H5902" s="11" t="str">
        <f aca="false">IF($A5902="","",IF(MAX($E5902,$F5902,$G5902)&gt;1,"중복","-"))</f>
        <v/>
      </c>
      <c r="I5902" s="11" t="str">
        <f aca="false">IF($A5902="","",IF($H5902="-","-",IF(AND(IF(원본명단!$H5901="",TRUE(),COUNTIF(원본명단!$H$3:$H5901,원본명단!$H5901)=1),IF(원본명단!$I5901="",TRUE(),COUNTIF(원본명단!$I$3:$I5901,원본명단!$I5901)=1),IF(원본명단!$K5901="",TRUE(),COUNTIF(원본명단!$K$3:$K5901,원본명단!$K5901)=1)),"첫 건","중복 건")))</f>
        <v/>
      </c>
      <c r="J5902" s="11" t="str">
        <f aca="false">IF($A5902="","",IF($H5902="-","유지",IF($I5902="첫 건","유지","확인 필요")))</f>
        <v/>
      </c>
    </row>
    <row r="5903" customFormat="false" ht="15" hidden="false" customHeight="true" outlineLevel="0" collapsed="false">
      <c r="A5903" s="11" t="str">
        <f aca="false">IF(원본명단!$A5902="","",5900)</f>
        <v/>
      </c>
      <c r="B5903" s="12" t="str">
        <f aca="false">IF($A5903="","",원본명단!$A5902)</f>
        <v/>
      </c>
      <c r="C5903" s="12" t="str">
        <f aca="false">IF($A5903="","",원본명단!$B5902)</f>
        <v/>
      </c>
      <c r="D5903" s="12" t="str">
        <f aca="false">IF($A5903="","",원본명단!$D5902)</f>
        <v/>
      </c>
      <c r="E5903" s="11" t="str">
        <f aca="false">IF($A5903="","",IF(원본명단!$H5902="",0,COUNTIF(원본명단!$H$3:$H$6002,원본명단!$H5902)))</f>
        <v/>
      </c>
      <c r="F5903" s="11" t="str">
        <f aca="false">IF($A5903="","",IF(원본명단!$I5902="",0,COUNTIF(원본명단!$I$3:$I$6002,원본명단!$I5902)))</f>
        <v/>
      </c>
      <c r="G5903" s="11" t="str">
        <f aca="false">IF($A5903="","",IF(원본명단!$K5902="",0,COUNTIF(원본명단!$K$3:$K$6002,원본명단!$K5902)))</f>
        <v/>
      </c>
      <c r="H5903" s="11" t="str">
        <f aca="false">IF($A5903="","",IF(MAX($E5903,$F5903,$G5903)&gt;1,"중복","-"))</f>
        <v/>
      </c>
      <c r="I5903" s="11" t="str">
        <f aca="false">IF($A5903="","",IF($H5903="-","-",IF(AND(IF(원본명단!$H5902="",TRUE(),COUNTIF(원본명단!$H$3:$H5902,원본명단!$H5902)=1),IF(원본명단!$I5902="",TRUE(),COUNTIF(원본명단!$I$3:$I5902,원본명단!$I5902)=1),IF(원본명단!$K5902="",TRUE(),COUNTIF(원본명단!$K$3:$K5902,원본명단!$K5902)=1)),"첫 건","중복 건")))</f>
        <v/>
      </c>
      <c r="J5903" s="11" t="str">
        <f aca="false">IF($A5903="","",IF($H5903="-","유지",IF($I5903="첫 건","유지","확인 필요")))</f>
        <v/>
      </c>
    </row>
    <row r="5904" customFormat="false" ht="15" hidden="false" customHeight="true" outlineLevel="0" collapsed="false">
      <c r="A5904" s="11" t="str">
        <f aca="false">IF(원본명단!$A5903="","",5901)</f>
        <v/>
      </c>
      <c r="B5904" s="12" t="str">
        <f aca="false">IF($A5904="","",원본명단!$A5903)</f>
        <v/>
      </c>
      <c r="C5904" s="12" t="str">
        <f aca="false">IF($A5904="","",원본명단!$B5903)</f>
        <v/>
      </c>
      <c r="D5904" s="12" t="str">
        <f aca="false">IF($A5904="","",원본명단!$D5903)</f>
        <v/>
      </c>
      <c r="E5904" s="11" t="str">
        <f aca="false">IF($A5904="","",IF(원본명단!$H5903="",0,COUNTIF(원본명단!$H$3:$H$6002,원본명단!$H5903)))</f>
        <v/>
      </c>
      <c r="F5904" s="11" t="str">
        <f aca="false">IF($A5904="","",IF(원본명단!$I5903="",0,COUNTIF(원본명단!$I$3:$I$6002,원본명단!$I5903)))</f>
        <v/>
      </c>
      <c r="G5904" s="11" t="str">
        <f aca="false">IF($A5904="","",IF(원본명단!$K5903="",0,COUNTIF(원본명단!$K$3:$K$6002,원본명단!$K5903)))</f>
        <v/>
      </c>
      <c r="H5904" s="11" t="str">
        <f aca="false">IF($A5904="","",IF(MAX($E5904,$F5904,$G5904)&gt;1,"중복","-"))</f>
        <v/>
      </c>
      <c r="I5904" s="11" t="str">
        <f aca="false">IF($A5904="","",IF($H5904="-","-",IF(AND(IF(원본명단!$H5903="",TRUE(),COUNTIF(원본명단!$H$3:$H5903,원본명단!$H5903)=1),IF(원본명단!$I5903="",TRUE(),COUNTIF(원본명단!$I$3:$I5903,원본명단!$I5903)=1),IF(원본명단!$K5903="",TRUE(),COUNTIF(원본명단!$K$3:$K5903,원본명단!$K5903)=1)),"첫 건","중복 건")))</f>
        <v/>
      </c>
      <c r="J5904" s="11" t="str">
        <f aca="false">IF($A5904="","",IF($H5904="-","유지",IF($I5904="첫 건","유지","확인 필요")))</f>
        <v/>
      </c>
    </row>
    <row r="5905" customFormat="false" ht="15" hidden="false" customHeight="true" outlineLevel="0" collapsed="false">
      <c r="A5905" s="11" t="str">
        <f aca="false">IF(원본명단!$A5904="","",5902)</f>
        <v/>
      </c>
      <c r="B5905" s="12" t="str">
        <f aca="false">IF($A5905="","",원본명단!$A5904)</f>
        <v/>
      </c>
      <c r="C5905" s="12" t="str">
        <f aca="false">IF($A5905="","",원본명단!$B5904)</f>
        <v/>
      </c>
      <c r="D5905" s="12" t="str">
        <f aca="false">IF($A5905="","",원본명단!$D5904)</f>
        <v/>
      </c>
      <c r="E5905" s="11" t="str">
        <f aca="false">IF($A5905="","",IF(원본명단!$H5904="",0,COUNTIF(원본명단!$H$3:$H$6002,원본명단!$H5904)))</f>
        <v/>
      </c>
      <c r="F5905" s="11" t="str">
        <f aca="false">IF($A5905="","",IF(원본명단!$I5904="",0,COUNTIF(원본명단!$I$3:$I$6002,원본명단!$I5904)))</f>
        <v/>
      </c>
      <c r="G5905" s="11" t="str">
        <f aca="false">IF($A5905="","",IF(원본명단!$K5904="",0,COUNTIF(원본명단!$K$3:$K$6002,원본명단!$K5904)))</f>
        <v/>
      </c>
      <c r="H5905" s="11" t="str">
        <f aca="false">IF($A5905="","",IF(MAX($E5905,$F5905,$G5905)&gt;1,"중복","-"))</f>
        <v/>
      </c>
      <c r="I5905" s="11" t="str">
        <f aca="false">IF($A5905="","",IF($H5905="-","-",IF(AND(IF(원본명단!$H5904="",TRUE(),COUNTIF(원본명단!$H$3:$H5904,원본명단!$H5904)=1),IF(원본명단!$I5904="",TRUE(),COUNTIF(원본명단!$I$3:$I5904,원본명단!$I5904)=1),IF(원본명단!$K5904="",TRUE(),COUNTIF(원본명단!$K$3:$K5904,원본명단!$K5904)=1)),"첫 건","중복 건")))</f>
        <v/>
      </c>
      <c r="J5905" s="11" t="str">
        <f aca="false">IF($A5905="","",IF($H5905="-","유지",IF($I5905="첫 건","유지","확인 필요")))</f>
        <v/>
      </c>
    </row>
    <row r="5906" customFormat="false" ht="15" hidden="false" customHeight="true" outlineLevel="0" collapsed="false">
      <c r="A5906" s="11" t="str">
        <f aca="false">IF(원본명단!$A5905="","",5903)</f>
        <v/>
      </c>
      <c r="B5906" s="12" t="str">
        <f aca="false">IF($A5906="","",원본명단!$A5905)</f>
        <v/>
      </c>
      <c r="C5906" s="12" t="str">
        <f aca="false">IF($A5906="","",원본명단!$B5905)</f>
        <v/>
      </c>
      <c r="D5906" s="12" t="str">
        <f aca="false">IF($A5906="","",원본명단!$D5905)</f>
        <v/>
      </c>
      <c r="E5906" s="11" t="str">
        <f aca="false">IF($A5906="","",IF(원본명단!$H5905="",0,COUNTIF(원본명단!$H$3:$H$6002,원본명단!$H5905)))</f>
        <v/>
      </c>
      <c r="F5906" s="11" t="str">
        <f aca="false">IF($A5906="","",IF(원본명단!$I5905="",0,COUNTIF(원본명단!$I$3:$I$6002,원본명단!$I5905)))</f>
        <v/>
      </c>
      <c r="G5906" s="11" t="str">
        <f aca="false">IF($A5906="","",IF(원본명단!$K5905="",0,COUNTIF(원본명단!$K$3:$K$6002,원본명단!$K5905)))</f>
        <v/>
      </c>
      <c r="H5906" s="11" t="str">
        <f aca="false">IF($A5906="","",IF(MAX($E5906,$F5906,$G5906)&gt;1,"중복","-"))</f>
        <v/>
      </c>
      <c r="I5906" s="11" t="str">
        <f aca="false">IF($A5906="","",IF($H5906="-","-",IF(AND(IF(원본명단!$H5905="",TRUE(),COUNTIF(원본명단!$H$3:$H5905,원본명단!$H5905)=1),IF(원본명단!$I5905="",TRUE(),COUNTIF(원본명단!$I$3:$I5905,원본명단!$I5905)=1),IF(원본명단!$K5905="",TRUE(),COUNTIF(원본명단!$K$3:$K5905,원본명단!$K5905)=1)),"첫 건","중복 건")))</f>
        <v/>
      </c>
      <c r="J5906" s="11" t="str">
        <f aca="false">IF($A5906="","",IF($H5906="-","유지",IF($I5906="첫 건","유지","확인 필요")))</f>
        <v/>
      </c>
    </row>
    <row r="5907" customFormat="false" ht="15" hidden="false" customHeight="true" outlineLevel="0" collapsed="false">
      <c r="A5907" s="11" t="str">
        <f aca="false">IF(원본명단!$A5906="","",5904)</f>
        <v/>
      </c>
      <c r="B5907" s="12" t="str">
        <f aca="false">IF($A5907="","",원본명단!$A5906)</f>
        <v/>
      </c>
      <c r="C5907" s="12" t="str">
        <f aca="false">IF($A5907="","",원본명단!$B5906)</f>
        <v/>
      </c>
      <c r="D5907" s="12" t="str">
        <f aca="false">IF($A5907="","",원본명단!$D5906)</f>
        <v/>
      </c>
      <c r="E5907" s="11" t="str">
        <f aca="false">IF($A5907="","",IF(원본명단!$H5906="",0,COUNTIF(원본명단!$H$3:$H$6002,원본명단!$H5906)))</f>
        <v/>
      </c>
      <c r="F5907" s="11" t="str">
        <f aca="false">IF($A5907="","",IF(원본명단!$I5906="",0,COUNTIF(원본명단!$I$3:$I$6002,원본명단!$I5906)))</f>
        <v/>
      </c>
      <c r="G5907" s="11" t="str">
        <f aca="false">IF($A5907="","",IF(원본명단!$K5906="",0,COUNTIF(원본명단!$K$3:$K$6002,원본명단!$K5906)))</f>
        <v/>
      </c>
      <c r="H5907" s="11" t="str">
        <f aca="false">IF($A5907="","",IF(MAX($E5907,$F5907,$G5907)&gt;1,"중복","-"))</f>
        <v/>
      </c>
      <c r="I5907" s="11" t="str">
        <f aca="false">IF($A5907="","",IF($H5907="-","-",IF(AND(IF(원본명단!$H5906="",TRUE(),COUNTIF(원본명단!$H$3:$H5906,원본명단!$H5906)=1),IF(원본명단!$I5906="",TRUE(),COUNTIF(원본명단!$I$3:$I5906,원본명단!$I5906)=1),IF(원본명단!$K5906="",TRUE(),COUNTIF(원본명단!$K$3:$K5906,원본명단!$K5906)=1)),"첫 건","중복 건")))</f>
        <v/>
      </c>
      <c r="J5907" s="11" t="str">
        <f aca="false">IF($A5907="","",IF($H5907="-","유지",IF($I5907="첫 건","유지","확인 필요")))</f>
        <v/>
      </c>
    </row>
    <row r="5908" customFormat="false" ht="15" hidden="false" customHeight="true" outlineLevel="0" collapsed="false">
      <c r="A5908" s="11" t="str">
        <f aca="false">IF(원본명단!$A5907="","",5905)</f>
        <v/>
      </c>
      <c r="B5908" s="12" t="str">
        <f aca="false">IF($A5908="","",원본명단!$A5907)</f>
        <v/>
      </c>
      <c r="C5908" s="12" t="str">
        <f aca="false">IF($A5908="","",원본명단!$B5907)</f>
        <v/>
      </c>
      <c r="D5908" s="12" t="str">
        <f aca="false">IF($A5908="","",원본명단!$D5907)</f>
        <v/>
      </c>
      <c r="E5908" s="11" t="str">
        <f aca="false">IF($A5908="","",IF(원본명단!$H5907="",0,COUNTIF(원본명단!$H$3:$H$6002,원본명단!$H5907)))</f>
        <v/>
      </c>
      <c r="F5908" s="11" t="str">
        <f aca="false">IF($A5908="","",IF(원본명단!$I5907="",0,COUNTIF(원본명단!$I$3:$I$6002,원본명단!$I5907)))</f>
        <v/>
      </c>
      <c r="G5908" s="11" t="str">
        <f aca="false">IF($A5908="","",IF(원본명단!$K5907="",0,COUNTIF(원본명단!$K$3:$K$6002,원본명단!$K5907)))</f>
        <v/>
      </c>
      <c r="H5908" s="11" t="str">
        <f aca="false">IF($A5908="","",IF(MAX($E5908,$F5908,$G5908)&gt;1,"중복","-"))</f>
        <v/>
      </c>
      <c r="I5908" s="11" t="str">
        <f aca="false">IF($A5908="","",IF($H5908="-","-",IF(AND(IF(원본명단!$H5907="",TRUE(),COUNTIF(원본명단!$H$3:$H5907,원본명단!$H5907)=1),IF(원본명단!$I5907="",TRUE(),COUNTIF(원본명단!$I$3:$I5907,원본명단!$I5907)=1),IF(원본명단!$K5907="",TRUE(),COUNTIF(원본명단!$K$3:$K5907,원본명단!$K5907)=1)),"첫 건","중복 건")))</f>
        <v/>
      </c>
      <c r="J5908" s="11" t="str">
        <f aca="false">IF($A5908="","",IF($H5908="-","유지",IF($I5908="첫 건","유지","확인 필요")))</f>
        <v/>
      </c>
    </row>
    <row r="5909" customFormat="false" ht="15" hidden="false" customHeight="true" outlineLevel="0" collapsed="false">
      <c r="A5909" s="11" t="str">
        <f aca="false">IF(원본명단!$A5908="","",5906)</f>
        <v/>
      </c>
      <c r="B5909" s="12" t="str">
        <f aca="false">IF($A5909="","",원본명단!$A5908)</f>
        <v/>
      </c>
      <c r="C5909" s="12" t="str">
        <f aca="false">IF($A5909="","",원본명단!$B5908)</f>
        <v/>
      </c>
      <c r="D5909" s="12" t="str">
        <f aca="false">IF($A5909="","",원본명단!$D5908)</f>
        <v/>
      </c>
      <c r="E5909" s="11" t="str">
        <f aca="false">IF($A5909="","",IF(원본명단!$H5908="",0,COUNTIF(원본명단!$H$3:$H$6002,원본명단!$H5908)))</f>
        <v/>
      </c>
      <c r="F5909" s="11" t="str">
        <f aca="false">IF($A5909="","",IF(원본명단!$I5908="",0,COUNTIF(원본명단!$I$3:$I$6002,원본명단!$I5908)))</f>
        <v/>
      </c>
      <c r="G5909" s="11" t="str">
        <f aca="false">IF($A5909="","",IF(원본명단!$K5908="",0,COUNTIF(원본명단!$K$3:$K$6002,원본명단!$K5908)))</f>
        <v/>
      </c>
      <c r="H5909" s="11" t="str">
        <f aca="false">IF($A5909="","",IF(MAX($E5909,$F5909,$G5909)&gt;1,"중복","-"))</f>
        <v/>
      </c>
      <c r="I5909" s="11" t="str">
        <f aca="false">IF($A5909="","",IF($H5909="-","-",IF(AND(IF(원본명단!$H5908="",TRUE(),COUNTIF(원본명단!$H$3:$H5908,원본명단!$H5908)=1),IF(원본명단!$I5908="",TRUE(),COUNTIF(원본명단!$I$3:$I5908,원본명단!$I5908)=1),IF(원본명단!$K5908="",TRUE(),COUNTIF(원본명단!$K$3:$K5908,원본명단!$K5908)=1)),"첫 건","중복 건")))</f>
        <v/>
      </c>
      <c r="J5909" s="11" t="str">
        <f aca="false">IF($A5909="","",IF($H5909="-","유지",IF($I5909="첫 건","유지","확인 필요")))</f>
        <v/>
      </c>
    </row>
    <row r="5910" customFormat="false" ht="15" hidden="false" customHeight="true" outlineLevel="0" collapsed="false">
      <c r="A5910" s="11" t="str">
        <f aca="false">IF(원본명단!$A5909="","",5907)</f>
        <v/>
      </c>
      <c r="B5910" s="12" t="str">
        <f aca="false">IF($A5910="","",원본명단!$A5909)</f>
        <v/>
      </c>
      <c r="C5910" s="12" t="str">
        <f aca="false">IF($A5910="","",원본명단!$B5909)</f>
        <v/>
      </c>
      <c r="D5910" s="12" t="str">
        <f aca="false">IF($A5910="","",원본명단!$D5909)</f>
        <v/>
      </c>
      <c r="E5910" s="11" t="str">
        <f aca="false">IF($A5910="","",IF(원본명단!$H5909="",0,COUNTIF(원본명단!$H$3:$H$6002,원본명단!$H5909)))</f>
        <v/>
      </c>
      <c r="F5910" s="11" t="str">
        <f aca="false">IF($A5910="","",IF(원본명단!$I5909="",0,COUNTIF(원본명단!$I$3:$I$6002,원본명단!$I5909)))</f>
        <v/>
      </c>
      <c r="G5910" s="11" t="str">
        <f aca="false">IF($A5910="","",IF(원본명단!$K5909="",0,COUNTIF(원본명단!$K$3:$K$6002,원본명단!$K5909)))</f>
        <v/>
      </c>
      <c r="H5910" s="11" t="str">
        <f aca="false">IF($A5910="","",IF(MAX($E5910,$F5910,$G5910)&gt;1,"중복","-"))</f>
        <v/>
      </c>
      <c r="I5910" s="11" t="str">
        <f aca="false">IF($A5910="","",IF($H5910="-","-",IF(AND(IF(원본명단!$H5909="",TRUE(),COUNTIF(원본명단!$H$3:$H5909,원본명단!$H5909)=1),IF(원본명단!$I5909="",TRUE(),COUNTIF(원본명단!$I$3:$I5909,원본명단!$I5909)=1),IF(원본명단!$K5909="",TRUE(),COUNTIF(원본명단!$K$3:$K5909,원본명단!$K5909)=1)),"첫 건","중복 건")))</f>
        <v/>
      </c>
      <c r="J5910" s="11" t="str">
        <f aca="false">IF($A5910="","",IF($H5910="-","유지",IF($I5910="첫 건","유지","확인 필요")))</f>
        <v/>
      </c>
    </row>
    <row r="5911" customFormat="false" ht="15" hidden="false" customHeight="true" outlineLevel="0" collapsed="false">
      <c r="A5911" s="11" t="str">
        <f aca="false">IF(원본명단!$A5910="","",5908)</f>
        <v/>
      </c>
      <c r="B5911" s="12" t="str">
        <f aca="false">IF($A5911="","",원본명단!$A5910)</f>
        <v/>
      </c>
      <c r="C5911" s="12" t="str">
        <f aca="false">IF($A5911="","",원본명단!$B5910)</f>
        <v/>
      </c>
      <c r="D5911" s="12" t="str">
        <f aca="false">IF($A5911="","",원본명단!$D5910)</f>
        <v/>
      </c>
      <c r="E5911" s="11" t="str">
        <f aca="false">IF($A5911="","",IF(원본명단!$H5910="",0,COUNTIF(원본명단!$H$3:$H$6002,원본명단!$H5910)))</f>
        <v/>
      </c>
      <c r="F5911" s="11" t="str">
        <f aca="false">IF($A5911="","",IF(원본명단!$I5910="",0,COUNTIF(원본명단!$I$3:$I$6002,원본명단!$I5910)))</f>
        <v/>
      </c>
      <c r="G5911" s="11" t="str">
        <f aca="false">IF($A5911="","",IF(원본명단!$K5910="",0,COUNTIF(원본명단!$K$3:$K$6002,원본명단!$K5910)))</f>
        <v/>
      </c>
      <c r="H5911" s="11" t="str">
        <f aca="false">IF($A5911="","",IF(MAX($E5911,$F5911,$G5911)&gt;1,"중복","-"))</f>
        <v/>
      </c>
      <c r="I5911" s="11" t="str">
        <f aca="false">IF($A5911="","",IF($H5911="-","-",IF(AND(IF(원본명단!$H5910="",TRUE(),COUNTIF(원본명단!$H$3:$H5910,원본명단!$H5910)=1),IF(원본명단!$I5910="",TRUE(),COUNTIF(원본명단!$I$3:$I5910,원본명단!$I5910)=1),IF(원본명단!$K5910="",TRUE(),COUNTIF(원본명단!$K$3:$K5910,원본명단!$K5910)=1)),"첫 건","중복 건")))</f>
        <v/>
      </c>
      <c r="J5911" s="11" t="str">
        <f aca="false">IF($A5911="","",IF($H5911="-","유지",IF($I5911="첫 건","유지","확인 필요")))</f>
        <v/>
      </c>
    </row>
    <row r="5912" customFormat="false" ht="15" hidden="false" customHeight="true" outlineLevel="0" collapsed="false">
      <c r="A5912" s="11" t="str">
        <f aca="false">IF(원본명단!$A5911="","",5909)</f>
        <v/>
      </c>
      <c r="B5912" s="12" t="str">
        <f aca="false">IF($A5912="","",원본명단!$A5911)</f>
        <v/>
      </c>
      <c r="C5912" s="12" t="str">
        <f aca="false">IF($A5912="","",원본명단!$B5911)</f>
        <v/>
      </c>
      <c r="D5912" s="12" t="str">
        <f aca="false">IF($A5912="","",원본명단!$D5911)</f>
        <v/>
      </c>
      <c r="E5912" s="11" t="str">
        <f aca="false">IF($A5912="","",IF(원본명단!$H5911="",0,COUNTIF(원본명단!$H$3:$H$6002,원본명단!$H5911)))</f>
        <v/>
      </c>
      <c r="F5912" s="11" t="str">
        <f aca="false">IF($A5912="","",IF(원본명단!$I5911="",0,COUNTIF(원본명단!$I$3:$I$6002,원본명단!$I5911)))</f>
        <v/>
      </c>
      <c r="G5912" s="11" t="str">
        <f aca="false">IF($A5912="","",IF(원본명단!$K5911="",0,COUNTIF(원본명단!$K$3:$K$6002,원본명단!$K5911)))</f>
        <v/>
      </c>
      <c r="H5912" s="11" t="str">
        <f aca="false">IF($A5912="","",IF(MAX($E5912,$F5912,$G5912)&gt;1,"중복","-"))</f>
        <v/>
      </c>
      <c r="I5912" s="11" t="str">
        <f aca="false">IF($A5912="","",IF($H5912="-","-",IF(AND(IF(원본명단!$H5911="",TRUE(),COUNTIF(원본명단!$H$3:$H5911,원본명단!$H5911)=1),IF(원본명단!$I5911="",TRUE(),COUNTIF(원본명단!$I$3:$I5911,원본명단!$I5911)=1),IF(원본명단!$K5911="",TRUE(),COUNTIF(원본명단!$K$3:$K5911,원본명단!$K5911)=1)),"첫 건","중복 건")))</f>
        <v/>
      </c>
      <c r="J5912" s="11" t="str">
        <f aca="false">IF($A5912="","",IF($H5912="-","유지",IF($I5912="첫 건","유지","확인 필요")))</f>
        <v/>
      </c>
    </row>
    <row r="5913" customFormat="false" ht="15" hidden="false" customHeight="true" outlineLevel="0" collapsed="false">
      <c r="A5913" s="11" t="str">
        <f aca="false">IF(원본명단!$A5912="","",5910)</f>
        <v/>
      </c>
      <c r="B5913" s="12" t="str">
        <f aca="false">IF($A5913="","",원본명단!$A5912)</f>
        <v/>
      </c>
      <c r="C5913" s="12" t="str">
        <f aca="false">IF($A5913="","",원본명단!$B5912)</f>
        <v/>
      </c>
      <c r="D5913" s="12" t="str">
        <f aca="false">IF($A5913="","",원본명단!$D5912)</f>
        <v/>
      </c>
      <c r="E5913" s="11" t="str">
        <f aca="false">IF($A5913="","",IF(원본명단!$H5912="",0,COUNTIF(원본명단!$H$3:$H$6002,원본명단!$H5912)))</f>
        <v/>
      </c>
      <c r="F5913" s="11" t="str">
        <f aca="false">IF($A5913="","",IF(원본명단!$I5912="",0,COUNTIF(원본명단!$I$3:$I$6002,원본명단!$I5912)))</f>
        <v/>
      </c>
      <c r="G5913" s="11" t="str">
        <f aca="false">IF($A5913="","",IF(원본명단!$K5912="",0,COUNTIF(원본명단!$K$3:$K$6002,원본명단!$K5912)))</f>
        <v/>
      </c>
      <c r="H5913" s="11" t="str">
        <f aca="false">IF($A5913="","",IF(MAX($E5913,$F5913,$G5913)&gt;1,"중복","-"))</f>
        <v/>
      </c>
      <c r="I5913" s="11" t="str">
        <f aca="false">IF($A5913="","",IF($H5913="-","-",IF(AND(IF(원본명단!$H5912="",TRUE(),COUNTIF(원본명단!$H$3:$H5912,원본명단!$H5912)=1),IF(원본명단!$I5912="",TRUE(),COUNTIF(원본명단!$I$3:$I5912,원본명단!$I5912)=1),IF(원본명단!$K5912="",TRUE(),COUNTIF(원본명단!$K$3:$K5912,원본명단!$K5912)=1)),"첫 건","중복 건")))</f>
        <v/>
      </c>
      <c r="J5913" s="11" t="str">
        <f aca="false">IF($A5913="","",IF($H5913="-","유지",IF($I5913="첫 건","유지","확인 필요")))</f>
        <v/>
      </c>
    </row>
    <row r="5914" customFormat="false" ht="15" hidden="false" customHeight="true" outlineLevel="0" collapsed="false">
      <c r="A5914" s="11" t="str">
        <f aca="false">IF(원본명단!$A5913="","",5911)</f>
        <v/>
      </c>
      <c r="B5914" s="12" t="str">
        <f aca="false">IF($A5914="","",원본명단!$A5913)</f>
        <v/>
      </c>
      <c r="C5914" s="12" t="str">
        <f aca="false">IF($A5914="","",원본명단!$B5913)</f>
        <v/>
      </c>
      <c r="D5914" s="12" t="str">
        <f aca="false">IF($A5914="","",원본명단!$D5913)</f>
        <v/>
      </c>
      <c r="E5914" s="11" t="str">
        <f aca="false">IF($A5914="","",IF(원본명단!$H5913="",0,COUNTIF(원본명단!$H$3:$H$6002,원본명단!$H5913)))</f>
        <v/>
      </c>
      <c r="F5914" s="11" t="str">
        <f aca="false">IF($A5914="","",IF(원본명단!$I5913="",0,COUNTIF(원본명단!$I$3:$I$6002,원본명단!$I5913)))</f>
        <v/>
      </c>
      <c r="G5914" s="11" t="str">
        <f aca="false">IF($A5914="","",IF(원본명단!$K5913="",0,COUNTIF(원본명단!$K$3:$K$6002,원본명단!$K5913)))</f>
        <v/>
      </c>
      <c r="H5914" s="11" t="str">
        <f aca="false">IF($A5914="","",IF(MAX($E5914,$F5914,$G5914)&gt;1,"중복","-"))</f>
        <v/>
      </c>
      <c r="I5914" s="11" t="str">
        <f aca="false">IF($A5914="","",IF($H5914="-","-",IF(AND(IF(원본명단!$H5913="",TRUE(),COUNTIF(원본명단!$H$3:$H5913,원본명단!$H5913)=1),IF(원본명단!$I5913="",TRUE(),COUNTIF(원본명단!$I$3:$I5913,원본명단!$I5913)=1),IF(원본명단!$K5913="",TRUE(),COUNTIF(원본명단!$K$3:$K5913,원본명단!$K5913)=1)),"첫 건","중복 건")))</f>
        <v/>
      </c>
      <c r="J5914" s="11" t="str">
        <f aca="false">IF($A5914="","",IF($H5914="-","유지",IF($I5914="첫 건","유지","확인 필요")))</f>
        <v/>
      </c>
    </row>
    <row r="5915" customFormat="false" ht="15" hidden="false" customHeight="true" outlineLevel="0" collapsed="false">
      <c r="A5915" s="11" t="str">
        <f aca="false">IF(원본명단!$A5914="","",5912)</f>
        <v/>
      </c>
      <c r="B5915" s="12" t="str">
        <f aca="false">IF($A5915="","",원본명단!$A5914)</f>
        <v/>
      </c>
      <c r="C5915" s="12" t="str">
        <f aca="false">IF($A5915="","",원본명단!$B5914)</f>
        <v/>
      </c>
      <c r="D5915" s="12" t="str">
        <f aca="false">IF($A5915="","",원본명단!$D5914)</f>
        <v/>
      </c>
      <c r="E5915" s="11" t="str">
        <f aca="false">IF($A5915="","",IF(원본명단!$H5914="",0,COUNTIF(원본명단!$H$3:$H$6002,원본명단!$H5914)))</f>
        <v/>
      </c>
      <c r="F5915" s="11" t="str">
        <f aca="false">IF($A5915="","",IF(원본명단!$I5914="",0,COUNTIF(원본명단!$I$3:$I$6002,원본명단!$I5914)))</f>
        <v/>
      </c>
      <c r="G5915" s="11" t="str">
        <f aca="false">IF($A5915="","",IF(원본명단!$K5914="",0,COUNTIF(원본명단!$K$3:$K$6002,원본명단!$K5914)))</f>
        <v/>
      </c>
      <c r="H5915" s="11" t="str">
        <f aca="false">IF($A5915="","",IF(MAX($E5915,$F5915,$G5915)&gt;1,"중복","-"))</f>
        <v/>
      </c>
      <c r="I5915" s="11" t="str">
        <f aca="false">IF($A5915="","",IF($H5915="-","-",IF(AND(IF(원본명단!$H5914="",TRUE(),COUNTIF(원본명단!$H$3:$H5914,원본명단!$H5914)=1),IF(원본명단!$I5914="",TRUE(),COUNTIF(원본명단!$I$3:$I5914,원본명단!$I5914)=1),IF(원본명단!$K5914="",TRUE(),COUNTIF(원본명단!$K$3:$K5914,원본명단!$K5914)=1)),"첫 건","중복 건")))</f>
        <v/>
      </c>
      <c r="J5915" s="11" t="str">
        <f aca="false">IF($A5915="","",IF($H5915="-","유지",IF($I5915="첫 건","유지","확인 필요")))</f>
        <v/>
      </c>
    </row>
    <row r="5916" customFormat="false" ht="15" hidden="false" customHeight="true" outlineLevel="0" collapsed="false">
      <c r="A5916" s="11" t="str">
        <f aca="false">IF(원본명단!$A5915="","",5913)</f>
        <v/>
      </c>
      <c r="B5916" s="12" t="str">
        <f aca="false">IF($A5916="","",원본명단!$A5915)</f>
        <v/>
      </c>
      <c r="C5916" s="12" t="str">
        <f aca="false">IF($A5916="","",원본명단!$B5915)</f>
        <v/>
      </c>
      <c r="D5916" s="12" t="str">
        <f aca="false">IF($A5916="","",원본명단!$D5915)</f>
        <v/>
      </c>
      <c r="E5916" s="11" t="str">
        <f aca="false">IF($A5916="","",IF(원본명단!$H5915="",0,COUNTIF(원본명단!$H$3:$H$6002,원본명단!$H5915)))</f>
        <v/>
      </c>
      <c r="F5916" s="11" t="str">
        <f aca="false">IF($A5916="","",IF(원본명단!$I5915="",0,COUNTIF(원본명단!$I$3:$I$6002,원본명단!$I5915)))</f>
        <v/>
      </c>
      <c r="G5916" s="11" t="str">
        <f aca="false">IF($A5916="","",IF(원본명단!$K5915="",0,COUNTIF(원본명단!$K$3:$K$6002,원본명단!$K5915)))</f>
        <v/>
      </c>
      <c r="H5916" s="11" t="str">
        <f aca="false">IF($A5916="","",IF(MAX($E5916,$F5916,$G5916)&gt;1,"중복","-"))</f>
        <v/>
      </c>
      <c r="I5916" s="11" t="str">
        <f aca="false">IF($A5916="","",IF($H5916="-","-",IF(AND(IF(원본명단!$H5915="",TRUE(),COUNTIF(원본명단!$H$3:$H5915,원본명단!$H5915)=1),IF(원본명단!$I5915="",TRUE(),COUNTIF(원본명단!$I$3:$I5915,원본명단!$I5915)=1),IF(원본명단!$K5915="",TRUE(),COUNTIF(원본명단!$K$3:$K5915,원본명단!$K5915)=1)),"첫 건","중복 건")))</f>
        <v/>
      </c>
      <c r="J5916" s="11" t="str">
        <f aca="false">IF($A5916="","",IF($H5916="-","유지",IF($I5916="첫 건","유지","확인 필요")))</f>
        <v/>
      </c>
    </row>
    <row r="5917" customFormat="false" ht="15" hidden="false" customHeight="true" outlineLevel="0" collapsed="false">
      <c r="A5917" s="11" t="str">
        <f aca="false">IF(원본명단!$A5916="","",5914)</f>
        <v/>
      </c>
      <c r="B5917" s="12" t="str">
        <f aca="false">IF($A5917="","",원본명단!$A5916)</f>
        <v/>
      </c>
      <c r="C5917" s="12" t="str">
        <f aca="false">IF($A5917="","",원본명단!$B5916)</f>
        <v/>
      </c>
      <c r="D5917" s="12" t="str">
        <f aca="false">IF($A5917="","",원본명단!$D5916)</f>
        <v/>
      </c>
      <c r="E5917" s="11" t="str">
        <f aca="false">IF($A5917="","",IF(원본명단!$H5916="",0,COUNTIF(원본명단!$H$3:$H$6002,원본명단!$H5916)))</f>
        <v/>
      </c>
      <c r="F5917" s="11" t="str">
        <f aca="false">IF($A5917="","",IF(원본명단!$I5916="",0,COUNTIF(원본명단!$I$3:$I$6002,원본명단!$I5916)))</f>
        <v/>
      </c>
      <c r="G5917" s="11" t="str">
        <f aca="false">IF($A5917="","",IF(원본명단!$K5916="",0,COUNTIF(원본명단!$K$3:$K$6002,원본명단!$K5916)))</f>
        <v/>
      </c>
      <c r="H5917" s="11" t="str">
        <f aca="false">IF($A5917="","",IF(MAX($E5917,$F5917,$G5917)&gt;1,"중복","-"))</f>
        <v/>
      </c>
      <c r="I5917" s="11" t="str">
        <f aca="false">IF($A5917="","",IF($H5917="-","-",IF(AND(IF(원본명단!$H5916="",TRUE(),COUNTIF(원본명단!$H$3:$H5916,원본명단!$H5916)=1),IF(원본명단!$I5916="",TRUE(),COUNTIF(원본명단!$I$3:$I5916,원본명단!$I5916)=1),IF(원본명단!$K5916="",TRUE(),COUNTIF(원본명단!$K$3:$K5916,원본명단!$K5916)=1)),"첫 건","중복 건")))</f>
        <v/>
      </c>
      <c r="J5917" s="11" t="str">
        <f aca="false">IF($A5917="","",IF($H5917="-","유지",IF($I5917="첫 건","유지","확인 필요")))</f>
        <v/>
      </c>
    </row>
    <row r="5918" customFormat="false" ht="15" hidden="false" customHeight="true" outlineLevel="0" collapsed="false">
      <c r="A5918" s="11" t="str">
        <f aca="false">IF(원본명단!$A5917="","",5915)</f>
        <v/>
      </c>
      <c r="B5918" s="12" t="str">
        <f aca="false">IF($A5918="","",원본명단!$A5917)</f>
        <v/>
      </c>
      <c r="C5918" s="12" t="str">
        <f aca="false">IF($A5918="","",원본명단!$B5917)</f>
        <v/>
      </c>
      <c r="D5918" s="12" t="str">
        <f aca="false">IF($A5918="","",원본명단!$D5917)</f>
        <v/>
      </c>
      <c r="E5918" s="11" t="str">
        <f aca="false">IF($A5918="","",IF(원본명단!$H5917="",0,COUNTIF(원본명단!$H$3:$H$6002,원본명단!$H5917)))</f>
        <v/>
      </c>
      <c r="F5918" s="11" t="str">
        <f aca="false">IF($A5918="","",IF(원본명단!$I5917="",0,COUNTIF(원본명단!$I$3:$I$6002,원본명단!$I5917)))</f>
        <v/>
      </c>
      <c r="G5918" s="11" t="str">
        <f aca="false">IF($A5918="","",IF(원본명단!$K5917="",0,COUNTIF(원본명단!$K$3:$K$6002,원본명단!$K5917)))</f>
        <v/>
      </c>
      <c r="H5918" s="11" t="str">
        <f aca="false">IF($A5918="","",IF(MAX($E5918,$F5918,$G5918)&gt;1,"중복","-"))</f>
        <v/>
      </c>
      <c r="I5918" s="11" t="str">
        <f aca="false">IF($A5918="","",IF($H5918="-","-",IF(AND(IF(원본명단!$H5917="",TRUE(),COUNTIF(원본명단!$H$3:$H5917,원본명단!$H5917)=1),IF(원본명단!$I5917="",TRUE(),COUNTIF(원본명단!$I$3:$I5917,원본명단!$I5917)=1),IF(원본명단!$K5917="",TRUE(),COUNTIF(원본명단!$K$3:$K5917,원본명단!$K5917)=1)),"첫 건","중복 건")))</f>
        <v/>
      </c>
      <c r="J5918" s="11" t="str">
        <f aca="false">IF($A5918="","",IF($H5918="-","유지",IF($I5918="첫 건","유지","확인 필요")))</f>
        <v/>
      </c>
    </row>
    <row r="5919" customFormat="false" ht="15" hidden="false" customHeight="true" outlineLevel="0" collapsed="false">
      <c r="A5919" s="11" t="str">
        <f aca="false">IF(원본명단!$A5918="","",5916)</f>
        <v/>
      </c>
      <c r="B5919" s="12" t="str">
        <f aca="false">IF($A5919="","",원본명단!$A5918)</f>
        <v/>
      </c>
      <c r="C5919" s="12" t="str">
        <f aca="false">IF($A5919="","",원본명단!$B5918)</f>
        <v/>
      </c>
      <c r="D5919" s="12" t="str">
        <f aca="false">IF($A5919="","",원본명단!$D5918)</f>
        <v/>
      </c>
      <c r="E5919" s="11" t="str">
        <f aca="false">IF($A5919="","",IF(원본명단!$H5918="",0,COUNTIF(원본명단!$H$3:$H$6002,원본명단!$H5918)))</f>
        <v/>
      </c>
      <c r="F5919" s="11" t="str">
        <f aca="false">IF($A5919="","",IF(원본명단!$I5918="",0,COUNTIF(원본명단!$I$3:$I$6002,원본명단!$I5918)))</f>
        <v/>
      </c>
      <c r="G5919" s="11" t="str">
        <f aca="false">IF($A5919="","",IF(원본명단!$K5918="",0,COUNTIF(원본명단!$K$3:$K$6002,원본명단!$K5918)))</f>
        <v/>
      </c>
      <c r="H5919" s="11" t="str">
        <f aca="false">IF($A5919="","",IF(MAX($E5919,$F5919,$G5919)&gt;1,"중복","-"))</f>
        <v/>
      </c>
      <c r="I5919" s="11" t="str">
        <f aca="false">IF($A5919="","",IF($H5919="-","-",IF(AND(IF(원본명단!$H5918="",TRUE(),COUNTIF(원본명단!$H$3:$H5918,원본명단!$H5918)=1),IF(원본명단!$I5918="",TRUE(),COUNTIF(원본명단!$I$3:$I5918,원본명단!$I5918)=1),IF(원본명단!$K5918="",TRUE(),COUNTIF(원본명단!$K$3:$K5918,원본명단!$K5918)=1)),"첫 건","중복 건")))</f>
        <v/>
      </c>
      <c r="J5919" s="11" t="str">
        <f aca="false">IF($A5919="","",IF($H5919="-","유지",IF($I5919="첫 건","유지","확인 필요")))</f>
        <v/>
      </c>
    </row>
    <row r="5920" customFormat="false" ht="15" hidden="false" customHeight="true" outlineLevel="0" collapsed="false">
      <c r="A5920" s="11" t="str">
        <f aca="false">IF(원본명단!$A5919="","",5917)</f>
        <v/>
      </c>
      <c r="B5920" s="12" t="str">
        <f aca="false">IF($A5920="","",원본명단!$A5919)</f>
        <v/>
      </c>
      <c r="C5920" s="12" t="str">
        <f aca="false">IF($A5920="","",원본명단!$B5919)</f>
        <v/>
      </c>
      <c r="D5920" s="12" t="str">
        <f aca="false">IF($A5920="","",원본명단!$D5919)</f>
        <v/>
      </c>
      <c r="E5920" s="11" t="str">
        <f aca="false">IF($A5920="","",IF(원본명단!$H5919="",0,COUNTIF(원본명단!$H$3:$H$6002,원본명단!$H5919)))</f>
        <v/>
      </c>
      <c r="F5920" s="11" t="str">
        <f aca="false">IF($A5920="","",IF(원본명단!$I5919="",0,COUNTIF(원본명단!$I$3:$I$6002,원본명단!$I5919)))</f>
        <v/>
      </c>
      <c r="G5920" s="11" t="str">
        <f aca="false">IF($A5920="","",IF(원본명단!$K5919="",0,COUNTIF(원본명단!$K$3:$K$6002,원본명단!$K5919)))</f>
        <v/>
      </c>
      <c r="H5920" s="11" t="str">
        <f aca="false">IF($A5920="","",IF(MAX($E5920,$F5920,$G5920)&gt;1,"중복","-"))</f>
        <v/>
      </c>
      <c r="I5920" s="11" t="str">
        <f aca="false">IF($A5920="","",IF($H5920="-","-",IF(AND(IF(원본명단!$H5919="",TRUE(),COUNTIF(원본명단!$H$3:$H5919,원본명단!$H5919)=1),IF(원본명단!$I5919="",TRUE(),COUNTIF(원본명단!$I$3:$I5919,원본명단!$I5919)=1),IF(원본명단!$K5919="",TRUE(),COUNTIF(원본명단!$K$3:$K5919,원본명단!$K5919)=1)),"첫 건","중복 건")))</f>
        <v/>
      </c>
      <c r="J5920" s="11" t="str">
        <f aca="false">IF($A5920="","",IF($H5920="-","유지",IF($I5920="첫 건","유지","확인 필요")))</f>
        <v/>
      </c>
    </row>
    <row r="5921" customFormat="false" ht="15" hidden="false" customHeight="true" outlineLevel="0" collapsed="false">
      <c r="A5921" s="11" t="str">
        <f aca="false">IF(원본명단!$A5920="","",5918)</f>
        <v/>
      </c>
      <c r="B5921" s="12" t="str">
        <f aca="false">IF($A5921="","",원본명단!$A5920)</f>
        <v/>
      </c>
      <c r="C5921" s="12" t="str">
        <f aca="false">IF($A5921="","",원본명단!$B5920)</f>
        <v/>
      </c>
      <c r="D5921" s="12" t="str">
        <f aca="false">IF($A5921="","",원본명단!$D5920)</f>
        <v/>
      </c>
      <c r="E5921" s="11" t="str">
        <f aca="false">IF($A5921="","",IF(원본명단!$H5920="",0,COUNTIF(원본명단!$H$3:$H$6002,원본명단!$H5920)))</f>
        <v/>
      </c>
      <c r="F5921" s="11" t="str">
        <f aca="false">IF($A5921="","",IF(원본명단!$I5920="",0,COUNTIF(원본명단!$I$3:$I$6002,원본명단!$I5920)))</f>
        <v/>
      </c>
      <c r="G5921" s="11" t="str">
        <f aca="false">IF($A5921="","",IF(원본명단!$K5920="",0,COUNTIF(원본명단!$K$3:$K$6002,원본명단!$K5920)))</f>
        <v/>
      </c>
      <c r="H5921" s="11" t="str">
        <f aca="false">IF($A5921="","",IF(MAX($E5921,$F5921,$G5921)&gt;1,"중복","-"))</f>
        <v/>
      </c>
      <c r="I5921" s="11" t="str">
        <f aca="false">IF($A5921="","",IF($H5921="-","-",IF(AND(IF(원본명단!$H5920="",TRUE(),COUNTIF(원본명단!$H$3:$H5920,원본명단!$H5920)=1),IF(원본명단!$I5920="",TRUE(),COUNTIF(원본명단!$I$3:$I5920,원본명단!$I5920)=1),IF(원본명단!$K5920="",TRUE(),COUNTIF(원본명단!$K$3:$K5920,원본명단!$K5920)=1)),"첫 건","중복 건")))</f>
        <v/>
      </c>
      <c r="J5921" s="11" t="str">
        <f aca="false">IF($A5921="","",IF($H5921="-","유지",IF($I5921="첫 건","유지","확인 필요")))</f>
        <v/>
      </c>
    </row>
    <row r="5922" customFormat="false" ht="15" hidden="false" customHeight="true" outlineLevel="0" collapsed="false">
      <c r="A5922" s="11" t="str">
        <f aca="false">IF(원본명단!$A5921="","",5919)</f>
        <v/>
      </c>
      <c r="B5922" s="12" t="str">
        <f aca="false">IF($A5922="","",원본명단!$A5921)</f>
        <v/>
      </c>
      <c r="C5922" s="12" t="str">
        <f aca="false">IF($A5922="","",원본명단!$B5921)</f>
        <v/>
      </c>
      <c r="D5922" s="12" t="str">
        <f aca="false">IF($A5922="","",원본명단!$D5921)</f>
        <v/>
      </c>
      <c r="E5922" s="11" t="str">
        <f aca="false">IF($A5922="","",IF(원본명단!$H5921="",0,COUNTIF(원본명단!$H$3:$H$6002,원본명단!$H5921)))</f>
        <v/>
      </c>
      <c r="F5922" s="11" t="str">
        <f aca="false">IF($A5922="","",IF(원본명단!$I5921="",0,COUNTIF(원본명단!$I$3:$I$6002,원본명단!$I5921)))</f>
        <v/>
      </c>
      <c r="G5922" s="11" t="str">
        <f aca="false">IF($A5922="","",IF(원본명단!$K5921="",0,COUNTIF(원본명단!$K$3:$K$6002,원본명단!$K5921)))</f>
        <v/>
      </c>
      <c r="H5922" s="11" t="str">
        <f aca="false">IF($A5922="","",IF(MAX($E5922,$F5922,$G5922)&gt;1,"중복","-"))</f>
        <v/>
      </c>
      <c r="I5922" s="11" t="str">
        <f aca="false">IF($A5922="","",IF($H5922="-","-",IF(AND(IF(원본명단!$H5921="",TRUE(),COUNTIF(원본명단!$H$3:$H5921,원본명단!$H5921)=1),IF(원본명단!$I5921="",TRUE(),COUNTIF(원본명단!$I$3:$I5921,원본명단!$I5921)=1),IF(원본명단!$K5921="",TRUE(),COUNTIF(원본명단!$K$3:$K5921,원본명단!$K5921)=1)),"첫 건","중복 건")))</f>
        <v/>
      </c>
      <c r="J5922" s="11" t="str">
        <f aca="false">IF($A5922="","",IF($H5922="-","유지",IF($I5922="첫 건","유지","확인 필요")))</f>
        <v/>
      </c>
    </row>
    <row r="5923" customFormat="false" ht="15" hidden="false" customHeight="true" outlineLevel="0" collapsed="false">
      <c r="A5923" s="11" t="str">
        <f aca="false">IF(원본명단!$A5922="","",5920)</f>
        <v/>
      </c>
      <c r="B5923" s="12" t="str">
        <f aca="false">IF($A5923="","",원본명단!$A5922)</f>
        <v/>
      </c>
      <c r="C5923" s="12" t="str">
        <f aca="false">IF($A5923="","",원본명단!$B5922)</f>
        <v/>
      </c>
      <c r="D5923" s="12" t="str">
        <f aca="false">IF($A5923="","",원본명단!$D5922)</f>
        <v/>
      </c>
      <c r="E5923" s="11" t="str">
        <f aca="false">IF($A5923="","",IF(원본명단!$H5922="",0,COUNTIF(원본명단!$H$3:$H$6002,원본명단!$H5922)))</f>
        <v/>
      </c>
      <c r="F5923" s="11" t="str">
        <f aca="false">IF($A5923="","",IF(원본명단!$I5922="",0,COUNTIF(원본명단!$I$3:$I$6002,원본명단!$I5922)))</f>
        <v/>
      </c>
      <c r="G5923" s="11" t="str">
        <f aca="false">IF($A5923="","",IF(원본명단!$K5922="",0,COUNTIF(원본명단!$K$3:$K$6002,원본명단!$K5922)))</f>
        <v/>
      </c>
      <c r="H5923" s="11" t="str">
        <f aca="false">IF($A5923="","",IF(MAX($E5923,$F5923,$G5923)&gt;1,"중복","-"))</f>
        <v/>
      </c>
      <c r="I5923" s="11" t="str">
        <f aca="false">IF($A5923="","",IF($H5923="-","-",IF(AND(IF(원본명단!$H5922="",TRUE(),COUNTIF(원본명단!$H$3:$H5922,원본명단!$H5922)=1),IF(원본명단!$I5922="",TRUE(),COUNTIF(원본명단!$I$3:$I5922,원본명단!$I5922)=1),IF(원본명단!$K5922="",TRUE(),COUNTIF(원본명단!$K$3:$K5922,원본명단!$K5922)=1)),"첫 건","중복 건")))</f>
        <v/>
      </c>
      <c r="J5923" s="11" t="str">
        <f aca="false">IF($A5923="","",IF($H5923="-","유지",IF($I5923="첫 건","유지","확인 필요")))</f>
        <v/>
      </c>
    </row>
    <row r="5924" customFormat="false" ht="15" hidden="false" customHeight="true" outlineLevel="0" collapsed="false">
      <c r="A5924" s="11" t="str">
        <f aca="false">IF(원본명단!$A5923="","",5921)</f>
        <v/>
      </c>
      <c r="B5924" s="12" t="str">
        <f aca="false">IF($A5924="","",원본명단!$A5923)</f>
        <v/>
      </c>
      <c r="C5924" s="12" t="str">
        <f aca="false">IF($A5924="","",원본명단!$B5923)</f>
        <v/>
      </c>
      <c r="D5924" s="12" t="str">
        <f aca="false">IF($A5924="","",원본명단!$D5923)</f>
        <v/>
      </c>
      <c r="E5924" s="11" t="str">
        <f aca="false">IF($A5924="","",IF(원본명단!$H5923="",0,COUNTIF(원본명단!$H$3:$H$6002,원본명단!$H5923)))</f>
        <v/>
      </c>
      <c r="F5924" s="11" t="str">
        <f aca="false">IF($A5924="","",IF(원본명단!$I5923="",0,COUNTIF(원본명단!$I$3:$I$6002,원본명단!$I5923)))</f>
        <v/>
      </c>
      <c r="G5924" s="11" t="str">
        <f aca="false">IF($A5924="","",IF(원본명단!$K5923="",0,COUNTIF(원본명단!$K$3:$K$6002,원본명단!$K5923)))</f>
        <v/>
      </c>
      <c r="H5924" s="11" t="str">
        <f aca="false">IF($A5924="","",IF(MAX($E5924,$F5924,$G5924)&gt;1,"중복","-"))</f>
        <v/>
      </c>
      <c r="I5924" s="11" t="str">
        <f aca="false">IF($A5924="","",IF($H5924="-","-",IF(AND(IF(원본명단!$H5923="",TRUE(),COUNTIF(원본명단!$H$3:$H5923,원본명단!$H5923)=1),IF(원본명단!$I5923="",TRUE(),COUNTIF(원본명단!$I$3:$I5923,원본명단!$I5923)=1),IF(원본명단!$K5923="",TRUE(),COUNTIF(원본명단!$K$3:$K5923,원본명단!$K5923)=1)),"첫 건","중복 건")))</f>
        <v/>
      </c>
      <c r="J5924" s="11" t="str">
        <f aca="false">IF($A5924="","",IF($H5924="-","유지",IF($I5924="첫 건","유지","확인 필요")))</f>
        <v/>
      </c>
    </row>
    <row r="5925" customFormat="false" ht="15" hidden="false" customHeight="true" outlineLevel="0" collapsed="false">
      <c r="A5925" s="11" t="str">
        <f aca="false">IF(원본명단!$A5924="","",5922)</f>
        <v/>
      </c>
      <c r="B5925" s="12" t="str">
        <f aca="false">IF($A5925="","",원본명단!$A5924)</f>
        <v/>
      </c>
      <c r="C5925" s="12" t="str">
        <f aca="false">IF($A5925="","",원본명단!$B5924)</f>
        <v/>
      </c>
      <c r="D5925" s="12" t="str">
        <f aca="false">IF($A5925="","",원본명단!$D5924)</f>
        <v/>
      </c>
      <c r="E5925" s="11" t="str">
        <f aca="false">IF($A5925="","",IF(원본명단!$H5924="",0,COUNTIF(원본명단!$H$3:$H$6002,원본명단!$H5924)))</f>
        <v/>
      </c>
      <c r="F5925" s="11" t="str">
        <f aca="false">IF($A5925="","",IF(원본명단!$I5924="",0,COUNTIF(원본명단!$I$3:$I$6002,원본명단!$I5924)))</f>
        <v/>
      </c>
      <c r="G5925" s="11" t="str">
        <f aca="false">IF($A5925="","",IF(원본명단!$K5924="",0,COUNTIF(원본명단!$K$3:$K$6002,원본명단!$K5924)))</f>
        <v/>
      </c>
      <c r="H5925" s="11" t="str">
        <f aca="false">IF($A5925="","",IF(MAX($E5925,$F5925,$G5925)&gt;1,"중복","-"))</f>
        <v/>
      </c>
      <c r="I5925" s="11" t="str">
        <f aca="false">IF($A5925="","",IF($H5925="-","-",IF(AND(IF(원본명단!$H5924="",TRUE(),COUNTIF(원본명단!$H$3:$H5924,원본명단!$H5924)=1),IF(원본명단!$I5924="",TRUE(),COUNTIF(원본명단!$I$3:$I5924,원본명단!$I5924)=1),IF(원본명단!$K5924="",TRUE(),COUNTIF(원본명단!$K$3:$K5924,원본명단!$K5924)=1)),"첫 건","중복 건")))</f>
        <v/>
      </c>
      <c r="J5925" s="11" t="str">
        <f aca="false">IF($A5925="","",IF($H5925="-","유지",IF($I5925="첫 건","유지","확인 필요")))</f>
        <v/>
      </c>
    </row>
    <row r="5926" customFormat="false" ht="15" hidden="false" customHeight="true" outlineLevel="0" collapsed="false">
      <c r="A5926" s="11" t="str">
        <f aca="false">IF(원본명단!$A5925="","",5923)</f>
        <v/>
      </c>
      <c r="B5926" s="12" t="str">
        <f aca="false">IF($A5926="","",원본명단!$A5925)</f>
        <v/>
      </c>
      <c r="C5926" s="12" t="str">
        <f aca="false">IF($A5926="","",원본명단!$B5925)</f>
        <v/>
      </c>
      <c r="D5926" s="12" t="str">
        <f aca="false">IF($A5926="","",원본명단!$D5925)</f>
        <v/>
      </c>
      <c r="E5926" s="11" t="str">
        <f aca="false">IF($A5926="","",IF(원본명단!$H5925="",0,COUNTIF(원본명단!$H$3:$H$6002,원본명단!$H5925)))</f>
        <v/>
      </c>
      <c r="F5926" s="11" t="str">
        <f aca="false">IF($A5926="","",IF(원본명단!$I5925="",0,COUNTIF(원본명단!$I$3:$I$6002,원본명단!$I5925)))</f>
        <v/>
      </c>
      <c r="G5926" s="11" t="str">
        <f aca="false">IF($A5926="","",IF(원본명단!$K5925="",0,COUNTIF(원본명단!$K$3:$K$6002,원본명단!$K5925)))</f>
        <v/>
      </c>
      <c r="H5926" s="11" t="str">
        <f aca="false">IF($A5926="","",IF(MAX($E5926,$F5926,$G5926)&gt;1,"중복","-"))</f>
        <v/>
      </c>
      <c r="I5926" s="11" t="str">
        <f aca="false">IF($A5926="","",IF($H5926="-","-",IF(AND(IF(원본명단!$H5925="",TRUE(),COUNTIF(원본명단!$H$3:$H5925,원본명단!$H5925)=1),IF(원본명단!$I5925="",TRUE(),COUNTIF(원본명단!$I$3:$I5925,원본명단!$I5925)=1),IF(원본명단!$K5925="",TRUE(),COUNTIF(원본명단!$K$3:$K5925,원본명단!$K5925)=1)),"첫 건","중복 건")))</f>
        <v/>
      </c>
      <c r="J5926" s="11" t="str">
        <f aca="false">IF($A5926="","",IF($H5926="-","유지",IF($I5926="첫 건","유지","확인 필요")))</f>
        <v/>
      </c>
    </row>
    <row r="5927" customFormat="false" ht="15" hidden="false" customHeight="true" outlineLevel="0" collapsed="false">
      <c r="A5927" s="11" t="str">
        <f aca="false">IF(원본명단!$A5926="","",5924)</f>
        <v/>
      </c>
      <c r="B5927" s="12" t="str">
        <f aca="false">IF($A5927="","",원본명단!$A5926)</f>
        <v/>
      </c>
      <c r="C5927" s="12" t="str">
        <f aca="false">IF($A5927="","",원본명단!$B5926)</f>
        <v/>
      </c>
      <c r="D5927" s="12" t="str">
        <f aca="false">IF($A5927="","",원본명단!$D5926)</f>
        <v/>
      </c>
      <c r="E5927" s="11" t="str">
        <f aca="false">IF($A5927="","",IF(원본명단!$H5926="",0,COUNTIF(원본명단!$H$3:$H$6002,원본명단!$H5926)))</f>
        <v/>
      </c>
      <c r="F5927" s="11" t="str">
        <f aca="false">IF($A5927="","",IF(원본명단!$I5926="",0,COUNTIF(원본명단!$I$3:$I$6002,원본명단!$I5926)))</f>
        <v/>
      </c>
      <c r="G5927" s="11" t="str">
        <f aca="false">IF($A5927="","",IF(원본명단!$K5926="",0,COUNTIF(원본명단!$K$3:$K$6002,원본명단!$K5926)))</f>
        <v/>
      </c>
      <c r="H5927" s="11" t="str">
        <f aca="false">IF($A5927="","",IF(MAX($E5927,$F5927,$G5927)&gt;1,"중복","-"))</f>
        <v/>
      </c>
      <c r="I5927" s="11" t="str">
        <f aca="false">IF($A5927="","",IF($H5927="-","-",IF(AND(IF(원본명단!$H5926="",TRUE(),COUNTIF(원본명단!$H$3:$H5926,원본명단!$H5926)=1),IF(원본명단!$I5926="",TRUE(),COUNTIF(원본명단!$I$3:$I5926,원본명단!$I5926)=1),IF(원본명단!$K5926="",TRUE(),COUNTIF(원본명단!$K$3:$K5926,원본명단!$K5926)=1)),"첫 건","중복 건")))</f>
        <v/>
      </c>
      <c r="J5927" s="11" t="str">
        <f aca="false">IF($A5927="","",IF($H5927="-","유지",IF($I5927="첫 건","유지","확인 필요")))</f>
        <v/>
      </c>
    </row>
    <row r="5928" customFormat="false" ht="15" hidden="false" customHeight="true" outlineLevel="0" collapsed="false">
      <c r="A5928" s="11" t="str">
        <f aca="false">IF(원본명단!$A5927="","",5925)</f>
        <v/>
      </c>
      <c r="B5928" s="12" t="str">
        <f aca="false">IF($A5928="","",원본명단!$A5927)</f>
        <v/>
      </c>
      <c r="C5928" s="12" t="str">
        <f aca="false">IF($A5928="","",원본명단!$B5927)</f>
        <v/>
      </c>
      <c r="D5928" s="12" t="str">
        <f aca="false">IF($A5928="","",원본명단!$D5927)</f>
        <v/>
      </c>
      <c r="E5928" s="11" t="str">
        <f aca="false">IF($A5928="","",IF(원본명단!$H5927="",0,COUNTIF(원본명단!$H$3:$H$6002,원본명단!$H5927)))</f>
        <v/>
      </c>
      <c r="F5928" s="11" t="str">
        <f aca="false">IF($A5928="","",IF(원본명단!$I5927="",0,COUNTIF(원본명단!$I$3:$I$6002,원본명단!$I5927)))</f>
        <v/>
      </c>
      <c r="G5928" s="11" t="str">
        <f aca="false">IF($A5928="","",IF(원본명단!$K5927="",0,COUNTIF(원본명단!$K$3:$K$6002,원본명단!$K5927)))</f>
        <v/>
      </c>
      <c r="H5928" s="11" t="str">
        <f aca="false">IF($A5928="","",IF(MAX($E5928,$F5928,$G5928)&gt;1,"중복","-"))</f>
        <v/>
      </c>
      <c r="I5928" s="11" t="str">
        <f aca="false">IF($A5928="","",IF($H5928="-","-",IF(AND(IF(원본명단!$H5927="",TRUE(),COUNTIF(원본명단!$H$3:$H5927,원본명단!$H5927)=1),IF(원본명단!$I5927="",TRUE(),COUNTIF(원본명단!$I$3:$I5927,원본명단!$I5927)=1),IF(원본명단!$K5927="",TRUE(),COUNTIF(원본명단!$K$3:$K5927,원본명단!$K5927)=1)),"첫 건","중복 건")))</f>
        <v/>
      </c>
      <c r="J5928" s="11" t="str">
        <f aca="false">IF($A5928="","",IF($H5928="-","유지",IF($I5928="첫 건","유지","확인 필요")))</f>
        <v/>
      </c>
    </row>
    <row r="5929" customFormat="false" ht="15" hidden="false" customHeight="true" outlineLevel="0" collapsed="false">
      <c r="A5929" s="11" t="str">
        <f aca="false">IF(원본명단!$A5928="","",5926)</f>
        <v/>
      </c>
      <c r="B5929" s="12" t="str">
        <f aca="false">IF($A5929="","",원본명단!$A5928)</f>
        <v/>
      </c>
      <c r="C5929" s="12" t="str">
        <f aca="false">IF($A5929="","",원본명단!$B5928)</f>
        <v/>
      </c>
      <c r="D5929" s="12" t="str">
        <f aca="false">IF($A5929="","",원본명단!$D5928)</f>
        <v/>
      </c>
      <c r="E5929" s="11" t="str">
        <f aca="false">IF($A5929="","",IF(원본명단!$H5928="",0,COUNTIF(원본명단!$H$3:$H$6002,원본명단!$H5928)))</f>
        <v/>
      </c>
      <c r="F5929" s="11" t="str">
        <f aca="false">IF($A5929="","",IF(원본명단!$I5928="",0,COUNTIF(원본명단!$I$3:$I$6002,원본명단!$I5928)))</f>
        <v/>
      </c>
      <c r="G5929" s="11" t="str">
        <f aca="false">IF($A5929="","",IF(원본명단!$K5928="",0,COUNTIF(원본명단!$K$3:$K$6002,원본명단!$K5928)))</f>
        <v/>
      </c>
      <c r="H5929" s="11" t="str">
        <f aca="false">IF($A5929="","",IF(MAX($E5929,$F5929,$G5929)&gt;1,"중복","-"))</f>
        <v/>
      </c>
      <c r="I5929" s="11" t="str">
        <f aca="false">IF($A5929="","",IF($H5929="-","-",IF(AND(IF(원본명단!$H5928="",TRUE(),COUNTIF(원본명단!$H$3:$H5928,원본명단!$H5928)=1),IF(원본명단!$I5928="",TRUE(),COUNTIF(원본명단!$I$3:$I5928,원본명단!$I5928)=1),IF(원본명단!$K5928="",TRUE(),COUNTIF(원본명단!$K$3:$K5928,원본명단!$K5928)=1)),"첫 건","중복 건")))</f>
        <v/>
      </c>
      <c r="J5929" s="11" t="str">
        <f aca="false">IF($A5929="","",IF($H5929="-","유지",IF($I5929="첫 건","유지","확인 필요")))</f>
        <v/>
      </c>
    </row>
    <row r="5930" customFormat="false" ht="15" hidden="false" customHeight="true" outlineLevel="0" collapsed="false">
      <c r="A5930" s="11" t="str">
        <f aca="false">IF(원본명단!$A5929="","",5927)</f>
        <v/>
      </c>
      <c r="B5930" s="12" t="str">
        <f aca="false">IF($A5930="","",원본명단!$A5929)</f>
        <v/>
      </c>
      <c r="C5930" s="12" t="str">
        <f aca="false">IF($A5930="","",원본명단!$B5929)</f>
        <v/>
      </c>
      <c r="D5930" s="12" t="str">
        <f aca="false">IF($A5930="","",원본명단!$D5929)</f>
        <v/>
      </c>
      <c r="E5930" s="11" t="str">
        <f aca="false">IF($A5930="","",IF(원본명단!$H5929="",0,COUNTIF(원본명단!$H$3:$H$6002,원본명단!$H5929)))</f>
        <v/>
      </c>
      <c r="F5930" s="11" t="str">
        <f aca="false">IF($A5930="","",IF(원본명단!$I5929="",0,COUNTIF(원본명단!$I$3:$I$6002,원본명단!$I5929)))</f>
        <v/>
      </c>
      <c r="G5930" s="11" t="str">
        <f aca="false">IF($A5930="","",IF(원본명단!$K5929="",0,COUNTIF(원본명단!$K$3:$K$6002,원본명단!$K5929)))</f>
        <v/>
      </c>
      <c r="H5930" s="11" t="str">
        <f aca="false">IF($A5930="","",IF(MAX($E5930,$F5930,$G5930)&gt;1,"중복","-"))</f>
        <v/>
      </c>
      <c r="I5930" s="11" t="str">
        <f aca="false">IF($A5930="","",IF($H5930="-","-",IF(AND(IF(원본명단!$H5929="",TRUE(),COUNTIF(원본명단!$H$3:$H5929,원본명단!$H5929)=1),IF(원본명단!$I5929="",TRUE(),COUNTIF(원본명단!$I$3:$I5929,원본명단!$I5929)=1),IF(원본명단!$K5929="",TRUE(),COUNTIF(원본명단!$K$3:$K5929,원본명단!$K5929)=1)),"첫 건","중복 건")))</f>
        <v/>
      </c>
      <c r="J5930" s="11" t="str">
        <f aca="false">IF($A5930="","",IF($H5930="-","유지",IF($I5930="첫 건","유지","확인 필요")))</f>
        <v/>
      </c>
    </row>
    <row r="5931" customFormat="false" ht="15" hidden="false" customHeight="true" outlineLevel="0" collapsed="false">
      <c r="A5931" s="11" t="str">
        <f aca="false">IF(원본명단!$A5930="","",5928)</f>
        <v/>
      </c>
      <c r="B5931" s="12" t="str">
        <f aca="false">IF($A5931="","",원본명단!$A5930)</f>
        <v/>
      </c>
      <c r="C5931" s="12" t="str">
        <f aca="false">IF($A5931="","",원본명단!$B5930)</f>
        <v/>
      </c>
      <c r="D5931" s="12" t="str">
        <f aca="false">IF($A5931="","",원본명단!$D5930)</f>
        <v/>
      </c>
      <c r="E5931" s="11" t="str">
        <f aca="false">IF($A5931="","",IF(원본명단!$H5930="",0,COUNTIF(원본명단!$H$3:$H$6002,원본명단!$H5930)))</f>
        <v/>
      </c>
      <c r="F5931" s="11" t="str">
        <f aca="false">IF($A5931="","",IF(원본명단!$I5930="",0,COUNTIF(원본명단!$I$3:$I$6002,원본명단!$I5930)))</f>
        <v/>
      </c>
      <c r="G5931" s="11" t="str">
        <f aca="false">IF($A5931="","",IF(원본명단!$K5930="",0,COUNTIF(원본명단!$K$3:$K$6002,원본명단!$K5930)))</f>
        <v/>
      </c>
      <c r="H5931" s="11" t="str">
        <f aca="false">IF($A5931="","",IF(MAX($E5931,$F5931,$G5931)&gt;1,"중복","-"))</f>
        <v/>
      </c>
      <c r="I5931" s="11" t="str">
        <f aca="false">IF($A5931="","",IF($H5931="-","-",IF(AND(IF(원본명단!$H5930="",TRUE(),COUNTIF(원본명단!$H$3:$H5930,원본명단!$H5930)=1),IF(원본명단!$I5930="",TRUE(),COUNTIF(원본명단!$I$3:$I5930,원본명단!$I5930)=1),IF(원본명단!$K5930="",TRUE(),COUNTIF(원본명단!$K$3:$K5930,원본명단!$K5930)=1)),"첫 건","중복 건")))</f>
        <v/>
      </c>
      <c r="J5931" s="11" t="str">
        <f aca="false">IF($A5931="","",IF($H5931="-","유지",IF($I5931="첫 건","유지","확인 필요")))</f>
        <v/>
      </c>
    </row>
    <row r="5932" customFormat="false" ht="15" hidden="false" customHeight="true" outlineLevel="0" collapsed="false">
      <c r="A5932" s="11" t="str">
        <f aca="false">IF(원본명단!$A5931="","",5929)</f>
        <v/>
      </c>
      <c r="B5932" s="12" t="str">
        <f aca="false">IF($A5932="","",원본명단!$A5931)</f>
        <v/>
      </c>
      <c r="C5932" s="12" t="str">
        <f aca="false">IF($A5932="","",원본명단!$B5931)</f>
        <v/>
      </c>
      <c r="D5932" s="12" t="str">
        <f aca="false">IF($A5932="","",원본명단!$D5931)</f>
        <v/>
      </c>
      <c r="E5932" s="11" t="str">
        <f aca="false">IF($A5932="","",IF(원본명단!$H5931="",0,COUNTIF(원본명단!$H$3:$H$6002,원본명단!$H5931)))</f>
        <v/>
      </c>
      <c r="F5932" s="11" t="str">
        <f aca="false">IF($A5932="","",IF(원본명단!$I5931="",0,COUNTIF(원본명단!$I$3:$I$6002,원본명단!$I5931)))</f>
        <v/>
      </c>
      <c r="G5932" s="11" t="str">
        <f aca="false">IF($A5932="","",IF(원본명단!$K5931="",0,COUNTIF(원본명단!$K$3:$K$6002,원본명단!$K5931)))</f>
        <v/>
      </c>
      <c r="H5932" s="11" t="str">
        <f aca="false">IF($A5932="","",IF(MAX($E5932,$F5932,$G5932)&gt;1,"중복","-"))</f>
        <v/>
      </c>
      <c r="I5932" s="11" t="str">
        <f aca="false">IF($A5932="","",IF($H5932="-","-",IF(AND(IF(원본명단!$H5931="",TRUE(),COUNTIF(원본명단!$H$3:$H5931,원본명단!$H5931)=1),IF(원본명단!$I5931="",TRUE(),COUNTIF(원본명단!$I$3:$I5931,원본명단!$I5931)=1),IF(원본명단!$K5931="",TRUE(),COUNTIF(원본명단!$K$3:$K5931,원본명단!$K5931)=1)),"첫 건","중복 건")))</f>
        <v/>
      </c>
      <c r="J5932" s="11" t="str">
        <f aca="false">IF($A5932="","",IF($H5932="-","유지",IF($I5932="첫 건","유지","확인 필요")))</f>
        <v/>
      </c>
    </row>
    <row r="5933" customFormat="false" ht="15" hidden="false" customHeight="true" outlineLevel="0" collapsed="false">
      <c r="A5933" s="11" t="str">
        <f aca="false">IF(원본명단!$A5932="","",5930)</f>
        <v/>
      </c>
      <c r="B5933" s="12" t="str">
        <f aca="false">IF($A5933="","",원본명단!$A5932)</f>
        <v/>
      </c>
      <c r="C5933" s="12" t="str">
        <f aca="false">IF($A5933="","",원본명단!$B5932)</f>
        <v/>
      </c>
      <c r="D5933" s="12" t="str">
        <f aca="false">IF($A5933="","",원본명단!$D5932)</f>
        <v/>
      </c>
      <c r="E5933" s="11" t="str">
        <f aca="false">IF($A5933="","",IF(원본명단!$H5932="",0,COUNTIF(원본명단!$H$3:$H$6002,원본명단!$H5932)))</f>
        <v/>
      </c>
      <c r="F5933" s="11" t="str">
        <f aca="false">IF($A5933="","",IF(원본명단!$I5932="",0,COUNTIF(원본명단!$I$3:$I$6002,원본명단!$I5932)))</f>
        <v/>
      </c>
      <c r="G5933" s="11" t="str">
        <f aca="false">IF($A5933="","",IF(원본명단!$K5932="",0,COUNTIF(원본명단!$K$3:$K$6002,원본명단!$K5932)))</f>
        <v/>
      </c>
      <c r="H5933" s="11" t="str">
        <f aca="false">IF($A5933="","",IF(MAX($E5933,$F5933,$G5933)&gt;1,"중복","-"))</f>
        <v/>
      </c>
      <c r="I5933" s="11" t="str">
        <f aca="false">IF($A5933="","",IF($H5933="-","-",IF(AND(IF(원본명단!$H5932="",TRUE(),COUNTIF(원본명단!$H$3:$H5932,원본명단!$H5932)=1),IF(원본명단!$I5932="",TRUE(),COUNTIF(원본명단!$I$3:$I5932,원본명단!$I5932)=1),IF(원본명단!$K5932="",TRUE(),COUNTIF(원본명단!$K$3:$K5932,원본명단!$K5932)=1)),"첫 건","중복 건")))</f>
        <v/>
      </c>
      <c r="J5933" s="11" t="str">
        <f aca="false">IF($A5933="","",IF($H5933="-","유지",IF($I5933="첫 건","유지","확인 필요")))</f>
        <v/>
      </c>
    </row>
    <row r="5934" customFormat="false" ht="15" hidden="false" customHeight="true" outlineLevel="0" collapsed="false">
      <c r="A5934" s="11" t="str">
        <f aca="false">IF(원본명단!$A5933="","",5931)</f>
        <v/>
      </c>
      <c r="B5934" s="12" t="str">
        <f aca="false">IF($A5934="","",원본명단!$A5933)</f>
        <v/>
      </c>
      <c r="C5934" s="12" t="str">
        <f aca="false">IF($A5934="","",원본명단!$B5933)</f>
        <v/>
      </c>
      <c r="D5934" s="12" t="str">
        <f aca="false">IF($A5934="","",원본명단!$D5933)</f>
        <v/>
      </c>
      <c r="E5934" s="11" t="str">
        <f aca="false">IF($A5934="","",IF(원본명단!$H5933="",0,COUNTIF(원본명단!$H$3:$H$6002,원본명단!$H5933)))</f>
        <v/>
      </c>
      <c r="F5934" s="11" t="str">
        <f aca="false">IF($A5934="","",IF(원본명단!$I5933="",0,COUNTIF(원본명단!$I$3:$I$6002,원본명단!$I5933)))</f>
        <v/>
      </c>
      <c r="G5934" s="11" t="str">
        <f aca="false">IF($A5934="","",IF(원본명단!$K5933="",0,COUNTIF(원본명단!$K$3:$K$6002,원본명단!$K5933)))</f>
        <v/>
      </c>
      <c r="H5934" s="11" t="str">
        <f aca="false">IF($A5934="","",IF(MAX($E5934,$F5934,$G5934)&gt;1,"중복","-"))</f>
        <v/>
      </c>
      <c r="I5934" s="11" t="str">
        <f aca="false">IF($A5934="","",IF($H5934="-","-",IF(AND(IF(원본명단!$H5933="",TRUE(),COUNTIF(원본명단!$H$3:$H5933,원본명단!$H5933)=1),IF(원본명단!$I5933="",TRUE(),COUNTIF(원본명단!$I$3:$I5933,원본명단!$I5933)=1),IF(원본명단!$K5933="",TRUE(),COUNTIF(원본명단!$K$3:$K5933,원본명단!$K5933)=1)),"첫 건","중복 건")))</f>
        <v/>
      </c>
      <c r="J5934" s="11" t="str">
        <f aca="false">IF($A5934="","",IF($H5934="-","유지",IF($I5934="첫 건","유지","확인 필요")))</f>
        <v/>
      </c>
    </row>
    <row r="5935" customFormat="false" ht="15" hidden="false" customHeight="true" outlineLevel="0" collapsed="false">
      <c r="A5935" s="11" t="str">
        <f aca="false">IF(원본명단!$A5934="","",5932)</f>
        <v/>
      </c>
      <c r="B5935" s="12" t="str">
        <f aca="false">IF($A5935="","",원본명단!$A5934)</f>
        <v/>
      </c>
      <c r="C5935" s="12" t="str">
        <f aca="false">IF($A5935="","",원본명단!$B5934)</f>
        <v/>
      </c>
      <c r="D5935" s="12" t="str">
        <f aca="false">IF($A5935="","",원본명단!$D5934)</f>
        <v/>
      </c>
      <c r="E5935" s="11" t="str">
        <f aca="false">IF($A5935="","",IF(원본명단!$H5934="",0,COUNTIF(원본명단!$H$3:$H$6002,원본명단!$H5934)))</f>
        <v/>
      </c>
      <c r="F5935" s="11" t="str">
        <f aca="false">IF($A5935="","",IF(원본명단!$I5934="",0,COUNTIF(원본명단!$I$3:$I$6002,원본명단!$I5934)))</f>
        <v/>
      </c>
      <c r="G5935" s="11" t="str">
        <f aca="false">IF($A5935="","",IF(원본명단!$K5934="",0,COUNTIF(원본명단!$K$3:$K$6002,원본명단!$K5934)))</f>
        <v/>
      </c>
      <c r="H5935" s="11" t="str">
        <f aca="false">IF($A5935="","",IF(MAX($E5935,$F5935,$G5935)&gt;1,"중복","-"))</f>
        <v/>
      </c>
      <c r="I5935" s="11" t="str">
        <f aca="false">IF($A5935="","",IF($H5935="-","-",IF(AND(IF(원본명단!$H5934="",TRUE(),COUNTIF(원본명단!$H$3:$H5934,원본명단!$H5934)=1),IF(원본명단!$I5934="",TRUE(),COUNTIF(원본명단!$I$3:$I5934,원본명단!$I5934)=1),IF(원본명단!$K5934="",TRUE(),COUNTIF(원본명단!$K$3:$K5934,원본명단!$K5934)=1)),"첫 건","중복 건")))</f>
        <v/>
      </c>
      <c r="J5935" s="11" t="str">
        <f aca="false">IF($A5935="","",IF($H5935="-","유지",IF($I5935="첫 건","유지","확인 필요")))</f>
        <v/>
      </c>
    </row>
    <row r="5936" customFormat="false" ht="15" hidden="false" customHeight="true" outlineLevel="0" collapsed="false">
      <c r="A5936" s="11" t="str">
        <f aca="false">IF(원본명단!$A5935="","",5933)</f>
        <v/>
      </c>
      <c r="B5936" s="12" t="str">
        <f aca="false">IF($A5936="","",원본명단!$A5935)</f>
        <v/>
      </c>
      <c r="C5936" s="12" t="str">
        <f aca="false">IF($A5936="","",원본명단!$B5935)</f>
        <v/>
      </c>
      <c r="D5936" s="12" t="str">
        <f aca="false">IF($A5936="","",원본명단!$D5935)</f>
        <v/>
      </c>
      <c r="E5936" s="11" t="str">
        <f aca="false">IF($A5936="","",IF(원본명단!$H5935="",0,COUNTIF(원본명단!$H$3:$H$6002,원본명단!$H5935)))</f>
        <v/>
      </c>
      <c r="F5936" s="11" t="str">
        <f aca="false">IF($A5936="","",IF(원본명단!$I5935="",0,COUNTIF(원본명단!$I$3:$I$6002,원본명단!$I5935)))</f>
        <v/>
      </c>
      <c r="G5936" s="11" t="str">
        <f aca="false">IF($A5936="","",IF(원본명단!$K5935="",0,COUNTIF(원본명단!$K$3:$K$6002,원본명단!$K5935)))</f>
        <v/>
      </c>
      <c r="H5936" s="11" t="str">
        <f aca="false">IF($A5936="","",IF(MAX($E5936,$F5936,$G5936)&gt;1,"중복","-"))</f>
        <v/>
      </c>
      <c r="I5936" s="11" t="str">
        <f aca="false">IF($A5936="","",IF($H5936="-","-",IF(AND(IF(원본명단!$H5935="",TRUE(),COUNTIF(원본명단!$H$3:$H5935,원본명단!$H5935)=1),IF(원본명단!$I5935="",TRUE(),COUNTIF(원본명단!$I$3:$I5935,원본명단!$I5935)=1),IF(원본명단!$K5935="",TRUE(),COUNTIF(원본명단!$K$3:$K5935,원본명단!$K5935)=1)),"첫 건","중복 건")))</f>
        <v/>
      </c>
      <c r="J5936" s="11" t="str">
        <f aca="false">IF($A5936="","",IF($H5936="-","유지",IF($I5936="첫 건","유지","확인 필요")))</f>
        <v/>
      </c>
    </row>
    <row r="5937" customFormat="false" ht="15" hidden="false" customHeight="true" outlineLevel="0" collapsed="false">
      <c r="A5937" s="11" t="str">
        <f aca="false">IF(원본명단!$A5936="","",5934)</f>
        <v/>
      </c>
      <c r="B5937" s="12" t="str">
        <f aca="false">IF($A5937="","",원본명단!$A5936)</f>
        <v/>
      </c>
      <c r="C5937" s="12" t="str">
        <f aca="false">IF($A5937="","",원본명단!$B5936)</f>
        <v/>
      </c>
      <c r="D5937" s="12" t="str">
        <f aca="false">IF($A5937="","",원본명단!$D5936)</f>
        <v/>
      </c>
      <c r="E5937" s="11" t="str">
        <f aca="false">IF($A5937="","",IF(원본명단!$H5936="",0,COUNTIF(원본명단!$H$3:$H$6002,원본명단!$H5936)))</f>
        <v/>
      </c>
      <c r="F5937" s="11" t="str">
        <f aca="false">IF($A5937="","",IF(원본명단!$I5936="",0,COUNTIF(원본명단!$I$3:$I$6002,원본명단!$I5936)))</f>
        <v/>
      </c>
      <c r="G5937" s="11" t="str">
        <f aca="false">IF($A5937="","",IF(원본명단!$K5936="",0,COUNTIF(원본명단!$K$3:$K$6002,원본명단!$K5936)))</f>
        <v/>
      </c>
      <c r="H5937" s="11" t="str">
        <f aca="false">IF($A5937="","",IF(MAX($E5937,$F5937,$G5937)&gt;1,"중복","-"))</f>
        <v/>
      </c>
      <c r="I5937" s="11" t="str">
        <f aca="false">IF($A5937="","",IF($H5937="-","-",IF(AND(IF(원본명단!$H5936="",TRUE(),COUNTIF(원본명단!$H$3:$H5936,원본명단!$H5936)=1),IF(원본명단!$I5936="",TRUE(),COUNTIF(원본명단!$I$3:$I5936,원본명단!$I5936)=1),IF(원본명단!$K5936="",TRUE(),COUNTIF(원본명단!$K$3:$K5936,원본명단!$K5936)=1)),"첫 건","중복 건")))</f>
        <v/>
      </c>
      <c r="J5937" s="11" t="str">
        <f aca="false">IF($A5937="","",IF($H5937="-","유지",IF($I5937="첫 건","유지","확인 필요")))</f>
        <v/>
      </c>
    </row>
    <row r="5938" customFormat="false" ht="15" hidden="false" customHeight="true" outlineLevel="0" collapsed="false">
      <c r="A5938" s="11" t="str">
        <f aca="false">IF(원본명단!$A5937="","",5935)</f>
        <v/>
      </c>
      <c r="B5938" s="12" t="str">
        <f aca="false">IF($A5938="","",원본명단!$A5937)</f>
        <v/>
      </c>
      <c r="C5938" s="12" t="str">
        <f aca="false">IF($A5938="","",원본명단!$B5937)</f>
        <v/>
      </c>
      <c r="D5938" s="12" t="str">
        <f aca="false">IF($A5938="","",원본명단!$D5937)</f>
        <v/>
      </c>
      <c r="E5938" s="11" t="str">
        <f aca="false">IF($A5938="","",IF(원본명단!$H5937="",0,COUNTIF(원본명단!$H$3:$H$6002,원본명단!$H5937)))</f>
        <v/>
      </c>
      <c r="F5938" s="11" t="str">
        <f aca="false">IF($A5938="","",IF(원본명단!$I5937="",0,COUNTIF(원본명단!$I$3:$I$6002,원본명단!$I5937)))</f>
        <v/>
      </c>
      <c r="G5938" s="11" t="str">
        <f aca="false">IF($A5938="","",IF(원본명단!$K5937="",0,COUNTIF(원본명단!$K$3:$K$6002,원본명단!$K5937)))</f>
        <v/>
      </c>
      <c r="H5938" s="11" t="str">
        <f aca="false">IF($A5938="","",IF(MAX($E5938,$F5938,$G5938)&gt;1,"중복","-"))</f>
        <v/>
      </c>
      <c r="I5938" s="11" t="str">
        <f aca="false">IF($A5938="","",IF($H5938="-","-",IF(AND(IF(원본명단!$H5937="",TRUE(),COUNTIF(원본명단!$H$3:$H5937,원본명단!$H5937)=1),IF(원본명단!$I5937="",TRUE(),COUNTIF(원본명단!$I$3:$I5937,원본명단!$I5937)=1),IF(원본명단!$K5937="",TRUE(),COUNTIF(원본명단!$K$3:$K5937,원본명단!$K5937)=1)),"첫 건","중복 건")))</f>
        <v/>
      </c>
      <c r="J5938" s="11" t="str">
        <f aca="false">IF($A5938="","",IF($H5938="-","유지",IF($I5938="첫 건","유지","확인 필요")))</f>
        <v/>
      </c>
    </row>
    <row r="5939" customFormat="false" ht="15" hidden="false" customHeight="true" outlineLevel="0" collapsed="false">
      <c r="A5939" s="11" t="str">
        <f aca="false">IF(원본명단!$A5938="","",5936)</f>
        <v/>
      </c>
      <c r="B5939" s="12" t="str">
        <f aca="false">IF($A5939="","",원본명단!$A5938)</f>
        <v/>
      </c>
      <c r="C5939" s="12" t="str">
        <f aca="false">IF($A5939="","",원본명단!$B5938)</f>
        <v/>
      </c>
      <c r="D5939" s="12" t="str">
        <f aca="false">IF($A5939="","",원본명단!$D5938)</f>
        <v/>
      </c>
      <c r="E5939" s="11" t="str">
        <f aca="false">IF($A5939="","",IF(원본명단!$H5938="",0,COUNTIF(원본명단!$H$3:$H$6002,원본명단!$H5938)))</f>
        <v/>
      </c>
      <c r="F5939" s="11" t="str">
        <f aca="false">IF($A5939="","",IF(원본명단!$I5938="",0,COUNTIF(원본명단!$I$3:$I$6002,원본명단!$I5938)))</f>
        <v/>
      </c>
      <c r="G5939" s="11" t="str">
        <f aca="false">IF($A5939="","",IF(원본명단!$K5938="",0,COUNTIF(원본명단!$K$3:$K$6002,원본명단!$K5938)))</f>
        <v/>
      </c>
      <c r="H5939" s="11" t="str">
        <f aca="false">IF($A5939="","",IF(MAX($E5939,$F5939,$G5939)&gt;1,"중복","-"))</f>
        <v/>
      </c>
      <c r="I5939" s="11" t="str">
        <f aca="false">IF($A5939="","",IF($H5939="-","-",IF(AND(IF(원본명단!$H5938="",TRUE(),COUNTIF(원본명단!$H$3:$H5938,원본명단!$H5938)=1),IF(원본명단!$I5938="",TRUE(),COUNTIF(원본명단!$I$3:$I5938,원본명단!$I5938)=1),IF(원본명단!$K5938="",TRUE(),COUNTIF(원본명단!$K$3:$K5938,원본명단!$K5938)=1)),"첫 건","중복 건")))</f>
        <v/>
      </c>
      <c r="J5939" s="11" t="str">
        <f aca="false">IF($A5939="","",IF($H5939="-","유지",IF($I5939="첫 건","유지","확인 필요")))</f>
        <v/>
      </c>
    </row>
    <row r="5940" customFormat="false" ht="15" hidden="false" customHeight="true" outlineLevel="0" collapsed="false">
      <c r="A5940" s="11" t="str">
        <f aca="false">IF(원본명단!$A5939="","",5937)</f>
        <v/>
      </c>
      <c r="B5940" s="12" t="str">
        <f aca="false">IF($A5940="","",원본명단!$A5939)</f>
        <v/>
      </c>
      <c r="C5940" s="12" t="str">
        <f aca="false">IF($A5940="","",원본명단!$B5939)</f>
        <v/>
      </c>
      <c r="D5940" s="12" t="str">
        <f aca="false">IF($A5940="","",원본명단!$D5939)</f>
        <v/>
      </c>
      <c r="E5940" s="11" t="str">
        <f aca="false">IF($A5940="","",IF(원본명단!$H5939="",0,COUNTIF(원본명단!$H$3:$H$6002,원본명단!$H5939)))</f>
        <v/>
      </c>
      <c r="F5940" s="11" t="str">
        <f aca="false">IF($A5940="","",IF(원본명단!$I5939="",0,COUNTIF(원본명단!$I$3:$I$6002,원본명단!$I5939)))</f>
        <v/>
      </c>
      <c r="G5940" s="11" t="str">
        <f aca="false">IF($A5940="","",IF(원본명단!$K5939="",0,COUNTIF(원본명단!$K$3:$K$6002,원본명단!$K5939)))</f>
        <v/>
      </c>
      <c r="H5940" s="11" t="str">
        <f aca="false">IF($A5940="","",IF(MAX($E5940,$F5940,$G5940)&gt;1,"중복","-"))</f>
        <v/>
      </c>
      <c r="I5940" s="11" t="str">
        <f aca="false">IF($A5940="","",IF($H5940="-","-",IF(AND(IF(원본명단!$H5939="",TRUE(),COUNTIF(원본명단!$H$3:$H5939,원본명단!$H5939)=1),IF(원본명단!$I5939="",TRUE(),COUNTIF(원본명단!$I$3:$I5939,원본명단!$I5939)=1),IF(원본명단!$K5939="",TRUE(),COUNTIF(원본명단!$K$3:$K5939,원본명단!$K5939)=1)),"첫 건","중복 건")))</f>
        <v/>
      </c>
      <c r="J5940" s="11" t="str">
        <f aca="false">IF($A5940="","",IF($H5940="-","유지",IF($I5940="첫 건","유지","확인 필요")))</f>
        <v/>
      </c>
    </row>
    <row r="5941" customFormat="false" ht="15" hidden="false" customHeight="true" outlineLevel="0" collapsed="false">
      <c r="A5941" s="11" t="str">
        <f aca="false">IF(원본명단!$A5940="","",5938)</f>
        <v/>
      </c>
      <c r="B5941" s="12" t="str">
        <f aca="false">IF($A5941="","",원본명단!$A5940)</f>
        <v/>
      </c>
      <c r="C5941" s="12" t="str">
        <f aca="false">IF($A5941="","",원본명단!$B5940)</f>
        <v/>
      </c>
      <c r="D5941" s="12" t="str">
        <f aca="false">IF($A5941="","",원본명단!$D5940)</f>
        <v/>
      </c>
      <c r="E5941" s="11" t="str">
        <f aca="false">IF($A5941="","",IF(원본명단!$H5940="",0,COUNTIF(원본명단!$H$3:$H$6002,원본명단!$H5940)))</f>
        <v/>
      </c>
      <c r="F5941" s="11" t="str">
        <f aca="false">IF($A5941="","",IF(원본명단!$I5940="",0,COUNTIF(원본명단!$I$3:$I$6002,원본명단!$I5940)))</f>
        <v/>
      </c>
      <c r="G5941" s="11" t="str">
        <f aca="false">IF($A5941="","",IF(원본명단!$K5940="",0,COUNTIF(원본명단!$K$3:$K$6002,원본명단!$K5940)))</f>
        <v/>
      </c>
      <c r="H5941" s="11" t="str">
        <f aca="false">IF($A5941="","",IF(MAX($E5941,$F5941,$G5941)&gt;1,"중복","-"))</f>
        <v/>
      </c>
      <c r="I5941" s="11" t="str">
        <f aca="false">IF($A5941="","",IF($H5941="-","-",IF(AND(IF(원본명단!$H5940="",TRUE(),COUNTIF(원본명단!$H$3:$H5940,원본명단!$H5940)=1),IF(원본명단!$I5940="",TRUE(),COUNTIF(원본명단!$I$3:$I5940,원본명단!$I5940)=1),IF(원본명단!$K5940="",TRUE(),COUNTIF(원본명단!$K$3:$K5940,원본명단!$K5940)=1)),"첫 건","중복 건")))</f>
        <v/>
      </c>
      <c r="J5941" s="11" t="str">
        <f aca="false">IF($A5941="","",IF($H5941="-","유지",IF($I5941="첫 건","유지","확인 필요")))</f>
        <v/>
      </c>
    </row>
    <row r="5942" customFormat="false" ht="15" hidden="false" customHeight="true" outlineLevel="0" collapsed="false">
      <c r="A5942" s="11" t="str">
        <f aca="false">IF(원본명단!$A5941="","",5939)</f>
        <v/>
      </c>
      <c r="B5942" s="12" t="str">
        <f aca="false">IF($A5942="","",원본명단!$A5941)</f>
        <v/>
      </c>
      <c r="C5942" s="12" t="str">
        <f aca="false">IF($A5942="","",원본명단!$B5941)</f>
        <v/>
      </c>
      <c r="D5942" s="12" t="str">
        <f aca="false">IF($A5942="","",원본명단!$D5941)</f>
        <v/>
      </c>
      <c r="E5942" s="11" t="str">
        <f aca="false">IF($A5942="","",IF(원본명단!$H5941="",0,COUNTIF(원본명단!$H$3:$H$6002,원본명단!$H5941)))</f>
        <v/>
      </c>
      <c r="F5942" s="11" t="str">
        <f aca="false">IF($A5942="","",IF(원본명단!$I5941="",0,COUNTIF(원본명단!$I$3:$I$6002,원본명단!$I5941)))</f>
        <v/>
      </c>
      <c r="G5942" s="11" t="str">
        <f aca="false">IF($A5942="","",IF(원본명단!$K5941="",0,COUNTIF(원본명단!$K$3:$K$6002,원본명단!$K5941)))</f>
        <v/>
      </c>
      <c r="H5942" s="11" t="str">
        <f aca="false">IF($A5942="","",IF(MAX($E5942,$F5942,$G5942)&gt;1,"중복","-"))</f>
        <v/>
      </c>
      <c r="I5942" s="11" t="str">
        <f aca="false">IF($A5942="","",IF($H5942="-","-",IF(AND(IF(원본명단!$H5941="",TRUE(),COUNTIF(원본명단!$H$3:$H5941,원본명단!$H5941)=1),IF(원본명단!$I5941="",TRUE(),COUNTIF(원본명단!$I$3:$I5941,원본명단!$I5941)=1),IF(원본명단!$K5941="",TRUE(),COUNTIF(원본명단!$K$3:$K5941,원본명단!$K5941)=1)),"첫 건","중복 건")))</f>
        <v/>
      </c>
      <c r="J5942" s="11" t="str">
        <f aca="false">IF($A5942="","",IF($H5942="-","유지",IF($I5942="첫 건","유지","확인 필요")))</f>
        <v/>
      </c>
    </row>
    <row r="5943" customFormat="false" ht="15" hidden="false" customHeight="true" outlineLevel="0" collapsed="false">
      <c r="A5943" s="11" t="str">
        <f aca="false">IF(원본명단!$A5942="","",5940)</f>
        <v/>
      </c>
      <c r="B5943" s="12" t="str">
        <f aca="false">IF($A5943="","",원본명단!$A5942)</f>
        <v/>
      </c>
      <c r="C5943" s="12" t="str">
        <f aca="false">IF($A5943="","",원본명단!$B5942)</f>
        <v/>
      </c>
      <c r="D5943" s="12" t="str">
        <f aca="false">IF($A5943="","",원본명단!$D5942)</f>
        <v/>
      </c>
      <c r="E5943" s="11" t="str">
        <f aca="false">IF($A5943="","",IF(원본명단!$H5942="",0,COUNTIF(원본명단!$H$3:$H$6002,원본명단!$H5942)))</f>
        <v/>
      </c>
      <c r="F5943" s="11" t="str">
        <f aca="false">IF($A5943="","",IF(원본명단!$I5942="",0,COUNTIF(원본명단!$I$3:$I$6002,원본명단!$I5942)))</f>
        <v/>
      </c>
      <c r="G5943" s="11" t="str">
        <f aca="false">IF($A5943="","",IF(원본명단!$K5942="",0,COUNTIF(원본명단!$K$3:$K$6002,원본명단!$K5942)))</f>
        <v/>
      </c>
      <c r="H5943" s="11" t="str">
        <f aca="false">IF($A5943="","",IF(MAX($E5943,$F5943,$G5943)&gt;1,"중복","-"))</f>
        <v/>
      </c>
      <c r="I5943" s="11" t="str">
        <f aca="false">IF($A5943="","",IF($H5943="-","-",IF(AND(IF(원본명단!$H5942="",TRUE(),COUNTIF(원본명단!$H$3:$H5942,원본명단!$H5942)=1),IF(원본명단!$I5942="",TRUE(),COUNTIF(원본명단!$I$3:$I5942,원본명단!$I5942)=1),IF(원본명단!$K5942="",TRUE(),COUNTIF(원본명단!$K$3:$K5942,원본명단!$K5942)=1)),"첫 건","중복 건")))</f>
        <v/>
      </c>
      <c r="J5943" s="11" t="str">
        <f aca="false">IF($A5943="","",IF($H5943="-","유지",IF($I5943="첫 건","유지","확인 필요")))</f>
        <v/>
      </c>
    </row>
    <row r="5944" customFormat="false" ht="15" hidden="false" customHeight="true" outlineLevel="0" collapsed="false">
      <c r="A5944" s="11" t="str">
        <f aca="false">IF(원본명단!$A5943="","",5941)</f>
        <v/>
      </c>
      <c r="B5944" s="12" t="str">
        <f aca="false">IF($A5944="","",원본명단!$A5943)</f>
        <v/>
      </c>
      <c r="C5944" s="12" t="str">
        <f aca="false">IF($A5944="","",원본명단!$B5943)</f>
        <v/>
      </c>
      <c r="D5944" s="12" t="str">
        <f aca="false">IF($A5944="","",원본명단!$D5943)</f>
        <v/>
      </c>
      <c r="E5944" s="11" t="str">
        <f aca="false">IF($A5944="","",IF(원본명단!$H5943="",0,COUNTIF(원본명단!$H$3:$H$6002,원본명단!$H5943)))</f>
        <v/>
      </c>
      <c r="F5944" s="11" t="str">
        <f aca="false">IF($A5944="","",IF(원본명단!$I5943="",0,COUNTIF(원본명단!$I$3:$I$6002,원본명단!$I5943)))</f>
        <v/>
      </c>
      <c r="G5944" s="11" t="str">
        <f aca="false">IF($A5944="","",IF(원본명단!$K5943="",0,COUNTIF(원본명단!$K$3:$K$6002,원본명단!$K5943)))</f>
        <v/>
      </c>
      <c r="H5944" s="11" t="str">
        <f aca="false">IF($A5944="","",IF(MAX($E5944,$F5944,$G5944)&gt;1,"중복","-"))</f>
        <v/>
      </c>
      <c r="I5944" s="11" t="str">
        <f aca="false">IF($A5944="","",IF($H5944="-","-",IF(AND(IF(원본명단!$H5943="",TRUE(),COUNTIF(원본명단!$H$3:$H5943,원본명단!$H5943)=1),IF(원본명단!$I5943="",TRUE(),COUNTIF(원본명단!$I$3:$I5943,원본명단!$I5943)=1),IF(원본명단!$K5943="",TRUE(),COUNTIF(원본명단!$K$3:$K5943,원본명단!$K5943)=1)),"첫 건","중복 건")))</f>
        <v/>
      </c>
      <c r="J5944" s="11" t="str">
        <f aca="false">IF($A5944="","",IF($H5944="-","유지",IF($I5944="첫 건","유지","확인 필요")))</f>
        <v/>
      </c>
    </row>
    <row r="5945" customFormat="false" ht="15" hidden="false" customHeight="true" outlineLevel="0" collapsed="false">
      <c r="A5945" s="11" t="str">
        <f aca="false">IF(원본명단!$A5944="","",5942)</f>
        <v/>
      </c>
      <c r="B5945" s="12" t="str">
        <f aca="false">IF($A5945="","",원본명단!$A5944)</f>
        <v/>
      </c>
      <c r="C5945" s="12" t="str">
        <f aca="false">IF($A5945="","",원본명단!$B5944)</f>
        <v/>
      </c>
      <c r="D5945" s="12" t="str">
        <f aca="false">IF($A5945="","",원본명단!$D5944)</f>
        <v/>
      </c>
      <c r="E5945" s="11" t="str">
        <f aca="false">IF($A5945="","",IF(원본명단!$H5944="",0,COUNTIF(원본명단!$H$3:$H$6002,원본명단!$H5944)))</f>
        <v/>
      </c>
      <c r="F5945" s="11" t="str">
        <f aca="false">IF($A5945="","",IF(원본명단!$I5944="",0,COUNTIF(원본명단!$I$3:$I$6002,원본명단!$I5944)))</f>
        <v/>
      </c>
      <c r="G5945" s="11" t="str">
        <f aca="false">IF($A5945="","",IF(원본명단!$K5944="",0,COUNTIF(원본명단!$K$3:$K$6002,원본명단!$K5944)))</f>
        <v/>
      </c>
      <c r="H5945" s="11" t="str">
        <f aca="false">IF($A5945="","",IF(MAX($E5945,$F5945,$G5945)&gt;1,"중복","-"))</f>
        <v/>
      </c>
      <c r="I5945" s="11" t="str">
        <f aca="false">IF($A5945="","",IF($H5945="-","-",IF(AND(IF(원본명단!$H5944="",TRUE(),COUNTIF(원본명단!$H$3:$H5944,원본명단!$H5944)=1),IF(원본명단!$I5944="",TRUE(),COUNTIF(원본명단!$I$3:$I5944,원본명단!$I5944)=1),IF(원본명단!$K5944="",TRUE(),COUNTIF(원본명단!$K$3:$K5944,원본명단!$K5944)=1)),"첫 건","중복 건")))</f>
        <v/>
      </c>
      <c r="J5945" s="11" t="str">
        <f aca="false">IF($A5945="","",IF($H5945="-","유지",IF($I5945="첫 건","유지","확인 필요")))</f>
        <v/>
      </c>
    </row>
    <row r="5946" customFormat="false" ht="15" hidden="false" customHeight="true" outlineLevel="0" collapsed="false">
      <c r="A5946" s="11" t="str">
        <f aca="false">IF(원본명단!$A5945="","",5943)</f>
        <v/>
      </c>
      <c r="B5946" s="12" t="str">
        <f aca="false">IF($A5946="","",원본명단!$A5945)</f>
        <v/>
      </c>
      <c r="C5946" s="12" t="str">
        <f aca="false">IF($A5946="","",원본명단!$B5945)</f>
        <v/>
      </c>
      <c r="D5946" s="12" t="str">
        <f aca="false">IF($A5946="","",원본명단!$D5945)</f>
        <v/>
      </c>
      <c r="E5946" s="11" t="str">
        <f aca="false">IF($A5946="","",IF(원본명단!$H5945="",0,COUNTIF(원본명단!$H$3:$H$6002,원본명단!$H5945)))</f>
        <v/>
      </c>
      <c r="F5946" s="11" t="str">
        <f aca="false">IF($A5946="","",IF(원본명단!$I5945="",0,COUNTIF(원본명단!$I$3:$I$6002,원본명단!$I5945)))</f>
        <v/>
      </c>
      <c r="G5946" s="11" t="str">
        <f aca="false">IF($A5946="","",IF(원본명단!$K5945="",0,COUNTIF(원본명단!$K$3:$K$6002,원본명단!$K5945)))</f>
        <v/>
      </c>
      <c r="H5946" s="11" t="str">
        <f aca="false">IF($A5946="","",IF(MAX($E5946,$F5946,$G5946)&gt;1,"중복","-"))</f>
        <v/>
      </c>
      <c r="I5946" s="11" t="str">
        <f aca="false">IF($A5946="","",IF($H5946="-","-",IF(AND(IF(원본명단!$H5945="",TRUE(),COUNTIF(원본명단!$H$3:$H5945,원본명단!$H5945)=1),IF(원본명단!$I5945="",TRUE(),COUNTIF(원본명단!$I$3:$I5945,원본명단!$I5945)=1),IF(원본명단!$K5945="",TRUE(),COUNTIF(원본명단!$K$3:$K5945,원본명단!$K5945)=1)),"첫 건","중복 건")))</f>
        <v/>
      </c>
      <c r="J5946" s="11" t="str">
        <f aca="false">IF($A5946="","",IF($H5946="-","유지",IF($I5946="첫 건","유지","확인 필요")))</f>
        <v/>
      </c>
    </row>
    <row r="5947" customFormat="false" ht="15" hidden="false" customHeight="true" outlineLevel="0" collapsed="false">
      <c r="A5947" s="11" t="str">
        <f aca="false">IF(원본명단!$A5946="","",5944)</f>
        <v/>
      </c>
      <c r="B5947" s="12" t="str">
        <f aca="false">IF($A5947="","",원본명단!$A5946)</f>
        <v/>
      </c>
      <c r="C5947" s="12" t="str">
        <f aca="false">IF($A5947="","",원본명단!$B5946)</f>
        <v/>
      </c>
      <c r="D5947" s="12" t="str">
        <f aca="false">IF($A5947="","",원본명단!$D5946)</f>
        <v/>
      </c>
      <c r="E5947" s="11" t="str">
        <f aca="false">IF($A5947="","",IF(원본명단!$H5946="",0,COUNTIF(원본명단!$H$3:$H$6002,원본명단!$H5946)))</f>
        <v/>
      </c>
      <c r="F5947" s="11" t="str">
        <f aca="false">IF($A5947="","",IF(원본명단!$I5946="",0,COUNTIF(원본명단!$I$3:$I$6002,원본명단!$I5946)))</f>
        <v/>
      </c>
      <c r="G5947" s="11" t="str">
        <f aca="false">IF($A5947="","",IF(원본명단!$K5946="",0,COUNTIF(원본명단!$K$3:$K$6002,원본명단!$K5946)))</f>
        <v/>
      </c>
      <c r="H5947" s="11" t="str">
        <f aca="false">IF($A5947="","",IF(MAX($E5947,$F5947,$G5947)&gt;1,"중복","-"))</f>
        <v/>
      </c>
      <c r="I5947" s="11" t="str">
        <f aca="false">IF($A5947="","",IF($H5947="-","-",IF(AND(IF(원본명단!$H5946="",TRUE(),COUNTIF(원본명단!$H$3:$H5946,원본명단!$H5946)=1),IF(원본명단!$I5946="",TRUE(),COUNTIF(원본명단!$I$3:$I5946,원본명단!$I5946)=1),IF(원본명단!$K5946="",TRUE(),COUNTIF(원본명단!$K$3:$K5946,원본명단!$K5946)=1)),"첫 건","중복 건")))</f>
        <v/>
      </c>
      <c r="J5947" s="11" t="str">
        <f aca="false">IF($A5947="","",IF($H5947="-","유지",IF($I5947="첫 건","유지","확인 필요")))</f>
        <v/>
      </c>
    </row>
    <row r="5948" customFormat="false" ht="15" hidden="false" customHeight="true" outlineLevel="0" collapsed="false">
      <c r="A5948" s="11" t="str">
        <f aca="false">IF(원본명단!$A5947="","",5945)</f>
        <v/>
      </c>
      <c r="B5948" s="12" t="str">
        <f aca="false">IF($A5948="","",원본명단!$A5947)</f>
        <v/>
      </c>
      <c r="C5948" s="12" t="str">
        <f aca="false">IF($A5948="","",원본명단!$B5947)</f>
        <v/>
      </c>
      <c r="D5948" s="12" t="str">
        <f aca="false">IF($A5948="","",원본명단!$D5947)</f>
        <v/>
      </c>
      <c r="E5948" s="11" t="str">
        <f aca="false">IF($A5948="","",IF(원본명단!$H5947="",0,COUNTIF(원본명단!$H$3:$H$6002,원본명단!$H5947)))</f>
        <v/>
      </c>
      <c r="F5948" s="11" t="str">
        <f aca="false">IF($A5948="","",IF(원본명단!$I5947="",0,COUNTIF(원본명단!$I$3:$I$6002,원본명단!$I5947)))</f>
        <v/>
      </c>
      <c r="G5948" s="11" t="str">
        <f aca="false">IF($A5948="","",IF(원본명단!$K5947="",0,COUNTIF(원본명단!$K$3:$K$6002,원본명단!$K5947)))</f>
        <v/>
      </c>
      <c r="H5948" s="11" t="str">
        <f aca="false">IF($A5948="","",IF(MAX($E5948,$F5948,$G5948)&gt;1,"중복","-"))</f>
        <v/>
      </c>
      <c r="I5948" s="11" t="str">
        <f aca="false">IF($A5948="","",IF($H5948="-","-",IF(AND(IF(원본명단!$H5947="",TRUE(),COUNTIF(원본명단!$H$3:$H5947,원본명단!$H5947)=1),IF(원본명단!$I5947="",TRUE(),COUNTIF(원본명단!$I$3:$I5947,원본명단!$I5947)=1),IF(원본명단!$K5947="",TRUE(),COUNTIF(원본명단!$K$3:$K5947,원본명단!$K5947)=1)),"첫 건","중복 건")))</f>
        <v/>
      </c>
      <c r="J5948" s="11" t="str">
        <f aca="false">IF($A5948="","",IF($H5948="-","유지",IF($I5948="첫 건","유지","확인 필요")))</f>
        <v/>
      </c>
    </row>
    <row r="5949" customFormat="false" ht="15" hidden="false" customHeight="true" outlineLevel="0" collapsed="false">
      <c r="A5949" s="11" t="str">
        <f aca="false">IF(원본명단!$A5948="","",5946)</f>
        <v/>
      </c>
      <c r="B5949" s="12" t="str">
        <f aca="false">IF($A5949="","",원본명단!$A5948)</f>
        <v/>
      </c>
      <c r="C5949" s="12" t="str">
        <f aca="false">IF($A5949="","",원본명단!$B5948)</f>
        <v/>
      </c>
      <c r="D5949" s="12" t="str">
        <f aca="false">IF($A5949="","",원본명단!$D5948)</f>
        <v/>
      </c>
      <c r="E5949" s="11" t="str">
        <f aca="false">IF($A5949="","",IF(원본명단!$H5948="",0,COUNTIF(원본명단!$H$3:$H$6002,원본명단!$H5948)))</f>
        <v/>
      </c>
      <c r="F5949" s="11" t="str">
        <f aca="false">IF($A5949="","",IF(원본명단!$I5948="",0,COUNTIF(원본명단!$I$3:$I$6002,원본명단!$I5948)))</f>
        <v/>
      </c>
      <c r="G5949" s="11" t="str">
        <f aca="false">IF($A5949="","",IF(원본명단!$K5948="",0,COUNTIF(원본명단!$K$3:$K$6002,원본명단!$K5948)))</f>
        <v/>
      </c>
      <c r="H5949" s="11" t="str">
        <f aca="false">IF($A5949="","",IF(MAX($E5949,$F5949,$G5949)&gt;1,"중복","-"))</f>
        <v/>
      </c>
      <c r="I5949" s="11" t="str">
        <f aca="false">IF($A5949="","",IF($H5949="-","-",IF(AND(IF(원본명단!$H5948="",TRUE(),COUNTIF(원본명단!$H$3:$H5948,원본명단!$H5948)=1),IF(원본명단!$I5948="",TRUE(),COUNTIF(원본명단!$I$3:$I5948,원본명단!$I5948)=1),IF(원본명단!$K5948="",TRUE(),COUNTIF(원본명단!$K$3:$K5948,원본명단!$K5948)=1)),"첫 건","중복 건")))</f>
        <v/>
      </c>
      <c r="J5949" s="11" t="str">
        <f aca="false">IF($A5949="","",IF($H5949="-","유지",IF($I5949="첫 건","유지","확인 필요")))</f>
        <v/>
      </c>
    </row>
    <row r="5950" customFormat="false" ht="15" hidden="false" customHeight="true" outlineLevel="0" collapsed="false">
      <c r="A5950" s="11" t="str">
        <f aca="false">IF(원본명단!$A5949="","",5947)</f>
        <v/>
      </c>
      <c r="B5950" s="12" t="str">
        <f aca="false">IF($A5950="","",원본명단!$A5949)</f>
        <v/>
      </c>
      <c r="C5950" s="12" t="str">
        <f aca="false">IF($A5950="","",원본명단!$B5949)</f>
        <v/>
      </c>
      <c r="D5950" s="12" t="str">
        <f aca="false">IF($A5950="","",원본명단!$D5949)</f>
        <v/>
      </c>
      <c r="E5950" s="11" t="str">
        <f aca="false">IF($A5950="","",IF(원본명단!$H5949="",0,COUNTIF(원본명단!$H$3:$H$6002,원본명단!$H5949)))</f>
        <v/>
      </c>
      <c r="F5950" s="11" t="str">
        <f aca="false">IF($A5950="","",IF(원본명단!$I5949="",0,COUNTIF(원본명단!$I$3:$I$6002,원본명단!$I5949)))</f>
        <v/>
      </c>
      <c r="G5950" s="11" t="str">
        <f aca="false">IF($A5950="","",IF(원본명단!$K5949="",0,COUNTIF(원본명단!$K$3:$K$6002,원본명단!$K5949)))</f>
        <v/>
      </c>
      <c r="H5950" s="11" t="str">
        <f aca="false">IF($A5950="","",IF(MAX($E5950,$F5950,$G5950)&gt;1,"중복","-"))</f>
        <v/>
      </c>
      <c r="I5950" s="11" t="str">
        <f aca="false">IF($A5950="","",IF($H5950="-","-",IF(AND(IF(원본명단!$H5949="",TRUE(),COUNTIF(원본명단!$H$3:$H5949,원본명단!$H5949)=1),IF(원본명단!$I5949="",TRUE(),COUNTIF(원본명단!$I$3:$I5949,원본명단!$I5949)=1),IF(원본명단!$K5949="",TRUE(),COUNTIF(원본명단!$K$3:$K5949,원본명단!$K5949)=1)),"첫 건","중복 건")))</f>
        <v/>
      </c>
      <c r="J5950" s="11" t="str">
        <f aca="false">IF($A5950="","",IF($H5950="-","유지",IF($I5950="첫 건","유지","확인 필요")))</f>
        <v/>
      </c>
    </row>
    <row r="5951" customFormat="false" ht="15" hidden="false" customHeight="true" outlineLevel="0" collapsed="false">
      <c r="A5951" s="11" t="str">
        <f aca="false">IF(원본명단!$A5950="","",5948)</f>
        <v/>
      </c>
      <c r="B5951" s="12" t="str">
        <f aca="false">IF($A5951="","",원본명단!$A5950)</f>
        <v/>
      </c>
      <c r="C5951" s="12" t="str">
        <f aca="false">IF($A5951="","",원본명단!$B5950)</f>
        <v/>
      </c>
      <c r="D5951" s="12" t="str">
        <f aca="false">IF($A5951="","",원본명단!$D5950)</f>
        <v/>
      </c>
      <c r="E5951" s="11" t="str">
        <f aca="false">IF($A5951="","",IF(원본명단!$H5950="",0,COUNTIF(원본명단!$H$3:$H$6002,원본명단!$H5950)))</f>
        <v/>
      </c>
      <c r="F5951" s="11" t="str">
        <f aca="false">IF($A5951="","",IF(원본명단!$I5950="",0,COUNTIF(원본명단!$I$3:$I$6002,원본명단!$I5950)))</f>
        <v/>
      </c>
      <c r="G5951" s="11" t="str">
        <f aca="false">IF($A5951="","",IF(원본명단!$K5950="",0,COUNTIF(원본명단!$K$3:$K$6002,원본명단!$K5950)))</f>
        <v/>
      </c>
      <c r="H5951" s="11" t="str">
        <f aca="false">IF($A5951="","",IF(MAX($E5951,$F5951,$G5951)&gt;1,"중복","-"))</f>
        <v/>
      </c>
      <c r="I5951" s="11" t="str">
        <f aca="false">IF($A5951="","",IF($H5951="-","-",IF(AND(IF(원본명단!$H5950="",TRUE(),COUNTIF(원본명단!$H$3:$H5950,원본명단!$H5950)=1),IF(원본명단!$I5950="",TRUE(),COUNTIF(원본명단!$I$3:$I5950,원본명단!$I5950)=1),IF(원본명단!$K5950="",TRUE(),COUNTIF(원본명단!$K$3:$K5950,원본명단!$K5950)=1)),"첫 건","중복 건")))</f>
        <v/>
      </c>
      <c r="J5951" s="11" t="str">
        <f aca="false">IF($A5951="","",IF($H5951="-","유지",IF($I5951="첫 건","유지","확인 필요")))</f>
        <v/>
      </c>
    </row>
    <row r="5952" customFormat="false" ht="15" hidden="false" customHeight="true" outlineLevel="0" collapsed="false">
      <c r="A5952" s="11" t="str">
        <f aca="false">IF(원본명단!$A5951="","",5949)</f>
        <v/>
      </c>
      <c r="B5952" s="12" t="str">
        <f aca="false">IF($A5952="","",원본명단!$A5951)</f>
        <v/>
      </c>
      <c r="C5952" s="12" t="str">
        <f aca="false">IF($A5952="","",원본명단!$B5951)</f>
        <v/>
      </c>
      <c r="D5952" s="12" t="str">
        <f aca="false">IF($A5952="","",원본명단!$D5951)</f>
        <v/>
      </c>
      <c r="E5952" s="11" t="str">
        <f aca="false">IF($A5952="","",IF(원본명단!$H5951="",0,COUNTIF(원본명단!$H$3:$H$6002,원본명단!$H5951)))</f>
        <v/>
      </c>
      <c r="F5952" s="11" t="str">
        <f aca="false">IF($A5952="","",IF(원본명단!$I5951="",0,COUNTIF(원본명단!$I$3:$I$6002,원본명단!$I5951)))</f>
        <v/>
      </c>
      <c r="G5952" s="11" t="str">
        <f aca="false">IF($A5952="","",IF(원본명단!$K5951="",0,COUNTIF(원본명단!$K$3:$K$6002,원본명단!$K5951)))</f>
        <v/>
      </c>
      <c r="H5952" s="11" t="str">
        <f aca="false">IF($A5952="","",IF(MAX($E5952,$F5952,$G5952)&gt;1,"중복","-"))</f>
        <v/>
      </c>
      <c r="I5952" s="11" t="str">
        <f aca="false">IF($A5952="","",IF($H5952="-","-",IF(AND(IF(원본명단!$H5951="",TRUE(),COUNTIF(원본명단!$H$3:$H5951,원본명단!$H5951)=1),IF(원본명단!$I5951="",TRUE(),COUNTIF(원본명단!$I$3:$I5951,원본명단!$I5951)=1),IF(원본명단!$K5951="",TRUE(),COUNTIF(원본명단!$K$3:$K5951,원본명단!$K5951)=1)),"첫 건","중복 건")))</f>
        <v/>
      </c>
      <c r="J5952" s="11" t="str">
        <f aca="false">IF($A5952="","",IF($H5952="-","유지",IF($I5952="첫 건","유지","확인 필요")))</f>
        <v/>
      </c>
    </row>
    <row r="5953" customFormat="false" ht="15" hidden="false" customHeight="true" outlineLevel="0" collapsed="false">
      <c r="A5953" s="11" t="str">
        <f aca="false">IF(원본명단!$A5952="","",5950)</f>
        <v/>
      </c>
      <c r="B5953" s="12" t="str">
        <f aca="false">IF($A5953="","",원본명단!$A5952)</f>
        <v/>
      </c>
      <c r="C5953" s="12" t="str">
        <f aca="false">IF($A5953="","",원본명단!$B5952)</f>
        <v/>
      </c>
      <c r="D5953" s="12" t="str">
        <f aca="false">IF($A5953="","",원본명단!$D5952)</f>
        <v/>
      </c>
      <c r="E5953" s="11" t="str">
        <f aca="false">IF($A5953="","",IF(원본명단!$H5952="",0,COUNTIF(원본명단!$H$3:$H$6002,원본명단!$H5952)))</f>
        <v/>
      </c>
      <c r="F5953" s="11" t="str">
        <f aca="false">IF($A5953="","",IF(원본명단!$I5952="",0,COUNTIF(원본명단!$I$3:$I$6002,원본명단!$I5952)))</f>
        <v/>
      </c>
      <c r="G5953" s="11" t="str">
        <f aca="false">IF($A5953="","",IF(원본명단!$K5952="",0,COUNTIF(원본명단!$K$3:$K$6002,원본명단!$K5952)))</f>
        <v/>
      </c>
      <c r="H5953" s="11" t="str">
        <f aca="false">IF($A5953="","",IF(MAX($E5953,$F5953,$G5953)&gt;1,"중복","-"))</f>
        <v/>
      </c>
      <c r="I5953" s="11" t="str">
        <f aca="false">IF($A5953="","",IF($H5953="-","-",IF(AND(IF(원본명단!$H5952="",TRUE(),COUNTIF(원본명단!$H$3:$H5952,원본명단!$H5952)=1),IF(원본명단!$I5952="",TRUE(),COUNTIF(원본명단!$I$3:$I5952,원본명단!$I5952)=1),IF(원본명단!$K5952="",TRUE(),COUNTIF(원본명단!$K$3:$K5952,원본명단!$K5952)=1)),"첫 건","중복 건")))</f>
        <v/>
      </c>
      <c r="J5953" s="11" t="str">
        <f aca="false">IF($A5953="","",IF($H5953="-","유지",IF($I5953="첫 건","유지","확인 필요")))</f>
        <v/>
      </c>
    </row>
    <row r="5954" customFormat="false" ht="15" hidden="false" customHeight="true" outlineLevel="0" collapsed="false">
      <c r="A5954" s="11" t="str">
        <f aca="false">IF(원본명단!$A5953="","",5951)</f>
        <v/>
      </c>
      <c r="B5954" s="12" t="str">
        <f aca="false">IF($A5954="","",원본명단!$A5953)</f>
        <v/>
      </c>
      <c r="C5954" s="12" t="str">
        <f aca="false">IF($A5954="","",원본명단!$B5953)</f>
        <v/>
      </c>
      <c r="D5954" s="12" t="str">
        <f aca="false">IF($A5954="","",원본명단!$D5953)</f>
        <v/>
      </c>
      <c r="E5954" s="11" t="str">
        <f aca="false">IF($A5954="","",IF(원본명단!$H5953="",0,COUNTIF(원본명단!$H$3:$H$6002,원본명단!$H5953)))</f>
        <v/>
      </c>
      <c r="F5954" s="11" t="str">
        <f aca="false">IF($A5954="","",IF(원본명단!$I5953="",0,COUNTIF(원본명단!$I$3:$I$6002,원본명단!$I5953)))</f>
        <v/>
      </c>
      <c r="G5954" s="11" t="str">
        <f aca="false">IF($A5954="","",IF(원본명단!$K5953="",0,COUNTIF(원본명단!$K$3:$K$6002,원본명단!$K5953)))</f>
        <v/>
      </c>
      <c r="H5954" s="11" t="str">
        <f aca="false">IF($A5954="","",IF(MAX($E5954,$F5954,$G5954)&gt;1,"중복","-"))</f>
        <v/>
      </c>
      <c r="I5954" s="11" t="str">
        <f aca="false">IF($A5954="","",IF($H5954="-","-",IF(AND(IF(원본명단!$H5953="",TRUE(),COUNTIF(원본명단!$H$3:$H5953,원본명단!$H5953)=1),IF(원본명단!$I5953="",TRUE(),COUNTIF(원본명단!$I$3:$I5953,원본명단!$I5953)=1),IF(원본명단!$K5953="",TRUE(),COUNTIF(원본명단!$K$3:$K5953,원본명단!$K5953)=1)),"첫 건","중복 건")))</f>
        <v/>
      </c>
      <c r="J5954" s="11" t="str">
        <f aca="false">IF($A5954="","",IF($H5954="-","유지",IF($I5954="첫 건","유지","확인 필요")))</f>
        <v/>
      </c>
    </row>
    <row r="5955" customFormat="false" ht="15" hidden="false" customHeight="true" outlineLevel="0" collapsed="false">
      <c r="A5955" s="11" t="str">
        <f aca="false">IF(원본명단!$A5954="","",5952)</f>
        <v/>
      </c>
      <c r="B5955" s="12" t="str">
        <f aca="false">IF($A5955="","",원본명단!$A5954)</f>
        <v/>
      </c>
      <c r="C5955" s="12" t="str">
        <f aca="false">IF($A5955="","",원본명단!$B5954)</f>
        <v/>
      </c>
      <c r="D5955" s="12" t="str">
        <f aca="false">IF($A5955="","",원본명단!$D5954)</f>
        <v/>
      </c>
      <c r="E5955" s="11" t="str">
        <f aca="false">IF($A5955="","",IF(원본명단!$H5954="",0,COUNTIF(원본명단!$H$3:$H$6002,원본명단!$H5954)))</f>
        <v/>
      </c>
      <c r="F5955" s="11" t="str">
        <f aca="false">IF($A5955="","",IF(원본명단!$I5954="",0,COUNTIF(원본명단!$I$3:$I$6002,원본명단!$I5954)))</f>
        <v/>
      </c>
      <c r="G5955" s="11" t="str">
        <f aca="false">IF($A5955="","",IF(원본명단!$K5954="",0,COUNTIF(원본명단!$K$3:$K$6002,원본명단!$K5954)))</f>
        <v/>
      </c>
      <c r="H5955" s="11" t="str">
        <f aca="false">IF($A5955="","",IF(MAX($E5955,$F5955,$G5955)&gt;1,"중복","-"))</f>
        <v/>
      </c>
      <c r="I5955" s="11" t="str">
        <f aca="false">IF($A5955="","",IF($H5955="-","-",IF(AND(IF(원본명단!$H5954="",TRUE(),COUNTIF(원본명단!$H$3:$H5954,원본명단!$H5954)=1),IF(원본명단!$I5954="",TRUE(),COUNTIF(원본명단!$I$3:$I5954,원본명단!$I5954)=1),IF(원본명단!$K5954="",TRUE(),COUNTIF(원본명단!$K$3:$K5954,원본명단!$K5954)=1)),"첫 건","중복 건")))</f>
        <v/>
      </c>
      <c r="J5955" s="11" t="str">
        <f aca="false">IF($A5955="","",IF($H5955="-","유지",IF($I5955="첫 건","유지","확인 필요")))</f>
        <v/>
      </c>
    </row>
    <row r="5956" customFormat="false" ht="15" hidden="false" customHeight="true" outlineLevel="0" collapsed="false">
      <c r="A5956" s="11" t="str">
        <f aca="false">IF(원본명단!$A5955="","",5953)</f>
        <v/>
      </c>
      <c r="B5956" s="12" t="str">
        <f aca="false">IF($A5956="","",원본명단!$A5955)</f>
        <v/>
      </c>
      <c r="C5956" s="12" t="str">
        <f aca="false">IF($A5956="","",원본명단!$B5955)</f>
        <v/>
      </c>
      <c r="D5956" s="12" t="str">
        <f aca="false">IF($A5956="","",원본명단!$D5955)</f>
        <v/>
      </c>
      <c r="E5956" s="11" t="str">
        <f aca="false">IF($A5956="","",IF(원본명단!$H5955="",0,COUNTIF(원본명단!$H$3:$H$6002,원본명단!$H5955)))</f>
        <v/>
      </c>
      <c r="F5956" s="11" t="str">
        <f aca="false">IF($A5956="","",IF(원본명단!$I5955="",0,COUNTIF(원본명단!$I$3:$I$6002,원본명단!$I5955)))</f>
        <v/>
      </c>
      <c r="G5956" s="11" t="str">
        <f aca="false">IF($A5956="","",IF(원본명단!$K5955="",0,COUNTIF(원본명단!$K$3:$K$6002,원본명단!$K5955)))</f>
        <v/>
      </c>
      <c r="H5956" s="11" t="str">
        <f aca="false">IF($A5956="","",IF(MAX($E5956,$F5956,$G5956)&gt;1,"중복","-"))</f>
        <v/>
      </c>
      <c r="I5956" s="11" t="str">
        <f aca="false">IF($A5956="","",IF($H5956="-","-",IF(AND(IF(원본명단!$H5955="",TRUE(),COUNTIF(원본명단!$H$3:$H5955,원본명단!$H5955)=1),IF(원본명단!$I5955="",TRUE(),COUNTIF(원본명단!$I$3:$I5955,원본명단!$I5955)=1),IF(원본명단!$K5955="",TRUE(),COUNTIF(원본명단!$K$3:$K5955,원본명단!$K5955)=1)),"첫 건","중복 건")))</f>
        <v/>
      </c>
      <c r="J5956" s="11" t="str">
        <f aca="false">IF($A5956="","",IF($H5956="-","유지",IF($I5956="첫 건","유지","확인 필요")))</f>
        <v/>
      </c>
    </row>
    <row r="5957" customFormat="false" ht="15" hidden="false" customHeight="true" outlineLevel="0" collapsed="false">
      <c r="A5957" s="11" t="str">
        <f aca="false">IF(원본명단!$A5956="","",5954)</f>
        <v/>
      </c>
      <c r="B5957" s="12" t="str">
        <f aca="false">IF($A5957="","",원본명단!$A5956)</f>
        <v/>
      </c>
      <c r="C5957" s="12" t="str">
        <f aca="false">IF($A5957="","",원본명단!$B5956)</f>
        <v/>
      </c>
      <c r="D5957" s="12" t="str">
        <f aca="false">IF($A5957="","",원본명단!$D5956)</f>
        <v/>
      </c>
      <c r="E5957" s="11" t="str">
        <f aca="false">IF($A5957="","",IF(원본명단!$H5956="",0,COUNTIF(원본명단!$H$3:$H$6002,원본명단!$H5956)))</f>
        <v/>
      </c>
      <c r="F5957" s="11" t="str">
        <f aca="false">IF($A5957="","",IF(원본명단!$I5956="",0,COUNTIF(원본명단!$I$3:$I$6002,원본명단!$I5956)))</f>
        <v/>
      </c>
      <c r="G5957" s="11" t="str">
        <f aca="false">IF($A5957="","",IF(원본명단!$K5956="",0,COUNTIF(원본명단!$K$3:$K$6002,원본명단!$K5956)))</f>
        <v/>
      </c>
      <c r="H5957" s="11" t="str">
        <f aca="false">IF($A5957="","",IF(MAX($E5957,$F5957,$G5957)&gt;1,"중복","-"))</f>
        <v/>
      </c>
      <c r="I5957" s="11" t="str">
        <f aca="false">IF($A5957="","",IF($H5957="-","-",IF(AND(IF(원본명단!$H5956="",TRUE(),COUNTIF(원본명단!$H$3:$H5956,원본명단!$H5956)=1),IF(원본명단!$I5956="",TRUE(),COUNTIF(원본명단!$I$3:$I5956,원본명단!$I5956)=1),IF(원본명단!$K5956="",TRUE(),COUNTIF(원본명단!$K$3:$K5956,원본명단!$K5956)=1)),"첫 건","중복 건")))</f>
        <v/>
      </c>
      <c r="J5957" s="11" t="str">
        <f aca="false">IF($A5957="","",IF($H5957="-","유지",IF($I5957="첫 건","유지","확인 필요")))</f>
        <v/>
      </c>
    </row>
    <row r="5958" customFormat="false" ht="15" hidden="false" customHeight="true" outlineLevel="0" collapsed="false">
      <c r="A5958" s="11" t="str">
        <f aca="false">IF(원본명단!$A5957="","",5955)</f>
        <v/>
      </c>
      <c r="B5958" s="12" t="str">
        <f aca="false">IF($A5958="","",원본명단!$A5957)</f>
        <v/>
      </c>
      <c r="C5958" s="12" t="str">
        <f aca="false">IF($A5958="","",원본명단!$B5957)</f>
        <v/>
      </c>
      <c r="D5958" s="12" t="str">
        <f aca="false">IF($A5958="","",원본명단!$D5957)</f>
        <v/>
      </c>
      <c r="E5958" s="11" t="str">
        <f aca="false">IF($A5958="","",IF(원본명단!$H5957="",0,COUNTIF(원본명단!$H$3:$H$6002,원본명단!$H5957)))</f>
        <v/>
      </c>
      <c r="F5958" s="11" t="str">
        <f aca="false">IF($A5958="","",IF(원본명단!$I5957="",0,COUNTIF(원본명단!$I$3:$I$6002,원본명단!$I5957)))</f>
        <v/>
      </c>
      <c r="G5958" s="11" t="str">
        <f aca="false">IF($A5958="","",IF(원본명단!$K5957="",0,COUNTIF(원본명단!$K$3:$K$6002,원본명단!$K5957)))</f>
        <v/>
      </c>
      <c r="H5958" s="11" t="str">
        <f aca="false">IF($A5958="","",IF(MAX($E5958,$F5958,$G5958)&gt;1,"중복","-"))</f>
        <v/>
      </c>
      <c r="I5958" s="11" t="str">
        <f aca="false">IF($A5958="","",IF($H5958="-","-",IF(AND(IF(원본명단!$H5957="",TRUE(),COUNTIF(원본명단!$H$3:$H5957,원본명단!$H5957)=1),IF(원본명단!$I5957="",TRUE(),COUNTIF(원본명단!$I$3:$I5957,원본명단!$I5957)=1),IF(원본명단!$K5957="",TRUE(),COUNTIF(원본명단!$K$3:$K5957,원본명단!$K5957)=1)),"첫 건","중복 건")))</f>
        <v/>
      </c>
      <c r="J5958" s="11" t="str">
        <f aca="false">IF($A5958="","",IF($H5958="-","유지",IF($I5958="첫 건","유지","확인 필요")))</f>
        <v/>
      </c>
    </row>
    <row r="5959" customFormat="false" ht="15" hidden="false" customHeight="true" outlineLevel="0" collapsed="false">
      <c r="A5959" s="11" t="str">
        <f aca="false">IF(원본명단!$A5958="","",5956)</f>
        <v/>
      </c>
      <c r="B5959" s="12" t="str">
        <f aca="false">IF($A5959="","",원본명단!$A5958)</f>
        <v/>
      </c>
      <c r="C5959" s="12" t="str">
        <f aca="false">IF($A5959="","",원본명단!$B5958)</f>
        <v/>
      </c>
      <c r="D5959" s="12" t="str">
        <f aca="false">IF($A5959="","",원본명단!$D5958)</f>
        <v/>
      </c>
      <c r="E5959" s="11" t="str">
        <f aca="false">IF($A5959="","",IF(원본명단!$H5958="",0,COUNTIF(원본명단!$H$3:$H$6002,원본명단!$H5958)))</f>
        <v/>
      </c>
      <c r="F5959" s="11" t="str">
        <f aca="false">IF($A5959="","",IF(원본명단!$I5958="",0,COUNTIF(원본명단!$I$3:$I$6002,원본명단!$I5958)))</f>
        <v/>
      </c>
      <c r="G5959" s="11" t="str">
        <f aca="false">IF($A5959="","",IF(원본명단!$K5958="",0,COUNTIF(원본명단!$K$3:$K$6002,원본명단!$K5958)))</f>
        <v/>
      </c>
      <c r="H5959" s="11" t="str">
        <f aca="false">IF($A5959="","",IF(MAX($E5959,$F5959,$G5959)&gt;1,"중복","-"))</f>
        <v/>
      </c>
      <c r="I5959" s="11" t="str">
        <f aca="false">IF($A5959="","",IF($H5959="-","-",IF(AND(IF(원본명단!$H5958="",TRUE(),COUNTIF(원본명단!$H$3:$H5958,원본명단!$H5958)=1),IF(원본명단!$I5958="",TRUE(),COUNTIF(원본명단!$I$3:$I5958,원본명단!$I5958)=1),IF(원본명단!$K5958="",TRUE(),COUNTIF(원본명단!$K$3:$K5958,원본명단!$K5958)=1)),"첫 건","중복 건")))</f>
        <v/>
      </c>
      <c r="J5959" s="11" t="str">
        <f aca="false">IF($A5959="","",IF($H5959="-","유지",IF($I5959="첫 건","유지","확인 필요")))</f>
        <v/>
      </c>
    </row>
    <row r="5960" customFormat="false" ht="15" hidden="false" customHeight="true" outlineLevel="0" collapsed="false">
      <c r="A5960" s="11" t="str">
        <f aca="false">IF(원본명단!$A5959="","",5957)</f>
        <v/>
      </c>
      <c r="B5960" s="12" t="str">
        <f aca="false">IF($A5960="","",원본명단!$A5959)</f>
        <v/>
      </c>
      <c r="C5960" s="12" t="str">
        <f aca="false">IF($A5960="","",원본명단!$B5959)</f>
        <v/>
      </c>
      <c r="D5960" s="12" t="str">
        <f aca="false">IF($A5960="","",원본명단!$D5959)</f>
        <v/>
      </c>
      <c r="E5960" s="11" t="str">
        <f aca="false">IF($A5960="","",IF(원본명단!$H5959="",0,COUNTIF(원본명단!$H$3:$H$6002,원본명단!$H5959)))</f>
        <v/>
      </c>
      <c r="F5960" s="11" t="str">
        <f aca="false">IF($A5960="","",IF(원본명단!$I5959="",0,COUNTIF(원본명단!$I$3:$I$6002,원본명단!$I5959)))</f>
        <v/>
      </c>
      <c r="G5960" s="11" t="str">
        <f aca="false">IF($A5960="","",IF(원본명단!$K5959="",0,COUNTIF(원본명단!$K$3:$K$6002,원본명단!$K5959)))</f>
        <v/>
      </c>
      <c r="H5960" s="11" t="str">
        <f aca="false">IF($A5960="","",IF(MAX($E5960,$F5960,$G5960)&gt;1,"중복","-"))</f>
        <v/>
      </c>
      <c r="I5960" s="11" t="str">
        <f aca="false">IF($A5960="","",IF($H5960="-","-",IF(AND(IF(원본명단!$H5959="",TRUE(),COUNTIF(원본명단!$H$3:$H5959,원본명단!$H5959)=1),IF(원본명단!$I5959="",TRUE(),COUNTIF(원본명단!$I$3:$I5959,원본명단!$I5959)=1),IF(원본명단!$K5959="",TRUE(),COUNTIF(원본명단!$K$3:$K5959,원본명단!$K5959)=1)),"첫 건","중복 건")))</f>
        <v/>
      </c>
      <c r="J5960" s="11" t="str">
        <f aca="false">IF($A5960="","",IF($H5960="-","유지",IF($I5960="첫 건","유지","확인 필요")))</f>
        <v/>
      </c>
    </row>
    <row r="5961" customFormat="false" ht="15" hidden="false" customHeight="true" outlineLevel="0" collapsed="false">
      <c r="A5961" s="11" t="str">
        <f aca="false">IF(원본명단!$A5960="","",5958)</f>
        <v/>
      </c>
      <c r="B5961" s="12" t="str">
        <f aca="false">IF($A5961="","",원본명단!$A5960)</f>
        <v/>
      </c>
      <c r="C5961" s="12" t="str">
        <f aca="false">IF($A5961="","",원본명단!$B5960)</f>
        <v/>
      </c>
      <c r="D5961" s="12" t="str">
        <f aca="false">IF($A5961="","",원본명단!$D5960)</f>
        <v/>
      </c>
      <c r="E5961" s="11" t="str">
        <f aca="false">IF($A5961="","",IF(원본명단!$H5960="",0,COUNTIF(원본명단!$H$3:$H$6002,원본명단!$H5960)))</f>
        <v/>
      </c>
      <c r="F5961" s="11" t="str">
        <f aca="false">IF($A5961="","",IF(원본명단!$I5960="",0,COUNTIF(원본명단!$I$3:$I$6002,원본명단!$I5960)))</f>
        <v/>
      </c>
      <c r="G5961" s="11" t="str">
        <f aca="false">IF($A5961="","",IF(원본명단!$K5960="",0,COUNTIF(원본명단!$K$3:$K$6002,원본명단!$K5960)))</f>
        <v/>
      </c>
      <c r="H5961" s="11" t="str">
        <f aca="false">IF($A5961="","",IF(MAX($E5961,$F5961,$G5961)&gt;1,"중복","-"))</f>
        <v/>
      </c>
      <c r="I5961" s="11" t="str">
        <f aca="false">IF($A5961="","",IF($H5961="-","-",IF(AND(IF(원본명단!$H5960="",TRUE(),COUNTIF(원본명단!$H$3:$H5960,원본명단!$H5960)=1),IF(원본명단!$I5960="",TRUE(),COUNTIF(원본명단!$I$3:$I5960,원본명단!$I5960)=1),IF(원본명단!$K5960="",TRUE(),COUNTIF(원본명단!$K$3:$K5960,원본명단!$K5960)=1)),"첫 건","중복 건")))</f>
        <v/>
      </c>
      <c r="J5961" s="11" t="str">
        <f aca="false">IF($A5961="","",IF($H5961="-","유지",IF($I5961="첫 건","유지","확인 필요")))</f>
        <v/>
      </c>
    </row>
    <row r="5962" customFormat="false" ht="15" hidden="false" customHeight="true" outlineLevel="0" collapsed="false">
      <c r="A5962" s="11" t="str">
        <f aca="false">IF(원본명단!$A5961="","",5959)</f>
        <v/>
      </c>
      <c r="B5962" s="12" t="str">
        <f aca="false">IF($A5962="","",원본명단!$A5961)</f>
        <v/>
      </c>
      <c r="C5962" s="12" t="str">
        <f aca="false">IF($A5962="","",원본명단!$B5961)</f>
        <v/>
      </c>
      <c r="D5962" s="12" t="str">
        <f aca="false">IF($A5962="","",원본명단!$D5961)</f>
        <v/>
      </c>
      <c r="E5962" s="11" t="str">
        <f aca="false">IF($A5962="","",IF(원본명단!$H5961="",0,COUNTIF(원본명단!$H$3:$H$6002,원본명단!$H5961)))</f>
        <v/>
      </c>
      <c r="F5962" s="11" t="str">
        <f aca="false">IF($A5962="","",IF(원본명단!$I5961="",0,COUNTIF(원본명단!$I$3:$I$6002,원본명단!$I5961)))</f>
        <v/>
      </c>
      <c r="G5962" s="11" t="str">
        <f aca="false">IF($A5962="","",IF(원본명단!$K5961="",0,COUNTIF(원본명단!$K$3:$K$6002,원본명단!$K5961)))</f>
        <v/>
      </c>
      <c r="H5962" s="11" t="str">
        <f aca="false">IF($A5962="","",IF(MAX($E5962,$F5962,$G5962)&gt;1,"중복","-"))</f>
        <v/>
      </c>
      <c r="I5962" s="11" t="str">
        <f aca="false">IF($A5962="","",IF($H5962="-","-",IF(AND(IF(원본명단!$H5961="",TRUE(),COUNTIF(원본명단!$H$3:$H5961,원본명단!$H5961)=1),IF(원본명단!$I5961="",TRUE(),COUNTIF(원본명단!$I$3:$I5961,원본명단!$I5961)=1),IF(원본명단!$K5961="",TRUE(),COUNTIF(원본명단!$K$3:$K5961,원본명단!$K5961)=1)),"첫 건","중복 건")))</f>
        <v/>
      </c>
      <c r="J5962" s="11" t="str">
        <f aca="false">IF($A5962="","",IF($H5962="-","유지",IF($I5962="첫 건","유지","확인 필요")))</f>
        <v/>
      </c>
    </row>
    <row r="5963" customFormat="false" ht="15" hidden="false" customHeight="true" outlineLevel="0" collapsed="false">
      <c r="A5963" s="11" t="str">
        <f aca="false">IF(원본명단!$A5962="","",5960)</f>
        <v/>
      </c>
      <c r="B5963" s="12" t="str">
        <f aca="false">IF($A5963="","",원본명단!$A5962)</f>
        <v/>
      </c>
      <c r="C5963" s="12" t="str">
        <f aca="false">IF($A5963="","",원본명단!$B5962)</f>
        <v/>
      </c>
      <c r="D5963" s="12" t="str">
        <f aca="false">IF($A5963="","",원본명단!$D5962)</f>
        <v/>
      </c>
      <c r="E5963" s="11" t="str">
        <f aca="false">IF($A5963="","",IF(원본명단!$H5962="",0,COUNTIF(원본명단!$H$3:$H$6002,원본명단!$H5962)))</f>
        <v/>
      </c>
      <c r="F5963" s="11" t="str">
        <f aca="false">IF($A5963="","",IF(원본명단!$I5962="",0,COUNTIF(원본명단!$I$3:$I$6002,원본명단!$I5962)))</f>
        <v/>
      </c>
      <c r="G5963" s="11" t="str">
        <f aca="false">IF($A5963="","",IF(원본명단!$K5962="",0,COUNTIF(원본명단!$K$3:$K$6002,원본명단!$K5962)))</f>
        <v/>
      </c>
      <c r="H5963" s="11" t="str">
        <f aca="false">IF($A5963="","",IF(MAX($E5963,$F5963,$G5963)&gt;1,"중복","-"))</f>
        <v/>
      </c>
      <c r="I5963" s="11" t="str">
        <f aca="false">IF($A5963="","",IF($H5963="-","-",IF(AND(IF(원본명단!$H5962="",TRUE(),COUNTIF(원본명단!$H$3:$H5962,원본명단!$H5962)=1),IF(원본명단!$I5962="",TRUE(),COUNTIF(원본명단!$I$3:$I5962,원본명단!$I5962)=1),IF(원본명단!$K5962="",TRUE(),COUNTIF(원본명단!$K$3:$K5962,원본명단!$K5962)=1)),"첫 건","중복 건")))</f>
        <v/>
      </c>
      <c r="J5963" s="11" t="str">
        <f aca="false">IF($A5963="","",IF($H5963="-","유지",IF($I5963="첫 건","유지","확인 필요")))</f>
        <v/>
      </c>
    </row>
    <row r="5964" customFormat="false" ht="15" hidden="false" customHeight="true" outlineLevel="0" collapsed="false">
      <c r="A5964" s="11" t="str">
        <f aca="false">IF(원본명단!$A5963="","",5961)</f>
        <v/>
      </c>
      <c r="B5964" s="12" t="str">
        <f aca="false">IF($A5964="","",원본명단!$A5963)</f>
        <v/>
      </c>
      <c r="C5964" s="12" t="str">
        <f aca="false">IF($A5964="","",원본명단!$B5963)</f>
        <v/>
      </c>
      <c r="D5964" s="12" t="str">
        <f aca="false">IF($A5964="","",원본명단!$D5963)</f>
        <v/>
      </c>
      <c r="E5964" s="11" t="str">
        <f aca="false">IF($A5964="","",IF(원본명단!$H5963="",0,COUNTIF(원본명단!$H$3:$H$6002,원본명단!$H5963)))</f>
        <v/>
      </c>
      <c r="F5964" s="11" t="str">
        <f aca="false">IF($A5964="","",IF(원본명단!$I5963="",0,COUNTIF(원본명단!$I$3:$I$6002,원본명단!$I5963)))</f>
        <v/>
      </c>
      <c r="G5964" s="11" t="str">
        <f aca="false">IF($A5964="","",IF(원본명단!$K5963="",0,COUNTIF(원본명단!$K$3:$K$6002,원본명단!$K5963)))</f>
        <v/>
      </c>
      <c r="H5964" s="11" t="str">
        <f aca="false">IF($A5964="","",IF(MAX($E5964,$F5964,$G5964)&gt;1,"중복","-"))</f>
        <v/>
      </c>
      <c r="I5964" s="11" t="str">
        <f aca="false">IF($A5964="","",IF($H5964="-","-",IF(AND(IF(원본명단!$H5963="",TRUE(),COUNTIF(원본명단!$H$3:$H5963,원본명단!$H5963)=1),IF(원본명단!$I5963="",TRUE(),COUNTIF(원본명단!$I$3:$I5963,원본명단!$I5963)=1),IF(원본명단!$K5963="",TRUE(),COUNTIF(원본명단!$K$3:$K5963,원본명단!$K5963)=1)),"첫 건","중복 건")))</f>
        <v/>
      </c>
      <c r="J5964" s="11" t="str">
        <f aca="false">IF($A5964="","",IF($H5964="-","유지",IF($I5964="첫 건","유지","확인 필요")))</f>
        <v/>
      </c>
    </row>
    <row r="5965" customFormat="false" ht="15" hidden="false" customHeight="true" outlineLevel="0" collapsed="false">
      <c r="A5965" s="11" t="str">
        <f aca="false">IF(원본명단!$A5964="","",5962)</f>
        <v/>
      </c>
      <c r="B5965" s="12" t="str">
        <f aca="false">IF($A5965="","",원본명단!$A5964)</f>
        <v/>
      </c>
      <c r="C5965" s="12" t="str">
        <f aca="false">IF($A5965="","",원본명단!$B5964)</f>
        <v/>
      </c>
      <c r="D5965" s="12" t="str">
        <f aca="false">IF($A5965="","",원본명단!$D5964)</f>
        <v/>
      </c>
      <c r="E5965" s="11" t="str">
        <f aca="false">IF($A5965="","",IF(원본명단!$H5964="",0,COUNTIF(원본명단!$H$3:$H$6002,원본명단!$H5964)))</f>
        <v/>
      </c>
      <c r="F5965" s="11" t="str">
        <f aca="false">IF($A5965="","",IF(원본명단!$I5964="",0,COUNTIF(원본명단!$I$3:$I$6002,원본명단!$I5964)))</f>
        <v/>
      </c>
      <c r="G5965" s="11" t="str">
        <f aca="false">IF($A5965="","",IF(원본명단!$K5964="",0,COUNTIF(원본명단!$K$3:$K$6002,원본명단!$K5964)))</f>
        <v/>
      </c>
      <c r="H5965" s="11" t="str">
        <f aca="false">IF($A5965="","",IF(MAX($E5965,$F5965,$G5965)&gt;1,"중복","-"))</f>
        <v/>
      </c>
      <c r="I5965" s="11" t="str">
        <f aca="false">IF($A5965="","",IF($H5965="-","-",IF(AND(IF(원본명단!$H5964="",TRUE(),COUNTIF(원본명단!$H$3:$H5964,원본명단!$H5964)=1),IF(원본명단!$I5964="",TRUE(),COUNTIF(원본명단!$I$3:$I5964,원본명단!$I5964)=1),IF(원본명단!$K5964="",TRUE(),COUNTIF(원본명단!$K$3:$K5964,원본명단!$K5964)=1)),"첫 건","중복 건")))</f>
        <v/>
      </c>
      <c r="J5965" s="11" t="str">
        <f aca="false">IF($A5965="","",IF($H5965="-","유지",IF($I5965="첫 건","유지","확인 필요")))</f>
        <v/>
      </c>
    </row>
    <row r="5966" customFormat="false" ht="15" hidden="false" customHeight="true" outlineLevel="0" collapsed="false">
      <c r="A5966" s="11" t="str">
        <f aca="false">IF(원본명단!$A5965="","",5963)</f>
        <v/>
      </c>
      <c r="B5966" s="12" t="str">
        <f aca="false">IF($A5966="","",원본명단!$A5965)</f>
        <v/>
      </c>
      <c r="C5966" s="12" t="str">
        <f aca="false">IF($A5966="","",원본명단!$B5965)</f>
        <v/>
      </c>
      <c r="D5966" s="12" t="str">
        <f aca="false">IF($A5966="","",원본명단!$D5965)</f>
        <v/>
      </c>
      <c r="E5966" s="11" t="str">
        <f aca="false">IF($A5966="","",IF(원본명단!$H5965="",0,COUNTIF(원본명단!$H$3:$H$6002,원본명단!$H5965)))</f>
        <v/>
      </c>
      <c r="F5966" s="11" t="str">
        <f aca="false">IF($A5966="","",IF(원본명단!$I5965="",0,COUNTIF(원본명단!$I$3:$I$6002,원본명단!$I5965)))</f>
        <v/>
      </c>
      <c r="G5966" s="11" t="str">
        <f aca="false">IF($A5966="","",IF(원본명단!$K5965="",0,COUNTIF(원본명단!$K$3:$K$6002,원본명단!$K5965)))</f>
        <v/>
      </c>
      <c r="H5966" s="11" t="str">
        <f aca="false">IF($A5966="","",IF(MAX($E5966,$F5966,$G5966)&gt;1,"중복","-"))</f>
        <v/>
      </c>
      <c r="I5966" s="11" t="str">
        <f aca="false">IF($A5966="","",IF($H5966="-","-",IF(AND(IF(원본명단!$H5965="",TRUE(),COUNTIF(원본명단!$H$3:$H5965,원본명단!$H5965)=1),IF(원본명단!$I5965="",TRUE(),COUNTIF(원본명단!$I$3:$I5965,원본명단!$I5965)=1),IF(원본명단!$K5965="",TRUE(),COUNTIF(원본명단!$K$3:$K5965,원본명단!$K5965)=1)),"첫 건","중복 건")))</f>
        <v/>
      </c>
      <c r="J5966" s="11" t="str">
        <f aca="false">IF($A5966="","",IF($H5966="-","유지",IF($I5966="첫 건","유지","확인 필요")))</f>
        <v/>
      </c>
    </row>
    <row r="5967" customFormat="false" ht="15" hidden="false" customHeight="true" outlineLevel="0" collapsed="false">
      <c r="A5967" s="11" t="str">
        <f aca="false">IF(원본명단!$A5966="","",5964)</f>
        <v/>
      </c>
      <c r="B5967" s="12" t="str">
        <f aca="false">IF($A5967="","",원본명단!$A5966)</f>
        <v/>
      </c>
      <c r="C5967" s="12" t="str">
        <f aca="false">IF($A5967="","",원본명단!$B5966)</f>
        <v/>
      </c>
      <c r="D5967" s="12" t="str">
        <f aca="false">IF($A5967="","",원본명단!$D5966)</f>
        <v/>
      </c>
      <c r="E5967" s="11" t="str">
        <f aca="false">IF($A5967="","",IF(원본명단!$H5966="",0,COUNTIF(원본명단!$H$3:$H$6002,원본명단!$H5966)))</f>
        <v/>
      </c>
      <c r="F5967" s="11" t="str">
        <f aca="false">IF($A5967="","",IF(원본명단!$I5966="",0,COUNTIF(원본명단!$I$3:$I$6002,원본명단!$I5966)))</f>
        <v/>
      </c>
      <c r="G5967" s="11" t="str">
        <f aca="false">IF($A5967="","",IF(원본명단!$K5966="",0,COUNTIF(원본명단!$K$3:$K$6002,원본명단!$K5966)))</f>
        <v/>
      </c>
      <c r="H5967" s="11" t="str">
        <f aca="false">IF($A5967="","",IF(MAX($E5967,$F5967,$G5967)&gt;1,"중복","-"))</f>
        <v/>
      </c>
      <c r="I5967" s="11" t="str">
        <f aca="false">IF($A5967="","",IF($H5967="-","-",IF(AND(IF(원본명단!$H5966="",TRUE(),COUNTIF(원본명단!$H$3:$H5966,원본명단!$H5966)=1),IF(원본명단!$I5966="",TRUE(),COUNTIF(원본명단!$I$3:$I5966,원본명단!$I5966)=1),IF(원본명단!$K5966="",TRUE(),COUNTIF(원본명단!$K$3:$K5966,원본명단!$K5966)=1)),"첫 건","중복 건")))</f>
        <v/>
      </c>
      <c r="J5967" s="11" t="str">
        <f aca="false">IF($A5967="","",IF($H5967="-","유지",IF($I5967="첫 건","유지","확인 필요")))</f>
        <v/>
      </c>
    </row>
    <row r="5968" customFormat="false" ht="15" hidden="false" customHeight="true" outlineLevel="0" collapsed="false">
      <c r="A5968" s="11" t="str">
        <f aca="false">IF(원본명단!$A5967="","",5965)</f>
        <v/>
      </c>
      <c r="B5968" s="12" t="str">
        <f aca="false">IF($A5968="","",원본명단!$A5967)</f>
        <v/>
      </c>
      <c r="C5968" s="12" t="str">
        <f aca="false">IF($A5968="","",원본명단!$B5967)</f>
        <v/>
      </c>
      <c r="D5968" s="12" t="str">
        <f aca="false">IF($A5968="","",원본명단!$D5967)</f>
        <v/>
      </c>
      <c r="E5968" s="11" t="str">
        <f aca="false">IF($A5968="","",IF(원본명단!$H5967="",0,COUNTIF(원본명단!$H$3:$H$6002,원본명단!$H5967)))</f>
        <v/>
      </c>
      <c r="F5968" s="11" t="str">
        <f aca="false">IF($A5968="","",IF(원본명단!$I5967="",0,COUNTIF(원본명단!$I$3:$I$6002,원본명단!$I5967)))</f>
        <v/>
      </c>
      <c r="G5968" s="11" t="str">
        <f aca="false">IF($A5968="","",IF(원본명단!$K5967="",0,COUNTIF(원본명단!$K$3:$K$6002,원본명단!$K5967)))</f>
        <v/>
      </c>
      <c r="H5968" s="11" t="str">
        <f aca="false">IF($A5968="","",IF(MAX($E5968,$F5968,$G5968)&gt;1,"중복","-"))</f>
        <v/>
      </c>
      <c r="I5968" s="11" t="str">
        <f aca="false">IF($A5968="","",IF($H5968="-","-",IF(AND(IF(원본명단!$H5967="",TRUE(),COUNTIF(원본명단!$H$3:$H5967,원본명단!$H5967)=1),IF(원본명단!$I5967="",TRUE(),COUNTIF(원본명단!$I$3:$I5967,원본명단!$I5967)=1),IF(원본명단!$K5967="",TRUE(),COUNTIF(원본명단!$K$3:$K5967,원본명단!$K5967)=1)),"첫 건","중복 건")))</f>
        <v/>
      </c>
      <c r="J5968" s="11" t="str">
        <f aca="false">IF($A5968="","",IF($H5968="-","유지",IF($I5968="첫 건","유지","확인 필요")))</f>
        <v/>
      </c>
    </row>
    <row r="5969" customFormat="false" ht="15" hidden="false" customHeight="true" outlineLevel="0" collapsed="false">
      <c r="A5969" s="11" t="str">
        <f aca="false">IF(원본명단!$A5968="","",5966)</f>
        <v/>
      </c>
      <c r="B5969" s="12" t="str">
        <f aca="false">IF($A5969="","",원본명단!$A5968)</f>
        <v/>
      </c>
      <c r="C5969" s="12" t="str">
        <f aca="false">IF($A5969="","",원본명단!$B5968)</f>
        <v/>
      </c>
      <c r="D5969" s="12" t="str">
        <f aca="false">IF($A5969="","",원본명단!$D5968)</f>
        <v/>
      </c>
      <c r="E5969" s="11" t="str">
        <f aca="false">IF($A5969="","",IF(원본명단!$H5968="",0,COUNTIF(원본명단!$H$3:$H$6002,원본명단!$H5968)))</f>
        <v/>
      </c>
      <c r="F5969" s="11" t="str">
        <f aca="false">IF($A5969="","",IF(원본명단!$I5968="",0,COUNTIF(원본명단!$I$3:$I$6002,원본명단!$I5968)))</f>
        <v/>
      </c>
      <c r="G5969" s="11" t="str">
        <f aca="false">IF($A5969="","",IF(원본명단!$K5968="",0,COUNTIF(원본명단!$K$3:$K$6002,원본명단!$K5968)))</f>
        <v/>
      </c>
      <c r="H5969" s="11" t="str">
        <f aca="false">IF($A5969="","",IF(MAX($E5969,$F5969,$G5969)&gt;1,"중복","-"))</f>
        <v/>
      </c>
      <c r="I5969" s="11" t="str">
        <f aca="false">IF($A5969="","",IF($H5969="-","-",IF(AND(IF(원본명단!$H5968="",TRUE(),COUNTIF(원본명단!$H$3:$H5968,원본명단!$H5968)=1),IF(원본명단!$I5968="",TRUE(),COUNTIF(원본명단!$I$3:$I5968,원본명단!$I5968)=1),IF(원본명단!$K5968="",TRUE(),COUNTIF(원본명단!$K$3:$K5968,원본명단!$K5968)=1)),"첫 건","중복 건")))</f>
        <v/>
      </c>
      <c r="J5969" s="11" t="str">
        <f aca="false">IF($A5969="","",IF($H5969="-","유지",IF($I5969="첫 건","유지","확인 필요")))</f>
        <v/>
      </c>
    </row>
    <row r="5970" customFormat="false" ht="15" hidden="false" customHeight="true" outlineLevel="0" collapsed="false">
      <c r="A5970" s="11" t="str">
        <f aca="false">IF(원본명단!$A5969="","",5967)</f>
        <v/>
      </c>
      <c r="B5970" s="12" t="str">
        <f aca="false">IF($A5970="","",원본명단!$A5969)</f>
        <v/>
      </c>
      <c r="C5970" s="12" t="str">
        <f aca="false">IF($A5970="","",원본명단!$B5969)</f>
        <v/>
      </c>
      <c r="D5970" s="12" t="str">
        <f aca="false">IF($A5970="","",원본명단!$D5969)</f>
        <v/>
      </c>
      <c r="E5970" s="11" t="str">
        <f aca="false">IF($A5970="","",IF(원본명단!$H5969="",0,COUNTIF(원본명단!$H$3:$H$6002,원본명단!$H5969)))</f>
        <v/>
      </c>
      <c r="F5970" s="11" t="str">
        <f aca="false">IF($A5970="","",IF(원본명단!$I5969="",0,COUNTIF(원본명단!$I$3:$I$6002,원본명단!$I5969)))</f>
        <v/>
      </c>
      <c r="G5970" s="11" t="str">
        <f aca="false">IF($A5970="","",IF(원본명단!$K5969="",0,COUNTIF(원본명단!$K$3:$K$6002,원본명단!$K5969)))</f>
        <v/>
      </c>
      <c r="H5970" s="11" t="str">
        <f aca="false">IF($A5970="","",IF(MAX($E5970,$F5970,$G5970)&gt;1,"중복","-"))</f>
        <v/>
      </c>
      <c r="I5970" s="11" t="str">
        <f aca="false">IF($A5970="","",IF($H5970="-","-",IF(AND(IF(원본명단!$H5969="",TRUE(),COUNTIF(원본명단!$H$3:$H5969,원본명단!$H5969)=1),IF(원본명단!$I5969="",TRUE(),COUNTIF(원본명단!$I$3:$I5969,원본명단!$I5969)=1),IF(원본명단!$K5969="",TRUE(),COUNTIF(원본명단!$K$3:$K5969,원본명단!$K5969)=1)),"첫 건","중복 건")))</f>
        <v/>
      </c>
      <c r="J5970" s="11" t="str">
        <f aca="false">IF($A5970="","",IF($H5970="-","유지",IF($I5970="첫 건","유지","확인 필요")))</f>
        <v/>
      </c>
    </row>
    <row r="5971" customFormat="false" ht="15" hidden="false" customHeight="true" outlineLevel="0" collapsed="false">
      <c r="A5971" s="11" t="str">
        <f aca="false">IF(원본명단!$A5970="","",5968)</f>
        <v/>
      </c>
      <c r="B5971" s="12" t="str">
        <f aca="false">IF($A5971="","",원본명단!$A5970)</f>
        <v/>
      </c>
      <c r="C5971" s="12" t="str">
        <f aca="false">IF($A5971="","",원본명단!$B5970)</f>
        <v/>
      </c>
      <c r="D5971" s="12" t="str">
        <f aca="false">IF($A5971="","",원본명단!$D5970)</f>
        <v/>
      </c>
      <c r="E5971" s="11" t="str">
        <f aca="false">IF($A5971="","",IF(원본명단!$H5970="",0,COUNTIF(원본명단!$H$3:$H$6002,원본명단!$H5970)))</f>
        <v/>
      </c>
      <c r="F5971" s="11" t="str">
        <f aca="false">IF($A5971="","",IF(원본명단!$I5970="",0,COUNTIF(원본명단!$I$3:$I$6002,원본명단!$I5970)))</f>
        <v/>
      </c>
      <c r="G5971" s="11" t="str">
        <f aca="false">IF($A5971="","",IF(원본명단!$K5970="",0,COUNTIF(원본명단!$K$3:$K$6002,원본명단!$K5970)))</f>
        <v/>
      </c>
      <c r="H5971" s="11" t="str">
        <f aca="false">IF($A5971="","",IF(MAX($E5971,$F5971,$G5971)&gt;1,"중복","-"))</f>
        <v/>
      </c>
      <c r="I5971" s="11" t="str">
        <f aca="false">IF($A5971="","",IF($H5971="-","-",IF(AND(IF(원본명단!$H5970="",TRUE(),COUNTIF(원본명단!$H$3:$H5970,원본명단!$H5970)=1),IF(원본명단!$I5970="",TRUE(),COUNTIF(원본명단!$I$3:$I5970,원본명단!$I5970)=1),IF(원본명단!$K5970="",TRUE(),COUNTIF(원본명단!$K$3:$K5970,원본명단!$K5970)=1)),"첫 건","중복 건")))</f>
        <v/>
      </c>
      <c r="J5971" s="11" t="str">
        <f aca="false">IF($A5971="","",IF($H5971="-","유지",IF($I5971="첫 건","유지","확인 필요")))</f>
        <v/>
      </c>
    </row>
    <row r="5972" customFormat="false" ht="15" hidden="false" customHeight="true" outlineLevel="0" collapsed="false">
      <c r="A5972" s="11" t="str">
        <f aca="false">IF(원본명단!$A5971="","",5969)</f>
        <v/>
      </c>
      <c r="B5972" s="12" t="str">
        <f aca="false">IF($A5972="","",원본명단!$A5971)</f>
        <v/>
      </c>
      <c r="C5972" s="12" t="str">
        <f aca="false">IF($A5972="","",원본명단!$B5971)</f>
        <v/>
      </c>
      <c r="D5972" s="12" t="str">
        <f aca="false">IF($A5972="","",원본명단!$D5971)</f>
        <v/>
      </c>
      <c r="E5972" s="11" t="str">
        <f aca="false">IF($A5972="","",IF(원본명단!$H5971="",0,COUNTIF(원본명단!$H$3:$H$6002,원본명단!$H5971)))</f>
        <v/>
      </c>
      <c r="F5972" s="11" t="str">
        <f aca="false">IF($A5972="","",IF(원본명단!$I5971="",0,COUNTIF(원본명단!$I$3:$I$6002,원본명단!$I5971)))</f>
        <v/>
      </c>
      <c r="G5972" s="11" t="str">
        <f aca="false">IF($A5972="","",IF(원본명단!$K5971="",0,COUNTIF(원본명단!$K$3:$K$6002,원본명단!$K5971)))</f>
        <v/>
      </c>
      <c r="H5972" s="11" t="str">
        <f aca="false">IF($A5972="","",IF(MAX($E5972,$F5972,$G5972)&gt;1,"중복","-"))</f>
        <v/>
      </c>
      <c r="I5972" s="11" t="str">
        <f aca="false">IF($A5972="","",IF($H5972="-","-",IF(AND(IF(원본명단!$H5971="",TRUE(),COUNTIF(원본명단!$H$3:$H5971,원본명단!$H5971)=1),IF(원본명단!$I5971="",TRUE(),COUNTIF(원본명단!$I$3:$I5971,원본명단!$I5971)=1),IF(원본명단!$K5971="",TRUE(),COUNTIF(원본명단!$K$3:$K5971,원본명단!$K5971)=1)),"첫 건","중복 건")))</f>
        <v/>
      </c>
      <c r="J5972" s="11" t="str">
        <f aca="false">IF($A5972="","",IF($H5972="-","유지",IF($I5972="첫 건","유지","확인 필요")))</f>
        <v/>
      </c>
    </row>
    <row r="5973" customFormat="false" ht="15" hidden="false" customHeight="true" outlineLevel="0" collapsed="false">
      <c r="A5973" s="11" t="str">
        <f aca="false">IF(원본명단!$A5972="","",5970)</f>
        <v/>
      </c>
      <c r="B5973" s="12" t="str">
        <f aca="false">IF($A5973="","",원본명단!$A5972)</f>
        <v/>
      </c>
      <c r="C5973" s="12" t="str">
        <f aca="false">IF($A5973="","",원본명단!$B5972)</f>
        <v/>
      </c>
      <c r="D5973" s="12" t="str">
        <f aca="false">IF($A5973="","",원본명단!$D5972)</f>
        <v/>
      </c>
      <c r="E5973" s="11" t="str">
        <f aca="false">IF($A5973="","",IF(원본명단!$H5972="",0,COUNTIF(원본명단!$H$3:$H$6002,원본명단!$H5972)))</f>
        <v/>
      </c>
      <c r="F5973" s="11" t="str">
        <f aca="false">IF($A5973="","",IF(원본명단!$I5972="",0,COUNTIF(원본명단!$I$3:$I$6002,원본명단!$I5972)))</f>
        <v/>
      </c>
      <c r="G5973" s="11" t="str">
        <f aca="false">IF($A5973="","",IF(원본명단!$K5972="",0,COUNTIF(원본명단!$K$3:$K$6002,원본명단!$K5972)))</f>
        <v/>
      </c>
      <c r="H5973" s="11" t="str">
        <f aca="false">IF($A5973="","",IF(MAX($E5973,$F5973,$G5973)&gt;1,"중복","-"))</f>
        <v/>
      </c>
      <c r="I5973" s="11" t="str">
        <f aca="false">IF($A5973="","",IF($H5973="-","-",IF(AND(IF(원본명단!$H5972="",TRUE(),COUNTIF(원본명단!$H$3:$H5972,원본명단!$H5972)=1),IF(원본명단!$I5972="",TRUE(),COUNTIF(원본명단!$I$3:$I5972,원본명단!$I5972)=1),IF(원본명단!$K5972="",TRUE(),COUNTIF(원본명단!$K$3:$K5972,원본명단!$K5972)=1)),"첫 건","중복 건")))</f>
        <v/>
      </c>
      <c r="J5973" s="11" t="str">
        <f aca="false">IF($A5973="","",IF($H5973="-","유지",IF($I5973="첫 건","유지","확인 필요")))</f>
        <v/>
      </c>
    </row>
    <row r="5974" customFormat="false" ht="15" hidden="false" customHeight="true" outlineLevel="0" collapsed="false">
      <c r="A5974" s="11" t="str">
        <f aca="false">IF(원본명단!$A5973="","",5971)</f>
        <v/>
      </c>
      <c r="B5974" s="12" t="str">
        <f aca="false">IF($A5974="","",원본명단!$A5973)</f>
        <v/>
      </c>
      <c r="C5974" s="12" t="str">
        <f aca="false">IF($A5974="","",원본명단!$B5973)</f>
        <v/>
      </c>
      <c r="D5974" s="12" t="str">
        <f aca="false">IF($A5974="","",원본명단!$D5973)</f>
        <v/>
      </c>
      <c r="E5974" s="11" t="str">
        <f aca="false">IF($A5974="","",IF(원본명단!$H5973="",0,COUNTIF(원본명단!$H$3:$H$6002,원본명단!$H5973)))</f>
        <v/>
      </c>
      <c r="F5974" s="11" t="str">
        <f aca="false">IF($A5974="","",IF(원본명단!$I5973="",0,COUNTIF(원본명단!$I$3:$I$6002,원본명단!$I5973)))</f>
        <v/>
      </c>
      <c r="G5974" s="11" t="str">
        <f aca="false">IF($A5974="","",IF(원본명단!$K5973="",0,COUNTIF(원본명단!$K$3:$K$6002,원본명단!$K5973)))</f>
        <v/>
      </c>
      <c r="H5974" s="11" t="str">
        <f aca="false">IF($A5974="","",IF(MAX($E5974,$F5974,$G5974)&gt;1,"중복","-"))</f>
        <v/>
      </c>
      <c r="I5974" s="11" t="str">
        <f aca="false">IF($A5974="","",IF($H5974="-","-",IF(AND(IF(원본명단!$H5973="",TRUE(),COUNTIF(원본명단!$H$3:$H5973,원본명단!$H5973)=1),IF(원본명단!$I5973="",TRUE(),COUNTIF(원본명단!$I$3:$I5973,원본명단!$I5973)=1),IF(원본명단!$K5973="",TRUE(),COUNTIF(원본명단!$K$3:$K5973,원본명단!$K5973)=1)),"첫 건","중복 건")))</f>
        <v/>
      </c>
      <c r="J5974" s="11" t="str">
        <f aca="false">IF($A5974="","",IF($H5974="-","유지",IF($I5974="첫 건","유지","확인 필요")))</f>
        <v/>
      </c>
    </row>
    <row r="5975" customFormat="false" ht="15" hidden="false" customHeight="true" outlineLevel="0" collapsed="false">
      <c r="A5975" s="11" t="str">
        <f aca="false">IF(원본명단!$A5974="","",5972)</f>
        <v/>
      </c>
      <c r="B5975" s="12" t="str">
        <f aca="false">IF($A5975="","",원본명단!$A5974)</f>
        <v/>
      </c>
      <c r="C5975" s="12" t="str">
        <f aca="false">IF($A5975="","",원본명단!$B5974)</f>
        <v/>
      </c>
      <c r="D5975" s="12" t="str">
        <f aca="false">IF($A5975="","",원본명단!$D5974)</f>
        <v/>
      </c>
      <c r="E5975" s="11" t="str">
        <f aca="false">IF($A5975="","",IF(원본명단!$H5974="",0,COUNTIF(원본명단!$H$3:$H$6002,원본명단!$H5974)))</f>
        <v/>
      </c>
      <c r="F5975" s="11" t="str">
        <f aca="false">IF($A5975="","",IF(원본명단!$I5974="",0,COUNTIF(원본명단!$I$3:$I$6002,원본명단!$I5974)))</f>
        <v/>
      </c>
      <c r="G5975" s="11" t="str">
        <f aca="false">IF($A5975="","",IF(원본명단!$K5974="",0,COUNTIF(원본명단!$K$3:$K$6002,원본명단!$K5974)))</f>
        <v/>
      </c>
      <c r="H5975" s="11" t="str">
        <f aca="false">IF($A5975="","",IF(MAX($E5975,$F5975,$G5975)&gt;1,"중복","-"))</f>
        <v/>
      </c>
      <c r="I5975" s="11" t="str">
        <f aca="false">IF($A5975="","",IF($H5975="-","-",IF(AND(IF(원본명단!$H5974="",TRUE(),COUNTIF(원본명단!$H$3:$H5974,원본명단!$H5974)=1),IF(원본명단!$I5974="",TRUE(),COUNTIF(원본명단!$I$3:$I5974,원본명단!$I5974)=1),IF(원본명단!$K5974="",TRUE(),COUNTIF(원본명단!$K$3:$K5974,원본명단!$K5974)=1)),"첫 건","중복 건")))</f>
        <v/>
      </c>
      <c r="J5975" s="11" t="str">
        <f aca="false">IF($A5975="","",IF($H5975="-","유지",IF($I5975="첫 건","유지","확인 필요")))</f>
        <v/>
      </c>
    </row>
    <row r="5976" customFormat="false" ht="15" hidden="false" customHeight="true" outlineLevel="0" collapsed="false">
      <c r="A5976" s="11" t="str">
        <f aca="false">IF(원본명단!$A5975="","",5973)</f>
        <v/>
      </c>
      <c r="B5976" s="12" t="str">
        <f aca="false">IF($A5976="","",원본명단!$A5975)</f>
        <v/>
      </c>
      <c r="C5976" s="12" t="str">
        <f aca="false">IF($A5976="","",원본명단!$B5975)</f>
        <v/>
      </c>
      <c r="D5976" s="12" t="str">
        <f aca="false">IF($A5976="","",원본명단!$D5975)</f>
        <v/>
      </c>
      <c r="E5976" s="11" t="str">
        <f aca="false">IF($A5976="","",IF(원본명단!$H5975="",0,COUNTIF(원본명단!$H$3:$H$6002,원본명단!$H5975)))</f>
        <v/>
      </c>
      <c r="F5976" s="11" t="str">
        <f aca="false">IF($A5976="","",IF(원본명단!$I5975="",0,COUNTIF(원본명단!$I$3:$I$6002,원본명단!$I5975)))</f>
        <v/>
      </c>
      <c r="G5976" s="11" t="str">
        <f aca="false">IF($A5976="","",IF(원본명단!$K5975="",0,COUNTIF(원본명단!$K$3:$K$6002,원본명단!$K5975)))</f>
        <v/>
      </c>
      <c r="H5976" s="11" t="str">
        <f aca="false">IF($A5976="","",IF(MAX($E5976,$F5976,$G5976)&gt;1,"중복","-"))</f>
        <v/>
      </c>
      <c r="I5976" s="11" t="str">
        <f aca="false">IF($A5976="","",IF($H5976="-","-",IF(AND(IF(원본명단!$H5975="",TRUE(),COUNTIF(원본명단!$H$3:$H5975,원본명단!$H5975)=1),IF(원본명단!$I5975="",TRUE(),COUNTIF(원본명단!$I$3:$I5975,원본명단!$I5975)=1),IF(원본명단!$K5975="",TRUE(),COUNTIF(원본명단!$K$3:$K5975,원본명단!$K5975)=1)),"첫 건","중복 건")))</f>
        <v/>
      </c>
      <c r="J5976" s="11" t="str">
        <f aca="false">IF($A5976="","",IF($H5976="-","유지",IF($I5976="첫 건","유지","확인 필요")))</f>
        <v/>
      </c>
    </row>
    <row r="5977" customFormat="false" ht="15" hidden="false" customHeight="true" outlineLevel="0" collapsed="false">
      <c r="A5977" s="11" t="str">
        <f aca="false">IF(원본명단!$A5976="","",5974)</f>
        <v/>
      </c>
      <c r="B5977" s="12" t="str">
        <f aca="false">IF($A5977="","",원본명단!$A5976)</f>
        <v/>
      </c>
      <c r="C5977" s="12" t="str">
        <f aca="false">IF($A5977="","",원본명단!$B5976)</f>
        <v/>
      </c>
      <c r="D5977" s="12" t="str">
        <f aca="false">IF($A5977="","",원본명단!$D5976)</f>
        <v/>
      </c>
      <c r="E5977" s="11" t="str">
        <f aca="false">IF($A5977="","",IF(원본명단!$H5976="",0,COUNTIF(원본명단!$H$3:$H$6002,원본명단!$H5976)))</f>
        <v/>
      </c>
      <c r="F5977" s="11" t="str">
        <f aca="false">IF($A5977="","",IF(원본명단!$I5976="",0,COUNTIF(원본명단!$I$3:$I$6002,원본명단!$I5976)))</f>
        <v/>
      </c>
      <c r="G5977" s="11" t="str">
        <f aca="false">IF($A5977="","",IF(원본명단!$K5976="",0,COUNTIF(원본명단!$K$3:$K$6002,원본명단!$K5976)))</f>
        <v/>
      </c>
      <c r="H5977" s="11" t="str">
        <f aca="false">IF($A5977="","",IF(MAX($E5977,$F5977,$G5977)&gt;1,"중복","-"))</f>
        <v/>
      </c>
      <c r="I5977" s="11" t="str">
        <f aca="false">IF($A5977="","",IF($H5977="-","-",IF(AND(IF(원본명단!$H5976="",TRUE(),COUNTIF(원본명단!$H$3:$H5976,원본명단!$H5976)=1),IF(원본명단!$I5976="",TRUE(),COUNTIF(원본명단!$I$3:$I5976,원본명단!$I5976)=1),IF(원본명단!$K5976="",TRUE(),COUNTIF(원본명단!$K$3:$K5976,원본명단!$K5976)=1)),"첫 건","중복 건")))</f>
        <v/>
      </c>
      <c r="J5977" s="11" t="str">
        <f aca="false">IF($A5977="","",IF($H5977="-","유지",IF($I5977="첫 건","유지","확인 필요")))</f>
        <v/>
      </c>
    </row>
    <row r="5978" customFormat="false" ht="15" hidden="false" customHeight="true" outlineLevel="0" collapsed="false">
      <c r="A5978" s="11" t="str">
        <f aca="false">IF(원본명단!$A5977="","",5975)</f>
        <v/>
      </c>
      <c r="B5978" s="12" t="str">
        <f aca="false">IF($A5978="","",원본명단!$A5977)</f>
        <v/>
      </c>
      <c r="C5978" s="12" t="str">
        <f aca="false">IF($A5978="","",원본명단!$B5977)</f>
        <v/>
      </c>
      <c r="D5978" s="12" t="str">
        <f aca="false">IF($A5978="","",원본명단!$D5977)</f>
        <v/>
      </c>
      <c r="E5978" s="11" t="str">
        <f aca="false">IF($A5978="","",IF(원본명단!$H5977="",0,COUNTIF(원본명단!$H$3:$H$6002,원본명단!$H5977)))</f>
        <v/>
      </c>
      <c r="F5978" s="11" t="str">
        <f aca="false">IF($A5978="","",IF(원본명단!$I5977="",0,COUNTIF(원본명단!$I$3:$I$6002,원본명단!$I5977)))</f>
        <v/>
      </c>
      <c r="G5978" s="11" t="str">
        <f aca="false">IF($A5978="","",IF(원본명단!$K5977="",0,COUNTIF(원본명단!$K$3:$K$6002,원본명단!$K5977)))</f>
        <v/>
      </c>
      <c r="H5978" s="11" t="str">
        <f aca="false">IF($A5978="","",IF(MAX($E5978,$F5978,$G5978)&gt;1,"중복","-"))</f>
        <v/>
      </c>
      <c r="I5978" s="11" t="str">
        <f aca="false">IF($A5978="","",IF($H5978="-","-",IF(AND(IF(원본명단!$H5977="",TRUE(),COUNTIF(원본명단!$H$3:$H5977,원본명단!$H5977)=1),IF(원본명단!$I5977="",TRUE(),COUNTIF(원본명단!$I$3:$I5977,원본명단!$I5977)=1),IF(원본명단!$K5977="",TRUE(),COUNTIF(원본명단!$K$3:$K5977,원본명단!$K5977)=1)),"첫 건","중복 건")))</f>
        <v/>
      </c>
      <c r="J5978" s="11" t="str">
        <f aca="false">IF($A5978="","",IF($H5978="-","유지",IF($I5978="첫 건","유지","확인 필요")))</f>
        <v/>
      </c>
    </row>
    <row r="5979" customFormat="false" ht="15" hidden="false" customHeight="true" outlineLevel="0" collapsed="false">
      <c r="A5979" s="11" t="str">
        <f aca="false">IF(원본명단!$A5978="","",5976)</f>
        <v/>
      </c>
      <c r="B5979" s="12" t="str">
        <f aca="false">IF($A5979="","",원본명단!$A5978)</f>
        <v/>
      </c>
      <c r="C5979" s="12" t="str">
        <f aca="false">IF($A5979="","",원본명단!$B5978)</f>
        <v/>
      </c>
      <c r="D5979" s="12" t="str">
        <f aca="false">IF($A5979="","",원본명단!$D5978)</f>
        <v/>
      </c>
      <c r="E5979" s="11" t="str">
        <f aca="false">IF($A5979="","",IF(원본명단!$H5978="",0,COUNTIF(원본명단!$H$3:$H$6002,원본명단!$H5978)))</f>
        <v/>
      </c>
      <c r="F5979" s="11" t="str">
        <f aca="false">IF($A5979="","",IF(원본명단!$I5978="",0,COUNTIF(원본명단!$I$3:$I$6002,원본명단!$I5978)))</f>
        <v/>
      </c>
      <c r="G5979" s="11" t="str">
        <f aca="false">IF($A5979="","",IF(원본명단!$K5978="",0,COUNTIF(원본명단!$K$3:$K$6002,원본명단!$K5978)))</f>
        <v/>
      </c>
      <c r="H5979" s="11" t="str">
        <f aca="false">IF($A5979="","",IF(MAX($E5979,$F5979,$G5979)&gt;1,"중복","-"))</f>
        <v/>
      </c>
      <c r="I5979" s="11" t="str">
        <f aca="false">IF($A5979="","",IF($H5979="-","-",IF(AND(IF(원본명단!$H5978="",TRUE(),COUNTIF(원본명단!$H$3:$H5978,원본명단!$H5978)=1),IF(원본명단!$I5978="",TRUE(),COUNTIF(원본명단!$I$3:$I5978,원본명단!$I5978)=1),IF(원본명단!$K5978="",TRUE(),COUNTIF(원본명단!$K$3:$K5978,원본명단!$K5978)=1)),"첫 건","중복 건")))</f>
        <v/>
      </c>
      <c r="J5979" s="11" t="str">
        <f aca="false">IF($A5979="","",IF($H5979="-","유지",IF($I5979="첫 건","유지","확인 필요")))</f>
        <v/>
      </c>
    </row>
    <row r="5980" customFormat="false" ht="15" hidden="false" customHeight="true" outlineLevel="0" collapsed="false">
      <c r="A5980" s="11" t="str">
        <f aca="false">IF(원본명단!$A5979="","",5977)</f>
        <v/>
      </c>
      <c r="B5980" s="12" t="str">
        <f aca="false">IF($A5980="","",원본명단!$A5979)</f>
        <v/>
      </c>
      <c r="C5980" s="12" t="str">
        <f aca="false">IF($A5980="","",원본명단!$B5979)</f>
        <v/>
      </c>
      <c r="D5980" s="12" t="str">
        <f aca="false">IF($A5980="","",원본명단!$D5979)</f>
        <v/>
      </c>
      <c r="E5980" s="11" t="str">
        <f aca="false">IF($A5980="","",IF(원본명단!$H5979="",0,COUNTIF(원본명단!$H$3:$H$6002,원본명단!$H5979)))</f>
        <v/>
      </c>
      <c r="F5980" s="11" t="str">
        <f aca="false">IF($A5980="","",IF(원본명단!$I5979="",0,COUNTIF(원본명단!$I$3:$I$6002,원본명단!$I5979)))</f>
        <v/>
      </c>
      <c r="G5980" s="11" t="str">
        <f aca="false">IF($A5980="","",IF(원본명단!$K5979="",0,COUNTIF(원본명단!$K$3:$K$6002,원본명단!$K5979)))</f>
        <v/>
      </c>
      <c r="H5980" s="11" t="str">
        <f aca="false">IF($A5980="","",IF(MAX($E5980,$F5980,$G5980)&gt;1,"중복","-"))</f>
        <v/>
      </c>
      <c r="I5980" s="11" t="str">
        <f aca="false">IF($A5980="","",IF($H5980="-","-",IF(AND(IF(원본명단!$H5979="",TRUE(),COUNTIF(원본명단!$H$3:$H5979,원본명단!$H5979)=1),IF(원본명단!$I5979="",TRUE(),COUNTIF(원본명단!$I$3:$I5979,원본명단!$I5979)=1),IF(원본명단!$K5979="",TRUE(),COUNTIF(원본명단!$K$3:$K5979,원본명단!$K5979)=1)),"첫 건","중복 건")))</f>
        <v/>
      </c>
      <c r="J5980" s="11" t="str">
        <f aca="false">IF($A5980="","",IF($H5980="-","유지",IF($I5980="첫 건","유지","확인 필요")))</f>
        <v/>
      </c>
    </row>
    <row r="5981" customFormat="false" ht="15" hidden="false" customHeight="true" outlineLevel="0" collapsed="false">
      <c r="A5981" s="11" t="str">
        <f aca="false">IF(원본명단!$A5980="","",5978)</f>
        <v/>
      </c>
      <c r="B5981" s="12" t="str">
        <f aca="false">IF($A5981="","",원본명단!$A5980)</f>
        <v/>
      </c>
      <c r="C5981" s="12" t="str">
        <f aca="false">IF($A5981="","",원본명단!$B5980)</f>
        <v/>
      </c>
      <c r="D5981" s="12" t="str">
        <f aca="false">IF($A5981="","",원본명단!$D5980)</f>
        <v/>
      </c>
      <c r="E5981" s="11" t="str">
        <f aca="false">IF($A5981="","",IF(원본명단!$H5980="",0,COUNTIF(원본명단!$H$3:$H$6002,원본명단!$H5980)))</f>
        <v/>
      </c>
      <c r="F5981" s="11" t="str">
        <f aca="false">IF($A5981="","",IF(원본명단!$I5980="",0,COUNTIF(원본명단!$I$3:$I$6002,원본명단!$I5980)))</f>
        <v/>
      </c>
      <c r="G5981" s="11" t="str">
        <f aca="false">IF($A5981="","",IF(원본명단!$K5980="",0,COUNTIF(원본명단!$K$3:$K$6002,원본명단!$K5980)))</f>
        <v/>
      </c>
      <c r="H5981" s="11" t="str">
        <f aca="false">IF($A5981="","",IF(MAX($E5981,$F5981,$G5981)&gt;1,"중복","-"))</f>
        <v/>
      </c>
      <c r="I5981" s="11" t="str">
        <f aca="false">IF($A5981="","",IF($H5981="-","-",IF(AND(IF(원본명단!$H5980="",TRUE(),COUNTIF(원본명단!$H$3:$H5980,원본명단!$H5980)=1),IF(원본명단!$I5980="",TRUE(),COUNTIF(원본명단!$I$3:$I5980,원본명단!$I5980)=1),IF(원본명단!$K5980="",TRUE(),COUNTIF(원본명단!$K$3:$K5980,원본명단!$K5980)=1)),"첫 건","중복 건")))</f>
        <v/>
      </c>
      <c r="J5981" s="11" t="str">
        <f aca="false">IF($A5981="","",IF($H5981="-","유지",IF($I5981="첫 건","유지","확인 필요")))</f>
        <v/>
      </c>
    </row>
    <row r="5982" customFormat="false" ht="15" hidden="false" customHeight="true" outlineLevel="0" collapsed="false">
      <c r="A5982" s="11" t="str">
        <f aca="false">IF(원본명단!$A5981="","",5979)</f>
        <v/>
      </c>
      <c r="B5982" s="12" t="str">
        <f aca="false">IF($A5982="","",원본명단!$A5981)</f>
        <v/>
      </c>
      <c r="C5982" s="12" t="str">
        <f aca="false">IF($A5982="","",원본명단!$B5981)</f>
        <v/>
      </c>
      <c r="D5982" s="12" t="str">
        <f aca="false">IF($A5982="","",원본명단!$D5981)</f>
        <v/>
      </c>
      <c r="E5982" s="11" t="str">
        <f aca="false">IF($A5982="","",IF(원본명단!$H5981="",0,COUNTIF(원본명단!$H$3:$H$6002,원본명단!$H5981)))</f>
        <v/>
      </c>
      <c r="F5982" s="11" t="str">
        <f aca="false">IF($A5982="","",IF(원본명단!$I5981="",0,COUNTIF(원본명단!$I$3:$I$6002,원본명단!$I5981)))</f>
        <v/>
      </c>
      <c r="G5982" s="11" t="str">
        <f aca="false">IF($A5982="","",IF(원본명단!$K5981="",0,COUNTIF(원본명단!$K$3:$K$6002,원본명단!$K5981)))</f>
        <v/>
      </c>
      <c r="H5982" s="11" t="str">
        <f aca="false">IF($A5982="","",IF(MAX($E5982,$F5982,$G5982)&gt;1,"중복","-"))</f>
        <v/>
      </c>
      <c r="I5982" s="11" t="str">
        <f aca="false">IF($A5982="","",IF($H5982="-","-",IF(AND(IF(원본명단!$H5981="",TRUE(),COUNTIF(원본명단!$H$3:$H5981,원본명단!$H5981)=1),IF(원본명단!$I5981="",TRUE(),COUNTIF(원본명단!$I$3:$I5981,원본명단!$I5981)=1),IF(원본명단!$K5981="",TRUE(),COUNTIF(원본명단!$K$3:$K5981,원본명단!$K5981)=1)),"첫 건","중복 건")))</f>
        <v/>
      </c>
      <c r="J5982" s="11" t="str">
        <f aca="false">IF($A5982="","",IF($H5982="-","유지",IF($I5982="첫 건","유지","확인 필요")))</f>
        <v/>
      </c>
    </row>
    <row r="5983" customFormat="false" ht="15" hidden="false" customHeight="true" outlineLevel="0" collapsed="false">
      <c r="A5983" s="11" t="str">
        <f aca="false">IF(원본명단!$A5982="","",5980)</f>
        <v/>
      </c>
      <c r="B5983" s="12" t="str">
        <f aca="false">IF($A5983="","",원본명단!$A5982)</f>
        <v/>
      </c>
      <c r="C5983" s="12" t="str">
        <f aca="false">IF($A5983="","",원본명단!$B5982)</f>
        <v/>
      </c>
      <c r="D5983" s="12" t="str">
        <f aca="false">IF($A5983="","",원본명단!$D5982)</f>
        <v/>
      </c>
      <c r="E5983" s="11" t="str">
        <f aca="false">IF($A5983="","",IF(원본명단!$H5982="",0,COUNTIF(원본명단!$H$3:$H$6002,원본명단!$H5982)))</f>
        <v/>
      </c>
      <c r="F5983" s="11" t="str">
        <f aca="false">IF($A5983="","",IF(원본명단!$I5982="",0,COUNTIF(원본명단!$I$3:$I$6002,원본명단!$I5982)))</f>
        <v/>
      </c>
      <c r="G5983" s="11" t="str">
        <f aca="false">IF($A5983="","",IF(원본명단!$K5982="",0,COUNTIF(원본명단!$K$3:$K$6002,원본명단!$K5982)))</f>
        <v/>
      </c>
      <c r="H5983" s="11" t="str">
        <f aca="false">IF($A5983="","",IF(MAX($E5983,$F5983,$G5983)&gt;1,"중복","-"))</f>
        <v/>
      </c>
      <c r="I5983" s="11" t="str">
        <f aca="false">IF($A5983="","",IF($H5983="-","-",IF(AND(IF(원본명단!$H5982="",TRUE(),COUNTIF(원본명단!$H$3:$H5982,원본명단!$H5982)=1),IF(원본명단!$I5982="",TRUE(),COUNTIF(원본명단!$I$3:$I5982,원본명단!$I5982)=1),IF(원본명단!$K5982="",TRUE(),COUNTIF(원본명단!$K$3:$K5982,원본명단!$K5982)=1)),"첫 건","중복 건")))</f>
        <v/>
      </c>
      <c r="J5983" s="11" t="str">
        <f aca="false">IF($A5983="","",IF($H5983="-","유지",IF($I5983="첫 건","유지","확인 필요")))</f>
        <v/>
      </c>
    </row>
    <row r="5984" customFormat="false" ht="15" hidden="false" customHeight="true" outlineLevel="0" collapsed="false">
      <c r="A5984" s="11" t="str">
        <f aca="false">IF(원본명단!$A5983="","",5981)</f>
        <v/>
      </c>
      <c r="B5984" s="12" t="str">
        <f aca="false">IF($A5984="","",원본명단!$A5983)</f>
        <v/>
      </c>
      <c r="C5984" s="12" t="str">
        <f aca="false">IF($A5984="","",원본명단!$B5983)</f>
        <v/>
      </c>
      <c r="D5984" s="12" t="str">
        <f aca="false">IF($A5984="","",원본명단!$D5983)</f>
        <v/>
      </c>
      <c r="E5984" s="11" t="str">
        <f aca="false">IF($A5984="","",IF(원본명단!$H5983="",0,COUNTIF(원본명단!$H$3:$H$6002,원본명단!$H5983)))</f>
        <v/>
      </c>
      <c r="F5984" s="11" t="str">
        <f aca="false">IF($A5984="","",IF(원본명단!$I5983="",0,COUNTIF(원본명단!$I$3:$I$6002,원본명단!$I5983)))</f>
        <v/>
      </c>
      <c r="G5984" s="11" t="str">
        <f aca="false">IF($A5984="","",IF(원본명단!$K5983="",0,COUNTIF(원본명단!$K$3:$K$6002,원본명단!$K5983)))</f>
        <v/>
      </c>
      <c r="H5984" s="11" t="str">
        <f aca="false">IF($A5984="","",IF(MAX($E5984,$F5984,$G5984)&gt;1,"중복","-"))</f>
        <v/>
      </c>
      <c r="I5984" s="11" t="str">
        <f aca="false">IF($A5984="","",IF($H5984="-","-",IF(AND(IF(원본명단!$H5983="",TRUE(),COUNTIF(원본명단!$H$3:$H5983,원본명단!$H5983)=1),IF(원본명단!$I5983="",TRUE(),COUNTIF(원본명단!$I$3:$I5983,원본명단!$I5983)=1),IF(원본명단!$K5983="",TRUE(),COUNTIF(원본명단!$K$3:$K5983,원본명단!$K5983)=1)),"첫 건","중복 건")))</f>
        <v/>
      </c>
      <c r="J5984" s="11" t="str">
        <f aca="false">IF($A5984="","",IF($H5984="-","유지",IF($I5984="첫 건","유지","확인 필요")))</f>
        <v/>
      </c>
    </row>
    <row r="5985" customFormat="false" ht="15" hidden="false" customHeight="true" outlineLevel="0" collapsed="false">
      <c r="A5985" s="11" t="str">
        <f aca="false">IF(원본명단!$A5984="","",5982)</f>
        <v/>
      </c>
      <c r="B5985" s="12" t="str">
        <f aca="false">IF($A5985="","",원본명단!$A5984)</f>
        <v/>
      </c>
      <c r="C5985" s="12" t="str">
        <f aca="false">IF($A5985="","",원본명단!$B5984)</f>
        <v/>
      </c>
      <c r="D5985" s="12" t="str">
        <f aca="false">IF($A5985="","",원본명단!$D5984)</f>
        <v/>
      </c>
      <c r="E5985" s="11" t="str">
        <f aca="false">IF($A5985="","",IF(원본명단!$H5984="",0,COUNTIF(원본명단!$H$3:$H$6002,원본명단!$H5984)))</f>
        <v/>
      </c>
      <c r="F5985" s="11" t="str">
        <f aca="false">IF($A5985="","",IF(원본명단!$I5984="",0,COUNTIF(원본명단!$I$3:$I$6002,원본명단!$I5984)))</f>
        <v/>
      </c>
      <c r="G5985" s="11" t="str">
        <f aca="false">IF($A5985="","",IF(원본명단!$K5984="",0,COUNTIF(원본명단!$K$3:$K$6002,원본명단!$K5984)))</f>
        <v/>
      </c>
      <c r="H5985" s="11" t="str">
        <f aca="false">IF($A5985="","",IF(MAX($E5985,$F5985,$G5985)&gt;1,"중복","-"))</f>
        <v/>
      </c>
      <c r="I5985" s="11" t="str">
        <f aca="false">IF($A5985="","",IF($H5985="-","-",IF(AND(IF(원본명단!$H5984="",TRUE(),COUNTIF(원본명단!$H$3:$H5984,원본명단!$H5984)=1),IF(원본명단!$I5984="",TRUE(),COUNTIF(원본명단!$I$3:$I5984,원본명단!$I5984)=1),IF(원본명단!$K5984="",TRUE(),COUNTIF(원본명단!$K$3:$K5984,원본명단!$K5984)=1)),"첫 건","중복 건")))</f>
        <v/>
      </c>
      <c r="J5985" s="11" t="str">
        <f aca="false">IF($A5985="","",IF($H5985="-","유지",IF($I5985="첫 건","유지","확인 필요")))</f>
        <v/>
      </c>
    </row>
    <row r="5986" customFormat="false" ht="15" hidden="false" customHeight="true" outlineLevel="0" collapsed="false">
      <c r="A5986" s="11" t="str">
        <f aca="false">IF(원본명단!$A5985="","",5983)</f>
        <v/>
      </c>
      <c r="B5986" s="12" t="str">
        <f aca="false">IF($A5986="","",원본명단!$A5985)</f>
        <v/>
      </c>
      <c r="C5986" s="12" t="str">
        <f aca="false">IF($A5986="","",원본명단!$B5985)</f>
        <v/>
      </c>
      <c r="D5986" s="12" t="str">
        <f aca="false">IF($A5986="","",원본명단!$D5985)</f>
        <v/>
      </c>
      <c r="E5986" s="11" t="str">
        <f aca="false">IF($A5986="","",IF(원본명단!$H5985="",0,COUNTIF(원본명단!$H$3:$H$6002,원본명단!$H5985)))</f>
        <v/>
      </c>
      <c r="F5986" s="11" t="str">
        <f aca="false">IF($A5986="","",IF(원본명단!$I5985="",0,COUNTIF(원본명단!$I$3:$I$6002,원본명단!$I5985)))</f>
        <v/>
      </c>
      <c r="G5986" s="11" t="str">
        <f aca="false">IF($A5986="","",IF(원본명단!$K5985="",0,COUNTIF(원본명단!$K$3:$K$6002,원본명단!$K5985)))</f>
        <v/>
      </c>
      <c r="H5986" s="11" t="str">
        <f aca="false">IF($A5986="","",IF(MAX($E5986,$F5986,$G5986)&gt;1,"중복","-"))</f>
        <v/>
      </c>
      <c r="I5986" s="11" t="str">
        <f aca="false">IF($A5986="","",IF($H5986="-","-",IF(AND(IF(원본명단!$H5985="",TRUE(),COUNTIF(원본명단!$H$3:$H5985,원본명단!$H5985)=1),IF(원본명단!$I5985="",TRUE(),COUNTIF(원본명단!$I$3:$I5985,원본명단!$I5985)=1),IF(원본명단!$K5985="",TRUE(),COUNTIF(원본명단!$K$3:$K5985,원본명단!$K5985)=1)),"첫 건","중복 건")))</f>
        <v/>
      </c>
      <c r="J5986" s="11" t="str">
        <f aca="false">IF($A5986="","",IF($H5986="-","유지",IF($I5986="첫 건","유지","확인 필요")))</f>
        <v/>
      </c>
    </row>
    <row r="5987" customFormat="false" ht="15" hidden="false" customHeight="true" outlineLevel="0" collapsed="false">
      <c r="A5987" s="11" t="str">
        <f aca="false">IF(원본명단!$A5986="","",5984)</f>
        <v/>
      </c>
      <c r="B5987" s="12" t="str">
        <f aca="false">IF($A5987="","",원본명단!$A5986)</f>
        <v/>
      </c>
      <c r="C5987" s="12" t="str">
        <f aca="false">IF($A5987="","",원본명단!$B5986)</f>
        <v/>
      </c>
      <c r="D5987" s="12" t="str">
        <f aca="false">IF($A5987="","",원본명단!$D5986)</f>
        <v/>
      </c>
      <c r="E5987" s="11" t="str">
        <f aca="false">IF($A5987="","",IF(원본명단!$H5986="",0,COUNTIF(원본명단!$H$3:$H$6002,원본명단!$H5986)))</f>
        <v/>
      </c>
      <c r="F5987" s="11" t="str">
        <f aca="false">IF($A5987="","",IF(원본명단!$I5986="",0,COUNTIF(원본명단!$I$3:$I$6002,원본명단!$I5986)))</f>
        <v/>
      </c>
      <c r="G5987" s="11" t="str">
        <f aca="false">IF($A5987="","",IF(원본명단!$K5986="",0,COUNTIF(원본명단!$K$3:$K$6002,원본명단!$K5986)))</f>
        <v/>
      </c>
      <c r="H5987" s="11" t="str">
        <f aca="false">IF($A5987="","",IF(MAX($E5987,$F5987,$G5987)&gt;1,"중복","-"))</f>
        <v/>
      </c>
      <c r="I5987" s="11" t="str">
        <f aca="false">IF($A5987="","",IF($H5987="-","-",IF(AND(IF(원본명단!$H5986="",TRUE(),COUNTIF(원본명단!$H$3:$H5986,원본명단!$H5986)=1),IF(원본명단!$I5986="",TRUE(),COUNTIF(원본명단!$I$3:$I5986,원본명단!$I5986)=1),IF(원본명단!$K5986="",TRUE(),COUNTIF(원본명단!$K$3:$K5986,원본명단!$K5986)=1)),"첫 건","중복 건")))</f>
        <v/>
      </c>
      <c r="J5987" s="11" t="str">
        <f aca="false">IF($A5987="","",IF($H5987="-","유지",IF($I5987="첫 건","유지","확인 필요")))</f>
        <v/>
      </c>
    </row>
    <row r="5988" customFormat="false" ht="15" hidden="false" customHeight="true" outlineLevel="0" collapsed="false">
      <c r="A5988" s="11" t="str">
        <f aca="false">IF(원본명단!$A5987="","",5985)</f>
        <v/>
      </c>
      <c r="B5988" s="12" t="str">
        <f aca="false">IF($A5988="","",원본명단!$A5987)</f>
        <v/>
      </c>
      <c r="C5988" s="12" t="str">
        <f aca="false">IF($A5988="","",원본명단!$B5987)</f>
        <v/>
      </c>
      <c r="D5988" s="12" t="str">
        <f aca="false">IF($A5988="","",원본명단!$D5987)</f>
        <v/>
      </c>
      <c r="E5988" s="11" t="str">
        <f aca="false">IF($A5988="","",IF(원본명단!$H5987="",0,COUNTIF(원본명단!$H$3:$H$6002,원본명단!$H5987)))</f>
        <v/>
      </c>
      <c r="F5988" s="11" t="str">
        <f aca="false">IF($A5988="","",IF(원본명단!$I5987="",0,COUNTIF(원본명단!$I$3:$I$6002,원본명단!$I5987)))</f>
        <v/>
      </c>
      <c r="G5988" s="11" t="str">
        <f aca="false">IF($A5988="","",IF(원본명단!$K5987="",0,COUNTIF(원본명단!$K$3:$K$6002,원본명단!$K5987)))</f>
        <v/>
      </c>
      <c r="H5988" s="11" t="str">
        <f aca="false">IF($A5988="","",IF(MAX($E5988,$F5988,$G5988)&gt;1,"중복","-"))</f>
        <v/>
      </c>
      <c r="I5988" s="11" t="str">
        <f aca="false">IF($A5988="","",IF($H5988="-","-",IF(AND(IF(원본명단!$H5987="",TRUE(),COUNTIF(원본명단!$H$3:$H5987,원본명단!$H5987)=1),IF(원본명단!$I5987="",TRUE(),COUNTIF(원본명단!$I$3:$I5987,원본명단!$I5987)=1),IF(원본명단!$K5987="",TRUE(),COUNTIF(원본명단!$K$3:$K5987,원본명단!$K5987)=1)),"첫 건","중복 건")))</f>
        <v/>
      </c>
      <c r="J5988" s="11" t="str">
        <f aca="false">IF($A5988="","",IF($H5988="-","유지",IF($I5988="첫 건","유지","확인 필요")))</f>
        <v/>
      </c>
    </row>
    <row r="5989" customFormat="false" ht="15" hidden="false" customHeight="true" outlineLevel="0" collapsed="false">
      <c r="A5989" s="11" t="str">
        <f aca="false">IF(원본명단!$A5988="","",5986)</f>
        <v/>
      </c>
      <c r="B5989" s="12" t="str">
        <f aca="false">IF($A5989="","",원본명단!$A5988)</f>
        <v/>
      </c>
      <c r="C5989" s="12" t="str">
        <f aca="false">IF($A5989="","",원본명단!$B5988)</f>
        <v/>
      </c>
      <c r="D5989" s="12" t="str">
        <f aca="false">IF($A5989="","",원본명단!$D5988)</f>
        <v/>
      </c>
      <c r="E5989" s="11" t="str">
        <f aca="false">IF($A5989="","",IF(원본명단!$H5988="",0,COUNTIF(원본명단!$H$3:$H$6002,원본명단!$H5988)))</f>
        <v/>
      </c>
      <c r="F5989" s="11" t="str">
        <f aca="false">IF($A5989="","",IF(원본명단!$I5988="",0,COUNTIF(원본명단!$I$3:$I$6002,원본명단!$I5988)))</f>
        <v/>
      </c>
      <c r="G5989" s="11" t="str">
        <f aca="false">IF($A5989="","",IF(원본명단!$K5988="",0,COUNTIF(원본명단!$K$3:$K$6002,원본명단!$K5988)))</f>
        <v/>
      </c>
      <c r="H5989" s="11" t="str">
        <f aca="false">IF($A5989="","",IF(MAX($E5989,$F5989,$G5989)&gt;1,"중복","-"))</f>
        <v/>
      </c>
      <c r="I5989" s="11" t="str">
        <f aca="false">IF($A5989="","",IF($H5989="-","-",IF(AND(IF(원본명단!$H5988="",TRUE(),COUNTIF(원본명단!$H$3:$H5988,원본명단!$H5988)=1),IF(원본명단!$I5988="",TRUE(),COUNTIF(원본명단!$I$3:$I5988,원본명단!$I5988)=1),IF(원본명단!$K5988="",TRUE(),COUNTIF(원본명단!$K$3:$K5988,원본명단!$K5988)=1)),"첫 건","중복 건")))</f>
        <v/>
      </c>
      <c r="J5989" s="11" t="str">
        <f aca="false">IF($A5989="","",IF($H5989="-","유지",IF($I5989="첫 건","유지","확인 필요")))</f>
        <v/>
      </c>
    </row>
    <row r="5990" customFormat="false" ht="15" hidden="false" customHeight="true" outlineLevel="0" collapsed="false">
      <c r="A5990" s="11" t="str">
        <f aca="false">IF(원본명단!$A5989="","",5987)</f>
        <v/>
      </c>
      <c r="B5990" s="12" t="str">
        <f aca="false">IF($A5990="","",원본명단!$A5989)</f>
        <v/>
      </c>
      <c r="C5990" s="12" t="str">
        <f aca="false">IF($A5990="","",원본명단!$B5989)</f>
        <v/>
      </c>
      <c r="D5990" s="12" t="str">
        <f aca="false">IF($A5990="","",원본명단!$D5989)</f>
        <v/>
      </c>
      <c r="E5990" s="11" t="str">
        <f aca="false">IF($A5990="","",IF(원본명단!$H5989="",0,COUNTIF(원본명단!$H$3:$H$6002,원본명단!$H5989)))</f>
        <v/>
      </c>
      <c r="F5990" s="11" t="str">
        <f aca="false">IF($A5990="","",IF(원본명단!$I5989="",0,COUNTIF(원본명단!$I$3:$I$6002,원본명단!$I5989)))</f>
        <v/>
      </c>
      <c r="G5990" s="11" t="str">
        <f aca="false">IF($A5990="","",IF(원본명단!$K5989="",0,COUNTIF(원본명단!$K$3:$K$6002,원본명단!$K5989)))</f>
        <v/>
      </c>
      <c r="H5990" s="11" t="str">
        <f aca="false">IF($A5990="","",IF(MAX($E5990,$F5990,$G5990)&gt;1,"중복","-"))</f>
        <v/>
      </c>
      <c r="I5990" s="11" t="str">
        <f aca="false">IF($A5990="","",IF($H5990="-","-",IF(AND(IF(원본명단!$H5989="",TRUE(),COUNTIF(원본명단!$H$3:$H5989,원본명단!$H5989)=1),IF(원본명단!$I5989="",TRUE(),COUNTIF(원본명단!$I$3:$I5989,원본명단!$I5989)=1),IF(원본명단!$K5989="",TRUE(),COUNTIF(원본명단!$K$3:$K5989,원본명단!$K5989)=1)),"첫 건","중복 건")))</f>
        <v/>
      </c>
      <c r="J5990" s="11" t="str">
        <f aca="false">IF($A5990="","",IF($H5990="-","유지",IF($I5990="첫 건","유지","확인 필요")))</f>
        <v/>
      </c>
    </row>
    <row r="5991" customFormat="false" ht="15" hidden="false" customHeight="true" outlineLevel="0" collapsed="false">
      <c r="A5991" s="11" t="str">
        <f aca="false">IF(원본명단!$A5990="","",5988)</f>
        <v/>
      </c>
      <c r="B5991" s="12" t="str">
        <f aca="false">IF($A5991="","",원본명단!$A5990)</f>
        <v/>
      </c>
      <c r="C5991" s="12" t="str">
        <f aca="false">IF($A5991="","",원본명단!$B5990)</f>
        <v/>
      </c>
      <c r="D5991" s="12" t="str">
        <f aca="false">IF($A5991="","",원본명단!$D5990)</f>
        <v/>
      </c>
      <c r="E5991" s="11" t="str">
        <f aca="false">IF($A5991="","",IF(원본명단!$H5990="",0,COUNTIF(원본명단!$H$3:$H$6002,원본명단!$H5990)))</f>
        <v/>
      </c>
      <c r="F5991" s="11" t="str">
        <f aca="false">IF($A5991="","",IF(원본명단!$I5990="",0,COUNTIF(원본명단!$I$3:$I$6002,원본명단!$I5990)))</f>
        <v/>
      </c>
      <c r="G5991" s="11" t="str">
        <f aca="false">IF($A5991="","",IF(원본명단!$K5990="",0,COUNTIF(원본명단!$K$3:$K$6002,원본명단!$K5990)))</f>
        <v/>
      </c>
      <c r="H5991" s="11" t="str">
        <f aca="false">IF($A5991="","",IF(MAX($E5991,$F5991,$G5991)&gt;1,"중복","-"))</f>
        <v/>
      </c>
      <c r="I5991" s="11" t="str">
        <f aca="false">IF($A5991="","",IF($H5991="-","-",IF(AND(IF(원본명단!$H5990="",TRUE(),COUNTIF(원본명단!$H$3:$H5990,원본명단!$H5990)=1),IF(원본명단!$I5990="",TRUE(),COUNTIF(원본명단!$I$3:$I5990,원본명단!$I5990)=1),IF(원본명단!$K5990="",TRUE(),COUNTIF(원본명단!$K$3:$K5990,원본명단!$K5990)=1)),"첫 건","중복 건")))</f>
        <v/>
      </c>
      <c r="J5991" s="11" t="str">
        <f aca="false">IF($A5991="","",IF($H5991="-","유지",IF($I5991="첫 건","유지","확인 필요")))</f>
        <v/>
      </c>
    </row>
    <row r="5992" customFormat="false" ht="15" hidden="false" customHeight="true" outlineLevel="0" collapsed="false">
      <c r="A5992" s="11" t="str">
        <f aca="false">IF(원본명단!$A5991="","",5989)</f>
        <v/>
      </c>
      <c r="B5992" s="12" t="str">
        <f aca="false">IF($A5992="","",원본명단!$A5991)</f>
        <v/>
      </c>
      <c r="C5992" s="12" t="str">
        <f aca="false">IF($A5992="","",원본명단!$B5991)</f>
        <v/>
      </c>
      <c r="D5992" s="12" t="str">
        <f aca="false">IF($A5992="","",원본명단!$D5991)</f>
        <v/>
      </c>
      <c r="E5992" s="11" t="str">
        <f aca="false">IF($A5992="","",IF(원본명단!$H5991="",0,COUNTIF(원본명단!$H$3:$H$6002,원본명단!$H5991)))</f>
        <v/>
      </c>
      <c r="F5992" s="11" t="str">
        <f aca="false">IF($A5992="","",IF(원본명단!$I5991="",0,COUNTIF(원본명단!$I$3:$I$6002,원본명단!$I5991)))</f>
        <v/>
      </c>
      <c r="G5992" s="11" t="str">
        <f aca="false">IF($A5992="","",IF(원본명단!$K5991="",0,COUNTIF(원본명단!$K$3:$K$6002,원본명단!$K5991)))</f>
        <v/>
      </c>
      <c r="H5992" s="11" t="str">
        <f aca="false">IF($A5992="","",IF(MAX($E5992,$F5992,$G5992)&gt;1,"중복","-"))</f>
        <v/>
      </c>
      <c r="I5992" s="11" t="str">
        <f aca="false">IF($A5992="","",IF($H5992="-","-",IF(AND(IF(원본명단!$H5991="",TRUE(),COUNTIF(원본명단!$H$3:$H5991,원본명단!$H5991)=1),IF(원본명단!$I5991="",TRUE(),COUNTIF(원본명단!$I$3:$I5991,원본명단!$I5991)=1),IF(원본명단!$K5991="",TRUE(),COUNTIF(원본명단!$K$3:$K5991,원본명단!$K5991)=1)),"첫 건","중복 건")))</f>
        <v/>
      </c>
      <c r="J5992" s="11" t="str">
        <f aca="false">IF($A5992="","",IF($H5992="-","유지",IF($I5992="첫 건","유지","확인 필요")))</f>
        <v/>
      </c>
    </row>
    <row r="5993" customFormat="false" ht="15" hidden="false" customHeight="true" outlineLevel="0" collapsed="false">
      <c r="A5993" s="11" t="str">
        <f aca="false">IF(원본명단!$A5992="","",5990)</f>
        <v/>
      </c>
      <c r="B5993" s="12" t="str">
        <f aca="false">IF($A5993="","",원본명단!$A5992)</f>
        <v/>
      </c>
      <c r="C5993" s="12" t="str">
        <f aca="false">IF($A5993="","",원본명단!$B5992)</f>
        <v/>
      </c>
      <c r="D5993" s="12" t="str">
        <f aca="false">IF($A5993="","",원본명단!$D5992)</f>
        <v/>
      </c>
      <c r="E5993" s="11" t="str">
        <f aca="false">IF($A5993="","",IF(원본명단!$H5992="",0,COUNTIF(원본명단!$H$3:$H$6002,원본명단!$H5992)))</f>
        <v/>
      </c>
      <c r="F5993" s="11" t="str">
        <f aca="false">IF($A5993="","",IF(원본명단!$I5992="",0,COUNTIF(원본명단!$I$3:$I$6002,원본명단!$I5992)))</f>
        <v/>
      </c>
      <c r="G5993" s="11" t="str">
        <f aca="false">IF($A5993="","",IF(원본명단!$K5992="",0,COUNTIF(원본명단!$K$3:$K$6002,원본명단!$K5992)))</f>
        <v/>
      </c>
      <c r="H5993" s="11" t="str">
        <f aca="false">IF($A5993="","",IF(MAX($E5993,$F5993,$G5993)&gt;1,"중복","-"))</f>
        <v/>
      </c>
      <c r="I5993" s="11" t="str">
        <f aca="false">IF($A5993="","",IF($H5993="-","-",IF(AND(IF(원본명단!$H5992="",TRUE(),COUNTIF(원본명단!$H$3:$H5992,원본명단!$H5992)=1),IF(원본명단!$I5992="",TRUE(),COUNTIF(원본명단!$I$3:$I5992,원본명단!$I5992)=1),IF(원본명단!$K5992="",TRUE(),COUNTIF(원본명단!$K$3:$K5992,원본명단!$K5992)=1)),"첫 건","중복 건")))</f>
        <v/>
      </c>
      <c r="J5993" s="11" t="str">
        <f aca="false">IF($A5993="","",IF($H5993="-","유지",IF($I5993="첫 건","유지","확인 필요")))</f>
        <v/>
      </c>
    </row>
    <row r="5994" customFormat="false" ht="15" hidden="false" customHeight="true" outlineLevel="0" collapsed="false">
      <c r="A5994" s="11" t="str">
        <f aca="false">IF(원본명단!$A5993="","",5991)</f>
        <v/>
      </c>
      <c r="B5994" s="12" t="str">
        <f aca="false">IF($A5994="","",원본명단!$A5993)</f>
        <v/>
      </c>
      <c r="C5994" s="12" t="str">
        <f aca="false">IF($A5994="","",원본명단!$B5993)</f>
        <v/>
      </c>
      <c r="D5994" s="12" t="str">
        <f aca="false">IF($A5994="","",원본명단!$D5993)</f>
        <v/>
      </c>
      <c r="E5994" s="11" t="str">
        <f aca="false">IF($A5994="","",IF(원본명단!$H5993="",0,COUNTIF(원본명단!$H$3:$H$6002,원본명단!$H5993)))</f>
        <v/>
      </c>
      <c r="F5994" s="11" t="str">
        <f aca="false">IF($A5994="","",IF(원본명단!$I5993="",0,COUNTIF(원본명단!$I$3:$I$6002,원본명단!$I5993)))</f>
        <v/>
      </c>
      <c r="G5994" s="11" t="str">
        <f aca="false">IF($A5994="","",IF(원본명단!$K5993="",0,COUNTIF(원본명단!$K$3:$K$6002,원본명단!$K5993)))</f>
        <v/>
      </c>
      <c r="H5994" s="11" t="str">
        <f aca="false">IF($A5994="","",IF(MAX($E5994,$F5994,$G5994)&gt;1,"중복","-"))</f>
        <v/>
      </c>
      <c r="I5994" s="11" t="str">
        <f aca="false">IF($A5994="","",IF($H5994="-","-",IF(AND(IF(원본명단!$H5993="",TRUE(),COUNTIF(원본명단!$H$3:$H5993,원본명단!$H5993)=1),IF(원본명단!$I5993="",TRUE(),COUNTIF(원본명단!$I$3:$I5993,원본명단!$I5993)=1),IF(원본명단!$K5993="",TRUE(),COUNTIF(원본명단!$K$3:$K5993,원본명단!$K5993)=1)),"첫 건","중복 건")))</f>
        <v/>
      </c>
      <c r="J5994" s="11" t="str">
        <f aca="false">IF($A5994="","",IF($H5994="-","유지",IF($I5994="첫 건","유지","확인 필요")))</f>
        <v/>
      </c>
    </row>
    <row r="5995" customFormat="false" ht="15" hidden="false" customHeight="true" outlineLevel="0" collapsed="false">
      <c r="A5995" s="11" t="str">
        <f aca="false">IF(원본명단!$A5994="","",5992)</f>
        <v/>
      </c>
      <c r="B5995" s="12" t="str">
        <f aca="false">IF($A5995="","",원본명단!$A5994)</f>
        <v/>
      </c>
      <c r="C5995" s="12" t="str">
        <f aca="false">IF($A5995="","",원본명단!$B5994)</f>
        <v/>
      </c>
      <c r="D5995" s="12" t="str">
        <f aca="false">IF($A5995="","",원본명단!$D5994)</f>
        <v/>
      </c>
      <c r="E5995" s="11" t="str">
        <f aca="false">IF($A5995="","",IF(원본명단!$H5994="",0,COUNTIF(원본명단!$H$3:$H$6002,원본명단!$H5994)))</f>
        <v/>
      </c>
      <c r="F5995" s="11" t="str">
        <f aca="false">IF($A5995="","",IF(원본명단!$I5994="",0,COUNTIF(원본명단!$I$3:$I$6002,원본명단!$I5994)))</f>
        <v/>
      </c>
      <c r="G5995" s="11" t="str">
        <f aca="false">IF($A5995="","",IF(원본명단!$K5994="",0,COUNTIF(원본명단!$K$3:$K$6002,원본명단!$K5994)))</f>
        <v/>
      </c>
      <c r="H5995" s="11" t="str">
        <f aca="false">IF($A5995="","",IF(MAX($E5995,$F5995,$G5995)&gt;1,"중복","-"))</f>
        <v/>
      </c>
      <c r="I5995" s="11" t="str">
        <f aca="false">IF($A5995="","",IF($H5995="-","-",IF(AND(IF(원본명단!$H5994="",TRUE(),COUNTIF(원본명단!$H$3:$H5994,원본명단!$H5994)=1),IF(원본명단!$I5994="",TRUE(),COUNTIF(원본명단!$I$3:$I5994,원본명단!$I5994)=1),IF(원본명단!$K5994="",TRUE(),COUNTIF(원본명단!$K$3:$K5994,원본명단!$K5994)=1)),"첫 건","중복 건")))</f>
        <v/>
      </c>
      <c r="J5995" s="11" t="str">
        <f aca="false">IF($A5995="","",IF($H5995="-","유지",IF($I5995="첫 건","유지","확인 필요")))</f>
        <v/>
      </c>
    </row>
    <row r="5996" customFormat="false" ht="15" hidden="false" customHeight="true" outlineLevel="0" collapsed="false">
      <c r="A5996" s="11" t="str">
        <f aca="false">IF(원본명단!$A5995="","",5993)</f>
        <v/>
      </c>
      <c r="B5996" s="12" t="str">
        <f aca="false">IF($A5996="","",원본명단!$A5995)</f>
        <v/>
      </c>
      <c r="C5996" s="12" t="str">
        <f aca="false">IF($A5996="","",원본명단!$B5995)</f>
        <v/>
      </c>
      <c r="D5996" s="12" t="str">
        <f aca="false">IF($A5996="","",원본명단!$D5995)</f>
        <v/>
      </c>
      <c r="E5996" s="11" t="str">
        <f aca="false">IF($A5996="","",IF(원본명단!$H5995="",0,COUNTIF(원본명단!$H$3:$H$6002,원본명단!$H5995)))</f>
        <v/>
      </c>
      <c r="F5996" s="11" t="str">
        <f aca="false">IF($A5996="","",IF(원본명단!$I5995="",0,COUNTIF(원본명단!$I$3:$I$6002,원본명단!$I5995)))</f>
        <v/>
      </c>
      <c r="G5996" s="11" t="str">
        <f aca="false">IF($A5996="","",IF(원본명단!$K5995="",0,COUNTIF(원본명단!$K$3:$K$6002,원본명단!$K5995)))</f>
        <v/>
      </c>
      <c r="H5996" s="11" t="str">
        <f aca="false">IF($A5996="","",IF(MAX($E5996,$F5996,$G5996)&gt;1,"중복","-"))</f>
        <v/>
      </c>
      <c r="I5996" s="11" t="str">
        <f aca="false">IF($A5996="","",IF($H5996="-","-",IF(AND(IF(원본명단!$H5995="",TRUE(),COUNTIF(원본명단!$H$3:$H5995,원본명단!$H5995)=1),IF(원본명단!$I5995="",TRUE(),COUNTIF(원본명단!$I$3:$I5995,원본명단!$I5995)=1),IF(원본명단!$K5995="",TRUE(),COUNTIF(원본명단!$K$3:$K5995,원본명단!$K5995)=1)),"첫 건","중복 건")))</f>
        <v/>
      </c>
      <c r="J5996" s="11" t="str">
        <f aca="false">IF($A5996="","",IF($H5996="-","유지",IF($I5996="첫 건","유지","확인 필요")))</f>
        <v/>
      </c>
    </row>
    <row r="5997" customFormat="false" ht="15" hidden="false" customHeight="true" outlineLevel="0" collapsed="false">
      <c r="A5997" s="11" t="str">
        <f aca="false">IF(원본명단!$A5996="","",5994)</f>
        <v/>
      </c>
      <c r="B5997" s="12" t="str">
        <f aca="false">IF($A5997="","",원본명단!$A5996)</f>
        <v/>
      </c>
      <c r="C5997" s="12" t="str">
        <f aca="false">IF($A5997="","",원본명단!$B5996)</f>
        <v/>
      </c>
      <c r="D5997" s="12" t="str">
        <f aca="false">IF($A5997="","",원본명단!$D5996)</f>
        <v/>
      </c>
      <c r="E5997" s="11" t="str">
        <f aca="false">IF($A5997="","",IF(원본명단!$H5996="",0,COUNTIF(원본명단!$H$3:$H$6002,원본명단!$H5996)))</f>
        <v/>
      </c>
      <c r="F5997" s="11" t="str">
        <f aca="false">IF($A5997="","",IF(원본명단!$I5996="",0,COUNTIF(원본명단!$I$3:$I$6002,원본명단!$I5996)))</f>
        <v/>
      </c>
      <c r="G5997" s="11" t="str">
        <f aca="false">IF($A5997="","",IF(원본명단!$K5996="",0,COUNTIF(원본명단!$K$3:$K$6002,원본명단!$K5996)))</f>
        <v/>
      </c>
      <c r="H5997" s="11" t="str">
        <f aca="false">IF($A5997="","",IF(MAX($E5997,$F5997,$G5997)&gt;1,"중복","-"))</f>
        <v/>
      </c>
      <c r="I5997" s="11" t="str">
        <f aca="false">IF($A5997="","",IF($H5997="-","-",IF(AND(IF(원본명단!$H5996="",TRUE(),COUNTIF(원본명단!$H$3:$H5996,원본명단!$H5996)=1),IF(원본명단!$I5996="",TRUE(),COUNTIF(원본명단!$I$3:$I5996,원본명단!$I5996)=1),IF(원본명단!$K5996="",TRUE(),COUNTIF(원본명단!$K$3:$K5996,원본명단!$K5996)=1)),"첫 건","중복 건")))</f>
        <v/>
      </c>
      <c r="J5997" s="11" t="str">
        <f aca="false">IF($A5997="","",IF($H5997="-","유지",IF($I5997="첫 건","유지","확인 필요")))</f>
        <v/>
      </c>
    </row>
    <row r="5998" customFormat="false" ht="15" hidden="false" customHeight="true" outlineLevel="0" collapsed="false">
      <c r="A5998" s="11" t="str">
        <f aca="false">IF(원본명단!$A5997="","",5995)</f>
        <v/>
      </c>
      <c r="B5998" s="12" t="str">
        <f aca="false">IF($A5998="","",원본명단!$A5997)</f>
        <v/>
      </c>
      <c r="C5998" s="12" t="str">
        <f aca="false">IF($A5998="","",원본명단!$B5997)</f>
        <v/>
      </c>
      <c r="D5998" s="12" t="str">
        <f aca="false">IF($A5998="","",원본명단!$D5997)</f>
        <v/>
      </c>
      <c r="E5998" s="11" t="str">
        <f aca="false">IF($A5998="","",IF(원본명단!$H5997="",0,COUNTIF(원본명단!$H$3:$H$6002,원본명단!$H5997)))</f>
        <v/>
      </c>
      <c r="F5998" s="11" t="str">
        <f aca="false">IF($A5998="","",IF(원본명단!$I5997="",0,COUNTIF(원본명단!$I$3:$I$6002,원본명단!$I5997)))</f>
        <v/>
      </c>
      <c r="G5998" s="11" t="str">
        <f aca="false">IF($A5998="","",IF(원본명단!$K5997="",0,COUNTIF(원본명단!$K$3:$K$6002,원본명단!$K5997)))</f>
        <v/>
      </c>
      <c r="H5998" s="11" t="str">
        <f aca="false">IF($A5998="","",IF(MAX($E5998,$F5998,$G5998)&gt;1,"중복","-"))</f>
        <v/>
      </c>
      <c r="I5998" s="11" t="str">
        <f aca="false">IF($A5998="","",IF($H5998="-","-",IF(AND(IF(원본명단!$H5997="",TRUE(),COUNTIF(원본명단!$H$3:$H5997,원본명단!$H5997)=1),IF(원본명단!$I5997="",TRUE(),COUNTIF(원본명단!$I$3:$I5997,원본명단!$I5997)=1),IF(원본명단!$K5997="",TRUE(),COUNTIF(원본명단!$K$3:$K5997,원본명단!$K5997)=1)),"첫 건","중복 건")))</f>
        <v/>
      </c>
      <c r="J5998" s="11" t="str">
        <f aca="false">IF($A5998="","",IF($H5998="-","유지",IF($I5998="첫 건","유지","확인 필요")))</f>
        <v/>
      </c>
    </row>
    <row r="5999" customFormat="false" ht="15" hidden="false" customHeight="true" outlineLevel="0" collapsed="false">
      <c r="A5999" s="11" t="str">
        <f aca="false">IF(원본명단!$A5998="","",5996)</f>
        <v/>
      </c>
      <c r="B5999" s="12" t="str">
        <f aca="false">IF($A5999="","",원본명단!$A5998)</f>
        <v/>
      </c>
      <c r="C5999" s="12" t="str">
        <f aca="false">IF($A5999="","",원본명단!$B5998)</f>
        <v/>
      </c>
      <c r="D5999" s="12" t="str">
        <f aca="false">IF($A5999="","",원본명단!$D5998)</f>
        <v/>
      </c>
      <c r="E5999" s="11" t="str">
        <f aca="false">IF($A5999="","",IF(원본명단!$H5998="",0,COUNTIF(원본명단!$H$3:$H$6002,원본명단!$H5998)))</f>
        <v/>
      </c>
      <c r="F5999" s="11" t="str">
        <f aca="false">IF($A5999="","",IF(원본명단!$I5998="",0,COUNTIF(원본명단!$I$3:$I$6002,원본명단!$I5998)))</f>
        <v/>
      </c>
      <c r="G5999" s="11" t="str">
        <f aca="false">IF($A5999="","",IF(원본명단!$K5998="",0,COUNTIF(원본명단!$K$3:$K$6002,원본명단!$K5998)))</f>
        <v/>
      </c>
      <c r="H5999" s="11" t="str">
        <f aca="false">IF($A5999="","",IF(MAX($E5999,$F5999,$G5999)&gt;1,"중복","-"))</f>
        <v/>
      </c>
      <c r="I5999" s="11" t="str">
        <f aca="false">IF($A5999="","",IF($H5999="-","-",IF(AND(IF(원본명단!$H5998="",TRUE(),COUNTIF(원본명단!$H$3:$H5998,원본명단!$H5998)=1),IF(원본명단!$I5998="",TRUE(),COUNTIF(원본명단!$I$3:$I5998,원본명단!$I5998)=1),IF(원본명단!$K5998="",TRUE(),COUNTIF(원본명단!$K$3:$K5998,원본명단!$K5998)=1)),"첫 건","중복 건")))</f>
        <v/>
      </c>
      <c r="J5999" s="11" t="str">
        <f aca="false">IF($A5999="","",IF($H5999="-","유지",IF($I5999="첫 건","유지","확인 필요")))</f>
        <v/>
      </c>
    </row>
    <row r="6000" customFormat="false" ht="15" hidden="false" customHeight="true" outlineLevel="0" collapsed="false">
      <c r="A6000" s="11" t="str">
        <f aca="false">IF(원본명단!$A5999="","",5997)</f>
        <v/>
      </c>
      <c r="B6000" s="12" t="str">
        <f aca="false">IF($A6000="","",원본명단!$A5999)</f>
        <v/>
      </c>
      <c r="C6000" s="12" t="str">
        <f aca="false">IF($A6000="","",원본명단!$B5999)</f>
        <v/>
      </c>
      <c r="D6000" s="12" t="str">
        <f aca="false">IF($A6000="","",원본명단!$D5999)</f>
        <v/>
      </c>
      <c r="E6000" s="11" t="str">
        <f aca="false">IF($A6000="","",IF(원본명단!$H5999="",0,COUNTIF(원본명단!$H$3:$H$6002,원본명단!$H5999)))</f>
        <v/>
      </c>
      <c r="F6000" s="11" t="str">
        <f aca="false">IF($A6000="","",IF(원본명단!$I5999="",0,COUNTIF(원본명단!$I$3:$I$6002,원본명단!$I5999)))</f>
        <v/>
      </c>
      <c r="G6000" s="11" t="str">
        <f aca="false">IF($A6000="","",IF(원본명단!$K5999="",0,COUNTIF(원본명단!$K$3:$K$6002,원본명단!$K5999)))</f>
        <v/>
      </c>
      <c r="H6000" s="11" t="str">
        <f aca="false">IF($A6000="","",IF(MAX($E6000,$F6000,$G6000)&gt;1,"중복","-"))</f>
        <v/>
      </c>
      <c r="I6000" s="11" t="str">
        <f aca="false">IF($A6000="","",IF($H6000="-","-",IF(AND(IF(원본명단!$H5999="",TRUE(),COUNTIF(원본명단!$H$3:$H5999,원본명단!$H5999)=1),IF(원본명단!$I5999="",TRUE(),COUNTIF(원본명단!$I$3:$I5999,원본명단!$I5999)=1),IF(원본명단!$K5999="",TRUE(),COUNTIF(원본명단!$K$3:$K5999,원본명단!$K5999)=1)),"첫 건","중복 건")))</f>
        <v/>
      </c>
      <c r="J6000" s="11" t="str">
        <f aca="false">IF($A6000="","",IF($H6000="-","유지",IF($I6000="첫 건","유지","확인 필요")))</f>
        <v/>
      </c>
    </row>
    <row r="6001" customFormat="false" ht="15" hidden="false" customHeight="true" outlineLevel="0" collapsed="false">
      <c r="A6001" s="11" t="str">
        <f aca="false">IF(원본명단!$A6000="","",5998)</f>
        <v/>
      </c>
      <c r="B6001" s="12" t="str">
        <f aca="false">IF($A6001="","",원본명단!$A6000)</f>
        <v/>
      </c>
      <c r="C6001" s="12" t="str">
        <f aca="false">IF($A6001="","",원본명단!$B6000)</f>
        <v/>
      </c>
      <c r="D6001" s="12" t="str">
        <f aca="false">IF($A6001="","",원본명단!$D6000)</f>
        <v/>
      </c>
      <c r="E6001" s="11" t="str">
        <f aca="false">IF($A6001="","",IF(원본명단!$H6000="",0,COUNTIF(원본명단!$H$3:$H$6002,원본명단!$H6000)))</f>
        <v/>
      </c>
      <c r="F6001" s="11" t="str">
        <f aca="false">IF($A6001="","",IF(원본명단!$I6000="",0,COUNTIF(원본명단!$I$3:$I$6002,원본명단!$I6000)))</f>
        <v/>
      </c>
      <c r="G6001" s="11" t="str">
        <f aca="false">IF($A6001="","",IF(원본명단!$K6000="",0,COUNTIF(원본명단!$K$3:$K$6002,원본명단!$K6000)))</f>
        <v/>
      </c>
      <c r="H6001" s="11" t="str">
        <f aca="false">IF($A6001="","",IF(MAX($E6001,$F6001,$G6001)&gt;1,"중복","-"))</f>
        <v/>
      </c>
      <c r="I6001" s="11" t="str">
        <f aca="false">IF($A6001="","",IF($H6001="-","-",IF(AND(IF(원본명단!$H6000="",TRUE(),COUNTIF(원본명단!$H$3:$H6000,원본명단!$H6000)=1),IF(원본명단!$I6000="",TRUE(),COUNTIF(원본명단!$I$3:$I6000,원본명단!$I6000)=1),IF(원본명단!$K6000="",TRUE(),COUNTIF(원본명단!$K$3:$K6000,원본명단!$K6000)=1)),"첫 건","중복 건")))</f>
        <v/>
      </c>
      <c r="J6001" s="11" t="str">
        <f aca="false">IF($A6001="","",IF($H6001="-","유지",IF($I6001="첫 건","유지","확인 필요")))</f>
        <v/>
      </c>
    </row>
    <row r="6002" customFormat="false" ht="15" hidden="false" customHeight="true" outlineLevel="0" collapsed="false">
      <c r="A6002" s="11" t="str">
        <f aca="false">IF(원본명단!$A6001="","",5999)</f>
        <v/>
      </c>
      <c r="B6002" s="12" t="str">
        <f aca="false">IF($A6002="","",원본명단!$A6001)</f>
        <v/>
      </c>
      <c r="C6002" s="12" t="str">
        <f aca="false">IF($A6002="","",원본명단!$B6001)</f>
        <v/>
      </c>
      <c r="D6002" s="12" t="str">
        <f aca="false">IF($A6002="","",원본명단!$D6001)</f>
        <v/>
      </c>
      <c r="E6002" s="11" t="str">
        <f aca="false">IF($A6002="","",IF(원본명단!$H6001="",0,COUNTIF(원본명단!$H$3:$H$6002,원본명단!$H6001)))</f>
        <v/>
      </c>
      <c r="F6002" s="11" t="str">
        <f aca="false">IF($A6002="","",IF(원본명단!$I6001="",0,COUNTIF(원본명단!$I$3:$I$6002,원본명단!$I6001)))</f>
        <v/>
      </c>
      <c r="G6002" s="11" t="str">
        <f aca="false">IF($A6002="","",IF(원본명단!$K6001="",0,COUNTIF(원본명단!$K$3:$K$6002,원본명단!$K6001)))</f>
        <v/>
      </c>
      <c r="H6002" s="11" t="str">
        <f aca="false">IF($A6002="","",IF(MAX($E6002,$F6002,$G6002)&gt;1,"중복","-"))</f>
        <v/>
      </c>
      <c r="I6002" s="11" t="str">
        <f aca="false">IF($A6002="","",IF($H6002="-","-",IF(AND(IF(원본명단!$H6001="",TRUE(),COUNTIF(원본명단!$H$3:$H6001,원본명단!$H6001)=1),IF(원본명단!$I6001="",TRUE(),COUNTIF(원본명단!$I$3:$I6001,원본명단!$I6001)=1),IF(원본명단!$K6001="",TRUE(),COUNTIF(원본명단!$K$3:$K6001,원본명단!$K6001)=1)),"첫 건","중복 건")))</f>
        <v/>
      </c>
      <c r="J6002" s="11" t="str">
        <f aca="false">IF($A6002="","",IF($H6002="-","유지",IF($I6002="첫 건","유지","확인 필요")))</f>
        <v/>
      </c>
    </row>
    <row r="6003" customFormat="false" ht="15" hidden="false" customHeight="true" outlineLevel="0" collapsed="false">
      <c r="A6003" s="11" t="str">
        <f aca="false">IF(원본명단!$A6002="","",6000)</f>
        <v/>
      </c>
      <c r="B6003" s="12" t="str">
        <f aca="false">IF($A6003="","",원본명단!$A6002)</f>
        <v/>
      </c>
      <c r="C6003" s="12" t="str">
        <f aca="false">IF($A6003="","",원본명단!$B6002)</f>
        <v/>
      </c>
      <c r="D6003" s="12" t="str">
        <f aca="false">IF($A6003="","",원본명단!$D6002)</f>
        <v/>
      </c>
      <c r="E6003" s="11" t="str">
        <f aca="false">IF($A6003="","",IF(원본명단!$H6002="",0,COUNTIF(원본명단!$H$3:$H$6002,원본명단!$H6002)))</f>
        <v/>
      </c>
      <c r="F6003" s="11" t="str">
        <f aca="false">IF($A6003="","",IF(원본명단!$I6002="",0,COUNTIF(원본명단!$I$3:$I$6002,원본명단!$I6002)))</f>
        <v/>
      </c>
      <c r="G6003" s="11" t="str">
        <f aca="false">IF($A6003="","",IF(원본명단!$K6002="",0,COUNTIF(원본명단!$K$3:$K$6002,원본명단!$K6002)))</f>
        <v/>
      </c>
      <c r="H6003" s="11" t="str">
        <f aca="false">IF($A6003="","",IF(MAX($E6003,$F6003,$G6003)&gt;1,"중복","-"))</f>
        <v/>
      </c>
      <c r="I6003" s="11" t="str">
        <f aca="false">IF($A6003="","",IF($H6003="-","-",IF(AND(IF(원본명단!$H6002="",TRUE(),COUNTIF(원본명단!$H$3:$H6002,원본명단!$H6002)=1),IF(원본명단!$I6002="",TRUE(),COUNTIF(원본명단!$I$3:$I6002,원본명단!$I6002)=1),IF(원본명단!$K6002="",TRUE(),COUNTIF(원본명단!$K$3:$K6002,원본명단!$K6002)=1)),"첫 건","중복 건")))</f>
        <v/>
      </c>
      <c r="J6003" s="11" t="str">
        <f aca="false">IF($A6003="","",IF($H6003="-","유지",IF($I6003="첫 건","유지","확인 필요")))</f>
        <v/>
      </c>
    </row>
  </sheetData>
  <mergeCells count="1">
    <mergeCell ref="A1:J1"/>
  </mergeCells>
  <conditionalFormatting sqref="A4:J6003">
    <cfRule type="expression" priority="2" aboveAverage="0" equalAverage="0" bottom="0" percent="0" rank="0" text="" dxfId="0">
      <formula>$J4="확인 필요"</formula>
    </cfRule>
    <cfRule type="expression" priority="3" aboveAverage="0" equalAverage="0" bottom="0" percent="0" rank="0" text="" dxfId="1">
      <formula>AND($H4="중복",$I4="첫 건")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4" min="3" style="1" width="17"/>
    <col collapsed="false" customWidth="true" hidden="false" outlineLevel="0" max="5" min="5" style="1" width="34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1" min="10" style="1" width="12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2" t="s">
        <v>67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68</v>
      </c>
      <c r="B3" s="13" t="n">
        <f aca="false">COUNTIF(중복검사!$H$4:$H$6003,"중복")</f>
        <v>4</v>
      </c>
      <c r="D3" s="5" t="s">
        <v>69</v>
      </c>
    </row>
    <row r="5" customFormat="false" ht="15" hidden="false" customHeight="true" outlineLevel="0" collapsed="false">
      <c r="A5" s="6" t="s">
        <v>60</v>
      </c>
      <c r="B5" s="6" t="s">
        <v>23</v>
      </c>
      <c r="C5" s="6" t="s">
        <v>24</v>
      </c>
      <c r="D5" s="6" t="s">
        <v>26</v>
      </c>
      <c r="E5" s="6" t="s">
        <v>27</v>
      </c>
      <c r="F5" s="6" t="s">
        <v>70</v>
      </c>
      <c r="G5" s="6" t="s">
        <v>71</v>
      </c>
      <c r="H5" s="6" t="s">
        <v>66</v>
      </c>
      <c r="J5" s="5" t="s">
        <v>72</v>
      </c>
      <c r="K5" s="5" t="s">
        <v>34</v>
      </c>
      <c r="L5" s="5" t="s">
        <v>73</v>
      </c>
    </row>
    <row r="6" customFormat="false" ht="15" hidden="false" customHeight="true" outlineLevel="0" collapsed="false">
      <c r="A6" s="11" t="n">
        <f aca="false">IFERROR(INDEX(중복검사!$A$4:$A$6003,MATCH("R"&amp;1,중복목록!$L$6:$L$6005,0)),"")</f>
        <v>1</v>
      </c>
      <c r="B6" s="12" t="str">
        <f aca="false">IF($A6="","",IFERROR(INDEX(중복검사!$B$4:$B$6003,MATCH("R"&amp;1,중복목록!$L$6:$L$6005,0)),""))</f>
        <v>(주)가나상사</v>
      </c>
      <c r="C6" s="12" t="str">
        <f aca="false">IF($A6="","",IFERROR(INDEX(중복검사!$C$4:$C$6003,MATCH("R"&amp;1,중복목록!$L$6:$L$6005,0)),""))</f>
        <v>123-45-67890</v>
      </c>
      <c r="D6" s="12" t="str">
        <f aca="false">IF($A6="","",IFERROR(INDEX(중복검사!$D$4:$D$6003,MATCH("R"&amp;1,중복목록!$L$6:$L$6005,0)),""))</f>
        <v>010-1111-2222</v>
      </c>
      <c r="E6" s="12" t="str">
        <f aca="false">IF($A6="","",IFERROR(IF(INDEX(원본명단!$E$3:$E$6002,MATCH("R"&amp;1,중복목록!$L$6:$L$6005,0))="","",INDEX(원본명단!$E$3:$E$6002,MATCH("R"&amp;1,중복목록!$L$6:$L$6005,0))),""))</f>
        <v>서울시 강남구 테헤란로 1</v>
      </c>
      <c r="F6" s="11" t="n">
        <f aca="false">IF($A6="","",IFERROR(MAX(INDEX(중복검사!$E$4:$E$6003,MATCH("R"&amp;1,중복목록!$L$6:$L$6005,0)),INDEX(중복검사!$F$4:$F$6003,MATCH("R"&amp;1,중복목록!$L$6:$L$6005,0)),INDEX(중복검사!$G$4:$G$6003,MATCH("R"&amp;1,중복목록!$L$6:$L$6005,0))),""))</f>
        <v>2</v>
      </c>
      <c r="G6" s="11" t="str">
        <f aca="false">IF($A6="","",IFERROR(INDEX(중복검사!$I$4:$I$6003,MATCH("R"&amp;1,중복목록!$L$6:$L$6005,0)),""))</f>
        <v>첫 건</v>
      </c>
      <c r="H6" s="11" t="str">
        <f aca="false">IF($A6="","",IFERROR(INDEX(중복검사!$J$4:$J$6003,MATCH("R"&amp;1,중복목록!$L$6:$L$6005,0)),""))</f>
        <v>유지</v>
      </c>
      <c r="J6" s="14" t="b">
        <f aca="false">IF(중복검사!$A4="",FALSE(),중복검사!$H4="중복")</f>
        <v>1</v>
      </c>
      <c r="K6" s="5" t="n">
        <f aca="false">IF($J6=FALSE(),"",COUNTIF($J$6:$J6,TRUE()))</f>
        <v>1</v>
      </c>
      <c r="L6" s="5" t="str">
        <f aca="false">IF($K6="","","R"&amp;$K6)</f>
        <v>R1</v>
      </c>
    </row>
    <row r="7" customFormat="false" ht="15" hidden="false" customHeight="true" outlineLevel="0" collapsed="false">
      <c r="A7" s="11" t="n">
        <f aca="false">IFERROR(INDEX(중복검사!$A$4:$A$6003,MATCH("R"&amp;2,중복목록!$L$6:$L$6005,0)),"")</f>
        <v>2</v>
      </c>
      <c r="B7" s="12" t="str">
        <f aca="false">IF($A7="","",IFERROR(INDEX(중복검사!$B$4:$B$6003,MATCH("R"&amp;2,중복목록!$L$6:$L$6005,0)),""))</f>
        <v>가나상사</v>
      </c>
      <c r="C7" s="12" t="str">
        <f aca="false">IF($A7="","",IFERROR(INDEX(중복검사!$C$4:$C$6003,MATCH("R"&amp;2,중복목록!$L$6:$L$6005,0)),""))</f>
        <v>1234567890</v>
      </c>
      <c r="D7" s="12" t="str">
        <f aca="false">IF($A7="","",IFERROR(INDEX(중복검사!$D$4:$D$6003,MATCH("R"&amp;2,중복목록!$L$6:$L$6005,0)),""))</f>
        <v>01011112222</v>
      </c>
      <c r="E7" s="12" t="str">
        <f aca="false">IF($A7="","",IFERROR(IF(INDEX(원본명단!$E$3:$E$6002,MATCH("R"&amp;2,중복목록!$L$6:$L$6005,0))="","",INDEX(원본명단!$E$3:$E$6002,MATCH("R"&amp;2,중복목록!$L$6:$L$6005,0))),""))</f>
        <v>서울시 강남구 테헤란로1</v>
      </c>
      <c r="F7" s="11" t="n">
        <f aca="false">IF($A7="","",IFERROR(MAX(INDEX(중복검사!$E$4:$E$6003,MATCH("R"&amp;2,중복목록!$L$6:$L$6005,0)),INDEX(중복검사!$F$4:$F$6003,MATCH("R"&amp;2,중복목록!$L$6:$L$6005,0)),INDEX(중복검사!$G$4:$G$6003,MATCH("R"&amp;2,중복목록!$L$6:$L$6005,0))),""))</f>
        <v>2</v>
      </c>
      <c r="G7" s="11" t="str">
        <f aca="false">IF($A7="","",IFERROR(INDEX(중복검사!$I$4:$I$6003,MATCH("R"&amp;2,중복목록!$L$6:$L$6005,0)),""))</f>
        <v>중복 건</v>
      </c>
      <c r="H7" s="11" t="str">
        <f aca="false">IF($A7="","",IFERROR(INDEX(중복검사!$J$4:$J$6003,MATCH("R"&amp;2,중복목록!$L$6:$L$6005,0)),""))</f>
        <v>확인 필요</v>
      </c>
      <c r="J7" s="14" t="b">
        <f aca="false">IF(중복검사!$A5="",FALSE(),중복검사!$H5="중복")</f>
        <v>1</v>
      </c>
      <c r="K7" s="5" t="n">
        <f aca="false">IF($J7=FALSE(),"",COUNTIF($J$6:$J7,TRUE()))</f>
        <v>2</v>
      </c>
      <c r="L7" s="5" t="str">
        <f aca="false">IF($K7="","","R"&amp;$K7)</f>
        <v>R2</v>
      </c>
    </row>
    <row r="8" customFormat="false" ht="15" hidden="false" customHeight="true" outlineLevel="0" collapsed="false">
      <c r="A8" s="11" t="n">
        <f aca="false">IFERROR(INDEX(중복검사!$A$4:$A$6003,MATCH("R"&amp;3,중복목록!$L$6:$L$6005,0)),"")</f>
        <v>4</v>
      </c>
      <c r="B8" s="12" t="str">
        <f aca="false">IF($A8="","",IFERROR(INDEX(중복검사!$B$4:$B$6003,MATCH("R"&amp;3,중복목록!$L$6:$L$6005,0)),""))</f>
        <v>마바물산 주식회사</v>
      </c>
      <c r="C8" s="12" t="str">
        <f aca="false">IF($A8="","",IFERROR(INDEX(중복검사!$C$4:$C$6003,MATCH("R"&amp;3,중복목록!$L$6:$L$6005,0)),""))</f>
        <v>333-33-33333</v>
      </c>
      <c r="D8" s="12" t="str">
        <f aca="false">IF($A8="","",IFERROR(INDEX(중복검사!$D$4:$D$6003,MATCH("R"&amp;3,중복목록!$L$6:$L$6005,0)),""))</f>
        <v>02-333-4444</v>
      </c>
      <c r="E8" s="12" t="str">
        <f aca="false">IF($A8="","",IFERROR(IF(INDEX(원본명단!$E$3:$E$6002,MATCH("R"&amp;3,중복목록!$L$6:$L$6005,0))="","",INDEX(원본명단!$E$3:$E$6002,MATCH("R"&amp;3,중복목록!$L$6:$L$6005,0))),""))</f>
        <v>부산시 해운대구 3</v>
      </c>
      <c r="F8" s="11" t="n">
        <f aca="false">IF($A8="","",IFERROR(MAX(INDEX(중복검사!$E$4:$E$6003,MATCH("R"&amp;3,중복목록!$L$6:$L$6005,0)),INDEX(중복검사!$F$4:$F$6003,MATCH("R"&amp;3,중복목록!$L$6:$L$6005,0)),INDEX(중복검사!$G$4:$G$6003,MATCH("R"&amp;3,중복목록!$L$6:$L$6005,0))),""))</f>
        <v>2</v>
      </c>
      <c r="G8" s="11" t="str">
        <f aca="false">IF($A8="","",IFERROR(INDEX(중복검사!$I$4:$I$6003,MATCH("R"&amp;3,중복목록!$L$6:$L$6005,0)),""))</f>
        <v>첫 건</v>
      </c>
      <c r="H8" s="11" t="str">
        <f aca="false">IF($A8="","",IFERROR(INDEX(중복검사!$J$4:$J$6003,MATCH("R"&amp;3,중복목록!$L$6:$L$6005,0)),""))</f>
        <v>유지</v>
      </c>
      <c r="J8" s="14" t="b">
        <f aca="false">IF(중복검사!$A6="",FALSE(),중복검사!$H6="중복")</f>
        <v>0</v>
      </c>
      <c r="K8" s="5" t="str">
        <f aca="false">IF($J8=FALSE(),"",COUNTIF($J$6:$J8,TRUE()))</f>
        <v/>
      </c>
      <c r="L8" s="5" t="str">
        <f aca="false">IF($K8="","","R"&amp;$K8)</f>
        <v/>
      </c>
    </row>
    <row r="9" customFormat="false" ht="15" hidden="false" customHeight="true" outlineLevel="0" collapsed="false">
      <c r="A9" s="11" t="n">
        <f aca="false">IFERROR(INDEX(중복검사!$A$4:$A$6003,MATCH("R"&amp;4,중복목록!$L$6:$L$6005,0)),"")</f>
        <v>5</v>
      </c>
      <c r="B9" s="12" t="str">
        <f aca="false">IF($A9="","",IFERROR(INDEX(중복검사!$B$4:$B$6003,MATCH("R"&amp;4,중복목록!$L$6:$L$6005,0)),""))</f>
        <v>마바물산</v>
      </c>
      <c r="C9" s="12" t="str">
        <f aca="false">IF($A9="","",IFERROR(INDEX(중복검사!$C$4:$C$6003,MATCH("R"&amp;4,중복목록!$L$6:$L$6005,0)),""))</f>
        <v>333-33-33333</v>
      </c>
      <c r="D9" s="12" t="str">
        <f aca="false">IF($A9="","",IFERROR(INDEX(중복검사!$D$4:$D$6003,MATCH("R"&amp;4,중복목록!$L$6:$L$6005,0)),""))</f>
        <v>051-999-8888</v>
      </c>
      <c r="E9" s="12" t="str">
        <f aca="false">IF($A9="","",IFERROR(IF(INDEX(원본명단!$E$3:$E$6002,MATCH("R"&amp;4,중복목록!$L$6:$L$6005,0))="","",INDEX(원본명단!$E$3:$E$6002,MATCH("R"&amp;4,중복목록!$L$6:$L$6005,0))),""))</f>
        <v>부산시 해운대구 3</v>
      </c>
      <c r="F9" s="11" t="n">
        <f aca="false">IF($A9="","",IFERROR(MAX(INDEX(중복검사!$E$4:$E$6003,MATCH("R"&amp;4,중복목록!$L$6:$L$6005,0)),INDEX(중복검사!$F$4:$F$6003,MATCH("R"&amp;4,중복목록!$L$6:$L$6005,0)),INDEX(중복검사!$G$4:$G$6003,MATCH("R"&amp;4,중복목록!$L$6:$L$6005,0))),""))</f>
        <v>2</v>
      </c>
      <c r="G9" s="11" t="str">
        <f aca="false">IF($A9="","",IFERROR(INDEX(중복검사!$I$4:$I$6003,MATCH("R"&amp;4,중복목록!$L$6:$L$6005,0)),""))</f>
        <v>중복 건</v>
      </c>
      <c r="H9" s="11" t="str">
        <f aca="false">IF($A9="","",IFERROR(INDEX(중복검사!$J$4:$J$6003,MATCH("R"&amp;4,중복목록!$L$6:$L$6005,0)),""))</f>
        <v>확인 필요</v>
      </c>
      <c r="J9" s="14" t="b">
        <f aca="false">IF(중복검사!$A7="",FALSE(),중복검사!$H7="중복")</f>
        <v>1</v>
      </c>
      <c r="K9" s="5" t="n">
        <f aca="false">IF($J9=FALSE(),"",COUNTIF($J$6:$J9,TRUE()))</f>
        <v>3</v>
      </c>
      <c r="L9" s="5" t="str">
        <f aca="false">IF($K9="","","R"&amp;$K9)</f>
        <v>R3</v>
      </c>
    </row>
    <row r="10" customFormat="false" ht="15" hidden="false" customHeight="true" outlineLevel="0" collapsed="false">
      <c r="A10" s="11" t="str">
        <f aca="false">IFERROR(INDEX(중복검사!$A$4:$A$6003,MATCH("R"&amp;5,중복목록!$L$6:$L$6005,0)),"")</f>
        <v/>
      </c>
      <c r="B10" s="12" t="str">
        <f aca="false">IF($A10="","",IFERROR(INDEX(중복검사!$B$4:$B$6003,MATCH("R"&amp;5,중복목록!$L$6:$L$6005,0)),""))</f>
        <v/>
      </c>
      <c r="C10" s="12" t="str">
        <f aca="false">IF($A10="","",IFERROR(INDEX(중복검사!$C$4:$C$6003,MATCH("R"&amp;5,중복목록!$L$6:$L$6005,0)),""))</f>
        <v/>
      </c>
      <c r="D10" s="12" t="str">
        <f aca="false">IF($A10="","",IFERROR(INDEX(중복검사!$D$4:$D$6003,MATCH("R"&amp;5,중복목록!$L$6:$L$6005,0)),""))</f>
        <v/>
      </c>
      <c r="E10" s="12" t="str">
        <f aca="false">IF($A10="","",IFERROR(IF(INDEX(원본명단!$E$3:$E$6002,MATCH("R"&amp;5,중복목록!$L$6:$L$6005,0))="","",INDEX(원본명단!$E$3:$E$6002,MATCH("R"&amp;5,중복목록!$L$6:$L$6005,0))),""))</f>
        <v/>
      </c>
      <c r="F10" s="11" t="str">
        <f aca="false">IF($A10="","",IFERROR(MAX(INDEX(중복검사!$E$4:$E$6003,MATCH("R"&amp;5,중복목록!$L$6:$L$6005,0)),INDEX(중복검사!$F$4:$F$6003,MATCH("R"&amp;5,중복목록!$L$6:$L$6005,0)),INDEX(중복검사!$G$4:$G$6003,MATCH("R"&amp;5,중복목록!$L$6:$L$6005,0))),""))</f>
        <v/>
      </c>
      <c r="G10" s="11" t="str">
        <f aca="false">IF($A10="","",IFERROR(INDEX(중복검사!$I$4:$I$6003,MATCH("R"&amp;5,중복목록!$L$6:$L$6005,0)),""))</f>
        <v/>
      </c>
      <c r="H10" s="11" t="str">
        <f aca="false">IF($A10="","",IFERROR(INDEX(중복검사!$J$4:$J$6003,MATCH("R"&amp;5,중복목록!$L$6:$L$6005,0)),""))</f>
        <v/>
      </c>
      <c r="J10" s="14" t="b">
        <f aca="false">IF(중복검사!$A8="",FALSE(),중복검사!$H8="중복")</f>
        <v>1</v>
      </c>
      <c r="K10" s="5" t="n">
        <f aca="false">IF($J10=FALSE(),"",COUNTIF($J$6:$J10,TRUE()))</f>
        <v>4</v>
      </c>
      <c r="L10" s="5" t="str">
        <f aca="false">IF($K10="","","R"&amp;$K10)</f>
        <v>R4</v>
      </c>
    </row>
    <row r="11" customFormat="false" ht="15" hidden="false" customHeight="true" outlineLevel="0" collapsed="false">
      <c r="A11" s="11" t="str">
        <f aca="false">IFERROR(INDEX(중복검사!$A$4:$A$6003,MATCH("R"&amp;6,중복목록!$L$6:$L$6005,0)),"")</f>
        <v/>
      </c>
      <c r="B11" s="12" t="str">
        <f aca="false">IF($A11="","",IFERROR(INDEX(중복검사!$B$4:$B$6003,MATCH("R"&amp;6,중복목록!$L$6:$L$6005,0)),""))</f>
        <v/>
      </c>
      <c r="C11" s="12" t="str">
        <f aca="false">IF($A11="","",IFERROR(INDEX(중복검사!$C$4:$C$6003,MATCH("R"&amp;6,중복목록!$L$6:$L$6005,0)),""))</f>
        <v/>
      </c>
      <c r="D11" s="12" t="str">
        <f aca="false">IF($A11="","",IFERROR(INDEX(중복검사!$D$4:$D$6003,MATCH("R"&amp;6,중복목록!$L$6:$L$6005,0)),""))</f>
        <v/>
      </c>
      <c r="E11" s="12" t="str">
        <f aca="false">IF($A11="","",IFERROR(IF(INDEX(원본명단!$E$3:$E$6002,MATCH("R"&amp;6,중복목록!$L$6:$L$6005,0))="","",INDEX(원본명단!$E$3:$E$6002,MATCH("R"&amp;6,중복목록!$L$6:$L$6005,0))),""))</f>
        <v/>
      </c>
      <c r="F11" s="11" t="str">
        <f aca="false">IF($A11="","",IFERROR(MAX(INDEX(중복검사!$E$4:$E$6003,MATCH("R"&amp;6,중복목록!$L$6:$L$6005,0)),INDEX(중복검사!$F$4:$F$6003,MATCH("R"&amp;6,중복목록!$L$6:$L$6005,0)),INDEX(중복검사!$G$4:$G$6003,MATCH("R"&amp;6,중복목록!$L$6:$L$6005,0))),""))</f>
        <v/>
      </c>
      <c r="G11" s="11" t="str">
        <f aca="false">IF($A11="","",IFERROR(INDEX(중복검사!$I$4:$I$6003,MATCH("R"&amp;6,중복목록!$L$6:$L$6005,0)),""))</f>
        <v/>
      </c>
      <c r="H11" s="11" t="str">
        <f aca="false">IF($A11="","",IFERROR(INDEX(중복검사!$J$4:$J$6003,MATCH("R"&amp;6,중복목록!$L$6:$L$6005,0)),""))</f>
        <v/>
      </c>
      <c r="J11" s="14" t="b">
        <f aca="false">IF(중복검사!$A9="",FALSE(),중복검사!$H9="중복")</f>
        <v>0</v>
      </c>
      <c r="K11" s="5" t="str">
        <f aca="false">IF($J11=FALSE(),"",COUNTIF($J$6:$J11,TRUE()))</f>
        <v/>
      </c>
      <c r="L11" s="5" t="str">
        <f aca="false">IF($K11="","","R"&amp;$K11)</f>
        <v/>
      </c>
    </row>
    <row r="12" customFormat="false" ht="15" hidden="false" customHeight="true" outlineLevel="0" collapsed="false">
      <c r="A12" s="11" t="str">
        <f aca="false">IFERROR(INDEX(중복검사!$A$4:$A$6003,MATCH("R"&amp;7,중복목록!$L$6:$L$6005,0)),"")</f>
        <v/>
      </c>
      <c r="B12" s="12" t="str">
        <f aca="false">IF($A12="","",IFERROR(INDEX(중복검사!$B$4:$B$6003,MATCH("R"&amp;7,중복목록!$L$6:$L$6005,0)),""))</f>
        <v/>
      </c>
      <c r="C12" s="12" t="str">
        <f aca="false">IF($A12="","",IFERROR(INDEX(중복검사!$C$4:$C$6003,MATCH("R"&amp;7,중복목록!$L$6:$L$6005,0)),""))</f>
        <v/>
      </c>
      <c r="D12" s="12" t="str">
        <f aca="false">IF($A12="","",IFERROR(INDEX(중복검사!$D$4:$D$6003,MATCH("R"&amp;7,중복목록!$L$6:$L$6005,0)),""))</f>
        <v/>
      </c>
      <c r="E12" s="12" t="str">
        <f aca="false">IF($A12="","",IFERROR(IF(INDEX(원본명단!$E$3:$E$6002,MATCH("R"&amp;7,중복목록!$L$6:$L$6005,0))="","",INDEX(원본명단!$E$3:$E$6002,MATCH("R"&amp;7,중복목록!$L$6:$L$6005,0))),""))</f>
        <v/>
      </c>
      <c r="F12" s="11" t="str">
        <f aca="false">IF($A12="","",IFERROR(MAX(INDEX(중복검사!$E$4:$E$6003,MATCH("R"&amp;7,중복목록!$L$6:$L$6005,0)),INDEX(중복검사!$F$4:$F$6003,MATCH("R"&amp;7,중복목록!$L$6:$L$6005,0)),INDEX(중복검사!$G$4:$G$6003,MATCH("R"&amp;7,중복목록!$L$6:$L$6005,0))),""))</f>
        <v/>
      </c>
      <c r="G12" s="11" t="str">
        <f aca="false">IF($A12="","",IFERROR(INDEX(중복검사!$I$4:$I$6003,MATCH("R"&amp;7,중복목록!$L$6:$L$6005,0)),""))</f>
        <v/>
      </c>
      <c r="H12" s="11" t="str">
        <f aca="false">IF($A12="","",IFERROR(INDEX(중복검사!$J$4:$J$6003,MATCH("R"&amp;7,중복목록!$L$6:$L$6005,0)),""))</f>
        <v/>
      </c>
      <c r="J12" s="14" t="b">
        <f aca="false">IF(중복검사!$A10="",FALSE(),중복검사!$H10="중복")</f>
        <v>0</v>
      </c>
      <c r="K12" s="5" t="str">
        <f aca="false">IF($J12=FALSE(),"",COUNTIF($J$6:$J12,TRUE()))</f>
        <v/>
      </c>
      <c r="L12" s="5" t="str">
        <f aca="false">IF($K12="","","R"&amp;$K12)</f>
        <v/>
      </c>
    </row>
    <row r="13" customFormat="false" ht="15" hidden="false" customHeight="true" outlineLevel="0" collapsed="false">
      <c r="A13" s="11" t="str">
        <f aca="false">IFERROR(INDEX(중복검사!$A$4:$A$6003,MATCH("R"&amp;8,중복목록!$L$6:$L$6005,0)),"")</f>
        <v/>
      </c>
      <c r="B13" s="12" t="str">
        <f aca="false">IF($A13="","",IFERROR(INDEX(중복검사!$B$4:$B$6003,MATCH("R"&amp;8,중복목록!$L$6:$L$6005,0)),""))</f>
        <v/>
      </c>
      <c r="C13" s="12" t="str">
        <f aca="false">IF($A13="","",IFERROR(INDEX(중복검사!$C$4:$C$6003,MATCH("R"&amp;8,중복목록!$L$6:$L$6005,0)),""))</f>
        <v/>
      </c>
      <c r="D13" s="12" t="str">
        <f aca="false">IF($A13="","",IFERROR(INDEX(중복검사!$D$4:$D$6003,MATCH("R"&amp;8,중복목록!$L$6:$L$6005,0)),""))</f>
        <v/>
      </c>
      <c r="E13" s="12" t="str">
        <f aca="false">IF($A13="","",IFERROR(IF(INDEX(원본명단!$E$3:$E$6002,MATCH("R"&amp;8,중복목록!$L$6:$L$6005,0))="","",INDEX(원본명단!$E$3:$E$6002,MATCH("R"&amp;8,중복목록!$L$6:$L$6005,0))),""))</f>
        <v/>
      </c>
      <c r="F13" s="11" t="str">
        <f aca="false">IF($A13="","",IFERROR(MAX(INDEX(중복검사!$E$4:$E$6003,MATCH("R"&amp;8,중복목록!$L$6:$L$6005,0)),INDEX(중복검사!$F$4:$F$6003,MATCH("R"&amp;8,중복목록!$L$6:$L$6005,0)),INDEX(중복검사!$G$4:$G$6003,MATCH("R"&amp;8,중복목록!$L$6:$L$6005,0))),""))</f>
        <v/>
      </c>
      <c r="G13" s="11" t="str">
        <f aca="false">IF($A13="","",IFERROR(INDEX(중복검사!$I$4:$I$6003,MATCH("R"&amp;8,중복목록!$L$6:$L$6005,0)),""))</f>
        <v/>
      </c>
      <c r="H13" s="11" t="str">
        <f aca="false">IF($A13="","",IFERROR(INDEX(중복검사!$J$4:$J$6003,MATCH("R"&amp;8,중복목록!$L$6:$L$6005,0)),""))</f>
        <v/>
      </c>
      <c r="J13" s="14" t="b">
        <f aca="false">IF(중복검사!$A11="",FALSE(),중복검사!$H11="중복")</f>
        <v>0</v>
      </c>
      <c r="K13" s="5" t="str">
        <f aca="false">IF($J13=FALSE(),"",COUNTIF($J$6:$J13,TRUE()))</f>
        <v/>
      </c>
      <c r="L13" s="5" t="str">
        <f aca="false">IF($K13="","","R"&amp;$K13)</f>
        <v/>
      </c>
    </row>
    <row r="14" customFormat="false" ht="15" hidden="false" customHeight="true" outlineLevel="0" collapsed="false">
      <c r="A14" s="11" t="str">
        <f aca="false">IFERROR(INDEX(중복검사!$A$4:$A$6003,MATCH("R"&amp;9,중복목록!$L$6:$L$6005,0)),"")</f>
        <v/>
      </c>
      <c r="B14" s="12" t="str">
        <f aca="false">IF($A14="","",IFERROR(INDEX(중복검사!$B$4:$B$6003,MATCH("R"&amp;9,중복목록!$L$6:$L$6005,0)),""))</f>
        <v/>
      </c>
      <c r="C14" s="12" t="str">
        <f aca="false">IF($A14="","",IFERROR(INDEX(중복검사!$C$4:$C$6003,MATCH("R"&amp;9,중복목록!$L$6:$L$6005,0)),""))</f>
        <v/>
      </c>
      <c r="D14" s="12" t="str">
        <f aca="false">IF($A14="","",IFERROR(INDEX(중복검사!$D$4:$D$6003,MATCH("R"&amp;9,중복목록!$L$6:$L$6005,0)),""))</f>
        <v/>
      </c>
      <c r="E14" s="12" t="str">
        <f aca="false">IF($A14="","",IFERROR(IF(INDEX(원본명단!$E$3:$E$6002,MATCH("R"&amp;9,중복목록!$L$6:$L$6005,0))="","",INDEX(원본명단!$E$3:$E$6002,MATCH("R"&amp;9,중복목록!$L$6:$L$6005,0))),""))</f>
        <v/>
      </c>
      <c r="F14" s="11" t="str">
        <f aca="false">IF($A14="","",IFERROR(MAX(INDEX(중복검사!$E$4:$E$6003,MATCH("R"&amp;9,중복목록!$L$6:$L$6005,0)),INDEX(중복검사!$F$4:$F$6003,MATCH("R"&amp;9,중복목록!$L$6:$L$6005,0)),INDEX(중복검사!$G$4:$G$6003,MATCH("R"&amp;9,중복목록!$L$6:$L$6005,0))),""))</f>
        <v/>
      </c>
      <c r="G14" s="11" t="str">
        <f aca="false">IF($A14="","",IFERROR(INDEX(중복검사!$I$4:$I$6003,MATCH("R"&amp;9,중복목록!$L$6:$L$6005,0)),""))</f>
        <v/>
      </c>
      <c r="H14" s="11" t="str">
        <f aca="false">IF($A14="","",IFERROR(INDEX(중복검사!$J$4:$J$6003,MATCH("R"&amp;9,중복목록!$L$6:$L$6005,0)),""))</f>
        <v/>
      </c>
      <c r="J14" s="14" t="b">
        <f aca="false">IF(중복검사!$A12="",FALSE(),중복검사!$H12="중복")</f>
        <v>0</v>
      </c>
      <c r="K14" s="5" t="str">
        <f aca="false">IF($J14=FALSE(),"",COUNTIF($J$6:$J14,TRUE()))</f>
        <v/>
      </c>
      <c r="L14" s="5" t="str">
        <f aca="false">IF($K14="","","R"&amp;$K14)</f>
        <v/>
      </c>
    </row>
    <row r="15" customFormat="false" ht="15" hidden="false" customHeight="true" outlineLevel="0" collapsed="false">
      <c r="A15" s="11" t="str">
        <f aca="false">IFERROR(INDEX(중복검사!$A$4:$A$6003,MATCH("R"&amp;10,중복목록!$L$6:$L$6005,0)),"")</f>
        <v/>
      </c>
      <c r="B15" s="12" t="str">
        <f aca="false">IF($A15="","",IFERROR(INDEX(중복검사!$B$4:$B$6003,MATCH("R"&amp;10,중복목록!$L$6:$L$6005,0)),""))</f>
        <v/>
      </c>
      <c r="C15" s="12" t="str">
        <f aca="false">IF($A15="","",IFERROR(INDEX(중복검사!$C$4:$C$6003,MATCH("R"&amp;10,중복목록!$L$6:$L$6005,0)),""))</f>
        <v/>
      </c>
      <c r="D15" s="12" t="str">
        <f aca="false">IF($A15="","",IFERROR(INDEX(중복검사!$D$4:$D$6003,MATCH("R"&amp;10,중복목록!$L$6:$L$6005,0)),""))</f>
        <v/>
      </c>
      <c r="E15" s="12" t="str">
        <f aca="false">IF($A15="","",IFERROR(IF(INDEX(원본명단!$E$3:$E$6002,MATCH("R"&amp;10,중복목록!$L$6:$L$6005,0))="","",INDEX(원본명단!$E$3:$E$6002,MATCH("R"&amp;10,중복목록!$L$6:$L$6005,0))),""))</f>
        <v/>
      </c>
      <c r="F15" s="11" t="str">
        <f aca="false">IF($A15="","",IFERROR(MAX(INDEX(중복검사!$E$4:$E$6003,MATCH("R"&amp;10,중복목록!$L$6:$L$6005,0)),INDEX(중복검사!$F$4:$F$6003,MATCH("R"&amp;10,중복목록!$L$6:$L$6005,0)),INDEX(중복검사!$G$4:$G$6003,MATCH("R"&amp;10,중복목록!$L$6:$L$6005,0))),""))</f>
        <v/>
      </c>
      <c r="G15" s="11" t="str">
        <f aca="false">IF($A15="","",IFERROR(INDEX(중복검사!$I$4:$I$6003,MATCH("R"&amp;10,중복목록!$L$6:$L$6005,0)),""))</f>
        <v/>
      </c>
      <c r="H15" s="11" t="str">
        <f aca="false">IF($A15="","",IFERROR(INDEX(중복검사!$J$4:$J$6003,MATCH("R"&amp;10,중복목록!$L$6:$L$6005,0)),""))</f>
        <v/>
      </c>
      <c r="J15" s="14" t="b">
        <f aca="false">IF(중복검사!$A13="",FALSE(),중복검사!$H13="중복")</f>
        <v>0</v>
      </c>
      <c r="K15" s="5" t="str">
        <f aca="false">IF($J15=FALSE(),"",COUNTIF($J$6:$J15,TRUE()))</f>
        <v/>
      </c>
      <c r="L15" s="5" t="str">
        <f aca="false">IF($K15="","","R"&amp;$K15)</f>
        <v/>
      </c>
    </row>
    <row r="16" customFormat="false" ht="15" hidden="false" customHeight="true" outlineLevel="0" collapsed="false">
      <c r="A16" s="11" t="str">
        <f aca="false">IFERROR(INDEX(중복검사!$A$4:$A$6003,MATCH("R"&amp;11,중복목록!$L$6:$L$6005,0)),"")</f>
        <v/>
      </c>
      <c r="B16" s="12" t="str">
        <f aca="false">IF($A16="","",IFERROR(INDEX(중복검사!$B$4:$B$6003,MATCH("R"&amp;11,중복목록!$L$6:$L$6005,0)),""))</f>
        <v/>
      </c>
      <c r="C16" s="12" t="str">
        <f aca="false">IF($A16="","",IFERROR(INDEX(중복검사!$C$4:$C$6003,MATCH("R"&amp;11,중복목록!$L$6:$L$6005,0)),""))</f>
        <v/>
      </c>
      <c r="D16" s="12" t="str">
        <f aca="false">IF($A16="","",IFERROR(INDEX(중복검사!$D$4:$D$6003,MATCH("R"&amp;11,중복목록!$L$6:$L$6005,0)),""))</f>
        <v/>
      </c>
      <c r="E16" s="12" t="str">
        <f aca="false">IF($A16="","",IFERROR(IF(INDEX(원본명단!$E$3:$E$6002,MATCH("R"&amp;11,중복목록!$L$6:$L$6005,0))="","",INDEX(원본명단!$E$3:$E$6002,MATCH("R"&amp;11,중복목록!$L$6:$L$6005,0))),""))</f>
        <v/>
      </c>
      <c r="F16" s="11" t="str">
        <f aca="false">IF($A16="","",IFERROR(MAX(INDEX(중복검사!$E$4:$E$6003,MATCH("R"&amp;11,중복목록!$L$6:$L$6005,0)),INDEX(중복검사!$F$4:$F$6003,MATCH("R"&amp;11,중복목록!$L$6:$L$6005,0)),INDEX(중복검사!$G$4:$G$6003,MATCH("R"&amp;11,중복목록!$L$6:$L$6005,0))),""))</f>
        <v/>
      </c>
      <c r="G16" s="11" t="str">
        <f aca="false">IF($A16="","",IFERROR(INDEX(중복검사!$I$4:$I$6003,MATCH("R"&amp;11,중복목록!$L$6:$L$6005,0)),""))</f>
        <v/>
      </c>
      <c r="H16" s="11" t="str">
        <f aca="false">IF($A16="","",IFERROR(INDEX(중복검사!$J$4:$J$6003,MATCH("R"&amp;11,중복목록!$L$6:$L$6005,0)),""))</f>
        <v/>
      </c>
      <c r="J16" s="14" t="b">
        <f aca="false">IF(중복검사!$A14="",FALSE(),중복검사!$H14="중복")</f>
        <v>0</v>
      </c>
      <c r="K16" s="5" t="str">
        <f aca="false">IF($J16=FALSE(),"",COUNTIF($J$6:$J16,TRUE()))</f>
        <v/>
      </c>
      <c r="L16" s="5" t="str">
        <f aca="false">IF($K16="","","R"&amp;$K16)</f>
        <v/>
      </c>
    </row>
    <row r="17" customFormat="false" ht="15" hidden="false" customHeight="true" outlineLevel="0" collapsed="false">
      <c r="A17" s="11" t="str">
        <f aca="false">IFERROR(INDEX(중복검사!$A$4:$A$6003,MATCH("R"&amp;12,중복목록!$L$6:$L$6005,0)),"")</f>
        <v/>
      </c>
      <c r="B17" s="12" t="str">
        <f aca="false">IF($A17="","",IFERROR(INDEX(중복검사!$B$4:$B$6003,MATCH("R"&amp;12,중복목록!$L$6:$L$6005,0)),""))</f>
        <v/>
      </c>
      <c r="C17" s="12" t="str">
        <f aca="false">IF($A17="","",IFERROR(INDEX(중복검사!$C$4:$C$6003,MATCH("R"&amp;12,중복목록!$L$6:$L$6005,0)),""))</f>
        <v/>
      </c>
      <c r="D17" s="12" t="str">
        <f aca="false">IF($A17="","",IFERROR(INDEX(중복검사!$D$4:$D$6003,MATCH("R"&amp;12,중복목록!$L$6:$L$6005,0)),""))</f>
        <v/>
      </c>
      <c r="E17" s="12" t="str">
        <f aca="false">IF($A17="","",IFERROR(IF(INDEX(원본명단!$E$3:$E$6002,MATCH("R"&amp;12,중복목록!$L$6:$L$6005,0))="","",INDEX(원본명단!$E$3:$E$6002,MATCH("R"&amp;12,중복목록!$L$6:$L$6005,0))),""))</f>
        <v/>
      </c>
      <c r="F17" s="11" t="str">
        <f aca="false">IF($A17="","",IFERROR(MAX(INDEX(중복검사!$E$4:$E$6003,MATCH("R"&amp;12,중복목록!$L$6:$L$6005,0)),INDEX(중복검사!$F$4:$F$6003,MATCH("R"&amp;12,중복목록!$L$6:$L$6005,0)),INDEX(중복검사!$G$4:$G$6003,MATCH("R"&amp;12,중복목록!$L$6:$L$6005,0))),""))</f>
        <v/>
      </c>
      <c r="G17" s="11" t="str">
        <f aca="false">IF($A17="","",IFERROR(INDEX(중복검사!$I$4:$I$6003,MATCH("R"&amp;12,중복목록!$L$6:$L$6005,0)),""))</f>
        <v/>
      </c>
      <c r="H17" s="11" t="str">
        <f aca="false">IF($A17="","",IFERROR(INDEX(중복검사!$J$4:$J$6003,MATCH("R"&amp;12,중복목록!$L$6:$L$6005,0)),""))</f>
        <v/>
      </c>
      <c r="J17" s="14" t="b">
        <f aca="false">IF(중복검사!$A15="",FALSE(),중복검사!$H15="중복")</f>
        <v>0</v>
      </c>
      <c r="K17" s="5" t="str">
        <f aca="false">IF($J17=FALSE(),"",COUNTIF($J$6:$J17,TRUE()))</f>
        <v/>
      </c>
      <c r="L17" s="5" t="str">
        <f aca="false">IF($K17="","","R"&amp;$K17)</f>
        <v/>
      </c>
    </row>
    <row r="18" customFormat="false" ht="15" hidden="false" customHeight="true" outlineLevel="0" collapsed="false">
      <c r="A18" s="11" t="str">
        <f aca="false">IFERROR(INDEX(중복검사!$A$4:$A$6003,MATCH("R"&amp;13,중복목록!$L$6:$L$6005,0)),"")</f>
        <v/>
      </c>
      <c r="B18" s="12" t="str">
        <f aca="false">IF($A18="","",IFERROR(INDEX(중복검사!$B$4:$B$6003,MATCH("R"&amp;13,중복목록!$L$6:$L$6005,0)),""))</f>
        <v/>
      </c>
      <c r="C18" s="12" t="str">
        <f aca="false">IF($A18="","",IFERROR(INDEX(중복검사!$C$4:$C$6003,MATCH("R"&amp;13,중복목록!$L$6:$L$6005,0)),""))</f>
        <v/>
      </c>
      <c r="D18" s="12" t="str">
        <f aca="false">IF($A18="","",IFERROR(INDEX(중복검사!$D$4:$D$6003,MATCH("R"&amp;13,중복목록!$L$6:$L$6005,0)),""))</f>
        <v/>
      </c>
      <c r="E18" s="12" t="str">
        <f aca="false">IF($A18="","",IFERROR(IF(INDEX(원본명단!$E$3:$E$6002,MATCH("R"&amp;13,중복목록!$L$6:$L$6005,0))="","",INDEX(원본명단!$E$3:$E$6002,MATCH("R"&amp;13,중복목록!$L$6:$L$6005,0))),""))</f>
        <v/>
      </c>
      <c r="F18" s="11" t="str">
        <f aca="false">IF($A18="","",IFERROR(MAX(INDEX(중복검사!$E$4:$E$6003,MATCH("R"&amp;13,중복목록!$L$6:$L$6005,0)),INDEX(중복검사!$F$4:$F$6003,MATCH("R"&amp;13,중복목록!$L$6:$L$6005,0)),INDEX(중복검사!$G$4:$G$6003,MATCH("R"&amp;13,중복목록!$L$6:$L$6005,0))),""))</f>
        <v/>
      </c>
      <c r="G18" s="11" t="str">
        <f aca="false">IF($A18="","",IFERROR(INDEX(중복검사!$I$4:$I$6003,MATCH("R"&amp;13,중복목록!$L$6:$L$6005,0)),""))</f>
        <v/>
      </c>
      <c r="H18" s="11" t="str">
        <f aca="false">IF($A18="","",IFERROR(INDEX(중복검사!$J$4:$J$6003,MATCH("R"&amp;13,중복목록!$L$6:$L$6005,0)),""))</f>
        <v/>
      </c>
      <c r="J18" s="14" t="b">
        <f aca="false">IF(중복검사!$A16="",FALSE(),중복검사!$H16="중복")</f>
        <v>0</v>
      </c>
      <c r="K18" s="5" t="str">
        <f aca="false">IF($J18=FALSE(),"",COUNTIF($J$6:$J18,TRUE()))</f>
        <v/>
      </c>
      <c r="L18" s="5" t="str">
        <f aca="false">IF($K18="","","R"&amp;$K18)</f>
        <v/>
      </c>
    </row>
    <row r="19" customFormat="false" ht="15" hidden="false" customHeight="true" outlineLevel="0" collapsed="false">
      <c r="A19" s="11" t="str">
        <f aca="false">IFERROR(INDEX(중복검사!$A$4:$A$6003,MATCH("R"&amp;14,중복목록!$L$6:$L$6005,0)),"")</f>
        <v/>
      </c>
      <c r="B19" s="12" t="str">
        <f aca="false">IF($A19="","",IFERROR(INDEX(중복검사!$B$4:$B$6003,MATCH("R"&amp;14,중복목록!$L$6:$L$6005,0)),""))</f>
        <v/>
      </c>
      <c r="C19" s="12" t="str">
        <f aca="false">IF($A19="","",IFERROR(INDEX(중복검사!$C$4:$C$6003,MATCH("R"&amp;14,중복목록!$L$6:$L$6005,0)),""))</f>
        <v/>
      </c>
      <c r="D19" s="12" t="str">
        <f aca="false">IF($A19="","",IFERROR(INDEX(중복검사!$D$4:$D$6003,MATCH("R"&amp;14,중복목록!$L$6:$L$6005,0)),""))</f>
        <v/>
      </c>
      <c r="E19" s="12" t="str">
        <f aca="false">IF($A19="","",IFERROR(IF(INDEX(원본명단!$E$3:$E$6002,MATCH("R"&amp;14,중복목록!$L$6:$L$6005,0))="","",INDEX(원본명단!$E$3:$E$6002,MATCH("R"&amp;14,중복목록!$L$6:$L$6005,0))),""))</f>
        <v/>
      </c>
      <c r="F19" s="11" t="str">
        <f aca="false">IF($A19="","",IFERROR(MAX(INDEX(중복검사!$E$4:$E$6003,MATCH("R"&amp;14,중복목록!$L$6:$L$6005,0)),INDEX(중복검사!$F$4:$F$6003,MATCH("R"&amp;14,중복목록!$L$6:$L$6005,0)),INDEX(중복검사!$G$4:$G$6003,MATCH("R"&amp;14,중복목록!$L$6:$L$6005,0))),""))</f>
        <v/>
      </c>
      <c r="G19" s="11" t="str">
        <f aca="false">IF($A19="","",IFERROR(INDEX(중복검사!$I$4:$I$6003,MATCH("R"&amp;14,중복목록!$L$6:$L$6005,0)),""))</f>
        <v/>
      </c>
      <c r="H19" s="11" t="str">
        <f aca="false">IF($A19="","",IFERROR(INDEX(중복검사!$J$4:$J$6003,MATCH("R"&amp;14,중복목록!$L$6:$L$6005,0)),""))</f>
        <v/>
      </c>
      <c r="J19" s="14" t="b">
        <f aca="false">IF(중복검사!$A17="",FALSE(),중복검사!$H17="중복")</f>
        <v>0</v>
      </c>
      <c r="K19" s="5" t="str">
        <f aca="false">IF($J19=FALSE(),"",COUNTIF($J$6:$J19,TRUE()))</f>
        <v/>
      </c>
      <c r="L19" s="5" t="str">
        <f aca="false">IF($K19="","","R"&amp;$K19)</f>
        <v/>
      </c>
    </row>
    <row r="20" customFormat="false" ht="15" hidden="false" customHeight="true" outlineLevel="0" collapsed="false">
      <c r="A20" s="11" t="str">
        <f aca="false">IFERROR(INDEX(중복검사!$A$4:$A$6003,MATCH("R"&amp;15,중복목록!$L$6:$L$6005,0)),"")</f>
        <v/>
      </c>
      <c r="B20" s="12" t="str">
        <f aca="false">IF($A20="","",IFERROR(INDEX(중복검사!$B$4:$B$6003,MATCH("R"&amp;15,중복목록!$L$6:$L$6005,0)),""))</f>
        <v/>
      </c>
      <c r="C20" s="12" t="str">
        <f aca="false">IF($A20="","",IFERROR(INDEX(중복검사!$C$4:$C$6003,MATCH("R"&amp;15,중복목록!$L$6:$L$6005,0)),""))</f>
        <v/>
      </c>
      <c r="D20" s="12" t="str">
        <f aca="false">IF($A20="","",IFERROR(INDEX(중복검사!$D$4:$D$6003,MATCH("R"&amp;15,중복목록!$L$6:$L$6005,0)),""))</f>
        <v/>
      </c>
      <c r="E20" s="12" t="str">
        <f aca="false">IF($A20="","",IFERROR(IF(INDEX(원본명단!$E$3:$E$6002,MATCH("R"&amp;15,중복목록!$L$6:$L$6005,0))="","",INDEX(원본명단!$E$3:$E$6002,MATCH("R"&amp;15,중복목록!$L$6:$L$6005,0))),""))</f>
        <v/>
      </c>
      <c r="F20" s="11" t="str">
        <f aca="false">IF($A20="","",IFERROR(MAX(INDEX(중복검사!$E$4:$E$6003,MATCH("R"&amp;15,중복목록!$L$6:$L$6005,0)),INDEX(중복검사!$F$4:$F$6003,MATCH("R"&amp;15,중복목록!$L$6:$L$6005,0)),INDEX(중복검사!$G$4:$G$6003,MATCH("R"&amp;15,중복목록!$L$6:$L$6005,0))),""))</f>
        <v/>
      </c>
      <c r="G20" s="11" t="str">
        <f aca="false">IF($A20="","",IFERROR(INDEX(중복검사!$I$4:$I$6003,MATCH("R"&amp;15,중복목록!$L$6:$L$6005,0)),""))</f>
        <v/>
      </c>
      <c r="H20" s="11" t="str">
        <f aca="false">IF($A20="","",IFERROR(INDEX(중복검사!$J$4:$J$6003,MATCH("R"&amp;15,중복목록!$L$6:$L$6005,0)),""))</f>
        <v/>
      </c>
      <c r="J20" s="14" t="b">
        <f aca="false">IF(중복검사!$A18="",FALSE(),중복검사!$H18="중복")</f>
        <v>0</v>
      </c>
      <c r="K20" s="5" t="str">
        <f aca="false">IF($J20=FALSE(),"",COUNTIF($J$6:$J20,TRUE()))</f>
        <v/>
      </c>
      <c r="L20" s="5" t="str">
        <f aca="false">IF($K20="","","R"&amp;$K20)</f>
        <v/>
      </c>
    </row>
    <row r="21" customFormat="false" ht="15" hidden="false" customHeight="true" outlineLevel="0" collapsed="false">
      <c r="A21" s="11" t="str">
        <f aca="false">IFERROR(INDEX(중복검사!$A$4:$A$6003,MATCH("R"&amp;16,중복목록!$L$6:$L$6005,0)),"")</f>
        <v/>
      </c>
      <c r="B21" s="12" t="str">
        <f aca="false">IF($A21="","",IFERROR(INDEX(중복검사!$B$4:$B$6003,MATCH("R"&amp;16,중복목록!$L$6:$L$6005,0)),""))</f>
        <v/>
      </c>
      <c r="C21" s="12" t="str">
        <f aca="false">IF($A21="","",IFERROR(INDEX(중복검사!$C$4:$C$6003,MATCH("R"&amp;16,중복목록!$L$6:$L$6005,0)),""))</f>
        <v/>
      </c>
      <c r="D21" s="12" t="str">
        <f aca="false">IF($A21="","",IFERROR(INDEX(중복검사!$D$4:$D$6003,MATCH("R"&amp;16,중복목록!$L$6:$L$6005,0)),""))</f>
        <v/>
      </c>
      <c r="E21" s="12" t="str">
        <f aca="false">IF($A21="","",IFERROR(IF(INDEX(원본명단!$E$3:$E$6002,MATCH("R"&amp;16,중복목록!$L$6:$L$6005,0))="","",INDEX(원본명단!$E$3:$E$6002,MATCH("R"&amp;16,중복목록!$L$6:$L$6005,0))),""))</f>
        <v/>
      </c>
      <c r="F21" s="11" t="str">
        <f aca="false">IF($A21="","",IFERROR(MAX(INDEX(중복검사!$E$4:$E$6003,MATCH("R"&amp;16,중복목록!$L$6:$L$6005,0)),INDEX(중복검사!$F$4:$F$6003,MATCH("R"&amp;16,중복목록!$L$6:$L$6005,0)),INDEX(중복검사!$G$4:$G$6003,MATCH("R"&amp;16,중복목록!$L$6:$L$6005,0))),""))</f>
        <v/>
      </c>
      <c r="G21" s="11" t="str">
        <f aca="false">IF($A21="","",IFERROR(INDEX(중복검사!$I$4:$I$6003,MATCH("R"&amp;16,중복목록!$L$6:$L$6005,0)),""))</f>
        <v/>
      </c>
      <c r="H21" s="11" t="str">
        <f aca="false">IF($A21="","",IFERROR(INDEX(중복검사!$J$4:$J$6003,MATCH("R"&amp;16,중복목록!$L$6:$L$6005,0)),""))</f>
        <v/>
      </c>
      <c r="J21" s="14" t="b">
        <f aca="false">IF(중복검사!$A19="",FALSE(),중복검사!$H19="중복")</f>
        <v>0</v>
      </c>
      <c r="K21" s="5" t="str">
        <f aca="false">IF($J21=FALSE(),"",COUNTIF($J$6:$J21,TRUE()))</f>
        <v/>
      </c>
      <c r="L21" s="5" t="str">
        <f aca="false">IF($K21="","","R"&amp;$K21)</f>
        <v/>
      </c>
    </row>
    <row r="22" customFormat="false" ht="15" hidden="false" customHeight="true" outlineLevel="0" collapsed="false">
      <c r="A22" s="11" t="str">
        <f aca="false">IFERROR(INDEX(중복검사!$A$4:$A$6003,MATCH("R"&amp;17,중복목록!$L$6:$L$6005,0)),"")</f>
        <v/>
      </c>
      <c r="B22" s="12" t="str">
        <f aca="false">IF($A22="","",IFERROR(INDEX(중복검사!$B$4:$B$6003,MATCH("R"&amp;17,중복목록!$L$6:$L$6005,0)),""))</f>
        <v/>
      </c>
      <c r="C22" s="12" t="str">
        <f aca="false">IF($A22="","",IFERROR(INDEX(중복검사!$C$4:$C$6003,MATCH("R"&amp;17,중복목록!$L$6:$L$6005,0)),""))</f>
        <v/>
      </c>
      <c r="D22" s="12" t="str">
        <f aca="false">IF($A22="","",IFERROR(INDEX(중복검사!$D$4:$D$6003,MATCH("R"&amp;17,중복목록!$L$6:$L$6005,0)),""))</f>
        <v/>
      </c>
      <c r="E22" s="12" t="str">
        <f aca="false">IF($A22="","",IFERROR(IF(INDEX(원본명단!$E$3:$E$6002,MATCH("R"&amp;17,중복목록!$L$6:$L$6005,0))="","",INDEX(원본명단!$E$3:$E$6002,MATCH("R"&amp;17,중복목록!$L$6:$L$6005,0))),""))</f>
        <v/>
      </c>
      <c r="F22" s="11" t="str">
        <f aca="false">IF($A22="","",IFERROR(MAX(INDEX(중복검사!$E$4:$E$6003,MATCH("R"&amp;17,중복목록!$L$6:$L$6005,0)),INDEX(중복검사!$F$4:$F$6003,MATCH("R"&amp;17,중복목록!$L$6:$L$6005,0)),INDEX(중복검사!$G$4:$G$6003,MATCH("R"&amp;17,중복목록!$L$6:$L$6005,0))),""))</f>
        <v/>
      </c>
      <c r="G22" s="11" t="str">
        <f aca="false">IF($A22="","",IFERROR(INDEX(중복검사!$I$4:$I$6003,MATCH("R"&amp;17,중복목록!$L$6:$L$6005,0)),""))</f>
        <v/>
      </c>
      <c r="H22" s="11" t="str">
        <f aca="false">IF($A22="","",IFERROR(INDEX(중복검사!$J$4:$J$6003,MATCH("R"&amp;17,중복목록!$L$6:$L$6005,0)),""))</f>
        <v/>
      </c>
      <c r="J22" s="14" t="b">
        <f aca="false">IF(중복검사!$A20="",FALSE(),중복검사!$H20="중복")</f>
        <v>0</v>
      </c>
      <c r="K22" s="5" t="str">
        <f aca="false">IF($J22=FALSE(),"",COUNTIF($J$6:$J22,TRUE()))</f>
        <v/>
      </c>
      <c r="L22" s="5" t="str">
        <f aca="false">IF($K22="","","R"&amp;$K22)</f>
        <v/>
      </c>
    </row>
    <row r="23" customFormat="false" ht="15" hidden="false" customHeight="true" outlineLevel="0" collapsed="false">
      <c r="A23" s="11" t="str">
        <f aca="false">IFERROR(INDEX(중복검사!$A$4:$A$6003,MATCH("R"&amp;18,중복목록!$L$6:$L$6005,0)),"")</f>
        <v/>
      </c>
      <c r="B23" s="12" t="str">
        <f aca="false">IF($A23="","",IFERROR(INDEX(중복검사!$B$4:$B$6003,MATCH("R"&amp;18,중복목록!$L$6:$L$6005,0)),""))</f>
        <v/>
      </c>
      <c r="C23" s="12" t="str">
        <f aca="false">IF($A23="","",IFERROR(INDEX(중복검사!$C$4:$C$6003,MATCH("R"&amp;18,중복목록!$L$6:$L$6005,0)),""))</f>
        <v/>
      </c>
      <c r="D23" s="12" t="str">
        <f aca="false">IF($A23="","",IFERROR(INDEX(중복검사!$D$4:$D$6003,MATCH("R"&amp;18,중복목록!$L$6:$L$6005,0)),""))</f>
        <v/>
      </c>
      <c r="E23" s="12" t="str">
        <f aca="false">IF($A23="","",IFERROR(IF(INDEX(원본명단!$E$3:$E$6002,MATCH("R"&amp;18,중복목록!$L$6:$L$6005,0))="","",INDEX(원본명단!$E$3:$E$6002,MATCH("R"&amp;18,중복목록!$L$6:$L$6005,0))),""))</f>
        <v/>
      </c>
      <c r="F23" s="11" t="str">
        <f aca="false">IF($A23="","",IFERROR(MAX(INDEX(중복검사!$E$4:$E$6003,MATCH("R"&amp;18,중복목록!$L$6:$L$6005,0)),INDEX(중복검사!$F$4:$F$6003,MATCH("R"&amp;18,중복목록!$L$6:$L$6005,0)),INDEX(중복검사!$G$4:$G$6003,MATCH("R"&amp;18,중복목록!$L$6:$L$6005,0))),""))</f>
        <v/>
      </c>
      <c r="G23" s="11" t="str">
        <f aca="false">IF($A23="","",IFERROR(INDEX(중복검사!$I$4:$I$6003,MATCH("R"&amp;18,중복목록!$L$6:$L$6005,0)),""))</f>
        <v/>
      </c>
      <c r="H23" s="11" t="str">
        <f aca="false">IF($A23="","",IFERROR(INDEX(중복검사!$J$4:$J$6003,MATCH("R"&amp;18,중복목록!$L$6:$L$6005,0)),""))</f>
        <v/>
      </c>
      <c r="J23" s="14" t="b">
        <f aca="false">IF(중복검사!$A21="",FALSE(),중복검사!$H21="중복")</f>
        <v>0</v>
      </c>
      <c r="K23" s="5" t="str">
        <f aca="false">IF($J23=FALSE(),"",COUNTIF($J$6:$J23,TRUE()))</f>
        <v/>
      </c>
      <c r="L23" s="5" t="str">
        <f aca="false">IF($K23="","","R"&amp;$K23)</f>
        <v/>
      </c>
    </row>
    <row r="24" customFormat="false" ht="15" hidden="false" customHeight="true" outlineLevel="0" collapsed="false">
      <c r="A24" s="11" t="str">
        <f aca="false">IFERROR(INDEX(중복검사!$A$4:$A$6003,MATCH("R"&amp;19,중복목록!$L$6:$L$6005,0)),"")</f>
        <v/>
      </c>
      <c r="B24" s="12" t="str">
        <f aca="false">IF($A24="","",IFERROR(INDEX(중복검사!$B$4:$B$6003,MATCH("R"&amp;19,중복목록!$L$6:$L$6005,0)),""))</f>
        <v/>
      </c>
      <c r="C24" s="12" t="str">
        <f aca="false">IF($A24="","",IFERROR(INDEX(중복검사!$C$4:$C$6003,MATCH("R"&amp;19,중복목록!$L$6:$L$6005,0)),""))</f>
        <v/>
      </c>
      <c r="D24" s="12" t="str">
        <f aca="false">IF($A24="","",IFERROR(INDEX(중복검사!$D$4:$D$6003,MATCH("R"&amp;19,중복목록!$L$6:$L$6005,0)),""))</f>
        <v/>
      </c>
      <c r="E24" s="12" t="str">
        <f aca="false">IF($A24="","",IFERROR(IF(INDEX(원본명단!$E$3:$E$6002,MATCH("R"&amp;19,중복목록!$L$6:$L$6005,0))="","",INDEX(원본명단!$E$3:$E$6002,MATCH("R"&amp;19,중복목록!$L$6:$L$6005,0))),""))</f>
        <v/>
      </c>
      <c r="F24" s="11" t="str">
        <f aca="false">IF($A24="","",IFERROR(MAX(INDEX(중복검사!$E$4:$E$6003,MATCH("R"&amp;19,중복목록!$L$6:$L$6005,0)),INDEX(중복검사!$F$4:$F$6003,MATCH("R"&amp;19,중복목록!$L$6:$L$6005,0)),INDEX(중복검사!$G$4:$G$6003,MATCH("R"&amp;19,중복목록!$L$6:$L$6005,0))),""))</f>
        <v/>
      </c>
      <c r="G24" s="11" t="str">
        <f aca="false">IF($A24="","",IFERROR(INDEX(중복검사!$I$4:$I$6003,MATCH("R"&amp;19,중복목록!$L$6:$L$6005,0)),""))</f>
        <v/>
      </c>
      <c r="H24" s="11" t="str">
        <f aca="false">IF($A24="","",IFERROR(INDEX(중복검사!$J$4:$J$6003,MATCH("R"&amp;19,중복목록!$L$6:$L$6005,0)),""))</f>
        <v/>
      </c>
      <c r="J24" s="14" t="b">
        <f aca="false">IF(중복검사!$A22="",FALSE(),중복검사!$H22="중복")</f>
        <v>0</v>
      </c>
      <c r="K24" s="5" t="str">
        <f aca="false">IF($J24=FALSE(),"",COUNTIF($J$6:$J24,TRUE()))</f>
        <v/>
      </c>
      <c r="L24" s="5" t="str">
        <f aca="false">IF($K24="","","R"&amp;$K24)</f>
        <v/>
      </c>
    </row>
    <row r="25" customFormat="false" ht="15" hidden="false" customHeight="true" outlineLevel="0" collapsed="false">
      <c r="A25" s="11" t="str">
        <f aca="false">IFERROR(INDEX(중복검사!$A$4:$A$6003,MATCH("R"&amp;20,중복목록!$L$6:$L$6005,0)),"")</f>
        <v/>
      </c>
      <c r="B25" s="12" t="str">
        <f aca="false">IF($A25="","",IFERROR(INDEX(중복검사!$B$4:$B$6003,MATCH("R"&amp;20,중복목록!$L$6:$L$6005,0)),""))</f>
        <v/>
      </c>
      <c r="C25" s="12" t="str">
        <f aca="false">IF($A25="","",IFERROR(INDEX(중복검사!$C$4:$C$6003,MATCH("R"&amp;20,중복목록!$L$6:$L$6005,0)),""))</f>
        <v/>
      </c>
      <c r="D25" s="12" t="str">
        <f aca="false">IF($A25="","",IFERROR(INDEX(중복검사!$D$4:$D$6003,MATCH("R"&amp;20,중복목록!$L$6:$L$6005,0)),""))</f>
        <v/>
      </c>
      <c r="E25" s="12" t="str">
        <f aca="false">IF($A25="","",IFERROR(IF(INDEX(원본명단!$E$3:$E$6002,MATCH("R"&amp;20,중복목록!$L$6:$L$6005,0))="","",INDEX(원본명단!$E$3:$E$6002,MATCH("R"&amp;20,중복목록!$L$6:$L$6005,0))),""))</f>
        <v/>
      </c>
      <c r="F25" s="11" t="str">
        <f aca="false">IF($A25="","",IFERROR(MAX(INDEX(중복검사!$E$4:$E$6003,MATCH("R"&amp;20,중복목록!$L$6:$L$6005,0)),INDEX(중복검사!$F$4:$F$6003,MATCH("R"&amp;20,중복목록!$L$6:$L$6005,0)),INDEX(중복검사!$G$4:$G$6003,MATCH("R"&amp;20,중복목록!$L$6:$L$6005,0))),""))</f>
        <v/>
      </c>
      <c r="G25" s="11" t="str">
        <f aca="false">IF($A25="","",IFERROR(INDEX(중복검사!$I$4:$I$6003,MATCH("R"&amp;20,중복목록!$L$6:$L$6005,0)),""))</f>
        <v/>
      </c>
      <c r="H25" s="11" t="str">
        <f aca="false">IF($A25="","",IFERROR(INDEX(중복검사!$J$4:$J$6003,MATCH("R"&amp;20,중복목록!$L$6:$L$6005,0)),""))</f>
        <v/>
      </c>
      <c r="J25" s="14" t="b">
        <f aca="false">IF(중복검사!$A23="",FALSE(),중복검사!$H23="중복")</f>
        <v>0</v>
      </c>
      <c r="K25" s="5" t="str">
        <f aca="false">IF($J25=FALSE(),"",COUNTIF($J$6:$J25,TRUE()))</f>
        <v/>
      </c>
      <c r="L25" s="5" t="str">
        <f aca="false">IF($K25="","","R"&amp;$K25)</f>
        <v/>
      </c>
    </row>
    <row r="26" customFormat="false" ht="15" hidden="false" customHeight="true" outlineLevel="0" collapsed="false">
      <c r="A26" s="11" t="str">
        <f aca="false">IFERROR(INDEX(중복검사!$A$4:$A$6003,MATCH("R"&amp;21,중복목록!$L$6:$L$6005,0)),"")</f>
        <v/>
      </c>
      <c r="B26" s="12" t="str">
        <f aca="false">IF($A26="","",IFERROR(INDEX(중복검사!$B$4:$B$6003,MATCH("R"&amp;21,중복목록!$L$6:$L$6005,0)),""))</f>
        <v/>
      </c>
      <c r="C26" s="12" t="str">
        <f aca="false">IF($A26="","",IFERROR(INDEX(중복검사!$C$4:$C$6003,MATCH("R"&amp;21,중복목록!$L$6:$L$6005,0)),""))</f>
        <v/>
      </c>
      <c r="D26" s="12" t="str">
        <f aca="false">IF($A26="","",IFERROR(INDEX(중복검사!$D$4:$D$6003,MATCH("R"&amp;21,중복목록!$L$6:$L$6005,0)),""))</f>
        <v/>
      </c>
      <c r="E26" s="12" t="str">
        <f aca="false">IF($A26="","",IFERROR(IF(INDEX(원본명단!$E$3:$E$6002,MATCH("R"&amp;21,중복목록!$L$6:$L$6005,0))="","",INDEX(원본명단!$E$3:$E$6002,MATCH("R"&amp;21,중복목록!$L$6:$L$6005,0))),""))</f>
        <v/>
      </c>
      <c r="F26" s="11" t="str">
        <f aca="false">IF($A26="","",IFERROR(MAX(INDEX(중복검사!$E$4:$E$6003,MATCH("R"&amp;21,중복목록!$L$6:$L$6005,0)),INDEX(중복검사!$F$4:$F$6003,MATCH("R"&amp;21,중복목록!$L$6:$L$6005,0)),INDEX(중복검사!$G$4:$G$6003,MATCH("R"&amp;21,중복목록!$L$6:$L$6005,0))),""))</f>
        <v/>
      </c>
      <c r="G26" s="11" t="str">
        <f aca="false">IF($A26="","",IFERROR(INDEX(중복검사!$I$4:$I$6003,MATCH("R"&amp;21,중복목록!$L$6:$L$6005,0)),""))</f>
        <v/>
      </c>
      <c r="H26" s="11" t="str">
        <f aca="false">IF($A26="","",IFERROR(INDEX(중복검사!$J$4:$J$6003,MATCH("R"&amp;21,중복목록!$L$6:$L$6005,0)),""))</f>
        <v/>
      </c>
      <c r="J26" s="14" t="b">
        <f aca="false">IF(중복검사!$A24="",FALSE(),중복검사!$H24="중복")</f>
        <v>0</v>
      </c>
      <c r="K26" s="5" t="str">
        <f aca="false">IF($J26=FALSE(),"",COUNTIF($J$6:$J26,TRUE()))</f>
        <v/>
      </c>
      <c r="L26" s="5" t="str">
        <f aca="false">IF($K26="","","R"&amp;$K26)</f>
        <v/>
      </c>
    </row>
    <row r="27" customFormat="false" ht="15" hidden="false" customHeight="true" outlineLevel="0" collapsed="false">
      <c r="A27" s="11" t="str">
        <f aca="false">IFERROR(INDEX(중복검사!$A$4:$A$6003,MATCH("R"&amp;22,중복목록!$L$6:$L$6005,0)),"")</f>
        <v/>
      </c>
      <c r="B27" s="12" t="str">
        <f aca="false">IF($A27="","",IFERROR(INDEX(중복검사!$B$4:$B$6003,MATCH("R"&amp;22,중복목록!$L$6:$L$6005,0)),""))</f>
        <v/>
      </c>
      <c r="C27" s="12" t="str">
        <f aca="false">IF($A27="","",IFERROR(INDEX(중복검사!$C$4:$C$6003,MATCH("R"&amp;22,중복목록!$L$6:$L$6005,0)),""))</f>
        <v/>
      </c>
      <c r="D27" s="12" t="str">
        <f aca="false">IF($A27="","",IFERROR(INDEX(중복검사!$D$4:$D$6003,MATCH("R"&amp;22,중복목록!$L$6:$L$6005,0)),""))</f>
        <v/>
      </c>
      <c r="E27" s="12" t="str">
        <f aca="false">IF($A27="","",IFERROR(IF(INDEX(원본명단!$E$3:$E$6002,MATCH("R"&amp;22,중복목록!$L$6:$L$6005,0))="","",INDEX(원본명단!$E$3:$E$6002,MATCH("R"&amp;22,중복목록!$L$6:$L$6005,0))),""))</f>
        <v/>
      </c>
      <c r="F27" s="11" t="str">
        <f aca="false">IF($A27="","",IFERROR(MAX(INDEX(중복검사!$E$4:$E$6003,MATCH("R"&amp;22,중복목록!$L$6:$L$6005,0)),INDEX(중복검사!$F$4:$F$6003,MATCH("R"&amp;22,중복목록!$L$6:$L$6005,0)),INDEX(중복검사!$G$4:$G$6003,MATCH("R"&amp;22,중복목록!$L$6:$L$6005,0))),""))</f>
        <v/>
      </c>
      <c r="G27" s="11" t="str">
        <f aca="false">IF($A27="","",IFERROR(INDEX(중복검사!$I$4:$I$6003,MATCH("R"&amp;22,중복목록!$L$6:$L$6005,0)),""))</f>
        <v/>
      </c>
      <c r="H27" s="11" t="str">
        <f aca="false">IF($A27="","",IFERROR(INDEX(중복검사!$J$4:$J$6003,MATCH("R"&amp;22,중복목록!$L$6:$L$6005,0)),""))</f>
        <v/>
      </c>
      <c r="J27" s="14" t="b">
        <f aca="false">IF(중복검사!$A25="",FALSE(),중복검사!$H25="중복")</f>
        <v>0</v>
      </c>
      <c r="K27" s="5" t="str">
        <f aca="false">IF($J27=FALSE(),"",COUNTIF($J$6:$J27,TRUE()))</f>
        <v/>
      </c>
      <c r="L27" s="5" t="str">
        <f aca="false">IF($K27="","","R"&amp;$K27)</f>
        <v/>
      </c>
    </row>
    <row r="28" customFormat="false" ht="15" hidden="false" customHeight="true" outlineLevel="0" collapsed="false">
      <c r="A28" s="11" t="str">
        <f aca="false">IFERROR(INDEX(중복검사!$A$4:$A$6003,MATCH("R"&amp;23,중복목록!$L$6:$L$6005,0)),"")</f>
        <v/>
      </c>
      <c r="B28" s="12" t="str">
        <f aca="false">IF($A28="","",IFERROR(INDEX(중복검사!$B$4:$B$6003,MATCH("R"&amp;23,중복목록!$L$6:$L$6005,0)),""))</f>
        <v/>
      </c>
      <c r="C28" s="12" t="str">
        <f aca="false">IF($A28="","",IFERROR(INDEX(중복검사!$C$4:$C$6003,MATCH("R"&amp;23,중복목록!$L$6:$L$6005,0)),""))</f>
        <v/>
      </c>
      <c r="D28" s="12" t="str">
        <f aca="false">IF($A28="","",IFERROR(INDEX(중복검사!$D$4:$D$6003,MATCH("R"&amp;23,중복목록!$L$6:$L$6005,0)),""))</f>
        <v/>
      </c>
      <c r="E28" s="12" t="str">
        <f aca="false">IF($A28="","",IFERROR(IF(INDEX(원본명단!$E$3:$E$6002,MATCH("R"&amp;23,중복목록!$L$6:$L$6005,0))="","",INDEX(원본명단!$E$3:$E$6002,MATCH("R"&amp;23,중복목록!$L$6:$L$6005,0))),""))</f>
        <v/>
      </c>
      <c r="F28" s="11" t="str">
        <f aca="false">IF($A28="","",IFERROR(MAX(INDEX(중복검사!$E$4:$E$6003,MATCH("R"&amp;23,중복목록!$L$6:$L$6005,0)),INDEX(중복검사!$F$4:$F$6003,MATCH("R"&amp;23,중복목록!$L$6:$L$6005,0)),INDEX(중복검사!$G$4:$G$6003,MATCH("R"&amp;23,중복목록!$L$6:$L$6005,0))),""))</f>
        <v/>
      </c>
      <c r="G28" s="11" t="str">
        <f aca="false">IF($A28="","",IFERROR(INDEX(중복검사!$I$4:$I$6003,MATCH("R"&amp;23,중복목록!$L$6:$L$6005,0)),""))</f>
        <v/>
      </c>
      <c r="H28" s="11" t="str">
        <f aca="false">IF($A28="","",IFERROR(INDEX(중복검사!$J$4:$J$6003,MATCH("R"&amp;23,중복목록!$L$6:$L$6005,0)),""))</f>
        <v/>
      </c>
      <c r="J28" s="14" t="b">
        <f aca="false">IF(중복검사!$A26="",FALSE(),중복검사!$H26="중복")</f>
        <v>0</v>
      </c>
      <c r="K28" s="5" t="str">
        <f aca="false">IF($J28=FALSE(),"",COUNTIF($J$6:$J28,TRUE()))</f>
        <v/>
      </c>
      <c r="L28" s="5" t="str">
        <f aca="false">IF($K28="","","R"&amp;$K28)</f>
        <v/>
      </c>
    </row>
    <row r="29" customFormat="false" ht="15" hidden="false" customHeight="true" outlineLevel="0" collapsed="false">
      <c r="A29" s="11" t="str">
        <f aca="false">IFERROR(INDEX(중복검사!$A$4:$A$6003,MATCH("R"&amp;24,중복목록!$L$6:$L$6005,0)),"")</f>
        <v/>
      </c>
      <c r="B29" s="12" t="str">
        <f aca="false">IF($A29="","",IFERROR(INDEX(중복검사!$B$4:$B$6003,MATCH("R"&amp;24,중복목록!$L$6:$L$6005,0)),""))</f>
        <v/>
      </c>
      <c r="C29" s="12" t="str">
        <f aca="false">IF($A29="","",IFERROR(INDEX(중복검사!$C$4:$C$6003,MATCH("R"&amp;24,중복목록!$L$6:$L$6005,0)),""))</f>
        <v/>
      </c>
      <c r="D29" s="12" t="str">
        <f aca="false">IF($A29="","",IFERROR(INDEX(중복검사!$D$4:$D$6003,MATCH("R"&amp;24,중복목록!$L$6:$L$6005,0)),""))</f>
        <v/>
      </c>
      <c r="E29" s="12" t="str">
        <f aca="false">IF($A29="","",IFERROR(IF(INDEX(원본명단!$E$3:$E$6002,MATCH("R"&amp;24,중복목록!$L$6:$L$6005,0))="","",INDEX(원본명단!$E$3:$E$6002,MATCH("R"&amp;24,중복목록!$L$6:$L$6005,0))),""))</f>
        <v/>
      </c>
      <c r="F29" s="11" t="str">
        <f aca="false">IF($A29="","",IFERROR(MAX(INDEX(중복검사!$E$4:$E$6003,MATCH("R"&amp;24,중복목록!$L$6:$L$6005,0)),INDEX(중복검사!$F$4:$F$6003,MATCH("R"&amp;24,중복목록!$L$6:$L$6005,0)),INDEX(중복검사!$G$4:$G$6003,MATCH("R"&amp;24,중복목록!$L$6:$L$6005,0))),""))</f>
        <v/>
      </c>
      <c r="G29" s="11" t="str">
        <f aca="false">IF($A29="","",IFERROR(INDEX(중복검사!$I$4:$I$6003,MATCH("R"&amp;24,중복목록!$L$6:$L$6005,0)),""))</f>
        <v/>
      </c>
      <c r="H29" s="11" t="str">
        <f aca="false">IF($A29="","",IFERROR(INDEX(중복검사!$J$4:$J$6003,MATCH("R"&amp;24,중복목록!$L$6:$L$6005,0)),""))</f>
        <v/>
      </c>
      <c r="J29" s="14" t="b">
        <f aca="false">IF(중복검사!$A27="",FALSE(),중복검사!$H27="중복")</f>
        <v>0</v>
      </c>
      <c r="K29" s="5" t="str">
        <f aca="false">IF($J29=FALSE(),"",COUNTIF($J$6:$J29,TRUE()))</f>
        <v/>
      </c>
      <c r="L29" s="5" t="str">
        <f aca="false">IF($K29="","","R"&amp;$K29)</f>
        <v/>
      </c>
    </row>
    <row r="30" customFormat="false" ht="15" hidden="false" customHeight="true" outlineLevel="0" collapsed="false">
      <c r="A30" s="11" t="str">
        <f aca="false">IFERROR(INDEX(중복검사!$A$4:$A$6003,MATCH("R"&amp;25,중복목록!$L$6:$L$6005,0)),"")</f>
        <v/>
      </c>
      <c r="B30" s="12" t="str">
        <f aca="false">IF($A30="","",IFERROR(INDEX(중복검사!$B$4:$B$6003,MATCH("R"&amp;25,중복목록!$L$6:$L$6005,0)),""))</f>
        <v/>
      </c>
      <c r="C30" s="12" t="str">
        <f aca="false">IF($A30="","",IFERROR(INDEX(중복검사!$C$4:$C$6003,MATCH("R"&amp;25,중복목록!$L$6:$L$6005,0)),""))</f>
        <v/>
      </c>
      <c r="D30" s="12" t="str">
        <f aca="false">IF($A30="","",IFERROR(INDEX(중복검사!$D$4:$D$6003,MATCH("R"&amp;25,중복목록!$L$6:$L$6005,0)),""))</f>
        <v/>
      </c>
      <c r="E30" s="12" t="str">
        <f aca="false">IF($A30="","",IFERROR(IF(INDEX(원본명단!$E$3:$E$6002,MATCH("R"&amp;25,중복목록!$L$6:$L$6005,0))="","",INDEX(원본명단!$E$3:$E$6002,MATCH("R"&amp;25,중복목록!$L$6:$L$6005,0))),""))</f>
        <v/>
      </c>
      <c r="F30" s="11" t="str">
        <f aca="false">IF($A30="","",IFERROR(MAX(INDEX(중복검사!$E$4:$E$6003,MATCH("R"&amp;25,중복목록!$L$6:$L$6005,0)),INDEX(중복검사!$F$4:$F$6003,MATCH("R"&amp;25,중복목록!$L$6:$L$6005,0)),INDEX(중복검사!$G$4:$G$6003,MATCH("R"&amp;25,중복목록!$L$6:$L$6005,0))),""))</f>
        <v/>
      </c>
      <c r="G30" s="11" t="str">
        <f aca="false">IF($A30="","",IFERROR(INDEX(중복검사!$I$4:$I$6003,MATCH("R"&amp;25,중복목록!$L$6:$L$6005,0)),""))</f>
        <v/>
      </c>
      <c r="H30" s="11" t="str">
        <f aca="false">IF($A30="","",IFERROR(INDEX(중복검사!$J$4:$J$6003,MATCH("R"&amp;25,중복목록!$L$6:$L$6005,0)),""))</f>
        <v/>
      </c>
      <c r="J30" s="14" t="b">
        <f aca="false">IF(중복검사!$A28="",FALSE(),중복검사!$H28="중복")</f>
        <v>0</v>
      </c>
      <c r="K30" s="5" t="str">
        <f aca="false">IF($J30=FALSE(),"",COUNTIF($J$6:$J30,TRUE()))</f>
        <v/>
      </c>
      <c r="L30" s="5" t="str">
        <f aca="false">IF($K30="","","R"&amp;$K30)</f>
        <v/>
      </c>
    </row>
    <row r="31" customFormat="false" ht="15" hidden="false" customHeight="true" outlineLevel="0" collapsed="false">
      <c r="A31" s="11" t="str">
        <f aca="false">IFERROR(INDEX(중복검사!$A$4:$A$6003,MATCH("R"&amp;26,중복목록!$L$6:$L$6005,0)),"")</f>
        <v/>
      </c>
      <c r="B31" s="12" t="str">
        <f aca="false">IF($A31="","",IFERROR(INDEX(중복검사!$B$4:$B$6003,MATCH("R"&amp;26,중복목록!$L$6:$L$6005,0)),""))</f>
        <v/>
      </c>
      <c r="C31" s="12" t="str">
        <f aca="false">IF($A31="","",IFERROR(INDEX(중복검사!$C$4:$C$6003,MATCH("R"&amp;26,중복목록!$L$6:$L$6005,0)),""))</f>
        <v/>
      </c>
      <c r="D31" s="12" t="str">
        <f aca="false">IF($A31="","",IFERROR(INDEX(중복검사!$D$4:$D$6003,MATCH("R"&amp;26,중복목록!$L$6:$L$6005,0)),""))</f>
        <v/>
      </c>
      <c r="E31" s="12" t="str">
        <f aca="false">IF($A31="","",IFERROR(IF(INDEX(원본명단!$E$3:$E$6002,MATCH("R"&amp;26,중복목록!$L$6:$L$6005,0))="","",INDEX(원본명단!$E$3:$E$6002,MATCH("R"&amp;26,중복목록!$L$6:$L$6005,0))),""))</f>
        <v/>
      </c>
      <c r="F31" s="11" t="str">
        <f aca="false">IF($A31="","",IFERROR(MAX(INDEX(중복검사!$E$4:$E$6003,MATCH("R"&amp;26,중복목록!$L$6:$L$6005,0)),INDEX(중복검사!$F$4:$F$6003,MATCH("R"&amp;26,중복목록!$L$6:$L$6005,0)),INDEX(중복검사!$G$4:$G$6003,MATCH("R"&amp;26,중복목록!$L$6:$L$6005,0))),""))</f>
        <v/>
      </c>
      <c r="G31" s="11" t="str">
        <f aca="false">IF($A31="","",IFERROR(INDEX(중복검사!$I$4:$I$6003,MATCH("R"&amp;26,중복목록!$L$6:$L$6005,0)),""))</f>
        <v/>
      </c>
      <c r="H31" s="11" t="str">
        <f aca="false">IF($A31="","",IFERROR(INDEX(중복검사!$J$4:$J$6003,MATCH("R"&amp;26,중복목록!$L$6:$L$6005,0)),""))</f>
        <v/>
      </c>
      <c r="J31" s="14" t="b">
        <f aca="false">IF(중복검사!$A29="",FALSE(),중복검사!$H29="중복")</f>
        <v>0</v>
      </c>
      <c r="K31" s="5" t="str">
        <f aca="false">IF($J31=FALSE(),"",COUNTIF($J$6:$J31,TRUE()))</f>
        <v/>
      </c>
      <c r="L31" s="5" t="str">
        <f aca="false">IF($K31="","","R"&amp;$K31)</f>
        <v/>
      </c>
    </row>
    <row r="32" customFormat="false" ht="15" hidden="false" customHeight="true" outlineLevel="0" collapsed="false">
      <c r="A32" s="11" t="str">
        <f aca="false">IFERROR(INDEX(중복검사!$A$4:$A$6003,MATCH("R"&amp;27,중복목록!$L$6:$L$6005,0)),"")</f>
        <v/>
      </c>
      <c r="B32" s="12" t="str">
        <f aca="false">IF($A32="","",IFERROR(INDEX(중복검사!$B$4:$B$6003,MATCH("R"&amp;27,중복목록!$L$6:$L$6005,0)),""))</f>
        <v/>
      </c>
      <c r="C32" s="12" t="str">
        <f aca="false">IF($A32="","",IFERROR(INDEX(중복검사!$C$4:$C$6003,MATCH("R"&amp;27,중복목록!$L$6:$L$6005,0)),""))</f>
        <v/>
      </c>
      <c r="D32" s="12" t="str">
        <f aca="false">IF($A32="","",IFERROR(INDEX(중복검사!$D$4:$D$6003,MATCH("R"&amp;27,중복목록!$L$6:$L$6005,0)),""))</f>
        <v/>
      </c>
      <c r="E32" s="12" t="str">
        <f aca="false">IF($A32="","",IFERROR(IF(INDEX(원본명단!$E$3:$E$6002,MATCH("R"&amp;27,중복목록!$L$6:$L$6005,0))="","",INDEX(원본명단!$E$3:$E$6002,MATCH("R"&amp;27,중복목록!$L$6:$L$6005,0))),""))</f>
        <v/>
      </c>
      <c r="F32" s="11" t="str">
        <f aca="false">IF($A32="","",IFERROR(MAX(INDEX(중복검사!$E$4:$E$6003,MATCH("R"&amp;27,중복목록!$L$6:$L$6005,0)),INDEX(중복검사!$F$4:$F$6003,MATCH("R"&amp;27,중복목록!$L$6:$L$6005,0)),INDEX(중복검사!$G$4:$G$6003,MATCH("R"&amp;27,중복목록!$L$6:$L$6005,0))),""))</f>
        <v/>
      </c>
      <c r="G32" s="11" t="str">
        <f aca="false">IF($A32="","",IFERROR(INDEX(중복검사!$I$4:$I$6003,MATCH("R"&amp;27,중복목록!$L$6:$L$6005,0)),""))</f>
        <v/>
      </c>
      <c r="H32" s="11" t="str">
        <f aca="false">IF($A32="","",IFERROR(INDEX(중복검사!$J$4:$J$6003,MATCH("R"&amp;27,중복목록!$L$6:$L$6005,0)),""))</f>
        <v/>
      </c>
      <c r="J32" s="14" t="b">
        <f aca="false">IF(중복검사!$A30="",FALSE(),중복검사!$H30="중복")</f>
        <v>0</v>
      </c>
      <c r="K32" s="5" t="str">
        <f aca="false">IF($J32=FALSE(),"",COUNTIF($J$6:$J32,TRUE()))</f>
        <v/>
      </c>
      <c r="L32" s="5" t="str">
        <f aca="false">IF($K32="","","R"&amp;$K32)</f>
        <v/>
      </c>
    </row>
    <row r="33" customFormat="false" ht="15" hidden="false" customHeight="true" outlineLevel="0" collapsed="false">
      <c r="A33" s="11" t="str">
        <f aca="false">IFERROR(INDEX(중복검사!$A$4:$A$6003,MATCH("R"&amp;28,중복목록!$L$6:$L$6005,0)),"")</f>
        <v/>
      </c>
      <c r="B33" s="12" t="str">
        <f aca="false">IF($A33="","",IFERROR(INDEX(중복검사!$B$4:$B$6003,MATCH("R"&amp;28,중복목록!$L$6:$L$6005,0)),""))</f>
        <v/>
      </c>
      <c r="C33" s="12" t="str">
        <f aca="false">IF($A33="","",IFERROR(INDEX(중복검사!$C$4:$C$6003,MATCH("R"&amp;28,중복목록!$L$6:$L$6005,0)),""))</f>
        <v/>
      </c>
      <c r="D33" s="12" t="str">
        <f aca="false">IF($A33="","",IFERROR(INDEX(중복검사!$D$4:$D$6003,MATCH("R"&amp;28,중복목록!$L$6:$L$6005,0)),""))</f>
        <v/>
      </c>
      <c r="E33" s="12" t="str">
        <f aca="false">IF($A33="","",IFERROR(IF(INDEX(원본명단!$E$3:$E$6002,MATCH("R"&amp;28,중복목록!$L$6:$L$6005,0))="","",INDEX(원본명단!$E$3:$E$6002,MATCH("R"&amp;28,중복목록!$L$6:$L$6005,0))),""))</f>
        <v/>
      </c>
      <c r="F33" s="11" t="str">
        <f aca="false">IF($A33="","",IFERROR(MAX(INDEX(중복검사!$E$4:$E$6003,MATCH("R"&amp;28,중복목록!$L$6:$L$6005,0)),INDEX(중복검사!$F$4:$F$6003,MATCH("R"&amp;28,중복목록!$L$6:$L$6005,0)),INDEX(중복검사!$G$4:$G$6003,MATCH("R"&amp;28,중복목록!$L$6:$L$6005,0))),""))</f>
        <v/>
      </c>
      <c r="G33" s="11" t="str">
        <f aca="false">IF($A33="","",IFERROR(INDEX(중복검사!$I$4:$I$6003,MATCH("R"&amp;28,중복목록!$L$6:$L$6005,0)),""))</f>
        <v/>
      </c>
      <c r="H33" s="11" t="str">
        <f aca="false">IF($A33="","",IFERROR(INDEX(중복검사!$J$4:$J$6003,MATCH("R"&amp;28,중복목록!$L$6:$L$6005,0)),""))</f>
        <v/>
      </c>
      <c r="J33" s="14" t="b">
        <f aca="false">IF(중복검사!$A31="",FALSE(),중복검사!$H31="중복")</f>
        <v>0</v>
      </c>
      <c r="K33" s="5" t="str">
        <f aca="false">IF($J33=FALSE(),"",COUNTIF($J$6:$J33,TRUE()))</f>
        <v/>
      </c>
      <c r="L33" s="5" t="str">
        <f aca="false">IF($K33="","","R"&amp;$K33)</f>
        <v/>
      </c>
    </row>
    <row r="34" customFormat="false" ht="15" hidden="false" customHeight="true" outlineLevel="0" collapsed="false">
      <c r="A34" s="11" t="str">
        <f aca="false">IFERROR(INDEX(중복검사!$A$4:$A$6003,MATCH("R"&amp;29,중복목록!$L$6:$L$6005,0)),"")</f>
        <v/>
      </c>
      <c r="B34" s="12" t="str">
        <f aca="false">IF($A34="","",IFERROR(INDEX(중복검사!$B$4:$B$6003,MATCH("R"&amp;29,중복목록!$L$6:$L$6005,0)),""))</f>
        <v/>
      </c>
      <c r="C34" s="12" t="str">
        <f aca="false">IF($A34="","",IFERROR(INDEX(중복검사!$C$4:$C$6003,MATCH("R"&amp;29,중복목록!$L$6:$L$6005,0)),""))</f>
        <v/>
      </c>
      <c r="D34" s="12" t="str">
        <f aca="false">IF($A34="","",IFERROR(INDEX(중복검사!$D$4:$D$6003,MATCH("R"&amp;29,중복목록!$L$6:$L$6005,0)),""))</f>
        <v/>
      </c>
      <c r="E34" s="12" t="str">
        <f aca="false">IF($A34="","",IFERROR(IF(INDEX(원본명단!$E$3:$E$6002,MATCH("R"&amp;29,중복목록!$L$6:$L$6005,0))="","",INDEX(원본명단!$E$3:$E$6002,MATCH("R"&amp;29,중복목록!$L$6:$L$6005,0))),""))</f>
        <v/>
      </c>
      <c r="F34" s="11" t="str">
        <f aca="false">IF($A34="","",IFERROR(MAX(INDEX(중복검사!$E$4:$E$6003,MATCH("R"&amp;29,중복목록!$L$6:$L$6005,0)),INDEX(중복검사!$F$4:$F$6003,MATCH("R"&amp;29,중복목록!$L$6:$L$6005,0)),INDEX(중복검사!$G$4:$G$6003,MATCH("R"&amp;29,중복목록!$L$6:$L$6005,0))),""))</f>
        <v/>
      </c>
      <c r="G34" s="11" t="str">
        <f aca="false">IF($A34="","",IFERROR(INDEX(중복검사!$I$4:$I$6003,MATCH("R"&amp;29,중복목록!$L$6:$L$6005,0)),""))</f>
        <v/>
      </c>
      <c r="H34" s="11" t="str">
        <f aca="false">IF($A34="","",IFERROR(INDEX(중복검사!$J$4:$J$6003,MATCH("R"&amp;29,중복목록!$L$6:$L$6005,0)),""))</f>
        <v/>
      </c>
      <c r="J34" s="14" t="b">
        <f aca="false">IF(중복검사!$A32="",FALSE(),중복검사!$H32="중복")</f>
        <v>0</v>
      </c>
      <c r="K34" s="5" t="str">
        <f aca="false">IF($J34=FALSE(),"",COUNTIF($J$6:$J34,TRUE()))</f>
        <v/>
      </c>
      <c r="L34" s="5" t="str">
        <f aca="false">IF($K34="","","R"&amp;$K34)</f>
        <v/>
      </c>
    </row>
    <row r="35" customFormat="false" ht="15" hidden="false" customHeight="true" outlineLevel="0" collapsed="false">
      <c r="A35" s="11" t="str">
        <f aca="false">IFERROR(INDEX(중복검사!$A$4:$A$6003,MATCH("R"&amp;30,중복목록!$L$6:$L$6005,0)),"")</f>
        <v/>
      </c>
      <c r="B35" s="12" t="str">
        <f aca="false">IF($A35="","",IFERROR(INDEX(중복검사!$B$4:$B$6003,MATCH("R"&amp;30,중복목록!$L$6:$L$6005,0)),""))</f>
        <v/>
      </c>
      <c r="C35" s="12" t="str">
        <f aca="false">IF($A35="","",IFERROR(INDEX(중복검사!$C$4:$C$6003,MATCH("R"&amp;30,중복목록!$L$6:$L$6005,0)),""))</f>
        <v/>
      </c>
      <c r="D35" s="12" t="str">
        <f aca="false">IF($A35="","",IFERROR(INDEX(중복검사!$D$4:$D$6003,MATCH("R"&amp;30,중복목록!$L$6:$L$6005,0)),""))</f>
        <v/>
      </c>
      <c r="E35" s="12" t="str">
        <f aca="false">IF($A35="","",IFERROR(IF(INDEX(원본명단!$E$3:$E$6002,MATCH("R"&amp;30,중복목록!$L$6:$L$6005,0))="","",INDEX(원본명단!$E$3:$E$6002,MATCH("R"&amp;30,중복목록!$L$6:$L$6005,0))),""))</f>
        <v/>
      </c>
      <c r="F35" s="11" t="str">
        <f aca="false">IF($A35="","",IFERROR(MAX(INDEX(중복검사!$E$4:$E$6003,MATCH("R"&amp;30,중복목록!$L$6:$L$6005,0)),INDEX(중복검사!$F$4:$F$6003,MATCH("R"&amp;30,중복목록!$L$6:$L$6005,0)),INDEX(중복검사!$G$4:$G$6003,MATCH("R"&amp;30,중복목록!$L$6:$L$6005,0))),""))</f>
        <v/>
      </c>
      <c r="G35" s="11" t="str">
        <f aca="false">IF($A35="","",IFERROR(INDEX(중복검사!$I$4:$I$6003,MATCH("R"&amp;30,중복목록!$L$6:$L$6005,0)),""))</f>
        <v/>
      </c>
      <c r="H35" s="11" t="str">
        <f aca="false">IF($A35="","",IFERROR(INDEX(중복검사!$J$4:$J$6003,MATCH("R"&amp;30,중복목록!$L$6:$L$6005,0)),""))</f>
        <v/>
      </c>
      <c r="J35" s="14" t="b">
        <f aca="false">IF(중복검사!$A33="",FALSE(),중복검사!$H33="중복")</f>
        <v>0</v>
      </c>
      <c r="K35" s="5" t="str">
        <f aca="false">IF($J35=FALSE(),"",COUNTIF($J$6:$J35,TRUE()))</f>
        <v/>
      </c>
      <c r="L35" s="5" t="str">
        <f aca="false">IF($K35="","","R"&amp;$K35)</f>
        <v/>
      </c>
    </row>
    <row r="36" customFormat="false" ht="15" hidden="false" customHeight="true" outlineLevel="0" collapsed="false">
      <c r="A36" s="11" t="str">
        <f aca="false">IFERROR(INDEX(중복검사!$A$4:$A$6003,MATCH("R"&amp;31,중복목록!$L$6:$L$6005,0)),"")</f>
        <v/>
      </c>
      <c r="B36" s="12" t="str">
        <f aca="false">IF($A36="","",IFERROR(INDEX(중복검사!$B$4:$B$6003,MATCH("R"&amp;31,중복목록!$L$6:$L$6005,0)),""))</f>
        <v/>
      </c>
      <c r="C36" s="12" t="str">
        <f aca="false">IF($A36="","",IFERROR(INDEX(중복검사!$C$4:$C$6003,MATCH("R"&amp;31,중복목록!$L$6:$L$6005,0)),""))</f>
        <v/>
      </c>
      <c r="D36" s="12" t="str">
        <f aca="false">IF($A36="","",IFERROR(INDEX(중복검사!$D$4:$D$6003,MATCH("R"&amp;31,중복목록!$L$6:$L$6005,0)),""))</f>
        <v/>
      </c>
      <c r="E36" s="12" t="str">
        <f aca="false">IF($A36="","",IFERROR(IF(INDEX(원본명단!$E$3:$E$6002,MATCH("R"&amp;31,중복목록!$L$6:$L$6005,0))="","",INDEX(원본명단!$E$3:$E$6002,MATCH("R"&amp;31,중복목록!$L$6:$L$6005,0))),""))</f>
        <v/>
      </c>
      <c r="F36" s="11" t="str">
        <f aca="false">IF($A36="","",IFERROR(MAX(INDEX(중복검사!$E$4:$E$6003,MATCH("R"&amp;31,중복목록!$L$6:$L$6005,0)),INDEX(중복검사!$F$4:$F$6003,MATCH("R"&amp;31,중복목록!$L$6:$L$6005,0)),INDEX(중복검사!$G$4:$G$6003,MATCH("R"&amp;31,중복목록!$L$6:$L$6005,0))),""))</f>
        <v/>
      </c>
      <c r="G36" s="11" t="str">
        <f aca="false">IF($A36="","",IFERROR(INDEX(중복검사!$I$4:$I$6003,MATCH("R"&amp;31,중복목록!$L$6:$L$6005,0)),""))</f>
        <v/>
      </c>
      <c r="H36" s="11" t="str">
        <f aca="false">IF($A36="","",IFERROR(INDEX(중복검사!$J$4:$J$6003,MATCH("R"&amp;31,중복목록!$L$6:$L$6005,0)),""))</f>
        <v/>
      </c>
      <c r="J36" s="14" t="b">
        <f aca="false">IF(중복검사!$A34="",FALSE(),중복검사!$H34="중복")</f>
        <v>0</v>
      </c>
      <c r="K36" s="5" t="str">
        <f aca="false">IF($J36=FALSE(),"",COUNTIF($J$6:$J36,TRUE()))</f>
        <v/>
      </c>
      <c r="L36" s="5" t="str">
        <f aca="false">IF($K36="","","R"&amp;$K36)</f>
        <v/>
      </c>
    </row>
    <row r="37" customFormat="false" ht="15" hidden="false" customHeight="true" outlineLevel="0" collapsed="false">
      <c r="A37" s="11" t="str">
        <f aca="false">IFERROR(INDEX(중복검사!$A$4:$A$6003,MATCH("R"&amp;32,중복목록!$L$6:$L$6005,0)),"")</f>
        <v/>
      </c>
      <c r="B37" s="12" t="str">
        <f aca="false">IF($A37="","",IFERROR(INDEX(중복검사!$B$4:$B$6003,MATCH("R"&amp;32,중복목록!$L$6:$L$6005,0)),""))</f>
        <v/>
      </c>
      <c r="C37" s="12" t="str">
        <f aca="false">IF($A37="","",IFERROR(INDEX(중복검사!$C$4:$C$6003,MATCH("R"&amp;32,중복목록!$L$6:$L$6005,0)),""))</f>
        <v/>
      </c>
      <c r="D37" s="12" t="str">
        <f aca="false">IF($A37="","",IFERROR(INDEX(중복검사!$D$4:$D$6003,MATCH("R"&amp;32,중복목록!$L$6:$L$6005,0)),""))</f>
        <v/>
      </c>
      <c r="E37" s="12" t="str">
        <f aca="false">IF($A37="","",IFERROR(IF(INDEX(원본명단!$E$3:$E$6002,MATCH("R"&amp;32,중복목록!$L$6:$L$6005,0))="","",INDEX(원본명단!$E$3:$E$6002,MATCH("R"&amp;32,중복목록!$L$6:$L$6005,0))),""))</f>
        <v/>
      </c>
      <c r="F37" s="11" t="str">
        <f aca="false">IF($A37="","",IFERROR(MAX(INDEX(중복검사!$E$4:$E$6003,MATCH("R"&amp;32,중복목록!$L$6:$L$6005,0)),INDEX(중복검사!$F$4:$F$6003,MATCH("R"&amp;32,중복목록!$L$6:$L$6005,0)),INDEX(중복검사!$G$4:$G$6003,MATCH("R"&amp;32,중복목록!$L$6:$L$6005,0))),""))</f>
        <v/>
      </c>
      <c r="G37" s="11" t="str">
        <f aca="false">IF($A37="","",IFERROR(INDEX(중복검사!$I$4:$I$6003,MATCH("R"&amp;32,중복목록!$L$6:$L$6005,0)),""))</f>
        <v/>
      </c>
      <c r="H37" s="11" t="str">
        <f aca="false">IF($A37="","",IFERROR(INDEX(중복검사!$J$4:$J$6003,MATCH("R"&amp;32,중복목록!$L$6:$L$6005,0)),""))</f>
        <v/>
      </c>
      <c r="J37" s="14" t="b">
        <f aca="false">IF(중복검사!$A35="",FALSE(),중복검사!$H35="중복")</f>
        <v>0</v>
      </c>
      <c r="K37" s="5" t="str">
        <f aca="false">IF($J37=FALSE(),"",COUNTIF($J$6:$J37,TRUE()))</f>
        <v/>
      </c>
      <c r="L37" s="5" t="str">
        <f aca="false">IF($K37="","","R"&amp;$K37)</f>
        <v/>
      </c>
    </row>
    <row r="38" customFormat="false" ht="15" hidden="false" customHeight="true" outlineLevel="0" collapsed="false">
      <c r="A38" s="11" t="str">
        <f aca="false">IFERROR(INDEX(중복검사!$A$4:$A$6003,MATCH("R"&amp;33,중복목록!$L$6:$L$6005,0)),"")</f>
        <v/>
      </c>
      <c r="B38" s="12" t="str">
        <f aca="false">IF($A38="","",IFERROR(INDEX(중복검사!$B$4:$B$6003,MATCH("R"&amp;33,중복목록!$L$6:$L$6005,0)),""))</f>
        <v/>
      </c>
      <c r="C38" s="12" t="str">
        <f aca="false">IF($A38="","",IFERROR(INDEX(중복검사!$C$4:$C$6003,MATCH("R"&amp;33,중복목록!$L$6:$L$6005,0)),""))</f>
        <v/>
      </c>
      <c r="D38" s="12" t="str">
        <f aca="false">IF($A38="","",IFERROR(INDEX(중복검사!$D$4:$D$6003,MATCH("R"&amp;33,중복목록!$L$6:$L$6005,0)),""))</f>
        <v/>
      </c>
      <c r="E38" s="12" t="str">
        <f aca="false">IF($A38="","",IFERROR(IF(INDEX(원본명단!$E$3:$E$6002,MATCH("R"&amp;33,중복목록!$L$6:$L$6005,0))="","",INDEX(원본명단!$E$3:$E$6002,MATCH("R"&amp;33,중복목록!$L$6:$L$6005,0))),""))</f>
        <v/>
      </c>
      <c r="F38" s="11" t="str">
        <f aca="false">IF($A38="","",IFERROR(MAX(INDEX(중복검사!$E$4:$E$6003,MATCH("R"&amp;33,중복목록!$L$6:$L$6005,0)),INDEX(중복검사!$F$4:$F$6003,MATCH("R"&amp;33,중복목록!$L$6:$L$6005,0)),INDEX(중복검사!$G$4:$G$6003,MATCH("R"&amp;33,중복목록!$L$6:$L$6005,0))),""))</f>
        <v/>
      </c>
      <c r="G38" s="11" t="str">
        <f aca="false">IF($A38="","",IFERROR(INDEX(중복검사!$I$4:$I$6003,MATCH("R"&amp;33,중복목록!$L$6:$L$6005,0)),""))</f>
        <v/>
      </c>
      <c r="H38" s="11" t="str">
        <f aca="false">IF($A38="","",IFERROR(INDEX(중복검사!$J$4:$J$6003,MATCH("R"&amp;33,중복목록!$L$6:$L$6005,0)),""))</f>
        <v/>
      </c>
      <c r="J38" s="14" t="b">
        <f aca="false">IF(중복검사!$A36="",FALSE(),중복검사!$H36="중복")</f>
        <v>0</v>
      </c>
      <c r="K38" s="5" t="str">
        <f aca="false">IF($J38=FALSE(),"",COUNTIF($J$6:$J38,TRUE()))</f>
        <v/>
      </c>
      <c r="L38" s="5" t="str">
        <f aca="false">IF($K38="","","R"&amp;$K38)</f>
        <v/>
      </c>
    </row>
    <row r="39" customFormat="false" ht="15" hidden="false" customHeight="true" outlineLevel="0" collapsed="false">
      <c r="A39" s="11" t="str">
        <f aca="false">IFERROR(INDEX(중복검사!$A$4:$A$6003,MATCH("R"&amp;34,중복목록!$L$6:$L$6005,0)),"")</f>
        <v/>
      </c>
      <c r="B39" s="12" t="str">
        <f aca="false">IF($A39="","",IFERROR(INDEX(중복검사!$B$4:$B$6003,MATCH("R"&amp;34,중복목록!$L$6:$L$6005,0)),""))</f>
        <v/>
      </c>
      <c r="C39" s="12" t="str">
        <f aca="false">IF($A39="","",IFERROR(INDEX(중복검사!$C$4:$C$6003,MATCH("R"&amp;34,중복목록!$L$6:$L$6005,0)),""))</f>
        <v/>
      </c>
      <c r="D39" s="12" t="str">
        <f aca="false">IF($A39="","",IFERROR(INDEX(중복검사!$D$4:$D$6003,MATCH("R"&amp;34,중복목록!$L$6:$L$6005,0)),""))</f>
        <v/>
      </c>
      <c r="E39" s="12" t="str">
        <f aca="false">IF($A39="","",IFERROR(IF(INDEX(원본명단!$E$3:$E$6002,MATCH("R"&amp;34,중복목록!$L$6:$L$6005,0))="","",INDEX(원본명단!$E$3:$E$6002,MATCH("R"&amp;34,중복목록!$L$6:$L$6005,0))),""))</f>
        <v/>
      </c>
      <c r="F39" s="11" t="str">
        <f aca="false">IF($A39="","",IFERROR(MAX(INDEX(중복검사!$E$4:$E$6003,MATCH("R"&amp;34,중복목록!$L$6:$L$6005,0)),INDEX(중복검사!$F$4:$F$6003,MATCH("R"&amp;34,중복목록!$L$6:$L$6005,0)),INDEX(중복검사!$G$4:$G$6003,MATCH("R"&amp;34,중복목록!$L$6:$L$6005,0))),""))</f>
        <v/>
      </c>
      <c r="G39" s="11" t="str">
        <f aca="false">IF($A39="","",IFERROR(INDEX(중복검사!$I$4:$I$6003,MATCH("R"&amp;34,중복목록!$L$6:$L$6005,0)),""))</f>
        <v/>
      </c>
      <c r="H39" s="11" t="str">
        <f aca="false">IF($A39="","",IFERROR(INDEX(중복검사!$J$4:$J$6003,MATCH("R"&amp;34,중복목록!$L$6:$L$6005,0)),""))</f>
        <v/>
      </c>
      <c r="J39" s="14" t="b">
        <f aca="false">IF(중복검사!$A37="",FALSE(),중복검사!$H37="중복")</f>
        <v>0</v>
      </c>
      <c r="K39" s="5" t="str">
        <f aca="false">IF($J39=FALSE(),"",COUNTIF($J$6:$J39,TRUE()))</f>
        <v/>
      </c>
      <c r="L39" s="5" t="str">
        <f aca="false">IF($K39="","","R"&amp;$K39)</f>
        <v/>
      </c>
    </row>
    <row r="40" customFormat="false" ht="15" hidden="false" customHeight="true" outlineLevel="0" collapsed="false">
      <c r="A40" s="11" t="str">
        <f aca="false">IFERROR(INDEX(중복검사!$A$4:$A$6003,MATCH("R"&amp;35,중복목록!$L$6:$L$6005,0)),"")</f>
        <v/>
      </c>
      <c r="B40" s="12" t="str">
        <f aca="false">IF($A40="","",IFERROR(INDEX(중복검사!$B$4:$B$6003,MATCH("R"&amp;35,중복목록!$L$6:$L$6005,0)),""))</f>
        <v/>
      </c>
      <c r="C40" s="12" t="str">
        <f aca="false">IF($A40="","",IFERROR(INDEX(중복검사!$C$4:$C$6003,MATCH("R"&amp;35,중복목록!$L$6:$L$6005,0)),""))</f>
        <v/>
      </c>
      <c r="D40" s="12" t="str">
        <f aca="false">IF($A40="","",IFERROR(INDEX(중복검사!$D$4:$D$6003,MATCH("R"&amp;35,중복목록!$L$6:$L$6005,0)),""))</f>
        <v/>
      </c>
      <c r="E40" s="12" t="str">
        <f aca="false">IF($A40="","",IFERROR(IF(INDEX(원본명단!$E$3:$E$6002,MATCH("R"&amp;35,중복목록!$L$6:$L$6005,0))="","",INDEX(원본명단!$E$3:$E$6002,MATCH("R"&amp;35,중복목록!$L$6:$L$6005,0))),""))</f>
        <v/>
      </c>
      <c r="F40" s="11" t="str">
        <f aca="false">IF($A40="","",IFERROR(MAX(INDEX(중복검사!$E$4:$E$6003,MATCH("R"&amp;35,중복목록!$L$6:$L$6005,0)),INDEX(중복검사!$F$4:$F$6003,MATCH("R"&amp;35,중복목록!$L$6:$L$6005,0)),INDEX(중복검사!$G$4:$G$6003,MATCH("R"&amp;35,중복목록!$L$6:$L$6005,0))),""))</f>
        <v/>
      </c>
      <c r="G40" s="11" t="str">
        <f aca="false">IF($A40="","",IFERROR(INDEX(중복검사!$I$4:$I$6003,MATCH("R"&amp;35,중복목록!$L$6:$L$6005,0)),""))</f>
        <v/>
      </c>
      <c r="H40" s="11" t="str">
        <f aca="false">IF($A40="","",IFERROR(INDEX(중복검사!$J$4:$J$6003,MATCH("R"&amp;35,중복목록!$L$6:$L$6005,0)),""))</f>
        <v/>
      </c>
      <c r="J40" s="14" t="b">
        <f aca="false">IF(중복검사!$A38="",FALSE(),중복검사!$H38="중복")</f>
        <v>0</v>
      </c>
      <c r="K40" s="5" t="str">
        <f aca="false">IF($J40=FALSE(),"",COUNTIF($J$6:$J40,TRUE()))</f>
        <v/>
      </c>
      <c r="L40" s="5" t="str">
        <f aca="false">IF($K40="","","R"&amp;$K40)</f>
        <v/>
      </c>
    </row>
    <row r="41" customFormat="false" ht="15" hidden="false" customHeight="true" outlineLevel="0" collapsed="false">
      <c r="A41" s="11" t="str">
        <f aca="false">IFERROR(INDEX(중복검사!$A$4:$A$6003,MATCH("R"&amp;36,중복목록!$L$6:$L$6005,0)),"")</f>
        <v/>
      </c>
      <c r="B41" s="12" t="str">
        <f aca="false">IF($A41="","",IFERROR(INDEX(중복검사!$B$4:$B$6003,MATCH("R"&amp;36,중복목록!$L$6:$L$6005,0)),""))</f>
        <v/>
      </c>
      <c r="C41" s="12" t="str">
        <f aca="false">IF($A41="","",IFERROR(INDEX(중복검사!$C$4:$C$6003,MATCH("R"&amp;36,중복목록!$L$6:$L$6005,0)),""))</f>
        <v/>
      </c>
      <c r="D41" s="12" t="str">
        <f aca="false">IF($A41="","",IFERROR(INDEX(중복검사!$D$4:$D$6003,MATCH("R"&amp;36,중복목록!$L$6:$L$6005,0)),""))</f>
        <v/>
      </c>
      <c r="E41" s="12" t="str">
        <f aca="false">IF($A41="","",IFERROR(IF(INDEX(원본명단!$E$3:$E$6002,MATCH("R"&amp;36,중복목록!$L$6:$L$6005,0))="","",INDEX(원본명단!$E$3:$E$6002,MATCH("R"&amp;36,중복목록!$L$6:$L$6005,0))),""))</f>
        <v/>
      </c>
      <c r="F41" s="11" t="str">
        <f aca="false">IF($A41="","",IFERROR(MAX(INDEX(중복검사!$E$4:$E$6003,MATCH("R"&amp;36,중복목록!$L$6:$L$6005,0)),INDEX(중복검사!$F$4:$F$6003,MATCH("R"&amp;36,중복목록!$L$6:$L$6005,0)),INDEX(중복검사!$G$4:$G$6003,MATCH("R"&amp;36,중복목록!$L$6:$L$6005,0))),""))</f>
        <v/>
      </c>
      <c r="G41" s="11" t="str">
        <f aca="false">IF($A41="","",IFERROR(INDEX(중복검사!$I$4:$I$6003,MATCH("R"&amp;36,중복목록!$L$6:$L$6005,0)),""))</f>
        <v/>
      </c>
      <c r="H41" s="11" t="str">
        <f aca="false">IF($A41="","",IFERROR(INDEX(중복검사!$J$4:$J$6003,MATCH("R"&amp;36,중복목록!$L$6:$L$6005,0)),""))</f>
        <v/>
      </c>
      <c r="J41" s="14" t="b">
        <f aca="false">IF(중복검사!$A39="",FALSE(),중복검사!$H39="중복")</f>
        <v>0</v>
      </c>
      <c r="K41" s="5" t="str">
        <f aca="false">IF($J41=FALSE(),"",COUNTIF($J$6:$J41,TRUE()))</f>
        <v/>
      </c>
      <c r="L41" s="5" t="str">
        <f aca="false">IF($K41="","","R"&amp;$K41)</f>
        <v/>
      </c>
    </row>
    <row r="42" customFormat="false" ht="15" hidden="false" customHeight="true" outlineLevel="0" collapsed="false">
      <c r="A42" s="11" t="str">
        <f aca="false">IFERROR(INDEX(중복검사!$A$4:$A$6003,MATCH("R"&amp;37,중복목록!$L$6:$L$6005,0)),"")</f>
        <v/>
      </c>
      <c r="B42" s="12" t="str">
        <f aca="false">IF($A42="","",IFERROR(INDEX(중복검사!$B$4:$B$6003,MATCH("R"&amp;37,중복목록!$L$6:$L$6005,0)),""))</f>
        <v/>
      </c>
      <c r="C42" s="12" t="str">
        <f aca="false">IF($A42="","",IFERROR(INDEX(중복검사!$C$4:$C$6003,MATCH("R"&amp;37,중복목록!$L$6:$L$6005,0)),""))</f>
        <v/>
      </c>
      <c r="D42" s="12" t="str">
        <f aca="false">IF($A42="","",IFERROR(INDEX(중복검사!$D$4:$D$6003,MATCH("R"&amp;37,중복목록!$L$6:$L$6005,0)),""))</f>
        <v/>
      </c>
      <c r="E42" s="12" t="str">
        <f aca="false">IF($A42="","",IFERROR(IF(INDEX(원본명단!$E$3:$E$6002,MATCH("R"&amp;37,중복목록!$L$6:$L$6005,0))="","",INDEX(원본명단!$E$3:$E$6002,MATCH("R"&amp;37,중복목록!$L$6:$L$6005,0))),""))</f>
        <v/>
      </c>
      <c r="F42" s="11" t="str">
        <f aca="false">IF($A42="","",IFERROR(MAX(INDEX(중복검사!$E$4:$E$6003,MATCH("R"&amp;37,중복목록!$L$6:$L$6005,0)),INDEX(중복검사!$F$4:$F$6003,MATCH("R"&amp;37,중복목록!$L$6:$L$6005,0)),INDEX(중복검사!$G$4:$G$6003,MATCH("R"&amp;37,중복목록!$L$6:$L$6005,0))),""))</f>
        <v/>
      </c>
      <c r="G42" s="11" t="str">
        <f aca="false">IF($A42="","",IFERROR(INDEX(중복검사!$I$4:$I$6003,MATCH("R"&amp;37,중복목록!$L$6:$L$6005,0)),""))</f>
        <v/>
      </c>
      <c r="H42" s="11" t="str">
        <f aca="false">IF($A42="","",IFERROR(INDEX(중복검사!$J$4:$J$6003,MATCH("R"&amp;37,중복목록!$L$6:$L$6005,0)),""))</f>
        <v/>
      </c>
      <c r="J42" s="14" t="b">
        <f aca="false">IF(중복검사!$A40="",FALSE(),중복검사!$H40="중복")</f>
        <v>0</v>
      </c>
      <c r="K42" s="5" t="str">
        <f aca="false">IF($J42=FALSE(),"",COUNTIF($J$6:$J42,TRUE()))</f>
        <v/>
      </c>
      <c r="L42" s="5" t="str">
        <f aca="false">IF($K42="","","R"&amp;$K42)</f>
        <v/>
      </c>
    </row>
    <row r="43" customFormat="false" ht="15" hidden="false" customHeight="true" outlineLevel="0" collapsed="false">
      <c r="A43" s="11" t="str">
        <f aca="false">IFERROR(INDEX(중복검사!$A$4:$A$6003,MATCH("R"&amp;38,중복목록!$L$6:$L$6005,0)),"")</f>
        <v/>
      </c>
      <c r="B43" s="12" t="str">
        <f aca="false">IF($A43="","",IFERROR(INDEX(중복검사!$B$4:$B$6003,MATCH("R"&amp;38,중복목록!$L$6:$L$6005,0)),""))</f>
        <v/>
      </c>
      <c r="C43" s="12" t="str">
        <f aca="false">IF($A43="","",IFERROR(INDEX(중복검사!$C$4:$C$6003,MATCH("R"&amp;38,중복목록!$L$6:$L$6005,0)),""))</f>
        <v/>
      </c>
      <c r="D43" s="12" t="str">
        <f aca="false">IF($A43="","",IFERROR(INDEX(중복검사!$D$4:$D$6003,MATCH("R"&amp;38,중복목록!$L$6:$L$6005,0)),""))</f>
        <v/>
      </c>
      <c r="E43" s="12" t="str">
        <f aca="false">IF($A43="","",IFERROR(IF(INDEX(원본명단!$E$3:$E$6002,MATCH("R"&amp;38,중복목록!$L$6:$L$6005,0))="","",INDEX(원본명단!$E$3:$E$6002,MATCH("R"&amp;38,중복목록!$L$6:$L$6005,0))),""))</f>
        <v/>
      </c>
      <c r="F43" s="11" t="str">
        <f aca="false">IF($A43="","",IFERROR(MAX(INDEX(중복검사!$E$4:$E$6003,MATCH("R"&amp;38,중복목록!$L$6:$L$6005,0)),INDEX(중복검사!$F$4:$F$6003,MATCH("R"&amp;38,중복목록!$L$6:$L$6005,0)),INDEX(중복검사!$G$4:$G$6003,MATCH("R"&amp;38,중복목록!$L$6:$L$6005,0))),""))</f>
        <v/>
      </c>
      <c r="G43" s="11" t="str">
        <f aca="false">IF($A43="","",IFERROR(INDEX(중복검사!$I$4:$I$6003,MATCH("R"&amp;38,중복목록!$L$6:$L$6005,0)),""))</f>
        <v/>
      </c>
      <c r="H43" s="11" t="str">
        <f aca="false">IF($A43="","",IFERROR(INDEX(중복검사!$J$4:$J$6003,MATCH("R"&amp;38,중복목록!$L$6:$L$6005,0)),""))</f>
        <v/>
      </c>
      <c r="J43" s="14" t="b">
        <f aca="false">IF(중복검사!$A41="",FALSE(),중복검사!$H41="중복")</f>
        <v>0</v>
      </c>
      <c r="K43" s="5" t="str">
        <f aca="false">IF($J43=FALSE(),"",COUNTIF($J$6:$J43,TRUE()))</f>
        <v/>
      </c>
      <c r="L43" s="5" t="str">
        <f aca="false">IF($K43="","","R"&amp;$K43)</f>
        <v/>
      </c>
    </row>
    <row r="44" customFormat="false" ht="15" hidden="false" customHeight="true" outlineLevel="0" collapsed="false">
      <c r="A44" s="11" t="str">
        <f aca="false">IFERROR(INDEX(중복검사!$A$4:$A$6003,MATCH("R"&amp;39,중복목록!$L$6:$L$6005,0)),"")</f>
        <v/>
      </c>
      <c r="B44" s="12" t="str">
        <f aca="false">IF($A44="","",IFERROR(INDEX(중복검사!$B$4:$B$6003,MATCH("R"&amp;39,중복목록!$L$6:$L$6005,0)),""))</f>
        <v/>
      </c>
      <c r="C44" s="12" t="str">
        <f aca="false">IF($A44="","",IFERROR(INDEX(중복검사!$C$4:$C$6003,MATCH("R"&amp;39,중복목록!$L$6:$L$6005,0)),""))</f>
        <v/>
      </c>
      <c r="D44" s="12" t="str">
        <f aca="false">IF($A44="","",IFERROR(INDEX(중복검사!$D$4:$D$6003,MATCH("R"&amp;39,중복목록!$L$6:$L$6005,0)),""))</f>
        <v/>
      </c>
      <c r="E44" s="12" t="str">
        <f aca="false">IF($A44="","",IFERROR(IF(INDEX(원본명단!$E$3:$E$6002,MATCH("R"&amp;39,중복목록!$L$6:$L$6005,0))="","",INDEX(원본명단!$E$3:$E$6002,MATCH("R"&amp;39,중복목록!$L$6:$L$6005,0))),""))</f>
        <v/>
      </c>
      <c r="F44" s="11" t="str">
        <f aca="false">IF($A44="","",IFERROR(MAX(INDEX(중복검사!$E$4:$E$6003,MATCH("R"&amp;39,중복목록!$L$6:$L$6005,0)),INDEX(중복검사!$F$4:$F$6003,MATCH("R"&amp;39,중복목록!$L$6:$L$6005,0)),INDEX(중복검사!$G$4:$G$6003,MATCH("R"&amp;39,중복목록!$L$6:$L$6005,0))),""))</f>
        <v/>
      </c>
      <c r="G44" s="11" t="str">
        <f aca="false">IF($A44="","",IFERROR(INDEX(중복검사!$I$4:$I$6003,MATCH("R"&amp;39,중복목록!$L$6:$L$6005,0)),""))</f>
        <v/>
      </c>
      <c r="H44" s="11" t="str">
        <f aca="false">IF($A44="","",IFERROR(INDEX(중복검사!$J$4:$J$6003,MATCH("R"&amp;39,중복목록!$L$6:$L$6005,0)),""))</f>
        <v/>
      </c>
      <c r="J44" s="14" t="b">
        <f aca="false">IF(중복검사!$A42="",FALSE(),중복검사!$H42="중복")</f>
        <v>0</v>
      </c>
      <c r="K44" s="5" t="str">
        <f aca="false">IF($J44=FALSE(),"",COUNTIF($J$6:$J44,TRUE()))</f>
        <v/>
      </c>
      <c r="L44" s="5" t="str">
        <f aca="false">IF($K44="","","R"&amp;$K44)</f>
        <v/>
      </c>
    </row>
    <row r="45" customFormat="false" ht="15" hidden="false" customHeight="true" outlineLevel="0" collapsed="false">
      <c r="A45" s="11" t="str">
        <f aca="false">IFERROR(INDEX(중복검사!$A$4:$A$6003,MATCH("R"&amp;40,중복목록!$L$6:$L$6005,0)),"")</f>
        <v/>
      </c>
      <c r="B45" s="12" t="str">
        <f aca="false">IF($A45="","",IFERROR(INDEX(중복검사!$B$4:$B$6003,MATCH("R"&amp;40,중복목록!$L$6:$L$6005,0)),""))</f>
        <v/>
      </c>
      <c r="C45" s="12" t="str">
        <f aca="false">IF($A45="","",IFERROR(INDEX(중복검사!$C$4:$C$6003,MATCH("R"&amp;40,중복목록!$L$6:$L$6005,0)),""))</f>
        <v/>
      </c>
      <c r="D45" s="12" t="str">
        <f aca="false">IF($A45="","",IFERROR(INDEX(중복검사!$D$4:$D$6003,MATCH("R"&amp;40,중복목록!$L$6:$L$6005,0)),""))</f>
        <v/>
      </c>
      <c r="E45" s="12" t="str">
        <f aca="false">IF($A45="","",IFERROR(IF(INDEX(원본명단!$E$3:$E$6002,MATCH("R"&amp;40,중복목록!$L$6:$L$6005,0))="","",INDEX(원본명단!$E$3:$E$6002,MATCH("R"&amp;40,중복목록!$L$6:$L$6005,0))),""))</f>
        <v/>
      </c>
      <c r="F45" s="11" t="str">
        <f aca="false">IF($A45="","",IFERROR(MAX(INDEX(중복검사!$E$4:$E$6003,MATCH("R"&amp;40,중복목록!$L$6:$L$6005,0)),INDEX(중복검사!$F$4:$F$6003,MATCH("R"&amp;40,중복목록!$L$6:$L$6005,0)),INDEX(중복검사!$G$4:$G$6003,MATCH("R"&amp;40,중복목록!$L$6:$L$6005,0))),""))</f>
        <v/>
      </c>
      <c r="G45" s="11" t="str">
        <f aca="false">IF($A45="","",IFERROR(INDEX(중복검사!$I$4:$I$6003,MATCH("R"&amp;40,중복목록!$L$6:$L$6005,0)),""))</f>
        <v/>
      </c>
      <c r="H45" s="11" t="str">
        <f aca="false">IF($A45="","",IFERROR(INDEX(중복검사!$J$4:$J$6003,MATCH("R"&amp;40,중복목록!$L$6:$L$6005,0)),""))</f>
        <v/>
      </c>
      <c r="J45" s="14" t="b">
        <f aca="false">IF(중복검사!$A43="",FALSE(),중복검사!$H43="중복")</f>
        <v>0</v>
      </c>
      <c r="K45" s="5" t="str">
        <f aca="false">IF($J45=FALSE(),"",COUNTIF($J$6:$J45,TRUE()))</f>
        <v/>
      </c>
      <c r="L45" s="5" t="str">
        <f aca="false">IF($K45="","","R"&amp;$K45)</f>
        <v/>
      </c>
    </row>
    <row r="46" customFormat="false" ht="15" hidden="false" customHeight="true" outlineLevel="0" collapsed="false">
      <c r="A46" s="11" t="str">
        <f aca="false">IFERROR(INDEX(중복검사!$A$4:$A$6003,MATCH("R"&amp;41,중복목록!$L$6:$L$6005,0)),"")</f>
        <v/>
      </c>
      <c r="B46" s="12" t="str">
        <f aca="false">IF($A46="","",IFERROR(INDEX(중복검사!$B$4:$B$6003,MATCH("R"&amp;41,중복목록!$L$6:$L$6005,0)),""))</f>
        <v/>
      </c>
      <c r="C46" s="12" t="str">
        <f aca="false">IF($A46="","",IFERROR(INDEX(중복검사!$C$4:$C$6003,MATCH("R"&amp;41,중복목록!$L$6:$L$6005,0)),""))</f>
        <v/>
      </c>
      <c r="D46" s="12" t="str">
        <f aca="false">IF($A46="","",IFERROR(INDEX(중복검사!$D$4:$D$6003,MATCH("R"&amp;41,중복목록!$L$6:$L$6005,0)),""))</f>
        <v/>
      </c>
      <c r="E46" s="12" t="str">
        <f aca="false">IF($A46="","",IFERROR(IF(INDEX(원본명단!$E$3:$E$6002,MATCH("R"&amp;41,중복목록!$L$6:$L$6005,0))="","",INDEX(원본명단!$E$3:$E$6002,MATCH("R"&amp;41,중복목록!$L$6:$L$6005,0))),""))</f>
        <v/>
      </c>
      <c r="F46" s="11" t="str">
        <f aca="false">IF($A46="","",IFERROR(MAX(INDEX(중복검사!$E$4:$E$6003,MATCH("R"&amp;41,중복목록!$L$6:$L$6005,0)),INDEX(중복검사!$F$4:$F$6003,MATCH("R"&amp;41,중복목록!$L$6:$L$6005,0)),INDEX(중복검사!$G$4:$G$6003,MATCH("R"&amp;41,중복목록!$L$6:$L$6005,0))),""))</f>
        <v/>
      </c>
      <c r="G46" s="11" t="str">
        <f aca="false">IF($A46="","",IFERROR(INDEX(중복검사!$I$4:$I$6003,MATCH("R"&amp;41,중복목록!$L$6:$L$6005,0)),""))</f>
        <v/>
      </c>
      <c r="H46" s="11" t="str">
        <f aca="false">IF($A46="","",IFERROR(INDEX(중복검사!$J$4:$J$6003,MATCH("R"&amp;41,중복목록!$L$6:$L$6005,0)),""))</f>
        <v/>
      </c>
      <c r="J46" s="14" t="b">
        <f aca="false">IF(중복검사!$A44="",FALSE(),중복검사!$H44="중복")</f>
        <v>0</v>
      </c>
      <c r="K46" s="5" t="str">
        <f aca="false">IF($J46=FALSE(),"",COUNTIF($J$6:$J46,TRUE()))</f>
        <v/>
      </c>
      <c r="L46" s="5" t="str">
        <f aca="false">IF($K46="","","R"&amp;$K46)</f>
        <v/>
      </c>
    </row>
    <row r="47" customFormat="false" ht="15" hidden="false" customHeight="true" outlineLevel="0" collapsed="false">
      <c r="A47" s="11" t="str">
        <f aca="false">IFERROR(INDEX(중복검사!$A$4:$A$6003,MATCH("R"&amp;42,중복목록!$L$6:$L$6005,0)),"")</f>
        <v/>
      </c>
      <c r="B47" s="12" t="str">
        <f aca="false">IF($A47="","",IFERROR(INDEX(중복검사!$B$4:$B$6003,MATCH("R"&amp;42,중복목록!$L$6:$L$6005,0)),""))</f>
        <v/>
      </c>
      <c r="C47" s="12" t="str">
        <f aca="false">IF($A47="","",IFERROR(INDEX(중복검사!$C$4:$C$6003,MATCH("R"&amp;42,중복목록!$L$6:$L$6005,0)),""))</f>
        <v/>
      </c>
      <c r="D47" s="12" t="str">
        <f aca="false">IF($A47="","",IFERROR(INDEX(중복검사!$D$4:$D$6003,MATCH("R"&amp;42,중복목록!$L$6:$L$6005,0)),""))</f>
        <v/>
      </c>
      <c r="E47" s="12" t="str">
        <f aca="false">IF($A47="","",IFERROR(IF(INDEX(원본명단!$E$3:$E$6002,MATCH("R"&amp;42,중복목록!$L$6:$L$6005,0))="","",INDEX(원본명단!$E$3:$E$6002,MATCH("R"&amp;42,중복목록!$L$6:$L$6005,0))),""))</f>
        <v/>
      </c>
      <c r="F47" s="11" t="str">
        <f aca="false">IF($A47="","",IFERROR(MAX(INDEX(중복검사!$E$4:$E$6003,MATCH("R"&amp;42,중복목록!$L$6:$L$6005,0)),INDEX(중복검사!$F$4:$F$6003,MATCH("R"&amp;42,중복목록!$L$6:$L$6005,0)),INDEX(중복검사!$G$4:$G$6003,MATCH("R"&amp;42,중복목록!$L$6:$L$6005,0))),""))</f>
        <v/>
      </c>
      <c r="G47" s="11" t="str">
        <f aca="false">IF($A47="","",IFERROR(INDEX(중복검사!$I$4:$I$6003,MATCH("R"&amp;42,중복목록!$L$6:$L$6005,0)),""))</f>
        <v/>
      </c>
      <c r="H47" s="11" t="str">
        <f aca="false">IF($A47="","",IFERROR(INDEX(중복검사!$J$4:$J$6003,MATCH("R"&amp;42,중복목록!$L$6:$L$6005,0)),""))</f>
        <v/>
      </c>
      <c r="J47" s="14" t="b">
        <f aca="false">IF(중복검사!$A45="",FALSE(),중복검사!$H45="중복")</f>
        <v>0</v>
      </c>
      <c r="K47" s="5" t="str">
        <f aca="false">IF($J47=FALSE(),"",COUNTIF($J$6:$J47,TRUE()))</f>
        <v/>
      </c>
      <c r="L47" s="5" t="str">
        <f aca="false">IF($K47="","","R"&amp;$K47)</f>
        <v/>
      </c>
    </row>
    <row r="48" customFormat="false" ht="15" hidden="false" customHeight="true" outlineLevel="0" collapsed="false">
      <c r="A48" s="11" t="str">
        <f aca="false">IFERROR(INDEX(중복검사!$A$4:$A$6003,MATCH("R"&amp;43,중복목록!$L$6:$L$6005,0)),"")</f>
        <v/>
      </c>
      <c r="B48" s="12" t="str">
        <f aca="false">IF($A48="","",IFERROR(INDEX(중복검사!$B$4:$B$6003,MATCH("R"&amp;43,중복목록!$L$6:$L$6005,0)),""))</f>
        <v/>
      </c>
      <c r="C48" s="12" t="str">
        <f aca="false">IF($A48="","",IFERROR(INDEX(중복검사!$C$4:$C$6003,MATCH("R"&amp;43,중복목록!$L$6:$L$6005,0)),""))</f>
        <v/>
      </c>
      <c r="D48" s="12" t="str">
        <f aca="false">IF($A48="","",IFERROR(INDEX(중복검사!$D$4:$D$6003,MATCH("R"&amp;43,중복목록!$L$6:$L$6005,0)),""))</f>
        <v/>
      </c>
      <c r="E48" s="12" t="str">
        <f aca="false">IF($A48="","",IFERROR(IF(INDEX(원본명단!$E$3:$E$6002,MATCH("R"&amp;43,중복목록!$L$6:$L$6005,0))="","",INDEX(원본명단!$E$3:$E$6002,MATCH("R"&amp;43,중복목록!$L$6:$L$6005,0))),""))</f>
        <v/>
      </c>
      <c r="F48" s="11" t="str">
        <f aca="false">IF($A48="","",IFERROR(MAX(INDEX(중복검사!$E$4:$E$6003,MATCH("R"&amp;43,중복목록!$L$6:$L$6005,0)),INDEX(중복검사!$F$4:$F$6003,MATCH("R"&amp;43,중복목록!$L$6:$L$6005,0)),INDEX(중복검사!$G$4:$G$6003,MATCH("R"&amp;43,중복목록!$L$6:$L$6005,0))),""))</f>
        <v/>
      </c>
      <c r="G48" s="11" t="str">
        <f aca="false">IF($A48="","",IFERROR(INDEX(중복검사!$I$4:$I$6003,MATCH("R"&amp;43,중복목록!$L$6:$L$6005,0)),""))</f>
        <v/>
      </c>
      <c r="H48" s="11" t="str">
        <f aca="false">IF($A48="","",IFERROR(INDEX(중복검사!$J$4:$J$6003,MATCH("R"&amp;43,중복목록!$L$6:$L$6005,0)),""))</f>
        <v/>
      </c>
      <c r="J48" s="14" t="b">
        <f aca="false">IF(중복검사!$A46="",FALSE(),중복검사!$H46="중복")</f>
        <v>0</v>
      </c>
      <c r="K48" s="5" t="str">
        <f aca="false">IF($J48=FALSE(),"",COUNTIF($J$6:$J48,TRUE()))</f>
        <v/>
      </c>
      <c r="L48" s="5" t="str">
        <f aca="false">IF($K48="","","R"&amp;$K48)</f>
        <v/>
      </c>
    </row>
    <row r="49" customFormat="false" ht="15" hidden="false" customHeight="true" outlineLevel="0" collapsed="false">
      <c r="A49" s="11" t="str">
        <f aca="false">IFERROR(INDEX(중복검사!$A$4:$A$6003,MATCH("R"&amp;44,중복목록!$L$6:$L$6005,0)),"")</f>
        <v/>
      </c>
      <c r="B49" s="12" t="str">
        <f aca="false">IF($A49="","",IFERROR(INDEX(중복검사!$B$4:$B$6003,MATCH("R"&amp;44,중복목록!$L$6:$L$6005,0)),""))</f>
        <v/>
      </c>
      <c r="C49" s="12" t="str">
        <f aca="false">IF($A49="","",IFERROR(INDEX(중복검사!$C$4:$C$6003,MATCH("R"&amp;44,중복목록!$L$6:$L$6005,0)),""))</f>
        <v/>
      </c>
      <c r="D49" s="12" t="str">
        <f aca="false">IF($A49="","",IFERROR(INDEX(중복검사!$D$4:$D$6003,MATCH("R"&amp;44,중복목록!$L$6:$L$6005,0)),""))</f>
        <v/>
      </c>
      <c r="E49" s="12" t="str">
        <f aca="false">IF($A49="","",IFERROR(IF(INDEX(원본명단!$E$3:$E$6002,MATCH("R"&amp;44,중복목록!$L$6:$L$6005,0))="","",INDEX(원본명단!$E$3:$E$6002,MATCH("R"&amp;44,중복목록!$L$6:$L$6005,0))),""))</f>
        <v/>
      </c>
      <c r="F49" s="11" t="str">
        <f aca="false">IF($A49="","",IFERROR(MAX(INDEX(중복검사!$E$4:$E$6003,MATCH("R"&amp;44,중복목록!$L$6:$L$6005,0)),INDEX(중복검사!$F$4:$F$6003,MATCH("R"&amp;44,중복목록!$L$6:$L$6005,0)),INDEX(중복검사!$G$4:$G$6003,MATCH("R"&amp;44,중복목록!$L$6:$L$6005,0))),""))</f>
        <v/>
      </c>
      <c r="G49" s="11" t="str">
        <f aca="false">IF($A49="","",IFERROR(INDEX(중복검사!$I$4:$I$6003,MATCH("R"&amp;44,중복목록!$L$6:$L$6005,0)),""))</f>
        <v/>
      </c>
      <c r="H49" s="11" t="str">
        <f aca="false">IF($A49="","",IFERROR(INDEX(중복검사!$J$4:$J$6003,MATCH("R"&amp;44,중복목록!$L$6:$L$6005,0)),""))</f>
        <v/>
      </c>
      <c r="J49" s="14" t="b">
        <f aca="false">IF(중복검사!$A47="",FALSE(),중복검사!$H47="중복")</f>
        <v>0</v>
      </c>
      <c r="K49" s="5" t="str">
        <f aca="false">IF($J49=FALSE(),"",COUNTIF($J$6:$J49,TRUE()))</f>
        <v/>
      </c>
      <c r="L49" s="5" t="str">
        <f aca="false">IF($K49="","","R"&amp;$K49)</f>
        <v/>
      </c>
    </row>
    <row r="50" customFormat="false" ht="15" hidden="false" customHeight="true" outlineLevel="0" collapsed="false">
      <c r="A50" s="11" t="str">
        <f aca="false">IFERROR(INDEX(중복검사!$A$4:$A$6003,MATCH("R"&amp;45,중복목록!$L$6:$L$6005,0)),"")</f>
        <v/>
      </c>
      <c r="B50" s="12" t="str">
        <f aca="false">IF($A50="","",IFERROR(INDEX(중복검사!$B$4:$B$6003,MATCH("R"&amp;45,중복목록!$L$6:$L$6005,0)),""))</f>
        <v/>
      </c>
      <c r="C50" s="12" t="str">
        <f aca="false">IF($A50="","",IFERROR(INDEX(중복검사!$C$4:$C$6003,MATCH("R"&amp;45,중복목록!$L$6:$L$6005,0)),""))</f>
        <v/>
      </c>
      <c r="D50" s="12" t="str">
        <f aca="false">IF($A50="","",IFERROR(INDEX(중복검사!$D$4:$D$6003,MATCH("R"&amp;45,중복목록!$L$6:$L$6005,0)),""))</f>
        <v/>
      </c>
      <c r="E50" s="12" t="str">
        <f aca="false">IF($A50="","",IFERROR(IF(INDEX(원본명단!$E$3:$E$6002,MATCH("R"&amp;45,중복목록!$L$6:$L$6005,0))="","",INDEX(원본명단!$E$3:$E$6002,MATCH("R"&amp;45,중복목록!$L$6:$L$6005,0))),""))</f>
        <v/>
      </c>
      <c r="F50" s="11" t="str">
        <f aca="false">IF($A50="","",IFERROR(MAX(INDEX(중복검사!$E$4:$E$6003,MATCH("R"&amp;45,중복목록!$L$6:$L$6005,0)),INDEX(중복검사!$F$4:$F$6003,MATCH("R"&amp;45,중복목록!$L$6:$L$6005,0)),INDEX(중복검사!$G$4:$G$6003,MATCH("R"&amp;45,중복목록!$L$6:$L$6005,0))),""))</f>
        <v/>
      </c>
      <c r="G50" s="11" t="str">
        <f aca="false">IF($A50="","",IFERROR(INDEX(중복검사!$I$4:$I$6003,MATCH("R"&amp;45,중복목록!$L$6:$L$6005,0)),""))</f>
        <v/>
      </c>
      <c r="H50" s="11" t="str">
        <f aca="false">IF($A50="","",IFERROR(INDEX(중복검사!$J$4:$J$6003,MATCH("R"&amp;45,중복목록!$L$6:$L$6005,0)),""))</f>
        <v/>
      </c>
      <c r="J50" s="14" t="b">
        <f aca="false">IF(중복검사!$A48="",FALSE(),중복검사!$H48="중복")</f>
        <v>0</v>
      </c>
      <c r="K50" s="5" t="str">
        <f aca="false">IF($J50=FALSE(),"",COUNTIF($J$6:$J50,TRUE()))</f>
        <v/>
      </c>
      <c r="L50" s="5" t="str">
        <f aca="false">IF($K50="","","R"&amp;$K50)</f>
        <v/>
      </c>
    </row>
    <row r="51" customFormat="false" ht="15" hidden="false" customHeight="true" outlineLevel="0" collapsed="false">
      <c r="A51" s="11" t="str">
        <f aca="false">IFERROR(INDEX(중복검사!$A$4:$A$6003,MATCH("R"&amp;46,중복목록!$L$6:$L$6005,0)),"")</f>
        <v/>
      </c>
      <c r="B51" s="12" t="str">
        <f aca="false">IF($A51="","",IFERROR(INDEX(중복검사!$B$4:$B$6003,MATCH("R"&amp;46,중복목록!$L$6:$L$6005,0)),""))</f>
        <v/>
      </c>
      <c r="C51" s="12" t="str">
        <f aca="false">IF($A51="","",IFERROR(INDEX(중복검사!$C$4:$C$6003,MATCH("R"&amp;46,중복목록!$L$6:$L$6005,0)),""))</f>
        <v/>
      </c>
      <c r="D51" s="12" t="str">
        <f aca="false">IF($A51="","",IFERROR(INDEX(중복검사!$D$4:$D$6003,MATCH("R"&amp;46,중복목록!$L$6:$L$6005,0)),""))</f>
        <v/>
      </c>
      <c r="E51" s="12" t="str">
        <f aca="false">IF($A51="","",IFERROR(IF(INDEX(원본명단!$E$3:$E$6002,MATCH("R"&amp;46,중복목록!$L$6:$L$6005,0))="","",INDEX(원본명단!$E$3:$E$6002,MATCH("R"&amp;46,중복목록!$L$6:$L$6005,0))),""))</f>
        <v/>
      </c>
      <c r="F51" s="11" t="str">
        <f aca="false">IF($A51="","",IFERROR(MAX(INDEX(중복검사!$E$4:$E$6003,MATCH("R"&amp;46,중복목록!$L$6:$L$6005,0)),INDEX(중복검사!$F$4:$F$6003,MATCH("R"&amp;46,중복목록!$L$6:$L$6005,0)),INDEX(중복검사!$G$4:$G$6003,MATCH("R"&amp;46,중복목록!$L$6:$L$6005,0))),""))</f>
        <v/>
      </c>
      <c r="G51" s="11" t="str">
        <f aca="false">IF($A51="","",IFERROR(INDEX(중복검사!$I$4:$I$6003,MATCH("R"&amp;46,중복목록!$L$6:$L$6005,0)),""))</f>
        <v/>
      </c>
      <c r="H51" s="11" t="str">
        <f aca="false">IF($A51="","",IFERROR(INDEX(중복검사!$J$4:$J$6003,MATCH("R"&amp;46,중복목록!$L$6:$L$6005,0)),""))</f>
        <v/>
      </c>
      <c r="J51" s="14" t="b">
        <f aca="false">IF(중복검사!$A49="",FALSE(),중복검사!$H49="중복")</f>
        <v>0</v>
      </c>
      <c r="K51" s="5" t="str">
        <f aca="false">IF($J51=FALSE(),"",COUNTIF($J$6:$J51,TRUE()))</f>
        <v/>
      </c>
      <c r="L51" s="5" t="str">
        <f aca="false">IF($K51="","","R"&amp;$K51)</f>
        <v/>
      </c>
    </row>
    <row r="52" customFormat="false" ht="15" hidden="false" customHeight="true" outlineLevel="0" collapsed="false">
      <c r="A52" s="11" t="str">
        <f aca="false">IFERROR(INDEX(중복검사!$A$4:$A$6003,MATCH("R"&amp;47,중복목록!$L$6:$L$6005,0)),"")</f>
        <v/>
      </c>
      <c r="B52" s="12" t="str">
        <f aca="false">IF($A52="","",IFERROR(INDEX(중복검사!$B$4:$B$6003,MATCH("R"&amp;47,중복목록!$L$6:$L$6005,0)),""))</f>
        <v/>
      </c>
      <c r="C52" s="12" t="str">
        <f aca="false">IF($A52="","",IFERROR(INDEX(중복검사!$C$4:$C$6003,MATCH("R"&amp;47,중복목록!$L$6:$L$6005,0)),""))</f>
        <v/>
      </c>
      <c r="D52" s="12" t="str">
        <f aca="false">IF($A52="","",IFERROR(INDEX(중복검사!$D$4:$D$6003,MATCH("R"&amp;47,중복목록!$L$6:$L$6005,0)),""))</f>
        <v/>
      </c>
      <c r="E52" s="12" t="str">
        <f aca="false">IF($A52="","",IFERROR(IF(INDEX(원본명단!$E$3:$E$6002,MATCH("R"&amp;47,중복목록!$L$6:$L$6005,0))="","",INDEX(원본명단!$E$3:$E$6002,MATCH("R"&amp;47,중복목록!$L$6:$L$6005,0))),""))</f>
        <v/>
      </c>
      <c r="F52" s="11" t="str">
        <f aca="false">IF($A52="","",IFERROR(MAX(INDEX(중복검사!$E$4:$E$6003,MATCH("R"&amp;47,중복목록!$L$6:$L$6005,0)),INDEX(중복검사!$F$4:$F$6003,MATCH("R"&amp;47,중복목록!$L$6:$L$6005,0)),INDEX(중복검사!$G$4:$G$6003,MATCH("R"&amp;47,중복목록!$L$6:$L$6005,0))),""))</f>
        <v/>
      </c>
      <c r="G52" s="11" t="str">
        <f aca="false">IF($A52="","",IFERROR(INDEX(중복검사!$I$4:$I$6003,MATCH("R"&amp;47,중복목록!$L$6:$L$6005,0)),""))</f>
        <v/>
      </c>
      <c r="H52" s="11" t="str">
        <f aca="false">IF($A52="","",IFERROR(INDEX(중복검사!$J$4:$J$6003,MATCH("R"&amp;47,중복목록!$L$6:$L$6005,0)),""))</f>
        <v/>
      </c>
      <c r="J52" s="14" t="b">
        <f aca="false">IF(중복검사!$A50="",FALSE(),중복검사!$H50="중복")</f>
        <v>0</v>
      </c>
      <c r="K52" s="5" t="str">
        <f aca="false">IF($J52=FALSE(),"",COUNTIF($J$6:$J52,TRUE()))</f>
        <v/>
      </c>
      <c r="L52" s="5" t="str">
        <f aca="false">IF($K52="","","R"&amp;$K52)</f>
        <v/>
      </c>
    </row>
    <row r="53" customFormat="false" ht="15" hidden="false" customHeight="true" outlineLevel="0" collapsed="false">
      <c r="A53" s="11" t="str">
        <f aca="false">IFERROR(INDEX(중복검사!$A$4:$A$6003,MATCH("R"&amp;48,중복목록!$L$6:$L$6005,0)),"")</f>
        <v/>
      </c>
      <c r="B53" s="12" t="str">
        <f aca="false">IF($A53="","",IFERROR(INDEX(중복검사!$B$4:$B$6003,MATCH("R"&amp;48,중복목록!$L$6:$L$6005,0)),""))</f>
        <v/>
      </c>
      <c r="C53" s="12" t="str">
        <f aca="false">IF($A53="","",IFERROR(INDEX(중복검사!$C$4:$C$6003,MATCH("R"&amp;48,중복목록!$L$6:$L$6005,0)),""))</f>
        <v/>
      </c>
      <c r="D53" s="12" t="str">
        <f aca="false">IF($A53="","",IFERROR(INDEX(중복검사!$D$4:$D$6003,MATCH("R"&amp;48,중복목록!$L$6:$L$6005,0)),""))</f>
        <v/>
      </c>
      <c r="E53" s="12" t="str">
        <f aca="false">IF($A53="","",IFERROR(IF(INDEX(원본명단!$E$3:$E$6002,MATCH("R"&amp;48,중복목록!$L$6:$L$6005,0))="","",INDEX(원본명단!$E$3:$E$6002,MATCH("R"&amp;48,중복목록!$L$6:$L$6005,0))),""))</f>
        <v/>
      </c>
      <c r="F53" s="11" t="str">
        <f aca="false">IF($A53="","",IFERROR(MAX(INDEX(중복검사!$E$4:$E$6003,MATCH("R"&amp;48,중복목록!$L$6:$L$6005,0)),INDEX(중복검사!$F$4:$F$6003,MATCH("R"&amp;48,중복목록!$L$6:$L$6005,0)),INDEX(중복검사!$G$4:$G$6003,MATCH("R"&amp;48,중복목록!$L$6:$L$6005,0))),""))</f>
        <v/>
      </c>
      <c r="G53" s="11" t="str">
        <f aca="false">IF($A53="","",IFERROR(INDEX(중복검사!$I$4:$I$6003,MATCH("R"&amp;48,중복목록!$L$6:$L$6005,0)),""))</f>
        <v/>
      </c>
      <c r="H53" s="11" t="str">
        <f aca="false">IF($A53="","",IFERROR(INDEX(중복검사!$J$4:$J$6003,MATCH("R"&amp;48,중복목록!$L$6:$L$6005,0)),""))</f>
        <v/>
      </c>
      <c r="J53" s="14" t="b">
        <f aca="false">IF(중복검사!$A51="",FALSE(),중복검사!$H51="중복")</f>
        <v>0</v>
      </c>
      <c r="K53" s="5" t="str">
        <f aca="false">IF($J53=FALSE(),"",COUNTIF($J$6:$J53,TRUE()))</f>
        <v/>
      </c>
      <c r="L53" s="5" t="str">
        <f aca="false">IF($K53="","","R"&amp;$K53)</f>
        <v/>
      </c>
    </row>
    <row r="54" customFormat="false" ht="15" hidden="false" customHeight="true" outlineLevel="0" collapsed="false">
      <c r="A54" s="11" t="str">
        <f aca="false">IFERROR(INDEX(중복검사!$A$4:$A$6003,MATCH("R"&amp;49,중복목록!$L$6:$L$6005,0)),"")</f>
        <v/>
      </c>
      <c r="B54" s="12" t="str">
        <f aca="false">IF($A54="","",IFERROR(INDEX(중복검사!$B$4:$B$6003,MATCH("R"&amp;49,중복목록!$L$6:$L$6005,0)),""))</f>
        <v/>
      </c>
      <c r="C54" s="12" t="str">
        <f aca="false">IF($A54="","",IFERROR(INDEX(중복검사!$C$4:$C$6003,MATCH("R"&amp;49,중복목록!$L$6:$L$6005,0)),""))</f>
        <v/>
      </c>
      <c r="D54" s="12" t="str">
        <f aca="false">IF($A54="","",IFERROR(INDEX(중복검사!$D$4:$D$6003,MATCH("R"&amp;49,중복목록!$L$6:$L$6005,0)),""))</f>
        <v/>
      </c>
      <c r="E54" s="12" t="str">
        <f aca="false">IF($A54="","",IFERROR(IF(INDEX(원본명단!$E$3:$E$6002,MATCH("R"&amp;49,중복목록!$L$6:$L$6005,0))="","",INDEX(원본명단!$E$3:$E$6002,MATCH("R"&amp;49,중복목록!$L$6:$L$6005,0))),""))</f>
        <v/>
      </c>
      <c r="F54" s="11" t="str">
        <f aca="false">IF($A54="","",IFERROR(MAX(INDEX(중복검사!$E$4:$E$6003,MATCH("R"&amp;49,중복목록!$L$6:$L$6005,0)),INDEX(중복검사!$F$4:$F$6003,MATCH("R"&amp;49,중복목록!$L$6:$L$6005,0)),INDEX(중복검사!$G$4:$G$6003,MATCH("R"&amp;49,중복목록!$L$6:$L$6005,0))),""))</f>
        <v/>
      </c>
      <c r="G54" s="11" t="str">
        <f aca="false">IF($A54="","",IFERROR(INDEX(중복검사!$I$4:$I$6003,MATCH("R"&amp;49,중복목록!$L$6:$L$6005,0)),""))</f>
        <v/>
      </c>
      <c r="H54" s="11" t="str">
        <f aca="false">IF($A54="","",IFERROR(INDEX(중복검사!$J$4:$J$6003,MATCH("R"&amp;49,중복목록!$L$6:$L$6005,0)),""))</f>
        <v/>
      </c>
      <c r="J54" s="14" t="b">
        <f aca="false">IF(중복검사!$A52="",FALSE(),중복검사!$H52="중복")</f>
        <v>0</v>
      </c>
      <c r="K54" s="5" t="str">
        <f aca="false">IF($J54=FALSE(),"",COUNTIF($J$6:$J54,TRUE()))</f>
        <v/>
      </c>
      <c r="L54" s="5" t="str">
        <f aca="false">IF($K54="","","R"&amp;$K54)</f>
        <v/>
      </c>
    </row>
    <row r="55" customFormat="false" ht="15" hidden="false" customHeight="true" outlineLevel="0" collapsed="false">
      <c r="A55" s="11" t="str">
        <f aca="false">IFERROR(INDEX(중복검사!$A$4:$A$6003,MATCH("R"&amp;50,중복목록!$L$6:$L$6005,0)),"")</f>
        <v/>
      </c>
      <c r="B55" s="12" t="str">
        <f aca="false">IF($A55="","",IFERROR(INDEX(중복검사!$B$4:$B$6003,MATCH("R"&amp;50,중복목록!$L$6:$L$6005,0)),""))</f>
        <v/>
      </c>
      <c r="C55" s="12" t="str">
        <f aca="false">IF($A55="","",IFERROR(INDEX(중복검사!$C$4:$C$6003,MATCH("R"&amp;50,중복목록!$L$6:$L$6005,0)),""))</f>
        <v/>
      </c>
      <c r="D55" s="12" t="str">
        <f aca="false">IF($A55="","",IFERROR(INDEX(중복검사!$D$4:$D$6003,MATCH("R"&amp;50,중복목록!$L$6:$L$6005,0)),""))</f>
        <v/>
      </c>
      <c r="E55" s="12" t="str">
        <f aca="false">IF($A55="","",IFERROR(IF(INDEX(원본명단!$E$3:$E$6002,MATCH("R"&amp;50,중복목록!$L$6:$L$6005,0))="","",INDEX(원본명단!$E$3:$E$6002,MATCH("R"&amp;50,중복목록!$L$6:$L$6005,0))),""))</f>
        <v/>
      </c>
      <c r="F55" s="11" t="str">
        <f aca="false">IF($A55="","",IFERROR(MAX(INDEX(중복검사!$E$4:$E$6003,MATCH("R"&amp;50,중복목록!$L$6:$L$6005,0)),INDEX(중복검사!$F$4:$F$6003,MATCH("R"&amp;50,중복목록!$L$6:$L$6005,0)),INDEX(중복검사!$G$4:$G$6003,MATCH("R"&amp;50,중복목록!$L$6:$L$6005,0))),""))</f>
        <v/>
      </c>
      <c r="G55" s="11" t="str">
        <f aca="false">IF($A55="","",IFERROR(INDEX(중복검사!$I$4:$I$6003,MATCH("R"&amp;50,중복목록!$L$6:$L$6005,0)),""))</f>
        <v/>
      </c>
      <c r="H55" s="11" t="str">
        <f aca="false">IF($A55="","",IFERROR(INDEX(중복검사!$J$4:$J$6003,MATCH("R"&amp;50,중복목록!$L$6:$L$6005,0)),""))</f>
        <v/>
      </c>
      <c r="J55" s="14" t="b">
        <f aca="false">IF(중복검사!$A53="",FALSE(),중복검사!$H53="중복")</f>
        <v>0</v>
      </c>
      <c r="K55" s="5" t="str">
        <f aca="false">IF($J55=FALSE(),"",COUNTIF($J$6:$J55,TRUE()))</f>
        <v/>
      </c>
      <c r="L55" s="5" t="str">
        <f aca="false">IF($K55="","","R"&amp;$K55)</f>
        <v/>
      </c>
    </row>
    <row r="56" customFormat="false" ht="15" hidden="false" customHeight="true" outlineLevel="0" collapsed="false">
      <c r="A56" s="11" t="str">
        <f aca="false">IFERROR(INDEX(중복검사!$A$4:$A$6003,MATCH("R"&amp;51,중복목록!$L$6:$L$6005,0)),"")</f>
        <v/>
      </c>
      <c r="B56" s="12" t="str">
        <f aca="false">IF($A56="","",IFERROR(INDEX(중복검사!$B$4:$B$6003,MATCH("R"&amp;51,중복목록!$L$6:$L$6005,0)),""))</f>
        <v/>
      </c>
      <c r="C56" s="12" t="str">
        <f aca="false">IF($A56="","",IFERROR(INDEX(중복검사!$C$4:$C$6003,MATCH("R"&amp;51,중복목록!$L$6:$L$6005,0)),""))</f>
        <v/>
      </c>
      <c r="D56" s="12" t="str">
        <f aca="false">IF($A56="","",IFERROR(INDEX(중복검사!$D$4:$D$6003,MATCH("R"&amp;51,중복목록!$L$6:$L$6005,0)),""))</f>
        <v/>
      </c>
      <c r="E56" s="12" t="str">
        <f aca="false">IF($A56="","",IFERROR(IF(INDEX(원본명단!$E$3:$E$6002,MATCH("R"&amp;51,중복목록!$L$6:$L$6005,0))="","",INDEX(원본명단!$E$3:$E$6002,MATCH("R"&amp;51,중복목록!$L$6:$L$6005,0))),""))</f>
        <v/>
      </c>
      <c r="F56" s="11" t="str">
        <f aca="false">IF($A56="","",IFERROR(MAX(INDEX(중복검사!$E$4:$E$6003,MATCH("R"&amp;51,중복목록!$L$6:$L$6005,0)),INDEX(중복검사!$F$4:$F$6003,MATCH("R"&amp;51,중복목록!$L$6:$L$6005,0)),INDEX(중복검사!$G$4:$G$6003,MATCH("R"&amp;51,중복목록!$L$6:$L$6005,0))),""))</f>
        <v/>
      </c>
      <c r="G56" s="11" t="str">
        <f aca="false">IF($A56="","",IFERROR(INDEX(중복검사!$I$4:$I$6003,MATCH("R"&amp;51,중복목록!$L$6:$L$6005,0)),""))</f>
        <v/>
      </c>
      <c r="H56" s="11" t="str">
        <f aca="false">IF($A56="","",IFERROR(INDEX(중복검사!$J$4:$J$6003,MATCH("R"&amp;51,중복목록!$L$6:$L$6005,0)),""))</f>
        <v/>
      </c>
      <c r="J56" s="14" t="b">
        <f aca="false">IF(중복검사!$A54="",FALSE(),중복검사!$H54="중복")</f>
        <v>0</v>
      </c>
      <c r="K56" s="5" t="str">
        <f aca="false">IF($J56=FALSE(),"",COUNTIF($J$6:$J56,TRUE()))</f>
        <v/>
      </c>
      <c r="L56" s="5" t="str">
        <f aca="false">IF($K56="","","R"&amp;$K56)</f>
        <v/>
      </c>
    </row>
    <row r="57" customFormat="false" ht="15" hidden="false" customHeight="true" outlineLevel="0" collapsed="false">
      <c r="A57" s="11" t="str">
        <f aca="false">IFERROR(INDEX(중복검사!$A$4:$A$6003,MATCH("R"&amp;52,중복목록!$L$6:$L$6005,0)),"")</f>
        <v/>
      </c>
      <c r="B57" s="12" t="str">
        <f aca="false">IF($A57="","",IFERROR(INDEX(중복검사!$B$4:$B$6003,MATCH("R"&amp;52,중복목록!$L$6:$L$6005,0)),""))</f>
        <v/>
      </c>
      <c r="C57" s="12" t="str">
        <f aca="false">IF($A57="","",IFERROR(INDEX(중복검사!$C$4:$C$6003,MATCH("R"&amp;52,중복목록!$L$6:$L$6005,0)),""))</f>
        <v/>
      </c>
      <c r="D57" s="12" t="str">
        <f aca="false">IF($A57="","",IFERROR(INDEX(중복검사!$D$4:$D$6003,MATCH("R"&amp;52,중복목록!$L$6:$L$6005,0)),""))</f>
        <v/>
      </c>
      <c r="E57" s="12" t="str">
        <f aca="false">IF($A57="","",IFERROR(IF(INDEX(원본명단!$E$3:$E$6002,MATCH("R"&amp;52,중복목록!$L$6:$L$6005,0))="","",INDEX(원본명단!$E$3:$E$6002,MATCH("R"&amp;52,중복목록!$L$6:$L$6005,0))),""))</f>
        <v/>
      </c>
      <c r="F57" s="11" t="str">
        <f aca="false">IF($A57="","",IFERROR(MAX(INDEX(중복검사!$E$4:$E$6003,MATCH("R"&amp;52,중복목록!$L$6:$L$6005,0)),INDEX(중복검사!$F$4:$F$6003,MATCH("R"&amp;52,중복목록!$L$6:$L$6005,0)),INDEX(중복검사!$G$4:$G$6003,MATCH("R"&amp;52,중복목록!$L$6:$L$6005,0))),""))</f>
        <v/>
      </c>
      <c r="G57" s="11" t="str">
        <f aca="false">IF($A57="","",IFERROR(INDEX(중복검사!$I$4:$I$6003,MATCH("R"&amp;52,중복목록!$L$6:$L$6005,0)),""))</f>
        <v/>
      </c>
      <c r="H57" s="11" t="str">
        <f aca="false">IF($A57="","",IFERROR(INDEX(중복검사!$J$4:$J$6003,MATCH("R"&amp;52,중복목록!$L$6:$L$6005,0)),""))</f>
        <v/>
      </c>
      <c r="J57" s="14" t="b">
        <f aca="false">IF(중복검사!$A55="",FALSE(),중복검사!$H55="중복")</f>
        <v>0</v>
      </c>
      <c r="K57" s="5" t="str">
        <f aca="false">IF($J57=FALSE(),"",COUNTIF($J$6:$J57,TRUE()))</f>
        <v/>
      </c>
      <c r="L57" s="5" t="str">
        <f aca="false">IF($K57="","","R"&amp;$K57)</f>
        <v/>
      </c>
    </row>
    <row r="58" customFormat="false" ht="15" hidden="false" customHeight="true" outlineLevel="0" collapsed="false">
      <c r="A58" s="11" t="str">
        <f aca="false">IFERROR(INDEX(중복검사!$A$4:$A$6003,MATCH("R"&amp;53,중복목록!$L$6:$L$6005,0)),"")</f>
        <v/>
      </c>
      <c r="B58" s="12" t="str">
        <f aca="false">IF($A58="","",IFERROR(INDEX(중복검사!$B$4:$B$6003,MATCH("R"&amp;53,중복목록!$L$6:$L$6005,0)),""))</f>
        <v/>
      </c>
      <c r="C58" s="12" t="str">
        <f aca="false">IF($A58="","",IFERROR(INDEX(중복검사!$C$4:$C$6003,MATCH("R"&amp;53,중복목록!$L$6:$L$6005,0)),""))</f>
        <v/>
      </c>
      <c r="D58" s="12" t="str">
        <f aca="false">IF($A58="","",IFERROR(INDEX(중복검사!$D$4:$D$6003,MATCH("R"&amp;53,중복목록!$L$6:$L$6005,0)),""))</f>
        <v/>
      </c>
      <c r="E58" s="12" t="str">
        <f aca="false">IF($A58="","",IFERROR(IF(INDEX(원본명단!$E$3:$E$6002,MATCH("R"&amp;53,중복목록!$L$6:$L$6005,0))="","",INDEX(원본명단!$E$3:$E$6002,MATCH("R"&amp;53,중복목록!$L$6:$L$6005,0))),""))</f>
        <v/>
      </c>
      <c r="F58" s="11" t="str">
        <f aca="false">IF($A58="","",IFERROR(MAX(INDEX(중복검사!$E$4:$E$6003,MATCH("R"&amp;53,중복목록!$L$6:$L$6005,0)),INDEX(중복검사!$F$4:$F$6003,MATCH("R"&amp;53,중복목록!$L$6:$L$6005,0)),INDEX(중복검사!$G$4:$G$6003,MATCH("R"&amp;53,중복목록!$L$6:$L$6005,0))),""))</f>
        <v/>
      </c>
      <c r="G58" s="11" t="str">
        <f aca="false">IF($A58="","",IFERROR(INDEX(중복검사!$I$4:$I$6003,MATCH("R"&amp;53,중복목록!$L$6:$L$6005,0)),""))</f>
        <v/>
      </c>
      <c r="H58" s="11" t="str">
        <f aca="false">IF($A58="","",IFERROR(INDEX(중복검사!$J$4:$J$6003,MATCH("R"&amp;53,중복목록!$L$6:$L$6005,0)),""))</f>
        <v/>
      </c>
      <c r="J58" s="14" t="b">
        <f aca="false">IF(중복검사!$A56="",FALSE(),중복검사!$H56="중복")</f>
        <v>0</v>
      </c>
      <c r="K58" s="5" t="str">
        <f aca="false">IF($J58=FALSE(),"",COUNTIF($J$6:$J58,TRUE()))</f>
        <v/>
      </c>
      <c r="L58" s="5" t="str">
        <f aca="false">IF($K58="","","R"&amp;$K58)</f>
        <v/>
      </c>
    </row>
    <row r="59" customFormat="false" ht="15" hidden="false" customHeight="true" outlineLevel="0" collapsed="false">
      <c r="A59" s="11" t="str">
        <f aca="false">IFERROR(INDEX(중복검사!$A$4:$A$6003,MATCH("R"&amp;54,중복목록!$L$6:$L$6005,0)),"")</f>
        <v/>
      </c>
      <c r="B59" s="12" t="str">
        <f aca="false">IF($A59="","",IFERROR(INDEX(중복검사!$B$4:$B$6003,MATCH("R"&amp;54,중복목록!$L$6:$L$6005,0)),""))</f>
        <v/>
      </c>
      <c r="C59" s="12" t="str">
        <f aca="false">IF($A59="","",IFERROR(INDEX(중복검사!$C$4:$C$6003,MATCH("R"&amp;54,중복목록!$L$6:$L$6005,0)),""))</f>
        <v/>
      </c>
      <c r="D59" s="12" t="str">
        <f aca="false">IF($A59="","",IFERROR(INDEX(중복검사!$D$4:$D$6003,MATCH("R"&amp;54,중복목록!$L$6:$L$6005,0)),""))</f>
        <v/>
      </c>
      <c r="E59" s="12" t="str">
        <f aca="false">IF($A59="","",IFERROR(IF(INDEX(원본명단!$E$3:$E$6002,MATCH("R"&amp;54,중복목록!$L$6:$L$6005,0))="","",INDEX(원본명단!$E$3:$E$6002,MATCH("R"&amp;54,중복목록!$L$6:$L$6005,0))),""))</f>
        <v/>
      </c>
      <c r="F59" s="11" t="str">
        <f aca="false">IF($A59="","",IFERROR(MAX(INDEX(중복검사!$E$4:$E$6003,MATCH("R"&amp;54,중복목록!$L$6:$L$6005,0)),INDEX(중복검사!$F$4:$F$6003,MATCH("R"&amp;54,중복목록!$L$6:$L$6005,0)),INDEX(중복검사!$G$4:$G$6003,MATCH("R"&amp;54,중복목록!$L$6:$L$6005,0))),""))</f>
        <v/>
      </c>
      <c r="G59" s="11" t="str">
        <f aca="false">IF($A59="","",IFERROR(INDEX(중복검사!$I$4:$I$6003,MATCH("R"&amp;54,중복목록!$L$6:$L$6005,0)),""))</f>
        <v/>
      </c>
      <c r="H59" s="11" t="str">
        <f aca="false">IF($A59="","",IFERROR(INDEX(중복검사!$J$4:$J$6003,MATCH("R"&amp;54,중복목록!$L$6:$L$6005,0)),""))</f>
        <v/>
      </c>
      <c r="J59" s="14" t="b">
        <f aca="false">IF(중복검사!$A57="",FALSE(),중복검사!$H57="중복")</f>
        <v>0</v>
      </c>
      <c r="K59" s="5" t="str">
        <f aca="false">IF($J59=FALSE(),"",COUNTIF($J$6:$J59,TRUE()))</f>
        <v/>
      </c>
      <c r="L59" s="5" t="str">
        <f aca="false">IF($K59="","","R"&amp;$K59)</f>
        <v/>
      </c>
    </row>
    <row r="60" customFormat="false" ht="15" hidden="false" customHeight="true" outlineLevel="0" collapsed="false">
      <c r="A60" s="11" t="str">
        <f aca="false">IFERROR(INDEX(중복검사!$A$4:$A$6003,MATCH("R"&amp;55,중복목록!$L$6:$L$6005,0)),"")</f>
        <v/>
      </c>
      <c r="B60" s="12" t="str">
        <f aca="false">IF($A60="","",IFERROR(INDEX(중복검사!$B$4:$B$6003,MATCH("R"&amp;55,중복목록!$L$6:$L$6005,0)),""))</f>
        <v/>
      </c>
      <c r="C60" s="12" t="str">
        <f aca="false">IF($A60="","",IFERROR(INDEX(중복검사!$C$4:$C$6003,MATCH("R"&amp;55,중복목록!$L$6:$L$6005,0)),""))</f>
        <v/>
      </c>
      <c r="D60" s="12" t="str">
        <f aca="false">IF($A60="","",IFERROR(INDEX(중복검사!$D$4:$D$6003,MATCH("R"&amp;55,중복목록!$L$6:$L$6005,0)),""))</f>
        <v/>
      </c>
      <c r="E60" s="12" t="str">
        <f aca="false">IF($A60="","",IFERROR(IF(INDEX(원본명단!$E$3:$E$6002,MATCH("R"&amp;55,중복목록!$L$6:$L$6005,0))="","",INDEX(원본명단!$E$3:$E$6002,MATCH("R"&amp;55,중복목록!$L$6:$L$6005,0))),""))</f>
        <v/>
      </c>
      <c r="F60" s="11" t="str">
        <f aca="false">IF($A60="","",IFERROR(MAX(INDEX(중복검사!$E$4:$E$6003,MATCH("R"&amp;55,중복목록!$L$6:$L$6005,0)),INDEX(중복검사!$F$4:$F$6003,MATCH("R"&amp;55,중복목록!$L$6:$L$6005,0)),INDEX(중복검사!$G$4:$G$6003,MATCH("R"&amp;55,중복목록!$L$6:$L$6005,0))),""))</f>
        <v/>
      </c>
      <c r="G60" s="11" t="str">
        <f aca="false">IF($A60="","",IFERROR(INDEX(중복검사!$I$4:$I$6003,MATCH("R"&amp;55,중복목록!$L$6:$L$6005,0)),""))</f>
        <v/>
      </c>
      <c r="H60" s="11" t="str">
        <f aca="false">IF($A60="","",IFERROR(INDEX(중복검사!$J$4:$J$6003,MATCH("R"&amp;55,중복목록!$L$6:$L$6005,0)),""))</f>
        <v/>
      </c>
      <c r="J60" s="14" t="b">
        <f aca="false">IF(중복검사!$A58="",FALSE(),중복검사!$H58="중복")</f>
        <v>0</v>
      </c>
      <c r="K60" s="5" t="str">
        <f aca="false">IF($J60=FALSE(),"",COUNTIF($J$6:$J60,TRUE()))</f>
        <v/>
      </c>
      <c r="L60" s="5" t="str">
        <f aca="false">IF($K60="","","R"&amp;$K60)</f>
        <v/>
      </c>
    </row>
    <row r="61" customFormat="false" ht="15" hidden="false" customHeight="true" outlineLevel="0" collapsed="false">
      <c r="A61" s="11" t="str">
        <f aca="false">IFERROR(INDEX(중복검사!$A$4:$A$6003,MATCH("R"&amp;56,중복목록!$L$6:$L$6005,0)),"")</f>
        <v/>
      </c>
      <c r="B61" s="12" t="str">
        <f aca="false">IF($A61="","",IFERROR(INDEX(중복검사!$B$4:$B$6003,MATCH("R"&amp;56,중복목록!$L$6:$L$6005,0)),""))</f>
        <v/>
      </c>
      <c r="C61" s="12" t="str">
        <f aca="false">IF($A61="","",IFERROR(INDEX(중복검사!$C$4:$C$6003,MATCH("R"&amp;56,중복목록!$L$6:$L$6005,0)),""))</f>
        <v/>
      </c>
      <c r="D61" s="12" t="str">
        <f aca="false">IF($A61="","",IFERROR(INDEX(중복검사!$D$4:$D$6003,MATCH("R"&amp;56,중복목록!$L$6:$L$6005,0)),""))</f>
        <v/>
      </c>
      <c r="E61" s="12" t="str">
        <f aca="false">IF($A61="","",IFERROR(IF(INDEX(원본명단!$E$3:$E$6002,MATCH("R"&amp;56,중복목록!$L$6:$L$6005,0))="","",INDEX(원본명단!$E$3:$E$6002,MATCH("R"&amp;56,중복목록!$L$6:$L$6005,0))),""))</f>
        <v/>
      </c>
      <c r="F61" s="11" t="str">
        <f aca="false">IF($A61="","",IFERROR(MAX(INDEX(중복검사!$E$4:$E$6003,MATCH("R"&amp;56,중복목록!$L$6:$L$6005,0)),INDEX(중복검사!$F$4:$F$6003,MATCH("R"&amp;56,중복목록!$L$6:$L$6005,0)),INDEX(중복검사!$G$4:$G$6003,MATCH("R"&amp;56,중복목록!$L$6:$L$6005,0))),""))</f>
        <v/>
      </c>
      <c r="G61" s="11" t="str">
        <f aca="false">IF($A61="","",IFERROR(INDEX(중복검사!$I$4:$I$6003,MATCH("R"&amp;56,중복목록!$L$6:$L$6005,0)),""))</f>
        <v/>
      </c>
      <c r="H61" s="11" t="str">
        <f aca="false">IF($A61="","",IFERROR(INDEX(중복검사!$J$4:$J$6003,MATCH("R"&amp;56,중복목록!$L$6:$L$6005,0)),""))</f>
        <v/>
      </c>
      <c r="J61" s="14" t="b">
        <f aca="false">IF(중복검사!$A59="",FALSE(),중복검사!$H59="중복")</f>
        <v>0</v>
      </c>
      <c r="K61" s="5" t="str">
        <f aca="false">IF($J61=FALSE(),"",COUNTIF($J$6:$J61,TRUE()))</f>
        <v/>
      </c>
      <c r="L61" s="5" t="str">
        <f aca="false">IF($K61="","","R"&amp;$K61)</f>
        <v/>
      </c>
    </row>
    <row r="62" customFormat="false" ht="15" hidden="false" customHeight="true" outlineLevel="0" collapsed="false">
      <c r="A62" s="11" t="str">
        <f aca="false">IFERROR(INDEX(중복검사!$A$4:$A$6003,MATCH("R"&amp;57,중복목록!$L$6:$L$6005,0)),"")</f>
        <v/>
      </c>
      <c r="B62" s="12" t="str">
        <f aca="false">IF($A62="","",IFERROR(INDEX(중복검사!$B$4:$B$6003,MATCH("R"&amp;57,중복목록!$L$6:$L$6005,0)),""))</f>
        <v/>
      </c>
      <c r="C62" s="12" t="str">
        <f aca="false">IF($A62="","",IFERROR(INDEX(중복검사!$C$4:$C$6003,MATCH("R"&amp;57,중복목록!$L$6:$L$6005,0)),""))</f>
        <v/>
      </c>
      <c r="D62" s="12" t="str">
        <f aca="false">IF($A62="","",IFERROR(INDEX(중복검사!$D$4:$D$6003,MATCH("R"&amp;57,중복목록!$L$6:$L$6005,0)),""))</f>
        <v/>
      </c>
      <c r="E62" s="12" t="str">
        <f aca="false">IF($A62="","",IFERROR(IF(INDEX(원본명단!$E$3:$E$6002,MATCH("R"&amp;57,중복목록!$L$6:$L$6005,0))="","",INDEX(원본명단!$E$3:$E$6002,MATCH("R"&amp;57,중복목록!$L$6:$L$6005,0))),""))</f>
        <v/>
      </c>
      <c r="F62" s="11" t="str">
        <f aca="false">IF($A62="","",IFERROR(MAX(INDEX(중복검사!$E$4:$E$6003,MATCH("R"&amp;57,중복목록!$L$6:$L$6005,0)),INDEX(중복검사!$F$4:$F$6003,MATCH("R"&amp;57,중복목록!$L$6:$L$6005,0)),INDEX(중복검사!$G$4:$G$6003,MATCH("R"&amp;57,중복목록!$L$6:$L$6005,0))),""))</f>
        <v/>
      </c>
      <c r="G62" s="11" t="str">
        <f aca="false">IF($A62="","",IFERROR(INDEX(중복검사!$I$4:$I$6003,MATCH("R"&amp;57,중복목록!$L$6:$L$6005,0)),""))</f>
        <v/>
      </c>
      <c r="H62" s="11" t="str">
        <f aca="false">IF($A62="","",IFERROR(INDEX(중복검사!$J$4:$J$6003,MATCH("R"&amp;57,중복목록!$L$6:$L$6005,0)),""))</f>
        <v/>
      </c>
      <c r="J62" s="14" t="b">
        <f aca="false">IF(중복검사!$A60="",FALSE(),중복검사!$H60="중복")</f>
        <v>0</v>
      </c>
      <c r="K62" s="5" t="str">
        <f aca="false">IF($J62=FALSE(),"",COUNTIF($J$6:$J62,TRUE()))</f>
        <v/>
      </c>
      <c r="L62" s="5" t="str">
        <f aca="false">IF($K62="","","R"&amp;$K62)</f>
        <v/>
      </c>
    </row>
    <row r="63" customFormat="false" ht="15" hidden="false" customHeight="true" outlineLevel="0" collapsed="false">
      <c r="A63" s="11" t="str">
        <f aca="false">IFERROR(INDEX(중복검사!$A$4:$A$6003,MATCH("R"&amp;58,중복목록!$L$6:$L$6005,0)),"")</f>
        <v/>
      </c>
      <c r="B63" s="12" t="str">
        <f aca="false">IF($A63="","",IFERROR(INDEX(중복검사!$B$4:$B$6003,MATCH("R"&amp;58,중복목록!$L$6:$L$6005,0)),""))</f>
        <v/>
      </c>
      <c r="C63" s="12" t="str">
        <f aca="false">IF($A63="","",IFERROR(INDEX(중복검사!$C$4:$C$6003,MATCH("R"&amp;58,중복목록!$L$6:$L$6005,0)),""))</f>
        <v/>
      </c>
      <c r="D63" s="12" t="str">
        <f aca="false">IF($A63="","",IFERROR(INDEX(중복검사!$D$4:$D$6003,MATCH("R"&amp;58,중복목록!$L$6:$L$6005,0)),""))</f>
        <v/>
      </c>
      <c r="E63" s="12" t="str">
        <f aca="false">IF($A63="","",IFERROR(IF(INDEX(원본명단!$E$3:$E$6002,MATCH("R"&amp;58,중복목록!$L$6:$L$6005,0))="","",INDEX(원본명단!$E$3:$E$6002,MATCH("R"&amp;58,중복목록!$L$6:$L$6005,0))),""))</f>
        <v/>
      </c>
      <c r="F63" s="11" t="str">
        <f aca="false">IF($A63="","",IFERROR(MAX(INDEX(중복검사!$E$4:$E$6003,MATCH("R"&amp;58,중복목록!$L$6:$L$6005,0)),INDEX(중복검사!$F$4:$F$6003,MATCH("R"&amp;58,중복목록!$L$6:$L$6005,0)),INDEX(중복검사!$G$4:$G$6003,MATCH("R"&amp;58,중복목록!$L$6:$L$6005,0))),""))</f>
        <v/>
      </c>
      <c r="G63" s="11" t="str">
        <f aca="false">IF($A63="","",IFERROR(INDEX(중복검사!$I$4:$I$6003,MATCH("R"&amp;58,중복목록!$L$6:$L$6005,0)),""))</f>
        <v/>
      </c>
      <c r="H63" s="11" t="str">
        <f aca="false">IF($A63="","",IFERROR(INDEX(중복검사!$J$4:$J$6003,MATCH("R"&amp;58,중복목록!$L$6:$L$6005,0)),""))</f>
        <v/>
      </c>
      <c r="J63" s="14" t="b">
        <f aca="false">IF(중복검사!$A61="",FALSE(),중복검사!$H61="중복")</f>
        <v>0</v>
      </c>
      <c r="K63" s="5" t="str">
        <f aca="false">IF($J63=FALSE(),"",COUNTIF($J$6:$J63,TRUE()))</f>
        <v/>
      </c>
      <c r="L63" s="5" t="str">
        <f aca="false">IF($K63="","","R"&amp;$K63)</f>
        <v/>
      </c>
    </row>
    <row r="64" customFormat="false" ht="15" hidden="false" customHeight="true" outlineLevel="0" collapsed="false">
      <c r="A64" s="11" t="str">
        <f aca="false">IFERROR(INDEX(중복검사!$A$4:$A$6003,MATCH("R"&amp;59,중복목록!$L$6:$L$6005,0)),"")</f>
        <v/>
      </c>
      <c r="B64" s="12" t="str">
        <f aca="false">IF($A64="","",IFERROR(INDEX(중복검사!$B$4:$B$6003,MATCH("R"&amp;59,중복목록!$L$6:$L$6005,0)),""))</f>
        <v/>
      </c>
      <c r="C64" s="12" t="str">
        <f aca="false">IF($A64="","",IFERROR(INDEX(중복검사!$C$4:$C$6003,MATCH("R"&amp;59,중복목록!$L$6:$L$6005,0)),""))</f>
        <v/>
      </c>
      <c r="D64" s="12" t="str">
        <f aca="false">IF($A64="","",IFERROR(INDEX(중복검사!$D$4:$D$6003,MATCH("R"&amp;59,중복목록!$L$6:$L$6005,0)),""))</f>
        <v/>
      </c>
      <c r="E64" s="12" t="str">
        <f aca="false">IF($A64="","",IFERROR(IF(INDEX(원본명단!$E$3:$E$6002,MATCH("R"&amp;59,중복목록!$L$6:$L$6005,0))="","",INDEX(원본명단!$E$3:$E$6002,MATCH("R"&amp;59,중복목록!$L$6:$L$6005,0))),""))</f>
        <v/>
      </c>
      <c r="F64" s="11" t="str">
        <f aca="false">IF($A64="","",IFERROR(MAX(INDEX(중복검사!$E$4:$E$6003,MATCH("R"&amp;59,중복목록!$L$6:$L$6005,0)),INDEX(중복검사!$F$4:$F$6003,MATCH("R"&amp;59,중복목록!$L$6:$L$6005,0)),INDEX(중복검사!$G$4:$G$6003,MATCH("R"&amp;59,중복목록!$L$6:$L$6005,0))),""))</f>
        <v/>
      </c>
      <c r="G64" s="11" t="str">
        <f aca="false">IF($A64="","",IFERROR(INDEX(중복검사!$I$4:$I$6003,MATCH("R"&amp;59,중복목록!$L$6:$L$6005,0)),""))</f>
        <v/>
      </c>
      <c r="H64" s="11" t="str">
        <f aca="false">IF($A64="","",IFERROR(INDEX(중복검사!$J$4:$J$6003,MATCH("R"&amp;59,중복목록!$L$6:$L$6005,0)),""))</f>
        <v/>
      </c>
      <c r="J64" s="14" t="b">
        <f aca="false">IF(중복검사!$A62="",FALSE(),중복검사!$H62="중복")</f>
        <v>0</v>
      </c>
      <c r="K64" s="5" t="str">
        <f aca="false">IF($J64=FALSE(),"",COUNTIF($J$6:$J64,TRUE()))</f>
        <v/>
      </c>
      <c r="L64" s="5" t="str">
        <f aca="false">IF($K64="","","R"&amp;$K64)</f>
        <v/>
      </c>
    </row>
    <row r="65" customFormat="false" ht="15" hidden="false" customHeight="true" outlineLevel="0" collapsed="false">
      <c r="A65" s="11" t="str">
        <f aca="false">IFERROR(INDEX(중복검사!$A$4:$A$6003,MATCH("R"&amp;60,중복목록!$L$6:$L$6005,0)),"")</f>
        <v/>
      </c>
      <c r="B65" s="12" t="str">
        <f aca="false">IF($A65="","",IFERROR(INDEX(중복검사!$B$4:$B$6003,MATCH("R"&amp;60,중복목록!$L$6:$L$6005,0)),""))</f>
        <v/>
      </c>
      <c r="C65" s="12" t="str">
        <f aca="false">IF($A65="","",IFERROR(INDEX(중복검사!$C$4:$C$6003,MATCH("R"&amp;60,중복목록!$L$6:$L$6005,0)),""))</f>
        <v/>
      </c>
      <c r="D65" s="12" t="str">
        <f aca="false">IF($A65="","",IFERROR(INDEX(중복검사!$D$4:$D$6003,MATCH("R"&amp;60,중복목록!$L$6:$L$6005,0)),""))</f>
        <v/>
      </c>
      <c r="E65" s="12" t="str">
        <f aca="false">IF($A65="","",IFERROR(IF(INDEX(원본명단!$E$3:$E$6002,MATCH("R"&amp;60,중복목록!$L$6:$L$6005,0))="","",INDEX(원본명단!$E$3:$E$6002,MATCH("R"&amp;60,중복목록!$L$6:$L$6005,0))),""))</f>
        <v/>
      </c>
      <c r="F65" s="11" t="str">
        <f aca="false">IF($A65="","",IFERROR(MAX(INDEX(중복검사!$E$4:$E$6003,MATCH("R"&amp;60,중복목록!$L$6:$L$6005,0)),INDEX(중복검사!$F$4:$F$6003,MATCH("R"&amp;60,중복목록!$L$6:$L$6005,0)),INDEX(중복검사!$G$4:$G$6003,MATCH("R"&amp;60,중복목록!$L$6:$L$6005,0))),""))</f>
        <v/>
      </c>
      <c r="G65" s="11" t="str">
        <f aca="false">IF($A65="","",IFERROR(INDEX(중복검사!$I$4:$I$6003,MATCH("R"&amp;60,중복목록!$L$6:$L$6005,0)),""))</f>
        <v/>
      </c>
      <c r="H65" s="11" t="str">
        <f aca="false">IF($A65="","",IFERROR(INDEX(중복검사!$J$4:$J$6003,MATCH("R"&amp;60,중복목록!$L$6:$L$6005,0)),""))</f>
        <v/>
      </c>
      <c r="J65" s="14" t="b">
        <f aca="false">IF(중복검사!$A63="",FALSE(),중복검사!$H63="중복")</f>
        <v>0</v>
      </c>
      <c r="K65" s="5" t="str">
        <f aca="false">IF($J65=FALSE(),"",COUNTIF($J$6:$J65,TRUE()))</f>
        <v/>
      </c>
      <c r="L65" s="5" t="str">
        <f aca="false">IF($K65="","","R"&amp;$K65)</f>
        <v/>
      </c>
    </row>
    <row r="66" customFormat="false" ht="15" hidden="false" customHeight="true" outlineLevel="0" collapsed="false">
      <c r="A66" s="11" t="str">
        <f aca="false">IFERROR(INDEX(중복검사!$A$4:$A$6003,MATCH("R"&amp;61,중복목록!$L$6:$L$6005,0)),"")</f>
        <v/>
      </c>
      <c r="B66" s="12" t="str">
        <f aca="false">IF($A66="","",IFERROR(INDEX(중복검사!$B$4:$B$6003,MATCH("R"&amp;61,중복목록!$L$6:$L$6005,0)),""))</f>
        <v/>
      </c>
      <c r="C66" s="12" t="str">
        <f aca="false">IF($A66="","",IFERROR(INDEX(중복검사!$C$4:$C$6003,MATCH("R"&amp;61,중복목록!$L$6:$L$6005,0)),""))</f>
        <v/>
      </c>
      <c r="D66" s="12" t="str">
        <f aca="false">IF($A66="","",IFERROR(INDEX(중복검사!$D$4:$D$6003,MATCH("R"&amp;61,중복목록!$L$6:$L$6005,0)),""))</f>
        <v/>
      </c>
      <c r="E66" s="12" t="str">
        <f aca="false">IF($A66="","",IFERROR(IF(INDEX(원본명단!$E$3:$E$6002,MATCH("R"&amp;61,중복목록!$L$6:$L$6005,0))="","",INDEX(원본명단!$E$3:$E$6002,MATCH("R"&amp;61,중복목록!$L$6:$L$6005,0))),""))</f>
        <v/>
      </c>
      <c r="F66" s="11" t="str">
        <f aca="false">IF($A66="","",IFERROR(MAX(INDEX(중복검사!$E$4:$E$6003,MATCH("R"&amp;61,중복목록!$L$6:$L$6005,0)),INDEX(중복검사!$F$4:$F$6003,MATCH("R"&amp;61,중복목록!$L$6:$L$6005,0)),INDEX(중복검사!$G$4:$G$6003,MATCH("R"&amp;61,중복목록!$L$6:$L$6005,0))),""))</f>
        <v/>
      </c>
      <c r="G66" s="11" t="str">
        <f aca="false">IF($A66="","",IFERROR(INDEX(중복검사!$I$4:$I$6003,MATCH("R"&amp;61,중복목록!$L$6:$L$6005,0)),""))</f>
        <v/>
      </c>
      <c r="H66" s="11" t="str">
        <f aca="false">IF($A66="","",IFERROR(INDEX(중복검사!$J$4:$J$6003,MATCH("R"&amp;61,중복목록!$L$6:$L$6005,0)),""))</f>
        <v/>
      </c>
      <c r="J66" s="14" t="b">
        <f aca="false">IF(중복검사!$A64="",FALSE(),중복검사!$H64="중복")</f>
        <v>0</v>
      </c>
      <c r="K66" s="5" t="str">
        <f aca="false">IF($J66=FALSE(),"",COUNTIF($J$6:$J66,TRUE()))</f>
        <v/>
      </c>
      <c r="L66" s="5" t="str">
        <f aca="false">IF($K66="","","R"&amp;$K66)</f>
        <v/>
      </c>
    </row>
    <row r="67" customFormat="false" ht="15" hidden="false" customHeight="true" outlineLevel="0" collapsed="false">
      <c r="A67" s="11" t="str">
        <f aca="false">IFERROR(INDEX(중복검사!$A$4:$A$6003,MATCH("R"&amp;62,중복목록!$L$6:$L$6005,0)),"")</f>
        <v/>
      </c>
      <c r="B67" s="12" t="str">
        <f aca="false">IF($A67="","",IFERROR(INDEX(중복검사!$B$4:$B$6003,MATCH("R"&amp;62,중복목록!$L$6:$L$6005,0)),""))</f>
        <v/>
      </c>
      <c r="C67" s="12" t="str">
        <f aca="false">IF($A67="","",IFERROR(INDEX(중복검사!$C$4:$C$6003,MATCH("R"&amp;62,중복목록!$L$6:$L$6005,0)),""))</f>
        <v/>
      </c>
      <c r="D67" s="12" t="str">
        <f aca="false">IF($A67="","",IFERROR(INDEX(중복검사!$D$4:$D$6003,MATCH("R"&amp;62,중복목록!$L$6:$L$6005,0)),""))</f>
        <v/>
      </c>
      <c r="E67" s="12" t="str">
        <f aca="false">IF($A67="","",IFERROR(IF(INDEX(원본명단!$E$3:$E$6002,MATCH("R"&amp;62,중복목록!$L$6:$L$6005,0))="","",INDEX(원본명단!$E$3:$E$6002,MATCH("R"&amp;62,중복목록!$L$6:$L$6005,0))),""))</f>
        <v/>
      </c>
      <c r="F67" s="11" t="str">
        <f aca="false">IF($A67="","",IFERROR(MAX(INDEX(중복검사!$E$4:$E$6003,MATCH("R"&amp;62,중복목록!$L$6:$L$6005,0)),INDEX(중복검사!$F$4:$F$6003,MATCH("R"&amp;62,중복목록!$L$6:$L$6005,0)),INDEX(중복검사!$G$4:$G$6003,MATCH("R"&amp;62,중복목록!$L$6:$L$6005,0))),""))</f>
        <v/>
      </c>
      <c r="G67" s="11" t="str">
        <f aca="false">IF($A67="","",IFERROR(INDEX(중복검사!$I$4:$I$6003,MATCH("R"&amp;62,중복목록!$L$6:$L$6005,0)),""))</f>
        <v/>
      </c>
      <c r="H67" s="11" t="str">
        <f aca="false">IF($A67="","",IFERROR(INDEX(중복검사!$J$4:$J$6003,MATCH("R"&amp;62,중복목록!$L$6:$L$6005,0)),""))</f>
        <v/>
      </c>
      <c r="J67" s="14" t="b">
        <f aca="false">IF(중복검사!$A65="",FALSE(),중복검사!$H65="중복")</f>
        <v>0</v>
      </c>
      <c r="K67" s="5" t="str">
        <f aca="false">IF($J67=FALSE(),"",COUNTIF($J$6:$J67,TRUE()))</f>
        <v/>
      </c>
      <c r="L67" s="5" t="str">
        <f aca="false">IF($K67="","","R"&amp;$K67)</f>
        <v/>
      </c>
    </row>
    <row r="68" customFormat="false" ht="15" hidden="false" customHeight="true" outlineLevel="0" collapsed="false">
      <c r="A68" s="11" t="str">
        <f aca="false">IFERROR(INDEX(중복검사!$A$4:$A$6003,MATCH("R"&amp;63,중복목록!$L$6:$L$6005,0)),"")</f>
        <v/>
      </c>
      <c r="B68" s="12" t="str">
        <f aca="false">IF($A68="","",IFERROR(INDEX(중복검사!$B$4:$B$6003,MATCH("R"&amp;63,중복목록!$L$6:$L$6005,0)),""))</f>
        <v/>
      </c>
      <c r="C68" s="12" t="str">
        <f aca="false">IF($A68="","",IFERROR(INDEX(중복검사!$C$4:$C$6003,MATCH("R"&amp;63,중복목록!$L$6:$L$6005,0)),""))</f>
        <v/>
      </c>
      <c r="D68" s="12" t="str">
        <f aca="false">IF($A68="","",IFERROR(INDEX(중복검사!$D$4:$D$6003,MATCH("R"&amp;63,중복목록!$L$6:$L$6005,0)),""))</f>
        <v/>
      </c>
      <c r="E68" s="12" t="str">
        <f aca="false">IF($A68="","",IFERROR(IF(INDEX(원본명단!$E$3:$E$6002,MATCH("R"&amp;63,중복목록!$L$6:$L$6005,0))="","",INDEX(원본명단!$E$3:$E$6002,MATCH("R"&amp;63,중복목록!$L$6:$L$6005,0))),""))</f>
        <v/>
      </c>
      <c r="F68" s="11" t="str">
        <f aca="false">IF($A68="","",IFERROR(MAX(INDEX(중복검사!$E$4:$E$6003,MATCH("R"&amp;63,중복목록!$L$6:$L$6005,0)),INDEX(중복검사!$F$4:$F$6003,MATCH("R"&amp;63,중복목록!$L$6:$L$6005,0)),INDEX(중복검사!$G$4:$G$6003,MATCH("R"&amp;63,중복목록!$L$6:$L$6005,0))),""))</f>
        <v/>
      </c>
      <c r="G68" s="11" t="str">
        <f aca="false">IF($A68="","",IFERROR(INDEX(중복검사!$I$4:$I$6003,MATCH("R"&amp;63,중복목록!$L$6:$L$6005,0)),""))</f>
        <v/>
      </c>
      <c r="H68" s="11" t="str">
        <f aca="false">IF($A68="","",IFERROR(INDEX(중복검사!$J$4:$J$6003,MATCH("R"&amp;63,중복목록!$L$6:$L$6005,0)),""))</f>
        <v/>
      </c>
      <c r="J68" s="14" t="b">
        <f aca="false">IF(중복검사!$A66="",FALSE(),중복검사!$H66="중복")</f>
        <v>0</v>
      </c>
      <c r="K68" s="5" t="str">
        <f aca="false">IF($J68=FALSE(),"",COUNTIF($J$6:$J68,TRUE()))</f>
        <v/>
      </c>
      <c r="L68" s="5" t="str">
        <f aca="false">IF($K68="","","R"&amp;$K68)</f>
        <v/>
      </c>
    </row>
    <row r="69" customFormat="false" ht="15" hidden="false" customHeight="true" outlineLevel="0" collapsed="false">
      <c r="A69" s="11" t="str">
        <f aca="false">IFERROR(INDEX(중복검사!$A$4:$A$6003,MATCH("R"&amp;64,중복목록!$L$6:$L$6005,0)),"")</f>
        <v/>
      </c>
      <c r="B69" s="12" t="str">
        <f aca="false">IF($A69="","",IFERROR(INDEX(중복검사!$B$4:$B$6003,MATCH("R"&amp;64,중복목록!$L$6:$L$6005,0)),""))</f>
        <v/>
      </c>
      <c r="C69" s="12" t="str">
        <f aca="false">IF($A69="","",IFERROR(INDEX(중복검사!$C$4:$C$6003,MATCH("R"&amp;64,중복목록!$L$6:$L$6005,0)),""))</f>
        <v/>
      </c>
      <c r="D69" s="12" t="str">
        <f aca="false">IF($A69="","",IFERROR(INDEX(중복검사!$D$4:$D$6003,MATCH("R"&amp;64,중복목록!$L$6:$L$6005,0)),""))</f>
        <v/>
      </c>
      <c r="E69" s="12" t="str">
        <f aca="false">IF($A69="","",IFERROR(IF(INDEX(원본명단!$E$3:$E$6002,MATCH("R"&amp;64,중복목록!$L$6:$L$6005,0))="","",INDEX(원본명단!$E$3:$E$6002,MATCH("R"&amp;64,중복목록!$L$6:$L$6005,0))),""))</f>
        <v/>
      </c>
      <c r="F69" s="11" t="str">
        <f aca="false">IF($A69="","",IFERROR(MAX(INDEX(중복검사!$E$4:$E$6003,MATCH("R"&amp;64,중복목록!$L$6:$L$6005,0)),INDEX(중복검사!$F$4:$F$6003,MATCH("R"&amp;64,중복목록!$L$6:$L$6005,0)),INDEX(중복검사!$G$4:$G$6003,MATCH("R"&amp;64,중복목록!$L$6:$L$6005,0))),""))</f>
        <v/>
      </c>
      <c r="G69" s="11" t="str">
        <f aca="false">IF($A69="","",IFERROR(INDEX(중복검사!$I$4:$I$6003,MATCH("R"&amp;64,중복목록!$L$6:$L$6005,0)),""))</f>
        <v/>
      </c>
      <c r="H69" s="11" t="str">
        <f aca="false">IF($A69="","",IFERROR(INDEX(중복검사!$J$4:$J$6003,MATCH("R"&amp;64,중복목록!$L$6:$L$6005,0)),""))</f>
        <v/>
      </c>
      <c r="J69" s="14" t="b">
        <f aca="false">IF(중복검사!$A67="",FALSE(),중복검사!$H67="중복")</f>
        <v>0</v>
      </c>
      <c r="K69" s="5" t="str">
        <f aca="false">IF($J69=FALSE(),"",COUNTIF($J$6:$J69,TRUE()))</f>
        <v/>
      </c>
      <c r="L69" s="5" t="str">
        <f aca="false">IF($K69="","","R"&amp;$K69)</f>
        <v/>
      </c>
    </row>
    <row r="70" customFormat="false" ht="15" hidden="false" customHeight="true" outlineLevel="0" collapsed="false">
      <c r="A70" s="11" t="str">
        <f aca="false">IFERROR(INDEX(중복검사!$A$4:$A$6003,MATCH("R"&amp;65,중복목록!$L$6:$L$6005,0)),"")</f>
        <v/>
      </c>
      <c r="B70" s="12" t="str">
        <f aca="false">IF($A70="","",IFERROR(INDEX(중복검사!$B$4:$B$6003,MATCH("R"&amp;65,중복목록!$L$6:$L$6005,0)),""))</f>
        <v/>
      </c>
      <c r="C70" s="12" t="str">
        <f aca="false">IF($A70="","",IFERROR(INDEX(중복검사!$C$4:$C$6003,MATCH("R"&amp;65,중복목록!$L$6:$L$6005,0)),""))</f>
        <v/>
      </c>
      <c r="D70" s="12" t="str">
        <f aca="false">IF($A70="","",IFERROR(INDEX(중복검사!$D$4:$D$6003,MATCH("R"&amp;65,중복목록!$L$6:$L$6005,0)),""))</f>
        <v/>
      </c>
      <c r="E70" s="12" t="str">
        <f aca="false">IF($A70="","",IFERROR(IF(INDEX(원본명단!$E$3:$E$6002,MATCH("R"&amp;65,중복목록!$L$6:$L$6005,0))="","",INDEX(원본명단!$E$3:$E$6002,MATCH("R"&amp;65,중복목록!$L$6:$L$6005,0))),""))</f>
        <v/>
      </c>
      <c r="F70" s="11" t="str">
        <f aca="false">IF($A70="","",IFERROR(MAX(INDEX(중복검사!$E$4:$E$6003,MATCH("R"&amp;65,중복목록!$L$6:$L$6005,0)),INDEX(중복검사!$F$4:$F$6003,MATCH("R"&amp;65,중복목록!$L$6:$L$6005,0)),INDEX(중복검사!$G$4:$G$6003,MATCH("R"&amp;65,중복목록!$L$6:$L$6005,0))),""))</f>
        <v/>
      </c>
      <c r="G70" s="11" t="str">
        <f aca="false">IF($A70="","",IFERROR(INDEX(중복검사!$I$4:$I$6003,MATCH("R"&amp;65,중복목록!$L$6:$L$6005,0)),""))</f>
        <v/>
      </c>
      <c r="H70" s="11" t="str">
        <f aca="false">IF($A70="","",IFERROR(INDEX(중복검사!$J$4:$J$6003,MATCH("R"&amp;65,중복목록!$L$6:$L$6005,0)),""))</f>
        <v/>
      </c>
      <c r="J70" s="14" t="b">
        <f aca="false">IF(중복검사!$A68="",FALSE(),중복검사!$H68="중복")</f>
        <v>0</v>
      </c>
      <c r="K70" s="5" t="str">
        <f aca="false">IF($J70=FALSE(),"",COUNTIF($J$6:$J70,TRUE()))</f>
        <v/>
      </c>
      <c r="L70" s="5" t="str">
        <f aca="false">IF($K70="","","R"&amp;$K70)</f>
        <v/>
      </c>
    </row>
    <row r="71" customFormat="false" ht="15" hidden="false" customHeight="true" outlineLevel="0" collapsed="false">
      <c r="A71" s="11" t="str">
        <f aca="false">IFERROR(INDEX(중복검사!$A$4:$A$6003,MATCH("R"&amp;66,중복목록!$L$6:$L$6005,0)),"")</f>
        <v/>
      </c>
      <c r="B71" s="12" t="str">
        <f aca="false">IF($A71="","",IFERROR(INDEX(중복검사!$B$4:$B$6003,MATCH("R"&amp;66,중복목록!$L$6:$L$6005,0)),""))</f>
        <v/>
      </c>
      <c r="C71" s="12" t="str">
        <f aca="false">IF($A71="","",IFERROR(INDEX(중복검사!$C$4:$C$6003,MATCH("R"&amp;66,중복목록!$L$6:$L$6005,0)),""))</f>
        <v/>
      </c>
      <c r="D71" s="12" t="str">
        <f aca="false">IF($A71="","",IFERROR(INDEX(중복검사!$D$4:$D$6003,MATCH("R"&amp;66,중복목록!$L$6:$L$6005,0)),""))</f>
        <v/>
      </c>
      <c r="E71" s="12" t="str">
        <f aca="false">IF($A71="","",IFERROR(IF(INDEX(원본명단!$E$3:$E$6002,MATCH("R"&amp;66,중복목록!$L$6:$L$6005,0))="","",INDEX(원본명단!$E$3:$E$6002,MATCH("R"&amp;66,중복목록!$L$6:$L$6005,0))),""))</f>
        <v/>
      </c>
      <c r="F71" s="11" t="str">
        <f aca="false">IF($A71="","",IFERROR(MAX(INDEX(중복검사!$E$4:$E$6003,MATCH("R"&amp;66,중복목록!$L$6:$L$6005,0)),INDEX(중복검사!$F$4:$F$6003,MATCH("R"&amp;66,중복목록!$L$6:$L$6005,0)),INDEX(중복검사!$G$4:$G$6003,MATCH("R"&amp;66,중복목록!$L$6:$L$6005,0))),""))</f>
        <v/>
      </c>
      <c r="G71" s="11" t="str">
        <f aca="false">IF($A71="","",IFERROR(INDEX(중복검사!$I$4:$I$6003,MATCH("R"&amp;66,중복목록!$L$6:$L$6005,0)),""))</f>
        <v/>
      </c>
      <c r="H71" s="11" t="str">
        <f aca="false">IF($A71="","",IFERROR(INDEX(중복검사!$J$4:$J$6003,MATCH("R"&amp;66,중복목록!$L$6:$L$6005,0)),""))</f>
        <v/>
      </c>
      <c r="J71" s="14" t="b">
        <f aca="false">IF(중복검사!$A69="",FALSE(),중복검사!$H69="중복")</f>
        <v>0</v>
      </c>
      <c r="K71" s="5" t="str">
        <f aca="false">IF($J71=FALSE(),"",COUNTIF($J$6:$J71,TRUE()))</f>
        <v/>
      </c>
      <c r="L71" s="5" t="str">
        <f aca="false">IF($K71="","","R"&amp;$K71)</f>
        <v/>
      </c>
    </row>
    <row r="72" customFormat="false" ht="15" hidden="false" customHeight="true" outlineLevel="0" collapsed="false">
      <c r="A72" s="11" t="str">
        <f aca="false">IFERROR(INDEX(중복검사!$A$4:$A$6003,MATCH("R"&amp;67,중복목록!$L$6:$L$6005,0)),"")</f>
        <v/>
      </c>
      <c r="B72" s="12" t="str">
        <f aca="false">IF($A72="","",IFERROR(INDEX(중복검사!$B$4:$B$6003,MATCH("R"&amp;67,중복목록!$L$6:$L$6005,0)),""))</f>
        <v/>
      </c>
      <c r="C72" s="12" t="str">
        <f aca="false">IF($A72="","",IFERROR(INDEX(중복검사!$C$4:$C$6003,MATCH("R"&amp;67,중복목록!$L$6:$L$6005,0)),""))</f>
        <v/>
      </c>
      <c r="D72" s="12" t="str">
        <f aca="false">IF($A72="","",IFERROR(INDEX(중복검사!$D$4:$D$6003,MATCH("R"&amp;67,중복목록!$L$6:$L$6005,0)),""))</f>
        <v/>
      </c>
      <c r="E72" s="12" t="str">
        <f aca="false">IF($A72="","",IFERROR(IF(INDEX(원본명단!$E$3:$E$6002,MATCH("R"&amp;67,중복목록!$L$6:$L$6005,0))="","",INDEX(원본명단!$E$3:$E$6002,MATCH("R"&amp;67,중복목록!$L$6:$L$6005,0))),""))</f>
        <v/>
      </c>
      <c r="F72" s="11" t="str">
        <f aca="false">IF($A72="","",IFERROR(MAX(INDEX(중복검사!$E$4:$E$6003,MATCH("R"&amp;67,중복목록!$L$6:$L$6005,0)),INDEX(중복검사!$F$4:$F$6003,MATCH("R"&amp;67,중복목록!$L$6:$L$6005,0)),INDEX(중복검사!$G$4:$G$6003,MATCH("R"&amp;67,중복목록!$L$6:$L$6005,0))),""))</f>
        <v/>
      </c>
      <c r="G72" s="11" t="str">
        <f aca="false">IF($A72="","",IFERROR(INDEX(중복검사!$I$4:$I$6003,MATCH("R"&amp;67,중복목록!$L$6:$L$6005,0)),""))</f>
        <v/>
      </c>
      <c r="H72" s="11" t="str">
        <f aca="false">IF($A72="","",IFERROR(INDEX(중복검사!$J$4:$J$6003,MATCH("R"&amp;67,중복목록!$L$6:$L$6005,0)),""))</f>
        <v/>
      </c>
      <c r="J72" s="14" t="b">
        <f aca="false">IF(중복검사!$A70="",FALSE(),중복검사!$H70="중복")</f>
        <v>0</v>
      </c>
      <c r="K72" s="5" t="str">
        <f aca="false">IF($J72=FALSE(),"",COUNTIF($J$6:$J72,TRUE()))</f>
        <v/>
      </c>
      <c r="L72" s="5" t="str">
        <f aca="false">IF($K72="","","R"&amp;$K72)</f>
        <v/>
      </c>
    </row>
    <row r="73" customFormat="false" ht="15" hidden="false" customHeight="true" outlineLevel="0" collapsed="false">
      <c r="A73" s="11" t="str">
        <f aca="false">IFERROR(INDEX(중복검사!$A$4:$A$6003,MATCH("R"&amp;68,중복목록!$L$6:$L$6005,0)),"")</f>
        <v/>
      </c>
      <c r="B73" s="12" t="str">
        <f aca="false">IF($A73="","",IFERROR(INDEX(중복검사!$B$4:$B$6003,MATCH("R"&amp;68,중복목록!$L$6:$L$6005,0)),""))</f>
        <v/>
      </c>
      <c r="C73" s="12" t="str">
        <f aca="false">IF($A73="","",IFERROR(INDEX(중복검사!$C$4:$C$6003,MATCH("R"&amp;68,중복목록!$L$6:$L$6005,0)),""))</f>
        <v/>
      </c>
      <c r="D73" s="12" t="str">
        <f aca="false">IF($A73="","",IFERROR(INDEX(중복검사!$D$4:$D$6003,MATCH("R"&amp;68,중복목록!$L$6:$L$6005,0)),""))</f>
        <v/>
      </c>
      <c r="E73" s="12" t="str">
        <f aca="false">IF($A73="","",IFERROR(IF(INDEX(원본명단!$E$3:$E$6002,MATCH("R"&amp;68,중복목록!$L$6:$L$6005,0))="","",INDEX(원본명단!$E$3:$E$6002,MATCH("R"&amp;68,중복목록!$L$6:$L$6005,0))),""))</f>
        <v/>
      </c>
      <c r="F73" s="11" t="str">
        <f aca="false">IF($A73="","",IFERROR(MAX(INDEX(중복검사!$E$4:$E$6003,MATCH("R"&amp;68,중복목록!$L$6:$L$6005,0)),INDEX(중복검사!$F$4:$F$6003,MATCH("R"&amp;68,중복목록!$L$6:$L$6005,0)),INDEX(중복검사!$G$4:$G$6003,MATCH("R"&amp;68,중복목록!$L$6:$L$6005,0))),""))</f>
        <v/>
      </c>
      <c r="G73" s="11" t="str">
        <f aca="false">IF($A73="","",IFERROR(INDEX(중복검사!$I$4:$I$6003,MATCH("R"&amp;68,중복목록!$L$6:$L$6005,0)),""))</f>
        <v/>
      </c>
      <c r="H73" s="11" t="str">
        <f aca="false">IF($A73="","",IFERROR(INDEX(중복검사!$J$4:$J$6003,MATCH("R"&amp;68,중복목록!$L$6:$L$6005,0)),""))</f>
        <v/>
      </c>
      <c r="J73" s="14" t="b">
        <f aca="false">IF(중복검사!$A71="",FALSE(),중복검사!$H71="중복")</f>
        <v>0</v>
      </c>
      <c r="K73" s="5" t="str">
        <f aca="false">IF($J73=FALSE(),"",COUNTIF($J$6:$J73,TRUE()))</f>
        <v/>
      </c>
      <c r="L73" s="5" t="str">
        <f aca="false">IF($K73="","","R"&amp;$K73)</f>
        <v/>
      </c>
    </row>
    <row r="74" customFormat="false" ht="15" hidden="false" customHeight="true" outlineLevel="0" collapsed="false">
      <c r="A74" s="11" t="str">
        <f aca="false">IFERROR(INDEX(중복검사!$A$4:$A$6003,MATCH("R"&amp;69,중복목록!$L$6:$L$6005,0)),"")</f>
        <v/>
      </c>
      <c r="B74" s="12" t="str">
        <f aca="false">IF($A74="","",IFERROR(INDEX(중복검사!$B$4:$B$6003,MATCH("R"&amp;69,중복목록!$L$6:$L$6005,0)),""))</f>
        <v/>
      </c>
      <c r="C74" s="12" t="str">
        <f aca="false">IF($A74="","",IFERROR(INDEX(중복검사!$C$4:$C$6003,MATCH("R"&amp;69,중복목록!$L$6:$L$6005,0)),""))</f>
        <v/>
      </c>
      <c r="D74" s="12" t="str">
        <f aca="false">IF($A74="","",IFERROR(INDEX(중복검사!$D$4:$D$6003,MATCH("R"&amp;69,중복목록!$L$6:$L$6005,0)),""))</f>
        <v/>
      </c>
      <c r="E74" s="12" t="str">
        <f aca="false">IF($A74="","",IFERROR(IF(INDEX(원본명단!$E$3:$E$6002,MATCH("R"&amp;69,중복목록!$L$6:$L$6005,0))="","",INDEX(원본명단!$E$3:$E$6002,MATCH("R"&amp;69,중복목록!$L$6:$L$6005,0))),""))</f>
        <v/>
      </c>
      <c r="F74" s="11" t="str">
        <f aca="false">IF($A74="","",IFERROR(MAX(INDEX(중복검사!$E$4:$E$6003,MATCH("R"&amp;69,중복목록!$L$6:$L$6005,0)),INDEX(중복검사!$F$4:$F$6003,MATCH("R"&amp;69,중복목록!$L$6:$L$6005,0)),INDEX(중복검사!$G$4:$G$6003,MATCH("R"&amp;69,중복목록!$L$6:$L$6005,0))),""))</f>
        <v/>
      </c>
      <c r="G74" s="11" t="str">
        <f aca="false">IF($A74="","",IFERROR(INDEX(중복검사!$I$4:$I$6003,MATCH("R"&amp;69,중복목록!$L$6:$L$6005,0)),""))</f>
        <v/>
      </c>
      <c r="H74" s="11" t="str">
        <f aca="false">IF($A74="","",IFERROR(INDEX(중복검사!$J$4:$J$6003,MATCH("R"&amp;69,중복목록!$L$6:$L$6005,0)),""))</f>
        <v/>
      </c>
      <c r="J74" s="14" t="b">
        <f aca="false">IF(중복검사!$A72="",FALSE(),중복검사!$H72="중복")</f>
        <v>0</v>
      </c>
      <c r="K74" s="5" t="str">
        <f aca="false">IF($J74=FALSE(),"",COUNTIF($J$6:$J74,TRUE()))</f>
        <v/>
      </c>
      <c r="L74" s="5" t="str">
        <f aca="false">IF($K74="","","R"&amp;$K74)</f>
        <v/>
      </c>
    </row>
    <row r="75" customFormat="false" ht="15" hidden="false" customHeight="true" outlineLevel="0" collapsed="false">
      <c r="A75" s="11" t="str">
        <f aca="false">IFERROR(INDEX(중복검사!$A$4:$A$6003,MATCH("R"&amp;70,중복목록!$L$6:$L$6005,0)),"")</f>
        <v/>
      </c>
      <c r="B75" s="12" t="str">
        <f aca="false">IF($A75="","",IFERROR(INDEX(중복검사!$B$4:$B$6003,MATCH("R"&amp;70,중복목록!$L$6:$L$6005,0)),""))</f>
        <v/>
      </c>
      <c r="C75" s="12" t="str">
        <f aca="false">IF($A75="","",IFERROR(INDEX(중복검사!$C$4:$C$6003,MATCH("R"&amp;70,중복목록!$L$6:$L$6005,0)),""))</f>
        <v/>
      </c>
      <c r="D75" s="12" t="str">
        <f aca="false">IF($A75="","",IFERROR(INDEX(중복검사!$D$4:$D$6003,MATCH("R"&amp;70,중복목록!$L$6:$L$6005,0)),""))</f>
        <v/>
      </c>
      <c r="E75" s="12" t="str">
        <f aca="false">IF($A75="","",IFERROR(IF(INDEX(원본명단!$E$3:$E$6002,MATCH("R"&amp;70,중복목록!$L$6:$L$6005,0))="","",INDEX(원본명단!$E$3:$E$6002,MATCH("R"&amp;70,중복목록!$L$6:$L$6005,0))),""))</f>
        <v/>
      </c>
      <c r="F75" s="11" t="str">
        <f aca="false">IF($A75="","",IFERROR(MAX(INDEX(중복검사!$E$4:$E$6003,MATCH("R"&amp;70,중복목록!$L$6:$L$6005,0)),INDEX(중복검사!$F$4:$F$6003,MATCH("R"&amp;70,중복목록!$L$6:$L$6005,0)),INDEX(중복검사!$G$4:$G$6003,MATCH("R"&amp;70,중복목록!$L$6:$L$6005,0))),""))</f>
        <v/>
      </c>
      <c r="G75" s="11" t="str">
        <f aca="false">IF($A75="","",IFERROR(INDEX(중복검사!$I$4:$I$6003,MATCH("R"&amp;70,중복목록!$L$6:$L$6005,0)),""))</f>
        <v/>
      </c>
      <c r="H75" s="11" t="str">
        <f aca="false">IF($A75="","",IFERROR(INDEX(중복검사!$J$4:$J$6003,MATCH("R"&amp;70,중복목록!$L$6:$L$6005,0)),""))</f>
        <v/>
      </c>
      <c r="J75" s="14" t="b">
        <f aca="false">IF(중복검사!$A73="",FALSE(),중복검사!$H73="중복")</f>
        <v>0</v>
      </c>
      <c r="K75" s="5" t="str">
        <f aca="false">IF($J75=FALSE(),"",COUNTIF($J$6:$J75,TRUE()))</f>
        <v/>
      </c>
      <c r="L75" s="5" t="str">
        <f aca="false">IF($K75="","","R"&amp;$K75)</f>
        <v/>
      </c>
    </row>
    <row r="76" customFormat="false" ht="15" hidden="false" customHeight="true" outlineLevel="0" collapsed="false">
      <c r="A76" s="11" t="str">
        <f aca="false">IFERROR(INDEX(중복검사!$A$4:$A$6003,MATCH("R"&amp;71,중복목록!$L$6:$L$6005,0)),"")</f>
        <v/>
      </c>
      <c r="B76" s="12" t="str">
        <f aca="false">IF($A76="","",IFERROR(INDEX(중복검사!$B$4:$B$6003,MATCH("R"&amp;71,중복목록!$L$6:$L$6005,0)),""))</f>
        <v/>
      </c>
      <c r="C76" s="12" t="str">
        <f aca="false">IF($A76="","",IFERROR(INDEX(중복검사!$C$4:$C$6003,MATCH("R"&amp;71,중복목록!$L$6:$L$6005,0)),""))</f>
        <v/>
      </c>
      <c r="D76" s="12" t="str">
        <f aca="false">IF($A76="","",IFERROR(INDEX(중복검사!$D$4:$D$6003,MATCH("R"&amp;71,중복목록!$L$6:$L$6005,0)),""))</f>
        <v/>
      </c>
      <c r="E76" s="12" t="str">
        <f aca="false">IF($A76="","",IFERROR(IF(INDEX(원본명단!$E$3:$E$6002,MATCH("R"&amp;71,중복목록!$L$6:$L$6005,0))="","",INDEX(원본명단!$E$3:$E$6002,MATCH("R"&amp;71,중복목록!$L$6:$L$6005,0))),""))</f>
        <v/>
      </c>
      <c r="F76" s="11" t="str">
        <f aca="false">IF($A76="","",IFERROR(MAX(INDEX(중복검사!$E$4:$E$6003,MATCH("R"&amp;71,중복목록!$L$6:$L$6005,0)),INDEX(중복검사!$F$4:$F$6003,MATCH("R"&amp;71,중복목록!$L$6:$L$6005,0)),INDEX(중복검사!$G$4:$G$6003,MATCH("R"&amp;71,중복목록!$L$6:$L$6005,0))),""))</f>
        <v/>
      </c>
      <c r="G76" s="11" t="str">
        <f aca="false">IF($A76="","",IFERROR(INDEX(중복검사!$I$4:$I$6003,MATCH("R"&amp;71,중복목록!$L$6:$L$6005,0)),""))</f>
        <v/>
      </c>
      <c r="H76" s="11" t="str">
        <f aca="false">IF($A76="","",IFERROR(INDEX(중복검사!$J$4:$J$6003,MATCH("R"&amp;71,중복목록!$L$6:$L$6005,0)),""))</f>
        <v/>
      </c>
      <c r="J76" s="14" t="b">
        <f aca="false">IF(중복검사!$A74="",FALSE(),중복검사!$H74="중복")</f>
        <v>0</v>
      </c>
      <c r="K76" s="5" t="str">
        <f aca="false">IF($J76=FALSE(),"",COUNTIF($J$6:$J76,TRUE()))</f>
        <v/>
      </c>
      <c r="L76" s="5" t="str">
        <f aca="false">IF($K76="","","R"&amp;$K76)</f>
        <v/>
      </c>
    </row>
    <row r="77" customFormat="false" ht="15" hidden="false" customHeight="true" outlineLevel="0" collapsed="false">
      <c r="A77" s="11" t="str">
        <f aca="false">IFERROR(INDEX(중복검사!$A$4:$A$6003,MATCH("R"&amp;72,중복목록!$L$6:$L$6005,0)),"")</f>
        <v/>
      </c>
      <c r="B77" s="12" t="str">
        <f aca="false">IF($A77="","",IFERROR(INDEX(중복검사!$B$4:$B$6003,MATCH("R"&amp;72,중복목록!$L$6:$L$6005,0)),""))</f>
        <v/>
      </c>
      <c r="C77" s="12" t="str">
        <f aca="false">IF($A77="","",IFERROR(INDEX(중복검사!$C$4:$C$6003,MATCH("R"&amp;72,중복목록!$L$6:$L$6005,0)),""))</f>
        <v/>
      </c>
      <c r="D77" s="12" t="str">
        <f aca="false">IF($A77="","",IFERROR(INDEX(중복검사!$D$4:$D$6003,MATCH("R"&amp;72,중복목록!$L$6:$L$6005,0)),""))</f>
        <v/>
      </c>
      <c r="E77" s="12" t="str">
        <f aca="false">IF($A77="","",IFERROR(IF(INDEX(원본명단!$E$3:$E$6002,MATCH("R"&amp;72,중복목록!$L$6:$L$6005,0))="","",INDEX(원본명단!$E$3:$E$6002,MATCH("R"&amp;72,중복목록!$L$6:$L$6005,0))),""))</f>
        <v/>
      </c>
      <c r="F77" s="11" t="str">
        <f aca="false">IF($A77="","",IFERROR(MAX(INDEX(중복검사!$E$4:$E$6003,MATCH("R"&amp;72,중복목록!$L$6:$L$6005,0)),INDEX(중복검사!$F$4:$F$6003,MATCH("R"&amp;72,중복목록!$L$6:$L$6005,0)),INDEX(중복검사!$G$4:$G$6003,MATCH("R"&amp;72,중복목록!$L$6:$L$6005,0))),""))</f>
        <v/>
      </c>
      <c r="G77" s="11" t="str">
        <f aca="false">IF($A77="","",IFERROR(INDEX(중복검사!$I$4:$I$6003,MATCH("R"&amp;72,중복목록!$L$6:$L$6005,0)),""))</f>
        <v/>
      </c>
      <c r="H77" s="11" t="str">
        <f aca="false">IF($A77="","",IFERROR(INDEX(중복검사!$J$4:$J$6003,MATCH("R"&amp;72,중복목록!$L$6:$L$6005,0)),""))</f>
        <v/>
      </c>
      <c r="J77" s="14" t="b">
        <f aca="false">IF(중복검사!$A75="",FALSE(),중복검사!$H75="중복")</f>
        <v>0</v>
      </c>
      <c r="K77" s="5" t="str">
        <f aca="false">IF($J77=FALSE(),"",COUNTIF($J$6:$J77,TRUE()))</f>
        <v/>
      </c>
      <c r="L77" s="5" t="str">
        <f aca="false">IF($K77="","","R"&amp;$K77)</f>
        <v/>
      </c>
    </row>
    <row r="78" customFormat="false" ht="15" hidden="false" customHeight="true" outlineLevel="0" collapsed="false">
      <c r="A78" s="11" t="str">
        <f aca="false">IFERROR(INDEX(중복검사!$A$4:$A$6003,MATCH("R"&amp;73,중복목록!$L$6:$L$6005,0)),"")</f>
        <v/>
      </c>
      <c r="B78" s="12" t="str">
        <f aca="false">IF($A78="","",IFERROR(INDEX(중복검사!$B$4:$B$6003,MATCH("R"&amp;73,중복목록!$L$6:$L$6005,0)),""))</f>
        <v/>
      </c>
      <c r="C78" s="12" t="str">
        <f aca="false">IF($A78="","",IFERROR(INDEX(중복검사!$C$4:$C$6003,MATCH("R"&amp;73,중복목록!$L$6:$L$6005,0)),""))</f>
        <v/>
      </c>
      <c r="D78" s="12" t="str">
        <f aca="false">IF($A78="","",IFERROR(INDEX(중복검사!$D$4:$D$6003,MATCH("R"&amp;73,중복목록!$L$6:$L$6005,0)),""))</f>
        <v/>
      </c>
      <c r="E78" s="12" t="str">
        <f aca="false">IF($A78="","",IFERROR(IF(INDEX(원본명단!$E$3:$E$6002,MATCH("R"&amp;73,중복목록!$L$6:$L$6005,0))="","",INDEX(원본명단!$E$3:$E$6002,MATCH("R"&amp;73,중복목록!$L$6:$L$6005,0))),""))</f>
        <v/>
      </c>
      <c r="F78" s="11" t="str">
        <f aca="false">IF($A78="","",IFERROR(MAX(INDEX(중복검사!$E$4:$E$6003,MATCH("R"&amp;73,중복목록!$L$6:$L$6005,0)),INDEX(중복검사!$F$4:$F$6003,MATCH("R"&amp;73,중복목록!$L$6:$L$6005,0)),INDEX(중복검사!$G$4:$G$6003,MATCH("R"&amp;73,중복목록!$L$6:$L$6005,0))),""))</f>
        <v/>
      </c>
      <c r="G78" s="11" t="str">
        <f aca="false">IF($A78="","",IFERROR(INDEX(중복검사!$I$4:$I$6003,MATCH("R"&amp;73,중복목록!$L$6:$L$6005,0)),""))</f>
        <v/>
      </c>
      <c r="H78" s="11" t="str">
        <f aca="false">IF($A78="","",IFERROR(INDEX(중복검사!$J$4:$J$6003,MATCH("R"&amp;73,중복목록!$L$6:$L$6005,0)),""))</f>
        <v/>
      </c>
      <c r="J78" s="14" t="b">
        <f aca="false">IF(중복검사!$A76="",FALSE(),중복검사!$H76="중복")</f>
        <v>0</v>
      </c>
      <c r="K78" s="5" t="str">
        <f aca="false">IF($J78=FALSE(),"",COUNTIF($J$6:$J78,TRUE()))</f>
        <v/>
      </c>
      <c r="L78" s="5" t="str">
        <f aca="false">IF($K78="","","R"&amp;$K78)</f>
        <v/>
      </c>
    </row>
    <row r="79" customFormat="false" ht="15" hidden="false" customHeight="true" outlineLevel="0" collapsed="false">
      <c r="A79" s="11" t="str">
        <f aca="false">IFERROR(INDEX(중복검사!$A$4:$A$6003,MATCH("R"&amp;74,중복목록!$L$6:$L$6005,0)),"")</f>
        <v/>
      </c>
      <c r="B79" s="12" t="str">
        <f aca="false">IF($A79="","",IFERROR(INDEX(중복검사!$B$4:$B$6003,MATCH("R"&amp;74,중복목록!$L$6:$L$6005,0)),""))</f>
        <v/>
      </c>
      <c r="C79" s="12" t="str">
        <f aca="false">IF($A79="","",IFERROR(INDEX(중복검사!$C$4:$C$6003,MATCH("R"&amp;74,중복목록!$L$6:$L$6005,0)),""))</f>
        <v/>
      </c>
      <c r="D79" s="12" t="str">
        <f aca="false">IF($A79="","",IFERROR(INDEX(중복검사!$D$4:$D$6003,MATCH("R"&amp;74,중복목록!$L$6:$L$6005,0)),""))</f>
        <v/>
      </c>
      <c r="E79" s="12" t="str">
        <f aca="false">IF($A79="","",IFERROR(IF(INDEX(원본명단!$E$3:$E$6002,MATCH("R"&amp;74,중복목록!$L$6:$L$6005,0))="","",INDEX(원본명단!$E$3:$E$6002,MATCH("R"&amp;74,중복목록!$L$6:$L$6005,0))),""))</f>
        <v/>
      </c>
      <c r="F79" s="11" t="str">
        <f aca="false">IF($A79="","",IFERROR(MAX(INDEX(중복검사!$E$4:$E$6003,MATCH("R"&amp;74,중복목록!$L$6:$L$6005,0)),INDEX(중복검사!$F$4:$F$6003,MATCH("R"&amp;74,중복목록!$L$6:$L$6005,0)),INDEX(중복검사!$G$4:$G$6003,MATCH("R"&amp;74,중복목록!$L$6:$L$6005,0))),""))</f>
        <v/>
      </c>
      <c r="G79" s="11" t="str">
        <f aca="false">IF($A79="","",IFERROR(INDEX(중복검사!$I$4:$I$6003,MATCH("R"&amp;74,중복목록!$L$6:$L$6005,0)),""))</f>
        <v/>
      </c>
      <c r="H79" s="11" t="str">
        <f aca="false">IF($A79="","",IFERROR(INDEX(중복검사!$J$4:$J$6003,MATCH("R"&amp;74,중복목록!$L$6:$L$6005,0)),""))</f>
        <v/>
      </c>
      <c r="J79" s="14" t="b">
        <f aca="false">IF(중복검사!$A77="",FALSE(),중복검사!$H77="중복")</f>
        <v>0</v>
      </c>
      <c r="K79" s="5" t="str">
        <f aca="false">IF($J79=FALSE(),"",COUNTIF($J$6:$J79,TRUE()))</f>
        <v/>
      </c>
      <c r="L79" s="5" t="str">
        <f aca="false">IF($K79="","","R"&amp;$K79)</f>
        <v/>
      </c>
    </row>
    <row r="80" customFormat="false" ht="15" hidden="false" customHeight="true" outlineLevel="0" collapsed="false">
      <c r="A80" s="11" t="str">
        <f aca="false">IFERROR(INDEX(중복검사!$A$4:$A$6003,MATCH("R"&amp;75,중복목록!$L$6:$L$6005,0)),"")</f>
        <v/>
      </c>
      <c r="B80" s="12" t="str">
        <f aca="false">IF($A80="","",IFERROR(INDEX(중복검사!$B$4:$B$6003,MATCH("R"&amp;75,중복목록!$L$6:$L$6005,0)),""))</f>
        <v/>
      </c>
      <c r="C80" s="12" t="str">
        <f aca="false">IF($A80="","",IFERROR(INDEX(중복검사!$C$4:$C$6003,MATCH("R"&amp;75,중복목록!$L$6:$L$6005,0)),""))</f>
        <v/>
      </c>
      <c r="D80" s="12" t="str">
        <f aca="false">IF($A80="","",IFERROR(INDEX(중복검사!$D$4:$D$6003,MATCH("R"&amp;75,중복목록!$L$6:$L$6005,0)),""))</f>
        <v/>
      </c>
      <c r="E80" s="12" t="str">
        <f aca="false">IF($A80="","",IFERROR(IF(INDEX(원본명단!$E$3:$E$6002,MATCH("R"&amp;75,중복목록!$L$6:$L$6005,0))="","",INDEX(원본명단!$E$3:$E$6002,MATCH("R"&amp;75,중복목록!$L$6:$L$6005,0))),""))</f>
        <v/>
      </c>
      <c r="F80" s="11" t="str">
        <f aca="false">IF($A80="","",IFERROR(MAX(INDEX(중복검사!$E$4:$E$6003,MATCH("R"&amp;75,중복목록!$L$6:$L$6005,0)),INDEX(중복검사!$F$4:$F$6003,MATCH("R"&amp;75,중복목록!$L$6:$L$6005,0)),INDEX(중복검사!$G$4:$G$6003,MATCH("R"&amp;75,중복목록!$L$6:$L$6005,0))),""))</f>
        <v/>
      </c>
      <c r="G80" s="11" t="str">
        <f aca="false">IF($A80="","",IFERROR(INDEX(중복검사!$I$4:$I$6003,MATCH("R"&amp;75,중복목록!$L$6:$L$6005,0)),""))</f>
        <v/>
      </c>
      <c r="H80" s="11" t="str">
        <f aca="false">IF($A80="","",IFERROR(INDEX(중복검사!$J$4:$J$6003,MATCH("R"&amp;75,중복목록!$L$6:$L$6005,0)),""))</f>
        <v/>
      </c>
      <c r="J80" s="14" t="b">
        <f aca="false">IF(중복검사!$A78="",FALSE(),중복검사!$H78="중복")</f>
        <v>0</v>
      </c>
      <c r="K80" s="5" t="str">
        <f aca="false">IF($J80=FALSE(),"",COUNTIF($J$6:$J80,TRUE()))</f>
        <v/>
      </c>
      <c r="L80" s="5" t="str">
        <f aca="false">IF($K80="","","R"&amp;$K80)</f>
        <v/>
      </c>
    </row>
    <row r="81" customFormat="false" ht="15" hidden="false" customHeight="true" outlineLevel="0" collapsed="false">
      <c r="A81" s="11" t="str">
        <f aca="false">IFERROR(INDEX(중복검사!$A$4:$A$6003,MATCH("R"&amp;76,중복목록!$L$6:$L$6005,0)),"")</f>
        <v/>
      </c>
      <c r="B81" s="12" t="str">
        <f aca="false">IF($A81="","",IFERROR(INDEX(중복검사!$B$4:$B$6003,MATCH("R"&amp;76,중복목록!$L$6:$L$6005,0)),""))</f>
        <v/>
      </c>
      <c r="C81" s="12" t="str">
        <f aca="false">IF($A81="","",IFERROR(INDEX(중복검사!$C$4:$C$6003,MATCH("R"&amp;76,중복목록!$L$6:$L$6005,0)),""))</f>
        <v/>
      </c>
      <c r="D81" s="12" t="str">
        <f aca="false">IF($A81="","",IFERROR(INDEX(중복검사!$D$4:$D$6003,MATCH("R"&amp;76,중복목록!$L$6:$L$6005,0)),""))</f>
        <v/>
      </c>
      <c r="E81" s="12" t="str">
        <f aca="false">IF($A81="","",IFERROR(IF(INDEX(원본명단!$E$3:$E$6002,MATCH("R"&amp;76,중복목록!$L$6:$L$6005,0))="","",INDEX(원본명단!$E$3:$E$6002,MATCH("R"&amp;76,중복목록!$L$6:$L$6005,0))),""))</f>
        <v/>
      </c>
      <c r="F81" s="11" t="str">
        <f aca="false">IF($A81="","",IFERROR(MAX(INDEX(중복검사!$E$4:$E$6003,MATCH("R"&amp;76,중복목록!$L$6:$L$6005,0)),INDEX(중복검사!$F$4:$F$6003,MATCH("R"&amp;76,중복목록!$L$6:$L$6005,0)),INDEX(중복검사!$G$4:$G$6003,MATCH("R"&amp;76,중복목록!$L$6:$L$6005,0))),""))</f>
        <v/>
      </c>
      <c r="G81" s="11" t="str">
        <f aca="false">IF($A81="","",IFERROR(INDEX(중복검사!$I$4:$I$6003,MATCH("R"&amp;76,중복목록!$L$6:$L$6005,0)),""))</f>
        <v/>
      </c>
      <c r="H81" s="11" t="str">
        <f aca="false">IF($A81="","",IFERROR(INDEX(중복검사!$J$4:$J$6003,MATCH("R"&amp;76,중복목록!$L$6:$L$6005,0)),""))</f>
        <v/>
      </c>
      <c r="J81" s="14" t="b">
        <f aca="false">IF(중복검사!$A79="",FALSE(),중복검사!$H79="중복")</f>
        <v>0</v>
      </c>
      <c r="K81" s="5" t="str">
        <f aca="false">IF($J81=FALSE(),"",COUNTIF($J$6:$J81,TRUE()))</f>
        <v/>
      </c>
      <c r="L81" s="5" t="str">
        <f aca="false">IF($K81="","","R"&amp;$K81)</f>
        <v/>
      </c>
    </row>
    <row r="82" customFormat="false" ht="15" hidden="false" customHeight="true" outlineLevel="0" collapsed="false">
      <c r="A82" s="11" t="str">
        <f aca="false">IFERROR(INDEX(중복검사!$A$4:$A$6003,MATCH("R"&amp;77,중복목록!$L$6:$L$6005,0)),"")</f>
        <v/>
      </c>
      <c r="B82" s="12" t="str">
        <f aca="false">IF($A82="","",IFERROR(INDEX(중복검사!$B$4:$B$6003,MATCH("R"&amp;77,중복목록!$L$6:$L$6005,0)),""))</f>
        <v/>
      </c>
      <c r="C82" s="12" t="str">
        <f aca="false">IF($A82="","",IFERROR(INDEX(중복검사!$C$4:$C$6003,MATCH("R"&amp;77,중복목록!$L$6:$L$6005,0)),""))</f>
        <v/>
      </c>
      <c r="D82" s="12" t="str">
        <f aca="false">IF($A82="","",IFERROR(INDEX(중복검사!$D$4:$D$6003,MATCH("R"&amp;77,중복목록!$L$6:$L$6005,0)),""))</f>
        <v/>
      </c>
      <c r="E82" s="12" t="str">
        <f aca="false">IF($A82="","",IFERROR(IF(INDEX(원본명단!$E$3:$E$6002,MATCH("R"&amp;77,중복목록!$L$6:$L$6005,0))="","",INDEX(원본명단!$E$3:$E$6002,MATCH("R"&amp;77,중복목록!$L$6:$L$6005,0))),""))</f>
        <v/>
      </c>
      <c r="F82" s="11" t="str">
        <f aca="false">IF($A82="","",IFERROR(MAX(INDEX(중복검사!$E$4:$E$6003,MATCH("R"&amp;77,중복목록!$L$6:$L$6005,0)),INDEX(중복검사!$F$4:$F$6003,MATCH("R"&amp;77,중복목록!$L$6:$L$6005,0)),INDEX(중복검사!$G$4:$G$6003,MATCH("R"&amp;77,중복목록!$L$6:$L$6005,0))),""))</f>
        <v/>
      </c>
      <c r="G82" s="11" t="str">
        <f aca="false">IF($A82="","",IFERROR(INDEX(중복검사!$I$4:$I$6003,MATCH("R"&amp;77,중복목록!$L$6:$L$6005,0)),""))</f>
        <v/>
      </c>
      <c r="H82" s="11" t="str">
        <f aca="false">IF($A82="","",IFERROR(INDEX(중복검사!$J$4:$J$6003,MATCH("R"&amp;77,중복목록!$L$6:$L$6005,0)),""))</f>
        <v/>
      </c>
      <c r="J82" s="14" t="b">
        <f aca="false">IF(중복검사!$A80="",FALSE(),중복검사!$H80="중복")</f>
        <v>0</v>
      </c>
      <c r="K82" s="5" t="str">
        <f aca="false">IF($J82=FALSE(),"",COUNTIF($J$6:$J82,TRUE()))</f>
        <v/>
      </c>
      <c r="L82" s="5" t="str">
        <f aca="false">IF($K82="","","R"&amp;$K82)</f>
        <v/>
      </c>
    </row>
    <row r="83" customFormat="false" ht="15" hidden="false" customHeight="true" outlineLevel="0" collapsed="false">
      <c r="A83" s="11" t="str">
        <f aca="false">IFERROR(INDEX(중복검사!$A$4:$A$6003,MATCH("R"&amp;78,중복목록!$L$6:$L$6005,0)),"")</f>
        <v/>
      </c>
      <c r="B83" s="12" t="str">
        <f aca="false">IF($A83="","",IFERROR(INDEX(중복검사!$B$4:$B$6003,MATCH("R"&amp;78,중복목록!$L$6:$L$6005,0)),""))</f>
        <v/>
      </c>
      <c r="C83" s="12" t="str">
        <f aca="false">IF($A83="","",IFERROR(INDEX(중복검사!$C$4:$C$6003,MATCH("R"&amp;78,중복목록!$L$6:$L$6005,0)),""))</f>
        <v/>
      </c>
      <c r="D83" s="12" t="str">
        <f aca="false">IF($A83="","",IFERROR(INDEX(중복검사!$D$4:$D$6003,MATCH("R"&amp;78,중복목록!$L$6:$L$6005,0)),""))</f>
        <v/>
      </c>
      <c r="E83" s="12" t="str">
        <f aca="false">IF($A83="","",IFERROR(IF(INDEX(원본명단!$E$3:$E$6002,MATCH("R"&amp;78,중복목록!$L$6:$L$6005,0))="","",INDEX(원본명단!$E$3:$E$6002,MATCH("R"&amp;78,중복목록!$L$6:$L$6005,0))),""))</f>
        <v/>
      </c>
      <c r="F83" s="11" t="str">
        <f aca="false">IF($A83="","",IFERROR(MAX(INDEX(중복검사!$E$4:$E$6003,MATCH("R"&amp;78,중복목록!$L$6:$L$6005,0)),INDEX(중복검사!$F$4:$F$6003,MATCH("R"&amp;78,중복목록!$L$6:$L$6005,0)),INDEX(중복검사!$G$4:$G$6003,MATCH("R"&amp;78,중복목록!$L$6:$L$6005,0))),""))</f>
        <v/>
      </c>
      <c r="G83" s="11" t="str">
        <f aca="false">IF($A83="","",IFERROR(INDEX(중복검사!$I$4:$I$6003,MATCH("R"&amp;78,중복목록!$L$6:$L$6005,0)),""))</f>
        <v/>
      </c>
      <c r="H83" s="11" t="str">
        <f aca="false">IF($A83="","",IFERROR(INDEX(중복검사!$J$4:$J$6003,MATCH("R"&amp;78,중복목록!$L$6:$L$6005,0)),""))</f>
        <v/>
      </c>
      <c r="J83" s="14" t="b">
        <f aca="false">IF(중복검사!$A81="",FALSE(),중복검사!$H81="중복")</f>
        <v>0</v>
      </c>
      <c r="K83" s="5" t="str">
        <f aca="false">IF($J83=FALSE(),"",COUNTIF($J$6:$J83,TRUE()))</f>
        <v/>
      </c>
      <c r="L83" s="5" t="str">
        <f aca="false">IF($K83="","","R"&amp;$K83)</f>
        <v/>
      </c>
    </row>
    <row r="84" customFormat="false" ht="15" hidden="false" customHeight="true" outlineLevel="0" collapsed="false">
      <c r="A84" s="11" t="str">
        <f aca="false">IFERROR(INDEX(중복검사!$A$4:$A$6003,MATCH("R"&amp;79,중복목록!$L$6:$L$6005,0)),"")</f>
        <v/>
      </c>
      <c r="B84" s="12" t="str">
        <f aca="false">IF($A84="","",IFERROR(INDEX(중복검사!$B$4:$B$6003,MATCH("R"&amp;79,중복목록!$L$6:$L$6005,0)),""))</f>
        <v/>
      </c>
      <c r="C84" s="12" t="str">
        <f aca="false">IF($A84="","",IFERROR(INDEX(중복검사!$C$4:$C$6003,MATCH("R"&amp;79,중복목록!$L$6:$L$6005,0)),""))</f>
        <v/>
      </c>
      <c r="D84" s="12" t="str">
        <f aca="false">IF($A84="","",IFERROR(INDEX(중복검사!$D$4:$D$6003,MATCH("R"&amp;79,중복목록!$L$6:$L$6005,0)),""))</f>
        <v/>
      </c>
      <c r="E84" s="12" t="str">
        <f aca="false">IF($A84="","",IFERROR(IF(INDEX(원본명단!$E$3:$E$6002,MATCH("R"&amp;79,중복목록!$L$6:$L$6005,0))="","",INDEX(원본명단!$E$3:$E$6002,MATCH("R"&amp;79,중복목록!$L$6:$L$6005,0))),""))</f>
        <v/>
      </c>
      <c r="F84" s="11" t="str">
        <f aca="false">IF($A84="","",IFERROR(MAX(INDEX(중복검사!$E$4:$E$6003,MATCH("R"&amp;79,중복목록!$L$6:$L$6005,0)),INDEX(중복검사!$F$4:$F$6003,MATCH("R"&amp;79,중복목록!$L$6:$L$6005,0)),INDEX(중복검사!$G$4:$G$6003,MATCH("R"&amp;79,중복목록!$L$6:$L$6005,0))),""))</f>
        <v/>
      </c>
      <c r="G84" s="11" t="str">
        <f aca="false">IF($A84="","",IFERROR(INDEX(중복검사!$I$4:$I$6003,MATCH("R"&amp;79,중복목록!$L$6:$L$6005,0)),""))</f>
        <v/>
      </c>
      <c r="H84" s="11" t="str">
        <f aca="false">IF($A84="","",IFERROR(INDEX(중복검사!$J$4:$J$6003,MATCH("R"&amp;79,중복목록!$L$6:$L$6005,0)),""))</f>
        <v/>
      </c>
      <c r="J84" s="14" t="b">
        <f aca="false">IF(중복검사!$A82="",FALSE(),중복검사!$H82="중복")</f>
        <v>0</v>
      </c>
      <c r="K84" s="5" t="str">
        <f aca="false">IF($J84=FALSE(),"",COUNTIF($J$6:$J84,TRUE()))</f>
        <v/>
      </c>
      <c r="L84" s="5" t="str">
        <f aca="false">IF($K84="","","R"&amp;$K84)</f>
        <v/>
      </c>
    </row>
    <row r="85" customFormat="false" ht="15" hidden="false" customHeight="true" outlineLevel="0" collapsed="false">
      <c r="A85" s="11" t="str">
        <f aca="false">IFERROR(INDEX(중복검사!$A$4:$A$6003,MATCH("R"&amp;80,중복목록!$L$6:$L$6005,0)),"")</f>
        <v/>
      </c>
      <c r="B85" s="12" t="str">
        <f aca="false">IF($A85="","",IFERROR(INDEX(중복검사!$B$4:$B$6003,MATCH("R"&amp;80,중복목록!$L$6:$L$6005,0)),""))</f>
        <v/>
      </c>
      <c r="C85" s="12" t="str">
        <f aca="false">IF($A85="","",IFERROR(INDEX(중복검사!$C$4:$C$6003,MATCH("R"&amp;80,중복목록!$L$6:$L$6005,0)),""))</f>
        <v/>
      </c>
      <c r="D85" s="12" t="str">
        <f aca="false">IF($A85="","",IFERROR(INDEX(중복검사!$D$4:$D$6003,MATCH("R"&amp;80,중복목록!$L$6:$L$6005,0)),""))</f>
        <v/>
      </c>
      <c r="E85" s="12" t="str">
        <f aca="false">IF($A85="","",IFERROR(IF(INDEX(원본명단!$E$3:$E$6002,MATCH("R"&amp;80,중복목록!$L$6:$L$6005,0))="","",INDEX(원본명단!$E$3:$E$6002,MATCH("R"&amp;80,중복목록!$L$6:$L$6005,0))),""))</f>
        <v/>
      </c>
      <c r="F85" s="11" t="str">
        <f aca="false">IF($A85="","",IFERROR(MAX(INDEX(중복검사!$E$4:$E$6003,MATCH("R"&amp;80,중복목록!$L$6:$L$6005,0)),INDEX(중복검사!$F$4:$F$6003,MATCH("R"&amp;80,중복목록!$L$6:$L$6005,0)),INDEX(중복검사!$G$4:$G$6003,MATCH("R"&amp;80,중복목록!$L$6:$L$6005,0))),""))</f>
        <v/>
      </c>
      <c r="G85" s="11" t="str">
        <f aca="false">IF($A85="","",IFERROR(INDEX(중복검사!$I$4:$I$6003,MATCH("R"&amp;80,중복목록!$L$6:$L$6005,0)),""))</f>
        <v/>
      </c>
      <c r="H85" s="11" t="str">
        <f aca="false">IF($A85="","",IFERROR(INDEX(중복검사!$J$4:$J$6003,MATCH("R"&amp;80,중복목록!$L$6:$L$6005,0)),""))</f>
        <v/>
      </c>
      <c r="J85" s="14" t="b">
        <f aca="false">IF(중복검사!$A83="",FALSE(),중복검사!$H83="중복")</f>
        <v>0</v>
      </c>
      <c r="K85" s="5" t="str">
        <f aca="false">IF($J85=FALSE(),"",COUNTIF($J$6:$J85,TRUE()))</f>
        <v/>
      </c>
      <c r="L85" s="5" t="str">
        <f aca="false">IF($K85="","","R"&amp;$K85)</f>
        <v/>
      </c>
    </row>
    <row r="86" customFormat="false" ht="15" hidden="false" customHeight="true" outlineLevel="0" collapsed="false">
      <c r="A86" s="11" t="str">
        <f aca="false">IFERROR(INDEX(중복검사!$A$4:$A$6003,MATCH("R"&amp;81,중복목록!$L$6:$L$6005,0)),"")</f>
        <v/>
      </c>
      <c r="B86" s="12" t="str">
        <f aca="false">IF($A86="","",IFERROR(INDEX(중복검사!$B$4:$B$6003,MATCH("R"&amp;81,중복목록!$L$6:$L$6005,0)),""))</f>
        <v/>
      </c>
      <c r="C86" s="12" t="str">
        <f aca="false">IF($A86="","",IFERROR(INDEX(중복검사!$C$4:$C$6003,MATCH("R"&amp;81,중복목록!$L$6:$L$6005,0)),""))</f>
        <v/>
      </c>
      <c r="D86" s="12" t="str">
        <f aca="false">IF($A86="","",IFERROR(INDEX(중복검사!$D$4:$D$6003,MATCH("R"&amp;81,중복목록!$L$6:$L$6005,0)),""))</f>
        <v/>
      </c>
      <c r="E86" s="12" t="str">
        <f aca="false">IF($A86="","",IFERROR(IF(INDEX(원본명단!$E$3:$E$6002,MATCH("R"&amp;81,중복목록!$L$6:$L$6005,0))="","",INDEX(원본명단!$E$3:$E$6002,MATCH("R"&amp;81,중복목록!$L$6:$L$6005,0))),""))</f>
        <v/>
      </c>
      <c r="F86" s="11" t="str">
        <f aca="false">IF($A86="","",IFERROR(MAX(INDEX(중복검사!$E$4:$E$6003,MATCH("R"&amp;81,중복목록!$L$6:$L$6005,0)),INDEX(중복검사!$F$4:$F$6003,MATCH("R"&amp;81,중복목록!$L$6:$L$6005,0)),INDEX(중복검사!$G$4:$G$6003,MATCH("R"&amp;81,중복목록!$L$6:$L$6005,0))),""))</f>
        <v/>
      </c>
      <c r="G86" s="11" t="str">
        <f aca="false">IF($A86="","",IFERROR(INDEX(중복검사!$I$4:$I$6003,MATCH("R"&amp;81,중복목록!$L$6:$L$6005,0)),""))</f>
        <v/>
      </c>
      <c r="H86" s="11" t="str">
        <f aca="false">IF($A86="","",IFERROR(INDEX(중복검사!$J$4:$J$6003,MATCH("R"&amp;81,중복목록!$L$6:$L$6005,0)),""))</f>
        <v/>
      </c>
      <c r="J86" s="14" t="b">
        <f aca="false">IF(중복검사!$A84="",FALSE(),중복검사!$H84="중복")</f>
        <v>0</v>
      </c>
      <c r="K86" s="5" t="str">
        <f aca="false">IF($J86=FALSE(),"",COUNTIF($J$6:$J86,TRUE()))</f>
        <v/>
      </c>
      <c r="L86" s="5" t="str">
        <f aca="false">IF($K86="","","R"&amp;$K86)</f>
        <v/>
      </c>
    </row>
    <row r="87" customFormat="false" ht="15" hidden="false" customHeight="true" outlineLevel="0" collapsed="false">
      <c r="A87" s="11" t="str">
        <f aca="false">IFERROR(INDEX(중복검사!$A$4:$A$6003,MATCH("R"&amp;82,중복목록!$L$6:$L$6005,0)),"")</f>
        <v/>
      </c>
      <c r="B87" s="12" t="str">
        <f aca="false">IF($A87="","",IFERROR(INDEX(중복검사!$B$4:$B$6003,MATCH("R"&amp;82,중복목록!$L$6:$L$6005,0)),""))</f>
        <v/>
      </c>
      <c r="C87" s="12" t="str">
        <f aca="false">IF($A87="","",IFERROR(INDEX(중복검사!$C$4:$C$6003,MATCH("R"&amp;82,중복목록!$L$6:$L$6005,0)),""))</f>
        <v/>
      </c>
      <c r="D87" s="12" t="str">
        <f aca="false">IF($A87="","",IFERROR(INDEX(중복검사!$D$4:$D$6003,MATCH("R"&amp;82,중복목록!$L$6:$L$6005,0)),""))</f>
        <v/>
      </c>
      <c r="E87" s="12" t="str">
        <f aca="false">IF($A87="","",IFERROR(IF(INDEX(원본명단!$E$3:$E$6002,MATCH("R"&amp;82,중복목록!$L$6:$L$6005,0))="","",INDEX(원본명단!$E$3:$E$6002,MATCH("R"&amp;82,중복목록!$L$6:$L$6005,0))),""))</f>
        <v/>
      </c>
      <c r="F87" s="11" t="str">
        <f aca="false">IF($A87="","",IFERROR(MAX(INDEX(중복검사!$E$4:$E$6003,MATCH("R"&amp;82,중복목록!$L$6:$L$6005,0)),INDEX(중복검사!$F$4:$F$6003,MATCH("R"&amp;82,중복목록!$L$6:$L$6005,0)),INDEX(중복검사!$G$4:$G$6003,MATCH("R"&amp;82,중복목록!$L$6:$L$6005,0))),""))</f>
        <v/>
      </c>
      <c r="G87" s="11" t="str">
        <f aca="false">IF($A87="","",IFERROR(INDEX(중복검사!$I$4:$I$6003,MATCH("R"&amp;82,중복목록!$L$6:$L$6005,0)),""))</f>
        <v/>
      </c>
      <c r="H87" s="11" t="str">
        <f aca="false">IF($A87="","",IFERROR(INDEX(중복검사!$J$4:$J$6003,MATCH("R"&amp;82,중복목록!$L$6:$L$6005,0)),""))</f>
        <v/>
      </c>
      <c r="J87" s="14" t="b">
        <f aca="false">IF(중복검사!$A85="",FALSE(),중복검사!$H85="중복")</f>
        <v>0</v>
      </c>
      <c r="K87" s="5" t="str">
        <f aca="false">IF($J87=FALSE(),"",COUNTIF($J$6:$J87,TRUE()))</f>
        <v/>
      </c>
      <c r="L87" s="5" t="str">
        <f aca="false">IF($K87="","","R"&amp;$K87)</f>
        <v/>
      </c>
    </row>
    <row r="88" customFormat="false" ht="15" hidden="false" customHeight="true" outlineLevel="0" collapsed="false">
      <c r="A88" s="11" t="str">
        <f aca="false">IFERROR(INDEX(중복검사!$A$4:$A$6003,MATCH("R"&amp;83,중복목록!$L$6:$L$6005,0)),"")</f>
        <v/>
      </c>
      <c r="B88" s="12" t="str">
        <f aca="false">IF($A88="","",IFERROR(INDEX(중복검사!$B$4:$B$6003,MATCH("R"&amp;83,중복목록!$L$6:$L$6005,0)),""))</f>
        <v/>
      </c>
      <c r="C88" s="12" t="str">
        <f aca="false">IF($A88="","",IFERROR(INDEX(중복검사!$C$4:$C$6003,MATCH("R"&amp;83,중복목록!$L$6:$L$6005,0)),""))</f>
        <v/>
      </c>
      <c r="D88" s="12" t="str">
        <f aca="false">IF($A88="","",IFERROR(INDEX(중복검사!$D$4:$D$6003,MATCH("R"&amp;83,중복목록!$L$6:$L$6005,0)),""))</f>
        <v/>
      </c>
      <c r="E88" s="12" t="str">
        <f aca="false">IF($A88="","",IFERROR(IF(INDEX(원본명단!$E$3:$E$6002,MATCH("R"&amp;83,중복목록!$L$6:$L$6005,0))="","",INDEX(원본명단!$E$3:$E$6002,MATCH("R"&amp;83,중복목록!$L$6:$L$6005,0))),""))</f>
        <v/>
      </c>
      <c r="F88" s="11" t="str">
        <f aca="false">IF($A88="","",IFERROR(MAX(INDEX(중복검사!$E$4:$E$6003,MATCH("R"&amp;83,중복목록!$L$6:$L$6005,0)),INDEX(중복검사!$F$4:$F$6003,MATCH("R"&amp;83,중복목록!$L$6:$L$6005,0)),INDEX(중복검사!$G$4:$G$6003,MATCH("R"&amp;83,중복목록!$L$6:$L$6005,0))),""))</f>
        <v/>
      </c>
      <c r="G88" s="11" t="str">
        <f aca="false">IF($A88="","",IFERROR(INDEX(중복검사!$I$4:$I$6003,MATCH("R"&amp;83,중복목록!$L$6:$L$6005,0)),""))</f>
        <v/>
      </c>
      <c r="H88" s="11" t="str">
        <f aca="false">IF($A88="","",IFERROR(INDEX(중복검사!$J$4:$J$6003,MATCH("R"&amp;83,중복목록!$L$6:$L$6005,0)),""))</f>
        <v/>
      </c>
      <c r="J88" s="14" t="b">
        <f aca="false">IF(중복검사!$A86="",FALSE(),중복검사!$H86="중복")</f>
        <v>0</v>
      </c>
      <c r="K88" s="5" t="str">
        <f aca="false">IF($J88=FALSE(),"",COUNTIF($J$6:$J88,TRUE()))</f>
        <v/>
      </c>
      <c r="L88" s="5" t="str">
        <f aca="false">IF($K88="","","R"&amp;$K88)</f>
        <v/>
      </c>
    </row>
    <row r="89" customFormat="false" ht="15" hidden="false" customHeight="true" outlineLevel="0" collapsed="false">
      <c r="A89" s="11" t="str">
        <f aca="false">IFERROR(INDEX(중복검사!$A$4:$A$6003,MATCH("R"&amp;84,중복목록!$L$6:$L$6005,0)),"")</f>
        <v/>
      </c>
      <c r="B89" s="12" t="str">
        <f aca="false">IF($A89="","",IFERROR(INDEX(중복검사!$B$4:$B$6003,MATCH("R"&amp;84,중복목록!$L$6:$L$6005,0)),""))</f>
        <v/>
      </c>
      <c r="C89" s="12" t="str">
        <f aca="false">IF($A89="","",IFERROR(INDEX(중복검사!$C$4:$C$6003,MATCH("R"&amp;84,중복목록!$L$6:$L$6005,0)),""))</f>
        <v/>
      </c>
      <c r="D89" s="12" t="str">
        <f aca="false">IF($A89="","",IFERROR(INDEX(중복검사!$D$4:$D$6003,MATCH("R"&amp;84,중복목록!$L$6:$L$6005,0)),""))</f>
        <v/>
      </c>
      <c r="E89" s="12" t="str">
        <f aca="false">IF($A89="","",IFERROR(IF(INDEX(원본명단!$E$3:$E$6002,MATCH("R"&amp;84,중복목록!$L$6:$L$6005,0))="","",INDEX(원본명단!$E$3:$E$6002,MATCH("R"&amp;84,중복목록!$L$6:$L$6005,0))),""))</f>
        <v/>
      </c>
      <c r="F89" s="11" t="str">
        <f aca="false">IF($A89="","",IFERROR(MAX(INDEX(중복검사!$E$4:$E$6003,MATCH("R"&amp;84,중복목록!$L$6:$L$6005,0)),INDEX(중복검사!$F$4:$F$6003,MATCH("R"&amp;84,중복목록!$L$6:$L$6005,0)),INDEX(중복검사!$G$4:$G$6003,MATCH("R"&amp;84,중복목록!$L$6:$L$6005,0))),""))</f>
        <v/>
      </c>
      <c r="G89" s="11" t="str">
        <f aca="false">IF($A89="","",IFERROR(INDEX(중복검사!$I$4:$I$6003,MATCH("R"&amp;84,중복목록!$L$6:$L$6005,0)),""))</f>
        <v/>
      </c>
      <c r="H89" s="11" t="str">
        <f aca="false">IF($A89="","",IFERROR(INDEX(중복검사!$J$4:$J$6003,MATCH("R"&amp;84,중복목록!$L$6:$L$6005,0)),""))</f>
        <v/>
      </c>
      <c r="J89" s="14" t="b">
        <f aca="false">IF(중복검사!$A87="",FALSE(),중복검사!$H87="중복")</f>
        <v>0</v>
      </c>
      <c r="K89" s="5" t="str">
        <f aca="false">IF($J89=FALSE(),"",COUNTIF($J$6:$J89,TRUE()))</f>
        <v/>
      </c>
      <c r="L89" s="5" t="str">
        <f aca="false">IF($K89="","","R"&amp;$K89)</f>
        <v/>
      </c>
    </row>
    <row r="90" customFormat="false" ht="15" hidden="false" customHeight="true" outlineLevel="0" collapsed="false">
      <c r="A90" s="11" t="str">
        <f aca="false">IFERROR(INDEX(중복검사!$A$4:$A$6003,MATCH("R"&amp;85,중복목록!$L$6:$L$6005,0)),"")</f>
        <v/>
      </c>
      <c r="B90" s="12" t="str">
        <f aca="false">IF($A90="","",IFERROR(INDEX(중복검사!$B$4:$B$6003,MATCH("R"&amp;85,중복목록!$L$6:$L$6005,0)),""))</f>
        <v/>
      </c>
      <c r="C90" s="12" t="str">
        <f aca="false">IF($A90="","",IFERROR(INDEX(중복검사!$C$4:$C$6003,MATCH("R"&amp;85,중복목록!$L$6:$L$6005,0)),""))</f>
        <v/>
      </c>
      <c r="D90" s="12" t="str">
        <f aca="false">IF($A90="","",IFERROR(INDEX(중복검사!$D$4:$D$6003,MATCH("R"&amp;85,중복목록!$L$6:$L$6005,0)),""))</f>
        <v/>
      </c>
      <c r="E90" s="12" t="str">
        <f aca="false">IF($A90="","",IFERROR(IF(INDEX(원본명단!$E$3:$E$6002,MATCH("R"&amp;85,중복목록!$L$6:$L$6005,0))="","",INDEX(원본명단!$E$3:$E$6002,MATCH("R"&amp;85,중복목록!$L$6:$L$6005,0))),""))</f>
        <v/>
      </c>
      <c r="F90" s="11" t="str">
        <f aca="false">IF($A90="","",IFERROR(MAX(INDEX(중복검사!$E$4:$E$6003,MATCH("R"&amp;85,중복목록!$L$6:$L$6005,0)),INDEX(중복검사!$F$4:$F$6003,MATCH("R"&amp;85,중복목록!$L$6:$L$6005,0)),INDEX(중복검사!$G$4:$G$6003,MATCH("R"&amp;85,중복목록!$L$6:$L$6005,0))),""))</f>
        <v/>
      </c>
      <c r="G90" s="11" t="str">
        <f aca="false">IF($A90="","",IFERROR(INDEX(중복검사!$I$4:$I$6003,MATCH("R"&amp;85,중복목록!$L$6:$L$6005,0)),""))</f>
        <v/>
      </c>
      <c r="H90" s="11" t="str">
        <f aca="false">IF($A90="","",IFERROR(INDEX(중복검사!$J$4:$J$6003,MATCH("R"&amp;85,중복목록!$L$6:$L$6005,0)),""))</f>
        <v/>
      </c>
      <c r="J90" s="14" t="b">
        <f aca="false">IF(중복검사!$A88="",FALSE(),중복검사!$H88="중복")</f>
        <v>0</v>
      </c>
      <c r="K90" s="5" t="str">
        <f aca="false">IF($J90=FALSE(),"",COUNTIF($J$6:$J90,TRUE()))</f>
        <v/>
      </c>
      <c r="L90" s="5" t="str">
        <f aca="false">IF($K90="","","R"&amp;$K90)</f>
        <v/>
      </c>
    </row>
    <row r="91" customFormat="false" ht="15" hidden="false" customHeight="true" outlineLevel="0" collapsed="false">
      <c r="A91" s="11" t="str">
        <f aca="false">IFERROR(INDEX(중복검사!$A$4:$A$6003,MATCH("R"&amp;86,중복목록!$L$6:$L$6005,0)),"")</f>
        <v/>
      </c>
      <c r="B91" s="12" t="str">
        <f aca="false">IF($A91="","",IFERROR(INDEX(중복검사!$B$4:$B$6003,MATCH("R"&amp;86,중복목록!$L$6:$L$6005,0)),""))</f>
        <v/>
      </c>
      <c r="C91" s="12" t="str">
        <f aca="false">IF($A91="","",IFERROR(INDEX(중복검사!$C$4:$C$6003,MATCH("R"&amp;86,중복목록!$L$6:$L$6005,0)),""))</f>
        <v/>
      </c>
      <c r="D91" s="12" t="str">
        <f aca="false">IF($A91="","",IFERROR(INDEX(중복검사!$D$4:$D$6003,MATCH("R"&amp;86,중복목록!$L$6:$L$6005,0)),""))</f>
        <v/>
      </c>
      <c r="E91" s="12" t="str">
        <f aca="false">IF($A91="","",IFERROR(IF(INDEX(원본명단!$E$3:$E$6002,MATCH("R"&amp;86,중복목록!$L$6:$L$6005,0))="","",INDEX(원본명단!$E$3:$E$6002,MATCH("R"&amp;86,중복목록!$L$6:$L$6005,0))),""))</f>
        <v/>
      </c>
      <c r="F91" s="11" t="str">
        <f aca="false">IF($A91="","",IFERROR(MAX(INDEX(중복검사!$E$4:$E$6003,MATCH("R"&amp;86,중복목록!$L$6:$L$6005,0)),INDEX(중복검사!$F$4:$F$6003,MATCH("R"&amp;86,중복목록!$L$6:$L$6005,0)),INDEX(중복검사!$G$4:$G$6003,MATCH("R"&amp;86,중복목록!$L$6:$L$6005,0))),""))</f>
        <v/>
      </c>
      <c r="G91" s="11" t="str">
        <f aca="false">IF($A91="","",IFERROR(INDEX(중복검사!$I$4:$I$6003,MATCH("R"&amp;86,중복목록!$L$6:$L$6005,0)),""))</f>
        <v/>
      </c>
      <c r="H91" s="11" t="str">
        <f aca="false">IF($A91="","",IFERROR(INDEX(중복검사!$J$4:$J$6003,MATCH("R"&amp;86,중복목록!$L$6:$L$6005,0)),""))</f>
        <v/>
      </c>
      <c r="J91" s="14" t="b">
        <f aca="false">IF(중복검사!$A89="",FALSE(),중복검사!$H89="중복")</f>
        <v>0</v>
      </c>
      <c r="K91" s="5" t="str">
        <f aca="false">IF($J91=FALSE(),"",COUNTIF($J$6:$J91,TRUE()))</f>
        <v/>
      </c>
      <c r="L91" s="5" t="str">
        <f aca="false">IF($K91="","","R"&amp;$K91)</f>
        <v/>
      </c>
    </row>
    <row r="92" customFormat="false" ht="15" hidden="false" customHeight="true" outlineLevel="0" collapsed="false">
      <c r="A92" s="11" t="str">
        <f aca="false">IFERROR(INDEX(중복검사!$A$4:$A$6003,MATCH("R"&amp;87,중복목록!$L$6:$L$6005,0)),"")</f>
        <v/>
      </c>
      <c r="B92" s="12" t="str">
        <f aca="false">IF($A92="","",IFERROR(INDEX(중복검사!$B$4:$B$6003,MATCH("R"&amp;87,중복목록!$L$6:$L$6005,0)),""))</f>
        <v/>
      </c>
      <c r="C92" s="12" t="str">
        <f aca="false">IF($A92="","",IFERROR(INDEX(중복검사!$C$4:$C$6003,MATCH("R"&amp;87,중복목록!$L$6:$L$6005,0)),""))</f>
        <v/>
      </c>
      <c r="D92" s="12" t="str">
        <f aca="false">IF($A92="","",IFERROR(INDEX(중복검사!$D$4:$D$6003,MATCH("R"&amp;87,중복목록!$L$6:$L$6005,0)),""))</f>
        <v/>
      </c>
      <c r="E92" s="12" t="str">
        <f aca="false">IF($A92="","",IFERROR(IF(INDEX(원본명단!$E$3:$E$6002,MATCH("R"&amp;87,중복목록!$L$6:$L$6005,0))="","",INDEX(원본명단!$E$3:$E$6002,MATCH("R"&amp;87,중복목록!$L$6:$L$6005,0))),""))</f>
        <v/>
      </c>
      <c r="F92" s="11" t="str">
        <f aca="false">IF($A92="","",IFERROR(MAX(INDEX(중복검사!$E$4:$E$6003,MATCH("R"&amp;87,중복목록!$L$6:$L$6005,0)),INDEX(중복검사!$F$4:$F$6003,MATCH("R"&amp;87,중복목록!$L$6:$L$6005,0)),INDEX(중복검사!$G$4:$G$6003,MATCH("R"&amp;87,중복목록!$L$6:$L$6005,0))),""))</f>
        <v/>
      </c>
      <c r="G92" s="11" t="str">
        <f aca="false">IF($A92="","",IFERROR(INDEX(중복검사!$I$4:$I$6003,MATCH("R"&amp;87,중복목록!$L$6:$L$6005,0)),""))</f>
        <v/>
      </c>
      <c r="H92" s="11" t="str">
        <f aca="false">IF($A92="","",IFERROR(INDEX(중복검사!$J$4:$J$6003,MATCH("R"&amp;87,중복목록!$L$6:$L$6005,0)),""))</f>
        <v/>
      </c>
      <c r="J92" s="14" t="b">
        <f aca="false">IF(중복검사!$A90="",FALSE(),중복검사!$H90="중복")</f>
        <v>0</v>
      </c>
      <c r="K92" s="5" t="str">
        <f aca="false">IF($J92=FALSE(),"",COUNTIF($J$6:$J92,TRUE()))</f>
        <v/>
      </c>
      <c r="L92" s="5" t="str">
        <f aca="false">IF($K92="","","R"&amp;$K92)</f>
        <v/>
      </c>
    </row>
    <row r="93" customFormat="false" ht="15" hidden="false" customHeight="true" outlineLevel="0" collapsed="false">
      <c r="A93" s="11" t="str">
        <f aca="false">IFERROR(INDEX(중복검사!$A$4:$A$6003,MATCH("R"&amp;88,중복목록!$L$6:$L$6005,0)),"")</f>
        <v/>
      </c>
      <c r="B93" s="12" t="str">
        <f aca="false">IF($A93="","",IFERROR(INDEX(중복검사!$B$4:$B$6003,MATCH("R"&amp;88,중복목록!$L$6:$L$6005,0)),""))</f>
        <v/>
      </c>
      <c r="C93" s="12" t="str">
        <f aca="false">IF($A93="","",IFERROR(INDEX(중복검사!$C$4:$C$6003,MATCH("R"&amp;88,중복목록!$L$6:$L$6005,0)),""))</f>
        <v/>
      </c>
      <c r="D93" s="12" t="str">
        <f aca="false">IF($A93="","",IFERROR(INDEX(중복검사!$D$4:$D$6003,MATCH("R"&amp;88,중복목록!$L$6:$L$6005,0)),""))</f>
        <v/>
      </c>
      <c r="E93" s="12" t="str">
        <f aca="false">IF($A93="","",IFERROR(IF(INDEX(원본명단!$E$3:$E$6002,MATCH("R"&amp;88,중복목록!$L$6:$L$6005,0))="","",INDEX(원본명단!$E$3:$E$6002,MATCH("R"&amp;88,중복목록!$L$6:$L$6005,0))),""))</f>
        <v/>
      </c>
      <c r="F93" s="11" t="str">
        <f aca="false">IF($A93="","",IFERROR(MAX(INDEX(중복검사!$E$4:$E$6003,MATCH("R"&amp;88,중복목록!$L$6:$L$6005,0)),INDEX(중복검사!$F$4:$F$6003,MATCH("R"&amp;88,중복목록!$L$6:$L$6005,0)),INDEX(중복검사!$G$4:$G$6003,MATCH("R"&amp;88,중복목록!$L$6:$L$6005,0))),""))</f>
        <v/>
      </c>
      <c r="G93" s="11" t="str">
        <f aca="false">IF($A93="","",IFERROR(INDEX(중복검사!$I$4:$I$6003,MATCH("R"&amp;88,중복목록!$L$6:$L$6005,0)),""))</f>
        <v/>
      </c>
      <c r="H93" s="11" t="str">
        <f aca="false">IF($A93="","",IFERROR(INDEX(중복검사!$J$4:$J$6003,MATCH("R"&amp;88,중복목록!$L$6:$L$6005,0)),""))</f>
        <v/>
      </c>
      <c r="J93" s="14" t="b">
        <f aca="false">IF(중복검사!$A91="",FALSE(),중복검사!$H91="중복")</f>
        <v>0</v>
      </c>
      <c r="K93" s="5" t="str">
        <f aca="false">IF($J93=FALSE(),"",COUNTIF($J$6:$J93,TRUE()))</f>
        <v/>
      </c>
      <c r="L93" s="5" t="str">
        <f aca="false">IF($K93="","","R"&amp;$K93)</f>
        <v/>
      </c>
    </row>
    <row r="94" customFormat="false" ht="15" hidden="false" customHeight="true" outlineLevel="0" collapsed="false">
      <c r="A94" s="11" t="str">
        <f aca="false">IFERROR(INDEX(중복검사!$A$4:$A$6003,MATCH("R"&amp;89,중복목록!$L$6:$L$6005,0)),"")</f>
        <v/>
      </c>
      <c r="B94" s="12" t="str">
        <f aca="false">IF($A94="","",IFERROR(INDEX(중복검사!$B$4:$B$6003,MATCH("R"&amp;89,중복목록!$L$6:$L$6005,0)),""))</f>
        <v/>
      </c>
      <c r="C94" s="12" t="str">
        <f aca="false">IF($A94="","",IFERROR(INDEX(중복검사!$C$4:$C$6003,MATCH("R"&amp;89,중복목록!$L$6:$L$6005,0)),""))</f>
        <v/>
      </c>
      <c r="D94" s="12" t="str">
        <f aca="false">IF($A94="","",IFERROR(INDEX(중복검사!$D$4:$D$6003,MATCH("R"&amp;89,중복목록!$L$6:$L$6005,0)),""))</f>
        <v/>
      </c>
      <c r="E94" s="12" t="str">
        <f aca="false">IF($A94="","",IFERROR(IF(INDEX(원본명단!$E$3:$E$6002,MATCH("R"&amp;89,중복목록!$L$6:$L$6005,0))="","",INDEX(원본명단!$E$3:$E$6002,MATCH("R"&amp;89,중복목록!$L$6:$L$6005,0))),""))</f>
        <v/>
      </c>
      <c r="F94" s="11" t="str">
        <f aca="false">IF($A94="","",IFERROR(MAX(INDEX(중복검사!$E$4:$E$6003,MATCH("R"&amp;89,중복목록!$L$6:$L$6005,0)),INDEX(중복검사!$F$4:$F$6003,MATCH("R"&amp;89,중복목록!$L$6:$L$6005,0)),INDEX(중복검사!$G$4:$G$6003,MATCH("R"&amp;89,중복목록!$L$6:$L$6005,0))),""))</f>
        <v/>
      </c>
      <c r="G94" s="11" t="str">
        <f aca="false">IF($A94="","",IFERROR(INDEX(중복검사!$I$4:$I$6003,MATCH("R"&amp;89,중복목록!$L$6:$L$6005,0)),""))</f>
        <v/>
      </c>
      <c r="H94" s="11" t="str">
        <f aca="false">IF($A94="","",IFERROR(INDEX(중복검사!$J$4:$J$6003,MATCH("R"&amp;89,중복목록!$L$6:$L$6005,0)),""))</f>
        <v/>
      </c>
      <c r="J94" s="14" t="b">
        <f aca="false">IF(중복검사!$A92="",FALSE(),중복검사!$H92="중복")</f>
        <v>0</v>
      </c>
      <c r="K94" s="5" t="str">
        <f aca="false">IF($J94=FALSE(),"",COUNTIF($J$6:$J94,TRUE()))</f>
        <v/>
      </c>
      <c r="L94" s="5" t="str">
        <f aca="false">IF($K94="","","R"&amp;$K94)</f>
        <v/>
      </c>
    </row>
    <row r="95" customFormat="false" ht="15" hidden="false" customHeight="true" outlineLevel="0" collapsed="false">
      <c r="A95" s="11" t="str">
        <f aca="false">IFERROR(INDEX(중복검사!$A$4:$A$6003,MATCH("R"&amp;90,중복목록!$L$6:$L$6005,0)),"")</f>
        <v/>
      </c>
      <c r="B95" s="12" t="str">
        <f aca="false">IF($A95="","",IFERROR(INDEX(중복검사!$B$4:$B$6003,MATCH("R"&amp;90,중복목록!$L$6:$L$6005,0)),""))</f>
        <v/>
      </c>
      <c r="C95" s="12" t="str">
        <f aca="false">IF($A95="","",IFERROR(INDEX(중복검사!$C$4:$C$6003,MATCH("R"&amp;90,중복목록!$L$6:$L$6005,0)),""))</f>
        <v/>
      </c>
      <c r="D95" s="12" t="str">
        <f aca="false">IF($A95="","",IFERROR(INDEX(중복검사!$D$4:$D$6003,MATCH("R"&amp;90,중복목록!$L$6:$L$6005,0)),""))</f>
        <v/>
      </c>
      <c r="E95" s="12" t="str">
        <f aca="false">IF($A95="","",IFERROR(IF(INDEX(원본명단!$E$3:$E$6002,MATCH("R"&amp;90,중복목록!$L$6:$L$6005,0))="","",INDEX(원본명단!$E$3:$E$6002,MATCH("R"&amp;90,중복목록!$L$6:$L$6005,0))),""))</f>
        <v/>
      </c>
      <c r="F95" s="11" t="str">
        <f aca="false">IF($A95="","",IFERROR(MAX(INDEX(중복검사!$E$4:$E$6003,MATCH("R"&amp;90,중복목록!$L$6:$L$6005,0)),INDEX(중복검사!$F$4:$F$6003,MATCH("R"&amp;90,중복목록!$L$6:$L$6005,0)),INDEX(중복검사!$G$4:$G$6003,MATCH("R"&amp;90,중복목록!$L$6:$L$6005,0))),""))</f>
        <v/>
      </c>
      <c r="G95" s="11" t="str">
        <f aca="false">IF($A95="","",IFERROR(INDEX(중복검사!$I$4:$I$6003,MATCH("R"&amp;90,중복목록!$L$6:$L$6005,0)),""))</f>
        <v/>
      </c>
      <c r="H95" s="11" t="str">
        <f aca="false">IF($A95="","",IFERROR(INDEX(중복검사!$J$4:$J$6003,MATCH("R"&amp;90,중복목록!$L$6:$L$6005,0)),""))</f>
        <v/>
      </c>
      <c r="J95" s="14" t="b">
        <f aca="false">IF(중복검사!$A93="",FALSE(),중복검사!$H93="중복")</f>
        <v>0</v>
      </c>
      <c r="K95" s="5" t="str">
        <f aca="false">IF($J95=FALSE(),"",COUNTIF($J$6:$J95,TRUE()))</f>
        <v/>
      </c>
      <c r="L95" s="5" t="str">
        <f aca="false">IF($K95="","","R"&amp;$K95)</f>
        <v/>
      </c>
    </row>
    <row r="96" customFormat="false" ht="15" hidden="false" customHeight="true" outlineLevel="0" collapsed="false">
      <c r="A96" s="11" t="str">
        <f aca="false">IFERROR(INDEX(중복검사!$A$4:$A$6003,MATCH("R"&amp;91,중복목록!$L$6:$L$6005,0)),"")</f>
        <v/>
      </c>
      <c r="B96" s="12" t="str">
        <f aca="false">IF($A96="","",IFERROR(INDEX(중복검사!$B$4:$B$6003,MATCH("R"&amp;91,중복목록!$L$6:$L$6005,0)),""))</f>
        <v/>
      </c>
      <c r="C96" s="12" t="str">
        <f aca="false">IF($A96="","",IFERROR(INDEX(중복검사!$C$4:$C$6003,MATCH("R"&amp;91,중복목록!$L$6:$L$6005,0)),""))</f>
        <v/>
      </c>
      <c r="D96" s="12" t="str">
        <f aca="false">IF($A96="","",IFERROR(INDEX(중복검사!$D$4:$D$6003,MATCH("R"&amp;91,중복목록!$L$6:$L$6005,0)),""))</f>
        <v/>
      </c>
      <c r="E96" s="12" t="str">
        <f aca="false">IF($A96="","",IFERROR(IF(INDEX(원본명단!$E$3:$E$6002,MATCH("R"&amp;91,중복목록!$L$6:$L$6005,0))="","",INDEX(원본명단!$E$3:$E$6002,MATCH("R"&amp;91,중복목록!$L$6:$L$6005,0))),""))</f>
        <v/>
      </c>
      <c r="F96" s="11" t="str">
        <f aca="false">IF($A96="","",IFERROR(MAX(INDEX(중복검사!$E$4:$E$6003,MATCH("R"&amp;91,중복목록!$L$6:$L$6005,0)),INDEX(중복검사!$F$4:$F$6003,MATCH("R"&amp;91,중복목록!$L$6:$L$6005,0)),INDEX(중복검사!$G$4:$G$6003,MATCH("R"&amp;91,중복목록!$L$6:$L$6005,0))),""))</f>
        <v/>
      </c>
      <c r="G96" s="11" t="str">
        <f aca="false">IF($A96="","",IFERROR(INDEX(중복검사!$I$4:$I$6003,MATCH("R"&amp;91,중복목록!$L$6:$L$6005,0)),""))</f>
        <v/>
      </c>
      <c r="H96" s="11" t="str">
        <f aca="false">IF($A96="","",IFERROR(INDEX(중복검사!$J$4:$J$6003,MATCH("R"&amp;91,중복목록!$L$6:$L$6005,0)),""))</f>
        <v/>
      </c>
      <c r="J96" s="14" t="b">
        <f aca="false">IF(중복검사!$A94="",FALSE(),중복검사!$H94="중복")</f>
        <v>0</v>
      </c>
      <c r="K96" s="5" t="str">
        <f aca="false">IF($J96=FALSE(),"",COUNTIF($J$6:$J96,TRUE()))</f>
        <v/>
      </c>
      <c r="L96" s="5" t="str">
        <f aca="false">IF($K96="","","R"&amp;$K96)</f>
        <v/>
      </c>
    </row>
    <row r="97" customFormat="false" ht="15" hidden="false" customHeight="true" outlineLevel="0" collapsed="false">
      <c r="A97" s="11" t="str">
        <f aca="false">IFERROR(INDEX(중복검사!$A$4:$A$6003,MATCH("R"&amp;92,중복목록!$L$6:$L$6005,0)),"")</f>
        <v/>
      </c>
      <c r="B97" s="12" t="str">
        <f aca="false">IF($A97="","",IFERROR(INDEX(중복검사!$B$4:$B$6003,MATCH("R"&amp;92,중복목록!$L$6:$L$6005,0)),""))</f>
        <v/>
      </c>
      <c r="C97" s="12" t="str">
        <f aca="false">IF($A97="","",IFERROR(INDEX(중복검사!$C$4:$C$6003,MATCH("R"&amp;92,중복목록!$L$6:$L$6005,0)),""))</f>
        <v/>
      </c>
      <c r="D97" s="12" t="str">
        <f aca="false">IF($A97="","",IFERROR(INDEX(중복검사!$D$4:$D$6003,MATCH("R"&amp;92,중복목록!$L$6:$L$6005,0)),""))</f>
        <v/>
      </c>
      <c r="E97" s="12" t="str">
        <f aca="false">IF($A97="","",IFERROR(IF(INDEX(원본명단!$E$3:$E$6002,MATCH("R"&amp;92,중복목록!$L$6:$L$6005,0))="","",INDEX(원본명단!$E$3:$E$6002,MATCH("R"&amp;92,중복목록!$L$6:$L$6005,0))),""))</f>
        <v/>
      </c>
      <c r="F97" s="11" t="str">
        <f aca="false">IF($A97="","",IFERROR(MAX(INDEX(중복검사!$E$4:$E$6003,MATCH("R"&amp;92,중복목록!$L$6:$L$6005,0)),INDEX(중복검사!$F$4:$F$6003,MATCH("R"&amp;92,중복목록!$L$6:$L$6005,0)),INDEX(중복검사!$G$4:$G$6003,MATCH("R"&amp;92,중복목록!$L$6:$L$6005,0))),""))</f>
        <v/>
      </c>
      <c r="G97" s="11" t="str">
        <f aca="false">IF($A97="","",IFERROR(INDEX(중복검사!$I$4:$I$6003,MATCH("R"&amp;92,중복목록!$L$6:$L$6005,0)),""))</f>
        <v/>
      </c>
      <c r="H97" s="11" t="str">
        <f aca="false">IF($A97="","",IFERROR(INDEX(중복검사!$J$4:$J$6003,MATCH("R"&amp;92,중복목록!$L$6:$L$6005,0)),""))</f>
        <v/>
      </c>
      <c r="J97" s="14" t="b">
        <f aca="false">IF(중복검사!$A95="",FALSE(),중복검사!$H95="중복")</f>
        <v>0</v>
      </c>
      <c r="K97" s="5" t="str">
        <f aca="false">IF($J97=FALSE(),"",COUNTIF($J$6:$J97,TRUE()))</f>
        <v/>
      </c>
      <c r="L97" s="5" t="str">
        <f aca="false">IF($K97="","","R"&amp;$K97)</f>
        <v/>
      </c>
    </row>
    <row r="98" customFormat="false" ht="15" hidden="false" customHeight="true" outlineLevel="0" collapsed="false">
      <c r="A98" s="11" t="str">
        <f aca="false">IFERROR(INDEX(중복검사!$A$4:$A$6003,MATCH("R"&amp;93,중복목록!$L$6:$L$6005,0)),"")</f>
        <v/>
      </c>
      <c r="B98" s="12" t="str">
        <f aca="false">IF($A98="","",IFERROR(INDEX(중복검사!$B$4:$B$6003,MATCH("R"&amp;93,중복목록!$L$6:$L$6005,0)),""))</f>
        <v/>
      </c>
      <c r="C98" s="12" t="str">
        <f aca="false">IF($A98="","",IFERROR(INDEX(중복검사!$C$4:$C$6003,MATCH("R"&amp;93,중복목록!$L$6:$L$6005,0)),""))</f>
        <v/>
      </c>
      <c r="D98" s="12" t="str">
        <f aca="false">IF($A98="","",IFERROR(INDEX(중복검사!$D$4:$D$6003,MATCH("R"&amp;93,중복목록!$L$6:$L$6005,0)),""))</f>
        <v/>
      </c>
      <c r="E98" s="12" t="str">
        <f aca="false">IF($A98="","",IFERROR(IF(INDEX(원본명단!$E$3:$E$6002,MATCH("R"&amp;93,중복목록!$L$6:$L$6005,0))="","",INDEX(원본명단!$E$3:$E$6002,MATCH("R"&amp;93,중복목록!$L$6:$L$6005,0))),""))</f>
        <v/>
      </c>
      <c r="F98" s="11" t="str">
        <f aca="false">IF($A98="","",IFERROR(MAX(INDEX(중복검사!$E$4:$E$6003,MATCH("R"&amp;93,중복목록!$L$6:$L$6005,0)),INDEX(중복검사!$F$4:$F$6003,MATCH("R"&amp;93,중복목록!$L$6:$L$6005,0)),INDEX(중복검사!$G$4:$G$6003,MATCH("R"&amp;93,중복목록!$L$6:$L$6005,0))),""))</f>
        <v/>
      </c>
      <c r="G98" s="11" t="str">
        <f aca="false">IF($A98="","",IFERROR(INDEX(중복검사!$I$4:$I$6003,MATCH("R"&amp;93,중복목록!$L$6:$L$6005,0)),""))</f>
        <v/>
      </c>
      <c r="H98" s="11" t="str">
        <f aca="false">IF($A98="","",IFERROR(INDEX(중복검사!$J$4:$J$6003,MATCH("R"&amp;93,중복목록!$L$6:$L$6005,0)),""))</f>
        <v/>
      </c>
      <c r="J98" s="14" t="b">
        <f aca="false">IF(중복검사!$A96="",FALSE(),중복검사!$H96="중복")</f>
        <v>0</v>
      </c>
      <c r="K98" s="5" t="str">
        <f aca="false">IF($J98=FALSE(),"",COUNTIF($J$6:$J98,TRUE()))</f>
        <v/>
      </c>
      <c r="L98" s="5" t="str">
        <f aca="false">IF($K98="","","R"&amp;$K98)</f>
        <v/>
      </c>
    </row>
    <row r="99" customFormat="false" ht="15" hidden="false" customHeight="true" outlineLevel="0" collapsed="false">
      <c r="A99" s="11" t="str">
        <f aca="false">IFERROR(INDEX(중복검사!$A$4:$A$6003,MATCH("R"&amp;94,중복목록!$L$6:$L$6005,0)),"")</f>
        <v/>
      </c>
      <c r="B99" s="12" t="str">
        <f aca="false">IF($A99="","",IFERROR(INDEX(중복검사!$B$4:$B$6003,MATCH("R"&amp;94,중복목록!$L$6:$L$6005,0)),""))</f>
        <v/>
      </c>
      <c r="C99" s="12" t="str">
        <f aca="false">IF($A99="","",IFERROR(INDEX(중복검사!$C$4:$C$6003,MATCH("R"&amp;94,중복목록!$L$6:$L$6005,0)),""))</f>
        <v/>
      </c>
      <c r="D99" s="12" t="str">
        <f aca="false">IF($A99="","",IFERROR(INDEX(중복검사!$D$4:$D$6003,MATCH("R"&amp;94,중복목록!$L$6:$L$6005,0)),""))</f>
        <v/>
      </c>
      <c r="E99" s="12" t="str">
        <f aca="false">IF($A99="","",IFERROR(IF(INDEX(원본명단!$E$3:$E$6002,MATCH("R"&amp;94,중복목록!$L$6:$L$6005,0))="","",INDEX(원본명단!$E$3:$E$6002,MATCH("R"&amp;94,중복목록!$L$6:$L$6005,0))),""))</f>
        <v/>
      </c>
      <c r="F99" s="11" t="str">
        <f aca="false">IF($A99="","",IFERROR(MAX(INDEX(중복검사!$E$4:$E$6003,MATCH("R"&amp;94,중복목록!$L$6:$L$6005,0)),INDEX(중복검사!$F$4:$F$6003,MATCH("R"&amp;94,중복목록!$L$6:$L$6005,0)),INDEX(중복검사!$G$4:$G$6003,MATCH("R"&amp;94,중복목록!$L$6:$L$6005,0))),""))</f>
        <v/>
      </c>
      <c r="G99" s="11" t="str">
        <f aca="false">IF($A99="","",IFERROR(INDEX(중복검사!$I$4:$I$6003,MATCH("R"&amp;94,중복목록!$L$6:$L$6005,0)),""))</f>
        <v/>
      </c>
      <c r="H99" s="11" t="str">
        <f aca="false">IF($A99="","",IFERROR(INDEX(중복검사!$J$4:$J$6003,MATCH("R"&amp;94,중복목록!$L$6:$L$6005,0)),""))</f>
        <v/>
      </c>
      <c r="J99" s="14" t="b">
        <f aca="false">IF(중복검사!$A97="",FALSE(),중복검사!$H97="중복")</f>
        <v>0</v>
      </c>
      <c r="K99" s="5" t="str">
        <f aca="false">IF($J99=FALSE(),"",COUNTIF($J$6:$J99,TRUE()))</f>
        <v/>
      </c>
      <c r="L99" s="5" t="str">
        <f aca="false">IF($K99="","","R"&amp;$K99)</f>
        <v/>
      </c>
    </row>
    <row r="100" customFormat="false" ht="15" hidden="false" customHeight="true" outlineLevel="0" collapsed="false">
      <c r="A100" s="11" t="str">
        <f aca="false">IFERROR(INDEX(중복검사!$A$4:$A$6003,MATCH("R"&amp;95,중복목록!$L$6:$L$6005,0)),"")</f>
        <v/>
      </c>
      <c r="B100" s="12" t="str">
        <f aca="false">IF($A100="","",IFERROR(INDEX(중복검사!$B$4:$B$6003,MATCH("R"&amp;95,중복목록!$L$6:$L$6005,0)),""))</f>
        <v/>
      </c>
      <c r="C100" s="12" t="str">
        <f aca="false">IF($A100="","",IFERROR(INDEX(중복검사!$C$4:$C$6003,MATCH("R"&amp;95,중복목록!$L$6:$L$6005,0)),""))</f>
        <v/>
      </c>
      <c r="D100" s="12" t="str">
        <f aca="false">IF($A100="","",IFERROR(INDEX(중복검사!$D$4:$D$6003,MATCH("R"&amp;95,중복목록!$L$6:$L$6005,0)),""))</f>
        <v/>
      </c>
      <c r="E100" s="12" t="str">
        <f aca="false">IF($A100="","",IFERROR(IF(INDEX(원본명단!$E$3:$E$6002,MATCH("R"&amp;95,중복목록!$L$6:$L$6005,0))="","",INDEX(원본명단!$E$3:$E$6002,MATCH("R"&amp;95,중복목록!$L$6:$L$6005,0))),""))</f>
        <v/>
      </c>
      <c r="F100" s="11" t="str">
        <f aca="false">IF($A100="","",IFERROR(MAX(INDEX(중복검사!$E$4:$E$6003,MATCH("R"&amp;95,중복목록!$L$6:$L$6005,0)),INDEX(중복검사!$F$4:$F$6003,MATCH("R"&amp;95,중복목록!$L$6:$L$6005,0)),INDEX(중복검사!$G$4:$G$6003,MATCH("R"&amp;95,중복목록!$L$6:$L$6005,0))),""))</f>
        <v/>
      </c>
      <c r="G100" s="11" t="str">
        <f aca="false">IF($A100="","",IFERROR(INDEX(중복검사!$I$4:$I$6003,MATCH("R"&amp;95,중복목록!$L$6:$L$6005,0)),""))</f>
        <v/>
      </c>
      <c r="H100" s="11" t="str">
        <f aca="false">IF($A100="","",IFERROR(INDEX(중복검사!$J$4:$J$6003,MATCH("R"&amp;95,중복목록!$L$6:$L$6005,0)),""))</f>
        <v/>
      </c>
      <c r="J100" s="14" t="b">
        <f aca="false">IF(중복검사!$A98="",FALSE(),중복검사!$H98="중복")</f>
        <v>0</v>
      </c>
      <c r="K100" s="5" t="str">
        <f aca="false">IF($J100=FALSE(),"",COUNTIF($J$6:$J100,TRUE()))</f>
        <v/>
      </c>
      <c r="L100" s="5" t="str">
        <f aca="false">IF($K100="","","R"&amp;$K100)</f>
        <v/>
      </c>
    </row>
    <row r="101" customFormat="false" ht="15" hidden="false" customHeight="true" outlineLevel="0" collapsed="false">
      <c r="A101" s="11" t="str">
        <f aca="false">IFERROR(INDEX(중복검사!$A$4:$A$6003,MATCH("R"&amp;96,중복목록!$L$6:$L$6005,0)),"")</f>
        <v/>
      </c>
      <c r="B101" s="12" t="str">
        <f aca="false">IF($A101="","",IFERROR(INDEX(중복검사!$B$4:$B$6003,MATCH("R"&amp;96,중복목록!$L$6:$L$6005,0)),""))</f>
        <v/>
      </c>
      <c r="C101" s="12" t="str">
        <f aca="false">IF($A101="","",IFERROR(INDEX(중복검사!$C$4:$C$6003,MATCH("R"&amp;96,중복목록!$L$6:$L$6005,0)),""))</f>
        <v/>
      </c>
      <c r="D101" s="12" t="str">
        <f aca="false">IF($A101="","",IFERROR(INDEX(중복검사!$D$4:$D$6003,MATCH("R"&amp;96,중복목록!$L$6:$L$6005,0)),""))</f>
        <v/>
      </c>
      <c r="E101" s="12" t="str">
        <f aca="false">IF($A101="","",IFERROR(IF(INDEX(원본명단!$E$3:$E$6002,MATCH("R"&amp;96,중복목록!$L$6:$L$6005,0))="","",INDEX(원본명단!$E$3:$E$6002,MATCH("R"&amp;96,중복목록!$L$6:$L$6005,0))),""))</f>
        <v/>
      </c>
      <c r="F101" s="11" t="str">
        <f aca="false">IF($A101="","",IFERROR(MAX(INDEX(중복검사!$E$4:$E$6003,MATCH("R"&amp;96,중복목록!$L$6:$L$6005,0)),INDEX(중복검사!$F$4:$F$6003,MATCH("R"&amp;96,중복목록!$L$6:$L$6005,0)),INDEX(중복검사!$G$4:$G$6003,MATCH("R"&amp;96,중복목록!$L$6:$L$6005,0))),""))</f>
        <v/>
      </c>
      <c r="G101" s="11" t="str">
        <f aca="false">IF($A101="","",IFERROR(INDEX(중복검사!$I$4:$I$6003,MATCH("R"&amp;96,중복목록!$L$6:$L$6005,0)),""))</f>
        <v/>
      </c>
      <c r="H101" s="11" t="str">
        <f aca="false">IF($A101="","",IFERROR(INDEX(중복검사!$J$4:$J$6003,MATCH("R"&amp;96,중복목록!$L$6:$L$6005,0)),""))</f>
        <v/>
      </c>
      <c r="J101" s="14" t="b">
        <f aca="false">IF(중복검사!$A99="",FALSE(),중복검사!$H99="중복")</f>
        <v>0</v>
      </c>
      <c r="K101" s="5" t="str">
        <f aca="false">IF($J101=FALSE(),"",COUNTIF($J$6:$J101,TRUE()))</f>
        <v/>
      </c>
      <c r="L101" s="5" t="str">
        <f aca="false">IF($K101="","","R"&amp;$K101)</f>
        <v/>
      </c>
    </row>
    <row r="102" customFormat="false" ht="15" hidden="false" customHeight="true" outlineLevel="0" collapsed="false">
      <c r="A102" s="11" t="str">
        <f aca="false">IFERROR(INDEX(중복검사!$A$4:$A$6003,MATCH("R"&amp;97,중복목록!$L$6:$L$6005,0)),"")</f>
        <v/>
      </c>
      <c r="B102" s="12" t="str">
        <f aca="false">IF($A102="","",IFERROR(INDEX(중복검사!$B$4:$B$6003,MATCH("R"&amp;97,중복목록!$L$6:$L$6005,0)),""))</f>
        <v/>
      </c>
      <c r="C102" s="12" t="str">
        <f aca="false">IF($A102="","",IFERROR(INDEX(중복검사!$C$4:$C$6003,MATCH("R"&amp;97,중복목록!$L$6:$L$6005,0)),""))</f>
        <v/>
      </c>
      <c r="D102" s="12" t="str">
        <f aca="false">IF($A102="","",IFERROR(INDEX(중복검사!$D$4:$D$6003,MATCH("R"&amp;97,중복목록!$L$6:$L$6005,0)),""))</f>
        <v/>
      </c>
      <c r="E102" s="12" t="str">
        <f aca="false">IF($A102="","",IFERROR(IF(INDEX(원본명단!$E$3:$E$6002,MATCH("R"&amp;97,중복목록!$L$6:$L$6005,0))="","",INDEX(원본명단!$E$3:$E$6002,MATCH("R"&amp;97,중복목록!$L$6:$L$6005,0))),""))</f>
        <v/>
      </c>
      <c r="F102" s="11" t="str">
        <f aca="false">IF($A102="","",IFERROR(MAX(INDEX(중복검사!$E$4:$E$6003,MATCH("R"&amp;97,중복목록!$L$6:$L$6005,0)),INDEX(중복검사!$F$4:$F$6003,MATCH("R"&amp;97,중복목록!$L$6:$L$6005,0)),INDEX(중복검사!$G$4:$G$6003,MATCH("R"&amp;97,중복목록!$L$6:$L$6005,0))),""))</f>
        <v/>
      </c>
      <c r="G102" s="11" t="str">
        <f aca="false">IF($A102="","",IFERROR(INDEX(중복검사!$I$4:$I$6003,MATCH("R"&amp;97,중복목록!$L$6:$L$6005,0)),""))</f>
        <v/>
      </c>
      <c r="H102" s="11" t="str">
        <f aca="false">IF($A102="","",IFERROR(INDEX(중복검사!$J$4:$J$6003,MATCH("R"&amp;97,중복목록!$L$6:$L$6005,0)),""))</f>
        <v/>
      </c>
      <c r="J102" s="14" t="b">
        <f aca="false">IF(중복검사!$A100="",FALSE(),중복검사!$H100="중복")</f>
        <v>0</v>
      </c>
      <c r="K102" s="5" t="str">
        <f aca="false">IF($J102=FALSE(),"",COUNTIF($J$6:$J102,TRUE()))</f>
        <v/>
      </c>
      <c r="L102" s="5" t="str">
        <f aca="false">IF($K102="","","R"&amp;$K102)</f>
        <v/>
      </c>
    </row>
    <row r="103" customFormat="false" ht="15" hidden="false" customHeight="true" outlineLevel="0" collapsed="false">
      <c r="A103" s="11" t="str">
        <f aca="false">IFERROR(INDEX(중복검사!$A$4:$A$6003,MATCH("R"&amp;98,중복목록!$L$6:$L$6005,0)),"")</f>
        <v/>
      </c>
      <c r="B103" s="12" t="str">
        <f aca="false">IF($A103="","",IFERROR(INDEX(중복검사!$B$4:$B$6003,MATCH("R"&amp;98,중복목록!$L$6:$L$6005,0)),""))</f>
        <v/>
      </c>
      <c r="C103" s="12" t="str">
        <f aca="false">IF($A103="","",IFERROR(INDEX(중복검사!$C$4:$C$6003,MATCH("R"&amp;98,중복목록!$L$6:$L$6005,0)),""))</f>
        <v/>
      </c>
      <c r="D103" s="12" t="str">
        <f aca="false">IF($A103="","",IFERROR(INDEX(중복검사!$D$4:$D$6003,MATCH("R"&amp;98,중복목록!$L$6:$L$6005,0)),""))</f>
        <v/>
      </c>
      <c r="E103" s="12" t="str">
        <f aca="false">IF($A103="","",IFERROR(IF(INDEX(원본명단!$E$3:$E$6002,MATCH("R"&amp;98,중복목록!$L$6:$L$6005,0))="","",INDEX(원본명단!$E$3:$E$6002,MATCH("R"&amp;98,중복목록!$L$6:$L$6005,0))),""))</f>
        <v/>
      </c>
      <c r="F103" s="11" t="str">
        <f aca="false">IF($A103="","",IFERROR(MAX(INDEX(중복검사!$E$4:$E$6003,MATCH("R"&amp;98,중복목록!$L$6:$L$6005,0)),INDEX(중복검사!$F$4:$F$6003,MATCH("R"&amp;98,중복목록!$L$6:$L$6005,0)),INDEX(중복검사!$G$4:$G$6003,MATCH("R"&amp;98,중복목록!$L$6:$L$6005,0))),""))</f>
        <v/>
      </c>
      <c r="G103" s="11" t="str">
        <f aca="false">IF($A103="","",IFERROR(INDEX(중복검사!$I$4:$I$6003,MATCH("R"&amp;98,중복목록!$L$6:$L$6005,0)),""))</f>
        <v/>
      </c>
      <c r="H103" s="11" t="str">
        <f aca="false">IF($A103="","",IFERROR(INDEX(중복검사!$J$4:$J$6003,MATCH("R"&amp;98,중복목록!$L$6:$L$6005,0)),""))</f>
        <v/>
      </c>
      <c r="J103" s="14" t="b">
        <f aca="false">IF(중복검사!$A101="",FALSE(),중복검사!$H101="중복")</f>
        <v>0</v>
      </c>
      <c r="K103" s="5" t="str">
        <f aca="false">IF($J103=FALSE(),"",COUNTIF($J$6:$J103,TRUE()))</f>
        <v/>
      </c>
      <c r="L103" s="5" t="str">
        <f aca="false">IF($K103="","","R"&amp;$K103)</f>
        <v/>
      </c>
    </row>
    <row r="104" customFormat="false" ht="15" hidden="false" customHeight="true" outlineLevel="0" collapsed="false">
      <c r="A104" s="11" t="str">
        <f aca="false">IFERROR(INDEX(중복검사!$A$4:$A$6003,MATCH("R"&amp;99,중복목록!$L$6:$L$6005,0)),"")</f>
        <v/>
      </c>
      <c r="B104" s="12" t="str">
        <f aca="false">IF($A104="","",IFERROR(INDEX(중복검사!$B$4:$B$6003,MATCH("R"&amp;99,중복목록!$L$6:$L$6005,0)),""))</f>
        <v/>
      </c>
      <c r="C104" s="12" t="str">
        <f aca="false">IF($A104="","",IFERROR(INDEX(중복검사!$C$4:$C$6003,MATCH("R"&amp;99,중복목록!$L$6:$L$6005,0)),""))</f>
        <v/>
      </c>
      <c r="D104" s="12" t="str">
        <f aca="false">IF($A104="","",IFERROR(INDEX(중복검사!$D$4:$D$6003,MATCH("R"&amp;99,중복목록!$L$6:$L$6005,0)),""))</f>
        <v/>
      </c>
      <c r="E104" s="12" t="str">
        <f aca="false">IF($A104="","",IFERROR(IF(INDEX(원본명단!$E$3:$E$6002,MATCH("R"&amp;99,중복목록!$L$6:$L$6005,0))="","",INDEX(원본명단!$E$3:$E$6002,MATCH("R"&amp;99,중복목록!$L$6:$L$6005,0))),""))</f>
        <v/>
      </c>
      <c r="F104" s="11" t="str">
        <f aca="false">IF($A104="","",IFERROR(MAX(INDEX(중복검사!$E$4:$E$6003,MATCH("R"&amp;99,중복목록!$L$6:$L$6005,0)),INDEX(중복검사!$F$4:$F$6003,MATCH("R"&amp;99,중복목록!$L$6:$L$6005,0)),INDEX(중복검사!$G$4:$G$6003,MATCH("R"&amp;99,중복목록!$L$6:$L$6005,0))),""))</f>
        <v/>
      </c>
      <c r="G104" s="11" t="str">
        <f aca="false">IF($A104="","",IFERROR(INDEX(중복검사!$I$4:$I$6003,MATCH("R"&amp;99,중복목록!$L$6:$L$6005,0)),""))</f>
        <v/>
      </c>
      <c r="H104" s="11" t="str">
        <f aca="false">IF($A104="","",IFERROR(INDEX(중복검사!$J$4:$J$6003,MATCH("R"&amp;99,중복목록!$L$6:$L$6005,0)),""))</f>
        <v/>
      </c>
      <c r="J104" s="14" t="b">
        <f aca="false">IF(중복검사!$A102="",FALSE(),중복검사!$H102="중복")</f>
        <v>0</v>
      </c>
      <c r="K104" s="5" t="str">
        <f aca="false">IF($J104=FALSE(),"",COUNTIF($J$6:$J104,TRUE()))</f>
        <v/>
      </c>
      <c r="L104" s="5" t="str">
        <f aca="false">IF($K104="","","R"&amp;$K104)</f>
        <v/>
      </c>
    </row>
    <row r="105" customFormat="false" ht="15" hidden="false" customHeight="true" outlineLevel="0" collapsed="false">
      <c r="A105" s="11" t="str">
        <f aca="false">IFERROR(INDEX(중복검사!$A$4:$A$6003,MATCH("R"&amp;100,중복목록!$L$6:$L$6005,0)),"")</f>
        <v/>
      </c>
      <c r="B105" s="12" t="str">
        <f aca="false">IF($A105="","",IFERROR(INDEX(중복검사!$B$4:$B$6003,MATCH("R"&amp;100,중복목록!$L$6:$L$6005,0)),""))</f>
        <v/>
      </c>
      <c r="C105" s="12" t="str">
        <f aca="false">IF($A105="","",IFERROR(INDEX(중복검사!$C$4:$C$6003,MATCH("R"&amp;100,중복목록!$L$6:$L$6005,0)),""))</f>
        <v/>
      </c>
      <c r="D105" s="12" t="str">
        <f aca="false">IF($A105="","",IFERROR(INDEX(중복검사!$D$4:$D$6003,MATCH("R"&amp;100,중복목록!$L$6:$L$6005,0)),""))</f>
        <v/>
      </c>
      <c r="E105" s="12" t="str">
        <f aca="false">IF($A105="","",IFERROR(IF(INDEX(원본명단!$E$3:$E$6002,MATCH("R"&amp;100,중복목록!$L$6:$L$6005,0))="","",INDEX(원본명단!$E$3:$E$6002,MATCH("R"&amp;100,중복목록!$L$6:$L$6005,0))),""))</f>
        <v/>
      </c>
      <c r="F105" s="11" t="str">
        <f aca="false">IF($A105="","",IFERROR(MAX(INDEX(중복검사!$E$4:$E$6003,MATCH("R"&amp;100,중복목록!$L$6:$L$6005,0)),INDEX(중복검사!$F$4:$F$6003,MATCH("R"&amp;100,중복목록!$L$6:$L$6005,0)),INDEX(중복검사!$G$4:$G$6003,MATCH("R"&amp;100,중복목록!$L$6:$L$6005,0))),""))</f>
        <v/>
      </c>
      <c r="G105" s="11" t="str">
        <f aca="false">IF($A105="","",IFERROR(INDEX(중복검사!$I$4:$I$6003,MATCH("R"&amp;100,중복목록!$L$6:$L$6005,0)),""))</f>
        <v/>
      </c>
      <c r="H105" s="11" t="str">
        <f aca="false">IF($A105="","",IFERROR(INDEX(중복검사!$J$4:$J$6003,MATCH("R"&amp;100,중복목록!$L$6:$L$6005,0)),""))</f>
        <v/>
      </c>
      <c r="J105" s="14" t="b">
        <f aca="false">IF(중복검사!$A103="",FALSE(),중복검사!$H103="중복")</f>
        <v>0</v>
      </c>
      <c r="K105" s="5" t="str">
        <f aca="false">IF($J105=FALSE(),"",COUNTIF($J$6:$J105,TRUE()))</f>
        <v/>
      </c>
      <c r="L105" s="5" t="str">
        <f aca="false">IF($K105="","","R"&amp;$K105)</f>
        <v/>
      </c>
    </row>
    <row r="106" customFormat="false" ht="15" hidden="false" customHeight="true" outlineLevel="0" collapsed="false">
      <c r="A106" s="11" t="str">
        <f aca="false">IFERROR(INDEX(중복검사!$A$4:$A$6003,MATCH("R"&amp;101,중복목록!$L$6:$L$6005,0)),"")</f>
        <v/>
      </c>
      <c r="B106" s="12" t="str">
        <f aca="false">IF($A106="","",IFERROR(INDEX(중복검사!$B$4:$B$6003,MATCH("R"&amp;101,중복목록!$L$6:$L$6005,0)),""))</f>
        <v/>
      </c>
      <c r="C106" s="12" t="str">
        <f aca="false">IF($A106="","",IFERROR(INDEX(중복검사!$C$4:$C$6003,MATCH("R"&amp;101,중복목록!$L$6:$L$6005,0)),""))</f>
        <v/>
      </c>
      <c r="D106" s="12" t="str">
        <f aca="false">IF($A106="","",IFERROR(INDEX(중복검사!$D$4:$D$6003,MATCH("R"&amp;101,중복목록!$L$6:$L$6005,0)),""))</f>
        <v/>
      </c>
      <c r="E106" s="12" t="str">
        <f aca="false">IF($A106="","",IFERROR(IF(INDEX(원본명단!$E$3:$E$6002,MATCH("R"&amp;101,중복목록!$L$6:$L$6005,0))="","",INDEX(원본명단!$E$3:$E$6002,MATCH("R"&amp;101,중복목록!$L$6:$L$6005,0))),""))</f>
        <v/>
      </c>
      <c r="F106" s="11" t="str">
        <f aca="false">IF($A106="","",IFERROR(MAX(INDEX(중복검사!$E$4:$E$6003,MATCH("R"&amp;101,중복목록!$L$6:$L$6005,0)),INDEX(중복검사!$F$4:$F$6003,MATCH("R"&amp;101,중복목록!$L$6:$L$6005,0)),INDEX(중복검사!$G$4:$G$6003,MATCH("R"&amp;101,중복목록!$L$6:$L$6005,0))),""))</f>
        <v/>
      </c>
      <c r="G106" s="11" t="str">
        <f aca="false">IF($A106="","",IFERROR(INDEX(중복검사!$I$4:$I$6003,MATCH("R"&amp;101,중복목록!$L$6:$L$6005,0)),""))</f>
        <v/>
      </c>
      <c r="H106" s="11" t="str">
        <f aca="false">IF($A106="","",IFERROR(INDEX(중복검사!$J$4:$J$6003,MATCH("R"&amp;101,중복목록!$L$6:$L$6005,0)),""))</f>
        <v/>
      </c>
      <c r="J106" s="14" t="b">
        <f aca="false">IF(중복검사!$A104="",FALSE(),중복검사!$H104="중복")</f>
        <v>0</v>
      </c>
      <c r="K106" s="5" t="str">
        <f aca="false">IF($J106=FALSE(),"",COUNTIF($J$6:$J106,TRUE()))</f>
        <v/>
      </c>
      <c r="L106" s="5" t="str">
        <f aca="false">IF($K106="","","R"&amp;$K106)</f>
        <v/>
      </c>
    </row>
    <row r="107" customFormat="false" ht="15" hidden="false" customHeight="true" outlineLevel="0" collapsed="false">
      <c r="A107" s="11" t="str">
        <f aca="false">IFERROR(INDEX(중복검사!$A$4:$A$6003,MATCH("R"&amp;102,중복목록!$L$6:$L$6005,0)),"")</f>
        <v/>
      </c>
      <c r="B107" s="12" t="str">
        <f aca="false">IF($A107="","",IFERROR(INDEX(중복검사!$B$4:$B$6003,MATCH("R"&amp;102,중복목록!$L$6:$L$6005,0)),""))</f>
        <v/>
      </c>
      <c r="C107" s="12" t="str">
        <f aca="false">IF($A107="","",IFERROR(INDEX(중복검사!$C$4:$C$6003,MATCH("R"&amp;102,중복목록!$L$6:$L$6005,0)),""))</f>
        <v/>
      </c>
      <c r="D107" s="12" t="str">
        <f aca="false">IF($A107="","",IFERROR(INDEX(중복검사!$D$4:$D$6003,MATCH("R"&amp;102,중복목록!$L$6:$L$6005,0)),""))</f>
        <v/>
      </c>
      <c r="E107" s="12" t="str">
        <f aca="false">IF($A107="","",IFERROR(IF(INDEX(원본명단!$E$3:$E$6002,MATCH("R"&amp;102,중복목록!$L$6:$L$6005,0))="","",INDEX(원본명단!$E$3:$E$6002,MATCH("R"&amp;102,중복목록!$L$6:$L$6005,0))),""))</f>
        <v/>
      </c>
      <c r="F107" s="11" t="str">
        <f aca="false">IF($A107="","",IFERROR(MAX(INDEX(중복검사!$E$4:$E$6003,MATCH("R"&amp;102,중복목록!$L$6:$L$6005,0)),INDEX(중복검사!$F$4:$F$6003,MATCH("R"&amp;102,중복목록!$L$6:$L$6005,0)),INDEX(중복검사!$G$4:$G$6003,MATCH("R"&amp;102,중복목록!$L$6:$L$6005,0))),""))</f>
        <v/>
      </c>
      <c r="G107" s="11" t="str">
        <f aca="false">IF($A107="","",IFERROR(INDEX(중복검사!$I$4:$I$6003,MATCH("R"&amp;102,중복목록!$L$6:$L$6005,0)),""))</f>
        <v/>
      </c>
      <c r="H107" s="11" t="str">
        <f aca="false">IF($A107="","",IFERROR(INDEX(중복검사!$J$4:$J$6003,MATCH("R"&amp;102,중복목록!$L$6:$L$6005,0)),""))</f>
        <v/>
      </c>
      <c r="J107" s="14" t="b">
        <f aca="false">IF(중복검사!$A105="",FALSE(),중복검사!$H105="중복")</f>
        <v>0</v>
      </c>
      <c r="K107" s="5" t="str">
        <f aca="false">IF($J107=FALSE(),"",COUNTIF($J$6:$J107,TRUE()))</f>
        <v/>
      </c>
      <c r="L107" s="5" t="str">
        <f aca="false">IF($K107="","","R"&amp;$K107)</f>
        <v/>
      </c>
    </row>
    <row r="108" customFormat="false" ht="15" hidden="false" customHeight="true" outlineLevel="0" collapsed="false">
      <c r="A108" s="11" t="str">
        <f aca="false">IFERROR(INDEX(중복검사!$A$4:$A$6003,MATCH("R"&amp;103,중복목록!$L$6:$L$6005,0)),"")</f>
        <v/>
      </c>
      <c r="B108" s="12" t="str">
        <f aca="false">IF($A108="","",IFERROR(INDEX(중복검사!$B$4:$B$6003,MATCH("R"&amp;103,중복목록!$L$6:$L$6005,0)),""))</f>
        <v/>
      </c>
      <c r="C108" s="12" t="str">
        <f aca="false">IF($A108="","",IFERROR(INDEX(중복검사!$C$4:$C$6003,MATCH("R"&amp;103,중복목록!$L$6:$L$6005,0)),""))</f>
        <v/>
      </c>
      <c r="D108" s="12" t="str">
        <f aca="false">IF($A108="","",IFERROR(INDEX(중복검사!$D$4:$D$6003,MATCH("R"&amp;103,중복목록!$L$6:$L$6005,0)),""))</f>
        <v/>
      </c>
      <c r="E108" s="12" t="str">
        <f aca="false">IF($A108="","",IFERROR(IF(INDEX(원본명단!$E$3:$E$6002,MATCH("R"&amp;103,중복목록!$L$6:$L$6005,0))="","",INDEX(원본명단!$E$3:$E$6002,MATCH("R"&amp;103,중복목록!$L$6:$L$6005,0))),""))</f>
        <v/>
      </c>
      <c r="F108" s="11" t="str">
        <f aca="false">IF($A108="","",IFERROR(MAX(INDEX(중복검사!$E$4:$E$6003,MATCH("R"&amp;103,중복목록!$L$6:$L$6005,0)),INDEX(중복검사!$F$4:$F$6003,MATCH("R"&amp;103,중복목록!$L$6:$L$6005,0)),INDEX(중복검사!$G$4:$G$6003,MATCH("R"&amp;103,중복목록!$L$6:$L$6005,0))),""))</f>
        <v/>
      </c>
      <c r="G108" s="11" t="str">
        <f aca="false">IF($A108="","",IFERROR(INDEX(중복검사!$I$4:$I$6003,MATCH("R"&amp;103,중복목록!$L$6:$L$6005,0)),""))</f>
        <v/>
      </c>
      <c r="H108" s="11" t="str">
        <f aca="false">IF($A108="","",IFERROR(INDEX(중복검사!$J$4:$J$6003,MATCH("R"&amp;103,중복목록!$L$6:$L$6005,0)),""))</f>
        <v/>
      </c>
      <c r="J108" s="14" t="b">
        <f aca="false">IF(중복검사!$A106="",FALSE(),중복검사!$H106="중복")</f>
        <v>0</v>
      </c>
      <c r="K108" s="5" t="str">
        <f aca="false">IF($J108=FALSE(),"",COUNTIF($J$6:$J108,TRUE()))</f>
        <v/>
      </c>
      <c r="L108" s="5" t="str">
        <f aca="false">IF($K108="","","R"&amp;$K108)</f>
        <v/>
      </c>
    </row>
    <row r="109" customFormat="false" ht="15" hidden="false" customHeight="true" outlineLevel="0" collapsed="false">
      <c r="A109" s="11" t="str">
        <f aca="false">IFERROR(INDEX(중복검사!$A$4:$A$6003,MATCH("R"&amp;104,중복목록!$L$6:$L$6005,0)),"")</f>
        <v/>
      </c>
      <c r="B109" s="12" t="str">
        <f aca="false">IF($A109="","",IFERROR(INDEX(중복검사!$B$4:$B$6003,MATCH("R"&amp;104,중복목록!$L$6:$L$6005,0)),""))</f>
        <v/>
      </c>
      <c r="C109" s="12" t="str">
        <f aca="false">IF($A109="","",IFERROR(INDEX(중복검사!$C$4:$C$6003,MATCH("R"&amp;104,중복목록!$L$6:$L$6005,0)),""))</f>
        <v/>
      </c>
      <c r="D109" s="12" t="str">
        <f aca="false">IF($A109="","",IFERROR(INDEX(중복검사!$D$4:$D$6003,MATCH("R"&amp;104,중복목록!$L$6:$L$6005,0)),""))</f>
        <v/>
      </c>
      <c r="E109" s="12" t="str">
        <f aca="false">IF($A109="","",IFERROR(IF(INDEX(원본명단!$E$3:$E$6002,MATCH("R"&amp;104,중복목록!$L$6:$L$6005,0))="","",INDEX(원본명단!$E$3:$E$6002,MATCH("R"&amp;104,중복목록!$L$6:$L$6005,0))),""))</f>
        <v/>
      </c>
      <c r="F109" s="11" t="str">
        <f aca="false">IF($A109="","",IFERROR(MAX(INDEX(중복검사!$E$4:$E$6003,MATCH("R"&amp;104,중복목록!$L$6:$L$6005,0)),INDEX(중복검사!$F$4:$F$6003,MATCH("R"&amp;104,중복목록!$L$6:$L$6005,0)),INDEX(중복검사!$G$4:$G$6003,MATCH("R"&amp;104,중복목록!$L$6:$L$6005,0))),""))</f>
        <v/>
      </c>
      <c r="G109" s="11" t="str">
        <f aca="false">IF($A109="","",IFERROR(INDEX(중복검사!$I$4:$I$6003,MATCH("R"&amp;104,중복목록!$L$6:$L$6005,0)),""))</f>
        <v/>
      </c>
      <c r="H109" s="11" t="str">
        <f aca="false">IF($A109="","",IFERROR(INDEX(중복검사!$J$4:$J$6003,MATCH("R"&amp;104,중복목록!$L$6:$L$6005,0)),""))</f>
        <v/>
      </c>
      <c r="J109" s="14" t="b">
        <f aca="false">IF(중복검사!$A107="",FALSE(),중복검사!$H107="중복")</f>
        <v>0</v>
      </c>
      <c r="K109" s="5" t="str">
        <f aca="false">IF($J109=FALSE(),"",COUNTIF($J$6:$J109,TRUE()))</f>
        <v/>
      </c>
      <c r="L109" s="5" t="str">
        <f aca="false">IF($K109="","","R"&amp;$K109)</f>
        <v/>
      </c>
    </row>
    <row r="110" customFormat="false" ht="15" hidden="false" customHeight="true" outlineLevel="0" collapsed="false">
      <c r="A110" s="11" t="str">
        <f aca="false">IFERROR(INDEX(중복검사!$A$4:$A$6003,MATCH("R"&amp;105,중복목록!$L$6:$L$6005,0)),"")</f>
        <v/>
      </c>
      <c r="B110" s="12" t="str">
        <f aca="false">IF($A110="","",IFERROR(INDEX(중복검사!$B$4:$B$6003,MATCH("R"&amp;105,중복목록!$L$6:$L$6005,0)),""))</f>
        <v/>
      </c>
      <c r="C110" s="12" t="str">
        <f aca="false">IF($A110="","",IFERROR(INDEX(중복검사!$C$4:$C$6003,MATCH("R"&amp;105,중복목록!$L$6:$L$6005,0)),""))</f>
        <v/>
      </c>
      <c r="D110" s="12" t="str">
        <f aca="false">IF($A110="","",IFERROR(INDEX(중복검사!$D$4:$D$6003,MATCH("R"&amp;105,중복목록!$L$6:$L$6005,0)),""))</f>
        <v/>
      </c>
      <c r="E110" s="12" t="str">
        <f aca="false">IF($A110="","",IFERROR(IF(INDEX(원본명단!$E$3:$E$6002,MATCH("R"&amp;105,중복목록!$L$6:$L$6005,0))="","",INDEX(원본명단!$E$3:$E$6002,MATCH("R"&amp;105,중복목록!$L$6:$L$6005,0))),""))</f>
        <v/>
      </c>
      <c r="F110" s="11" t="str">
        <f aca="false">IF($A110="","",IFERROR(MAX(INDEX(중복검사!$E$4:$E$6003,MATCH("R"&amp;105,중복목록!$L$6:$L$6005,0)),INDEX(중복검사!$F$4:$F$6003,MATCH("R"&amp;105,중복목록!$L$6:$L$6005,0)),INDEX(중복검사!$G$4:$G$6003,MATCH("R"&amp;105,중복목록!$L$6:$L$6005,0))),""))</f>
        <v/>
      </c>
      <c r="G110" s="11" t="str">
        <f aca="false">IF($A110="","",IFERROR(INDEX(중복검사!$I$4:$I$6003,MATCH("R"&amp;105,중복목록!$L$6:$L$6005,0)),""))</f>
        <v/>
      </c>
      <c r="H110" s="11" t="str">
        <f aca="false">IF($A110="","",IFERROR(INDEX(중복검사!$J$4:$J$6003,MATCH("R"&amp;105,중복목록!$L$6:$L$6005,0)),""))</f>
        <v/>
      </c>
      <c r="J110" s="14" t="b">
        <f aca="false">IF(중복검사!$A108="",FALSE(),중복검사!$H108="중복")</f>
        <v>0</v>
      </c>
      <c r="K110" s="5" t="str">
        <f aca="false">IF($J110=FALSE(),"",COUNTIF($J$6:$J110,TRUE()))</f>
        <v/>
      </c>
      <c r="L110" s="5" t="str">
        <f aca="false">IF($K110="","","R"&amp;$K110)</f>
        <v/>
      </c>
    </row>
    <row r="111" customFormat="false" ht="15" hidden="false" customHeight="true" outlineLevel="0" collapsed="false">
      <c r="A111" s="11" t="str">
        <f aca="false">IFERROR(INDEX(중복검사!$A$4:$A$6003,MATCH("R"&amp;106,중복목록!$L$6:$L$6005,0)),"")</f>
        <v/>
      </c>
      <c r="B111" s="12" t="str">
        <f aca="false">IF($A111="","",IFERROR(INDEX(중복검사!$B$4:$B$6003,MATCH("R"&amp;106,중복목록!$L$6:$L$6005,0)),""))</f>
        <v/>
      </c>
      <c r="C111" s="12" t="str">
        <f aca="false">IF($A111="","",IFERROR(INDEX(중복검사!$C$4:$C$6003,MATCH("R"&amp;106,중복목록!$L$6:$L$6005,0)),""))</f>
        <v/>
      </c>
      <c r="D111" s="12" t="str">
        <f aca="false">IF($A111="","",IFERROR(INDEX(중복검사!$D$4:$D$6003,MATCH("R"&amp;106,중복목록!$L$6:$L$6005,0)),""))</f>
        <v/>
      </c>
      <c r="E111" s="12" t="str">
        <f aca="false">IF($A111="","",IFERROR(IF(INDEX(원본명단!$E$3:$E$6002,MATCH("R"&amp;106,중복목록!$L$6:$L$6005,0))="","",INDEX(원본명단!$E$3:$E$6002,MATCH("R"&amp;106,중복목록!$L$6:$L$6005,0))),""))</f>
        <v/>
      </c>
      <c r="F111" s="11" t="str">
        <f aca="false">IF($A111="","",IFERROR(MAX(INDEX(중복검사!$E$4:$E$6003,MATCH("R"&amp;106,중복목록!$L$6:$L$6005,0)),INDEX(중복검사!$F$4:$F$6003,MATCH("R"&amp;106,중복목록!$L$6:$L$6005,0)),INDEX(중복검사!$G$4:$G$6003,MATCH("R"&amp;106,중복목록!$L$6:$L$6005,0))),""))</f>
        <v/>
      </c>
      <c r="G111" s="11" t="str">
        <f aca="false">IF($A111="","",IFERROR(INDEX(중복검사!$I$4:$I$6003,MATCH("R"&amp;106,중복목록!$L$6:$L$6005,0)),""))</f>
        <v/>
      </c>
      <c r="H111" s="11" t="str">
        <f aca="false">IF($A111="","",IFERROR(INDEX(중복검사!$J$4:$J$6003,MATCH("R"&amp;106,중복목록!$L$6:$L$6005,0)),""))</f>
        <v/>
      </c>
      <c r="J111" s="14" t="b">
        <f aca="false">IF(중복검사!$A109="",FALSE(),중복검사!$H109="중복")</f>
        <v>0</v>
      </c>
      <c r="K111" s="5" t="str">
        <f aca="false">IF($J111=FALSE(),"",COUNTIF($J$6:$J111,TRUE()))</f>
        <v/>
      </c>
      <c r="L111" s="5" t="str">
        <f aca="false">IF($K111="","","R"&amp;$K111)</f>
        <v/>
      </c>
    </row>
    <row r="112" customFormat="false" ht="15" hidden="false" customHeight="true" outlineLevel="0" collapsed="false">
      <c r="A112" s="11" t="str">
        <f aca="false">IFERROR(INDEX(중복검사!$A$4:$A$6003,MATCH("R"&amp;107,중복목록!$L$6:$L$6005,0)),"")</f>
        <v/>
      </c>
      <c r="B112" s="12" t="str">
        <f aca="false">IF($A112="","",IFERROR(INDEX(중복검사!$B$4:$B$6003,MATCH("R"&amp;107,중복목록!$L$6:$L$6005,0)),""))</f>
        <v/>
      </c>
      <c r="C112" s="12" t="str">
        <f aca="false">IF($A112="","",IFERROR(INDEX(중복검사!$C$4:$C$6003,MATCH("R"&amp;107,중복목록!$L$6:$L$6005,0)),""))</f>
        <v/>
      </c>
      <c r="D112" s="12" t="str">
        <f aca="false">IF($A112="","",IFERROR(INDEX(중복검사!$D$4:$D$6003,MATCH("R"&amp;107,중복목록!$L$6:$L$6005,0)),""))</f>
        <v/>
      </c>
      <c r="E112" s="12" t="str">
        <f aca="false">IF($A112="","",IFERROR(IF(INDEX(원본명단!$E$3:$E$6002,MATCH("R"&amp;107,중복목록!$L$6:$L$6005,0))="","",INDEX(원본명단!$E$3:$E$6002,MATCH("R"&amp;107,중복목록!$L$6:$L$6005,0))),""))</f>
        <v/>
      </c>
      <c r="F112" s="11" t="str">
        <f aca="false">IF($A112="","",IFERROR(MAX(INDEX(중복검사!$E$4:$E$6003,MATCH("R"&amp;107,중복목록!$L$6:$L$6005,0)),INDEX(중복검사!$F$4:$F$6003,MATCH("R"&amp;107,중복목록!$L$6:$L$6005,0)),INDEX(중복검사!$G$4:$G$6003,MATCH("R"&amp;107,중복목록!$L$6:$L$6005,0))),""))</f>
        <v/>
      </c>
      <c r="G112" s="11" t="str">
        <f aca="false">IF($A112="","",IFERROR(INDEX(중복검사!$I$4:$I$6003,MATCH("R"&amp;107,중복목록!$L$6:$L$6005,0)),""))</f>
        <v/>
      </c>
      <c r="H112" s="11" t="str">
        <f aca="false">IF($A112="","",IFERROR(INDEX(중복검사!$J$4:$J$6003,MATCH("R"&amp;107,중복목록!$L$6:$L$6005,0)),""))</f>
        <v/>
      </c>
      <c r="J112" s="14" t="b">
        <f aca="false">IF(중복검사!$A110="",FALSE(),중복검사!$H110="중복")</f>
        <v>0</v>
      </c>
      <c r="K112" s="5" t="str">
        <f aca="false">IF($J112=FALSE(),"",COUNTIF($J$6:$J112,TRUE()))</f>
        <v/>
      </c>
      <c r="L112" s="5" t="str">
        <f aca="false">IF($K112="","","R"&amp;$K112)</f>
        <v/>
      </c>
    </row>
    <row r="113" customFormat="false" ht="15" hidden="false" customHeight="true" outlineLevel="0" collapsed="false">
      <c r="A113" s="11" t="str">
        <f aca="false">IFERROR(INDEX(중복검사!$A$4:$A$6003,MATCH("R"&amp;108,중복목록!$L$6:$L$6005,0)),"")</f>
        <v/>
      </c>
      <c r="B113" s="12" t="str">
        <f aca="false">IF($A113="","",IFERROR(INDEX(중복검사!$B$4:$B$6003,MATCH("R"&amp;108,중복목록!$L$6:$L$6005,0)),""))</f>
        <v/>
      </c>
      <c r="C113" s="12" t="str">
        <f aca="false">IF($A113="","",IFERROR(INDEX(중복검사!$C$4:$C$6003,MATCH("R"&amp;108,중복목록!$L$6:$L$6005,0)),""))</f>
        <v/>
      </c>
      <c r="D113" s="12" t="str">
        <f aca="false">IF($A113="","",IFERROR(INDEX(중복검사!$D$4:$D$6003,MATCH("R"&amp;108,중복목록!$L$6:$L$6005,0)),""))</f>
        <v/>
      </c>
      <c r="E113" s="12" t="str">
        <f aca="false">IF($A113="","",IFERROR(IF(INDEX(원본명단!$E$3:$E$6002,MATCH("R"&amp;108,중복목록!$L$6:$L$6005,0))="","",INDEX(원본명단!$E$3:$E$6002,MATCH("R"&amp;108,중복목록!$L$6:$L$6005,0))),""))</f>
        <v/>
      </c>
      <c r="F113" s="11" t="str">
        <f aca="false">IF($A113="","",IFERROR(MAX(INDEX(중복검사!$E$4:$E$6003,MATCH("R"&amp;108,중복목록!$L$6:$L$6005,0)),INDEX(중복검사!$F$4:$F$6003,MATCH("R"&amp;108,중복목록!$L$6:$L$6005,0)),INDEX(중복검사!$G$4:$G$6003,MATCH("R"&amp;108,중복목록!$L$6:$L$6005,0))),""))</f>
        <v/>
      </c>
      <c r="G113" s="11" t="str">
        <f aca="false">IF($A113="","",IFERROR(INDEX(중복검사!$I$4:$I$6003,MATCH("R"&amp;108,중복목록!$L$6:$L$6005,0)),""))</f>
        <v/>
      </c>
      <c r="H113" s="11" t="str">
        <f aca="false">IF($A113="","",IFERROR(INDEX(중복검사!$J$4:$J$6003,MATCH("R"&amp;108,중복목록!$L$6:$L$6005,0)),""))</f>
        <v/>
      </c>
      <c r="J113" s="14" t="b">
        <f aca="false">IF(중복검사!$A111="",FALSE(),중복검사!$H111="중복")</f>
        <v>0</v>
      </c>
      <c r="K113" s="5" t="str">
        <f aca="false">IF($J113=FALSE(),"",COUNTIF($J$6:$J113,TRUE()))</f>
        <v/>
      </c>
      <c r="L113" s="5" t="str">
        <f aca="false">IF($K113="","","R"&amp;$K113)</f>
        <v/>
      </c>
    </row>
    <row r="114" customFormat="false" ht="15" hidden="false" customHeight="true" outlineLevel="0" collapsed="false">
      <c r="A114" s="11" t="str">
        <f aca="false">IFERROR(INDEX(중복검사!$A$4:$A$6003,MATCH("R"&amp;109,중복목록!$L$6:$L$6005,0)),"")</f>
        <v/>
      </c>
      <c r="B114" s="12" t="str">
        <f aca="false">IF($A114="","",IFERROR(INDEX(중복검사!$B$4:$B$6003,MATCH("R"&amp;109,중복목록!$L$6:$L$6005,0)),""))</f>
        <v/>
      </c>
      <c r="C114" s="12" t="str">
        <f aca="false">IF($A114="","",IFERROR(INDEX(중복검사!$C$4:$C$6003,MATCH("R"&amp;109,중복목록!$L$6:$L$6005,0)),""))</f>
        <v/>
      </c>
      <c r="D114" s="12" t="str">
        <f aca="false">IF($A114="","",IFERROR(INDEX(중복검사!$D$4:$D$6003,MATCH("R"&amp;109,중복목록!$L$6:$L$6005,0)),""))</f>
        <v/>
      </c>
      <c r="E114" s="12" t="str">
        <f aca="false">IF($A114="","",IFERROR(IF(INDEX(원본명단!$E$3:$E$6002,MATCH("R"&amp;109,중복목록!$L$6:$L$6005,0))="","",INDEX(원본명단!$E$3:$E$6002,MATCH("R"&amp;109,중복목록!$L$6:$L$6005,0))),""))</f>
        <v/>
      </c>
      <c r="F114" s="11" t="str">
        <f aca="false">IF($A114="","",IFERROR(MAX(INDEX(중복검사!$E$4:$E$6003,MATCH("R"&amp;109,중복목록!$L$6:$L$6005,0)),INDEX(중복검사!$F$4:$F$6003,MATCH("R"&amp;109,중복목록!$L$6:$L$6005,0)),INDEX(중복검사!$G$4:$G$6003,MATCH("R"&amp;109,중복목록!$L$6:$L$6005,0))),""))</f>
        <v/>
      </c>
      <c r="G114" s="11" t="str">
        <f aca="false">IF($A114="","",IFERROR(INDEX(중복검사!$I$4:$I$6003,MATCH("R"&amp;109,중복목록!$L$6:$L$6005,0)),""))</f>
        <v/>
      </c>
      <c r="H114" s="11" t="str">
        <f aca="false">IF($A114="","",IFERROR(INDEX(중복검사!$J$4:$J$6003,MATCH("R"&amp;109,중복목록!$L$6:$L$6005,0)),""))</f>
        <v/>
      </c>
      <c r="J114" s="14" t="b">
        <f aca="false">IF(중복검사!$A112="",FALSE(),중복검사!$H112="중복")</f>
        <v>0</v>
      </c>
      <c r="K114" s="5" t="str">
        <f aca="false">IF($J114=FALSE(),"",COUNTIF($J$6:$J114,TRUE()))</f>
        <v/>
      </c>
      <c r="L114" s="5" t="str">
        <f aca="false">IF($K114="","","R"&amp;$K114)</f>
        <v/>
      </c>
    </row>
    <row r="115" customFormat="false" ht="15" hidden="false" customHeight="true" outlineLevel="0" collapsed="false">
      <c r="A115" s="11" t="str">
        <f aca="false">IFERROR(INDEX(중복검사!$A$4:$A$6003,MATCH("R"&amp;110,중복목록!$L$6:$L$6005,0)),"")</f>
        <v/>
      </c>
      <c r="B115" s="12" t="str">
        <f aca="false">IF($A115="","",IFERROR(INDEX(중복검사!$B$4:$B$6003,MATCH("R"&amp;110,중복목록!$L$6:$L$6005,0)),""))</f>
        <v/>
      </c>
      <c r="C115" s="12" t="str">
        <f aca="false">IF($A115="","",IFERROR(INDEX(중복검사!$C$4:$C$6003,MATCH("R"&amp;110,중복목록!$L$6:$L$6005,0)),""))</f>
        <v/>
      </c>
      <c r="D115" s="12" t="str">
        <f aca="false">IF($A115="","",IFERROR(INDEX(중복검사!$D$4:$D$6003,MATCH("R"&amp;110,중복목록!$L$6:$L$6005,0)),""))</f>
        <v/>
      </c>
      <c r="E115" s="12" t="str">
        <f aca="false">IF($A115="","",IFERROR(IF(INDEX(원본명단!$E$3:$E$6002,MATCH("R"&amp;110,중복목록!$L$6:$L$6005,0))="","",INDEX(원본명단!$E$3:$E$6002,MATCH("R"&amp;110,중복목록!$L$6:$L$6005,0))),""))</f>
        <v/>
      </c>
      <c r="F115" s="11" t="str">
        <f aca="false">IF($A115="","",IFERROR(MAX(INDEX(중복검사!$E$4:$E$6003,MATCH("R"&amp;110,중복목록!$L$6:$L$6005,0)),INDEX(중복검사!$F$4:$F$6003,MATCH("R"&amp;110,중복목록!$L$6:$L$6005,0)),INDEX(중복검사!$G$4:$G$6003,MATCH("R"&amp;110,중복목록!$L$6:$L$6005,0))),""))</f>
        <v/>
      </c>
      <c r="G115" s="11" t="str">
        <f aca="false">IF($A115="","",IFERROR(INDEX(중복검사!$I$4:$I$6003,MATCH("R"&amp;110,중복목록!$L$6:$L$6005,0)),""))</f>
        <v/>
      </c>
      <c r="H115" s="11" t="str">
        <f aca="false">IF($A115="","",IFERROR(INDEX(중복검사!$J$4:$J$6003,MATCH("R"&amp;110,중복목록!$L$6:$L$6005,0)),""))</f>
        <v/>
      </c>
      <c r="J115" s="14" t="b">
        <f aca="false">IF(중복검사!$A113="",FALSE(),중복검사!$H113="중복")</f>
        <v>0</v>
      </c>
      <c r="K115" s="5" t="str">
        <f aca="false">IF($J115=FALSE(),"",COUNTIF($J$6:$J115,TRUE()))</f>
        <v/>
      </c>
      <c r="L115" s="5" t="str">
        <f aca="false">IF($K115="","","R"&amp;$K115)</f>
        <v/>
      </c>
    </row>
    <row r="116" customFormat="false" ht="15" hidden="false" customHeight="true" outlineLevel="0" collapsed="false">
      <c r="A116" s="11" t="str">
        <f aca="false">IFERROR(INDEX(중복검사!$A$4:$A$6003,MATCH("R"&amp;111,중복목록!$L$6:$L$6005,0)),"")</f>
        <v/>
      </c>
      <c r="B116" s="12" t="str">
        <f aca="false">IF($A116="","",IFERROR(INDEX(중복검사!$B$4:$B$6003,MATCH("R"&amp;111,중복목록!$L$6:$L$6005,0)),""))</f>
        <v/>
      </c>
      <c r="C116" s="12" t="str">
        <f aca="false">IF($A116="","",IFERROR(INDEX(중복검사!$C$4:$C$6003,MATCH("R"&amp;111,중복목록!$L$6:$L$6005,0)),""))</f>
        <v/>
      </c>
      <c r="D116" s="12" t="str">
        <f aca="false">IF($A116="","",IFERROR(INDEX(중복검사!$D$4:$D$6003,MATCH("R"&amp;111,중복목록!$L$6:$L$6005,0)),""))</f>
        <v/>
      </c>
      <c r="E116" s="12" t="str">
        <f aca="false">IF($A116="","",IFERROR(IF(INDEX(원본명단!$E$3:$E$6002,MATCH("R"&amp;111,중복목록!$L$6:$L$6005,0))="","",INDEX(원본명단!$E$3:$E$6002,MATCH("R"&amp;111,중복목록!$L$6:$L$6005,0))),""))</f>
        <v/>
      </c>
      <c r="F116" s="11" t="str">
        <f aca="false">IF($A116="","",IFERROR(MAX(INDEX(중복검사!$E$4:$E$6003,MATCH("R"&amp;111,중복목록!$L$6:$L$6005,0)),INDEX(중복검사!$F$4:$F$6003,MATCH("R"&amp;111,중복목록!$L$6:$L$6005,0)),INDEX(중복검사!$G$4:$G$6003,MATCH("R"&amp;111,중복목록!$L$6:$L$6005,0))),""))</f>
        <v/>
      </c>
      <c r="G116" s="11" t="str">
        <f aca="false">IF($A116="","",IFERROR(INDEX(중복검사!$I$4:$I$6003,MATCH("R"&amp;111,중복목록!$L$6:$L$6005,0)),""))</f>
        <v/>
      </c>
      <c r="H116" s="11" t="str">
        <f aca="false">IF($A116="","",IFERROR(INDEX(중복검사!$J$4:$J$6003,MATCH("R"&amp;111,중복목록!$L$6:$L$6005,0)),""))</f>
        <v/>
      </c>
      <c r="J116" s="14" t="b">
        <f aca="false">IF(중복검사!$A114="",FALSE(),중복검사!$H114="중복")</f>
        <v>0</v>
      </c>
      <c r="K116" s="5" t="str">
        <f aca="false">IF($J116=FALSE(),"",COUNTIF($J$6:$J116,TRUE()))</f>
        <v/>
      </c>
      <c r="L116" s="5" t="str">
        <f aca="false">IF($K116="","","R"&amp;$K116)</f>
        <v/>
      </c>
    </row>
    <row r="117" customFormat="false" ht="15" hidden="false" customHeight="true" outlineLevel="0" collapsed="false">
      <c r="A117" s="11" t="str">
        <f aca="false">IFERROR(INDEX(중복검사!$A$4:$A$6003,MATCH("R"&amp;112,중복목록!$L$6:$L$6005,0)),"")</f>
        <v/>
      </c>
      <c r="B117" s="12" t="str">
        <f aca="false">IF($A117="","",IFERROR(INDEX(중복검사!$B$4:$B$6003,MATCH("R"&amp;112,중복목록!$L$6:$L$6005,0)),""))</f>
        <v/>
      </c>
      <c r="C117" s="12" t="str">
        <f aca="false">IF($A117="","",IFERROR(INDEX(중복검사!$C$4:$C$6003,MATCH("R"&amp;112,중복목록!$L$6:$L$6005,0)),""))</f>
        <v/>
      </c>
      <c r="D117" s="12" t="str">
        <f aca="false">IF($A117="","",IFERROR(INDEX(중복검사!$D$4:$D$6003,MATCH("R"&amp;112,중복목록!$L$6:$L$6005,0)),""))</f>
        <v/>
      </c>
      <c r="E117" s="12" t="str">
        <f aca="false">IF($A117="","",IFERROR(IF(INDEX(원본명단!$E$3:$E$6002,MATCH("R"&amp;112,중복목록!$L$6:$L$6005,0))="","",INDEX(원본명단!$E$3:$E$6002,MATCH("R"&amp;112,중복목록!$L$6:$L$6005,0))),""))</f>
        <v/>
      </c>
      <c r="F117" s="11" t="str">
        <f aca="false">IF($A117="","",IFERROR(MAX(INDEX(중복검사!$E$4:$E$6003,MATCH("R"&amp;112,중복목록!$L$6:$L$6005,0)),INDEX(중복검사!$F$4:$F$6003,MATCH("R"&amp;112,중복목록!$L$6:$L$6005,0)),INDEX(중복검사!$G$4:$G$6003,MATCH("R"&amp;112,중복목록!$L$6:$L$6005,0))),""))</f>
        <v/>
      </c>
      <c r="G117" s="11" t="str">
        <f aca="false">IF($A117="","",IFERROR(INDEX(중복검사!$I$4:$I$6003,MATCH("R"&amp;112,중복목록!$L$6:$L$6005,0)),""))</f>
        <v/>
      </c>
      <c r="H117" s="11" t="str">
        <f aca="false">IF($A117="","",IFERROR(INDEX(중복검사!$J$4:$J$6003,MATCH("R"&amp;112,중복목록!$L$6:$L$6005,0)),""))</f>
        <v/>
      </c>
      <c r="J117" s="14" t="b">
        <f aca="false">IF(중복검사!$A115="",FALSE(),중복검사!$H115="중복")</f>
        <v>0</v>
      </c>
      <c r="K117" s="5" t="str">
        <f aca="false">IF($J117=FALSE(),"",COUNTIF($J$6:$J117,TRUE()))</f>
        <v/>
      </c>
      <c r="L117" s="5" t="str">
        <f aca="false">IF($K117="","","R"&amp;$K117)</f>
        <v/>
      </c>
    </row>
    <row r="118" customFormat="false" ht="15" hidden="false" customHeight="true" outlineLevel="0" collapsed="false">
      <c r="A118" s="11" t="str">
        <f aca="false">IFERROR(INDEX(중복검사!$A$4:$A$6003,MATCH("R"&amp;113,중복목록!$L$6:$L$6005,0)),"")</f>
        <v/>
      </c>
      <c r="B118" s="12" t="str">
        <f aca="false">IF($A118="","",IFERROR(INDEX(중복검사!$B$4:$B$6003,MATCH("R"&amp;113,중복목록!$L$6:$L$6005,0)),""))</f>
        <v/>
      </c>
      <c r="C118" s="12" t="str">
        <f aca="false">IF($A118="","",IFERROR(INDEX(중복검사!$C$4:$C$6003,MATCH("R"&amp;113,중복목록!$L$6:$L$6005,0)),""))</f>
        <v/>
      </c>
      <c r="D118" s="12" t="str">
        <f aca="false">IF($A118="","",IFERROR(INDEX(중복검사!$D$4:$D$6003,MATCH("R"&amp;113,중복목록!$L$6:$L$6005,0)),""))</f>
        <v/>
      </c>
      <c r="E118" s="12" t="str">
        <f aca="false">IF($A118="","",IFERROR(IF(INDEX(원본명단!$E$3:$E$6002,MATCH("R"&amp;113,중복목록!$L$6:$L$6005,0))="","",INDEX(원본명단!$E$3:$E$6002,MATCH("R"&amp;113,중복목록!$L$6:$L$6005,0))),""))</f>
        <v/>
      </c>
      <c r="F118" s="11" t="str">
        <f aca="false">IF($A118="","",IFERROR(MAX(INDEX(중복검사!$E$4:$E$6003,MATCH("R"&amp;113,중복목록!$L$6:$L$6005,0)),INDEX(중복검사!$F$4:$F$6003,MATCH("R"&amp;113,중복목록!$L$6:$L$6005,0)),INDEX(중복검사!$G$4:$G$6003,MATCH("R"&amp;113,중복목록!$L$6:$L$6005,0))),""))</f>
        <v/>
      </c>
      <c r="G118" s="11" t="str">
        <f aca="false">IF($A118="","",IFERROR(INDEX(중복검사!$I$4:$I$6003,MATCH("R"&amp;113,중복목록!$L$6:$L$6005,0)),""))</f>
        <v/>
      </c>
      <c r="H118" s="11" t="str">
        <f aca="false">IF($A118="","",IFERROR(INDEX(중복검사!$J$4:$J$6003,MATCH("R"&amp;113,중복목록!$L$6:$L$6005,0)),""))</f>
        <v/>
      </c>
      <c r="J118" s="14" t="b">
        <f aca="false">IF(중복검사!$A116="",FALSE(),중복검사!$H116="중복")</f>
        <v>0</v>
      </c>
      <c r="K118" s="5" t="str">
        <f aca="false">IF($J118=FALSE(),"",COUNTIF($J$6:$J118,TRUE()))</f>
        <v/>
      </c>
      <c r="L118" s="5" t="str">
        <f aca="false">IF($K118="","","R"&amp;$K118)</f>
        <v/>
      </c>
    </row>
    <row r="119" customFormat="false" ht="15" hidden="false" customHeight="true" outlineLevel="0" collapsed="false">
      <c r="A119" s="11" t="str">
        <f aca="false">IFERROR(INDEX(중복검사!$A$4:$A$6003,MATCH("R"&amp;114,중복목록!$L$6:$L$6005,0)),"")</f>
        <v/>
      </c>
      <c r="B119" s="12" t="str">
        <f aca="false">IF($A119="","",IFERROR(INDEX(중복검사!$B$4:$B$6003,MATCH("R"&amp;114,중복목록!$L$6:$L$6005,0)),""))</f>
        <v/>
      </c>
      <c r="C119" s="12" t="str">
        <f aca="false">IF($A119="","",IFERROR(INDEX(중복검사!$C$4:$C$6003,MATCH("R"&amp;114,중복목록!$L$6:$L$6005,0)),""))</f>
        <v/>
      </c>
      <c r="D119" s="12" t="str">
        <f aca="false">IF($A119="","",IFERROR(INDEX(중복검사!$D$4:$D$6003,MATCH("R"&amp;114,중복목록!$L$6:$L$6005,0)),""))</f>
        <v/>
      </c>
      <c r="E119" s="12" t="str">
        <f aca="false">IF($A119="","",IFERROR(IF(INDEX(원본명단!$E$3:$E$6002,MATCH("R"&amp;114,중복목록!$L$6:$L$6005,0))="","",INDEX(원본명단!$E$3:$E$6002,MATCH("R"&amp;114,중복목록!$L$6:$L$6005,0))),""))</f>
        <v/>
      </c>
      <c r="F119" s="11" t="str">
        <f aca="false">IF($A119="","",IFERROR(MAX(INDEX(중복검사!$E$4:$E$6003,MATCH("R"&amp;114,중복목록!$L$6:$L$6005,0)),INDEX(중복검사!$F$4:$F$6003,MATCH("R"&amp;114,중복목록!$L$6:$L$6005,0)),INDEX(중복검사!$G$4:$G$6003,MATCH("R"&amp;114,중복목록!$L$6:$L$6005,0))),""))</f>
        <v/>
      </c>
      <c r="G119" s="11" t="str">
        <f aca="false">IF($A119="","",IFERROR(INDEX(중복검사!$I$4:$I$6003,MATCH("R"&amp;114,중복목록!$L$6:$L$6005,0)),""))</f>
        <v/>
      </c>
      <c r="H119" s="11" t="str">
        <f aca="false">IF($A119="","",IFERROR(INDEX(중복검사!$J$4:$J$6003,MATCH("R"&amp;114,중복목록!$L$6:$L$6005,0)),""))</f>
        <v/>
      </c>
      <c r="J119" s="14" t="b">
        <f aca="false">IF(중복검사!$A117="",FALSE(),중복검사!$H117="중복")</f>
        <v>0</v>
      </c>
      <c r="K119" s="5" t="str">
        <f aca="false">IF($J119=FALSE(),"",COUNTIF($J$6:$J119,TRUE()))</f>
        <v/>
      </c>
      <c r="L119" s="5" t="str">
        <f aca="false">IF($K119="","","R"&amp;$K119)</f>
        <v/>
      </c>
    </row>
    <row r="120" customFormat="false" ht="15" hidden="false" customHeight="true" outlineLevel="0" collapsed="false">
      <c r="A120" s="11" t="str">
        <f aca="false">IFERROR(INDEX(중복검사!$A$4:$A$6003,MATCH("R"&amp;115,중복목록!$L$6:$L$6005,0)),"")</f>
        <v/>
      </c>
      <c r="B120" s="12" t="str">
        <f aca="false">IF($A120="","",IFERROR(INDEX(중복검사!$B$4:$B$6003,MATCH("R"&amp;115,중복목록!$L$6:$L$6005,0)),""))</f>
        <v/>
      </c>
      <c r="C120" s="12" t="str">
        <f aca="false">IF($A120="","",IFERROR(INDEX(중복검사!$C$4:$C$6003,MATCH("R"&amp;115,중복목록!$L$6:$L$6005,0)),""))</f>
        <v/>
      </c>
      <c r="D120" s="12" t="str">
        <f aca="false">IF($A120="","",IFERROR(INDEX(중복검사!$D$4:$D$6003,MATCH("R"&amp;115,중복목록!$L$6:$L$6005,0)),""))</f>
        <v/>
      </c>
      <c r="E120" s="12" t="str">
        <f aca="false">IF($A120="","",IFERROR(IF(INDEX(원본명단!$E$3:$E$6002,MATCH("R"&amp;115,중복목록!$L$6:$L$6005,0))="","",INDEX(원본명단!$E$3:$E$6002,MATCH("R"&amp;115,중복목록!$L$6:$L$6005,0))),""))</f>
        <v/>
      </c>
      <c r="F120" s="11" t="str">
        <f aca="false">IF($A120="","",IFERROR(MAX(INDEX(중복검사!$E$4:$E$6003,MATCH("R"&amp;115,중복목록!$L$6:$L$6005,0)),INDEX(중복검사!$F$4:$F$6003,MATCH("R"&amp;115,중복목록!$L$6:$L$6005,0)),INDEX(중복검사!$G$4:$G$6003,MATCH("R"&amp;115,중복목록!$L$6:$L$6005,0))),""))</f>
        <v/>
      </c>
      <c r="G120" s="11" t="str">
        <f aca="false">IF($A120="","",IFERROR(INDEX(중복검사!$I$4:$I$6003,MATCH("R"&amp;115,중복목록!$L$6:$L$6005,0)),""))</f>
        <v/>
      </c>
      <c r="H120" s="11" t="str">
        <f aca="false">IF($A120="","",IFERROR(INDEX(중복검사!$J$4:$J$6003,MATCH("R"&amp;115,중복목록!$L$6:$L$6005,0)),""))</f>
        <v/>
      </c>
      <c r="J120" s="14" t="b">
        <f aca="false">IF(중복검사!$A118="",FALSE(),중복검사!$H118="중복")</f>
        <v>0</v>
      </c>
      <c r="K120" s="5" t="str">
        <f aca="false">IF($J120=FALSE(),"",COUNTIF($J$6:$J120,TRUE()))</f>
        <v/>
      </c>
      <c r="L120" s="5" t="str">
        <f aca="false">IF($K120="","","R"&amp;$K120)</f>
        <v/>
      </c>
    </row>
    <row r="121" customFormat="false" ht="15" hidden="false" customHeight="true" outlineLevel="0" collapsed="false">
      <c r="A121" s="11" t="str">
        <f aca="false">IFERROR(INDEX(중복검사!$A$4:$A$6003,MATCH("R"&amp;116,중복목록!$L$6:$L$6005,0)),"")</f>
        <v/>
      </c>
      <c r="B121" s="12" t="str">
        <f aca="false">IF($A121="","",IFERROR(INDEX(중복검사!$B$4:$B$6003,MATCH("R"&amp;116,중복목록!$L$6:$L$6005,0)),""))</f>
        <v/>
      </c>
      <c r="C121" s="12" t="str">
        <f aca="false">IF($A121="","",IFERROR(INDEX(중복검사!$C$4:$C$6003,MATCH("R"&amp;116,중복목록!$L$6:$L$6005,0)),""))</f>
        <v/>
      </c>
      <c r="D121" s="12" t="str">
        <f aca="false">IF($A121="","",IFERROR(INDEX(중복검사!$D$4:$D$6003,MATCH("R"&amp;116,중복목록!$L$6:$L$6005,0)),""))</f>
        <v/>
      </c>
      <c r="E121" s="12" t="str">
        <f aca="false">IF($A121="","",IFERROR(IF(INDEX(원본명단!$E$3:$E$6002,MATCH("R"&amp;116,중복목록!$L$6:$L$6005,0))="","",INDEX(원본명단!$E$3:$E$6002,MATCH("R"&amp;116,중복목록!$L$6:$L$6005,0))),""))</f>
        <v/>
      </c>
      <c r="F121" s="11" t="str">
        <f aca="false">IF($A121="","",IFERROR(MAX(INDEX(중복검사!$E$4:$E$6003,MATCH("R"&amp;116,중복목록!$L$6:$L$6005,0)),INDEX(중복검사!$F$4:$F$6003,MATCH("R"&amp;116,중복목록!$L$6:$L$6005,0)),INDEX(중복검사!$G$4:$G$6003,MATCH("R"&amp;116,중복목록!$L$6:$L$6005,0))),""))</f>
        <v/>
      </c>
      <c r="G121" s="11" t="str">
        <f aca="false">IF($A121="","",IFERROR(INDEX(중복검사!$I$4:$I$6003,MATCH("R"&amp;116,중복목록!$L$6:$L$6005,0)),""))</f>
        <v/>
      </c>
      <c r="H121" s="11" t="str">
        <f aca="false">IF($A121="","",IFERROR(INDEX(중복검사!$J$4:$J$6003,MATCH("R"&amp;116,중복목록!$L$6:$L$6005,0)),""))</f>
        <v/>
      </c>
      <c r="J121" s="14" t="b">
        <f aca="false">IF(중복검사!$A119="",FALSE(),중복검사!$H119="중복")</f>
        <v>0</v>
      </c>
      <c r="K121" s="5" t="str">
        <f aca="false">IF($J121=FALSE(),"",COUNTIF($J$6:$J121,TRUE()))</f>
        <v/>
      </c>
      <c r="L121" s="5" t="str">
        <f aca="false">IF($K121="","","R"&amp;$K121)</f>
        <v/>
      </c>
    </row>
    <row r="122" customFormat="false" ht="15" hidden="false" customHeight="true" outlineLevel="0" collapsed="false">
      <c r="A122" s="11" t="str">
        <f aca="false">IFERROR(INDEX(중복검사!$A$4:$A$6003,MATCH("R"&amp;117,중복목록!$L$6:$L$6005,0)),"")</f>
        <v/>
      </c>
      <c r="B122" s="12" t="str">
        <f aca="false">IF($A122="","",IFERROR(INDEX(중복검사!$B$4:$B$6003,MATCH("R"&amp;117,중복목록!$L$6:$L$6005,0)),""))</f>
        <v/>
      </c>
      <c r="C122" s="12" t="str">
        <f aca="false">IF($A122="","",IFERROR(INDEX(중복검사!$C$4:$C$6003,MATCH("R"&amp;117,중복목록!$L$6:$L$6005,0)),""))</f>
        <v/>
      </c>
      <c r="D122" s="12" t="str">
        <f aca="false">IF($A122="","",IFERROR(INDEX(중복검사!$D$4:$D$6003,MATCH("R"&amp;117,중복목록!$L$6:$L$6005,0)),""))</f>
        <v/>
      </c>
      <c r="E122" s="12" t="str">
        <f aca="false">IF($A122="","",IFERROR(IF(INDEX(원본명단!$E$3:$E$6002,MATCH("R"&amp;117,중복목록!$L$6:$L$6005,0))="","",INDEX(원본명단!$E$3:$E$6002,MATCH("R"&amp;117,중복목록!$L$6:$L$6005,0))),""))</f>
        <v/>
      </c>
      <c r="F122" s="11" t="str">
        <f aca="false">IF($A122="","",IFERROR(MAX(INDEX(중복검사!$E$4:$E$6003,MATCH("R"&amp;117,중복목록!$L$6:$L$6005,0)),INDEX(중복검사!$F$4:$F$6003,MATCH("R"&amp;117,중복목록!$L$6:$L$6005,0)),INDEX(중복검사!$G$4:$G$6003,MATCH("R"&amp;117,중복목록!$L$6:$L$6005,0))),""))</f>
        <v/>
      </c>
      <c r="G122" s="11" t="str">
        <f aca="false">IF($A122="","",IFERROR(INDEX(중복검사!$I$4:$I$6003,MATCH("R"&amp;117,중복목록!$L$6:$L$6005,0)),""))</f>
        <v/>
      </c>
      <c r="H122" s="11" t="str">
        <f aca="false">IF($A122="","",IFERROR(INDEX(중복검사!$J$4:$J$6003,MATCH("R"&amp;117,중복목록!$L$6:$L$6005,0)),""))</f>
        <v/>
      </c>
      <c r="J122" s="14" t="b">
        <f aca="false">IF(중복검사!$A120="",FALSE(),중복검사!$H120="중복")</f>
        <v>0</v>
      </c>
      <c r="K122" s="5" t="str">
        <f aca="false">IF($J122=FALSE(),"",COUNTIF($J$6:$J122,TRUE()))</f>
        <v/>
      </c>
      <c r="L122" s="5" t="str">
        <f aca="false">IF($K122="","","R"&amp;$K122)</f>
        <v/>
      </c>
    </row>
    <row r="123" customFormat="false" ht="15" hidden="false" customHeight="true" outlineLevel="0" collapsed="false">
      <c r="A123" s="11" t="str">
        <f aca="false">IFERROR(INDEX(중복검사!$A$4:$A$6003,MATCH("R"&amp;118,중복목록!$L$6:$L$6005,0)),"")</f>
        <v/>
      </c>
      <c r="B123" s="12" t="str">
        <f aca="false">IF($A123="","",IFERROR(INDEX(중복검사!$B$4:$B$6003,MATCH("R"&amp;118,중복목록!$L$6:$L$6005,0)),""))</f>
        <v/>
      </c>
      <c r="C123" s="12" t="str">
        <f aca="false">IF($A123="","",IFERROR(INDEX(중복검사!$C$4:$C$6003,MATCH("R"&amp;118,중복목록!$L$6:$L$6005,0)),""))</f>
        <v/>
      </c>
      <c r="D123" s="12" t="str">
        <f aca="false">IF($A123="","",IFERROR(INDEX(중복검사!$D$4:$D$6003,MATCH("R"&amp;118,중복목록!$L$6:$L$6005,0)),""))</f>
        <v/>
      </c>
      <c r="E123" s="12" t="str">
        <f aca="false">IF($A123="","",IFERROR(IF(INDEX(원본명단!$E$3:$E$6002,MATCH("R"&amp;118,중복목록!$L$6:$L$6005,0))="","",INDEX(원본명단!$E$3:$E$6002,MATCH("R"&amp;118,중복목록!$L$6:$L$6005,0))),""))</f>
        <v/>
      </c>
      <c r="F123" s="11" t="str">
        <f aca="false">IF($A123="","",IFERROR(MAX(INDEX(중복검사!$E$4:$E$6003,MATCH("R"&amp;118,중복목록!$L$6:$L$6005,0)),INDEX(중복검사!$F$4:$F$6003,MATCH("R"&amp;118,중복목록!$L$6:$L$6005,0)),INDEX(중복검사!$G$4:$G$6003,MATCH("R"&amp;118,중복목록!$L$6:$L$6005,0))),""))</f>
        <v/>
      </c>
      <c r="G123" s="11" t="str">
        <f aca="false">IF($A123="","",IFERROR(INDEX(중복검사!$I$4:$I$6003,MATCH("R"&amp;118,중복목록!$L$6:$L$6005,0)),""))</f>
        <v/>
      </c>
      <c r="H123" s="11" t="str">
        <f aca="false">IF($A123="","",IFERROR(INDEX(중복검사!$J$4:$J$6003,MATCH("R"&amp;118,중복목록!$L$6:$L$6005,0)),""))</f>
        <v/>
      </c>
      <c r="J123" s="14" t="b">
        <f aca="false">IF(중복검사!$A121="",FALSE(),중복검사!$H121="중복")</f>
        <v>0</v>
      </c>
      <c r="K123" s="5" t="str">
        <f aca="false">IF($J123=FALSE(),"",COUNTIF($J$6:$J123,TRUE()))</f>
        <v/>
      </c>
      <c r="L123" s="5" t="str">
        <f aca="false">IF($K123="","","R"&amp;$K123)</f>
        <v/>
      </c>
    </row>
    <row r="124" customFormat="false" ht="15" hidden="false" customHeight="true" outlineLevel="0" collapsed="false">
      <c r="A124" s="11" t="str">
        <f aca="false">IFERROR(INDEX(중복검사!$A$4:$A$6003,MATCH("R"&amp;119,중복목록!$L$6:$L$6005,0)),"")</f>
        <v/>
      </c>
      <c r="B124" s="12" t="str">
        <f aca="false">IF($A124="","",IFERROR(INDEX(중복검사!$B$4:$B$6003,MATCH("R"&amp;119,중복목록!$L$6:$L$6005,0)),""))</f>
        <v/>
      </c>
      <c r="C124" s="12" t="str">
        <f aca="false">IF($A124="","",IFERROR(INDEX(중복검사!$C$4:$C$6003,MATCH("R"&amp;119,중복목록!$L$6:$L$6005,0)),""))</f>
        <v/>
      </c>
      <c r="D124" s="12" t="str">
        <f aca="false">IF($A124="","",IFERROR(INDEX(중복검사!$D$4:$D$6003,MATCH("R"&amp;119,중복목록!$L$6:$L$6005,0)),""))</f>
        <v/>
      </c>
      <c r="E124" s="12" t="str">
        <f aca="false">IF($A124="","",IFERROR(IF(INDEX(원본명단!$E$3:$E$6002,MATCH("R"&amp;119,중복목록!$L$6:$L$6005,0))="","",INDEX(원본명단!$E$3:$E$6002,MATCH("R"&amp;119,중복목록!$L$6:$L$6005,0))),""))</f>
        <v/>
      </c>
      <c r="F124" s="11" t="str">
        <f aca="false">IF($A124="","",IFERROR(MAX(INDEX(중복검사!$E$4:$E$6003,MATCH("R"&amp;119,중복목록!$L$6:$L$6005,0)),INDEX(중복검사!$F$4:$F$6003,MATCH("R"&amp;119,중복목록!$L$6:$L$6005,0)),INDEX(중복검사!$G$4:$G$6003,MATCH("R"&amp;119,중복목록!$L$6:$L$6005,0))),""))</f>
        <v/>
      </c>
      <c r="G124" s="11" t="str">
        <f aca="false">IF($A124="","",IFERROR(INDEX(중복검사!$I$4:$I$6003,MATCH("R"&amp;119,중복목록!$L$6:$L$6005,0)),""))</f>
        <v/>
      </c>
      <c r="H124" s="11" t="str">
        <f aca="false">IF($A124="","",IFERROR(INDEX(중복검사!$J$4:$J$6003,MATCH("R"&amp;119,중복목록!$L$6:$L$6005,0)),""))</f>
        <v/>
      </c>
      <c r="J124" s="14" t="b">
        <f aca="false">IF(중복검사!$A122="",FALSE(),중복검사!$H122="중복")</f>
        <v>0</v>
      </c>
      <c r="K124" s="5" t="str">
        <f aca="false">IF($J124=FALSE(),"",COUNTIF($J$6:$J124,TRUE()))</f>
        <v/>
      </c>
      <c r="L124" s="5" t="str">
        <f aca="false">IF($K124="","","R"&amp;$K124)</f>
        <v/>
      </c>
    </row>
    <row r="125" customFormat="false" ht="15" hidden="false" customHeight="true" outlineLevel="0" collapsed="false">
      <c r="A125" s="11" t="str">
        <f aca="false">IFERROR(INDEX(중복검사!$A$4:$A$6003,MATCH("R"&amp;120,중복목록!$L$6:$L$6005,0)),"")</f>
        <v/>
      </c>
      <c r="B125" s="12" t="str">
        <f aca="false">IF($A125="","",IFERROR(INDEX(중복검사!$B$4:$B$6003,MATCH("R"&amp;120,중복목록!$L$6:$L$6005,0)),""))</f>
        <v/>
      </c>
      <c r="C125" s="12" t="str">
        <f aca="false">IF($A125="","",IFERROR(INDEX(중복검사!$C$4:$C$6003,MATCH("R"&amp;120,중복목록!$L$6:$L$6005,0)),""))</f>
        <v/>
      </c>
      <c r="D125" s="12" t="str">
        <f aca="false">IF($A125="","",IFERROR(INDEX(중복검사!$D$4:$D$6003,MATCH("R"&amp;120,중복목록!$L$6:$L$6005,0)),""))</f>
        <v/>
      </c>
      <c r="E125" s="12" t="str">
        <f aca="false">IF($A125="","",IFERROR(IF(INDEX(원본명단!$E$3:$E$6002,MATCH("R"&amp;120,중복목록!$L$6:$L$6005,0))="","",INDEX(원본명단!$E$3:$E$6002,MATCH("R"&amp;120,중복목록!$L$6:$L$6005,0))),""))</f>
        <v/>
      </c>
      <c r="F125" s="11" t="str">
        <f aca="false">IF($A125="","",IFERROR(MAX(INDEX(중복검사!$E$4:$E$6003,MATCH("R"&amp;120,중복목록!$L$6:$L$6005,0)),INDEX(중복검사!$F$4:$F$6003,MATCH("R"&amp;120,중복목록!$L$6:$L$6005,0)),INDEX(중복검사!$G$4:$G$6003,MATCH("R"&amp;120,중복목록!$L$6:$L$6005,0))),""))</f>
        <v/>
      </c>
      <c r="G125" s="11" t="str">
        <f aca="false">IF($A125="","",IFERROR(INDEX(중복검사!$I$4:$I$6003,MATCH("R"&amp;120,중복목록!$L$6:$L$6005,0)),""))</f>
        <v/>
      </c>
      <c r="H125" s="11" t="str">
        <f aca="false">IF($A125="","",IFERROR(INDEX(중복검사!$J$4:$J$6003,MATCH("R"&amp;120,중복목록!$L$6:$L$6005,0)),""))</f>
        <v/>
      </c>
      <c r="J125" s="14" t="b">
        <f aca="false">IF(중복검사!$A123="",FALSE(),중복검사!$H123="중복")</f>
        <v>0</v>
      </c>
      <c r="K125" s="5" t="str">
        <f aca="false">IF($J125=FALSE(),"",COUNTIF($J$6:$J125,TRUE()))</f>
        <v/>
      </c>
      <c r="L125" s="5" t="str">
        <f aca="false">IF($K125="","","R"&amp;$K125)</f>
        <v/>
      </c>
    </row>
    <row r="126" customFormat="false" ht="15" hidden="false" customHeight="true" outlineLevel="0" collapsed="false">
      <c r="A126" s="11" t="str">
        <f aca="false">IFERROR(INDEX(중복검사!$A$4:$A$6003,MATCH("R"&amp;121,중복목록!$L$6:$L$6005,0)),"")</f>
        <v/>
      </c>
      <c r="B126" s="12" t="str">
        <f aca="false">IF($A126="","",IFERROR(INDEX(중복검사!$B$4:$B$6003,MATCH("R"&amp;121,중복목록!$L$6:$L$6005,0)),""))</f>
        <v/>
      </c>
      <c r="C126" s="12" t="str">
        <f aca="false">IF($A126="","",IFERROR(INDEX(중복검사!$C$4:$C$6003,MATCH("R"&amp;121,중복목록!$L$6:$L$6005,0)),""))</f>
        <v/>
      </c>
      <c r="D126" s="12" t="str">
        <f aca="false">IF($A126="","",IFERROR(INDEX(중복검사!$D$4:$D$6003,MATCH("R"&amp;121,중복목록!$L$6:$L$6005,0)),""))</f>
        <v/>
      </c>
      <c r="E126" s="12" t="str">
        <f aca="false">IF($A126="","",IFERROR(IF(INDEX(원본명단!$E$3:$E$6002,MATCH("R"&amp;121,중복목록!$L$6:$L$6005,0))="","",INDEX(원본명단!$E$3:$E$6002,MATCH("R"&amp;121,중복목록!$L$6:$L$6005,0))),""))</f>
        <v/>
      </c>
      <c r="F126" s="11" t="str">
        <f aca="false">IF($A126="","",IFERROR(MAX(INDEX(중복검사!$E$4:$E$6003,MATCH("R"&amp;121,중복목록!$L$6:$L$6005,0)),INDEX(중복검사!$F$4:$F$6003,MATCH("R"&amp;121,중복목록!$L$6:$L$6005,0)),INDEX(중복검사!$G$4:$G$6003,MATCH("R"&amp;121,중복목록!$L$6:$L$6005,0))),""))</f>
        <v/>
      </c>
      <c r="G126" s="11" t="str">
        <f aca="false">IF($A126="","",IFERROR(INDEX(중복검사!$I$4:$I$6003,MATCH("R"&amp;121,중복목록!$L$6:$L$6005,0)),""))</f>
        <v/>
      </c>
      <c r="H126" s="11" t="str">
        <f aca="false">IF($A126="","",IFERROR(INDEX(중복검사!$J$4:$J$6003,MATCH("R"&amp;121,중복목록!$L$6:$L$6005,0)),""))</f>
        <v/>
      </c>
      <c r="J126" s="14" t="b">
        <f aca="false">IF(중복검사!$A124="",FALSE(),중복검사!$H124="중복")</f>
        <v>0</v>
      </c>
      <c r="K126" s="5" t="str">
        <f aca="false">IF($J126=FALSE(),"",COUNTIF($J$6:$J126,TRUE()))</f>
        <v/>
      </c>
      <c r="L126" s="5" t="str">
        <f aca="false">IF($K126="","","R"&amp;$K126)</f>
        <v/>
      </c>
    </row>
    <row r="127" customFormat="false" ht="15" hidden="false" customHeight="true" outlineLevel="0" collapsed="false">
      <c r="A127" s="11" t="str">
        <f aca="false">IFERROR(INDEX(중복검사!$A$4:$A$6003,MATCH("R"&amp;122,중복목록!$L$6:$L$6005,0)),"")</f>
        <v/>
      </c>
      <c r="B127" s="12" t="str">
        <f aca="false">IF($A127="","",IFERROR(INDEX(중복검사!$B$4:$B$6003,MATCH("R"&amp;122,중복목록!$L$6:$L$6005,0)),""))</f>
        <v/>
      </c>
      <c r="C127" s="12" t="str">
        <f aca="false">IF($A127="","",IFERROR(INDEX(중복검사!$C$4:$C$6003,MATCH("R"&amp;122,중복목록!$L$6:$L$6005,0)),""))</f>
        <v/>
      </c>
      <c r="D127" s="12" t="str">
        <f aca="false">IF($A127="","",IFERROR(INDEX(중복검사!$D$4:$D$6003,MATCH("R"&amp;122,중복목록!$L$6:$L$6005,0)),""))</f>
        <v/>
      </c>
      <c r="E127" s="12" t="str">
        <f aca="false">IF($A127="","",IFERROR(IF(INDEX(원본명단!$E$3:$E$6002,MATCH("R"&amp;122,중복목록!$L$6:$L$6005,0))="","",INDEX(원본명단!$E$3:$E$6002,MATCH("R"&amp;122,중복목록!$L$6:$L$6005,0))),""))</f>
        <v/>
      </c>
      <c r="F127" s="11" t="str">
        <f aca="false">IF($A127="","",IFERROR(MAX(INDEX(중복검사!$E$4:$E$6003,MATCH("R"&amp;122,중복목록!$L$6:$L$6005,0)),INDEX(중복검사!$F$4:$F$6003,MATCH("R"&amp;122,중복목록!$L$6:$L$6005,0)),INDEX(중복검사!$G$4:$G$6003,MATCH("R"&amp;122,중복목록!$L$6:$L$6005,0))),""))</f>
        <v/>
      </c>
      <c r="G127" s="11" t="str">
        <f aca="false">IF($A127="","",IFERROR(INDEX(중복검사!$I$4:$I$6003,MATCH("R"&amp;122,중복목록!$L$6:$L$6005,0)),""))</f>
        <v/>
      </c>
      <c r="H127" s="11" t="str">
        <f aca="false">IF($A127="","",IFERROR(INDEX(중복검사!$J$4:$J$6003,MATCH("R"&amp;122,중복목록!$L$6:$L$6005,0)),""))</f>
        <v/>
      </c>
      <c r="J127" s="14" t="b">
        <f aca="false">IF(중복검사!$A125="",FALSE(),중복검사!$H125="중복")</f>
        <v>0</v>
      </c>
      <c r="K127" s="5" t="str">
        <f aca="false">IF($J127=FALSE(),"",COUNTIF($J$6:$J127,TRUE()))</f>
        <v/>
      </c>
      <c r="L127" s="5" t="str">
        <f aca="false">IF($K127="","","R"&amp;$K127)</f>
        <v/>
      </c>
    </row>
    <row r="128" customFormat="false" ht="15" hidden="false" customHeight="true" outlineLevel="0" collapsed="false">
      <c r="A128" s="11" t="str">
        <f aca="false">IFERROR(INDEX(중복검사!$A$4:$A$6003,MATCH("R"&amp;123,중복목록!$L$6:$L$6005,0)),"")</f>
        <v/>
      </c>
      <c r="B128" s="12" t="str">
        <f aca="false">IF($A128="","",IFERROR(INDEX(중복검사!$B$4:$B$6003,MATCH("R"&amp;123,중복목록!$L$6:$L$6005,0)),""))</f>
        <v/>
      </c>
      <c r="C128" s="12" t="str">
        <f aca="false">IF($A128="","",IFERROR(INDEX(중복검사!$C$4:$C$6003,MATCH("R"&amp;123,중복목록!$L$6:$L$6005,0)),""))</f>
        <v/>
      </c>
      <c r="D128" s="12" t="str">
        <f aca="false">IF($A128="","",IFERROR(INDEX(중복검사!$D$4:$D$6003,MATCH("R"&amp;123,중복목록!$L$6:$L$6005,0)),""))</f>
        <v/>
      </c>
      <c r="E128" s="12" t="str">
        <f aca="false">IF($A128="","",IFERROR(IF(INDEX(원본명단!$E$3:$E$6002,MATCH("R"&amp;123,중복목록!$L$6:$L$6005,0))="","",INDEX(원본명단!$E$3:$E$6002,MATCH("R"&amp;123,중복목록!$L$6:$L$6005,0))),""))</f>
        <v/>
      </c>
      <c r="F128" s="11" t="str">
        <f aca="false">IF($A128="","",IFERROR(MAX(INDEX(중복검사!$E$4:$E$6003,MATCH("R"&amp;123,중복목록!$L$6:$L$6005,0)),INDEX(중복검사!$F$4:$F$6003,MATCH("R"&amp;123,중복목록!$L$6:$L$6005,0)),INDEX(중복검사!$G$4:$G$6003,MATCH("R"&amp;123,중복목록!$L$6:$L$6005,0))),""))</f>
        <v/>
      </c>
      <c r="G128" s="11" t="str">
        <f aca="false">IF($A128="","",IFERROR(INDEX(중복검사!$I$4:$I$6003,MATCH("R"&amp;123,중복목록!$L$6:$L$6005,0)),""))</f>
        <v/>
      </c>
      <c r="H128" s="11" t="str">
        <f aca="false">IF($A128="","",IFERROR(INDEX(중복검사!$J$4:$J$6003,MATCH("R"&amp;123,중복목록!$L$6:$L$6005,0)),""))</f>
        <v/>
      </c>
      <c r="J128" s="14" t="b">
        <f aca="false">IF(중복검사!$A126="",FALSE(),중복검사!$H126="중복")</f>
        <v>0</v>
      </c>
      <c r="K128" s="5" t="str">
        <f aca="false">IF($J128=FALSE(),"",COUNTIF($J$6:$J128,TRUE()))</f>
        <v/>
      </c>
      <c r="L128" s="5" t="str">
        <f aca="false">IF($K128="","","R"&amp;$K128)</f>
        <v/>
      </c>
    </row>
    <row r="129" customFormat="false" ht="15" hidden="false" customHeight="true" outlineLevel="0" collapsed="false">
      <c r="A129" s="11" t="str">
        <f aca="false">IFERROR(INDEX(중복검사!$A$4:$A$6003,MATCH("R"&amp;124,중복목록!$L$6:$L$6005,0)),"")</f>
        <v/>
      </c>
      <c r="B129" s="12" t="str">
        <f aca="false">IF($A129="","",IFERROR(INDEX(중복검사!$B$4:$B$6003,MATCH("R"&amp;124,중복목록!$L$6:$L$6005,0)),""))</f>
        <v/>
      </c>
      <c r="C129" s="12" t="str">
        <f aca="false">IF($A129="","",IFERROR(INDEX(중복검사!$C$4:$C$6003,MATCH("R"&amp;124,중복목록!$L$6:$L$6005,0)),""))</f>
        <v/>
      </c>
      <c r="D129" s="12" t="str">
        <f aca="false">IF($A129="","",IFERROR(INDEX(중복검사!$D$4:$D$6003,MATCH("R"&amp;124,중복목록!$L$6:$L$6005,0)),""))</f>
        <v/>
      </c>
      <c r="E129" s="12" t="str">
        <f aca="false">IF($A129="","",IFERROR(IF(INDEX(원본명단!$E$3:$E$6002,MATCH("R"&amp;124,중복목록!$L$6:$L$6005,0))="","",INDEX(원본명단!$E$3:$E$6002,MATCH("R"&amp;124,중복목록!$L$6:$L$6005,0))),""))</f>
        <v/>
      </c>
      <c r="F129" s="11" t="str">
        <f aca="false">IF($A129="","",IFERROR(MAX(INDEX(중복검사!$E$4:$E$6003,MATCH("R"&amp;124,중복목록!$L$6:$L$6005,0)),INDEX(중복검사!$F$4:$F$6003,MATCH("R"&amp;124,중복목록!$L$6:$L$6005,0)),INDEX(중복검사!$G$4:$G$6003,MATCH("R"&amp;124,중복목록!$L$6:$L$6005,0))),""))</f>
        <v/>
      </c>
      <c r="G129" s="11" t="str">
        <f aca="false">IF($A129="","",IFERROR(INDEX(중복검사!$I$4:$I$6003,MATCH("R"&amp;124,중복목록!$L$6:$L$6005,0)),""))</f>
        <v/>
      </c>
      <c r="H129" s="11" t="str">
        <f aca="false">IF($A129="","",IFERROR(INDEX(중복검사!$J$4:$J$6003,MATCH("R"&amp;124,중복목록!$L$6:$L$6005,0)),""))</f>
        <v/>
      </c>
      <c r="J129" s="14" t="b">
        <f aca="false">IF(중복검사!$A127="",FALSE(),중복검사!$H127="중복")</f>
        <v>0</v>
      </c>
      <c r="K129" s="5" t="str">
        <f aca="false">IF($J129=FALSE(),"",COUNTIF($J$6:$J129,TRUE()))</f>
        <v/>
      </c>
      <c r="L129" s="5" t="str">
        <f aca="false">IF($K129="","","R"&amp;$K129)</f>
        <v/>
      </c>
    </row>
    <row r="130" customFormat="false" ht="15" hidden="false" customHeight="true" outlineLevel="0" collapsed="false">
      <c r="A130" s="11" t="str">
        <f aca="false">IFERROR(INDEX(중복검사!$A$4:$A$6003,MATCH("R"&amp;125,중복목록!$L$6:$L$6005,0)),"")</f>
        <v/>
      </c>
      <c r="B130" s="12" t="str">
        <f aca="false">IF($A130="","",IFERROR(INDEX(중복검사!$B$4:$B$6003,MATCH("R"&amp;125,중복목록!$L$6:$L$6005,0)),""))</f>
        <v/>
      </c>
      <c r="C130" s="12" t="str">
        <f aca="false">IF($A130="","",IFERROR(INDEX(중복검사!$C$4:$C$6003,MATCH("R"&amp;125,중복목록!$L$6:$L$6005,0)),""))</f>
        <v/>
      </c>
      <c r="D130" s="12" t="str">
        <f aca="false">IF($A130="","",IFERROR(INDEX(중복검사!$D$4:$D$6003,MATCH("R"&amp;125,중복목록!$L$6:$L$6005,0)),""))</f>
        <v/>
      </c>
      <c r="E130" s="12" t="str">
        <f aca="false">IF($A130="","",IFERROR(IF(INDEX(원본명단!$E$3:$E$6002,MATCH("R"&amp;125,중복목록!$L$6:$L$6005,0))="","",INDEX(원본명단!$E$3:$E$6002,MATCH("R"&amp;125,중복목록!$L$6:$L$6005,0))),""))</f>
        <v/>
      </c>
      <c r="F130" s="11" t="str">
        <f aca="false">IF($A130="","",IFERROR(MAX(INDEX(중복검사!$E$4:$E$6003,MATCH("R"&amp;125,중복목록!$L$6:$L$6005,0)),INDEX(중복검사!$F$4:$F$6003,MATCH("R"&amp;125,중복목록!$L$6:$L$6005,0)),INDEX(중복검사!$G$4:$G$6003,MATCH("R"&amp;125,중복목록!$L$6:$L$6005,0))),""))</f>
        <v/>
      </c>
      <c r="G130" s="11" t="str">
        <f aca="false">IF($A130="","",IFERROR(INDEX(중복검사!$I$4:$I$6003,MATCH("R"&amp;125,중복목록!$L$6:$L$6005,0)),""))</f>
        <v/>
      </c>
      <c r="H130" s="11" t="str">
        <f aca="false">IF($A130="","",IFERROR(INDEX(중복검사!$J$4:$J$6003,MATCH("R"&amp;125,중복목록!$L$6:$L$6005,0)),""))</f>
        <v/>
      </c>
      <c r="J130" s="14" t="b">
        <f aca="false">IF(중복검사!$A128="",FALSE(),중복검사!$H128="중복")</f>
        <v>0</v>
      </c>
      <c r="K130" s="5" t="str">
        <f aca="false">IF($J130=FALSE(),"",COUNTIF($J$6:$J130,TRUE()))</f>
        <v/>
      </c>
      <c r="L130" s="5" t="str">
        <f aca="false">IF($K130="","","R"&amp;$K130)</f>
        <v/>
      </c>
    </row>
    <row r="131" customFormat="false" ht="15" hidden="false" customHeight="true" outlineLevel="0" collapsed="false">
      <c r="A131" s="11" t="str">
        <f aca="false">IFERROR(INDEX(중복검사!$A$4:$A$6003,MATCH("R"&amp;126,중복목록!$L$6:$L$6005,0)),"")</f>
        <v/>
      </c>
      <c r="B131" s="12" t="str">
        <f aca="false">IF($A131="","",IFERROR(INDEX(중복검사!$B$4:$B$6003,MATCH("R"&amp;126,중복목록!$L$6:$L$6005,0)),""))</f>
        <v/>
      </c>
      <c r="C131" s="12" t="str">
        <f aca="false">IF($A131="","",IFERROR(INDEX(중복검사!$C$4:$C$6003,MATCH("R"&amp;126,중복목록!$L$6:$L$6005,0)),""))</f>
        <v/>
      </c>
      <c r="D131" s="12" t="str">
        <f aca="false">IF($A131="","",IFERROR(INDEX(중복검사!$D$4:$D$6003,MATCH("R"&amp;126,중복목록!$L$6:$L$6005,0)),""))</f>
        <v/>
      </c>
      <c r="E131" s="12" t="str">
        <f aca="false">IF($A131="","",IFERROR(IF(INDEX(원본명단!$E$3:$E$6002,MATCH("R"&amp;126,중복목록!$L$6:$L$6005,0))="","",INDEX(원본명단!$E$3:$E$6002,MATCH("R"&amp;126,중복목록!$L$6:$L$6005,0))),""))</f>
        <v/>
      </c>
      <c r="F131" s="11" t="str">
        <f aca="false">IF($A131="","",IFERROR(MAX(INDEX(중복검사!$E$4:$E$6003,MATCH("R"&amp;126,중복목록!$L$6:$L$6005,0)),INDEX(중복검사!$F$4:$F$6003,MATCH("R"&amp;126,중복목록!$L$6:$L$6005,0)),INDEX(중복검사!$G$4:$G$6003,MATCH("R"&amp;126,중복목록!$L$6:$L$6005,0))),""))</f>
        <v/>
      </c>
      <c r="G131" s="11" t="str">
        <f aca="false">IF($A131="","",IFERROR(INDEX(중복검사!$I$4:$I$6003,MATCH("R"&amp;126,중복목록!$L$6:$L$6005,0)),""))</f>
        <v/>
      </c>
      <c r="H131" s="11" t="str">
        <f aca="false">IF($A131="","",IFERROR(INDEX(중복검사!$J$4:$J$6003,MATCH("R"&amp;126,중복목록!$L$6:$L$6005,0)),""))</f>
        <v/>
      </c>
      <c r="J131" s="14" t="b">
        <f aca="false">IF(중복검사!$A129="",FALSE(),중복검사!$H129="중복")</f>
        <v>0</v>
      </c>
      <c r="K131" s="5" t="str">
        <f aca="false">IF($J131=FALSE(),"",COUNTIF($J$6:$J131,TRUE()))</f>
        <v/>
      </c>
      <c r="L131" s="5" t="str">
        <f aca="false">IF($K131="","","R"&amp;$K131)</f>
        <v/>
      </c>
    </row>
    <row r="132" customFormat="false" ht="15" hidden="false" customHeight="true" outlineLevel="0" collapsed="false">
      <c r="A132" s="11" t="str">
        <f aca="false">IFERROR(INDEX(중복검사!$A$4:$A$6003,MATCH("R"&amp;127,중복목록!$L$6:$L$6005,0)),"")</f>
        <v/>
      </c>
      <c r="B132" s="12" t="str">
        <f aca="false">IF($A132="","",IFERROR(INDEX(중복검사!$B$4:$B$6003,MATCH("R"&amp;127,중복목록!$L$6:$L$6005,0)),""))</f>
        <v/>
      </c>
      <c r="C132" s="12" t="str">
        <f aca="false">IF($A132="","",IFERROR(INDEX(중복검사!$C$4:$C$6003,MATCH("R"&amp;127,중복목록!$L$6:$L$6005,0)),""))</f>
        <v/>
      </c>
      <c r="D132" s="12" t="str">
        <f aca="false">IF($A132="","",IFERROR(INDEX(중복검사!$D$4:$D$6003,MATCH("R"&amp;127,중복목록!$L$6:$L$6005,0)),""))</f>
        <v/>
      </c>
      <c r="E132" s="12" t="str">
        <f aca="false">IF($A132="","",IFERROR(IF(INDEX(원본명단!$E$3:$E$6002,MATCH("R"&amp;127,중복목록!$L$6:$L$6005,0))="","",INDEX(원본명단!$E$3:$E$6002,MATCH("R"&amp;127,중복목록!$L$6:$L$6005,0))),""))</f>
        <v/>
      </c>
      <c r="F132" s="11" t="str">
        <f aca="false">IF($A132="","",IFERROR(MAX(INDEX(중복검사!$E$4:$E$6003,MATCH("R"&amp;127,중복목록!$L$6:$L$6005,0)),INDEX(중복검사!$F$4:$F$6003,MATCH("R"&amp;127,중복목록!$L$6:$L$6005,0)),INDEX(중복검사!$G$4:$G$6003,MATCH("R"&amp;127,중복목록!$L$6:$L$6005,0))),""))</f>
        <v/>
      </c>
      <c r="G132" s="11" t="str">
        <f aca="false">IF($A132="","",IFERROR(INDEX(중복검사!$I$4:$I$6003,MATCH("R"&amp;127,중복목록!$L$6:$L$6005,0)),""))</f>
        <v/>
      </c>
      <c r="H132" s="11" t="str">
        <f aca="false">IF($A132="","",IFERROR(INDEX(중복검사!$J$4:$J$6003,MATCH("R"&amp;127,중복목록!$L$6:$L$6005,0)),""))</f>
        <v/>
      </c>
      <c r="J132" s="14" t="b">
        <f aca="false">IF(중복검사!$A130="",FALSE(),중복검사!$H130="중복")</f>
        <v>0</v>
      </c>
      <c r="K132" s="5" t="str">
        <f aca="false">IF($J132=FALSE(),"",COUNTIF($J$6:$J132,TRUE()))</f>
        <v/>
      </c>
      <c r="L132" s="5" t="str">
        <f aca="false">IF($K132="","","R"&amp;$K132)</f>
        <v/>
      </c>
    </row>
    <row r="133" customFormat="false" ht="15" hidden="false" customHeight="true" outlineLevel="0" collapsed="false">
      <c r="A133" s="11" t="str">
        <f aca="false">IFERROR(INDEX(중복검사!$A$4:$A$6003,MATCH("R"&amp;128,중복목록!$L$6:$L$6005,0)),"")</f>
        <v/>
      </c>
      <c r="B133" s="12" t="str">
        <f aca="false">IF($A133="","",IFERROR(INDEX(중복검사!$B$4:$B$6003,MATCH("R"&amp;128,중복목록!$L$6:$L$6005,0)),""))</f>
        <v/>
      </c>
      <c r="C133" s="12" t="str">
        <f aca="false">IF($A133="","",IFERROR(INDEX(중복검사!$C$4:$C$6003,MATCH("R"&amp;128,중복목록!$L$6:$L$6005,0)),""))</f>
        <v/>
      </c>
      <c r="D133" s="12" t="str">
        <f aca="false">IF($A133="","",IFERROR(INDEX(중복검사!$D$4:$D$6003,MATCH("R"&amp;128,중복목록!$L$6:$L$6005,0)),""))</f>
        <v/>
      </c>
      <c r="E133" s="12" t="str">
        <f aca="false">IF($A133="","",IFERROR(IF(INDEX(원본명단!$E$3:$E$6002,MATCH("R"&amp;128,중복목록!$L$6:$L$6005,0))="","",INDEX(원본명단!$E$3:$E$6002,MATCH("R"&amp;128,중복목록!$L$6:$L$6005,0))),""))</f>
        <v/>
      </c>
      <c r="F133" s="11" t="str">
        <f aca="false">IF($A133="","",IFERROR(MAX(INDEX(중복검사!$E$4:$E$6003,MATCH("R"&amp;128,중복목록!$L$6:$L$6005,0)),INDEX(중복검사!$F$4:$F$6003,MATCH("R"&amp;128,중복목록!$L$6:$L$6005,0)),INDEX(중복검사!$G$4:$G$6003,MATCH("R"&amp;128,중복목록!$L$6:$L$6005,0))),""))</f>
        <v/>
      </c>
      <c r="G133" s="11" t="str">
        <f aca="false">IF($A133="","",IFERROR(INDEX(중복검사!$I$4:$I$6003,MATCH("R"&amp;128,중복목록!$L$6:$L$6005,0)),""))</f>
        <v/>
      </c>
      <c r="H133" s="11" t="str">
        <f aca="false">IF($A133="","",IFERROR(INDEX(중복검사!$J$4:$J$6003,MATCH("R"&amp;128,중복목록!$L$6:$L$6005,0)),""))</f>
        <v/>
      </c>
      <c r="J133" s="14" t="b">
        <f aca="false">IF(중복검사!$A131="",FALSE(),중복검사!$H131="중복")</f>
        <v>0</v>
      </c>
      <c r="K133" s="5" t="str">
        <f aca="false">IF($J133=FALSE(),"",COUNTIF($J$6:$J133,TRUE()))</f>
        <v/>
      </c>
      <c r="L133" s="5" t="str">
        <f aca="false">IF($K133="","","R"&amp;$K133)</f>
        <v/>
      </c>
    </row>
    <row r="134" customFormat="false" ht="15" hidden="false" customHeight="true" outlineLevel="0" collapsed="false">
      <c r="A134" s="11" t="str">
        <f aca="false">IFERROR(INDEX(중복검사!$A$4:$A$6003,MATCH("R"&amp;129,중복목록!$L$6:$L$6005,0)),"")</f>
        <v/>
      </c>
      <c r="B134" s="12" t="str">
        <f aca="false">IF($A134="","",IFERROR(INDEX(중복검사!$B$4:$B$6003,MATCH("R"&amp;129,중복목록!$L$6:$L$6005,0)),""))</f>
        <v/>
      </c>
      <c r="C134" s="12" t="str">
        <f aca="false">IF($A134="","",IFERROR(INDEX(중복검사!$C$4:$C$6003,MATCH("R"&amp;129,중복목록!$L$6:$L$6005,0)),""))</f>
        <v/>
      </c>
      <c r="D134" s="12" t="str">
        <f aca="false">IF($A134="","",IFERROR(INDEX(중복검사!$D$4:$D$6003,MATCH("R"&amp;129,중복목록!$L$6:$L$6005,0)),""))</f>
        <v/>
      </c>
      <c r="E134" s="12" t="str">
        <f aca="false">IF($A134="","",IFERROR(IF(INDEX(원본명단!$E$3:$E$6002,MATCH("R"&amp;129,중복목록!$L$6:$L$6005,0))="","",INDEX(원본명단!$E$3:$E$6002,MATCH("R"&amp;129,중복목록!$L$6:$L$6005,0))),""))</f>
        <v/>
      </c>
      <c r="F134" s="11" t="str">
        <f aca="false">IF($A134="","",IFERROR(MAX(INDEX(중복검사!$E$4:$E$6003,MATCH("R"&amp;129,중복목록!$L$6:$L$6005,0)),INDEX(중복검사!$F$4:$F$6003,MATCH("R"&amp;129,중복목록!$L$6:$L$6005,0)),INDEX(중복검사!$G$4:$G$6003,MATCH("R"&amp;129,중복목록!$L$6:$L$6005,0))),""))</f>
        <v/>
      </c>
      <c r="G134" s="11" t="str">
        <f aca="false">IF($A134="","",IFERROR(INDEX(중복검사!$I$4:$I$6003,MATCH("R"&amp;129,중복목록!$L$6:$L$6005,0)),""))</f>
        <v/>
      </c>
      <c r="H134" s="11" t="str">
        <f aca="false">IF($A134="","",IFERROR(INDEX(중복검사!$J$4:$J$6003,MATCH("R"&amp;129,중복목록!$L$6:$L$6005,0)),""))</f>
        <v/>
      </c>
      <c r="J134" s="14" t="b">
        <f aca="false">IF(중복검사!$A132="",FALSE(),중복검사!$H132="중복")</f>
        <v>0</v>
      </c>
      <c r="K134" s="5" t="str">
        <f aca="false">IF($J134=FALSE(),"",COUNTIF($J$6:$J134,TRUE()))</f>
        <v/>
      </c>
      <c r="L134" s="5" t="str">
        <f aca="false">IF($K134="","","R"&amp;$K134)</f>
        <v/>
      </c>
    </row>
    <row r="135" customFormat="false" ht="15" hidden="false" customHeight="true" outlineLevel="0" collapsed="false">
      <c r="A135" s="11" t="str">
        <f aca="false">IFERROR(INDEX(중복검사!$A$4:$A$6003,MATCH("R"&amp;130,중복목록!$L$6:$L$6005,0)),"")</f>
        <v/>
      </c>
      <c r="B135" s="12" t="str">
        <f aca="false">IF($A135="","",IFERROR(INDEX(중복검사!$B$4:$B$6003,MATCH("R"&amp;130,중복목록!$L$6:$L$6005,0)),""))</f>
        <v/>
      </c>
      <c r="C135" s="12" t="str">
        <f aca="false">IF($A135="","",IFERROR(INDEX(중복검사!$C$4:$C$6003,MATCH("R"&amp;130,중복목록!$L$6:$L$6005,0)),""))</f>
        <v/>
      </c>
      <c r="D135" s="12" t="str">
        <f aca="false">IF($A135="","",IFERROR(INDEX(중복검사!$D$4:$D$6003,MATCH("R"&amp;130,중복목록!$L$6:$L$6005,0)),""))</f>
        <v/>
      </c>
      <c r="E135" s="12" t="str">
        <f aca="false">IF($A135="","",IFERROR(IF(INDEX(원본명단!$E$3:$E$6002,MATCH("R"&amp;130,중복목록!$L$6:$L$6005,0))="","",INDEX(원본명단!$E$3:$E$6002,MATCH("R"&amp;130,중복목록!$L$6:$L$6005,0))),""))</f>
        <v/>
      </c>
      <c r="F135" s="11" t="str">
        <f aca="false">IF($A135="","",IFERROR(MAX(INDEX(중복검사!$E$4:$E$6003,MATCH("R"&amp;130,중복목록!$L$6:$L$6005,0)),INDEX(중복검사!$F$4:$F$6003,MATCH("R"&amp;130,중복목록!$L$6:$L$6005,0)),INDEX(중복검사!$G$4:$G$6003,MATCH("R"&amp;130,중복목록!$L$6:$L$6005,0))),""))</f>
        <v/>
      </c>
      <c r="G135" s="11" t="str">
        <f aca="false">IF($A135="","",IFERROR(INDEX(중복검사!$I$4:$I$6003,MATCH("R"&amp;130,중복목록!$L$6:$L$6005,0)),""))</f>
        <v/>
      </c>
      <c r="H135" s="11" t="str">
        <f aca="false">IF($A135="","",IFERROR(INDEX(중복검사!$J$4:$J$6003,MATCH("R"&amp;130,중복목록!$L$6:$L$6005,0)),""))</f>
        <v/>
      </c>
      <c r="J135" s="14" t="b">
        <f aca="false">IF(중복검사!$A133="",FALSE(),중복검사!$H133="중복")</f>
        <v>0</v>
      </c>
      <c r="K135" s="5" t="str">
        <f aca="false">IF($J135=FALSE(),"",COUNTIF($J$6:$J135,TRUE()))</f>
        <v/>
      </c>
      <c r="L135" s="5" t="str">
        <f aca="false">IF($K135="","","R"&amp;$K135)</f>
        <v/>
      </c>
    </row>
    <row r="136" customFormat="false" ht="15" hidden="false" customHeight="true" outlineLevel="0" collapsed="false">
      <c r="A136" s="11" t="str">
        <f aca="false">IFERROR(INDEX(중복검사!$A$4:$A$6003,MATCH("R"&amp;131,중복목록!$L$6:$L$6005,0)),"")</f>
        <v/>
      </c>
      <c r="B136" s="12" t="str">
        <f aca="false">IF($A136="","",IFERROR(INDEX(중복검사!$B$4:$B$6003,MATCH("R"&amp;131,중복목록!$L$6:$L$6005,0)),""))</f>
        <v/>
      </c>
      <c r="C136" s="12" t="str">
        <f aca="false">IF($A136="","",IFERROR(INDEX(중복검사!$C$4:$C$6003,MATCH("R"&amp;131,중복목록!$L$6:$L$6005,0)),""))</f>
        <v/>
      </c>
      <c r="D136" s="12" t="str">
        <f aca="false">IF($A136="","",IFERROR(INDEX(중복검사!$D$4:$D$6003,MATCH("R"&amp;131,중복목록!$L$6:$L$6005,0)),""))</f>
        <v/>
      </c>
      <c r="E136" s="12" t="str">
        <f aca="false">IF($A136="","",IFERROR(IF(INDEX(원본명단!$E$3:$E$6002,MATCH("R"&amp;131,중복목록!$L$6:$L$6005,0))="","",INDEX(원본명단!$E$3:$E$6002,MATCH("R"&amp;131,중복목록!$L$6:$L$6005,0))),""))</f>
        <v/>
      </c>
      <c r="F136" s="11" t="str">
        <f aca="false">IF($A136="","",IFERROR(MAX(INDEX(중복검사!$E$4:$E$6003,MATCH("R"&amp;131,중복목록!$L$6:$L$6005,0)),INDEX(중복검사!$F$4:$F$6003,MATCH("R"&amp;131,중복목록!$L$6:$L$6005,0)),INDEX(중복검사!$G$4:$G$6003,MATCH("R"&amp;131,중복목록!$L$6:$L$6005,0))),""))</f>
        <v/>
      </c>
      <c r="G136" s="11" t="str">
        <f aca="false">IF($A136="","",IFERROR(INDEX(중복검사!$I$4:$I$6003,MATCH("R"&amp;131,중복목록!$L$6:$L$6005,0)),""))</f>
        <v/>
      </c>
      <c r="H136" s="11" t="str">
        <f aca="false">IF($A136="","",IFERROR(INDEX(중복검사!$J$4:$J$6003,MATCH("R"&amp;131,중복목록!$L$6:$L$6005,0)),""))</f>
        <v/>
      </c>
      <c r="J136" s="14" t="b">
        <f aca="false">IF(중복검사!$A134="",FALSE(),중복검사!$H134="중복")</f>
        <v>0</v>
      </c>
      <c r="K136" s="5" t="str">
        <f aca="false">IF($J136=FALSE(),"",COUNTIF($J$6:$J136,TRUE()))</f>
        <v/>
      </c>
      <c r="L136" s="5" t="str">
        <f aca="false">IF($K136="","","R"&amp;$K136)</f>
        <v/>
      </c>
    </row>
    <row r="137" customFormat="false" ht="15" hidden="false" customHeight="true" outlineLevel="0" collapsed="false">
      <c r="A137" s="11" t="str">
        <f aca="false">IFERROR(INDEX(중복검사!$A$4:$A$6003,MATCH("R"&amp;132,중복목록!$L$6:$L$6005,0)),"")</f>
        <v/>
      </c>
      <c r="B137" s="12" t="str">
        <f aca="false">IF($A137="","",IFERROR(INDEX(중복검사!$B$4:$B$6003,MATCH("R"&amp;132,중복목록!$L$6:$L$6005,0)),""))</f>
        <v/>
      </c>
      <c r="C137" s="12" t="str">
        <f aca="false">IF($A137="","",IFERROR(INDEX(중복검사!$C$4:$C$6003,MATCH("R"&amp;132,중복목록!$L$6:$L$6005,0)),""))</f>
        <v/>
      </c>
      <c r="D137" s="12" t="str">
        <f aca="false">IF($A137="","",IFERROR(INDEX(중복검사!$D$4:$D$6003,MATCH("R"&amp;132,중복목록!$L$6:$L$6005,0)),""))</f>
        <v/>
      </c>
      <c r="E137" s="12" t="str">
        <f aca="false">IF($A137="","",IFERROR(IF(INDEX(원본명단!$E$3:$E$6002,MATCH("R"&amp;132,중복목록!$L$6:$L$6005,0))="","",INDEX(원본명단!$E$3:$E$6002,MATCH("R"&amp;132,중복목록!$L$6:$L$6005,0))),""))</f>
        <v/>
      </c>
      <c r="F137" s="11" t="str">
        <f aca="false">IF($A137="","",IFERROR(MAX(INDEX(중복검사!$E$4:$E$6003,MATCH("R"&amp;132,중복목록!$L$6:$L$6005,0)),INDEX(중복검사!$F$4:$F$6003,MATCH("R"&amp;132,중복목록!$L$6:$L$6005,0)),INDEX(중복검사!$G$4:$G$6003,MATCH("R"&amp;132,중복목록!$L$6:$L$6005,0))),""))</f>
        <v/>
      </c>
      <c r="G137" s="11" t="str">
        <f aca="false">IF($A137="","",IFERROR(INDEX(중복검사!$I$4:$I$6003,MATCH("R"&amp;132,중복목록!$L$6:$L$6005,0)),""))</f>
        <v/>
      </c>
      <c r="H137" s="11" t="str">
        <f aca="false">IF($A137="","",IFERROR(INDEX(중복검사!$J$4:$J$6003,MATCH("R"&amp;132,중복목록!$L$6:$L$6005,0)),""))</f>
        <v/>
      </c>
      <c r="J137" s="14" t="b">
        <f aca="false">IF(중복검사!$A135="",FALSE(),중복검사!$H135="중복")</f>
        <v>0</v>
      </c>
      <c r="K137" s="5" t="str">
        <f aca="false">IF($J137=FALSE(),"",COUNTIF($J$6:$J137,TRUE()))</f>
        <v/>
      </c>
      <c r="L137" s="5" t="str">
        <f aca="false">IF($K137="","","R"&amp;$K137)</f>
        <v/>
      </c>
    </row>
    <row r="138" customFormat="false" ht="15" hidden="false" customHeight="true" outlineLevel="0" collapsed="false">
      <c r="A138" s="11" t="str">
        <f aca="false">IFERROR(INDEX(중복검사!$A$4:$A$6003,MATCH("R"&amp;133,중복목록!$L$6:$L$6005,0)),"")</f>
        <v/>
      </c>
      <c r="B138" s="12" t="str">
        <f aca="false">IF($A138="","",IFERROR(INDEX(중복검사!$B$4:$B$6003,MATCH("R"&amp;133,중복목록!$L$6:$L$6005,0)),""))</f>
        <v/>
      </c>
      <c r="C138" s="12" t="str">
        <f aca="false">IF($A138="","",IFERROR(INDEX(중복검사!$C$4:$C$6003,MATCH("R"&amp;133,중복목록!$L$6:$L$6005,0)),""))</f>
        <v/>
      </c>
      <c r="D138" s="12" t="str">
        <f aca="false">IF($A138="","",IFERROR(INDEX(중복검사!$D$4:$D$6003,MATCH("R"&amp;133,중복목록!$L$6:$L$6005,0)),""))</f>
        <v/>
      </c>
      <c r="E138" s="12" t="str">
        <f aca="false">IF($A138="","",IFERROR(IF(INDEX(원본명단!$E$3:$E$6002,MATCH("R"&amp;133,중복목록!$L$6:$L$6005,0))="","",INDEX(원본명단!$E$3:$E$6002,MATCH("R"&amp;133,중복목록!$L$6:$L$6005,0))),""))</f>
        <v/>
      </c>
      <c r="F138" s="11" t="str">
        <f aca="false">IF($A138="","",IFERROR(MAX(INDEX(중복검사!$E$4:$E$6003,MATCH("R"&amp;133,중복목록!$L$6:$L$6005,0)),INDEX(중복검사!$F$4:$F$6003,MATCH("R"&amp;133,중복목록!$L$6:$L$6005,0)),INDEX(중복검사!$G$4:$G$6003,MATCH("R"&amp;133,중복목록!$L$6:$L$6005,0))),""))</f>
        <v/>
      </c>
      <c r="G138" s="11" t="str">
        <f aca="false">IF($A138="","",IFERROR(INDEX(중복검사!$I$4:$I$6003,MATCH("R"&amp;133,중복목록!$L$6:$L$6005,0)),""))</f>
        <v/>
      </c>
      <c r="H138" s="11" t="str">
        <f aca="false">IF($A138="","",IFERROR(INDEX(중복검사!$J$4:$J$6003,MATCH("R"&amp;133,중복목록!$L$6:$L$6005,0)),""))</f>
        <v/>
      </c>
      <c r="J138" s="14" t="b">
        <f aca="false">IF(중복검사!$A136="",FALSE(),중복검사!$H136="중복")</f>
        <v>0</v>
      </c>
      <c r="K138" s="5" t="str">
        <f aca="false">IF($J138=FALSE(),"",COUNTIF($J$6:$J138,TRUE()))</f>
        <v/>
      </c>
      <c r="L138" s="5" t="str">
        <f aca="false">IF($K138="","","R"&amp;$K138)</f>
        <v/>
      </c>
    </row>
    <row r="139" customFormat="false" ht="15" hidden="false" customHeight="true" outlineLevel="0" collapsed="false">
      <c r="A139" s="11" t="str">
        <f aca="false">IFERROR(INDEX(중복검사!$A$4:$A$6003,MATCH("R"&amp;134,중복목록!$L$6:$L$6005,0)),"")</f>
        <v/>
      </c>
      <c r="B139" s="12" t="str">
        <f aca="false">IF($A139="","",IFERROR(INDEX(중복검사!$B$4:$B$6003,MATCH("R"&amp;134,중복목록!$L$6:$L$6005,0)),""))</f>
        <v/>
      </c>
      <c r="C139" s="12" t="str">
        <f aca="false">IF($A139="","",IFERROR(INDEX(중복검사!$C$4:$C$6003,MATCH("R"&amp;134,중복목록!$L$6:$L$6005,0)),""))</f>
        <v/>
      </c>
      <c r="D139" s="12" t="str">
        <f aca="false">IF($A139="","",IFERROR(INDEX(중복검사!$D$4:$D$6003,MATCH("R"&amp;134,중복목록!$L$6:$L$6005,0)),""))</f>
        <v/>
      </c>
      <c r="E139" s="12" t="str">
        <f aca="false">IF($A139="","",IFERROR(IF(INDEX(원본명단!$E$3:$E$6002,MATCH("R"&amp;134,중복목록!$L$6:$L$6005,0))="","",INDEX(원본명단!$E$3:$E$6002,MATCH("R"&amp;134,중복목록!$L$6:$L$6005,0))),""))</f>
        <v/>
      </c>
      <c r="F139" s="11" t="str">
        <f aca="false">IF($A139="","",IFERROR(MAX(INDEX(중복검사!$E$4:$E$6003,MATCH("R"&amp;134,중복목록!$L$6:$L$6005,0)),INDEX(중복검사!$F$4:$F$6003,MATCH("R"&amp;134,중복목록!$L$6:$L$6005,0)),INDEX(중복검사!$G$4:$G$6003,MATCH("R"&amp;134,중복목록!$L$6:$L$6005,0))),""))</f>
        <v/>
      </c>
      <c r="G139" s="11" t="str">
        <f aca="false">IF($A139="","",IFERROR(INDEX(중복검사!$I$4:$I$6003,MATCH("R"&amp;134,중복목록!$L$6:$L$6005,0)),""))</f>
        <v/>
      </c>
      <c r="H139" s="11" t="str">
        <f aca="false">IF($A139="","",IFERROR(INDEX(중복검사!$J$4:$J$6003,MATCH("R"&amp;134,중복목록!$L$6:$L$6005,0)),""))</f>
        <v/>
      </c>
      <c r="J139" s="14" t="b">
        <f aca="false">IF(중복검사!$A137="",FALSE(),중복검사!$H137="중복")</f>
        <v>0</v>
      </c>
      <c r="K139" s="5" t="str">
        <f aca="false">IF($J139=FALSE(),"",COUNTIF($J$6:$J139,TRUE()))</f>
        <v/>
      </c>
      <c r="L139" s="5" t="str">
        <f aca="false">IF($K139="","","R"&amp;$K139)</f>
        <v/>
      </c>
    </row>
    <row r="140" customFormat="false" ht="15" hidden="false" customHeight="true" outlineLevel="0" collapsed="false">
      <c r="A140" s="11" t="str">
        <f aca="false">IFERROR(INDEX(중복검사!$A$4:$A$6003,MATCH("R"&amp;135,중복목록!$L$6:$L$6005,0)),"")</f>
        <v/>
      </c>
      <c r="B140" s="12" t="str">
        <f aca="false">IF($A140="","",IFERROR(INDEX(중복검사!$B$4:$B$6003,MATCH("R"&amp;135,중복목록!$L$6:$L$6005,0)),""))</f>
        <v/>
      </c>
      <c r="C140" s="12" t="str">
        <f aca="false">IF($A140="","",IFERROR(INDEX(중복검사!$C$4:$C$6003,MATCH("R"&amp;135,중복목록!$L$6:$L$6005,0)),""))</f>
        <v/>
      </c>
      <c r="D140" s="12" t="str">
        <f aca="false">IF($A140="","",IFERROR(INDEX(중복검사!$D$4:$D$6003,MATCH("R"&amp;135,중복목록!$L$6:$L$6005,0)),""))</f>
        <v/>
      </c>
      <c r="E140" s="12" t="str">
        <f aca="false">IF($A140="","",IFERROR(IF(INDEX(원본명단!$E$3:$E$6002,MATCH("R"&amp;135,중복목록!$L$6:$L$6005,0))="","",INDEX(원본명단!$E$3:$E$6002,MATCH("R"&amp;135,중복목록!$L$6:$L$6005,0))),""))</f>
        <v/>
      </c>
      <c r="F140" s="11" t="str">
        <f aca="false">IF($A140="","",IFERROR(MAX(INDEX(중복검사!$E$4:$E$6003,MATCH("R"&amp;135,중복목록!$L$6:$L$6005,0)),INDEX(중복검사!$F$4:$F$6003,MATCH("R"&amp;135,중복목록!$L$6:$L$6005,0)),INDEX(중복검사!$G$4:$G$6003,MATCH("R"&amp;135,중복목록!$L$6:$L$6005,0))),""))</f>
        <v/>
      </c>
      <c r="G140" s="11" t="str">
        <f aca="false">IF($A140="","",IFERROR(INDEX(중복검사!$I$4:$I$6003,MATCH("R"&amp;135,중복목록!$L$6:$L$6005,0)),""))</f>
        <v/>
      </c>
      <c r="H140" s="11" t="str">
        <f aca="false">IF($A140="","",IFERROR(INDEX(중복검사!$J$4:$J$6003,MATCH("R"&amp;135,중복목록!$L$6:$L$6005,0)),""))</f>
        <v/>
      </c>
      <c r="J140" s="14" t="b">
        <f aca="false">IF(중복검사!$A138="",FALSE(),중복검사!$H138="중복")</f>
        <v>0</v>
      </c>
      <c r="K140" s="5" t="str">
        <f aca="false">IF($J140=FALSE(),"",COUNTIF($J$6:$J140,TRUE()))</f>
        <v/>
      </c>
      <c r="L140" s="5" t="str">
        <f aca="false">IF($K140="","","R"&amp;$K140)</f>
        <v/>
      </c>
    </row>
    <row r="141" customFormat="false" ht="15" hidden="false" customHeight="true" outlineLevel="0" collapsed="false">
      <c r="A141" s="11" t="str">
        <f aca="false">IFERROR(INDEX(중복검사!$A$4:$A$6003,MATCH("R"&amp;136,중복목록!$L$6:$L$6005,0)),"")</f>
        <v/>
      </c>
      <c r="B141" s="12" t="str">
        <f aca="false">IF($A141="","",IFERROR(INDEX(중복검사!$B$4:$B$6003,MATCH("R"&amp;136,중복목록!$L$6:$L$6005,0)),""))</f>
        <v/>
      </c>
      <c r="C141" s="12" t="str">
        <f aca="false">IF($A141="","",IFERROR(INDEX(중복검사!$C$4:$C$6003,MATCH("R"&amp;136,중복목록!$L$6:$L$6005,0)),""))</f>
        <v/>
      </c>
      <c r="D141" s="12" t="str">
        <f aca="false">IF($A141="","",IFERROR(INDEX(중복검사!$D$4:$D$6003,MATCH("R"&amp;136,중복목록!$L$6:$L$6005,0)),""))</f>
        <v/>
      </c>
      <c r="E141" s="12" t="str">
        <f aca="false">IF($A141="","",IFERROR(IF(INDEX(원본명단!$E$3:$E$6002,MATCH("R"&amp;136,중복목록!$L$6:$L$6005,0))="","",INDEX(원본명단!$E$3:$E$6002,MATCH("R"&amp;136,중복목록!$L$6:$L$6005,0))),""))</f>
        <v/>
      </c>
      <c r="F141" s="11" t="str">
        <f aca="false">IF($A141="","",IFERROR(MAX(INDEX(중복검사!$E$4:$E$6003,MATCH("R"&amp;136,중복목록!$L$6:$L$6005,0)),INDEX(중복검사!$F$4:$F$6003,MATCH("R"&amp;136,중복목록!$L$6:$L$6005,0)),INDEX(중복검사!$G$4:$G$6003,MATCH("R"&amp;136,중복목록!$L$6:$L$6005,0))),""))</f>
        <v/>
      </c>
      <c r="G141" s="11" t="str">
        <f aca="false">IF($A141="","",IFERROR(INDEX(중복검사!$I$4:$I$6003,MATCH("R"&amp;136,중복목록!$L$6:$L$6005,0)),""))</f>
        <v/>
      </c>
      <c r="H141" s="11" t="str">
        <f aca="false">IF($A141="","",IFERROR(INDEX(중복검사!$J$4:$J$6003,MATCH("R"&amp;136,중복목록!$L$6:$L$6005,0)),""))</f>
        <v/>
      </c>
      <c r="J141" s="14" t="b">
        <f aca="false">IF(중복검사!$A139="",FALSE(),중복검사!$H139="중복")</f>
        <v>0</v>
      </c>
      <c r="K141" s="5" t="str">
        <f aca="false">IF($J141=FALSE(),"",COUNTIF($J$6:$J141,TRUE()))</f>
        <v/>
      </c>
      <c r="L141" s="5" t="str">
        <f aca="false">IF($K141="","","R"&amp;$K141)</f>
        <v/>
      </c>
    </row>
    <row r="142" customFormat="false" ht="15" hidden="false" customHeight="true" outlineLevel="0" collapsed="false">
      <c r="A142" s="11" t="str">
        <f aca="false">IFERROR(INDEX(중복검사!$A$4:$A$6003,MATCH("R"&amp;137,중복목록!$L$6:$L$6005,0)),"")</f>
        <v/>
      </c>
      <c r="B142" s="12" t="str">
        <f aca="false">IF($A142="","",IFERROR(INDEX(중복검사!$B$4:$B$6003,MATCH("R"&amp;137,중복목록!$L$6:$L$6005,0)),""))</f>
        <v/>
      </c>
      <c r="C142" s="12" t="str">
        <f aca="false">IF($A142="","",IFERROR(INDEX(중복검사!$C$4:$C$6003,MATCH("R"&amp;137,중복목록!$L$6:$L$6005,0)),""))</f>
        <v/>
      </c>
      <c r="D142" s="12" t="str">
        <f aca="false">IF($A142="","",IFERROR(INDEX(중복검사!$D$4:$D$6003,MATCH("R"&amp;137,중복목록!$L$6:$L$6005,0)),""))</f>
        <v/>
      </c>
      <c r="E142" s="12" t="str">
        <f aca="false">IF($A142="","",IFERROR(IF(INDEX(원본명단!$E$3:$E$6002,MATCH("R"&amp;137,중복목록!$L$6:$L$6005,0))="","",INDEX(원본명단!$E$3:$E$6002,MATCH("R"&amp;137,중복목록!$L$6:$L$6005,0))),""))</f>
        <v/>
      </c>
      <c r="F142" s="11" t="str">
        <f aca="false">IF($A142="","",IFERROR(MAX(INDEX(중복검사!$E$4:$E$6003,MATCH("R"&amp;137,중복목록!$L$6:$L$6005,0)),INDEX(중복검사!$F$4:$F$6003,MATCH("R"&amp;137,중복목록!$L$6:$L$6005,0)),INDEX(중복검사!$G$4:$G$6003,MATCH("R"&amp;137,중복목록!$L$6:$L$6005,0))),""))</f>
        <v/>
      </c>
      <c r="G142" s="11" t="str">
        <f aca="false">IF($A142="","",IFERROR(INDEX(중복검사!$I$4:$I$6003,MATCH("R"&amp;137,중복목록!$L$6:$L$6005,0)),""))</f>
        <v/>
      </c>
      <c r="H142" s="11" t="str">
        <f aca="false">IF($A142="","",IFERROR(INDEX(중복검사!$J$4:$J$6003,MATCH("R"&amp;137,중복목록!$L$6:$L$6005,0)),""))</f>
        <v/>
      </c>
      <c r="J142" s="14" t="b">
        <f aca="false">IF(중복검사!$A140="",FALSE(),중복검사!$H140="중복")</f>
        <v>0</v>
      </c>
      <c r="K142" s="5" t="str">
        <f aca="false">IF($J142=FALSE(),"",COUNTIF($J$6:$J142,TRUE()))</f>
        <v/>
      </c>
      <c r="L142" s="5" t="str">
        <f aca="false">IF($K142="","","R"&amp;$K142)</f>
        <v/>
      </c>
    </row>
    <row r="143" customFormat="false" ht="15" hidden="false" customHeight="true" outlineLevel="0" collapsed="false">
      <c r="A143" s="11" t="str">
        <f aca="false">IFERROR(INDEX(중복검사!$A$4:$A$6003,MATCH("R"&amp;138,중복목록!$L$6:$L$6005,0)),"")</f>
        <v/>
      </c>
      <c r="B143" s="12" t="str">
        <f aca="false">IF($A143="","",IFERROR(INDEX(중복검사!$B$4:$B$6003,MATCH("R"&amp;138,중복목록!$L$6:$L$6005,0)),""))</f>
        <v/>
      </c>
      <c r="C143" s="12" t="str">
        <f aca="false">IF($A143="","",IFERROR(INDEX(중복검사!$C$4:$C$6003,MATCH("R"&amp;138,중복목록!$L$6:$L$6005,0)),""))</f>
        <v/>
      </c>
      <c r="D143" s="12" t="str">
        <f aca="false">IF($A143="","",IFERROR(INDEX(중복검사!$D$4:$D$6003,MATCH("R"&amp;138,중복목록!$L$6:$L$6005,0)),""))</f>
        <v/>
      </c>
      <c r="E143" s="12" t="str">
        <f aca="false">IF($A143="","",IFERROR(IF(INDEX(원본명단!$E$3:$E$6002,MATCH("R"&amp;138,중복목록!$L$6:$L$6005,0))="","",INDEX(원본명단!$E$3:$E$6002,MATCH("R"&amp;138,중복목록!$L$6:$L$6005,0))),""))</f>
        <v/>
      </c>
      <c r="F143" s="11" t="str">
        <f aca="false">IF($A143="","",IFERROR(MAX(INDEX(중복검사!$E$4:$E$6003,MATCH("R"&amp;138,중복목록!$L$6:$L$6005,0)),INDEX(중복검사!$F$4:$F$6003,MATCH("R"&amp;138,중복목록!$L$6:$L$6005,0)),INDEX(중복검사!$G$4:$G$6003,MATCH("R"&amp;138,중복목록!$L$6:$L$6005,0))),""))</f>
        <v/>
      </c>
      <c r="G143" s="11" t="str">
        <f aca="false">IF($A143="","",IFERROR(INDEX(중복검사!$I$4:$I$6003,MATCH("R"&amp;138,중복목록!$L$6:$L$6005,0)),""))</f>
        <v/>
      </c>
      <c r="H143" s="11" t="str">
        <f aca="false">IF($A143="","",IFERROR(INDEX(중복검사!$J$4:$J$6003,MATCH("R"&amp;138,중복목록!$L$6:$L$6005,0)),""))</f>
        <v/>
      </c>
      <c r="J143" s="14" t="b">
        <f aca="false">IF(중복검사!$A141="",FALSE(),중복검사!$H141="중복")</f>
        <v>0</v>
      </c>
      <c r="K143" s="5" t="str">
        <f aca="false">IF($J143=FALSE(),"",COUNTIF($J$6:$J143,TRUE()))</f>
        <v/>
      </c>
      <c r="L143" s="5" t="str">
        <f aca="false">IF($K143="","","R"&amp;$K143)</f>
        <v/>
      </c>
    </row>
    <row r="144" customFormat="false" ht="15" hidden="false" customHeight="true" outlineLevel="0" collapsed="false">
      <c r="A144" s="11" t="str">
        <f aca="false">IFERROR(INDEX(중복검사!$A$4:$A$6003,MATCH("R"&amp;139,중복목록!$L$6:$L$6005,0)),"")</f>
        <v/>
      </c>
      <c r="B144" s="12" t="str">
        <f aca="false">IF($A144="","",IFERROR(INDEX(중복검사!$B$4:$B$6003,MATCH("R"&amp;139,중복목록!$L$6:$L$6005,0)),""))</f>
        <v/>
      </c>
      <c r="C144" s="12" t="str">
        <f aca="false">IF($A144="","",IFERROR(INDEX(중복검사!$C$4:$C$6003,MATCH("R"&amp;139,중복목록!$L$6:$L$6005,0)),""))</f>
        <v/>
      </c>
      <c r="D144" s="12" t="str">
        <f aca="false">IF($A144="","",IFERROR(INDEX(중복검사!$D$4:$D$6003,MATCH("R"&amp;139,중복목록!$L$6:$L$6005,0)),""))</f>
        <v/>
      </c>
      <c r="E144" s="12" t="str">
        <f aca="false">IF($A144="","",IFERROR(IF(INDEX(원본명단!$E$3:$E$6002,MATCH("R"&amp;139,중복목록!$L$6:$L$6005,0))="","",INDEX(원본명단!$E$3:$E$6002,MATCH("R"&amp;139,중복목록!$L$6:$L$6005,0))),""))</f>
        <v/>
      </c>
      <c r="F144" s="11" t="str">
        <f aca="false">IF($A144="","",IFERROR(MAX(INDEX(중복검사!$E$4:$E$6003,MATCH("R"&amp;139,중복목록!$L$6:$L$6005,0)),INDEX(중복검사!$F$4:$F$6003,MATCH("R"&amp;139,중복목록!$L$6:$L$6005,0)),INDEX(중복검사!$G$4:$G$6003,MATCH("R"&amp;139,중복목록!$L$6:$L$6005,0))),""))</f>
        <v/>
      </c>
      <c r="G144" s="11" t="str">
        <f aca="false">IF($A144="","",IFERROR(INDEX(중복검사!$I$4:$I$6003,MATCH("R"&amp;139,중복목록!$L$6:$L$6005,0)),""))</f>
        <v/>
      </c>
      <c r="H144" s="11" t="str">
        <f aca="false">IF($A144="","",IFERROR(INDEX(중복검사!$J$4:$J$6003,MATCH("R"&amp;139,중복목록!$L$6:$L$6005,0)),""))</f>
        <v/>
      </c>
      <c r="J144" s="14" t="b">
        <f aca="false">IF(중복검사!$A142="",FALSE(),중복검사!$H142="중복")</f>
        <v>0</v>
      </c>
      <c r="K144" s="5" t="str">
        <f aca="false">IF($J144=FALSE(),"",COUNTIF($J$6:$J144,TRUE()))</f>
        <v/>
      </c>
      <c r="L144" s="5" t="str">
        <f aca="false">IF($K144="","","R"&amp;$K144)</f>
        <v/>
      </c>
    </row>
    <row r="145" customFormat="false" ht="15" hidden="false" customHeight="true" outlineLevel="0" collapsed="false">
      <c r="A145" s="11" t="str">
        <f aca="false">IFERROR(INDEX(중복검사!$A$4:$A$6003,MATCH("R"&amp;140,중복목록!$L$6:$L$6005,0)),"")</f>
        <v/>
      </c>
      <c r="B145" s="12" t="str">
        <f aca="false">IF($A145="","",IFERROR(INDEX(중복검사!$B$4:$B$6003,MATCH("R"&amp;140,중복목록!$L$6:$L$6005,0)),""))</f>
        <v/>
      </c>
      <c r="C145" s="12" t="str">
        <f aca="false">IF($A145="","",IFERROR(INDEX(중복검사!$C$4:$C$6003,MATCH("R"&amp;140,중복목록!$L$6:$L$6005,0)),""))</f>
        <v/>
      </c>
      <c r="D145" s="12" t="str">
        <f aca="false">IF($A145="","",IFERROR(INDEX(중복검사!$D$4:$D$6003,MATCH("R"&amp;140,중복목록!$L$6:$L$6005,0)),""))</f>
        <v/>
      </c>
      <c r="E145" s="12" t="str">
        <f aca="false">IF($A145="","",IFERROR(IF(INDEX(원본명단!$E$3:$E$6002,MATCH("R"&amp;140,중복목록!$L$6:$L$6005,0))="","",INDEX(원본명단!$E$3:$E$6002,MATCH("R"&amp;140,중복목록!$L$6:$L$6005,0))),""))</f>
        <v/>
      </c>
      <c r="F145" s="11" t="str">
        <f aca="false">IF($A145="","",IFERROR(MAX(INDEX(중복검사!$E$4:$E$6003,MATCH("R"&amp;140,중복목록!$L$6:$L$6005,0)),INDEX(중복검사!$F$4:$F$6003,MATCH("R"&amp;140,중복목록!$L$6:$L$6005,0)),INDEX(중복검사!$G$4:$G$6003,MATCH("R"&amp;140,중복목록!$L$6:$L$6005,0))),""))</f>
        <v/>
      </c>
      <c r="G145" s="11" t="str">
        <f aca="false">IF($A145="","",IFERROR(INDEX(중복검사!$I$4:$I$6003,MATCH("R"&amp;140,중복목록!$L$6:$L$6005,0)),""))</f>
        <v/>
      </c>
      <c r="H145" s="11" t="str">
        <f aca="false">IF($A145="","",IFERROR(INDEX(중복검사!$J$4:$J$6003,MATCH("R"&amp;140,중복목록!$L$6:$L$6005,0)),""))</f>
        <v/>
      </c>
      <c r="J145" s="14" t="b">
        <f aca="false">IF(중복검사!$A143="",FALSE(),중복검사!$H143="중복")</f>
        <v>0</v>
      </c>
      <c r="K145" s="5" t="str">
        <f aca="false">IF($J145=FALSE(),"",COUNTIF($J$6:$J145,TRUE()))</f>
        <v/>
      </c>
      <c r="L145" s="5" t="str">
        <f aca="false">IF($K145="","","R"&amp;$K145)</f>
        <v/>
      </c>
    </row>
    <row r="146" customFormat="false" ht="15" hidden="false" customHeight="true" outlineLevel="0" collapsed="false">
      <c r="A146" s="11" t="str">
        <f aca="false">IFERROR(INDEX(중복검사!$A$4:$A$6003,MATCH("R"&amp;141,중복목록!$L$6:$L$6005,0)),"")</f>
        <v/>
      </c>
      <c r="B146" s="12" t="str">
        <f aca="false">IF($A146="","",IFERROR(INDEX(중복검사!$B$4:$B$6003,MATCH("R"&amp;141,중복목록!$L$6:$L$6005,0)),""))</f>
        <v/>
      </c>
      <c r="C146" s="12" t="str">
        <f aca="false">IF($A146="","",IFERROR(INDEX(중복검사!$C$4:$C$6003,MATCH("R"&amp;141,중복목록!$L$6:$L$6005,0)),""))</f>
        <v/>
      </c>
      <c r="D146" s="12" t="str">
        <f aca="false">IF($A146="","",IFERROR(INDEX(중복검사!$D$4:$D$6003,MATCH("R"&amp;141,중복목록!$L$6:$L$6005,0)),""))</f>
        <v/>
      </c>
      <c r="E146" s="12" t="str">
        <f aca="false">IF($A146="","",IFERROR(IF(INDEX(원본명단!$E$3:$E$6002,MATCH("R"&amp;141,중복목록!$L$6:$L$6005,0))="","",INDEX(원본명단!$E$3:$E$6002,MATCH("R"&amp;141,중복목록!$L$6:$L$6005,0))),""))</f>
        <v/>
      </c>
      <c r="F146" s="11" t="str">
        <f aca="false">IF($A146="","",IFERROR(MAX(INDEX(중복검사!$E$4:$E$6003,MATCH("R"&amp;141,중복목록!$L$6:$L$6005,0)),INDEX(중복검사!$F$4:$F$6003,MATCH("R"&amp;141,중복목록!$L$6:$L$6005,0)),INDEX(중복검사!$G$4:$G$6003,MATCH("R"&amp;141,중복목록!$L$6:$L$6005,0))),""))</f>
        <v/>
      </c>
      <c r="G146" s="11" t="str">
        <f aca="false">IF($A146="","",IFERROR(INDEX(중복검사!$I$4:$I$6003,MATCH("R"&amp;141,중복목록!$L$6:$L$6005,0)),""))</f>
        <v/>
      </c>
      <c r="H146" s="11" t="str">
        <f aca="false">IF($A146="","",IFERROR(INDEX(중복검사!$J$4:$J$6003,MATCH("R"&amp;141,중복목록!$L$6:$L$6005,0)),""))</f>
        <v/>
      </c>
      <c r="J146" s="14" t="b">
        <f aca="false">IF(중복검사!$A144="",FALSE(),중복검사!$H144="중복")</f>
        <v>0</v>
      </c>
      <c r="K146" s="5" t="str">
        <f aca="false">IF($J146=FALSE(),"",COUNTIF($J$6:$J146,TRUE()))</f>
        <v/>
      </c>
      <c r="L146" s="5" t="str">
        <f aca="false">IF($K146="","","R"&amp;$K146)</f>
        <v/>
      </c>
    </row>
    <row r="147" customFormat="false" ht="15" hidden="false" customHeight="true" outlineLevel="0" collapsed="false">
      <c r="A147" s="11" t="str">
        <f aca="false">IFERROR(INDEX(중복검사!$A$4:$A$6003,MATCH("R"&amp;142,중복목록!$L$6:$L$6005,0)),"")</f>
        <v/>
      </c>
      <c r="B147" s="12" t="str">
        <f aca="false">IF($A147="","",IFERROR(INDEX(중복검사!$B$4:$B$6003,MATCH("R"&amp;142,중복목록!$L$6:$L$6005,0)),""))</f>
        <v/>
      </c>
      <c r="C147" s="12" t="str">
        <f aca="false">IF($A147="","",IFERROR(INDEX(중복검사!$C$4:$C$6003,MATCH("R"&amp;142,중복목록!$L$6:$L$6005,0)),""))</f>
        <v/>
      </c>
      <c r="D147" s="12" t="str">
        <f aca="false">IF($A147="","",IFERROR(INDEX(중복검사!$D$4:$D$6003,MATCH("R"&amp;142,중복목록!$L$6:$L$6005,0)),""))</f>
        <v/>
      </c>
      <c r="E147" s="12" t="str">
        <f aca="false">IF($A147="","",IFERROR(IF(INDEX(원본명단!$E$3:$E$6002,MATCH("R"&amp;142,중복목록!$L$6:$L$6005,0))="","",INDEX(원본명단!$E$3:$E$6002,MATCH("R"&amp;142,중복목록!$L$6:$L$6005,0))),""))</f>
        <v/>
      </c>
      <c r="F147" s="11" t="str">
        <f aca="false">IF($A147="","",IFERROR(MAX(INDEX(중복검사!$E$4:$E$6003,MATCH("R"&amp;142,중복목록!$L$6:$L$6005,0)),INDEX(중복검사!$F$4:$F$6003,MATCH("R"&amp;142,중복목록!$L$6:$L$6005,0)),INDEX(중복검사!$G$4:$G$6003,MATCH("R"&amp;142,중복목록!$L$6:$L$6005,0))),""))</f>
        <v/>
      </c>
      <c r="G147" s="11" t="str">
        <f aca="false">IF($A147="","",IFERROR(INDEX(중복검사!$I$4:$I$6003,MATCH("R"&amp;142,중복목록!$L$6:$L$6005,0)),""))</f>
        <v/>
      </c>
      <c r="H147" s="11" t="str">
        <f aca="false">IF($A147="","",IFERROR(INDEX(중복검사!$J$4:$J$6003,MATCH("R"&amp;142,중복목록!$L$6:$L$6005,0)),""))</f>
        <v/>
      </c>
      <c r="J147" s="14" t="b">
        <f aca="false">IF(중복검사!$A145="",FALSE(),중복검사!$H145="중복")</f>
        <v>0</v>
      </c>
      <c r="K147" s="5" t="str">
        <f aca="false">IF($J147=FALSE(),"",COUNTIF($J$6:$J147,TRUE()))</f>
        <v/>
      </c>
      <c r="L147" s="5" t="str">
        <f aca="false">IF($K147="","","R"&amp;$K147)</f>
        <v/>
      </c>
    </row>
    <row r="148" customFormat="false" ht="15" hidden="false" customHeight="true" outlineLevel="0" collapsed="false">
      <c r="A148" s="11" t="str">
        <f aca="false">IFERROR(INDEX(중복검사!$A$4:$A$6003,MATCH("R"&amp;143,중복목록!$L$6:$L$6005,0)),"")</f>
        <v/>
      </c>
      <c r="B148" s="12" t="str">
        <f aca="false">IF($A148="","",IFERROR(INDEX(중복검사!$B$4:$B$6003,MATCH("R"&amp;143,중복목록!$L$6:$L$6005,0)),""))</f>
        <v/>
      </c>
      <c r="C148" s="12" t="str">
        <f aca="false">IF($A148="","",IFERROR(INDEX(중복검사!$C$4:$C$6003,MATCH("R"&amp;143,중복목록!$L$6:$L$6005,0)),""))</f>
        <v/>
      </c>
      <c r="D148" s="12" t="str">
        <f aca="false">IF($A148="","",IFERROR(INDEX(중복검사!$D$4:$D$6003,MATCH("R"&amp;143,중복목록!$L$6:$L$6005,0)),""))</f>
        <v/>
      </c>
      <c r="E148" s="12" t="str">
        <f aca="false">IF($A148="","",IFERROR(IF(INDEX(원본명단!$E$3:$E$6002,MATCH("R"&amp;143,중복목록!$L$6:$L$6005,0))="","",INDEX(원본명단!$E$3:$E$6002,MATCH("R"&amp;143,중복목록!$L$6:$L$6005,0))),""))</f>
        <v/>
      </c>
      <c r="F148" s="11" t="str">
        <f aca="false">IF($A148="","",IFERROR(MAX(INDEX(중복검사!$E$4:$E$6003,MATCH("R"&amp;143,중복목록!$L$6:$L$6005,0)),INDEX(중복검사!$F$4:$F$6003,MATCH("R"&amp;143,중복목록!$L$6:$L$6005,0)),INDEX(중복검사!$G$4:$G$6003,MATCH("R"&amp;143,중복목록!$L$6:$L$6005,0))),""))</f>
        <v/>
      </c>
      <c r="G148" s="11" t="str">
        <f aca="false">IF($A148="","",IFERROR(INDEX(중복검사!$I$4:$I$6003,MATCH("R"&amp;143,중복목록!$L$6:$L$6005,0)),""))</f>
        <v/>
      </c>
      <c r="H148" s="11" t="str">
        <f aca="false">IF($A148="","",IFERROR(INDEX(중복검사!$J$4:$J$6003,MATCH("R"&amp;143,중복목록!$L$6:$L$6005,0)),""))</f>
        <v/>
      </c>
      <c r="J148" s="14" t="b">
        <f aca="false">IF(중복검사!$A146="",FALSE(),중복검사!$H146="중복")</f>
        <v>0</v>
      </c>
      <c r="K148" s="5" t="str">
        <f aca="false">IF($J148=FALSE(),"",COUNTIF($J$6:$J148,TRUE()))</f>
        <v/>
      </c>
      <c r="L148" s="5" t="str">
        <f aca="false">IF($K148="","","R"&amp;$K148)</f>
        <v/>
      </c>
    </row>
    <row r="149" customFormat="false" ht="15" hidden="false" customHeight="true" outlineLevel="0" collapsed="false">
      <c r="A149" s="11" t="str">
        <f aca="false">IFERROR(INDEX(중복검사!$A$4:$A$6003,MATCH("R"&amp;144,중복목록!$L$6:$L$6005,0)),"")</f>
        <v/>
      </c>
      <c r="B149" s="12" t="str">
        <f aca="false">IF($A149="","",IFERROR(INDEX(중복검사!$B$4:$B$6003,MATCH("R"&amp;144,중복목록!$L$6:$L$6005,0)),""))</f>
        <v/>
      </c>
      <c r="C149" s="12" t="str">
        <f aca="false">IF($A149="","",IFERROR(INDEX(중복검사!$C$4:$C$6003,MATCH("R"&amp;144,중복목록!$L$6:$L$6005,0)),""))</f>
        <v/>
      </c>
      <c r="D149" s="12" t="str">
        <f aca="false">IF($A149="","",IFERROR(INDEX(중복검사!$D$4:$D$6003,MATCH("R"&amp;144,중복목록!$L$6:$L$6005,0)),""))</f>
        <v/>
      </c>
      <c r="E149" s="12" t="str">
        <f aca="false">IF($A149="","",IFERROR(IF(INDEX(원본명단!$E$3:$E$6002,MATCH("R"&amp;144,중복목록!$L$6:$L$6005,0))="","",INDEX(원본명단!$E$3:$E$6002,MATCH("R"&amp;144,중복목록!$L$6:$L$6005,0))),""))</f>
        <v/>
      </c>
      <c r="F149" s="11" t="str">
        <f aca="false">IF($A149="","",IFERROR(MAX(INDEX(중복검사!$E$4:$E$6003,MATCH("R"&amp;144,중복목록!$L$6:$L$6005,0)),INDEX(중복검사!$F$4:$F$6003,MATCH("R"&amp;144,중복목록!$L$6:$L$6005,0)),INDEX(중복검사!$G$4:$G$6003,MATCH("R"&amp;144,중복목록!$L$6:$L$6005,0))),""))</f>
        <v/>
      </c>
      <c r="G149" s="11" t="str">
        <f aca="false">IF($A149="","",IFERROR(INDEX(중복검사!$I$4:$I$6003,MATCH("R"&amp;144,중복목록!$L$6:$L$6005,0)),""))</f>
        <v/>
      </c>
      <c r="H149" s="11" t="str">
        <f aca="false">IF($A149="","",IFERROR(INDEX(중복검사!$J$4:$J$6003,MATCH("R"&amp;144,중복목록!$L$6:$L$6005,0)),""))</f>
        <v/>
      </c>
      <c r="J149" s="14" t="b">
        <f aca="false">IF(중복검사!$A147="",FALSE(),중복검사!$H147="중복")</f>
        <v>0</v>
      </c>
      <c r="K149" s="5" t="str">
        <f aca="false">IF($J149=FALSE(),"",COUNTIF($J$6:$J149,TRUE()))</f>
        <v/>
      </c>
      <c r="L149" s="5" t="str">
        <f aca="false">IF($K149="","","R"&amp;$K149)</f>
        <v/>
      </c>
    </row>
    <row r="150" customFormat="false" ht="15" hidden="false" customHeight="true" outlineLevel="0" collapsed="false">
      <c r="A150" s="11" t="str">
        <f aca="false">IFERROR(INDEX(중복검사!$A$4:$A$6003,MATCH("R"&amp;145,중복목록!$L$6:$L$6005,0)),"")</f>
        <v/>
      </c>
      <c r="B150" s="12" t="str">
        <f aca="false">IF($A150="","",IFERROR(INDEX(중복검사!$B$4:$B$6003,MATCH("R"&amp;145,중복목록!$L$6:$L$6005,0)),""))</f>
        <v/>
      </c>
      <c r="C150" s="12" t="str">
        <f aca="false">IF($A150="","",IFERROR(INDEX(중복검사!$C$4:$C$6003,MATCH("R"&amp;145,중복목록!$L$6:$L$6005,0)),""))</f>
        <v/>
      </c>
      <c r="D150" s="12" t="str">
        <f aca="false">IF($A150="","",IFERROR(INDEX(중복검사!$D$4:$D$6003,MATCH("R"&amp;145,중복목록!$L$6:$L$6005,0)),""))</f>
        <v/>
      </c>
      <c r="E150" s="12" t="str">
        <f aca="false">IF($A150="","",IFERROR(IF(INDEX(원본명단!$E$3:$E$6002,MATCH("R"&amp;145,중복목록!$L$6:$L$6005,0))="","",INDEX(원본명단!$E$3:$E$6002,MATCH("R"&amp;145,중복목록!$L$6:$L$6005,0))),""))</f>
        <v/>
      </c>
      <c r="F150" s="11" t="str">
        <f aca="false">IF($A150="","",IFERROR(MAX(INDEX(중복검사!$E$4:$E$6003,MATCH("R"&amp;145,중복목록!$L$6:$L$6005,0)),INDEX(중복검사!$F$4:$F$6003,MATCH("R"&amp;145,중복목록!$L$6:$L$6005,0)),INDEX(중복검사!$G$4:$G$6003,MATCH("R"&amp;145,중복목록!$L$6:$L$6005,0))),""))</f>
        <v/>
      </c>
      <c r="G150" s="11" t="str">
        <f aca="false">IF($A150="","",IFERROR(INDEX(중복검사!$I$4:$I$6003,MATCH("R"&amp;145,중복목록!$L$6:$L$6005,0)),""))</f>
        <v/>
      </c>
      <c r="H150" s="11" t="str">
        <f aca="false">IF($A150="","",IFERROR(INDEX(중복검사!$J$4:$J$6003,MATCH("R"&amp;145,중복목록!$L$6:$L$6005,0)),""))</f>
        <v/>
      </c>
      <c r="J150" s="14" t="b">
        <f aca="false">IF(중복검사!$A148="",FALSE(),중복검사!$H148="중복")</f>
        <v>0</v>
      </c>
      <c r="K150" s="5" t="str">
        <f aca="false">IF($J150=FALSE(),"",COUNTIF($J$6:$J150,TRUE()))</f>
        <v/>
      </c>
      <c r="L150" s="5" t="str">
        <f aca="false">IF($K150="","","R"&amp;$K150)</f>
        <v/>
      </c>
    </row>
    <row r="151" customFormat="false" ht="15" hidden="false" customHeight="true" outlineLevel="0" collapsed="false">
      <c r="A151" s="11" t="str">
        <f aca="false">IFERROR(INDEX(중복검사!$A$4:$A$6003,MATCH("R"&amp;146,중복목록!$L$6:$L$6005,0)),"")</f>
        <v/>
      </c>
      <c r="B151" s="12" t="str">
        <f aca="false">IF($A151="","",IFERROR(INDEX(중복검사!$B$4:$B$6003,MATCH("R"&amp;146,중복목록!$L$6:$L$6005,0)),""))</f>
        <v/>
      </c>
      <c r="C151" s="12" t="str">
        <f aca="false">IF($A151="","",IFERROR(INDEX(중복검사!$C$4:$C$6003,MATCH("R"&amp;146,중복목록!$L$6:$L$6005,0)),""))</f>
        <v/>
      </c>
      <c r="D151" s="12" t="str">
        <f aca="false">IF($A151="","",IFERROR(INDEX(중복검사!$D$4:$D$6003,MATCH("R"&amp;146,중복목록!$L$6:$L$6005,0)),""))</f>
        <v/>
      </c>
      <c r="E151" s="12" t="str">
        <f aca="false">IF($A151="","",IFERROR(IF(INDEX(원본명단!$E$3:$E$6002,MATCH("R"&amp;146,중복목록!$L$6:$L$6005,0))="","",INDEX(원본명단!$E$3:$E$6002,MATCH("R"&amp;146,중복목록!$L$6:$L$6005,0))),""))</f>
        <v/>
      </c>
      <c r="F151" s="11" t="str">
        <f aca="false">IF($A151="","",IFERROR(MAX(INDEX(중복검사!$E$4:$E$6003,MATCH("R"&amp;146,중복목록!$L$6:$L$6005,0)),INDEX(중복검사!$F$4:$F$6003,MATCH("R"&amp;146,중복목록!$L$6:$L$6005,0)),INDEX(중복검사!$G$4:$G$6003,MATCH("R"&amp;146,중복목록!$L$6:$L$6005,0))),""))</f>
        <v/>
      </c>
      <c r="G151" s="11" t="str">
        <f aca="false">IF($A151="","",IFERROR(INDEX(중복검사!$I$4:$I$6003,MATCH("R"&amp;146,중복목록!$L$6:$L$6005,0)),""))</f>
        <v/>
      </c>
      <c r="H151" s="11" t="str">
        <f aca="false">IF($A151="","",IFERROR(INDEX(중복검사!$J$4:$J$6003,MATCH("R"&amp;146,중복목록!$L$6:$L$6005,0)),""))</f>
        <v/>
      </c>
      <c r="J151" s="14" t="b">
        <f aca="false">IF(중복검사!$A149="",FALSE(),중복검사!$H149="중복")</f>
        <v>0</v>
      </c>
      <c r="K151" s="5" t="str">
        <f aca="false">IF($J151=FALSE(),"",COUNTIF($J$6:$J151,TRUE()))</f>
        <v/>
      </c>
      <c r="L151" s="5" t="str">
        <f aca="false">IF($K151="","","R"&amp;$K151)</f>
        <v/>
      </c>
    </row>
    <row r="152" customFormat="false" ht="15" hidden="false" customHeight="true" outlineLevel="0" collapsed="false">
      <c r="A152" s="11" t="str">
        <f aca="false">IFERROR(INDEX(중복검사!$A$4:$A$6003,MATCH("R"&amp;147,중복목록!$L$6:$L$6005,0)),"")</f>
        <v/>
      </c>
      <c r="B152" s="12" t="str">
        <f aca="false">IF($A152="","",IFERROR(INDEX(중복검사!$B$4:$B$6003,MATCH("R"&amp;147,중복목록!$L$6:$L$6005,0)),""))</f>
        <v/>
      </c>
      <c r="C152" s="12" t="str">
        <f aca="false">IF($A152="","",IFERROR(INDEX(중복검사!$C$4:$C$6003,MATCH("R"&amp;147,중복목록!$L$6:$L$6005,0)),""))</f>
        <v/>
      </c>
      <c r="D152" s="12" t="str">
        <f aca="false">IF($A152="","",IFERROR(INDEX(중복검사!$D$4:$D$6003,MATCH("R"&amp;147,중복목록!$L$6:$L$6005,0)),""))</f>
        <v/>
      </c>
      <c r="E152" s="12" t="str">
        <f aca="false">IF($A152="","",IFERROR(IF(INDEX(원본명단!$E$3:$E$6002,MATCH("R"&amp;147,중복목록!$L$6:$L$6005,0))="","",INDEX(원본명단!$E$3:$E$6002,MATCH("R"&amp;147,중복목록!$L$6:$L$6005,0))),""))</f>
        <v/>
      </c>
      <c r="F152" s="11" t="str">
        <f aca="false">IF($A152="","",IFERROR(MAX(INDEX(중복검사!$E$4:$E$6003,MATCH("R"&amp;147,중복목록!$L$6:$L$6005,0)),INDEX(중복검사!$F$4:$F$6003,MATCH("R"&amp;147,중복목록!$L$6:$L$6005,0)),INDEX(중복검사!$G$4:$G$6003,MATCH("R"&amp;147,중복목록!$L$6:$L$6005,0))),""))</f>
        <v/>
      </c>
      <c r="G152" s="11" t="str">
        <f aca="false">IF($A152="","",IFERROR(INDEX(중복검사!$I$4:$I$6003,MATCH("R"&amp;147,중복목록!$L$6:$L$6005,0)),""))</f>
        <v/>
      </c>
      <c r="H152" s="11" t="str">
        <f aca="false">IF($A152="","",IFERROR(INDEX(중복검사!$J$4:$J$6003,MATCH("R"&amp;147,중복목록!$L$6:$L$6005,0)),""))</f>
        <v/>
      </c>
      <c r="J152" s="14" t="b">
        <f aca="false">IF(중복검사!$A150="",FALSE(),중복검사!$H150="중복")</f>
        <v>0</v>
      </c>
      <c r="K152" s="5" t="str">
        <f aca="false">IF($J152=FALSE(),"",COUNTIF($J$6:$J152,TRUE()))</f>
        <v/>
      </c>
      <c r="L152" s="5" t="str">
        <f aca="false">IF($K152="","","R"&amp;$K152)</f>
        <v/>
      </c>
    </row>
    <row r="153" customFormat="false" ht="15" hidden="false" customHeight="true" outlineLevel="0" collapsed="false">
      <c r="A153" s="11" t="str">
        <f aca="false">IFERROR(INDEX(중복검사!$A$4:$A$6003,MATCH("R"&amp;148,중복목록!$L$6:$L$6005,0)),"")</f>
        <v/>
      </c>
      <c r="B153" s="12" t="str">
        <f aca="false">IF($A153="","",IFERROR(INDEX(중복검사!$B$4:$B$6003,MATCH("R"&amp;148,중복목록!$L$6:$L$6005,0)),""))</f>
        <v/>
      </c>
      <c r="C153" s="12" t="str">
        <f aca="false">IF($A153="","",IFERROR(INDEX(중복검사!$C$4:$C$6003,MATCH("R"&amp;148,중복목록!$L$6:$L$6005,0)),""))</f>
        <v/>
      </c>
      <c r="D153" s="12" t="str">
        <f aca="false">IF($A153="","",IFERROR(INDEX(중복검사!$D$4:$D$6003,MATCH("R"&amp;148,중복목록!$L$6:$L$6005,0)),""))</f>
        <v/>
      </c>
      <c r="E153" s="12" t="str">
        <f aca="false">IF($A153="","",IFERROR(IF(INDEX(원본명단!$E$3:$E$6002,MATCH("R"&amp;148,중복목록!$L$6:$L$6005,0))="","",INDEX(원본명단!$E$3:$E$6002,MATCH("R"&amp;148,중복목록!$L$6:$L$6005,0))),""))</f>
        <v/>
      </c>
      <c r="F153" s="11" t="str">
        <f aca="false">IF($A153="","",IFERROR(MAX(INDEX(중복검사!$E$4:$E$6003,MATCH("R"&amp;148,중복목록!$L$6:$L$6005,0)),INDEX(중복검사!$F$4:$F$6003,MATCH("R"&amp;148,중복목록!$L$6:$L$6005,0)),INDEX(중복검사!$G$4:$G$6003,MATCH("R"&amp;148,중복목록!$L$6:$L$6005,0))),""))</f>
        <v/>
      </c>
      <c r="G153" s="11" t="str">
        <f aca="false">IF($A153="","",IFERROR(INDEX(중복검사!$I$4:$I$6003,MATCH("R"&amp;148,중복목록!$L$6:$L$6005,0)),""))</f>
        <v/>
      </c>
      <c r="H153" s="11" t="str">
        <f aca="false">IF($A153="","",IFERROR(INDEX(중복검사!$J$4:$J$6003,MATCH("R"&amp;148,중복목록!$L$6:$L$6005,0)),""))</f>
        <v/>
      </c>
      <c r="J153" s="14" t="b">
        <f aca="false">IF(중복검사!$A151="",FALSE(),중복검사!$H151="중복")</f>
        <v>0</v>
      </c>
      <c r="K153" s="5" t="str">
        <f aca="false">IF($J153=FALSE(),"",COUNTIF($J$6:$J153,TRUE()))</f>
        <v/>
      </c>
      <c r="L153" s="5" t="str">
        <f aca="false">IF($K153="","","R"&amp;$K153)</f>
        <v/>
      </c>
    </row>
    <row r="154" customFormat="false" ht="15" hidden="false" customHeight="true" outlineLevel="0" collapsed="false">
      <c r="A154" s="11" t="str">
        <f aca="false">IFERROR(INDEX(중복검사!$A$4:$A$6003,MATCH("R"&amp;149,중복목록!$L$6:$L$6005,0)),"")</f>
        <v/>
      </c>
      <c r="B154" s="12" t="str">
        <f aca="false">IF($A154="","",IFERROR(INDEX(중복검사!$B$4:$B$6003,MATCH("R"&amp;149,중복목록!$L$6:$L$6005,0)),""))</f>
        <v/>
      </c>
      <c r="C154" s="12" t="str">
        <f aca="false">IF($A154="","",IFERROR(INDEX(중복검사!$C$4:$C$6003,MATCH("R"&amp;149,중복목록!$L$6:$L$6005,0)),""))</f>
        <v/>
      </c>
      <c r="D154" s="12" t="str">
        <f aca="false">IF($A154="","",IFERROR(INDEX(중복검사!$D$4:$D$6003,MATCH("R"&amp;149,중복목록!$L$6:$L$6005,0)),""))</f>
        <v/>
      </c>
      <c r="E154" s="12" t="str">
        <f aca="false">IF($A154="","",IFERROR(IF(INDEX(원본명단!$E$3:$E$6002,MATCH("R"&amp;149,중복목록!$L$6:$L$6005,0))="","",INDEX(원본명단!$E$3:$E$6002,MATCH("R"&amp;149,중복목록!$L$6:$L$6005,0))),""))</f>
        <v/>
      </c>
      <c r="F154" s="11" t="str">
        <f aca="false">IF($A154="","",IFERROR(MAX(INDEX(중복검사!$E$4:$E$6003,MATCH("R"&amp;149,중복목록!$L$6:$L$6005,0)),INDEX(중복검사!$F$4:$F$6003,MATCH("R"&amp;149,중복목록!$L$6:$L$6005,0)),INDEX(중복검사!$G$4:$G$6003,MATCH("R"&amp;149,중복목록!$L$6:$L$6005,0))),""))</f>
        <v/>
      </c>
      <c r="G154" s="11" t="str">
        <f aca="false">IF($A154="","",IFERROR(INDEX(중복검사!$I$4:$I$6003,MATCH("R"&amp;149,중복목록!$L$6:$L$6005,0)),""))</f>
        <v/>
      </c>
      <c r="H154" s="11" t="str">
        <f aca="false">IF($A154="","",IFERROR(INDEX(중복검사!$J$4:$J$6003,MATCH("R"&amp;149,중복목록!$L$6:$L$6005,0)),""))</f>
        <v/>
      </c>
      <c r="J154" s="14" t="b">
        <f aca="false">IF(중복검사!$A152="",FALSE(),중복검사!$H152="중복")</f>
        <v>0</v>
      </c>
      <c r="K154" s="5" t="str">
        <f aca="false">IF($J154=FALSE(),"",COUNTIF($J$6:$J154,TRUE()))</f>
        <v/>
      </c>
      <c r="L154" s="5" t="str">
        <f aca="false">IF($K154="","","R"&amp;$K154)</f>
        <v/>
      </c>
    </row>
    <row r="155" customFormat="false" ht="15" hidden="false" customHeight="true" outlineLevel="0" collapsed="false">
      <c r="A155" s="11" t="str">
        <f aca="false">IFERROR(INDEX(중복검사!$A$4:$A$6003,MATCH("R"&amp;150,중복목록!$L$6:$L$6005,0)),"")</f>
        <v/>
      </c>
      <c r="B155" s="12" t="str">
        <f aca="false">IF($A155="","",IFERROR(INDEX(중복검사!$B$4:$B$6003,MATCH("R"&amp;150,중복목록!$L$6:$L$6005,0)),""))</f>
        <v/>
      </c>
      <c r="C155" s="12" t="str">
        <f aca="false">IF($A155="","",IFERROR(INDEX(중복검사!$C$4:$C$6003,MATCH("R"&amp;150,중복목록!$L$6:$L$6005,0)),""))</f>
        <v/>
      </c>
      <c r="D155" s="12" t="str">
        <f aca="false">IF($A155="","",IFERROR(INDEX(중복검사!$D$4:$D$6003,MATCH("R"&amp;150,중복목록!$L$6:$L$6005,0)),""))</f>
        <v/>
      </c>
      <c r="E155" s="12" t="str">
        <f aca="false">IF($A155="","",IFERROR(IF(INDEX(원본명단!$E$3:$E$6002,MATCH("R"&amp;150,중복목록!$L$6:$L$6005,0))="","",INDEX(원본명단!$E$3:$E$6002,MATCH("R"&amp;150,중복목록!$L$6:$L$6005,0))),""))</f>
        <v/>
      </c>
      <c r="F155" s="11" t="str">
        <f aca="false">IF($A155="","",IFERROR(MAX(INDEX(중복검사!$E$4:$E$6003,MATCH("R"&amp;150,중복목록!$L$6:$L$6005,0)),INDEX(중복검사!$F$4:$F$6003,MATCH("R"&amp;150,중복목록!$L$6:$L$6005,0)),INDEX(중복검사!$G$4:$G$6003,MATCH("R"&amp;150,중복목록!$L$6:$L$6005,0))),""))</f>
        <v/>
      </c>
      <c r="G155" s="11" t="str">
        <f aca="false">IF($A155="","",IFERROR(INDEX(중복검사!$I$4:$I$6003,MATCH("R"&amp;150,중복목록!$L$6:$L$6005,0)),""))</f>
        <v/>
      </c>
      <c r="H155" s="11" t="str">
        <f aca="false">IF($A155="","",IFERROR(INDEX(중복검사!$J$4:$J$6003,MATCH("R"&amp;150,중복목록!$L$6:$L$6005,0)),""))</f>
        <v/>
      </c>
      <c r="J155" s="14" t="b">
        <f aca="false">IF(중복검사!$A153="",FALSE(),중복검사!$H153="중복")</f>
        <v>0</v>
      </c>
      <c r="K155" s="5" t="str">
        <f aca="false">IF($J155=FALSE(),"",COUNTIF($J$6:$J155,TRUE()))</f>
        <v/>
      </c>
      <c r="L155" s="5" t="str">
        <f aca="false">IF($K155="","","R"&amp;$K155)</f>
        <v/>
      </c>
    </row>
    <row r="156" customFormat="false" ht="15" hidden="false" customHeight="true" outlineLevel="0" collapsed="false">
      <c r="A156" s="11" t="str">
        <f aca="false">IFERROR(INDEX(중복검사!$A$4:$A$6003,MATCH("R"&amp;151,중복목록!$L$6:$L$6005,0)),"")</f>
        <v/>
      </c>
      <c r="B156" s="12" t="str">
        <f aca="false">IF($A156="","",IFERROR(INDEX(중복검사!$B$4:$B$6003,MATCH("R"&amp;151,중복목록!$L$6:$L$6005,0)),""))</f>
        <v/>
      </c>
      <c r="C156" s="12" t="str">
        <f aca="false">IF($A156="","",IFERROR(INDEX(중복검사!$C$4:$C$6003,MATCH("R"&amp;151,중복목록!$L$6:$L$6005,0)),""))</f>
        <v/>
      </c>
      <c r="D156" s="12" t="str">
        <f aca="false">IF($A156="","",IFERROR(INDEX(중복검사!$D$4:$D$6003,MATCH("R"&amp;151,중복목록!$L$6:$L$6005,0)),""))</f>
        <v/>
      </c>
      <c r="E156" s="12" t="str">
        <f aca="false">IF($A156="","",IFERROR(IF(INDEX(원본명단!$E$3:$E$6002,MATCH("R"&amp;151,중복목록!$L$6:$L$6005,0))="","",INDEX(원본명단!$E$3:$E$6002,MATCH("R"&amp;151,중복목록!$L$6:$L$6005,0))),""))</f>
        <v/>
      </c>
      <c r="F156" s="11" t="str">
        <f aca="false">IF($A156="","",IFERROR(MAX(INDEX(중복검사!$E$4:$E$6003,MATCH("R"&amp;151,중복목록!$L$6:$L$6005,0)),INDEX(중복검사!$F$4:$F$6003,MATCH("R"&amp;151,중복목록!$L$6:$L$6005,0)),INDEX(중복검사!$G$4:$G$6003,MATCH("R"&amp;151,중복목록!$L$6:$L$6005,0))),""))</f>
        <v/>
      </c>
      <c r="G156" s="11" t="str">
        <f aca="false">IF($A156="","",IFERROR(INDEX(중복검사!$I$4:$I$6003,MATCH("R"&amp;151,중복목록!$L$6:$L$6005,0)),""))</f>
        <v/>
      </c>
      <c r="H156" s="11" t="str">
        <f aca="false">IF($A156="","",IFERROR(INDEX(중복검사!$J$4:$J$6003,MATCH("R"&amp;151,중복목록!$L$6:$L$6005,0)),""))</f>
        <v/>
      </c>
      <c r="J156" s="14" t="b">
        <f aca="false">IF(중복검사!$A154="",FALSE(),중복검사!$H154="중복")</f>
        <v>0</v>
      </c>
      <c r="K156" s="5" t="str">
        <f aca="false">IF($J156=FALSE(),"",COUNTIF($J$6:$J156,TRUE()))</f>
        <v/>
      </c>
      <c r="L156" s="5" t="str">
        <f aca="false">IF($K156="","","R"&amp;$K156)</f>
        <v/>
      </c>
    </row>
    <row r="157" customFormat="false" ht="15" hidden="false" customHeight="true" outlineLevel="0" collapsed="false">
      <c r="A157" s="11" t="str">
        <f aca="false">IFERROR(INDEX(중복검사!$A$4:$A$6003,MATCH("R"&amp;152,중복목록!$L$6:$L$6005,0)),"")</f>
        <v/>
      </c>
      <c r="B157" s="12" t="str">
        <f aca="false">IF($A157="","",IFERROR(INDEX(중복검사!$B$4:$B$6003,MATCH("R"&amp;152,중복목록!$L$6:$L$6005,0)),""))</f>
        <v/>
      </c>
      <c r="C157" s="12" t="str">
        <f aca="false">IF($A157="","",IFERROR(INDEX(중복검사!$C$4:$C$6003,MATCH("R"&amp;152,중복목록!$L$6:$L$6005,0)),""))</f>
        <v/>
      </c>
      <c r="D157" s="12" t="str">
        <f aca="false">IF($A157="","",IFERROR(INDEX(중복검사!$D$4:$D$6003,MATCH("R"&amp;152,중복목록!$L$6:$L$6005,0)),""))</f>
        <v/>
      </c>
      <c r="E157" s="12" t="str">
        <f aca="false">IF($A157="","",IFERROR(IF(INDEX(원본명단!$E$3:$E$6002,MATCH("R"&amp;152,중복목록!$L$6:$L$6005,0))="","",INDEX(원본명단!$E$3:$E$6002,MATCH("R"&amp;152,중복목록!$L$6:$L$6005,0))),""))</f>
        <v/>
      </c>
      <c r="F157" s="11" t="str">
        <f aca="false">IF($A157="","",IFERROR(MAX(INDEX(중복검사!$E$4:$E$6003,MATCH("R"&amp;152,중복목록!$L$6:$L$6005,0)),INDEX(중복검사!$F$4:$F$6003,MATCH("R"&amp;152,중복목록!$L$6:$L$6005,0)),INDEX(중복검사!$G$4:$G$6003,MATCH("R"&amp;152,중복목록!$L$6:$L$6005,0))),""))</f>
        <v/>
      </c>
      <c r="G157" s="11" t="str">
        <f aca="false">IF($A157="","",IFERROR(INDEX(중복검사!$I$4:$I$6003,MATCH("R"&amp;152,중복목록!$L$6:$L$6005,0)),""))</f>
        <v/>
      </c>
      <c r="H157" s="11" t="str">
        <f aca="false">IF($A157="","",IFERROR(INDEX(중복검사!$J$4:$J$6003,MATCH("R"&amp;152,중복목록!$L$6:$L$6005,0)),""))</f>
        <v/>
      </c>
      <c r="J157" s="14" t="b">
        <f aca="false">IF(중복검사!$A155="",FALSE(),중복검사!$H155="중복")</f>
        <v>0</v>
      </c>
      <c r="K157" s="5" t="str">
        <f aca="false">IF($J157=FALSE(),"",COUNTIF($J$6:$J157,TRUE()))</f>
        <v/>
      </c>
      <c r="L157" s="5" t="str">
        <f aca="false">IF($K157="","","R"&amp;$K157)</f>
        <v/>
      </c>
    </row>
    <row r="158" customFormat="false" ht="15" hidden="false" customHeight="true" outlineLevel="0" collapsed="false">
      <c r="A158" s="11" t="str">
        <f aca="false">IFERROR(INDEX(중복검사!$A$4:$A$6003,MATCH("R"&amp;153,중복목록!$L$6:$L$6005,0)),"")</f>
        <v/>
      </c>
      <c r="B158" s="12" t="str">
        <f aca="false">IF($A158="","",IFERROR(INDEX(중복검사!$B$4:$B$6003,MATCH("R"&amp;153,중복목록!$L$6:$L$6005,0)),""))</f>
        <v/>
      </c>
      <c r="C158" s="12" t="str">
        <f aca="false">IF($A158="","",IFERROR(INDEX(중복검사!$C$4:$C$6003,MATCH("R"&amp;153,중복목록!$L$6:$L$6005,0)),""))</f>
        <v/>
      </c>
      <c r="D158" s="12" t="str">
        <f aca="false">IF($A158="","",IFERROR(INDEX(중복검사!$D$4:$D$6003,MATCH("R"&amp;153,중복목록!$L$6:$L$6005,0)),""))</f>
        <v/>
      </c>
      <c r="E158" s="12" t="str">
        <f aca="false">IF($A158="","",IFERROR(IF(INDEX(원본명단!$E$3:$E$6002,MATCH("R"&amp;153,중복목록!$L$6:$L$6005,0))="","",INDEX(원본명단!$E$3:$E$6002,MATCH("R"&amp;153,중복목록!$L$6:$L$6005,0))),""))</f>
        <v/>
      </c>
      <c r="F158" s="11" t="str">
        <f aca="false">IF($A158="","",IFERROR(MAX(INDEX(중복검사!$E$4:$E$6003,MATCH("R"&amp;153,중복목록!$L$6:$L$6005,0)),INDEX(중복검사!$F$4:$F$6003,MATCH("R"&amp;153,중복목록!$L$6:$L$6005,0)),INDEX(중복검사!$G$4:$G$6003,MATCH("R"&amp;153,중복목록!$L$6:$L$6005,0))),""))</f>
        <v/>
      </c>
      <c r="G158" s="11" t="str">
        <f aca="false">IF($A158="","",IFERROR(INDEX(중복검사!$I$4:$I$6003,MATCH("R"&amp;153,중복목록!$L$6:$L$6005,0)),""))</f>
        <v/>
      </c>
      <c r="H158" s="11" t="str">
        <f aca="false">IF($A158="","",IFERROR(INDEX(중복검사!$J$4:$J$6003,MATCH("R"&amp;153,중복목록!$L$6:$L$6005,0)),""))</f>
        <v/>
      </c>
      <c r="J158" s="14" t="b">
        <f aca="false">IF(중복검사!$A156="",FALSE(),중복검사!$H156="중복")</f>
        <v>0</v>
      </c>
      <c r="K158" s="5" t="str">
        <f aca="false">IF($J158=FALSE(),"",COUNTIF($J$6:$J158,TRUE()))</f>
        <v/>
      </c>
      <c r="L158" s="5" t="str">
        <f aca="false">IF($K158="","","R"&amp;$K158)</f>
        <v/>
      </c>
    </row>
    <row r="159" customFormat="false" ht="15" hidden="false" customHeight="true" outlineLevel="0" collapsed="false">
      <c r="A159" s="11" t="str">
        <f aca="false">IFERROR(INDEX(중복검사!$A$4:$A$6003,MATCH("R"&amp;154,중복목록!$L$6:$L$6005,0)),"")</f>
        <v/>
      </c>
      <c r="B159" s="12" t="str">
        <f aca="false">IF($A159="","",IFERROR(INDEX(중복검사!$B$4:$B$6003,MATCH("R"&amp;154,중복목록!$L$6:$L$6005,0)),""))</f>
        <v/>
      </c>
      <c r="C159" s="12" t="str">
        <f aca="false">IF($A159="","",IFERROR(INDEX(중복검사!$C$4:$C$6003,MATCH("R"&amp;154,중복목록!$L$6:$L$6005,0)),""))</f>
        <v/>
      </c>
      <c r="D159" s="12" t="str">
        <f aca="false">IF($A159="","",IFERROR(INDEX(중복검사!$D$4:$D$6003,MATCH("R"&amp;154,중복목록!$L$6:$L$6005,0)),""))</f>
        <v/>
      </c>
      <c r="E159" s="12" t="str">
        <f aca="false">IF($A159="","",IFERROR(IF(INDEX(원본명단!$E$3:$E$6002,MATCH("R"&amp;154,중복목록!$L$6:$L$6005,0))="","",INDEX(원본명단!$E$3:$E$6002,MATCH("R"&amp;154,중복목록!$L$6:$L$6005,0))),""))</f>
        <v/>
      </c>
      <c r="F159" s="11" t="str">
        <f aca="false">IF($A159="","",IFERROR(MAX(INDEX(중복검사!$E$4:$E$6003,MATCH("R"&amp;154,중복목록!$L$6:$L$6005,0)),INDEX(중복검사!$F$4:$F$6003,MATCH("R"&amp;154,중복목록!$L$6:$L$6005,0)),INDEX(중복검사!$G$4:$G$6003,MATCH("R"&amp;154,중복목록!$L$6:$L$6005,0))),""))</f>
        <v/>
      </c>
      <c r="G159" s="11" t="str">
        <f aca="false">IF($A159="","",IFERROR(INDEX(중복검사!$I$4:$I$6003,MATCH("R"&amp;154,중복목록!$L$6:$L$6005,0)),""))</f>
        <v/>
      </c>
      <c r="H159" s="11" t="str">
        <f aca="false">IF($A159="","",IFERROR(INDEX(중복검사!$J$4:$J$6003,MATCH("R"&amp;154,중복목록!$L$6:$L$6005,0)),""))</f>
        <v/>
      </c>
      <c r="J159" s="14" t="b">
        <f aca="false">IF(중복검사!$A157="",FALSE(),중복검사!$H157="중복")</f>
        <v>0</v>
      </c>
      <c r="K159" s="5" t="str">
        <f aca="false">IF($J159=FALSE(),"",COUNTIF($J$6:$J159,TRUE()))</f>
        <v/>
      </c>
      <c r="L159" s="5" t="str">
        <f aca="false">IF($K159="","","R"&amp;$K159)</f>
        <v/>
      </c>
    </row>
    <row r="160" customFormat="false" ht="15" hidden="false" customHeight="true" outlineLevel="0" collapsed="false">
      <c r="A160" s="11" t="str">
        <f aca="false">IFERROR(INDEX(중복검사!$A$4:$A$6003,MATCH("R"&amp;155,중복목록!$L$6:$L$6005,0)),"")</f>
        <v/>
      </c>
      <c r="B160" s="12" t="str">
        <f aca="false">IF($A160="","",IFERROR(INDEX(중복검사!$B$4:$B$6003,MATCH("R"&amp;155,중복목록!$L$6:$L$6005,0)),""))</f>
        <v/>
      </c>
      <c r="C160" s="12" t="str">
        <f aca="false">IF($A160="","",IFERROR(INDEX(중복검사!$C$4:$C$6003,MATCH("R"&amp;155,중복목록!$L$6:$L$6005,0)),""))</f>
        <v/>
      </c>
      <c r="D160" s="12" t="str">
        <f aca="false">IF($A160="","",IFERROR(INDEX(중복검사!$D$4:$D$6003,MATCH("R"&amp;155,중복목록!$L$6:$L$6005,0)),""))</f>
        <v/>
      </c>
      <c r="E160" s="12" t="str">
        <f aca="false">IF($A160="","",IFERROR(IF(INDEX(원본명단!$E$3:$E$6002,MATCH("R"&amp;155,중복목록!$L$6:$L$6005,0))="","",INDEX(원본명단!$E$3:$E$6002,MATCH("R"&amp;155,중복목록!$L$6:$L$6005,0))),""))</f>
        <v/>
      </c>
      <c r="F160" s="11" t="str">
        <f aca="false">IF($A160="","",IFERROR(MAX(INDEX(중복검사!$E$4:$E$6003,MATCH("R"&amp;155,중복목록!$L$6:$L$6005,0)),INDEX(중복검사!$F$4:$F$6003,MATCH("R"&amp;155,중복목록!$L$6:$L$6005,0)),INDEX(중복검사!$G$4:$G$6003,MATCH("R"&amp;155,중복목록!$L$6:$L$6005,0))),""))</f>
        <v/>
      </c>
      <c r="G160" s="11" t="str">
        <f aca="false">IF($A160="","",IFERROR(INDEX(중복검사!$I$4:$I$6003,MATCH("R"&amp;155,중복목록!$L$6:$L$6005,0)),""))</f>
        <v/>
      </c>
      <c r="H160" s="11" t="str">
        <f aca="false">IF($A160="","",IFERROR(INDEX(중복검사!$J$4:$J$6003,MATCH("R"&amp;155,중복목록!$L$6:$L$6005,0)),""))</f>
        <v/>
      </c>
      <c r="J160" s="14" t="b">
        <f aca="false">IF(중복검사!$A158="",FALSE(),중복검사!$H158="중복")</f>
        <v>0</v>
      </c>
      <c r="K160" s="5" t="str">
        <f aca="false">IF($J160=FALSE(),"",COUNTIF($J$6:$J160,TRUE()))</f>
        <v/>
      </c>
      <c r="L160" s="5" t="str">
        <f aca="false">IF($K160="","","R"&amp;$K160)</f>
        <v/>
      </c>
    </row>
    <row r="161" customFormat="false" ht="15" hidden="false" customHeight="true" outlineLevel="0" collapsed="false">
      <c r="A161" s="11" t="str">
        <f aca="false">IFERROR(INDEX(중복검사!$A$4:$A$6003,MATCH("R"&amp;156,중복목록!$L$6:$L$6005,0)),"")</f>
        <v/>
      </c>
      <c r="B161" s="12" t="str">
        <f aca="false">IF($A161="","",IFERROR(INDEX(중복검사!$B$4:$B$6003,MATCH("R"&amp;156,중복목록!$L$6:$L$6005,0)),""))</f>
        <v/>
      </c>
      <c r="C161" s="12" t="str">
        <f aca="false">IF($A161="","",IFERROR(INDEX(중복검사!$C$4:$C$6003,MATCH("R"&amp;156,중복목록!$L$6:$L$6005,0)),""))</f>
        <v/>
      </c>
      <c r="D161" s="12" t="str">
        <f aca="false">IF($A161="","",IFERROR(INDEX(중복검사!$D$4:$D$6003,MATCH("R"&amp;156,중복목록!$L$6:$L$6005,0)),""))</f>
        <v/>
      </c>
      <c r="E161" s="12" t="str">
        <f aca="false">IF($A161="","",IFERROR(IF(INDEX(원본명단!$E$3:$E$6002,MATCH("R"&amp;156,중복목록!$L$6:$L$6005,0))="","",INDEX(원본명단!$E$3:$E$6002,MATCH("R"&amp;156,중복목록!$L$6:$L$6005,0))),""))</f>
        <v/>
      </c>
      <c r="F161" s="11" t="str">
        <f aca="false">IF($A161="","",IFERROR(MAX(INDEX(중복검사!$E$4:$E$6003,MATCH("R"&amp;156,중복목록!$L$6:$L$6005,0)),INDEX(중복검사!$F$4:$F$6003,MATCH("R"&amp;156,중복목록!$L$6:$L$6005,0)),INDEX(중복검사!$G$4:$G$6003,MATCH("R"&amp;156,중복목록!$L$6:$L$6005,0))),""))</f>
        <v/>
      </c>
      <c r="G161" s="11" t="str">
        <f aca="false">IF($A161="","",IFERROR(INDEX(중복검사!$I$4:$I$6003,MATCH("R"&amp;156,중복목록!$L$6:$L$6005,0)),""))</f>
        <v/>
      </c>
      <c r="H161" s="11" t="str">
        <f aca="false">IF($A161="","",IFERROR(INDEX(중복검사!$J$4:$J$6003,MATCH("R"&amp;156,중복목록!$L$6:$L$6005,0)),""))</f>
        <v/>
      </c>
      <c r="J161" s="14" t="b">
        <f aca="false">IF(중복검사!$A159="",FALSE(),중복검사!$H159="중복")</f>
        <v>0</v>
      </c>
      <c r="K161" s="5" t="str">
        <f aca="false">IF($J161=FALSE(),"",COUNTIF($J$6:$J161,TRUE()))</f>
        <v/>
      </c>
      <c r="L161" s="5" t="str">
        <f aca="false">IF($K161="","","R"&amp;$K161)</f>
        <v/>
      </c>
    </row>
    <row r="162" customFormat="false" ht="15" hidden="false" customHeight="true" outlineLevel="0" collapsed="false">
      <c r="A162" s="11" t="str">
        <f aca="false">IFERROR(INDEX(중복검사!$A$4:$A$6003,MATCH("R"&amp;157,중복목록!$L$6:$L$6005,0)),"")</f>
        <v/>
      </c>
      <c r="B162" s="12" t="str">
        <f aca="false">IF($A162="","",IFERROR(INDEX(중복검사!$B$4:$B$6003,MATCH("R"&amp;157,중복목록!$L$6:$L$6005,0)),""))</f>
        <v/>
      </c>
      <c r="C162" s="12" t="str">
        <f aca="false">IF($A162="","",IFERROR(INDEX(중복검사!$C$4:$C$6003,MATCH("R"&amp;157,중복목록!$L$6:$L$6005,0)),""))</f>
        <v/>
      </c>
      <c r="D162" s="12" t="str">
        <f aca="false">IF($A162="","",IFERROR(INDEX(중복검사!$D$4:$D$6003,MATCH("R"&amp;157,중복목록!$L$6:$L$6005,0)),""))</f>
        <v/>
      </c>
      <c r="E162" s="12" t="str">
        <f aca="false">IF($A162="","",IFERROR(IF(INDEX(원본명단!$E$3:$E$6002,MATCH("R"&amp;157,중복목록!$L$6:$L$6005,0))="","",INDEX(원본명단!$E$3:$E$6002,MATCH("R"&amp;157,중복목록!$L$6:$L$6005,0))),""))</f>
        <v/>
      </c>
      <c r="F162" s="11" t="str">
        <f aca="false">IF($A162="","",IFERROR(MAX(INDEX(중복검사!$E$4:$E$6003,MATCH("R"&amp;157,중복목록!$L$6:$L$6005,0)),INDEX(중복검사!$F$4:$F$6003,MATCH("R"&amp;157,중복목록!$L$6:$L$6005,0)),INDEX(중복검사!$G$4:$G$6003,MATCH("R"&amp;157,중복목록!$L$6:$L$6005,0))),""))</f>
        <v/>
      </c>
      <c r="G162" s="11" t="str">
        <f aca="false">IF($A162="","",IFERROR(INDEX(중복검사!$I$4:$I$6003,MATCH("R"&amp;157,중복목록!$L$6:$L$6005,0)),""))</f>
        <v/>
      </c>
      <c r="H162" s="11" t="str">
        <f aca="false">IF($A162="","",IFERROR(INDEX(중복검사!$J$4:$J$6003,MATCH("R"&amp;157,중복목록!$L$6:$L$6005,0)),""))</f>
        <v/>
      </c>
      <c r="J162" s="14" t="b">
        <f aca="false">IF(중복검사!$A160="",FALSE(),중복검사!$H160="중복")</f>
        <v>0</v>
      </c>
      <c r="K162" s="5" t="str">
        <f aca="false">IF($J162=FALSE(),"",COUNTIF($J$6:$J162,TRUE()))</f>
        <v/>
      </c>
      <c r="L162" s="5" t="str">
        <f aca="false">IF($K162="","","R"&amp;$K162)</f>
        <v/>
      </c>
    </row>
    <row r="163" customFormat="false" ht="15" hidden="false" customHeight="true" outlineLevel="0" collapsed="false">
      <c r="A163" s="11" t="str">
        <f aca="false">IFERROR(INDEX(중복검사!$A$4:$A$6003,MATCH("R"&amp;158,중복목록!$L$6:$L$6005,0)),"")</f>
        <v/>
      </c>
      <c r="B163" s="12" t="str">
        <f aca="false">IF($A163="","",IFERROR(INDEX(중복검사!$B$4:$B$6003,MATCH("R"&amp;158,중복목록!$L$6:$L$6005,0)),""))</f>
        <v/>
      </c>
      <c r="C163" s="12" t="str">
        <f aca="false">IF($A163="","",IFERROR(INDEX(중복검사!$C$4:$C$6003,MATCH("R"&amp;158,중복목록!$L$6:$L$6005,0)),""))</f>
        <v/>
      </c>
      <c r="D163" s="12" t="str">
        <f aca="false">IF($A163="","",IFERROR(INDEX(중복검사!$D$4:$D$6003,MATCH("R"&amp;158,중복목록!$L$6:$L$6005,0)),""))</f>
        <v/>
      </c>
      <c r="E163" s="12" t="str">
        <f aca="false">IF($A163="","",IFERROR(IF(INDEX(원본명단!$E$3:$E$6002,MATCH("R"&amp;158,중복목록!$L$6:$L$6005,0))="","",INDEX(원본명단!$E$3:$E$6002,MATCH("R"&amp;158,중복목록!$L$6:$L$6005,0))),""))</f>
        <v/>
      </c>
      <c r="F163" s="11" t="str">
        <f aca="false">IF($A163="","",IFERROR(MAX(INDEX(중복검사!$E$4:$E$6003,MATCH("R"&amp;158,중복목록!$L$6:$L$6005,0)),INDEX(중복검사!$F$4:$F$6003,MATCH("R"&amp;158,중복목록!$L$6:$L$6005,0)),INDEX(중복검사!$G$4:$G$6003,MATCH("R"&amp;158,중복목록!$L$6:$L$6005,0))),""))</f>
        <v/>
      </c>
      <c r="G163" s="11" t="str">
        <f aca="false">IF($A163="","",IFERROR(INDEX(중복검사!$I$4:$I$6003,MATCH("R"&amp;158,중복목록!$L$6:$L$6005,0)),""))</f>
        <v/>
      </c>
      <c r="H163" s="11" t="str">
        <f aca="false">IF($A163="","",IFERROR(INDEX(중복검사!$J$4:$J$6003,MATCH("R"&amp;158,중복목록!$L$6:$L$6005,0)),""))</f>
        <v/>
      </c>
      <c r="J163" s="14" t="b">
        <f aca="false">IF(중복검사!$A161="",FALSE(),중복검사!$H161="중복")</f>
        <v>0</v>
      </c>
      <c r="K163" s="5" t="str">
        <f aca="false">IF($J163=FALSE(),"",COUNTIF($J$6:$J163,TRUE()))</f>
        <v/>
      </c>
      <c r="L163" s="5" t="str">
        <f aca="false">IF($K163="","","R"&amp;$K163)</f>
        <v/>
      </c>
    </row>
    <row r="164" customFormat="false" ht="15" hidden="false" customHeight="true" outlineLevel="0" collapsed="false">
      <c r="A164" s="11" t="str">
        <f aca="false">IFERROR(INDEX(중복검사!$A$4:$A$6003,MATCH("R"&amp;159,중복목록!$L$6:$L$6005,0)),"")</f>
        <v/>
      </c>
      <c r="B164" s="12" t="str">
        <f aca="false">IF($A164="","",IFERROR(INDEX(중복검사!$B$4:$B$6003,MATCH("R"&amp;159,중복목록!$L$6:$L$6005,0)),""))</f>
        <v/>
      </c>
      <c r="C164" s="12" t="str">
        <f aca="false">IF($A164="","",IFERROR(INDEX(중복검사!$C$4:$C$6003,MATCH("R"&amp;159,중복목록!$L$6:$L$6005,0)),""))</f>
        <v/>
      </c>
      <c r="D164" s="12" t="str">
        <f aca="false">IF($A164="","",IFERROR(INDEX(중복검사!$D$4:$D$6003,MATCH("R"&amp;159,중복목록!$L$6:$L$6005,0)),""))</f>
        <v/>
      </c>
      <c r="E164" s="12" t="str">
        <f aca="false">IF($A164="","",IFERROR(IF(INDEX(원본명단!$E$3:$E$6002,MATCH("R"&amp;159,중복목록!$L$6:$L$6005,0))="","",INDEX(원본명단!$E$3:$E$6002,MATCH("R"&amp;159,중복목록!$L$6:$L$6005,0))),""))</f>
        <v/>
      </c>
      <c r="F164" s="11" t="str">
        <f aca="false">IF($A164="","",IFERROR(MAX(INDEX(중복검사!$E$4:$E$6003,MATCH("R"&amp;159,중복목록!$L$6:$L$6005,0)),INDEX(중복검사!$F$4:$F$6003,MATCH("R"&amp;159,중복목록!$L$6:$L$6005,0)),INDEX(중복검사!$G$4:$G$6003,MATCH("R"&amp;159,중복목록!$L$6:$L$6005,0))),""))</f>
        <v/>
      </c>
      <c r="G164" s="11" t="str">
        <f aca="false">IF($A164="","",IFERROR(INDEX(중복검사!$I$4:$I$6003,MATCH("R"&amp;159,중복목록!$L$6:$L$6005,0)),""))</f>
        <v/>
      </c>
      <c r="H164" s="11" t="str">
        <f aca="false">IF($A164="","",IFERROR(INDEX(중복검사!$J$4:$J$6003,MATCH("R"&amp;159,중복목록!$L$6:$L$6005,0)),""))</f>
        <v/>
      </c>
      <c r="J164" s="14" t="b">
        <f aca="false">IF(중복검사!$A162="",FALSE(),중복검사!$H162="중복")</f>
        <v>0</v>
      </c>
      <c r="K164" s="5" t="str">
        <f aca="false">IF($J164=FALSE(),"",COUNTIF($J$6:$J164,TRUE()))</f>
        <v/>
      </c>
      <c r="L164" s="5" t="str">
        <f aca="false">IF($K164="","","R"&amp;$K164)</f>
        <v/>
      </c>
    </row>
    <row r="165" customFormat="false" ht="15" hidden="false" customHeight="true" outlineLevel="0" collapsed="false">
      <c r="A165" s="11" t="str">
        <f aca="false">IFERROR(INDEX(중복검사!$A$4:$A$6003,MATCH("R"&amp;160,중복목록!$L$6:$L$6005,0)),"")</f>
        <v/>
      </c>
      <c r="B165" s="12" t="str">
        <f aca="false">IF($A165="","",IFERROR(INDEX(중복검사!$B$4:$B$6003,MATCH("R"&amp;160,중복목록!$L$6:$L$6005,0)),""))</f>
        <v/>
      </c>
      <c r="C165" s="12" t="str">
        <f aca="false">IF($A165="","",IFERROR(INDEX(중복검사!$C$4:$C$6003,MATCH("R"&amp;160,중복목록!$L$6:$L$6005,0)),""))</f>
        <v/>
      </c>
      <c r="D165" s="12" t="str">
        <f aca="false">IF($A165="","",IFERROR(INDEX(중복검사!$D$4:$D$6003,MATCH("R"&amp;160,중복목록!$L$6:$L$6005,0)),""))</f>
        <v/>
      </c>
      <c r="E165" s="12" t="str">
        <f aca="false">IF($A165="","",IFERROR(IF(INDEX(원본명단!$E$3:$E$6002,MATCH("R"&amp;160,중복목록!$L$6:$L$6005,0))="","",INDEX(원본명단!$E$3:$E$6002,MATCH("R"&amp;160,중복목록!$L$6:$L$6005,0))),""))</f>
        <v/>
      </c>
      <c r="F165" s="11" t="str">
        <f aca="false">IF($A165="","",IFERROR(MAX(INDEX(중복검사!$E$4:$E$6003,MATCH("R"&amp;160,중복목록!$L$6:$L$6005,0)),INDEX(중복검사!$F$4:$F$6003,MATCH("R"&amp;160,중복목록!$L$6:$L$6005,0)),INDEX(중복검사!$G$4:$G$6003,MATCH("R"&amp;160,중복목록!$L$6:$L$6005,0))),""))</f>
        <v/>
      </c>
      <c r="G165" s="11" t="str">
        <f aca="false">IF($A165="","",IFERROR(INDEX(중복검사!$I$4:$I$6003,MATCH("R"&amp;160,중복목록!$L$6:$L$6005,0)),""))</f>
        <v/>
      </c>
      <c r="H165" s="11" t="str">
        <f aca="false">IF($A165="","",IFERROR(INDEX(중복검사!$J$4:$J$6003,MATCH("R"&amp;160,중복목록!$L$6:$L$6005,0)),""))</f>
        <v/>
      </c>
      <c r="J165" s="14" t="b">
        <f aca="false">IF(중복검사!$A163="",FALSE(),중복검사!$H163="중복")</f>
        <v>0</v>
      </c>
      <c r="K165" s="5" t="str">
        <f aca="false">IF($J165=FALSE(),"",COUNTIF($J$6:$J165,TRUE()))</f>
        <v/>
      </c>
      <c r="L165" s="5" t="str">
        <f aca="false">IF($K165="","","R"&amp;$K165)</f>
        <v/>
      </c>
    </row>
    <row r="166" customFormat="false" ht="15" hidden="false" customHeight="true" outlineLevel="0" collapsed="false">
      <c r="A166" s="11" t="str">
        <f aca="false">IFERROR(INDEX(중복검사!$A$4:$A$6003,MATCH("R"&amp;161,중복목록!$L$6:$L$6005,0)),"")</f>
        <v/>
      </c>
      <c r="B166" s="12" t="str">
        <f aca="false">IF($A166="","",IFERROR(INDEX(중복검사!$B$4:$B$6003,MATCH("R"&amp;161,중복목록!$L$6:$L$6005,0)),""))</f>
        <v/>
      </c>
      <c r="C166" s="12" t="str">
        <f aca="false">IF($A166="","",IFERROR(INDEX(중복검사!$C$4:$C$6003,MATCH("R"&amp;161,중복목록!$L$6:$L$6005,0)),""))</f>
        <v/>
      </c>
      <c r="D166" s="12" t="str">
        <f aca="false">IF($A166="","",IFERROR(INDEX(중복검사!$D$4:$D$6003,MATCH("R"&amp;161,중복목록!$L$6:$L$6005,0)),""))</f>
        <v/>
      </c>
      <c r="E166" s="12" t="str">
        <f aca="false">IF($A166="","",IFERROR(IF(INDEX(원본명단!$E$3:$E$6002,MATCH("R"&amp;161,중복목록!$L$6:$L$6005,0))="","",INDEX(원본명단!$E$3:$E$6002,MATCH("R"&amp;161,중복목록!$L$6:$L$6005,0))),""))</f>
        <v/>
      </c>
      <c r="F166" s="11" t="str">
        <f aca="false">IF($A166="","",IFERROR(MAX(INDEX(중복검사!$E$4:$E$6003,MATCH("R"&amp;161,중복목록!$L$6:$L$6005,0)),INDEX(중복검사!$F$4:$F$6003,MATCH("R"&amp;161,중복목록!$L$6:$L$6005,0)),INDEX(중복검사!$G$4:$G$6003,MATCH("R"&amp;161,중복목록!$L$6:$L$6005,0))),""))</f>
        <v/>
      </c>
      <c r="G166" s="11" t="str">
        <f aca="false">IF($A166="","",IFERROR(INDEX(중복검사!$I$4:$I$6003,MATCH("R"&amp;161,중복목록!$L$6:$L$6005,0)),""))</f>
        <v/>
      </c>
      <c r="H166" s="11" t="str">
        <f aca="false">IF($A166="","",IFERROR(INDEX(중복검사!$J$4:$J$6003,MATCH("R"&amp;161,중복목록!$L$6:$L$6005,0)),""))</f>
        <v/>
      </c>
      <c r="J166" s="14" t="b">
        <f aca="false">IF(중복검사!$A164="",FALSE(),중복검사!$H164="중복")</f>
        <v>0</v>
      </c>
      <c r="K166" s="5" t="str">
        <f aca="false">IF($J166=FALSE(),"",COUNTIF($J$6:$J166,TRUE()))</f>
        <v/>
      </c>
      <c r="L166" s="5" t="str">
        <f aca="false">IF($K166="","","R"&amp;$K166)</f>
        <v/>
      </c>
    </row>
    <row r="167" customFormat="false" ht="15" hidden="false" customHeight="true" outlineLevel="0" collapsed="false">
      <c r="A167" s="11" t="str">
        <f aca="false">IFERROR(INDEX(중복검사!$A$4:$A$6003,MATCH("R"&amp;162,중복목록!$L$6:$L$6005,0)),"")</f>
        <v/>
      </c>
      <c r="B167" s="12" t="str">
        <f aca="false">IF($A167="","",IFERROR(INDEX(중복검사!$B$4:$B$6003,MATCH("R"&amp;162,중복목록!$L$6:$L$6005,0)),""))</f>
        <v/>
      </c>
      <c r="C167" s="12" t="str">
        <f aca="false">IF($A167="","",IFERROR(INDEX(중복검사!$C$4:$C$6003,MATCH("R"&amp;162,중복목록!$L$6:$L$6005,0)),""))</f>
        <v/>
      </c>
      <c r="D167" s="12" t="str">
        <f aca="false">IF($A167="","",IFERROR(INDEX(중복검사!$D$4:$D$6003,MATCH("R"&amp;162,중복목록!$L$6:$L$6005,0)),""))</f>
        <v/>
      </c>
      <c r="E167" s="12" t="str">
        <f aca="false">IF($A167="","",IFERROR(IF(INDEX(원본명단!$E$3:$E$6002,MATCH("R"&amp;162,중복목록!$L$6:$L$6005,0))="","",INDEX(원본명단!$E$3:$E$6002,MATCH("R"&amp;162,중복목록!$L$6:$L$6005,0))),""))</f>
        <v/>
      </c>
      <c r="F167" s="11" t="str">
        <f aca="false">IF($A167="","",IFERROR(MAX(INDEX(중복검사!$E$4:$E$6003,MATCH("R"&amp;162,중복목록!$L$6:$L$6005,0)),INDEX(중복검사!$F$4:$F$6003,MATCH("R"&amp;162,중복목록!$L$6:$L$6005,0)),INDEX(중복검사!$G$4:$G$6003,MATCH("R"&amp;162,중복목록!$L$6:$L$6005,0))),""))</f>
        <v/>
      </c>
      <c r="G167" s="11" t="str">
        <f aca="false">IF($A167="","",IFERROR(INDEX(중복검사!$I$4:$I$6003,MATCH("R"&amp;162,중복목록!$L$6:$L$6005,0)),""))</f>
        <v/>
      </c>
      <c r="H167" s="11" t="str">
        <f aca="false">IF($A167="","",IFERROR(INDEX(중복검사!$J$4:$J$6003,MATCH("R"&amp;162,중복목록!$L$6:$L$6005,0)),""))</f>
        <v/>
      </c>
      <c r="J167" s="14" t="b">
        <f aca="false">IF(중복검사!$A165="",FALSE(),중복검사!$H165="중복")</f>
        <v>0</v>
      </c>
      <c r="K167" s="5" t="str">
        <f aca="false">IF($J167=FALSE(),"",COUNTIF($J$6:$J167,TRUE()))</f>
        <v/>
      </c>
      <c r="L167" s="5" t="str">
        <f aca="false">IF($K167="","","R"&amp;$K167)</f>
        <v/>
      </c>
    </row>
    <row r="168" customFormat="false" ht="15" hidden="false" customHeight="true" outlineLevel="0" collapsed="false">
      <c r="A168" s="11" t="str">
        <f aca="false">IFERROR(INDEX(중복검사!$A$4:$A$6003,MATCH("R"&amp;163,중복목록!$L$6:$L$6005,0)),"")</f>
        <v/>
      </c>
      <c r="B168" s="12" t="str">
        <f aca="false">IF($A168="","",IFERROR(INDEX(중복검사!$B$4:$B$6003,MATCH("R"&amp;163,중복목록!$L$6:$L$6005,0)),""))</f>
        <v/>
      </c>
      <c r="C168" s="12" t="str">
        <f aca="false">IF($A168="","",IFERROR(INDEX(중복검사!$C$4:$C$6003,MATCH("R"&amp;163,중복목록!$L$6:$L$6005,0)),""))</f>
        <v/>
      </c>
      <c r="D168" s="12" t="str">
        <f aca="false">IF($A168="","",IFERROR(INDEX(중복검사!$D$4:$D$6003,MATCH("R"&amp;163,중복목록!$L$6:$L$6005,0)),""))</f>
        <v/>
      </c>
      <c r="E168" s="12" t="str">
        <f aca="false">IF($A168="","",IFERROR(IF(INDEX(원본명단!$E$3:$E$6002,MATCH("R"&amp;163,중복목록!$L$6:$L$6005,0))="","",INDEX(원본명단!$E$3:$E$6002,MATCH("R"&amp;163,중복목록!$L$6:$L$6005,0))),""))</f>
        <v/>
      </c>
      <c r="F168" s="11" t="str">
        <f aca="false">IF($A168="","",IFERROR(MAX(INDEX(중복검사!$E$4:$E$6003,MATCH("R"&amp;163,중복목록!$L$6:$L$6005,0)),INDEX(중복검사!$F$4:$F$6003,MATCH("R"&amp;163,중복목록!$L$6:$L$6005,0)),INDEX(중복검사!$G$4:$G$6003,MATCH("R"&amp;163,중복목록!$L$6:$L$6005,0))),""))</f>
        <v/>
      </c>
      <c r="G168" s="11" t="str">
        <f aca="false">IF($A168="","",IFERROR(INDEX(중복검사!$I$4:$I$6003,MATCH("R"&amp;163,중복목록!$L$6:$L$6005,0)),""))</f>
        <v/>
      </c>
      <c r="H168" s="11" t="str">
        <f aca="false">IF($A168="","",IFERROR(INDEX(중복검사!$J$4:$J$6003,MATCH("R"&amp;163,중복목록!$L$6:$L$6005,0)),""))</f>
        <v/>
      </c>
      <c r="J168" s="14" t="b">
        <f aca="false">IF(중복검사!$A166="",FALSE(),중복검사!$H166="중복")</f>
        <v>0</v>
      </c>
      <c r="K168" s="5" t="str">
        <f aca="false">IF($J168=FALSE(),"",COUNTIF($J$6:$J168,TRUE()))</f>
        <v/>
      </c>
      <c r="L168" s="5" t="str">
        <f aca="false">IF($K168="","","R"&amp;$K168)</f>
        <v/>
      </c>
    </row>
    <row r="169" customFormat="false" ht="15" hidden="false" customHeight="true" outlineLevel="0" collapsed="false">
      <c r="A169" s="11" t="str">
        <f aca="false">IFERROR(INDEX(중복검사!$A$4:$A$6003,MATCH("R"&amp;164,중복목록!$L$6:$L$6005,0)),"")</f>
        <v/>
      </c>
      <c r="B169" s="12" t="str">
        <f aca="false">IF($A169="","",IFERROR(INDEX(중복검사!$B$4:$B$6003,MATCH("R"&amp;164,중복목록!$L$6:$L$6005,0)),""))</f>
        <v/>
      </c>
      <c r="C169" s="12" t="str">
        <f aca="false">IF($A169="","",IFERROR(INDEX(중복검사!$C$4:$C$6003,MATCH("R"&amp;164,중복목록!$L$6:$L$6005,0)),""))</f>
        <v/>
      </c>
      <c r="D169" s="12" t="str">
        <f aca="false">IF($A169="","",IFERROR(INDEX(중복검사!$D$4:$D$6003,MATCH("R"&amp;164,중복목록!$L$6:$L$6005,0)),""))</f>
        <v/>
      </c>
      <c r="E169" s="12" t="str">
        <f aca="false">IF($A169="","",IFERROR(IF(INDEX(원본명단!$E$3:$E$6002,MATCH("R"&amp;164,중복목록!$L$6:$L$6005,0))="","",INDEX(원본명단!$E$3:$E$6002,MATCH("R"&amp;164,중복목록!$L$6:$L$6005,0))),""))</f>
        <v/>
      </c>
      <c r="F169" s="11" t="str">
        <f aca="false">IF($A169="","",IFERROR(MAX(INDEX(중복검사!$E$4:$E$6003,MATCH("R"&amp;164,중복목록!$L$6:$L$6005,0)),INDEX(중복검사!$F$4:$F$6003,MATCH("R"&amp;164,중복목록!$L$6:$L$6005,0)),INDEX(중복검사!$G$4:$G$6003,MATCH("R"&amp;164,중복목록!$L$6:$L$6005,0))),""))</f>
        <v/>
      </c>
      <c r="G169" s="11" t="str">
        <f aca="false">IF($A169="","",IFERROR(INDEX(중복검사!$I$4:$I$6003,MATCH("R"&amp;164,중복목록!$L$6:$L$6005,0)),""))</f>
        <v/>
      </c>
      <c r="H169" s="11" t="str">
        <f aca="false">IF($A169="","",IFERROR(INDEX(중복검사!$J$4:$J$6003,MATCH("R"&amp;164,중복목록!$L$6:$L$6005,0)),""))</f>
        <v/>
      </c>
      <c r="J169" s="14" t="b">
        <f aca="false">IF(중복검사!$A167="",FALSE(),중복검사!$H167="중복")</f>
        <v>0</v>
      </c>
      <c r="K169" s="5" t="str">
        <f aca="false">IF($J169=FALSE(),"",COUNTIF($J$6:$J169,TRUE()))</f>
        <v/>
      </c>
      <c r="L169" s="5" t="str">
        <f aca="false">IF($K169="","","R"&amp;$K169)</f>
        <v/>
      </c>
    </row>
    <row r="170" customFormat="false" ht="15" hidden="false" customHeight="true" outlineLevel="0" collapsed="false">
      <c r="A170" s="11" t="str">
        <f aca="false">IFERROR(INDEX(중복검사!$A$4:$A$6003,MATCH("R"&amp;165,중복목록!$L$6:$L$6005,0)),"")</f>
        <v/>
      </c>
      <c r="B170" s="12" t="str">
        <f aca="false">IF($A170="","",IFERROR(INDEX(중복검사!$B$4:$B$6003,MATCH("R"&amp;165,중복목록!$L$6:$L$6005,0)),""))</f>
        <v/>
      </c>
      <c r="C170" s="12" t="str">
        <f aca="false">IF($A170="","",IFERROR(INDEX(중복검사!$C$4:$C$6003,MATCH("R"&amp;165,중복목록!$L$6:$L$6005,0)),""))</f>
        <v/>
      </c>
      <c r="D170" s="12" t="str">
        <f aca="false">IF($A170="","",IFERROR(INDEX(중복검사!$D$4:$D$6003,MATCH("R"&amp;165,중복목록!$L$6:$L$6005,0)),""))</f>
        <v/>
      </c>
      <c r="E170" s="12" t="str">
        <f aca="false">IF($A170="","",IFERROR(IF(INDEX(원본명단!$E$3:$E$6002,MATCH("R"&amp;165,중복목록!$L$6:$L$6005,0))="","",INDEX(원본명단!$E$3:$E$6002,MATCH("R"&amp;165,중복목록!$L$6:$L$6005,0))),""))</f>
        <v/>
      </c>
      <c r="F170" s="11" t="str">
        <f aca="false">IF($A170="","",IFERROR(MAX(INDEX(중복검사!$E$4:$E$6003,MATCH("R"&amp;165,중복목록!$L$6:$L$6005,0)),INDEX(중복검사!$F$4:$F$6003,MATCH("R"&amp;165,중복목록!$L$6:$L$6005,0)),INDEX(중복검사!$G$4:$G$6003,MATCH("R"&amp;165,중복목록!$L$6:$L$6005,0))),""))</f>
        <v/>
      </c>
      <c r="G170" s="11" t="str">
        <f aca="false">IF($A170="","",IFERROR(INDEX(중복검사!$I$4:$I$6003,MATCH("R"&amp;165,중복목록!$L$6:$L$6005,0)),""))</f>
        <v/>
      </c>
      <c r="H170" s="11" t="str">
        <f aca="false">IF($A170="","",IFERROR(INDEX(중복검사!$J$4:$J$6003,MATCH("R"&amp;165,중복목록!$L$6:$L$6005,0)),""))</f>
        <v/>
      </c>
      <c r="J170" s="14" t="b">
        <f aca="false">IF(중복검사!$A168="",FALSE(),중복검사!$H168="중복")</f>
        <v>0</v>
      </c>
      <c r="K170" s="5" t="str">
        <f aca="false">IF($J170=FALSE(),"",COUNTIF($J$6:$J170,TRUE()))</f>
        <v/>
      </c>
      <c r="L170" s="5" t="str">
        <f aca="false">IF($K170="","","R"&amp;$K170)</f>
        <v/>
      </c>
    </row>
    <row r="171" customFormat="false" ht="15" hidden="false" customHeight="true" outlineLevel="0" collapsed="false">
      <c r="A171" s="11" t="str">
        <f aca="false">IFERROR(INDEX(중복검사!$A$4:$A$6003,MATCH("R"&amp;166,중복목록!$L$6:$L$6005,0)),"")</f>
        <v/>
      </c>
      <c r="B171" s="12" t="str">
        <f aca="false">IF($A171="","",IFERROR(INDEX(중복검사!$B$4:$B$6003,MATCH("R"&amp;166,중복목록!$L$6:$L$6005,0)),""))</f>
        <v/>
      </c>
      <c r="C171" s="12" t="str">
        <f aca="false">IF($A171="","",IFERROR(INDEX(중복검사!$C$4:$C$6003,MATCH("R"&amp;166,중복목록!$L$6:$L$6005,0)),""))</f>
        <v/>
      </c>
      <c r="D171" s="12" t="str">
        <f aca="false">IF($A171="","",IFERROR(INDEX(중복검사!$D$4:$D$6003,MATCH("R"&amp;166,중복목록!$L$6:$L$6005,0)),""))</f>
        <v/>
      </c>
      <c r="E171" s="12" t="str">
        <f aca="false">IF($A171="","",IFERROR(IF(INDEX(원본명단!$E$3:$E$6002,MATCH("R"&amp;166,중복목록!$L$6:$L$6005,0))="","",INDEX(원본명단!$E$3:$E$6002,MATCH("R"&amp;166,중복목록!$L$6:$L$6005,0))),""))</f>
        <v/>
      </c>
      <c r="F171" s="11" t="str">
        <f aca="false">IF($A171="","",IFERROR(MAX(INDEX(중복검사!$E$4:$E$6003,MATCH("R"&amp;166,중복목록!$L$6:$L$6005,0)),INDEX(중복검사!$F$4:$F$6003,MATCH("R"&amp;166,중복목록!$L$6:$L$6005,0)),INDEX(중복검사!$G$4:$G$6003,MATCH("R"&amp;166,중복목록!$L$6:$L$6005,0))),""))</f>
        <v/>
      </c>
      <c r="G171" s="11" t="str">
        <f aca="false">IF($A171="","",IFERROR(INDEX(중복검사!$I$4:$I$6003,MATCH("R"&amp;166,중복목록!$L$6:$L$6005,0)),""))</f>
        <v/>
      </c>
      <c r="H171" s="11" t="str">
        <f aca="false">IF($A171="","",IFERROR(INDEX(중복검사!$J$4:$J$6003,MATCH("R"&amp;166,중복목록!$L$6:$L$6005,0)),""))</f>
        <v/>
      </c>
      <c r="J171" s="14" t="b">
        <f aca="false">IF(중복검사!$A169="",FALSE(),중복검사!$H169="중복")</f>
        <v>0</v>
      </c>
      <c r="K171" s="5" t="str">
        <f aca="false">IF($J171=FALSE(),"",COUNTIF($J$6:$J171,TRUE()))</f>
        <v/>
      </c>
      <c r="L171" s="5" t="str">
        <f aca="false">IF($K171="","","R"&amp;$K171)</f>
        <v/>
      </c>
    </row>
    <row r="172" customFormat="false" ht="15" hidden="false" customHeight="true" outlineLevel="0" collapsed="false">
      <c r="A172" s="11" t="str">
        <f aca="false">IFERROR(INDEX(중복검사!$A$4:$A$6003,MATCH("R"&amp;167,중복목록!$L$6:$L$6005,0)),"")</f>
        <v/>
      </c>
      <c r="B172" s="12" t="str">
        <f aca="false">IF($A172="","",IFERROR(INDEX(중복검사!$B$4:$B$6003,MATCH("R"&amp;167,중복목록!$L$6:$L$6005,0)),""))</f>
        <v/>
      </c>
      <c r="C172" s="12" t="str">
        <f aca="false">IF($A172="","",IFERROR(INDEX(중복검사!$C$4:$C$6003,MATCH("R"&amp;167,중복목록!$L$6:$L$6005,0)),""))</f>
        <v/>
      </c>
      <c r="D172" s="12" t="str">
        <f aca="false">IF($A172="","",IFERROR(INDEX(중복검사!$D$4:$D$6003,MATCH("R"&amp;167,중복목록!$L$6:$L$6005,0)),""))</f>
        <v/>
      </c>
      <c r="E172" s="12" t="str">
        <f aca="false">IF($A172="","",IFERROR(IF(INDEX(원본명단!$E$3:$E$6002,MATCH("R"&amp;167,중복목록!$L$6:$L$6005,0))="","",INDEX(원본명단!$E$3:$E$6002,MATCH("R"&amp;167,중복목록!$L$6:$L$6005,0))),""))</f>
        <v/>
      </c>
      <c r="F172" s="11" t="str">
        <f aca="false">IF($A172="","",IFERROR(MAX(INDEX(중복검사!$E$4:$E$6003,MATCH("R"&amp;167,중복목록!$L$6:$L$6005,0)),INDEX(중복검사!$F$4:$F$6003,MATCH("R"&amp;167,중복목록!$L$6:$L$6005,0)),INDEX(중복검사!$G$4:$G$6003,MATCH("R"&amp;167,중복목록!$L$6:$L$6005,0))),""))</f>
        <v/>
      </c>
      <c r="G172" s="11" t="str">
        <f aca="false">IF($A172="","",IFERROR(INDEX(중복검사!$I$4:$I$6003,MATCH("R"&amp;167,중복목록!$L$6:$L$6005,0)),""))</f>
        <v/>
      </c>
      <c r="H172" s="11" t="str">
        <f aca="false">IF($A172="","",IFERROR(INDEX(중복검사!$J$4:$J$6003,MATCH("R"&amp;167,중복목록!$L$6:$L$6005,0)),""))</f>
        <v/>
      </c>
      <c r="J172" s="14" t="b">
        <f aca="false">IF(중복검사!$A170="",FALSE(),중복검사!$H170="중복")</f>
        <v>0</v>
      </c>
      <c r="K172" s="5" t="str">
        <f aca="false">IF($J172=FALSE(),"",COUNTIF($J$6:$J172,TRUE()))</f>
        <v/>
      </c>
      <c r="L172" s="5" t="str">
        <f aca="false">IF($K172="","","R"&amp;$K172)</f>
        <v/>
      </c>
    </row>
    <row r="173" customFormat="false" ht="15" hidden="false" customHeight="true" outlineLevel="0" collapsed="false">
      <c r="A173" s="11" t="str">
        <f aca="false">IFERROR(INDEX(중복검사!$A$4:$A$6003,MATCH("R"&amp;168,중복목록!$L$6:$L$6005,0)),"")</f>
        <v/>
      </c>
      <c r="B173" s="12" t="str">
        <f aca="false">IF($A173="","",IFERROR(INDEX(중복검사!$B$4:$B$6003,MATCH("R"&amp;168,중복목록!$L$6:$L$6005,0)),""))</f>
        <v/>
      </c>
      <c r="C173" s="12" t="str">
        <f aca="false">IF($A173="","",IFERROR(INDEX(중복검사!$C$4:$C$6003,MATCH("R"&amp;168,중복목록!$L$6:$L$6005,0)),""))</f>
        <v/>
      </c>
      <c r="D173" s="12" t="str">
        <f aca="false">IF($A173="","",IFERROR(INDEX(중복검사!$D$4:$D$6003,MATCH("R"&amp;168,중복목록!$L$6:$L$6005,0)),""))</f>
        <v/>
      </c>
      <c r="E173" s="12" t="str">
        <f aca="false">IF($A173="","",IFERROR(IF(INDEX(원본명단!$E$3:$E$6002,MATCH("R"&amp;168,중복목록!$L$6:$L$6005,0))="","",INDEX(원본명단!$E$3:$E$6002,MATCH("R"&amp;168,중복목록!$L$6:$L$6005,0))),""))</f>
        <v/>
      </c>
      <c r="F173" s="11" t="str">
        <f aca="false">IF($A173="","",IFERROR(MAX(INDEX(중복검사!$E$4:$E$6003,MATCH("R"&amp;168,중복목록!$L$6:$L$6005,0)),INDEX(중복검사!$F$4:$F$6003,MATCH("R"&amp;168,중복목록!$L$6:$L$6005,0)),INDEX(중복검사!$G$4:$G$6003,MATCH("R"&amp;168,중복목록!$L$6:$L$6005,0))),""))</f>
        <v/>
      </c>
      <c r="G173" s="11" t="str">
        <f aca="false">IF($A173="","",IFERROR(INDEX(중복검사!$I$4:$I$6003,MATCH("R"&amp;168,중복목록!$L$6:$L$6005,0)),""))</f>
        <v/>
      </c>
      <c r="H173" s="11" t="str">
        <f aca="false">IF($A173="","",IFERROR(INDEX(중복검사!$J$4:$J$6003,MATCH("R"&amp;168,중복목록!$L$6:$L$6005,0)),""))</f>
        <v/>
      </c>
      <c r="J173" s="14" t="b">
        <f aca="false">IF(중복검사!$A171="",FALSE(),중복검사!$H171="중복")</f>
        <v>0</v>
      </c>
      <c r="K173" s="5" t="str">
        <f aca="false">IF($J173=FALSE(),"",COUNTIF($J$6:$J173,TRUE()))</f>
        <v/>
      </c>
      <c r="L173" s="5" t="str">
        <f aca="false">IF($K173="","","R"&amp;$K173)</f>
        <v/>
      </c>
    </row>
    <row r="174" customFormat="false" ht="15" hidden="false" customHeight="true" outlineLevel="0" collapsed="false">
      <c r="A174" s="11" t="str">
        <f aca="false">IFERROR(INDEX(중복검사!$A$4:$A$6003,MATCH("R"&amp;169,중복목록!$L$6:$L$6005,0)),"")</f>
        <v/>
      </c>
      <c r="B174" s="12" t="str">
        <f aca="false">IF($A174="","",IFERROR(INDEX(중복검사!$B$4:$B$6003,MATCH("R"&amp;169,중복목록!$L$6:$L$6005,0)),""))</f>
        <v/>
      </c>
      <c r="C174" s="12" t="str">
        <f aca="false">IF($A174="","",IFERROR(INDEX(중복검사!$C$4:$C$6003,MATCH("R"&amp;169,중복목록!$L$6:$L$6005,0)),""))</f>
        <v/>
      </c>
      <c r="D174" s="12" t="str">
        <f aca="false">IF($A174="","",IFERROR(INDEX(중복검사!$D$4:$D$6003,MATCH("R"&amp;169,중복목록!$L$6:$L$6005,0)),""))</f>
        <v/>
      </c>
      <c r="E174" s="12" t="str">
        <f aca="false">IF($A174="","",IFERROR(IF(INDEX(원본명단!$E$3:$E$6002,MATCH("R"&amp;169,중복목록!$L$6:$L$6005,0))="","",INDEX(원본명단!$E$3:$E$6002,MATCH("R"&amp;169,중복목록!$L$6:$L$6005,0))),""))</f>
        <v/>
      </c>
      <c r="F174" s="11" t="str">
        <f aca="false">IF($A174="","",IFERROR(MAX(INDEX(중복검사!$E$4:$E$6003,MATCH("R"&amp;169,중복목록!$L$6:$L$6005,0)),INDEX(중복검사!$F$4:$F$6003,MATCH("R"&amp;169,중복목록!$L$6:$L$6005,0)),INDEX(중복검사!$G$4:$G$6003,MATCH("R"&amp;169,중복목록!$L$6:$L$6005,0))),""))</f>
        <v/>
      </c>
      <c r="G174" s="11" t="str">
        <f aca="false">IF($A174="","",IFERROR(INDEX(중복검사!$I$4:$I$6003,MATCH("R"&amp;169,중복목록!$L$6:$L$6005,0)),""))</f>
        <v/>
      </c>
      <c r="H174" s="11" t="str">
        <f aca="false">IF($A174="","",IFERROR(INDEX(중복검사!$J$4:$J$6003,MATCH("R"&amp;169,중복목록!$L$6:$L$6005,0)),""))</f>
        <v/>
      </c>
      <c r="J174" s="14" t="b">
        <f aca="false">IF(중복검사!$A172="",FALSE(),중복검사!$H172="중복")</f>
        <v>0</v>
      </c>
      <c r="K174" s="5" t="str">
        <f aca="false">IF($J174=FALSE(),"",COUNTIF($J$6:$J174,TRUE()))</f>
        <v/>
      </c>
      <c r="L174" s="5" t="str">
        <f aca="false">IF($K174="","","R"&amp;$K174)</f>
        <v/>
      </c>
    </row>
    <row r="175" customFormat="false" ht="15" hidden="false" customHeight="true" outlineLevel="0" collapsed="false">
      <c r="A175" s="11" t="str">
        <f aca="false">IFERROR(INDEX(중복검사!$A$4:$A$6003,MATCH("R"&amp;170,중복목록!$L$6:$L$6005,0)),"")</f>
        <v/>
      </c>
      <c r="B175" s="12" t="str">
        <f aca="false">IF($A175="","",IFERROR(INDEX(중복검사!$B$4:$B$6003,MATCH("R"&amp;170,중복목록!$L$6:$L$6005,0)),""))</f>
        <v/>
      </c>
      <c r="C175" s="12" t="str">
        <f aca="false">IF($A175="","",IFERROR(INDEX(중복검사!$C$4:$C$6003,MATCH("R"&amp;170,중복목록!$L$6:$L$6005,0)),""))</f>
        <v/>
      </c>
      <c r="D175" s="12" t="str">
        <f aca="false">IF($A175="","",IFERROR(INDEX(중복검사!$D$4:$D$6003,MATCH("R"&amp;170,중복목록!$L$6:$L$6005,0)),""))</f>
        <v/>
      </c>
      <c r="E175" s="12" t="str">
        <f aca="false">IF($A175="","",IFERROR(IF(INDEX(원본명단!$E$3:$E$6002,MATCH("R"&amp;170,중복목록!$L$6:$L$6005,0))="","",INDEX(원본명단!$E$3:$E$6002,MATCH("R"&amp;170,중복목록!$L$6:$L$6005,0))),""))</f>
        <v/>
      </c>
      <c r="F175" s="11" t="str">
        <f aca="false">IF($A175="","",IFERROR(MAX(INDEX(중복검사!$E$4:$E$6003,MATCH("R"&amp;170,중복목록!$L$6:$L$6005,0)),INDEX(중복검사!$F$4:$F$6003,MATCH("R"&amp;170,중복목록!$L$6:$L$6005,0)),INDEX(중복검사!$G$4:$G$6003,MATCH("R"&amp;170,중복목록!$L$6:$L$6005,0))),""))</f>
        <v/>
      </c>
      <c r="G175" s="11" t="str">
        <f aca="false">IF($A175="","",IFERROR(INDEX(중복검사!$I$4:$I$6003,MATCH("R"&amp;170,중복목록!$L$6:$L$6005,0)),""))</f>
        <v/>
      </c>
      <c r="H175" s="11" t="str">
        <f aca="false">IF($A175="","",IFERROR(INDEX(중복검사!$J$4:$J$6003,MATCH("R"&amp;170,중복목록!$L$6:$L$6005,0)),""))</f>
        <v/>
      </c>
      <c r="J175" s="14" t="b">
        <f aca="false">IF(중복검사!$A173="",FALSE(),중복검사!$H173="중복")</f>
        <v>0</v>
      </c>
      <c r="K175" s="5" t="str">
        <f aca="false">IF($J175=FALSE(),"",COUNTIF($J$6:$J175,TRUE()))</f>
        <v/>
      </c>
      <c r="L175" s="5" t="str">
        <f aca="false">IF($K175="","","R"&amp;$K175)</f>
        <v/>
      </c>
    </row>
    <row r="176" customFormat="false" ht="15" hidden="false" customHeight="true" outlineLevel="0" collapsed="false">
      <c r="A176" s="11" t="str">
        <f aca="false">IFERROR(INDEX(중복검사!$A$4:$A$6003,MATCH("R"&amp;171,중복목록!$L$6:$L$6005,0)),"")</f>
        <v/>
      </c>
      <c r="B176" s="12" t="str">
        <f aca="false">IF($A176="","",IFERROR(INDEX(중복검사!$B$4:$B$6003,MATCH("R"&amp;171,중복목록!$L$6:$L$6005,0)),""))</f>
        <v/>
      </c>
      <c r="C176" s="12" t="str">
        <f aca="false">IF($A176="","",IFERROR(INDEX(중복검사!$C$4:$C$6003,MATCH("R"&amp;171,중복목록!$L$6:$L$6005,0)),""))</f>
        <v/>
      </c>
      <c r="D176" s="12" t="str">
        <f aca="false">IF($A176="","",IFERROR(INDEX(중복검사!$D$4:$D$6003,MATCH("R"&amp;171,중복목록!$L$6:$L$6005,0)),""))</f>
        <v/>
      </c>
      <c r="E176" s="12" t="str">
        <f aca="false">IF($A176="","",IFERROR(IF(INDEX(원본명단!$E$3:$E$6002,MATCH("R"&amp;171,중복목록!$L$6:$L$6005,0))="","",INDEX(원본명단!$E$3:$E$6002,MATCH("R"&amp;171,중복목록!$L$6:$L$6005,0))),""))</f>
        <v/>
      </c>
      <c r="F176" s="11" t="str">
        <f aca="false">IF($A176="","",IFERROR(MAX(INDEX(중복검사!$E$4:$E$6003,MATCH("R"&amp;171,중복목록!$L$6:$L$6005,0)),INDEX(중복검사!$F$4:$F$6003,MATCH("R"&amp;171,중복목록!$L$6:$L$6005,0)),INDEX(중복검사!$G$4:$G$6003,MATCH("R"&amp;171,중복목록!$L$6:$L$6005,0))),""))</f>
        <v/>
      </c>
      <c r="G176" s="11" t="str">
        <f aca="false">IF($A176="","",IFERROR(INDEX(중복검사!$I$4:$I$6003,MATCH("R"&amp;171,중복목록!$L$6:$L$6005,0)),""))</f>
        <v/>
      </c>
      <c r="H176" s="11" t="str">
        <f aca="false">IF($A176="","",IFERROR(INDEX(중복검사!$J$4:$J$6003,MATCH("R"&amp;171,중복목록!$L$6:$L$6005,0)),""))</f>
        <v/>
      </c>
      <c r="J176" s="14" t="b">
        <f aca="false">IF(중복검사!$A174="",FALSE(),중복검사!$H174="중복")</f>
        <v>0</v>
      </c>
      <c r="K176" s="5" t="str">
        <f aca="false">IF($J176=FALSE(),"",COUNTIF($J$6:$J176,TRUE()))</f>
        <v/>
      </c>
      <c r="L176" s="5" t="str">
        <f aca="false">IF($K176="","","R"&amp;$K176)</f>
        <v/>
      </c>
    </row>
    <row r="177" customFormat="false" ht="15" hidden="false" customHeight="true" outlineLevel="0" collapsed="false">
      <c r="A177" s="11" t="str">
        <f aca="false">IFERROR(INDEX(중복검사!$A$4:$A$6003,MATCH("R"&amp;172,중복목록!$L$6:$L$6005,0)),"")</f>
        <v/>
      </c>
      <c r="B177" s="12" t="str">
        <f aca="false">IF($A177="","",IFERROR(INDEX(중복검사!$B$4:$B$6003,MATCH("R"&amp;172,중복목록!$L$6:$L$6005,0)),""))</f>
        <v/>
      </c>
      <c r="C177" s="12" t="str">
        <f aca="false">IF($A177="","",IFERROR(INDEX(중복검사!$C$4:$C$6003,MATCH("R"&amp;172,중복목록!$L$6:$L$6005,0)),""))</f>
        <v/>
      </c>
      <c r="D177" s="12" t="str">
        <f aca="false">IF($A177="","",IFERROR(INDEX(중복검사!$D$4:$D$6003,MATCH("R"&amp;172,중복목록!$L$6:$L$6005,0)),""))</f>
        <v/>
      </c>
      <c r="E177" s="12" t="str">
        <f aca="false">IF($A177="","",IFERROR(IF(INDEX(원본명단!$E$3:$E$6002,MATCH("R"&amp;172,중복목록!$L$6:$L$6005,0))="","",INDEX(원본명단!$E$3:$E$6002,MATCH("R"&amp;172,중복목록!$L$6:$L$6005,0))),""))</f>
        <v/>
      </c>
      <c r="F177" s="11" t="str">
        <f aca="false">IF($A177="","",IFERROR(MAX(INDEX(중복검사!$E$4:$E$6003,MATCH("R"&amp;172,중복목록!$L$6:$L$6005,0)),INDEX(중복검사!$F$4:$F$6003,MATCH("R"&amp;172,중복목록!$L$6:$L$6005,0)),INDEX(중복검사!$G$4:$G$6003,MATCH("R"&amp;172,중복목록!$L$6:$L$6005,0))),""))</f>
        <v/>
      </c>
      <c r="G177" s="11" t="str">
        <f aca="false">IF($A177="","",IFERROR(INDEX(중복검사!$I$4:$I$6003,MATCH("R"&amp;172,중복목록!$L$6:$L$6005,0)),""))</f>
        <v/>
      </c>
      <c r="H177" s="11" t="str">
        <f aca="false">IF($A177="","",IFERROR(INDEX(중복검사!$J$4:$J$6003,MATCH("R"&amp;172,중복목록!$L$6:$L$6005,0)),""))</f>
        <v/>
      </c>
      <c r="J177" s="14" t="b">
        <f aca="false">IF(중복검사!$A175="",FALSE(),중복검사!$H175="중복")</f>
        <v>0</v>
      </c>
      <c r="K177" s="5" t="str">
        <f aca="false">IF($J177=FALSE(),"",COUNTIF($J$6:$J177,TRUE()))</f>
        <v/>
      </c>
      <c r="L177" s="5" t="str">
        <f aca="false">IF($K177="","","R"&amp;$K177)</f>
        <v/>
      </c>
    </row>
    <row r="178" customFormat="false" ht="15" hidden="false" customHeight="true" outlineLevel="0" collapsed="false">
      <c r="A178" s="11" t="str">
        <f aca="false">IFERROR(INDEX(중복검사!$A$4:$A$6003,MATCH("R"&amp;173,중복목록!$L$6:$L$6005,0)),"")</f>
        <v/>
      </c>
      <c r="B178" s="12" t="str">
        <f aca="false">IF($A178="","",IFERROR(INDEX(중복검사!$B$4:$B$6003,MATCH("R"&amp;173,중복목록!$L$6:$L$6005,0)),""))</f>
        <v/>
      </c>
      <c r="C178" s="12" t="str">
        <f aca="false">IF($A178="","",IFERROR(INDEX(중복검사!$C$4:$C$6003,MATCH("R"&amp;173,중복목록!$L$6:$L$6005,0)),""))</f>
        <v/>
      </c>
      <c r="D178" s="12" t="str">
        <f aca="false">IF($A178="","",IFERROR(INDEX(중복검사!$D$4:$D$6003,MATCH("R"&amp;173,중복목록!$L$6:$L$6005,0)),""))</f>
        <v/>
      </c>
      <c r="E178" s="12" t="str">
        <f aca="false">IF($A178="","",IFERROR(IF(INDEX(원본명단!$E$3:$E$6002,MATCH("R"&amp;173,중복목록!$L$6:$L$6005,0))="","",INDEX(원본명단!$E$3:$E$6002,MATCH("R"&amp;173,중복목록!$L$6:$L$6005,0))),""))</f>
        <v/>
      </c>
      <c r="F178" s="11" t="str">
        <f aca="false">IF($A178="","",IFERROR(MAX(INDEX(중복검사!$E$4:$E$6003,MATCH("R"&amp;173,중복목록!$L$6:$L$6005,0)),INDEX(중복검사!$F$4:$F$6003,MATCH("R"&amp;173,중복목록!$L$6:$L$6005,0)),INDEX(중복검사!$G$4:$G$6003,MATCH("R"&amp;173,중복목록!$L$6:$L$6005,0))),""))</f>
        <v/>
      </c>
      <c r="G178" s="11" t="str">
        <f aca="false">IF($A178="","",IFERROR(INDEX(중복검사!$I$4:$I$6003,MATCH("R"&amp;173,중복목록!$L$6:$L$6005,0)),""))</f>
        <v/>
      </c>
      <c r="H178" s="11" t="str">
        <f aca="false">IF($A178="","",IFERROR(INDEX(중복검사!$J$4:$J$6003,MATCH("R"&amp;173,중복목록!$L$6:$L$6005,0)),""))</f>
        <v/>
      </c>
      <c r="J178" s="14" t="b">
        <f aca="false">IF(중복검사!$A176="",FALSE(),중복검사!$H176="중복")</f>
        <v>0</v>
      </c>
      <c r="K178" s="5" t="str">
        <f aca="false">IF($J178=FALSE(),"",COUNTIF($J$6:$J178,TRUE()))</f>
        <v/>
      </c>
      <c r="L178" s="5" t="str">
        <f aca="false">IF($K178="","","R"&amp;$K178)</f>
        <v/>
      </c>
    </row>
    <row r="179" customFormat="false" ht="15" hidden="false" customHeight="true" outlineLevel="0" collapsed="false">
      <c r="A179" s="11" t="str">
        <f aca="false">IFERROR(INDEX(중복검사!$A$4:$A$6003,MATCH("R"&amp;174,중복목록!$L$6:$L$6005,0)),"")</f>
        <v/>
      </c>
      <c r="B179" s="12" t="str">
        <f aca="false">IF($A179="","",IFERROR(INDEX(중복검사!$B$4:$B$6003,MATCH("R"&amp;174,중복목록!$L$6:$L$6005,0)),""))</f>
        <v/>
      </c>
      <c r="C179" s="12" t="str">
        <f aca="false">IF($A179="","",IFERROR(INDEX(중복검사!$C$4:$C$6003,MATCH("R"&amp;174,중복목록!$L$6:$L$6005,0)),""))</f>
        <v/>
      </c>
      <c r="D179" s="12" t="str">
        <f aca="false">IF($A179="","",IFERROR(INDEX(중복검사!$D$4:$D$6003,MATCH("R"&amp;174,중복목록!$L$6:$L$6005,0)),""))</f>
        <v/>
      </c>
      <c r="E179" s="12" t="str">
        <f aca="false">IF($A179="","",IFERROR(IF(INDEX(원본명단!$E$3:$E$6002,MATCH("R"&amp;174,중복목록!$L$6:$L$6005,0))="","",INDEX(원본명단!$E$3:$E$6002,MATCH("R"&amp;174,중복목록!$L$6:$L$6005,0))),""))</f>
        <v/>
      </c>
      <c r="F179" s="11" t="str">
        <f aca="false">IF($A179="","",IFERROR(MAX(INDEX(중복검사!$E$4:$E$6003,MATCH("R"&amp;174,중복목록!$L$6:$L$6005,0)),INDEX(중복검사!$F$4:$F$6003,MATCH("R"&amp;174,중복목록!$L$6:$L$6005,0)),INDEX(중복검사!$G$4:$G$6003,MATCH("R"&amp;174,중복목록!$L$6:$L$6005,0))),""))</f>
        <v/>
      </c>
      <c r="G179" s="11" t="str">
        <f aca="false">IF($A179="","",IFERROR(INDEX(중복검사!$I$4:$I$6003,MATCH("R"&amp;174,중복목록!$L$6:$L$6005,0)),""))</f>
        <v/>
      </c>
      <c r="H179" s="11" t="str">
        <f aca="false">IF($A179="","",IFERROR(INDEX(중복검사!$J$4:$J$6003,MATCH("R"&amp;174,중복목록!$L$6:$L$6005,0)),""))</f>
        <v/>
      </c>
      <c r="J179" s="14" t="b">
        <f aca="false">IF(중복검사!$A177="",FALSE(),중복검사!$H177="중복")</f>
        <v>0</v>
      </c>
      <c r="K179" s="5" t="str">
        <f aca="false">IF($J179=FALSE(),"",COUNTIF($J$6:$J179,TRUE()))</f>
        <v/>
      </c>
      <c r="L179" s="5" t="str">
        <f aca="false">IF($K179="","","R"&amp;$K179)</f>
        <v/>
      </c>
    </row>
    <row r="180" customFormat="false" ht="15" hidden="false" customHeight="true" outlineLevel="0" collapsed="false">
      <c r="A180" s="11" t="str">
        <f aca="false">IFERROR(INDEX(중복검사!$A$4:$A$6003,MATCH("R"&amp;175,중복목록!$L$6:$L$6005,0)),"")</f>
        <v/>
      </c>
      <c r="B180" s="12" t="str">
        <f aca="false">IF($A180="","",IFERROR(INDEX(중복검사!$B$4:$B$6003,MATCH("R"&amp;175,중복목록!$L$6:$L$6005,0)),""))</f>
        <v/>
      </c>
      <c r="C180" s="12" t="str">
        <f aca="false">IF($A180="","",IFERROR(INDEX(중복검사!$C$4:$C$6003,MATCH("R"&amp;175,중복목록!$L$6:$L$6005,0)),""))</f>
        <v/>
      </c>
      <c r="D180" s="12" t="str">
        <f aca="false">IF($A180="","",IFERROR(INDEX(중복검사!$D$4:$D$6003,MATCH("R"&amp;175,중복목록!$L$6:$L$6005,0)),""))</f>
        <v/>
      </c>
      <c r="E180" s="12" t="str">
        <f aca="false">IF($A180="","",IFERROR(IF(INDEX(원본명단!$E$3:$E$6002,MATCH("R"&amp;175,중복목록!$L$6:$L$6005,0))="","",INDEX(원본명단!$E$3:$E$6002,MATCH("R"&amp;175,중복목록!$L$6:$L$6005,0))),""))</f>
        <v/>
      </c>
      <c r="F180" s="11" t="str">
        <f aca="false">IF($A180="","",IFERROR(MAX(INDEX(중복검사!$E$4:$E$6003,MATCH("R"&amp;175,중복목록!$L$6:$L$6005,0)),INDEX(중복검사!$F$4:$F$6003,MATCH("R"&amp;175,중복목록!$L$6:$L$6005,0)),INDEX(중복검사!$G$4:$G$6003,MATCH("R"&amp;175,중복목록!$L$6:$L$6005,0))),""))</f>
        <v/>
      </c>
      <c r="G180" s="11" t="str">
        <f aca="false">IF($A180="","",IFERROR(INDEX(중복검사!$I$4:$I$6003,MATCH("R"&amp;175,중복목록!$L$6:$L$6005,0)),""))</f>
        <v/>
      </c>
      <c r="H180" s="11" t="str">
        <f aca="false">IF($A180="","",IFERROR(INDEX(중복검사!$J$4:$J$6003,MATCH("R"&amp;175,중복목록!$L$6:$L$6005,0)),""))</f>
        <v/>
      </c>
      <c r="J180" s="14" t="b">
        <f aca="false">IF(중복검사!$A178="",FALSE(),중복검사!$H178="중복")</f>
        <v>0</v>
      </c>
      <c r="K180" s="5" t="str">
        <f aca="false">IF($J180=FALSE(),"",COUNTIF($J$6:$J180,TRUE()))</f>
        <v/>
      </c>
      <c r="L180" s="5" t="str">
        <f aca="false">IF($K180="","","R"&amp;$K180)</f>
        <v/>
      </c>
    </row>
    <row r="181" customFormat="false" ht="15" hidden="false" customHeight="true" outlineLevel="0" collapsed="false">
      <c r="A181" s="11" t="str">
        <f aca="false">IFERROR(INDEX(중복검사!$A$4:$A$6003,MATCH("R"&amp;176,중복목록!$L$6:$L$6005,0)),"")</f>
        <v/>
      </c>
      <c r="B181" s="12" t="str">
        <f aca="false">IF($A181="","",IFERROR(INDEX(중복검사!$B$4:$B$6003,MATCH("R"&amp;176,중복목록!$L$6:$L$6005,0)),""))</f>
        <v/>
      </c>
      <c r="C181" s="12" t="str">
        <f aca="false">IF($A181="","",IFERROR(INDEX(중복검사!$C$4:$C$6003,MATCH("R"&amp;176,중복목록!$L$6:$L$6005,0)),""))</f>
        <v/>
      </c>
      <c r="D181" s="12" t="str">
        <f aca="false">IF($A181="","",IFERROR(INDEX(중복검사!$D$4:$D$6003,MATCH("R"&amp;176,중복목록!$L$6:$L$6005,0)),""))</f>
        <v/>
      </c>
      <c r="E181" s="12" t="str">
        <f aca="false">IF($A181="","",IFERROR(IF(INDEX(원본명단!$E$3:$E$6002,MATCH("R"&amp;176,중복목록!$L$6:$L$6005,0))="","",INDEX(원본명단!$E$3:$E$6002,MATCH("R"&amp;176,중복목록!$L$6:$L$6005,0))),""))</f>
        <v/>
      </c>
      <c r="F181" s="11" t="str">
        <f aca="false">IF($A181="","",IFERROR(MAX(INDEX(중복검사!$E$4:$E$6003,MATCH("R"&amp;176,중복목록!$L$6:$L$6005,0)),INDEX(중복검사!$F$4:$F$6003,MATCH("R"&amp;176,중복목록!$L$6:$L$6005,0)),INDEX(중복검사!$G$4:$G$6003,MATCH("R"&amp;176,중복목록!$L$6:$L$6005,0))),""))</f>
        <v/>
      </c>
      <c r="G181" s="11" t="str">
        <f aca="false">IF($A181="","",IFERROR(INDEX(중복검사!$I$4:$I$6003,MATCH("R"&amp;176,중복목록!$L$6:$L$6005,0)),""))</f>
        <v/>
      </c>
      <c r="H181" s="11" t="str">
        <f aca="false">IF($A181="","",IFERROR(INDEX(중복검사!$J$4:$J$6003,MATCH("R"&amp;176,중복목록!$L$6:$L$6005,0)),""))</f>
        <v/>
      </c>
      <c r="J181" s="14" t="b">
        <f aca="false">IF(중복검사!$A179="",FALSE(),중복검사!$H179="중복")</f>
        <v>0</v>
      </c>
      <c r="K181" s="5" t="str">
        <f aca="false">IF($J181=FALSE(),"",COUNTIF($J$6:$J181,TRUE()))</f>
        <v/>
      </c>
      <c r="L181" s="5" t="str">
        <f aca="false">IF($K181="","","R"&amp;$K181)</f>
        <v/>
      </c>
    </row>
    <row r="182" customFormat="false" ht="15" hidden="false" customHeight="true" outlineLevel="0" collapsed="false">
      <c r="A182" s="11" t="str">
        <f aca="false">IFERROR(INDEX(중복검사!$A$4:$A$6003,MATCH("R"&amp;177,중복목록!$L$6:$L$6005,0)),"")</f>
        <v/>
      </c>
      <c r="B182" s="12" t="str">
        <f aca="false">IF($A182="","",IFERROR(INDEX(중복검사!$B$4:$B$6003,MATCH("R"&amp;177,중복목록!$L$6:$L$6005,0)),""))</f>
        <v/>
      </c>
      <c r="C182" s="12" t="str">
        <f aca="false">IF($A182="","",IFERROR(INDEX(중복검사!$C$4:$C$6003,MATCH("R"&amp;177,중복목록!$L$6:$L$6005,0)),""))</f>
        <v/>
      </c>
      <c r="D182" s="12" t="str">
        <f aca="false">IF($A182="","",IFERROR(INDEX(중복검사!$D$4:$D$6003,MATCH("R"&amp;177,중복목록!$L$6:$L$6005,0)),""))</f>
        <v/>
      </c>
      <c r="E182" s="12" t="str">
        <f aca="false">IF($A182="","",IFERROR(IF(INDEX(원본명단!$E$3:$E$6002,MATCH("R"&amp;177,중복목록!$L$6:$L$6005,0))="","",INDEX(원본명단!$E$3:$E$6002,MATCH("R"&amp;177,중복목록!$L$6:$L$6005,0))),""))</f>
        <v/>
      </c>
      <c r="F182" s="11" t="str">
        <f aca="false">IF($A182="","",IFERROR(MAX(INDEX(중복검사!$E$4:$E$6003,MATCH("R"&amp;177,중복목록!$L$6:$L$6005,0)),INDEX(중복검사!$F$4:$F$6003,MATCH("R"&amp;177,중복목록!$L$6:$L$6005,0)),INDEX(중복검사!$G$4:$G$6003,MATCH("R"&amp;177,중복목록!$L$6:$L$6005,0))),""))</f>
        <v/>
      </c>
      <c r="G182" s="11" t="str">
        <f aca="false">IF($A182="","",IFERROR(INDEX(중복검사!$I$4:$I$6003,MATCH("R"&amp;177,중복목록!$L$6:$L$6005,0)),""))</f>
        <v/>
      </c>
      <c r="H182" s="11" t="str">
        <f aca="false">IF($A182="","",IFERROR(INDEX(중복검사!$J$4:$J$6003,MATCH("R"&amp;177,중복목록!$L$6:$L$6005,0)),""))</f>
        <v/>
      </c>
      <c r="J182" s="14" t="b">
        <f aca="false">IF(중복검사!$A180="",FALSE(),중복검사!$H180="중복")</f>
        <v>0</v>
      </c>
      <c r="K182" s="5" t="str">
        <f aca="false">IF($J182=FALSE(),"",COUNTIF($J$6:$J182,TRUE()))</f>
        <v/>
      </c>
      <c r="L182" s="5" t="str">
        <f aca="false">IF($K182="","","R"&amp;$K182)</f>
        <v/>
      </c>
    </row>
    <row r="183" customFormat="false" ht="15" hidden="false" customHeight="true" outlineLevel="0" collapsed="false">
      <c r="A183" s="11" t="str">
        <f aca="false">IFERROR(INDEX(중복검사!$A$4:$A$6003,MATCH("R"&amp;178,중복목록!$L$6:$L$6005,0)),"")</f>
        <v/>
      </c>
      <c r="B183" s="12" t="str">
        <f aca="false">IF($A183="","",IFERROR(INDEX(중복검사!$B$4:$B$6003,MATCH("R"&amp;178,중복목록!$L$6:$L$6005,0)),""))</f>
        <v/>
      </c>
      <c r="C183" s="12" t="str">
        <f aca="false">IF($A183="","",IFERROR(INDEX(중복검사!$C$4:$C$6003,MATCH("R"&amp;178,중복목록!$L$6:$L$6005,0)),""))</f>
        <v/>
      </c>
      <c r="D183" s="12" t="str">
        <f aca="false">IF($A183="","",IFERROR(INDEX(중복검사!$D$4:$D$6003,MATCH("R"&amp;178,중복목록!$L$6:$L$6005,0)),""))</f>
        <v/>
      </c>
      <c r="E183" s="12" t="str">
        <f aca="false">IF($A183="","",IFERROR(IF(INDEX(원본명단!$E$3:$E$6002,MATCH("R"&amp;178,중복목록!$L$6:$L$6005,0))="","",INDEX(원본명단!$E$3:$E$6002,MATCH("R"&amp;178,중복목록!$L$6:$L$6005,0))),""))</f>
        <v/>
      </c>
      <c r="F183" s="11" t="str">
        <f aca="false">IF($A183="","",IFERROR(MAX(INDEX(중복검사!$E$4:$E$6003,MATCH("R"&amp;178,중복목록!$L$6:$L$6005,0)),INDEX(중복검사!$F$4:$F$6003,MATCH("R"&amp;178,중복목록!$L$6:$L$6005,0)),INDEX(중복검사!$G$4:$G$6003,MATCH("R"&amp;178,중복목록!$L$6:$L$6005,0))),""))</f>
        <v/>
      </c>
      <c r="G183" s="11" t="str">
        <f aca="false">IF($A183="","",IFERROR(INDEX(중복검사!$I$4:$I$6003,MATCH("R"&amp;178,중복목록!$L$6:$L$6005,0)),""))</f>
        <v/>
      </c>
      <c r="H183" s="11" t="str">
        <f aca="false">IF($A183="","",IFERROR(INDEX(중복검사!$J$4:$J$6003,MATCH("R"&amp;178,중복목록!$L$6:$L$6005,0)),""))</f>
        <v/>
      </c>
      <c r="J183" s="14" t="b">
        <f aca="false">IF(중복검사!$A181="",FALSE(),중복검사!$H181="중복")</f>
        <v>0</v>
      </c>
      <c r="K183" s="5" t="str">
        <f aca="false">IF($J183=FALSE(),"",COUNTIF($J$6:$J183,TRUE()))</f>
        <v/>
      </c>
      <c r="L183" s="5" t="str">
        <f aca="false">IF($K183="","","R"&amp;$K183)</f>
        <v/>
      </c>
    </row>
    <row r="184" customFormat="false" ht="15" hidden="false" customHeight="true" outlineLevel="0" collapsed="false">
      <c r="A184" s="11" t="str">
        <f aca="false">IFERROR(INDEX(중복검사!$A$4:$A$6003,MATCH("R"&amp;179,중복목록!$L$6:$L$6005,0)),"")</f>
        <v/>
      </c>
      <c r="B184" s="12" t="str">
        <f aca="false">IF($A184="","",IFERROR(INDEX(중복검사!$B$4:$B$6003,MATCH("R"&amp;179,중복목록!$L$6:$L$6005,0)),""))</f>
        <v/>
      </c>
      <c r="C184" s="12" t="str">
        <f aca="false">IF($A184="","",IFERROR(INDEX(중복검사!$C$4:$C$6003,MATCH("R"&amp;179,중복목록!$L$6:$L$6005,0)),""))</f>
        <v/>
      </c>
      <c r="D184" s="12" t="str">
        <f aca="false">IF($A184="","",IFERROR(INDEX(중복검사!$D$4:$D$6003,MATCH("R"&amp;179,중복목록!$L$6:$L$6005,0)),""))</f>
        <v/>
      </c>
      <c r="E184" s="12" t="str">
        <f aca="false">IF($A184="","",IFERROR(IF(INDEX(원본명단!$E$3:$E$6002,MATCH("R"&amp;179,중복목록!$L$6:$L$6005,0))="","",INDEX(원본명단!$E$3:$E$6002,MATCH("R"&amp;179,중복목록!$L$6:$L$6005,0))),""))</f>
        <v/>
      </c>
      <c r="F184" s="11" t="str">
        <f aca="false">IF($A184="","",IFERROR(MAX(INDEX(중복검사!$E$4:$E$6003,MATCH("R"&amp;179,중복목록!$L$6:$L$6005,0)),INDEX(중복검사!$F$4:$F$6003,MATCH("R"&amp;179,중복목록!$L$6:$L$6005,0)),INDEX(중복검사!$G$4:$G$6003,MATCH("R"&amp;179,중복목록!$L$6:$L$6005,0))),""))</f>
        <v/>
      </c>
      <c r="G184" s="11" t="str">
        <f aca="false">IF($A184="","",IFERROR(INDEX(중복검사!$I$4:$I$6003,MATCH("R"&amp;179,중복목록!$L$6:$L$6005,0)),""))</f>
        <v/>
      </c>
      <c r="H184" s="11" t="str">
        <f aca="false">IF($A184="","",IFERROR(INDEX(중복검사!$J$4:$J$6003,MATCH("R"&amp;179,중복목록!$L$6:$L$6005,0)),""))</f>
        <v/>
      </c>
      <c r="J184" s="14" t="b">
        <f aca="false">IF(중복검사!$A182="",FALSE(),중복검사!$H182="중복")</f>
        <v>0</v>
      </c>
      <c r="K184" s="5" t="str">
        <f aca="false">IF($J184=FALSE(),"",COUNTIF($J$6:$J184,TRUE()))</f>
        <v/>
      </c>
      <c r="L184" s="5" t="str">
        <f aca="false">IF($K184="","","R"&amp;$K184)</f>
        <v/>
      </c>
    </row>
    <row r="185" customFormat="false" ht="15" hidden="false" customHeight="true" outlineLevel="0" collapsed="false">
      <c r="A185" s="11" t="str">
        <f aca="false">IFERROR(INDEX(중복검사!$A$4:$A$6003,MATCH("R"&amp;180,중복목록!$L$6:$L$6005,0)),"")</f>
        <v/>
      </c>
      <c r="B185" s="12" t="str">
        <f aca="false">IF($A185="","",IFERROR(INDEX(중복검사!$B$4:$B$6003,MATCH("R"&amp;180,중복목록!$L$6:$L$6005,0)),""))</f>
        <v/>
      </c>
      <c r="C185" s="12" t="str">
        <f aca="false">IF($A185="","",IFERROR(INDEX(중복검사!$C$4:$C$6003,MATCH("R"&amp;180,중복목록!$L$6:$L$6005,0)),""))</f>
        <v/>
      </c>
      <c r="D185" s="12" t="str">
        <f aca="false">IF($A185="","",IFERROR(INDEX(중복검사!$D$4:$D$6003,MATCH("R"&amp;180,중복목록!$L$6:$L$6005,0)),""))</f>
        <v/>
      </c>
      <c r="E185" s="12" t="str">
        <f aca="false">IF($A185="","",IFERROR(IF(INDEX(원본명단!$E$3:$E$6002,MATCH("R"&amp;180,중복목록!$L$6:$L$6005,0))="","",INDEX(원본명단!$E$3:$E$6002,MATCH("R"&amp;180,중복목록!$L$6:$L$6005,0))),""))</f>
        <v/>
      </c>
      <c r="F185" s="11" t="str">
        <f aca="false">IF($A185="","",IFERROR(MAX(INDEX(중복검사!$E$4:$E$6003,MATCH("R"&amp;180,중복목록!$L$6:$L$6005,0)),INDEX(중복검사!$F$4:$F$6003,MATCH("R"&amp;180,중복목록!$L$6:$L$6005,0)),INDEX(중복검사!$G$4:$G$6003,MATCH("R"&amp;180,중복목록!$L$6:$L$6005,0))),""))</f>
        <v/>
      </c>
      <c r="G185" s="11" t="str">
        <f aca="false">IF($A185="","",IFERROR(INDEX(중복검사!$I$4:$I$6003,MATCH("R"&amp;180,중복목록!$L$6:$L$6005,0)),""))</f>
        <v/>
      </c>
      <c r="H185" s="11" t="str">
        <f aca="false">IF($A185="","",IFERROR(INDEX(중복검사!$J$4:$J$6003,MATCH("R"&amp;180,중복목록!$L$6:$L$6005,0)),""))</f>
        <v/>
      </c>
      <c r="J185" s="14" t="b">
        <f aca="false">IF(중복검사!$A183="",FALSE(),중복검사!$H183="중복")</f>
        <v>0</v>
      </c>
      <c r="K185" s="5" t="str">
        <f aca="false">IF($J185=FALSE(),"",COUNTIF($J$6:$J185,TRUE()))</f>
        <v/>
      </c>
      <c r="L185" s="5" t="str">
        <f aca="false">IF($K185="","","R"&amp;$K185)</f>
        <v/>
      </c>
    </row>
    <row r="186" customFormat="false" ht="15" hidden="false" customHeight="true" outlineLevel="0" collapsed="false">
      <c r="A186" s="11" t="str">
        <f aca="false">IFERROR(INDEX(중복검사!$A$4:$A$6003,MATCH("R"&amp;181,중복목록!$L$6:$L$6005,0)),"")</f>
        <v/>
      </c>
      <c r="B186" s="12" t="str">
        <f aca="false">IF($A186="","",IFERROR(INDEX(중복검사!$B$4:$B$6003,MATCH("R"&amp;181,중복목록!$L$6:$L$6005,0)),""))</f>
        <v/>
      </c>
      <c r="C186" s="12" t="str">
        <f aca="false">IF($A186="","",IFERROR(INDEX(중복검사!$C$4:$C$6003,MATCH("R"&amp;181,중복목록!$L$6:$L$6005,0)),""))</f>
        <v/>
      </c>
      <c r="D186" s="12" t="str">
        <f aca="false">IF($A186="","",IFERROR(INDEX(중복검사!$D$4:$D$6003,MATCH("R"&amp;181,중복목록!$L$6:$L$6005,0)),""))</f>
        <v/>
      </c>
      <c r="E186" s="12" t="str">
        <f aca="false">IF($A186="","",IFERROR(IF(INDEX(원본명단!$E$3:$E$6002,MATCH("R"&amp;181,중복목록!$L$6:$L$6005,0))="","",INDEX(원본명단!$E$3:$E$6002,MATCH("R"&amp;181,중복목록!$L$6:$L$6005,0))),""))</f>
        <v/>
      </c>
      <c r="F186" s="11" t="str">
        <f aca="false">IF($A186="","",IFERROR(MAX(INDEX(중복검사!$E$4:$E$6003,MATCH("R"&amp;181,중복목록!$L$6:$L$6005,0)),INDEX(중복검사!$F$4:$F$6003,MATCH("R"&amp;181,중복목록!$L$6:$L$6005,0)),INDEX(중복검사!$G$4:$G$6003,MATCH("R"&amp;181,중복목록!$L$6:$L$6005,0))),""))</f>
        <v/>
      </c>
      <c r="G186" s="11" t="str">
        <f aca="false">IF($A186="","",IFERROR(INDEX(중복검사!$I$4:$I$6003,MATCH("R"&amp;181,중복목록!$L$6:$L$6005,0)),""))</f>
        <v/>
      </c>
      <c r="H186" s="11" t="str">
        <f aca="false">IF($A186="","",IFERROR(INDEX(중복검사!$J$4:$J$6003,MATCH("R"&amp;181,중복목록!$L$6:$L$6005,0)),""))</f>
        <v/>
      </c>
      <c r="J186" s="14" t="b">
        <f aca="false">IF(중복검사!$A184="",FALSE(),중복검사!$H184="중복")</f>
        <v>0</v>
      </c>
      <c r="K186" s="5" t="str">
        <f aca="false">IF($J186=FALSE(),"",COUNTIF($J$6:$J186,TRUE()))</f>
        <v/>
      </c>
      <c r="L186" s="5" t="str">
        <f aca="false">IF($K186="","","R"&amp;$K186)</f>
        <v/>
      </c>
    </row>
    <row r="187" customFormat="false" ht="15" hidden="false" customHeight="true" outlineLevel="0" collapsed="false">
      <c r="A187" s="11" t="str">
        <f aca="false">IFERROR(INDEX(중복검사!$A$4:$A$6003,MATCH("R"&amp;182,중복목록!$L$6:$L$6005,0)),"")</f>
        <v/>
      </c>
      <c r="B187" s="12" t="str">
        <f aca="false">IF($A187="","",IFERROR(INDEX(중복검사!$B$4:$B$6003,MATCH("R"&amp;182,중복목록!$L$6:$L$6005,0)),""))</f>
        <v/>
      </c>
      <c r="C187" s="12" t="str">
        <f aca="false">IF($A187="","",IFERROR(INDEX(중복검사!$C$4:$C$6003,MATCH("R"&amp;182,중복목록!$L$6:$L$6005,0)),""))</f>
        <v/>
      </c>
      <c r="D187" s="12" t="str">
        <f aca="false">IF($A187="","",IFERROR(INDEX(중복검사!$D$4:$D$6003,MATCH("R"&amp;182,중복목록!$L$6:$L$6005,0)),""))</f>
        <v/>
      </c>
      <c r="E187" s="12" t="str">
        <f aca="false">IF($A187="","",IFERROR(IF(INDEX(원본명단!$E$3:$E$6002,MATCH("R"&amp;182,중복목록!$L$6:$L$6005,0))="","",INDEX(원본명단!$E$3:$E$6002,MATCH("R"&amp;182,중복목록!$L$6:$L$6005,0))),""))</f>
        <v/>
      </c>
      <c r="F187" s="11" t="str">
        <f aca="false">IF($A187="","",IFERROR(MAX(INDEX(중복검사!$E$4:$E$6003,MATCH("R"&amp;182,중복목록!$L$6:$L$6005,0)),INDEX(중복검사!$F$4:$F$6003,MATCH("R"&amp;182,중복목록!$L$6:$L$6005,0)),INDEX(중복검사!$G$4:$G$6003,MATCH("R"&amp;182,중복목록!$L$6:$L$6005,0))),""))</f>
        <v/>
      </c>
      <c r="G187" s="11" t="str">
        <f aca="false">IF($A187="","",IFERROR(INDEX(중복검사!$I$4:$I$6003,MATCH("R"&amp;182,중복목록!$L$6:$L$6005,0)),""))</f>
        <v/>
      </c>
      <c r="H187" s="11" t="str">
        <f aca="false">IF($A187="","",IFERROR(INDEX(중복검사!$J$4:$J$6003,MATCH("R"&amp;182,중복목록!$L$6:$L$6005,0)),""))</f>
        <v/>
      </c>
      <c r="J187" s="14" t="b">
        <f aca="false">IF(중복검사!$A185="",FALSE(),중복검사!$H185="중복")</f>
        <v>0</v>
      </c>
      <c r="K187" s="5" t="str">
        <f aca="false">IF($J187=FALSE(),"",COUNTIF($J$6:$J187,TRUE()))</f>
        <v/>
      </c>
      <c r="L187" s="5" t="str">
        <f aca="false">IF($K187="","","R"&amp;$K187)</f>
        <v/>
      </c>
    </row>
    <row r="188" customFormat="false" ht="15" hidden="false" customHeight="true" outlineLevel="0" collapsed="false">
      <c r="A188" s="11" t="str">
        <f aca="false">IFERROR(INDEX(중복검사!$A$4:$A$6003,MATCH("R"&amp;183,중복목록!$L$6:$L$6005,0)),"")</f>
        <v/>
      </c>
      <c r="B188" s="12" t="str">
        <f aca="false">IF($A188="","",IFERROR(INDEX(중복검사!$B$4:$B$6003,MATCH("R"&amp;183,중복목록!$L$6:$L$6005,0)),""))</f>
        <v/>
      </c>
      <c r="C188" s="12" t="str">
        <f aca="false">IF($A188="","",IFERROR(INDEX(중복검사!$C$4:$C$6003,MATCH("R"&amp;183,중복목록!$L$6:$L$6005,0)),""))</f>
        <v/>
      </c>
      <c r="D188" s="12" t="str">
        <f aca="false">IF($A188="","",IFERROR(INDEX(중복검사!$D$4:$D$6003,MATCH("R"&amp;183,중복목록!$L$6:$L$6005,0)),""))</f>
        <v/>
      </c>
      <c r="E188" s="12" t="str">
        <f aca="false">IF($A188="","",IFERROR(IF(INDEX(원본명단!$E$3:$E$6002,MATCH("R"&amp;183,중복목록!$L$6:$L$6005,0))="","",INDEX(원본명단!$E$3:$E$6002,MATCH("R"&amp;183,중복목록!$L$6:$L$6005,0))),""))</f>
        <v/>
      </c>
      <c r="F188" s="11" t="str">
        <f aca="false">IF($A188="","",IFERROR(MAX(INDEX(중복검사!$E$4:$E$6003,MATCH("R"&amp;183,중복목록!$L$6:$L$6005,0)),INDEX(중복검사!$F$4:$F$6003,MATCH("R"&amp;183,중복목록!$L$6:$L$6005,0)),INDEX(중복검사!$G$4:$G$6003,MATCH("R"&amp;183,중복목록!$L$6:$L$6005,0))),""))</f>
        <v/>
      </c>
      <c r="G188" s="11" t="str">
        <f aca="false">IF($A188="","",IFERROR(INDEX(중복검사!$I$4:$I$6003,MATCH("R"&amp;183,중복목록!$L$6:$L$6005,0)),""))</f>
        <v/>
      </c>
      <c r="H188" s="11" t="str">
        <f aca="false">IF($A188="","",IFERROR(INDEX(중복검사!$J$4:$J$6003,MATCH("R"&amp;183,중복목록!$L$6:$L$6005,0)),""))</f>
        <v/>
      </c>
      <c r="J188" s="14" t="b">
        <f aca="false">IF(중복검사!$A186="",FALSE(),중복검사!$H186="중복")</f>
        <v>0</v>
      </c>
      <c r="K188" s="5" t="str">
        <f aca="false">IF($J188=FALSE(),"",COUNTIF($J$6:$J188,TRUE()))</f>
        <v/>
      </c>
      <c r="L188" s="5" t="str">
        <f aca="false">IF($K188="","","R"&amp;$K188)</f>
        <v/>
      </c>
    </row>
    <row r="189" customFormat="false" ht="15" hidden="false" customHeight="true" outlineLevel="0" collapsed="false">
      <c r="A189" s="11" t="str">
        <f aca="false">IFERROR(INDEX(중복검사!$A$4:$A$6003,MATCH("R"&amp;184,중복목록!$L$6:$L$6005,0)),"")</f>
        <v/>
      </c>
      <c r="B189" s="12" t="str">
        <f aca="false">IF($A189="","",IFERROR(INDEX(중복검사!$B$4:$B$6003,MATCH("R"&amp;184,중복목록!$L$6:$L$6005,0)),""))</f>
        <v/>
      </c>
      <c r="C189" s="12" t="str">
        <f aca="false">IF($A189="","",IFERROR(INDEX(중복검사!$C$4:$C$6003,MATCH("R"&amp;184,중복목록!$L$6:$L$6005,0)),""))</f>
        <v/>
      </c>
      <c r="D189" s="12" t="str">
        <f aca="false">IF($A189="","",IFERROR(INDEX(중복검사!$D$4:$D$6003,MATCH("R"&amp;184,중복목록!$L$6:$L$6005,0)),""))</f>
        <v/>
      </c>
      <c r="E189" s="12" t="str">
        <f aca="false">IF($A189="","",IFERROR(IF(INDEX(원본명단!$E$3:$E$6002,MATCH("R"&amp;184,중복목록!$L$6:$L$6005,0))="","",INDEX(원본명단!$E$3:$E$6002,MATCH("R"&amp;184,중복목록!$L$6:$L$6005,0))),""))</f>
        <v/>
      </c>
      <c r="F189" s="11" t="str">
        <f aca="false">IF($A189="","",IFERROR(MAX(INDEX(중복검사!$E$4:$E$6003,MATCH("R"&amp;184,중복목록!$L$6:$L$6005,0)),INDEX(중복검사!$F$4:$F$6003,MATCH("R"&amp;184,중복목록!$L$6:$L$6005,0)),INDEX(중복검사!$G$4:$G$6003,MATCH("R"&amp;184,중복목록!$L$6:$L$6005,0))),""))</f>
        <v/>
      </c>
      <c r="G189" s="11" t="str">
        <f aca="false">IF($A189="","",IFERROR(INDEX(중복검사!$I$4:$I$6003,MATCH("R"&amp;184,중복목록!$L$6:$L$6005,0)),""))</f>
        <v/>
      </c>
      <c r="H189" s="11" t="str">
        <f aca="false">IF($A189="","",IFERROR(INDEX(중복검사!$J$4:$J$6003,MATCH("R"&amp;184,중복목록!$L$6:$L$6005,0)),""))</f>
        <v/>
      </c>
      <c r="J189" s="14" t="b">
        <f aca="false">IF(중복검사!$A187="",FALSE(),중복검사!$H187="중복")</f>
        <v>0</v>
      </c>
      <c r="K189" s="5" t="str">
        <f aca="false">IF($J189=FALSE(),"",COUNTIF($J$6:$J189,TRUE()))</f>
        <v/>
      </c>
      <c r="L189" s="5" t="str">
        <f aca="false">IF($K189="","","R"&amp;$K189)</f>
        <v/>
      </c>
    </row>
    <row r="190" customFormat="false" ht="15" hidden="false" customHeight="true" outlineLevel="0" collapsed="false">
      <c r="A190" s="11" t="str">
        <f aca="false">IFERROR(INDEX(중복검사!$A$4:$A$6003,MATCH("R"&amp;185,중복목록!$L$6:$L$6005,0)),"")</f>
        <v/>
      </c>
      <c r="B190" s="12" t="str">
        <f aca="false">IF($A190="","",IFERROR(INDEX(중복검사!$B$4:$B$6003,MATCH("R"&amp;185,중복목록!$L$6:$L$6005,0)),""))</f>
        <v/>
      </c>
      <c r="C190" s="12" t="str">
        <f aca="false">IF($A190="","",IFERROR(INDEX(중복검사!$C$4:$C$6003,MATCH("R"&amp;185,중복목록!$L$6:$L$6005,0)),""))</f>
        <v/>
      </c>
      <c r="D190" s="12" t="str">
        <f aca="false">IF($A190="","",IFERROR(INDEX(중복검사!$D$4:$D$6003,MATCH("R"&amp;185,중복목록!$L$6:$L$6005,0)),""))</f>
        <v/>
      </c>
      <c r="E190" s="12" t="str">
        <f aca="false">IF($A190="","",IFERROR(IF(INDEX(원본명단!$E$3:$E$6002,MATCH("R"&amp;185,중복목록!$L$6:$L$6005,0))="","",INDEX(원본명단!$E$3:$E$6002,MATCH("R"&amp;185,중복목록!$L$6:$L$6005,0))),""))</f>
        <v/>
      </c>
      <c r="F190" s="11" t="str">
        <f aca="false">IF($A190="","",IFERROR(MAX(INDEX(중복검사!$E$4:$E$6003,MATCH("R"&amp;185,중복목록!$L$6:$L$6005,0)),INDEX(중복검사!$F$4:$F$6003,MATCH("R"&amp;185,중복목록!$L$6:$L$6005,0)),INDEX(중복검사!$G$4:$G$6003,MATCH("R"&amp;185,중복목록!$L$6:$L$6005,0))),""))</f>
        <v/>
      </c>
      <c r="G190" s="11" t="str">
        <f aca="false">IF($A190="","",IFERROR(INDEX(중복검사!$I$4:$I$6003,MATCH("R"&amp;185,중복목록!$L$6:$L$6005,0)),""))</f>
        <v/>
      </c>
      <c r="H190" s="11" t="str">
        <f aca="false">IF($A190="","",IFERROR(INDEX(중복검사!$J$4:$J$6003,MATCH("R"&amp;185,중복목록!$L$6:$L$6005,0)),""))</f>
        <v/>
      </c>
      <c r="J190" s="14" t="b">
        <f aca="false">IF(중복검사!$A188="",FALSE(),중복검사!$H188="중복")</f>
        <v>0</v>
      </c>
      <c r="K190" s="5" t="str">
        <f aca="false">IF($J190=FALSE(),"",COUNTIF($J$6:$J190,TRUE()))</f>
        <v/>
      </c>
      <c r="L190" s="5" t="str">
        <f aca="false">IF($K190="","","R"&amp;$K190)</f>
        <v/>
      </c>
    </row>
    <row r="191" customFormat="false" ht="15" hidden="false" customHeight="true" outlineLevel="0" collapsed="false">
      <c r="A191" s="11" t="str">
        <f aca="false">IFERROR(INDEX(중복검사!$A$4:$A$6003,MATCH("R"&amp;186,중복목록!$L$6:$L$6005,0)),"")</f>
        <v/>
      </c>
      <c r="B191" s="12" t="str">
        <f aca="false">IF($A191="","",IFERROR(INDEX(중복검사!$B$4:$B$6003,MATCH("R"&amp;186,중복목록!$L$6:$L$6005,0)),""))</f>
        <v/>
      </c>
      <c r="C191" s="12" t="str">
        <f aca="false">IF($A191="","",IFERROR(INDEX(중복검사!$C$4:$C$6003,MATCH("R"&amp;186,중복목록!$L$6:$L$6005,0)),""))</f>
        <v/>
      </c>
      <c r="D191" s="12" t="str">
        <f aca="false">IF($A191="","",IFERROR(INDEX(중복검사!$D$4:$D$6003,MATCH("R"&amp;186,중복목록!$L$6:$L$6005,0)),""))</f>
        <v/>
      </c>
      <c r="E191" s="12" t="str">
        <f aca="false">IF($A191="","",IFERROR(IF(INDEX(원본명단!$E$3:$E$6002,MATCH("R"&amp;186,중복목록!$L$6:$L$6005,0))="","",INDEX(원본명단!$E$3:$E$6002,MATCH("R"&amp;186,중복목록!$L$6:$L$6005,0))),""))</f>
        <v/>
      </c>
      <c r="F191" s="11" t="str">
        <f aca="false">IF($A191="","",IFERROR(MAX(INDEX(중복검사!$E$4:$E$6003,MATCH("R"&amp;186,중복목록!$L$6:$L$6005,0)),INDEX(중복검사!$F$4:$F$6003,MATCH("R"&amp;186,중복목록!$L$6:$L$6005,0)),INDEX(중복검사!$G$4:$G$6003,MATCH("R"&amp;186,중복목록!$L$6:$L$6005,0))),""))</f>
        <v/>
      </c>
      <c r="G191" s="11" t="str">
        <f aca="false">IF($A191="","",IFERROR(INDEX(중복검사!$I$4:$I$6003,MATCH("R"&amp;186,중복목록!$L$6:$L$6005,0)),""))</f>
        <v/>
      </c>
      <c r="H191" s="11" t="str">
        <f aca="false">IF($A191="","",IFERROR(INDEX(중복검사!$J$4:$J$6003,MATCH("R"&amp;186,중복목록!$L$6:$L$6005,0)),""))</f>
        <v/>
      </c>
      <c r="J191" s="14" t="b">
        <f aca="false">IF(중복검사!$A189="",FALSE(),중복검사!$H189="중복")</f>
        <v>0</v>
      </c>
      <c r="K191" s="5" t="str">
        <f aca="false">IF($J191=FALSE(),"",COUNTIF($J$6:$J191,TRUE()))</f>
        <v/>
      </c>
      <c r="L191" s="5" t="str">
        <f aca="false">IF($K191="","","R"&amp;$K191)</f>
        <v/>
      </c>
    </row>
    <row r="192" customFormat="false" ht="15" hidden="false" customHeight="true" outlineLevel="0" collapsed="false">
      <c r="A192" s="11" t="str">
        <f aca="false">IFERROR(INDEX(중복검사!$A$4:$A$6003,MATCH("R"&amp;187,중복목록!$L$6:$L$6005,0)),"")</f>
        <v/>
      </c>
      <c r="B192" s="12" t="str">
        <f aca="false">IF($A192="","",IFERROR(INDEX(중복검사!$B$4:$B$6003,MATCH("R"&amp;187,중복목록!$L$6:$L$6005,0)),""))</f>
        <v/>
      </c>
      <c r="C192" s="12" t="str">
        <f aca="false">IF($A192="","",IFERROR(INDEX(중복검사!$C$4:$C$6003,MATCH("R"&amp;187,중복목록!$L$6:$L$6005,0)),""))</f>
        <v/>
      </c>
      <c r="D192" s="12" t="str">
        <f aca="false">IF($A192="","",IFERROR(INDEX(중복검사!$D$4:$D$6003,MATCH("R"&amp;187,중복목록!$L$6:$L$6005,0)),""))</f>
        <v/>
      </c>
      <c r="E192" s="12" t="str">
        <f aca="false">IF($A192="","",IFERROR(IF(INDEX(원본명단!$E$3:$E$6002,MATCH("R"&amp;187,중복목록!$L$6:$L$6005,0))="","",INDEX(원본명단!$E$3:$E$6002,MATCH("R"&amp;187,중복목록!$L$6:$L$6005,0))),""))</f>
        <v/>
      </c>
      <c r="F192" s="11" t="str">
        <f aca="false">IF($A192="","",IFERROR(MAX(INDEX(중복검사!$E$4:$E$6003,MATCH("R"&amp;187,중복목록!$L$6:$L$6005,0)),INDEX(중복검사!$F$4:$F$6003,MATCH("R"&amp;187,중복목록!$L$6:$L$6005,0)),INDEX(중복검사!$G$4:$G$6003,MATCH("R"&amp;187,중복목록!$L$6:$L$6005,0))),""))</f>
        <v/>
      </c>
      <c r="G192" s="11" t="str">
        <f aca="false">IF($A192="","",IFERROR(INDEX(중복검사!$I$4:$I$6003,MATCH("R"&amp;187,중복목록!$L$6:$L$6005,0)),""))</f>
        <v/>
      </c>
      <c r="H192" s="11" t="str">
        <f aca="false">IF($A192="","",IFERROR(INDEX(중복검사!$J$4:$J$6003,MATCH("R"&amp;187,중복목록!$L$6:$L$6005,0)),""))</f>
        <v/>
      </c>
      <c r="J192" s="14" t="b">
        <f aca="false">IF(중복검사!$A190="",FALSE(),중복검사!$H190="중복")</f>
        <v>0</v>
      </c>
      <c r="K192" s="5" t="str">
        <f aca="false">IF($J192=FALSE(),"",COUNTIF($J$6:$J192,TRUE()))</f>
        <v/>
      </c>
      <c r="L192" s="5" t="str">
        <f aca="false">IF($K192="","","R"&amp;$K192)</f>
        <v/>
      </c>
    </row>
    <row r="193" customFormat="false" ht="15" hidden="false" customHeight="true" outlineLevel="0" collapsed="false">
      <c r="A193" s="11" t="str">
        <f aca="false">IFERROR(INDEX(중복검사!$A$4:$A$6003,MATCH("R"&amp;188,중복목록!$L$6:$L$6005,0)),"")</f>
        <v/>
      </c>
      <c r="B193" s="12" t="str">
        <f aca="false">IF($A193="","",IFERROR(INDEX(중복검사!$B$4:$B$6003,MATCH("R"&amp;188,중복목록!$L$6:$L$6005,0)),""))</f>
        <v/>
      </c>
      <c r="C193" s="12" t="str">
        <f aca="false">IF($A193="","",IFERROR(INDEX(중복검사!$C$4:$C$6003,MATCH("R"&amp;188,중복목록!$L$6:$L$6005,0)),""))</f>
        <v/>
      </c>
      <c r="D193" s="12" t="str">
        <f aca="false">IF($A193="","",IFERROR(INDEX(중복검사!$D$4:$D$6003,MATCH("R"&amp;188,중복목록!$L$6:$L$6005,0)),""))</f>
        <v/>
      </c>
      <c r="E193" s="12" t="str">
        <f aca="false">IF($A193="","",IFERROR(IF(INDEX(원본명단!$E$3:$E$6002,MATCH("R"&amp;188,중복목록!$L$6:$L$6005,0))="","",INDEX(원본명단!$E$3:$E$6002,MATCH("R"&amp;188,중복목록!$L$6:$L$6005,0))),""))</f>
        <v/>
      </c>
      <c r="F193" s="11" t="str">
        <f aca="false">IF($A193="","",IFERROR(MAX(INDEX(중복검사!$E$4:$E$6003,MATCH("R"&amp;188,중복목록!$L$6:$L$6005,0)),INDEX(중복검사!$F$4:$F$6003,MATCH("R"&amp;188,중복목록!$L$6:$L$6005,0)),INDEX(중복검사!$G$4:$G$6003,MATCH("R"&amp;188,중복목록!$L$6:$L$6005,0))),""))</f>
        <v/>
      </c>
      <c r="G193" s="11" t="str">
        <f aca="false">IF($A193="","",IFERROR(INDEX(중복검사!$I$4:$I$6003,MATCH("R"&amp;188,중복목록!$L$6:$L$6005,0)),""))</f>
        <v/>
      </c>
      <c r="H193" s="11" t="str">
        <f aca="false">IF($A193="","",IFERROR(INDEX(중복검사!$J$4:$J$6003,MATCH("R"&amp;188,중복목록!$L$6:$L$6005,0)),""))</f>
        <v/>
      </c>
      <c r="J193" s="14" t="b">
        <f aca="false">IF(중복검사!$A191="",FALSE(),중복검사!$H191="중복")</f>
        <v>0</v>
      </c>
      <c r="K193" s="5" t="str">
        <f aca="false">IF($J193=FALSE(),"",COUNTIF($J$6:$J193,TRUE()))</f>
        <v/>
      </c>
      <c r="L193" s="5" t="str">
        <f aca="false">IF($K193="","","R"&amp;$K193)</f>
        <v/>
      </c>
    </row>
    <row r="194" customFormat="false" ht="15" hidden="false" customHeight="true" outlineLevel="0" collapsed="false">
      <c r="A194" s="11" t="str">
        <f aca="false">IFERROR(INDEX(중복검사!$A$4:$A$6003,MATCH("R"&amp;189,중복목록!$L$6:$L$6005,0)),"")</f>
        <v/>
      </c>
      <c r="B194" s="12" t="str">
        <f aca="false">IF($A194="","",IFERROR(INDEX(중복검사!$B$4:$B$6003,MATCH("R"&amp;189,중복목록!$L$6:$L$6005,0)),""))</f>
        <v/>
      </c>
      <c r="C194" s="12" t="str">
        <f aca="false">IF($A194="","",IFERROR(INDEX(중복검사!$C$4:$C$6003,MATCH("R"&amp;189,중복목록!$L$6:$L$6005,0)),""))</f>
        <v/>
      </c>
      <c r="D194" s="12" t="str">
        <f aca="false">IF($A194="","",IFERROR(INDEX(중복검사!$D$4:$D$6003,MATCH("R"&amp;189,중복목록!$L$6:$L$6005,0)),""))</f>
        <v/>
      </c>
      <c r="E194" s="12" t="str">
        <f aca="false">IF($A194="","",IFERROR(IF(INDEX(원본명단!$E$3:$E$6002,MATCH("R"&amp;189,중복목록!$L$6:$L$6005,0))="","",INDEX(원본명단!$E$3:$E$6002,MATCH("R"&amp;189,중복목록!$L$6:$L$6005,0))),""))</f>
        <v/>
      </c>
      <c r="F194" s="11" t="str">
        <f aca="false">IF($A194="","",IFERROR(MAX(INDEX(중복검사!$E$4:$E$6003,MATCH("R"&amp;189,중복목록!$L$6:$L$6005,0)),INDEX(중복검사!$F$4:$F$6003,MATCH("R"&amp;189,중복목록!$L$6:$L$6005,0)),INDEX(중복검사!$G$4:$G$6003,MATCH("R"&amp;189,중복목록!$L$6:$L$6005,0))),""))</f>
        <v/>
      </c>
      <c r="G194" s="11" t="str">
        <f aca="false">IF($A194="","",IFERROR(INDEX(중복검사!$I$4:$I$6003,MATCH("R"&amp;189,중복목록!$L$6:$L$6005,0)),""))</f>
        <v/>
      </c>
      <c r="H194" s="11" t="str">
        <f aca="false">IF($A194="","",IFERROR(INDEX(중복검사!$J$4:$J$6003,MATCH("R"&amp;189,중복목록!$L$6:$L$6005,0)),""))</f>
        <v/>
      </c>
      <c r="J194" s="14" t="b">
        <f aca="false">IF(중복검사!$A192="",FALSE(),중복검사!$H192="중복")</f>
        <v>0</v>
      </c>
      <c r="K194" s="5" t="str">
        <f aca="false">IF($J194=FALSE(),"",COUNTIF($J$6:$J194,TRUE()))</f>
        <v/>
      </c>
      <c r="L194" s="5" t="str">
        <f aca="false">IF($K194="","","R"&amp;$K194)</f>
        <v/>
      </c>
    </row>
    <row r="195" customFormat="false" ht="15" hidden="false" customHeight="true" outlineLevel="0" collapsed="false">
      <c r="A195" s="11" t="str">
        <f aca="false">IFERROR(INDEX(중복검사!$A$4:$A$6003,MATCH("R"&amp;190,중복목록!$L$6:$L$6005,0)),"")</f>
        <v/>
      </c>
      <c r="B195" s="12" t="str">
        <f aca="false">IF($A195="","",IFERROR(INDEX(중복검사!$B$4:$B$6003,MATCH("R"&amp;190,중복목록!$L$6:$L$6005,0)),""))</f>
        <v/>
      </c>
      <c r="C195" s="12" t="str">
        <f aca="false">IF($A195="","",IFERROR(INDEX(중복검사!$C$4:$C$6003,MATCH("R"&amp;190,중복목록!$L$6:$L$6005,0)),""))</f>
        <v/>
      </c>
      <c r="D195" s="12" t="str">
        <f aca="false">IF($A195="","",IFERROR(INDEX(중복검사!$D$4:$D$6003,MATCH("R"&amp;190,중복목록!$L$6:$L$6005,0)),""))</f>
        <v/>
      </c>
      <c r="E195" s="12" t="str">
        <f aca="false">IF($A195="","",IFERROR(IF(INDEX(원본명단!$E$3:$E$6002,MATCH("R"&amp;190,중복목록!$L$6:$L$6005,0))="","",INDEX(원본명단!$E$3:$E$6002,MATCH("R"&amp;190,중복목록!$L$6:$L$6005,0))),""))</f>
        <v/>
      </c>
      <c r="F195" s="11" t="str">
        <f aca="false">IF($A195="","",IFERROR(MAX(INDEX(중복검사!$E$4:$E$6003,MATCH("R"&amp;190,중복목록!$L$6:$L$6005,0)),INDEX(중복검사!$F$4:$F$6003,MATCH("R"&amp;190,중복목록!$L$6:$L$6005,0)),INDEX(중복검사!$G$4:$G$6003,MATCH("R"&amp;190,중복목록!$L$6:$L$6005,0))),""))</f>
        <v/>
      </c>
      <c r="G195" s="11" t="str">
        <f aca="false">IF($A195="","",IFERROR(INDEX(중복검사!$I$4:$I$6003,MATCH("R"&amp;190,중복목록!$L$6:$L$6005,0)),""))</f>
        <v/>
      </c>
      <c r="H195" s="11" t="str">
        <f aca="false">IF($A195="","",IFERROR(INDEX(중복검사!$J$4:$J$6003,MATCH("R"&amp;190,중복목록!$L$6:$L$6005,0)),""))</f>
        <v/>
      </c>
      <c r="J195" s="14" t="b">
        <f aca="false">IF(중복검사!$A193="",FALSE(),중복검사!$H193="중복")</f>
        <v>0</v>
      </c>
      <c r="K195" s="5" t="str">
        <f aca="false">IF($J195=FALSE(),"",COUNTIF($J$6:$J195,TRUE()))</f>
        <v/>
      </c>
      <c r="L195" s="5" t="str">
        <f aca="false">IF($K195="","","R"&amp;$K195)</f>
        <v/>
      </c>
    </row>
    <row r="196" customFormat="false" ht="15" hidden="false" customHeight="true" outlineLevel="0" collapsed="false">
      <c r="A196" s="11" t="str">
        <f aca="false">IFERROR(INDEX(중복검사!$A$4:$A$6003,MATCH("R"&amp;191,중복목록!$L$6:$L$6005,0)),"")</f>
        <v/>
      </c>
      <c r="B196" s="12" t="str">
        <f aca="false">IF($A196="","",IFERROR(INDEX(중복검사!$B$4:$B$6003,MATCH("R"&amp;191,중복목록!$L$6:$L$6005,0)),""))</f>
        <v/>
      </c>
      <c r="C196" s="12" t="str">
        <f aca="false">IF($A196="","",IFERROR(INDEX(중복검사!$C$4:$C$6003,MATCH("R"&amp;191,중복목록!$L$6:$L$6005,0)),""))</f>
        <v/>
      </c>
      <c r="D196" s="12" t="str">
        <f aca="false">IF($A196="","",IFERROR(INDEX(중복검사!$D$4:$D$6003,MATCH("R"&amp;191,중복목록!$L$6:$L$6005,0)),""))</f>
        <v/>
      </c>
      <c r="E196" s="12" t="str">
        <f aca="false">IF($A196="","",IFERROR(IF(INDEX(원본명단!$E$3:$E$6002,MATCH("R"&amp;191,중복목록!$L$6:$L$6005,0))="","",INDEX(원본명단!$E$3:$E$6002,MATCH("R"&amp;191,중복목록!$L$6:$L$6005,0))),""))</f>
        <v/>
      </c>
      <c r="F196" s="11" t="str">
        <f aca="false">IF($A196="","",IFERROR(MAX(INDEX(중복검사!$E$4:$E$6003,MATCH("R"&amp;191,중복목록!$L$6:$L$6005,0)),INDEX(중복검사!$F$4:$F$6003,MATCH("R"&amp;191,중복목록!$L$6:$L$6005,0)),INDEX(중복검사!$G$4:$G$6003,MATCH("R"&amp;191,중복목록!$L$6:$L$6005,0))),""))</f>
        <v/>
      </c>
      <c r="G196" s="11" t="str">
        <f aca="false">IF($A196="","",IFERROR(INDEX(중복검사!$I$4:$I$6003,MATCH("R"&amp;191,중복목록!$L$6:$L$6005,0)),""))</f>
        <v/>
      </c>
      <c r="H196" s="11" t="str">
        <f aca="false">IF($A196="","",IFERROR(INDEX(중복검사!$J$4:$J$6003,MATCH("R"&amp;191,중복목록!$L$6:$L$6005,0)),""))</f>
        <v/>
      </c>
      <c r="J196" s="14" t="b">
        <f aca="false">IF(중복검사!$A194="",FALSE(),중복검사!$H194="중복")</f>
        <v>0</v>
      </c>
      <c r="K196" s="5" t="str">
        <f aca="false">IF($J196=FALSE(),"",COUNTIF($J$6:$J196,TRUE()))</f>
        <v/>
      </c>
      <c r="L196" s="5" t="str">
        <f aca="false">IF($K196="","","R"&amp;$K196)</f>
        <v/>
      </c>
    </row>
    <row r="197" customFormat="false" ht="15" hidden="false" customHeight="true" outlineLevel="0" collapsed="false">
      <c r="A197" s="11" t="str">
        <f aca="false">IFERROR(INDEX(중복검사!$A$4:$A$6003,MATCH("R"&amp;192,중복목록!$L$6:$L$6005,0)),"")</f>
        <v/>
      </c>
      <c r="B197" s="12" t="str">
        <f aca="false">IF($A197="","",IFERROR(INDEX(중복검사!$B$4:$B$6003,MATCH("R"&amp;192,중복목록!$L$6:$L$6005,0)),""))</f>
        <v/>
      </c>
      <c r="C197" s="12" t="str">
        <f aca="false">IF($A197="","",IFERROR(INDEX(중복검사!$C$4:$C$6003,MATCH("R"&amp;192,중복목록!$L$6:$L$6005,0)),""))</f>
        <v/>
      </c>
      <c r="D197" s="12" t="str">
        <f aca="false">IF($A197="","",IFERROR(INDEX(중복검사!$D$4:$D$6003,MATCH("R"&amp;192,중복목록!$L$6:$L$6005,0)),""))</f>
        <v/>
      </c>
      <c r="E197" s="12" t="str">
        <f aca="false">IF($A197="","",IFERROR(IF(INDEX(원본명단!$E$3:$E$6002,MATCH("R"&amp;192,중복목록!$L$6:$L$6005,0))="","",INDEX(원본명단!$E$3:$E$6002,MATCH("R"&amp;192,중복목록!$L$6:$L$6005,0))),""))</f>
        <v/>
      </c>
      <c r="F197" s="11" t="str">
        <f aca="false">IF($A197="","",IFERROR(MAX(INDEX(중복검사!$E$4:$E$6003,MATCH("R"&amp;192,중복목록!$L$6:$L$6005,0)),INDEX(중복검사!$F$4:$F$6003,MATCH("R"&amp;192,중복목록!$L$6:$L$6005,0)),INDEX(중복검사!$G$4:$G$6003,MATCH("R"&amp;192,중복목록!$L$6:$L$6005,0))),""))</f>
        <v/>
      </c>
      <c r="G197" s="11" t="str">
        <f aca="false">IF($A197="","",IFERROR(INDEX(중복검사!$I$4:$I$6003,MATCH("R"&amp;192,중복목록!$L$6:$L$6005,0)),""))</f>
        <v/>
      </c>
      <c r="H197" s="11" t="str">
        <f aca="false">IF($A197="","",IFERROR(INDEX(중복검사!$J$4:$J$6003,MATCH("R"&amp;192,중복목록!$L$6:$L$6005,0)),""))</f>
        <v/>
      </c>
      <c r="J197" s="14" t="b">
        <f aca="false">IF(중복검사!$A195="",FALSE(),중복검사!$H195="중복")</f>
        <v>0</v>
      </c>
      <c r="K197" s="5" t="str">
        <f aca="false">IF($J197=FALSE(),"",COUNTIF($J$6:$J197,TRUE()))</f>
        <v/>
      </c>
      <c r="L197" s="5" t="str">
        <f aca="false">IF($K197="","","R"&amp;$K197)</f>
        <v/>
      </c>
    </row>
    <row r="198" customFormat="false" ht="15" hidden="false" customHeight="true" outlineLevel="0" collapsed="false">
      <c r="A198" s="11" t="str">
        <f aca="false">IFERROR(INDEX(중복검사!$A$4:$A$6003,MATCH("R"&amp;193,중복목록!$L$6:$L$6005,0)),"")</f>
        <v/>
      </c>
      <c r="B198" s="12" t="str">
        <f aca="false">IF($A198="","",IFERROR(INDEX(중복검사!$B$4:$B$6003,MATCH("R"&amp;193,중복목록!$L$6:$L$6005,0)),""))</f>
        <v/>
      </c>
      <c r="C198" s="12" t="str">
        <f aca="false">IF($A198="","",IFERROR(INDEX(중복검사!$C$4:$C$6003,MATCH("R"&amp;193,중복목록!$L$6:$L$6005,0)),""))</f>
        <v/>
      </c>
      <c r="D198" s="12" t="str">
        <f aca="false">IF($A198="","",IFERROR(INDEX(중복검사!$D$4:$D$6003,MATCH("R"&amp;193,중복목록!$L$6:$L$6005,0)),""))</f>
        <v/>
      </c>
      <c r="E198" s="12" t="str">
        <f aca="false">IF($A198="","",IFERROR(IF(INDEX(원본명단!$E$3:$E$6002,MATCH("R"&amp;193,중복목록!$L$6:$L$6005,0))="","",INDEX(원본명단!$E$3:$E$6002,MATCH("R"&amp;193,중복목록!$L$6:$L$6005,0))),""))</f>
        <v/>
      </c>
      <c r="F198" s="11" t="str">
        <f aca="false">IF($A198="","",IFERROR(MAX(INDEX(중복검사!$E$4:$E$6003,MATCH("R"&amp;193,중복목록!$L$6:$L$6005,0)),INDEX(중복검사!$F$4:$F$6003,MATCH("R"&amp;193,중복목록!$L$6:$L$6005,0)),INDEX(중복검사!$G$4:$G$6003,MATCH("R"&amp;193,중복목록!$L$6:$L$6005,0))),""))</f>
        <v/>
      </c>
      <c r="G198" s="11" t="str">
        <f aca="false">IF($A198="","",IFERROR(INDEX(중복검사!$I$4:$I$6003,MATCH("R"&amp;193,중복목록!$L$6:$L$6005,0)),""))</f>
        <v/>
      </c>
      <c r="H198" s="11" t="str">
        <f aca="false">IF($A198="","",IFERROR(INDEX(중복검사!$J$4:$J$6003,MATCH("R"&amp;193,중복목록!$L$6:$L$6005,0)),""))</f>
        <v/>
      </c>
      <c r="J198" s="14" t="b">
        <f aca="false">IF(중복검사!$A196="",FALSE(),중복검사!$H196="중복")</f>
        <v>0</v>
      </c>
      <c r="K198" s="5" t="str">
        <f aca="false">IF($J198=FALSE(),"",COUNTIF($J$6:$J198,TRUE()))</f>
        <v/>
      </c>
      <c r="L198" s="5" t="str">
        <f aca="false">IF($K198="","","R"&amp;$K198)</f>
        <v/>
      </c>
    </row>
    <row r="199" customFormat="false" ht="15" hidden="false" customHeight="true" outlineLevel="0" collapsed="false">
      <c r="A199" s="11" t="str">
        <f aca="false">IFERROR(INDEX(중복검사!$A$4:$A$6003,MATCH("R"&amp;194,중복목록!$L$6:$L$6005,0)),"")</f>
        <v/>
      </c>
      <c r="B199" s="12" t="str">
        <f aca="false">IF($A199="","",IFERROR(INDEX(중복검사!$B$4:$B$6003,MATCH("R"&amp;194,중복목록!$L$6:$L$6005,0)),""))</f>
        <v/>
      </c>
      <c r="C199" s="12" t="str">
        <f aca="false">IF($A199="","",IFERROR(INDEX(중복검사!$C$4:$C$6003,MATCH("R"&amp;194,중복목록!$L$6:$L$6005,0)),""))</f>
        <v/>
      </c>
      <c r="D199" s="12" t="str">
        <f aca="false">IF($A199="","",IFERROR(INDEX(중복검사!$D$4:$D$6003,MATCH("R"&amp;194,중복목록!$L$6:$L$6005,0)),""))</f>
        <v/>
      </c>
      <c r="E199" s="12" t="str">
        <f aca="false">IF($A199="","",IFERROR(IF(INDEX(원본명단!$E$3:$E$6002,MATCH("R"&amp;194,중복목록!$L$6:$L$6005,0))="","",INDEX(원본명단!$E$3:$E$6002,MATCH("R"&amp;194,중복목록!$L$6:$L$6005,0))),""))</f>
        <v/>
      </c>
      <c r="F199" s="11" t="str">
        <f aca="false">IF($A199="","",IFERROR(MAX(INDEX(중복검사!$E$4:$E$6003,MATCH("R"&amp;194,중복목록!$L$6:$L$6005,0)),INDEX(중복검사!$F$4:$F$6003,MATCH("R"&amp;194,중복목록!$L$6:$L$6005,0)),INDEX(중복검사!$G$4:$G$6003,MATCH("R"&amp;194,중복목록!$L$6:$L$6005,0))),""))</f>
        <v/>
      </c>
      <c r="G199" s="11" t="str">
        <f aca="false">IF($A199="","",IFERROR(INDEX(중복검사!$I$4:$I$6003,MATCH("R"&amp;194,중복목록!$L$6:$L$6005,0)),""))</f>
        <v/>
      </c>
      <c r="H199" s="11" t="str">
        <f aca="false">IF($A199="","",IFERROR(INDEX(중복검사!$J$4:$J$6003,MATCH("R"&amp;194,중복목록!$L$6:$L$6005,0)),""))</f>
        <v/>
      </c>
      <c r="J199" s="14" t="b">
        <f aca="false">IF(중복검사!$A197="",FALSE(),중복검사!$H197="중복")</f>
        <v>0</v>
      </c>
      <c r="K199" s="5" t="str">
        <f aca="false">IF($J199=FALSE(),"",COUNTIF($J$6:$J199,TRUE()))</f>
        <v/>
      </c>
      <c r="L199" s="5" t="str">
        <f aca="false">IF($K199="","","R"&amp;$K199)</f>
        <v/>
      </c>
    </row>
    <row r="200" customFormat="false" ht="15" hidden="false" customHeight="true" outlineLevel="0" collapsed="false">
      <c r="A200" s="11" t="str">
        <f aca="false">IFERROR(INDEX(중복검사!$A$4:$A$6003,MATCH("R"&amp;195,중복목록!$L$6:$L$6005,0)),"")</f>
        <v/>
      </c>
      <c r="B200" s="12" t="str">
        <f aca="false">IF($A200="","",IFERROR(INDEX(중복검사!$B$4:$B$6003,MATCH("R"&amp;195,중복목록!$L$6:$L$6005,0)),""))</f>
        <v/>
      </c>
      <c r="C200" s="12" t="str">
        <f aca="false">IF($A200="","",IFERROR(INDEX(중복검사!$C$4:$C$6003,MATCH("R"&amp;195,중복목록!$L$6:$L$6005,0)),""))</f>
        <v/>
      </c>
      <c r="D200" s="12" t="str">
        <f aca="false">IF($A200="","",IFERROR(INDEX(중복검사!$D$4:$D$6003,MATCH("R"&amp;195,중복목록!$L$6:$L$6005,0)),""))</f>
        <v/>
      </c>
      <c r="E200" s="12" t="str">
        <f aca="false">IF($A200="","",IFERROR(IF(INDEX(원본명단!$E$3:$E$6002,MATCH("R"&amp;195,중복목록!$L$6:$L$6005,0))="","",INDEX(원본명단!$E$3:$E$6002,MATCH("R"&amp;195,중복목록!$L$6:$L$6005,0))),""))</f>
        <v/>
      </c>
      <c r="F200" s="11" t="str">
        <f aca="false">IF($A200="","",IFERROR(MAX(INDEX(중복검사!$E$4:$E$6003,MATCH("R"&amp;195,중복목록!$L$6:$L$6005,0)),INDEX(중복검사!$F$4:$F$6003,MATCH("R"&amp;195,중복목록!$L$6:$L$6005,0)),INDEX(중복검사!$G$4:$G$6003,MATCH("R"&amp;195,중복목록!$L$6:$L$6005,0))),""))</f>
        <v/>
      </c>
      <c r="G200" s="11" t="str">
        <f aca="false">IF($A200="","",IFERROR(INDEX(중복검사!$I$4:$I$6003,MATCH("R"&amp;195,중복목록!$L$6:$L$6005,0)),""))</f>
        <v/>
      </c>
      <c r="H200" s="11" t="str">
        <f aca="false">IF($A200="","",IFERROR(INDEX(중복검사!$J$4:$J$6003,MATCH("R"&amp;195,중복목록!$L$6:$L$6005,0)),""))</f>
        <v/>
      </c>
      <c r="J200" s="14" t="b">
        <f aca="false">IF(중복검사!$A198="",FALSE(),중복검사!$H198="중복")</f>
        <v>0</v>
      </c>
      <c r="K200" s="5" t="str">
        <f aca="false">IF($J200=FALSE(),"",COUNTIF($J$6:$J200,TRUE()))</f>
        <v/>
      </c>
      <c r="L200" s="5" t="str">
        <f aca="false">IF($K200="","","R"&amp;$K200)</f>
        <v/>
      </c>
    </row>
    <row r="201" customFormat="false" ht="15" hidden="false" customHeight="true" outlineLevel="0" collapsed="false">
      <c r="A201" s="11" t="str">
        <f aca="false">IFERROR(INDEX(중복검사!$A$4:$A$6003,MATCH("R"&amp;196,중복목록!$L$6:$L$6005,0)),"")</f>
        <v/>
      </c>
      <c r="B201" s="12" t="str">
        <f aca="false">IF($A201="","",IFERROR(INDEX(중복검사!$B$4:$B$6003,MATCH("R"&amp;196,중복목록!$L$6:$L$6005,0)),""))</f>
        <v/>
      </c>
      <c r="C201" s="12" t="str">
        <f aca="false">IF($A201="","",IFERROR(INDEX(중복검사!$C$4:$C$6003,MATCH("R"&amp;196,중복목록!$L$6:$L$6005,0)),""))</f>
        <v/>
      </c>
      <c r="D201" s="12" t="str">
        <f aca="false">IF($A201="","",IFERROR(INDEX(중복검사!$D$4:$D$6003,MATCH("R"&amp;196,중복목록!$L$6:$L$6005,0)),""))</f>
        <v/>
      </c>
      <c r="E201" s="12" t="str">
        <f aca="false">IF($A201="","",IFERROR(IF(INDEX(원본명단!$E$3:$E$6002,MATCH("R"&amp;196,중복목록!$L$6:$L$6005,0))="","",INDEX(원본명단!$E$3:$E$6002,MATCH("R"&amp;196,중복목록!$L$6:$L$6005,0))),""))</f>
        <v/>
      </c>
      <c r="F201" s="11" t="str">
        <f aca="false">IF($A201="","",IFERROR(MAX(INDEX(중복검사!$E$4:$E$6003,MATCH("R"&amp;196,중복목록!$L$6:$L$6005,0)),INDEX(중복검사!$F$4:$F$6003,MATCH("R"&amp;196,중복목록!$L$6:$L$6005,0)),INDEX(중복검사!$G$4:$G$6003,MATCH("R"&amp;196,중복목록!$L$6:$L$6005,0))),""))</f>
        <v/>
      </c>
      <c r="G201" s="11" t="str">
        <f aca="false">IF($A201="","",IFERROR(INDEX(중복검사!$I$4:$I$6003,MATCH("R"&amp;196,중복목록!$L$6:$L$6005,0)),""))</f>
        <v/>
      </c>
      <c r="H201" s="11" t="str">
        <f aca="false">IF($A201="","",IFERROR(INDEX(중복검사!$J$4:$J$6003,MATCH("R"&amp;196,중복목록!$L$6:$L$6005,0)),""))</f>
        <v/>
      </c>
      <c r="J201" s="14" t="b">
        <f aca="false">IF(중복검사!$A199="",FALSE(),중복검사!$H199="중복")</f>
        <v>0</v>
      </c>
      <c r="K201" s="5" t="str">
        <f aca="false">IF($J201=FALSE(),"",COUNTIF($J$6:$J201,TRUE()))</f>
        <v/>
      </c>
      <c r="L201" s="5" t="str">
        <f aca="false">IF($K201="","","R"&amp;$K201)</f>
        <v/>
      </c>
    </row>
    <row r="202" customFormat="false" ht="15" hidden="false" customHeight="true" outlineLevel="0" collapsed="false">
      <c r="A202" s="11" t="str">
        <f aca="false">IFERROR(INDEX(중복검사!$A$4:$A$6003,MATCH("R"&amp;197,중복목록!$L$6:$L$6005,0)),"")</f>
        <v/>
      </c>
      <c r="B202" s="12" t="str">
        <f aca="false">IF($A202="","",IFERROR(INDEX(중복검사!$B$4:$B$6003,MATCH("R"&amp;197,중복목록!$L$6:$L$6005,0)),""))</f>
        <v/>
      </c>
      <c r="C202" s="12" t="str">
        <f aca="false">IF($A202="","",IFERROR(INDEX(중복검사!$C$4:$C$6003,MATCH("R"&amp;197,중복목록!$L$6:$L$6005,0)),""))</f>
        <v/>
      </c>
      <c r="D202" s="12" t="str">
        <f aca="false">IF($A202="","",IFERROR(INDEX(중복검사!$D$4:$D$6003,MATCH("R"&amp;197,중복목록!$L$6:$L$6005,0)),""))</f>
        <v/>
      </c>
      <c r="E202" s="12" t="str">
        <f aca="false">IF($A202="","",IFERROR(IF(INDEX(원본명단!$E$3:$E$6002,MATCH("R"&amp;197,중복목록!$L$6:$L$6005,0))="","",INDEX(원본명단!$E$3:$E$6002,MATCH("R"&amp;197,중복목록!$L$6:$L$6005,0))),""))</f>
        <v/>
      </c>
      <c r="F202" s="11" t="str">
        <f aca="false">IF($A202="","",IFERROR(MAX(INDEX(중복검사!$E$4:$E$6003,MATCH("R"&amp;197,중복목록!$L$6:$L$6005,0)),INDEX(중복검사!$F$4:$F$6003,MATCH("R"&amp;197,중복목록!$L$6:$L$6005,0)),INDEX(중복검사!$G$4:$G$6003,MATCH("R"&amp;197,중복목록!$L$6:$L$6005,0))),""))</f>
        <v/>
      </c>
      <c r="G202" s="11" t="str">
        <f aca="false">IF($A202="","",IFERROR(INDEX(중복검사!$I$4:$I$6003,MATCH("R"&amp;197,중복목록!$L$6:$L$6005,0)),""))</f>
        <v/>
      </c>
      <c r="H202" s="11" t="str">
        <f aca="false">IF($A202="","",IFERROR(INDEX(중복검사!$J$4:$J$6003,MATCH("R"&amp;197,중복목록!$L$6:$L$6005,0)),""))</f>
        <v/>
      </c>
      <c r="J202" s="14" t="b">
        <f aca="false">IF(중복검사!$A200="",FALSE(),중복검사!$H200="중복")</f>
        <v>0</v>
      </c>
      <c r="K202" s="5" t="str">
        <f aca="false">IF($J202=FALSE(),"",COUNTIF($J$6:$J202,TRUE()))</f>
        <v/>
      </c>
      <c r="L202" s="5" t="str">
        <f aca="false">IF($K202="","","R"&amp;$K202)</f>
        <v/>
      </c>
    </row>
    <row r="203" customFormat="false" ht="15" hidden="false" customHeight="true" outlineLevel="0" collapsed="false">
      <c r="A203" s="11" t="str">
        <f aca="false">IFERROR(INDEX(중복검사!$A$4:$A$6003,MATCH("R"&amp;198,중복목록!$L$6:$L$6005,0)),"")</f>
        <v/>
      </c>
      <c r="B203" s="12" t="str">
        <f aca="false">IF($A203="","",IFERROR(INDEX(중복검사!$B$4:$B$6003,MATCH("R"&amp;198,중복목록!$L$6:$L$6005,0)),""))</f>
        <v/>
      </c>
      <c r="C203" s="12" t="str">
        <f aca="false">IF($A203="","",IFERROR(INDEX(중복검사!$C$4:$C$6003,MATCH("R"&amp;198,중복목록!$L$6:$L$6005,0)),""))</f>
        <v/>
      </c>
      <c r="D203" s="12" t="str">
        <f aca="false">IF($A203="","",IFERROR(INDEX(중복검사!$D$4:$D$6003,MATCH("R"&amp;198,중복목록!$L$6:$L$6005,0)),""))</f>
        <v/>
      </c>
      <c r="E203" s="12" t="str">
        <f aca="false">IF($A203="","",IFERROR(IF(INDEX(원본명단!$E$3:$E$6002,MATCH("R"&amp;198,중복목록!$L$6:$L$6005,0))="","",INDEX(원본명단!$E$3:$E$6002,MATCH("R"&amp;198,중복목록!$L$6:$L$6005,0))),""))</f>
        <v/>
      </c>
      <c r="F203" s="11" t="str">
        <f aca="false">IF($A203="","",IFERROR(MAX(INDEX(중복검사!$E$4:$E$6003,MATCH("R"&amp;198,중복목록!$L$6:$L$6005,0)),INDEX(중복검사!$F$4:$F$6003,MATCH("R"&amp;198,중복목록!$L$6:$L$6005,0)),INDEX(중복검사!$G$4:$G$6003,MATCH("R"&amp;198,중복목록!$L$6:$L$6005,0))),""))</f>
        <v/>
      </c>
      <c r="G203" s="11" t="str">
        <f aca="false">IF($A203="","",IFERROR(INDEX(중복검사!$I$4:$I$6003,MATCH("R"&amp;198,중복목록!$L$6:$L$6005,0)),""))</f>
        <v/>
      </c>
      <c r="H203" s="11" t="str">
        <f aca="false">IF($A203="","",IFERROR(INDEX(중복검사!$J$4:$J$6003,MATCH("R"&amp;198,중복목록!$L$6:$L$6005,0)),""))</f>
        <v/>
      </c>
      <c r="J203" s="14" t="b">
        <f aca="false">IF(중복검사!$A201="",FALSE(),중복검사!$H201="중복")</f>
        <v>0</v>
      </c>
      <c r="K203" s="5" t="str">
        <f aca="false">IF($J203=FALSE(),"",COUNTIF($J$6:$J203,TRUE()))</f>
        <v/>
      </c>
      <c r="L203" s="5" t="str">
        <f aca="false">IF($K203="","","R"&amp;$K203)</f>
        <v/>
      </c>
    </row>
    <row r="204" customFormat="false" ht="15" hidden="false" customHeight="true" outlineLevel="0" collapsed="false">
      <c r="A204" s="11" t="str">
        <f aca="false">IFERROR(INDEX(중복검사!$A$4:$A$6003,MATCH("R"&amp;199,중복목록!$L$6:$L$6005,0)),"")</f>
        <v/>
      </c>
      <c r="B204" s="12" t="str">
        <f aca="false">IF($A204="","",IFERROR(INDEX(중복검사!$B$4:$B$6003,MATCH("R"&amp;199,중복목록!$L$6:$L$6005,0)),""))</f>
        <v/>
      </c>
      <c r="C204" s="12" t="str">
        <f aca="false">IF($A204="","",IFERROR(INDEX(중복검사!$C$4:$C$6003,MATCH("R"&amp;199,중복목록!$L$6:$L$6005,0)),""))</f>
        <v/>
      </c>
      <c r="D204" s="12" t="str">
        <f aca="false">IF($A204="","",IFERROR(INDEX(중복검사!$D$4:$D$6003,MATCH("R"&amp;199,중복목록!$L$6:$L$6005,0)),""))</f>
        <v/>
      </c>
      <c r="E204" s="12" t="str">
        <f aca="false">IF($A204="","",IFERROR(IF(INDEX(원본명단!$E$3:$E$6002,MATCH("R"&amp;199,중복목록!$L$6:$L$6005,0))="","",INDEX(원본명단!$E$3:$E$6002,MATCH("R"&amp;199,중복목록!$L$6:$L$6005,0))),""))</f>
        <v/>
      </c>
      <c r="F204" s="11" t="str">
        <f aca="false">IF($A204="","",IFERROR(MAX(INDEX(중복검사!$E$4:$E$6003,MATCH("R"&amp;199,중복목록!$L$6:$L$6005,0)),INDEX(중복검사!$F$4:$F$6003,MATCH("R"&amp;199,중복목록!$L$6:$L$6005,0)),INDEX(중복검사!$G$4:$G$6003,MATCH("R"&amp;199,중복목록!$L$6:$L$6005,0))),""))</f>
        <v/>
      </c>
      <c r="G204" s="11" t="str">
        <f aca="false">IF($A204="","",IFERROR(INDEX(중복검사!$I$4:$I$6003,MATCH("R"&amp;199,중복목록!$L$6:$L$6005,0)),""))</f>
        <v/>
      </c>
      <c r="H204" s="11" t="str">
        <f aca="false">IF($A204="","",IFERROR(INDEX(중복검사!$J$4:$J$6003,MATCH("R"&amp;199,중복목록!$L$6:$L$6005,0)),""))</f>
        <v/>
      </c>
      <c r="J204" s="14" t="b">
        <f aca="false">IF(중복검사!$A202="",FALSE(),중복검사!$H202="중복")</f>
        <v>0</v>
      </c>
      <c r="K204" s="5" t="str">
        <f aca="false">IF($J204=FALSE(),"",COUNTIF($J$6:$J204,TRUE()))</f>
        <v/>
      </c>
      <c r="L204" s="5" t="str">
        <f aca="false">IF($K204="","","R"&amp;$K204)</f>
        <v/>
      </c>
    </row>
    <row r="205" customFormat="false" ht="15" hidden="false" customHeight="true" outlineLevel="0" collapsed="false">
      <c r="A205" s="11" t="str">
        <f aca="false">IFERROR(INDEX(중복검사!$A$4:$A$6003,MATCH("R"&amp;200,중복목록!$L$6:$L$6005,0)),"")</f>
        <v/>
      </c>
      <c r="B205" s="12" t="str">
        <f aca="false">IF($A205="","",IFERROR(INDEX(중복검사!$B$4:$B$6003,MATCH("R"&amp;200,중복목록!$L$6:$L$6005,0)),""))</f>
        <v/>
      </c>
      <c r="C205" s="12" t="str">
        <f aca="false">IF($A205="","",IFERROR(INDEX(중복검사!$C$4:$C$6003,MATCH("R"&amp;200,중복목록!$L$6:$L$6005,0)),""))</f>
        <v/>
      </c>
      <c r="D205" s="12" t="str">
        <f aca="false">IF($A205="","",IFERROR(INDEX(중복검사!$D$4:$D$6003,MATCH("R"&amp;200,중복목록!$L$6:$L$6005,0)),""))</f>
        <v/>
      </c>
      <c r="E205" s="12" t="str">
        <f aca="false">IF($A205="","",IFERROR(IF(INDEX(원본명단!$E$3:$E$6002,MATCH("R"&amp;200,중복목록!$L$6:$L$6005,0))="","",INDEX(원본명단!$E$3:$E$6002,MATCH("R"&amp;200,중복목록!$L$6:$L$6005,0))),""))</f>
        <v/>
      </c>
      <c r="F205" s="11" t="str">
        <f aca="false">IF($A205="","",IFERROR(MAX(INDEX(중복검사!$E$4:$E$6003,MATCH("R"&amp;200,중복목록!$L$6:$L$6005,0)),INDEX(중복검사!$F$4:$F$6003,MATCH("R"&amp;200,중복목록!$L$6:$L$6005,0)),INDEX(중복검사!$G$4:$G$6003,MATCH("R"&amp;200,중복목록!$L$6:$L$6005,0))),""))</f>
        <v/>
      </c>
      <c r="G205" s="11" t="str">
        <f aca="false">IF($A205="","",IFERROR(INDEX(중복검사!$I$4:$I$6003,MATCH("R"&amp;200,중복목록!$L$6:$L$6005,0)),""))</f>
        <v/>
      </c>
      <c r="H205" s="11" t="str">
        <f aca="false">IF($A205="","",IFERROR(INDEX(중복검사!$J$4:$J$6003,MATCH("R"&amp;200,중복목록!$L$6:$L$6005,0)),""))</f>
        <v/>
      </c>
      <c r="J205" s="14" t="b">
        <f aca="false">IF(중복검사!$A203="",FALSE(),중복검사!$H203="중복")</f>
        <v>0</v>
      </c>
      <c r="K205" s="5" t="str">
        <f aca="false">IF($J205=FALSE(),"",COUNTIF($J$6:$J205,TRUE()))</f>
        <v/>
      </c>
      <c r="L205" s="5" t="str">
        <f aca="false">IF($K205="","","R"&amp;$K205)</f>
        <v/>
      </c>
    </row>
    <row r="206" customFormat="false" ht="15" hidden="false" customHeight="true" outlineLevel="0" collapsed="false">
      <c r="A206" s="11" t="str">
        <f aca="false">IFERROR(INDEX(중복검사!$A$4:$A$6003,MATCH("R"&amp;201,중복목록!$L$6:$L$6005,0)),"")</f>
        <v/>
      </c>
      <c r="B206" s="12" t="str">
        <f aca="false">IF($A206="","",IFERROR(INDEX(중복검사!$B$4:$B$6003,MATCH("R"&amp;201,중복목록!$L$6:$L$6005,0)),""))</f>
        <v/>
      </c>
      <c r="C206" s="12" t="str">
        <f aca="false">IF($A206="","",IFERROR(INDEX(중복검사!$C$4:$C$6003,MATCH("R"&amp;201,중복목록!$L$6:$L$6005,0)),""))</f>
        <v/>
      </c>
      <c r="D206" s="12" t="str">
        <f aca="false">IF($A206="","",IFERROR(INDEX(중복검사!$D$4:$D$6003,MATCH("R"&amp;201,중복목록!$L$6:$L$6005,0)),""))</f>
        <v/>
      </c>
      <c r="E206" s="12" t="str">
        <f aca="false">IF($A206="","",IFERROR(IF(INDEX(원본명단!$E$3:$E$6002,MATCH("R"&amp;201,중복목록!$L$6:$L$6005,0))="","",INDEX(원본명단!$E$3:$E$6002,MATCH("R"&amp;201,중복목록!$L$6:$L$6005,0))),""))</f>
        <v/>
      </c>
      <c r="F206" s="11" t="str">
        <f aca="false">IF($A206="","",IFERROR(MAX(INDEX(중복검사!$E$4:$E$6003,MATCH("R"&amp;201,중복목록!$L$6:$L$6005,0)),INDEX(중복검사!$F$4:$F$6003,MATCH("R"&amp;201,중복목록!$L$6:$L$6005,0)),INDEX(중복검사!$G$4:$G$6003,MATCH("R"&amp;201,중복목록!$L$6:$L$6005,0))),""))</f>
        <v/>
      </c>
      <c r="G206" s="11" t="str">
        <f aca="false">IF($A206="","",IFERROR(INDEX(중복검사!$I$4:$I$6003,MATCH("R"&amp;201,중복목록!$L$6:$L$6005,0)),""))</f>
        <v/>
      </c>
      <c r="H206" s="11" t="str">
        <f aca="false">IF($A206="","",IFERROR(INDEX(중복검사!$J$4:$J$6003,MATCH("R"&amp;201,중복목록!$L$6:$L$6005,0)),""))</f>
        <v/>
      </c>
      <c r="J206" s="14" t="b">
        <f aca="false">IF(중복검사!$A204="",FALSE(),중복검사!$H204="중복")</f>
        <v>0</v>
      </c>
      <c r="K206" s="5" t="str">
        <f aca="false">IF($J206=FALSE(),"",COUNTIF($J$6:$J206,TRUE()))</f>
        <v/>
      </c>
      <c r="L206" s="5" t="str">
        <f aca="false">IF($K206="","","R"&amp;$K206)</f>
        <v/>
      </c>
    </row>
    <row r="207" customFormat="false" ht="15" hidden="false" customHeight="true" outlineLevel="0" collapsed="false">
      <c r="A207" s="11" t="str">
        <f aca="false">IFERROR(INDEX(중복검사!$A$4:$A$6003,MATCH("R"&amp;202,중복목록!$L$6:$L$6005,0)),"")</f>
        <v/>
      </c>
      <c r="B207" s="12" t="str">
        <f aca="false">IF($A207="","",IFERROR(INDEX(중복검사!$B$4:$B$6003,MATCH("R"&amp;202,중복목록!$L$6:$L$6005,0)),""))</f>
        <v/>
      </c>
      <c r="C207" s="12" t="str">
        <f aca="false">IF($A207="","",IFERROR(INDEX(중복검사!$C$4:$C$6003,MATCH("R"&amp;202,중복목록!$L$6:$L$6005,0)),""))</f>
        <v/>
      </c>
      <c r="D207" s="12" t="str">
        <f aca="false">IF($A207="","",IFERROR(INDEX(중복검사!$D$4:$D$6003,MATCH("R"&amp;202,중복목록!$L$6:$L$6005,0)),""))</f>
        <v/>
      </c>
      <c r="E207" s="12" t="str">
        <f aca="false">IF($A207="","",IFERROR(IF(INDEX(원본명단!$E$3:$E$6002,MATCH("R"&amp;202,중복목록!$L$6:$L$6005,0))="","",INDEX(원본명단!$E$3:$E$6002,MATCH("R"&amp;202,중복목록!$L$6:$L$6005,0))),""))</f>
        <v/>
      </c>
      <c r="F207" s="11" t="str">
        <f aca="false">IF($A207="","",IFERROR(MAX(INDEX(중복검사!$E$4:$E$6003,MATCH("R"&amp;202,중복목록!$L$6:$L$6005,0)),INDEX(중복검사!$F$4:$F$6003,MATCH("R"&amp;202,중복목록!$L$6:$L$6005,0)),INDEX(중복검사!$G$4:$G$6003,MATCH("R"&amp;202,중복목록!$L$6:$L$6005,0))),""))</f>
        <v/>
      </c>
      <c r="G207" s="11" t="str">
        <f aca="false">IF($A207="","",IFERROR(INDEX(중복검사!$I$4:$I$6003,MATCH("R"&amp;202,중복목록!$L$6:$L$6005,0)),""))</f>
        <v/>
      </c>
      <c r="H207" s="11" t="str">
        <f aca="false">IF($A207="","",IFERROR(INDEX(중복검사!$J$4:$J$6003,MATCH("R"&amp;202,중복목록!$L$6:$L$6005,0)),""))</f>
        <v/>
      </c>
      <c r="J207" s="14" t="b">
        <f aca="false">IF(중복검사!$A205="",FALSE(),중복검사!$H205="중복")</f>
        <v>0</v>
      </c>
      <c r="K207" s="5" t="str">
        <f aca="false">IF($J207=FALSE(),"",COUNTIF($J$6:$J207,TRUE()))</f>
        <v/>
      </c>
      <c r="L207" s="5" t="str">
        <f aca="false">IF($K207="","","R"&amp;$K207)</f>
        <v/>
      </c>
    </row>
    <row r="208" customFormat="false" ht="15" hidden="false" customHeight="true" outlineLevel="0" collapsed="false">
      <c r="A208" s="11" t="str">
        <f aca="false">IFERROR(INDEX(중복검사!$A$4:$A$6003,MATCH("R"&amp;203,중복목록!$L$6:$L$6005,0)),"")</f>
        <v/>
      </c>
      <c r="B208" s="12" t="str">
        <f aca="false">IF($A208="","",IFERROR(INDEX(중복검사!$B$4:$B$6003,MATCH("R"&amp;203,중복목록!$L$6:$L$6005,0)),""))</f>
        <v/>
      </c>
      <c r="C208" s="12" t="str">
        <f aca="false">IF($A208="","",IFERROR(INDEX(중복검사!$C$4:$C$6003,MATCH("R"&amp;203,중복목록!$L$6:$L$6005,0)),""))</f>
        <v/>
      </c>
      <c r="D208" s="12" t="str">
        <f aca="false">IF($A208="","",IFERROR(INDEX(중복검사!$D$4:$D$6003,MATCH("R"&amp;203,중복목록!$L$6:$L$6005,0)),""))</f>
        <v/>
      </c>
      <c r="E208" s="12" t="str">
        <f aca="false">IF($A208="","",IFERROR(IF(INDEX(원본명단!$E$3:$E$6002,MATCH("R"&amp;203,중복목록!$L$6:$L$6005,0))="","",INDEX(원본명단!$E$3:$E$6002,MATCH("R"&amp;203,중복목록!$L$6:$L$6005,0))),""))</f>
        <v/>
      </c>
      <c r="F208" s="11" t="str">
        <f aca="false">IF($A208="","",IFERROR(MAX(INDEX(중복검사!$E$4:$E$6003,MATCH("R"&amp;203,중복목록!$L$6:$L$6005,0)),INDEX(중복검사!$F$4:$F$6003,MATCH("R"&amp;203,중복목록!$L$6:$L$6005,0)),INDEX(중복검사!$G$4:$G$6003,MATCH("R"&amp;203,중복목록!$L$6:$L$6005,0))),""))</f>
        <v/>
      </c>
      <c r="G208" s="11" t="str">
        <f aca="false">IF($A208="","",IFERROR(INDEX(중복검사!$I$4:$I$6003,MATCH("R"&amp;203,중복목록!$L$6:$L$6005,0)),""))</f>
        <v/>
      </c>
      <c r="H208" s="11" t="str">
        <f aca="false">IF($A208="","",IFERROR(INDEX(중복검사!$J$4:$J$6003,MATCH("R"&amp;203,중복목록!$L$6:$L$6005,0)),""))</f>
        <v/>
      </c>
      <c r="J208" s="14" t="b">
        <f aca="false">IF(중복검사!$A206="",FALSE(),중복검사!$H206="중복")</f>
        <v>0</v>
      </c>
      <c r="K208" s="5" t="str">
        <f aca="false">IF($J208=FALSE(),"",COUNTIF($J$6:$J208,TRUE()))</f>
        <v/>
      </c>
      <c r="L208" s="5" t="str">
        <f aca="false">IF($K208="","","R"&amp;$K208)</f>
        <v/>
      </c>
    </row>
    <row r="209" customFormat="false" ht="15" hidden="false" customHeight="true" outlineLevel="0" collapsed="false">
      <c r="A209" s="11" t="str">
        <f aca="false">IFERROR(INDEX(중복검사!$A$4:$A$6003,MATCH("R"&amp;204,중복목록!$L$6:$L$6005,0)),"")</f>
        <v/>
      </c>
      <c r="B209" s="12" t="str">
        <f aca="false">IF($A209="","",IFERROR(INDEX(중복검사!$B$4:$B$6003,MATCH("R"&amp;204,중복목록!$L$6:$L$6005,0)),""))</f>
        <v/>
      </c>
      <c r="C209" s="12" t="str">
        <f aca="false">IF($A209="","",IFERROR(INDEX(중복검사!$C$4:$C$6003,MATCH("R"&amp;204,중복목록!$L$6:$L$6005,0)),""))</f>
        <v/>
      </c>
      <c r="D209" s="12" t="str">
        <f aca="false">IF($A209="","",IFERROR(INDEX(중복검사!$D$4:$D$6003,MATCH("R"&amp;204,중복목록!$L$6:$L$6005,0)),""))</f>
        <v/>
      </c>
      <c r="E209" s="12" t="str">
        <f aca="false">IF($A209="","",IFERROR(IF(INDEX(원본명단!$E$3:$E$6002,MATCH("R"&amp;204,중복목록!$L$6:$L$6005,0))="","",INDEX(원본명단!$E$3:$E$6002,MATCH("R"&amp;204,중복목록!$L$6:$L$6005,0))),""))</f>
        <v/>
      </c>
      <c r="F209" s="11" t="str">
        <f aca="false">IF($A209="","",IFERROR(MAX(INDEX(중복검사!$E$4:$E$6003,MATCH("R"&amp;204,중복목록!$L$6:$L$6005,0)),INDEX(중복검사!$F$4:$F$6003,MATCH("R"&amp;204,중복목록!$L$6:$L$6005,0)),INDEX(중복검사!$G$4:$G$6003,MATCH("R"&amp;204,중복목록!$L$6:$L$6005,0))),""))</f>
        <v/>
      </c>
      <c r="G209" s="11" t="str">
        <f aca="false">IF($A209="","",IFERROR(INDEX(중복검사!$I$4:$I$6003,MATCH("R"&amp;204,중복목록!$L$6:$L$6005,0)),""))</f>
        <v/>
      </c>
      <c r="H209" s="11" t="str">
        <f aca="false">IF($A209="","",IFERROR(INDEX(중복검사!$J$4:$J$6003,MATCH("R"&amp;204,중복목록!$L$6:$L$6005,0)),""))</f>
        <v/>
      </c>
      <c r="J209" s="14" t="b">
        <f aca="false">IF(중복검사!$A207="",FALSE(),중복검사!$H207="중복")</f>
        <v>0</v>
      </c>
      <c r="K209" s="5" t="str">
        <f aca="false">IF($J209=FALSE(),"",COUNTIF($J$6:$J209,TRUE()))</f>
        <v/>
      </c>
      <c r="L209" s="5" t="str">
        <f aca="false">IF($K209="","","R"&amp;$K209)</f>
        <v/>
      </c>
    </row>
    <row r="210" customFormat="false" ht="15" hidden="false" customHeight="true" outlineLevel="0" collapsed="false">
      <c r="A210" s="11" t="str">
        <f aca="false">IFERROR(INDEX(중복검사!$A$4:$A$6003,MATCH("R"&amp;205,중복목록!$L$6:$L$6005,0)),"")</f>
        <v/>
      </c>
      <c r="B210" s="12" t="str">
        <f aca="false">IF($A210="","",IFERROR(INDEX(중복검사!$B$4:$B$6003,MATCH("R"&amp;205,중복목록!$L$6:$L$6005,0)),""))</f>
        <v/>
      </c>
      <c r="C210" s="12" t="str">
        <f aca="false">IF($A210="","",IFERROR(INDEX(중복검사!$C$4:$C$6003,MATCH("R"&amp;205,중복목록!$L$6:$L$6005,0)),""))</f>
        <v/>
      </c>
      <c r="D210" s="12" t="str">
        <f aca="false">IF($A210="","",IFERROR(INDEX(중복검사!$D$4:$D$6003,MATCH("R"&amp;205,중복목록!$L$6:$L$6005,0)),""))</f>
        <v/>
      </c>
      <c r="E210" s="12" t="str">
        <f aca="false">IF($A210="","",IFERROR(IF(INDEX(원본명단!$E$3:$E$6002,MATCH("R"&amp;205,중복목록!$L$6:$L$6005,0))="","",INDEX(원본명단!$E$3:$E$6002,MATCH("R"&amp;205,중복목록!$L$6:$L$6005,0))),""))</f>
        <v/>
      </c>
      <c r="F210" s="11" t="str">
        <f aca="false">IF($A210="","",IFERROR(MAX(INDEX(중복검사!$E$4:$E$6003,MATCH("R"&amp;205,중복목록!$L$6:$L$6005,0)),INDEX(중복검사!$F$4:$F$6003,MATCH("R"&amp;205,중복목록!$L$6:$L$6005,0)),INDEX(중복검사!$G$4:$G$6003,MATCH("R"&amp;205,중복목록!$L$6:$L$6005,0))),""))</f>
        <v/>
      </c>
      <c r="G210" s="11" t="str">
        <f aca="false">IF($A210="","",IFERROR(INDEX(중복검사!$I$4:$I$6003,MATCH("R"&amp;205,중복목록!$L$6:$L$6005,0)),""))</f>
        <v/>
      </c>
      <c r="H210" s="11" t="str">
        <f aca="false">IF($A210="","",IFERROR(INDEX(중복검사!$J$4:$J$6003,MATCH("R"&amp;205,중복목록!$L$6:$L$6005,0)),""))</f>
        <v/>
      </c>
      <c r="J210" s="14" t="b">
        <f aca="false">IF(중복검사!$A208="",FALSE(),중복검사!$H208="중복")</f>
        <v>0</v>
      </c>
      <c r="K210" s="5" t="str">
        <f aca="false">IF($J210=FALSE(),"",COUNTIF($J$6:$J210,TRUE()))</f>
        <v/>
      </c>
      <c r="L210" s="5" t="str">
        <f aca="false">IF($K210="","","R"&amp;$K210)</f>
        <v/>
      </c>
    </row>
    <row r="211" customFormat="false" ht="15" hidden="false" customHeight="true" outlineLevel="0" collapsed="false">
      <c r="A211" s="11" t="str">
        <f aca="false">IFERROR(INDEX(중복검사!$A$4:$A$6003,MATCH("R"&amp;206,중복목록!$L$6:$L$6005,0)),"")</f>
        <v/>
      </c>
      <c r="B211" s="12" t="str">
        <f aca="false">IF($A211="","",IFERROR(INDEX(중복검사!$B$4:$B$6003,MATCH("R"&amp;206,중복목록!$L$6:$L$6005,0)),""))</f>
        <v/>
      </c>
      <c r="C211" s="12" t="str">
        <f aca="false">IF($A211="","",IFERROR(INDEX(중복검사!$C$4:$C$6003,MATCH("R"&amp;206,중복목록!$L$6:$L$6005,0)),""))</f>
        <v/>
      </c>
      <c r="D211" s="12" t="str">
        <f aca="false">IF($A211="","",IFERROR(INDEX(중복검사!$D$4:$D$6003,MATCH("R"&amp;206,중복목록!$L$6:$L$6005,0)),""))</f>
        <v/>
      </c>
      <c r="E211" s="12" t="str">
        <f aca="false">IF($A211="","",IFERROR(IF(INDEX(원본명단!$E$3:$E$6002,MATCH("R"&amp;206,중복목록!$L$6:$L$6005,0))="","",INDEX(원본명단!$E$3:$E$6002,MATCH("R"&amp;206,중복목록!$L$6:$L$6005,0))),""))</f>
        <v/>
      </c>
      <c r="F211" s="11" t="str">
        <f aca="false">IF($A211="","",IFERROR(MAX(INDEX(중복검사!$E$4:$E$6003,MATCH("R"&amp;206,중복목록!$L$6:$L$6005,0)),INDEX(중복검사!$F$4:$F$6003,MATCH("R"&amp;206,중복목록!$L$6:$L$6005,0)),INDEX(중복검사!$G$4:$G$6003,MATCH("R"&amp;206,중복목록!$L$6:$L$6005,0))),""))</f>
        <v/>
      </c>
      <c r="G211" s="11" t="str">
        <f aca="false">IF($A211="","",IFERROR(INDEX(중복검사!$I$4:$I$6003,MATCH("R"&amp;206,중복목록!$L$6:$L$6005,0)),""))</f>
        <v/>
      </c>
      <c r="H211" s="11" t="str">
        <f aca="false">IF($A211="","",IFERROR(INDEX(중복검사!$J$4:$J$6003,MATCH("R"&amp;206,중복목록!$L$6:$L$6005,0)),""))</f>
        <v/>
      </c>
      <c r="J211" s="14" t="b">
        <f aca="false">IF(중복검사!$A209="",FALSE(),중복검사!$H209="중복")</f>
        <v>0</v>
      </c>
      <c r="K211" s="5" t="str">
        <f aca="false">IF($J211=FALSE(),"",COUNTIF($J$6:$J211,TRUE()))</f>
        <v/>
      </c>
      <c r="L211" s="5" t="str">
        <f aca="false">IF($K211="","","R"&amp;$K211)</f>
        <v/>
      </c>
    </row>
    <row r="212" customFormat="false" ht="15" hidden="false" customHeight="true" outlineLevel="0" collapsed="false">
      <c r="A212" s="11" t="str">
        <f aca="false">IFERROR(INDEX(중복검사!$A$4:$A$6003,MATCH("R"&amp;207,중복목록!$L$6:$L$6005,0)),"")</f>
        <v/>
      </c>
      <c r="B212" s="12" t="str">
        <f aca="false">IF($A212="","",IFERROR(INDEX(중복검사!$B$4:$B$6003,MATCH("R"&amp;207,중복목록!$L$6:$L$6005,0)),""))</f>
        <v/>
      </c>
      <c r="C212" s="12" t="str">
        <f aca="false">IF($A212="","",IFERROR(INDEX(중복검사!$C$4:$C$6003,MATCH("R"&amp;207,중복목록!$L$6:$L$6005,0)),""))</f>
        <v/>
      </c>
      <c r="D212" s="12" t="str">
        <f aca="false">IF($A212="","",IFERROR(INDEX(중복검사!$D$4:$D$6003,MATCH("R"&amp;207,중복목록!$L$6:$L$6005,0)),""))</f>
        <v/>
      </c>
      <c r="E212" s="12" t="str">
        <f aca="false">IF($A212="","",IFERROR(IF(INDEX(원본명단!$E$3:$E$6002,MATCH("R"&amp;207,중복목록!$L$6:$L$6005,0))="","",INDEX(원본명단!$E$3:$E$6002,MATCH("R"&amp;207,중복목록!$L$6:$L$6005,0))),""))</f>
        <v/>
      </c>
      <c r="F212" s="11" t="str">
        <f aca="false">IF($A212="","",IFERROR(MAX(INDEX(중복검사!$E$4:$E$6003,MATCH("R"&amp;207,중복목록!$L$6:$L$6005,0)),INDEX(중복검사!$F$4:$F$6003,MATCH("R"&amp;207,중복목록!$L$6:$L$6005,0)),INDEX(중복검사!$G$4:$G$6003,MATCH("R"&amp;207,중복목록!$L$6:$L$6005,0))),""))</f>
        <v/>
      </c>
      <c r="G212" s="11" t="str">
        <f aca="false">IF($A212="","",IFERROR(INDEX(중복검사!$I$4:$I$6003,MATCH("R"&amp;207,중복목록!$L$6:$L$6005,0)),""))</f>
        <v/>
      </c>
      <c r="H212" s="11" t="str">
        <f aca="false">IF($A212="","",IFERROR(INDEX(중복검사!$J$4:$J$6003,MATCH("R"&amp;207,중복목록!$L$6:$L$6005,0)),""))</f>
        <v/>
      </c>
      <c r="J212" s="14" t="b">
        <f aca="false">IF(중복검사!$A210="",FALSE(),중복검사!$H210="중복")</f>
        <v>0</v>
      </c>
      <c r="K212" s="5" t="str">
        <f aca="false">IF($J212=FALSE(),"",COUNTIF($J$6:$J212,TRUE()))</f>
        <v/>
      </c>
      <c r="L212" s="5" t="str">
        <f aca="false">IF($K212="","","R"&amp;$K212)</f>
        <v/>
      </c>
    </row>
    <row r="213" customFormat="false" ht="15" hidden="false" customHeight="true" outlineLevel="0" collapsed="false">
      <c r="A213" s="11" t="str">
        <f aca="false">IFERROR(INDEX(중복검사!$A$4:$A$6003,MATCH("R"&amp;208,중복목록!$L$6:$L$6005,0)),"")</f>
        <v/>
      </c>
      <c r="B213" s="12" t="str">
        <f aca="false">IF($A213="","",IFERROR(INDEX(중복검사!$B$4:$B$6003,MATCH("R"&amp;208,중복목록!$L$6:$L$6005,0)),""))</f>
        <v/>
      </c>
      <c r="C213" s="12" t="str">
        <f aca="false">IF($A213="","",IFERROR(INDEX(중복검사!$C$4:$C$6003,MATCH("R"&amp;208,중복목록!$L$6:$L$6005,0)),""))</f>
        <v/>
      </c>
      <c r="D213" s="12" t="str">
        <f aca="false">IF($A213="","",IFERROR(INDEX(중복검사!$D$4:$D$6003,MATCH("R"&amp;208,중복목록!$L$6:$L$6005,0)),""))</f>
        <v/>
      </c>
      <c r="E213" s="12" t="str">
        <f aca="false">IF($A213="","",IFERROR(IF(INDEX(원본명단!$E$3:$E$6002,MATCH("R"&amp;208,중복목록!$L$6:$L$6005,0))="","",INDEX(원본명단!$E$3:$E$6002,MATCH("R"&amp;208,중복목록!$L$6:$L$6005,0))),""))</f>
        <v/>
      </c>
      <c r="F213" s="11" t="str">
        <f aca="false">IF($A213="","",IFERROR(MAX(INDEX(중복검사!$E$4:$E$6003,MATCH("R"&amp;208,중복목록!$L$6:$L$6005,0)),INDEX(중복검사!$F$4:$F$6003,MATCH("R"&amp;208,중복목록!$L$6:$L$6005,0)),INDEX(중복검사!$G$4:$G$6003,MATCH("R"&amp;208,중복목록!$L$6:$L$6005,0))),""))</f>
        <v/>
      </c>
      <c r="G213" s="11" t="str">
        <f aca="false">IF($A213="","",IFERROR(INDEX(중복검사!$I$4:$I$6003,MATCH("R"&amp;208,중복목록!$L$6:$L$6005,0)),""))</f>
        <v/>
      </c>
      <c r="H213" s="11" t="str">
        <f aca="false">IF($A213="","",IFERROR(INDEX(중복검사!$J$4:$J$6003,MATCH("R"&amp;208,중복목록!$L$6:$L$6005,0)),""))</f>
        <v/>
      </c>
      <c r="J213" s="14" t="b">
        <f aca="false">IF(중복검사!$A211="",FALSE(),중복검사!$H211="중복")</f>
        <v>0</v>
      </c>
      <c r="K213" s="5" t="str">
        <f aca="false">IF($J213=FALSE(),"",COUNTIF($J$6:$J213,TRUE()))</f>
        <v/>
      </c>
      <c r="L213" s="5" t="str">
        <f aca="false">IF($K213="","","R"&amp;$K213)</f>
        <v/>
      </c>
    </row>
    <row r="214" customFormat="false" ht="15" hidden="false" customHeight="true" outlineLevel="0" collapsed="false">
      <c r="A214" s="11" t="str">
        <f aca="false">IFERROR(INDEX(중복검사!$A$4:$A$6003,MATCH("R"&amp;209,중복목록!$L$6:$L$6005,0)),"")</f>
        <v/>
      </c>
      <c r="B214" s="12" t="str">
        <f aca="false">IF($A214="","",IFERROR(INDEX(중복검사!$B$4:$B$6003,MATCH("R"&amp;209,중복목록!$L$6:$L$6005,0)),""))</f>
        <v/>
      </c>
      <c r="C214" s="12" t="str">
        <f aca="false">IF($A214="","",IFERROR(INDEX(중복검사!$C$4:$C$6003,MATCH("R"&amp;209,중복목록!$L$6:$L$6005,0)),""))</f>
        <v/>
      </c>
      <c r="D214" s="12" t="str">
        <f aca="false">IF($A214="","",IFERROR(INDEX(중복검사!$D$4:$D$6003,MATCH("R"&amp;209,중복목록!$L$6:$L$6005,0)),""))</f>
        <v/>
      </c>
      <c r="E214" s="12" t="str">
        <f aca="false">IF($A214="","",IFERROR(IF(INDEX(원본명단!$E$3:$E$6002,MATCH("R"&amp;209,중복목록!$L$6:$L$6005,0))="","",INDEX(원본명단!$E$3:$E$6002,MATCH("R"&amp;209,중복목록!$L$6:$L$6005,0))),""))</f>
        <v/>
      </c>
      <c r="F214" s="11" t="str">
        <f aca="false">IF($A214="","",IFERROR(MAX(INDEX(중복검사!$E$4:$E$6003,MATCH("R"&amp;209,중복목록!$L$6:$L$6005,0)),INDEX(중복검사!$F$4:$F$6003,MATCH("R"&amp;209,중복목록!$L$6:$L$6005,0)),INDEX(중복검사!$G$4:$G$6003,MATCH("R"&amp;209,중복목록!$L$6:$L$6005,0))),""))</f>
        <v/>
      </c>
      <c r="G214" s="11" t="str">
        <f aca="false">IF($A214="","",IFERROR(INDEX(중복검사!$I$4:$I$6003,MATCH("R"&amp;209,중복목록!$L$6:$L$6005,0)),""))</f>
        <v/>
      </c>
      <c r="H214" s="11" t="str">
        <f aca="false">IF($A214="","",IFERROR(INDEX(중복검사!$J$4:$J$6003,MATCH("R"&amp;209,중복목록!$L$6:$L$6005,0)),""))</f>
        <v/>
      </c>
      <c r="J214" s="14" t="b">
        <f aca="false">IF(중복검사!$A212="",FALSE(),중복검사!$H212="중복")</f>
        <v>0</v>
      </c>
      <c r="K214" s="5" t="str">
        <f aca="false">IF($J214=FALSE(),"",COUNTIF($J$6:$J214,TRUE()))</f>
        <v/>
      </c>
      <c r="L214" s="5" t="str">
        <f aca="false">IF($K214="","","R"&amp;$K214)</f>
        <v/>
      </c>
    </row>
    <row r="215" customFormat="false" ht="15" hidden="false" customHeight="true" outlineLevel="0" collapsed="false">
      <c r="A215" s="11" t="str">
        <f aca="false">IFERROR(INDEX(중복검사!$A$4:$A$6003,MATCH("R"&amp;210,중복목록!$L$6:$L$6005,0)),"")</f>
        <v/>
      </c>
      <c r="B215" s="12" t="str">
        <f aca="false">IF($A215="","",IFERROR(INDEX(중복검사!$B$4:$B$6003,MATCH("R"&amp;210,중복목록!$L$6:$L$6005,0)),""))</f>
        <v/>
      </c>
      <c r="C215" s="12" t="str">
        <f aca="false">IF($A215="","",IFERROR(INDEX(중복검사!$C$4:$C$6003,MATCH("R"&amp;210,중복목록!$L$6:$L$6005,0)),""))</f>
        <v/>
      </c>
      <c r="D215" s="12" t="str">
        <f aca="false">IF($A215="","",IFERROR(INDEX(중복검사!$D$4:$D$6003,MATCH("R"&amp;210,중복목록!$L$6:$L$6005,0)),""))</f>
        <v/>
      </c>
      <c r="E215" s="12" t="str">
        <f aca="false">IF($A215="","",IFERROR(IF(INDEX(원본명단!$E$3:$E$6002,MATCH("R"&amp;210,중복목록!$L$6:$L$6005,0))="","",INDEX(원본명단!$E$3:$E$6002,MATCH("R"&amp;210,중복목록!$L$6:$L$6005,0))),""))</f>
        <v/>
      </c>
      <c r="F215" s="11" t="str">
        <f aca="false">IF($A215="","",IFERROR(MAX(INDEX(중복검사!$E$4:$E$6003,MATCH("R"&amp;210,중복목록!$L$6:$L$6005,0)),INDEX(중복검사!$F$4:$F$6003,MATCH("R"&amp;210,중복목록!$L$6:$L$6005,0)),INDEX(중복검사!$G$4:$G$6003,MATCH("R"&amp;210,중복목록!$L$6:$L$6005,0))),""))</f>
        <v/>
      </c>
      <c r="G215" s="11" t="str">
        <f aca="false">IF($A215="","",IFERROR(INDEX(중복검사!$I$4:$I$6003,MATCH("R"&amp;210,중복목록!$L$6:$L$6005,0)),""))</f>
        <v/>
      </c>
      <c r="H215" s="11" t="str">
        <f aca="false">IF($A215="","",IFERROR(INDEX(중복검사!$J$4:$J$6003,MATCH("R"&amp;210,중복목록!$L$6:$L$6005,0)),""))</f>
        <v/>
      </c>
      <c r="J215" s="14" t="b">
        <f aca="false">IF(중복검사!$A213="",FALSE(),중복검사!$H213="중복")</f>
        <v>0</v>
      </c>
      <c r="K215" s="5" t="str">
        <f aca="false">IF($J215=FALSE(),"",COUNTIF($J$6:$J215,TRUE()))</f>
        <v/>
      </c>
      <c r="L215" s="5" t="str">
        <f aca="false">IF($K215="","","R"&amp;$K215)</f>
        <v/>
      </c>
    </row>
    <row r="216" customFormat="false" ht="15" hidden="false" customHeight="true" outlineLevel="0" collapsed="false">
      <c r="A216" s="11" t="str">
        <f aca="false">IFERROR(INDEX(중복검사!$A$4:$A$6003,MATCH("R"&amp;211,중복목록!$L$6:$L$6005,0)),"")</f>
        <v/>
      </c>
      <c r="B216" s="12" t="str">
        <f aca="false">IF($A216="","",IFERROR(INDEX(중복검사!$B$4:$B$6003,MATCH("R"&amp;211,중복목록!$L$6:$L$6005,0)),""))</f>
        <v/>
      </c>
      <c r="C216" s="12" t="str">
        <f aca="false">IF($A216="","",IFERROR(INDEX(중복검사!$C$4:$C$6003,MATCH("R"&amp;211,중복목록!$L$6:$L$6005,0)),""))</f>
        <v/>
      </c>
      <c r="D216" s="12" t="str">
        <f aca="false">IF($A216="","",IFERROR(INDEX(중복검사!$D$4:$D$6003,MATCH("R"&amp;211,중복목록!$L$6:$L$6005,0)),""))</f>
        <v/>
      </c>
      <c r="E216" s="12" t="str">
        <f aca="false">IF($A216="","",IFERROR(IF(INDEX(원본명단!$E$3:$E$6002,MATCH("R"&amp;211,중복목록!$L$6:$L$6005,0))="","",INDEX(원본명단!$E$3:$E$6002,MATCH("R"&amp;211,중복목록!$L$6:$L$6005,0))),""))</f>
        <v/>
      </c>
      <c r="F216" s="11" t="str">
        <f aca="false">IF($A216="","",IFERROR(MAX(INDEX(중복검사!$E$4:$E$6003,MATCH("R"&amp;211,중복목록!$L$6:$L$6005,0)),INDEX(중복검사!$F$4:$F$6003,MATCH("R"&amp;211,중복목록!$L$6:$L$6005,0)),INDEX(중복검사!$G$4:$G$6003,MATCH("R"&amp;211,중복목록!$L$6:$L$6005,0))),""))</f>
        <v/>
      </c>
      <c r="G216" s="11" t="str">
        <f aca="false">IF($A216="","",IFERROR(INDEX(중복검사!$I$4:$I$6003,MATCH("R"&amp;211,중복목록!$L$6:$L$6005,0)),""))</f>
        <v/>
      </c>
      <c r="H216" s="11" t="str">
        <f aca="false">IF($A216="","",IFERROR(INDEX(중복검사!$J$4:$J$6003,MATCH("R"&amp;211,중복목록!$L$6:$L$6005,0)),""))</f>
        <v/>
      </c>
      <c r="J216" s="14" t="b">
        <f aca="false">IF(중복검사!$A214="",FALSE(),중복검사!$H214="중복")</f>
        <v>0</v>
      </c>
      <c r="K216" s="5" t="str">
        <f aca="false">IF($J216=FALSE(),"",COUNTIF($J$6:$J216,TRUE()))</f>
        <v/>
      </c>
      <c r="L216" s="5" t="str">
        <f aca="false">IF($K216="","","R"&amp;$K216)</f>
        <v/>
      </c>
    </row>
    <row r="217" customFormat="false" ht="15" hidden="false" customHeight="true" outlineLevel="0" collapsed="false">
      <c r="A217" s="11" t="str">
        <f aca="false">IFERROR(INDEX(중복검사!$A$4:$A$6003,MATCH("R"&amp;212,중복목록!$L$6:$L$6005,0)),"")</f>
        <v/>
      </c>
      <c r="B217" s="12" t="str">
        <f aca="false">IF($A217="","",IFERROR(INDEX(중복검사!$B$4:$B$6003,MATCH("R"&amp;212,중복목록!$L$6:$L$6005,0)),""))</f>
        <v/>
      </c>
      <c r="C217" s="12" t="str">
        <f aca="false">IF($A217="","",IFERROR(INDEX(중복검사!$C$4:$C$6003,MATCH("R"&amp;212,중복목록!$L$6:$L$6005,0)),""))</f>
        <v/>
      </c>
      <c r="D217" s="12" t="str">
        <f aca="false">IF($A217="","",IFERROR(INDEX(중복검사!$D$4:$D$6003,MATCH("R"&amp;212,중복목록!$L$6:$L$6005,0)),""))</f>
        <v/>
      </c>
      <c r="E217" s="12" t="str">
        <f aca="false">IF($A217="","",IFERROR(IF(INDEX(원본명단!$E$3:$E$6002,MATCH("R"&amp;212,중복목록!$L$6:$L$6005,0))="","",INDEX(원본명단!$E$3:$E$6002,MATCH("R"&amp;212,중복목록!$L$6:$L$6005,0))),""))</f>
        <v/>
      </c>
      <c r="F217" s="11" t="str">
        <f aca="false">IF($A217="","",IFERROR(MAX(INDEX(중복검사!$E$4:$E$6003,MATCH("R"&amp;212,중복목록!$L$6:$L$6005,0)),INDEX(중복검사!$F$4:$F$6003,MATCH("R"&amp;212,중복목록!$L$6:$L$6005,0)),INDEX(중복검사!$G$4:$G$6003,MATCH("R"&amp;212,중복목록!$L$6:$L$6005,0))),""))</f>
        <v/>
      </c>
      <c r="G217" s="11" t="str">
        <f aca="false">IF($A217="","",IFERROR(INDEX(중복검사!$I$4:$I$6003,MATCH("R"&amp;212,중복목록!$L$6:$L$6005,0)),""))</f>
        <v/>
      </c>
      <c r="H217" s="11" t="str">
        <f aca="false">IF($A217="","",IFERROR(INDEX(중복검사!$J$4:$J$6003,MATCH("R"&amp;212,중복목록!$L$6:$L$6005,0)),""))</f>
        <v/>
      </c>
      <c r="J217" s="14" t="b">
        <f aca="false">IF(중복검사!$A215="",FALSE(),중복검사!$H215="중복")</f>
        <v>0</v>
      </c>
      <c r="K217" s="5" t="str">
        <f aca="false">IF($J217=FALSE(),"",COUNTIF($J$6:$J217,TRUE()))</f>
        <v/>
      </c>
      <c r="L217" s="5" t="str">
        <f aca="false">IF($K217="","","R"&amp;$K217)</f>
        <v/>
      </c>
    </row>
    <row r="218" customFormat="false" ht="15" hidden="false" customHeight="true" outlineLevel="0" collapsed="false">
      <c r="A218" s="11" t="str">
        <f aca="false">IFERROR(INDEX(중복검사!$A$4:$A$6003,MATCH("R"&amp;213,중복목록!$L$6:$L$6005,0)),"")</f>
        <v/>
      </c>
      <c r="B218" s="12" t="str">
        <f aca="false">IF($A218="","",IFERROR(INDEX(중복검사!$B$4:$B$6003,MATCH("R"&amp;213,중복목록!$L$6:$L$6005,0)),""))</f>
        <v/>
      </c>
      <c r="C218" s="12" t="str">
        <f aca="false">IF($A218="","",IFERROR(INDEX(중복검사!$C$4:$C$6003,MATCH("R"&amp;213,중복목록!$L$6:$L$6005,0)),""))</f>
        <v/>
      </c>
      <c r="D218" s="12" t="str">
        <f aca="false">IF($A218="","",IFERROR(INDEX(중복검사!$D$4:$D$6003,MATCH("R"&amp;213,중복목록!$L$6:$L$6005,0)),""))</f>
        <v/>
      </c>
      <c r="E218" s="12" t="str">
        <f aca="false">IF($A218="","",IFERROR(IF(INDEX(원본명단!$E$3:$E$6002,MATCH("R"&amp;213,중복목록!$L$6:$L$6005,0))="","",INDEX(원본명단!$E$3:$E$6002,MATCH("R"&amp;213,중복목록!$L$6:$L$6005,0))),""))</f>
        <v/>
      </c>
      <c r="F218" s="11" t="str">
        <f aca="false">IF($A218="","",IFERROR(MAX(INDEX(중복검사!$E$4:$E$6003,MATCH("R"&amp;213,중복목록!$L$6:$L$6005,0)),INDEX(중복검사!$F$4:$F$6003,MATCH("R"&amp;213,중복목록!$L$6:$L$6005,0)),INDEX(중복검사!$G$4:$G$6003,MATCH("R"&amp;213,중복목록!$L$6:$L$6005,0))),""))</f>
        <v/>
      </c>
      <c r="G218" s="11" t="str">
        <f aca="false">IF($A218="","",IFERROR(INDEX(중복검사!$I$4:$I$6003,MATCH("R"&amp;213,중복목록!$L$6:$L$6005,0)),""))</f>
        <v/>
      </c>
      <c r="H218" s="11" t="str">
        <f aca="false">IF($A218="","",IFERROR(INDEX(중복검사!$J$4:$J$6003,MATCH("R"&amp;213,중복목록!$L$6:$L$6005,0)),""))</f>
        <v/>
      </c>
      <c r="J218" s="14" t="b">
        <f aca="false">IF(중복검사!$A216="",FALSE(),중복검사!$H216="중복")</f>
        <v>0</v>
      </c>
      <c r="K218" s="5" t="str">
        <f aca="false">IF($J218=FALSE(),"",COUNTIF($J$6:$J218,TRUE()))</f>
        <v/>
      </c>
      <c r="L218" s="5" t="str">
        <f aca="false">IF($K218="","","R"&amp;$K218)</f>
        <v/>
      </c>
    </row>
    <row r="219" customFormat="false" ht="15" hidden="false" customHeight="true" outlineLevel="0" collapsed="false">
      <c r="A219" s="11" t="str">
        <f aca="false">IFERROR(INDEX(중복검사!$A$4:$A$6003,MATCH("R"&amp;214,중복목록!$L$6:$L$6005,0)),"")</f>
        <v/>
      </c>
      <c r="B219" s="12" t="str">
        <f aca="false">IF($A219="","",IFERROR(INDEX(중복검사!$B$4:$B$6003,MATCH("R"&amp;214,중복목록!$L$6:$L$6005,0)),""))</f>
        <v/>
      </c>
      <c r="C219" s="12" t="str">
        <f aca="false">IF($A219="","",IFERROR(INDEX(중복검사!$C$4:$C$6003,MATCH("R"&amp;214,중복목록!$L$6:$L$6005,0)),""))</f>
        <v/>
      </c>
      <c r="D219" s="12" t="str">
        <f aca="false">IF($A219="","",IFERROR(INDEX(중복검사!$D$4:$D$6003,MATCH("R"&amp;214,중복목록!$L$6:$L$6005,0)),""))</f>
        <v/>
      </c>
      <c r="E219" s="12" t="str">
        <f aca="false">IF($A219="","",IFERROR(IF(INDEX(원본명단!$E$3:$E$6002,MATCH("R"&amp;214,중복목록!$L$6:$L$6005,0))="","",INDEX(원본명단!$E$3:$E$6002,MATCH("R"&amp;214,중복목록!$L$6:$L$6005,0))),""))</f>
        <v/>
      </c>
      <c r="F219" s="11" t="str">
        <f aca="false">IF($A219="","",IFERROR(MAX(INDEX(중복검사!$E$4:$E$6003,MATCH("R"&amp;214,중복목록!$L$6:$L$6005,0)),INDEX(중복검사!$F$4:$F$6003,MATCH("R"&amp;214,중복목록!$L$6:$L$6005,0)),INDEX(중복검사!$G$4:$G$6003,MATCH("R"&amp;214,중복목록!$L$6:$L$6005,0))),""))</f>
        <v/>
      </c>
      <c r="G219" s="11" t="str">
        <f aca="false">IF($A219="","",IFERROR(INDEX(중복검사!$I$4:$I$6003,MATCH("R"&amp;214,중복목록!$L$6:$L$6005,0)),""))</f>
        <v/>
      </c>
      <c r="H219" s="11" t="str">
        <f aca="false">IF($A219="","",IFERROR(INDEX(중복검사!$J$4:$J$6003,MATCH("R"&amp;214,중복목록!$L$6:$L$6005,0)),""))</f>
        <v/>
      </c>
      <c r="J219" s="14" t="b">
        <f aca="false">IF(중복검사!$A217="",FALSE(),중복검사!$H217="중복")</f>
        <v>0</v>
      </c>
      <c r="K219" s="5" t="str">
        <f aca="false">IF($J219=FALSE(),"",COUNTIF($J$6:$J219,TRUE()))</f>
        <v/>
      </c>
      <c r="L219" s="5" t="str">
        <f aca="false">IF($K219="","","R"&amp;$K219)</f>
        <v/>
      </c>
    </row>
    <row r="220" customFormat="false" ht="15" hidden="false" customHeight="true" outlineLevel="0" collapsed="false">
      <c r="A220" s="11" t="str">
        <f aca="false">IFERROR(INDEX(중복검사!$A$4:$A$6003,MATCH("R"&amp;215,중복목록!$L$6:$L$6005,0)),"")</f>
        <v/>
      </c>
      <c r="B220" s="12" t="str">
        <f aca="false">IF($A220="","",IFERROR(INDEX(중복검사!$B$4:$B$6003,MATCH("R"&amp;215,중복목록!$L$6:$L$6005,0)),""))</f>
        <v/>
      </c>
      <c r="C220" s="12" t="str">
        <f aca="false">IF($A220="","",IFERROR(INDEX(중복검사!$C$4:$C$6003,MATCH("R"&amp;215,중복목록!$L$6:$L$6005,0)),""))</f>
        <v/>
      </c>
      <c r="D220" s="12" t="str">
        <f aca="false">IF($A220="","",IFERROR(INDEX(중복검사!$D$4:$D$6003,MATCH("R"&amp;215,중복목록!$L$6:$L$6005,0)),""))</f>
        <v/>
      </c>
      <c r="E220" s="12" t="str">
        <f aca="false">IF($A220="","",IFERROR(IF(INDEX(원본명단!$E$3:$E$6002,MATCH("R"&amp;215,중복목록!$L$6:$L$6005,0))="","",INDEX(원본명단!$E$3:$E$6002,MATCH("R"&amp;215,중복목록!$L$6:$L$6005,0))),""))</f>
        <v/>
      </c>
      <c r="F220" s="11" t="str">
        <f aca="false">IF($A220="","",IFERROR(MAX(INDEX(중복검사!$E$4:$E$6003,MATCH("R"&amp;215,중복목록!$L$6:$L$6005,0)),INDEX(중복검사!$F$4:$F$6003,MATCH("R"&amp;215,중복목록!$L$6:$L$6005,0)),INDEX(중복검사!$G$4:$G$6003,MATCH("R"&amp;215,중복목록!$L$6:$L$6005,0))),""))</f>
        <v/>
      </c>
      <c r="G220" s="11" t="str">
        <f aca="false">IF($A220="","",IFERROR(INDEX(중복검사!$I$4:$I$6003,MATCH("R"&amp;215,중복목록!$L$6:$L$6005,0)),""))</f>
        <v/>
      </c>
      <c r="H220" s="11" t="str">
        <f aca="false">IF($A220="","",IFERROR(INDEX(중복검사!$J$4:$J$6003,MATCH("R"&amp;215,중복목록!$L$6:$L$6005,0)),""))</f>
        <v/>
      </c>
      <c r="J220" s="14" t="b">
        <f aca="false">IF(중복검사!$A218="",FALSE(),중복검사!$H218="중복")</f>
        <v>0</v>
      </c>
      <c r="K220" s="5" t="str">
        <f aca="false">IF($J220=FALSE(),"",COUNTIF($J$6:$J220,TRUE()))</f>
        <v/>
      </c>
      <c r="L220" s="5" t="str">
        <f aca="false">IF($K220="","","R"&amp;$K220)</f>
        <v/>
      </c>
    </row>
    <row r="221" customFormat="false" ht="15" hidden="false" customHeight="true" outlineLevel="0" collapsed="false">
      <c r="A221" s="11" t="str">
        <f aca="false">IFERROR(INDEX(중복검사!$A$4:$A$6003,MATCH("R"&amp;216,중복목록!$L$6:$L$6005,0)),"")</f>
        <v/>
      </c>
      <c r="B221" s="12" t="str">
        <f aca="false">IF($A221="","",IFERROR(INDEX(중복검사!$B$4:$B$6003,MATCH("R"&amp;216,중복목록!$L$6:$L$6005,0)),""))</f>
        <v/>
      </c>
      <c r="C221" s="12" t="str">
        <f aca="false">IF($A221="","",IFERROR(INDEX(중복검사!$C$4:$C$6003,MATCH("R"&amp;216,중복목록!$L$6:$L$6005,0)),""))</f>
        <v/>
      </c>
      <c r="D221" s="12" t="str">
        <f aca="false">IF($A221="","",IFERROR(INDEX(중복검사!$D$4:$D$6003,MATCH("R"&amp;216,중복목록!$L$6:$L$6005,0)),""))</f>
        <v/>
      </c>
      <c r="E221" s="12" t="str">
        <f aca="false">IF($A221="","",IFERROR(IF(INDEX(원본명단!$E$3:$E$6002,MATCH("R"&amp;216,중복목록!$L$6:$L$6005,0))="","",INDEX(원본명단!$E$3:$E$6002,MATCH("R"&amp;216,중복목록!$L$6:$L$6005,0))),""))</f>
        <v/>
      </c>
      <c r="F221" s="11" t="str">
        <f aca="false">IF($A221="","",IFERROR(MAX(INDEX(중복검사!$E$4:$E$6003,MATCH("R"&amp;216,중복목록!$L$6:$L$6005,0)),INDEX(중복검사!$F$4:$F$6003,MATCH("R"&amp;216,중복목록!$L$6:$L$6005,0)),INDEX(중복검사!$G$4:$G$6003,MATCH("R"&amp;216,중복목록!$L$6:$L$6005,0))),""))</f>
        <v/>
      </c>
      <c r="G221" s="11" t="str">
        <f aca="false">IF($A221="","",IFERROR(INDEX(중복검사!$I$4:$I$6003,MATCH("R"&amp;216,중복목록!$L$6:$L$6005,0)),""))</f>
        <v/>
      </c>
      <c r="H221" s="11" t="str">
        <f aca="false">IF($A221="","",IFERROR(INDEX(중복검사!$J$4:$J$6003,MATCH("R"&amp;216,중복목록!$L$6:$L$6005,0)),""))</f>
        <v/>
      </c>
      <c r="J221" s="14" t="b">
        <f aca="false">IF(중복검사!$A219="",FALSE(),중복검사!$H219="중복")</f>
        <v>0</v>
      </c>
      <c r="K221" s="5" t="str">
        <f aca="false">IF($J221=FALSE(),"",COUNTIF($J$6:$J221,TRUE()))</f>
        <v/>
      </c>
      <c r="L221" s="5" t="str">
        <f aca="false">IF($K221="","","R"&amp;$K221)</f>
        <v/>
      </c>
    </row>
    <row r="222" customFormat="false" ht="15" hidden="false" customHeight="true" outlineLevel="0" collapsed="false">
      <c r="A222" s="11" t="str">
        <f aca="false">IFERROR(INDEX(중복검사!$A$4:$A$6003,MATCH("R"&amp;217,중복목록!$L$6:$L$6005,0)),"")</f>
        <v/>
      </c>
      <c r="B222" s="12" t="str">
        <f aca="false">IF($A222="","",IFERROR(INDEX(중복검사!$B$4:$B$6003,MATCH("R"&amp;217,중복목록!$L$6:$L$6005,0)),""))</f>
        <v/>
      </c>
      <c r="C222" s="12" t="str">
        <f aca="false">IF($A222="","",IFERROR(INDEX(중복검사!$C$4:$C$6003,MATCH("R"&amp;217,중복목록!$L$6:$L$6005,0)),""))</f>
        <v/>
      </c>
      <c r="D222" s="12" t="str">
        <f aca="false">IF($A222="","",IFERROR(INDEX(중복검사!$D$4:$D$6003,MATCH("R"&amp;217,중복목록!$L$6:$L$6005,0)),""))</f>
        <v/>
      </c>
      <c r="E222" s="12" t="str">
        <f aca="false">IF($A222="","",IFERROR(IF(INDEX(원본명단!$E$3:$E$6002,MATCH("R"&amp;217,중복목록!$L$6:$L$6005,0))="","",INDEX(원본명단!$E$3:$E$6002,MATCH("R"&amp;217,중복목록!$L$6:$L$6005,0))),""))</f>
        <v/>
      </c>
      <c r="F222" s="11" t="str">
        <f aca="false">IF($A222="","",IFERROR(MAX(INDEX(중복검사!$E$4:$E$6003,MATCH("R"&amp;217,중복목록!$L$6:$L$6005,0)),INDEX(중복검사!$F$4:$F$6003,MATCH("R"&amp;217,중복목록!$L$6:$L$6005,0)),INDEX(중복검사!$G$4:$G$6003,MATCH("R"&amp;217,중복목록!$L$6:$L$6005,0))),""))</f>
        <v/>
      </c>
      <c r="G222" s="11" t="str">
        <f aca="false">IF($A222="","",IFERROR(INDEX(중복검사!$I$4:$I$6003,MATCH("R"&amp;217,중복목록!$L$6:$L$6005,0)),""))</f>
        <v/>
      </c>
      <c r="H222" s="11" t="str">
        <f aca="false">IF($A222="","",IFERROR(INDEX(중복검사!$J$4:$J$6003,MATCH("R"&amp;217,중복목록!$L$6:$L$6005,0)),""))</f>
        <v/>
      </c>
      <c r="J222" s="14" t="b">
        <f aca="false">IF(중복검사!$A220="",FALSE(),중복검사!$H220="중복")</f>
        <v>0</v>
      </c>
      <c r="K222" s="5" t="str">
        <f aca="false">IF($J222=FALSE(),"",COUNTIF($J$6:$J222,TRUE()))</f>
        <v/>
      </c>
      <c r="L222" s="5" t="str">
        <f aca="false">IF($K222="","","R"&amp;$K222)</f>
        <v/>
      </c>
    </row>
    <row r="223" customFormat="false" ht="15" hidden="false" customHeight="true" outlineLevel="0" collapsed="false">
      <c r="A223" s="11" t="str">
        <f aca="false">IFERROR(INDEX(중복검사!$A$4:$A$6003,MATCH("R"&amp;218,중복목록!$L$6:$L$6005,0)),"")</f>
        <v/>
      </c>
      <c r="B223" s="12" t="str">
        <f aca="false">IF($A223="","",IFERROR(INDEX(중복검사!$B$4:$B$6003,MATCH("R"&amp;218,중복목록!$L$6:$L$6005,0)),""))</f>
        <v/>
      </c>
      <c r="C223" s="12" t="str">
        <f aca="false">IF($A223="","",IFERROR(INDEX(중복검사!$C$4:$C$6003,MATCH("R"&amp;218,중복목록!$L$6:$L$6005,0)),""))</f>
        <v/>
      </c>
      <c r="D223" s="12" t="str">
        <f aca="false">IF($A223="","",IFERROR(INDEX(중복검사!$D$4:$D$6003,MATCH("R"&amp;218,중복목록!$L$6:$L$6005,0)),""))</f>
        <v/>
      </c>
      <c r="E223" s="12" t="str">
        <f aca="false">IF($A223="","",IFERROR(IF(INDEX(원본명단!$E$3:$E$6002,MATCH("R"&amp;218,중복목록!$L$6:$L$6005,0))="","",INDEX(원본명단!$E$3:$E$6002,MATCH("R"&amp;218,중복목록!$L$6:$L$6005,0))),""))</f>
        <v/>
      </c>
      <c r="F223" s="11" t="str">
        <f aca="false">IF($A223="","",IFERROR(MAX(INDEX(중복검사!$E$4:$E$6003,MATCH("R"&amp;218,중복목록!$L$6:$L$6005,0)),INDEX(중복검사!$F$4:$F$6003,MATCH("R"&amp;218,중복목록!$L$6:$L$6005,0)),INDEX(중복검사!$G$4:$G$6003,MATCH("R"&amp;218,중복목록!$L$6:$L$6005,0))),""))</f>
        <v/>
      </c>
      <c r="G223" s="11" t="str">
        <f aca="false">IF($A223="","",IFERROR(INDEX(중복검사!$I$4:$I$6003,MATCH("R"&amp;218,중복목록!$L$6:$L$6005,0)),""))</f>
        <v/>
      </c>
      <c r="H223" s="11" t="str">
        <f aca="false">IF($A223="","",IFERROR(INDEX(중복검사!$J$4:$J$6003,MATCH("R"&amp;218,중복목록!$L$6:$L$6005,0)),""))</f>
        <v/>
      </c>
      <c r="J223" s="14" t="b">
        <f aca="false">IF(중복검사!$A221="",FALSE(),중복검사!$H221="중복")</f>
        <v>0</v>
      </c>
      <c r="K223" s="5" t="str">
        <f aca="false">IF($J223=FALSE(),"",COUNTIF($J$6:$J223,TRUE()))</f>
        <v/>
      </c>
      <c r="L223" s="5" t="str">
        <f aca="false">IF($K223="","","R"&amp;$K223)</f>
        <v/>
      </c>
    </row>
    <row r="224" customFormat="false" ht="15" hidden="false" customHeight="true" outlineLevel="0" collapsed="false">
      <c r="A224" s="11" t="str">
        <f aca="false">IFERROR(INDEX(중복검사!$A$4:$A$6003,MATCH("R"&amp;219,중복목록!$L$6:$L$6005,0)),"")</f>
        <v/>
      </c>
      <c r="B224" s="12" t="str">
        <f aca="false">IF($A224="","",IFERROR(INDEX(중복검사!$B$4:$B$6003,MATCH("R"&amp;219,중복목록!$L$6:$L$6005,0)),""))</f>
        <v/>
      </c>
      <c r="C224" s="12" t="str">
        <f aca="false">IF($A224="","",IFERROR(INDEX(중복검사!$C$4:$C$6003,MATCH("R"&amp;219,중복목록!$L$6:$L$6005,0)),""))</f>
        <v/>
      </c>
      <c r="D224" s="12" t="str">
        <f aca="false">IF($A224="","",IFERROR(INDEX(중복검사!$D$4:$D$6003,MATCH("R"&amp;219,중복목록!$L$6:$L$6005,0)),""))</f>
        <v/>
      </c>
      <c r="E224" s="12" t="str">
        <f aca="false">IF($A224="","",IFERROR(IF(INDEX(원본명단!$E$3:$E$6002,MATCH("R"&amp;219,중복목록!$L$6:$L$6005,0))="","",INDEX(원본명단!$E$3:$E$6002,MATCH("R"&amp;219,중복목록!$L$6:$L$6005,0))),""))</f>
        <v/>
      </c>
      <c r="F224" s="11" t="str">
        <f aca="false">IF($A224="","",IFERROR(MAX(INDEX(중복검사!$E$4:$E$6003,MATCH("R"&amp;219,중복목록!$L$6:$L$6005,0)),INDEX(중복검사!$F$4:$F$6003,MATCH("R"&amp;219,중복목록!$L$6:$L$6005,0)),INDEX(중복검사!$G$4:$G$6003,MATCH("R"&amp;219,중복목록!$L$6:$L$6005,0))),""))</f>
        <v/>
      </c>
      <c r="G224" s="11" t="str">
        <f aca="false">IF($A224="","",IFERROR(INDEX(중복검사!$I$4:$I$6003,MATCH("R"&amp;219,중복목록!$L$6:$L$6005,0)),""))</f>
        <v/>
      </c>
      <c r="H224" s="11" t="str">
        <f aca="false">IF($A224="","",IFERROR(INDEX(중복검사!$J$4:$J$6003,MATCH("R"&amp;219,중복목록!$L$6:$L$6005,0)),""))</f>
        <v/>
      </c>
      <c r="J224" s="14" t="b">
        <f aca="false">IF(중복검사!$A222="",FALSE(),중복검사!$H222="중복")</f>
        <v>0</v>
      </c>
      <c r="K224" s="5" t="str">
        <f aca="false">IF($J224=FALSE(),"",COUNTIF($J$6:$J224,TRUE()))</f>
        <v/>
      </c>
      <c r="L224" s="5" t="str">
        <f aca="false">IF($K224="","","R"&amp;$K224)</f>
        <v/>
      </c>
    </row>
    <row r="225" customFormat="false" ht="15" hidden="false" customHeight="true" outlineLevel="0" collapsed="false">
      <c r="A225" s="11" t="str">
        <f aca="false">IFERROR(INDEX(중복검사!$A$4:$A$6003,MATCH("R"&amp;220,중복목록!$L$6:$L$6005,0)),"")</f>
        <v/>
      </c>
      <c r="B225" s="12" t="str">
        <f aca="false">IF($A225="","",IFERROR(INDEX(중복검사!$B$4:$B$6003,MATCH("R"&amp;220,중복목록!$L$6:$L$6005,0)),""))</f>
        <v/>
      </c>
      <c r="C225" s="12" t="str">
        <f aca="false">IF($A225="","",IFERROR(INDEX(중복검사!$C$4:$C$6003,MATCH("R"&amp;220,중복목록!$L$6:$L$6005,0)),""))</f>
        <v/>
      </c>
      <c r="D225" s="12" t="str">
        <f aca="false">IF($A225="","",IFERROR(INDEX(중복검사!$D$4:$D$6003,MATCH("R"&amp;220,중복목록!$L$6:$L$6005,0)),""))</f>
        <v/>
      </c>
      <c r="E225" s="12" t="str">
        <f aca="false">IF($A225="","",IFERROR(IF(INDEX(원본명단!$E$3:$E$6002,MATCH("R"&amp;220,중복목록!$L$6:$L$6005,0))="","",INDEX(원본명단!$E$3:$E$6002,MATCH("R"&amp;220,중복목록!$L$6:$L$6005,0))),""))</f>
        <v/>
      </c>
      <c r="F225" s="11" t="str">
        <f aca="false">IF($A225="","",IFERROR(MAX(INDEX(중복검사!$E$4:$E$6003,MATCH("R"&amp;220,중복목록!$L$6:$L$6005,0)),INDEX(중복검사!$F$4:$F$6003,MATCH("R"&amp;220,중복목록!$L$6:$L$6005,0)),INDEX(중복검사!$G$4:$G$6003,MATCH("R"&amp;220,중복목록!$L$6:$L$6005,0))),""))</f>
        <v/>
      </c>
      <c r="G225" s="11" t="str">
        <f aca="false">IF($A225="","",IFERROR(INDEX(중복검사!$I$4:$I$6003,MATCH("R"&amp;220,중복목록!$L$6:$L$6005,0)),""))</f>
        <v/>
      </c>
      <c r="H225" s="11" t="str">
        <f aca="false">IF($A225="","",IFERROR(INDEX(중복검사!$J$4:$J$6003,MATCH("R"&amp;220,중복목록!$L$6:$L$6005,0)),""))</f>
        <v/>
      </c>
      <c r="J225" s="14" t="b">
        <f aca="false">IF(중복검사!$A223="",FALSE(),중복검사!$H223="중복")</f>
        <v>0</v>
      </c>
      <c r="K225" s="5" t="str">
        <f aca="false">IF($J225=FALSE(),"",COUNTIF($J$6:$J225,TRUE()))</f>
        <v/>
      </c>
      <c r="L225" s="5" t="str">
        <f aca="false">IF($K225="","","R"&amp;$K225)</f>
        <v/>
      </c>
    </row>
    <row r="226" customFormat="false" ht="15" hidden="false" customHeight="true" outlineLevel="0" collapsed="false">
      <c r="A226" s="11" t="str">
        <f aca="false">IFERROR(INDEX(중복검사!$A$4:$A$6003,MATCH("R"&amp;221,중복목록!$L$6:$L$6005,0)),"")</f>
        <v/>
      </c>
      <c r="B226" s="12" t="str">
        <f aca="false">IF($A226="","",IFERROR(INDEX(중복검사!$B$4:$B$6003,MATCH("R"&amp;221,중복목록!$L$6:$L$6005,0)),""))</f>
        <v/>
      </c>
      <c r="C226" s="12" t="str">
        <f aca="false">IF($A226="","",IFERROR(INDEX(중복검사!$C$4:$C$6003,MATCH("R"&amp;221,중복목록!$L$6:$L$6005,0)),""))</f>
        <v/>
      </c>
      <c r="D226" s="12" t="str">
        <f aca="false">IF($A226="","",IFERROR(INDEX(중복검사!$D$4:$D$6003,MATCH("R"&amp;221,중복목록!$L$6:$L$6005,0)),""))</f>
        <v/>
      </c>
      <c r="E226" s="12" t="str">
        <f aca="false">IF($A226="","",IFERROR(IF(INDEX(원본명단!$E$3:$E$6002,MATCH("R"&amp;221,중복목록!$L$6:$L$6005,0))="","",INDEX(원본명단!$E$3:$E$6002,MATCH("R"&amp;221,중복목록!$L$6:$L$6005,0))),""))</f>
        <v/>
      </c>
      <c r="F226" s="11" t="str">
        <f aca="false">IF($A226="","",IFERROR(MAX(INDEX(중복검사!$E$4:$E$6003,MATCH("R"&amp;221,중복목록!$L$6:$L$6005,0)),INDEX(중복검사!$F$4:$F$6003,MATCH("R"&amp;221,중복목록!$L$6:$L$6005,0)),INDEX(중복검사!$G$4:$G$6003,MATCH("R"&amp;221,중복목록!$L$6:$L$6005,0))),""))</f>
        <v/>
      </c>
      <c r="G226" s="11" t="str">
        <f aca="false">IF($A226="","",IFERROR(INDEX(중복검사!$I$4:$I$6003,MATCH("R"&amp;221,중복목록!$L$6:$L$6005,0)),""))</f>
        <v/>
      </c>
      <c r="H226" s="11" t="str">
        <f aca="false">IF($A226="","",IFERROR(INDEX(중복검사!$J$4:$J$6003,MATCH("R"&amp;221,중복목록!$L$6:$L$6005,0)),""))</f>
        <v/>
      </c>
      <c r="J226" s="14" t="b">
        <f aca="false">IF(중복검사!$A224="",FALSE(),중복검사!$H224="중복")</f>
        <v>0</v>
      </c>
      <c r="K226" s="5" t="str">
        <f aca="false">IF($J226=FALSE(),"",COUNTIF($J$6:$J226,TRUE()))</f>
        <v/>
      </c>
      <c r="L226" s="5" t="str">
        <f aca="false">IF($K226="","","R"&amp;$K226)</f>
        <v/>
      </c>
    </row>
    <row r="227" customFormat="false" ht="15" hidden="false" customHeight="true" outlineLevel="0" collapsed="false">
      <c r="A227" s="11" t="str">
        <f aca="false">IFERROR(INDEX(중복검사!$A$4:$A$6003,MATCH("R"&amp;222,중복목록!$L$6:$L$6005,0)),"")</f>
        <v/>
      </c>
      <c r="B227" s="12" t="str">
        <f aca="false">IF($A227="","",IFERROR(INDEX(중복검사!$B$4:$B$6003,MATCH("R"&amp;222,중복목록!$L$6:$L$6005,0)),""))</f>
        <v/>
      </c>
      <c r="C227" s="12" t="str">
        <f aca="false">IF($A227="","",IFERROR(INDEX(중복검사!$C$4:$C$6003,MATCH("R"&amp;222,중복목록!$L$6:$L$6005,0)),""))</f>
        <v/>
      </c>
      <c r="D227" s="12" t="str">
        <f aca="false">IF($A227="","",IFERROR(INDEX(중복검사!$D$4:$D$6003,MATCH("R"&amp;222,중복목록!$L$6:$L$6005,0)),""))</f>
        <v/>
      </c>
      <c r="E227" s="12" t="str">
        <f aca="false">IF($A227="","",IFERROR(IF(INDEX(원본명단!$E$3:$E$6002,MATCH("R"&amp;222,중복목록!$L$6:$L$6005,0))="","",INDEX(원본명단!$E$3:$E$6002,MATCH("R"&amp;222,중복목록!$L$6:$L$6005,0))),""))</f>
        <v/>
      </c>
      <c r="F227" s="11" t="str">
        <f aca="false">IF($A227="","",IFERROR(MAX(INDEX(중복검사!$E$4:$E$6003,MATCH("R"&amp;222,중복목록!$L$6:$L$6005,0)),INDEX(중복검사!$F$4:$F$6003,MATCH("R"&amp;222,중복목록!$L$6:$L$6005,0)),INDEX(중복검사!$G$4:$G$6003,MATCH("R"&amp;222,중복목록!$L$6:$L$6005,0))),""))</f>
        <v/>
      </c>
      <c r="G227" s="11" t="str">
        <f aca="false">IF($A227="","",IFERROR(INDEX(중복검사!$I$4:$I$6003,MATCH("R"&amp;222,중복목록!$L$6:$L$6005,0)),""))</f>
        <v/>
      </c>
      <c r="H227" s="11" t="str">
        <f aca="false">IF($A227="","",IFERROR(INDEX(중복검사!$J$4:$J$6003,MATCH("R"&amp;222,중복목록!$L$6:$L$6005,0)),""))</f>
        <v/>
      </c>
      <c r="J227" s="14" t="b">
        <f aca="false">IF(중복검사!$A225="",FALSE(),중복검사!$H225="중복")</f>
        <v>0</v>
      </c>
      <c r="K227" s="5" t="str">
        <f aca="false">IF($J227=FALSE(),"",COUNTIF($J$6:$J227,TRUE()))</f>
        <v/>
      </c>
      <c r="L227" s="5" t="str">
        <f aca="false">IF($K227="","","R"&amp;$K227)</f>
        <v/>
      </c>
    </row>
    <row r="228" customFormat="false" ht="15" hidden="false" customHeight="true" outlineLevel="0" collapsed="false">
      <c r="A228" s="11" t="str">
        <f aca="false">IFERROR(INDEX(중복검사!$A$4:$A$6003,MATCH("R"&amp;223,중복목록!$L$6:$L$6005,0)),"")</f>
        <v/>
      </c>
      <c r="B228" s="12" t="str">
        <f aca="false">IF($A228="","",IFERROR(INDEX(중복검사!$B$4:$B$6003,MATCH("R"&amp;223,중복목록!$L$6:$L$6005,0)),""))</f>
        <v/>
      </c>
      <c r="C228" s="12" t="str">
        <f aca="false">IF($A228="","",IFERROR(INDEX(중복검사!$C$4:$C$6003,MATCH("R"&amp;223,중복목록!$L$6:$L$6005,0)),""))</f>
        <v/>
      </c>
      <c r="D228" s="12" t="str">
        <f aca="false">IF($A228="","",IFERROR(INDEX(중복검사!$D$4:$D$6003,MATCH("R"&amp;223,중복목록!$L$6:$L$6005,0)),""))</f>
        <v/>
      </c>
      <c r="E228" s="12" t="str">
        <f aca="false">IF($A228="","",IFERROR(IF(INDEX(원본명단!$E$3:$E$6002,MATCH("R"&amp;223,중복목록!$L$6:$L$6005,0))="","",INDEX(원본명단!$E$3:$E$6002,MATCH("R"&amp;223,중복목록!$L$6:$L$6005,0))),""))</f>
        <v/>
      </c>
      <c r="F228" s="11" t="str">
        <f aca="false">IF($A228="","",IFERROR(MAX(INDEX(중복검사!$E$4:$E$6003,MATCH("R"&amp;223,중복목록!$L$6:$L$6005,0)),INDEX(중복검사!$F$4:$F$6003,MATCH("R"&amp;223,중복목록!$L$6:$L$6005,0)),INDEX(중복검사!$G$4:$G$6003,MATCH("R"&amp;223,중복목록!$L$6:$L$6005,0))),""))</f>
        <v/>
      </c>
      <c r="G228" s="11" t="str">
        <f aca="false">IF($A228="","",IFERROR(INDEX(중복검사!$I$4:$I$6003,MATCH("R"&amp;223,중복목록!$L$6:$L$6005,0)),""))</f>
        <v/>
      </c>
      <c r="H228" s="11" t="str">
        <f aca="false">IF($A228="","",IFERROR(INDEX(중복검사!$J$4:$J$6003,MATCH("R"&amp;223,중복목록!$L$6:$L$6005,0)),""))</f>
        <v/>
      </c>
      <c r="J228" s="14" t="b">
        <f aca="false">IF(중복검사!$A226="",FALSE(),중복검사!$H226="중복")</f>
        <v>0</v>
      </c>
      <c r="K228" s="5" t="str">
        <f aca="false">IF($J228=FALSE(),"",COUNTIF($J$6:$J228,TRUE()))</f>
        <v/>
      </c>
      <c r="L228" s="5" t="str">
        <f aca="false">IF($K228="","","R"&amp;$K228)</f>
        <v/>
      </c>
    </row>
    <row r="229" customFormat="false" ht="15" hidden="false" customHeight="true" outlineLevel="0" collapsed="false">
      <c r="A229" s="11" t="str">
        <f aca="false">IFERROR(INDEX(중복검사!$A$4:$A$6003,MATCH("R"&amp;224,중복목록!$L$6:$L$6005,0)),"")</f>
        <v/>
      </c>
      <c r="B229" s="12" t="str">
        <f aca="false">IF($A229="","",IFERROR(INDEX(중복검사!$B$4:$B$6003,MATCH("R"&amp;224,중복목록!$L$6:$L$6005,0)),""))</f>
        <v/>
      </c>
      <c r="C229" s="12" t="str">
        <f aca="false">IF($A229="","",IFERROR(INDEX(중복검사!$C$4:$C$6003,MATCH("R"&amp;224,중복목록!$L$6:$L$6005,0)),""))</f>
        <v/>
      </c>
      <c r="D229" s="12" t="str">
        <f aca="false">IF($A229="","",IFERROR(INDEX(중복검사!$D$4:$D$6003,MATCH("R"&amp;224,중복목록!$L$6:$L$6005,0)),""))</f>
        <v/>
      </c>
      <c r="E229" s="12" t="str">
        <f aca="false">IF($A229="","",IFERROR(IF(INDEX(원본명단!$E$3:$E$6002,MATCH("R"&amp;224,중복목록!$L$6:$L$6005,0))="","",INDEX(원본명단!$E$3:$E$6002,MATCH("R"&amp;224,중복목록!$L$6:$L$6005,0))),""))</f>
        <v/>
      </c>
      <c r="F229" s="11" t="str">
        <f aca="false">IF($A229="","",IFERROR(MAX(INDEX(중복검사!$E$4:$E$6003,MATCH("R"&amp;224,중복목록!$L$6:$L$6005,0)),INDEX(중복검사!$F$4:$F$6003,MATCH("R"&amp;224,중복목록!$L$6:$L$6005,0)),INDEX(중복검사!$G$4:$G$6003,MATCH("R"&amp;224,중복목록!$L$6:$L$6005,0))),""))</f>
        <v/>
      </c>
      <c r="G229" s="11" t="str">
        <f aca="false">IF($A229="","",IFERROR(INDEX(중복검사!$I$4:$I$6003,MATCH("R"&amp;224,중복목록!$L$6:$L$6005,0)),""))</f>
        <v/>
      </c>
      <c r="H229" s="11" t="str">
        <f aca="false">IF($A229="","",IFERROR(INDEX(중복검사!$J$4:$J$6003,MATCH("R"&amp;224,중복목록!$L$6:$L$6005,0)),""))</f>
        <v/>
      </c>
      <c r="J229" s="14" t="b">
        <f aca="false">IF(중복검사!$A227="",FALSE(),중복검사!$H227="중복")</f>
        <v>0</v>
      </c>
      <c r="K229" s="5" t="str">
        <f aca="false">IF($J229=FALSE(),"",COUNTIF($J$6:$J229,TRUE()))</f>
        <v/>
      </c>
      <c r="L229" s="5" t="str">
        <f aca="false">IF($K229="","","R"&amp;$K229)</f>
        <v/>
      </c>
    </row>
    <row r="230" customFormat="false" ht="15" hidden="false" customHeight="true" outlineLevel="0" collapsed="false">
      <c r="A230" s="11" t="str">
        <f aca="false">IFERROR(INDEX(중복검사!$A$4:$A$6003,MATCH("R"&amp;225,중복목록!$L$6:$L$6005,0)),"")</f>
        <v/>
      </c>
      <c r="B230" s="12" t="str">
        <f aca="false">IF($A230="","",IFERROR(INDEX(중복검사!$B$4:$B$6003,MATCH("R"&amp;225,중복목록!$L$6:$L$6005,0)),""))</f>
        <v/>
      </c>
      <c r="C230" s="12" t="str">
        <f aca="false">IF($A230="","",IFERROR(INDEX(중복검사!$C$4:$C$6003,MATCH("R"&amp;225,중복목록!$L$6:$L$6005,0)),""))</f>
        <v/>
      </c>
      <c r="D230" s="12" t="str">
        <f aca="false">IF($A230="","",IFERROR(INDEX(중복검사!$D$4:$D$6003,MATCH("R"&amp;225,중복목록!$L$6:$L$6005,0)),""))</f>
        <v/>
      </c>
      <c r="E230" s="12" t="str">
        <f aca="false">IF($A230="","",IFERROR(IF(INDEX(원본명단!$E$3:$E$6002,MATCH("R"&amp;225,중복목록!$L$6:$L$6005,0))="","",INDEX(원본명단!$E$3:$E$6002,MATCH("R"&amp;225,중복목록!$L$6:$L$6005,0))),""))</f>
        <v/>
      </c>
      <c r="F230" s="11" t="str">
        <f aca="false">IF($A230="","",IFERROR(MAX(INDEX(중복검사!$E$4:$E$6003,MATCH("R"&amp;225,중복목록!$L$6:$L$6005,0)),INDEX(중복검사!$F$4:$F$6003,MATCH("R"&amp;225,중복목록!$L$6:$L$6005,0)),INDEX(중복검사!$G$4:$G$6003,MATCH("R"&amp;225,중복목록!$L$6:$L$6005,0))),""))</f>
        <v/>
      </c>
      <c r="G230" s="11" t="str">
        <f aca="false">IF($A230="","",IFERROR(INDEX(중복검사!$I$4:$I$6003,MATCH("R"&amp;225,중복목록!$L$6:$L$6005,0)),""))</f>
        <v/>
      </c>
      <c r="H230" s="11" t="str">
        <f aca="false">IF($A230="","",IFERROR(INDEX(중복검사!$J$4:$J$6003,MATCH("R"&amp;225,중복목록!$L$6:$L$6005,0)),""))</f>
        <v/>
      </c>
      <c r="J230" s="14" t="b">
        <f aca="false">IF(중복검사!$A228="",FALSE(),중복검사!$H228="중복")</f>
        <v>0</v>
      </c>
      <c r="K230" s="5" t="str">
        <f aca="false">IF($J230=FALSE(),"",COUNTIF($J$6:$J230,TRUE()))</f>
        <v/>
      </c>
      <c r="L230" s="5" t="str">
        <f aca="false">IF($K230="","","R"&amp;$K230)</f>
        <v/>
      </c>
    </row>
    <row r="231" customFormat="false" ht="15" hidden="false" customHeight="true" outlineLevel="0" collapsed="false">
      <c r="A231" s="11" t="str">
        <f aca="false">IFERROR(INDEX(중복검사!$A$4:$A$6003,MATCH("R"&amp;226,중복목록!$L$6:$L$6005,0)),"")</f>
        <v/>
      </c>
      <c r="B231" s="12" t="str">
        <f aca="false">IF($A231="","",IFERROR(INDEX(중복검사!$B$4:$B$6003,MATCH("R"&amp;226,중복목록!$L$6:$L$6005,0)),""))</f>
        <v/>
      </c>
      <c r="C231" s="12" t="str">
        <f aca="false">IF($A231="","",IFERROR(INDEX(중복검사!$C$4:$C$6003,MATCH("R"&amp;226,중복목록!$L$6:$L$6005,0)),""))</f>
        <v/>
      </c>
      <c r="D231" s="12" t="str">
        <f aca="false">IF($A231="","",IFERROR(INDEX(중복검사!$D$4:$D$6003,MATCH("R"&amp;226,중복목록!$L$6:$L$6005,0)),""))</f>
        <v/>
      </c>
      <c r="E231" s="12" t="str">
        <f aca="false">IF($A231="","",IFERROR(IF(INDEX(원본명단!$E$3:$E$6002,MATCH("R"&amp;226,중복목록!$L$6:$L$6005,0))="","",INDEX(원본명단!$E$3:$E$6002,MATCH("R"&amp;226,중복목록!$L$6:$L$6005,0))),""))</f>
        <v/>
      </c>
      <c r="F231" s="11" t="str">
        <f aca="false">IF($A231="","",IFERROR(MAX(INDEX(중복검사!$E$4:$E$6003,MATCH("R"&amp;226,중복목록!$L$6:$L$6005,0)),INDEX(중복검사!$F$4:$F$6003,MATCH("R"&amp;226,중복목록!$L$6:$L$6005,0)),INDEX(중복검사!$G$4:$G$6003,MATCH("R"&amp;226,중복목록!$L$6:$L$6005,0))),""))</f>
        <v/>
      </c>
      <c r="G231" s="11" t="str">
        <f aca="false">IF($A231="","",IFERROR(INDEX(중복검사!$I$4:$I$6003,MATCH("R"&amp;226,중복목록!$L$6:$L$6005,0)),""))</f>
        <v/>
      </c>
      <c r="H231" s="11" t="str">
        <f aca="false">IF($A231="","",IFERROR(INDEX(중복검사!$J$4:$J$6003,MATCH("R"&amp;226,중복목록!$L$6:$L$6005,0)),""))</f>
        <v/>
      </c>
      <c r="J231" s="14" t="b">
        <f aca="false">IF(중복검사!$A229="",FALSE(),중복검사!$H229="중복")</f>
        <v>0</v>
      </c>
      <c r="K231" s="5" t="str">
        <f aca="false">IF($J231=FALSE(),"",COUNTIF($J$6:$J231,TRUE()))</f>
        <v/>
      </c>
      <c r="L231" s="5" t="str">
        <f aca="false">IF($K231="","","R"&amp;$K231)</f>
        <v/>
      </c>
    </row>
    <row r="232" customFormat="false" ht="15" hidden="false" customHeight="true" outlineLevel="0" collapsed="false">
      <c r="A232" s="11" t="str">
        <f aca="false">IFERROR(INDEX(중복검사!$A$4:$A$6003,MATCH("R"&amp;227,중복목록!$L$6:$L$6005,0)),"")</f>
        <v/>
      </c>
      <c r="B232" s="12" t="str">
        <f aca="false">IF($A232="","",IFERROR(INDEX(중복검사!$B$4:$B$6003,MATCH("R"&amp;227,중복목록!$L$6:$L$6005,0)),""))</f>
        <v/>
      </c>
      <c r="C232" s="12" t="str">
        <f aca="false">IF($A232="","",IFERROR(INDEX(중복검사!$C$4:$C$6003,MATCH("R"&amp;227,중복목록!$L$6:$L$6005,0)),""))</f>
        <v/>
      </c>
      <c r="D232" s="12" t="str">
        <f aca="false">IF($A232="","",IFERROR(INDEX(중복검사!$D$4:$D$6003,MATCH("R"&amp;227,중복목록!$L$6:$L$6005,0)),""))</f>
        <v/>
      </c>
      <c r="E232" s="12" t="str">
        <f aca="false">IF($A232="","",IFERROR(IF(INDEX(원본명단!$E$3:$E$6002,MATCH("R"&amp;227,중복목록!$L$6:$L$6005,0))="","",INDEX(원본명단!$E$3:$E$6002,MATCH("R"&amp;227,중복목록!$L$6:$L$6005,0))),""))</f>
        <v/>
      </c>
      <c r="F232" s="11" t="str">
        <f aca="false">IF($A232="","",IFERROR(MAX(INDEX(중복검사!$E$4:$E$6003,MATCH("R"&amp;227,중복목록!$L$6:$L$6005,0)),INDEX(중복검사!$F$4:$F$6003,MATCH("R"&amp;227,중복목록!$L$6:$L$6005,0)),INDEX(중복검사!$G$4:$G$6003,MATCH("R"&amp;227,중복목록!$L$6:$L$6005,0))),""))</f>
        <v/>
      </c>
      <c r="G232" s="11" t="str">
        <f aca="false">IF($A232="","",IFERROR(INDEX(중복검사!$I$4:$I$6003,MATCH("R"&amp;227,중복목록!$L$6:$L$6005,0)),""))</f>
        <v/>
      </c>
      <c r="H232" s="11" t="str">
        <f aca="false">IF($A232="","",IFERROR(INDEX(중복검사!$J$4:$J$6003,MATCH("R"&amp;227,중복목록!$L$6:$L$6005,0)),""))</f>
        <v/>
      </c>
      <c r="J232" s="14" t="b">
        <f aca="false">IF(중복검사!$A230="",FALSE(),중복검사!$H230="중복")</f>
        <v>0</v>
      </c>
      <c r="K232" s="5" t="str">
        <f aca="false">IF($J232=FALSE(),"",COUNTIF($J$6:$J232,TRUE()))</f>
        <v/>
      </c>
      <c r="L232" s="5" t="str">
        <f aca="false">IF($K232="","","R"&amp;$K232)</f>
        <v/>
      </c>
    </row>
    <row r="233" customFormat="false" ht="15" hidden="false" customHeight="true" outlineLevel="0" collapsed="false">
      <c r="A233" s="11" t="str">
        <f aca="false">IFERROR(INDEX(중복검사!$A$4:$A$6003,MATCH("R"&amp;228,중복목록!$L$6:$L$6005,0)),"")</f>
        <v/>
      </c>
      <c r="B233" s="12" t="str">
        <f aca="false">IF($A233="","",IFERROR(INDEX(중복검사!$B$4:$B$6003,MATCH("R"&amp;228,중복목록!$L$6:$L$6005,0)),""))</f>
        <v/>
      </c>
      <c r="C233" s="12" t="str">
        <f aca="false">IF($A233="","",IFERROR(INDEX(중복검사!$C$4:$C$6003,MATCH("R"&amp;228,중복목록!$L$6:$L$6005,0)),""))</f>
        <v/>
      </c>
      <c r="D233" s="12" t="str">
        <f aca="false">IF($A233="","",IFERROR(INDEX(중복검사!$D$4:$D$6003,MATCH("R"&amp;228,중복목록!$L$6:$L$6005,0)),""))</f>
        <v/>
      </c>
      <c r="E233" s="12" t="str">
        <f aca="false">IF($A233="","",IFERROR(IF(INDEX(원본명단!$E$3:$E$6002,MATCH("R"&amp;228,중복목록!$L$6:$L$6005,0))="","",INDEX(원본명단!$E$3:$E$6002,MATCH("R"&amp;228,중복목록!$L$6:$L$6005,0))),""))</f>
        <v/>
      </c>
      <c r="F233" s="11" t="str">
        <f aca="false">IF($A233="","",IFERROR(MAX(INDEX(중복검사!$E$4:$E$6003,MATCH("R"&amp;228,중복목록!$L$6:$L$6005,0)),INDEX(중복검사!$F$4:$F$6003,MATCH("R"&amp;228,중복목록!$L$6:$L$6005,0)),INDEX(중복검사!$G$4:$G$6003,MATCH("R"&amp;228,중복목록!$L$6:$L$6005,0))),""))</f>
        <v/>
      </c>
      <c r="G233" s="11" t="str">
        <f aca="false">IF($A233="","",IFERROR(INDEX(중복검사!$I$4:$I$6003,MATCH("R"&amp;228,중복목록!$L$6:$L$6005,0)),""))</f>
        <v/>
      </c>
      <c r="H233" s="11" t="str">
        <f aca="false">IF($A233="","",IFERROR(INDEX(중복검사!$J$4:$J$6003,MATCH("R"&amp;228,중복목록!$L$6:$L$6005,0)),""))</f>
        <v/>
      </c>
      <c r="J233" s="14" t="b">
        <f aca="false">IF(중복검사!$A231="",FALSE(),중복검사!$H231="중복")</f>
        <v>0</v>
      </c>
      <c r="K233" s="5" t="str">
        <f aca="false">IF($J233=FALSE(),"",COUNTIF($J$6:$J233,TRUE()))</f>
        <v/>
      </c>
      <c r="L233" s="5" t="str">
        <f aca="false">IF($K233="","","R"&amp;$K233)</f>
        <v/>
      </c>
    </row>
    <row r="234" customFormat="false" ht="15" hidden="false" customHeight="true" outlineLevel="0" collapsed="false">
      <c r="A234" s="11" t="str">
        <f aca="false">IFERROR(INDEX(중복검사!$A$4:$A$6003,MATCH("R"&amp;229,중복목록!$L$6:$L$6005,0)),"")</f>
        <v/>
      </c>
      <c r="B234" s="12" t="str">
        <f aca="false">IF($A234="","",IFERROR(INDEX(중복검사!$B$4:$B$6003,MATCH("R"&amp;229,중복목록!$L$6:$L$6005,0)),""))</f>
        <v/>
      </c>
      <c r="C234" s="12" t="str">
        <f aca="false">IF($A234="","",IFERROR(INDEX(중복검사!$C$4:$C$6003,MATCH("R"&amp;229,중복목록!$L$6:$L$6005,0)),""))</f>
        <v/>
      </c>
      <c r="D234" s="12" t="str">
        <f aca="false">IF($A234="","",IFERROR(INDEX(중복검사!$D$4:$D$6003,MATCH("R"&amp;229,중복목록!$L$6:$L$6005,0)),""))</f>
        <v/>
      </c>
      <c r="E234" s="12" t="str">
        <f aca="false">IF($A234="","",IFERROR(IF(INDEX(원본명단!$E$3:$E$6002,MATCH("R"&amp;229,중복목록!$L$6:$L$6005,0))="","",INDEX(원본명단!$E$3:$E$6002,MATCH("R"&amp;229,중복목록!$L$6:$L$6005,0))),""))</f>
        <v/>
      </c>
      <c r="F234" s="11" t="str">
        <f aca="false">IF($A234="","",IFERROR(MAX(INDEX(중복검사!$E$4:$E$6003,MATCH("R"&amp;229,중복목록!$L$6:$L$6005,0)),INDEX(중복검사!$F$4:$F$6003,MATCH("R"&amp;229,중복목록!$L$6:$L$6005,0)),INDEX(중복검사!$G$4:$G$6003,MATCH("R"&amp;229,중복목록!$L$6:$L$6005,0))),""))</f>
        <v/>
      </c>
      <c r="G234" s="11" t="str">
        <f aca="false">IF($A234="","",IFERROR(INDEX(중복검사!$I$4:$I$6003,MATCH("R"&amp;229,중복목록!$L$6:$L$6005,0)),""))</f>
        <v/>
      </c>
      <c r="H234" s="11" t="str">
        <f aca="false">IF($A234="","",IFERROR(INDEX(중복검사!$J$4:$J$6003,MATCH("R"&amp;229,중복목록!$L$6:$L$6005,0)),""))</f>
        <v/>
      </c>
      <c r="J234" s="14" t="b">
        <f aca="false">IF(중복검사!$A232="",FALSE(),중복검사!$H232="중복")</f>
        <v>0</v>
      </c>
      <c r="K234" s="5" t="str">
        <f aca="false">IF($J234=FALSE(),"",COUNTIF($J$6:$J234,TRUE()))</f>
        <v/>
      </c>
      <c r="L234" s="5" t="str">
        <f aca="false">IF($K234="","","R"&amp;$K234)</f>
        <v/>
      </c>
    </row>
    <row r="235" customFormat="false" ht="15" hidden="false" customHeight="true" outlineLevel="0" collapsed="false">
      <c r="A235" s="11" t="str">
        <f aca="false">IFERROR(INDEX(중복검사!$A$4:$A$6003,MATCH("R"&amp;230,중복목록!$L$6:$L$6005,0)),"")</f>
        <v/>
      </c>
      <c r="B235" s="12" t="str">
        <f aca="false">IF($A235="","",IFERROR(INDEX(중복검사!$B$4:$B$6003,MATCH("R"&amp;230,중복목록!$L$6:$L$6005,0)),""))</f>
        <v/>
      </c>
      <c r="C235" s="12" t="str">
        <f aca="false">IF($A235="","",IFERROR(INDEX(중복검사!$C$4:$C$6003,MATCH("R"&amp;230,중복목록!$L$6:$L$6005,0)),""))</f>
        <v/>
      </c>
      <c r="D235" s="12" t="str">
        <f aca="false">IF($A235="","",IFERROR(INDEX(중복검사!$D$4:$D$6003,MATCH("R"&amp;230,중복목록!$L$6:$L$6005,0)),""))</f>
        <v/>
      </c>
      <c r="E235" s="12" t="str">
        <f aca="false">IF($A235="","",IFERROR(IF(INDEX(원본명단!$E$3:$E$6002,MATCH("R"&amp;230,중복목록!$L$6:$L$6005,0))="","",INDEX(원본명단!$E$3:$E$6002,MATCH("R"&amp;230,중복목록!$L$6:$L$6005,0))),""))</f>
        <v/>
      </c>
      <c r="F235" s="11" t="str">
        <f aca="false">IF($A235="","",IFERROR(MAX(INDEX(중복검사!$E$4:$E$6003,MATCH("R"&amp;230,중복목록!$L$6:$L$6005,0)),INDEX(중복검사!$F$4:$F$6003,MATCH("R"&amp;230,중복목록!$L$6:$L$6005,0)),INDEX(중복검사!$G$4:$G$6003,MATCH("R"&amp;230,중복목록!$L$6:$L$6005,0))),""))</f>
        <v/>
      </c>
      <c r="G235" s="11" t="str">
        <f aca="false">IF($A235="","",IFERROR(INDEX(중복검사!$I$4:$I$6003,MATCH("R"&amp;230,중복목록!$L$6:$L$6005,0)),""))</f>
        <v/>
      </c>
      <c r="H235" s="11" t="str">
        <f aca="false">IF($A235="","",IFERROR(INDEX(중복검사!$J$4:$J$6003,MATCH("R"&amp;230,중복목록!$L$6:$L$6005,0)),""))</f>
        <v/>
      </c>
      <c r="J235" s="14" t="b">
        <f aca="false">IF(중복검사!$A233="",FALSE(),중복검사!$H233="중복")</f>
        <v>0</v>
      </c>
      <c r="K235" s="5" t="str">
        <f aca="false">IF($J235=FALSE(),"",COUNTIF($J$6:$J235,TRUE()))</f>
        <v/>
      </c>
      <c r="L235" s="5" t="str">
        <f aca="false">IF($K235="","","R"&amp;$K235)</f>
        <v/>
      </c>
    </row>
    <row r="236" customFormat="false" ht="15" hidden="false" customHeight="true" outlineLevel="0" collapsed="false">
      <c r="A236" s="11" t="str">
        <f aca="false">IFERROR(INDEX(중복검사!$A$4:$A$6003,MATCH("R"&amp;231,중복목록!$L$6:$L$6005,0)),"")</f>
        <v/>
      </c>
      <c r="B236" s="12" t="str">
        <f aca="false">IF($A236="","",IFERROR(INDEX(중복검사!$B$4:$B$6003,MATCH("R"&amp;231,중복목록!$L$6:$L$6005,0)),""))</f>
        <v/>
      </c>
      <c r="C236" s="12" t="str">
        <f aca="false">IF($A236="","",IFERROR(INDEX(중복검사!$C$4:$C$6003,MATCH("R"&amp;231,중복목록!$L$6:$L$6005,0)),""))</f>
        <v/>
      </c>
      <c r="D236" s="12" t="str">
        <f aca="false">IF($A236="","",IFERROR(INDEX(중복검사!$D$4:$D$6003,MATCH("R"&amp;231,중복목록!$L$6:$L$6005,0)),""))</f>
        <v/>
      </c>
      <c r="E236" s="12" t="str">
        <f aca="false">IF($A236="","",IFERROR(IF(INDEX(원본명단!$E$3:$E$6002,MATCH("R"&amp;231,중복목록!$L$6:$L$6005,0))="","",INDEX(원본명단!$E$3:$E$6002,MATCH("R"&amp;231,중복목록!$L$6:$L$6005,0))),""))</f>
        <v/>
      </c>
      <c r="F236" s="11" t="str">
        <f aca="false">IF($A236="","",IFERROR(MAX(INDEX(중복검사!$E$4:$E$6003,MATCH("R"&amp;231,중복목록!$L$6:$L$6005,0)),INDEX(중복검사!$F$4:$F$6003,MATCH("R"&amp;231,중복목록!$L$6:$L$6005,0)),INDEX(중복검사!$G$4:$G$6003,MATCH("R"&amp;231,중복목록!$L$6:$L$6005,0))),""))</f>
        <v/>
      </c>
      <c r="G236" s="11" t="str">
        <f aca="false">IF($A236="","",IFERROR(INDEX(중복검사!$I$4:$I$6003,MATCH("R"&amp;231,중복목록!$L$6:$L$6005,0)),""))</f>
        <v/>
      </c>
      <c r="H236" s="11" t="str">
        <f aca="false">IF($A236="","",IFERROR(INDEX(중복검사!$J$4:$J$6003,MATCH("R"&amp;231,중복목록!$L$6:$L$6005,0)),""))</f>
        <v/>
      </c>
      <c r="J236" s="14" t="b">
        <f aca="false">IF(중복검사!$A234="",FALSE(),중복검사!$H234="중복")</f>
        <v>0</v>
      </c>
      <c r="K236" s="5" t="str">
        <f aca="false">IF($J236=FALSE(),"",COUNTIF($J$6:$J236,TRUE()))</f>
        <v/>
      </c>
      <c r="L236" s="5" t="str">
        <f aca="false">IF($K236="","","R"&amp;$K236)</f>
        <v/>
      </c>
    </row>
    <row r="237" customFormat="false" ht="15" hidden="false" customHeight="true" outlineLevel="0" collapsed="false">
      <c r="A237" s="11" t="str">
        <f aca="false">IFERROR(INDEX(중복검사!$A$4:$A$6003,MATCH("R"&amp;232,중복목록!$L$6:$L$6005,0)),"")</f>
        <v/>
      </c>
      <c r="B237" s="12" t="str">
        <f aca="false">IF($A237="","",IFERROR(INDEX(중복검사!$B$4:$B$6003,MATCH("R"&amp;232,중복목록!$L$6:$L$6005,0)),""))</f>
        <v/>
      </c>
      <c r="C237" s="12" t="str">
        <f aca="false">IF($A237="","",IFERROR(INDEX(중복검사!$C$4:$C$6003,MATCH("R"&amp;232,중복목록!$L$6:$L$6005,0)),""))</f>
        <v/>
      </c>
      <c r="D237" s="12" t="str">
        <f aca="false">IF($A237="","",IFERROR(INDEX(중복검사!$D$4:$D$6003,MATCH("R"&amp;232,중복목록!$L$6:$L$6005,0)),""))</f>
        <v/>
      </c>
      <c r="E237" s="12" t="str">
        <f aca="false">IF($A237="","",IFERROR(IF(INDEX(원본명단!$E$3:$E$6002,MATCH("R"&amp;232,중복목록!$L$6:$L$6005,0))="","",INDEX(원본명단!$E$3:$E$6002,MATCH("R"&amp;232,중복목록!$L$6:$L$6005,0))),""))</f>
        <v/>
      </c>
      <c r="F237" s="11" t="str">
        <f aca="false">IF($A237="","",IFERROR(MAX(INDEX(중복검사!$E$4:$E$6003,MATCH("R"&amp;232,중복목록!$L$6:$L$6005,0)),INDEX(중복검사!$F$4:$F$6003,MATCH("R"&amp;232,중복목록!$L$6:$L$6005,0)),INDEX(중복검사!$G$4:$G$6003,MATCH("R"&amp;232,중복목록!$L$6:$L$6005,0))),""))</f>
        <v/>
      </c>
      <c r="G237" s="11" t="str">
        <f aca="false">IF($A237="","",IFERROR(INDEX(중복검사!$I$4:$I$6003,MATCH("R"&amp;232,중복목록!$L$6:$L$6005,0)),""))</f>
        <v/>
      </c>
      <c r="H237" s="11" t="str">
        <f aca="false">IF($A237="","",IFERROR(INDEX(중복검사!$J$4:$J$6003,MATCH("R"&amp;232,중복목록!$L$6:$L$6005,0)),""))</f>
        <v/>
      </c>
      <c r="J237" s="14" t="b">
        <f aca="false">IF(중복검사!$A235="",FALSE(),중복검사!$H235="중복")</f>
        <v>0</v>
      </c>
      <c r="K237" s="5" t="str">
        <f aca="false">IF($J237=FALSE(),"",COUNTIF($J$6:$J237,TRUE()))</f>
        <v/>
      </c>
      <c r="L237" s="5" t="str">
        <f aca="false">IF($K237="","","R"&amp;$K237)</f>
        <v/>
      </c>
    </row>
    <row r="238" customFormat="false" ht="15" hidden="false" customHeight="true" outlineLevel="0" collapsed="false">
      <c r="A238" s="11" t="str">
        <f aca="false">IFERROR(INDEX(중복검사!$A$4:$A$6003,MATCH("R"&amp;233,중복목록!$L$6:$L$6005,0)),"")</f>
        <v/>
      </c>
      <c r="B238" s="12" t="str">
        <f aca="false">IF($A238="","",IFERROR(INDEX(중복검사!$B$4:$B$6003,MATCH("R"&amp;233,중복목록!$L$6:$L$6005,0)),""))</f>
        <v/>
      </c>
      <c r="C238" s="12" t="str">
        <f aca="false">IF($A238="","",IFERROR(INDEX(중복검사!$C$4:$C$6003,MATCH("R"&amp;233,중복목록!$L$6:$L$6005,0)),""))</f>
        <v/>
      </c>
      <c r="D238" s="12" t="str">
        <f aca="false">IF($A238="","",IFERROR(INDEX(중복검사!$D$4:$D$6003,MATCH("R"&amp;233,중복목록!$L$6:$L$6005,0)),""))</f>
        <v/>
      </c>
      <c r="E238" s="12" t="str">
        <f aca="false">IF($A238="","",IFERROR(IF(INDEX(원본명단!$E$3:$E$6002,MATCH("R"&amp;233,중복목록!$L$6:$L$6005,0))="","",INDEX(원본명단!$E$3:$E$6002,MATCH("R"&amp;233,중복목록!$L$6:$L$6005,0))),""))</f>
        <v/>
      </c>
      <c r="F238" s="11" t="str">
        <f aca="false">IF($A238="","",IFERROR(MAX(INDEX(중복검사!$E$4:$E$6003,MATCH("R"&amp;233,중복목록!$L$6:$L$6005,0)),INDEX(중복검사!$F$4:$F$6003,MATCH("R"&amp;233,중복목록!$L$6:$L$6005,0)),INDEX(중복검사!$G$4:$G$6003,MATCH("R"&amp;233,중복목록!$L$6:$L$6005,0))),""))</f>
        <v/>
      </c>
      <c r="G238" s="11" t="str">
        <f aca="false">IF($A238="","",IFERROR(INDEX(중복검사!$I$4:$I$6003,MATCH("R"&amp;233,중복목록!$L$6:$L$6005,0)),""))</f>
        <v/>
      </c>
      <c r="H238" s="11" t="str">
        <f aca="false">IF($A238="","",IFERROR(INDEX(중복검사!$J$4:$J$6003,MATCH("R"&amp;233,중복목록!$L$6:$L$6005,0)),""))</f>
        <v/>
      </c>
      <c r="J238" s="14" t="b">
        <f aca="false">IF(중복검사!$A236="",FALSE(),중복검사!$H236="중복")</f>
        <v>0</v>
      </c>
      <c r="K238" s="5" t="str">
        <f aca="false">IF($J238=FALSE(),"",COUNTIF($J$6:$J238,TRUE()))</f>
        <v/>
      </c>
      <c r="L238" s="5" t="str">
        <f aca="false">IF($K238="","","R"&amp;$K238)</f>
        <v/>
      </c>
    </row>
    <row r="239" customFormat="false" ht="15" hidden="false" customHeight="true" outlineLevel="0" collapsed="false">
      <c r="A239" s="11" t="str">
        <f aca="false">IFERROR(INDEX(중복검사!$A$4:$A$6003,MATCH("R"&amp;234,중복목록!$L$6:$L$6005,0)),"")</f>
        <v/>
      </c>
      <c r="B239" s="12" t="str">
        <f aca="false">IF($A239="","",IFERROR(INDEX(중복검사!$B$4:$B$6003,MATCH("R"&amp;234,중복목록!$L$6:$L$6005,0)),""))</f>
        <v/>
      </c>
      <c r="C239" s="12" t="str">
        <f aca="false">IF($A239="","",IFERROR(INDEX(중복검사!$C$4:$C$6003,MATCH("R"&amp;234,중복목록!$L$6:$L$6005,0)),""))</f>
        <v/>
      </c>
      <c r="D239" s="12" t="str">
        <f aca="false">IF($A239="","",IFERROR(INDEX(중복검사!$D$4:$D$6003,MATCH("R"&amp;234,중복목록!$L$6:$L$6005,0)),""))</f>
        <v/>
      </c>
      <c r="E239" s="12" t="str">
        <f aca="false">IF($A239="","",IFERROR(IF(INDEX(원본명단!$E$3:$E$6002,MATCH("R"&amp;234,중복목록!$L$6:$L$6005,0))="","",INDEX(원본명단!$E$3:$E$6002,MATCH("R"&amp;234,중복목록!$L$6:$L$6005,0))),""))</f>
        <v/>
      </c>
      <c r="F239" s="11" t="str">
        <f aca="false">IF($A239="","",IFERROR(MAX(INDEX(중복검사!$E$4:$E$6003,MATCH("R"&amp;234,중복목록!$L$6:$L$6005,0)),INDEX(중복검사!$F$4:$F$6003,MATCH("R"&amp;234,중복목록!$L$6:$L$6005,0)),INDEX(중복검사!$G$4:$G$6003,MATCH("R"&amp;234,중복목록!$L$6:$L$6005,0))),""))</f>
        <v/>
      </c>
      <c r="G239" s="11" t="str">
        <f aca="false">IF($A239="","",IFERROR(INDEX(중복검사!$I$4:$I$6003,MATCH("R"&amp;234,중복목록!$L$6:$L$6005,0)),""))</f>
        <v/>
      </c>
      <c r="H239" s="11" t="str">
        <f aca="false">IF($A239="","",IFERROR(INDEX(중복검사!$J$4:$J$6003,MATCH("R"&amp;234,중복목록!$L$6:$L$6005,0)),""))</f>
        <v/>
      </c>
      <c r="J239" s="14" t="b">
        <f aca="false">IF(중복검사!$A237="",FALSE(),중복검사!$H237="중복")</f>
        <v>0</v>
      </c>
      <c r="K239" s="5" t="str">
        <f aca="false">IF($J239=FALSE(),"",COUNTIF($J$6:$J239,TRUE()))</f>
        <v/>
      </c>
      <c r="L239" s="5" t="str">
        <f aca="false">IF($K239="","","R"&amp;$K239)</f>
        <v/>
      </c>
    </row>
    <row r="240" customFormat="false" ht="15" hidden="false" customHeight="true" outlineLevel="0" collapsed="false">
      <c r="A240" s="11" t="str">
        <f aca="false">IFERROR(INDEX(중복검사!$A$4:$A$6003,MATCH("R"&amp;235,중복목록!$L$6:$L$6005,0)),"")</f>
        <v/>
      </c>
      <c r="B240" s="12" t="str">
        <f aca="false">IF($A240="","",IFERROR(INDEX(중복검사!$B$4:$B$6003,MATCH("R"&amp;235,중복목록!$L$6:$L$6005,0)),""))</f>
        <v/>
      </c>
      <c r="C240" s="12" t="str">
        <f aca="false">IF($A240="","",IFERROR(INDEX(중복검사!$C$4:$C$6003,MATCH("R"&amp;235,중복목록!$L$6:$L$6005,0)),""))</f>
        <v/>
      </c>
      <c r="D240" s="12" t="str">
        <f aca="false">IF($A240="","",IFERROR(INDEX(중복검사!$D$4:$D$6003,MATCH("R"&amp;235,중복목록!$L$6:$L$6005,0)),""))</f>
        <v/>
      </c>
      <c r="E240" s="12" t="str">
        <f aca="false">IF($A240="","",IFERROR(IF(INDEX(원본명단!$E$3:$E$6002,MATCH("R"&amp;235,중복목록!$L$6:$L$6005,0))="","",INDEX(원본명단!$E$3:$E$6002,MATCH("R"&amp;235,중복목록!$L$6:$L$6005,0))),""))</f>
        <v/>
      </c>
      <c r="F240" s="11" t="str">
        <f aca="false">IF($A240="","",IFERROR(MAX(INDEX(중복검사!$E$4:$E$6003,MATCH("R"&amp;235,중복목록!$L$6:$L$6005,0)),INDEX(중복검사!$F$4:$F$6003,MATCH("R"&amp;235,중복목록!$L$6:$L$6005,0)),INDEX(중복검사!$G$4:$G$6003,MATCH("R"&amp;235,중복목록!$L$6:$L$6005,0))),""))</f>
        <v/>
      </c>
      <c r="G240" s="11" t="str">
        <f aca="false">IF($A240="","",IFERROR(INDEX(중복검사!$I$4:$I$6003,MATCH("R"&amp;235,중복목록!$L$6:$L$6005,0)),""))</f>
        <v/>
      </c>
      <c r="H240" s="11" t="str">
        <f aca="false">IF($A240="","",IFERROR(INDEX(중복검사!$J$4:$J$6003,MATCH("R"&amp;235,중복목록!$L$6:$L$6005,0)),""))</f>
        <v/>
      </c>
      <c r="J240" s="14" t="b">
        <f aca="false">IF(중복검사!$A238="",FALSE(),중복검사!$H238="중복")</f>
        <v>0</v>
      </c>
      <c r="K240" s="5" t="str">
        <f aca="false">IF($J240=FALSE(),"",COUNTIF($J$6:$J240,TRUE()))</f>
        <v/>
      </c>
      <c r="L240" s="5" t="str">
        <f aca="false">IF($K240="","","R"&amp;$K240)</f>
        <v/>
      </c>
    </row>
    <row r="241" customFormat="false" ht="15" hidden="false" customHeight="true" outlineLevel="0" collapsed="false">
      <c r="A241" s="11" t="str">
        <f aca="false">IFERROR(INDEX(중복검사!$A$4:$A$6003,MATCH("R"&amp;236,중복목록!$L$6:$L$6005,0)),"")</f>
        <v/>
      </c>
      <c r="B241" s="12" t="str">
        <f aca="false">IF($A241="","",IFERROR(INDEX(중복검사!$B$4:$B$6003,MATCH("R"&amp;236,중복목록!$L$6:$L$6005,0)),""))</f>
        <v/>
      </c>
      <c r="C241" s="12" t="str">
        <f aca="false">IF($A241="","",IFERROR(INDEX(중복검사!$C$4:$C$6003,MATCH("R"&amp;236,중복목록!$L$6:$L$6005,0)),""))</f>
        <v/>
      </c>
      <c r="D241" s="12" t="str">
        <f aca="false">IF($A241="","",IFERROR(INDEX(중복검사!$D$4:$D$6003,MATCH("R"&amp;236,중복목록!$L$6:$L$6005,0)),""))</f>
        <v/>
      </c>
      <c r="E241" s="12" t="str">
        <f aca="false">IF($A241="","",IFERROR(IF(INDEX(원본명단!$E$3:$E$6002,MATCH("R"&amp;236,중복목록!$L$6:$L$6005,0))="","",INDEX(원본명단!$E$3:$E$6002,MATCH("R"&amp;236,중복목록!$L$6:$L$6005,0))),""))</f>
        <v/>
      </c>
      <c r="F241" s="11" t="str">
        <f aca="false">IF($A241="","",IFERROR(MAX(INDEX(중복검사!$E$4:$E$6003,MATCH("R"&amp;236,중복목록!$L$6:$L$6005,0)),INDEX(중복검사!$F$4:$F$6003,MATCH("R"&amp;236,중복목록!$L$6:$L$6005,0)),INDEX(중복검사!$G$4:$G$6003,MATCH("R"&amp;236,중복목록!$L$6:$L$6005,0))),""))</f>
        <v/>
      </c>
      <c r="G241" s="11" t="str">
        <f aca="false">IF($A241="","",IFERROR(INDEX(중복검사!$I$4:$I$6003,MATCH("R"&amp;236,중복목록!$L$6:$L$6005,0)),""))</f>
        <v/>
      </c>
      <c r="H241" s="11" t="str">
        <f aca="false">IF($A241="","",IFERROR(INDEX(중복검사!$J$4:$J$6003,MATCH("R"&amp;236,중복목록!$L$6:$L$6005,0)),""))</f>
        <v/>
      </c>
      <c r="J241" s="14" t="b">
        <f aca="false">IF(중복검사!$A239="",FALSE(),중복검사!$H239="중복")</f>
        <v>0</v>
      </c>
      <c r="K241" s="5" t="str">
        <f aca="false">IF($J241=FALSE(),"",COUNTIF($J$6:$J241,TRUE()))</f>
        <v/>
      </c>
      <c r="L241" s="5" t="str">
        <f aca="false">IF($K241="","","R"&amp;$K241)</f>
        <v/>
      </c>
    </row>
    <row r="242" customFormat="false" ht="15" hidden="false" customHeight="true" outlineLevel="0" collapsed="false">
      <c r="A242" s="11" t="str">
        <f aca="false">IFERROR(INDEX(중복검사!$A$4:$A$6003,MATCH("R"&amp;237,중복목록!$L$6:$L$6005,0)),"")</f>
        <v/>
      </c>
      <c r="B242" s="12" t="str">
        <f aca="false">IF($A242="","",IFERROR(INDEX(중복검사!$B$4:$B$6003,MATCH("R"&amp;237,중복목록!$L$6:$L$6005,0)),""))</f>
        <v/>
      </c>
      <c r="C242" s="12" t="str">
        <f aca="false">IF($A242="","",IFERROR(INDEX(중복검사!$C$4:$C$6003,MATCH("R"&amp;237,중복목록!$L$6:$L$6005,0)),""))</f>
        <v/>
      </c>
      <c r="D242" s="12" t="str">
        <f aca="false">IF($A242="","",IFERROR(INDEX(중복검사!$D$4:$D$6003,MATCH("R"&amp;237,중복목록!$L$6:$L$6005,0)),""))</f>
        <v/>
      </c>
      <c r="E242" s="12" t="str">
        <f aca="false">IF($A242="","",IFERROR(IF(INDEX(원본명단!$E$3:$E$6002,MATCH("R"&amp;237,중복목록!$L$6:$L$6005,0))="","",INDEX(원본명단!$E$3:$E$6002,MATCH("R"&amp;237,중복목록!$L$6:$L$6005,0))),""))</f>
        <v/>
      </c>
      <c r="F242" s="11" t="str">
        <f aca="false">IF($A242="","",IFERROR(MAX(INDEX(중복검사!$E$4:$E$6003,MATCH("R"&amp;237,중복목록!$L$6:$L$6005,0)),INDEX(중복검사!$F$4:$F$6003,MATCH("R"&amp;237,중복목록!$L$6:$L$6005,0)),INDEX(중복검사!$G$4:$G$6003,MATCH("R"&amp;237,중복목록!$L$6:$L$6005,0))),""))</f>
        <v/>
      </c>
      <c r="G242" s="11" t="str">
        <f aca="false">IF($A242="","",IFERROR(INDEX(중복검사!$I$4:$I$6003,MATCH("R"&amp;237,중복목록!$L$6:$L$6005,0)),""))</f>
        <v/>
      </c>
      <c r="H242" s="11" t="str">
        <f aca="false">IF($A242="","",IFERROR(INDEX(중복검사!$J$4:$J$6003,MATCH("R"&amp;237,중복목록!$L$6:$L$6005,0)),""))</f>
        <v/>
      </c>
      <c r="J242" s="14" t="b">
        <f aca="false">IF(중복검사!$A240="",FALSE(),중복검사!$H240="중복")</f>
        <v>0</v>
      </c>
      <c r="K242" s="5" t="str">
        <f aca="false">IF($J242=FALSE(),"",COUNTIF($J$6:$J242,TRUE()))</f>
        <v/>
      </c>
      <c r="L242" s="5" t="str">
        <f aca="false">IF($K242="","","R"&amp;$K242)</f>
        <v/>
      </c>
    </row>
    <row r="243" customFormat="false" ht="15" hidden="false" customHeight="true" outlineLevel="0" collapsed="false">
      <c r="A243" s="11" t="str">
        <f aca="false">IFERROR(INDEX(중복검사!$A$4:$A$6003,MATCH("R"&amp;238,중복목록!$L$6:$L$6005,0)),"")</f>
        <v/>
      </c>
      <c r="B243" s="12" t="str">
        <f aca="false">IF($A243="","",IFERROR(INDEX(중복검사!$B$4:$B$6003,MATCH("R"&amp;238,중복목록!$L$6:$L$6005,0)),""))</f>
        <v/>
      </c>
      <c r="C243" s="12" t="str">
        <f aca="false">IF($A243="","",IFERROR(INDEX(중복검사!$C$4:$C$6003,MATCH("R"&amp;238,중복목록!$L$6:$L$6005,0)),""))</f>
        <v/>
      </c>
      <c r="D243" s="12" t="str">
        <f aca="false">IF($A243="","",IFERROR(INDEX(중복검사!$D$4:$D$6003,MATCH("R"&amp;238,중복목록!$L$6:$L$6005,0)),""))</f>
        <v/>
      </c>
      <c r="E243" s="12" t="str">
        <f aca="false">IF($A243="","",IFERROR(IF(INDEX(원본명단!$E$3:$E$6002,MATCH("R"&amp;238,중복목록!$L$6:$L$6005,0))="","",INDEX(원본명단!$E$3:$E$6002,MATCH("R"&amp;238,중복목록!$L$6:$L$6005,0))),""))</f>
        <v/>
      </c>
      <c r="F243" s="11" t="str">
        <f aca="false">IF($A243="","",IFERROR(MAX(INDEX(중복검사!$E$4:$E$6003,MATCH("R"&amp;238,중복목록!$L$6:$L$6005,0)),INDEX(중복검사!$F$4:$F$6003,MATCH("R"&amp;238,중복목록!$L$6:$L$6005,0)),INDEX(중복검사!$G$4:$G$6003,MATCH("R"&amp;238,중복목록!$L$6:$L$6005,0))),""))</f>
        <v/>
      </c>
      <c r="G243" s="11" t="str">
        <f aca="false">IF($A243="","",IFERROR(INDEX(중복검사!$I$4:$I$6003,MATCH("R"&amp;238,중복목록!$L$6:$L$6005,0)),""))</f>
        <v/>
      </c>
      <c r="H243" s="11" t="str">
        <f aca="false">IF($A243="","",IFERROR(INDEX(중복검사!$J$4:$J$6003,MATCH("R"&amp;238,중복목록!$L$6:$L$6005,0)),""))</f>
        <v/>
      </c>
      <c r="J243" s="14" t="b">
        <f aca="false">IF(중복검사!$A241="",FALSE(),중복검사!$H241="중복")</f>
        <v>0</v>
      </c>
      <c r="K243" s="5" t="str">
        <f aca="false">IF($J243=FALSE(),"",COUNTIF($J$6:$J243,TRUE()))</f>
        <v/>
      </c>
      <c r="L243" s="5" t="str">
        <f aca="false">IF($K243="","","R"&amp;$K243)</f>
        <v/>
      </c>
    </row>
    <row r="244" customFormat="false" ht="15" hidden="false" customHeight="true" outlineLevel="0" collapsed="false">
      <c r="A244" s="11" t="str">
        <f aca="false">IFERROR(INDEX(중복검사!$A$4:$A$6003,MATCH("R"&amp;239,중복목록!$L$6:$L$6005,0)),"")</f>
        <v/>
      </c>
      <c r="B244" s="12" t="str">
        <f aca="false">IF($A244="","",IFERROR(INDEX(중복검사!$B$4:$B$6003,MATCH("R"&amp;239,중복목록!$L$6:$L$6005,0)),""))</f>
        <v/>
      </c>
      <c r="C244" s="12" t="str">
        <f aca="false">IF($A244="","",IFERROR(INDEX(중복검사!$C$4:$C$6003,MATCH("R"&amp;239,중복목록!$L$6:$L$6005,0)),""))</f>
        <v/>
      </c>
      <c r="D244" s="12" t="str">
        <f aca="false">IF($A244="","",IFERROR(INDEX(중복검사!$D$4:$D$6003,MATCH("R"&amp;239,중복목록!$L$6:$L$6005,0)),""))</f>
        <v/>
      </c>
      <c r="E244" s="12" t="str">
        <f aca="false">IF($A244="","",IFERROR(IF(INDEX(원본명단!$E$3:$E$6002,MATCH("R"&amp;239,중복목록!$L$6:$L$6005,0))="","",INDEX(원본명단!$E$3:$E$6002,MATCH("R"&amp;239,중복목록!$L$6:$L$6005,0))),""))</f>
        <v/>
      </c>
      <c r="F244" s="11" t="str">
        <f aca="false">IF($A244="","",IFERROR(MAX(INDEX(중복검사!$E$4:$E$6003,MATCH("R"&amp;239,중복목록!$L$6:$L$6005,0)),INDEX(중복검사!$F$4:$F$6003,MATCH("R"&amp;239,중복목록!$L$6:$L$6005,0)),INDEX(중복검사!$G$4:$G$6003,MATCH("R"&amp;239,중복목록!$L$6:$L$6005,0))),""))</f>
        <v/>
      </c>
      <c r="G244" s="11" t="str">
        <f aca="false">IF($A244="","",IFERROR(INDEX(중복검사!$I$4:$I$6003,MATCH("R"&amp;239,중복목록!$L$6:$L$6005,0)),""))</f>
        <v/>
      </c>
      <c r="H244" s="11" t="str">
        <f aca="false">IF($A244="","",IFERROR(INDEX(중복검사!$J$4:$J$6003,MATCH("R"&amp;239,중복목록!$L$6:$L$6005,0)),""))</f>
        <v/>
      </c>
      <c r="J244" s="14" t="b">
        <f aca="false">IF(중복검사!$A242="",FALSE(),중복검사!$H242="중복")</f>
        <v>0</v>
      </c>
      <c r="K244" s="5" t="str">
        <f aca="false">IF($J244=FALSE(),"",COUNTIF($J$6:$J244,TRUE()))</f>
        <v/>
      </c>
      <c r="L244" s="5" t="str">
        <f aca="false">IF($K244="","","R"&amp;$K244)</f>
        <v/>
      </c>
    </row>
    <row r="245" customFormat="false" ht="15" hidden="false" customHeight="true" outlineLevel="0" collapsed="false">
      <c r="A245" s="11" t="str">
        <f aca="false">IFERROR(INDEX(중복검사!$A$4:$A$6003,MATCH("R"&amp;240,중복목록!$L$6:$L$6005,0)),"")</f>
        <v/>
      </c>
      <c r="B245" s="12" t="str">
        <f aca="false">IF($A245="","",IFERROR(INDEX(중복검사!$B$4:$B$6003,MATCH("R"&amp;240,중복목록!$L$6:$L$6005,0)),""))</f>
        <v/>
      </c>
      <c r="C245" s="12" t="str">
        <f aca="false">IF($A245="","",IFERROR(INDEX(중복검사!$C$4:$C$6003,MATCH("R"&amp;240,중복목록!$L$6:$L$6005,0)),""))</f>
        <v/>
      </c>
      <c r="D245" s="12" t="str">
        <f aca="false">IF($A245="","",IFERROR(INDEX(중복검사!$D$4:$D$6003,MATCH("R"&amp;240,중복목록!$L$6:$L$6005,0)),""))</f>
        <v/>
      </c>
      <c r="E245" s="12" t="str">
        <f aca="false">IF($A245="","",IFERROR(IF(INDEX(원본명단!$E$3:$E$6002,MATCH("R"&amp;240,중복목록!$L$6:$L$6005,0))="","",INDEX(원본명단!$E$3:$E$6002,MATCH("R"&amp;240,중복목록!$L$6:$L$6005,0))),""))</f>
        <v/>
      </c>
      <c r="F245" s="11" t="str">
        <f aca="false">IF($A245="","",IFERROR(MAX(INDEX(중복검사!$E$4:$E$6003,MATCH("R"&amp;240,중복목록!$L$6:$L$6005,0)),INDEX(중복검사!$F$4:$F$6003,MATCH("R"&amp;240,중복목록!$L$6:$L$6005,0)),INDEX(중복검사!$G$4:$G$6003,MATCH("R"&amp;240,중복목록!$L$6:$L$6005,0))),""))</f>
        <v/>
      </c>
      <c r="G245" s="11" t="str">
        <f aca="false">IF($A245="","",IFERROR(INDEX(중복검사!$I$4:$I$6003,MATCH("R"&amp;240,중복목록!$L$6:$L$6005,0)),""))</f>
        <v/>
      </c>
      <c r="H245" s="11" t="str">
        <f aca="false">IF($A245="","",IFERROR(INDEX(중복검사!$J$4:$J$6003,MATCH("R"&amp;240,중복목록!$L$6:$L$6005,0)),""))</f>
        <v/>
      </c>
      <c r="J245" s="14" t="b">
        <f aca="false">IF(중복검사!$A243="",FALSE(),중복검사!$H243="중복")</f>
        <v>0</v>
      </c>
      <c r="K245" s="5" t="str">
        <f aca="false">IF($J245=FALSE(),"",COUNTIF($J$6:$J245,TRUE()))</f>
        <v/>
      </c>
      <c r="L245" s="5" t="str">
        <f aca="false">IF($K245="","","R"&amp;$K245)</f>
        <v/>
      </c>
    </row>
    <row r="246" customFormat="false" ht="15" hidden="false" customHeight="true" outlineLevel="0" collapsed="false">
      <c r="A246" s="11" t="str">
        <f aca="false">IFERROR(INDEX(중복검사!$A$4:$A$6003,MATCH("R"&amp;241,중복목록!$L$6:$L$6005,0)),"")</f>
        <v/>
      </c>
      <c r="B246" s="12" t="str">
        <f aca="false">IF($A246="","",IFERROR(INDEX(중복검사!$B$4:$B$6003,MATCH("R"&amp;241,중복목록!$L$6:$L$6005,0)),""))</f>
        <v/>
      </c>
      <c r="C246" s="12" t="str">
        <f aca="false">IF($A246="","",IFERROR(INDEX(중복검사!$C$4:$C$6003,MATCH("R"&amp;241,중복목록!$L$6:$L$6005,0)),""))</f>
        <v/>
      </c>
      <c r="D246" s="12" t="str">
        <f aca="false">IF($A246="","",IFERROR(INDEX(중복검사!$D$4:$D$6003,MATCH("R"&amp;241,중복목록!$L$6:$L$6005,0)),""))</f>
        <v/>
      </c>
      <c r="E246" s="12" t="str">
        <f aca="false">IF($A246="","",IFERROR(IF(INDEX(원본명단!$E$3:$E$6002,MATCH("R"&amp;241,중복목록!$L$6:$L$6005,0))="","",INDEX(원본명단!$E$3:$E$6002,MATCH("R"&amp;241,중복목록!$L$6:$L$6005,0))),""))</f>
        <v/>
      </c>
      <c r="F246" s="11" t="str">
        <f aca="false">IF($A246="","",IFERROR(MAX(INDEX(중복검사!$E$4:$E$6003,MATCH("R"&amp;241,중복목록!$L$6:$L$6005,0)),INDEX(중복검사!$F$4:$F$6003,MATCH("R"&amp;241,중복목록!$L$6:$L$6005,0)),INDEX(중복검사!$G$4:$G$6003,MATCH("R"&amp;241,중복목록!$L$6:$L$6005,0))),""))</f>
        <v/>
      </c>
      <c r="G246" s="11" t="str">
        <f aca="false">IF($A246="","",IFERROR(INDEX(중복검사!$I$4:$I$6003,MATCH("R"&amp;241,중복목록!$L$6:$L$6005,0)),""))</f>
        <v/>
      </c>
      <c r="H246" s="11" t="str">
        <f aca="false">IF($A246="","",IFERROR(INDEX(중복검사!$J$4:$J$6003,MATCH("R"&amp;241,중복목록!$L$6:$L$6005,0)),""))</f>
        <v/>
      </c>
      <c r="J246" s="14" t="b">
        <f aca="false">IF(중복검사!$A244="",FALSE(),중복검사!$H244="중복")</f>
        <v>0</v>
      </c>
      <c r="K246" s="5" t="str">
        <f aca="false">IF($J246=FALSE(),"",COUNTIF($J$6:$J246,TRUE()))</f>
        <v/>
      </c>
      <c r="L246" s="5" t="str">
        <f aca="false">IF($K246="","","R"&amp;$K246)</f>
        <v/>
      </c>
    </row>
    <row r="247" customFormat="false" ht="15" hidden="false" customHeight="true" outlineLevel="0" collapsed="false">
      <c r="A247" s="11" t="str">
        <f aca="false">IFERROR(INDEX(중복검사!$A$4:$A$6003,MATCH("R"&amp;242,중복목록!$L$6:$L$6005,0)),"")</f>
        <v/>
      </c>
      <c r="B247" s="12" t="str">
        <f aca="false">IF($A247="","",IFERROR(INDEX(중복검사!$B$4:$B$6003,MATCH("R"&amp;242,중복목록!$L$6:$L$6005,0)),""))</f>
        <v/>
      </c>
      <c r="C247" s="12" t="str">
        <f aca="false">IF($A247="","",IFERROR(INDEX(중복검사!$C$4:$C$6003,MATCH("R"&amp;242,중복목록!$L$6:$L$6005,0)),""))</f>
        <v/>
      </c>
      <c r="D247" s="12" t="str">
        <f aca="false">IF($A247="","",IFERROR(INDEX(중복검사!$D$4:$D$6003,MATCH("R"&amp;242,중복목록!$L$6:$L$6005,0)),""))</f>
        <v/>
      </c>
      <c r="E247" s="12" t="str">
        <f aca="false">IF($A247="","",IFERROR(IF(INDEX(원본명단!$E$3:$E$6002,MATCH("R"&amp;242,중복목록!$L$6:$L$6005,0))="","",INDEX(원본명단!$E$3:$E$6002,MATCH("R"&amp;242,중복목록!$L$6:$L$6005,0))),""))</f>
        <v/>
      </c>
      <c r="F247" s="11" t="str">
        <f aca="false">IF($A247="","",IFERROR(MAX(INDEX(중복검사!$E$4:$E$6003,MATCH("R"&amp;242,중복목록!$L$6:$L$6005,0)),INDEX(중복검사!$F$4:$F$6003,MATCH("R"&amp;242,중복목록!$L$6:$L$6005,0)),INDEX(중복검사!$G$4:$G$6003,MATCH("R"&amp;242,중복목록!$L$6:$L$6005,0))),""))</f>
        <v/>
      </c>
      <c r="G247" s="11" t="str">
        <f aca="false">IF($A247="","",IFERROR(INDEX(중복검사!$I$4:$I$6003,MATCH("R"&amp;242,중복목록!$L$6:$L$6005,0)),""))</f>
        <v/>
      </c>
      <c r="H247" s="11" t="str">
        <f aca="false">IF($A247="","",IFERROR(INDEX(중복검사!$J$4:$J$6003,MATCH("R"&amp;242,중복목록!$L$6:$L$6005,0)),""))</f>
        <v/>
      </c>
      <c r="J247" s="14" t="b">
        <f aca="false">IF(중복검사!$A245="",FALSE(),중복검사!$H245="중복")</f>
        <v>0</v>
      </c>
      <c r="K247" s="5" t="str">
        <f aca="false">IF($J247=FALSE(),"",COUNTIF($J$6:$J247,TRUE()))</f>
        <v/>
      </c>
      <c r="L247" s="5" t="str">
        <f aca="false">IF($K247="","","R"&amp;$K247)</f>
        <v/>
      </c>
    </row>
    <row r="248" customFormat="false" ht="15" hidden="false" customHeight="true" outlineLevel="0" collapsed="false">
      <c r="A248" s="11" t="str">
        <f aca="false">IFERROR(INDEX(중복검사!$A$4:$A$6003,MATCH("R"&amp;243,중복목록!$L$6:$L$6005,0)),"")</f>
        <v/>
      </c>
      <c r="B248" s="12" t="str">
        <f aca="false">IF($A248="","",IFERROR(INDEX(중복검사!$B$4:$B$6003,MATCH("R"&amp;243,중복목록!$L$6:$L$6005,0)),""))</f>
        <v/>
      </c>
      <c r="C248" s="12" t="str">
        <f aca="false">IF($A248="","",IFERROR(INDEX(중복검사!$C$4:$C$6003,MATCH("R"&amp;243,중복목록!$L$6:$L$6005,0)),""))</f>
        <v/>
      </c>
      <c r="D248" s="12" t="str">
        <f aca="false">IF($A248="","",IFERROR(INDEX(중복검사!$D$4:$D$6003,MATCH("R"&amp;243,중복목록!$L$6:$L$6005,0)),""))</f>
        <v/>
      </c>
      <c r="E248" s="12" t="str">
        <f aca="false">IF($A248="","",IFERROR(IF(INDEX(원본명단!$E$3:$E$6002,MATCH("R"&amp;243,중복목록!$L$6:$L$6005,0))="","",INDEX(원본명단!$E$3:$E$6002,MATCH("R"&amp;243,중복목록!$L$6:$L$6005,0))),""))</f>
        <v/>
      </c>
      <c r="F248" s="11" t="str">
        <f aca="false">IF($A248="","",IFERROR(MAX(INDEX(중복검사!$E$4:$E$6003,MATCH("R"&amp;243,중복목록!$L$6:$L$6005,0)),INDEX(중복검사!$F$4:$F$6003,MATCH("R"&amp;243,중복목록!$L$6:$L$6005,0)),INDEX(중복검사!$G$4:$G$6003,MATCH("R"&amp;243,중복목록!$L$6:$L$6005,0))),""))</f>
        <v/>
      </c>
      <c r="G248" s="11" t="str">
        <f aca="false">IF($A248="","",IFERROR(INDEX(중복검사!$I$4:$I$6003,MATCH("R"&amp;243,중복목록!$L$6:$L$6005,0)),""))</f>
        <v/>
      </c>
      <c r="H248" s="11" t="str">
        <f aca="false">IF($A248="","",IFERROR(INDEX(중복검사!$J$4:$J$6003,MATCH("R"&amp;243,중복목록!$L$6:$L$6005,0)),""))</f>
        <v/>
      </c>
      <c r="J248" s="14" t="b">
        <f aca="false">IF(중복검사!$A246="",FALSE(),중복검사!$H246="중복")</f>
        <v>0</v>
      </c>
      <c r="K248" s="5" t="str">
        <f aca="false">IF($J248=FALSE(),"",COUNTIF($J$6:$J248,TRUE()))</f>
        <v/>
      </c>
      <c r="L248" s="5" t="str">
        <f aca="false">IF($K248="","","R"&amp;$K248)</f>
        <v/>
      </c>
    </row>
    <row r="249" customFormat="false" ht="15" hidden="false" customHeight="true" outlineLevel="0" collapsed="false">
      <c r="A249" s="11" t="str">
        <f aca="false">IFERROR(INDEX(중복검사!$A$4:$A$6003,MATCH("R"&amp;244,중복목록!$L$6:$L$6005,0)),"")</f>
        <v/>
      </c>
      <c r="B249" s="12" t="str">
        <f aca="false">IF($A249="","",IFERROR(INDEX(중복검사!$B$4:$B$6003,MATCH("R"&amp;244,중복목록!$L$6:$L$6005,0)),""))</f>
        <v/>
      </c>
      <c r="C249" s="12" t="str">
        <f aca="false">IF($A249="","",IFERROR(INDEX(중복검사!$C$4:$C$6003,MATCH("R"&amp;244,중복목록!$L$6:$L$6005,0)),""))</f>
        <v/>
      </c>
      <c r="D249" s="12" t="str">
        <f aca="false">IF($A249="","",IFERROR(INDEX(중복검사!$D$4:$D$6003,MATCH("R"&amp;244,중복목록!$L$6:$L$6005,0)),""))</f>
        <v/>
      </c>
      <c r="E249" s="12" t="str">
        <f aca="false">IF($A249="","",IFERROR(IF(INDEX(원본명단!$E$3:$E$6002,MATCH("R"&amp;244,중복목록!$L$6:$L$6005,0))="","",INDEX(원본명단!$E$3:$E$6002,MATCH("R"&amp;244,중복목록!$L$6:$L$6005,0))),""))</f>
        <v/>
      </c>
      <c r="F249" s="11" t="str">
        <f aca="false">IF($A249="","",IFERROR(MAX(INDEX(중복검사!$E$4:$E$6003,MATCH("R"&amp;244,중복목록!$L$6:$L$6005,0)),INDEX(중복검사!$F$4:$F$6003,MATCH("R"&amp;244,중복목록!$L$6:$L$6005,0)),INDEX(중복검사!$G$4:$G$6003,MATCH("R"&amp;244,중복목록!$L$6:$L$6005,0))),""))</f>
        <v/>
      </c>
      <c r="G249" s="11" t="str">
        <f aca="false">IF($A249="","",IFERROR(INDEX(중복검사!$I$4:$I$6003,MATCH("R"&amp;244,중복목록!$L$6:$L$6005,0)),""))</f>
        <v/>
      </c>
      <c r="H249" s="11" t="str">
        <f aca="false">IF($A249="","",IFERROR(INDEX(중복검사!$J$4:$J$6003,MATCH("R"&amp;244,중복목록!$L$6:$L$6005,0)),""))</f>
        <v/>
      </c>
      <c r="J249" s="14" t="b">
        <f aca="false">IF(중복검사!$A247="",FALSE(),중복검사!$H247="중복")</f>
        <v>0</v>
      </c>
      <c r="K249" s="5" t="str">
        <f aca="false">IF($J249=FALSE(),"",COUNTIF($J$6:$J249,TRUE()))</f>
        <v/>
      </c>
      <c r="L249" s="5" t="str">
        <f aca="false">IF($K249="","","R"&amp;$K249)</f>
        <v/>
      </c>
    </row>
    <row r="250" customFormat="false" ht="15" hidden="false" customHeight="true" outlineLevel="0" collapsed="false">
      <c r="A250" s="11" t="str">
        <f aca="false">IFERROR(INDEX(중복검사!$A$4:$A$6003,MATCH("R"&amp;245,중복목록!$L$6:$L$6005,0)),"")</f>
        <v/>
      </c>
      <c r="B250" s="12" t="str">
        <f aca="false">IF($A250="","",IFERROR(INDEX(중복검사!$B$4:$B$6003,MATCH("R"&amp;245,중복목록!$L$6:$L$6005,0)),""))</f>
        <v/>
      </c>
      <c r="C250" s="12" t="str">
        <f aca="false">IF($A250="","",IFERROR(INDEX(중복검사!$C$4:$C$6003,MATCH("R"&amp;245,중복목록!$L$6:$L$6005,0)),""))</f>
        <v/>
      </c>
      <c r="D250" s="12" t="str">
        <f aca="false">IF($A250="","",IFERROR(INDEX(중복검사!$D$4:$D$6003,MATCH("R"&amp;245,중복목록!$L$6:$L$6005,0)),""))</f>
        <v/>
      </c>
      <c r="E250" s="12" t="str">
        <f aca="false">IF($A250="","",IFERROR(IF(INDEX(원본명단!$E$3:$E$6002,MATCH("R"&amp;245,중복목록!$L$6:$L$6005,0))="","",INDEX(원본명단!$E$3:$E$6002,MATCH("R"&amp;245,중복목록!$L$6:$L$6005,0))),""))</f>
        <v/>
      </c>
      <c r="F250" s="11" t="str">
        <f aca="false">IF($A250="","",IFERROR(MAX(INDEX(중복검사!$E$4:$E$6003,MATCH("R"&amp;245,중복목록!$L$6:$L$6005,0)),INDEX(중복검사!$F$4:$F$6003,MATCH("R"&amp;245,중복목록!$L$6:$L$6005,0)),INDEX(중복검사!$G$4:$G$6003,MATCH("R"&amp;245,중복목록!$L$6:$L$6005,0))),""))</f>
        <v/>
      </c>
      <c r="G250" s="11" t="str">
        <f aca="false">IF($A250="","",IFERROR(INDEX(중복검사!$I$4:$I$6003,MATCH("R"&amp;245,중복목록!$L$6:$L$6005,0)),""))</f>
        <v/>
      </c>
      <c r="H250" s="11" t="str">
        <f aca="false">IF($A250="","",IFERROR(INDEX(중복검사!$J$4:$J$6003,MATCH("R"&amp;245,중복목록!$L$6:$L$6005,0)),""))</f>
        <v/>
      </c>
      <c r="J250" s="14" t="b">
        <f aca="false">IF(중복검사!$A248="",FALSE(),중복검사!$H248="중복")</f>
        <v>0</v>
      </c>
      <c r="K250" s="5" t="str">
        <f aca="false">IF($J250=FALSE(),"",COUNTIF($J$6:$J250,TRUE()))</f>
        <v/>
      </c>
      <c r="L250" s="5" t="str">
        <f aca="false">IF($K250="","","R"&amp;$K250)</f>
        <v/>
      </c>
    </row>
    <row r="251" customFormat="false" ht="15" hidden="false" customHeight="true" outlineLevel="0" collapsed="false">
      <c r="A251" s="11" t="str">
        <f aca="false">IFERROR(INDEX(중복검사!$A$4:$A$6003,MATCH("R"&amp;246,중복목록!$L$6:$L$6005,0)),"")</f>
        <v/>
      </c>
      <c r="B251" s="12" t="str">
        <f aca="false">IF($A251="","",IFERROR(INDEX(중복검사!$B$4:$B$6003,MATCH("R"&amp;246,중복목록!$L$6:$L$6005,0)),""))</f>
        <v/>
      </c>
      <c r="C251" s="12" t="str">
        <f aca="false">IF($A251="","",IFERROR(INDEX(중복검사!$C$4:$C$6003,MATCH("R"&amp;246,중복목록!$L$6:$L$6005,0)),""))</f>
        <v/>
      </c>
      <c r="D251" s="12" t="str">
        <f aca="false">IF($A251="","",IFERROR(INDEX(중복검사!$D$4:$D$6003,MATCH("R"&amp;246,중복목록!$L$6:$L$6005,0)),""))</f>
        <v/>
      </c>
      <c r="E251" s="12" t="str">
        <f aca="false">IF($A251="","",IFERROR(IF(INDEX(원본명단!$E$3:$E$6002,MATCH("R"&amp;246,중복목록!$L$6:$L$6005,0))="","",INDEX(원본명단!$E$3:$E$6002,MATCH("R"&amp;246,중복목록!$L$6:$L$6005,0))),""))</f>
        <v/>
      </c>
      <c r="F251" s="11" t="str">
        <f aca="false">IF($A251="","",IFERROR(MAX(INDEX(중복검사!$E$4:$E$6003,MATCH("R"&amp;246,중복목록!$L$6:$L$6005,0)),INDEX(중복검사!$F$4:$F$6003,MATCH("R"&amp;246,중복목록!$L$6:$L$6005,0)),INDEX(중복검사!$G$4:$G$6003,MATCH("R"&amp;246,중복목록!$L$6:$L$6005,0))),""))</f>
        <v/>
      </c>
      <c r="G251" s="11" t="str">
        <f aca="false">IF($A251="","",IFERROR(INDEX(중복검사!$I$4:$I$6003,MATCH("R"&amp;246,중복목록!$L$6:$L$6005,0)),""))</f>
        <v/>
      </c>
      <c r="H251" s="11" t="str">
        <f aca="false">IF($A251="","",IFERROR(INDEX(중복검사!$J$4:$J$6003,MATCH("R"&amp;246,중복목록!$L$6:$L$6005,0)),""))</f>
        <v/>
      </c>
      <c r="J251" s="14" t="b">
        <f aca="false">IF(중복검사!$A249="",FALSE(),중복검사!$H249="중복")</f>
        <v>0</v>
      </c>
      <c r="K251" s="5" t="str">
        <f aca="false">IF($J251=FALSE(),"",COUNTIF($J$6:$J251,TRUE()))</f>
        <v/>
      </c>
      <c r="L251" s="5" t="str">
        <f aca="false">IF($K251="","","R"&amp;$K251)</f>
        <v/>
      </c>
    </row>
    <row r="252" customFormat="false" ht="15" hidden="false" customHeight="true" outlineLevel="0" collapsed="false">
      <c r="A252" s="11" t="str">
        <f aca="false">IFERROR(INDEX(중복검사!$A$4:$A$6003,MATCH("R"&amp;247,중복목록!$L$6:$L$6005,0)),"")</f>
        <v/>
      </c>
      <c r="B252" s="12" t="str">
        <f aca="false">IF($A252="","",IFERROR(INDEX(중복검사!$B$4:$B$6003,MATCH("R"&amp;247,중복목록!$L$6:$L$6005,0)),""))</f>
        <v/>
      </c>
      <c r="C252" s="12" t="str">
        <f aca="false">IF($A252="","",IFERROR(INDEX(중복검사!$C$4:$C$6003,MATCH("R"&amp;247,중복목록!$L$6:$L$6005,0)),""))</f>
        <v/>
      </c>
      <c r="D252" s="12" t="str">
        <f aca="false">IF($A252="","",IFERROR(INDEX(중복검사!$D$4:$D$6003,MATCH("R"&amp;247,중복목록!$L$6:$L$6005,0)),""))</f>
        <v/>
      </c>
      <c r="E252" s="12" t="str">
        <f aca="false">IF($A252="","",IFERROR(IF(INDEX(원본명단!$E$3:$E$6002,MATCH("R"&amp;247,중복목록!$L$6:$L$6005,0))="","",INDEX(원본명단!$E$3:$E$6002,MATCH("R"&amp;247,중복목록!$L$6:$L$6005,0))),""))</f>
        <v/>
      </c>
      <c r="F252" s="11" t="str">
        <f aca="false">IF($A252="","",IFERROR(MAX(INDEX(중복검사!$E$4:$E$6003,MATCH("R"&amp;247,중복목록!$L$6:$L$6005,0)),INDEX(중복검사!$F$4:$F$6003,MATCH("R"&amp;247,중복목록!$L$6:$L$6005,0)),INDEX(중복검사!$G$4:$G$6003,MATCH("R"&amp;247,중복목록!$L$6:$L$6005,0))),""))</f>
        <v/>
      </c>
      <c r="G252" s="11" t="str">
        <f aca="false">IF($A252="","",IFERROR(INDEX(중복검사!$I$4:$I$6003,MATCH("R"&amp;247,중복목록!$L$6:$L$6005,0)),""))</f>
        <v/>
      </c>
      <c r="H252" s="11" t="str">
        <f aca="false">IF($A252="","",IFERROR(INDEX(중복검사!$J$4:$J$6003,MATCH("R"&amp;247,중복목록!$L$6:$L$6005,0)),""))</f>
        <v/>
      </c>
      <c r="J252" s="14" t="b">
        <f aca="false">IF(중복검사!$A250="",FALSE(),중복검사!$H250="중복")</f>
        <v>0</v>
      </c>
      <c r="K252" s="5" t="str">
        <f aca="false">IF($J252=FALSE(),"",COUNTIF($J$6:$J252,TRUE()))</f>
        <v/>
      </c>
      <c r="L252" s="5" t="str">
        <f aca="false">IF($K252="","","R"&amp;$K252)</f>
        <v/>
      </c>
    </row>
    <row r="253" customFormat="false" ht="15" hidden="false" customHeight="true" outlineLevel="0" collapsed="false">
      <c r="A253" s="11" t="str">
        <f aca="false">IFERROR(INDEX(중복검사!$A$4:$A$6003,MATCH("R"&amp;248,중복목록!$L$6:$L$6005,0)),"")</f>
        <v/>
      </c>
      <c r="B253" s="12" t="str">
        <f aca="false">IF($A253="","",IFERROR(INDEX(중복검사!$B$4:$B$6003,MATCH("R"&amp;248,중복목록!$L$6:$L$6005,0)),""))</f>
        <v/>
      </c>
      <c r="C253" s="12" t="str">
        <f aca="false">IF($A253="","",IFERROR(INDEX(중복검사!$C$4:$C$6003,MATCH("R"&amp;248,중복목록!$L$6:$L$6005,0)),""))</f>
        <v/>
      </c>
      <c r="D253" s="12" t="str">
        <f aca="false">IF($A253="","",IFERROR(INDEX(중복검사!$D$4:$D$6003,MATCH("R"&amp;248,중복목록!$L$6:$L$6005,0)),""))</f>
        <v/>
      </c>
      <c r="E253" s="12" t="str">
        <f aca="false">IF($A253="","",IFERROR(IF(INDEX(원본명단!$E$3:$E$6002,MATCH("R"&amp;248,중복목록!$L$6:$L$6005,0))="","",INDEX(원본명단!$E$3:$E$6002,MATCH("R"&amp;248,중복목록!$L$6:$L$6005,0))),""))</f>
        <v/>
      </c>
      <c r="F253" s="11" t="str">
        <f aca="false">IF($A253="","",IFERROR(MAX(INDEX(중복검사!$E$4:$E$6003,MATCH("R"&amp;248,중복목록!$L$6:$L$6005,0)),INDEX(중복검사!$F$4:$F$6003,MATCH("R"&amp;248,중복목록!$L$6:$L$6005,0)),INDEX(중복검사!$G$4:$G$6003,MATCH("R"&amp;248,중복목록!$L$6:$L$6005,0))),""))</f>
        <v/>
      </c>
      <c r="G253" s="11" t="str">
        <f aca="false">IF($A253="","",IFERROR(INDEX(중복검사!$I$4:$I$6003,MATCH("R"&amp;248,중복목록!$L$6:$L$6005,0)),""))</f>
        <v/>
      </c>
      <c r="H253" s="11" t="str">
        <f aca="false">IF($A253="","",IFERROR(INDEX(중복검사!$J$4:$J$6003,MATCH("R"&amp;248,중복목록!$L$6:$L$6005,0)),""))</f>
        <v/>
      </c>
      <c r="J253" s="14" t="b">
        <f aca="false">IF(중복검사!$A251="",FALSE(),중복검사!$H251="중복")</f>
        <v>0</v>
      </c>
      <c r="K253" s="5" t="str">
        <f aca="false">IF($J253=FALSE(),"",COUNTIF($J$6:$J253,TRUE()))</f>
        <v/>
      </c>
      <c r="L253" s="5" t="str">
        <f aca="false">IF($K253="","","R"&amp;$K253)</f>
        <v/>
      </c>
    </row>
    <row r="254" customFormat="false" ht="15" hidden="false" customHeight="true" outlineLevel="0" collapsed="false">
      <c r="A254" s="11" t="str">
        <f aca="false">IFERROR(INDEX(중복검사!$A$4:$A$6003,MATCH("R"&amp;249,중복목록!$L$6:$L$6005,0)),"")</f>
        <v/>
      </c>
      <c r="B254" s="12" t="str">
        <f aca="false">IF($A254="","",IFERROR(INDEX(중복검사!$B$4:$B$6003,MATCH("R"&amp;249,중복목록!$L$6:$L$6005,0)),""))</f>
        <v/>
      </c>
      <c r="C254" s="12" t="str">
        <f aca="false">IF($A254="","",IFERROR(INDEX(중복검사!$C$4:$C$6003,MATCH("R"&amp;249,중복목록!$L$6:$L$6005,0)),""))</f>
        <v/>
      </c>
      <c r="D254" s="12" t="str">
        <f aca="false">IF($A254="","",IFERROR(INDEX(중복검사!$D$4:$D$6003,MATCH("R"&amp;249,중복목록!$L$6:$L$6005,0)),""))</f>
        <v/>
      </c>
      <c r="E254" s="12" t="str">
        <f aca="false">IF($A254="","",IFERROR(IF(INDEX(원본명단!$E$3:$E$6002,MATCH("R"&amp;249,중복목록!$L$6:$L$6005,0))="","",INDEX(원본명단!$E$3:$E$6002,MATCH("R"&amp;249,중복목록!$L$6:$L$6005,0))),""))</f>
        <v/>
      </c>
      <c r="F254" s="11" t="str">
        <f aca="false">IF($A254="","",IFERROR(MAX(INDEX(중복검사!$E$4:$E$6003,MATCH("R"&amp;249,중복목록!$L$6:$L$6005,0)),INDEX(중복검사!$F$4:$F$6003,MATCH("R"&amp;249,중복목록!$L$6:$L$6005,0)),INDEX(중복검사!$G$4:$G$6003,MATCH("R"&amp;249,중복목록!$L$6:$L$6005,0))),""))</f>
        <v/>
      </c>
      <c r="G254" s="11" t="str">
        <f aca="false">IF($A254="","",IFERROR(INDEX(중복검사!$I$4:$I$6003,MATCH("R"&amp;249,중복목록!$L$6:$L$6005,0)),""))</f>
        <v/>
      </c>
      <c r="H254" s="11" t="str">
        <f aca="false">IF($A254="","",IFERROR(INDEX(중복검사!$J$4:$J$6003,MATCH("R"&amp;249,중복목록!$L$6:$L$6005,0)),""))</f>
        <v/>
      </c>
      <c r="J254" s="14" t="b">
        <f aca="false">IF(중복검사!$A252="",FALSE(),중복검사!$H252="중복")</f>
        <v>0</v>
      </c>
      <c r="K254" s="5" t="str">
        <f aca="false">IF($J254=FALSE(),"",COUNTIF($J$6:$J254,TRUE()))</f>
        <v/>
      </c>
      <c r="L254" s="5" t="str">
        <f aca="false">IF($K254="","","R"&amp;$K254)</f>
        <v/>
      </c>
    </row>
    <row r="255" customFormat="false" ht="15" hidden="false" customHeight="true" outlineLevel="0" collapsed="false">
      <c r="A255" s="11" t="str">
        <f aca="false">IFERROR(INDEX(중복검사!$A$4:$A$6003,MATCH("R"&amp;250,중복목록!$L$6:$L$6005,0)),"")</f>
        <v/>
      </c>
      <c r="B255" s="12" t="str">
        <f aca="false">IF($A255="","",IFERROR(INDEX(중복검사!$B$4:$B$6003,MATCH("R"&amp;250,중복목록!$L$6:$L$6005,0)),""))</f>
        <v/>
      </c>
      <c r="C255" s="12" t="str">
        <f aca="false">IF($A255="","",IFERROR(INDEX(중복검사!$C$4:$C$6003,MATCH("R"&amp;250,중복목록!$L$6:$L$6005,0)),""))</f>
        <v/>
      </c>
      <c r="D255" s="12" t="str">
        <f aca="false">IF($A255="","",IFERROR(INDEX(중복검사!$D$4:$D$6003,MATCH("R"&amp;250,중복목록!$L$6:$L$6005,0)),""))</f>
        <v/>
      </c>
      <c r="E255" s="12" t="str">
        <f aca="false">IF($A255="","",IFERROR(IF(INDEX(원본명단!$E$3:$E$6002,MATCH("R"&amp;250,중복목록!$L$6:$L$6005,0))="","",INDEX(원본명단!$E$3:$E$6002,MATCH("R"&amp;250,중복목록!$L$6:$L$6005,0))),""))</f>
        <v/>
      </c>
      <c r="F255" s="11" t="str">
        <f aca="false">IF($A255="","",IFERROR(MAX(INDEX(중복검사!$E$4:$E$6003,MATCH("R"&amp;250,중복목록!$L$6:$L$6005,0)),INDEX(중복검사!$F$4:$F$6003,MATCH("R"&amp;250,중복목록!$L$6:$L$6005,0)),INDEX(중복검사!$G$4:$G$6003,MATCH("R"&amp;250,중복목록!$L$6:$L$6005,0))),""))</f>
        <v/>
      </c>
      <c r="G255" s="11" t="str">
        <f aca="false">IF($A255="","",IFERROR(INDEX(중복검사!$I$4:$I$6003,MATCH("R"&amp;250,중복목록!$L$6:$L$6005,0)),""))</f>
        <v/>
      </c>
      <c r="H255" s="11" t="str">
        <f aca="false">IF($A255="","",IFERROR(INDEX(중복검사!$J$4:$J$6003,MATCH("R"&amp;250,중복목록!$L$6:$L$6005,0)),""))</f>
        <v/>
      </c>
      <c r="J255" s="14" t="b">
        <f aca="false">IF(중복검사!$A253="",FALSE(),중복검사!$H253="중복")</f>
        <v>0</v>
      </c>
      <c r="K255" s="5" t="str">
        <f aca="false">IF($J255=FALSE(),"",COUNTIF($J$6:$J255,TRUE()))</f>
        <v/>
      </c>
      <c r="L255" s="5" t="str">
        <f aca="false">IF($K255="","","R"&amp;$K255)</f>
        <v/>
      </c>
    </row>
    <row r="256" customFormat="false" ht="15" hidden="false" customHeight="true" outlineLevel="0" collapsed="false">
      <c r="A256" s="11" t="str">
        <f aca="false">IFERROR(INDEX(중복검사!$A$4:$A$6003,MATCH("R"&amp;251,중복목록!$L$6:$L$6005,0)),"")</f>
        <v/>
      </c>
      <c r="B256" s="12" t="str">
        <f aca="false">IF($A256="","",IFERROR(INDEX(중복검사!$B$4:$B$6003,MATCH("R"&amp;251,중복목록!$L$6:$L$6005,0)),""))</f>
        <v/>
      </c>
      <c r="C256" s="12" t="str">
        <f aca="false">IF($A256="","",IFERROR(INDEX(중복검사!$C$4:$C$6003,MATCH("R"&amp;251,중복목록!$L$6:$L$6005,0)),""))</f>
        <v/>
      </c>
      <c r="D256" s="12" t="str">
        <f aca="false">IF($A256="","",IFERROR(INDEX(중복검사!$D$4:$D$6003,MATCH("R"&amp;251,중복목록!$L$6:$L$6005,0)),""))</f>
        <v/>
      </c>
      <c r="E256" s="12" t="str">
        <f aca="false">IF($A256="","",IFERROR(IF(INDEX(원본명단!$E$3:$E$6002,MATCH("R"&amp;251,중복목록!$L$6:$L$6005,0))="","",INDEX(원본명단!$E$3:$E$6002,MATCH("R"&amp;251,중복목록!$L$6:$L$6005,0))),""))</f>
        <v/>
      </c>
      <c r="F256" s="11" t="str">
        <f aca="false">IF($A256="","",IFERROR(MAX(INDEX(중복검사!$E$4:$E$6003,MATCH("R"&amp;251,중복목록!$L$6:$L$6005,0)),INDEX(중복검사!$F$4:$F$6003,MATCH("R"&amp;251,중복목록!$L$6:$L$6005,0)),INDEX(중복검사!$G$4:$G$6003,MATCH("R"&amp;251,중복목록!$L$6:$L$6005,0))),""))</f>
        <v/>
      </c>
      <c r="G256" s="11" t="str">
        <f aca="false">IF($A256="","",IFERROR(INDEX(중복검사!$I$4:$I$6003,MATCH("R"&amp;251,중복목록!$L$6:$L$6005,0)),""))</f>
        <v/>
      </c>
      <c r="H256" s="11" t="str">
        <f aca="false">IF($A256="","",IFERROR(INDEX(중복검사!$J$4:$J$6003,MATCH("R"&amp;251,중복목록!$L$6:$L$6005,0)),""))</f>
        <v/>
      </c>
      <c r="J256" s="14" t="b">
        <f aca="false">IF(중복검사!$A254="",FALSE(),중복검사!$H254="중복")</f>
        <v>0</v>
      </c>
      <c r="K256" s="5" t="str">
        <f aca="false">IF($J256=FALSE(),"",COUNTIF($J$6:$J256,TRUE()))</f>
        <v/>
      </c>
      <c r="L256" s="5" t="str">
        <f aca="false">IF($K256="","","R"&amp;$K256)</f>
        <v/>
      </c>
    </row>
    <row r="257" customFormat="false" ht="15" hidden="false" customHeight="true" outlineLevel="0" collapsed="false">
      <c r="A257" s="11" t="str">
        <f aca="false">IFERROR(INDEX(중복검사!$A$4:$A$6003,MATCH("R"&amp;252,중복목록!$L$6:$L$6005,0)),"")</f>
        <v/>
      </c>
      <c r="B257" s="12" t="str">
        <f aca="false">IF($A257="","",IFERROR(INDEX(중복검사!$B$4:$B$6003,MATCH("R"&amp;252,중복목록!$L$6:$L$6005,0)),""))</f>
        <v/>
      </c>
      <c r="C257" s="12" t="str">
        <f aca="false">IF($A257="","",IFERROR(INDEX(중복검사!$C$4:$C$6003,MATCH("R"&amp;252,중복목록!$L$6:$L$6005,0)),""))</f>
        <v/>
      </c>
      <c r="D257" s="12" t="str">
        <f aca="false">IF($A257="","",IFERROR(INDEX(중복검사!$D$4:$D$6003,MATCH("R"&amp;252,중복목록!$L$6:$L$6005,0)),""))</f>
        <v/>
      </c>
      <c r="E257" s="12" t="str">
        <f aca="false">IF($A257="","",IFERROR(IF(INDEX(원본명단!$E$3:$E$6002,MATCH("R"&amp;252,중복목록!$L$6:$L$6005,0))="","",INDEX(원본명단!$E$3:$E$6002,MATCH("R"&amp;252,중복목록!$L$6:$L$6005,0))),""))</f>
        <v/>
      </c>
      <c r="F257" s="11" t="str">
        <f aca="false">IF($A257="","",IFERROR(MAX(INDEX(중복검사!$E$4:$E$6003,MATCH("R"&amp;252,중복목록!$L$6:$L$6005,0)),INDEX(중복검사!$F$4:$F$6003,MATCH("R"&amp;252,중복목록!$L$6:$L$6005,0)),INDEX(중복검사!$G$4:$G$6003,MATCH("R"&amp;252,중복목록!$L$6:$L$6005,0))),""))</f>
        <v/>
      </c>
      <c r="G257" s="11" t="str">
        <f aca="false">IF($A257="","",IFERROR(INDEX(중복검사!$I$4:$I$6003,MATCH("R"&amp;252,중복목록!$L$6:$L$6005,0)),""))</f>
        <v/>
      </c>
      <c r="H257" s="11" t="str">
        <f aca="false">IF($A257="","",IFERROR(INDEX(중복검사!$J$4:$J$6003,MATCH("R"&amp;252,중복목록!$L$6:$L$6005,0)),""))</f>
        <v/>
      </c>
      <c r="J257" s="14" t="b">
        <f aca="false">IF(중복검사!$A255="",FALSE(),중복검사!$H255="중복")</f>
        <v>0</v>
      </c>
      <c r="K257" s="5" t="str">
        <f aca="false">IF($J257=FALSE(),"",COUNTIF($J$6:$J257,TRUE()))</f>
        <v/>
      </c>
      <c r="L257" s="5" t="str">
        <f aca="false">IF($K257="","","R"&amp;$K257)</f>
        <v/>
      </c>
    </row>
    <row r="258" customFormat="false" ht="15" hidden="false" customHeight="true" outlineLevel="0" collapsed="false">
      <c r="A258" s="11" t="str">
        <f aca="false">IFERROR(INDEX(중복검사!$A$4:$A$6003,MATCH("R"&amp;253,중복목록!$L$6:$L$6005,0)),"")</f>
        <v/>
      </c>
      <c r="B258" s="12" t="str">
        <f aca="false">IF($A258="","",IFERROR(INDEX(중복검사!$B$4:$B$6003,MATCH("R"&amp;253,중복목록!$L$6:$L$6005,0)),""))</f>
        <v/>
      </c>
      <c r="C258" s="12" t="str">
        <f aca="false">IF($A258="","",IFERROR(INDEX(중복검사!$C$4:$C$6003,MATCH("R"&amp;253,중복목록!$L$6:$L$6005,0)),""))</f>
        <v/>
      </c>
      <c r="D258" s="12" t="str">
        <f aca="false">IF($A258="","",IFERROR(INDEX(중복검사!$D$4:$D$6003,MATCH("R"&amp;253,중복목록!$L$6:$L$6005,0)),""))</f>
        <v/>
      </c>
      <c r="E258" s="12" t="str">
        <f aca="false">IF($A258="","",IFERROR(IF(INDEX(원본명단!$E$3:$E$6002,MATCH("R"&amp;253,중복목록!$L$6:$L$6005,0))="","",INDEX(원본명단!$E$3:$E$6002,MATCH("R"&amp;253,중복목록!$L$6:$L$6005,0))),""))</f>
        <v/>
      </c>
      <c r="F258" s="11" t="str">
        <f aca="false">IF($A258="","",IFERROR(MAX(INDEX(중복검사!$E$4:$E$6003,MATCH("R"&amp;253,중복목록!$L$6:$L$6005,0)),INDEX(중복검사!$F$4:$F$6003,MATCH("R"&amp;253,중복목록!$L$6:$L$6005,0)),INDEX(중복검사!$G$4:$G$6003,MATCH("R"&amp;253,중복목록!$L$6:$L$6005,0))),""))</f>
        <v/>
      </c>
      <c r="G258" s="11" t="str">
        <f aca="false">IF($A258="","",IFERROR(INDEX(중복검사!$I$4:$I$6003,MATCH("R"&amp;253,중복목록!$L$6:$L$6005,0)),""))</f>
        <v/>
      </c>
      <c r="H258" s="11" t="str">
        <f aca="false">IF($A258="","",IFERROR(INDEX(중복검사!$J$4:$J$6003,MATCH("R"&amp;253,중복목록!$L$6:$L$6005,0)),""))</f>
        <v/>
      </c>
      <c r="J258" s="14" t="b">
        <f aca="false">IF(중복검사!$A256="",FALSE(),중복검사!$H256="중복")</f>
        <v>0</v>
      </c>
      <c r="K258" s="5" t="str">
        <f aca="false">IF($J258=FALSE(),"",COUNTIF($J$6:$J258,TRUE()))</f>
        <v/>
      </c>
      <c r="L258" s="5" t="str">
        <f aca="false">IF($K258="","","R"&amp;$K258)</f>
        <v/>
      </c>
    </row>
    <row r="259" customFormat="false" ht="15" hidden="false" customHeight="true" outlineLevel="0" collapsed="false">
      <c r="A259" s="11" t="str">
        <f aca="false">IFERROR(INDEX(중복검사!$A$4:$A$6003,MATCH("R"&amp;254,중복목록!$L$6:$L$6005,0)),"")</f>
        <v/>
      </c>
      <c r="B259" s="12" t="str">
        <f aca="false">IF($A259="","",IFERROR(INDEX(중복검사!$B$4:$B$6003,MATCH("R"&amp;254,중복목록!$L$6:$L$6005,0)),""))</f>
        <v/>
      </c>
      <c r="C259" s="12" t="str">
        <f aca="false">IF($A259="","",IFERROR(INDEX(중복검사!$C$4:$C$6003,MATCH("R"&amp;254,중복목록!$L$6:$L$6005,0)),""))</f>
        <v/>
      </c>
      <c r="D259" s="12" t="str">
        <f aca="false">IF($A259="","",IFERROR(INDEX(중복검사!$D$4:$D$6003,MATCH("R"&amp;254,중복목록!$L$6:$L$6005,0)),""))</f>
        <v/>
      </c>
      <c r="E259" s="12" t="str">
        <f aca="false">IF($A259="","",IFERROR(IF(INDEX(원본명단!$E$3:$E$6002,MATCH("R"&amp;254,중복목록!$L$6:$L$6005,0))="","",INDEX(원본명단!$E$3:$E$6002,MATCH("R"&amp;254,중복목록!$L$6:$L$6005,0))),""))</f>
        <v/>
      </c>
      <c r="F259" s="11" t="str">
        <f aca="false">IF($A259="","",IFERROR(MAX(INDEX(중복검사!$E$4:$E$6003,MATCH("R"&amp;254,중복목록!$L$6:$L$6005,0)),INDEX(중복검사!$F$4:$F$6003,MATCH("R"&amp;254,중복목록!$L$6:$L$6005,0)),INDEX(중복검사!$G$4:$G$6003,MATCH("R"&amp;254,중복목록!$L$6:$L$6005,0))),""))</f>
        <v/>
      </c>
      <c r="G259" s="11" t="str">
        <f aca="false">IF($A259="","",IFERROR(INDEX(중복검사!$I$4:$I$6003,MATCH("R"&amp;254,중복목록!$L$6:$L$6005,0)),""))</f>
        <v/>
      </c>
      <c r="H259" s="11" t="str">
        <f aca="false">IF($A259="","",IFERROR(INDEX(중복검사!$J$4:$J$6003,MATCH("R"&amp;254,중복목록!$L$6:$L$6005,0)),""))</f>
        <v/>
      </c>
      <c r="J259" s="14" t="b">
        <f aca="false">IF(중복검사!$A257="",FALSE(),중복검사!$H257="중복")</f>
        <v>0</v>
      </c>
      <c r="K259" s="5" t="str">
        <f aca="false">IF($J259=FALSE(),"",COUNTIF($J$6:$J259,TRUE()))</f>
        <v/>
      </c>
      <c r="L259" s="5" t="str">
        <f aca="false">IF($K259="","","R"&amp;$K259)</f>
        <v/>
      </c>
    </row>
    <row r="260" customFormat="false" ht="15" hidden="false" customHeight="true" outlineLevel="0" collapsed="false">
      <c r="A260" s="11" t="str">
        <f aca="false">IFERROR(INDEX(중복검사!$A$4:$A$6003,MATCH("R"&amp;255,중복목록!$L$6:$L$6005,0)),"")</f>
        <v/>
      </c>
      <c r="B260" s="12" t="str">
        <f aca="false">IF($A260="","",IFERROR(INDEX(중복검사!$B$4:$B$6003,MATCH("R"&amp;255,중복목록!$L$6:$L$6005,0)),""))</f>
        <v/>
      </c>
      <c r="C260" s="12" t="str">
        <f aca="false">IF($A260="","",IFERROR(INDEX(중복검사!$C$4:$C$6003,MATCH("R"&amp;255,중복목록!$L$6:$L$6005,0)),""))</f>
        <v/>
      </c>
      <c r="D260" s="12" t="str">
        <f aca="false">IF($A260="","",IFERROR(INDEX(중복검사!$D$4:$D$6003,MATCH("R"&amp;255,중복목록!$L$6:$L$6005,0)),""))</f>
        <v/>
      </c>
      <c r="E260" s="12" t="str">
        <f aca="false">IF($A260="","",IFERROR(IF(INDEX(원본명단!$E$3:$E$6002,MATCH("R"&amp;255,중복목록!$L$6:$L$6005,0))="","",INDEX(원본명단!$E$3:$E$6002,MATCH("R"&amp;255,중복목록!$L$6:$L$6005,0))),""))</f>
        <v/>
      </c>
      <c r="F260" s="11" t="str">
        <f aca="false">IF($A260="","",IFERROR(MAX(INDEX(중복검사!$E$4:$E$6003,MATCH("R"&amp;255,중복목록!$L$6:$L$6005,0)),INDEX(중복검사!$F$4:$F$6003,MATCH("R"&amp;255,중복목록!$L$6:$L$6005,0)),INDEX(중복검사!$G$4:$G$6003,MATCH("R"&amp;255,중복목록!$L$6:$L$6005,0))),""))</f>
        <v/>
      </c>
      <c r="G260" s="11" t="str">
        <f aca="false">IF($A260="","",IFERROR(INDEX(중복검사!$I$4:$I$6003,MATCH("R"&amp;255,중복목록!$L$6:$L$6005,0)),""))</f>
        <v/>
      </c>
      <c r="H260" s="11" t="str">
        <f aca="false">IF($A260="","",IFERROR(INDEX(중복검사!$J$4:$J$6003,MATCH("R"&amp;255,중복목록!$L$6:$L$6005,0)),""))</f>
        <v/>
      </c>
      <c r="J260" s="14" t="b">
        <f aca="false">IF(중복검사!$A258="",FALSE(),중복검사!$H258="중복")</f>
        <v>0</v>
      </c>
      <c r="K260" s="5" t="str">
        <f aca="false">IF($J260=FALSE(),"",COUNTIF($J$6:$J260,TRUE()))</f>
        <v/>
      </c>
      <c r="L260" s="5" t="str">
        <f aca="false">IF($K260="","","R"&amp;$K260)</f>
        <v/>
      </c>
    </row>
    <row r="261" customFormat="false" ht="15" hidden="false" customHeight="true" outlineLevel="0" collapsed="false">
      <c r="A261" s="11" t="str">
        <f aca="false">IFERROR(INDEX(중복검사!$A$4:$A$6003,MATCH("R"&amp;256,중복목록!$L$6:$L$6005,0)),"")</f>
        <v/>
      </c>
      <c r="B261" s="12" t="str">
        <f aca="false">IF($A261="","",IFERROR(INDEX(중복검사!$B$4:$B$6003,MATCH("R"&amp;256,중복목록!$L$6:$L$6005,0)),""))</f>
        <v/>
      </c>
      <c r="C261" s="12" t="str">
        <f aca="false">IF($A261="","",IFERROR(INDEX(중복검사!$C$4:$C$6003,MATCH("R"&amp;256,중복목록!$L$6:$L$6005,0)),""))</f>
        <v/>
      </c>
      <c r="D261" s="12" t="str">
        <f aca="false">IF($A261="","",IFERROR(INDEX(중복검사!$D$4:$D$6003,MATCH("R"&amp;256,중복목록!$L$6:$L$6005,0)),""))</f>
        <v/>
      </c>
      <c r="E261" s="12" t="str">
        <f aca="false">IF($A261="","",IFERROR(IF(INDEX(원본명단!$E$3:$E$6002,MATCH("R"&amp;256,중복목록!$L$6:$L$6005,0))="","",INDEX(원본명단!$E$3:$E$6002,MATCH("R"&amp;256,중복목록!$L$6:$L$6005,0))),""))</f>
        <v/>
      </c>
      <c r="F261" s="11" t="str">
        <f aca="false">IF($A261="","",IFERROR(MAX(INDEX(중복검사!$E$4:$E$6003,MATCH("R"&amp;256,중복목록!$L$6:$L$6005,0)),INDEX(중복검사!$F$4:$F$6003,MATCH("R"&amp;256,중복목록!$L$6:$L$6005,0)),INDEX(중복검사!$G$4:$G$6003,MATCH("R"&amp;256,중복목록!$L$6:$L$6005,0))),""))</f>
        <v/>
      </c>
      <c r="G261" s="11" t="str">
        <f aca="false">IF($A261="","",IFERROR(INDEX(중복검사!$I$4:$I$6003,MATCH("R"&amp;256,중복목록!$L$6:$L$6005,0)),""))</f>
        <v/>
      </c>
      <c r="H261" s="11" t="str">
        <f aca="false">IF($A261="","",IFERROR(INDEX(중복검사!$J$4:$J$6003,MATCH("R"&amp;256,중복목록!$L$6:$L$6005,0)),""))</f>
        <v/>
      </c>
      <c r="J261" s="14" t="b">
        <f aca="false">IF(중복검사!$A259="",FALSE(),중복검사!$H259="중복")</f>
        <v>0</v>
      </c>
      <c r="K261" s="5" t="str">
        <f aca="false">IF($J261=FALSE(),"",COUNTIF($J$6:$J261,TRUE()))</f>
        <v/>
      </c>
      <c r="L261" s="5" t="str">
        <f aca="false">IF($K261="","","R"&amp;$K261)</f>
        <v/>
      </c>
    </row>
    <row r="262" customFormat="false" ht="15" hidden="false" customHeight="true" outlineLevel="0" collapsed="false">
      <c r="A262" s="11" t="str">
        <f aca="false">IFERROR(INDEX(중복검사!$A$4:$A$6003,MATCH("R"&amp;257,중복목록!$L$6:$L$6005,0)),"")</f>
        <v/>
      </c>
      <c r="B262" s="12" t="str">
        <f aca="false">IF($A262="","",IFERROR(INDEX(중복검사!$B$4:$B$6003,MATCH("R"&amp;257,중복목록!$L$6:$L$6005,0)),""))</f>
        <v/>
      </c>
      <c r="C262" s="12" t="str">
        <f aca="false">IF($A262="","",IFERROR(INDEX(중복검사!$C$4:$C$6003,MATCH("R"&amp;257,중복목록!$L$6:$L$6005,0)),""))</f>
        <v/>
      </c>
      <c r="D262" s="12" t="str">
        <f aca="false">IF($A262="","",IFERROR(INDEX(중복검사!$D$4:$D$6003,MATCH("R"&amp;257,중복목록!$L$6:$L$6005,0)),""))</f>
        <v/>
      </c>
      <c r="E262" s="12" t="str">
        <f aca="false">IF($A262="","",IFERROR(IF(INDEX(원본명단!$E$3:$E$6002,MATCH("R"&amp;257,중복목록!$L$6:$L$6005,0))="","",INDEX(원본명단!$E$3:$E$6002,MATCH("R"&amp;257,중복목록!$L$6:$L$6005,0))),""))</f>
        <v/>
      </c>
      <c r="F262" s="11" t="str">
        <f aca="false">IF($A262="","",IFERROR(MAX(INDEX(중복검사!$E$4:$E$6003,MATCH("R"&amp;257,중복목록!$L$6:$L$6005,0)),INDEX(중복검사!$F$4:$F$6003,MATCH("R"&amp;257,중복목록!$L$6:$L$6005,0)),INDEX(중복검사!$G$4:$G$6003,MATCH("R"&amp;257,중복목록!$L$6:$L$6005,0))),""))</f>
        <v/>
      </c>
      <c r="G262" s="11" t="str">
        <f aca="false">IF($A262="","",IFERROR(INDEX(중복검사!$I$4:$I$6003,MATCH("R"&amp;257,중복목록!$L$6:$L$6005,0)),""))</f>
        <v/>
      </c>
      <c r="H262" s="11" t="str">
        <f aca="false">IF($A262="","",IFERROR(INDEX(중복검사!$J$4:$J$6003,MATCH("R"&amp;257,중복목록!$L$6:$L$6005,0)),""))</f>
        <v/>
      </c>
      <c r="J262" s="14" t="b">
        <f aca="false">IF(중복검사!$A260="",FALSE(),중복검사!$H260="중복")</f>
        <v>0</v>
      </c>
      <c r="K262" s="5" t="str">
        <f aca="false">IF($J262=FALSE(),"",COUNTIF($J$6:$J262,TRUE()))</f>
        <v/>
      </c>
      <c r="L262" s="5" t="str">
        <f aca="false">IF($K262="","","R"&amp;$K262)</f>
        <v/>
      </c>
    </row>
    <row r="263" customFormat="false" ht="15" hidden="false" customHeight="true" outlineLevel="0" collapsed="false">
      <c r="A263" s="11" t="str">
        <f aca="false">IFERROR(INDEX(중복검사!$A$4:$A$6003,MATCH("R"&amp;258,중복목록!$L$6:$L$6005,0)),"")</f>
        <v/>
      </c>
      <c r="B263" s="12" t="str">
        <f aca="false">IF($A263="","",IFERROR(INDEX(중복검사!$B$4:$B$6003,MATCH("R"&amp;258,중복목록!$L$6:$L$6005,0)),""))</f>
        <v/>
      </c>
      <c r="C263" s="12" t="str">
        <f aca="false">IF($A263="","",IFERROR(INDEX(중복검사!$C$4:$C$6003,MATCH("R"&amp;258,중복목록!$L$6:$L$6005,0)),""))</f>
        <v/>
      </c>
      <c r="D263" s="12" t="str">
        <f aca="false">IF($A263="","",IFERROR(INDEX(중복검사!$D$4:$D$6003,MATCH("R"&amp;258,중복목록!$L$6:$L$6005,0)),""))</f>
        <v/>
      </c>
      <c r="E263" s="12" t="str">
        <f aca="false">IF($A263="","",IFERROR(IF(INDEX(원본명단!$E$3:$E$6002,MATCH("R"&amp;258,중복목록!$L$6:$L$6005,0))="","",INDEX(원본명단!$E$3:$E$6002,MATCH("R"&amp;258,중복목록!$L$6:$L$6005,0))),""))</f>
        <v/>
      </c>
      <c r="F263" s="11" t="str">
        <f aca="false">IF($A263="","",IFERROR(MAX(INDEX(중복검사!$E$4:$E$6003,MATCH("R"&amp;258,중복목록!$L$6:$L$6005,0)),INDEX(중복검사!$F$4:$F$6003,MATCH("R"&amp;258,중복목록!$L$6:$L$6005,0)),INDEX(중복검사!$G$4:$G$6003,MATCH("R"&amp;258,중복목록!$L$6:$L$6005,0))),""))</f>
        <v/>
      </c>
      <c r="G263" s="11" t="str">
        <f aca="false">IF($A263="","",IFERROR(INDEX(중복검사!$I$4:$I$6003,MATCH("R"&amp;258,중복목록!$L$6:$L$6005,0)),""))</f>
        <v/>
      </c>
      <c r="H263" s="11" t="str">
        <f aca="false">IF($A263="","",IFERROR(INDEX(중복검사!$J$4:$J$6003,MATCH("R"&amp;258,중복목록!$L$6:$L$6005,0)),""))</f>
        <v/>
      </c>
      <c r="J263" s="14" t="b">
        <f aca="false">IF(중복검사!$A261="",FALSE(),중복검사!$H261="중복")</f>
        <v>0</v>
      </c>
      <c r="K263" s="5" t="str">
        <f aca="false">IF($J263=FALSE(),"",COUNTIF($J$6:$J263,TRUE()))</f>
        <v/>
      </c>
      <c r="L263" s="5" t="str">
        <f aca="false">IF($K263="","","R"&amp;$K263)</f>
        <v/>
      </c>
    </row>
    <row r="264" customFormat="false" ht="15" hidden="false" customHeight="true" outlineLevel="0" collapsed="false">
      <c r="A264" s="11" t="str">
        <f aca="false">IFERROR(INDEX(중복검사!$A$4:$A$6003,MATCH("R"&amp;259,중복목록!$L$6:$L$6005,0)),"")</f>
        <v/>
      </c>
      <c r="B264" s="12" t="str">
        <f aca="false">IF($A264="","",IFERROR(INDEX(중복검사!$B$4:$B$6003,MATCH("R"&amp;259,중복목록!$L$6:$L$6005,0)),""))</f>
        <v/>
      </c>
      <c r="C264" s="12" t="str">
        <f aca="false">IF($A264="","",IFERROR(INDEX(중복검사!$C$4:$C$6003,MATCH("R"&amp;259,중복목록!$L$6:$L$6005,0)),""))</f>
        <v/>
      </c>
      <c r="D264" s="12" t="str">
        <f aca="false">IF($A264="","",IFERROR(INDEX(중복검사!$D$4:$D$6003,MATCH("R"&amp;259,중복목록!$L$6:$L$6005,0)),""))</f>
        <v/>
      </c>
      <c r="E264" s="12" t="str">
        <f aca="false">IF($A264="","",IFERROR(IF(INDEX(원본명단!$E$3:$E$6002,MATCH("R"&amp;259,중복목록!$L$6:$L$6005,0))="","",INDEX(원본명단!$E$3:$E$6002,MATCH("R"&amp;259,중복목록!$L$6:$L$6005,0))),""))</f>
        <v/>
      </c>
      <c r="F264" s="11" t="str">
        <f aca="false">IF($A264="","",IFERROR(MAX(INDEX(중복검사!$E$4:$E$6003,MATCH("R"&amp;259,중복목록!$L$6:$L$6005,0)),INDEX(중복검사!$F$4:$F$6003,MATCH("R"&amp;259,중복목록!$L$6:$L$6005,0)),INDEX(중복검사!$G$4:$G$6003,MATCH("R"&amp;259,중복목록!$L$6:$L$6005,0))),""))</f>
        <v/>
      </c>
      <c r="G264" s="11" t="str">
        <f aca="false">IF($A264="","",IFERROR(INDEX(중복검사!$I$4:$I$6003,MATCH("R"&amp;259,중복목록!$L$6:$L$6005,0)),""))</f>
        <v/>
      </c>
      <c r="H264" s="11" t="str">
        <f aca="false">IF($A264="","",IFERROR(INDEX(중복검사!$J$4:$J$6003,MATCH("R"&amp;259,중복목록!$L$6:$L$6005,0)),""))</f>
        <v/>
      </c>
      <c r="J264" s="14" t="b">
        <f aca="false">IF(중복검사!$A262="",FALSE(),중복검사!$H262="중복")</f>
        <v>0</v>
      </c>
      <c r="K264" s="5" t="str">
        <f aca="false">IF($J264=FALSE(),"",COUNTIF($J$6:$J264,TRUE()))</f>
        <v/>
      </c>
      <c r="L264" s="5" t="str">
        <f aca="false">IF($K264="","","R"&amp;$K264)</f>
        <v/>
      </c>
    </row>
    <row r="265" customFormat="false" ht="15" hidden="false" customHeight="true" outlineLevel="0" collapsed="false">
      <c r="A265" s="11" t="str">
        <f aca="false">IFERROR(INDEX(중복검사!$A$4:$A$6003,MATCH("R"&amp;260,중복목록!$L$6:$L$6005,0)),"")</f>
        <v/>
      </c>
      <c r="B265" s="12" t="str">
        <f aca="false">IF($A265="","",IFERROR(INDEX(중복검사!$B$4:$B$6003,MATCH("R"&amp;260,중복목록!$L$6:$L$6005,0)),""))</f>
        <v/>
      </c>
      <c r="C265" s="12" t="str">
        <f aca="false">IF($A265="","",IFERROR(INDEX(중복검사!$C$4:$C$6003,MATCH("R"&amp;260,중복목록!$L$6:$L$6005,0)),""))</f>
        <v/>
      </c>
      <c r="D265" s="12" t="str">
        <f aca="false">IF($A265="","",IFERROR(INDEX(중복검사!$D$4:$D$6003,MATCH("R"&amp;260,중복목록!$L$6:$L$6005,0)),""))</f>
        <v/>
      </c>
      <c r="E265" s="12" t="str">
        <f aca="false">IF($A265="","",IFERROR(IF(INDEX(원본명단!$E$3:$E$6002,MATCH("R"&amp;260,중복목록!$L$6:$L$6005,0))="","",INDEX(원본명단!$E$3:$E$6002,MATCH("R"&amp;260,중복목록!$L$6:$L$6005,0))),""))</f>
        <v/>
      </c>
      <c r="F265" s="11" t="str">
        <f aca="false">IF($A265="","",IFERROR(MAX(INDEX(중복검사!$E$4:$E$6003,MATCH("R"&amp;260,중복목록!$L$6:$L$6005,0)),INDEX(중복검사!$F$4:$F$6003,MATCH("R"&amp;260,중복목록!$L$6:$L$6005,0)),INDEX(중복검사!$G$4:$G$6003,MATCH("R"&amp;260,중복목록!$L$6:$L$6005,0))),""))</f>
        <v/>
      </c>
      <c r="G265" s="11" t="str">
        <f aca="false">IF($A265="","",IFERROR(INDEX(중복검사!$I$4:$I$6003,MATCH("R"&amp;260,중복목록!$L$6:$L$6005,0)),""))</f>
        <v/>
      </c>
      <c r="H265" s="11" t="str">
        <f aca="false">IF($A265="","",IFERROR(INDEX(중복검사!$J$4:$J$6003,MATCH("R"&amp;260,중복목록!$L$6:$L$6005,0)),""))</f>
        <v/>
      </c>
      <c r="J265" s="14" t="b">
        <f aca="false">IF(중복검사!$A263="",FALSE(),중복검사!$H263="중복")</f>
        <v>0</v>
      </c>
      <c r="K265" s="5" t="str">
        <f aca="false">IF($J265=FALSE(),"",COUNTIF($J$6:$J265,TRUE()))</f>
        <v/>
      </c>
      <c r="L265" s="5" t="str">
        <f aca="false">IF($K265="","","R"&amp;$K265)</f>
        <v/>
      </c>
    </row>
    <row r="266" customFormat="false" ht="15" hidden="false" customHeight="true" outlineLevel="0" collapsed="false">
      <c r="A266" s="11" t="str">
        <f aca="false">IFERROR(INDEX(중복검사!$A$4:$A$6003,MATCH("R"&amp;261,중복목록!$L$6:$L$6005,0)),"")</f>
        <v/>
      </c>
      <c r="B266" s="12" t="str">
        <f aca="false">IF($A266="","",IFERROR(INDEX(중복검사!$B$4:$B$6003,MATCH("R"&amp;261,중복목록!$L$6:$L$6005,0)),""))</f>
        <v/>
      </c>
      <c r="C266" s="12" t="str">
        <f aca="false">IF($A266="","",IFERROR(INDEX(중복검사!$C$4:$C$6003,MATCH("R"&amp;261,중복목록!$L$6:$L$6005,0)),""))</f>
        <v/>
      </c>
      <c r="D266" s="12" t="str">
        <f aca="false">IF($A266="","",IFERROR(INDEX(중복검사!$D$4:$D$6003,MATCH("R"&amp;261,중복목록!$L$6:$L$6005,0)),""))</f>
        <v/>
      </c>
      <c r="E266" s="12" t="str">
        <f aca="false">IF($A266="","",IFERROR(IF(INDEX(원본명단!$E$3:$E$6002,MATCH("R"&amp;261,중복목록!$L$6:$L$6005,0))="","",INDEX(원본명단!$E$3:$E$6002,MATCH("R"&amp;261,중복목록!$L$6:$L$6005,0))),""))</f>
        <v/>
      </c>
      <c r="F266" s="11" t="str">
        <f aca="false">IF($A266="","",IFERROR(MAX(INDEX(중복검사!$E$4:$E$6003,MATCH("R"&amp;261,중복목록!$L$6:$L$6005,0)),INDEX(중복검사!$F$4:$F$6003,MATCH("R"&amp;261,중복목록!$L$6:$L$6005,0)),INDEX(중복검사!$G$4:$G$6003,MATCH("R"&amp;261,중복목록!$L$6:$L$6005,0))),""))</f>
        <v/>
      </c>
      <c r="G266" s="11" t="str">
        <f aca="false">IF($A266="","",IFERROR(INDEX(중복검사!$I$4:$I$6003,MATCH("R"&amp;261,중복목록!$L$6:$L$6005,0)),""))</f>
        <v/>
      </c>
      <c r="H266" s="11" t="str">
        <f aca="false">IF($A266="","",IFERROR(INDEX(중복검사!$J$4:$J$6003,MATCH("R"&amp;261,중복목록!$L$6:$L$6005,0)),""))</f>
        <v/>
      </c>
      <c r="J266" s="14" t="b">
        <f aca="false">IF(중복검사!$A264="",FALSE(),중복검사!$H264="중복")</f>
        <v>0</v>
      </c>
      <c r="K266" s="5" t="str">
        <f aca="false">IF($J266=FALSE(),"",COUNTIF($J$6:$J266,TRUE()))</f>
        <v/>
      </c>
      <c r="L266" s="5" t="str">
        <f aca="false">IF($K266="","","R"&amp;$K266)</f>
        <v/>
      </c>
    </row>
    <row r="267" customFormat="false" ht="15" hidden="false" customHeight="true" outlineLevel="0" collapsed="false">
      <c r="A267" s="11" t="str">
        <f aca="false">IFERROR(INDEX(중복검사!$A$4:$A$6003,MATCH("R"&amp;262,중복목록!$L$6:$L$6005,0)),"")</f>
        <v/>
      </c>
      <c r="B267" s="12" t="str">
        <f aca="false">IF($A267="","",IFERROR(INDEX(중복검사!$B$4:$B$6003,MATCH("R"&amp;262,중복목록!$L$6:$L$6005,0)),""))</f>
        <v/>
      </c>
      <c r="C267" s="12" t="str">
        <f aca="false">IF($A267="","",IFERROR(INDEX(중복검사!$C$4:$C$6003,MATCH("R"&amp;262,중복목록!$L$6:$L$6005,0)),""))</f>
        <v/>
      </c>
      <c r="D267" s="12" t="str">
        <f aca="false">IF($A267="","",IFERROR(INDEX(중복검사!$D$4:$D$6003,MATCH("R"&amp;262,중복목록!$L$6:$L$6005,0)),""))</f>
        <v/>
      </c>
      <c r="E267" s="12" t="str">
        <f aca="false">IF($A267="","",IFERROR(IF(INDEX(원본명단!$E$3:$E$6002,MATCH("R"&amp;262,중복목록!$L$6:$L$6005,0))="","",INDEX(원본명단!$E$3:$E$6002,MATCH("R"&amp;262,중복목록!$L$6:$L$6005,0))),""))</f>
        <v/>
      </c>
      <c r="F267" s="11" t="str">
        <f aca="false">IF($A267="","",IFERROR(MAX(INDEX(중복검사!$E$4:$E$6003,MATCH("R"&amp;262,중복목록!$L$6:$L$6005,0)),INDEX(중복검사!$F$4:$F$6003,MATCH("R"&amp;262,중복목록!$L$6:$L$6005,0)),INDEX(중복검사!$G$4:$G$6003,MATCH("R"&amp;262,중복목록!$L$6:$L$6005,0))),""))</f>
        <v/>
      </c>
      <c r="G267" s="11" t="str">
        <f aca="false">IF($A267="","",IFERROR(INDEX(중복검사!$I$4:$I$6003,MATCH("R"&amp;262,중복목록!$L$6:$L$6005,0)),""))</f>
        <v/>
      </c>
      <c r="H267" s="11" t="str">
        <f aca="false">IF($A267="","",IFERROR(INDEX(중복검사!$J$4:$J$6003,MATCH("R"&amp;262,중복목록!$L$6:$L$6005,0)),""))</f>
        <v/>
      </c>
      <c r="J267" s="14" t="b">
        <f aca="false">IF(중복검사!$A265="",FALSE(),중복검사!$H265="중복")</f>
        <v>0</v>
      </c>
      <c r="K267" s="5" t="str">
        <f aca="false">IF($J267=FALSE(),"",COUNTIF($J$6:$J267,TRUE()))</f>
        <v/>
      </c>
      <c r="L267" s="5" t="str">
        <f aca="false">IF($K267="","","R"&amp;$K267)</f>
        <v/>
      </c>
    </row>
    <row r="268" customFormat="false" ht="15" hidden="false" customHeight="true" outlineLevel="0" collapsed="false">
      <c r="A268" s="11" t="str">
        <f aca="false">IFERROR(INDEX(중복검사!$A$4:$A$6003,MATCH("R"&amp;263,중복목록!$L$6:$L$6005,0)),"")</f>
        <v/>
      </c>
      <c r="B268" s="12" t="str">
        <f aca="false">IF($A268="","",IFERROR(INDEX(중복검사!$B$4:$B$6003,MATCH("R"&amp;263,중복목록!$L$6:$L$6005,0)),""))</f>
        <v/>
      </c>
      <c r="C268" s="12" t="str">
        <f aca="false">IF($A268="","",IFERROR(INDEX(중복검사!$C$4:$C$6003,MATCH("R"&amp;263,중복목록!$L$6:$L$6005,0)),""))</f>
        <v/>
      </c>
      <c r="D268" s="12" t="str">
        <f aca="false">IF($A268="","",IFERROR(INDEX(중복검사!$D$4:$D$6003,MATCH("R"&amp;263,중복목록!$L$6:$L$6005,0)),""))</f>
        <v/>
      </c>
      <c r="E268" s="12" t="str">
        <f aca="false">IF($A268="","",IFERROR(IF(INDEX(원본명단!$E$3:$E$6002,MATCH("R"&amp;263,중복목록!$L$6:$L$6005,0))="","",INDEX(원본명단!$E$3:$E$6002,MATCH("R"&amp;263,중복목록!$L$6:$L$6005,0))),""))</f>
        <v/>
      </c>
      <c r="F268" s="11" t="str">
        <f aca="false">IF($A268="","",IFERROR(MAX(INDEX(중복검사!$E$4:$E$6003,MATCH("R"&amp;263,중복목록!$L$6:$L$6005,0)),INDEX(중복검사!$F$4:$F$6003,MATCH("R"&amp;263,중복목록!$L$6:$L$6005,0)),INDEX(중복검사!$G$4:$G$6003,MATCH("R"&amp;263,중복목록!$L$6:$L$6005,0))),""))</f>
        <v/>
      </c>
      <c r="G268" s="11" t="str">
        <f aca="false">IF($A268="","",IFERROR(INDEX(중복검사!$I$4:$I$6003,MATCH("R"&amp;263,중복목록!$L$6:$L$6005,0)),""))</f>
        <v/>
      </c>
      <c r="H268" s="11" t="str">
        <f aca="false">IF($A268="","",IFERROR(INDEX(중복검사!$J$4:$J$6003,MATCH("R"&amp;263,중복목록!$L$6:$L$6005,0)),""))</f>
        <v/>
      </c>
      <c r="J268" s="14" t="b">
        <f aca="false">IF(중복검사!$A266="",FALSE(),중복검사!$H266="중복")</f>
        <v>0</v>
      </c>
      <c r="K268" s="5" t="str">
        <f aca="false">IF($J268=FALSE(),"",COUNTIF($J$6:$J268,TRUE()))</f>
        <v/>
      </c>
      <c r="L268" s="5" t="str">
        <f aca="false">IF($K268="","","R"&amp;$K268)</f>
        <v/>
      </c>
    </row>
    <row r="269" customFormat="false" ht="15" hidden="false" customHeight="true" outlineLevel="0" collapsed="false">
      <c r="A269" s="11" t="str">
        <f aca="false">IFERROR(INDEX(중복검사!$A$4:$A$6003,MATCH("R"&amp;264,중복목록!$L$6:$L$6005,0)),"")</f>
        <v/>
      </c>
      <c r="B269" s="12" t="str">
        <f aca="false">IF($A269="","",IFERROR(INDEX(중복검사!$B$4:$B$6003,MATCH("R"&amp;264,중복목록!$L$6:$L$6005,0)),""))</f>
        <v/>
      </c>
      <c r="C269" s="12" t="str">
        <f aca="false">IF($A269="","",IFERROR(INDEX(중복검사!$C$4:$C$6003,MATCH("R"&amp;264,중복목록!$L$6:$L$6005,0)),""))</f>
        <v/>
      </c>
      <c r="D269" s="12" t="str">
        <f aca="false">IF($A269="","",IFERROR(INDEX(중복검사!$D$4:$D$6003,MATCH("R"&amp;264,중복목록!$L$6:$L$6005,0)),""))</f>
        <v/>
      </c>
      <c r="E269" s="12" t="str">
        <f aca="false">IF($A269="","",IFERROR(IF(INDEX(원본명단!$E$3:$E$6002,MATCH("R"&amp;264,중복목록!$L$6:$L$6005,0))="","",INDEX(원본명단!$E$3:$E$6002,MATCH("R"&amp;264,중복목록!$L$6:$L$6005,0))),""))</f>
        <v/>
      </c>
      <c r="F269" s="11" t="str">
        <f aca="false">IF($A269="","",IFERROR(MAX(INDEX(중복검사!$E$4:$E$6003,MATCH("R"&amp;264,중복목록!$L$6:$L$6005,0)),INDEX(중복검사!$F$4:$F$6003,MATCH("R"&amp;264,중복목록!$L$6:$L$6005,0)),INDEX(중복검사!$G$4:$G$6003,MATCH("R"&amp;264,중복목록!$L$6:$L$6005,0))),""))</f>
        <v/>
      </c>
      <c r="G269" s="11" t="str">
        <f aca="false">IF($A269="","",IFERROR(INDEX(중복검사!$I$4:$I$6003,MATCH("R"&amp;264,중복목록!$L$6:$L$6005,0)),""))</f>
        <v/>
      </c>
      <c r="H269" s="11" t="str">
        <f aca="false">IF($A269="","",IFERROR(INDEX(중복검사!$J$4:$J$6003,MATCH("R"&amp;264,중복목록!$L$6:$L$6005,0)),""))</f>
        <v/>
      </c>
      <c r="J269" s="14" t="b">
        <f aca="false">IF(중복검사!$A267="",FALSE(),중복검사!$H267="중복")</f>
        <v>0</v>
      </c>
      <c r="K269" s="5" t="str">
        <f aca="false">IF($J269=FALSE(),"",COUNTIF($J$6:$J269,TRUE()))</f>
        <v/>
      </c>
      <c r="L269" s="5" t="str">
        <f aca="false">IF($K269="","","R"&amp;$K269)</f>
        <v/>
      </c>
    </row>
    <row r="270" customFormat="false" ht="15" hidden="false" customHeight="true" outlineLevel="0" collapsed="false">
      <c r="A270" s="11" t="str">
        <f aca="false">IFERROR(INDEX(중복검사!$A$4:$A$6003,MATCH("R"&amp;265,중복목록!$L$6:$L$6005,0)),"")</f>
        <v/>
      </c>
      <c r="B270" s="12" t="str">
        <f aca="false">IF($A270="","",IFERROR(INDEX(중복검사!$B$4:$B$6003,MATCH("R"&amp;265,중복목록!$L$6:$L$6005,0)),""))</f>
        <v/>
      </c>
      <c r="C270" s="12" t="str">
        <f aca="false">IF($A270="","",IFERROR(INDEX(중복검사!$C$4:$C$6003,MATCH("R"&amp;265,중복목록!$L$6:$L$6005,0)),""))</f>
        <v/>
      </c>
      <c r="D270" s="12" t="str">
        <f aca="false">IF($A270="","",IFERROR(INDEX(중복검사!$D$4:$D$6003,MATCH("R"&amp;265,중복목록!$L$6:$L$6005,0)),""))</f>
        <v/>
      </c>
      <c r="E270" s="12" t="str">
        <f aca="false">IF($A270="","",IFERROR(IF(INDEX(원본명단!$E$3:$E$6002,MATCH("R"&amp;265,중복목록!$L$6:$L$6005,0))="","",INDEX(원본명단!$E$3:$E$6002,MATCH("R"&amp;265,중복목록!$L$6:$L$6005,0))),""))</f>
        <v/>
      </c>
      <c r="F270" s="11" t="str">
        <f aca="false">IF($A270="","",IFERROR(MAX(INDEX(중복검사!$E$4:$E$6003,MATCH("R"&amp;265,중복목록!$L$6:$L$6005,0)),INDEX(중복검사!$F$4:$F$6003,MATCH("R"&amp;265,중복목록!$L$6:$L$6005,0)),INDEX(중복검사!$G$4:$G$6003,MATCH("R"&amp;265,중복목록!$L$6:$L$6005,0))),""))</f>
        <v/>
      </c>
      <c r="G270" s="11" t="str">
        <f aca="false">IF($A270="","",IFERROR(INDEX(중복검사!$I$4:$I$6003,MATCH("R"&amp;265,중복목록!$L$6:$L$6005,0)),""))</f>
        <v/>
      </c>
      <c r="H270" s="11" t="str">
        <f aca="false">IF($A270="","",IFERROR(INDEX(중복검사!$J$4:$J$6003,MATCH("R"&amp;265,중복목록!$L$6:$L$6005,0)),""))</f>
        <v/>
      </c>
      <c r="J270" s="14" t="b">
        <f aca="false">IF(중복검사!$A268="",FALSE(),중복검사!$H268="중복")</f>
        <v>0</v>
      </c>
      <c r="K270" s="5" t="str">
        <f aca="false">IF($J270=FALSE(),"",COUNTIF($J$6:$J270,TRUE()))</f>
        <v/>
      </c>
      <c r="L270" s="5" t="str">
        <f aca="false">IF($K270="","","R"&amp;$K270)</f>
        <v/>
      </c>
    </row>
    <row r="271" customFormat="false" ht="15" hidden="false" customHeight="true" outlineLevel="0" collapsed="false">
      <c r="A271" s="11" t="str">
        <f aca="false">IFERROR(INDEX(중복검사!$A$4:$A$6003,MATCH("R"&amp;266,중복목록!$L$6:$L$6005,0)),"")</f>
        <v/>
      </c>
      <c r="B271" s="12" t="str">
        <f aca="false">IF($A271="","",IFERROR(INDEX(중복검사!$B$4:$B$6003,MATCH("R"&amp;266,중복목록!$L$6:$L$6005,0)),""))</f>
        <v/>
      </c>
      <c r="C271" s="12" t="str">
        <f aca="false">IF($A271="","",IFERROR(INDEX(중복검사!$C$4:$C$6003,MATCH("R"&amp;266,중복목록!$L$6:$L$6005,0)),""))</f>
        <v/>
      </c>
      <c r="D271" s="12" t="str">
        <f aca="false">IF($A271="","",IFERROR(INDEX(중복검사!$D$4:$D$6003,MATCH("R"&amp;266,중복목록!$L$6:$L$6005,0)),""))</f>
        <v/>
      </c>
      <c r="E271" s="12" t="str">
        <f aca="false">IF($A271="","",IFERROR(IF(INDEX(원본명단!$E$3:$E$6002,MATCH("R"&amp;266,중복목록!$L$6:$L$6005,0))="","",INDEX(원본명단!$E$3:$E$6002,MATCH("R"&amp;266,중복목록!$L$6:$L$6005,0))),""))</f>
        <v/>
      </c>
      <c r="F271" s="11" t="str">
        <f aca="false">IF($A271="","",IFERROR(MAX(INDEX(중복검사!$E$4:$E$6003,MATCH("R"&amp;266,중복목록!$L$6:$L$6005,0)),INDEX(중복검사!$F$4:$F$6003,MATCH("R"&amp;266,중복목록!$L$6:$L$6005,0)),INDEX(중복검사!$G$4:$G$6003,MATCH("R"&amp;266,중복목록!$L$6:$L$6005,0))),""))</f>
        <v/>
      </c>
      <c r="G271" s="11" t="str">
        <f aca="false">IF($A271="","",IFERROR(INDEX(중복검사!$I$4:$I$6003,MATCH("R"&amp;266,중복목록!$L$6:$L$6005,0)),""))</f>
        <v/>
      </c>
      <c r="H271" s="11" t="str">
        <f aca="false">IF($A271="","",IFERROR(INDEX(중복검사!$J$4:$J$6003,MATCH("R"&amp;266,중복목록!$L$6:$L$6005,0)),""))</f>
        <v/>
      </c>
      <c r="J271" s="14" t="b">
        <f aca="false">IF(중복검사!$A269="",FALSE(),중복검사!$H269="중복")</f>
        <v>0</v>
      </c>
      <c r="K271" s="5" t="str">
        <f aca="false">IF($J271=FALSE(),"",COUNTIF($J$6:$J271,TRUE()))</f>
        <v/>
      </c>
      <c r="L271" s="5" t="str">
        <f aca="false">IF($K271="","","R"&amp;$K271)</f>
        <v/>
      </c>
    </row>
    <row r="272" customFormat="false" ht="15" hidden="false" customHeight="true" outlineLevel="0" collapsed="false">
      <c r="A272" s="11" t="str">
        <f aca="false">IFERROR(INDEX(중복검사!$A$4:$A$6003,MATCH("R"&amp;267,중복목록!$L$6:$L$6005,0)),"")</f>
        <v/>
      </c>
      <c r="B272" s="12" t="str">
        <f aca="false">IF($A272="","",IFERROR(INDEX(중복검사!$B$4:$B$6003,MATCH("R"&amp;267,중복목록!$L$6:$L$6005,0)),""))</f>
        <v/>
      </c>
      <c r="C272" s="12" t="str">
        <f aca="false">IF($A272="","",IFERROR(INDEX(중복검사!$C$4:$C$6003,MATCH("R"&amp;267,중복목록!$L$6:$L$6005,0)),""))</f>
        <v/>
      </c>
      <c r="D272" s="12" t="str">
        <f aca="false">IF($A272="","",IFERROR(INDEX(중복검사!$D$4:$D$6003,MATCH("R"&amp;267,중복목록!$L$6:$L$6005,0)),""))</f>
        <v/>
      </c>
      <c r="E272" s="12" t="str">
        <f aca="false">IF($A272="","",IFERROR(IF(INDEX(원본명단!$E$3:$E$6002,MATCH("R"&amp;267,중복목록!$L$6:$L$6005,0))="","",INDEX(원본명단!$E$3:$E$6002,MATCH("R"&amp;267,중복목록!$L$6:$L$6005,0))),""))</f>
        <v/>
      </c>
      <c r="F272" s="11" t="str">
        <f aca="false">IF($A272="","",IFERROR(MAX(INDEX(중복검사!$E$4:$E$6003,MATCH("R"&amp;267,중복목록!$L$6:$L$6005,0)),INDEX(중복검사!$F$4:$F$6003,MATCH("R"&amp;267,중복목록!$L$6:$L$6005,0)),INDEX(중복검사!$G$4:$G$6003,MATCH("R"&amp;267,중복목록!$L$6:$L$6005,0))),""))</f>
        <v/>
      </c>
      <c r="G272" s="11" t="str">
        <f aca="false">IF($A272="","",IFERROR(INDEX(중복검사!$I$4:$I$6003,MATCH("R"&amp;267,중복목록!$L$6:$L$6005,0)),""))</f>
        <v/>
      </c>
      <c r="H272" s="11" t="str">
        <f aca="false">IF($A272="","",IFERROR(INDEX(중복검사!$J$4:$J$6003,MATCH("R"&amp;267,중복목록!$L$6:$L$6005,0)),""))</f>
        <v/>
      </c>
      <c r="J272" s="14" t="b">
        <f aca="false">IF(중복검사!$A270="",FALSE(),중복검사!$H270="중복")</f>
        <v>0</v>
      </c>
      <c r="K272" s="5" t="str">
        <f aca="false">IF($J272=FALSE(),"",COUNTIF($J$6:$J272,TRUE()))</f>
        <v/>
      </c>
      <c r="L272" s="5" t="str">
        <f aca="false">IF($K272="","","R"&amp;$K272)</f>
        <v/>
      </c>
    </row>
    <row r="273" customFormat="false" ht="15" hidden="false" customHeight="true" outlineLevel="0" collapsed="false">
      <c r="A273" s="11" t="str">
        <f aca="false">IFERROR(INDEX(중복검사!$A$4:$A$6003,MATCH("R"&amp;268,중복목록!$L$6:$L$6005,0)),"")</f>
        <v/>
      </c>
      <c r="B273" s="12" t="str">
        <f aca="false">IF($A273="","",IFERROR(INDEX(중복검사!$B$4:$B$6003,MATCH("R"&amp;268,중복목록!$L$6:$L$6005,0)),""))</f>
        <v/>
      </c>
      <c r="C273" s="12" t="str">
        <f aca="false">IF($A273="","",IFERROR(INDEX(중복검사!$C$4:$C$6003,MATCH("R"&amp;268,중복목록!$L$6:$L$6005,0)),""))</f>
        <v/>
      </c>
      <c r="D273" s="12" t="str">
        <f aca="false">IF($A273="","",IFERROR(INDEX(중복검사!$D$4:$D$6003,MATCH("R"&amp;268,중복목록!$L$6:$L$6005,0)),""))</f>
        <v/>
      </c>
      <c r="E273" s="12" t="str">
        <f aca="false">IF($A273="","",IFERROR(IF(INDEX(원본명단!$E$3:$E$6002,MATCH("R"&amp;268,중복목록!$L$6:$L$6005,0))="","",INDEX(원본명단!$E$3:$E$6002,MATCH("R"&amp;268,중복목록!$L$6:$L$6005,0))),""))</f>
        <v/>
      </c>
      <c r="F273" s="11" t="str">
        <f aca="false">IF($A273="","",IFERROR(MAX(INDEX(중복검사!$E$4:$E$6003,MATCH("R"&amp;268,중복목록!$L$6:$L$6005,0)),INDEX(중복검사!$F$4:$F$6003,MATCH("R"&amp;268,중복목록!$L$6:$L$6005,0)),INDEX(중복검사!$G$4:$G$6003,MATCH("R"&amp;268,중복목록!$L$6:$L$6005,0))),""))</f>
        <v/>
      </c>
      <c r="G273" s="11" t="str">
        <f aca="false">IF($A273="","",IFERROR(INDEX(중복검사!$I$4:$I$6003,MATCH("R"&amp;268,중복목록!$L$6:$L$6005,0)),""))</f>
        <v/>
      </c>
      <c r="H273" s="11" t="str">
        <f aca="false">IF($A273="","",IFERROR(INDEX(중복검사!$J$4:$J$6003,MATCH("R"&amp;268,중복목록!$L$6:$L$6005,0)),""))</f>
        <v/>
      </c>
      <c r="J273" s="14" t="b">
        <f aca="false">IF(중복검사!$A271="",FALSE(),중복검사!$H271="중복")</f>
        <v>0</v>
      </c>
      <c r="K273" s="5" t="str">
        <f aca="false">IF($J273=FALSE(),"",COUNTIF($J$6:$J273,TRUE()))</f>
        <v/>
      </c>
      <c r="L273" s="5" t="str">
        <f aca="false">IF($K273="","","R"&amp;$K273)</f>
        <v/>
      </c>
    </row>
    <row r="274" customFormat="false" ht="15" hidden="false" customHeight="true" outlineLevel="0" collapsed="false">
      <c r="A274" s="11" t="str">
        <f aca="false">IFERROR(INDEX(중복검사!$A$4:$A$6003,MATCH("R"&amp;269,중복목록!$L$6:$L$6005,0)),"")</f>
        <v/>
      </c>
      <c r="B274" s="12" t="str">
        <f aca="false">IF($A274="","",IFERROR(INDEX(중복검사!$B$4:$B$6003,MATCH("R"&amp;269,중복목록!$L$6:$L$6005,0)),""))</f>
        <v/>
      </c>
      <c r="C274" s="12" t="str">
        <f aca="false">IF($A274="","",IFERROR(INDEX(중복검사!$C$4:$C$6003,MATCH("R"&amp;269,중복목록!$L$6:$L$6005,0)),""))</f>
        <v/>
      </c>
      <c r="D274" s="12" t="str">
        <f aca="false">IF($A274="","",IFERROR(INDEX(중복검사!$D$4:$D$6003,MATCH("R"&amp;269,중복목록!$L$6:$L$6005,0)),""))</f>
        <v/>
      </c>
      <c r="E274" s="12" t="str">
        <f aca="false">IF($A274="","",IFERROR(IF(INDEX(원본명단!$E$3:$E$6002,MATCH("R"&amp;269,중복목록!$L$6:$L$6005,0))="","",INDEX(원본명단!$E$3:$E$6002,MATCH("R"&amp;269,중복목록!$L$6:$L$6005,0))),""))</f>
        <v/>
      </c>
      <c r="F274" s="11" t="str">
        <f aca="false">IF($A274="","",IFERROR(MAX(INDEX(중복검사!$E$4:$E$6003,MATCH("R"&amp;269,중복목록!$L$6:$L$6005,0)),INDEX(중복검사!$F$4:$F$6003,MATCH("R"&amp;269,중복목록!$L$6:$L$6005,0)),INDEX(중복검사!$G$4:$G$6003,MATCH("R"&amp;269,중복목록!$L$6:$L$6005,0))),""))</f>
        <v/>
      </c>
      <c r="G274" s="11" t="str">
        <f aca="false">IF($A274="","",IFERROR(INDEX(중복검사!$I$4:$I$6003,MATCH("R"&amp;269,중복목록!$L$6:$L$6005,0)),""))</f>
        <v/>
      </c>
      <c r="H274" s="11" t="str">
        <f aca="false">IF($A274="","",IFERROR(INDEX(중복검사!$J$4:$J$6003,MATCH("R"&amp;269,중복목록!$L$6:$L$6005,0)),""))</f>
        <v/>
      </c>
      <c r="J274" s="14" t="b">
        <f aca="false">IF(중복검사!$A272="",FALSE(),중복검사!$H272="중복")</f>
        <v>0</v>
      </c>
      <c r="K274" s="5" t="str">
        <f aca="false">IF($J274=FALSE(),"",COUNTIF($J$6:$J274,TRUE()))</f>
        <v/>
      </c>
      <c r="L274" s="5" t="str">
        <f aca="false">IF($K274="","","R"&amp;$K274)</f>
        <v/>
      </c>
    </row>
    <row r="275" customFormat="false" ht="15" hidden="false" customHeight="true" outlineLevel="0" collapsed="false">
      <c r="A275" s="11" t="str">
        <f aca="false">IFERROR(INDEX(중복검사!$A$4:$A$6003,MATCH("R"&amp;270,중복목록!$L$6:$L$6005,0)),"")</f>
        <v/>
      </c>
      <c r="B275" s="12" t="str">
        <f aca="false">IF($A275="","",IFERROR(INDEX(중복검사!$B$4:$B$6003,MATCH("R"&amp;270,중복목록!$L$6:$L$6005,0)),""))</f>
        <v/>
      </c>
      <c r="C275" s="12" t="str">
        <f aca="false">IF($A275="","",IFERROR(INDEX(중복검사!$C$4:$C$6003,MATCH("R"&amp;270,중복목록!$L$6:$L$6005,0)),""))</f>
        <v/>
      </c>
      <c r="D275" s="12" t="str">
        <f aca="false">IF($A275="","",IFERROR(INDEX(중복검사!$D$4:$D$6003,MATCH("R"&amp;270,중복목록!$L$6:$L$6005,0)),""))</f>
        <v/>
      </c>
      <c r="E275" s="12" t="str">
        <f aca="false">IF($A275="","",IFERROR(IF(INDEX(원본명단!$E$3:$E$6002,MATCH("R"&amp;270,중복목록!$L$6:$L$6005,0))="","",INDEX(원본명단!$E$3:$E$6002,MATCH("R"&amp;270,중복목록!$L$6:$L$6005,0))),""))</f>
        <v/>
      </c>
      <c r="F275" s="11" t="str">
        <f aca="false">IF($A275="","",IFERROR(MAX(INDEX(중복검사!$E$4:$E$6003,MATCH("R"&amp;270,중복목록!$L$6:$L$6005,0)),INDEX(중복검사!$F$4:$F$6003,MATCH("R"&amp;270,중복목록!$L$6:$L$6005,0)),INDEX(중복검사!$G$4:$G$6003,MATCH("R"&amp;270,중복목록!$L$6:$L$6005,0))),""))</f>
        <v/>
      </c>
      <c r="G275" s="11" t="str">
        <f aca="false">IF($A275="","",IFERROR(INDEX(중복검사!$I$4:$I$6003,MATCH("R"&amp;270,중복목록!$L$6:$L$6005,0)),""))</f>
        <v/>
      </c>
      <c r="H275" s="11" t="str">
        <f aca="false">IF($A275="","",IFERROR(INDEX(중복검사!$J$4:$J$6003,MATCH("R"&amp;270,중복목록!$L$6:$L$6005,0)),""))</f>
        <v/>
      </c>
      <c r="J275" s="14" t="b">
        <f aca="false">IF(중복검사!$A273="",FALSE(),중복검사!$H273="중복")</f>
        <v>0</v>
      </c>
      <c r="K275" s="5" t="str">
        <f aca="false">IF($J275=FALSE(),"",COUNTIF($J$6:$J275,TRUE()))</f>
        <v/>
      </c>
      <c r="L275" s="5" t="str">
        <f aca="false">IF($K275="","","R"&amp;$K275)</f>
        <v/>
      </c>
    </row>
    <row r="276" customFormat="false" ht="15" hidden="false" customHeight="true" outlineLevel="0" collapsed="false">
      <c r="A276" s="11" t="str">
        <f aca="false">IFERROR(INDEX(중복검사!$A$4:$A$6003,MATCH("R"&amp;271,중복목록!$L$6:$L$6005,0)),"")</f>
        <v/>
      </c>
      <c r="B276" s="12" t="str">
        <f aca="false">IF($A276="","",IFERROR(INDEX(중복검사!$B$4:$B$6003,MATCH("R"&amp;271,중복목록!$L$6:$L$6005,0)),""))</f>
        <v/>
      </c>
      <c r="C276" s="12" t="str">
        <f aca="false">IF($A276="","",IFERROR(INDEX(중복검사!$C$4:$C$6003,MATCH("R"&amp;271,중복목록!$L$6:$L$6005,0)),""))</f>
        <v/>
      </c>
      <c r="D276" s="12" t="str">
        <f aca="false">IF($A276="","",IFERROR(INDEX(중복검사!$D$4:$D$6003,MATCH("R"&amp;271,중복목록!$L$6:$L$6005,0)),""))</f>
        <v/>
      </c>
      <c r="E276" s="12" t="str">
        <f aca="false">IF($A276="","",IFERROR(IF(INDEX(원본명단!$E$3:$E$6002,MATCH("R"&amp;271,중복목록!$L$6:$L$6005,0))="","",INDEX(원본명단!$E$3:$E$6002,MATCH("R"&amp;271,중복목록!$L$6:$L$6005,0))),""))</f>
        <v/>
      </c>
      <c r="F276" s="11" t="str">
        <f aca="false">IF($A276="","",IFERROR(MAX(INDEX(중복검사!$E$4:$E$6003,MATCH("R"&amp;271,중복목록!$L$6:$L$6005,0)),INDEX(중복검사!$F$4:$F$6003,MATCH("R"&amp;271,중복목록!$L$6:$L$6005,0)),INDEX(중복검사!$G$4:$G$6003,MATCH("R"&amp;271,중복목록!$L$6:$L$6005,0))),""))</f>
        <v/>
      </c>
      <c r="G276" s="11" t="str">
        <f aca="false">IF($A276="","",IFERROR(INDEX(중복검사!$I$4:$I$6003,MATCH("R"&amp;271,중복목록!$L$6:$L$6005,0)),""))</f>
        <v/>
      </c>
      <c r="H276" s="11" t="str">
        <f aca="false">IF($A276="","",IFERROR(INDEX(중복검사!$J$4:$J$6003,MATCH("R"&amp;271,중복목록!$L$6:$L$6005,0)),""))</f>
        <v/>
      </c>
      <c r="J276" s="14" t="b">
        <f aca="false">IF(중복검사!$A274="",FALSE(),중복검사!$H274="중복")</f>
        <v>0</v>
      </c>
      <c r="K276" s="5" t="str">
        <f aca="false">IF($J276=FALSE(),"",COUNTIF($J$6:$J276,TRUE()))</f>
        <v/>
      </c>
      <c r="L276" s="5" t="str">
        <f aca="false">IF($K276="","","R"&amp;$K276)</f>
        <v/>
      </c>
    </row>
    <row r="277" customFormat="false" ht="15" hidden="false" customHeight="true" outlineLevel="0" collapsed="false">
      <c r="A277" s="11" t="str">
        <f aca="false">IFERROR(INDEX(중복검사!$A$4:$A$6003,MATCH("R"&amp;272,중복목록!$L$6:$L$6005,0)),"")</f>
        <v/>
      </c>
      <c r="B277" s="12" t="str">
        <f aca="false">IF($A277="","",IFERROR(INDEX(중복검사!$B$4:$B$6003,MATCH("R"&amp;272,중복목록!$L$6:$L$6005,0)),""))</f>
        <v/>
      </c>
      <c r="C277" s="12" t="str">
        <f aca="false">IF($A277="","",IFERROR(INDEX(중복검사!$C$4:$C$6003,MATCH("R"&amp;272,중복목록!$L$6:$L$6005,0)),""))</f>
        <v/>
      </c>
      <c r="D277" s="12" t="str">
        <f aca="false">IF($A277="","",IFERROR(INDEX(중복검사!$D$4:$D$6003,MATCH("R"&amp;272,중복목록!$L$6:$L$6005,0)),""))</f>
        <v/>
      </c>
      <c r="E277" s="12" t="str">
        <f aca="false">IF($A277="","",IFERROR(IF(INDEX(원본명단!$E$3:$E$6002,MATCH("R"&amp;272,중복목록!$L$6:$L$6005,0))="","",INDEX(원본명단!$E$3:$E$6002,MATCH("R"&amp;272,중복목록!$L$6:$L$6005,0))),""))</f>
        <v/>
      </c>
      <c r="F277" s="11" t="str">
        <f aca="false">IF($A277="","",IFERROR(MAX(INDEX(중복검사!$E$4:$E$6003,MATCH("R"&amp;272,중복목록!$L$6:$L$6005,0)),INDEX(중복검사!$F$4:$F$6003,MATCH("R"&amp;272,중복목록!$L$6:$L$6005,0)),INDEX(중복검사!$G$4:$G$6003,MATCH("R"&amp;272,중복목록!$L$6:$L$6005,0))),""))</f>
        <v/>
      </c>
      <c r="G277" s="11" t="str">
        <f aca="false">IF($A277="","",IFERROR(INDEX(중복검사!$I$4:$I$6003,MATCH("R"&amp;272,중복목록!$L$6:$L$6005,0)),""))</f>
        <v/>
      </c>
      <c r="H277" s="11" t="str">
        <f aca="false">IF($A277="","",IFERROR(INDEX(중복검사!$J$4:$J$6003,MATCH("R"&amp;272,중복목록!$L$6:$L$6005,0)),""))</f>
        <v/>
      </c>
      <c r="J277" s="14" t="b">
        <f aca="false">IF(중복검사!$A275="",FALSE(),중복검사!$H275="중복")</f>
        <v>0</v>
      </c>
      <c r="K277" s="5" t="str">
        <f aca="false">IF($J277=FALSE(),"",COUNTIF($J$6:$J277,TRUE()))</f>
        <v/>
      </c>
      <c r="L277" s="5" t="str">
        <f aca="false">IF($K277="","","R"&amp;$K277)</f>
        <v/>
      </c>
    </row>
    <row r="278" customFormat="false" ht="15" hidden="false" customHeight="true" outlineLevel="0" collapsed="false">
      <c r="A278" s="11" t="str">
        <f aca="false">IFERROR(INDEX(중복검사!$A$4:$A$6003,MATCH("R"&amp;273,중복목록!$L$6:$L$6005,0)),"")</f>
        <v/>
      </c>
      <c r="B278" s="12" t="str">
        <f aca="false">IF($A278="","",IFERROR(INDEX(중복검사!$B$4:$B$6003,MATCH("R"&amp;273,중복목록!$L$6:$L$6005,0)),""))</f>
        <v/>
      </c>
      <c r="C278" s="12" t="str">
        <f aca="false">IF($A278="","",IFERROR(INDEX(중복검사!$C$4:$C$6003,MATCH("R"&amp;273,중복목록!$L$6:$L$6005,0)),""))</f>
        <v/>
      </c>
      <c r="D278" s="12" t="str">
        <f aca="false">IF($A278="","",IFERROR(INDEX(중복검사!$D$4:$D$6003,MATCH("R"&amp;273,중복목록!$L$6:$L$6005,0)),""))</f>
        <v/>
      </c>
      <c r="E278" s="12" t="str">
        <f aca="false">IF($A278="","",IFERROR(IF(INDEX(원본명단!$E$3:$E$6002,MATCH("R"&amp;273,중복목록!$L$6:$L$6005,0))="","",INDEX(원본명단!$E$3:$E$6002,MATCH("R"&amp;273,중복목록!$L$6:$L$6005,0))),""))</f>
        <v/>
      </c>
      <c r="F278" s="11" t="str">
        <f aca="false">IF($A278="","",IFERROR(MAX(INDEX(중복검사!$E$4:$E$6003,MATCH("R"&amp;273,중복목록!$L$6:$L$6005,0)),INDEX(중복검사!$F$4:$F$6003,MATCH("R"&amp;273,중복목록!$L$6:$L$6005,0)),INDEX(중복검사!$G$4:$G$6003,MATCH("R"&amp;273,중복목록!$L$6:$L$6005,0))),""))</f>
        <v/>
      </c>
      <c r="G278" s="11" t="str">
        <f aca="false">IF($A278="","",IFERROR(INDEX(중복검사!$I$4:$I$6003,MATCH("R"&amp;273,중복목록!$L$6:$L$6005,0)),""))</f>
        <v/>
      </c>
      <c r="H278" s="11" t="str">
        <f aca="false">IF($A278="","",IFERROR(INDEX(중복검사!$J$4:$J$6003,MATCH("R"&amp;273,중복목록!$L$6:$L$6005,0)),""))</f>
        <v/>
      </c>
      <c r="J278" s="14" t="b">
        <f aca="false">IF(중복검사!$A276="",FALSE(),중복검사!$H276="중복")</f>
        <v>0</v>
      </c>
      <c r="K278" s="5" t="str">
        <f aca="false">IF($J278=FALSE(),"",COUNTIF($J$6:$J278,TRUE()))</f>
        <v/>
      </c>
      <c r="L278" s="5" t="str">
        <f aca="false">IF($K278="","","R"&amp;$K278)</f>
        <v/>
      </c>
    </row>
    <row r="279" customFormat="false" ht="15" hidden="false" customHeight="true" outlineLevel="0" collapsed="false">
      <c r="A279" s="11" t="str">
        <f aca="false">IFERROR(INDEX(중복검사!$A$4:$A$6003,MATCH("R"&amp;274,중복목록!$L$6:$L$6005,0)),"")</f>
        <v/>
      </c>
      <c r="B279" s="12" t="str">
        <f aca="false">IF($A279="","",IFERROR(INDEX(중복검사!$B$4:$B$6003,MATCH("R"&amp;274,중복목록!$L$6:$L$6005,0)),""))</f>
        <v/>
      </c>
      <c r="C279" s="12" t="str">
        <f aca="false">IF($A279="","",IFERROR(INDEX(중복검사!$C$4:$C$6003,MATCH("R"&amp;274,중복목록!$L$6:$L$6005,0)),""))</f>
        <v/>
      </c>
      <c r="D279" s="12" t="str">
        <f aca="false">IF($A279="","",IFERROR(INDEX(중복검사!$D$4:$D$6003,MATCH("R"&amp;274,중복목록!$L$6:$L$6005,0)),""))</f>
        <v/>
      </c>
      <c r="E279" s="12" t="str">
        <f aca="false">IF($A279="","",IFERROR(IF(INDEX(원본명단!$E$3:$E$6002,MATCH("R"&amp;274,중복목록!$L$6:$L$6005,0))="","",INDEX(원본명단!$E$3:$E$6002,MATCH("R"&amp;274,중복목록!$L$6:$L$6005,0))),""))</f>
        <v/>
      </c>
      <c r="F279" s="11" t="str">
        <f aca="false">IF($A279="","",IFERROR(MAX(INDEX(중복검사!$E$4:$E$6003,MATCH("R"&amp;274,중복목록!$L$6:$L$6005,0)),INDEX(중복검사!$F$4:$F$6003,MATCH("R"&amp;274,중복목록!$L$6:$L$6005,0)),INDEX(중복검사!$G$4:$G$6003,MATCH("R"&amp;274,중복목록!$L$6:$L$6005,0))),""))</f>
        <v/>
      </c>
      <c r="G279" s="11" t="str">
        <f aca="false">IF($A279="","",IFERROR(INDEX(중복검사!$I$4:$I$6003,MATCH("R"&amp;274,중복목록!$L$6:$L$6005,0)),""))</f>
        <v/>
      </c>
      <c r="H279" s="11" t="str">
        <f aca="false">IF($A279="","",IFERROR(INDEX(중복검사!$J$4:$J$6003,MATCH("R"&amp;274,중복목록!$L$6:$L$6005,0)),""))</f>
        <v/>
      </c>
      <c r="J279" s="14" t="b">
        <f aca="false">IF(중복검사!$A277="",FALSE(),중복검사!$H277="중복")</f>
        <v>0</v>
      </c>
      <c r="K279" s="5" t="str">
        <f aca="false">IF($J279=FALSE(),"",COUNTIF($J$6:$J279,TRUE()))</f>
        <v/>
      </c>
      <c r="L279" s="5" t="str">
        <f aca="false">IF($K279="","","R"&amp;$K279)</f>
        <v/>
      </c>
    </row>
    <row r="280" customFormat="false" ht="15" hidden="false" customHeight="true" outlineLevel="0" collapsed="false">
      <c r="A280" s="11" t="str">
        <f aca="false">IFERROR(INDEX(중복검사!$A$4:$A$6003,MATCH("R"&amp;275,중복목록!$L$6:$L$6005,0)),"")</f>
        <v/>
      </c>
      <c r="B280" s="12" t="str">
        <f aca="false">IF($A280="","",IFERROR(INDEX(중복검사!$B$4:$B$6003,MATCH("R"&amp;275,중복목록!$L$6:$L$6005,0)),""))</f>
        <v/>
      </c>
      <c r="C280" s="12" t="str">
        <f aca="false">IF($A280="","",IFERROR(INDEX(중복검사!$C$4:$C$6003,MATCH("R"&amp;275,중복목록!$L$6:$L$6005,0)),""))</f>
        <v/>
      </c>
      <c r="D280" s="12" t="str">
        <f aca="false">IF($A280="","",IFERROR(INDEX(중복검사!$D$4:$D$6003,MATCH("R"&amp;275,중복목록!$L$6:$L$6005,0)),""))</f>
        <v/>
      </c>
      <c r="E280" s="12" t="str">
        <f aca="false">IF($A280="","",IFERROR(IF(INDEX(원본명단!$E$3:$E$6002,MATCH("R"&amp;275,중복목록!$L$6:$L$6005,0))="","",INDEX(원본명단!$E$3:$E$6002,MATCH("R"&amp;275,중복목록!$L$6:$L$6005,0))),""))</f>
        <v/>
      </c>
      <c r="F280" s="11" t="str">
        <f aca="false">IF($A280="","",IFERROR(MAX(INDEX(중복검사!$E$4:$E$6003,MATCH("R"&amp;275,중복목록!$L$6:$L$6005,0)),INDEX(중복검사!$F$4:$F$6003,MATCH("R"&amp;275,중복목록!$L$6:$L$6005,0)),INDEX(중복검사!$G$4:$G$6003,MATCH("R"&amp;275,중복목록!$L$6:$L$6005,0))),""))</f>
        <v/>
      </c>
      <c r="G280" s="11" t="str">
        <f aca="false">IF($A280="","",IFERROR(INDEX(중복검사!$I$4:$I$6003,MATCH("R"&amp;275,중복목록!$L$6:$L$6005,0)),""))</f>
        <v/>
      </c>
      <c r="H280" s="11" t="str">
        <f aca="false">IF($A280="","",IFERROR(INDEX(중복검사!$J$4:$J$6003,MATCH("R"&amp;275,중복목록!$L$6:$L$6005,0)),""))</f>
        <v/>
      </c>
      <c r="J280" s="14" t="b">
        <f aca="false">IF(중복검사!$A278="",FALSE(),중복검사!$H278="중복")</f>
        <v>0</v>
      </c>
      <c r="K280" s="5" t="str">
        <f aca="false">IF($J280=FALSE(),"",COUNTIF($J$6:$J280,TRUE()))</f>
        <v/>
      </c>
      <c r="L280" s="5" t="str">
        <f aca="false">IF($K280="","","R"&amp;$K280)</f>
        <v/>
      </c>
    </row>
    <row r="281" customFormat="false" ht="15" hidden="false" customHeight="true" outlineLevel="0" collapsed="false">
      <c r="A281" s="11" t="str">
        <f aca="false">IFERROR(INDEX(중복검사!$A$4:$A$6003,MATCH("R"&amp;276,중복목록!$L$6:$L$6005,0)),"")</f>
        <v/>
      </c>
      <c r="B281" s="12" t="str">
        <f aca="false">IF($A281="","",IFERROR(INDEX(중복검사!$B$4:$B$6003,MATCH("R"&amp;276,중복목록!$L$6:$L$6005,0)),""))</f>
        <v/>
      </c>
      <c r="C281" s="12" t="str">
        <f aca="false">IF($A281="","",IFERROR(INDEX(중복검사!$C$4:$C$6003,MATCH("R"&amp;276,중복목록!$L$6:$L$6005,0)),""))</f>
        <v/>
      </c>
      <c r="D281" s="12" t="str">
        <f aca="false">IF($A281="","",IFERROR(INDEX(중복검사!$D$4:$D$6003,MATCH("R"&amp;276,중복목록!$L$6:$L$6005,0)),""))</f>
        <v/>
      </c>
      <c r="E281" s="12" t="str">
        <f aca="false">IF($A281="","",IFERROR(IF(INDEX(원본명단!$E$3:$E$6002,MATCH("R"&amp;276,중복목록!$L$6:$L$6005,0))="","",INDEX(원본명단!$E$3:$E$6002,MATCH("R"&amp;276,중복목록!$L$6:$L$6005,0))),""))</f>
        <v/>
      </c>
      <c r="F281" s="11" t="str">
        <f aca="false">IF($A281="","",IFERROR(MAX(INDEX(중복검사!$E$4:$E$6003,MATCH("R"&amp;276,중복목록!$L$6:$L$6005,0)),INDEX(중복검사!$F$4:$F$6003,MATCH("R"&amp;276,중복목록!$L$6:$L$6005,0)),INDEX(중복검사!$G$4:$G$6003,MATCH("R"&amp;276,중복목록!$L$6:$L$6005,0))),""))</f>
        <v/>
      </c>
      <c r="G281" s="11" t="str">
        <f aca="false">IF($A281="","",IFERROR(INDEX(중복검사!$I$4:$I$6003,MATCH("R"&amp;276,중복목록!$L$6:$L$6005,0)),""))</f>
        <v/>
      </c>
      <c r="H281" s="11" t="str">
        <f aca="false">IF($A281="","",IFERROR(INDEX(중복검사!$J$4:$J$6003,MATCH("R"&amp;276,중복목록!$L$6:$L$6005,0)),""))</f>
        <v/>
      </c>
      <c r="J281" s="14" t="b">
        <f aca="false">IF(중복검사!$A279="",FALSE(),중복검사!$H279="중복")</f>
        <v>0</v>
      </c>
      <c r="K281" s="5" t="str">
        <f aca="false">IF($J281=FALSE(),"",COUNTIF($J$6:$J281,TRUE()))</f>
        <v/>
      </c>
      <c r="L281" s="5" t="str">
        <f aca="false">IF($K281="","","R"&amp;$K281)</f>
        <v/>
      </c>
    </row>
    <row r="282" customFormat="false" ht="15" hidden="false" customHeight="true" outlineLevel="0" collapsed="false">
      <c r="A282" s="11" t="str">
        <f aca="false">IFERROR(INDEX(중복검사!$A$4:$A$6003,MATCH("R"&amp;277,중복목록!$L$6:$L$6005,0)),"")</f>
        <v/>
      </c>
      <c r="B282" s="12" t="str">
        <f aca="false">IF($A282="","",IFERROR(INDEX(중복검사!$B$4:$B$6003,MATCH("R"&amp;277,중복목록!$L$6:$L$6005,0)),""))</f>
        <v/>
      </c>
      <c r="C282" s="12" t="str">
        <f aca="false">IF($A282="","",IFERROR(INDEX(중복검사!$C$4:$C$6003,MATCH("R"&amp;277,중복목록!$L$6:$L$6005,0)),""))</f>
        <v/>
      </c>
      <c r="D282" s="12" t="str">
        <f aca="false">IF($A282="","",IFERROR(INDEX(중복검사!$D$4:$D$6003,MATCH("R"&amp;277,중복목록!$L$6:$L$6005,0)),""))</f>
        <v/>
      </c>
      <c r="E282" s="12" t="str">
        <f aca="false">IF($A282="","",IFERROR(IF(INDEX(원본명단!$E$3:$E$6002,MATCH("R"&amp;277,중복목록!$L$6:$L$6005,0))="","",INDEX(원본명단!$E$3:$E$6002,MATCH("R"&amp;277,중복목록!$L$6:$L$6005,0))),""))</f>
        <v/>
      </c>
      <c r="F282" s="11" t="str">
        <f aca="false">IF($A282="","",IFERROR(MAX(INDEX(중복검사!$E$4:$E$6003,MATCH("R"&amp;277,중복목록!$L$6:$L$6005,0)),INDEX(중복검사!$F$4:$F$6003,MATCH("R"&amp;277,중복목록!$L$6:$L$6005,0)),INDEX(중복검사!$G$4:$G$6003,MATCH("R"&amp;277,중복목록!$L$6:$L$6005,0))),""))</f>
        <v/>
      </c>
      <c r="G282" s="11" t="str">
        <f aca="false">IF($A282="","",IFERROR(INDEX(중복검사!$I$4:$I$6003,MATCH("R"&amp;277,중복목록!$L$6:$L$6005,0)),""))</f>
        <v/>
      </c>
      <c r="H282" s="11" t="str">
        <f aca="false">IF($A282="","",IFERROR(INDEX(중복검사!$J$4:$J$6003,MATCH("R"&amp;277,중복목록!$L$6:$L$6005,0)),""))</f>
        <v/>
      </c>
      <c r="J282" s="14" t="b">
        <f aca="false">IF(중복검사!$A280="",FALSE(),중복검사!$H280="중복")</f>
        <v>0</v>
      </c>
      <c r="K282" s="5" t="str">
        <f aca="false">IF($J282=FALSE(),"",COUNTIF($J$6:$J282,TRUE()))</f>
        <v/>
      </c>
      <c r="L282" s="5" t="str">
        <f aca="false">IF($K282="","","R"&amp;$K282)</f>
        <v/>
      </c>
    </row>
    <row r="283" customFormat="false" ht="15" hidden="false" customHeight="true" outlineLevel="0" collapsed="false">
      <c r="A283" s="11" t="str">
        <f aca="false">IFERROR(INDEX(중복검사!$A$4:$A$6003,MATCH("R"&amp;278,중복목록!$L$6:$L$6005,0)),"")</f>
        <v/>
      </c>
      <c r="B283" s="12" t="str">
        <f aca="false">IF($A283="","",IFERROR(INDEX(중복검사!$B$4:$B$6003,MATCH("R"&amp;278,중복목록!$L$6:$L$6005,0)),""))</f>
        <v/>
      </c>
      <c r="C283" s="12" t="str">
        <f aca="false">IF($A283="","",IFERROR(INDEX(중복검사!$C$4:$C$6003,MATCH("R"&amp;278,중복목록!$L$6:$L$6005,0)),""))</f>
        <v/>
      </c>
      <c r="D283" s="12" t="str">
        <f aca="false">IF($A283="","",IFERROR(INDEX(중복검사!$D$4:$D$6003,MATCH("R"&amp;278,중복목록!$L$6:$L$6005,0)),""))</f>
        <v/>
      </c>
      <c r="E283" s="12" t="str">
        <f aca="false">IF($A283="","",IFERROR(IF(INDEX(원본명단!$E$3:$E$6002,MATCH("R"&amp;278,중복목록!$L$6:$L$6005,0))="","",INDEX(원본명단!$E$3:$E$6002,MATCH("R"&amp;278,중복목록!$L$6:$L$6005,0))),""))</f>
        <v/>
      </c>
      <c r="F283" s="11" t="str">
        <f aca="false">IF($A283="","",IFERROR(MAX(INDEX(중복검사!$E$4:$E$6003,MATCH("R"&amp;278,중복목록!$L$6:$L$6005,0)),INDEX(중복검사!$F$4:$F$6003,MATCH("R"&amp;278,중복목록!$L$6:$L$6005,0)),INDEX(중복검사!$G$4:$G$6003,MATCH("R"&amp;278,중복목록!$L$6:$L$6005,0))),""))</f>
        <v/>
      </c>
      <c r="G283" s="11" t="str">
        <f aca="false">IF($A283="","",IFERROR(INDEX(중복검사!$I$4:$I$6003,MATCH("R"&amp;278,중복목록!$L$6:$L$6005,0)),""))</f>
        <v/>
      </c>
      <c r="H283" s="11" t="str">
        <f aca="false">IF($A283="","",IFERROR(INDEX(중복검사!$J$4:$J$6003,MATCH("R"&amp;278,중복목록!$L$6:$L$6005,0)),""))</f>
        <v/>
      </c>
      <c r="J283" s="14" t="b">
        <f aca="false">IF(중복검사!$A281="",FALSE(),중복검사!$H281="중복")</f>
        <v>0</v>
      </c>
      <c r="K283" s="5" t="str">
        <f aca="false">IF($J283=FALSE(),"",COUNTIF($J$6:$J283,TRUE()))</f>
        <v/>
      </c>
      <c r="L283" s="5" t="str">
        <f aca="false">IF($K283="","","R"&amp;$K283)</f>
        <v/>
      </c>
    </row>
    <row r="284" customFormat="false" ht="15" hidden="false" customHeight="true" outlineLevel="0" collapsed="false">
      <c r="A284" s="11" t="str">
        <f aca="false">IFERROR(INDEX(중복검사!$A$4:$A$6003,MATCH("R"&amp;279,중복목록!$L$6:$L$6005,0)),"")</f>
        <v/>
      </c>
      <c r="B284" s="12" t="str">
        <f aca="false">IF($A284="","",IFERROR(INDEX(중복검사!$B$4:$B$6003,MATCH("R"&amp;279,중복목록!$L$6:$L$6005,0)),""))</f>
        <v/>
      </c>
      <c r="C284" s="12" t="str">
        <f aca="false">IF($A284="","",IFERROR(INDEX(중복검사!$C$4:$C$6003,MATCH("R"&amp;279,중복목록!$L$6:$L$6005,0)),""))</f>
        <v/>
      </c>
      <c r="D284" s="12" t="str">
        <f aca="false">IF($A284="","",IFERROR(INDEX(중복검사!$D$4:$D$6003,MATCH("R"&amp;279,중복목록!$L$6:$L$6005,0)),""))</f>
        <v/>
      </c>
      <c r="E284" s="12" t="str">
        <f aca="false">IF($A284="","",IFERROR(IF(INDEX(원본명단!$E$3:$E$6002,MATCH("R"&amp;279,중복목록!$L$6:$L$6005,0))="","",INDEX(원본명단!$E$3:$E$6002,MATCH("R"&amp;279,중복목록!$L$6:$L$6005,0))),""))</f>
        <v/>
      </c>
      <c r="F284" s="11" t="str">
        <f aca="false">IF($A284="","",IFERROR(MAX(INDEX(중복검사!$E$4:$E$6003,MATCH("R"&amp;279,중복목록!$L$6:$L$6005,0)),INDEX(중복검사!$F$4:$F$6003,MATCH("R"&amp;279,중복목록!$L$6:$L$6005,0)),INDEX(중복검사!$G$4:$G$6003,MATCH("R"&amp;279,중복목록!$L$6:$L$6005,0))),""))</f>
        <v/>
      </c>
      <c r="G284" s="11" t="str">
        <f aca="false">IF($A284="","",IFERROR(INDEX(중복검사!$I$4:$I$6003,MATCH("R"&amp;279,중복목록!$L$6:$L$6005,0)),""))</f>
        <v/>
      </c>
      <c r="H284" s="11" t="str">
        <f aca="false">IF($A284="","",IFERROR(INDEX(중복검사!$J$4:$J$6003,MATCH("R"&amp;279,중복목록!$L$6:$L$6005,0)),""))</f>
        <v/>
      </c>
      <c r="J284" s="14" t="b">
        <f aca="false">IF(중복검사!$A282="",FALSE(),중복검사!$H282="중복")</f>
        <v>0</v>
      </c>
      <c r="K284" s="5" t="str">
        <f aca="false">IF($J284=FALSE(),"",COUNTIF($J$6:$J284,TRUE()))</f>
        <v/>
      </c>
      <c r="L284" s="5" t="str">
        <f aca="false">IF($K284="","","R"&amp;$K284)</f>
        <v/>
      </c>
    </row>
    <row r="285" customFormat="false" ht="15" hidden="false" customHeight="true" outlineLevel="0" collapsed="false">
      <c r="A285" s="11" t="str">
        <f aca="false">IFERROR(INDEX(중복검사!$A$4:$A$6003,MATCH("R"&amp;280,중복목록!$L$6:$L$6005,0)),"")</f>
        <v/>
      </c>
      <c r="B285" s="12" t="str">
        <f aca="false">IF($A285="","",IFERROR(INDEX(중복검사!$B$4:$B$6003,MATCH("R"&amp;280,중복목록!$L$6:$L$6005,0)),""))</f>
        <v/>
      </c>
      <c r="C285" s="12" t="str">
        <f aca="false">IF($A285="","",IFERROR(INDEX(중복검사!$C$4:$C$6003,MATCH("R"&amp;280,중복목록!$L$6:$L$6005,0)),""))</f>
        <v/>
      </c>
      <c r="D285" s="12" t="str">
        <f aca="false">IF($A285="","",IFERROR(INDEX(중복검사!$D$4:$D$6003,MATCH("R"&amp;280,중복목록!$L$6:$L$6005,0)),""))</f>
        <v/>
      </c>
      <c r="E285" s="12" t="str">
        <f aca="false">IF($A285="","",IFERROR(IF(INDEX(원본명단!$E$3:$E$6002,MATCH("R"&amp;280,중복목록!$L$6:$L$6005,0))="","",INDEX(원본명단!$E$3:$E$6002,MATCH("R"&amp;280,중복목록!$L$6:$L$6005,0))),""))</f>
        <v/>
      </c>
      <c r="F285" s="11" t="str">
        <f aca="false">IF($A285="","",IFERROR(MAX(INDEX(중복검사!$E$4:$E$6003,MATCH("R"&amp;280,중복목록!$L$6:$L$6005,0)),INDEX(중복검사!$F$4:$F$6003,MATCH("R"&amp;280,중복목록!$L$6:$L$6005,0)),INDEX(중복검사!$G$4:$G$6003,MATCH("R"&amp;280,중복목록!$L$6:$L$6005,0))),""))</f>
        <v/>
      </c>
      <c r="G285" s="11" t="str">
        <f aca="false">IF($A285="","",IFERROR(INDEX(중복검사!$I$4:$I$6003,MATCH("R"&amp;280,중복목록!$L$6:$L$6005,0)),""))</f>
        <v/>
      </c>
      <c r="H285" s="11" t="str">
        <f aca="false">IF($A285="","",IFERROR(INDEX(중복검사!$J$4:$J$6003,MATCH("R"&amp;280,중복목록!$L$6:$L$6005,0)),""))</f>
        <v/>
      </c>
      <c r="J285" s="14" t="b">
        <f aca="false">IF(중복검사!$A283="",FALSE(),중복검사!$H283="중복")</f>
        <v>0</v>
      </c>
      <c r="K285" s="5" t="str">
        <f aca="false">IF($J285=FALSE(),"",COUNTIF($J$6:$J285,TRUE()))</f>
        <v/>
      </c>
      <c r="L285" s="5" t="str">
        <f aca="false">IF($K285="","","R"&amp;$K285)</f>
        <v/>
      </c>
    </row>
    <row r="286" customFormat="false" ht="15" hidden="false" customHeight="true" outlineLevel="0" collapsed="false">
      <c r="A286" s="11" t="str">
        <f aca="false">IFERROR(INDEX(중복검사!$A$4:$A$6003,MATCH("R"&amp;281,중복목록!$L$6:$L$6005,0)),"")</f>
        <v/>
      </c>
      <c r="B286" s="12" t="str">
        <f aca="false">IF($A286="","",IFERROR(INDEX(중복검사!$B$4:$B$6003,MATCH("R"&amp;281,중복목록!$L$6:$L$6005,0)),""))</f>
        <v/>
      </c>
      <c r="C286" s="12" t="str">
        <f aca="false">IF($A286="","",IFERROR(INDEX(중복검사!$C$4:$C$6003,MATCH("R"&amp;281,중복목록!$L$6:$L$6005,0)),""))</f>
        <v/>
      </c>
      <c r="D286" s="12" t="str">
        <f aca="false">IF($A286="","",IFERROR(INDEX(중복검사!$D$4:$D$6003,MATCH("R"&amp;281,중복목록!$L$6:$L$6005,0)),""))</f>
        <v/>
      </c>
      <c r="E286" s="12" t="str">
        <f aca="false">IF($A286="","",IFERROR(IF(INDEX(원본명단!$E$3:$E$6002,MATCH("R"&amp;281,중복목록!$L$6:$L$6005,0))="","",INDEX(원본명단!$E$3:$E$6002,MATCH("R"&amp;281,중복목록!$L$6:$L$6005,0))),""))</f>
        <v/>
      </c>
      <c r="F286" s="11" t="str">
        <f aca="false">IF($A286="","",IFERROR(MAX(INDEX(중복검사!$E$4:$E$6003,MATCH("R"&amp;281,중복목록!$L$6:$L$6005,0)),INDEX(중복검사!$F$4:$F$6003,MATCH("R"&amp;281,중복목록!$L$6:$L$6005,0)),INDEX(중복검사!$G$4:$G$6003,MATCH("R"&amp;281,중복목록!$L$6:$L$6005,0))),""))</f>
        <v/>
      </c>
      <c r="G286" s="11" t="str">
        <f aca="false">IF($A286="","",IFERROR(INDEX(중복검사!$I$4:$I$6003,MATCH("R"&amp;281,중복목록!$L$6:$L$6005,0)),""))</f>
        <v/>
      </c>
      <c r="H286" s="11" t="str">
        <f aca="false">IF($A286="","",IFERROR(INDEX(중복검사!$J$4:$J$6003,MATCH("R"&amp;281,중복목록!$L$6:$L$6005,0)),""))</f>
        <v/>
      </c>
      <c r="J286" s="14" t="b">
        <f aca="false">IF(중복검사!$A284="",FALSE(),중복검사!$H284="중복")</f>
        <v>0</v>
      </c>
      <c r="K286" s="5" t="str">
        <f aca="false">IF($J286=FALSE(),"",COUNTIF($J$6:$J286,TRUE()))</f>
        <v/>
      </c>
      <c r="L286" s="5" t="str">
        <f aca="false">IF($K286="","","R"&amp;$K286)</f>
        <v/>
      </c>
    </row>
    <row r="287" customFormat="false" ht="15" hidden="false" customHeight="true" outlineLevel="0" collapsed="false">
      <c r="A287" s="11" t="str">
        <f aca="false">IFERROR(INDEX(중복검사!$A$4:$A$6003,MATCH("R"&amp;282,중복목록!$L$6:$L$6005,0)),"")</f>
        <v/>
      </c>
      <c r="B287" s="12" t="str">
        <f aca="false">IF($A287="","",IFERROR(INDEX(중복검사!$B$4:$B$6003,MATCH("R"&amp;282,중복목록!$L$6:$L$6005,0)),""))</f>
        <v/>
      </c>
      <c r="C287" s="12" t="str">
        <f aca="false">IF($A287="","",IFERROR(INDEX(중복검사!$C$4:$C$6003,MATCH("R"&amp;282,중복목록!$L$6:$L$6005,0)),""))</f>
        <v/>
      </c>
      <c r="D287" s="12" t="str">
        <f aca="false">IF($A287="","",IFERROR(INDEX(중복검사!$D$4:$D$6003,MATCH("R"&amp;282,중복목록!$L$6:$L$6005,0)),""))</f>
        <v/>
      </c>
      <c r="E287" s="12" t="str">
        <f aca="false">IF($A287="","",IFERROR(IF(INDEX(원본명단!$E$3:$E$6002,MATCH("R"&amp;282,중복목록!$L$6:$L$6005,0))="","",INDEX(원본명단!$E$3:$E$6002,MATCH("R"&amp;282,중복목록!$L$6:$L$6005,0))),""))</f>
        <v/>
      </c>
      <c r="F287" s="11" t="str">
        <f aca="false">IF($A287="","",IFERROR(MAX(INDEX(중복검사!$E$4:$E$6003,MATCH("R"&amp;282,중복목록!$L$6:$L$6005,0)),INDEX(중복검사!$F$4:$F$6003,MATCH("R"&amp;282,중복목록!$L$6:$L$6005,0)),INDEX(중복검사!$G$4:$G$6003,MATCH("R"&amp;282,중복목록!$L$6:$L$6005,0))),""))</f>
        <v/>
      </c>
      <c r="G287" s="11" t="str">
        <f aca="false">IF($A287="","",IFERROR(INDEX(중복검사!$I$4:$I$6003,MATCH("R"&amp;282,중복목록!$L$6:$L$6005,0)),""))</f>
        <v/>
      </c>
      <c r="H287" s="11" t="str">
        <f aca="false">IF($A287="","",IFERROR(INDEX(중복검사!$J$4:$J$6003,MATCH("R"&amp;282,중복목록!$L$6:$L$6005,0)),""))</f>
        <v/>
      </c>
      <c r="J287" s="14" t="b">
        <f aca="false">IF(중복검사!$A285="",FALSE(),중복검사!$H285="중복")</f>
        <v>0</v>
      </c>
      <c r="K287" s="5" t="str">
        <f aca="false">IF($J287=FALSE(),"",COUNTIF($J$6:$J287,TRUE()))</f>
        <v/>
      </c>
      <c r="L287" s="5" t="str">
        <f aca="false">IF($K287="","","R"&amp;$K287)</f>
        <v/>
      </c>
    </row>
    <row r="288" customFormat="false" ht="15" hidden="false" customHeight="true" outlineLevel="0" collapsed="false">
      <c r="A288" s="11" t="str">
        <f aca="false">IFERROR(INDEX(중복검사!$A$4:$A$6003,MATCH("R"&amp;283,중복목록!$L$6:$L$6005,0)),"")</f>
        <v/>
      </c>
      <c r="B288" s="12" t="str">
        <f aca="false">IF($A288="","",IFERROR(INDEX(중복검사!$B$4:$B$6003,MATCH("R"&amp;283,중복목록!$L$6:$L$6005,0)),""))</f>
        <v/>
      </c>
      <c r="C288" s="12" t="str">
        <f aca="false">IF($A288="","",IFERROR(INDEX(중복검사!$C$4:$C$6003,MATCH("R"&amp;283,중복목록!$L$6:$L$6005,0)),""))</f>
        <v/>
      </c>
      <c r="D288" s="12" t="str">
        <f aca="false">IF($A288="","",IFERROR(INDEX(중복검사!$D$4:$D$6003,MATCH("R"&amp;283,중복목록!$L$6:$L$6005,0)),""))</f>
        <v/>
      </c>
      <c r="E288" s="12" t="str">
        <f aca="false">IF($A288="","",IFERROR(IF(INDEX(원본명단!$E$3:$E$6002,MATCH("R"&amp;283,중복목록!$L$6:$L$6005,0))="","",INDEX(원본명단!$E$3:$E$6002,MATCH("R"&amp;283,중복목록!$L$6:$L$6005,0))),""))</f>
        <v/>
      </c>
      <c r="F288" s="11" t="str">
        <f aca="false">IF($A288="","",IFERROR(MAX(INDEX(중복검사!$E$4:$E$6003,MATCH("R"&amp;283,중복목록!$L$6:$L$6005,0)),INDEX(중복검사!$F$4:$F$6003,MATCH("R"&amp;283,중복목록!$L$6:$L$6005,0)),INDEX(중복검사!$G$4:$G$6003,MATCH("R"&amp;283,중복목록!$L$6:$L$6005,0))),""))</f>
        <v/>
      </c>
      <c r="G288" s="11" t="str">
        <f aca="false">IF($A288="","",IFERROR(INDEX(중복검사!$I$4:$I$6003,MATCH("R"&amp;283,중복목록!$L$6:$L$6005,0)),""))</f>
        <v/>
      </c>
      <c r="H288" s="11" t="str">
        <f aca="false">IF($A288="","",IFERROR(INDEX(중복검사!$J$4:$J$6003,MATCH("R"&amp;283,중복목록!$L$6:$L$6005,0)),""))</f>
        <v/>
      </c>
      <c r="J288" s="14" t="b">
        <f aca="false">IF(중복검사!$A286="",FALSE(),중복검사!$H286="중복")</f>
        <v>0</v>
      </c>
      <c r="K288" s="5" t="str">
        <f aca="false">IF($J288=FALSE(),"",COUNTIF($J$6:$J288,TRUE()))</f>
        <v/>
      </c>
      <c r="L288" s="5" t="str">
        <f aca="false">IF($K288="","","R"&amp;$K288)</f>
        <v/>
      </c>
    </row>
    <row r="289" customFormat="false" ht="15" hidden="false" customHeight="true" outlineLevel="0" collapsed="false">
      <c r="A289" s="11" t="str">
        <f aca="false">IFERROR(INDEX(중복검사!$A$4:$A$6003,MATCH("R"&amp;284,중복목록!$L$6:$L$6005,0)),"")</f>
        <v/>
      </c>
      <c r="B289" s="12" t="str">
        <f aca="false">IF($A289="","",IFERROR(INDEX(중복검사!$B$4:$B$6003,MATCH("R"&amp;284,중복목록!$L$6:$L$6005,0)),""))</f>
        <v/>
      </c>
      <c r="C289" s="12" t="str">
        <f aca="false">IF($A289="","",IFERROR(INDEX(중복검사!$C$4:$C$6003,MATCH("R"&amp;284,중복목록!$L$6:$L$6005,0)),""))</f>
        <v/>
      </c>
      <c r="D289" s="12" t="str">
        <f aca="false">IF($A289="","",IFERROR(INDEX(중복검사!$D$4:$D$6003,MATCH("R"&amp;284,중복목록!$L$6:$L$6005,0)),""))</f>
        <v/>
      </c>
      <c r="E289" s="12" t="str">
        <f aca="false">IF($A289="","",IFERROR(IF(INDEX(원본명단!$E$3:$E$6002,MATCH("R"&amp;284,중복목록!$L$6:$L$6005,0))="","",INDEX(원본명단!$E$3:$E$6002,MATCH("R"&amp;284,중복목록!$L$6:$L$6005,0))),""))</f>
        <v/>
      </c>
      <c r="F289" s="11" t="str">
        <f aca="false">IF($A289="","",IFERROR(MAX(INDEX(중복검사!$E$4:$E$6003,MATCH("R"&amp;284,중복목록!$L$6:$L$6005,0)),INDEX(중복검사!$F$4:$F$6003,MATCH("R"&amp;284,중복목록!$L$6:$L$6005,0)),INDEX(중복검사!$G$4:$G$6003,MATCH("R"&amp;284,중복목록!$L$6:$L$6005,0))),""))</f>
        <v/>
      </c>
      <c r="G289" s="11" t="str">
        <f aca="false">IF($A289="","",IFERROR(INDEX(중복검사!$I$4:$I$6003,MATCH("R"&amp;284,중복목록!$L$6:$L$6005,0)),""))</f>
        <v/>
      </c>
      <c r="H289" s="11" t="str">
        <f aca="false">IF($A289="","",IFERROR(INDEX(중복검사!$J$4:$J$6003,MATCH("R"&amp;284,중복목록!$L$6:$L$6005,0)),""))</f>
        <v/>
      </c>
      <c r="J289" s="14" t="b">
        <f aca="false">IF(중복검사!$A287="",FALSE(),중복검사!$H287="중복")</f>
        <v>0</v>
      </c>
      <c r="K289" s="5" t="str">
        <f aca="false">IF($J289=FALSE(),"",COUNTIF($J$6:$J289,TRUE()))</f>
        <v/>
      </c>
      <c r="L289" s="5" t="str">
        <f aca="false">IF($K289="","","R"&amp;$K289)</f>
        <v/>
      </c>
    </row>
    <row r="290" customFormat="false" ht="15" hidden="false" customHeight="true" outlineLevel="0" collapsed="false">
      <c r="A290" s="11" t="str">
        <f aca="false">IFERROR(INDEX(중복검사!$A$4:$A$6003,MATCH("R"&amp;285,중복목록!$L$6:$L$6005,0)),"")</f>
        <v/>
      </c>
      <c r="B290" s="12" t="str">
        <f aca="false">IF($A290="","",IFERROR(INDEX(중복검사!$B$4:$B$6003,MATCH("R"&amp;285,중복목록!$L$6:$L$6005,0)),""))</f>
        <v/>
      </c>
      <c r="C290" s="12" t="str">
        <f aca="false">IF($A290="","",IFERROR(INDEX(중복검사!$C$4:$C$6003,MATCH("R"&amp;285,중복목록!$L$6:$L$6005,0)),""))</f>
        <v/>
      </c>
      <c r="D290" s="12" t="str">
        <f aca="false">IF($A290="","",IFERROR(INDEX(중복검사!$D$4:$D$6003,MATCH("R"&amp;285,중복목록!$L$6:$L$6005,0)),""))</f>
        <v/>
      </c>
      <c r="E290" s="12" t="str">
        <f aca="false">IF($A290="","",IFERROR(IF(INDEX(원본명단!$E$3:$E$6002,MATCH("R"&amp;285,중복목록!$L$6:$L$6005,0))="","",INDEX(원본명단!$E$3:$E$6002,MATCH("R"&amp;285,중복목록!$L$6:$L$6005,0))),""))</f>
        <v/>
      </c>
      <c r="F290" s="11" t="str">
        <f aca="false">IF($A290="","",IFERROR(MAX(INDEX(중복검사!$E$4:$E$6003,MATCH("R"&amp;285,중복목록!$L$6:$L$6005,0)),INDEX(중복검사!$F$4:$F$6003,MATCH("R"&amp;285,중복목록!$L$6:$L$6005,0)),INDEX(중복검사!$G$4:$G$6003,MATCH("R"&amp;285,중복목록!$L$6:$L$6005,0))),""))</f>
        <v/>
      </c>
      <c r="G290" s="11" t="str">
        <f aca="false">IF($A290="","",IFERROR(INDEX(중복검사!$I$4:$I$6003,MATCH("R"&amp;285,중복목록!$L$6:$L$6005,0)),""))</f>
        <v/>
      </c>
      <c r="H290" s="11" t="str">
        <f aca="false">IF($A290="","",IFERROR(INDEX(중복검사!$J$4:$J$6003,MATCH("R"&amp;285,중복목록!$L$6:$L$6005,0)),""))</f>
        <v/>
      </c>
      <c r="J290" s="14" t="b">
        <f aca="false">IF(중복검사!$A288="",FALSE(),중복검사!$H288="중복")</f>
        <v>0</v>
      </c>
      <c r="K290" s="5" t="str">
        <f aca="false">IF($J290=FALSE(),"",COUNTIF($J$6:$J290,TRUE()))</f>
        <v/>
      </c>
      <c r="L290" s="5" t="str">
        <f aca="false">IF($K290="","","R"&amp;$K290)</f>
        <v/>
      </c>
    </row>
    <row r="291" customFormat="false" ht="15" hidden="false" customHeight="true" outlineLevel="0" collapsed="false">
      <c r="A291" s="11" t="str">
        <f aca="false">IFERROR(INDEX(중복검사!$A$4:$A$6003,MATCH("R"&amp;286,중복목록!$L$6:$L$6005,0)),"")</f>
        <v/>
      </c>
      <c r="B291" s="12" t="str">
        <f aca="false">IF($A291="","",IFERROR(INDEX(중복검사!$B$4:$B$6003,MATCH("R"&amp;286,중복목록!$L$6:$L$6005,0)),""))</f>
        <v/>
      </c>
      <c r="C291" s="12" t="str">
        <f aca="false">IF($A291="","",IFERROR(INDEX(중복검사!$C$4:$C$6003,MATCH("R"&amp;286,중복목록!$L$6:$L$6005,0)),""))</f>
        <v/>
      </c>
      <c r="D291" s="12" t="str">
        <f aca="false">IF($A291="","",IFERROR(INDEX(중복검사!$D$4:$D$6003,MATCH("R"&amp;286,중복목록!$L$6:$L$6005,0)),""))</f>
        <v/>
      </c>
      <c r="E291" s="12" t="str">
        <f aca="false">IF($A291="","",IFERROR(IF(INDEX(원본명단!$E$3:$E$6002,MATCH("R"&amp;286,중복목록!$L$6:$L$6005,0))="","",INDEX(원본명단!$E$3:$E$6002,MATCH("R"&amp;286,중복목록!$L$6:$L$6005,0))),""))</f>
        <v/>
      </c>
      <c r="F291" s="11" t="str">
        <f aca="false">IF($A291="","",IFERROR(MAX(INDEX(중복검사!$E$4:$E$6003,MATCH("R"&amp;286,중복목록!$L$6:$L$6005,0)),INDEX(중복검사!$F$4:$F$6003,MATCH("R"&amp;286,중복목록!$L$6:$L$6005,0)),INDEX(중복검사!$G$4:$G$6003,MATCH("R"&amp;286,중복목록!$L$6:$L$6005,0))),""))</f>
        <v/>
      </c>
      <c r="G291" s="11" t="str">
        <f aca="false">IF($A291="","",IFERROR(INDEX(중복검사!$I$4:$I$6003,MATCH("R"&amp;286,중복목록!$L$6:$L$6005,0)),""))</f>
        <v/>
      </c>
      <c r="H291" s="11" t="str">
        <f aca="false">IF($A291="","",IFERROR(INDEX(중복검사!$J$4:$J$6003,MATCH("R"&amp;286,중복목록!$L$6:$L$6005,0)),""))</f>
        <v/>
      </c>
      <c r="J291" s="14" t="b">
        <f aca="false">IF(중복검사!$A289="",FALSE(),중복검사!$H289="중복")</f>
        <v>0</v>
      </c>
      <c r="K291" s="5" t="str">
        <f aca="false">IF($J291=FALSE(),"",COUNTIF($J$6:$J291,TRUE()))</f>
        <v/>
      </c>
      <c r="L291" s="5" t="str">
        <f aca="false">IF($K291="","","R"&amp;$K291)</f>
        <v/>
      </c>
    </row>
    <row r="292" customFormat="false" ht="15" hidden="false" customHeight="true" outlineLevel="0" collapsed="false">
      <c r="A292" s="11" t="str">
        <f aca="false">IFERROR(INDEX(중복검사!$A$4:$A$6003,MATCH("R"&amp;287,중복목록!$L$6:$L$6005,0)),"")</f>
        <v/>
      </c>
      <c r="B292" s="12" t="str">
        <f aca="false">IF($A292="","",IFERROR(INDEX(중복검사!$B$4:$B$6003,MATCH("R"&amp;287,중복목록!$L$6:$L$6005,0)),""))</f>
        <v/>
      </c>
      <c r="C292" s="12" t="str">
        <f aca="false">IF($A292="","",IFERROR(INDEX(중복검사!$C$4:$C$6003,MATCH("R"&amp;287,중복목록!$L$6:$L$6005,0)),""))</f>
        <v/>
      </c>
      <c r="D292" s="12" t="str">
        <f aca="false">IF($A292="","",IFERROR(INDEX(중복검사!$D$4:$D$6003,MATCH("R"&amp;287,중복목록!$L$6:$L$6005,0)),""))</f>
        <v/>
      </c>
      <c r="E292" s="12" t="str">
        <f aca="false">IF($A292="","",IFERROR(IF(INDEX(원본명단!$E$3:$E$6002,MATCH("R"&amp;287,중복목록!$L$6:$L$6005,0))="","",INDEX(원본명단!$E$3:$E$6002,MATCH("R"&amp;287,중복목록!$L$6:$L$6005,0))),""))</f>
        <v/>
      </c>
      <c r="F292" s="11" t="str">
        <f aca="false">IF($A292="","",IFERROR(MAX(INDEX(중복검사!$E$4:$E$6003,MATCH("R"&amp;287,중복목록!$L$6:$L$6005,0)),INDEX(중복검사!$F$4:$F$6003,MATCH("R"&amp;287,중복목록!$L$6:$L$6005,0)),INDEX(중복검사!$G$4:$G$6003,MATCH("R"&amp;287,중복목록!$L$6:$L$6005,0))),""))</f>
        <v/>
      </c>
      <c r="G292" s="11" t="str">
        <f aca="false">IF($A292="","",IFERROR(INDEX(중복검사!$I$4:$I$6003,MATCH("R"&amp;287,중복목록!$L$6:$L$6005,0)),""))</f>
        <v/>
      </c>
      <c r="H292" s="11" t="str">
        <f aca="false">IF($A292="","",IFERROR(INDEX(중복검사!$J$4:$J$6003,MATCH("R"&amp;287,중복목록!$L$6:$L$6005,0)),""))</f>
        <v/>
      </c>
      <c r="J292" s="14" t="b">
        <f aca="false">IF(중복검사!$A290="",FALSE(),중복검사!$H290="중복")</f>
        <v>0</v>
      </c>
      <c r="K292" s="5" t="str">
        <f aca="false">IF($J292=FALSE(),"",COUNTIF($J$6:$J292,TRUE()))</f>
        <v/>
      </c>
      <c r="L292" s="5" t="str">
        <f aca="false">IF($K292="","","R"&amp;$K292)</f>
        <v/>
      </c>
    </row>
    <row r="293" customFormat="false" ht="15" hidden="false" customHeight="true" outlineLevel="0" collapsed="false">
      <c r="A293" s="11" t="str">
        <f aca="false">IFERROR(INDEX(중복검사!$A$4:$A$6003,MATCH("R"&amp;288,중복목록!$L$6:$L$6005,0)),"")</f>
        <v/>
      </c>
      <c r="B293" s="12" t="str">
        <f aca="false">IF($A293="","",IFERROR(INDEX(중복검사!$B$4:$B$6003,MATCH("R"&amp;288,중복목록!$L$6:$L$6005,0)),""))</f>
        <v/>
      </c>
      <c r="C293" s="12" t="str">
        <f aca="false">IF($A293="","",IFERROR(INDEX(중복검사!$C$4:$C$6003,MATCH("R"&amp;288,중복목록!$L$6:$L$6005,0)),""))</f>
        <v/>
      </c>
      <c r="D293" s="12" t="str">
        <f aca="false">IF($A293="","",IFERROR(INDEX(중복검사!$D$4:$D$6003,MATCH("R"&amp;288,중복목록!$L$6:$L$6005,0)),""))</f>
        <v/>
      </c>
      <c r="E293" s="12" t="str">
        <f aca="false">IF($A293="","",IFERROR(IF(INDEX(원본명단!$E$3:$E$6002,MATCH("R"&amp;288,중복목록!$L$6:$L$6005,0))="","",INDEX(원본명단!$E$3:$E$6002,MATCH("R"&amp;288,중복목록!$L$6:$L$6005,0))),""))</f>
        <v/>
      </c>
      <c r="F293" s="11" t="str">
        <f aca="false">IF($A293="","",IFERROR(MAX(INDEX(중복검사!$E$4:$E$6003,MATCH("R"&amp;288,중복목록!$L$6:$L$6005,0)),INDEX(중복검사!$F$4:$F$6003,MATCH("R"&amp;288,중복목록!$L$6:$L$6005,0)),INDEX(중복검사!$G$4:$G$6003,MATCH("R"&amp;288,중복목록!$L$6:$L$6005,0))),""))</f>
        <v/>
      </c>
      <c r="G293" s="11" t="str">
        <f aca="false">IF($A293="","",IFERROR(INDEX(중복검사!$I$4:$I$6003,MATCH("R"&amp;288,중복목록!$L$6:$L$6005,0)),""))</f>
        <v/>
      </c>
      <c r="H293" s="11" t="str">
        <f aca="false">IF($A293="","",IFERROR(INDEX(중복검사!$J$4:$J$6003,MATCH("R"&amp;288,중복목록!$L$6:$L$6005,0)),""))</f>
        <v/>
      </c>
      <c r="J293" s="14" t="b">
        <f aca="false">IF(중복검사!$A291="",FALSE(),중복검사!$H291="중복")</f>
        <v>0</v>
      </c>
      <c r="K293" s="5" t="str">
        <f aca="false">IF($J293=FALSE(),"",COUNTIF($J$6:$J293,TRUE()))</f>
        <v/>
      </c>
      <c r="L293" s="5" t="str">
        <f aca="false">IF($K293="","","R"&amp;$K293)</f>
        <v/>
      </c>
    </row>
    <row r="294" customFormat="false" ht="15" hidden="false" customHeight="true" outlineLevel="0" collapsed="false">
      <c r="A294" s="11" t="str">
        <f aca="false">IFERROR(INDEX(중복검사!$A$4:$A$6003,MATCH("R"&amp;289,중복목록!$L$6:$L$6005,0)),"")</f>
        <v/>
      </c>
      <c r="B294" s="12" t="str">
        <f aca="false">IF($A294="","",IFERROR(INDEX(중복검사!$B$4:$B$6003,MATCH("R"&amp;289,중복목록!$L$6:$L$6005,0)),""))</f>
        <v/>
      </c>
      <c r="C294" s="12" t="str">
        <f aca="false">IF($A294="","",IFERROR(INDEX(중복검사!$C$4:$C$6003,MATCH("R"&amp;289,중복목록!$L$6:$L$6005,0)),""))</f>
        <v/>
      </c>
      <c r="D294" s="12" t="str">
        <f aca="false">IF($A294="","",IFERROR(INDEX(중복검사!$D$4:$D$6003,MATCH("R"&amp;289,중복목록!$L$6:$L$6005,0)),""))</f>
        <v/>
      </c>
      <c r="E294" s="12" t="str">
        <f aca="false">IF($A294="","",IFERROR(IF(INDEX(원본명단!$E$3:$E$6002,MATCH("R"&amp;289,중복목록!$L$6:$L$6005,0))="","",INDEX(원본명단!$E$3:$E$6002,MATCH("R"&amp;289,중복목록!$L$6:$L$6005,0))),""))</f>
        <v/>
      </c>
      <c r="F294" s="11" t="str">
        <f aca="false">IF($A294="","",IFERROR(MAX(INDEX(중복검사!$E$4:$E$6003,MATCH("R"&amp;289,중복목록!$L$6:$L$6005,0)),INDEX(중복검사!$F$4:$F$6003,MATCH("R"&amp;289,중복목록!$L$6:$L$6005,0)),INDEX(중복검사!$G$4:$G$6003,MATCH("R"&amp;289,중복목록!$L$6:$L$6005,0))),""))</f>
        <v/>
      </c>
      <c r="G294" s="11" t="str">
        <f aca="false">IF($A294="","",IFERROR(INDEX(중복검사!$I$4:$I$6003,MATCH("R"&amp;289,중복목록!$L$6:$L$6005,0)),""))</f>
        <v/>
      </c>
      <c r="H294" s="11" t="str">
        <f aca="false">IF($A294="","",IFERROR(INDEX(중복검사!$J$4:$J$6003,MATCH("R"&amp;289,중복목록!$L$6:$L$6005,0)),""))</f>
        <v/>
      </c>
      <c r="J294" s="14" t="b">
        <f aca="false">IF(중복검사!$A292="",FALSE(),중복검사!$H292="중복")</f>
        <v>0</v>
      </c>
      <c r="K294" s="5" t="str">
        <f aca="false">IF($J294=FALSE(),"",COUNTIF($J$6:$J294,TRUE()))</f>
        <v/>
      </c>
      <c r="L294" s="5" t="str">
        <f aca="false">IF($K294="","","R"&amp;$K294)</f>
        <v/>
      </c>
    </row>
    <row r="295" customFormat="false" ht="15" hidden="false" customHeight="true" outlineLevel="0" collapsed="false">
      <c r="A295" s="11" t="str">
        <f aca="false">IFERROR(INDEX(중복검사!$A$4:$A$6003,MATCH("R"&amp;290,중복목록!$L$6:$L$6005,0)),"")</f>
        <v/>
      </c>
      <c r="B295" s="12" t="str">
        <f aca="false">IF($A295="","",IFERROR(INDEX(중복검사!$B$4:$B$6003,MATCH("R"&amp;290,중복목록!$L$6:$L$6005,0)),""))</f>
        <v/>
      </c>
      <c r="C295" s="12" t="str">
        <f aca="false">IF($A295="","",IFERROR(INDEX(중복검사!$C$4:$C$6003,MATCH("R"&amp;290,중복목록!$L$6:$L$6005,0)),""))</f>
        <v/>
      </c>
      <c r="D295" s="12" t="str">
        <f aca="false">IF($A295="","",IFERROR(INDEX(중복검사!$D$4:$D$6003,MATCH("R"&amp;290,중복목록!$L$6:$L$6005,0)),""))</f>
        <v/>
      </c>
      <c r="E295" s="12" t="str">
        <f aca="false">IF($A295="","",IFERROR(IF(INDEX(원본명단!$E$3:$E$6002,MATCH("R"&amp;290,중복목록!$L$6:$L$6005,0))="","",INDEX(원본명단!$E$3:$E$6002,MATCH("R"&amp;290,중복목록!$L$6:$L$6005,0))),""))</f>
        <v/>
      </c>
      <c r="F295" s="11" t="str">
        <f aca="false">IF($A295="","",IFERROR(MAX(INDEX(중복검사!$E$4:$E$6003,MATCH("R"&amp;290,중복목록!$L$6:$L$6005,0)),INDEX(중복검사!$F$4:$F$6003,MATCH("R"&amp;290,중복목록!$L$6:$L$6005,0)),INDEX(중복검사!$G$4:$G$6003,MATCH("R"&amp;290,중복목록!$L$6:$L$6005,0))),""))</f>
        <v/>
      </c>
      <c r="G295" s="11" t="str">
        <f aca="false">IF($A295="","",IFERROR(INDEX(중복검사!$I$4:$I$6003,MATCH("R"&amp;290,중복목록!$L$6:$L$6005,0)),""))</f>
        <v/>
      </c>
      <c r="H295" s="11" t="str">
        <f aca="false">IF($A295="","",IFERROR(INDEX(중복검사!$J$4:$J$6003,MATCH("R"&amp;290,중복목록!$L$6:$L$6005,0)),""))</f>
        <v/>
      </c>
      <c r="J295" s="14" t="b">
        <f aca="false">IF(중복검사!$A293="",FALSE(),중복검사!$H293="중복")</f>
        <v>0</v>
      </c>
      <c r="K295" s="5" t="str">
        <f aca="false">IF($J295=FALSE(),"",COUNTIF($J$6:$J295,TRUE()))</f>
        <v/>
      </c>
      <c r="L295" s="5" t="str">
        <f aca="false">IF($K295="","","R"&amp;$K295)</f>
        <v/>
      </c>
    </row>
    <row r="296" customFormat="false" ht="15" hidden="false" customHeight="true" outlineLevel="0" collapsed="false">
      <c r="A296" s="11" t="str">
        <f aca="false">IFERROR(INDEX(중복검사!$A$4:$A$6003,MATCH("R"&amp;291,중복목록!$L$6:$L$6005,0)),"")</f>
        <v/>
      </c>
      <c r="B296" s="12" t="str">
        <f aca="false">IF($A296="","",IFERROR(INDEX(중복검사!$B$4:$B$6003,MATCH("R"&amp;291,중복목록!$L$6:$L$6005,0)),""))</f>
        <v/>
      </c>
      <c r="C296" s="12" t="str">
        <f aca="false">IF($A296="","",IFERROR(INDEX(중복검사!$C$4:$C$6003,MATCH("R"&amp;291,중복목록!$L$6:$L$6005,0)),""))</f>
        <v/>
      </c>
      <c r="D296" s="12" t="str">
        <f aca="false">IF($A296="","",IFERROR(INDEX(중복검사!$D$4:$D$6003,MATCH("R"&amp;291,중복목록!$L$6:$L$6005,0)),""))</f>
        <v/>
      </c>
      <c r="E296" s="12" t="str">
        <f aca="false">IF($A296="","",IFERROR(IF(INDEX(원본명단!$E$3:$E$6002,MATCH("R"&amp;291,중복목록!$L$6:$L$6005,0))="","",INDEX(원본명단!$E$3:$E$6002,MATCH("R"&amp;291,중복목록!$L$6:$L$6005,0))),""))</f>
        <v/>
      </c>
      <c r="F296" s="11" t="str">
        <f aca="false">IF($A296="","",IFERROR(MAX(INDEX(중복검사!$E$4:$E$6003,MATCH("R"&amp;291,중복목록!$L$6:$L$6005,0)),INDEX(중복검사!$F$4:$F$6003,MATCH("R"&amp;291,중복목록!$L$6:$L$6005,0)),INDEX(중복검사!$G$4:$G$6003,MATCH("R"&amp;291,중복목록!$L$6:$L$6005,0))),""))</f>
        <v/>
      </c>
      <c r="G296" s="11" t="str">
        <f aca="false">IF($A296="","",IFERROR(INDEX(중복검사!$I$4:$I$6003,MATCH("R"&amp;291,중복목록!$L$6:$L$6005,0)),""))</f>
        <v/>
      </c>
      <c r="H296" s="11" t="str">
        <f aca="false">IF($A296="","",IFERROR(INDEX(중복검사!$J$4:$J$6003,MATCH("R"&amp;291,중복목록!$L$6:$L$6005,0)),""))</f>
        <v/>
      </c>
      <c r="J296" s="14" t="b">
        <f aca="false">IF(중복검사!$A294="",FALSE(),중복검사!$H294="중복")</f>
        <v>0</v>
      </c>
      <c r="K296" s="5" t="str">
        <f aca="false">IF($J296=FALSE(),"",COUNTIF($J$6:$J296,TRUE()))</f>
        <v/>
      </c>
      <c r="L296" s="5" t="str">
        <f aca="false">IF($K296="","","R"&amp;$K296)</f>
        <v/>
      </c>
    </row>
    <row r="297" customFormat="false" ht="15" hidden="false" customHeight="true" outlineLevel="0" collapsed="false">
      <c r="A297" s="11" t="str">
        <f aca="false">IFERROR(INDEX(중복검사!$A$4:$A$6003,MATCH("R"&amp;292,중복목록!$L$6:$L$6005,0)),"")</f>
        <v/>
      </c>
      <c r="B297" s="12" t="str">
        <f aca="false">IF($A297="","",IFERROR(INDEX(중복검사!$B$4:$B$6003,MATCH("R"&amp;292,중복목록!$L$6:$L$6005,0)),""))</f>
        <v/>
      </c>
      <c r="C297" s="12" t="str">
        <f aca="false">IF($A297="","",IFERROR(INDEX(중복검사!$C$4:$C$6003,MATCH("R"&amp;292,중복목록!$L$6:$L$6005,0)),""))</f>
        <v/>
      </c>
      <c r="D297" s="12" t="str">
        <f aca="false">IF($A297="","",IFERROR(INDEX(중복검사!$D$4:$D$6003,MATCH("R"&amp;292,중복목록!$L$6:$L$6005,0)),""))</f>
        <v/>
      </c>
      <c r="E297" s="12" t="str">
        <f aca="false">IF($A297="","",IFERROR(IF(INDEX(원본명단!$E$3:$E$6002,MATCH("R"&amp;292,중복목록!$L$6:$L$6005,0))="","",INDEX(원본명단!$E$3:$E$6002,MATCH("R"&amp;292,중복목록!$L$6:$L$6005,0))),""))</f>
        <v/>
      </c>
      <c r="F297" s="11" t="str">
        <f aca="false">IF($A297="","",IFERROR(MAX(INDEX(중복검사!$E$4:$E$6003,MATCH("R"&amp;292,중복목록!$L$6:$L$6005,0)),INDEX(중복검사!$F$4:$F$6003,MATCH("R"&amp;292,중복목록!$L$6:$L$6005,0)),INDEX(중복검사!$G$4:$G$6003,MATCH("R"&amp;292,중복목록!$L$6:$L$6005,0))),""))</f>
        <v/>
      </c>
      <c r="G297" s="11" t="str">
        <f aca="false">IF($A297="","",IFERROR(INDEX(중복검사!$I$4:$I$6003,MATCH("R"&amp;292,중복목록!$L$6:$L$6005,0)),""))</f>
        <v/>
      </c>
      <c r="H297" s="11" t="str">
        <f aca="false">IF($A297="","",IFERROR(INDEX(중복검사!$J$4:$J$6003,MATCH("R"&amp;292,중복목록!$L$6:$L$6005,0)),""))</f>
        <v/>
      </c>
      <c r="J297" s="14" t="b">
        <f aca="false">IF(중복검사!$A295="",FALSE(),중복검사!$H295="중복")</f>
        <v>0</v>
      </c>
      <c r="K297" s="5" t="str">
        <f aca="false">IF($J297=FALSE(),"",COUNTIF($J$6:$J297,TRUE()))</f>
        <v/>
      </c>
      <c r="L297" s="5" t="str">
        <f aca="false">IF($K297="","","R"&amp;$K297)</f>
        <v/>
      </c>
    </row>
    <row r="298" customFormat="false" ht="15" hidden="false" customHeight="true" outlineLevel="0" collapsed="false">
      <c r="A298" s="11" t="str">
        <f aca="false">IFERROR(INDEX(중복검사!$A$4:$A$6003,MATCH("R"&amp;293,중복목록!$L$6:$L$6005,0)),"")</f>
        <v/>
      </c>
      <c r="B298" s="12" t="str">
        <f aca="false">IF($A298="","",IFERROR(INDEX(중복검사!$B$4:$B$6003,MATCH("R"&amp;293,중복목록!$L$6:$L$6005,0)),""))</f>
        <v/>
      </c>
      <c r="C298" s="12" t="str">
        <f aca="false">IF($A298="","",IFERROR(INDEX(중복검사!$C$4:$C$6003,MATCH("R"&amp;293,중복목록!$L$6:$L$6005,0)),""))</f>
        <v/>
      </c>
      <c r="D298" s="12" t="str">
        <f aca="false">IF($A298="","",IFERROR(INDEX(중복검사!$D$4:$D$6003,MATCH("R"&amp;293,중복목록!$L$6:$L$6005,0)),""))</f>
        <v/>
      </c>
      <c r="E298" s="12" t="str">
        <f aca="false">IF($A298="","",IFERROR(IF(INDEX(원본명단!$E$3:$E$6002,MATCH("R"&amp;293,중복목록!$L$6:$L$6005,0))="","",INDEX(원본명단!$E$3:$E$6002,MATCH("R"&amp;293,중복목록!$L$6:$L$6005,0))),""))</f>
        <v/>
      </c>
      <c r="F298" s="11" t="str">
        <f aca="false">IF($A298="","",IFERROR(MAX(INDEX(중복검사!$E$4:$E$6003,MATCH("R"&amp;293,중복목록!$L$6:$L$6005,0)),INDEX(중복검사!$F$4:$F$6003,MATCH("R"&amp;293,중복목록!$L$6:$L$6005,0)),INDEX(중복검사!$G$4:$G$6003,MATCH("R"&amp;293,중복목록!$L$6:$L$6005,0))),""))</f>
        <v/>
      </c>
      <c r="G298" s="11" t="str">
        <f aca="false">IF($A298="","",IFERROR(INDEX(중복검사!$I$4:$I$6003,MATCH("R"&amp;293,중복목록!$L$6:$L$6005,0)),""))</f>
        <v/>
      </c>
      <c r="H298" s="11" t="str">
        <f aca="false">IF($A298="","",IFERROR(INDEX(중복검사!$J$4:$J$6003,MATCH("R"&amp;293,중복목록!$L$6:$L$6005,0)),""))</f>
        <v/>
      </c>
      <c r="J298" s="14" t="b">
        <f aca="false">IF(중복검사!$A296="",FALSE(),중복검사!$H296="중복")</f>
        <v>0</v>
      </c>
      <c r="K298" s="5" t="str">
        <f aca="false">IF($J298=FALSE(),"",COUNTIF($J$6:$J298,TRUE()))</f>
        <v/>
      </c>
      <c r="L298" s="5" t="str">
        <f aca="false">IF($K298="","","R"&amp;$K298)</f>
        <v/>
      </c>
    </row>
    <row r="299" customFormat="false" ht="15" hidden="false" customHeight="true" outlineLevel="0" collapsed="false">
      <c r="A299" s="11" t="str">
        <f aca="false">IFERROR(INDEX(중복검사!$A$4:$A$6003,MATCH("R"&amp;294,중복목록!$L$6:$L$6005,0)),"")</f>
        <v/>
      </c>
      <c r="B299" s="12" t="str">
        <f aca="false">IF($A299="","",IFERROR(INDEX(중복검사!$B$4:$B$6003,MATCH("R"&amp;294,중복목록!$L$6:$L$6005,0)),""))</f>
        <v/>
      </c>
      <c r="C299" s="12" t="str">
        <f aca="false">IF($A299="","",IFERROR(INDEX(중복검사!$C$4:$C$6003,MATCH("R"&amp;294,중복목록!$L$6:$L$6005,0)),""))</f>
        <v/>
      </c>
      <c r="D299" s="12" t="str">
        <f aca="false">IF($A299="","",IFERROR(INDEX(중복검사!$D$4:$D$6003,MATCH("R"&amp;294,중복목록!$L$6:$L$6005,0)),""))</f>
        <v/>
      </c>
      <c r="E299" s="12" t="str">
        <f aca="false">IF($A299="","",IFERROR(IF(INDEX(원본명단!$E$3:$E$6002,MATCH("R"&amp;294,중복목록!$L$6:$L$6005,0))="","",INDEX(원본명단!$E$3:$E$6002,MATCH("R"&amp;294,중복목록!$L$6:$L$6005,0))),""))</f>
        <v/>
      </c>
      <c r="F299" s="11" t="str">
        <f aca="false">IF($A299="","",IFERROR(MAX(INDEX(중복검사!$E$4:$E$6003,MATCH("R"&amp;294,중복목록!$L$6:$L$6005,0)),INDEX(중복검사!$F$4:$F$6003,MATCH("R"&amp;294,중복목록!$L$6:$L$6005,0)),INDEX(중복검사!$G$4:$G$6003,MATCH("R"&amp;294,중복목록!$L$6:$L$6005,0))),""))</f>
        <v/>
      </c>
      <c r="G299" s="11" t="str">
        <f aca="false">IF($A299="","",IFERROR(INDEX(중복검사!$I$4:$I$6003,MATCH("R"&amp;294,중복목록!$L$6:$L$6005,0)),""))</f>
        <v/>
      </c>
      <c r="H299" s="11" t="str">
        <f aca="false">IF($A299="","",IFERROR(INDEX(중복검사!$J$4:$J$6003,MATCH("R"&amp;294,중복목록!$L$6:$L$6005,0)),""))</f>
        <v/>
      </c>
      <c r="J299" s="14" t="b">
        <f aca="false">IF(중복검사!$A297="",FALSE(),중복검사!$H297="중복")</f>
        <v>0</v>
      </c>
      <c r="K299" s="5" t="str">
        <f aca="false">IF($J299=FALSE(),"",COUNTIF($J$6:$J299,TRUE()))</f>
        <v/>
      </c>
      <c r="L299" s="5" t="str">
        <f aca="false">IF($K299="","","R"&amp;$K299)</f>
        <v/>
      </c>
    </row>
    <row r="300" customFormat="false" ht="15" hidden="false" customHeight="true" outlineLevel="0" collapsed="false">
      <c r="A300" s="11" t="str">
        <f aca="false">IFERROR(INDEX(중복검사!$A$4:$A$6003,MATCH("R"&amp;295,중복목록!$L$6:$L$6005,0)),"")</f>
        <v/>
      </c>
      <c r="B300" s="12" t="str">
        <f aca="false">IF($A300="","",IFERROR(INDEX(중복검사!$B$4:$B$6003,MATCH("R"&amp;295,중복목록!$L$6:$L$6005,0)),""))</f>
        <v/>
      </c>
      <c r="C300" s="12" t="str">
        <f aca="false">IF($A300="","",IFERROR(INDEX(중복검사!$C$4:$C$6003,MATCH("R"&amp;295,중복목록!$L$6:$L$6005,0)),""))</f>
        <v/>
      </c>
      <c r="D300" s="12" t="str">
        <f aca="false">IF($A300="","",IFERROR(INDEX(중복검사!$D$4:$D$6003,MATCH("R"&amp;295,중복목록!$L$6:$L$6005,0)),""))</f>
        <v/>
      </c>
      <c r="E300" s="12" t="str">
        <f aca="false">IF($A300="","",IFERROR(IF(INDEX(원본명단!$E$3:$E$6002,MATCH("R"&amp;295,중복목록!$L$6:$L$6005,0))="","",INDEX(원본명단!$E$3:$E$6002,MATCH("R"&amp;295,중복목록!$L$6:$L$6005,0))),""))</f>
        <v/>
      </c>
      <c r="F300" s="11" t="str">
        <f aca="false">IF($A300="","",IFERROR(MAX(INDEX(중복검사!$E$4:$E$6003,MATCH("R"&amp;295,중복목록!$L$6:$L$6005,0)),INDEX(중복검사!$F$4:$F$6003,MATCH("R"&amp;295,중복목록!$L$6:$L$6005,0)),INDEX(중복검사!$G$4:$G$6003,MATCH("R"&amp;295,중복목록!$L$6:$L$6005,0))),""))</f>
        <v/>
      </c>
      <c r="G300" s="11" t="str">
        <f aca="false">IF($A300="","",IFERROR(INDEX(중복검사!$I$4:$I$6003,MATCH("R"&amp;295,중복목록!$L$6:$L$6005,0)),""))</f>
        <v/>
      </c>
      <c r="H300" s="11" t="str">
        <f aca="false">IF($A300="","",IFERROR(INDEX(중복검사!$J$4:$J$6003,MATCH("R"&amp;295,중복목록!$L$6:$L$6005,0)),""))</f>
        <v/>
      </c>
      <c r="J300" s="14" t="b">
        <f aca="false">IF(중복검사!$A298="",FALSE(),중복검사!$H298="중복")</f>
        <v>0</v>
      </c>
      <c r="K300" s="5" t="str">
        <f aca="false">IF($J300=FALSE(),"",COUNTIF($J$6:$J300,TRUE()))</f>
        <v/>
      </c>
      <c r="L300" s="5" t="str">
        <f aca="false">IF($K300="","","R"&amp;$K300)</f>
        <v/>
      </c>
    </row>
    <row r="301" customFormat="false" ht="15" hidden="false" customHeight="true" outlineLevel="0" collapsed="false">
      <c r="A301" s="11" t="str">
        <f aca="false">IFERROR(INDEX(중복검사!$A$4:$A$6003,MATCH("R"&amp;296,중복목록!$L$6:$L$6005,0)),"")</f>
        <v/>
      </c>
      <c r="B301" s="12" t="str">
        <f aca="false">IF($A301="","",IFERROR(INDEX(중복검사!$B$4:$B$6003,MATCH("R"&amp;296,중복목록!$L$6:$L$6005,0)),""))</f>
        <v/>
      </c>
      <c r="C301" s="12" t="str">
        <f aca="false">IF($A301="","",IFERROR(INDEX(중복검사!$C$4:$C$6003,MATCH("R"&amp;296,중복목록!$L$6:$L$6005,0)),""))</f>
        <v/>
      </c>
      <c r="D301" s="12" t="str">
        <f aca="false">IF($A301="","",IFERROR(INDEX(중복검사!$D$4:$D$6003,MATCH("R"&amp;296,중복목록!$L$6:$L$6005,0)),""))</f>
        <v/>
      </c>
      <c r="E301" s="12" t="str">
        <f aca="false">IF($A301="","",IFERROR(IF(INDEX(원본명단!$E$3:$E$6002,MATCH("R"&amp;296,중복목록!$L$6:$L$6005,0))="","",INDEX(원본명단!$E$3:$E$6002,MATCH("R"&amp;296,중복목록!$L$6:$L$6005,0))),""))</f>
        <v/>
      </c>
      <c r="F301" s="11" t="str">
        <f aca="false">IF($A301="","",IFERROR(MAX(INDEX(중복검사!$E$4:$E$6003,MATCH("R"&amp;296,중복목록!$L$6:$L$6005,0)),INDEX(중복검사!$F$4:$F$6003,MATCH("R"&amp;296,중복목록!$L$6:$L$6005,0)),INDEX(중복검사!$G$4:$G$6003,MATCH("R"&amp;296,중복목록!$L$6:$L$6005,0))),""))</f>
        <v/>
      </c>
      <c r="G301" s="11" t="str">
        <f aca="false">IF($A301="","",IFERROR(INDEX(중복검사!$I$4:$I$6003,MATCH("R"&amp;296,중복목록!$L$6:$L$6005,0)),""))</f>
        <v/>
      </c>
      <c r="H301" s="11" t="str">
        <f aca="false">IF($A301="","",IFERROR(INDEX(중복검사!$J$4:$J$6003,MATCH("R"&amp;296,중복목록!$L$6:$L$6005,0)),""))</f>
        <v/>
      </c>
      <c r="J301" s="14" t="b">
        <f aca="false">IF(중복검사!$A299="",FALSE(),중복검사!$H299="중복")</f>
        <v>0</v>
      </c>
      <c r="K301" s="5" t="str">
        <f aca="false">IF($J301=FALSE(),"",COUNTIF($J$6:$J301,TRUE()))</f>
        <v/>
      </c>
      <c r="L301" s="5" t="str">
        <f aca="false">IF($K301="","","R"&amp;$K301)</f>
        <v/>
      </c>
    </row>
    <row r="302" customFormat="false" ht="15" hidden="false" customHeight="true" outlineLevel="0" collapsed="false">
      <c r="A302" s="11" t="str">
        <f aca="false">IFERROR(INDEX(중복검사!$A$4:$A$6003,MATCH("R"&amp;297,중복목록!$L$6:$L$6005,0)),"")</f>
        <v/>
      </c>
      <c r="B302" s="12" t="str">
        <f aca="false">IF($A302="","",IFERROR(INDEX(중복검사!$B$4:$B$6003,MATCH("R"&amp;297,중복목록!$L$6:$L$6005,0)),""))</f>
        <v/>
      </c>
      <c r="C302" s="12" t="str">
        <f aca="false">IF($A302="","",IFERROR(INDEX(중복검사!$C$4:$C$6003,MATCH("R"&amp;297,중복목록!$L$6:$L$6005,0)),""))</f>
        <v/>
      </c>
      <c r="D302" s="12" t="str">
        <f aca="false">IF($A302="","",IFERROR(INDEX(중복검사!$D$4:$D$6003,MATCH("R"&amp;297,중복목록!$L$6:$L$6005,0)),""))</f>
        <v/>
      </c>
      <c r="E302" s="12" t="str">
        <f aca="false">IF($A302="","",IFERROR(IF(INDEX(원본명단!$E$3:$E$6002,MATCH("R"&amp;297,중복목록!$L$6:$L$6005,0))="","",INDEX(원본명단!$E$3:$E$6002,MATCH("R"&amp;297,중복목록!$L$6:$L$6005,0))),""))</f>
        <v/>
      </c>
      <c r="F302" s="11" t="str">
        <f aca="false">IF($A302="","",IFERROR(MAX(INDEX(중복검사!$E$4:$E$6003,MATCH("R"&amp;297,중복목록!$L$6:$L$6005,0)),INDEX(중복검사!$F$4:$F$6003,MATCH("R"&amp;297,중복목록!$L$6:$L$6005,0)),INDEX(중복검사!$G$4:$G$6003,MATCH("R"&amp;297,중복목록!$L$6:$L$6005,0))),""))</f>
        <v/>
      </c>
      <c r="G302" s="11" t="str">
        <f aca="false">IF($A302="","",IFERROR(INDEX(중복검사!$I$4:$I$6003,MATCH("R"&amp;297,중복목록!$L$6:$L$6005,0)),""))</f>
        <v/>
      </c>
      <c r="H302" s="11" t="str">
        <f aca="false">IF($A302="","",IFERROR(INDEX(중복검사!$J$4:$J$6003,MATCH("R"&amp;297,중복목록!$L$6:$L$6005,0)),""))</f>
        <v/>
      </c>
      <c r="J302" s="14" t="b">
        <f aca="false">IF(중복검사!$A300="",FALSE(),중복검사!$H300="중복")</f>
        <v>0</v>
      </c>
      <c r="K302" s="5" t="str">
        <f aca="false">IF($J302=FALSE(),"",COUNTIF($J$6:$J302,TRUE()))</f>
        <v/>
      </c>
      <c r="L302" s="5" t="str">
        <f aca="false">IF($K302="","","R"&amp;$K302)</f>
        <v/>
      </c>
    </row>
    <row r="303" customFormat="false" ht="15" hidden="false" customHeight="true" outlineLevel="0" collapsed="false">
      <c r="A303" s="11" t="str">
        <f aca="false">IFERROR(INDEX(중복검사!$A$4:$A$6003,MATCH("R"&amp;298,중복목록!$L$6:$L$6005,0)),"")</f>
        <v/>
      </c>
      <c r="B303" s="12" t="str">
        <f aca="false">IF($A303="","",IFERROR(INDEX(중복검사!$B$4:$B$6003,MATCH("R"&amp;298,중복목록!$L$6:$L$6005,0)),""))</f>
        <v/>
      </c>
      <c r="C303" s="12" t="str">
        <f aca="false">IF($A303="","",IFERROR(INDEX(중복검사!$C$4:$C$6003,MATCH("R"&amp;298,중복목록!$L$6:$L$6005,0)),""))</f>
        <v/>
      </c>
      <c r="D303" s="12" t="str">
        <f aca="false">IF($A303="","",IFERROR(INDEX(중복검사!$D$4:$D$6003,MATCH("R"&amp;298,중복목록!$L$6:$L$6005,0)),""))</f>
        <v/>
      </c>
      <c r="E303" s="12" t="str">
        <f aca="false">IF($A303="","",IFERROR(IF(INDEX(원본명단!$E$3:$E$6002,MATCH("R"&amp;298,중복목록!$L$6:$L$6005,0))="","",INDEX(원본명단!$E$3:$E$6002,MATCH("R"&amp;298,중복목록!$L$6:$L$6005,0))),""))</f>
        <v/>
      </c>
      <c r="F303" s="11" t="str">
        <f aca="false">IF($A303="","",IFERROR(MAX(INDEX(중복검사!$E$4:$E$6003,MATCH("R"&amp;298,중복목록!$L$6:$L$6005,0)),INDEX(중복검사!$F$4:$F$6003,MATCH("R"&amp;298,중복목록!$L$6:$L$6005,0)),INDEX(중복검사!$G$4:$G$6003,MATCH("R"&amp;298,중복목록!$L$6:$L$6005,0))),""))</f>
        <v/>
      </c>
      <c r="G303" s="11" t="str">
        <f aca="false">IF($A303="","",IFERROR(INDEX(중복검사!$I$4:$I$6003,MATCH("R"&amp;298,중복목록!$L$6:$L$6005,0)),""))</f>
        <v/>
      </c>
      <c r="H303" s="11" t="str">
        <f aca="false">IF($A303="","",IFERROR(INDEX(중복검사!$J$4:$J$6003,MATCH("R"&amp;298,중복목록!$L$6:$L$6005,0)),""))</f>
        <v/>
      </c>
      <c r="J303" s="14" t="b">
        <f aca="false">IF(중복검사!$A301="",FALSE(),중복검사!$H301="중복")</f>
        <v>0</v>
      </c>
      <c r="K303" s="5" t="str">
        <f aca="false">IF($J303=FALSE(),"",COUNTIF($J$6:$J303,TRUE()))</f>
        <v/>
      </c>
      <c r="L303" s="5" t="str">
        <f aca="false">IF($K303="","","R"&amp;$K303)</f>
        <v/>
      </c>
    </row>
    <row r="304" customFormat="false" ht="15" hidden="false" customHeight="true" outlineLevel="0" collapsed="false">
      <c r="A304" s="11" t="str">
        <f aca="false">IFERROR(INDEX(중복검사!$A$4:$A$6003,MATCH("R"&amp;299,중복목록!$L$6:$L$6005,0)),"")</f>
        <v/>
      </c>
      <c r="B304" s="12" t="str">
        <f aca="false">IF($A304="","",IFERROR(INDEX(중복검사!$B$4:$B$6003,MATCH("R"&amp;299,중복목록!$L$6:$L$6005,0)),""))</f>
        <v/>
      </c>
      <c r="C304" s="12" t="str">
        <f aca="false">IF($A304="","",IFERROR(INDEX(중복검사!$C$4:$C$6003,MATCH("R"&amp;299,중복목록!$L$6:$L$6005,0)),""))</f>
        <v/>
      </c>
      <c r="D304" s="12" t="str">
        <f aca="false">IF($A304="","",IFERROR(INDEX(중복검사!$D$4:$D$6003,MATCH("R"&amp;299,중복목록!$L$6:$L$6005,0)),""))</f>
        <v/>
      </c>
      <c r="E304" s="12" t="str">
        <f aca="false">IF($A304="","",IFERROR(IF(INDEX(원본명단!$E$3:$E$6002,MATCH("R"&amp;299,중복목록!$L$6:$L$6005,0))="","",INDEX(원본명단!$E$3:$E$6002,MATCH("R"&amp;299,중복목록!$L$6:$L$6005,0))),""))</f>
        <v/>
      </c>
      <c r="F304" s="11" t="str">
        <f aca="false">IF($A304="","",IFERROR(MAX(INDEX(중복검사!$E$4:$E$6003,MATCH("R"&amp;299,중복목록!$L$6:$L$6005,0)),INDEX(중복검사!$F$4:$F$6003,MATCH("R"&amp;299,중복목록!$L$6:$L$6005,0)),INDEX(중복검사!$G$4:$G$6003,MATCH("R"&amp;299,중복목록!$L$6:$L$6005,0))),""))</f>
        <v/>
      </c>
      <c r="G304" s="11" t="str">
        <f aca="false">IF($A304="","",IFERROR(INDEX(중복검사!$I$4:$I$6003,MATCH("R"&amp;299,중복목록!$L$6:$L$6005,0)),""))</f>
        <v/>
      </c>
      <c r="H304" s="11" t="str">
        <f aca="false">IF($A304="","",IFERROR(INDEX(중복검사!$J$4:$J$6003,MATCH("R"&amp;299,중복목록!$L$6:$L$6005,0)),""))</f>
        <v/>
      </c>
      <c r="J304" s="14" t="b">
        <f aca="false">IF(중복검사!$A302="",FALSE(),중복검사!$H302="중복")</f>
        <v>0</v>
      </c>
      <c r="K304" s="5" t="str">
        <f aca="false">IF($J304=FALSE(),"",COUNTIF($J$6:$J304,TRUE()))</f>
        <v/>
      </c>
      <c r="L304" s="5" t="str">
        <f aca="false">IF($K304="","","R"&amp;$K304)</f>
        <v/>
      </c>
    </row>
    <row r="305" customFormat="false" ht="15" hidden="false" customHeight="true" outlineLevel="0" collapsed="false">
      <c r="A305" s="11" t="str">
        <f aca="false">IFERROR(INDEX(중복검사!$A$4:$A$6003,MATCH("R"&amp;300,중복목록!$L$6:$L$6005,0)),"")</f>
        <v/>
      </c>
      <c r="B305" s="12" t="str">
        <f aca="false">IF($A305="","",IFERROR(INDEX(중복검사!$B$4:$B$6003,MATCH("R"&amp;300,중복목록!$L$6:$L$6005,0)),""))</f>
        <v/>
      </c>
      <c r="C305" s="12" t="str">
        <f aca="false">IF($A305="","",IFERROR(INDEX(중복검사!$C$4:$C$6003,MATCH("R"&amp;300,중복목록!$L$6:$L$6005,0)),""))</f>
        <v/>
      </c>
      <c r="D305" s="12" t="str">
        <f aca="false">IF($A305="","",IFERROR(INDEX(중복검사!$D$4:$D$6003,MATCH("R"&amp;300,중복목록!$L$6:$L$6005,0)),""))</f>
        <v/>
      </c>
      <c r="E305" s="12" t="str">
        <f aca="false">IF($A305="","",IFERROR(IF(INDEX(원본명단!$E$3:$E$6002,MATCH("R"&amp;300,중복목록!$L$6:$L$6005,0))="","",INDEX(원본명단!$E$3:$E$6002,MATCH("R"&amp;300,중복목록!$L$6:$L$6005,0))),""))</f>
        <v/>
      </c>
      <c r="F305" s="11" t="str">
        <f aca="false">IF($A305="","",IFERROR(MAX(INDEX(중복검사!$E$4:$E$6003,MATCH("R"&amp;300,중복목록!$L$6:$L$6005,0)),INDEX(중복검사!$F$4:$F$6003,MATCH("R"&amp;300,중복목록!$L$6:$L$6005,0)),INDEX(중복검사!$G$4:$G$6003,MATCH("R"&amp;300,중복목록!$L$6:$L$6005,0))),""))</f>
        <v/>
      </c>
      <c r="G305" s="11" t="str">
        <f aca="false">IF($A305="","",IFERROR(INDEX(중복검사!$I$4:$I$6003,MATCH("R"&amp;300,중복목록!$L$6:$L$6005,0)),""))</f>
        <v/>
      </c>
      <c r="H305" s="11" t="str">
        <f aca="false">IF($A305="","",IFERROR(INDEX(중복검사!$J$4:$J$6003,MATCH("R"&amp;300,중복목록!$L$6:$L$6005,0)),""))</f>
        <v/>
      </c>
      <c r="J305" s="14" t="b">
        <f aca="false">IF(중복검사!$A303="",FALSE(),중복검사!$H303="중복")</f>
        <v>0</v>
      </c>
      <c r="K305" s="5" t="str">
        <f aca="false">IF($J305=FALSE(),"",COUNTIF($J$6:$J305,TRUE()))</f>
        <v/>
      </c>
      <c r="L305" s="5" t="str">
        <f aca="false">IF($K305="","","R"&amp;$K305)</f>
        <v/>
      </c>
    </row>
    <row r="306" customFormat="false" ht="15" hidden="false" customHeight="true" outlineLevel="0" collapsed="false">
      <c r="J306" s="14" t="b">
        <f aca="false">IF(중복검사!$A304="",FALSE(),중복검사!$H304="중복")</f>
        <v>0</v>
      </c>
      <c r="K306" s="5" t="str">
        <f aca="false">IF($J306=FALSE(),"",COUNTIF($J$6:$J306,TRUE()))</f>
        <v/>
      </c>
      <c r="L306" s="5" t="str">
        <f aca="false">IF($K306="","","R"&amp;$K306)</f>
        <v/>
      </c>
    </row>
    <row r="307" customFormat="false" ht="15" hidden="false" customHeight="true" outlineLevel="0" collapsed="false">
      <c r="A307" s="15" t="s">
        <v>74</v>
      </c>
      <c r="J307" s="14" t="b">
        <f aca="false">IF(중복검사!$A305="",FALSE(),중복검사!$H305="중복")</f>
        <v>0</v>
      </c>
      <c r="K307" s="5" t="str">
        <f aca="false">IF($J307=FALSE(),"",COUNTIF($J$6:$J307,TRUE()))</f>
        <v/>
      </c>
      <c r="L307" s="5" t="str">
        <f aca="false">IF($K307="","","R"&amp;$K307)</f>
        <v/>
      </c>
    </row>
    <row r="308" customFormat="false" ht="15" hidden="false" customHeight="true" outlineLevel="0" collapsed="false">
      <c r="J308" s="14" t="b">
        <f aca="false">IF(중복검사!$A306="",FALSE(),중복검사!$H306="중복")</f>
        <v>0</v>
      </c>
      <c r="K308" s="5" t="str">
        <f aca="false">IF($J308=FALSE(),"",COUNTIF($J$6:$J308,TRUE()))</f>
        <v/>
      </c>
      <c r="L308" s="5" t="str">
        <f aca="false">IF($K308="","","R"&amp;$K308)</f>
        <v/>
      </c>
    </row>
    <row r="309" customFormat="false" ht="15" hidden="false" customHeight="true" outlineLevel="0" collapsed="false">
      <c r="J309" s="14" t="b">
        <f aca="false">IF(중복검사!$A307="",FALSE(),중복검사!$H307="중복")</f>
        <v>0</v>
      </c>
      <c r="K309" s="5" t="str">
        <f aca="false">IF($J309=FALSE(),"",COUNTIF($J$6:$J309,TRUE()))</f>
        <v/>
      </c>
      <c r="L309" s="5" t="str">
        <f aca="false">IF($K309="","","R"&amp;$K309)</f>
        <v/>
      </c>
    </row>
    <row r="310" customFormat="false" ht="15" hidden="false" customHeight="true" outlineLevel="0" collapsed="false">
      <c r="J310" s="14" t="b">
        <f aca="false">IF(중복검사!$A308="",FALSE(),중복검사!$H308="중복")</f>
        <v>0</v>
      </c>
      <c r="K310" s="5" t="str">
        <f aca="false">IF($J310=FALSE(),"",COUNTIF($J$6:$J310,TRUE()))</f>
        <v/>
      </c>
      <c r="L310" s="5" t="str">
        <f aca="false">IF($K310="","","R"&amp;$K310)</f>
        <v/>
      </c>
    </row>
    <row r="311" customFormat="false" ht="15" hidden="false" customHeight="true" outlineLevel="0" collapsed="false">
      <c r="J311" s="14" t="b">
        <f aca="false">IF(중복검사!$A309="",FALSE(),중복검사!$H309="중복")</f>
        <v>0</v>
      </c>
      <c r="K311" s="5" t="str">
        <f aca="false">IF($J311=FALSE(),"",COUNTIF($J$6:$J311,TRUE()))</f>
        <v/>
      </c>
      <c r="L311" s="5" t="str">
        <f aca="false">IF($K311="","","R"&amp;$K311)</f>
        <v/>
      </c>
    </row>
    <row r="312" customFormat="false" ht="15" hidden="false" customHeight="true" outlineLevel="0" collapsed="false">
      <c r="J312" s="14" t="b">
        <f aca="false">IF(중복검사!$A310="",FALSE(),중복검사!$H310="중복")</f>
        <v>0</v>
      </c>
      <c r="K312" s="5" t="str">
        <f aca="false">IF($J312=FALSE(),"",COUNTIF($J$6:$J312,TRUE()))</f>
        <v/>
      </c>
      <c r="L312" s="5" t="str">
        <f aca="false">IF($K312="","","R"&amp;$K312)</f>
        <v/>
      </c>
    </row>
    <row r="313" customFormat="false" ht="15" hidden="false" customHeight="true" outlineLevel="0" collapsed="false">
      <c r="J313" s="14" t="b">
        <f aca="false">IF(중복검사!$A311="",FALSE(),중복검사!$H311="중복")</f>
        <v>0</v>
      </c>
      <c r="K313" s="5" t="str">
        <f aca="false">IF($J313=FALSE(),"",COUNTIF($J$6:$J313,TRUE()))</f>
        <v/>
      </c>
      <c r="L313" s="5" t="str">
        <f aca="false">IF($K313="","","R"&amp;$K313)</f>
        <v/>
      </c>
    </row>
    <row r="314" customFormat="false" ht="15" hidden="false" customHeight="true" outlineLevel="0" collapsed="false">
      <c r="J314" s="14" t="b">
        <f aca="false">IF(중복검사!$A312="",FALSE(),중복검사!$H312="중복")</f>
        <v>0</v>
      </c>
      <c r="K314" s="5" t="str">
        <f aca="false">IF($J314=FALSE(),"",COUNTIF($J$6:$J314,TRUE()))</f>
        <v/>
      </c>
      <c r="L314" s="5" t="str">
        <f aca="false">IF($K314="","","R"&amp;$K314)</f>
        <v/>
      </c>
    </row>
    <row r="315" customFormat="false" ht="15" hidden="false" customHeight="true" outlineLevel="0" collapsed="false">
      <c r="J315" s="14" t="b">
        <f aca="false">IF(중복검사!$A313="",FALSE(),중복검사!$H313="중복")</f>
        <v>0</v>
      </c>
      <c r="K315" s="5" t="str">
        <f aca="false">IF($J315=FALSE(),"",COUNTIF($J$6:$J315,TRUE()))</f>
        <v/>
      </c>
      <c r="L315" s="5" t="str">
        <f aca="false">IF($K315="","","R"&amp;$K315)</f>
        <v/>
      </c>
    </row>
    <row r="316" customFormat="false" ht="15" hidden="false" customHeight="true" outlineLevel="0" collapsed="false">
      <c r="J316" s="14" t="b">
        <f aca="false">IF(중복검사!$A314="",FALSE(),중복검사!$H314="중복")</f>
        <v>0</v>
      </c>
      <c r="K316" s="5" t="str">
        <f aca="false">IF($J316=FALSE(),"",COUNTIF($J$6:$J316,TRUE()))</f>
        <v/>
      </c>
      <c r="L316" s="5" t="str">
        <f aca="false">IF($K316="","","R"&amp;$K316)</f>
        <v/>
      </c>
    </row>
    <row r="317" customFormat="false" ht="15" hidden="false" customHeight="true" outlineLevel="0" collapsed="false">
      <c r="J317" s="14" t="b">
        <f aca="false">IF(중복검사!$A315="",FALSE(),중복검사!$H315="중복")</f>
        <v>0</v>
      </c>
      <c r="K317" s="5" t="str">
        <f aca="false">IF($J317=FALSE(),"",COUNTIF($J$6:$J317,TRUE()))</f>
        <v/>
      </c>
      <c r="L317" s="5" t="str">
        <f aca="false">IF($K317="","","R"&amp;$K317)</f>
        <v/>
      </c>
    </row>
    <row r="318" customFormat="false" ht="15" hidden="false" customHeight="true" outlineLevel="0" collapsed="false">
      <c r="J318" s="14" t="b">
        <f aca="false">IF(중복검사!$A316="",FALSE(),중복검사!$H316="중복")</f>
        <v>0</v>
      </c>
      <c r="K318" s="5" t="str">
        <f aca="false">IF($J318=FALSE(),"",COUNTIF($J$6:$J318,TRUE()))</f>
        <v/>
      </c>
      <c r="L318" s="5" t="str">
        <f aca="false">IF($K318="","","R"&amp;$K318)</f>
        <v/>
      </c>
    </row>
    <row r="319" customFormat="false" ht="15" hidden="false" customHeight="true" outlineLevel="0" collapsed="false">
      <c r="J319" s="14" t="b">
        <f aca="false">IF(중복검사!$A317="",FALSE(),중복검사!$H317="중복")</f>
        <v>0</v>
      </c>
      <c r="K319" s="5" t="str">
        <f aca="false">IF($J319=FALSE(),"",COUNTIF($J$6:$J319,TRUE()))</f>
        <v/>
      </c>
      <c r="L319" s="5" t="str">
        <f aca="false">IF($K319="","","R"&amp;$K319)</f>
        <v/>
      </c>
    </row>
    <row r="320" customFormat="false" ht="15" hidden="false" customHeight="true" outlineLevel="0" collapsed="false">
      <c r="J320" s="14" t="b">
        <f aca="false">IF(중복검사!$A318="",FALSE(),중복검사!$H318="중복")</f>
        <v>0</v>
      </c>
      <c r="K320" s="5" t="str">
        <f aca="false">IF($J320=FALSE(),"",COUNTIF($J$6:$J320,TRUE()))</f>
        <v/>
      </c>
      <c r="L320" s="5" t="str">
        <f aca="false">IF($K320="","","R"&amp;$K320)</f>
        <v/>
      </c>
    </row>
    <row r="321" customFormat="false" ht="15" hidden="false" customHeight="true" outlineLevel="0" collapsed="false">
      <c r="J321" s="14" t="b">
        <f aca="false">IF(중복검사!$A319="",FALSE(),중복검사!$H319="중복")</f>
        <v>0</v>
      </c>
      <c r="K321" s="5" t="str">
        <f aca="false">IF($J321=FALSE(),"",COUNTIF($J$6:$J321,TRUE()))</f>
        <v/>
      </c>
      <c r="L321" s="5" t="str">
        <f aca="false">IF($K321="","","R"&amp;$K321)</f>
        <v/>
      </c>
    </row>
    <row r="322" customFormat="false" ht="15" hidden="false" customHeight="true" outlineLevel="0" collapsed="false">
      <c r="J322" s="14" t="b">
        <f aca="false">IF(중복검사!$A320="",FALSE(),중복검사!$H320="중복")</f>
        <v>0</v>
      </c>
      <c r="K322" s="5" t="str">
        <f aca="false">IF($J322=FALSE(),"",COUNTIF($J$6:$J322,TRUE()))</f>
        <v/>
      </c>
      <c r="L322" s="5" t="str">
        <f aca="false">IF($K322="","","R"&amp;$K322)</f>
        <v/>
      </c>
    </row>
    <row r="323" customFormat="false" ht="15" hidden="false" customHeight="true" outlineLevel="0" collapsed="false">
      <c r="J323" s="14" t="b">
        <f aca="false">IF(중복검사!$A321="",FALSE(),중복검사!$H321="중복")</f>
        <v>0</v>
      </c>
      <c r="K323" s="5" t="str">
        <f aca="false">IF($J323=FALSE(),"",COUNTIF($J$6:$J323,TRUE()))</f>
        <v/>
      </c>
      <c r="L323" s="5" t="str">
        <f aca="false">IF($K323="","","R"&amp;$K323)</f>
        <v/>
      </c>
    </row>
    <row r="324" customFormat="false" ht="15" hidden="false" customHeight="true" outlineLevel="0" collapsed="false">
      <c r="J324" s="14" t="b">
        <f aca="false">IF(중복검사!$A322="",FALSE(),중복검사!$H322="중복")</f>
        <v>0</v>
      </c>
      <c r="K324" s="5" t="str">
        <f aca="false">IF($J324=FALSE(),"",COUNTIF($J$6:$J324,TRUE()))</f>
        <v/>
      </c>
      <c r="L324" s="5" t="str">
        <f aca="false">IF($K324="","","R"&amp;$K324)</f>
        <v/>
      </c>
    </row>
    <row r="325" customFormat="false" ht="15" hidden="false" customHeight="true" outlineLevel="0" collapsed="false">
      <c r="J325" s="14" t="b">
        <f aca="false">IF(중복검사!$A323="",FALSE(),중복검사!$H323="중복")</f>
        <v>0</v>
      </c>
      <c r="K325" s="5" t="str">
        <f aca="false">IF($J325=FALSE(),"",COUNTIF($J$6:$J325,TRUE()))</f>
        <v/>
      </c>
      <c r="L325" s="5" t="str">
        <f aca="false">IF($K325="","","R"&amp;$K325)</f>
        <v/>
      </c>
    </row>
    <row r="326" customFormat="false" ht="15" hidden="false" customHeight="true" outlineLevel="0" collapsed="false">
      <c r="J326" s="14" t="b">
        <f aca="false">IF(중복검사!$A324="",FALSE(),중복검사!$H324="중복")</f>
        <v>0</v>
      </c>
      <c r="K326" s="5" t="str">
        <f aca="false">IF($J326=FALSE(),"",COUNTIF($J$6:$J326,TRUE()))</f>
        <v/>
      </c>
      <c r="L326" s="5" t="str">
        <f aca="false">IF($K326="","","R"&amp;$K326)</f>
        <v/>
      </c>
    </row>
    <row r="327" customFormat="false" ht="15" hidden="false" customHeight="true" outlineLevel="0" collapsed="false">
      <c r="J327" s="14" t="b">
        <f aca="false">IF(중복검사!$A325="",FALSE(),중복검사!$H325="중복")</f>
        <v>0</v>
      </c>
      <c r="K327" s="5" t="str">
        <f aca="false">IF($J327=FALSE(),"",COUNTIF($J$6:$J327,TRUE()))</f>
        <v/>
      </c>
      <c r="L327" s="5" t="str">
        <f aca="false">IF($K327="","","R"&amp;$K327)</f>
        <v/>
      </c>
    </row>
    <row r="328" customFormat="false" ht="15" hidden="false" customHeight="true" outlineLevel="0" collapsed="false">
      <c r="J328" s="14" t="b">
        <f aca="false">IF(중복검사!$A326="",FALSE(),중복검사!$H326="중복")</f>
        <v>0</v>
      </c>
      <c r="K328" s="5" t="str">
        <f aca="false">IF($J328=FALSE(),"",COUNTIF($J$6:$J328,TRUE()))</f>
        <v/>
      </c>
      <c r="L328" s="5" t="str">
        <f aca="false">IF($K328="","","R"&amp;$K328)</f>
        <v/>
      </c>
    </row>
    <row r="329" customFormat="false" ht="15" hidden="false" customHeight="true" outlineLevel="0" collapsed="false">
      <c r="J329" s="14" t="b">
        <f aca="false">IF(중복검사!$A327="",FALSE(),중복검사!$H327="중복")</f>
        <v>0</v>
      </c>
      <c r="K329" s="5" t="str">
        <f aca="false">IF($J329=FALSE(),"",COUNTIF($J$6:$J329,TRUE()))</f>
        <v/>
      </c>
      <c r="L329" s="5" t="str">
        <f aca="false">IF($K329="","","R"&amp;$K329)</f>
        <v/>
      </c>
    </row>
    <row r="330" customFormat="false" ht="15" hidden="false" customHeight="true" outlineLevel="0" collapsed="false">
      <c r="J330" s="14" t="b">
        <f aca="false">IF(중복검사!$A328="",FALSE(),중복검사!$H328="중복")</f>
        <v>0</v>
      </c>
      <c r="K330" s="5" t="str">
        <f aca="false">IF($J330=FALSE(),"",COUNTIF($J$6:$J330,TRUE()))</f>
        <v/>
      </c>
      <c r="L330" s="5" t="str">
        <f aca="false">IF($K330="","","R"&amp;$K330)</f>
        <v/>
      </c>
    </row>
    <row r="331" customFormat="false" ht="15" hidden="false" customHeight="true" outlineLevel="0" collapsed="false">
      <c r="J331" s="14" t="b">
        <f aca="false">IF(중복검사!$A329="",FALSE(),중복검사!$H329="중복")</f>
        <v>0</v>
      </c>
      <c r="K331" s="5" t="str">
        <f aca="false">IF($J331=FALSE(),"",COUNTIF($J$6:$J331,TRUE()))</f>
        <v/>
      </c>
      <c r="L331" s="5" t="str">
        <f aca="false">IF($K331="","","R"&amp;$K331)</f>
        <v/>
      </c>
    </row>
    <row r="332" customFormat="false" ht="15" hidden="false" customHeight="true" outlineLevel="0" collapsed="false">
      <c r="J332" s="14" t="b">
        <f aca="false">IF(중복검사!$A330="",FALSE(),중복검사!$H330="중복")</f>
        <v>0</v>
      </c>
      <c r="K332" s="5" t="str">
        <f aca="false">IF($J332=FALSE(),"",COUNTIF($J$6:$J332,TRUE()))</f>
        <v/>
      </c>
      <c r="L332" s="5" t="str">
        <f aca="false">IF($K332="","","R"&amp;$K332)</f>
        <v/>
      </c>
    </row>
    <row r="333" customFormat="false" ht="15" hidden="false" customHeight="true" outlineLevel="0" collapsed="false">
      <c r="J333" s="14" t="b">
        <f aca="false">IF(중복검사!$A331="",FALSE(),중복검사!$H331="중복")</f>
        <v>0</v>
      </c>
      <c r="K333" s="5" t="str">
        <f aca="false">IF($J333=FALSE(),"",COUNTIF($J$6:$J333,TRUE()))</f>
        <v/>
      </c>
      <c r="L333" s="5" t="str">
        <f aca="false">IF($K333="","","R"&amp;$K333)</f>
        <v/>
      </c>
    </row>
    <row r="334" customFormat="false" ht="15" hidden="false" customHeight="true" outlineLevel="0" collapsed="false">
      <c r="J334" s="14" t="b">
        <f aca="false">IF(중복검사!$A332="",FALSE(),중복검사!$H332="중복")</f>
        <v>0</v>
      </c>
      <c r="K334" s="5" t="str">
        <f aca="false">IF($J334=FALSE(),"",COUNTIF($J$6:$J334,TRUE()))</f>
        <v/>
      </c>
      <c r="L334" s="5" t="str">
        <f aca="false">IF($K334="","","R"&amp;$K334)</f>
        <v/>
      </c>
    </row>
    <row r="335" customFormat="false" ht="15" hidden="false" customHeight="true" outlineLevel="0" collapsed="false">
      <c r="J335" s="14" t="b">
        <f aca="false">IF(중복검사!$A333="",FALSE(),중복검사!$H333="중복")</f>
        <v>0</v>
      </c>
      <c r="K335" s="5" t="str">
        <f aca="false">IF($J335=FALSE(),"",COUNTIF($J$6:$J335,TRUE()))</f>
        <v/>
      </c>
      <c r="L335" s="5" t="str">
        <f aca="false">IF($K335="","","R"&amp;$K335)</f>
        <v/>
      </c>
    </row>
    <row r="336" customFormat="false" ht="15" hidden="false" customHeight="true" outlineLevel="0" collapsed="false">
      <c r="J336" s="14" t="b">
        <f aca="false">IF(중복검사!$A334="",FALSE(),중복검사!$H334="중복")</f>
        <v>0</v>
      </c>
      <c r="K336" s="5" t="str">
        <f aca="false">IF($J336=FALSE(),"",COUNTIF($J$6:$J336,TRUE()))</f>
        <v/>
      </c>
      <c r="L336" s="5" t="str">
        <f aca="false">IF($K336="","","R"&amp;$K336)</f>
        <v/>
      </c>
    </row>
    <row r="337" customFormat="false" ht="15" hidden="false" customHeight="true" outlineLevel="0" collapsed="false">
      <c r="J337" s="14" t="b">
        <f aca="false">IF(중복검사!$A335="",FALSE(),중복검사!$H335="중복")</f>
        <v>0</v>
      </c>
      <c r="K337" s="5" t="str">
        <f aca="false">IF($J337=FALSE(),"",COUNTIF($J$6:$J337,TRUE()))</f>
        <v/>
      </c>
      <c r="L337" s="5" t="str">
        <f aca="false">IF($K337="","","R"&amp;$K337)</f>
        <v/>
      </c>
    </row>
    <row r="338" customFormat="false" ht="15" hidden="false" customHeight="true" outlineLevel="0" collapsed="false">
      <c r="J338" s="14" t="b">
        <f aca="false">IF(중복검사!$A336="",FALSE(),중복검사!$H336="중복")</f>
        <v>0</v>
      </c>
      <c r="K338" s="5" t="str">
        <f aca="false">IF($J338=FALSE(),"",COUNTIF($J$6:$J338,TRUE()))</f>
        <v/>
      </c>
      <c r="L338" s="5" t="str">
        <f aca="false">IF($K338="","","R"&amp;$K338)</f>
        <v/>
      </c>
    </row>
    <row r="339" customFormat="false" ht="15" hidden="false" customHeight="true" outlineLevel="0" collapsed="false">
      <c r="J339" s="14" t="b">
        <f aca="false">IF(중복검사!$A337="",FALSE(),중복검사!$H337="중복")</f>
        <v>0</v>
      </c>
      <c r="K339" s="5" t="str">
        <f aca="false">IF($J339=FALSE(),"",COUNTIF($J$6:$J339,TRUE()))</f>
        <v/>
      </c>
      <c r="L339" s="5" t="str">
        <f aca="false">IF($K339="","","R"&amp;$K339)</f>
        <v/>
      </c>
    </row>
    <row r="340" customFormat="false" ht="15" hidden="false" customHeight="true" outlineLevel="0" collapsed="false">
      <c r="J340" s="14" t="b">
        <f aca="false">IF(중복검사!$A338="",FALSE(),중복검사!$H338="중복")</f>
        <v>0</v>
      </c>
      <c r="K340" s="5" t="str">
        <f aca="false">IF($J340=FALSE(),"",COUNTIF($J$6:$J340,TRUE()))</f>
        <v/>
      </c>
      <c r="L340" s="5" t="str">
        <f aca="false">IF($K340="","","R"&amp;$K340)</f>
        <v/>
      </c>
    </row>
    <row r="341" customFormat="false" ht="15" hidden="false" customHeight="true" outlineLevel="0" collapsed="false">
      <c r="J341" s="14" t="b">
        <f aca="false">IF(중복검사!$A339="",FALSE(),중복검사!$H339="중복")</f>
        <v>0</v>
      </c>
      <c r="K341" s="5" t="str">
        <f aca="false">IF($J341=FALSE(),"",COUNTIF($J$6:$J341,TRUE()))</f>
        <v/>
      </c>
      <c r="L341" s="5" t="str">
        <f aca="false">IF($K341="","","R"&amp;$K341)</f>
        <v/>
      </c>
    </row>
    <row r="342" customFormat="false" ht="15" hidden="false" customHeight="true" outlineLevel="0" collapsed="false">
      <c r="J342" s="14" t="b">
        <f aca="false">IF(중복검사!$A340="",FALSE(),중복검사!$H340="중복")</f>
        <v>0</v>
      </c>
      <c r="K342" s="5" t="str">
        <f aca="false">IF($J342=FALSE(),"",COUNTIF($J$6:$J342,TRUE()))</f>
        <v/>
      </c>
      <c r="L342" s="5" t="str">
        <f aca="false">IF($K342="","","R"&amp;$K342)</f>
        <v/>
      </c>
    </row>
    <row r="343" customFormat="false" ht="15" hidden="false" customHeight="true" outlineLevel="0" collapsed="false">
      <c r="J343" s="14" t="b">
        <f aca="false">IF(중복검사!$A341="",FALSE(),중복검사!$H341="중복")</f>
        <v>0</v>
      </c>
      <c r="K343" s="5" t="str">
        <f aca="false">IF($J343=FALSE(),"",COUNTIF($J$6:$J343,TRUE()))</f>
        <v/>
      </c>
      <c r="L343" s="5" t="str">
        <f aca="false">IF($K343="","","R"&amp;$K343)</f>
        <v/>
      </c>
    </row>
    <row r="344" customFormat="false" ht="15" hidden="false" customHeight="true" outlineLevel="0" collapsed="false">
      <c r="J344" s="14" t="b">
        <f aca="false">IF(중복검사!$A342="",FALSE(),중복검사!$H342="중복")</f>
        <v>0</v>
      </c>
      <c r="K344" s="5" t="str">
        <f aca="false">IF($J344=FALSE(),"",COUNTIF($J$6:$J344,TRUE()))</f>
        <v/>
      </c>
      <c r="L344" s="5" t="str">
        <f aca="false">IF($K344="","","R"&amp;$K344)</f>
        <v/>
      </c>
    </row>
    <row r="345" customFormat="false" ht="15" hidden="false" customHeight="true" outlineLevel="0" collapsed="false">
      <c r="J345" s="14" t="b">
        <f aca="false">IF(중복검사!$A343="",FALSE(),중복검사!$H343="중복")</f>
        <v>0</v>
      </c>
      <c r="K345" s="5" t="str">
        <f aca="false">IF($J345=FALSE(),"",COUNTIF($J$6:$J345,TRUE()))</f>
        <v/>
      </c>
      <c r="L345" s="5" t="str">
        <f aca="false">IF($K345="","","R"&amp;$K345)</f>
        <v/>
      </c>
    </row>
    <row r="346" customFormat="false" ht="15" hidden="false" customHeight="true" outlineLevel="0" collapsed="false">
      <c r="J346" s="14" t="b">
        <f aca="false">IF(중복검사!$A344="",FALSE(),중복검사!$H344="중복")</f>
        <v>0</v>
      </c>
      <c r="K346" s="5" t="str">
        <f aca="false">IF($J346=FALSE(),"",COUNTIF($J$6:$J346,TRUE()))</f>
        <v/>
      </c>
      <c r="L346" s="5" t="str">
        <f aca="false">IF($K346="","","R"&amp;$K346)</f>
        <v/>
      </c>
    </row>
    <row r="347" customFormat="false" ht="15" hidden="false" customHeight="true" outlineLevel="0" collapsed="false">
      <c r="J347" s="14" t="b">
        <f aca="false">IF(중복검사!$A345="",FALSE(),중복검사!$H345="중복")</f>
        <v>0</v>
      </c>
      <c r="K347" s="5" t="str">
        <f aca="false">IF($J347=FALSE(),"",COUNTIF($J$6:$J347,TRUE()))</f>
        <v/>
      </c>
      <c r="L347" s="5" t="str">
        <f aca="false">IF($K347="","","R"&amp;$K347)</f>
        <v/>
      </c>
    </row>
    <row r="348" customFormat="false" ht="15" hidden="false" customHeight="true" outlineLevel="0" collapsed="false">
      <c r="J348" s="14" t="b">
        <f aca="false">IF(중복검사!$A346="",FALSE(),중복검사!$H346="중복")</f>
        <v>0</v>
      </c>
      <c r="K348" s="5" t="str">
        <f aca="false">IF($J348=FALSE(),"",COUNTIF($J$6:$J348,TRUE()))</f>
        <v/>
      </c>
      <c r="L348" s="5" t="str">
        <f aca="false">IF($K348="","","R"&amp;$K348)</f>
        <v/>
      </c>
    </row>
    <row r="349" customFormat="false" ht="15" hidden="false" customHeight="true" outlineLevel="0" collapsed="false">
      <c r="J349" s="14" t="b">
        <f aca="false">IF(중복검사!$A347="",FALSE(),중복검사!$H347="중복")</f>
        <v>0</v>
      </c>
      <c r="K349" s="5" t="str">
        <f aca="false">IF($J349=FALSE(),"",COUNTIF($J$6:$J349,TRUE()))</f>
        <v/>
      </c>
      <c r="L349" s="5" t="str">
        <f aca="false">IF($K349="","","R"&amp;$K349)</f>
        <v/>
      </c>
    </row>
    <row r="350" customFormat="false" ht="15" hidden="false" customHeight="true" outlineLevel="0" collapsed="false">
      <c r="J350" s="14" t="b">
        <f aca="false">IF(중복검사!$A348="",FALSE(),중복검사!$H348="중복")</f>
        <v>0</v>
      </c>
      <c r="K350" s="5" t="str">
        <f aca="false">IF($J350=FALSE(),"",COUNTIF($J$6:$J350,TRUE()))</f>
        <v/>
      </c>
      <c r="L350" s="5" t="str">
        <f aca="false">IF($K350="","","R"&amp;$K350)</f>
        <v/>
      </c>
    </row>
    <row r="351" customFormat="false" ht="15" hidden="false" customHeight="true" outlineLevel="0" collapsed="false">
      <c r="J351" s="14" t="b">
        <f aca="false">IF(중복검사!$A349="",FALSE(),중복검사!$H349="중복")</f>
        <v>0</v>
      </c>
      <c r="K351" s="5" t="str">
        <f aca="false">IF($J351=FALSE(),"",COUNTIF($J$6:$J351,TRUE()))</f>
        <v/>
      </c>
      <c r="L351" s="5" t="str">
        <f aca="false">IF($K351="","","R"&amp;$K351)</f>
        <v/>
      </c>
    </row>
    <row r="352" customFormat="false" ht="15" hidden="false" customHeight="true" outlineLevel="0" collapsed="false">
      <c r="J352" s="14" t="b">
        <f aca="false">IF(중복검사!$A350="",FALSE(),중복검사!$H350="중복")</f>
        <v>0</v>
      </c>
      <c r="K352" s="5" t="str">
        <f aca="false">IF($J352=FALSE(),"",COUNTIF($J$6:$J352,TRUE()))</f>
        <v/>
      </c>
      <c r="L352" s="5" t="str">
        <f aca="false">IF($K352="","","R"&amp;$K352)</f>
        <v/>
      </c>
    </row>
    <row r="353" customFormat="false" ht="15" hidden="false" customHeight="true" outlineLevel="0" collapsed="false">
      <c r="J353" s="14" t="b">
        <f aca="false">IF(중복검사!$A351="",FALSE(),중복검사!$H351="중복")</f>
        <v>0</v>
      </c>
      <c r="K353" s="5" t="str">
        <f aca="false">IF($J353=FALSE(),"",COUNTIF($J$6:$J353,TRUE()))</f>
        <v/>
      </c>
      <c r="L353" s="5" t="str">
        <f aca="false">IF($K353="","","R"&amp;$K353)</f>
        <v/>
      </c>
    </row>
    <row r="354" customFormat="false" ht="15" hidden="false" customHeight="true" outlineLevel="0" collapsed="false">
      <c r="J354" s="14" t="b">
        <f aca="false">IF(중복검사!$A352="",FALSE(),중복검사!$H352="중복")</f>
        <v>0</v>
      </c>
      <c r="K354" s="5" t="str">
        <f aca="false">IF($J354=FALSE(),"",COUNTIF($J$6:$J354,TRUE()))</f>
        <v/>
      </c>
      <c r="L354" s="5" t="str">
        <f aca="false">IF($K354="","","R"&amp;$K354)</f>
        <v/>
      </c>
    </row>
    <row r="355" customFormat="false" ht="15" hidden="false" customHeight="true" outlineLevel="0" collapsed="false">
      <c r="J355" s="14" t="b">
        <f aca="false">IF(중복검사!$A353="",FALSE(),중복검사!$H353="중복")</f>
        <v>0</v>
      </c>
      <c r="K355" s="5" t="str">
        <f aca="false">IF($J355=FALSE(),"",COUNTIF($J$6:$J355,TRUE()))</f>
        <v/>
      </c>
      <c r="L355" s="5" t="str">
        <f aca="false">IF($K355="","","R"&amp;$K355)</f>
        <v/>
      </c>
    </row>
    <row r="356" customFormat="false" ht="15" hidden="false" customHeight="true" outlineLevel="0" collapsed="false">
      <c r="J356" s="14" t="b">
        <f aca="false">IF(중복검사!$A354="",FALSE(),중복검사!$H354="중복")</f>
        <v>0</v>
      </c>
      <c r="K356" s="5" t="str">
        <f aca="false">IF($J356=FALSE(),"",COUNTIF($J$6:$J356,TRUE()))</f>
        <v/>
      </c>
      <c r="L356" s="5" t="str">
        <f aca="false">IF($K356="","","R"&amp;$K356)</f>
        <v/>
      </c>
    </row>
    <row r="357" customFormat="false" ht="15" hidden="false" customHeight="true" outlineLevel="0" collapsed="false">
      <c r="J357" s="14" t="b">
        <f aca="false">IF(중복검사!$A355="",FALSE(),중복검사!$H355="중복")</f>
        <v>0</v>
      </c>
      <c r="K357" s="5" t="str">
        <f aca="false">IF($J357=FALSE(),"",COUNTIF($J$6:$J357,TRUE()))</f>
        <v/>
      </c>
      <c r="L357" s="5" t="str">
        <f aca="false">IF($K357="","","R"&amp;$K357)</f>
        <v/>
      </c>
    </row>
    <row r="358" customFormat="false" ht="15" hidden="false" customHeight="true" outlineLevel="0" collapsed="false">
      <c r="J358" s="14" t="b">
        <f aca="false">IF(중복검사!$A356="",FALSE(),중복검사!$H356="중복")</f>
        <v>0</v>
      </c>
      <c r="K358" s="5" t="str">
        <f aca="false">IF($J358=FALSE(),"",COUNTIF($J$6:$J358,TRUE()))</f>
        <v/>
      </c>
      <c r="L358" s="5" t="str">
        <f aca="false">IF($K358="","","R"&amp;$K358)</f>
        <v/>
      </c>
    </row>
    <row r="359" customFormat="false" ht="15" hidden="false" customHeight="true" outlineLevel="0" collapsed="false">
      <c r="J359" s="14" t="b">
        <f aca="false">IF(중복검사!$A357="",FALSE(),중복검사!$H357="중복")</f>
        <v>0</v>
      </c>
      <c r="K359" s="5" t="str">
        <f aca="false">IF($J359=FALSE(),"",COUNTIF($J$6:$J359,TRUE()))</f>
        <v/>
      </c>
      <c r="L359" s="5" t="str">
        <f aca="false">IF($K359="","","R"&amp;$K359)</f>
        <v/>
      </c>
    </row>
    <row r="360" customFormat="false" ht="15" hidden="false" customHeight="true" outlineLevel="0" collapsed="false">
      <c r="J360" s="14" t="b">
        <f aca="false">IF(중복검사!$A358="",FALSE(),중복검사!$H358="중복")</f>
        <v>0</v>
      </c>
      <c r="K360" s="5" t="str">
        <f aca="false">IF($J360=FALSE(),"",COUNTIF($J$6:$J360,TRUE()))</f>
        <v/>
      </c>
      <c r="L360" s="5" t="str">
        <f aca="false">IF($K360="","","R"&amp;$K360)</f>
        <v/>
      </c>
    </row>
    <row r="361" customFormat="false" ht="15" hidden="false" customHeight="true" outlineLevel="0" collapsed="false">
      <c r="J361" s="14" t="b">
        <f aca="false">IF(중복검사!$A359="",FALSE(),중복검사!$H359="중복")</f>
        <v>0</v>
      </c>
      <c r="K361" s="5" t="str">
        <f aca="false">IF($J361=FALSE(),"",COUNTIF($J$6:$J361,TRUE()))</f>
        <v/>
      </c>
      <c r="L361" s="5" t="str">
        <f aca="false">IF($K361="","","R"&amp;$K361)</f>
        <v/>
      </c>
    </row>
    <row r="362" customFormat="false" ht="15" hidden="false" customHeight="true" outlineLevel="0" collapsed="false">
      <c r="J362" s="14" t="b">
        <f aca="false">IF(중복검사!$A360="",FALSE(),중복검사!$H360="중복")</f>
        <v>0</v>
      </c>
      <c r="K362" s="5" t="str">
        <f aca="false">IF($J362=FALSE(),"",COUNTIF($J$6:$J362,TRUE()))</f>
        <v/>
      </c>
      <c r="L362" s="5" t="str">
        <f aca="false">IF($K362="","","R"&amp;$K362)</f>
        <v/>
      </c>
    </row>
    <row r="363" customFormat="false" ht="15" hidden="false" customHeight="true" outlineLevel="0" collapsed="false">
      <c r="J363" s="14" t="b">
        <f aca="false">IF(중복검사!$A361="",FALSE(),중복검사!$H361="중복")</f>
        <v>0</v>
      </c>
      <c r="K363" s="5" t="str">
        <f aca="false">IF($J363=FALSE(),"",COUNTIF($J$6:$J363,TRUE()))</f>
        <v/>
      </c>
      <c r="L363" s="5" t="str">
        <f aca="false">IF($K363="","","R"&amp;$K363)</f>
        <v/>
      </c>
    </row>
    <row r="364" customFormat="false" ht="15" hidden="false" customHeight="true" outlineLevel="0" collapsed="false">
      <c r="J364" s="14" t="b">
        <f aca="false">IF(중복검사!$A362="",FALSE(),중복검사!$H362="중복")</f>
        <v>0</v>
      </c>
      <c r="K364" s="5" t="str">
        <f aca="false">IF($J364=FALSE(),"",COUNTIF($J$6:$J364,TRUE()))</f>
        <v/>
      </c>
      <c r="L364" s="5" t="str">
        <f aca="false">IF($K364="","","R"&amp;$K364)</f>
        <v/>
      </c>
    </row>
    <row r="365" customFormat="false" ht="15" hidden="false" customHeight="true" outlineLevel="0" collapsed="false">
      <c r="J365" s="14" t="b">
        <f aca="false">IF(중복검사!$A363="",FALSE(),중복검사!$H363="중복")</f>
        <v>0</v>
      </c>
      <c r="K365" s="5" t="str">
        <f aca="false">IF($J365=FALSE(),"",COUNTIF($J$6:$J365,TRUE()))</f>
        <v/>
      </c>
      <c r="L365" s="5" t="str">
        <f aca="false">IF($K365="","","R"&amp;$K365)</f>
        <v/>
      </c>
    </row>
    <row r="366" customFormat="false" ht="15" hidden="false" customHeight="true" outlineLevel="0" collapsed="false">
      <c r="J366" s="14" t="b">
        <f aca="false">IF(중복검사!$A364="",FALSE(),중복검사!$H364="중복")</f>
        <v>0</v>
      </c>
      <c r="K366" s="5" t="str">
        <f aca="false">IF($J366=FALSE(),"",COUNTIF($J$6:$J366,TRUE()))</f>
        <v/>
      </c>
      <c r="L366" s="5" t="str">
        <f aca="false">IF($K366="","","R"&amp;$K366)</f>
        <v/>
      </c>
    </row>
    <row r="367" customFormat="false" ht="15" hidden="false" customHeight="true" outlineLevel="0" collapsed="false">
      <c r="J367" s="14" t="b">
        <f aca="false">IF(중복검사!$A365="",FALSE(),중복검사!$H365="중복")</f>
        <v>0</v>
      </c>
      <c r="K367" s="5" t="str">
        <f aca="false">IF($J367=FALSE(),"",COUNTIF($J$6:$J367,TRUE()))</f>
        <v/>
      </c>
      <c r="L367" s="5" t="str">
        <f aca="false">IF($K367="","","R"&amp;$K367)</f>
        <v/>
      </c>
    </row>
    <row r="368" customFormat="false" ht="15" hidden="false" customHeight="true" outlineLevel="0" collapsed="false">
      <c r="J368" s="14" t="b">
        <f aca="false">IF(중복검사!$A366="",FALSE(),중복검사!$H366="중복")</f>
        <v>0</v>
      </c>
      <c r="K368" s="5" t="str">
        <f aca="false">IF($J368=FALSE(),"",COUNTIF($J$6:$J368,TRUE()))</f>
        <v/>
      </c>
      <c r="L368" s="5" t="str">
        <f aca="false">IF($K368="","","R"&amp;$K368)</f>
        <v/>
      </c>
    </row>
    <row r="369" customFormat="false" ht="15" hidden="false" customHeight="true" outlineLevel="0" collapsed="false">
      <c r="J369" s="14" t="b">
        <f aca="false">IF(중복검사!$A367="",FALSE(),중복검사!$H367="중복")</f>
        <v>0</v>
      </c>
      <c r="K369" s="5" t="str">
        <f aca="false">IF($J369=FALSE(),"",COUNTIF($J$6:$J369,TRUE()))</f>
        <v/>
      </c>
      <c r="L369" s="5" t="str">
        <f aca="false">IF($K369="","","R"&amp;$K369)</f>
        <v/>
      </c>
    </row>
    <row r="370" customFormat="false" ht="15" hidden="false" customHeight="true" outlineLevel="0" collapsed="false">
      <c r="J370" s="14" t="b">
        <f aca="false">IF(중복검사!$A368="",FALSE(),중복검사!$H368="중복")</f>
        <v>0</v>
      </c>
      <c r="K370" s="5" t="str">
        <f aca="false">IF($J370=FALSE(),"",COUNTIF($J$6:$J370,TRUE()))</f>
        <v/>
      </c>
      <c r="L370" s="5" t="str">
        <f aca="false">IF($K370="","","R"&amp;$K370)</f>
        <v/>
      </c>
    </row>
    <row r="371" customFormat="false" ht="15" hidden="false" customHeight="true" outlineLevel="0" collapsed="false">
      <c r="J371" s="14" t="b">
        <f aca="false">IF(중복검사!$A369="",FALSE(),중복검사!$H369="중복")</f>
        <v>0</v>
      </c>
      <c r="K371" s="5" t="str">
        <f aca="false">IF($J371=FALSE(),"",COUNTIF($J$6:$J371,TRUE()))</f>
        <v/>
      </c>
      <c r="L371" s="5" t="str">
        <f aca="false">IF($K371="","","R"&amp;$K371)</f>
        <v/>
      </c>
    </row>
    <row r="372" customFormat="false" ht="15" hidden="false" customHeight="true" outlineLevel="0" collapsed="false">
      <c r="J372" s="14" t="b">
        <f aca="false">IF(중복검사!$A370="",FALSE(),중복검사!$H370="중복")</f>
        <v>0</v>
      </c>
      <c r="K372" s="5" t="str">
        <f aca="false">IF($J372=FALSE(),"",COUNTIF($J$6:$J372,TRUE()))</f>
        <v/>
      </c>
      <c r="L372" s="5" t="str">
        <f aca="false">IF($K372="","","R"&amp;$K372)</f>
        <v/>
      </c>
    </row>
    <row r="373" customFormat="false" ht="15" hidden="false" customHeight="true" outlineLevel="0" collapsed="false">
      <c r="J373" s="14" t="b">
        <f aca="false">IF(중복검사!$A371="",FALSE(),중복검사!$H371="중복")</f>
        <v>0</v>
      </c>
      <c r="K373" s="5" t="str">
        <f aca="false">IF($J373=FALSE(),"",COUNTIF($J$6:$J373,TRUE()))</f>
        <v/>
      </c>
      <c r="L373" s="5" t="str">
        <f aca="false">IF($K373="","","R"&amp;$K373)</f>
        <v/>
      </c>
    </row>
    <row r="374" customFormat="false" ht="15" hidden="false" customHeight="true" outlineLevel="0" collapsed="false">
      <c r="J374" s="14" t="b">
        <f aca="false">IF(중복검사!$A372="",FALSE(),중복검사!$H372="중복")</f>
        <v>0</v>
      </c>
      <c r="K374" s="5" t="str">
        <f aca="false">IF($J374=FALSE(),"",COUNTIF($J$6:$J374,TRUE()))</f>
        <v/>
      </c>
      <c r="L374" s="5" t="str">
        <f aca="false">IF($K374="","","R"&amp;$K374)</f>
        <v/>
      </c>
    </row>
    <row r="375" customFormat="false" ht="15" hidden="false" customHeight="true" outlineLevel="0" collapsed="false">
      <c r="J375" s="14" t="b">
        <f aca="false">IF(중복검사!$A373="",FALSE(),중복검사!$H373="중복")</f>
        <v>0</v>
      </c>
      <c r="K375" s="5" t="str">
        <f aca="false">IF($J375=FALSE(),"",COUNTIF($J$6:$J375,TRUE()))</f>
        <v/>
      </c>
      <c r="L375" s="5" t="str">
        <f aca="false">IF($K375="","","R"&amp;$K375)</f>
        <v/>
      </c>
    </row>
    <row r="376" customFormat="false" ht="15" hidden="false" customHeight="true" outlineLevel="0" collapsed="false">
      <c r="J376" s="14" t="b">
        <f aca="false">IF(중복검사!$A374="",FALSE(),중복검사!$H374="중복")</f>
        <v>0</v>
      </c>
      <c r="K376" s="5" t="str">
        <f aca="false">IF($J376=FALSE(),"",COUNTIF($J$6:$J376,TRUE()))</f>
        <v/>
      </c>
      <c r="L376" s="5" t="str">
        <f aca="false">IF($K376="","","R"&amp;$K376)</f>
        <v/>
      </c>
    </row>
    <row r="377" customFormat="false" ht="15" hidden="false" customHeight="true" outlineLevel="0" collapsed="false">
      <c r="J377" s="14" t="b">
        <f aca="false">IF(중복검사!$A375="",FALSE(),중복검사!$H375="중복")</f>
        <v>0</v>
      </c>
      <c r="K377" s="5" t="str">
        <f aca="false">IF($J377=FALSE(),"",COUNTIF($J$6:$J377,TRUE()))</f>
        <v/>
      </c>
      <c r="L377" s="5" t="str">
        <f aca="false">IF($K377="","","R"&amp;$K377)</f>
        <v/>
      </c>
    </row>
    <row r="378" customFormat="false" ht="15" hidden="false" customHeight="true" outlineLevel="0" collapsed="false">
      <c r="J378" s="14" t="b">
        <f aca="false">IF(중복검사!$A376="",FALSE(),중복검사!$H376="중복")</f>
        <v>0</v>
      </c>
      <c r="K378" s="5" t="str">
        <f aca="false">IF($J378=FALSE(),"",COUNTIF($J$6:$J378,TRUE()))</f>
        <v/>
      </c>
      <c r="L378" s="5" t="str">
        <f aca="false">IF($K378="","","R"&amp;$K378)</f>
        <v/>
      </c>
    </row>
    <row r="379" customFormat="false" ht="15" hidden="false" customHeight="true" outlineLevel="0" collapsed="false">
      <c r="J379" s="14" t="b">
        <f aca="false">IF(중복검사!$A377="",FALSE(),중복검사!$H377="중복")</f>
        <v>0</v>
      </c>
      <c r="K379" s="5" t="str">
        <f aca="false">IF($J379=FALSE(),"",COUNTIF($J$6:$J379,TRUE()))</f>
        <v/>
      </c>
      <c r="L379" s="5" t="str">
        <f aca="false">IF($K379="","","R"&amp;$K379)</f>
        <v/>
      </c>
    </row>
    <row r="380" customFormat="false" ht="15" hidden="false" customHeight="true" outlineLevel="0" collapsed="false">
      <c r="J380" s="14" t="b">
        <f aca="false">IF(중복검사!$A378="",FALSE(),중복검사!$H378="중복")</f>
        <v>0</v>
      </c>
      <c r="K380" s="5" t="str">
        <f aca="false">IF($J380=FALSE(),"",COUNTIF($J$6:$J380,TRUE()))</f>
        <v/>
      </c>
      <c r="L380" s="5" t="str">
        <f aca="false">IF($K380="","","R"&amp;$K380)</f>
        <v/>
      </c>
    </row>
    <row r="381" customFormat="false" ht="15" hidden="false" customHeight="true" outlineLevel="0" collapsed="false">
      <c r="J381" s="14" t="b">
        <f aca="false">IF(중복검사!$A379="",FALSE(),중복검사!$H379="중복")</f>
        <v>0</v>
      </c>
      <c r="K381" s="5" t="str">
        <f aca="false">IF($J381=FALSE(),"",COUNTIF($J$6:$J381,TRUE()))</f>
        <v/>
      </c>
      <c r="L381" s="5" t="str">
        <f aca="false">IF($K381="","","R"&amp;$K381)</f>
        <v/>
      </c>
    </row>
    <row r="382" customFormat="false" ht="15" hidden="false" customHeight="true" outlineLevel="0" collapsed="false">
      <c r="J382" s="14" t="b">
        <f aca="false">IF(중복검사!$A380="",FALSE(),중복검사!$H380="중복")</f>
        <v>0</v>
      </c>
      <c r="K382" s="5" t="str">
        <f aca="false">IF($J382=FALSE(),"",COUNTIF($J$6:$J382,TRUE()))</f>
        <v/>
      </c>
      <c r="L382" s="5" t="str">
        <f aca="false">IF($K382="","","R"&amp;$K382)</f>
        <v/>
      </c>
    </row>
    <row r="383" customFormat="false" ht="15" hidden="false" customHeight="true" outlineLevel="0" collapsed="false">
      <c r="J383" s="14" t="b">
        <f aca="false">IF(중복검사!$A381="",FALSE(),중복검사!$H381="중복")</f>
        <v>0</v>
      </c>
      <c r="K383" s="5" t="str">
        <f aca="false">IF($J383=FALSE(),"",COUNTIF($J$6:$J383,TRUE()))</f>
        <v/>
      </c>
      <c r="L383" s="5" t="str">
        <f aca="false">IF($K383="","","R"&amp;$K383)</f>
        <v/>
      </c>
    </row>
    <row r="384" customFormat="false" ht="15" hidden="false" customHeight="true" outlineLevel="0" collapsed="false">
      <c r="J384" s="14" t="b">
        <f aca="false">IF(중복검사!$A382="",FALSE(),중복검사!$H382="중복")</f>
        <v>0</v>
      </c>
      <c r="K384" s="5" t="str">
        <f aca="false">IF($J384=FALSE(),"",COUNTIF($J$6:$J384,TRUE()))</f>
        <v/>
      </c>
      <c r="L384" s="5" t="str">
        <f aca="false">IF($K384="","","R"&amp;$K384)</f>
        <v/>
      </c>
    </row>
    <row r="385" customFormat="false" ht="15" hidden="false" customHeight="true" outlineLevel="0" collapsed="false">
      <c r="J385" s="14" t="b">
        <f aca="false">IF(중복검사!$A383="",FALSE(),중복검사!$H383="중복")</f>
        <v>0</v>
      </c>
      <c r="K385" s="5" t="str">
        <f aca="false">IF($J385=FALSE(),"",COUNTIF($J$6:$J385,TRUE()))</f>
        <v/>
      </c>
      <c r="L385" s="5" t="str">
        <f aca="false">IF($K385="","","R"&amp;$K385)</f>
        <v/>
      </c>
    </row>
    <row r="386" customFormat="false" ht="15" hidden="false" customHeight="true" outlineLevel="0" collapsed="false">
      <c r="J386" s="14" t="b">
        <f aca="false">IF(중복검사!$A384="",FALSE(),중복검사!$H384="중복")</f>
        <v>0</v>
      </c>
      <c r="K386" s="5" t="str">
        <f aca="false">IF($J386=FALSE(),"",COUNTIF($J$6:$J386,TRUE()))</f>
        <v/>
      </c>
      <c r="L386" s="5" t="str">
        <f aca="false">IF($K386="","","R"&amp;$K386)</f>
        <v/>
      </c>
    </row>
    <row r="387" customFormat="false" ht="15" hidden="false" customHeight="true" outlineLevel="0" collapsed="false">
      <c r="J387" s="14" t="b">
        <f aca="false">IF(중복검사!$A385="",FALSE(),중복검사!$H385="중복")</f>
        <v>0</v>
      </c>
      <c r="K387" s="5" t="str">
        <f aca="false">IF($J387=FALSE(),"",COUNTIF($J$6:$J387,TRUE()))</f>
        <v/>
      </c>
      <c r="L387" s="5" t="str">
        <f aca="false">IF($K387="","","R"&amp;$K387)</f>
        <v/>
      </c>
    </row>
    <row r="388" customFormat="false" ht="15" hidden="false" customHeight="true" outlineLevel="0" collapsed="false">
      <c r="J388" s="14" t="b">
        <f aca="false">IF(중복검사!$A386="",FALSE(),중복검사!$H386="중복")</f>
        <v>0</v>
      </c>
      <c r="K388" s="5" t="str">
        <f aca="false">IF($J388=FALSE(),"",COUNTIF($J$6:$J388,TRUE()))</f>
        <v/>
      </c>
      <c r="L388" s="5" t="str">
        <f aca="false">IF($K388="","","R"&amp;$K388)</f>
        <v/>
      </c>
    </row>
    <row r="389" customFormat="false" ht="15" hidden="false" customHeight="true" outlineLevel="0" collapsed="false">
      <c r="J389" s="14" t="b">
        <f aca="false">IF(중복검사!$A387="",FALSE(),중복검사!$H387="중복")</f>
        <v>0</v>
      </c>
      <c r="K389" s="5" t="str">
        <f aca="false">IF($J389=FALSE(),"",COUNTIF($J$6:$J389,TRUE()))</f>
        <v/>
      </c>
      <c r="L389" s="5" t="str">
        <f aca="false">IF($K389="","","R"&amp;$K389)</f>
        <v/>
      </c>
    </row>
    <row r="390" customFormat="false" ht="15" hidden="false" customHeight="true" outlineLevel="0" collapsed="false">
      <c r="J390" s="14" t="b">
        <f aca="false">IF(중복검사!$A388="",FALSE(),중복검사!$H388="중복")</f>
        <v>0</v>
      </c>
      <c r="K390" s="5" t="str">
        <f aca="false">IF($J390=FALSE(),"",COUNTIF($J$6:$J390,TRUE()))</f>
        <v/>
      </c>
      <c r="L390" s="5" t="str">
        <f aca="false">IF($K390="","","R"&amp;$K390)</f>
        <v/>
      </c>
    </row>
    <row r="391" customFormat="false" ht="15" hidden="false" customHeight="true" outlineLevel="0" collapsed="false">
      <c r="J391" s="14" t="b">
        <f aca="false">IF(중복검사!$A389="",FALSE(),중복검사!$H389="중복")</f>
        <v>0</v>
      </c>
      <c r="K391" s="5" t="str">
        <f aca="false">IF($J391=FALSE(),"",COUNTIF($J$6:$J391,TRUE()))</f>
        <v/>
      </c>
      <c r="L391" s="5" t="str">
        <f aca="false">IF($K391="","","R"&amp;$K391)</f>
        <v/>
      </c>
    </row>
    <row r="392" customFormat="false" ht="15" hidden="false" customHeight="true" outlineLevel="0" collapsed="false">
      <c r="J392" s="14" t="b">
        <f aca="false">IF(중복검사!$A390="",FALSE(),중복검사!$H390="중복")</f>
        <v>0</v>
      </c>
      <c r="K392" s="5" t="str">
        <f aca="false">IF($J392=FALSE(),"",COUNTIF($J$6:$J392,TRUE()))</f>
        <v/>
      </c>
      <c r="L392" s="5" t="str">
        <f aca="false">IF($K392="","","R"&amp;$K392)</f>
        <v/>
      </c>
    </row>
    <row r="393" customFormat="false" ht="15" hidden="false" customHeight="true" outlineLevel="0" collapsed="false">
      <c r="J393" s="14" t="b">
        <f aca="false">IF(중복검사!$A391="",FALSE(),중복검사!$H391="중복")</f>
        <v>0</v>
      </c>
      <c r="K393" s="5" t="str">
        <f aca="false">IF($J393=FALSE(),"",COUNTIF($J$6:$J393,TRUE()))</f>
        <v/>
      </c>
      <c r="L393" s="5" t="str">
        <f aca="false">IF($K393="","","R"&amp;$K393)</f>
        <v/>
      </c>
    </row>
    <row r="394" customFormat="false" ht="15" hidden="false" customHeight="true" outlineLevel="0" collapsed="false">
      <c r="J394" s="14" t="b">
        <f aca="false">IF(중복검사!$A392="",FALSE(),중복검사!$H392="중복")</f>
        <v>0</v>
      </c>
      <c r="K394" s="5" t="str">
        <f aca="false">IF($J394=FALSE(),"",COUNTIF($J$6:$J394,TRUE()))</f>
        <v/>
      </c>
      <c r="L394" s="5" t="str">
        <f aca="false">IF($K394="","","R"&amp;$K394)</f>
        <v/>
      </c>
    </row>
    <row r="395" customFormat="false" ht="15" hidden="false" customHeight="true" outlineLevel="0" collapsed="false">
      <c r="J395" s="14" t="b">
        <f aca="false">IF(중복검사!$A393="",FALSE(),중복검사!$H393="중복")</f>
        <v>0</v>
      </c>
      <c r="K395" s="5" t="str">
        <f aca="false">IF($J395=FALSE(),"",COUNTIF($J$6:$J395,TRUE()))</f>
        <v/>
      </c>
      <c r="L395" s="5" t="str">
        <f aca="false">IF($K395="","","R"&amp;$K395)</f>
        <v/>
      </c>
    </row>
    <row r="396" customFormat="false" ht="15" hidden="false" customHeight="true" outlineLevel="0" collapsed="false">
      <c r="J396" s="14" t="b">
        <f aca="false">IF(중복검사!$A394="",FALSE(),중복검사!$H394="중복")</f>
        <v>0</v>
      </c>
      <c r="K396" s="5" t="str">
        <f aca="false">IF($J396=FALSE(),"",COUNTIF($J$6:$J396,TRUE()))</f>
        <v/>
      </c>
      <c r="L396" s="5" t="str">
        <f aca="false">IF($K396="","","R"&amp;$K396)</f>
        <v/>
      </c>
    </row>
    <row r="397" customFormat="false" ht="15" hidden="false" customHeight="true" outlineLevel="0" collapsed="false">
      <c r="J397" s="14" t="b">
        <f aca="false">IF(중복검사!$A395="",FALSE(),중복검사!$H395="중복")</f>
        <v>0</v>
      </c>
      <c r="K397" s="5" t="str">
        <f aca="false">IF($J397=FALSE(),"",COUNTIF($J$6:$J397,TRUE()))</f>
        <v/>
      </c>
      <c r="L397" s="5" t="str">
        <f aca="false">IF($K397="","","R"&amp;$K397)</f>
        <v/>
      </c>
    </row>
    <row r="398" customFormat="false" ht="15" hidden="false" customHeight="true" outlineLevel="0" collapsed="false">
      <c r="J398" s="14" t="b">
        <f aca="false">IF(중복검사!$A396="",FALSE(),중복검사!$H396="중복")</f>
        <v>0</v>
      </c>
      <c r="K398" s="5" t="str">
        <f aca="false">IF($J398=FALSE(),"",COUNTIF($J$6:$J398,TRUE()))</f>
        <v/>
      </c>
      <c r="L398" s="5" t="str">
        <f aca="false">IF($K398="","","R"&amp;$K398)</f>
        <v/>
      </c>
    </row>
    <row r="399" customFormat="false" ht="15" hidden="false" customHeight="true" outlineLevel="0" collapsed="false">
      <c r="J399" s="14" t="b">
        <f aca="false">IF(중복검사!$A397="",FALSE(),중복검사!$H397="중복")</f>
        <v>0</v>
      </c>
      <c r="K399" s="5" t="str">
        <f aca="false">IF($J399=FALSE(),"",COUNTIF($J$6:$J399,TRUE()))</f>
        <v/>
      </c>
      <c r="L399" s="5" t="str">
        <f aca="false">IF($K399="","","R"&amp;$K399)</f>
        <v/>
      </c>
    </row>
    <row r="400" customFormat="false" ht="15" hidden="false" customHeight="true" outlineLevel="0" collapsed="false">
      <c r="J400" s="14" t="b">
        <f aca="false">IF(중복검사!$A398="",FALSE(),중복검사!$H398="중복")</f>
        <v>0</v>
      </c>
      <c r="K400" s="5" t="str">
        <f aca="false">IF($J400=FALSE(),"",COUNTIF($J$6:$J400,TRUE()))</f>
        <v/>
      </c>
      <c r="L400" s="5" t="str">
        <f aca="false">IF($K400="","","R"&amp;$K400)</f>
        <v/>
      </c>
    </row>
    <row r="401" customFormat="false" ht="15" hidden="false" customHeight="true" outlineLevel="0" collapsed="false">
      <c r="J401" s="14" t="b">
        <f aca="false">IF(중복검사!$A399="",FALSE(),중복검사!$H399="중복")</f>
        <v>0</v>
      </c>
      <c r="K401" s="5" t="str">
        <f aca="false">IF($J401=FALSE(),"",COUNTIF($J$6:$J401,TRUE()))</f>
        <v/>
      </c>
      <c r="L401" s="5" t="str">
        <f aca="false">IF($K401="","","R"&amp;$K401)</f>
        <v/>
      </c>
    </row>
    <row r="402" customFormat="false" ht="15" hidden="false" customHeight="true" outlineLevel="0" collapsed="false">
      <c r="J402" s="14" t="b">
        <f aca="false">IF(중복검사!$A400="",FALSE(),중복검사!$H400="중복")</f>
        <v>0</v>
      </c>
      <c r="K402" s="5" t="str">
        <f aca="false">IF($J402=FALSE(),"",COUNTIF($J$6:$J402,TRUE()))</f>
        <v/>
      </c>
      <c r="L402" s="5" t="str">
        <f aca="false">IF($K402="","","R"&amp;$K402)</f>
        <v/>
      </c>
    </row>
    <row r="403" customFormat="false" ht="15" hidden="false" customHeight="true" outlineLevel="0" collapsed="false">
      <c r="J403" s="14" t="b">
        <f aca="false">IF(중복검사!$A401="",FALSE(),중복검사!$H401="중복")</f>
        <v>0</v>
      </c>
      <c r="K403" s="5" t="str">
        <f aca="false">IF($J403=FALSE(),"",COUNTIF($J$6:$J403,TRUE()))</f>
        <v/>
      </c>
      <c r="L403" s="5" t="str">
        <f aca="false">IF($K403="","","R"&amp;$K403)</f>
        <v/>
      </c>
    </row>
    <row r="404" customFormat="false" ht="15" hidden="false" customHeight="true" outlineLevel="0" collapsed="false">
      <c r="J404" s="14" t="b">
        <f aca="false">IF(중복검사!$A402="",FALSE(),중복검사!$H402="중복")</f>
        <v>0</v>
      </c>
      <c r="K404" s="5" t="str">
        <f aca="false">IF($J404=FALSE(),"",COUNTIF($J$6:$J404,TRUE()))</f>
        <v/>
      </c>
      <c r="L404" s="5" t="str">
        <f aca="false">IF($K404="","","R"&amp;$K404)</f>
        <v/>
      </c>
    </row>
    <row r="405" customFormat="false" ht="15" hidden="false" customHeight="true" outlineLevel="0" collapsed="false">
      <c r="J405" s="14" t="b">
        <f aca="false">IF(중복검사!$A403="",FALSE(),중복검사!$H403="중복")</f>
        <v>0</v>
      </c>
      <c r="K405" s="5" t="str">
        <f aca="false">IF($J405=FALSE(),"",COUNTIF($J$6:$J405,TRUE()))</f>
        <v/>
      </c>
      <c r="L405" s="5" t="str">
        <f aca="false">IF($K405="","","R"&amp;$K405)</f>
        <v/>
      </c>
    </row>
    <row r="406" customFormat="false" ht="15" hidden="false" customHeight="true" outlineLevel="0" collapsed="false">
      <c r="J406" s="14" t="b">
        <f aca="false">IF(중복검사!$A404="",FALSE(),중복검사!$H404="중복")</f>
        <v>0</v>
      </c>
      <c r="K406" s="5" t="str">
        <f aca="false">IF($J406=FALSE(),"",COUNTIF($J$6:$J406,TRUE()))</f>
        <v/>
      </c>
      <c r="L406" s="5" t="str">
        <f aca="false">IF($K406="","","R"&amp;$K406)</f>
        <v/>
      </c>
    </row>
    <row r="407" customFormat="false" ht="15" hidden="false" customHeight="true" outlineLevel="0" collapsed="false">
      <c r="J407" s="14" t="b">
        <f aca="false">IF(중복검사!$A405="",FALSE(),중복검사!$H405="중복")</f>
        <v>0</v>
      </c>
      <c r="K407" s="5" t="str">
        <f aca="false">IF($J407=FALSE(),"",COUNTIF($J$6:$J407,TRUE()))</f>
        <v/>
      </c>
      <c r="L407" s="5" t="str">
        <f aca="false">IF($K407="","","R"&amp;$K407)</f>
        <v/>
      </c>
    </row>
    <row r="408" customFormat="false" ht="15" hidden="false" customHeight="true" outlineLevel="0" collapsed="false">
      <c r="J408" s="14" t="b">
        <f aca="false">IF(중복검사!$A406="",FALSE(),중복검사!$H406="중복")</f>
        <v>0</v>
      </c>
      <c r="K408" s="5" t="str">
        <f aca="false">IF($J408=FALSE(),"",COUNTIF($J$6:$J408,TRUE()))</f>
        <v/>
      </c>
      <c r="L408" s="5" t="str">
        <f aca="false">IF($K408="","","R"&amp;$K408)</f>
        <v/>
      </c>
    </row>
    <row r="409" customFormat="false" ht="15" hidden="false" customHeight="true" outlineLevel="0" collapsed="false">
      <c r="J409" s="14" t="b">
        <f aca="false">IF(중복검사!$A407="",FALSE(),중복검사!$H407="중복")</f>
        <v>0</v>
      </c>
      <c r="K409" s="5" t="str">
        <f aca="false">IF($J409=FALSE(),"",COUNTIF($J$6:$J409,TRUE()))</f>
        <v/>
      </c>
      <c r="L409" s="5" t="str">
        <f aca="false">IF($K409="","","R"&amp;$K409)</f>
        <v/>
      </c>
    </row>
    <row r="410" customFormat="false" ht="15" hidden="false" customHeight="true" outlineLevel="0" collapsed="false">
      <c r="J410" s="14" t="b">
        <f aca="false">IF(중복검사!$A408="",FALSE(),중복검사!$H408="중복")</f>
        <v>0</v>
      </c>
      <c r="K410" s="5" t="str">
        <f aca="false">IF($J410=FALSE(),"",COUNTIF($J$6:$J410,TRUE()))</f>
        <v/>
      </c>
      <c r="L410" s="5" t="str">
        <f aca="false">IF($K410="","","R"&amp;$K410)</f>
        <v/>
      </c>
    </row>
    <row r="411" customFormat="false" ht="15" hidden="false" customHeight="true" outlineLevel="0" collapsed="false">
      <c r="J411" s="14" t="b">
        <f aca="false">IF(중복검사!$A409="",FALSE(),중복검사!$H409="중복")</f>
        <v>0</v>
      </c>
      <c r="K411" s="5" t="str">
        <f aca="false">IF($J411=FALSE(),"",COUNTIF($J$6:$J411,TRUE()))</f>
        <v/>
      </c>
      <c r="L411" s="5" t="str">
        <f aca="false">IF($K411="","","R"&amp;$K411)</f>
        <v/>
      </c>
    </row>
    <row r="412" customFormat="false" ht="15" hidden="false" customHeight="true" outlineLevel="0" collapsed="false">
      <c r="J412" s="14" t="b">
        <f aca="false">IF(중복검사!$A410="",FALSE(),중복검사!$H410="중복")</f>
        <v>0</v>
      </c>
      <c r="K412" s="5" t="str">
        <f aca="false">IF($J412=FALSE(),"",COUNTIF($J$6:$J412,TRUE()))</f>
        <v/>
      </c>
      <c r="L412" s="5" t="str">
        <f aca="false">IF($K412="","","R"&amp;$K412)</f>
        <v/>
      </c>
    </row>
    <row r="413" customFormat="false" ht="15" hidden="false" customHeight="true" outlineLevel="0" collapsed="false">
      <c r="J413" s="14" t="b">
        <f aca="false">IF(중복검사!$A411="",FALSE(),중복검사!$H411="중복")</f>
        <v>0</v>
      </c>
      <c r="K413" s="5" t="str">
        <f aca="false">IF($J413=FALSE(),"",COUNTIF($J$6:$J413,TRUE()))</f>
        <v/>
      </c>
      <c r="L413" s="5" t="str">
        <f aca="false">IF($K413="","","R"&amp;$K413)</f>
        <v/>
      </c>
    </row>
    <row r="414" customFormat="false" ht="15" hidden="false" customHeight="true" outlineLevel="0" collapsed="false">
      <c r="J414" s="14" t="b">
        <f aca="false">IF(중복검사!$A412="",FALSE(),중복검사!$H412="중복")</f>
        <v>0</v>
      </c>
      <c r="K414" s="5" t="str">
        <f aca="false">IF($J414=FALSE(),"",COUNTIF($J$6:$J414,TRUE()))</f>
        <v/>
      </c>
      <c r="L414" s="5" t="str">
        <f aca="false">IF($K414="","","R"&amp;$K414)</f>
        <v/>
      </c>
    </row>
    <row r="415" customFormat="false" ht="15" hidden="false" customHeight="true" outlineLevel="0" collapsed="false">
      <c r="J415" s="14" t="b">
        <f aca="false">IF(중복검사!$A413="",FALSE(),중복검사!$H413="중복")</f>
        <v>0</v>
      </c>
      <c r="K415" s="5" t="str">
        <f aca="false">IF($J415=FALSE(),"",COUNTIF($J$6:$J415,TRUE()))</f>
        <v/>
      </c>
      <c r="L415" s="5" t="str">
        <f aca="false">IF($K415="","","R"&amp;$K415)</f>
        <v/>
      </c>
    </row>
    <row r="416" customFormat="false" ht="15" hidden="false" customHeight="true" outlineLevel="0" collapsed="false">
      <c r="J416" s="14" t="b">
        <f aca="false">IF(중복검사!$A414="",FALSE(),중복검사!$H414="중복")</f>
        <v>0</v>
      </c>
      <c r="K416" s="5" t="str">
        <f aca="false">IF($J416=FALSE(),"",COUNTIF($J$6:$J416,TRUE()))</f>
        <v/>
      </c>
      <c r="L416" s="5" t="str">
        <f aca="false">IF($K416="","","R"&amp;$K416)</f>
        <v/>
      </c>
    </row>
    <row r="417" customFormat="false" ht="15" hidden="false" customHeight="true" outlineLevel="0" collapsed="false">
      <c r="J417" s="14" t="b">
        <f aca="false">IF(중복검사!$A415="",FALSE(),중복검사!$H415="중복")</f>
        <v>0</v>
      </c>
      <c r="K417" s="5" t="str">
        <f aca="false">IF($J417=FALSE(),"",COUNTIF($J$6:$J417,TRUE()))</f>
        <v/>
      </c>
      <c r="L417" s="5" t="str">
        <f aca="false">IF($K417="","","R"&amp;$K417)</f>
        <v/>
      </c>
    </row>
    <row r="418" customFormat="false" ht="15" hidden="false" customHeight="true" outlineLevel="0" collapsed="false">
      <c r="J418" s="14" t="b">
        <f aca="false">IF(중복검사!$A416="",FALSE(),중복검사!$H416="중복")</f>
        <v>0</v>
      </c>
      <c r="K418" s="5" t="str">
        <f aca="false">IF($J418=FALSE(),"",COUNTIF($J$6:$J418,TRUE()))</f>
        <v/>
      </c>
      <c r="L418" s="5" t="str">
        <f aca="false">IF($K418="","","R"&amp;$K418)</f>
        <v/>
      </c>
    </row>
    <row r="419" customFormat="false" ht="15" hidden="false" customHeight="true" outlineLevel="0" collapsed="false">
      <c r="J419" s="14" t="b">
        <f aca="false">IF(중복검사!$A417="",FALSE(),중복검사!$H417="중복")</f>
        <v>0</v>
      </c>
      <c r="K419" s="5" t="str">
        <f aca="false">IF($J419=FALSE(),"",COUNTIF($J$6:$J419,TRUE()))</f>
        <v/>
      </c>
      <c r="L419" s="5" t="str">
        <f aca="false">IF($K419="","","R"&amp;$K419)</f>
        <v/>
      </c>
    </row>
    <row r="420" customFormat="false" ht="15" hidden="false" customHeight="true" outlineLevel="0" collapsed="false">
      <c r="J420" s="14" t="b">
        <f aca="false">IF(중복검사!$A418="",FALSE(),중복검사!$H418="중복")</f>
        <v>0</v>
      </c>
      <c r="K420" s="5" t="str">
        <f aca="false">IF($J420=FALSE(),"",COUNTIF($J$6:$J420,TRUE()))</f>
        <v/>
      </c>
      <c r="L420" s="5" t="str">
        <f aca="false">IF($K420="","","R"&amp;$K420)</f>
        <v/>
      </c>
    </row>
    <row r="421" customFormat="false" ht="15" hidden="false" customHeight="true" outlineLevel="0" collapsed="false">
      <c r="J421" s="14" t="b">
        <f aca="false">IF(중복검사!$A419="",FALSE(),중복검사!$H419="중복")</f>
        <v>0</v>
      </c>
      <c r="K421" s="5" t="str">
        <f aca="false">IF($J421=FALSE(),"",COUNTIF($J$6:$J421,TRUE()))</f>
        <v/>
      </c>
      <c r="L421" s="5" t="str">
        <f aca="false">IF($K421="","","R"&amp;$K421)</f>
        <v/>
      </c>
    </row>
    <row r="422" customFormat="false" ht="15" hidden="false" customHeight="true" outlineLevel="0" collapsed="false">
      <c r="J422" s="14" t="b">
        <f aca="false">IF(중복검사!$A420="",FALSE(),중복검사!$H420="중복")</f>
        <v>0</v>
      </c>
      <c r="K422" s="5" t="str">
        <f aca="false">IF($J422=FALSE(),"",COUNTIF($J$6:$J422,TRUE()))</f>
        <v/>
      </c>
      <c r="L422" s="5" t="str">
        <f aca="false">IF($K422="","","R"&amp;$K422)</f>
        <v/>
      </c>
    </row>
    <row r="423" customFormat="false" ht="15" hidden="false" customHeight="true" outlineLevel="0" collapsed="false">
      <c r="J423" s="14" t="b">
        <f aca="false">IF(중복검사!$A421="",FALSE(),중복검사!$H421="중복")</f>
        <v>0</v>
      </c>
      <c r="K423" s="5" t="str">
        <f aca="false">IF($J423=FALSE(),"",COUNTIF($J$6:$J423,TRUE()))</f>
        <v/>
      </c>
      <c r="L423" s="5" t="str">
        <f aca="false">IF($K423="","","R"&amp;$K423)</f>
        <v/>
      </c>
    </row>
    <row r="424" customFormat="false" ht="15" hidden="false" customHeight="true" outlineLevel="0" collapsed="false">
      <c r="J424" s="14" t="b">
        <f aca="false">IF(중복검사!$A422="",FALSE(),중복검사!$H422="중복")</f>
        <v>0</v>
      </c>
      <c r="K424" s="5" t="str">
        <f aca="false">IF($J424=FALSE(),"",COUNTIF($J$6:$J424,TRUE()))</f>
        <v/>
      </c>
      <c r="L424" s="5" t="str">
        <f aca="false">IF($K424="","","R"&amp;$K424)</f>
        <v/>
      </c>
    </row>
    <row r="425" customFormat="false" ht="15" hidden="false" customHeight="true" outlineLevel="0" collapsed="false">
      <c r="J425" s="14" t="b">
        <f aca="false">IF(중복검사!$A423="",FALSE(),중복검사!$H423="중복")</f>
        <v>0</v>
      </c>
      <c r="K425" s="5" t="str">
        <f aca="false">IF($J425=FALSE(),"",COUNTIF($J$6:$J425,TRUE()))</f>
        <v/>
      </c>
      <c r="L425" s="5" t="str">
        <f aca="false">IF($K425="","","R"&amp;$K425)</f>
        <v/>
      </c>
    </row>
    <row r="426" customFormat="false" ht="15" hidden="false" customHeight="true" outlineLevel="0" collapsed="false">
      <c r="J426" s="14" t="b">
        <f aca="false">IF(중복검사!$A424="",FALSE(),중복검사!$H424="중복")</f>
        <v>0</v>
      </c>
      <c r="K426" s="5" t="str">
        <f aca="false">IF($J426=FALSE(),"",COUNTIF($J$6:$J426,TRUE()))</f>
        <v/>
      </c>
      <c r="L426" s="5" t="str">
        <f aca="false">IF($K426="","","R"&amp;$K426)</f>
        <v/>
      </c>
    </row>
    <row r="427" customFormat="false" ht="15" hidden="false" customHeight="true" outlineLevel="0" collapsed="false">
      <c r="J427" s="14" t="b">
        <f aca="false">IF(중복검사!$A425="",FALSE(),중복검사!$H425="중복")</f>
        <v>0</v>
      </c>
      <c r="K427" s="5" t="str">
        <f aca="false">IF($J427=FALSE(),"",COUNTIF($J$6:$J427,TRUE()))</f>
        <v/>
      </c>
      <c r="L427" s="5" t="str">
        <f aca="false">IF($K427="","","R"&amp;$K427)</f>
        <v/>
      </c>
    </row>
    <row r="428" customFormat="false" ht="15" hidden="false" customHeight="true" outlineLevel="0" collapsed="false">
      <c r="J428" s="14" t="b">
        <f aca="false">IF(중복검사!$A426="",FALSE(),중복검사!$H426="중복")</f>
        <v>0</v>
      </c>
      <c r="K428" s="5" t="str">
        <f aca="false">IF($J428=FALSE(),"",COUNTIF($J$6:$J428,TRUE()))</f>
        <v/>
      </c>
      <c r="L428" s="5" t="str">
        <f aca="false">IF($K428="","","R"&amp;$K428)</f>
        <v/>
      </c>
    </row>
    <row r="429" customFormat="false" ht="15" hidden="false" customHeight="true" outlineLevel="0" collapsed="false">
      <c r="J429" s="14" t="b">
        <f aca="false">IF(중복검사!$A427="",FALSE(),중복검사!$H427="중복")</f>
        <v>0</v>
      </c>
      <c r="K429" s="5" t="str">
        <f aca="false">IF($J429=FALSE(),"",COUNTIF($J$6:$J429,TRUE()))</f>
        <v/>
      </c>
      <c r="L429" s="5" t="str">
        <f aca="false">IF($K429="","","R"&amp;$K429)</f>
        <v/>
      </c>
    </row>
    <row r="430" customFormat="false" ht="15" hidden="false" customHeight="true" outlineLevel="0" collapsed="false">
      <c r="J430" s="14" t="b">
        <f aca="false">IF(중복검사!$A428="",FALSE(),중복검사!$H428="중복")</f>
        <v>0</v>
      </c>
      <c r="K430" s="5" t="str">
        <f aca="false">IF($J430=FALSE(),"",COUNTIF($J$6:$J430,TRUE()))</f>
        <v/>
      </c>
      <c r="L430" s="5" t="str">
        <f aca="false">IF($K430="","","R"&amp;$K430)</f>
        <v/>
      </c>
    </row>
    <row r="431" customFormat="false" ht="15" hidden="false" customHeight="true" outlineLevel="0" collapsed="false">
      <c r="J431" s="14" t="b">
        <f aca="false">IF(중복검사!$A429="",FALSE(),중복검사!$H429="중복")</f>
        <v>0</v>
      </c>
      <c r="K431" s="5" t="str">
        <f aca="false">IF($J431=FALSE(),"",COUNTIF($J$6:$J431,TRUE()))</f>
        <v/>
      </c>
      <c r="L431" s="5" t="str">
        <f aca="false">IF($K431="","","R"&amp;$K431)</f>
        <v/>
      </c>
    </row>
    <row r="432" customFormat="false" ht="15" hidden="false" customHeight="true" outlineLevel="0" collapsed="false">
      <c r="J432" s="14" t="b">
        <f aca="false">IF(중복검사!$A430="",FALSE(),중복검사!$H430="중복")</f>
        <v>0</v>
      </c>
      <c r="K432" s="5" t="str">
        <f aca="false">IF($J432=FALSE(),"",COUNTIF($J$6:$J432,TRUE()))</f>
        <v/>
      </c>
      <c r="L432" s="5" t="str">
        <f aca="false">IF($K432="","","R"&amp;$K432)</f>
        <v/>
      </c>
    </row>
    <row r="433" customFormat="false" ht="15" hidden="false" customHeight="true" outlineLevel="0" collapsed="false">
      <c r="J433" s="14" t="b">
        <f aca="false">IF(중복검사!$A431="",FALSE(),중복검사!$H431="중복")</f>
        <v>0</v>
      </c>
      <c r="K433" s="5" t="str">
        <f aca="false">IF($J433=FALSE(),"",COUNTIF($J$6:$J433,TRUE()))</f>
        <v/>
      </c>
      <c r="L433" s="5" t="str">
        <f aca="false">IF($K433="","","R"&amp;$K433)</f>
        <v/>
      </c>
    </row>
    <row r="434" customFormat="false" ht="15" hidden="false" customHeight="true" outlineLevel="0" collapsed="false">
      <c r="J434" s="14" t="b">
        <f aca="false">IF(중복검사!$A432="",FALSE(),중복검사!$H432="중복")</f>
        <v>0</v>
      </c>
      <c r="K434" s="5" t="str">
        <f aca="false">IF($J434=FALSE(),"",COUNTIF($J$6:$J434,TRUE()))</f>
        <v/>
      </c>
      <c r="L434" s="5" t="str">
        <f aca="false">IF($K434="","","R"&amp;$K434)</f>
        <v/>
      </c>
    </row>
    <row r="435" customFormat="false" ht="15" hidden="false" customHeight="true" outlineLevel="0" collapsed="false">
      <c r="J435" s="14" t="b">
        <f aca="false">IF(중복검사!$A433="",FALSE(),중복검사!$H433="중복")</f>
        <v>0</v>
      </c>
      <c r="K435" s="5" t="str">
        <f aca="false">IF($J435=FALSE(),"",COUNTIF($J$6:$J435,TRUE()))</f>
        <v/>
      </c>
      <c r="L435" s="5" t="str">
        <f aca="false">IF($K435="","","R"&amp;$K435)</f>
        <v/>
      </c>
    </row>
    <row r="436" customFormat="false" ht="15" hidden="false" customHeight="true" outlineLevel="0" collapsed="false">
      <c r="J436" s="14" t="b">
        <f aca="false">IF(중복검사!$A434="",FALSE(),중복검사!$H434="중복")</f>
        <v>0</v>
      </c>
      <c r="K436" s="5" t="str">
        <f aca="false">IF($J436=FALSE(),"",COUNTIF($J$6:$J436,TRUE()))</f>
        <v/>
      </c>
      <c r="L436" s="5" t="str">
        <f aca="false">IF($K436="","","R"&amp;$K436)</f>
        <v/>
      </c>
    </row>
    <row r="437" customFormat="false" ht="15" hidden="false" customHeight="true" outlineLevel="0" collapsed="false">
      <c r="J437" s="14" t="b">
        <f aca="false">IF(중복검사!$A435="",FALSE(),중복검사!$H435="중복")</f>
        <v>0</v>
      </c>
      <c r="K437" s="5" t="str">
        <f aca="false">IF($J437=FALSE(),"",COUNTIF($J$6:$J437,TRUE()))</f>
        <v/>
      </c>
      <c r="L437" s="5" t="str">
        <f aca="false">IF($K437="","","R"&amp;$K437)</f>
        <v/>
      </c>
    </row>
    <row r="438" customFormat="false" ht="15" hidden="false" customHeight="true" outlineLevel="0" collapsed="false">
      <c r="J438" s="14" t="b">
        <f aca="false">IF(중복검사!$A436="",FALSE(),중복검사!$H436="중복")</f>
        <v>0</v>
      </c>
      <c r="K438" s="5" t="str">
        <f aca="false">IF($J438=FALSE(),"",COUNTIF($J$6:$J438,TRUE()))</f>
        <v/>
      </c>
      <c r="L438" s="5" t="str">
        <f aca="false">IF($K438="","","R"&amp;$K438)</f>
        <v/>
      </c>
    </row>
    <row r="439" customFormat="false" ht="15" hidden="false" customHeight="true" outlineLevel="0" collapsed="false">
      <c r="J439" s="14" t="b">
        <f aca="false">IF(중복검사!$A437="",FALSE(),중복검사!$H437="중복")</f>
        <v>0</v>
      </c>
      <c r="K439" s="5" t="str">
        <f aca="false">IF($J439=FALSE(),"",COUNTIF($J$6:$J439,TRUE()))</f>
        <v/>
      </c>
      <c r="L439" s="5" t="str">
        <f aca="false">IF($K439="","","R"&amp;$K439)</f>
        <v/>
      </c>
    </row>
    <row r="440" customFormat="false" ht="15" hidden="false" customHeight="true" outlineLevel="0" collapsed="false">
      <c r="J440" s="14" t="b">
        <f aca="false">IF(중복검사!$A438="",FALSE(),중복검사!$H438="중복")</f>
        <v>0</v>
      </c>
      <c r="K440" s="5" t="str">
        <f aca="false">IF($J440=FALSE(),"",COUNTIF($J$6:$J440,TRUE()))</f>
        <v/>
      </c>
      <c r="L440" s="5" t="str">
        <f aca="false">IF($K440="","","R"&amp;$K440)</f>
        <v/>
      </c>
    </row>
    <row r="441" customFormat="false" ht="15" hidden="false" customHeight="true" outlineLevel="0" collapsed="false">
      <c r="J441" s="14" t="b">
        <f aca="false">IF(중복검사!$A439="",FALSE(),중복검사!$H439="중복")</f>
        <v>0</v>
      </c>
      <c r="K441" s="5" t="str">
        <f aca="false">IF($J441=FALSE(),"",COUNTIF($J$6:$J441,TRUE()))</f>
        <v/>
      </c>
      <c r="L441" s="5" t="str">
        <f aca="false">IF($K441="","","R"&amp;$K441)</f>
        <v/>
      </c>
    </row>
    <row r="442" customFormat="false" ht="15" hidden="false" customHeight="true" outlineLevel="0" collapsed="false">
      <c r="J442" s="14" t="b">
        <f aca="false">IF(중복검사!$A440="",FALSE(),중복검사!$H440="중복")</f>
        <v>0</v>
      </c>
      <c r="K442" s="5" t="str">
        <f aca="false">IF($J442=FALSE(),"",COUNTIF($J$6:$J442,TRUE()))</f>
        <v/>
      </c>
      <c r="L442" s="5" t="str">
        <f aca="false">IF($K442="","","R"&amp;$K442)</f>
        <v/>
      </c>
    </row>
    <row r="443" customFormat="false" ht="15" hidden="false" customHeight="true" outlineLevel="0" collapsed="false">
      <c r="J443" s="14" t="b">
        <f aca="false">IF(중복검사!$A441="",FALSE(),중복검사!$H441="중복")</f>
        <v>0</v>
      </c>
      <c r="K443" s="5" t="str">
        <f aca="false">IF($J443=FALSE(),"",COUNTIF($J$6:$J443,TRUE()))</f>
        <v/>
      </c>
      <c r="L443" s="5" t="str">
        <f aca="false">IF($K443="","","R"&amp;$K443)</f>
        <v/>
      </c>
    </row>
    <row r="444" customFormat="false" ht="15" hidden="false" customHeight="true" outlineLevel="0" collapsed="false">
      <c r="J444" s="14" t="b">
        <f aca="false">IF(중복검사!$A442="",FALSE(),중복검사!$H442="중복")</f>
        <v>0</v>
      </c>
      <c r="K444" s="5" t="str">
        <f aca="false">IF($J444=FALSE(),"",COUNTIF($J$6:$J444,TRUE()))</f>
        <v/>
      </c>
      <c r="L444" s="5" t="str">
        <f aca="false">IF($K444="","","R"&amp;$K444)</f>
        <v/>
      </c>
    </row>
    <row r="445" customFormat="false" ht="15" hidden="false" customHeight="true" outlineLevel="0" collapsed="false">
      <c r="J445" s="14" t="b">
        <f aca="false">IF(중복검사!$A443="",FALSE(),중복검사!$H443="중복")</f>
        <v>0</v>
      </c>
      <c r="K445" s="5" t="str">
        <f aca="false">IF($J445=FALSE(),"",COUNTIF($J$6:$J445,TRUE()))</f>
        <v/>
      </c>
      <c r="L445" s="5" t="str">
        <f aca="false">IF($K445="","","R"&amp;$K445)</f>
        <v/>
      </c>
    </row>
    <row r="446" customFormat="false" ht="15" hidden="false" customHeight="true" outlineLevel="0" collapsed="false">
      <c r="J446" s="14" t="b">
        <f aca="false">IF(중복검사!$A444="",FALSE(),중복검사!$H444="중복")</f>
        <v>0</v>
      </c>
      <c r="K446" s="5" t="str">
        <f aca="false">IF($J446=FALSE(),"",COUNTIF($J$6:$J446,TRUE()))</f>
        <v/>
      </c>
      <c r="L446" s="5" t="str">
        <f aca="false">IF($K446="","","R"&amp;$K446)</f>
        <v/>
      </c>
    </row>
    <row r="447" customFormat="false" ht="15" hidden="false" customHeight="true" outlineLevel="0" collapsed="false">
      <c r="J447" s="14" t="b">
        <f aca="false">IF(중복검사!$A445="",FALSE(),중복검사!$H445="중복")</f>
        <v>0</v>
      </c>
      <c r="K447" s="5" t="str">
        <f aca="false">IF($J447=FALSE(),"",COUNTIF($J$6:$J447,TRUE()))</f>
        <v/>
      </c>
      <c r="L447" s="5" t="str">
        <f aca="false">IF($K447="","","R"&amp;$K447)</f>
        <v/>
      </c>
    </row>
    <row r="448" customFormat="false" ht="15" hidden="false" customHeight="true" outlineLevel="0" collapsed="false">
      <c r="J448" s="14" t="b">
        <f aca="false">IF(중복검사!$A446="",FALSE(),중복검사!$H446="중복")</f>
        <v>0</v>
      </c>
      <c r="K448" s="5" t="str">
        <f aca="false">IF($J448=FALSE(),"",COUNTIF($J$6:$J448,TRUE()))</f>
        <v/>
      </c>
      <c r="L448" s="5" t="str">
        <f aca="false">IF($K448="","","R"&amp;$K448)</f>
        <v/>
      </c>
    </row>
    <row r="449" customFormat="false" ht="15" hidden="false" customHeight="true" outlineLevel="0" collapsed="false">
      <c r="J449" s="14" t="b">
        <f aca="false">IF(중복검사!$A447="",FALSE(),중복검사!$H447="중복")</f>
        <v>0</v>
      </c>
      <c r="K449" s="5" t="str">
        <f aca="false">IF($J449=FALSE(),"",COUNTIF($J$6:$J449,TRUE()))</f>
        <v/>
      </c>
      <c r="L449" s="5" t="str">
        <f aca="false">IF($K449="","","R"&amp;$K449)</f>
        <v/>
      </c>
    </row>
    <row r="450" customFormat="false" ht="15" hidden="false" customHeight="true" outlineLevel="0" collapsed="false">
      <c r="J450" s="14" t="b">
        <f aca="false">IF(중복검사!$A448="",FALSE(),중복검사!$H448="중복")</f>
        <v>0</v>
      </c>
      <c r="K450" s="5" t="str">
        <f aca="false">IF($J450=FALSE(),"",COUNTIF($J$6:$J450,TRUE()))</f>
        <v/>
      </c>
      <c r="L450" s="5" t="str">
        <f aca="false">IF($K450="","","R"&amp;$K450)</f>
        <v/>
      </c>
    </row>
    <row r="451" customFormat="false" ht="15" hidden="false" customHeight="true" outlineLevel="0" collapsed="false">
      <c r="J451" s="14" t="b">
        <f aca="false">IF(중복검사!$A449="",FALSE(),중복검사!$H449="중복")</f>
        <v>0</v>
      </c>
      <c r="K451" s="5" t="str">
        <f aca="false">IF($J451=FALSE(),"",COUNTIF($J$6:$J451,TRUE()))</f>
        <v/>
      </c>
      <c r="L451" s="5" t="str">
        <f aca="false">IF($K451="","","R"&amp;$K451)</f>
        <v/>
      </c>
    </row>
    <row r="452" customFormat="false" ht="15" hidden="false" customHeight="true" outlineLevel="0" collapsed="false">
      <c r="J452" s="14" t="b">
        <f aca="false">IF(중복검사!$A450="",FALSE(),중복검사!$H450="중복")</f>
        <v>0</v>
      </c>
      <c r="K452" s="5" t="str">
        <f aca="false">IF($J452=FALSE(),"",COUNTIF($J$6:$J452,TRUE()))</f>
        <v/>
      </c>
      <c r="L452" s="5" t="str">
        <f aca="false">IF($K452="","","R"&amp;$K452)</f>
        <v/>
      </c>
    </row>
    <row r="453" customFormat="false" ht="15" hidden="false" customHeight="true" outlineLevel="0" collapsed="false">
      <c r="J453" s="14" t="b">
        <f aca="false">IF(중복검사!$A451="",FALSE(),중복검사!$H451="중복")</f>
        <v>0</v>
      </c>
      <c r="K453" s="5" t="str">
        <f aca="false">IF($J453=FALSE(),"",COUNTIF($J$6:$J453,TRUE()))</f>
        <v/>
      </c>
      <c r="L453" s="5" t="str">
        <f aca="false">IF($K453="","","R"&amp;$K453)</f>
        <v/>
      </c>
    </row>
    <row r="454" customFormat="false" ht="15" hidden="false" customHeight="true" outlineLevel="0" collapsed="false">
      <c r="J454" s="14" t="b">
        <f aca="false">IF(중복검사!$A452="",FALSE(),중복검사!$H452="중복")</f>
        <v>0</v>
      </c>
      <c r="K454" s="5" t="str">
        <f aca="false">IF($J454=FALSE(),"",COUNTIF($J$6:$J454,TRUE()))</f>
        <v/>
      </c>
      <c r="L454" s="5" t="str">
        <f aca="false">IF($K454="","","R"&amp;$K454)</f>
        <v/>
      </c>
    </row>
    <row r="455" customFormat="false" ht="15" hidden="false" customHeight="true" outlineLevel="0" collapsed="false">
      <c r="J455" s="14" t="b">
        <f aca="false">IF(중복검사!$A453="",FALSE(),중복검사!$H453="중복")</f>
        <v>0</v>
      </c>
      <c r="K455" s="5" t="str">
        <f aca="false">IF($J455=FALSE(),"",COUNTIF($J$6:$J455,TRUE()))</f>
        <v/>
      </c>
      <c r="L455" s="5" t="str">
        <f aca="false">IF($K455="","","R"&amp;$K455)</f>
        <v/>
      </c>
    </row>
    <row r="456" customFormat="false" ht="15" hidden="false" customHeight="true" outlineLevel="0" collapsed="false">
      <c r="J456" s="14" t="b">
        <f aca="false">IF(중복검사!$A454="",FALSE(),중복검사!$H454="중복")</f>
        <v>0</v>
      </c>
      <c r="K456" s="5" t="str">
        <f aca="false">IF($J456=FALSE(),"",COUNTIF($J$6:$J456,TRUE()))</f>
        <v/>
      </c>
      <c r="L456" s="5" t="str">
        <f aca="false">IF($K456="","","R"&amp;$K456)</f>
        <v/>
      </c>
    </row>
    <row r="457" customFormat="false" ht="15" hidden="false" customHeight="true" outlineLevel="0" collapsed="false">
      <c r="J457" s="14" t="b">
        <f aca="false">IF(중복검사!$A455="",FALSE(),중복검사!$H455="중복")</f>
        <v>0</v>
      </c>
      <c r="K457" s="5" t="str">
        <f aca="false">IF($J457=FALSE(),"",COUNTIF($J$6:$J457,TRUE()))</f>
        <v/>
      </c>
      <c r="L457" s="5" t="str">
        <f aca="false">IF($K457="","","R"&amp;$K457)</f>
        <v/>
      </c>
    </row>
    <row r="458" customFormat="false" ht="15" hidden="false" customHeight="true" outlineLevel="0" collapsed="false">
      <c r="J458" s="14" t="b">
        <f aca="false">IF(중복검사!$A456="",FALSE(),중복검사!$H456="중복")</f>
        <v>0</v>
      </c>
      <c r="K458" s="5" t="str">
        <f aca="false">IF($J458=FALSE(),"",COUNTIF($J$6:$J458,TRUE()))</f>
        <v/>
      </c>
      <c r="L458" s="5" t="str">
        <f aca="false">IF($K458="","","R"&amp;$K458)</f>
        <v/>
      </c>
    </row>
    <row r="459" customFormat="false" ht="15" hidden="false" customHeight="true" outlineLevel="0" collapsed="false">
      <c r="J459" s="14" t="b">
        <f aca="false">IF(중복검사!$A457="",FALSE(),중복검사!$H457="중복")</f>
        <v>0</v>
      </c>
      <c r="K459" s="5" t="str">
        <f aca="false">IF($J459=FALSE(),"",COUNTIF($J$6:$J459,TRUE()))</f>
        <v/>
      </c>
      <c r="L459" s="5" t="str">
        <f aca="false">IF($K459="","","R"&amp;$K459)</f>
        <v/>
      </c>
    </row>
    <row r="460" customFormat="false" ht="15" hidden="false" customHeight="true" outlineLevel="0" collapsed="false">
      <c r="J460" s="14" t="b">
        <f aca="false">IF(중복검사!$A458="",FALSE(),중복검사!$H458="중복")</f>
        <v>0</v>
      </c>
      <c r="K460" s="5" t="str">
        <f aca="false">IF($J460=FALSE(),"",COUNTIF($J$6:$J460,TRUE()))</f>
        <v/>
      </c>
      <c r="L460" s="5" t="str">
        <f aca="false">IF($K460="","","R"&amp;$K460)</f>
        <v/>
      </c>
    </row>
    <row r="461" customFormat="false" ht="15" hidden="false" customHeight="true" outlineLevel="0" collapsed="false">
      <c r="J461" s="14" t="b">
        <f aca="false">IF(중복검사!$A459="",FALSE(),중복검사!$H459="중복")</f>
        <v>0</v>
      </c>
      <c r="K461" s="5" t="str">
        <f aca="false">IF($J461=FALSE(),"",COUNTIF($J$6:$J461,TRUE()))</f>
        <v/>
      </c>
      <c r="L461" s="5" t="str">
        <f aca="false">IF($K461="","","R"&amp;$K461)</f>
        <v/>
      </c>
    </row>
    <row r="462" customFormat="false" ht="15" hidden="false" customHeight="true" outlineLevel="0" collapsed="false">
      <c r="J462" s="14" t="b">
        <f aca="false">IF(중복검사!$A460="",FALSE(),중복검사!$H460="중복")</f>
        <v>0</v>
      </c>
      <c r="K462" s="5" t="str">
        <f aca="false">IF($J462=FALSE(),"",COUNTIF($J$6:$J462,TRUE()))</f>
        <v/>
      </c>
      <c r="L462" s="5" t="str">
        <f aca="false">IF($K462="","","R"&amp;$K462)</f>
        <v/>
      </c>
    </row>
    <row r="463" customFormat="false" ht="15" hidden="false" customHeight="true" outlineLevel="0" collapsed="false">
      <c r="J463" s="14" t="b">
        <f aca="false">IF(중복검사!$A461="",FALSE(),중복검사!$H461="중복")</f>
        <v>0</v>
      </c>
      <c r="K463" s="5" t="str">
        <f aca="false">IF($J463=FALSE(),"",COUNTIF($J$6:$J463,TRUE()))</f>
        <v/>
      </c>
      <c r="L463" s="5" t="str">
        <f aca="false">IF($K463="","","R"&amp;$K463)</f>
        <v/>
      </c>
    </row>
    <row r="464" customFormat="false" ht="15" hidden="false" customHeight="true" outlineLevel="0" collapsed="false">
      <c r="J464" s="14" t="b">
        <f aca="false">IF(중복검사!$A462="",FALSE(),중복검사!$H462="중복")</f>
        <v>0</v>
      </c>
      <c r="K464" s="5" t="str">
        <f aca="false">IF($J464=FALSE(),"",COUNTIF($J$6:$J464,TRUE()))</f>
        <v/>
      </c>
      <c r="L464" s="5" t="str">
        <f aca="false">IF($K464="","","R"&amp;$K464)</f>
        <v/>
      </c>
    </row>
    <row r="465" customFormat="false" ht="15" hidden="false" customHeight="true" outlineLevel="0" collapsed="false">
      <c r="J465" s="14" t="b">
        <f aca="false">IF(중복검사!$A463="",FALSE(),중복검사!$H463="중복")</f>
        <v>0</v>
      </c>
      <c r="K465" s="5" t="str">
        <f aca="false">IF($J465=FALSE(),"",COUNTIF($J$6:$J465,TRUE()))</f>
        <v/>
      </c>
      <c r="L465" s="5" t="str">
        <f aca="false">IF($K465="","","R"&amp;$K465)</f>
        <v/>
      </c>
    </row>
    <row r="466" customFormat="false" ht="15" hidden="false" customHeight="true" outlineLevel="0" collapsed="false">
      <c r="J466" s="14" t="b">
        <f aca="false">IF(중복검사!$A464="",FALSE(),중복검사!$H464="중복")</f>
        <v>0</v>
      </c>
      <c r="K466" s="5" t="str">
        <f aca="false">IF($J466=FALSE(),"",COUNTIF($J$6:$J466,TRUE()))</f>
        <v/>
      </c>
      <c r="L466" s="5" t="str">
        <f aca="false">IF($K466="","","R"&amp;$K466)</f>
        <v/>
      </c>
    </row>
    <row r="467" customFormat="false" ht="15" hidden="false" customHeight="true" outlineLevel="0" collapsed="false">
      <c r="J467" s="14" t="b">
        <f aca="false">IF(중복검사!$A465="",FALSE(),중복검사!$H465="중복")</f>
        <v>0</v>
      </c>
      <c r="K467" s="5" t="str">
        <f aca="false">IF($J467=FALSE(),"",COUNTIF($J$6:$J467,TRUE()))</f>
        <v/>
      </c>
      <c r="L467" s="5" t="str">
        <f aca="false">IF($K467="","","R"&amp;$K467)</f>
        <v/>
      </c>
    </row>
    <row r="468" customFormat="false" ht="15" hidden="false" customHeight="true" outlineLevel="0" collapsed="false">
      <c r="J468" s="14" t="b">
        <f aca="false">IF(중복검사!$A466="",FALSE(),중복검사!$H466="중복")</f>
        <v>0</v>
      </c>
      <c r="K468" s="5" t="str">
        <f aca="false">IF($J468=FALSE(),"",COUNTIF($J$6:$J468,TRUE()))</f>
        <v/>
      </c>
      <c r="L468" s="5" t="str">
        <f aca="false">IF($K468="","","R"&amp;$K468)</f>
        <v/>
      </c>
    </row>
    <row r="469" customFormat="false" ht="15" hidden="false" customHeight="true" outlineLevel="0" collapsed="false">
      <c r="J469" s="14" t="b">
        <f aca="false">IF(중복검사!$A467="",FALSE(),중복검사!$H467="중복")</f>
        <v>0</v>
      </c>
      <c r="K469" s="5" t="str">
        <f aca="false">IF($J469=FALSE(),"",COUNTIF($J$6:$J469,TRUE()))</f>
        <v/>
      </c>
      <c r="L469" s="5" t="str">
        <f aca="false">IF($K469="","","R"&amp;$K469)</f>
        <v/>
      </c>
    </row>
    <row r="470" customFormat="false" ht="15" hidden="false" customHeight="true" outlineLevel="0" collapsed="false">
      <c r="J470" s="14" t="b">
        <f aca="false">IF(중복검사!$A468="",FALSE(),중복검사!$H468="중복")</f>
        <v>0</v>
      </c>
      <c r="K470" s="5" t="str">
        <f aca="false">IF($J470=FALSE(),"",COUNTIF($J$6:$J470,TRUE()))</f>
        <v/>
      </c>
      <c r="L470" s="5" t="str">
        <f aca="false">IF($K470="","","R"&amp;$K470)</f>
        <v/>
      </c>
    </row>
    <row r="471" customFormat="false" ht="15" hidden="false" customHeight="true" outlineLevel="0" collapsed="false">
      <c r="J471" s="14" t="b">
        <f aca="false">IF(중복검사!$A469="",FALSE(),중복검사!$H469="중복")</f>
        <v>0</v>
      </c>
      <c r="K471" s="5" t="str">
        <f aca="false">IF($J471=FALSE(),"",COUNTIF($J$6:$J471,TRUE()))</f>
        <v/>
      </c>
      <c r="L471" s="5" t="str">
        <f aca="false">IF($K471="","","R"&amp;$K471)</f>
        <v/>
      </c>
    </row>
    <row r="472" customFormat="false" ht="15" hidden="false" customHeight="true" outlineLevel="0" collapsed="false">
      <c r="J472" s="14" t="b">
        <f aca="false">IF(중복검사!$A470="",FALSE(),중복검사!$H470="중복")</f>
        <v>0</v>
      </c>
      <c r="K472" s="5" t="str">
        <f aca="false">IF($J472=FALSE(),"",COUNTIF($J$6:$J472,TRUE()))</f>
        <v/>
      </c>
      <c r="L472" s="5" t="str">
        <f aca="false">IF($K472="","","R"&amp;$K472)</f>
        <v/>
      </c>
    </row>
    <row r="473" customFormat="false" ht="15" hidden="false" customHeight="true" outlineLevel="0" collapsed="false">
      <c r="J473" s="14" t="b">
        <f aca="false">IF(중복검사!$A471="",FALSE(),중복검사!$H471="중복")</f>
        <v>0</v>
      </c>
      <c r="K473" s="5" t="str">
        <f aca="false">IF($J473=FALSE(),"",COUNTIF($J$6:$J473,TRUE()))</f>
        <v/>
      </c>
      <c r="L473" s="5" t="str">
        <f aca="false">IF($K473="","","R"&amp;$K473)</f>
        <v/>
      </c>
    </row>
    <row r="474" customFormat="false" ht="15" hidden="false" customHeight="true" outlineLevel="0" collapsed="false">
      <c r="J474" s="14" t="b">
        <f aca="false">IF(중복검사!$A472="",FALSE(),중복검사!$H472="중복")</f>
        <v>0</v>
      </c>
      <c r="K474" s="5" t="str">
        <f aca="false">IF($J474=FALSE(),"",COUNTIF($J$6:$J474,TRUE()))</f>
        <v/>
      </c>
      <c r="L474" s="5" t="str">
        <f aca="false">IF($K474="","","R"&amp;$K474)</f>
        <v/>
      </c>
    </row>
    <row r="475" customFormat="false" ht="15" hidden="false" customHeight="true" outlineLevel="0" collapsed="false">
      <c r="J475" s="14" t="b">
        <f aca="false">IF(중복검사!$A473="",FALSE(),중복검사!$H473="중복")</f>
        <v>0</v>
      </c>
      <c r="K475" s="5" t="str">
        <f aca="false">IF($J475=FALSE(),"",COUNTIF($J$6:$J475,TRUE()))</f>
        <v/>
      </c>
      <c r="L475" s="5" t="str">
        <f aca="false">IF($K475="","","R"&amp;$K475)</f>
        <v/>
      </c>
    </row>
    <row r="476" customFormat="false" ht="15" hidden="false" customHeight="true" outlineLevel="0" collapsed="false">
      <c r="J476" s="14" t="b">
        <f aca="false">IF(중복검사!$A474="",FALSE(),중복검사!$H474="중복")</f>
        <v>0</v>
      </c>
      <c r="K476" s="5" t="str">
        <f aca="false">IF($J476=FALSE(),"",COUNTIF($J$6:$J476,TRUE()))</f>
        <v/>
      </c>
      <c r="L476" s="5" t="str">
        <f aca="false">IF($K476="","","R"&amp;$K476)</f>
        <v/>
      </c>
    </row>
    <row r="477" customFormat="false" ht="15" hidden="false" customHeight="true" outlineLevel="0" collapsed="false">
      <c r="J477" s="14" t="b">
        <f aca="false">IF(중복검사!$A475="",FALSE(),중복검사!$H475="중복")</f>
        <v>0</v>
      </c>
      <c r="K477" s="5" t="str">
        <f aca="false">IF($J477=FALSE(),"",COUNTIF($J$6:$J477,TRUE()))</f>
        <v/>
      </c>
      <c r="L477" s="5" t="str">
        <f aca="false">IF($K477="","","R"&amp;$K477)</f>
        <v/>
      </c>
    </row>
    <row r="478" customFormat="false" ht="15" hidden="false" customHeight="true" outlineLevel="0" collapsed="false">
      <c r="J478" s="14" t="b">
        <f aca="false">IF(중복검사!$A476="",FALSE(),중복검사!$H476="중복")</f>
        <v>0</v>
      </c>
      <c r="K478" s="5" t="str">
        <f aca="false">IF($J478=FALSE(),"",COUNTIF($J$6:$J478,TRUE()))</f>
        <v/>
      </c>
      <c r="L478" s="5" t="str">
        <f aca="false">IF($K478="","","R"&amp;$K478)</f>
        <v/>
      </c>
    </row>
    <row r="479" customFormat="false" ht="15" hidden="false" customHeight="true" outlineLevel="0" collapsed="false">
      <c r="J479" s="14" t="b">
        <f aca="false">IF(중복검사!$A477="",FALSE(),중복검사!$H477="중복")</f>
        <v>0</v>
      </c>
      <c r="K479" s="5" t="str">
        <f aca="false">IF($J479=FALSE(),"",COUNTIF($J$6:$J479,TRUE()))</f>
        <v/>
      </c>
      <c r="L479" s="5" t="str">
        <f aca="false">IF($K479="","","R"&amp;$K479)</f>
        <v/>
      </c>
    </row>
    <row r="480" customFormat="false" ht="15" hidden="false" customHeight="true" outlineLevel="0" collapsed="false">
      <c r="J480" s="14" t="b">
        <f aca="false">IF(중복검사!$A478="",FALSE(),중복검사!$H478="중복")</f>
        <v>0</v>
      </c>
      <c r="K480" s="5" t="str">
        <f aca="false">IF($J480=FALSE(),"",COUNTIF($J$6:$J480,TRUE()))</f>
        <v/>
      </c>
      <c r="L480" s="5" t="str">
        <f aca="false">IF($K480="","","R"&amp;$K480)</f>
        <v/>
      </c>
    </row>
    <row r="481" customFormat="false" ht="15" hidden="false" customHeight="true" outlineLevel="0" collapsed="false">
      <c r="J481" s="14" t="b">
        <f aca="false">IF(중복검사!$A479="",FALSE(),중복검사!$H479="중복")</f>
        <v>0</v>
      </c>
      <c r="K481" s="5" t="str">
        <f aca="false">IF($J481=FALSE(),"",COUNTIF($J$6:$J481,TRUE()))</f>
        <v/>
      </c>
      <c r="L481" s="5" t="str">
        <f aca="false">IF($K481="","","R"&amp;$K481)</f>
        <v/>
      </c>
    </row>
    <row r="482" customFormat="false" ht="15" hidden="false" customHeight="true" outlineLevel="0" collapsed="false">
      <c r="J482" s="14" t="b">
        <f aca="false">IF(중복검사!$A480="",FALSE(),중복검사!$H480="중복")</f>
        <v>0</v>
      </c>
      <c r="K482" s="5" t="str">
        <f aca="false">IF($J482=FALSE(),"",COUNTIF($J$6:$J482,TRUE()))</f>
        <v/>
      </c>
      <c r="L482" s="5" t="str">
        <f aca="false">IF($K482="","","R"&amp;$K482)</f>
        <v/>
      </c>
    </row>
    <row r="483" customFormat="false" ht="15" hidden="false" customHeight="true" outlineLevel="0" collapsed="false">
      <c r="J483" s="14" t="b">
        <f aca="false">IF(중복검사!$A481="",FALSE(),중복검사!$H481="중복")</f>
        <v>0</v>
      </c>
      <c r="K483" s="5" t="str">
        <f aca="false">IF($J483=FALSE(),"",COUNTIF($J$6:$J483,TRUE()))</f>
        <v/>
      </c>
      <c r="L483" s="5" t="str">
        <f aca="false">IF($K483="","","R"&amp;$K483)</f>
        <v/>
      </c>
    </row>
    <row r="484" customFormat="false" ht="15" hidden="false" customHeight="true" outlineLevel="0" collapsed="false">
      <c r="J484" s="14" t="b">
        <f aca="false">IF(중복검사!$A482="",FALSE(),중복검사!$H482="중복")</f>
        <v>0</v>
      </c>
      <c r="K484" s="5" t="str">
        <f aca="false">IF($J484=FALSE(),"",COUNTIF($J$6:$J484,TRUE()))</f>
        <v/>
      </c>
      <c r="L484" s="5" t="str">
        <f aca="false">IF($K484="","","R"&amp;$K484)</f>
        <v/>
      </c>
    </row>
    <row r="485" customFormat="false" ht="15" hidden="false" customHeight="true" outlineLevel="0" collapsed="false">
      <c r="J485" s="14" t="b">
        <f aca="false">IF(중복검사!$A483="",FALSE(),중복검사!$H483="중복")</f>
        <v>0</v>
      </c>
      <c r="K485" s="5" t="str">
        <f aca="false">IF($J485=FALSE(),"",COUNTIF($J$6:$J485,TRUE()))</f>
        <v/>
      </c>
      <c r="L485" s="5" t="str">
        <f aca="false">IF($K485="","","R"&amp;$K485)</f>
        <v/>
      </c>
    </row>
    <row r="486" customFormat="false" ht="15" hidden="false" customHeight="true" outlineLevel="0" collapsed="false">
      <c r="J486" s="14" t="b">
        <f aca="false">IF(중복검사!$A484="",FALSE(),중복검사!$H484="중복")</f>
        <v>0</v>
      </c>
      <c r="K486" s="5" t="str">
        <f aca="false">IF($J486=FALSE(),"",COUNTIF($J$6:$J486,TRUE()))</f>
        <v/>
      </c>
      <c r="L486" s="5" t="str">
        <f aca="false">IF($K486="","","R"&amp;$K486)</f>
        <v/>
      </c>
    </row>
    <row r="487" customFormat="false" ht="15" hidden="false" customHeight="true" outlineLevel="0" collapsed="false">
      <c r="J487" s="14" t="b">
        <f aca="false">IF(중복검사!$A485="",FALSE(),중복검사!$H485="중복")</f>
        <v>0</v>
      </c>
      <c r="K487" s="5" t="str">
        <f aca="false">IF($J487=FALSE(),"",COUNTIF($J$6:$J487,TRUE()))</f>
        <v/>
      </c>
      <c r="L487" s="5" t="str">
        <f aca="false">IF($K487="","","R"&amp;$K487)</f>
        <v/>
      </c>
    </row>
    <row r="488" customFormat="false" ht="15" hidden="false" customHeight="true" outlineLevel="0" collapsed="false">
      <c r="J488" s="14" t="b">
        <f aca="false">IF(중복검사!$A486="",FALSE(),중복검사!$H486="중복")</f>
        <v>0</v>
      </c>
      <c r="K488" s="5" t="str">
        <f aca="false">IF($J488=FALSE(),"",COUNTIF($J$6:$J488,TRUE()))</f>
        <v/>
      </c>
      <c r="L488" s="5" t="str">
        <f aca="false">IF($K488="","","R"&amp;$K488)</f>
        <v/>
      </c>
    </row>
    <row r="489" customFormat="false" ht="15" hidden="false" customHeight="true" outlineLevel="0" collapsed="false">
      <c r="J489" s="14" t="b">
        <f aca="false">IF(중복검사!$A487="",FALSE(),중복검사!$H487="중복")</f>
        <v>0</v>
      </c>
      <c r="K489" s="5" t="str">
        <f aca="false">IF($J489=FALSE(),"",COUNTIF($J$6:$J489,TRUE()))</f>
        <v/>
      </c>
      <c r="L489" s="5" t="str">
        <f aca="false">IF($K489="","","R"&amp;$K489)</f>
        <v/>
      </c>
    </row>
    <row r="490" customFormat="false" ht="15" hidden="false" customHeight="true" outlineLevel="0" collapsed="false">
      <c r="J490" s="14" t="b">
        <f aca="false">IF(중복검사!$A488="",FALSE(),중복검사!$H488="중복")</f>
        <v>0</v>
      </c>
      <c r="K490" s="5" t="str">
        <f aca="false">IF($J490=FALSE(),"",COUNTIF($J$6:$J490,TRUE()))</f>
        <v/>
      </c>
      <c r="L490" s="5" t="str">
        <f aca="false">IF($K490="","","R"&amp;$K490)</f>
        <v/>
      </c>
    </row>
    <row r="491" customFormat="false" ht="15" hidden="false" customHeight="true" outlineLevel="0" collapsed="false">
      <c r="J491" s="14" t="b">
        <f aca="false">IF(중복검사!$A489="",FALSE(),중복검사!$H489="중복")</f>
        <v>0</v>
      </c>
      <c r="K491" s="5" t="str">
        <f aca="false">IF($J491=FALSE(),"",COUNTIF($J$6:$J491,TRUE()))</f>
        <v/>
      </c>
      <c r="L491" s="5" t="str">
        <f aca="false">IF($K491="","","R"&amp;$K491)</f>
        <v/>
      </c>
    </row>
    <row r="492" customFormat="false" ht="15" hidden="false" customHeight="true" outlineLevel="0" collapsed="false">
      <c r="J492" s="14" t="b">
        <f aca="false">IF(중복검사!$A490="",FALSE(),중복검사!$H490="중복")</f>
        <v>0</v>
      </c>
      <c r="K492" s="5" t="str">
        <f aca="false">IF($J492=FALSE(),"",COUNTIF($J$6:$J492,TRUE()))</f>
        <v/>
      </c>
      <c r="L492" s="5" t="str">
        <f aca="false">IF($K492="","","R"&amp;$K492)</f>
        <v/>
      </c>
    </row>
    <row r="493" customFormat="false" ht="15" hidden="false" customHeight="true" outlineLevel="0" collapsed="false">
      <c r="J493" s="14" t="b">
        <f aca="false">IF(중복검사!$A491="",FALSE(),중복검사!$H491="중복")</f>
        <v>0</v>
      </c>
      <c r="K493" s="5" t="str">
        <f aca="false">IF($J493=FALSE(),"",COUNTIF($J$6:$J493,TRUE()))</f>
        <v/>
      </c>
      <c r="L493" s="5" t="str">
        <f aca="false">IF($K493="","","R"&amp;$K493)</f>
        <v/>
      </c>
    </row>
    <row r="494" customFormat="false" ht="15" hidden="false" customHeight="true" outlineLevel="0" collapsed="false">
      <c r="J494" s="14" t="b">
        <f aca="false">IF(중복검사!$A492="",FALSE(),중복검사!$H492="중복")</f>
        <v>0</v>
      </c>
      <c r="K494" s="5" t="str">
        <f aca="false">IF($J494=FALSE(),"",COUNTIF($J$6:$J494,TRUE()))</f>
        <v/>
      </c>
      <c r="L494" s="5" t="str">
        <f aca="false">IF($K494="","","R"&amp;$K494)</f>
        <v/>
      </c>
    </row>
    <row r="495" customFormat="false" ht="15" hidden="false" customHeight="true" outlineLevel="0" collapsed="false">
      <c r="J495" s="14" t="b">
        <f aca="false">IF(중복검사!$A493="",FALSE(),중복검사!$H493="중복")</f>
        <v>0</v>
      </c>
      <c r="K495" s="5" t="str">
        <f aca="false">IF($J495=FALSE(),"",COUNTIF($J$6:$J495,TRUE()))</f>
        <v/>
      </c>
      <c r="L495" s="5" t="str">
        <f aca="false">IF($K495="","","R"&amp;$K495)</f>
        <v/>
      </c>
    </row>
    <row r="496" customFormat="false" ht="15" hidden="false" customHeight="true" outlineLevel="0" collapsed="false">
      <c r="J496" s="14" t="b">
        <f aca="false">IF(중복검사!$A494="",FALSE(),중복검사!$H494="중복")</f>
        <v>0</v>
      </c>
      <c r="K496" s="5" t="str">
        <f aca="false">IF($J496=FALSE(),"",COUNTIF($J$6:$J496,TRUE()))</f>
        <v/>
      </c>
      <c r="L496" s="5" t="str">
        <f aca="false">IF($K496="","","R"&amp;$K496)</f>
        <v/>
      </c>
    </row>
    <row r="497" customFormat="false" ht="15" hidden="false" customHeight="true" outlineLevel="0" collapsed="false">
      <c r="J497" s="14" t="b">
        <f aca="false">IF(중복검사!$A495="",FALSE(),중복검사!$H495="중복")</f>
        <v>0</v>
      </c>
      <c r="K497" s="5" t="str">
        <f aca="false">IF($J497=FALSE(),"",COUNTIF($J$6:$J497,TRUE()))</f>
        <v/>
      </c>
      <c r="L497" s="5" t="str">
        <f aca="false">IF($K497="","","R"&amp;$K497)</f>
        <v/>
      </c>
    </row>
    <row r="498" customFormat="false" ht="15" hidden="false" customHeight="true" outlineLevel="0" collapsed="false">
      <c r="J498" s="14" t="b">
        <f aca="false">IF(중복검사!$A496="",FALSE(),중복검사!$H496="중복")</f>
        <v>0</v>
      </c>
      <c r="K498" s="5" t="str">
        <f aca="false">IF($J498=FALSE(),"",COUNTIF($J$6:$J498,TRUE()))</f>
        <v/>
      </c>
      <c r="L498" s="5" t="str">
        <f aca="false">IF($K498="","","R"&amp;$K498)</f>
        <v/>
      </c>
    </row>
    <row r="499" customFormat="false" ht="15" hidden="false" customHeight="true" outlineLevel="0" collapsed="false">
      <c r="J499" s="14" t="b">
        <f aca="false">IF(중복검사!$A497="",FALSE(),중복검사!$H497="중복")</f>
        <v>0</v>
      </c>
      <c r="K499" s="5" t="str">
        <f aca="false">IF($J499=FALSE(),"",COUNTIF($J$6:$J499,TRUE()))</f>
        <v/>
      </c>
      <c r="L499" s="5" t="str">
        <f aca="false">IF($K499="","","R"&amp;$K499)</f>
        <v/>
      </c>
    </row>
    <row r="500" customFormat="false" ht="15" hidden="false" customHeight="true" outlineLevel="0" collapsed="false">
      <c r="J500" s="14" t="b">
        <f aca="false">IF(중복검사!$A498="",FALSE(),중복검사!$H498="중복")</f>
        <v>0</v>
      </c>
      <c r="K500" s="5" t="str">
        <f aca="false">IF($J500=FALSE(),"",COUNTIF($J$6:$J500,TRUE()))</f>
        <v/>
      </c>
      <c r="L500" s="5" t="str">
        <f aca="false">IF($K500="","","R"&amp;$K500)</f>
        <v/>
      </c>
    </row>
    <row r="501" customFormat="false" ht="15" hidden="false" customHeight="true" outlineLevel="0" collapsed="false">
      <c r="J501" s="14" t="b">
        <f aca="false">IF(중복검사!$A499="",FALSE(),중복검사!$H499="중복")</f>
        <v>0</v>
      </c>
      <c r="K501" s="5" t="str">
        <f aca="false">IF($J501=FALSE(),"",COUNTIF($J$6:$J501,TRUE()))</f>
        <v/>
      </c>
      <c r="L501" s="5" t="str">
        <f aca="false">IF($K501="","","R"&amp;$K501)</f>
        <v/>
      </c>
    </row>
    <row r="502" customFormat="false" ht="15" hidden="false" customHeight="true" outlineLevel="0" collapsed="false">
      <c r="J502" s="14" t="b">
        <f aca="false">IF(중복검사!$A500="",FALSE(),중복검사!$H500="중복")</f>
        <v>0</v>
      </c>
      <c r="K502" s="5" t="str">
        <f aca="false">IF($J502=FALSE(),"",COUNTIF($J$6:$J502,TRUE()))</f>
        <v/>
      </c>
      <c r="L502" s="5" t="str">
        <f aca="false">IF($K502="","","R"&amp;$K502)</f>
        <v/>
      </c>
    </row>
    <row r="503" customFormat="false" ht="15" hidden="false" customHeight="true" outlineLevel="0" collapsed="false">
      <c r="J503" s="14" t="b">
        <f aca="false">IF(중복검사!$A501="",FALSE(),중복검사!$H501="중복")</f>
        <v>0</v>
      </c>
      <c r="K503" s="5" t="str">
        <f aca="false">IF($J503=FALSE(),"",COUNTIF($J$6:$J503,TRUE()))</f>
        <v/>
      </c>
      <c r="L503" s="5" t="str">
        <f aca="false">IF($K503="","","R"&amp;$K503)</f>
        <v/>
      </c>
    </row>
    <row r="504" customFormat="false" ht="15" hidden="false" customHeight="true" outlineLevel="0" collapsed="false">
      <c r="J504" s="14" t="b">
        <f aca="false">IF(중복검사!$A502="",FALSE(),중복검사!$H502="중복")</f>
        <v>0</v>
      </c>
      <c r="K504" s="5" t="str">
        <f aca="false">IF($J504=FALSE(),"",COUNTIF($J$6:$J504,TRUE()))</f>
        <v/>
      </c>
      <c r="L504" s="5" t="str">
        <f aca="false">IF($K504="","","R"&amp;$K504)</f>
        <v/>
      </c>
    </row>
    <row r="505" customFormat="false" ht="15" hidden="false" customHeight="true" outlineLevel="0" collapsed="false">
      <c r="J505" s="14" t="b">
        <f aca="false">IF(중복검사!$A503="",FALSE(),중복검사!$H503="중복")</f>
        <v>0</v>
      </c>
      <c r="K505" s="5" t="str">
        <f aca="false">IF($J505=FALSE(),"",COUNTIF($J$6:$J505,TRUE()))</f>
        <v/>
      </c>
      <c r="L505" s="5" t="str">
        <f aca="false">IF($K505="","","R"&amp;$K505)</f>
        <v/>
      </c>
    </row>
    <row r="506" customFormat="false" ht="15" hidden="false" customHeight="true" outlineLevel="0" collapsed="false">
      <c r="J506" s="14" t="b">
        <f aca="false">IF(중복검사!$A504="",FALSE(),중복검사!$H504="중복")</f>
        <v>0</v>
      </c>
      <c r="K506" s="5" t="str">
        <f aca="false">IF($J506=FALSE(),"",COUNTIF($J$6:$J506,TRUE()))</f>
        <v/>
      </c>
      <c r="L506" s="5" t="str">
        <f aca="false">IF($K506="","","R"&amp;$K506)</f>
        <v/>
      </c>
    </row>
    <row r="507" customFormat="false" ht="15" hidden="false" customHeight="true" outlineLevel="0" collapsed="false">
      <c r="J507" s="14" t="b">
        <f aca="false">IF(중복검사!$A505="",FALSE(),중복검사!$H505="중복")</f>
        <v>0</v>
      </c>
      <c r="K507" s="5" t="str">
        <f aca="false">IF($J507=FALSE(),"",COUNTIF($J$6:$J507,TRUE()))</f>
        <v/>
      </c>
      <c r="L507" s="5" t="str">
        <f aca="false">IF($K507="","","R"&amp;$K507)</f>
        <v/>
      </c>
    </row>
    <row r="508" customFormat="false" ht="15" hidden="false" customHeight="true" outlineLevel="0" collapsed="false">
      <c r="J508" s="14" t="b">
        <f aca="false">IF(중복검사!$A506="",FALSE(),중복검사!$H506="중복")</f>
        <v>0</v>
      </c>
      <c r="K508" s="5" t="str">
        <f aca="false">IF($J508=FALSE(),"",COUNTIF($J$6:$J508,TRUE()))</f>
        <v/>
      </c>
      <c r="L508" s="5" t="str">
        <f aca="false">IF($K508="","","R"&amp;$K508)</f>
        <v/>
      </c>
    </row>
    <row r="509" customFormat="false" ht="15" hidden="false" customHeight="true" outlineLevel="0" collapsed="false">
      <c r="J509" s="14" t="b">
        <f aca="false">IF(중복검사!$A507="",FALSE(),중복검사!$H507="중복")</f>
        <v>0</v>
      </c>
      <c r="K509" s="5" t="str">
        <f aca="false">IF($J509=FALSE(),"",COUNTIF($J$6:$J509,TRUE()))</f>
        <v/>
      </c>
      <c r="L509" s="5" t="str">
        <f aca="false">IF($K509="","","R"&amp;$K509)</f>
        <v/>
      </c>
    </row>
    <row r="510" customFormat="false" ht="15" hidden="false" customHeight="true" outlineLevel="0" collapsed="false">
      <c r="J510" s="14" t="b">
        <f aca="false">IF(중복검사!$A508="",FALSE(),중복검사!$H508="중복")</f>
        <v>0</v>
      </c>
      <c r="K510" s="5" t="str">
        <f aca="false">IF($J510=FALSE(),"",COUNTIF($J$6:$J510,TRUE()))</f>
        <v/>
      </c>
      <c r="L510" s="5" t="str">
        <f aca="false">IF($K510="","","R"&amp;$K510)</f>
        <v/>
      </c>
    </row>
    <row r="511" customFormat="false" ht="15" hidden="false" customHeight="true" outlineLevel="0" collapsed="false">
      <c r="J511" s="14" t="b">
        <f aca="false">IF(중복검사!$A509="",FALSE(),중복검사!$H509="중복")</f>
        <v>0</v>
      </c>
      <c r="K511" s="5" t="str">
        <f aca="false">IF($J511=FALSE(),"",COUNTIF($J$6:$J511,TRUE()))</f>
        <v/>
      </c>
      <c r="L511" s="5" t="str">
        <f aca="false">IF($K511="","","R"&amp;$K511)</f>
        <v/>
      </c>
    </row>
    <row r="512" customFormat="false" ht="15" hidden="false" customHeight="true" outlineLevel="0" collapsed="false">
      <c r="J512" s="14" t="b">
        <f aca="false">IF(중복검사!$A510="",FALSE(),중복검사!$H510="중복")</f>
        <v>0</v>
      </c>
      <c r="K512" s="5" t="str">
        <f aca="false">IF($J512=FALSE(),"",COUNTIF($J$6:$J512,TRUE()))</f>
        <v/>
      </c>
      <c r="L512" s="5" t="str">
        <f aca="false">IF($K512="","","R"&amp;$K512)</f>
        <v/>
      </c>
    </row>
    <row r="513" customFormat="false" ht="15" hidden="false" customHeight="true" outlineLevel="0" collapsed="false">
      <c r="J513" s="14" t="b">
        <f aca="false">IF(중복검사!$A511="",FALSE(),중복검사!$H511="중복")</f>
        <v>0</v>
      </c>
      <c r="K513" s="5" t="str">
        <f aca="false">IF($J513=FALSE(),"",COUNTIF($J$6:$J513,TRUE()))</f>
        <v/>
      </c>
      <c r="L513" s="5" t="str">
        <f aca="false">IF($K513="","","R"&amp;$K513)</f>
        <v/>
      </c>
    </row>
    <row r="514" customFormat="false" ht="15" hidden="false" customHeight="true" outlineLevel="0" collapsed="false">
      <c r="J514" s="14" t="b">
        <f aca="false">IF(중복검사!$A512="",FALSE(),중복검사!$H512="중복")</f>
        <v>0</v>
      </c>
      <c r="K514" s="5" t="str">
        <f aca="false">IF($J514=FALSE(),"",COUNTIF($J$6:$J514,TRUE()))</f>
        <v/>
      </c>
      <c r="L514" s="5" t="str">
        <f aca="false">IF($K514="","","R"&amp;$K514)</f>
        <v/>
      </c>
    </row>
    <row r="515" customFormat="false" ht="15" hidden="false" customHeight="true" outlineLevel="0" collapsed="false">
      <c r="J515" s="14" t="b">
        <f aca="false">IF(중복검사!$A513="",FALSE(),중복검사!$H513="중복")</f>
        <v>0</v>
      </c>
      <c r="K515" s="5" t="str">
        <f aca="false">IF($J515=FALSE(),"",COUNTIF($J$6:$J515,TRUE()))</f>
        <v/>
      </c>
      <c r="L515" s="5" t="str">
        <f aca="false">IF($K515="","","R"&amp;$K515)</f>
        <v/>
      </c>
    </row>
    <row r="516" customFormat="false" ht="15" hidden="false" customHeight="true" outlineLevel="0" collapsed="false">
      <c r="J516" s="14" t="b">
        <f aca="false">IF(중복검사!$A514="",FALSE(),중복검사!$H514="중복")</f>
        <v>0</v>
      </c>
      <c r="K516" s="5" t="str">
        <f aca="false">IF($J516=FALSE(),"",COUNTIF($J$6:$J516,TRUE()))</f>
        <v/>
      </c>
      <c r="L516" s="5" t="str">
        <f aca="false">IF($K516="","","R"&amp;$K516)</f>
        <v/>
      </c>
    </row>
    <row r="517" customFormat="false" ht="15" hidden="false" customHeight="true" outlineLevel="0" collapsed="false">
      <c r="J517" s="14" t="b">
        <f aca="false">IF(중복검사!$A515="",FALSE(),중복검사!$H515="중복")</f>
        <v>0</v>
      </c>
      <c r="K517" s="5" t="str">
        <f aca="false">IF($J517=FALSE(),"",COUNTIF($J$6:$J517,TRUE()))</f>
        <v/>
      </c>
      <c r="L517" s="5" t="str">
        <f aca="false">IF($K517="","","R"&amp;$K517)</f>
        <v/>
      </c>
    </row>
    <row r="518" customFormat="false" ht="15" hidden="false" customHeight="true" outlineLevel="0" collapsed="false">
      <c r="J518" s="14" t="b">
        <f aca="false">IF(중복검사!$A516="",FALSE(),중복검사!$H516="중복")</f>
        <v>0</v>
      </c>
      <c r="K518" s="5" t="str">
        <f aca="false">IF($J518=FALSE(),"",COUNTIF($J$6:$J518,TRUE()))</f>
        <v/>
      </c>
      <c r="L518" s="5" t="str">
        <f aca="false">IF($K518="","","R"&amp;$K518)</f>
        <v/>
      </c>
    </row>
    <row r="519" customFormat="false" ht="15" hidden="false" customHeight="true" outlineLevel="0" collapsed="false">
      <c r="J519" s="14" t="b">
        <f aca="false">IF(중복검사!$A517="",FALSE(),중복검사!$H517="중복")</f>
        <v>0</v>
      </c>
      <c r="K519" s="5" t="str">
        <f aca="false">IF($J519=FALSE(),"",COUNTIF($J$6:$J519,TRUE()))</f>
        <v/>
      </c>
      <c r="L519" s="5" t="str">
        <f aca="false">IF($K519="","","R"&amp;$K519)</f>
        <v/>
      </c>
    </row>
    <row r="520" customFormat="false" ht="15" hidden="false" customHeight="true" outlineLevel="0" collapsed="false">
      <c r="J520" s="14" t="b">
        <f aca="false">IF(중복검사!$A518="",FALSE(),중복검사!$H518="중복")</f>
        <v>0</v>
      </c>
      <c r="K520" s="5" t="str">
        <f aca="false">IF($J520=FALSE(),"",COUNTIF($J$6:$J520,TRUE()))</f>
        <v/>
      </c>
      <c r="L520" s="5" t="str">
        <f aca="false">IF($K520="","","R"&amp;$K520)</f>
        <v/>
      </c>
    </row>
    <row r="521" customFormat="false" ht="15" hidden="false" customHeight="true" outlineLevel="0" collapsed="false">
      <c r="J521" s="14" t="b">
        <f aca="false">IF(중복검사!$A519="",FALSE(),중복검사!$H519="중복")</f>
        <v>0</v>
      </c>
      <c r="K521" s="5" t="str">
        <f aca="false">IF($J521=FALSE(),"",COUNTIF($J$6:$J521,TRUE()))</f>
        <v/>
      </c>
      <c r="L521" s="5" t="str">
        <f aca="false">IF($K521="","","R"&amp;$K521)</f>
        <v/>
      </c>
    </row>
    <row r="522" customFormat="false" ht="15" hidden="false" customHeight="true" outlineLevel="0" collapsed="false">
      <c r="J522" s="14" t="b">
        <f aca="false">IF(중복검사!$A520="",FALSE(),중복검사!$H520="중복")</f>
        <v>0</v>
      </c>
      <c r="K522" s="5" t="str">
        <f aca="false">IF($J522=FALSE(),"",COUNTIF($J$6:$J522,TRUE()))</f>
        <v/>
      </c>
      <c r="L522" s="5" t="str">
        <f aca="false">IF($K522="","","R"&amp;$K522)</f>
        <v/>
      </c>
    </row>
    <row r="523" customFormat="false" ht="15" hidden="false" customHeight="true" outlineLevel="0" collapsed="false">
      <c r="J523" s="14" t="b">
        <f aca="false">IF(중복검사!$A521="",FALSE(),중복검사!$H521="중복")</f>
        <v>0</v>
      </c>
      <c r="K523" s="5" t="str">
        <f aca="false">IF($J523=FALSE(),"",COUNTIF($J$6:$J523,TRUE()))</f>
        <v/>
      </c>
      <c r="L523" s="5" t="str">
        <f aca="false">IF($K523="","","R"&amp;$K523)</f>
        <v/>
      </c>
    </row>
    <row r="524" customFormat="false" ht="15" hidden="false" customHeight="true" outlineLevel="0" collapsed="false">
      <c r="J524" s="14" t="b">
        <f aca="false">IF(중복검사!$A522="",FALSE(),중복검사!$H522="중복")</f>
        <v>0</v>
      </c>
      <c r="K524" s="5" t="str">
        <f aca="false">IF($J524=FALSE(),"",COUNTIF($J$6:$J524,TRUE()))</f>
        <v/>
      </c>
      <c r="L524" s="5" t="str">
        <f aca="false">IF($K524="","","R"&amp;$K524)</f>
        <v/>
      </c>
    </row>
    <row r="525" customFormat="false" ht="15" hidden="false" customHeight="true" outlineLevel="0" collapsed="false">
      <c r="J525" s="14" t="b">
        <f aca="false">IF(중복검사!$A523="",FALSE(),중복검사!$H523="중복")</f>
        <v>0</v>
      </c>
      <c r="K525" s="5" t="str">
        <f aca="false">IF($J525=FALSE(),"",COUNTIF($J$6:$J525,TRUE()))</f>
        <v/>
      </c>
      <c r="L525" s="5" t="str">
        <f aca="false">IF($K525="","","R"&amp;$K525)</f>
        <v/>
      </c>
    </row>
    <row r="526" customFormat="false" ht="15" hidden="false" customHeight="true" outlineLevel="0" collapsed="false">
      <c r="J526" s="14" t="b">
        <f aca="false">IF(중복검사!$A524="",FALSE(),중복검사!$H524="중복")</f>
        <v>0</v>
      </c>
      <c r="K526" s="5" t="str">
        <f aca="false">IF($J526=FALSE(),"",COUNTIF($J$6:$J526,TRUE()))</f>
        <v/>
      </c>
      <c r="L526" s="5" t="str">
        <f aca="false">IF($K526="","","R"&amp;$K526)</f>
        <v/>
      </c>
    </row>
    <row r="527" customFormat="false" ht="15" hidden="false" customHeight="true" outlineLevel="0" collapsed="false">
      <c r="J527" s="14" t="b">
        <f aca="false">IF(중복검사!$A525="",FALSE(),중복검사!$H525="중복")</f>
        <v>0</v>
      </c>
      <c r="K527" s="5" t="str">
        <f aca="false">IF($J527=FALSE(),"",COUNTIF($J$6:$J527,TRUE()))</f>
        <v/>
      </c>
      <c r="L527" s="5" t="str">
        <f aca="false">IF($K527="","","R"&amp;$K527)</f>
        <v/>
      </c>
    </row>
    <row r="528" customFormat="false" ht="15" hidden="false" customHeight="true" outlineLevel="0" collapsed="false">
      <c r="J528" s="14" t="b">
        <f aca="false">IF(중복검사!$A526="",FALSE(),중복검사!$H526="중복")</f>
        <v>0</v>
      </c>
      <c r="K528" s="5" t="str">
        <f aca="false">IF($J528=FALSE(),"",COUNTIF($J$6:$J528,TRUE()))</f>
        <v/>
      </c>
      <c r="L528" s="5" t="str">
        <f aca="false">IF($K528="","","R"&amp;$K528)</f>
        <v/>
      </c>
    </row>
    <row r="529" customFormat="false" ht="15" hidden="false" customHeight="true" outlineLevel="0" collapsed="false">
      <c r="J529" s="14" t="b">
        <f aca="false">IF(중복검사!$A527="",FALSE(),중복검사!$H527="중복")</f>
        <v>0</v>
      </c>
      <c r="K529" s="5" t="str">
        <f aca="false">IF($J529=FALSE(),"",COUNTIF($J$6:$J529,TRUE()))</f>
        <v/>
      </c>
      <c r="L529" s="5" t="str">
        <f aca="false">IF($K529="","","R"&amp;$K529)</f>
        <v/>
      </c>
    </row>
    <row r="530" customFormat="false" ht="15" hidden="false" customHeight="true" outlineLevel="0" collapsed="false">
      <c r="J530" s="14" t="b">
        <f aca="false">IF(중복검사!$A528="",FALSE(),중복검사!$H528="중복")</f>
        <v>0</v>
      </c>
      <c r="K530" s="5" t="str">
        <f aca="false">IF($J530=FALSE(),"",COUNTIF($J$6:$J530,TRUE()))</f>
        <v/>
      </c>
      <c r="L530" s="5" t="str">
        <f aca="false">IF($K530="","","R"&amp;$K530)</f>
        <v/>
      </c>
    </row>
    <row r="531" customFormat="false" ht="15" hidden="false" customHeight="true" outlineLevel="0" collapsed="false">
      <c r="J531" s="14" t="b">
        <f aca="false">IF(중복검사!$A529="",FALSE(),중복검사!$H529="중복")</f>
        <v>0</v>
      </c>
      <c r="K531" s="5" t="str">
        <f aca="false">IF($J531=FALSE(),"",COUNTIF($J$6:$J531,TRUE()))</f>
        <v/>
      </c>
      <c r="L531" s="5" t="str">
        <f aca="false">IF($K531="","","R"&amp;$K531)</f>
        <v/>
      </c>
    </row>
    <row r="532" customFormat="false" ht="15" hidden="false" customHeight="true" outlineLevel="0" collapsed="false">
      <c r="J532" s="14" t="b">
        <f aca="false">IF(중복검사!$A530="",FALSE(),중복검사!$H530="중복")</f>
        <v>0</v>
      </c>
      <c r="K532" s="5" t="str">
        <f aca="false">IF($J532=FALSE(),"",COUNTIF($J$6:$J532,TRUE()))</f>
        <v/>
      </c>
      <c r="L532" s="5" t="str">
        <f aca="false">IF($K532="","","R"&amp;$K532)</f>
        <v/>
      </c>
    </row>
    <row r="533" customFormat="false" ht="15" hidden="false" customHeight="true" outlineLevel="0" collapsed="false">
      <c r="J533" s="14" t="b">
        <f aca="false">IF(중복검사!$A531="",FALSE(),중복검사!$H531="중복")</f>
        <v>0</v>
      </c>
      <c r="K533" s="5" t="str">
        <f aca="false">IF($J533=FALSE(),"",COUNTIF($J$6:$J533,TRUE()))</f>
        <v/>
      </c>
      <c r="L533" s="5" t="str">
        <f aca="false">IF($K533="","","R"&amp;$K533)</f>
        <v/>
      </c>
    </row>
    <row r="534" customFormat="false" ht="15" hidden="false" customHeight="true" outlineLevel="0" collapsed="false">
      <c r="J534" s="14" t="b">
        <f aca="false">IF(중복검사!$A532="",FALSE(),중복검사!$H532="중복")</f>
        <v>0</v>
      </c>
      <c r="K534" s="5" t="str">
        <f aca="false">IF($J534=FALSE(),"",COUNTIF($J$6:$J534,TRUE()))</f>
        <v/>
      </c>
      <c r="L534" s="5" t="str">
        <f aca="false">IF($K534="","","R"&amp;$K534)</f>
        <v/>
      </c>
    </row>
    <row r="535" customFormat="false" ht="15" hidden="false" customHeight="true" outlineLevel="0" collapsed="false">
      <c r="J535" s="14" t="b">
        <f aca="false">IF(중복검사!$A533="",FALSE(),중복검사!$H533="중복")</f>
        <v>0</v>
      </c>
      <c r="K535" s="5" t="str">
        <f aca="false">IF($J535=FALSE(),"",COUNTIF($J$6:$J535,TRUE()))</f>
        <v/>
      </c>
      <c r="L535" s="5" t="str">
        <f aca="false">IF($K535="","","R"&amp;$K535)</f>
        <v/>
      </c>
    </row>
    <row r="536" customFormat="false" ht="15" hidden="false" customHeight="true" outlineLevel="0" collapsed="false">
      <c r="J536" s="14" t="b">
        <f aca="false">IF(중복검사!$A534="",FALSE(),중복검사!$H534="중복")</f>
        <v>0</v>
      </c>
      <c r="K536" s="5" t="str">
        <f aca="false">IF($J536=FALSE(),"",COUNTIF($J$6:$J536,TRUE()))</f>
        <v/>
      </c>
      <c r="L536" s="5" t="str">
        <f aca="false">IF($K536="","","R"&amp;$K536)</f>
        <v/>
      </c>
    </row>
    <row r="537" customFormat="false" ht="15" hidden="false" customHeight="true" outlineLevel="0" collapsed="false">
      <c r="J537" s="14" t="b">
        <f aca="false">IF(중복검사!$A535="",FALSE(),중복검사!$H535="중복")</f>
        <v>0</v>
      </c>
      <c r="K537" s="5" t="str">
        <f aca="false">IF($J537=FALSE(),"",COUNTIF($J$6:$J537,TRUE()))</f>
        <v/>
      </c>
      <c r="L537" s="5" t="str">
        <f aca="false">IF($K537="","","R"&amp;$K537)</f>
        <v/>
      </c>
    </row>
    <row r="538" customFormat="false" ht="15" hidden="false" customHeight="true" outlineLevel="0" collapsed="false">
      <c r="J538" s="14" t="b">
        <f aca="false">IF(중복검사!$A536="",FALSE(),중복검사!$H536="중복")</f>
        <v>0</v>
      </c>
      <c r="K538" s="5" t="str">
        <f aca="false">IF($J538=FALSE(),"",COUNTIF($J$6:$J538,TRUE()))</f>
        <v/>
      </c>
      <c r="L538" s="5" t="str">
        <f aca="false">IF($K538="","","R"&amp;$K538)</f>
        <v/>
      </c>
    </row>
    <row r="539" customFormat="false" ht="15" hidden="false" customHeight="true" outlineLevel="0" collapsed="false">
      <c r="J539" s="14" t="b">
        <f aca="false">IF(중복검사!$A537="",FALSE(),중복검사!$H537="중복")</f>
        <v>0</v>
      </c>
      <c r="K539" s="5" t="str">
        <f aca="false">IF($J539=FALSE(),"",COUNTIF($J$6:$J539,TRUE()))</f>
        <v/>
      </c>
      <c r="L539" s="5" t="str">
        <f aca="false">IF($K539="","","R"&amp;$K539)</f>
        <v/>
      </c>
    </row>
    <row r="540" customFormat="false" ht="15" hidden="false" customHeight="true" outlineLevel="0" collapsed="false">
      <c r="J540" s="14" t="b">
        <f aca="false">IF(중복검사!$A538="",FALSE(),중복검사!$H538="중복")</f>
        <v>0</v>
      </c>
      <c r="K540" s="5" t="str">
        <f aca="false">IF($J540=FALSE(),"",COUNTIF($J$6:$J540,TRUE()))</f>
        <v/>
      </c>
      <c r="L540" s="5" t="str">
        <f aca="false">IF($K540="","","R"&amp;$K540)</f>
        <v/>
      </c>
    </row>
    <row r="541" customFormat="false" ht="15" hidden="false" customHeight="true" outlineLevel="0" collapsed="false">
      <c r="J541" s="14" t="b">
        <f aca="false">IF(중복검사!$A539="",FALSE(),중복검사!$H539="중복")</f>
        <v>0</v>
      </c>
      <c r="K541" s="5" t="str">
        <f aca="false">IF($J541=FALSE(),"",COUNTIF($J$6:$J541,TRUE()))</f>
        <v/>
      </c>
      <c r="L541" s="5" t="str">
        <f aca="false">IF($K541="","","R"&amp;$K541)</f>
        <v/>
      </c>
    </row>
    <row r="542" customFormat="false" ht="15" hidden="false" customHeight="true" outlineLevel="0" collapsed="false">
      <c r="J542" s="14" t="b">
        <f aca="false">IF(중복검사!$A540="",FALSE(),중복검사!$H540="중복")</f>
        <v>0</v>
      </c>
      <c r="K542" s="5" t="str">
        <f aca="false">IF($J542=FALSE(),"",COUNTIF($J$6:$J542,TRUE()))</f>
        <v/>
      </c>
      <c r="L542" s="5" t="str">
        <f aca="false">IF($K542="","","R"&amp;$K542)</f>
        <v/>
      </c>
    </row>
    <row r="543" customFormat="false" ht="15" hidden="false" customHeight="true" outlineLevel="0" collapsed="false">
      <c r="J543" s="14" t="b">
        <f aca="false">IF(중복검사!$A541="",FALSE(),중복검사!$H541="중복")</f>
        <v>0</v>
      </c>
      <c r="K543" s="5" t="str">
        <f aca="false">IF($J543=FALSE(),"",COUNTIF($J$6:$J543,TRUE()))</f>
        <v/>
      </c>
      <c r="L543" s="5" t="str">
        <f aca="false">IF($K543="","","R"&amp;$K543)</f>
        <v/>
      </c>
    </row>
    <row r="544" customFormat="false" ht="15" hidden="false" customHeight="true" outlineLevel="0" collapsed="false">
      <c r="J544" s="14" t="b">
        <f aca="false">IF(중복검사!$A542="",FALSE(),중복검사!$H542="중복")</f>
        <v>0</v>
      </c>
      <c r="K544" s="5" t="str">
        <f aca="false">IF($J544=FALSE(),"",COUNTIF($J$6:$J544,TRUE()))</f>
        <v/>
      </c>
      <c r="L544" s="5" t="str">
        <f aca="false">IF($K544="","","R"&amp;$K544)</f>
        <v/>
      </c>
    </row>
    <row r="545" customFormat="false" ht="15" hidden="false" customHeight="true" outlineLevel="0" collapsed="false">
      <c r="J545" s="14" t="b">
        <f aca="false">IF(중복검사!$A543="",FALSE(),중복검사!$H543="중복")</f>
        <v>0</v>
      </c>
      <c r="K545" s="5" t="str">
        <f aca="false">IF($J545=FALSE(),"",COUNTIF($J$6:$J545,TRUE()))</f>
        <v/>
      </c>
      <c r="L545" s="5" t="str">
        <f aca="false">IF($K545="","","R"&amp;$K545)</f>
        <v/>
      </c>
    </row>
    <row r="546" customFormat="false" ht="15" hidden="false" customHeight="true" outlineLevel="0" collapsed="false">
      <c r="J546" s="14" t="b">
        <f aca="false">IF(중복검사!$A544="",FALSE(),중복검사!$H544="중복")</f>
        <v>0</v>
      </c>
      <c r="K546" s="5" t="str">
        <f aca="false">IF($J546=FALSE(),"",COUNTIF($J$6:$J546,TRUE()))</f>
        <v/>
      </c>
      <c r="L546" s="5" t="str">
        <f aca="false">IF($K546="","","R"&amp;$K546)</f>
        <v/>
      </c>
    </row>
    <row r="547" customFormat="false" ht="15" hidden="false" customHeight="true" outlineLevel="0" collapsed="false">
      <c r="J547" s="14" t="b">
        <f aca="false">IF(중복검사!$A545="",FALSE(),중복검사!$H545="중복")</f>
        <v>0</v>
      </c>
      <c r="K547" s="5" t="str">
        <f aca="false">IF($J547=FALSE(),"",COUNTIF($J$6:$J547,TRUE()))</f>
        <v/>
      </c>
      <c r="L547" s="5" t="str">
        <f aca="false">IF($K547="","","R"&amp;$K547)</f>
        <v/>
      </c>
    </row>
    <row r="548" customFormat="false" ht="15" hidden="false" customHeight="true" outlineLevel="0" collapsed="false">
      <c r="J548" s="14" t="b">
        <f aca="false">IF(중복검사!$A546="",FALSE(),중복검사!$H546="중복")</f>
        <v>0</v>
      </c>
      <c r="K548" s="5" t="str">
        <f aca="false">IF($J548=FALSE(),"",COUNTIF($J$6:$J548,TRUE()))</f>
        <v/>
      </c>
      <c r="L548" s="5" t="str">
        <f aca="false">IF($K548="","","R"&amp;$K548)</f>
        <v/>
      </c>
    </row>
    <row r="549" customFormat="false" ht="15" hidden="false" customHeight="true" outlineLevel="0" collapsed="false">
      <c r="J549" s="14" t="b">
        <f aca="false">IF(중복검사!$A547="",FALSE(),중복검사!$H547="중복")</f>
        <v>0</v>
      </c>
      <c r="K549" s="5" t="str">
        <f aca="false">IF($J549=FALSE(),"",COUNTIF($J$6:$J549,TRUE()))</f>
        <v/>
      </c>
      <c r="L549" s="5" t="str">
        <f aca="false">IF($K549="","","R"&amp;$K549)</f>
        <v/>
      </c>
    </row>
    <row r="550" customFormat="false" ht="15" hidden="false" customHeight="true" outlineLevel="0" collapsed="false">
      <c r="J550" s="14" t="b">
        <f aca="false">IF(중복검사!$A548="",FALSE(),중복검사!$H548="중복")</f>
        <v>0</v>
      </c>
      <c r="K550" s="5" t="str">
        <f aca="false">IF($J550=FALSE(),"",COUNTIF($J$6:$J550,TRUE()))</f>
        <v/>
      </c>
      <c r="L550" s="5" t="str">
        <f aca="false">IF($K550="","","R"&amp;$K550)</f>
        <v/>
      </c>
    </row>
    <row r="551" customFormat="false" ht="15" hidden="false" customHeight="true" outlineLevel="0" collapsed="false">
      <c r="J551" s="14" t="b">
        <f aca="false">IF(중복검사!$A549="",FALSE(),중복검사!$H549="중복")</f>
        <v>0</v>
      </c>
      <c r="K551" s="5" t="str">
        <f aca="false">IF($J551=FALSE(),"",COUNTIF($J$6:$J551,TRUE()))</f>
        <v/>
      </c>
      <c r="L551" s="5" t="str">
        <f aca="false">IF($K551="","","R"&amp;$K551)</f>
        <v/>
      </c>
    </row>
    <row r="552" customFormat="false" ht="15" hidden="false" customHeight="true" outlineLevel="0" collapsed="false">
      <c r="J552" s="14" t="b">
        <f aca="false">IF(중복검사!$A550="",FALSE(),중복검사!$H550="중복")</f>
        <v>0</v>
      </c>
      <c r="K552" s="5" t="str">
        <f aca="false">IF($J552=FALSE(),"",COUNTIF($J$6:$J552,TRUE()))</f>
        <v/>
      </c>
      <c r="L552" s="5" t="str">
        <f aca="false">IF($K552="","","R"&amp;$K552)</f>
        <v/>
      </c>
    </row>
    <row r="553" customFormat="false" ht="15" hidden="false" customHeight="true" outlineLevel="0" collapsed="false">
      <c r="J553" s="14" t="b">
        <f aca="false">IF(중복검사!$A551="",FALSE(),중복검사!$H551="중복")</f>
        <v>0</v>
      </c>
      <c r="K553" s="5" t="str">
        <f aca="false">IF($J553=FALSE(),"",COUNTIF($J$6:$J553,TRUE()))</f>
        <v/>
      </c>
      <c r="L553" s="5" t="str">
        <f aca="false">IF($K553="","","R"&amp;$K553)</f>
        <v/>
      </c>
    </row>
    <row r="554" customFormat="false" ht="15" hidden="false" customHeight="true" outlineLevel="0" collapsed="false">
      <c r="J554" s="14" t="b">
        <f aca="false">IF(중복검사!$A552="",FALSE(),중복검사!$H552="중복")</f>
        <v>0</v>
      </c>
      <c r="K554" s="5" t="str">
        <f aca="false">IF($J554=FALSE(),"",COUNTIF($J$6:$J554,TRUE()))</f>
        <v/>
      </c>
      <c r="L554" s="5" t="str">
        <f aca="false">IF($K554="","","R"&amp;$K554)</f>
        <v/>
      </c>
    </row>
    <row r="555" customFormat="false" ht="15" hidden="false" customHeight="true" outlineLevel="0" collapsed="false">
      <c r="J555" s="14" t="b">
        <f aca="false">IF(중복검사!$A553="",FALSE(),중복검사!$H553="중복")</f>
        <v>0</v>
      </c>
      <c r="K555" s="5" t="str">
        <f aca="false">IF($J555=FALSE(),"",COUNTIF($J$6:$J555,TRUE()))</f>
        <v/>
      </c>
      <c r="L555" s="5" t="str">
        <f aca="false">IF($K555="","","R"&amp;$K555)</f>
        <v/>
      </c>
    </row>
    <row r="556" customFormat="false" ht="15" hidden="false" customHeight="true" outlineLevel="0" collapsed="false">
      <c r="J556" s="14" t="b">
        <f aca="false">IF(중복검사!$A554="",FALSE(),중복검사!$H554="중복")</f>
        <v>0</v>
      </c>
      <c r="K556" s="5" t="str">
        <f aca="false">IF($J556=FALSE(),"",COUNTIF($J$6:$J556,TRUE()))</f>
        <v/>
      </c>
      <c r="L556" s="5" t="str">
        <f aca="false">IF($K556="","","R"&amp;$K556)</f>
        <v/>
      </c>
    </row>
    <row r="557" customFormat="false" ht="15" hidden="false" customHeight="true" outlineLevel="0" collapsed="false">
      <c r="J557" s="14" t="b">
        <f aca="false">IF(중복검사!$A555="",FALSE(),중복검사!$H555="중복")</f>
        <v>0</v>
      </c>
      <c r="K557" s="5" t="str">
        <f aca="false">IF($J557=FALSE(),"",COUNTIF($J$6:$J557,TRUE()))</f>
        <v/>
      </c>
      <c r="L557" s="5" t="str">
        <f aca="false">IF($K557="","","R"&amp;$K557)</f>
        <v/>
      </c>
    </row>
    <row r="558" customFormat="false" ht="15" hidden="false" customHeight="true" outlineLevel="0" collapsed="false">
      <c r="J558" s="14" t="b">
        <f aca="false">IF(중복검사!$A556="",FALSE(),중복검사!$H556="중복")</f>
        <v>0</v>
      </c>
      <c r="K558" s="5" t="str">
        <f aca="false">IF($J558=FALSE(),"",COUNTIF($J$6:$J558,TRUE()))</f>
        <v/>
      </c>
      <c r="L558" s="5" t="str">
        <f aca="false">IF($K558="","","R"&amp;$K558)</f>
        <v/>
      </c>
    </row>
    <row r="559" customFormat="false" ht="15" hidden="false" customHeight="true" outlineLevel="0" collapsed="false">
      <c r="J559" s="14" t="b">
        <f aca="false">IF(중복검사!$A557="",FALSE(),중복검사!$H557="중복")</f>
        <v>0</v>
      </c>
      <c r="K559" s="5" t="str">
        <f aca="false">IF($J559=FALSE(),"",COUNTIF($J$6:$J559,TRUE()))</f>
        <v/>
      </c>
      <c r="L559" s="5" t="str">
        <f aca="false">IF($K559="","","R"&amp;$K559)</f>
        <v/>
      </c>
    </row>
    <row r="560" customFormat="false" ht="15" hidden="false" customHeight="true" outlineLevel="0" collapsed="false">
      <c r="J560" s="14" t="b">
        <f aca="false">IF(중복검사!$A558="",FALSE(),중복검사!$H558="중복")</f>
        <v>0</v>
      </c>
      <c r="K560" s="5" t="str">
        <f aca="false">IF($J560=FALSE(),"",COUNTIF($J$6:$J560,TRUE()))</f>
        <v/>
      </c>
      <c r="L560" s="5" t="str">
        <f aca="false">IF($K560="","","R"&amp;$K560)</f>
        <v/>
      </c>
    </row>
    <row r="561" customFormat="false" ht="15" hidden="false" customHeight="true" outlineLevel="0" collapsed="false">
      <c r="J561" s="14" t="b">
        <f aca="false">IF(중복검사!$A559="",FALSE(),중복검사!$H559="중복")</f>
        <v>0</v>
      </c>
      <c r="K561" s="5" t="str">
        <f aca="false">IF($J561=FALSE(),"",COUNTIF($J$6:$J561,TRUE()))</f>
        <v/>
      </c>
      <c r="L561" s="5" t="str">
        <f aca="false">IF($K561="","","R"&amp;$K561)</f>
        <v/>
      </c>
    </row>
    <row r="562" customFormat="false" ht="15" hidden="false" customHeight="true" outlineLevel="0" collapsed="false">
      <c r="J562" s="14" t="b">
        <f aca="false">IF(중복검사!$A560="",FALSE(),중복검사!$H560="중복")</f>
        <v>0</v>
      </c>
      <c r="K562" s="5" t="str">
        <f aca="false">IF($J562=FALSE(),"",COUNTIF($J$6:$J562,TRUE()))</f>
        <v/>
      </c>
      <c r="L562" s="5" t="str">
        <f aca="false">IF($K562="","","R"&amp;$K562)</f>
        <v/>
      </c>
    </row>
    <row r="563" customFormat="false" ht="15" hidden="false" customHeight="true" outlineLevel="0" collapsed="false">
      <c r="J563" s="14" t="b">
        <f aca="false">IF(중복검사!$A561="",FALSE(),중복검사!$H561="중복")</f>
        <v>0</v>
      </c>
      <c r="K563" s="5" t="str">
        <f aca="false">IF($J563=FALSE(),"",COUNTIF($J$6:$J563,TRUE()))</f>
        <v/>
      </c>
      <c r="L563" s="5" t="str">
        <f aca="false">IF($K563="","","R"&amp;$K563)</f>
        <v/>
      </c>
    </row>
    <row r="564" customFormat="false" ht="15" hidden="false" customHeight="true" outlineLevel="0" collapsed="false">
      <c r="J564" s="14" t="b">
        <f aca="false">IF(중복검사!$A562="",FALSE(),중복검사!$H562="중복")</f>
        <v>0</v>
      </c>
      <c r="K564" s="5" t="str">
        <f aca="false">IF($J564=FALSE(),"",COUNTIF($J$6:$J564,TRUE()))</f>
        <v/>
      </c>
      <c r="L564" s="5" t="str">
        <f aca="false">IF($K564="","","R"&amp;$K564)</f>
        <v/>
      </c>
    </row>
    <row r="565" customFormat="false" ht="15" hidden="false" customHeight="true" outlineLevel="0" collapsed="false">
      <c r="J565" s="14" t="b">
        <f aca="false">IF(중복검사!$A563="",FALSE(),중복검사!$H563="중복")</f>
        <v>0</v>
      </c>
      <c r="K565" s="5" t="str">
        <f aca="false">IF($J565=FALSE(),"",COUNTIF($J$6:$J565,TRUE()))</f>
        <v/>
      </c>
      <c r="L565" s="5" t="str">
        <f aca="false">IF($K565="","","R"&amp;$K565)</f>
        <v/>
      </c>
    </row>
    <row r="566" customFormat="false" ht="15" hidden="false" customHeight="true" outlineLevel="0" collapsed="false">
      <c r="J566" s="14" t="b">
        <f aca="false">IF(중복검사!$A564="",FALSE(),중복검사!$H564="중복")</f>
        <v>0</v>
      </c>
      <c r="K566" s="5" t="str">
        <f aca="false">IF($J566=FALSE(),"",COUNTIF($J$6:$J566,TRUE()))</f>
        <v/>
      </c>
      <c r="L566" s="5" t="str">
        <f aca="false">IF($K566="","","R"&amp;$K566)</f>
        <v/>
      </c>
    </row>
    <row r="567" customFormat="false" ht="15" hidden="false" customHeight="true" outlineLevel="0" collapsed="false">
      <c r="J567" s="14" t="b">
        <f aca="false">IF(중복검사!$A565="",FALSE(),중복검사!$H565="중복")</f>
        <v>0</v>
      </c>
      <c r="K567" s="5" t="str">
        <f aca="false">IF($J567=FALSE(),"",COUNTIF($J$6:$J567,TRUE()))</f>
        <v/>
      </c>
      <c r="L567" s="5" t="str">
        <f aca="false">IF($K567="","","R"&amp;$K567)</f>
        <v/>
      </c>
    </row>
    <row r="568" customFormat="false" ht="15" hidden="false" customHeight="true" outlineLevel="0" collapsed="false">
      <c r="J568" s="14" t="b">
        <f aca="false">IF(중복검사!$A566="",FALSE(),중복검사!$H566="중복")</f>
        <v>0</v>
      </c>
      <c r="K568" s="5" t="str">
        <f aca="false">IF($J568=FALSE(),"",COUNTIF($J$6:$J568,TRUE()))</f>
        <v/>
      </c>
      <c r="L568" s="5" t="str">
        <f aca="false">IF($K568="","","R"&amp;$K568)</f>
        <v/>
      </c>
    </row>
    <row r="569" customFormat="false" ht="15" hidden="false" customHeight="true" outlineLevel="0" collapsed="false">
      <c r="J569" s="14" t="b">
        <f aca="false">IF(중복검사!$A567="",FALSE(),중복검사!$H567="중복")</f>
        <v>0</v>
      </c>
      <c r="K569" s="5" t="str">
        <f aca="false">IF($J569=FALSE(),"",COUNTIF($J$6:$J569,TRUE()))</f>
        <v/>
      </c>
      <c r="L569" s="5" t="str">
        <f aca="false">IF($K569="","","R"&amp;$K569)</f>
        <v/>
      </c>
    </row>
    <row r="570" customFormat="false" ht="15" hidden="false" customHeight="true" outlineLevel="0" collapsed="false">
      <c r="J570" s="14" t="b">
        <f aca="false">IF(중복검사!$A568="",FALSE(),중복검사!$H568="중복")</f>
        <v>0</v>
      </c>
      <c r="K570" s="5" t="str">
        <f aca="false">IF($J570=FALSE(),"",COUNTIF($J$6:$J570,TRUE()))</f>
        <v/>
      </c>
      <c r="L570" s="5" t="str">
        <f aca="false">IF($K570="","","R"&amp;$K570)</f>
        <v/>
      </c>
    </row>
    <row r="571" customFormat="false" ht="15" hidden="false" customHeight="true" outlineLevel="0" collapsed="false">
      <c r="J571" s="14" t="b">
        <f aca="false">IF(중복검사!$A569="",FALSE(),중복검사!$H569="중복")</f>
        <v>0</v>
      </c>
      <c r="K571" s="5" t="str">
        <f aca="false">IF($J571=FALSE(),"",COUNTIF($J$6:$J571,TRUE()))</f>
        <v/>
      </c>
      <c r="L571" s="5" t="str">
        <f aca="false">IF($K571="","","R"&amp;$K571)</f>
        <v/>
      </c>
    </row>
    <row r="572" customFormat="false" ht="15" hidden="false" customHeight="true" outlineLevel="0" collapsed="false">
      <c r="J572" s="14" t="b">
        <f aca="false">IF(중복검사!$A570="",FALSE(),중복검사!$H570="중복")</f>
        <v>0</v>
      </c>
      <c r="K572" s="5" t="str">
        <f aca="false">IF($J572=FALSE(),"",COUNTIF($J$6:$J572,TRUE()))</f>
        <v/>
      </c>
      <c r="L572" s="5" t="str">
        <f aca="false">IF($K572="","","R"&amp;$K572)</f>
        <v/>
      </c>
    </row>
    <row r="573" customFormat="false" ht="15" hidden="false" customHeight="true" outlineLevel="0" collapsed="false">
      <c r="J573" s="14" t="b">
        <f aca="false">IF(중복검사!$A571="",FALSE(),중복검사!$H571="중복")</f>
        <v>0</v>
      </c>
      <c r="K573" s="5" t="str">
        <f aca="false">IF($J573=FALSE(),"",COUNTIF($J$6:$J573,TRUE()))</f>
        <v/>
      </c>
      <c r="L573" s="5" t="str">
        <f aca="false">IF($K573="","","R"&amp;$K573)</f>
        <v/>
      </c>
    </row>
    <row r="574" customFormat="false" ht="15" hidden="false" customHeight="true" outlineLevel="0" collapsed="false">
      <c r="J574" s="14" t="b">
        <f aca="false">IF(중복검사!$A572="",FALSE(),중복검사!$H572="중복")</f>
        <v>0</v>
      </c>
      <c r="K574" s="5" t="str">
        <f aca="false">IF($J574=FALSE(),"",COUNTIF($J$6:$J574,TRUE()))</f>
        <v/>
      </c>
      <c r="L574" s="5" t="str">
        <f aca="false">IF($K574="","","R"&amp;$K574)</f>
        <v/>
      </c>
    </row>
    <row r="575" customFormat="false" ht="15" hidden="false" customHeight="true" outlineLevel="0" collapsed="false">
      <c r="J575" s="14" t="b">
        <f aca="false">IF(중복검사!$A573="",FALSE(),중복검사!$H573="중복")</f>
        <v>0</v>
      </c>
      <c r="K575" s="5" t="str">
        <f aca="false">IF($J575=FALSE(),"",COUNTIF($J$6:$J575,TRUE()))</f>
        <v/>
      </c>
      <c r="L575" s="5" t="str">
        <f aca="false">IF($K575="","","R"&amp;$K575)</f>
        <v/>
      </c>
    </row>
    <row r="576" customFormat="false" ht="15" hidden="false" customHeight="true" outlineLevel="0" collapsed="false">
      <c r="J576" s="14" t="b">
        <f aca="false">IF(중복검사!$A574="",FALSE(),중복검사!$H574="중복")</f>
        <v>0</v>
      </c>
      <c r="K576" s="5" t="str">
        <f aca="false">IF($J576=FALSE(),"",COUNTIF($J$6:$J576,TRUE()))</f>
        <v/>
      </c>
      <c r="L576" s="5" t="str">
        <f aca="false">IF($K576="","","R"&amp;$K576)</f>
        <v/>
      </c>
    </row>
    <row r="577" customFormat="false" ht="15" hidden="false" customHeight="true" outlineLevel="0" collapsed="false">
      <c r="J577" s="14" t="b">
        <f aca="false">IF(중복검사!$A575="",FALSE(),중복검사!$H575="중복")</f>
        <v>0</v>
      </c>
      <c r="K577" s="5" t="str">
        <f aca="false">IF($J577=FALSE(),"",COUNTIF($J$6:$J577,TRUE()))</f>
        <v/>
      </c>
      <c r="L577" s="5" t="str">
        <f aca="false">IF($K577="","","R"&amp;$K577)</f>
        <v/>
      </c>
    </row>
    <row r="578" customFormat="false" ht="15" hidden="false" customHeight="true" outlineLevel="0" collapsed="false">
      <c r="J578" s="14" t="b">
        <f aca="false">IF(중복검사!$A576="",FALSE(),중복검사!$H576="중복")</f>
        <v>0</v>
      </c>
      <c r="K578" s="5" t="str">
        <f aca="false">IF($J578=FALSE(),"",COUNTIF($J$6:$J578,TRUE()))</f>
        <v/>
      </c>
      <c r="L578" s="5" t="str">
        <f aca="false">IF($K578="","","R"&amp;$K578)</f>
        <v/>
      </c>
    </row>
    <row r="579" customFormat="false" ht="15" hidden="false" customHeight="true" outlineLevel="0" collapsed="false">
      <c r="J579" s="14" t="b">
        <f aca="false">IF(중복검사!$A577="",FALSE(),중복검사!$H577="중복")</f>
        <v>0</v>
      </c>
      <c r="K579" s="5" t="str">
        <f aca="false">IF($J579=FALSE(),"",COUNTIF($J$6:$J579,TRUE()))</f>
        <v/>
      </c>
      <c r="L579" s="5" t="str">
        <f aca="false">IF($K579="","","R"&amp;$K579)</f>
        <v/>
      </c>
    </row>
    <row r="580" customFormat="false" ht="15" hidden="false" customHeight="true" outlineLevel="0" collapsed="false">
      <c r="J580" s="14" t="b">
        <f aca="false">IF(중복검사!$A578="",FALSE(),중복검사!$H578="중복")</f>
        <v>0</v>
      </c>
      <c r="K580" s="5" t="str">
        <f aca="false">IF($J580=FALSE(),"",COUNTIF($J$6:$J580,TRUE()))</f>
        <v/>
      </c>
      <c r="L580" s="5" t="str">
        <f aca="false">IF($K580="","","R"&amp;$K580)</f>
        <v/>
      </c>
    </row>
    <row r="581" customFormat="false" ht="15" hidden="false" customHeight="true" outlineLevel="0" collapsed="false">
      <c r="J581" s="14" t="b">
        <f aca="false">IF(중복검사!$A579="",FALSE(),중복검사!$H579="중복")</f>
        <v>0</v>
      </c>
      <c r="K581" s="5" t="str">
        <f aca="false">IF($J581=FALSE(),"",COUNTIF($J$6:$J581,TRUE()))</f>
        <v/>
      </c>
      <c r="L581" s="5" t="str">
        <f aca="false">IF($K581="","","R"&amp;$K581)</f>
        <v/>
      </c>
    </row>
    <row r="582" customFormat="false" ht="15" hidden="false" customHeight="true" outlineLevel="0" collapsed="false">
      <c r="J582" s="14" t="b">
        <f aca="false">IF(중복검사!$A580="",FALSE(),중복검사!$H580="중복")</f>
        <v>0</v>
      </c>
      <c r="K582" s="5" t="str">
        <f aca="false">IF($J582=FALSE(),"",COUNTIF($J$6:$J582,TRUE()))</f>
        <v/>
      </c>
      <c r="L582" s="5" t="str">
        <f aca="false">IF($K582="","","R"&amp;$K582)</f>
        <v/>
      </c>
    </row>
    <row r="583" customFormat="false" ht="15" hidden="false" customHeight="true" outlineLevel="0" collapsed="false">
      <c r="J583" s="14" t="b">
        <f aca="false">IF(중복검사!$A581="",FALSE(),중복검사!$H581="중복")</f>
        <v>0</v>
      </c>
      <c r="K583" s="5" t="str">
        <f aca="false">IF($J583=FALSE(),"",COUNTIF($J$6:$J583,TRUE()))</f>
        <v/>
      </c>
      <c r="L583" s="5" t="str">
        <f aca="false">IF($K583="","","R"&amp;$K583)</f>
        <v/>
      </c>
    </row>
    <row r="584" customFormat="false" ht="15" hidden="false" customHeight="true" outlineLevel="0" collapsed="false">
      <c r="J584" s="14" t="b">
        <f aca="false">IF(중복검사!$A582="",FALSE(),중복검사!$H582="중복")</f>
        <v>0</v>
      </c>
      <c r="K584" s="5" t="str">
        <f aca="false">IF($J584=FALSE(),"",COUNTIF($J$6:$J584,TRUE()))</f>
        <v/>
      </c>
      <c r="L584" s="5" t="str">
        <f aca="false">IF($K584="","","R"&amp;$K584)</f>
        <v/>
      </c>
    </row>
    <row r="585" customFormat="false" ht="15" hidden="false" customHeight="true" outlineLevel="0" collapsed="false">
      <c r="J585" s="14" t="b">
        <f aca="false">IF(중복검사!$A583="",FALSE(),중복검사!$H583="중복")</f>
        <v>0</v>
      </c>
      <c r="K585" s="5" t="str">
        <f aca="false">IF($J585=FALSE(),"",COUNTIF($J$6:$J585,TRUE()))</f>
        <v/>
      </c>
      <c r="L585" s="5" t="str">
        <f aca="false">IF($K585="","","R"&amp;$K585)</f>
        <v/>
      </c>
    </row>
    <row r="586" customFormat="false" ht="15" hidden="false" customHeight="true" outlineLevel="0" collapsed="false">
      <c r="J586" s="14" t="b">
        <f aca="false">IF(중복검사!$A584="",FALSE(),중복검사!$H584="중복")</f>
        <v>0</v>
      </c>
      <c r="K586" s="5" t="str">
        <f aca="false">IF($J586=FALSE(),"",COUNTIF($J$6:$J586,TRUE()))</f>
        <v/>
      </c>
      <c r="L586" s="5" t="str">
        <f aca="false">IF($K586="","","R"&amp;$K586)</f>
        <v/>
      </c>
    </row>
    <row r="587" customFormat="false" ht="15" hidden="false" customHeight="true" outlineLevel="0" collapsed="false">
      <c r="J587" s="14" t="b">
        <f aca="false">IF(중복검사!$A585="",FALSE(),중복검사!$H585="중복")</f>
        <v>0</v>
      </c>
      <c r="K587" s="5" t="str">
        <f aca="false">IF($J587=FALSE(),"",COUNTIF($J$6:$J587,TRUE()))</f>
        <v/>
      </c>
      <c r="L587" s="5" t="str">
        <f aca="false">IF($K587="","","R"&amp;$K587)</f>
        <v/>
      </c>
    </row>
    <row r="588" customFormat="false" ht="15" hidden="false" customHeight="true" outlineLevel="0" collapsed="false">
      <c r="J588" s="14" t="b">
        <f aca="false">IF(중복검사!$A586="",FALSE(),중복검사!$H586="중복")</f>
        <v>0</v>
      </c>
      <c r="K588" s="5" t="str">
        <f aca="false">IF($J588=FALSE(),"",COUNTIF($J$6:$J588,TRUE()))</f>
        <v/>
      </c>
      <c r="L588" s="5" t="str">
        <f aca="false">IF($K588="","","R"&amp;$K588)</f>
        <v/>
      </c>
    </row>
    <row r="589" customFormat="false" ht="15" hidden="false" customHeight="true" outlineLevel="0" collapsed="false">
      <c r="J589" s="14" t="b">
        <f aca="false">IF(중복검사!$A587="",FALSE(),중복검사!$H587="중복")</f>
        <v>0</v>
      </c>
      <c r="K589" s="5" t="str">
        <f aca="false">IF($J589=FALSE(),"",COUNTIF($J$6:$J589,TRUE()))</f>
        <v/>
      </c>
      <c r="L589" s="5" t="str">
        <f aca="false">IF($K589="","","R"&amp;$K589)</f>
        <v/>
      </c>
    </row>
    <row r="590" customFormat="false" ht="15" hidden="false" customHeight="true" outlineLevel="0" collapsed="false">
      <c r="J590" s="14" t="b">
        <f aca="false">IF(중복검사!$A588="",FALSE(),중복검사!$H588="중복")</f>
        <v>0</v>
      </c>
      <c r="K590" s="5" t="str">
        <f aca="false">IF($J590=FALSE(),"",COUNTIF($J$6:$J590,TRUE()))</f>
        <v/>
      </c>
      <c r="L590" s="5" t="str">
        <f aca="false">IF($K590="","","R"&amp;$K590)</f>
        <v/>
      </c>
    </row>
    <row r="591" customFormat="false" ht="15" hidden="false" customHeight="true" outlineLevel="0" collapsed="false">
      <c r="J591" s="14" t="b">
        <f aca="false">IF(중복검사!$A589="",FALSE(),중복검사!$H589="중복")</f>
        <v>0</v>
      </c>
      <c r="K591" s="5" t="str">
        <f aca="false">IF($J591=FALSE(),"",COUNTIF($J$6:$J591,TRUE()))</f>
        <v/>
      </c>
      <c r="L591" s="5" t="str">
        <f aca="false">IF($K591="","","R"&amp;$K591)</f>
        <v/>
      </c>
    </row>
    <row r="592" customFormat="false" ht="15" hidden="false" customHeight="true" outlineLevel="0" collapsed="false">
      <c r="J592" s="14" t="b">
        <f aca="false">IF(중복검사!$A590="",FALSE(),중복검사!$H590="중복")</f>
        <v>0</v>
      </c>
      <c r="K592" s="5" t="str">
        <f aca="false">IF($J592=FALSE(),"",COUNTIF($J$6:$J592,TRUE()))</f>
        <v/>
      </c>
      <c r="L592" s="5" t="str">
        <f aca="false">IF($K592="","","R"&amp;$K592)</f>
        <v/>
      </c>
    </row>
    <row r="593" customFormat="false" ht="15" hidden="false" customHeight="true" outlineLevel="0" collapsed="false">
      <c r="J593" s="14" t="b">
        <f aca="false">IF(중복검사!$A591="",FALSE(),중복검사!$H591="중복")</f>
        <v>0</v>
      </c>
      <c r="K593" s="5" t="str">
        <f aca="false">IF($J593=FALSE(),"",COUNTIF($J$6:$J593,TRUE()))</f>
        <v/>
      </c>
      <c r="L593" s="5" t="str">
        <f aca="false">IF($K593="","","R"&amp;$K593)</f>
        <v/>
      </c>
    </row>
    <row r="594" customFormat="false" ht="15" hidden="false" customHeight="true" outlineLevel="0" collapsed="false">
      <c r="J594" s="14" t="b">
        <f aca="false">IF(중복검사!$A592="",FALSE(),중복검사!$H592="중복")</f>
        <v>0</v>
      </c>
      <c r="K594" s="5" t="str">
        <f aca="false">IF($J594=FALSE(),"",COUNTIF($J$6:$J594,TRUE()))</f>
        <v/>
      </c>
      <c r="L594" s="5" t="str">
        <f aca="false">IF($K594="","","R"&amp;$K594)</f>
        <v/>
      </c>
    </row>
    <row r="595" customFormat="false" ht="15" hidden="false" customHeight="true" outlineLevel="0" collapsed="false">
      <c r="J595" s="14" t="b">
        <f aca="false">IF(중복검사!$A593="",FALSE(),중복검사!$H593="중복")</f>
        <v>0</v>
      </c>
      <c r="K595" s="5" t="str">
        <f aca="false">IF($J595=FALSE(),"",COUNTIF($J$6:$J595,TRUE()))</f>
        <v/>
      </c>
      <c r="L595" s="5" t="str">
        <f aca="false">IF($K595="","","R"&amp;$K595)</f>
        <v/>
      </c>
    </row>
    <row r="596" customFormat="false" ht="15" hidden="false" customHeight="true" outlineLevel="0" collapsed="false">
      <c r="J596" s="14" t="b">
        <f aca="false">IF(중복검사!$A594="",FALSE(),중복검사!$H594="중복")</f>
        <v>0</v>
      </c>
      <c r="K596" s="5" t="str">
        <f aca="false">IF($J596=FALSE(),"",COUNTIF($J$6:$J596,TRUE()))</f>
        <v/>
      </c>
      <c r="L596" s="5" t="str">
        <f aca="false">IF($K596="","","R"&amp;$K596)</f>
        <v/>
      </c>
    </row>
    <row r="597" customFormat="false" ht="15" hidden="false" customHeight="true" outlineLevel="0" collapsed="false">
      <c r="J597" s="14" t="b">
        <f aca="false">IF(중복검사!$A595="",FALSE(),중복검사!$H595="중복")</f>
        <v>0</v>
      </c>
      <c r="K597" s="5" t="str">
        <f aca="false">IF($J597=FALSE(),"",COUNTIF($J$6:$J597,TRUE()))</f>
        <v/>
      </c>
      <c r="L597" s="5" t="str">
        <f aca="false">IF($K597="","","R"&amp;$K597)</f>
        <v/>
      </c>
    </row>
    <row r="598" customFormat="false" ht="15" hidden="false" customHeight="true" outlineLevel="0" collapsed="false">
      <c r="J598" s="14" t="b">
        <f aca="false">IF(중복검사!$A596="",FALSE(),중복검사!$H596="중복")</f>
        <v>0</v>
      </c>
      <c r="K598" s="5" t="str">
        <f aca="false">IF($J598=FALSE(),"",COUNTIF($J$6:$J598,TRUE()))</f>
        <v/>
      </c>
      <c r="L598" s="5" t="str">
        <f aca="false">IF($K598="","","R"&amp;$K598)</f>
        <v/>
      </c>
    </row>
    <row r="599" customFormat="false" ht="15" hidden="false" customHeight="true" outlineLevel="0" collapsed="false">
      <c r="J599" s="14" t="b">
        <f aca="false">IF(중복검사!$A597="",FALSE(),중복검사!$H597="중복")</f>
        <v>0</v>
      </c>
      <c r="K599" s="5" t="str">
        <f aca="false">IF($J599=FALSE(),"",COUNTIF($J$6:$J599,TRUE()))</f>
        <v/>
      </c>
      <c r="L599" s="5" t="str">
        <f aca="false">IF($K599="","","R"&amp;$K599)</f>
        <v/>
      </c>
    </row>
    <row r="600" customFormat="false" ht="15" hidden="false" customHeight="true" outlineLevel="0" collapsed="false">
      <c r="J600" s="14" t="b">
        <f aca="false">IF(중복검사!$A598="",FALSE(),중복검사!$H598="중복")</f>
        <v>0</v>
      </c>
      <c r="K600" s="5" t="str">
        <f aca="false">IF($J600=FALSE(),"",COUNTIF($J$6:$J600,TRUE()))</f>
        <v/>
      </c>
      <c r="L600" s="5" t="str">
        <f aca="false">IF($K600="","","R"&amp;$K600)</f>
        <v/>
      </c>
    </row>
    <row r="601" customFormat="false" ht="15" hidden="false" customHeight="true" outlineLevel="0" collapsed="false">
      <c r="J601" s="14" t="b">
        <f aca="false">IF(중복검사!$A599="",FALSE(),중복검사!$H599="중복")</f>
        <v>0</v>
      </c>
      <c r="K601" s="5" t="str">
        <f aca="false">IF($J601=FALSE(),"",COUNTIF($J$6:$J601,TRUE()))</f>
        <v/>
      </c>
      <c r="L601" s="5" t="str">
        <f aca="false">IF($K601="","","R"&amp;$K601)</f>
        <v/>
      </c>
    </row>
    <row r="602" customFormat="false" ht="15" hidden="false" customHeight="true" outlineLevel="0" collapsed="false">
      <c r="J602" s="14" t="b">
        <f aca="false">IF(중복검사!$A600="",FALSE(),중복검사!$H600="중복")</f>
        <v>0</v>
      </c>
      <c r="K602" s="5" t="str">
        <f aca="false">IF($J602=FALSE(),"",COUNTIF($J$6:$J602,TRUE()))</f>
        <v/>
      </c>
      <c r="L602" s="5" t="str">
        <f aca="false">IF($K602="","","R"&amp;$K602)</f>
        <v/>
      </c>
    </row>
    <row r="603" customFormat="false" ht="15" hidden="false" customHeight="true" outlineLevel="0" collapsed="false">
      <c r="J603" s="14" t="b">
        <f aca="false">IF(중복검사!$A601="",FALSE(),중복검사!$H601="중복")</f>
        <v>0</v>
      </c>
      <c r="K603" s="5" t="str">
        <f aca="false">IF($J603=FALSE(),"",COUNTIF($J$6:$J603,TRUE()))</f>
        <v/>
      </c>
      <c r="L603" s="5" t="str">
        <f aca="false">IF($K603="","","R"&amp;$K603)</f>
        <v/>
      </c>
    </row>
    <row r="604" customFormat="false" ht="15" hidden="false" customHeight="true" outlineLevel="0" collapsed="false">
      <c r="J604" s="14" t="b">
        <f aca="false">IF(중복검사!$A602="",FALSE(),중복검사!$H602="중복")</f>
        <v>0</v>
      </c>
      <c r="K604" s="5" t="str">
        <f aca="false">IF($J604=FALSE(),"",COUNTIF($J$6:$J604,TRUE()))</f>
        <v/>
      </c>
      <c r="L604" s="5" t="str">
        <f aca="false">IF($K604="","","R"&amp;$K604)</f>
        <v/>
      </c>
    </row>
    <row r="605" customFormat="false" ht="15" hidden="false" customHeight="true" outlineLevel="0" collapsed="false">
      <c r="J605" s="14" t="b">
        <f aca="false">IF(중복검사!$A603="",FALSE(),중복검사!$H603="중복")</f>
        <v>0</v>
      </c>
      <c r="K605" s="5" t="str">
        <f aca="false">IF($J605=FALSE(),"",COUNTIF($J$6:$J605,TRUE()))</f>
        <v/>
      </c>
      <c r="L605" s="5" t="str">
        <f aca="false">IF($K605="","","R"&amp;$K605)</f>
        <v/>
      </c>
    </row>
    <row r="606" customFormat="false" ht="15" hidden="false" customHeight="true" outlineLevel="0" collapsed="false">
      <c r="J606" s="14" t="b">
        <f aca="false">IF(중복검사!$A604="",FALSE(),중복검사!$H604="중복")</f>
        <v>0</v>
      </c>
      <c r="K606" s="5" t="str">
        <f aca="false">IF($J606=FALSE(),"",COUNTIF($J$6:$J606,TRUE()))</f>
        <v/>
      </c>
      <c r="L606" s="5" t="str">
        <f aca="false">IF($K606="","","R"&amp;$K606)</f>
        <v/>
      </c>
    </row>
    <row r="607" customFormat="false" ht="15" hidden="false" customHeight="true" outlineLevel="0" collapsed="false">
      <c r="J607" s="14" t="b">
        <f aca="false">IF(중복검사!$A605="",FALSE(),중복검사!$H605="중복")</f>
        <v>0</v>
      </c>
      <c r="K607" s="5" t="str">
        <f aca="false">IF($J607=FALSE(),"",COUNTIF($J$6:$J607,TRUE()))</f>
        <v/>
      </c>
      <c r="L607" s="5" t="str">
        <f aca="false">IF($K607="","","R"&amp;$K607)</f>
        <v/>
      </c>
    </row>
    <row r="608" customFormat="false" ht="15" hidden="false" customHeight="true" outlineLevel="0" collapsed="false">
      <c r="J608" s="14" t="b">
        <f aca="false">IF(중복검사!$A606="",FALSE(),중복검사!$H606="중복")</f>
        <v>0</v>
      </c>
      <c r="K608" s="5" t="str">
        <f aca="false">IF($J608=FALSE(),"",COUNTIF($J$6:$J608,TRUE()))</f>
        <v/>
      </c>
      <c r="L608" s="5" t="str">
        <f aca="false">IF($K608="","","R"&amp;$K608)</f>
        <v/>
      </c>
    </row>
    <row r="609" customFormat="false" ht="15" hidden="false" customHeight="true" outlineLevel="0" collapsed="false">
      <c r="J609" s="14" t="b">
        <f aca="false">IF(중복검사!$A607="",FALSE(),중복검사!$H607="중복")</f>
        <v>0</v>
      </c>
      <c r="K609" s="5" t="str">
        <f aca="false">IF($J609=FALSE(),"",COUNTIF($J$6:$J609,TRUE()))</f>
        <v/>
      </c>
      <c r="L609" s="5" t="str">
        <f aca="false">IF($K609="","","R"&amp;$K609)</f>
        <v/>
      </c>
    </row>
    <row r="610" customFormat="false" ht="15" hidden="false" customHeight="true" outlineLevel="0" collapsed="false">
      <c r="J610" s="14" t="b">
        <f aca="false">IF(중복검사!$A608="",FALSE(),중복검사!$H608="중복")</f>
        <v>0</v>
      </c>
      <c r="K610" s="5" t="str">
        <f aca="false">IF($J610=FALSE(),"",COUNTIF($J$6:$J610,TRUE()))</f>
        <v/>
      </c>
      <c r="L610" s="5" t="str">
        <f aca="false">IF($K610="","","R"&amp;$K610)</f>
        <v/>
      </c>
    </row>
    <row r="611" customFormat="false" ht="15" hidden="false" customHeight="true" outlineLevel="0" collapsed="false">
      <c r="J611" s="14" t="b">
        <f aca="false">IF(중복검사!$A609="",FALSE(),중복검사!$H609="중복")</f>
        <v>0</v>
      </c>
      <c r="K611" s="5" t="str">
        <f aca="false">IF($J611=FALSE(),"",COUNTIF($J$6:$J611,TRUE()))</f>
        <v/>
      </c>
      <c r="L611" s="5" t="str">
        <f aca="false">IF($K611="","","R"&amp;$K611)</f>
        <v/>
      </c>
    </row>
    <row r="612" customFormat="false" ht="15" hidden="false" customHeight="true" outlineLevel="0" collapsed="false">
      <c r="J612" s="14" t="b">
        <f aca="false">IF(중복검사!$A610="",FALSE(),중복검사!$H610="중복")</f>
        <v>0</v>
      </c>
      <c r="K612" s="5" t="str">
        <f aca="false">IF($J612=FALSE(),"",COUNTIF($J$6:$J612,TRUE()))</f>
        <v/>
      </c>
      <c r="L612" s="5" t="str">
        <f aca="false">IF($K612="","","R"&amp;$K612)</f>
        <v/>
      </c>
    </row>
    <row r="613" customFormat="false" ht="15" hidden="false" customHeight="true" outlineLevel="0" collapsed="false">
      <c r="J613" s="14" t="b">
        <f aca="false">IF(중복검사!$A611="",FALSE(),중복검사!$H611="중복")</f>
        <v>0</v>
      </c>
      <c r="K613" s="5" t="str">
        <f aca="false">IF($J613=FALSE(),"",COUNTIF($J$6:$J613,TRUE()))</f>
        <v/>
      </c>
      <c r="L613" s="5" t="str">
        <f aca="false">IF($K613="","","R"&amp;$K613)</f>
        <v/>
      </c>
    </row>
    <row r="614" customFormat="false" ht="15" hidden="false" customHeight="true" outlineLevel="0" collapsed="false">
      <c r="J614" s="14" t="b">
        <f aca="false">IF(중복검사!$A612="",FALSE(),중복검사!$H612="중복")</f>
        <v>0</v>
      </c>
      <c r="K614" s="5" t="str">
        <f aca="false">IF($J614=FALSE(),"",COUNTIF($J$6:$J614,TRUE()))</f>
        <v/>
      </c>
      <c r="L614" s="5" t="str">
        <f aca="false">IF($K614="","","R"&amp;$K614)</f>
        <v/>
      </c>
    </row>
    <row r="615" customFormat="false" ht="15" hidden="false" customHeight="true" outlineLevel="0" collapsed="false">
      <c r="J615" s="14" t="b">
        <f aca="false">IF(중복검사!$A613="",FALSE(),중복검사!$H613="중복")</f>
        <v>0</v>
      </c>
      <c r="K615" s="5" t="str">
        <f aca="false">IF($J615=FALSE(),"",COUNTIF($J$6:$J615,TRUE()))</f>
        <v/>
      </c>
      <c r="L615" s="5" t="str">
        <f aca="false">IF($K615="","","R"&amp;$K615)</f>
        <v/>
      </c>
    </row>
    <row r="616" customFormat="false" ht="15" hidden="false" customHeight="true" outlineLevel="0" collapsed="false">
      <c r="J616" s="14" t="b">
        <f aca="false">IF(중복검사!$A614="",FALSE(),중복검사!$H614="중복")</f>
        <v>0</v>
      </c>
      <c r="K616" s="5" t="str">
        <f aca="false">IF($J616=FALSE(),"",COUNTIF($J$6:$J616,TRUE()))</f>
        <v/>
      </c>
      <c r="L616" s="5" t="str">
        <f aca="false">IF($K616="","","R"&amp;$K616)</f>
        <v/>
      </c>
    </row>
    <row r="617" customFormat="false" ht="15" hidden="false" customHeight="true" outlineLevel="0" collapsed="false">
      <c r="J617" s="14" t="b">
        <f aca="false">IF(중복검사!$A615="",FALSE(),중복검사!$H615="중복")</f>
        <v>0</v>
      </c>
      <c r="K617" s="5" t="str">
        <f aca="false">IF($J617=FALSE(),"",COUNTIF($J$6:$J617,TRUE()))</f>
        <v/>
      </c>
      <c r="L617" s="5" t="str">
        <f aca="false">IF($K617="","","R"&amp;$K617)</f>
        <v/>
      </c>
    </row>
    <row r="618" customFormat="false" ht="15" hidden="false" customHeight="true" outlineLevel="0" collapsed="false">
      <c r="J618" s="14" t="b">
        <f aca="false">IF(중복검사!$A616="",FALSE(),중복검사!$H616="중복")</f>
        <v>0</v>
      </c>
      <c r="K618" s="5" t="str">
        <f aca="false">IF($J618=FALSE(),"",COUNTIF($J$6:$J618,TRUE()))</f>
        <v/>
      </c>
      <c r="L618" s="5" t="str">
        <f aca="false">IF($K618="","","R"&amp;$K618)</f>
        <v/>
      </c>
    </row>
    <row r="619" customFormat="false" ht="15" hidden="false" customHeight="true" outlineLevel="0" collapsed="false">
      <c r="J619" s="14" t="b">
        <f aca="false">IF(중복검사!$A617="",FALSE(),중복검사!$H617="중복")</f>
        <v>0</v>
      </c>
      <c r="K619" s="5" t="str">
        <f aca="false">IF($J619=FALSE(),"",COUNTIF($J$6:$J619,TRUE()))</f>
        <v/>
      </c>
      <c r="L619" s="5" t="str">
        <f aca="false">IF($K619="","","R"&amp;$K619)</f>
        <v/>
      </c>
    </row>
    <row r="620" customFormat="false" ht="15" hidden="false" customHeight="true" outlineLevel="0" collapsed="false">
      <c r="J620" s="14" t="b">
        <f aca="false">IF(중복검사!$A618="",FALSE(),중복검사!$H618="중복")</f>
        <v>0</v>
      </c>
      <c r="K620" s="5" t="str">
        <f aca="false">IF($J620=FALSE(),"",COUNTIF($J$6:$J620,TRUE()))</f>
        <v/>
      </c>
      <c r="L620" s="5" t="str">
        <f aca="false">IF($K620="","","R"&amp;$K620)</f>
        <v/>
      </c>
    </row>
    <row r="621" customFormat="false" ht="15" hidden="false" customHeight="true" outlineLevel="0" collapsed="false">
      <c r="J621" s="14" t="b">
        <f aca="false">IF(중복검사!$A619="",FALSE(),중복검사!$H619="중복")</f>
        <v>0</v>
      </c>
      <c r="K621" s="5" t="str">
        <f aca="false">IF($J621=FALSE(),"",COUNTIF($J$6:$J621,TRUE()))</f>
        <v/>
      </c>
      <c r="L621" s="5" t="str">
        <f aca="false">IF($K621="","","R"&amp;$K621)</f>
        <v/>
      </c>
    </row>
    <row r="622" customFormat="false" ht="15" hidden="false" customHeight="true" outlineLevel="0" collapsed="false">
      <c r="J622" s="14" t="b">
        <f aca="false">IF(중복검사!$A620="",FALSE(),중복검사!$H620="중복")</f>
        <v>0</v>
      </c>
      <c r="K622" s="5" t="str">
        <f aca="false">IF($J622=FALSE(),"",COUNTIF($J$6:$J622,TRUE()))</f>
        <v/>
      </c>
      <c r="L622" s="5" t="str">
        <f aca="false">IF($K622="","","R"&amp;$K622)</f>
        <v/>
      </c>
    </row>
    <row r="623" customFormat="false" ht="15" hidden="false" customHeight="true" outlineLevel="0" collapsed="false">
      <c r="J623" s="14" t="b">
        <f aca="false">IF(중복검사!$A621="",FALSE(),중복검사!$H621="중복")</f>
        <v>0</v>
      </c>
      <c r="K623" s="5" t="str">
        <f aca="false">IF($J623=FALSE(),"",COUNTIF($J$6:$J623,TRUE()))</f>
        <v/>
      </c>
      <c r="L623" s="5" t="str">
        <f aca="false">IF($K623="","","R"&amp;$K623)</f>
        <v/>
      </c>
    </row>
    <row r="624" customFormat="false" ht="15" hidden="false" customHeight="true" outlineLevel="0" collapsed="false">
      <c r="J624" s="14" t="b">
        <f aca="false">IF(중복검사!$A622="",FALSE(),중복검사!$H622="중복")</f>
        <v>0</v>
      </c>
      <c r="K624" s="5" t="str">
        <f aca="false">IF($J624=FALSE(),"",COUNTIF($J$6:$J624,TRUE()))</f>
        <v/>
      </c>
      <c r="L624" s="5" t="str">
        <f aca="false">IF($K624="","","R"&amp;$K624)</f>
        <v/>
      </c>
    </row>
    <row r="625" customFormat="false" ht="15" hidden="false" customHeight="true" outlineLevel="0" collapsed="false">
      <c r="J625" s="14" t="b">
        <f aca="false">IF(중복검사!$A623="",FALSE(),중복검사!$H623="중복")</f>
        <v>0</v>
      </c>
      <c r="K625" s="5" t="str">
        <f aca="false">IF($J625=FALSE(),"",COUNTIF($J$6:$J625,TRUE()))</f>
        <v/>
      </c>
      <c r="L625" s="5" t="str">
        <f aca="false">IF($K625="","","R"&amp;$K625)</f>
        <v/>
      </c>
    </row>
    <row r="626" customFormat="false" ht="15" hidden="false" customHeight="true" outlineLevel="0" collapsed="false">
      <c r="J626" s="14" t="b">
        <f aca="false">IF(중복검사!$A624="",FALSE(),중복검사!$H624="중복")</f>
        <v>0</v>
      </c>
      <c r="K626" s="5" t="str">
        <f aca="false">IF($J626=FALSE(),"",COUNTIF($J$6:$J626,TRUE()))</f>
        <v/>
      </c>
      <c r="L626" s="5" t="str">
        <f aca="false">IF($K626="","","R"&amp;$K626)</f>
        <v/>
      </c>
    </row>
    <row r="627" customFormat="false" ht="15" hidden="false" customHeight="true" outlineLevel="0" collapsed="false">
      <c r="J627" s="14" t="b">
        <f aca="false">IF(중복검사!$A625="",FALSE(),중복검사!$H625="중복")</f>
        <v>0</v>
      </c>
      <c r="K627" s="5" t="str">
        <f aca="false">IF($J627=FALSE(),"",COUNTIF($J$6:$J627,TRUE()))</f>
        <v/>
      </c>
      <c r="L627" s="5" t="str">
        <f aca="false">IF($K627="","","R"&amp;$K627)</f>
        <v/>
      </c>
    </row>
    <row r="628" customFormat="false" ht="15" hidden="false" customHeight="true" outlineLevel="0" collapsed="false">
      <c r="J628" s="14" t="b">
        <f aca="false">IF(중복검사!$A626="",FALSE(),중복검사!$H626="중복")</f>
        <v>0</v>
      </c>
      <c r="K628" s="5" t="str">
        <f aca="false">IF($J628=FALSE(),"",COUNTIF($J$6:$J628,TRUE()))</f>
        <v/>
      </c>
      <c r="L628" s="5" t="str">
        <f aca="false">IF($K628="","","R"&amp;$K628)</f>
        <v/>
      </c>
    </row>
    <row r="629" customFormat="false" ht="15" hidden="false" customHeight="true" outlineLevel="0" collapsed="false">
      <c r="J629" s="14" t="b">
        <f aca="false">IF(중복검사!$A627="",FALSE(),중복검사!$H627="중복")</f>
        <v>0</v>
      </c>
      <c r="K629" s="5" t="str">
        <f aca="false">IF($J629=FALSE(),"",COUNTIF($J$6:$J629,TRUE()))</f>
        <v/>
      </c>
      <c r="L629" s="5" t="str">
        <f aca="false">IF($K629="","","R"&amp;$K629)</f>
        <v/>
      </c>
    </row>
    <row r="630" customFormat="false" ht="15" hidden="false" customHeight="true" outlineLevel="0" collapsed="false">
      <c r="J630" s="14" t="b">
        <f aca="false">IF(중복검사!$A628="",FALSE(),중복검사!$H628="중복")</f>
        <v>0</v>
      </c>
      <c r="K630" s="5" t="str">
        <f aca="false">IF($J630=FALSE(),"",COUNTIF($J$6:$J630,TRUE()))</f>
        <v/>
      </c>
      <c r="L630" s="5" t="str">
        <f aca="false">IF($K630="","","R"&amp;$K630)</f>
        <v/>
      </c>
    </row>
    <row r="631" customFormat="false" ht="15" hidden="false" customHeight="true" outlineLevel="0" collapsed="false">
      <c r="J631" s="14" t="b">
        <f aca="false">IF(중복검사!$A629="",FALSE(),중복검사!$H629="중복")</f>
        <v>0</v>
      </c>
      <c r="K631" s="5" t="str">
        <f aca="false">IF($J631=FALSE(),"",COUNTIF($J$6:$J631,TRUE()))</f>
        <v/>
      </c>
      <c r="L631" s="5" t="str">
        <f aca="false">IF($K631="","","R"&amp;$K631)</f>
        <v/>
      </c>
    </row>
    <row r="632" customFormat="false" ht="15" hidden="false" customHeight="true" outlineLevel="0" collapsed="false">
      <c r="J632" s="14" t="b">
        <f aca="false">IF(중복검사!$A630="",FALSE(),중복검사!$H630="중복")</f>
        <v>0</v>
      </c>
      <c r="K632" s="5" t="str">
        <f aca="false">IF($J632=FALSE(),"",COUNTIF($J$6:$J632,TRUE()))</f>
        <v/>
      </c>
      <c r="L632" s="5" t="str">
        <f aca="false">IF($K632="","","R"&amp;$K632)</f>
        <v/>
      </c>
    </row>
    <row r="633" customFormat="false" ht="15" hidden="false" customHeight="true" outlineLevel="0" collapsed="false">
      <c r="J633" s="14" t="b">
        <f aca="false">IF(중복검사!$A631="",FALSE(),중복검사!$H631="중복")</f>
        <v>0</v>
      </c>
      <c r="K633" s="5" t="str">
        <f aca="false">IF($J633=FALSE(),"",COUNTIF($J$6:$J633,TRUE()))</f>
        <v/>
      </c>
      <c r="L633" s="5" t="str">
        <f aca="false">IF($K633="","","R"&amp;$K633)</f>
        <v/>
      </c>
    </row>
    <row r="634" customFormat="false" ht="15" hidden="false" customHeight="true" outlineLevel="0" collapsed="false">
      <c r="J634" s="14" t="b">
        <f aca="false">IF(중복검사!$A632="",FALSE(),중복검사!$H632="중복")</f>
        <v>0</v>
      </c>
      <c r="K634" s="5" t="str">
        <f aca="false">IF($J634=FALSE(),"",COUNTIF($J$6:$J634,TRUE()))</f>
        <v/>
      </c>
      <c r="L634" s="5" t="str">
        <f aca="false">IF($K634="","","R"&amp;$K634)</f>
        <v/>
      </c>
    </row>
    <row r="635" customFormat="false" ht="15" hidden="false" customHeight="true" outlineLevel="0" collapsed="false">
      <c r="J635" s="14" t="b">
        <f aca="false">IF(중복검사!$A633="",FALSE(),중복검사!$H633="중복")</f>
        <v>0</v>
      </c>
      <c r="K635" s="5" t="str">
        <f aca="false">IF($J635=FALSE(),"",COUNTIF($J$6:$J635,TRUE()))</f>
        <v/>
      </c>
      <c r="L635" s="5" t="str">
        <f aca="false">IF($K635="","","R"&amp;$K635)</f>
        <v/>
      </c>
    </row>
    <row r="636" customFormat="false" ht="15" hidden="false" customHeight="true" outlineLevel="0" collapsed="false">
      <c r="J636" s="14" t="b">
        <f aca="false">IF(중복검사!$A634="",FALSE(),중복검사!$H634="중복")</f>
        <v>0</v>
      </c>
      <c r="K636" s="5" t="str">
        <f aca="false">IF($J636=FALSE(),"",COUNTIF($J$6:$J636,TRUE()))</f>
        <v/>
      </c>
      <c r="L636" s="5" t="str">
        <f aca="false">IF($K636="","","R"&amp;$K636)</f>
        <v/>
      </c>
    </row>
    <row r="637" customFormat="false" ht="15" hidden="false" customHeight="true" outlineLevel="0" collapsed="false">
      <c r="J637" s="14" t="b">
        <f aca="false">IF(중복검사!$A635="",FALSE(),중복검사!$H635="중복")</f>
        <v>0</v>
      </c>
      <c r="K637" s="5" t="str">
        <f aca="false">IF($J637=FALSE(),"",COUNTIF($J$6:$J637,TRUE()))</f>
        <v/>
      </c>
      <c r="L637" s="5" t="str">
        <f aca="false">IF($K637="","","R"&amp;$K637)</f>
        <v/>
      </c>
    </row>
    <row r="638" customFormat="false" ht="15" hidden="false" customHeight="true" outlineLevel="0" collapsed="false">
      <c r="J638" s="14" t="b">
        <f aca="false">IF(중복검사!$A636="",FALSE(),중복검사!$H636="중복")</f>
        <v>0</v>
      </c>
      <c r="K638" s="5" t="str">
        <f aca="false">IF($J638=FALSE(),"",COUNTIF($J$6:$J638,TRUE()))</f>
        <v/>
      </c>
      <c r="L638" s="5" t="str">
        <f aca="false">IF($K638="","","R"&amp;$K638)</f>
        <v/>
      </c>
    </row>
    <row r="639" customFormat="false" ht="15" hidden="false" customHeight="true" outlineLevel="0" collapsed="false">
      <c r="J639" s="14" t="b">
        <f aca="false">IF(중복검사!$A637="",FALSE(),중복검사!$H637="중복")</f>
        <v>0</v>
      </c>
      <c r="K639" s="5" t="str">
        <f aca="false">IF($J639=FALSE(),"",COUNTIF($J$6:$J639,TRUE()))</f>
        <v/>
      </c>
      <c r="L639" s="5" t="str">
        <f aca="false">IF($K639="","","R"&amp;$K639)</f>
        <v/>
      </c>
    </row>
    <row r="640" customFormat="false" ht="15" hidden="false" customHeight="true" outlineLevel="0" collapsed="false">
      <c r="J640" s="14" t="b">
        <f aca="false">IF(중복검사!$A638="",FALSE(),중복검사!$H638="중복")</f>
        <v>0</v>
      </c>
      <c r="K640" s="5" t="str">
        <f aca="false">IF($J640=FALSE(),"",COUNTIF($J$6:$J640,TRUE()))</f>
        <v/>
      </c>
      <c r="L640" s="5" t="str">
        <f aca="false">IF($K640="","","R"&amp;$K640)</f>
        <v/>
      </c>
    </row>
    <row r="641" customFormat="false" ht="15" hidden="false" customHeight="true" outlineLevel="0" collapsed="false">
      <c r="J641" s="14" t="b">
        <f aca="false">IF(중복검사!$A639="",FALSE(),중복검사!$H639="중복")</f>
        <v>0</v>
      </c>
      <c r="K641" s="5" t="str">
        <f aca="false">IF($J641=FALSE(),"",COUNTIF($J$6:$J641,TRUE()))</f>
        <v/>
      </c>
      <c r="L641" s="5" t="str">
        <f aca="false">IF($K641="","","R"&amp;$K641)</f>
        <v/>
      </c>
    </row>
    <row r="642" customFormat="false" ht="15" hidden="false" customHeight="true" outlineLevel="0" collapsed="false">
      <c r="J642" s="14" t="b">
        <f aca="false">IF(중복검사!$A640="",FALSE(),중복검사!$H640="중복")</f>
        <v>0</v>
      </c>
      <c r="K642" s="5" t="str">
        <f aca="false">IF($J642=FALSE(),"",COUNTIF($J$6:$J642,TRUE()))</f>
        <v/>
      </c>
      <c r="L642" s="5" t="str">
        <f aca="false">IF($K642="","","R"&amp;$K642)</f>
        <v/>
      </c>
    </row>
    <row r="643" customFormat="false" ht="15" hidden="false" customHeight="true" outlineLevel="0" collapsed="false">
      <c r="J643" s="14" t="b">
        <f aca="false">IF(중복검사!$A641="",FALSE(),중복검사!$H641="중복")</f>
        <v>0</v>
      </c>
      <c r="K643" s="5" t="str">
        <f aca="false">IF($J643=FALSE(),"",COUNTIF($J$6:$J643,TRUE()))</f>
        <v/>
      </c>
      <c r="L643" s="5" t="str">
        <f aca="false">IF($K643="","","R"&amp;$K643)</f>
        <v/>
      </c>
    </row>
    <row r="644" customFormat="false" ht="15" hidden="false" customHeight="true" outlineLevel="0" collapsed="false">
      <c r="J644" s="14" t="b">
        <f aca="false">IF(중복검사!$A642="",FALSE(),중복검사!$H642="중복")</f>
        <v>0</v>
      </c>
      <c r="K644" s="5" t="str">
        <f aca="false">IF($J644=FALSE(),"",COUNTIF($J$6:$J644,TRUE()))</f>
        <v/>
      </c>
      <c r="L644" s="5" t="str">
        <f aca="false">IF($K644="","","R"&amp;$K644)</f>
        <v/>
      </c>
    </row>
    <row r="645" customFormat="false" ht="15" hidden="false" customHeight="true" outlineLevel="0" collapsed="false">
      <c r="J645" s="14" t="b">
        <f aca="false">IF(중복검사!$A643="",FALSE(),중복검사!$H643="중복")</f>
        <v>0</v>
      </c>
      <c r="K645" s="5" t="str">
        <f aca="false">IF($J645=FALSE(),"",COUNTIF($J$6:$J645,TRUE()))</f>
        <v/>
      </c>
      <c r="L645" s="5" t="str">
        <f aca="false">IF($K645="","","R"&amp;$K645)</f>
        <v/>
      </c>
    </row>
    <row r="646" customFormat="false" ht="15" hidden="false" customHeight="true" outlineLevel="0" collapsed="false">
      <c r="J646" s="14" t="b">
        <f aca="false">IF(중복검사!$A644="",FALSE(),중복검사!$H644="중복")</f>
        <v>0</v>
      </c>
      <c r="K646" s="5" t="str">
        <f aca="false">IF($J646=FALSE(),"",COUNTIF($J$6:$J646,TRUE()))</f>
        <v/>
      </c>
      <c r="L646" s="5" t="str">
        <f aca="false">IF($K646="","","R"&amp;$K646)</f>
        <v/>
      </c>
    </row>
    <row r="647" customFormat="false" ht="15" hidden="false" customHeight="true" outlineLevel="0" collapsed="false">
      <c r="J647" s="14" t="b">
        <f aca="false">IF(중복검사!$A645="",FALSE(),중복검사!$H645="중복")</f>
        <v>0</v>
      </c>
      <c r="K647" s="5" t="str">
        <f aca="false">IF($J647=FALSE(),"",COUNTIF($J$6:$J647,TRUE()))</f>
        <v/>
      </c>
      <c r="L647" s="5" t="str">
        <f aca="false">IF($K647="","","R"&amp;$K647)</f>
        <v/>
      </c>
    </row>
    <row r="648" customFormat="false" ht="15" hidden="false" customHeight="true" outlineLevel="0" collapsed="false">
      <c r="J648" s="14" t="b">
        <f aca="false">IF(중복검사!$A646="",FALSE(),중복검사!$H646="중복")</f>
        <v>0</v>
      </c>
      <c r="K648" s="5" t="str">
        <f aca="false">IF($J648=FALSE(),"",COUNTIF($J$6:$J648,TRUE()))</f>
        <v/>
      </c>
      <c r="L648" s="5" t="str">
        <f aca="false">IF($K648="","","R"&amp;$K648)</f>
        <v/>
      </c>
    </row>
    <row r="649" customFormat="false" ht="15" hidden="false" customHeight="true" outlineLevel="0" collapsed="false">
      <c r="J649" s="14" t="b">
        <f aca="false">IF(중복검사!$A647="",FALSE(),중복검사!$H647="중복")</f>
        <v>0</v>
      </c>
      <c r="K649" s="5" t="str">
        <f aca="false">IF($J649=FALSE(),"",COUNTIF($J$6:$J649,TRUE()))</f>
        <v/>
      </c>
      <c r="L649" s="5" t="str">
        <f aca="false">IF($K649="","","R"&amp;$K649)</f>
        <v/>
      </c>
    </row>
    <row r="650" customFormat="false" ht="15" hidden="false" customHeight="true" outlineLevel="0" collapsed="false">
      <c r="J650" s="14" t="b">
        <f aca="false">IF(중복검사!$A648="",FALSE(),중복검사!$H648="중복")</f>
        <v>0</v>
      </c>
      <c r="K650" s="5" t="str">
        <f aca="false">IF($J650=FALSE(),"",COUNTIF($J$6:$J650,TRUE()))</f>
        <v/>
      </c>
      <c r="L650" s="5" t="str">
        <f aca="false">IF($K650="","","R"&amp;$K650)</f>
        <v/>
      </c>
    </row>
    <row r="651" customFormat="false" ht="15" hidden="false" customHeight="true" outlineLevel="0" collapsed="false">
      <c r="J651" s="14" t="b">
        <f aca="false">IF(중복검사!$A649="",FALSE(),중복검사!$H649="중복")</f>
        <v>0</v>
      </c>
      <c r="K651" s="5" t="str">
        <f aca="false">IF($J651=FALSE(),"",COUNTIF($J$6:$J651,TRUE()))</f>
        <v/>
      </c>
      <c r="L651" s="5" t="str">
        <f aca="false">IF($K651="","","R"&amp;$K651)</f>
        <v/>
      </c>
    </row>
    <row r="652" customFormat="false" ht="15" hidden="false" customHeight="true" outlineLevel="0" collapsed="false">
      <c r="J652" s="14" t="b">
        <f aca="false">IF(중복검사!$A650="",FALSE(),중복검사!$H650="중복")</f>
        <v>0</v>
      </c>
      <c r="K652" s="5" t="str">
        <f aca="false">IF($J652=FALSE(),"",COUNTIF($J$6:$J652,TRUE()))</f>
        <v/>
      </c>
      <c r="L652" s="5" t="str">
        <f aca="false">IF($K652="","","R"&amp;$K652)</f>
        <v/>
      </c>
    </row>
    <row r="653" customFormat="false" ht="15" hidden="false" customHeight="true" outlineLevel="0" collapsed="false">
      <c r="J653" s="14" t="b">
        <f aca="false">IF(중복검사!$A651="",FALSE(),중복검사!$H651="중복")</f>
        <v>0</v>
      </c>
      <c r="K653" s="5" t="str">
        <f aca="false">IF($J653=FALSE(),"",COUNTIF($J$6:$J653,TRUE()))</f>
        <v/>
      </c>
      <c r="L653" s="5" t="str">
        <f aca="false">IF($K653="","","R"&amp;$K653)</f>
        <v/>
      </c>
    </row>
    <row r="654" customFormat="false" ht="15" hidden="false" customHeight="true" outlineLevel="0" collapsed="false">
      <c r="J654" s="14" t="b">
        <f aca="false">IF(중복검사!$A652="",FALSE(),중복검사!$H652="중복")</f>
        <v>0</v>
      </c>
      <c r="K654" s="5" t="str">
        <f aca="false">IF($J654=FALSE(),"",COUNTIF($J$6:$J654,TRUE()))</f>
        <v/>
      </c>
      <c r="L654" s="5" t="str">
        <f aca="false">IF($K654="","","R"&amp;$K654)</f>
        <v/>
      </c>
    </row>
    <row r="655" customFormat="false" ht="15" hidden="false" customHeight="true" outlineLevel="0" collapsed="false">
      <c r="J655" s="14" t="b">
        <f aca="false">IF(중복검사!$A653="",FALSE(),중복검사!$H653="중복")</f>
        <v>0</v>
      </c>
      <c r="K655" s="5" t="str">
        <f aca="false">IF($J655=FALSE(),"",COUNTIF($J$6:$J655,TRUE()))</f>
        <v/>
      </c>
      <c r="L655" s="5" t="str">
        <f aca="false">IF($K655="","","R"&amp;$K655)</f>
        <v/>
      </c>
    </row>
    <row r="656" customFormat="false" ht="15" hidden="false" customHeight="true" outlineLevel="0" collapsed="false">
      <c r="J656" s="14" t="b">
        <f aca="false">IF(중복검사!$A654="",FALSE(),중복검사!$H654="중복")</f>
        <v>0</v>
      </c>
      <c r="K656" s="5" t="str">
        <f aca="false">IF($J656=FALSE(),"",COUNTIF($J$6:$J656,TRUE()))</f>
        <v/>
      </c>
      <c r="L656" s="5" t="str">
        <f aca="false">IF($K656="","","R"&amp;$K656)</f>
        <v/>
      </c>
    </row>
    <row r="657" customFormat="false" ht="15" hidden="false" customHeight="true" outlineLevel="0" collapsed="false">
      <c r="J657" s="14" t="b">
        <f aca="false">IF(중복검사!$A655="",FALSE(),중복검사!$H655="중복")</f>
        <v>0</v>
      </c>
      <c r="K657" s="5" t="str">
        <f aca="false">IF($J657=FALSE(),"",COUNTIF($J$6:$J657,TRUE()))</f>
        <v/>
      </c>
      <c r="L657" s="5" t="str">
        <f aca="false">IF($K657="","","R"&amp;$K657)</f>
        <v/>
      </c>
    </row>
    <row r="658" customFormat="false" ht="15" hidden="false" customHeight="true" outlineLevel="0" collapsed="false">
      <c r="J658" s="14" t="b">
        <f aca="false">IF(중복검사!$A656="",FALSE(),중복검사!$H656="중복")</f>
        <v>0</v>
      </c>
      <c r="K658" s="5" t="str">
        <f aca="false">IF($J658=FALSE(),"",COUNTIF($J$6:$J658,TRUE()))</f>
        <v/>
      </c>
      <c r="L658" s="5" t="str">
        <f aca="false">IF($K658="","","R"&amp;$K658)</f>
        <v/>
      </c>
    </row>
    <row r="659" customFormat="false" ht="15" hidden="false" customHeight="true" outlineLevel="0" collapsed="false">
      <c r="J659" s="14" t="b">
        <f aca="false">IF(중복검사!$A657="",FALSE(),중복검사!$H657="중복")</f>
        <v>0</v>
      </c>
      <c r="K659" s="5" t="str">
        <f aca="false">IF($J659=FALSE(),"",COUNTIF($J$6:$J659,TRUE()))</f>
        <v/>
      </c>
      <c r="L659" s="5" t="str">
        <f aca="false">IF($K659="","","R"&amp;$K659)</f>
        <v/>
      </c>
    </row>
    <row r="660" customFormat="false" ht="15" hidden="false" customHeight="true" outlineLevel="0" collapsed="false">
      <c r="J660" s="14" t="b">
        <f aca="false">IF(중복검사!$A658="",FALSE(),중복검사!$H658="중복")</f>
        <v>0</v>
      </c>
      <c r="K660" s="5" t="str">
        <f aca="false">IF($J660=FALSE(),"",COUNTIF($J$6:$J660,TRUE()))</f>
        <v/>
      </c>
      <c r="L660" s="5" t="str">
        <f aca="false">IF($K660="","","R"&amp;$K660)</f>
        <v/>
      </c>
    </row>
    <row r="661" customFormat="false" ht="15" hidden="false" customHeight="true" outlineLevel="0" collapsed="false">
      <c r="J661" s="14" t="b">
        <f aca="false">IF(중복검사!$A659="",FALSE(),중복검사!$H659="중복")</f>
        <v>0</v>
      </c>
      <c r="K661" s="5" t="str">
        <f aca="false">IF($J661=FALSE(),"",COUNTIF($J$6:$J661,TRUE()))</f>
        <v/>
      </c>
      <c r="L661" s="5" t="str">
        <f aca="false">IF($K661="","","R"&amp;$K661)</f>
        <v/>
      </c>
    </row>
    <row r="662" customFormat="false" ht="15" hidden="false" customHeight="true" outlineLevel="0" collapsed="false">
      <c r="J662" s="14" t="b">
        <f aca="false">IF(중복검사!$A660="",FALSE(),중복검사!$H660="중복")</f>
        <v>0</v>
      </c>
      <c r="K662" s="5" t="str">
        <f aca="false">IF($J662=FALSE(),"",COUNTIF($J$6:$J662,TRUE()))</f>
        <v/>
      </c>
      <c r="L662" s="5" t="str">
        <f aca="false">IF($K662="","","R"&amp;$K662)</f>
        <v/>
      </c>
    </row>
    <row r="663" customFormat="false" ht="15" hidden="false" customHeight="true" outlineLevel="0" collapsed="false">
      <c r="J663" s="14" t="b">
        <f aca="false">IF(중복검사!$A661="",FALSE(),중복검사!$H661="중복")</f>
        <v>0</v>
      </c>
      <c r="K663" s="5" t="str">
        <f aca="false">IF($J663=FALSE(),"",COUNTIF($J$6:$J663,TRUE()))</f>
        <v/>
      </c>
      <c r="L663" s="5" t="str">
        <f aca="false">IF($K663="","","R"&amp;$K663)</f>
        <v/>
      </c>
    </row>
    <row r="664" customFormat="false" ht="15" hidden="false" customHeight="true" outlineLevel="0" collapsed="false">
      <c r="J664" s="14" t="b">
        <f aca="false">IF(중복검사!$A662="",FALSE(),중복검사!$H662="중복")</f>
        <v>0</v>
      </c>
      <c r="K664" s="5" t="str">
        <f aca="false">IF($J664=FALSE(),"",COUNTIF($J$6:$J664,TRUE()))</f>
        <v/>
      </c>
      <c r="L664" s="5" t="str">
        <f aca="false">IF($K664="","","R"&amp;$K664)</f>
        <v/>
      </c>
    </row>
    <row r="665" customFormat="false" ht="15" hidden="false" customHeight="true" outlineLevel="0" collapsed="false">
      <c r="J665" s="14" t="b">
        <f aca="false">IF(중복검사!$A663="",FALSE(),중복검사!$H663="중복")</f>
        <v>0</v>
      </c>
      <c r="K665" s="5" t="str">
        <f aca="false">IF($J665=FALSE(),"",COUNTIF($J$6:$J665,TRUE()))</f>
        <v/>
      </c>
      <c r="L665" s="5" t="str">
        <f aca="false">IF($K665="","","R"&amp;$K665)</f>
        <v/>
      </c>
    </row>
    <row r="666" customFormat="false" ht="15" hidden="false" customHeight="true" outlineLevel="0" collapsed="false">
      <c r="J666" s="14" t="b">
        <f aca="false">IF(중복검사!$A664="",FALSE(),중복검사!$H664="중복")</f>
        <v>0</v>
      </c>
      <c r="K666" s="5" t="str">
        <f aca="false">IF($J666=FALSE(),"",COUNTIF($J$6:$J666,TRUE()))</f>
        <v/>
      </c>
      <c r="L666" s="5" t="str">
        <f aca="false">IF($K666="","","R"&amp;$K666)</f>
        <v/>
      </c>
    </row>
    <row r="667" customFormat="false" ht="15" hidden="false" customHeight="true" outlineLevel="0" collapsed="false">
      <c r="J667" s="14" t="b">
        <f aca="false">IF(중복검사!$A665="",FALSE(),중복검사!$H665="중복")</f>
        <v>0</v>
      </c>
      <c r="K667" s="5" t="str">
        <f aca="false">IF($J667=FALSE(),"",COUNTIF($J$6:$J667,TRUE()))</f>
        <v/>
      </c>
      <c r="L667" s="5" t="str">
        <f aca="false">IF($K667="","","R"&amp;$K667)</f>
        <v/>
      </c>
    </row>
    <row r="668" customFormat="false" ht="15" hidden="false" customHeight="true" outlineLevel="0" collapsed="false">
      <c r="J668" s="14" t="b">
        <f aca="false">IF(중복검사!$A666="",FALSE(),중복검사!$H666="중복")</f>
        <v>0</v>
      </c>
      <c r="K668" s="5" t="str">
        <f aca="false">IF($J668=FALSE(),"",COUNTIF($J$6:$J668,TRUE()))</f>
        <v/>
      </c>
      <c r="L668" s="5" t="str">
        <f aca="false">IF($K668="","","R"&amp;$K668)</f>
        <v/>
      </c>
    </row>
    <row r="669" customFormat="false" ht="15" hidden="false" customHeight="true" outlineLevel="0" collapsed="false">
      <c r="J669" s="14" t="b">
        <f aca="false">IF(중복검사!$A667="",FALSE(),중복검사!$H667="중복")</f>
        <v>0</v>
      </c>
      <c r="K669" s="5" t="str">
        <f aca="false">IF($J669=FALSE(),"",COUNTIF($J$6:$J669,TRUE()))</f>
        <v/>
      </c>
      <c r="L669" s="5" t="str">
        <f aca="false">IF($K669="","","R"&amp;$K669)</f>
        <v/>
      </c>
    </row>
    <row r="670" customFormat="false" ht="15" hidden="false" customHeight="true" outlineLevel="0" collapsed="false">
      <c r="J670" s="14" t="b">
        <f aca="false">IF(중복검사!$A668="",FALSE(),중복검사!$H668="중복")</f>
        <v>0</v>
      </c>
      <c r="K670" s="5" t="str">
        <f aca="false">IF($J670=FALSE(),"",COUNTIF($J$6:$J670,TRUE()))</f>
        <v/>
      </c>
      <c r="L670" s="5" t="str">
        <f aca="false">IF($K670="","","R"&amp;$K670)</f>
        <v/>
      </c>
    </row>
    <row r="671" customFormat="false" ht="15" hidden="false" customHeight="true" outlineLevel="0" collapsed="false">
      <c r="J671" s="14" t="b">
        <f aca="false">IF(중복검사!$A669="",FALSE(),중복검사!$H669="중복")</f>
        <v>0</v>
      </c>
      <c r="K671" s="5" t="str">
        <f aca="false">IF($J671=FALSE(),"",COUNTIF($J$6:$J671,TRUE()))</f>
        <v/>
      </c>
      <c r="L671" s="5" t="str">
        <f aca="false">IF($K671="","","R"&amp;$K671)</f>
        <v/>
      </c>
    </row>
    <row r="672" customFormat="false" ht="15" hidden="false" customHeight="true" outlineLevel="0" collapsed="false">
      <c r="J672" s="14" t="b">
        <f aca="false">IF(중복검사!$A670="",FALSE(),중복검사!$H670="중복")</f>
        <v>0</v>
      </c>
      <c r="K672" s="5" t="str">
        <f aca="false">IF($J672=FALSE(),"",COUNTIF($J$6:$J672,TRUE()))</f>
        <v/>
      </c>
      <c r="L672" s="5" t="str">
        <f aca="false">IF($K672="","","R"&amp;$K672)</f>
        <v/>
      </c>
    </row>
    <row r="673" customFormat="false" ht="15" hidden="false" customHeight="true" outlineLevel="0" collapsed="false">
      <c r="J673" s="14" t="b">
        <f aca="false">IF(중복검사!$A671="",FALSE(),중복검사!$H671="중복")</f>
        <v>0</v>
      </c>
      <c r="K673" s="5" t="str">
        <f aca="false">IF($J673=FALSE(),"",COUNTIF($J$6:$J673,TRUE()))</f>
        <v/>
      </c>
      <c r="L673" s="5" t="str">
        <f aca="false">IF($K673="","","R"&amp;$K673)</f>
        <v/>
      </c>
    </row>
    <row r="674" customFormat="false" ht="15" hidden="false" customHeight="true" outlineLevel="0" collapsed="false">
      <c r="J674" s="14" t="b">
        <f aca="false">IF(중복검사!$A672="",FALSE(),중복검사!$H672="중복")</f>
        <v>0</v>
      </c>
      <c r="K674" s="5" t="str">
        <f aca="false">IF($J674=FALSE(),"",COUNTIF($J$6:$J674,TRUE()))</f>
        <v/>
      </c>
      <c r="L674" s="5" t="str">
        <f aca="false">IF($K674="","","R"&amp;$K674)</f>
        <v/>
      </c>
    </row>
    <row r="675" customFormat="false" ht="15" hidden="false" customHeight="true" outlineLevel="0" collapsed="false">
      <c r="J675" s="14" t="b">
        <f aca="false">IF(중복검사!$A673="",FALSE(),중복검사!$H673="중복")</f>
        <v>0</v>
      </c>
      <c r="K675" s="5" t="str">
        <f aca="false">IF($J675=FALSE(),"",COUNTIF($J$6:$J675,TRUE()))</f>
        <v/>
      </c>
      <c r="L675" s="5" t="str">
        <f aca="false">IF($K675="","","R"&amp;$K675)</f>
        <v/>
      </c>
    </row>
    <row r="676" customFormat="false" ht="15" hidden="false" customHeight="true" outlineLevel="0" collapsed="false">
      <c r="J676" s="14" t="b">
        <f aca="false">IF(중복검사!$A674="",FALSE(),중복검사!$H674="중복")</f>
        <v>0</v>
      </c>
      <c r="K676" s="5" t="str">
        <f aca="false">IF($J676=FALSE(),"",COUNTIF($J$6:$J676,TRUE()))</f>
        <v/>
      </c>
      <c r="L676" s="5" t="str">
        <f aca="false">IF($K676="","","R"&amp;$K676)</f>
        <v/>
      </c>
    </row>
    <row r="677" customFormat="false" ht="15" hidden="false" customHeight="true" outlineLevel="0" collapsed="false">
      <c r="J677" s="14" t="b">
        <f aca="false">IF(중복검사!$A675="",FALSE(),중복검사!$H675="중복")</f>
        <v>0</v>
      </c>
      <c r="K677" s="5" t="str">
        <f aca="false">IF($J677=FALSE(),"",COUNTIF($J$6:$J677,TRUE()))</f>
        <v/>
      </c>
      <c r="L677" s="5" t="str">
        <f aca="false">IF($K677="","","R"&amp;$K677)</f>
        <v/>
      </c>
    </row>
    <row r="678" customFormat="false" ht="15" hidden="false" customHeight="true" outlineLevel="0" collapsed="false">
      <c r="J678" s="14" t="b">
        <f aca="false">IF(중복검사!$A676="",FALSE(),중복검사!$H676="중복")</f>
        <v>0</v>
      </c>
      <c r="K678" s="5" t="str">
        <f aca="false">IF($J678=FALSE(),"",COUNTIF($J$6:$J678,TRUE()))</f>
        <v/>
      </c>
      <c r="L678" s="5" t="str">
        <f aca="false">IF($K678="","","R"&amp;$K678)</f>
        <v/>
      </c>
    </row>
    <row r="679" customFormat="false" ht="15" hidden="false" customHeight="true" outlineLevel="0" collapsed="false">
      <c r="J679" s="14" t="b">
        <f aca="false">IF(중복검사!$A677="",FALSE(),중복검사!$H677="중복")</f>
        <v>0</v>
      </c>
      <c r="K679" s="5" t="str">
        <f aca="false">IF($J679=FALSE(),"",COUNTIF($J$6:$J679,TRUE()))</f>
        <v/>
      </c>
      <c r="L679" s="5" t="str">
        <f aca="false">IF($K679="","","R"&amp;$K679)</f>
        <v/>
      </c>
    </row>
    <row r="680" customFormat="false" ht="15" hidden="false" customHeight="true" outlineLevel="0" collapsed="false">
      <c r="J680" s="14" t="b">
        <f aca="false">IF(중복검사!$A678="",FALSE(),중복검사!$H678="중복")</f>
        <v>0</v>
      </c>
      <c r="K680" s="5" t="str">
        <f aca="false">IF($J680=FALSE(),"",COUNTIF($J$6:$J680,TRUE()))</f>
        <v/>
      </c>
      <c r="L680" s="5" t="str">
        <f aca="false">IF($K680="","","R"&amp;$K680)</f>
        <v/>
      </c>
    </row>
    <row r="681" customFormat="false" ht="15" hidden="false" customHeight="true" outlineLevel="0" collapsed="false">
      <c r="J681" s="14" t="b">
        <f aca="false">IF(중복검사!$A679="",FALSE(),중복검사!$H679="중복")</f>
        <v>0</v>
      </c>
      <c r="K681" s="5" t="str">
        <f aca="false">IF($J681=FALSE(),"",COUNTIF($J$6:$J681,TRUE()))</f>
        <v/>
      </c>
      <c r="L681" s="5" t="str">
        <f aca="false">IF($K681="","","R"&amp;$K681)</f>
        <v/>
      </c>
    </row>
    <row r="682" customFormat="false" ht="15" hidden="false" customHeight="true" outlineLevel="0" collapsed="false">
      <c r="J682" s="14" t="b">
        <f aca="false">IF(중복검사!$A680="",FALSE(),중복검사!$H680="중복")</f>
        <v>0</v>
      </c>
      <c r="K682" s="5" t="str">
        <f aca="false">IF($J682=FALSE(),"",COUNTIF($J$6:$J682,TRUE()))</f>
        <v/>
      </c>
      <c r="L682" s="5" t="str">
        <f aca="false">IF($K682="","","R"&amp;$K682)</f>
        <v/>
      </c>
    </row>
    <row r="683" customFormat="false" ht="15" hidden="false" customHeight="true" outlineLevel="0" collapsed="false">
      <c r="J683" s="14" t="b">
        <f aca="false">IF(중복검사!$A681="",FALSE(),중복검사!$H681="중복")</f>
        <v>0</v>
      </c>
      <c r="K683" s="5" t="str">
        <f aca="false">IF($J683=FALSE(),"",COUNTIF($J$6:$J683,TRUE()))</f>
        <v/>
      </c>
      <c r="L683" s="5" t="str">
        <f aca="false">IF($K683="","","R"&amp;$K683)</f>
        <v/>
      </c>
    </row>
    <row r="684" customFormat="false" ht="15" hidden="false" customHeight="true" outlineLevel="0" collapsed="false">
      <c r="J684" s="14" t="b">
        <f aca="false">IF(중복검사!$A682="",FALSE(),중복검사!$H682="중복")</f>
        <v>0</v>
      </c>
      <c r="K684" s="5" t="str">
        <f aca="false">IF($J684=FALSE(),"",COUNTIF($J$6:$J684,TRUE()))</f>
        <v/>
      </c>
      <c r="L684" s="5" t="str">
        <f aca="false">IF($K684="","","R"&amp;$K684)</f>
        <v/>
      </c>
    </row>
    <row r="685" customFormat="false" ht="15" hidden="false" customHeight="true" outlineLevel="0" collapsed="false">
      <c r="J685" s="14" t="b">
        <f aca="false">IF(중복검사!$A683="",FALSE(),중복검사!$H683="중복")</f>
        <v>0</v>
      </c>
      <c r="K685" s="5" t="str">
        <f aca="false">IF($J685=FALSE(),"",COUNTIF($J$6:$J685,TRUE()))</f>
        <v/>
      </c>
      <c r="L685" s="5" t="str">
        <f aca="false">IF($K685="","","R"&amp;$K685)</f>
        <v/>
      </c>
    </row>
    <row r="686" customFormat="false" ht="15" hidden="false" customHeight="true" outlineLevel="0" collapsed="false">
      <c r="J686" s="14" t="b">
        <f aca="false">IF(중복검사!$A684="",FALSE(),중복검사!$H684="중복")</f>
        <v>0</v>
      </c>
      <c r="K686" s="5" t="str">
        <f aca="false">IF($J686=FALSE(),"",COUNTIF($J$6:$J686,TRUE()))</f>
        <v/>
      </c>
      <c r="L686" s="5" t="str">
        <f aca="false">IF($K686="","","R"&amp;$K686)</f>
        <v/>
      </c>
    </row>
    <row r="687" customFormat="false" ht="15" hidden="false" customHeight="true" outlineLevel="0" collapsed="false">
      <c r="J687" s="14" t="b">
        <f aca="false">IF(중복검사!$A685="",FALSE(),중복검사!$H685="중복")</f>
        <v>0</v>
      </c>
      <c r="K687" s="5" t="str">
        <f aca="false">IF($J687=FALSE(),"",COUNTIF($J$6:$J687,TRUE()))</f>
        <v/>
      </c>
      <c r="L687" s="5" t="str">
        <f aca="false">IF($K687="","","R"&amp;$K687)</f>
        <v/>
      </c>
    </row>
    <row r="688" customFormat="false" ht="15" hidden="false" customHeight="true" outlineLevel="0" collapsed="false">
      <c r="J688" s="14" t="b">
        <f aca="false">IF(중복검사!$A686="",FALSE(),중복검사!$H686="중복")</f>
        <v>0</v>
      </c>
      <c r="K688" s="5" t="str">
        <f aca="false">IF($J688=FALSE(),"",COUNTIF($J$6:$J688,TRUE()))</f>
        <v/>
      </c>
      <c r="L688" s="5" t="str">
        <f aca="false">IF($K688="","","R"&amp;$K688)</f>
        <v/>
      </c>
    </row>
    <row r="689" customFormat="false" ht="15" hidden="false" customHeight="true" outlineLevel="0" collapsed="false">
      <c r="J689" s="14" t="b">
        <f aca="false">IF(중복검사!$A687="",FALSE(),중복검사!$H687="중복")</f>
        <v>0</v>
      </c>
      <c r="K689" s="5" t="str">
        <f aca="false">IF($J689=FALSE(),"",COUNTIF($J$6:$J689,TRUE()))</f>
        <v/>
      </c>
      <c r="L689" s="5" t="str">
        <f aca="false">IF($K689="","","R"&amp;$K689)</f>
        <v/>
      </c>
    </row>
    <row r="690" customFormat="false" ht="15" hidden="false" customHeight="true" outlineLevel="0" collapsed="false">
      <c r="J690" s="14" t="b">
        <f aca="false">IF(중복검사!$A688="",FALSE(),중복검사!$H688="중복")</f>
        <v>0</v>
      </c>
      <c r="K690" s="5" t="str">
        <f aca="false">IF($J690=FALSE(),"",COUNTIF($J$6:$J690,TRUE()))</f>
        <v/>
      </c>
      <c r="L690" s="5" t="str">
        <f aca="false">IF($K690="","","R"&amp;$K690)</f>
        <v/>
      </c>
    </row>
    <row r="691" customFormat="false" ht="15" hidden="false" customHeight="true" outlineLevel="0" collapsed="false">
      <c r="J691" s="14" t="b">
        <f aca="false">IF(중복검사!$A689="",FALSE(),중복검사!$H689="중복")</f>
        <v>0</v>
      </c>
      <c r="K691" s="5" t="str">
        <f aca="false">IF($J691=FALSE(),"",COUNTIF($J$6:$J691,TRUE()))</f>
        <v/>
      </c>
      <c r="L691" s="5" t="str">
        <f aca="false">IF($K691="","","R"&amp;$K691)</f>
        <v/>
      </c>
    </row>
    <row r="692" customFormat="false" ht="15" hidden="false" customHeight="true" outlineLevel="0" collapsed="false">
      <c r="J692" s="14" t="b">
        <f aca="false">IF(중복검사!$A690="",FALSE(),중복검사!$H690="중복")</f>
        <v>0</v>
      </c>
      <c r="K692" s="5" t="str">
        <f aca="false">IF($J692=FALSE(),"",COUNTIF($J$6:$J692,TRUE()))</f>
        <v/>
      </c>
      <c r="L692" s="5" t="str">
        <f aca="false">IF($K692="","","R"&amp;$K692)</f>
        <v/>
      </c>
    </row>
    <row r="693" customFormat="false" ht="15" hidden="false" customHeight="true" outlineLevel="0" collapsed="false">
      <c r="J693" s="14" t="b">
        <f aca="false">IF(중복검사!$A691="",FALSE(),중복검사!$H691="중복")</f>
        <v>0</v>
      </c>
      <c r="K693" s="5" t="str">
        <f aca="false">IF($J693=FALSE(),"",COUNTIF($J$6:$J693,TRUE()))</f>
        <v/>
      </c>
      <c r="L693" s="5" t="str">
        <f aca="false">IF($K693="","","R"&amp;$K693)</f>
        <v/>
      </c>
    </row>
    <row r="694" customFormat="false" ht="15" hidden="false" customHeight="true" outlineLevel="0" collapsed="false">
      <c r="J694" s="14" t="b">
        <f aca="false">IF(중복검사!$A692="",FALSE(),중복검사!$H692="중복")</f>
        <v>0</v>
      </c>
      <c r="K694" s="5" t="str">
        <f aca="false">IF($J694=FALSE(),"",COUNTIF($J$6:$J694,TRUE()))</f>
        <v/>
      </c>
      <c r="L694" s="5" t="str">
        <f aca="false">IF($K694="","","R"&amp;$K694)</f>
        <v/>
      </c>
    </row>
    <row r="695" customFormat="false" ht="15" hidden="false" customHeight="true" outlineLevel="0" collapsed="false">
      <c r="J695" s="14" t="b">
        <f aca="false">IF(중복검사!$A693="",FALSE(),중복검사!$H693="중복")</f>
        <v>0</v>
      </c>
      <c r="K695" s="5" t="str">
        <f aca="false">IF($J695=FALSE(),"",COUNTIF($J$6:$J695,TRUE()))</f>
        <v/>
      </c>
      <c r="L695" s="5" t="str">
        <f aca="false">IF($K695="","","R"&amp;$K695)</f>
        <v/>
      </c>
    </row>
    <row r="696" customFormat="false" ht="15" hidden="false" customHeight="true" outlineLevel="0" collapsed="false">
      <c r="J696" s="14" t="b">
        <f aca="false">IF(중복검사!$A694="",FALSE(),중복검사!$H694="중복")</f>
        <v>0</v>
      </c>
      <c r="K696" s="5" t="str">
        <f aca="false">IF($J696=FALSE(),"",COUNTIF($J$6:$J696,TRUE()))</f>
        <v/>
      </c>
      <c r="L696" s="5" t="str">
        <f aca="false">IF($K696="","","R"&amp;$K696)</f>
        <v/>
      </c>
    </row>
    <row r="697" customFormat="false" ht="15" hidden="false" customHeight="true" outlineLevel="0" collapsed="false">
      <c r="J697" s="14" t="b">
        <f aca="false">IF(중복검사!$A695="",FALSE(),중복검사!$H695="중복")</f>
        <v>0</v>
      </c>
      <c r="K697" s="5" t="str">
        <f aca="false">IF($J697=FALSE(),"",COUNTIF($J$6:$J697,TRUE()))</f>
        <v/>
      </c>
      <c r="L697" s="5" t="str">
        <f aca="false">IF($K697="","","R"&amp;$K697)</f>
        <v/>
      </c>
    </row>
    <row r="698" customFormat="false" ht="15" hidden="false" customHeight="true" outlineLevel="0" collapsed="false">
      <c r="J698" s="14" t="b">
        <f aca="false">IF(중복검사!$A696="",FALSE(),중복검사!$H696="중복")</f>
        <v>0</v>
      </c>
      <c r="K698" s="5" t="str">
        <f aca="false">IF($J698=FALSE(),"",COUNTIF($J$6:$J698,TRUE()))</f>
        <v/>
      </c>
      <c r="L698" s="5" t="str">
        <f aca="false">IF($K698="","","R"&amp;$K698)</f>
        <v/>
      </c>
    </row>
    <row r="699" customFormat="false" ht="15" hidden="false" customHeight="true" outlineLevel="0" collapsed="false">
      <c r="J699" s="14" t="b">
        <f aca="false">IF(중복검사!$A697="",FALSE(),중복검사!$H697="중복")</f>
        <v>0</v>
      </c>
      <c r="K699" s="5" t="str">
        <f aca="false">IF($J699=FALSE(),"",COUNTIF($J$6:$J699,TRUE()))</f>
        <v/>
      </c>
      <c r="L699" s="5" t="str">
        <f aca="false">IF($K699="","","R"&amp;$K699)</f>
        <v/>
      </c>
    </row>
    <row r="700" customFormat="false" ht="15" hidden="false" customHeight="true" outlineLevel="0" collapsed="false">
      <c r="J700" s="14" t="b">
        <f aca="false">IF(중복검사!$A698="",FALSE(),중복검사!$H698="중복")</f>
        <v>0</v>
      </c>
      <c r="K700" s="5" t="str">
        <f aca="false">IF($J700=FALSE(),"",COUNTIF($J$6:$J700,TRUE()))</f>
        <v/>
      </c>
      <c r="L700" s="5" t="str">
        <f aca="false">IF($K700="","","R"&amp;$K700)</f>
        <v/>
      </c>
    </row>
    <row r="701" customFormat="false" ht="15" hidden="false" customHeight="true" outlineLevel="0" collapsed="false">
      <c r="J701" s="14" t="b">
        <f aca="false">IF(중복검사!$A699="",FALSE(),중복검사!$H699="중복")</f>
        <v>0</v>
      </c>
      <c r="K701" s="5" t="str">
        <f aca="false">IF($J701=FALSE(),"",COUNTIF($J$6:$J701,TRUE()))</f>
        <v/>
      </c>
      <c r="L701" s="5" t="str">
        <f aca="false">IF($K701="","","R"&amp;$K701)</f>
        <v/>
      </c>
    </row>
    <row r="702" customFormat="false" ht="15" hidden="false" customHeight="true" outlineLevel="0" collapsed="false">
      <c r="J702" s="14" t="b">
        <f aca="false">IF(중복검사!$A700="",FALSE(),중복검사!$H700="중복")</f>
        <v>0</v>
      </c>
      <c r="K702" s="5" t="str">
        <f aca="false">IF($J702=FALSE(),"",COUNTIF($J$6:$J702,TRUE()))</f>
        <v/>
      </c>
      <c r="L702" s="5" t="str">
        <f aca="false">IF($K702="","","R"&amp;$K702)</f>
        <v/>
      </c>
    </row>
    <row r="703" customFormat="false" ht="15" hidden="false" customHeight="true" outlineLevel="0" collapsed="false">
      <c r="J703" s="14" t="b">
        <f aca="false">IF(중복검사!$A701="",FALSE(),중복검사!$H701="중복")</f>
        <v>0</v>
      </c>
      <c r="K703" s="5" t="str">
        <f aca="false">IF($J703=FALSE(),"",COUNTIF($J$6:$J703,TRUE()))</f>
        <v/>
      </c>
      <c r="L703" s="5" t="str">
        <f aca="false">IF($K703="","","R"&amp;$K703)</f>
        <v/>
      </c>
    </row>
    <row r="704" customFormat="false" ht="15" hidden="false" customHeight="true" outlineLevel="0" collapsed="false">
      <c r="J704" s="14" t="b">
        <f aca="false">IF(중복검사!$A702="",FALSE(),중복검사!$H702="중복")</f>
        <v>0</v>
      </c>
      <c r="K704" s="5" t="str">
        <f aca="false">IF($J704=FALSE(),"",COUNTIF($J$6:$J704,TRUE()))</f>
        <v/>
      </c>
      <c r="L704" s="5" t="str">
        <f aca="false">IF($K704="","","R"&amp;$K704)</f>
        <v/>
      </c>
    </row>
    <row r="705" customFormat="false" ht="15" hidden="false" customHeight="true" outlineLevel="0" collapsed="false">
      <c r="J705" s="14" t="b">
        <f aca="false">IF(중복검사!$A703="",FALSE(),중복검사!$H703="중복")</f>
        <v>0</v>
      </c>
      <c r="K705" s="5" t="str">
        <f aca="false">IF($J705=FALSE(),"",COUNTIF($J$6:$J705,TRUE()))</f>
        <v/>
      </c>
      <c r="L705" s="5" t="str">
        <f aca="false">IF($K705="","","R"&amp;$K705)</f>
        <v/>
      </c>
    </row>
    <row r="706" customFormat="false" ht="15" hidden="false" customHeight="true" outlineLevel="0" collapsed="false">
      <c r="J706" s="14" t="b">
        <f aca="false">IF(중복검사!$A704="",FALSE(),중복검사!$H704="중복")</f>
        <v>0</v>
      </c>
      <c r="K706" s="5" t="str">
        <f aca="false">IF($J706=FALSE(),"",COUNTIF($J$6:$J706,TRUE()))</f>
        <v/>
      </c>
      <c r="L706" s="5" t="str">
        <f aca="false">IF($K706="","","R"&amp;$K706)</f>
        <v/>
      </c>
    </row>
    <row r="707" customFormat="false" ht="15" hidden="false" customHeight="true" outlineLevel="0" collapsed="false">
      <c r="J707" s="14" t="b">
        <f aca="false">IF(중복검사!$A705="",FALSE(),중복검사!$H705="중복")</f>
        <v>0</v>
      </c>
      <c r="K707" s="5" t="str">
        <f aca="false">IF($J707=FALSE(),"",COUNTIF($J$6:$J707,TRUE()))</f>
        <v/>
      </c>
      <c r="L707" s="5" t="str">
        <f aca="false">IF($K707="","","R"&amp;$K707)</f>
        <v/>
      </c>
    </row>
    <row r="708" customFormat="false" ht="15" hidden="false" customHeight="true" outlineLevel="0" collapsed="false">
      <c r="J708" s="14" t="b">
        <f aca="false">IF(중복검사!$A706="",FALSE(),중복검사!$H706="중복")</f>
        <v>0</v>
      </c>
      <c r="K708" s="5" t="str">
        <f aca="false">IF($J708=FALSE(),"",COUNTIF($J$6:$J708,TRUE()))</f>
        <v/>
      </c>
      <c r="L708" s="5" t="str">
        <f aca="false">IF($K708="","","R"&amp;$K708)</f>
        <v/>
      </c>
    </row>
    <row r="709" customFormat="false" ht="15" hidden="false" customHeight="true" outlineLevel="0" collapsed="false">
      <c r="J709" s="14" t="b">
        <f aca="false">IF(중복검사!$A707="",FALSE(),중복검사!$H707="중복")</f>
        <v>0</v>
      </c>
      <c r="K709" s="5" t="str">
        <f aca="false">IF($J709=FALSE(),"",COUNTIF($J$6:$J709,TRUE()))</f>
        <v/>
      </c>
      <c r="L709" s="5" t="str">
        <f aca="false">IF($K709="","","R"&amp;$K709)</f>
        <v/>
      </c>
    </row>
    <row r="710" customFormat="false" ht="15" hidden="false" customHeight="true" outlineLevel="0" collapsed="false">
      <c r="J710" s="14" t="b">
        <f aca="false">IF(중복검사!$A708="",FALSE(),중복검사!$H708="중복")</f>
        <v>0</v>
      </c>
      <c r="K710" s="5" t="str">
        <f aca="false">IF($J710=FALSE(),"",COUNTIF($J$6:$J710,TRUE()))</f>
        <v/>
      </c>
      <c r="L710" s="5" t="str">
        <f aca="false">IF($K710="","","R"&amp;$K710)</f>
        <v/>
      </c>
    </row>
    <row r="711" customFormat="false" ht="15" hidden="false" customHeight="true" outlineLevel="0" collapsed="false">
      <c r="J711" s="14" t="b">
        <f aca="false">IF(중복검사!$A709="",FALSE(),중복검사!$H709="중복")</f>
        <v>0</v>
      </c>
      <c r="K711" s="5" t="str">
        <f aca="false">IF($J711=FALSE(),"",COUNTIF($J$6:$J711,TRUE()))</f>
        <v/>
      </c>
      <c r="L711" s="5" t="str">
        <f aca="false">IF($K711="","","R"&amp;$K711)</f>
        <v/>
      </c>
    </row>
    <row r="712" customFormat="false" ht="15" hidden="false" customHeight="true" outlineLevel="0" collapsed="false">
      <c r="J712" s="14" t="b">
        <f aca="false">IF(중복검사!$A710="",FALSE(),중복검사!$H710="중복")</f>
        <v>0</v>
      </c>
      <c r="K712" s="5" t="str">
        <f aca="false">IF($J712=FALSE(),"",COUNTIF($J$6:$J712,TRUE()))</f>
        <v/>
      </c>
      <c r="L712" s="5" t="str">
        <f aca="false">IF($K712="","","R"&amp;$K712)</f>
        <v/>
      </c>
    </row>
    <row r="713" customFormat="false" ht="15" hidden="false" customHeight="true" outlineLevel="0" collapsed="false">
      <c r="J713" s="14" t="b">
        <f aca="false">IF(중복검사!$A711="",FALSE(),중복검사!$H711="중복")</f>
        <v>0</v>
      </c>
      <c r="K713" s="5" t="str">
        <f aca="false">IF($J713=FALSE(),"",COUNTIF($J$6:$J713,TRUE()))</f>
        <v/>
      </c>
      <c r="L713" s="5" t="str">
        <f aca="false">IF($K713="","","R"&amp;$K713)</f>
        <v/>
      </c>
    </row>
    <row r="714" customFormat="false" ht="15" hidden="false" customHeight="true" outlineLevel="0" collapsed="false">
      <c r="J714" s="14" t="b">
        <f aca="false">IF(중복검사!$A712="",FALSE(),중복검사!$H712="중복")</f>
        <v>0</v>
      </c>
      <c r="K714" s="5" t="str">
        <f aca="false">IF($J714=FALSE(),"",COUNTIF($J$6:$J714,TRUE()))</f>
        <v/>
      </c>
      <c r="L714" s="5" t="str">
        <f aca="false">IF($K714="","","R"&amp;$K714)</f>
        <v/>
      </c>
    </row>
    <row r="715" customFormat="false" ht="15" hidden="false" customHeight="true" outlineLevel="0" collapsed="false">
      <c r="J715" s="14" t="b">
        <f aca="false">IF(중복검사!$A713="",FALSE(),중복검사!$H713="중복")</f>
        <v>0</v>
      </c>
      <c r="K715" s="5" t="str">
        <f aca="false">IF($J715=FALSE(),"",COUNTIF($J$6:$J715,TRUE()))</f>
        <v/>
      </c>
      <c r="L715" s="5" t="str">
        <f aca="false">IF($K715="","","R"&amp;$K715)</f>
        <v/>
      </c>
    </row>
    <row r="716" customFormat="false" ht="15" hidden="false" customHeight="true" outlineLevel="0" collapsed="false">
      <c r="J716" s="14" t="b">
        <f aca="false">IF(중복검사!$A714="",FALSE(),중복검사!$H714="중복")</f>
        <v>0</v>
      </c>
      <c r="K716" s="5" t="str">
        <f aca="false">IF($J716=FALSE(),"",COUNTIF($J$6:$J716,TRUE()))</f>
        <v/>
      </c>
      <c r="L716" s="5" t="str">
        <f aca="false">IF($K716="","","R"&amp;$K716)</f>
        <v/>
      </c>
    </row>
    <row r="717" customFormat="false" ht="15" hidden="false" customHeight="true" outlineLevel="0" collapsed="false">
      <c r="J717" s="14" t="b">
        <f aca="false">IF(중복검사!$A715="",FALSE(),중복검사!$H715="중복")</f>
        <v>0</v>
      </c>
      <c r="K717" s="5" t="str">
        <f aca="false">IF($J717=FALSE(),"",COUNTIF($J$6:$J717,TRUE()))</f>
        <v/>
      </c>
      <c r="L717" s="5" t="str">
        <f aca="false">IF($K717="","","R"&amp;$K717)</f>
        <v/>
      </c>
    </row>
    <row r="718" customFormat="false" ht="15" hidden="false" customHeight="true" outlineLevel="0" collapsed="false">
      <c r="J718" s="14" t="b">
        <f aca="false">IF(중복검사!$A716="",FALSE(),중복검사!$H716="중복")</f>
        <v>0</v>
      </c>
      <c r="K718" s="5" t="str">
        <f aca="false">IF($J718=FALSE(),"",COUNTIF($J$6:$J718,TRUE()))</f>
        <v/>
      </c>
      <c r="L718" s="5" t="str">
        <f aca="false">IF($K718="","","R"&amp;$K718)</f>
        <v/>
      </c>
    </row>
    <row r="719" customFormat="false" ht="15" hidden="false" customHeight="true" outlineLevel="0" collapsed="false">
      <c r="J719" s="14" t="b">
        <f aca="false">IF(중복검사!$A717="",FALSE(),중복검사!$H717="중복")</f>
        <v>0</v>
      </c>
      <c r="K719" s="5" t="str">
        <f aca="false">IF($J719=FALSE(),"",COUNTIF($J$6:$J719,TRUE()))</f>
        <v/>
      </c>
      <c r="L719" s="5" t="str">
        <f aca="false">IF($K719="","","R"&amp;$K719)</f>
        <v/>
      </c>
    </row>
    <row r="720" customFormat="false" ht="15" hidden="false" customHeight="true" outlineLevel="0" collapsed="false">
      <c r="J720" s="14" t="b">
        <f aca="false">IF(중복검사!$A718="",FALSE(),중복검사!$H718="중복")</f>
        <v>0</v>
      </c>
      <c r="K720" s="5" t="str">
        <f aca="false">IF($J720=FALSE(),"",COUNTIF($J$6:$J720,TRUE()))</f>
        <v/>
      </c>
      <c r="L720" s="5" t="str">
        <f aca="false">IF($K720="","","R"&amp;$K720)</f>
        <v/>
      </c>
    </row>
    <row r="721" customFormat="false" ht="15" hidden="false" customHeight="true" outlineLevel="0" collapsed="false">
      <c r="J721" s="14" t="b">
        <f aca="false">IF(중복검사!$A719="",FALSE(),중복검사!$H719="중복")</f>
        <v>0</v>
      </c>
      <c r="K721" s="5" t="str">
        <f aca="false">IF($J721=FALSE(),"",COUNTIF($J$6:$J721,TRUE()))</f>
        <v/>
      </c>
      <c r="L721" s="5" t="str">
        <f aca="false">IF($K721="","","R"&amp;$K721)</f>
        <v/>
      </c>
    </row>
    <row r="722" customFormat="false" ht="15" hidden="false" customHeight="true" outlineLevel="0" collapsed="false">
      <c r="J722" s="14" t="b">
        <f aca="false">IF(중복검사!$A720="",FALSE(),중복검사!$H720="중복")</f>
        <v>0</v>
      </c>
      <c r="K722" s="5" t="str">
        <f aca="false">IF($J722=FALSE(),"",COUNTIF($J$6:$J722,TRUE()))</f>
        <v/>
      </c>
      <c r="L722" s="5" t="str">
        <f aca="false">IF($K722="","","R"&amp;$K722)</f>
        <v/>
      </c>
    </row>
    <row r="723" customFormat="false" ht="15" hidden="false" customHeight="true" outlineLevel="0" collapsed="false">
      <c r="J723" s="14" t="b">
        <f aca="false">IF(중복검사!$A721="",FALSE(),중복검사!$H721="중복")</f>
        <v>0</v>
      </c>
      <c r="K723" s="5" t="str">
        <f aca="false">IF($J723=FALSE(),"",COUNTIF($J$6:$J723,TRUE()))</f>
        <v/>
      </c>
      <c r="L723" s="5" t="str">
        <f aca="false">IF($K723="","","R"&amp;$K723)</f>
        <v/>
      </c>
    </row>
    <row r="724" customFormat="false" ht="15" hidden="false" customHeight="true" outlineLevel="0" collapsed="false">
      <c r="J724" s="14" t="b">
        <f aca="false">IF(중복검사!$A722="",FALSE(),중복검사!$H722="중복")</f>
        <v>0</v>
      </c>
      <c r="K724" s="5" t="str">
        <f aca="false">IF($J724=FALSE(),"",COUNTIF($J$6:$J724,TRUE()))</f>
        <v/>
      </c>
      <c r="L724" s="5" t="str">
        <f aca="false">IF($K724="","","R"&amp;$K724)</f>
        <v/>
      </c>
    </row>
    <row r="725" customFormat="false" ht="15" hidden="false" customHeight="true" outlineLevel="0" collapsed="false">
      <c r="J725" s="14" t="b">
        <f aca="false">IF(중복검사!$A723="",FALSE(),중복검사!$H723="중복")</f>
        <v>0</v>
      </c>
      <c r="K725" s="5" t="str">
        <f aca="false">IF($J725=FALSE(),"",COUNTIF($J$6:$J725,TRUE()))</f>
        <v/>
      </c>
      <c r="L725" s="5" t="str">
        <f aca="false">IF($K725="","","R"&amp;$K725)</f>
        <v/>
      </c>
    </row>
    <row r="726" customFormat="false" ht="15" hidden="false" customHeight="true" outlineLevel="0" collapsed="false">
      <c r="J726" s="14" t="b">
        <f aca="false">IF(중복검사!$A724="",FALSE(),중복검사!$H724="중복")</f>
        <v>0</v>
      </c>
      <c r="K726" s="5" t="str">
        <f aca="false">IF($J726=FALSE(),"",COUNTIF($J$6:$J726,TRUE()))</f>
        <v/>
      </c>
      <c r="L726" s="5" t="str">
        <f aca="false">IF($K726="","","R"&amp;$K726)</f>
        <v/>
      </c>
    </row>
    <row r="727" customFormat="false" ht="15" hidden="false" customHeight="true" outlineLevel="0" collapsed="false">
      <c r="J727" s="14" t="b">
        <f aca="false">IF(중복검사!$A725="",FALSE(),중복검사!$H725="중복")</f>
        <v>0</v>
      </c>
      <c r="K727" s="5" t="str">
        <f aca="false">IF($J727=FALSE(),"",COUNTIF($J$6:$J727,TRUE()))</f>
        <v/>
      </c>
      <c r="L727" s="5" t="str">
        <f aca="false">IF($K727="","","R"&amp;$K727)</f>
        <v/>
      </c>
    </row>
    <row r="728" customFormat="false" ht="15" hidden="false" customHeight="true" outlineLevel="0" collapsed="false">
      <c r="J728" s="14" t="b">
        <f aca="false">IF(중복검사!$A726="",FALSE(),중복검사!$H726="중복")</f>
        <v>0</v>
      </c>
      <c r="K728" s="5" t="str">
        <f aca="false">IF($J728=FALSE(),"",COUNTIF($J$6:$J728,TRUE()))</f>
        <v/>
      </c>
      <c r="L728" s="5" t="str">
        <f aca="false">IF($K728="","","R"&amp;$K728)</f>
        <v/>
      </c>
    </row>
    <row r="729" customFormat="false" ht="15" hidden="false" customHeight="true" outlineLevel="0" collapsed="false">
      <c r="J729" s="14" t="b">
        <f aca="false">IF(중복검사!$A727="",FALSE(),중복검사!$H727="중복")</f>
        <v>0</v>
      </c>
      <c r="K729" s="5" t="str">
        <f aca="false">IF($J729=FALSE(),"",COUNTIF($J$6:$J729,TRUE()))</f>
        <v/>
      </c>
      <c r="L729" s="5" t="str">
        <f aca="false">IF($K729="","","R"&amp;$K729)</f>
        <v/>
      </c>
    </row>
    <row r="730" customFormat="false" ht="15" hidden="false" customHeight="true" outlineLevel="0" collapsed="false">
      <c r="J730" s="14" t="b">
        <f aca="false">IF(중복검사!$A728="",FALSE(),중복검사!$H728="중복")</f>
        <v>0</v>
      </c>
      <c r="K730" s="5" t="str">
        <f aca="false">IF($J730=FALSE(),"",COUNTIF($J$6:$J730,TRUE()))</f>
        <v/>
      </c>
      <c r="L730" s="5" t="str">
        <f aca="false">IF($K730="","","R"&amp;$K730)</f>
        <v/>
      </c>
    </row>
    <row r="731" customFormat="false" ht="15" hidden="false" customHeight="true" outlineLevel="0" collapsed="false">
      <c r="J731" s="14" t="b">
        <f aca="false">IF(중복검사!$A729="",FALSE(),중복검사!$H729="중복")</f>
        <v>0</v>
      </c>
      <c r="K731" s="5" t="str">
        <f aca="false">IF($J731=FALSE(),"",COUNTIF($J$6:$J731,TRUE()))</f>
        <v/>
      </c>
      <c r="L731" s="5" t="str">
        <f aca="false">IF($K731="","","R"&amp;$K731)</f>
        <v/>
      </c>
    </row>
    <row r="732" customFormat="false" ht="15" hidden="false" customHeight="true" outlineLevel="0" collapsed="false">
      <c r="J732" s="14" t="b">
        <f aca="false">IF(중복검사!$A730="",FALSE(),중복검사!$H730="중복")</f>
        <v>0</v>
      </c>
      <c r="K732" s="5" t="str">
        <f aca="false">IF($J732=FALSE(),"",COUNTIF($J$6:$J732,TRUE()))</f>
        <v/>
      </c>
      <c r="L732" s="5" t="str">
        <f aca="false">IF($K732="","","R"&amp;$K732)</f>
        <v/>
      </c>
    </row>
    <row r="733" customFormat="false" ht="15" hidden="false" customHeight="true" outlineLevel="0" collapsed="false">
      <c r="J733" s="14" t="b">
        <f aca="false">IF(중복검사!$A731="",FALSE(),중복검사!$H731="중복")</f>
        <v>0</v>
      </c>
      <c r="K733" s="5" t="str">
        <f aca="false">IF($J733=FALSE(),"",COUNTIF($J$6:$J733,TRUE()))</f>
        <v/>
      </c>
      <c r="L733" s="5" t="str">
        <f aca="false">IF($K733="","","R"&amp;$K733)</f>
        <v/>
      </c>
    </row>
    <row r="734" customFormat="false" ht="15" hidden="false" customHeight="true" outlineLevel="0" collapsed="false">
      <c r="J734" s="14" t="b">
        <f aca="false">IF(중복검사!$A732="",FALSE(),중복검사!$H732="중복")</f>
        <v>0</v>
      </c>
      <c r="K734" s="5" t="str">
        <f aca="false">IF($J734=FALSE(),"",COUNTIF($J$6:$J734,TRUE()))</f>
        <v/>
      </c>
      <c r="L734" s="5" t="str">
        <f aca="false">IF($K734="","","R"&amp;$K734)</f>
        <v/>
      </c>
    </row>
    <row r="735" customFormat="false" ht="15" hidden="false" customHeight="true" outlineLevel="0" collapsed="false">
      <c r="J735" s="14" t="b">
        <f aca="false">IF(중복검사!$A733="",FALSE(),중복검사!$H733="중복")</f>
        <v>0</v>
      </c>
      <c r="K735" s="5" t="str">
        <f aca="false">IF($J735=FALSE(),"",COUNTIF($J$6:$J735,TRUE()))</f>
        <v/>
      </c>
      <c r="L735" s="5" t="str">
        <f aca="false">IF($K735="","","R"&amp;$K735)</f>
        <v/>
      </c>
    </row>
    <row r="736" customFormat="false" ht="15" hidden="false" customHeight="true" outlineLevel="0" collapsed="false">
      <c r="J736" s="14" t="b">
        <f aca="false">IF(중복검사!$A734="",FALSE(),중복검사!$H734="중복")</f>
        <v>0</v>
      </c>
      <c r="K736" s="5" t="str">
        <f aca="false">IF($J736=FALSE(),"",COUNTIF($J$6:$J736,TRUE()))</f>
        <v/>
      </c>
      <c r="L736" s="5" t="str">
        <f aca="false">IF($K736="","","R"&amp;$K736)</f>
        <v/>
      </c>
    </row>
    <row r="737" customFormat="false" ht="15" hidden="false" customHeight="true" outlineLevel="0" collapsed="false">
      <c r="J737" s="14" t="b">
        <f aca="false">IF(중복검사!$A735="",FALSE(),중복검사!$H735="중복")</f>
        <v>0</v>
      </c>
      <c r="K737" s="5" t="str">
        <f aca="false">IF($J737=FALSE(),"",COUNTIF($J$6:$J737,TRUE()))</f>
        <v/>
      </c>
      <c r="L737" s="5" t="str">
        <f aca="false">IF($K737="","","R"&amp;$K737)</f>
        <v/>
      </c>
    </row>
    <row r="738" customFormat="false" ht="15" hidden="false" customHeight="true" outlineLevel="0" collapsed="false">
      <c r="J738" s="14" t="b">
        <f aca="false">IF(중복검사!$A736="",FALSE(),중복검사!$H736="중복")</f>
        <v>0</v>
      </c>
      <c r="K738" s="5" t="str">
        <f aca="false">IF($J738=FALSE(),"",COUNTIF($J$6:$J738,TRUE()))</f>
        <v/>
      </c>
      <c r="L738" s="5" t="str">
        <f aca="false">IF($K738="","","R"&amp;$K738)</f>
        <v/>
      </c>
    </row>
    <row r="739" customFormat="false" ht="15" hidden="false" customHeight="true" outlineLevel="0" collapsed="false">
      <c r="J739" s="14" t="b">
        <f aca="false">IF(중복검사!$A737="",FALSE(),중복검사!$H737="중복")</f>
        <v>0</v>
      </c>
      <c r="K739" s="5" t="str">
        <f aca="false">IF($J739=FALSE(),"",COUNTIF($J$6:$J739,TRUE()))</f>
        <v/>
      </c>
      <c r="L739" s="5" t="str">
        <f aca="false">IF($K739="","","R"&amp;$K739)</f>
        <v/>
      </c>
    </row>
    <row r="740" customFormat="false" ht="15" hidden="false" customHeight="true" outlineLevel="0" collapsed="false">
      <c r="J740" s="14" t="b">
        <f aca="false">IF(중복검사!$A738="",FALSE(),중복검사!$H738="중복")</f>
        <v>0</v>
      </c>
      <c r="K740" s="5" t="str">
        <f aca="false">IF($J740=FALSE(),"",COUNTIF($J$6:$J740,TRUE()))</f>
        <v/>
      </c>
      <c r="L740" s="5" t="str">
        <f aca="false">IF($K740="","","R"&amp;$K740)</f>
        <v/>
      </c>
    </row>
    <row r="741" customFormat="false" ht="15" hidden="false" customHeight="true" outlineLevel="0" collapsed="false">
      <c r="J741" s="14" t="b">
        <f aca="false">IF(중복검사!$A739="",FALSE(),중복검사!$H739="중복")</f>
        <v>0</v>
      </c>
      <c r="K741" s="5" t="str">
        <f aca="false">IF($J741=FALSE(),"",COUNTIF($J$6:$J741,TRUE()))</f>
        <v/>
      </c>
      <c r="L741" s="5" t="str">
        <f aca="false">IF($K741="","","R"&amp;$K741)</f>
        <v/>
      </c>
    </row>
    <row r="742" customFormat="false" ht="15" hidden="false" customHeight="true" outlineLevel="0" collapsed="false">
      <c r="J742" s="14" t="b">
        <f aca="false">IF(중복검사!$A740="",FALSE(),중복검사!$H740="중복")</f>
        <v>0</v>
      </c>
      <c r="K742" s="5" t="str">
        <f aca="false">IF($J742=FALSE(),"",COUNTIF($J$6:$J742,TRUE()))</f>
        <v/>
      </c>
      <c r="L742" s="5" t="str">
        <f aca="false">IF($K742="","","R"&amp;$K742)</f>
        <v/>
      </c>
    </row>
    <row r="743" customFormat="false" ht="15" hidden="false" customHeight="true" outlineLevel="0" collapsed="false">
      <c r="J743" s="14" t="b">
        <f aca="false">IF(중복검사!$A741="",FALSE(),중복검사!$H741="중복")</f>
        <v>0</v>
      </c>
      <c r="K743" s="5" t="str">
        <f aca="false">IF($J743=FALSE(),"",COUNTIF($J$6:$J743,TRUE()))</f>
        <v/>
      </c>
      <c r="L743" s="5" t="str">
        <f aca="false">IF($K743="","","R"&amp;$K743)</f>
        <v/>
      </c>
    </row>
    <row r="744" customFormat="false" ht="15" hidden="false" customHeight="true" outlineLevel="0" collapsed="false">
      <c r="J744" s="14" t="b">
        <f aca="false">IF(중복검사!$A742="",FALSE(),중복검사!$H742="중복")</f>
        <v>0</v>
      </c>
      <c r="K744" s="5" t="str">
        <f aca="false">IF($J744=FALSE(),"",COUNTIF($J$6:$J744,TRUE()))</f>
        <v/>
      </c>
      <c r="L744" s="5" t="str">
        <f aca="false">IF($K744="","","R"&amp;$K744)</f>
        <v/>
      </c>
    </row>
    <row r="745" customFormat="false" ht="15" hidden="false" customHeight="true" outlineLevel="0" collapsed="false">
      <c r="J745" s="14" t="b">
        <f aca="false">IF(중복검사!$A743="",FALSE(),중복검사!$H743="중복")</f>
        <v>0</v>
      </c>
      <c r="K745" s="5" t="str">
        <f aca="false">IF($J745=FALSE(),"",COUNTIF($J$6:$J745,TRUE()))</f>
        <v/>
      </c>
      <c r="L745" s="5" t="str">
        <f aca="false">IF($K745="","","R"&amp;$K745)</f>
        <v/>
      </c>
    </row>
    <row r="746" customFormat="false" ht="15" hidden="false" customHeight="true" outlineLevel="0" collapsed="false">
      <c r="J746" s="14" t="b">
        <f aca="false">IF(중복검사!$A744="",FALSE(),중복검사!$H744="중복")</f>
        <v>0</v>
      </c>
      <c r="K746" s="5" t="str">
        <f aca="false">IF($J746=FALSE(),"",COUNTIF($J$6:$J746,TRUE()))</f>
        <v/>
      </c>
      <c r="L746" s="5" t="str">
        <f aca="false">IF($K746="","","R"&amp;$K746)</f>
        <v/>
      </c>
    </row>
    <row r="747" customFormat="false" ht="15" hidden="false" customHeight="true" outlineLevel="0" collapsed="false">
      <c r="J747" s="14" t="b">
        <f aca="false">IF(중복검사!$A745="",FALSE(),중복검사!$H745="중복")</f>
        <v>0</v>
      </c>
      <c r="K747" s="5" t="str">
        <f aca="false">IF($J747=FALSE(),"",COUNTIF($J$6:$J747,TRUE()))</f>
        <v/>
      </c>
      <c r="L747" s="5" t="str">
        <f aca="false">IF($K747="","","R"&amp;$K747)</f>
        <v/>
      </c>
    </row>
    <row r="748" customFormat="false" ht="15" hidden="false" customHeight="true" outlineLevel="0" collapsed="false">
      <c r="J748" s="14" t="b">
        <f aca="false">IF(중복검사!$A746="",FALSE(),중복검사!$H746="중복")</f>
        <v>0</v>
      </c>
      <c r="K748" s="5" t="str">
        <f aca="false">IF($J748=FALSE(),"",COUNTIF($J$6:$J748,TRUE()))</f>
        <v/>
      </c>
      <c r="L748" s="5" t="str">
        <f aca="false">IF($K748="","","R"&amp;$K748)</f>
        <v/>
      </c>
    </row>
    <row r="749" customFormat="false" ht="15" hidden="false" customHeight="true" outlineLevel="0" collapsed="false">
      <c r="J749" s="14" t="b">
        <f aca="false">IF(중복검사!$A747="",FALSE(),중복검사!$H747="중복")</f>
        <v>0</v>
      </c>
      <c r="K749" s="5" t="str">
        <f aca="false">IF($J749=FALSE(),"",COUNTIF($J$6:$J749,TRUE()))</f>
        <v/>
      </c>
      <c r="L749" s="5" t="str">
        <f aca="false">IF($K749="","","R"&amp;$K749)</f>
        <v/>
      </c>
    </row>
    <row r="750" customFormat="false" ht="15" hidden="false" customHeight="true" outlineLevel="0" collapsed="false">
      <c r="J750" s="14" t="b">
        <f aca="false">IF(중복검사!$A748="",FALSE(),중복검사!$H748="중복")</f>
        <v>0</v>
      </c>
      <c r="K750" s="5" t="str">
        <f aca="false">IF($J750=FALSE(),"",COUNTIF($J$6:$J750,TRUE()))</f>
        <v/>
      </c>
      <c r="L750" s="5" t="str">
        <f aca="false">IF($K750="","","R"&amp;$K750)</f>
        <v/>
      </c>
    </row>
    <row r="751" customFormat="false" ht="15" hidden="false" customHeight="true" outlineLevel="0" collapsed="false">
      <c r="J751" s="14" t="b">
        <f aca="false">IF(중복검사!$A749="",FALSE(),중복검사!$H749="중복")</f>
        <v>0</v>
      </c>
      <c r="K751" s="5" t="str">
        <f aca="false">IF($J751=FALSE(),"",COUNTIF($J$6:$J751,TRUE()))</f>
        <v/>
      </c>
      <c r="L751" s="5" t="str">
        <f aca="false">IF($K751="","","R"&amp;$K751)</f>
        <v/>
      </c>
    </row>
    <row r="752" customFormat="false" ht="15" hidden="false" customHeight="true" outlineLevel="0" collapsed="false">
      <c r="J752" s="14" t="b">
        <f aca="false">IF(중복검사!$A750="",FALSE(),중복검사!$H750="중복")</f>
        <v>0</v>
      </c>
      <c r="K752" s="5" t="str">
        <f aca="false">IF($J752=FALSE(),"",COUNTIF($J$6:$J752,TRUE()))</f>
        <v/>
      </c>
      <c r="L752" s="5" t="str">
        <f aca="false">IF($K752="","","R"&amp;$K752)</f>
        <v/>
      </c>
    </row>
    <row r="753" customFormat="false" ht="15" hidden="false" customHeight="true" outlineLevel="0" collapsed="false">
      <c r="J753" s="14" t="b">
        <f aca="false">IF(중복검사!$A751="",FALSE(),중복검사!$H751="중복")</f>
        <v>0</v>
      </c>
      <c r="K753" s="5" t="str">
        <f aca="false">IF($J753=FALSE(),"",COUNTIF($J$6:$J753,TRUE()))</f>
        <v/>
      </c>
      <c r="L753" s="5" t="str">
        <f aca="false">IF($K753="","","R"&amp;$K753)</f>
        <v/>
      </c>
    </row>
    <row r="754" customFormat="false" ht="15" hidden="false" customHeight="true" outlineLevel="0" collapsed="false">
      <c r="J754" s="14" t="b">
        <f aca="false">IF(중복검사!$A752="",FALSE(),중복검사!$H752="중복")</f>
        <v>0</v>
      </c>
      <c r="K754" s="5" t="str">
        <f aca="false">IF($J754=FALSE(),"",COUNTIF($J$6:$J754,TRUE()))</f>
        <v/>
      </c>
      <c r="L754" s="5" t="str">
        <f aca="false">IF($K754="","","R"&amp;$K754)</f>
        <v/>
      </c>
    </row>
    <row r="755" customFormat="false" ht="15" hidden="false" customHeight="true" outlineLevel="0" collapsed="false">
      <c r="J755" s="14" t="b">
        <f aca="false">IF(중복검사!$A753="",FALSE(),중복검사!$H753="중복")</f>
        <v>0</v>
      </c>
      <c r="K755" s="5" t="str">
        <f aca="false">IF($J755=FALSE(),"",COUNTIF($J$6:$J755,TRUE()))</f>
        <v/>
      </c>
      <c r="L755" s="5" t="str">
        <f aca="false">IF($K755="","","R"&amp;$K755)</f>
        <v/>
      </c>
    </row>
    <row r="756" customFormat="false" ht="15" hidden="false" customHeight="true" outlineLevel="0" collapsed="false">
      <c r="J756" s="14" t="b">
        <f aca="false">IF(중복검사!$A754="",FALSE(),중복검사!$H754="중복")</f>
        <v>0</v>
      </c>
      <c r="K756" s="5" t="str">
        <f aca="false">IF($J756=FALSE(),"",COUNTIF($J$6:$J756,TRUE()))</f>
        <v/>
      </c>
      <c r="L756" s="5" t="str">
        <f aca="false">IF($K756="","","R"&amp;$K756)</f>
        <v/>
      </c>
    </row>
    <row r="757" customFormat="false" ht="15" hidden="false" customHeight="true" outlineLevel="0" collapsed="false">
      <c r="J757" s="14" t="b">
        <f aca="false">IF(중복검사!$A755="",FALSE(),중복검사!$H755="중복")</f>
        <v>0</v>
      </c>
      <c r="K757" s="5" t="str">
        <f aca="false">IF($J757=FALSE(),"",COUNTIF($J$6:$J757,TRUE()))</f>
        <v/>
      </c>
      <c r="L757" s="5" t="str">
        <f aca="false">IF($K757="","","R"&amp;$K757)</f>
        <v/>
      </c>
    </row>
    <row r="758" customFormat="false" ht="15" hidden="false" customHeight="true" outlineLevel="0" collapsed="false">
      <c r="J758" s="14" t="b">
        <f aca="false">IF(중복검사!$A756="",FALSE(),중복검사!$H756="중복")</f>
        <v>0</v>
      </c>
      <c r="K758" s="5" t="str">
        <f aca="false">IF($J758=FALSE(),"",COUNTIF($J$6:$J758,TRUE()))</f>
        <v/>
      </c>
      <c r="L758" s="5" t="str">
        <f aca="false">IF($K758="","","R"&amp;$K758)</f>
        <v/>
      </c>
    </row>
    <row r="759" customFormat="false" ht="15" hidden="false" customHeight="true" outlineLevel="0" collapsed="false">
      <c r="J759" s="14" t="b">
        <f aca="false">IF(중복검사!$A757="",FALSE(),중복검사!$H757="중복")</f>
        <v>0</v>
      </c>
      <c r="K759" s="5" t="str">
        <f aca="false">IF($J759=FALSE(),"",COUNTIF($J$6:$J759,TRUE()))</f>
        <v/>
      </c>
      <c r="L759" s="5" t="str">
        <f aca="false">IF($K759="","","R"&amp;$K759)</f>
        <v/>
      </c>
    </row>
    <row r="760" customFormat="false" ht="15" hidden="false" customHeight="true" outlineLevel="0" collapsed="false">
      <c r="J760" s="14" t="b">
        <f aca="false">IF(중복검사!$A758="",FALSE(),중복검사!$H758="중복")</f>
        <v>0</v>
      </c>
      <c r="K760" s="5" t="str">
        <f aca="false">IF($J760=FALSE(),"",COUNTIF($J$6:$J760,TRUE()))</f>
        <v/>
      </c>
      <c r="L760" s="5" t="str">
        <f aca="false">IF($K760="","","R"&amp;$K760)</f>
        <v/>
      </c>
    </row>
    <row r="761" customFormat="false" ht="15" hidden="false" customHeight="true" outlineLevel="0" collapsed="false">
      <c r="J761" s="14" t="b">
        <f aca="false">IF(중복검사!$A759="",FALSE(),중복검사!$H759="중복")</f>
        <v>0</v>
      </c>
      <c r="K761" s="5" t="str">
        <f aca="false">IF($J761=FALSE(),"",COUNTIF($J$6:$J761,TRUE()))</f>
        <v/>
      </c>
      <c r="L761" s="5" t="str">
        <f aca="false">IF($K761="","","R"&amp;$K761)</f>
        <v/>
      </c>
    </row>
    <row r="762" customFormat="false" ht="15" hidden="false" customHeight="true" outlineLevel="0" collapsed="false">
      <c r="J762" s="14" t="b">
        <f aca="false">IF(중복검사!$A760="",FALSE(),중복검사!$H760="중복")</f>
        <v>0</v>
      </c>
      <c r="K762" s="5" t="str">
        <f aca="false">IF($J762=FALSE(),"",COUNTIF($J$6:$J762,TRUE()))</f>
        <v/>
      </c>
      <c r="L762" s="5" t="str">
        <f aca="false">IF($K762="","","R"&amp;$K762)</f>
        <v/>
      </c>
    </row>
    <row r="763" customFormat="false" ht="15" hidden="false" customHeight="true" outlineLevel="0" collapsed="false">
      <c r="J763" s="14" t="b">
        <f aca="false">IF(중복검사!$A761="",FALSE(),중복검사!$H761="중복")</f>
        <v>0</v>
      </c>
      <c r="K763" s="5" t="str">
        <f aca="false">IF($J763=FALSE(),"",COUNTIF($J$6:$J763,TRUE()))</f>
        <v/>
      </c>
      <c r="L763" s="5" t="str">
        <f aca="false">IF($K763="","","R"&amp;$K763)</f>
        <v/>
      </c>
    </row>
    <row r="764" customFormat="false" ht="15" hidden="false" customHeight="true" outlineLevel="0" collapsed="false">
      <c r="J764" s="14" t="b">
        <f aca="false">IF(중복검사!$A762="",FALSE(),중복검사!$H762="중복")</f>
        <v>0</v>
      </c>
      <c r="K764" s="5" t="str">
        <f aca="false">IF($J764=FALSE(),"",COUNTIF($J$6:$J764,TRUE()))</f>
        <v/>
      </c>
      <c r="L764" s="5" t="str">
        <f aca="false">IF($K764="","","R"&amp;$K764)</f>
        <v/>
      </c>
    </row>
    <row r="765" customFormat="false" ht="15" hidden="false" customHeight="true" outlineLevel="0" collapsed="false">
      <c r="J765" s="14" t="b">
        <f aca="false">IF(중복검사!$A763="",FALSE(),중복검사!$H763="중복")</f>
        <v>0</v>
      </c>
      <c r="K765" s="5" t="str">
        <f aca="false">IF($J765=FALSE(),"",COUNTIF($J$6:$J765,TRUE()))</f>
        <v/>
      </c>
      <c r="L765" s="5" t="str">
        <f aca="false">IF($K765="","","R"&amp;$K765)</f>
        <v/>
      </c>
    </row>
    <row r="766" customFormat="false" ht="15" hidden="false" customHeight="true" outlineLevel="0" collapsed="false">
      <c r="J766" s="14" t="b">
        <f aca="false">IF(중복검사!$A764="",FALSE(),중복검사!$H764="중복")</f>
        <v>0</v>
      </c>
      <c r="K766" s="5" t="str">
        <f aca="false">IF($J766=FALSE(),"",COUNTIF($J$6:$J766,TRUE()))</f>
        <v/>
      </c>
      <c r="L766" s="5" t="str">
        <f aca="false">IF($K766="","","R"&amp;$K766)</f>
        <v/>
      </c>
    </row>
    <row r="767" customFormat="false" ht="15" hidden="false" customHeight="true" outlineLevel="0" collapsed="false">
      <c r="J767" s="14" t="b">
        <f aca="false">IF(중복검사!$A765="",FALSE(),중복검사!$H765="중복")</f>
        <v>0</v>
      </c>
      <c r="K767" s="5" t="str">
        <f aca="false">IF($J767=FALSE(),"",COUNTIF($J$6:$J767,TRUE()))</f>
        <v/>
      </c>
      <c r="L767" s="5" t="str">
        <f aca="false">IF($K767="","","R"&amp;$K767)</f>
        <v/>
      </c>
    </row>
    <row r="768" customFormat="false" ht="15" hidden="false" customHeight="true" outlineLevel="0" collapsed="false">
      <c r="J768" s="14" t="b">
        <f aca="false">IF(중복검사!$A766="",FALSE(),중복검사!$H766="중복")</f>
        <v>0</v>
      </c>
      <c r="K768" s="5" t="str">
        <f aca="false">IF($J768=FALSE(),"",COUNTIF($J$6:$J768,TRUE()))</f>
        <v/>
      </c>
      <c r="L768" s="5" t="str">
        <f aca="false">IF($K768="","","R"&amp;$K768)</f>
        <v/>
      </c>
    </row>
    <row r="769" customFormat="false" ht="15" hidden="false" customHeight="true" outlineLevel="0" collapsed="false">
      <c r="J769" s="14" t="b">
        <f aca="false">IF(중복검사!$A767="",FALSE(),중복검사!$H767="중복")</f>
        <v>0</v>
      </c>
      <c r="K769" s="5" t="str">
        <f aca="false">IF($J769=FALSE(),"",COUNTIF($J$6:$J769,TRUE()))</f>
        <v/>
      </c>
      <c r="L769" s="5" t="str">
        <f aca="false">IF($K769="","","R"&amp;$K769)</f>
        <v/>
      </c>
    </row>
    <row r="770" customFormat="false" ht="15" hidden="false" customHeight="true" outlineLevel="0" collapsed="false">
      <c r="J770" s="14" t="b">
        <f aca="false">IF(중복검사!$A768="",FALSE(),중복검사!$H768="중복")</f>
        <v>0</v>
      </c>
      <c r="K770" s="5" t="str">
        <f aca="false">IF($J770=FALSE(),"",COUNTIF($J$6:$J770,TRUE()))</f>
        <v/>
      </c>
      <c r="L770" s="5" t="str">
        <f aca="false">IF($K770="","","R"&amp;$K770)</f>
        <v/>
      </c>
    </row>
    <row r="771" customFormat="false" ht="15" hidden="false" customHeight="true" outlineLevel="0" collapsed="false">
      <c r="J771" s="14" t="b">
        <f aca="false">IF(중복검사!$A769="",FALSE(),중복검사!$H769="중복")</f>
        <v>0</v>
      </c>
      <c r="K771" s="5" t="str">
        <f aca="false">IF($J771=FALSE(),"",COUNTIF($J$6:$J771,TRUE()))</f>
        <v/>
      </c>
      <c r="L771" s="5" t="str">
        <f aca="false">IF($K771="","","R"&amp;$K771)</f>
        <v/>
      </c>
    </row>
    <row r="772" customFormat="false" ht="15" hidden="false" customHeight="true" outlineLevel="0" collapsed="false">
      <c r="J772" s="14" t="b">
        <f aca="false">IF(중복검사!$A770="",FALSE(),중복검사!$H770="중복")</f>
        <v>0</v>
      </c>
      <c r="K772" s="5" t="str">
        <f aca="false">IF($J772=FALSE(),"",COUNTIF($J$6:$J772,TRUE()))</f>
        <v/>
      </c>
      <c r="L772" s="5" t="str">
        <f aca="false">IF($K772="","","R"&amp;$K772)</f>
        <v/>
      </c>
    </row>
    <row r="773" customFormat="false" ht="15" hidden="false" customHeight="true" outlineLevel="0" collapsed="false">
      <c r="J773" s="14" t="b">
        <f aca="false">IF(중복검사!$A771="",FALSE(),중복검사!$H771="중복")</f>
        <v>0</v>
      </c>
      <c r="K773" s="5" t="str">
        <f aca="false">IF($J773=FALSE(),"",COUNTIF($J$6:$J773,TRUE()))</f>
        <v/>
      </c>
      <c r="L773" s="5" t="str">
        <f aca="false">IF($K773="","","R"&amp;$K773)</f>
        <v/>
      </c>
    </row>
    <row r="774" customFormat="false" ht="15" hidden="false" customHeight="true" outlineLevel="0" collapsed="false">
      <c r="J774" s="14" t="b">
        <f aca="false">IF(중복검사!$A772="",FALSE(),중복검사!$H772="중복")</f>
        <v>0</v>
      </c>
      <c r="K774" s="5" t="str">
        <f aca="false">IF($J774=FALSE(),"",COUNTIF($J$6:$J774,TRUE()))</f>
        <v/>
      </c>
      <c r="L774" s="5" t="str">
        <f aca="false">IF($K774="","","R"&amp;$K774)</f>
        <v/>
      </c>
    </row>
    <row r="775" customFormat="false" ht="15" hidden="false" customHeight="true" outlineLevel="0" collapsed="false">
      <c r="J775" s="14" t="b">
        <f aca="false">IF(중복검사!$A773="",FALSE(),중복검사!$H773="중복")</f>
        <v>0</v>
      </c>
      <c r="K775" s="5" t="str">
        <f aca="false">IF($J775=FALSE(),"",COUNTIF($J$6:$J775,TRUE()))</f>
        <v/>
      </c>
      <c r="L775" s="5" t="str">
        <f aca="false">IF($K775="","","R"&amp;$K775)</f>
        <v/>
      </c>
    </row>
    <row r="776" customFormat="false" ht="15" hidden="false" customHeight="true" outlineLevel="0" collapsed="false">
      <c r="J776" s="14" t="b">
        <f aca="false">IF(중복검사!$A774="",FALSE(),중복검사!$H774="중복")</f>
        <v>0</v>
      </c>
      <c r="K776" s="5" t="str">
        <f aca="false">IF($J776=FALSE(),"",COUNTIF($J$6:$J776,TRUE()))</f>
        <v/>
      </c>
      <c r="L776" s="5" t="str">
        <f aca="false">IF($K776="","","R"&amp;$K776)</f>
        <v/>
      </c>
    </row>
    <row r="777" customFormat="false" ht="15" hidden="false" customHeight="true" outlineLevel="0" collapsed="false">
      <c r="J777" s="14" t="b">
        <f aca="false">IF(중복검사!$A775="",FALSE(),중복검사!$H775="중복")</f>
        <v>0</v>
      </c>
      <c r="K777" s="5" t="str">
        <f aca="false">IF($J777=FALSE(),"",COUNTIF($J$6:$J777,TRUE()))</f>
        <v/>
      </c>
      <c r="L777" s="5" t="str">
        <f aca="false">IF($K777="","","R"&amp;$K777)</f>
        <v/>
      </c>
    </row>
    <row r="778" customFormat="false" ht="15" hidden="false" customHeight="true" outlineLevel="0" collapsed="false">
      <c r="J778" s="14" t="b">
        <f aca="false">IF(중복검사!$A776="",FALSE(),중복검사!$H776="중복")</f>
        <v>0</v>
      </c>
      <c r="K778" s="5" t="str">
        <f aca="false">IF($J778=FALSE(),"",COUNTIF($J$6:$J778,TRUE()))</f>
        <v/>
      </c>
      <c r="L778" s="5" t="str">
        <f aca="false">IF($K778="","","R"&amp;$K778)</f>
        <v/>
      </c>
    </row>
    <row r="779" customFormat="false" ht="15" hidden="false" customHeight="true" outlineLevel="0" collapsed="false">
      <c r="J779" s="14" t="b">
        <f aca="false">IF(중복검사!$A777="",FALSE(),중복검사!$H777="중복")</f>
        <v>0</v>
      </c>
      <c r="K779" s="5" t="str">
        <f aca="false">IF($J779=FALSE(),"",COUNTIF($J$6:$J779,TRUE()))</f>
        <v/>
      </c>
      <c r="L779" s="5" t="str">
        <f aca="false">IF($K779="","","R"&amp;$K779)</f>
        <v/>
      </c>
    </row>
    <row r="780" customFormat="false" ht="15" hidden="false" customHeight="true" outlineLevel="0" collapsed="false">
      <c r="J780" s="14" t="b">
        <f aca="false">IF(중복검사!$A778="",FALSE(),중복검사!$H778="중복")</f>
        <v>0</v>
      </c>
      <c r="K780" s="5" t="str">
        <f aca="false">IF($J780=FALSE(),"",COUNTIF($J$6:$J780,TRUE()))</f>
        <v/>
      </c>
      <c r="L780" s="5" t="str">
        <f aca="false">IF($K780="","","R"&amp;$K780)</f>
        <v/>
      </c>
    </row>
    <row r="781" customFormat="false" ht="15" hidden="false" customHeight="true" outlineLevel="0" collapsed="false">
      <c r="J781" s="14" t="b">
        <f aca="false">IF(중복검사!$A779="",FALSE(),중복검사!$H779="중복")</f>
        <v>0</v>
      </c>
      <c r="K781" s="5" t="str">
        <f aca="false">IF($J781=FALSE(),"",COUNTIF($J$6:$J781,TRUE()))</f>
        <v/>
      </c>
      <c r="L781" s="5" t="str">
        <f aca="false">IF($K781="","","R"&amp;$K781)</f>
        <v/>
      </c>
    </row>
    <row r="782" customFormat="false" ht="15" hidden="false" customHeight="true" outlineLevel="0" collapsed="false">
      <c r="J782" s="14" t="b">
        <f aca="false">IF(중복검사!$A780="",FALSE(),중복검사!$H780="중복")</f>
        <v>0</v>
      </c>
      <c r="K782" s="5" t="str">
        <f aca="false">IF($J782=FALSE(),"",COUNTIF($J$6:$J782,TRUE()))</f>
        <v/>
      </c>
      <c r="L782" s="5" t="str">
        <f aca="false">IF($K782="","","R"&amp;$K782)</f>
        <v/>
      </c>
    </row>
    <row r="783" customFormat="false" ht="15" hidden="false" customHeight="true" outlineLevel="0" collapsed="false">
      <c r="J783" s="14" t="b">
        <f aca="false">IF(중복검사!$A781="",FALSE(),중복검사!$H781="중복")</f>
        <v>0</v>
      </c>
      <c r="K783" s="5" t="str">
        <f aca="false">IF($J783=FALSE(),"",COUNTIF($J$6:$J783,TRUE()))</f>
        <v/>
      </c>
      <c r="L783" s="5" t="str">
        <f aca="false">IF($K783="","","R"&amp;$K783)</f>
        <v/>
      </c>
    </row>
    <row r="784" customFormat="false" ht="15" hidden="false" customHeight="true" outlineLevel="0" collapsed="false">
      <c r="J784" s="14" t="b">
        <f aca="false">IF(중복검사!$A782="",FALSE(),중복검사!$H782="중복")</f>
        <v>0</v>
      </c>
      <c r="K784" s="5" t="str">
        <f aca="false">IF($J784=FALSE(),"",COUNTIF($J$6:$J784,TRUE()))</f>
        <v/>
      </c>
      <c r="L784" s="5" t="str">
        <f aca="false">IF($K784="","","R"&amp;$K784)</f>
        <v/>
      </c>
    </row>
    <row r="785" customFormat="false" ht="15" hidden="false" customHeight="true" outlineLevel="0" collapsed="false">
      <c r="J785" s="14" t="b">
        <f aca="false">IF(중복검사!$A783="",FALSE(),중복검사!$H783="중복")</f>
        <v>0</v>
      </c>
      <c r="K785" s="5" t="str">
        <f aca="false">IF($J785=FALSE(),"",COUNTIF($J$6:$J785,TRUE()))</f>
        <v/>
      </c>
      <c r="L785" s="5" t="str">
        <f aca="false">IF($K785="","","R"&amp;$K785)</f>
        <v/>
      </c>
    </row>
    <row r="786" customFormat="false" ht="15" hidden="false" customHeight="true" outlineLevel="0" collapsed="false">
      <c r="J786" s="14" t="b">
        <f aca="false">IF(중복검사!$A784="",FALSE(),중복검사!$H784="중복")</f>
        <v>0</v>
      </c>
      <c r="K786" s="5" t="str">
        <f aca="false">IF($J786=FALSE(),"",COUNTIF($J$6:$J786,TRUE()))</f>
        <v/>
      </c>
      <c r="L786" s="5" t="str">
        <f aca="false">IF($K786="","","R"&amp;$K786)</f>
        <v/>
      </c>
    </row>
    <row r="787" customFormat="false" ht="15" hidden="false" customHeight="true" outlineLevel="0" collapsed="false">
      <c r="J787" s="14" t="b">
        <f aca="false">IF(중복검사!$A785="",FALSE(),중복검사!$H785="중복")</f>
        <v>0</v>
      </c>
      <c r="K787" s="5" t="str">
        <f aca="false">IF($J787=FALSE(),"",COUNTIF($J$6:$J787,TRUE()))</f>
        <v/>
      </c>
      <c r="L787" s="5" t="str">
        <f aca="false">IF($K787="","","R"&amp;$K787)</f>
        <v/>
      </c>
    </row>
    <row r="788" customFormat="false" ht="15" hidden="false" customHeight="true" outlineLevel="0" collapsed="false">
      <c r="J788" s="14" t="b">
        <f aca="false">IF(중복검사!$A786="",FALSE(),중복검사!$H786="중복")</f>
        <v>0</v>
      </c>
      <c r="K788" s="5" t="str">
        <f aca="false">IF($J788=FALSE(),"",COUNTIF($J$6:$J788,TRUE()))</f>
        <v/>
      </c>
      <c r="L788" s="5" t="str">
        <f aca="false">IF($K788="","","R"&amp;$K788)</f>
        <v/>
      </c>
    </row>
    <row r="789" customFormat="false" ht="15" hidden="false" customHeight="true" outlineLevel="0" collapsed="false">
      <c r="J789" s="14" t="b">
        <f aca="false">IF(중복검사!$A787="",FALSE(),중복검사!$H787="중복")</f>
        <v>0</v>
      </c>
      <c r="K789" s="5" t="str">
        <f aca="false">IF($J789=FALSE(),"",COUNTIF($J$6:$J789,TRUE()))</f>
        <v/>
      </c>
      <c r="L789" s="5" t="str">
        <f aca="false">IF($K789="","","R"&amp;$K789)</f>
        <v/>
      </c>
    </row>
    <row r="790" customFormat="false" ht="15" hidden="false" customHeight="true" outlineLevel="0" collapsed="false">
      <c r="J790" s="14" t="b">
        <f aca="false">IF(중복검사!$A788="",FALSE(),중복검사!$H788="중복")</f>
        <v>0</v>
      </c>
      <c r="K790" s="5" t="str">
        <f aca="false">IF($J790=FALSE(),"",COUNTIF($J$6:$J790,TRUE()))</f>
        <v/>
      </c>
      <c r="L790" s="5" t="str">
        <f aca="false">IF($K790="","","R"&amp;$K790)</f>
        <v/>
      </c>
    </row>
    <row r="791" customFormat="false" ht="15" hidden="false" customHeight="true" outlineLevel="0" collapsed="false">
      <c r="J791" s="14" t="b">
        <f aca="false">IF(중복검사!$A789="",FALSE(),중복검사!$H789="중복")</f>
        <v>0</v>
      </c>
      <c r="K791" s="5" t="str">
        <f aca="false">IF($J791=FALSE(),"",COUNTIF($J$6:$J791,TRUE()))</f>
        <v/>
      </c>
      <c r="L791" s="5" t="str">
        <f aca="false">IF($K791="","","R"&amp;$K791)</f>
        <v/>
      </c>
    </row>
    <row r="792" customFormat="false" ht="15" hidden="false" customHeight="true" outlineLevel="0" collapsed="false">
      <c r="J792" s="14" t="b">
        <f aca="false">IF(중복검사!$A790="",FALSE(),중복검사!$H790="중복")</f>
        <v>0</v>
      </c>
      <c r="K792" s="5" t="str">
        <f aca="false">IF($J792=FALSE(),"",COUNTIF($J$6:$J792,TRUE()))</f>
        <v/>
      </c>
      <c r="L792" s="5" t="str">
        <f aca="false">IF($K792="","","R"&amp;$K792)</f>
        <v/>
      </c>
    </row>
    <row r="793" customFormat="false" ht="15" hidden="false" customHeight="true" outlineLevel="0" collapsed="false">
      <c r="J793" s="14" t="b">
        <f aca="false">IF(중복검사!$A791="",FALSE(),중복검사!$H791="중복")</f>
        <v>0</v>
      </c>
      <c r="K793" s="5" t="str">
        <f aca="false">IF($J793=FALSE(),"",COUNTIF($J$6:$J793,TRUE()))</f>
        <v/>
      </c>
      <c r="L793" s="5" t="str">
        <f aca="false">IF($K793="","","R"&amp;$K793)</f>
        <v/>
      </c>
    </row>
    <row r="794" customFormat="false" ht="15" hidden="false" customHeight="true" outlineLevel="0" collapsed="false">
      <c r="J794" s="14" t="b">
        <f aca="false">IF(중복검사!$A792="",FALSE(),중복검사!$H792="중복")</f>
        <v>0</v>
      </c>
      <c r="K794" s="5" t="str">
        <f aca="false">IF($J794=FALSE(),"",COUNTIF($J$6:$J794,TRUE()))</f>
        <v/>
      </c>
      <c r="L794" s="5" t="str">
        <f aca="false">IF($K794="","","R"&amp;$K794)</f>
        <v/>
      </c>
    </row>
    <row r="795" customFormat="false" ht="15" hidden="false" customHeight="true" outlineLevel="0" collapsed="false">
      <c r="J795" s="14" t="b">
        <f aca="false">IF(중복검사!$A793="",FALSE(),중복검사!$H793="중복")</f>
        <v>0</v>
      </c>
      <c r="K795" s="5" t="str">
        <f aca="false">IF($J795=FALSE(),"",COUNTIF($J$6:$J795,TRUE()))</f>
        <v/>
      </c>
      <c r="L795" s="5" t="str">
        <f aca="false">IF($K795="","","R"&amp;$K795)</f>
        <v/>
      </c>
    </row>
    <row r="796" customFormat="false" ht="15" hidden="false" customHeight="true" outlineLevel="0" collapsed="false">
      <c r="J796" s="14" t="b">
        <f aca="false">IF(중복검사!$A794="",FALSE(),중복검사!$H794="중복")</f>
        <v>0</v>
      </c>
      <c r="K796" s="5" t="str">
        <f aca="false">IF($J796=FALSE(),"",COUNTIF($J$6:$J796,TRUE()))</f>
        <v/>
      </c>
      <c r="L796" s="5" t="str">
        <f aca="false">IF($K796="","","R"&amp;$K796)</f>
        <v/>
      </c>
    </row>
    <row r="797" customFormat="false" ht="15" hidden="false" customHeight="true" outlineLevel="0" collapsed="false">
      <c r="J797" s="14" t="b">
        <f aca="false">IF(중복검사!$A795="",FALSE(),중복검사!$H795="중복")</f>
        <v>0</v>
      </c>
      <c r="K797" s="5" t="str">
        <f aca="false">IF($J797=FALSE(),"",COUNTIF($J$6:$J797,TRUE()))</f>
        <v/>
      </c>
      <c r="L797" s="5" t="str">
        <f aca="false">IF($K797="","","R"&amp;$K797)</f>
        <v/>
      </c>
    </row>
    <row r="798" customFormat="false" ht="15" hidden="false" customHeight="true" outlineLevel="0" collapsed="false">
      <c r="J798" s="14" t="b">
        <f aca="false">IF(중복검사!$A796="",FALSE(),중복검사!$H796="중복")</f>
        <v>0</v>
      </c>
      <c r="K798" s="5" t="str">
        <f aca="false">IF($J798=FALSE(),"",COUNTIF($J$6:$J798,TRUE()))</f>
        <v/>
      </c>
      <c r="L798" s="5" t="str">
        <f aca="false">IF($K798="","","R"&amp;$K798)</f>
        <v/>
      </c>
    </row>
    <row r="799" customFormat="false" ht="15" hidden="false" customHeight="true" outlineLevel="0" collapsed="false">
      <c r="J799" s="14" t="b">
        <f aca="false">IF(중복검사!$A797="",FALSE(),중복검사!$H797="중복")</f>
        <v>0</v>
      </c>
      <c r="K799" s="5" t="str">
        <f aca="false">IF($J799=FALSE(),"",COUNTIF($J$6:$J799,TRUE()))</f>
        <v/>
      </c>
      <c r="L799" s="5" t="str">
        <f aca="false">IF($K799="","","R"&amp;$K799)</f>
        <v/>
      </c>
    </row>
    <row r="800" customFormat="false" ht="15" hidden="false" customHeight="true" outlineLevel="0" collapsed="false">
      <c r="J800" s="14" t="b">
        <f aca="false">IF(중복검사!$A798="",FALSE(),중복검사!$H798="중복")</f>
        <v>0</v>
      </c>
      <c r="K800" s="5" t="str">
        <f aca="false">IF($J800=FALSE(),"",COUNTIF($J$6:$J800,TRUE()))</f>
        <v/>
      </c>
      <c r="L800" s="5" t="str">
        <f aca="false">IF($K800="","","R"&amp;$K800)</f>
        <v/>
      </c>
    </row>
    <row r="801" customFormat="false" ht="15" hidden="false" customHeight="true" outlineLevel="0" collapsed="false">
      <c r="J801" s="14" t="b">
        <f aca="false">IF(중복검사!$A799="",FALSE(),중복검사!$H799="중복")</f>
        <v>0</v>
      </c>
      <c r="K801" s="5" t="str">
        <f aca="false">IF($J801=FALSE(),"",COUNTIF($J$6:$J801,TRUE()))</f>
        <v/>
      </c>
      <c r="L801" s="5" t="str">
        <f aca="false">IF($K801="","","R"&amp;$K801)</f>
        <v/>
      </c>
    </row>
    <row r="802" customFormat="false" ht="15" hidden="false" customHeight="true" outlineLevel="0" collapsed="false">
      <c r="J802" s="14" t="b">
        <f aca="false">IF(중복검사!$A800="",FALSE(),중복검사!$H800="중복")</f>
        <v>0</v>
      </c>
      <c r="K802" s="5" t="str">
        <f aca="false">IF($J802=FALSE(),"",COUNTIF($J$6:$J802,TRUE()))</f>
        <v/>
      </c>
      <c r="L802" s="5" t="str">
        <f aca="false">IF($K802="","","R"&amp;$K802)</f>
        <v/>
      </c>
    </row>
    <row r="803" customFormat="false" ht="15" hidden="false" customHeight="true" outlineLevel="0" collapsed="false">
      <c r="J803" s="14" t="b">
        <f aca="false">IF(중복검사!$A801="",FALSE(),중복검사!$H801="중복")</f>
        <v>0</v>
      </c>
      <c r="K803" s="5" t="str">
        <f aca="false">IF($J803=FALSE(),"",COUNTIF($J$6:$J803,TRUE()))</f>
        <v/>
      </c>
      <c r="L803" s="5" t="str">
        <f aca="false">IF($K803="","","R"&amp;$K803)</f>
        <v/>
      </c>
    </row>
    <row r="804" customFormat="false" ht="15" hidden="false" customHeight="true" outlineLevel="0" collapsed="false">
      <c r="J804" s="14" t="b">
        <f aca="false">IF(중복검사!$A802="",FALSE(),중복검사!$H802="중복")</f>
        <v>0</v>
      </c>
      <c r="K804" s="5" t="str">
        <f aca="false">IF($J804=FALSE(),"",COUNTIF($J$6:$J804,TRUE()))</f>
        <v/>
      </c>
      <c r="L804" s="5" t="str">
        <f aca="false">IF($K804="","","R"&amp;$K804)</f>
        <v/>
      </c>
    </row>
    <row r="805" customFormat="false" ht="15" hidden="false" customHeight="true" outlineLevel="0" collapsed="false">
      <c r="J805" s="14" t="b">
        <f aca="false">IF(중복검사!$A803="",FALSE(),중복검사!$H803="중복")</f>
        <v>0</v>
      </c>
      <c r="K805" s="5" t="str">
        <f aca="false">IF($J805=FALSE(),"",COUNTIF($J$6:$J805,TRUE()))</f>
        <v/>
      </c>
      <c r="L805" s="5" t="str">
        <f aca="false">IF($K805="","","R"&amp;$K805)</f>
        <v/>
      </c>
    </row>
    <row r="806" customFormat="false" ht="15" hidden="false" customHeight="true" outlineLevel="0" collapsed="false">
      <c r="J806" s="14" t="b">
        <f aca="false">IF(중복검사!$A804="",FALSE(),중복검사!$H804="중복")</f>
        <v>0</v>
      </c>
      <c r="K806" s="5" t="str">
        <f aca="false">IF($J806=FALSE(),"",COUNTIF($J$6:$J806,TRUE()))</f>
        <v/>
      </c>
      <c r="L806" s="5" t="str">
        <f aca="false">IF($K806="","","R"&amp;$K806)</f>
        <v/>
      </c>
    </row>
    <row r="807" customFormat="false" ht="15" hidden="false" customHeight="true" outlineLevel="0" collapsed="false">
      <c r="J807" s="14" t="b">
        <f aca="false">IF(중복검사!$A805="",FALSE(),중복검사!$H805="중복")</f>
        <v>0</v>
      </c>
      <c r="K807" s="5" t="str">
        <f aca="false">IF($J807=FALSE(),"",COUNTIF($J$6:$J807,TRUE()))</f>
        <v/>
      </c>
      <c r="L807" s="5" t="str">
        <f aca="false">IF($K807="","","R"&amp;$K807)</f>
        <v/>
      </c>
    </row>
    <row r="808" customFormat="false" ht="15" hidden="false" customHeight="true" outlineLevel="0" collapsed="false">
      <c r="J808" s="14" t="b">
        <f aca="false">IF(중복검사!$A806="",FALSE(),중복검사!$H806="중복")</f>
        <v>0</v>
      </c>
      <c r="K808" s="5" t="str">
        <f aca="false">IF($J808=FALSE(),"",COUNTIF($J$6:$J808,TRUE()))</f>
        <v/>
      </c>
      <c r="L808" s="5" t="str">
        <f aca="false">IF($K808="","","R"&amp;$K808)</f>
        <v/>
      </c>
    </row>
    <row r="809" customFormat="false" ht="15" hidden="false" customHeight="true" outlineLevel="0" collapsed="false">
      <c r="J809" s="14" t="b">
        <f aca="false">IF(중복검사!$A807="",FALSE(),중복검사!$H807="중복")</f>
        <v>0</v>
      </c>
      <c r="K809" s="5" t="str">
        <f aca="false">IF($J809=FALSE(),"",COUNTIF($J$6:$J809,TRUE()))</f>
        <v/>
      </c>
      <c r="L809" s="5" t="str">
        <f aca="false">IF($K809="","","R"&amp;$K809)</f>
        <v/>
      </c>
    </row>
    <row r="810" customFormat="false" ht="15" hidden="false" customHeight="true" outlineLevel="0" collapsed="false">
      <c r="J810" s="14" t="b">
        <f aca="false">IF(중복검사!$A808="",FALSE(),중복검사!$H808="중복")</f>
        <v>0</v>
      </c>
      <c r="K810" s="5" t="str">
        <f aca="false">IF($J810=FALSE(),"",COUNTIF($J$6:$J810,TRUE()))</f>
        <v/>
      </c>
      <c r="L810" s="5" t="str">
        <f aca="false">IF($K810="","","R"&amp;$K810)</f>
        <v/>
      </c>
    </row>
    <row r="811" customFormat="false" ht="15" hidden="false" customHeight="true" outlineLevel="0" collapsed="false">
      <c r="J811" s="14" t="b">
        <f aca="false">IF(중복검사!$A809="",FALSE(),중복검사!$H809="중복")</f>
        <v>0</v>
      </c>
      <c r="K811" s="5" t="str">
        <f aca="false">IF($J811=FALSE(),"",COUNTIF($J$6:$J811,TRUE()))</f>
        <v/>
      </c>
      <c r="L811" s="5" t="str">
        <f aca="false">IF($K811="","","R"&amp;$K811)</f>
        <v/>
      </c>
    </row>
    <row r="812" customFormat="false" ht="15" hidden="false" customHeight="true" outlineLevel="0" collapsed="false">
      <c r="J812" s="14" t="b">
        <f aca="false">IF(중복검사!$A810="",FALSE(),중복검사!$H810="중복")</f>
        <v>0</v>
      </c>
      <c r="K812" s="5" t="str">
        <f aca="false">IF($J812=FALSE(),"",COUNTIF($J$6:$J812,TRUE()))</f>
        <v/>
      </c>
      <c r="L812" s="5" t="str">
        <f aca="false">IF($K812="","","R"&amp;$K812)</f>
        <v/>
      </c>
    </row>
    <row r="813" customFormat="false" ht="15" hidden="false" customHeight="true" outlineLevel="0" collapsed="false">
      <c r="J813" s="14" t="b">
        <f aca="false">IF(중복검사!$A811="",FALSE(),중복검사!$H811="중복")</f>
        <v>0</v>
      </c>
      <c r="K813" s="5" t="str">
        <f aca="false">IF($J813=FALSE(),"",COUNTIF($J$6:$J813,TRUE()))</f>
        <v/>
      </c>
      <c r="L813" s="5" t="str">
        <f aca="false">IF($K813="","","R"&amp;$K813)</f>
        <v/>
      </c>
    </row>
    <row r="814" customFormat="false" ht="15" hidden="false" customHeight="true" outlineLevel="0" collapsed="false">
      <c r="J814" s="14" t="b">
        <f aca="false">IF(중복검사!$A812="",FALSE(),중복검사!$H812="중복")</f>
        <v>0</v>
      </c>
      <c r="K814" s="5" t="str">
        <f aca="false">IF($J814=FALSE(),"",COUNTIF($J$6:$J814,TRUE()))</f>
        <v/>
      </c>
      <c r="L814" s="5" t="str">
        <f aca="false">IF($K814="","","R"&amp;$K814)</f>
        <v/>
      </c>
    </row>
    <row r="815" customFormat="false" ht="15" hidden="false" customHeight="true" outlineLevel="0" collapsed="false">
      <c r="J815" s="14" t="b">
        <f aca="false">IF(중복검사!$A813="",FALSE(),중복검사!$H813="중복")</f>
        <v>0</v>
      </c>
      <c r="K815" s="5" t="str">
        <f aca="false">IF($J815=FALSE(),"",COUNTIF($J$6:$J815,TRUE()))</f>
        <v/>
      </c>
      <c r="L815" s="5" t="str">
        <f aca="false">IF($K815="","","R"&amp;$K815)</f>
        <v/>
      </c>
    </row>
    <row r="816" customFormat="false" ht="15" hidden="false" customHeight="true" outlineLevel="0" collapsed="false">
      <c r="J816" s="14" t="b">
        <f aca="false">IF(중복검사!$A814="",FALSE(),중복검사!$H814="중복")</f>
        <v>0</v>
      </c>
      <c r="K816" s="5" t="str">
        <f aca="false">IF($J816=FALSE(),"",COUNTIF($J$6:$J816,TRUE()))</f>
        <v/>
      </c>
      <c r="L816" s="5" t="str">
        <f aca="false">IF($K816="","","R"&amp;$K816)</f>
        <v/>
      </c>
    </row>
    <row r="817" customFormat="false" ht="15" hidden="false" customHeight="true" outlineLevel="0" collapsed="false">
      <c r="J817" s="14" t="b">
        <f aca="false">IF(중복검사!$A815="",FALSE(),중복검사!$H815="중복")</f>
        <v>0</v>
      </c>
      <c r="K817" s="5" t="str">
        <f aca="false">IF($J817=FALSE(),"",COUNTIF($J$6:$J817,TRUE()))</f>
        <v/>
      </c>
      <c r="L817" s="5" t="str">
        <f aca="false">IF($K817="","","R"&amp;$K817)</f>
        <v/>
      </c>
    </row>
    <row r="818" customFormat="false" ht="15" hidden="false" customHeight="true" outlineLevel="0" collapsed="false">
      <c r="J818" s="14" t="b">
        <f aca="false">IF(중복검사!$A816="",FALSE(),중복검사!$H816="중복")</f>
        <v>0</v>
      </c>
      <c r="K818" s="5" t="str">
        <f aca="false">IF($J818=FALSE(),"",COUNTIF($J$6:$J818,TRUE()))</f>
        <v/>
      </c>
      <c r="L818" s="5" t="str">
        <f aca="false">IF($K818="","","R"&amp;$K818)</f>
        <v/>
      </c>
    </row>
    <row r="819" customFormat="false" ht="15" hidden="false" customHeight="true" outlineLevel="0" collapsed="false">
      <c r="J819" s="14" t="b">
        <f aca="false">IF(중복검사!$A817="",FALSE(),중복검사!$H817="중복")</f>
        <v>0</v>
      </c>
      <c r="K819" s="5" t="str">
        <f aca="false">IF($J819=FALSE(),"",COUNTIF($J$6:$J819,TRUE()))</f>
        <v/>
      </c>
      <c r="L819" s="5" t="str">
        <f aca="false">IF($K819="","","R"&amp;$K819)</f>
        <v/>
      </c>
    </row>
    <row r="820" customFormat="false" ht="15" hidden="false" customHeight="true" outlineLevel="0" collapsed="false">
      <c r="J820" s="14" t="b">
        <f aca="false">IF(중복검사!$A818="",FALSE(),중복검사!$H818="중복")</f>
        <v>0</v>
      </c>
      <c r="K820" s="5" t="str">
        <f aca="false">IF($J820=FALSE(),"",COUNTIF($J$6:$J820,TRUE()))</f>
        <v/>
      </c>
      <c r="L820" s="5" t="str">
        <f aca="false">IF($K820="","","R"&amp;$K820)</f>
        <v/>
      </c>
    </row>
    <row r="821" customFormat="false" ht="15" hidden="false" customHeight="true" outlineLevel="0" collapsed="false">
      <c r="J821" s="14" t="b">
        <f aca="false">IF(중복검사!$A819="",FALSE(),중복검사!$H819="중복")</f>
        <v>0</v>
      </c>
      <c r="K821" s="5" t="str">
        <f aca="false">IF($J821=FALSE(),"",COUNTIF($J$6:$J821,TRUE()))</f>
        <v/>
      </c>
      <c r="L821" s="5" t="str">
        <f aca="false">IF($K821="","","R"&amp;$K821)</f>
        <v/>
      </c>
    </row>
    <row r="822" customFormat="false" ht="15" hidden="false" customHeight="true" outlineLevel="0" collapsed="false">
      <c r="J822" s="14" t="b">
        <f aca="false">IF(중복검사!$A820="",FALSE(),중복검사!$H820="중복")</f>
        <v>0</v>
      </c>
      <c r="K822" s="5" t="str">
        <f aca="false">IF($J822=FALSE(),"",COUNTIF($J$6:$J822,TRUE()))</f>
        <v/>
      </c>
      <c r="L822" s="5" t="str">
        <f aca="false">IF($K822="","","R"&amp;$K822)</f>
        <v/>
      </c>
    </row>
    <row r="823" customFormat="false" ht="15" hidden="false" customHeight="true" outlineLevel="0" collapsed="false">
      <c r="J823" s="14" t="b">
        <f aca="false">IF(중복검사!$A821="",FALSE(),중복검사!$H821="중복")</f>
        <v>0</v>
      </c>
      <c r="K823" s="5" t="str">
        <f aca="false">IF($J823=FALSE(),"",COUNTIF($J$6:$J823,TRUE()))</f>
        <v/>
      </c>
      <c r="L823" s="5" t="str">
        <f aca="false">IF($K823="","","R"&amp;$K823)</f>
        <v/>
      </c>
    </row>
    <row r="824" customFormat="false" ht="15" hidden="false" customHeight="true" outlineLevel="0" collapsed="false">
      <c r="J824" s="14" t="b">
        <f aca="false">IF(중복검사!$A822="",FALSE(),중복검사!$H822="중복")</f>
        <v>0</v>
      </c>
      <c r="K824" s="5" t="str">
        <f aca="false">IF($J824=FALSE(),"",COUNTIF($J$6:$J824,TRUE()))</f>
        <v/>
      </c>
      <c r="L824" s="5" t="str">
        <f aca="false">IF($K824="","","R"&amp;$K824)</f>
        <v/>
      </c>
    </row>
    <row r="825" customFormat="false" ht="15" hidden="false" customHeight="true" outlineLevel="0" collapsed="false">
      <c r="J825" s="14" t="b">
        <f aca="false">IF(중복검사!$A823="",FALSE(),중복검사!$H823="중복")</f>
        <v>0</v>
      </c>
      <c r="K825" s="5" t="str">
        <f aca="false">IF($J825=FALSE(),"",COUNTIF($J$6:$J825,TRUE()))</f>
        <v/>
      </c>
      <c r="L825" s="5" t="str">
        <f aca="false">IF($K825="","","R"&amp;$K825)</f>
        <v/>
      </c>
    </row>
    <row r="826" customFormat="false" ht="15" hidden="false" customHeight="true" outlineLevel="0" collapsed="false">
      <c r="J826" s="14" t="b">
        <f aca="false">IF(중복검사!$A824="",FALSE(),중복검사!$H824="중복")</f>
        <v>0</v>
      </c>
      <c r="K826" s="5" t="str">
        <f aca="false">IF($J826=FALSE(),"",COUNTIF($J$6:$J826,TRUE()))</f>
        <v/>
      </c>
      <c r="L826" s="5" t="str">
        <f aca="false">IF($K826="","","R"&amp;$K826)</f>
        <v/>
      </c>
    </row>
    <row r="827" customFormat="false" ht="15" hidden="false" customHeight="true" outlineLevel="0" collapsed="false">
      <c r="J827" s="14" t="b">
        <f aca="false">IF(중복검사!$A825="",FALSE(),중복검사!$H825="중복")</f>
        <v>0</v>
      </c>
      <c r="K827" s="5" t="str">
        <f aca="false">IF($J827=FALSE(),"",COUNTIF($J$6:$J827,TRUE()))</f>
        <v/>
      </c>
      <c r="L827" s="5" t="str">
        <f aca="false">IF($K827="","","R"&amp;$K827)</f>
        <v/>
      </c>
    </row>
    <row r="828" customFormat="false" ht="15" hidden="false" customHeight="true" outlineLevel="0" collapsed="false">
      <c r="J828" s="14" t="b">
        <f aca="false">IF(중복검사!$A826="",FALSE(),중복검사!$H826="중복")</f>
        <v>0</v>
      </c>
      <c r="K828" s="5" t="str">
        <f aca="false">IF($J828=FALSE(),"",COUNTIF($J$6:$J828,TRUE()))</f>
        <v/>
      </c>
      <c r="L828" s="5" t="str">
        <f aca="false">IF($K828="","","R"&amp;$K828)</f>
        <v/>
      </c>
    </row>
    <row r="829" customFormat="false" ht="15" hidden="false" customHeight="true" outlineLevel="0" collapsed="false">
      <c r="J829" s="14" t="b">
        <f aca="false">IF(중복검사!$A827="",FALSE(),중복검사!$H827="중복")</f>
        <v>0</v>
      </c>
      <c r="K829" s="5" t="str">
        <f aca="false">IF($J829=FALSE(),"",COUNTIF($J$6:$J829,TRUE()))</f>
        <v/>
      </c>
      <c r="L829" s="5" t="str">
        <f aca="false">IF($K829="","","R"&amp;$K829)</f>
        <v/>
      </c>
    </row>
    <row r="830" customFormat="false" ht="15" hidden="false" customHeight="true" outlineLevel="0" collapsed="false">
      <c r="J830" s="14" t="b">
        <f aca="false">IF(중복검사!$A828="",FALSE(),중복검사!$H828="중복")</f>
        <v>0</v>
      </c>
      <c r="K830" s="5" t="str">
        <f aca="false">IF($J830=FALSE(),"",COUNTIF($J$6:$J830,TRUE()))</f>
        <v/>
      </c>
      <c r="L830" s="5" t="str">
        <f aca="false">IF($K830="","","R"&amp;$K830)</f>
        <v/>
      </c>
    </row>
    <row r="831" customFormat="false" ht="15" hidden="false" customHeight="true" outlineLevel="0" collapsed="false">
      <c r="J831" s="14" t="b">
        <f aca="false">IF(중복검사!$A829="",FALSE(),중복검사!$H829="중복")</f>
        <v>0</v>
      </c>
      <c r="K831" s="5" t="str">
        <f aca="false">IF($J831=FALSE(),"",COUNTIF($J$6:$J831,TRUE()))</f>
        <v/>
      </c>
      <c r="L831" s="5" t="str">
        <f aca="false">IF($K831="","","R"&amp;$K831)</f>
        <v/>
      </c>
    </row>
    <row r="832" customFormat="false" ht="15" hidden="false" customHeight="true" outlineLevel="0" collapsed="false">
      <c r="J832" s="14" t="b">
        <f aca="false">IF(중복검사!$A830="",FALSE(),중복검사!$H830="중복")</f>
        <v>0</v>
      </c>
      <c r="K832" s="5" t="str">
        <f aca="false">IF($J832=FALSE(),"",COUNTIF($J$6:$J832,TRUE()))</f>
        <v/>
      </c>
      <c r="L832" s="5" t="str">
        <f aca="false">IF($K832="","","R"&amp;$K832)</f>
        <v/>
      </c>
    </row>
    <row r="833" customFormat="false" ht="15" hidden="false" customHeight="true" outlineLevel="0" collapsed="false">
      <c r="J833" s="14" t="b">
        <f aca="false">IF(중복검사!$A831="",FALSE(),중복검사!$H831="중복")</f>
        <v>0</v>
      </c>
      <c r="K833" s="5" t="str">
        <f aca="false">IF($J833=FALSE(),"",COUNTIF($J$6:$J833,TRUE()))</f>
        <v/>
      </c>
      <c r="L833" s="5" t="str">
        <f aca="false">IF($K833="","","R"&amp;$K833)</f>
        <v/>
      </c>
    </row>
    <row r="834" customFormat="false" ht="15" hidden="false" customHeight="true" outlineLevel="0" collapsed="false">
      <c r="J834" s="14" t="b">
        <f aca="false">IF(중복검사!$A832="",FALSE(),중복검사!$H832="중복")</f>
        <v>0</v>
      </c>
      <c r="K834" s="5" t="str">
        <f aca="false">IF($J834=FALSE(),"",COUNTIF($J$6:$J834,TRUE()))</f>
        <v/>
      </c>
      <c r="L834" s="5" t="str">
        <f aca="false">IF($K834="","","R"&amp;$K834)</f>
        <v/>
      </c>
    </row>
    <row r="835" customFormat="false" ht="15" hidden="false" customHeight="true" outlineLevel="0" collapsed="false">
      <c r="J835" s="14" t="b">
        <f aca="false">IF(중복검사!$A833="",FALSE(),중복검사!$H833="중복")</f>
        <v>0</v>
      </c>
      <c r="K835" s="5" t="str">
        <f aca="false">IF($J835=FALSE(),"",COUNTIF($J$6:$J835,TRUE()))</f>
        <v/>
      </c>
      <c r="L835" s="5" t="str">
        <f aca="false">IF($K835="","","R"&amp;$K835)</f>
        <v/>
      </c>
    </row>
    <row r="836" customFormat="false" ht="15" hidden="false" customHeight="true" outlineLevel="0" collapsed="false">
      <c r="J836" s="14" t="b">
        <f aca="false">IF(중복검사!$A834="",FALSE(),중복검사!$H834="중복")</f>
        <v>0</v>
      </c>
      <c r="K836" s="5" t="str">
        <f aca="false">IF($J836=FALSE(),"",COUNTIF($J$6:$J836,TRUE()))</f>
        <v/>
      </c>
      <c r="L836" s="5" t="str">
        <f aca="false">IF($K836="","","R"&amp;$K836)</f>
        <v/>
      </c>
    </row>
    <row r="837" customFormat="false" ht="15" hidden="false" customHeight="true" outlineLevel="0" collapsed="false">
      <c r="J837" s="14" t="b">
        <f aca="false">IF(중복검사!$A835="",FALSE(),중복검사!$H835="중복")</f>
        <v>0</v>
      </c>
      <c r="K837" s="5" t="str">
        <f aca="false">IF($J837=FALSE(),"",COUNTIF($J$6:$J837,TRUE()))</f>
        <v/>
      </c>
      <c r="L837" s="5" t="str">
        <f aca="false">IF($K837="","","R"&amp;$K837)</f>
        <v/>
      </c>
    </row>
    <row r="838" customFormat="false" ht="15" hidden="false" customHeight="true" outlineLevel="0" collapsed="false">
      <c r="J838" s="14" t="b">
        <f aca="false">IF(중복검사!$A836="",FALSE(),중복검사!$H836="중복")</f>
        <v>0</v>
      </c>
      <c r="K838" s="5" t="str">
        <f aca="false">IF($J838=FALSE(),"",COUNTIF($J$6:$J838,TRUE()))</f>
        <v/>
      </c>
      <c r="L838" s="5" t="str">
        <f aca="false">IF($K838="","","R"&amp;$K838)</f>
        <v/>
      </c>
    </row>
    <row r="839" customFormat="false" ht="15" hidden="false" customHeight="true" outlineLevel="0" collapsed="false">
      <c r="J839" s="14" t="b">
        <f aca="false">IF(중복검사!$A837="",FALSE(),중복검사!$H837="중복")</f>
        <v>0</v>
      </c>
      <c r="K839" s="5" t="str">
        <f aca="false">IF($J839=FALSE(),"",COUNTIF($J$6:$J839,TRUE()))</f>
        <v/>
      </c>
      <c r="L839" s="5" t="str">
        <f aca="false">IF($K839="","","R"&amp;$K839)</f>
        <v/>
      </c>
    </row>
    <row r="840" customFormat="false" ht="15" hidden="false" customHeight="true" outlineLevel="0" collapsed="false">
      <c r="J840" s="14" t="b">
        <f aca="false">IF(중복검사!$A838="",FALSE(),중복검사!$H838="중복")</f>
        <v>0</v>
      </c>
      <c r="K840" s="5" t="str">
        <f aca="false">IF($J840=FALSE(),"",COUNTIF($J$6:$J840,TRUE()))</f>
        <v/>
      </c>
      <c r="L840" s="5" t="str">
        <f aca="false">IF($K840="","","R"&amp;$K840)</f>
        <v/>
      </c>
    </row>
    <row r="841" customFormat="false" ht="15" hidden="false" customHeight="true" outlineLevel="0" collapsed="false">
      <c r="J841" s="14" t="b">
        <f aca="false">IF(중복검사!$A839="",FALSE(),중복검사!$H839="중복")</f>
        <v>0</v>
      </c>
      <c r="K841" s="5" t="str">
        <f aca="false">IF($J841=FALSE(),"",COUNTIF($J$6:$J841,TRUE()))</f>
        <v/>
      </c>
      <c r="L841" s="5" t="str">
        <f aca="false">IF($K841="","","R"&amp;$K841)</f>
        <v/>
      </c>
    </row>
    <row r="842" customFormat="false" ht="15" hidden="false" customHeight="true" outlineLevel="0" collapsed="false">
      <c r="J842" s="14" t="b">
        <f aca="false">IF(중복검사!$A840="",FALSE(),중복검사!$H840="중복")</f>
        <v>0</v>
      </c>
      <c r="K842" s="5" t="str">
        <f aca="false">IF($J842=FALSE(),"",COUNTIF($J$6:$J842,TRUE()))</f>
        <v/>
      </c>
      <c r="L842" s="5" t="str">
        <f aca="false">IF($K842="","","R"&amp;$K842)</f>
        <v/>
      </c>
    </row>
    <row r="843" customFormat="false" ht="15" hidden="false" customHeight="true" outlineLevel="0" collapsed="false">
      <c r="J843" s="14" t="b">
        <f aca="false">IF(중복검사!$A841="",FALSE(),중복검사!$H841="중복")</f>
        <v>0</v>
      </c>
      <c r="K843" s="5" t="str">
        <f aca="false">IF($J843=FALSE(),"",COUNTIF($J$6:$J843,TRUE()))</f>
        <v/>
      </c>
      <c r="L843" s="5" t="str">
        <f aca="false">IF($K843="","","R"&amp;$K843)</f>
        <v/>
      </c>
    </row>
    <row r="844" customFormat="false" ht="15" hidden="false" customHeight="true" outlineLevel="0" collapsed="false">
      <c r="J844" s="14" t="b">
        <f aca="false">IF(중복검사!$A842="",FALSE(),중복검사!$H842="중복")</f>
        <v>0</v>
      </c>
      <c r="K844" s="5" t="str">
        <f aca="false">IF($J844=FALSE(),"",COUNTIF($J$6:$J844,TRUE()))</f>
        <v/>
      </c>
      <c r="L844" s="5" t="str">
        <f aca="false">IF($K844="","","R"&amp;$K844)</f>
        <v/>
      </c>
    </row>
    <row r="845" customFormat="false" ht="15" hidden="false" customHeight="true" outlineLevel="0" collapsed="false">
      <c r="J845" s="14" t="b">
        <f aca="false">IF(중복검사!$A843="",FALSE(),중복검사!$H843="중복")</f>
        <v>0</v>
      </c>
      <c r="K845" s="5" t="str">
        <f aca="false">IF($J845=FALSE(),"",COUNTIF($J$6:$J845,TRUE()))</f>
        <v/>
      </c>
      <c r="L845" s="5" t="str">
        <f aca="false">IF($K845="","","R"&amp;$K845)</f>
        <v/>
      </c>
    </row>
    <row r="846" customFormat="false" ht="15" hidden="false" customHeight="true" outlineLevel="0" collapsed="false">
      <c r="J846" s="14" t="b">
        <f aca="false">IF(중복검사!$A844="",FALSE(),중복검사!$H844="중복")</f>
        <v>0</v>
      </c>
      <c r="K846" s="5" t="str">
        <f aca="false">IF($J846=FALSE(),"",COUNTIF($J$6:$J846,TRUE()))</f>
        <v/>
      </c>
      <c r="L846" s="5" t="str">
        <f aca="false">IF($K846="","","R"&amp;$K846)</f>
        <v/>
      </c>
    </row>
    <row r="847" customFormat="false" ht="15" hidden="false" customHeight="true" outlineLevel="0" collapsed="false">
      <c r="J847" s="14" t="b">
        <f aca="false">IF(중복검사!$A845="",FALSE(),중복검사!$H845="중복")</f>
        <v>0</v>
      </c>
      <c r="K847" s="5" t="str">
        <f aca="false">IF($J847=FALSE(),"",COUNTIF($J$6:$J847,TRUE()))</f>
        <v/>
      </c>
      <c r="L847" s="5" t="str">
        <f aca="false">IF($K847="","","R"&amp;$K847)</f>
        <v/>
      </c>
    </row>
    <row r="848" customFormat="false" ht="15" hidden="false" customHeight="true" outlineLevel="0" collapsed="false">
      <c r="J848" s="14" t="b">
        <f aca="false">IF(중복검사!$A846="",FALSE(),중복검사!$H846="중복")</f>
        <v>0</v>
      </c>
      <c r="K848" s="5" t="str">
        <f aca="false">IF($J848=FALSE(),"",COUNTIF($J$6:$J848,TRUE()))</f>
        <v/>
      </c>
      <c r="L848" s="5" t="str">
        <f aca="false">IF($K848="","","R"&amp;$K848)</f>
        <v/>
      </c>
    </row>
    <row r="849" customFormat="false" ht="15" hidden="false" customHeight="true" outlineLevel="0" collapsed="false">
      <c r="J849" s="14" t="b">
        <f aca="false">IF(중복검사!$A847="",FALSE(),중복검사!$H847="중복")</f>
        <v>0</v>
      </c>
      <c r="K849" s="5" t="str">
        <f aca="false">IF($J849=FALSE(),"",COUNTIF($J$6:$J849,TRUE()))</f>
        <v/>
      </c>
      <c r="L849" s="5" t="str">
        <f aca="false">IF($K849="","","R"&amp;$K849)</f>
        <v/>
      </c>
    </row>
    <row r="850" customFormat="false" ht="15" hidden="false" customHeight="true" outlineLevel="0" collapsed="false">
      <c r="J850" s="14" t="b">
        <f aca="false">IF(중복검사!$A848="",FALSE(),중복검사!$H848="중복")</f>
        <v>0</v>
      </c>
      <c r="K850" s="5" t="str">
        <f aca="false">IF($J850=FALSE(),"",COUNTIF($J$6:$J850,TRUE()))</f>
        <v/>
      </c>
      <c r="L850" s="5" t="str">
        <f aca="false">IF($K850="","","R"&amp;$K850)</f>
        <v/>
      </c>
    </row>
    <row r="851" customFormat="false" ht="15" hidden="false" customHeight="true" outlineLevel="0" collapsed="false">
      <c r="J851" s="14" t="b">
        <f aca="false">IF(중복검사!$A849="",FALSE(),중복검사!$H849="중복")</f>
        <v>0</v>
      </c>
      <c r="K851" s="5" t="str">
        <f aca="false">IF($J851=FALSE(),"",COUNTIF($J$6:$J851,TRUE()))</f>
        <v/>
      </c>
      <c r="L851" s="5" t="str">
        <f aca="false">IF($K851="","","R"&amp;$K851)</f>
        <v/>
      </c>
    </row>
    <row r="852" customFormat="false" ht="15" hidden="false" customHeight="true" outlineLevel="0" collapsed="false">
      <c r="J852" s="14" t="b">
        <f aca="false">IF(중복검사!$A850="",FALSE(),중복검사!$H850="중복")</f>
        <v>0</v>
      </c>
      <c r="K852" s="5" t="str">
        <f aca="false">IF($J852=FALSE(),"",COUNTIF($J$6:$J852,TRUE()))</f>
        <v/>
      </c>
      <c r="L852" s="5" t="str">
        <f aca="false">IF($K852="","","R"&amp;$K852)</f>
        <v/>
      </c>
    </row>
    <row r="853" customFormat="false" ht="15" hidden="false" customHeight="true" outlineLevel="0" collapsed="false">
      <c r="J853" s="14" t="b">
        <f aca="false">IF(중복검사!$A851="",FALSE(),중복검사!$H851="중복")</f>
        <v>0</v>
      </c>
      <c r="K853" s="5" t="str">
        <f aca="false">IF($J853=FALSE(),"",COUNTIF($J$6:$J853,TRUE()))</f>
        <v/>
      </c>
      <c r="L853" s="5" t="str">
        <f aca="false">IF($K853="","","R"&amp;$K853)</f>
        <v/>
      </c>
    </row>
    <row r="854" customFormat="false" ht="15" hidden="false" customHeight="true" outlineLevel="0" collapsed="false">
      <c r="J854" s="14" t="b">
        <f aca="false">IF(중복검사!$A852="",FALSE(),중복검사!$H852="중복")</f>
        <v>0</v>
      </c>
      <c r="K854" s="5" t="str">
        <f aca="false">IF($J854=FALSE(),"",COUNTIF($J$6:$J854,TRUE()))</f>
        <v/>
      </c>
      <c r="L854" s="5" t="str">
        <f aca="false">IF($K854="","","R"&amp;$K854)</f>
        <v/>
      </c>
    </row>
    <row r="855" customFormat="false" ht="15" hidden="false" customHeight="true" outlineLevel="0" collapsed="false">
      <c r="J855" s="14" t="b">
        <f aca="false">IF(중복검사!$A853="",FALSE(),중복검사!$H853="중복")</f>
        <v>0</v>
      </c>
      <c r="K855" s="5" t="str">
        <f aca="false">IF($J855=FALSE(),"",COUNTIF($J$6:$J855,TRUE()))</f>
        <v/>
      </c>
      <c r="L855" s="5" t="str">
        <f aca="false">IF($K855="","","R"&amp;$K855)</f>
        <v/>
      </c>
    </row>
    <row r="856" customFormat="false" ht="15" hidden="false" customHeight="true" outlineLevel="0" collapsed="false">
      <c r="J856" s="14" t="b">
        <f aca="false">IF(중복검사!$A854="",FALSE(),중복검사!$H854="중복")</f>
        <v>0</v>
      </c>
      <c r="K856" s="5" t="str">
        <f aca="false">IF($J856=FALSE(),"",COUNTIF($J$6:$J856,TRUE()))</f>
        <v/>
      </c>
      <c r="L856" s="5" t="str">
        <f aca="false">IF($K856="","","R"&amp;$K856)</f>
        <v/>
      </c>
    </row>
    <row r="857" customFormat="false" ht="15" hidden="false" customHeight="true" outlineLevel="0" collapsed="false">
      <c r="J857" s="14" t="b">
        <f aca="false">IF(중복검사!$A855="",FALSE(),중복검사!$H855="중복")</f>
        <v>0</v>
      </c>
      <c r="K857" s="5" t="str">
        <f aca="false">IF($J857=FALSE(),"",COUNTIF($J$6:$J857,TRUE()))</f>
        <v/>
      </c>
      <c r="L857" s="5" t="str">
        <f aca="false">IF($K857="","","R"&amp;$K857)</f>
        <v/>
      </c>
    </row>
    <row r="858" customFormat="false" ht="15" hidden="false" customHeight="true" outlineLevel="0" collapsed="false">
      <c r="J858" s="14" t="b">
        <f aca="false">IF(중복검사!$A856="",FALSE(),중복검사!$H856="중복")</f>
        <v>0</v>
      </c>
      <c r="K858" s="5" t="str">
        <f aca="false">IF($J858=FALSE(),"",COUNTIF($J$6:$J858,TRUE()))</f>
        <v/>
      </c>
      <c r="L858" s="5" t="str">
        <f aca="false">IF($K858="","","R"&amp;$K858)</f>
        <v/>
      </c>
    </row>
    <row r="859" customFormat="false" ht="15" hidden="false" customHeight="true" outlineLevel="0" collapsed="false">
      <c r="J859" s="14" t="b">
        <f aca="false">IF(중복검사!$A857="",FALSE(),중복검사!$H857="중복")</f>
        <v>0</v>
      </c>
      <c r="K859" s="5" t="str">
        <f aca="false">IF($J859=FALSE(),"",COUNTIF($J$6:$J859,TRUE()))</f>
        <v/>
      </c>
      <c r="L859" s="5" t="str">
        <f aca="false">IF($K859="","","R"&amp;$K859)</f>
        <v/>
      </c>
    </row>
    <row r="860" customFormat="false" ht="15" hidden="false" customHeight="true" outlineLevel="0" collapsed="false">
      <c r="J860" s="14" t="b">
        <f aca="false">IF(중복검사!$A858="",FALSE(),중복검사!$H858="중복")</f>
        <v>0</v>
      </c>
      <c r="K860" s="5" t="str">
        <f aca="false">IF($J860=FALSE(),"",COUNTIF($J$6:$J860,TRUE()))</f>
        <v/>
      </c>
      <c r="L860" s="5" t="str">
        <f aca="false">IF($K860="","","R"&amp;$K860)</f>
        <v/>
      </c>
    </row>
    <row r="861" customFormat="false" ht="15" hidden="false" customHeight="true" outlineLevel="0" collapsed="false">
      <c r="J861" s="14" t="b">
        <f aca="false">IF(중복검사!$A859="",FALSE(),중복검사!$H859="중복")</f>
        <v>0</v>
      </c>
      <c r="K861" s="5" t="str">
        <f aca="false">IF($J861=FALSE(),"",COUNTIF($J$6:$J861,TRUE()))</f>
        <v/>
      </c>
      <c r="L861" s="5" t="str">
        <f aca="false">IF($K861="","","R"&amp;$K861)</f>
        <v/>
      </c>
    </row>
    <row r="862" customFormat="false" ht="15" hidden="false" customHeight="true" outlineLevel="0" collapsed="false">
      <c r="J862" s="14" t="b">
        <f aca="false">IF(중복검사!$A860="",FALSE(),중복검사!$H860="중복")</f>
        <v>0</v>
      </c>
      <c r="K862" s="5" t="str">
        <f aca="false">IF($J862=FALSE(),"",COUNTIF($J$6:$J862,TRUE()))</f>
        <v/>
      </c>
      <c r="L862" s="5" t="str">
        <f aca="false">IF($K862="","","R"&amp;$K862)</f>
        <v/>
      </c>
    </row>
    <row r="863" customFormat="false" ht="15" hidden="false" customHeight="true" outlineLevel="0" collapsed="false">
      <c r="J863" s="14" t="b">
        <f aca="false">IF(중복검사!$A861="",FALSE(),중복검사!$H861="중복")</f>
        <v>0</v>
      </c>
      <c r="K863" s="5" t="str">
        <f aca="false">IF($J863=FALSE(),"",COUNTIF($J$6:$J863,TRUE()))</f>
        <v/>
      </c>
      <c r="L863" s="5" t="str">
        <f aca="false">IF($K863="","","R"&amp;$K863)</f>
        <v/>
      </c>
    </row>
    <row r="864" customFormat="false" ht="15" hidden="false" customHeight="true" outlineLevel="0" collapsed="false">
      <c r="J864" s="14" t="b">
        <f aca="false">IF(중복검사!$A862="",FALSE(),중복검사!$H862="중복")</f>
        <v>0</v>
      </c>
      <c r="K864" s="5" t="str">
        <f aca="false">IF($J864=FALSE(),"",COUNTIF($J$6:$J864,TRUE()))</f>
        <v/>
      </c>
      <c r="L864" s="5" t="str">
        <f aca="false">IF($K864="","","R"&amp;$K864)</f>
        <v/>
      </c>
    </row>
    <row r="865" customFormat="false" ht="15" hidden="false" customHeight="true" outlineLevel="0" collapsed="false">
      <c r="J865" s="14" t="b">
        <f aca="false">IF(중복검사!$A863="",FALSE(),중복검사!$H863="중복")</f>
        <v>0</v>
      </c>
      <c r="K865" s="5" t="str">
        <f aca="false">IF($J865=FALSE(),"",COUNTIF($J$6:$J865,TRUE()))</f>
        <v/>
      </c>
      <c r="L865" s="5" t="str">
        <f aca="false">IF($K865="","","R"&amp;$K865)</f>
        <v/>
      </c>
    </row>
    <row r="866" customFormat="false" ht="15" hidden="false" customHeight="true" outlineLevel="0" collapsed="false">
      <c r="J866" s="14" t="b">
        <f aca="false">IF(중복검사!$A864="",FALSE(),중복검사!$H864="중복")</f>
        <v>0</v>
      </c>
      <c r="K866" s="5" t="str">
        <f aca="false">IF($J866=FALSE(),"",COUNTIF($J$6:$J866,TRUE()))</f>
        <v/>
      </c>
      <c r="L866" s="5" t="str">
        <f aca="false">IF($K866="","","R"&amp;$K866)</f>
        <v/>
      </c>
    </row>
    <row r="867" customFormat="false" ht="15" hidden="false" customHeight="true" outlineLevel="0" collapsed="false">
      <c r="J867" s="14" t="b">
        <f aca="false">IF(중복검사!$A865="",FALSE(),중복검사!$H865="중복")</f>
        <v>0</v>
      </c>
      <c r="K867" s="5" t="str">
        <f aca="false">IF($J867=FALSE(),"",COUNTIF($J$6:$J867,TRUE()))</f>
        <v/>
      </c>
      <c r="L867" s="5" t="str">
        <f aca="false">IF($K867="","","R"&amp;$K867)</f>
        <v/>
      </c>
    </row>
    <row r="868" customFormat="false" ht="15" hidden="false" customHeight="true" outlineLevel="0" collapsed="false">
      <c r="J868" s="14" t="b">
        <f aca="false">IF(중복검사!$A866="",FALSE(),중복검사!$H866="중복")</f>
        <v>0</v>
      </c>
      <c r="K868" s="5" t="str">
        <f aca="false">IF($J868=FALSE(),"",COUNTIF($J$6:$J868,TRUE()))</f>
        <v/>
      </c>
      <c r="L868" s="5" t="str">
        <f aca="false">IF($K868="","","R"&amp;$K868)</f>
        <v/>
      </c>
    </row>
    <row r="869" customFormat="false" ht="15" hidden="false" customHeight="true" outlineLevel="0" collapsed="false">
      <c r="J869" s="14" t="b">
        <f aca="false">IF(중복검사!$A867="",FALSE(),중복검사!$H867="중복")</f>
        <v>0</v>
      </c>
      <c r="K869" s="5" t="str">
        <f aca="false">IF($J869=FALSE(),"",COUNTIF($J$6:$J869,TRUE()))</f>
        <v/>
      </c>
      <c r="L869" s="5" t="str">
        <f aca="false">IF($K869="","","R"&amp;$K869)</f>
        <v/>
      </c>
    </row>
    <row r="870" customFormat="false" ht="15" hidden="false" customHeight="true" outlineLevel="0" collapsed="false">
      <c r="J870" s="14" t="b">
        <f aca="false">IF(중복검사!$A868="",FALSE(),중복검사!$H868="중복")</f>
        <v>0</v>
      </c>
      <c r="K870" s="5" t="str">
        <f aca="false">IF($J870=FALSE(),"",COUNTIF($J$6:$J870,TRUE()))</f>
        <v/>
      </c>
      <c r="L870" s="5" t="str">
        <f aca="false">IF($K870="","","R"&amp;$K870)</f>
        <v/>
      </c>
    </row>
    <row r="871" customFormat="false" ht="15" hidden="false" customHeight="true" outlineLevel="0" collapsed="false">
      <c r="J871" s="14" t="b">
        <f aca="false">IF(중복검사!$A869="",FALSE(),중복검사!$H869="중복")</f>
        <v>0</v>
      </c>
      <c r="K871" s="5" t="str">
        <f aca="false">IF($J871=FALSE(),"",COUNTIF($J$6:$J871,TRUE()))</f>
        <v/>
      </c>
      <c r="L871" s="5" t="str">
        <f aca="false">IF($K871="","","R"&amp;$K871)</f>
        <v/>
      </c>
    </row>
    <row r="872" customFormat="false" ht="15" hidden="false" customHeight="true" outlineLevel="0" collapsed="false">
      <c r="J872" s="14" t="b">
        <f aca="false">IF(중복검사!$A870="",FALSE(),중복검사!$H870="중복")</f>
        <v>0</v>
      </c>
      <c r="K872" s="5" t="str">
        <f aca="false">IF($J872=FALSE(),"",COUNTIF($J$6:$J872,TRUE()))</f>
        <v/>
      </c>
      <c r="L872" s="5" t="str">
        <f aca="false">IF($K872="","","R"&amp;$K872)</f>
        <v/>
      </c>
    </row>
    <row r="873" customFormat="false" ht="15" hidden="false" customHeight="true" outlineLevel="0" collapsed="false">
      <c r="J873" s="14" t="b">
        <f aca="false">IF(중복검사!$A871="",FALSE(),중복검사!$H871="중복")</f>
        <v>0</v>
      </c>
      <c r="K873" s="5" t="str">
        <f aca="false">IF($J873=FALSE(),"",COUNTIF($J$6:$J873,TRUE()))</f>
        <v/>
      </c>
      <c r="L873" s="5" t="str">
        <f aca="false">IF($K873="","","R"&amp;$K873)</f>
        <v/>
      </c>
    </row>
    <row r="874" customFormat="false" ht="15" hidden="false" customHeight="true" outlineLevel="0" collapsed="false">
      <c r="J874" s="14" t="b">
        <f aca="false">IF(중복검사!$A872="",FALSE(),중복검사!$H872="중복")</f>
        <v>0</v>
      </c>
      <c r="K874" s="5" t="str">
        <f aca="false">IF($J874=FALSE(),"",COUNTIF($J$6:$J874,TRUE()))</f>
        <v/>
      </c>
      <c r="L874" s="5" t="str">
        <f aca="false">IF($K874="","","R"&amp;$K874)</f>
        <v/>
      </c>
    </row>
    <row r="875" customFormat="false" ht="15" hidden="false" customHeight="true" outlineLevel="0" collapsed="false">
      <c r="J875" s="14" t="b">
        <f aca="false">IF(중복검사!$A873="",FALSE(),중복검사!$H873="중복")</f>
        <v>0</v>
      </c>
      <c r="K875" s="5" t="str">
        <f aca="false">IF($J875=FALSE(),"",COUNTIF($J$6:$J875,TRUE()))</f>
        <v/>
      </c>
      <c r="L875" s="5" t="str">
        <f aca="false">IF($K875="","","R"&amp;$K875)</f>
        <v/>
      </c>
    </row>
    <row r="876" customFormat="false" ht="15" hidden="false" customHeight="true" outlineLevel="0" collapsed="false">
      <c r="J876" s="14" t="b">
        <f aca="false">IF(중복검사!$A874="",FALSE(),중복검사!$H874="중복")</f>
        <v>0</v>
      </c>
      <c r="K876" s="5" t="str">
        <f aca="false">IF($J876=FALSE(),"",COUNTIF($J$6:$J876,TRUE()))</f>
        <v/>
      </c>
      <c r="L876" s="5" t="str">
        <f aca="false">IF($K876="","","R"&amp;$K876)</f>
        <v/>
      </c>
    </row>
    <row r="877" customFormat="false" ht="15" hidden="false" customHeight="true" outlineLevel="0" collapsed="false">
      <c r="J877" s="14" t="b">
        <f aca="false">IF(중복검사!$A875="",FALSE(),중복검사!$H875="중복")</f>
        <v>0</v>
      </c>
      <c r="K877" s="5" t="str">
        <f aca="false">IF($J877=FALSE(),"",COUNTIF($J$6:$J877,TRUE()))</f>
        <v/>
      </c>
      <c r="L877" s="5" t="str">
        <f aca="false">IF($K877="","","R"&amp;$K877)</f>
        <v/>
      </c>
    </row>
    <row r="878" customFormat="false" ht="15" hidden="false" customHeight="true" outlineLevel="0" collapsed="false">
      <c r="J878" s="14" t="b">
        <f aca="false">IF(중복검사!$A876="",FALSE(),중복검사!$H876="중복")</f>
        <v>0</v>
      </c>
      <c r="K878" s="5" t="str">
        <f aca="false">IF($J878=FALSE(),"",COUNTIF($J$6:$J878,TRUE()))</f>
        <v/>
      </c>
      <c r="L878" s="5" t="str">
        <f aca="false">IF($K878="","","R"&amp;$K878)</f>
        <v/>
      </c>
    </row>
    <row r="879" customFormat="false" ht="15" hidden="false" customHeight="true" outlineLevel="0" collapsed="false">
      <c r="J879" s="14" t="b">
        <f aca="false">IF(중복검사!$A877="",FALSE(),중복검사!$H877="중복")</f>
        <v>0</v>
      </c>
      <c r="K879" s="5" t="str">
        <f aca="false">IF($J879=FALSE(),"",COUNTIF($J$6:$J879,TRUE()))</f>
        <v/>
      </c>
      <c r="L879" s="5" t="str">
        <f aca="false">IF($K879="","","R"&amp;$K879)</f>
        <v/>
      </c>
    </row>
    <row r="880" customFormat="false" ht="15" hidden="false" customHeight="true" outlineLevel="0" collapsed="false">
      <c r="J880" s="14" t="b">
        <f aca="false">IF(중복검사!$A878="",FALSE(),중복검사!$H878="중복")</f>
        <v>0</v>
      </c>
      <c r="K880" s="5" t="str">
        <f aca="false">IF($J880=FALSE(),"",COUNTIF($J$6:$J880,TRUE()))</f>
        <v/>
      </c>
      <c r="L880" s="5" t="str">
        <f aca="false">IF($K880="","","R"&amp;$K880)</f>
        <v/>
      </c>
    </row>
    <row r="881" customFormat="false" ht="15" hidden="false" customHeight="true" outlineLevel="0" collapsed="false">
      <c r="J881" s="14" t="b">
        <f aca="false">IF(중복검사!$A879="",FALSE(),중복검사!$H879="중복")</f>
        <v>0</v>
      </c>
      <c r="K881" s="5" t="str">
        <f aca="false">IF($J881=FALSE(),"",COUNTIF($J$6:$J881,TRUE()))</f>
        <v/>
      </c>
      <c r="L881" s="5" t="str">
        <f aca="false">IF($K881="","","R"&amp;$K881)</f>
        <v/>
      </c>
    </row>
    <row r="882" customFormat="false" ht="15" hidden="false" customHeight="true" outlineLevel="0" collapsed="false">
      <c r="J882" s="14" t="b">
        <f aca="false">IF(중복검사!$A880="",FALSE(),중복검사!$H880="중복")</f>
        <v>0</v>
      </c>
      <c r="K882" s="5" t="str">
        <f aca="false">IF($J882=FALSE(),"",COUNTIF($J$6:$J882,TRUE()))</f>
        <v/>
      </c>
      <c r="L882" s="5" t="str">
        <f aca="false">IF($K882="","","R"&amp;$K882)</f>
        <v/>
      </c>
    </row>
    <row r="883" customFormat="false" ht="15" hidden="false" customHeight="true" outlineLevel="0" collapsed="false">
      <c r="J883" s="14" t="b">
        <f aca="false">IF(중복검사!$A881="",FALSE(),중복검사!$H881="중복")</f>
        <v>0</v>
      </c>
      <c r="K883" s="5" t="str">
        <f aca="false">IF($J883=FALSE(),"",COUNTIF($J$6:$J883,TRUE()))</f>
        <v/>
      </c>
      <c r="L883" s="5" t="str">
        <f aca="false">IF($K883="","","R"&amp;$K883)</f>
        <v/>
      </c>
    </row>
    <row r="884" customFormat="false" ht="15" hidden="false" customHeight="true" outlineLevel="0" collapsed="false">
      <c r="J884" s="14" t="b">
        <f aca="false">IF(중복검사!$A882="",FALSE(),중복검사!$H882="중복")</f>
        <v>0</v>
      </c>
      <c r="K884" s="5" t="str">
        <f aca="false">IF($J884=FALSE(),"",COUNTIF($J$6:$J884,TRUE()))</f>
        <v/>
      </c>
      <c r="L884" s="5" t="str">
        <f aca="false">IF($K884="","","R"&amp;$K884)</f>
        <v/>
      </c>
    </row>
    <row r="885" customFormat="false" ht="15" hidden="false" customHeight="true" outlineLevel="0" collapsed="false">
      <c r="J885" s="14" t="b">
        <f aca="false">IF(중복검사!$A883="",FALSE(),중복검사!$H883="중복")</f>
        <v>0</v>
      </c>
      <c r="K885" s="5" t="str">
        <f aca="false">IF($J885=FALSE(),"",COUNTIF($J$6:$J885,TRUE()))</f>
        <v/>
      </c>
      <c r="L885" s="5" t="str">
        <f aca="false">IF($K885="","","R"&amp;$K885)</f>
        <v/>
      </c>
    </row>
    <row r="886" customFormat="false" ht="15" hidden="false" customHeight="true" outlineLevel="0" collapsed="false">
      <c r="J886" s="14" t="b">
        <f aca="false">IF(중복검사!$A884="",FALSE(),중복검사!$H884="중복")</f>
        <v>0</v>
      </c>
      <c r="K886" s="5" t="str">
        <f aca="false">IF($J886=FALSE(),"",COUNTIF($J$6:$J886,TRUE()))</f>
        <v/>
      </c>
      <c r="L886" s="5" t="str">
        <f aca="false">IF($K886="","","R"&amp;$K886)</f>
        <v/>
      </c>
    </row>
    <row r="887" customFormat="false" ht="15" hidden="false" customHeight="true" outlineLevel="0" collapsed="false">
      <c r="J887" s="14" t="b">
        <f aca="false">IF(중복검사!$A885="",FALSE(),중복검사!$H885="중복")</f>
        <v>0</v>
      </c>
      <c r="K887" s="5" t="str">
        <f aca="false">IF($J887=FALSE(),"",COUNTIF($J$6:$J887,TRUE()))</f>
        <v/>
      </c>
      <c r="L887" s="5" t="str">
        <f aca="false">IF($K887="","","R"&amp;$K887)</f>
        <v/>
      </c>
    </row>
    <row r="888" customFormat="false" ht="15" hidden="false" customHeight="true" outlineLevel="0" collapsed="false">
      <c r="J888" s="14" t="b">
        <f aca="false">IF(중복검사!$A886="",FALSE(),중복검사!$H886="중복")</f>
        <v>0</v>
      </c>
      <c r="K888" s="5" t="str">
        <f aca="false">IF($J888=FALSE(),"",COUNTIF($J$6:$J888,TRUE()))</f>
        <v/>
      </c>
      <c r="L888" s="5" t="str">
        <f aca="false">IF($K888="","","R"&amp;$K888)</f>
        <v/>
      </c>
    </row>
    <row r="889" customFormat="false" ht="15" hidden="false" customHeight="true" outlineLevel="0" collapsed="false">
      <c r="J889" s="14" t="b">
        <f aca="false">IF(중복검사!$A887="",FALSE(),중복검사!$H887="중복")</f>
        <v>0</v>
      </c>
      <c r="K889" s="5" t="str">
        <f aca="false">IF($J889=FALSE(),"",COUNTIF($J$6:$J889,TRUE()))</f>
        <v/>
      </c>
      <c r="L889" s="5" t="str">
        <f aca="false">IF($K889="","","R"&amp;$K889)</f>
        <v/>
      </c>
    </row>
    <row r="890" customFormat="false" ht="15" hidden="false" customHeight="true" outlineLevel="0" collapsed="false">
      <c r="J890" s="14" t="b">
        <f aca="false">IF(중복검사!$A888="",FALSE(),중복검사!$H888="중복")</f>
        <v>0</v>
      </c>
      <c r="K890" s="5" t="str">
        <f aca="false">IF($J890=FALSE(),"",COUNTIF($J$6:$J890,TRUE()))</f>
        <v/>
      </c>
      <c r="L890" s="5" t="str">
        <f aca="false">IF($K890="","","R"&amp;$K890)</f>
        <v/>
      </c>
    </row>
    <row r="891" customFormat="false" ht="15" hidden="false" customHeight="true" outlineLevel="0" collapsed="false">
      <c r="J891" s="14" t="b">
        <f aca="false">IF(중복검사!$A889="",FALSE(),중복검사!$H889="중복")</f>
        <v>0</v>
      </c>
      <c r="K891" s="5" t="str">
        <f aca="false">IF($J891=FALSE(),"",COUNTIF($J$6:$J891,TRUE()))</f>
        <v/>
      </c>
      <c r="L891" s="5" t="str">
        <f aca="false">IF($K891="","","R"&amp;$K891)</f>
        <v/>
      </c>
    </row>
    <row r="892" customFormat="false" ht="15" hidden="false" customHeight="true" outlineLevel="0" collapsed="false">
      <c r="J892" s="14" t="b">
        <f aca="false">IF(중복검사!$A890="",FALSE(),중복검사!$H890="중복")</f>
        <v>0</v>
      </c>
      <c r="K892" s="5" t="str">
        <f aca="false">IF($J892=FALSE(),"",COUNTIF($J$6:$J892,TRUE()))</f>
        <v/>
      </c>
      <c r="L892" s="5" t="str">
        <f aca="false">IF($K892="","","R"&amp;$K892)</f>
        <v/>
      </c>
    </row>
    <row r="893" customFormat="false" ht="15" hidden="false" customHeight="true" outlineLevel="0" collapsed="false">
      <c r="J893" s="14" t="b">
        <f aca="false">IF(중복검사!$A891="",FALSE(),중복검사!$H891="중복")</f>
        <v>0</v>
      </c>
      <c r="K893" s="5" t="str">
        <f aca="false">IF($J893=FALSE(),"",COUNTIF($J$6:$J893,TRUE()))</f>
        <v/>
      </c>
      <c r="L893" s="5" t="str">
        <f aca="false">IF($K893="","","R"&amp;$K893)</f>
        <v/>
      </c>
    </row>
    <row r="894" customFormat="false" ht="15" hidden="false" customHeight="true" outlineLevel="0" collapsed="false">
      <c r="J894" s="14" t="b">
        <f aca="false">IF(중복검사!$A892="",FALSE(),중복검사!$H892="중복")</f>
        <v>0</v>
      </c>
      <c r="K894" s="5" t="str">
        <f aca="false">IF($J894=FALSE(),"",COUNTIF($J$6:$J894,TRUE()))</f>
        <v/>
      </c>
      <c r="L894" s="5" t="str">
        <f aca="false">IF($K894="","","R"&amp;$K894)</f>
        <v/>
      </c>
    </row>
    <row r="895" customFormat="false" ht="15" hidden="false" customHeight="true" outlineLevel="0" collapsed="false">
      <c r="J895" s="14" t="b">
        <f aca="false">IF(중복검사!$A893="",FALSE(),중복검사!$H893="중복")</f>
        <v>0</v>
      </c>
      <c r="K895" s="5" t="str">
        <f aca="false">IF($J895=FALSE(),"",COUNTIF($J$6:$J895,TRUE()))</f>
        <v/>
      </c>
      <c r="L895" s="5" t="str">
        <f aca="false">IF($K895="","","R"&amp;$K895)</f>
        <v/>
      </c>
    </row>
    <row r="896" customFormat="false" ht="15" hidden="false" customHeight="true" outlineLevel="0" collapsed="false">
      <c r="J896" s="14" t="b">
        <f aca="false">IF(중복검사!$A894="",FALSE(),중복검사!$H894="중복")</f>
        <v>0</v>
      </c>
      <c r="K896" s="5" t="str">
        <f aca="false">IF($J896=FALSE(),"",COUNTIF($J$6:$J896,TRUE()))</f>
        <v/>
      </c>
      <c r="L896" s="5" t="str">
        <f aca="false">IF($K896="","","R"&amp;$K896)</f>
        <v/>
      </c>
    </row>
    <row r="897" customFormat="false" ht="15" hidden="false" customHeight="true" outlineLevel="0" collapsed="false">
      <c r="J897" s="14" t="b">
        <f aca="false">IF(중복검사!$A895="",FALSE(),중복검사!$H895="중복")</f>
        <v>0</v>
      </c>
      <c r="K897" s="5" t="str">
        <f aca="false">IF($J897=FALSE(),"",COUNTIF($J$6:$J897,TRUE()))</f>
        <v/>
      </c>
      <c r="L897" s="5" t="str">
        <f aca="false">IF($K897="","","R"&amp;$K897)</f>
        <v/>
      </c>
    </row>
    <row r="898" customFormat="false" ht="15" hidden="false" customHeight="true" outlineLevel="0" collapsed="false">
      <c r="J898" s="14" t="b">
        <f aca="false">IF(중복검사!$A896="",FALSE(),중복검사!$H896="중복")</f>
        <v>0</v>
      </c>
      <c r="K898" s="5" t="str">
        <f aca="false">IF($J898=FALSE(),"",COUNTIF($J$6:$J898,TRUE()))</f>
        <v/>
      </c>
      <c r="L898" s="5" t="str">
        <f aca="false">IF($K898="","","R"&amp;$K898)</f>
        <v/>
      </c>
    </row>
    <row r="899" customFormat="false" ht="15" hidden="false" customHeight="true" outlineLevel="0" collapsed="false">
      <c r="J899" s="14" t="b">
        <f aca="false">IF(중복검사!$A897="",FALSE(),중복검사!$H897="중복")</f>
        <v>0</v>
      </c>
      <c r="K899" s="5" t="str">
        <f aca="false">IF($J899=FALSE(),"",COUNTIF($J$6:$J899,TRUE()))</f>
        <v/>
      </c>
      <c r="L899" s="5" t="str">
        <f aca="false">IF($K899="","","R"&amp;$K899)</f>
        <v/>
      </c>
    </row>
    <row r="900" customFormat="false" ht="15" hidden="false" customHeight="true" outlineLevel="0" collapsed="false">
      <c r="J900" s="14" t="b">
        <f aca="false">IF(중복검사!$A898="",FALSE(),중복검사!$H898="중복")</f>
        <v>0</v>
      </c>
      <c r="K900" s="5" t="str">
        <f aca="false">IF($J900=FALSE(),"",COUNTIF($J$6:$J900,TRUE()))</f>
        <v/>
      </c>
      <c r="L900" s="5" t="str">
        <f aca="false">IF($K900="","","R"&amp;$K900)</f>
        <v/>
      </c>
    </row>
    <row r="901" customFormat="false" ht="15" hidden="false" customHeight="true" outlineLevel="0" collapsed="false">
      <c r="J901" s="14" t="b">
        <f aca="false">IF(중복검사!$A899="",FALSE(),중복검사!$H899="중복")</f>
        <v>0</v>
      </c>
      <c r="K901" s="5" t="str">
        <f aca="false">IF($J901=FALSE(),"",COUNTIF($J$6:$J901,TRUE()))</f>
        <v/>
      </c>
      <c r="L901" s="5" t="str">
        <f aca="false">IF($K901="","","R"&amp;$K901)</f>
        <v/>
      </c>
    </row>
    <row r="902" customFormat="false" ht="15" hidden="false" customHeight="true" outlineLevel="0" collapsed="false">
      <c r="J902" s="14" t="b">
        <f aca="false">IF(중복검사!$A900="",FALSE(),중복검사!$H900="중복")</f>
        <v>0</v>
      </c>
      <c r="K902" s="5" t="str">
        <f aca="false">IF($J902=FALSE(),"",COUNTIF($J$6:$J902,TRUE()))</f>
        <v/>
      </c>
      <c r="L902" s="5" t="str">
        <f aca="false">IF($K902="","","R"&amp;$K902)</f>
        <v/>
      </c>
    </row>
    <row r="903" customFormat="false" ht="15" hidden="false" customHeight="true" outlineLevel="0" collapsed="false">
      <c r="J903" s="14" t="b">
        <f aca="false">IF(중복검사!$A901="",FALSE(),중복검사!$H901="중복")</f>
        <v>0</v>
      </c>
      <c r="K903" s="5" t="str">
        <f aca="false">IF($J903=FALSE(),"",COUNTIF($J$6:$J903,TRUE()))</f>
        <v/>
      </c>
      <c r="L903" s="5" t="str">
        <f aca="false">IF($K903="","","R"&amp;$K903)</f>
        <v/>
      </c>
    </row>
    <row r="904" customFormat="false" ht="15" hidden="false" customHeight="true" outlineLevel="0" collapsed="false">
      <c r="J904" s="14" t="b">
        <f aca="false">IF(중복검사!$A902="",FALSE(),중복검사!$H902="중복")</f>
        <v>0</v>
      </c>
      <c r="K904" s="5" t="str">
        <f aca="false">IF($J904=FALSE(),"",COUNTIF($J$6:$J904,TRUE()))</f>
        <v/>
      </c>
      <c r="L904" s="5" t="str">
        <f aca="false">IF($K904="","","R"&amp;$K904)</f>
        <v/>
      </c>
    </row>
    <row r="905" customFormat="false" ht="15" hidden="false" customHeight="true" outlineLevel="0" collapsed="false">
      <c r="J905" s="14" t="b">
        <f aca="false">IF(중복검사!$A903="",FALSE(),중복검사!$H903="중복")</f>
        <v>0</v>
      </c>
      <c r="K905" s="5" t="str">
        <f aca="false">IF($J905=FALSE(),"",COUNTIF($J$6:$J905,TRUE()))</f>
        <v/>
      </c>
      <c r="L905" s="5" t="str">
        <f aca="false">IF($K905="","","R"&amp;$K905)</f>
        <v/>
      </c>
    </row>
    <row r="906" customFormat="false" ht="15" hidden="false" customHeight="true" outlineLevel="0" collapsed="false">
      <c r="J906" s="14" t="b">
        <f aca="false">IF(중복검사!$A904="",FALSE(),중복검사!$H904="중복")</f>
        <v>0</v>
      </c>
      <c r="K906" s="5" t="str">
        <f aca="false">IF($J906=FALSE(),"",COUNTIF($J$6:$J906,TRUE()))</f>
        <v/>
      </c>
      <c r="L906" s="5" t="str">
        <f aca="false">IF($K906="","","R"&amp;$K906)</f>
        <v/>
      </c>
    </row>
    <row r="907" customFormat="false" ht="15" hidden="false" customHeight="true" outlineLevel="0" collapsed="false">
      <c r="J907" s="14" t="b">
        <f aca="false">IF(중복검사!$A905="",FALSE(),중복검사!$H905="중복")</f>
        <v>0</v>
      </c>
      <c r="K907" s="5" t="str">
        <f aca="false">IF($J907=FALSE(),"",COUNTIF($J$6:$J907,TRUE()))</f>
        <v/>
      </c>
      <c r="L907" s="5" t="str">
        <f aca="false">IF($K907="","","R"&amp;$K907)</f>
        <v/>
      </c>
    </row>
    <row r="908" customFormat="false" ht="15" hidden="false" customHeight="true" outlineLevel="0" collapsed="false">
      <c r="J908" s="14" t="b">
        <f aca="false">IF(중복검사!$A906="",FALSE(),중복검사!$H906="중복")</f>
        <v>0</v>
      </c>
      <c r="K908" s="5" t="str">
        <f aca="false">IF($J908=FALSE(),"",COUNTIF($J$6:$J908,TRUE()))</f>
        <v/>
      </c>
      <c r="L908" s="5" t="str">
        <f aca="false">IF($K908="","","R"&amp;$K908)</f>
        <v/>
      </c>
    </row>
    <row r="909" customFormat="false" ht="15" hidden="false" customHeight="true" outlineLevel="0" collapsed="false">
      <c r="J909" s="14" t="b">
        <f aca="false">IF(중복검사!$A907="",FALSE(),중복검사!$H907="중복")</f>
        <v>0</v>
      </c>
      <c r="K909" s="5" t="str">
        <f aca="false">IF($J909=FALSE(),"",COUNTIF($J$6:$J909,TRUE()))</f>
        <v/>
      </c>
      <c r="L909" s="5" t="str">
        <f aca="false">IF($K909="","","R"&amp;$K909)</f>
        <v/>
      </c>
    </row>
    <row r="910" customFormat="false" ht="15" hidden="false" customHeight="true" outlineLevel="0" collapsed="false">
      <c r="J910" s="14" t="b">
        <f aca="false">IF(중복검사!$A908="",FALSE(),중복검사!$H908="중복")</f>
        <v>0</v>
      </c>
      <c r="K910" s="5" t="str">
        <f aca="false">IF($J910=FALSE(),"",COUNTIF($J$6:$J910,TRUE()))</f>
        <v/>
      </c>
      <c r="L910" s="5" t="str">
        <f aca="false">IF($K910="","","R"&amp;$K910)</f>
        <v/>
      </c>
    </row>
    <row r="911" customFormat="false" ht="15" hidden="false" customHeight="true" outlineLevel="0" collapsed="false">
      <c r="J911" s="14" t="b">
        <f aca="false">IF(중복검사!$A909="",FALSE(),중복검사!$H909="중복")</f>
        <v>0</v>
      </c>
      <c r="K911" s="5" t="str">
        <f aca="false">IF($J911=FALSE(),"",COUNTIF($J$6:$J911,TRUE()))</f>
        <v/>
      </c>
      <c r="L911" s="5" t="str">
        <f aca="false">IF($K911="","","R"&amp;$K911)</f>
        <v/>
      </c>
    </row>
    <row r="912" customFormat="false" ht="15" hidden="false" customHeight="true" outlineLevel="0" collapsed="false">
      <c r="J912" s="14" t="b">
        <f aca="false">IF(중복검사!$A910="",FALSE(),중복검사!$H910="중복")</f>
        <v>0</v>
      </c>
      <c r="K912" s="5" t="str">
        <f aca="false">IF($J912=FALSE(),"",COUNTIF($J$6:$J912,TRUE()))</f>
        <v/>
      </c>
      <c r="L912" s="5" t="str">
        <f aca="false">IF($K912="","","R"&amp;$K912)</f>
        <v/>
      </c>
    </row>
    <row r="913" customFormat="false" ht="15" hidden="false" customHeight="true" outlineLevel="0" collapsed="false">
      <c r="J913" s="14" t="b">
        <f aca="false">IF(중복검사!$A911="",FALSE(),중복검사!$H911="중복")</f>
        <v>0</v>
      </c>
      <c r="K913" s="5" t="str">
        <f aca="false">IF($J913=FALSE(),"",COUNTIF($J$6:$J913,TRUE()))</f>
        <v/>
      </c>
      <c r="L913" s="5" t="str">
        <f aca="false">IF($K913="","","R"&amp;$K913)</f>
        <v/>
      </c>
    </row>
    <row r="914" customFormat="false" ht="15" hidden="false" customHeight="true" outlineLevel="0" collapsed="false">
      <c r="J914" s="14" t="b">
        <f aca="false">IF(중복검사!$A912="",FALSE(),중복검사!$H912="중복")</f>
        <v>0</v>
      </c>
      <c r="K914" s="5" t="str">
        <f aca="false">IF($J914=FALSE(),"",COUNTIF($J$6:$J914,TRUE()))</f>
        <v/>
      </c>
      <c r="L914" s="5" t="str">
        <f aca="false">IF($K914="","","R"&amp;$K914)</f>
        <v/>
      </c>
    </row>
    <row r="915" customFormat="false" ht="15" hidden="false" customHeight="true" outlineLevel="0" collapsed="false">
      <c r="J915" s="14" t="b">
        <f aca="false">IF(중복검사!$A913="",FALSE(),중복검사!$H913="중복")</f>
        <v>0</v>
      </c>
      <c r="K915" s="5" t="str">
        <f aca="false">IF($J915=FALSE(),"",COUNTIF($J$6:$J915,TRUE()))</f>
        <v/>
      </c>
      <c r="L915" s="5" t="str">
        <f aca="false">IF($K915="","","R"&amp;$K915)</f>
        <v/>
      </c>
    </row>
    <row r="916" customFormat="false" ht="15" hidden="false" customHeight="true" outlineLevel="0" collapsed="false">
      <c r="J916" s="14" t="b">
        <f aca="false">IF(중복검사!$A914="",FALSE(),중복검사!$H914="중복")</f>
        <v>0</v>
      </c>
      <c r="K916" s="5" t="str">
        <f aca="false">IF($J916=FALSE(),"",COUNTIF($J$6:$J916,TRUE()))</f>
        <v/>
      </c>
      <c r="L916" s="5" t="str">
        <f aca="false">IF($K916="","","R"&amp;$K916)</f>
        <v/>
      </c>
    </row>
    <row r="917" customFormat="false" ht="15" hidden="false" customHeight="true" outlineLevel="0" collapsed="false">
      <c r="J917" s="14" t="b">
        <f aca="false">IF(중복검사!$A915="",FALSE(),중복검사!$H915="중복")</f>
        <v>0</v>
      </c>
      <c r="K917" s="5" t="str">
        <f aca="false">IF($J917=FALSE(),"",COUNTIF($J$6:$J917,TRUE()))</f>
        <v/>
      </c>
      <c r="L917" s="5" t="str">
        <f aca="false">IF($K917="","","R"&amp;$K917)</f>
        <v/>
      </c>
    </row>
    <row r="918" customFormat="false" ht="15" hidden="false" customHeight="true" outlineLevel="0" collapsed="false">
      <c r="J918" s="14" t="b">
        <f aca="false">IF(중복검사!$A916="",FALSE(),중복검사!$H916="중복")</f>
        <v>0</v>
      </c>
      <c r="K918" s="5" t="str">
        <f aca="false">IF($J918=FALSE(),"",COUNTIF($J$6:$J918,TRUE()))</f>
        <v/>
      </c>
      <c r="L918" s="5" t="str">
        <f aca="false">IF($K918="","","R"&amp;$K918)</f>
        <v/>
      </c>
    </row>
    <row r="919" customFormat="false" ht="15" hidden="false" customHeight="true" outlineLevel="0" collapsed="false">
      <c r="J919" s="14" t="b">
        <f aca="false">IF(중복검사!$A917="",FALSE(),중복검사!$H917="중복")</f>
        <v>0</v>
      </c>
      <c r="K919" s="5" t="str">
        <f aca="false">IF($J919=FALSE(),"",COUNTIF($J$6:$J919,TRUE()))</f>
        <v/>
      </c>
      <c r="L919" s="5" t="str">
        <f aca="false">IF($K919="","","R"&amp;$K919)</f>
        <v/>
      </c>
    </row>
    <row r="920" customFormat="false" ht="15" hidden="false" customHeight="true" outlineLevel="0" collapsed="false">
      <c r="J920" s="14" t="b">
        <f aca="false">IF(중복검사!$A918="",FALSE(),중복검사!$H918="중복")</f>
        <v>0</v>
      </c>
      <c r="K920" s="5" t="str">
        <f aca="false">IF($J920=FALSE(),"",COUNTIF($J$6:$J920,TRUE()))</f>
        <v/>
      </c>
      <c r="L920" s="5" t="str">
        <f aca="false">IF($K920="","","R"&amp;$K920)</f>
        <v/>
      </c>
    </row>
    <row r="921" customFormat="false" ht="15" hidden="false" customHeight="true" outlineLevel="0" collapsed="false">
      <c r="J921" s="14" t="b">
        <f aca="false">IF(중복검사!$A919="",FALSE(),중복검사!$H919="중복")</f>
        <v>0</v>
      </c>
      <c r="K921" s="5" t="str">
        <f aca="false">IF($J921=FALSE(),"",COUNTIF($J$6:$J921,TRUE()))</f>
        <v/>
      </c>
      <c r="L921" s="5" t="str">
        <f aca="false">IF($K921="","","R"&amp;$K921)</f>
        <v/>
      </c>
    </row>
    <row r="922" customFormat="false" ht="15" hidden="false" customHeight="true" outlineLevel="0" collapsed="false">
      <c r="J922" s="14" t="b">
        <f aca="false">IF(중복검사!$A920="",FALSE(),중복검사!$H920="중복")</f>
        <v>0</v>
      </c>
      <c r="K922" s="5" t="str">
        <f aca="false">IF($J922=FALSE(),"",COUNTIF($J$6:$J922,TRUE()))</f>
        <v/>
      </c>
      <c r="L922" s="5" t="str">
        <f aca="false">IF($K922="","","R"&amp;$K922)</f>
        <v/>
      </c>
    </row>
    <row r="923" customFormat="false" ht="15" hidden="false" customHeight="true" outlineLevel="0" collapsed="false">
      <c r="J923" s="14" t="b">
        <f aca="false">IF(중복검사!$A921="",FALSE(),중복검사!$H921="중복")</f>
        <v>0</v>
      </c>
      <c r="K923" s="5" t="str">
        <f aca="false">IF($J923=FALSE(),"",COUNTIF($J$6:$J923,TRUE()))</f>
        <v/>
      </c>
      <c r="L923" s="5" t="str">
        <f aca="false">IF($K923="","","R"&amp;$K923)</f>
        <v/>
      </c>
    </row>
    <row r="924" customFormat="false" ht="15" hidden="false" customHeight="true" outlineLevel="0" collapsed="false">
      <c r="J924" s="14" t="b">
        <f aca="false">IF(중복검사!$A922="",FALSE(),중복검사!$H922="중복")</f>
        <v>0</v>
      </c>
      <c r="K924" s="5" t="str">
        <f aca="false">IF($J924=FALSE(),"",COUNTIF($J$6:$J924,TRUE()))</f>
        <v/>
      </c>
      <c r="L924" s="5" t="str">
        <f aca="false">IF($K924="","","R"&amp;$K924)</f>
        <v/>
      </c>
    </row>
    <row r="925" customFormat="false" ht="15" hidden="false" customHeight="true" outlineLevel="0" collapsed="false">
      <c r="J925" s="14" t="b">
        <f aca="false">IF(중복검사!$A923="",FALSE(),중복검사!$H923="중복")</f>
        <v>0</v>
      </c>
      <c r="K925" s="5" t="str">
        <f aca="false">IF($J925=FALSE(),"",COUNTIF($J$6:$J925,TRUE()))</f>
        <v/>
      </c>
      <c r="L925" s="5" t="str">
        <f aca="false">IF($K925="","","R"&amp;$K925)</f>
        <v/>
      </c>
    </row>
    <row r="926" customFormat="false" ht="15" hidden="false" customHeight="true" outlineLevel="0" collapsed="false">
      <c r="J926" s="14" t="b">
        <f aca="false">IF(중복검사!$A924="",FALSE(),중복검사!$H924="중복")</f>
        <v>0</v>
      </c>
      <c r="K926" s="5" t="str">
        <f aca="false">IF($J926=FALSE(),"",COUNTIF($J$6:$J926,TRUE()))</f>
        <v/>
      </c>
      <c r="L926" s="5" t="str">
        <f aca="false">IF($K926="","","R"&amp;$K926)</f>
        <v/>
      </c>
    </row>
    <row r="927" customFormat="false" ht="15" hidden="false" customHeight="true" outlineLevel="0" collapsed="false">
      <c r="J927" s="14" t="b">
        <f aca="false">IF(중복검사!$A925="",FALSE(),중복검사!$H925="중복")</f>
        <v>0</v>
      </c>
      <c r="K927" s="5" t="str">
        <f aca="false">IF($J927=FALSE(),"",COUNTIF($J$6:$J927,TRUE()))</f>
        <v/>
      </c>
      <c r="L927" s="5" t="str">
        <f aca="false">IF($K927="","","R"&amp;$K927)</f>
        <v/>
      </c>
    </row>
    <row r="928" customFormat="false" ht="15" hidden="false" customHeight="true" outlineLevel="0" collapsed="false">
      <c r="J928" s="14" t="b">
        <f aca="false">IF(중복검사!$A926="",FALSE(),중복검사!$H926="중복")</f>
        <v>0</v>
      </c>
      <c r="K928" s="5" t="str">
        <f aca="false">IF($J928=FALSE(),"",COUNTIF($J$6:$J928,TRUE()))</f>
        <v/>
      </c>
      <c r="L928" s="5" t="str">
        <f aca="false">IF($K928="","","R"&amp;$K928)</f>
        <v/>
      </c>
    </row>
    <row r="929" customFormat="false" ht="15" hidden="false" customHeight="true" outlineLevel="0" collapsed="false">
      <c r="J929" s="14" t="b">
        <f aca="false">IF(중복검사!$A927="",FALSE(),중복검사!$H927="중복")</f>
        <v>0</v>
      </c>
      <c r="K929" s="5" t="str">
        <f aca="false">IF($J929=FALSE(),"",COUNTIF($J$6:$J929,TRUE()))</f>
        <v/>
      </c>
      <c r="L929" s="5" t="str">
        <f aca="false">IF($K929="","","R"&amp;$K929)</f>
        <v/>
      </c>
    </row>
    <row r="930" customFormat="false" ht="15" hidden="false" customHeight="true" outlineLevel="0" collapsed="false">
      <c r="J930" s="14" t="b">
        <f aca="false">IF(중복검사!$A928="",FALSE(),중복검사!$H928="중복")</f>
        <v>0</v>
      </c>
      <c r="K930" s="5" t="str">
        <f aca="false">IF($J930=FALSE(),"",COUNTIF($J$6:$J930,TRUE()))</f>
        <v/>
      </c>
      <c r="L930" s="5" t="str">
        <f aca="false">IF($K930="","","R"&amp;$K930)</f>
        <v/>
      </c>
    </row>
    <row r="931" customFormat="false" ht="15" hidden="false" customHeight="true" outlineLevel="0" collapsed="false">
      <c r="J931" s="14" t="b">
        <f aca="false">IF(중복검사!$A929="",FALSE(),중복검사!$H929="중복")</f>
        <v>0</v>
      </c>
      <c r="K931" s="5" t="str">
        <f aca="false">IF($J931=FALSE(),"",COUNTIF($J$6:$J931,TRUE()))</f>
        <v/>
      </c>
      <c r="L931" s="5" t="str">
        <f aca="false">IF($K931="","","R"&amp;$K931)</f>
        <v/>
      </c>
    </row>
    <row r="932" customFormat="false" ht="15" hidden="false" customHeight="true" outlineLevel="0" collapsed="false">
      <c r="J932" s="14" t="b">
        <f aca="false">IF(중복검사!$A930="",FALSE(),중복검사!$H930="중복")</f>
        <v>0</v>
      </c>
      <c r="K932" s="5" t="str">
        <f aca="false">IF($J932=FALSE(),"",COUNTIF($J$6:$J932,TRUE()))</f>
        <v/>
      </c>
      <c r="L932" s="5" t="str">
        <f aca="false">IF($K932="","","R"&amp;$K932)</f>
        <v/>
      </c>
    </row>
    <row r="933" customFormat="false" ht="15" hidden="false" customHeight="true" outlineLevel="0" collapsed="false">
      <c r="J933" s="14" t="b">
        <f aca="false">IF(중복검사!$A931="",FALSE(),중복검사!$H931="중복")</f>
        <v>0</v>
      </c>
      <c r="K933" s="5" t="str">
        <f aca="false">IF($J933=FALSE(),"",COUNTIF($J$6:$J933,TRUE()))</f>
        <v/>
      </c>
      <c r="L933" s="5" t="str">
        <f aca="false">IF($K933="","","R"&amp;$K933)</f>
        <v/>
      </c>
    </row>
    <row r="934" customFormat="false" ht="15" hidden="false" customHeight="true" outlineLevel="0" collapsed="false">
      <c r="J934" s="14" t="b">
        <f aca="false">IF(중복검사!$A932="",FALSE(),중복검사!$H932="중복")</f>
        <v>0</v>
      </c>
      <c r="K934" s="5" t="str">
        <f aca="false">IF($J934=FALSE(),"",COUNTIF($J$6:$J934,TRUE()))</f>
        <v/>
      </c>
      <c r="L934" s="5" t="str">
        <f aca="false">IF($K934="","","R"&amp;$K934)</f>
        <v/>
      </c>
    </row>
    <row r="935" customFormat="false" ht="15" hidden="false" customHeight="true" outlineLevel="0" collapsed="false">
      <c r="J935" s="14" t="b">
        <f aca="false">IF(중복검사!$A933="",FALSE(),중복검사!$H933="중복")</f>
        <v>0</v>
      </c>
      <c r="K935" s="5" t="str">
        <f aca="false">IF($J935=FALSE(),"",COUNTIF($J$6:$J935,TRUE()))</f>
        <v/>
      </c>
      <c r="L935" s="5" t="str">
        <f aca="false">IF($K935="","","R"&amp;$K935)</f>
        <v/>
      </c>
    </row>
    <row r="936" customFormat="false" ht="15" hidden="false" customHeight="true" outlineLevel="0" collapsed="false">
      <c r="J936" s="14" t="b">
        <f aca="false">IF(중복검사!$A934="",FALSE(),중복검사!$H934="중복")</f>
        <v>0</v>
      </c>
      <c r="K936" s="5" t="str">
        <f aca="false">IF($J936=FALSE(),"",COUNTIF($J$6:$J936,TRUE()))</f>
        <v/>
      </c>
      <c r="L936" s="5" t="str">
        <f aca="false">IF($K936="","","R"&amp;$K936)</f>
        <v/>
      </c>
    </row>
    <row r="937" customFormat="false" ht="15" hidden="false" customHeight="true" outlineLevel="0" collapsed="false">
      <c r="J937" s="14" t="b">
        <f aca="false">IF(중복검사!$A935="",FALSE(),중복검사!$H935="중복")</f>
        <v>0</v>
      </c>
      <c r="K937" s="5" t="str">
        <f aca="false">IF($J937=FALSE(),"",COUNTIF($J$6:$J937,TRUE()))</f>
        <v/>
      </c>
      <c r="L937" s="5" t="str">
        <f aca="false">IF($K937="","","R"&amp;$K937)</f>
        <v/>
      </c>
    </row>
    <row r="938" customFormat="false" ht="15" hidden="false" customHeight="true" outlineLevel="0" collapsed="false">
      <c r="J938" s="14" t="b">
        <f aca="false">IF(중복검사!$A936="",FALSE(),중복검사!$H936="중복")</f>
        <v>0</v>
      </c>
      <c r="K938" s="5" t="str">
        <f aca="false">IF($J938=FALSE(),"",COUNTIF($J$6:$J938,TRUE()))</f>
        <v/>
      </c>
      <c r="L938" s="5" t="str">
        <f aca="false">IF($K938="","","R"&amp;$K938)</f>
        <v/>
      </c>
    </row>
    <row r="939" customFormat="false" ht="15" hidden="false" customHeight="true" outlineLevel="0" collapsed="false">
      <c r="J939" s="14" t="b">
        <f aca="false">IF(중복검사!$A937="",FALSE(),중복검사!$H937="중복")</f>
        <v>0</v>
      </c>
      <c r="K939" s="5" t="str">
        <f aca="false">IF($J939=FALSE(),"",COUNTIF($J$6:$J939,TRUE()))</f>
        <v/>
      </c>
      <c r="L939" s="5" t="str">
        <f aca="false">IF($K939="","","R"&amp;$K939)</f>
        <v/>
      </c>
    </row>
    <row r="940" customFormat="false" ht="15" hidden="false" customHeight="true" outlineLevel="0" collapsed="false">
      <c r="J940" s="14" t="b">
        <f aca="false">IF(중복검사!$A938="",FALSE(),중복검사!$H938="중복")</f>
        <v>0</v>
      </c>
      <c r="K940" s="5" t="str">
        <f aca="false">IF($J940=FALSE(),"",COUNTIF($J$6:$J940,TRUE()))</f>
        <v/>
      </c>
      <c r="L940" s="5" t="str">
        <f aca="false">IF($K940="","","R"&amp;$K940)</f>
        <v/>
      </c>
    </row>
    <row r="941" customFormat="false" ht="15" hidden="false" customHeight="true" outlineLevel="0" collapsed="false">
      <c r="J941" s="14" t="b">
        <f aca="false">IF(중복검사!$A939="",FALSE(),중복검사!$H939="중복")</f>
        <v>0</v>
      </c>
      <c r="K941" s="5" t="str">
        <f aca="false">IF($J941=FALSE(),"",COUNTIF($J$6:$J941,TRUE()))</f>
        <v/>
      </c>
      <c r="L941" s="5" t="str">
        <f aca="false">IF($K941="","","R"&amp;$K941)</f>
        <v/>
      </c>
    </row>
    <row r="942" customFormat="false" ht="15" hidden="false" customHeight="true" outlineLevel="0" collapsed="false">
      <c r="J942" s="14" t="b">
        <f aca="false">IF(중복검사!$A940="",FALSE(),중복검사!$H940="중복")</f>
        <v>0</v>
      </c>
      <c r="K942" s="5" t="str">
        <f aca="false">IF($J942=FALSE(),"",COUNTIF($J$6:$J942,TRUE()))</f>
        <v/>
      </c>
      <c r="L942" s="5" t="str">
        <f aca="false">IF($K942="","","R"&amp;$K942)</f>
        <v/>
      </c>
    </row>
    <row r="943" customFormat="false" ht="15" hidden="false" customHeight="true" outlineLevel="0" collapsed="false">
      <c r="J943" s="14" t="b">
        <f aca="false">IF(중복검사!$A941="",FALSE(),중복검사!$H941="중복")</f>
        <v>0</v>
      </c>
      <c r="K943" s="5" t="str">
        <f aca="false">IF($J943=FALSE(),"",COUNTIF($J$6:$J943,TRUE()))</f>
        <v/>
      </c>
      <c r="L943" s="5" t="str">
        <f aca="false">IF($K943="","","R"&amp;$K943)</f>
        <v/>
      </c>
    </row>
    <row r="944" customFormat="false" ht="15" hidden="false" customHeight="true" outlineLevel="0" collapsed="false">
      <c r="J944" s="14" t="b">
        <f aca="false">IF(중복검사!$A942="",FALSE(),중복검사!$H942="중복")</f>
        <v>0</v>
      </c>
      <c r="K944" s="5" t="str">
        <f aca="false">IF($J944=FALSE(),"",COUNTIF($J$6:$J944,TRUE()))</f>
        <v/>
      </c>
      <c r="L944" s="5" t="str">
        <f aca="false">IF($K944="","","R"&amp;$K944)</f>
        <v/>
      </c>
    </row>
    <row r="945" customFormat="false" ht="15" hidden="false" customHeight="true" outlineLevel="0" collapsed="false">
      <c r="J945" s="14" t="b">
        <f aca="false">IF(중복검사!$A943="",FALSE(),중복검사!$H943="중복")</f>
        <v>0</v>
      </c>
      <c r="K945" s="5" t="str">
        <f aca="false">IF($J945=FALSE(),"",COUNTIF($J$6:$J945,TRUE()))</f>
        <v/>
      </c>
      <c r="L945" s="5" t="str">
        <f aca="false">IF($K945="","","R"&amp;$K945)</f>
        <v/>
      </c>
    </row>
    <row r="946" customFormat="false" ht="15" hidden="false" customHeight="true" outlineLevel="0" collapsed="false">
      <c r="J946" s="14" t="b">
        <f aca="false">IF(중복검사!$A944="",FALSE(),중복검사!$H944="중복")</f>
        <v>0</v>
      </c>
      <c r="K946" s="5" t="str">
        <f aca="false">IF($J946=FALSE(),"",COUNTIF($J$6:$J946,TRUE()))</f>
        <v/>
      </c>
      <c r="L946" s="5" t="str">
        <f aca="false">IF($K946="","","R"&amp;$K946)</f>
        <v/>
      </c>
    </row>
    <row r="947" customFormat="false" ht="15" hidden="false" customHeight="true" outlineLevel="0" collapsed="false">
      <c r="J947" s="14" t="b">
        <f aca="false">IF(중복검사!$A945="",FALSE(),중복검사!$H945="중복")</f>
        <v>0</v>
      </c>
      <c r="K947" s="5" t="str">
        <f aca="false">IF($J947=FALSE(),"",COUNTIF($J$6:$J947,TRUE()))</f>
        <v/>
      </c>
      <c r="L947" s="5" t="str">
        <f aca="false">IF($K947="","","R"&amp;$K947)</f>
        <v/>
      </c>
    </row>
    <row r="948" customFormat="false" ht="15" hidden="false" customHeight="true" outlineLevel="0" collapsed="false">
      <c r="J948" s="14" t="b">
        <f aca="false">IF(중복검사!$A946="",FALSE(),중복검사!$H946="중복")</f>
        <v>0</v>
      </c>
      <c r="K948" s="5" t="str">
        <f aca="false">IF($J948=FALSE(),"",COUNTIF($J$6:$J948,TRUE()))</f>
        <v/>
      </c>
      <c r="L948" s="5" t="str">
        <f aca="false">IF($K948="","","R"&amp;$K948)</f>
        <v/>
      </c>
    </row>
    <row r="949" customFormat="false" ht="15" hidden="false" customHeight="true" outlineLevel="0" collapsed="false">
      <c r="J949" s="14" t="b">
        <f aca="false">IF(중복검사!$A947="",FALSE(),중복검사!$H947="중복")</f>
        <v>0</v>
      </c>
      <c r="K949" s="5" t="str">
        <f aca="false">IF($J949=FALSE(),"",COUNTIF($J$6:$J949,TRUE()))</f>
        <v/>
      </c>
      <c r="L949" s="5" t="str">
        <f aca="false">IF($K949="","","R"&amp;$K949)</f>
        <v/>
      </c>
    </row>
    <row r="950" customFormat="false" ht="15" hidden="false" customHeight="true" outlineLevel="0" collapsed="false">
      <c r="J950" s="14" t="b">
        <f aca="false">IF(중복검사!$A948="",FALSE(),중복검사!$H948="중복")</f>
        <v>0</v>
      </c>
      <c r="K950" s="5" t="str">
        <f aca="false">IF($J950=FALSE(),"",COUNTIF($J$6:$J950,TRUE()))</f>
        <v/>
      </c>
      <c r="L950" s="5" t="str">
        <f aca="false">IF($K950="","","R"&amp;$K950)</f>
        <v/>
      </c>
    </row>
    <row r="951" customFormat="false" ht="15" hidden="false" customHeight="true" outlineLevel="0" collapsed="false">
      <c r="J951" s="14" t="b">
        <f aca="false">IF(중복검사!$A949="",FALSE(),중복검사!$H949="중복")</f>
        <v>0</v>
      </c>
      <c r="K951" s="5" t="str">
        <f aca="false">IF($J951=FALSE(),"",COUNTIF($J$6:$J951,TRUE()))</f>
        <v/>
      </c>
      <c r="L951" s="5" t="str">
        <f aca="false">IF($K951="","","R"&amp;$K951)</f>
        <v/>
      </c>
    </row>
    <row r="952" customFormat="false" ht="15" hidden="false" customHeight="true" outlineLevel="0" collapsed="false">
      <c r="J952" s="14" t="b">
        <f aca="false">IF(중복검사!$A950="",FALSE(),중복검사!$H950="중복")</f>
        <v>0</v>
      </c>
      <c r="K952" s="5" t="str">
        <f aca="false">IF($J952=FALSE(),"",COUNTIF($J$6:$J952,TRUE()))</f>
        <v/>
      </c>
      <c r="L952" s="5" t="str">
        <f aca="false">IF($K952="","","R"&amp;$K952)</f>
        <v/>
      </c>
    </row>
    <row r="953" customFormat="false" ht="15" hidden="false" customHeight="true" outlineLevel="0" collapsed="false">
      <c r="J953" s="14" t="b">
        <f aca="false">IF(중복검사!$A951="",FALSE(),중복검사!$H951="중복")</f>
        <v>0</v>
      </c>
      <c r="K953" s="5" t="str">
        <f aca="false">IF($J953=FALSE(),"",COUNTIF($J$6:$J953,TRUE()))</f>
        <v/>
      </c>
      <c r="L953" s="5" t="str">
        <f aca="false">IF($K953="","","R"&amp;$K953)</f>
        <v/>
      </c>
    </row>
    <row r="954" customFormat="false" ht="15" hidden="false" customHeight="true" outlineLevel="0" collapsed="false">
      <c r="J954" s="14" t="b">
        <f aca="false">IF(중복검사!$A952="",FALSE(),중복검사!$H952="중복")</f>
        <v>0</v>
      </c>
      <c r="K954" s="5" t="str">
        <f aca="false">IF($J954=FALSE(),"",COUNTIF($J$6:$J954,TRUE()))</f>
        <v/>
      </c>
      <c r="L954" s="5" t="str">
        <f aca="false">IF($K954="","","R"&amp;$K954)</f>
        <v/>
      </c>
    </row>
    <row r="955" customFormat="false" ht="15" hidden="false" customHeight="true" outlineLevel="0" collapsed="false">
      <c r="J955" s="14" t="b">
        <f aca="false">IF(중복검사!$A953="",FALSE(),중복검사!$H953="중복")</f>
        <v>0</v>
      </c>
      <c r="K955" s="5" t="str">
        <f aca="false">IF($J955=FALSE(),"",COUNTIF($J$6:$J955,TRUE()))</f>
        <v/>
      </c>
      <c r="L955" s="5" t="str">
        <f aca="false">IF($K955="","","R"&amp;$K955)</f>
        <v/>
      </c>
    </row>
    <row r="956" customFormat="false" ht="15" hidden="false" customHeight="true" outlineLevel="0" collapsed="false">
      <c r="J956" s="14" t="b">
        <f aca="false">IF(중복검사!$A954="",FALSE(),중복검사!$H954="중복")</f>
        <v>0</v>
      </c>
      <c r="K956" s="5" t="str">
        <f aca="false">IF($J956=FALSE(),"",COUNTIF($J$6:$J956,TRUE()))</f>
        <v/>
      </c>
      <c r="L956" s="5" t="str">
        <f aca="false">IF($K956="","","R"&amp;$K956)</f>
        <v/>
      </c>
    </row>
    <row r="957" customFormat="false" ht="15" hidden="false" customHeight="true" outlineLevel="0" collapsed="false">
      <c r="J957" s="14" t="b">
        <f aca="false">IF(중복검사!$A955="",FALSE(),중복검사!$H955="중복")</f>
        <v>0</v>
      </c>
      <c r="K957" s="5" t="str">
        <f aca="false">IF($J957=FALSE(),"",COUNTIF($J$6:$J957,TRUE()))</f>
        <v/>
      </c>
      <c r="L957" s="5" t="str">
        <f aca="false">IF($K957="","","R"&amp;$K957)</f>
        <v/>
      </c>
    </row>
    <row r="958" customFormat="false" ht="15" hidden="false" customHeight="true" outlineLevel="0" collapsed="false">
      <c r="J958" s="14" t="b">
        <f aca="false">IF(중복검사!$A956="",FALSE(),중복검사!$H956="중복")</f>
        <v>0</v>
      </c>
      <c r="K958" s="5" t="str">
        <f aca="false">IF($J958=FALSE(),"",COUNTIF($J$6:$J958,TRUE()))</f>
        <v/>
      </c>
      <c r="L958" s="5" t="str">
        <f aca="false">IF($K958="","","R"&amp;$K958)</f>
        <v/>
      </c>
    </row>
    <row r="959" customFormat="false" ht="15" hidden="false" customHeight="true" outlineLevel="0" collapsed="false">
      <c r="J959" s="14" t="b">
        <f aca="false">IF(중복검사!$A957="",FALSE(),중복검사!$H957="중복")</f>
        <v>0</v>
      </c>
      <c r="K959" s="5" t="str">
        <f aca="false">IF($J959=FALSE(),"",COUNTIF($J$6:$J959,TRUE()))</f>
        <v/>
      </c>
      <c r="L959" s="5" t="str">
        <f aca="false">IF($K959="","","R"&amp;$K959)</f>
        <v/>
      </c>
    </row>
    <row r="960" customFormat="false" ht="15" hidden="false" customHeight="true" outlineLevel="0" collapsed="false">
      <c r="J960" s="14" t="b">
        <f aca="false">IF(중복검사!$A958="",FALSE(),중복검사!$H958="중복")</f>
        <v>0</v>
      </c>
      <c r="K960" s="5" t="str">
        <f aca="false">IF($J960=FALSE(),"",COUNTIF($J$6:$J960,TRUE()))</f>
        <v/>
      </c>
      <c r="L960" s="5" t="str">
        <f aca="false">IF($K960="","","R"&amp;$K960)</f>
        <v/>
      </c>
    </row>
    <row r="961" customFormat="false" ht="15" hidden="false" customHeight="true" outlineLevel="0" collapsed="false">
      <c r="J961" s="14" t="b">
        <f aca="false">IF(중복검사!$A959="",FALSE(),중복검사!$H959="중복")</f>
        <v>0</v>
      </c>
      <c r="K961" s="5" t="str">
        <f aca="false">IF($J961=FALSE(),"",COUNTIF($J$6:$J961,TRUE()))</f>
        <v/>
      </c>
      <c r="L961" s="5" t="str">
        <f aca="false">IF($K961="","","R"&amp;$K961)</f>
        <v/>
      </c>
    </row>
    <row r="962" customFormat="false" ht="15" hidden="false" customHeight="true" outlineLevel="0" collapsed="false">
      <c r="J962" s="14" t="b">
        <f aca="false">IF(중복검사!$A960="",FALSE(),중복검사!$H960="중복")</f>
        <v>0</v>
      </c>
      <c r="K962" s="5" t="str">
        <f aca="false">IF($J962=FALSE(),"",COUNTIF($J$6:$J962,TRUE()))</f>
        <v/>
      </c>
      <c r="L962" s="5" t="str">
        <f aca="false">IF($K962="","","R"&amp;$K962)</f>
        <v/>
      </c>
    </row>
    <row r="963" customFormat="false" ht="15" hidden="false" customHeight="true" outlineLevel="0" collapsed="false">
      <c r="J963" s="14" t="b">
        <f aca="false">IF(중복검사!$A961="",FALSE(),중복검사!$H961="중복")</f>
        <v>0</v>
      </c>
      <c r="K963" s="5" t="str">
        <f aca="false">IF($J963=FALSE(),"",COUNTIF($J$6:$J963,TRUE()))</f>
        <v/>
      </c>
      <c r="L963" s="5" t="str">
        <f aca="false">IF($K963="","","R"&amp;$K963)</f>
        <v/>
      </c>
    </row>
    <row r="964" customFormat="false" ht="15" hidden="false" customHeight="true" outlineLevel="0" collapsed="false">
      <c r="J964" s="14" t="b">
        <f aca="false">IF(중복검사!$A962="",FALSE(),중복검사!$H962="중복")</f>
        <v>0</v>
      </c>
      <c r="K964" s="5" t="str">
        <f aca="false">IF($J964=FALSE(),"",COUNTIF($J$6:$J964,TRUE()))</f>
        <v/>
      </c>
      <c r="L964" s="5" t="str">
        <f aca="false">IF($K964="","","R"&amp;$K964)</f>
        <v/>
      </c>
    </row>
    <row r="965" customFormat="false" ht="15" hidden="false" customHeight="true" outlineLevel="0" collapsed="false">
      <c r="J965" s="14" t="b">
        <f aca="false">IF(중복검사!$A963="",FALSE(),중복검사!$H963="중복")</f>
        <v>0</v>
      </c>
      <c r="K965" s="5" t="str">
        <f aca="false">IF($J965=FALSE(),"",COUNTIF($J$6:$J965,TRUE()))</f>
        <v/>
      </c>
      <c r="L965" s="5" t="str">
        <f aca="false">IF($K965="","","R"&amp;$K965)</f>
        <v/>
      </c>
    </row>
    <row r="966" customFormat="false" ht="15" hidden="false" customHeight="true" outlineLevel="0" collapsed="false">
      <c r="J966" s="14" t="b">
        <f aca="false">IF(중복검사!$A964="",FALSE(),중복검사!$H964="중복")</f>
        <v>0</v>
      </c>
      <c r="K966" s="5" t="str">
        <f aca="false">IF($J966=FALSE(),"",COUNTIF($J$6:$J966,TRUE()))</f>
        <v/>
      </c>
      <c r="L966" s="5" t="str">
        <f aca="false">IF($K966="","","R"&amp;$K966)</f>
        <v/>
      </c>
    </row>
    <row r="967" customFormat="false" ht="15" hidden="false" customHeight="true" outlineLevel="0" collapsed="false">
      <c r="J967" s="14" t="b">
        <f aca="false">IF(중복검사!$A965="",FALSE(),중복검사!$H965="중복")</f>
        <v>0</v>
      </c>
      <c r="K967" s="5" t="str">
        <f aca="false">IF($J967=FALSE(),"",COUNTIF($J$6:$J967,TRUE()))</f>
        <v/>
      </c>
      <c r="L967" s="5" t="str">
        <f aca="false">IF($K967="","","R"&amp;$K967)</f>
        <v/>
      </c>
    </row>
    <row r="968" customFormat="false" ht="15" hidden="false" customHeight="true" outlineLevel="0" collapsed="false">
      <c r="J968" s="14" t="b">
        <f aca="false">IF(중복검사!$A966="",FALSE(),중복검사!$H966="중복")</f>
        <v>0</v>
      </c>
      <c r="K968" s="5" t="str">
        <f aca="false">IF($J968=FALSE(),"",COUNTIF($J$6:$J968,TRUE()))</f>
        <v/>
      </c>
      <c r="L968" s="5" t="str">
        <f aca="false">IF($K968="","","R"&amp;$K968)</f>
        <v/>
      </c>
    </row>
    <row r="969" customFormat="false" ht="15" hidden="false" customHeight="true" outlineLevel="0" collapsed="false">
      <c r="J969" s="14" t="b">
        <f aca="false">IF(중복검사!$A967="",FALSE(),중복검사!$H967="중복")</f>
        <v>0</v>
      </c>
      <c r="K969" s="5" t="str">
        <f aca="false">IF($J969=FALSE(),"",COUNTIF($J$6:$J969,TRUE()))</f>
        <v/>
      </c>
      <c r="L969" s="5" t="str">
        <f aca="false">IF($K969="","","R"&amp;$K969)</f>
        <v/>
      </c>
    </row>
    <row r="970" customFormat="false" ht="15" hidden="false" customHeight="true" outlineLevel="0" collapsed="false">
      <c r="J970" s="14" t="b">
        <f aca="false">IF(중복검사!$A968="",FALSE(),중복검사!$H968="중복")</f>
        <v>0</v>
      </c>
      <c r="K970" s="5" t="str">
        <f aca="false">IF($J970=FALSE(),"",COUNTIF($J$6:$J970,TRUE()))</f>
        <v/>
      </c>
      <c r="L970" s="5" t="str">
        <f aca="false">IF($K970="","","R"&amp;$K970)</f>
        <v/>
      </c>
    </row>
    <row r="971" customFormat="false" ht="15" hidden="false" customHeight="true" outlineLevel="0" collapsed="false">
      <c r="J971" s="14" t="b">
        <f aca="false">IF(중복검사!$A969="",FALSE(),중복검사!$H969="중복")</f>
        <v>0</v>
      </c>
      <c r="K971" s="5" t="str">
        <f aca="false">IF($J971=FALSE(),"",COUNTIF($J$6:$J971,TRUE()))</f>
        <v/>
      </c>
      <c r="L971" s="5" t="str">
        <f aca="false">IF($K971="","","R"&amp;$K971)</f>
        <v/>
      </c>
    </row>
    <row r="972" customFormat="false" ht="15" hidden="false" customHeight="true" outlineLevel="0" collapsed="false">
      <c r="J972" s="14" t="b">
        <f aca="false">IF(중복검사!$A970="",FALSE(),중복검사!$H970="중복")</f>
        <v>0</v>
      </c>
      <c r="K972" s="5" t="str">
        <f aca="false">IF($J972=FALSE(),"",COUNTIF($J$6:$J972,TRUE()))</f>
        <v/>
      </c>
      <c r="L972" s="5" t="str">
        <f aca="false">IF($K972="","","R"&amp;$K972)</f>
        <v/>
      </c>
    </row>
    <row r="973" customFormat="false" ht="15" hidden="false" customHeight="true" outlineLevel="0" collapsed="false">
      <c r="J973" s="14" t="b">
        <f aca="false">IF(중복검사!$A971="",FALSE(),중복검사!$H971="중복")</f>
        <v>0</v>
      </c>
      <c r="K973" s="5" t="str">
        <f aca="false">IF($J973=FALSE(),"",COUNTIF($J$6:$J973,TRUE()))</f>
        <v/>
      </c>
      <c r="L973" s="5" t="str">
        <f aca="false">IF($K973="","","R"&amp;$K973)</f>
        <v/>
      </c>
    </row>
    <row r="974" customFormat="false" ht="15" hidden="false" customHeight="true" outlineLevel="0" collapsed="false">
      <c r="J974" s="14" t="b">
        <f aca="false">IF(중복검사!$A972="",FALSE(),중복검사!$H972="중복")</f>
        <v>0</v>
      </c>
      <c r="K974" s="5" t="str">
        <f aca="false">IF($J974=FALSE(),"",COUNTIF($J$6:$J974,TRUE()))</f>
        <v/>
      </c>
      <c r="L974" s="5" t="str">
        <f aca="false">IF($K974="","","R"&amp;$K974)</f>
        <v/>
      </c>
    </row>
    <row r="975" customFormat="false" ht="15" hidden="false" customHeight="true" outlineLevel="0" collapsed="false">
      <c r="J975" s="14" t="b">
        <f aca="false">IF(중복검사!$A973="",FALSE(),중복검사!$H973="중복")</f>
        <v>0</v>
      </c>
      <c r="K975" s="5" t="str">
        <f aca="false">IF($J975=FALSE(),"",COUNTIF($J$6:$J975,TRUE()))</f>
        <v/>
      </c>
      <c r="L975" s="5" t="str">
        <f aca="false">IF($K975="","","R"&amp;$K975)</f>
        <v/>
      </c>
    </row>
    <row r="976" customFormat="false" ht="15" hidden="false" customHeight="true" outlineLevel="0" collapsed="false">
      <c r="J976" s="14" t="b">
        <f aca="false">IF(중복검사!$A974="",FALSE(),중복검사!$H974="중복")</f>
        <v>0</v>
      </c>
      <c r="K976" s="5" t="str">
        <f aca="false">IF($J976=FALSE(),"",COUNTIF($J$6:$J976,TRUE()))</f>
        <v/>
      </c>
      <c r="L976" s="5" t="str">
        <f aca="false">IF($K976="","","R"&amp;$K976)</f>
        <v/>
      </c>
    </row>
    <row r="977" customFormat="false" ht="15" hidden="false" customHeight="true" outlineLevel="0" collapsed="false">
      <c r="J977" s="14" t="b">
        <f aca="false">IF(중복검사!$A975="",FALSE(),중복검사!$H975="중복")</f>
        <v>0</v>
      </c>
      <c r="K977" s="5" t="str">
        <f aca="false">IF($J977=FALSE(),"",COUNTIF($J$6:$J977,TRUE()))</f>
        <v/>
      </c>
      <c r="L977" s="5" t="str">
        <f aca="false">IF($K977="","","R"&amp;$K977)</f>
        <v/>
      </c>
    </row>
    <row r="978" customFormat="false" ht="15" hidden="false" customHeight="true" outlineLevel="0" collapsed="false">
      <c r="J978" s="14" t="b">
        <f aca="false">IF(중복검사!$A976="",FALSE(),중복검사!$H976="중복")</f>
        <v>0</v>
      </c>
      <c r="K978" s="5" t="str">
        <f aca="false">IF($J978=FALSE(),"",COUNTIF($J$6:$J978,TRUE()))</f>
        <v/>
      </c>
      <c r="L978" s="5" t="str">
        <f aca="false">IF($K978="","","R"&amp;$K978)</f>
        <v/>
      </c>
    </row>
    <row r="979" customFormat="false" ht="15" hidden="false" customHeight="true" outlineLevel="0" collapsed="false">
      <c r="J979" s="14" t="b">
        <f aca="false">IF(중복검사!$A977="",FALSE(),중복검사!$H977="중복")</f>
        <v>0</v>
      </c>
      <c r="K979" s="5" t="str">
        <f aca="false">IF($J979=FALSE(),"",COUNTIF($J$6:$J979,TRUE()))</f>
        <v/>
      </c>
      <c r="L979" s="5" t="str">
        <f aca="false">IF($K979="","","R"&amp;$K979)</f>
        <v/>
      </c>
    </row>
    <row r="980" customFormat="false" ht="15" hidden="false" customHeight="true" outlineLevel="0" collapsed="false">
      <c r="J980" s="14" t="b">
        <f aca="false">IF(중복검사!$A978="",FALSE(),중복검사!$H978="중복")</f>
        <v>0</v>
      </c>
      <c r="K980" s="5" t="str">
        <f aca="false">IF($J980=FALSE(),"",COUNTIF($J$6:$J980,TRUE()))</f>
        <v/>
      </c>
      <c r="L980" s="5" t="str">
        <f aca="false">IF($K980="","","R"&amp;$K980)</f>
        <v/>
      </c>
    </row>
    <row r="981" customFormat="false" ht="15" hidden="false" customHeight="true" outlineLevel="0" collapsed="false">
      <c r="J981" s="14" t="b">
        <f aca="false">IF(중복검사!$A979="",FALSE(),중복검사!$H979="중복")</f>
        <v>0</v>
      </c>
      <c r="K981" s="5" t="str">
        <f aca="false">IF($J981=FALSE(),"",COUNTIF($J$6:$J981,TRUE()))</f>
        <v/>
      </c>
      <c r="L981" s="5" t="str">
        <f aca="false">IF($K981="","","R"&amp;$K981)</f>
        <v/>
      </c>
    </row>
    <row r="982" customFormat="false" ht="15" hidden="false" customHeight="true" outlineLevel="0" collapsed="false">
      <c r="J982" s="14" t="b">
        <f aca="false">IF(중복검사!$A980="",FALSE(),중복검사!$H980="중복")</f>
        <v>0</v>
      </c>
      <c r="K982" s="5" t="str">
        <f aca="false">IF($J982=FALSE(),"",COUNTIF($J$6:$J982,TRUE()))</f>
        <v/>
      </c>
      <c r="L982" s="5" t="str">
        <f aca="false">IF($K982="","","R"&amp;$K982)</f>
        <v/>
      </c>
    </row>
    <row r="983" customFormat="false" ht="15" hidden="false" customHeight="true" outlineLevel="0" collapsed="false">
      <c r="J983" s="14" t="b">
        <f aca="false">IF(중복검사!$A981="",FALSE(),중복검사!$H981="중복")</f>
        <v>0</v>
      </c>
      <c r="K983" s="5" t="str">
        <f aca="false">IF($J983=FALSE(),"",COUNTIF($J$6:$J983,TRUE()))</f>
        <v/>
      </c>
      <c r="L983" s="5" t="str">
        <f aca="false">IF($K983="","","R"&amp;$K983)</f>
        <v/>
      </c>
    </row>
    <row r="984" customFormat="false" ht="15" hidden="false" customHeight="true" outlineLevel="0" collapsed="false">
      <c r="J984" s="14" t="b">
        <f aca="false">IF(중복검사!$A982="",FALSE(),중복검사!$H982="중복")</f>
        <v>0</v>
      </c>
      <c r="K984" s="5" t="str">
        <f aca="false">IF($J984=FALSE(),"",COUNTIF($J$6:$J984,TRUE()))</f>
        <v/>
      </c>
      <c r="L984" s="5" t="str">
        <f aca="false">IF($K984="","","R"&amp;$K984)</f>
        <v/>
      </c>
    </row>
    <row r="985" customFormat="false" ht="15" hidden="false" customHeight="true" outlineLevel="0" collapsed="false">
      <c r="J985" s="14" t="b">
        <f aca="false">IF(중복검사!$A983="",FALSE(),중복검사!$H983="중복")</f>
        <v>0</v>
      </c>
      <c r="K985" s="5" t="str">
        <f aca="false">IF($J985=FALSE(),"",COUNTIF($J$6:$J985,TRUE()))</f>
        <v/>
      </c>
      <c r="L985" s="5" t="str">
        <f aca="false">IF($K985="","","R"&amp;$K985)</f>
        <v/>
      </c>
    </row>
    <row r="986" customFormat="false" ht="15" hidden="false" customHeight="true" outlineLevel="0" collapsed="false">
      <c r="J986" s="14" t="b">
        <f aca="false">IF(중복검사!$A984="",FALSE(),중복검사!$H984="중복")</f>
        <v>0</v>
      </c>
      <c r="K986" s="5" t="str">
        <f aca="false">IF($J986=FALSE(),"",COUNTIF($J$6:$J986,TRUE()))</f>
        <v/>
      </c>
      <c r="L986" s="5" t="str">
        <f aca="false">IF($K986="","","R"&amp;$K986)</f>
        <v/>
      </c>
    </row>
    <row r="987" customFormat="false" ht="15" hidden="false" customHeight="true" outlineLevel="0" collapsed="false">
      <c r="J987" s="14" t="b">
        <f aca="false">IF(중복검사!$A985="",FALSE(),중복검사!$H985="중복")</f>
        <v>0</v>
      </c>
      <c r="K987" s="5" t="str">
        <f aca="false">IF($J987=FALSE(),"",COUNTIF($J$6:$J987,TRUE()))</f>
        <v/>
      </c>
      <c r="L987" s="5" t="str">
        <f aca="false">IF($K987="","","R"&amp;$K987)</f>
        <v/>
      </c>
    </row>
    <row r="988" customFormat="false" ht="15" hidden="false" customHeight="true" outlineLevel="0" collapsed="false">
      <c r="J988" s="14" t="b">
        <f aca="false">IF(중복검사!$A986="",FALSE(),중복검사!$H986="중복")</f>
        <v>0</v>
      </c>
      <c r="K988" s="5" t="str">
        <f aca="false">IF($J988=FALSE(),"",COUNTIF($J$6:$J988,TRUE()))</f>
        <v/>
      </c>
      <c r="L988" s="5" t="str">
        <f aca="false">IF($K988="","","R"&amp;$K988)</f>
        <v/>
      </c>
    </row>
    <row r="989" customFormat="false" ht="15" hidden="false" customHeight="true" outlineLevel="0" collapsed="false">
      <c r="J989" s="14" t="b">
        <f aca="false">IF(중복검사!$A987="",FALSE(),중복검사!$H987="중복")</f>
        <v>0</v>
      </c>
      <c r="K989" s="5" t="str">
        <f aca="false">IF($J989=FALSE(),"",COUNTIF($J$6:$J989,TRUE()))</f>
        <v/>
      </c>
      <c r="L989" s="5" t="str">
        <f aca="false">IF($K989="","","R"&amp;$K989)</f>
        <v/>
      </c>
    </row>
    <row r="990" customFormat="false" ht="15" hidden="false" customHeight="true" outlineLevel="0" collapsed="false">
      <c r="J990" s="14" t="b">
        <f aca="false">IF(중복검사!$A988="",FALSE(),중복검사!$H988="중복")</f>
        <v>0</v>
      </c>
      <c r="K990" s="5" t="str">
        <f aca="false">IF($J990=FALSE(),"",COUNTIF($J$6:$J990,TRUE()))</f>
        <v/>
      </c>
      <c r="L990" s="5" t="str">
        <f aca="false">IF($K990="","","R"&amp;$K990)</f>
        <v/>
      </c>
    </row>
    <row r="991" customFormat="false" ht="15" hidden="false" customHeight="true" outlineLevel="0" collapsed="false">
      <c r="J991" s="14" t="b">
        <f aca="false">IF(중복검사!$A989="",FALSE(),중복검사!$H989="중복")</f>
        <v>0</v>
      </c>
      <c r="K991" s="5" t="str">
        <f aca="false">IF($J991=FALSE(),"",COUNTIF($J$6:$J991,TRUE()))</f>
        <v/>
      </c>
      <c r="L991" s="5" t="str">
        <f aca="false">IF($K991="","","R"&amp;$K991)</f>
        <v/>
      </c>
    </row>
    <row r="992" customFormat="false" ht="15" hidden="false" customHeight="true" outlineLevel="0" collapsed="false">
      <c r="J992" s="14" t="b">
        <f aca="false">IF(중복검사!$A990="",FALSE(),중복검사!$H990="중복")</f>
        <v>0</v>
      </c>
      <c r="K992" s="5" t="str">
        <f aca="false">IF($J992=FALSE(),"",COUNTIF($J$6:$J992,TRUE()))</f>
        <v/>
      </c>
      <c r="L992" s="5" t="str">
        <f aca="false">IF($K992="","","R"&amp;$K992)</f>
        <v/>
      </c>
    </row>
    <row r="993" customFormat="false" ht="15" hidden="false" customHeight="true" outlineLevel="0" collapsed="false">
      <c r="J993" s="14" t="b">
        <f aca="false">IF(중복검사!$A991="",FALSE(),중복검사!$H991="중복")</f>
        <v>0</v>
      </c>
      <c r="K993" s="5" t="str">
        <f aca="false">IF($J993=FALSE(),"",COUNTIF($J$6:$J993,TRUE()))</f>
        <v/>
      </c>
      <c r="L993" s="5" t="str">
        <f aca="false">IF($K993="","","R"&amp;$K993)</f>
        <v/>
      </c>
    </row>
    <row r="994" customFormat="false" ht="15" hidden="false" customHeight="true" outlineLevel="0" collapsed="false">
      <c r="J994" s="14" t="b">
        <f aca="false">IF(중복검사!$A992="",FALSE(),중복검사!$H992="중복")</f>
        <v>0</v>
      </c>
      <c r="K994" s="5" t="str">
        <f aca="false">IF($J994=FALSE(),"",COUNTIF($J$6:$J994,TRUE()))</f>
        <v/>
      </c>
      <c r="L994" s="5" t="str">
        <f aca="false">IF($K994="","","R"&amp;$K994)</f>
        <v/>
      </c>
    </row>
    <row r="995" customFormat="false" ht="15" hidden="false" customHeight="true" outlineLevel="0" collapsed="false">
      <c r="J995" s="14" t="b">
        <f aca="false">IF(중복검사!$A993="",FALSE(),중복검사!$H993="중복")</f>
        <v>0</v>
      </c>
      <c r="K995" s="5" t="str">
        <f aca="false">IF($J995=FALSE(),"",COUNTIF($J$6:$J995,TRUE()))</f>
        <v/>
      </c>
      <c r="L995" s="5" t="str">
        <f aca="false">IF($K995="","","R"&amp;$K995)</f>
        <v/>
      </c>
    </row>
    <row r="996" customFormat="false" ht="15" hidden="false" customHeight="true" outlineLevel="0" collapsed="false">
      <c r="J996" s="14" t="b">
        <f aca="false">IF(중복검사!$A994="",FALSE(),중복검사!$H994="중복")</f>
        <v>0</v>
      </c>
      <c r="K996" s="5" t="str">
        <f aca="false">IF($J996=FALSE(),"",COUNTIF($J$6:$J996,TRUE()))</f>
        <v/>
      </c>
      <c r="L996" s="5" t="str">
        <f aca="false">IF($K996="","","R"&amp;$K996)</f>
        <v/>
      </c>
    </row>
    <row r="997" customFormat="false" ht="15" hidden="false" customHeight="true" outlineLevel="0" collapsed="false">
      <c r="J997" s="14" t="b">
        <f aca="false">IF(중복검사!$A995="",FALSE(),중복검사!$H995="중복")</f>
        <v>0</v>
      </c>
      <c r="K997" s="5" t="str">
        <f aca="false">IF($J997=FALSE(),"",COUNTIF($J$6:$J997,TRUE()))</f>
        <v/>
      </c>
      <c r="L997" s="5" t="str">
        <f aca="false">IF($K997="","","R"&amp;$K997)</f>
        <v/>
      </c>
    </row>
    <row r="998" customFormat="false" ht="15" hidden="false" customHeight="true" outlineLevel="0" collapsed="false">
      <c r="J998" s="14" t="b">
        <f aca="false">IF(중복검사!$A996="",FALSE(),중복검사!$H996="중복")</f>
        <v>0</v>
      </c>
      <c r="K998" s="5" t="str">
        <f aca="false">IF($J998=FALSE(),"",COUNTIF($J$6:$J998,TRUE()))</f>
        <v/>
      </c>
      <c r="L998" s="5" t="str">
        <f aca="false">IF($K998="","","R"&amp;$K998)</f>
        <v/>
      </c>
    </row>
    <row r="999" customFormat="false" ht="15" hidden="false" customHeight="true" outlineLevel="0" collapsed="false">
      <c r="J999" s="14" t="b">
        <f aca="false">IF(중복검사!$A997="",FALSE(),중복검사!$H997="중복")</f>
        <v>0</v>
      </c>
      <c r="K999" s="5" t="str">
        <f aca="false">IF($J999=FALSE(),"",COUNTIF($J$6:$J999,TRUE()))</f>
        <v/>
      </c>
      <c r="L999" s="5" t="str">
        <f aca="false">IF($K999="","","R"&amp;$K999)</f>
        <v/>
      </c>
    </row>
    <row r="1000" customFormat="false" ht="15" hidden="false" customHeight="true" outlineLevel="0" collapsed="false">
      <c r="J1000" s="14" t="b">
        <f aca="false">IF(중복검사!$A998="",FALSE(),중복검사!$H998="중복")</f>
        <v>0</v>
      </c>
      <c r="K1000" s="5" t="str">
        <f aca="false">IF($J1000=FALSE(),"",COUNTIF($J$6:$J1000,TRUE()))</f>
        <v/>
      </c>
      <c r="L1000" s="5" t="str">
        <f aca="false">IF($K1000="","","R"&amp;$K1000)</f>
        <v/>
      </c>
    </row>
    <row r="1001" customFormat="false" ht="15" hidden="false" customHeight="true" outlineLevel="0" collapsed="false">
      <c r="J1001" s="14" t="b">
        <f aca="false">IF(중복검사!$A999="",FALSE(),중복검사!$H999="중복")</f>
        <v>0</v>
      </c>
      <c r="K1001" s="5" t="str">
        <f aca="false">IF($J1001=FALSE(),"",COUNTIF($J$6:$J1001,TRUE()))</f>
        <v/>
      </c>
      <c r="L1001" s="5" t="str">
        <f aca="false">IF($K1001="","","R"&amp;$K1001)</f>
        <v/>
      </c>
    </row>
    <row r="1002" customFormat="false" ht="15" hidden="false" customHeight="true" outlineLevel="0" collapsed="false">
      <c r="J1002" s="14" t="b">
        <f aca="false">IF(중복검사!$A1000="",FALSE(),중복검사!$H1000="중복")</f>
        <v>0</v>
      </c>
      <c r="K1002" s="5" t="str">
        <f aca="false">IF($J1002=FALSE(),"",COUNTIF($J$6:$J1002,TRUE()))</f>
        <v/>
      </c>
      <c r="L1002" s="5" t="str">
        <f aca="false">IF($K1002="","","R"&amp;$K1002)</f>
        <v/>
      </c>
    </row>
    <row r="1003" customFormat="false" ht="15" hidden="false" customHeight="true" outlineLevel="0" collapsed="false">
      <c r="J1003" s="14" t="b">
        <f aca="false">IF(중복검사!$A1001="",FALSE(),중복검사!$H1001="중복")</f>
        <v>0</v>
      </c>
      <c r="K1003" s="5" t="str">
        <f aca="false">IF($J1003=FALSE(),"",COUNTIF($J$6:$J1003,TRUE()))</f>
        <v/>
      </c>
      <c r="L1003" s="5" t="str">
        <f aca="false">IF($K1003="","","R"&amp;$K1003)</f>
        <v/>
      </c>
    </row>
    <row r="1004" customFormat="false" ht="15" hidden="false" customHeight="true" outlineLevel="0" collapsed="false">
      <c r="J1004" s="14" t="b">
        <f aca="false">IF(중복검사!$A1002="",FALSE(),중복검사!$H1002="중복")</f>
        <v>0</v>
      </c>
      <c r="K1004" s="5" t="str">
        <f aca="false">IF($J1004=FALSE(),"",COUNTIF($J$6:$J1004,TRUE()))</f>
        <v/>
      </c>
      <c r="L1004" s="5" t="str">
        <f aca="false">IF($K1004="","","R"&amp;$K1004)</f>
        <v/>
      </c>
    </row>
    <row r="1005" customFormat="false" ht="15" hidden="false" customHeight="true" outlineLevel="0" collapsed="false">
      <c r="J1005" s="14" t="b">
        <f aca="false">IF(중복검사!$A1003="",FALSE(),중복검사!$H1003="중복")</f>
        <v>0</v>
      </c>
      <c r="K1005" s="5" t="str">
        <f aca="false">IF($J1005=FALSE(),"",COUNTIF($J$6:$J1005,TRUE()))</f>
        <v/>
      </c>
      <c r="L1005" s="5" t="str">
        <f aca="false">IF($K1005="","","R"&amp;$K1005)</f>
        <v/>
      </c>
    </row>
    <row r="1006" customFormat="false" ht="15" hidden="false" customHeight="true" outlineLevel="0" collapsed="false">
      <c r="J1006" s="14" t="b">
        <f aca="false">IF(중복검사!$A1004="",FALSE(),중복검사!$H1004="중복")</f>
        <v>0</v>
      </c>
      <c r="K1006" s="5" t="str">
        <f aca="false">IF($J1006=FALSE(),"",COUNTIF($J$6:$J1006,TRUE()))</f>
        <v/>
      </c>
      <c r="L1006" s="5" t="str">
        <f aca="false">IF($K1006="","","R"&amp;$K1006)</f>
        <v/>
      </c>
    </row>
    <row r="1007" customFormat="false" ht="15" hidden="false" customHeight="true" outlineLevel="0" collapsed="false">
      <c r="J1007" s="14" t="b">
        <f aca="false">IF(중복검사!$A1005="",FALSE(),중복검사!$H1005="중복")</f>
        <v>0</v>
      </c>
      <c r="K1007" s="5" t="str">
        <f aca="false">IF($J1007=FALSE(),"",COUNTIF($J$6:$J1007,TRUE()))</f>
        <v/>
      </c>
      <c r="L1007" s="5" t="str">
        <f aca="false">IF($K1007="","","R"&amp;$K1007)</f>
        <v/>
      </c>
    </row>
    <row r="1008" customFormat="false" ht="15" hidden="false" customHeight="true" outlineLevel="0" collapsed="false">
      <c r="J1008" s="14" t="b">
        <f aca="false">IF(중복검사!$A1006="",FALSE(),중복검사!$H1006="중복")</f>
        <v>0</v>
      </c>
      <c r="K1008" s="5" t="str">
        <f aca="false">IF($J1008=FALSE(),"",COUNTIF($J$6:$J1008,TRUE()))</f>
        <v/>
      </c>
      <c r="L1008" s="5" t="str">
        <f aca="false">IF($K1008="","","R"&amp;$K1008)</f>
        <v/>
      </c>
    </row>
    <row r="1009" customFormat="false" ht="15" hidden="false" customHeight="true" outlineLevel="0" collapsed="false">
      <c r="J1009" s="14" t="b">
        <f aca="false">IF(중복검사!$A1007="",FALSE(),중복검사!$H1007="중복")</f>
        <v>0</v>
      </c>
      <c r="K1009" s="5" t="str">
        <f aca="false">IF($J1009=FALSE(),"",COUNTIF($J$6:$J1009,TRUE()))</f>
        <v/>
      </c>
      <c r="L1009" s="5" t="str">
        <f aca="false">IF($K1009="","","R"&amp;$K1009)</f>
        <v/>
      </c>
    </row>
    <row r="1010" customFormat="false" ht="15" hidden="false" customHeight="true" outlineLevel="0" collapsed="false">
      <c r="J1010" s="14" t="b">
        <f aca="false">IF(중복검사!$A1008="",FALSE(),중복검사!$H1008="중복")</f>
        <v>0</v>
      </c>
      <c r="K1010" s="5" t="str">
        <f aca="false">IF($J1010=FALSE(),"",COUNTIF($J$6:$J1010,TRUE()))</f>
        <v/>
      </c>
      <c r="L1010" s="5" t="str">
        <f aca="false">IF($K1010="","","R"&amp;$K1010)</f>
        <v/>
      </c>
    </row>
    <row r="1011" customFormat="false" ht="15" hidden="false" customHeight="true" outlineLevel="0" collapsed="false">
      <c r="J1011" s="14" t="b">
        <f aca="false">IF(중복검사!$A1009="",FALSE(),중복검사!$H1009="중복")</f>
        <v>0</v>
      </c>
      <c r="K1011" s="5" t="str">
        <f aca="false">IF($J1011=FALSE(),"",COUNTIF($J$6:$J1011,TRUE()))</f>
        <v/>
      </c>
      <c r="L1011" s="5" t="str">
        <f aca="false">IF($K1011="","","R"&amp;$K1011)</f>
        <v/>
      </c>
    </row>
    <row r="1012" customFormat="false" ht="15" hidden="false" customHeight="true" outlineLevel="0" collapsed="false">
      <c r="J1012" s="14" t="b">
        <f aca="false">IF(중복검사!$A1010="",FALSE(),중복검사!$H1010="중복")</f>
        <v>0</v>
      </c>
      <c r="K1012" s="5" t="str">
        <f aca="false">IF($J1012=FALSE(),"",COUNTIF($J$6:$J1012,TRUE()))</f>
        <v/>
      </c>
      <c r="L1012" s="5" t="str">
        <f aca="false">IF($K1012="","","R"&amp;$K1012)</f>
        <v/>
      </c>
    </row>
    <row r="1013" customFormat="false" ht="15" hidden="false" customHeight="true" outlineLevel="0" collapsed="false">
      <c r="J1013" s="14" t="b">
        <f aca="false">IF(중복검사!$A1011="",FALSE(),중복검사!$H1011="중복")</f>
        <v>0</v>
      </c>
      <c r="K1013" s="5" t="str">
        <f aca="false">IF($J1013=FALSE(),"",COUNTIF($J$6:$J1013,TRUE()))</f>
        <v/>
      </c>
      <c r="L1013" s="5" t="str">
        <f aca="false">IF($K1013="","","R"&amp;$K1013)</f>
        <v/>
      </c>
    </row>
    <row r="1014" customFormat="false" ht="15" hidden="false" customHeight="true" outlineLevel="0" collapsed="false">
      <c r="J1014" s="14" t="b">
        <f aca="false">IF(중복검사!$A1012="",FALSE(),중복검사!$H1012="중복")</f>
        <v>0</v>
      </c>
      <c r="K1014" s="5" t="str">
        <f aca="false">IF($J1014=FALSE(),"",COUNTIF($J$6:$J1014,TRUE()))</f>
        <v/>
      </c>
      <c r="L1014" s="5" t="str">
        <f aca="false">IF($K1014="","","R"&amp;$K1014)</f>
        <v/>
      </c>
    </row>
    <row r="1015" customFormat="false" ht="15" hidden="false" customHeight="true" outlineLevel="0" collapsed="false">
      <c r="J1015" s="14" t="b">
        <f aca="false">IF(중복검사!$A1013="",FALSE(),중복검사!$H1013="중복")</f>
        <v>0</v>
      </c>
      <c r="K1015" s="5" t="str">
        <f aca="false">IF($J1015=FALSE(),"",COUNTIF($J$6:$J1015,TRUE()))</f>
        <v/>
      </c>
      <c r="L1015" s="5" t="str">
        <f aca="false">IF($K1015="","","R"&amp;$K1015)</f>
        <v/>
      </c>
    </row>
    <row r="1016" customFormat="false" ht="15" hidden="false" customHeight="true" outlineLevel="0" collapsed="false">
      <c r="J1016" s="14" t="b">
        <f aca="false">IF(중복검사!$A1014="",FALSE(),중복검사!$H1014="중복")</f>
        <v>0</v>
      </c>
      <c r="K1016" s="5" t="str">
        <f aca="false">IF($J1016=FALSE(),"",COUNTIF($J$6:$J1016,TRUE()))</f>
        <v/>
      </c>
      <c r="L1016" s="5" t="str">
        <f aca="false">IF($K1016="","","R"&amp;$K1016)</f>
        <v/>
      </c>
    </row>
    <row r="1017" customFormat="false" ht="15" hidden="false" customHeight="true" outlineLevel="0" collapsed="false">
      <c r="J1017" s="14" t="b">
        <f aca="false">IF(중복검사!$A1015="",FALSE(),중복검사!$H1015="중복")</f>
        <v>0</v>
      </c>
      <c r="K1017" s="5" t="str">
        <f aca="false">IF($J1017=FALSE(),"",COUNTIF($J$6:$J1017,TRUE()))</f>
        <v/>
      </c>
      <c r="L1017" s="5" t="str">
        <f aca="false">IF($K1017="","","R"&amp;$K1017)</f>
        <v/>
      </c>
    </row>
    <row r="1018" customFormat="false" ht="15" hidden="false" customHeight="true" outlineLevel="0" collapsed="false">
      <c r="J1018" s="14" t="b">
        <f aca="false">IF(중복검사!$A1016="",FALSE(),중복검사!$H1016="중복")</f>
        <v>0</v>
      </c>
      <c r="K1018" s="5" t="str">
        <f aca="false">IF($J1018=FALSE(),"",COUNTIF($J$6:$J1018,TRUE()))</f>
        <v/>
      </c>
      <c r="L1018" s="5" t="str">
        <f aca="false">IF($K1018="","","R"&amp;$K1018)</f>
        <v/>
      </c>
    </row>
    <row r="1019" customFormat="false" ht="15" hidden="false" customHeight="true" outlineLevel="0" collapsed="false">
      <c r="J1019" s="14" t="b">
        <f aca="false">IF(중복검사!$A1017="",FALSE(),중복검사!$H1017="중복")</f>
        <v>0</v>
      </c>
      <c r="K1019" s="5" t="str">
        <f aca="false">IF($J1019=FALSE(),"",COUNTIF($J$6:$J1019,TRUE()))</f>
        <v/>
      </c>
      <c r="L1019" s="5" t="str">
        <f aca="false">IF($K1019="","","R"&amp;$K1019)</f>
        <v/>
      </c>
    </row>
    <row r="1020" customFormat="false" ht="15" hidden="false" customHeight="true" outlineLevel="0" collapsed="false">
      <c r="J1020" s="14" t="b">
        <f aca="false">IF(중복검사!$A1018="",FALSE(),중복검사!$H1018="중복")</f>
        <v>0</v>
      </c>
      <c r="K1020" s="5" t="str">
        <f aca="false">IF($J1020=FALSE(),"",COUNTIF($J$6:$J1020,TRUE()))</f>
        <v/>
      </c>
      <c r="L1020" s="5" t="str">
        <f aca="false">IF($K1020="","","R"&amp;$K1020)</f>
        <v/>
      </c>
    </row>
    <row r="1021" customFormat="false" ht="15" hidden="false" customHeight="true" outlineLevel="0" collapsed="false">
      <c r="J1021" s="14" t="b">
        <f aca="false">IF(중복검사!$A1019="",FALSE(),중복검사!$H1019="중복")</f>
        <v>0</v>
      </c>
      <c r="K1021" s="5" t="str">
        <f aca="false">IF($J1021=FALSE(),"",COUNTIF($J$6:$J1021,TRUE()))</f>
        <v/>
      </c>
      <c r="L1021" s="5" t="str">
        <f aca="false">IF($K1021="","","R"&amp;$K1021)</f>
        <v/>
      </c>
    </row>
    <row r="1022" customFormat="false" ht="15" hidden="false" customHeight="true" outlineLevel="0" collapsed="false">
      <c r="J1022" s="14" t="b">
        <f aca="false">IF(중복검사!$A1020="",FALSE(),중복검사!$H1020="중복")</f>
        <v>0</v>
      </c>
      <c r="K1022" s="5" t="str">
        <f aca="false">IF($J1022=FALSE(),"",COUNTIF($J$6:$J1022,TRUE()))</f>
        <v/>
      </c>
      <c r="L1022" s="5" t="str">
        <f aca="false">IF($K1022="","","R"&amp;$K1022)</f>
        <v/>
      </c>
    </row>
    <row r="1023" customFormat="false" ht="15" hidden="false" customHeight="true" outlineLevel="0" collapsed="false">
      <c r="J1023" s="14" t="b">
        <f aca="false">IF(중복검사!$A1021="",FALSE(),중복검사!$H1021="중복")</f>
        <v>0</v>
      </c>
      <c r="K1023" s="5" t="str">
        <f aca="false">IF($J1023=FALSE(),"",COUNTIF($J$6:$J1023,TRUE()))</f>
        <v/>
      </c>
      <c r="L1023" s="5" t="str">
        <f aca="false">IF($K1023="","","R"&amp;$K1023)</f>
        <v/>
      </c>
    </row>
    <row r="1024" customFormat="false" ht="15" hidden="false" customHeight="true" outlineLevel="0" collapsed="false">
      <c r="J1024" s="14" t="b">
        <f aca="false">IF(중복검사!$A1022="",FALSE(),중복검사!$H1022="중복")</f>
        <v>0</v>
      </c>
      <c r="K1024" s="5" t="str">
        <f aca="false">IF($J1024=FALSE(),"",COUNTIF($J$6:$J1024,TRUE()))</f>
        <v/>
      </c>
      <c r="L1024" s="5" t="str">
        <f aca="false">IF($K1024="","","R"&amp;$K1024)</f>
        <v/>
      </c>
    </row>
    <row r="1025" customFormat="false" ht="15" hidden="false" customHeight="true" outlineLevel="0" collapsed="false">
      <c r="J1025" s="14" t="b">
        <f aca="false">IF(중복검사!$A1023="",FALSE(),중복검사!$H1023="중복")</f>
        <v>0</v>
      </c>
      <c r="K1025" s="5" t="str">
        <f aca="false">IF($J1025=FALSE(),"",COUNTIF($J$6:$J1025,TRUE()))</f>
        <v/>
      </c>
      <c r="L1025" s="5" t="str">
        <f aca="false">IF($K1025="","","R"&amp;$K1025)</f>
        <v/>
      </c>
    </row>
    <row r="1026" customFormat="false" ht="15" hidden="false" customHeight="true" outlineLevel="0" collapsed="false">
      <c r="J1026" s="14" t="b">
        <f aca="false">IF(중복검사!$A1024="",FALSE(),중복검사!$H1024="중복")</f>
        <v>0</v>
      </c>
      <c r="K1026" s="5" t="str">
        <f aca="false">IF($J1026=FALSE(),"",COUNTIF($J$6:$J1026,TRUE()))</f>
        <v/>
      </c>
      <c r="L1026" s="5" t="str">
        <f aca="false">IF($K1026="","","R"&amp;$K1026)</f>
        <v/>
      </c>
    </row>
    <row r="1027" customFormat="false" ht="15" hidden="false" customHeight="true" outlineLevel="0" collapsed="false">
      <c r="J1027" s="14" t="b">
        <f aca="false">IF(중복검사!$A1025="",FALSE(),중복검사!$H1025="중복")</f>
        <v>0</v>
      </c>
      <c r="K1027" s="5" t="str">
        <f aca="false">IF($J1027=FALSE(),"",COUNTIF($J$6:$J1027,TRUE()))</f>
        <v/>
      </c>
      <c r="L1027" s="5" t="str">
        <f aca="false">IF($K1027="","","R"&amp;$K1027)</f>
        <v/>
      </c>
    </row>
    <row r="1028" customFormat="false" ht="15" hidden="false" customHeight="true" outlineLevel="0" collapsed="false">
      <c r="J1028" s="14" t="b">
        <f aca="false">IF(중복검사!$A1026="",FALSE(),중복검사!$H1026="중복")</f>
        <v>0</v>
      </c>
      <c r="K1028" s="5" t="str">
        <f aca="false">IF($J1028=FALSE(),"",COUNTIF($J$6:$J1028,TRUE()))</f>
        <v/>
      </c>
      <c r="L1028" s="5" t="str">
        <f aca="false">IF($K1028="","","R"&amp;$K1028)</f>
        <v/>
      </c>
    </row>
    <row r="1029" customFormat="false" ht="15" hidden="false" customHeight="true" outlineLevel="0" collapsed="false">
      <c r="J1029" s="14" t="b">
        <f aca="false">IF(중복검사!$A1027="",FALSE(),중복검사!$H1027="중복")</f>
        <v>0</v>
      </c>
      <c r="K1029" s="5" t="str">
        <f aca="false">IF($J1029=FALSE(),"",COUNTIF($J$6:$J1029,TRUE()))</f>
        <v/>
      </c>
      <c r="L1029" s="5" t="str">
        <f aca="false">IF($K1029="","","R"&amp;$K1029)</f>
        <v/>
      </c>
    </row>
    <row r="1030" customFormat="false" ht="15" hidden="false" customHeight="true" outlineLevel="0" collapsed="false">
      <c r="J1030" s="14" t="b">
        <f aca="false">IF(중복검사!$A1028="",FALSE(),중복검사!$H1028="중복")</f>
        <v>0</v>
      </c>
      <c r="K1030" s="5" t="str">
        <f aca="false">IF($J1030=FALSE(),"",COUNTIF($J$6:$J1030,TRUE()))</f>
        <v/>
      </c>
      <c r="L1030" s="5" t="str">
        <f aca="false">IF($K1030="","","R"&amp;$K1030)</f>
        <v/>
      </c>
    </row>
    <row r="1031" customFormat="false" ht="15" hidden="false" customHeight="true" outlineLevel="0" collapsed="false">
      <c r="J1031" s="14" t="b">
        <f aca="false">IF(중복검사!$A1029="",FALSE(),중복검사!$H1029="중복")</f>
        <v>0</v>
      </c>
      <c r="K1031" s="5" t="str">
        <f aca="false">IF($J1031=FALSE(),"",COUNTIF($J$6:$J1031,TRUE()))</f>
        <v/>
      </c>
      <c r="L1031" s="5" t="str">
        <f aca="false">IF($K1031="","","R"&amp;$K1031)</f>
        <v/>
      </c>
    </row>
    <row r="1032" customFormat="false" ht="15" hidden="false" customHeight="true" outlineLevel="0" collapsed="false">
      <c r="J1032" s="14" t="b">
        <f aca="false">IF(중복검사!$A1030="",FALSE(),중복검사!$H1030="중복")</f>
        <v>0</v>
      </c>
      <c r="K1032" s="5" t="str">
        <f aca="false">IF($J1032=FALSE(),"",COUNTIF($J$6:$J1032,TRUE()))</f>
        <v/>
      </c>
      <c r="L1032" s="5" t="str">
        <f aca="false">IF($K1032="","","R"&amp;$K1032)</f>
        <v/>
      </c>
    </row>
    <row r="1033" customFormat="false" ht="15" hidden="false" customHeight="true" outlineLevel="0" collapsed="false">
      <c r="J1033" s="14" t="b">
        <f aca="false">IF(중복검사!$A1031="",FALSE(),중복검사!$H1031="중복")</f>
        <v>0</v>
      </c>
      <c r="K1033" s="5" t="str">
        <f aca="false">IF($J1033=FALSE(),"",COUNTIF($J$6:$J1033,TRUE()))</f>
        <v/>
      </c>
      <c r="L1033" s="5" t="str">
        <f aca="false">IF($K1033="","","R"&amp;$K1033)</f>
        <v/>
      </c>
    </row>
    <row r="1034" customFormat="false" ht="15" hidden="false" customHeight="true" outlineLevel="0" collapsed="false">
      <c r="J1034" s="14" t="b">
        <f aca="false">IF(중복검사!$A1032="",FALSE(),중복검사!$H1032="중복")</f>
        <v>0</v>
      </c>
      <c r="K1034" s="5" t="str">
        <f aca="false">IF($J1034=FALSE(),"",COUNTIF($J$6:$J1034,TRUE()))</f>
        <v/>
      </c>
      <c r="L1034" s="5" t="str">
        <f aca="false">IF($K1034="","","R"&amp;$K1034)</f>
        <v/>
      </c>
    </row>
    <row r="1035" customFormat="false" ht="15" hidden="false" customHeight="true" outlineLevel="0" collapsed="false">
      <c r="J1035" s="14" t="b">
        <f aca="false">IF(중복검사!$A1033="",FALSE(),중복검사!$H1033="중복")</f>
        <v>0</v>
      </c>
      <c r="K1035" s="5" t="str">
        <f aca="false">IF($J1035=FALSE(),"",COUNTIF($J$6:$J1035,TRUE()))</f>
        <v/>
      </c>
      <c r="L1035" s="5" t="str">
        <f aca="false">IF($K1035="","","R"&amp;$K1035)</f>
        <v/>
      </c>
    </row>
    <row r="1036" customFormat="false" ht="15" hidden="false" customHeight="true" outlineLevel="0" collapsed="false">
      <c r="J1036" s="14" t="b">
        <f aca="false">IF(중복검사!$A1034="",FALSE(),중복검사!$H1034="중복")</f>
        <v>0</v>
      </c>
      <c r="K1036" s="5" t="str">
        <f aca="false">IF($J1036=FALSE(),"",COUNTIF($J$6:$J1036,TRUE()))</f>
        <v/>
      </c>
      <c r="L1036" s="5" t="str">
        <f aca="false">IF($K1036="","","R"&amp;$K1036)</f>
        <v/>
      </c>
    </row>
    <row r="1037" customFormat="false" ht="15" hidden="false" customHeight="true" outlineLevel="0" collapsed="false">
      <c r="J1037" s="14" t="b">
        <f aca="false">IF(중복검사!$A1035="",FALSE(),중복검사!$H1035="중복")</f>
        <v>0</v>
      </c>
      <c r="K1037" s="5" t="str">
        <f aca="false">IF($J1037=FALSE(),"",COUNTIF($J$6:$J1037,TRUE()))</f>
        <v/>
      </c>
      <c r="L1037" s="5" t="str">
        <f aca="false">IF($K1037="","","R"&amp;$K1037)</f>
        <v/>
      </c>
    </row>
    <row r="1038" customFormat="false" ht="15" hidden="false" customHeight="true" outlineLevel="0" collapsed="false">
      <c r="J1038" s="14" t="b">
        <f aca="false">IF(중복검사!$A1036="",FALSE(),중복검사!$H1036="중복")</f>
        <v>0</v>
      </c>
      <c r="K1038" s="5" t="str">
        <f aca="false">IF($J1038=FALSE(),"",COUNTIF($J$6:$J1038,TRUE()))</f>
        <v/>
      </c>
      <c r="L1038" s="5" t="str">
        <f aca="false">IF($K1038="","","R"&amp;$K1038)</f>
        <v/>
      </c>
    </row>
    <row r="1039" customFormat="false" ht="15" hidden="false" customHeight="true" outlineLevel="0" collapsed="false">
      <c r="J1039" s="14" t="b">
        <f aca="false">IF(중복검사!$A1037="",FALSE(),중복검사!$H1037="중복")</f>
        <v>0</v>
      </c>
      <c r="K1039" s="5" t="str">
        <f aca="false">IF($J1039=FALSE(),"",COUNTIF($J$6:$J1039,TRUE()))</f>
        <v/>
      </c>
      <c r="L1039" s="5" t="str">
        <f aca="false">IF($K1039="","","R"&amp;$K1039)</f>
        <v/>
      </c>
    </row>
    <row r="1040" customFormat="false" ht="15" hidden="false" customHeight="true" outlineLevel="0" collapsed="false">
      <c r="J1040" s="14" t="b">
        <f aca="false">IF(중복검사!$A1038="",FALSE(),중복검사!$H1038="중복")</f>
        <v>0</v>
      </c>
      <c r="K1040" s="5" t="str">
        <f aca="false">IF($J1040=FALSE(),"",COUNTIF($J$6:$J1040,TRUE()))</f>
        <v/>
      </c>
      <c r="L1040" s="5" t="str">
        <f aca="false">IF($K1040="","","R"&amp;$K1040)</f>
        <v/>
      </c>
    </row>
    <row r="1041" customFormat="false" ht="15" hidden="false" customHeight="true" outlineLevel="0" collapsed="false">
      <c r="J1041" s="14" t="b">
        <f aca="false">IF(중복검사!$A1039="",FALSE(),중복검사!$H1039="중복")</f>
        <v>0</v>
      </c>
      <c r="K1041" s="5" t="str">
        <f aca="false">IF($J1041=FALSE(),"",COUNTIF($J$6:$J1041,TRUE()))</f>
        <v/>
      </c>
      <c r="L1041" s="5" t="str">
        <f aca="false">IF($K1041="","","R"&amp;$K1041)</f>
        <v/>
      </c>
    </row>
    <row r="1042" customFormat="false" ht="15" hidden="false" customHeight="true" outlineLevel="0" collapsed="false">
      <c r="J1042" s="14" t="b">
        <f aca="false">IF(중복검사!$A1040="",FALSE(),중복검사!$H1040="중복")</f>
        <v>0</v>
      </c>
      <c r="K1042" s="5" t="str">
        <f aca="false">IF($J1042=FALSE(),"",COUNTIF($J$6:$J1042,TRUE()))</f>
        <v/>
      </c>
      <c r="L1042" s="5" t="str">
        <f aca="false">IF($K1042="","","R"&amp;$K1042)</f>
        <v/>
      </c>
    </row>
    <row r="1043" customFormat="false" ht="15" hidden="false" customHeight="true" outlineLevel="0" collapsed="false">
      <c r="J1043" s="14" t="b">
        <f aca="false">IF(중복검사!$A1041="",FALSE(),중복검사!$H1041="중복")</f>
        <v>0</v>
      </c>
      <c r="K1043" s="5" t="str">
        <f aca="false">IF($J1043=FALSE(),"",COUNTIF($J$6:$J1043,TRUE()))</f>
        <v/>
      </c>
      <c r="L1043" s="5" t="str">
        <f aca="false">IF($K1043="","","R"&amp;$K1043)</f>
        <v/>
      </c>
    </row>
    <row r="1044" customFormat="false" ht="15" hidden="false" customHeight="true" outlineLevel="0" collapsed="false">
      <c r="J1044" s="14" t="b">
        <f aca="false">IF(중복검사!$A1042="",FALSE(),중복검사!$H1042="중복")</f>
        <v>0</v>
      </c>
      <c r="K1044" s="5" t="str">
        <f aca="false">IF($J1044=FALSE(),"",COUNTIF($J$6:$J1044,TRUE()))</f>
        <v/>
      </c>
      <c r="L1044" s="5" t="str">
        <f aca="false">IF($K1044="","","R"&amp;$K1044)</f>
        <v/>
      </c>
    </row>
    <row r="1045" customFormat="false" ht="15" hidden="false" customHeight="true" outlineLevel="0" collapsed="false">
      <c r="J1045" s="14" t="b">
        <f aca="false">IF(중복검사!$A1043="",FALSE(),중복검사!$H1043="중복")</f>
        <v>0</v>
      </c>
      <c r="K1045" s="5" t="str">
        <f aca="false">IF($J1045=FALSE(),"",COUNTIF($J$6:$J1045,TRUE()))</f>
        <v/>
      </c>
      <c r="L1045" s="5" t="str">
        <f aca="false">IF($K1045="","","R"&amp;$K1045)</f>
        <v/>
      </c>
    </row>
    <row r="1046" customFormat="false" ht="15" hidden="false" customHeight="true" outlineLevel="0" collapsed="false">
      <c r="J1046" s="14" t="b">
        <f aca="false">IF(중복검사!$A1044="",FALSE(),중복검사!$H1044="중복")</f>
        <v>0</v>
      </c>
      <c r="K1046" s="5" t="str">
        <f aca="false">IF($J1046=FALSE(),"",COUNTIF($J$6:$J1046,TRUE()))</f>
        <v/>
      </c>
      <c r="L1046" s="5" t="str">
        <f aca="false">IF($K1046="","","R"&amp;$K1046)</f>
        <v/>
      </c>
    </row>
    <row r="1047" customFormat="false" ht="15" hidden="false" customHeight="true" outlineLevel="0" collapsed="false">
      <c r="J1047" s="14" t="b">
        <f aca="false">IF(중복검사!$A1045="",FALSE(),중복검사!$H1045="중복")</f>
        <v>0</v>
      </c>
      <c r="K1047" s="5" t="str">
        <f aca="false">IF($J1047=FALSE(),"",COUNTIF($J$6:$J1047,TRUE()))</f>
        <v/>
      </c>
      <c r="L1047" s="5" t="str">
        <f aca="false">IF($K1047="","","R"&amp;$K1047)</f>
        <v/>
      </c>
    </row>
    <row r="1048" customFormat="false" ht="15" hidden="false" customHeight="true" outlineLevel="0" collapsed="false">
      <c r="J1048" s="14" t="b">
        <f aca="false">IF(중복검사!$A1046="",FALSE(),중복검사!$H1046="중복")</f>
        <v>0</v>
      </c>
      <c r="K1048" s="5" t="str">
        <f aca="false">IF($J1048=FALSE(),"",COUNTIF($J$6:$J1048,TRUE()))</f>
        <v/>
      </c>
      <c r="L1048" s="5" t="str">
        <f aca="false">IF($K1048="","","R"&amp;$K1048)</f>
        <v/>
      </c>
    </row>
    <row r="1049" customFormat="false" ht="15" hidden="false" customHeight="true" outlineLevel="0" collapsed="false">
      <c r="J1049" s="14" t="b">
        <f aca="false">IF(중복검사!$A1047="",FALSE(),중복검사!$H1047="중복")</f>
        <v>0</v>
      </c>
      <c r="K1049" s="5" t="str">
        <f aca="false">IF($J1049=FALSE(),"",COUNTIF($J$6:$J1049,TRUE()))</f>
        <v/>
      </c>
      <c r="L1049" s="5" t="str">
        <f aca="false">IF($K1049="","","R"&amp;$K1049)</f>
        <v/>
      </c>
    </row>
    <row r="1050" customFormat="false" ht="15" hidden="false" customHeight="true" outlineLevel="0" collapsed="false">
      <c r="J1050" s="14" t="b">
        <f aca="false">IF(중복검사!$A1048="",FALSE(),중복검사!$H1048="중복")</f>
        <v>0</v>
      </c>
      <c r="K1050" s="5" t="str">
        <f aca="false">IF($J1050=FALSE(),"",COUNTIF($J$6:$J1050,TRUE()))</f>
        <v/>
      </c>
      <c r="L1050" s="5" t="str">
        <f aca="false">IF($K1050="","","R"&amp;$K1050)</f>
        <v/>
      </c>
    </row>
    <row r="1051" customFormat="false" ht="15" hidden="false" customHeight="true" outlineLevel="0" collapsed="false">
      <c r="J1051" s="14" t="b">
        <f aca="false">IF(중복검사!$A1049="",FALSE(),중복검사!$H1049="중복")</f>
        <v>0</v>
      </c>
      <c r="K1051" s="5" t="str">
        <f aca="false">IF($J1051=FALSE(),"",COUNTIF($J$6:$J1051,TRUE()))</f>
        <v/>
      </c>
      <c r="L1051" s="5" t="str">
        <f aca="false">IF($K1051="","","R"&amp;$K1051)</f>
        <v/>
      </c>
    </row>
    <row r="1052" customFormat="false" ht="15" hidden="false" customHeight="true" outlineLevel="0" collapsed="false">
      <c r="J1052" s="14" t="b">
        <f aca="false">IF(중복검사!$A1050="",FALSE(),중복검사!$H1050="중복")</f>
        <v>0</v>
      </c>
      <c r="K1052" s="5" t="str">
        <f aca="false">IF($J1052=FALSE(),"",COUNTIF($J$6:$J1052,TRUE()))</f>
        <v/>
      </c>
      <c r="L1052" s="5" t="str">
        <f aca="false">IF($K1052="","","R"&amp;$K1052)</f>
        <v/>
      </c>
    </row>
    <row r="1053" customFormat="false" ht="15" hidden="false" customHeight="true" outlineLevel="0" collapsed="false">
      <c r="J1053" s="14" t="b">
        <f aca="false">IF(중복검사!$A1051="",FALSE(),중복검사!$H1051="중복")</f>
        <v>0</v>
      </c>
      <c r="K1053" s="5" t="str">
        <f aca="false">IF($J1053=FALSE(),"",COUNTIF($J$6:$J1053,TRUE()))</f>
        <v/>
      </c>
      <c r="L1053" s="5" t="str">
        <f aca="false">IF($K1053="","","R"&amp;$K1053)</f>
        <v/>
      </c>
    </row>
    <row r="1054" customFormat="false" ht="15" hidden="false" customHeight="true" outlineLevel="0" collapsed="false">
      <c r="J1054" s="14" t="b">
        <f aca="false">IF(중복검사!$A1052="",FALSE(),중복검사!$H1052="중복")</f>
        <v>0</v>
      </c>
      <c r="K1054" s="5" t="str">
        <f aca="false">IF($J1054=FALSE(),"",COUNTIF($J$6:$J1054,TRUE()))</f>
        <v/>
      </c>
      <c r="L1054" s="5" t="str">
        <f aca="false">IF($K1054="","","R"&amp;$K1054)</f>
        <v/>
      </c>
    </row>
    <row r="1055" customFormat="false" ht="15" hidden="false" customHeight="true" outlineLevel="0" collapsed="false">
      <c r="J1055" s="14" t="b">
        <f aca="false">IF(중복검사!$A1053="",FALSE(),중복검사!$H1053="중복")</f>
        <v>0</v>
      </c>
      <c r="K1055" s="5" t="str">
        <f aca="false">IF($J1055=FALSE(),"",COUNTIF($J$6:$J1055,TRUE()))</f>
        <v/>
      </c>
      <c r="L1055" s="5" t="str">
        <f aca="false">IF($K1055="","","R"&amp;$K1055)</f>
        <v/>
      </c>
    </row>
    <row r="1056" customFormat="false" ht="15" hidden="false" customHeight="true" outlineLevel="0" collapsed="false">
      <c r="J1056" s="14" t="b">
        <f aca="false">IF(중복검사!$A1054="",FALSE(),중복검사!$H1054="중복")</f>
        <v>0</v>
      </c>
      <c r="K1056" s="5" t="str">
        <f aca="false">IF($J1056=FALSE(),"",COUNTIF($J$6:$J1056,TRUE()))</f>
        <v/>
      </c>
      <c r="L1056" s="5" t="str">
        <f aca="false">IF($K1056="","","R"&amp;$K1056)</f>
        <v/>
      </c>
    </row>
    <row r="1057" customFormat="false" ht="15" hidden="false" customHeight="true" outlineLevel="0" collapsed="false">
      <c r="J1057" s="14" t="b">
        <f aca="false">IF(중복검사!$A1055="",FALSE(),중복검사!$H1055="중복")</f>
        <v>0</v>
      </c>
      <c r="K1057" s="5" t="str">
        <f aca="false">IF($J1057=FALSE(),"",COUNTIF($J$6:$J1057,TRUE()))</f>
        <v/>
      </c>
      <c r="L1057" s="5" t="str">
        <f aca="false">IF($K1057="","","R"&amp;$K1057)</f>
        <v/>
      </c>
    </row>
    <row r="1058" customFormat="false" ht="15" hidden="false" customHeight="true" outlineLevel="0" collapsed="false">
      <c r="J1058" s="14" t="b">
        <f aca="false">IF(중복검사!$A1056="",FALSE(),중복검사!$H1056="중복")</f>
        <v>0</v>
      </c>
      <c r="K1058" s="5" t="str">
        <f aca="false">IF($J1058=FALSE(),"",COUNTIF($J$6:$J1058,TRUE()))</f>
        <v/>
      </c>
      <c r="L1058" s="5" t="str">
        <f aca="false">IF($K1058="","","R"&amp;$K1058)</f>
        <v/>
      </c>
    </row>
    <row r="1059" customFormat="false" ht="15" hidden="false" customHeight="true" outlineLevel="0" collapsed="false">
      <c r="J1059" s="14" t="b">
        <f aca="false">IF(중복검사!$A1057="",FALSE(),중복검사!$H1057="중복")</f>
        <v>0</v>
      </c>
      <c r="K1059" s="5" t="str">
        <f aca="false">IF($J1059=FALSE(),"",COUNTIF($J$6:$J1059,TRUE()))</f>
        <v/>
      </c>
      <c r="L1059" s="5" t="str">
        <f aca="false">IF($K1059="","","R"&amp;$K1059)</f>
        <v/>
      </c>
    </row>
    <row r="1060" customFormat="false" ht="15" hidden="false" customHeight="true" outlineLevel="0" collapsed="false">
      <c r="J1060" s="14" t="b">
        <f aca="false">IF(중복검사!$A1058="",FALSE(),중복검사!$H1058="중복")</f>
        <v>0</v>
      </c>
      <c r="K1060" s="5" t="str">
        <f aca="false">IF($J1060=FALSE(),"",COUNTIF($J$6:$J1060,TRUE()))</f>
        <v/>
      </c>
      <c r="L1060" s="5" t="str">
        <f aca="false">IF($K1060="","","R"&amp;$K1060)</f>
        <v/>
      </c>
    </row>
    <row r="1061" customFormat="false" ht="15" hidden="false" customHeight="true" outlineLevel="0" collapsed="false">
      <c r="J1061" s="14" t="b">
        <f aca="false">IF(중복검사!$A1059="",FALSE(),중복검사!$H1059="중복")</f>
        <v>0</v>
      </c>
      <c r="K1061" s="5" t="str">
        <f aca="false">IF($J1061=FALSE(),"",COUNTIF($J$6:$J1061,TRUE()))</f>
        <v/>
      </c>
      <c r="L1061" s="5" t="str">
        <f aca="false">IF($K1061="","","R"&amp;$K1061)</f>
        <v/>
      </c>
    </row>
    <row r="1062" customFormat="false" ht="15" hidden="false" customHeight="true" outlineLevel="0" collapsed="false">
      <c r="J1062" s="14" t="b">
        <f aca="false">IF(중복검사!$A1060="",FALSE(),중복검사!$H1060="중복")</f>
        <v>0</v>
      </c>
      <c r="K1062" s="5" t="str">
        <f aca="false">IF($J1062=FALSE(),"",COUNTIF($J$6:$J1062,TRUE()))</f>
        <v/>
      </c>
      <c r="L1062" s="5" t="str">
        <f aca="false">IF($K1062="","","R"&amp;$K1062)</f>
        <v/>
      </c>
    </row>
    <row r="1063" customFormat="false" ht="15" hidden="false" customHeight="true" outlineLevel="0" collapsed="false">
      <c r="J1063" s="14" t="b">
        <f aca="false">IF(중복검사!$A1061="",FALSE(),중복검사!$H1061="중복")</f>
        <v>0</v>
      </c>
      <c r="K1063" s="5" t="str">
        <f aca="false">IF($J1063=FALSE(),"",COUNTIF($J$6:$J1063,TRUE()))</f>
        <v/>
      </c>
      <c r="L1063" s="5" t="str">
        <f aca="false">IF($K1063="","","R"&amp;$K1063)</f>
        <v/>
      </c>
    </row>
    <row r="1064" customFormat="false" ht="15" hidden="false" customHeight="true" outlineLevel="0" collapsed="false">
      <c r="J1064" s="14" t="b">
        <f aca="false">IF(중복검사!$A1062="",FALSE(),중복검사!$H1062="중복")</f>
        <v>0</v>
      </c>
      <c r="K1064" s="5" t="str">
        <f aca="false">IF($J1064=FALSE(),"",COUNTIF($J$6:$J1064,TRUE()))</f>
        <v/>
      </c>
      <c r="L1064" s="5" t="str">
        <f aca="false">IF($K1064="","","R"&amp;$K1064)</f>
        <v/>
      </c>
    </row>
    <row r="1065" customFormat="false" ht="15" hidden="false" customHeight="true" outlineLevel="0" collapsed="false">
      <c r="J1065" s="14" t="b">
        <f aca="false">IF(중복검사!$A1063="",FALSE(),중복검사!$H1063="중복")</f>
        <v>0</v>
      </c>
      <c r="K1065" s="5" t="str">
        <f aca="false">IF($J1065=FALSE(),"",COUNTIF($J$6:$J1065,TRUE()))</f>
        <v/>
      </c>
      <c r="L1065" s="5" t="str">
        <f aca="false">IF($K1065="","","R"&amp;$K1065)</f>
        <v/>
      </c>
    </row>
    <row r="1066" customFormat="false" ht="15" hidden="false" customHeight="true" outlineLevel="0" collapsed="false">
      <c r="J1066" s="14" t="b">
        <f aca="false">IF(중복검사!$A1064="",FALSE(),중복검사!$H1064="중복")</f>
        <v>0</v>
      </c>
      <c r="K1066" s="5" t="str">
        <f aca="false">IF($J1066=FALSE(),"",COUNTIF($J$6:$J1066,TRUE()))</f>
        <v/>
      </c>
      <c r="L1066" s="5" t="str">
        <f aca="false">IF($K1066="","","R"&amp;$K1066)</f>
        <v/>
      </c>
    </row>
    <row r="1067" customFormat="false" ht="15" hidden="false" customHeight="true" outlineLevel="0" collapsed="false">
      <c r="J1067" s="14" t="b">
        <f aca="false">IF(중복검사!$A1065="",FALSE(),중복검사!$H1065="중복")</f>
        <v>0</v>
      </c>
      <c r="K1067" s="5" t="str">
        <f aca="false">IF($J1067=FALSE(),"",COUNTIF($J$6:$J1067,TRUE()))</f>
        <v/>
      </c>
      <c r="L1067" s="5" t="str">
        <f aca="false">IF($K1067="","","R"&amp;$K1067)</f>
        <v/>
      </c>
    </row>
    <row r="1068" customFormat="false" ht="15" hidden="false" customHeight="true" outlineLevel="0" collapsed="false">
      <c r="J1068" s="14" t="b">
        <f aca="false">IF(중복검사!$A1066="",FALSE(),중복검사!$H1066="중복")</f>
        <v>0</v>
      </c>
      <c r="K1068" s="5" t="str">
        <f aca="false">IF($J1068=FALSE(),"",COUNTIF($J$6:$J1068,TRUE()))</f>
        <v/>
      </c>
      <c r="L1068" s="5" t="str">
        <f aca="false">IF($K1068="","","R"&amp;$K1068)</f>
        <v/>
      </c>
    </row>
    <row r="1069" customFormat="false" ht="15" hidden="false" customHeight="true" outlineLevel="0" collapsed="false">
      <c r="J1069" s="14" t="b">
        <f aca="false">IF(중복검사!$A1067="",FALSE(),중복검사!$H1067="중복")</f>
        <v>0</v>
      </c>
      <c r="K1069" s="5" t="str">
        <f aca="false">IF($J1069=FALSE(),"",COUNTIF($J$6:$J1069,TRUE()))</f>
        <v/>
      </c>
      <c r="L1069" s="5" t="str">
        <f aca="false">IF($K1069="","","R"&amp;$K1069)</f>
        <v/>
      </c>
    </row>
    <row r="1070" customFormat="false" ht="15" hidden="false" customHeight="true" outlineLevel="0" collapsed="false">
      <c r="J1070" s="14" t="b">
        <f aca="false">IF(중복검사!$A1068="",FALSE(),중복검사!$H1068="중복")</f>
        <v>0</v>
      </c>
      <c r="K1070" s="5" t="str">
        <f aca="false">IF($J1070=FALSE(),"",COUNTIF($J$6:$J1070,TRUE()))</f>
        <v/>
      </c>
      <c r="L1070" s="5" t="str">
        <f aca="false">IF($K1070="","","R"&amp;$K1070)</f>
        <v/>
      </c>
    </row>
    <row r="1071" customFormat="false" ht="15" hidden="false" customHeight="true" outlineLevel="0" collapsed="false">
      <c r="J1071" s="14" t="b">
        <f aca="false">IF(중복검사!$A1069="",FALSE(),중복검사!$H1069="중복")</f>
        <v>0</v>
      </c>
      <c r="K1071" s="5" t="str">
        <f aca="false">IF($J1071=FALSE(),"",COUNTIF($J$6:$J1071,TRUE()))</f>
        <v/>
      </c>
      <c r="L1071" s="5" t="str">
        <f aca="false">IF($K1071="","","R"&amp;$K1071)</f>
        <v/>
      </c>
    </row>
    <row r="1072" customFormat="false" ht="15" hidden="false" customHeight="true" outlineLevel="0" collapsed="false">
      <c r="J1072" s="14" t="b">
        <f aca="false">IF(중복검사!$A1070="",FALSE(),중복검사!$H1070="중복")</f>
        <v>0</v>
      </c>
      <c r="K1072" s="5" t="str">
        <f aca="false">IF($J1072=FALSE(),"",COUNTIF($J$6:$J1072,TRUE()))</f>
        <v/>
      </c>
      <c r="L1072" s="5" t="str">
        <f aca="false">IF($K1072="","","R"&amp;$K1072)</f>
        <v/>
      </c>
    </row>
    <row r="1073" customFormat="false" ht="15" hidden="false" customHeight="true" outlineLevel="0" collapsed="false">
      <c r="J1073" s="14" t="b">
        <f aca="false">IF(중복검사!$A1071="",FALSE(),중복검사!$H1071="중복")</f>
        <v>0</v>
      </c>
      <c r="K1073" s="5" t="str">
        <f aca="false">IF($J1073=FALSE(),"",COUNTIF($J$6:$J1073,TRUE()))</f>
        <v/>
      </c>
      <c r="L1073" s="5" t="str">
        <f aca="false">IF($K1073="","","R"&amp;$K1073)</f>
        <v/>
      </c>
    </row>
    <row r="1074" customFormat="false" ht="15" hidden="false" customHeight="true" outlineLevel="0" collapsed="false">
      <c r="J1074" s="14" t="b">
        <f aca="false">IF(중복검사!$A1072="",FALSE(),중복검사!$H1072="중복")</f>
        <v>0</v>
      </c>
      <c r="K1074" s="5" t="str">
        <f aca="false">IF($J1074=FALSE(),"",COUNTIF($J$6:$J1074,TRUE()))</f>
        <v/>
      </c>
      <c r="L1074" s="5" t="str">
        <f aca="false">IF($K1074="","","R"&amp;$K1074)</f>
        <v/>
      </c>
    </row>
    <row r="1075" customFormat="false" ht="15" hidden="false" customHeight="true" outlineLevel="0" collapsed="false">
      <c r="J1075" s="14" t="b">
        <f aca="false">IF(중복검사!$A1073="",FALSE(),중복검사!$H1073="중복")</f>
        <v>0</v>
      </c>
      <c r="K1075" s="5" t="str">
        <f aca="false">IF($J1075=FALSE(),"",COUNTIF($J$6:$J1075,TRUE()))</f>
        <v/>
      </c>
      <c r="L1075" s="5" t="str">
        <f aca="false">IF($K1075="","","R"&amp;$K1075)</f>
        <v/>
      </c>
    </row>
    <row r="1076" customFormat="false" ht="15" hidden="false" customHeight="true" outlineLevel="0" collapsed="false">
      <c r="J1076" s="14" t="b">
        <f aca="false">IF(중복검사!$A1074="",FALSE(),중복검사!$H1074="중복")</f>
        <v>0</v>
      </c>
      <c r="K1076" s="5" t="str">
        <f aca="false">IF($J1076=FALSE(),"",COUNTIF($J$6:$J1076,TRUE()))</f>
        <v/>
      </c>
      <c r="L1076" s="5" t="str">
        <f aca="false">IF($K1076="","","R"&amp;$K1076)</f>
        <v/>
      </c>
    </row>
    <row r="1077" customFormat="false" ht="15" hidden="false" customHeight="true" outlineLevel="0" collapsed="false">
      <c r="J1077" s="14" t="b">
        <f aca="false">IF(중복검사!$A1075="",FALSE(),중복검사!$H1075="중복")</f>
        <v>0</v>
      </c>
      <c r="K1077" s="5" t="str">
        <f aca="false">IF($J1077=FALSE(),"",COUNTIF($J$6:$J1077,TRUE()))</f>
        <v/>
      </c>
      <c r="L1077" s="5" t="str">
        <f aca="false">IF($K1077="","","R"&amp;$K1077)</f>
        <v/>
      </c>
    </row>
    <row r="1078" customFormat="false" ht="15" hidden="false" customHeight="true" outlineLevel="0" collapsed="false">
      <c r="J1078" s="14" t="b">
        <f aca="false">IF(중복검사!$A1076="",FALSE(),중복검사!$H1076="중복")</f>
        <v>0</v>
      </c>
      <c r="K1078" s="5" t="str">
        <f aca="false">IF($J1078=FALSE(),"",COUNTIF($J$6:$J1078,TRUE()))</f>
        <v/>
      </c>
      <c r="L1078" s="5" t="str">
        <f aca="false">IF($K1078="","","R"&amp;$K1078)</f>
        <v/>
      </c>
    </row>
    <row r="1079" customFormat="false" ht="15" hidden="false" customHeight="true" outlineLevel="0" collapsed="false">
      <c r="J1079" s="14" t="b">
        <f aca="false">IF(중복검사!$A1077="",FALSE(),중복검사!$H1077="중복")</f>
        <v>0</v>
      </c>
      <c r="K1079" s="5" t="str">
        <f aca="false">IF($J1079=FALSE(),"",COUNTIF($J$6:$J1079,TRUE()))</f>
        <v/>
      </c>
      <c r="L1079" s="5" t="str">
        <f aca="false">IF($K1079="","","R"&amp;$K1079)</f>
        <v/>
      </c>
    </row>
    <row r="1080" customFormat="false" ht="15" hidden="false" customHeight="true" outlineLevel="0" collapsed="false">
      <c r="J1080" s="14" t="b">
        <f aca="false">IF(중복검사!$A1078="",FALSE(),중복검사!$H1078="중복")</f>
        <v>0</v>
      </c>
      <c r="K1080" s="5" t="str">
        <f aca="false">IF($J1080=FALSE(),"",COUNTIF($J$6:$J1080,TRUE()))</f>
        <v/>
      </c>
      <c r="L1080" s="5" t="str">
        <f aca="false">IF($K1080="","","R"&amp;$K1080)</f>
        <v/>
      </c>
    </row>
    <row r="1081" customFormat="false" ht="15" hidden="false" customHeight="true" outlineLevel="0" collapsed="false">
      <c r="J1081" s="14" t="b">
        <f aca="false">IF(중복검사!$A1079="",FALSE(),중복검사!$H1079="중복")</f>
        <v>0</v>
      </c>
      <c r="K1081" s="5" t="str">
        <f aca="false">IF($J1081=FALSE(),"",COUNTIF($J$6:$J1081,TRUE()))</f>
        <v/>
      </c>
      <c r="L1081" s="5" t="str">
        <f aca="false">IF($K1081="","","R"&amp;$K1081)</f>
        <v/>
      </c>
    </row>
    <row r="1082" customFormat="false" ht="15" hidden="false" customHeight="true" outlineLevel="0" collapsed="false">
      <c r="J1082" s="14" t="b">
        <f aca="false">IF(중복검사!$A1080="",FALSE(),중복검사!$H1080="중복")</f>
        <v>0</v>
      </c>
      <c r="K1082" s="5" t="str">
        <f aca="false">IF($J1082=FALSE(),"",COUNTIF($J$6:$J1082,TRUE()))</f>
        <v/>
      </c>
      <c r="L1082" s="5" t="str">
        <f aca="false">IF($K1082="","","R"&amp;$K1082)</f>
        <v/>
      </c>
    </row>
    <row r="1083" customFormat="false" ht="15" hidden="false" customHeight="true" outlineLevel="0" collapsed="false">
      <c r="J1083" s="14" t="b">
        <f aca="false">IF(중복검사!$A1081="",FALSE(),중복검사!$H1081="중복")</f>
        <v>0</v>
      </c>
      <c r="K1083" s="5" t="str">
        <f aca="false">IF($J1083=FALSE(),"",COUNTIF($J$6:$J1083,TRUE()))</f>
        <v/>
      </c>
      <c r="L1083" s="5" t="str">
        <f aca="false">IF($K1083="","","R"&amp;$K1083)</f>
        <v/>
      </c>
    </row>
    <row r="1084" customFormat="false" ht="15" hidden="false" customHeight="true" outlineLevel="0" collapsed="false">
      <c r="J1084" s="14" t="b">
        <f aca="false">IF(중복검사!$A1082="",FALSE(),중복검사!$H1082="중복")</f>
        <v>0</v>
      </c>
      <c r="K1084" s="5" t="str">
        <f aca="false">IF($J1084=FALSE(),"",COUNTIF($J$6:$J1084,TRUE()))</f>
        <v/>
      </c>
      <c r="L1084" s="5" t="str">
        <f aca="false">IF($K1084="","","R"&amp;$K1084)</f>
        <v/>
      </c>
    </row>
    <row r="1085" customFormat="false" ht="15" hidden="false" customHeight="true" outlineLevel="0" collapsed="false">
      <c r="J1085" s="14" t="b">
        <f aca="false">IF(중복검사!$A1083="",FALSE(),중복검사!$H1083="중복")</f>
        <v>0</v>
      </c>
      <c r="K1085" s="5" t="str">
        <f aca="false">IF($J1085=FALSE(),"",COUNTIF($J$6:$J1085,TRUE()))</f>
        <v/>
      </c>
      <c r="L1085" s="5" t="str">
        <f aca="false">IF($K1085="","","R"&amp;$K1085)</f>
        <v/>
      </c>
    </row>
    <row r="1086" customFormat="false" ht="15" hidden="false" customHeight="true" outlineLevel="0" collapsed="false">
      <c r="J1086" s="14" t="b">
        <f aca="false">IF(중복검사!$A1084="",FALSE(),중복검사!$H1084="중복")</f>
        <v>0</v>
      </c>
      <c r="K1086" s="5" t="str">
        <f aca="false">IF($J1086=FALSE(),"",COUNTIF($J$6:$J1086,TRUE()))</f>
        <v/>
      </c>
      <c r="L1086" s="5" t="str">
        <f aca="false">IF($K1086="","","R"&amp;$K1086)</f>
        <v/>
      </c>
    </row>
    <row r="1087" customFormat="false" ht="15" hidden="false" customHeight="true" outlineLevel="0" collapsed="false">
      <c r="J1087" s="14" t="b">
        <f aca="false">IF(중복검사!$A1085="",FALSE(),중복검사!$H1085="중복")</f>
        <v>0</v>
      </c>
      <c r="K1087" s="5" t="str">
        <f aca="false">IF($J1087=FALSE(),"",COUNTIF($J$6:$J1087,TRUE()))</f>
        <v/>
      </c>
      <c r="L1087" s="5" t="str">
        <f aca="false">IF($K1087="","","R"&amp;$K1087)</f>
        <v/>
      </c>
    </row>
    <row r="1088" customFormat="false" ht="15" hidden="false" customHeight="true" outlineLevel="0" collapsed="false">
      <c r="J1088" s="14" t="b">
        <f aca="false">IF(중복검사!$A1086="",FALSE(),중복검사!$H1086="중복")</f>
        <v>0</v>
      </c>
      <c r="K1088" s="5" t="str">
        <f aca="false">IF($J1088=FALSE(),"",COUNTIF($J$6:$J1088,TRUE()))</f>
        <v/>
      </c>
      <c r="L1088" s="5" t="str">
        <f aca="false">IF($K1088="","","R"&amp;$K1088)</f>
        <v/>
      </c>
    </row>
    <row r="1089" customFormat="false" ht="15" hidden="false" customHeight="true" outlineLevel="0" collapsed="false">
      <c r="J1089" s="14" t="b">
        <f aca="false">IF(중복검사!$A1087="",FALSE(),중복검사!$H1087="중복")</f>
        <v>0</v>
      </c>
      <c r="K1089" s="5" t="str">
        <f aca="false">IF($J1089=FALSE(),"",COUNTIF($J$6:$J1089,TRUE()))</f>
        <v/>
      </c>
      <c r="L1089" s="5" t="str">
        <f aca="false">IF($K1089="","","R"&amp;$K1089)</f>
        <v/>
      </c>
    </row>
    <row r="1090" customFormat="false" ht="15" hidden="false" customHeight="true" outlineLevel="0" collapsed="false">
      <c r="J1090" s="14" t="b">
        <f aca="false">IF(중복검사!$A1088="",FALSE(),중복검사!$H1088="중복")</f>
        <v>0</v>
      </c>
      <c r="K1090" s="5" t="str">
        <f aca="false">IF($J1090=FALSE(),"",COUNTIF($J$6:$J1090,TRUE()))</f>
        <v/>
      </c>
      <c r="L1090" s="5" t="str">
        <f aca="false">IF($K1090="","","R"&amp;$K1090)</f>
        <v/>
      </c>
    </row>
    <row r="1091" customFormat="false" ht="15" hidden="false" customHeight="true" outlineLevel="0" collapsed="false">
      <c r="J1091" s="14" t="b">
        <f aca="false">IF(중복검사!$A1089="",FALSE(),중복검사!$H1089="중복")</f>
        <v>0</v>
      </c>
      <c r="K1091" s="5" t="str">
        <f aca="false">IF($J1091=FALSE(),"",COUNTIF($J$6:$J1091,TRUE()))</f>
        <v/>
      </c>
      <c r="L1091" s="5" t="str">
        <f aca="false">IF($K1091="","","R"&amp;$K1091)</f>
        <v/>
      </c>
    </row>
    <row r="1092" customFormat="false" ht="15" hidden="false" customHeight="true" outlineLevel="0" collapsed="false">
      <c r="J1092" s="14" t="b">
        <f aca="false">IF(중복검사!$A1090="",FALSE(),중복검사!$H1090="중복")</f>
        <v>0</v>
      </c>
      <c r="K1092" s="5" t="str">
        <f aca="false">IF($J1092=FALSE(),"",COUNTIF($J$6:$J1092,TRUE()))</f>
        <v/>
      </c>
      <c r="L1092" s="5" t="str">
        <f aca="false">IF($K1092="","","R"&amp;$K1092)</f>
        <v/>
      </c>
    </row>
    <row r="1093" customFormat="false" ht="15" hidden="false" customHeight="true" outlineLevel="0" collapsed="false">
      <c r="J1093" s="14" t="b">
        <f aca="false">IF(중복검사!$A1091="",FALSE(),중복검사!$H1091="중복")</f>
        <v>0</v>
      </c>
      <c r="K1093" s="5" t="str">
        <f aca="false">IF($J1093=FALSE(),"",COUNTIF($J$6:$J1093,TRUE()))</f>
        <v/>
      </c>
      <c r="L1093" s="5" t="str">
        <f aca="false">IF($K1093="","","R"&amp;$K1093)</f>
        <v/>
      </c>
    </row>
    <row r="1094" customFormat="false" ht="15" hidden="false" customHeight="true" outlineLevel="0" collapsed="false">
      <c r="J1094" s="14" t="b">
        <f aca="false">IF(중복검사!$A1092="",FALSE(),중복검사!$H1092="중복")</f>
        <v>0</v>
      </c>
      <c r="K1094" s="5" t="str">
        <f aca="false">IF($J1094=FALSE(),"",COUNTIF($J$6:$J1094,TRUE()))</f>
        <v/>
      </c>
      <c r="L1094" s="5" t="str">
        <f aca="false">IF($K1094="","","R"&amp;$K1094)</f>
        <v/>
      </c>
    </row>
    <row r="1095" customFormat="false" ht="15" hidden="false" customHeight="true" outlineLevel="0" collapsed="false">
      <c r="J1095" s="14" t="b">
        <f aca="false">IF(중복검사!$A1093="",FALSE(),중복검사!$H1093="중복")</f>
        <v>0</v>
      </c>
      <c r="K1095" s="5" t="str">
        <f aca="false">IF($J1095=FALSE(),"",COUNTIF($J$6:$J1095,TRUE()))</f>
        <v/>
      </c>
      <c r="L1095" s="5" t="str">
        <f aca="false">IF($K1095="","","R"&amp;$K1095)</f>
        <v/>
      </c>
    </row>
    <row r="1096" customFormat="false" ht="15" hidden="false" customHeight="true" outlineLevel="0" collapsed="false">
      <c r="J1096" s="14" t="b">
        <f aca="false">IF(중복검사!$A1094="",FALSE(),중복검사!$H1094="중복")</f>
        <v>0</v>
      </c>
      <c r="K1096" s="5" t="str">
        <f aca="false">IF($J1096=FALSE(),"",COUNTIF($J$6:$J1096,TRUE()))</f>
        <v/>
      </c>
      <c r="L1096" s="5" t="str">
        <f aca="false">IF($K1096="","","R"&amp;$K1096)</f>
        <v/>
      </c>
    </row>
    <row r="1097" customFormat="false" ht="15" hidden="false" customHeight="true" outlineLevel="0" collapsed="false">
      <c r="J1097" s="14" t="b">
        <f aca="false">IF(중복검사!$A1095="",FALSE(),중복검사!$H1095="중복")</f>
        <v>0</v>
      </c>
      <c r="K1097" s="5" t="str">
        <f aca="false">IF($J1097=FALSE(),"",COUNTIF($J$6:$J1097,TRUE()))</f>
        <v/>
      </c>
      <c r="L1097" s="5" t="str">
        <f aca="false">IF($K1097="","","R"&amp;$K1097)</f>
        <v/>
      </c>
    </row>
    <row r="1098" customFormat="false" ht="15" hidden="false" customHeight="true" outlineLevel="0" collapsed="false">
      <c r="J1098" s="14" t="b">
        <f aca="false">IF(중복검사!$A1096="",FALSE(),중복검사!$H1096="중복")</f>
        <v>0</v>
      </c>
      <c r="K1098" s="5" t="str">
        <f aca="false">IF($J1098=FALSE(),"",COUNTIF($J$6:$J1098,TRUE()))</f>
        <v/>
      </c>
      <c r="L1098" s="5" t="str">
        <f aca="false">IF($K1098="","","R"&amp;$K1098)</f>
        <v/>
      </c>
    </row>
    <row r="1099" customFormat="false" ht="15" hidden="false" customHeight="true" outlineLevel="0" collapsed="false">
      <c r="J1099" s="14" t="b">
        <f aca="false">IF(중복검사!$A1097="",FALSE(),중복검사!$H1097="중복")</f>
        <v>0</v>
      </c>
      <c r="K1099" s="5" t="str">
        <f aca="false">IF($J1099=FALSE(),"",COUNTIF($J$6:$J1099,TRUE()))</f>
        <v/>
      </c>
      <c r="L1099" s="5" t="str">
        <f aca="false">IF($K1099="","","R"&amp;$K1099)</f>
        <v/>
      </c>
    </row>
    <row r="1100" customFormat="false" ht="15" hidden="false" customHeight="true" outlineLevel="0" collapsed="false">
      <c r="J1100" s="14" t="b">
        <f aca="false">IF(중복검사!$A1098="",FALSE(),중복검사!$H1098="중복")</f>
        <v>0</v>
      </c>
      <c r="K1100" s="5" t="str">
        <f aca="false">IF($J1100=FALSE(),"",COUNTIF($J$6:$J1100,TRUE()))</f>
        <v/>
      </c>
      <c r="L1100" s="5" t="str">
        <f aca="false">IF($K1100="","","R"&amp;$K1100)</f>
        <v/>
      </c>
    </row>
    <row r="1101" customFormat="false" ht="15" hidden="false" customHeight="true" outlineLevel="0" collapsed="false">
      <c r="J1101" s="14" t="b">
        <f aca="false">IF(중복검사!$A1099="",FALSE(),중복검사!$H1099="중복")</f>
        <v>0</v>
      </c>
      <c r="K1101" s="5" t="str">
        <f aca="false">IF($J1101=FALSE(),"",COUNTIF($J$6:$J1101,TRUE()))</f>
        <v/>
      </c>
      <c r="L1101" s="5" t="str">
        <f aca="false">IF($K1101="","","R"&amp;$K1101)</f>
        <v/>
      </c>
    </row>
    <row r="1102" customFormat="false" ht="15" hidden="false" customHeight="true" outlineLevel="0" collapsed="false">
      <c r="J1102" s="14" t="b">
        <f aca="false">IF(중복검사!$A1100="",FALSE(),중복검사!$H1100="중복")</f>
        <v>0</v>
      </c>
      <c r="K1102" s="5" t="str">
        <f aca="false">IF($J1102=FALSE(),"",COUNTIF($J$6:$J1102,TRUE()))</f>
        <v/>
      </c>
      <c r="L1102" s="5" t="str">
        <f aca="false">IF($K1102="","","R"&amp;$K1102)</f>
        <v/>
      </c>
    </row>
    <row r="1103" customFormat="false" ht="15" hidden="false" customHeight="true" outlineLevel="0" collapsed="false">
      <c r="J1103" s="14" t="b">
        <f aca="false">IF(중복검사!$A1101="",FALSE(),중복검사!$H1101="중복")</f>
        <v>0</v>
      </c>
      <c r="K1103" s="5" t="str">
        <f aca="false">IF($J1103=FALSE(),"",COUNTIF($J$6:$J1103,TRUE()))</f>
        <v/>
      </c>
      <c r="L1103" s="5" t="str">
        <f aca="false">IF($K1103="","","R"&amp;$K1103)</f>
        <v/>
      </c>
    </row>
    <row r="1104" customFormat="false" ht="15" hidden="false" customHeight="true" outlineLevel="0" collapsed="false">
      <c r="J1104" s="14" t="b">
        <f aca="false">IF(중복검사!$A1102="",FALSE(),중복검사!$H1102="중복")</f>
        <v>0</v>
      </c>
      <c r="K1104" s="5" t="str">
        <f aca="false">IF($J1104=FALSE(),"",COUNTIF($J$6:$J1104,TRUE()))</f>
        <v/>
      </c>
      <c r="L1104" s="5" t="str">
        <f aca="false">IF($K1104="","","R"&amp;$K1104)</f>
        <v/>
      </c>
    </row>
    <row r="1105" customFormat="false" ht="15" hidden="false" customHeight="true" outlineLevel="0" collapsed="false">
      <c r="J1105" s="14" t="b">
        <f aca="false">IF(중복검사!$A1103="",FALSE(),중복검사!$H1103="중복")</f>
        <v>0</v>
      </c>
      <c r="K1105" s="5" t="str">
        <f aca="false">IF($J1105=FALSE(),"",COUNTIF($J$6:$J1105,TRUE()))</f>
        <v/>
      </c>
      <c r="L1105" s="5" t="str">
        <f aca="false">IF($K1105="","","R"&amp;$K1105)</f>
        <v/>
      </c>
    </row>
    <row r="1106" customFormat="false" ht="15" hidden="false" customHeight="true" outlineLevel="0" collapsed="false">
      <c r="J1106" s="14" t="b">
        <f aca="false">IF(중복검사!$A1104="",FALSE(),중복검사!$H1104="중복")</f>
        <v>0</v>
      </c>
      <c r="K1106" s="5" t="str">
        <f aca="false">IF($J1106=FALSE(),"",COUNTIF($J$6:$J1106,TRUE()))</f>
        <v/>
      </c>
      <c r="L1106" s="5" t="str">
        <f aca="false">IF($K1106="","","R"&amp;$K1106)</f>
        <v/>
      </c>
    </row>
    <row r="1107" customFormat="false" ht="15" hidden="false" customHeight="true" outlineLevel="0" collapsed="false">
      <c r="J1107" s="14" t="b">
        <f aca="false">IF(중복검사!$A1105="",FALSE(),중복검사!$H1105="중복")</f>
        <v>0</v>
      </c>
      <c r="K1107" s="5" t="str">
        <f aca="false">IF($J1107=FALSE(),"",COUNTIF($J$6:$J1107,TRUE()))</f>
        <v/>
      </c>
      <c r="L1107" s="5" t="str">
        <f aca="false">IF($K1107="","","R"&amp;$K1107)</f>
        <v/>
      </c>
    </row>
    <row r="1108" customFormat="false" ht="15" hidden="false" customHeight="true" outlineLevel="0" collapsed="false">
      <c r="J1108" s="14" t="b">
        <f aca="false">IF(중복검사!$A1106="",FALSE(),중복검사!$H1106="중복")</f>
        <v>0</v>
      </c>
      <c r="K1108" s="5" t="str">
        <f aca="false">IF($J1108=FALSE(),"",COUNTIF($J$6:$J1108,TRUE()))</f>
        <v/>
      </c>
      <c r="L1108" s="5" t="str">
        <f aca="false">IF($K1108="","","R"&amp;$K1108)</f>
        <v/>
      </c>
    </row>
    <row r="1109" customFormat="false" ht="15" hidden="false" customHeight="true" outlineLevel="0" collapsed="false">
      <c r="J1109" s="14" t="b">
        <f aca="false">IF(중복검사!$A1107="",FALSE(),중복검사!$H1107="중복")</f>
        <v>0</v>
      </c>
      <c r="K1109" s="5" t="str">
        <f aca="false">IF($J1109=FALSE(),"",COUNTIF($J$6:$J1109,TRUE()))</f>
        <v/>
      </c>
      <c r="L1109" s="5" t="str">
        <f aca="false">IF($K1109="","","R"&amp;$K1109)</f>
        <v/>
      </c>
    </row>
    <row r="1110" customFormat="false" ht="15" hidden="false" customHeight="true" outlineLevel="0" collapsed="false">
      <c r="J1110" s="14" t="b">
        <f aca="false">IF(중복검사!$A1108="",FALSE(),중복검사!$H1108="중복")</f>
        <v>0</v>
      </c>
      <c r="K1110" s="5" t="str">
        <f aca="false">IF($J1110=FALSE(),"",COUNTIF($J$6:$J1110,TRUE()))</f>
        <v/>
      </c>
      <c r="L1110" s="5" t="str">
        <f aca="false">IF($K1110="","","R"&amp;$K1110)</f>
        <v/>
      </c>
    </row>
    <row r="1111" customFormat="false" ht="15" hidden="false" customHeight="true" outlineLevel="0" collapsed="false">
      <c r="J1111" s="14" t="b">
        <f aca="false">IF(중복검사!$A1109="",FALSE(),중복검사!$H1109="중복")</f>
        <v>0</v>
      </c>
      <c r="K1111" s="5" t="str">
        <f aca="false">IF($J1111=FALSE(),"",COUNTIF($J$6:$J1111,TRUE()))</f>
        <v/>
      </c>
      <c r="L1111" s="5" t="str">
        <f aca="false">IF($K1111="","","R"&amp;$K1111)</f>
        <v/>
      </c>
    </row>
    <row r="1112" customFormat="false" ht="15" hidden="false" customHeight="true" outlineLevel="0" collapsed="false">
      <c r="J1112" s="14" t="b">
        <f aca="false">IF(중복검사!$A1110="",FALSE(),중복검사!$H1110="중복")</f>
        <v>0</v>
      </c>
      <c r="K1112" s="5" t="str">
        <f aca="false">IF($J1112=FALSE(),"",COUNTIF($J$6:$J1112,TRUE()))</f>
        <v/>
      </c>
      <c r="L1112" s="5" t="str">
        <f aca="false">IF($K1112="","","R"&amp;$K1112)</f>
        <v/>
      </c>
    </row>
    <row r="1113" customFormat="false" ht="15" hidden="false" customHeight="true" outlineLevel="0" collapsed="false">
      <c r="J1113" s="14" t="b">
        <f aca="false">IF(중복검사!$A1111="",FALSE(),중복검사!$H1111="중복")</f>
        <v>0</v>
      </c>
      <c r="K1113" s="5" t="str">
        <f aca="false">IF($J1113=FALSE(),"",COUNTIF($J$6:$J1113,TRUE()))</f>
        <v/>
      </c>
      <c r="L1113" s="5" t="str">
        <f aca="false">IF($K1113="","","R"&amp;$K1113)</f>
        <v/>
      </c>
    </row>
    <row r="1114" customFormat="false" ht="15" hidden="false" customHeight="true" outlineLevel="0" collapsed="false">
      <c r="J1114" s="14" t="b">
        <f aca="false">IF(중복검사!$A1112="",FALSE(),중복검사!$H1112="중복")</f>
        <v>0</v>
      </c>
      <c r="K1114" s="5" t="str">
        <f aca="false">IF($J1114=FALSE(),"",COUNTIF($J$6:$J1114,TRUE()))</f>
        <v/>
      </c>
      <c r="L1114" s="5" t="str">
        <f aca="false">IF($K1114="","","R"&amp;$K1114)</f>
        <v/>
      </c>
    </row>
    <row r="1115" customFormat="false" ht="15" hidden="false" customHeight="true" outlineLevel="0" collapsed="false">
      <c r="J1115" s="14" t="b">
        <f aca="false">IF(중복검사!$A1113="",FALSE(),중복검사!$H1113="중복")</f>
        <v>0</v>
      </c>
      <c r="K1115" s="5" t="str">
        <f aca="false">IF($J1115=FALSE(),"",COUNTIF($J$6:$J1115,TRUE()))</f>
        <v/>
      </c>
      <c r="L1115" s="5" t="str">
        <f aca="false">IF($K1115="","","R"&amp;$K1115)</f>
        <v/>
      </c>
    </row>
    <row r="1116" customFormat="false" ht="15" hidden="false" customHeight="true" outlineLevel="0" collapsed="false">
      <c r="J1116" s="14" t="b">
        <f aca="false">IF(중복검사!$A1114="",FALSE(),중복검사!$H1114="중복")</f>
        <v>0</v>
      </c>
      <c r="K1116" s="5" t="str">
        <f aca="false">IF($J1116=FALSE(),"",COUNTIF($J$6:$J1116,TRUE()))</f>
        <v/>
      </c>
      <c r="L1116" s="5" t="str">
        <f aca="false">IF($K1116="","","R"&amp;$K1116)</f>
        <v/>
      </c>
    </row>
    <row r="1117" customFormat="false" ht="15" hidden="false" customHeight="true" outlineLevel="0" collapsed="false">
      <c r="J1117" s="14" t="b">
        <f aca="false">IF(중복검사!$A1115="",FALSE(),중복검사!$H1115="중복")</f>
        <v>0</v>
      </c>
      <c r="K1117" s="5" t="str">
        <f aca="false">IF($J1117=FALSE(),"",COUNTIF($J$6:$J1117,TRUE()))</f>
        <v/>
      </c>
      <c r="L1117" s="5" t="str">
        <f aca="false">IF($K1117="","","R"&amp;$K1117)</f>
        <v/>
      </c>
    </row>
    <row r="1118" customFormat="false" ht="15" hidden="false" customHeight="true" outlineLevel="0" collapsed="false">
      <c r="J1118" s="14" t="b">
        <f aca="false">IF(중복검사!$A1116="",FALSE(),중복검사!$H1116="중복")</f>
        <v>0</v>
      </c>
      <c r="K1118" s="5" t="str">
        <f aca="false">IF($J1118=FALSE(),"",COUNTIF($J$6:$J1118,TRUE()))</f>
        <v/>
      </c>
      <c r="L1118" s="5" t="str">
        <f aca="false">IF($K1118="","","R"&amp;$K1118)</f>
        <v/>
      </c>
    </row>
    <row r="1119" customFormat="false" ht="15" hidden="false" customHeight="true" outlineLevel="0" collapsed="false">
      <c r="J1119" s="14" t="b">
        <f aca="false">IF(중복검사!$A1117="",FALSE(),중복검사!$H1117="중복")</f>
        <v>0</v>
      </c>
      <c r="K1119" s="5" t="str">
        <f aca="false">IF($J1119=FALSE(),"",COUNTIF($J$6:$J1119,TRUE()))</f>
        <v/>
      </c>
      <c r="L1119" s="5" t="str">
        <f aca="false">IF($K1119="","","R"&amp;$K1119)</f>
        <v/>
      </c>
    </row>
    <row r="1120" customFormat="false" ht="15" hidden="false" customHeight="true" outlineLevel="0" collapsed="false">
      <c r="J1120" s="14" t="b">
        <f aca="false">IF(중복검사!$A1118="",FALSE(),중복검사!$H1118="중복")</f>
        <v>0</v>
      </c>
      <c r="K1120" s="5" t="str">
        <f aca="false">IF($J1120=FALSE(),"",COUNTIF($J$6:$J1120,TRUE()))</f>
        <v/>
      </c>
      <c r="L1120" s="5" t="str">
        <f aca="false">IF($K1120="","","R"&amp;$K1120)</f>
        <v/>
      </c>
    </row>
    <row r="1121" customFormat="false" ht="15" hidden="false" customHeight="true" outlineLevel="0" collapsed="false">
      <c r="J1121" s="14" t="b">
        <f aca="false">IF(중복검사!$A1119="",FALSE(),중복검사!$H1119="중복")</f>
        <v>0</v>
      </c>
      <c r="K1121" s="5" t="str">
        <f aca="false">IF($J1121=FALSE(),"",COUNTIF($J$6:$J1121,TRUE()))</f>
        <v/>
      </c>
      <c r="L1121" s="5" t="str">
        <f aca="false">IF($K1121="","","R"&amp;$K1121)</f>
        <v/>
      </c>
    </row>
    <row r="1122" customFormat="false" ht="15" hidden="false" customHeight="true" outlineLevel="0" collapsed="false">
      <c r="J1122" s="14" t="b">
        <f aca="false">IF(중복검사!$A1120="",FALSE(),중복검사!$H1120="중복")</f>
        <v>0</v>
      </c>
      <c r="K1122" s="5" t="str">
        <f aca="false">IF($J1122=FALSE(),"",COUNTIF($J$6:$J1122,TRUE()))</f>
        <v/>
      </c>
      <c r="L1122" s="5" t="str">
        <f aca="false">IF($K1122="","","R"&amp;$K1122)</f>
        <v/>
      </c>
    </row>
    <row r="1123" customFormat="false" ht="15" hidden="false" customHeight="true" outlineLevel="0" collapsed="false">
      <c r="J1123" s="14" t="b">
        <f aca="false">IF(중복검사!$A1121="",FALSE(),중복검사!$H1121="중복")</f>
        <v>0</v>
      </c>
      <c r="K1123" s="5" t="str">
        <f aca="false">IF($J1123=FALSE(),"",COUNTIF($J$6:$J1123,TRUE()))</f>
        <v/>
      </c>
      <c r="L1123" s="5" t="str">
        <f aca="false">IF($K1123="","","R"&amp;$K1123)</f>
        <v/>
      </c>
    </row>
    <row r="1124" customFormat="false" ht="15" hidden="false" customHeight="true" outlineLevel="0" collapsed="false">
      <c r="J1124" s="14" t="b">
        <f aca="false">IF(중복검사!$A1122="",FALSE(),중복검사!$H1122="중복")</f>
        <v>0</v>
      </c>
      <c r="K1124" s="5" t="str">
        <f aca="false">IF($J1124=FALSE(),"",COUNTIF($J$6:$J1124,TRUE()))</f>
        <v/>
      </c>
      <c r="L1124" s="5" t="str">
        <f aca="false">IF($K1124="","","R"&amp;$K1124)</f>
        <v/>
      </c>
    </row>
    <row r="1125" customFormat="false" ht="15" hidden="false" customHeight="true" outlineLevel="0" collapsed="false">
      <c r="J1125" s="14" t="b">
        <f aca="false">IF(중복검사!$A1123="",FALSE(),중복검사!$H1123="중복")</f>
        <v>0</v>
      </c>
      <c r="K1125" s="5" t="str">
        <f aca="false">IF($J1125=FALSE(),"",COUNTIF($J$6:$J1125,TRUE()))</f>
        <v/>
      </c>
      <c r="L1125" s="5" t="str">
        <f aca="false">IF($K1125="","","R"&amp;$K1125)</f>
        <v/>
      </c>
    </row>
    <row r="1126" customFormat="false" ht="15" hidden="false" customHeight="true" outlineLevel="0" collapsed="false">
      <c r="J1126" s="14" t="b">
        <f aca="false">IF(중복검사!$A1124="",FALSE(),중복검사!$H1124="중복")</f>
        <v>0</v>
      </c>
      <c r="K1126" s="5" t="str">
        <f aca="false">IF($J1126=FALSE(),"",COUNTIF($J$6:$J1126,TRUE()))</f>
        <v/>
      </c>
      <c r="L1126" s="5" t="str">
        <f aca="false">IF($K1126="","","R"&amp;$K1126)</f>
        <v/>
      </c>
    </row>
    <row r="1127" customFormat="false" ht="15" hidden="false" customHeight="true" outlineLevel="0" collapsed="false">
      <c r="J1127" s="14" t="b">
        <f aca="false">IF(중복검사!$A1125="",FALSE(),중복검사!$H1125="중복")</f>
        <v>0</v>
      </c>
      <c r="K1127" s="5" t="str">
        <f aca="false">IF($J1127=FALSE(),"",COUNTIF($J$6:$J1127,TRUE()))</f>
        <v/>
      </c>
      <c r="L1127" s="5" t="str">
        <f aca="false">IF($K1127="","","R"&amp;$K1127)</f>
        <v/>
      </c>
    </row>
    <row r="1128" customFormat="false" ht="15" hidden="false" customHeight="true" outlineLevel="0" collapsed="false">
      <c r="J1128" s="14" t="b">
        <f aca="false">IF(중복검사!$A1126="",FALSE(),중복검사!$H1126="중복")</f>
        <v>0</v>
      </c>
      <c r="K1128" s="5" t="str">
        <f aca="false">IF($J1128=FALSE(),"",COUNTIF($J$6:$J1128,TRUE()))</f>
        <v/>
      </c>
      <c r="L1128" s="5" t="str">
        <f aca="false">IF($K1128="","","R"&amp;$K1128)</f>
        <v/>
      </c>
    </row>
    <row r="1129" customFormat="false" ht="15" hidden="false" customHeight="true" outlineLevel="0" collapsed="false">
      <c r="J1129" s="14" t="b">
        <f aca="false">IF(중복검사!$A1127="",FALSE(),중복검사!$H1127="중복")</f>
        <v>0</v>
      </c>
      <c r="K1129" s="5" t="str">
        <f aca="false">IF($J1129=FALSE(),"",COUNTIF($J$6:$J1129,TRUE()))</f>
        <v/>
      </c>
      <c r="L1129" s="5" t="str">
        <f aca="false">IF($K1129="","","R"&amp;$K1129)</f>
        <v/>
      </c>
    </row>
    <row r="1130" customFormat="false" ht="15" hidden="false" customHeight="true" outlineLevel="0" collapsed="false">
      <c r="J1130" s="14" t="b">
        <f aca="false">IF(중복검사!$A1128="",FALSE(),중복검사!$H1128="중복")</f>
        <v>0</v>
      </c>
      <c r="K1130" s="5" t="str">
        <f aca="false">IF($J1130=FALSE(),"",COUNTIF($J$6:$J1130,TRUE()))</f>
        <v/>
      </c>
      <c r="L1130" s="5" t="str">
        <f aca="false">IF($K1130="","","R"&amp;$K1130)</f>
        <v/>
      </c>
    </row>
    <row r="1131" customFormat="false" ht="15" hidden="false" customHeight="true" outlineLevel="0" collapsed="false">
      <c r="J1131" s="14" t="b">
        <f aca="false">IF(중복검사!$A1129="",FALSE(),중복검사!$H1129="중복")</f>
        <v>0</v>
      </c>
      <c r="K1131" s="5" t="str">
        <f aca="false">IF($J1131=FALSE(),"",COUNTIF($J$6:$J1131,TRUE()))</f>
        <v/>
      </c>
      <c r="L1131" s="5" t="str">
        <f aca="false">IF($K1131="","","R"&amp;$K1131)</f>
        <v/>
      </c>
    </row>
    <row r="1132" customFormat="false" ht="15" hidden="false" customHeight="true" outlineLevel="0" collapsed="false">
      <c r="J1132" s="14" t="b">
        <f aca="false">IF(중복검사!$A1130="",FALSE(),중복검사!$H1130="중복")</f>
        <v>0</v>
      </c>
      <c r="K1132" s="5" t="str">
        <f aca="false">IF($J1132=FALSE(),"",COUNTIF($J$6:$J1132,TRUE()))</f>
        <v/>
      </c>
      <c r="L1132" s="5" t="str">
        <f aca="false">IF($K1132="","","R"&amp;$K1132)</f>
        <v/>
      </c>
    </row>
    <row r="1133" customFormat="false" ht="15" hidden="false" customHeight="true" outlineLevel="0" collapsed="false">
      <c r="J1133" s="14" t="b">
        <f aca="false">IF(중복검사!$A1131="",FALSE(),중복검사!$H1131="중복")</f>
        <v>0</v>
      </c>
      <c r="K1133" s="5" t="str">
        <f aca="false">IF($J1133=FALSE(),"",COUNTIF($J$6:$J1133,TRUE()))</f>
        <v/>
      </c>
      <c r="L1133" s="5" t="str">
        <f aca="false">IF($K1133="","","R"&amp;$K1133)</f>
        <v/>
      </c>
    </row>
    <row r="1134" customFormat="false" ht="15" hidden="false" customHeight="true" outlineLevel="0" collapsed="false">
      <c r="J1134" s="14" t="b">
        <f aca="false">IF(중복검사!$A1132="",FALSE(),중복검사!$H1132="중복")</f>
        <v>0</v>
      </c>
      <c r="K1134" s="5" t="str">
        <f aca="false">IF($J1134=FALSE(),"",COUNTIF($J$6:$J1134,TRUE()))</f>
        <v/>
      </c>
      <c r="L1134" s="5" t="str">
        <f aca="false">IF($K1134="","","R"&amp;$K1134)</f>
        <v/>
      </c>
    </row>
    <row r="1135" customFormat="false" ht="15" hidden="false" customHeight="true" outlineLevel="0" collapsed="false">
      <c r="J1135" s="14" t="b">
        <f aca="false">IF(중복검사!$A1133="",FALSE(),중복검사!$H1133="중복")</f>
        <v>0</v>
      </c>
      <c r="K1135" s="5" t="str">
        <f aca="false">IF($J1135=FALSE(),"",COUNTIF($J$6:$J1135,TRUE()))</f>
        <v/>
      </c>
      <c r="L1135" s="5" t="str">
        <f aca="false">IF($K1135="","","R"&amp;$K1135)</f>
        <v/>
      </c>
    </row>
    <row r="1136" customFormat="false" ht="15" hidden="false" customHeight="true" outlineLevel="0" collapsed="false">
      <c r="J1136" s="14" t="b">
        <f aca="false">IF(중복검사!$A1134="",FALSE(),중복검사!$H1134="중복")</f>
        <v>0</v>
      </c>
      <c r="K1136" s="5" t="str">
        <f aca="false">IF($J1136=FALSE(),"",COUNTIF($J$6:$J1136,TRUE()))</f>
        <v/>
      </c>
      <c r="L1136" s="5" t="str">
        <f aca="false">IF($K1136="","","R"&amp;$K1136)</f>
        <v/>
      </c>
    </row>
    <row r="1137" customFormat="false" ht="15" hidden="false" customHeight="true" outlineLevel="0" collapsed="false">
      <c r="J1137" s="14" t="b">
        <f aca="false">IF(중복검사!$A1135="",FALSE(),중복검사!$H1135="중복")</f>
        <v>0</v>
      </c>
      <c r="K1137" s="5" t="str">
        <f aca="false">IF($J1137=FALSE(),"",COUNTIF($J$6:$J1137,TRUE()))</f>
        <v/>
      </c>
      <c r="L1137" s="5" t="str">
        <f aca="false">IF($K1137="","","R"&amp;$K1137)</f>
        <v/>
      </c>
    </row>
    <row r="1138" customFormat="false" ht="15" hidden="false" customHeight="true" outlineLevel="0" collapsed="false">
      <c r="J1138" s="14" t="b">
        <f aca="false">IF(중복검사!$A1136="",FALSE(),중복검사!$H1136="중복")</f>
        <v>0</v>
      </c>
      <c r="K1138" s="5" t="str">
        <f aca="false">IF($J1138=FALSE(),"",COUNTIF($J$6:$J1138,TRUE()))</f>
        <v/>
      </c>
      <c r="L1138" s="5" t="str">
        <f aca="false">IF($K1138="","","R"&amp;$K1138)</f>
        <v/>
      </c>
    </row>
    <row r="1139" customFormat="false" ht="15" hidden="false" customHeight="true" outlineLevel="0" collapsed="false">
      <c r="J1139" s="14" t="b">
        <f aca="false">IF(중복검사!$A1137="",FALSE(),중복검사!$H1137="중복")</f>
        <v>0</v>
      </c>
      <c r="K1139" s="5" t="str">
        <f aca="false">IF($J1139=FALSE(),"",COUNTIF($J$6:$J1139,TRUE()))</f>
        <v/>
      </c>
      <c r="L1139" s="5" t="str">
        <f aca="false">IF($K1139="","","R"&amp;$K1139)</f>
        <v/>
      </c>
    </row>
    <row r="1140" customFormat="false" ht="15" hidden="false" customHeight="true" outlineLevel="0" collapsed="false">
      <c r="J1140" s="14" t="b">
        <f aca="false">IF(중복검사!$A1138="",FALSE(),중복검사!$H1138="중복")</f>
        <v>0</v>
      </c>
      <c r="K1140" s="5" t="str">
        <f aca="false">IF($J1140=FALSE(),"",COUNTIF($J$6:$J1140,TRUE()))</f>
        <v/>
      </c>
      <c r="L1140" s="5" t="str">
        <f aca="false">IF($K1140="","","R"&amp;$K1140)</f>
        <v/>
      </c>
    </row>
    <row r="1141" customFormat="false" ht="15" hidden="false" customHeight="true" outlineLevel="0" collapsed="false">
      <c r="J1141" s="14" t="b">
        <f aca="false">IF(중복검사!$A1139="",FALSE(),중복검사!$H1139="중복")</f>
        <v>0</v>
      </c>
      <c r="K1141" s="5" t="str">
        <f aca="false">IF($J1141=FALSE(),"",COUNTIF($J$6:$J1141,TRUE()))</f>
        <v/>
      </c>
      <c r="L1141" s="5" t="str">
        <f aca="false">IF($K1141="","","R"&amp;$K1141)</f>
        <v/>
      </c>
    </row>
    <row r="1142" customFormat="false" ht="15" hidden="false" customHeight="true" outlineLevel="0" collapsed="false">
      <c r="J1142" s="14" t="b">
        <f aca="false">IF(중복검사!$A1140="",FALSE(),중복검사!$H1140="중복")</f>
        <v>0</v>
      </c>
      <c r="K1142" s="5" t="str">
        <f aca="false">IF($J1142=FALSE(),"",COUNTIF($J$6:$J1142,TRUE()))</f>
        <v/>
      </c>
      <c r="L1142" s="5" t="str">
        <f aca="false">IF($K1142="","","R"&amp;$K1142)</f>
        <v/>
      </c>
    </row>
    <row r="1143" customFormat="false" ht="15" hidden="false" customHeight="true" outlineLevel="0" collapsed="false">
      <c r="J1143" s="14" t="b">
        <f aca="false">IF(중복검사!$A1141="",FALSE(),중복검사!$H1141="중복")</f>
        <v>0</v>
      </c>
      <c r="K1143" s="5" t="str">
        <f aca="false">IF($J1143=FALSE(),"",COUNTIF($J$6:$J1143,TRUE()))</f>
        <v/>
      </c>
      <c r="L1143" s="5" t="str">
        <f aca="false">IF($K1143="","","R"&amp;$K1143)</f>
        <v/>
      </c>
    </row>
    <row r="1144" customFormat="false" ht="15" hidden="false" customHeight="true" outlineLevel="0" collapsed="false">
      <c r="J1144" s="14" t="b">
        <f aca="false">IF(중복검사!$A1142="",FALSE(),중복검사!$H1142="중복")</f>
        <v>0</v>
      </c>
      <c r="K1144" s="5" t="str">
        <f aca="false">IF($J1144=FALSE(),"",COUNTIF($J$6:$J1144,TRUE()))</f>
        <v/>
      </c>
      <c r="L1144" s="5" t="str">
        <f aca="false">IF($K1144="","","R"&amp;$K1144)</f>
        <v/>
      </c>
    </row>
    <row r="1145" customFormat="false" ht="15" hidden="false" customHeight="true" outlineLevel="0" collapsed="false">
      <c r="J1145" s="14" t="b">
        <f aca="false">IF(중복검사!$A1143="",FALSE(),중복검사!$H1143="중복")</f>
        <v>0</v>
      </c>
      <c r="K1145" s="5" t="str">
        <f aca="false">IF($J1145=FALSE(),"",COUNTIF($J$6:$J1145,TRUE()))</f>
        <v/>
      </c>
      <c r="L1145" s="5" t="str">
        <f aca="false">IF($K1145="","","R"&amp;$K1145)</f>
        <v/>
      </c>
    </row>
    <row r="1146" customFormat="false" ht="15" hidden="false" customHeight="true" outlineLevel="0" collapsed="false">
      <c r="J1146" s="14" t="b">
        <f aca="false">IF(중복검사!$A1144="",FALSE(),중복검사!$H1144="중복")</f>
        <v>0</v>
      </c>
      <c r="K1146" s="5" t="str">
        <f aca="false">IF($J1146=FALSE(),"",COUNTIF($J$6:$J1146,TRUE()))</f>
        <v/>
      </c>
      <c r="L1146" s="5" t="str">
        <f aca="false">IF($K1146="","","R"&amp;$K1146)</f>
        <v/>
      </c>
    </row>
    <row r="1147" customFormat="false" ht="15" hidden="false" customHeight="true" outlineLevel="0" collapsed="false">
      <c r="J1147" s="14" t="b">
        <f aca="false">IF(중복검사!$A1145="",FALSE(),중복검사!$H1145="중복")</f>
        <v>0</v>
      </c>
      <c r="K1147" s="5" t="str">
        <f aca="false">IF($J1147=FALSE(),"",COUNTIF($J$6:$J1147,TRUE()))</f>
        <v/>
      </c>
      <c r="L1147" s="5" t="str">
        <f aca="false">IF($K1147="","","R"&amp;$K1147)</f>
        <v/>
      </c>
    </row>
    <row r="1148" customFormat="false" ht="15" hidden="false" customHeight="true" outlineLevel="0" collapsed="false">
      <c r="J1148" s="14" t="b">
        <f aca="false">IF(중복검사!$A1146="",FALSE(),중복검사!$H1146="중복")</f>
        <v>0</v>
      </c>
      <c r="K1148" s="5" t="str">
        <f aca="false">IF($J1148=FALSE(),"",COUNTIF($J$6:$J1148,TRUE()))</f>
        <v/>
      </c>
      <c r="L1148" s="5" t="str">
        <f aca="false">IF($K1148="","","R"&amp;$K1148)</f>
        <v/>
      </c>
    </row>
    <row r="1149" customFormat="false" ht="15" hidden="false" customHeight="true" outlineLevel="0" collapsed="false">
      <c r="J1149" s="14" t="b">
        <f aca="false">IF(중복검사!$A1147="",FALSE(),중복검사!$H1147="중복")</f>
        <v>0</v>
      </c>
      <c r="K1149" s="5" t="str">
        <f aca="false">IF($J1149=FALSE(),"",COUNTIF($J$6:$J1149,TRUE()))</f>
        <v/>
      </c>
      <c r="L1149" s="5" t="str">
        <f aca="false">IF($K1149="","","R"&amp;$K1149)</f>
        <v/>
      </c>
    </row>
    <row r="1150" customFormat="false" ht="15" hidden="false" customHeight="true" outlineLevel="0" collapsed="false">
      <c r="J1150" s="14" t="b">
        <f aca="false">IF(중복검사!$A1148="",FALSE(),중복검사!$H1148="중복")</f>
        <v>0</v>
      </c>
      <c r="K1150" s="5" t="str">
        <f aca="false">IF($J1150=FALSE(),"",COUNTIF($J$6:$J1150,TRUE()))</f>
        <v/>
      </c>
      <c r="L1150" s="5" t="str">
        <f aca="false">IF($K1150="","","R"&amp;$K1150)</f>
        <v/>
      </c>
    </row>
    <row r="1151" customFormat="false" ht="15" hidden="false" customHeight="true" outlineLevel="0" collapsed="false">
      <c r="J1151" s="14" t="b">
        <f aca="false">IF(중복검사!$A1149="",FALSE(),중복검사!$H1149="중복")</f>
        <v>0</v>
      </c>
      <c r="K1151" s="5" t="str">
        <f aca="false">IF($J1151=FALSE(),"",COUNTIF($J$6:$J1151,TRUE()))</f>
        <v/>
      </c>
      <c r="L1151" s="5" t="str">
        <f aca="false">IF($K1151="","","R"&amp;$K1151)</f>
        <v/>
      </c>
    </row>
    <row r="1152" customFormat="false" ht="15" hidden="false" customHeight="true" outlineLevel="0" collapsed="false">
      <c r="J1152" s="14" t="b">
        <f aca="false">IF(중복검사!$A1150="",FALSE(),중복검사!$H1150="중복")</f>
        <v>0</v>
      </c>
      <c r="K1152" s="5" t="str">
        <f aca="false">IF($J1152=FALSE(),"",COUNTIF($J$6:$J1152,TRUE()))</f>
        <v/>
      </c>
      <c r="L1152" s="5" t="str">
        <f aca="false">IF($K1152="","","R"&amp;$K1152)</f>
        <v/>
      </c>
    </row>
    <row r="1153" customFormat="false" ht="15" hidden="false" customHeight="true" outlineLevel="0" collapsed="false">
      <c r="J1153" s="14" t="b">
        <f aca="false">IF(중복검사!$A1151="",FALSE(),중복검사!$H1151="중복")</f>
        <v>0</v>
      </c>
      <c r="K1153" s="5" t="str">
        <f aca="false">IF($J1153=FALSE(),"",COUNTIF($J$6:$J1153,TRUE()))</f>
        <v/>
      </c>
      <c r="L1153" s="5" t="str">
        <f aca="false">IF($K1153="","","R"&amp;$K1153)</f>
        <v/>
      </c>
    </row>
    <row r="1154" customFormat="false" ht="15" hidden="false" customHeight="true" outlineLevel="0" collapsed="false">
      <c r="J1154" s="14" t="b">
        <f aca="false">IF(중복검사!$A1152="",FALSE(),중복검사!$H1152="중복")</f>
        <v>0</v>
      </c>
      <c r="K1154" s="5" t="str">
        <f aca="false">IF($J1154=FALSE(),"",COUNTIF($J$6:$J1154,TRUE()))</f>
        <v/>
      </c>
      <c r="L1154" s="5" t="str">
        <f aca="false">IF($K1154="","","R"&amp;$K1154)</f>
        <v/>
      </c>
    </row>
    <row r="1155" customFormat="false" ht="15" hidden="false" customHeight="true" outlineLevel="0" collapsed="false">
      <c r="J1155" s="14" t="b">
        <f aca="false">IF(중복검사!$A1153="",FALSE(),중복검사!$H1153="중복")</f>
        <v>0</v>
      </c>
      <c r="K1155" s="5" t="str">
        <f aca="false">IF($J1155=FALSE(),"",COUNTIF($J$6:$J1155,TRUE()))</f>
        <v/>
      </c>
      <c r="L1155" s="5" t="str">
        <f aca="false">IF($K1155="","","R"&amp;$K1155)</f>
        <v/>
      </c>
    </row>
    <row r="1156" customFormat="false" ht="15" hidden="false" customHeight="true" outlineLevel="0" collapsed="false">
      <c r="J1156" s="14" t="b">
        <f aca="false">IF(중복검사!$A1154="",FALSE(),중복검사!$H1154="중복")</f>
        <v>0</v>
      </c>
      <c r="K1156" s="5" t="str">
        <f aca="false">IF($J1156=FALSE(),"",COUNTIF($J$6:$J1156,TRUE()))</f>
        <v/>
      </c>
      <c r="L1156" s="5" t="str">
        <f aca="false">IF($K1156="","","R"&amp;$K1156)</f>
        <v/>
      </c>
    </row>
    <row r="1157" customFormat="false" ht="15" hidden="false" customHeight="true" outlineLevel="0" collapsed="false">
      <c r="J1157" s="14" t="b">
        <f aca="false">IF(중복검사!$A1155="",FALSE(),중복검사!$H1155="중복")</f>
        <v>0</v>
      </c>
      <c r="K1157" s="5" t="str">
        <f aca="false">IF($J1157=FALSE(),"",COUNTIF($J$6:$J1157,TRUE()))</f>
        <v/>
      </c>
      <c r="L1157" s="5" t="str">
        <f aca="false">IF($K1157="","","R"&amp;$K1157)</f>
        <v/>
      </c>
    </row>
    <row r="1158" customFormat="false" ht="15" hidden="false" customHeight="true" outlineLevel="0" collapsed="false">
      <c r="J1158" s="14" t="b">
        <f aca="false">IF(중복검사!$A1156="",FALSE(),중복검사!$H1156="중복")</f>
        <v>0</v>
      </c>
      <c r="K1158" s="5" t="str">
        <f aca="false">IF($J1158=FALSE(),"",COUNTIF($J$6:$J1158,TRUE()))</f>
        <v/>
      </c>
      <c r="L1158" s="5" t="str">
        <f aca="false">IF($K1158="","","R"&amp;$K1158)</f>
        <v/>
      </c>
    </row>
    <row r="1159" customFormat="false" ht="15" hidden="false" customHeight="true" outlineLevel="0" collapsed="false">
      <c r="J1159" s="14" t="b">
        <f aca="false">IF(중복검사!$A1157="",FALSE(),중복검사!$H1157="중복")</f>
        <v>0</v>
      </c>
      <c r="K1159" s="5" t="str">
        <f aca="false">IF($J1159=FALSE(),"",COUNTIF($J$6:$J1159,TRUE()))</f>
        <v/>
      </c>
      <c r="L1159" s="5" t="str">
        <f aca="false">IF($K1159="","","R"&amp;$K1159)</f>
        <v/>
      </c>
    </row>
    <row r="1160" customFormat="false" ht="15" hidden="false" customHeight="true" outlineLevel="0" collapsed="false">
      <c r="J1160" s="14" t="b">
        <f aca="false">IF(중복검사!$A1158="",FALSE(),중복검사!$H1158="중복")</f>
        <v>0</v>
      </c>
      <c r="K1160" s="5" t="str">
        <f aca="false">IF($J1160=FALSE(),"",COUNTIF($J$6:$J1160,TRUE()))</f>
        <v/>
      </c>
      <c r="L1160" s="5" t="str">
        <f aca="false">IF($K1160="","","R"&amp;$K1160)</f>
        <v/>
      </c>
    </row>
    <row r="1161" customFormat="false" ht="15" hidden="false" customHeight="true" outlineLevel="0" collapsed="false">
      <c r="J1161" s="14" t="b">
        <f aca="false">IF(중복검사!$A1159="",FALSE(),중복검사!$H1159="중복")</f>
        <v>0</v>
      </c>
      <c r="K1161" s="5" t="str">
        <f aca="false">IF($J1161=FALSE(),"",COUNTIF($J$6:$J1161,TRUE()))</f>
        <v/>
      </c>
      <c r="L1161" s="5" t="str">
        <f aca="false">IF($K1161="","","R"&amp;$K1161)</f>
        <v/>
      </c>
    </row>
    <row r="1162" customFormat="false" ht="15" hidden="false" customHeight="true" outlineLevel="0" collapsed="false">
      <c r="J1162" s="14" t="b">
        <f aca="false">IF(중복검사!$A1160="",FALSE(),중복검사!$H1160="중복")</f>
        <v>0</v>
      </c>
      <c r="K1162" s="5" t="str">
        <f aca="false">IF($J1162=FALSE(),"",COUNTIF($J$6:$J1162,TRUE()))</f>
        <v/>
      </c>
      <c r="L1162" s="5" t="str">
        <f aca="false">IF($K1162="","","R"&amp;$K1162)</f>
        <v/>
      </c>
    </row>
    <row r="1163" customFormat="false" ht="15" hidden="false" customHeight="true" outlineLevel="0" collapsed="false">
      <c r="J1163" s="14" t="b">
        <f aca="false">IF(중복검사!$A1161="",FALSE(),중복검사!$H1161="중복")</f>
        <v>0</v>
      </c>
      <c r="K1163" s="5" t="str">
        <f aca="false">IF($J1163=FALSE(),"",COUNTIF($J$6:$J1163,TRUE()))</f>
        <v/>
      </c>
      <c r="L1163" s="5" t="str">
        <f aca="false">IF($K1163="","","R"&amp;$K1163)</f>
        <v/>
      </c>
    </row>
    <row r="1164" customFormat="false" ht="15" hidden="false" customHeight="true" outlineLevel="0" collapsed="false">
      <c r="J1164" s="14" t="b">
        <f aca="false">IF(중복검사!$A1162="",FALSE(),중복검사!$H1162="중복")</f>
        <v>0</v>
      </c>
      <c r="K1164" s="5" t="str">
        <f aca="false">IF($J1164=FALSE(),"",COUNTIF($J$6:$J1164,TRUE()))</f>
        <v/>
      </c>
      <c r="L1164" s="5" t="str">
        <f aca="false">IF($K1164="","","R"&amp;$K1164)</f>
        <v/>
      </c>
    </row>
    <row r="1165" customFormat="false" ht="15" hidden="false" customHeight="true" outlineLevel="0" collapsed="false">
      <c r="J1165" s="14" t="b">
        <f aca="false">IF(중복검사!$A1163="",FALSE(),중복검사!$H1163="중복")</f>
        <v>0</v>
      </c>
      <c r="K1165" s="5" t="str">
        <f aca="false">IF($J1165=FALSE(),"",COUNTIF($J$6:$J1165,TRUE()))</f>
        <v/>
      </c>
      <c r="L1165" s="5" t="str">
        <f aca="false">IF($K1165="","","R"&amp;$K1165)</f>
        <v/>
      </c>
    </row>
    <row r="1166" customFormat="false" ht="15" hidden="false" customHeight="true" outlineLevel="0" collapsed="false">
      <c r="J1166" s="14" t="b">
        <f aca="false">IF(중복검사!$A1164="",FALSE(),중복검사!$H1164="중복")</f>
        <v>0</v>
      </c>
      <c r="K1166" s="5" t="str">
        <f aca="false">IF($J1166=FALSE(),"",COUNTIF($J$6:$J1166,TRUE()))</f>
        <v/>
      </c>
      <c r="L1166" s="5" t="str">
        <f aca="false">IF($K1166="","","R"&amp;$K1166)</f>
        <v/>
      </c>
    </row>
    <row r="1167" customFormat="false" ht="15" hidden="false" customHeight="true" outlineLevel="0" collapsed="false">
      <c r="J1167" s="14" t="b">
        <f aca="false">IF(중복검사!$A1165="",FALSE(),중복검사!$H1165="중복")</f>
        <v>0</v>
      </c>
      <c r="K1167" s="5" t="str">
        <f aca="false">IF($J1167=FALSE(),"",COUNTIF($J$6:$J1167,TRUE()))</f>
        <v/>
      </c>
      <c r="L1167" s="5" t="str">
        <f aca="false">IF($K1167="","","R"&amp;$K1167)</f>
        <v/>
      </c>
    </row>
    <row r="1168" customFormat="false" ht="15" hidden="false" customHeight="true" outlineLevel="0" collapsed="false">
      <c r="J1168" s="14" t="b">
        <f aca="false">IF(중복검사!$A1166="",FALSE(),중복검사!$H1166="중복")</f>
        <v>0</v>
      </c>
      <c r="K1168" s="5" t="str">
        <f aca="false">IF($J1168=FALSE(),"",COUNTIF($J$6:$J1168,TRUE()))</f>
        <v/>
      </c>
      <c r="L1168" s="5" t="str">
        <f aca="false">IF($K1168="","","R"&amp;$K1168)</f>
        <v/>
      </c>
    </row>
    <row r="1169" customFormat="false" ht="15" hidden="false" customHeight="true" outlineLevel="0" collapsed="false">
      <c r="J1169" s="14" t="b">
        <f aca="false">IF(중복검사!$A1167="",FALSE(),중복검사!$H1167="중복")</f>
        <v>0</v>
      </c>
      <c r="K1169" s="5" t="str">
        <f aca="false">IF($J1169=FALSE(),"",COUNTIF($J$6:$J1169,TRUE()))</f>
        <v/>
      </c>
      <c r="L1169" s="5" t="str">
        <f aca="false">IF($K1169="","","R"&amp;$K1169)</f>
        <v/>
      </c>
    </row>
    <row r="1170" customFormat="false" ht="15" hidden="false" customHeight="true" outlineLevel="0" collapsed="false">
      <c r="J1170" s="14" t="b">
        <f aca="false">IF(중복검사!$A1168="",FALSE(),중복검사!$H1168="중복")</f>
        <v>0</v>
      </c>
      <c r="K1170" s="5" t="str">
        <f aca="false">IF($J1170=FALSE(),"",COUNTIF($J$6:$J1170,TRUE()))</f>
        <v/>
      </c>
      <c r="L1170" s="5" t="str">
        <f aca="false">IF($K1170="","","R"&amp;$K1170)</f>
        <v/>
      </c>
    </row>
    <row r="1171" customFormat="false" ht="15" hidden="false" customHeight="true" outlineLevel="0" collapsed="false">
      <c r="J1171" s="14" t="b">
        <f aca="false">IF(중복검사!$A1169="",FALSE(),중복검사!$H1169="중복")</f>
        <v>0</v>
      </c>
      <c r="K1171" s="5" t="str">
        <f aca="false">IF($J1171=FALSE(),"",COUNTIF($J$6:$J1171,TRUE()))</f>
        <v/>
      </c>
      <c r="L1171" s="5" t="str">
        <f aca="false">IF($K1171="","","R"&amp;$K1171)</f>
        <v/>
      </c>
    </row>
    <row r="1172" customFormat="false" ht="15" hidden="false" customHeight="true" outlineLevel="0" collapsed="false">
      <c r="J1172" s="14" t="b">
        <f aca="false">IF(중복검사!$A1170="",FALSE(),중복검사!$H1170="중복")</f>
        <v>0</v>
      </c>
      <c r="K1172" s="5" t="str">
        <f aca="false">IF($J1172=FALSE(),"",COUNTIF($J$6:$J1172,TRUE()))</f>
        <v/>
      </c>
      <c r="L1172" s="5" t="str">
        <f aca="false">IF($K1172="","","R"&amp;$K1172)</f>
        <v/>
      </c>
    </row>
    <row r="1173" customFormat="false" ht="15" hidden="false" customHeight="true" outlineLevel="0" collapsed="false">
      <c r="J1173" s="14" t="b">
        <f aca="false">IF(중복검사!$A1171="",FALSE(),중복검사!$H1171="중복")</f>
        <v>0</v>
      </c>
      <c r="K1173" s="5" t="str">
        <f aca="false">IF($J1173=FALSE(),"",COUNTIF($J$6:$J1173,TRUE()))</f>
        <v/>
      </c>
      <c r="L1173" s="5" t="str">
        <f aca="false">IF($K1173="","","R"&amp;$K1173)</f>
        <v/>
      </c>
    </row>
    <row r="1174" customFormat="false" ht="15" hidden="false" customHeight="true" outlineLevel="0" collapsed="false">
      <c r="J1174" s="14" t="b">
        <f aca="false">IF(중복검사!$A1172="",FALSE(),중복검사!$H1172="중복")</f>
        <v>0</v>
      </c>
      <c r="K1174" s="5" t="str">
        <f aca="false">IF($J1174=FALSE(),"",COUNTIF($J$6:$J1174,TRUE()))</f>
        <v/>
      </c>
      <c r="L1174" s="5" t="str">
        <f aca="false">IF($K1174="","","R"&amp;$K1174)</f>
        <v/>
      </c>
    </row>
    <row r="1175" customFormat="false" ht="15" hidden="false" customHeight="true" outlineLevel="0" collapsed="false">
      <c r="J1175" s="14" t="b">
        <f aca="false">IF(중복검사!$A1173="",FALSE(),중복검사!$H1173="중복")</f>
        <v>0</v>
      </c>
      <c r="K1175" s="5" t="str">
        <f aca="false">IF($J1175=FALSE(),"",COUNTIF($J$6:$J1175,TRUE()))</f>
        <v/>
      </c>
      <c r="L1175" s="5" t="str">
        <f aca="false">IF($K1175="","","R"&amp;$K1175)</f>
        <v/>
      </c>
    </row>
    <row r="1176" customFormat="false" ht="15" hidden="false" customHeight="true" outlineLevel="0" collapsed="false">
      <c r="J1176" s="14" t="b">
        <f aca="false">IF(중복검사!$A1174="",FALSE(),중복검사!$H1174="중복")</f>
        <v>0</v>
      </c>
      <c r="K1176" s="5" t="str">
        <f aca="false">IF($J1176=FALSE(),"",COUNTIF($J$6:$J1176,TRUE()))</f>
        <v/>
      </c>
      <c r="L1176" s="5" t="str">
        <f aca="false">IF($K1176="","","R"&amp;$K1176)</f>
        <v/>
      </c>
    </row>
    <row r="1177" customFormat="false" ht="15" hidden="false" customHeight="true" outlineLevel="0" collapsed="false">
      <c r="J1177" s="14" t="b">
        <f aca="false">IF(중복검사!$A1175="",FALSE(),중복검사!$H1175="중복")</f>
        <v>0</v>
      </c>
      <c r="K1177" s="5" t="str">
        <f aca="false">IF($J1177=FALSE(),"",COUNTIF($J$6:$J1177,TRUE()))</f>
        <v/>
      </c>
      <c r="L1177" s="5" t="str">
        <f aca="false">IF($K1177="","","R"&amp;$K1177)</f>
        <v/>
      </c>
    </row>
    <row r="1178" customFormat="false" ht="15" hidden="false" customHeight="true" outlineLevel="0" collapsed="false">
      <c r="J1178" s="14" t="b">
        <f aca="false">IF(중복검사!$A1176="",FALSE(),중복검사!$H1176="중복")</f>
        <v>0</v>
      </c>
      <c r="K1178" s="5" t="str">
        <f aca="false">IF($J1178=FALSE(),"",COUNTIF($J$6:$J1178,TRUE()))</f>
        <v/>
      </c>
      <c r="L1178" s="5" t="str">
        <f aca="false">IF($K1178="","","R"&amp;$K1178)</f>
        <v/>
      </c>
    </row>
    <row r="1179" customFormat="false" ht="15" hidden="false" customHeight="true" outlineLevel="0" collapsed="false">
      <c r="J1179" s="14" t="b">
        <f aca="false">IF(중복검사!$A1177="",FALSE(),중복검사!$H1177="중복")</f>
        <v>0</v>
      </c>
      <c r="K1179" s="5" t="str">
        <f aca="false">IF($J1179=FALSE(),"",COUNTIF($J$6:$J1179,TRUE()))</f>
        <v/>
      </c>
      <c r="L1179" s="5" t="str">
        <f aca="false">IF($K1179="","","R"&amp;$K1179)</f>
        <v/>
      </c>
    </row>
    <row r="1180" customFormat="false" ht="15" hidden="false" customHeight="true" outlineLevel="0" collapsed="false">
      <c r="J1180" s="14" t="b">
        <f aca="false">IF(중복검사!$A1178="",FALSE(),중복검사!$H1178="중복")</f>
        <v>0</v>
      </c>
      <c r="K1180" s="5" t="str">
        <f aca="false">IF($J1180=FALSE(),"",COUNTIF($J$6:$J1180,TRUE()))</f>
        <v/>
      </c>
      <c r="L1180" s="5" t="str">
        <f aca="false">IF($K1180="","","R"&amp;$K1180)</f>
        <v/>
      </c>
    </row>
    <row r="1181" customFormat="false" ht="15" hidden="false" customHeight="true" outlineLevel="0" collapsed="false">
      <c r="J1181" s="14" t="b">
        <f aca="false">IF(중복검사!$A1179="",FALSE(),중복검사!$H1179="중복")</f>
        <v>0</v>
      </c>
      <c r="K1181" s="5" t="str">
        <f aca="false">IF($J1181=FALSE(),"",COUNTIF($J$6:$J1181,TRUE()))</f>
        <v/>
      </c>
      <c r="L1181" s="5" t="str">
        <f aca="false">IF($K1181="","","R"&amp;$K1181)</f>
        <v/>
      </c>
    </row>
    <row r="1182" customFormat="false" ht="15" hidden="false" customHeight="true" outlineLevel="0" collapsed="false">
      <c r="J1182" s="14" t="b">
        <f aca="false">IF(중복검사!$A1180="",FALSE(),중복검사!$H1180="중복")</f>
        <v>0</v>
      </c>
      <c r="K1182" s="5" t="str">
        <f aca="false">IF($J1182=FALSE(),"",COUNTIF($J$6:$J1182,TRUE()))</f>
        <v/>
      </c>
      <c r="L1182" s="5" t="str">
        <f aca="false">IF($K1182="","","R"&amp;$K1182)</f>
        <v/>
      </c>
    </row>
    <row r="1183" customFormat="false" ht="15" hidden="false" customHeight="true" outlineLevel="0" collapsed="false">
      <c r="J1183" s="14" t="b">
        <f aca="false">IF(중복검사!$A1181="",FALSE(),중복검사!$H1181="중복")</f>
        <v>0</v>
      </c>
      <c r="K1183" s="5" t="str">
        <f aca="false">IF($J1183=FALSE(),"",COUNTIF($J$6:$J1183,TRUE()))</f>
        <v/>
      </c>
      <c r="L1183" s="5" t="str">
        <f aca="false">IF($K1183="","","R"&amp;$K1183)</f>
        <v/>
      </c>
    </row>
    <row r="1184" customFormat="false" ht="15" hidden="false" customHeight="true" outlineLevel="0" collapsed="false">
      <c r="J1184" s="14" t="b">
        <f aca="false">IF(중복검사!$A1182="",FALSE(),중복검사!$H1182="중복")</f>
        <v>0</v>
      </c>
      <c r="K1184" s="5" t="str">
        <f aca="false">IF($J1184=FALSE(),"",COUNTIF($J$6:$J1184,TRUE()))</f>
        <v/>
      </c>
      <c r="L1184" s="5" t="str">
        <f aca="false">IF($K1184="","","R"&amp;$K1184)</f>
        <v/>
      </c>
    </row>
    <row r="1185" customFormat="false" ht="15" hidden="false" customHeight="true" outlineLevel="0" collapsed="false">
      <c r="J1185" s="14" t="b">
        <f aca="false">IF(중복검사!$A1183="",FALSE(),중복검사!$H1183="중복")</f>
        <v>0</v>
      </c>
      <c r="K1185" s="5" t="str">
        <f aca="false">IF($J1185=FALSE(),"",COUNTIF($J$6:$J1185,TRUE()))</f>
        <v/>
      </c>
      <c r="L1185" s="5" t="str">
        <f aca="false">IF($K1185="","","R"&amp;$K1185)</f>
        <v/>
      </c>
    </row>
    <row r="1186" customFormat="false" ht="15" hidden="false" customHeight="true" outlineLevel="0" collapsed="false">
      <c r="J1186" s="14" t="b">
        <f aca="false">IF(중복검사!$A1184="",FALSE(),중복검사!$H1184="중복")</f>
        <v>0</v>
      </c>
      <c r="K1186" s="5" t="str">
        <f aca="false">IF($J1186=FALSE(),"",COUNTIF($J$6:$J1186,TRUE()))</f>
        <v/>
      </c>
      <c r="L1186" s="5" t="str">
        <f aca="false">IF($K1186="","","R"&amp;$K1186)</f>
        <v/>
      </c>
    </row>
    <row r="1187" customFormat="false" ht="15" hidden="false" customHeight="true" outlineLevel="0" collapsed="false">
      <c r="J1187" s="14" t="b">
        <f aca="false">IF(중복검사!$A1185="",FALSE(),중복검사!$H1185="중복")</f>
        <v>0</v>
      </c>
      <c r="K1187" s="5" t="str">
        <f aca="false">IF($J1187=FALSE(),"",COUNTIF($J$6:$J1187,TRUE()))</f>
        <v/>
      </c>
      <c r="L1187" s="5" t="str">
        <f aca="false">IF($K1187="","","R"&amp;$K1187)</f>
        <v/>
      </c>
    </row>
    <row r="1188" customFormat="false" ht="15" hidden="false" customHeight="true" outlineLevel="0" collapsed="false">
      <c r="J1188" s="14" t="b">
        <f aca="false">IF(중복검사!$A1186="",FALSE(),중복검사!$H1186="중복")</f>
        <v>0</v>
      </c>
      <c r="K1188" s="5" t="str">
        <f aca="false">IF($J1188=FALSE(),"",COUNTIF($J$6:$J1188,TRUE()))</f>
        <v/>
      </c>
      <c r="L1188" s="5" t="str">
        <f aca="false">IF($K1188="","","R"&amp;$K1188)</f>
        <v/>
      </c>
    </row>
    <row r="1189" customFormat="false" ht="15" hidden="false" customHeight="true" outlineLevel="0" collapsed="false">
      <c r="J1189" s="14" t="b">
        <f aca="false">IF(중복검사!$A1187="",FALSE(),중복검사!$H1187="중복")</f>
        <v>0</v>
      </c>
      <c r="K1189" s="5" t="str">
        <f aca="false">IF($J1189=FALSE(),"",COUNTIF($J$6:$J1189,TRUE()))</f>
        <v/>
      </c>
      <c r="L1189" s="5" t="str">
        <f aca="false">IF($K1189="","","R"&amp;$K1189)</f>
        <v/>
      </c>
    </row>
    <row r="1190" customFormat="false" ht="15" hidden="false" customHeight="true" outlineLevel="0" collapsed="false">
      <c r="J1190" s="14" t="b">
        <f aca="false">IF(중복검사!$A1188="",FALSE(),중복검사!$H1188="중복")</f>
        <v>0</v>
      </c>
      <c r="K1190" s="5" t="str">
        <f aca="false">IF($J1190=FALSE(),"",COUNTIF($J$6:$J1190,TRUE()))</f>
        <v/>
      </c>
      <c r="L1190" s="5" t="str">
        <f aca="false">IF($K1190="","","R"&amp;$K1190)</f>
        <v/>
      </c>
    </row>
    <row r="1191" customFormat="false" ht="15" hidden="false" customHeight="true" outlineLevel="0" collapsed="false">
      <c r="J1191" s="14" t="b">
        <f aca="false">IF(중복검사!$A1189="",FALSE(),중복검사!$H1189="중복")</f>
        <v>0</v>
      </c>
      <c r="K1191" s="5" t="str">
        <f aca="false">IF($J1191=FALSE(),"",COUNTIF($J$6:$J1191,TRUE()))</f>
        <v/>
      </c>
      <c r="L1191" s="5" t="str">
        <f aca="false">IF($K1191="","","R"&amp;$K1191)</f>
        <v/>
      </c>
    </row>
    <row r="1192" customFormat="false" ht="15" hidden="false" customHeight="true" outlineLevel="0" collapsed="false">
      <c r="J1192" s="14" t="b">
        <f aca="false">IF(중복검사!$A1190="",FALSE(),중복검사!$H1190="중복")</f>
        <v>0</v>
      </c>
      <c r="K1192" s="5" t="str">
        <f aca="false">IF($J1192=FALSE(),"",COUNTIF($J$6:$J1192,TRUE()))</f>
        <v/>
      </c>
      <c r="L1192" s="5" t="str">
        <f aca="false">IF($K1192="","","R"&amp;$K1192)</f>
        <v/>
      </c>
    </row>
    <row r="1193" customFormat="false" ht="15" hidden="false" customHeight="true" outlineLevel="0" collapsed="false">
      <c r="J1193" s="14" t="b">
        <f aca="false">IF(중복검사!$A1191="",FALSE(),중복검사!$H1191="중복")</f>
        <v>0</v>
      </c>
      <c r="K1193" s="5" t="str">
        <f aca="false">IF($J1193=FALSE(),"",COUNTIF($J$6:$J1193,TRUE()))</f>
        <v/>
      </c>
      <c r="L1193" s="5" t="str">
        <f aca="false">IF($K1193="","","R"&amp;$K1193)</f>
        <v/>
      </c>
    </row>
    <row r="1194" customFormat="false" ht="15" hidden="false" customHeight="true" outlineLevel="0" collapsed="false">
      <c r="J1194" s="14" t="b">
        <f aca="false">IF(중복검사!$A1192="",FALSE(),중복검사!$H1192="중복")</f>
        <v>0</v>
      </c>
      <c r="K1194" s="5" t="str">
        <f aca="false">IF($J1194=FALSE(),"",COUNTIF($J$6:$J1194,TRUE()))</f>
        <v/>
      </c>
      <c r="L1194" s="5" t="str">
        <f aca="false">IF($K1194="","","R"&amp;$K1194)</f>
        <v/>
      </c>
    </row>
    <row r="1195" customFormat="false" ht="15" hidden="false" customHeight="true" outlineLevel="0" collapsed="false">
      <c r="J1195" s="14" t="b">
        <f aca="false">IF(중복검사!$A1193="",FALSE(),중복검사!$H1193="중복")</f>
        <v>0</v>
      </c>
      <c r="K1195" s="5" t="str">
        <f aca="false">IF($J1195=FALSE(),"",COUNTIF($J$6:$J1195,TRUE()))</f>
        <v/>
      </c>
      <c r="L1195" s="5" t="str">
        <f aca="false">IF($K1195="","","R"&amp;$K1195)</f>
        <v/>
      </c>
    </row>
    <row r="1196" customFormat="false" ht="15" hidden="false" customHeight="true" outlineLevel="0" collapsed="false">
      <c r="J1196" s="14" t="b">
        <f aca="false">IF(중복검사!$A1194="",FALSE(),중복검사!$H1194="중복")</f>
        <v>0</v>
      </c>
      <c r="K1196" s="5" t="str">
        <f aca="false">IF($J1196=FALSE(),"",COUNTIF($J$6:$J1196,TRUE()))</f>
        <v/>
      </c>
      <c r="L1196" s="5" t="str">
        <f aca="false">IF($K1196="","","R"&amp;$K1196)</f>
        <v/>
      </c>
    </row>
    <row r="1197" customFormat="false" ht="15" hidden="false" customHeight="true" outlineLevel="0" collapsed="false">
      <c r="J1197" s="14" t="b">
        <f aca="false">IF(중복검사!$A1195="",FALSE(),중복검사!$H1195="중복")</f>
        <v>0</v>
      </c>
      <c r="K1197" s="5" t="str">
        <f aca="false">IF($J1197=FALSE(),"",COUNTIF($J$6:$J1197,TRUE()))</f>
        <v/>
      </c>
      <c r="L1197" s="5" t="str">
        <f aca="false">IF($K1197="","","R"&amp;$K1197)</f>
        <v/>
      </c>
    </row>
    <row r="1198" customFormat="false" ht="15" hidden="false" customHeight="true" outlineLevel="0" collapsed="false">
      <c r="J1198" s="14" t="b">
        <f aca="false">IF(중복검사!$A1196="",FALSE(),중복검사!$H1196="중복")</f>
        <v>0</v>
      </c>
      <c r="K1198" s="5" t="str">
        <f aca="false">IF($J1198=FALSE(),"",COUNTIF($J$6:$J1198,TRUE()))</f>
        <v/>
      </c>
      <c r="L1198" s="5" t="str">
        <f aca="false">IF($K1198="","","R"&amp;$K1198)</f>
        <v/>
      </c>
    </row>
    <row r="1199" customFormat="false" ht="15" hidden="false" customHeight="true" outlineLevel="0" collapsed="false">
      <c r="J1199" s="14" t="b">
        <f aca="false">IF(중복검사!$A1197="",FALSE(),중복검사!$H1197="중복")</f>
        <v>0</v>
      </c>
      <c r="K1199" s="5" t="str">
        <f aca="false">IF($J1199=FALSE(),"",COUNTIF($J$6:$J1199,TRUE()))</f>
        <v/>
      </c>
      <c r="L1199" s="5" t="str">
        <f aca="false">IF($K1199="","","R"&amp;$K1199)</f>
        <v/>
      </c>
    </row>
    <row r="1200" customFormat="false" ht="15" hidden="false" customHeight="true" outlineLevel="0" collapsed="false">
      <c r="J1200" s="14" t="b">
        <f aca="false">IF(중복검사!$A1198="",FALSE(),중복검사!$H1198="중복")</f>
        <v>0</v>
      </c>
      <c r="K1200" s="5" t="str">
        <f aca="false">IF($J1200=FALSE(),"",COUNTIF($J$6:$J1200,TRUE()))</f>
        <v/>
      </c>
      <c r="L1200" s="5" t="str">
        <f aca="false">IF($K1200="","","R"&amp;$K1200)</f>
        <v/>
      </c>
    </row>
    <row r="1201" customFormat="false" ht="15" hidden="false" customHeight="true" outlineLevel="0" collapsed="false">
      <c r="J1201" s="14" t="b">
        <f aca="false">IF(중복검사!$A1199="",FALSE(),중복검사!$H1199="중복")</f>
        <v>0</v>
      </c>
      <c r="K1201" s="5" t="str">
        <f aca="false">IF($J1201=FALSE(),"",COUNTIF($J$6:$J1201,TRUE()))</f>
        <v/>
      </c>
      <c r="L1201" s="5" t="str">
        <f aca="false">IF($K1201="","","R"&amp;$K1201)</f>
        <v/>
      </c>
    </row>
    <row r="1202" customFormat="false" ht="15" hidden="false" customHeight="true" outlineLevel="0" collapsed="false">
      <c r="J1202" s="14" t="b">
        <f aca="false">IF(중복검사!$A1200="",FALSE(),중복검사!$H1200="중복")</f>
        <v>0</v>
      </c>
      <c r="K1202" s="5" t="str">
        <f aca="false">IF($J1202=FALSE(),"",COUNTIF($J$6:$J1202,TRUE()))</f>
        <v/>
      </c>
      <c r="L1202" s="5" t="str">
        <f aca="false">IF($K1202="","","R"&amp;$K1202)</f>
        <v/>
      </c>
    </row>
    <row r="1203" customFormat="false" ht="15" hidden="false" customHeight="true" outlineLevel="0" collapsed="false">
      <c r="J1203" s="14" t="b">
        <f aca="false">IF(중복검사!$A1201="",FALSE(),중복검사!$H1201="중복")</f>
        <v>0</v>
      </c>
      <c r="K1203" s="5" t="str">
        <f aca="false">IF($J1203=FALSE(),"",COUNTIF($J$6:$J1203,TRUE()))</f>
        <v/>
      </c>
      <c r="L1203" s="5" t="str">
        <f aca="false">IF($K1203="","","R"&amp;$K1203)</f>
        <v/>
      </c>
    </row>
    <row r="1204" customFormat="false" ht="15" hidden="false" customHeight="true" outlineLevel="0" collapsed="false">
      <c r="J1204" s="14" t="b">
        <f aca="false">IF(중복검사!$A1202="",FALSE(),중복검사!$H1202="중복")</f>
        <v>0</v>
      </c>
      <c r="K1204" s="5" t="str">
        <f aca="false">IF($J1204=FALSE(),"",COUNTIF($J$6:$J1204,TRUE()))</f>
        <v/>
      </c>
      <c r="L1204" s="5" t="str">
        <f aca="false">IF($K1204="","","R"&amp;$K1204)</f>
        <v/>
      </c>
    </row>
    <row r="1205" customFormat="false" ht="15" hidden="false" customHeight="true" outlineLevel="0" collapsed="false">
      <c r="J1205" s="14" t="b">
        <f aca="false">IF(중복검사!$A1203="",FALSE(),중복검사!$H1203="중복")</f>
        <v>0</v>
      </c>
      <c r="K1205" s="5" t="str">
        <f aca="false">IF($J1205=FALSE(),"",COUNTIF($J$6:$J1205,TRUE()))</f>
        <v/>
      </c>
      <c r="L1205" s="5" t="str">
        <f aca="false">IF($K1205="","","R"&amp;$K1205)</f>
        <v/>
      </c>
    </row>
    <row r="1206" customFormat="false" ht="15" hidden="false" customHeight="true" outlineLevel="0" collapsed="false">
      <c r="J1206" s="14" t="b">
        <f aca="false">IF(중복검사!$A1204="",FALSE(),중복검사!$H1204="중복")</f>
        <v>0</v>
      </c>
      <c r="K1206" s="5" t="str">
        <f aca="false">IF($J1206=FALSE(),"",COUNTIF($J$6:$J1206,TRUE()))</f>
        <v/>
      </c>
      <c r="L1206" s="5" t="str">
        <f aca="false">IF($K1206="","","R"&amp;$K1206)</f>
        <v/>
      </c>
    </row>
    <row r="1207" customFormat="false" ht="15" hidden="false" customHeight="true" outlineLevel="0" collapsed="false">
      <c r="J1207" s="14" t="b">
        <f aca="false">IF(중복검사!$A1205="",FALSE(),중복검사!$H1205="중복")</f>
        <v>0</v>
      </c>
      <c r="K1207" s="5" t="str">
        <f aca="false">IF($J1207=FALSE(),"",COUNTIF($J$6:$J1207,TRUE()))</f>
        <v/>
      </c>
      <c r="L1207" s="5" t="str">
        <f aca="false">IF($K1207="","","R"&amp;$K1207)</f>
        <v/>
      </c>
    </row>
    <row r="1208" customFormat="false" ht="15" hidden="false" customHeight="true" outlineLevel="0" collapsed="false">
      <c r="J1208" s="14" t="b">
        <f aca="false">IF(중복검사!$A1206="",FALSE(),중복검사!$H1206="중복")</f>
        <v>0</v>
      </c>
      <c r="K1208" s="5" t="str">
        <f aca="false">IF($J1208=FALSE(),"",COUNTIF($J$6:$J1208,TRUE()))</f>
        <v/>
      </c>
      <c r="L1208" s="5" t="str">
        <f aca="false">IF($K1208="","","R"&amp;$K1208)</f>
        <v/>
      </c>
    </row>
    <row r="1209" customFormat="false" ht="15" hidden="false" customHeight="true" outlineLevel="0" collapsed="false">
      <c r="J1209" s="14" t="b">
        <f aca="false">IF(중복검사!$A1207="",FALSE(),중복검사!$H1207="중복")</f>
        <v>0</v>
      </c>
      <c r="K1209" s="5" t="str">
        <f aca="false">IF($J1209=FALSE(),"",COUNTIF($J$6:$J1209,TRUE()))</f>
        <v/>
      </c>
      <c r="L1209" s="5" t="str">
        <f aca="false">IF($K1209="","","R"&amp;$K1209)</f>
        <v/>
      </c>
    </row>
    <row r="1210" customFormat="false" ht="15" hidden="false" customHeight="true" outlineLevel="0" collapsed="false">
      <c r="J1210" s="14" t="b">
        <f aca="false">IF(중복검사!$A1208="",FALSE(),중복검사!$H1208="중복")</f>
        <v>0</v>
      </c>
      <c r="K1210" s="5" t="str">
        <f aca="false">IF($J1210=FALSE(),"",COUNTIF($J$6:$J1210,TRUE()))</f>
        <v/>
      </c>
      <c r="L1210" s="5" t="str">
        <f aca="false">IF($K1210="","","R"&amp;$K1210)</f>
        <v/>
      </c>
    </row>
    <row r="1211" customFormat="false" ht="15" hidden="false" customHeight="true" outlineLevel="0" collapsed="false">
      <c r="J1211" s="14" t="b">
        <f aca="false">IF(중복검사!$A1209="",FALSE(),중복검사!$H1209="중복")</f>
        <v>0</v>
      </c>
      <c r="K1211" s="5" t="str">
        <f aca="false">IF($J1211=FALSE(),"",COUNTIF($J$6:$J1211,TRUE()))</f>
        <v/>
      </c>
      <c r="L1211" s="5" t="str">
        <f aca="false">IF($K1211="","","R"&amp;$K1211)</f>
        <v/>
      </c>
    </row>
    <row r="1212" customFormat="false" ht="15" hidden="false" customHeight="true" outlineLevel="0" collapsed="false">
      <c r="J1212" s="14" t="b">
        <f aca="false">IF(중복검사!$A1210="",FALSE(),중복검사!$H1210="중복")</f>
        <v>0</v>
      </c>
      <c r="K1212" s="5" t="str">
        <f aca="false">IF($J1212=FALSE(),"",COUNTIF($J$6:$J1212,TRUE()))</f>
        <v/>
      </c>
      <c r="L1212" s="5" t="str">
        <f aca="false">IF($K1212="","","R"&amp;$K1212)</f>
        <v/>
      </c>
    </row>
    <row r="1213" customFormat="false" ht="15" hidden="false" customHeight="true" outlineLevel="0" collapsed="false">
      <c r="J1213" s="14" t="b">
        <f aca="false">IF(중복검사!$A1211="",FALSE(),중복검사!$H1211="중복")</f>
        <v>0</v>
      </c>
      <c r="K1213" s="5" t="str">
        <f aca="false">IF($J1213=FALSE(),"",COUNTIF($J$6:$J1213,TRUE()))</f>
        <v/>
      </c>
      <c r="L1213" s="5" t="str">
        <f aca="false">IF($K1213="","","R"&amp;$K1213)</f>
        <v/>
      </c>
    </row>
    <row r="1214" customFormat="false" ht="15" hidden="false" customHeight="true" outlineLevel="0" collapsed="false">
      <c r="J1214" s="14" t="b">
        <f aca="false">IF(중복검사!$A1212="",FALSE(),중복검사!$H1212="중복")</f>
        <v>0</v>
      </c>
      <c r="K1214" s="5" t="str">
        <f aca="false">IF($J1214=FALSE(),"",COUNTIF($J$6:$J1214,TRUE()))</f>
        <v/>
      </c>
      <c r="L1214" s="5" t="str">
        <f aca="false">IF($K1214="","","R"&amp;$K1214)</f>
        <v/>
      </c>
    </row>
    <row r="1215" customFormat="false" ht="15" hidden="false" customHeight="true" outlineLevel="0" collapsed="false">
      <c r="J1215" s="14" t="b">
        <f aca="false">IF(중복검사!$A1213="",FALSE(),중복검사!$H1213="중복")</f>
        <v>0</v>
      </c>
      <c r="K1215" s="5" t="str">
        <f aca="false">IF($J1215=FALSE(),"",COUNTIF($J$6:$J1215,TRUE()))</f>
        <v/>
      </c>
      <c r="L1215" s="5" t="str">
        <f aca="false">IF($K1215="","","R"&amp;$K1215)</f>
        <v/>
      </c>
    </row>
    <row r="1216" customFormat="false" ht="15" hidden="false" customHeight="true" outlineLevel="0" collapsed="false">
      <c r="J1216" s="14" t="b">
        <f aca="false">IF(중복검사!$A1214="",FALSE(),중복검사!$H1214="중복")</f>
        <v>0</v>
      </c>
      <c r="K1216" s="5" t="str">
        <f aca="false">IF($J1216=FALSE(),"",COUNTIF($J$6:$J1216,TRUE()))</f>
        <v/>
      </c>
      <c r="L1216" s="5" t="str">
        <f aca="false">IF($K1216="","","R"&amp;$K1216)</f>
        <v/>
      </c>
    </row>
    <row r="1217" customFormat="false" ht="15" hidden="false" customHeight="true" outlineLevel="0" collapsed="false">
      <c r="J1217" s="14" t="b">
        <f aca="false">IF(중복검사!$A1215="",FALSE(),중복검사!$H1215="중복")</f>
        <v>0</v>
      </c>
      <c r="K1217" s="5" t="str">
        <f aca="false">IF($J1217=FALSE(),"",COUNTIF($J$6:$J1217,TRUE()))</f>
        <v/>
      </c>
      <c r="L1217" s="5" t="str">
        <f aca="false">IF($K1217="","","R"&amp;$K1217)</f>
        <v/>
      </c>
    </row>
    <row r="1218" customFormat="false" ht="15" hidden="false" customHeight="true" outlineLevel="0" collapsed="false">
      <c r="J1218" s="14" t="b">
        <f aca="false">IF(중복검사!$A1216="",FALSE(),중복검사!$H1216="중복")</f>
        <v>0</v>
      </c>
      <c r="K1218" s="5" t="str">
        <f aca="false">IF($J1218=FALSE(),"",COUNTIF($J$6:$J1218,TRUE()))</f>
        <v/>
      </c>
      <c r="L1218" s="5" t="str">
        <f aca="false">IF($K1218="","","R"&amp;$K1218)</f>
        <v/>
      </c>
    </row>
    <row r="1219" customFormat="false" ht="15" hidden="false" customHeight="true" outlineLevel="0" collapsed="false">
      <c r="J1219" s="14" t="b">
        <f aca="false">IF(중복검사!$A1217="",FALSE(),중복검사!$H1217="중복")</f>
        <v>0</v>
      </c>
      <c r="K1219" s="5" t="str">
        <f aca="false">IF($J1219=FALSE(),"",COUNTIF($J$6:$J1219,TRUE()))</f>
        <v/>
      </c>
      <c r="L1219" s="5" t="str">
        <f aca="false">IF($K1219="","","R"&amp;$K1219)</f>
        <v/>
      </c>
    </row>
    <row r="1220" customFormat="false" ht="15" hidden="false" customHeight="true" outlineLevel="0" collapsed="false">
      <c r="J1220" s="14" t="b">
        <f aca="false">IF(중복검사!$A1218="",FALSE(),중복검사!$H1218="중복")</f>
        <v>0</v>
      </c>
      <c r="K1220" s="5" t="str">
        <f aca="false">IF($J1220=FALSE(),"",COUNTIF($J$6:$J1220,TRUE()))</f>
        <v/>
      </c>
      <c r="L1220" s="5" t="str">
        <f aca="false">IF($K1220="","","R"&amp;$K1220)</f>
        <v/>
      </c>
    </row>
    <row r="1221" customFormat="false" ht="15" hidden="false" customHeight="true" outlineLevel="0" collapsed="false">
      <c r="J1221" s="14" t="b">
        <f aca="false">IF(중복검사!$A1219="",FALSE(),중복검사!$H1219="중복")</f>
        <v>0</v>
      </c>
      <c r="K1221" s="5" t="str">
        <f aca="false">IF($J1221=FALSE(),"",COUNTIF($J$6:$J1221,TRUE()))</f>
        <v/>
      </c>
      <c r="L1221" s="5" t="str">
        <f aca="false">IF($K1221="","","R"&amp;$K1221)</f>
        <v/>
      </c>
    </row>
    <row r="1222" customFormat="false" ht="15" hidden="false" customHeight="true" outlineLevel="0" collapsed="false">
      <c r="J1222" s="14" t="b">
        <f aca="false">IF(중복검사!$A1220="",FALSE(),중복검사!$H1220="중복")</f>
        <v>0</v>
      </c>
      <c r="K1222" s="5" t="str">
        <f aca="false">IF($J1222=FALSE(),"",COUNTIF($J$6:$J1222,TRUE()))</f>
        <v/>
      </c>
      <c r="L1222" s="5" t="str">
        <f aca="false">IF($K1222="","","R"&amp;$K1222)</f>
        <v/>
      </c>
    </row>
    <row r="1223" customFormat="false" ht="15" hidden="false" customHeight="true" outlineLevel="0" collapsed="false">
      <c r="J1223" s="14" t="b">
        <f aca="false">IF(중복검사!$A1221="",FALSE(),중복검사!$H1221="중복")</f>
        <v>0</v>
      </c>
      <c r="K1223" s="5" t="str">
        <f aca="false">IF($J1223=FALSE(),"",COUNTIF($J$6:$J1223,TRUE()))</f>
        <v/>
      </c>
      <c r="L1223" s="5" t="str">
        <f aca="false">IF($K1223="","","R"&amp;$K1223)</f>
        <v/>
      </c>
    </row>
    <row r="1224" customFormat="false" ht="15" hidden="false" customHeight="true" outlineLevel="0" collapsed="false">
      <c r="J1224" s="14" t="b">
        <f aca="false">IF(중복검사!$A1222="",FALSE(),중복검사!$H1222="중복")</f>
        <v>0</v>
      </c>
      <c r="K1224" s="5" t="str">
        <f aca="false">IF($J1224=FALSE(),"",COUNTIF($J$6:$J1224,TRUE()))</f>
        <v/>
      </c>
      <c r="L1224" s="5" t="str">
        <f aca="false">IF($K1224="","","R"&amp;$K1224)</f>
        <v/>
      </c>
    </row>
    <row r="1225" customFormat="false" ht="15" hidden="false" customHeight="true" outlineLevel="0" collapsed="false">
      <c r="J1225" s="14" t="b">
        <f aca="false">IF(중복검사!$A1223="",FALSE(),중복검사!$H1223="중복")</f>
        <v>0</v>
      </c>
      <c r="K1225" s="5" t="str">
        <f aca="false">IF($J1225=FALSE(),"",COUNTIF($J$6:$J1225,TRUE()))</f>
        <v/>
      </c>
      <c r="L1225" s="5" t="str">
        <f aca="false">IF($K1225="","","R"&amp;$K1225)</f>
        <v/>
      </c>
    </row>
    <row r="1226" customFormat="false" ht="15" hidden="false" customHeight="true" outlineLevel="0" collapsed="false">
      <c r="J1226" s="14" t="b">
        <f aca="false">IF(중복검사!$A1224="",FALSE(),중복검사!$H1224="중복")</f>
        <v>0</v>
      </c>
      <c r="K1226" s="5" t="str">
        <f aca="false">IF($J1226=FALSE(),"",COUNTIF($J$6:$J1226,TRUE()))</f>
        <v/>
      </c>
      <c r="L1226" s="5" t="str">
        <f aca="false">IF($K1226="","","R"&amp;$K1226)</f>
        <v/>
      </c>
    </row>
    <row r="1227" customFormat="false" ht="15" hidden="false" customHeight="true" outlineLevel="0" collapsed="false">
      <c r="J1227" s="14" t="b">
        <f aca="false">IF(중복검사!$A1225="",FALSE(),중복검사!$H1225="중복")</f>
        <v>0</v>
      </c>
      <c r="K1227" s="5" t="str">
        <f aca="false">IF($J1227=FALSE(),"",COUNTIF($J$6:$J1227,TRUE()))</f>
        <v/>
      </c>
      <c r="L1227" s="5" t="str">
        <f aca="false">IF($K1227="","","R"&amp;$K1227)</f>
        <v/>
      </c>
    </row>
    <row r="1228" customFormat="false" ht="15" hidden="false" customHeight="true" outlineLevel="0" collapsed="false">
      <c r="J1228" s="14" t="b">
        <f aca="false">IF(중복검사!$A1226="",FALSE(),중복검사!$H1226="중복")</f>
        <v>0</v>
      </c>
      <c r="K1228" s="5" t="str">
        <f aca="false">IF($J1228=FALSE(),"",COUNTIF($J$6:$J1228,TRUE()))</f>
        <v/>
      </c>
      <c r="L1228" s="5" t="str">
        <f aca="false">IF($K1228="","","R"&amp;$K1228)</f>
        <v/>
      </c>
    </row>
    <row r="1229" customFormat="false" ht="15" hidden="false" customHeight="true" outlineLevel="0" collapsed="false">
      <c r="J1229" s="14" t="b">
        <f aca="false">IF(중복검사!$A1227="",FALSE(),중복검사!$H1227="중복")</f>
        <v>0</v>
      </c>
      <c r="K1229" s="5" t="str">
        <f aca="false">IF($J1229=FALSE(),"",COUNTIF($J$6:$J1229,TRUE()))</f>
        <v/>
      </c>
      <c r="L1229" s="5" t="str">
        <f aca="false">IF($K1229="","","R"&amp;$K1229)</f>
        <v/>
      </c>
    </row>
    <row r="1230" customFormat="false" ht="15" hidden="false" customHeight="true" outlineLevel="0" collapsed="false">
      <c r="J1230" s="14" t="b">
        <f aca="false">IF(중복검사!$A1228="",FALSE(),중복검사!$H1228="중복")</f>
        <v>0</v>
      </c>
      <c r="K1230" s="5" t="str">
        <f aca="false">IF($J1230=FALSE(),"",COUNTIF($J$6:$J1230,TRUE()))</f>
        <v/>
      </c>
      <c r="L1230" s="5" t="str">
        <f aca="false">IF($K1230="","","R"&amp;$K1230)</f>
        <v/>
      </c>
    </row>
    <row r="1231" customFormat="false" ht="15" hidden="false" customHeight="true" outlineLevel="0" collapsed="false">
      <c r="J1231" s="14" t="b">
        <f aca="false">IF(중복검사!$A1229="",FALSE(),중복검사!$H1229="중복")</f>
        <v>0</v>
      </c>
      <c r="K1231" s="5" t="str">
        <f aca="false">IF($J1231=FALSE(),"",COUNTIF($J$6:$J1231,TRUE()))</f>
        <v/>
      </c>
      <c r="L1231" s="5" t="str">
        <f aca="false">IF($K1231="","","R"&amp;$K1231)</f>
        <v/>
      </c>
    </row>
    <row r="1232" customFormat="false" ht="15" hidden="false" customHeight="true" outlineLevel="0" collapsed="false">
      <c r="J1232" s="14" t="b">
        <f aca="false">IF(중복검사!$A1230="",FALSE(),중복검사!$H1230="중복")</f>
        <v>0</v>
      </c>
      <c r="K1232" s="5" t="str">
        <f aca="false">IF($J1232=FALSE(),"",COUNTIF($J$6:$J1232,TRUE()))</f>
        <v/>
      </c>
      <c r="L1232" s="5" t="str">
        <f aca="false">IF($K1232="","","R"&amp;$K1232)</f>
        <v/>
      </c>
    </row>
    <row r="1233" customFormat="false" ht="15" hidden="false" customHeight="true" outlineLevel="0" collapsed="false">
      <c r="J1233" s="14" t="b">
        <f aca="false">IF(중복검사!$A1231="",FALSE(),중복검사!$H1231="중복")</f>
        <v>0</v>
      </c>
      <c r="K1233" s="5" t="str">
        <f aca="false">IF($J1233=FALSE(),"",COUNTIF($J$6:$J1233,TRUE()))</f>
        <v/>
      </c>
      <c r="L1233" s="5" t="str">
        <f aca="false">IF($K1233="","","R"&amp;$K1233)</f>
        <v/>
      </c>
    </row>
    <row r="1234" customFormat="false" ht="15" hidden="false" customHeight="true" outlineLevel="0" collapsed="false">
      <c r="J1234" s="14" t="b">
        <f aca="false">IF(중복검사!$A1232="",FALSE(),중복검사!$H1232="중복")</f>
        <v>0</v>
      </c>
      <c r="K1234" s="5" t="str">
        <f aca="false">IF($J1234=FALSE(),"",COUNTIF($J$6:$J1234,TRUE()))</f>
        <v/>
      </c>
      <c r="L1234" s="5" t="str">
        <f aca="false">IF($K1234="","","R"&amp;$K1234)</f>
        <v/>
      </c>
    </row>
    <row r="1235" customFormat="false" ht="15" hidden="false" customHeight="true" outlineLevel="0" collapsed="false">
      <c r="J1235" s="14" t="b">
        <f aca="false">IF(중복검사!$A1233="",FALSE(),중복검사!$H1233="중복")</f>
        <v>0</v>
      </c>
      <c r="K1235" s="5" t="str">
        <f aca="false">IF($J1235=FALSE(),"",COUNTIF($J$6:$J1235,TRUE()))</f>
        <v/>
      </c>
      <c r="L1235" s="5" t="str">
        <f aca="false">IF($K1235="","","R"&amp;$K1235)</f>
        <v/>
      </c>
    </row>
    <row r="1236" customFormat="false" ht="15" hidden="false" customHeight="true" outlineLevel="0" collapsed="false">
      <c r="J1236" s="14" t="b">
        <f aca="false">IF(중복검사!$A1234="",FALSE(),중복검사!$H1234="중복")</f>
        <v>0</v>
      </c>
      <c r="K1236" s="5" t="str">
        <f aca="false">IF($J1236=FALSE(),"",COUNTIF($J$6:$J1236,TRUE()))</f>
        <v/>
      </c>
      <c r="L1236" s="5" t="str">
        <f aca="false">IF($K1236="","","R"&amp;$K1236)</f>
        <v/>
      </c>
    </row>
    <row r="1237" customFormat="false" ht="15" hidden="false" customHeight="true" outlineLevel="0" collapsed="false">
      <c r="J1237" s="14" t="b">
        <f aca="false">IF(중복검사!$A1235="",FALSE(),중복검사!$H1235="중복")</f>
        <v>0</v>
      </c>
      <c r="K1237" s="5" t="str">
        <f aca="false">IF($J1237=FALSE(),"",COUNTIF($J$6:$J1237,TRUE()))</f>
        <v/>
      </c>
      <c r="L1237" s="5" t="str">
        <f aca="false">IF($K1237="","","R"&amp;$K1237)</f>
        <v/>
      </c>
    </row>
    <row r="1238" customFormat="false" ht="15" hidden="false" customHeight="true" outlineLevel="0" collapsed="false">
      <c r="J1238" s="14" t="b">
        <f aca="false">IF(중복검사!$A1236="",FALSE(),중복검사!$H1236="중복")</f>
        <v>0</v>
      </c>
      <c r="K1238" s="5" t="str">
        <f aca="false">IF($J1238=FALSE(),"",COUNTIF($J$6:$J1238,TRUE()))</f>
        <v/>
      </c>
      <c r="L1238" s="5" t="str">
        <f aca="false">IF($K1238="","","R"&amp;$K1238)</f>
        <v/>
      </c>
    </row>
    <row r="1239" customFormat="false" ht="15" hidden="false" customHeight="true" outlineLevel="0" collapsed="false">
      <c r="J1239" s="14" t="b">
        <f aca="false">IF(중복검사!$A1237="",FALSE(),중복검사!$H1237="중복")</f>
        <v>0</v>
      </c>
      <c r="K1239" s="5" t="str">
        <f aca="false">IF($J1239=FALSE(),"",COUNTIF($J$6:$J1239,TRUE()))</f>
        <v/>
      </c>
      <c r="L1239" s="5" t="str">
        <f aca="false">IF($K1239="","","R"&amp;$K1239)</f>
        <v/>
      </c>
    </row>
    <row r="1240" customFormat="false" ht="15" hidden="false" customHeight="true" outlineLevel="0" collapsed="false">
      <c r="J1240" s="14" t="b">
        <f aca="false">IF(중복검사!$A1238="",FALSE(),중복검사!$H1238="중복")</f>
        <v>0</v>
      </c>
      <c r="K1240" s="5" t="str">
        <f aca="false">IF($J1240=FALSE(),"",COUNTIF($J$6:$J1240,TRUE()))</f>
        <v/>
      </c>
      <c r="L1240" s="5" t="str">
        <f aca="false">IF($K1240="","","R"&amp;$K1240)</f>
        <v/>
      </c>
    </row>
    <row r="1241" customFormat="false" ht="15" hidden="false" customHeight="true" outlineLevel="0" collapsed="false">
      <c r="J1241" s="14" t="b">
        <f aca="false">IF(중복검사!$A1239="",FALSE(),중복검사!$H1239="중복")</f>
        <v>0</v>
      </c>
      <c r="K1241" s="5" t="str">
        <f aca="false">IF($J1241=FALSE(),"",COUNTIF($J$6:$J1241,TRUE()))</f>
        <v/>
      </c>
      <c r="L1241" s="5" t="str">
        <f aca="false">IF($K1241="","","R"&amp;$K1241)</f>
        <v/>
      </c>
    </row>
    <row r="1242" customFormat="false" ht="15" hidden="false" customHeight="true" outlineLevel="0" collapsed="false">
      <c r="J1242" s="14" t="b">
        <f aca="false">IF(중복검사!$A1240="",FALSE(),중복검사!$H1240="중복")</f>
        <v>0</v>
      </c>
      <c r="K1242" s="5" t="str">
        <f aca="false">IF($J1242=FALSE(),"",COUNTIF($J$6:$J1242,TRUE()))</f>
        <v/>
      </c>
      <c r="L1242" s="5" t="str">
        <f aca="false">IF($K1242="","","R"&amp;$K1242)</f>
        <v/>
      </c>
    </row>
    <row r="1243" customFormat="false" ht="15" hidden="false" customHeight="true" outlineLevel="0" collapsed="false">
      <c r="J1243" s="14" t="b">
        <f aca="false">IF(중복검사!$A1241="",FALSE(),중복검사!$H1241="중복")</f>
        <v>0</v>
      </c>
      <c r="K1243" s="5" t="str">
        <f aca="false">IF($J1243=FALSE(),"",COUNTIF($J$6:$J1243,TRUE()))</f>
        <v/>
      </c>
      <c r="L1243" s="5" t="str">
        <f aca="false">IF($K1243="","","R"&amp;$K1243)</f>
        <v/>
      </c>
    </row>
    <row r="1244" customFormat="false" ht="15" hidden="false" customHeight="true" outlineLevel="0" collapsed="false">
      <c r="J1244" s="14" t="b">
        <f aca="false">IF(중복검사!$A1242="",FALSE(),중복검사!$H1242="중복")</f>
        <v>0</v>
      </c>
      <c r="K1244" s="5" t="str">
        <f aca="false">IF($J1244=FALSE(),"",COUNTIF($J$6:$J1244,TRUE()))</f>
        <v/>
      </c>
      <c r="L1244" s="5" t="str">
        <f aca="false">IF($K1244="","","R"&amp;$K1244)</f>
        <v/>
      </c>
    </row>
    <row r="1245" customFormat="false" ht="15" hidden="false" customHeight="true" outlineLevel="0" collapsed="false">
      <c r="J1245" s="14" t="b">
        <f aca="false">IF(중복검사!$A1243="",FALSE(),중복검사!$H1243="중복")</f>
        <v>0</v>
      </c>
      <c r="K1245" s="5" t="str">
        <f aca="false">IF($J1245=FALSE(),"",COUNTIF($J$6:$J1245,TRUE()))</f>
        <v/>
      </c>
      <c r="L1245" s="5" t="str">
        <f aca="false">IF($K1245="","","R"&amp;$K1245)</f>
        <v/>
      </c>
    </row>
    <row r="1246" customFormat="false" ht="15" hidden="false" customHeight="true" outlineLevel="0" collapsed="false">
      <c r="J1246" s="14" t="b">
        <f aca="false">IF(중복검사!$A1244="",FALSE(),중복검사!$H1244="중복")</f>
        <v>0</v>
      </c>
      <c r="K1246" s="5" t="str">
        <f aca="false">IF($J1246=FALSE(),"",COUNTIF($J$6:$J1246,TRUE()))</f>
        <v/>
      </c>
      <c r="L1246" s="5" t="str">
        <f aca="false">IF($K1246="","","R"&amp;$K1246)</f>
        <v/>
      </c>
    </row>
    <row r="1247" customFormat="false" ht="15" hidden="false" customHeight="true" outlineLevel="0" collapsed="false">
      <c r="J1247" s="14" t="b">
        <f aca="false">IF(중복검사!$A1245="",FALSE(),중복검사!$H1245="중복")</f>
        <v>0</v>
      </c>
      <c r="K1247" s="5" t="str">
        <f aca="false">IF($J1247=FALSE(),"",COUNTIF($J$6:$J1247,TRUE()))</f>
        <v/>
      </c>
      <c r="L1247" s="5" t="str">
        <f aca="false">IF($K1247="","","R"&amp;$K1247)</f>
        <v/>
      </c>
    </row>
    <row r="1248" customFormat="false" ht="15" hidden="false" customHeight="true" outlineLevel="0" collapsed="false">
      <c r="J1248" s="14" t="b">
        <f aca="false">IF(중복검사!$A1246="",FALSE(),중복검사!$H1246="중복")</f>
        <v>0</v>
      </c>
      <c r="K1248" s="5" t="str">
        <f aca="false">IF($J1248=FALSE(),"",COUNTIF($J$6:$J1248,TRUE()))</f>
        <v/>
      </c>
      <c r="L1248" s="5" t="str">
        <f aca="false">IF($K1248="","","R"&amp;$K1248)</f>
        <v/>
      </c>
    </row>
    <row r="1249" customFormat="false" ht="15" hidden="false" customHeight="true" outlineLevel="0" collapsed="false">
      <c r="J1249" s="14" t="b">
        <f aca="false">IF(중복검사!$A1247="",FALSE(),중복검사!$H1247="중복")</f>
        <v>0</v>
      </c>
      <c r="K1249" s="5" t="str">
        <f aca="false">IF($J1249=FALSE(),"",COUNTIF($J$6:$J1249,TRUE()))</f>
        <v/>
      </c>
      <c r="L1249" s="5" t="str">
        <f aca="false">IF($K1249="","","R"&amp;$K1249)</f>
        <v/>
      </c>
    </row>
    <row r="1250" customFormat="false" ht="15" hidden="false" customHeight="true" outlineLevel="0" collapsed="false">
      <c r="J1250" s="14" t="b">
        <f aca="false">IF(중복검사!$A1248="",FALSE(),중복검사!$H1248="중복")</f>
        <v>0</v>
      </c>
      <c r="K1250" s="5" t="str">
        <f aca="false">IF($J1250=FALSE(),"",COUNTIF($J$6:$J1250,TRUE()))</f>
        <v/>
      </c>
      <c r="L1250" s="5" t="str">
        <f aca="false">IF($K1250="","","R"&amp;$K1250)</f>
        <v/>
      </c>
    </row>
    <row r="1251" customFormat="false" ht="15" hidden="false" customHeight="true" outlineLevel="0" collapsed="false">
      <c r="J1251" s="14" t="b">
        <f aca="false">IF(중복검사!$A1249="",FALSE(),중복검사!$H1249="중복")</f>
        <v>0</v>
      </c>
      <c r="K1251" s="5" t="str">
        <f aca="false">IF($J1251=FALSE(),"",COUNTIF($J$6:$J1251,TRUE()))</f>
        <v/>
      </c>
      <c r="L1251" s="5" t="str">
        <f aca="false">IF($K1251="","","R"&amp;$K1251)</f>
        <v/>
      </c>
    </row>
    <row r="1252" customFormat="false" ht="15" hidden="false" customHeight="true" outlineLevel="0" collapsed="false">
      <c r="J1252" s="14" t="b">
        <f aca="false">IF(중복검사!$A1250="",FALSE(),중복검사!$H1250="중복")</f>
        <v>0</v>
      </c>
      <c r="K1252" s="5" t="str">
        <f aca="false">IF($J1252=FALSE(),"",COUNTIF($J$6:$J1252,TRUE()))</f>
        <v/>
      </c>
      <c r="L1252" s="5" t="str">
        <f aca="false">IF($K1252="","","R"&amp;$K1252)</f>
        <v/>
      </c>
    </row>
    <row r="1253" customFormat="false" ht="15" hidden="false" customHeight="true" outlineLevel="0" collapsed="false">
      <c r="J1253" s="14" t="b">
        <f aca="false">IF(중복검사!$A1251="",FALSE(),중복검사!$H1251="중복")</f>
        <v>0</v>
      </c>
      <c r="K1253" s="5" t="str">
        <f aca="false">IF($J1253=FALSE(),"",COUNTIF($J$6:$J1253,TRUE()))</f>
        <v/>
      </c>
      <c r="L1253" s="5" t="str">
        <f aca="false">IF($K1253="","","R"&amp;$K1253)</f>
        <v/>
      </c>
    </row>
    <row r="1254" customFormat="false" ht="15" hidden="false" customHeight="true" outlineLevel="0" collapsed="false">
      <c r="J1254" s="14" t="b">
        <f aca="false">IF(중복검사!$A1252="",FALSE(),중복검사!$H1252="중복")</f>
        <v>0</v>
      </c>
      <c r="K1254" s="5" t="str">
        <f aca="false">IF($J1254=FALSE(),"",COUNTIF($J$6:$J1254,TRUE()))</f>
        <v/>
      </c>
      <c r="L1254" s="5" t="str">
        <f aca="false">IF($K1254="","","R"&amp;$K1254)</f>
        <v/>
      </c>
    </row>
    <row r="1255" customFormat="false" ht="15" hidden="false" customHeight="true" outlineLevel="0" collapsed="false">
      <c r="J1255" s="14" t="b">
        <f aca="false">IF(중복검사!$A1253="",FALSE(),중복검사!$H1253="중복")</f>
        <v>0</v>
      </c>
      <c r="K1255" s="5" t="str">
        <f aca="false">IF($J1255=FALSE(),"",COUNTIF($J$6:$J1255,TRUE()))</f>
        <v/>
      </c>
      <c r="L1255" s="5" t="str">
        <f aca="false">IF($K1255="","","R"&amp;$K1255)</f>
        <v/>
      </c>
    </row>
    <row r="1256" customFormat="false" ht="15" hidden="false" customHeight="true" outlineLevel="0" collapsed="false">
      <c r="J1256" s="14" t="b">
        <f aca="false">IF(중복검사!$A1254="",FALSE(),중복검사!$H1254="중복")</f>
        <v>0</v>
      </c>
      <c r="K1256" s="5" t="str">
        <f aca="false">IF($J1256=FALSE(),"",COUNTIF($J$6:$J1256,TRUE()))</f>
        <v/>
      </c>
      <c r="L1256" s="5" t="str">
        <f aca="false">IF($K1256="","","R"&amp;$K1256)</f>
        <v/>
      </c>
    </row>
    <row r="1257" customFormat="false" ht="15" hidden="false" customHeight="true" outlineLevel="0" collapsed="false">
      <c r="J1257" s="14" t="b">
        <f aca="false">IF(중복검사!$A1255="",FALSE(),중복검사!$H1255="중복")</f>
        <v>0</v>
      </c>
      <c r="K1257" s="5" t="str">
        <f aca="false">IF($J1257=FALSE(),"",COUNTIF($J$6:$J1257,TRUE()))</f>
        <v/>
      </c>
      <c r="L1257" s="5" t="str">
        <f aca="false">IF($K1257="","","R"&amp;$K1257)</f>
        <v/>
      </c>
    </row>
    <row r="1258" customFormat="false" ht="15" hidden="false" customHeight="true" outlineLevel="0" collapsed="false">
      <c r="J1258" s="14" t="b">
        <f aca="false">IF(중복검사!$A1256="",FALSE(),중복검사!$H1256="중복")</f>
        <v>0</v>
      </c>
      <c r="K1258" s="5" t="str">
        <f aca="false">IF($J1258=FALSE(),"",COUNTIF($J$6:$J1258,TRUE()))</f>
        <v/>
      </c>
      <c r="L1258" s="5" t="str">
        <f aca="false">IF($K1258="","","R"&amp;$K1258)</f>
        <v/>
      </c>
    </row>
    <row r="1259" customFormat="false" ht="15" hidden="false" customHeight="true" outlineLevel="0" collapsed="false">
      <c r="J1259" s="14" t="b">
        <f aca="false">IF(중복검사!$A1257="",FALSE(),중복검사!$H1257="중복")</f>
        <v>0</v>
      </c>
      <c r="K1259" s="5" t="str">
        <f aca="false">IF($J1259=FALSE(),"",COUNTIF($J$6:$J1259,TRUE()))</f>
        <v/>
      </c>
      <c r="L1259" s="5" t="str">
        <f aca="false">IF($K1259="","","R"&amp;$K1259)</f>
        <v/>
      </c>
    </row>
    <row r="1260" customFormat="false" ht="15" hidden="false" customHeight="true" outlineLevel="0" collapsed="false">
      <c r="J1260" s="14" t="b">
        <f aca="false">IF(중복검사!$A1258="",FALSE(),중복검사!$H1258="중복")</f>
        <v>0</v>
      </c>
      <c r="K1260" s="5" t="str">
        <f aca="false">IF($J1260=FALSE(),"",COUNTIF($J$6:$J1260,TRUE()))</f>
        <v/>
      </c>
      <c r="L1260" s="5" t="str">
        <f aca="false">IF($K1260="","","R"&amp;$K1260)</f>
        <v/>
      </c>
    </row>
    <row r="1261" customFormat="false" ht="15" hidden="false" customHeight="true" outlineLevel="0" collapsed="false">
      <c r="J1261" s="14" t="b">
        <f aca="false">IF(중복검사!$A1259="",FALSE(),중복검사!$H1259="중복")</f>
        <v>0</v>
      </c>
      <c r="K1261" s="5" t="str">
        <f aca="false">IF($J1261=FALSE(),"",COUNTIF($J$6:$J1261,TRUE()))</f>
        <v/>
      </c>
      <c r="L1261" s="5" t="str">
        <f aca="false">IF($K1261="","","R"&amp;$K1261)</f>
        <v/>
      </c>
    </row>
    <row r="1262" customFormat="false" ht="15" hidden="false" customHeight="true" outlineLevel="0" collapsed="false">
      <c r="J1262" s="14" t="b">
        <f aca="false">IF(중복검사!$A1260="",FALSE(),중복검사!$H1260="중복")</f>
        <v>0</v>
      </c>
      <c r="K1262" s="5" t="str">
        <f aca="false">IF($J1262=FALSE(),"",COUNTIF($J$6:$J1262,TRUE()))</f>
        <v/>
      </c>
      <c r="L1262" s="5" t="str">
        <f aca="false">IF($K1262="","","R"&amp;$K1262)</f>
        <v/>
      </c>
    </row>
    <row r="1263" customFormat="false" ht="15" hidden="false" customHeight="true" outlineLevel="0" collapsed="false">
      <c r="J1263" s="14" t="b">
        <f aca="false">IF(중복검사!$A1261="",FALSE(),중복검사!$H1261="중복")</f>
        <v>0</v>
      </c>
      <c r="K1263" s="5" t="str">
        <f aca="false">IF($J1263=FALSE(),"",COUNTIF($J$6:$J1263,TRUE()))</f>
        <v/>
      </c>
      <c r="L1263" s="5" t="str">
        <f aca="false">IF($K1263="","","R"&amp;$K1263)</f>
        <v/>
      </c>
    </row>
    <row r="1264" customFormat="false" ht="15" hidden="false" customHeight="true" outlineLevel="0" collapsed="false">
      <c r="J1264" s="14" t="b">
        <f aca="false">IF(중복검사!$A1262="",FALSE(),중복검사!$H1262="중복")</f>
        <v>0</v>
      </c>
      <c r="K1264" s="5" t="str">
        <f aca="false">IF($J1264=FALSE(),"",COUNTIF($J$6:$J1264,TRUE()))</f>
        <v/>
      </c>
      <c r="L1264" s="5" t="str">
        <f aca="false">IF($K1264="","","R"&amp;$K1264)</f>
        <v/>
      </c>
    </row>
    <row r="1265" customFormat="false" ht="15" hidden="false" customHeight="true" outlineLevel="0" collapsed="false">
      <c r="J1265" s="14" t="b">
        <f aca="false">IF(중복검사!$A1263="",FALSE(),중복검사!$H1263="중복")</f>
        <v>0</v>
      </c>
      <c r="K1265" s="5" t="str">
        <f aca="false">IF($J1265=FALSE(),"",COUNTIF($J$6:$J1265,TRUE()))</f>
        <v/>
      </c>
      <c r="L1265" s="5" t="str">
        <f aca="false">IF($K1265="","","R"&amp;$K1265)</f>
        <v/>
      </c>
    </row>
    <row r="1266" customFormat="false" ht="15" hidden="false" customHeight="true" outlineLevel="0" collapsed="false">
      <c r="J1266" s="14" t="b">
        <f aca="false">IF(중복검사!$A1264="",FALSE(),중복검사!$H1264="중복")</f>
        <v>0</v>
      </c>
      <c r="K1266" s="5" t="str">
        <f aca="false">IF($J1266=FALSE(),"",COUNTIF($J$6:$J1266,TRUE()))</f>
        <v/>
      </c>
      <c r="L1266" s="5" t="str">
        <f aca="false">IF($K1266="","","R"&amp;$K1266)</f>
        <v/>
      </c>
    </row>
    <row r="1267" customFormat="false" ht="15" hidden="false" customHeight="true" outlineLevel="0" collapsed="false">
      <c r="J1267" s="14" t="b">
        <f aca="false">IF(중복검사!$A1265="",FALSE(),중복검사!$H1265="중복")</f>
        <v>0</v>
      </c>
      <c r="K1267" s="5" t="str">
        <f aca="false">IF($J1267=FALSE(),"",COUNTIF($J$6:$J1267,TRUE()))</f>
        <v/>
      </c>
      <c r="L1267" s="5" t="str">
        <f aca="false">IF($K1267="","","R"&amp;$K1267)</f>
        <v/>
      </c>
    </row>
    <row r="1268" customFormat="false" ht="15" hidden="false" customHeight="true" outlineLevel="0" collapsed="false">
      <c r="J1268" s="14" t="b">
        <f aca="false">IF(중복검사!$A1266="",FALSE(),중복검사!$H1266="중복")</f>
        <v>0</v>
      </c>
      <c r="K1268" s="5" t="str">
        <f aca="false">IF($J1268=FALSE(),"",COUNTIF($J$6:$J1268,TRUE()))</f>
        <v/>
      </c>
      <c r="L1268" s="5" t="str">
        <f aca="false">IF($K1268="","","R"&amp;$K1268)</f>
        <v/>
      </c>
    </row>
    <row r="1269" customFormat="false" ht="15" hidden="false" customHeight="true" outlineLevel="0" collapsed="false">
      <c r="J1269" s="14" t="b">
        <f aca="false">IF(중복검사!$A1267="",FALSE(),중복검사!$H1267="중복")</f>
        <v>0</v>
      </c>
      <c r="K1269" s="5" t="str">
        <f aca="false">IF($J1269=FALSE(),"",COUNTIF($J$6:$J1269,TRUE()))</f>
        <v/>
      </c>
      <c r="L1269" s="5" t="str">
        <f aca="false">IF($K1269="","","R"&amp;$K1269)</f>
        <v/>
      </c>
    </row>
    <row r="1270" customFormat="false" ht="15" hidden="false" customHeight="true" outlineLevel="0" collapsed="false">
      <c r="J1270" s="14" t="b">
        <f aca="false">IF(중복검사!$A1268="",FALSE(),중복검사!$H1268="중복")</f>
        <v>0</v>
      </c>
      <c r="K1270" s="5" t="str">
        <f aca="false">IF($J1270=FALSE(),"",COUNTIF($J$6:$J1270,TRUE()))</f>
        <v/>
      </c>
      <c r="L1270" s="5" t="str">
        <f aca="false">IF($K1270="","","R"&amp;$K1270)</f>
        <v/>
      </c>
    </row>
    <row r="1271" customFormat="false" ht="15" hidden="false" customHeight="true" outlineLevel="0" collapsed="false">
      <c r="J1271" s="14" t="b">
        <f aca="false">IF(중복검사!$A1269="",FALSE(),중복검사!$H1269="중복")</f>
        <v>0</v>
      </c>
      <c r="K1271" s="5" t="str">
        <f aca="false">IF($J1271=FALSE(),"",COUNTIF($J$6:$J1271,TRUE()))</f>
        <v/>
      </c>
      <c r="L1271" s="5" t="str">
        <f aca="false">IF($K1271="","","R"&amp;$K1271)</f>
        <v/>
      </c>
    </row>
    <row r="1272" customFormat="false" ht="15" hidden="false" customHeight="true" outlineLevel="0" collapsed="false">
      <c r="J1272" s="14" t="b">
        <f aca="false">IF(중복검사!$A1270="",FALSE(),중복검사!$H1270="중복")</f>
        <v>0</v>
      </c>
      <c r="K1272" s="5" t="str">
        <f aca="false">IF($J1272=FALSE(),"",COUNTIF($J$6:$J1272,TRUE()))</f>
        <v/>
      </c>
      <c r="L1272" s="5" t="str">
        <f aca="false">IF($K1272="","","R"&amp;$K1272)</f>
        <v/>
      </c>
    </row>
    <row r="1273" customFormat="false" ht="15" hidden="false" customHeight="true" outlineLevel="0" collapsed="false">
      <c r="J1273" s="14" t="b">
        <f aca="false">IF(중복검사!$A1271="",FALSE(),중복검사!$H1271="중복")</f>
        <v>0</v>
      </c>
      <c r="K1273" s="5" t="str">
        <f aca="false">IF($J1273=FALSE(),"",COUNTIF($J$6:$J1273,TRUE()))</f>
        <v/>
      </c>
      <c r="L1273" s="5" t="str">
        <f aca="false">IF($K1273="","","R"&amp;$K1273)</f>
        <v/>
      </c>
    </row>
    <row r="1274" customFormat="false" ht="15" hidden="false" customHeight="true" outlineLevel="0" collapsed="false">
      <c r="J1274" s="14" t="b">
        <f aca="false">IF(중복검사!$A1272="",FALSE(),중복검사!$H1272="중복")</f>
        <v>0</v>
      </c>
      <c r="K1274" s="5" t="str">
        <f aca="false">IF($J1274=FALSE(),"",COUNTIF($J$6:$J1274,TRUE()))</f>
        <v/>
      </c>
      <c r="L1274" s="5" t="str">
        <f aca="false">IF($K1274="","","R"&amp;$K1274)</f>
        <v/>
      </c>
    </row>
    <row r="1275" customFormat="false" ht="15" hidden="false" customHeight="true" outlineLevel="0" collapsed="false">
      <c r="J1275" s="14" t="b">
        <f aca="false">IF(중복검사!$A1273="",FALSE(),중복검사!$H1273="중복")</f>
        <v>0</v>
      </c>
      <c r="K1275" s="5" t="str">
        <f aca="false">IF($J1275=FALSE(),"",COUNTIF($J$6:$J1275,TRUE()))</f>
        <v/>
      </c>
      <c r="L1275" s="5" t="str">
        <f aca="false">IF($K1275="","","R"&amp;$K1275)</f>
        <v/>
      </c>
    </row>
    <row r="1276" customFormat="false" ht="15" hidden="false" customHeight="true" outlineLevel="0" collapsed="false">
      <c r="J1276" s="14" t="b">
        <f aca="false">IF(중복검사!$A1274="",FALSE(),중복검사!$H1274="중복")</f>
        <v>0</v>
      </c>
      <c r="K1276" s="5" t="str">
        <f aca="false">IF($J1276=FALSE(),"",COUNTIF($J$6:$J1276,TRUE()))</f>
        <v/>
      </c>
      <c r="L1276" s="5" t="str">
        <f aca="false">IF($K1276="","","R"&amp;$K1276)</f>
        <v/>
      </c>
    </row>
    <row r="1277" customFormat="false" ht="15" hidden="false" customHeight="true" outlineLevel="0" collapsed="false">
      <c r="J1277" s="14" t="b">
        <f aca="false">IF(중복검사!$A1275="",FALSE(),중복검사!$H1275="중복")</f>
        <v>0</v>
      </c>
      <c r="K1277" s="5" t="str">
        <f aca="false">IF($J1277=FALSE(),"",COUNTIF($J$6:$J1277,TRUE()))</f>
        <v/>
      </c>
      <c r="L1277" s="5" t="str">
        <f aca="false">IF($K1277="","","R"&amp;$K1277)</f>
        <v/>
      </c>
    </row>
    <row r="1278" customFormat="false" ht="15" hidden="false" customHeight="true" outlineLevel="0" collapsed="false">
      <c r="J1278" s="14" t="b">
        <f aca="false">IF(중복검사!$A1276="",FALSE(),중복검사!$H1276="중복")</f>
        <v>0</v>
      </c>
      <c r="K1278" s="5" t="str">
        <f aca="false">IF($J1278=FALSE(),"",COUNTIF($J$6:$J1278,TRUE()))</f>
        <v/>
      </c>
      <c r="L1278" s="5" t="str">
        <f aca="false">IF($K1278="","","R"&amp;$K1278)</f>
        <v/>
      </c>
    </row>
    <row r="1279" customFormat="false" ht="15" hidden="false" customHeight="true" outlineLevel="0" collapsed="false">
      <c r="J1279" s="14" t="b">
        <f aca="false">IF(중복검사!$A1277="",FALSE(),중복검사!$H1277="중복")</f>
        <v>0</v>
      </c>
      <c r="K1279" s="5" t="str">
        <f aca="false">IF($J1279=FALSE(),"",COUNTIF($J$6:$J1279,TRUE()))</f>
        <v/>
      </c>
      <c r="L1279" s="5" t="str">
        <f aca="false">IF($K1279="","","R"&amp;$K1279)</f>
        <v/>
      </c>
    </row>
    <row r="1280" customFormat="false" ht="15" hidden="false" customHeight="true" outlineLevel="0" collapsed="false">
      <c r="J1280" s="14" t="b">
        <f aca="false">IF(중복검사!$A1278="",FALSE(),중복검사!$H1278="중복")</f>
        <v>0</v>
      </c>
      <c r="K1280" s="5" t="str">
        <f aca="false">IF($J1280=FALSE(),"",COUNTIF($J$6:$J1280,TRUE()))</f>
        <v/>
      </c>
      <c r="L1280" s="5" t="str">
        <f aca="false">IF($K1280="","","R"&amp;$K1280)</f>
        <v/>
      </c>
    </row>
    <row r="1281" customFormat="false" ht="15" hidden="false" customHeight="true" outlineLevel="0" collapsed="false">
      <c r="J1281" s="14" t="b">
        <f aca="false">IF(중복검사!$A1279="",FALSE(),중복검사!$H1279="중복")</f>
        <v>0</v>
      </c>
      <c r="K1281" s="5" t="str">
        <f aca="false">IF($J1281=FALSE(),"",COUNTIF($J$6:$J1281,TRUE()))</f>
        <v/>
      </c>
      <c r="L1281" s="5" t="str">
        <f aca="false">IF($K1281="","","R"&amp;$K1281)</f>
        <v/>
      </c>
    </row>
    <row r="1282" customFormat="false" ht="15" hidden="false" customHeight="true" outlineLevel="0" collapsed="false">
      <c r="J1282" s="14" t="b">
        <f aca="false">IF(중복검사!$A1280="",FALSE(),중복검사!$H1280="중복")</f>
        <v>0</v>
      </c>
      <c r="K1282" s="5" t="str">
        <f aca="false">IF($J1282=FALSE(),"",COUNTIF($J$6:$J1282,TRUE()))</f>
        <v/>
      </c>
      <c r="L1282" s="5" t="str">
        <f aca="false">IF($K1282="","","R"&amp;$K1282)</f>
        <v/>
      </c>
    </row>
    <row r="1283" customFormat="false" ht="15" hidden="false" customHeight="true" outlineLevel="0" collapsed="false">
      <c r="J1283" s="14" t="b">
        <f aca="false">IF(중복검사!$A1281="",FALSE(),중복검사!$H1281="중복")</f>
        <v>0</v>
      </c>
      <c r="K1283" s="5" t="str">
        <f aca="false">IF($J1283=FALSE(),"",COUNTIF($J$6:$J1283,TRUE()))</f>
        <v/>
      </c>
      <c r="L1283" s="5" t="str">
        <f aca="false">IF($K1283="","","R"&amp;$K1283)</f>
        <v/>
      </c>
    </row>
    <row r="1284" customFormat="false" ht="15" hidden="false" customHeight="true" outlineLevel="0" collapsed="false">
      <c r="J1284" s="14" t="b">
        <f aca="false">IF(중복검사!$A1282="",FALSE(),중복검사!$H1282="중복")</f>
        <v>0</v>
      </c>
      <c r="K1284" s="5" t="str">
        <f aca="false">IF($J1284=FALSE(),"",COUNTIF($J$6:$J1284,TRUE()))</f>
        <v/>
      </c>
      <c r="L1284" s="5" t="str">
        <f aca="false">IF($K1284="","","R"&amp;$K1284)</f>
        <v/>
      </c>
    </row>
    <row r="1285" customFormat="false" ht="15" hidden="false" customHeight="true" outlineLevel="0" collapsed="false">
      <c r="J1285" s="14" t="b">
        <f aca="false">IF(중복검사!$A1283="",FALSE(),중복검사!$H1283="중복")</f>
        <v>0</v>
      </c>
      <c r="K1285" s="5" t="str">
        <f aca="false">IF($J1285=FALSE(),"",COUNTIF($J$6:$J1285,TRUE()))</f>
        <v/>
      </c>
      <c r="L1285" s="5" t="str">
        <f aca="false">IF($K1285="","","R"&amp;$K1285)</f>
        <v/>
      </c>
    </row>
    <row r="1286" customFormat="false" ht="15" hidden="false" customHeight="true" outlineLevel="0" collapsed="false">
      <c r="J1286" s="14" t="b">
        <f aca="false">IF(중복검사!$A1284="",FALSE(),중복검사!$H1284="중복")</f>
        <v>0</v>
      </c>
      <c r="K1286" s="5" t="str">
        <f aca="false">IF($J1286=FALSE(),"",COUNTIF($J$6:$J1286,TRUE()))</f>
        <v/>
      </c>
      <c r="L1286" s="5" t="str">
        <f aca="false">IF($K1286="","","R"&amp;$K1286)</f>
        <v/>
      </c>
    </row>
    <row r="1287" customFormat="false" ht="15" hidden="false" customHeight="true" outlineLevel="0" collapsed="false">
      <c r="J1287" s="14" t="b">
        <f aca="false">IF(중복검사!$A1285="",FALSE(),중복검사!$H1285="중복")</f>
        <v>0</v>
      </c>
      <c r="K1287" s="5" t="str">
        <f aca="false">IF($J1287=FALSE(),"",COUNTIF($J$6:$J1287,TRUE()))</f>
        <v/>
      </c>
      <c r="L1287" s="5" t="str">
        <f aca="false">IF($K1287="","","R"&amp;$K1287)</f>
        <v/>
      </c>
    </row>
    <row r="1288" customFormat="false" ht="15" hidden="false" customHeight="true" outlineLevel="0" collapsed="false">
      <c r="J1288" s="14" t="b">
        <f aca="false">IF(중복검사!$A1286="",FALSE(),중복검사!$H1286="중복")</f>
        <v>0</v>
      </c>
      <c r="K1288" s="5" t="str">
        <f aca="false">IF($J1288=FALSE(),"",COUNTIF($J$6:$J1288,TRUE()))</f>
        <v/>
      </c>
      <c r="L1288" s="5" t="str">
        <f aca="false">IF($K1288="","","R"&amp;$K1288)</f>
        <v/>
      </c>
    </row>
    <row r="1289" customFormat="false" ht="15" hidden="false" customHeight="true" outlineLevel="0" collapsed="false">
      <c r="J1289" s="14" t="b">
        <f aca="false">IF(중복검사!$A1287="",FALSE(),중복검사!$H1287="중복")</f>
        <v>0</v>
      </c>
      <c r="K1289" s="5" t="str">
        <f aca="false">IF($J1289=FALSE(),"",COUNTIF($J$6:$J1289,TRUE()))</f>
        <v/>
      </c>
      <c r="L1289" s="5" t="str">
        <f aca="false">IF($K1289="","","R"&amp;$K1289)</f>
        <v/>
      </c>
    </row>
    <row r="1290" customFormat="false" ht="15" hidden="false" customHeight="true" outlineLevel="0" collapsed="false">
      <c r="J1290" s="14" t="b">
        <f aca="false">IF(중복검사!$A1288="",FALSE(),중복검사!$H1288="중복")</f>
        <v>0</v>
      </c>
      <c r="K1290" s="5" t="str">
        <f aca="false">IF($J1290=FALSE(),"",COUNTIF($J$6:$J1290,TRUE()))</f>
        <v/>
      </c>
      <c r="L1290" s="5" t="str">
        <f aca="false">IF($K1290="","","R"&amp;$K1290)</f>
        <v/>
      </c>
    </row>
    <row r="1291" customFormat="false" ht="15" hidden="false" customHeight="true" outlineLevel="0" collapsed="false">
      <c r="J1291" s="14" t="b">
        <f aca="false">IF(중복검사!$A1289="",FALSE(),중복검사!$H1289="중복")</f>
        <v>0</v>
      </c>
      <c r="K1291" s="5" t="str">
        <f aca="false">IF($J1291=FALSE(),"",COUNTIF($J$6:$J1291,TRUE()))</f>
        <v/>
      </c>
      <c r="L1291" s="5" t="str">
        <f aca="false">IF($K1291="","","R"&amp;$K1291)</f>
        <v/>
      </c>
    </row>
    <row r="1292" customFormat="false" ht="15" hidden="false" customHeight="true" outlineLevel="0" collapsed="false">
      <c r="J1292" s="14" t="b">
        <f aca="false">IF(중복검사!$A1290="",FALSE(),중복검사!$H1290="중복")</f>
        <v>0</v>
      </c>
      <c r="K1292" s="5" t="str">
        <f aca="false">IF($J1292=FALSE(),"",COUNTIF($J$6:$J1292,TRUE()))</f>
        <v/>
      </c>
      <c r="L1292" s="5" t="str">
        <f aca="false">IF($K1292="","","R"&amp;$K1292)</f>
        <v/>
      </c>
    </row>
    <row r="1293" customFormat="false" ht="15" hidden="false" customHeight="true" outlineLevel="0" collapsed="false">
      <c r="J1293" s="14" t="b">
        <f aca="false">IF(중복검사!$A1291="",FALSE(),중복검사!$H1291="중복")</f>
        <v>0</v>
      </c>
      <c r="K1293" s="5" t="str">
        <f aca="false">IF($J1293=FALSE(),"",COUNTIF($J$6:$J1293,TRUE()))</f>
        <v/>
      </c>
      <c r="L1293" s="5" t="str">
        <f aca="false">IF($K1293="","","R"&amp;$K1293)</f>
        <v/>
      </c>
    </row>
    <row r="1294" customFormat="false" ht="15" hidden="false" customHeight="true" outlineLevel="0" collapsed="false">
      <c r="J1294" s="14" t="b">
        <f aca="false">IF(중복검사!$A1292="",FALSE(),중복검사!$H1292="중복")</f>
        <v>0</v>
      </c>
      <c r="K1294" s="5" t="str">
        <f aca="false">IF($J1294=FALSE(),"",COUNTIF($J$6:$J1294,TRUE()))</f>
        <v/>
      </c>
      <c r="L1294" s="5" t="str">
        <f aca="false">IF($K1294="","","R"&amp;$K1294)</f>
        <v/>
      </c>
    </row>
    <row r="1295" customFormat="false" ht="15" hidden="false" customHeight="true" outlineLevel="0" collapsed="false">
      <c r="J1295" s="14" t="b">
        <f aca="false">IF(중복검사!$A1293="",FALSE(),중복검사!$H1293="중복")</f>
        <v>0</v>
      </c>
      <c r="K1295" s="5" t="str">
        <f aca="false">IF($J1295=FALSE(),"",COUNTIF($J$6:$J1295,TRUE()))</f>
        <v/>
      </c>
      <c r="L1295" s="5" t="str">
        <f aca="false">IF($K1295="","","R"&amp;$K1295)</f>
        <v/>
      </c>
    </row>
    <row r="1296" customFormat="false" ht="15" hidden="false" customHeight="true" outlineLevel="0" collapsed="false">
      <c r="J1296" s="14" t="b">
        <f aca="false">IF(중복검사!$A1294="",FALSE(),중복검사!$H1294="중복")</f>
        <v>0</v>
      </c>
      <c r="K1296" s="5" t="str">
        <f aca="false">IF($J1296=FALSE(),"",COUNTIF($J$6:$J1296,TRUE()))</f>
        <v/>
      </c>
      <c r="L1296" s="5" t="str">
        <f aca="false">IF($K1296="","","R"&amp;$K1296)</f>
        <v/>
      </c>
    </row>
    <row r="1297" customFormat="false" ht="15" hidden="false" customHeight="true" outlineLevel="0" collapsed="false">
      <c r="J1297" s="14" t="b">
        <f aca="false">IF(중복검사!$A1295="",FALSE(),중복검사!$H1295="중복")</f>
        <v>0</v>
      </c>
      <c r="K1297" s="5" t="str">
        <f aca="false">IF($J1297=FALSE(),"",COUNTIF($J$6:$J1297,TRUE()))</f>
        <v/>
      </c>
      <c r="L1297" s="5" t="str">
        <f aca="false">IF($K1297="","","R"&amp;$K1297)</f>
        <v/>
      </c>
    </row>
    <row r="1298" customFormat="false" ht="15" hidden="false" customHeight="true" outlineLevel="0" collapsed="false">
      <c r="J1298" s="14" t="b">
        <f aca="false">IF(중복검사!$A1296="",FALSE(),중복검사!$H1296="중복")</f>
        <v>0</v>
      </c>
      <c r="K1298" s="5" t="str">
        <f aca="false">IF($J1298=FALSE(),"",COUNTIF($J$6:$J1298,TRUE()))</f>
        <v/>
      </c>
      <c r="L1298" s="5" t="str">
        <f aca="false">IF($K1298="","","R"&amp;$K1298)</f>
        <v/>
      </c>
    </row>
    <row r="1299" customFormat="false" ht="15" hidden="false" customHeight="true" outlineLevel="0" collapsed="false">
      <c r="J1299" s="14" t="b">
        <f aca="false">IF(중복검사!$A1297="",FALSE(),중복검사!$H1297="중복")</f>
        <v>0</v>
      </c>
      <c r="K1299" s="5" t="str">
        <f aca="false">IF($J1299=FALSE(),"",COUNTIF($J$6:$J1299,TRUE()))</f>
        <v/>
      </c>
      <c r="L1299" s="5" t="str">
        <f aca="false">IF($K1299="","","R"&amp;$K1299)</f>
        <v/>
      </c>
    </row>
    <row r="1300" customFormat="false" ht="15" hidden="false" customHeight="true" outlineLevel="0" collapsed="false">
      <c r="J1300" s="14" t="b">
        <f aca="false">IF(중복검사!$A1298="",FALSE(),중복검사!$H1298="중복")</f>
        <v>0</v>
      </c>
      <c r="K1300" s="5" t="str">
        <f aca="false">IF($J1300=FALSE(),"",COUNTIF($J$6:$J1300,TRUE()))</f>
        <v/>
      </c>
      <c r="L1300" s="5" t="str">
        <f aca="false">IF($K1300="","","R"&amp;$K1300)</f>
        <v/>
      </c>
    </row>
    <row r="1301" customFormat="false" ht="15" hidden="false" customHeight="true" outlineLevel="0" collapsed="false">
      <c r="J1301" s="14" t="b">
        <f aca="false">IF(중복검사!$A1299="",FALSE(),중복검사!$H1299="중복")</f>
        <v>0</v>
      </c>
      <c r="K1301" s="5" t="str">
        <f aca="false">IF($J1301=FALSE(),"",COUNTIF($J$6:$J1301,TRUE()))</f>
        <v/>
      </c>
      <c r="L1301" s="5" t="str">
        <f aca="false">IF($K1301="","","R"&amp;$K1301)</f>
        <v/>
      </c>
    </row>
    <row r="1302" customFormat="false" ht="15" hidden="false" customHeight="true" outlineLevel="0" collapsed="false">
      <c r="J1302" s="14" t="b">
        <f aca="false">IF(중복검사!$A1300="",FALSE(),중복검사!$H1300="중복")</f>
        <v>0</v>
      </c>
      <c r="K1302" s="5" t="str">
        <f aca="false">IF($J1302=FALSE(),"",COUNTIF($J$6:$J1302,TRUE()))</f>
        <v/>
      </c>
      <c r="L1302" s="5" t="str">
        <f aca="false">IF($K1302="","","R"&amp;$K1302)</f>
        <v/>
      </c>
    </row>
    <row r="1303" customFormat="false" ht="15" hidden="false" customHeight="true" outlineLevel="0" collapsed="false">
      <c r="J1303" s="14" t="b">
        <f aca="false">IF(중복검사!$A1301="",FALSE(),중복검사!$H1301="중복")</f>
        <v>0</v>
      </c>
      <c r="K1303" s="5" t="str">
        <f aca="false">IF($J1303=FALSE(),"",COUNTIF($J$6:$J1303,TRUE()))</f>
        <v/>
      </c>
      <c r="L1303" s="5" t="str">
        <f aca="false">IF($K1303="","","R"&amp;$K1303)</f>
        <v/>
      </c>
    </row>
    <row r="1304" customFormat="false" ht="15" hidden="false" customHeight="true" outlineLevel="0" collapsed="false">
      <c r="J1304" s="14" t="b">
        <f aca="false">IF(중복검사!$A1302="",FALSE(),중복검사!$H1302="중복")</f>
        <v>0</v>
      </c>
      <c r="K1304" s="5" t="str">
        <f aca="false">IF($J1304=FALSE(),"",COUNTIF($J$6:$J1304,TRUE()))</f>
        <v/>
      </c>
      <c r="L1304" s="5" t="str">
        <f aca="false">IF($K1304="","","R"&amp;$K1304)</f>
        <v/>
      </c>
    </row>
    <row r="1305" customFormat="false" ht="15" hidden="false" customHeight="true" outlineLevel="0" collapsed="false">
      <c r="J1305" s="14" t="b">
        <f aca="false">IF(중복검사!$A1303="",FALSE(),중복검사!$H1303="중복")</f>
        <v>0</v>
      </c>
      <c r="K1305" s="5" t="str">
        <f aca="false">IF($J1305=FALSE(),"",COUNTIF($J$6:$J1305,TRUE()))</f>
        <v/>
      </c>
      <c r="L1305" s="5" t="str">
        <f aca="false">IF($K1305="","","R"&amp;$K1305)</f>
        <v/>
      </c>
    </row>
    <row r="1306" customFormat="false" ht="15" hidden="false" customHeight="true" outlineLevel="0" collapsed="false">
      <c r="J1306" s="14" t="b">
        <f aca="false">IF(중복검사!$A1304="",FALSE(),중복검사!$H1304="중복")</f>
        <v>0</v>
      </c>
      <c r="K1306" s="5" t="str">
        <f aca="false">IF($J1306=FALSE(),"",COUNTIF($J$6:$J1306,TRUE()))</f>
        <v/>
      </c>
      <c r="L1306" s="5" t="str">
        <f aca="false">IF($K1306="","","R"&amp;$K1306)</f>
        <v/>
      </c>
    </row>
    <row r="1307" customFormat="false" ht="15" hidden="false" customHeight="true" outlineLevel="0" collapsed="false">
      <c r="J1307" s="14" t="b">
        <f aca="false">IF(중복검사!$A1305="",FALSE(),중복검사!$H1305="중복")</f>
        <v>0</v>
      </c>
      <c r="K1307" s="5" t="str">
        <f aca="false">IF($J1307=FALSE(),"",COUNTIF($J$6:$J1307,TRUE()))</f>
        <v/>
      </c>
      <c r="L1307" s="5" t="str">
        <f aca="false">IF($K1307="","","R"&amp;$K1307)</f>
        <v/>
      </c>
    </row>
    <row r="1308" customFormat="false" ht="15" hidden="false" customHeight="true" outlineLevel="0" collapsed="false">
      <c r="J1308" s="14" t="b">
        <f aca="false">IF(중복검사!$A1306="",FALSE(),중복검사!$H1306="중복")</f>
        <v>0</v>
      </c>
      <c r="K1308" s="5" t="str">
        <f aca="false">IF($J1308=FALSE(),"",COUNTIF($J$6:$J1308,TRUE()))</f>
        <v/>
      </c>
      <c r="L1308" s="5" t="str">
        <f aca="false">IF($K1308="","","R"&amp;$K1308)</f>
        <v/>
      </c>
    </row>
    <row r="1309" customFormat="false" ht="15" hidden="false" customHeight="true" outlineLevel="0" collapsed="false">
      <c r="J1309" s="14" t="b">
        <f aca="false">IF(중복검사!$A1307="",FALSE(),중복검사!$H1307="중복")</f>
        <v>0</v>
      </c>
      <c r="K1309" s="5" t="str">
        <f aca="false">IF($J1309=FALSE(),"",COUNTIF($J$6:$J1309,TRUE()))</f>
        <v/>
      </c>
      <c r="L1309" s="5" t="str">
        <f aca="false">IF($K1309="","","R"&amp;$K1309)</f>
        <v/>
      </c>
    </row>
    <row r="1310" customFormat="false" ht="15" hidden="false" customHeight="true" outlineLevel="0" collapsed="false">
      <c r="J1310" s="14" t="b">
        <f aca="false">IF(중복검사!$A1308="",FALSE(),중복검사!$H1308="중복")</f>
        <v>0</v>
      </c>
      <c r="K1310" s="5" t="str">
        <f aca="false">IF($J1310=FALSE(),"",COUNTIF($J$6:$J1310,TRUE()))</f>
        <v/>
      </c>
      <c r="L1310" s="5" t="str">
        <f aca="false">IF($K1310="","","R"&amp;$K1310)</f>
        <v/>
      </c>
    </row>
    <row r="1311" customFormat="false" ht="15" hidden="false" customHeight="true" outlineLevel="0" collapsed="false">
      <c r="J1311" s="14" t="b">
        <f aca="false">IF(중복검사!$A1309="",FALSE(),중복검사!$H1309="중복")</f>
        <v>0</v>
      </c>
      <c r="K1311" s="5" t="str">
        <f aca="false">IF($J1311=FALSE(),"",COUNTIF($J$6:$J1311,TRUE()))</f>
        <v/>
      </c>
      <c r="L1311" s="5" t="str">
        <f aca="false">IF($K1311="","","R"&amp;$K1311)</f>
        <v/>
      </c>
    </row>
    <row r="1312" customFormat="false" ht="15" hidden="false" customHeight="true" outlineLevel="0" collapsed="false">
      <c r="J1312" s="14" t="b">
        <f aca="false">IF(중복검사!$A1310="",FALSE(),중복검사!$H1310="중복")</f>
        <v>0</v>
      </c>
      <c r="K1312" s="5" t="str">
        <f aca="false">IF($J1312=FALSE(),"",COUNTIF($J$6:$J1312,TRUE()))</f>
        <v/>
      </c>
      <c r="L1312" s="5" t="str">
        <f aca="false">IF($K1312="","","R"&amp;$K1312)</f>
        <v/>
      </c>
    </row>
    <row r="1313" customFormat="false" ht="15" hidden="false" customHeight="true" outlineLevel="0" collapsed="false">
      <c r="J1313" s="14" t="b">
        <f aca="false">IF(중복검사!$A1311="",FALSE(),중복검사!$H1311="중복")</f>
        <v>0</v>
      </c>
      <c r="K1313" s="5" t="str">
        <f aca="false">IF($J1313=FALSE(),"",COUNTIF($J$6:$J1313,TRUE()))</f>
        <v/>
      </c>
      <c r="L1313" s="5" t="str">
        <f aca="false">IF($K1313="","","R"&amp;$K1313)</f>
        <v/>
      </c>
    </row>
    <row r="1314" customFormat="false" ht="15" hidden="false" customHeight="true" outlineLevel="0" collapsed="false">
      <c r="J1314" s="14" t="b">
        <f aca="false">IF(중복검사!$A1312="",FALSE(),중복검사!$H1312="중복")</f>
        <v>0</v>
      </c>
      <c r="K1314" s="5" t="str">
        <f aca="false">IF($J1314=FALSE(),"",COUNTIF($J$6:$J1314,TRUE()))</f>
        <v/>
      </c>
      <c r="L1314" s="5" t="str">
        <f aca="false">IF($K1314="","","R"&amp;$K1314)</f>
        <v/>
      </c>
    </row>
    <row r="1315" customFormat="false" ht="15" hidden="false" customHeight="true" outlineLevel="0" collapsed="false">
      <c r="J1315" s="14" t="b">
        <f aca="false">IF(중복검사!$A1313="",FALSE(),중복검사!$H1313="중복")</f>
        <v>0</v>
      </c>
      <c r="K1315" s="5" t="str">
        <f aca="false">IF($J1315=FALSE(),"",COUNTIF($J$6:$J1315,TRUE()))</f>
        <v/>
      </c>
      <c r="L1315" s="5" t="str">
        <f aca="false">IF($K1315="","","R"&amp;$K1315)</f>
        <v/>
      </c>
    </row>
    <row r="1316" customFormat="false" ht="15" hidden="false" customHeight="true" outlineLevel="0" collapsed="false">
      <c r="J1316" s="14" t="b">
        <f aca="false">IF(중복검사!$A1314="",FALSE(),중복검사!$H1314="중복")</f>
        <v>0</v>
      </c>
      <c r="K1316" s="5" t="str">
        <f aca="false">IF($J1316=FALSE(),"",COUNTIF($J$6:$J1316,TRUE()))</f>
        <v/>
      </c>
      <c r="L1316" s="5" t="str">
        <f aca="false">IF($K1316="","","R"&amp;$K1316)</f>
        <v/>
      </c>
    </row>
    <row r="1317" customFormat="false" ht="15" hidden="false" customHeight="true" outlineLevel="0" collapsed="false">
      <c r="J1317" s="14" t="b">
        <f aca="false">IF(중복검사!$A1315="",FALSE(),중복검사!$H1315="중복")</f>
        <v>0</v>
      </c>
      <c r="K1317" s="5" t="str">
        <f aca="false">IF($J1317=FALSE(),"",COUNTIF($J$6:$J1317,TRUE()))</f>
        <v/>
      </c>
      <c r="L1317" s="5" t="str">
        <f aca="false">IF($K1317="","","R"&amp;$K1317)</f>
        <v/>
      </c>
    </row>
    <row r="1318" customFormat="false" ht="15" hidden="false" customHeight="true" outlineLevel="0" collapsed="false">
      <c r="J1318" s="14" t="b">
        <f aca="false">IF(중복검사!$A1316="",FALSE(),중복검사!$H1316="중복")</f>
        <v>0</v>
      </c>
      <c r="K1318" s="5" t="str">
        <f aca="false">IF($J1318=FALSE(),"",COUNTIF($J$6:$J1318,TRUE()))</f>
        <v/>
      </c>
      <c r="L1318" s="5" t="str">
        <f aca="false">IF($K1318="","","R"&amp;$K1318)</f>
        <v/>
      </c>
    </row>
    <row r="1319" customFormat="false" ht="15" hidden="false" customHeight="true" outlineLevel="0" collapsed="false">
      <c r="J1319" s="14" t="b">
        <f aca="false">IF(중복검사!$A1317="",FALSE(),중복검사!$H1317="중복")</f>
        <v>0</v>
      </c>
      <c r="K1319" s="5" t="str">
        <f aca="false">IF($J1319=FALSE(),"",COUNTIF($J$6:$J1319,TRUE()))</f>
        <v/>
      </c>
      <c r="L1319" s="5" t="str">
        <f aca="false">IF($K1319="","","R"&amp;$K1319)</f>
        <v/>
      </c>
    </row>
    <row r="1320" customFormat="false" ht="15" hidden="false" customHeight="true" outlineLevel="0" collapsed="false">
      <c r="J1320" s="14" t="b">
        <f aca="false">IF(중복검사!$A1318="",FALSE(),중복검사!$H1318="중복")</f>
        <v>0</v>
      </c>
      <c r="K1320" s="5" t="str">
        <f aca="false">IF($J1320=FALSE(),"",COUNTIF($J$6:$J1320,TRUE()))</f>
        <v/>
      </c>
      <c r="L1320" s="5" t="str">
        <f aca="false">IF($K1320="","","R"&amp;$K1320)</f>
        <v/>
      </c>
    </row>
    <row r="1321" customFormat="false" ht="15" hidden="false" customHeight="true" outlineLevel="0" collapsed="false">
      <c r="J1321" s="14" t="b">
        <f aca="false">IF(중복검사!$A1319="",FALSE(),중복검사!$H1319="중복")</f>
        <v>0</v>
      </c>
      <c r="K1321" s="5" t="str">
        <f aca="false">IF($J1321=FALSE(),"",COUNTIF($J$6:$J1321,TRUE()))</f>
        <v/>
      </c>
      <c r="L1321" s="5" t="str">
        <f aca="false">IF($K1321="","","R"&amp;$K1321)</f>
        <v/>
      </c>
    </row>
    <row r="1322" customFormat="false" ht="15" hidden="false" customHeight="true" outlineLevel="0" collapsed="false">
      <c r="J1322" s="14" t="b">
        <f aca="false">IF(중복검사!$A1320="",FALSE(),중복검사!$H1320="중복")</f>
        <v>0</v>
      </c>
      <c r="K1322" s="5" t="str">
        <f aca="false">IF($J1322=FALSE(),"",COUNTIF($J$6:$J1322,TRUE()))</f>
        <v/>
      </c>
      <c r="L1322" s="5" t="str">
        <f aca="false">IF($K1322="","","R"&amp;$K1322)</f>
        <v/>
      </c>
    </row>
    <row r="1323" customFormat="false" ht="15" hidden="false" customHeight="true" outlineLevel="0" collapsed="false">
      <c r="J1323" s="14" t="b">
        <f aca="false">IF(중복검사!$A1321="",FALSE(),중복검사!$H1321="중복")</f>
        <v>0</v>
      </c>
      <c r="K1323" s="5" t="str">
        <f aca="false">IF($J1323=FALSE(),"",COUNTIF($J$6:$J1323,TRUE()))</f>
        <v/>
      </c>
      <c r="L1323" s="5" t="str">
        <f aca="false">IF($K1323="","","R"&amp;$K1323)</f>
        <v/>
      </c>
    </row>
    <row r="1324" customFormat="false" ht="15" hidden="false" customHeight="true" outlineLevel="0" collapsed="false">
      <c r="J1324" s="14" t="b">
        <f aca="false">IF(중복검사!$A1322="",FALSE(),중복검사!$H1322="중복")</f>
        <v>0</v>
      </c>
      <c r="K1324" s="5" t="str">
        <f aca="false">IF($J1324=FALSE(),"",COUNTIF($J$6:$J1324,TRUE()))</f>
        <v/>
      </c>
      <c r="L1324" s="5" t="str">
        <f aca="false">IF($K1324="","","R"&amp;$K1324)</f>
        <v/>
      </c>
    </row>
    <row r="1325" customFormat="false" ht="15" hidden="false" customHeight="true" outlineLevel="0" collapsed="false">
      <c r="J1325" s="14" t="b">
        <f aca="false">IF(중복검사!$A1323="",FALSE(),중복검사!$H1323="중복")</f>
        <v>0</v>
      </c>
      <c r="K1325" s="5" t="str">
        <f aca="false">IF($J1325=FALSE(),"",COUNTIF($J$6:$J1325,TRUE()))</f>
        <v/>
      </c>
      <c r="L1325" s="5" t="str">
        <f aca="false">IF($K1325="","","R"&amp;$K1325)</f>
        <v/>
      </c>
    </row>
    <row r="1326" customFormat="false" ht="15" hidden="false" customHeight="true" outlineLevel="0" collapsed="false">
      <c r="J1326" s="14" t="b">
        <f aca="false">IF(중복검사!$A1324="",FALSE(),중복검사!$H1324="중복")</f>
        <v>0</v>
      </c>
      <c r="K1326" s="5" t="str">
        <f aca="false">IF($J1326=FALSE(),"",COUNTIF($J$6:$J1326,TRUE()))</f>
        <v/>
      </c>
      <c r="L1326" s="5" t="str">
        <f aca="false">IF($K1326="","","R"&amp;$K1326)</f>
        <v/>
      </c>
    </row>
    <row r="1327" customFormat="false" ht="15" hidden="false" customHeight="true" outlineLevel="0" collapsed="false">
      <c r="J1327" s="14" t="b">
        <f aca="false">IF(중복검사!$A1325="",FALSE(),중복검사!$H1325="중복")</f>
        <v>0</v>
      </c>
      <c r="K1327" s="5" t="str">
        <f aca="false">IF($J1327=FALSE(),"",COUNTIF($J$6:$J1327,TRUE()))</f>
        <v/>
      </c>
      <c r="L1327" s="5" t="str">
        <f aca="false">IF($K1327="","","R"&amp;$K1327)</f>
        <v/>
      </c>
    </row>
    <row r="1328" customFormat="false" ht="15" hidden="false" customHeight="true" outlineLevel="0" collapsed="false">
      <c r="J1328" s="14" t="b">
        <f aca="false">IF(중복검사!$A1326="",FALSE(),중복검사!$H1326="중복")</f>
        <v>0</v>
      </c>
      <c r="K1328" s="5" t="str">
        <f aca="false">IF($J1328=FALSE(),"",COUNTIF($J$6:$J1328,TRUE()))</f>
        <v/>
      </c>
      <c r="L1328" s="5" t="str">
        <f aca="false">IF($K1328="","","R"&amp;$K1328)</f>
        <v/>
      </c>
    </row>
    <row r="1329" customFormat="false" ht="15" hidden="false" customHeight="true" outlineLevel="0" collapsed="false">
      <c r="J1329" s="14" t="b">
        <f aca="false">IF(중복검사!$A1327="",FALSE(),중복검사!$H1327="중복")</f>
        <v>0</v>
      </c>
      <c r="K1329" s="5" t="str">
        <f aca="false">IF($J1329=FALSE(),"",COUNTIF($J$6:$J1329,TRUE()))</f>
        <v/>
      </c>
      <c r="L1329" s="5" t="str">
        <f aca="false">IF($K1329="","","R"&amp;$K1329)</f>
        <v/>
      </c>
    </row>
    <row r="1330" customFormat="false" ht="15" hidden="false" customHeight="true" outlineLevel="0" collapsed="false">
      <c r="J1330" s="14" t="b">
        <f aca="false">IF(중복검사!$A1328="",FALSE(),중복검사!$H1328="중복")</f>
        <v>0</v>
      </c>
      <c r="K1330" s="5" t="str">
        <f aca="false">IF($J1330=FALSE(),"",COUNTIF($J$6:$J1330,TRUE()))</f>
        <v/>
      </c>
      <c r="L1330" s="5" t="str">
        <f aca="false">IF($K1330="","","R"&amp;$K1330)</f>
        <v/>
      </c>
    </row>
    <row r="1331" customFormat="false" ht="15" hidden="false" customHeight="true" outlineLevel="0" collapsed="false">
      <c r="J1331" s="14" t="b">
        <f aca="false">IF(중복검사!$A1329="",FALSE(),중복검사!$H1329="중복")</f>
        <v>0</v>
      </c>
      <c r="K1331" s="5" t="str">
        <f aca="false">IF($J1331=FALSE(),"",COUNTIF($J$6:$J1331,TRUE()))</f>
        <v/>
      </c>
      <c r="L1331" s="5" t="str">
        <f aca="false">IF($K1331="","","R"&amp;$K1331)</f>
        <v/>
      </c>
    </row>
    <row r="1332" customFormat="false" ht="15" hidden="false" customHeight="true" outlineLevel="0" collapsed="false">
      <c r="J1332" s="14" t="b">
        <f aca="false">IF(중복검사!$A1330="",FALSE(),중복검사!$H1330="중복")</f>
        <v>0</v>
      </c>
      <c r="K1332" s="5" t="str">
        <f aca="false">IF($J1332=FALSE(),"",COUNTIF($J$6:$J1332,TRUE()))</f>
        <v/>
      </c>
      <c r="L1332" s="5" t="str">
        <f aca="false">IF($K1332="","","R"&amp;$K1332)</f>
        <v/>
      </c>
    </row>
    <row r="1333" customFormat="false" ht="15" hidden="false" customHeight="true" outlineLevel="0" collapsed="false">
      <c r="J1333" s="14" t="b">
        <f aca="false">IF(중복검사!$A1331="",FALSE(),중복검사!$H1331="중복")</f>
        <v>0</v>
      </c>
      <c r="K1333" s="5" t="str">
        <f aca="false">IF($J1333=FALSE(),"",COUNTIF($J$6:$J1333,TRUE()))</f>
        <v/>
      </c>
      <c r="L1333" s="5" t="str">
        <f aca="false">IF($K1333="","","R"&amp;$K1333)</f>
        <v/>
      </c>
    </row>
    <row r="1334" customFormat="false" ht="15" hidden="false" customHeight="true" outlineLevel="0" collapsed="false">
      <c r="J1334" s="14" t="b">
        <f aca="false">IF(중복검사!$A1332="",FALSE(),중복검사!$H1332="중복")</f>
        <v>0</v>
      </c>
      <c r="K1334" s="5" t="str">
        <f aca="false">IF($J1334=FALSE(),"",COUNTIF($J$6:$J1334,TRUE()))</f>
        <v/>
      </c>
      <c r="L1334" s="5" t="str">
        <f aca="false">IF($K1334="","","R"&amp;$K1334)</f>
        <v/>
      </c>
    </row>
    <row r="1335" customFormat="false" ht="15" hidden="false" customHeight="true" outlineLevel="0" collapsed="false">
      <c r="J1335" s="14" t="b">
        <f aca="false">IF(중복검사!$A1333="",FALSE(),중복검사!$H1333="중복")</f>
        <v>0</v>
      </c>
      <c r="K1335" s="5" t="str">
        <f aca="false">IF($J1335=FALSE(),"",COUNTIF($J$6:$J1335,TRUE()))</f>
        <v/>
      </c>
      <c r="L1335" s="5" t="str">
        <f aca="false">IF($K1335="","","R"&amp;$K1335)</f>
        <v/>
      </c>
    </row>
    <row r="1336" customFormat="false" ht="15" hidden="false" customHeight="true" outlineLevel="0" collapsed="false">
      <c r="J1336" s="14" t="b">
        <f aca="false">IF(중복검사!$A1334="",FALSE(),중복검사!$H1334="중복")</f>
        <v>0</v>
      </c>
      <c r="K1336" s="5" t="str">
        <f aca="false">IF($J1336=FALSE(),"",COUNTIF($J$6:$J1336,TRUE()))</f>
        <v/>
      </c>
      <c r="L1336" s="5" t="str">
        <f aca="false">IF($K1336="","","R"&amp;$K1336)</f>
        <v/>
      </c>
    </row>
    <row r="1337" customFormat="false" ht="15" hidden="false" customHeight="true" outlineLevel="0" collapsed="false">
      <c r="J1337" s="14" t="b">
        <f aca="false">IF(중복검사!$A1335="",FALSE(),중복검사!$H1335="중복")</f>
        <v>0</v>
      </c>
      <c r="K1337" s="5" t="str">
        <f aca="false">IF($J1337=FALSE(),"",COUNTIF($J$6:$J1337,TRUE()))</f>
        <v/>
      </c>
      <c r="L1337" s="5" t="str">
        <f aca="false">IF($K1337="","","R"&amp;$K1337)</f>
        <v/>
      </c>
    </row>
    <row r="1338" customFormat="false" ht="15" hidden="false" customHeight="true" outlineLevel="0" collapsed="false">
      <c r="J1338" s="14" t="b">
        <f aca="false">IF(중복검사!$A1336="",FALSE(),중복검사!$H1336="중복")</f>
        <v>0</v>
      </c>
      <c r="K1338" s="5" t="str">
        <f aca="false">IF($J1338=FALSE(),"",COUNTIF($J$6:$J1338,TRUE()))</f>
        <v/>
      </c>
      <c r="L1338" s="5" t="str">
        <f aca="false">IF($K1338="","","R"&amp;$K1338)</f>
        <v/>
      </c>
    </row>
    <row r="1339" customFormat="false" ht="15" hidden="false" customHeight="true" outlineLevel="0" collapsed="false">
      <c r="J1339" s="14" t="b">
        <f aca="false">IF(중복검사!$A1337="",FALSE(),중복검사!$H1337="중복")</f>
        <v>0</v>
      </c>
      <c r="K1339" s="5" t="str">
        <f aca="false">IF($J1339=FALSE(),"",COUNTIF($J$6:$J1339,TRUE()))</f>
        <v/>
      </c>
      <c r="L1339" s="5" t="str">
        <f aca="false">IF($K1339="","","R"&amp;$K1339)</f>
        <v/>
      </c>
    </row>
    <row r="1340" customFormat="false" ht="15" hidden="false" customHeight="true" outlineLevel="0" collapsed="false">
      <c r="J1340" s="14" t="b">
        <f aca="false">IF(중복검사!$A1338="",FALSE(),중복검사!$H1338="중복")</f>
        <v>0</v>
      </c>
      <c r="K1340" s="5" t="str">
        <f aca="false">IF($J1340=FALSE(),"",COUNTIF($J$6:$J1340,TRUE()))</f>
        <v/>
      </c>
      <c r="L1340" s="5" t="str">
        <f aca="false">IF($K1340="","","R"&amp;$K1340)</f>
        <v/>
      </c>
    </row>
    <row r="1341" customFormat="false" ht="15" hidden="false" customHeight="true" outlineLevel="0" collapsed="false">
      <c r="J1341" s="14" t="b">
        <f aca="false">IF(중복검사!$A1339="",FALSE(),중복검사!$H1339="중복")</f>
        <v>0</v>
      </c>
      <c r="K1341" s="5" t="str">
        <f aca="false">IF($J1341=FALSE(),"",COUNTIF($J$6:$J1341,TRUE()))</f>
        <v/>
      </c>
      <c r="L1341" s="5" t="str">
        <f aca="false">IF($K1341="","","R"&amp;$K1341)</f>
        <v/>
      </c>
    </row>
    <row r="1342" customFormat="false" ht="15" hidden="false" customHeight="true" outlineLevel="0" collapsed="false">
      <c r="J1342" s="14" t="b">
        <f aca="false">IF(중복검사!$A1340="",FALSE(),중복검사!$H1340="중복")</f>
        <v>0</v>
      </c>
      <c r="K1342" s="5" t="str">
        <f aca="false">IF($J1342=FALSE(),"",COUNTIF($J$6:$J1342,TRUE()))</f>
        <v/>
      </c>
      <c r="L1342" s="5" t="str">
        <f aca="false">IF($K1342="","","R"&amp;$K1342)</f>
        <v/>
      </c>
    </row>
    <row r="1343" customFormat="false" ht="15" hidden="false" customHeight="true" outlineLevel="0" collapsed="false">
      <c r="J1343" s="14" t="b">
        <f aca="false">IF(중복검사!$A1341="",FALSE(),중복검사!$H1341="중복")</f>
        <v>0</v>
      </c>
      <c r="K1343" s="5" t="str">
        <f aca="false">IF($J1343=FALSE(),"",COUNTIF($J$6:$J1343,TRUE()))</f>
        <v/>
      </c>
      <c r="L1343" s="5" t="str">
        <f aca="false">IF($K1343="","","R"&amp;$K1343)</f>
        <v/>
      </c>
    </row>
    <row r="1344" customFormat="false" ht="15" hidden="false" customHeight="true" outlineLevel="0" collapsed="false">
      <c r="J1344" s="14" t="b">
        <f aca="false">IF(중복검사!$A1342="",FALSE(),중복검사!$H1342="중복")</f>
        <v>0</v>
      </c>
      <c r="K1344" s="5" t="str">
        <f aca="false">IF($J1344=FALSE(),"",COUNTIF($J$6:$J1344,TRUE()))</f>
        <v/>
      </c>
      <c r="L1344" s="5" t="str">
        <f aca="false">IF($K1344="","","R"&amp;$K1344)</f>
        <v/>
      </c>
    </row>
    <row r="1345" customFormat="false" ht="15" hidden="false" customHeight="true" outlineLevel="0" collapsed="false">
      <c r="J1345" s="14" t="b">
        <f aca="false">IF(중복검사!$A1343="",FALSE(),중복검사!$H1343="중복")</f>
        <v>0</v>
      </c>
      <c r="K1345" s="5" t="str">
        <f aca="false">IF($J1345=FALSE(),"",COUNTIF($J$6:$J1345,TRUE()))</f>
        <v/>
      </c>
      <c r="L1345" s="5" t="str">
        <f aca="false">IF($K1345="","","R"&amp;$K1345)</f>
        <v/>
      </c>
    </row>
    <row r="1346" customFormat="false" ht="15" hidden="false" customHeight="true" outlineLevel="0" collapsed="false">
      <c r="J1346" s="14" t="b">
        <f aca="false">IF(중복검사!$A1344="",FALSE(),중복검사!$H1344="중복")</f>
        <v>0</v>
      </c>
      <c r="K1346" s="5" t="str">
        <f aca="false">IF($J1346=FALSE(),"",COUNTIF($J$6:$J1346,TRUE()))</f>
        <v/>
      </c>
      <c r="L1346" s="5" t="str">
        <f aca="false">IF($K1346="","","R"&amp;$K1346)</f>
        <v/>
      </c>
    </row>
    <row r="1347" customFormat="false" ht="15" hidden="false" customHeight="true" outlineLevel="0" collapsed="false">
      <c r="J1347" s="14" t="b">
        <f aca="false">IF(중복검사!$A1345="",FALSE(),중복검사!$H1345="중복")</f>
        <v>0</v>
      </c>
      <c r="K1347" s="5" t="str">
        <f aca="false">IF($J1347=FALSE(),"",COUNTIF($J$6:$J1347,TRUE()))</f>
        <v/>
      </c>
      <c r="L1347" s="5" t="str">
        <f aca="false">IF($K1347="","","R"&amp;$K1347)</f>
        <v/>
      </c>
    </row>
    <row r="1348" customFormat="false" ht="15" hidden="false" customHeight="true" outlineLevel="0" collapsed="false">
      <c r="J1348" s="14" t="b">
        <f aca="false">IF(중복검사!$A1346="",FALSE(),중복검사!$H1346="중복")</f>
        <v>0</v>
      </c>
      <c r="K1348" s="5" t="str">
        <f aca="false">IF($J1348=FALSE(),"",COUNTIF($J$6:$J1348,TRUE()))</f>
        <v/>
      </c>
      <c r="L1348" s="5" t="str">
        <f aca="false">IF($K1348="","","R"&amp;$K1348)</f>
        <v/>
      </c>
    </row>
    <row r="1349" customFormat="false" ht="15" hidden="false" customHeight="true" outlineLevel="0" collapsed="false">
      <c r="J1349" s="14" t="b">
        <f aca="false">IF(중복검사!$A1347="",FALSE(),중복검사!$H1347="중복")</f>
        <v>0</v>
      </c>
      <c r="K1349" s="5" t="str">
        <f aca="false">IF($J1349=FALSE(),"",COUNTIF($J$6:$J1349,TRUE()))</f>
        <v/>
      </c>
      <c r="L1349" s="5" t="str">
        <f aca="false">IF($K1349="","","R"&amp;$K1349)</f>
        <v/>
      </c>
    </row>
    <row r="1350" customFormat="false" ht="15" hidden="false" customHeight="true" outlineLevel="0" collapsed="false">
      <c r="J1350" s="14" t="b">
        <f aca="false">IF(중복검사!$A1348="",FALSE(),중복검사!$H1348="중복")</f>
        <v>0</v>
      </c>
      <c r="K1350" s="5" t="str">
        <f aca="false">IF($J1350=FALSE(),"",COUNTIF($J$6:$J1350,TRUE()))</f>
        <v/>
      </c>
      <c r="L1350" s="5" t="str">
        <f aca="false">IF($K1350="","","R"&amp;$K1350)</f>
        <v/>
      </c>
    </row>
    <row r="1351" customFormat="false" ht="15" hidden="false" customHeight="true" outlineLevel="0" collapsed="false">
      <c r="J1351" s="14" t="b">
        <f aca="false">IF(중복검사!$A1349="",FALSE(),중복검사!$H1349="중복")</f>
        <v>0</v>
      </c>
      <c r="K1351" s="5" t="str">
        <f aca="false">IF($J1351=FALSE(),"",COUNTIF($J$6:$J1351,TRUE()))</f>
        <v/>
      </c>
      <c r="L1351" s="5" t="str">
        <f aca="false">IF($K1351="","","R"&amp;$K1351)</f>
        <v/>
      </c>
    </row>
    <row r="1352" customFormat="false" ht="15" hidden="false" customHeight="true" outlineLevel="0" collapsed="false">
      <c r="J1352" s="14" t="b">
        <f aca="false">IF(중복검사!$A1350="",FALSE(),중복검사!$H1350="중복")</f>
        <v>0</v>
      </c>
      <c r="K1352" s="5" t="str">
        <f aca="false">IF($J1352=FALSE(),"",COUNTIF($J$6:$J1352,TRUE()))</f>
        <v/>
      </c>
      <c r="L1352" s="5" t="str">
        <f aca="false">IF($K1352="","","R"&amp;$K1352)</f>
        <v/>
      </c>
    </row>
    <row r="1353" customFormat="false" ht="15" hidden="false" customHeight="true" outlineLevel="0" collapsed="false">
      <c r="J1353" s="14" t="b">
        <f aca="false">IF(중복검사!$A1351="",FALSE(),중복검사!$H1351="중복")</f>
        <v>0</v>
      </c>
      <c r="K1353" s="5" t="str">
        <f aca="false">IF($J1353=FALSE(),"",COUNTIF($J$6:$J1353,TRUE()))</f>
        <v/>
      </c>
      <c r="L1353" s="5" t="str">
        <f aca="false">IF($K1353="","","R"&amp;$K1353)</f>
        <v/>
      </c>
    </row>
    <row r="1354" customFormat="false" ht="15" hidden="false" customHeight="true" outlineLevel="0" collapsed="false">
      <c r="J1354" s="14" t="b">
        <f aca="false">IF(중복검사!$A1352="",FALSE(),중복검사!$H1352="중복")</f>
        <v>0</v>
      </c>
      <c r="K1354" s="5" t="str">
        <f aca="false">IF($J1354=FALSE(),"",COUNTIF($J$6:$J1354,TRUE()))</f>
        <v/>
      </c>
      <c r="L1354" s="5" t="str">
        <f aca="false">IF($K1354="","","R"&amp;$K1354)</f>
        <v/>
      </c>
    </row>
    <row r="1355" customFormat="false" ht="15" hidden="false" customHeight="true" outlineLevel="0" collapsed="false">
      <c r="J1355" s="14" t="b">
        <f aca="false">IF(중복검사!$A1353="",FALSE(),중복검사!$H1353="중복")</f>
        <v>0</v>
      </c>
      <c r="K1355" s="5" t="str">
        <f aca="false">IF($J1355=FALSE(),"",COUNTIF($J$6:$J1355,TRUE()))</f>
        <v/>
      </c>
      <c r="L1355" s="5" t="str">
        <f aca="false">IF($K1355="","","R"&amp;$K1355)</f>
        <v/>
      </c>
    </row>
    <row r="1356" customFormat="false" ht="15" hidden="false" customHeight="true" outlineLevel="0" collapsed="false">
      <c r="J1356" s="14" t="b">
        <f aca="false">IF(중복검사!$A1354="",FALSE(),중복검사!$H1354="중복")</f>
        <v>0</v>
      </c>
      <c r="K1356" s="5" t="str">
        <f aca="false">IF($J1356=FALSE(),"",COUNTIF($J$6:$J1356,TRUE()))</f>
        <v/>
      </c>
      <c r="L1356" s="5" t="str">
        <f aca="false">IF($K1356="","","R"&amp;$K1356)</f>
        <v/>
      </c>
    </row>
    <row r="1357" customFormat="false" ht="15" hidden="false" customHeight="true" outlineLevel="0" collapsed="false">
      <c r="J1357" s="14" t="b">
        <f aca="false">IF(중복검사!$A1355="",FALSE(),중복검사!$H1355="중복")</f>
        <v>0</v>
      </c>
      <c r="K1357" s="5" t="str">
        <f aca="false">IF($J1357=FALSE(),"",COUNTIF($J$6:$J1357,TRUE()))</f>
        <v/>
      </c>
      <c r="L1357" s="5" t="str">
        <f aca="false">IF($K1357="","","R"&amp;$K1357)</f>
        <v/>
      </c>
    </row>
    <row r="1358" customFormat="false" ht="15" hidden="false" customHeight="true" outlineLevel="0" collapsed="false">
      <c r="J1358" s="14" t="b">
        <f aca="false">IF(중복검사!$A1356="",FALSE(),중복검사!$H1356="중복")</f>
        <v>0</v>
      </c>
      <c r="K1358" s="5" t="str">
        <f aca="false">IF($J1358=FALSE(),"",COUNTIF($J$6:$J1358,TRUE()))</f>
        <v/>
      </c>
      <c r="L1358" s="5" t="str">
        <f aca="false">IF($K1358="","","R"&amp;$K1358)</f>
        <v/>
      </c>
    </row>
    <row r="1359" customFormat="false" ht="15" hidden="false" customHeight="true" outlineLevel="0" collapsed="false">
      <c r="J1359" s="14" t="b">
        <f aca="false">IF(중복검사!$A1357="",FALSE(),중복검사!$H1357="중복")</f>
        <v>0</v>
      </c>
      <c r="K1359" s="5" t="str">
        <f aca="false">IF($J1359=FALSE(),"",COUNTIF($J$6:$J1359,TRUE()))</f>
        <v/>
      </c>
      <c r="L1359" s="5" t="str">
        <f aca="false">IF($K1359="","","R"&amp;$K1359)</f>
        <v/>
      </c>
    </row>
    <row r="1360" customFormat="false" ht="15" hidden="false" customHeight="true" outlineLevel="0" collapsed="false">
      <c r="J1360" s="14" t="b">
        <f aca="false">IF(중복검사!$A1358="",FALSE(),중복검사!$H1358="중복")</f>
        <v>0</v>
      </c>
      <c r="K1360" s="5" t="str">
        <f aca="false">IF($J1360=FALSE(),"",COUNTIF($J$6:$J1360,TRUE()))</f>
        <v/>
      </c>
      <c r="L1360" s="5" t="str">
        <f aca="false">IF($K1360="","","R"&amp;$K1360)</f>
        <v/>
      </c>
    </row>
    <row r="1361" customFormat="false" ht="15" hidden="false" customHeight="true" outlineLevel="0" collapsed="false">
      <c r="J1361" s="14" t="b">
        <f aca="false">IF(중복검사!$A1359="",FALSE(),중복검사!$H1359="중복")</f>
        <v>0</v>
      </c>
      <c r="K1361" s="5" t="str">
        <f aca="false">IF($J1361=FALSE(),"",COUNTIF($J$6:$J1361,TRUE()))</f>
        <v/>
      </c>
      <c r="L1361" s="5" t="str">
        <f aca="false">IF($K1361="","","R"&amp;$K1361)</f>
        <v/>
      </c>
    </row>
    <row r="1362" customFormat="false" ht="15" hidden="false" customHeight="true" outlineLevel="0" collapsed="false">
      <c r="J1362" s="14" t="b">
        <f aca="false">IF(중복검사!$A1360="",FALSE(),중복검사!$H1360="중복")</f>
        <v>0</v>
      </c>
      <c r="K1362" s="5" t="str">
        <f aca="false">IF($J1362=FALSE(),"",COUNTIF($J$6:$J1362,TRUE()))</f>
        <v/>
      </c>
      <c r="L1362" s="5" t="str">
        <f aca="false">IF($K1362="","","R"&amp;$K1362)</f>
        <v/>
      </c>
    </row>
    <row r="1363" customFormat="false" ht="15" hidden="false" customHeight="true" outlineLevel="0" collapsed="false">
      <c r="J1363" s="14" t="b">
        <f aca="false">IF(중복검사!$A1361="",FALSE(),중복검사!$H1361="중복")</f>
        <v>0</v>
      </c>
      <c r="K1363" s="5" t="str">
        <f aca="false">IF($J1363=FALSE(),"",COUNTIF($J$6:$J1363,TRUE()))</f>
        <v/>
      </c>
      <c r="L1363" s="5" t="str">
        <f aca="false">IF($K1363="","","R"&amp;$K1363)</f>
        <v/>
      </c>
    </row>
    <row r="1364" customFormat="false" ht="15" hidden="false" customHeight="true" outlineLevel="0" collapsed="false">
      <c r="J1364" s="14" t="b">
        <f aca="false">IF(중복검사!$A1362="",FALSE(),중복검사!$H1362="중복")</f>
        <v>0</v>
      </c>
      <c r="K1364" s="5" t="str">
        <f aca="false">IF($J1364=FALSE(),"",COUNTIF($J$6:$J1364,TRUE()))</f>
        <v/>
      </c>
      <c r="L1364" s="5" t="str">
        <f aca="false">IF($K1364="","","R"&amp;$K1364)</f>
        <v/>
      </c>
    </row>
    <row r="1365" customFormat="false" ht="15" hidden="false" customHeight="true" outlineLevel="0" collapsed="false">
      <c r="J1365" s="14" t="b">
        <f aca="false">IF(중복검사!$A1363="",FALSE(),중복검사!$H1363="중복")</f>
        <v>0</v>
      </c>
      <c r="K1365" s="5" t="str">
        <f aca="false">IF($J1365=FALSE(),"",COUNTIF($J$6:$J1365,TRUE()))</f>
        <v/>
      </c>
      <c r="L1365" s="5" t="str">
        <f aca="false">IF($K1365="","","R"&amp;$K1365)</f>
        <v/>
      </c>
    </row>
    <row r="1366" customFormat="false" ht="15" hidden="false" customHeight="true" outlineLevel="0" collapsed="false">
      <c r="J1366" s="14" t="b">
        <f aca="false">IF(중복검사!$A1364="",FALSE(),중복검사!$H1364="중복")</f>
        <v>0</v>
      </c>
      <c r="K1366" s="5" t="str">
        <f aca="false">IF($J1366=FALSE(),"",COUNTIF($J$6:$J1366,TRUE()))</f>
        <v/>
      </c>
      <c r="L1366" s="5" t="str">
        <f aca="false">IF($K1366="","","R"&amp;$K1366)</f>
        <v/>
      </c>
    </row>
    <row r="1367" customFormat="false" ht="15" hidden="false" customHeight="true" outlineLevel="0" collapsed="false">
      <c r="J1367" s="14" t="b">
        <f aca="false">IF(중복검사!$A1365="",FALSE(),중복검사!$H1365="중복")</f>
        <v>0</v>
      </c>
      <c r="K1367" s="5" t="str">
        <f aca="false">IF($J1367=FALSE(),"",COUNTIF($J$6:$J1367,TRUE()))</f>
        <v/>
      </c>
      <c r="L1367" s="5" t="str">
        <f aca="false">IF($K1367="","","R"&amp;$K1367)</f>
        <v/>
      </c>
    </row>
    <row r="1368" customFormat="false" ht="15" hidden="false" customHeight="true" outlineLevel="0" collapsed="false">
      <c r="J1368" s="14" t="b">
        <f aca="false">IF(중복검사!$A1366="",FALSE(),중복검사!$H1366="중복")</f>
        <v>0</v>
      </c>
      <c r="K1368" s="5" t="str">
        <f aca="false">IF($J1368=FALSE(),"",COUNTIF($J$6:$J1368,TRUE()))</f>
        <v/>
      </c>
      <c r="L1368" s="5" t="str">
        <f aca="false">IF($K1368="","","R"&amp;$K1368)</f>
        <v/>
      </c>
    </row>
    <row r="1369" customFormat="false" ht="15" hidden="false" customHeight="true" outlineLevel="0" collapsed="false">
      <c r="J1369" s="14" t="b">
        <f aca="false">IF(중복검사!$A1367="",FALSE(),중복검사!$H1367="중복")</f>
        <v>0</v>
      </c>
      <c r="K1369" s="5" t="str">
        <f aca="false">IF($J1369=FALSE(),"",COUNTIF($J$6:$J1369,TRUE()))</f>
        <v/>
      </c>
      <c r="L1369" s="5" t="str">
        <f aca="false">IF($K1369="","","R"&amp;$K1369)</f>
        <v/>
      </c>
    </row>
    <row r="1370" customFormat="false" ht="15" hidden="false" customHeight="true" outlineLevel="0" collapsed="false">
      <c r="J1370" s="14" t="b">
        <f aca="false">IF(중복검사!$A1368="",FALSE(),중복검사!$H1368="중복")</f>
        <v>0</v>
      </c>
      <c r="K1370" s="5" t="str">
        <f aca="false">IF($J1370=FALSE(),"",COUNTIF($J$6:$J1370,TRUE()))</f>
        <v/>
      </c>
      <c r="L1370" s="5" t="str">
        <f aca="false">IF($K1370="","","R"&amp;$K1370)</f>
        <v/>
      </c>
    </row>
    <row r="1371" customFormat="false" ht="15" hidden="false" customHeight="true" outlineLevel="0" collapsed="false">
      <c r="J1371" s="14" t="b">
        <f aca="false">IF(중복검사!$A1369="",FALSE(),중복검사!$H1369="중복")</f>
        <v>0</v>
      </c>
      <c r="K1371" s="5" t="str">
        <f aca="false">IF($J1371=FALSE(),"",COUNTIF($J$6:$J1371,TRUE()))</f>
        <v/>
      </c>
      <c r="L1371" s="5" t="str">
        <f aca="false">IF($K1371="","","R"&amp;$K1371)</f>
        <v/>
      </c>
    </row>
    <row r="1372" customFormat="false" ht="15" hidden="false" customHeight="true" outlineLevel="0" collapsed="false">
      <c r="J1372" s="14" t="b">
        <f aca="false">IF(중복검사!$A1370="",FALSE(),중복검사!$H1370="중복")</f>
        <v>0</v>
      </c>
      <c r="K1372" s="5" t="str">
        <f aca="false">IF($J1372=FALSE(),"",COUNTIF($J$6:$J1372,TRUE()))</f>
        <v/>
      </c>
      <c r="L1372" s="5" t="str">
        <f aca="false">IF($K1372="","","R"&amp;$K1372)</f>
        <v/>
      </c>
    </row>
    <row r="1373" customFormat="false" ht="15" hidden="false" customHeight="true" outlineLevel="0" collapsed="false">
      <c r="J1373" s="14" t="b">
        <f aca="false">IF(중복검사!$A1371="",FALSE(),중복검사!$H1371="중복")</f>
        <v>0</v>
      </c>
      <c r="K1373" s="5" t="str">
        <f aca="false">IF($J1373=FALSE(),"",COUNTIF($J$6:$J1373,TRUE()))</f>
        <v/>
      </c>
      <c r="L1373" s="5" t="str">
        <f aca="false">IF($K1373="","","R"&amp;$K1373)</f>
        <v/>
      </c>
    </row>
    <row r="1374" customFormat="false" ht="15" hidden="false" customHeight="true" outlineLevel="0" collapsed="false">
      <c r="J1374" s="14" t="b">
        <f aca="false">IF(중복검사!$A1372="",FALSE(),중복검사!$H1372="중복")</f>
        <v>0</v>
      </c>
      <c r="K1374" s="5" t="str">
        <f aca="false">IF($J1374=FALSE(),"",COUNTIF($J$6:$J1374,TRUE()))</f>
        <v/>
      </c>
      <c r="L1374" s="5" t="str">
        <f aca="false">IF($K1374="","","R"&amp;$K1374)</f>
        <v/>
      </c>
    </row>
    <row r="1375" customFormat="false" ht="15" hidden="false" customHeight="true" outlineLevel="0" collapsed="false">
      <c r="J1375" s="14" t="b">
        <f aca="false">IF(중복검사!$A1373="",FALSE(),중복검사!$H1373="중복")</f>
        <v>0</v>
      </c>
      <c r="K1375" s="5" t="str">
        <f aca="false">IF($J1375=FALSE(),"",COUNTIF($J$6:$J1375,TRUE()))</f>
        <v/>
      </c>
      <c r="L1375" s="5" t="str">
        <f aca="false">IF($K1375="","","R"&amp;$K1375)</f>
        <v/>
      </c>
    </row>
    <row r="1376" customFormat="false" ht="15" hidden="false" customHeight="true" outlineLevel="0" collapsed="false">
      <c r="J1376" s="14" t="b">
        <f aca="false">IF(중복검사!$A1374="",FALSE(),중복검사!$H1374="중복")</f>
        <v>0</v>
      </c>
      <c r="K1376" s="5" t="str">
        <f aca="false">IF($J1376=FALSE(),"",COUNTIF($J$6:$J1376,TRUE()))</f>
        <v/>
      </c>
      <c r="L1376" s="5" t="str">
        <f aca="false">IF($K1376="","","R"&amp;$K1376)</f>
        <v/>
      </c>
    </row>
    <row r="1377" customFormat="false" ht="15" hidden="false" customHeight="true" outlineLevel="0" collapsed="false">
      <c r="J1377" s="14" t="b">
        <f aca="false">IF(중복검사!$A1375="",FALSE(),중복검사!$H1375="중복")</f>
        <v>0</v>
      </c>
      <c r="K1377" s="5" t="str">
        <f aca="false">IF($J1377=FALSE(),"",COUNTIF($J$6:$J1377,TRUE()))</f>
        <v/>
      </c>
      <c r="L1377" s="5" t="str">
        <f aca="false">IF($K1377="","","R"&amp;$K1377)</f>
        <v/>
      </c>
    </row>
    <row r="1378" customFormat="false" ht="15" hidden="false" customHeight="true" outlineLevel="0" collapsed="false">
      <c r="J1378" s="14" t="b">
        <f aca="false">IF(중복검사!$A1376="",FALSE(),중복검사!$H1376="중복")</f>
        <v>0</v>
      </c>
      <c r="K1378" s="5" t="str">
        <f aca="false">IF($J1378=FALSE(),"",COUNTIF($J$6:$J1378,TRUE()))</f>
        <v/>
      </c>
      <c r="L1378" s="5" t="str">
        <f aca="false">IF($K1378="","","R"&amp;$K1378)</f>
        <v/>
      </c>
    </row>
    <row r="1379" customFormat="false" ht="15" hidden="false" customHeight="true" outlineLevel="0" collapsed="false">
      <c r="J1379" s="14" t="b">
        <f aca="false">IF(중복검사!$A1377="",FALSE(),중복검사!$H1377="중복")</f>
        <v>0</v>
      </c>
      <c r="K1379" s="5" t="str">
        <f aca="false">IF($J1379=FALSE(),"",COUNTIF($J$6:$J1379,TRUE()))</f>
        <v/>
      </c>
      <c r="L1379" s="5" t="str">
        <f aca="false">IF($K1379="","","R"&amp;$K1379)</f>
        <v/>
      </c>
    </row>
    <row r="1380" customFormat="false" ht="15" hidden="false" customHeight="true" outlineLevel="0" collapsed="false">
      <c r="J1380" s="14" t="b">
        <f aca="false">IF(중복검사!$A1378="",FALSE(),중복검사!$H1378="중복")</f>
        <v>0</v>
      </c>
      <c r="K1380" s="5" t="str">
        <f aca="false">IF($J1380=FALSE(),"",COUNTIF($J$6:$J1380,TRUE()))</f>
        <v/>
      </c>
      <c r="L1380" s="5" t="str">
        <f aca="false">IF($K1380="","","R"&amp;$K1380)</f>
        <v/>
      </c>
    </row>
    <row r="1381" customFormat="false" ht="15" hidden="false" customHeight="true" outlineLevel="0" collapsed="false">
      <c r="J1381" s="14" t="b">
        <f aca="false">IF(중복검사!$A1379="",FALSE(),중복검사!$H1379="중복")</f>
        <v>0</v>
      </c>
      <c r="K1381" s="5" t="str">
        <f aca="false">IF($J1381=FALSE(),"",COUNTIF($J$6:$J1381,TRUE()))</f>
        <v/>
      </c>
      <c r="L1381" s="5" t="str">
        <f aca="false">IF($K1381="","","R"&amp;$K1381)</f>
        <v/>
      </c>
    </row>
    <row r="1382" customFormat="false" ht="15" hidden="false" customHeight="true" outlineLevel="0" collapsed="false">
      <c r="J1382" s="14" t="b">
        <f aca="false">IF(중복검사!$A1380="",FALSE(),중복검사!$H1380="중복")</f>
        <v>0</v>
      </c>
      <c r="K1382" s="5" t="str">
        <f aca="false">IF($J1382=FALSE(),"",COUNTIF($J$6:$J1382,TRUE()))</f>
        <v/>
      </c>
      <c r="L1382" s="5" t="str">
        <f aca="false">IF($K1382="","","R"&amp;$K1382)</f>
        <v/>
      </c>
    </row>
    <row r="1383" customFormat="false" ht="15" hidden="false" customHeight="true" outlineLevel="0" collapsed="false">
      <c r="J1383" s="14" t="b">
        <f aca="false">IF(중복검사!$A1381="",FALSE(),중복검사!$H1381="중복")</f>
        <v>0</v>
      </c>
      <c r="K1383" s="5" t="str">
        <f aca="false">IF($J1383=FALSE(),"",COUNTIF($J$6:$J1383,TRUE()))</f>
        <v/>
      </c>
      <c r="L1383" s="5" t="str">
        <f aca="false">IF($K1383="","","R"&amp;$K1383)</f>
        <v/>
      </c>
    </row>
    <row r="1384" customFormat="false" ht="15" hidden="false" customHeight="true" outlineLevel="0" collapsed="false">
      <c r="J1384" s="14" t="b">
        <f aca="false">IF(중복검사!$A1382="",FALSE(),중복검사!$H1382="중복")</f>
        <v>0</v>
      </c>
      <c r="K1384" s="5" t="str">
        <f aca="false">IF($J1384=FALSE(),"",COUNTIF($J$6:$J1384,TRUE()))</f>
        <v/>
      </c>
      <c r="L1384" s="5" t="str">
        <f aca="false">IF($K1384="","","R"&amp;$K1384)</f>
        <v/>
      </c>
    </row>
    <row r="1385" customFormat="false" ht="15" hidden="false" customHeight="true" outlineLevel="0" collapsed="false">
      <c r="J1385" s="14" t="b">
        <f aca="false">IF(중복검사!$A1383="",FALSE(),중복검사!$H1383="중복")</f>
        <v>0</v>
      </c>
      <c r="K1385" s="5" t="str">
        <f aca="false">IF($J1385=FALSE(),"",COUNTIF($J$6:$J1385,TRUE()))</f>
        <v/>
      </c>
      <c r="L1385" s="5" t="str">
        <f aca="false">IF($K1385="","","R"&amp;$K1385)</f>
        <v/>
      </c>
    </row>
    <row r="1386" customFormat="false" ht="15" hidden="false" customHeight="true" outlineLevel="0" collapsed="false">
      <c r="J1386" s="14" t="b">
        <f aca="false">IF(중복검사!$A1384="",FALSE(),중복검사!$H1384="중복")</f>
        <v>0</v>
      </c>
      <c r="K1386" s="5" t="str">
        <f aca="false">IF($J1386=FALSE(),"",COUNTIF($J$6:$J1386,TRUE()))</f>
        <v/>
      </c>
      <c r="L1386" s="5" t="str">
        <f aca="false">IF($K1386="","","R"&amp;$K1386)</f>
        <v/>
      </c>
    </row>
    <row r="1387" customFormat="false" ht="15" hidden="false" customHeight="true" outlineLevel="0" collapsed="false">
      <c r="J1387" s="14" t="b">
        <f aca="false">IF(중복검사!$A1385="",FALSE(),중복검사!$H1385="중복")</f>
        <v>0</v>
      </c>
      <c r="K1387" s="5" t="str">
        <f aca="false">IF($J1387=FALSE(),"",COUNTIF($J$6:$J1387,TRUE()))</f>
        <v/>
      </c>
      <c r="L1387" s="5" t="str">
        <f aca="false">IF($K1387="","","R"&amp;$K1387)</f>
        <v/>
      </c>
    </row>
    <row r="1388" customFormat="false" ht="15" hidden="false" customHeight="true" outlineLevel="0" collapsed="false">
      <c r="J1388" s="14" t="b">
        <f aca="false">IF(중복검사!$A1386="",FALSE(),중복검사!$H1386="중복")</f>
        <v>0</v>
      </c>
      <c r="K1388" s="5" t="str">
        <f aca="false">IF($J1388=FALSE(),"",COUNTIF($J$6:$J1388,TRUE()))</f>
        <v/>
      </c>
      <c r="L1388" s="5" t="str">
        <f aca="false">IF($K1388="","","R"&amp;$K1388)</f>
        <v/>
      </c>
    </row>
    <row r="1389" customFormat="false" ht="15" hidden="false" customHeight="true" outlineLevel="0" collapsed="false">
      <c r="J1389" s="14" t="b">
        <f aca="false">IF(중복검사!$A1387="",FALSE(),중복검사!$H1387="중복")</f>
        <v>0</v>
      </c>
      <c r="K1389" s="5" t="str">
        <f aca="false">IF($J1389=FALSE(),"",COUNTIF($J$6:$J1389,TRUE()))</f>
        <v/>
      </c>
      <c r="L1389" s="5" t="str">
        <f aca="false">IF($K1389="","","R"&amp;$K1389)</f>
        <v/>
      </c>
    </row>
    <row r="1390" customFormat="false" ht="15" hidden="false" customHeight="true" outlineLevel="0" collapsed="false">
      <c r="J1390" s="14" t="b">
        <f aca="false">IF(중복검사!$A1388="",FALSE(),중복검사!$H1388="중복")</f>
        <v>0</v>
      </c>
      <c r="K1390" s="5" t="str">
        <f aca="false">IF($J1390=FALSE(),"",COUNTIF($J$6:$J1390,TRUE()))</f>
        <v/>
      </c>
      <c r="L1390" s="5" t="str">
        <f aca="false">IF($K1390="","","R"&amp;$K1390)</f>
        <v/>
      </c>
    </row>
    <row r="1391" customFormat="false" ht="15" hidden="false" customHeight="true" outlineLevel="0" collapsed="false">
      <c r="J1391" s="14" t="b">
        <f aca="false">IF(중복검사!$A1389="",FALSE(),중복검사!$H1389="중복")</f>
        <v>0</v>
      </c>
      <c r="K1391" s="5" t="str">
        <f aca="false">IF($J1391=FALSE(),"",COUNTIF($J$6:$J1391,TRUE()))</f>
        <v/>
      </c>
      <c r="L1391" s="5" t="str">
        <f aca="false">IF($K1391="","","R"&amp;$K1391)</f>
        <v/>
      </c>
    </row>
    <row r="1392" customFormat="false" ht="15" hidden="false" customHeight="true" outlineLevel="0" collapsed="false">
      <c r="J1392" s="14" t="b">
        <f aca="false">IF(중복검사!$A1390="",FALSE(),중복검사!$H1390="중복")</f>
        <v>0</v>
      </c>
      <c r="K1392" s="5" t="str">
        <f aca="false">IF($J1392=FALSE(),"",COUNTIF($J$6:$J1392,TRUE()))</f>
        <v/>
      </c>
      <c r="L1392" s="5" t="str">
        <f aca="false">IF($K1392="","","R"&amp;$K1392)</f>
        <v/>
      </c>
    </row>
    <row r="1393" customFormat="false" ht="15" hidden="false" customHeight="true" outlineLevel="0" collapsed="false">
      <c r="J1393" s="14" t="b">
        <f aca="false">IF(중복검사!$A1391="",FALSE(),중복검사!$H1391="중복")</f>
        <v>0</v>
      </c>
      <c r="K1393" s="5" t="str">
        <f aca="false">IF($J1393=FALSE(),"",COUNTIF($J$6:$J1393,TRUE()))</f>
        <v/>
      </c>
      <c r="L1393" s="5" t="str">
        <f aca="false">IF($K1393="","","R"&amp;$K1393)</f>
        <v/>
      </c>
    </row>
    <row r="1394" customFormat="false" ht="15" hidden="false" customHeight="true" outlineLevel="0" collapsed="false">
      <c r="J1394" s="14" t="b">
        <f aca="false">IF(중복검사!$A1392="",FALSE(),중복검사!$H1392="중복")</f>
        <v>0</v>
      </c>
      <c r="K1394" s="5" t="str">
        <f aca="false">IF($J1394=FALSE(),"",COUNTIF($J$6:$J1394,TRUE()))</f>
        <v/>
      </c>
      <c r="L1394" s="5" t="str">
        <f aca="false">IF($K1394="","","R"&amp;$K1394)</f>
        <v/>
      </c>
    </row>
    <row r="1395" customFormat="false" ht="15" hidden="false" customHeight="true" outlineLevel="0" collapsed="false">
      <c r="J1395" s="14" t="b">
        <f aca="false">IF(중복검사!$A1393="",FALSE(),중복검사!$H1393="중복")</f>
        <v>0</v>
      </c>
      <c r="K1395" s="5" t="str">
        <f aca="false">IF($J1395=FALSE(),"",COUNTIF($J$6:$J1395,TRUE()))</f>
        <v/>
      </c>
      <c r="L1395" s="5" t="str">
        <f aca="false">IF($K1395="","","R"&amp;$K1395)</f>
        <v/>
      </c>
    </row>
    <row r="1396" customFormat="false" ht="15" hidden="false" customHeight="true" outlineLevel="0" collapsed="false">
      <c r="J1396" s="14" t="b">
        <f aca="false">IF(중복검사!$A1394="",FALSE(),중복검사!$H1394="중복")</f>
        <v>0</v>
      </c>
      <c r="K1396" s="5" t="str">
        <f aca="false">IF($J1396=FALSE(),"",COUNTIF($J$6:$J1396,TRUE()))</f>
        <v/>
      </c>
      <c r="L1396" s="5" t="str">
        <f aca="false">IF($K1396="","","R"&amp;$K1396)</f>
        <v/>
      </c>
    </row>
    <row r="1397" customFormat="false" ht="15" hidden="false" customHeight="true" outlineLevel="0" collapsed="false">
      <c r="J1397" s="14" t="b">
        <f aca="false">IF(중복검사!$A1395="",FALSE(),중복검사!$H1395="중복")</f>
        <v>0</v>
      </c>
      <c r="K1397" s="5" t="str">
        <f aca="false">IF($J1397=FALSE(),"",COUNTIF($J$6:$J1397,TRUE()))</f>
        <v/>
      </c>
      <c r="L1397" s="5" t="str">
        <f aca="false">IF($K1397="","","R"&amp;$K1397)</f>
        <v/>
      </c>
    </row>
    <row r="1398" customFormat="false" ht="15" hidden="false" customHeight="true" outlineLevel="0" collapsed="false">
      <c r="J1398" s="14" t="b">
        <f aca="false">IF(중복검사!$A1396="",FALSE(),중복검사!$H1396="중복")</f>
        <v>0</v>
      </c>
      <c r="K1398" s="5" t="str">
        <f aca="false">IF($J1398=FALSE(),"",COUNTIF($J$6:$J1398,TRUE()))</f>
        <v/>
      </c>
      <c r="L1398" s="5" t="str">
        <f aca="false">IF($K1398="","","R"&amp;$K1398)</f>
        <v/>
      </c>
    </row>
    <row r="1399" customFormat="false" ht="15" hidden="false" customHeight="true" outlineLevel="0" collapsed="false">
      <c r="J1399" s="14" t="b">
        <f aca="false">IF(중복검사!$A1397="",FALSE(),중복검사!$H1397="중복")</f>
        <v>0</v>
      </c>
      <c r="K1399" s="5" t="str">
        <f aca="false">IF($J1399=FALSE(),"",COUNTIF($J$6:$J1399,TRUE()))</f>
        <v/>
      </c>
      <c r="L1399" s="5" t="str">
        <f aca="false">IF($K1399="","","R"&amp;$K1399)</f>
        <v/>
      </c>
    </row>
    <row r="1400" customFormat="false" ht="15" hidden="false" customHeight="true" outlineLevel="0" collapsed="false">
      <c r="J1400" s="14" t="b">
        <f aca="false">IF(중복검사!$A1398="",FALSE(),중복검사!$H1398="중복")</f>
        <v>0</v>
      </c>
      <c r="K1400" s="5" t="str">
        <f aca="false">IF($J1400=FALSE(),"",COUNTIF($J$6:$J1400,TRUE()))</f>
        <v/>
      </c>
      <c r="L1400" s="5" t="str">
        <f aca="false">IF($K1400="","","R"&amp;$K1400)</f>
        <v/>
      </c>
    </row>
    <row r="1401" customFormat="false" ht="15" hidden="false" customHeight="true" outlineLevel="0" collapsed="false">
      <c r="J1401" s="14" t="b">
        <f aca="false">IF(중복검사!$A1399="",FALSE(),중복검사!$H1399="중복")</f>
        <v>0</v>
      </c>
      <c r="K1401" s="5" t="str">
        <f aca="false">IF($J1401=FALSE(),"",COUNTIF($J$6:$J1401,TRUE()))</f>
        <v/>
      </c>
      <c r="L1401" s="5" t="str">
        <f aca="false">IF($K1401="","","R"&amp;$K1401)</f>
        <v/>
      </c>
    </row>
    <row r="1402" customFormat="false" ht="15" hidden="false" customHeight="true" outlineLevel="0" collapsed="false">
      <c r="J1402" s="14" t="b">
        <f aca="false">IF(중복검사!$A1400="",FALSE(),중복검사!$H1400="중복")</f>
        <v>0</v>
      </c>
      <c r="K1402" s="5" t="str">
        <f aca="false">IF($J1402=FALSE(),"",COUNTIF($J$6:$J1402,TRUE()))</f>
        <v/>
      </c>
      <c r="L1402" s="5" t="str">
        <f aca="false">IF($K1402="","","R"&amp;$K1402)</f>
        <v/>
      </c>
    </row>
    <row r="1403" customFormat="false" ht="15" hidden="false" customHeight="true" outlineLevel="0" collapsed="false">
      <c r="J1403" s="14" t="b">
        <f aca="false">IF(중복검사!$A1401="",FALSE(),중복검사!$H1401="중복")</f>
        <v>0</v>
      </c>
      <c r="K1403" s="5" t="str">
        <f aca="false">IF($J1403=FALSE(),"",COUNTIF($J$6:$J1403,TRUE()))</f>
        <v/>
      </c>
      <c r="L1403" s="5" t="str">
        <f aca="false">IF($K1403="","","R"&amp;$K1403)</f>
        <v/>
      </c>
    </row>
    <row r="1404" customFormat="false" ht="15" hidden="false" customHeight="true" outlineLevel="0" collapsed="false">
      <c r="J1404" s="14" t="b">
        <f aca="false">IF(중복검사!$A1402="",FALSE(),중복검사!$H1402="중복")</f>
        <v>0</v>
      </c>
      <c r="K1404" s="5" t="str">
        <f aca="false">IF($J1404=FALSE(),"",COUNTIF($J$6:$J1404,TRUE()))</f>
        <v/>
      </c>
      <c r="L1404" s="5" t="str">
        <f aca="false">IF($K1404="","","R"&amp;$K1404)</f>
        <v/>
      </c>
    </row>
    <row r="1405" customFormat="false" ht="15" hidden="false" customHeight="true" outlineLevel="0" collapsed="false">
      <c r="J1405" s="14" t="b">
        <f aca="false">IF(중복검사!$A1403="",FALSE(),중복검사!$H1403="중복")</f>
        <v>0</v>
      </c>
      <c r="K1405" s="5" t="str">
        <f aca="false">IF($J1405=FALSE(),"",COUNTIF($J$6:$J1405,TRUE()))</f>
        <v/>
      </c>
      <c r="L1405" s="5" t="str">
        <f aca="false">IF($K1405="","","R"&amp;$K1405)</f>
        <v/>
      </c>
    </row>
    <row r="1406" customFormat="false" ht="15" hidden="false" customHeight="true" outlineLevel="0" collapsed="false">
      <c r="J1406" s="14" t="b">
        <f aca="false">IF(중복검사!$A1404="",FALSE(),중복검사!$H1404="중복")</f>
        <v>0</v>
      </c>
      <c r="K1406" s="5" t="str">
        <f aca="false">IF($J1406=FALSE(),"",COUNTIF($J$6:$J1406,TRUE()))</f>
        <v/>
      </c>
      <c r="L1406" s="5" t="str">
        <f aca="false">IF($K1406="","","R"&amp;$K1406)</f>
        <v/>
      </c>
    </row>
    <row r="1407" customFormat="false" ht="15" hidden="false" customHeight="true" outlineLevel="0" collapsed="false">
      <c r="J1407" s="14" t="b">
        <f aca="false">IF(중복검사!$A1405="",FALSE(),중복검사!$H1405="중복")</f>
        <v>0</v>
      </c>
      <c r="K1407" s="5" t="str">
        <f aca="false">IF($J1407=FALSE(),"",COUNTIF($J$6:$J1407,TRUE()))</f>
        <v/>
      </c>
      <c r="L1407" s="5" t="str">
        <f aca="false">IF($K1407="","","R"&amp;$K1407)</f>
        <v/>
      </c>
    </row>
    <row r="1408" customFormat="false" ht="15" hidden="false" customHeight="true" outlineLevel="0" collapsed="false">
      <c r="J1408" s="14" t="b">
        <f aca="false">IF(중복검사!$A1406="",FALSE(),중복검사!$H1406="중복")</f>
        <v>0</v>
      </c>
      <c r="K1408" s="5" t="str">
        <f aca="false">IF($J1408=FALSE(),"",COUNTIF($J$6:$J1408,TRUE()))</f>
        <v/>
      </c>
      <c r="L1408" s="5" t="str">
        <f aca="false">IF($K1408="","","R"&amp;$K1408)</f>
        <v/>
      </c>
    </row>
    <row r="1409" customFormat="false" ht="15" hidden="false" customHeight="true" outlineLevel="0" collapsed="false">
      <c r="J1409" s="14" t="b">
        <f aca="false">IF(중복검사!$A1407="",FALSE(),중복검사!$H1407="중복")</f>
        <v>0</v>
      </c>
      <c r="K1409" s="5" t="str">
        <f aca="false">IF($J1409=FALSE(),"",COUNTIF($J$6:$J1409,TRUE()))</f>
        <v/>
      </c>
      <c r="L1409" s="5" t="str">
        <f aca="false">IF($K1409="","","R"&amp;$K1409)</f>
        <v/>
      </c>
    </row>
    <row r="1410" customFormat="false" ht="15" hidden="false" customHeight="true" outlineLevel="0" collapsed="false">
      <c r="J1410" s="14" t="b">
        <f aca="false">IF(중복검사!$A1408="",FALSE(),중복검사!$H1408="중복")</f>
        <v>0</v>
      </c>
      <c r="K1410" s="5" t="str">
        <f aca="false">IF($J1410=FALSE(),"",COUNTIF($J$6:$J1410,TRUE()))</f>
        <v/>
      </c>
      <c r="L1410" s="5" t="str">
        <f aca="false">IF($K1410="","","R"&amp;$K1410)</f>
        <v/>
      </c>
    </row>
    <row r="1411" customFormat="false" ht="15" hidden="false" customHeight="true" outlineLevel="0" collapsed="false">
      <c r="J1411" s="14" t="b">
        <f aca="false">IF(중복검사!$A1409="",FALSE(),중복검사!$H1409="중복")</f>
        <v>0</v>
      </c>
      <c r="K1411" s="5" t="str">
        <f aca="false">IF($J1411=FALSE(),"",COUNTIF($J$6:$J1411,TRUE()))</f>
        <v/>
      </c>
      <c r="L1411" s="5" t="str">
        <f aca="false">IF($K1411="","","R"&amp;$K1411)</f>
        <v/>
      </c>
    </row>
    <row r="1412" customFormat="false" ht="15" hidden="false" customHeight="true" outlineLevel="0" collapsed="false">
      <c r="J1412" s="14" t="b">
        <f aca="false">IF(중복검사!$A1410="",FALSE(),중복검사!$H1410="중복")</f>
        <v>0</v>
      </c>
      <c r="K1412" s="5" t="str">
        <f aca="false">IF($J1412=FALSE(),"",COUNTIF($J$6:$J1412,TRUE()))</f>
        <v/>
      </c>
      <c r="L1412" s="5" t="str">
        <f aca="false">IF($K1412="","","R"&amp;$K1412)</f>
        <v/>
      </c>
    </row>
    <row r="1413" customFormat="false" ht="15" hidden="false" customHeight="true" outlineLevel="0" collapsed="false">
      <c r="J1413" s="14" t="b">
        <f aca="false">IF(중복검사!$A1411="",FALSE(),중복검사!$H1411="중복")</f>
        <v>0</v>
      </c>
      <c r="K1413" s="5" t="str">
        <f aca="false">IF($J1413=FALSE(),"",COUNTIF($J$6:$J1413,TRUE()))</f>
        <v/>
      </c>
      <c r="L1413" s="5" t="str">
        <f aca="false">IF($K1413="","","R"&amp;$K1413)</f>
        <v/>
      </c>
    </row>
    <row r="1414" customFormat="false" ht="15" hidden="false" customHeight="true" outlineLevel="0" collapsed="false">
      <c r="J1414" s="14" t="b">
        <f aca="false">IF(중복검사!$A1412="",FALSE(),중복검사!$H1412="중복")</f>
        <v>0</v>
      </c>
      <c r="K1414" s="5" t="str">
        <f aca="false">IF($J1414=FALSE(),"",COUNTIF($J$6:$J1414,TRUE()))</f>
        <v/>
      </c>
      <c r="L1414" s="5" t="str">
        <f aca="false">IF($K1414="","","R"&amp;$K1414)</f>
        <v/>
      </c>
    </row>
    <row r="1415" customFormat="false" ht="15" hidden="false" customHeight="true" outlineLevel="0" collapsed="false">
      <c r="J1415" s="14" t="b">
        <f aca="false">IF(중복검사!$A1413="",FALSE(),중복검사!$H1413="중복")</f>
        <v>0</v>
      </c>
      <c r="K1415" s="5" t="str">
        <f aca="false">IF($J1415=FALSE(),"",COUNTIF($J$6:$J1415,TRUE()))</f>
        <v/>
      </c>
      <c r="L1415" s="5" t="str">
        <f aca="false">IF($K1415="","","R"&amp;$K1415)</f>
        <v/>
      </c>
    </row>
    <row r="1416" customFormat="false" ht="15" hidden="false" customHeight="true" outlineLevel="0" collapsed="false">
      <c r="J1416" s="14" t="b">
        <f aca="false">IF(중복검사!$A1414="",FALSE(),중복검사!$H1414="중복")</f>
        <v>0</v>
      </c>
      <c r="K1416" s="5" t="str">
        <f aca="false">IF($J1416=FALSE(),"",COUNTIF($J$6:$J1416,TRUE()))</f>
        <v/>
      </c>
      <c r="L1416" s="5" t="str">
        <f aca="false">IF($K1416="","","R"&amp;$K1416)</f>
        <v/>
      </c>
    </row>
    <row r="1417" customFormat="false" ht="15" hidden="false" customHeight="true" outlineLevel="0" collapsed="false">
      <c r="J1417" s="14" t="b">
        <f aca="false">IF(중복검사!$A1415="",FALSE(),중복검사!$H1415="중복")</f>
        <v>0</v>
      </c>
      <c r="K1417" s="5" t="str">
        <f aca="false">IF($J1417=FALSE(),"",COUNTIF($J$6:$J1417,TRUE()))</f>
        <v/>
      </c>
      <c r="L1417" s="5" t="str">
        <f aca="false">IF($K1417="","","R"&amp;$K1417)</f>
        <v/>
      </c>
    </row>
    <row r="1418" customFormat="false" ht="15" hidden="false" customHeight="true" outlineLevel="0" collapsed="false">
      <c r="J1418" s="14" t="b">
        <f aca="false">IF(중복검사!$A1416="",FALSE(),중복검사!$H1416="중복")</f>
        <v>0</v>
      </c>
      <c r="K1418" s="5" t="str">
        <f aca="false">IF($J1418=FALSE(),"",COUNTIF($J$6:$J1418,TRUE()))</f>
        <v/>
      </c>
      <c r="L1418" s="5" t="str">
        <f aca="false">IF($K1418="","","R"&amp;$K1418)</f>
        <v/>
      </c>
    </row>
    <row r="1419" customFormat="false" ht="15" hidden="false" customHeight="true" outlineLevel="0" collapsed="false">
      <c r="J1419" s="14" t="b">
        <f aca="false">IF(중복검사!$A1417="",FALSE(),중복검사!$H1417="중복")</f>
        <v>0</v>
      </c>
      <c r="K1419" s="5" t="str">
        <f aca="false">IF($J1419=FALSE(),"",COUNTIF($J$6:$J1419,TRUE()))</f>
        <v/>
      </c>
      <c r="L1419" s="5" t="str">
        <f aca="false">IF($K1419="","","R"&amp;$K1419)</f>
        <v/>
      </c>
    </row>
    <row r="1420" customFormat="false" ht="15" hidden="false" customHeight="true" outlineLevel="0" collapsed="false">
      <c r="J1420" s="14" t="b">
        <f aca="false">IF(중복검사!$A1418="",FALSE(),중복검사!$H1418="중복")</f>
        <v>0</v>
      </c>
      <c r="K1420" s="5" t="str">
        <f aca="false">IF($J1420=FALSE(),"",COUNTIF($J$6:$J1420,TRUE()))</f>
        <v/>
      </c>
      <c r="L1420" s="5" t="str">
        <f aca="false">IF($K1420="","","R"&amp;$K1420)</f>
        <v/>
      </c>
    </row>
    <row r="1421" customFormat="false" ht="15" hidden="false" customHeight="true" outlineLevel="0" collapsed="false">
      <c r="J1421" s="14" t="b">
        <f aca="false">IF(중복검사!$A1419="",FALSE(),중복검사!$H1419="중복")</f>
        <v>0</v>
      </c>
      <c r="K1421" s="5" t="str">
        <f aca="false">IF($J1421=FALSE(),"",COUNTIF($J$6:$J1421,TRUE()))</f>
        <v/>
      </c>
      <c r="L1421" s="5" t="str">
        <f aca="false">IF($K1421="","","R"&amp;$K1421)</f>
        <v/>
      </c>
    </row>
    <row r="1422" customFormat="false" ht="15" hidden="false" customHeight="true" outlineLevel="0" collapsed="false">
      <c r="J1422" s="14" t="b">
        <f aca="false">IF(중복검사!$A1420="",FALSE(),중복검사!$H1420="중복")</f>
        <v>0</v>
      </c>
      <c r="K1422" s="5" t="str">
        <f aca="false">IF($J1422=FALSE(),"",COUNTIF($J$6:$J1422,TRUE()))</f>
        <v/>
      </c>
      <c r="L1422" s="5" t="str">
        <f aca="false">IF($K1422="","","R"&amp;$K1422)</f>
        <v/>
      </c>
    </row>
    <row r="1423" customFormat="false" ht="15" hidden="false" customHeight="true" outlineLevel="0" collapsed="false">
      <c r="J1423" s="14" t="b">
        <f aca="false">IF(중복검사!$A1421="",FALSE(),중복검사!$H1421="중복")</f>
        <v>0</v>
      </c>
      <c r="K1423" s="5" t="str">
        <f aca="false">IF($J1423=FALSE(),"",COUNTIF($J$6:$J1423,TRUE()))</f>
        <v/>
      </c>
      <c r="L1423" s="5" t="str">
        <f aca="false">IF($K1423="","","R"&amp;$K1423)</f>
        <v/>
      </c>
    </row>
    <row r="1424" customFormat="false" ht="15" hidden="false" customHeight="true" outlineLevel="0" collapsed="false">
      <c r="J1424" s="14" t="b">
        <f aca="false">IF(중복검사!$A1422="",FALSE(),중복검사!$H1422="중복")</f>
        <v>0</v>
      </c>
      <c r="K1424" s="5" t="str">
        <f aca="false">IF($J1424=FALSE(),"",COUNTIF($J$6:$J1424,TRUE()))</f>
        <v/>
      </c>
      <c r="L1424" s="5" t="str">
        <f aca="false">IF($K1424="","","R"&amp;$K1424)</f>
        <v/>
      </c>
    </row>
    <row r="1425" customFormat="false" ht="15" hidden="false" customHeight="true" outlineLevel="0" collapsed="false">
      <c r="J1425" s="14" t="b">
        <f aca="false">IF(중복검사!$A1423="",FALSE(),중복검사!$H1423="중복")</f>
        <v>0</v>
      </c>
      <c r="K1425" s="5" t="str">
        <f aca="false">IF($J1425=FALSE(),"",COUNTIF($J$6:$J1425,TRUE()))</f>
        <v/>
      </c>
      <c r="L1425" s="5" t="str">
        <f aca="false">IF($K1425="","","R"&amp;$K1425)</f>
        <v/>
      </c>
    </row>
    <row r="1426" customFormat="false" ht="15" hidden="false" customHeight="true" outlineLevel="0" collapsed="false">
      <c r="J1426" s="14" t="b">
        <f aca="false">IF(중복검사!$A1424="",FALSE(),중복검사!$H1424="중복")</f>
        <v>0</v>
      </c>
      <c r="K1426" s="5" t="str">
        <f aca="false">IF($J1426=FALSE(),"",COUNTIF($J$6:$J1426,TRUE()))</f>
        <v/>
      </c>
      <c r="L1426" s="5" t="str">
        <f aca="false">IF($K1426="","","R"&amp;$K1426)</f>
        <v/>
      </c>
    </row>
    <row r="1427" customFormat="false" ht="15" hidden="false" customHeight="true" outlineLevel="0" collapsed="false">
      <c r="J1427" s="14" t="b">
        <f aca="false">IF(중복검사!$A1425="",FALSE(),중복검사!$H1425="중복")</f>
        <v>0</v>
      </c>
      <c r="K1427" s="5" t="str">
        <f aca="false">IF($J1427=FALSE(),"",COUNTIF($J$6:$J1427,TRUE()))</f>
        <v/>
      </c>
      <c r="L1427" s="5" t="str">
        <f aca="false">IF($K1427="","","R"&amp;$K1427)</f>
        <v/>
      </c>
    </row>
    <row r="1428" customFormat="false" ht="15" hidden="false" customHeight="true" outlineLevel="0" collapsed="false">
      <c r="J1428" s="14" t="b">
        <f aca="false">IF(중복검사!$A1426="",FALSE(),중복검사!$H1426="중복")</f>
        <v>0</v>
      </c>
      <c r="K1428" s="5" t="str">
        <f aca="false">IF($J1428=FALSE(),"",COUNTIF($J$6:$J1428,TRUE()))</f>
        <v/>
      </c>
      <c r="L1428" s="5" t="str">
        <f aca="false">IF($K1428="","","R"&amp;$K1428)</f>
        <v/>
      </c>
    </row>
    <row r="1429" customFormat="false" ht="15" hidden="false" customHeight="true" outlineLevel="0" collapsed="false">
      <c r="J1429" s="14" t="b">
        <f aca="false">IF(중복검사!$A1427="",FALSE(),중복검사!$H1427="중복")</f>
        <v>0</v>
      </c>
      <c r="K1429" s="5" t="str">
        <f aca="false">IF($J1429=FALSE(),"",COUNTIF($J$6:$J1429,TRUE()))</f>
        <v/>
      </c>
      <c r="L1429" s="5" t="str">
        <f aca="false">IF($K1429="","","R"&amp;$K1429)</f>
        <v/>
      </c>
    </row>
    <row r="1430" customFormat="false" ht="15" hidden="false" customHeight="true" outlineLevel="0" collapsed="false">
      <c r="J1430" s="14" t="b">
        <f aca="false">IF(중복검사!$A1428="",FALSE(),중복검사!$H1428="중복")</f>
        <v>0</v>
      </c>
      <c r="K1430" s="5" t="str">
        <f aca="false">IF($J1430=FALSE(),"",COUNTIF($J$6:$J1430,TRUE()))</f>
        <v/>
      </c>
      <c r="L1430" s="5" t="str">
        <f aca="false">IF($K1430="","","R"&amp;$K1430)</f>
        <v/>
      </c>
    </row>
    <row r="1431" customFormat="false" ht="15" hidden="false" customHeight="true" outlineLevel="0" collapsed="false">
      <c r="J1431" s="14" t="b">
        <f aca="false">IF(중복검사!$A1429="",FALSE(),중복검사!$H1429="중복")</f>
        <v>0</v>
      </c>
      <c r="K1431" s="5" t="str">
        <f aca="false">IF($J1431=FALSE(),"",COUNTIF($J$6:$J1431,TRUE()))</f>
        <v/>
      </c>
      <c r="L1431" s="5" t="str">
        <f aca="false">IF($K1431="","","R"&amp;$K1431)</f>
        <v/>
      </c>
    </row>
    <row r="1432" customFormat="false" ht="15" hidden="false" customHeight="true" outlineLevel="0" collapsed="false">
      <c r="J1432" s="14" t="b">
        <f aca="false">IF(중복검사!$A1430="",FALSE(),중복검사!$H1430="중복")</f>
        <v>0</v>
      </c>
      <c r="K1432" s="5" t="str">
        <f aca="false">IF($J1432=FALSE(),"",COUNTIF($J$6:$J1432,TRUE()))</f>
        <v/>
      </c>
      <c r="L1432" s="5" t="str">
        <f aca="false">IF($K1432="","","R"&amp;$K1432)</f>
        <v/>
      </c>
    </row>
    <row r="1433" customFormat="false" ht="15" hidden="false" customHeight="true" outlineLevel="0" collapsed="false">
      <c r="J1433" s="14" t="b">
        <f aca="false">IF(중복검사!$A1431="",FALSE(),중복검사!$H1431="중복")</f>
        <v>0</v>
      </c>
      <c r="K1433" s="5" t="str">
        <f aca="false">IF($J1433=FALSE(),"",COUNTIF($J$6:$J1433,TRUE()))</f>
        <v/>
      </c>
      <c r="L1433" s="5" t="str">
        <f aca="false">IF($K1433="","","R"&amp;$K1433)</f>
        <v/>
      </c>
    </row>
    <row r="1434" customFormat="false" ht="15" hidden="false" customHeight="true" outlineLevel="0" collapsed="false">
      <c r="J1434" s="14" t="b">
        <f aca="false">IF(중복검사!$A1432="",FALSE(),중복검사!$H1432="중복")</f>
        <v>0</v>
      </c>
      <c r="K1434" s="5" t="str">
        <f aca="false">IF($J1434=FALSE(),"",COUNTIF($J$6:$J1434,TRUE()))</f>
        <v/>
      </c>
      <c r="L1434" s="5" t="str">
        <f aca="false">IF($K1434="","","R"&amp;$K1434)</f>
        <v/>
      </c>
    </row>
    <row r="1435" customFormat="false" ht="15" hidden="false" customHeight="true" outlineLevel="0" collapsed="false">
      <c r="J1435" s="14" t="b">
        <f aca="false">IF(중복검사!$A1433="",FALSE(),중복검사!$H1433="중복")</f>
        <v>0</v>
      </c>
      <c r="K1435" s="5" t="str">
        <f aca="false">IF($J1435=FALSE(),"",COUNTIF($J$6:$J1435,TRUE()))</f>
        <v/>
      </c>
      <c r="L1435" s="5" t="str">
        <f aca="false">IF($K1435="","","R"&amp;$K1435)</f>
        <v/>
      </c>
    </row>
    <row r="1436" customFormat="false" ht="15" hidden="false" customHeight="true" outlineLevel="0" collapsed="false">
      <c r="J1436" s="14" t="b">
        <f aca="false">IF(중복검사!$A1434="",FALSE(),중복검사!$H1434="중복")</f>
        <v>0</v>
      </c>
      <c r="K1436" s="5" t="str">
        <f aca="false">IF($J1436=FALSE(),"",COUNTIF($J$6:$J1436,TRUE()))</f>
        <v/>
      </c>
      <c r="L1436" s="5" t="str">
        <f aca="false">IF($K1436="","","R"&amp;$K1436)</f>
        <v/>
      </c>
    </row>
    <row r="1437" customFormat="false" ht="15" hidden="false" customHeight="true" outlineLevel="0" collapsed="false">
      <c r="J1437" s="14" t="b">
        <f aca="false">IF(중복검사!$A1435="",FALSE(),중복검사!$H1435="중복")</f>
        <v>0</v>
      </c>
      <c r="K1437" s="5" t="str">
        <f aca="false">IF($J1437=FALSE(),"",COUNTIF($J$6:$J1437,TRUE()))</f>
        <v/>
      </c>
      <c r="L1437" s="5" t="str">
        <f aca="false">IF($K1437="","","R"&amp;$K1437)</f>
        <v/>
      </c>
    </row>
    <row r="1438" customFormat="false" ht="15" hidden="false" customHeight="true" outlineLevel="0" collapsed="false">
      <c r="J1438" s="14" t="b">
        <f aca="false">IF(중복검사!$A1436="",FALSE(),중복검사!$H1436="중복")</f>
        <v>0</v>
      </c>
      <c r="K1438" s="5" t="str">
        <f aca="false">IF($J1438=FALSE(),"",COUNTIF($J$6:$J1438,TRUE()))</f>
        <v/>
      </c>
      <c r="L1438" s="5" t="str">
        <f aca="false">IF($K1438="","","R"&amp;$K1438)</f>
        <v/>
      </c>
    </row>
    <row r="1439" customFormat="false" ht="15" hidden="false" customHeight="true" outlineLevel="0" collapsed="false">
      <c r="J1439" s="14" t="b">
        <f aca="false">IF(중복검사!$A1437="",FALSE(),중복검사!$H1437="중복")</f>
        <v>0</v>
      </c>
      <c r="K1439" s="5" t="str">
        <f aca="false">IF($J1439=FALSE(),"",COUNTIF($J$6:$J1439,TRUE()))</f>
        <v/>
      </c>
      <c r="L1439" s="5" t="str">
        <f aca="false">IF($K1439="","","R"&amp;$K1439)</f>
        <v/>
      </c>
    </row>
    <row r="1440" customFormat="false" ht="15" hidden="false" customHeight="true" outlineLevel="0" collapsed="false">
      <c r="J1440" s="14" t="b">
        <f aca="false">IF(중복검사!$A1438="",FALSE(),중복검사!$H1438="중복")</f>
        <v>0</v>
      </c>
      <c r="K1440" s="5" t="str">
        <f aca="false">IF($J1440=FALSE(),"",COUNTIF($J$6:$J1440,TRUE()))</f>
        <v/>
      </c>
      <c r="L1440" s="5" t="str">
        <f aca="false">IF($K1440="","","R"&amp;$K1440)</f>
        <v/>
      </c>
    </row>
    <row r="1441" customFormat="false" ht="15" hidden="false" customHeight="true" outlineLevel="0" collapsed="false">
      <c r="J1441" s="14" t="b">
        <f aca="false">IF(중복검사!$A1439="",FALSE(),중복검사!$H1439="중복")</f>
        <v>0</v>
      </c>
      <c r="K1441" s="5" t="str">
        <f aca="false">IF($J1441=FALSE(),"",COUNTIF($J$6:$J1441,TRUE()))</f>
        <v/>
      </c>
      <c r="L1441" s="5" t="str">
        <f aca="false">IF($K1441="","","R"&amp;$K1441)</f>
        <v/>
      </c>
    </row>
    <row r="1442" customFormat="false" ht="15" hidden="false" customHeight="true" outlineLevel="0" collapsed="false">
      <c r="J1442" s="14" t="b">
        <f aca="false">IF(중복검사!$A1440="",FALSE(),중복검사!$H1440="중복")</f>
        <v>0</v>
      </c>
      <c r="K1442" s="5" t="str">
        <f aca="false">IF($J1442=FALSE(),"",COUNTIF($J$6:$J1442,TRUE()))</f>
        <v/>
      </c>
      <c r="L1442" s="5" t="str">
        <f aca="false">IF($K1442="","","R"&amp;$K1442)</f>
        <v/>
      </c>
    </row>
    <row r="1443" customFormat="false" ht="15" hidden="false" customHeight="true" outlineLevel="0" collapsed="false">
      <c r="J1443" s="14" t="b">
        <f aca="false">IF(중복검사!$A1441="",FALSE(),중복검사!$H1441="중복")</f>
        <v>0</v>
      </c>
      <c r="K1443" s="5" t="str">
        <f aca="false">IF($J1443=FALSE(),"",COUNTIF($J$6:$J1443,TRUE()))</f>
        <v/>
      </c>
      <c r="L1443" s="5" t="str">
        <f aca="false">IF($K1443="","","R"&amp;$K1443)</f>
        <v/>
      </c>
    </row>
    <row r="1444" customFormat="false" ht="15" hidden="false" customHeight="true" outlineLevel="0" collapsed="false">
      <c r="J1444" s="14" t="b">
        <f aca="false">IF(중복검사!$A1442="",FALSE(),중복검사!$H1442="중복")</f>
        <v>0</v>
      </c>
      <c r="K1444" s="5" t="str">
        <f aca="false">IF($J1444=FALSE(),"",COUNTIF($J$6:$J1444,TRUE()))</f>
        <v/>
      </c>
      <c r="L1444" s="5" t="str">
        <f aca="false">IF($K1444="","","R"&amp;$K1444)</f>
        <v/>
      </c>
    </row>
    <row r="1445" customFormat="false" ht="15" hidden="false" customHeight="true" outlineLevel="0" collapsed="false">
      <c r="J1445" s="14" t="b">
        <f aca="false">IF(중복검사!$A1443="",FALSE(),중복검사!$H1443="중복")</f>
        <v>0</v>
      </c>
      <c r="K1445" s="5" t="str">
        <f aca="false">IF($J1445=FALSE(),"",COUNTIF($J$6:$J1445,TRUE()))</f>
        <v/>
      </c>
      <c r="L1445" s="5" t="str">
        <f aca="false">IF($K1445="","","R"&amp;$K1445)</f>
        <v/>
      </c>
    </row>
    <row r="1446" customFormat="false" ht="15" hidden="false" customHeight="true" outlineLevel="0" collapsed="false">
      <c r="J1446" s="14" t="b">
        <f aca="false">IF(중복검사!$A1444="",FALSE(),중복검사!$H1444="중복")</f>
        <v>0</v>
      </c>
      <c r="K1446" s="5" t="str">
        <f aca="false">IF($J1446=FALSE(),"",COUNTIF($J$6:$J1446,TRUE()))</f>
        <v/>
      </c>
      <c r="L1446" s="5" t="str">
        <f aca="false">IF($K1446="","","R"&amp;$K1446)</f>
        <v/>
      </c>
    </row>
    <row r="1447" customFormat="false" ht="15" hidden="false" customHeight="true" outlineLevel="0" collapsed="false">
      <c r="J1447" s="14" t="b">
        <f aca="false">IF(중복검사!$A1445="",FALSE(),중복검사!$H1445="중복")</f>
        <v>0</v>
      </c>
      <c r="K1447" s="5" t="str">
        <f aca="false">IF($J1447=FALSE(),"",COUNTIF($J$6:$J1447,TRUE()))</f>
        <v/>
      </c>
      <c r="L1447" s="5" t="str">
        <f aca="false">IF($K1447="","","R"&amp;$K1447)</f>
        <v/>
      </c>
    </row>
    <row r="1448" customFormat="false" ht="15" hidden="false" customHeight="true" outlineLevel="0" collapsed="false">
      <c r="J1448" s="14" t="b">
        <f aca="false">IF(중복검사!$A1446="",FALSE(),중복검사!$H1446="중복")</f>
        <v>0</v>
      </c>
      <c r="K1448" s="5" t="str">
        <f aca="false">IF($J1448=FALSE(),"",COUNTIF($J$6:$J1448,TRUE()))</f>
        <v/>
      </c>
      <c r="L1448" s="5" t="str">
        <f aca="false">IF($K1448="","","R"&amp;$K1448)</f>
        <v/>
      </c>
    </row>
    <row r="1449" customFormat="false" ht="15" hidden="false" customHeight="true" outlineLevel="0" collapsed="false">
      <c r="J1449" s="14" t="b">
        <f aca="false">IF(중복검사!$A1447="",FALSE(),중복검사!$H1447="중복")</f>
        <v>0</v>
      </c>
      <c r="K1449" s="5" t="str">
        <f aca="false">IF($J1449=FALSE(),"",COUNTIF($J$6:$J1449,TRUE()))</f>
        <v/>
      </c>
      <c r="L1449" s="5" t="str">
        <f aca="false">IF($K1449="","","R"&amp;$K1449)</f>
        <v/>
      </c>
    </row>
    <row r="1450" customFormat="false" ht="15" hidden="false" customHeight="true" outlineLevel="0" collapsed="false">
      <c r="J1450" s="14" t="b">
        <f aca="false">IF(중복검사!$A1448="",FALSE(),중복검사!$H1448="중복")</f>
        <v>0</v>
      </c>
      <c r="K1450" s="5" t="str">
        <f aca="false">IF($J1450=FALSE(),"",COUNTIF($J$6:$J1450,TRUE()))</f>
        <v/>
      </c>
      <c r="L1450" s="5" t="str">
        <f aca="false">IF($K1450="","","R"&amp;$K1450)</f>
        <v/>
      </c>
    </row>
    <row r="1451" customFormat="false" ht="15" hidden="false" customHeight="true" outlineLevel="0" collapsed="false">
      <c r="J1451" s="14" t="b">
        <f aca="false">IF(중복검사!$A1449="",FALSE(),중복검사!$H1449="중복")</f>
        <v>0</v>
      </c>
      <c r="K1451" s="5" t="str">
        <f aca="false">IF($J1451=FALSE(),"",COUNTIF($J$6:$J1451,TRUE()))</f>
        <v/>
      </c>
      <c r="L1451" s="5" t="str">
        <f aca="false">IF($K1451="","","R"&amp;$K1451)</f>
        <v/>
      </c>
    </row>
    <row r="1452" customFormat="false" ht="15" hidden="false" customHeight="true" outlineLevel="0" collapsed="false">
      <c r="J1452" s="14" t="b">
        <f aca="false">IF(중복검사!$A1450="",FALSE(),중복검사!$H1450="중복")</f>
        <v>0</v>
      </c>
      <c r="K1452" s="5" t="str">
        <f aca="false">IF($J1452=FALSE(),"",COUNTIF($J$6:$J1452,TRUE()))</f>
        <v/>
      </c>
      <c r="L1452" s="5" t="str">
        <f aca="false">IF($K1452="","","R"&amp;$K1452)</f>
        <v/>
      </c>
    </row>
    <row r="1453" customFormat="false" ht="15" hidden="false" customHeight="true" outlineLevel="0" collapsed="false">
      <c r="J1453" s="14" t="b">
        <f aca="false">IF(중복검사!$A1451="",FALSE(),중복검사!$H1451="중복")</f>
        <v>0</v>
      </c>
      <c r="K1453" s="5" t="str">
        <f aca="false">IF($J1453=FALSE(),"",COUNTIF($J$6:$J1453,TRUE()))</f>
        <v/>
      </c>
      <c r="L1453" s="5" t="str">
        <f aca="false">IF($K1453="","","R"&amp;$K1453)</f>
        <v/>
      </c>
    </row>
    <row r="1454" customFormat="false" ht="15" hidden="false" customHeight="true" outlineLevel="0" collapsed="false">
      <c r="J1454" s="14" t="b">
        <f aca="false">IF(중복검사!$A1452="",FALSE(),중복검사!$H1452="중복")</f>
        <v>0</v>
      </c>
      <c r="K1454" s="5" t="str">
        <f aca="false">IF($J1454=FALSE(),"",COUNTIF($J$6:$J1454,TRUE()))</f>
        <v/>
      </c>
      <c r="L1454" s="5" t="str">
        <f aca="false">IF($K1454="","","R"&amp;$K1454)</f>
        <v/>
      </c>
    </row>
    <row r="1455" customFormat="false" ht="15" hidden="false" customHeight="true" outlineLevel="0" collapsed="false">
      <c r="J1455" s="14" t="b">
        <f aca="false">IF(중복검사!$A1453="",FALSE(),중복검사!$H1453="중복")</f>
        <v>0</v>
      </c>
      <c r="K1455" s="5" t="str">
        <f aca="false">IF($J1455=FALSE(),"",COUNTIF($J$6:$J1455,TRUE()))</f>
        <v/>
      </c>
      <c r="L1455" s="5" t="str">
        <f aca="false">IF($K1455="","","R"&amp;$K1455)</f>
        <v/>
      </c>
    </row>
    <row r="1456" customFormat="false" ht="15" hidden="false" customHeight="true" outlineLevel="0" collapsed="false">
      <c r="J1456" s="14" t="b">
        <f aca="false">IF(중복검사!$A1454="",FALSE(),중복검사!$H1454="중복")</f>
        <v>0</v>
      </c>
      <c r="K1456" s="5" t="str">
        <f aca="false">IF($J1456=FALSE(),"",COUNTIF($J$6:$J1456,TRUE()))</f>
        <v/>
      </c>
      <c r="L1456" s="5" t="str">
        <f aca="false">IF($K1456="","","R"&amp;$K1456)</f>
        <v/>
      </c>
    </row>
    <row r="1457" customFormat="false" ht="15" hidden="false" customHeight="true" outlineLevel="0" collapsed="false">
      <c r="J1457" s="14" t="b">
        <f aca="false">IF(중복검사!$A1455="",FALSE(),중복검사!$H1455="중복")</f>
        <v>0</v>
      </c>
      <c r="K1457" s="5" t="str">
        <f aca="false">IF($J1457=FALSE(),"",COUNTIF($J$6:$J1457,TRUE()))</f>
        <v/>
      </c>
      <c r="L1457" s="5" t="str">
        <f aca="false">IF($K1457="","","R"&amp;$K1457)</f>
        <v/>
      </c>
    </row>
    <row r="1458" customFormat="false" ht="15" hidden="false" customHeight="true" outlineLevel="0" collapsed="false">
      <c r="J1458" s="14" t="b">
        <f aca="false">IF(중복검사!$A1456="",FALSE(),중복검사!$H1456="중복")</f>
        <v>0</v>
      </c>
      <c r="K1458" s="5" t="str">
        <f aca="false">IF($J1458=FALSE(),"",COUNTIF($J$6:$J1458,TRUE()))</f>
        <v/>
      </c>
      <c r="L1458" s="5" t="str">
        <f aca="false">IF($K1458="","","R"&amp;$K1458)</f>
        <v/>
      </c>
    </row>
    <row r="1459" customFormat="false" ht="15" hidden="false" customHeight="true" outlineLevel="0" collapsed="false">
      <c r="J1459" s="14" t="b">
        <f aca="false">IF(중복검사!$A1457="",FALSE(),중복검사!$H1457="중복")</f>
        <v>0</v>
      </c>
      <c r="K1459" s="5" t="str">
        <f aca="false">IF($J1459=FALSE(),"",COUNTIF($J$6:$J1459,TRUE()))</f>
        <v/>
      </c>
      <c r="L1459" s="5" t="str">
        <f aca="false">IF($K1459="","","R"&amp;$K1459)</f>
        <v/>
      </c>
    </row>
    <row r="1460" customFormat="false" ht="15" hidden="false" customHeight="true" outlineLevel="0" collapsed="false">
      <c r="J1460" s="14" t="b">
        <f aca="false">IF(중복검사!$A1458="",FALSE(),중복검사!$H1458="중복")</f>
        <v>0</v>
      </c>
      <c r="K1460" s="5" t="str">
        <f aca="false">IF($J1460=FALSE(),"",COUNTIF($J$6:$J1460,TRUE()))</f>
        <v/>
      </c>
      <c r="L1460" s="5" t="str">
        <f aca="false">IF($K1460="","","R"&amp;$K1460)</f>
        <v/>
      </c>
    </row>
    <row r="1461" customFormat="false" ht="15" hidden="false" customHeight="true" outlineLevel="0" collapsed="false">
      <c r="J1461" s="14" t="b">
        <f aca="false">IF(중복검사!$A1459="",FALSE(),중복검사!$H1459="중복")</f>
        <v>0</v>
      </c>
      <c r="K1461" s="5" t="str">
        <f aca="false">IF($J1461=FALSE(),"",COUNTIF($J$6:$J1461,TRUE()))</f>
        <v/>
      </c>
      <c r="L1461" s="5" t="str">
        <f aca="false">IF($K1461="","","R"&amp;$K1461)</f>
        <v/>
      </c>
    </row>
    <row r="1462" customFormat="false" ht="15" hidden="false" customHeight="true" outlineLevel="0" collapsed="false">
      <c r="J1462" s="14" t="b">
        <f aca="false">IF(중복검사!$A1460="",FALSE(),중복검사!$H1460="중복")</f>
        <v>0</v>
      </c>
      <c r="K1462" s="5" t="str">
        <f aca="false">IF($J1462=FALSE(),"",COUNTIF($J$6:$J1462,TRUE()))</f>
        <v/>
      </c>
      <c r="L1462" s="5" t="str">
        <f aca="false">IF($K1462="","","R"&amp;$K1462)</f>
        <v/>
      </c>
    </row>
    <row r="1463" customFormat="false" ht="15" hidden="false" customHeight="true" outlineLevel="0" collapsed="false">
      <c r="J1463" s="14" t="b">
        <f aca="false">IF(중복검사!$A1461="",FALSE(),중복검사!$H1461="중복")</f>
        <v>0</v>
      </c>
      <c r="K1463" s="5" t="str">
        <f aca="false">IF($J1463=FALSE(),"",COUNTIF($J$6:$J1463,TRUE()))</f>
        <v/>
      </c>
      <c r="L1463" s="5" t="str">
        <f aca="false">IF($K1463="","","R"&amp;$K1463)</f>
        <v/>
      </c>
    </row>
    <row r="1464" customFormat="false" ht="15" hidden="false" customHeight="true" outlineLevel="0" collapsed="false">
      <c r="J1464" s="14" t="b">
        <f aca="false">IF(중복검사!$A1462="",FALSE(),중복검사!$H1462="중복")</f>
        <v>0</v>
      </c>
      <c r="K1464" s="5" t="str">
        <f aca="false">IF($J1464=FALSE(),"",COUNTIF($J$6:$J1464,TRUE()))</f>
        <v/>
      </c>
      <c r="L1464" s="5" t="str">
        <f aca="false">IF($K1464="","","R"&amp;$K1464)</f>
        <v/>
      </c>
    </row>
    <row r="1465" customFormat="false" ht="15" hidden="false" customHeight="true" outlineLevel="0" collapsed="false">
      <c r="J1465" s="14" t="b">
        <f aca="false">IF(중복검사!$A1463="",FALSE(),중복검사!$H1463="중복")</f>
        <v>0</v>
      </c>
      <c r="K1465" s="5" t="str">
        <f aca="false">IF($J1465=FALSE(),"",COUNTIF($J$6:$J1465,TRUE()))</f>
        <v/>
      </c>
      <c r="L1465" s="5" t="str">
        <f aca="false">IF($K1465="","","R"&amp;$K1465)</f>
        <v/>
      </c>
    </row>
    <row r="1466" customFormat="false" ht="15" hidden="false" customHeight="true" outlineLevel="0" collapsed="false">
      <c r="J1466" s="14" t="b">
        <f aca="false">IF(중복검사!$A1464="",FALSE(),중복검사!$H1464="중복")</f>
        <v>0</v>
      </c>
      <c r="K1466" s="5" t="str">
        <f aca="false">IF($J1466=FALSE(),"",COUNTIF($J$6:$J1466,TRUE()))</f>
        <v/>
      </c>
      <c r="L1466" s="5" t="str">
        <f aca="false">IF($K1466="","","R"&amp;$K1466)</f>
        <v/>
      </c>
    </row>
    <row r="1467" customFormat="false" ht="15" hidden="false" customHeight="true" outlineLevel="0" collapsed="false">
      <c r="J1467" s="14" t="b">
        <f aca="false">IF(중복검사!$A1465="",FALSE(),중복검사!$H1465="중복")</f>
        <v>0</v>
      </c>
      <c r="K1467" s="5" t="str">
        <f aca="false">IF($J1467=FALSE(),"",COUNTIF($J$6:$J1467,TRUE()))</f>
        <v/>
      </c>
      <c r="L1467" s="5" t="str">
        <f aca="false">IF($K1467="","","R"&amp;$K1467)</f>
        <v/>
      </c>
    </row>
    <row r="1468" customFormat="false" ht="15" hidden="false" customHeight="true" outlineLevel="0" collapsed="false">
      <c r="J1468" s="14" t="b">
        <f aca="false">IF(중복검사!$A1466="",FALSE(),중복검사!$H1466="중복")</f>
        <v>0</v>
      </c>
      <c r="K1468" s="5" t="str">
        <f aca="false">IF($J1468=FALSE(),"",COUNTIF($J$6:$J1468,TRUE()))</f>
        <v/>
      </c>
      <c r="L1468" s="5" t="str">
        <f aca="false">IF($K1468="","","R"&amp;$K1468)</f>
        <v/>
      </c>
    </row>
    <row r="1469" customFormat="false" ht="15" hidden="false" customHeight="true" outlineLevel="0" collapsed="false">
      <c r="J1469" s="14" t="b">
        <f aca="false">IF(중복검사!$A1467="",FALSE(),중복검사!$H1467="중복")</f>
        <v>0</v>
      </c>
      <c r="K1469" s="5" t="str">
        <f aca="false">IF($J1469=FALSE(),"",COUNTIF($J$6:$J1469,TRUE()))</f>
        <v/>
      </c>
      <c r="L1469" s="5" t="str">
        <f aca="false">IF($K1469="","","R"&amp;$K1469)</f>
        <v/>
      </c>
    </row>
    <row r="1470" customFormat="false" ht="15" hidden="false" customHeight="true" outlineLevel="0" collapsed="false">
      <c r="J1470" s="14" t="b">
        <f aca="false">IF(중복검사!$A1468="",FALSE(),중복검사!$H1468="중복")</f>
        <v>0</v>
      </c>
      <c r="K1470" s="5" t="str">
        <f aca="false">IF($J1470=FALSE(),"",COUNTIF($J$6:$J1470,TRUE()))</f>
        <v/>
      </c>
      <c r="L1470" s="5" t="str">
        <f aca="false">IF($K1470="","","R"&amp;$K1470)</f>
        <v/>
      </c>
    </row>
    <row r="1471" customFormat="false" ht="15" hidden="false" customHeight="true" outlineLevel="0" collapsed="false">
      <c r="J1471" s="14" t="b">
        <f aca="false">IF(중복검사!$A1469="",FALSE(),중복검사!$H1469="중복")</f>
        <v>0</v>
      </c>
      <c r="K1471" s="5" t="str">
        <f aca="false">IF($J1471=FALSE(),"",COUNTIF($J$6:$J1471,TRUE()))</f>
        <v/>
      </c>
      <c r="L1471" s="5" t="str">
        <f aca="false">IF($K1471="","","R"&amp;$K1471)</f>
        <v/>
      </c>
    </row>
    <row r="1472" customFormat="false" ht="15" hidden="false" customHeight="true" outlineLevel="0" collapsed="false">
      <c r="J1472" s="14" t="b">
        <f aca="false">IF(중복검사!$A1470="",FALSE(),중복검사!$H1470="중복")</f>
        <v>0</v>
      </c>
      <c r="K1472" s="5" t="str">
        <f aca="false">IF($J1472=FALSE(),"",COUNTIF($J$6:$J1472,TRUE()))</f>
        <v/>
      </c>
      <c r="L1472" s="5" t="str">
        <f aca="false">IF($K1472="","","R"&amp;$K1472)</f>
        <v/>
      </c>
    </row>
    <row r="1473" customFormat="false" ht="15" hidden="false" customHeight="true" outlineLevel="0" collapsed="false">
      <c r="J1473" s="14" t="b">
        <f aca="false">IF(중복검사!$A1471="",FALSE(),중복검사!$H1471="중복")</f>
        <v>0</v>
      </c>
      <c r="K1473" s="5" t="str">
        <f aca="false">IF($J1473=FALSE(),"",COUNTIF($J$6:$J1473,TRUE()))</f>
        <v/>
      </c>
      <c r="L1473" s="5" t="str">
        <f aca="false">IF($K1473="","","R"&amp;$K1473)</f>
        <v/>
      </c>
    </row>
    <row r="1474" customFormat="false" ht="15" hidden="false" customHeight="true" outlineLevel="0" collapsed="false">
      <c r="J1474" s="14" t="b">
        <f aca="false">IF(중복검사!$A1472="",FALSE(),중복검사!$H1472="중복")</f>
        <v>0</v>
      </c>
      <c r="K1474" s="5" t="str">
        <f aca="false">IF($J1474=FALSE(),"",COUNTIF($J$6:$J1474,TRUE()))</f>
        <v/>
      </c>
      <c r="L1474" s="5" t="str">
        <f aca="false">IF($K1474="","","R"&amp;$K1474)</f>
        <v/>
      </c>
    </row>
    <row r="1475" customFormat="false" ht="15" hidden="false" customHeight="true" outlineLevel="0" collapsed="false">
      <c r="J1475" s="14" t="b">
        <f aca="false">IF(중복검사!$A1473="",FALSE(),중복검사!$H1473="중복")</f>
        <v>0</v>
      </c>
      <c r="K1475" s="5" t="str">
        <f aca="false">IF($J1475=FALSE(),"",COUNTIF($J$6:$J1475,TRUE()))</f>
        <v/>
      </c>
      <c r="L1475" s="5" t="str">
        <f aca="false">IF($K1475="","","R"&amp;$K1475)</f>
        <v/>
      </c>
    </row>
    <row r="1476" customFormat="false" ht="15" hidden="false" customHeight="true" outlineLevel="0" collapsed="false">
      <c r="J1476" s="14" t="b">
        <f aca="false">IF(중복검사!$A1474="",FALSE(),중복검사!$H1474="중복")</f>
        <v>0</v>
      </c>
      <c r="K1476" s="5" t="str">
        <f aca="false">IF($J1476=FALSE(),"",COUNTIF($J$6:$J1476,TRUE()))</f>
        <v/>
      </c>
      <c r="L1476" s="5" t="str">
        <f aca="false">IF($K1476="","","R"&amp;$K1476)</f>
        <v/>
      </c>
    </row>
    <row r="1477" customFormat="false" ht="15" hidden="false" customHeight="true" outlineLevel="0" collapsed="false">
      <c r="J1477" s="14" t="b">
        <f aca="false">IF(중복검사!$A1475="",FALSE(),중복검사!$H1475="중복")</f>
        <v>0</v>
      </c>
      <c r="K1477" s="5" t="str">
        <f aca="false">IF($J1477=FALSE(),"",COUNTIF($J$6:$J1477,TRUE()))</f>
        <v/>
      </c>
      <c r="L1477" s="5" t="str">
        <f aca="false">IF($K1477="","","R"&amp;$K1477)</f>
        <v/>
      </c>
    </row>
    <row r="1478" customFormat="false" ht="15" hidden="false" customHeight="true" outlineLevel="0" collapsed="false">
      <c r="J1478" s="14" t="b">
        <f aca="false">IF(중복검사!$A1476="",FALSE(),중복검사!$H1476="중복")</f>
        <v>0</v>
      </c>
      <c r="K1478" s="5" t="str">
        <f aca="false">IF($J1478=FALSE(),"",COUNTIF($J$6:$J1478,TRUE()))</f>
        <v/>
      </c>
      <c r="L1478" s="5" t="str">
        <f aca="false">IF($K1478="","","R"&amp;$K1478)</f>
        <v/>
      </c>
    </row>
    <row r="1479" customFormat="false" ht="15" hidden="false" customHeight="true" outlineLevel="0" collapsed="false">
      <c r="J1479" s="14" t="b">
        <f aca="false">IF(중복검사!$A1477="",FALSE(),중복검사!$H1477="중복")</f>
        <v>0</v>
      </c>
      <c r="K1479" s="5" t="str">
        <f aca="false">IF($J1479=FALSE(),"",COUNTIF($J$6:$J1479,TRUE()))</f>
        <v/>
      </c>
      <c r="L1479" s="5" t="str">
        <f aca="false">IF($K1479="","","R"&amp;$K1479)</f>
        <v/>
      </c>
    </row>
    <row r="1480" customFormat="false" ht="15" hidden="false" customHeight="true" outlineLevel="0" collapsed="false">
      <c r="J1480" s="14" t="b">
        <f aca="false">IF(중복검사!$A1478="",FALSE(),중복검사!$H1478="중복")</f>
        <v>0</v>
      </c>
      <c r="K1480" s="5" t="str">
        <f aca="false">IF($J1480=FALSE(),"",COUNTIF($J$6:$J1480,TRUE()))</f>
        <v/>
      </c>
      <c r="L1480" s="5" t="str">
        <f aca="false">IF($K1480="","","R"&amp;$K1480)</f>
        <v/>
      </c>
    </row>
    <row r="1481" customFormat="false" ht="15" hidden="false" customHeight="true" outlineLevel="0" collapsed="false">
      <c r="J1481" s="14" t="b">
        <f aca="false">IF(중복검사!$A1479="",FALSE(),중복검사!$H1479="중복")</f>
        <v>0</v>
      </c>
      <c r="K1481" s="5" t="str">
        <f aca="false">IF($J1481=FALSE(),"",COUNTIF($J$6:$J1481,TRUE()))</f>
        <v/>
      </c>
      <c r="L1481" s="5" t="str">
        <f aca="false">IF($K1481="","","R"&amp;$K1481)</f>
        <v/>
      </c>
    </row>
    <row r="1482" customFormat="false" ht="15" hidden="false" customHeight="true" outlineLevel="0" collapsed="false">
      <c r="J1482" s="14" t="b">
        <f aca="false">IF(중복검사!$A1480="",FALSE(),중복검사!$H1480="중복")</f>
        <v>0</v>
      </c>
      <c r="K1482" s="5" t="str">
        <f aca="false">IF($J1482=FALSE(),"",COUNTIF($J$6:$J1482,TRUE()))</f>
        <v/>
      </c>
      <c r="L1482" s="5" t="str">
        <f aca="false">IF($K1482="","","R"&amp;$K1482)</f>
        <v/>
      </c>
    </row>
    <row r="1483" customFormat="false" ht="15" hidden="false" customHeight="true" outlineLevel="0" collapsed="false">
      <c r="J1483" s="14" t="b">
        <f aca="false">IF(중복검사!$A1481="",FALSE(),중복검사!$H1481="중복")</f>
        <v>0</v>
      </c>
      <c r="K1483" s="5" t="str">
        <f aca="false">IF($J1483=FALSE(),"",COUNTIF($J$6:$J1483,TRUE()))</f>
        <v/>
      </c>
      <c r="L1483" s="5" t="str">
        <f aca="false">IF($K1483="","","R"&amp;$K1483)</f>
        <v/>
      </c>
    </row>
    <row r="1484" customFormat="false" ht="15" hidden="false" customHeight="true" outlineLevel="0" collapsed="false">
      <c r="J1484" s="14" t="b">
        <f aca="false">IF(중복검사!$A1482="",FALSE(),중복검사!$H1482="중복")</f>
        <v>0</v>
      </c>
      <c r="K1484" s="5" t="str">
        <f aca="false">IF($J1484=FALSE(),"",COUNTIF($J$6:$J1484,TRUE()))</f>
        <v/>
      </c>
      <c r="L1484" s="5" t="str">
        <f aca="false">IF($K1484="","","R"&amp;$K1484)</f>
        <v/>
      </c>
    </row>
    <row r="1485" customFormat="false" ht="15" hidden="false" customHeight="true" outlineLevel="0" collapsed="false">
      <c r="J1485" s="14" t="b">
        <f aca="false">IF(중복검사!$A1483="",FALSE(),중복검사!$H1483="중복")</f>
        <v>0</v>
      </c>
      <c r="K1485" s="5" t="str">
        <f aca="false">IF($J1485=FALSE(),"",COUNTIF($J$6:$J1485,TRUE()))</f>
        <v/>
      </c>
      <c r="L1485" s="5" t="str">
        <f aca="false">IF($K1485="","","R"&amp;$K1485)</f>
        <v/>
      </c>
    </row>
    <row r="1486" customFormat="false" ht="15" hidden="false" customHeight="true" outlineLevel="0" collapsed="false">
      <c r="J1486" s="14" t="b">
        <f aca="false">IF(중복검사!$A1484="",FALSE(),중복검사!$H1484="중복")</f>
        <v>0</v>
      </c>
      <c r="K1486" s="5" t="str">
        <f aca="false">IF($J1486=FALSE(),"",COUNTIF($J$6:$J1486,TRUE()))</f>
        <v/>
      </c>
      <c r="L1486" s="5" t="str">
        <f aca="false">IF($K1486="","","R"&amp;$K1486)</f>
        <v/>
      </c>
    </row>
    <row r="1487" customFormat="false" ht="15" hidden="false" customHeight="true" outlineLevel="0" collapsed="false">
      <c r="J1487" s="14" t="b">
        <f aca="false">IF(중복검사!$A1485="",FALSE(),중복검사!$H1485="중복")</f>
        <v>0</v>
      </c>
      <c r="K1487" s="5" t="str">
        <f aca="false">IF($J1487=FALSE(),"",COUNTIF($J$6:$J1487,TRUE()))</f>
        <v/>
      </c>
      <c r="L1487" s="5" t="str">
        <f aca="false">IF($K1487="","","R"&amp;$K1487)</f>
        <v/>
      </c>
    </row>
    <row r="1488" customFormat="false" ht="15" hidden="false" customHeight="true" outlineLevel="0" collapsed="false">
      <c r="J1488" s="14" t="b">
        <f aca="false">IF(중복검사!$A1486="",FALSE(),중복검사!$H1486="중복")</f>
        <v>0</v>
      </c>
      <c r="K1488" s="5" t="str">
        <f aca="false">IF($J1488=FALSE(),"",COUNTIF($J$6:$J1488,TRUE()))</f>
        <v/>
      </c>
      <c r="L1488" s="5" t="str">
        <f aca="false">IF($K1488="","","R"&amp;$K1488)</f>
        <v/>
      </c>
    </row>
    <row r="1489" customFormat="false" ht="15" hidden="false" customHeight="true" outlineLevel="0" collapsed="false">
      <c r="J1489" s="14" t="b">
        <f aca="false">IF(중복검사!$A1487="",FALSE(),중복검사!$H1487="중복")</f>
        <v>0</v>
      </c>
      <c r="K1489" s="5" t="str">
        <f aca="false">IF($J1489=FALSE(),"",COUNTIF($J$6:$J1489,TRUE()))</f>
        <v/>
      </c>
      <c r="L1489" s="5" t="str">
        <f aca="false">IF($K1489="","","R"&amp;$K1489)</f>
        <v/>
      </c>
    </row>
    <row r="1490" customFormat="false" ht="15" hidden="false" customHeight="true" outlineLevel="0" collapsed="false">
      <c r="J1490" s="14" t="b">
        <f aca="false">IF(중복검사!$A1488="",FALSE(),중복검사!$H1488="중복")</f>
        <v>0</v>
      </c>
      <c r="K1490" s="5" t="str">
        <f aca="false">IF($J1490=FALSE(),"",COUNTIF($J$6:$J1490,TRUE()))</f>
        <v/>
      </c>
      <c r="L1490" s="5" t="str">
        <f aca="false">IF($K1490="","","R"&amp;$K1490)</f>
        <v/>
      </c>
    </row>
    <row r="1491" customFormat="false" ht="15" hidden="false" customHeight="true" outlineLevel="0" collapsed="false">
      <c r="J1491" s="14" t="b">
        <f aca="false">IF(중복검사!$A1489="",FALSE(),중복검사!$H1489="중복")</f>
        <v>0</v>
      </c>
      <c r="K1491" s="5" t="str">
        <f aca="false">IF($J1491=FALSE(),"",COUNTIF($J$6:$J1491,TRUE()))</f>
        <v/>
      </c>
      <c r="L1491" s="5" t="str">
        <f aca="false">IF($K1491="","","R"&amp;$K1491)</f>
        <v/>
      </c>
    </row>
    <row r="1492" customFormat="false" ht="15" hidden="false" customHeight="true" outlineLevel="0" collapsed="false">
      <c r="J1492" s="14" t="b">
        <f aca="false">IF(중복검사!$A1490="",FALSE(),중복검사!$H1490="중복")</f>
        <v>0</v>
      </c>
      <c r="K1492" s="5" t="str">
        <f aca="false">IF($J1492=FALSE(),"",COUNTIF($J$6:$J1492,TRUE()))</f>
        <v/>
      </c>
      <c r="L1492" s="5" t="str">
        <f aca="false">IF($K1492="","","R"&amp;$K1492)</f>
        <v/>
      </c>
    </row>
    <row r="1493" customFormat="false" ht="15" hidden="false" customHeight="true" outlineLevel="0" collapsed="false">
      <c r="J1493" s="14" t="b">
        <f aca="false">IF(중복검사!$A1491="",FALSE(),중복검사!$H1491="중복")</f>
        <v>0</v>
      </c>
      <c r="K1493" s="5" t="str">
        <f aca="false">IF($J1493=FALSE(),"",COUNTIF($J$6:$J1493,TRUE()))</f>
        <v/>
      </c>
      <c r="L1493" s="5" t="str">
        <f aca="false">IF($K1493="","","R"&amp;$K1493)</f>
        <v/>
      </c>
    </row>
    <row r="1494" customFormat="false" ht="15" hidden="false" customHeight="true" outlineLevel="0" collapsed="false">
      <c r="J1494" s="14" t="b">
        <f aca="false">IF(중복검사!$A1492="",FALSE(),중복검사!$H1492="중복")</f>
        <v>0</v>
      </c>
      <c r="K1494" s="5" t="str">
        <f aca="false">IF($J1494=FALSE(),"",COUNTIF($J$6:$J1494,TRUE()))</f>
        <v/>
      </c>
      <c r="L1494" s="5" t="str">
        <f aca="false">IF($K1494="","","R"&amp;$K1494)</f>
        <v/>
      </c>
    </row>
    <row r="1495" customFormat="false" ht="15" hidden="false" customHeight="true" outlineLevel="0" collapsed="false">
      <c r="J1495" s="14" t="b">
        <f aca="false">IF(중복검사!$A1493="",FALSE(),중복검사!$H1493="중복")</f>
        <v>0</v>
      </c>
      <c r="K1495" s="5" t="str">
        <f aca="false">IF($J1495=FALSE(),"",COUNTIF($J$6:$J1495,TRUE()))</f>
        <v/>
      </c>
      <c r="L1495" s="5" t="str">
        <f aca="false">IF($K1495="","","R"&amp;$K1495)</f>
        <v/>
      </c>
    </row>
    <row r="1496" customFormat="false" ht="15" hidden="false" customHeight="true" outlineLevel="0" collapsed="false">
      <c r="J1496" s="14" t="b">
        <f aca="false">IF(중복검사!$A1494="",FALSE(),중복검사!$H1494="중복")</f>
        <v>0</v>
      </c>
      <c r="K1496" s="5" t="str">
        <f aca="false">IF($J1496=FALSE(),"",COUNTIF($J$6:$J1496,TRUE()))</f>
        <v/>
      </c>
      <c r="L1496" s="5" t="str">
        <f aca="false">IF($K1496="","","R"&amp;$K1496)</f>
        <v/>
      </c>
    </row>
    <row r="1497" customFormat="false" ht="15" hidden="false" customHeight="true" outlineLevel="0" collapsed="false">
      <c r="J1497" s="14" t="b">
        <f aca="false">IF(중복검사!$A1495="",FALSE(),중복검사!$H1495="중복")</f>
        <v>0</v>
      </c>
      <c r="K1497" s="5" t="str">
        <f aca="false">IF($J1497=FALSE(),"",COUNTIF($J$6:$J1497,TRUE()))</f>
        <v/>
      </c>
      <c r="L1497" s="5" t="str">
        <f aca="false">IF($K1497="","","R"&amp;$K1497)</f>
        <v/>
      </c>
    </row>
    <row r="1498" customFormat="false" ht="15" hidden="false" customHeight="true" outlineLevel="0" collapsed="false">
      <c r="J1498" s="14" t="b">
        <f aca="false">IF(중복검사!$A1496="",FALSE(),중복검사!$H1496="중복")</f>
        <v>0</v>
      </c>
      <c r="K1498" s="5" t="str">
        <f aca="false">IF($J1498=FALSE(),"",COUNTIF($J$6:$J1498,TRUE()))</f>
        <v/>
      </c>
      <c r="L1498" s="5" t="str">
        <f aca="false">IF($K1498="","","R"&amp;$K1498)</f>
        <v/>
      </c>
    </row>
    <row r="1499" customFormat="false" ht="15" hidden="false" customHeight="true" outlineLevel="0" collapsed="false">
      <c r="J1499" s="14" t="b">
        <f aca="false">IF(중복검사!$A1497="",FALSE(),중복검사!$H1497="중복")</f>
        <v>0</v>
      </c>
      <c r="K1499" s="5" t="str">
        <f aca="false">IF($J1499=FALSE(),"",COUNTIF($J$6:$J1499,TRUE()))</f>
        <v/>
      </c>
      <c r="L1499" s="5" t="str">
        <f aca="false">IF($K1499="","","R"&amp;$K1499)</f>
        <v/>
      </c>
    </row>
    <row r="1500" customFormat="false" ht="15" hidden="false" customHeight="true" outlineLevel="0" collapsed="false">
      <c r="J1500" s="14" t="b">
        <f aca="false">IF(중복검사!$A1498="",FALSE(),중복검사!$H1498="중복")</f>
        <v>0</v>
      </c>
      <c r="K1500" s="5" t="str">
        <f aca="false">IF($J1500=FALSE(),"",COUNTIF($J$6:$J1500,TRUE()))</f>
        <v/>
      </c>
      <c r="L1500" s="5" t="str">
        <f aca="false">IF($K1500="","","R"&amp;$K1500)</f>
        <v/>
      </c>
    </row>
    <row r="1501" customFormat="false" ht="15" hidden="false" customHeight="true" outlineLevel="0" collapsed="false">
      <c r="J1501" s="14" t="b">
        <f aca="false">IF(중복검사!$A1499="",FALSE(),중복검사!$H1499="중복")</f>
        <v>0</v>
      </c>
      <c r="K1501" s="5" t="str">
        <f aca="false">IF($J1501=FALSE(),"",COUNTIF($J$6:$J1501,TRUE()))</f>
        <v/>
      </c>
      <c r="L1501" s="5" t="str">
        <f aca="false">IF($K1501="","","R"&amp;$K1501)</f>
        <v/>
      </c>
    </row>
    <row r="1502" customFormat="false" ht="15" hidden="false" customHeight="true" outlineLevel="0" collapsed="false">
      <c r="J1502" s="14" t="b">
        <f aca="false">IF(중복검사!$A1500="",FALSE(),중복검사!$H1500="중복")</f>
        <v>0</v>
      </c>
      <c r="K1502" s="5" t="str">
        <f aca="false">IF($J1502=FALSE(),"",COUNTIF($J$6:$J1502,TRUE()))</f>
        <v/>
      </c>
      <c r="L1502" s="5" t="str">
        <f aca="false">IF($K1502="","","R"&amp;$K1502)</f>
        <v/>
      </c>
    </row>
    <row r="1503" customFormat="false" ht="15" hidden="false" customHeight="true" outlineLevel="0" collapsed="false">
      <c r="J1503" s="14" t="b">
        <f aca="false">IF(중복검사!$A1501="",FALSE(),중복검사!$H1501="중복")</f>
        <v>0</v>
      </c>
      <c r="K1503" s="5" t="str">
        <f aca="false">IF($J1503=FALSE(),"",COUNTIF($J$6:$J1503,TRUE()))</f>
        <v/>
      </c>
      <c r="L1503" s="5" t="str">
        <f aca="false">IF($K1503="","","R"&amp;$K1503)</f>
        <v/>
      </c>
    </row>
    <row r="1504" customFormat="false" ht="15" hidden="false" customHeight="true" outlineLevel="0" collapsed="false">
      <c r="J1504" s="14" t="b">
        <f aca="false">IF(중복검사!$A1502="",FALSE(),중복검사!$H1502="중복")</f>
        <v>0</v>
      </c>
      <c r="K1504" s="5" t="str">
        <f aca="false">IF($J1504=FALSE(),"",COUNTIF($J$6:$J1504,TRUE()))</f>
        <v/>
      </c>
      <c r="L1504" s="5" t="str">
        <f aca="false">IF($K1504="","","R"&amp;$K1504)</f>
        <v/>
      </c>
    </row>
    <row r="1505" customFormat="false" ht="15" hidden="false" customHeight="true" outlineLevel="0" collapsed="false">
      <c r="J1505" s="14" t="b">
        <f aca="false">IF(중복검사!$A1503="",FALSE(),중복검사!$H1503="중복")</f>
        <v>0</v>
      </c>
      <c r="K1505" s="5" t="str">
        <f aca="false">IF($J1505=FALSE(),"",COUNTIF($J$6:$J1505,TRUE()))</f>
        <v/>
      </c>
      <c r="L1505" s="5" t="str">
        <f aca="false">IF($K1505="","","R"&amp;$K1505)</f>
        <v/>
      </c>
    </row>
    <row r="1506" customFormat="false" ht="15" hidden="false" customHeight="true" outlineLevel="0" collapsed="false">
      <c r="J1506" s="14" t="b">
        <f aca="false">IF(중복검사!$A1504="",FALSE(),중복검사!$H1504="중복")</f>
        <v>0</v>
      </c>
      <c r="K1506" s="5" t="str">
        <f aca="false">IF($J1506=FALSE(),"",COUNTIF($J$6:$J1506,TRUE()))</f>
        <v/>
      </c>
      <c r="L1506" s="5" t="str">
        <f aca="false">IF($K1506="","","R"&amp;$K1506)</f>
        <v/>
      </c>
    </row>
    <row r="1507" customFormat="false" ht="15" hidden="false" customHeight="true" outlineLevel="0" collapsed="false">
      <c r="J1507" s="14" t="b">
        <f aca="false">IF(중복검사!$A1505="",FALSE(),중복검사!$H1505="중복")</f>
        <v>0</v>
      </c>
      <c r="K1507" s="5" t="str">
        <f aca="false">IF($J1507=FALSE(),"",COUNTIF($J$6:$J1507,TRUE()))</f>
        <v/>
      </c>
      <c r="L1507" s="5" t="str">
        <f aca="false">IF($K1507="","","R"&amp;$K1507)</f>
        <v/>
      </c>
    </row>
    <row r="1508" customFormat="false" ht="15" hidden="false" customHeight="true" outlineLevel="0" collapsed="false">
      <c r="J1508" s="14" t="b">
        <f aca="false">IF(중복검사!$A1506="",FALSE(),중복검사!$H1506="중복")</f>
        <v>0</v>
      </c>
      <c r="K1508" s="5" t="str">
        <f aca="false">IF($J1508=FALSE(),"",COUNTIF($J$6:$J1508,TRUE()))</f>
        <v/>
      </c>
      <c r="L1508" s="5" t="str">
        <f aca="false">IF($K1508="","","R"&amp;$K1508)</f>
        <v/>
      </c>
    </row>
    <row r="1509" customFormat="false" ht="15" hidden="false" customHeight="true" outlineLevel="0" collapsed="false">
      <c r="J1509" s="14" t="b">
        <f aca="false">IF(중복검사!$A1507="",FALSE(),중복검사!$H1507="중복")</f>
        <v>0</v>
      </c>
      <c r="K1509" s="5" t="str">
        <f aca="false">IF($J1509=FALSE(),"",COUNTIF($J$6:$J1509,TRUE()))</f>
        <v/>
      </c>
      <c r="L1509" s="5" t="str">
        <f aca="false">IF($K1509="","","R"&amp;$K1509)</f>
        <v/>
      </c>
    </row>
    <row r="1510" customFormat="false" ht="15" hidden="false" customHeight="true" outlineLevel="0" collapsed="false">
      <c r="J1510" s="14" t="b">
        <f aca="false">IF(중복검사!$A1508="",FALSE(),중복검사!$H1508="중복")</f>
        <v>0</v>
      </c>
      <c r="K1510" s="5" t="str">
        <f aca="false">IF($J1510=FALSE(),"",COUNTIF($J$6:$J1510,TRUE()))</f>
        <v/>
      </c>
      <c r="L1510" s="5" t="str">
        <f aca="false">IF($K1510="","","R"&amp;$K1510)</f>
        <v/>
      </c>
    </row>
    <row r="1511" customFormat="false" ht="15" hidden="false" customHeight="true" outlineLevel="0" collapsed="false">
      <c r="J1511" s="14" t="b">
        <f aca="false">IF(중복검사!$A1509="",FALSE(),중복검사!$H1509="중복")</f>
        <v>0</v>
      </c>
      <c r="K1511" s="5" t="str">
        <f aca="false">IF($J1511=FALSE(),"",COUNTIF($J$6:$J1511,TRUE()))</f>
        <v/>
      </c>
      <c r="L1511" s="5" t="str">
        <f aca="false">IF($K1511="","","R"&amp;$K1511)</f>
        <v/>
      </c>
    </row>
    <row r="1512" customFormat="false" ht="15" hidden="false" customHeight="true" outlineLevel="0" collapsed="false">
      <c r="J1512" s="14" t="b">
        <f aca="false">IF(중복검사!$A1510="",FALSE(),중복검사!$H1510="중복")</f>
        <v>0</v>
      </c>
      <c r="K1512" s="5" t="str">
        <f aca="false">IF($J1512=FALSE(),"",COUNTIF($J$6:$J1512,TRUE()))</f>
        <v/>
      </c>
      <c r="L1512" s="5" t="str">
        <f aca="false">IF($K1512="","","R"&amp;$K1512)</f>
        <v/>
      </c>
    </row>
    <row r="1513" customFormat="false" ht="15" hidden="false" customHeight="true" outlineLevel="0" collapsed="false">
      <c r="J1513" s="14" t="b">
        <f aca="false">IF(중복검사!$A1511="",FALSE(),중복검사!$H1511="중복")</f>
        <v>0</v>
      </c>
      <c r="K1513" s="5" t="str">
        <f aca="false">IF($J1513=FALSE(),"",COUNTIF($J$6:$J1513,TRUE()))</f>
        <v/>
      </c>
      <c r="L1513" s="5" t="str">
        <f aca="false">IF($K1513="","","R"&amp;$K1513)</f>
        <v/>
      </c>
    </row>
    <row r="1514" customFormat="false" ht="15" hidden="false" customHeight="true" outlineLevel="0" collapsed="false">
      <c r="J1514" s="14" t="b">
        <f aca="false">IF(중복검사!$A1512="",FALSE(),중복검사!$H1512="중복")</f>
        <v>0</v>
      </c>
      <c r="K1514" s="5" t="str">
        <f aca="false">IF($J1514=FALSE(),"",COUNTIF($J$6:$J1514,TRUE()))</f>
        <v/>
      </c>
      <c r="L1514" s="5" t="str">
        <f aca="false">IF($K1514="","","R"&amp;$K1514)</f>
        <v/>
      </c>
    </row>
    <row r="1515" customFormat="false" ht="15" hidden="false" customHeight="true" outlineLevel="0" collapsed="false">
      <c r="J1515" s="14" t="b">
        <f aca="false">IF(중복검사!$A1513="",FALSE(),중복검사!$H1513="중복")</f>
        <v>0</v>
      </c>
      <c r="K1515" s="5" t="str">
        <f aca="false">IF($J1515=FALSE(),"",COUNTIF($J$6:$J1515,TRUE()))</f>
        <v/>
      </c>
      <c r="L1515" s="5" t="str">
        <f aca="false">IF($K1515="","","R"&amp;$K1515)</f>
        <v/>
      </c>
    </row>
    <row r="1516" customFormat="false" ht="15" hidden="false" customHeight="true" outlineLevel="0" collapsed="false">
      <c r="J1516" s="14" t="b">
        <f aca="false">IF(중복검사!$A1514="",FALSE(),중복검사!$H1514="중복")</f>
        <v>0</v>
      </c>
      <c r="K1516" s="5" t="str">
        <f aca="false">IF($J1516=FALSE(),"",COUNTIF($J$6:$J1516,TRUE()))</f>
        <v/>
      </c>
      <c r="L1516" s="5" t="str">
        <f aca="false">IF($K1516="","","R"&amp;$K1516)</f>
        <v/>
      </c>
    </row>
    <row r="1517" customFormat="false" ht="15" hidden="false" customHeight="true" outlineLevel="0" collapsed="false">
      <c r="J1517" s="14" t="b">
        <f aca="false">IF(중복검사!$A1515="",FALSE(),중복검사!$H1515="중복")</f>
        <v>0</v>
      </c>
      <c r="K1517" s="5" t="str">
        <f aca="false">IF($J1517=FALSE(),"",COUNTIF($J$6:$J1517,TRUE()))</f>
        <v/>
      </c>
      <c r="L1517" s="5" t="str">
        <f aca="false">IF($K1517="","","R"&amp;$K1517)</f>
        <v/>
      </c>
    </row>
    <row r="1518" customFormat="false" ht="15" hidden="false" customHeight="true" outlineLevel="0" collapsed="false">
      <c r="J1518" s="14" t="b">
        <f aca="false">IF(중복검사!$A1516="",FALSE(),중복검사!$H1516="중복")</f>
        <v>0</v>
      </c>
      <c r="K1518" s="5" t="str">
        <f aca="false">IF($J1518=FALSE(),"",COUNTIF($J$6:$J1518,TRUE()))</f>
        <v/>
      </c>
      <c r="L1518" s="5" t="str">
        <f aca="false">IF($K1518="","","R"&amp;$K1518)</f>
        <v/>
      </c>
    </row>
    <row r="1519" customFormat="false" ht="15" hidden="false" customHeight="true" outlineLevel="0" collapsed="false">
      <c r="J1519" s="14" t="b">
        <f aca="false">IF(중복검사!$A1517="",FALSE(),중복검사!$H1517="중복")</f>
        <v>0</v>
      </c>
      <c r="K1519" s="5" t="str">
        <f aca="false">IF($J1519=FALSE(),"",COUNTIF($J$6:$J1519,TRUE()))</f>
        <v/>
      </c>
      <c r="L1519" s="5" t="str">
        <f aca="false">IF($K1519="","","R"&amp;$K1519)</f>
        <v/>
      </c>
    </row>
    <row r="1520" customFormat="false" ht="15" hidden="false" customHeight="true" outlineLevel="0" collapsed="false">
      <c r="J1520" s="14" t="b">
        <f aca="false">IF(중복검사!$A1518="",FALSE(),중복검사!$H1518="중복")</f>
        <v>0</v>
      </c>
      <c r="K1520" s="5" t="str">
        <f aca="false">IF($J1520=FALSE(),"",COUNTIF($J$6:$J1520,TRUE()))</f>
        <v/>
      </c>
      <c r="L1520" s="5" t="str">
        <f aca="false">IF($K1520="","","R"&amp;$K1520)</f>
        <v/>
      </c>
    </row>
    <row r="1521" customFormat="false" ht="15" hidden="false" customHeight="true" outlineLevel="0" collapsed="false">
      <c r="J1521" s="14" t="b">
        <f aca="false">IF(중복검사!$A1519="",FALSE(),중복검사!$H1519="중복")</f>
        <v>0</v>
      </c>
      <c r="K1521" s="5" t="str">
        <f aca="false">IF($J1521=FALSE(),"",COUNTIF($J$6:$J1521,TRUE()))</f>
        <v/>
      </c>
      <c r="L1521" s="5" t="str">
        <f aca="false">IF($K1521="","","R"&amp;$K1521)</f>
        <v/>
      </c>
    </row>
    <row r="1522" customFormat="false" ht="15" hidden="false" customHeight="true" outlineLevel="0" collapsed="false">
      <c r="J1522" s="14" t="b">
        <f aca="false">IF(중복검사!$A1520="",FALSE(),중복검사!$H1520="중복")</f>
        <v>0</v>
      </c>
      <c r="K1522" s="5" t="str">
        <f aca="false">IF($J1522=FALSE(),"",COUNTIF($J$6:$J1522,TRUE()))</f>
        <v/>
      </c>
      <c r="L1522" s="5" t="str">
        <f aca="false">IF($K1522="","","R"&amp;$K1522)</f>
        <v/>
      </c>
    </row>
    <row r="1523" customFormat="false" ht="15" hidden="false" customHeight="true" outlineLevel="0" collapsed="false">
      <c r="J1523" s="14" t="b">
        <f aca="false">IF(중복검사!$A1521="",FALSE(),중복검사!$H1521="중복")</f>
        <v>0</v>
      </c>
      <c r="K1523" s="5" t="str">
        <f aca="false">IF($J1523=FALSE(),"",COUNTIF($J$6:$J1523,TRUE()))</f>
        <v/>
      </c>
      <c r="L1523" s="5" t="str">
        <f aca="false">IF($K1523="","","R"&amp;$K1523)</f>
        <v/>
      </c>
    </row>
    <row r="1524" customFormat="false" ht="15" hidden="false" customHeight="true" outlineLevel="0" collapsed="false">
      <c r="J1524" s="14" t="b">
        <f aca="false">IF(중복검사!$A1522="",FALSE(),중복검사!$H1522="중복")</f>
        <v>0</v>
      </c>
      <c r="K1524" s="5" t="str">
        <f aca="false">IF($J1524=FALSE(),"",COUNTIF($J$6:$J1524,TRUE()))</f>
        <v/>
      </c>
      <c r="L1524" s="5" t="str">
        <f aca="false">IF($K1524="","","R"&amp;$K1524)</f>
        <v/>
      </c>
    </row>
    <row r="1525" customFormat="false" ht="15" hidden="false" customHeight="true" outlineLevel="0" collapsed="false">
      <c r="J1525" s="14" t="b">
        <f aca="false">IF(중복검사!$A1523="",FALSE(),중복검사!$H1523="중복")</f>
        <v>0</v>
      </c>
      <c r="K1525" s="5" t="str">
        <f aca="false">IF($J1525=FALSE(),"",COUNTIF($J$6:$J1525,TRUE()))</f>
        <v/>
      </c>
      <c r="L1525" s="5" t="str">
        <f aca="false">IF($K1525="","","R"&amp;$K1525)</f>
        <v/>
      </c>
    </row>
    <row r="1526" customFormat="false" ht="15" hidden="false" customHeight="true" outlineLevel="0" collapsed="false">
      <c r="J1526" s="14" t="b">
        <f aca="false">IF(중복검사!$A1524="",FALSE(),중복검사!$H1524="중복")</f>
        <v>0</v>
      </c>
      <c r="K1526" s="5" t="str">
        <f aca="false">IF($J1526=FALSE(),"",COUNTIF($J$6:$J1526,TRUE()))</f>
        <v/>
      </c>
      <c r="L1526" s="5" t="str">
        <f aca="false">IF($K1526="","","R"&amp;$K1526)</f>
        <v/>
      </c>
    </row>
    <row r="1527" customFormat="false" ht="15" hidden="false" customHeight="true" outlineLevel="0" collapsed="false">
      <c r="J1527" s="14" t="b">
        <f aca="false">IF(중복검사!$A1525="",FALSE(),중복검사!$H1525="중복")</f>
        <v>0</v>
      </c>
      <c r="K1527" s="5" t="str">
        <f aca="false">IF($J1527=FALSE(),"",COUNTIF($J$6:$J1527,TRUE()))</f>
        <v/>
      </c>
      <c r="L1527" s="5" t="str">
        <f aca="false">IF($K1527="","","R"&amp;$K1527)</f>
        <v/>
      </c>
    </row>
    <row r="1528" customFormat="false" ht="15" hidden="false" customHeight="true" outlineLevel="0" collapsed="false">
      <c r="J1528" s="14" t="b">
        <f aca="false">IF(중복검사!$A1526="",FALSE(),중복검사!$H1526="중복")</f>
        <v>0</v>
      </c>
      <c r="K1528" s="5" t="str">
        <f aca="false">IF($J1528=FALSE(),"",COUNTIF($J$6:$J1528,TRUE()))</f>
        <v/>
      </c>
      <c r="L1528" s="5" t="str">
        <f aca="false">IF($K1528="","","R"&amp;$K1528)</f>
        <v/>
      </c>
    </row>
    <row r="1529" customFormat="false" ht="15" hidden="false" customHeight="true" outlineLevel="0" collapsed="false">
      <c r="J1529" s="14" t="b">
        <f aca="false">IF(중복검사!$A1527="",FALSE(),중복검사!$H1527="중복")</f>
        <v>0</v>
      </c>
      <c r="K1529" s="5" t="str">
        <f aca="false">IF($J1529=FALSE(),"",COUNTIF($J$6:$J1529,TRUE()))</f>
        <v/>
      </c>
      <c r="L1529" s="5" t="str">
        <f aca="false">IF($K1529="","","R"&amp;$K1529)</f>
        <v/>
      </c>
    </row>
    <row r="1530" customFormat="false" ht="15" hidden="false" customHeight="true" outlineLevel="0" collapsed="false">
      <c r="J1530" s="14" t="b">
        <f aca="false">IF(중복검사!$A1528="",FALSE(),중복검사!$H1528="중복")</f>
        <v>0</v>
      </c>
      <c r="K1530" s="5" t="str">
        <f aca="false">IF($J1530=FALSE(),"",COUNTIF($J$6:$J1530,TRUE()))</f>
        <v/>
      </c>
      <c r="L1530" s="5" t="str">
        <f aca="false">IF($K1530="","","R"&amp;$K1530)</f>
        <v/>
      </c>
    </row>
    <row r="1531" customFormat="false" ht="15" hidden="false" customHeight="true" outlineLevel="0" collapsed="false">
      <c r="J1531" s="14" t="b">
        <f aca="false">IF(중복검사!$A1529="",FALSE(),중복검사!$H1529="중복")</f>
        <v>0</v>
      </c>
      <c r="K1531" s="5" t="str">
        <f aca="false">IF($J1531=FALSE(),"",COUNTIF($J$6:$J1531,TRUE()))</f>
        <v/>
      </c>
      <c r="L1531" s="5" t="str">
        <f aca="false">IF($K1531="","","R"&amp;$K1531)</f>
        <v/>
      </c>
    </row>
    <row r="1532" customFormat="false" ht="15" hidden="false" customHeight="true" outlineLevel="0" collapsed="false">
      <c r="J1532" s="14" t="b">
        <f aca="false">IF(중복검사!$A1530="",FALSE(),중복검사!$H1530="중복")</f>
        <v>0</v>
      </c>
      <c r="K1532" s="5" t="str">
        <f aca="false">IF($J1532=FALSE(),"",COUNTIF($J$6:$J1532,TRUE()))</f>
        <v/>
      </c>
      <c r="L1532" s="5" t="str">
        <f aca="false">IF($K1532="","","R"&amp;$K1532)</f>
        <v/>
      </c>
    </row>
    <row r="1533" customFormat="false" ht="15" hidden="false" customHeight="true" outlineLevel="0" collapsed="false">
      <c r="J1533" s="14" t="b">
        <f aca="false">IF(중복검사!$A1531="",FALSE(),중복검사!$H1531="중복")</f>
        <v>0</v>
      </c>
      <c r="K1533" s="5" t="str">
        <f aca="false">IF($J1533=FALSE(),"",COUNTIF($J$6:$J1533,TRUE()))</f>
        <v/>
      </c>
      <c r="L1533" s="5" t="str">
        <f aca="false">IF($K1533="","","R"&amp;$K1533)</f>
        <v/>
      </c>
    </row>
    <row r="1534" customFormat="false" ht="15" hidden="false" customHeight="true" outlineLevel="0" collapsed="false">
      <c r="J1534" s="14" t="b">
        <f aca="false">IF(중복검사!$A1532="",FALSE(),중복검사!$H1532="중복")</f>
        <v>0</v>
      </c>
      <c r="K1534" s="5" t="str">
        <f aca="false">IF($J1534=FALSE(),"",COUNTIF($J$6:$J1534,TRUE()))</f>
        <v/>
      </c>
      <c r="L1534" s="5" t="str">
        <f aca="false">IF($K1534="","","R"&amp;$K1534)</f>
        <v/>
      </c>
    </row>
    <row r="1535" customFormat="false" ht="15" hidden="false" customHeight="true" outlineLevel="0" collapsed="false">
      <c r="J1535" s="14" t="b">
        <f aca="false">IF(중복검사!$A1533="",FALSE(),중복검사!$H1533="중복")</f>
        <v>0</v>
      </c>
      <c r="K1535" s="5" t="str">
        <f aca="false">IF($J1535=FALSE(),"",COUNTIF($J$6:$J1535,TRUE()))</f>
        <v/>
      </c>
      <c r="L1535" s="5" t="str">
        <f aca="false">IF($K1535="","","R"&amp;$K1535)</f>
        <v/>
      </c>
    </row>
    <row r="1536" customFormat="false" ht="15" hidden="false" customHeight="true" outlineLevel="0" collapsed="false">
      <c r="J1536" s="14" t="b">
        <f aca="false">IF(중복검사!$A1534="",FALSE(),중복검사!$H1534="중복")</f>
        <v>0</v>
      </c>
      <c r="K1536" s="5" t="str">
        <f aca="false">IF($J1536=FALSE(),"",COUNTIF($J$6:$J1536,TRUE()))</f>
        <v/>
      </c>
      <c r="L1536" s="5" t="str">
        <f aca="false">IF($K1536="","","R"&amp;$K1536)</f>
        <v/>
      </c>
    </row>
    <row r="1537" customFormat="false" ht="15" hidden="false" customHeight="true" outlineLevel="0" collapsed="false">
      <c r="J1537" s="14" t="b">
        <f aca="false">IF(중복검사!$A1535="",FALSE(),중복검사!$H1535="중복")</f>
        <v>0</v>
      </c>
      <c r="K1537" s="5" t="str">
        <f aca="false">IF($J1537=FALSE(),"",COUNTIF($J$6:$J1537,TRUE()))</f>
        <v/>
      </c>
      <c r="L1537" s="5" t="str">
        <f aca="false">IF($K1537="","","R"&amp;$K1537)</f>
        <v/>
      </c>
    </row>
    <row r="1538" customFormat="false" ht="15" hidden="false" customHeight="true" outlineLevel="0" collapsed="false">
      <c r="J1538" s="14" t="b">
        <f aca="false">IF(중복검사!$A1536="",FALSE(),중복검사!$H1536="중복")</f>
        <v>0</v>
      </c>
      <c r="K1538" s="5" t="str">
        <f aca="false">IF($J1538=FALSE(),"",COUNTIF($J$6:$J1538,TRUE()))</f>
        <v/>
      </c>
      <c r="L1538" s="5" t="str">
        <f aca="false">IF($K1538="","","R"&amp;$K1538)</f>
        <v/>
      </c>
    </row>
    <row r="1539" customFormat="false" ht="15" hidden="false" customHeight="true" outlineLevel="0" collapsed="false">
      <c r="J1539" s="14" t="b">
        <f aca="false">IF(중복검사!$A1537="",FALSE(),중복검사!$H1537="중복")</f>
        <v>0</v>
      </c>
      <c r="K1539" s="5" t="str">
        <f aca="false">IF($J1539=FALSE(),"",COUNTIF($J$6:$J1539,TRUE()))</f>
        <v/>
      </c>
      <c r="L1539" s="5" t="str">
        <f aca="false">IF($K1539="","","R"&amp;$K1539)</f>
        <v/>
      </c>
    </row>
    <row r="1540" customFormat="false" ht="15" hidden="false" customHeight="true" outlineLevel="0" collapsed="false">
      <c r="J1540" s="14" t="b">
        <f aca="false">IF(중복검사!$A1538="",FALSE(),중복검사!$H1538="중복")</f>
        <v>0</v>
      </c>
      <c r="K1540" s="5" t="str">
        <f aca="false">IF($J1540=FALSE(),"",COUNTIF($J$6:$J1540,TRUE()))</f>
        <v/>
      </c>
      <c r="L1540" s="5" t="str">
        <f aca="false">IF($K1540="","","R"&amp;$K1540)</f>
        <v/>
      </c>
    </row>
    <row r="1541" customFormat="false" ht="15" hidden="false" customHeight="true" outlineLevel="0" collapsed="false">
      <c r="J1541" s="14" t="b">
        <f aca="false">IF(중복검사!$A1539="",FALSE(),중복검사!$H1539="중복")</f>
        <v>0</v>
      </c>
      <c r="K1541" s="5" t="str">
        <f aca="false">IF($J1541=FALSE(),"",COUNTIF($J$6:$J1541,TRUE()))</f>
        <v/>
      </c>
      <c r="L1541" s="5" t="str">
        <f aca="false">IF($K1541="","","R"&amp;$K1541)</f>
        <v/>
      </c>
    </row>
    <row r="1542" customFormat="false" ht="15" hidden="false" customHeight="true" outlineLevel="0" collapsed="false">
      <c r="J1542" s="14" t="b">
        <f aca="false">IF(중복검사!$A1540="",FALSE(),중복검사!$H1540="중복")</f>
        <v>0</v>
      </c>
      <c r="K1542" s="5" t="str">
        <f aca="false">IF($J1542=FALSE(),"",COUNTIF($J$6:$J1542,TRUE()))</f>
        <v/>
      </c>
      <c r="L1542" s="5" t="str">
        <f aca="false">IF($K1542="","","R"&amp;$K1542)</f>
        <v/>
      </c>
    </row>
    <row r="1543" customFormat="false" ht="15" hidden="false" customHeight="true" outlineLevel="0" collapsed="false">
      <c r="J1543" s="14" t="b">
        <f aca="false">IF(중복검사!$A1541="",FALSE(),중복검사!$H1541="중복")</f>
        <v>0</v>
      </c>
      <c r="K1543" s="5" t="str">
        <f aca="false">IF($J1543=FALSE(),"",COUNTIF($J$6:$J1543,TRUE()))</f>
        <v/>
      </c>
      <c r="L1543" s="5" t="str">
        <f aca="false">IF($K1543="","","R"&amp;$K1543)</f>
        <v/>
      </c>
    </row>
    <row r="1544" customFormat="false" ht="15" hidden="false" customHeight="true" outlineLevel="0" collapsed="false">
      <c r="J1544" s="14" t="b">
        <f aca="false">IF(중복검사!$A1542="",FALSE(),중복검사!$H1542="중복")</f>
        <v>0</v>
      </c>
      <c r="K1544" s="5" t="str">
        <f aca="false">IF($J1544=FALSE(),"",COUNTIF($J$6:$J1544,TRUE()))</f>
        <v/>
      </c>
      <c r="L1544" s="5" t="str">
        <f aca="false">IF($K1544="","","R"&amp;$K1544)</f>
        <v/>
      </c>
    </row>
    <row r="1545" customFormat="false" ht="15" hidden="false" customHeight="true" outlineLevel="0" collapsed="false">
      <c r="J1545" s="14" t="b">
        <f aca="false">IF(중복검사!$A1543="",FALSE(),중복검사!$H1543="중복")</f>
        <v>0</v>
      </c>
      <c r="K1545" s="5" t="str">
        <f aca="false">IF($J1545=FALSE(),"",COUNTIF($J$6:$J1545,TRUE()))</f>
        <v/>
      </c>
      <c r="L1545" s="5" t="str">
        <f aca="false">IF($K1545="","","R"&amp;$K1545)</f>
        <v/>
      </c>
    </row>
    <row r="1546" customFormat="false" ht="15" hidden="false" customHeight="true" outlineLevel="0" collapsed="false">
      <c r="J1546" s="14" t="b">
        <f aca="false">IF(중복검사!$A1544="",FALSE(),중복검사!$H1544="중복")</f>
        <v>0</v>
      </c>
      <c r="K1546" s="5" t="str">
        <f aca="false">IF($J1546=FALSE(),"",COUNTIF($J$6:$J1546,TRUE()))</f>
        <v/>
      </c>
      <c r="L1546" s="5" t="str">
        <f aca="false">IF($K1546="","","R"&amp;$K1546)</f>
        <v/>
      </c>
    </row>
    <row r="1547" customFormat="false" ht="15" hidden="false" customHeight="true" outlineLevel="0" collapsed="false">
      <c r="J1547" s="14" t="b">
        <f aca="false">IF(중복검사!$A1545="",FALSE(),중복검사!$H1545="중복")</f>
        <v>0</v>
      </c>
      <c r="K1547" s="5" t="str">
        <f aca="false">IF($J1547=FALSE(),"",COUNTIF($J$6:$J1547,TRUE()))</f>
        <v/>
      </c>
      <c r="L1547" s="5" t="str">
        <f aca="false">IF($K1547="","","R"&amp;$K1547)</f>
        <v/>
      </c>
    </row>
    <row r="1548" customFormat="false" ht="15" hidden="false" customHeight="true" outlineLevel="0" collapsed="false">
      <c r="J1548" s="14" t="b">
        <f aca="false">IF(중복검사!$A1546="",FALSE(),중복검사!$H1546="중복")</f>
        <v>0</v>
      </c>
      <c r="K1548" s="5" t="str">
        <f aca="false">IF($J1548=FALSE(),"",COUNTIF($J$6:$J1548,TRUE()))</f>
        <v/>
      </c>
      <c r="L1548" s="5" t="str">
        <f aca="false">IF($K1548="","","R"&amp;$K1548)</f>
        <v/>
      </c>
    </row>
    <row r="1549" customFormat="false" ht="15" hidden="false" customHeight="true" outlineLevel="0" collapsed="false">
      <c r="J1549" s="14" t="b">
        <f aca="false">IF(중복검사!$A1547="",FALSE(),중복검사!$H1547="중복")</f>
        <v>0</v>
      </c>
      <c r="K1549" s="5" t="str">
        <f aca="false">IF($J1549=FALSE(),"",COUNTIF($J$6:$J1549,TRUE()))</f>
        <v/>
      </c>
      <c r="L1549" s="5" t="str">
        <f aca="false">IF($K1549="","","R"&amp;$K1549)</f>
        <v/>
      </c>
    </row>
    <row r="1550" customFormat="false" ht="15" hidden="false" customHeight="true" outlineLevel="0" collapsed="false">
      <c r="J1550" s="14" t="b">
        <f aca="false">IF(중복검사!$A1548="",FALSE(),중복검사!$H1548="중복")</f>
        <v>0</v>
      </c>
      <c r="K1550" s="5" t="str">
        <f aca="false">IF($J1550=FALSE(),"",COUNTIF($J$6:$J1550,TRUE()))</f>
        <v/>
      </c>
      <c r="L1550" s="5" t="str">
        <f aca="false">IF($K1550="","","R"&amp;$K1550)</f>
        <v/>
      </c>
    </row>
    <row r="1551" customFormat="false" ht="15" hidden="false" customHeight="true" outlineLevel="0" collapsed="false">
      <c r="J1551" s="14" t="b">
        <f aca="false">IF(중복검사!$A1549="",FALSE(),중복검사!$H1549="중복")</f>
        <v>0</v>
      </c>
      <c r="K1551" s="5" t="str">
        <f aca="false">IF($J1551=FALSE(),"",COUNTIF($J$6:$J1551,TRUE()))</f>
        <v/>
      </c>
      <c r="L1551" s="5" t="str">
        <f aca="false">IF($K1551="","","R"&amp;$K1551)</f>
        <v/>
      </c>
    </row>
    <row r="1552" customFormat="false" ht="15" hidden="false" customHeight="true" outlineLevel="0" collapsed="false">
      <c r="J1552" s="14" t="b">
        <f aca="false">IF(중복검사!$A1550="",FALSE(),중복검사!$H1550="중복")</f>
        <v>0</v>
      </c>
      <c r="K1552" s="5" t="str">
        <f aca="false">IF($J1552=FALSE(),"",COUNTIF($J$6:$J1552,TRUE()))</f>
        <v/>
      </c>
      <c r="L1552" s="5" t="str">
        <f aca="false">IF($K1552="","","R"&amp;$K1552)</f>
        <v/>
      </c>
    </row>
    <row r="1553" customFormat="false" ht="15" hidden="false" customHeight="true" outlineLevel="0" collapsed="false">
      <c r="J1553" s="14" t="b">
        <f aca="false">IF(중복검사!$A1551="",FALSE(),중복검사!$H1551="중복")</f>
        <v>0</v>
      </c>
      <c r="K1553" s="5" t="str">
        <f aca="false">IF($J1553=FALSE(),"",COUNTIF($J$6:$J1553,TRUE()))</f>
        <v/>
      </c>
      <c r="L1553" s="5" t="str">
        <f aca="false">IF($K1553="","","R"&amp;$K1553)</f>
        <v/>
      </c>
    </row>
    <row r="1554" customFormat="false" ht="15" hidden="false" customHeight="true" outlineLevel="0" collapsed="false">
      <c r="J1554" s="14" t="b">
        <f aca="false">IF(중복검사!$A1552="",FALSE(),중복검사!$H1552="중복")</f>
        <v>0</v>
      </c>
      <c r="K1554" s="5" t="str">
        <f aca="false">IF($J1554=FALSE(),"",COUNTIF($J$6:$J1554,TRUE()))</f>
        <v/>
      </c>
      <c r="L1554" s="5" t="str">
        <f aca="false">IF($K1554="","","R"&amp;$K1554)</f>
        <v/>
      </c>
    </row>
    <row r="1555" customFormat="false" ht="15" hidden="false" customHeight="true" outlineLevel="0" collapsed="false">
      <c r="J1555" s="14" t="b">
        <f aca="false">IF(중복검사!$A1553="",FALSE(),중복검사!$H1553="중복")</f>
        <v>0</v>
      </c>
      <c r="K1555" s="5" t="str">
        <f aca="false">IF($J1555=FALSE(),"",COUNTIF($J$6:$J1555,TRUE()))</f>
        <v/>
      </c>
      <c r="L1555" s="5" t="str">
        <f aca="false">IF($K1555="","","R"&amp;$K1555)</f>
        <v/>
      </c>
    </row>
    <row r="1556" customFormat="false" ht="15" hidden="false" customHeight="true" outlineLevel="0" collapsed="false">
      <c r="J1556" s="14" t="b">
        <f aca="false">IF(중복검사!$A1554="",FALSE(),중복검사!$H1554="중복")</f>
        <v>0</v>
      </c>
      <c r="K1556" s="5" t="str">
        <f aca="false">IF($J1556=FALSE(),"",COUNTIF($J$6:$J1556,TRUE()))</f>
        <v/>
      </c>
      <c r="L1556" s="5" t="str">
        <f aca="false">IF($K1556="","","R"&amp;$K1556)</f>
        <v/>
      </c>
    </row>
    <row r="1557" customFormat="false" ht="15" hidden="false" customHeight="true" outlineLevel="0" collapsed="false">
      <c r="J1557" s="14" t="b">
        <f aca="false">IF(중복검사!$A1555="",FALSE(),중복검사!$H1555="중복")</f>
        <v>0</v>
      </c>
      <c r="K1557" s="5" t="str">
        <f aca="false">IF($J1557=FALSE(),"",COUNTIF($J$6:$J1557,TRUE()))</f>
        <v/>
      </c>
      <c r="L1557" s="5" t="str">
        <f aca="false">IF($K1557="","","R"&amp;$K1557)</f>
        <v/>
      </c>
    </row>
    <row r="1558" customFormat="false" ht="15" hidden="false" customHeight="true" outlineLevel="0" collapsed="false">
      <c r="J1558" s="14" t="b">
        <f aca="false">IF(중복검사!$A1556="",FALSE(),중복검사!$H1556="중복")</f>
        <v>0</v>
      </c>
      <c r="K1558" s="5" t="str">
        <f aca="false">IF($J1558=FALSE(),"",COUNTIF($J$6:$J1558,TRUE()))</f>
        <v/>
      </c>
      <c r="L1558" s="5" t="str">
        <f aca="false">IF($K1558="","","R"&amp;$K1558)</f>
        <v/>
      </c>
    </row>
    <row r="1559" customFormat="false" ht="15" hidden="false" customHeight="true" outlineLevel="0" collapsed="false">
      <c r="J1559" s="14" t="b">
        <f aca="false">IF(중복검사!$A1557="",FALSE(),중복검사!$H1557="중복")</f>
        <v>0</v>
      </c>
      <c r="K1559" s="5" t="str">
        <f aca="false">IF($J1559=FALSE(),"",COUNTIF($J$6:$J1559,TRUE()))</f>
        <v/>
      </c>
      <c r="L1559" s="5" t="str">
        <f aca="false">IF($K1559="","","R"&amp;$K1559)</f>
        <v/>
      </c>
    </row>
    <row r="1560" customFormat="false" ht="15" hidden="false" customHeight="true" outlineLevel="0" collapsed="false">
      <c r="J1560" s="14" t="b">
        <f aca="false">IF(중복검사!$A1558="",FALSE(),중복검사!$H1558="중복")</f>
        <v>0</v>
      </c>
      <c r="K1560" s="5" t="str">
        <f aca="false">IF($J1560=FALSE(),"",COUNTIF($J$6:$J1560,TRUE()))</f>
        <v/>
      </c>
      <c r="L1560" s="5" t="str">
        <f aca="false">IF($K1560="","","R"&amp;$K1560)</f>
        <v/>
      </c>
    </row>
    <row r="1561" customFormat="false" ht="15" hidden="false" customHeight="true" outlineLevel="0" collapsed="false">
      <c r="J1561" s="14" t="b">
        <f aca="false">IF(중복검사!$A1559="",FALSE(),중복검사!$H1559="중복")</f>
        <v>0</v>
      </c>
      <c r="K1561" s="5" t="str">
        <f aca="false">IF($J1561=FALSE(),"",COUNTIF($J$6:$J1561,TRUE()))</f>
        <v/>
      </c>
      <c r="L1561" s="5" t="str">
        <f aca="false">IF($K1561="","","R"&amp;$K1561)</f>
        <v/>
      </c>
    </row>
    <row r="1562" customFormat="false" ht="15" hidden="false" customHeight="true" outlineLevel="0" collapsed="false">
      <c r="J1562" s="14" t="b">
        <f aca="false">IF(중복검사!$A1560="",FALSE(),중복검사!$H1560="중복")</f>
        <v>0</v>
      </c>
      <c r="K1562" s="5" t="str">
        <f aca="false">IF($J1562=FALSE(),"",COUNTIF($J$6:$J1562,TRUE()))</f>
        <v/>
      </c>
      <c r="L1562" s="5" t="str">
        <f aca="false">IF($K1562="","","R"&amp;$K1562)</f>
        <v/>
      </c>
    </row>
    <row r="1563" customFormat="false" ht="15" hidden="false" customHeight="true" outlineLevel="0" collapsed="false">
      <c r="J1563" s="14" t="b">
        <f aca="false">IF(중복검사!$A1561="",FALSE(),중복검사!$H1561="중복")</f>
        <v>0</v>
      </c>
      <c r="K1563" s="5" t="str">
        <f aca="false">IF($J1563=FALSE(),"",COUNTIF($J$6:$J1563,TRUE()))</f>
        <v/>
      </c>
      <c r="L1563" s="5" t="str">
        <f aca="false">IF($K1563="","","R"&amp;$K1563)</f>
        <v/>
      </c>
    </row>
    <row r="1564" customFormat="false" ht="15" hidden="false" customHeight="true" outlineLevel="0" collapsed="false">
      <c r="J1564" s="14" t="b">
        <f aca="false">IF(중복검사!$A1562="",FALSE(),중복검사!$H1562="중복")</f>
        <v>0</v>
      </c>
      <c r="K1564" s="5" t="str">
        <f aca="false">IF($J1564=FALSE(),"",COUNTIF($J$6:$J1564,TRUE()))</f>
        <v/>
      </c>
      <c r="L1564" s="5" t="str">
        <f aca="false">IF($K1564="","","R"&amp;$K1564)</f>
        <v/>
      </c>
    </row>
    <row r="1565" customFormat="false" ht="15" hidden="false" customHeight="true" outlineLevel="0" collapsed="false">
      <c r="J1565" s="14" t="b">
        <f aca="false">IF(중복검사!$A1563="",FALSE(),중복검사!$H1563="중복")</f>
        <v>0</v>
      </c>
      <c r="K1565" s="5" t="str">
        <f aca="false">IF($J1565=FALSE(),"",COUNTIF($J$6:$J1565,TRUE()))</f>
        <v/>
      </c>
      <c r="L1565" s="5" t="str">
        <f aca="false">IF($K1565="","","R"&amp;$K1565)</f>
        <v/>
      </c>
    </row>
    <row r="1566" customFormat="false" ht="15" hidden="false" customHeight="true" outlineLevel="0" collapsed="false">
      <c r="J1566" s="14" t="b">
        <f aca="false">IF(중복검사!$A1564="",FALSE(),중복검사!$H1564="중복")</f>
        <v>0</v>
      </c>
      <c r="K1566" s="5" t="str">
        <f aca="false">IF($J1566=FALSE(),"",COUNTIF($J$6:$J1566,TRUE()))</f>
        <v/>
      </c>
      <c r="L1566" s="5" t="str">
        <f aca="false">IF($K1566="","","R"&amp;$K1566)</f>
        <v/>
      </c>
    </row>
    <row r="1567" customFormat="false" ht="15" hidden="false" customHeight="true" outlineLevel="0" collapsed="false">
      <c r="J1567" s="14" t="b">
        <f aca="false">IF(중복검사!$A1565="",FALSE(),중복검사!$H1565="중복")</f>
        <v>0</v>
      </c>
      <c r="K1567" s="5" t="str">
        <f aca="false">IF($J1567=FALSE(),"",COUNTIF($J$6:$J1567,TRUE()))</f>
        <v/>
      </c>
      <c r="L1567" s="5" t="str">
        <f aca="false">IF($K1567="","","R"&amp;$K1567)</f>
        <v/>
      </c>
    </row>
    <row r="1568" customFormat="false" ht="15" hidden="false" customHeight="true" outlineLevel="0" collapsed="false">
      <c r="J1568" s="14" t="b">
        <f aca="false">IF(중복검사!$A1566="",FALSE(),중복검사!$H1566="중복")</f>
        <v>0</v>
      </c>
      <c r="K1568" s="5" t="str">
        <f aca="false">IF($J1568=FALSE(),"",COUNTIF($J$6:$J1568,TRUE()))</f>
        <v/>
      </c>
      <c r="L1568" s="5" t="str">
        <f aca="false">IF($K1568="","","R"&amp;$K1568)</f>
        <v/>
      </c>
    </row>
    <row r="1569" customFormat="false" ht="15" hidden="false" customHeight="true" outlineLevel="0" collapsed="false">
      <c r="J1569" s="14" t="b">
        <f aca="false">IF(중복검사!$A1567="",FALSE(),중복검사!$H1567="중복")</f>
        <v>0</v>
      </c>
      <c r="K1569" s="5" t="str">
        <f aca="false">IF($J1569=FALSE(),"",COUNTIF($J$6:$J1569,TRUE()))</f>
        <v/>
      </c>
      <c r="L1569" s="5" t="str">
        <f aca="false">IF($K1569="","","R"&amp;$K1569)</f>
        <v/>
      </c>
    </row>
    <row r="1570" customFormat="false" ht="15" hidden="false" customHeight="true" outlineLevel="0" collapsed="false">
      <c r="J1570" s="14" t="b">
        <f aca="false">IF(중복검사!$A1568="",FALSE(),중복검사!$H1568="중복")</f>
        <v>0</v>
      </c>
      <c r="K1570" s="5" t="str">
        <f aca="false">IF($J1570=FALSE(),"",COUNTIF($J$6:$J1570,TRUE()))</f>
        <v/>
      </c>
      <c r="L1570" s="5" t="str">
        <f aca="false">IF($K1570="","","R"&amp;$K1570)</f>
        <v/>
      </c>
    </row>
    <row r="1571" customFormat="false" ht="15" hidden="false" customHeight="true" outlineLevel="0" collapsed="false">
      <c r="J1571" s="14" t="b">
        <f aca="false">IF(중복검사!$A1569="",FALSE(),중복검사!$H1569="중복")</f>
        <v>0</v>
      </c>
      <c r="K1571" s="5" t="str">
        <f aca="false">IF($J1571=FALSE(),"",COUNTIF($J$6:$J1571,TRUE()))</f>
        <v/>
      </c>
      <c r="L1571" s="5" t="str">
        <f aca="false">IF($K1571="","","R"&amp;$K1571)</f>
        <v/>
      </c>
    </row>
    <row r="1572" customFormat="false" ht="15" hidden="false" customHeight="true" outlineLevel="0" collapsed="false">
      <c r="J1572" s="14" t="b">
        <f aca="false">IF(중복검사!$A1570="",FALSE(),중복검사!$H1570="중복")</f>
        <v>0</v>
      </c>
      <c r="K1572" s="5" t="str">
        <f aca="false">IF($J1572=FALSE(),"",COUNTIF($J$6:$J1572,TRUE()))</f>
        <v/>
      </c>
      <c r="L1572" s="5" t="str">
        <f aca="false">IF($K1572="","","R"&amp;$K1572)</f>
        <v/>
      </c>
    </row>
    <row r="1573" customFormat="false" ht="15" hidden="false" customHeight="true" outlineLevel="0" collapsed="false">
      <c r="J1573" s="14" t="b">
        <f aca="false">IF(중복검사!$A1571="",FALSE(),중복검사!$H1571="중복")</f>
        <v>0</v>
      </c>
      <c r="K1573" s="5" t="str">
        <f aca="false">IF($J1573=FALSE(),"",COUNTIF($J$6:$J1573,TRUE()))</f>
        <v/>
      </c>
      <c r="L1573" s="5" t="str">
        <f aca="false">IF($K1573="","","R"&amp;$K1573)</f>
        <v/>
      </c>
    </row>
    <row r="1574" customFormat="false" ht="15" hidden="false" customHeight="true" outlineLevel="0" collapsed="false">
      <c r="J1574" s="14" t="b">
        <f aca="false">IF(중복검사!$A1572="",FALSE(),중복검사!$H1572="중복")</f>
        <v>0</v>
      </c>
      <c r="K1574" s="5" t="str">
        <f aca="false">IF($J1574=FALSE(),"",COUNTIF($J$6:$J1574,TRUE()))</f>
        <v/>
      </c>
      <c r="L1574" s="5" t="str">
        <f aca="false">IF($K1574="","","R"&amp;$K1574)</f>
        <v/>
      </c>
    </row>
    <row r="1575" customFormat="false" ht="15" hidden="false" customHeight="true" outlineLevel="0" collapsed="false">
      <c r="J1575" s="14" t="b">
        <f aca="false">IF(중복검사!$A1573="",FALSE(),중복검사!$H1573="중복")</f>
        <v>0</v>
      </c>
      <c r="K1575" s="5" t="str">
        <f aca="false">IF($J1575=FALSE(),"",COUNTIF($J$6:$J1575,TRUE()))</f>
        <v/>
      </c>
      <c r="L1575" s="5" t="str">
        <f aca="false">IF($K1575="","","R"&amp;$K1575)</f>
        <v/>
      </c>
    </row>
    <row r="1576" customFormat="false" ht="15" hidden="false" customHeight="true" outlineLevel="0" collapsed="false">
      <c r="J1576" s="14" t="b">
        <f aca="false">IF(중복검사!$A1574="",FALSE(),중복검사!$H1574="중복")</f>
        <v>0</v>
      </c>
      <c r="K1576" s="5" t="str">
        <f aca="false">IF($J1576=FALSE(),"",COUNTIF($J$6:$J1576,TRUE()))</f>
        <v/>
      </c>
      <c r="L1576" s="5" t="str">
        <f aca="false">IF($K1576="","","R"&amp;$K1576)</f>
        <v/>
      </c>
    </row>
    <row r="1577" customFormat="false" ht="15" hidden="false" customHeight="true" outlineLevel="0" collapsed="false">
      <c r="J1577" s="14" t="b">
        <f aca="false">IF(중복검사!$A1575="",FALSE(),중복검사!$H1575="중복")</f>
        <v>0</v>
      </c>
      <c r="K1577" s="5" t="str">
        <f aca="false">IF($J1577=FALSE(),"",COUNTIF($J$6:$J1577,TRUE()))</f>
        <v/>
      </c>
      <c r="L1577" s="5" t="str">
        <f aca="false">IF($K1577="","","R"&amp;$K1577)</f>
        <v/>
      </c>
    </row>
    <row r="1578" customFormat="false" ht="15" hidden="false" customHeight="true" outlineLevel="0" collapsed="false">
      <c r="J1578" s="14" t="b">
        <f aca="false">IF(중복검사!$A1576="",FALSE(),중복검사!$H1576="중복")</f>
        <v>0</v>
      </c>
      <c r="K1578" s="5" t="str">
        <f aca="false">IF($J1578=FALSE(),"",COUNTIF($J$6:$J1578,TRUE()))</f>
        <v/>
      </c>
      <c r="L1578" s="5" t="str">
        <f aca="false">IF($K1578="","","R"&amp;$K1578)</f>
        <v/>
      </c>
    </row>
    <row r="1579" customFormat="false" ht="15" hidden="false" customHeight="true" outlineLevel="0" collapsed="false">
      <c r="J1579" s="14" t="b">
        <f aca="false">IF(중복검사!$A1577="",FALSE(),중복검사!$H1577="중복")</f>
        <v>0</v>
      </c>
      <c r="K1579" s="5" t="str">
        <f aca="false">IF($J1579=FALSE(),"",COUNTIF($J$6:$J1579,TRUE()))</f>
        <v/>
      </c>
      <c r="L1579" s="5" t="str">
        <f aca="false">IF($K1579="","","R"&amp;$K1579)</f>
        <v/>
      </c>
    </row>
    <row r="1580" customFormat="false" ht="15" hidden="false" customHeight="true" outlineLevel="0" collapsed="false">
      <c r="J1580" s="14" t="b">
        <f aca="false">IF(중복검사!$A1578="",FALSE(),중복검사!$H1578="중복")</f>
        <v>0</v>
      </c>
      <c r="K1580" s="5" t="str">
        <f aca="false">IF($J1580=FALSE(),"",COUNTIF($J$6:$J1580,TRUE()))</f>
        <v/>
      </c>
      <c r="L1580" s="5" t="str">
        <f aca="false">IF($K1580="","","R"&amp;$K1580)</f>
        <v/>
      </c>
    </row>
    <row r="1581" customFormat="false" ht="15" hidden="false" customHeight="true" outlineLevel="0" collapsed="false">
      <c r="J1581" s="14" t="b">
        <f aca="false">IF(중복검사!$A1579="",FALSE(),중복검사!$H1579="중복")</f>
        <v>0</v>
      </c>
      <c r="K1581" s="5" t="str">
        <f aca="false">IF($J1581=FALSE(),"",COUNTIF($J$6:$J1581,TRUE()))</f>
        <v/>
      </c>
      <c r="L1581" s="5" t="str">
        <f aca="false">IF($K1581="","","R"&amp;$K1581)</f>
        <v/>
      </c>
    </row>
    <row r="1582" customFormat="false" ht="15" hidden="false" customHeight="true" outlineLevel="0" collapsed="false">
      <c r="J1582" s="14" t="b">
        <f aca="false">IF(중복검사!$A1580="",FALSE(),중복검사!$H1580="중복")</f>
        <v>0</v>
      </c>
      <c r="K1582" s="5" t="str">
        <f aca="false">IF($J1582=FALSE(),"",COUNTIF($J$6:$J1582,TRUE()))</f>
        <v/>
      </c>
      <c r="L1582" s="5" t="str">
        <f aca="false">IF($K1582="","","R"&amp;$K1582)</f>
        <v/>
      </c>
    </row>
    <row r="1583" customFormat="false" ht="15" hidden="false" customHeight="true" outlineLevel="0" collapsed="false">
      <c r="J1583" s="14" t="b">
        <f aca="false">IF(중복검사!$A1581="",FALSE(),중복검사!$H1581="중복")</f>
        <v>0</v>
      </c>
      <c r="K1583" s="5" t="str">
        <f aca="false">IF($J1583=FALSE(),"",COUNTIF($J$6:$J1583,TRUE()))</f>
        <v/>
      </c>
      <c r="L1583" s="5" t="str">
        <f aca="false">IF($K1583="","","R"&amp;$K1583)</f>
        <v/>
      </c>
    </row>
    <row r="1584" customFormat="false" ht="15" hidden="false" customHeight="true" outlineLevel="0" collapsed="false">
      <c r="J1584" s="14" t="b">
        <f aca="false">IF(중복검사!$A1582="",FALSE(),중복검사!$H1582="중복")</f>
        <v>0</v>
      </c>
      <c r="K1584" s="5" t="str">
        <f aca="false">IF($J1584=FALSE(),"",COUNTIF($J$6:$J1584,TRUE()))</f>
        <v/>
      </c>
      <c r="L1584" s="5" t="str">
        <f aca="false">IF($K1584="","","R"&amp;$K1584)</f>
        <v/>
      </c>
    </row>
    <row r="1585" customFormat="false" ht="15" hidden="false" customHeight="true" outlineLevel="0" collapsed="false">
      <c r="J1585" s="14" t="b">
        <f aca="false">IF(중복검사!$A1583="",FALSE(),중복검사!$H1583="중복")</f>
        <v>0</v>
      </c>
      <c r="K1585" s="5" t="str">
        <f aca="false">IF($J1585=FALSE(),"",COUNTIF($J$6:$J1585,TRUE()))</f>
        <v/>
      </c>
      <c r="L1585" s="5" t="str">
        <f aca="false">IF($K1585="","","R"&amp;$K1585)</f>
        <v/>
      </c>
    </row>
    <row r="1586" customFormat="false" ht="15" hidden="false" customHeight="true" outlineLevel="0" collapsed="false">
      <c r="J1586" s="14" t="b">
        <f aca="false">IF(중복검사!$A1584="",FALSE(),중복검사!$H1584="중복")</f>
        <v>0</v>
      </c>
      <c r="K1586" s="5" t="str">
        <f aca="false">IF($J1586=FALSE(),"",COUNTIF($J$6:$J1586,TRUE()))</f>
        <v/>
      </c>
      <c r="L1586" s="5" t="str">
        <f aca="false">IF($K1586="","","R"&amp;$K1586)</f>
        <v/>
      </c>
    </row>
    <row r="1587" customFormat="false" ht="15" hidden="false" customHeight="true" outlineLevel="0" collapsed="false">
      <c r="J1587" s="14" t="b">
        <f aca="false">IF(중복검사!$A1585="",FALSE(),중복검사!$H1585="중복")</f>
        <v>0</v>
      </c>
      <c r="K1587" s="5" t="str">
        <f aca="false">IF($J1587=FALSE(),"",COUNTIF($J$6:$J1587,TRUE()))</f>
        <v/>
      </c>
      <c r="L1587" s="5" t="str">
        <f aca="false">IF($K1587="","","R"&amp;$K1587)</f>
        <v/>
      </c>
    </row>
    <row r="1588" customFormat="false" ht="15" hidden="false" customHeight="true" outlineLevel="0" collapsed="false">
      <c r="J1588" s="14" t="b">
        <f aca="false">IF(중복검사!$A1586="",FALSE(),중복검사!$H1586="중복")</f>
        <v>0</v>
      </c>
      <c r="K1588" s="5" t="str">
        <f aca="false">IF($J1588=FALSE(),"",COUNTIF($J$6:$J1588,TRUE()))</f>
        <v/>
      </c>
      <c r="L1588" s="5" t="str">
        <f aca="false">IF($K1588="","","R"&amp;$K1588)</f>
        <v/>
      </c>
    </row>
    <row r="1589" customFormat="false" ht="15" hidden="false" customHeight="true" outlineLevel="0" collapsed="false">
      <c r="J1589" s="14" t="b">
        <f aca="false">IF(중복검사!$A1587="",FALSE(),중복검사!$H1587="중복")</f>
        <v>0</v>
      </c>
      <c r="K1589" s="5" t="str">
        <f aca="false">IF($J1589=FALSE(),"",COUNTIF($J$6:$J1589,TRUE()))</f>
        <v/>
      </c>
      <c r="L1589" s="5" t="str">
        <f aca="false">IF($K1589="","","R"&amp;$K1589)</f>
        <v/>
      </c>
    </row>
    <row r="1590" customFormat="false" ht="15" hidden="false" customHeight="true" outlineLevel="0" collapsed="false">
      <c r="J1590" s="14" t="b">
        <f aca="false">IF(중복검사!$A1588="",FALSE(),중복검사!$H1588="중복")</f>
        <v>0</v>
      </c>
      <c r="K1590" s="5" t="str">
        <f aca="false">IF($J1590=FALSE(),"",COUNTIF($J$6:$J1590,TRUE()))</f>
        <v/>
      </c>
      <c r="L1590" s="5" t="str">
        <f aca="false">IF($K1590="","","R"&amp;$K1590)</f>
        <v/>
      </c>
    </row>
    <row r="1591" customFormat="false" ht="15" hidden="false" customHeight="true" outlineLevel="0" collapsed="false">
      <c r="J1591" s="14" t="b">
        <f aca="false">IF(중복검사!$A1589="",FALSE(),중복검사!$H1589="중복")</f>
        <v>0</v>
      </c>
      <c r="K1591" s="5" t="str">
        <f aca="false">IF($J1591=FALSE(),"",COUNTIF($J$6:$J1591,TRUE()))</f>
        <v/>
      </c>
      <c r="L1591" s="5" t="str">
        <f aca="false">IF($K1591="","","R"&amp;$K1591)</f>
        <v/>
      </c>
    </row>
    <row r="1592" customFormat="false" ht="15" hidden="false" customHeight="true" outlineLevel="0" collapsed="false">
      <c r="J1592" s="14" t="b">
        <f aca="false">IF(중복검사!$A1590="",FALSE(),중복검사!$H1590="중복")</f>
        <v>0</v>
      </c>
      <c r="K1592" s="5" t="str">
        <f aca="false">IF($J1592=FALSE(),"",COUNTIF($J$6:$J1592,TRUE()))</f>
        <v/>
      </c>
      <c r="L1592" s="5" t="str">
        <f aca="false">IF($K1592="","","R"&amp;$K1592)</f>
        <v/>
      </c>
    </row>
    <row r="1593" customFormat="false" ht="15" hidden="false" customHeight="true" outlineLevel="0" collapsed="false">
      <c r="J1593" s="14" t="b">
        <f aca="false">IF(중복검사!$A1591="",FALSE(),중복검사!$H1591="중복")</f>
        <v>0</v>
      </c>
      <c r="K1593" s="5" t="str">
        <f aca="false">IF($J1593=FALSE(),"",COUNTIF($J$6:$J1593,TRUE()))</f>
        <v/>
      </c>
      <c r="L1593" s="5" t="str">
        <f aca="false">IF($K1593="","","R"&amp;$K1593)</f>
        <v/>
      </c>
    </row>
    <row r="1594" customFormat="false" ht="15" hidden="false" customHeight="true" outlineLevel="0" collapsed="false">
      <c r="J1594" s="14" t="b">
        <f aca="false">IF(중복검사!$A1592="",FALSE(),중복검사!$H1592="중복")</f>
        <v>0</v>
      </c>
      <c r="K1594" s="5" t="str">
        <f aca="false">IF($J1594=FALSE(),"",COUNTIF($J$6:$J1594,TRUE()))</f>
        <v/>
      </c>
      <c r="L1594" s="5" t="str">
        <f aca="false">IF($K1594="","","R"&amp;$K1594)</f>
        <v/>
      </c>
    </row>
    <row r="1595" customFormat="false" ht="15" hidden="false" customHeight="true" outlineLevel="0" collapsed="false">
      <c r="J1595" s="14" t="b">
        <f aca="false">IF(중복검사!$A1593="",FALSE(),중복검사!$H1593="중복")</f>
        <v>0</v>
      </c>
      <c r="K1595" s="5" t="str">
        <f aca="false">IF($J1595=FALSE(),"",COUNTIF($J$6:$J1595,TRUE()))</f>
        <v/>
      </c>
      <c r="L1595" s="5" t="str">
        <f aca="false">IF($K1595="","","R"&amp;$K1595)</f>
        <v/>
      </c>
    </row>
    <row r="1596" customFormat="false" ht="15" hidden="false" customHeight="true" outlineLevel="0" collapsed="false">
      <c r="J1596" s="14" t="b">
        <f aca="false">IF(중복검사!$A1594="",FALSE(),중복검사!$H1594="중복")</f>
        <v>0</v>
      </c>
      <c r="K1596" s="5" t="str">
        <f aca="false">IF($J1596=FALSE(),"",COUNTIF($J$6:$J1596,TRUE()))</f>
        <v/>
      </c>
      <c r="L1596" s="5" t="str">
        <f aca="false">IF($K1596="","","R"&amp;$K1596)</f>
        <v/>
      </c>
    </row>
    <row r="1597" customFormat="false" ht="15" hidden="false" customHeight="true" outlineLevel="0" collapsed="false">
      <c r="J1597" s="14" t="b">
        <f aca="false">IF(중복검사!$A1595="",FALSE(),중복검사!$H1595="중복")</f>
        <v>0</v>
      </c>
      <c r="K1597" s="5" t="str">
        <f aca="false">IF($J1597=FALSE(),"",COUNTIF($J$6:$J1597,TRUE()))</f>
        <v/>
      </c>
      <c r="L1597" s="5" t="str">
        <f aca="false">IF($K1597="","","R"&amp;$K1597)</f>
        <v/>
      </c>
    </row>
    <row r="1598" customFormat="false" ht="15" hidden="false" customHeight="true" outlineLevel="0" collapsed="false">
      <c r="J1598" s="14" t="b">
        <f aca="false">IF(중복검사!$A1596="",FALSE(),중복검사!$H1596="중복")</f>
        <v>0</v>
      </c>
      <c r="K1598" s="5" t="str">
        <f aca="false">IF($J1598=FALSE(),"",COUNTIF($J$6:$J1598,TRUE()))</f>
        <v/>
      </c>
      <c r="L1598" s="5" t="str">
        <f aca="false">IF($K1598="","","R"&amp;$K1598)</f>
        <v/>
      </c>
    </row>
    <row r="1599" customFormat="false" ht="15" hidden="false" customHeight="true" outlineLevel="0" collapsed="false">
      <c r="J1599" s="14" t="b">
        <f aca="false">IF(중복검사!$A1597="",FALSE(),중복검사!$H1597="중복")</f>
        <v>0</v>
      </c>
      <c r="K1599" s="5" t="str">
        <f aca="false">IF($J1599=FALSE(),"",COUNTIF($J$6:$J1599,TRUE()))</f>
        <v/>
      </c>
      <c r="L1599" s="5" t="str">
        <f aca="false">IF($K1599="","","R"&amp;$K1599)</f>
        <v/>
      </c>
    </row>
    <row r="1600" customFormat="false" ht="15" hidden="false" customHeight="true" outlineLevel="0" collapsed="false">
      <c r="J1600" s="14" t="b">
        <f aca="false">IF(중복검사!$A1598="",FALSE(),중복검사!$H1598="중복")</f>
        <v>0</v>
      </c>
      <c r="K1600" s="5" t="str">
        <f aca="false">IF($J1600=FALSE(),"",COUNTIF($J$6:$J1600,TRUE()))</f>
        <v/>
      </c>
      <c r="L1600" s="5" t="str">
        <f aca="false">IF($K1600="","","R"&amp;$K1600)</f>
        <v/>
      </c>
    </row>
    <row r="1601" customFormat="false" ht="15" hidden="false" customHeight="true" outlineLevel="0" collapsed="false">
      <c r="J1601" s="14" t="b">
        <f aca="false">IF(중복검사!$A1599="",FALSE(),중복검사!$H1599="중복")</f>
        <v>0</v>
      </c>
      <c r="K1601" s="5" t="str">
        <f aca="false">IF($J1601=FALSE(),"",COUNTIF($J$6:$J1601,TRUE()))</f>
        <v/>
      </c>
      <c r="L1601" s="5" t="str">
        <f aca="false">IF($K1601="","","R"&amp;$K1601)</f>
        <v/>
      </c>
    </row>
    <row r="1602" customFormat="false" ht="15" hidden="false" customHeight="true" outlineLevel="0" collapsed="false">
      <c r="J1602" s="14" t="b">
        <f aca="false">IF(중복검사!$A1600="",FALSE(),중복검사!$H1600="중복")</f>
        <v>0</v>
      </c>
      <c r="K1602" s="5" t="str">
        <f aca="false">IF($J1602=FALSE(),"",COUNTIF($J$6:$J1602,TRUE()))</f>
        <v/>
      </c>
      <c r="L1602" s="5" t="str">
        <f aca="false">IF($K1602="","","R"&amp;$K1602)</f>
        <v/>
      </c>
    </row>
    <row r="1603" customFormat="false" ht="15" hidden="false" customHeight="true" outlineLevel="0" collapsed="false">
      <c r="J1603" s="14" t="b">
        <f aca="false">IF(중복검사!$A1601="",FALSE(),중복검사!$H1601="중복")</f>
        <v>0</v>
      </c>
      <c r="K1603" s="5" t="str">
        <f aca="false">IF($J1603=FALSE(),"",COUNTIF($J$6:$J1603,TRUE()))</f>
        <v/>
      </c>
      <c r="L1603" s="5" t="str">
        <f aca="false">IF($K1603="","","R"&amp;$K1603)</f>
        <v/>
      </c>
    </row>
    <row r="1604" customFormat="false" ht="15" hidden="false" customHeight="true" outlineLevel="0" collapsed="false">
      <c r="J1604" s="14" t="b">
        <f aca="false">IF(중복검사!$A1602="",FALSE(),중복검사!$H1602="중복")</f>
        <v>0</v>
      </c>
      <c r="K1604" s="5" t="str">
        <f aca="false">IF($J1604=FALSE(),"",COUNTIF($J$6:$J1604,TRUE()))</f>
        <v/>
      </c>
      <c r="L1604" s="5" t="str">
        <f aca="false">IF($K1604="","","R"&amp;$K1604)</f>
        <v/>
      </c>
    </row>
    <row r="1605" customFormat="false" ht="15" hidden="false" customHeight="true" outlineLevel="0" collapsed="false">
      <c r="J1605" s="14" t="b">
        <f aca="false">IF(중복검사!$A1603="",FALSE(),중복검사!$H1603="중복")</f>
        <v>0</v>
      </c>
      <c r="K1605" s="5" t="str">
        <f aca="false">IF($J1605=FALSE(),"",COUNTIF($J$6:$J1605,TRUE()))</f>
        <v/>
      </c>
      <c r="L1605" s="5" t="str">
        <f aca="false">IF($K1605="","","R"&amp;$K1605)</f>
        <v/>
      </c>
    </row>
    <row r="1606" customFormat="false" ht="15" hidden="false" customHeight="true" outlineLevel="0" collapsed="false">
      <c r="J1606" s="14" t="b">
        <f aca="false">IF(중복검사!$A1604="",FALSE(),중복검사!$H1604="중복")</f>
        <v>0</v>
      </c>
      <c r="K1606" s="5" t="str">
        <f aca="false">IF($J1606=FALSE(),"",COUNTIF($J$6:$J1606,TRUE()))</f>
        <v/>
      </c>
      <c r="L1606" s="5" t="str">
        <f aca="false">IF($K1606="","","R"&amp;$K1606)</f>
        <v/>
      </c>
    </row>
    <row r="1607" customFormat="false" ht="15" hidden="false" customHeight="true" outlineLevel="0" collapsed="false">
      <c r="J1607" s="14" t="b">
        <f aca="false">IF(중복검사!$A1605="",FALSE(),중복검사!$H1605="중복")</f>
        <v>0</v>
      </c>
      <c r="K1607" s="5" t="str">
        <f aca="false">IF($J1607=FALSE(),"",COUNTIF($J$6:$J1607,TRUE()))</f>
        <v/>
      </c>
      <c r="L1607" s="5" t="str">
        <f aca="false">IF($K1607="","","R"&amp;$K1607)</f>
        <v/>
      </c>
    </row>
    <row r="1608" customFormat="false" ht="15" hidden="false" customHeight="true" outlineLevel="0" collapsed="false">
      <c r="J1608" s="14" t="b">
        <f aca="false">IF(중복검사!$A1606="",FALSE(),중복검사!$H1606="중복")</f>
        <v>0</v>
      </c>
      <c r="K1608" s="5" t="str">
        <f aca="false">IF($J1608=FALSE(),"",COUNTIF($J$6:$J1608,TRUE()))</f>
        <v/>
      </c>
      <c r="L1608" s="5" t="str">
        <f aca="false">IF($K1608="","","R"&amp;$K1608)</f>
        <v/>
      </c>
    </row>
    <row r="1609" customFormat="false" ht="15" hidden="false" customHeight="true" outlineLevel="0" collapsed="false">
      <c r="J1609" s="14" t="b">
        <f aca="false">IF(중복검사!$A1607="",FALSE(),중복검사!$H1607="중복")</f>
        <v>0</v>
      </c>
      <c r="K1609" s="5" t="str">
        <f aca="false">IF($J1609=FALSE(),"",COUNTIF($J$6:$J1609,TRUE()))</f>
        <v/>
      </c>
      <c r="L1609" s="5" t="str">
        <f aca="false">IF($K1609="","","R"&amp;$K1609)</f>
        <v/>
      </c>
    </row>
    <row r="1610" customFormat="false" ht="15" hidden="false" customHeight="true" outlineLevel="0" collapsed="false">
      <c r="J1610" s="14" t="b">
        <f aca="false">IF(중복검사!$A1608="",FALSE(),중복검사!$H1608="중복")</f>
        <v>0</v>
      </c>
      <c r="K1610" s="5" t="str">
        <f aca="false">IF($J1610=FALSE(),"",COUNTIF($J$6:$J1610,TRUE()))</f>
        <v/>
      </c>
      <c r="L1610" s="5" t="str">
        <f aca="false">IF($K1610="","","R"&amp;$K1610)</f>
        <v/>
      </c>
    </row>
    <row r="1611" customFormat="false" ht="15" hidden="false" customHeight="true" outlineLevel="0" collapsed="false">
      <c r="J1611" s="14" t="b">
        <f aca="false">IF(중복검사!$A1609="",FALSE(),중복검사!$H1609="중복")</f>
        <v>0</v>
      </c>
      <c r="K1611" s="5" t="str">
        <f aca="false">IF($J1611=FALSE(),"",COUNTIF($J$6:$J1611,TRUE()))</f>
        <v/>
      </c>
      <c r="L1611" s="5" t="str">
        <f aca="false">IF($K1611="","","R"&amp;$K1611)</f>
        <v/>
      </c>
    </row>
    <row r="1612" customFormat="false" ht="15" hidden="false" customHeight="true" outlineLevel="0" collapsed="false">
      <c r="J1612" s="14" t="b">
        <f aca="false">IF(중복검사!$A1610="",FALSE(),중복검사!$H1610="중복")</f>
        <v>0</v>
      </c>
      <c r="K1612" s="5" t="str">
        <f aca="false">IF($J1612=FALSE(),"",COUNTIF($J$6:$J1612,TRUE()))</f>
        <v/>
      </c>
      <c r="L1612" s="5" t="str">
        <f aca="false">IF($K1612="","","R"&amp;$K1612)</f>
        <v/>
      </c>
    </row>
    <row r="1613" customFormat="false" ht="15" hidden="false" customHeight="true" outlineLevel="0" collapsed="false">
      <c r="J1613" s="14" t="b">
        <f aca="false">IF(중복검사!$A1611="",FALSE(),중복검사!$H1611="중복")</f>
        <v>0</v>
      </c>
      <c r="K1613" s="5" t="str">
        <f aca="false">IF($J1613=FALSE(),"",COUNTIF($J$6:$J1613,TRUE()))</f>
        <v/>
      </c>
      <c r="L1613" s="5" t="str">
        <f aca="false">IF($K1613="","","R"&amp;$K1613)</f>
        <v/>
      </c>
    </row>
    <row r="1614" customFormat="false" ht="15" hidden="false" customHeight="true" outlineLevel="0" collapsed="false">
      <c r="J1614" s="14" t="b">
        <f aca="false">IF(중복검사!$A1612="",FALSE(),중복검사!$H1612="중복")</f>
        <v>0</v>
      </c>
      <c r="K1614" s="5" t="str">
        <f aca="false">IF($J1614=FALSE(),"",COUNTIF($J$6:$J1614,TRUE()))</f>
        <v/>
      </c>
      <c r="L1614" s="5" t="str">
        <f aca="false">IF($K1614="","","R"&amp;$K1614)</f>
        <v/>
      </c>
    </row>
    <row r="1615" customFormat="false" ht="15" hidden="false" customHeight="true" outlineLevel="0" collapsed="false">
      <c r="J1615" s="14" t="b">
        <f aca="false">IF(중복검사!$A1613="",FALSE(),중복검사!$H1613="중복")</f>
        <v>0</v>
      </c>
      <c r="K1615" s="5" t="str">
        <f aca="false">IF($J1615=FALSE(),"",COUNTIF($J$6:$J1615,TRUE()))</f>
        <v/>
      </c>
      <c r="L1615" s="5" t="str">
        <f aca="false">IF($K1615="","","R"&amp;$K1615)</f>
        <v/>
      </c>
    </row>
    <row r="1616" customFormat="false" ht="15" hidden="false" customHeight="true" outlineLevel="0" collapsed="false">
      <c r="J1616" s="14" t="b">
        <f aca="false">IF(중복검사!$A1614="",FALSE(),중복검사!$H1614="중복")</f>
        <v>0</v>
      </c>
      <c r="K1616" s="5" t="str">
        <f aca="false">IF($J1616=FALSE(),"",COUNTIF($J$6:$J1616,TRUE()))</f>
        <v/>
      </c>
      <c r="L1616" s="5" t="str">
        <f aca="false">IF($K1616="","","R"&amp;$K1616)</f>
        <v/>
      </c>
    </row>
    <row r="1617" customFormat="false" ht="15" hidden="false" customHeight="true" outlineLevel="0" collapsed="false">
      <c r="J1617" s="14" t="b">
        <f aca="false">IF(중복검사!$A1615="",FALSE(),중복검사!$H1615="중복")</f>
        <v>0</v>
      </c>
      <c r="K1617" s="5" t="str">
        <f aca="false">IF($J1617=FALSE(),"",COUNTIF($J$6:$J1617,TRUE()))</f>
        <v/>
      </c>
      <c r="L1617" s="5" t="str">
        <f aca="false">IF($K1617="","","R"&amp;$K1617)</f>
        <v/>
      </c>
    </row>
    <row r="1618" customFormat="false" ht="15" hidden="false" customHeight="true" outlineLevel="0" collapsed="false">
      <c r="J1618" s="14" t="b">
        <f aca="false">IF(중복검사!$A1616="",FALSE(),중복검사!$H1616="중복")</f>
        <v>0</v>
      </c>
      <c r="K1618" s="5" t="str">
        <f aca="false">IF($J1618=FALSE(),"",COUNTIF($J$6:$J1618,TRUE()))</f>
        <v/>
      </c>
      <c r="L1618" s="5" t="str">
        <f aca="false">IF($K1618="","","R"&amp;$K1618)</f>
        <v/>
      </c>
    </row>
    <row r="1619" customFormat="false" ht="15" hidden="false" customHeight="true" outlineLevel="0" collapsed="false">
      <c r="J1619" s="14" t="b">
        <f aca="false">IF(중복검사!$A1617="",FALSE(),중복검사!$H1617="중복")</f>
        <v>0</v>
      </c>
      <c r="K1619" s="5" t="str">
        <f aca="false">IF($J1619=FALSE(),"",COUNTIF($J$6:$J1619,TRUE()))</f>
        <v/>
      </c>
      <c r="L1619" s="5" t="str">
        <f aca="false">IF($K1619="","","R"&amp;$K1619)</f>
        <v/>
      </c>
    </row>
    <row r="1620" customFormat="false" ht="15" hidden="false" customHeight="true" outlineLevel="0" collapsed="false">
      <c r="J1620" s="14" t="b">
        <f aca="false">IF(중복검사!$A1618="",FALSE(),중복검사!$H1618="중복")</f>
        <v>0</v>
      </c>
      <c r="K1620" s="5" t="str">
        <f aca="false">IF($J1620=FALSE(),"",COUNTIF($J$6:$J1620,TRUE()))</f>
        <v/>
      </c>
      <c r="L1620" s="5" t="str">
        <f aca="false">IF($K1620="","","R"&amp;$K1620)</f>
        <v/>
      </c>
    </row>
    <row r="1621" customFormat="false" ht="15" hidden="false" customHeight="true" outlineLevel="0" collapsed="false">
      <c r="J1621" s="14" t="b">
        <f aca="false">IF(중복검사!$A1619="",FALSE(),중복검사!$H1619="중복")</f>
        <v>0</v>
      </c>
      <c r="K1621" s="5" t="str">
        <f aca="false">IF($J1621=FALSE(),"",COUNTIF($J$6:$J1621,TRUE()))</f>
        <v/>
      </c>
      <c r="L1621" s="5" t="str">
        <f aca="false">IF($K1621="","","R"&amp;$K1621)</f>
        <v/>
      </c>
    </row>
    <row r="1622" customFormat="false" ht="15" hidden="false" customHeight="true" outlineLevel="0" collapsed="false">
      <c r="J1622" s="14" t="b">
        <f aca="false">IF(중복검사!$A1620="",FALSE(),중복검사!$H1620="중복")</f>
        <v>0</v>
      </c>
      <c r="K1622" s="5" t="str">
        <f aca="false">IF($J1622=FALSE(),"",COUNTIF($J$6:$J1622,TRUE()))</f>
        <v/>
      </c>
      <c r="L1622" s="5" t="str">
        <f aca="false">IF($K1622="","","R"&amp;$K1622)</f>
        <v/>
      </c>
    </row>
    <row r="1623" customFormat="false" ht="15" hidden="false" customHeight="true" outlineLevel="0" collapsed="false">
      <c r="J1623" s="14" t="b">
        <f aca="false">IF(중복검사!$A1621="",FALSE(),중복검사!$H1621="중복")</f>
        <v>0</v>
      </c>
      <c r="K1623" s="5" t="str">
        <f aca="false">IF($J1623=FALSE(),"",COUNTIF($J$6:$J1623,TRUE()))</f>
        <v/>
      </c>
      <c r="L1623" s="5" t="str">
        <f aca="false">IF($K1623="","","R"&amp;$K1623)</f>
        <v/>
      </c>
    </row>
    <row r="1624" customFormat="false" ht="15" hidden="false" customHeight="true" outlineLevel="0" collapsed="false">
      <c r="J1624" s="14" t="b">
        <f aca="false">IF(중복검사!$A1622="",FALSE(),중복검사!$H1622="중복")</f>
        <v>0</v>
      </c>
      <c r="K1624" s="5" t="str">
        <f aca="false">IF($J1624=FALSE(),"",COUNTIF($J$6:$J1624,TRUE()))</f>
        <v/>
      </c>
      <c r="L1624" s="5" t="str">
        <f aca="false">IF($K1624="","","R"&amp;$K1624)</f>
        <v/>
      </c>
    </row>
    <row r="1625" customFormat="false" ht="15" hidden="false" customHeight="true" outlineLevel="0" collapsed="false">
      <c r="J1625" s="14" t="b">
        <f aca="false">IF(중복검사!$A1623="",FALSE(),중복검사!$H1623="중복")</f>
        <v>0</v>
      </c>
      <c r="K1625" s="5" t="str">
        <f aca="false">IF($J1625=FALSE(),"",COUNTIF($J$6:$J1625,TRUE()))</f>
        <v/>
      </c>
      <c r="L1625" s="5" t="str">
        <f aca="false">IF($K1625="","","R"&amp;$K1625)</f>
        <v/>
      </c>
    </row>
    <row r="1626" customFormat="false" ht="15" hidden="false" customHeight="true" outlineLevel="0" collapsed="false">
      <c r="J1626" s="14" t="b">
        <f aca="false">IF(중복검사!$A1624="",FALSE(),중복검사!$H1624="중복")</f>
        <v>0</v>
      </c>
      <c r="K1626" s="5" t="str">
        <f aca="false">IF($J1626=FALSE(),"",COUNTIF($J$6:$J1626,TRUE()))</f>
        <v/>
      </c>
      <c r="L1626" s="5" t="str">
        <f aca="false">IF($K1626="","","R"&amp;$K1626)</f>
        <v/>
      </c>
    </row>
    <row r="1627" customFormat="false" ht="15" hidden="false" customHeight="true" outlineLevel="0" collapsed="false">
      <c r="J1627" s="14" t="b">
        <f aca="false">IF(중복검사!$A1625="",FALSE(),중복검사!$H1625="중복")</f>
        <v>0</v>
      </c>
      <c r="K1627" s="5" t="str">
        <f aca="false">IF($J1627=FALSE(),"",COUNTIF($J$6:$J1627,TRUE()))</f>
        <v/>
      </c>
      <c r="L1627" s="5" t="str">
        <f aca="false">IF($K1627="","","R"&amp;$K1627)</f>
        <v/>
      </c>
    </row>
    <row r="1628" customFormat="false" ht="15" hidden="false" customHeight="true" outlineLevel="0" collapsed="false">
      <c r="J1628" s="14" t="b">
        <f aca="false">IF(중복검사!$A1626="",FALSE(),중복검사!$H1626="중복")</f>
        <v>0</v>
      </c>
      <c r="K1628" s="5" t="str">
        <f aca="false">IF($J1628=FALSE(),"",COUNTIF($J$6:$J1628,TRUE()))</f>
        <v/>
      </c>
      <c r="L1628" s="5" t="str">
        <f aca="false">IF($K1628="","","R"&amp;$K1628)</f>
        <v/>
      </c>
    </row>
    <row r="1629" customFormat="false" ht="15" hidden="false" customHeight="true" outlineLevel="0" collapsed="false">
      <c r="J1629" s="14" t="b">
        <f aca="false">IF(중복검사!$A1627="",FALSE(),중복검사!$H1627="중복")</f>
        <v>0</v>
      </c>
      <c r="K1629" s="5" t="str">
        <f aca="false">IF($J1629=FALSE(),"",COUNTIF($J$6:$J1629,TRUE()))</f>
        <v/>
      </c>
      <c r="L1629" s="5" t="str">
        <f aca="false">IF($K1629="","","R"&amp;$K1629)</f>
        <v/>
      </c>
    </row>
    <row r="1630" customFormat="false" ht="15" hidden="false" customHeight="true" outlineLevel="0" collapsed="false">
      <c r="J1630" s="14" t="b">
        <f aca="false">IF(중복검사!$A1628="",FALSE(),중복검사!$H1628="중복")</f>
        <v>0</v>
      </c>
      <c r="K1630" s="5" t="str">
        <f aca="false">IF($J1630=FALSE(),"",COUNTIF($J$6:$J1630,TRUE()))</f>
        <v/>
      </c>
      <c r="L1630" s="5" t="str">
        <f aca="false">IF($K1630="","","R"&amp;$K1630)</f>
        <v/>
      </c>
    </row>
    <row r="1631" customFormat="false" ht="15" hidden="false" customHeight="true" outlineLevel="0" collapsed="false">
      <c r="J1631" s="14" t="b">
        <f aca="false">IF(중복검사!$A1629="",FALSE(),중복검사!$H1629="중복")</f>
        <v>0</v>
      </c>
      <c r="K1631" s="5" t="str">
        <f aca="false">IF($J1631=FALSE(),"",COUNTIF($J$6:$J1631,TRUE()))</f>
        <v/>
      </c>
      <c r="L1631" s="5" t="str">
        <f aca="false">IF($K1631="","","R"&amp;$K1631)</f>
        <v/>
      </c>
    </row>
    <row r="1632" customFormat="false" ht="15" hidden="false" customHeight="true" outlineLevel="0" collapsed="false">
      <c r="J1632" s="14" t="b">
        <f aca="false">IF(중복검사!$A1630="",FALSE(),중복검사!$H1630="중복")</f>
        <v>0</v>
      </c>
      <c r="K1632" s="5" t="str">
        <f aca="false">IF($J1632=FALSE(),"",COUNTIF($J$6:$J1632,TRUE()))</f>
        <v/>
      </c>
      <c r="L1632" s="5" t="str">
        <f aca="false">IF($K1632="","","R"&amp;$K1632)</f>
        <v/>
      </c>
    </row>
    <row r="1633" customFormat="false" ht="15" hidden="false" customHeight="true" outlineLevel="0" collapsed="false">
      <c r="J1633" s="14" t="b">
        <f aca="false">IF(중복검사!$A1631="",FALSE(),중복검사!$H1631="중복")</f>
        <v>0</v>
      </c>
      <c r="K1633" s="5" t="str">
        <f aca="false">IF($J1633=FALSE(),"",COUNTIF($J$6:$J1633,TRUE()))</f>
        <v/>
      </c>
      <c r="L1633" s="5" t="str">
        <f aca="false">IF($K1633="","","R"&amp;$K1633)</f>
        <v/>
      </c>
    </row>
    <row r="1634" customFormat="false" ht="15" hidden="false" customHeight="true" outlineLevel="0" collapsed="false">
      <c r="J1634" s="14" t="b">
        <f aca="false">IF(중복검사!$A1632="",FALSE(),중복검사!$H1632="중복")</f>
        <v>0</v>
      </c>
      <c r="K1634" s="5" t="str">
        <f aca="false">IF($J1634=FALSE(),"",COUNTIF($J$6:$J1634,TRUE()))</f>
        <v/>
      </c>
      <c r="L1634" s="5" t="str">
        <f aca="false">IF($K1634="","","R"&amp;$K1634)</f>
        <v/>
      </c>
    </row>
    <row r="1635" customFormat="false" ht="15" hidden="false" customHeight="true" outlineLevel="0" collapsed="false">
      <c r="J1635" s="14" t="b">
        <f aca="false">IF(중복검사!$A1633="",FALSE(),중복검사!$H1633="중복")</f>
        <v>0</v>
      </c>
      <c r="K1635" s="5" t="str">
        <f aca="false">IF($J1635=FALSE(),"",COUNTIF($J$6:$J1635,TRUE()))</f>
        <v/>
      </c>
      <c r="L1635" s="5" t="str">
        <f aca="false">IF($K1635="","","R"&amp;$K1635)</f>
        <v/>
      </c>
    </row>
    <row r="1636" customFormat="false" ht="15" hidden="false" customHeight="true" outlineLevel="0" collapsed="false">
      <c r="J1636" s="14" t="b">
        <f aca="false">IF(중복검사!$A1634="",FALSE(),중복검사!$H1634="중복")</f>
        <v>0</v>
      </c>
      <c r="K1636" s="5" t="str">
        <f aca="false">IF($J1636=FALSE(),"",COUNTIF($J$6:$J1636,TRUE()))</f>
        <v/>
      </c>
      <c r="L1636" s="5" t="str">
        <f aca="false">IF($K1636="","","R"&amp;$K1636)</f>
        <v/>
      </c>
    </row>
    <row r="1637" customFormat="false" ht="15" hidden="false" customHeight="true" outlineLevel="0" collapsed="false">
      <c r="J1637" s="14" t="b">
        <f aca="false">IF(중복검사!$A1635="",FALSE(),중복검사!$H1635="중복")</f>
        <v>0</v>
      </c>
      <c r="K1637" s="5" t="str">
        <f aca="false">IF($J1637=FALSE(),"",COUNTIF($J$6:$J1637,TRUE()))</f>
        <v/>
      </c>
      <c r="L1637" s="5" t="str">
        <f aca="false">IF($K1637="","","R"&amp;$K1637)</f>
        <v/>
      </c>
    </row>
    <row r="1638" customFormat="false" ht="15" hidden="false" customHeight="true" outlineLevel="0" collapsed="false">
      <c r="J1638" s="14" t="b">
        <f aca="false">IF(중복검사!$A1636="",FALSE(),중복검사!$H1636="중복")</f>
        <v>0</v>
      </c>
      <c r="K1638" s="5" t="str">
        <f aca="false">IF($J1638=FALSE(),"",COUNTIF($J$6:$J1638,TRUE()))</f>
        <v/>
      </c>
      <c r="L1638" s="5" t="str">
        <f aca="false">IF($K1638="","","R"&amp;$K1638)</f>
        <v/>
      </c>
    </row>
    <row r="1639" customFormat="false" ht="15" hidden="false" customHeight="true" outlineLevel="0" collapsed="false">
      <c r="J1639" s="14" t="b">
        <f aca="false">IF(중복검사!$A1637="",FALSE(),중복검사!$H1637="중복")</f>
        <v>0</v>
      </c>
      <c r="K1639" s="5" t="str">
        <f aca="false">IF($J1639=FALSE(),"",COUNTIF($J$6:$J1639,TRUE()))</f>
        <v/>
      </c>
      <c r="L1639" s="5" t="str">
        <f aca="false">IF($K1639="","","R"&amp;$K1639)</f>
        <v/>
      </c>
    </row>
    <row r="1640" customFormat="false" ht="15" hidden="false" customHeight="true" outlineLevel="0" collapsed="false">
      <c r="J1640" s="14" t="b">
        <f aca="false">IF(중복검사!$A1638="",FALSE(),중복검사!$H1638="중복")</f>
        <v>0</v>
      </c>
      <c r="K1640" s="5" t="str">
        <f aca="false">IF($J1640=FALSE(),"",COUNTIF($J$6:$J1640,TRUE()))</f>
        <v/>
      </c>
      <c r="L1640" s="5" t="str">
        <f aca="false">IF($K1640="","","R"&amp;$K1640)</f>
        <v/>
      </c>
    </row>
    <row r="1641" customFormat="false" ht="15" hidden="false" customHeight="true" outlineLevel="0" collapsed="false">
      <c r="J1641" s="14" t="b">
        <f aca="false">IF(중복검사!$A1639="",FALSE(),중복검사!$H1639="중복")</f>
        <v>0</v>
      </c>
      <c r="K1641" s="5" t="str">
        <f aca="false">IF($J1641=FALSE(),"",COUNTIF($J$6:$J1641,TRUE()))</f>
        <v/>
      </c>
      <c r="L1641" s="5" t="str">
        <f aca="false">IF($K1641="","","R"&amp;$K1641)</f>
        <v/>
      </c>
    </row>
    <row r="1642" customFormat="false" ht="15" hidden="false" customHeight="true" outlineLevel="0" collapsed="false">
      <c r="J1642" s="14" t="b">
        <f aca="false">IF(중복검사!$A1640="",FALSE(),중복검사!$H1640="중복")</f>
        <v>0</v>
      </c>
      <c r="K1642" s="5" t="str">
        <f aca="false">IF($J1642=FALSE(),"",COUNTIF($J$6:$J1642,TRUE()))</f>
        <v/>
      </c>
      <c r="L1642" s="5" t="str">
        <f aca="false">IF($K1642="","","R"&amp;$K1642)</f>
        <v/>
      </c>
    </row>
    <row r="1643" customFormat="false" ht="15" hidden="false" customHeight="true" outlineLevel="0" collapsed="false">
      <c r="J1643" s="14" t="b">
        <f aca="false">IF(중복검사!$A1641="",FALSE(),중복검사!$H1641="중복")</f>
        <v>0</v>
      </c>
      <c r="K1643" s="5" t="str">
        <f aca="false">IF($J1643=FALSE(),"",COUNTIF($J$6:$J1643,TRUE()))</f>
        <v/>
      </c>
      <c r="L1643" s="5" t="str">
        <f aca="false">IF($K1643="","","R"&amp;$K1643)</f>
        <v/>
      </c>
    </row>
    <row r="1644" customFormat="false" ht="15" hidden="false" customHeight="true" outlineLevel="0" collapsed="false">
      <c r="J1644" s="14" t="b">
        <f aca="false">IF(중복검사!$A1642="",FALSE(),중복검사!$H1642="중복")</f>
        <v>0</v>
      </c>
      <c r="K1644" s="5" t="str">
        <f aca="false">IF($J1644=FALSE(),"",COUNTIF($J$6:$J1644,TRUE()))</f>
        <v/>
      </c>
      <c r="L1644" s="5" t="str">
        <f aca="false">IF($K1644="","","R"&amp;$K1644)</f>
        <v/>
      </c>
    </row>
    <row r="1645" customFormat="false" ht="15" hidden="false" customHeight="true" outlineLevel="0" collapsed="false">
      <c r="J1645" s="14" t="b">
        <f aca="false">IF(중복검사!$A1643="",FALSE(),중복검사!$H1643="중복")</f>
        <v>0</v>
      </c>
      <c r="K1645" s="5" t="str">
        <f aca="false">IF($J1645=FALSE(),"",COUNTIF($J$6:$J1645,TRUE()))</f>
        <v/>
      </c>
      <c r="L1645" s="5" t="str">
        <f aca="false">IF($K1645="","","R"&amp;$K1645)</f>
        <v/>
      </c>
    </row>
    <row r="1646" customFormat="false" ht="15" hidden="false" customHeight="true" outlineLevel="0" collapsed="false">
      <c r="J1646" s="14" t="b">
        <f aca="false">IF(중복검사!$A1644="",FALSE(),중복검사!$H1644="중복")</f>
        <v>0</v>
      </c>
      <c r="K1646" s="5" t="str">
        <f aca="false">IF($J1646=FALSE(),"",COUNTIF($J$6:$J1646,TRUE()))</f>
        <v/>
      </c>
      <c r="L1646" s="5" t="str">
        <f aca="false">IF($K1646="","","R"&amp;$K1646)</f>
        <v/>
      </c>
    </row>
    <row r="1647" customFormat="false" ht="15" hidden="false" customHeight="true" outlineLevel="0" collapsed="false">
      <c r="J1647" s="14" t="b">
        <f aca="false">IF(중복검사!$A1645="",FALSE(),중복검사!$H1645="중복")</f>
        <v>0</v>
      </c>
      <c r="K1647" s="5" t="str">
        <f aca="false">IF($J1647=FALSE(),"",COUNTIF($J$6:$J1647,TRUE()))</f>
        <v/>
      </c>
      <c r="L1647" s="5" t="str">
        <f aca="false">IF($K1647="","","R"&amp;$K1647)</f>
        <v/>
      </c>
    </row>
    <row r="1648" customFormat="false" ht="15" hidden="false" customHeight="true" outlineLevel="0" collapsed="false">
      <c r="J1648" s="14" t="b">
        <f aca="false">IF(중복검사!$A1646="",FALSE(),중복검사!$H1646="중복")</f>
        <v>0</v>
      </c>
      <c r="K1648" s="5" t="str">
        <f aca="false">IF($J1648=FALSE(),"",COUNTIF($J$6:$J1648,TRUE()))</f>
        <v/>
      </c>
      <c r="L1648" s="5" t="str">
        <f aca="false">IF($K1648="","","R"&amp;$K1648)</f>
        <v/>
      </c>
    </row>
    <row r="1649" customFormat="false" ht="15" hidden="false" customHeight="true" outlineLevel="0" collapsed="false">
      <c r="J1649" s="14" t="b">
        <f aca="false">IF(중복검사!$A1647="",FALSE(),중복검사!$H1647="중복")</f>
        <v>0</v>
      </c>
      <c r="K1649" s="5" t="str">
        <f aca="false">IF($J1649=FALSE(),"",COUNTIF($J$6:$J1649,TRUE()))</f>
        <v/>
      </c>
      <c r="L1649" s="5" t="str">
        <f aca="false">IF($K1649="","","R"&amp;$K1649)</f>
        <v/>
      </c>
    </row>
    <row r="1650" customFormat="false" ht="15" hidden="false" customHeight="true" outlineLevel="0" collapsed="false">
      <c r="J1650" s="14" t="b">
        <f aca="false">IF(중복검사!$A1648="",FALSE(),중복검사!$H1648="중복")</f>
        <v>0</v>
      </c>
      <c r="K1650" s="5" t="str">
        <f aca="false">IF($J1650=FALSE(),"",COUNTIF($J$6:$J1650,TRUE()))</f>
        <v/>
      </c>
      <c r="L1650" s="5" t="str">
        <f aca="false">IF($K1650="","","R"&amp;$K1650)</f>
        <v/>
      </c>
    </row>
    <row r="1651" customFormat="false" ht="15" hidden="false" customHeight="true" outlineLevel="0" collapsed="false">
      <c r="J1651" s="14" t="b">
        <f aca="false">IF(중복검사!$A1649="",FALSE(),중복검사!$H1649="중복")</f>
        <v>0</v>
      </c>
      <c r="K1651" s="5" t="str">
        <f aca="false">IF($J1651=FALSE(),"",COUNTIF($J$6:$J1651,TRUE()))</f>
        <v/>
      </c>
      <c r="L1651" s="5" t="str">
        <f aca="false">IF($K1651="","","R"&amp;$K1651)</f>
        <v/>
      </c>
    </row>
    <row r="1652" customFormat="false" ht="15" hidden="false" customHeight="true" outlineLevel="0" collapsed="false">
      <c r="J1652" s="14" t="b">
        <f aca="false">IF(중복검사!$A1650="",FALSE(),중복검사!$H1650="중복")</f>
        <v>0</v>
      </c>
      <c r="K1652" s="5" t="str">
        <f aca="false">IF($J1652=FALSE(),"",COUNTIF($J$6:$J1652,TRUE()))</f>
        <v/>
      </c>
      <c r="L1652" s="5" t="str">
        <f aca="false">IF($K1652="","","R"&amp;$K1652)</f>
        <v/>
      </c>
    </row>
    <row r="1653" customFormat="false" ht="15" hidden="false" customHeight="true" outlineLevel="0" collapsed="false">
      <c r="J1653" s="14" t="b">
        <f aca="false">IF(중복검사!$A1651="",FALSE(),중복검사!$H1651="중복")</f>
        <v>0</v>
      </c>
      <c r="K1653" s="5" t="str">
        <f aca="false">IF($J1653=FALSE(),"",COUNTIF($J$6:$J1653,TRUE()))</f>
        <v/>
      </c>
      <c r="L1653" s="5" t="str">
        <f aca="false">IF($K1653="","","R"&amp;$K1653)</f>
        <v/>
      </c>
    </row>
    <row r="1654" customFormat="false" ht="15" hidden="false" customHeight="true" outlineLevel="0" collapsed="false">
      <c r="J1654" s="14" t="b">
        <f aca="false">IF(중복검사!$A1652="",FALSE(),중복검사!$H1652="중복")</f>
        <v>0</v>
      </c>
      <c r="K1654" s="5" t="str">
        <f aca="false">IF($J1654=FALSE(),"",COUNTIF($J$6:$J1654,TRUE()))</f>
        <v/>
      </c>
      <c r="L1654" s="5" t="str">
        <f aca="false">IF($K1654="","","R"&amp;$K1654)</f>
        <v/>
      </c>
    </row>
    <row r="1655" customFormat="false" ht="15" hidden="false" customHeight="true" outlineLevel="0" collapsed="false">
      <c r="J1655" s="14" t="b">
        <f aca="false">IF(중복검사!$A1653="",FALSE(),중복검사!$H1653="중복")</f>
        <v>0</v>
      </c>
      <c r="K1655" s="5" t="str">
        <f aca="false">IF($J1655=FALSE(),"",COUNTIF($J$6:$J1655,TRUE()))</f>
        <v/>
      </c>
      <c r="L1655" s="5" t="str">
        <f aca="false">IF($K1655="","","R"&amp;$K1655)</f>
        <v/>
      </c>
    </row>
    <row r="1656" customFormat="false" ht="15" hidden="false" customHeight="true" outlineLevel="0" collapsed="false">
      <c r="J1656" s="14" t="b">
        <f aca="false">IF(중복검사!$A1654="",FALSE(),중복검사!$H1654="중복")</f>
        <v>0</v>
      </c>
      <c r="K1656" s="5" t="str">
        <f aca="false">IF($J1656=FALSE(),"",COUNTIF($J$6:$J1656,TRUE()))</f>
        <v/>
      </c>
      <c r="L1656" s="5" t="str">
        <f aca="false">IF($K1656="","","R"&amp;$K1656)</f>
        <v/>
      </c>
    </row>
    <row r="1657" customFormat="false" ht="15" hidden="false" customHeight="true" outlineLevel="0" collapsed="false">
      <c r="J1657" s="14" t="b">
        <f aca="false">IF(중복검사!$A1655="",FALSE(),중복검사!$H1655="중복")</f>
        <v>0</v>
      </c>
      <c r="K1657" s="5" t="str">
        <f aca="false">IF($J1657=FALSE(),"",COUNTIF($J$6:$J1657,TRUE()))</f>
        <v/>
      </c>
      <c r="L1657" s="5" t="str">
        <f aca="false">IF($K1657="","","R"&amp;$K1657)</f>
        <v/>
      </c>
    </row>
    <row r="1658" customFormat="false" ht="15" hidden="false" customHeight="true" outlineLevel="0" collapsed="false">
      <c r="J1658" s="14" t="b">
        <f aca="false">IF(중복검사!$A1656="",FALSE(),중복검사!$H1656="중복")</f>
        <v>0</v>
      </c>
      <c r="K1658" s="5" t="str">
        <f aca="false">IF($J1658=FALSE(),"",COUNTIF($J$6:$J1658,TRUE()))</f>
        <v/>
      </c>
      <c r="L1658" s="5" t="str">
        <f aca="false">IF($K1658="","","R"&amp;$K1658)</f>
        <v/>
      </c>
    </row>
    <row r="1659" customFormat="false" ht="15" hidden="false" customHeight="true" outlineLevel="0" collapsed="false">
      <c r="J1659" s="14" t="b">
        <f aca="false">IF(중복검사!$A1657="",FALSE(),중복검사!$H1657="중복")</f>
        <v>0</v>
      </c>
      <c r="K1659" s="5" t="str">
        <f aca="false">IF($J1659=FALSE(),"",COUNTIF($J$6:$J1659,TRUE()))</f>
        <v/>
      </c>
      <c r="L1659" s="5" t="str">
        <f aca="false">IF($K1659="","","R"&amp;$K1659)</f>
        <v/>
      </c>
    </row>
    <row r="1660" customFormat="false" ht="15" hidden="false" customHeight="true" outlineLevel="0" collapsed="false">
      <c r="J1660" s="14" t="b">
        <f aca="false">IF(중복검사!$A1658="",FALSE(),중복검사!$H1658="중복")</f>
        <v>0</v>
      </c>
      <c r="K1660" s="5" t="str">
        <f aca="false">IF($J1660=FALSE(),"",COUNTIF($J$6:$J1660,TRUE()))</f>
        <v/>
      </c>
      <c r="L1660" s="5" t="str">
        <f aca="false">IF($K1660="","","R"&amp;$K1660)</f>
        <v/>
      </c>
    </row>
    <row r="1661" customFormat="false" ht="15" hidden="false" customHeight="true" outlineLevel="0" collapsed="false">
      <c r="J1661" s="14" t="b">
        <f aca="false">IF(중복검사!$A1659="",FALSE(),중복검사!$H1659="중복")</f>
        <v>0</v>
      </c>
      <c r="K1661" s="5" t="str">
        <f aca="false">IF($J1661=FALSE(),"",COUNTIF($J$6:$J1661,TRUE()))</f>
        <v/>
      </c>
      <c r="L1661" s="5" t="str">
        <f aca="false">IF($K1661="","","R"&amp;$K1661)</f>
        <v/>
      </c>
    </row>
    <row r="1662" customFormat="false" ht="15" hidden="false" customHeight="true" outlineLevel="0" collapsed="false">
      <c r="J1662" s="14" t="b">
        <f aca="false">IF(중복검사!$A1660="",FALSE(),중복검사!$H1660="중복")</f>
        <v>0</v>
      </c>
      <c r="K1662" s="5" t="str">
        <f aca="false">IF($J1662=FALSE(),"",COUNTIF($J$6:$J1662,TRUE()))</f>
        <v/>
      </c>
      <c r="L1662" s="5" t="str">
        <f aca="false">IF($K1662="","","R"&amp;$K1662)</f>
        <v/>
      </c>
    </row>
    <row r="1663" customFormat="false" ht="15" hidden="false" customHeight="true" outlineLevel="0" collapsed="false">
      <c r="J1663" s="14" t="b">
        <f aca="false">IF(중복검사!$A1661="",FALSE(),중복검사!$H1661="중복")</f>
        <v>0</v>
      </c>
      <c r="K1663" s="5" t="str">
        <f aca="false">IF($J1663=FALSE(),"",COUNTIF($J$6:$J1663,TRUE()))</f>
        <v/>
      </c>
      <c r="L1663" s="5" t="str">
        <f aca="false">IF($K1663="","","R"&amp;$K1663)</f>
        <v/>
      </c>
    </row>
    <row r="1664" customFormat="false" ht="15" hidden="false" customHeight="true" outlineLevel="0" collapsed="false">
      <c r="J1664" s="14" t="b">
        <f aca="false">IF(중복검사!$A1662="",FALSE(),중복검사!$H1662="중복")</f>
        <v>0</v>
      </c>
      <c r="K1664" s="5" t="str">
        <f aca="false">IF($J1664=FALSE(),"",COUNTIF($J$6:$J1664,TRUE()))</f>
        <v/>
      </c>
      <c r="L1664" s="5" t="str">
        <f aca="false">IF($K1664="","","R"&amp;$K1664)</f>
        <v/>
      </c>
    </row>
    <row r="1665" customFormat="false" ht="15" hidden="false" customHeight="true" outlineLevel="0" collapsed="false">
      <c r="J1665" s="14" t="b">
        <f aca="false">IF(중복검사!$A1663="",FALSE(),중복검사!$H1663="중복")</f>
        <v>0</v>
      </c>
      <c r="K1665" s="5" t="str">
        <f aca="false">IF($J1665=FALSE(),"",COUNTIF($J$6:$J1665,TRUE()))</f>
        <v/>
      </c>
      <c r="L1665" s="5" t="str">
        <f aca="false">IF($K1665="","","R"&amp;$K1665)</f>
        <v/>
      </c>
    </row>
    <row r="1666" customFormat="false" ht="15" hidden="false" customHeight="true" outlineLevel="0" collapsed="false">
      <c r="J1666" s="14" t="b">
        <f aca="false">IF(중복검사!$A1664="",FALSE(),중복검사!$H1664="중복")</f>
        <v>0</v>
      </c>
      <c r="K1666" s="5" t="str">
        <f aca="false">IF($J1666=FALSE(),"",COUNTIF($J$6:$J1666,TRUE()))</f>
        <v/>
      </c>
      <c r="L1666" s="5" t="str">
        <f aca="false">IF($K1666="","","R"&amp;$K1666)</f>
        <v/>
      </c>
    </row>
    <row r="1667" customFormat="false" ht="15" hidden="false" customHeight="true" outlineLevel="0" collapsed="false">
      <c r="J1667" s="14" t="b">
        <f aca="false">IF(중복검사!$A1665="",FALSE(),중복검사!$H1665="중복")</f>
        <v>0</v>
      </c>
      <c r="K1667" s="5" t="str">
        <f aca="false">IF($J1667=FALSE(),"",COUNTIF($J$6:$J1667,TRUE()))</f>
        <v/>
      </c>
      <c r="L1667" s="5" t="str">
        <f aca="false">IF($K1667="","","R"&amp;$K1667)</f>
        <v/>
      </c>
    </row>
    <row r="1668" customFormat="false" ht="15" hidden="false" customHeight="true" outlineLevel="0" collapsed="false">
      <c r="J1668" s="14" t="b">
        <f aca="false">IF(중복검사!$A1666="",FALSE(),중복검사!$H1666="중복")</f>
        <v>0</v>
      </c>
      <c r="K1668" s="5" t="str">
        <f aca="false">IF($J1668=FALSE(),"",COUNTIF($J$6:$J1668,TRUE()))</f>
        <v/>
      </c>
      <c r="L1668" s="5" t="str">
        <f aca="false">IF($K1668="","","R"&amp;$K1668)</f>
        <v/>
      </c>
    </row>
    <row r="1669" customFormat="false" ht="15" hidden="false" customHeight="true" outlineLevel="0" collapsed="false">
      <c r="J1669" s="14" t="b">
        <f aca="false">IF(중복검사!$A1667="",FALSE(),중복검사!$H1667="중복")</f>
        <v>0</v>
      </c>
      <c r="K1669" s="5" t="str">
        <f aca="false">IF($J1669=FALSE(),"",COUNTIF($J$6:$J1669,TRUE()))</f>
        <v/>
      </c>
      <c r="L1669" s="5" t="str">
        <f aca="false">IF($K1669="","","R"&amp;$K1669)</f>
        <v/>
      </c>
    </row>
    <row r="1670" customFormat="false" ht="15" hidden="false" customHeight="true" outlineLevel="0" collapsed="false">
      <c r="J1670" s="14" t="b">
        <f aca="false">IF(중복검사!$A1668="",FALSE(),중복검사!$H1668="중복")</f>
        <v>0</v>
      </c>
      <c r="K1670" s="5" t="str">
        <f aca="false">IF($J1670=FALSE(),"",COUNTIF($J$6:$J1670,TRUE()))</f>
        <v/>
      </c>
      <c r="L1670" s="5" t="str">
        <f aca="false">IF($K1670="","","R"&amp;$K1670)</f>
        <v/>
      </c>
    </row>
    <row r="1671" customFormat="false" ht="15" hidden="false" customHeight="true" outlineLevel="0" collapsed="false">
      <c r="J1671" s="14" t="b">
        <f aca="false">IF(중복검사!$A1669="",FALSE(),중복검사!$H1669="중복")</f>
        <v>0</v>
      </c>
      <c r="K1671" s="5" t="str">
        <f aca="false">IF($J1671=FALSE(),"",COUNTIF($J$6:$J1671,TRUE()))</f>
        <v/>
      </c>
      <c r="L1671" s="5" t="str">
        <f aca="false">IF($K1671="","","R"&amp;$K1671)</f>
        <v/>
      </c>
    </row>
    <row r="1672" customFormat="false" ht="15" hidden="false" customHeight="true" outlineLevel="0" collapsed="false">
      <c r="J1672" s="14" t="b">
        <f aca="false">IF(중복검사!$A1670="",FALSE(),중복검사!$H1670="중복")</f>
        <v>0</v>
      </c>
      <c r="K1672" s="5" t="str">
        <f aca="false">IF($J1672=FALSE(),"",COUNTIF($J$6:$J1672,TRUE()))</f>
        <v/>
      </c>
      <c r="L1672" s="5" t="str">
        <f aca="false">IF($K1672="","","R"&amp;$K1672)</f>
        <v/>
      </c>
    </row>
    <row r="1673" customFormat="false" ht="15" hidden="false" customHeight="true" outlineLevel="0" collapsed="false">
      <c r="J1673" s="14" t="b">
        <f aca="false">IF(중복검사!$A1671="",FALSE(),중복검사!$H1671="중복")</f>
        <v>0</v>
      </c>
      <c r="K1673" s="5" t="str">
        <f aca="false">IF($J1673=FALSE(),"",COUNTIF($J$6:$J1673,TRUE()))</f>
        <v/>
      </c>
      <c r="L1673" s="5" t="str">
        <f aca="false">IF($K1673="","","R"&amp;$K1673)</f>
        <v/>
      </c>
    </row>
    <row r="1674" customFormat="false" ht="15" hidden="false" customHeight="true" outlineLevel="0" collapsed="false">
      <c r="J1674" s="14" t="b">
        <f aca="false">IF(중복검사!$A1672="",FALSE(),중복검사!$H1672="중복")</f>
        <v>0</v>
      </c>
      <c r="K1674" s="5" t="str">
        <f aca="false">IF($J1674=FALSE(),"",COUNTIF($J$6:$J1674,TRUE()))</f>
        <v/>
      </c>
      <c r="L1674" s="5" t="str">
        <f aca="false">IF($K1674="","","R"&amp;$K1674)</f>
        <v/>
      </c>
    </row>
    <row r="1675" customFormat="false" ht="15" hidden="false" customHeight="true" outlineLevel="0" collapsed="false">
      <c r="J1675" s="14" t="b">
        <f aca="false">IF(중복검사!$A1673="",FALSE(),중복검사!$H1673="중복")</f>
        <v>0</v>
      </c>
      <c r="K1675" s="5" t="str">
        <f aca="false">IF($J1675=FALSE(),"",COUNTIF($J$6:$J1675,TRUE()))</f>
        <v/>
      </c>
      <c r="L1675" s="5" t="str">
        <f aca="false">IF($K1675="","","R"&amp;$K1675)</f>
        <v/>
      </c>
    </row>
    <row r="1676" customFormat="false" ht="15" hidden="false" customHeight="true" outlineLevel="0" collapsed="false">
      <c r="J1676" s="14" t="b">
        <f aca="false">IF(중복검사!$A1674="",FALSE(),중복검사!$H1674="중복")</f>
        <v>0</v>
      </c>
      <c r="K1676" s="5" t="str">
        <f aca="false">IF($J1676=FALSE(),"",COUNTIF($J$6:$J1676,TRUE()))</f>
        <v/>
      </c>
      <c r="L1676" s="5" t="str">
        <f aca="false">IF($K1676="","","R"&amp;$K1676)</f>
        <v/>
      </c>
    </row>
    <row r="1677" customFormat="false" ht="15" hidden="false" customHeight="true" outlineLevel="0" collapsed="false">
      <c r="J1677" s="14" t="b">
        <f aca="false">IF(중복검사!$A1675="",FALSE(),중복검사!$H1675="중복")</f>
        <v>0</v>
      </c>
      <c r="K1677" s="5" t="str">
        <f aca="false">IF($J1677=FALSE(),"",COUNTIF($J$6:$J1677,TRUE()))</f>
        <v/>
      </c>
      <c r="L1677" s="5" t="str">
        <f aca="false">IF($K1677="","","R"&amp;$K1677)</f>
        <v/>
      </c>
    </row>
    <row r="1678" customFormat="false" ht="15" hidden="false" customHeight="true" outlineLevel="0" collapsed="false">
      <c r="J1678" s="14" t="b">
        <f aca="false">IF(중복검사!$A1676="",FALSE(),중복검사!$H1676="중복")</f>
        <v>0</v>
      </c>
      <c r="K1678" s="5" t="str">
        <f aca="false">IF($J1678=FALSE(),"",COUNTIF($J$6:$J1678,TRUE()))</f>
        <v/>
      </c>
      <c r="L1678" s="5" t="str">
        <f aca="false">IF($K1678="","","R"&amp;$K1678)</f>
        <v/>
      </c>
    </row>
    <row r="1679" customFormat="false" ht="15" hidden="false" customHeight="true" outlineLevel="0" collapsed="false">
      <c r="J1679" s="14" t="b">
        <f aca="false">IF(중복검사!$A1677="",FALSE(),중복검사!$H1677="중복")</f>
        <v>0</v>
      </c>
      <c r="K1679" s="5" t="str">
        <f aca="false">IF($J1679=FALSE(),"",COUNTIF($J$6:$J1679,TRUE()))</f>
        <v/>
      </c>
      <c r="L1679" s="5" t="str">
        <f aca="false">IF($K1679="","","R"&amp;$K1679)</f>
        <v/>
      </c>
    </row>
    <row r="1680" customFormat="false" ht="15" hidden="false" customHeight="true" outlineLevel="0" collapsed="false">
      <c r="J1680" s="14" t="b">
        <f aca="false">IF(중복검사!$A1678="",FALSE(),중복검사!$H1678="중복")</f>
        <v>0</v>
      </c>
      <c r="K1680" s="5" t="str">
        <f aca="false">IF($J1680=FALSE(),"",COUNTIF($J$6:$J1680,TRUE()))</f>
        <v/>
      </c>
      <c r="L1680" s="5" t="str">
        <f aca="false">IF($K1680="","","R"&amp;$K1680)</f>
        <v/>
      </c>
    </row>
    <row r="1681" customFormat="false" ht="15" hidden="false" customHeight="true" outlineLevel="0" collapsed="false">
      <c r="J1681" s="14" t="b">
        <f aca="false">IF(중복검사!$A1679="",FALSE(),중복검사!$H1679="중복")</f>
        <v>0</v>
      </c>
      <c r="K1681" s="5" t="str">
        <f aca="false">IF($J1681=FALSE(),"",COUNTIF($J$6:$J1681,TRUE()))</f>
        <v/>
      </c>
      <c r="L1681" s="5" t="str">
        <f aca="false">IF($K1681="","","R"&amp;$K1681)</f>
        <v/>
      </c>
    </row>
    <row r="1682" customFormat="false" ht="15" hidden="false" customHeight="true" outlineLevel="0" collapsed="false">
      <c r="J1682" s="14" t="b">
        <f aca="false">IF(중복검사!$A1680="",FALSE(),중복검사!$H1680="중복")</f>
        <v>0</v>
      </c>
      <c r="K1682" s="5" t="str">
        <f aca="false">IF($J1682=FALSE(),"",COUNTIF($J$6:$J1682,TRUE()))</f>
        <v/>
      </c>
      <c r="L1682" s="5" t="str">
        <f aca="false">IF($K1682="","","R"&amp;$K1682)</f>
        <v/>
      </c>
    </row>
    <row r="1683" customFormat="false" ht="15" hidden="false" customHeight="true" outlineLevel="0" collapsed="false">
      <c r="J1683" s="14" t="b">
        <f aca="false">IF(중복검사!$A1681="",FALSE(),중복검사!$H1681="중복")</f>
        <v>0</v>
      </c>
      <c r="K1683" s="5" t="str">
        <f aca="false">IF($J1683=FALSE(),"",COUNTIF($J$6:$J1683,TRUE()))</f>
        <v/>
      </c>
      <c r="L1683" s="5" t="str">
        <f aca="false">IF($K1683="","","R"&amp;$K1683)</f>
        <v/>
      </c>
    </row>
    <row r="1684" customFormat="false" ht="15" hidden="false" customHeight="true" outlineLevel="0" collapsed="false">
      <c r="J1684" s="14" t="b">
        <f aca="false">IF(중복검사!$A1682="",FALSE(),중복검사!$H1682="중복")</f>
        <v>0</v>
      </c>
      <c r="K1684" s="5" t="str">
        <f aca="false">IF($J1684=FALSE(),"",COUNTIF($J$6:$J1684,TRUE()))</f>
        <v/>
      </c>
      <c r="L1684" s="5" t="str">
        <f aca="false">IF($K1684="","","R"&amp;$K1684)</f>
        <v/>
      </c>
    </row>
    <row r="1685" customFormat="false" ht="15" hidden="false" customHeight="true" outlineLevel="0" collapsed="false">
      <c r="J1685" s="14" t="b">
        <f aca="false">IF(중복검사!$A1683="",FALSE(),중복검사!$H1683="중복")</f>
        <v>0</v>
      </c>
      <c r="K1685" s="5" t="str">
        <f aca="false">IF($J1685=FALSE(),"",COUNTIF($J$6:$J1685,TRUE()))</f>
        <v/>
      </c>
      <c r="L1685" s="5" t="str">
        <f aca="false">IF($K1685="","","R"&amp;$K1685)</f>
        <v/>
      </c>
    </row>
    <row r="1686" customFormat="false" ht="15" hidden="false" customHeight="true" outlineLevel="0" collapsed="false">
      <c r="J1686" s="14" t="b">
        <f aca="false">IF(중복검사!$A1684="",FALSE(),중복검사!$H1684="중복")</f>
        <v>0</v>
      </c>
      <c r="K1686" s="5" t="str">
        <f aca="false">IF($J1686=FALSE(),"",COUNTIF($J$6:$J1686,TRUE()))</f>
        <v/>
      </c>
      <c r="L1686" s="5" t="str">
        <f aca="false">IF($K1686="","","R"&amp;$K1686)</f>
        <v/>
      </c>
    </row>
    <row r="1687" customFormat="false" ht="15" hidden="false" customHeight="true" outlineLevel="0" collapsed="false">
      <c r="J1687" s="14" t="b">
        <f aca="false">IF(중복검사!$A1685="",FALSE(),중복검사!$H1685="중복")</f>
        <v>0</v>
      </c>
      <c r="K1687" s="5" t="str">
        <f aca="false">IF($J1687=FALSE(),"",COUNTIF($J$6:$J1687,TRUE()))</f>
        <v/>
      </c>
      <c r="L1687" s="5" t="str">
        <f aca="false">IF($K1687="","","R"&amp;$K1687)</f>
        <v/>
      </c>
    </row>
    <row r="1688" customFormat="false" ht="15" hidden="false" customHeight="true" outlineLevel="0" collapsed="false">
      <c r="J1688" s="14" t="b">
        <f aca="false">IF(중복검사!$A1686="",FALSE(),중복검사!$H1686="중복")</f>
        <v>0</v>
      </c>
      <c r="K1688" s="5" t="str">
        <f aca="false">IF($J1688=FALSE(),"",COUNTIF($J$6:$J1688,TRUE()))</f>
        <v/>
      </c>
      <c r="L1688" s="5" t="str">
        <f aca="false">IF($K1688="","","R"&amp;$K1688)</f>
        <v/>
      </c>
    </row>
    <row r="1689" customFormat="false" ht="15" hidden="false" customHeight="true" outlineLevel="0" collapsed="false">
      <c r="J1689" s="14" t="b">
        <f aca="false">IF(중복검사!$A1687="",FALSE(),중복검사!$H1687="중복")</f>
        <v>0</v>
      </c>
      <c r="K1689" s="5" t="str">
        <f aca="false">IF($J1689=FALSE(),"",COUNTIF($J$6:$J1689,TRUE()))</f>
        <v/>
      </c>
      <c r="L1689" s="5" t="str">
        <f aca="false">IF($K1689="","","R"&amp;$K1689)</f>
        <v/>
      </c>
    </row>
    <row r="1690" customFormat="false" ht="15" hidden="false" customHeight="true" outlineLevel="0" collapsed="false">
      <c r="J1690" s="14" t="b">
        <f aca="false">IF(중복검사!$A1688="",FALSE(),중복검사!$H1688="중복")</f>
        <v>0</v>
      </c>
      <c r="K1690" s="5" t="str">
        <f aca="false">IF($J1690=FALSE(),"",COUNTIF($J$6:$J1690,TRUE()))</f>
        <v/>
      </c>
      <c r="L1690" s="5" t="str">
        <f aca="false">IF($K1690="","","R"&amp;$K1690)</f>
        <v/>
      </c>
    </row>
    <row r="1691" customFormat="false" ht="15" hidden="false" customHeight="true" outlineLevel="0" collapsed="false">
      <c r="J1691" s="14" t="b">
        <f aca="false">IF(중복검사!$A1689="",FALSE(),중복검사!$H1689="중복")</f>
        <v>0</v>
      </c>
      <c r="K1691" s="5" t="str">
        <f aca="false">IF($J1691=FALSE(),"",COUNTIF($J$6:$J1691,TRUE()))</f>
        <v/>
      </c>
      <c r="L1691" s="5" t="str">
        <f aca="false">IF($K1691="","","R"&amp;$K1691)</f>
        <v/>
      </c>
    </row>
    <row r="1692" customFormat="false" ht="15" hidden="false" customHeight="true" outlineLevel="0" collapsed="false">
      <c r="J1692" s="14" t="b">
        <f aca="false">IF(중복검사!$A1690="",FALSE(),중복검사!$H1690="중복")</f>
        <v>0</v>
      </c>
      <c r="K1692" s="5" t="str">
        <f aca="false">IF($J1692=FALSE(),"",COUNTIF($J$6:$J1692,TRUE()))</f>
        <v/>
      </c>
      <c r="L1692" s="5" t="str">
        <f aca="false">IF($K1692="","","R"&amp;$K1692)</f>
        <v/>
      </c>
    </row>
    <row r="1693" customFormat="false" ht="15" hidden="false" customHeight="true" outlineLevel="0" collapsed="false">
      <c r="J1693" s="14" t="b">
        <f aca="false">IF(중복검사!$A1691="",FALSE(),중복검사!$H1691="중복")</f>
        <v>0</v>
      </c>
      <c r="K1693" s="5" t="str">
        <f aca="false">IF($J1693=FALSE(),"",COUNTIF($J$6:$J1693,TRUE()))</f>
        <v/>
      </c>
      <c r="L1693" s="5" t="str">
        <f aca="false">IF($K1693="","","R"&amp;$K1693)</f>
        <v/>
      </c>
    </row>
    <row r="1694" customFormat="false" ht="15" hidden="false" customHeight="true" outlineLevel="0" collapsed="false">
      <c r="J1694" s="14" t="b">
        <f aca="false">IF(중복검사!$A1692="",FALSE(),중복검사!$H1692="중복")</f>
        <v>0</v>
      </c>
      <c r="K1694" s="5" t="str">
        <f aca="false">IF($J1694=FALSE(),"",COUNTIF($J$6:$J1694,TRUE()))</f>
        <v/>
      </c>
      <c r="L1694" s="5" t="str">
        <f aca="false">IF($K1694="","","R"&amp;$K1694)</f>
        <v/>
      </c>
    </row>
    <row r="1695" customFormat="false" ht="15" hidden="false" customHeight="true" outlineLevel="0" collapsed="false">
      <c r="J1695" s="14" t="b">
        <f aca="false">IF(중복검사!$A1693="",FALSE(),중복검사!$H1693="중복")</f>
        <v>0</v>
      </c>
      <c r="K1695" s="5" t="str">
        <f aca="false">IF($J1695=FALSE(),"",COUNTIF($J$6:$J1695,TRUE()))</f>
        <v/>
      </c>
      <c r="L1695" s="5" t="str">
        <f aca="false">IF($K1695="","","R"&amp;$K1695)</f>
        <v/>
      </c>
    </row>
    <row r="1696" customFormat="false" ht="15" hidden="false" customHeight="true" outlineLevel="0" collapsed="false">
      <c r="J1696" s="14" t="b">
        <f aca="false">IF(중복검사!$A1694="",FALSE(),중복검사!$H1694="중복")</f>
        <v>0</v>
      </c>
      <c r="K1696" s="5" t="str">
        <f aca="false">IF($J1696=FALSE(),"",COUNTIF($J$6:$J1696,TRUE()))</f>
        <v/>
      </c>
      <c r="L1696" s="5" t="str">
        <f aca="false">IF($K1696="","","R"&amp;$K1696)</f>
        <v/>
      </c>
    </row>
    <row r="1697" customFormat="false" ht="15" hidden="false" customHeight="true" outlineLevel="0" collapsed="false">
      <c r="J1697" s="14" t="b">
        <f aca="false">IF(중복검사!$A1695="",FALSE(),중복검사!$H1695="중복")</f>
        <v>0</v>
      </c>
      <c r="K1697" s="5" t="str">
        <f aca="false">IF($J1697=FALSE(),"",COUNTIF($J$6:$J1697,TRUE()))</f>
        <v/>
      </c>
      <c r="L1697" s="5" t="str">
        <f aca="false">IF($K1697="","","R"&amp;$K1697)</f>
        <v/>
      </c>
    </row>
    <row r="1698" customFormat="false" ht="15" hidden="false" customHeight="true" outlineLevel="0" collapsed="false">
      <c r="J1698" s="14" t="b">
        <f aca="false">IF(중복검사!$A1696="",FALSE(),중복검사!$H1696="중복")</f>
        <v>0</v>
      </c>
      <c r="K1698" s="5" t="str">
        <f aca="false">IF($J1698=FALSE(),"",COUNTIF($J$6:$J1698,TRUE()))</f>
        <v/>
      </c>
      <c r="L1698" s="5" t="str">
        <f aca="false">IF($K1698="","","R"&amp;$K1698)</f>
        <v/>
      </c>
    </row>
    <row r="1699" customFormat="false" ht="15" hidden="false" customHeight="true" outlineLevel="0" collapsed="false">
      <c r="J1699" s="14" t="b">
        <f aca="false">IF(중복검사!$A1697="",FALSE(),중복검사!$H1697="중복")</f>
        <v>0</v>
      </c>
      <c r="K1699" s="5" t="str">
        <f aca="false">IF($J1699=FALSE(),"",COUNTIF($J$6:$J1699,TRUE()))</f>
        <v/>
      </c>
      <c r="L1699" s="5" t="str">
        <f aca="false">IF($K1699="","","R"&amp;$K1699)</f>
        <v/>
      </c>
    </row>
    <row r="1700" customFormat="false" ht="15" hidden="false" customHeight="true" outlineLevel="0" collapsed="false">
      <c r="J1700" s="14" t="b">
        <f aca="false">IF(중복검사!$A1698="",FALSE(),중복검사!$H1698="중복")</f>
        <v>0</v>
      </c>
      <c r="K1700" s="5" t="str">
        <f aca="false">IF($J1700=FALSE(),"",COUNTIF($J$6:$J1700,TRUE()))</f>
        <v/>
      </c>
      <c r="L1700" s="5" t="str">
        <f aca="false">IF($K1700="","","R"&amp;$K1700)</f>
        <v/>
      </c>
    </row>
    <row r="1701" customFormat="false" ht="15" hidden="false" customHeight="true" outlineLevel="0" collapsed="false">
      <c r="J1701" s="14" t="b">
        <f aca="false">IF(중복검사!$A1699="",FALSE(),중복검사!$H1699="중복")</f>
        <v>0</v>
      </c>
      <c r="K1701" s="5" t="str">
        <f aca="false">IF($J1701=FALSE(),"",COUNTIF($J$6:$J1701,TRUE()))</f>
        <v/>
      </c>
      <c r="L1701" s="5" t="str">
        <f aca="false">IF($K1701="","","R"&amp;$K1701)</f>
        <v/>
      </c>
    </row>
    <row r="1702" customFormat="false" ht="15" hidden="false" customHeight="true" outlineLevel="0" collapsed="false">
      <c r="J1702" s="14" t="b">
        <f aca="false">IF(중복검사!$A1700="",FALSE(),중복검사!$H1700="중복")</f>
        <v>0</v>
      </c>
      <c r="K1702" s="5" t="str">
        <f aca="false">IF($J1702=FALSE(),"",COUNTIF($J$6:$J1702,TRUE()))</f>
        <v/>
      </c>
      <c r="L1702" s="5" t="str">
        <f aca="false">IF($K1702="","","R"&amp;$K1702)</f>
        <v/>
      </c>
    </row>
    <row r="1703" customFormat="false" ht="15" hidden="false" customHeight="true" outlineLevel="0" collapsed="false">
      <c r="J1703" s="14" t="b">
        <f aca="false">IF(중복검사!$A1701="",FALSE(),중복검사!$H1701="중복")</f>
        <v>0</v>
      </c>
      <c r="K1703" s="5" t="str">
        <f aca="false">IF($J1703=FALSE(),"",COUNTIF($J$6:$J1703,TRUE()))</f>
        <v/>
      </c>
      <c r="L1703" s="5" t="str">
        <f aca="false">IF($K1703="","","R"&amp;$K1703)</f>
        <v/>
      </c>
    </row>
    <row r="1704" customFormat="false" ht="15" hidden="false" customHeight="true" outlineLevel="0" collapsed="false">
      <c r="J1704" s="14" t="b">
        <f aca="false">IF(중복검사!$A1702="",FALSE(),중복검사!$H1702="중복")</f>
        <v>0</v>
      </c>
      <c r="K1704" s="5" t="str">
        <f aca="false">IF($J1704=FALSE(),"",COUNTIF($J$6:$J1704,TRUE()))</f>
        <v/>
      </c>
      <c r="L1704" s="5" t="str">
        <f aca="false">IF($K1704="","","R"&amp;$K1704)</f>
        <v/>
      </c>
    </row>
    <row r="1705" customFormat="false" ht="15" hidden="false" customHeight="true" outlineLevel="0" collapsed="false">
      <c r="J1705" s="14" t="b">
        <f aca="false">IF(중복검사!$A1703="",FALSE(),중복검사!$H1703="중복")</f>
        <v>0</v>
      </c>
      <c r="K1705" s="5" t="str">
        <f aca="false">IF($J1705=FALSE(),"",COUNTIF($J$6:$J1705,TRUE()))</f>
        <v/>
      </c>
      <c r="L1705" s="5" t="str">
        <f aca="false">IF($K1705="","","R"&amp;$K1705)</f>
        <v/>
      </c>
    </row>
    <row r="1706" customFormat="false" ht="15" hidden="false" customHeight="true" outlineLevel="0" collapsed="false">
      <c r="J1706" s="14" t="b">
        <f aca="false">IF(중복검사!$A1704="",FALSE(),중복검사!$H1704="중복")</f>
        <v>0</v>
      </c>
      <c r="K1706" s="5" t="str">
        <f aca="false">IF($J1706=FALSE(),"",COUNTIF($J$6:$J1706,TRUE()))</f>
        <v/>
      </c>
      <c r="L1706" s="5" t="str">
        <f aca="false">IF($K1706="","","R"&amp;$K1706)</f>
        <v/>
      </c>
    </row>
    <row r="1707" customFormat="false" ht="15" hidden="false" customHeight="true" outlineLevel="0" collapsed="false">
      <c r="J1707" s="14" t="b">
        <f aca="false">IF(중복검사!$A1705="",FALSE(),중복검사!$H1705="중복")</f>
        <v>0</v>
      </c>
      <c r="K1707" s="5" t="str">
        <f aca="false">IF($J1707=FALSE(),"",COUNTIF($J$6:$J1707,TRUE()))</f>
        <v/>
      </c>
      <c r="L1707" s="5" t="str">
        <f aca="false">IF($K1707="","","R"&amp;$K1707)</f>
        <v/>
      </c>
    </row>
    <row r="1708" customFormat="false" ht="15" hidden="false" customHeight="true" outlineLevel="0" collapsed="false">
      <c r="J1708" s="14" t="b">
        <f aca="false">IF(중복검사!$A1706="",FALSE(),중복검사!$H1706="중복")</f>
        <v>0</v>
      </c>
      <c r="K1708" s="5" t="str">
        <f aca="false">IF($J1708=FALSE(),"",COUNTIF($J$6:$J1708,TRUE()))</f>
        <v/>
      </c>
      <c r="L1708" s="5" t="str">
        <f aca="false">IF($K1708="","","R"&amp;$K1708)</f>
        <v/>
      </c>
    </row>
    <row r="1709" customFormat="false" ht="15" hidden="false" customHeight="true" outlineLevel="0" collapsed="false">
      <c r="J1709" s="14" t="b">
        <f aca="false">IF(중복검사!$A1707="",FALSE(),중복검사!$H1707="중복")</f>
        <v>0</v>
      </c>
      <c r="K1709" s="5" t="str">
        <f aca="false">IF($J1709=FALSE(),"",COUNTIF($J$6:$J1709,TRUE()))</f>
        <v/>
      </c>
      <c r="L1709" s="5" t="str">
        <f aca="false">IF($K1709="","","R"&amp;$K1709)</f>
        <v/>
      </c>
    </row>
    <row r="1710" customFormat="false" ht="15" hidden="false" customHeight="true" outlineLevel="0" collapsed="false">
      <c r="J1710" s="14" t="b">
        <f aca="false">IF(중복검사!$A1708="",FALSE(),중복검사!$H1708="중복")</f>
        <v>0</v>
      </c>
      <c r="K1710" s="5" t="str">
        <f aca="false">IF($J1710=FALSE(),"",COUNTIF($J$6:$J1710,TRUE()))</f>
        <v/>
      </c>
      <c r="L1710" s="5" t="str">
        <f aca="false">IF($K1710="","","R"&amp;$K1710)</f>
        <v/>
      </c>
    </row>
    <row r="1711" customFormat="false" ht="15" hidden="false" customHeight="true" outlineLevel="0" collapsed="false">
      <c r="J1711" s="14" t="b">
        <f aca="false">IF(중복검사!$A1709="",FALSE(),중복검사!$H1709="중복")</f>
        <v>0</v>
      </c>
      <c r="K1711" s="5" t="str">
        <f aca="false">IF($J1711=FALSE(),"",COUNTIF($J$6:$J1711,TRUE()))</f>
        <v/>
      </c>
      <c r="L1711" s="5" t="str">
        <f aca="false">IF($K1711="","","R"&amp;$K1711)</f>
        <v/>
      </c>
    </row>
    <row r="1712" customFormat="false" ht="15" hidden="false" customHeight="true" outlineLevel="0" collapsed="false">
      <c r="J1712" s="14" t="b">
        <f aca="false">IF(중복검사!$A1710="",FALSE(),중복검사!$H1710="중복")</f>
        <v>0</v>
      </c>
      <c r="K1712" s="5" t="str">
        <f aca="false">IF($J1712=FALSE(),"",COUNTIF($J$6:$J1712,TRUE()))</f>
        <v/>
      </c>
      <c r="L1712" s="5" t="str">
        <f aca="false">IF($K1712="","","R"&amp;$K1712)</f>
        <v/>
      </c>
    </row>
    <row r="1713" customFormat="false" ht="15" hidden="false" customHeight="true" outlineLevel="0" collapsed="false">
      <c r="J1713" s="14" t="b">
        <f aca="false">IF(중복검사!$A1711="",FALSE(),중복검사!$H1711="중복")</f>
        <v>0</v>
      </c>
      <c r="K1713" s="5" t="str">
        <f aca="false">IF($J1713=FALSE(),"",COUNTIF($J$6:$J1713,TRUE()))</f>
        <v/>
      </c>
      <c r="L1713" s="5" t="str">
        <f aca="false">IF($K1713="","","R"&amp;$K1713)</f>
        <v/>
      </c>
    </row>
    <row r="1714" customFormat="false" ht="15" hidden="false" customHeight="true" outlineLevel="0" collapsed="false">
      <c r="J1714" s="14" t="b">
        <f aca="false">IF(중복검사!$A1712="",FALSE(),중복검사!$H1712="중복")</f>
        <v>0</v>
      </c>
      <c r="K1714" s="5" t="str">
        <f aca="false">IF($J1714=FALSE(),"",COUNTIF($J$6:$J1714,TRUE()))</f>
        <v/>
      </c>
      <c r="L1714" s="5" t="str">
        <f aca="false">IF($K1714="","","R"&amp;$K1714)</f>
        <v/>
      </c>
    </row>
    <row r="1715" customFormat="false" ht="15" hidden="false" customHeight="true" outlineLevel="0" collapsed="false">
      <c r="J1715" s="14" t="b">
        <f aca="false">IF(중복검사!$A1713="",FALSE(),중복검사!$H1713="중복")</f>
        <v>0</v>
      </c>
      <c r="K1715" s="5" t="str">
        <f aca="false">IF($J1715=FALSE(),"",COUNTIF($J$6:$J1715,TRUE()))</f>
        <v/>
      </c>
      <c r="L1715" s="5" t="str">
        <f aca="false">IF($K1715="","","R"&amp;$K1715)</f>
        <v/>
      </c>
    </row>
    <row r="1716" customFormat="false" ht="15" hidden="false" customHeight="true" outlineLevel="0" collapsed="false">
      <c r="J1716" s="14" t="b">
        <f aca="false">IF(중복검사!$A1714="",FALSE(),중복검사!$H1714="중복")</f>
        <v>0</v>
      </c>
      <c r="K1716" s="5" t="str">
        <f aca="false">IF($J1716=FALSE(),"",COUNTIF($J$6:$J1716,TRUE()))</f>
        <v/>
      </c>
      <c r="L1716" s="5" t="str">
        <f aca="false">IF($K1716="","","R"&amp;$K1716)</f>
        <v/>
      </c>
    </row>
    <row r="1717" customFormat="false" ht="15" hidden="false" customHeight="true" outlineLevel="0" collapsed="false">
      <c r="J1717" s="14" t="b">
        <f aca="false">IF(중복검사!$A1715="",FALSE(),중복검사!$H1715="중복")</f>
        <v>0</v>
      </c>
      <c r="K1717" s="5" t="str">
        <f aca="false">IF($J1717=FALSE(),"",COUNTIF($J$6:$J1717,TRUE()))</f>
        <v/>
      </c>
      <c r="L1717" s="5" t="str">
        <f aca="false">IF($K1717="","","R"&amp;$K1717)</f>
        <v/>
      </c>
    </row>
    <row r="1718" customFormat="false" ht="15" hidden="false" customHeight="true" outlineLevel="0" collapsed="false">
      <c r="J1718" s="14" t="b">
        <f aca="false">IF(중복검사!$A1716="",FALSE(),중복검사!$H1716="중복")</f>
        <v>0</v>
      </c>
      <c r="K1718" s="5" t="str">
        <f aca="false">IF($J1718=FALSE(),"",COUNTIF($J$6:$J1718,TRUE()))</f>
        <v/>
      </c>
      <c r="L1718" s="5" t="str">
        <f aca="false">IF($K1718="","","R"&amp;$K1718)</f>
        <v/>
      </c>
    </row>
    <row r="1719" customFormat="false" ht="15" hidden="false" customHeight="true" outlineLevel="0" collapsed="false">
      <c r="J1719" s="14" t="b">
        <f aca="false">IF(중복검사!$A1717="",FALSE(),중복검사!$H1717="중복")</f>
        <v>0</v>
      </c>
      <c r="K1719" s="5" t="str">
        <f aca="false">IF($J1719=FALSE(),"",COUNTIF($J$6:$J1719,TRUE()))</f>
        <v/>
      </c>
      <c r="L1719" s="5" t="str">
        <f aca="false">IF($K1719="","","R"&amp;$K1719)</f>
        <v/>
      </c>
    </row>
    <row r="1720" customFormat="false" ht="15" hidden="false" customHeight="true" outlineLevel="0" collapsed="false">
      <c r="J1720" s="14" t="b">
        <f aca="false">IF(중복검사!$A1718="",FALSE(),중복검사!$H1718="중복")</f>
        <v>0</v>
      </c>
      <c r="K1720" s="5" t="str">
        <f aca="false">IF($J1720=FALSE(),"",COUNTIF($J$6:$J1720,TRUE()))</f>
        <v/>
      </c>
      <c r="L1720" s="5" t="str">
        <f aca="false">IF($K1720="","","R"&amp;$K1720)</f>
        <v/>
      </c>
    </row>
    <row r="1721" customFormat="false" ht="15" hidden="false" customHeight="true" outlineLevel="0" collapsed="false">
      <c r="J1721" s="14" t="b">
        <f aca="false">IF(중복검사!$A1719="",FALSE(),중복검사!$H1719="중복")</f>
        <v>0</v>
      </c>
      <c r="K1721" s="5" t="str">
        <f aca="false">IF($J1721=FALSE(),"",COUNTIF($J$6:$J1721,TRUE()))</f>
        <v/>
      </c>
      <c r="L1721" s="5" t="str">
        <f aca="false">IF($K1721="","","R"&amp;$K1721)</f>
        <v/>
      </c>
    </row>
    <row r="1722" customFormat="false" ht="15" hidden="false" customHeight="true" outlineLevel="0" collapsed="false">
      <c r="J1722" s="14" t="b">
        <f aca="false">IF(중복검사!$A1720="",FALSE(),중복검사!$H1720="중복")</f>
        <v>0</v>
      </c>
      <c r="K1722" s="5" t="str">
        <f aca="false">IF($J1722=FALSE(),"",COUNTIF($J$6:$J1722,TRUE()))</f>
        <v/>
      </c>
      <c r="L1722" s="5" t="str">
        <f aca="false">IF($K1722="","","R"&amp;$K1722)</f>
        <v/>
      </c>
    </row>
    <row r="1723" customFormat="false" ht="15" hidden="false" customHeight="true" outlineLevel="0" collapsed="false">
      <c r="J1723" s="14" t="b">
        <f aca="false">IF(중복검사!$A1721="",FALSE(),중복검사!$H1721="중복")</f>
        <v>0</v>
      </c>
      <c r="K1723" s="5" t="str">
        <f aca="false">IF($J1723=FALSE(),"",COUNTIF($J$6:$J1723,TRUE()))</f>
        <v/>
      </c>
      <c r="L1723" s="5" t="str">
        <f aca="false">IF($K1723="","","R"&amp;$K1723)</f>
        <v/>
      </c>
    </row>
    <row r="1724" customFormat="false" ht="15" hidden="false" customHeight="true" outlineLevel="0" collapsed="false">
      <c r="J1724" s="14" t="b">
        <f aca="false">IF(중복검사!$A1722="",FALSE(),중복검사!$H1722="중복")</f>
        <v>0</v>
      </c>
      <c r="K1724" s="5" t="str">
        <f aca="false">IF($J1724=FALSE(),"",COUNTIF($J$6:$J1724,TRUE()))</f>
        <v/>
      </c>
      <c r="L1724" s="5" t="str">
        <f aca="false">IF($K1724="","","R"&amp;$K1724)</f>
        <v/>
      </c>
    </row>
    <row r="1725" customFormat="false" ht="15" hidden="false" customHeight="true" outlineLevel="0" collapsed="false">
      <c r="J1725" s="14" t="b">
        <f aca="false">IF(중복검사!$A1723="",FALSE(),중복검사!$H1723="중복")</f>
        <v>0</v>
      </c>
      <c r="K1725" s="5" t="str">
        <f aca="false">IF($J1725=FALSE(),"",COUNTIF($J$6:$J1725,TRUE()))</f>
        <v/>
      </c>
      <c r="L1725" s="5" t="str">
        <f aca="false">IF($K1725="","","R"&amp;$K1725)</f>
        <v/>
      </c>
    </row>
    <row r="1726" customFormat="false" ht="15" hidden="false" customHeight="true" outlineLevel="0" collapsed="false">
      <c r="J1726" s="14" t="b">
        <f aca="false">IF(중복검사!$A1724="",FALSE(),중복검사!$H1724="중복")</f>
        <v>0</v>
      </c>
      <c r="K1726" s="5" t="str">
        <f aca="false">IF($J1726=FALSE(),"",COUNTIF($J$6:$J1726,TRUE()))</f>
        <v/>
      </c>
      <c r="L1726" s="5" t="str">
        <f aca="false">IF($K1726="","","R"&amp;$K1726)</f>
        <v/>
      </c>
    </row>
    <row r="1727" customFormat="false" ht="15" hidden="false" customHeight="true" outlineLevel="0" collapsed="false">
      <c r="J1727" s="14" t="b">
        <f aca="false">IF(중복검사!$A1725="",FALSE(),중복검사!$H1725="중복")</f>
        <v>0</v>
      </c>
      <c r="K1727" s="5" t="str">
        <f aca="false">IF($J1727=FALSE(),"",COUNTIF($J$6:$J1727,TRUE()))</f>
        <v/>
      </c>
      <c r="L1727" s="5" t="str">
        <f aca="false">IF($K1727="","","R"&amp;$K1727)</f>
        <v/>
      </c>
    </row>
    <row r="1728" customFormat="false" ht="15" hidden="false" customHeight="true" outlineLevel="0" collapsed="false">
      <c r="J1728" s="14" t="b">
        <f aca="false">IF(중복검사!$A1726="",FALSE(),중복검사!$H1726="중복")</f>
        <v>0</v>
      </c>
      <c r="K1728" s="5" t="str">
        <f aca="false">IF($J1728=FALSE(),"",COUNTIF($J$6:$J1728,TRUE()))</f>
        <v/>
      </c>
      <c r="L1728" s="5" t="str">
        <f aca="false">IF($K1728="","","R"&amp;$K1728)</f>
        <v/>
      </c>
    </row>
    <row r="1729" customFormat="false" ht="15" hidden="false" customHeight="true" outlineLevel="0" collapsed="false">
      <c r="J1729" s="14" t="b">
        <f aca="false">IF(중복검사!$A1727="",FALSE(),중복검사!$H1727="중복")</f>
        <v>0</v>
      </c>
      <c r="K1729" s="5" t="str">
        <f aca="false">IF($J1729=FALSE(),"",COUNTIF($J$6:$J1729,TRUE()))</f>
        <v/>
      </c>
      <c r="L1729" s="5" t="str">
        <f aca="false">IF($K1729="","","R"&amp;$K1729)</f>
        <v/>
      </c>
    </row>
    <row r="1730" customFormat="false" ht="15" hidden="false" customHeight="true" outlineLevel="0" collapsed="false">
      <c r="J1730" s="14" t="b">
        <f aca="false">IF(중복검사!$A1728="",FALSE(),중복검사!$H1728="중복")</f>
        <v>0</v>
      </c>
      <c r="K1730" s="5" t="str">
        <f aca="false">IF($J1730=FALSE(),"",COUNTIF($J$6:$J1730,TRUE()))</f>
        <v/>
      </c>
      <c r="L1730" s="5" t="str">
        <f aca="false">IF($K1730="","","R"&amp;$K1730)</f>
        <v/>
      </c>
    </row>
    <row r="1731" customFormat="false" ht="15" hidden="false" customHeight="true" outlineLevel="0" collapsed="false">
      <c r="J1731" s="14" t="b">
        <f aca="false">IF(중복검사!$A1729="",FALSE(),중복검사!$H1729="중복")</f>
        <v>0</v>
      </c>
      <c r="K1731" s="5" t="str">
        <f aca="false">IF($J1731=FALSE(),"",COUNTIF($J$6:$J1731,TRUE()))</f>
        <v/>
      </c>
      <c r="L1731" s="5" t="str">
        <f aca="false">IF($K1731="","","R"&amp;$K1731)</f>
        <v/>
      </c>
    </row>
    <row r="1732" customFormat="false" ht="15" hidden="false" customHeight="true" outlineLevel="0" collapsed="false">
      <c r="J1732" s="14" t="b">
        <f aca="false">IF(중복검사!$A1730="",FALSE(),중복검사!$H1730="중복")</f>
        <v>0</v>
      </c>
      <c r="K1732" s="5" t="str">
        <f aca="false">IF($J1732=FALSE(),"",COUNTIF($J$6:$J1732,TRUE()))</f>
        <v/>
      </c>
      <c r="L1732" s="5" t="str">
        <f aca="false">IF($K1732="","","R"&amp;$K1732)</f>
        <v/>
      </c>
    </row>
    <row r="1733" customFormat="false" ht="15" hidden="false" customHeight="true" outlineLevel="0" collapsed="false">
      <c r="J1733" s="14" t="b">
        <f aca="false">IF(중복검사!$A1731="",FALSE(),중복검사!$H1731="중복")</f>
        <v>0</v>
      </c>
      <c r="K1733" s="5" t="str">
        <f aca="false">IF($J1733=FALSE(),"",COUNTIF($J$6:$J1733,TRUE()))</f>
        <v/>
      </c>
      <c r="L1733" s="5" t="str">
        <f aca="false">IF($K1733="","","R"&amp;$K1733)</f>
        <v/>
      </c>
    </row>
    <row r="1734" customFormat="false" ht="15" hidden="false" customHeight="true" outlineLevel="0" collapsed="false">
      <c r="J1734" s="14" t="b">
        <f aca="false">IF(중복검사!$A1732="",FALSE(),중복검사!$H1732="중복")</f>
        <v>0</v>
      </c>
      <c r="K1734" s="5" t="str">
        <f aca="false">IF($J1734=FALSE(),"",COUNTIF($J$6:$J1734,TRUE()))</f>
        <v/>
      </c>
      <c r="L1734" s="5" t="str">
        <f aca="false">IF($K1734="","","R"&amp;$K1734)</f>
        <v/>
      </c>
    </row>
    <row r="1735" customFormat="false" ht="15" hidden="false" customHeight="true" outlineLevel="0" collapsed="false">
      <c r="J1735" s="14" t="b">
        <f aca="false">IF(중복검사!$A1733="",FALSE(),중복검사!$H1733="중복")</f>
        <v>0</v>
      </c>
      <c r="K1735" s="5" t="str">
        <f aca="false">IF($J1735=FALSE(),"",COUNTIF($J$6:$J1735,TRUE()))</f>
        <v/>
      </c>
      <c r="L1735" s="5" t="str">
        <f aca="false">IF($K1735="","","R"&amp;$K1735)</f>
        <v/>
      </c>
    </row>
    <row r="1736" customFormat="false" ht="15" hidden="false" customHeight="true" outlineLevel="0" collapsed="false">
      <c r="J1736" s="14" t="b">
        <f aca="false">IF(중복검사!$A1734="",FALSE(),중복검사!$H1734="중복")</f>
        <v>0</v>
      </c>
      <c r="K1736" s="5" t="str">
        <f aca="false">IF($J1736=FALSE(),"",COUNTIF($J$6:$J1736,TRUE()))</f>
        <v/>
      </c>
      <c r="L1736" s="5" t="str">
        <f aca="false">IF($K1736="","","R"&amp;$K1736)</f>
        <v/>
      </c>
    </row>
    <row r="1737" customFormat="false" ht="15" hidden="false" customHeight="true" outlineLevel="0" collapsed="false">
      <c r="J1737" s="14" t="b">
        <f aca="false">IF(중복검사!$A1735="",FALSE(),중복검사!$H1735="중복")</f>
        <v>0</v>
      </c>
      <c r="K1737" s="5" t="str">
        <f aca="false">IF($J1737=FALSE(),"",COUNTIF($J$6:$J1737,TRUE()))</f>
        <v/>
      </c>
      <c r="L1737" s="5" t="str">
        <f aca="false">IF($K1737="","","R"&amp;$K1737)</f>
        <v/>
      </c>
    </row>
    <row r="1738" customFormat="false" ht="15" hidden="false" customHeight="true" outlineLevel="0" collapsed="false">
      <c r="J1738" s="14" t="b">
        <f aca="false">IF(중복검사!$A1736="",FALSE(),중복검사!$H1736="중복")</f>
        <v>0</v>
      </c>
      <c r="K1738" s="5" t="str">
        <f aca="false">IF($J1738=FALSE(),"",COUNTIF($J$6:$J1738,TRUE()))</f>
        <v/>
      </c>
      <c r="L1738" s="5" t="str">
        <f aca="false">IF($K1738="","","R"&amp;$K1738)</f>
        <v/>
      </c>
    </row>
    <row r="1739" customFormat="false" ht="15" hidden="false" customHeight="true" outlineLevel="0" collapsed="false">
      <c r="J1739" s="14" t="b">
        <f aca="false">IF(중복검사!$A1737="",FALSE(),중복검사!$H1737="중복")</f>
        <v>0</v>
      </c>
      <c r="K1739" s="5" t="str">
        <f aca="false">IF($J1739=FALSE(),"",COUNTIF($J$6:$J1739,TRUE()))</f>
        <v/>
      </c>
      <c r="L1739" s="5" t="str">
        <f aca="false">IF($K1739="","","R"&amp;$K1739)</f>
        <v/>
      </c>
    </row>
    <row r="1740" customFormat="false" ht="15" hidden="false" customHeight="true" outlineLevel="0" collapsed="false">
      <c r="J1740" s="14" t="b">
        <f aca="false">IF(중복검사!$A1738="",FALSE(),중복검사!$H1738="중복")</f>
        <v>0</v>
      </c>
      <c r="K1740" s="5" t="str">
        <f aca="false">IF($J1740=FALSE(),"",COUNTIF($J$6:$J1740,TRUE()))</f>
        <v/>
      </c>
      <c r="L1740" s="5" t="str">
        <f aca="false">IF($K1740="","","R"&amp;$K1740)</f>
        <v/>
      </c>
    </row>
    <row r="1741" customFormat="false" ht="15" hidden="false" customHeight="true" outlineLevel="0" collapsed="false">
      <c r="J1741" s="14" t="b">
        <f aca="false">IF(중복검사!$A1739="",FALSE(),중복검사!$H1739="중복")</f>
        <v>0</v>
      </c>
      <c r="K1741" s="5" t="str">
        <f aca="false">IF($J1741=FALSE(),"",COUNTIF($J$6:$J1741,TRUE()))</f>
        <v/>
      </c>
      <c r="L1741" s="5" t="str">
        <f aca="false">IF($K1741="","","R"&amp;$K1741)</f>
        <v/>
      </c>
    </row>
    <row r="1742" customFormat="false" ht="15" hidden="false" customHeight="true" outlineLevel="0" collapsed="false">
      <c r="J1742" s="14" t="b">
        <f aca="false">IF(중복검사!$A1740="",FALSE(),중복검사!$H1740="중복")</f>
        <v>0</v>
      </c>
      <c r="K1742" s="5" t="str">
        <f aca="false">IF($J1742=FALSE(),"",COUNTIF($J$6:$J1742,TRUE()))</f>
        <v/>
      </c>
      <c r="L1742" s="5" t="str">
        <f aca="false">IF($K1742="","","R"&amp;$K1742)</f>
        <v/>
      </c>
    </row>
    <row r="1743" customFormat="false" ht="15" hidden="false" customHeight="true" outlineLevel="0" collapsed="false">
      <c r="J1743" s="14" t="b">
        <f aca="false">IF(중복검사!$A1741="",FALSE(),중복검사!$H1741="중복")</f>
        <v>0</v>
      </c>
      <c r="K1743" s="5" t="str">
        <f aca="false">IF($J1743=FALSE(),"",COUNTIF($J$6:$J1743,TRUE()))</f>
        <v/>
      </c>
      <c r="L1743" s="5" t="str">
        <f aca="false">IF($K1743="","","R"&amp;$K1743)</f>
        <v/>
      </c>
    </row>
    <row r="1744" customFormat="false" ht="15" hidden="false" customHeight="true" outlineLevel="0" collapsed="false">
      <c r="J1744" s="14" t="b">
        <f aca="false">IF(중복검사!$A1742="",FALSE(),중복검사!$H1742="중복")</f>
        <v>0</v>
      </c>
      <c r="K1744" s="5" t="str">
        <f aca="false">IF($J1744=FALSE(),"",COUNTIF($J$6:$J1744,TRUE()))</f>
        <v/>
      </c>
      <c r="L1744" s="5" t="str">
        <f aca="false">IF($K1744="","","R"&amp;$K1744)</f>
        <v/>
      </c>
    </row>
    <row r="1745" customFormat="false" ht="15" hidden="false" customHeight="true" outlineLevel="0" collapsed="false">
      <c r="J1745" s="14" t="b">
        <f aca="false">IF(중복검사!$A1743="",FALSE(),중복검사!$H1743="중복")</f>
        <v>0</v>
      </c>
      <c r="K1745" s="5" t="str">
        <f aca="false">IF($J1745=FALSE(),"",COUNTIF($J$6:$J1745,TRUE()))</f>
        <v/>
      </c>
      <c r="L1745" s="5" t="str">
        <f aca="false">IF($K1745="","","R"&amp;$K1745)</f>
        <v/>
      </c>
    </row>
    <row r="1746" customFormat="false" ht="15" hidden="false" customHeight="true" outlineLevel="0" collapsed="false">
      <c r="J1746" s="14" t="b">
        <f aca="false">IF(중복검사!$A1744="",FALSE(),중복검사!$H1744="중복")</f>
        <v>0</v>
      </c>
      <c r="K1746" s="5" t="str">
        <f aca="false">IF($J1746=FALSE(),"",COUNTIF($J$6:$J1746,TRUE()))</f>
        <v/>
      </c>
      <c r="L1746" s="5" t="str">
        <f aca="false">IF($K1746="","","R"&amp;$K1746)</f>
        <v/>
      </c>
    </row>
    <row r="1747" customFormat="false" ht="15" hidden="false" customHeight="true" outlineLevel="0" collapsed="false">
      <c r="J1747" s="14" t="b">
        <f aca="false">IF(중복검사!$A1745="",FALSE(),중복검사!$H1745="중복")</f>
        <v>0</v>
      </c>
      <c r="K1747" s="5" t="str">
        <f aca="false">IF($J1747=FALSE(),"",COUNTIF($J$6:$J1747,TRUE()))</f>
        <v/>
      </c>
      <c r="L1747" s="5" t="str">
        <f aca="false">IF($K1747="","","R"&amp;$K1747)</f>
        <v/>
      </c>
    </row>
    <row r="1748" customFormat="false" ht="15" hidden="false" customHeight="true" outlineLevel="0" collapsed="false">
      <c r="J1748" s="14" t="b">
        <f aca="false">IF(중복검사!$A1746="",FALSE(),중복검사!$H1746="중복")</f>
        <v>0</v>
      </c>
      <c r="K1748" s="5" t="str">
        <f aca="false">IF($J1748=FALSE(),"",COUNTIF($J$6:$J1748,TRUE()))</f>
        <v/>
      </c>
      <c r="L1748" s="5" t="str">
        <f aca="false">IF($K1748="","","R"&amp;$K1748)</f>
        <v/>
      </c>
    </row>
    <row r="1749" customFormat="false" ht="15" hidden="false" customHeight="true" outlineLevel="0" collapsed="false">
      <c r="J1749" s="14" t="b">
        <f aca="false">IF(중복검사!$A1747="",FALSE(),중복검사!$H1747="중복")</f>
        <v>0</v>
      </c>
      <c r="K1749" s="5" t="str">
        <f aca="false">IF($J1749=FALSE(),"",COUNTIF($J$6:$J1749,TRUE()))</f>
        <v/>
      </c>
      <c r="L1749" s="5" t="str">
        <f aca="false">IF($K1749="","","R"&amp;$K1749)</f>
        <v/>
      </c>
    </row>
    <row r="1750" customFormat="false" ht="15" hidden="false" customHeight="true" outlineLevel="0" collapsed="false">
      <c r="J1750" s="14" t="b">
        <f aca="false">IF(중복검사!$A1748="",FALSE(),중복검사!$H1748="중복")</f>
        <v>0</v>
      </c>
      <c r="K1750" s="5" t="str">
        <f aca="false">IF($J1750=FALSE(),"",COUNTIF($J$6:$J1750,TRUE()))</f>
        <v/>
      </c>
      <c r="L1750" s="5" t="str">
        <f aca="false">IF($K1750="","","R"&amp;$K1750)</f>
        <v/>
      </c>
    </row>
    <row r="1751" customFormat="false" ht="15" hidden="false" customHeight="true" outlineLevel="0" collapsed="false">
      <c r="J1751" s="14" t="b">
        <f aca="false">IF(중복검사!$A1749="",FALSE(),중복검사!$H1749="중복")</f>
        <v>0</v>
      </c>
      <c r="K1751" s="5" t="str">
        <f aca="false">IF($J1751=FALSE(),"",COUNTIF($J$6:$J1751,TRUE()))</f>
        <v/>
      </c>
      <c r="L1751" s="5" t="str">
        <f aca="false">IF($K1751="","","R"&amp;$K1751)</f>
        <v/>
      </c>
    </row>
    <row r="1752" customFormat="false" ht="15" hidden="false" customHeight="true" outlineLevel="0" collapsed="false">
      <c r="J1752" s="14" t="b">
        <f aca="false">IF(중복검사!$A1750="",FALSE(),중복검사!$H1750="중복")</f>
        <v>0</v>
      </c>
      <c r="K1752" s="5" t="str">
        <f aca="false">IF($J1752=FALSE(),"",COUNTIF($J$6:$J1752,TRUE()))</f>
        <v/>
      </c>
      <c r="L1752" s="5" t="str">
        <f aca="false">IF($K1752="","","R"&amp;$K1752)</f>
        <v/>
      </c>
    </row>
    <row r="1753" customFormat="false" ht="15" hidden="false" customHeight="true" outlineLevel="0" collapsed="false">
      <c r="J1753" s="14" t="b">
        <f aca="false">IF(중복검사!$A1751="",FALSE(),중복검사!$H1751="중복")</f>
        <v>0</v>
      </c>
      <c r="K1753" s="5" t="str">
        <f aca="false">IF($J1753=FALSE(),"",COUNTIF($J$6:$J1753,TRUE()))</f>
        <v/>
      </c>
      <c r="L1753" s="5" t="str">
        <f aca="false">IF($K1753="","","R"&amp;$K1753)</f>
        <v/>
      </c>
    </row>
    <row r="1754" customFormat="false" ht="15" hidden="false" customHeight="true" outlineLevel="0" collapsed="false">
      <c r="J1754" s="14" t="b">
        <f aca="false">IF(중복검사!$A1752="",FALSE(),중복검사!$H1752="중복")</f>
        <v>0</v>
      </c>
      <c r="K1754" s="5" t="str">
        <f aca="false">IF($J1754=FALSE(),"",COUNTIF($J$6:$J1754,TRUE()))</f>
        <v/>
      </c>
      <c r="L1754" s="5" t="str">
        <f aca="false">IF($K1754="","","R"&amp;$K1754)</f>
        <v/>
      </c>
    </row>
    <row r="1755" customFormat="false" ht="15" hidden="false" customHeight="true" outlineLevel="0" collapsed="false">
      <c r="J1755" s="14" t="b">
        <f aca="false">IF(중복검사!$A1753="",FALSE(),중복검사!$H1753="중복")</f>
        <v>0</v>
      </c>
      <c r="K1755" s="5" t="str">
        <f aca="false">IF($J1755=FALSE(),"",COUNTIF($J$6:$J1755,TRUE()))</f>
        <v/>
      </c>
      <c r="L1755" s="5" t="str">
        <f aca="false">IF($K1755="","","R"&amp;$K1755)</f>
        <v/>
      </c>
    </row>
    <row r="1756" customFormat="false" ht="15" hidden="false" customHeight="true" outlineLevel="0" collapsed="false">
      <c r="J1756" s="14" t="b">
        <f aca="false">IF(중복검사!$A1754="",FALSE(),중복검사!$H1754="중복")</f>
        <v>0</v>
      </c>
      <c r="K1756" s="5" t="str">
        <f aca="false">IF($J1756=FALSE(),"",COUNTIF($J$6:$J1756,TRUE()))</f>
        <v/>
      </c>
      <c r="L1756" s="5" t="str">
        <f aca="false">IF($K1756="","","R"&amp;$K1756)</f>
        <v/>
      </c>
    </row>
    <row r="1757" customFormat="false" ht="15" hidden="false" customHeight="true" outlineLevel="0" collapsed="false">
      <c r="J1757" s="14" t="b">
        <f aca="false">IF(중복검사!$A1755="",FALSE(),중복검사!$H1755="중복")</f>
        <v>0</v>
      </c>
      <c r="K1757" s="5" t="str">
        <f aca="false">IF($J1757=FALSE(),"",COUNTIF($J$6:$J1757,TRUE()))</f>
        <v/>
      </c>
      <c r="L1757" s="5" t="str">
        <f aca="false">IF($K1757="","","R"&amp;$K1757)</f>
        <v/>
      </c>
    </row>
    <row r="1758" customFormat="false" ht="15" hidden="false" customHeight="true" outlineLevel="0" collapsed="false">
      <c r="J1758" s="14" t="b">
        <f aca="false">IF(중복검사!$A1756="",FALSE(),중복검사!$H1756="중복")</f>
        <v>0</v>
      </c>
      <c r="K1758" s="5" t="str">
        <f aca="false">IF($J1758=FALSE(),"",COUNTIF($J$6:$J1758,TRUE()))</f>
        <v/>
      </c>
      <c r="L1758" s="5" t="str">
        <f aca="false">IF($K1758="","","R"&amp;$K1758)</f>
        <v/>
      </c>
    </row>
    <row r="1759" customFormat="false" ht="15" hidden="false" customHeight="true" outlineLevel="0" collapsed="false">
      <c r="J1759" s="14" t="b">
        <f aca="false">IF(중복검사!$A1757="",FALSE(),중복검사!$H1757="중복")</f>
        <v>0</v>
      </c>
      <c r="K1759" s="5" t="str">
        <f aca="false">IF($J1759=FALSE(),"",COUNTIF($J$6:$J1759,TRUE()))</f>
        <v/>
      </c>
      <c r="L1759" s="5" t="str">
        <f aca="false">IF($K1759="","","R"&amp;$K1759)</f>
        <v/>
      </c>
    </row>
    <row r="1760" customFormat="false" ht="15" hidden="false" customHeight="true" outlineLevel="0" collapsed="false">
      <c r="J1760" s="14" t="b">
        <f aca="false">IF(중복검사!$A1758="",FALSE(),중복검사!$H1758="중복")</f>
        <v>0</v>
      </c>
      <c r="K1760" s="5" t="str">
        <f aca="false">IF($J1760=FALSE(),"",COUNTIF($J$6:$J1760,TRUE()))</f>
        <v/>
      </c>
      <c r="L1760" s="5" t="str">
        <f aca="false">IF($K1760="","","R"&amp;$K1760)</f>
        <v/>
      </c>
    </row>
    <row r="1761" customFormat="false" ht="15" hidden="false" customHeight="true" outlineLevel="0" collapsed="false">
      <c r="J1761" s="14" t="b">
        <f aca="false">IF(중복검사!$A1759="",FALSE(),중복검사!$H1759="중복")</f>
        <v>0</v>
      </c>
      <c r="K1761" s="5" t="str">
        <f aca="false">IF($J1761=FALSE(),"",COUNTIF($J$6:$J1761,TRUE()))</f>
        <v/>
      </c>
      <c r="L1761" s="5" t="str">
        <f aca="false">IF($K1761="","","R"&amp;$K1761)</f>
        <v/>
      </c>
    </row>
    <row r="1762" customFormat="false" ht="15" hidden="false" customHeight="true" outlineLevel="0" collapsed="false">
      <c r="J1762" s="14" t="b">
        <f aca="false">IF(중복검사!$A1760="",FALSE(),중복검사!$H1760="중복")</f>
        <v>0</v>
      </c>
      <c r="K1762" s="5" t="str">
        <f aca="false">IF($J1762=FALSE(),"",COUNTIF($J$6:$J1762,TRUE()))</f>
        <v/>
      </c>
      <c r="L1762" s="5" t="str">
        <f aca="false">IF($K1762="","","R"&amp;$K1762)</f>
        <v/>
      </c>
    </row>
    <row r="1763" customFormat="false" ht="15" hidden="false" customHeight="true" outlineLevel="0" collapsed="false">
      <c r="J1763" s="14" t="b">
        <f aca="false">IF(중복검사!$A1761="",FALSE(),중복검사!$H1761="중복")</f>
        <v>0</v>
      </c>
      <c r="K1763" s="5" t="str">
        <f aca="false">IF($J1763=FALSE(),"",COUNTIF($J$6:$J1763,TRUE()))</f>
        <v/>
      </c>
      <c r="L1763" s="5" t="str">
        <f aca="false">IF($K1763="","","R"&amp;$K1763)</f>
        <v/>
      </c>
    </row>
    <row r="1764" customFormat="false" ht="15" hidden="false" customHeight="true" outlineLevel="0" collapsed="false">
      <c r="J1764" s="14" t="b">
        <f aca="false">IF(중복검사!$A1762="",FALSE(),중복검사!$H1762="중복")</f>
        <v>0</v>
      </c>
      <c r="K1764" s="5" t="str">
        <f aca="false">IF($J1764=FALSE(),"",COUNTIF($J$6:$J1764,TRUE()))</f>
        <v/>
      </c>
      <c r="L1764" s="5" t="str">
        <f aca="false">IF($K1764="","","R"&amp;$K1764)</f>
        <v/>
      </c>
    </row>
    <row r="1765" customFormat="false" ht="15" hidden="false" customHeight="true" outlineLevel="0" collapsed="false">
      <c r="J1765" s="14" t="b">
        <f aca="false">IF(중복검사!$A1763="",FALSE(),중복검사!$H1763="중복")</f>
        <v>0</v>
      </c>
      <c r="K1765" s="5" t="str">
        <f aca="false">IF($J1765=FALSE(),"",COUNTIF($J$6:$J1765,TRUE()))</f>
        <v/>
      </c>
      <c r="L1765" s="5" t="str">
        <f aca="false">IF($K1765="","","R"&amp;$K1765)</f>
        <v/>
      </c>
    </row>
    <row r="1766" customFormat="false" ht="15" hidden="false" customHeight="true" outlineLevel="0" collapsed="false">
      <c r="J1766" s="14" t="b">
        <f aca="false">IF(중복검사!$A1764="",FALSE(),중복검사!$H1764="중복")</f>
        <v>0</v>
      </c>
      <c r="K1766" s="5" t="str">
        <f aca="false">IF($J1766=FALSE(),"",COUNTIF($J$6:$J1766,TRUE()))</f>
        <v/>
      </c>
      <c r="L1766" s="5" t="str">
        <f aca="false">IF($K1766="","","R"&amp;$K1766)</f>
        <v/>
      </c>
    </row>
    <row r="1767" customFormat="false" ht="15" hidden="false" customHeight="true" outlineLevel="0" collapsed="false">
      <c r="J1767" s="14" t="b">
        <f aca="false">IF(중복검사!$A1765="",FALSE(),중복검사!$H1765="중복")</f>
        <v>0</v>
      </c>
      <c r="K1767" s="5" t="str">
        <f aca="false">IF($J1767=FALSE(),"",COUNTIF($J$6:$J1767,TRUE()))</f>
        <v/>
      </c>
      <c r="L1767" s="5" t="str">
        <f aca="false">IF($K1767="","","R"&amp;$K1767)</f>
        <v/>
      </c>
    </row>
    <row r="1768" customFormat="false" ht="15" hidden="false" customHeight="true" outlineLevel="0" collapsed="false">
      <c r="J1768" s="14" t="b">
        <f aca="false">IF(중복검사!$A1766="",FALSE(),중복검사!$H1766="중복")</f>
        <v>0</v>
      </c>
      <c r="K1768" s="5" t="str">
        <f aca="false">IF($J1768=FALSE(),"",COUNTIF($J$6:$J1768,TRUE()))</f>
        <v/>
      </c>
      <c r="L1768" s="5" t="str">
        <f aca="false">IF($K1768="","","R"&amp;$K1768)</f>
        <v/>
      </c>
    </row>
    <row r="1769" customFormat="false" ht="15" hidden="false" customHeight="true" outlineLevel="0" collapsed="false">
      <c r="J1769" s="14" t="b">
        <f aca="false">IF(중복검사!$A1767="",FALSE(),중복검사!$H1767="중복")</f>
        <v>0</v>
      </c>
      <c r="K1769" s="5" t="str">
        <f aca="false">IF($J1769=FALSE(),"",COUNTIF($J$6:$J1769,TRUE()))</f>
        <v/>
      </c>
      <c r="L1769" s="5" t="str">
        <f aca="false">IF($K1769="","","R"&amp;$K1769)</f>
        <v/>
      </c>
    </row>
    <row r="1770" customFormat="false" ht="15" hidden="false" customHeight="true" outlineLevel="0" collapsed="false">
      <c r="J1770" s="14" t="b">
        <f aca="false">IF(중복검사!$A1768="",FALSE(),중복검사!$H1768="중복")</f>
        <v>0</v>
      </c>
      <c r="K1770" s="5" t="str">
        <f aca="false">IF($J1770=FALSE(),"",COUNTIF($J$6:$J1770,TRUE()))</f>
        <v/>
      </c>
      <c r="L1770" s="5" t="str">
        <f aca="false">IF($K1770="","","R"&amp;$K1770)</f>
        <v/>
      </c>
    </row>
    <row r="1771" customFormat="false" ht="15" hidden="false" customHeight="true" outlineLevel="0" collapsed="false">
      <c r="J1771" s="14" t="b">
        <f aca="false">IF(중복검사!$A1769="",FALSE(),중복검사!$H1769="중복")</f>
        <v>0</v>
      </c>
      <c r="K1771" s="5" t="str">
        <f aca="false">IF($J1771=FALSE(),"",COUNTIF($J$6:$J1771,TRUE()))</f>
        <v/>
      </c>
      <c r="L1771" s="5" t="str">
        <f aca="false">IF($K1771="","","R"&amp;$K1771)</f>
        <v/>
      </c>
    </row>
    <row r="1772" customFormat="false" ht="15" hidden="false" customHeight="true" outlineLevel="0" collapsed="false">
      <c r="J1772" s="14" t="b">
        <f aca="false">IF(중복검사!$A1770="",FALSE(),중복검사!$H1770="중복")</f>
        <v>0</v>
      </c>
      <c r="K1772" s="5" t="str">
        <f aca="false">IF($J1772=FALSE(),"",COUNTIF($J$6:$J1772,TRUE()))</f>
        <v/>
      </c>
      <c r="L1772" s="5" t="str">
        <f aca="false">IF($K1772="","","R"&amp;$K1772)</f>
        <v/>
      </c>
    </row>
    <row r="1773" customFormat="false" ht="15" hidden="false" customHeight="true" outlineLevel="0" collapsed="false">
      <c r="J1773" s="14" t="b">
        <f aca="false">IF(중복검사!$A1771="",FALSE(),중복검사!$H1771="중복")</f>
        <v>0</v>
      </c>
      <c r="K1773" s="5" t="str">
        <f aca="false">IF($J1773=FALSE(),"",COUNTIF($J$6:$J1773,TRUE()))</f>
        <v/>
      </c>
      <c r="L1773" s="5" t="str">
        <f aca="false">IF($K1773="","","R"&amp;$K1773)</f>
        <v/>
      </c>
    </row>
    <row r="1774" customFormat="false" ht="15" hidden="false" customHeight="true" outlineLevel="0" collapsed="false">
      <c r="J1774" s="14" t="b">
        <f aca="false">IF(중복검사!$A1772="",FALSE(),중복검사!$H1772="중복")</f>
        <v>0</v>
      </c>
      <c r="K1774" s="5" t="str">
        <f aca="false">IF($J1774=FALSE(),"",COUNTIF($J$6:$J1774,TRUE()))</f>
        <v/>
      </c>
      <c r="L1774" s="5" t="str">
        <f aca="false">IF($K1774="","","R"&amp;$K1774)</f>
        <v/>
      </c>
    </row>
    <row r="1775" customFormat="false" ht="15" hidden="false" customHeight="true" outlineLevel="0" collapsed="false">
      <c r="J1775" s="14" t="b">
        <f aca="false">IF(중복검사!$A1773="",FALSE(),중복검사!$H1773="중복")</f>
        <v>0</v>
      </c>
      <c r="K1775" s="5" t="str">
        <f aca="false">IF($J1775=FALSE(),"",COUNTIF($J$6:$J1775,TRUE()))</f>
        <v/>
      </c>
      <c r="L1775" s="5" t="str">
        <f aca="false">IF($K1775="","","R"&amp;$K1775)</f>
        <v/>
      </c>
    </row>
    <row r="1776" customFormat="false" ht="15" hidden="false" customHeight="true" outlineLevel="0" collapsed="false">
      <c r="J1776" s="14" t="b">
        <f aca="false">IF(중복검사!$A1774="",FALSE(),중복검사!$H1774="중복")</f>
        <v>0</v>
      </c>
      <c r="K1776" s="5" t="str">
        <f aca="false">IF($J1776=FALSE(),"",COUNTIF($J$6:$J1776,TRUE()))</f>
        <v/>
      </c>
      <c r="L1776" s="5" t="str">
        <f aca="false">IF($K1776="","","R"&amp;$K1776)</f>
        <v/>
      </c>
    </row>
    <row r="1777" customFormat="false" ht="15" hidden="false" customHeight="true" outlineLevel="0" collapsed="false">
      <c r="J1777" s="14" t="b">
        <f aca="false">IF(중복검사!$A1775="",FALSE(),중복검사!$H1775="중복")</f>
        <v>0</v>
      </c>
      <c r="K1777" s="5" t="str">
        <f aca="false">IF($J1777=FALSE(),"",COUNTIF($J$6:$J1777,TRUE()))</f>
        <v/>
      </c>
      <c r="L1777" s="5" t="str">
        <f aca="false">IF($K1777="","","R"&amp;$K1777)</f>
        <v/>
      </c>
    </row>
    <row r="1778" customFormat="false" ht="15" hidden="false" customHeight="true" outlineLevel="0" collapsed="false">
      <c r="J1778" s="14" t="b">
        <f aca="false">IF(중복검사!$A1776="",FALSE(),중복검사!$H1776="중복")</f>
        <v>0</v>
      </c>
      <c r="K1778" s="5" t="str">
        <f aca="false">IF($J1778=FALSE(),"",COUNTIF($J$6:$J1778,TRUE()))</f>
        <v/>
      </c>
      <c r="L1778" s="5" t="str">
        <f aca="false">IF($K1778="","","R"&amp;$K1778)</f>
        <v/>
      </c>
    </row>
    <row r="1779" customFormat="false" ht="15" hidden="false" customHeight="true" outlineLevel="0" collapsed="false">
      <c r="J1779" s="14" t="b">
        <f aca="false">IF(중복검사!$A1777="",FALSE(),중복검사!$H1777="중복")</f>
        <v>0</v>
      </c>
      <c r="K1779" s="5" t="str">
        <f aca="false">IF($J1779=FALSE(),"",COUNTIF($J$6:$J1779,TRUE()))</f>
        <v/>
      </c>
      <c r="L1779" s="5" t="str">
        <f aca="false">IF($K1779="","","R"&amp;$K1779)</f>
        <v/>
      </c>
    </row>
    <row r="1780" customFormat="false" ht="15" hidden="false" customHeight="true" outlineLevel="0" collapsed="false">
      <c r="J1780" s="14" t="b">
        <f aca="false">IF(중복검사!$A1778="",FALSE(),중복검사!$H1778="중복")</f>
        <v>0</v>
      </c>
      <c r="K1780" s="5" t="str">
        <f aca="false">IF($J1780=FALSE(),"",COUNTIF($J$6:$J1780,TRUE()))</f>
        <v/>
      </c>
      <c r="L1780" s="5" t="str">
        <f aca="false">IF($K1780="","","R"&amp;$K1780)</f>
        <v/>
      </c>
    </row>
    <row r="1781" customFormat="false" ht="15" hidden="false" customHeight="true" outlineLevel="0" collapsed="false">
      <c r="J1781" s="14" t="b">
        <f aca="false">IF(중복검사!$A1779="",FALSE(),중복검사!$H1779="중복")</f>
        <v>0</v>
      </c>
      <c r="K1781" s="5" t="str">
        <f aca="false">IF($J1781=FALSE(),"",COUNTIF($J$6:$J1781,TRUE()))</f>
        <v/>
      </c>
      <c r="L1781" s="5" t="str">
        <f aca="false">IF($K1781="","","R"&amp;$K1781)</f>
        <v/>
      </c>
    </row>
    <row r="1782" customFormat="false" ht="15" hidden="false" customHeight="true" outlineLevel="0" collapsed="false">
      <c r="J1782" s="14" t="b">
        <f aca="false">IF(중복검사!$A1780="",FALSE(),중복검사!$H1780="중복")</f>
        <v>0</v>
      </c>
      <c r="K1782" s="5" t="str">
        <f aca="false">IF($J1782=FALSE(),"",COUNTIF($J$6:$J1782,TRUE()))</f>
        <v/>
      </c>
      <c r="L1782" s="5" t="str">
        <f aca="false">IF($K1782="","","R"&amp;$K1782)</f>
        <v/>
      </c>
    </row>
    <row r="1783" customFormat="false" ht="15" hidden="false" customHeight="true" outlineLevel="0" collapsed="false">
      <c r="J1783" s="14" t="b">
        <f aca="false">IF(중복검사!$A1781="",FALSE(),중복검사!$H1781="중복")</f>
        <v>0</v>
      </c>
      <c r="K1783" s="5" t="str">
        <f aca="false">IF($J1783=FALSE(),"",COUNTIF($J$6:$J1783,TRUE()))</f>
        <v/>
      </c>
      <c r="L1783" s="5" t="str">
        <f aca="false">IF($K1783="","","R"&amp;$K1783)</f>
        <v/>
      </c>
    </row>
    <row r="1784" customFormat="false" ht="15" hidden="false" customHeight="true" outlineLevel="0" collapsed="false">
      <c r="J1784" s="14" t="b">
        <f aca="false">IF(중복검사!$A1782="",FALSE(),중복검사!$H1782="중복")</f>
        <v>0</v>
      </c>
      <c r="K1784" s="5" t="str">
        <f aca="false">IF($J1784=FALSE(),"",COUNTIF($J$6:$J1784,TRUE()))</f>
        <v/>
      </c>
      <c r="L1784" s="5" t="str">
        <f aca="false">IF($K1784="","","R"&amp;$K1784)</f>
        <v/>
      </c>
    </row>
    <row r="1785" customFormat="false" ht="15" hidden="false" customHeight="true" outlineLevel="0" collapsed="false">
      <c r="J1785" s="14" t="b">
        <f aca="false">IF(중복검사!$A1783="",FALSE(),중복검사!$H1783="중복")</f>
        <v>0</v>
      </c>
      <c r="K1785" s="5" t="str">
        <f aca="false">IF($J1785=FALSE(),"",COUNTIF($J$6:$J1785,TRUE()))</f>
        <v/>
      </c>
      <c r="L1785" s="5" t="str">
        <f aca="false">IF($K1785="","","R"&amp;$K1785)</f>
        <v/>
      </c>
    </row>
    <row r="1786" customFormat="false" ht="15" hidden="false" customHeight="true" outlineLevel="0" collapsed="false">
      <c r="J1786" s="14" t="b">
        <f aca="false">IF(중복검사!$A1784="",FALSE(),중복검사!$H1784="중복")</f>
        <v>0</v>
      </c>
      <c r="K1786" s="5" t="str">
        <f aca="false">IF($J1786=FALSE(),"",COUNTIF($J$6:$J1786,TRUE()))</f>
        <v/>
      </c>
      <c r="L1786" s="5" t="str">
        <f aca="false">IF($K1786="","","R"&amp;$K1786)</f>
        <v/>
      </c>
    </row>
    <row r="1787" customFormat="false" ht="15" hidden="false" customHeight="true" outlineLevel="0" collapsed="false">
      <c r="J1787" s="14" t="b">
        <f aca="false">IF(중복검사!$A1785="",FALSE(),중복검사!$H1785="중복")</f>
        <v>0</v>
      </c>
      <c r="K1787" s="5" t="str">
        <f aca="false">IF($J1787=FALSE(),"",COUNTIF($J$6:$J1787,TRUE()))</f>
        <v/>
      </c>
      <c r="L1787" s="5" t="str">
        <f aca="false">IF($K1787="","","R"&amp;$K1787)</f>
        <v/>
      </c>
    </row>
    <row r="1788" customFormat="false" ht="15" hidden="false" customHeight="true" outlineLevel="0" collapsed="false">
      <c r="J1788" s="14" t="b">
        <f aca="false">IF(중복검사!$A1786="",FALSE(),중복검사!$H1786="중복")</f>
        <v>0</v>
      </c>
      <c r="K1788" s="5" t="str">
        <f aca="false">IF($J1788=FALSE(),"",COUNTIF($J$6:$J1788,TRUE()))</f>
        <v/>
      </c>
      <c r="L1788" s="5" t="str">
        <f aca="false">IF($K1788="","","R"&amp;$K1788)</f>
        <v/>
      </c>
    </row>
    <row r="1789" customFormat="false" ht="15" hidden="false" customHeight="true" outlineLevel="0" collapsed="false">
      <c r="J1789" s="14" t="b">
        <f aca="false">IF(중복검사!$A1787="",FALSE(),중복검사!$H1787="중복")</f>
        <v>0</v>
      </c>
      <c r="K1789" s="5" t="str">
        <f aca="false">IF($J1789=FALSE(),"",COUNTIF($J$6:$J1789,TRUE()))</f>
        <v/>
      </c>
      <c r="L1789" s="5" t="str">
        <f aca="false">IF($K1789="","","R"&amp;$K1789)</f>
        <v/>
      </c>
    </row>
    <row r="1790" customFormat="false" ht="15" hidden="false" customHeight="true" outlineLevel="0" collapsed="false">
      <c r="J1790" s="14" t="b">
        <f aca="false">IF(중복검사!$A1788="",FALSE(),중복검사!$H1788="중복")</f>
        <v>0</v>
      </c>
      <c r="K1790" s="5" t="str">
        <f aca="false">IF($J1790=FALSE(),"",COUNTIF($J$6:$J1790,TRUE()))</f>
        <v/>
      </c>
      <c r="L1790" s="5" t="str">
        <f aca="false">IF($K1790="","","R"&amp;$K1790)</f>
        <v/>
      </c>
    </row>
    <row r="1791" customFormat="false" ht="15" hidden="false" customHeight="true" outlineLevel="0" collapsed="false">
      <c r="J1791" s="14" t="b">
        <f aca="false">IF(중복검사!$A1789="",FALSE(),중복검사!$H1789="중복")</f>
        <v>0</v>
      </c>
      <c r="K1791" s="5" t="str">
        <f aca="false">IF($J1791=FALSE(),"",COUNTIF($J$6:$J1791,TRUE()))</f>
        <v/>
      </c>
      <c r="L1791" s="5" t="str">
        <f aca="false">IF($K1791="","","R"&amp;$K1791)</f>
        <v/>
      </c>
    </row>
    <row r="1792" customFormat="false" ht="15" hidden="false" customHeight="true" outlineLevel="0" collapsed="false">
      <c r="J1792" s="14" t="b">
        <f aca="false">IF(중복검사!$A1790="",FALSE(),중복검사!$H1790="중복")</f>
        <v>0</v>
      </c>
      <c r="K1792" s="5" t="str">
        <f aca="false">IF($J1792=FALSE(),"",COUNTIF($J$6:$J1792,TRUE()))</f>
        <v/>
      </c>
      <c r="L1792" s="5" t="str">
        <f aca="false">IF($K1792="","","R"&amp;$K1792)</f>
        <v/>
      </c>
    </row>
    <row r="1793" customFormat="false" ht="15" hidden="false" customHeight="true" outlineLevel="0" collapsed="false">
      <c r="J1793" s="14" t="b">
        <f aca="false">IF(중복검사!$A1791="",FALSE(),중복검사!$H1791="중복")</f>
        <v>0</v>
      </c>
      <c r="K1793" s="5" t="str">
        <f aca="false">IF($J1793=FALSE(),"",COUNTIF($J$6:$J1793,TRUE()))</f>
        <v/>
      </c>
      <c r="L1793" s="5" t="str">
        <f aca="false">IF($K1793="","","R"&amp;$K1793)</f>
        <v/>
      </c>
    </row>
    <row r="1794" customFormat="false" ht="15" hidden="false" customHeight="true" outlineLevel="0" collapsed="false">
      <c r="J1794" s="14" t="b">
        <f aca="false">IF(중복검사!$A1792="",FALSE(),중복검사!$H1792="중복")</f>
        <v>0</v>
      </c>
      <c r="K1794" s="5" t="str">
        <f aca="false">IF($J1794=FALSE(),"",COUNTIF($J$6:$J1794,TRUE()))</f>
        <v/>
      </c>
      <c r="L1794" s="5" t="str">
        <f aca="false">IF($K1794="","","R"&amp;$K1794)</f>
        <v/>
      </c>
    </row>
    <row r="1795" customFormat="false" ht="15" hidden="false" customHeight="true" outlineLevel="0" collapsed="false">
      <c r="J1795" s="14" t="b">
        <f aca="false">IF(중복검사!$A1793="",FALSE(),중복검사!$H1793="중복")</f>
        <v>0</v>
      </c>
      <c r="K1795" s="5" t="str">
        <f aca="false">IF($J1795=FALSE(),"",COUNTIF($J$6:$J1795,TRUE()))</f>
        <v/>
      </c>
      <c r="L1795" s="5" t="str">
        <f aca="false">IF($K1795="","","R"&amp;$K1795)</f>
        <v/>
      </c>
    </row>
    <row r="1796" customFormat="false" ht="15" hidden="false" customHeight="true" outlineLevel="0" collapsed="false">
      <c r="J1796" s="14" t="b">
        <f aca="false">IF(중복검사!$A1794="",FALSE(),중복검사!$H1794="중복")</f>
        <v>0</v>
      </c>
      <c r="K1796" s="5" t="str">
        <f aca="false">IF($J1796=FALSE(),"",COUNTIF($J$6:$J1796,TRUE()))</f>
        <v/>
      </c>
      <c r="L1796" s="5" t="str">
        <f aca="false">IF($K1796="","","R"&amp;$K1796)</f>
        <v/>
      </c>
    </row>
    <row r="1797" customFormat="false" ht="15" hidden="false" customHeight="true" outlineLevel="0" collapsed="false">
      <c r="J1797" s="14" t="b">
        <f aca="false">IF(중복검사!$A1795="",FALSE(),중복검사!$H1795="중복")</f>
        <v>0</v>
      </c>
      <c r="K1797" s="5" t="str">
        <f aca="false">IF($J1797=FALSE(),"",COUNTIF($J$6:$J1797,TRUE()))</f>
        <v/>
      </c>
      <c r="L1797" s="5" t="str">
        <f aca="false">IF($K1797="","","R"&amp;$K1797)</f>
        <v/>
      </c>
    </row>
    <row r="1798" customFormat="false" ht="15" hidden="false" customHeight="true" outlineLevel="0" collapsed="false">
      <c r="J1798" s="14" t="b">
        <f aca="false">IF(중복검사!$A1796="",FALSE(),중복검사!$H1796="중복")</f>
        <v>0</v>
      </c>
      <c r="K1798" s="5" t="str">
        <f aca="false">IF($J1798=FALSE(),"",COUNTIF($J$6:$J1798,TRUE()))</f>
        <v/>
      </c>
      <c r="L1798" s="5" t="str">
        <f aca="false">IF($K1798="","","R"&amp;$K1798)</f>
        <v/>
      </c>
    </row>
    <row r="1799" customFormat="false" ht="15" hidden="false" customHeight="true" outlineLevel="0" collapsed="false">
      <c r="J1799" s="14" t="b">
        <f aca="false">IF(중복검사!$A1797="",FALSE(),중복검사!$H1797="중복")</f>
        <v>0</v>
      </c>
      <c r="K1799" s="5" t="str">
        <f aca="false">IF($J1799=FALSE(),"",COUNTIF($J$6:$J1799,TRUE()))</f>
        <v/>
      </c>
      <c r="L1799" s="5" t="str">
        <f aca="false">IF($K1799="","","R"&amp;$K1799)</f>
        <v/>
      </c>
    </row>
    <row r="1800" customFormat="false" ht="15" hidden="false" customHeight="true" outlineLevel="0" collapsed="false">
      <c r="J1800" s="14" t="b">
        <f aca="false">IF(중복검사!$A1798="",FALSE(),중복검사!$H1798="중복")</f>
        <v>0</v>
      </c>
      <c r="K1800" s="5" t="str">
        <f aca="false">IF($J1800=FALSE(),"",COUNTIF($J$6:$J1800,TRUE()))</f>
        <v/>
      </c>
      <c r="L1800" s="5" t="str">
        <f aca="false">IF($K1800="","","R"&amp;$K1800)</f>
        <v/>
      </c>
    </row>
    <row r="1801" customFormat="false" ht="15" hidden="false" customHeight="true" outlineLevel="0" collapsed="false">
      <c r="J1801" s="14" t="b">
        <f aca="false">IF(중복검사!$A1799="",FALSE(),중복검사!$H1799="중복")</f>
        <v>0</v>
      </c>
      <c r="K1801" s="5" t="str">
        <f aca="false">IF($J1801=FALSE(),"",COUNTIF($J$6:$J1801,TRUE()))</f>
        <v/>
      </c>
      <c r="L1801" s="5" t="str">
        <f aca="false">IF($K1801="","","R"&amp;$K1801)</f>
        <v/>
      </c>
    </row>
    <row r="1802" customFormat="false" ht="15" hidden="false" customHeight="true" outlineLevel="0" collapsed="false">
      <c r="J1802" s="14" t="b">
        <f aca="false">IF(중복검사!$A1800="",FALSE(),중복검사!$H1800="중복")</f>
        <v>0</v>
      </c>
      <c r="K1802" s="5" t="str">
        <f aca="false">IF($J1802=FALSE(),"",COUNTIF($J$6:$J1802,TRUE()))</f>
        <v/>
      </c>
      <c r="L1802" s="5" t="str">
        <f aca="false">IF($K1802="","","R"&amp;$K1802)</f>
        <v/>
      </c>
    </row>
    <row r="1803" customFormat="false" ht="15" hidden="false" customHeight="true" outlineLevel="0" collapsed="false">
      <c r="J1803" s="14" t="b">
        <f aca="false">IF(중복검사!$A1801="",FALSE(),중복검사!$H1801="중복")</f>
        <v>0</v>
      </c>
      <c r="K1803" s="5" t="str">
        <f aca="false">IF($J1803=FALSE(),"",COUNTIF($J$6:$J1803,TRUE()))</f>
        <v/>
      </c>
      <c r="L1803" s="5" t="str">
        <f aca="false">IF($K1803="","","R"&amp;$K1803)</f>
        <v/>
      </c>
    </row>
    <row r="1804" customFormat="false" ht="15" hidden="false" customHeight="true" outlineLevel="0" collapsed="false">
      <c r="J1804" s="14" t="b">
        <f aca="false">IF(중복검사!$A1802="",FALSE(),중복검사!$H1802="중복")</f>
        <v>0</v>
      </c>
      <c r="K1804" s="5" t="str">
        <f aca="false">IF($J1804=FALSE(),"",COUNTIF($J$6:$J1804,TRUE()))</f>
        <v/>
      </c>
      <c r="L1804" s="5" t="str">
        <f aca="false">IF($K1804="","","R"&amp;$K1804)</f>
        <v/>
      </c>
    </row>
    <row r="1805" customFormat="false" ht="15" hidden="false" customHeight="true" outlineLevel="0" collapsed="false">
      <c r="J1805" s="14" t="b">
        <f aca="false">IF(중복검사!$A1803="",FALSE(),중복검사!$H1803="중복")</f>
        <v>0</v>
      </c>
      <c r="K1805" s="5" t="str">
        <f aca="false">IF($J1805=FALSE(),"",COUNTIF($J$6:$J1805,TRUE()))</f>
        <v/>
      </c>
      <c r="L1805" s="5" t="str">
        <f aca="false">IF($K1805="","","R"&amp;$K1805)</f>
        <v/>
      </c>
    </row>
    <row r="1806" customFormat="false" ht="15" hidden="false" customHeight="true" outlineLevel="0" collapsed="false">
      <c r="J1806" s="14" t="b">
        <f aca="false">IF(중복검사!$A1804="",FALSE(),중복검사!$H1804="중복")</f>
        <v>0</v>
      </c>
      <c r="K1806" s="5" t="str">
        <f aca="false">IF($J1806=FALSE(),"",COUNTIF($J$6:$J1806,TRUE()))</f>
        <v/>
      </c>
      <c r="L1806" s="5" t="str">
        <f aca="false">IF($K1806="","","R"&amp;$K1806)</f>
        <v/>
      </c>
    </row>
    <row r="1807" customFormat="false" ht="15" hidden="false" customHeight="true" outlineLevel="0" collapsed="false">
      <c r="J1807" s="14" t="b">
        <f aca="false">IF(중복검사!$A1805="",FALSE(),중복검사!$H1805="중복")</f>
        <v>0</v>
      </c>
      <c r="K1807" s="5" t="str">
        <f aca="false">IF($J1807=FALSE(),"",COUNTIF($J$6:$J1807,TRUE()))</f>
        <v/>
      </c>
      <c r="L1807" s="5" t="str">
        <f aca="false">IF($K1807="","","R"&amp;$K1807)</f>
        <v/>
      </c>
    </row>
    <row r="1808" customFormat="false" ht="15" hidden="false" customHeight="true" outlineLevel="0" collapsed="false">
      <c r="J1808" s="14" t="b">
        <f aca="false">IF(중복검사!$A1806="",FALSE(),중복검사!$H1806="중복")</f>
        <v>0</v>
      </c>
      <c r="K1808" s="5" t="str">
        <f aca="false">IF($J1808=FALSE(),"",COUNTIF($J$6:$J1808,TRUE()))</f>
        <v/>
      </c>
      <c r="L1808" s="5" t="str">
        <f aca="false">IF($K1808="","","R"&amp;$K1808)</f>
        <v/>
      </c>
    </row>
    <row r="1809" customFormat="false" ht="15" hidden="false" customHeight="true" outlineLevel="0" collapsed="false">
      <c r="J1809" s="14" t="b">
        <f aca="false">IF(중복검사!$A1807="",FALSE(),중복검사!$H1807="중복")</f>
        <v>0</v>
      </c>
      <c r="K1809" s="5" t="str">
        <f aca="false">IF($J1809=FALSE(),"",COUNTIF($J$6:$J1809,TRUE()))</f>
        <v/>
      </c>
      <c r="L1809" s="5" t="str">
        <f aca="false">IF($K1809="","","R"&amp;$K1809)</f>
        <v/>
      </c>
    </row>
    <row r="1810" customFormat="false" ht="15" hidden="false" customHeight="true" outlineLevel="0" collapsed="false">
      <c r="J1810" s="14" t="b">
        <f aca="false">IF(중복검사!$A1808="",FALSE(),중복검사!$H1808="중복")</f>
        <v>0</v>
      </c>
      <c r="K1810" s="5" t="str">
        <f aca="false">IF($J1810=FALSE(),"",COUNTIF($J$6:$J1810,TRUE()))</f>
        <v/>
      </c>
      <c r="L1810" s="5" t="str">
        <f aca="false">IF($K1810="","","R"&amp;$K1810)</f>
        <v/>
      </c>
    </row>
    <row r="1811" customFormat="false" ht="15" hidden="false" customHeight="true" outlineLevel="0" collapsed="false">
      <c r="J1811" s="14" t="b">
        <f aca="false">IF(중복검사!$A1809="",FALSE(),중복검사!$H1809="중복")</f>
        <v>0</v>
      </c>
      <c r="K1811" s="5" t="str">
        <f aca="false">IF($J1811=FALSE(),"",COUNTIF($J$6:$J1811,TRUE()))</f>
        <v/>
      </c>
      <c r="L1811" s="5" t="str">
        <f aca="false">IF($K1811="","","R"&amp;$K1811)</f>
        <v/>
      </c>
    </row>
    <row r="1812" customFormat="false" ht="15" hidden="false" customHeight="true" outlineLevel="0" collapsed="false">
      <c r="J1812" s="14" t="b">
        <f aca="false">IF(중복검사!$A1810="",FALSE(),중복검사!$H1810="중복")</f>
        <v>0</v>
      </c>
      <c r="K1812" s="5" t="str">
        <f aca="false">IF($J1812=FALSE(),"",COUNTIF($J$6:$J1812,TRUE()))</f>
        <v/>
      </c>
      <c r="L1812" s="5" t="str">
        <f aca="false">IF($K1812="","","R"&amp;$K1812)</f>
        <v/>
      </c>
    </row>
    <row r="1813" customFormat="false" ht="15" hidden="false" customHeight="true" outlineLevel="0" collapsed="false">
      <c r="J1813" s="14" t="b">
        <f aca="false">IF(중복검사!$A1811="",FALSE(),중복검사!$H1811="중복")</f>
        <v>0</v>
      </c>
      <c r="K1813" s="5" t="str">
        <f aca="false">IF($J1813=FALSE(),"",COUNTIF($J$6:$J1813,TRUE()))</f>
        <v/>
      </c>
      <c r="L1813" s="5" t="str">
        <f aca="false">IF($K1813="","","R"&amp;$K1813)</f>
        <v/>
      </c>
    </row>
    <row r="1814" customFormat="false" ht="15" hidden="false" customHeight="true" outlineLevel="0" collapsed="false">
      <c r="J1814" s="14" t="b">
        <f aca="false">IF(중복검사!$A1812="",FALSE(),중복검사!$H1812="중복")</f>
        <v>0</v>
      </c>
      <c r="K1814" s="5" t="str">
        <f aca="false">IF($J1814=FALSE(),"",COUNTIF($J$6:$J1814,TRUE()))</f>
        <v/>
      </c>
      <c r="L1814" s="5" t="str">
        <f aca="false">IF($K1814="","","R"&amp;$K1814)</f>
        <v/>
      </c>
    </row>
    <row r="1815" customFormat="false" ht="15" hidden="false" customHeight="true" outlineLevel="0" collapsed="false">
      <c r="J1815" s="14" t="b">
        <f aca="false">IF(중복검사!$A1813="",FALSE(),중복검사!$H1813="중복")</f>
        <v>0</v>
      </c>
      <c r="K1815" s="5" t="str">
        <f aca="false">IF($J1815=FALSE(),"",COUNTIF($J$6:$J1815,TRUE()))</f>
        <v/>
      </c>
      <c r="L1815" s="5" t="str">
        <f aca="false">IF($K1815="","","R"&amp;$K1815)</f>
        <v/>
      </c>
    </row>
    <row r="1816" customFormat="false" ht="15" hidden="false" customHeight="true" outlineLevel="0" collapsed="false">
      <c r="J1816" s="14" t="b">
        <f aca="false">IF(중복검사!$A1814="",FALSE(),중복검사!$H1814="중복")</f>
        <v>0</v>
      </c>
      <c r="K1816" s="5" t="str">
        <f aca="false">IF($J1816=FALSE(),"",COUNTIF($J$6:$J1816,TRUE()))</f>
        <v/>
      </c>
      <c r="L1816" s="5" t="str">
        <f aca="false">IF($K1816="","","R"&amp;$K1816)</f>
        <v/>
      </c>
    </row>
    <row r="1817" customFormat="false" ht="15" hidden="false" customHeight="true" outlineLevel="0" collapsed="false">
      <c r="J1817" s="14" t="b">
        <f aca="false">IF(중복검사!$A1815="",FALSE(),중복검사!$H1815="중복")</f>
        <v>0</v>
      </c>
      <c r="K1817" s="5" t="str">
        <f aca="false">IF($J1817=FALSE(),"",COUNTIF($J$6:$J1817,TRUE()))</f>
        <v/>
      </c>
      <c r="L1817" s="5" t="str">
        <f aca="false">IF($K1817="","","R"&amp;$K1817)</f>
        <v/>
      </c>
    </row>
    <row r="1818" customFormat="false" ht="15" hidden="false" customHeight="true" outlineLevel="0" collapsed="false">
      <c r="J1818" s="14" t="b">
        <f aca="false">IF(중복검사!$A1816="",FALSE(),중복검사!$H1816="중복")</f>
        <v>0</v>
      </c>
      <c r="K1818" s="5" t="str">
        <f aca="false">IF($J1818=FALSE(),"",COUNTIF($J$6:$J1818,TRUE()))</f>
        <v/>
      </c>
      <c r="L1818" s="5" t="str">
        <f aca="false">IF($K1818="","","R"&amp;$K1818)</f>
        <v/>
      </c>
    </row>
    <row r="1819" customFormat="false" ht="15" hidden="false" customHeight="true" outlineLevel="0" collapsed="false">
      <c r="J1819" s="14" t="b">
        <f aca="false">IF(중복검사!$A1817="",FALSE(),중복검사!$H1817="중복")</f>
        <v>0</v>
      </c>
      <c r="K1819" s="5" t="str">
        <f aca="false">IF($J1819=FALSE(),"",COUNTIF($J$6:$J1819,TRUE()))</f>
        <v/>
      </c>
      <c r="L1819" s="5" t="str">
        <f aca="false">IF($K1819="","","R"&amp;$K1819)</f>
        <v/>
      </c>
    </row>
    <row r="1820" customFormat="false" ht="15" hidden="false" customHeight="true" outlineLevel="0" collapsed="false">
      <c r="J1820" s="14" t="b">
        <f aca="false">IF(중복검사!$A1818="",FALSE(),중복검사!$H1818="중복")</f>
        <v>0</v>
      </c>
      <c r="K1820" s="5" t="str">
        <f aca="false">IF($J1820=FALSE(),"",COUNTIF($J$6:$J1820,TRUE()))</f>
        <v/>
      </c>
      <c r="L1820" s="5" t="str">
        <f aca="false">IF($K1820="","","R"&amp;$K1820)</f>
        <v/>
      </c>
    </row>
    <row r="1821" customFormat="false" ht="15" hidden="false" customHeight="true" outlineLevel="0" collapsed="false">
      <c r="J1821" s="14" t="b">
        <f aca="false">IF(중복검사!$A1819="",FALSE(),중복검사!$H1819="중복")</f>
        <v>0</v>
      </c>
      <c r="K1821" s="5" t="str">
        <f aca="false">IF($J1821=FALSE(),"",COUNTIF($J$6:$J1821,TRUE()))</f>
        <v/>
      </c>
      <c r="L1821" s="5" t="str">
        <f aca="false">IF($K1821="","","R"&amp;$K1821)</f>
        <v/>
      </c>
    </row>
    <row r="1822" customFormat="false" ht="15" hidden="false" customHeight="true" outlineLevel="0" collapsed="false">
      <c r="J1822" s="14" t="b">
        <f aca="false">IF(중복검사!$A1820="",FALSE(),중복검사!$H1820="중복")</f>
        <v>0</v>
      </c>
      <c r="K1822" s="5" t="str">
        <f aca="false">IF($J1822=FALSE(),"",COUNTIF($J$6:$J1822,TRUE()))</f>
        <v/>
      </c>
      <c r="L1822" s="5" t="str">
        <f aca="false">IF($K1822="","","R"&amp;$K1822)</f>
        <v/>
      </c>
    </row>
    <row r="1823" customFormat="false" ht="15" hidden="false" customHeight="true" outlineLevel="0" collapsed="false">
      <c r="J1823" s="14" t="b">
        <f aca="false">IF(중복검사!$A1821="",FALSE(),중복검사!$H1821="중복")</f>
        <v>0</v>
      </c>
      <c r="K1823" s="5" t="str">
        <f aca="false">IF($J1823=FALSE(),"",COUNTIF($J$6:$J1823,TRUE()))</f>
        <v/>
      </c>
      <c r="L1823" s="5" t="str">
        <f aca="false">IF($K1823="","","R"&amp;$K1823)</f>
        <v/>
      </c>
    </row>
    <row r="1824" customFormat="false" ht="15" hidden="false" customHeight="true" outlineLevel="0" collapsed="false">
      <c r="J1824" s="14" t="b">
        <f aca="false">IF(중복검사!$A1822="",FALSE(),중복검사!$H1822="중복")</f>
        <v>0</v>
      </c>
      <c r="K1824" s="5" t="str">
        <f aca="false">IF($J1824=FALSE(),"",COUNTIF($J$6:$J1824,TRUE()))</f>
        <v/>
      </c>
      <c r="L1824" s="5" t="str">
        <f aca="false">IF($K1824="","","R"&amp;$K1824)</f>
        <v/>
      </c>
    </row>
    <row r="1825" customFormat="false" ht="15" hidden="false" customHeight="true" outlineLevel="0" collapsed="false">
      <c r="J1825" s="14" t="b">
        <f aca="false">IF(중복검사!$A1823="",FALSE(),중복검사!$H1823="중복")</f>
        <v>0</v>
      </c>
      <c r="K1825" s="5" t="str">
        <f aca="false">IF($J1825=FALSE(),"",COUNTIF($J$6:$J1825,TRUE()))</f>
        <v/>
      </c>
      <c r="L1825" s="5" t="str">
        <f aca="false">IF($K1825="","","R"&amp;$K1825)</f>
        <v/>
      </c>
    </row>
    <row r="1826" customFormat="false" ht="15" hidden="false" customHeight="true" outlineLevel="0" collapsed="false">
      <c r="J1826" s="14" t="b">
        <f aca="false">IF(중복검사!$A1824="",FALSE(),중복검사!$H1824="중복")</f>
        <v>0</v>
      </c>
      <c r="K1826" s="5" t="str">
        <f aca="false">IF($J1826=FALSE(),"",COUNTIF($J$6:$J1826,TRUE()))</f>
        <v/>
      </c>
      <c r="L1826" s="5" t="str">
        <f aca="false">IF($K1826="","","R"&amp;$K1826)</f>
        <v/>
      </c>
    </row>
    <row r="1827" customFormat="false" ht="15" hidden="false" customHeight="true" outlineLevel="0" collapsed="false">
      <c r="J1827" s="14" t="b">
        <f aca="false">IF(중복검사!$A1825="",FALSE(),중복검사!$H1825="중복")</f>
        <v>0</v>
      </c>
      <c r="K1827" s="5" t="str">
        <f aca="false">IF($J1827=FALSE(),"",COUNTIF($J$6:$J1827,TRUE()))</f>
        <v/>
      </c>
      <c r="L1827" s="5" t="str">
        <f aca="false">IF($K1827="","","R"&amp;$K1827)</f>
        <v/>
      </c>
    </row>
    <row r="1828" customFormat="false" ht="15" hidden="false" customHeight="true" outlineLevel="0" collapsed="false">
      <c r="J1828" s="14" t="b">
        <f aca="false">IF(중복검사!$A1826="",FALSE(),중복검사!$H1826="중복")</f>
        <v>0</v>
      </c>
      <c r="K1828" s="5" t="str">
        <f aca="false">IF($J1828=FALSE(),"",COUNTIF($J$6:$J1828,TRUE()))</f>
        <v/>
      </c>
      <c r="L1828" s="5" t="str">
        <f aca="false">IF($K1828="","","R"&amp;$K1828)</f>
        <v/>
      </c>
    </row>
    <row r="1829" customFormat="false" ht="15" hidden="false" customHeight="true" outlineLevel="0" collapsed="false">
      <c r="J1829" s="14" t="b">
        <f aca="false">IF(중복검사!$A1827="",FALSE(),중복검사!$H1827="중복")</f>
        <v>0</v>
      </c>
      <c r="K1829" s="5" t="str">
        <f aca="false">IF($J1829=FALSE(),"",COUNTIF($J$6:$J1829,TRUE()))</f>
        <v/>
      </c>
      <c r="L1829" s="5" t="str">
        <f aca="false">IF($K1829="","","R"&amp;$K1829)</f>
        <v/>
      </c>
    </row>
    <row r="1830" customFormat="false" ht="15" hidden="false" customHeight="true" outlineLevel="0" collapsed="false">
      <c r="J1830" s="14" t="b">
        <f aca="false">IF(중복검사!$A1828="",FALSE(),중복검사!$H1828="중복")</f>
        <v>0</v>
      </c>
      <c r="K1830" s="5" t="str">
        <f aca="false">IF($J1830=FALSE(),"",COUNTIF($J$6:$J1830,TRUE()))</f>
        <v/>
      </c>
      <c r="L1830" s="5" t="str">
        <f aca="false">IF($K1830="","","R"&amp;$K1830)</f>
        <v/>
      </c>
    </row>
    <row r="1831" customFormat="false" ht="15" hidden="false" customHeight="true" outlineLevel="0" collapsed="false">
      <c r="J1831" s="14" t="b">
        <f aca="false">IF(중복검사!$A1829="",FALSE(),중복검사!$H1829="중복")</f>
        <v>0</v>
      </c>
      <c r="K1831" s="5" t="str">
        <f aca="false">IF($J1831=FALSE(),"",COUNTIF($J$6:$J1831,TRUE()))</f>
        <v/>
      </c>
      <c r="L1831" s="5" t="str">
        <f aca="false">IF($K1831="","","R"&amp;$K1831)</f>
        <v/>
      </c>
    </row>
    <row r="1832" customFormat="false" ht="15" hidden="false" customHeight="true" outlineLevel="0" collapsed="false">
      <c r="J1832" s="14" t="b">
        <f aca="false">IF(중복검사!$A1830="",FALSE(),중복검사!$H1830="중복")</f>
        <v>0</v>
      </c>
      <c r="K1832" s="5" t="str">
        <f aca="false">IF($J1832=FALSE(),"",COUNTIF($J$6:$J1832,TRUE()))</f>
        <v/>
      </c>
      <c r="L1832" s="5" t="str">
        <f aca="false">IF($K1832="","","R"&amp;$K1832)</f>
        <v/>
      </c>
    </row>
    <row r="1833" customFormat="false" ht="15" hidden="false" customHeight="true" outlineLevel="0" collapsed="false">
      <c r="J1833" s="14" t="b">
        <f aca="false">IF(중복검사!$A1831="",FALSE(),중복검사!$H1831="중복")</f>
        <v>0</v>
      </c>
      <c r="K1833" s="5" t="str">
        <f aca="false">IF($J1833=FALSE(),"",COUNTIF($J$6:$J1833,TRUE()))</f>
        <v/>
      </c>
      <c r="L1833" s="5" t="str">
        <f aca="false">IF($K1833="","","R"&amp;$K1833)</f>
        <v/>
      </c>
    </row>
    <row r="1834" customFormat="false" ht="15" hidden="false" customHeight="true" outlineLevel="0" collapsed="false">
      <c r="J1834" s="14" t="b">
        <f aca="false">IF(중복검사!$A1832="",FALSE(),중복검사!$H1832="중복")</f>
        <v>0</v>
      </c>
      <c r="K1834" s="5" t="str">
        <f aca="false">IF($J1834=FALSE(),"",COUNTIF($J$6:$J1834,TRUE()))</f>
        <v/>
      </c>
      <c r="L1834" s="5" t="str">
        <f aca="false">IF($K1834="","","R"&amp;$K1834)</f>
        <v/>
      </c>
    </row>
    <row r="1835" customFormat="false" ht="15" hidden="false" customHeight="true" outlineLevel="0" collapsed="false">
      <c r="J1835" s="14" t="b">
        <f aca="false">IF(중복검사!$A1833="",FALSE(),중복검사!$H1833="중복")</f>
        <v>0</v>
      </c>
      <c r="K1835" s="5" t="str">
        <f aca="false">IF($J1835=FALSE(),"",COUNTIF($J$6:$J1835,TRUE()))</f>
        <v/>
      </c>
      <c r="L1835" s="5" t="str">
        <f aca="false">IF($K1835="","","R"&amp;$K1835)</f>
        <v/>
      </c>
    </row>
    <row r="1836" customFormat="false" ht="15" hidden="false" customHeight="true" outlineLevel="0" collapsed="false">
      <c r="J1836" s="14" t="b">
        <f aca="false">IF(중복검사!$A1834="",FALSE(),중복검사!$H1834="중복")</f>
        <v>0</v>
      </c>
      <c r="K1836" s="5" t="str">
        <f aca="false">IF($J1836=FALSE(),"",COUNTIF($J$6:$J1836,TRUE()))</f>
        <v/>
      </c>
      <c r="L1836" s="5" t="str">
        <f aca="false">IF($K1836="","","R"&amp;$K1836)</f>
        <v/>
      </c>
    </row>
    <row r="1837" customFormat="false" ht="15" hidden="false" customHeight="true" outlineLevel="0" collapsed="false">
      <c r="J1837" s="14" t="b">
        <f aca="false">IF(중복검사!$A1835="",FALSE(),중복검사!$H1835="중복")</f>
        <v>0</v>
      </c>
      <c r="K1837" s="5" t="str">
        <f aca="false">IF($J1837=FALSE(),"",COUNTIF($J$6:$J1837,TRUE()))</f>
        <v/>
      </c>
      <c r="L1837" s="5" t="str">
        <f aca="false">IF($K1837="","","R"&amp;$K1837)</f>
        <v/>
      </c>
    </row>
    <row r="1838" customFormat="false" ht="15" hidden="false" customHeight="true" outlineLevel="0" collapsed="false">
      <c r="J1838" s="14" t="b">
        <f aca="false">IF(중복검사!$A1836="",FALSE(),중복검사!$H1836="중복")</f>
        <v>0</v>
      </c>
      <c r="K1838" s="5" t="str">
        <f aca="false">IF($J1838=FALSE(),"",COUNTIF($J$6:$J1838,TRUE()))</f>
        <v/>
      </c>
      <c r="L1838" s="5" t="str">
        <f aca="false">IF($K1838="","","R"&amp;$K1838)</f>
        <v/>
      </c>
    </row>
    <row r="1839" customFormat="false" ht="15" hidden="false" customHeight="true" outlineLevel="0" collapsed="false">
      <c r="J1839" s="14" t="b">
        <f aca="false">IF(중복검사!$A1837="",FALSE(),중복검사!$H1837="중복")</f>
        <v>0</v>
      </c>
      <c r="K1839" s="5" t="str">
        <f aca="false">IF($J1839=FALSE(),"",COUNTIF($J$6:$J1839,TRUE()))</f>
        <v/>
      </c>
      <c r="L1839" s="5" t="str">
        <f aca="false">IF($K1839="","","R"&amp;$K1839)</f>
        <v/>
      </c>
    </row>
    <row r="1840" customFormat="false" ht="15" hidden="false" customHeight="true" outlineLevel="0" collapsed="false">
      <c r="J1840" s="14" t="b">
        <f aca="false">IF(중복검사!$A1838="",FALSE(),중복검사!$H1838="중복")</f>
        <v>0</v>
      </c>
      <c r="K1840" s="5" t="str">
        <f aca="false">IF($J1840=FALSE(),"",COUNTIF($J$6:$J1840,TRUE()))</f>
        <v/>
      </c>
      <c r="L1840" s="5" t="str">
        <f aca="false">IF($K1840="","","R"&amp;$K1840)</f>
        <v/>
      </c>
    </row>
    <row r="1841" customFormat="false" ht="15" hidden="false" customHeight="true" outlineLevel="0" collapsed="false">
      <c r="J1841" s="14" t="b">
        <f aca="false">IF(중복검사!$A1839="",FALSE(),중복검사!$H1839="중복")</f>
        <v>0</v>
      </c>
      <c r="K1841" s="5" t="str">
        <f aca="false">IF($J1841=FALSE(),"",COUNTIF($J$6:$J1841,TRUE()))</f>
        <v/>
      </c>
      <c r="L1841" s="5" t="str">
        <f aca="false">IF($K1841="","","R"&amp;$K1841)</f>
        <v/>
      </c>
    </row>
    <row r="1842" customFormat="false" ht="15" hidden="false" customHeight="true" outlineLevel="0" collapsed="false">
      <c r="J1842" s="14" t="b">
        <f aca="false">IF(중복검사!$A1840="",FALSE(),중복검사!$H1840="중복")</f>
        <v>0</v>
      </c>
      <c r="K1842" s="5" t="str">
        <f aca="false">IF($J1842=FALSE(),"",COUNTIF($J$6:$J1842,TRUE()))</f>
        <v/>
      </c>
      <c r="L1842" s="5" t="str">
        <f aca="false">IF($K1842="","","R"&amp;$K1842)</f>
        <v/>
      </c>
    </row>
    <row r="1843" customFormat="false" ht="15" hidden="false" customHeight="true" outlineLevel="0" collapsed="false">
      <c r="J1843" s="14" t="b">
        <f aca="false">IF(중복검사!$A1841="",FALSE(),중복검사!$H1841="중복")</f>
        <v>0</v>
      </c>
      <c r="K1843" s="5" t="str">
        <f aca="false">IF($J1843=FALSE(),"",COUNTIF($J$6:$J1843,TRUE()))</f>
        <v/>
      </c>
      <c r="L1843" s="5" t="str">
        <f aca="false">IF($K1843="","","R"&amp;$K1843)</f>
        <v/>
      </c>
    </row>
    <row r="1844" customFormat="false" ht="15" hidden="false" customHeight="true" outlineLevel="0" collapsed="false">
      <c r="J1844" s="14" t="b">
        <f aca="false">IF(중복검사!$A1842="",FALSE(),중복검사!$H1842="중복")</f>
        <v>0</v>
      </c>
      <c r="K1844" s="5" t="str">
        <f aca="false">IF($J1844=FALSE(),"",COUNTIF($J$6:$J1844,TRUE()))</f>
        <v/>
      </c>
      <c r="L1844" s="5" t="str">
        <f aca="false">IF($K1844="","","R"&amp;$K1844)</f>
        <v/>
      </c>
    </row>
    <row r="1845" customFormat="false" ht="15" hidden="false" customHeight="true" outlineLevel="0" collapsed="false">
      <c r="J1845" s="14" t="b">
        <f aca="false">IF(중복검사!$A1843="",FALSE(),중복검사!$H1843="중복")</f>
        <v>0</v>
      </c>
      <c r="K1845" s="5" t="str">
        <f aca="false">IF($J1845=FALSE(),"",COUNTIF($J$6:$J1845,TRUE()))</f>
        <v/>
      </c>
      <c r="L1845" s="5" t="str">
        <f aca="false">IF($K1845="","","R"&amp;$K1845)</f>
        <v/>
      </c>
    </row>
    <row r="1846" customFormat="false" ht="15" hidden="false" customHeight="true" outlineLevel="0" collapsed="false">
      <c r="J1846" s="14" t="b">
        <f aca="false">IF(중복검사!$A1844="",FALSE(),중복검사!$H1844="중복")</f>
        <v>0</v>
      </c>
      <c r="K1846" s="5" t="str">
        <f aca="false">IF($J1846=FALSE(),"",COUNTIF($J$6:$J1846,TRUE()))</f>
        <v/>
      </c>
      <c r="L1846" s="5" t="str">
        <f aca="false">IF($K1846="","","R"&amp;$K1846)</f>
        <v/>
      </c>
    </row>
    <row r="1847" customFormat="false" ht="15" hidden="false" customHeight="true" outlineLevel="0" collapsed="false">
      <c r="J1847" s="14" t="b">
        <f aca="false">IF(중복검사!$A1845="",FALSE(),중복검사!$H1845="중복")</f>
        <v>0</v>
      </c>
      <c r="K1847" s="5" t="str">
        <f aca="false">IF($J1847=FALSE(),"",COUNTIF($J$6:$J1847,TRUE()))</f>
        <v/>
      </c>
      <c r="L1847" s="5" t="str">
        <f aca="false">IF($K1847="","","R"&amp;$K1847)</f>
        <v/>
      </c>
    </row>
    <row r="1848" customFormat="false" ht="15" hidden="false" customHeight="true" outlineLevel="0" collapsed="false">
      <c r="J1848" s="14" t="b">
        <f aca="false">IF(중복검사!$A1846="",FALSE(),중복검사!$H1846="중복")</f>
        <v>0</v>
      </c>
      <c r="K1848" s="5" t="str">
        <f aca="false">IF($J1848=FALSE(),"",COUNTIF($J$6:$J1848,TRUE()))</f>
        <v/>
      </c>
      <c r="L1848" s="5" t="str">
        <f aca="false">IF($K1848="","","R"&amp;$K1848)</f>
        <v/>
      </c>
    </row>
    <row r="1849" customFormat="false" ht="15" hidden="false" customHeight="true" outlineLevel="0" collapsed="false">
      <c r="J1849" s="14" t="b">
        <f aca="false">IF(중복검사!$A1847="",FALSE(),중복검사!$H1847="중복")</f>
        <v>0</v>
      </c>
      <c r="K1849" s="5" t="str">
        <f aca="false">IF($J1849=FALSE(),"",COUNTIF($J$6:$J1849,TRUE()))</f>
        <v/>
      </c>
      <c r="L1849" s="5" t="str">
        <f aca="false">IF($K1849="","","R"&amp;$K1849)</f>
        <v/>
      </c>
    </row>
    <row r="1850" customFormat="false" ht="15" hidden="false" customHeight="true" outlineLevel="0" collapsed="false">
      <c r="J1850" s="14" t="b">
        <f aca="false">IF(중복검사!$A1848="",FALSE(),중복검사!$H1848="중복")</f>
        <v>0</v>
      </c>
      <c r="K1850" s="5" t="str">
        <f aca="false">IF($J1850=FALSE(),"",COUNTIF($J$6:$J1850,TRUE()))</f>
        <v/>
      </c>
      <c r="L1850" s="5" t="str">
        <f aca="false">IF($K1850="","","R"&amp;$K1850)</f>
        <v/>
      </c>
    </row>
    <row r="1851" customFormat="false" ht="15" hidden="false" customHeight="true" outlineLevel="0" collapsed="false">
      <c r="J1851" s="14" t="b">
        <f aca="false">IF(중복검사!$A1849="",FALSE(),중복검사!$H1849="중복")</f>
        <v>0</v>
      </c>
      <c r="K1851" s="5" t="str">
        <f aca="false">IF($J1851=FALSE(),"",COUNTIF($J$6:$J1851,TRUE()))</f>
        <v/>
      </c>
      <c r="L1851" s="5" t="str">
        <f aca="false">IF($K1851="","","R"&amp;$K1851)</f>
        <v/>
      </c>
    </row>
    <row r="1852" customFormat="false" ht="15" hidden="false" customHeight="true" outlineLevel="0" collapsed="false">
      <c r="J1852" s="14" t="b">
        <f aca="false">IF(중복검사!$A1850="",FALSE(),중복검사!$H1850="중복")</f>
        <v>0</v>
      </c>
      <c r="K1852" s="5" t="str">
        <f aca="false">IF($J1852=FALSE(),"",COUNTIF($J$6:$J1852,TRUE()))</f>
        <v/>
      </c>
      <c r="L1852" s="5" t="str">
        <f aca="false">IF($K1852="","","R"&amp;$K1852)</f>
        <v/>
      </c>
    </row>
    <row r="1853" customFormat="false" ht="15" hidden="false" customHeight="true" outlineLevel="0" collapsed="false">
      <c r="J1853" s="14" t="b">
        <f aca="false">IF(중복검사!$A1851="",FALSE(),중복검사!$H1851="중복")</f>
        <v>0</v>
      </c>
      <c r="K1853" s="5" t="str">
        <f aca="false">IF($J1853=FALSE(),"",COUNTIF($J$6:$J1853,TRUE()))</f>
        <v/>
      </c>
      <c r="L1853" s="5" t="str">
        <f aca="false">IF($K1853="","","R"&amp;$K1853)</f>
        <v/>
      </c>
    </row>
    <row r="1854" customFormat="false" ht="15" hidden="false" customHeight="true" outlineLevel="0" collapsed="false">
      <c r="J1854" s="14" t="b">
        <f aca="false">IF(중복검사!$A1852="",FALSE(),중복검사!$H1852="중복")</f>
        <v>0</v>
      </c>
      <c r="K1854" s="5" t="str">
        <f aca="false">IF($J1854=FALSE(),"",COUNTIF($J$6:$J1854,TRUE()))</f>
        <v/>
      </c>
      <c r="L1854" s="5" t="str">
        <f aca="false">IF($K1854="","","R"&amp;$K1854)</f>
        <v/>
      </c>
    </row>
    <row r="1855" customFormat="false" ht="15" hidden="false" customHeight="true" outlineLevel="0" collapsed="false">
      <c r="J1855" s="14" t="b">
        <f aca="false">IF(중복검사!$A1853="",FALSE(),중복검사!$H1853="중복")</f>
        <v>0</v>
      </c>
      <c r="K1855" s="5" t="str">
        <f aca="false">IF($J1855=FALSE(),"",COUNTIF($J$6:$J1855,TRUE()))</f>
        <v/>
      </c>
      <c r="L1855" s="5" t="str">
        <f aca="false">IF($K1855="","","R"&amp;$K1855)</f>
        <v/>
      </c>
    </row>
    <row r="1856" customFormat="false" ht="15" hidden="false" customHeight="true" outlineLevel="0" collapsed="false">
      <c r="J1856" s="14" t="b">
        <f aca="false">IF(중복검사!$A1854="",FALSE(),중복검사!$H1854="중복")</f>
        <v>0</v>
      </c>
      <c r="K1856" s="5" t="str">
        <f aca="false">IF($J1856=FALSE(),"",COUNTIF($J$6:$J1856,TRUE()))</f>
        <v/>
      </c>
      <c r="L1856" s="5" t="str">
        <f aca="false">IF($K1856="","","R"&amp;$K1856)</f>
        <v/>
      </c>
    </row>
    <row r="1857" customFormat="false" ht="15" hidden="false" customHeight="true" outlineLevel="0" collapsed="false">
      <c r="J1857" s="14" t="b">
        <f aca="false">IF(중복검사!$A1855="",FALSE(),중복검사!$H1855="중복")</f>
        <v>0</v>
      </c>
      <c r="K1857" s="5" t="str">
        <f aca="false">IF($J1857=FALSE(),"",COUNTIF($J$6:$J1857,TRUE()))</f>
        <v/>
      </c>
      <c r="L1857" s="5" t="str">
        <f aca="false">IF($K1857="","","R"&amp;$K1857)</f>
        <v/>
      </c>
    </row>
    <row r="1858" customFormat="false" ht="15" hidden="false" customHeight="true" outlineLevel="0" collapsed="false">
      <c r="J1858" s="14" t="b">
        <f aca="false">IF(중복검사!$A1856="",FALSE(),중복검사!$H1856="중복")</f>
        <v>0</v>
      </c>
      <c r="K1858" s="5" t="str">
        <f aca="false">IF($J1858=FALSE(),"",COUNTIF($J$6:$J1858,TRUE()))</f>
        <v/>
      </c>
      <c r="L1858" s="5" t="str">
        <f aca="false">IF($K1858="","","R"&amp;$K1858)</f>
        <v/>
      </c>
    </row>
    <row r="1859" customFormat="false" ht="15" hidden="false" customHeight="true" outlineLevel="0" collapsed="false">
      <c r="J1859" s="14" t="b">
        <f aca="false">IF(중복검사!$A1857="",FALSE(),중복검사!$H1857="중복")</f>
        <v>0</v>
      </c>
      <c r="K1859" s="5" t="str">
        <f aca="false">IF($J1859=FALSE(),"",COUNTIF($J$6:$J1859,TRUE()))</f>
        <v/>
      </c>
      <c r="L1859" s="5" t="str">
        <f aca="false">IF($K1859="","","R"&amp;$K1859)</f>
        <v/>
      </c>
    </row>
    <row r="1860" customFormat="false" ht="15" hidden="false" customHeight="true" outlineLevel="0" collapsed="false">
      <c r="J1860" s="14" t="b">
        <f aca="false">IF(중복검사!$A1858="",FALSE(),중복검사!$H1858="중복")</f>
        <v>0</v>
      </c>
      <c r="K1860" s="5" t="str">
        <f aca="false">IF($J1860=FALSE(),"",COUNTIF($J$6:$J1860,TRUE()))</f>
        <v/>
      </c>
      <c r="L1860" s="5" t="str">
        <f aca="false">IF($K1860="","","R"&amp;$K1860)</f>
        <v/>
      </c>
    </row>
    <row r="1861" customFormat="false" ht="15" hidden="false" customHeight="true" outlineLevel="0" collapsed="false">
      <c r="J1861" s="14" t="b">
        <f aca="false">IF(중복검사!$A1859="",FALSE(),중복검사!$H1859="중복")</f>
        <v>0</v>
      </c>
      <c r="K1861" s="5" t="str">
        <f aca="false">IF($J1861=FALSE(),"",COUNTIF($J$6:$J1861,TRUE()))</f>
        <v/>
      </c>
      <c r="L1861" s="5" t="str">
        <f aca="false">IF($K1861="","","R"&amp;$K1861)</f>
        <v/>
      </c>
    </row>
    <row r="1862" customFormat="false" ht="15" hidden="false" customHeight="true" outlineLevel="0" collapsed="false">
      <c r="J1862" s="14" t="b">
        <f aca="false">IF(중복검사!$A1860="",FALSE(),중복검사!$H1860="중복")</f>
        <v>0</v>
      </c>
      <c r="K1862" s="5" t="str">
        <f aca="false">IF($J1862=FALSE(),"",COUNTIF($J$6:$J1862,TRUE()))</f>
        <v/>
      </c>
      <c r="L1862" s="5" t="str">
        <f aca="false">IF($K1862="","","R"&amp;$K1862)</f>
        <v/>
      </c>
    </row>
    <row r="1863" customFormat="false" ht="15" hidden="false" customHeight="true" outlineLevel="0" collapsed="false">
      <c r="J1863" s="14" t="b">
        <f aca="false">IF(중복검사!$A1861="",FALSE(),중복검사!$H1861="중복")</f>
        <v>0</v>
      </c>
      <c r="K1863" s="5" t="str">
        <f aca="false">IF($J1863=FALSE(),"",COUNTIF($J$6:$J1863,TRUE()))</f>
        <v/>
      </c>
      <c r="L1863" s="5" t="str">
        <f aca="false">IF($K1863="","","R"&amp;$K1863)</f>
        <v/>
      </c>
    </row>
    <row r="1864" customFormat="false" ht="15" hidden="false" customHeight="true" outlineLevel="0" collapsed="false">
      <c r="J1864" s="14" t="b">
        <f aca="false">IF(중복검사!$A1862="",FALSE(),중복검사!$H1862="중복")</f>
        <v>0</v>
      </c>
      <c r="K1864" s="5" t="str">
        <f aca="false">IF($J1864=FALSE(),"",COUNTIF($J$6:$J1864,TRUE()))</f>
        <v/>
      </c>
      <c r="L1864" s="5" t="str">
        <f aca="false">IF($K1864="","","R"&amp;$K1864)</f>
        <v/>
      </c>
    </row>
    <row r="1865" customFormat="false" ht="15" hidden="false" customHeight="true" outlineLevel="0" collapsed="false">
      <c r="J1865" s="14" t="b">
        <f aca="false">IF(중복검사!$A1863="",FALSE(),중복검사!$H1863="중복")</f>
        <v>0</v>
      </c>
      <c r="K1865" s="5" t="str">
        <f aca="false">IF($J1865=FALSE(),"",COUNTIF($J$6:$J1865,TRUE()))</f>
        <v/>
      </c>
      <c r="L1865" s="5" t="str">
        <f aca="false">IF($K1865="","","R"&amp;$K1865)</f>
        <v/>
      </c>
    </row>
    <row r="1866" customFormat="false" ht="15" hidden="false" customHeight="true" outlineLevel="0" collapsed="false">
      <c r="J1866" s="14" t="b">
        <f aca="false">IF(중복검사!$A1864="",FALSE(),중복검사!$H1864="중복")</f>
        <v>0</v>
      </c>
      <c r="K1866" s="5" t="str">
        <f aca="false">IF($J1866=FALSE(),"",COUNTIF($J$6:$J1866,TRUE()))</f>
        <v/>
      </c>
      <c r="L1866" s="5" t="str">
        <f aca="false">IF($K1866="","","R"&amp;$K1866)</f>
        <v/>
      </c>
    </row>
    <row r="1867" customFormat="false" ht="15" hidden="false" customHeight="true" outlineLevel="0" collapsed="false">
      <c r="J1867" s="14" t="b">
        <f aca="false">IF(중복검사!$A1865="",FALSE(),중복검사!$H1865="중복")</f>
        <v>0</v>
      </c>
      <c r="K1867" s="5" t="str">
        <f aca="false">IF($J1867=FALSE(),"",COUNTIF($J$6:$J1867,TRUE()))</f>
        <v/>
      </c>
      <c r="L1867" s="5" t="str">
        <f aca="false">IF($K1867="","","R"&amp;$K1867)</f>
        <v/>
      </c>
    </row>
    <row r="1868" customFormat="false" ht="15" hidden="false" customHeight="true" outlineLevel="0" collapsed="false">
      <c r="J1868" s="14" t="b">
        <f aca="false">IF(중복검사!$A1866="",FALSE(),중복검사!$H1866="중복")</f>
        <v>0</v>
      </c>
      <c r="K1868" s="5" t="str">
        <f aca="false">IF($J1868=FALSE(),"",COUNTIF($J$6:$J1868,TRUE()))</f>
        <v/>
      </c>
      <c r="L1868" s="5" t="str">
        <f aca="false">IF($K1868="","","R"&amp;$K1868)</f>
        <v/>
      </c>
    </row>
    <row r="1869" customFormat="false" ht="15" hidden="false" customHeight="true" outlineLevel="0" collapsed="false">
      <c r="J1869" s="14" t="b">
        <f aca="false">IF(중복검사!$A1867="",FALSE(),중복검사!$H1867="중복")</f>
        <v>0</v>
      </c>
      <c r="K1869" s="5" t="str">
        <f aca="false">IF($J1869=FALSE(),"",COUNTIF($J$6:$J1869,TRUE()))</f>
        <v/>
      </c>
      <c r="L1869" s="5" t="str">
        <f aca="false">IF($K1869="","","R"&amp;$K1869)</f>
        <v/>
      </c>
    </row>
    <row r="1870" customFormat="false" ht="15" hidden="false" customHeight="true" outlineLevel="0" collapsed="false">
      <c r="J1870" s="14" t="b">
        <f aca="false">IF(중복검사!$A1868="",FALSE(),중복검사!$H1868="중복")</f>
        <v>0</v>
      </c>
      <c r="K1870" s="5" t="str">
        <f aca="false">IF($J1870=FALSE(),"",COUNTIF($J$6:$J1870,TRUE()))</f>
        <v/>
      </c>
      <c r="L1870" s="5" t="str">
        <f aca="false">IF($K1870="","","R"&amp;$K1870)</f>
        <v/>
      </c>
    </row>
    <row r="1871" customFormat="false" ht="15" hidden="false" customHeight="true" outlineLevel="0" collapsed="false">
      <c r="J1871" s="14" t="b">
        <f aca="false">IF(중복검사!$A1869="",FALSE(),중복검사!$H1869="중복")</f>
        <v>0</v>
      </c>
      <c r="K1871" s="5" t="str">
        <f aca="false">IF($J1871=FALSE(),"",COUNTIF($J$6:$J1871,TRUE()))</f>
        <v/>
      </c>
      <c r="L1871" s="5" t="str">
        <f aca="false">IF($K1871="","","R"&amp;$K1871)</f>
        <v/>
      </c>
    </row>
    <row r="1872" customFormat="false" ht="15" hidden="false" customHeight="true" outlineLevel="0" collapsed="false">
      <c r="J1872" s="14" t="b">
        <f aca="false">IF(중복검사!$A1870="",FALSE(),중복검사!$H1870="중복")</f>
        <v>0</v>
      </c>
      <c r="K1872" s="5" t="str">
        <f aca="false">IF($J1872=FALSE(),"",COUNTIF($J$6:$J1872,TRUE()))</f>
        <v/>
      </c>
      <c r="L1872" s="5" t="str">
        <f aca="false">IF($K1872="","","R"&amp;$K1872)</f>
        <v/>
      </c>
    </row>
    <row r="1873" customFormat="false" ht="15" hidden="false" customHeight="true" outlineLevel="0" collapsed="false">
      <c r="J1873" s="14" t="b">
        <f aca="false">IF(중복검사!$A1871="",FALSE(),중복검사!$H1871="중복")</f>
        <v>0</v>
      </c>
      <c r="K1873" s="5" t="str">
        <f aca="false">IF($J1873=FALSE(),"",COUNTIF($J$6:$J1873,TRUE()))</f>
        <v/>
      </c>
      <c r="L1873" s="5" t="str">
        <f aca="false">IF($K1873="","","R"&amp;$K1873)</f>
        <v/>
      </c>
    </row>
    <row r="1874" customFormat="false" ht="15" hidden="false" customHeight="true" outlineLevel="0" collapsed="false">
      <c r="J1874" s="14" t="b">
        <f aca="false">IF(중복검사!$A1872="",FALSE(),중복검사!$H1872="중복")</f>
        <v>0</v>
      </c>
      <c r="K1874" s="5" t="str">
        <f aca="false">IF($J1874=FALSE(),"",COUNTIF($J$6:$J1874,TRUE()))</f>
        <v/>
      </c>
      <c r="L1874" s="5" t="str">
        <f aca="false">IF($K1874="","","R"&amp;$K1874)</f>
        <v/>
      </c>
    </row>
    <row r="1875" customFormat="false" ht="15" hidden="false" customHeight="true" outlineLevel="0" collapsed="false">
      <c r="J1875" s="14" t="b">
        <f aca="false">IF(중복검사!$A1873="",FALSE(),중복검사!$H1873="중복")</f>
        <v>0</v>
      </c>
      <c r="K1875" s="5" t="str">
        <f aca="false">IF($J1875=FALSE(),"",COUNTIF($J$6:$J1875,TRUE()))</f>
        <v/>
      </c>
      <c r="L1875" s="5" t="str">
        <f aca="false">IF($K1875="","","R"&amp;$K1875)</f>
        <v/>
      </c>
    </row>
    <row r="1876" customFormat="false" ht="15" hidden="false" customHeight="true" outlineLevel="0" collapsed="false">
      <c r="J1876" s="14" t="b">
        <f aca="false">IF(중복검사!$A1874="",FALSE(),중복검사!$H1874="중복")</f>
        <v>0</v>
      </c>
      <c r="K1876" s="5" t="str">
        <f aca="false">IF($J1876=FALSE(),"",COUNTIF($J$6:$J1876,TRUE()))</f>
        <v/>
      </c>
      <c r="L1876" s="5" t="str">
        <f aca="false">IF($K1876="","","R"&amp;$K1876)</f>
        <v/>
      </c>
    </row>
    <row r="1877" customFormat="false" ht="15" hidden="false" customHeight="true" outlineLevel="0" collapsed="false">
      <c r="J1877" s="14" t="b">
        <f aca="false">IF(중복검사!$A1875="",FALSE(),중복검사!$H1875="중복")</f>
        <v>0</v>
      </c>
      <c r="K1877" s="5" t="str">
        <f aca="false">IF($J1877=FALSE(),"",COUNTIF($J$6:$J1877,TRUE()))</f>
        <v/>
      </c>
      <c r="L1877" s="5" t="str">
        <f aca="false">IF($K1877="","","R"&amp;$K1877)</f>
        <v/>
      </c>
    </row>
    <row r="1878" customFormat="false" ht="15" hidden="false" customHeight="true" outlineLevel="0" collapsed="false">
      <c r="J1878" s="14" t="b">
        <f aca="false">IF(중복검사!$A1876="",FALSE(),중복검사!$H1876="중복")</f>
        <v>0</v>
      </c>
      <c r="K1878" s="5" t="str">
        <f aca="false">IF($J1878=FALSE(),"",COUNTIF($J$6:$J1878,TRUE()))</f>
        <v/>
      </c>
      <c r="L1878" s="5" t="str">
        <f aca="false">IF($K1878="","","R"&amp;$K1878)</f>
        <v/>
      </c>
    </row>
    <row r="1879" customFormat="false" ht="15" hidden="false" customHeight="true" outlineLevel="0" collapsed="false">
      <c r="J1879" s="14" t="b">
        <f aca="false">IF(중복검사!$A1877="",FALSE(),중복검사!$H1877="중복")</f>
        <v>0</v>
      </c>
      <c r="K1879" s="5" t="str">
        <f aca="false">IF($J1879=FALSE(),"",COUNTIF($J$6:$J1879,TRUE()))</f>
        <v/>
      </c>
      <c r="L1879" s="5" t="str">
        <f aca="false">IF($K1879="","","R"&amp;$K1879)</f>
        <v/>
      </c>
    </row>
    <row r="1880" customFormat="false" ht="15" hidden="false" customHeight="true" outlineLevel="0" collapsed="false">
      <c r="J1880" s="14" t="b">
        <f aca="false">IF(중복검사!$A1878="",FALSE(),중복검사!$H1878="중복")</f>
        <v>0</v>
      </c>
      <c r="K1880" s="5" t="str">
        <f aca="false">IF($J1880=FALSE(),"",COUNTIF($J$6:$J1880,TRUE()))</f>
        <v/>
      </c>
      <c r="L1880" s="5" t="str">
        <f aca="false">IF($K1880="","","R"&amp;$K1880)</f>
        <v/>
      </c>
    </row>
    <row r="1881" customFormat="false" ht="15" hidden="false" customHeight="true" outlineLevel="0" collapsed="false">
      <c r="J1881" s="14" t="b">
        <f aca="false">IF(중복검사!$A1879="",FALSE(),중복검사!$H1879="중복")</f>
        <v>0</v>
      </c>
      <c r="K1881" s="5" t="str">
        <f aca="false">IF($J1881=FALSE(),"",COUNTIF($J$6:$J1881,TRUE()))</f>
        <v/>
      </c>
      <c r="L1881" s="5" t="str">
        <f aca="false">IF($K1881="","","R"&amp;$K1881)</f>
        <v/>
      </c>
    </row>
    <row r="1882" customFormat="false" ht="15" hidden="false" customHeight="true" outlineLevel="0" collapsed="false">
      <c r="J1882" s="14" t="b">
        <f aca="false">IF(중복검사!$A1880="",FALSE(),중복검사!$H1880="중복")</f>
        <v>0</v>
      </c>
      <c r="K1882" s="5" t="str">
        <f aca="false">IF($J1882=FALSE(),"",COUNTIF($J$6:$J1882,TRUE()))</f>
        <v/>
      </c>
      <c r="L1882" s="5" t="str">
        <f aca="false">IF($K1882="","","R"&amp;$K1882)</f>
        <v/>
      </c>
    </row>
    <row r="1883" customFormat="false" ht="15" hidden="false" customHeight="true" outlineLevel="0" collapsed="false">
      <c r="J1883" s="14" t="b">
        <f aca="false">IF(중복검사!$A1881="",FALSE(),중복검사!$H1881="중복")</f>
        <v>0</v>
      </c>
      <c r="K1883" s="5" t="str">
        <f aca="false">IF($J1883=FALSE(),"",COUNTIF($J$6:$J1883,TRUE()))</f>
        <v/>
      </c>
      <c r="L1883" s="5" t="str">
        <f aca="false">IF($K1883="","","R"&amp;$K1883)</f>
        <v/>
      </c>
    </row>
    <row r="1884" customFormat="false" ht="15" hidden="false" customHeight="true" outlineLevel="0" collapsed="false">
      <c r="J1884" s="14" t="b">
        <f aca="false">IF(중복검사!$A1882="",FALSE(),중복검사!$H1882="중복")</f>
        <v>0</v>
      </c>
      <c r="K1884" s="5" t="str">
        <f aca="false">IF($J1884=FALSE(),"",COUNTIF($J$6:$J1884,TRUE()))</f>
        <v/>
      </c>
      <c r="L1884" s="5" t="str">
        <f aca="false">IF($K1884="","","R"&amp;$K1884)</f>
        <v/>
      </c>
    </row>
    <row r="1885" customFormat="false" ht="15" hidden="false" customHeight="true" outlineLevel="0" collapsed="false">
      <c r="J1885" s="14" t="b">
        <f aca="false">IF(중복검사!$A1883="",FALSE(),중복검사!$H1883="중복")</f>
        <v>0</v>
      </c>
      <c r="K1885" s="5" t="str">
        <f aca="false">IF($J1885=FALSE(),"",COUNTIF($J$6:$J1885,TRUE()))</f>
        <v/>
      </c>
      <c r="L1885" s="5" t="str">
        <f aca="false">IF($K1885="","","R"&amp;$K1885)</f>
        <v/>
      </c>
    </row>
    <row r="1886" customFormat="false" ht="15" hidden="false" customHeight="true" outlineLevel="0" collapsed="false">
      <c r="J1886" s="14" t="b">
        <f aca="false">IF(중복검사!$A1884="",FALSE(),중복검사!$H1884="중복")</f>
        <v>0</v>
      </c>
      <c r="K1886" s="5" t="str">
        <f aca="false">IF($J1886=FALSE(),"",COUNTIF($J$6:$J1886,TRUE()))</f>
        <v/>
      </c>
      <c r="L1886" s="5" t="str">
        <f aca="false">IF($K1886="","","R"&amp;$K1886)</f>
        <v/>
      </c>
    </row>
    <row r="1887" customFormat="false" ht="15" hidden="false" customHeight="true" outlineLevel="0" collapsed="false">
      <c r="J1887" s="14" t="b">
        <f aca="false">IF(중복검사!$A1885="",FALSE(),중복검사!$H1885="중복")</f>
        <v>0</v>
      </c>
      <c r="K1887" s="5" t="str">
        <f aca="false">IF($J1887=FALSE(),"",COUNTIF($J$6:$J1887,TRUE()))</f>
        <v/>
      </c>
      <c r="L1887" s="5" t="str">
        <f aca="false">IF($K1887="","","R"&amp;$K1887)</f>
        <v/>
      </c>
    </row>
    <row r="1888" customFormat="false" ht="15" hidden="false" customHeight="true" outlineLevel="0" collapsed="false">
      <c r="J1888" s="14" t="b">
        <f aca="false">IF(중복검사!$A1886="",FALSE(),중복검사!$H1886="중복")</f>
        <v>0</v>
      </c>
      <c r="K1888" s="5" t="str">
        <f aca="false">IF($J1888=FALSE(),"",COUNTIF($J$6:$J1888,TRUE()))</f>
        <v/>
      </c>
      <c r="L1888" s="5" t="str">
        <f aca="false">IF($K1888="","","R"&amp;$K1888)</f>
        <v/>
      </c>
    </row>
    <row r="1889" customFormat="false" ht="15" hidden="false" customHeight="true" outlineLevel="0" collapsed="false">
      <c r="J1889" s="14" t="b">
        <f aca="false">IF(중복검사!$A1887="",FALSE(),중복검사!$H1887="중복")</f>
        <v>0</v>
      </c>
      <c r="K1889" s="5" t="str">
        <f aca="false">IF($J1889=FALSE(),"",COUNTIF($J$6:$J1889,TRUE()))</f>
        <v/>
      </c>
      <c r="L1889" s="5" t="str">
        <f aca="false">IF($K1889="","","R"&amp;$K1889)</f>
        <v/>
      </c>
    </row>
    <row r="1890" customFormat="false" ht="15" hidden="false" customHeight="true" outlineLevel="0" collapsed="false">
      <c r="J1890" s="14" t="b">
        <f aca="false">IF(중복검사!$A1888="",FALSE(),중복검사!$H1888="중복")</f>
        <v>0</v>
      </c>
      <c r="K1890" s="5" t="str">
        <f aca="false">IF($J1890=FALSE(),"",COUNTIF($J$6:$J1890,TRUE()))</f>
        <v/>
      </c>
      <c r="L1890" s="5" t="str">
        <f aca="false">IF($K1890="","","R"&amp;$K1890)</f>
        <v/>
      </c>
    </row>
    <row r="1891" customFormat="false" ht="15" hidden="false" customHeight="true" outlineLevel="0" collapsed="false">
      <c r="J1891" s="14" t="b">
        <f aca="false">IF(중복검사!$A1889="",FALSE(),중복검사!$H1889="중복")</f>
        <v>0</v>
      </c>
      <c r="K1891" s="5" t="str">
        <f aca="false">IF($J1891=FALSE(),"",COUNTIF($J$6:$J1891,TRUE()))</f>
        <v/>
      </c>
      <c r="L1891" s="5" t="str">
        <f aca="false">IF($K1891="","","R"&amp;$K1891)</f>
        <v/>
      </c>
    </row>
    <row r="1892" customFormat="false" ht="15" hidden="false" customHeight="true" outlineLevel="0" collapsed="false">
      <c r="J1892" s="14" t="b">
        <f aca="false">IF(중복검사!$A1890="",FALSE(),중복검사!$H1890="중복")</f>
        <v>0</v>
      </c>
      <c r="K1892" s="5" t="str">
        <f aca="false">IF($J1892=FALSE(),"",COUNTIF($J$6:$J1892,TRUE()))</f>
        <v/>
      </c>
      <c r="L1892" s="5" t="str">
        <f aca="false">IF($K1892="","","R"&amp;$K1892)</f>
        <v/>
      </c>
    </row>
    <row r="1893" customFormat="false" ht="15" hidden="false" customHeight="true" outlineLevel="0" collapsed="false">
      <c r="J1893" s="14" t="b">
        <f aca="false">IF(중복검사!$A1891="",FALSE(),중복검사!$H1891="중복")</f>
        <v>0</v>
      </c>
      <c r="K1893" s="5" t="str">
        <f aca="false">IF($J1893=FALSE(),"",COUNTIF($J$6:$J1893,TRUE()))</f>
        <v/>
      </c>
      <c r="L1893" s="5" t="str">
        <f aca="false">IF($K1893="","","R"&amp;$K1893)</f>
        <v/>
      </c>
    </row>
    <row r="1894" customFormat="false" ht="15" hidden="false" customHeight="true" outlineLevel="0" collapsed="false">
      <c r="J1894" s="14" t="b">
        <f aca="false">IF(중복검사!$A1892="",FALSE(),중복검사!$H1892="중복")</f>
        <v>0</v>
      </c>
      <c r="K1894" s="5" t="str">
        <f aca="false">IF($J1894=FALSE(),"",COUNTIF($J$6:$J1894,TRUE()))</f>
        <v/>
      </c>
      <c r="L1894" s="5" t="str">
        <f aca="false">IF($K1894="","","R"&amp;$K1894)</f>
        <v/>
      </c>
    </row>
    <row r="1895" customFormat="false" ht="15" hidden="false" customHeight="true" outlineLevel="0" collapsed="false">
      <c r="J1895" s="14" t="b">
        <f aca="false">IF(중복검사!$A1893="",FALSE(),중복검사!$H1893="중복")</f>
        <v>0</v>
      </c>
      <c r="K1895" s="5" t="str">
        <f aca="false">IF($J1895=FALSE(),"",COUNTIF($J$6:$J1895,TRUE()))</f>
        <v/>
      </c>
      <c r="L1895" s="5" t="str">
        <f aca="false">IF($K1895="","","R"&amp;$K1895)</f>
        <v/>
      </c>
    </row>
    <row r="1896" customFormat="false" ht="15" hidden="false" customHeight="true" outlineLevel="0" collapsed="false">
      <c r="J1896" s="14" t="b">
        <f aca="false">IF(중복검사!$A1894="",FALSE(),중복검사!$H1894="중복")</f>
        <v>0</v>
      </c>
      <c r="K1896" s="5" t="str">
        <f aca="false">IF($J1896=FALSE(),"",COUNTIF($J$6:$J1896,TRUE()))</f>
        <v/>
      </c>
      <c r="L1896" s="5" t="str">
        <f aca="false">IF($K1896="","","R"&amp;$K1896)</f>
        <v/>
      </c>
    </row>
    <row r="1897" customFormat="false" ht="15" hidden="false" customHeight="true" outlineLevel="0" collapsed="false">
      <c r="J1897" s="14" t="b">
        <f aca="false">IF(중복검사!$A1895="",FALSE(),중복검사!$H1895="중복")</f>
        <v>0</v>
      </c>
      <c r="K1897" s="5" t="str">
        <f aca="false">IF($J1897=FALSE(),"",COUNTIF($J$6:$J1897,TRUE()))</f>
        <v/>
      </c>
      <c r="L1897" s="5" t="str">
        <f aca="false">IF($K1897="","","R"&amp;$K1897)</f>
        <v/>
      </c>
    </row>
    <row r="1898" customFormat="false" ht="15" hidden="false" customHeight="true" outlineLevel="0" collapsed="false">
      <c r="J1898" s="14" t="b">
        <f aca="false">IF(중복검사!$A1896="",FALSE(),중복검사!$H1896="중복")</f>
        <v>0</v>
      </c>
      <c r="K1898" s="5" t="str">
        <f aca="false">IF($J1898=FALSE(),"",COUNTIF($J$6:$J1898,TRUE()))</f>
        <v/>
      </c>
      <c r="L1898" s="5" t="str">
        <f aca="false">IF($K1898="","","R"&amp;$K1898)</f>
        <v/>
      </c>
    </row>
    <row r="1899" customFormat="false" ht="15" hidden="false" customHeight="true" outlineLevel="0" collapsed="false">
      <c r="J1899" s="14" t="b">
        <f aca="false">IF(중복검사!$A1897="",FALSE(),중복검사!$H1897="중복")</f>
        <v>0</v>
      </c>
      <c r="K1899" s="5" t="str">
        <f aca="false">IF($J1899=FALSE(),"",COUNTIF($J$6:$J1899,TRUE()))</f>
        <v/>
      </c>
      <c r="L1899" s="5" t="str">
        <f aca="false">IF($K1899="","","R"&amp;$K1899)</f>
        <v/>
      </c>
    </row>
    <row r="1900" customFormat="false" ht="15" hidden="false" customHeight="true" outlineLevel="0" collapsed="false">
      <c r="J1900" s="14" t="b">
        <f aca="false">IF(중복검사!$A1898="",FALSE(),중복검사!$H1898="중복")</f>
        <v>0</v>
      </c>
      <c r="K1900" s="5" t="str">
        <f aca="false">IF($J1900=FALSE(),"",COUNTIF($J$6:$J1900,TRUE()))</f>
        <v/>
      </c>
      <c r="L1900" s="5" t="str">
        <f aca="false">IF($K1900="","","R"&amp;$K1900)</f>
        <v/>
      </c>
    </row>
    <row r="1901" customFormat="false" ht="15" hidden="false" customHeight="true" outlineLevel="0" collapsed="false">
      <c r="J1901" s="14" t="b">
        <f aca="false">IF(중복검사!$A1899="",FALSE(),중복검사!$H1899="중복")</f>
        <v>0</v>
      </c>
      <c r="K1901" s="5" t="str">
        <f aca="false">IF($J1901=FALSE(),"",COUNTIF($J$6:$J1901,TRUE()))</f>
        <v/>
      </c>
      <c r="L1901" s="5" t="str">
        <f aca="false">IF($K1901="","","R"&amp;$K1901)</f>
        <v/>
      </c>
    </row>
    <row r="1902" customFormat="false" ht="15" hidden="false" customHeight="true" outlineLevel="0" collapsed="false">
      <c r="J1902" s="14" t="b">
        <f aca="false">IF(중복검사!$A1900="",FALSE(),중복검사!$H1900="중복")</f>
        <v>0</v>
      </c>
      <c r="K1902" s="5" t="str">
        <f aca="false">IF($J1902=FALSE(),"",COUNTIF($J$6:$J1902,TRUE()))</f>
        <v/>
      </c>
      <c r="L1902" s="5" t="str">
        <f aca="false">IF($K1902="","","R"&amp;$K1902)</f>
        <v/>
      </c>
    </row>
    <row r="1903" customFormat="false" ht="15" hidden="false" customHeight="true" outlineLevel="0" collapsed="false">
      <c r="J1903" s="14" t="b">
        <f aca="false">IF(중복검사!$A1901="",FALSE(),중복검사!$H1901="중복")</f>
        <v>0</v>
      </c>
      <c r="K1903" s="5" t="str">
        <f aca="false">IF($J1903=FALSE(),"",COUNTIF($J$6:$J1903,TRUE()))</f>
        <v/>
      </c>
      <c r="L1903" s="5" t="str">
        <f aca="false">IF($K1903="","","R"&amp;$K1903)</f>
        <v/>
      </c>
    </row>
    <row r="1904" customFormat="false" ht="15" hidden="false" customHeight="true" outlineLevel="0" collapsed="false">
      <c r="J1904" s="14" t="b">
        <f aca="false">IF(중복검사!$A1902="",FALSE(),중복검사!$H1902="중복")</f>
        <v>0</v>
      </c>
      <c r="K1904" s="5" t="str">
        <f aca="false">IF($J1904=FALSE(),"",COUNTIF($J$6:$J1904,TRUE()))</f>
        <v/>
      </c>
      <c r="L1904" s="5" t="str">
        <f aca="false">IF($K1904="","","R"&amp;$K1904)</f>
        <v/>
      </c>
    </row>
    <row r="1905" customFormat="false" ht="15" hidden="false" customHeight="true" outlineLevel="0" collapsed="false">
      <c r="J1905" s="14" t="b">
        <f aca="false">IF(중복검사!$A1903="",FALSE(),중복검사!$H1903="중복")</f>
        <v>0</v>
      </c>
      <c r="K1905" s="5" t="str">
        <f aca="false">IF($J1905=FALSE(),"",COUNTIF($J$6:$J1905,TRUE()))</f>
        <v/>
      </c>
      <c r="L1905" s="5" t="str">
        <f aca="false">IF($K1905="","","R"&amp;$K1905)</f>
        <v/>
      </c>
    </row>
    <row r="1906" customFormat="false" ht="15" hidden="false" customHeight="true" outlineLevel="0" collapsed="false">
      <c r="J1906" s="14" t="b">
        <f aca="false">IF(중복검사!$A1904="",FALSE(),중복검사!$H1904="중복")</f>
        <v>0</v>
      </c>
      <c r="K1906" s="5" t="str">
        <f aca="false">IF($J1906=FALSE(),"",COUNTIF($J$6:$J1906,TRUE()))</f>
        <v/>
      </c>
      <c r="L1906" s="5" t="str">
        <f aca="false">IF($K1906="","","R"&amp;$K1906)</f>
        <v/>
      </c>
    </row>
    <row r="1907" customFormat="false" ht="15" hidden="false" customHeight="true" outlineLevel="0" collapsed="false">
      <c r="J1907" s="14" t="b">
        <f aca="false">IF(중복검사!$A1905="",FALSE(),중복검사!$H1905="중복")</f>
        <v>0</v>
      </c>
      <c r="K1907" s="5" t="str">
        <f aca="false">IF($J1907=FALSE(),"",COUNTIF($J$6:$J1907,TRUE()))</f>
        <v/>
      </c>
      <c r="L1907" s="5" t="str">
        <f aca="false">IF($K1907="","","R"&amp;$K1907)</f>
        <v/>
      </c>
    </row>
    <row r="1908" customFormat="false" ht="15" hidden="false" customHeight="true" outlineLevel="0" collapsed="false">
      <c r="J1908" s="14" t="b">
        <f aca="false">IF(중복검사!$A1906="",FALSE(),중복검사!$H1906="중복")</f>
        <v>0</v>
      </c>
      <c r="K1908" s="5" t="str">
        <f aca="false">IF($J1908=FALSE(),"",COUNTIF($J$6:$J1908,TRUE()))</f>
        <v/>
      </c>
      <c r="L1908" s="5" t="str">
        <f aca="false">IF($K1908="","","R"&amp;$K1908)</f>
        <v/>
      </c>
    </row>
    <row r="1909" customFormat="false" ht="15" hidden="false" customHeight="true" outlineLevel="0" collapsed="false">
      <c r="J1909" s="14" t="b">
        <f aca="false">IF(중복검사!$A1907="",FALSE(),중복검사!$H1907="중복")</f>
        <v>0</v>
      </c>
      <c r="K1909" s="5" t="str">
        <f aca="false">IF($J1909=FALSE(),"",COUNTIF($J$6:$J1909,TRUE()))</f>
        <v/>
      </c>
      <c r="L1909" s="5" t="str">
        <f aca="false">IF($K1909="","","R"&amp;$K1909)</f>
        <v/>
      </c>
    </row>
    <row r="1910" customFormat="false" ht="15" hidden="false" customHeight="true" outlineLevel="0" collapsed="false">
      <c r="J1910" s="14" t="b">
        <f aca="false">IF(중복검사!$A1908="",FALSE(),중복검사!$H1908="중복")</f>
        <v>0</v>
      </c>
      <c r="K1910" s="5" t="str">
        <f aca="false">IF($J1910=FALSE(),"",COUNTIF($J$6:$J1910,TRUE()))</f>
        <v/>
      </c>
      <c r="L1910" s="5" t="str">
        <f aca="false">IF($K1910="","","R"&amp;$K1910)</f>
        <v/>
      </c>
    </row>
    <row r="1911" customFormat="false" ht="15" hidden="false" customHeight="true" outlineLevel="0" collapsed="false">
      <c r="J1911" s="14" t="b">
        <f aca="false">IF(중복검사!$A1909="",FALSE(),중복검사!$H1909="중복")</f>
        <v>0</v>
      </c>
      <c r="K1911" s="5" t="str">
        <f aca="false">IF($J1911=FALSE(),"",COUNTIF($J$6:$J1911,TRUE()))</f>
        <v/>
      </c>
      <c r="L1911" s="5" t="str">
        <f aca="false">IF($K1911="","","R"&amp;$K1911)</f>
        <v/>
      </c>
    </row>
    <row r="1912" customFormat="false" ht="15" hidden="false" customHeight="true" outlineLevel="0" collapsed="false">
      <c r="J1912" s="14" t="b">
        <f aca="false">IF(중복검사!$A1910="",FALSE(),중복검사!$H1910="중복")</f>
        <v>0</v>
      </c>
      <c r="K1912" s="5" t="str">
        <f aca="false">IF($J1912=FALSE(),"",COUNTIF($J$6:$J1912,TRUE()))</f>
        <v/>
      </c>
      <c r="L1912" s="5" t="str">
        <f aca="false">IF($K1912="","","R"&amp;$K1912)</f>
        <v/>
      </c>
    </row>
    <row r="1913" customFormat="false" ht="15" hidden="false" customHeight="true" outlineLevel="0" collapsed="false">
      <c r="J1913" s="14" t="b">
        <f aca="false">IF(중복검사!$A1911="",FALSE(),중복검사!$H1911="중복")</f>
        <v>0</v>
      </c>
      <c r="K1913" s="5" t="str">
        <f aca="false">IF($J1913=FALSE(),"",COUNTIF($J$6:$J1913,TRUE()))</f>
        <v/>
      </c>
      <c r="L1913" s="5" t="str">
        <f aca="false">IF($K1913="","","R"&amp;$K1913)</f>
        <v/>
      </c>
    </row>
    <row r="1914" customFormat="false" ht="15" hidden="false" customHeight="true" outlineLevel="0" collapsed="false">
      <c r="J1914" s="14" t="b">
        <f aca="false">IF(중복검사!$A1912="",FALSE(),중복검사!$H1912="중복")</f>
        <v>0</v>
      </c>
      <c r="K1914" s="5" t="str">
        <f aca="false">IF($J1914=FALSE(),"",COUNTIF($J$6:$J1914,TRUE()))</f>
        <v/>
      </c>
      <c r="L1914" s="5" t="str">
        <f aca="false">IF($K1914="","","R"&amp;$K1914)</f>
        <v/>
      </c>
    </row>
    <row r="1915" customFormat="false" ht="15" hidden="false" customHeight="true" outlineLevel="0" collapsed="false">
      <c r="J1915" s="14" t="b">
        <f aca="false">IF(중복검사!$A1913="",FALSE(),중복검사!$H1913="중복")</f>
        <v>0</v>
      </c>
      <c r="K1915" s="5" t="str">
        <f aca="false">IF($J1915=FALSE(),"",COUNTIF($J$6:$J1915,TRUE()))</f>
        <v/>
      </c>
      <c r="L1915" s="5" t="str">
        <f aca="false">IF($K1915="","","R"&amp;$K1915)</f>
        <v/>
      </c>
    </row>
    <row r="1916" customFormat="false" ht="15" hidden="false" customHeight="true" outlineLevel="0" collapsed="false">
      <c r="J1916" s="14" t="b">
        <f aca="false">IF(중복검사!$A1914="",FALSE(),중복검사!$H1914="중복")</f>
        <v>0</v>
      </c>
      <c r="K1916" s="5" t="str">
        <f aca="false">IF($J1916=FALSE(),"",COUNTIF($J$6:$J1916,TRUE()))</f>
        <v/>
      </c>
      <c r="L1916" s="5" t="str">
        <f aca="false">IF($K1916="","","R"&amp;$K1916)</f>
        <v/>
      </c>
    </row>
    <row r="1917" customFormat="false" ht="15" hidden="false" customHeight="true" outlineLevel="0" collapsed="false">
      <c r="J1917" s="14" t="b">
        <f aca="false">IF(중복검사!$A1915="",FALSE(),중복검사!$H1915="중복")</f>
        <v>0</v>
      </c>
      <c r="K1917" s="5" t="str">
        <f aca="false">IF($J1917=FALSE(),"",COUNTIF($J$6:$J1917,TRUE()))</f>
        <v/>
      </c>
      <c r="L1917" s="5" t="str">
        <f aca="false">IF($K1917="","","R"&amp;$K1917)</f>
        <v/>
      </c>
    </row>
    <row r="1918" customFormat="false" ht="15" hidden="false" customHeight="true" outlineLevel="0" collapsed="false">
      <c r="J1918" s="14" t="b">
        <f aca="false">IF(중복검사!$A1916="",FALSE(),중복검사!$H1916="중복")</f>
        <v>0</v>
      </c>
      <c r="K1918" s="5" t="str">
        <f aca="false">IF($J1918=FALSE(),"",COUNTIF($J$6:$J1918,TRUE()))</f>
        <v/>
      </c>
      <c r="L1918" s="5" t="str">
        <f aca="false">IF($K1918="","","R"&amp;$K1918)</f>
        <v/>
      </c>
    </row>
    <row r="1919" customFormat="false" ht="15" hidden="false" customHeight="true" outlineLevel="0" collapsed="false">
      <c r="J1919" s="14" t="b">
        <f aca="false">IF(중복검사!$A1917="",FALSE(),중복검사!$H1917="중복")</f>
        <v>0</v>
      </c>
      <c r="K1919" s="5" t="str">
        <f aca="false">IF($J1919=FALSE(),"",COUNTIF($J$6:$J1919,TRUE()))</f>
        <v/>
      </c>
      <c r="L1919" s="5" t="str">
        <f aca="false">IF($K1919="","","R"&amp;$K1919)</f>
        <v/>
      </c>
    </row>
    <row r="1920" customFormat="false" ht="15" hidden="false" customHeight="true" outlineLevel="0" collapsed="false">
      <c r="J1920" s="14" t="b">
        <f aca="false">IF(중복검사!$A1918="",FALSE(),중복검사!$H1918="중복")</f>
        <v>0</v>
      </c>
      <c r="K1920" s="5" t="str">
        <f aca="false">IF($J1920=FALSE(),"",COUNTIF($J$6:$J1920,TRUE()))</f>
        <v/>
      </c>
      <c r="L1920" s="5" t="str">
        <f aca="false">IF($K1920="","","R"&amp;$K1920)</f>
        <v/>
      </c>
    </row>
    <row r="1921" customFormat="false" ht="15" hidden="false" customHeight="true" outlineLevel="0" collapsed="false">
      <c r="J1921" s="14" t="b">
        <f aca="false">IF(중복검사!$A1919="",FALSE(),중복검사!$H1919="중복")</f>
        <v>0</v>
      </c>
      <c r="K1921" s="5" t="str">
        <f aca="false">IF($J1921=FALSE(),"",COUNTIF($J$6:$J1921,TRUE()))</f>
        <v/>
      </c>
      <c r="L1921" s="5" t="str">
        <f aca="false">IF($K1921="","","R"&amp;$K1921)</f>
        <v/>
      </c>
    </row>
    <row r="1922" customFormat="false" ht="15" hidden="false" customHeight="true" outlineLevel="0" collapsed="false">
      <c r="J1922" s="14" t="b">
        <f aca="false">IF(중복검사!$A1920="",FALSE(),중복검사!$H1920="중복")</f>
        <v>0</v>
      </c>
      <c r="K1922" s="5" t="str">
        <f aca="false">IF($J1922=FALSE(),"",COUNTIF($J$6:$J1922,TRUE()))</f>
        <v/>
      </c>
      <c r="L1922" s="5" t="str">
        <f aca="false">IF($K1922="","","R"&amp;$K1922)</f>
        <v/>
      </c>
    </row>
    <row r="1923" customFormat="false" ht="15" hidden="false" customHeight="true" outlineLevel="0" collapsed="false">
      <c r="J1923" s="14" t="b">
        <f aca="false">IF(중복검사!$A1921="",FALSE(),중복검사!$H1921="중복")</f>
        <v>0</v>
      </c>
      <c r="K1923" s="5" t="str">
        <f aca="false">IF($J1923=FALSE(),"",COUNTIF($J$6:$J1923,TRUE()))</f>
        <v/>
      </c>
      <c r="L1923" s="5" t="str">
        <f aca="false">IF($K1923="","","R"&amp;$K1923)</f>
        <v/>
      </c>
    </row>
    <row r="1924" customFormat="false" ht="15" hidden="false" customHeight="true" outlineLevel="0" collapsed="false">
      <c r="J1924" s="14" t="b">
        <f aca="false">IF(중복검사!$A1922="",FALSE(),중복검사!$H1922="중복")</f>
        <v>0</v>
      </c>
      <c r="K1924" s="5" t="str">
        <f aca="false">IF($J1924=FALSE(),"",COUNTIF($J$6:$J1924,TRUE()))</f>
        <v/>
      </c>
      <c r="L1924" s="5" t="str">
        <f aca="false">IF($K1924="","","R"&amp;$K1924)</f>
        <v/>
      </c>
    </row>
    <row r="1925" customFormat="false" ht="15" hidden="false" customHeight="true" outlineLevel="0" collapsed="false">
      <c r="J1925" s="14" t="b">
        <f aca="false">IF(중복검사!$A1923="",FALSE(),중복검사!$H1923="중복")</f>
        <v>0</v>
      </c>
      <c r="K1925" s="5" t="str">
        <f aca="false">IF($J1925=FALSE(),"",COUNTIF($J$6:$J1925,TRUE()))</f>
        <v/>
      </c>
      <c r="L1925" s="5" t="str">
        <f aca="false">IF($K1925="","","R"&amp;$K1925)</f>
        <v/>
      </c>
    </row>
    <row r="1926" customFormat="false" ht="15" hidden="false" customHeight="true" outlineLevel="0" collapsed="false">
      <c r="J1926" s="14" t="b">
        <f aca="false">IF(중복검사!$A1924="",FALSE(),중복검사!$H1924="중복")</f>
        <v>0</v>
      </c>
      <c r="K1926" s="5" t="str">
        <f aca="false">IF($J1926=FALSE(),"",COUNTIF($J$6:$J1926,TRUE()))</f>
        <v/>
      </c>
      <c r="L1926" s="5" t="str">
        <f aca="false">IF($K1926="","","R"&amp;$K1926)</f>
        <v/>
      </c>
    </row>
    <row r="1927" customFormat="false" ht="15" hidden="false" customHeight="true" outlineLevel="0" collapsed="false">
      <c r="J1927" s="14" t="b">
        <f aca="false">IF(중복검사!$A1925="",FALSE(),중복검사!$H1925="중복")</f>
        <v>0</v>
      </c>
      <c r="K1927" s="5" t="str">
        <f aca="false">IF($J1927=FALSE(),"",COUNTIF($J$6:$J1927,TRUE()))</f>
        <v/>
      </c>
      <c r="L1927" s="5" t="str">
        <f aca="false">IF($K1927="","","R"&amp;$K1927)</f>
        <v/>
      </c>
    </row>
    <row r="1928" customFormat="false" ht="15" hidden="false" customHeight="true" outlineLevel="0" collapsed="false">
      <c r="J1928" s="14" t="b">
        <f aca="false">IF(중복검사!$A1926="",FALSE(),중복검사!$H1926="중복")</f>
        <v>0</v>
      </c>
      <c r="K1928" s="5" t="str">
        <f aca="false">IF($J1928=FALSE(),"",COUNTIF($J$6:$J1928,TRUE()))</f>
        <v/>
      </c>
      <c r="L1928" s="5" t="str">
        <f aca="false">IF($K1928="","","R"&amp;$K1928)</f>
        <v/>
      </c>
    </row>
    <row r="1929" customFormat="false" ht="15" hidden="false" customHeight="true" outlineLevel="0" collapsed="false">
      <c r="J1929" s="14" t="b">
        <f aca="false">IF(중복검사!$A1927="",FALSE(),중복검사!$H1927="중복")</f>
        <v>0</v>
      </c>
      <c r="K1929" s="5" t="str">
        <f aca="false">IF($J1929=FALSE(),"",COUNTIF($J$6:$J1929,TRUE()))</f>
        <v/>
      </c>
      <c r="L1929" s="5" t="str">
        <f aca="false">IF($K1929="","","R"&amp;$K1929)</f>
        <v/>
      </c>
    </row>
    <row r="1930" customFormat="false" ht="15" hidden="false" customHeight="true" outlineLevel="0" collapsed="false">
      <c r="J1930" s="14" t="b">
        <f aca="false">IF(중복검사!$A1928="",FALSE(),중복검사!$H1928="중복")</f>
        <v>0</v>
      </c>
      <c r="K1930" s="5" t="str">
        <f aca="false">IF($J1930=FALSE(),"",COUNTIF($J$6:$J1930,TRUE()))</f>
        <v/>
      </c>
      <c r="L1930" s="5" t="str">
        <f aca="false">IF($K1930="","","R"&amp;$K1930)</f>
        <v/>
      </c>
    </row>
    <row r="1931" customFormat="false" ht="15" hidden="false" customHeight="true" outlineLevel="0" collapsed="false">
      <c r="J1931" s="14" t="b">
        <f aca="false">IF(중복검사!$A1929="",FALSE(),중복검사!$H1929="중복")</f>
        <v>0</v>
      </c>
      <c r="K1931" s="5" t="str">
        <f aca="false">IF($J1931=FALSE(),"",COUNTIF($J$6:$J1931,TRUE()))</f>
        <v/>
      </c>
      <c r="L1931" s="5" t="str">
        <f aca="false">IF($K1931="","","R"&amp;$K1931)</f>
        <v/>
      </c>
    </row>
    <row r="1932" customFormat="false" ht="15" hidden="false" customHeight="true" outlineLevel="0" collapsed="false">
      <c r="J1932" s="14" t="b">
        <f aca="false">IF(중복검사!$A1930="",FALSE(),중복검사!$H1930="중복")</f>
        <v>0</v>
      </c>
      <c r="K1932" s="5" t="str">
        <f aca="false">IF($J1932=FALSE(),"",COUNTIF($J$6:$J1932,TRUE()))</f>
        <v/>
      </c>
      <c r="L1932" s="5" t="str">
        <f aca="false">IF($K1932="","","R"&amp;$K1932)</f>
        <v/>
      </c>
    </row>
    <row r="1933" customFormat="false" ht="15" hidden="false" customHeight="true" outlineLevel="0" collapsed="false">
      <c r="J1933" s="14" t="b">
        <f aca="false">IF(중복검사!$A1931="",FALSE(),중복검사!$H1931="중복")</f>
        <v>0</v>
      </c>
      <c r="K1933" s="5" t="str">
        <f aca="false">IF($J1933=FALSE(),"",COUNTIF($J$6:$J1933,TRUE()))</f>
        <v/>
      </c>
      <c r="L1933" s="5" t="str">
        <f aca="false">IF($K1933="","","R"&amp;$K1933)</f>
        <v/>
      </c>
    </row>
    <row r="1934" customFormat="false" ht="15" hidden="false" customHeight="true" outlineLevel="0" collapsed="false">
      <c r="J1934" s="14" t="b">
        <f aca="false">IF(중복검사!$A1932="",FALSE(),중복검사!$H1932="중복")</f>
        <v>0</v>
      </c>
      <c r="K1934" s="5" t="str">
        <f aca="false">IF($J1934=FALSE(),"",COUNTIF($J$6:$J1934,TRUE()))</f>
        <v/>
      </c>
      <c r="L1934" s="5" t="str">
        <f aca="false">IF($K1934="","","R"&amp;$K1934)</f>
        <v/>
      </c>
    </row>
    <row r="1935" customFormat="false" ht="15" hidden="false" customHeight="true" outlineLevel="0" collapsed="false">
      <c r="J1935" s="14" t="b">
        <f aca="false">IF(중복검사!$A1933="",FALSE(),중복검사!$H1933="중복")</f>
        <v>0</v>
      </c>
      <c r="K1935" s="5" t="str">
        <f aca="false">IF($J1935=FALSE(),"",COUNTIF($J$6:$J1935,TRUE()))</f>
        <v/>
      </c>
      <c r="L1935" s="5" t="str">
        <f aca="false">IF($K1935="","","R"&amp;$K1935)</f>
        <v/>
      </c>
    </row>
    <row r="1936" customFormat="false" ht="15" hidden="false" customHeight="true" outlineLevel="0" collapsed="false">
      <c r="J1936" s="14" t="b">
        <f aca="false">IF(중복검사!$A1934="",FALSE(),중복검사!$H1934="중복")</f>
        <v>0</v>
      </c>
      <c r="K1936" s="5" t="str">
        <f aca="false">IF($J1936=FALSE(),"",COUNTIF($J$6:$J1936,TRUE()))</f>
        <v/>
      </c>
      <c r="L1936" s="5" t="str">
        <f aca="false">IF($K1936="","","R"&amp;$K1936)</f>
        <v/>
      </c>
    </row>
    <row r="1937" customFormat="false" ht="15" hidden="false" customHeight="true" outlineLevel="0" collapsed="false">
      <c r="J1937" s="14" t="b">
        <f aca="false">IF(중복검사!$A1935="",FALSE(),중복검사!$H1935="중복")</f>
        <v>0</v>
      </c>
      <c r="K1937" s="5" t="str">
        <f aca="false">IF($J1937=FALSE(),"",COUNTIF($J$6:$J1937,TRUE()))</f>
        <v/>
      </c>
      <c r="L1937" s="5" t="str">
        <f aca="false">IF($K1937="","","R"&amp;$K1937)</f>
        <v/>
      </c>
    </row>
    <row r="1938" customFormat="false" ht="15" hidden="false" customHeight="true" outlineLevel="0" collapsed="false">
      <c r="J1938" s="14" t="b">
        <f aca="false">IF(중복검사!$A1936="",FALSE(),중복검사!$H1936="중복")</f>
        <v>0</v>
      </c>
      <c r="K1938" s="5" t="str">
        <f aca="false">IF($J1938=FALSE(),"",COUNTIF($J$6:$J1938,TRUE()))</f>
        <v/>
      </c>
      <c r="L1938" s="5" t="str">
        <f aca="false">IF($K1938="","","R"&amp;$K1938)</f>
        <v/>
      </c>
    </row>
    <row r="1939" customFormat="false" ht="15" hidden="false" customHeight="true" outlineLevel="0" collapsed="false">
      <c r="J1939" s="14" t="b">
        <f aca="false">IF(중복검사!$A1937="",FALSE(),중복검사!$H1937="중복")</f>
        <v>0</v>
      </c>
      <c r="K1939" s="5" t="str">
        <f aca="false">IF($J1939=FALSE(),"",COUNTIF($J$6:$J1939,TRUE()))</f>
        <v/>
      </c>
      <c r="L1939" s="5" t="str">
        <f aca="false">IF($K1939="","","R"&amp;$K1939)</f>
        <v/>
      </c>
    </row>
    <row r="1940" customFormat="false" ht="15" hidden="false" customHeight="true" outlineLevel="0" collapsed="false">
      <c r="J1940" s="14" t="b">
        <f aca="false">IF(중복검사!$A1938="",FALSE(),중복검사!$H1938="중복")</f>
        <v>0</v>
      </c>
      <c r="K1940" s="5" t="str">
        <f aca="false">IF($J1940=FALSE(),"",COUNTIF($J$6:$J1940,TRUE()))</f>
        <v/>
      </c>
      <c r="L1940" s="5" t="str">
        <f aca="false">IF($K1940="","","R"&amp;$K1940)</f>
        <v/>
      </c>
    </row>
    <row r="1941" customFormat="false" ht="15" hidden="false" customHeight="true" outlineLevel="0" collapsed="false">
      <c r="J1941" s="14" t="b">
        <f aca="false">IF(중복검사!$A1939="",FALSE(),중복검사!$H1939="중복")</f>
        <v>0</v>
      </c>
      <c r="K1941" s="5" t="str">
        <f aca="false">IF($J1941=FALSE(),"",COUNTIF($J$6:$J1941,TRUE()))</f>
        <v/>
      </c>
      <c r="L1941" s="5" t="str">
        <f aca="false">IF($K1941="","","R"&amp;$K1941)</f>
        <v/>
      </c>
    </row>
    <row r="1942" customFormat="false" ht="15" hidden="false" customHeight="true" outlineLevel="0" collapsed="false">
      <c r="J1942" s="14" t="b">
        <f aca="false">IF(중복검사!$A1940="",FALSE(),중복검사!$H1940="중복")</f>
        <v>0</v>
      </c>
      <c r="K1942" s="5" t="str">
        <f aca="false">IF($J1942=FALSE(),"",COUNTIF($J$6:$J1942,TRUE()))</f>
        <v/>
      </c>
      <c r="L1942" s="5" t="str">
        <f aca="false">IF($K1942="","","R"&amp;$K1942)</f>
        <v/>
      </c>
    </row>
    <row r="1943" customFormat="false" ht="15" hidden="false" customHeight="true" outlineLevel="0" collapsed="false">
      <c r="J1943" s="14" t="b">
        <f aca="false">IF(중복검사!$A1941="",FALSE(),중복검사!$H1941="중복")</f>
        <v>0</v>
      </c>
      <c r="K1943" s="5" t="str">
        <f aca="false">IF($J1943=FALSE(),"",COUNTIF($J$6:$J1943,TRUE()))</f>
        <v/>
      </c>
      <c r="L1943" s="5" t="str">
        <f aca="false">IF($K1943="","","R"&amp;$K1943)</f>
        <v/>
      </c>
    </row>
    <row r="1944" customFormat="false" ht="15" hidden="false" customHeight="true" outlineLevel="0" collapsed="false">
      <c r="J1944" s="14" t="b">
        <f aca="false">IF(중복검사!$A1942="",FALSE(),중복검사!$H1942="중복")</f>
        <v>0</v>
      </c>
      <c r="K1944" s="5" t="str">
        <f aca="false">IF($J1944=FALSE(),"",COUNTIF($J$6:$J1944,TRUE()))</f>
        <v/>
      </c>
      <c r="L1944" s="5" t="str">
        <f aca="false">IF($K1944="","","R"&amp;$K1944)</f>
        <v/>
      </c>
    </row>
    <row r="1945" customFormat="false" ht="15" hidden="false" customHeight="true" outlineLevel="0" collapsed="false">
      <c r="J1945" s="14" t="b">
        <f aca="false">IF(중복검사!$A1943="",FALSE(),중복검사!$H1943="중복")</f>
        <v>0</v>
      </c>
      <c r="K1945" s="5" t="str">
        <f aca="false">IF($J1945=FALSE(),"",COUNTIF($J$6:$J1945,TRUE()))</f>
        <v/>
      </c>
      <c r="L1945" s="5" t="str">
        <f aca="false">IF($K1945="","","R"&amp;$K1945)</f>
        <v/>
      </c>
    </row>
    <row r="1946" customFormat="false" ht="15" hidden="false" customHeight="true" outlineLevel="0" collapsed="false">
      <c r="J1946" s="14" t="b">
        <f aca="false">IF(중복검사!$A1944="",FALSE(),중복검사!$H1944="중복")</f>
        <v>0</v>
      </c>
      <c r="K1946" s="5" t="str">
        <f aca="false">IF($J1946=FALSE(),"",COUNTIF($J$6:$J1946,TRUE()))</f>
        <v/>
      </c>
      <c r="L1946" s="5" t="str">
        <f aca="false">IF($K1946="","","R"&amp;$K1946)</f>
        <v/>
      </c>
    </row>
    <row r="1947" customFormat="false" ht="15" hidden="false" customHeight="true" outlineLevel="0" collapsed="false">
      <c r="J1947" s="14" t="b">
        <f aca="false">IF(중복검사!$A1945="",FALSE(),중복검사!$H1945="중복")</f>
        <v>0</v>
      </c>
      <c r="K1947" s="5" t="str">
        <f aca="false">IF($J1947=FALSE(),"",COUNTIF($J$6:$J1947,TRUE()))</f>
        <v/>
      </c>
      <c r="L1947" s="5" t="str">
        <f aca="false">IF($K1947="","","R"&amp;$K1947)</f>
        <v/>
      </c>
    </row>
    <row r="1948" customFormat="false" ht="15" hidden="false" customHeight="true" outlineLevel="0" collapsed="false">
      <c r="J1948" s="14" t="b">
        <f aca="false">IF(중복검사!$A1946="",FALSE(),중복검사!$H1946="중복")</f>
        <v>0</v>
      </c>
      <c r="K1948" s="5" t="str">
        <f aca="false">IF($J1948=FALSE(),"",COUNTIF($J$6:$J1948,TRUE()))</f>
        <v/>
      </c>
      <c r="L1948" s="5" t="str">
        <f aca="false">IF($K1948="","","R"&amp;$K1948)</f>
        <v/>
      </c>
    </row>
    <row r="1949" customFormat="false" ht="15" hidden="false" customHeight="true" outlineLevel="0" collapsed="false">
      <c r="J1949" s="14" t="b">
        <f aca="false">IF(중복검사!$A1947="",FALSE(),중복검사!$H1947="중복")</f>
        <v>0</v>
      </c>
      <c r="K1949" s="5" t="str">
        <f aca="false">IF($J1949=FALSE(),"",COUNTIF($J$6:$J1949,TRUE()))</f>
        <v/>
      </c>
      <c r="L1949" s="5" t="str">
        <f aca="false">IF($K1949="","","R"&amp;$K1949)</f>
        <v/>
      </c>
    </row>
    <row r="1950" customFormat="false" ht="15" hidden="false" customHeight="true" outlineLevel="0" collapsed="false">
      <c r="J1950" s="14" t="b">
        <f aca="false">IF(중복검사!$A1948="",FALSE(),중복검사!$H1948="중복")</f>
        <v>0</v>
      </c>
      <c r="K1950" s="5" t="str">
        <f aca="false">IF($J1950=FALSE(),"",COUNTIF($J$6:$J1950,TRUE()))</f>
        <v/>
      </c>
      <c r="L1950" s="5" t="str">
        <f aca="false">IF($K1950="","","R"&amp;$K1950)</f>
        <v/>
      </c>
    </row>
    <row r="1951" customFormat="false" ht="15" hidden="false" customHeight="true" outlineLevel="0" collapsed="false">
      <c r="J1951" s="14" t="b">
        <f aca="false">IF(중복검사!$A1949="",FALSE(),중복검사!$H1949="중복")</f>
        <v>0</v>
      </c>
      <c r="K1951" s="5" t="str">
        <f aca="false">IF($J1951=FALSE(),"",COUNTIF($J$6:$J1951,TRUE()))</f>
        <v/>
      </c>
      <c r="L1951" s="5" t="str">
        <f aca="false">IF($K1951="","","R"&amp;$K1951)</f>
        <v/>
      </c>
    </row>
    <row r="1952" customFormat="false" ht="15" hidden="false" customHeight="true" outlineLevel="0" collapsed="false">
      <c r="J1952" s="14" t="b">
        <f aca="false">IF(중복검사!$A1950="",FALSE(),중복검사!$H1950="중복")</f>
        <v>0</v>
      </c>
      <c r="K1952" s="5" t="str">
        <f aca="false">IF($J1952=FALSE(),"",COUNTIF($J$6:$J1952,TRUE()))</f>
        <v/>
      </c>
      <c r="L1952" s="5" t="str">
        <f aca="false">IF($K1952="","","R"&amp;$K1952)</f>
        <v/>
      </c>
    </row>
    <row r="1953" customFormat="false" ht="15" hidden="false" customHeight="true" outlineLevel="0" collapsed="false">
      <c r="J1953" s="14" t="b">
        <f aca="false">IF(중복검사!$A1951="",FALSE(),중복검사!$H1951="중복")</f>
        <v>0</v>
      </c>
      <c r="K1953" s="5" t="str">
        <f aca="false">IF($J1953=FALSE(),"",COUNTIF($J$6:$J1953,TRUE()))</f>
        <v/>
      </c>
      <c r="L1953" s="5" t="str">
        <f aca="false">IF($K1953="","","R"&amp;$K1953)</f>
        <v/>
      </c>
    </row>
    <row r="1954" customFormat="false" ht="15" hidden="false" customHeight="true" outlineLevel="0" collapsed="false">
      <c r="J1954" s="14" t="b">
        <f aca="false">IF(중복검사!$A1952="",FALSE(),중복검사!$H1952="중복")</f>
        <v>0</v>
      </c>
      <c r="K1954" s="5" t="str">
        <f aca="false">IF($J1954=FALSE(),"",COUNTIF($J$6:$J1954,TRUE()))</f>
        <v/>
      </c>
      <c r="L1954" s="5" t="str">
        <f aca="false">IF($K1954="","","R"&amp;$K1954)</f>
        <v/>
      </c>
    </row>
    <row r="1955" customFormat="false" ht="15" hidden="false" customHeight="true" outlineLevel="0" collapsed="false">
      <c r="J1955" s="14" t="b">
        <f aca="false">IF(중복검사!$A1953="",FALSE(),중복검사!$H1953="중복")</f>
        <v>0</v>
      </c>
      <c r="K1955" s="5" t="str">
        <f aca="false">IF($J1955=FALSE(),"",COUNTIF($J$6:$J1955,TRUE()))</f>
        <v/>
      </c>
      <c r="L1955" s="5" t="str">
        <f aca="false">IF($K1955="","","R"&amp;$K1955)</f>
        <v/>
      </c>
    </row>
    <row r="1956" customFormat="false" ht="15" hidden="false" customHeight="true" outlineLevel="0" collapsed="false">
      <c r="J1956" s="14" t="b">
        <f aca="false">IF(중복검사!$A1954="",FALSE(),중복검사!$H1954="중복")</f>
        <v>0</v>
      </c>
      <c r="K1956" s="5" t="str">
        <f aca="false">IF($J1956=FALSE(),"",COUNTIF($J$6:$J1956,TRUE()))</f>
        <v/>
      </c>
      <c r="L1956" s="5" t="str">
        <f aca="false">IF($K1956="","","R"&amp;$K1956)</f>
        <v/>
      </c>
    </row>
    <row r="1957" customFormat="false" ht="15" hidden="false" customHeight="true" outlineLevel="0" collapsed="false">
      <c r="J1957" s="14" t="b">
        <f aca="false">IF(중복검사!$A1955="",FALSE(),중복검사!$H1955="중복")</f>
        <v>0</v>
      </c>
      <c r="K1957" s="5" t="str">
        <f aca="false">IF($J1957=FALSE(),"",COUNTIF($J$6:$J1957,TRUE()))</f>
        <v/>
      </c>
      <c r="L1957" s="5" t="str">
        <f aca="false">IF($K1957="","","R"&amp;$K1957)</f>
        <v/>
      </c>
    </row>
    <row r="1958" customFormat="false" ht="15" hidden="false" customHeight="true" outlineLevel="0" collapsed="false">
      <c r="J1958" s="14" t="b">
        <f aca="false">IF(중복검사!$A1956="",FALSE(),중복검사!$H1956="중복")</f>
        <v>0</v>
      </c>
      <c r="K1958" s="5" t="str">
        <f aca="false">IF($J1958=FALSE(),"",COUNTIF($J$6:$J1958,TRUE()))</f>
        <v/>
      </c>
      <c r="L1958" s="5" t="str">
        <f aca="false">IF($K1958="","","R"&amp;$K1958)</f>
        <v/>
      </c>
    </row>
    <row r="1959" customFormat="false" ht="15" hidden="false" customHeight="true" outlineLevel="0" collapsed="false">
      <c r="J1959" s="14" t="b">
        <f aca="false">IF(중복검사!$A1957="",FALSE(),중복검사!$H1957="중복")</f>
        <v>0</v>
      </c>
      <c r="K1959" s="5" t="str">
        <f aca="false">IF($J1959=FALSE(),"",COUNTIF($J$6:$J1959,TRUE()))</f>
        <v/>
      </c>
      <c r="L1959" s="5" t="str">
        <f aca="false">IF($K1959="","","R"&amp;$K1959)</f>
        <v/>
      </c>
    </row>
    <row r="1960" customFormat="false" ht="15" hidden="false" customHeight="true" outlineLevel="0" collapsed="false">
      <c r="J1960" s="14" t="b">
        <f aca="false">IF(중복검사!$A1958="",FALSE(),중복검사!$H1958="중복")</f>
        <v>0</v>
      </c>
      <c r="K1960" s="5" t="str">
        <f aca="false">IF($J1960=FALSE(),"",COUNTIF($J$6:$J1960,TRUE()))</f>
        <v/>
      </c>
      <c r="L1960" s="5" t="str">
        <f aca="false">IF($K1960="","","R"&amp;$K1960)</f>
        <v/>
      </c>
    </row>
    <row r="1961" customFormat="false" ht="15" hidden="false" customHeight="true" outlineLevel="0" collapsed="false">
      <c r="J1961" s="14" t="b">
        <f aca="false">IF(중복검사!$A1959="",FALSE(),중복검사!$H1959="중복")</f>
        <v>0</v>
      </c>
      <c r="K1961" s="5" t="str">
        <f aca="false">IF($J1961=FALSE(),"",COUNTIF($J$6:$J1961,TRUE()))</f>
        <v/>
      </c>
      <c r="L1961" s="5" t="str">
        <f aca="false">IF($K1961="","","R"&amp;$K1961)</f>
        <v/>
      </c>
    </row>
    <row r="1962" customFormat="false" ht="15" hidden="false" customHeight="true" outlineLevel="0" collapsed="false">
      <c r="J1962" s="14" t="b">
        <f aca="false">IF(중복검사!$A1960="",FALSE(),중복검사!$H1960="중복")</f>
        <v>0</v>
      </c>
      <c r="K1962" s="5" t="str">
        <f aca="false">IF($J1962=FALSE(),"",COUNTIF($J$6:$J1962,TRUE()))</f>
        <v/>
      </c>
      <c r="L1962" s="5" t="str">
        <f aca="false">IF($K1962="","","R"&amp;$K1962)</f>
        <v/>
      </c>
    </row>
    <row r="1963" customFormat="false" ht="15" hidden="false" customHeight="true" outlineLevel="0" collapsed="false">
      <c r="J1963" s="14" t="b">
        <f aca="false">IF(중복검사!$A1961="",FALSE(),중복검사!$H1961="중복")</f>
        <v>0</v>
      </c>
      <c r="K1963" s="5" t="str">
        <f aca="false">IF($J1963=FALSE(),"",COUNTIF($J$6:$J1963,TRUE()))</f>
        <v/>
      </c>
      <c r="L1963" s="5" t="str">
        <f aca="false">IF($K1963="","","R"&amp;$K1963)</f>
        <v/>
      </c>
    </row>
    <row r="1964" customFormat="false" ht="15" hidden="false" customHeight="true" outlineLevel="0" collapsed="false">
      <c r="J1964" s="14" t="b">
        <f aca="false">IF(중복검사!$A1962="",FALSE(),중복검사!$H1962="중복")</f>
        <v>0</v>
      </c>
      <c r="K1964" s="5" t="str">
        <f aca="false">IF($J1964=FALSE(),"",COUNTIF($J$6:$J1964,TRUE()))</f>
        <v/>
      </c>
      <c r="L1964" s="5" t="str">
        <f aca="false">IF($K1964="","","R"&amp;$K1964)</f>
        <v/>
      </c>
    </row>
    <row r="1965" customFormat="false" ht="15" hidden="false" customHeight="true" outlineLevel="0" collapsed="false">
      <c r="J1965" s="14" t="b">
        <f aca="false">IF(중복검사!$A1963="",FALSE(),중복검사!$H1963="중복")</f>
        <v>0</v>
      </c>
      <c r="K1965" s="5" t="str">
        <f aca="false">IF($J1965=FALSE(),"",COUNTIF($J$6:$J1965,TRUE()))</f>
        <v/>
      </c>
      <c r="L1965" s="5" t="str">
        <f aca="false">IF($K1965="","","R"&amp;$K1965)</f>
        <v/>
      </c>
    </row>
    <row r="1966" customFormat="false" ht="15" hidden="false" customHeight="true" outlineLevel="0" collapsed="false">
      <c r="J1966" s="14" t="b">
        <f aca="false">IF(중복검사!$A1964="",FALSE(),중복검사!$H1964="중복")</f>
        <v>0</v>
      </c>
      <c r="K1966" s="5" t="str">
        <f aca="false">IF($J1966=FALSE(),"",COUNTIF($J$6:$J1966,TRUE()))</f>
        <v/>
      </c>
      <c r="L1966" s="5" t="str">
        <f aca="false">IF($K1966="","","R"&amp;$K1966)</f>
        <v/>
      </c>
    </row>
    <row r="1967" customFormat="false" ht="15" hidden="false" customHeight="true" outlineLevel="0" collapsed="false">
      <c r="J1967" s="14" t="b">
        <f aca="false">IF(중복검사!$A1965="",FALSE(),중복검사!$H1965="중복")</f>
        <v>0</v>
      </c>
      <c r="K1967" s="5" t="str">
        <f aca="false">IF($J1967=FALSE(),"",COUNTIF($J$6:$J1967,TRUE()))</f>
        <v/>
      </c>
      <c r="L1967" s="5" t="str">
        <f aca="false">IF($K1967="","","R"&amp;$K1967)</f>
        <v/>
      </c>
    </row>
    <row r="1968" customFormat="false" ht="15" hidden="false" customHeight="true" outlineLevel="0" collapsed="false">
      <c r="J1968" s="14" t="b">
        <f aca="false">IF(중복검사!$A1966="",FALSE(),중복검사!$H1966="중복")</f>
        <v>0</v>
      </c>
      <c r="K1968" s="5" t="str">
        <f aca="false">IF($J1968=FALSE(),"",COUNTIF($J$6:$J1968,TRUE()))</f>
        <v/>
      </c>
      <c r="L1968" s="5" t="str">
        <f aca="false">IF($K1968="","","R"&amp;$K1968)</f>
        <v/>
      </c>
    </row>
    <row r="1969" customFormat="false" ht="15" hidden="false" customHeight="true" outlineLevel="0" collapsed="false">
      <c r="J1969" s="14" t="b">
        <f aca="false">IF(중복검사!$A1967="",FALSE(),중복검사!$H1967="중복")</f>
        <v>0</v>
      </c>
      <c r="K1969" s="5" t="str">
        <f aca="false">IF($J1969=FALSE(),"",COUNTIF($J$6:$J1969,TRUE()))</f>
        <v/>
      </c>
      <c r="L1969" s="5" t="str">
        <f aca="false">IF($K1969="","","R"&amp;$K1969)</f>
        <v/>
      </c>
    </row>
    <row r="1970" customFormat="false" ht="15" hidden="false" customHeight="true" outlineLevel="0" collapsed="false">
      <c r="J1970" s="14" t="b">
        <f aca="false">IF(중복검사!$A1968="",FALSE(),중복검사!$H1968="중복")</f>
        <v>0</v>
      </c>
      <c r="K1970" s="5" t="str">
        <f aca="false">IF($J1970=FALSE(),"",COUNTIF($J$6:$J1970,TRUE()))</f>
        <v/>
      </c>
      <c r="L1970" s="5" t="str">
        <f aca="false">IF($K1970="","","R"&amp;$K1970)</f>
        <v/>
      </c>
    </row>
    <row r="1971" customFormat="false" ht="15" hidden="false" customHeight="true" outlineLevel="0" collapsed="false">
      <c r="J1971" s="14" t="b">
        <f aca="false">IF(중복검사!$A1969="",FALSE(),중복검사!$H1969="중복")</f>
        <v>0</v>
      </c>
      <c r="K1971" s="5" t="str">
        <f aca="false">IF($J1971=FALSE(),"",COUNTIF($J$6:$J1971,TRUE()))</f>
        <v/>
      </c>
      <c r="L1971" s="5" t="str">
        <f aca="false">IF($K1971="","","R"&amp;$K1971)</f>
        <v/>
      </c>
    </row>
    <row r="1972" customFormat="false" ht="15" hidden="false" customHeight="true" outlineLevel="0" collapsed="false">
      <c r="J1972" s="14" t="b">
        <f aca="false">IF(중복검사!$A1970="",FALSE(),중복검사!$H1970="중복")</f>
        <v>0</v>
      </c>
      <c r="K1972" s="5" t="str">
        <f aca="false">IF($J1972=FALSE(),"",COUNTIF($J$6:$J1972,TRUE()))</f>
        <v/>
      </c>
      <c r="L1972" s="5" t="str">
        <f aca="false">IF($K1972="","","R"&amp;$K1972)</f>
        <v/>
      </c>
    </row>
    <row r="1973" customFormat="false" ht="15" hidden="false" customHeight="true" outlineLevel="0" collapsed="false">
      <c r="J1973" s="14" t="b">
        <f aca="false">IF(중복검사!$A1971="",FALSE(),중복검사!$H1971="중복")</f>
        <v>0</v>
      </c>
      <c r="K1973" s="5" t="str">
        <f aca="false">IF($J1973=FALSE(),"",COUNTIF($J$6:$J1973,TRUE()))</f>
        <v/>
      </c>
      <c r="L1973" s="5" t="str">
        <f aca="false">IF($K1973="","","R"&amp;$K1973)</f>
        <v/>
      </c>
    </row>
    <row r="1974" customFormat="false" ht="15" hidden="false" customHeight="true" outlineLevel="0" collapsed="false">
      <c r="J1974" s="14" t="b">
        <f aca="false">IF(중복검사!$A1972="",FALSE(),중복검사!$H1972="중복")</f>
        <v>0</v>
      </c>
      <c r="K1974" s="5" t="str">
        <f aca="false">IF($J1974=FALSE(),"",COUNTIF($J$6:$J1974,TRUE()))</f>
        <v/>
      </c>
      <c r="L1974" s="5" t="str">
        <f aca="false">IF($K1974="","","R"&amp;$K1974)</f>
        <v/>
      </c>
    </row>
    <row r="1975" customFormat="false" ht="15" hidden="false" customHeight="true" outlineLevel="0" collapsed="false">
      <c r="J1975" s="14" t="b">
        <f aca="false">IF(중복검사!$A1973="",FALSE(),중복검사!$H1973="중복")</f>
        <v>0</v>
      </c>
      <c r="K1975" s="5" t="str">
        <f aca="false">IF($J1975=FALSE(),"",COUNTIF($J$6:$J1975,TRUE()))</f>
        <v/>
      </c>
      <c r="L1975" s="5" t="str">
        <f aca="false">IF($K1975="","","R"&amp;$K1975)</f>
        <v/>
      </c>
    </row>
    <row r="1976" customFormat="false" ht="15" hidden="false" customHeight="true" outlineLevel="0" collapsed="false">
      <c r="J1976" s="14" t="b">
        <f aca="false">IF(중복검사!$A1974="",FALSE(),중복검사!$H1974="중복")</f>
        <v>0</v>
      </c>
      <c r="K1976" s="5" t="str">
        <f aca="false">IF($J1976=FALSE(),"",COUNTIF($J$6:$J1976,TRUE()))</f>
        <v/>
      </c>
      <c r="L1976" s="5" t="str">
        <f aca="false">IF($K1976="","","R"&amp;$K1976)</f>
        <v/>
      </c>
    </row>
    <row r="1977" customFormat="false" ht="15" hidden="false" customHeight="true" outlineLevel="0" collapsed="false">
      <c r="J1977" s="14" t="b">
        <f aca="false">IF(중복검사!$A1975="",FALSE(),중복검사!$H1975="중복")</f>
        <v>0</v>
      </c>
      <c r="K1977" s="5" t="str">
        <f aca="false">IF($J1977=FALSE(),"",COUNTIF($J$6:$J1977,TRUE()))</f>
        <v/>
      </c>
      <c r="L1977" s="5" t="str">
        <f aca="false">IF($K1977="","","R"&amp;$K1977)</f>
        <v/>
      </c>
    </row>
    <row r="1978" customFormat="false" ht="15" hidden="false" customHeight="true" outlineLevel="0" collapsed="false">
      <c r="J1978" s="14" t="b">
        <f aca="false">IF(중복검사!$A1976="",FALSE(),중복검사!$H1976="중복")</f>
        <v>0</v>
      </c>
      <c r="K1978" s="5" t="str">
        <f aca="false">IF($J1978=FALSE(),"",COUNTIF($J$6:$J1978,TRUE()))</f>
        <v/>
      </c>
      <c r="L1978" s="5" t="str">
        <f aca="false">IF($K1978="","","R"&amp;$K1978)</f>
        <v/>
      </c>
    </row>
    <row r="1979" customFormat="false" ht="15" hidden="false" customHeight="true" outlineLevel="0" collapsed="false">
      <c r="J1979" s="14" t="b">
        <f aca="false">IF(중복검사!$A1977="",FALSE(),중복검사!$H1977="중복")</f>
        <v>0</v>
      </c>
      <c r="K1979" s="5" t="str">
        <f aca="false">IF($J1979=FALSE(),"",COUNTIF($J$6:$J1979,TRUE()))</f>
        <v/>
      </c>
      <c r="L1979" s="5" t="str">
        <f aca="false">IF($K1979="","","R"&amp;$K1979)</f>
        <v/>
      </c>
    </row>
    <row r="1980" customFormat="false" ht="15" hidden="false" customHeight="true" outlineLevel="0" collapsed="false">
      <c r="J1980" s="14" t="b">
        <f aca="false">IF(중복검사!$A1978="",FALSE(),중복검사!$H1978="중복")</f>
        <v>0</v>
      </c>
      <c r="K1980" s="5" t="str">
        <f aca="false">IF($J1980=FALSE(),"",COUNTIF($J$6:$J1980,TRUE()))</f>
        <v/>
      </c>
      <c r="L1980" s="5" t="str">
        <f aca="false">IF($K1980="","","R"&amp;$K1980)</f>
        <v/>
      </c>
    </row>
    <row r="1981" customFormat="false" ht="15" hidden="false" customHeight="true" outlineLevel="0" collapsed="false">
      <c r="J1981" s="14" t="b">
        <f aca="false">IF(중복검사!$A1979="",FALSE(),중복검사!$H1979="중복")</f>
        <v>0</v>
      </c>
      <c r="K1981" s="5" t="str">
        <f aca="false">IF($J1981=FALSE(),"",COUNTIF($J$6:$J1981,TRUE()))</f>
        <v/>
      </c>
      <c r="L1981" s="5" t="str">
        <f aca="false">IF($K1981="","","R"&amp;$K1981)</f>
        <v/>
      </c>
    </row>
    <row r="1982" customFormat="false" ht="15" hidden="false" customHeight="true" outlineLevel="0" collapsed="false">
      <c r="J1982" s="14" t="b">
        <f aca="false">IF(중복검사!$A1980="",FALSE(),중복검사!$H1980="중복")</f>
        <v>0</v>
      </c>
      <c r="K1982" s="5" t="str">
        <f aca="false">IF($J1982=FALSE(),"",COUNTIF($J$6:$J1982,TRUE()))</f>
        <v/>
      </c>
      <c r="L1982" s="5" t="str">
        <f aca="false">IF($K1982="","","R"&amp;$K1982)</f>
        <v/>
      </c>
    </row>
    <row r="1983" customFormat="false" ht="15" hidden="false" customHeight="true" outlineLevel="0" collapsed="false">
      <c r="J1983" s="14" t="b">
        <f aca="false">IF(중복검사!$A1981="",FALSE(),중복검사!$H1981="중복")</f>
        <v>0</v>
      </c>
      <c r="K1983" s="5" t="str">
        <f aca="false">IF($J1983=FALSE(),"",COUNTIF($J$6:$J1983,TRUE()))</f>
        <v/>
      </c>
      <c r="L1983" s="5" t="str">
        <f aca="false">IF($K1983="","","R"&amp;$K1983)</f>
        <v/>
      </c>
    </row>
    <row r="1984" customFormat="false" ht="15" hidden="false" customHeight="true" outlineLevel="0" collapsed="false">
      <c r="J1984" s="14" t="b">
        <f aca="false">IF(중복검사!$A1982="",FALSE(),중복검사!$H1982="중복")</f>
        <v>0</v>
      </c>
      <c r="K1984" s="5" t="str">
        <f aca="false">IF($J1984=FALSE(),"",COUNTIF($J$6:$J1984,TRUE()))</f>
        <v/>
      </c>
      <c r="L1984" s="5" t="str">
        <f aca="false">IF($K1984="","","R"&amp;$K1984)</f>
        <v/>
      </c>
    </row>
    <row r="1985" customFormat="false" ht="15" hidden="false" customHeight="true" outlineLevel="0" collapsed="false">
      <c r="J1985" s="14" t="b">
        <f aca="false">IF(중복검사!$A1983="",FALSE(),중복검사!$H1983="중복")</f>
        <v>0</v>
      </c>
      <c r="K1985" s="5" t="str">
        <f aca="false">IF($J1985=FALSE(),"",COUNTIF($J$6:$J1985,TRUE()))</f>
        <v/>
      </c>
      <c r="L1985" s="5" t="str">
        <f aca="false">IF($K1985="","","R"&amp;$K1985)</f>
        <v/>
      </c>
    </row>
    <row r="1986" customFormat="false" ht="15" hidden="false" customHeight="true" outlineLevel="0" collapsed="false">
      <c r="J1986" s="14" t="b">
        <f aca="false">IF(중복검사!$A1984="",FALSE(),중복검사!$H1984="중복")</f>
        <v>0</v>
      </c>
      <c r="K1986" s="5" t="str">
        <f aca="false">IF($J1986=FALSE(),"",COUNTIF($J$6:$J1986,TRUE()))</f>
        <v/>
      </c>
      <c r="L1986" s="5" t="str">
        <f aca="false">IF($K1986="","","R"&amp;$K1986)</f>
        <v/>
      </c>
    </row>
    <row r="1987" customFormat="false" ht="15" hidden="false" customHeight="true" outlineLevel="0" collapsed="false">
      <c r="J1987" s="14" t="b">
        <f aca="false">IF(중복검사!$A1985="",FALSE(),중복검사!$H1985="중복")</f>
        <v>0</v>
      </c>
      <c r="K1987" s="5" t="str">
        <f aca="false">IF($J1987=FALSE(),"",COUNTIF($J$6:$J1987,TRUE()))</f>
        <v/>
      </c>
      <c r="L1987" s="5" t="str">
        <f aca="false">IF($K1987="","","R"&amp;$K1987)</f>
        <v/>
      </c>
    </row>
    <row r="1988" customFormat="false" ht="15" hidden="false" customHeight="true" outlineLevel="0" collapsed="false">
      <c r="J1988" s="14" t="b">
        <f aca="false">IF(중복검사!$A1986="",FALSE(),중복검사!$H1986="중복")</f>
        <v>0</v>
      </c>
      <c r="K1988" s="5" t="str">
        <f aca="false">IF($J1988=FALSE(),"",COUNTIF($J$6:$J1988,TRUE()))</f>
        <v/>
      </c>
      <c r="L1988" s="5" t="str">
        <f aca="false">IF($K1988="","","R"&amp;$K1988)</f>
        <v/>
      </c>
    </row>
    <row r="1989" customFormat="false" ht="15" hidden="false" customHeight="true" outlineLevel="0" collapsed="false">
      <c r="J1989" s="14" t="b">
        <f aca="false">IF(중복검사!$A1987="",FALSE(),중복검사!$H1987="중복")</f>
        <v>0</v>
      </c>
      <c r="K1989" s="5" t="str">
        <f aca="false">IF($J1989=FALSE(),"",COUNTIF($J$6:$J1989,TRUE()))</f>
        <v/>
      </c>
      <c r="L1989" s="5" t="str">
        <f aca="false">IF($K1989="","","R"&amp;$K1989)</f>
        <v/>
      </c>
    </row>
    <row r="1990" customFormat="false" ht="15" hidden="false" customHeight="true" outlineLevel="0" collapsed="false">
      <c r="J1990" s="14" t="b">
        <f aca="false">IF(중복검사!$A1988="",FALSE(),중복검사!$H1988="중복")</f>
        <v>0</v>
      </c>
      <c r="K1990" s="5" t="str">
        <f aca="false">IF($J1990=FALSE(),"",COUNTIF($J$6:$J1990,TRUE()))</f>
        <v/>
      </c>
      <c r="L1990" s="5" t="str">
        <f aca="false">IF($K1990="","","R"&amp;$K1990)</f>
        <v/>
      </c>
    </row>
    <row r="1991" customFormat="false" ht="15" hidden="false" customHeight="true" outlineLevel="0" collapsed="false">
      <c r="J1991" s="14" t="b">
        <f aca="false">IF(중복검사!$A1989="",FALSE(),중복검사!$H1989="중복")</f>
        <v>0</v>
      </c>
      <c r="K1991" s="5" t="str">
        <f aca="false">IF($J1991=FALSE(),"",COUNTIF($J$6:$J1991,TRUE()))</f>
        <v/>
      </c>
      <c r="L1991" s="5" t="str">
        <f aca="false">IF($K1991="","","R"&amp;$K1991)</f>
        <v/>
      </c>
    </row>
    <row r="1992" customFormat="false" ht="15" hidden="false" customHeight="true" outlineLevel="0" collapsed="false">
      <c r="J1992" s="14" t="b">
        <f aca="false">IF(중복검사!$A1990="",FALSE(),중복검사!$H1990="중복")</f>
        <v>0</v>
      </c>
      <c r="K1992" s="5" t="str">
        <f aca="false">IF($J1992=FALSE(),"",COUNTIF($J$6:$J1992,TRUE()))</f>
        <v/>
      </c>
      <c r="L1992" s="5" t="str">
        <f aca="false">IF($K1992="","","R"&amp;$K1992)</f>
        <v/>
      </c>
    </row>
    <row r="1993" customFormat="false" ht="15" hidden="false" customHeight="true" outlineLevel="0" collapsed="false">
      <c r="J1993" s="14" t="b">
        <f aca="false">IF(중복검사!$A1991="",FALSE(),중복검사!$H1991="중복")</f>
        <v>0</v>
      </c>
      <c r="K1993" s="5" t="str">
        <f aca="false">IF($J1993=FALSE(),"",COUNTIF($J$6:$J1993,TRUE()))</f>
        <v/>
      </c>
      <c r="L1993" s="5" t="str">
        <f aca="false">IF($K1993="","","R"&amp;$K1993)</f>
        <v/>
      </c>
    </row>
    <row r="1994" customFormat="false" ht="15" hidden="false" customHeight="true" outlineLevel="0" collapsed="false">
      <c r="J1994" s="14" t="b">
        <f aca="false">IF(중복검사!$A1992="",FALSE(),중복검사!$H1992="중복")</f>
        <v>0</v>
      </c>
      <c r="K1994" s="5" t="str">
        <f aca="false">IF($J1994=FALSE(),"",COUNTIF($J$6:$J1994,TRUE()))</f>
        <v/>
      </c>
      <c r="L1994" s="5" t="str">
        <f aca="false">IF($K1994="","","R"&amp;$K1994)</f>
        <v/>
      </c>
    </row>
    <row r="1995" customFormat="false" ht="15" hidden="false" customHeight="true" outlineLevel="0" collapsed="false">
      <c r="J1995" s="14" t="b">
        <f aca="false">IF(중복검사!$A1993="",FALSE(),중복검사!$H1993="중복")</f>
        <v>0</v>
      </c>
      <c r="K1995" s="5" t="str">
        <f aca="false">IF($J1995=FALSE(),"",COUNTIF($J$6:$J1995,TRUE()))</f>
        <v/>
      </c>
      <c r="L1995" s="5" t="str">
        <f aca="false">IF($K1995="","","R"&amp;$K1995)</f>
        <v/>
      </c>
    </row>
    <row r="1996" customFormat="false" ht="15" hidden="false" customHeight="true" outlineLevel="0" collapsed="false">
      <c r="J1996" s="14" t="b">
        <f aca="false">IF(중복검사!$A1994="",FALSE(),중복검사!$H1994="중복")</f>
        <v>0</v>
      </c>
      <c r="K1996" s="5" t="str">
        <f aca="false">IF($J1996=FALSE(),"",COUNTIF($J$6:$J1996,TRUE()))</f>
        <v/>
      </c>
      <c r="L1996" s="5" t="str">
        <f aca="false">IF($K1996="","","R"&amp;$K1996)</f>
        <v/>
      </c>
    </row>
    <row r="1997" customFormat="false" ht="15" hidden="false" customHeight="true" outlineLevel="0" collapsed="false">
      <c r="J1997" s="14" t="b">
        <f aca="false">IF(중복검사!$A1995="",FALSE(),중복검사!$H1995="중복")</f>
        <v>0</v>
      </c>
      <c r="K1997" s="5" t="str">
        <f aca="false">IF($J1997=FALSE(),"",COUNTIF($J$6:$J1997,TRUE()))</f>
        <v/>
      </c>
      <c r="L1997" s="5" t="str">
        <f aca="false">IF($K1997="","","R"&amp;$K1997)</f>
        <v/>
      </c>
    </row>
    <row r="1998" customFormat="false" ht="15" hidden="false" customHeight="true" outlineLevel="0" collapsed="false">
      <c r="J1998" s="14" t="b">
        <f aca="false">IF(중복검사!$A1996="",FALSE(),중복검사!$H1996="중복")</f>
        <v>0</v>
      </c>
      <c r="K1998" s="5" t="str">
        <f aca="false">IF($J1998=FALSE(),"",COUNTIF($J$6:$J1998,TRUE()))</f>
        <v/>
      </c>
      <c r="L1998" s="5" t="str">
        <f aca="false">IF($K1998="","","R"&amp;$K1998)</f>
        <v/>
      </c>
    </row>
    <row r="1999" customFormat="false" ht="15" hidden="false" customHeight="true" outlineLevel="0" collapsed="false">
      <c r="J1999" s="14" t="b">
        <f aca="false">IF(중복검사!$A1997="",FALSE(),중복검사!$H1997="중복")</f>
        <v>0</v>
      </c>
      <c r="K1999" s="5" t="str">
        <f aca="false">IF($J1999=FALSE(),"",COUNTIF($J$6:$J1999,TRUE()))</f>
        <v/>
      </c>
      <c r="L1999" s="5" t="str">
        <f aca="false">IF($K1999="","","R"&amp;$K1999)</f>
        <v/>
      </c>
    </row>
    <row r="2000" customFormat="false" ht="15" hidden="false" customHeight="true" outlineLevel="0" collapsed="false">
      <c r="J2000" s="14" t="b">
        <f aca="false">IF(중복검사!$A1998="",FALSE(),중복검사!$H1998="중복")</f>
        <v>0</v>
      </c>
      <c r="K2000" s="5" t="str">
        <f aca="false">IF($J2000=FALSE(),"",COUNTIF($J$6:$J2000,TRUE()))</f>
        <v/>
      </c>
      <c r="L2000" s="5" t="str">
        <f aca="false">IF($K2000="","","R"&amp;$K2000)</f>
        <v/>
      </c>
    </row>
    <row r="2001" customFormat="false" ht="15" hidden="false" customHeight="true" outlineLevel="0" collapsed="false">
      <c r="J2001" s="14" t="b">
        <f aca="false">IF(중복검사!$A1999="",FALSE(),중복검사!$H1999="중복")</f>
        <v>0</v>
      </c>
      <c r="K2001" s="5" t="str">
        <f aca="false">IF($J2001=FALSE(),"",COUNTIF($J$6:$J2001,TRUE()))</f>
        <v/>
      </c>
      <c r="L2001" s="5" t="str">
        <f aca="false">IF($K2001="","","R"&amp;$K2001)</f>
        <v/>
      </c>
    </row>
    <row r="2002" customFormat="false" ht="15" hidden="false" customHeight="true" outlineLevel="0" collapsed="false">
      <c r="J2002" s="14" t="b">
        <f aca="false">IF(중복검사!$A2000="",FALSE(),중복검사!$H2000="중복")</f>
        <v>0</v>
      </c>
      <c r="K2002" s="5" t="str">
        <f aca="false">IF($J2002=FALSE(),"",COUNTIF($J$6:$J2002,TRUE()))</f>
        <v/>
      </c>
      <c r="L2002" s="5" t="str">
        <f aca="false">IF($K2002="","","R"&amp;$K2002)</f>
        <v/>
      </c>
    </row>
    <row r="2003" customFormat="false" ht="15" hidden="false" customHeight="true" outlineLevel="0" collapsed="false">
      <c r="J2003" s="14" t="b">
        <f aca="false">IF(중복검사!$A2001="",FALSE(),중복검사!$H2001="중복")</f>
        <v>0</v>
      </c>
      <c r="K2003" s="5" t="str">
        <f aca="false">IF($J2003=FALSE(),"",COUNTIF($J$6:$J2003,TRUE()))</f>
        <v/>
      </c>
      <c r="L2003" s="5" t="str">
        <f aca="false">IF($K2003="","","R"&amp;$K2003)</f>
        <v/>
      </c>
    </row>
    <row r="2004" customFormat="false" ht="15" hidden="false" customHeight="true" outlineLevel="0" collapsed="false">
      <c r="J2004" s="14" t="b">
        <f aca="false">IF(중복검사!$A2002="",FALSE(),중복검사!$H2002="중복")</f>
        <v>0</v>
      </c>
      <c r="K2004" s="5" t="str">
        <f aca="false">IF($J2004=FALSE(),"",COUNTIF($J$6:$J2004,TRUE()))</f>
        <v/>
      </c>
      <c r="L2004" s="5" t="str">
        <f aca="false">IF($K2004="","","R"&amp;$K2004)</f>
        <v/>
      </c>
    </row>
    <row r="2005" customFormat="false" ht="15" hidden="false" customHeight="true" outlineLevel="0" collapsed="false">
      <c r="J2005" s="14" t="b">
        <f aca="false">IF(중복검사!$A2003="",FALSE(),중복검사!$H2003="중복")</f>
        <v>0</v>
      </c>
      <c r="K2005" s="5" t="str">
        <f aca="false">IF($J2005=FALSE(),"",COUNTIF($J$6:$J2005,TRUE()))</f>
        <v/>
      </c>
      <c r="L2005" s="5" t="str">
        <f aca="false">IF($K2005="","","R"&amp;$K2005)</f>
        <v/>
      </c>
    </row>
    <row r="2006" customFormat="false" ht="15" hidden="false" customHeight="true" outlineLevel="0" collapsed="false">
      <c r="J2006" s="14" t="b">
        <f aca="false">IF(중복검사!$A2004="",FALSE(),중복검사!$H2004="중복")</f>
        <v>0</v>
      </c>
      <c r="K2006" s="5" t="str">
        <f aca="false">IF($J2006=FALSE(),"",COUNTIF($J$6:$J2006,TRUE()))</f>
        <v/>
      </c>
      <c r="L2006" s="5" t="str">
        <f aca="false">IF($K2006="","","R"&amp;$K2006)</f>
        <v/>
      </c>
    </row>
    <row r="2007" customFormat="false" ht="15" hidden="false" customHeight="true" outlineLevel="0" collapsed="false">
      <c r="J2007" s="14" t="b">
        <f aca="false">IF(중복검사!$A2005="",FALSE(),중복검사!$H2005="중복")</f>
        <v>0</v>
      </c>
      <c r="K2007" s="5" t="str">
        <f aca="false">IF($J2007=FALSE(),"",COUNTIF($J$6:$J2007,TRUE()))</f>
        <v/>
      </c>
      <c r="L2007" s="5" t="str">
        <f aca="false">IF($K2007="","","R"&amp;$K2007)</f>
        <v/>
      </c>
    </row>
    <row r="2008" customFormat="false" ht="15" hidden="false" customHeight="true" outlineLevel="0" collapsed="false">
      <c r="J2008" s="14" t="b">
        <f aca="false">IF(중복검사!$A2006="",FALSE(),중복검사!$H2006="중복")</f>
        <v>0</v>
      </c>
      <c r="K2008" s="5" t="str">
        <f aca="false">IF($J2008=FALSE(),"",COUNTIF($J$6:$J2008,TRUE()))</f>
        <v/>
      </c>
      <c r="L2008" s="5" t="str">
        <f aca="false">IF($K2008="","","R"&amp;$K2008)</f>
        <v/>
      </c>
    </row>
    <row r="2009" customFormat="false" ht="15" hidden="false" customHeight="true" outlineLevel="0" collapsed="false">
      <c r="J2009" s="14" t="b">
        <f aca="false">IF(중복검사!$A2007="",FALSE(),중복검사!$H2007="중복")</f>
        <v>0</v>
      </c>
      <c r="K2009" s="5" t="str">
        <f aca="false">IF($J2009=FALSE(),"",COUNTIF($J$6:$J2009,TRUE()))</f>
        <v/>
      </c>
      <c r="L2009" s="5" t="str">
        <f aca="false">IF($K2009="","","R"&amp;$K2009)</f>
        <v/>
      </c>
    </row>
    <row r="2010" customFormat="false" ht="15" hidden="false" customHeight="true" outlineLevel="0" collapsed="false">
      <c r="J2010" s="14" t="b">
        <f aca="false">IF(중복검사!$A2008="",FALSE(),중복검사!$H2008="중복")</f>
        <v>0</v>
      </c>
      <c r="K2010" s="5" t="str">
        <f aca="false">IF($J2010=FALSE(),"",COUNTIF($J$6:$J2010,TRUE()))</f>
        <v/>
      </c>
      <c r="L2010" s="5" t="str">
        <f aca="false">IF($K2010="","","R"&amp;$K2010)</f>
        <v/>
      </c>
    </row>
    <row r="2011" customFormat="false" ht="15" hidden="false" customHeight="true" outlineLevel="0" collapsed="false">
      <c r="J2011" s="14" t="b">
        <f aca="false">IF(중복검사!$A2009="",FALSE(),중복검사!$H2009="중복")</f>
        <v>0</v>
      </c>
      <c r="K2011" s="5" t="str">
        <f aca="false">IF($J2011=FALSE(),"",COUNTIF($J$6:$J2011,TRUE()))</f>
        <v/>
      </c>
      <c r="L2011" s="5" t="str">
        <f aca="false">IF($K2011="","","R"&amp;$K2011)</f>
        <v/>
      </c>
    </row>
    <row r="2012" customFormat="false" ht="15" hidden="false" customHeight="true" outlineLevel="0" collapsed="false">
      <c r="J2012" s="14" t="b">
        <f aca="false">IF(중복검사!$A2010="",FALSE(),중복검사!$H2010="중복")</f>
        <v>0</v>
      </c>
      <c r="K2012" s="5" t="str">
        <f aca="false">IF($J2012=FALSE(),"",COUNTIF($J$6:$J2012,TRUE()))</f>
        <v/>
      </c>
      <c r="L2012" s="5" t="str">
        <f aca="false">IF($K2012="","","R"&amp;$K2012)</f>
        <v/>
      </c>
    </row>
    <row r="2013" customFormat="false" ht="15" hidden="false" customHeight="true" outlineLevel="0" collapsed="false">
      <c r="J2013" s="14" t="b">
        <f aca="false">IF(중복검사!$A2011="",FALSE(),중복검사!$H2011="중복")</f>
        <v>0</v>
      </c>
      <c r="K2013" s="5" t="str">
        <f aca="false">IF($J2013=FALSE(),"",COUNTIF($J$6:$J2013,TRUE()))</f>
        <v/>
      </c>
      <c r="L2013" s="5" t="str">
        <f aca="false">IF($K2013="","","R"&amp;$K2013)</f>
        <v/>
      </c>
    </row>
    <row r="2014" customFormat="false" ht="15" hidden="false" customHeight="true" outlineLevel="0" collapsed="false">
      <c r="J2014" s="14" t="b">
        <f aca="false">IF(중복검사!$A2012="",FALSE(),중복검사!$H2012="중복")</f>
        <v>0</v>
      </c>
      <c r="K2014" s="5" t="str">
        <f aca="false">IF($J2014=FALSE(),"",COUNTIF($J$6:$J2014,TRUE()))</f>
        <v/>
      </c>
      <c r="L2014" s="5" t="str">
        <f aca="false">IF($K2014="","","R"&amp;$K2014)</f>
        <v/>
      </c>
    </row>
    <row r="2015" customFormat="false" ht="15" hidden="false" customHeight="true" outlineLevel="0" collapsed="false">
      <c r="J2015" s="14" t="b">
        <f aca="false">IF(중복검사!$A2013="",FALSE(),중복검사!$H2013="중복")</f>
        <v>0</v>
      </c>
      <c r="K2015" s="5" t="str">
        <f aca="false">IF($J2015=FALSE(),"",COUNTIF($J$6:$J2015,TRUE()))</f>
        <v/>
      </c>
      <c r="L2015" s="5" t="str">
        <f aca="false">IF($K2015="","","R"&amp;$K2015)</f>
        <v/>
      </c>
    </row>
    <row r="2016" customFormat="false" ht="15" hidden="false" customHeight="true" outlineLevel="0" collapsed="false">
      <c r="J2016" s="14" t="b">
        <f aca="false">IF(중복검사!$A2014="",FALSE(),중복검사!$H2014="중복")</f>
        <v>0</v>
      </c>
      <c r="K2016" s="5" t="str">
        <f aca="false">IF($J2016=FALSE(),"",COUNTIF($J$6:$J2016,TRUE()))</f>
        <v/>
      </c>
      <c r="L2016" s="5" t="str">
        <f aca="false">IF($K2016="","","R"&amp;$K2016)</f>
        <v/>
      </c>
    </row>
    <row r="2017" customFormat="false" ht="15" hidden="false" customHeight="true" outlineLevel="0" collapsed="false">
      <c r="J2017" s="14" t="b">
        <f aca="false">IF(중복검사!$A2015="",FALSE(),중복검사!$H2015="중복")</f>
        <v>0</v>
      </c>
      <c r="K2017" s="5" t="str">
        <f aca="false">IF($J2017=FALSE(),"",COUNTIF($J$6:$J2017,TRUE()))</f>
        <v/>
      </c>
      <c r="L2017" s="5" t="str">
        <f aca="false">IF($K2017="","","R"&amp;$K2017)</f>
        <v/>
      </c>
    </row>
    <row r="2018" customFormat="false" ht="15" hidden="false" customHeight="true" outlineLevel="0" collapsed="false">
      <c r="J2018" s="14" t="b">
        <f aca="false">IF(중복검사!$A2016="",FALSE(),중복검사!$H2016="중복")</f>
        <v>0</v>
      </c>
      <c r="K2018" s="5" t="str">
        <f aca="false">IF($J2018=FALSE(),"",COUNTIF($J$6:$J2018,TRUE()))</f>
        <v/>
      </c>
      <c r="L2018" s="5" t="str">
        <f aca="false">IF($K2018="","","R"&amp;$K2018)</f>
        <v/>
      </c>
    </row>
    <row r="2019" customFormat="false" ht="15" hidden="false" customHeight="true" outlineLevel="0" collapsed="false">
      <c r="J2019" s="14" t="b">
        <f aca="false">IF(중복검사!$A2017="",FALSE(),중복검사!$H2017="중복")</f>
        <v>0</v>
      </c>
      <c r="K2019" s="5" t="str">
        <f aca="false">IF($J2019=FALSE(),"",COUNTIF($J$6:$J2019,TRUE()))</f>
        <v/>
      </c>
      <c r="L2019" s="5" t="str">
        <f aca="false">IF($K2019="","","R"&amp;$K2019)</f>
        <v/>
      </c>
    </row>
    <row r="2020" customFormat="false" ht="15" hidden="false" customHeight="true" outlineLevel="0" collapsed="false">
      <c r="J2020" s="14" t="b">
        <f aca="false">IF(중복검사!$A2018="",FALSE(),중복검사!$H2018="중복")</f>
        <v>0</v>
      </c>
      <c r="K2020" s="5" t="str">
        <f aca="false">IF($J2020=FALSE(),"",COUNTIF($J$6:$J2020,TRUE()))</f>
        <v/>
      </c>
      <c r="L2020" s="5" t="str">
        <f aca="false">IF($K2020="","","R"&amp;$K2020)</f>
        <v/>
      </c>
    </row>
    <row r="2021" customFormat="false" ht="15" hidden="false" customHeight="true" outlineLevel="0" collapsed="false">
      <c r="J2021" s="14" t="b">
        <f aca="false">IF(중복검사!$A2019="",FALSE(),중복검사!$H2019="중복")</f>
        <v>0</v>
      </c>
      <c r="K2021" s="5" t="str">
        <f aca="false">IF($J2021=FALSE(),"",COUNTIF($J$6:$J2021,TRUE()))</f>
        <v/>
      </c>
      <c r="L2021" s="5" t="str">
        <f aca="false">IF($K2021="","","R"&amp;$K2021)</f>
        <v/>
      </c>
    </row>
    <row r="2022" customFormat="false" ht="15" hidden="false" customHeight="true" outlineLevel="0" collapsed="false">
      <c r="J2022" s="14" t="b">
        <f aca="false">IF(중복검사!$A2020="",FALSE(),중복검사!$H2020="중복")</f>
        <v>0</v>
      </c>
      <c r="K2022" s="5" t="str">
        <f aca="false">IF($J2022=FALSE(),"",COUNTIF($J$6:$J2022,TRUE()))</f>
        <v/>
      </c>
      <c r="L2022" s="5" t="str">
        <f aca="false">IF($K2022="","","R"&amp;$K2022)</f>
        <v/>
      </c>
    </row>
    <row r="2023" customFormat="false" ht="15" hidden="false" customHeight="true" outlineLevel="0" collapsed="false">
      <c r="J2023" s="14" t="b">
        <f aca="false">IF(중복검사!$A2021="",FALSE(),중복검사!$H2021="중복")</f>
        <v>0</v>
      </c>
      <c r="K2023" s="5" t="str">
        <f aca="false">IF($J2023=FALSE(),"",COUNTIF($J$6:$J2023,TRUE()))</f>
        <v/>
      </c>
      <c r="L2023" s="5" t="str">
        <f aca="false">IF($K2023="","","R"&amp;$K2023)</f>
        <v/>
      </c>
    </row>
    <row r="2024" customFormat="false" ht="15" hidden="false" customHeight="true" outlineLevel="0" collapsed="false">
      <c r="J2024" s="14" t="b">
        <f aca="false">IF(중복검사!$A2022="",FALSE(),중복검사!$H2022="중복")</f>
        <v>0</v>
      </c>
      <c r="K2024" s="5" t="str">
        <f aca="false">IF($J2024=FALSE(),"",COUNTIF($J$6:$J2024,TRUE()))</f>
        <v/>
      </c>
      <c r="L2024" s="5" t="str">
        <f aca="false">IF($K2024="","","R"&amp;$K2024)</f>
        <v/>
      </c>
    </row>
    <row r="2025" customFormat="false" ht="15" hidden="false" customHeight="true" outlineLevel="0" collapsed="false">
      <c r="J2025" s="14" t="b">
        <f aca="false">IF(중복검사!$A2023="",FALSE(),중복검사!$H2023="중복")</f>
        <v>0</v>
      </c>
      <c r="K2025" s="5" t="str">
        <f aca="false">IF($J2025=FALSE(),"",COUNTIF($J$6:$J2025,TRUE()))</f>
        <v/>
      </c>
      <c r="L2025" s="5" t="str">
        <f aca="false">IF($K2025="","","R"&amp;$K2025)</f>
        <v/>
      </c>
    </row>
    <row r="2026" customFormat="false" ht="15" hidden="false" customHeight="true" outlineLevel="0" collapsed="false">
      <c r="J2026" s="14" t="b">
        <f aca="false">IF(중복검사!$A2024="",FALSE(),중복검사!$H2024="중복")</f>
        <v>0</v>
      </c>
      <c r="K2026" s="5" t="str">
        <f aca="false">IF($J2026=FALSE(),"",COUNTIF($J$6:$J2026,TRUE()))</f>
        <v/>
      </c>
      <c r="L2026" s="5" t="str">
        <f aca="false">IF($K2026="","","R"&amp;$K2026)</f>
        <v/>
      </c>
    </row>
    <row r="2027" customFormat="false" ht="15" hidden="false" customHeight="true" outlineLevel="0" collapsed="false">
      <c r="J2027" s="14" t="b">
        <f aca="false">IF(중복검사!$A2025="",FALSE(),중복검사!$H2025="중복")</f>
        <v>0</v>
      </c>
      <c r="K2027" s="5" t="str">
        <f aca="false">IF($J2027=FALSE(),"",COUNTIF($J$6:$J2027,TRUE()))</f>
        <v/>
      </c>
      <c r="L2027" s="5" t="str">
        <f aca="false">IF($K2027="","","R"&amp;$K2027)</f>
        <v/>
      </c>
    </row>
    <row r="2028" customFormat="false" ht="15" hidden="false" customHeight="true" outlineLevel="0" collapsed="false">
      <c r="J2028" s="14" t="b">
        <f aca="false">IF(중복검사!$A2026="",FALSE(),중복검사!$H2026="중복")</f>
        <v>0</v>
      </c>
      <c r="K2028" s="5" t="str">
        <f aca="false">IF($J2028=FALSE(),"",COUNTIF($J$6:$J2028,TRUE()))</f>
        <v/>
      </c>
      <c r="L2028" s="5" t="str">
        <f aca="false">IF($K2028="","","R"&amp;$K2028)</f>
        <v/>
      </c>
    </row>
    <row r="2029" customFormat="false" ht="15" hidden="false" customHeight="true" outlineLevel="0" collapsed="false">
      <c r="J2029" s="14" t="b">
        <f aca="false">IF(중복검사!$A2027="",FALSE(),중복검사!$H2027="중복")</f>
        <v>0</v>
      </c>
      <c r="K2029" s="5" t="str">
        <f aca="false">IF($J2029=FALSE(),"",COUNTIF($J$6:$J2029,TRUE()))</f>
        <v/>
      </c>
      <c r="L2029" s="5" t="str">
        <f aca="false">IF($K2029="","","R"&amp;$K2029)</f>
        <v/>
      </c>
    </row>
    <row r="2030" customFormat="false" ht="15" hidden="false" customHeight="true" outlineLevel="0" collapsed="false">
      <c r="J2030" s="14" t="b">
        <f aca="false">IF(중복검사!$A2028="",FALSE(),중복검사!$H2028="중복")</f>
        <v>0</v>
      </c>
      <c r="K2030" s="5" t="str">
        <f aca="false">IF($J2030=FALSE(),"",COUNTIF($J$6:$J2030,TRUE()))</f>
        <v/>
      </c>
      <c r="L2030" s="5" t="str">
        <f aca="false">IF($K2030="","","R"&amp;$K2030)</f>
        <v/>
      </c>
    </row>
    <row r="2031" customFormat="false" ht="15" hidden="false" customHeight="true" outlineLevel="0" collapsed="false">
      <c r="J2031" s="14" t="b">
        <f aca="false">IF(중복검사!$A2029="",FALSE(),중복검사!$H2029="중복")</f>
        <v>0</v>
      </c>
      <c r="K2031" s="5" t="str">
        <f aca="false">IF($J2031=FALSE(),"",COUNTIF($J$6:$J2031,TRUE()))</f>
        <v/>
      </c>
      <c r="L2031" s="5" t="str">
        <f aca="false">IF($K2031="","","R"&amp;$K2031)</f>
        <v/>
      </c>
    </row>
    <row r="2032" customFormat="false" ht="15" hidden="false" customHeight="true" outlineLevel="0" collapsed="false">
      <c r="J2032" s="14" t="b">
        <f aca="false">IF(중복검사!$A2030="",FALSE(),중복검사!$H2030="중복")</f>
        <v>0</v>
      </c>
      <c r="K2032" s="5" t="str">
        <f aca="false">IF($J2032=FALSE(),"",COUNTIF($J$6:$J2032,TRUE()))</f>
        <v/>
      </c>
      <c r="L2032" s="5" t="str">
        <f aca="false">IF($K2032="","","R"&amp;$K2032)</f>
        <v/>
      </c>
    </row>
    <row r="2033" customFormat="false" ht="15" hidden="false" customHeight="true" outlineLevel="0" collapsed="false">
      <c r="J2033" s="14" t="b">
        <f aca="false">IF(중복검사!$A2031="",FALSE(),중복검사!$H2031="중복")</f>
        <v>0</v>
      </c>
      <c r="K2033" s="5" t="str">
        <f aca="false">IF($J2033=FALSE(),"",COUNTIF($J$6:$J2033,TRUE()))</f>
        <v/>
      </c>
      <c r="L2033" s="5" t="str">
        <f aca="false">IF($K2033="","","R"&amp;$K2033)</f>
        <v/>
      </c>
    </row>
    <row r="2034" customFormat="false" ht="15" hidden="false" customHeight="true" outlineLevel="0" collapsed="false">
      <c r="J2034" s="14" t="b">
        <f aca="false">IF(중복검사!$A2032="",FALSE(),중복검사!$H2032="중복")</f>
        <v>0</v>
      </c>
      <c r="K2034" s="5" t="str">
        <f aca="false">IF($J2034=FALSE(),"",COUNTIF($J$6:$J2034,TRUE()))</f>
        <v/>
      </c>
      <c r="L2034" s="5" t="str">
        <f aca="false">IF($K2034="","","R"&amp;$K2034)</f>
        <v/>
      </c>
    </row>
    <row r="2035" customFormat="false" ht="15" hidden="false" customHeight="true" outlineLevel="0" collapsed="false">
      <c r="J2035" s="14" t="b">
        <f aca="false">IF(중복검사!$A2033="",FALSE(),중복검사!$H2033="중복")</f>
        <v>0</v>
      </c>
      <c r="K2035" s="5" t="str">
        <f aca="false">IF($J2035=FALSE(),"",COUNTIF($J$6:$J2035,TRUE()))</f>
        <v/>
      </c>
      <c r="L2035" s="5" t="str">
        <f aca="false">IF($K2035="","","R"&amp;$K2035)</f>
        <v/>
      </c>
    </row>
    <row r="2036" customFormat="false" ht="15" hidden="false" customHeight="true" outlineLevel="0" collapsed="false">
      <c r="J2036" s="14" t="b">
        <f aca="false">IF(중복검사!$A2034="",FALSE(),중복검사!$H2034="중복")</f>
        <v>0</v>
      </c>
      <c r="K2036" s="5" t="str">
        <f aca="false">IF($J2036=FALSE(),"",COUNTIF($J$6:$J2036,TRUE()))</f>
        <v/>
      </c>
      <c r="L2036" s="5" t="str">
        <f aca="false">IF($K2036="","","R"&amp;$K2036)</f>
        <v/>
      </c>
    </row>
    <row r="2037" customFormat="false" ht="15" hidden="false" customHeight="true" outlineLevel="0" collapsed="false">
      <c r="J2037" s="14" t="b">
        <f aca="false">IF(중복검사!$A2035="",FALSE(),중복검사!$H2035="중복")</f>
        <v>0</v>
      </c>
      <c r="K2037" s="5" t="str">
        <f aca="false">IF($J2037=FALSE(),"",COUNTIF($J$6:$J2037,TRUE()))</f>
        <v/>
      </c>
      <c r="L2037" s="5" t="str">
        <f aca="false">IF($K2037="","","R"&amp;$K2037)</f>
        <v/>
      </c>
    </row>
    <row r="2038" customFormat="false" ht="15" hidden="false" customHeight="true" outlineLevel="0" collapsed="false">
      <c r="J2038" s="14" t="b">
        <f aca="false">IF(중복검사!$A2036="",FALSE(),중복검사!$H2036="중복")</f>
        <v>0</v>
      </c>
      <c r="K2038" s="5" t="str">
        <f aca="false">IF($J2038=FALSE(),"",COUNTIF($J$6:$J2038,TRUE()))</f>
        <v/>
      </c>
      <c r="L2038" s="5" t="str">
        <f aca="false">IF($K2038="","","R"&amp;$K2038)</f>
        <v/>
      </c>
    </row>
    <row r="2039" customFormat="false" ht="15" hidden="false" customHeight="true" outlineLevel="0" collapsed="false">
      <c r="J2039" s="14" t="b">
        <f aca="false">IF(중복검사!$A2037="",FALSE(),중복검사!$H2037="중복")</f>
        <v>0</v>
      </c>
      <c r="K2039" s="5" t="str">
        <f aca="false">IF($J2039=FALSE(),"",COUNTIF($J$6:$J2039,TRUE()))</f>
        <v/>
      </c>
      <c r="L2039" s="5" t="str">
        <f aca="false">IF($K2039="","","R"&amp;$K2039)</f>
        <v/>
      </c>
    </row>
    <row r="2040" customFormat="false" ht="15" hidden="false" customHeight="true" outlineLevel="0" collapsed="false">
      <c r="J2040" s="14" t="b">
        <f aca="false">IF(중복검사!$A2038="",FALSE(),중복검사!$H2038="중복")</f>
        <v>0</v>
      </c>
      <c r="K2040" s="5" t="str">
        <f aca="false">IF($J2040=FALSE(),"",COUNTIF($J$6:$J2040,TRUE()))</f>
        <v/>
      </c>
      <c r="L2040" s="5" t="str">
        <f aca="false">IF($K2040="","","R"&amp;$K2040)</f>
        <v/>
      </c>
    </row>
    <row r="2041" customFormat="false" ht="15" hidden="false" customHeight="true" outlineLevel="0" collapsed="false">
      <c r="J2041" s="14" t="b">
        <f aca="false">IF(중복검사!$A2039="",FALSE(),중복검사!$H2039="중복")</f>
        <v>0</v>
      </c>
      <c r="K2041" s="5" t="str">
        <f aca="false">IF($J2041=FALSE(),"",COUNTIF($J$6:$J2041,TRUE()))</f>
        <v/>
      </c>
      <c r="L2041" s="5" t="str">
        <f aca="false">IF($K2041="","","R"&amp;$K2041)</f>
        <v/>
      </c>
    </row>
    <row r="2042" customFormat="false" ht="15" hidden="false" customHeight="true" outlineLevel="0" collapsed="false">
      <c r="J2042" s="14" t="b">
        <f aca="false">IF(중복검사!$A2040="",FALSE(),중복검사!$H2040="중복")</f>
        <v>0</v>
      </c>
      <c r="K2042" s="5" t="str">
        <f aca="false">IF($J2042=FALSE(),"",COUNTIF($J$6:$J2042,TRUE()))</f>
        <v/>
      </c>
      <c r="L2042" s="5" t="str">
        <f aca="false">IF($K2042="","","R"&amp;$K2042)</f>
        <v/>
      </c>
    </row>
    <row r="2043" customFormat="false" ht="15" hidden="false" customHeight="true" outlineLevel="0" collapsed="false">
      <c r="J2043" s="14" t="b">
        <f aca="false">IF(중복검사!$A2041="",FALSE(),중복검사!$H2041="중복")</f>
        <v>0</v>
      </c>
      <c r="K2043" s="5" t="str">
        <f aca="false">IF($J2043=FALSE(),"",COUNTIF($J$6:$J2043,TRUE()))</f>
        <v/>
      </c>
      <c r="L2043" s="5" t="str">
        <f aca="false">IF($K2043="","","R"&amp;$K2043)</f>
        <v/>
      </c>
    </row>
    <row r="2044" customFormat="false" ht="15" hidden="false" customHeight="true" outlineLevel="0" collapsed="false">
      <c r="J2044" s="14" t="b">
        <f aca="false">IF(중복검사!$A2042="",FALSE(),중복검사!$H2042="중복")</f>
        <v>0</v>
      </c>
      <c r="K2044" s="5" t="str">
        <f aca="false">IF($J2044=FALSE(),"",COUNTIF($J$6:$J2044,TRUE()))</f>
        <v/>
      </c>
      <c r="L2044" s="5" t="str">
        <f aca="false">IF($K2044="","","R"&amp;$K2044)</f>
        <v/>
      </c>
    </row>
    <row r="2045" customFormat="false" ht="15" hidden="false" customHeight="true" outlineLevel="0" collapsed="false">
      <c r="J2045" s="14" t="b">
        <f aca="false">IF(중복검사!$A2043="",FALSE(),중복검사!$H2043="중복")</f>
        <v>0</v>
      </c>
      <c r="K2045" s="5" t="str">
        <f aca="false">IF($J2045=FALSE(),"",COUNTIF($J$6:$J2045,TRUE()))</f>
        <v/>
      </c>
      <c r="L2045" s="5" t="str">
        <f aca="false">IF($K2045="","","R"&amp;$K2045)</f>
        <v/>
      </c>
    </row>
    <row r="2046" customFormat="false" ht="15" hidden="false" customHeight="true" outlineLevel="0" collapsed="false">
      <c r="J2046" s="14" t="b">
        <f aca="false">IF(중복검사!$A2044="",FALSE(),중복검사!$H2044="중복")</f>
        <v>0</v>
      </c>
      <c r="K2046" s="5" t="str">
        <f aca="false">IF($J2046=FALSE(),"",COUNTIF($J$6:$J2046,TRUE()))</f>
        <v/>
      </c>
      <c r="L2046" s="5" t="str">
        <f aca="false">IF($K2046="","","R"&amp;$K2046)</f>
        <v/>
      </c>
    </row>
    <row r="2047" customFormat="false" ht="15" hidden="false" customHeight="true" outlineLevel="0" collapsed="false">
      <c r="J2047" s="14" t="b">
        <f aca="false">IF(중복검사!$A2045="",FALSE(),중복검사!$H2045="중복")</f>
        <v>0</v>
      </c>
      <c r="K2047" s="5" t="str">
        <f aca="false">IF($J2047=FALSE(),"",COUNTIF($J$6:$J2047,TRUE()))</f>
        <v/>
      </c>
      <c r="L2047" s="5" t="str">
        <f aca="false">IF($K2047="","","R"&amp;$K2047)</f>
        <v/>
      </c>
    </row>
    <row r="2048" customFormat="false" ht="15" hidden="false" customHeight="true" outlineLevel="0" collapsed="false">
      <c r="J2048" s="14" t="b">
        <f aca="false">IF(중복검사!$A2046="",FALSE(),중복검사!$H2046="중복")</f>
        <v>0</v>
      </c>
      <c r="K2048" s="5" t="str">
        <f aca="false">IF($J2048=FALSE(),"",COUNTIF($J$6:$J2048,TRUE()))</f>
        <v/>
      </c>
      <c r="L2048" s="5" t="str">
        <f aca="false">IF($K2048="","","R"&amp;$K2048)</f>
        <v/>
      </c>
    </row>
    <row r="2049" customFormat="false" ht="15" hidden="false" customHeight="true" outlineLevel="0" collapsed="false">
      <c r="J2049" s="14" t="b">
        <f aca="false">IF(중복검사!$A2047="",FALSE(),중복검사!$H2047="중복")</f>
        <v>0</v>
      </c>
      <c r="K2049" s="5" t="str">
        <f aca="false">IF($J2049=FALSE(),"",COUNTIF($J$6:$J2049,TRUE()))</f>
        <v/>
      </c>
      <c r="L2049" s="5" t="str">
        <f aca="false">IF($K2049="","","R"&amp;$K2049)</f>
        <v/>
      </c>
    </row>
    <row r="2050" customFormat="false" ht="15" hidden="false" customHeight="true" outlineLevel="0" collapsed="false">
      <c r="J2050" s="14" t="b">
        <f aca="false">IF(중복검사!$A2048="",FALSE(),중복검사!$H2048="중복")</f>
        <v>0</v>
      </c>
      <c r="K2050" s="5" t="str">
        <f aca="false">IF($J2050=FALSE(),"",COUNTIF($J$6:$J2050,TRUE()))</f>
        <v/>
      </c>
      <c r="L2050" s="5" t="str">
        <f aca="false">IF($K2050="","","R"&amp;$K2050)</f>
        <v/>
      </c>
    </row>
    <row r="2051" customFormat="false" ht="15" hidden="false" customHeight="true" outlineLevel="0" collapsed="false">
      <c r="J2051" s="14" t="b">
        <f aca="false">IF(중복검사!$A2049="",FALSE(),중복검사!$H2049="중복")</f>
        <v>0</v>
      </c>
      <c r="K2051" s="5" t="str">
        <f aca="false">IF($J2051=FALSE(),"",COUNTIF($J$6:$J2051,TRUE()))</f>
        <v/>
      </c>
      <c r="L2051" s="5" t="str">
        <f aca="false">IF($K2051="","","R"&amp;$K2051)</f>
        <v/>
      </c>
    </row>
    <row r="2052" customFormat="false" ht="15" hidden="false" customHeight="true" outlineLevel="0" collapsed="false">
      <c r="J2052" s="14" t="b">
        <f aca="false">IF(중복검사!$A2050="",FALSE(),중복검사!$H2050="중복")</f>
        <v>0</v>
      </c>
      <c r="K2052" s="5" t="str">
        <f aca="false">IF($J2052=FALSE(),"",COUNTIF($J$6:$J2052,TRUE()))</f>
        <v/>
      </c>
      <c r="L2052" s="5" t="str">
        <f aca="false">IF($K2052="","","R"&amp;$K2052)</f>
        <v/>
      </c>
    </row>
    <row r="2053" customFormat="false" ht="15" hidden="false" customHeight="true" outlineLevel="0" collapsed="false">
      <c r="J2053" s="14" t="b">
        <f aca="false">IF(중복검사!$A2051="",FALSE(),중복검사!$H2051="중복")</f>
        <v>0</v>
      </c>
      <c r="K2053" s="5" t="str">
        <f aca="false">IF($J2053=FALSE(),"",COUNTIF($J$6:$J2053,TRUE()))</f>
        <v/>
      </c>
      <c r="L2053" s="5" t="str">
        <f aca="false">IF($K2053="","","R"&amp;$K2053)</f>
        <v/>
      </c>
    </row>
    <row r="2054" customFormat="false" ht="15" hidden="false" customHeight="true" outlineLevel="0" collapsed="false">
      <c r="J2054" s="14" t="b">
        <f aca="false">IF(중복검사!$A2052="",FALSE(),중복검사!$H2052="중복")</f>
        <v>0</v>
      </c>
      <c r="K2054" s="5" t="str">
        <f aca="false">IF($J2054=FALSE(),"",COUNTIF($J$6:$J2054,TRUE()))</f>
        <v/>
      </c>
      <c r="L2054" s="5" t="str">
        <f aca="false">IF($K2054="","","R"&amp;$K2054)</f>
        <v/>
      </c>
    </row>
    <row r="2055" customFormat="false" ht="15" hidden="false" customHeight="true" outlineLevel="0" collapsed="false">
      <c r="J2055" s="14" t="b">
        <f aca="false">IF(중복검사!$A2053="",FALSE(),중복검사!$H2053="중복")</f>
        <v>0</v>
      </c>
      <c r="K2055" s="5" t="str">
        <f aca="false">IF($J2055=FALSE(),"",COUNTIF($J$6:$J2055,TRUE()))</f>
        <v/>
      </c>
      <c r="L2055" s="5" t="str">
        <f aca="false">IF($K2055="","","R"&amp;$K2055)</f>
        <v/>
      </c>
    </row>
    <row r="2056" customFormat="false" ht="15" hidden="false" customHeight="true" outlineLevel="0" collapsed="false">
      <c r="J2056" s="14" t="b">
        <f aca="false">IF(중복검사!$A2054="",FALSE(),중복검사!$H2054="중복")</f>
        <v>0</v>
      </c>
      <c r="K2056" s="5" t="str">
        <f aca="false">IF($J2056=FALSE(),"",COUNTIF($J$6:$J2056,TRUE()))</f>
        <v/>
      </c>
      <c r="L2056" s="5" t="str">
        <f aca="false">IF($K2056="","","R"&amp;$K2056)</f>
        <v/>
      </c>
    </row>
    <row r="2057" customFormat="false" ht="15" hidden="false" customHeight="true" outlineLevel="0" collapsed="false">
      <c r="J2057" s="14" t="b">
        <f aca="false">IF(중복검사!$A2055="",FALSE(),중복검사!$H2055="중복")</f>
        <v>0</v>
      </c>
      <c r="K2057" s="5" t="str">
        <f aca="false">IF($J2057=FALSE(),"",COUNTIF($J$6:$J2057,TRUE()))</f>
        <v/>
      </c>
      <c r="L2057" s="5" t="str">
        <f aca="false">IF($K2057="","","R"&amp;$K2057)</f>
        <v/>
      </c>
    </row>
    <row r="2058" customFormat="false" ht="15" hidden="false" customHeight="true" outlineLevel="0" collapsed="false">
      <c r="J2058" s="14" t="b">
        <f aca="false">IF(중복검사!$A2056="",FALSE(),중복검사!$H2056="중복")</f>
        <v>0</v>
      </c>
      <c r="K2058" s="5" t="str">
        <f aca="false">IF($J2058=FALSE(),"",COUNTIF($J$6:$J2058,TRUE()))</f>
        <v/>
      </c>
      <c r="L2058" s="5" t="str">
        <f aca="false">IF($K2058="","","R"&amp;$K2058)</f>
        <v/>
      </c>
    </row>
    <row r="2059" customFormat="false" ht="15" hidden="false" customHeight="true" outlineLevel="0" collapsed="false">
      <c r="J2059" s="14" t="b">
        <f aca="false">IF(중복검사!$A2057="",FALSE(),중복검사!$H2057="중복")</f>
        <v>0</v>
      </c>
      <c r="K2059" s="5" t="str">
        <f aca="false">IF($J2059=FALSE(),"",COUNTIF($J$6:$J2059,TRUE()))</f>
        <v/>
      </c>
      <c r="L2059" s="5" t="str">
        <f aca="false">IF($K2059="","","R"&amp;$K2059)</f>
        <v/>
      </c>
    </row>
    <row r="2060" customFormat="false" ht="15" hidden="false" customHeight="true" outlineLevel="0" collapsed="false">
      <c r="J2060" s="14" t="b">
        <f aca="false">IF(중복검사!$A2058="",FALSE(),중복검사!$H2058="중복")</f>
        <v>0</v>
      </c>
      <c r="K2060" s="5" t="str">
        <f aca="false">IF($J2060=FALSE(),"",COUNTIF($J$6:$J2060,TRUE()))</f>
        <v/>
      </c>
      <c r="L2060" s="5" t="str">
        <f aca="false">IF($K2060="","","R"&amp;$K2060)</f>
        <v/>
      </c>
    </row>
    <row r="2061" customFormat="false" ht="15" hidden="false" customHeight="true" outlineLevel="0" collapsed="false">
      <c r="J2061" s="14" t="b">
        <f aca="false">IF(중복검사!$A2059="",FALSE(),중복검사!$H2059="중복")</f>
        <v>0</v>
      </c>
      <c r="K2061" s="5" t="str">
        <f aca="false">IF($J2061=FALSE(),"",COUNTIF($J$6:$J2061,TRUE()))</f>
        <v/>
      </c>
      <c r="L2061" s="5" t="str">
        <f aca="false">IF($K2061="","","R"&amp;$K2061)</f>
        <v/>
      </c>
    </row>
    <row r="2062" customFormat="false" ht="15" hidden="false" customHeight="true" outlineLevel="0" collapsed="false">
      <c r="J2062" s="14" t="b">
        <f aca="false">IF(중복검사!$A2060="",FALSE(),중복검사!$H2060="중복")</f>
        <v>0</v>
      </c>
      <c r="K2062" s="5" t="str">
        <f aca="false">IF($J2062=FALSE(),"",COUNTIF($J$6:$J2062,TRUE()))</f>
        <v/>
      </c>
      <c r="L2062" s="5" t="str">
        <f aca="false">IF($K2062="","","R"&amp;$K2062)</f>
        <v/>
      </c>
    </row>
    <row r="2063" customFormat="false" ht="15" hidden="false" customHeight="true" outlineLevel="0" collapsed="false">
      <c r="J2063" s="14" t="b">
        <f aca="false">IF(중복검사!$A2061="",FALSE(),중복검사!$H2061="중복")</f>
        <v>0</v>
      </c>
      <c r="K2063" s="5" t="str">
        <f aca="false">IF($J2063=FALSE(),"",COUNTIF($J$6:$J2063,TRUE()))</f>
        <v/>
      </c>
      <c r="L2063" s="5" t="str">
        <f aca="false">IF($K2063="","","R"&amp;$K2063)</f>
        <v/>
      </c>
    </row>
    <row r="2064" customFormat="false" ht="15" hidden="false" customHeight="true" outlineLevel="0" collapsed="false">
      <c r="J2064" s="14" t="b">
        <f aca="false">IF(중복검사!$A2062="",FALSE(),중복검사!$H2062="중복")</f>
        <v>0</v>
      </c>
      <c r="K2064" s="5" t="str">
        <f aca="false">IF($J2064=FALSE(),"",COUNTIF($J$6:$J2064,TRUE()))</f>
        <v/>
      </c>
      <c r="L2064" s="5" t="str">
        <f aca="false">IF($K2064="","","R"&amp;$K2064)</f>
        <v/>
      </c>
    </row>
    <row r="2065" customFormat="false" ht="15" hidden="false" customHeight="true" outlineLevel="0" collapsed="false">
      <c r="J2065" s="14" t="b">
        <f aca="false">IF(중복검사!$A2063="",FALSE(),중복검사!$H2063="중복")</f>
        <v>0</v>
      </c>
      <c r="K2065" s="5" t="str">
        <f aca="false">IF($J2065=FALSE(),"",COUNTIF($J$6:$J2065,TRUE()))</f>
        <v/>
      </c>
      <c r="L2065" s="5" t="str">
        <f aca="false">IF($K2065="","","R"&amp;$K2065)</f>
        <v/>
      </c>
    </row>
    <row r="2066" customFormat="false" ht="15" hidden="false" customHeight="true" outlineLevel="0" collapsed="false">
      <c r="J2066" s="14" t="b">
        <f aca="false">IF(중복검사!$A2064="",FALSE(),중복검사!$H2064="중복")</f>
        <v>0</v>
      </c>
      <c r="K2066" s="5" t="str">
        <f aca="false">IF($J2066=FALSE(),"",COUNTIF($J$6:$J2066,TRUE()))</f>
        <v/>
      </c>
      <c r="L2066" s="5" t="str">
        <f aca="false">IF($K2066="","","R"&amp;$K2066)</f>
        <v/>
      </c>
    </row>
    <row r="2067" customFormat="false" ht="15" hidden="false" customHeight="true" outlineLevel="0" collapsed="false">
      <c r="J2067" s="14" t="b">
        <f aca="false">IF(중복검사!$A2065="",FALSE(),중복검사!$H2065="중복")</f>
        <v>0</v>
      </c>
      <c r="K2067" s="5" t="str">
        <f aca="false">IF($J2067=FALSE(),"",COUNTIF($J$6:$J2067,TRUE()))</f>
        <v/>
      </c>
      <c r="L2067" s="5" t="str">
        <f aca="false">IF($K2067="","","R"&amp;$K2067)</f>
        <v/>
      </c>
    </row>
    <row r="2068" customFormat="false" ht="15" hidden="false" customHeight="true" outlineLevel="0" collapsed="false">
      <c r="J2068" s="14" t="b">
        <f aca="false">IF(중복검사!$A2066="",FALSE(),중복검사!$H2066="중복")</f>
        <v>0</v>
      </c>
      <c r="K2068" s="5" t="str">
        <f aca="false">IF($J2068=FALSE(),"",COUNTIF($J$6:$J2068,TRUE()))</f>
        <v/>
      </c>
      <c r="L2068" s="5" t="str">
        <f aca="false">IF($K2068="","","R"&amp;$K2068)</f>
        <v/>
      </c>
    </row>
    <row r="2069" customFormat="false" ht="15" hidden="false" customHeight="true" outlineLevel="0" collapsed="false">
      <c r="J2069" s="14" t="b">
        <f aca="false">IF(중복검사!$A2067="",FALSE(),중복검사!$H2067="중복")</f>
        <v>0</v>
      </c>
      <c r="K2069" s="5" t="str">
        <f aca="false">IF($J2069=FALSE(),"",COUNTIF($J$6:$J2069,TRUE()))</f>
        <v/>
      </c>
      <c r="L2069" s="5" t="str">
        <f aca="false">IF($K2069="","","R"&amp;$K2069)</f>
        <v/>
      </c>
    </row>
    <row r="2070" customFormat="false" ht="15" hidden="false" customHeight="true" outlineLevel="0" collapsed="false">
      <c r="J2070" s="14" t="b">
        <f aca="false">IF(중복검사!$A2068="",FALSE(),중복검사!$H2068="중복")</f>
        <v>0</v>
      </c>
      <c r="K2070" s="5" t="str">
        <f aca="false">IF($J2070=FALSE(),"",COUNTIF($J$6:$J2070,TRUE()))</f>
        <v/>
      </c>
      <c r="L2070" s="5" t="str">
        <f aca="false">IF($K2070="","","R"&amp;$K2070)</f>
        <v/>
      </c>
    </row>
    <row r="2071" customFormat="false" ht="15" hidden="false" customHeight="true" outlineLevel="0" collapsed="false">
      <c r="J2071" s="14" t="b">
        <f aca="false">IF(중복검사!$A2069="",FALSE(),중복검사!$H2069="중복")</f>
        <v>0</v>
      </c>
      <c r="K2071" s="5" t="str">
        <f aca="false">IF($J2071=FALSE(),"",COUNTIF($J$6:$J2071,TRUE()))</f>
        <v/>
      </c>
      <c r="L2071" s="5" t="str">
        <f aca="false">IF($K2071="","","R"&amp;$K2071)</f>
        <v/>
      </c>
    </row>
    <row r="2072" customFormat="false" ht="15" hidden="false" customHeight="true" outlineLevel="0" collapsed="false">
      <c r="J2072" s="14" t="b">
        <f aca="false">IF(중복검사!$A2070="",FALSE(),중복검사!$H2070="중복")</f>
        <v>0</v>
      </c>
      <c r="K2072" s="5" t="str">
        <f aca="false">IF($J2072=FALSE(),"",COUNTIF($J$6:$J2072,TRUE()))</f>
        <v/>
      </c>
      <c r="L2072" s="5" t="str">
        <f aca="false">IF($K2072="","","R"&amp;$K2072)</f>
        <v/>
      </c>
    </row>
    <row r="2073" customFormat="false" ht="15" hidden="false" customHeight="true" outlineLevel="0" collapsed="false">
      <c r="J2073" s="14" t="b">
        <f aca="false">IF(중복검사!$A2071="",FALSE(),중복검사!$H2071="중복")</f>
        <v>0</v>
      </c>
      <c r="K2073" s="5" t="str">
        <f aca="false">IF($J2073=FALSE(),"",COUNTIF($J$6:$J2073,TRUE()))</f>
        <v/>
      </c>
      <c r="L2073" s="5" t="str">
        <f aca="false">IF($K2073="","","R"&amp;$K2073)</f>
        <v/>
      </c>
    </row>
    <row r="2074" customFormat="false" ht="15" hidden="false" customHeight="true" outlineLevel="0" collapsed="false">
      <c r="J2074" s="14" t="b">
        <f aca="false">IF(중복검사!$A2072="",FALSE(),중복검사!$H2072="중복")</f>
        <v>0</v>
      </c>
      <c r="K2074" s="5" t="str">
        <f aca="false">IF($J2074=FALSE(),"",COUNTIF($J$6:$J2074,TRUE()))</f>
        <v/>
      </c>
      <c r="L2074" s="5" t="str">
        <f aca="false">IF($K2074="","","R"&amp;$K2074)</f>
        <v/>
      </c>
    </row>
    <row r="2075" customFormat="false" ht="15" hidden="false" customHeight="true" outlineLevel="0" collapsed="false">
      <c r="J2075" s="14" t="b">
        <f aca="false">IF(중복검사!$A2073="",FALSE(),중복검사!$H2073="중복")</f>
        <v>0</v>
      </c>
      <c r="K2075" s="5" t="str">
        <f aca="false">IF($J2075=FALSE(),"",COUNTIF($J$6:$J2075,TRUE()))</f>
        <v/>
      </c>
      <c r="L2075" s="5" t="str">
        <f aca="false">IF($K2075="","","R"&amp;$K2075)</f>
        <v/>
      </c>
    </row>
    <row r="2076" customFormat="false" ht="15" hidden="false" customHeight="true" outlineLevel="0" collapsed="false">
      <c r="J2076" s="14" t="b">
        <f aca="false">IF(중복검사!$A2074="",FALSE(),중복검사!$H2074="중복")</f>
        <v>0</v>
      </c>
      <c r="K2076" s="5" t="str">
        <f aca="false">IF($J2076=FALSE(),"",COUNTIF($J$6:$J2076,TRUE()))</f>
        <v/>
      </c>
      <c r="L2076" s="5" t="str">
        <f aca="false">IF($K2076="","","R"&amp;$K2076)</f>
        <v/>
      </c>
    </row>
    <row r="2077" customFormat="false" ht="15" hidden="false" customHeight="true" outlineLevel="0" collapsed="false">
      <c r="J2077" s="14" t="b">
        <f aca="false">IF(중복검사!$A2075="",FALSE(),중복검사!$H2075="중복")</f>
        <v>0</v>
      </c>
      <c r="K2077" s="5" t="str">
        <f aca="false">IF($J2077=FALSE(),"",COUNTIF($J$6:$J2077,TRUE()))</f>
        <v/>
      </c>
      <c r="L2077" s="5" t="str">
        <f aca="false">IF($K2077="","","R"&amp;$K2077)</f>
        <v/>
      </c>
    </row>
    <row r="2078" customFormat="false" ht="15" hidden="false" customHeight="true" outlineLevel="0" collapsed="false">
      <c r="J2078" s="14" t="b">
        <f aca="false">IF(중복검사!$A2076="",FALSE(),중복검사!$H2076="중복")</f>
        <v>0</v>
      </c>
      <c r="K2078" s="5" t="str">
        <f aca="false">IF($J2078=FALSE(),"",COUNTIF($J$6:$J2078,TRUE()))</f>
        <v/>
      </c>
      <c r="L2078" s="5" t="str">
        <f aca="false">IF($K2078="","","R"&amp;$K2078)</f>
        <v/>
      </c>
    </row>
    <row r="2079" customFormat="false" ht="15" hidden="false" customHeight="true" outlineLevel="0" collapsed="false">
      <c r="J2079" s="14" t="b">
        <f aca="false">IF(중복검사!$A2077="",FALSE(),중복검사!$H2077="중복")</f>
        <v>0</v>
      </c>
      <c r="K2079" s="5" t="str">
        <f aca="false">IF($J2079=FALSE(),"",COUNTIF($J$6:$J2079,TRUE()))</f>
        <v/>
      </c>
      <c r="L2079" s="5" t="str">
        <f aca="false">IF($K2079="","","R"&amp;$K2079)</f>
        <v/>
      </c>
    </row>
    <row r="2080" customFormat="false" ht="15" hidden="false" customHeight="true" outlineLevel="0" collapsed="false">
      <c r="J2080" s="14" t="b">
        <f aca="false">IF(중복검사!$A2078="",FALSE(),중복검사!$H2078="중복")</f>
        <v>0</v>
      </c>
      <c r="K2080" s="5" t="str">
        <f aca="false">IF($J2080=FALSE(),"",COUNTIF($J$6:$J2080,TRUE()))</f>
        <v/>
      </c>
      <c r="L2080" s="5" t="str">
        <f aca="false">IF($K2080="","","R"&amp;$K2080)</f>
        <v/>
      </c>
    </row>
    <row r="2081" customFormat="false" ht="15" hidden="false" customHeight="true" outlineLevel="0" collapsed="false">
      <c r="J2081" s="14" t="b">
        <f aca="false">IF(중복검사!$A2079="",FALSE(),중복검사!$H2079="중복")</f>
        <v>0</v>
      </c>
      <c r="K2081" s="5" t="str">
        <f aca="false">IF($J2081=FALSE(),"",COUNTIF($J$6:$J2081,TRUE()))</f>
        <v/>
      </c>
      <c r="L2081" s="5" t="str">
        <f aca="false">IF($K2081="","","R"&amp;$K2081)</f>
        <v/>
      </c>
    </row>
    <row r="2082" customFormat="false" ht="15" hidden="false" customHeight="true" outlineLevel="0" collapsed="false">
      <c r="J2082" s="14" t="b">
        <f aca="false">IF(중복검사!$A2080="",FALSE(),중복검사!$H2080="중복")</f>
        <v>0</v>
      </c>
      <c r="K2082" s="5" t="str">
        <f aca="false">IF($J2082=FALSE(),"",COUNTIF($J$6:$J2082,TRUE()))</f>
        <v/>
      </c>
      <c r="L2082" s="5" t="str">
        <f aca="false">IF($K2082="","","R"&amp;$K2082)</f>
        <v/>
      </c>
    </row>
    <row r="2083" customFormat="false" ht="15" hidden="false" customHeight="true" outlineLevel="0" collapsed="false">
      <c r="J2083" s="14" t="b">
        <f aca="false">IF(중복검사!$A2081="",FALSE(),중복검사!$H2081="중복")</f>
        <v>0</v>
      </c>
      <c r="K2083" s="5" t="str">
        <f aca="false">IF($J2083=FALSE(),"",COUNTIF($J$6:$J2083,TRUE()))</f>
        <v/>
      </c>
      <c r="L2083" s="5" t="str">
        <f aca="false">IF($K2083="","","R"&amp;$K2083)</f>
        <v/>
      </c>
    </row>
    <row r="2084" customFormat="false" ht="15" hidden="false" customHeight="true" outlineLevel="0" collapsed="false">
      <c r="J2084" s="14" t="b">
        <f aca="false">IF(중복검사!$A2082="",FALSE(),중복검사!$H2082="중복")</f>
        <v>0</v>
      </c>
      <c r="K2084" s="5" t="str">
        <f aca="false">IF($J2084=FALSE(),"",COUNTIF($J$6:$J2084,TRUE()))</f>
        <v/>
      </c>
      <c r="L2084" s="5" t="str">
        <f aca="false">IF($K2084="","","R"&amp;$K2084)</f>
        <v/>
      </c>
    </row>
    <row r="2085" customFormat="false" ht="15" hidden="false" customHeight="true" outlineLevel="0" collapsed="false">
      <c r="J2085" s="14" t="b">
        <f aca="false">IF(중복검사!$A2083="",FALSE(),중복검사!$H2083="중복")</f>
        <v>0</v>
      </c>
      <c r="K2085" s="5" t="str">
        <f aca="false">IF($J2085=FALSE(),"",COUNTIF($J$6:$J2085,TRUE()))</f>
        <v/>
      </c>
      <c r="L2085" s="5" t="str">
        <f aca="false">IF($K2085="","","R"&amp;$K2085)</f>
        <v/>
      </c>
    </row>
    <row r="2086" customFormat="false" ht="15" hidden="false" customHeight="true" outlineLevel="0" collapsed="false">
      <c r="J2086" s="14" t="b">
        <f aca="false">IF(중복검사!$A2084="",FALSE(),중복검사!$H2084="중복")</f>
        <v>0</v>
      </c>
      <c r="K2086" s="5" t="str">
        <f aca="false">IF($J2086=FALSE(),"",COUNTIF($J$6:$J2086,TRUE()))</f>
        <v/>
      </c>
      <c r="L2086" s="5" t="str">
        <f aca="false">IF($K2086="","","R"&amp;$K2086)</f>
        <v/>
      </c>
    </row>
    <row r="2087" customFormat="false" ht="15" hidden="false" customHeight="true" outlineLevel="0" collapsed="false">
      <c r="J2087" s="14" t="b">
        <f aca="false">IF(중복검사!$A2085="",FALSE(),중복검사!$H2085="중복")</f>
        <v>0</v>
      </c>
      <c r="K2087" s="5" t="str">
        <f aca="false">IF($J2087=FALSE(),"",COUNTIF($J$6:$J2087,TRUE()))</f>
        <v/>
      </c>
      <c r="L2087" s="5" t="str">
        <f aca="false">IF($K2087="","","R"&amp;$K2087)</f>
        <v/>
      </c>
    </row>
    <row r="2088" customFormat="false" ht="15" hidden="false" customHeight="true" outlineLevel="0" collapsed="false">
      <c r="J2088" s="14" t="b">
        <f aca="false">IF(중복검사!$A2086="",FALSE(),중복검사!$H2086="중복")</f>
        <v>0</v>
      </c>
      <c r="K2088" s="5" t="str">
        <f aca="false">IF($J2088=FALSE(),"",COUNTIF($J$6:$J2088,TRUE()))</f>
        <v/>
      </c>
      <c r="L2088" s="5" t="str">
        <f aca="false">IF($K2088="","","R"&amp;$K2088)</f>
        <v/>
      </c>
    </row>
    <row r="2089" customFormat="false" ht="15" hidden="false" customHeight="true" outlineLevel="0" collapsed="false">
      <c r="J2089" s="14" t="b">
        <f aca="false">IF(중복검사!$A2087="",FALSE(),중복검사!$H2087="중복")</f>
        <v>0</v>
      </c>
      <c r="K2089" s="5" t="str">
        <f aca="false">IF($J2089=FALSE(),"",COUNTIF($J$6:$J2089,TRUE()))</f>
        <v/>
      </c>
      <c r="L2089" s="5" t="str">
        <f aca="false">IF($K2089="","","R"&amp;$K2089)</f>
        <v/>
      </c>
    </row>
    <row r="2090" customFormat="false" ht="15" hidden="false" customHeight="true" outlineLevel="0" collapsed="false">
      <c r="J2090" s="14" t="b">
        <f aca="false">IF(중복검사!$A2088="",FALSE(),중복검사!$H2088="중복")</f>
        <v>0</v>
      </c>
      <c r="K2090" s="5" t="str">
        <f aca="false">IF($J2090=FALSE(),"",COUNTIF($J$6:$J2090,TRUE()))</f>
        <v/>
      </c>
      <c r="L2090" s="5" t="str">
        <f aca="false">IF($K2090="","","R"&amp;$K2090)</f>
        <v/>
      </c>
    </row>
    <row r="2091" customFormat="false" ht="15" hidden="false" customHeight="true" outlineLevel="0" collapsed="false">
      <c r="J2091" s="14" t="b">
        <f aca="false">IF(중복검사!$A2089="",FALSE(),중복검사!$H2089="중복")</f>
        <v>0</v>
      </c>
      <c r="K2091" s="5" t="str">
        <f aca="false">IF($J2091=FALSE(),"",COUNTIF($J$6:$J2091,TRUE()))</f>
        <v/>
      </c>
      <c r="L2091" s="5" t="str">
        <f aca="false">IF($K2091="","","R"&amp;$K2091)</f>
        <v/>
      </c>
    </row>
    <row r="2092" customFormat="false" ht="15" hidden="false" customHeight="true" outlineLevel="0" collapsed="false">
      <c r="J2092" s="14" t="b">
        <f aca="false">IF(중복검사!$A2090="",FALSE(),중복검사!$H2090="중복")</f>
        <v>0</v>
      </c>
      <c r="K2092" s="5" t="str">
        <f aca="false">IF($J2092=FALSE(),"",COUNTIF($J$6:$J2092,TRUE()))</f>
        <v/>
      </c>
      <c r="L2092" s="5" t="str">
        <f aca="false">IF($K2092="","","R"&amp;$K2092)</f>
        <v/>
      </c>
    </row>
    <row r="2093" customFormat="false" ht="15" hidden="false" customHeight="true" outlineLevel="0" collapsed="false">
      <c r="J2093" s="14" t="b">
        <f aca="false">IF(중복검사!$A2091="",FALSE(),중복검사!$H2091="중복")</f>
        <v>0</v>
      </c>
      <c r="K2093" s="5" t="str">
        <f aca="false">IF($J2093=FALSE(),"",COUNTIF($J$6:$J2093,TRUE()))</f>
        <v/>
      </c>
      <c r="L2093" s="5" t="str">
        <f aca="false">IF($K2093="","","R"&amp;$K2093)</f>
        <v/>
      </c>
    </row>
    <row r="2094" customFormat="false" ht="15" hidden="false" customHeight="true" outlineLevel="0" collapsed="false">
      <c r="J2094" s="14" t="b">
        <f aca="false">IF(중복검사!$A2092="",FALSE(),중복검사!$H2092="중복")</f>
        <v>0</v>
      </c>
      <c r="K2094" s="5" t="str">
        <f aca="false">IF($J2094=FALSE(),"",COUNTIF($J$6:$J2094,TRUE()))</f>
        <v/>
      </c>
      <c r="L2094" s="5" t="str">
        <f aca="false">IF($K2094="","","R"&amp;$K2094)</f>
        <v/>
      </c>
    </row>
    <row r="2095" customFormat="false" ht="15" hidden="false" customHeight="true" outlineLevel="0" collapsed="false">
      <c r="J2095" s="14" t="b">
        <f aca="false">IF(중복검사!$A2093="",FALSE(),중복검사!$H2093="중복")</f>
        <v>0</v>
      </c>
      <c r="K2095" s="5" t="str">
        <f aca="false">IF($J2095=FALSE(),"",COUNTIF($J$6:$J2095,TRUE()))</f>
        <v/>
      </c>
      <c r="L2095" s="5" t="str">
        <f aca="false">IF($K2095="","","R"&amp;$K2095)</f>
        <v/>
      </c>
    </row>
    <row r="2096" customFormat="false" ht="15" hidden="false" customHeight="true" outlineLevel="0" collapsed="false">
      <c r="J2096" s="14" t="b">
        <f aca="false">IF(중복검사!$A2094="",FALSE(),중복검사!$H2094="중복")</f>
        <v>0</v>
      </c>
      <c r="K2096" s="5" t="str">
        <f aca="false">IF($J2096=FALSE(),"",COUNTIF($J$6:$J2096,TRUE()))</f>
        <v/>
      </c>
      <c r="L2096" s="5" t="str">
        <f aca="false">IF($K2096="","","R"&amp;$K2096)</f>
        <v/>
      </c>
    </row>
    <row r="2097" customFormat="false" ht="15" hidden="false" customHeight="true" outlineLevel="0" collapsed="false">
      <c r="J2097" s="14" t="b">
        <f aca="false">IF(중복검사!$A2095="",FALSE(),중복검사!$H2095="중복")</f>
        <v>0</v>
      </c>
      <c r="K2097" s="5" t="str">
        <f aca="false">IF($J2097=FALSE(),"",COUNTIF($J$6:$J2097,TRUE()))</f>
        <v/>
      </c>
      <c r="L2097" s="5" t="str">
        <f aca="false">IF($K2097="","","R"&amp;$K2097)</f>
        <v/>
      </c>
    </row>
    <row r="2098" customFormat="false" ht="15" hidden="false" customHeight="true" outlineLevel="0" collapsed="false">
      <c r="J2098" s="14" t="b">
        <f aca="false">IF(중복검사!$A2096="",FALSE(),중복검사!$H2096="중복")</f>
        <v>0</v>
      </c>
      <c r="K2098" s="5" t="str">
        <f aca="false">IF($J2098=FALSE(),"",COUNTIF($J$6:$J2098,TRUE()))</f>
        <v/>
      </c>
      <c r="L2098" s="5" t="str">
        <f aca="false">IF($K2098="","","R"&amp;$K2098)</f>
        <v/>
      </c>
    </row>
    <row r="2099" customFormat="false" ht="15" hidden="false" customHeight="true" outlineLevel="0" collapsed="false">
      <c r="J2099" s="14" t="b">
        <f aca="false">IF(중복검사!$A2097="",FALSE(),중복검사!$H2097="중복")</f>
        <v>0</v>
      </c>
      <c r="K2099" s="5" t="str">
        <f aca="false">IF($J2099=FALSE(),"",COUNTIF($J$6:$J2099,TRUE()))</f>
        <v/>
      </c>
      <c r="L2099" s="5" t="str">
        <f aca="false">IF($K2099="","","R"&amp;$K2099)</f>
        <v/>
      </c>
    </row>
    <row r="2100" customFormat="false" ht="15" hidden="false" customHeight="true" outlineLevel="0" collapsed="false">
      <c r="J2100" s="14" t="b">
        <f aca="false">IF(중복검사!$A2098="",FALSE(),중복검사!$H2098="중복")</f>
        <v>0</v>
      </c>
      <c r="K2100" s="5" t="str">
        <f aca="false">IF($J2100=FALSE(),"",COUNTIF($J$6:$J2100,TRUE()))</f>
        <v/>
      </c>
      <c r="L2100" s="5" t="str">
        <f aca="false">IF($K2100="","","R"&amp;$K2100)</f>
        <v/>
      </c>
    </row>
    <row r="2101" customFormat="false" ht="15" hidden="false" customHeight="true" outlineLevel="0" collapsed="false">
      <c r="J2101" s="14" t="b">
        <f aca="false">IF(중복검사!$A2099="",FALSE(),중복검사!$H2099="중복")</f>
        <v>0</v>
      </c>
      <c r="K2101" s="5" t="str">
        <f aca="false">IF($J2101=FALSE(),"",COUNTIF($J$6:$J2101,TRUE()))</f>
        <v/>
      </c>
      <c r="L2101" s="5" t="str">
        <f aca="false">IF($K2101="","","R"&amp;$K2101)</f>
        <v/>
      </c>
    </row>
    <row r="2102" customFormat="false" ht="15" hidden="false" customHeight="true" outlineLevel="0" collapsed="false">
      <c r="J2102" s="14" t="b">
        <f aca="false">IF(중복검사!$A2100="",FALSE(),중복검사!$H2100="중복")</f>
        <v>0</v>
      </c>
      <c r="K2102" s="5" t="str">
        <f aca="false">IF($J2102=FALSE(),"",COUNTIF($J$6:$J2102,TRUE()))</f>
        <v/>
      </c>
      <c r="L2102" s="5" t="str">
        <f aca="false">IF($K2102="","","R"&amp;$K2102)</f>
        <v/>
      </c>
    </row>
    <row r="2103" customFormat="false" ht="15" hidden="false" customHeight="true" outlineLevel="0" collapsed="false">
      <c r="J2103" s="14" t="b">
        <f aca="false">IF(중복검사!$A2101="",FALSE(),중복검사!$H2101="중복")</f>
        <v>0</v>
      </c>
      <c r="K2103" s="5" t="str">
        <f aca="false">IF($J2103=FALSE(),"",COUNTIF($J$6:$J2103,TRUE()))</f>
        <v/>
      </c>
      <c r="L2103" s="5" t="str">
        <f aca="false">IF($K2103="","","R"&amp;$K2103)</f>
        <v/>
      </c>
    </row>
    <row r="2104" customFormat="false" ht="15" hidden="false" customHeight="true" outlineLevel="0" collapsed="false">
      <c r="J2104" s="14" t="b">
        <f aca="false">IF(중복검사!$A2102="",FALSE(),중복검사!$H2102="중복")</f>
        <v>0</v>
      </c>
      <c r="K2104" s="5" t="str">
        <f aca="false">IF($J2104=FALSE(),"",COUNTIF($J$6:$J2104,TRUE()))</f>
        <v/>
      </c>
      <c r="L2104" s="5" t="str">
        <f aca="false">IF($K2104="","","R"&amp;$K2104)</f>
        <v/>
      </c>
    </row>
    <row r="2105" customFormat="false" ht="15" hidden="false" customHeight="true" outlineLevel="0" collapsed="false">
      <c r="J2105" s="14" t="b">
        <f aca="false">IF(중복검사!$A2103="",FALSE(),중복검사!$H2103="중복")</f>
        <v>0</v>
      </c>
      <c r="K2105" s="5" t="str">
        <f aca="false">IF($J2105=FALSE(),"",COUNTIF($J$6:$J2105,TRUE()))</f>
        <v/>
      </c>
      <c r="L2105" s="5" t="str">
        <f aca="false">IF($K2105="","","R"&amp;$K2105)</f>
        <v/>
      </c>
    </row>
    <row r="2106" customFormat="false" ht="15" hidden="false" customHeight="true" outlineLevel="0" collapsed="false">
      <c r="J2106" s="14" t="b">
        <f aca="false">IF(중복검사!$A2104="",FALSE(),중복검사!$H2104="중복")</f>
        <v>0</v>
      </c>
      <c r="K2106" s="5" t="str">
        <f aca="false">IF($J2106=FALSE(),"",COUNTIF($J$6:$J2106,TRUE()))</f>
        <v/>
      </c>
      <c r="L2106" s="5" t="str">
        <f aca="false">IF($K2106="","","R"&amp;$K2106)</f>
        <v/>
      </c>
    </row>
    <row r="2107" customFormat="false" ht="15" hidden="false" customHeight="true" outlineLevel="0" collapsed="false">
      <c r="J2107" s="14" t="b">
        <f aca="false">IF(중복검사!$A2105="",FALSE(),중복검사!$H2105="중복")</f>
        <v>0</v>
      </c>
      <c r="K2107" s="5" t="str">
        <f aca="false">IF($J2107=FALSE(),"",COUNTIF($J$6:$J2107,TRUE()))</f>
        <v/>
      </c>
      <c r="L2107" s="5" t="str">
        <f aca="false">IF($K2107="","","R"&amp;$K2107)</f>
        <v/>
      </c>
    </row>
    <row r="2108" customFormat="false" ht="15" hidden="false" customHeight="true" outlineLevel="0" collapsed="false">
      <c r="J2108" s="14" t="b">
        <f aca="false">IF(중복검사!$A2106="",FALSE(),중복검사!$H2106="중복")</f>
        <v>0</v>
      </c>
      <c r="K2108" s="5" t="str">
        <f aca="false">IF($J2108=FALSE(),"",COUNTIF($J$6:$J2108,TRUE()))</f>
        <v/>
      </c>
      <c r="L2108" s="5" t="str">
        <f aca="false">IF($K2108="","","R"&amp;$K2108)</f>
        <v/>
      </c>
    </row>
    <row r="2109" customFormat="false" ht="15" hidden="false" customHeight="true" outlineLevel="0" collapsed="false">
      <c r="J2109" s="14" t="b">
        <f aca="false">IF(중복검사!$A2107="",FALSE(),중복검사!$H2107="중복")</f>
        <v>0</v>
      </c>
      <c r="K2109" s="5" t="str">
        <f aca="false">IF($J2109=FALSE(),"",COUNTIF($J$6:$J2109,TRUE()))</f>
        <v/>
      </c>
      <c r="L2109" s="5" t="str">
        <f aca="false">IF($K2109="","","R"&amp;$K2109)</f>
        <v/>
      </c>
    </row>
    <row r="2110" customFormat="false" ht="15" hidden="false" customHeight="true" outlineLevel="0" collapsed="false">
      <c r="J2110" s="14" t="b">
        <f aca="false">IF(중복검사!$A2108="",FALSE(),중복검사!$H2108="중복")</f>
        <v>0</v>
      </c>
      <c r="K2110" s="5" t="str">
        <f aca="false">IF($J2110=FALSE(),"",COUNTIF($J$6:$J2110,TRUE()))</f>
        <v/>
      </c>
      <c r="L2110" s="5" t="str">
        <f aca="false">IF($K2110="","","R"&amp;$K2110)</f>
        <v/>
      </c>
    </row>
    <row r="2111" customFormat="false" ht="15" hidden="false" customHeight="true" outlineLevel="0" collapsed="false">
      <c r="J2111" s="14" t="b">
        <f aca="false">IF(중복검사!$A2109="",FALSE(),중복검사!$H2109="중복")</f>
        <v>0</v>
      </c>
      <c r="K2111" s="5" t="str">
        <f aca="false">IF($J2111=FALSE(),"",COUNTIF($J$6:$J2111,TRUE()))</f>
        <v/>
      </c>
      <c r="L2111" s="5" t="str">
        <f aca="false">IF($K2111="","","R"&amp;$K2111)</f>
        <v/>
      </c>
    </row>
    <row r="2112" customFormat="false" ht="15" hidden="false" customHeight="true" outlineLevel="0" collapsed="false">
      <c r="J2112" s="14" t="b">
        <f aca="false">IF(중복검사!$A2110="",FALSE(),중복검사!$H2110="중복")</f>
        <v>0</v>
      </c>
      <c r="K2112" s="5" t="str">
        <f aca="false">IF($J2112=FALSE(),"",COUNTIF($J$6:$J2112,TRUE()))</f>
        <v/>
      </c>
      <c r="L2112" s="5" t="str">
        <f aca="false">IF($K2112="","","R"&amp;$K2112)</f>
        <v/>
      </c>
    </row>
    <row r="2113" customFormat="false" ht="15" hidden="false" customHeight="true" outlineLevel="0" collapsed="false">
      <c r="J2113" s="14" t="b">
        <f aca="false">IF(중복검사!$A2111="",FALSE(),중복검사!$H2111="중복")</f>
        <v>0</v>
      </c>
      <c r="K2113" s="5" t="str">
        <f aca="false">IF($J2113=FALSE(),"",COUNTIF($J$6:$J2113,TRUE()))</f>
        <v/>
      </c>
      <c r="L2113" s="5" t="str">
        <f aca="false">IF($K2113="","","R"&amp;$K2113)</f>
        <v/>
      </c>
    </row>
    <row r="2114" customFormat="false" ht="15" hidden="false" customHeight="true" outlineLevel="0" collapsed="false">
      <c r="J2114" s="14" t="b">
        <f aca="false">IF(중복검사!$A2112="",FALSE(),중복검사!$H2112="중복")</f>
        <v>0</v>
      </c>
      <c r="K2114" s="5" t="str">
        <f aca="false">IF($J2114=FALSE(),"",COUNTIF($J$6:$J2114,TRUE()))</f>
        <v/>
      </c>
      <c r="L2114" s="5" t="str">
        <f aca="false">IF($K2114="","","R"&amp;$K2114)</f>
        <v/>
      </c>
    </row>
    <row r="2115" customFormat="false" ht="15" hidden="false" customHeight="true" outlineLevel="0" collapsed="false">
      <c r="J2115" s="14" t="b">
        <f aca="false">IF(중복검사!$A2113="",FALSE(),중복검사!$H2113="중복")</f>
        <v>0</v>
      </c>
      <c r="K2115" s="5" t="str">
        <f aca="false">IF($J2115=FALSE(),"",COUNTIF($J$6:$J2115,TRUE()))</f>
        <v/>
      </c>
      <c r="L2115" s="5" t="str">
        <f aca="false">IF($K2115="","","R"&amp;$K2115)</f>
        <v/>
      </c>
    </row>
    <row r="2116" customFormat="false" ht="15" hidden="false" customHeight="true" outlineLevel="0" collapsed="false">
      <c r="J2116" s="14" t="b">
        <f aca="false">IF(중복검사!$A2114="",FALSE(),중복검사!$H2114="중복")</f>
        <v>0</v>
      </c>
      <c r="K2116" s="5" t="str">
        <f aca="false">IF($J2116=FALSE(),"",COUNTIF($J$6:$J2116,TRUE()))</f>
        <v/>
      </c>
      <c r="L2116" s="5" t="str">
        <f aca="false">IF($K2116="","","R"&amp;$K2116)</f>
        <v/>
      </c>
    </row>
    <row r="2117" customFormat="false" ht="15" hidden="false" customHeight="true" outlineLevel="0" collapsed="false">
      <c r="J2117" s="14" t="b">
        <f aca="false">IF(중복검사!$A2115="",FALSE(),중복검사!$H2115="중복")</f>
        <v>0</v>
      </c>
      <c r="K2117" s="5" t="str">
        <f aca="false">IF($J2117=FALSE(),"",COUNTIF($J$6:$J2117,TRUE()))</f>
        <v/>
      </c>
      <c r="L2117" s="5" t="str">
        <f aca="false">IF($K2117="","","R"&amp;$K2117)</f>
        <v/>
      </c>
    </row>
    <row r="2118" customFormat="false" ht="15" hidden="false" customHeight="true" outlineLevel="0" collapsed="false">
      <c r="J2118" s="14" t="b">
        <f aca="false">IF(중복검사!$A2116="",FALSE(),중복검사!$H2116="중복")</f>
        <v>0</v>
      </c>
      <c r="K2118" s="5" t="str">
        <f aca="false">IF($J2118=FALSE(),"",COUNTIF($J$6:$J2118,TRUE()))</f>
        <v/>
      </c>
      <c r="L2118" s="5" t="str">
        <f aca="false">IF($K2118="","","R"&amp;$K2118)</f>
        <v/>
      </c>
    </row>
    <row r="2119" customFormat="false" ht="15" hidden="false" customHeight="true" outlineLevel="0" collapsed="false">
      <c r="J2119" s="14" t="b">
        <f aca="false">IF(중복검사!$A2117="",FALSE(),중복검사!$H2117="중복")</f>
        <v>0</v>
      </c>
      <c r="K2119" s="5" t="str">
        <f aca="false">IF($J2119=FALSE(),"",COUNTIF($J$6:$J2119,TRUE()))</f>
        <v/>
      </c>
      <c r="L2119" s="5" t="str">
        <f aca="false">IF($K2119="","","R"&amp;$K2119)</f>
        <v/>
      </c>
    </row>
    <row r="2120" customFormat="false" ht="15" hidden="false" customHeight="true" outlineLevel="0" collapsed="false">
      <c r="J2120" s="14" t="b">
        <f aca="false">IF(중복검사!$A2118="",FALSE(),중복검사!$H2118="중복")</f>
        <v>0</v>
      </c>
      <c r="K2120" s="5" t="str">
        <f aca="false">IF($J2120=FALSE(),"",COUNTIF($J$6:$J2120,TRUE()))</f>
        <v/>
      </c>
      <c r="L2120" s="5" t="str">
        <f aca="false">IF($K2120="","","R"&amp;$K2120)</f>
        <v/>
      </c>
    </row>
    <row r="2121" customFormat="false" ht="15" hidden="false" customHeight="true" outlineLevel="0" collapsed="false">
      <c r="J2121" s="14" t="b">
        <f aca="false">IF(중복검사!$A2119="",FALSE(),중복검사!$H2119="중복")</f>
        <v>0</v>
      </c>
      <c r="K2121" s="5" t="str">
        <f aca="false">IF($J2121=FALSE(),"",COUNTIF($J$6:$J2121,TRUE()))</f>
        <v/>
      </c>
      <c r="L2121" s="5" t="str">
        <f aca="false">IF($K2121="","","R"&amp;$K2121)</f>
        <v/>
      </c>
    </row>
    <row r="2122" customFormat="false" ht="15" hidden="false" customHeight="true" outlineLevel="0" collapsed="false">
      <c r="J2122" s="14" t="b">
        <f aca="false">IF(중복검사!$A2120="",FALSE(),중복검사!$H2120="중복")</f>
        <v>0</v>
      </c>
      <c r="K2122" s="5" t="str">
        <f aca="false">IF($J2122=FALSE(),"",COUNTIF($J$6:$J2122,TRUE()))</f>
        <v/>
      </c>
      <c r="L2122" s="5" t="str">
        <f aca="false">IF($K2122="","","R"&amp;$K2122)</f>
        <v/>
      </c>
    </row>
    <row r="2123" customFormat="false" ht="15" hidden="false" customHeight="true" outlineLevel="0" collapsed="false">
      <c r="J2123" s="14" t="b">
        <f aca="false">IF(중복검사!$A2121="",FALSE(),중복검사!$H2121="중복")</f>
        <v>0</v>
      </c>
      <c r="K2123" s="5" t="str">
        <f aca="false">IF($J2123=FALSE(),"",COUNTIF($J$6:$J2123,TRUE()))</f>
        <v/>
      </c>
      <c r="L2123" s="5" t="str">
        <f aca="false">IF($K2123="","","R"&amp;$K2123)</f>
        <v/>
      </c>
    </row>
    <row r="2124" customFormat="false" ht="15" hidden="false" customHeight="true" outlineLevel="0" collapsed="false">
      <c r="J2124" s="14" t="b">
        <f aca="false">IF(중복검사!$A2122="",FALSE(),중복검사!$H2122="중복")</f>
        <v>0</v>
      </c>
      <c r="K2124" s="5" t="str">
        <f aca="false">IF($J2124=FALSE(),"",COUNTIF($J$6:$J2124,TRUE()))</f>
        <v/>
      </c>
      <c r="L2124" s="5" t="str">
        <f aca="false">IF($K2124="","","R"&amp;$K2124)</f>
        <v/>
      </c>
    </row>
    <row r="2125" customFormat="false" ht="15" hidden="false" customHeight="true" outlineLevel="0" collapsed="false">
      <c r="J2125" s="14" t="b">
        <f aca="false">IF(중복검사!$A2123="",FALSE(),중복검사!$H2123="중복")</f>
        <v>0</v>
      </c>
      <c r="K2125" s="5" t="str">
        <f aca="false">IF($J2125=FALSE(),"",COUNTIF($J$6:$J2125,TRUE()))</f>
        <v/>
      </c>
      <c r="L2125" s="5" t="str">
        <f aca="false">IF($K2125="","","R"&amp;$K2125)</f>
        <v/>
      </c>
    </row>
    <row r="2126" customFormat="false" ht="15" hidden="false" customHeight="true" outlineLevel="0" collapsed="false">
      <c r="J2126" s="14" t="b">
        <f aca="false">IF(중복검사!$A2124="",FALSE(),중복검사!$H2124="중복")</f>
        <v>0</v>
      </c>
      <c r="K2126" s="5" t="str">
        <f aca="false">IF($J2126=FALSE(),"",COUNTIF($J$6:$J2126,TRUE()))</f>
        <v/>
      </c>
      <c r="L2126" s="5" t="str">
        <f aca="false">IF($K2126="","","R"&amp;$K2126)</f>
        <v/>
      </c>
    </row>
    <row r="2127" customFormat="false" ht="15" hidden="false" customHeight="true" outlineLevel="0" collapsed="false">
      <c r="J2127" s="14" t="b">
        <f aca="false">IF(중복검사!$A2125="",FALSE(),중복검사!$H2125="중복")</f>
        <v>0</v>
      </c>
      <c r="K2127" s="5" t="str">
        <f aca="false">IF($J2127=FALSE(),"",COUNTIF($J$6:$J2127,TRUE()))</f>
        <v/>
      </c>
      <c r="L2127" s="5" t="str">
        <f aca="false">IF($K2127="","","R"&amp;$K2127)</f>
        <v/>
      </c>
    </row>
    <row r="2128" customFormat="false" ht="15" hidden="false" customHeight="true" outlineLevel="0" collapsed="false">
      <c r="J2128" s="14" t="b">
        <f aca="false">IF(중복검사!$A2126="",FALSE(),중복검사!$H2126="중복")</f>
        <v>0</v>
      </c>
      <c r="K2128" s="5" t="str">
        <f aca="false">IF($J2128=FALSE(),"",COUNTIF($J$6:$J2128,TRUE()))</f>
        <v/>
      </c>
      <c r="L2128" s="5" t="str">
        <f aca="false">IF($K2128="","","R"&amp;$K2128)</f>
        <v/>
      </c>
    </row>
    <row r="2129" customFormat="false" ht="15" hidden="false" customHeight="true" outlineLevel="0" collapsed="false">
      <c r="J2129" s="14" t="b">
        <f aca="false">IF(중복검사!$A2127="",FALSE(),중복검사!$H2127="중복")</f>
        <v>0</v>
      </c>
      <c r="K2129" s="5" t="str">
        <f aca="false">IF($J2129=FALSE(),"",COUNTIF($J$6:$J2129,TRUE()))</f>
        <v/>
      </c>
      <c r="L2129" s="5" t="str">
        <f aca="false">IF($K2129="","","R"&amp;$K2129)</f>
        <v/>
      </c>
    </row>
    <row r="2130" customFormat="false" ht="15" hidden="false" customHeight="true" outlineLevel="0" collapsed="false">
      <c r="J2130" s="14" t="b">
        <f aca="false">IF(중복검사!$A2128="",FALSE(),중복검사!$H2128="중복")</f>
        <v>0</v>
      </c>
      <c r="K2130" s="5" t="str">
        <f aca="false">IF($J2130=FALSE(),"",COUNTIF($J$6:$J2130,TRUE()))</f>
        <v/>
      </c>
      <c r="L2130" s="5" t="str">
        <f aca="false">IF($K2130="","","R"&amp;$K2130)</f>
        <v/>
      </c>
    </row>
    <row r="2131" customFormat="false" ht="15" hidden="false" customHeight="true" outlineLevel="0" collapsed="false">
      <c r="J2131" s="14" t="b">
        <f aca="false">IF(중복검사!$A2129="",FALSE(),중복검사!$H2129="중복")</f>
        <v>0</v>
      </c>
      <c r="K2131" s="5" t="str">
        <f aca="false">IF($J2131=FALSE(),"",COUNTIF($J$6:$J2131,TRUE()))</f>
        <v/>
      </c>
      <c r="L2131" s="5" t="str">
        <f aca="false">IF($K2131="","","R"&amp;$K2131)</f>
        <v/>
      </c>
    </row>
    <row r="2132" customFormat="false" ht="15" hidden="false" customHeight="true" outlineLevel="0" collapsed="false">
      <c r="J2132" s="14" t="b">
        <f aca="false">IF(중복검사!$A2130="",FALSE(),중복검사!$H2130="중복")</f>
        <v>0</v>
      </c>
      <c r="K2132" s="5" t="str">
        <f aca="false">IF($J2132=FALSE(),"",COUNTIF($J$6:$J2132,TRUE()))</f>
        <v/>
      </c>
      <c r="L2132" s="5" t="str">
        <f aca="false">IF($K2132="","","R"&amp;$K2132)</f>
        <v/>
      </c>
    </row>
    <row r="2133" customFormat="false" ht="15" hidden="false" customHeight="true" outlineLevel="0" collapsed="false">
      <c r="J2133" s="14" t="b">
        <f aca="false">IF(중복검사!$A2131="",FALSE(),중복검사!$H2131="중복")</f>
        <v>0</v>
      </c>
      <c r="K2133" s="5" t="str">
        <f aca="false">IF($J2133=FALSE(),"",COUNTIF($J$6:$J2133,TRUE()))</f>
        <v/>
      </c>
      <c r="L2133" s="5" t="str">
        <f aca="false">IF($K2133="","","R"&amp;$K2133)</f>
        <v/>
      </c>
    </row>
    <row r="2134" customFormat="false" ht="15" hidden="false" customHeight="true" outlineLevel="0" collapsed="false">
      <c r="J2134" s="14" t="b">
        <f aca="false">IF(중복검사!$A2132="",FALSE(),중복검사!$H2132="중복")</f>
        <v>0</v>
      </c>
      <c r="K2134" s="5" t="str">
        <f aca="false">IF($J2134=FALSE(),"",COUNTIF($J$6:$J2134,TRUE()))</f>
        <v/>
      </c>
      <c r="L2134" s="5" t="str">
        <f aca="false">IF($K2134="","","R"&amp;$K2134)</f>
        <v/>
      </c>
    </row>
    <row r="2135" customFormat="false" ht="15" hidden="false" customHeight="true" outlineLevel="0" collapsed="false">
      <c r="J2135" s="14" t="b">
        <f aca="false">IF(중복검사!$A2133="",FALSE(),중복검사!$H2133="중복")</f>
        <v>0</v>
      </c>
      <c r="K2135" s="5" t="str">
        <f aca="false">IF($J2135=FALSE(),"",COUNTIF($J$6:$J2135,TRUE()))</f>
        <v/>
      </c>
      <c r="L2135" s="5" t="str">
        <f aca="false">IF($K2135="","","R"&amp;$K2135)</f>
        <v/>
      </c>
    </row>
    <row r="2136" customFormat="false" ht="15" hidden="false" customHeight="true" outlineLevel="0" collapsed="false">
      <c r="J2136" s="14" t="b">
        <f aca="false">IF(중복검사!$A2134="",FALSE(),중복검사!$H2134="중복")</f>
        <v>0</v>
      </c>
      <c r="K2136" s="5" t="str">
        <f aca="false">IF($J2136=FALSE(),"",COUNTIF($J$6:$J2136,TRUE()))</f>
        <v/>
      </c>
      <c r="L2136" s="5" t="str">
        <f aca="false">IF($K2136="","","R"&amp;$K2136)</f>
        <v/>
      </c>
    </row>
    <row r="2137" customFormat="false" ht="15" hidden="false" customHeight="true" outlineLevel="0" collapsed="false">
      <c r="J2137" s="14" t="b">
        <f aca="false">IF(중복검사!$A2135="",FALSE(),중복검사!$H2135="중복")</f>
        <v>0</v>
      </c>
      <c r="K2137" s="5" t="str">
        <f aca="false">IF($J2137=FALSE(),"",COUNTIF($J$6:$J2137,TRUE()))</f>
        <v/>
      </c>
      <c r="L2137" s="5" t="str">
        <f aca="false">IF($K2137="","","R"&amp;$K2137)</f>
        <v/>
      </c>
    </row>
    <row r="2138" customFormat="false" ht="15" hidden="false" customHeight="true" outlineLevel="0" collapsed="false">
      <c r="J2138" s="14" t="b">
        <f aca="false">IF(중복검사!$A2136="",FALSE(),중복검사!$H2136="중복")</f>
        <v>0</v>
      </c>
      <c r="K2138" s="5" t="str">
        <f aca="false">IF($J2138=FALSE(),"",COUNTIF($J$6:$J2138,TRUE()))</f>
        <v/>
      </c>
      <c r="L2138" s="5" t="str">
        <f aca="false">IF($K2138="","","R"&amp;$K2138)</f>
        <v/>
      </c>
    </row>
    <row r="2139" customFormat="false" ht="15" hidden="false" customHeight="true" outlineLevel="0" collapsed="false">
      <c r="J2139" s="14" t="b">
        <f aca="false">IF(중복검사!$A2137="",FALSE(),중복검사!$H2137="중복")</f>
        <v>0</v>
      </c>
      <c r="K2139" s="5" t="str">
        <f aca="false">IF($J2139=FALSE(),"",COUNTIF($J$6:$J2139,TRUE()))</f>
        <v/>
      </c>
      <c r="L2139" s="5" t="str">
        <f aca="false">IF($K2139="","","R"&amp;$K2139)</f>
        <v/>
      </c>
    </row>
    <row r="2140" customFormat="false" ht="15" hidden="false" customHeight="true" outlineLevel="0" collapsed="false">
      <c r="J2140" s="14" t="b">
        <f aca="false">IF(중복검사!$A2138="",FALSE(),중복검사!$H2138="중복")</f>
        <v>0</v>
      </c>
      <c r="K2140" s="5" t="str">
        <f aca="false">IF($J2140=FALSE(),"",COUNTIF($J$6:$J2140,TRUE()))</f>
        <v/>
      </c>
      <c r="L2140" s="5" t="str">
        <f aca="false">IF($K2140="","","R"&amp;$K2140)</f>
        <v/>
      </c>
    </row>
    <row r="2141" customFormat="false" ht="15" hidden="false" customHeight="true" outlineLevel="0" collapsed="false">
      <c r="J2141" s="14" t="b">
        <f aca="false">IF(중복검사!$A2139="",FALSE(),중복검사!$H2139="중복")</f>
        <v>0</v>
      </c>
      <c r="K2141" s="5" t="str">
        <f aca="false">IF($J2141=FALSE(),"",COUNTIF($J$6:$J2141,TRUE()))</f>
        <v/>
      </c>
      <c r="L2141" s="5" t="str">
        <f aca="false">IF($K2141="","","R"&amp;$K2141)</f>
        <v/>
      </c>
    </row>
    <row r="2142" customFormat="false" ht="15" hidden="false" customHeight="true" outlineLevel="0" collapsed="false">
      <c r="J2142" s="14" t="b">
        <f aca="false">IF(중복검사!$A2140="",FALSE(),중복검사!$H2140="중복")</f>
        <v>0</v>
      </c>
      <c r="K2142" s="5" t="str">
        <f aca="false">IF($J2142=FALSE(),"",COUNTIF($J$6:$J2142,TRUE()))</f>
        <v/>
      </c>
      <c r="L2142" s="5" t="str">
        <f aca="false">IF($K2142="","","R"&amp;$K2142)</f>
        <v/>
      </c>
    </row>
    <row r="2143" customFormat="false" ht="15" hidden="false" customHeight="true" outlineLevel="0" collapsed="false">
      <c r="J2143" s="14" t="b">
        <f aca="false">IF(중복검사!$A2141="",FALSE(),중복검사!$H2141="중복")</f>
        <v>0</v>
      </c>
      <c r="K2143" s="5" t="str">
        <f aca="false">IF($J2143=FALSE(),"",COUNTIF($J$6:$J2143,TRUE()))</f>
        <v/>
      </c>
      <c r="L2143" s="5" t="str">
        <f aca="false">IF($K2143="","","R"&amp;$K2143)</f>
        <v/>
      </c>
    </row>
    <row r="2144" customFormat="false" ht="15" hidden="false" customHeight="true" outlineLevel="0" collapsed="false">
      <c r="J2144" s="14" t="b">
        <f aca="false">IF(중복검사!$A2142="",FALSE(),중복검사!$H2142="중복")</f>
        <v>0</v>
      </c>
      <c r="K2144" s="5" t="str">
        <f aca="false">IF($J2144=FALSE(),"",COUNTIF($J$6:$J2144,TRUE()))</f>
        <v/>
      </c>
      <c r="L2144" s="5" t="str">
        <f aca="false">IF($K2144="","","R"&amp;$K2144)</f>
        <v/>
      </c>
    </row>
    <row r="2145" customFormat="false" ht="15" hidden="false" customHeight="true" outlineLevel="0" collapsed="false">
      <c r="J2145" s="14" t="b">
        <f aca="false">IF(중복검사!$A2143="",FALSE(),중복검사!$H2143="중복")</f>
        <v>0</v>
      </c>
      <c r="K2145" s="5" t="str">
        <f aca="false">IF($J2145=FALSE(),"",COUNTIF($J$6:$J2145,TRUE()))</f>
        <v/>
      </c>
      <c r="L2145" s="5" t="str">
        <f aca="false">IF($K2145="","","R"&amp;$K2145)</f>
        <v/>
      </c>
    </row>
    <row r="2146" customFormat="false" ht="15" hidden="false" customHeight="true" outlineLevel="0" collapsed="false">
      <c r="J2146" s="14" t="b">
        <f aca="false">IF(중복검사!$A2144="",FALSE(),중복검사!$H2144="중복")</f>
        <v>0</v>
      </c>
      <c r="K2146" s="5" t="str">
        <f aca="false">IF($J2146=FALSE(),"",COUNTIF($J$6:$J2146,TRUE()))</f>
        <v/>
      </c>
      <c r="L2146" s="5" t="str">
        <f aca="false">IF($K2146="","","R"&amp;$K2146)</f>
        <v/>
      </c>
    </row>
    <row r="2147" customFormat="false" ht="15" hidden="false" customHeight="true" outlineLevel="0" collapsed="false">
      <c r="J2147" s="14" t="b">
        <f aca="false">IF(중복검사!$A2145="",FALSE(),중복검사!$H2145="중복")</f>
        <v>0</v>
      </c>
      <c r="K2147" s="5" t="str">
        <f aca="false">IF($J2147=FALSE(),"",COUNTIF($J$6:$J2147,TRUE()))</f>
        <v/>
      </c>
      <c r="L2147" s="5" t="str">
        <f aca="false">IF($K2147="","","R"&amp;$K2147)</f>
        <v/>
      </c>
    </row>
    <row r="2148" customFormat="false" ht="15" hidden="false" customHeight="true" outlineLevel="0" collapsed="false">
      <c r="J2148" s="14" t="b">
        <f aca="false">IF(중복검사!$A2146="",FALSE(),중복검사!$H2146="중복")</f>
        <v>0</v>
      </c>
      <c r="K2148" s="5" t="str">
        <f aca="false">IF($J2148=FALSE(),"",COUNTIF($J$6:$J2148,TRUE()))</f>
        <v/>
      </c>
      <c r="L2148" s="5" t="str">
        <f aca="false">IF($K2148="","","R"&amp;$K2148)</f>
        <v/>
      </c>
    </row>
    <row r="2149" customFormat="false" ht="15" hidden="false" customHeight="true" outlineLevel="0" collapsed="false">
      <c r="J2149" s="14" t="b">
        <f aca="false">IF(중복검사!$A2147="",FALSE(),중복검사!$H2147="중복")</f>
        <v>0</v>
      </c>
      <c r="K2149" s="5" t="str">
        <f aca="false">IF($J2149=FALSE(),"",COUNTIF($J$6:$J2149,TRUE()))</f>
        <v/>
      </c>
      <c r="L2149" s="5" t="str">
        <f aca="false">IF($K2149="","","R"&amp;$K2149)</f>
        <v/>
      </c>
    </row>
    <row r="2150" customFormat="false" ht="15" hidden="false" customHeight="true" outlineLevel="0" collapsed="false">
      <c r="J2150" s="14" t="b">
        <f aca="false">IF(중복검사!$A2148="",FALSE(),중복검사!$H2148="중복")</f>
        <v>0</v>
      </c>
      <c r="K2150" s="5" t="str">
        <f aca="false">IF($J2150=FALSE(),"",COUNTIF($J$6:$J2150,TRUE()))</f>
        <v/>
      </c>
      <c r="L2150" s="5" t="str">
        <f aca="false">IF($K2150="","","R"&amp;$K2150)</f>
        <v/>
      </c>
    </row>
    <row r="2151" customFormat="false" ht="15" hidden="false" customHeight="true" outlineLevel="0" collapsed="false">
      <c r="J2151" s="14" t="b">
        <f aca="false">IF(중복검사!$A2149="",FALSE(),중복검사!$H2149="중복")</f>
        <v>0</v>
      </c>
      <c r="K2151" s="5" t="str">
        <f aca="false">IF($J2151=FALSE(),"",COUNTIF($J$6:$J2151,TRUE()))</f>
        <v/>
      </c>
      <c r="L2151" s="5" t="str">
        <f aca="false">IF($K2151="","","R"&amp;$K2151)</f>
        <v/>
      </c>
    </row>
    <row r="2152" customFormat="false" ht="15" hidden="false" customHeight="true" outlineLevel="0" collapsed="false">
      <c r="J2152" s="14" t="b">
        <f aca="false">IF(중복검사!$A2150="",FALSE(),중복검사!$H2150="중복")</f>
        <v>0</v>
      </c>
      <c r="K2152" s="5" t="str">
        <f aca="false">IF($J2152=FALSE(),"",COUNTIF($J$6:$J2152,TRUE()))</f>
        <v/>
      </c>
      <c r="L2152" s="5" t="str">
        <f aca="false">IF($K2152="","","R"&amp;$K2152)</f>
        <v/>
      </c>
    </row>
    <row r="2153" customFormat="false" ht="15" hidden="false" customHeight="true" outlineLevel="0" collapsed="false">
      <c r="J2153" s="14" t="b">
        <f aca="false">IF(중복검사!$A2151="",FALSE(),중복검사!$H2151="중복")</f>
        <v>0</v>
      </c>
      <c r="K2153" s="5" t="str">
        <f aca="false">IF($J2153=FALSE(),"",COUNTIF($J$6:$J2153,TRUE()))</f>
        <v/>
      </c>
      <c r="L2153" s="5" t="str">
        <f aca="false">IF($K2153="","","R"&amp;$K2153)</f>
        <v/>
      </c>
    </row>
    <row r="2154" customFormat="false" ht="15" hidden="false" customHeight="true" outlineLevel="0" collapsed="false">
      <c r="J2154" s="14" t="b">
        <f aca="false">IF(중복검사!$A2152="",FALSE(),중복검사!$H2152="중복")</f>
        <v>0</v>
      </c>
      <c r="K2154" s="5" t="str">
        <f aca="false">IF($J2154=FALSE(),"",COUNTIF($J$6:$J2154,TRUE()))</f>
        <v/>
      </c>
      <c r="L2154" s="5" t="str">
        <f aca="false">IF($K2154="","","R"&amp;$K2154)</f>
        <v/>
      </c>
    </row>
    <row r="2155" customFormat="false" ht="15" hidden="false" customHeight="true" outlineLevel="0" collapsed="false">
      <c r="J2155" s="14" t="b">
        <f aca="false">IF(중복검사!$A2153="",FALSE(),중복검사!$H2153="중복")</f>
        <v>0</v>
      </c>
      <c r="K2155" s="5" t="str">
        <f aca="false">IF($J2155=FALSE(),"",COUNTIF($J$6:$J2155,TRUE()))</f>
        <v/>
      </c>
      <c r="L2155" s="5" t="str">
        <f aca="false">IF($K2155="","","R"&amp;$K2155)</f>
        <v/>
      </c>
    </row>
    <row r="2156" customFormat="false" ht="15" hidden="false" customHeight="true" outlineLevel="0" collapsed="false">
      <c r="J2156" s="14" t="b">
        <f aca="false">IF(중복검사!$A2154="",FALSE(),중복검사!$H2154="중복")</f>
        <v>0</v>
      </c>
      <c r="K2156" s="5" t="str">
        <f aca="false">IF($J2156=FALSE(),"",COUNTIF($J$6:$J2156,TRUE()))</f>
        <v/>
      </c>
      <c r="L2156" s="5" t="str">
        <f aca="false">IF($K2156="","","R"&amp;$K2156)</f>
        <v/>
      </c>
    </row>
    <row r="2157" customFormat="false" ht="15" hidden="false" customHeight="true" outlineLevel="0" collapsed="false">
      <c r="J2157" s="14" t="b">
        <f aca="false">IF(중복검사!$A2155="",FALSE(),중복검사!$H2155="중복")</f>
        <v>0</v>
      </c>
      <c r="K2157" s="5" t="str">
        <f aca="false">IF($J2157=FALSE(),"",COUNTIF($J$6:$J2157,TRUE()))</f>
        <v/>
      </c>
      <c r="L2157" s="5" t="str">
        <f aca="false">IF($K2157="","","R"&amp;$K2157)</f>
        <v/>
      </c>
    </row>
    <row r="2158" customFormat="false" ht="15" hidden="false" customHeight="true" outlineLevel="0" collapsed="false">
      <c r="J2158" s="14" t="b">
        <f aca="false">IF(중복검사!$A2156="",FALSE(),중복검사!$H2156="중복")</f>
        <v>0</v>
      </c>
      <c r="K2158" s="5" t="str">
        <f aca="false">IF($J2158=FALSE(),"",COUNTIF($J$6:$J2158,TRUE()))</f>
        <v/>
      </c>
      <c r="L2158" s="5" t="str">
        <f aca="false">IF($K2158="","","R"&amp;$K2158)</f>
        <v/>
      </c>
    </row>
    <row r="2159" customFormat="false" ht="15" hidden="false" customHeight="true" outlineLevel="0" collapsed="false">
      <c r="J2159" s="14" t="b">
        <f aca="false">IF(중복검사!$A2157="",FALSE(),중복검사!$H2157="중복")</f>
        <v>0</v>
      </c>
      <c r="K2159" s="5" t="str">
        <f aca="false">IF($J2159=FALSE(),"",COUNTIF($J$6:$J2159,TRUE()))</f>
        <v/>
      </c>
      <c r="L2159" s="5" t="str">
        <f aca="false">IF($K2159="","","R"&amp;$K2159)</f>
        <v/>
      </c>
    </row>
    <row r="2160" customFormat="false" ht="15" hidden="false" customHeight="true" outlineLevel="0" collapsed="false">
      <c r="J2160" s="14" t="b">
        <f aca="false">IF(중복검사!$A2158="",FALSE(),중복검사!$H2158="중복")</f>
        <v>0</v>
      </c>
      <c r="K2160" s="5" t="str">
        <f aca="false">IF($J2160=FALSE(),"",COUNTIF($J$6:$J2160,TRUE()))</f>
        <v/>
      </c>
      <c r="L2160" s="5" t="str">
        <f aca="false">IF($K2160="","","R"&amp;$K2160)</f>
        <v/>
      </c>
    </row>
    <row r="2161" customFormat="false" ht="15" hidden="false" customHeight="true" outlineLevel="0" collapsed="false">
      <c r="J2161" s="14" t="b">
        <f aca="false">IF(중복검사!$A2159="",FALSE(),중복검사!$H2159="중복")</f>
        <v>0</v>
      </c>
      <c r="K2161" s="5" t="str">
        <f aca="false">IF($J2161=FALSE(),"",COUNTIF($J$6:$J2161,TRUE()))</f>
        <v/>
      </c>
      <c r="L2161" s="5" t="str">
        <f aca="false">IF($K2161="","","R"&amp;$K2161)</f>
        <v/>
      </c>
    </row>
    <row r="2162" customFormat="false" ht="15" hidden="false" customHeight="true" outlineLevel="0" collapsed="false">
      <c r="J2162" s="14" t="b">
        <f aca="false">IF(중복검사!$A2160="",FALSE(),중복검사!$H2160="중복")</f>
        <v>0</v>
      </c>
      <c r="K2162" s="5" t="str">
        <f aca="false">IF($J2162=FALSE(),"",COUNTIF($J$6:$J2162,TRUE()))</f>
        <v/>
      </c>
      <c r="L2162" s="5" t="str">
        <f aca="false">IF($K2162="","","R"&amp;$K2162)</f>
        <v/>
      </c>
    </row>
    <row r="2163" customFormat="false" ht="15" hidden="false" customHeight="true" outlineLevel="0" collapsed="false">
      <c r="J2163" s="14" t="b">
        <f aca="false">IF(중복검사!$A2161="",FALSE(),중복검사!$H2161="중복")</f>
        <v>0</v>
      </c>
      <c r="K2163" s="5" t="str">
        <f aca="false">IF($J2163=FALSE(),"",COUNTIF($J$6:$J2163,TRUE()))</f>
        <v/>
      </c>
      <c r="L2163" s="5" t="str">
        <f aca="false">IF($K2163="","","R"&amp;$K2163)</f>
        <v/>
      </c>
    </row>
    <row r="2164" customFormat="false" ht="15" hidden="false" customHeight="true" outlineLevel="0" collapsed="false">
      <c r="J2164" s="14" t="b">
        <f aca="false">IF(중복검사!$A2162="",FALSE(),중복검사!$H2162="중복")</f>
        <v>0</v>
      </c>
      <c r="K2164" s="5" t="str">
        <f aca="false">IF($J2164=FALSE(),"",COUNTIF($J$6:$J2164,TRUE()))</f>
        <v/>
      </c>
      <c r="L2164" s="5" t="str">
        <f aca="false">IF($K2164="","","R"&amp;$K2164)</f>
        <v/>
      </c>
    </row>
    <row r="2165" customFormat="false" ht="15" hidden="false" customHeight="true" outlineLevel="0" collapsed="false">
      <c r="J2165" s="14" t="b">
        <f aca="false">IF(중복검사!$A2163="",FALSE(),중복검사!$H2163="중복")</f>
        <v>0</v>
      </c>
      <c r="K2165" s="5" t="str">
        <f aca="false">IF($J2165=FALSE(),"",COUNTIF($J$6:$J2165,TRUE()))</f>
        <v/>
      </c>
      <c r="L2165" s="5" t="str">
        <f aca="false">IF($K2165="","","R"&amp;$K2165)</f>
        <v/>
      </c>
    </row>
    <row r="2166" customFormat="false" ht="15" hidden="false" customHeight="true" outlineLevel="0" collapsed="false">
      <c r="J2166" s="14" t="b">
        <f aca="false">IF(중복검사!$A2164="",FALSE(),중복검사!$H2164="중복")</f>
        <v>0</v>
      </c>
      <c r="K2166" s="5" t="str">
        <f aca="false">IF($J2166=FALSE(),"",COUNTIF($J$6:$J2166,TRUE()))</f>
        <v/>
      </c>
      <c r="L2166" s="5" t="str">
        <f aca="false">IF($K2166="","","R"&amp;$K2166)</f>
        <v/>
      </c>
    </row>
    <row r="2167" customFormat="false" ht="15" hidden="false" customHeight="true" outlineLevel="0" collapsed="false">
      <c r="J2167" s="14" t="b">
        <f aca="false">IF(중복검사!$A2165="",FALSE(),중복검사!$H2165="중복")</f>
        <v>0</v>
      </c>
      <c r="K2167" s="5" t="str">
        <f aca="false">IF($J2167=FALSE(),"",COUNTIF($J$6:$J2167,TRUE()))</f>
        <v/>
      </c>
      <c r="L2167" s="5" t="str">
        <f aca="false">IF($K2167="","","R"&amp;$K2167)</f>
        <v/>
      </c>
    </row>
    <row r="2168" customFormat="false" ht="15" hidden="false" customHeight="true" outlineLevel="0" collapsed="false">
      <c r="J2168" s="14" t="b">
        <f aca="false">IF(중복검사!$A2166="",FALSE(),중복검사!$H2166="중복")</f>
        <v>0</v>
      </c>
      <c r="K2168" s="5" t="str">
        <f aca="false">IF($J2168=FALSE(),"",COUNTIF($J$6:$J2168,TRUE()))</f>
        <v/>
      </c>
      <c r="L2168" s="5" t="str">
        <f aca="false">IF($K2168="","","R"&amp;$K2168)</f>
        <v/>
      </c>
    </row>
    <row r="2169" customFormat="false" ht="15" hidden="false" customHeight="true" outlineLevel="0" collapsed="false">
      <c r="J2169" s="14" t="b">
        <f aca="false">IF(중복검사!$A2167="",FALSE(),중복검사!$H2167="중복")</f>
        <v>0</v>
      </c>
      <c r="K2169" s="5" t="str">
        <f aca="false">IF($J2169=FALSE(),"",COUNTIF($J$6:$J2169,TRUE()))</f>
        <v/>
      </c>
      <c r="L2169" s="5" t="str">
        <f aca="false">IF($K2169="","","R"&amp;$K2169)</f>
        <v/>
      </c>
    </row>
    <row r="2170" customFormat="false" ht="15" hidden="false" customHeight="true" outlineLevel="0" collapsed="false">
      <c r="J2170" s="14" t="b">
        <f aca="false">IF(중복검사!$A2168="",FALSE(),중복검사!$H2168="중복")</f>
        <v>0</v>
      </c>
      <c r="K2170" s="5" t="str">
        <f aca="false">IF($J2170=FALSE(),"",COUNTIF($J$6:$J2170,TRUE()))</f>
        <v/>
      </c>
      <c r="L2170" s="5" t="str">
        <f aca="false">IF($K2170="","","R"&amp;$K2170)</f>
        <v/>
      </c>
    </row>
    <row r="2171" customFormat="false" ht="15" hidden="false" customHeight="true" outlineLevel="0" collapsed="false">
      <c r="J2171" s="14" t="b">
        <f aca="false">IF(중복검사!$A2169="",FALSE(),중복검사!$H2169="중복")</f>
        <v>0</v>
      </c>
      <c r="K2171" s="5" t="str">
        <f aca="false">IF($J2171=FALSE(),"",COUNTIF($J$6:$J2171,TRUE()))</f>
        <v/>
      </c>
      <c r="L2171" s="5" t="str">
        <f aca="false">IF($K2171="","","R"&amp;$K2171)</f>
        <v/>
      </c>
    </row>
    <row r="2172" customFormat="false" ht="15" hidden="false" customHeight="true" outlineLevel="0" collapsed="false">
      <c r="J2172" s="14" t="b">
        <f aca="false">IF(중복검사!$A2170="",FALSE(),중복검사!$H2170="중복")</f>
        <v>0</v>
      </c>
      <c r="K2172" s="5" t="str">
        <f aca="false">IF($J2172=FALSE(),"",COUNTIF($J$6:$J2172,TRUE()))</f>
        <v/>
      </c>
      <c r="L2172" s="5" t="str">
        <f aca="false">IF($K2172="","","R"&amp;$K2172)</f>
        <v/>
      </c>
    </row>
    <row r="2173" customFormat="false" ht="15" hidden="false" customHeight="true" outlineLevel="0" collapsed="false">
      <c r="J2173" s="14" t="b">
        <f aca="false">IF(중복검사!$A2171="",FALSE(),중복검사!$H2171="중복")</f>
        <v>0</v>
      </c>
      <c r="K2173" s="5" t="str">
        <f aca="false">IF($J2173=FALSE(),"",COUNTIF($J$6:$J2173,TRUE()))</f>
        <v/>
      </c>
      <c r="L2173" s="5" t="str">
        <f aca="false">IF($K2173="","","R"&amp;$K2173)</f>
        <v/>
      </c>
    </row>
    <row r="2174" customFormat="false" ht="15" hidden="false" customHeight="true" outlineLevel="0" collapsed="false">
      <c r="J2174" s="14" t="b">
        <f aca="false">IF(중복검사!$A2172="",FALSE(),중복검사!$H2172="중복")</f>
        <v>0</v>
      </c>
      <c r="K2174" s="5" t="str">
        <f aca="false">IF($J2174=FALSE(),"",COUNTIF($J$6:$J2174,TRUE()))</f>
        <v/>
      </c>
      <c r="L2174" s="5" t="str">
        <f aca="false">IF($K2174="","","R"&amp;$K2174)</f>
        <v/>
      </c>
    </row>
    <row r="2175" customFormat="false" ht="15" hidden="false" customHeight="true" outlineLevel="0" collapsed="false">
      <c r="J2175" s="14" t="b">
        <f aca="false">IF(중복검사!$A2173="",FALSE(),중복검사!$H2173="중복")</f>
        <v>0</v>
      </c>
      <c r="K2175" s="5" t="str">
        <f aca="false">IF($J2175=FALSE(),"",COUNTIF($J$6:$J2175,TRUE()))</f>
        <v/>
      </c>
      <c r="L2175" s="5" t="str">
        <f aca="false">IF($K2175="","","R"&amp;$K2175)</f>
        <v/>
      </c>
    </row>
    <row r="2176" customFormat="false" ht="15" hidden="false" customHeight="true" outlineLevel="0" collapsed="false">
      <c r="J2176" s="14" t="b">
        <f aca="false">IF(중복검사!$A2174="",FALSE(),중복검사!$H2174="중복")</f>
        <v>0</v>
      </c>
      <c r="K2176" s="5" t="str">
        <f aca="false">IF($J2176=FALSE(),"",COUNTIF($J$6:$J2176,TRUE()))</f>
        <v/>
      </c>
      <c r="L2176" s="5" t="str">
        <f aca="false">IF($K2176="","","R"&amp;$K2176)</f>
        <v/>
      </c>
    </row>
    <row r="2177" customFormat="false" ht="15" hidden="false" customHeight="true" outlineLevel="0" collapsed="false">
      <c r="J2177" s="14" t="b">
        <f aca="false">IF(중복검사!$A2175="",FALSE(),중복검사!$H2175="중복")</f>
        <v>0</v>
      </c>
      <c r="K2177" s="5" t="str">
        <f aca="false">IF($J2177=FALSE(),"",COUNTIF($J$6:$J2177,TRUE()))</f>
        <v/>
      </c>
      <c r="L2177" s="5" t="str">
        <f aca="false">IF($K2177="","","R"&amp;$K2177)</f>
        <v/>
      </c>
    </row>
    <row r="2178" customFormat="false" ht="15" hidden="false" customHeight="true" outlineLevel="0" collapsed="false">
      <c r="J2178" s="14" t="b">
        <f aca="false">IF(중복검사!$A2176="",FALSE(),중복검사!$H2176="중복")</f>
        <v>0</v>
      </c>
      <c r="K2178" s="5" t="str">
        <f aca="false">IF($J2178=FALSE(),"",COUNTIF($J$6:$J2178,TRUE()))</f>
        <v/>
      </c>
      <c r="L2178" s="5" t="str">
        <f aca="false">IF($K2178="","","R"&amp;$K2178)</f>
        <v/>
      </c>
    </row>
    <row r="2179" customFormat="false" ht="15" hidden="false" customHeight="true" outlineLevel="0" collapsed="false">
      <c r="J2179" s="14" t="b">
        <f aca="false">IF(중복검사!$A2177="",FALSE(),중복검사!$H2177="중복")</f>
        <v>0</v>
      </c>
      <c r="K2179" s="5" t="str">
        <f aca="false">IF($J2179=FALSE(),"",COUNTIF($J$6:$J2179,TRUE()))</f>
        <v/>
      </c>
      <c r="L2179" s="5" t="str">
        <f aca="false">IF($K2179="","","R"&amp;$K2179)</f>
        <v/>
      </c>
    </row>
    <row r="2180" customFormat="false" ht="15" hidden="false" customHeight="true" outlineLevel="0" collapsed="false">
      <c r="J2180" s="14" t="b">
        <f aca="false">IF(중복검사!$A2178="",FALSE(),중복검사!$H2178="중복")</f>
        <v>0</v>
      </c>
      <c r="K2180" s="5" t="str">
        <f aca="false">IF($J2180=FALSE(),"",COUNTIF($J$6:$J2180,TRUE()))</f>
        <v/>
      </c>
      <c r="L2180" s="5" t="str">
        <f aca="false">IF($K2180="","","R"&amp;$K2180)</f>
        <v/>
      </c>
    </row>
    <row r="2181" customFormat="false" ht="15" hidden="false" customHeight="true" outlineLevel="0" collapsed="false">
      <c r="J2181" s="14" t="b">
        <f aca="false">IF(중복검사!$A2179="",FALSE(),중복검사!$H2179="중복")</f>
        <v>0</v>
      </c>
      <c r="K2181" s="5" t="str">
        <f aca="false">IF($J2181=FALSE(),"",COUNTIF($J$6:$J2181,TRUE()))</f>
        <v/>
      </c>
      <c r="L2181" s="5" t="str">
        <f aca="false">IF($K2181="","","R"&amp;$K2181)</f>
        <v/>
      </c>
    </row>
    <row r="2182" customFormat="false" ht="15" hidden="false" customHeight="true" outlineLevel="0" collapsed="false">
      <c r="J2182" s="14" t="b">
        <f aca="false">IF(중복검사!$A2180="",FALSE(),중복검사!$H2180="중복")</f>
        <v>0</v>
      </c>
      <c r="K2182" s="5" t="str">
        <f aca="false">IF($J2182=FALSE(),"",COUNTIF($J$6:$J2182,TRUE()))</f>
        <v/>
      </c>
      <c r="L2182" s="5" t="str">
        <f aca="false">IF($K2182="","","R"&amp;$K2182)</f>
        <v/>
      </c>
    </row>
    <row r="2183" customFormat="false" ht="15" hidden="false" customHeight="true" outlineLevel="0" collapsed="false">
      <c r="J2183" s="14" t="b">
        <f aca="false">IF(중복검사!$A2181="",FALSE(),중복검사!$H2181="중복")</f>
        <v>0</v>
      </c>
      <c r="K2183" s="5" t="str">
        <f aca="false">IF($J2183=FALSE(),"",COUNTIF($J$6:$J2183,TRUE()))</f>
        <v/>
      </c>
      <c r="L2183" s="5" t="str">
        <f aca="false">IF($K2183="","","R"&amp;$K2183)</f>
        <v/>
      </c>
    </row>
    <row r="2184" customFormat="false" ht="15" hidden="false" customHeight="true" outlineLevel="0" collapsed="false">
      <c r="J2184" s="14" t="b">
        <f aca="false">IF(중복검사!$A2182="",FALSE(),중복검사!$H2182="중복")</f>
        <v>0</v>
      </c>
      <c r="K2184" s="5" t="str">
        <f aca="false">IF($J2184=FALSE(),"",COUNTIF($J$6:$J2184,TRUE()))</f>
        <v/>
      </c>
      <c r="L2184" s="5" t="str">
        <f aca="false">IF($K2184="","","R"&amp;$K2184)</f>
        <v/>
      </c>
    </row>
    <row r="2185" customFormat="false" ht="15" hidden="false" customHeight="true" outlineLevel="0" collapsed="false">
      <c r="J2185" s="14" t="b">
        <f aca="false">IF(중복검사!$A2183="",FALSE(),중복검사!$H2183="중복")</f>
        <v>0</v>
      </c>
      <c r="K2185" s="5" t="str">
        <f aca="false">IF($J2185=FALSE(),"",COUNTIF($J$6:$J2185,TRUE()))</f>
        <v/>
      </c>
      <c r="L2185" s="5" t="str">
        <f aca="false">IF($K2185="","","R"&amp;$K2185)</f>
        <v/>
      </c>
    </row>
    <row r="2186" customFormat="false" ht="15" hidden="false" customHeight="true" outlineLevel="0" collapsed="false">
      <c r="J2186" s="14" t="b">
        <f aca="false">IF(중복검사!$A2184="",FALSE(),중복검사!$H2184="중복")</f>
        <v>0</v>
      </c>
      <c r="K2186" s="5" t="str">
        <f aca="false">IF($J2186=FALSE(),"",COUNTIF($J$6:$J2186,TRUE()))</f>
        <v/>
      </c>
      <c r="L2186" s="5" t="str">
        <f aca="false">IF($K2186="","","R"&amp;$K2186)</f>
        <v/>
      </c>
    </row>
    <row r="2187" customFormat="false" ht="15" hidden="false" customHeight="true" outlineLevel="0" collapsed="false">
      <c r="J2187" s="14" t="b">
        <f aca="false">IF(중복검사!$A2185="",FALSE(),중복검사!$H2185="중복")</f>
        <v>0</v>
      </c>
      <c r="K2187" s="5" t="str">
        <f aca="false">IF($J2187=FALSE(),"",COUNTIF($J$6:$J2187,TRUE()))</f>
        <v/>
      </c>
      <c r="L2187" s="5" t="str">
        <f aca="false">IF($K2187="","","R"&amp;$K2187)</f>
        <v/>
      </c>
    </row>
    <row r="2188" customFormat="false" ht="15" hidden="false" customHeight="true" outlineLevel="0" collapsed="false">
      <c r="J2188" s="14" t="b">
        <f aca="false">IF(중복검사!$A2186="",FALSE(),중복검사!$H2186="중복")</f>
        <v>0</v>
      </c>
      <c r="K2188" s="5" t="str">
        <f aca="false">IF($J2188=FALSE(),"",COUNTIF($J$6:$J2188,TRUE()))</f>
        <v/>
      </c>
      <c r="L2188" s="5" t="str">
        <f aca="false">IF($K2188="","","R"&amp;$K2188)</f>
        <v/>
      </c>
    </row>
    <row r="2189" customFormat="false" ht="15" hidden="false" customHeight="true" outlineLevel="0" collapsed="false">
      <c r="J2189" s="14" t="b">
        <f aca="false">IF(중복검사!$A2187="",FALSE(),중복검사!$H2187="중복")</f>
        <v>0</v>
      </c>
      <c r="K2189" s="5" t="str">
        <f aca="false">IF($J2189=FALSE(),"",COUNTIF($J$6:$J2189,TRUE()))</f>
        <v/>
      </c>
      <c r="L2189" s="5" t="str">
        <f aca="false">IF($K2189="","","R"&amp;$K2189)</f>
        <v/>
      </c>
    </row>
    <row r="2190" customFormat="false" ht="15" hidden="false" customHeight="true" outlineLevel="0" collapsed="false">
      <c r="J2190" s="14" t="b">
        <f aca="false">IF(중복검사!$A2188="",FALSE(),중복검사!$H2188="중복")</f>
        <v>0</v>
      </c>
      <c r="K2190" s="5" t="str">
        <f aca="false">IF($J2190=FALSE(),"",COUNTIF($J$6:$J2190,TRUE()))</f>
        <v/>
      </c>
      <c r="L2190" s="5" t="str">
        <f aca="false">IF($K2190="","","R"&amp;$K2190)</f>
        <v/>
      </c>
    </row>
    <row r="2191" customFormat="false" ht="15" hidden="false" customHeight="true" outlineLevel="0" collapsed="false">
      <c r="J2191" s="14" t="b">
        <f aca="false">IF(중복검사!$A2189="",FALSE(),중복검사!$H2189="중복")</f>
        <v>0</v>
      </c>
      <c r="K2191" s="5" t="str">
        <f aca="false">IF($J2191=FALSE(),"",COUNTIF($J$6:$J2191,TRUE()))</f>
        <v/>
      </c>
      <c r="L2191" s="5" t="str">
        <f aca="false">IF($K2191="","","R"&amp;$K2191)</f>
        <v/>
      </c>
    </row>
    <row r="2192" customFormat="false" ht="15" hidden="false" customHeight="true" outlineLevel="0" collapsed="false">
      <c r="J2192" s="14" t="b">
        <f aca="false">IF(중복검사!$A2190="",FALSE(),중복검사!$H2190="중복")</f>
        <v>0</v>
      </c>
      <c r="K2192" s="5" t="str">
        <f aca="false">IF($J2192=FALSE(),"",COUNTIF($J$6:$J2192,TRUE()))</f>
        <v/>
      </c>
      <c r="L2192" s="5" t="str">
        <f aca="false">IF($K2192="","","R"&amp;$K2192)</f>
        <v/>
      </c>
    </row>
    <row r="2193" customFormat="false" ht="15" hidden="false" customHeight="true" outlineLevel="0" collapsed="false">
      <c r="J2193" s="14" t="b">
        <f aca="false">IF(중복검사!$A2191="",FALSE(),중복검사!$H2191="중복")</f>
        <v>0</v>
      </c>
      <c r="K2193" s="5" t="str">
        <f aca="false">IF($J2193=FALSE(),"",COUNTIF($J$6:$J2193,TRUE()))</f>
        <v/>
      </c>
      <c r="L2193" s="5" t="str">
        <f aca="false">IF($K2193="","","R"&amp;$K2193)</f>
        <v/>
      </c>
    </row>
    <row r="2194" customFormat="false" ht="15" hidden="false" customHeight="true" outlineLevel="0" collapsed="false">
      <c r="J2194" s="14" t="b">
        <f aca="false">IF(중복검사!$A2192="",FALSE(),중복검사!$H2192="중복")</f>
        <v>0</v>
      </c>
      <c r="K2194" s="5" t="str">
        <f aca="false">IF($J2194=FALSE(),"",COUNTIF($J$6:$J2194,TRUE()))</f>
        <v/>
      </c>
      <c r="L2194" s="5" t="str">
        <f aca="false">IF($K2194="","","R"&amp;$K2194)</f>
        <v/>
      </c>
    </row>
    <row r="2195" customFormat="false" ht="15" hidden="false" customHeight="true" outlineLevel="0" collapsed="false">
      <c r="J2195" s="14" t="b">
        <f aca="false">IF(중복검사!$A2193="",FALSE(),중복검사!$H2193="중복")</f>
        <v>0</v>
      </c>
      <c r="K2195" s="5" t="str">
        <f aca="false">IF($J2195=FALSE(),"",COUNTIF($J$6:$J2195,TRUE()))</f>
        <v/>
      </c>
      <c r="L2195" s="5" t="str">
        <f aca="false">IF($K2195="","","R"&amp;$K2195)</f>
        <v/>
      </c>
    </row>
    <row r="2196" customFormat="false" ht="15" hidden="false" customHeight="true" outlineLevel="0" collapsed="false">
      <c r="J2196" s="14" t="b">
        <f aca="false">IF(중복검사!$A2194="",FALSE(),중복검사!$H2194="중복")</f>
        <v>0</v>
      </c>
      <c r="K2196" s="5" t="str">
        <f aca="false">IF($J2196=FALSE(),"",COUNTIF($J$6:$J2196,TRUE()))</f>
        <v/>
      </c>
      <c r="L2196" s="5" t="str">
        <f aca="false">IF($K2196="","","R"&amp;$K2196)</f>
        <v/>
      </c>
    </row>
    <row r="2197" customFormat="false" ht="15" hidden="false" customHeight="true" outlineLevel="0" collapsed="false">
      <c r="J2197" s="14" t="b">
        <f aca="false">IF(중복검사!$A2195="",FALSE(),중복검사!$H2195="중복")</f>
        <v>0</v>
      </c>
      <c r="K2197" s="5" t="str">
        <f aca="false">IF($J2197=FALSE(),"",COUNTIF($J$6:$J2197,TRUE()))</f>
        <v/>
      </c>
      <c r="L2197" s="5" t="str">
        <f aca="false">IF($K2197="","","R"&amp;$K2197)</f>
        <v/>
      </c>
    </row>
    <row r="2198" customFormat="false" ht="15" hidden="false" customHeight="true" outlineLevel="0" collapsed="false">
      <c r="J2198" s="14" t="b">
        <f aca="false">IF(중복검사!$A2196="",FALSE(),중복검사!$H2196="중복")</f>
        <v>0</v>
      </c>
      <c r="K2198" s="5" t="str">
        <f aca="false">IF($J2198=FALSE(),"",COUNTIF($J$6:$J2198,TRUE()))</f>
        <v/>
      </c>
      <c r="L2198" s="5" t="str">
        <f aca="false">IF($K2198="","","R"&amp;$K2198)</f>
        <v/>
      </c>
    </row>
    <row r="2199" customFormat="false" ht="15" hidden="false" customHeight="true" outlineLevel="0" collapsed="false">
      <c r="J2199" s="14" t="b">
        <f aca="false">IF(중복검사!$A2197="",FALSE(),중복검사!$H2197="중복")</f>
        <v>0</v>
      </c>
      <c r="K2199" s="5" t="str">
        <f aca="false">IF($J2199=FALSE(),"",COUNTIF($J$6:$J2199,TRUE()))</f>
        <v/>
      </c>
      <c r="L2199" s="5" t="str">
        <f aca="false">IF($K2199="","","R"&amp;$K2199)</f>
        <v/>
      </c>
    </row>
    <row r="2200" customFormat="false" ht="15" hidden="false" customHeight="true" outlineLevel="0" collapsed="false">
      <c r="J2200" s="14" t="b">
        <f aca="false">IF(중복검사!$A2198="",FALSE(),중복검사!$H2198="중복")</f>
        <v>0</v>
      </c>
      <c r="K2200" s="5" t="str">
        <f aca="false">IF($J2200=FALSE(),"",COUNTIF($J$6:$J2200,TRUE()))</f>
        <v/>
      </c>
      <c r="L2200" s="5" t="str">
        <f aca="false">IF($K2200="","","R"&amp;$K2200)</f>
        <v/>
      </c>
    </row>
    <row r="2201" customFormat="false" ht="15" hidden="false" customHeight="true" outlineLevel="0" collapsed="false">
      <c r="J2201" s="14" t="b">
        <f aca="false">IF(중복검사!$A2199="",FALSE(),중복검사!$H2199="중복")</f>
        <v>0</v>
      </c>
      <c r="K2201" s="5" t="str">
        <f aca="false">IF($J2201=FALSE(),"",COUNTIF($J$6:$J2201,TRUE()))</f>
        <v/>
      </c>
      <c r="L2201" s="5" t="str">
        <f aca="false">IF($K2201="","","R"&amp;$K2201)</f>
        <v/>
      </c>
    </row>
    <row r="2202" customFormat="false" ht="15" hidden="false" customHeight="true" outlineLevel="0" collapsed="false">
      <c r="J2202" s="14" t="b">
        <f aca="false">IF(중복검사!$A2200="",FALSE(),중복검사!$H2200="중복")</f>
        <v>0</v>
      </c>
      <c r="K2202" s="5" t="str">
        <f aca="false">IF($J2202=FALSE(),"",COUNTIF($J$6:$J2202,TRUE()))</f>
        <v/>
      </c>
      <c r="L2202" s="5" t="str">
        <f aca="false">IF($K2202="","","R"&amp;$K2202)</f>
        <v/>
      </c>
    </row>
    <row r="2203" customFormat="false" ht="15" hidden="false" customHeight="true" outlineLevel="0" collapsed="false">
      <c r="J2203" s="14" t="b">
        <f aca="false">IF(중복검사!$A2201="",FALSE(),중복검사!$H2201="중복")</f>
        <v>0</v>
      </c>
      <c r="K2203" s="5" t="str">
        <f aca="false">IF($J2203=FALSE(),"",COUNTIF($J$6:$J2203,TRUE()))</f>
        <v/>
      </c>
      <c r="L2203" s="5" t="str">
        <f aca="false">IF($K2203="","","R"&amp;$K2203)</f>
        <v/>
      </c>
    </row>
    <row r="2204" customFormat="false" ht="15" hidden="false" customHeight="true" outlineLevel="0" collapsed="false">
      <c r="J2204" s="14" t="b">
        <f aca="false">IF(중복검사!$A2202="",FALSE(),중복검사!$H2202="중복")</f>
        <v>0</v>
      </c>
      <c r="K2204" s="5" t="str">
        <f aca="false">IF($J2204=FALSE(),"",COUNTIF($J$6:$J2204,TRUE()))</f>
        <v/>
      </c>
      <c r="L2204" s="5" t="str">
        <f aca="false">IF($K2204="","","R"&amp;$K2204)</f>
        <v/>
      </c>
    </row>
    <row r="2205" customFormat="false" ht="15" hidden="false" customHeight="true" outlineLevel="0" collapsed="false">
      <c r="J2205" s="14" t="b">
        <f aca="false">IF(중복검사!$A2203="",FALSE(),중복검사!$H2203="중복")</f>
        <v>0</v>
      </c>
      <c r="K2205" s="5" t="str">
        <f aca="false">IF($J2205=FALSE(),"",COUNTIF($J$6:$J2205,TRUE()))</f>
        <v/>
      </c>
      <c r="L2205" s="5" t="str">
        <f aca="false">IF($K2205="","","R"&amp;$K2205)</f>
        <v/>
      </c>
    </row>
    <row r="2206" customFormat="false" ht="15" hidden="false" customHeight="true" outlineLevel="0" collapsed="false">
      <c r="J2206" s="14" t="b">
        <f aca="false">IF(중복검사!$A2204="",FALSE(),중복검사!$H2204="중복")</f>
        <v>0</v>
      </c>
      <c r="K2206" s="5" t="str">
        <f aca="false">IF($J2206=FALSE(),"",COUNTIF($J$6:$J2206,TRUE()))</f>
        <v/>
      </c>
      <c r="L2206" s="5" t="str">
        <f aca="false">IF($K2206="","","R"&amp;$K2206)</f>
        <v/>
      </c>
    </row>
    <row r="2207" customFormat="false" ht="15" hidden="false" customHeight="true" outlineLevel="0" collapsed="false">
      <c r="J2207" s="14" t="b">
        <f aca="false">IF(중복검사!$A2205="",FALSE(),중복검사!$H2205="중복")</f>
        <v>0</v>
      </c>
      <c r="K2207" s="5" t="str">
        <f aca="false">IF($J2207=FALSE(),"",COUNTIF($J$6:$J2207,TRUE()))</f>
        <v/>
      </c>
      <c r="L2207" s="5" t="str">
        <f aca="false">IF($K2207="","","R"&amp;$K2207)</f>
        <v/>
      </c>
    </row>
    <row r="2208" customFormat="false" ht="15" hidden="false" customHeight="true" outlineLevel="0" collapsed="false">
      <c r="J2208" s="14" t="b">
        <f aca="false">IF(중복검사!$A2206="",FALSE(),중복검사!$H2206="중복")</f>
        <v>0</v>
      </c>
      <c r="K2208" s="5" t="str">
        <f aca="false">IF($J2208=FALSE(),"",COUNTIF($J$6:$J2208,TRUE()))</f>
        <v/>
      </c>
      <c r="L2208" s="5" t="str">
        <f aca="false">IF($K2208="","","R"&amp;$K2208)</f>
        <v/>
      </c>
    </row>
    <row r="2209" customFormat="false" ht="15" hidden="false" customHeight="true" outlineLevel="0" collapsed="false">
      <c r="J2209" s="14" t="b">
        <f aca="false">IF(중복검사!$A2207="",FALSE(),중복검사!$H2207="중복")</f>
        <v>0</v>
      </c>
      <c r="K2209" s="5" t="str">
        <f aca="false">IF($J2209=FALSE(),"",COUNTIF($J$6:$J2209,TRUE()))</f>
        <v/>
      </c>
      <c r="L2209" s="5" t="str">
        <f aca="false">IF($K2209="","","R"&amp;$K2209)</f>
        <v/>
      </c>
    </row>
    <row r="2210" customFormat="false" ht="15" hidden="false" customHeight="true" outlineLevel="0" collapsed="false">
      <c r="J2210" s="14" t="b">
        <f aca="false">IF(중복검사!$A2208="",FALSE(),중복검사!$H2208="중복")</f>
        <v>0</v>
      </c>
      <c r="K2210" s="5" t="str">
        <f aca="false">IF($J2210=FALSE(),"",COUNTIF($J$6:$J2210,TRUE()))</f>
        <v/>
      </c>
      <c r="L2210" s="5" t="str">
        <f aca="false">IF($K2210="","","R"&amp;$K2210)</f>
        <v/>
      </c>
    </row>
    <row r="2211" customFormat="false" ht="15" hidden="false" customHeight="true" outlineLevel="0" collapsed="false">
      <c r="J2211" s="14" t="b">
        <f aca="false">IF(중복검사!$A2209="",FALSE(),중복검사!$H2209="중복")</f>
        <v>0</v>
      </c>
      <c r="K2211" s="5" t="str">
        <f aca="false">IF($J2211=FALSE(),"",COUNTIF($J$6:$J2211,TRUE()))</f>
        <v/>
      </c>
      <c r="L2211" s="5" t="str">
        <f aca="false">IF($K2211="","","R"&amp;$K2211)</f>
        <v/>
      </c>
    </row>
    <row r="2212" customFormat="false" ht="15" hidden="false" customHeight="true" outlineLevel="0" collapsed="false">
      <c r="J2212" s="14" t="b">
        <f aca="false">IF(중복검사!$A2210="",FALSE(),중복검사!$H2210="중복")</f>
        <v>0</v>
      </c>
      <c r="K2212" s="5" t="str">
        <f aca="false">IF($J2212=FALSE(),"",COUNTIF($J$6:$J2212,TRUE()))</f>
        <v/>
      </c>
      <c r="L2212" s="5" t="str">
        <f aca="false">IF($K2212="","","R"&amp;$K2212)</f>
        <v/>
      </c>
    </row>
    <row r="2213" customFormat="false" ht="15" hidden="false" customHeight="true" outlineLevel="0" collapsed="false">
      <c r="J2213" s="14" t="b">
        <f aca="false">IF(중복검사!$A2211="",FALSE(),중복검사!$H2211="중복")</f>
        <v>0</v>
      </c>
      <c r="K2213" s="5" t="str">
        <f aca="false">IF($J2213=FALSE(),"",COUNTIF($J$6:$J2213,TRUE()))</f>
        <v/>
      </c>
      <c r="L2213" s="5" t="str">
        <f aca="false">IF($K2213="","","R"&amp;$K2213)</f>
        <v/>
      </c>
    </row>
    <row r="2214" customFormat="false" ht="15" hidden="false" customHeight="true" outlineLevel="0" collapsed="false">
      <c r="J2214" s="14" t="b">
        <f aca="false">IF(중복검사!$A2212="",FALSE(),중복검사!$H2212="중복")</f>
        <v>0</v>
      </c>
      <c r="K2214" s="5" t="str">
        <f aca="false">IF($J2214=FALSE(),"",COUNTIF($J$6:$J2214,TRUE()))</f>
        <v/>
      </c>
      <c r="L2214" s="5" t="str">
        <f aca="false">IF($K2214="","","R"&amp;$K2214)</f>
        <v/>
      </c>
    </row>
    <row r="2215" customFormat="false" ht="15" hidden="false" customHeight="true" outlineLevel="0" collapsed="false">
      <c r="J2215" s="14" t="b">
        <f aca="false">IF(중복검사!$A2213="",FALSE(),중복검사!$H2213="중복")</f>
        <v>0</v>
      </c>
      <c r="K2215" s="5" t="str">
        <f aca="false">IF($J2215=FALSE(),"",COUNTIF($J$6:$J2215,TRUE()))</f>
        <v/>
      </c>
      <c r="L2215" s="5" t="str">
        <f aca="false">IF($K2215="","","R"&amp;$K2215)</f>
        <v/>
      </c>
    </row>
    <row r="2216" customFormat="false" ht="15" hidden="false" customHeight="true" outlineLevel="0" collapsed="false">
      <c r="J2216" s="14" t="b">
        <f aca="false">IF(중복검사!$A2214="",FALSE(),중복검사!$H2214="중복")</f>
        <v>0</v>
      </c>
      <c r="K2216" s="5" t="str">
        <f aca="false">IF($J2216=FALSE(),"",COUNTIF($J$6:$J2216,TRUE()))</f>
        <v/>
      </c>
      <c r="L2216" s="5" t="str">
        <f aca="false">IF($K2216="","","R"&amp;$K2216)</f>
        <v/>
      </c>
    </row>
    <row r="2217" customFormat="false" ht="15" hidden="false" customHeight="true" outlineLevel="0" collapsed="false">
      <c r="J2217" s="14" t="b">
        <f aca="false">IF(중복검사!$A2215="",FALSE(),중복검사!$H2215="중복")</f>
        <v>0</v>
      </c>
      <c r="K2217" s="5" t="str">
        <f aca="false">IF($J2217=FALSE(),"",COUNTIF($J$6:$J2217,TRUE()))</f>
        <v/>
      </c>
      <c r="L2217" s="5" t="str">
        <f aca="false">IF($K2217="","","R"&amp;$K2217)</f>
        <v/>
      </c>
    </row>
    <row r="2218" customFormat="false" ht="15" hidden="false" customHeight="true" outlineLevel="0" collapsed="false">
      <c r="J2218" s="14" t="b">
        <f aca="false">IF(중복검사!$A2216="",FALSE(),중복검사!$H2216="중복")</f>
        <v>0</v>
      </c>
      <c r="K2218" s="5" t="str">
        <f aca="false">IF($J2218=FALSE(),"",COUNTIF($J$6:$J2218,TRUE()))</f>
        <v/>
      </c>
      <c r="L2218" s="5" t="str">
        <f aca="false">IF($K2218="","","R"&amp;$K2218)</f>
        <v/>
      </c>
    </row>
    <row r="2219" customFormat="false" ht="15" hidden="false" customHeight="true" outlineLevel="0" collapsed="false">
      <c r="J2219" s="14" t="b">
        <f aca="false">IF(중복검사!$A2217="",FALSE(),중복검사!$H2217="중복")</f>
        <v>0</v>
      </c>
      <c r="K2219" s="5" t="str">
        <f aca="false">IF($J2219=FALSE(),"",COUNTIF($J$6:$J2219,TRUE()))</f>
        <v/>
      </c>
      <c r="L2219" s="5" t="str">
        <f aca="false">IF($K2219="","","R"&amp;$K2219)</f>
        <v/>
      </c>
    </row>
    <row r="2220" customFormat="false" ht="15" hidden="false" customHeight="true" outlineLevel="0" collapsed="false">
      <c r="J2220" s="14" t="b">
        <f aca="false">IF(중복검사!$A2218="",FALSE(),중복검사!$H2218="중복")</f>
        <v>0</v>
      </c>
      <c r="K2220" s="5" t="str">
        <f aca="false">IF($J2220=FALSE(),"",COUNTIF($J$6:$J2220,TRUE()))</f>
        <v/>
      </c>
      <c r="L2220" s="5" t="str">
        <f aca="false">IF($K2220="","","R"&amp;$K2220)</f>
        <v/>
      </c>
    </row>
    <row r="2221" customFormat="false" ht="15" hidden="false" customHeight="true" outlineLevel="0" collapsed="false">
      <c r="J2221" s="14" t="b">
        <f aca="false">IF(중복검사!$A2219="",FALSE(),중복검사!$H2219="중복")</f>
        <v>0</v>
      </c>
      <c r="K2221" s="5" t="str">
        <f aca="false">IF($J2221=FALSE(),"",COUNTIF($J$6:$J2221,TRUE()))</f>
        <v/>
      </c>
      <c r="L2221" s="5" t="str">
        <f aca="false">IF($K2221="","","R"&amp;$K2221)</f>
        <v/>
      </c>
    </row>
    <row r="2222" customFormat="false" ht="15" hidden="false" customHeight="true" outlineLevel="0" collapsed="false">
      <c r="J2222" s="14" t="b">
        <f aca="false">IF(중복검사!$A2220="",FALSE(),중복검사!$H2220="중복")</f>
        <v>0</v>
      </c>
      <c r="K2222" s="5" t="str">
        <f aca="false">IF($J2222=FALSE(),"",COUNTIF($J$6:$J2222,TRUE()))</f>
        <v/>
      </c>
      <c r="L2222" s="5" t="str">
        <f aca="false">IF($K2222="","","R"&amp;$K2222)</f>
        <v/>
      </c>
    </row>
    <row r="2223" customFormat="false" ht="15" hidden="false" customHeight="true" outlineLevel="0" collapsed="false">
      <c r="J2223" s="14" t="b">
        <f aca="false">IF(중복검사!$A2221="",FALSE(),중복검사!$H2221="중복")</f>
        <v>0</v>
      </c>
      <c r="K2223" s="5" t="str">
        <f aca="false">IF($J2223=FALSE(),"",COUNTIF($J$6:$J2223,TRUE()))</f>
        <v/>
      </c>
      <c r="L2223" s="5" t="str">
        <f aca="false">IF($K2223="","","R"&amp;$K2223)</f>
        <v/>
      </c>
    </row>
    <row r="2224" customFormat="false" ht="15" hidden="false" customHeight="true" outlineLevel="0" collapsed="false">
      <c r="J2224" s="14" t="b">
        <f aca="false">IF(중복검사!$A2222="",FALSE(),중복검사!$H2222="중복")</f>
        <v>0</v>
      </c>
      <c r="K2224" s="5" t="str">
        <f aca="false">IF($J2224=FALSE(),"",COUNTIF($J$6:$J2224,TRUE()))</f>
        <v/>
      </c>
      <c r="L2224" s="5" t="str">
        <f aca="false">IF($K2224="","","R"&amp;$K2224)</f>
        <v/>
      </c>
    </row>
    <row r="2225" customFormat="false" ht="15" hidden="false" customHeight="true" outlineLevel="0" collapsed="false">
      <c r="J2225" s="14" t="b">
        <f aca="false">IF(중복검사!$A2223="",FALSE(),중복검사!$H2223="중복")</f>
        <v>0</v>
      </c>
      <c r="K2225" s="5" t="str">
        <f aca="false">IF($J2225=FALSE(),"",COUNTIF($J$6:$J2225,TRUE()))</f>
        <v/>
      </c>
      <c r="L2225" s="5" t="str">
        <f aca="false">IF($K2225="","","R"&amp;$K2225)</f>
        <v/>
      </c>
    </row>
    <row r="2226" customFormat="false" ht="15" hidden="false" customHeight="true" outlineLevel="0" collapsed="false">
      <c r="J2226" s="14" t="b">
        <f aca="false">IF(중복검사!$A2224="",FALSE(),중복검사!$H2224="중복")</f>
        <v>0</v>
      </c>
      <c r="K2226" s="5" t="str">
        <f aca="false">IF($J2226=FALSE(),"",COUNTIF($J$6:$J2226,TRUE()))</f>
        <v/>
      </c>
      <c r="L2226" s="5" t="str">
        <f aca="false">IF($K2226="","","R"&amp;$K2226)</f>
        <v/>
      </c>
    </row>
    <row r="2227" customFormat="false" ht="15" hidden="false" customHeight="true" outlineLevel="0" collapsed="false">
      <c r="J2227" s="14" t="b">
        <f aca="false">IF(중복검사!$A2225="",FALSE(),중복검사!$H2225="중복")</f>
        <v>0</v>
      </c>
      <c r="K2227" s="5" t="str">
        <f aca="false">IF($J2227=FALSE(),"",COUNTIF($J$6:$J2227,TRUE()))</f>
        <v/>
      </c>
      <c r="L2227" s="5" t="str">
        <f aca="false">IF($K2227="","","R"&amp;$K2227)</f>
        <v/>
      </c>
    </row>
    <row r="2228" customFormat="false" ht="15" hidden="false" customHeight="true" outlineLevel="0" collapsed="false">
      <c r="J2228" s="14" t="b">
        <f aca="false">IF(중복검사!$A2226="",FALSE(),중복검사!$H2226="중복")</f>
        <v>0</v>
      </c>
      <c r="K2228" s="5" t="str">
        <f aca="false">IF($J2228=FALSE(),"",COUNTIF($J$6:$J2228,TRUE()))</f>
        <v/>
      </c>
      <c r="L2228" s="5" t="str">
        <f aca="false">IF($K2228="","","R"&amp;$K2228)</f>
        <v/>
      </c>
    </row>
    <row r="2229" customFormat="false" ht="15" hidden="false" customHeight="true" outlineLevel="0" collapsed="false">
      <c r="J2229" s="14" t="b">
        <f aca="false">IF(중복검사!$A2227="",FALSE(),중복검사!$H2227="중복")</f>
        <v>0</v>
      </c>
      <c r="K2229" s="5" t="str">
        <f aca="false">IF($J2229=FALSE(),"",COUNTIF($J$6:$J2229,TRUE()))</f>
        <v/>
      </c>
      <c r="L2229" s="5" t="str">
        <f aca="false">IF($K2229="","","R"&amp;$K2229)</f>
        <v/>
      </c>
    </row>
    <row r="2230" customFormat="false" ht="15" hidden="false" customHeight="true" outlineLevel="0" collapsed="false">
      <c r="J2230" s="14" t="b">
        <f aca="false">IF(중복검사!$A2228="",FALSE(),중복검사!$H2228="중복")</f>
        <v>0</v>
      </c>
      <c r="K2230" s="5" t="str">
        <f aca="false">IF($J2230=FALSE(),"",COUNTIF($J$6:$J2230,TRUE()))</f>
        <v/>
      </c>
      <c r="L2230" s="5" t="str">
        <f aca="false">IF($K2230="","","R"&amp;$K2230)</f>
        <v/>
      </c>
    </row>
    <row r="2231" customFormat="false" ht="15" hidden="false" customHeight="true" outlineLevel="0" collapsed="false">
      <c r="J2231" s="14" t="b">
        <f aca="false">IF(중복검사!$A2229="",FALSE(),중복검사!$H2229="중복")</f>
        <v>0</v>
      </c>
      <c r="K2231" s="5" t="str">
        <f aca="false">IF($J2231=FALSE(),"",COUNTIF($J$6:$J2231,TRUE()))</f>
        <v/>
      </c>
      <c r="L2231" s="5" t="str">
        <f aca="false">IF($K2231="","","R"&amp;$K2231)</f>
        <v/>
      </c>
    </row>
    <row r="2232" customFormat="false" ht="15" hidden="false" customHeight="true" outlineLevel="0" collapsed="false">
      <c r="J2232" s="14" t="b">
        <f aca="false">IF(중복검사!$A2230="",FALSE(),중복검사!$H2230="중복")</f>
        <v>0</v>
      </c>
      <c r="K2232" s="5" t="str">
        <f aca="false">IF($J2232=FALSE(),"",COUNTIF($J$6:$J2232,TRUE()))</f>
        <v/>
      </c>
      <c r="L2232" s="5" t="str">
        <f aca="false">IF($K2232="","","R"&amp;$K2232)</f>
        <v/>
      </c>
    </row>
    <row r="2233" customFormat="false" ht="15" hidden="false" customHeight="true" outlineLevel="0" collapsed="false">
      <c r="J2233" s="14" t="b">
        <f aca="false">IF(중복검사!$A2231="",FALSE(),중복검사!$H2231="중복")</f>
        <v>0</v>
      </c>
      <c r="K2233" s="5" t="str">
        <f aca="false">IF($J2233=FALSE(),"",COUNTIF($J$6:$J2233,TRUE()))</f>
        <v/>
      </c>
      <c r="L2233" s="5" t="str">
        <f aca="false">IF($K2233="","","R"&amp;$K2233)</f>
        <v/>
      </c>
    </row>
    <row r="2234" customFormat="false" ht="15" hidden="false" customHeight="true" outlineLevel="0" collapsed="false">
      <c r="J2234" s="14" t="b">
        <f aca="false">IF(중복검사!$A2232="",FALSE(),중복검사!$H2232="중복")</f>
        <v>0</v>
      </c>
      <c r="K2234" s="5" t="str">
        <f aca="false">IF($J2234=FALSE(),"",COUNTIF($J$6:$J2234,TRUE()))</f>
        <v/>
      </c>
      <c r="L2234" s="5" t="str">
        <f aca="false">IF($K2234="","","R"&amp;$K2234)</f>
        <v/>
      </c>
    </row>
    <row r="2235" customFormat="false" ht="15" hidden="false" customHeight="true" outlineLevel="0" collapsed="false">
      <c r="J2235" s="14" t="b">
        <f aca="false">IF(중복검사!$A2233="",FALSE(),중복검사!$H2233="중복")</f>
        <v>0</v>
      </c>
      <c r="K2235" s="5" t="str">
        <f aca="false">IF($J2235=FALSE(),"",COUNTIF($J$6:$J2235,TRUE()))</f>
        <v/>
      </c>
      <c r="L2235" s="5" t="str">
        <f aca="false">IF($K2235="","","R"&amp;$K2235)</f>
        <v/>
      </c>
    </row>
    <row r="2236" customFormat="false" ht="15" hidden="false" customHeight="true" outlineLevel="0" collapsed="false">
      <c r="J2236" s="14" t="b">
        <f aca="false">IF(중복검사!$A2234="",FALSE(),중복검사!$H2234="중복")</f>
        <v>0</v>
      </c>
      <c r="K2236" s="5" t="str">
        <f aca="false">IF($J2236=FALSE(),"",COUNTIF($J$6:$J2236,TRUE()))</f>
        <v/>
      </c>
      <c r="L2236" s="5" t="str">
        <f aca="false">IF($K2236="","","R"&amp;$K2236)</f>
        <v/>
      </c>
    </row>
    <row r="2237" customFormat="false" ht="15" hidden="false" customHeight="true" outlineLevel="0" collapsed="false">
      <c r="J2237" s="14" t="b">
        <f aca="false">IF(중복검사!$A2235="",FALSE(),중복검사!$H2235="중복")</f>
        <v>0</v>
      </c>
      <c r="K2237" s="5" t="str">
        <f aca="false">IF($J2237=FALSE(),"",COUNTIF($J$6:$J2237,TRUE()))</f>
        <v/>
      </c>
      <c r="L2237" s="5" t="str">
        <f aca="false">IF($K2237="","","R"&amp;$K2237)</f>
        <v/>
      </c>
    </row>
    <row r="2238" customFormat="false" ht="15" hidden="false" customHeight="true" outlineLevel="0" collapsed="false">
      <c r="J2238" s="14" t="b">
        <f aca="false">IF(중복검사!$A2236="",FALSE(),중복검사!$H2236="중복")</f>
        <v>0</v>
      </c>
      <c r="K2238" s="5" t="str">
        <f aca="false">IF($J2238=FALSE(),"",COUNTIF($J$6:$J2238,TRUE()))</f>
        <v/>
      </c>
      <c r="L2238" s="5" t="str">
        <f aca="false">IF($K2238="","","R"&amp;$K2238)</f>
        <v/>
      </c>
    </row>
    <row r="2239" customFormat="false" ht="15" hidden="false" customHeight="true" outlineLevel="0" collapsed="false">
      <c r="J2239" s="14" t="b">
        <f aca="false">IF(중복검사!$A2237="",FALSE(),중복검사!$H2237="중복")</f>
        <v>0</v>
      </c>
      <c r="K2239" s="5" t="str">
        <f aca="false">IF($J2239=FALSE(),"",COUNTIF($J$6:$J2239,TRUE()))</f>
        <v/>
      </c>
      <c r="L2239" s="5" t="str">
        <f aca="false">IF($K2239="","","R"&amp;$K2239)</f>
        <v/>
      </c>
    </row>
    <row r="2240" customFormat="false" ht="15" hidden="false" customHeight="true" outlineLevel="0" collapsed="false">
      <c r="J2240" s="14" t="b">
        <f aca="false">IF(중복검사!$A2238="",FALSE(),중복검사!$H2238="중복")</f>
        <v>0</v>
      </c>
      <c r="K2240" s="5" t="str">
        <f aca="false">IF($J2240=FALSE(),"",COUNTIF($J$6:$J2240,TRUE()))</f>
        <v/>
      </c>
      <c r="L2240" s="5" t="str">
        <f aca="false">IF($K2240="","","R"&amp;$K2240)</f>
        <v/>
      </c>
    </row>
    <row r="2241" customFormat="false" ht="15" hidden="false" customHeight="true" outlineLevel="0" collapsed="false">
      <c r="J2241" s="14" t="b">
        <f aca="false">IF(중복검사!$A2239="",FALSE(),중복검사!$H2239="중복")</f>
        <v>0</v>
      </c>
      <c r="K2241" s="5" t="str">
        <f aca="false">IF($J2241=FALSE(),"",COUNTIF($J$6:$J2241,TRUE()))</f>
        <v/>
      </c>
      <c r="L2241" s="5" t="str">
        <f aca="false">IF($K2241="","","R"&amp;$K2241)</f>
        <v/>
      </c>
    </row>
    <row r="2242" customFormat="false" ht="15" hidden="false" customHeight="true" outlineLevel="0" collapsed="false">
      <c r="J2242" s="14" t="b">
        <f aca="false">IF(중복검사!$A2240="",FALSE(),중복검사!$H2240="중복")</f>
        <v>0</v>
      </c>
      <c r="K2242" s="5" t="str">
        <f aca="false">IF($J2242=FALSE(),"",COUNTIF($J$6:$J2242,TRUE()))</f>
        <v/>
      </c>
      <c r="L2242" s="5" t="str">
        <f aca="false">IF($K2242="","","R"&amp;$K2242)</f>
        <v/>
      </c>
    </row>
    <row r="2243" customFormat="false" ht="15" hidden="false" customHeight="true" outlineLevel="0" collapsed="false">
      <c r="J2243" s="14" t="b">
        <f aca="false">IF(중복검사!$A2241="",FALSE(),중복검사!$H2241="중복")</f>
        <v>0</v>
      </c>
      <c r="K2243" s="5" t="str">
        <f aca="false">IF($J2243=FALSE(),"",COUNTIF($J$6:$J2243,TRUE()))</f>
        <v/>
      </c>
      <c r="L2243" s="5" t="str">
        <f aca="false">IF($K2243="","","R"&amp;$K2243)</f>
        <v/>
      </c>
    </row>
    <row r="2244" customFormat="false" ht="15" hidden="false" customHeight="true" outlineLevel="0" collapsed="false">
      <c r="J2244" s="14" t="b">
        <f aca="false">IF(중복검사!$A2242="",FALSE(),중복검사!$H2242="중복")</f>
        <v>0</v>
      </c>
      <c r="K2244" s="5" t="str">
        <f aca="false">IF($J2244=FALSE(),"",COUNTIF($J$6:$J2244,TRUE()))</f>
        <v/>
      </c>
      <c r="L2244" s="5" t="str">
        <f aca="false">IF($K2244="","","R"&amp;$K2244)</f>
        <v/>
      </c>
    </row>
    <row r="2245" customFormat="false" ht="15" hidden="false" customHeight="true" outlineLevel="0" collapsed="false">
      <c r="J2245" s="14" t="b">
        <f aca="false">IF(중복검사!$A2243="",FALSE(),중복검사!$H2243="중복")</f>
        <v>0</v>
      </c>
      <c r="K2245" s="5" t="str">
        <f aca="false">IF($J2245=FALSE(),"",COUNTIF($J$6:$J2245,TRUE()))</f>
        <v/>
      </c>
      <c r="L2245" s="5" t="str">
        <f aca="false">IF($K2245="","","R"&amp;$K2245)</f>
        <v/>
      </c>
    </row>
    <row r="2246" customFormat="false" ht="15" hidden="false" customHeight="true" outlineLevel="0" collapsed="false">
      <c r="J2246" s="14" t="b">
        <f aca="false">IF(중복검사!$A2244="",FALSE(),중복검사!$H2244="중복")</f>
        <v>0</v>
      </c>
      <c r="K2246" s="5" t="str">
        <f aca="false">IF($J2246=FALSE(),"",COUNTIF($J$6:$J2246,TRUE()))</f>
        <v/>
      </c>
      <c r="L2246" s="5" t="str">
        <f aca="false">IF($K2246="","","R"&amp;$K2246)</f>
        <v/>
      </c>
    </row>
    <row r="2247" customFormat="false" ht="15" hidden="false" customHeight="true" outlineLevel="0" collapsed="false">
      <c r="J2247" s="14" t="b">
        <f aca="false">IF(중복검사!$A2245="",FALSE(),중복검사!$H2245="중복")</f>
        <v>0</v>
      </c>
      <c r="K2247" s="5" t="str">
        <f aca="false">IF($J2247=FALSE(),"",COUNTIF($J$6:$J2247,TRUE()))</f>
        <v/>
      </c>
      <c r="L2247" s="5" t="str">
        <f aca="false">IF($K2247="","","R"&amp;$K2247)</f>
        <v/>
      </c>
    </row>
    <row r="2248" customFormat="false" ht="15" hidden="false" customHeight="true" outlineLevel="0" collapsed="false">
      <c r="J2248" s="14" t="b">
        <f aca="false">IF(중복검사!$A2246="",FALSE(),중복검사!$H2246="중복")</f>
        <v>0</v>
      </c>
      <c r="K2248" s="5" t="str">
        <f aca="false">IF($J2248=FALSE(),"",COUNTIF($J$6:$J2248,TRUE()))</f>
        <v/>
      </c>
      <c r="L2248" s="5" t="str">
        <f aca="false">IF($K2248="","","R"&amp;$K2248)</f>
        <v/>
      </c>
    </row>
    <row r="2249" customFormat="false" ht="15" hidden="false" customHeight="true" outlineLevel="0" collapsed="false">
      <c r="J2249" s="14" t="b">
        <f aca="false">IF(중복검사!$A2247="",FALSE(),중복검사!$H2247="중복")</f>
        <v>0</v>
      </c>
      <c r="K2249" s="5" t="str">
        <f aca="false">IF($J2249=FALSE(),"",COUNTIF($J$6:$J2249,TRUE()))</f>
        <v/>
      </c>
      <c r="L2249" s="5" t="str">
        <f aca="false">IF($K2249="","","R"&amp;$K2249)</f>
        <v/>
      </c>
    </row>
    <row r="2250" customFormat="false" ht="15" hidden="false" customHeight="true" outlineLevel="0" collapsed="false">
      <c r="J2250" s="14" t="b">
        <f aca="false">IF(중복검사!$A2248="",FALSE(),중복검사!$H2248="중복")</f>
        <v>0</v>
      </c>
      <c r="K2250" s="5" t="str">
        <f aca="false">IF($J2250=FALSE(),"",COUNTIF($J$6:$J2250,TRUE()))</f>
        <v/>
      </c>
      <c r="L2250" s="5" t="str">
        <f aca="false">IF($K2250="","","R"&amp;$K2250)</f>
        <v/>
      </c>
    </row>
    <row r="2251" customFormat="false" ht="15" hidden="false" customHeight="true" outlineLevel="0" collapsed="false">
      <c r="J2251" s="14" t="b">
        <f aca="false">IF(중복검사!$A2249="",FALSE(),중복검사!$H2249="중복")</f>
        <v>0</v>
      </c>
      <c r="K2251" s="5" t="str">
        <f aca="false">IF($J2251=FALSE(),"",COUNTIF($J$6:$J2251,TRUE()))</f>
        <v/>
      </c>
      <c r="L2251" s="5" t="str">
        <f aca="false">IF($K2251="","","R"&amp;$K2251)</f>
        <v/>
      </c>
    </row>
    <row r="2252" customFormat="false" ht="15" hidden="false" customHeight="true" outlineLevel="0" collapsed="false">
      <c r="J2252" s="14" t="b">
        <f aca="false">IF(중복검사!$A2250="",FALSE(),중복검사!$H2250="중복")</f>
        <v>0</v>
      </c>
      <c r="K2252" s="5" t="str">
        <f aca="false">IF($J2252=FALSE(),"",COUNTIF($J$6:$J2252,TRUE()))</f>
        <v/>
      </c>
      <c r="L2252" s="5" t="str">
        <f aca="false">IF($K2252="","","R"&amp;$K2252)</f>
        <v/>
      </c>
    </row>
    <row r="2253" customFormat="false" ht="15" hidden="false" customHeight="true" outlineLevel="0" collapsed="false">
      <c r="J2253" s="14" t="b">
        <f aca="false">IF(중복검사!$A2251="",FALSE(),중복검사!$H2251="중복")</f>
        <v>0</v>
      </c>
      <c r="K2253" s="5" t="str">
        <f aca="false">IF($J2253=FALSE(),"",COUNTIF($J$6:$J2253,TRUE()))</f>
        <v/>
      </c>
      <c r="L2253" s="5" t="str">
        <f aca="false">IF($K2253="","","R"&amp;$K2253)</f>
        <v/>
      </c>
    </row>
    <row r="2254" customFormat="false" ht="15" hidden="false" customHeight="true" outlineLevel="0" collapsed="false">
      <c r="J2254" s="14" t="b">
        <f aca="false">IF(중복검사!$A2252="",FALSE(),중복검사!$H2252="중복")</f>
        <v>0</v>
      </c>
      <c r="K2254" s="5" t="str">
        <f aca="false">IF($J2254=FALSE(),"",COUNTIF($J$6:$J2254,TRUE()))</f>
        <v/>
      </c>
      <c r="L2254" s="5" t="str">
        <f aca="false">IF($K2254="","","R"&amp;$K2254)</f>
        <v/>
      </c>
    </row>
    <row r="2255" customFormat="false" ht="15" hidden="false" customHeight="true" outlineLevel="0" collapsed="false">
      <c r="J2255" s="14" t="b">
        <f aca="false">IF(중복검사!$A2253="",FALSE(),중복검사!$H2253="중복")</f>
        <v>0</v>
      </c>
      <c r="K2255" s="5" t="str">
        <f aca="false">IF($J2255=FALSE(),"",COUNTIF($J$6:$J2255,TRUE()))</f>
        <v/>
      </c>
      <c r="L2255" s="5" t="str">
        <f aca="false">IF($K2255="","","R"&amp;$K2255)</f>
        <v/>
      </c>
    </row>
    <row r="2256" customFormat="false" ht="15" hidden="false" customHeight="true" outlineLevel="0" collapsed="false">
      <c r="J2256" s="14" t="b">
        <f aca="false">IF(중복검사!$A2254="",FALSE(),중복검사!$H2254="중복")</f>
        <v>0</v>
      </c>
      <c r="K2256" s="5" t="str">
        <f aca="false">IF($J2256=FALSE(),"",COUNTIF($J$6:$J2256,TRUE()))</f>
        <v/>
      </c>
      <c r="L2256" s="5" t="str">
        <f aca="false">IF($K2256="","","R"&amp;$K2256)</f>
        <v/>
      </c>
    </row>
    <row r="2257" customFormat="false" ht="15" hidden="false" customHeight="true" outlineLevel="0" collapsed="false">
      <c r="J2257" s="14" t="b">
        <f aca="false">IF(중복검사!$A2255="",FALSE(),중복검사!$H2255="중복")</f>
        <v>0</v>
      </c>
      <c r="K2257" s="5" t="str">
        <f aca="false">IF($J2257=FALSE(),"",COUNTIF($J$6:$J2257,TRUE()))</f>
        <v/>
      </c>
      <c r="L2257" s="5" t="str">
        <f aca="false">IF($K2257="","","R"&amp;$K2257)</f>
        <v/>
      </c>
    </row>
    <row r="2258" customFormat="false" ht="15" hidden="false" customHeight="true" outlineLevel="0" collapsed="false">
      <c r="J2258" s="14" t="b">
        <f aca="false">IF(중복검사!$A2256="",FALSE(),중복검사!$H2256="중복")</f>
        <v>0</v>
      </c>
      <c r="K2258" s="5" t="str">
        <f aca="false">IF($J2258=FALSE(),"",COUNTIF($J$6:$J2258,TRUE()))</f>
        <v/>
      </c>
      <c r="L2258" s="5" t="str">
        <f aca="false">IF($K2258="","","R"&amp;$K2258)</f>
        <v/>
      </c>
    </row>
    <row r="2259" customFormat="false" ht="15" hidden="false" customHeight="true" outlineLevel="0" collapsed="false">
      <c r="J2259" s="14" t="b">
        <f aca="false">IF(중복검사!$A2257="",FALSE(),중복검사!$H2257="중복")</f>
        <v>0</v>
      </c>
      <c r="K2259" s="5" t="str">
        <f aca="false">IF($J2259=FALSE(),"",COUNTIF($J$6:$J2259,TRUE()))</f>
        <v/>
      </c>
      <c r="L2259" s="5" t="str">
        <f aca="false">IF($K2259="","","R"&amp;$K2259)</f>
        <v/>
      </c>
    </row>
    <row r="2260" customFormat="false" ht="15" hidden="false" customHeight="true" outlineLevel="0" collapsed="false">
      <c r="J2260" s="14" t="b">
        <f aca="false">IF(중복검사!$A2258="",FALSE(),중복검사!$H2258="중복")</f>
        <v>0</v>
      </c>
      <c r="K2260" s="5" t="str">
        <f aca="false">IF($J2260=FALSE(),"",COUNTIF($J$6:$J2260,TRUE()))</f>
        <v/>
      </c>
      <c r="L2260" s="5" t="str">
        <f aca="false">IF($K2260="","","R"&amp;$K2260)</f>
        <v/>
      </c>
    </row>
    <row r="2261" customFormat="false" ht="15" hidden="false" customHeight="true" outlineLevel="0" collapsed="false">
      <c r="J2261" s="14" t="b">
        <f aca="false">IF(중복검사!$A2259="",FALSE(),중복검사!$H2259="중복")</f>
        <v>0</v>
      </c>
      <c r="K2261" s="5" t="str">
        <f aca="false">IF($J2261=FALSE(),"",COUNTIF($J$6:$J2261,TRUE()))</f>
        <v/>
      </c>
      <c r="L2261" s="5" t="str">
        <f aca="false">IF($K2261="","","R"&amp;$K2261)</f>
        <v/>
      </c>
    </row>
    <row r="2262" customFormat="false" ht="15" hidden="false" customHeight="true" outlineLevel="0" collapsed="false">
      <c r="J2262" s="14" t="b">
        <f aca="false">IF(중복검사!$A2260="",FALSE(),중복검사!$H2260="중복")</f>
        <v>0</v>
      </c>
      <c r="K2262" s="5" t="str">
        <f aca="false">IF($J2262=FALSE(),"",COUNTIF($J$6:$J2262,TRUE()))</f>
        <v/>
      </c>
      <c r="L2262" s="5" t="str">
        <f aca="false">IF($K2262="","","R"&amp;$K2262)</f>
        <v/>
      </c>
    </row>
    <row r="2263" customFormat="false" ht="15" hidden="false" customHeight="true" outlineLevel="0" collapsed="false">
      <c r="J2263" s="14" t="b">
        <f aca="false">IF(중복검사!$A2261="",FALSE(),중복검사!$H2261="중복")</f>
        <v>0</v>
      </c>
      <c r="K2263" s="5" t="str">
        <f aca="false">IF($J2263=FALSE(),"",COUNTIF($J$6:$J2263,TRUE()))</f>
        <v/>
      </c>
      <c r="L2263" s="5" t="str">
        <f aca="false">IF($K2263="","","R"&amp;$K2263)</f>
        <v/>
      </c>
    </row>
    <row r="2264" customFormat="false" ht="15" hidden="false" customHeight="true" outlineLevel="0" collapsed="false">
      <c r="J2264" s="14" t="b">
        <f aca="false">IF(중복검사!$A2262="",FALSE(),중복검사!$H2262="중복")</f>
        <v>0</v>
      </c>
      <c r="K2264" s="5" t="str">
        <f aca="false">IF($J2264=FALSE(),"",COUNTIF($J$6:$J2264,TRUE()))</f>
        <v/>
      </c>
      <c r="L2264" s="5" t="str">
        <f aca="false">IF($K2264="","","R"&amp;$K2264)</f>
        <v/>
      </c>
    </row>
    <row r="2265" customFormat="false" ht="15" hidden="false" customHeight="true" outlineLevel="0" collapsed="false">
      <c r="J2265" s="14" t="b">
        <f aca="false">IF(중복검사!$A2263="",FALSE(),중복검사!$H2263="중복")</f>
        <v>0</v>
      </c>
      <c r="K2265" s="5" t="str">
        <f aca="false">IF($J2265=FALSE(),"",COUNTIF($J$6:$J2265,TRUE()))</f>
        <v/>
      </c>
      <c r="L2265" s="5" t="str">
        <f aca="false">IF($K2265="","","R"&amp;$K2265)</f>
        <v/>
      </c>
    </row>
    <row r="2266" customFormat="false" ht="15" hidden="false" customHeight="true" outlineLevel="0" collapsed="false">
      <c r="J2266" s="14" t="b">
        <f aca="false">IF(중복검사!$A2264="",FALSE(),중복검사!$H2264="중복")</f>
        <v>0</v>
      </c>
      <c r="K2266" s="5" t="str">
        <f aca="false">IF($J2266=FALSE(),"",COUNTIF($J$6:$J2266,TRUE()))</f>
        <v/>
      </c>
      <c r="L2266" s="5" t="str">
        <f aca="false">IF($K2266="","","R"&amp;$K2266)</f>
        <v/>
      </c>
    </row>
    <row r="2267" customFormat="false" ht="15" hidden="false" customHeight="true" outlineLevel="0" collapsed="false">
      <c r="J2267" s="14" t="b">
        <f aca="false">IF(중복검사!$A2265="",FALSE(),중복검사!$H2265="중복")</f>
        <v>0</v>
      </c>
      <c r="K2267" s="5" t="str">
        <f aca="false">IF($J2267=FALSE(),"",COUNTIF($J$6:$J2267,TRUE()))</f>
        <v/>
      </c>
      <c r="L2267" s="5" t="str">
        <f aca="false">IF($K2267="","","R"&amp;$K2267)</f>
        <v/>
      </c>
    </row>
    <row r="2268" customFormat="false" ht="15" hidden="false" customHeight="true" outlineLevel="0" collapsed="false">
      <c r="J2268" s="14" t="b">
        <f aca="false">IF(중복검사!$A2266="",FALSE(),중복검사!$H2266="중복")</f>
        <v>0</v>
      </c>
      <c r="K2268" s="5" t="str">
        <f aca="false">IF($J2268=FALSE(),"",COUNTIF($J$6:$J2268,TRUE()))</f>
        <v/>
      </c>
      <c r="L2268" s="5" t="str">
        <f aca="false">IF($K2268="","","R"&amp;$K2268)</f>
        <v/>
      </c>
    </row>
    <row r="2269" customFormat="false" ht="15" hidden="false" customHeight="true" outlineLevel="0" collapsed="false">
      <c r="J2269" s="14" t="b">
        <f aca="false">IF(중복검사!$A2267="",FALSE(),중복검사!$H2267="중복")</f>
        <v>0</v>
      </c>
      <c r="K2269" s="5" t="str">
        <f aca="false">IF($J2269=FALSE(),"",COUNTIF($J$6:$J2269,TRUE()))</f>
        <v/>
      </c>
      <c r="L2269" s="5" t="str">
        <f aca="false">IF($K2269="","","R"&amp;$K2269)</f>
        <v/>
      </c>
    </row>
    <row r="2270" customFormat="false" ht="15" hidden="false" customHeight="true" outlineLevel="0" collapsed="false">
      <c r="J2270" s="14" t="b">
        <f aca="false">IF(중복검사!$A2268="",FALSE(),중복검사!$H2268="중복")</f>
        <v>0</v>
      </c>
      <c r="K2270" s="5" t="str">
        <f aca="false">IF($J2270=FALSE(),"",COUNTIF($J$6:$J2270,TRUE()))</f>
        <v/>
      </c>
      <c r="L2270" s="5" t="str">
        <f aca="false">IF($K2270="","","R"&amp;$K2270)</f>
        <v/>
      </c>
    </row>
    <row r="2271" customFormat="false" ht="15" hidden="false" customHeight="true" outlineLevel="0" collapsed="false">
      <c r="J2271" s="14" t="b">
        <f aca="false">IF(중복검사!$A2269="",FALSE(),중복검사!$H2269="중복")</f>
        <v>0</v>
      </c>
      <c r="K2271" s="5" t="str">
        <f aca="false">IF($J2271=FALSE(),"",COUNTIF($J$6:$J2271,TRUE()))</f>
        <v/>
      </c>
      <c r="L2271" s="5" t="str">
        <f aca="false">IF($K2271="","","R"&amp;$K2271)</f>
        <v/>
      </c>
    </row>
    <row r="2272" customFormat="false" ht="15" hidden="false" customHeight="true" outlineLevel="0" collapsed="false">
      <c r="J2272" s="14" t="b">
        <f aca="false">IF(중복검사!$A2270="",FALSE(),중복검사!$H2270="중복")</f>
        <v>0</v>
      </c>
      <c r="K2272" s="5" t="str">
        <f aca="false">IF($J2272=FALSE(),"",COUNTIF($J$6:$J2272,TRUE()))</f>
        <v/>
      </c>
      <c r="L2272" s="5" t="str">
        <f aca="false">IF($K2272="","","R"&amp;$K2272)</f>
        <v/>
      </c>
    </row>
    <row r="2273" customFormat="false" ht="15" hidden="false" customHeight="true" outlineLevel="0" collapsed="false">
      <c r="J2273" s="14" t="b">
        <f aca="false">IF(중복검사!$A2271="",FALSE(),중복검사!$H2271="중복")</f>
        <v>0</v>
      </c>
      <c r="K2273" s="5" t="str">
        <f aca="false">IF($J2273=FALSE(),"",COUNTIF($J$6:$J2273,TRUE()))</f>
        <v/>
      </c>
      <c r="L2273" s="5" t="str">
        <f aca="false">IF($K2273="","","R"&amp;$K2273)</f>
        <v/>
      </c>
    </row>
    <row r="2274" customFormat="false" ht="15" hidden="false" customHeight="true" outlineLevel="0" collapsed="false">
      <c r="J2274" s="14" t="b">
        <f aca="false">IF(중복검사!$A2272="",FALSE(),중복검사!$H2272="중복")</f>
        <v>0</v>
      </c>
      <c r="K2274" s="5" t="str">
        <f aca="false">IF($J2274=FALSE(),"",COUNTIF($J$6:$J2274,TRUE()))</f>
        <v/>
      </c>
      <c r="L2274" s="5" t="str">
        <f aca="false">IF($K2274="","","R"&amp;$K2274)</f>
        <v/>
      </c>
    </row>
    <row r="2275" customFormat="false" ht="15" hidden="false" customHeight="true" outlineLevel="0" collapsed="false">
      <c r="J2275" s="14" t="b">
        <f aca="false">IF(중복검사!$A2273="",FALSE(),중복검사!$H2273="중복")</f>
        <v>0</v>
      </c>
      <c r="K2275" s="5" t="str">
        <f aca="false">IF($J2275=FALSE(),"",COUNTIF($J$6:$J2275,TRUE()))</f>
        <v/>
      </c>
      <c r="L2275" s="5" t="str">
        <f aca="false">IF($K2275="","","R"&amp;$K2275)</f>
        <v/>
      </c>
    </row>
    <row r="2276" customFormat="false" ht="15" hidden="false" customHeight="true" outlineLevel="0" collapsed="false">
      <c r="J2276" s="14" t="b">
        <f aca="false">IF(중복검사!$A2274="",FALSE(),중복검사!$H2274="중복")</f>
        <v>0</v>
      </c>
      <c r="K2276" s="5" t="str">
        <f aca="false">IF($J2276=FALSE(),"",COUNTIF($J$6:$J2276,TRUE()))</f>
        <v/>
      </c>
      <c r="L2276" s="5" t="str">
        <f aca="false">IF($K2276="","","R"&amp;$K2276)</f>
        <v/>
      </c>
    </row>
    <row r="2277" customFormat="false" ht="15" hidden="false" customHeight="true" outlineLevel="0" collapsed="false">
      <c r="J2277" s="14" t="b">
        <f aca="false">IF(중복검사!$A2275="",FALSE(),중복검사!$H2275="중복")</f>
        <v>0</v>
      </c>
      <c r="K2277" s="5" t="str">
        <f aca="false">IF($J2277=FALSE(),"",COUNTIF($J$6:$J2277,TRUE()))</f>
        <v/>
      </c>
      <c r="L2277" s="5" t="str">
        <f aca="false">IF($K2277="","","R"&amp;$K2277)</f>
        <v/>
      </c>
    </row>
    <row r="2278" customFormat="false" ht="15" hidden="false" customHeight="true" outlineLevel="0" collapsed="false">
      <c r="J2278" s="14" t="b">
        <f aca="false">IF(중복검사!$A2276="",FALSE(),중복검사!$H2276="중복")</f>
        <v>0</v>
      </c>
      <c r="K2278" s="5" t="str">
        <f aca="false">IF($J2278=FALSE(),"",COUNTIF($J$6:$J2278,TRUE()))</f>
        <v/>
      </c>
      <c r="L2278" s="5" t="str">
        <f aca="false">IF($K2278="","","R"&amp;$K2278)</f>
        <v/>
      </c>
    </row>
    <row r="2279" customFormat="false" ht="15" hidden="false" customHeight="true" outlineLevel="0" collapsed="false">
      <c r="J2279" s="14" t="b">
        <f aca="false">IF(중복검사!$A2277="",FALSE(),중복검사!$H2277="중복")</f>
        <v>0</v>
      </c>
      <c r="K2279" s="5" t="str">
        <f aca="false">IF($J2279=FALSE(),"",COUNTIF($J$6:$J2279,TRUE()))</f>
        <v/>
      </c>
      <c r="L2279" s="5" t="str">
        <f aca="false">IF($K2279="","","R"&amp;$K2279)</f>
        <v/>
      </c>
    </row>
    <row r="2280" customFormat="false" ht="15" hidden="false" customHeight="true" outlineLevel="0" collapsed="false">
      <c r="J2280" s="14" t="b">
        <f aca="false">IF(중복검사!$A2278="",FALSE(),중복검사!$H2278="중복")</f>
        <v>0</v>
      </c>
      <c r="K2280" s="5" t="str">
        <f aca="false">IF($J2280=FALSE(),"",COUNTIF($J$6:$J2280,TRUE()))</f>
        <v/>
      </c>
      <c r="L2280" s="5" t="str">
        <f aca="false">IF($K2280="","","R"&amp;$K2280)</f>
        <v/>
      </c>
    </row>
    <row r="2281" customFormat="false" ht="15" hidden="false" customHeight="true" outlineLevel="0" collapsed="false">
      <c r="J2281" s="14" t="b">
        <f aca="false">IF(중복검사!$A2279="",FALSE(),중복검사!$H2279="중복")</f>
        <v>0</v>
      </c>
      <c r="K2281" s="5" t="str">
        <f aca="false">IF($J2281=FALSE(),"",COUNTIF($J$6:$J2281,TRUE()))</f>
        <v/>
      </c>
      <c r="L2281" s="5" t="str">
        <f aca="false">IF($K2281="","","R"&amp;$K2281)</f>
        <v/>
      </c>
    </row>
    <row r="2282" customFormat="false" ht="15" hidden="false" customHeight="true" outlineLevel="0" collapsed="false">
      <c r="J2282" s="14" t="b">
        <f aca="false">IF(중복검사!$A2280="",FALSE(),중복검사!$H2280="중복")</f>
        <v>0</v>
      </c>
      <c r="K2282" s="5" t="str">
        <f aca="false">IF($J2282=FALSE(),"",COUNTIF($J$6:$J2282,TRUE()))</f>
        <v/>
      </c>
      <c r="L2282" s="5" t="str">
        <f aca="false">IF($K2282="","","R"&amp;$K2282)</f>
        <v/>
      </c>
    </row>
    <row r="2283" customFormat="false" ht="15" hidden="false" customHeight="true" outlineLevel="0" collapsed="false">
      <c r="J2283" s="14" t="b">
        <f aca="false">IF(중복검사!$A2281="",FALSE(),중복검사!$H2281="중복")</f>
        <v>0</v>
      </c>
      <c r="K2283" s="5" t="str">
        <f aca="false">IF($J2283=FALSE(),"",COUNTIF($J$6:$J2283,TRUE()))</f>
        <v/>
      </c>
      <c r="L2283" s="5" t="str">
        <f aca="false">IF($K2283="","","R"&amp;$K2283)</f>
        <v/>
      </c>
    </row>
    <row r="2284" customFormat="false" ht="15" hidden="false" customHeight="true" outlineLevel="0" collapsed="false">
      <c r="J2284" s="14" t="b">
        <f aca="false">IF(중복검사!$A2282="",FALSE(),중복검사!$H2282="중복")</f>
        <v>0</v>
      </c>
      <c r="K2284" s="5" t="str">
        <f aca="false">IF($J2284=FALSE(),"",COUNTIF($J$6:$J2284,TRUE()))</f>
        <v/>
      </c>
      <c r="L2284" s="5" t="str">
        <f aca="false">IF($K2284="","","R"&amp;$K2284)</f>
        <v/>
      </c>
    </row>
    <row r="2285" customFormat="false" ht="15" hidden="false" customHeight="true" outlineLevel="0" collapsed="false">
      <c r="J2285" s="14" t="b">
        <f aca="false">IF(중복검사!$A2283="",FALSE(),중복검사!$H2283="중복")</f>
        <v>0</v>
      </c>
      <c r="K2285" s="5" t="str">
        <f aca="false">IF($J2285=FALSE(),"",COUNTIF($J$6:$J2285,TRUE()))</f>
        <v/>
      </c>
      <c r="L2285" s="5" t="str">
        <f aca="false">IF($K2285="","","R"&amp;$K2285)</f>
        <v/>
      </c>
    </row>
    <row r="2286" customFormat="false" ht="15" hidden="false" customHeight="true" outlineLevel="0" collapsed="false">
      <c r="J2286" s="14" t="b">
        <f aca="false">IF(중복검사!$A2284="",FALSE(),중복검사!$H2284="중복")</f>
        <v>0</v>
      </c>
      <c r="K2286" s="5" t="str">
        <f aca="false">IF($J2286=FALSE(),"",COUNTIF($J$6:$J2286,TRUE()))</f>
        <v/>
      </c>
      <c r="L2286" s="5" t="str">
        <f aca="false">IF($K2286="","","R"&amp;$K2286)</f>
        <v/>
      </c>
    </row>
    <row r="2287" customFormat="false" ht="15" hidden="false" customHeight="true" outlineLevel="0" collapsed="false">
      <c r="J2287" s="14" t="b">
        <f aca="false">IF(중복검사!$A2285="",FALSE(),중복검사!$H2285="중복")</f>
        <v>0</v>
      </c>
      <c r="K2287" s="5" t="str">
        <f aca="false">IF($J2287=FALSE(),"",COUNTIF($J$6:$J2287,TRUE()))</f>
        <v/>
      </c>
      <c r="L2287" s="5" t="str">
        <f aca="false">IF($K2287="","","R"&amp;$K2287)</f>
        <v/>
      </c>
    </row>
    <row r="2288" customFormat="false" ht="15" hidden="false" customHeight="true" outlineLevel="0" collapsed="false">
      <c r="J2288" s="14" t="b">
        <f aca="false">IF(중복검사!$A2286="",FALSE(),중복검사!$H2286="중복")</f>
        <v>0</v>
      </c>
      <c r="K2288" s="5" t="str">
        <f aca="false">IF($J2288=FALSE(),"",COUNTIF($J$6:$J2288,TRUE()))</f>
        <v/>
      </c>
      <c r="L2288" s="5" t="str">
        <f aca="false">IF($K2288="","","R"&amp;$K2288)</f>
        <v/>
      </c>
    </row>
    <row r="2289" customFormat="false" ht="15" hidden="false" customHeight="true" outlineLevel="0" collapsed="false">
      <c r="J2289" s="14" t="b">
        <f aca="false">IF(중복검사!$A2287="",FALSE(),중복검사!$H2287="중복")</f>
        <v>0</v>
      </c>
      <c r="K2289" s="5" t="str">
        <f aca="false">IF($J2289=FALSE(),"",COUNTIF($J$6:$J2289,TRUE()))</f>
        <v/>
      </c>
      <c r="L2289" s="5" t="str">
        <f aca="false">IF($K2289="","","R"&amp;$K2289)</f>
        <v/>
      </c>
    </row>
    <row r="2290" customFormat="false" ht="15" hidden="false" customHeight="true" outlineLevel="0" collapsed="false">
      <c r="J2290" s="14" t="b">
        <f aca="false">IF(중복검사!$A2288="",FALSE(),중복검사!$H2288="중복")</f>
        <v>0</v>
      </c>
      <c r="K2290" s="5" t="str">
        <f aca="false">IF($J2290=FALSE(),"",COUNTIF($J$6:$J2290,TRUE()))</f>
        <v/>
      </c>
      <c r="L2290" s="5" t="str">
        <f aca="false">IF($K2290="","","R"&amp;$K2290)</f>
        <v/>
      </c>
    </row>
    <row r="2291" customFormat="false" ht="15" hidden="false" customHeight="true" outlineLevel="0" collapsed="false">
      <c r="J2291" s="14" t="b">
        <f aca="false">IF(중복검사!$A2289="",FALSE(),중복검사!$H2289="중복")</f>
        <v>0</v>
      </c>
      <c r="K2291" s="5" t="str">
        <f aca="false">IF($J2291=FALSE(),"",COUNTIF($J$6:$J2291,TRUE()))</f>
        <v/>
      </c>
      <c r="L2291" s="5" t="str">
        <f aca="false">IF($K2291="","","R"&amp;$K2291)</f>
        <v/>
      </c>
    </row>
    <row r="2292" customFormat="false" ht="15" hidden="false" customHeight="true" outlineLevel="0" collapsed="false">
      <c r="J2292" s="14" t="b">
        <f aca="false">IF(중복검사!$A2290="",FALSE(),중복검사!$H2290="중복")</f>
        <v>0</v>
      </c>
      <c r="K2292" s="5" t="str">
        <f aca="false">IF($J2292=FALSE(),"",COUNTIF($J$6:$J2292,TRUE()))</f>
        <v/>
      </c>
      <c r="L2292" s="5" t="str">
        <f aca="false">IF($K2292="","","R"&amp;$K2292)</f>
        <v/>
      </c>
    </row>
    <row r="2293" customFormat="false" ht="15" hidden="false" customHeight="true" outlineLevel="0" collapsed="false">
      <c r="J2293" s="14" t="b">
        <f aca="false">IF(중복검사!$A2291="",FALSE(),중복검사!$H2291="중복")</f>
        <v>0</v>
      </c>
      <c r="K2293" s="5" t="str">
        <f aca="false">IF($J2293=FALSE(),"",COUNTIF($J$6:$J2293,TRUE()))</f>
        <v/>
      </c>
      <c r="L2293" s="5" t="str">
        <f aca="false">IF($K2293="","","R"&amp;$K2293)</f>
        <v/>
      </c>
    </row>
    <row r="2294" customFormat="false" ht="15" hidden="false" customHeight="true" outlineLevel="0" collapsed="false">
      <c r="J2294" s="14" t="b">
        <f aca="false">IF(중복검사!$A2292="",FALSE(),중복검사!$H2292="중복")</f>
        <v>0</v>
      </c>
      <c r="K2294" s="5" t="str">
        <f aca="false">IF($J2294=FALSE(),"",COUNTIF($J$6:$J2294,TRUE()))</f>
        <v/>
      </c>
      <c r="L2294" s="5" t="str">
        <f aca="false">IF($K2294="","","R"&amp;$K2294)</f>
        <v/>
      </c>
    </row>
    <row r="2295" customFormat="false" ht="15" hidden="false" customHeight="true" outlineLevel="0" collapsed="false">
      <c r="J2295" s="14" t="b">
        <f aca="false">IF(중복검사!$A2293="",FALSE(),중복검사!$H2293="중복")</f>
        <v>0</v>
      </c>
      <c r="K2295" s="5" t="str">
        <f aca="false">IF($J2295=FALSE(),"",COUNTIF($J$6:$J2295,TRUE()))</f>
        <v/>
      </c>
      <c r="L2295" s="5" t="str">
        <f aca="false">IF($K2295="","","R"&amp;$K2295)</f>
        <v/>
      </c>
    </row>
    <row r="2296" customFormat="false" ht="15" hidden="false" customHeight="true" outlineLevel="0" collapsed="false">
      <c r="J2296" s="14" t="b">
        <f aca="false">IF(중복검사!$A2294="",FALSE(),중복검사!$H2294="중복")</f>
        <v>0</v>
      </c>
      <c r="K2296" s="5" t="str">
        <f aca="false">IF($J2296=FALSE(),"",COUNTIF($J$6:$J2296,TRUE()))</f>
        <v/>
      </c>
      <c r="L2296" s="5" t="str">
        <f aca="false">IF($K2296="","","R"&amp;$K2296)</f>
        <v/>
      </c>
    </row>
    <row r="2297" customFormat="false" ht="15" hidden="false" customHeight="true" outlineLevel="0" collapsed="false">
      <c r="J2297" s="14" t="b">
        <f aca="false">IF(중복검사!$A2295="",FALSE(),중복검사!$H2295="중복")</f>
        <v>0</v>
      </c>
      <c r="K2297" s="5" t="str">
        <f aca="false">IF($J2297=FALSE(),"",COUNTIF($J$6:$J2297,TRUE()))</f>
        <v/>
      </c>
      <c r="L2297" s="5" t="str">
        <f aca="false">IF($K2297="","","R"&amp;$K2297)</f>
        <v/>
      </c>
    </row>
    <row r="2298" customFormat="false" ht="15" hidden="false" customHeight="true" outlineLevel="0" collapsed="false">
      <c r="J2298" s="14" t="b">
        <f aca="false">IF(중복검사!$A2296="",FALSE(),중복검사!$H2296="중복")</f>
        <v>0</v>
      </c>
      <c r="K2298" s="5" t="str">
        <f aca="false">IF($J2298=FALSE(),"",COUNTIF($J$6:$J2298,TRUE()))</f>
        <v/>
      </c>
      <c r="L2298" s="5" t="str">
        <f aca="false">IF($K2298="","","R"&amp;$K2298)</f>
        <v/>
      </c>
    </row>
    <row r="2299" customFormat="false" ht="15" hidden="false" customHeight="true" outlineLevel="0" collapsed="false">
      <c r="J2299" s="14" t="b">
        <f aca="false">IF(중복검사!$A2297="",FALSE(),중복검사!$H2297="중복")</f>
        <v>0</v>
      </c>
      <c r="K2299" s="5" t="str">
        <f aca="false">IF($J2299=FALSE(),"",COUNTIF($J$6:$J2299,TRUE()))</f>
        <v/>
      </c>
      <c r="L2299" s="5" t="str">
        <f aca="false">IF($K2299="","","R"&amp;$K2299)</f>
        <v/>
      </c>
    </row>
    <row r="2300" customFormat="false" ht="15" hidden="false" customHeight="true" outlineLevel="0" collapsed="false">
      <c r="J2300" s="14" t="b">
        <f aca="false">IF(중복검사!$A2298="",FALSE(),중복검사!$H2298="중복")</f>
        <v>0</v>
      </c>
      <c r="K2300" s="5" t="str">
        <f aca="false">IF($J2300=FALSE(),"",COUNTIF($J$6:$J2300,TRUE()))</f>
        <v/>
      </c>
      <c r="L2300" s="5" t="str">
        <f aca="false">IF($K2300="","","R"&amp;$K2300)</f>
        <v/>
      </c>
    </row>
    <row r="2301" customFormat="false" ht="15" hidden="false" customHeight="true" outlineLevel="0" collapsed="false">
      <c r="J2301" s="14" t="b">
        <f aca="false">IF(중복검사!$A2299="",FALSE(),중복검사!$H2299="중복")</f>
        <v>0</v>
      </c>
      <c r="K2301" s="5" t="str">
        <f aca="false">IF($J2301=FALSE(),"",COUNTIF($J$6:$J2301,TRUE()))</f>
        <v/>
      </c>
      <c r="L2301" s="5" t="str">
        <f aca="false">IF($K2301="","","R"&amp;$K2301)</f>
        <v/>
      </c>
    </row>
    <row r="2302" customFormat="false" ht="15" hidden="false" customHeight="true" outlineLevel="0" collapsed="false">
      <c r="J2302" s="14" t="b">
        <f aca="false">IF(중복검사!$A2300="",FALSE(),중복검사!$H2300="중복")</f>
        <v>0</v>
      </c>
      <c r="K2302" s="5" t="str">
        <f aca="false">IF($J2302=FALSE(),"",COUNTIF($J$6:$J2302,TRUE()))</f>
        <v/>
      </c>
      <c r="L2302" s="5" t="str">
        <f aca="false">IF($K2302="","","R"&amp;$K2302)</f>
        <v/>
      </c>
    </row>
    <row r="2303" customFormat="false" ht="15" hidden="false" customHeight="true" outlineLevel="0" collapsed="false">
      <c r="J2303" s="14" t="b">
        <f aca="false">IF(중복검사!$A2301="",FALSE(),중복검사!$H2301="중복")</f>
        <v>0</v>
      </c>
      <c r="K2303" s="5" t="str">
        <f aca="false">IF($J2303=FALSE(),"",COUNTIF($J$6:$J2303,TRUE()))</f>
        <v/>
      </c>
      <c r="L2303" s="5" t="str">
        <f aca="false">IF($K2303="","","R"&amp;$K2303)</f>
        <v/>
      </c>
    </row>
    <row r="2304" customFormat="false" ht="15" hidden="false" customHeight="true" outlineLevel="0" collapsed="false">
      <c r="J2304" s="14" t="b">
        <f aca="false">IF(중복검사!$A2302="",FALSE(),중복검사!$H2302="중복")</f>
        <v>0</v>
      </c>
      <c r="K2304" s="5" t="str">
        <f aca="false">IF($J2304=FALSE(),"",COUNTIF($J$6:$J2304,TRUE()))</f>
        <v/>
      </c>
      <c r="L2304" s="5" t="str">
        <f aca="false">IF($K2304="","","R"&amp;$K2304)</f>
        <v/>
      </c>
    </row>
    <row r="2305" customFormat="false" ht="15" hidden="false" customHeight="true" outlineLevel="0" collapsed="false">
      <c r="J2305" s="14" t="b">
        <f aca="false">IF(중복검사!$A2303="",FALSE(),중복검사!$H2303="중복")</f>
        <v>0</v>
      </c>
      <c r="K2305" s="5" t="str">
        <f aca="false">IF($J2305=FALSE(),"",COUNTIF($J$6:$J2305,TRUE()))</f>
        <v/>
      </c>
      <c r="L2305" s="5" t="str">
        <f aca="false">IF($K2305="","","R"&amp;$K2305)</f>
        <v/>
      </c>
    </row>
    <row r="2306" customFormat="false" ht="15" hidden="false" customHeight="true" outlineLevel="0" collapsed="false">
      <c r="J2306" s="14" t="b">
        <f aca="false">IF(중복검사!$A2304="",FALSE(),중복검사!$H2304="중복")</f>
        <v>0</v>
      </c>
      <c r="K2306" s="5" t="str">
        <f aca="false">IF($J2306=FALSE(),"",COUNTIF($J$6:$J2306,TRUE()))</f>
        <v/>
      </c>
      <c r="L2306" s="5" t="str">
        <f aca="false">IF($K2306="","","R"&amp;$K2306)</f>
        <v/>
      </c>
    </row>
    <row r="2307" customFormat="false" ht="15" hidden="false" customHeight="true" outlineLevel="0" collapsed="false">
      <c r="J2307" s="14" t="b">
        <f aca="false">IF(중복검사!$A2305="",FALSE(),중복검사!$H2305="중복")</f>
        <v>0</v>
      </c>
      <c r="K2307" s="5" t="str">
        <f aca="false">IF($J2307=FALSE(),"",COUNTIF($J$6:$J2307,TRUE()))</f>
        <v/>
      </c>
      <c r="L2307" s="5" t="str">
        <f aca="false">IF($K2307="","","R"&amp;$K2307)</f>
        <v/>
      </c>
    </row>
    <row r="2308" customFormat="false" ht="15" hidden="false" customHeight="true" outlineLevel="0" collapsed="false">
      <c r="J2308" s="14" t="b">
        <f aca="false">IF(중복검사!$A2306="",FALSE(),중복검사!$H2306="중복")</f>
        <v>0</v>
      </c>
      <c r="K2308" s="5" t="str">
        <f aca="false">IF($J2308=FALSE(),"",COUNTIF($J$6:$J2308,TRUE()))</f>
        <v/>
      </c>
      <c r="L2308" s="5" t="str">
        <f aca="false">IF($K2308="","","R"&amp;$K2308)</f>
        <v/>
      </c>
    </row>
    <row r="2309" customFormat="false" ht="15" hidden="false" customHeight="true" outlineLevel="0" collapsed="false">
      <c r="J2309" s="14" t="b">
        <f aca="false">IF(중복검사!$A2307="",FALSE(),중복검사!$H2307="중복")</f>
        <v>0</v>
      </c>
      <c r="K2309" s="5" t="str">
        <f aca="false">IF($J2309=FALSE(),"",COUNTIF($J$6:$J2309,TRUE()))</f>
        <v/>
      </c>
      <c r="L2309" s="5" t="str">
        <f aca="false">IF($K2309="","","R"&amp;$K2309)</f>
        <v/>
      </c>
    </row>
    <row r="2310" customFormat="false" ht="15" hidden="false" customHeight="true" outlineLevel="0" collapsed="false">
      <c r="J2310" s="14" t="b">
        <f aca="false">IF(중복검사!$A2308="",FALSE(),중복검사!$H2308="중복")</f>
        <v>0</v>
      </c>
      <c r="K2310" s="5" t="str">
        <f aca="false">IF($J2310=FALSE(),"",COUNTIF($J$6:$J2310,TRUE()))</f>
        <v/>
      </c>
      <c r="L2310" s="5" t="str">
        <f aca="false">IF($K2310="","","R"&amp;$K2310)</f>
        <v/>
      </c>
    </row>
    <row r="2311" customFormat="false" ht="15" hidden="false" customHeight="true" outlineLevel="0" collapsed="false">
      <c r="J2311" s="14" t="b">
        <f aca="false">IF(중복검사!$A2309="",FALSE(),중복검사!$H2309="중복")</f>
        <v>0</v>
      </c>
      <c r="K2311" s="5" t="str">
        <f aca="false">IF($J2311=FALSE(),"",COUNTIF($J$6:$J2311,TRUE()))</f>
        <v/>
      </c>
      <c r="L2311" s="5" t="str">
        <f aca="false">IF($K2311="","","R"&amp;$K2311)</f>
        <v/>
      </c>
    </row>
    <row r="2312" customFormat="false" ht="15" hidden="false" customHeight="true" outlineLevel="0" collapsed="false">
      <c r="J2312" s="14" t="b">
        <f aca="false">IF(중복검사!$A2310="",FALSE(),중복검사!$H2310="중복")</f>
        <v>0</v>
      </c>
      <c r="K2312" s="5" t="str">
        <f aca="false">IF($J2312=FALSE(),"",COUNTIF($J$6:$J2312,TRUE()))</f>
        <v/>
      </c>
      <c r="L2312" s="5" t="str">
        <f aca="false">IF($K2312="","","R"&amp;$K2312)</f>
        <v/>
      </c>
    </row>
    <row r="2313" customFormat="false" ht="15" hidden="false" customHeight="true" outlineLevel="0" collapsed="false">
      <c r="J2313" s="14" t="b">
        <f aca="false">IF(중복검사!$A2311="",FALSE(),중복검사!$H2311="중복")</f>
        <v>0</v>
      </c>
      <c r="K2313" s="5" t="str">
        <f aca="false">IF($J2313=FALSE(),"",COUNTIF($J$6:$J2313,TRUE()))</f>
        <v/>
      </c>
      <c r="L2313" s="5" t="str">
        <f aca="false">IF($K2313="","","R"&amp;$K2313)</f>
        <v/>
      </c>
    </row>
    <row r="2314" customFormat="false" ht="15" hidden="false" customHeight="true" outlineLevel="0" collapsed="false">
      <c r="J2314" s="14" t="b">
        <f aca="false">IF(중복검사!$A2312="",FALSE(),중복검사!$H2312="중복")</f>
        <v>0</v>
      </c>
      <c r="K2314" s="5" t="str">
        <f aca="false">IF($J2314=FALSE(),"",COUNTIF($J$6:$J2314,TRUE()))</f>
        <v/>
      </c>
      <c r="L2314" s="5" t="str">
        <f aca="false">IF($K2314="","","R"&amp;$K2314)</f>
        <v/>
      </c>
    </row>
    <row r="2315" customFormat="false" ht="15" hidden="false" customHeight="true" outlineLevel="0" collapsed="false">
      <c r="J2315" s="14" t="b">
        <f aca="false">IF(중복검사!$A2313="",FALSE(),중복검사!$H2313="중복")</f>
        <v>0</v>
      </c>
      <c r="K2315" s="5" t="str">
        <f aca="false">IF($J2315=FALSE(),"",COUNTIF($J$6:$J2315,TRUE()))</f>
        <v/>
      </c>
      <c r="L2315" s="5" t="str">
        <f aca="false">IF($K2315="","","R"&amp;$K2315)</f>
        <v/>
      </c>
    </row>
    <row r="2316" customFormat="false" ht="15" hidden="false" customHeight="true" outlineLevel="0" collapsed="false">
      <c r="J2316" s="14" t="b">
        <f aca="false">IF(중복검사!$A2314="",FALSE(),중복검사!$H2314="중복")</f>
        <v>0</v>
      </c>
      <c r="K2316" s="5" t="str">
        <f aca="false">IF($J2316=FALSE(),"",COUNTIF($J$6:$J2316,TRUE()))</f>
        <v/>
      </c>
      <c r="L2316" s="5" t="str">
        <f aca="false">IF($K2316="","","R"&amp;$K2316)</f>
        <v/>
      </c>
    </row>
    <row r="2317" customFormat="false" ht="15" hidden="false" customHeight="true" outlineLevel="0" collapsed="false">
      <c r="J2317" s="14" t="b">
        <f aca="false">IF(중복검사!$A2315="",FALSE(),중복검사!$H2315="중복")</f>
        <v>0</v>
      </c>
      <c r="K2317" s="5" t="str">
        <f aca="false">IF($J2317=FALSE(),"",COUNTIF($J$6:$J2317,TRUE()))</f>
        <v/>
      </c>
      <c r="L2317" s="5" t="str">
        <f aca="false">IF($K2317="","","R"&amp;$K2317)</f>
        <v/>
      </c>
    </row>
    <row r="2318" customFormat="false" ht="15" hidden="false" customHeight="true" outlineLevel="0" collapsed="false">
      <c r="J2318" s="14" t="b">
        <f aca="false">IF(중복검사!$A2316="",FALSE(),중복검사!$H2316="중복")</f>
        <v>0</v>
      </c>
      <c r="K2318" s="5" t="str">
        <f aca="false">IF($J2318=FALSE(),"",COUNTIF($J$6:$J2318,TRUE()))</f>
        <v/>
      </c>
      <c r="L2318" s="5" t="str">
        <f aca="false">IF($K2318="","","R"&amp;$K2318)</f>
        <v/>
      </c>
    </row>
    <row r="2319" customFormat="false" ht="15" hidden="false" customHeight="true" outlineLevel="0" collapsed="false">
      <c r="J2319" s="14" t="b">
        <f aca="false">IF(중복검사!$A2317="",FALSE(),중복검사!$H2317="중복")</f>
        <v>0</v>
      </c>
      <c r="K2319" s="5" t="str">
        <f aca="false">IF($J2319=FALSE(),"",COUNTIF($J$6:$J2319,TRUE()))</f>
        <v/>
      </c>
      <c r="L2319" s="5" t="str">
        <f aca="false">IF($K2319="","","R"&amp;$K2319)</f>
        <v/>
      </c>
    </row>
    <row r="2320" customFormat="false" ht="15" hidden="false" customHeight="true" outlineLevel="0" collapsed="false">
      <c r="J2320" s="14" t="b">
        <f aca="false">IF(중복검사!$A2318="",FALSE(),중복검사!$H2318="중복")</f>
        <v>0</v>
      </c>
      <c r="K2320" s="5" t="str">
        <f aca="false">IF($J2320=FALSE(),"",COUNTIF($J$6:$J2320,TRUE()))</f>
        <v/>
      </c>
      <c r="L2320" s="5" t="str">
        <f aca="false">IF($K2320="","","R"&amp;$K2320)</f>
        <v/>
      </c>
    </row>
    <row r="2321" customFormat="false" ht="15" hidden="false" customHeight="true" outlineLevel="0" collapsed="false">
      <c r="J2321" s="14" t="b">
        <f aca="false">IF(중복검사!$A2319="",FALSE(),중복검사!$H2319="중복")</f>
        <v>0</v>
      </c>
      <c r="K2321" s="5" t="str">
        <f aca="false">IF($J2321=FALSE(),"",COUNTIF($J$6:$J2321,TRUE()))</f>
        <v/>
      </c>
      <c r="L2321" s="5" t="str">
        <f aca="false">IF($K2321="","","R"&amp;$K2321)</f>
        <v/>
      </c>
    </row>
    <row r="2322" customFormat="false" ht="15" hidden="false" customHeight="true" outlineLevel="0" collapsed="false">
      <c r="J2322" s="14" t="b">
        <f aca="false">IF(중복검사!$A2320="",FALSE(),중복검사!$H2320="중복")</f>
        <v>0</v>
      </c>
      <c r="K2322" s="5" t="str">
        <f aca="false">IF($J2322=FALSE(),"",COUNTIF($J$6:$J2322,TRUE()))</f>
        <v/>
      </c>
      <c r="L2322" s="5" t="str">
        <f aca="false">IF($K2322="","","R"&amp;$K2322)</f>
        <v/>
      </c>
    </row>
    <row r="2323" customFormat="false" ht="15" hidden="false" customHeight="true" outlineLevel="0" collapsed="false">
      <c r="J2323" s="14" t="b">
        <f aca="false">IF(중복검사!$A2321="",FALSE(),중복검사!$H2321="중복")</f>
        <v>0</v>
      </c>
      <c r="K2323" s="5" t="str">
        <f aca="false">IF($J2323=FALSE(),"",COUNTIF($J$6:$J2323,TRUE()))</f>
        <v/>
      </c>
      <c r="L2323" s="5" t="str">
        <f aca="false">IF($K2323="","","R"&amp;$K2323)</f>
        <v/>
      </c>
    </row>
    <row r="2324" customFormat="false" ht="15" hidden="false" customHeight="true" outlineLevel="0" collapsed="false">
      <c r="J2324" s="14" t="b">
        <f aca="false">IF(중복검사!$A2322="",FALSE(),중복검사!$H2322="중복")</f>
        <v>0</v>
      </c>
      <c r="K2324" s="5" t="str">
        <f aca="false">IF($J2324=FALSE(),"",COUNTIF($J$6:$J2324,TRUE()))</f>
        <v/>
      </c>
      <c r="L2324" s="5" t="str">
        <f aca="false">IF($K2324="","","R"&amp;$K2324)</f>
        <v/>
      </c>
    </row>
    <row r="2325" customFormat="false" ht="15" hidden="false" customHeight="true" outlineLevel="0" collapsed="false">
      <c r="J2325" s="14" t="b">
        <f aca="false">IF(중복검사!$A2323="",FALSE(),중복검사!$H2323="중복")</f>
        <v>0</v>
      </c>
      <c r="K2325" s="5" t="str">
        <f aca="false">IF($J2325=FALSE(),"",COUNTIF($J$6:$J2325,TRUE()))</f>
        <v/>
      </c>
      <c r="L2325" s="5" t="str">
        <f aca="false">IF($K2325="","","R"&amp;$K2325)</f>
        <v/>
      </c>
    </row>
    <row r="2326" customFormat="false" ht="15" hidden="false" customHeight="true" outlineLevel="0" collapsed="false">
      <c r="J2326" s="14" t="b">
        <f aca="false">IF(중복검사!$A2324="",FALSE(),중복검사!$H2324="중복")</f>
        <v>0</v>
      </c>
      <c r="K2326" s="5" t="str">
        <f aca="false">IF($J2326=FALSE(),"",COUNTIF($J$6:$J2326,TRUE()))</f>
        <v/>
      </c>
      <c r="L2326" s="5" t="str">
        <f aca="false">IF($K2326="","","R"&amp;$K2326)</f>
        <v/>
      </c>
    </row>
    <row r="2327" customFormat="false" ht="15" hidden="false" customHeight="true" outlineLevel="0" collapsed="false">
      <c r="J2327" s="14" t="b">
        <f aca="false">IF(중복검사!$A2325="",FALSE(),중복검사!$H2325="중복")</f>
        <v>0</v>
      </c>
      <c r="K2327" s="5" t="str">
        <f aca="false">IF($J2327=FALSE(),"",COUNTIF($J$6:$J2327,TRUE()))</f>
        <v/>
      </c>
      <c r="L2327" s="5" t="str">
        <f aca="false">IF($K2327="","","R"&amp;$K2327)</f>
        <v/>
      </c>
    </row>
    <row r="2328" customFormat="false" ht="15" hidden="false" customHeight="true" outlineLevel="0" collapsed="false">
      <c r="J2328" s="14" t="b">
        <f aca="false">IF(중복검사!$A2326="",FALSE(),중복검사!$H2326="중복")</f>
        <v>0</v>
      </c>
      <c r="K2328" s="5" t="str">
        <f aca="false">IF($J2328=FALSE(),"",COUNTIF($J$6:$J2328,TRUE()))</f>
        <v/>
      </c>
      <c r="L2328" s="5" t="str">
        <f aca="false">IF($K2328="","","R"&amp;$K2328)</f>
        <v/>
      </c>
    </row>
    <row r="2329" customFormat="false" ht="15" hidden="false" customHeight="true" outlineLevel="0" collapsed="false">
      <c r="J2329" s="14" t="b">
        <f aca="false">IF(중복검사!$A2327="",FALSE(),중복검사!$H2327="중복")</f>
        <v>0</v>
      </c>
      <c r="K2329" s="5" t="str">
        <f aca="false">IF($J2329=FALSE(),"",COUNTIF($J$6:$J2329,TRUE()))</f>
        <v/>
      </c>
      <c r="L2329" s="5" t="str">
        <f aca="false">IF($K2329="","","R"&amp;$K2329)</f>
        <v/>
      </c>
    </row>
    <row r="2330" customFormat="false" ht="15" hidden="false" customHeight="true" outlineLevel="0" collapsed="false">
      <c r="J2330" s="14" t="b">
        <f aca="false">IF(중복검사!$A2328="",FALSE(),중복검사!$H2328="중복")</f>
        <v>0</v>
      </c>
      <c r="K2330" s="5" t="str">
        <f aca="false">IF($J2330=FALSE(),"",COUNTIF($J$6:$J2330,TRUE()))</f>
        <v/>
      </c>
      <c r="L2330" s="5" t="str">
        <f aca="false">IF($K2330="","","R"&amp;$K2330)</f>
        <v/>
      </c>
    </row>
    <row r="2331" customFormat="false" ht="15" hidden="false" customHeight="true" outlineLevel="0" collapsed="false">
      <c r="J2331" s="14" t="b">
        <f aca="false">IF(중복검사!$A2329="",FALSE(),중복검사!$H2329="중복")</f>
        <v>0</v>
      </c>
      <c r="K2331" s="5" t="str">
        <f aca="false">IF($J2331=FALSE(),"",COUNTIF($J$6:$J2331,TRUE()))</f>
        <v/>
      </c>
      <c r="L2331" s="5" t="str">
        <f aca="false">IF($K2331="","","R"&amp;$K2331)</f>
        <v/>
      </c>
    </row>
    <row r="2332" customFormat="false" ht="15" hidden="false" customHeight="true" outlineLevel="0" collapsed="false">
      <c r="J2332" s="14" t="b">
        <f aca="false">IF(중복검사!$A2330="",FALSE(),중복검사!$H2330="중복")</f>
        <v>0</v>
      </c>
      <c r="K2332" s="5" t="str">
        <f aca="false">IF($J2332=FALSE(),"",COUNTIF($J$6:$J2332,TRUE()))</f>
        <v/>
      </c>
      <c r="L2332" s="5" t="str">
        <f aca="false">IF($K2332="","","R"&amp;$K2332)</f>
        <v/>
      </c>
    </row>
    <row r="2333" customFormat="false" ht="15" hidden="false" customHeight="true" outlineLevel="0" collapsed="false">
      <c r="J2333" s="14" t="b">
        <f aca="false">IF(중복검사!$A2331="",FALSE(),중복검사!$H2331="중복")</f>
        <v>0</v>
      </c>
      <c r="K2333" s="5" t="str">
        <f aca="false">IF($J2333=FALSE(),"",COUNTIF($J$6:$J2333,TRUE()))</f>
        <v/>
      </c>
      <c r="L2333" s="5" t="str">
        <f aca="false">IF($K2333="","","R"&amp;$K2333)</f>
        <v/>
      </c>
    </row>
    <row r="2334" customFormat="false" ht="15" hidden="false" customHeight="true" outlineLevel="0" collapsed="false">
      <c r="J2334" s="14" t="b">
        <f aca="false">IF(중복검사!$A2332="",FALSE(),중복검사!$H2332="중복")</f>
        <v>0</v>
      </c>
      <c r="K2334" s="5" t="str">
        <f aca="false">IF($J2334=FALSE(),"",COUNTIF($J$6:$J2334,TRUE()))</f>
        <v/>
      </c>
      <c r="L2334" s="5" t="str">
        <f aca="false">IF($K2334="","","R"&amp;$K2334)</f>
        <v/>
      </c>
    </row>
    <row r="2335" customFormat="false" ht="15" hidden="false" customHeight="true" outlineLevel="0" collapsed="false">
      <c r="J2335" s="14" t="b">
        <f aca="false">IF(중복검사!$A2333="",FALSE(),중복검사!$H2333="중복")</f>
        <v>0</v>
      </c>
      <c r="K2335" s="5" t="str">
        <f aca="false">IF($J2335=FALSE(),"",COUNTIF($J$6:$J2335,TRUE()))</f>
        <v/>
      </c>
      <c r="L2335" s="5" t="str">
        <f aca="false">IF($K2335="","","R"&amp;$K2335)</f>
        <v/>
      </c>
    </row>
    <row r="2336" customFormat="false" ht="15" hidden="false" customHeight="true" outlineLevel="0" collapsed="false">
      <c r="J2336" s="14" t="b">
        <f aca="false">IF(중복검사!$A2334="",FALSE(),중복검사!$H2334="중복")</f>
        <v>0</v>
      </c>
      <c r="K2336" s="5" t="str">
        <f aca="false">IF($J2336=FALSE(),"",COUNTIF($J$6:$J2336,TRUE()))</f>
        <v/>
      </c>
      <c r="L2336" s="5" t="str">
        <f aca="false">IF($K2336="","","R"&amp;$K2336)</f>
        <v/>
      </c>
    </row>
    <row r="2337" customFormat="false" ht="15" hidden="false" customHeight="true" outlineLevel="0" collapsed="false">
      <c r="J2337" s="14" t="b">
        <f aca="false">IF(중복검사!$A2335="",FALSE(),중복검사!$H2335="중복")</f>
        <v>0</v>
      </c>
      <c r="K2337" s="5" t="str">
        <f aca="false">IF($J2337=FALSE(),"",COUNTIF($J$6:$J2337,TRUE()))</f>
        <v/>
      </c>
      <c r="L2337" s="5" t="str">
        <f aca="false">IF($K2337="","","R"&amp;$K2337)</f>
        <v/>
      </c>
    </row>
    <row r="2338" customFormat="false" ht="15" hidden="false" customHeight="true" outlineLevel="0" collapsed="false">
      <c r="J2338" s="14" t="b">
        <f aca="false">IF(중복검사!$A2336="",FALSE(),중복검사!$H2336="중복")</f>
        <v>0</v>
      </c>
      <c r="K2338" s="5" t="str">
        <f aca="false">IF($J2338=FALSE(),"",COUNTIF($J$6:$J2338,TRUE()))</f>
        <v/>
      </c>
      <c r="L2338" s="5" t="str">
        <f aca="false">IF($K2338="","","R"&amp;$K2338)</f>
        <v/>
      </c>
    </row>
    <row r="2339" customFormat="false" ht="15" hidden="false" customHeight="true" outlineLevel="0" collapsed="false">
      <c r="J2339" s="14" t="b">
        <f aca="false">IF(중복검사!$A2337="",FALSE(),중복검사!$H2337="중복")</f>
        <v>0</v>
      </c>
      <c r="K2339" s="5" t="str">
        <f aca="false">IF($J2339=FALSE(),"",COUNTIF($J$6:$J2339,TRUE()))</f>
        <v/>
      </c>
      <c r="L2339" s="5" t="str">
        <f aca="false">IF($K2339="","","R"&amp;$K2339)</f>
        <v/>
      </c>
    </row>
    <row r="2340" customFormat="false" ht="15" hidden="false" customHeight="true" outlineLevel="0" collapsed="false">
      <c r="J2340" s="14" t="b">
        <f aca="false">IF(중복검사!$A2338="",FALSE(),중복검사!$H2338="중복")</f>
        <v>0</v>
      </c>
      <c r="K2340" s="5" t="str">
        <f aca="false">IF($J2340=FALSE(),"",COUNTIF($J$6:$J2340,TRUE()))</f>
        <v/>
      </c>
      <c r="L2340" s="5" t="str">
        <f aca="false">IF($K2340="","","R"&amp;$K2340)</f>
        <v/>
      </c>
    </row>
    <row r="2341" customFormat="false" ht="15" hidden="false" customHeight="true" outlineLevel="0" collapsed="false">
      <c r="J2341" s="14" t="b">
        <f aca="false">IF(중복검사!$A2339="",FALSE(),중복검사!$H2339="중복")</f>
        <v>0</v>
      </c>
      <c r="K2341" s="5" t="str">
        <f aca="false">IF($J2341=FALSE(),"",COUNTIF($J$6:$J2341,TRUE()))</f>
        <v/>
      </c>
      <c r="L2341" s="5" t="str">
        <f aca="false">IF($K2341="","","R"&amp;$K2341)</f>
        <v/>
      </c>
    </row>
    <row r="2342" customFormat="false" ht="15" hidden="false" customHeight="true" outlineLevel="0" collapsed="false">
      <c r="J2342" s="14" t="b">
        <f aca="false">IF(중복검사!$A2340="",FALSE(),중복검사!$H2340="중복")</f>
        <v>0</v>
      </c>
      <c r="K2342" s="5" t="str">
        <f aca="false">IF($J2342=FALSE(),"",COUNTIF($J$6:$J2342,TRUE()))</f>
        <v/>
      </c>
      <c r="L2342" s="5" t="str">
        <f aca="false">IF($K2342="","","R"&amp;$K2342)</f>
        <v/>
      </c>
    </row>
    <row r="2343" customFormat="false" ht="15" hidden="false" customHeight="true" outlineLevel="0" collapsed="false">
      <c r="J2343" s="14" t="b">
        <f aca="false">IF(중복검사!$A2341="",FALSE(),중복검사!$H2341="중복")</f>
        <v>0</v>
      </c>
      <c r="K2343" s="5" t="str">
        <f aca="false">IF($J2343=FALSE(),"",COUNTIF($J$6:$J2343,TRUE()))</f>
        <v/>
      </c>
      <c r="L2343" s="5" t="str">
        <f aca="false">IF($K2343="","","R"&amp;$K2343)</f>
        <v/>
      </c>
    </row>
    <row r="2344" customFormat="false" ht="15" hidden="false" customHeight="true" outlineLevel="0" collapsed="false">
      <c r="J2344" s="14" t="b">
        <f aca="false">IF(중복검사!$A2342="",FALSE(),중복검사!$H2342="중복")</f>
        <v>0</v>
      </c>
      <c r="K2344" s="5" t="str">
        <f aca="false">IF($J2344=FALSE(),"",COUNTIF($J$6:$J2344,TRUE()))</f>
        <v/>
      </c>
      <c r="L2344" s="5" t="str">
        <f aca="false">IF($K2344="","","R"&amp;$K2344)</f>
        <v/>
      </c>
    </row>
    <row r="2345" customFormat="false" ht="15" hidden="false" customHeight="true" outlineLevel="0" collapsed="false">
      <c r="J2345" s="14" t="b">
        <f aca="false">IF(중복검사!$A2343="",FALSE(),중복검사!$H2343="중복")</f>
        <v>0</v>
      </c>
      <c r="K2345" s="5" t="str">
        <f aca="false">IF($J2345=FALSE(),"",COUNTIF($J$6:$J2345,TRUE()))</f>
        <v/>
      </c>
      <c r="L2345" s="5" t="str">
        <f aca="false">IF($K2345="","","R"&amp;$K2345)</f>
        <v/>
      </c>
    </row>
    <row r="2346" customFormat="false" ht="15" hidden="false" customHeight="true" outlineLevel="0" collapsed="false">
      <c r="J2346" s="14" t="b">
        <f aca="false">IF(중복검사!$A2344="",FALSE(),중복검사!$H2344="중복")</f>
        <v>0</v>
      </c>
      <c r="K2346" s="5" t="str">
        <f aca="false">IF($J2346=FALSE(),"",COUNTIF($J$6:$J2346,TRUE()))</f>
        <v/>
      </c>
      <c r="L2346" s="5" t="str">
        <f aca="false">IF($K2346="","","R"&amp;$K2346)</f>
        <v/>
      </c>
    </row>
    <row r="2347" customFormat="false" ht="15" hidden="false" customHeight="true" outlineLevel="0" collapsed="false">
      <c r="J2347" s="14" t="b">
        <f aca="false">IF(중복검사!$A2345="",FALSE(),중복검사!$H2345="중복")</f>
        <v>0</v>
      </c>
      <c r="K2347" s="5" t="str">
        <f aca="false">IF($J2347=FALSE(),"",COUNTIF($J$6:$J2347,TRUE()))</f>
        <v/>
      </c>
      <c r="L2347" s="5" t="str">
        <f aca="false">IF($K2347="","","R"&amp;$K2347)</f>
        <v/>
      </c>
    </row>
    <row r="2348" customFormat="false" ht="15" hidden="false" customHeight="true" outlineLevel="0" collapsed="false">
      <c r="J2348" s="14" t="b">
        <f aca="false">IF(중복검사!$A2346="",FALSE(),중복검사!$H2346="중복")</f>
        <v>0</v>
      </c>
      <c r="K2348" s="5" t="str">
        <f aca="false">IF($J2348=FALSE(),"",COUNTIF($J$6:$J2348,TRUE()))</f>
        <v/>
      </c>
      <c r="L2348" s="5" t="str">
        <f aca="false">IF($K2348="","","R"&amp;$K2348)</f>
        <v/>
      </c>
    </row>
    <row r="2349" customFormat="false" ht="15" hidden="false" customHeight="true" outlineLevel="0" collapsed="false">
      <c r="J2349" s="14" t="b">
        <f aca="false">IF(중복검사!$A2347="",FALSE(),중복검사!$H2347="중복")</f>
        <v>0</v>
      </c>
      <c r="K2349" s="5" t="str">
        <f aca="false">IF($J2349=FALSE(),"",COUNTIF($J$6:$J2349,TRUE()))</f>
        <v/>
      </c>
      <c r="L2349" s="5" t="str">
        <f aca="false">IF($K2349="","","R"&amp;$K2349)</f>
        <v/>
      </c>
    </row>
    <row r="2350" customFormat="false" ht="15" hidden="false" customHeight="true" outlineLevel="0" collapsed="false">
      <c r="J2350" s="14" t="b">
        <f aca="false">IF(중복검사!$A2348="",FALSE(),중복검사!$H2348="중복")</f>
        <v>0</v>
      </c>
      <c r="K2350" s="5" t="str">
        <f aca="false">IF($J2350=FALSE(),"",COUNTIF($J$6:$J2350,TRUE()))</f>
        <v/>
      </c>
      <c r="L2350" s="5" t="str">
        <f aca="false">IF($K2350="","","R"&amp;$K2350)</f>
        <v/>
      </c>
    </row>
    <row r="2351" customFormat="false" ht="15" hidden="false" customHeight="true" outlineLevel="0" collapsed="false">
      <c r="J2351" s="14" t="b">
        <f aca="false">IF(중복검사!$A2349="",FALSE(),중복검사!$H2349="중복")</f>
        <v>0</v>
      </c>
      <c r="K2351" s="5" t="str">
        <f aca="false">IF($J2351=FALSE(),"",COUNTIF($J$6:$J2351,TRUE()))</f>
        <v/>
      </c>
      <c r="L2351" s="5" t="str">
        <f aca="false">IF($K2351="","","R"&amp;$K2351)</f>
        <v/>
      </c>
    </row>
    <row r="2352" customFormat="false" ht="15" hidden="false" customHeight="true" outlineLevel="0" collapsed="false">
      <c r="J2352" s="14" t="b">
        <f aca="false">IF(중복검사!$A2350="",FALSE(),중복검사!$H2350="중복")</f>
        <v>0</v>
      </c>
      <c r="K2352" s="5" t="str">
        <f aca="false">IF($J2352=FALSE(),"",COUNTIF($J$6:$J2352,TRUE()))</f>
        <v/>
      </c>
      <c r="L2352" s="5" t="str">
        <f aca="false">IF($K2352="","","R"&amp;$K2352)</f>
        <v/>
      </c>
    </row>
    <row r="2353" customFormat="false" ht="15" hidden="false" customHeight="true" outlineLevel="0" collapsed="false">
      <c r="J2353" s="14" t="b">
        <f aca="false">IF(중복검사!$A2351="",FALSE(),중복검사!$H2351="중복")</f>
        <v>0</v>
      </c>
      <c r="K2353" s="5" t="str">
        <f aca="false">IF($J2353=FALSE(),"",COUNTIF($J$6:$J2353,TRUE()))</f>
        <v/>
      </c>
      <c r="L2353" s="5" t="str">
        <f aca="false">IF($K2353="","","R"&amp;$K2353)</f>
        <v/>
      </c>
    </row>
    <row r="2354" customFormat="false" ht="15" hidden="false" customHeight="true" outlineLevel="0" collapsed="false">
      <c r="J2354" s="14" t="b">
        <f aca="false">IF(중복검사!$A2352="",FALSE(),중복검사!$H2352="중복")</f>
        <v>0</v>
      </c>
      <c r="K2354" s="5" t="str">
        <f aca="false">IF($J2354=FALSE(),"",COUNTIF($J$6:$J2354,TRUE()))</f>
        <v/>
      </c>
      <c r="L2354" s="5" t="str">
        <f aca="false">IF($K2354="","","R"&amp;$K2354)</f>
        <v/>
      </c>
    </row>
    <row r="2355" customFormat="false" ht="15" hidden="false" customHeight="true" outlineLevel="0" collapsed="false">
      <c r="J2355" s="14" t="b">
        <f aca="false">IF(중복검사!$A2353="",FALSE(),중복검사!$H2353="중복")</f>
        <v>0</v>
      </c>
      <c r="K2355" s="5" t="str">
        <f aca="false">IF($J2355=FALSE(),"",COUNTIF($J$6:$J2355,TRUE()))</f>
        <v/>
      </c>
      <c r="L2355" s="5" t="str">
        <f aca="false">IF($K2355="","","R"&amp;$K2355)</f>
        <v/>
      </c>
    </row>
    <row r="2356" customFormat="false" ht="15" hidden="false" customHeight="true" outlineLevel="0" collapsed="false">
      <c r="J2356" s="14" t="b">
        <f aca="false">IF(중복검사!$A2354="",FALSE(),중복검사!$H2354="중복")</f>
        <v>0</v>
      </c>
      <c r="K2356" s="5" t="str">
        <f aca="false">IF($J2356=FALSE(),"",COUNTIF($J$6:$J2356,TRUE()))</f>
        <v/>
      </c>
      <c r="L2356" s="5" t="str">
        <f aca="false">IF($K2356="","","R"&amp;$K2356)</f>
        <v/>
      </c>
    </row>
    <row r="2357" customFormat="false" ht="15" hidden="false" customHeight="true" outlineLevel="0" collapsed="false">
      <c r="J2357" s="14" t="b">
        <f aca="false">IF(중복검사!$A2355="",FALSE(),중복검사!$H2355="중복")</f>
        <v>0</v>
      </c>
      <c r="K2357" s="5" t="str">
        <f aca="false">IF($J2357=FALSE(),"",COUNTIF($J$6:$J2357,TRUE()))</f>
        <v/>
      </c>
      <c r="L2357" s="5" t="str">
        <f aca="false">IF($K2357="","","R"&amp;$K2357)</f>
        <v/>
      </c>
    </row>
    <row r="2358" customFormat="false" ht="15" hidden="false" customHeight="true" outlineLevel="0" collapsed="false">
      <c r="J2358" s="14" t="b">
        <f aca="false">IF(중복검사!$A2356="",FALSE(),중복검사!$H2356="중복")</f>
        <v>0</v>
      </c>
      <c r="K2358" s="5" t="str">
        <f aca="false">IF($J2358=FALSE(),"",COUNTIF($J$6:$J2358,TRUE()))</f>
        <v/>
      </c>
      <c r="L2358" s="5" t="str">
        <f aca="false">IF($K2358="","","R"&amp;$K2358)</f>
        <v/>
      </c>
    </row>
    <row r="2359" customFormat="false" ht="15" hidden="false" customHeight="true" outlineLevel="0" collapsed="false">
      <c r="J2359" s="14" t="b">
        <f aca="false">IF(중복검사!$A2357="",FALSE(),중복검사!$H2357="중복")</f>
        <v>0</v>
      </c>
      <c r="K2359" s="5" t="str">
        <f aca="false">IF($J2359=FALSE(),"",COUNTIF($J$6:$J2359,TRUE()))</f>
        <v/>
      </c>
      <c r="L2359" s="5" t="str">
        <f aca="false">IF($K2359="","","R"&amp;$K2359)</f>
        <v/>
      </c>
    </row>
    <row r="2360" customFormat="false" ht="15" hidden="false" customHeight="true" outlineLevel="0" collapsed="false">
      <c r="J2360" s="14" t="b">
        <f aca="false">IF(중복검사!$A2358="",FALSE(),중복검사!$H2358="중복")</f>
        <v>0</v>
      </c>
      <c r="K2360" s="5" t="str">
        <f aca="false">IF($J2360=FALSE(),"",COUNTIF($J$6:$J2360,TRUE()))</f>
        <v/>
      </c>
      <c r="L2360" s="5" t="str">
        <f aca="false">IF($K2360="","","R"&amp;$K2360)</f>
        <v/>
      </c>
    </row>
    <row r="2361" customFormat="false" ht="15" hidden="false" customHeight="true" outlineLevel="0" collapsed="false">
      <c r="J2361" s="14" t="b">
        <f aca="false">IF(중복검사!$A2359="",FALSE(),중복검사!$H2359="중복")</f>
        <v>0</v>
      </c>
      <c r="K2361" s="5" t="str">
        <f aca="false">IF($J2361=FALSE(),"",COUNTIF($J$6:$J2361,TRUE()))</f>
        <v/>
      </c>
      <c r="L2361" s="5" t="str">
        <f aca="false">IF($K2361="","","R"&amp;$K2361)</f>
        <v/>
      </c>
    </row>
    <row r="2362" customFormat="false" ht="15" hidden="false" customHeight="true" outlineLevel="0" collapsed="false">
      <c r="J2362" s="14" t="b">
        <f aca="false">IF(중복검사!$A2360="",FALSE(),중복검사!$H2360="중복")</f>
        <v>0</v>
      </c>
      <c r="K2362" s="5" t="str">
        <f aca="false">IF($J2362=FALSE(),"",COUNTIF($J$6:$J2362,TRUE()))</f>
        <v/>
      </c>
      <c r="L2362" s="5" t="str">
        <f aca="false">IF($K2362="","","R"&amp;$K2362)</f>
        <v/>
      </c>
    </row>
    <row r="2363" customFormat="false" ht="15" hidden="false" customHeight="true" outlineLevel="0" collapsed="false">
      <c r="J2363" s="14" t="b">
        <f aca="false">IF(중복검사!$A2361="",FALSE(),중복검사!$H2361="중복")</f>
        <v>0</v>
      </c>
      <c r="K2363" s="5" t="str">
        <f aca="false">IF($J2363=FALSE(),"",COUNTIF($J$6:$J2363,TRUE()))</f>
        <v/>
      </c>
      <c r="L2363" s="5" t="str">
        <f aca="false">IF($K2363="","","R"&amp;$K2363)</f>
        <v/>
      </c>
    </row>
    <row r="2364" customFormat="false" ht="15" hidden="false" customHeight="true" outlineLevel="0" collapsed="false">
      <c r="J2364" s="14" t="b">
        <f aca="false">IF(중복검사!$A2362="",FALSE(),중복검사!$H2362="중복")</f>
        <v>0</v>
      </c>
      <c r="K2364" s="5" t="str">
        <f aca="false">IF($J2364=FALSE(),"",COUNTIF($J$6:$J2364,TRUE()))</f>
        <v/>
      </c>
      <c r="L2364" s="5" t="str">
        <f aca="false">IF($K2364="","","R"&amp;$K2364)</f>
        <v/>
      </c>
    </row>
    <row r="2365" customFormat="false" ht="15" hidden="false" customHeight="true" outlineLevel="0" collapsed="false">
      <c r="J2365" s="14" t="b">
        <f aca="false">IF(중복검사!$A2363="",FALSE(),중복검사!$H2363="중복")</f>
        <v>0</v>
      </c>
      <c r="K2365" s="5" t="str">
        <f aca="false">IF($J2365=FALSE(),"",COUNTIF($J$6:$J2365,TRUE()))</f>
        <v/>
      </c>
      <c r="L2365" s="5" t="str">
        <f aca="false">IF($K2365="","","R"&amp;$K2365)</f>
        <v/>
      </c>
    </row>
    <row r="2366" customFormat="false" ht="15" hidden="false" customHeight="true" outlineLevel="0" collapsed="false">
      <c r="J2366" s="14" t="b">
        <f aca="false">IF(중복검사!$A2364="",FALSE(),중복검사!$H2364="중복")</f>
        <v>0</v>
      </c>
      <c r="K2366" s="5" t="str">
        <f aca="false">IF($J2366=FALSE(),"",COUNTIF($J$6:$J2366,TRUE()))</f>
        <v/>
      </c>
      <c r="L2366" s="5" t="str">
        <f aca="false">IF($K2366="","","R"&amp;$K2366)</f>
        <v/>
      </c>
    </row>
    <row r="2367" customFormat="false" ht="15" hidden="false" customHeight="true" outlineLevel="0" collapsed="false">
      <c r="J2367" s="14" t="b">
        <f aca="false">IF(중복검사!$A2365="",FALSE(),중복검사!$H2365="중복")</f>
        <v>0</v>
      </c>
      <c r="K2367" s="5" t="str">
        <f aca="false">IF($J2367=FALSE(),"",COUNTIF($J$6:$J2367,TRUE()))</f>
        <v/>
      </c>
      <c r="L2367" s="5" t="str">
        <f aca="false">IF($K2367="","","R"&amp;$K2367)</f>
        <v/>
      </c>
    </row>
    <row r="2368" customFormat="false" ht="15" hidden="false" customHeight="true" outlineLevel="0" collapsed="false">
      <c r="J2368" s="14" t="b">
        <f aca="false">IF(중복검사!$A2366="",FALSE(),중복검사!$H2366="중복")</f>
        <v>0</v>
      </c>
      <c r="K2368" s="5" t="str">
        <f aca="false">IF($J2368=FALSE(),"",COUNTIF($J$6:$J2368,TRUE()))</f>
        <v/>
      </c>
      <c r="L2368" s="5" t="str">
        <f aca="false">IF($K2368="","","R"&amp;$K2368)</f>
        <v/>
      </c>
    </row>
    <row r="2369" customFormat="false" ht="15" hidden="false" customHeight="true" outlineLevel="0" collapsed="false">
      <c r="J2369" s="14" t="b">
        <f aca="false">IF(중복검사!$A2367="",FALSE(),중복검사!$H2367="중복")</f>
        <v>0</v>
      </c>
      <c r="K2369" s="5" t="str">
        <f aca="false">IF($J2369=FALSE(),"",COUNTIF($J$6:$J2369,TRUE()))</f>
        <v/>
      </c>
      <c r="L2369" s="5" t="str">
        <f aca="false">IF($K2369="","","R"&amp;$K2369)</f>
        <v/>
      </c>
    </row>
    <row r="2370" customFormat="false" ht="15" hidden="false" customHeight="true" outlineLevel="0" collapsed="false">
      <c r="J2370" s="14" t="b">
        <f aca="false">IF(중복검사!$A2368="",FALSE(),중복검사!$H2368="중복")</f>
        <v>0</v>
      </c>
      <c r="K2370" s="5" t="str">
        <f aca="false">IF($J2370=FALSE(),"",COUNTIF($J$6:$J2370,TRUE()))</f>
        <v/>
      </c>
      <c r="L2370" s="5" t="str">
        <f aca="false">IF($K2370="","","R"&amp;$K2370)</f>
        <v/>
      </c>
    </row>
    <row r="2371" customFormat="false" ht="15" hidden="false" customHeight="true" outlineLevel="0" collapsed="false">
      <c r="J2371" s="14" t="b">
        <f aca="false">IF(중복검사!$A2369="",FALSE(),중복검사!$H2369="중복")</f>
        <v>0</v>
      </c>
      <c r="K2371" s="5" t="str">
        <f aca="false">IF($J2371=FALSE(),"",COUNTIF($J$6:$J2371,TRUE()))</f>
        <v/>
      </c>
      <c r="L2371" s="5" t="str">
        <f aca="false">IF($K2371="","","R"&amp;$K2371)</f>
        <v/>
      </c>
    </row>
    <row r="2372" customFormat="false" ht="15" hidden="false" customHeight="true" outlineLevel="0" collapsed="false">
      <c r="J2372" s="14" t="b">
        <f aca="false">IF(중복검사!$A2370="",FALSE(),중복검사!$H2370="중복")</f>
        <v>0</v>
      </c>
      <c r="K2372" s="5" t="str">
        <f aca="false">IF($J2372=FALSE(),"",COUNTIF($J$6:$J2372,TRUE()))</f>
        <v/>
      </c>
      <c r="L2372" s="5" t="str">
        <f aca="false">IF($K2372="","","R"&amp;$K2372)</f>
        <v/>
      </c>
    </row>
    <row r="2373" customFormat="false" ht="15" hidden="false" customHeight="true" outlineLevel="0" collapsed="false">
      <c r="J2373" s="14" t="b">
        <f aca="false">IF(중복검사!$A2371="",FALSE(),중복검사!$H2371="중복")</f>
        <v>0</v>
      </c>
      <c r="K2373" s="5" t="str">
        <f aca="false">IF($J2373=FALSE(),"",COUNTIF($J$6:$J2373,TRUE()))</f>
        <v/>
      </c>
      <c r="L2373" s="5" t="str">
        <f aca="false">IF($K2373="","","R"&amp;$K2373)</f>
        <v/>
      </c>
    </row>
    <row r="2374" customFormat="false" ht="15" hidden="false" customHeight="true" outlineLevel="0" collapsed="false">
      <c r="J2374" s="14" t="b">
        <f aca="false">IF(중복검사!$A2372="",FALSE(),중복검사!$H2372="중복")</f>
        <v>0</v>
      </c>
      <c r="K2374" s="5" t="str">
        <f aca="false">IF($J2374=FALSE(),"",COUNTIF($J$6:$J2374,TRUE()))</f>
        <v/>
      </c>
      <c r="L2374" s="5" t="str">
        <f aca="false">IF($K2374="","","R"&amp;$K2374)</f>
        <v/>
      </c>
    </row>
    <row r="2375" customFormat="false" ht="15" hidden="false" customHeight="true" outlineLevel="0" collapsed="false">
      <c r="J2375" s="14" t="b">
        <f aca="false">IF(중복검사!$A2373="",FALSE(),중복검사!$H2373="중복")</f>
        <v>0</v>
      </c>
      <c r="K2375" s="5" t="str">
        <f aca="false">IF($J2375=FALSE(),"",COUNTIF($J$6:$J2375,TRUE()))</f>
        <v/>
      </c>
      <c r="L2375" s="5" t="str">
        <f aca="false">IF($K2375="","","R"&amp;$K2375)</f>
        <v/>
      </c>
    </row>
    <row r="2376" customFormat="false" ht="15" hidden="false" customHeight="true" outlineLevel="0" collapsed="false">
      <c r="J2376" s="14" t="b">
        <f aca="false">IF(중복검사!$A2374="",FALSE(),중복검사!$H2374="중복")</f>
        <v>0</v>
      </c>
      <c r="K2376" s="5" t="str">
        <f aca="false">IF($J2376=FALSE(),"",COUNTIF($J$6:$J2376,TRUE()))</f>
        <v/>
      </c>
      <c r="L2376" s="5" t="str">
        <f aca="false">IF($K2376="","","R"&amp;$K2376)</f>
        <v/>
      </c>
    </row>
    <row r="2377" customFormat="false" ht="15" hidden="false" customHeight="true" outlineLevel="0" collapsed="false">
      <c r="J2377" s="14" t="b">
        <f aca="false">IF(중복검사!$A2375="",FALSE(),중복검사!$H2375="중복")</f>
        <v>0</v>
      </c>
      <c r="K2377" s="5" t="str">
        <f aca="false">IF($J2377=FALSE(),"",COUNTIF($J$6:$J2377,TRUE()))</f>
        <v/>
      </c>
      <c r="L2377" s="5" t="str">
        <f aca="false">IF($K2377="","","R"&amp;$K2377)</f>
        <v/>
      </c>
    </row>
    <row r="2378" customFormat="false" ht="15" hidden="false" customHeight="true" outlineLevel="0" collapsed="false">
      <c r="J2378" s="14" t="b">
        <f aca="false">IF(중복검사!$A2376="",FALSE(),중복검사!$H2376="중복")</f>
        <v>0</v>
      </c>
      <c r="K2378" s="5" t="str">
        <f aca="false">IF($J2378=FALSE(),"",COUNTIF($J$6:$J2378,TRUE()))</f>
        <v/>
      </c>
      <c r="L2378" s="5" t="str">
        <f aca="false">IF($K2378="","","R"&amp;$K2378)</f>
        <v/>
      </c>
    </row>
    <row r="2379" customFormat="false" ht="15" hidden="false" customHeight="true" outlineLevel="0" collapsed="false">
      <c r="J2379" s="14" t="b">
        <f aca="false">IF(중복검사!$A2377="",FALSE(),중복검사!$H2377="중복")</f>
        <v>0</v>
      </c>
      <c r="K2379" s="5" t="str">
        <f aca="false">IF($J2379=FALSE(),"",COUNTIF($J$6:$J2379,TRUE()))</f>
        <v/>
      </c>
      <c r="L2379" s="5" t="str">
        <f aca="false">IF($K2379="","","R"&amp;$K2379)</f>
        <v/>
      </c>
    </row>
    <row r="2380" customFormat="false" ht="15" hidden="false" customHeight="true" outlineLevel="0" collapsed="false">
      <c r="J2380" s="14" t="b">
        <f aca="false">IF(중복검사!$A2378="",FALSE(),중복검사!$H2378="중복")</f>
        <v>0</v>
      </c>
      <c r="K2380" s="5" t="str">
        <f aca="false">IF($J2380=FALSE(),"",COUNTIF($J$6:$J2380,TRUE()))</f>
        <v/>
      </c>
      <c r="L2380" s="5" t="str">
        <f aca="false">IF($K2380="","","R"&amp;$K2380)</f>
        <v/>
      </c>
    </row>
    <row r="2381" customFormat="false" ht="15" hidden="false" customHeight="true" outlineLevel="0" collapsed="false">
      <c r="J2381" s="14" t="b">
        <f aca="false">IF(중복검사!$A2379="",FALSE(),중복검사!$H2379="중복")</f>
        <v>0</v>
      </c>
      <c r="K2381" s="5" t="str">
        <f aca="false">IF($J2381=FALSE(),"",COUNTIF($J$6:$J2381,TRUE()))</f>
        <v/>
      </c>
      <c r="L2381" s="5" t="str">
        <f aca="false">IF($K2381="","","R"&amp;$K2381)</f>
        <v/>
      </c>
    </row>
    <row r="2382" customFormat="false" ht="15" hidden="false" customHeight="true" outlineLevel="0" collapsed="false">
      <c r="J2382" s="14" t="b">
        <f aca="false">IF(중복검사!$A2380="",FALSE(),중복검사!$H2380="중복")</f>
        <v>0</v>
      </c>
      <c r="K2382" s="5" t="str">
        <f aca="false">IF($J2382=FALSE(),"",COUNTIF($J$6:$J2382,TRUE()))</f>
        <v/>
      </c>
      <c r="L2382" s="5" t="str">
        <f aca="false">IF($K2382="","","R"&amp;$K2382)</f>
        <v/>
      </c>
    </row>
    <row r="2383" customFormat="false" ht="15" hidden="false" customHeight="true" outlineLevel="0" collapsed="false">
      <c r="J2383" s="14" t="b">
        <f aca="false">IF(중복검사!$A2381="",FALSE(),중복검사!$H2381="중복")</f>
        <v>0</v>
      </c>
      <c r="K2383" s="5" t="str">
        <f aca="false">IF($J2383=FALSE(),"",COUNTIF($J$6:$J2383,TRUE()))</f>
        <v/>
      </c>
      <c r="L2383" s="5" t="str">
        <f aca="false">IF($K2383="","","R"&amp;$K2383)</f>
        <v/>
      </c>
    </row>
    <row r="2384" customFormat="false" ht="15" hidden="false" customHeight="true" outlineLevel="0" collapsed="false">
      <c r="J2384" s="14" t="b">
        <f aca="false">IF(중복검사!$A2382="",FALSE(),중복검사!$H2382="중복")</f>
        <v>0</v>
      </c>
      <c r="K2384" s="5" t="str">
        <f aca="false">IF($J2384=FALSE(),"",COUNTIF($J$6:$J2384,TRUE()))</f>
        <v/>
      </c>
      <c r="L2384" s="5" t="str">
        <f aca="false">IF($K2384="","","R"&amp;$K2384)</f>
        <v/>
      </c>
    </row>
    <row r="2385" customFormat="false" ht="15" hidden="false" customHeight="true" outlineLevel="0" collapsed="false">
      <c r="J2385" s="14" t="b">
        <f aca="false">IF(중복검사!$A2383="",FALSE(),중복검사!$H2383="중복")</f>
        <v>0</v>
      </c>
      <c r="K2385" s="5" t="str">
        <f aca="false">IF($J2385=FALSE(),"",COUNTIF($J$6:$J2385,TRUE()))</f>
        <v/>
      </c>
      <c r="L2385" s="5" t="str">
        <f aca="false">IF($K2385="","","R"&amp;$K2385)</f>
        <v/>
      </c>
    </row>
    <row r="2386" customFormat="false" ht="15" hidden="false" customHeight="true" outlineLevel="0" collapsed="false">
      <c r="J2386" s="14" t="b">
        <f aca="false">IF(중복검사!$A2384="",FALSE(),중복검사!$H2384="중복")</f>
        <v>0</v>
      </c>
      <c r="K2386" s="5" t="str">
        <f aca="false">IF($J2386=FALSE(),"",COUNTIF($J$6:$J2386,TRUE()))</f>
        <v/>
      </c>
      <c r="L2386" s="5" t="str">
        <f aca="false">IF($K2386="","","R"&amp;$K2386)</f>
        <v/>
      </c>
    </row>
    <row r="2387" customFormat="false" ht="15" hidden="false" customHeight="true" outlineLevel="0" collapsed="false">
      <c r="J2387" s="14" t="b">
        <f aca="false">IF(중복검사!$A2385="",FALSE(),중복검사!$H2385="중복")</f>
        <v>0</v>
      </c>
      <c r="K2387" s="5" t="str">
        <f aca="false">IF($J2387=FALSE(),"",COUNTIF($J$6:$J2387,TRUE()))</f>
        <v/>
      </c>
      <c r="L2387" s="5" t="str">
        <f aca="false">IF($K2387="","","R"&amp;$K2387)</f>
        <v/>
      </c>
    </row>
    <row r="2388" customFormat="false" ht="15" hidden="false" customHeight="true" outlineLevel="0" collapsed="false">
      <c r="J2388" s="14" t="b">
        <f aca="false">IF(중복검사!$A2386="",FALSE(),중복검사!$H2386="중복")</f>
        <v>0</v>
      </c>
      <c r="K2388" s="5" t="str">
        <f aca="false">IF($J2388=FALSE(),"",COUNTIF($J$6:$J2388,TRUE()))</f>
        <v/>
      </c>
      <c r="L2388" s="5" t="str">
        <f aca="false">IF($K2388="","","R"&amp;$K2388)</f>
        <v/>
      </c>
    </row>
    <row r="2389" customFormat="false" ht="15" hidden="false" customHeight="true" outlineLevel="0" collapsed="false">
      <c r="J2389" s="14" t="b">
        <f aca="false">IF(중복검사!$A2387="",FALSE(),중복검사!$H2387="중복")</f>
        <v>0</v>
      </c>
      <c r="K2389" s="5" t="str">
        <f aca="false">IF($J2389=FALSE(),"",COUNTIF($J$6:$J2389,TRUE()))</f>
        <v/>
      </c>
      <c r="L2389" s="5" t="str">
        <f aca="false">IF($K2389="","","R"&amp;$K2389)</f>
        <v/>
      </c>
    </row>
    <row r="2390" customFormat="false" ht="15" hidden="false" customHeight="true" outlineLevel="0" collapsed="false">
      <c r="J2390" s="14" t="b">
        <f aca="false">IF(중복검사!$A2388="",FALSE(),중복검사!$H2388="중복")</f>
        <v>0</v>
      </c>
      <c r="K2390" s="5" t="str">
        <f aca="false">IF($J2390=FALSE(),"",COUNTIF($J$6:$J2390,TRUE()))</f>
        <v/>
      </c>
      <c r="L2390" s="5" t="str">
        <f aca="false">IF($K2390="","","R"&amp;$K2390)</f>
        <v/>
      </c>
    </row>
    <row r="2391" customFormat="false" ht="15" hidden="false" customHeight="true" outlineLevel="0" collapsed="false">
      <c r="J2391" s="14" t="b">
        <f aca="false">IF(중복검사!$A2389="",FALSE(),중복검사!$H2389="중복")</f>
        <v>0</v>
      </c>
      <c r="K2391" s="5" t="str">
        <f aca="false">IF($J2391=FALSE(),"",COUNTIF($J$6:$J2391,TRUE()))</f>
        <v/>
      </c>
      <c r="L2391" s="5" t="str">
        <f aca="false">IF($K2391="","","R"&amp;$K2391)</f>
        <v/>
      </c>
    </row>
    <row r="2392" customFormat="false" ht="15" hidden="false" customHeight="true" outlineLevel="0" collapsed="false">
      <c r="J2392" s="14" t="b">
        <f aca="false">IF(중복검사!$A2390="",FALSE(),중복검사!$H2390="중복")</f>
        <v>0</v>
      </c>
      <c r="K2392" s="5" t="str">
        <f aca="false">IF($J2392=FALSE(),"",COUNTIF($J$6:$J2392,TRUE()))</f>
        <v/>
      </c>
      <c r="L2392" s="5" t="str">
        <f aca="false">IF($K2392="","","R"&amp;$K2392)</f>
        <v/>
      </c>
    </row>
    <row r="2393" customFormat="false" ht="15" hidden="false" customHeight="true" outlineLevel="0" collapsed="false">
      <c r="J2393" s="14" t="b">
        <f aca="false">IF(중복검사!$A2391="",FALSE(),중복검사!$H2391="중복")</f>
        <v>0</v>
      </c>
      <c r="K2393" s="5" t="str">
        <f aca="false">IF($J2393=FALSE(),"",COUNTIF($J$6:$J2393,TRUE()))</f>
        <v/>
      </c>
      <c r="L2393" s="5" t="str">
        <f aca="false">IF($K2393="","","R"&amp;$K2393)</f>
        <v/>
      </c>
    </row>
    <row r="2394" customFormat="false" ht="15" hidden="false" customHeight="true" outlineLevel="0" collapsed="false">
      <c r="J2394" s="14" t="b">
        <f aca="false">IF(중복검사!$A2392="",FALSE(),중복검사!$H2392="중복")</f>
        <v>0</v>
      </c>
      <c r="K2394" s="5" t="str">
        <f aca="false">IF($J2394=FALSE(),"",COUNTIF($J$6:$J2394,TRUE()))</f>
        <v/>
      </c>
      <c r="L2394" s="5" t="str">
        <f aca="false">IF($K2394="","","R"&amp;$K2394)</f>
        <v/>
      </c>
    </row>
    <row r="2395" customFormat="false" ht="15" hidden="false" customHeight="true" outlineLevel="0" collapsed="false">
      <c r="J2395" s="14" t="b">
        <f aca="false">IF(중복검사!$A2393="",FALSE(),중복검사!$H2393="중복")</f>
        <v>0</v>
      </c>
      <c r="K2395" s="5" t="str">
        <f aca="false">IF($J2395=FALSE(),"",COUNTIF($J$6:$J2395,TRUE()))</f>
        <v/>
      </c>
      <c r="L2395" s="5" t="str">
        <f aca="false">IF($K2395="","","R"&amp;$K2395)</f>
        <v/>
      </c>
    </row>
    <row r="2396" customFormat="false" ht="15" hidden="false" customHeight="true" outlineLevel="0" collapsed="false">
      <c r="J2396" s="14" t="b">
        <f aca="false">IF(중복검사!$A2394="",FALSE(),중복검사!$H2394="중복")</f>
        <v>0</v>
      </c>
      <c r="K2396" s="5" t="str">
        <f aca="false">IF($J2396=FALSE(),"",COUNTIF($J$6:$J2396,TRUE()))</f>
        <v/>
      </c>
      <c r="L2396" s="5" t="str">
        <f aca="false">IF($K2396="","","R"&amp;$K2396)</f>
        <v/>
      </c>
    </row>
    <row r="2397" customFormat="false" ht="15" hidden="false" customHeight="true" outlineLevel="0" collapsed="false">
      <c r="J2397" s="14" t="b">
        <f aca="false">IF(중복검사!$A2395="",FALSE(),중복검사!$H2395="중복")</f>
        <v>0</v>
      </c>
      <c r="K2397" s="5" t="str">
        <f aca="false">IF($J2397=FALSE(),"",COUNTIF($J$6:$J2397,TRUE()))</f>
        <v/>
      </c>
      <c r="L2397" s="5" t="str">
        <f aca="false">IF($K2397="","","R"&amp;$K2397)</f>
        <v/>
      </c>
    </row>
    <row r="2398" customFormat="false" ht="15" hidden="false" customHeight="true" outlineLevel="0" collapsed="false">
      <c r="J2398" s="14" t="b">
        <f aca="false">IF(중복검사!$A2396="",FALSE(),중복검사!$H2396="중복")</f>
        <v>0</v>
      </c>
      <c r="K2398" s="5" t="str">
        <f aca="false">IF($J2398=FALSE(),"",COUNTIF($J$6:$J2398,TRUE()))</f>
        <v/>
      </c>
      <c r="L2398" s="5" t="str">
        <f aca="false">IF($K2398="","","R"&amp;$K2398)</f>
        <v/>
      </c>
    </row>
    <row r="2399" customFormat="false" ht="15" hidden="false" customHeight="true" outlineLevel="0" collapsed="false">
      <c r="J2399" s="14" t="b">
        <f aca="false">IF(중복검사!$A2397="",FALSE(),중복검사!$H2397="중복")</f>
        <v>0</v>
      </c>
      <c r="K2399" s="5" t="str">
        <f aca="false">IF($J2399=FALSE(),"",COUNTIF($J$6:$J2399,TRUE()))</f>
        <v/>
      </c>
      <c r="L2399" s="5" t="str">
        <f aca="false">IF($K2399="","","R"&amp;$K2399)</f>
        <v/>
      </c>
    </row>
    <row r="2400" customFormat="false" ht="15" hidden="false" customHeight="true" outlineLevel="0" collapsed="false">
      <c r="J2400" s="14" t="b">
        <f aca="false">IF(중복검사!$A2398="",FALSE(),중복검사!$H2398="중복")</f>
        <v>0</v>
      </c>
      <c r="K2400" s="5" t="str">
        <f aca="false">IF($J2400=FALSE(),"",COUNTIF($J$6:$J2400,TRUE()))</f>
        <v/>
      </c>
      <c r="L2400" s="5" t="str">
        <f aca="false">IF($K2400="","","R"&amp;$K2400)</f>
        <v/>
      </c>
    </row>
    <row r="2401" customFormat="false" ht="15" hidden="false" customHeight="true" outlineLevel="0" collapsed="false">
      <c r="J2401" s="14" t="b">
        <f aca="false">IF(중복검사!$A2399="",FALSE(),중복검사!$H2399="중복")</f>
        <v>0</v>
      </c>
      <c r="K2401" s="5" t="str">
        <f aca="false">IF($J2401=FALSE(),"",COUNTIF($J$6:$J2401,TRUE()))</f>
        <v/>
      </c>
      <c r="L2401" s="5" t="str">
        <f aca="false">IF($K2401="","","R"&amp;$K2401)</f>
        <v/>
      </c>
    </row>
    <row r="2402" customFormat="false" ht="15" hidden="false" customHeight="true" outlineLevel="0" collapsed="false">
      <c r="J2402" s="14" t="b">
        <f aca="false">IF(중복검사!$A2400="",FALSE(),중복검사!$H2400="중복")</f>
        <v>0</v>
      </c>
      <c r="K2402" s="5" t="str">
        <f aca="false">IF($J2402=FALSE(),"",COUNTIF($J$6:$J2402,TRUE()))</f>
        <v/>
      </c>
      <c r="L2402" s="5" t="str">
        <f aca="false">IF($K2402="","","R"&amp;$K2402)</f>
        <v/>
      </c>
    </row>
    <row r="2403" customFormat="false" ht="15" hidden="false" customHeight="true" outlineLevel="0" collapsed="false">
      <c r="J2403" s="14" t="b">
        <f aca="false">IF(중복검사!$A2401="",FALSE(),중복검사!$H2401="중복")</f>
        <v>0</v>
      </c>
      <c r="K2403" s="5" t="str">
        <f aca="false">IF($J2403=FALSE(),"",COUNTIF($J$6:$J2403,TRUE()))</f>
        <v/>
      </c>
      <c r="L2403" s="5" t="str">
        <f aca="false">IF($K2403="","","R"&amp;$K2403)</f>
        <v/>
      </c>
    </row>
    <row r="2404" customFormat="false" ht="15" hidden="false" customHeight="true" outlineLevel="0" collapsed="false">
      <c r="J2404" s="14" t="b">
        <f aca="false">IF(중복검사!$A2402="",FALSE(),중복검사!$H2402="중복")</f>
        <v>0</v>
      </c>
      <c r="K2404" s="5" t="str">
        <f aca="false">IF($J2404=FALSE(),"",COUNTIF($J$6:$J2404,TRUE()))</f>
        <v/>
      </c>
      <c r="L2404" s="5" t="str">
        <f aca="false">IF($K2404="","","R"&amp;$K2404)</f>
        <v/>
      </c>
    </row>
    <row r="2405" customFormat="false" ht="15" hidden="false" customHeight="true" outlineLevel="0" collapsed="false">
      <c r="J2405" s="14" t="b">
        <f aca="false">IF(중복검사!$A2403="",FALSE(),중복검사!$H2403="중복")</f>
        <v>0</v>
      </c>
      <c r="K2405" s="5" t="str">
        <f aca="false">IF($J2405=FALSE(),"",COUNTIF($J$6:$J2405,TRUE()))</f>
        <v/>
      </c>
      <c r="L2405" s="5" t="str">
        <f aca="false">IF($K2405="","","R"&amp;$K2405)</f>
        <v/>
      </c>
    </row>
    <row r="2406" customFormat="false" ht="15" hidden="false" customHeight="true" outlineLevel="0" collapsed="false">
      <c r="J2406" s="14" t="b">
        <f aca="false">IF(중복검사!$A2404="",FALSE(),중복검사!$H2404="중복")</f>
        <v>0</v>
      </c>
      <c r="K2406" s="5" t="str">
        <f aca="false">IF($J2406=FALSE(),"",COUNTIF($J$6:$J2406,TRUE()))</f>
        <v/>
      </c>
      <c r="L2406" s="5" t="str">
        <f aca="false">IF($K2406="","","R"&amp;$K2406)</f>
        <v/>
      </c>
    </row>
    <row r="2407" customFormat="false" ht="15" hidden="false" customHeight="true" outlineLevel="0" collapsed="false">
      <c r="J2407" s="14" t="b">
        <f aca="false">IF(중복검사!$A2405="",FALSE(),중복검사!$H2405="중복")</f>
        <v>0</v>
      </c>
      <c r="K2407" s="5" t="str">
        <f aca="false">IF($J2407=FALSE(),"",COUNTIF($J$6:$J2407,TRUE()))</f>
        <v/>
      </c>
      <c r="L2407" s="5" t="str">
        <f aca="false">IF($K2407="","","R"&amp;$K2407)</f>
        <v/>
      </c>
    </row>
    <row r="2408" customFormat="false" ht="15" hidden="false" customHeight="true" outlineLevel="0" collapsed="false">
      <c r="J2408" s="14" t="b">
        <f aca="false">IF(중복검사!$A2406="",FALSE(),중복검사!$H2406="중복")</f>
        <v>0</v>
      </c>
      <c r="K2408" s="5" t="str">
        <f aca="false">IF($J2408=FALSE(),"",COUNTIF($J$6:$J2408,TRUE()))</f>
        <v/>
      </c>
      <c r="L2408" s="5" t="str">
        <f aca="false">IF($K2408="","","R"&amp;$K2408)</f>
        <v/>
      </c>
    </row>
    <row r="2409" customFormat="false" ht="15" hidden="false" customHeight="true" outlineLevel="0" collapsed="false">
      <c r="J2409" s="14" t="b">
        <f aca="false">IF(중복검사!$A2407="",FALSE(),중복검사!$H2407="중복")</f>
        <v>0</v>
      </c>
      <c r="K2409" s="5" t="str">
        <f aca="false">IF($J2409=FALSE(),"",COUNTIF($J$6:$J2409,TRUE()))</f>
        <v/>
      </c>
      <c r="L2409" s="5" t="str">
        <f aca="false">IF($K2409="","","R"&amp;$K2409)</f>
        <v/>
      </c>
    </row>
    <row r="2410" customFormat="false" ht="15" hidden="false" customHeight="true" outlineLevel="0" collapsed="false">
      <c r="J2410" s="14" t="b">
        <f aca="false">IF(중복검사!$A2408="",FALSE(),중복검사!$H2408="중복")</f>
        <v>0</v>
      </c>
      <c r="K2410" s="5" t="str">
        <f aca="false">IF($J2410=FALSE(),"",COUNTIF($J$6:$J2410,TRUE()))</f>
        <v/>
      </c>
      <c r="L2410" s="5" t="str">
        <f aca="false">IF($K2410="","","R"&amp;$K2410)</f>
        <v/>
      </c>
    </row>
    <row r="2411" customFormat="false" ht="15" hidden="false" customHeight="true" outlineLevel="0" collapsed="false">
      <c r="J2411" s="14" t="b">
        <f aca="false">IF(중복검사!$A2409="",FALSE(),중복검사!$H2409="중복")</f>
        <v>0</v>
      </c>
      <c r="K2411" s="5" t="str">
        <f aca="false">IF($J2411=FALSE(),"",COUNTIF($J$6:$J2411,TRUE()))</f>
        <v/>
      </c>
      <c r="L2411" s="5" t="str">
        <f aca="false">IF($K2411="","","R"&amp;$K2411)</f>
        <v/>
      </c>
    </row>
    <row r="2412" customFormat="false" ht="15" hidden="false" customHeight="true" outlineLevel="0" collapsed="false">
      <c r="J2412" s="14" t="b">
        <f aca="false">IF(중복검사!$A2410="",FALSE(),중복검사!$H2410="중복")</f>
        <v>0</v>
      </c>
      <c r="K2412" s="5" t="str">
        <f aca="false">IF($J2412=FALSE(),"",COUNTIF($J$6:$J2412,TRUE()))</f>
        <v/>
      </c>
      <c r="L2412" s="5" t="str">
        <f aca="false">IF($K2412="","","R"&amp;$K2412)</f>
        <v/>
      </c>
    </row>
    <row r="2413" customFormat="false" ht="15" hidden="false" customHeight="true" outlineLevel="0" collapsed="false">
      <c r="J2413" s="14" t="b">
        <f aca="false">IF(중복검사!$A2411="",FALSE(),중복검사!$H2411="중복")</f>
        <v>0</v>
      </c>
      <c r="K2413" s="5" t="str">
        <f aca="false">IF($J2413=FALSE(),"",COUNTIF($J$6:$J2413,TRUE()))</f>
        <v/>
      </c>
      <c r="L2413" s="5" t="str">
        <f aca="false">IF($K2413="","","R"&amp;$K2413)</f>
        <v/>
      </c>
    </row>
    <row r="2414" customFormat="false" ht="15" hidden="false" customHeight="true" outlineLevel="0" collapsed="false">
      <c r="J2414" s="14" t="b">
        <f aca="false">IF(중복검사!$A2412="",FALSE(),중복검사!$H2412="중복")</f>
        <v>0</v>
      </c>
      <c r="K2414" s="5" t="str">
        <f aca="false">IF($J2414=FALSE(),"",COUNTIF($J$6:$J2414,TRUE()))</f>
        <v/>
      </c>
      <c r="L2414" s="5" t="str">
        <f aca="false">IF($K2414="","","R"&amp;$K2414)</f>
        <v/>
      </c>
    </row>
    <row r="2415" customFormat="false" ht="15" hidden="false" customHeight="true" outlineLevel="0" collapsed="false">
      <c r="J2415" s="14" t="b">
        <f aca="false">IF(중복검사!$A2413="",FALSE(),중복검사!$H2413="중복")</f>
        <v>0</v>
      </c>
      <c r="K2415" s="5" t="str">
        <f aca="false">IF($J2415=FALSE(),"",COUNTIF($J$6:$J2415,TRUE()))</f>
        <v/>
      </c>
      <c r="L2415" s="5" t="str">
        <f aca="false">IF($K2415="","","R"&amp;$K2415)</f>
        <v/>
      </c>
    </row>
    <row r="2416" customFormat="false" ht="15" hidden="false" customHeight="true" outlineLevel="0" collapsed="false">
      <c r="J2416" s="14" t="b">
        <f aca="false">IF(중복검사!$A2414="",FALSE(),중복검사!$H2414="중복")</f>
        <v>0</v>
      </c>
      <c r="K2416" s="5" t="str">
        <f aca="false">IF($J2416=FALSE(),"",COUNTIF($J$6:$J2416,TRUE()))</f>
        <v/>
      </c>
      <c r="L2416" s="5" t="str">
        <f aca="false">IF($K2416="","","R"&amp;$K2416)</f>
        <v/>
      </c>
    </row>
    <row r="2417" customFormat="false" ht="15" hidden="false" customHeight="true" outlineLevel="0" collapsed="false">
      <c r="J2417" s="14" t="b">
        <f aca="false">IF(중복검사!$A2415="",FALSE(),중복검사!$H2415="중복")</f>
        <v>0</v>
      </c>
      <c r="K2417" s="5" t="str">
        <f aca="false">IF($J2417=FALSE(),"",COUNTIF($J$6:$J2417,TRUE()))</f>
        <v/>
      </c>
      <c r="L2417" s="5" t="str">
        <f aca="false">IF($K2417="","","R"&amp;$K2417)</f>
        <v/>
      </c>
    </row>
    <row r="2418" customFormat="false" ht="15" hidden="false" customHeight="true" outlineLevel="0" collapsed="false">
      <c r="J2418" s="14" t="b">
        <f aca="false">IF(중복검사!$A2416="",FALSE(),중복검사!$H2416="중복")</f>
        <v>0</v>
      </c>
      <c r="K2418" s="5" t="str">
        <f aca="false">IF($J2418=FALSE(),"",COUNTIF($J$6:$J2418,TRUE()))</f>
        <v/>
      </c>
      <c r="L2418" s="5" t="str">
        <f aca="false">IF($K2418="","","R"&amp;$K2418)</f>
        <v/>
      </c>
    </row>
    <row r="2419" customFormat="false" ht="15" hidden="false" customHeight="true" outlineLevel="0" collapsed="false">
      <c r="J2419" s="14" t="b">
        <f aca="false">IF(중복검사!$A2417="",FALSE(),중복검사!$H2417="중복")</f>
        <v>0</v>
      </c>
      <c r="K2419" s="5" t="str">
        <f aca="false">IF($J2419=FALSE(),"",COUNTIF($J$6:$J2419,TRUE()))</f>
        <v/>
      </c>
      <c r="L2419" s="5" t="str">
        <f aca="false">IF($K2419="","","R"&amp;$K2419)</f>
        <v/>
      </c>
    </row>
    <row r="2420" customFormat="false" ht="15" hidden="false" customHeight="true" outlineLevel="0" collapsed="false">
      <c r="J2420" s="14" t="b">
        <f aca="false">IF(중복검사!$A2418="",FALSE(),중복검사!$H2418="중복")</f>
        <v>0</v>
      </c>
      <c r="K2420" s="5" t="str">
        <f aca="false">IF($J2420=FALSE(),"",COUNTIF($J$6:$J2420,TRUE()))</f>
        <v/>
      </c>
      <c r="L2420" s="5" t="str">
        <f aca="false">IF($K2420="","","R"&amp;$K2420)</f>
        <v/>
      </c>
    </row>
    <row r="2421" customFormat="false" ht="15" hidden="false" customHeight="true" outlineLevel="0" collapsed="false">
      <c r="J2421" s="14" t="b">
        <f aca="false">IF(중복검사!$A2419="",FALSE(),중복검사!$H2419="중복")</f>
        <v>0</v>
      </c>
      <c r="K2421" s="5" t="str">
        <f aca="false">IF($J2421=FALSE(),"",COUNTIF($J$6:$J2421,TRUE()))</f>
        <v/>
      </c>
      <c r="L2421" s="5" t="str">
        <f aca="false">IF($K2421="","","R"&amp;$K2421)</f>
        <v/>
      </c>
    </row>
    <row r="2422" customFormat="false" ht="15" hidden="false" customHeight="true" outlineLevel="0" collapsed="false">
      <c r="J2422" s="14" t="b">
        <f aca="false">IF(중복검사!$A2420="",FALSE(),중복검사!$H2420="중복")</f>
        <v>0</v>
      </c>
      <c r="K2422" s="5" t="str">
        <f aca="false">IF($J2422=FALSE(),"",COUNTIF($J$6:$J2422,TRUE()))</f>
        <v/>
      </c>
      <c r="L2422" s="5" t="str">
        <f aca="false">IF($K2422="","","R"&amp;$K2422)</f>
        <v/>
      </c>
    </row>
    <row r="2423" customFormat="false" ht="15" hidden="false" customHeight="true" outlineLevel="0" collapsed="false">
      <c r="J2423" s="14" t="b">
        <f aca="false">IF(중복검사!$A2421="",FALSE(),중복검사!$H2421="중복")</f>
        <v>0</v>
      </c>
      <c r="K2423" s="5" t="str">
        <f aca="false">IF($J2423=FALSE(),"",COUNTIF($J$6:$J2423,TRUE()))</f>
        <v/>
      </c>
      <c r="L2423" s="5" t="str">
        <f aca="false">IF($K2423="","","R"&amp;$K2423)</f>
        <v/>
      </c>
    </row>
    <row r="2424" customFormat="false" ht="15" hidden="false" customHeight="true" outlineLevel="0" collapsed="false">
      <c r="J2424" s="14" t="b">
        <f aca="false">IF(중복검사!$A2422="",FALSE(),중복검사!$H2422="중복")</f>
        <v>0</v>
      </c>
      <c r="K2424" s="5" t="str">
        <f aca="false">IF($J2424=FALSE(),"",COUNTIF($J$6:$J2424,TRUE()))</f>
        <v/>
      </c>
      <c r="L2424" s="5" t="str">
        <f aca="false">IF($K2424="","","R"&amp;$K2424)</f>
        <v/>
      </c>
    </row>
    <row r="2425" customFormat="false" ht="15" hidden="false" customHeight="true" outlineLevel="0" collapsed="false">
      <c r="J2425" s="14" t="b">
        <f aca="false">IF(중복검사!$A2423="",FALSE(),중복검사!$H2423="중복")</f>
        <v>0</v>
      </c>
      <c r="K2425" s="5" t="str">
        <f aca="false">IF($J2425=FALSE(),"",COUNTIF($J$6:$J2425,TRUE()))</f>
        <v/>
      </c>
      <c r="L2425" s="5" t="str">
        <f aca="false">IF($K2425="","","R"&amp;$K2425)</f>
        <v/>
      </c>
    </row>
    <row r="2426" customFormat="false" ht="15" hidden="false" customHeight="true" outlineLevel="0" collapsed="false">
      <c r="J2426" s="14" t="b">
        <f aca="false">IF(중복검사!$A2424="",FALSE(),중복검사!$H2424="중복")</f>
        <v>0</v>
      </c>
      <c r="K2426" s="5" t="str">
        <f aca="false">IF($J2426=FALSE(),"",COUNTIF($J$6:$J2426,TRUE()))</f>
        <v/>
      </c>
      <c r="L2426" s="5" t="str">
        <f aca="false">IF($K2426="","","R"&amp;$K2426)</f>
        <v/>
      </c>
    </row>
    <row r="2427" customFormat="false" ht="15" hidden="false" customHeight="true" outlineLevel="0" collapsed="false">
      <c r="J2427" s="14" t="b">
        <f aca="false">IF(중복검사!$A2425="",FALSE(),중복검사!$H2425="중복")</f>
        <v>0</v>
      </c>
      <c r="K2427" s="5" t="str">
        <f aca="false">IF($J2427=FALSE(),"",COUNTIF($J$6:$J2427,TRUE()))</f>
        <v/>
      </c>
      <c r="L2427" s="5" t="str">
        <f aca="false">IF($K2427="","","R"&amp;$K2427)</f>
        <v/>
      </c>
    </row>
    <row r="2428" customFormat="false" ht="15" hidden="false" customHeight="true" outlineLevel="0" collapsed="false">
      <c r="J2428" s="14" t="b">
        <f aca="false">IF(중복검사!$A2426="",FALSE(),중복검사!$H2426="중복")</f>
        <v>0</v>
      </c>
      <c r="K2428" s="5" t="str">
        <f aca="false">IF($J2428=FALSE(),"",COUNTIF($J$6:$J2428,TRUE()))</f>
        <v/>
      </c>
      <c r="L2428" s="5" t="str">
        <f aca="false">IF($K2428="","","R"&amp;$K2428)</f>
        <v/>
      </c>
    </row>
    <row r="2429" customFormat="false" ht="15" hidden="false" customHeight="true" outlineLevel="0" collapsed="false">
      <c r="J2429" s="14" t="b">
        <f aca="false">IF(중복검사!$A2427="",FALSE(),중복검사!$H2427="중복")</f>
        <v>0</v>
      </c>
      <c r="K2429" s="5" t="str">
        <f aca="false">IF($J2429=FALSE(),"",COUNTIF($J$6:$J2429,TRUE()))</f>
        <v/>
      </c>
      <c r="L2429" s="5" t="str">
        <f aca="false">IF($K2429="","","R"&amp;$K2429)</f>
        <v/>
      </c>
    </row>
    <row r="2430" customFormat="false" ht="15" hidden="false" customHeight="true" outlineLevel="0" collapsed="false">
      <c r="J2430" s="14" t="b">
        <f aca="false">IF(중복검사!$A2428="",FALSE(),중복검사!$H2428="중복")</f>
        <v>0</v>
      </c>
      <c r="K2430" s="5" t="str">
        <f aca="false">IF($J2430=FALSE(),"",COUNTIF($J$6:$J2430,TRUE()))</f>
        <v/>
      </c>
      <c r="L2430" s="5" t="str">
        <f aca="false">IF($K2430="","","R"&amp;$K2430)</f>
        <v/>
      </c>
    </row>
    <row r="2431" customFormat="false" ht="15" hidden="false" customHeight="true" outlineLevel="0" collapsed="false">
      <c r="J2431" s="14" t="b">
        <f aca="false">IF(중복검사!$A2429="",FALSE(),중복검사!$H2429="중복")</f>
        <v>0</v>
      </c>
      <c r="K2431" s="5" t="str">
        <f aca="false">IF($J2431=FALSE(),"",COUNTIF($J$6:$J2431,TRUE()))</f>
        <v/>
      </c>
      <c r="L2431" s="5" t="str">
        <f aca="false">IF($K2431="","","R"&amp;$K2431)</f>
        <v/>
      </c>
    </row>
    <row r="2432" customFormat="false" ht="15" hidden="false" customHeight="true" outlineLevel="0" collapsed="false">
      <c r="J2432" s="14" t="b">
        <f aca="false">IF(중복검사!$A2430="",FALSE(),중복검사!$H2430="중복")</f>
        <v>0</v>
      </c>
      <c r="K2432" s="5" t="str">
        <f aca="false">IF($J2432=FALSE(),"",COUNTIF($J$6:$J2432,TRUE()))</f>
        <v/>
      </c>
      <c r="L2432" s="5" t="str">
        <f aca="false">IF($K2432="","","R"&amp;$K2432)</f>
        <v/>
      </c>
    </row>
    <row r="2433" customFormat="false" ht="15" hidden="false" customHeight="true" outlineLevel="0" collapsed="false">
      <c r="J2433" s="14" t="b">
        <f aca="false">IF(중복검사!$A2431="",FALSE(),중복검사!$H2431="중복")</f>
        <v>0</v>
      </c>
      <c r="K2433" s="5" t="str">
        <f aca="false">IF($J2433=FALSE(),"",COUNTIF($J$6:$J2433,TRUE()))</f>
        <v/>
      </c>
      <c r="L2433" s="5" t="str">
        <f aca="false">IF($K2433="","","R"&amp;$K2433)</f>
        <v/>
      </c>
    </row>
    <row r="2434" customFormat="false" ht="15" hidden="false" customHeight="true" outlineLevel="0" collapsed="false">
      <c r="J2434" s="14" t="b">
        <f aca="false">IF(중복검사!$A2432="",FALSE(),중복검사!$H2432="중복")</f>
        <v>0</v>
      </c>
      <c r="K2434" s="5" t="str">
        <f aca="false">IF($J2434=FALSE(),"",COUNTIF($J$6:$J2434,TRUE()))</f>
        <v/>
      </c>
      <c r="L2434" s="5" t="str">
        <f aca="false">IF($K2434="","","R"&amp;$K2434)</f>
        <v/>
      </c>
    </row>
    <row r="2435" customFormat="false" ht="15" hidden="false" customHeight="true" outlineLevel="0" collapsed="false">
      <c r="J2435" s="14" t="b">
        <f aca="false">IF(중복검사!$A2433="",FALSE(),중복검사!$H2433="중복")</f>
        <v>0</v>
      </c>
      <c r="K2435" s="5" t="str">
        <f aca="false">IF($J2435=FALSE(),"",COUNTIF($J$6:$J2435,TRUE()))</f>
        <v/>
      </c>
      <c r="L2435" s="5" t="str">
        <f aca="false">IF($K2435="","","R"&amp;$K2435)</f>
        <v/>
      </c>
    </row>
    <row r="2436" customFormat="false" ht="15" hidden="false" customHeight="true" outlineLevel="0" collapsed="false">
      <c r="J2436" s="14" t="b">
        <f aca="false">IF(중복검사!$A2434="",FALSE(),중복검사!$H2434="중복")</f>
        <v>0</v>
      </c>
      <c r="K2436" s="5" t="str">
        <f aca="false">IF($J2436=FALSE(),"",COUNTIF($J$6:$J2436,TRUE()))</f>
        <v/>
      </c>
      <c r="L2436" s="5" t="str">
        <f aca="false">IF($K2436="","","R"&amp;$K2436)</f>
        <v/>
      </c>
    </row>
    <row r="2437" customFormat="false" ht="15" hidden="false" customHeight="true" outlineLevel="0" collapsed="false">
      <c r="J2437" s="14" t="b">
        <f aca="false">IF(중복검사!$A2435="",FALSE(),중복검사!$H2435="중복")</f>
        <v>0</v>
      </c>
      <c r="K2437" s="5" t="str">
        <f aca="false">IF($J2437=FALSE(),"",COUNTIF($J$6:$J2437,TRUE()))</f>
        <v/>
      </c>
      <c r="L2437" s="5" t="str">
        <f aca="false">IF($K2437="","","R"&amp;$K2437)</f>
        <v/>
      </c>
    </row>
    <row r="2438" customFormat="false" ht="15" hidden="false" customHeight="true" outlineLevel="0" collapsed="false">
      <c r="J2438" s="14" t="b">
        <f aca="false">IF(중복검사!$A2436="",FALSE(),중복검사!$H2436="중복")</f>
        <v>0</v>
      </c>
      <c r="K2438" s="5" t="str">
        <f aca="false">IF($J2438=FALSE(),"",COUNTIF($J$6:$J2438,TRUE()))</f>
        <v/>
      </c>
      <c r="L2438" s="5" t="str">
        <f aca="false">IF($K2438="","","R"&amp;$K2438)</f>
        <v/>
      </c>
    </row>
    <row r="2439" customFormat="false" ht="15" hidden="false" customHeight="true" outlineLevel="0" collapsed="false">
      <c r="J2439" s="14" t="b">
        <f aca="false">IF(중복검사!$A2437="",FALSE(),중복검사!$H2437="중복")</f>
        <v>0</v>
      </c>
      <c r="K2439" s="5" t="str">
        <f aca="false">IF($J2439=FALSE(),"",COUNTIF($J$6:$J2439,TRUE()))</f>
        <v/>
      </c>
      <c r="L2439" s="5" t="str">
        <f aca="false">IF($K2439="","","R"&amp;$K2439)</f>
        <v/>
      </c>
    </row>
    <row r="2440" customFormat="false" ht="15" hidden="false" customHeight="true" outlineLevel="0" collapsed="false">
      <c r="J2440" s="14" t="b">
        <f aca="false">IF(중복검사!$A2438="",FALSE(),중복검사!$H2438="중복")</f>
        <v>0</v>
      </c>
      <c r="K2440" s="5" t="str">
        <f aca="false">IF($J2440=FALSE(),"",COUNTIF($J$6:$J2440,TRUE()))</f>
        <v/>
      </c>
      <c r="L2440" s="5" t="str">
        <f aca="false">IF($K2440="","","R"&amp;$K2440)</f>
        <v/>
      </c>
    </row>
    <row r="2441" customFormat="false" ht="15" hidden="false" customHeight="true" outlineLevel="0" collapsed="false">
      <c r="J2441" s="14" t="b">
        <f aca="false">IF(중복검사!$A2439="",FALSE(),중복검사!$H2439="중복")</f>
        <v>0</v>
      </c>
      <c r="K2441" s="5" t="str">
        <f aca="false">IF($J2441=FALSE(),"",COUNTIF($J$6:$J2441,TRUE()))</f>
        <v/>
      </c>
      <c r="L2441" s="5" t="str">
        <f aca="false">IF($K2441="","","R"&amp;$K2441)</f>
        <v/>
      </c>
    </row>
    <row r="2442" customFormat="false" ht="15" hidden="false" customHeight="true" outlineLevel="0" collapsed="false">
      <c r="J2442" s="14" t="b">
        <f aca="false">IF(중복검사!$A2440="",FALSE(),중복검사!$H2440="중복")</f>
        <v>0</v>
      </c>
      <c r="K2442" s="5" t="str">
        <f aca="false">IF($J2442=FALSE(),"",COUNTIF($J$6:$J2442,TRUE()))</f>
        <v/>
      </c>
      <c r="L2442" s="5" t="str">
        <f aca="false">IF($K2442="","","R"&amp;$K2442)</f>
        <v/>
      </c>
    </row>
    <row r="2443" customFormat="false" ht="15" hidden="false" customHeight="true" outlineLevel="0" collapsed="false">
      <c r="J2443" s="14" t="b">
        <f aca="false">IF(중복검사!$A2441="",FALSE(),중복검사!$H2441="중복")</f>
        <v>0</v>
      </c>
      <c r="K2443" s="5" t="str">
        <f aca="false">IF($J2443=FALSE(),"",COUNTIF($J$6:$J2443,TRUE()))</f>
        <v/>
      </c>
      <c r="L2443" s="5" t="str">
        <f aca="false">IF($K2443="","","R"&amp;$K2443)</f>
        <v/>
      </c>
    </row>
    <row r="2444" customFormat="false" ht="15" hidden="false" customHeight="true" outlineLevel="0" collapsed="false">
      <c r="J2444" s="14" t="b">
        <f aca="false">IF(중복검사!$A2442="",FALSE(),중복검사!$H2442="중복")</f>
        <v>0</v>
      </c>
      <c r="K2444" s="5" t="str">
        <f aca="false">IF($J2444=FALSE(),"",COUNTIF($J$6:$J2444,TRUE()))</f>
        <v/>
      </c>
      <c r="L2444" s="5" t="str">
        <f aca="false">IF($K2444="","","R"&amp;$K2444)</f>
        <v/>
      </c>
    </row>
    <row r="2445" customFormat="false" ht="15" hidden="false" customHeight="true" outlineLevel="0" collapsed="false">
      <c r="J2445" s="14" t="b">
        <f aca="false">IF(중복검사!$A2443="",FALSE(),중복검사!$H2443="중복")</f>
        <v>0</v>
      </c>
      <c r="K2445" s="5" t="str">
        <f aca="false">IF($J2445=FALSE(),"",COUNTIF($J$6:$J2445,TRUE()))</f>
        <v/>
      </c>
      <c r="L2445" s="5" t="str">
        <f aca="false">IF($K2445="","","R"&amp;$K2445)</f>
        <v/>
      </c>
    </row>
    <row r="2446" customFormat="false" ht="15" hidden="false" customHeight="true" outlineLevel="0" collapsed="false">
      <c r="J2446" s="14" t="b">
        <f aca="false">IF(중복검사!$A2444="",FALSE(),중복검사!$H2444="중복")</f>
        <v>0</v>
      </c>
      <c r="K2446" s="5" t="str">
        <f aca="false">IF($J2446=FALSE(),"",COUNTIF($J$6:$J2446,TRUE()))</f>
        <v/>
      </c>
      <c r="L2446" s="5" t="str">
        <f aca="false">IF($K2446="","","R"&amp;$K2446)</f>
        <v/>
      </c>
    </row>
    <row r="2447" customFormat="false" ht="15" hidden="false" customHeight="true" outlineLevel="0" collapsed="false">
      <c r="J2447" s="14" t="b">
        <f aca="false">IF(중복검사!$A2445="",FALSE(),중복검사!$H2445="중복")</f>
        <v>0</v>
      </c>
      <c r="K2447" s="5" t="str">
        <f aca="false">IF($J2447=FALSE(),"",COUNTIF($J$6:$J2447,TRUE()))</f>
        <v/>
      </c>
      <c r="L2447" s="5" t="str">
        <f aca="false">IF($K2447="","","R"&amp;$K2447)</f>
        <v/>
      </c>
    </row>
    <row r="2448" customFormat="false" ht="15" hidden="false" customHeight="true" outlineLevel="0" collapsed="false">
      <c r="J2448" s="14" t="b">
        <f aca="false">IF(중복검사!$A2446="",FALSE(),중복검사!$H2446="중복")</f>
        <v>0</v>
      </c>
      <c r="K2448" s="5" t="str">
        <f aca="false">IF($J2448=FALSE(),"",COUNTIF($J$6:$J2448,TRUE()))</f>
        <v/>
      </c>
      <c r="L2448" s="5" t="str">
        <f aca="false">IF($K2448="","","R"&amp;$K2448)</f>
        <v/>
      </c>
    </row>
    <row r="2449" customFormat="false" ht="15" hidden="false" customHeight="true" outlineLevel="0" collapsed="false">
      <c r="J2449" s="14" t="b">
        <f aca="false">IF(중복검사!$A2447="",FALSE(),중복검사!$H2447="중복")</f>
        <v>0</v>
      </c>
      <c r="K2449" s="5" t="str">
        <f aca="false">IF($J2449=FALSE(),"",COUNTIF($J$6:$J2449,TRUE()))</f>
        <v/>
      </c>
      <c r="L2449" s="5" t="str">
        <f aca="false">IF($K2449="","","R"&amp;$K2449)</f>
        <v/>
      </c>
    </row>
    <row r="2450" customFormat="false" ht="15" hidden="false" customHeight="true" outlineLevel="0" collapsed="false">
      <c r="J2450" s="14" t="b">
        <f aca="false">IF(중복검사!$A2448="",FALSE(),중복검사!$H2448="중복")</f>
        <v>0</v>
      </c>
      <c r="K2450" s="5" t="str">
        <f aca="false">IF($J2450=FALSE(),"",COUNTIF($J$6:$J2450,TRUE()))</f>
        <v/>
      </c>
      <c r="L2450" s="5" t="str">
        <f aca="false">IF($K2450="","","R"&amp;$K2450)</f>
        <v/>
      </c>
    </row>
    <row r="2451" customFormat="false" ht="15" hidden="false" customHeight="true" outlineLevel="0" collapsed="false">
      <c r="J2451" s="14" t="b">
        <f aca="false">IF(중복검사!$A2449="",FALSE(),중복검사!$H2449="중복")</f>
        <v>0</v>
      </c>
      <c r="K2451" s="5" t="str">
        <f aca="false">IF($J2451=FALSE(),"",COUNTIF($J$6:$J2451,TRUE()))</f>
        <v/>
      </c>
      <c r="L2451" s="5" t="str">
        <f aca="false">IF($K2451="","","R"&amp;$K2451)</f>
        <v/>
      </c>
    </row>
    <row r="2452" customFormat="false" ht="15" hidden="false" customHeight="true" outlineLevel="0" collapsed="false">
      <c r="J2452" s="14" t="b">
        <f aca="false">IF(중복검사!$A2450="",FALSE(),중복검사!$H2450="중복")</f>
        <v>0</v>
      </c>
      <c r="K2452" s="5" t="str">
        <f aca="false">IF($J2452=FALSE(),"",COUNTIF($J$6:$J2452,TRUE()))</f>
        <v/>
      </c>
      <c r="L2452" s="5" t="str">
        <f aca="false">IF($K2452="","","R"&amp;$K2452)</f>
        <v/>
      </c>
    </row>
    <row r="2453" customFormat="false" ht="15" hidden="false" customHeight="true" outlineLevel="0" collapsed="false">
      <c r="J2453" s="14" t="b">
        <f aca="false">IF(중복검사!$A2451="",FALSE(),중복검사!$H2451="중복")</f>
        <v>0</v>
      </c>
      <c r="K2453" s="5" t="str">
        <f aca="false">IF($J2453=FALSE(),"",COUNTIF($J$6:$J2453,TRUE()))</f>
        <v/>
      </c>
      <c r="L2453" s="5" t="str">
        <f aca="false">IF($K2453="","","R"&amp;$K2453)</f>
        <v/>
      </c>
    </row>
    <row r="2454" customFormat="false" ht="15" hidden="false" customHeight="true" outlineLevel="0" collapsed="false">
      <c r="J2454" s="14" t="b">
        <f aca="false">IF(중복검사!$A2452="",FALSE(),중복검사!$H2452="중복")</f>
        <v>0</v>
      </c>
      <c r="K2454" s="5" t="str">
        <f aca="false">IF($J2454=FALSE(),"",COUNTIF($J$6:$J2454,TRUE()))</f>
        <v/>
      </c>
      <c r="L2454" s="5" t="str">
        <f aca="false">IF($K2454="","","R"&amp;$K2454)</f>
        <v/>
      </c>
    </row>
    <row r="2455" customFormat="false" ht="15" hidden="false" customHeight="true" outlineLevel="0" collapsed="false">
      <c r="J2455" s="14" t="b">
        <f aca="false">IF(중복검사!$A2453="",FALSE(),중복검사!$H2453="중복")</f>
        <v>0</v>
      </c>
      <c r="K2455" s="5" t="str">
        <f aca="false">IF($J2455=FALSE(),"",COUNTIF($J$6:$J2455,TRUE()))</f>
        <v/>
      </c>
      <c r="L2455" s="5" t="str">
        <f aca="false">IF($K2455="","","R"&amp;$K2455)</f>
        <v/>
      </c>
    </row>
    <row r="2456" customFormat="false" ht="15" hidden="false" customHeight="true" outlineLevel="0" collapsed="false">
      <c r="J2456" s="14" t="b">
        <f aca="false">IF(중복검사!$A2454="",FALSE(),중복검사!$H2454="중복")</f>
        <v>0</v>
      </c>
      <c r="K2456" s="5" t="str">
        <f aca="false">IF($J2456=FALSE(),"",COUNTIF($J$6:$J2456,TRUE()))</f>
        <v/>
      </c>
      <c r="L2456" s="5" t="str">
        <f aca="false">IF($K2456="","","R"&amp;$K2456)</f>
        <v/>
      </c>
    </row>
    <row r="2457" customFormat="false" ht="15" hidden="false" customHeight="true" outlineLevel="0" collapsed="false">
      <c r="J2457" s="14" t="b">
        <f aca="false">IF(중복검사!$A2455="",FALSE(),중복검사!$H2455="중복")</f>
        <v>0</v>
      </c>
      <c r="K2457" s="5" t="str">
        <f aca="false">IF($J2457=FALSE(),"",COUNTIF($J$6:$J2457,TRUE()))</f>
        <v/>
      </c>
      <c r="L2457" s="5" t="str">
        <f aca="false">IF($K2457="","","R"&amp;$K2457)</f>
        <v/>
      </c>
    </row>
    <row r="2458" customFormat="false" ht="15" hidden="false" customHeight="true" outlineLevel="0" collapsed="false">
      <c r="J2458" s="14" t="b">
        <f aca="false">IF(중복검사!$A2456="",FALSE(),중복검사!$H2456="중복")</f>
        <v>0</v>
      </c>
      <c r="K2458" s="5" t="str">
        <f aca="false">IF($J2458=FALSE(),"",COUNTIF($J$6:$J2458,TRUE()))</f>
        <v/>
      </c>
      <c r="L2458" s="5" t="str">
        <f aca="false">IF($K2458="","","R"&amp;$K2458)</f>
        <v/>
      </c>
    </row>
    <row r="2459" customFormat="false" ht="15" hidden="false" customHeight="true" outlineLevel="0" collapsed="false">
      <c r="J2459" s="14" t="b">
        <f aca="false">IF(중복검사!$A2457="",FALSE(),중복검사!$H2457="중복")</f>
        <v>0</v>
      </c>
      <c r="K2459" s="5" t="str">
        <f aca="false">IF($J2459=FALSE(),"",COUNTIF($J$6:$J2459,TRUE()))</f>
        <v/>
      </c>
      <c r="L2459" s="5" t="str">
        <f aca="false">IF($K2459="","","R"&amp;$K2459)</f>
        <v/>
      </c>
    </row>
    <row r="2460" customFormat="false" ht="15" hidden="false" customHeight="true" outlineLevel="0" collapsed="false">
      <c r="J2460" s="14" t="b">
        <f aca="false">IF(중복검사!$A2458="",FALSE(),중복검사!$H2458="중복")</f>
        <v>0</v>
      </c>
      <c r="K2460" s="5" t="str">
        <f aca="false">IF($J2460=FALSE(),"",COUNTIF($J$6:$J2460,TRUE()))</f>
        <v/>
      </c>
      <c r="L2460" s="5" t="str">
        <f aca="false">IF($K2460="","","R"&amp;$K2460)</f>
        <v/>
      </c>
    </row>
    <row r="2461" customFormat="false" ht="15" hidden="false" customHeight="true" outlineLevel="0" collapsed="false">
      <c r="J2461" s="14" t="b">
        <f aca="false">IF(중복검사!$A2459="",FALSE(),중복검사!$H2459="중복")</f>
        <v>0</v>
      </c>
      <c r="K2461" s="5" t="str">
        <f aca="false">IF($J2461=FALSE(),"",COUNTIF($J$6:$J2461,TRUE()))</f>
        <v/>
      </c>
      <c r="L2461" s="5" t="str">
        <f aca="false">IF($K2461="","","R"&amp;$K2461)</f>
        <v/>
      </c>
    </row>
    <row r="2462" customFormat="false" ht="15" hidden="false" customHeight="true" outlineLevel="0" collapsed="false">
      <c r="J2462" s="14" t="b">
        <f aca="false">IF(중복검사!$A2460="",FALSE(),중복검사!$H2460="중복")</f>
        <v>0</v>
      </c>
      <c r="K2462" s="5" t="str">
        <f aca="false">IF($J2462=FALSE(),"",COUNTIF($J$6:$J2462,TRUE()))</f>
        <v/>
      </c>
      <c r="L2462" s="5" t="str">
        <f aca="false">IF($K2462="","","R"&amp;$K2462)</f>
        <v/>
      </c>
    </row>
    <row r="2463" customFormat="false" ht="15" hidden="false" customHeight="true" outlineLevel="0" collapsed="false">
      <c r="J2463" s="14" t="b">
        <f aca="false">IF(중복검사!$A2461="",FALSE(),중복검사!$H2461="중복")</f>
        <v>0</v>
      </c>
      <c r="K2463" s="5" t="str">
        <f aca="false">IF($J2463=FALSE(),"",COUNTIF($J$6:$J2463,TRUE()))</f>
        <v/>
      </c>
      <c r="L2463" s="5" t="str">
        <f aca="false">IF($K2463="","","R"&amp;$K2463)</f>
        <v/>
      </c>
    </row>
    <row r="2464" customFormat="false" ht="15" hidden="false" customHeight="true" outlineLevel="0" collapsed="false">
      <c r="J2464" s="14" t="b">
        <f aca="false">IF(중복검사!$A2462="",FALSE(),중복검사!$H2462="중복")</f>
        <v>0</v>
      </c>
      <c r="K2464" s="5" t="str">
        <f aca="false">IF($J2464=FALSE(),"",COUNTIF($J$6:$J2464,TRUE()))</f>
        <v/>
      </c>
      <c r="L2464" s="5" t="str">
        <f aca="false">IF($K2464="","","R"&amp;$K2464)</f>
        <v/>
      </c>
    </row>
    <row r="2465" customFormat="false" ht="15" hidden="false" customHeight="true" outlineLevel="0" collapsed="false">
      <c r="J2465" s="14" t="b">
        <f aca="false">IF(중복검사!$A2463="",FALSE(),중복검사!$H2463="중복")</f>
        <v>0</v>
      </c>
      <c r="K2465" s="5" t="str">
        <f aca="false">IF($J2465=FALSE(),"",COUNTIF($J$6:$J2465,TRUE()))</f>
        <v/>
      </c>
      <c r="L2465" s="5" t="str">
        <f aca="false">IF($K2465="","","R"&amp;$K2465)</f>
        <v/>
      </c>
    </row>
    <row r="2466" customFormat="false" ht="15" hidden="false" customHeight="true" outlineLevel="0" collapsed="false">
      <c r="J2466" s="14" t="b">
        <f aca="false">IF(중복검사!$A2464="",FALSE(),중복검사!$H2464="중복")</f>
        <v>0</v>
      </c>
      <c r="K2466" s="5" t="str">
        <f aca="false">IF($J2466=FALSE(),"",COUNTIF($J$6:$J2466,TRUE()))</f>
        <v/>
      </c>
      <c r="L2466" s="5" t="str">
        <f aca="false">IF($K2466="","","R"&amp;$K2466)</f>
        <v/>
      </c>
    </row>
    <row r="2467" customFormat="false" ht="15" hidden="false" customHeight="true" outlineLevel="0" collapsed="false">
      <c r="J2467" s="14" t="b">
        <f aca="false">IF(중복검사!$A2465="",FALSE(),중복검사!$H2465="중복")</f>
        <v>0</v>
      </c>
      <c r="K2467" s="5" t="str">
        <f aca="false">IF($J2467=FALSE(),"",COUNTIF($J$6:$J2467,TRUE()))</f>
        <v/>
      </c>
      <c r="L2467" s="5" t="str">
        <f aca="false">IF($K2467="","","R"&amp;$K2467)</f>
        <v/>
      </c>
    </row>
    <row r="2468" customFormat="false" ht="15" hidden="false" customHeight="true" outlineLevel="0" collapsed="false">
      <c r="J2468" s="14" t="b">
        <f aca="false">IF(중복검사!$A2466="",FALSE(),중복검사!$H2466="중복")</f>
        <v>0</v>
      </c>
      <c r="K2468" s="5" t="str">
        <f aca="false">IF($J2468=FALSE(),"",COUNTIF($J$6:$J2468,TRUE()))</f>
        <v/>
      </c>
      <c r="L2468" s="5" t="str">
        <f aca="false">IF($K2468="","","R"&amp;$K2468)</f>
        <v/>
      </c>
    </row>
    <row r="2469" customFormat="false" ht="15" hidden="false" customHeight="true" outlineLevel="0" collapsed="false">
      <c r="J2469" s="14" t="b">
        <f aca="false">IF(중복검사!$A2467="",FALSE(),중복검사!$H2467="중복")</f>
        <v>0</v>
      </c>
      <c r="K2469" s="5" t="str">
        <f aca="false">IF($J2469=FALSE(),"",COUNTIF($J$6:$J2469,TRUE()))</f>
        <v/>
      </c>
      <c r="L2469" s="5" t="str">
        <f aca="false">IF($K2469="","","R"&amp;$K2469)</f>
        <v/>
      </c>
    </row>
    <row r="2470" customFormat="false" ht="15" hidden="false" customHeight="true" outlineLevel="0" collapsed="false">
      <c r="J2470" s="14" t="b">
        <f aca="false">IF(중복검사!$A2468="",FALSE(),중복검사!$H2468="중복")</f>
        <v>0</v>
      </c>
      <c r="K2470" s="5" t="str">
        <f aca="false">IF($J2470=FALSE(),"",COUNTIF($J$6:$J2470,TRUE()))</f>
        <v/>
      </c>
      <c r="L2470" s="5" t="str">
        <f aca="false">IF($K2470="","","R"&amp;$K2470)</f>
        <v/>
      </c>
    </row>
    <row r="2471" customFormat="false" ht="15" hidden="false" customHeight="true" outlineLevel="0" collapsed="false">
      <c r="J2471" s="14" t="b">
        <f aca="false">IF(중복검사!$A2469="",FALSE(),중복검사!$H2469="중복")</f>
        <v>0</v>
      </c>
      <c r="K2471" s="5" t="str">
        <f aca="false">IF($J2471=FALSE(),"",COUNTIF($J$6:$J2471,TRUE()))</f>
        <v/>
      </c>
      <c r="L2471" s="5" t="str">
        <f aca="false">IF($K2471="","","R"&amp;$K2471)</f>
        <v/>
      </c>
    </row>
    <row r="2472" customFormat="false" ht="15" hidden="false" customHeight="true" outlineLevel="0" collapsed="false">
      <c r="J2472" s="14" t="b">
        <f aca="false">IF(중복검사!$A2470="",FALSE(),중복검사!$H2470="중복")</f>
        <v>0</v>
      </c>
      <c r="K2472" s="5" t="str">
        <f aca="false">IF($J2472=FALSE(),"",COUNTIF($J$6:$J2472,TRUE()))</f>
        <v/>
      </c>
      <c r="L2472" s="5" t="str">
        <f aca="false">IF($K2472="","","R"&amp;$K2472)</f>
        <v/>
      </c>
    </row>
    <row r="2473" customFormat="false" ht="15" hidden="false" customHeight="true" outlineLevel="0" collapsed="false">
      <c r="J2473" s="14" t="b">
        <f aca="false">IF(중복검사!$A2471="",FALSE(),중복검사!$H2471="중복")</f>
        <v>0</v>
      </c>
      <c r="K2473" s="5" t="str">
        <f aca="false">IF($J2473=FALSE(),"",COUNTIF($J$6:$J2473,TRUE()))</f>
        <v/>
      </c>
      <c r="L2473" s="5" t="str">
        <f aca="false">IF($K2473="","","R"&amp;$K2473)</f>
        <v/>
      </c>
    </row>
    <row r="2474" customFormat="false" ht="15" hidden="false" customHeight="true" outlineLevel="0" collapsed="false">
      <c r="J2474" s="14" t="b">
        <f aca="false">IF(중복검사!$A2472="",FALSE(),중복검사!$H2472="중복")</f>
        <v>0</v>
      </c>
      <c r="K2474" s="5" t="str">
        <f aca="false">IF($J2474=FALSE(),"",COUNTIF($J$6:$J2474,TRUE()))</f>
        <v/>
      </c>
      <c r="L2474" s="5" t="str">
        <f aca="false">IF($K2474="","","R"&amp;$K2474)</f>
        <v/>
      </c>
    </row>
    <row r="2475" customFormat="false" ht="15" hidden="false" customHeight="true" outlineLevel="0" collapsed="false">
      <c r="J2475" s="14" t="b">
        <f aca="false">IF(중복검사!$A2473="",FALSE(),중복검사!$H2473="중복")</f>
        <v>0</v>
      </c>
      <c r="K2475" s="5" t="str">
        <f aca="false">IF($J2475=FALSE(),"",COUNTIF($J$6:$J2475,TRUE()))</f>
        <v/>
      </c>
      <c r="L2475" s="5" t="str">
        <f aca="false">IF($K2475="","","R"&amp;$K2475)</f>
        <v/>
      </c>
    </row>
    <row r="2476" customFormat="false" ht="15" hidden="false" customHeight="true" outlineLevel="0" collapsed="false">
      <c r="J2476" s="14" t="b">
        <f aca="false">IF(중복검사!$A2474="",FALSE(),중복검사!$H2474="중복")</f>
        <v>0</v>
      </c>
      <c r="K2476" s="5" t="str">
        <f aca="false">IF($J2476=FALSE(),"",COUNTIF($J$6:$J2476,TRUE()))</f>
        <v/>
      </c>
      <c r="L2476" s="5" t="str">
        <f aca="false">IF($K2476="","","R"&amp;$K2476)</f>
        <v/>
      </c>
    </row>
    <row r="2477" customFormat="false" ht="15" hidden="false" customHeight="true" outlineLevel="0" collapsed="false">
      <c r="J2477" s="14" t="b">
        <f aca="false">IF(중복검사!$A2475="",FALSE(),중복검사!$H2475="중복")</f>
        <v>0</v>
      </c>
      <c r="K2477" s="5" t="str">
        <f aca="false">IF($J2477=FALSE(),"",COUNTIF($J$6:$J2477,TRUE()))</f>
        <v/>
      </c>
      <c r="L2477" s="5" t="str">
        <f aca="false">IF($K2477="","","R"&amp;$K2477)</f>
        <v/>
      </c>
    </row>
    <row r="2478" customFormat="false" ht="15" hidden="false" customHeight="true" outlineLevel="0" collapsed="false">
      <c r="J2478" s="14" t="b">
        <f aca="false">IF(중복검사!$A2476="",FALSE(),중복검사!$H2476="중복")</f>
        <v>0</v>
      </c>
      <c r="K2478" s="5" t="str">
        <f aca="false">IF($J2478=FALSE(),"",COUNTIF($J$6:$J2478,TRUE()))</f>
        <v/>
      </c>
      <c r="L2478" s="5" t="str">
        <f aca="false">IF($K2478="","","R"&amp;$K2478)</f>
        <v/>
      </c>
    </row>
    <row r="2479" customFormat="false" ht="15" hidden="false" customHeight="true" outlineLevel="0" collapsed="false">
      <c r="J2479" s="14" t="b">
        <f aca="false">IF(중복검사!$A2477="",FALSE(),중복검사!$H2477="중복")</f>
        <v>0</v>
      </c>
      <c r="K2479" s="5" t="str">
        <f aca="false">IF($J2479=FALSE(),"",COUNTIF($J$6:$J2479,TRUE()))</f>
        <v/>
      </c>
      <c r="L2479" s="5" t="str">
        <f aca="false">IF($K2479="","","R"&amp;$K2479)</f>
        <v/>
      </c>
    </row>
    <row r="2480" customFormat="false" ht="15" hidden="false" customHeight="true" outlineLevel="0" collapsed="false">
      <c r="J2480" s="14" t="b">
        <f aca="false">IF(중복검사!$A2478="",FALSE(),중복검사!$H2478="중복")</f>
        <v>0</v>
      </c>
      <c r="K2480" s="5" t="str">
        <f aca="false">IF($J2480=FALSE(),"",COUNTIF($J$6:$J2480,TRUE()))</f>
        <v/>
      </c>
      <c r="L2480" s="5" t="str">
        <f aca="false">IF($K2480="","","R"&amp;$K2480)</f>
        <v/>
      </c>
    </row>
    <row r="2481" customFormat="false" ht="15" hidden="false" customHeight="true" outlineLevel="0" collapsed="false">
      <c r="J2481" s="14" t="b">
        <f aca="false">IF(중복검사!$A2479="",FALSE(),중복검사!$H2479="중복")</f>
        <v>0</v>
      </c>
      <c r="K2481" s="5" t="str">
        <f aca="false">IF($J2481=FALSE(),"",COUNTIF($J$6:$J2481,TRUE()))</f>
        <v/>
      </c>
      <c r="L2481" s="5" t="str">
        <f aca="false">IF($K2481="","","R"&amp;$K2481)</f>
        <v/>
      </c>
    </row>
    <row r="2482" customFormat="false" ht="15" hidden="false" customHeight="true" outlineLevel="0" collapsed="false">
      <c r="J2482" s="14" t="b">
        <f aca="false">IF(중복검사!$A2480="",FALSE(),중복검사!$H2480="중복")</f>
        <v>0</v>
      </c>
      <c r="K2482" s="5" t="str">
        <f aca="false">IF($J2482=FALSE(),"",COUNTIF($J$6:$J2482,TRUE()))</f>
        <v/>
      </c>
      <c r="L2482" s="5" t="str">
        <f aca="false">IF($K2482="","","R"&amp;$K2482)</f>
        <v/>
      </c>
    </row>
    <row r="2483" customFormat="false" ht="15" hidden="false" customHeight="true" outlineLevel="0" collapsed="false">
      <c r="J2483" s="14" t="b">
        <f aca="false">IF(중복검사!$A2481="",FALSE(),중복검사!$H2481="중복")</f>
        <v>0</v>
      </c>
      <c r="K2483" s="5" t="str">
        <f aca="false">IF($J2483=FALSE(),"",COUNTIF($J$6:$J2483,TRUE()))</f>
        <v/>
      </c>
      <c r="L2483" s="5" t="str">
        <f aca="false">IF($K2483="","","R"&amp;$K2483)</f>
        <v/>
      </c>
    </row>
    <row r="2484" customFormat="false" ht="15" hidden="false" customHeight="true" outlineLevel="0" collapsed="false">
      <c r="J2484" s="14" t="b">
        <f aca="false">IF(중복검사!$A2482="",FALSE(),중복검사!$H2482="중복")</f>
        <v>0</v>
      </c>
      <c r="K2484" s="5" t="str">
        <f aca="false">IF($J2484=FALSE(),"",COUNTIF($J$6:$J2484,TRUE()))</f>
        <v/>
      </c>
      <c r="L2484" s="5" t="str">
        <f aca="false">IF($K2484="","","R"&amp;$K2484)</f>
        <v/>
      </c>
    </row>
    <row r="2485" customFormat="false" ht="15" hidden="false" customHeight="true" outlineLevel="0" collapsed="false">
      <c r="J2485" s="14" t="b">
        <f aca="false">IF(중복검사!$A2483="",FALSE(),중복검사!$H2483="중복")</f>
        <v>0</v>
      </c>
      <c r="K2485" s="5" t="str">
        <f aca="false">IF($J2485=FALSE(),"",COUNTIF($J$6:$J2485,TRUE()))</f>
        <v/>
      </c>
      <c r="L2485" s="5" t="str">
        <f aca="false">IF($K2485="","","R"&amp;$K2485)</f>
        <v/>
      </c>
    </row>
    <row r="2486" customFormat="false" ht="15" hidden="false" customHeight="true" outlineLevel="0" collapsed="false">
      <c r="J2486" s="14" t="b">
        <f aca="false">IF(중복검사!$A2484="",FALSE(),중복검사!$H2484="중복")</f>
        <v>0</v>
      </c>
      <c r="K2486" s="5" t="str">
        <f aca="false">IF($J2486=FALSE(),"",COUNTIF($J$6:$J2486,TRUE()))</f>
        <v/>
      </c>
      <c r="L2486" s="5" t="str">
        <f aca="false">IF($K2486="","","R"&amp;$K2486)</f>
        <v/>
      </c>
    </row>
    <row r="2487" customFormat="false" ht="15" hidden="false" customHeight="true" outlineLevel="0" collapsed="false">
      <c r="J2487" s="14" t="b">
        <f aca="false">IF(중복검사!$A2485="",FALSE(),중복검사!$H2485="중복")</f>
        <v>0</v>
      </c>
      <c r="K2487" s="5" t="str">
        <f aca="false">IF($J2487=FALSE(),"",COUNTIF($J$6:$J2487,TRUE()))</f>
        <v/>
      </c>
      <c r="L2487" s="5" t="str">
        <f aca="false">IF($K2487="","","R"&amp;$K2487)</f>
        <v/>
      </c>
    </row>
    <row r="2488" customFormat="false" ht="15" hidden="false" customHeight="true" outlineLevel="0" collapsed="false">
      <c r="J2488" s="14" t="b">
        <f aca="false">IF(중복검사!$A2486="",FALSE(),중복검사!$H2486="중복")</f>
        <v>0</v>
      </c>
      <c r="K2488" s="5" t="str">
        <f aca="false">IF($J2488=FALSE(),"",COUNTIF($J$6:$J2488,TRUE()))</f>
        <v/>
      </c>
      <c r="L2488" s="5" t="str">
        <f aca="false">IF($K2488="","","R"&amp;$K2488)</f>
        <v/>
      </c>
    </row>
    <row r="2489" customFormat="false" ht="15" hidden="false" customHeight="true" outlineLevel="0" collapsed="false">
      <c r="J2489" s="14" t="b">
        <f aca="false">IF(중복검사!$A2487="",FALSE(),중복검사!$H2487="중복")</f>
        <v>0</v>
      </c>
      <c r="K2489" s="5" t="str">
        <f aca="false">IF($J2489=FALSE(),"",COUNTIF($J$6:$J2489,TRUE()))</f>
        <v/>
      </c>
      <c r="L2489" s="5" t="str">
        <f aca="false">IF($K2489="","","R"&amp;$K2489)</f>
        <v/>
      </c>
    </row>
    <row r="2490" customFormat="false" ht="15" hidden="false" customHeight="true" outlineLevel="0" collapsed="false">
      <c r="J2490" s="14" t="b">
        <f aca="false">IF(중복검사!$A2488="",FALSE(),중복검사!$H2488="중복")</f>
        <v>0</v>
      </c>
      <c r="K2490" s="5" t="str">
        <f aca="false">IF($J2490=FALSE(),"",COUNTIF($J$6:$J2490,TRUE()))</f>
        <v/>
      </c>
      <c r="L2490" s="5" t="str">
        <f aca="false">IF($K2490="","","R"&amp;$K2490)</f>
        <v/>
      </c>
    </row>
    <row r="2491" customFormat="false" ht="15" hidden="false" customHeight="true" outlineLevel="0" collapsed="false">
      <c r="J2491" s="14" t="b">
        <f aca="false">IF(중복검사!$A2489="",FALSE(),중복검사!$H2489="중복")</f>
        <v>0</v>
      </c>
      <c r="K2491" s="5" t="str">
        <f aca="false">IF($J2491=FALSE(),"",COUNTIF($J$6:$J2491,TRUE()))</f>
        <v/>
      </c>
      <c r="L2491" s="5" t="str">
        <f aca="false">IF($K2491="","","R"&amp;$K2491)</f>
        <v/>
      </c>
    </row>
    <row r="2492" customFormat="false" ht="15" hidden="false" customHeight="true" outlineLevel="0" collapsed="false">
      <c r="J2492" s="14" t="b">
        <f aca="false">IF(중복검사!$A2490="",FALSE(),중복검사!$H2490="중복")</f>
        <v>0</v>
      </c>
      <c r="K2492" s="5" t="str">
        <f aca="false">IF($J2492=FALSE(),"",COUNTIF($J$6:$J2492,TRUE()))</f>
        <v/>
      </c>
      <c r="L2492" s="5" t="str">
        <f aca="false">IF($K2492="","","R"&amp;$K2492)</f>
        <v/>
      </c>
    </row>
    <row r="2493" customFormat="false" ht="15" hidden="false" customHeight="true" outlineLevel="0" collapsed="false">
      <c r="J2493" s="14" t="b">
        <f aca="false">IF(중복검사!$A2491="",FALSE(),중복검사!$H2491="중복")</f>
        <v>0</v>
      </c>
      <c r="K2493" s="5" t="str">
        <f aca="false">IF($J2493=FALSE(),"",COUNTIF($J$6:$J2493,TRUE()))</f>
        <v/>
      </c>
      <c r="L2493" s="5" t="str">
        <f aca="false">IF($K2493="","","R"&amp;$K2493)</f>
        <v/>
      </c>
    </row>
    <row r="2494" customFormat="false" ht="15" hidden="false" customHeight="true" outlineLevel="0" collapsed="false">
      <c r="J2494" s="14" t="b">
        <f aca="false">IF(중복검사!$A2492="",FALSE(),중복검사!$H2492="중복")</f>
        <v>0</v>
      </c>
      <c r="K2494" s="5" t="str">
        <f aca="false">IF($J2494=FALSE(),"",COUNTIF($J$6:$J2494,TRUE()))</f>
        <v/>
      </c>
      <c r="L2494" s="5" t="str">
        <f aca="false">IF($K2494="","","R"&amp;$K2494)</f>
        <v/>
      </c>
    </row>
    <row r="2495" customFormat="false" ht="15" hidden="false" customHeight="true" outlineLevel="0" collapsed="false">
      <c r="J2495" s="14" t="b">
        <f aca="false">IF(중복검사!$A2493="",FALSE(),중복검사!$H2493="중복")</f>
        <v>0</v>
      </c>
      <c r="K2495" s="5" t="str">
        <f aca="false">IF($J2495=FALSE(),"",COUNTIF($J$6:$J2495,TRUE()))</f>
        <v/>
      </c>
      <c r="L2495" s="5" t="str">
        <f aca="false">IF($K2495="","","R"&amp;$K2495)</f>
        <v/>
      </c>
    </row>
    <row r="2496" customFormat="false" ht="15" hidden="false" customHeight="true" outlineLevel="0" collapsed="false">
      <c r="J2496" s="14" t="b">
        <f aca="false">IF(중복검사!$A2494="",FALSE(),중복검사!$H2494="중복")</f>
        <v>0</v>
      </c>
      <c r="K2496" s="5" t="str">
        <f aca="false">IF($J2496=FALSE(),"",COUNTIF($J$6:$J2496,TRUE()))</f>
        <v/>
      </c>
      <c r="L2496" s="5" t="str">
        <f aca="false">IF($K2496="","","R"&amp;$K2496)</f>
        <v/>
      </c>
    </row>
    <row r="2497" customFormat="false" ht="15" hidden="false" customHeight="true" outlineLevel="0" collapsed="false">
      <c r="J2497" s="14" t="b">
        <f aca="false">IF(중복검사!$A2495="",FALSE(),중복검사!$H2495="중복")</f>
        <v>0</v>
      </c>
      <c r="K2497" s="5" t="str">
        <f aca="false">IF($J2497=FALSE(),"",COUNTIF($J$6:$J2497,TRUE()))</f>
        <v/>
      </c>
      <c r="L2497" s="5" t="str">
        <f aca="false">IF($K2497="","","R"&amp;$K2497)</f>
        <v/>
      </c>
    </row>
    <row r="2498" customFormat="false" ht="15" hidden="false" customHeight="true" outlineLevel="0" collapsed="false">
      <c r="J2498" s="14" t="b">
        <f aca="false">IF(중복검사!$A2496="",FALSE(),중복검사!$H2496="중복")</f>
        <v>0</v>
      </c>
      <c r="K2498" s="5" t="str">
        <f aca="false">IF($J2498=FALSE(),"",COUNTIF($J$6:$J2498,TRUE()))</f>
        <v/>
      </c>
      <c r="L2498" s="5" t="str">
        <f aca="false">IF($K2498="","","R"&amp;$K2498)</f>
        <v/>
      </c>
    </row>
    <row r="2499" customFormat="false" ht="15" hidden="false" customHeight="true" outlineLevel="0" collapsed="false">
      <c r="J2499" s="14" t="b">
        <f aca="false">IF(중복검사!$A2497="",FALSE(),중복검사!$H2497="중복")</f>
        <v>0</v>
      </c>
      <c r="K2499" s="5" t="str">
        <f aca="false">IF($J2499=FALSE(),"",COUNTIF($J$6:$J2499,TRUE()))</f>
        <v/>
      </c>
      <c r="L2499" s="5" t="str">
        <f aca="false">IF($K2499="","","R"&amp;$K2499)</f>
        <v/>
      </c>
    </row>
    <row r="2500" customFormat="false" ht="15" hidden="false" customHeight="true" outlineLevel="0" collapsed="false">
      <c r="J2500" s="14" t="b">
        <f aca="false">IF(중복검사!$A2498="",FALSE(),중복검사!$H2498="중복")</f>
        <v>0</v>
      </c>
      <c r="K2500" s="5" t="str">
        <f aca="false">IF($J2500=FALSE(),"",COUNTIF($J$6:$J2500,TRUE()))</f>
        <v/>
      </c>
      <c r="L2500" s="5" t="str">
        <f aca="false">IF($K2500="","","R"&amp;$K2500)</f>
        <v/>
      </c>
    </row>
    <row r="2501" customFormat="false" ht="15" hidden="false" customHeight="true" outlineLevel="0" collapsed="false">
      <c r="J2501" s="14" t="b">
        <f aca="false">IF(중복검사!$A2499="",FALSE(),중복검사!$H2499="중복")</f>
        <v>0</v>
      </c>
      <c r="K2501" s="5" t="str">
        <f aca="false">IF($J2501=FALSE(),"",COUNTIF($J$6:$J2501,TRUE()))</f>
        <v/>
      </c>
      <c r="L2501" s="5" t="str">
        <f aca="false">IF($K2501="","","R"&amp;$K2501)</f>
        <v/>
      </c>
    </row>
    <row r="2502" customFormat="false" ht="15" hidden="false" customHeight="true" outlineLevel="0" collapsed="false">
      <c r="J2502" s="14" t="b">
        <f aca="false">IF(중복검사!$A2500="",FALSE(),중복검사!$H2500="중복")</f>
        <v>0</v>
      </c>
      <c r="K2502" s="5" t="str">
        <f aca="false">IF($J2502=FALSE(),"",COUNTIF($J$6:$J2502,TRUE()))</f>
        <v/>
      </c>
      <c r="L2502" s="5" t="str">
        <f aca="false">IF($K2502="","","R"&amp;$K2502)</f>
        <v/>
      </c>
    </row>
    <row r="2503" customFormat="false" ht="15" hidden="false" customHeight="true" outlineLevel="0" collapsed="false">
      <c r="J2503" s="14" t="b">
        <f aca="false">IF(중복검사!$A2501="",FALSE(),중복검사!$H2501="중복")</f>
        <v>0</v>
      </c>
      <c r="K2503" s="5" t="str">
        <f aca="false">IF($J2503=FALSE(),"",COUNTIF($J$6:$J2503,TRUE()))</f>
        <v/>
      </c>
      <c r="L2503" s="5" t="str">
        <f aca="false">IF($K2503="","","R"&amp;$K2503)</f>
        <v/>
      </c>
    </row>
    <row r="2504" customFormat="false" ht="15" hidden="false" customHeight="true" outlineLevel="0" collapsed="false">
      <c r="J2504" s="14" t="b">
        <f aca="false">IF(중복검사!$A2502="",FALSE(),중복검사!$H2502="중복")</f>
        <v>0</v>
      </c>
      <c r="K2504" s="5" t="str">
        <f aca="false">IF($J2504=FALSE(),"",COUNTIF($J$6:$J2504,TRUE()))</f>
        <v/>
      </c>
      <c r="L2504" s="5" t="str">
        <f aca="false">IF($K2504="","","R"&amp;$K2504)</f>
        <v/>
      </c>
    </row>
    <row r="2505" customFormat="false" ht="15" hidden="false" customHeight="true" outlineLevel="0" collapsed="false">
      <c r="J2505" s="14" t="b">
        <f aca="false">IF(중복검사!$A2503="",FALSE(),중복검사!$H2503="중복")</f>
        <v>0</v>
      </c>
      <c r="K2505" s="5" t="str">
        <f aca="false">IF($J2505=FALSE(),"",COUNTIF($J$6:$J2505,TRUE()))</f>
        <v/>
      </c>
      <c r="L2505" s="5" t="str">
        <f aca="false">IF($K2505="","","R"&amp;$K2505)</f>
        <v/>
      </c>
    </row>
    <row r="2506" customFormat="false" ht="15" hidden="false" customHeight="true" outlineLevel="0" collapsed="false">
      <c r="J2506" s="14" t="b">
        <f aca="false">IF(중복검사!$A2504="",FALSE(),중복검사!$H2504="중복")</f>
        <v>0</v>
      </c>
      <c r="K2506" s="5" t="str">
        <f aca="false">IF($J2506=FALSE(),"",COUNTIF($J$6:$J2506,TRUE()))</f>
        <v/>
      </c>
      <c r="L2506" s="5" t="str">
        <f aca="false">IF($K2506="","","R"&amp;$K2506)</f>
        <v/>
      </c>
    </row>
    <row r="2507" customFormat="false" ht="15" hidden="false" customHeight="true" outlineLevel="0" collapsed="false">
      <c r="J2507" s="14" t="b">
        <f aca="false">IF(중복검사!$A2505="",FALSE(),중복검사!$H2505="중복")</f>
        <v>0</v>
      </c>
      <c r="K2507" s="5" t="str">
        <f aca="false">IF($J2507=FALSE(),"",COUNTIF($J$6:$J2507,TRUE()))</f>
        <v/>
      </c>
      <c r="L2507" s="5" t="str">
        <f aca="false">IF($K2507="","","R"&amp;$K2507)</f>
        <v/>
      </c>
    </row>
    <row r="2508" customFormat="false" ht="15" hidden="false" customHeight="true" outlineLevel="0" collapsed="false">
      <c r="J2508" s="14" t="b">
        <f aca="false">IF(중복검사!$A2506="",FALSE(),중복검사!$H2506="중복")</f>
        <v>0</v>
      </c>
      <c r="K2508" s="5" t="str">
        <f aca="false">IF($J2508=FALSE(),"",COUNTIF($J$6:$J2508,TRUE()))</f>
        <v/>
      </c>
      <c r="L2508" s="5" t="str">
        <f aca="false">IF($K2508="","","R"&amp;$K2508)</f>
        <v/>
      </c>
    </row>
    <row r="2509" customFormat="false" ht="15" hidden="false" customHeight="true" outlineLevel="0" collapsed="false">
      <c r="J2509" s="14" t="b">
        <f aca="false">IF(중복검사!$A2507="",FALSE(),중복검사!$H2507="중복")</f>
        <v>0</v>
      </c>
      <c r="K2509" s="5" t="str">
        <f aca="false">IF($J2509=FALSE(),"",COUNTIF($J$6:$J2509,TRUE()))</f>
        <v/>
      </c>
      <c r="L2509" s="5" t="str">
        <f aca="false">IF($K2509="","","R"&amp;$K2509)</f>
        <v/>
      </c>
    </row>
    <row r="2510" customFormat="false" ht="15" hidden="false" customHeight="true" outlineLevel="0" collapsed="false">
      <c r="J2510" s="14" t="b">
        <f aca="false">IF(중복검사!$A2508="",FALSE(),중복검사!$H2508="중복")</f>
        <v>0</v>
      </c>
      <c r="K2510" s="5" t="str">
        <f aca="false">IF($J2510=FALSE(),"",COUNTIF($J$6:$J2510,TRUE()))</f>
        <v/>
      </c>
      <c r="L2510" s="5" t="str">
        <f aca="false">IF($K2510="","","R"&amp;$K2510)</f>
        <v/>
      </c>
    </row>
    <row r="2511" customFormat="false" ht="15" hidden="false" customHeight="true" outlineLevel="0" collapsed="false">
      <c r="J2511" s="14" t="b">
        <f aca="false">IF(중복검사!$A2509="",FALSE(),중복검사!$H2509="중복")</f>
        <v>0</v>
      </c>
      <c r="K2511" s="5" t="str">
        <f aca="false">IF($J2511=FALSE(),"",COUNTIF($J$6:$J2511,TRUE()))</f>
        <v/>
      </c>
      <c r="L2511" s="5" t="str">
        <f aca="false">IF($K2511="","","R"&amp;$K2511)</f>
        <v/>
      </c>
    </row>
    <row r="2512" customFormat="false" ht="15" hidden="false" customHeight="true" outlineLevel="0" collapsed="false">
      <c r="J2512" s="14" t="b">
        <f aca="false">IF(중복검사!$A2510="",FALSE(),중복검사!$H2510="중복")</f>
        <v>0</v>
      </c>
      <c r="K2512" s="5" t="str">
        <f aca="false">IF($J2512=FALSE(),"",COUNTIF($J$6:$J2512,TRUE()))</f>
        <v/>
      </c>
      <c r="L2512" s="5" t="str">
        <f aca="false">IF($K2512="","","R"&amp;$K2512)</f>
        <v/>
      </c>
    </row>
    <row r="2513" customFormat="false" ht="15" hidden="false" customHeight="true" outlineLevel="0" collapsed="false">
      <c r="J2513" s="14" t="b">
        <f aca="false">IF(중복검사!$A2511="",FALSE(),중복검사!$H2511="중복")</f>
        <v>0</v>
      </c>
      <c r="K2513" s="5" t="str">
        <f aca="false">IF($J2513=FALSE(),"",COUNTIF($J$6:$J2513,TRUE()))</f>
        <v/>
      </c>
      <c r="L2513" s="5" t="str">
        <f aca="false">IF($K2513="","","R"&amp;$K2513)</f>
        <v/>
      </c>
    </row>
    <row r="2514" customFormat="false" ht="15" hidden="false" customHeight="true" outlineLevel="0" collapsed="false">
      <c r="J2514" s="14" t="b">
        <f aca="false">IF(중복검사!$A2512="",FALSE(),중복검사!$H2512="중복")</f>
        <v>0</v>
      </c>
      <c r="K2514" s="5" t="str">
        <f aca="false">IF($J2514=FALSE(),"",COUNTIF($J$6:$J2514,TRUE()))</f>
        <v/>
      </c>
      <c r="L2514" s="5" t="str">
        <f aca="false">IF($K2514="","","R"&amp;$K2514)</f>
        <v/>
      </c>
    </row>
    <row r="2515" customFormat="false" ht="15" hidden="false" customHeight="true" outlineLevel="0" collapsed="false">
      <c r="J2515" s="14" t="b">
        <f aca="false">IF(중복검사!$A2513="",FALSE(),중복검사!$H2513="중복")</f>
        <v>0</v>
      </c>
      <c r="K2515" s="5" t="str">
        <f aca="false">IF($J2515=FALSE(),"",COUNTIF($J$6:$J2515,TRUE()))</f>
        <v/>
      </c>
      <c r="L2515" s="5" t="str">
        <f aca="false">IF($K2515="","","R"&amp;$K2515)</f>
        <v/>
      </c>
    </row>
    <row r="2516" customFormat="false" ht="15" hidden="false" customHeight="true" outlineLevel="0" collapsed="false">
      <c r="J2516" s="14" t="b">
        <f aca="false">IF(중복검사!$A2514="",FALSE(),중복검사!$H2514="중복")</f>
        <v>0</v>
      </c>
      <c r="K2516" s="5" t="str">
        <f aca="false">IF($J2516=FALSE(),"",COUNTIF($J$6:$J2516,TRUE()))</f>
        <v/>
      </c>
      <c r="L2516" s="5" t="str">
        <f aca="false">IF($K2516="","","R"&amp;$K2516)</f>
        <v/>
      </c>
    </row>
    <row r="2517" customFormat="false" ht="15" hidden="false" customHeight="true" outlineLevel="0" collapsed="false">
      <c r="J2517" s="14" t="b">
        <f aca="false">IF(중복검사!$A2515="",FALSE(),중복검사!$H2515="중복")</f>
        <v>0</v>
      </c>
      <c r="K2517" s="5" t="str">
        <f aca="false">IF($J2517=FALSE(),"",COUNTIF($J$6:$J2517,TRUE()))</f>
        <v/>
      </c>
      <c r="L2517" s="5" t="str">
        <f aca="false">IF($K2517="","","R"&amp;$K2517)</f>
        <v/>
      </c>
    </row>
    <row r="2518" customFormat="false" ht="15" hidden="false" customHeight="true" outlineLevel="0" collapsed="false">
      <c r="J2518" s="14" t="b">
        <f aca="false">IF(중복검사!$A2516="",FALSE(),중복검사!$H2516="중복")</f>
        <v>0</v>
      </c>
      <c r="K2518" s="5" t="str">
        <f aca="false">IF($J2518=FALSE(),"",COUNTIF($J$6:$J2518,TRUE()))</f>
        <v/>
      </c>
      <c r="L2518" s="5" t="str">
        <f aca="false">IF($K2518="","","R"&amp;$K2518)</f>
        <v/>
      </c>
    </row>
    <row r="2519" customFormat="false" ht="15" hidden="false" customHeight="true" outlineLevel="0" collapsed="false">
      <c r="J2519" s="14" t="b">
        <f aca="false">IF(중복검사!$A2517="",FALSE(),중복검사!$H2517="중복")</f>
        <v>0</v>
      </c>
      <c r="K2519" s="5" t="str">
        <f aca="false">IF($J2519=FALSE(),"",COUNTIF($J$6:$J2519,TRUE()))</f>
        <v/>
      </c>
      <c r="L2519" s="5" t="str">
        <f aca="false">IF($K2519="","","R"&amp;$K2519)</f>
        <v/>
      </c>
    </row>
    <row r="2520" customFormat="false" ht="15" hidden="false" customHeight="true" outlineLevel="0" collapsed="false">
      <c r="J2520" s="14" t="b">
        <f aca="false">IF(중복검사!$A2518="",FALSE(),중복검사!$H2518="중복")</f>
        <v>0</v>
      </c>
      <c r="K2520" s="5" t="str">
        <f aca="false">IF($J2520=FALSE(),"",COUNTIF($J$6:$J2520,TRUE()))</f>
        <v/>
      </c>
      <c r="L2520" s="5" t="str">
        <f aca="false">IF($K2520="","","R"&amp;$K2520)</f>
        <v/>
      </c>
    </row>
    <row r="2521" customFormat="false" ht="15" hidden="false" customHeight="true" outlineLevel="0" collapsed="false">
      <c r="J2521" s="14" t="b">
        <f aca="false">IF(중복검사!$A2519="",FALSE(),중복검사!$H2519="중복")</f>
        <v>0</v>
      </c>
      <c r="K2521" s="5" t="str">
        <f aca="false">IF($J2521=FALSE(),"",COUNTIF($J$6:$J2521,TRUE()))</f>
        <v/>
      </c>
      <c r="L2521" s="5" t="str">
        <f aca="false">IF($K2521="","","R"&amp;$K2521)</f>
        <v/>
      </c>
    </row>
    <row r="2522" customFormat="false" ht="15" hidden="false" customHeight="true" outlineLevel="0" collapsed="false">
      <c r="J2522" s="14" t="b">
        <f aca="false">IF(중복검사!$A2520="",FALSE(),중복검사!$H2520="중복")</f>
        <v>0</v>
      </c>
      <c r="K2522" s="5" t="str">
        <f aca="false">IF($J2522=FALSE(),"",COUNTIF($J$6:$J2522,TRUE()))</f>
        <v/>
      </c>
      <c r="L2522" s="5" t="str">
        <f aca="false">IF($K2522="","","R"&amp;$K2522)</f>
        <v/>
      </c>
    </row>
    <row r="2523" customFormat="false" ht="15" hidden="false" customHeight="true" outlineLevel="0" collapsed="false">
      <c r="J2523" s="14" t="b">
        <f aca="false">IF(중복검사!$A2521="",FALSE(),중복검사!$H2521="중복")</f>
        <v>0</v>
      </c>
      <c r="K2523" s="5" t="str">
        <f aca="false">IF($J2523=FALSE(),"",COUNTIF($J$6:$J2523,TRUE()))</f>
        <v/>
      </c>
      <c r="L2523" s="5" t="str">
        <f aca="false">IF($K2523="","","R"&amp;$K2523)</f>
        <v/>
      </c>
    </row>
    <row r="2524" customFormat="false" ht="15" hidden="false" customHeight="true" outlineLevel="0" collapsed="false">
      <c r="J2524" s="14" t="b">
        <f aca="false">IF(중복검사!$A2522="",FALSE(),중복검사!$H2522="중복")</f>
        <v>0</v>
      </c>
      <c r="K2524" s="5" t="str">
        <f aca="false">IF($J2524=FALSE(),"",COUNTIF($J$6:$J2524,TRUE()))</f>
        <v/>
      </c>
      <c r="L2524" s="5" t="str">
        <f aca="false">IF($K2524="","","R"&amp;$K2524)</f>
        <v/>
      </c>
    </row>
    <row r="2525" customFormat="false" ht="15" hidden="false" customHeight="true" outlineLevel="0" collapsed="false">
      <c r="J2525" s="14" t="b">
        <f aca="false">IF(중복검사!$A2523="",FALSE(),중복검사!$H2523="중복")</f>
        <v>0</v>
      </c>
      <c r="K2525" s="5" t="str">
        <f aca="false">IF($J2525=FALSE(),"",COUNTIF($J$6:$J2525,TRUE()))</f>
        <v/>
      </c>
      <c r="L2525" s="5" t="str">
        <f aca="false">IF($K2525="","","R"&amp;$K2525)</f>
        <v/>
      </c>
    </row>
    <row r="2526" customFormat="false" ht="15" hidden="false" customHeight="true" outlineLevel="0" collapsed="false">
      <c r="J2526" s="14" t="b">
        <f aca="false">IF(중복검사!$A2524="",FALSE(),중복검사!$H2524="중복")</f>
        <v>0</v>
      </c>
      <c r="K2526" s="5" t="str">
        <f aca="false">IF($J2526=FALSE(),"",COUNTIF($J$6:$J2526,TRUE()))</f>
        <v/>
      </c>
      <c r="L2526" s="5" t="str">
        <f aca="false">IF($K2526="","","R"&amp;$K2526)</f>
        <v/>
      </c>
    </row>
    <row r="2527" customFormat="false" ht="15" hidden="false" customHeight="true" outlineLevel="0" collapsed="false">
      <c r="J2527" s="14" t="b">
        <f aca="false">IF(중복검사!$A2525="",FALSE(),중복검사!$H2525="중복")</f>
        <v>0</v>
      </c>
      <c r="K2527" s="5" t="str">
        <f aca="false">IF($J2527=FALSE(),"",COUNTIF($J$6:$J2527,TRUE()))</f>
        <v/>
      </c>
      <c r="L2527" s="5" t="str">
        <f aca="false">IF($K2527="","","R"&amp;$K2527)</f>
        <v/>
      </c>
    </row>
    <row r="2528" customFormat="false" ht="15" hidden="false" customHeight="true" outlineLevel="0" collapsed="false">
      <c r="J2528" s="14" t="b">
        <f aca="false">IF(중복검사!$A2526="",FALSE(),중복검사!$H2526="중복")</f>
        <v>0</v>
      </c>
      <c r="K2528" s="5" t="str">
        <f aca="false">IF($J2528=FALSE(),"",COUNTIF($J$6:$J2528,TRUE()))</f>
        <v/>
      </c>
      <c r="L2528" s="5" t="str">
        <f aca="false">IF($K2528="","","R"&amp;$K2528)</f>
        <v/>
      </c>
    </row>
    <row r="2529" customFormat="false" ht="15" hidden="false" customHeight="true" outlineLevel="0" collapsed="false">
      <c r="J2529" s="14" t="b">
        <f aca="false">IF(중복검사!$A2527="",FALSE(),중복검사!$H2527="중복")</f>
        <v>0</v>
      </c>
      <c r="K2529" s="5" t="str">
        <f aca="false">IF($J2529=FALSE(),"",COUNTIF($J$6:$J2529,TRUE()))</f>
        <v/>
      </c>
      <c r="L2529" s="5" t="str">
        <f aca="false">IF($K2529="","","R"&amp;$K2529)</f>
        <v/>
      </c>
    </row>
    <row r="2530" customFormat="false" ht="15" hidden="false" customHeight="true" outlineLevel="0" collapsed="false">
      <c r="J2530" s="14" t="b">
        <f aca="false">IF(중복검사!$A2528="",FALSE(),중복검사!$H2528="중복")</f>
        <v>0</v>
      </c>
      <c r="K2530" s="5" t="str">
        <f aca="false">IF($J2530=FALSE(),"",COUNTIF($J$6:$J2530,TRUE()))</f>
        <v/>
      </c>
      <c r="L2530" s="5" t="str">
        <f aca="false">IF($K2530="","","R"&amp;$K2530)</f>
        <v/>
      </c>
    </row>
    <row r="2531" customFormat="false" ht="15" hidden="false" customHeight="true" outlineLevel="0" collapsed="false">
      <c r="J2531" s="14" t="b">
        <f aca="false">IF(중복검사!$A2529="",FALSE(),중복검사!$H2529="중복")</f>
        <v>0</v>
      </c>
      <c r="K2531" s="5" t="str">
        <f aca="false">IF($J2531=FALSE(),"",COUNTIF($J$6:$J2531,TRUE()))</f>
        <v/>
      </c>
      <c r="L2531" s="5" t="str">
        <f aca="false">IF($K2531="","","R"&amp;$K2531)</f>
        <v/>
      </c>
    </row>
    <row r="2532" customFormat="false" ht="15" hidden="false" customHeight="true" outlineLevel="0" collapsed="false">
      <c r="J2532" s="14" t="b">
        <f aca="false">IF(중복검사!$A2530="",FALSE(),중복검사!$H2530="중복")</f>
        <v>0</v>
      </c>
      <c r="K2532" s="5" t="str">
        <f aca="false">IF($J2532=FALSE(),"",COUNTIF($J$6:$J2532,TRUE()))</f>
        <v/>
      </c>
      <c r="L2532" s="5" t="str">
        <f aca="false">IF($K2532="","","R"&amp;$K2532)</f>
        <v/>
      </c>
    </row>
    <row r="2533" customFormat="false" ht="15" hidden="false" customHeight="true" outlineLevel="0" collapsed="false">
      <c r="J2533" s="14" t="b">
        <f aca="false">IF(중복검사!$A2531="",FALSE(),중복검사!$H2531="중복")</f>
        <v>0</v>
      </c>
      <c r="K2533" s="5" t="str">
        <f aca="false">IF($J2533=FALSE(),"",COUNTIF($J$6:$J2533,TRUE()))</f>
        <v/>
      </c>
      <c r="L2533" s="5" t="str">
        <f aca="false">IF($K2533="","","R"&amp;$K2533)</f>
        <v/>
      </c>
    </row>
    <row r="2534" customFormat="false" ht="15" hidden="false" customHeight="true" outlineLevel="0" collapsed="false">
      <c r="J2534" s="14" t="b">
        <f aca="false">IF(중복검사!$A2532="",FALSE(),중복검사!$H2532="중복")</f>
        <v>0</v>
      </c>
      <c r="K2534" s="5" t="str">
        <f aca="false">IF($J2534=FALSE(),"",COUNTIF($J$6:$J2534,TRUE()))</f>
        <v/>
      </c>
      <c r="L2534" s="5" t="str">
        <f aca="false">IF($K2534="","","R"&amp;$K2534)</f>
        <v/>
      </c>
    </row>
    <row r="2535" customFormat="false" ht="15" hidden="false" customHeight="true" outlineLevel="0" collapsed="false">
      <c r="J2535" s="14" t="b">
        <f aca="false">IF(중복검사!$A2533="",FALSE(),중복검사!$H2533="중복")</f>
        <v>0</v>
      </c>
      <c r="K2535" s="5" t="str">
        <f aca="false">IF($J2535=FALSE(),"",COUNTIF($J$6:$J2535,TRUE()))</f>
        <v/>
      </c>
      <c r="L2535" s="5" t="str">
        <f aca="false">IF($K2535="","","R"&amp;$K2535)</f>
        <v/>
      </c>
    </row>
    <row r="2536" customFormat="false" ht="15" hidden="false" customHeight="true" outlineLevel="0" collapsed="false">
      <c r="J2536" s="14" t="b">
        <f aca="false">IF(중복검사!$A2534="",FALSE(),중복검사!$H2534="중복")</f>
        <v>0</v>
      </c>
      <c r="K2536" s="5" t="str">
        <f aca="false">IF($J2536=FALSE(),"",COUNTIF($J$6:$J2536,TRUE()))</f>
        <v/>
      </c>
      <c r="L2536" s="5" t="str">
        <f aca="false">IF($K2536="","","R"&amp;$K2536)</f>
        <v/>
      </c>
    </row>
    <row r="2537" customFormat="false" ht="15" hidden="false" customHeight="true" outlineLevel="0" collapsed="false">
      <c r="J2537" s="14" t="b">
        <f aca="false">IF(중복검사!$A2535="",FALSE(),중복검사!$H2535="중복")</f>
        <v>0</v>
      </c>
      <c r="K2537" s="5" t="str">
        <f aca="false">IF($J2537=FALSE(),"",COUNTIF($J$6:$J2537,TRUE()))</f>
        <v/>
      </c>
      <c r="L2537" s="5" t="str">
        <f aca="false">IF($K2537="","","R"&amp;$K2537)</f>
        <v/>
      </c>
    </row>
    <row r="2538" customFormat="false" ht="15" hidden="false" customHeight="true" outlineLevel="0" collapsed="false">
      <c r="J2538" s="14" t="b">
        <f aca="false">IF(중복검사!$A2536="",FALSE(),중복검사!$H2536="중복")</f>
        <v>0</v>
      </c>
      <c r="K2538" s="5" t="str">
        <f aca="false">IF($J2538=FALSE(),"",COUNTIF($J$6:$J2538,TRUE()))</f>
        <v/>
      </c>
      <c r="L2538" s="5" t="str">
        <f aca="false">IF($K2538="","","R"&amp;$K2538)</f>
        <v/>
      </c>
    </row>
    <row r="2539" customFormat="false" ht="15" hidden="false" customHeight="true" outlineLevel="0" collapsed="false">
      <c r="J2539" s="14" t="b">
        <f aca="false">IF(중복검사!$A2537="",FALSE(),중복검사!$H2537="중복")</f>
        <v>0</v>
      </c>
      <c r="K2539" s="5" t="str">
        <f aca="false">IF($J2539=FALSE(),"",COUNTIF($J$6:$J2539,TRUE()))</f>
        <v/>
      </c>
      <c r="L2539" s="5" t="str">
        <f aca="false">IF($K2539="","","R"&amp;$K2539)</f>
        <v/>
      </c>
    </row>
    <row r="2540" customFormat="false" ht="15" hidden="false" customHeight="true" outlineLevel="0" collapsed="false">
      <c r="J2540" s="14" t="b">
        <f aca="false">IF(중복검사!$A2538="",FALSE(),중복검사!$H2538="중복")</f>
        <v>0</v>
      </c>
      <c r="K2540" s="5" t="str">
        <f aca="false">IF($J2540=FALSE(),"",COUNTIF($J$6:$J2540,TRUE()))</f>
        <v/>
      </c>
      <c r="L2540" s="5" t="str">
        <f aca="false">IF($K2540="","","R"&amp;$K2540)</f>
        <v/>
      </c>
    </row>
    <row r="2541" customFormat="false" ht="15" hidden="false" customHeight="true" outlineLevel="0" collapsed="false">
      <c r="J2541" s="14" t="b">
        <f aca="false">IF(중복검사!$A2539="",FALSE(),중복검사!$H2539="중복")</f>
        <v>0</v>
      </c>
      <c r="K2541" s="5" t="str">
        <f aca="false">IF($J2541=FALSE(),"",COUNTIF($J$6:$J2541,TRUE()))</f>
        <v/>
      </c>
      <c r="L2541" s="5" t="str">
        <f aca="false">IF($K2541="","","R"&amp;$K2541)</f>
        <v/>
      </c>
    </row>
    <row r="2542" customFormat="false" ht="15" hidden="false" customHeight="true" outlineLevel="0" collapsed="false">
      <c r="J2542" s="14" t="b">
        <f aca="false">IF(중복검사!$A2540="",FALSE(),중복검사!$H2540="중복")</f>
        <v>0</v>
      </c>
      <c r="K2542" s="5" t="str">
        <f aca="false">IF($J2542=FALSE(),"",COUNTIF($J$6:$J2542,TRUE()))</f>
        <v/>
      </c>
      <c r="L2542" s="5" t="str">
        <f aca="false">IF($K2542="","","R"&amp;$K2542)</f>
        <v/>
      </c>
    </row>
    <row r="2543" customFormat="false" ht="15" hidden="false" customHeight="true" outlineLevel="0" collapsed="false">
      <c r="J2543" s="14" t="b">
        <f aca="false">IF(중복검사!$A2541="",FALSE(),중복검사!$H2541="중복")</f>
        <v>0</v>
      </c>
      <c r="K2543" s="5" t="str">
        <f aca="false">IF($J2543=FALSE(),"",COUNTIF($J$6:$J2543,TRUE()))</f>
        <v/>
      </c>
      <c r="L2543" s="5" t="str">
        <f aca="false">IF($K2543="","","R"&amp;$K2543)</f>
        <v/>
      </c>
    </row>
    <row r="2544" customFormat="false" ht="15" hidden="false" customHeight="true" outlineLevel="0" collapsed="false">
      <c r="J2544" s="14" t="b">
        <f aca="false">IF(중복검사!$A2542="",FALSE(),중복검사!$H2542="중복")</f>
        <v>0</v>
      </c>
      <c r="K2544" s="5" t="str">
        <f aca="false">IF($J2544=FALSE(),"",COUNTIF($J$6:$J2544,TRUE()))</f>
        <v/>
      </c>
      <c r="L2544" s="5" t="str">
        <f aca="false">IF($K2544="","","R"&amp;$K2544)</f>
        <v/>
      </c>
    </row>
    <row r="2545" customFormat="false" ht="15" hidden="false" customHeight="true" outlineLevel="0" collapsed="false">
      <c r="J2545" s="14" t="b">
        <f aca="false">IF(중복검사!$A2543="",FALSE(),중복검사!$H2543="중복")</f>
        <v>0</v>
      </c>
      <c r="K2545" s="5" t="str">
        <f aca="false">IF($J2545=FALSE(),"",COUNTIF($J$6:$J2545,TRUE()))</f>
        <v/>
      </c>
      <c r="L2545" s="5" t="str">
        <f aca="false">IF($K2545="","","R"&amp;$K2545)</f>
        <v/>
      </c>
    </row>
    <row r="2546" customFormat="false" ht="15" hidden="false" customHeight="true" outlineLevel="0" collapsed="false">
      <c r="J2546" s="14" t="b">
        <f aca="false">IF(중복검사!$A2544="",FALSE(),중복검사!$H2544="중복")</f>
        <v>0</v>
      </c>
      <c r="K2546" s="5" t="str">
        <f aca="false">IF($J2546=FALSE(),"",COUNTIF($J$6:$J2546,TRUE()))</f>
        <v/>
      </c>
      <c r="L2546" s="5" t="str">
        <f aca="false">IF($K2546="","","R"&amp;$K2546)</f>
        <v/>
      </c>
    </row>
    <row r="2547" customFormat="false" ht="15" hidden="false" customHeight="true" outlineLevel="0" collapsed="false">
      <c r="J2547" s="14" t="b">
        <f aca="false">IF(중복검사!$A2545="",FALSE(),중복검사!$H2545="중복")</f>
        <v>0</v>
      </c>
      <c r="K2547" s="5" t="str">
        <f aca="false">IF($J2547=FALSE(),"",COUNTIF($J$6:$J2547,TRUE()))</f>
        <v/>
      </c>
      <c r="L2547" s="5" t="str">
        <f aca="false">IF($K2547="","","R"&amp;$K2547)</f>
        <v/>
      </c>
    </row>
    <row r="2548" customFormat="false" ht="15" hidden="false" customHeight="true" outlineLevel="0" collapsed="false">
      <c r="J2548" s="14" t="b">
        <f aca="false">IF(중복검사!$A2546="",FALSE(),중복검사!$H2546="중복")</f>
        <v>0</v>
      </c>
      <c r="K2548" s="5" t="str">
        <f aca="false">IF($J2548=FALSE(),"",COUNTIF($J$6:$J2548,TRUE()))</f>
        <v/>
      </c>
      <c r="L2548" s="5" t="str">
        <f aca="false">IF($K2548="","","R"&amp;$K2548)</f>
        <v/>
      </c>
    </row>
    <row r="2549" customFormat="false" ht="15" hidden="false" customHeight="true" outlineLevel="0" collapsed="false">
      <c r="J2549" s="14" t="b">
        <f aca="false">IF(중복검사!$A2547="",FALSE(),중복검사!$H2547="중복")</f>
        <v>0</v>
      </c>
      <c r="K2549" s="5" t="str">
        <f aca="false">IF($J2549=FALSE(),"",COUNTIF($J$6:$J2549,TRUE()))</f>
        <v/>
      </c>
      <c r="L2549" s="5" t="str">
        <f aca="false">IF($K2549="","","R"&amp;$K2549)</f>
        <v/>
      </c>
    </row>
    <row r="2550" customFormat="false" ht="15" hidden="false" customHeight="true" outlineLevel="0" collapsed="false">
      <c r="J2550" s="14" t="b">
        <f aca="false">IF(중복검사!$A2548="",FALSE(),중복검사!$H2548="중복")</f>
        <v>0</v>
      </c>
      <c r="K2550" s="5" t="str">
        <f aca="false">IF($J2550=FALSE(),"",COUNTIF($J$6:$J2550,TRUE()))</f>
        <v/>
      </c>
      <c r="L2550" s="5" t="str">
        <f aca="false">IF($K2550="","","R"&amp;$K2550)</f>
        <v/>
      </c>
    </row>
    <row r="2551" customFormat="false" ht="15" hidden="false" customHeight="true" outlineLevel="0" collapsed="false">
      <c r="J2551" s="14" t="b">
        <f aca="false">IF(중복검사!$A2549="",FALSE(),중복검사!$H2549="중복")</f>
        <v>0</v>
      </c>
      <c r="K2551" s="5" t="str">
        <f aca="false">IF($J2551=FALSE(),"",COUNTIF($J$6:$J2551,TRUE()))</f>
        <v/>
      </c>
      <c r="L2551" s="5" t="str">
        <f aca="false">IF($K2551="","","R"&amp;$K2551)</f>
        <v/>
      </c>
    </row>
    <row r="2552" customFormat="false" ht="15" hidden="false" customHeight="true" outlineLevel="0" collapsed="false">
      <c r="J2552" s="14" t="b">
        <f aca="false">IF(중복검사!$A2550="",FALSE(),중복검사!$H2550="중복")</f>
        <v>0</v>
      </c>
      <c r="K2552" s="5" t="str">
        <f aca="false">IF($J2552=FALSE(),"",COUNTIF($J$6:$J2552,TRUE()))</f>
        <v/>
      </c>
      <c r="L2552" s="5" t="str">
        <f aca="false">IF($K2552="","","R"&amp;$K2552)</f>
        <v/>
      </c>
    </row>
    <row r="2553" customFormat="false" ht="15" hidden="false" customHeight="true" outlineLevel="0" collapsed="false">
      <c r="J2553" s="14" t="b">
        <f aca="false">IF(중복검사!$A2551="",FALSE(),중복검사!$H2551="중복")</f>
        <v>0</v>
      </c>
      <c r="K2553" s="5" t="str">
        <f aca="false">IF($J2553=FALSE(),"",COUNTIF($J$6:$J2553,TRUE()))</f>
        <v/>
      </c>
      <c r="L2553" s="5" t="str">
        <f aca="false">IF($K2553="","","R"&amp;$K2553)</f>
        <v/>
      </c>
    </row>
    <row r="2554" customFormat="false" ht="15" hidden="false" customHeight="true" outlineLevel="0" collapsed="false">
      <c r="J2554" s="14" t="b">
        <f aca="false">IF(중복검사!$A2552="",FALSE(),중복검사!$H2552="중복")</f>
        <v>0</v>
      </c>
      <c r="K2554" s="5" t="str">
        <f aca="false">IF($J2554=FALSE(),"",COUNTIF($J$6:$J2554,TRUE()))</f>
        <v/>
      </c>
      <c r="L2554" s="5" t="str">
        <f aca="false">IF($K2554="","","R"&amp;$K2554)</f>
        <v/>
      </c>
    </row>
    <row r="2555" customFormat="false" ht="15" hidden="false" customHeight="true" outlineLevel="0" collapsed="false">
      <c r="J2555" s="14" t="b">
        <f aca="false">IF(중복검사!$A2553="",FALSE(),중복검사!$H2553="중복")</f>
        <v>0</v>
      </c>
      <c r="K2555" s="5" t="str">
        <f aca="false">IF($J2555=FALSE(),"",COUNTIF($J$6:$J2555,TRUE()))</f>
        <v/>
      </c>
      <c r="L2555" s="5" t="str">
        <f aca="false">IF($K2555="","","R"&amp;$K2555)</f>
        <v/>
      </c>
    </row>
    <row r="2556" customFormat="false" ht="15" hidden="false" customHeight="true" outlineLevel="0" collapsed="false">
      <c r="J2556" s="14" t="b">
        <f aca="false">IF(중복검사!$A2554="",FALSE(),중복검사!$H2554="중복")</f>
        <v>0</v>
      </c>
      <c r="K2556" s="5" t="str">
        <f aca="false">IF($J2556=FALSE(),"",COUNTIF($J$6:$J2556,TRUE()))</f>
        <v/>
      </c>
      <c r="L2556" s="5" t="str">
        <f aca="false">IF($K2556="","","R"&amp;$K2556)</f>
        <v/>
      </c>
    </row>
    <row r="2557" customFormat="false" ht="15" hidden="false" customHeight="true" outlineLevel="0" collapsed="false">
      <c r="J2557" s="14" t="b">
        <f aca="false">IF(중복검사!$A2555="",FALSE(),중복검사!$H2555="중복")</f>
        <v>0</v>
      </c>
      <c r="K2557" s="5" t="str">
        <f aca="false">IF($J2557=FALSE(),"",COUNTIF($J$6:$J2557,TRUE()))</f>
        <v/>
      </c>
      <c r="L2557" s="5" t="str">
        <f aca="false">IF($K2557="","","R"&amp;$K2557)</f>
        <v/>
      </c>
    </row>
    <row r="2558" customFormat="false" ht="15" hidden="false" customHeight="true" outlineLevel="0" collapsed="false">
      <c r="J2558" s="14" t="b">
        <f aca="false">IF(중복검사!$A2556="",FALSE(),중복검사!$H2556="중복")</f>
        <v>0</v>
      </c>
      <c r="K2558" s="5" t="str">
        <f aca="false">IF($J2558=FALSE(),"",COUNTIF($J$6:$J2558,TRUE()))</f>
        <v/>
      </c>
      <c r="L2558" s="5" t="str">
        <f aca="false">IF($K2558="","","R"&amp;$K2558)</f>
        <v/>
      </c>
    </row>
    <row r="2559" customFormat="false" ht="15" hidden="false" customHeight="true" outlineLevel="0" collapsed="false">
      <c r="J2559" s="14" t="b">
        <f aca="false">IF(중복검사!$A2557="",FALSE(),중복검사!$H2557="중복")</f>
        <v>0</v>
      </c>
      <c r="K2559" s="5" t="str">
        <f aca="false">IF($J2559=FALSE(),"",COUNTIF($J$6:$J2559,TRUE()))</f>
        <v/>
      </c>
      <c r="L2559" s="5" t="str">
        <f aca="false">IF($K2559="","","R"&amp;$K2559)</f>
        <v/>
      </c>
    </row>
    <row r="2560" customFormat="false" ht="15" hidden="false" customHeight="true" outlineLevel="0" collapsed="false">
      <c r="J2560" s="14" t="b">
        <f aca="false">IF(중복검사!$A2558="",FALSE(),중복검사!$H2558="중복")</f>
        <v>0</v>
      </c>
      <c r="K2560" s="5" t="str">
        <f aca="false">IF($J2560=FALSE(),"",COUNTIF($J$6:$J2560,TRUE()))</f>
        <v/>
      </c>
      <c r="L2560" s="5" t="str">
        <f aca="false">IF($K2560="","","R"&amp;$K2560)</f>
        <v/>
      </c>
    </row>
    <row r="2561" customFormat="false" ht="15" hidden="false" customHeight="true" outlineLevel="0" collapsed="false">
      <c r="J2561" s="14" t="b">
        <f aca="false">IF(중복검사!$A2559="",FALSE(),중복검사!$H2559="중복")</f>
        <v>0</v>
      </c>
      <c r="K2561" s="5" t="str">
        <f aca="false">IF($J2561=FALSE(),"",COUNTIF($J$6:$J2561,TRUE()))</f>
        <v/>
      </c>
      <c r="L2561" s="5" t="str">
        <f aca="false">IF($K2561="","","R"&amp;$K2561)</f>
        <v/>
      </c>
    </row>
    <row r="2562" customFormat="false" ht="15" hidden="false" customHeight="true" outlineLevel="0" collapsed="false">
      <c r="J2562" s="14" t="b">
        <f aca="false">IF(중복검사!$A2560="",FALSE(),중복검사!$H2560="중복")</f>
        <v>0</v>
      </c>
      <c r="K2562" s="5" t="str">
        <f aca="false">IF($J2562=FALSE(),"",COUNTIF($J$6:$J2562,TRUE()))</f>
        <v/>
      </c>
      <c r="L2562" s="5" t="str">
        <f aca="false">IF($K2562="","","R"&amp;$K2562)</f>
        <v/>
      </c>
    </row>
    <row r="2563" customFormat="false" ht="15" hidden="false" customHeight="true" outlineLevel="0" collapsed="false">
      <c r="J2563" s="14" t="b">
        <f aca="false">IF(중복검사!$A2561="",FALSE(),중복검사!$H2561="중복")</f>
        <v>0</v>
      </c>
      <c r="K2563" s="5" t="str">
        <f aca="false">IF($J2563=FALSE(),"",COUNTIF($J$6:$J2563,TRUE()))</f>
        <v/>
      </c>
      <c r="L2563" s="5" t="str">
        <f aca="false">IF($K2563="","","R"&amp;$K2563)</f>
        <v/>
      </c>
    </row>
    <row r="2564" customFormat="false" ht="15" hidden="false" customHeight="true" outlineLevel="0" collapsed="false">
      <c r="J2564" s="14" t="b">
        <f aca="false">IF(중복검사!$A2562="",FALSE(),중복검사!$H2562="중복")</f>
        <v>0</v>
      </c>
      <c r="K2564" s="5" t="str">
        <f aca="false">IF($J2564=FALSE(),"",COUNTIF($J$6:$J2564,TRUE()))</f>
        <v/>
      </c>
      <c r="L2564" s="5" t="str">
        <f aca="false">IF($K2564="","","R"&amp;$K2564)</f>
        <v/>
      </c>
    </row>
    <row r="2565" customFormat="false" ht="15" hidden="false" customHeight="true" outlineLevel="0" collapsed="false">
      <c r="J2565" s="14" t="b">
        <f aca="false">IF(중복검사!$A2563="",FALSE(),중복검사!$H2563="중복")</f>
        <v>0</v>
      </c>
      <c r="K2565" s="5" t="str">
        <f aca="false">IF($J2565=FALSE(),"",COUNTIF($J$6:$J2565,TRUE()))</f>
        <v/>
      </c>
      <c r="L2565" s="5" t="str">
        <f aca="false">IF($K2565="","","R"&amp;$K2565)</f>
        <v/>
      </c>
    </row>
    <row r="2566" customFormat="false" ht="15" hidden="false" customHeight="true" outlineLevel="0" collapsed="false">
      <c r="J2566" s="14" t="b">
        <f aca="false">IF(중복검사!$A2564="",FALSE(),중복검사!$H2564="중복")</f>
        <v>0</v>
      </c>
      <c r="K2566" s="5" t="str">
        <f aca="false">IF($J2566=FALSE(),"",COUNTIF($J$6:$J2566,TRUE()))</f>
        <v/>
      </c>
      <c r="L2566" s="5" t="str">
        <f aca="false">IF($K2566="","","R"&amp;$K2566)</f>
        <v/>
      </c>
    </row>
    <row r="2567" customFormat="false" ht="15" hidden="false" customHeight="true" outlineLevel="0" collapsed="false">
      <c r="J2567" s="14" t="b">
        <f aca="false">IF(중복검사!$A2565="",FALSE(),중복검사!$H2565="중복")</f>
        <v>0</v>
      </c>
      <c r="K2567" s="5" t="str">
        <f aca="false">IF($J2567=FALSE(),"",COUNTIF($J$6:$J2567,TRUE()))</f>
        <v/>
      </c>
      <c r="L2567" s="5" t="str">
        <f aca="false">IF($K2567="","","R"&amp;$K2567)</f>
        <v/>
      </c>
    </row>
    <row r="2568" customFormat="false" ht="15" hidden="false" customHeight="true" outlineLevel="0" collapsed="false">
      <c r="J2568" s="14" t="b">
        <f aca="false">IF(중복검사!$A2566="",FALSE(),중복검사!$H2566="중복")</f>
        <v>0</v>
      </c>
      <c r="K2568" s="5" t="str">
        <f aca="false">IF($J2568=FALSE(),"",COUNTIF($J$6:$J2568,TRUE()))</f>
        <v/>
      </c>
      <c r="L2568" s="5" t="str">
        <f aca="false">IF($K2568="","","R"&amp;$K2568)</f>
        <v/>
      </c>
    </row>
    <row r="2569" customFormat="false" ht="15" hidden="false" customHeight="true" outlineLevel="0" collapsed="false">
      <c r="J2569" s="14" t="b">
        <f aca="false">IF(중복검사!$A2567="",FALSE(),중복검사!$H2567="중복")</f>
        <v>0</v>
      </c>
      <c r="K2569" s="5" t="str">
        <f aca="false">IF($J2569=FALSE(),"",COUNTIF($J$6:$J2569,TRUE()))</f>
        <v/>
      </c>
      <c r="L2569" s="5" t="str">
        <f aca="false">IF($K2569="","","R"&amp;$K2569)</f>
        <v/>
      </c>
    </row>
    <row r="2570" customFormat="false" ht="15" hidden="false" customHeight="true" outlineLevel="0" collapsed="false">
      <c r="J2570" s="14" t="b">
        <f aca="false">IF(중복검사!$A2568="",FALSE(),중복검사!$H2568="중복")</f>
        <v>0</v>
      </c>
      <c r="K2570" s="5" t="str">
        <f aca="false">IF($J2570=FALSE(),"",COUNTIF($J$6:$J2570,TRUE()))</f>
        <v/>
      </c>
      <c r="L2570" s="5" t="str">
        <f aca="false">IF($K2570="","","R"&amp;$K2570)</f>
        <v/>
      </c>
    </row>
    <row r="2571" customFormat="false" ht="15" hidden="false" customHeight="true" outlineLevel="0" collapsed="false">
      <c r="J2571" s="14" t="b">
        <f aca="false">IF(중복검사!$A2569="",FALSE(),중복검사!$H2569="중복")</f>
        <v>0</v>
      </c>
      <c r="K2571" s="5" t="str">
        <f aca="false">IF($J2571=FALSE(),"",COUNTIF($J$6:$J2571,TRUE()))</f>
        <v/>
      </c>
      <c r="L2571" s="5" t="str">
        <f aca="false">IF($K2571="","","R"&amp;$K2571)</f>
        <v/>
      </c>
    </row>
    <row r="2572" customFormat="false" ht="15" hidden="false" customHeight="true" outlineLevel="0" collapsed="false">
      <c r="J2572" s="14" t="b">
        <f aca="false">IF(중복검사!$A2570="",FALSE(),중복검사!$H2570="중복")</f>
        <v>0</v>
      </c>
      <c r="K2572" s="5" t="str">
        <f aca="false">IF($J2572=FALSE(),"",COUNTIF($J$6:$J2572,TRUE()))</f>
        <v/>
      </c>
      <c r="L2572" s="5" t="str">
        <f aca="false">IF($K2572="","","R"&amp;$K2572)</f>
        <v/>
      </c>
    </row>
    <row r="2573" customFormat="false" ht="15" hidden="false" customHeight="true" outlineLevel="0" collapsed="false">
      <c r="J2573" s="14" t="b">
        <f aca="false">IF(중복검사!$A2571="",FALSE(),중복검사!$H2571="중복")</f>
        <v>0</v>
      </c>
      <c r="K2573" s="5" t="str">
        <f aca="false">IF($J2573=FALSE(),"",COUNTIF($J$6:$J2573,TRUE()))</f>
        <v/>
      </c>
      <c r="L2573" s="5" t="str">
        <f aca="false">IF($K2573="","","R"&amp;$K2573)</f>
        <v/>
      </c>
    </row>
    <row r="2574" customFormat="false" ht="15" hidden="false" customHeight="true" outlineLevel="0" collapsed="false">
      <c r="J2574" s="14" t="b">
        <f aca="false">IF(중복검사!$A2572="",FALSE(),중복검사!$H2572="중복")</f>
        <v>0</v>
      </c>
      <c r="K2574" s="5" t="str">
        <f aca="false">IF($J2574=FALSE(),"",COUNTIF($J$6:$J2574,TRUE()))</f>
        <v/>
      </c>
      <c r="L2574" s="5" t="str">
        <f aca="false">IF($K2574="","","R"&amp;$K2574)</f>
        <v/>
      </c>
    </row>
    <row r="2575" customFormat="false" ht="15" hidden="false" customHeight="true" outlineLevel="0" collapsed="false">
      <c r="J2575" s="14" t="b">
        <f aca="false">IF(중복검사!$A2573="",FALSE(),중복검사!$H2573="중복")</f>
        <v>0</v>
      </c>
      <c r="K2575" s="5" t="str">
        <f aca="false">IF($J2575=FALSE(),"",COUNTIF($J$6:$J2575,TRUE()))</f>
        <v/>
      </c>
      <c r="L2575" s="5" t="str">
        <f aca="false">IF($K2575="","","R"&amp;$K2575)</f>
        <v/>
      </c>
    </row>
    <row r="2576" customFormat="false" ht="15" hidden="false" customHeight="true" outlineLevel="0" collapsed="false">
      <c r="J2576" s="14" t="b">
        <f aca="false">IF(중복검사!$A2574="",FALSE(),중복검사!$H2574="중복")</f>
        <v>0</v>
      </c>
      <c r="K2576" s="5" t="str">
        <f aca="false">IF($J2576=FALSE(),"",COUNTIF($J$6:$J2576,TRUE()))</f>
        <v/>
      </c>
      <c r="L2576" s="5" t="str">
        <f aca="false">IF($K2576="","","R"&amp;$K2576)</f>
        <v/>
      </c>
    </row>
    <row r="2577" customFormat="false" ht="15" hidden="false" customHeight="true" outlineLevel="0" collapsed="false">
      <c r="J2577" s="14" t="b">
        <f aca="false">IF(중복검사!$A2575="",FALSE(),중복검사!$H2575="중복")</f>
        <v>0</v>
      </c>
      <c r="K2577" s="5" t="str">
        <f aca="false">IF($J2577=FALSE(),"",COUNTIF($J$6:$J2577,TRUE()))</f>
        <v/>
      </c>
      <c r="L2577" s="5" t="str">
        <f aca="false">IF($K2577="","","R"&amp;$K2577)</f>
        <v/>
      </c>
    </row>
    <row r="2578" customFormat="false" ht="15" hidden="false" customHeight="true" outlineLevel="0" collapsed="false">
      <c r="J2578" s="14" t="b">
        <f aca="false">IF(중복검사!$A2576="",FALSE(),중복검사!$H2576="중복")</f>
        <v>0</v>
      </c>
      <c r="K2578" s="5" t="str">
        <f aca="false">IF($J2578=FALSE(),"",COUNTIF($J$6:$J2578,TRUE()))</f>
        <v/>
      </c>
      <c r="L2578" s="5" t="str">
        <f aca="false">IF($K2578="","","R"&amp;$K2578)</f>
        <v/>
      </c>
    </row>
    <row r="2579" customFormat="false" ht="15" hidden="false" customHeight="true" outlineLevel="0" collapsed="false">
      <c r="J2579" s="14" t="b">
        <f aca="false">IF(중복검사!$A2577="",FALSE(),중복검사!$H2577="중복")</f>
        <v>0</v>
      </c>
      <c r="K2579" s="5" t="str">
        <f aca="false">IF($J2579=FALSE(),"",COUNTIF($J$6:$J2579,TRUE()))</f>
        <v/>
      </c>
      <c r="L2579" s="5" t="str">
        <f aca="false">IF($K2579="","","R"&amp;$K2579)</f>
        <v/>
      </c>
    </row>
    <row r="2580" customFormat="false" ht="15" hidden="false" customHeight="true" outlineLevel="0" collapsed="false">
      <c r="J2580" s="14" t="b">
        <f aca="false">IF(중복검사!$A2578="",FALSE(),중복검사!$H2578="중복")</f>
        <v>0</v>
      </c>
      <c r="K2580" s="5" t="str">
        <f aca="false">IF($J2580=FALSE(),"",COUNTIF($J$6:$J2580,TRUE()))</f>
        <v/>
      </c>
      <c r="L2580" s="5" t="str">
        <f aca="false">IF($K2580="","","R"&amp;$K2580)</f>
        <v/>
      </c>
    </row>
    <row r="2581" customFormat="false" ht="15" hidden="false" customHeight="true" outlineLevel="0" collapsed="false">
      <c r="J2581" s="14" t="b">
        <f aca="false">IF(중복검사!$A2579="",FALSE(),중복검사!$H2579="중복")</f>
        <v>0</v>
      </c>
      <c r="K2581" s="5" t="str">
        <f aca="false">IF($J2581=FALSE(),"",COUNTIF($J$6:$J2581,TRUE()))</f>
        <v/>
      </c>
      <c r="L2581" s="5" t="str">
        <f aca="false">IF($K2581="","","R"&amp;$K2581)</f>
        <v/>
      </c>
    </row>
    <row r="2582" customFormat="false" ht="15" hidden="false" customHeight="true" outlineLevel="0" collapsed="false">
      <c r="J2582" s="14" t="b">
        <f aca="false">IF(중복검사!$A2580="",FALSE(),중복검사!$H2580="중복")</f>
        <v>0</v>
      </c>
      <c r="K2582" s="5" t="str">
        <f aca="false">IF($J2582=FALSE(),"",COUNTIF($J$6:$J2582,TRUE()))</f>
        <v/>
      </c>
      <c r="L2582" s="5" t="str">
        <f aca="false">IF($K2582="","","R"&amp;$K2582)</f>
        <v/>
      </c>
    </row>
    <row r="2583" customFormat="false" ht="15" hidden="false" customHeight="true" outlineLevel="0" collapsed="false">
      <c r="J2583" s="14" t="b">
        <f aca="false">IF(중복검사!$A2581="",FALSE(),중복검사!$H2581="중복")</f>
        <v>0</v>
      </c>
      <c r="K2583" s="5" t="str">
        <f aca="false">IF($J2583=FALSE(),"",COUNTIF($J$6:$J2583,TRUE()))</f>
        <v/>
      </c>
      <c r="L2583" s="5" t="str">
        <f aca="false">IF($K2583="","","R"&amp;$K2583)</f>
        <v/>
      </c>
    </row>
    <row r="2584" customFormat="false" ht="15" hidden="false" customHeight="true" outlineLevel="0" collapsed="false">
      <c r="J2584" s="14" t="b">
        <f aca="false">IF(중복검사!$A2582="",FALSE(),중복검사!$H2582="중복")</f>
        <v>0</v>
      </c>
      <c r="K2584" s="5" t="str">
        <f aca="false">IF($J2584=FALSE(),"",COUNTIF($J$6:$J2584,TRUE()))</f>
        <v/>
      </c>
      <c r="L2584" s="5" t="str">
        <f aca="false">IF($K2584="","","R"&amp;$K2584)</f>
        <v/>
      </c>
    </row>
    <row r="2585" customFormat="false" ht="15" hidden="false" customHeight="true" outlineLevel="0" collapsed="false">
      <c r="J2585" s="14" t="b">
        <f aca="false">IF(중복검사!$A2583="",FALSE(),중복검사!$H2583="중복")</f>
        <v>0</v>
      </c>
      <c r="K2585" s="5" t="str">
        <f aca="false">IF($J2585=FALSE(),"",COUNTIF($J$6:$J2585,TRUE()))</f>
        <v/>
      </c>
      <c r="L2585" s="5" t="str">
        <f aca="false">IF($K2585="","","R"&amp;$K2585)</f>
        <v/>
      </c>
    </row>
    <row r="2586" customFormat="false" ht="15" hidden="false" customHeight="true" outlineLevel="0" collapsed="false">
      <c r="J2586" s="14" t="b">
        <f aca="false">IF(중복검사!$A2584="",FALSE(),중복검사!$H2584="중복")</f>
        <v>0</v>
      </c>
      <c r="K2586" s="5" t="str">
        <f aca="false">IF($J2586=FALSE(),"",COUNTIF($J$6:$J2586,TRUE()))</f>
        <v/>
      </c>
      <c r="L2586" s="5" t="str">
        <f aca="false">IF($K2586="","","R"&amp;$K2586)</f>
        <v/>
      </c>
    </row>
    <row r="2587" customFormat="false" ht="15" hidden="false" customHeight="true" outlineLevel="0" collapsed="false">
      <c r="J2587" s="14" t="b">
        <f aca="false">IF(중복검사!$A2585="",FALSE(),중복검사!$H2585="중복")</f>
        <v>0</v>
      </c>
      <c r="K2587" s="5" t="str">
        <f aca="false">IF($J2587=FALSE(),"",COUNTIF($J$6:$J2587,TRUE()))</f>
        <v/>
      </c>
      <c r="L2587" s="5" t="str">
        <f aca="false">IF($K2587="","","R"&amp;$K2587)</f>
        <v/>
      </c>
    </row>
    <row r="2588" customFormat="false" ht="15" hidden="false" customHeight="true" outlineLevel="0" collapsed="false">
      <c r="J2588" s="14" t="b">
        <f aca="false">IF(중복검사!$A2586="",FALSE(),중복검사!$H2586="중복")</f>
        <v>0</v>
      </c>
      <c r="K2588" s="5" t="str">
        <f aca="false">IF($J2588=FALSE(),"",COUNTIF($J$6:$J2588,TRUE()))</f>
        <v/>
      </c>
      <c r="L2588" s="5" t="str">
        <f aca="false">IF($K2588="","","R"&amp;$K2588)</f>
        <v/>
      </c>
    </row>
    <row r="2589" customFormat="false" ht="15" hidden="false" customHeight="true" outlineLevel="0" collapsed="false">
      <c r="J2589" s="14" t="b">
        <f aca="false">IF(중복검사!$A2587="",FALSE(),중복검사!$H2587="중복")</f>
        <v>0</v>
      </c>
      <c r="K2589" s="5" t="str">
        <f aca="false">IF($J2589=FALSE(),"",COUNTIF($J$6:$J2589,TRUE()))</f>
        <v/>
      </c>
      <c r="L2589" s="5" t="str">
        <f aca="false">IF($K2589="","","R"&amp;$K2589)</f>
        <v/>
      </c>
    </row>
    <row r="2590" customFormat="false" ht="15" hidden="false" customHeight="true" outlineLevel="0" collapsed="false">
      <c r="J2590" s="14" t="b">
        <f aca="false">IF(중복검사!$A2588="",FALSE(),중복검사!$H2588="중복")</f>
        <v>0</v>
      </c>
      <c r="K2590" s="5" t="str">
        <f aca="false">IF($J2590=FALSE(),"",COUNTIF($J$6:$J2590,TRUE()))</f>
        <v/>
      </c>
      <c r="L2590" s="5" t="str">
        <f aca="false">IF($K2590="","","R"&amp;$K2590)</f>
        <v/>
      </c>
    </row>
    <row r="2591" customFormat="false" ht="15" hidden="false" customHeight="true" outlineLevel="0" collapsed="false">
      <c r="J2591" s="14" t="b">
        <f aca="false">IF(중복검사!$A2589="",FALSE(),중복검사!$H2589="중복")</f>
        <v>0</v>
      </c>
      <c r="K2591" s="5" t="str">
        <f aca="false">IF($J2591=FALSE(),"",COUNTIF($J$6:$J2591,TRUE()))</f>
        <v/>
      </c>
      <c r="L2591" s="5" t="str">
        <f aca="false">IF($K2591="","","R"&amp;$K2591)</f>
        <v/>
      </c>
    </row>
    <row r="2592" customFormat="false" ht="15" hidden="false" customHeight="true" outlineLevel="0" collapsed="false">
      <c r="J2592" s="14" t="b">
        <f aca="false">IF(중복검사!$A2590="",FALSE(),중복검사!$H2590="중복")</f>
        <v>0</v>
      </c>
      <c r="K2592" s="5" t="str">
        <f aca="false">IF($J2592=FALSE(),"",COUNTIF($J$6:$J2592,TRUE()))</f>
        <v/>
      </c>
      <c r="L2592" s="5" t="str">
        <f aca="false">IF($K2592="","","R"&amp;$K2592)</f>
        <v/>
      </c>
    </row>
    <row r="2593" customFormat="false" ht="15" hidden="false" customHeight="true" outlineLevel="0" collapsed="false">
      <c r="J2593" s="14" t="b">
        <f aca="false">IF(중복검사!$A2591="",FALSE(),중복검사!$H2591="중복")</f>
        <v>0</v>
      </c>
      <c r="K2593" s="5" t="str">
        <f aca="false">IF($J2593=FALSE(),"",COUNTIF($J$6:$J2593,TRUE()))</f>
        <v/>
      </c>
      <c r="L2593" s="5" t="str">
        <f aca="false">IF($K2593="","","R"&amp;$K2593)</f>
        <v/>
      </c>
    </row>
    <row r="2594" customFormat="false" ht="15" hidden="false" customHeight="true" outlineLevel="0" collapsed="false">
      <c r="J2594" s="14" t="b">
        <f aca="false">IF(중복검사!$A2592="",FALSE(),중복검사!$H2592="중복")</f>
        <v>0</v>
      </c>
      <c r="K2594" s="5" t="str">
        <f aca="false">IF($J2594=FALSE(),"",COUNTIF($J$6:$J2594,TRUE()))</f>
        <v/>
      </c>
      <c r="L2594" s="5" t="str">
        <f aca="false">IF($K2594="","","R"&amp;$K2594)</f>
        <v/>
      </c>
    </row>
    <row r="2595" customFormat="false" ht="15" hidden="false" customHeight="true" outlineLevel="0" collapsed="false">
      <c r="J2595" s="14" t="b">
        <f aca="false">IF(중복검사!$A2593="",FALSE(),중복검사!$H2593="중복")</f>
        <v>0</v>
      </c>
      <c r="K2595" s="5" t="str">
        <f aca="false">IF($J2595=FALSE(),"",COUNTIF($J$6:$J2595,TRUE()))</f>
        <v/>
      </c>
      <c r="L2595" s="5" t="str">
        <f aca="false">IF($K2595="","","R"&amp;$K2595)</f>
        <v/>
      </c>
    </row>
    <row r="2596" customFormat="false" ht="15" hidden="false" customHeight="true" outlineLevel="0" collapsed="false">
      <c r="J2596" s="14" t="b">
        <f aca="false">IF(중복검사!$A2594="",FALSE(),중복검사!$H2594="중복")</f>
        <v>0</v>
      </c>
      <c r="K2596" s="5" t="str">
        <f aca="false">IF($J2596=FALSE(),"",COUNTIF($J$6:$J2596,TRUE()))</f>
        <v/>
      </c>
      <c r="L2596" s="5" t="str">
        <f aca="false">IF($K2596="","","R"&amp;$K2596)</f>
        <v/>
      </c>
    </row>
    <row r="2597" customFormat="false" ht="15" hidden="false" customHeight="true" outlineLevel="0" collapsed="false">
      <c r="J2597" s="14" t="b">
        <f aca="false">IF(중복검사!$A2595="",FALSE(),중복검사!$H2595="중복")</f>
        <v>0</v>
      </c>
      <c r="K2597" s="5" t="str">
        <f aca="false">IF($J2597=FALSE(),"",COUNTIF($J$6:$J2597,TRUE()))</f>
        <v/>
      </c>
      <c r="L2597" s="5" t="str">
        <f aca="false">IF($K2597="","","R"&amp;$K2597)</f>
        <v/>
      </c>
    </row>
    <row r="2598" customFormat="false" ht="15" hidden="false" customHeight="true" outlineLevel="0" collapsed="false">
      <c r="J2598" s="14" t="b">
        <f aca="false">IF(중복검사!$A2596="",FALSE(),중복검사!$H2596="중복")</f>
        <v>0</v>
      </c>
      <c r="K2598" s="5" t="str">
        <f aca="false">IF($J2598=FALSE(),"",COUNTIF($J$6:$J2598,TRUE()))</f>
        <v/>
      </c>
      <c r="L2598" s="5" t="str">
        <f aca="false">IF($K2598="","","R"&amp;$K2598)</f>
        <v/>
      </c>
    </row>
    <row r="2599" customFormat="false" ht="15" hidden="false" customHeight="true" outlineLevel="0" collapsed="false">
      <c r="J2599" s="14" t="b">
        <f aca="false">IF(중복검사!$A2597="",FALSE(),중복검사!$H2597="중복")</f>
        <v>0</v>
      </c>
      <c r="K2599" s="5" t="str">
        <f aca="false">IF($J2599=FALSE(),"",COUNTIF($J$6:$J2599,TRUE()))</f>
        <v/>
      </c>
      <c r="L2599" s="5" t="str">
        <f aca="false">IF($K2599="","","R"&amp;$K2599)</f>
        <v/>
      </c>
    </row>
    <row r="2600" customFormat="false" ht="15" hidden="false" customHeight="true" outlineLevel="0" collapsed="false">
      <c r="J2600" s="14" t="b">
        <f aca="false">IF(중복검사!$A2598="",FALSE(),중복검사!$H2598="중복")</f>
        <v>0</v>
      </c>
      <c r="K2600" s="5" t="str">
        <f aca="false">IF($J2600=FALSE(),"",COUNTIF($J$6:$J2600,TRUE()))</f>
        <v/>
      </c>
      <c r="L2600" s="5" t="str">
        <f aca="false">IF($K2600="","","R"&amp;$K2600)</f>
        <v/>
      </c>
    </row>
    <row r="2601" customFormat="false" ht="15" hidden="false" customHeight="true" outlineLevel="0" collapsed="false">
      <c r="J2601" s="14" t="b">
        <f aca="false">IF(중복검사!$A2599="",FALSE(),중복검사!$H2599="중복")</f>
        <v>0</v>
      </c>
      <c r="K2601" s="5" t="str">
        <f aca="false">IF($J2601=FALSE(),"",COUNTIF($J$6:$J2601,TRUE()))</f>
        <v/>
      </c>
      <c r="L2601" s="5" t="str">
        <f aca="false">IF($K2601="","","R"&amp;$K2601)</f>
        <v/>
      </c>
    </row>
    <row r="2602" customFormat="false" ht="15" hidden="false" customHeight="true" outlineLevel="0" collapsed="false">
      <c r="J2602" s="14" t="b">
        <f aca="false">IF(중복검사!$A2600="",FALSE(),중복검사!$H2600="중복")</f>
        <v>0</v>
      </c>
      <c r="K2602" s="5" t="str">
        <f aca="false">IF($J2602=FALSE(),"",COUNTIF($J$6:$J2602,TRUE()))</f>
        <v/>
      </c>
      <c r="L2602" s="5" t="str">
        <f aca="false">IF($K2602="","","R"&amp;$K2602)</f>
        <v/>
      </c>
    </row>
    <row r="2603" customFormat="false" ht="15" hidden="false" customHeight="true" outlineLevel="0" collapsed="false">
      <c r="J2603" s="14" t="b">
        <f aca="false">IF(중복검사!$A2601="",FALSE(),중복검사!$H2601="중복")</f>
        <v>0</v>
      </c>
      <c r="K2603" s="5" t="str">
        <f aca="false">IF($J2603=FALSE(),"",COUNTIF($J$6:$J2603,TRUE()))</f>
        <v/>
      </c>
      <c r="L2603" s="5" t="str">
        <f aca="false">IF($K2603="","","R"&amp;$K2603)</f>
        <v/>
      </c>
    </row>
    <row r="2604" customFormat="false" ht="15" hidden="false" customHeight="true" outlineLevel="0" collapsed="false">
      <c r="J2604" s="14" t="b">
        <f aca="false">IF(중복검사!$A2602="",FALSE(),중복검사!$H2602="중복")</f>
        <v>0</v>
      </c>
      <c r="K2604" s="5" t="str">
        <f aca="false">IF($J2604=FALSE(),"",COUNTIF($J$6:$J2604,TRUE()))</f>
        <v/>
      </c>
      <c r="L2604" s="5" t="str">
        <f aca="false">IF($K2604="","","R"&amp;$K2604)</f>
        <v/>
      </c>
    </row>
    <row r="2605" customFormat="false" ht="15" hidden="false" customHeight="true" outlineLevel="0" collapsed="false">
      <c r="J2605" s="14" t="b">
        <f aca="false">IF(중복검사!$A2603="",FALSE(),중복검사!$H2603="중복")</f>
        <v>0</v>
      </c>
      <c r="K2605" s="5" t="str">
        <f aca="false">IF($J2605=FALSE(),"",COUNTIF($J$6:$J2605,TRUE()))</f>
        <v/>
      </c>
      <c r="L2605" s="5" t="str">
        <f aca="false">IF($K2605="","","R"&amp;$K2605)</f>
        <v/>
      </c>
    </row>
    <row r="2606" customFormat="false" ht="15" hidden="false" customHeight="true" outlineLevel="0" collapsed="false">
      <c r="J2606" s="14" t="b">
        <f aca="false">IF(중복검사!$A2604="",FALSE(),중복검사!$H2604="중복")</f>
        <v>0</v>
      </c>
      <c r="K2606" s="5" t="str">
        <f aca="false">IF($J2606=FALSE(),"",COUNTIF($J$6:$J2606,TRUE()))</f>
        <v/>
      </c>
      <c r="L2606" s="5" t="str">
        <f aca="false">IF($K2606="","","R"&amp;$K2606)</f>
        <v/>
      </c>
    </row>
    <row r="2607" customFormat="false" ht="15" hidden="false" customHeight="true" outlineLevel="0" collapsed="false">
      <c r="J2607" s="14" t="b">
        <f aca="false">IF(중복검사!$A2605="",FALSE(),중복검사!$H2605="중복")</f>
        <v>0</v>
      </c>
      <c r="K2607" s="5" t="str">
        <f aca="false">IF($J2607=FALSE(),"",COUNTIF($J$6:$J2607,TRUE()))</f>
        <v/>
      </c>
      <c r="L2607" s="5" t="str">
        <f aca="false">IF($K2607="","","R"&amp;$K2607)</f>
        <v/>
      </c>
    </row>
    <row r="2608" customFormat="false" ht="15" hidden="false" customHeight="true" outlineLevel="0" collapsed="false">
      <c r="J2608" s="14" t="b">
        <f aca="false">IF(중복검사!$A2606="",FALSE(),중복검사!$H2606="중복")</f>
        <v>0</v>
      </c>
      <c r="K2608" s="5" t="str">
        <f aca="false">IF($J2608=FALSE(),"",COUNTIF($J$6:$J2608,TRUE()))</f>
        <v/>
      </c>
      <c r="L2608" s="5" t="str">
        <f aca="false">IF($K2608="","","R"&amp;$K2608)</f>
        <v/>
      </c>
    </row>
    <row r="2609" customFormat="false" ht="15" hidden="false" customHeight="true" outlineLevel="0" collapsed="false">
      <c r="J2609" s="14" t="b">
        <f aca="false">IF(중복검사!$A2607="",FALSE(),중복검사!$H2607="중복")</f>
        <v>0</v>
      </c>
      <c r="K2609" s="5" t="str">
        <f aca="false">IF($J2609=FALSE(),"",COUNTIF($J$6:$J2609,TRUE()))</f>
        <v/>
      </c>
      <c r="L2609" s="5" t="str">
        <f aca="false">IF($K2609="","","R"&amp;$K2609)</f>
        <v/>
      </c>
    </row>
    <row r="2610" customFormat="false" ht="15" hidden="false" customHeight="true" outlineLevel="0" collapsed="false">
      <c r="J2610" s="14" t="b">
        <f aca="false">IF(중복검사!$A2608="",FALSE(),중복검사!$H2608="중복")</f>
        <v>0</v>
      </c>
      <c r="K2610" s="5" t="str">
        <f aca="false">IF($J2610=FALSE(),"",COUNTIF($J$6:$J2610,TRUE()))</f>
        <v/>
      </c>
      <c r="L2610" s="5" t="str">
        <f aca="false">IF($K2610="","","R"&amp;$K2610)</f>
        <v/>
      </c>
    </row>
    <row r="2611" customFormat="false" ht="15" hidden="false" customHeight="true" outlineLevel="0" collapsed="false">
      <c r="J2611" s="14" t="b">
        <f aca="false">IF(중복검사!$A2609="",FALSE(),중복검사!$H2609="중복")</f>
        <v>0</v>
      </c>
      <c r="K2611" s="5" t="str">
        <f aca="false">IF($J2611=FALSE(),"",COUNTIF($J$6:$J2611,TRUE()))</f>
        <v/>
      </c>
      <c r="L2611" s="5" t="str">
        <f aca="false">IF($K2611="","","R"&amp;$K2611)</f>
        <v/>
      </c>
    </row>
    <row r="2612" customFormat="false" ht="15" hidden="false" customHeight="true" outlineLevel="0" collapsed="false">
      <c r="J2612" s="14" t="b">
        <f aca="false">IF(중복검사!$A2610="",FALSE(),중복검사!$H2610="중복")</f>
        <v>0</v>
      </c>
      <c r="K2612" s="5" t="str">
        <f aca="false">IF($J2612=FALSE(),"",COUNTIF($J$6:$J2612,TRUE()))</f>
        <v/>
      </c>
      <c r="L2612" s="5" t="str">
        <f aca="false">IF($K2612="","","R"&amp;$K2612)</f>
        <v/>
      </c>
    </row>
    <row r="2613" customFormat="false" ht="15" hidden="false" customHeight="true" outlineLevel="0" collapsed="false">
      <c r="J2613" s="14" t="b">
        <f aca="false">IF(중복검사!$A2611="",FALSE(),중복검사!$H2611="중복")</f>
        <v>0</v>
      </c>
      <c r="K2613" s="5" t="str">
        <f aca="false">IF($J2613=FALSE(),"",COUNTIF($J$6:$J2613,TRUE()))</f>
        <v/>
      </c>
      <c r="L2613" s="5" t="str">
        <f aca="false">IF($K2613="","","R"&amp;$K2613)</f>
        <v/>
      </c>
    </row>
    <row r="2614" customFormat="false" ht="15" hidden="false" customHeight="true" outlineLevel="0" collapsed="false">
      <c r="J2614" s="14" t="b">
        <f aca="false">IF(중복검사!$A2612="",FALSE(),중복검사!$H2612="중복")</f>
        <v>0</v>
      </c>
      <c r="K2614" s="5" t="str">
        <f aca="false">IF($J2614=FALSE(),"",COUNTIF($J$6:$J2614,TRUE()))</f>
        <v/>
      </c>
      <c r="L2614" s="5" t="str">
        <f aca="false">IF($K2614="","","R"&amp;$K2614)</f>
        <v/>
      </c>
    </row>
    <row r="2615" customFormat="false" ht="15" hidden="false" customHeight="true" outlineLevel="0" collapsed="false">
      <c r="J2615" s="14" t="b">
        <f aca="false">IF(중복검사!$A2613="",FALSE(),중복검사!$H2613="중복")</f>
        <v>0</v>
      </c>
      <c r="K2615" s="5" t="str">
        <f aca="false">IF($J2615=FALSE(),"",COUNTIF($J$6:$J2615,TRUE()))</f>
        <v/>
      </c>
      <c r="L2615" s="5" t="str">
        <f aca="false">IF($K2615="","","R"&amp;$K2615)</f>
        <v/>
      </c>
    </row>
    <row r="2616" customFormat="false" ht="15" hidden="false" customHeight="true" outlineLevel="0" collapsed="false">
      <c r="J2616" s="14" t="b">
        <f aca="false">IF(중복검사!$A2614="",FALSE(),중복검사!$H2614="중복")</f>
        <v>0</v>
      </c>
      <c r="K2616" s="5" t="str">
        <f aca="false">IF($J2616=FALSE(),"",COUNTIF($J$6:$J2616,TRUE()))</f>
        <v/>
      </c>
      <c r="L2616" s="5" t="str">
        <f aca="false">IF($K2616="","","R"&amp;$K2616)</f>
        <v/>
      </c>
    </row>
    <row r="2617" customFormat="false" ht="15" hidden="false" customHeight="true" outlineLevel="0" collapsed="false">
      <c r="J2617" s="14" t="b">
        <f aca="false">IF(중복검사!$A2615="",FALSE(),중복검사!$H2615="중복")</f>
        <v>0</v>
      </c>
      <c r="K2617" s="5" t="str">
        <f aca="false">IF($J2617=FALSE(),"",COUNTIF($J$6:$J2617,TRUE()))</f>
        <v/>
      </c>
      <c r="L2617" s="5" t="str">
        <f aca="false">IF($K2617="","","R"&amp;$K2617)</f>
        <v/>
      </c>
    </row>
    <row r="2618" customFormat="false" ht="15" hidden="false" customHeight="true" outlineLevel="0" collapsed="false">
      <c r="J2618" s="14" t="b">
        <f aca="false">IF(중복검사!$A2616="",FALSE(),중복검사!$H2616="중복")</f>
        <v>0</v>
      </c>
      <c r="K2618" s="5" t="str">
        <f aca="false">IF($J2618=FALSE(),"",COUNTIF($J$6:$J2618,TRUE()))</f>
        <v/>
      </c>
      <c r="L2618" s="5" t="str">
        <f aca="false">IF($K2618="","","R"&amp;$K2618)</f>
        <v/>
      </c>
    </row>
    <row r="2619" customFormat="false" ht="15" hidden="false" customHeight="true" outlineLevel="0" collapsed="false">
      <c r="J2619" s="14" t="b">
        <f aca="false">IF(중복검사!$A2617="",FALSE(),중복검사!$H2617="중복")</f>
        <v>0</v>
      </c>
      <c r="K2619" s="5" t="str">
        <f aca="false">IF($J2619=FALSE(),"",COUNTIF($J$6:$J2619,TRUE()))</f>
        <v/>
      </c>
      <c r="L2619" s="5" t="str">
        <f aca="false">IF($K2619="","","R"&amp;$K2619)</f>
        <v/>
      </c>
    </row>
    <row r="2620" customFormat="false" ht="15" hidden="false" customHeight="true" outlineLevel="0" collapsed="false">
      <c r="J2620" s="14" t="b">
        <f aca="false">IF(중복검사!$A2618="",FALSE(),중복검사!$H2618="중복")</f>
        <v>0</v>
      </c>
      <c r="K2620" s="5" t="str">
        <f aca="false">IF($J2620=FALSE(),"",COUNTIF($J$6:$J2620,TRUE()))</f>
        <v/>
      </c>
      <c r="L2620" s="5" t="str">
        <f aca="false">IF($K2620="","","R"&amp;$K2620)</f>
        <v/>
      </c>
    </row>
    <row r="2621" customFormat="false" ht="15" hidden="false" customHeight="true" outlineLevel="0" collapsed="false">
      <c r="J2621" s="14" t="b">
        <f aca="false">IF(중복검사!$A2619="",FALSE(),중복검사!$H2619="중복")</f>
        <v>0</v>
      </c>
      <c r="K2621" s="5" t="str">
        <f aca="false">IF($J2621=FALSE(),"",COUNTIF($J$6:$J2621,TRUE()))</f>
        <v/>
      </c>
      <c r="L2621" s="5" t="str">
        <f aca="false">IF($K2621="","","R"&amp;$K2621)</f>
        <v/>
      </c>
    </row>
    <row r="2622" customFormat="false" ht="15" hidden="false" customHeight="true" outlineLevel="0" collapsed="false">
      <c r="J2622" s="14" t="b">
        <f aca="false">IF(중복검사!$A2620="",FALSE(),중복검사!$H2620="중복")</f>
        <v>0</v>
      </c>
      <c r="K2622" s="5" t="str">
        <f aca="false">IF($J2622=FALSE(),"",COUNTIF($J$6:$J2622,TRUE()))</f>
        <v/>
      </c>
      <c r="L2622" s="5" t="str">
        <f aca="false">IF($K2622="","","R"&amp;$K2622)</f>
        <v/>
      </c>
    </row>
    <row r="2623" customFormat="false" ht="15" hidden="false" customHeight="true" outlineLevel="0" collapsed="false">
      <c r="J2623" s="14" t="b">
        <f aca="false">IF(중복검사!$A2621="",FALSE(),중복검사!$H2621="중복")</f>
        <v>0</v>
      </c>
      <c r="K2623" s="5" t="str">
        <f aca="false">IF($J2623=FALSE(),"",COUNTIF($J$6:$J2623,TRUE()))</f>
        <v/>
      </c>
      <c r="L2623" s="5" t="str">
        <f aca="false">IF($K2623="","","R"&amp;$K2623)</f>
        <v/>
      </c>
    </row>
    <row r="2624" customFormat="false" ht="15" hidden="false" customHeight="true" outlineLevel="0" collapsed="false">
      <c r="J2624" s="14" t="b">
        <f aca="false">IF(중복검사!$A2622="",FALSE(),중복검사!$H2622="중복")</f>
        <v>0</v>
      </c>
      <c r="K2624" s="5" t="str">
        <f aca="false">IF($J2624=FALSE(),"",COUNTIF($J$6:$J2624,TRUE()))</f>
        <v/>
      </c>
      <c r="L2624" s="5" t="str">
        <f aca="false">IF($K2624="","","R"&amp;$K2624)</f>
        <v/>
      </c>
    </row>
    <row r="2625" customFormat="false" ht="15" hidden="false" customHeight="true" outlineLevel="0" collapsed="false">
      <c r="J2625" s="14" t="b">
        <f aca="false">IF(중복검사!$A2623="",FALSE(),중복검사!$H2623="중복")</f>
        <v>0</v>
      </c>
      <c r="K2625" s="5" t="str">
        <f aca="false">IF($J2625=FALSE(),"",COUNTIF($J$6:$J2625,TRUE()))</f>
        <v/>
      </c>
      <c r="L2625" s="5" t="str">
        <f aca="false">IF($K2625="","","R"&amp;$K2625)</f>
        <v/>
      </c>
    </row>
    <row r="2626" customFormat="false" ht="15" hidden="false" customHeight="true" outlineLevel="0" collapsed="false">
      <c r="J2626" s="14" t="b">
        <f aca="false">IF(중복검사!$A2624="",FALSE(),중복검사!$H2624="중복")</f>
        <v>0</v>
      </c>
      <c r="K2626" s="5" t="str">
        <f aca="false">IF($J2626=FALSE(),"",COUNTIF($J$6:$J2626,TRUE()))</f>
        <v/>
      </c>
      <c r="L2626" s="5" t="str">
        <f aca="false">IF($K2626="","","R"&amp;$K2626)</f>
        <v/>
      </c>
    </row>
    <row r="2627" customFormat="false" ht="15" hidden="false" customHeight="true" outlineLevel="0" collapsed="false">
      <c r="J2627" s="14" t="b">
        <f aca="false">IF(중복검사!$A2625="",FALSE(),중복검사!$H2625="중복")</f>
        <v>0</v>
      </c>
      <c r="K2627" s="5" t="str">
        <f aca="false">IF($J2627=FALSE(),"",COUNTIF($J$6:$J2627,TRUE()))</f>
        <v/>
      </c>
      <c r="L2627" s="5" t="str">
        <f aca="false">IF($K2627="","","R"&amp;$K2627)</f>
        <v/>
      </c>
    </row>
    <row r="2628" customFormat="false" ht="15" hidden="false" customHeight="true" outlineLevel="0" collapsed="false">
      <c r="J2628" s="14" t="b">
        <f aca="false">IF(중복검사!$A2626="",FALSE(),중복검사!$H2626="중복")</f>
        <v>0</v>
      </c>
      <c r="K2628" s="5" t="str">
        <f aca="false">IF($J2628=FALSE(),"",COUNTIF($J$6:$J2628,TRUE()))</f>
        <v/>
      </c>
      <c r="L2628" s="5" t="str">
        <f aca="false">IF($K2628="","","R"&amp;$K2628)</f>
        <v/>
      </c>
    </row>
    <row r="2629" customFormat="false" ht="15" hidden="false" customHeight="true" outlineLevel="0" collapsed="false">
      <c r="J2629" s="14" t="b">
        <f aca="false">IF(중복검사!$A2627="",FALSE(),중복검사!$H2627="중복")</f>
        <v>0</v>
      </c>
      <c r="K2629" s="5" t="str">
        <f aca="false">IF($J2629=FALSE(),"",COUNTIF($J$6:$J2629,TRUE()))</f>
        <v/>
      </c>
      <c r="L2629" s="5" t="str">
        <f aca="false">IF($K2629="","","R"&amp;$K2629)</f>
        <v/>
      </c>
    </row>
    <row r="2630" customFormat="false" ht="15" hidden="false" customHeight="true" outlineLevel="0" collapsed="false">
      <c r="J2630" s="14" t="b">
        <f aca="false">IF(중복검사!$A2628="",FALSE(),중복검사!$H2628="중복")</f>
        <v>0</v>
      </c>
      <c r="K2630" s="5" t="str">
        <f aca="false">IF($J2630=FALSE(),"",COUNTIF($J$6:$J2630,TRUE()))</f>
        <v/>
      </c>
      <c r="L2630" s="5" t="str">
        <f aca="false">IF($K2630="","","R"&amp;$K2630)</f>
        <v/>
      </c>
    </row>
    <row r="2631" customFormat="false" ht="15" hidden="false" customHeight="true" outlineLevel="0" collapsed="false">
      <c r="J2631" s="14" t="b">
        <f aca="false">IF(중복검사!$A2629="",FALSE(),중복검사!$H2629="중복")</f>
        <v>0</v>
      </c>
      <c r="K2631" s="5" t="str">
        <f aca="false">IF($J2631=FALSE(),"",COUNTIF($J$6:$J2631,TRUE()))</f>
        <v/>
      </c>
      <c r="L2631" s="5" t="str">
        <f aca="false">IF($K2631="","","R"&amp;$K2631)</f>
        <v/>
      </c>
    </row>
    <row r="2632" customFormat="false" ht="15" hidden="false" customHeight="true" outlineLevel="0" collapsed="false">
      <c r="J2632" s="14" t="b">
        <f aca="false">IF(중복검사!$A2630="",FALSE(),중복검사!$H2630="중복")</f>
        <v>0</v>
      </c>
      <c r="K2632" s="5" t="str">
        <f aca="false">IF($J2632=FALSE(),"",COUNTIF($J$6:$J2632,TRUE()))</f>
        <v/>
      </c>
      <c r="L2632" s="5" t="str">
        <f aca="false">IF($K2632="","","R"&amp;$K2632)</f>
        <v/>
      </c>
    </row>
    <row r="2633" customFormat="false" ht="15" hidden="false" customHeight="true" outlineLevel="0" collapsed="false">
      <c r="J2633" s="14" t="b">
        <f aca="false">IF(중복검사!$A2631="",FALSE(),중복검사!$H2631="중복")</f>
        <v>0</v>
      </c>
      <c r="K2633" s="5" t="str">
        <f aca="false">IF($J2633=FALSE(),"",COUNTIF($J$6:$J2633,TRUE()))</f>
        <v/>
      </c>
      <c r="L2633" s="5" t="str">
        <f aca="false">IF($K2633="","","R"&amp;$K2633)</f>
        <v/>
      </c>
    </row>
    <row r="2634" customFormat="false" ht="15" hidden="false" customHeight="true" outlineLevel="0" collapsed="false">
      <c r="J2634" s="14" t="b">
        <f aca="false">IF(중복검사!$A2632="",FALSE(),중복검사!$H2632="중복")</f>
        <v>0</v>
      </c>
      <c r="K2634" s="5" t="str">
        <f aca="false">IF($J2634=FALSE(),"",COUNTIF($J$6:$J2634,TRUE()))</f>
        <v/>
      </c>
      <c r="L2634" s="5" t="str">
        <f aca="false">IF($K2634="","","R"&amp;$K2634)</f>
        <v/>
      </c>
    </row>
    <row r="2635" customFormat="false" ht="15" hidden="false" customHeight="true" outlineLevel="0" collapsed="false">
      <c r="J2635" s="14" t="b">
        <f aca="false">IF(중복검사!$A2633="",FALSE(),중복검사!$H2633="중복")</f>
        <v>0</v>
      </c>
      <c r="K2635" s="5" t="str">
        <f aca="false">IF($J2635=FALSE(),"",COUNTIF($J$6:$J2635,TRUE()))</f>
        <v/>
      </c>
      <c r="L2635" s="5" t="str">
        <f aca="false">IF($K2635="","","R"&amp;$K2635)</f>
        <v/>
      </c>
    </row>
    <row r="2636" customFormat="false" ht="15" hidden="false" customHeight="true" outlineLevel="0" collapsed="false">
      <c r="J2636" s="14" t="b">
        <f aca="false">IF(중복검사!$A2634="",FALSE(),중복검사!$H2634="중복")</f>
        <v>0</v>
      </c>
      <c r="K2636" s="5" t="str">
        <f aca="false">IF($J2636=FALSE(),"",COUNTIF($J$6:$J2636,TRUE()))</f>
        <v/>
      </c>
      <c r="L2636" s="5" t="str">
        <f aca="false">IF($K2636="","","R"&amp;$K2636)</f>
        <v/>
      </c>
    </row>
    <row r="2637" customFormat="false" ht="15" hidden="false" customHeight="true" outlineLevel="0" collapsed="false">
      <c r="J2637" s="14" t="b">
        <f aca="false">IF(중복검사!$A2635="",FALSE(),중복검사!$H2635="중복")</f>
        <v>0</v>
      </c>
      <c r="K2637" s="5" t="str">
        <f aca="false">IF($J2637=FALSE(),"",COUNTIF($J$6:$J2637,TRUE()))</f>
        <v/>
      </c>
      <c r="L2637" s="5" t="str">
        <f aca="false">IF($K2637="","","R"&amp;$K2637)</f>
        <v/>
      </c>
    </row>
    <row r="2638" customFormat="false" ht="15" hidden="false" customHeight="true" outlineLevel="0" collapsed="false">
      <c r="J2638" s="14" t="b">
        <f aca="false">IF(중복검사!$A2636="",FALSE(),중복검사!$H2636="중복")</f>
        <v>0</v>
      </c>
      <c r="K2638" s="5" t="str">
        <f aca="false">IF($J2638=FALSE(),"",COUNTIF($J$6:$J2638,TRUE()))</f>
        <v/>
      </c>
      <c r="L2638" s="5" t="str">
        <f aca="false">IF($K2638="","","R"&amp;$K2638)</f>
        <v/>
      </c>
    </row>
    <row r="2639" customFormat="false" ht="15" hidden="false" customHeight="true" outlineLevel="0" collapsed="false">
      <c r="J2639" s="14" t="b">
        <f aca="false">IF(중복검사!$A2637="",FALSE(),중복검사!$H2637="중복")</f>
        <v>0</v>
      </c>
      <c r="K2639" s="5" t="str">
        <f aca="false">IF($J2639=FALSE(),"",COUNTIF($J$6:$J2639,TRUE()))</f>
        <v/>
      </c>
      <c r="L2639" s="5" t="str">
        <f aca="false">IF($K2639="","","R"&amp;$K2639)</f>
        <v/>
      </c>
    </row>
    <row r="2640" customFormat="false" ht="15" hidden="false" customHeight="true" outlineLevel="0" collapsed="false">
      <c r="J2640" s="14" t="b">
        <f aca="false">IF(중복검사!$A2638="",FALSE(),중복검사!$H2638="중복")</f>
        <v>0</v>
      </c>
      <c r="K2640" s="5" t="str">
        <f aca="false">IF($J2640=FALSE(),"",COUNTIF($J$6:$J2640,TRUE()))</f>
        <v/>
      </c>
      <c r="L2640" s="5" t="str">
        <f aca="false">IF($K2640="","","R"&amp;$K2640)</f>
        <v/>
      </c>
    </row>
    <row r="2641" customFormat="false" ht="15" hidden="false" customHeight="true" outlineLevel="0" collapsed="false">
      <c r="J2641" s="14" t="b">
        <f aca="false">IF(중복검사!$A2639="",FALSE(),중복검사!$H2639="중복")</f>
        <v>0</v>
      </c>
      <c r="K2641" s="5" t="str">
        <f aca="false">IF($J2641=FALSE(),"",COUNTIF($J$6:$J2641,TRUE()))</f>
        <v/>
      </c>
      <c r="L2641" s="5" t="str">
        <f aca="false">IF($K2641="","","R"&amp;$K2641)</f>
        <v/>
      </c>
    </row>
    <row r="2642" customFormat="false" ht="15" hidden="false" customHeight="true" outlineLevel="0" collapsed="false">
      <c r="J2642" s="14" t="b">
        <f aca="false">IF(중복검사!$A2640="",FALSE(),중복검사!$H2640="중복")</f>
        <v>0</v>
      </c>
      <c r="K2642" s="5" t="str">
        <f aca="false">IF($J2642=FALSE(),"",COUNTIF($J$6:$J2642,TRUE()))</f>
        <v/>
      </c>
      <c r="L2642" s="5" t="str">
        <f aca="false">IF($K2642="","","R"&amp;$K2642)</f>
        <v/>
      </c>
    </row>
    <row r="2643" customFormat="false" ht="15" hidden="false" customHeight="true" outlineLevel="0" collapsed="false">
      <c r="J2643" s="14" t="b">
        <f aca="false">IF(중복검사!$A2641="",FALSE(),중복검사!$H2641="중복")</f>
        <v>0</v>
      </c>
      <c r="K2643" s="5" t="str">
        <f aca="false">IF($J2643=FALSE(),"",COUNTIF($J$6:$J2643,TRUE()))</f>
        <v/>
      </c>
      <c r="L2643" s="5" t="str">
        <f aca="false">IF($K2643="","","R"&amp;$K2643)</f>
        <v/>
      </c>
    </row>
    <row r="2644" customFormat="false" ht="15" hidden="false" customHeight="true" outlineLevel="0" collapsed="false">
      <c r="J2644" s="14" t="b">
        <f aca="false">IF(중복검사!$A2642="",FALSE(),중복검사!$H2642="중복")</f>
        <v>0</v>
      </c>
      <c r="K2644" s="5" t="str">
        <f aca="false">IF($J2644=FALSE(),"",COUNTIF($J$6:$J2644,TRUE()))</f>
        <v/>
      </c>
      <c r="L2644" s="5" t="str">
        <f aca="false">IF($K2644="","","R"&amp;$K2644)</f>
        <v/>
      </c>
    </row>
    <row r="2645" customFormat="false" ht="15" hidden="false" customHeight="true" outlineLevel="0" collapsed="false">
      <c r="J2645" s="14" t="b">
        <f aca="false">IF(중복검사!$A2643="",FALSE(),중복검사!$H2643="중복")</f>
        <v>0</v>
      </c>
      <c r="K2645" s="5" t="str">
        <f aca="false">IF($J2645=FALSE(),"",COUNTIF($J$6:$J2645,TRUE()))</f>
        <v/>
      </c>
      <c r="L2645" s="5" t="str">
        <f aca="false">IF($K2645="","","R"&amp;$K2645)</f>
        <v/>
      </c>
    </row>
    <row r="2646" customFormat="false" ht="15" hidden="false" customHeight="true" outlineLevel="0" collapsed="false">
      <c r="J2646" s="14" t="b">
        <f aca="false">IF(중복검사!$A2644="",FALSE(),중복검사!$H2644="중복")</f>
        <v>0</v>
      </c>
      <c r="K2646" s="5" t="str">
        <f aca="false">IF($J2646=FALSE(),"",COUNTIF($J$6:$J2646,TRUE()))</f>
        <v/>
      </c>
      <c r="L2646" s="5" t="str">
        <f aca="false">IF($K2646="","","R"&amp;$K2646)</f>
        <v/>
      </c>
    </row>
    <row r="2647" customFormat="false" ht="15" hidden="false" customHeight="true" outlineLevel="0" collapsed="false">
      <c r="J2647" s="14" t="b">
        <f aca="false">IF(중복검사!$A2645="",FALSE(),중복검사!$H2645="중복")</f>
        <v>0</v>
      </c>
      <c r="K2647" s="5" t="str">
        <f aca="false">IF($J2647=FALSE(),"",COUNTIF($J$6:$J2647,TRUE()))</f>
        <v/>
      </c>
      <c r="L2647" s="5" t="str">
        <f aca="false">IF($K2647="","","R"&amp;$K2647)</f>
        <v/>
      </c>
    </row>
    <row r="2648" customFormat="false" ht="15" hidden="false" customHeight="true" outlineLevel="0" collapsed="false">
      <c r="J2648" s="14" t="b">
        <f aca="false">IF(중복검사!$A2646="",FALSE(),중복검사!$H2646="중복")</f>
        <v>0</v>
      </c>
      <c r="K2648" s="5" t="str">
        <f aca="false">IF($J2648=FALSE(),"",COUNTIF($J$6:$J2648,TRUE()))</f>
        <v/>
      </c>
      <c r="L2648" s="5" t="str">
        <f aca="false">IF($K2648="","","R"&amp;$K2648)</f>
        <v/>
      </c>
    </row>
    <row r="2649" customFormat="false" ht="15" hidden="false" customHeight="true" outlineLevel="0" collapsed="false">
      <c r="J2649" s="14" t="b">
        <f aca="false">IF(중복검사!$A2647="",FALSE(),중복검사!$H2647="중복")</f>
        <v>0</v>
      </c>
      <c r="K2649" s="5" t="str">
        <f aca="false">IF($J2649=FALSE(),"",COUNTIF($J$6:$J2649,TRUE()))</f>
        <v/>
      </c>
      <c r="L2649" s="5" t="str">
        <f aca="false">IF($K2649="","","R"&amp;$K2649)</f>
        <v/>
      </c>
    </row>
    <row r="2650" customFormat="false" ht="15" hidden="false" customHeight="true" outlineLevel="0" collapsed="false">
      <c r="J2650" s="14" t="b">
        <f aca="false">IF(중복검사!$A2648="",FALSE(),중복검사!$H2648="중복")</f>
        <v>0</v>
      </c>
      <c r="K2650" s="5" t="str">
        <f aca="false">IF($J2650=FALSE(),"",COUNTIF($J$6:$J2650,TRUE()))</f>
        <v/>
      </c>
      <c r="L2650" s="5" t="str">
        <f aca="false">IF($K2650="","","R"&amp;$K2650)</f>
        <v/>
      </c>
    </row>
    <row r="2651" customFormat="false" ht="15" hidden="false" customHeight="true" outlineLevel="0" collapsed="false">
      <c r="J2651" s="14" t="b">
        <f aca="false">IF(중복검사!$A2649="",FALSE(),중복검사!$H2649="중복")</f>
        <v>0</v>
      </c>
      <c r="K2651" s="5" t="str">
        <f aca="false">IF($J2651=FALSE(),"",COUNTIF($J$6:$J2651,TRUE()))</f>
        <v/>
      </c>
      <c r="L2651" s="5" t="str">
        <f aca="false">IF($K2651="","","R"&amp;$K2651)</f>
        <v/>
      </c>
    </row>
    <row r="2652" customFormat="false" ht="15" hidden="false" customHeight="true" outlineLevel="0" collapsed="false">
      <c r="J2652" s="14" t="b">
        <f aca="false">IF(중복검사!$A2650="",FALSE(),중복검사!$H2650="중복")</f>
        <v>0</v>
      </c>
      <c r="K2652" s="5" t="str">
        <f aca="false">IF($J2652=FALSE(),"",COUNTIF($J$6:$J2652,TRUE()))</f>
        <v/>
      </c>
      <c r="L2652" s="5" t="str">
        <f aca="false">IF($K2652="","","R"&amp;$K2652)</f>
        <v/>
      </c>
    </row>
    <row r="2653" customFormat="false" ht="15" hidden="false" customHeight="true" outlineLevel="0" collapsed="false">
      <c r="J2653" s="14" t="b">
        <f aca="false">IF(중복검사!$A2651="",FALSE(),중복검사!$H2651="중복")</f>
        <v>0</v>
      </c>
      <c r="K2653" s="5" t="str">
        <f aca="false">IF($J2653=FALSE(),"",COUNTIF($J$6:$J2653,TRUE()))</f>
        <v/>
      </c>
      <c r="L2653" s="5" t="str">
        <f aca="false">IF($K2653="","","R"&amp;$K2653)</f>
        <v/>
      </c>
    </row>
    <row r="2654" customFormat="false" ht="15" hidden="false" customHeight="true" outlineLevel="0" collapsed="false">
      <c r="J2654" s="14" t="b">
        <f aca="false">IF(중복검사!$A2652="",FALSE(),중복검사!$H2652="중복")</f>
        <v>0</v>
      </c>
      <c r="K2654" s="5" t="str">
        <f aca="false">IF($J2654=FALSE(),"",COUNTIF($J$6:$J2654,TRUE()))</f>
        <v/>
      </c>
      <c r="L2654" s="5" t="str">
        <f aca="false">IF($K2654="","","R"&amp;$K2654)</f>
        <v/>
      </c>
    </row>
    <row r="2655" customFormat="false" ht="15" hidden="false" customHeight="true" outlineLevel="0" collapsed="false">
      <c r="J2655" s="14" t="b">
        <f aca="false">IF(중복검사!$A2653="",FALSE(),중복검사!$H2653="중복")</f>
        <v>0</v>
      </c>
      <c r="K2655" s="5" t="str">
        <f aca="false">IF($J2655=FALSE(),"",COUNTIF($J$6:$J2655,TRUE()))</f>
        <v/>
      </c>
      <c r="L2655" s="5" t="str">
        <f aca="false">IF($K2655="","","R"&amp;$K2655)</f>
        <v/>
      </c>
    </row>
    <row r="2656" customFormat="false" ht="15" hidden="false" customHeight="true" outlineLevel="0" collapsed="false">
      <c r="J2656" s="14" t="b">
        <f aca="false">IF(중복검사!$A2654="",FALSE(),중복검사!$H2654="중복")</f>
        <v>0</v>
      </c>
      <c r="K2656" s="5" t="str">
        <f aca="false">IF($J2656=FALSE(),"",COUNTIF($J$6:$J2656,TRUE()))</f>
        <v/>
      </c>
      <c r="L2656" s="5" t="str">
        <f aca="false">IF($K2656="","","R"&amp;$K2656)</f>
        <v/>
      </c>
    </row>
    <row r="2657" customFormat="false" ht="15" hidden="false" customHeight="true" outlineLevel="0" collapsed="false">
      <c r="J2657" s="14" t="b">
        <f aca="false">IF(중복검사!$A2655="",FALSE(),중복검사!$H2655="중복")</f>
        <v>0</v>
      </c>
      <c r="K2657" s="5" t="str">
        <f aca="false">IF($J2657=FALSE(),"",COUNTIF($J$6:$J2657,TRUE()))</f>
        <v/>
      </c>
      <c r="L2657" s="5" t="str">
        <f aca="false">IF($K2657="","","R"&amp;$K2657)</f>
        <v/>
      </c>
    </row>
    <row r="2658" customFormat="false" ht="15" hidden="false" customHeight="true" outlineLevel="0" collapsed="false">
      <c r="J2658" s="14" t="b">
        <f aca="false">IF(중복검사!$A2656="",FALSE(),중복검사!$H2656="중복")</f>
        <v>0</v>
      </c>
      <c r="K2658" s="5" t="str">
        <f aca="false">IF($J2658=FALSE(),"",COUNTIF($J$6:$J2658,TRUE()))</f>
        <v/>
      </c>
      <c r="L2658" s="5" t="str">
        <f aca="false">IF($K2658="","","R"&amp;$K2658)</f>
        <v/>
      </c>
    </row>
    <row r="2659" customFormat="false" ht="15" hidden="false" customHeight="true" outlineLevel="0" collapsed="false">
      <c r="J2659" s="14" t="b">
        <f aca="false">IF(중복검사!$A2657="",FALSE(),중복검사!$H2657="중복")</f>
        <v>0</v>
      </c>
      <c r="K2659" s="5" t="str">
        <f aca="false">IF($J2659=FALSE(),"",COUNTIF($J$6:$J2659,TRUE()))</f>
        <v/>
      </c>
      <c r="L2659" s="5" t="str">
        <f aca="false">IF($K2659="","","R"&amp;$K2659)</f>
        <v/>
      </c>
    </row>
    <row r="2660" customFormat="false" ht="15" hidden="false" customHeight="true" outlineLevel="0" collapsed="false">
      <c r="J2660" s="14" t="b">
        <f aca="false">IF(중복검사!$A2658="",FALSE(),중복검사!$H2658="중복")</f>
        <v>0</v>
      </c>
      <c r="K2660" s="5" t="str">
        <f aca="false">IF($J2660=FALSE(),"",COUNTIF($J$6:$J2660,TRUE()))</f>
        <v/>
      </c>
      <c r="L2660" s="5" t="str">
        <f aca="false">IF($K2660="","","R"&amp;$K2660)</f>
        <v/>
      </c>
    </row>
    <row r="2661" customFormat="false" ht="15" hidden="false" customHeight="true" outlineLevel="0" collapsed="false">
      <c r="J2661" s="14" t="b">
        <f aca="false">IF(중복검사!$A2659="",FALSE(),중복검사!$H2659="중복")</f>
        <v>0</v>
      </c>
      <c r="K2661" s="5" t="str">
        <f aca="false">IF($J2661=FALSE(),"",COUNTIF($J$6:$J2661,TRUE()))</f>
        <v/>
      </c>
      <c r="L2661" s="5" t="str">
        <f aca="false">IF($K2661="","","R"&amp;$K2661)</f>
        <v/>
      </c>
    </row>
    <row r="2662" customFormat="false" ht="15" hidden="false" customHeight="true" outlineLevel="0" collapsed="false">
      <c r="J2662" s="14" t="b">
        <f aca="false">IF(중복검사!$A2660="",FALSE(),중복검사!$H2660="중복")</f>
        <v>0</v>
      </c>
      <c r="K2662" s="5" t="str">
        <f aca="false">IF($J2662=FALSE(),"",COUNTIF($J$6:$J2662,TRUE()))</f>
        <v/>
      </c>
      <c r="L2662" s="5" t="str">
        <f aca="false">IF($K2662="","","R"&amp;$K2662)</f>
        <v/>
      </c>
    </row>
    <row r="2663" customFormat="false" ht="15" hidden="false" customHeight="true" outlineLevel="0" collapsed="false">
      <c r="J2663" s="14" t="b">
        <f aca="false">IF(중복검사!$A2661="",FALSE(),중복검사!$H2661="중복")</f>
        <v>0</v>
      </c>
      <c r="K2663" s="5" t="str">
        <f aca="false">IF($J2663=FALSE(),"",COUNTIF($J$6:$J2663,TRUE()))</f>
        <v/>
      </c>
      <c r="L2663" s="5" t="str">
        <f aca="false">IF($K2663="","","R"&amp;$K2663)</f>
        <v/>
      </c>
    </row>
    <row r="2664" customFormat="false" ht="15" hidden="false" customHeight="true" outlineLevel="0" collapsed="false">
      <c r="J2664" s="14" t="b">
        <f aca="false">IF(중복검사!$A2662="",FALSE(),중복검사!$H2662="중복")</f>
        <v>0</v>
      </c>
      <c r="K2664" s="5" t="str">
        <f aca="false">IF($J2664=FALSE(),"",COUNTIF($J$6:$J2664,TRUE()))</f>
        <v/>
      </c>
      <c r="L2664" s="5" t="str">
        <f aca="false">IF($K2664="","","R"&amp;$K2664)</f>
        <v/>
      </c>
    </row>
    <row r="2665" customFormat="false" ht="15" hidden="false" customHeight="true" outlineLevel="0" collapsed="false">
      <c r="J2665" s="14" t="b">
        <f aca="false">IF(중복검사!$A2663="",FALSE(),중복검사!$H2663="중복")</f>
        <v>0</v>
      </c>
      <c r="K2665" s="5" t="str">
        <f aca="false">IF($J2665=FALSE(),"",COUNTIF($J$6:$J2665,TRUE()))</f>
        <v/>
      </c>
      <c r="L2665" s="5" t="str">
        <f aca="false">IF($K2665="","","R"&amp;$K2665)</f>
        <v/>
      </c>
    </row>
    <row r="2666" customFormat="false" ht="15" hidden="false" customHeight="true" outlineLevel="0" collapsed="false">
      <c r="J2666" s="14" t="b">
        <f aca="false">IF(중복검사!$A2664="",FALSE(),중복검사!$H2664="중복")</f>
        <v>0</v>
      </c>
      <c r="K2666" s="5" t="str">
        <f aca="false">IF($J2666=FALSE(),"",COUNTIF($J$6:$J2666,TRUE()))</f>
        <v/>
      </c>
      <c r="L2666" s="5" t="str">
        <f aca="false">IF($K2666="","","R"&amp;$K2666)</f>
        <v/>
      </c>
    </row>
    <row r="2667" customFormat="false" ht="15" hidden="false" customHeight="true" outlineLevel="0" collapsed="false">
      <c r="J2667" s="14" t="b">
        <f aca="false">IF(중복검사!$A2665="",FALSE(),중복검사!$H2665="중복")</f>
        <v>0</v>
      </c>
      <c r="K2667" s="5" t="str">
        <f aca="false">IF($J2667=FALSE(),"",COUNTIF($J$6:$J2667,TRUE()))</f>
        <v/>
      </c>
      <c r="L2667" s="5" t="str">
        <f aca="false">IF($K2667="","","R"&amp;$K2667)</f>
        <v/>
      </c>
    </row>
    <row r="2668" customFormat="false" ht="15" hidden="false" customHeight="true" outlineLevel="0" collapsed="false">
      <c r="J2668" s="14" t="b">
        <f aca="false">IF(중복검사!$A2666="",FALSE(),중복검사!$H2666="중복")</f>
        <v>0</v>
      </c>
      <c r="K2668" s="5" t="str">
        <f aca="false">IF($J2668=FALSE(),"",COUNTIF($J$6:$J2668,TRUE()))</f>
        <v/>
      </c>
      <c r="L2668" s="5" t="str">
        <f aca="false">IF($K2668="","","R"&amp;$K2668)</f>
        <v/>
      </c>
    </row>
    <row r="2669" customFormat="false" ht="15" hidden="false" customHeight="true" outlineLevel="0" collapsed="false">
      <c r="J2669" s="14" t="b">
        <f aca="false">IF(중복검사!$A2667="",FALSE(),중복검사!$H2667="중복")</f>
        <v>0</v>
      </c>
      <c r="K2669" s="5" t="str">
        <f aca="false">IF($J2669=FALSE(),"",COUNTIF($J$6:$J2669,TRUE()))</f>
        <v/>
      </c>
      <c r="L2669" s="5" t="str">
        <f aca="false">IF($K2669="","","R"&amp;$K2669)</f>
        <v/>
      </c>
    </row>
    <row r="2670" customFormat="false" ht="15" hidden="false" customHeight="true" outlineLevel="0" collapsed="false">
      <c r="J2670" s="14" t="b">
        <f aca="false">IF(중복검사!$A2668="",FALSE(),중복검사!$H2668="중복")</f>
        <v>0</v>
      </c>
      <c r="K2670" s="5" t="str">
        <f aca="false">IF($J2670=FALSE(),"",COUNTIF($J$6:$J2670,TRUE()))</f>
        <v/>
      </c>
      <c r="L2670" s="5" t="str">
        <f aca="false">IF($K2670="","","R"&amp;$K2670)</f>
        <v/>
      </c>
    </row>
    <row r="2671" customFormat="false" ht="15" hidden="false" customHeight="true" outlineLevel="0" collapsed="false">
      <c r="J2671" s="14" t="b">
        <f aca="false">IF(중복검사!$A2669="",FALSE(),중복검사!$H2669="중복")</f>
        <v>0</v>
      </c>
      <c r="K2671" s="5" t="str">
        <f aca="false">IF($J2671=FALSE(),"",COUNTIF($J$6:$J2671,TRUE()))</f>
        <v/>
      </c>
      <c r="L2671" s="5" t="str">
        <f aca="false">IF($K2671="","","R"&amp;$K2671)</f>
        <v/>
      </c>
    </row>
    <row r="2672" customFormat="false" ht="15" hidden="false" customHeight="true" outlineLevel="0" collapsed="false">
      <c r="J2672" s="14" t="b">
        <f aca="false">IF(중복검사!$A2670="",FALSE(),중복검사!$H2670="중복")</f>
        <v>0</v>
      </c>
      <c r="K2672" s="5" t="str">
        <f aca="false">IF($J2672=FALSE(),"",COUNTIF($J$6:$J2672,TRUE()))</f>
        <v/>
      </c>
      <c r="L2672" s="5" t="str">
        <f aca="false">IF($K2672="","","R"&amp;$K2672)</f>
        <v/>
      </c>
    </row>
    <row r="2673" customFormat="false" ht="15" hidden="false" customHeight="true" outlineLevel="0" collapsed="false">
      <c r="J2673" s="14" t="b">
        <f aca="false">IF(중복검사!$A2671="",FALSE(),중복검사!$H2671="중복")</f>
        <v>0</v>
      </c>
      <c r="K2673" s="5" t="str">
        <f aca="false">IF($J2673=FALSE(),"",COUNTIF($J$6:$J2673,TRUE()))</f>
        <v/>
      </c>
      <c r="L2673" s="5" t="str">
        <f aca="false">IF($K2673="","","R"&amp;$K2673)</f>
        <v/>
      </c>
    </row>
    <row r="2674" customFormat="false" ht="15" hidden="false" customHeight="true" outlineLevel="0" collapsed="false">
      <c r="J2674" s="14" t="b">
        <f aca="false">IF(중복검사!$A2672="",FALSE(),중복검사!$H2672="중복")</f>
        <v>0</v>
      </c>
      <c r="K2674" s="5" t="str">
        <f aca="false">IF($J2674=FALSE(),"",COUNTIF($J$6:$J2674,TRUE()))</f>
        <v/>
      </c>
      <c r="L2674" s="5" t="str">
        <f aca="false">IF($K2674="","","R"&amp;$K2674)</f>
        <v/>
      </c>
    </row>
    <row r="2675" customFormat="false" ht="15" hidden="false" customHeight="true" outlineLevel="0" collapsed="false">
      <c r="J2675" s="14" t="b">
        <f aca="false">IF(중복검사!$A2673="",FALSE(),중복검사!$H2673="중복")</f>
        <v>0</v>
      </c>
      <c r="K2675" s="5" t="str">
        <f aca="false">IF($J2675=FALSE(),"",COUNTIF($J$6:$J2675,TRUE()))</f>
        <v/>
      </c>
      <c r="L2675" s="5" t="str">
        <f aca="false">IF($K2675="","","R"&amp;$K2675)</f>
        <v/>
      </c>
    </row>
    <row r="2676" customFormat="false" ht="15" hidden="false" customHeight="true" outlineLevel="0" collapsed="false">
      <c r="J2676" s="14" t="b">
        <f aca="false">IF(중복검사!$A2674="",FALSE(),중복검사!$H2674="중복")</f>
        <v>0</v>
      </c>
      <c r="K2676" s="5" t="str">
        <f aca="false">IF($J2676=FALSE(),"",COUNTIF($J$6:$J2676,TRUE()))</f>
        <v/>
      </c>
      <c r="L2676" s="5" t="str">
        <f aca="false">IF($K2676="","","R"&amp;$K2676)</f>
        <v/>
      </c>
    </row>
    <row r="2677" customFormat="false" ht="15" hidden="false" customHeight="true" outlineLevel="0" collapsed="false">
      <c r="J2677" s="14" t="b">
        <f aca="false">IF(중복검사!$A2675="",FALSE(),중복검사!$H2675="중복")</f>
        <v>0</v>
      </c>
      <c r="K2677" s="5" t="str">
        <f aca="false">IF($J2677=FALSE(),"",COUNTIF($J$6:$J2677,TRUE()))</f>
        <v/>
      </c>
      <c r="L2677" s="5" t="str">
        <f aca="false">IF($K2677="","","R"&amp;$K2677)</f>
        <v/>
      </c>
    </row>
    <row r="2678" customFormat="false" ht="15" hidden="false" customHeight="true" outlineLevel="0" collapsed="false">
      <c r="J2678" s="14" t="b">
        <f aca="false">IF(중복검사!$A2676="",FALSE(),중복검사!$H2676="중복")</f>
        <v>0</v>
      </c>
      <c r="K2678" s="5" t="str">
        <f aca="false">IF($J2678=FALSE(),"",COUNTIF($J$6:$J2678,TRUE()))</f>
        <v/>
      </c>
      <c r="L2678" s="5" t="str">
        <f aca="false">IF($K2678="","","R"&amp;$K2678)</f>
        <v/>
      </c>
    </row>
    <row r="2679" customFormat="false" ht="15" hidden="false" customHeight="true" outlineLevel="0" collapsed="false">
      <c r="J2679" s="14" t="b">
        <f aca="false">IF(중복검사!$A2677="",FALSE(),중복검사!$H2677="중복")</f>
        <v>0</v>
      </c>
      <c r="K2679" s="5" t="str">
        <f aca="false">IF($J2679=FALSE(),"",COUNTIF($J$6:$J2679,TRUE()))</f>
        <v/>
      </c>
      <c r="L2679" s="5" t="str">
        <f aca="false">IF($K2679="","","R"&amp;$K2679)</f>
        <v/>
      </c>
    </row>
    <row r="2680" customFormat="false" ht="15" hidden="false" customHeight="true" outlineLevel="0" collapsed="false">
      <c r="J2680" s="14" t="b">
        <f aca="false">IF(중복검사!$A2678="",FALSE(),중복검사!$H2678="중복")</f>
        <v>0</v>
      </c>
      <c r="K2680" s="5" t="str">
        <f aca="false">IF($J2680=FALSE(),"",COUNTIF($J$6:$J2680,TRUE()))</f>
        <v/>
      </c>
      <c r="L2680" s="5" t="str">
        <f aca="false">IF($K2680="","","R"&amp;$K2680)</f>
        <v/>
      </c>
    </row>
    <row r="2681" customFormat="false" ht="15" hidden="false" customHeight="true" outlineLevel="0" collapsed="false">
      <c r="J2681" s="14" t="b">
        <f aca="false">IF(중복검사!$A2679="",FALSE(),중복검사!$H2679="중복")</f>
        <v>0</v>
      </c>
      <c r="K2681" s="5" t="str">
        <f aca="false">IF($J2681=FALSE(),"",COUNTIF($J$6:$J2681,TRUE()))</f>
        <v/>
      </c>
      <c r="L2681" s="5" t="str">
        <f aca="false">IF($K2681="","","R"&amp;$K2681)</f>
        <v/>
      </c>
    </row>
    <row r="2682" customFormat="false" ht="15" hidden="false" customHeight="true" outlineLevel="0" collapsed="false">
      <c r="J2682" s="14" t="b">
        <f aca="false">IF(중복검사!$A2680="",FALSE(),중복검사!$H2680="중복")</f>
        <v>0</v>
      </c>
      <c r="K2682" s="5" t="str">
        <f aca="false">IF($J2682=FALSE(),"",COUNTIF($J$6:$J2682,TRUE()))</f>
        <v/>
      </c>
      <c r="L2682" s="5" t="str">
        <f aca="false">IF($K2682="","","R"&amp;$K2682)</f>
        <v/>
      </c>
    </row>
    <row r="2683" customFormat="false" ht="15" hidden="false" customHeight="true" outlineLevel="0" collapsed="false">
      <c r="J2683" s="14" t="b">
        <f aca="false">IF(중복검사!$A2681="",FALSE(),중복검사!$H2681="중복")</f>
        <v>0</v>
      </c>
      <c r="K2683" s="5" t="str">
        <f aca="false">IF($J2683=FALSE(),"",COUNTIF($J$6:$J2683,TRUE()))</f>
        <v/>
      </c>
      <c r="L2683" s="5" t="str">
        <f aca="false">IF($K2683="","","R"&amp;$K2683)</f>
        <v/>
      </c>
    </row>
    <row r="2684" customFormat="false" ht="15" hidden="false" customHeight="true" outlineLevel="0" collapsed="false">
      <c r="J2684" s="14" t="b">
        <f aca="false">IF(중복검사!$A2682="",FALSE(),중복검사!$H2682="중복")</f>
        <v>0</v>
      </c>
      <c r="K2684" s="5" t="str">
        <f aca="false">IF($J2684=FALSE(),"",COUNTIF($J$6:$J2684,TRUE()))</f>
        <v/>
      </c>
      <c r="L2684" s="5" t="str">
        <f aca="false">IF($K2684="","","R"&amp;$K2684)</f>
        <v/>
      </c>
    </row>
    <row r="2685" customFormat="false" ht="15" hidden="false" customHeight="true" outlineLevel="0" collapsed="false">
      <c r="J2685" s="14" t="b">
        <f aca="false">IF(중복검사!$A2683="",FALSE(),중복검사!$H2683="중복")</f>
        <v>0</v>
      </c>
      <c r="K2685" s="5" t="str">
        <f aca="false">IF($J2685=FALSE(),"",COUNTIF($J$6:$J2685,TRUE()))</f>
        <v/>
      </c>
      <c r="L2685" s="5" t="str">
        <f aca="false">IF($K2685="","","R"&amp;$K2685)</f>
        <v/>
      </c>
    </row>
    <row r="2686" customFormat="false" ht="15" hidden="false" customHeight="true" outlineLevel="0" collapsed="false">
      <c r="J2686" s="14" t="b">
        <f aca="false">IF(중복검사!$A2684="",FALSE(),중복검사!$H2684="중복")</f>
        <v>0</v>
      </c>
      <c r="K2686" s="5" t="str">
        <f aca="false">IF($J2686=FALSE(),"",COUNTIF($J$6:$J2686,TRUE()))</f>
        <v/>
      </c>
      <c r="L2686" s="5" t="str">
        <f aca="false">IF($K2686="","","R"&amp;$K2686)</f>
        <v/>
      </c>
    </row>
    <row r="2687" customFormat="false" ht="15" hidden="false" customHeight="true" outlineLevel="0" collapsed="false">
      <c r="J2687" s="14" t="b">
        <f aca="false">IF(중복검사!$A2685="",FALSE(),중복검사!$H2685="중복")</f>
        <v>0</v>
      </c>
      <c r="K2687" s="5" t="str">
        <f aca="false">IF($J2687=FALSE(),"",COUNTIF($J$6:$J2687,TRUE()))</f>
        <v/>
      </c>
      <c r="L2687" s="5" t="str">
        <f aca="false">IF($K2687="","","R"&amp;$K2687)</f>
        <v/>
      </c>
    </row>
    <row r="2688" customFormat="false" ht="15" hidden="false" customHeight="true" outlineLevel="0" collapsed="false">
      <c r="J2688" s="14" t="b">
        <f aca="false">IF(중복검사!$A2686="",FALSE(),중복검사!$H2686="중복")</f>
        <v>0</v>
      </c>
      <c r="K2688" s="5" t="str">
        <f aca="false">IF($J2688=FALSE(),"",COUNTIF($J$6:$J2688,TRUE()))</f>
        <v/>
      </c>
      <c r="L2688" s="5" t="str">
        <f aca="false">IF($K2688="","","R"&amp;$K2688)</f>
        <v/>
      </c>
    </row>
    <row r="2689" customFormat="false" ht="15" hidden="false" customHeight="true" outlineLevel="0" collapsed="false">
      <c r="J2689" s="14" t="b">
        <f aca="false">IF(중복검사!$A2687="",FALSE(),중복검사!$H2687="중복")</f>
        <v>0</v>
      </c>
      <c r="K2689" s="5" t="str">
        <f aca="false">IF($J2689=FALSE(),"",COUNTIF($J$6:$J2689,TRUE()))</f>
        <v/>
      </c>
      <c r="L2689" s="5" t="str">
        <f aca="false">IF($K2689="","","R"&amp;$K2689)</f>
        <v/>
      </c>
    </row>
    <row r="2690" customFormat="false" ht="15" hidden="false" customHeight="true" outlineLevel="0" collapsed="false">
      <c r="J2690" s="14" t="b">
        <f aca="false">IF(중복검사!$A2688="",FALSE(),중복검사!$H2688="중복")</f>
        <v>0</v>
      </c>
      <c r="K2690" s="5" t="str">
        <f aca="false">IF($J2690=FALSE(),"",COUNTIF($J$6:$J2690,TRUE()))</f>
        <v/>
      </c>
      <c r="L2690" s="5" t="str">
        <f aca="false">IF($K2690="","","R"&amp;$K2690)</f>
        <v/>
      </c>
    </row>
    <row r="2691" customFormat="false" ht="15" hidden="false" customHeight="true" outlineLevel="0" collapsed="false">
      <c r="J2691" s="14" t="b">
        <f aca="false">IF(중복검사!$A2689="",FALSE(),중복검사!$H2689="중복")</f>
        <v>0</v>
      </c>
      <c r="K2691" s="5" t="str">
        <f aca="false">IF($J2691=FALSE(),"",COUNTIF($J$6:$J2691,TRUE()))</f>
        <v/>
      </c>
      <c r="L2691" s="5" t="str">
        <f aca="false">IF($K2691="","","R"&amp;$K2691)</f>
        <v/>
      </c>
    </row>
    <row r="2692" customFormat="false" ht="15" hidden="false" customHeight="true" outlineLevel="0" collapsed="false">
      <c r="J2692" s="14" t="b">
        <f aca="false">IF(중복검사!$A2690="",FALSE(),중복검사!$H2690="중복")</f>
        <v>0</v>
      </c>
      <c r="K2692" s="5" t="str">
        <f aca="false">IF($J2692=FALSE(),"",COUNTIF($J$6:$J2692,TRUE()))</f>
        <v/>
      </c>
      <c r="L2692" s="5" t="str">
        <f aca="false">IF($K2692="","","R"&amp;$K2692)</f>
        <v/>
      </c>
    </row>
    <row r="2693" customFormat="false" ht="15" hidden="false" customHeight="true" outlineLevel="0" collapsed="false">
      <c r="J2693" s="14" t="b">
        <f aca="false">IF(중복검사!$A2691="",FALSE(),중복검사!$H2691="중복")</f>
        <v>0</v>
      </c>
      <c r="K2693" s="5" t="str">
        <f aca="false">IF($J2693=FALSE(),"",COUNTIF($J$6:$J2693,TRUE()))</f>
        <v/>
      </c>
      <c r="L2693" s="5" t="str">
        <f aca="false">IF($K2693="","","R"&amp;$K2693)</f>
        <v/>
      </c>
    </row>
    <row r="2694" customFormat="false" ht="15" hidden="false" customHeight="true" outlineLevel="0" collapsed="false">
      <c r="J2694" s="14" t="b">
        <f aca="false">IF(중복검사!$A2692="",FALSE(),중복검사!$H2692="중복")</f>
        <v>0</v>
      </c>
      <c r="K2694" s="5" t="str">
        <f aca="false">IF($J2694=FALSE(),"",COUNTIF($J$6:$J2694,TRUE()))</f>
        <v/>
      </c>
      <c r="L2694" s="5" t="str">
        <f aca="false">IF($K2694="","","R"&amp;$K2694)</f>
        <v/>
      </c>
    </row>
    <row r="2695" customFormat="false" ht="15" hidden="false" customHeight="true" outlineLevel="0" collapsed="false">
      <c r="J2695" s="14" t="b">
        <f aca="false">IF(중복검사!$A2693="",FALSE(),중복검사!$H2693="중복")</f>
        <v>0</v>
      </c>
      <c r="K2695" s="5" t="str">
        <f aca="false">IF($J2695=FALSE(),"",COUNTIF($J$6:$J2695,TRUE()))</f>
        <v/>
      </c>
      <c r="L2695" s="5" t="str">
        <f aca="false">IF($K2695="","","R"&amp;$K2695)</f>
        <v/>
      </c>
    </row>
    <row r="2696" customFormat="false" ht="15" hidden="false" customHeight="true" outlineLevel="0" collapsed="false">
      <c r="J2696" s="14" t="b">
        <f aca="false">IF(중복검사!$A2694="",FALSE(),중복검사!$H2694="중복")</f>
        <v>0</v>
      </c>
      <c r="K2696" s="5" t="str">
        <f aca="false">IF($J2696=FALSE(),"",COUNTIF($J$6:$J2696,TRUE()))</f>
        <v/>
      </c>
      <c r="L2696" s="5" t="str">
        <f aca="false">IF($K2696="","","R"&amp;$K2696)</f>
        <v/>
      </c>
    </row>
    <row r="2697" customFormat="false" ht="15" hidden="false" customHeight="true" outlineLevel="0" collapsed="false">
      <c r="J2697" s="14" t="b">
        <f aca="false">IF(중복검사!$A2695="",FALSE(),중복검사!$H2695="중복")</f>
        <v>0</v>
      </c>
      <c r="K2697" s="5" t="str">
        <f aca="false">IF($J2697=FALSE(),"",COUNTIF($J$6:$J2697,TRUE()))</f>
        <v/>
      </c>
      <c r="L2697" s="5" t="str">
        <f aca="false">IF($K2697="","","R"&amp;$K2697)</f>
        <v/>
      </c>
    </row>
    <row r="2698" customFormat="false" ht="15" hidden="false" customHeight="true" outlineLevel="0" collapsed="false">
      <c r="J2698" s="14" t="b">
        <f aca="false">IF(중복검사!$A2696="",FALSE(),중복검사!$H2696="중복")</f>
        <v>0</v>
      </c>
      <c r="K2698" s="5" t="str">
        <f aca="false">IF($J2698=FALSE(),"",COUNTIF($J$6:$J2698,TRUE()))</f>
        <v/>
      </c>
      <c r="L2698" s="5" t="str">
        <f aca="false">IF($K2698="","","R"&amp;$K2698)</f>
        <v/>
      </c>
    </row>
    <row r="2699" customFormat="false" ht="15" hidden="false" customHeight="true" outlineLevel="0" collapsed="false">
      <c r="J2699" s="14" t="b">
        <f aca="false">IF(중복검사!$A2697="",FALSE(),중복검사!$H2697="중복")</f>
        <v>0</v>
      </c>
      <c r="K2699" s="5" t="str">
        <f aca="false">IF($J2699=FALSE(),"",COUNTIF($J$6:$J2699,TRUE()))</f>
        <v/>
      </c>
      <c r="L2699" s="5" t="str">
        <f aca="false">IF($K2699="","","R"&amp;$K2699)</f>
        <v/>
      </c>
    </row>
    <row r="2700" customFormat="false" ht="15" hidden="false" customHeight="true" outlineLevel="0" collapsed="false">
      <c r="J2700" s="14" t="b">
        <f aca="false">IF(중복검사!$A2698="",FALSE(),중복검사!$H2698="중복")</f>
        <v>0</v>
      </c>
      <c r="K2700" s="5" t="str">
        <f aca="false">IF($J2700=FALSE(),"",COUNTIF($J$6:$J2700,TRUE()))</f>
        <v/>
      </c>
      <c r="L2700" s="5" t="str">
        <f aca="false">IF($K2700="","","R"&amp;$K2700)</f>
        <v/>
      </c>
    </row>
    <row r="2701" customFormat="false" ht="15" hidden="false" customHeight="true" outlineLevel="0" collapsed="false">
      <c r="J2701" s="14" t="b">
        <f aca="false">IF(중복검사!$A2699="",FALSE(),중복검사!$H2699="중복")</f>
        <v>0</v>
      </c>
      <c r="K2701" s="5" t="str">
        <f aca="false">IF($J2701=FALSE(),"",COUNTIF($J$6:$J2701,TRUE()))</f>
        <v/>
      </c>
      <c r="L2701" s="5" t="str">
        <f aca="false">IF($K2701="","","R"&amp;$K2701)</f>
        <v/>
      </c>
    </row>
    <row r="2702" customFormat="false" ht="15" hidden="false" customHeight="true" outlineLevel="0" collapsed="false">
      <c r="J2702" s="14" t="b">
        <f aca="false">IF(중복검사!$A2700="",FALSE(),중복검사!$H2700="중복")</f>
        <v>0</v>
      </c>
      <c r="K2702" s="5" t="str">
        <f aca="false">IF($J2702=FALSE(),"",COUNTIF($J$6:$J2702,TRUE()))</f>
        <v/>
      </c>
      <c r="L2702" s="5" t="str">
        <f aca="false">IF($K2702="","","R"&amp;$K2702)</f>
        <v/>
      </c>
    </row>
    <row r="2703" customFormat="false" ht="15" hidden="false" customHeight="true" outlineLevel="0" collapsed="false">
      <c r="J2703" s="14" t="b">
        <f aca="false">IF(중복검사!$A2701="",FALSE(),중복검사!$H2701="중복")</f>
        <v>0</v>
      </c>
      <c r="K2703" s="5" t="str">
        <f aca="false">IF($J2703=FALSE(),"",COUNTIF($J$6:$J2703,TRUE()))</f>
        <v/>
      </c>
      <c r="L2703" s="5" t="str">
        <f aca="false">IF($K2703="","","R"&amp;$K2703)</f>
        <v/>
      </c>
    </row>
    <row r="2704" customFormat="false" ht="15" hidden="false" customHeight="true" outlineLevel="0" collapsed="false">
      <c r="J2704" s="14" t="b">
        <f aca="false">IF(중복검사!$A2702="",FALSE(),중복검사!$H2702="중복")</f>
        <v>0</v>
      </c>
      <c r="K2704" s="5" t="str">
        <f aca="false">IF($J2704=FALSE(),"",COUNTIF($J$6:$J2704,TRUE()))</f>
        <v/>
      </c>
      <c r="L2704" s="5" t="str">
        <f aca="false">IF($K2704="","","R"&amp;$K2704)</f>
        <v/>
      </c>
    </row>
    <row r="2705" customFormat="false" ht="15" hidden="false" customHeight="true" outlineLevel="0" collapsed="false">
      <c r="J2705" s="14" t="b">
        <f aca="false">IF(중복검사!$A2703="",FALSE(),중복검사!$H2703="중복")</f>
        <v>0</v>
      </c>
      <c r="K2705" s="5" t="str">
        <f aca="false">IF($J2705=FALSE(),"",COUNTIF($J$6:$J2705,TRUE()))</f>
        <v/>
      </c>
      <c r="L2705" s="5" t="str">
        <f aca="false">IF($K2705="","","R"&amp;$K2705)</f>
        <v/>
      </c>
    </row>
    <row r="2706" customFormat="false" ht="15" hidden="false" customHeight="true" outlineLevel="0" collapsed="false">
      <c r="J2706" s="14" t="b">
        <f aca="false">IF(중복검사!$A2704="",FALSE(),중복검사!$H2704="중복")</f>
        <v>0</v>
      </c>
      <c r="K2706" s="5" t="str">
        <f aca="false">IF($J2706=FALSE(),"",COUNTIF($J$6:$J2706,TRUE()))</f>
        <v/>
      </c>
      <c r="L2706" s="5" t="str">
        <f aca="false">IF($K2706="","","R"&amp;$K2706)</f>
        <v/>
      </c>
    </row>
    <row r="2707" customFormat="false" ht="15" hidden="false" customHeight="true" outlineLevel="0" collapsed="false">
      <c r="J2707" s="14" t="b">
        <f aca="false">IF(중복검사!$A2705="",FALSE(),중복검사!$H2705="중복")</f>
        <v>0</v>
      </c>
      <c r="K2707" s="5" t="str">
        <f aca="false">IF($J2707=FALSE(),"",COUNTIF($J$6:$J2707,TRUE()))</f>
        <v/>
      </c>
      <c r="L2707" s="5" t="str">
        <f aca="false">IF($K2707="","","R"&amp;$K2707)</f>
        <v/>
      </c>
    </row>
    <row r="2708" customFormat="false" ht="15" hidden="false" customHeight="true" outlineLevel="0" collapsed="false">
      <c r="J2708" s="14" t="b">
        <f aca="false">IF(중복검사!$A2706="",FALSE(),중복검사!$H2706="중복")</f>
        <v>0</v>
      </c>
      <c r="K2708" s="5" t="str">
        <f aca="false">IF($J2708=FALSE(),"",COUNTIF($J$6:$J2708,TRUE()))</f>
        <v/>
      </c>
      <c r="L2708" s="5" t="str">
        <f aca="false">IF($K2708="","","R"&amp;$K2708)</f>
        <v/>
      </c>
    </row>
    <row r="2709" customFormat="false" ht="15" hidden="false" customHeight="true" outlineLevel="0" collapsed="false">
      <c r="J2709" s="14" t="b">
        <f aca="false">IF(중복검사!$A2707="",FALSE(),중복검사!$H2707="중복")</f>
        <v>0</v>
      </c>
      <c r="K2709" s="5" t="str">
        <f aca="false">IF($J2709=FALSE(),"",COUNTIF($J$6:$J2709,TRUE()))</f>
        <v/>
      </c>
      <c r="L2709" s="5" t="str">
        <f aca="false">IF($K2709="","","R"&amp;$K2709)</f>
        <v/>
      </c>
    </row>
    <row r="2710" customFormat="false" ht="15" hidden="false" customHeight="true" outlineLevel="0" collapsed="false">
      <c r="J2710" s="14" t="b">
        <f aca="false">IF(중복검사!$A2708="",FALSE(),중복검사!$H2708="중복")</f>
        <v>0</v>
      </c>
      <c r="K2710" s="5" t="str">
        <f aca="false">IF($J2710=FALSE(),"",COUNTIF($J$6:$J2710,TRUE()))</f>
        <v/>
      </c>
      <c r="L2710" s="5" t="str">
        <f aca="false">IF($K2710="","","R"&amp;$K2710)</f>
        <v/>
      </c>
    </row>
    <row r="2711" customFormat="false" ht="15" hidden="false" customHeight="true" outlineLevel="0" collapsed="false">
      <c r="J2711" s="14" t="b">
        <f aca="false">IF(중복검사!$A2709="",FALSE(),중복검사!$H2709="중복")</f>
        <v>0</v>
      </c>
      <c r="K2711" s="5" t="str">
        <f aca="false">IF($J2711=FALSE(),"",COUNTIF($J$6:$J2711,TRUE()))</f>
        <v/>
      </c>
      <c r="L2711" s="5" t="str">
        <f aca="false">IF($K2711="","","R"&amp;$K2711)</f>
        <v/>
      </c>
    </row>
    <row r="2712" customFormat="false" ht="15" hidden="false" customHeight="true" outlineLevel="0" collapsed="false">
      <c r="J2712" s="14" t="b">
        <f aca="false">IF(중복검사!$A2710="",FALSE(),중복검사!$H2710="중복")</f>
        <v>0</v>
      </c>
      <c r="K2712" s="5" t="str">
        <f aca="false">IF($J2712=FALSE(),"",COUNTIF($J$6:$J2712,TRUE()))</f>
        <v/>
      </c>
      <c r="L2712" s="5" t="str">
        <f aca="false">IF($K2712="","","R"&amp;$K2712)</f>
        <v/>
      </c>
    </row>
    <row r="2713" customFormat="false" ht="15" hidden="false" customHeight="true" outlineLevel="0" collapsed="false">
      <c r="J2713" s="14" t="b">
        <f aca="false">IF(중복검사!$A2711="",FALSE(),중복검사!$H2711="중복")</f>
        <v>0</v>
      </c>
      <c r="K2713" s="5" t="str">
        <f aca="false">IF($J2713=FALSE(),"",COUNTIF($J$6:$J2713,TRUE()))</f>
        <v/>
      </c>
      <c r="L2713" s="5" t="str">
        <f aca="false">IF($K2713="","","R"&amp;$K2713)</f>
        <v/>
      </c>
    </row>
    <row r="2714" customFormat="false" ht="15" hidden="false" customHeight="true" outlineLevel="0" collapsed="false">
      <c r="J2714" s="14" t="b">
        <f aca="false">IF(중복검사!$A2712="",FALSE(),중복검사!$H2712="중복")</f>
        <v>0</v>
      </c>
      <c r="K2714" s="5" t="str">
        <f aca="false">IF($J2714=FALSE(),"",COUNTIF($J$6:$J2714,TRUE()))</f>
        <v/>
      </c>
      <c r="L2714" s="5" t="str">
        <f aca="false">IF($K2714="","","R"&amp;$K2714)</f>
        <v/>
      </c>
    </row>
    <row r="2715" customFormat="false" ht="15" hidden="false" customHeight="true" outlineLevel="0" collapsed="false">
      <c r="J2715" s="14" t="b">
        <f aca="false">IF(중복검사!$A2713="",FALSE(),중복검사!$H2713="중복")</f>
        <v>0</v>
      </c>
      <c r="K2715" s="5" t="str">
        <f aca="false">IF($J2715=FALSE(),"",COUNTIF($J$6:$J2715,TRUE()))</f>
        <v/>
      </c>
      <c r="L2715" s="5" t="str">
        <f aca="false">IF($K2715="","","R"&amp;$K2715)</f>
        <v/>
      </c>
    </row>
    <row r="2716" customFormat="false" ht="15" hidden="false" customHeight="true" outlineLevel="0" collapsed="false">
      <c r="J2716" s="14" t="b">
        <f aca="false">IF(중복검사!$A2714="",FALSE(),중복검사!$H2714="중복")</f>
        <v>0</v>
      </c>
      <c r="K2716" s="5" t="str">
        <f aca="false">IF($J2716=FALSE(),"",COUNTIF($J$6:$J2716,TRUE()))</f>
        <v/>
      </c>
      <c r="L2716" s="5" t="str">
        <f aca="false">IF($K2716="","","R"&amp;$K2716)</f>
        <v/>
      </c>
    </row>
    <row r="2717" customFormat="false" ht="15" hidden="false" customHeight="true" outlineLevel="0" collapsed="false">
      <c r="J2717" s="14" t="b">
        <f aca="false">IF(중복검사!$A2715="",FALSE(),중복검사!$H2715="중복")</f>
        <v>0</v>
      </c>
      <c r="K2717" s="5" t="str">
        <f aca="false">IF($J2717=FALSE(),"",COUNTIF($J$6:$J2717,TRUE()))</f>
        <v/>
      </c>
      <c r="L2717" s="5" t="str">
        <f aca="false">IF($K2717="","","R"&amp;$K2717)</f>
        <v/>
      </c>
    </row>
    <row r="2718" customFormat="false" ht="15" hidden="false" customHeight="true" outlineLevel="0" collapsed="false">
      <c r="J2718" s="14" t="b">
        <f aca="false">IF(중복검사!$A2716="",FALSE(),중복검사!$H2716="중복")</f>
        <v>0</v>
      </c>
      <c r="K2718" s="5" t="str">
        <f aca="false">IF($J2718=FALSE(),"",COUNTIF($J$6:$J2718,TRUE()))</f>
        <v/>
      </c>
      <c r="L2718" s="5" t="str">
        <f aca="false">IF($K2718="","","R"&amp;$K2718)</f>
        <v/>
      </c>
    </row>
    <row r="2719" customFormat="false" ht="15" hidden="false" customHeight="true" outlineLevel="0" collapsed="false">
      <c r="J2719" s="14" t="b">
        <f aca="false">IF(중복검사!$A2717="",FALSE(),중복검사!$H2717="중복")</f>
        <v>0</v>
      </c>
      <c r="K2719" s="5" t="str">
        <f aca="false">IF($J2719=FALSE(),"",COUNTIF($J$6:$J2719,TRUE()))</f>
        <v/>
      </c>
      <c r="L2719" s="5" t="str">
        <f aca="false">IF($K2719="","","R"&amp;$K2719)</f>
        <v/>
      </c>
    </row>
    <row r="2720" customFormat="false" ht="15" hidden="false" customHeight="true" outlineLevel="0" collapsed="false">
      <c r="J2720" s="14" t="b">
        <f aca="false">IF(중복검사!$A2718="",FALSE(),중복검사!$H2718="중복")</f>
        <v>0</v>
      </c>
      <c r="K2720" s="5" t="str">
        <f aca="false">IF($J2720=FALSE(),"",COUNTIF($J$6:$J2720,TRUE()))</f>
        <v/>
      </c>
      <c r="L2720" s="5" t="str">
        <f aca="false">IF($K2720="","","R"&amp;$K2720)</f>
        <v/>
      </c>
    </row>
    <row r="2721" customFormat="false" ht="15" hidden="false" customHeight="true" outlineLevel="0" collapsed="false">
      <c r="J2721" s="14" t="b">
        <f aca="false">IF(중복검사!$A2719="",FALSE(),중복검사!$H2719="중복")</f>
        <v>0</v>
      </c>
      <c r="K2721" s="5" t="str">
        <f aca="false">IF($J2721=FALSE(),"",COUNTIF($J$6:$J2721,TRUE()))</f>
        <v/>
      </c>
      <c r="L2721" s="5" t="str">
        <f aca="false">IF($K2721="","","R"&amp;$K2721)</f>
        <v/>
      </c>
    </row>
    <row r="2722" customFormat="false" ht="15" hidden="false" customHeight="true" outlineLevel="0" collapsed="false">
      <c r="J2722" s="14" t="b">
        <f aca="false">IF(중복검사!$A2720="",FALSE(),중복검사!$H2720="중복")</f>
        <v>0</v>
      </c>
      <c r="K2722" s="5" t="str">
        <f aca="false">IF($J2722=FALSE(),"",COUNTIF($J$6:$J2722,TRUE()))</f>
        <v/>
      </c>
      <c r="L2722" s="5" t="str">
        <f aca="false">IF($K2722="","","R"&amp;$K2722)</f>
        <v/>
      </c>
    </row>
    <row r="2723" customFormat="false" ht="15" hidden="false" customHeight="true" outlineLevel="0" collapsed="false">
      <c r="J2723" s="14" t="b">
        <f aca="false">IF(중복검사!$A2721="",FALSE(),중복검사!$H2721="중복")</f>
        <v>0</v>
      </c>
      <c r="K2723" s="5" t="str">
        <f aca="false">IF($J2723=FALSE(),"",COUNTIF($J$6:$J2723,TRUE()))</f>
        <v/>
      </c>
      <c r="L2723" s="5" t="str">
        <f aca="false">IF($K2723="","","R"&amp;$K2723)</f>
        <v/>
      </c>
    </row>
    <row r="2724" customFormat="false" ht="15" hidden="false" customHeight="true" outlineLevel="0" collapsed="false">
      <c r="J2724" s="14" t="b">
        <f aca="false">IF(중복검사!$A2722="",FALSE(),중복검사!$H2722="중복")</f>
        <v>0</v>
      </c>
      <c r="K2724" s="5" t="str">
        <f aca="false">IF($J2724=FALSE(),"",COUNTIF($J$6:$J2724,TRUE()))</f>
        <v/>
      </c>
      <c r="L2724" s="5" t="str">
        <f aca="false">IF($K2724="","","R"&amp;$K2724)</f>
        <v/>
      </c>
    </row>
    <row r="2725" customFormat="false" ht="15" hidden="false" customHeight="true" outlineLevel="0" collapsed="false">
      <c r="J2725" s="14" t="b">
        <f aca="false">IF(중복검사!$A2723="",FALSE(),중복검사!$H2723="중복")</f>
        <v>0</v>
      </c>
      <c r="K2725" s="5" t="str">
        <f aca="false">IF($J2725=FALSE(),"",COUNTIF($J$6:$J2725,TRUE()))</f>
        <v/>
      </c>
      <c r="L2725" s="5" t="str">
        <f aca="false">IF($K2725="","","R"&amp;$K2725)</f>
        <v/>
      </c>
    </row>
    <row r="2726" customFormat="false" ht="15" hidden="false" customHeight="true" outlineLevel="0" collapsed="false">
      <c r="J2726" s="14" t="b">
        <f aca="false">IF(중복검사!$A2724="",FALSE(),중복검사!$H2724="중복")</f>
        <v>0</v>
      </c>
      <c r="K2726" s="5" t="str">
        <f aca="false">IF($J2726=FALSE(),"",COUNTIF($J$6:$J2726,TRUE()))</f>
        <v/>
      </c>
      <c r="L2726" s="5" t="str">
        <f aca="false">IF($K2726="","","R"&amp;$K2726)</f>
        <v/>
      </c>
    </row>
    <row r="2727" customFormat="false" ht="15" hidden="false" customHeight="true" outlineLevel="0" collapsed="false">
      <c r="J2727" s="14" t="b">
        <f aca="false">IF(중복검사!$A2725="",FALSE(),중복검사!$H2725="중복")</f>
        <v>0</v>
      </c>
      <c r="K2727" s="5" t="str">
        <f aca="false">IF($J2727=FALSE(),"",COUNTIF($J$6:$J2727,TRUE()))</f>
        <v/>
      </c>
      <c r="L2727" s="5" t="str">
        <f aca="false">IF($K2727="","","R"&amp;$K2727)</f>
        <v/>
      </c>
    </row>
    <row r="2728" customFormat="false" ht="15" hidden="false" customHeight="true" outlineLevel="0" collapsed="false">
      <c r="J2728" s="14" t="b">
        <f aca="false">IF(중복검사!$A2726="",FALSE(),중복검사!$H2726="중복")</f>
        <v>0</v>
      </c>
      <c r="K2728" s="5" t="str">
        <f aca="false">IF($J2728=FALSE(),"",COUNTIF($J$6:$J2728,TRUE()))</f>
        <v/>
      </c>
      <c r="L2728" s="5" t="str">
        <f aca="false">IF($K2728="","","R"&amp;$K2728)</f>
        <v/>
      </c>
    </row>
    <row r="2729" customFormat="false" ht="15" hidden="false" customHeight="true" outlineLevel="0" collapsed="false">
      <c r="J2729" s="14" t="b">
        <f aca="false">IF(중복검사!$A2727="",FALSE(),중복검사!$H2727="중복")</f>
        <v>0</v>
      </c>
      <c r="K2729" s="5" t="str">
        <f aca="false">IF($J2729=FALSE(),"",COUNTIF($J$6:$J2729,TRUE()))</f>
        <v/>
      </c>
      <c r="L2729" s="5" t="str">
        <f aca="false">IF($K2729="","","R"&amp;$K2729)</f>
        <v/>
      </c>
    </row>
    <row r="2730" customFormat="false" ht="15" hidden="false" customHeight="true" outlineLevel="0" collapsed="false">
      <c r="J2730" s="14" t="b">
        <f aca="false">IF(중복검사!$A2728="",FALSE(),중복검사!$H2728="중복")</f>
        <v>0</v>
      </c>
      <c r="K2730" s="5" t="str">
        <f aca="false">IF($J2730=FALSE(),"",COUNTIF($J$6:$J2730,TRUE()))</f>
        <v/>
      </c>
      <c r="L2730" s="5" t="str">
        <f aca="false">IF($K2730="","","R"&amp;$K2730)</f>
        <v/>
      </c>
    </row>
    <row r="2731" customFormat="false" ht="15" hidden="false" customHeight="true" outlineLevel="0" collapsed="false">
      <c r="J2731" s="14" t="b">
        <f aca="false">IF(중복검사!$A2729="",FALSE(),중복검사!$H2729="중복")</f>
        <v>0</v>
      </c>
      <c r="K2731" s="5" t="str">
        <f aca="false">IF($J2731=FALSE(),"",COUNTIF($J$6:$J2731,TRUE()))</f>
        <v/>
      </c>
      <c r="L2731" s="5" t="str">
        <f aca="false">IF($K2731="","","R"&amp;$K2731)</f>
        <v/>
      </c>
    </row>
    <row r="2732" customFormat="false" ht="15" hidden="false" customHeight="true" outlineLevel="0" collapsed="false">
      <c r="J2732" s="14" t="b">
        <f aca="false">IF(중복검사!$A2730="",FALSE(),중복검사!$H2730="중복")</f>
        <v>0</v>
      </c>
      <c r="K2732" s="5" t="str">
        <f aca="false">IF($J2732=FALSE(),"",COUNTIF($J$6:$J2732,TRUE()))</f>
        <v/>
      </c>
      <c r="L2732" s="5" t="str">
        <f aca="false">IF($K2732="","","R"&amp;$K2732)</f>
        <v/>
      </c>
    </row>
    <row r="2733" customFormat="false" ht="15" hidden="false" customHeight="true" outlineLevel="0" collapsed="false">
      <c r="J2733" s="14" t="b">
        <f aca="false">IF(중복검사!$A2731="",FALSE(),중복검사!$H2731="중복")</f>
        <v>0</v>
      </c>
      <c r="K2733" s="5" t="str">
        <f aca="false">IF($J2733=FALSE(),"",COUNTIF($J$6:$J2733,TRUE()))</f>
        <v/>
      </c>
      <c r="L2733" s="5" t="str">
        <f aca="false">IF($K2733="","","R"&amp;$K2733)</f>
        <v/>
      </c>
    </row>
    <row r="2734" customFormat="false" ht="15" hidden="false" customHeight="true" outlineLevel="0" collapsed="false">
      <c r="J2734" s="14" t="b">
        <f aca="false">IF(중복검사!$A2732="",FALSE(),중복검사!$H2732="중복")</f>
        <v>0</v>
      </c>
      <c r="K2734" s="5" t="str">
        <f aca="false">IF($J2734=FALSE(),"",COUNTIF($J$6:$J2734,TRUE()))</f>
        <v/>
      </c>
      <c r="L2734" s="5" t="str">
        <f aca="false">IF($K2734="","","R"&amp;$K2734)</f>
        <v/>
      </c>
    </row>
    <row r="2735" customFormat="false" ht="15" hidden="false" customHeight="true" outlineLevel="0" collapsed="false">
      <c r="J2735" s="14" t="b">
        <f aca="false">IF(중복검사!$A2733="",FALSE(),중복검사!$H2733="중복")</f>
        <v>0</v>
      </c>
      <c r="K2735" s="5" t="str">
        <f aca="false">IF($J2735=FALSE(),"",COUNTIF($J$6:$J2735,TRUE()))</f>
        <v/>
      </c>
      <c r="L2735" s="5" t="str">
        <f aca="false">IF($K2735="","","R"&amp;$K2735)</f>
        <v/>
      </c>
    </row>
    <row r="2736" customFormat="false" ht="15" hidden="false" customHeight="true" outlineLevel="0" collapsed="false">
      <c r="J2736" s="14" t="b">
        <f aca="false">IF(중복검사!$A2734="",FALSE(),중복검사!$H2734="중복")</f>
        <v>0</v>
      </c>
      <c r="K2736" s="5" t="str">
        <f aca="false">IF($J2736=FALSE(),"",COUNTIF($J$6:$J2736,TRUE()))</f>
        <v/>
      </c>
      <c r="L2736" s="5" t="str">
        <f aca="false">IF($K2736="","","R"&amp;$K2736)</f>
        <v/>
      </c>
    </row>
    <row r="2737" customFormat="false" ht="15" hidden="false" customHeight="true" outlineLevel="0" collapsed="false">
      <c r="J2737" s="14" t="b">
        <f aca="false">IF(중복검사!$A2735="",FALSE(),중복검사!$H2735="중복")</f>
        <v>0</v>
      </c>
      <c r="K2737" s="5" t="str">
        <f aca="false">IF($J2737=FALSE(),"",COUNTIF($J$6:$J2737,TRUE()))</f>
        <v/>
      </c>
      <c r="L2737" s="5" t="str">
        <f aca="false">IF($K2737="","","R"&amp;$K2737)</f>
        <v/>
      </c>
    </row>
    <row r="2738" customFormat="false" ht="15" hidden="false" customHeight="true" outlineLevel="0" collapsed="false">
      <c r="J2738" s="14" t="b">
        <f aca="false">IF(중복검사!$A2736="",FALSE(),중복검사!$H2736="중복")</f>
        <v>0</v>
      </c>
      <c r="K2738" s="5" t="str">
        <f aca="false">IF($J2738=FALSE(),"",COUNTIF($J$6:$J2738,TRUE()))</f>
        <v/>
      </c>
      <c r="L2738" s="5" t="str">
        <f aca="false">IF($K2738="","","R"&amp;$K2738)</f>
        <v/>
      </c>
    </row>
    <row r="2739" customFormat="false" ht="15" hidden="false" customHeight="true" outlineLevel="0" collapsed="false">
      <c r="J2739" s="14" t="b">
        <f aca="false">IF(중복검사!$A2737="",FALSE(),중복검사!$H2737="중복")</f>
        <v>0</v>
      </c>
      <c r="K2739" s="5" t="str">
        <f aca="false">IF($J2739=FALSE(),"",COUNTIF($J$6:$J2739,TRUE()))</f>
        <v/>
      </c>
      <c r="L2739" s="5" t="str">
        <f aca="false">IF($K2739="","","R"&amp;$K2739)</f>
        <v/>
      </c>
    </row>
    <row r="2740" customFormat="false" ht="15" hidden="false" customHeight="true" outlineLevel="0" collapsed="false">
      <c r="J2740" s="14" t="b">
        <f aca="false">IF(중복검사!$A2738="",FALSE(),중복검사!$H2738="중복")</f>
        <v>0</v>
      </c>
      <c r="K2740" s="5" t="str">
        <f aca="false">IF($J2740=FALSE(),"",COUNTIF($J$6:$J2740,TRUE()))</f>
        <v/>
      </c>
      <c r="L2740" s="5" t="str">
        <f aca="false">IF($K2740="","","R"&amp;$K2740)</f>
        <v/>
      </c>
    </row>
    <row r="2741" customFormat="false" ht="15" hidden="false" customHeight="true" outlineLevel="0" collapsed="false">
      <c r="J2741" s="14" t="b">
        <f aca="false">IF(중복검사!$A2739="",FALSE(),중복검사!$H2739="중복")</f>
        <v>0</v>
      </c>
      <c r="K2741" s="5" t="str">
        <f aca="false">IF($J2741=FALSE(),"",COUNTIF($J$6:$J2741,TRUE()))</f>
        <v/>
      </c>
      <c r="L2741" s="5" t="str">
        <f aca="false">IF($K2741="","","R"&amp;$K2741)</f>
        <v/>
      </c>
    </row>
    <row r="2742" customFormat="false" ht="15" hidden="false" customHeight="true" outlineLevel="0" collapsed="false">
      <c r="J2742" s="14" t="b">
        <f aca="false">IF(중복검사!$A2740="",FALSE(),중복검사!$H2740="중복")</f>
        <v>0</v>
      </c>
      <c r="K2742" s="5" t="str">
        <f aca="false">IF($J2742=FALSE(),"",COUNTIF($J$6:$J2742,TRUE()))</f>
        <v/>
      </c>
      <c r="L2742" s="5" t="str">
        <f aca="false">IF($K2742="","","R"&amp;$K2742)</f>
        <v/>
      </c>
    </row>
    <row r="2743" customFormat="false" ht="15" hidden="false" customHeight="true" outlineLevel="0" collapsed="false">
      <c r="J2743" s="14" t="b">
        <f aca="false">IF(중복검사!$A2741="",FALSE(),중복검사!$H2741="중복")</f>
        <v>0</v>
      </c>
      <c r="K2743" s="5" t="str">
        <f aca="false">IF($J2743=FALSE(),"",COUNTIF($J$6:$J2743,TRUE()))</f>
        <v/>
      </c>
      <c r="L2743" s="5" t="str">
        <f aca="false">IF($K2743="","","R"&amp;$K2743)</f>
        <v/>
      </c>
    </row>
    <row r="2744" customFormat="false" ht="15" hidden="false" customHeight="true" outlineLevel="0" collapsed="false">
      <c r="J2744" s="14" t="b">
        <f aca="false">IF(중복검사!$A2742="",FALSE(),중복검사!$H2742="중복")</f>
        <v>0</v>
      </c>
      <c r="K2744" s="5" t="str">
        <f aca="false">IF($J2744=FALSE(),"",COUNTIF($J$6:$J2744,TRUE()))</f>
        <v/>
      </c>
      <c r="L2744" s="5" t="str">
        <f aca="false">IF($K2744="","","R"&amp;$K2744)</f>
        <v/>
      </c>
    </row>
    <row r="2745" customFormat="false" ht="15" hidden="false" customHeight="true" outlineLevel="0" collapsed="false">
      <c r="J2745" s="14" t="b">
        <f aca="false">IF(중복검사!$A2743="",FALSE(),중복검사!$H2743="중복")</f>
        <v>0</v>
      </c>
      <c r="K2745" s="5" t="str">
        <f aca="false">IF($J2745=FALSE(),"",COUNTIF($J$6:$J2745,TRUE()))</f>
        <v/>
      </c>
      <c r="L2745" s="5" t="str">
        <f aca="false">IF($K2745="","","R"&amp;$K2745)</f>
        <v/>
      </c>
    </row>
    <row r="2746" customFormat="false" ht="15" hidden="false" customHeight="true" outlineLevel="0" collapsed="false">
      <c r="J2746" s="14" t="b">
        <f aca="false">IF(중복검사!$A2744="",FALSE(),중복검사!$H2744="중복")</f>
        <v>0</v>
      </c>
      <c r="K2746" s="5" t="str">
        <f aca="false">IF($J2746=FALSE(),"",COUNTIF($J$6:$J2746,TRUE()))</f>
        <v/>
      </c>
      <c r="L2746" s="5" t="str">
        <f aca="false">IF($K2746="","","R"&amp;$K2746)</f>
        <v/>
      </c>
    </row>
    <row r="2747" customFormat="false" ht="15" hidden="false" customHeight="true" outlineLevel="0" collapsed="false">
      <c r="J2747" s="14" t="b">
        <f aca="false">IF(중복검사!$A2745="",FALSE(),중복검사!$H2745="중복")</f>
        <v>0</v>
      </c>
      <c r="K2747" s="5" t="str">
        <f aca="false">IF($J2747=FALSE(),"",COUNTIF($J$6:$J2747,TRUE()))</f>
        <v/>
      </c>
      <c r="L2747" s="5" t="str">
        <f aca="false">IF($K2747="","","R"&amp;$K2747)</f>
        <v/>
      </c>
    </row>
    <row r="2748" customFormat="false" ht="15" hidden="false" customHeight="true" outlineLevel="0" collapsed="false">
      <c r="J2748" s="14" t="b">
        <f aca="false">IF(중복검사!$A2746="",FALSE(),중복검사!$H2746="중복")</f>
        <v>0</v>
      </c>
      <c r="K2748" s="5" t="str">
        <f aca="false">IF($J2748=FALSE(),"",COUNTIF($J$6:$J2748,TRUE()))</f>
        <v/>
      </c>
      <c r="L2748" s="5" t="str">
        <f aca="false">IF($K2748="","","R"&amp;$K2748)</f>
        <v/>
      </c>
    </row>
    <row r="2749" customFormat="false" ht="15" hidden="false" customHeight="true" outlineLevel="0" collapsed="false">
      <c r="J2749" s="14" t="b">
        <f aca="false">IF(중복검사!$A2747="",FALSE(),중복검사!$H2747="중복")</f>
        <v>0</v>
      </c>
      <c r="K2749" s="5" t="str">
        <f aca="false">IF($J2749=FALSE(),"",COUNTIF($J$6:$J2749,TRUE()))</f>
        <v/>
      </c>
      <c r="L2749" s="5" t="str">
        <f aca="false">IF($K2749="","","R"&amp;$K2749)</f>
        <v/>
      </c>
    </row>
    <row r="2750" customFormat="false" ht="15" hidden="false" customHeight="true" outlineLevel="0" collapsed="false">
      <c r="J2750" s="14" t="b">
        <f aca="false">IF(중복검사!$A2748="",FALSE(),중복검사!$H2748="중복")</f>
        <v>0</v>
      </c>
      <c r="K2750" s="5" t="str">
        <f aca="false">IF($J2750=FALSE(),"",COUNTIF($J$6:$J2750,TRUE()))</f>
        <v/>
      </c>
      <c r="L2750" s="5" t="str">
        <f aca="false">IF($K2750="","","R"&amp;$K2750)</f>
        <v/>
      </c>
    </row>
    <row r="2751" customFormat="false" ht="15" hidden="false" customHeight="true" outlineLevel="0" collapsed="false">
      <c r="J2751" s="14" t="b">
        <f aca="false">IF(중복검사!$A2749="",FALSE(),중복검사!$H2749="중복")</f>
        <v>0</v>
      </c>
      <c r="K2751" s="5" t="str">
        <f aca="false">IF($J2751=FALSE(),"",COUNTIF($J$6:$J2751,TRUE()))</f>
        <v/>
      </c>
      <c r="L2751" s="5" t="str">
        <f aca="false">IF($K2751="","","R"&amp;$K2751)</f>
        <v/>
      </c>
    </row>
    <row r="2752" customFormat="false" ht="15" hidden="false" customHeight="true" outlineLevel="0" collapsed="false">
      <c r="J2752" s="14" t="b">
        <f aca="false">IF(중복검사!$A2750="",FALSE(),중복검사!$H2750="중복")</f>
        <v>0</v>
      </c>
      <c r="K2752" s="5" t="str">
        <f aca="false">IF($J2752=FALSE(),"",COUNTIF($J$6:$J2752,TRUE()))</f>
        <v/>
      </c>
      <c r="L2752" s="5" t="str">
        <f aca="false">IF($K2752="","","R"&amp;$K2752)</f>
        <v/>
      </c>
    </row>
    <row r="2753" customFormat="false" ht="15" hidden="false" customHeight="true" outlineLevel="0" collapsed="false">
      <c r="J2753" s="14" t="b">
        <f aca="false">IF(중복검사!$A2751="",FALSE(),중복검사!$H2751="중복")</f>
        <v>0</v>
      </c>
      <c r="K2753" s="5" t="str">
        <f aca="false">IF($J2753=FALSE(),"",COUNTIF($J$6:$J2753,TRUE()))</f>
        <v/>
      </c>
      <c r="L2753" s="5" t="str">
        <f aca="false">IF($K2753="","","R"&amp;$K2753)</f>
        <v/>
      </c>
    </row>
    <row r="2754" customFormat="false" ht="15" hidden="false" customHeight="true" outlineLevel="0" collapsed="false">
      <c r="J2754" s="14" t="b">
        <f aca="false">IF(중복검사!$A2752="",FALSE(),중복검사!$H2752="중복")</f>
        <v>0</v>
      </c>
      <c r="K2754" s="5" t="str">
        <f aca="false">IF($J2754=FALSE(),"",COUNTIF($J$6:$J2754,TRUE()))</f>
        <v/>
      </c>
      <c r="L2754" s="5" t="str">
        <f aca="false">IF($K2754="","","R"&amp;$K2754)</f>
        <v/>
      </c>
    </row>
    <row r="2755" customFormat="false" ht="15" hidden="false" customHeight="true" outlineLevel="0" collapsed="false">
      <c r="J2755" s="14" t="b">
        <f aca="false">IF(중복검사!$A2753="",FALSE(),중복검사!$H2753="중복")</f>
        <v>0</v>
      </c>
      <c r="K2755" s="5" t="str">
        <f aca="false">IF($J2755=FALSE(),"",COUNTIF($J$6:$J2755,TRUE()))</f>
        <v/>
      </c>
      <c r="L2755" s="5" t="str">
        <f aca="false">IF($K2755="","","R"&amp;$K2755)</f>
        <v/>
      </c>
    </row>
    <row r="2756" customFormat="false" ht="15" hidden="false" customHeight="true" outlineLevel="0" collapsed="false">
      <c r="J2756" s="14" t="b">
        <f aca="false">IF(중복검사!$A2754="",FALSE(),중복검사!$H2754="중복")</f>
        <v>0</v>
      </c>
      <c r="K2756" s="5" t="str">
        <f aca="false">IF($J2756=FALSE(),"",COUNTIF($J$6:$J2756,TRUE()))</f>
        <v/>
      </c>
      <c r="L2756" s="5" t="str">
        <f aca="false">IF($K2756="","","R"&amp;$K2756)</f>
        <v/>
      </c>
    </row>
    <row r="2757" customFormat="false" ht="15" hidden="false" customHeight="true" outlineLevel="0" collapsed="false">
      <c r="J2757" s="14" t="b">
        <f aca="false">IF(중복검사!$A2755="",FALSE(),중복검사!$H2755="중복")</f>
        <v>0</v>
      </c>
      <c r="K2757" s="5" t="str">
        <f aca="false">IF($J2757=FALSE(),"",COUNTIF($J$6:$J2757,TRUE()))</f>
        <v/>
      </c>
      <c r="L2757" s="5" t="str">
        <f aca="false">IF($K2757="","","R"&amp;$K2757)</f>
        <v/>
      </c>
    </row>
    <row r="2758" customFormat="false" ht="15" hidden="false" customHeight="true" outlineLevel="0" collapsed="false">
      <c r="J2758" s="14" t="b">
        <f aca="false">IF(중복검사!$A2756="",FALSE(),중복검사!$H2756="중복")</f>
        <v>0</v>
      </c>
      <c r="K2758" s="5" t="str">
        <f aca="false">IF($J2758=FALSE(),"",COUNTIF($J$6:$J2758,TRUE()))</f>
        <v/>
      </c>
      <c r="L2758" s="5" t="str">
        <f aca="false">IF($K2758="","","R"&amp;$K2758)</f>
        <v/>
      </c>
    </row>
    <row r="2759" customFormat="false" ht="15" hidden="false" customHeight="true" outlineLevel="0" collapsed="false">
      <c r="J2759" s="14" t="b">
        <f aca="false">IF(중복검사!$A2757="",FALSE(),중복검사!$H2757="중복")</f>
        <v>0</v>
      </c>
      <c r="K2759" s="5" t="str">
        <f aca="false">IF($J2759=FALSE(),"",COUNTIF($J$6:$J2759,TRUE()))</f>
        <v/>
      </c>
      <c r="L2759" s="5" t="str">
        <f aca="false">IF($K2759="","","R"&amp;$K2759)</f>
        <v/>
      </c>
    </row>
    <row r="2760" customFormat="false" ht="15" hidden="false" customHeight="true" outlineLevel="0" collapsed="false">
      <c r="J2760" s="14" t="b">
        <f aca="false">IF(중복검사!$A2758="",FALSE(),중복검사!$H2758="중복")</f>
        <v>0</v>
      </c>
      <c r="K2760" s="5" t="str">
        <f aca="false">IF($J2760=FALSE(),"",COUNTIF($J$6:$J2760,TRUE()))</f>
        <v/>
      </c>
      <c r="L2760" s="5" t="str">
        <f aca="false">IF($K2760="","","R"&amp;$K2760)</f>
        <v/>
      </c>
    </row>
    <row r="2761" customFormat="false" ht="15" hidden="false" customHeight="true" outlineLevel="0" collapsed="false">
      <c r="J2761" s="14" t="b">
        <f aca="false">IF(중복검사!$A2759="",FALSE(),중복검사!$H2759="중복")</f>
        <v>0</v>
      </c>
      <c r="K2761" s="5" t="str">
        <f aca="false">IF($J2761=FALSE(),"",COUNTIF($J$6:$J2761,TRUE()))</f>
        <v/>
      </c>
      <c r="L2761" s="5" t="str">
        <f aca="false">IF($K2761="","","R"&amp;$K2761)</f>
        <v/>
      </c>
    </row>
    <row r="2762" customFormat="false" ht="15" hidden="false" customHeight="true" outlineLevel="0" collapsed="false">
      <c r="J2762" s="14" t="b">
        <f aca="false">IF(중복검사!$A2760="",FALSE(),중복검사!$H2760="중복")</f>
        <v>0</v>
      </c>
      <c r="K2762" s="5" t="str">
        <f aca="false">IF($J2762=FALSE(),"",COUNTIF($J$6:$J2762,TRUE()))</f>
        <v/>
      </c>
      <c r="L2762" s="5" t="str">
        <f aca="false">IF($K2762="","","R"&amp;$K2762)</f>
        <v/>
      </c>
    </row>
    <row r="2763" customFormat="false" ht="15" hidden="false" customHeight="true" outlineLevel="0" collapsed="false">
      <c r="J2763" s="14" t="b">
        <f aca="false">IF(중복검사!$A2761="",FALSE(),중복검사!$H2761="중복")</f>
        <v>0</v>
      </c>
      <c r="K2763" s="5" t="str">
        <f aca="false">IF($J2763=FALSE(),"",COUNTIF($J$6:$J2763,TRUE()))</f>
        <v/>
      </c>
      <c r="L2763" s="5" t="str">
        <f aca="false">IF($K2763="","","R"&amp;$K2763)</f>
        <v/>
      </c>
    </row>
    <row r="2764" customFormat="false" ht="15" hidden="false" customHeight="true" outlineLevel="0" collapsed="false">
      <c r="J2764" s="14" t="b">
        <f aca="false">IF(중복검사!$A2762="",FALSE(),중복검사!$H2762="중복")</f>
        <v>0</v>
      </c>
      <c r="K2764" s="5" t="str">
        <f aca="false">IF($J2764=FALSE(),"",COUNTIF($J$6:$J2764,TRUE()))</f>
        <v/>
      </c>
      <c r="L2764" s="5" t="str">
        <f aca="false">IF($K2764="","","R"&amp;$K2764)</f>
        <v/>
      </c>
    </row>
    <row r="2765" customFormat="false" ht="15" hidden="false" customHeight="true" outlineLevel="0" collapsed="false">
      <c r="J2765" s="14" t="b">
        <f aca="false">IF(중복검사!$A2763="",FALSE(),중복검사!$H2763="중복")</f>
        <v>0</v>
      </c>
      <c r="K2765" s="5" t="str">
        <f aca="false">IF($J2765=FALSE(),"",COUNTIF($J$6:$J2765,TRUE()))</f>
        <v/>
      </c>
      <c r="L2765" s="5" t="str">
        <f aca="false">IF($K2765="","","R"&amp;$K2765)</f>
        <v/>
      </c>
    </row>
    <row r="2766" customFormat="false" ht="15" hidden="false" customHeight="true" outlineLevel="0" collapsed="false">
      <c r="J2766" s="14" t="b">
        <f aca="false">IF(중복검사!$A2764="",FALSE(),중복검사!$H2764="중복")</f>
        <v>0</v>
      </c>
      <c r="K2766" s="5" t="str">
        <f aca="false">IF($J2766=FALSE(),"",COUNTIF($J$6:$J2766,TRUE()))</f>
        <v/>
      </c>
      <c r="L2766" s="5" t="str">
        <f aca="false">IF($K2766="","","R"&amp;$K2766)</f>
        <v/>
      </c>
    </row>
    <row r="2767" customFormat="false" ht="15" hidden="false" customHeight="true" outlineLevel="0" collapsed="false">
      <c r="J2767" s="14" t="b">
        <f aca="false">IF(중복검사!$A2765="",FALSE(),중복검사!$H2765="중복")</f>
        <v>0</v>
      </c>
      <c r="K2767" s="5" t="str">
        <f aca="false">IF($J2767=FALSE(),"",COUNTIF($J$6:$J2767,TRUE()))</f>
        <v/>
      </c>
      <c r="L2767" s="5" t="str">
        <f aca="false">IF($K2767="","","R"&amp;$K2767)</f>
        <v/>
      </c>
    </row>
    <row r="2768" customFormat="false" ht="15" hidden="false" customHeight="true" outlineLevel="0" collapsed="false">
      <c r="J2768" s="14" t="b">
        <f aca="false">IF(중복검사!$A2766="",FALSE(),중복검사!$H2766="중복")</f>
        <v>0</v>
      </c>
      <c r="K2768" s="5" t="str">
        <f aca="false">IF($J2768=FALSE(),"",COUNTIF($J$6:$J2768,TRUE()))</f>
        <v/>
      </c>
      <c r="L2768" s="5" t="str">
        <f aca="false">IF($K2768="","","R"&amp;$K2768)</f>
        <v/>
      </c>
    </row>
    <row r="2769" customFormat="false" ht="15" hidden="false" customHeight="true" outlineLevel="0" collapsed="false">
      <c r="J2769" s="14" t="b">
        <f aca="false">IF(중복검사!$A2767="",FALSE(),중복검사!$H2767="중복")</f>
        <v>0</v>
      </c>
      <c r="K2769" s="5" t="str">
        <f aca="false">IF($J2769=FALSE(),"",COUNTIF($J$6:$J2769,TRUE()))</f>
        <v/>
      </c>
      <c r="L2769" s="5" t="str">
        <f aca="false">IF($K2769="","","R"&amp;$K2769)</f>
        <v/>
      </c>
    </row>
    <row r="2770" customFormat="false" ht="15" hidden="false" customHeight="true" outlineLevel="0" collapsed="false">
      <c r="J2770" s="14" t="b">
        <f aca="false">IF(중복검사!$A2768="",FALSE(),중복검사!$H2768="중복")</f>
        <v>0</v>
      </c>
      <c r="K2770" s="5" t="str">
        <f aca="false">IF($J2770=FALSE(),"",COUNTIF($J$6:$J2770,TRUE()))</f>
        <v/>
      </c>
      <c r="L2770" s="5" t="str">
        <f aca="false">IF($K2770="","","R"&amp;$K2770)</f>
        <v/>
      </c>
    </row>
    <row r="2771" customFormat="false" ht="15" hidden="false" customHeight="true" outlineLevel="0" collapsed="false">
      <c r="J2771" s="14" t="b">
        <f aca="false">IF(중복검사!$A2769="",FALSE(),중복검사!$H2769="중복")</f>
        <v>0</v>
      </c>
      <c r="K2771" s="5" t="str">
        <f aca="false">IF($J2771=FALSE(),"",COUNTIF($J$6:$J2771,TRUE()))</f>
        <v/>
      </c>
      <c r="L2771" s="5" t="str">
        <f aca="false">IF($K2771="","","R"&amp;$K2771)</f>
        <v/>
      </c>
    </row>
    <row r="2772" customFormat="false" ht="15" hidden="false" customHeight="true" outlineLevel="0" collapsed="false">
      <c r="J2772" s="14" t="b">
        <f aca="false">IF(중복검사!$A2770="",FALSE(),중복검사!$H2770="중복")</f>
        <v>0</v>
      </c>
      <c r="K2772" s="5" t="str">
        <f aca="false">IF($J2772=FALSE(),"",COUNTIF($J$6:$J2772,TRUE()))</f>
        <v/>
      </c>
      <c r="L2772" s="5" t="str">
        <f aca="false">IF($K2772="","","R"&amp;$K2772)</f>
        <v/>
      </c>
    </row>
    <row r="2773" customFormat="false" ht="15" hidden="false" customHeight="true" outlineLevel="0" collapsed="false">
      <c r="J2773" s="14" t="b">
        <f aca="false">IF(중복검사!$A2771="",FALSE(),중복검사!$H2771="중복")</f>
        <v>0</v>
      </c>
      <c r="K2773" s="5" t="str">
        <f aca="false">IF($J2773=FALSE(),"",COUNTIF($J$6:$J2773,TRUE()))</f>
        <v/>
      </c>
      <c r="L2773" s="5" t="str">
        <f aca="false">IF($K2773="","","R"&amp;$K2773)</f>
        <v/>
      </c>
    </row>
    <row r="2774" customFormat="false" ht="15" hidden="false" customHeight="true" outlineLevel="0" collapsed="false">
      <c r="J2774" s="14" t="b">
        <f aca="false">IF(중복검사!$A2772="",FALSE(),중복검사!$H2772="중복")</f>
        <v>0</v>
      </c>
      <c r="K2774" s="5" t="str">
        <f aca="false">IF($J2774=FALSE(),"",COUNTIF($J$6:$J2774,TRUE()))</f>
        <v/>
      </c>
      <c r="L2774" s="5" t="str">
        <f aca="false">IF($K2774="","","R"&amp;$K2774)</f>
        <v/>
      </c>
    </row>
    <row r="2775" customFormat="false" ht="15" hidden="false" customHeight="true" outlineLevel="0" collapsed="false">
      <c r="J2775" s="14" t="b">
        <f aca="false">IF(중복검사!$A2773="",FALSE(),중복검사!$H2773="중복")</f>
        <v>0</v>
      </c>
      <c r="K2775" s="5" t="str">
        <f aca="false">IF($J2775=FALSE(),"",COUNTIF($J$6:$J2775,TRUE()))</f>
        <v/>
      </c>
      <c r="L2775" s="5" t="str">
        <f aca="false">IF($K2775="","","R"&amp;$K2775)</f>
        <v/>
      </c>
    </row>
    <row r="2776" customFormat="false" ht="15" hidden="false" customHeight="true" outlineLevel="0" collapsed="false">
      <c r="J2776" s="14" t="b">
        <f aca="false">IF(중복검사!$A2774="",FALSE(),중복검사!$H2774="중복")</f>
        <v>0</v>
      </c>
      <c r="K2776" s="5" t="str">
        <f aca="false">IF($J2776=FALSE(),"",COUNTIF($J$6:$J2776,TRUE()))</f>
        <v/>
      </c>
      <c r="L2776" s="5" t="str">
        <f aca="false">IF($K2776="","","R"&amp;$K2776)</f>
        <v/>
      </c>
    </row>
    <row r="2777" customFormat="false" ht="15" hidden="false" customHeight="true" outlineLevel="0" collapsed="false">
      <c r="J2777" s="14" t="b">
        <f aca="false">IF(중복검사!$A2775="",FALSE(),중복검사!$H2775="중복")</f>
        <v>0</v>
      </c>
      <c r="K2777" s="5" t="str">
        <f aca="false">IF($J2777=FALSE(),"",COUNTIF($J$6:$J2777,TRUE()))</f>
        <v/>
      </c>
      <c r="L2777" s="5" t="str">
        <f aca="false">IF($K2777="","","R"&amp;$K2777)</f>
        <v/>
      </c>
    </row>
    <row r="2778" customFormat="false" ht="15" hidden="false" customHeight="true" outlineLevel="0" collapsed="false">
      <c r="J2778" s="14" t="b">
        <f aca="false">IF(중복검사!$A2776="",FALSE(),중복검사!$H2776="중복")</f>
        <v>0</v>
      </c>
      <c r="K2778" s="5" t="str">
        <f aca="false">IF($J2778=FALSE(),"",COUNTIF($J$6:$J2778,TRUE()))</f>
        <v/>
      </c>
      <c r="L2778" s="5" t="str">
        <f aca="false">IF($K2778="","","R"&amp;$K2778)</f>
        <v/>
      </c>
    </row>
    <row r="2779" customFormat="false" ht="15" hidden="false" customHeight="true" outlineLevel="0" collapsed="false">
      <c r="J2779" s="14" t="b">
        <f aca="false">IF(중복검사!$A2777="",FALSE(),중복검사!$H2777="중복")</f>
        <v>0</v>
      </c>
      <c r="K2779" s="5" t="str">
        <f aca="false">IF($J2779=FALSE(),"",COUNTIF($J$6:$J2779,TRUE()))</f>
        <v/>
      </c>
      <c r="L2779" s="5" t="str">
        <f aca="false">IF($K2779="","","R"&amp;$K2779)</f>
        <v/>
      </c>
    </row>
    <row r="2780" customFormat="false" ht="15" hidden="false" customHeight="true" outlineLevel="0" collapsed="false">
      <c r="J2780" s="14" t="b">
        <f aca="false">IF(중복검사!$A2778="",FALSE(),중복검사!$H2778="중복")</f>
        <v>0</v>
      </c>
      <c r="K2780" s="5" t="str">
        <f aca="false">IF($J2780=FALSE(),"",COUNTIF($J$6:$J2780,TRUE()))</f>
        <v/>
      </c>
      <c r="L2780" s="5" t="str">
        <f aca="false">IF($K2780="","","R"&amp;$K2780)</f>
        <v/>
      </c>
    </row>
    <row r="2781" customFormat="false" ht="15" hidden="false" customHeight="true" outlineLevel="0" collapsed="false">
      <c r="J2781" s="14" t="b">
        <f aca="false">IF(중복검사!$A2779="",FALSE(),중복검사!$H2779="중복")</f>
        <v>0</v>
      </c>
      <c r="K2781" s="5" t="str">
        <f aca="false">IF($J2781=FALSE(),"",COUNTIF($J$6:$J2781,TRUE()))</f>
        <v/>
      </c>
      <c r="L2781" s="5" t="str">
        <f aca="false">IF($K2781="","","R"&amp;$K2781)</f>
        <v/>
      </c>
    </row>
    <row r="2782" customFormat="false" ht="15" hidden="false" customHeight="true" outlineLevel="0" collapsed="false">
      <c r="J2782" s="14" t="b">
        <f aca="false">IF(중복검사!$A2780="",FALSE(),중복검사!$H2780="중복")</f>
        <v>0</v>
      </c>
      <c r="K2782" s="5" t="str">
        <f aca="false">IF($J2782=FALSE(),"",COUNTIF($J$6:$J2782,TRUE()))</f>
        <v/>
      </c>
      <c r="L2782" s="5" t="str">
        <f aca="false">IF($K2782="","","R"&amp;$K2782)</f>
        <v/>
      </c>
    </row>
    <row r="2783" customFormat="false" ht="15" hidden="false" customHeight="true" outlineLevel="0" collapsed="false">
      <c r="J2783" s="14" t="b">
        <f aca="false">IF(중복검사!$A2781="",FALSE(),중복검사!$H2781="중복")</f>
        <v>0</v>
      </c>
      <c r="K2783" s="5" t="str">
        <f aca="false">IF($J2783=FALSE(),"",COUNTIF($J$6:$J2783,TRUE()))</f>
        <v/>
      </c>
      <c r="L2783" s="5" t="str">
        <f aca="false">IF($K2783="","","R"&amp;$K2783)</f>
        <v/>
      </c>
    </row>
    <row r="2784" customFormat="false" ht="15" hidden="false" customHeight="true" outlineLevel="0" collapsed="false">
      <c r="J2784" s="14" t="b">
        <f aca="false">IF(중복검사!$A2782="",FALSE(),중복검사!$H2782="중복")</f>
        <v>0</v>
      </c>
      <c r="K2784" s="5" t="str">
        <f aca="false">IF($J2784=FALSE(),"",COUNTIF($J$6:$J2784,TRUE()))</f>
        <v/>
      </c>
      <c r="L2784" s="5" t="str">
        <f aca="false">IF($K2784="","","R"&amp;$K2784)</f>
        <v/>
      </c>
    </row>
    <row r="2785" customFormat="false" ht="15" hidden="false" customHeight="true" outlineLevel="0" collapsed="false">
      <c r="J2785" s="14" t="b">
        <f aca="false">IF(중복검사!$A2783="",FALSE(),중복검사!$H2783="중복")</f>
        <v>0</v>
      </c>
      <c r="K2785" s="5" t="str">
        <f aca="false">IF($J2785=FALSE(),"",COUNTIF($J$6:$J2785,TRUE()))</f>
        <v/>
      </c>
      <c r="L2785" s="5" t="str">
        <f aca="false">IF($K2785="","","R"&amp;$K2785)</f>
        <v/>
      </c>
    </row>
    <row r="2786" customFormat="false" ht="15" hidden="false" customHeight="true" outlineLevel="0" collapsed="false">
      <c r="J2786" s="14" t="b">
        <f aca="false">IF(중복검사!$A2784="",FALSE(),중복검사!$H2784="중복")</f>
        <v>0</v>
      </c>
      <c r="K2786" s="5" t="str">
        <f aca="false">IF($J2786=FALSE(),"",COUNTIF($J$6:$J2786,TRUE()))</f>
        <v/>
      </c>
      <c r="L2786" s="5" t="str">
        <f aca="false">IF($K2786="","","R"&amp;$K2786)</f>
        <v/>
      </c>
    </row>
    <row r="2787" customFormat="false" ht="15" hidden="false" customHeight="true" outlineLevel="0" collapsed="false">
      <c r="J2787" s="14" t="b">
        <f aca="false">IF(중복검사!$A2785="",FALSE(),중복검사!$H2785="중복")</f>
        <v>0</v>
      </c>
      <c r="K2787" s="5" t="str">
        <f aca="false">IF($J2787=FALSE(),"",COUNTIF($J$6:$J2787,TRUE()))</f>
        <v/>
      </c>
      <c r="L2787" s="5" t="str">
        <f aca="false">IF($K2787="","","R"&amp;$K2787)</f>
        <v/>
      </c>
    </row>
    <row r="2788" customFormat="false" ht="15" hidden="false" customHeight="true" outlineLevel="0" collapsed="false">
      <c r="J2788" s="14" t="b">
        <f aca="false">IF(중복검사!$A2786="",FALSE(),중복검사!$H2786="중복")</f>
        <v>0</v>
      </c>
      <c r="K2788" s="5" t="str">
        <f aca="false">IF($J2788=FALSE(),"",COUNTIF($J$6:$J2788,TRUE()))</f>
        <v/>
      </c>
      <c r="L2788" s="5" t="str">
        <f aca="false">IF($K2788="","","R"&amp;$K2788)</f>
        <v/>
      </c>
    </row>
    <row r="2789" customFormat="false" ht="15" hidden="false" customHeight="true" outlineLevel="0" collapsed="false">
      <c r="J2789" s="14" t="b">
        <f aca="false">IF(중복검사!$A2787="",FALSE(),중복검사!$H2787="중복")</f>
        <v>0</v>
      </c>
      <c r="K2789" s="5" t="str">
        <f aca="false">IF($J2789=FALSE(),"",COUNTIF($J$6:$J2789,TRUE()))</f>
        <v/>
      </c>
      <c r="L2789" s="5" t="str">
        <f aca="false">IF($K2789="","","R"&amp;$K2789)</f>
        <v/>
      </c>
    </row>
    <row r="2790" customFormat="false" ht="15" hidden="false" customHeight="true" outlineLevel="0" collapsed="false">
      <c r="J2790" s="14" t="b">
        <f aca="false">IF(중복검사!$A2788="",FALSE(),중복검사!$H2788="중복")</f>
        <v>0</v>
      </c>
      <c r="K2790" s="5" t="str">
        <f aca="false">IF($J2790=FALSE(),"",COUNTIF($J$6:$J2790,TRUE()))</f>
        <v/>
      </c>
      <c r="L2790" s="5" t="str">
        <f aca="false">IF($K2790="","","R"&amp;$K2790)</f>
        <v/>
      </c>
    </row>
    <row r="2791" customFormat="false" ht="15" hidden="false" customHeight="true" outlineLevel="0" collapsed="false">
      <c r="J2791" s="14" t="b">
        <f aca="false">IF(중복검사!$A2789="",FALSE(),중복검사!$H2789="중복")</f>
        <v>0</v>
      </c>
      <c r="K2791" s="5" t="str">
        <f aca="false">IF($J2791=FALSE(),"",COUNTIF($J$6:$J2791,TRUE()))</f>
        <v/>
      </c>
      <c r="L2791" s="5" t="str">
        <f aca="false">IF($K2791="","","R"&amp;$K2791)</f>
        <v/>
      </c>
    </row>
    <row r="2792" customFormat="false" ht="15" hidden="false" customHeight="true" outlineLevel="0" collapsed="false">
      <c r="J2792" s="14" t="b">
        <f aca="false">IF(중복검사!$A2790="",FALSE(),중복검사!$H2790="중복")</f>
        <v>0</v>
      </c>
      <c r="K2792" s="5" t="str">
        <f aca="false">IF($J2792=FALSE(),"",COUNTIF($J$6:$J2792,TRUE()))</f>
        <v/>
      </c>
      <c r="L2792" s="5" t="str">
        <f aca="false">IF($K2792="","","R"&amp;$K2792)</f>
        <v/>
      </c>
    </row>
    <row r="2793" customFormat="false" ht="15" hidden="false" customHeight="true" outlineLevel="0" collapsed="false">
      <c r="J2793" s="14" t="b">
        <f aca="false">IF(중복검사!$A2791="",FALSE(),중복검사!$H2791="중복")</f>
        <v>0</v>
      </c>
      <c r="K2793" s="5" t="str">
        <f aca="false">IF($J2793=FALSE(),"",COUNTIF($J$6:$J2793,TRUE()))</f>
        <v/>
      </c>
      <c r="L2793" s="5" t="str">
        <f aca="false">IF($K2793="","","R"&amp;$K2793)</f>
        <v/>
      </c>
    </row>
    <row r="2794" customFormat="false" ht="15" hidden="false" customHeight="true" outlineLevel="0" collapsed="false">
      <c r="J2794" s="14" t="b">
        <f aca="false">IF(중복검사!$A2792="",FALSE(),중복검사!$H2792="중복")</f>
        <v>0</v>
      </c>
      <c r="K2794" s="5" t="str">
        <f aca="false">IF($J2794=FALSE(),"",COUNTIF($J$6:$J2794,TRUE()))</f>
        <v/>
      </c>
      <c r="L2794" s="5" t="str">
        <f aca="false">IF($K2794="","","R"&amp;$K2794)</f>
        <v/>
      </c>
    </row>
    <row r="2795" customFormat="false" ht="15" hidden="false" customHeight="true" outlineLevel="0" collapsed="false">
      <c r="J2795" s="14" t="b">
        <f aca="false">IF(중복검사!$A2793="",FALSE(),중복검사!$H2793="중복")</f>
        <v>0</v>
      </c>
      <c r="K2795" s="5" t="str">
        <f aca="false">IF($J2795=FALSE(),"",COUNTIF($J$6:$J2795,TRUE()))</f>
        <v/>
      </c>
      <c r="L2795" s="5" t="str">
        <f aca="false">IF($K2795="","","R"&amp;$K2795)</f>
        <v/>
      </c>
    </row>
    <row r="2796" customFormat="false" ht="15" hidden="false" customHeight="true" outlineLevel="0" collapsed="false">
      <c r="J2796" s="14" t="b">
        <f aca="false">IF(중복검사!$A2794="",FALSE(),중복검사!$H2794="중복")</f>
        <v>0</v>
      </c>
      <c r="K2796" s="5" t="str">
        <f aca="false">IF($J2796=FALSE(),"",COUNTIF($J$6:$J2796,TRUE()))</f>
        <v/>
      </c>
      <c r="L2796" s="5" t="str">
        <f aca="false">IF($K2796="","","R"&amp;$K2796)</f>
        <v/>
      </c>
    </row>
    <row r="2797" customFormat="false" ht="15" hidden="false" customHeight="true" outlineLevel="0" collapsed="false">
      <c r="J2797" s="14" t="b">
        <f aca="false">IF(중복검사!$A2795="",FALSE(),중복검사!$H2795="중복")</f>
        <v>0</v>
      </c>
      <c r="K2797" s="5" t="str">
        <f aca="false">IF($J2797=FALSE(),"",COUNTIF($J$6:$J2797,TRUE()))</f>
        <v/>
      </c>
      <c r="L2797" s="5" t="str">
        <f aca="false">IF($K2797="","","R"&amp;$K2797)</f>
        <v/>
      </c>
    </row>
    <row r="2798" customFormat="false" ht="15" hidden="false" customHeight="true" outlineLevel="0" collapsed="false">
      <c r="J2798" s="14" t="b">
        <f aca="false">IF(중복검사!$A2796="",FALSE(),중복검사!$H2796="중복")</f>
        <v>0</v>
      </c>
      <c r="K2798" s="5" t="str">
        <f aca="false">IF($J2798=FALSE(),"",COUNTIF($J$6:$J2798,TRUE()))</f>
        <v/>
      </c>
      <c r="L2798" s="5" t="str">
        <f aca="false">IF($K2798="","","R"&amp;$K2798)</f>
        <v/>
      </c>
    </row>
    <row r="2799" customFormat="false" ht="15" hidden="false" customHeight="true" outlineLevel="0" collapsed="false">
      <c r="J2799" s="14" t="b">
        <f aca="false">IF(중복검사!$A2797="",FALSE(),중복검사!$H2797="중복")</f>
        <v>0</v>
      </c>
      <c r="K2799" s="5" t="str">
        <f aca="false">IF($J2799=FALSE(),"",COUNTIF($J$6:$J2799,TRUE()))</f>
        <v/>
      </c>
      <c r="L2799" s="5" t="str">
        <f aca="false">IF($K2799="","","R"&amp;$K2799)</f>
        <v/>
      </c>
    </row>
    <row r="2800" customFormat="false" ht="15" hidden="false" customHeight="true" outlineLevel="0" collapsed="false">
      <c r="J2800" s="14" t="b">
        <f aca="false">IF(중복검사!$A2798="",FALSE(),중복검사!$H2798="중복")</f>
        <v>0</v>
      </c>
      <c r="K2800" s="5" t="str">
        <f aca="false">IF($J2800=FALSE(),"",COUNTIF($J$6:$J2800,TRUE()))</f>
        <v/>
      </c>
      <c r="L2800" s="5" t="str">
        <f aca="false">IF($K2800="","","R"&amp;$K2800)</f>
        <v/>
      </c>
    </row>
    <row r="2801" customFormat="false" ht="15" hidden="false" customHeight="true" outlineLevel="0" collapsed="false">
      <c r="J2801" s="14" t="b">
        <f aca="false">IF(중복검사!$A2799="",FALSE(),중복검사!$H2799="중복")</f>
        <v>0</v>
      </c>
      <c r="K2801" s="5" t="str">
        <f aca="false">IF($J2801=FALSE(),"",COUNTIF($J$6:$J2801,TRUE()))</f>
        <v/>
      </c>
      <c r="L2801" s="5" t="str">
        <f aca="false">IF($K2801="","","R"&amp;$K2801)</f>
        <v/>
      </c>
    </row>
    <row r="2802" customFormat="false" ht="15" hidden="false" customHeight="true" outlineLevel="0" collapsed="false">
      <c r="J2802" s="14" t="b">
        <f aca="false">IF(중복검사!$A2800="",FALSE(),중복검사!$H2800="중복")</f>
        <v>0</v>
      </c>
      <c r="K2802" s="5" t="str">
        <f aca="false">IF($J2802=FALSE(),"",COUNTIF($J$6:$J2802,TRUE()))</f>
        <v/>
      </c>
      <c r="L2802" s="5" t="str">
        <f aca="false">IF($K2802="","","R"&amp;$K2802)</f>
        <v/>
      </c>
    </row>
    <row r="2803" customFormat="false" ht="15" hidden="false" customHeight="true" outlineLevel="0" collapsed="false">
      <c r="J2803" s="14" t="b">
        <f aca="false">IF(중복검사!$A2801="",FALSE(),중복검사!$H2801="중복")</f>
        <v>0</v>
      </c>
      <c r="K2803" s="5" t="str">
        <f aca="false">IF($J2803=FALSE(),"",COUNTIF($J$6:$J2803,TRUE()))</f>
        <v/>
      </c>
      <c r="L2803" s="5" t="str">
        <f aca="false">IF($K2803="","","R"&amp;$K2803)</f>
        <v/>
      </c>
    </row>
    <row r="2804" customFormat="false" ht="15" hidden="false" customHeight="true" outlineLevel="0" collapsed="false">
      <c r="J2804" s="14" t="b">
        <f aca="false">IF(중복검사!$A2802="",FALSE(),중복검사!$H2802="중복")</f>
        <v>0</v>
      </c>
      <c r="K2804" s="5" t="str">
        <f aca="false">IF($J2804=FALSE(),"",COUNTIF($J$6:$J2804,TRUE()))</f>
        <v/>
      </c>
      <c r="L2804" s="5" t="str">
        <f aca="false">IF($K2804="","","R"&amp;$K2804)</f>
        <v/>
      </c>
    </row>
    <row r="2805" customFormat="false" ht="15" hidden="false" customHeight="true" outlineLevel="0" collapsed="false">
      <c r="J2805" s="14" t="b">
        <f aca="false">IF(중복검사!$A2803="",FALSE(),중복검사!$H2803="중복")</f>
        <v>0</v>
      </c>
      <c r="K2805" s="5" t="str">
        <f aca="false">IF($J2805=FALSE(),"",COUNTIF($J$6:$J2805,TRUE()))</f>
        <v/>
      </c>
      <c r="L2805" s="5" t="str">
        <f aca="false">IF($K2805="","","R"&amp;$K2805)</f>
        <v/>
      </c>
    </row>
    <row r="2806" customFormat="false" ht="15" hidden="false" customHeight="true" outlineLevel="0" collapsed="false">
      <c r="J2806" s="14" t="b">
        <f aca="false">IF(중복검사!$A2804="",FALSE(),중복검사!$H2804="중복")</f>
        <v>0</v>
      </c>
      <c r="K2806" s="5" t="str">
        <f aca="false">IF($J2806=FALSE(),"",COUNTIF($J$6:$J2806,TRUE()))</f>
        <v/>
      </c>
      <c r="L2806" s="5" t="str">
        <f aca="false">IF($K2806="","","R"&amp;$K2806)</f>
        <v/>
      </c>
    </row>
    <row r="2807" customFormat="false" ht="15" hidden="false" customHeight="true" outlineLevel="0" collapsed="false">
      <c r="J2807" s="14" t="b">
        <f aca="false">IF(중복검사!$A2805="",FALSE(),중복검사!$H2805="중복")</f>
        <v>0</v>
      </c>
      <c r="K2807" s="5" t="str">
        <f aca="false">IF($J2807=FALSE(),"",COUNTIF($J$6:$J2807,TRUE()))</f>
        <v/>
      </c>
      <c r="L2807" s="5" t="str">
        <f aca="false">IF($K2807="","","R"&amp;$K2807)</f>
        <v/>
      </c>
    </row>
    <row r="2808" customFormat="false" ht="15" hidden="false" customHeight="true" outlineLevel="0" collapsed="false">
      <c r="J2808" s="14" t="b">
        <f aca="false">IF(중복검사!$A2806="",FALSE(),중복검사!$H2806="중복")</f>
        <v>0</v>
      </c>
      <c r="K2808" s="5" t="str">
        <f aca="false">IF($J2808=FALSE(),"",COUNTIF($J$6:$J2808,TRUE()))</f>
        <v/>
      </c>
      <c r="L2808" s="5" t="str">
        <f aca="false">IF($K2808="","","R"&amp;$K2808)</f>
        <v/>
      </c>
    </row>
    <row r="2809" customFormat="false" ht="15" hidden="false" customHeight="true" outlineLevel="0" collapsed="false">
      <c r="J2809" s="14" t="b">
        <f aca="false">IF(중복검사!$A2807="",FALSE(),중복검사!$H2807="중복")</f>
        <v>0</v>
      </c>
      <c r="K2809" s="5" t="str">
        <f aca="false">IF($J2809=FALSE(),"",COUNTIF($J$6:$J2809,TRUE()))</f>
        <v/>
      </c>
      <c r="L2809" s="5" t="str">
        <f aca="false">IF($K2809="","","R"&amp;$K2809)</f>
        <v/>
      </c>
    </row>
    <row r="2810" customFormat="false" ht="15" hidden="false" customHeight="true" outlineLevel="0" collapsed="false">
      <c r="J2810" s="14" t="b">
        <f aca="false">IF(중복검사!$A2808="",FALSE(),중복검사!$H2808="중복")</f>
        <v>0</v>
      </c>
      <c r="K2810" s="5" t="str">
        <f aca="false">IF($J2810=FALSE(),"",COUNTIF($J$6:$J2810,TRUE()))</f>
        <v/>
      </c>
      <c r="L2810" s="5" t="str">
        <f aca="false">IF($K2810="","","R"&amp;$K2810)</f>
        <v/>
      </c>
    </row>
    <row r="2811" customFormat="false" ht="15" hidden="false" customHeight="true" outlineLevel="0" collapsed="false">
      <c r="J2811" s="14" t="b">
        <f aca="false">IF(중복검사!$A2809="",FALSE(),중복검사!$H2809="중복")</f>
        <v>0</v>
      </c>
      <c r="K2811" s="5" t="str">
        <f aca="false">IF($J2811=FALSE(),"",COUNTIF($J$6:$J2811,TRUE()))</f>
        <v/>
      </c>
      <c r="L2811" s="5" t="str">
        <f aca="false">IF($K2811="","","R"&amp;$K2811)</f>
        <v/>
      </c>
    </row>
    <row r="2812" customFormat="false" ht="15" hidden="false" customHeight="true" outlineLevel="0" collapsed="false">
      <c r="J2812" s="14" t="b">
        <f aca="false">IF(중복검사!$A2810="",FALSE(),중복검사!$H2810="중복")</f>
        <v>0</v>
      </c>
      <c r="K2812" s="5" t="str">
        <f aca="false">IF($J2812=FALSE(),"",COUNTIF($J$6:$J2812,TRUE()))</f>
        <v/>
      </c>
      <c r="L2812" s="5" t="str">
        <f aca="false">IF($K2812="","","R"&amp;$K2812)</f>
        <v/>
      </c>
    </row>
    <row r="2813" customFormat="false" ht="15" hidden="false" customHeight="true" outlineLevel="0" collapsed="false">
      <c r="J2813" s="14" t="b">
        <f aca="false">IF(중복검사!$A2811="",FALSE(),중복검사!$H2811="중복")</f>
        <v>0</v>
      </c>
      <c r="K2813" s="5" t="str">
        <f aca="false">IF($J2813=FALSE(),"",COUNTIF($J$6:$J2813,TRUE()))</f>
        <v/>
      </c>
      <c r="L2813" s="5" t="str">
        <f aca="false">IF($K2813="","","R"&amp;$K2813)</f>
        <v/>
      </c>
    </row>
    <row r="2814" customFormat="false" ht="15" hidden="false" customHeight="true" outlineLevel="0" collapsed="false">
      <c r="J2814" s="14" t="b">
        <f aca="false">IF(중복검사!$A2812="",FALSE(),중복검사!$H2812="중복")</f>
        <v>0</v>
      </c>
      <c r="K2814" s="5" t="str">
        <f aca="false">IF($J2814=FALSE(),"",COUNTIF($J$6:$J2814,TRUE()))</f>
        <v/>
      </c>
      <c r="L2814" s="5" t="str">
        <f aca="false">IF($K2814="","","R"&amp;$K2814)</f>
        <v/>
      </c>
    </row>
    <row r="2815" customFormat="false" ht="15" hidden="false" customHeight="true" outlineLevel="0" collapsed="false">
      <c r="J2815" s="14" t="b">
        <f aca="false">IF(중복검사!$A2813="",FALSE(),중복검사!$H2813="중복")</f>
        <v>0</v>
      </c>
      <c r="K2815" s="5" t="str">
        <f aca="false">IF($J2815=FALSE(),"",COUNTIF($J$6:$J2815,TRUE()))</f>
        <v/>
      </c>
      <c r="L2815" s="5" t="str">
        <f aca="false">IF($K2815="","","R"&amp;$K2815)</f>
        <v/>
      </c>
    </row>
    <row r="2816" customFormat="false" ht="15" hidden="false" customHeight="true" outlineLevel="0" collapsed="false">
      <c r="J2816" s="14" t="b">
        <f aca="false">IF(중복검사!$A2814="",FALSE(),중복검사!$H2814="중복")</f>
        <v>0</v>
      </c>
      <c r="K2816" s="5" t="str">
        <f aca="false">IF($J2816=FALSE(),"",COUNTIF($J$6:$J2816,TRUE()))</f>
        <v/>
      </c>
      <c r="L2816" s="5" t="str">
        <f aca="false">IF($K2816="","","R"&amp;$K2816)</f>
        <v/>
      </c>
    </row>
    <row r="2817" customFormat="false" ht="15" hidden="false" customHeight="true" outlineLevel="0" collapsed="false">
      <c r="J2817" s="14" t="b">
        <f aca="false">IF(중복검사!$A2815="",FALSE(),중복검사!$H2815="중복")</f>
        <v>0</v>
      </c>
      <c r="K2817" s="5" t="str">
        <f aca="false">IF($J2817=FALSE(),"",COUNTIF($J$6:$J2817,TRUE()))</f>
        <v/>
      </c>
      <c r="L2817" s="5" t="str">
        <f aca="false">IF($K2817="","","R"&amp;$K2817)</f>
        <v/>
      </c>
    </row>
    <row r="2818" customFormat="false" ht="15" hidden="false" customHeight="true" outlineLevel="0" collapsed="false">
      <c r="J2818" s="14" t="b">
        <f aca="false">IF(중복검사!$A2816="",FALSE(),중복검사!$H2816="중복")</f>
        <v>0</v>
      </c>
      <c r="K2818" s="5" t="str">
        <f aca="false">IF($J2818=FALSE(),"",COUNTIF($J$6:$J2818,TRUE()))</f>
        <v/>
      </c>
      <c r="L2818" s="5" t="str">
        <f aca="false">IF($K2818="","","R"&amp;$K2818)</f>
        <v/>
      </c>
    </row>
    <row r="2819" customFormat="false" ht="15" hidden="false" customHeight="true" outlineLevel="0" collapsed="false">
      <c r="J2819" s="14" t="b">
        <f aca="false">IF(중복검사!$A2817="",FALSE(),중복검사!$H2817="중복")</f>
        <v>0</v>
      </c>
      <c r="K2819" s="5" t="str">
        <f aca="false">IF($J2819=FALSE(),"",COUNTIF($J$6:$J2819,TRUE()))</f>
        <v/>
      </c>
      <c r="L2819" s="5" t="str">
        <f aca="false">IF($K2819="","","R"&amp;$K2819)</f>
        <v/>
      </c>
    </row>
    <row r="2820" customFormat="false" ht="15" hidden="false" customHeight="true" outlineLevel="0" collapsed="false">
      <c r="J2820" s="14" t="b">
        <f aca="false">IF(중복검사!$A2818="",FALSE(),중복검사!$H2818="중복")</f>
        <v>0</v>
      </c>
      <c r="K2820" s="5" t="str">
        <f aca="false">IF($J2820=FALSE(),"",COUNTIF($J$6:$J2820,TRUE()))</f>
        <v/>
      </c>
      <c r="L2820" s="5" t="str">
        <f aca="false">IF($K2820="","","R"&amp;$K2820)</f>
        <v/>
      </c>
    </row>
    <row r="2821" customFormat="false" ht="15" hidden="false" customHeight="true" outlineLevel="0" collapsed="false">
      <c r="J2821" s="14" t="b">
        <f aca="false">IF(중복검사!$A2819="",FALSE(),중복검사!$H2819="중복")</f>
        <v>0</v>
      </c>
      <c r="K2821" s="5" t="str">
        <f aca="false">IF($J2821=FALSE(),"",COUNTIF($J$6:$J2821,TRUE()))</f>
        <v/>
      </c>
      <c r="L2821" s="5" t="str">
        <f aca="false">IF($K2821="","","R"&amp;$K2821)</f>
        <v/>
      </c>
    </row>
    <row r="2822" customFormat="false" ht="15" hidden="false" customHeight="true" outlineLevel="0" collapsed="false">
      <c r="J2822" s="14" t="b">
        <f aca="false">IF(중복검사!$A2820="",FALSE(),중복검사!$H2820="중복")</f>
        <v>0</v>
      </c>
      <c r="K2822" s="5" t="str">
        <f aca="false">IF($J2822=FALSE(),"",COUNTIF($J$6:$J2822,TRUE()))</f>
        <v/>
      </c>
      <c r="L2822" s="5" t="str">
        <f aca="false">IF($K2822="","","R"&amp;$K2822)</f>
        <v/>
      </c>
    </row>
    <row r="2823" customFormat="false" ht="15" hidden="false" customHeight="true" outlineLevel="0" collapsed="false">
      <c r="J2823" s="14" t="b">
        <f aca="false">IF(중복검사!$A2821="",FALSE(),중복검사!$H2821="중복")</f>
        <v>0</v>
      </c>
      <c r="K2823" s="5" t="str">
        <f aca="false">IF($J2823=FALSE(),"",COUNTIF($J$6:$J2823,TRUE()))</f>
        <v/>
      </c>
      <c r="L2823" s="5" t="str">
        <f aca="false">IF($K2823="","","R"&amp;$K2823)</f>
        <v/>
      </c>
    </row>
    <row r="2824" customFormat="false" ht="15" hidden="false" customHeight="true" outlineLevel="0" collapsed="false">
      <c r="J2824" s="14" t="b">
        <f aca="false">IF(중복검사!$A2822="",FALSE(),중복검사!$H2822="중복")</f>
        <v>0</v>
      </c>
      <c r="K2824" s="5" t="str">
        <f aca="false">IF($J2824=FALSE(),"",COUNTIF($J$6:$J2824,TRUE()))</f>
        <v/>
      </c>
      <c r="L2824" s="5" t="str">
        <f aca="false">IF($K2824="","","R"&amp;$K2824)</f>
        <v/>
      </c>
    </row>
    <row r="2825" customFormat="false" ht="15" hidden="false" customHeight="true" outlineLevel="0" collapsed="false">
      <c r="J2825" s="14" t="b">
        <f aca="false">IF(중복검사!$A2823="",FALSE(),중복검사!$H2823="중복")</f>
        <v>0</v>
      </c>
      <c r="K2825" s="5" t="str">
        <f aca="false">IF($J2825=FALSE(),"",COUNTIF($J$6:$J2825,TRUE()))</f>
        <v/>
      </c>
      <c r="L2825" s="5" t="str">
        <f aca="false">IF($K2825="","","R"&amp;$K2825)</f>
        <v/>
      </c>
    </row>
    <row r="2826" customFormat="false" ht="15" hidden="false" customHeight="true" outlineLevel="0" collapsed="false">
      <c r="J2826" s="14" t="b">
        <f aca="false">IF(중복검사!$A2824="",FALSE(),중복검사!$H2824="중복")</f>
        <v>0</v>
      </c>
      <c r="K2826" s="5" t="str">
        <f aca="false">IF($J2826=FALSE(),"",COUNTIF($J$6:$J2826,TRUE()))</f>
        <v/>
      </c>
      <c r="L2826" s="5" t="str">
        <f aca="false">IF($K2826="","","R"&amp;$K2826)</f>
        <v/>
      </c>
    </row>
    <row r="2827" customFormat="false" ht="15" hidden="false" customHeight="true" outlineLevel="0" collapsed="false">
      <c r="J2827" s="14" t="b">
        <f aca="false">IF(중복검사!$A2825="",FALSE(),중복검사!$H2825="중복")</f>
        <v>0</v>
      </c>
      <c r="K2827" s="5" t="str">
        <f aca="false">IF($J2827=FALSE(),"",COUNTIF($J$6:$J2827,TRUE()))</f>
        <v/>
      </c>
      <c r="L2827" s="5" t="str">
        <f aca="false">IF($K2827="","","R"&amp;$K2827)</f>
        <v/>
      </c>
    </row>
    <row r="2828" customFormat="false" ht="15" hidden="false" customHeight="true" outlineLevel="0" collapsed="false">
      <c r="J2828" s="14" t="b">
        <f aca="false">IF(중복검사!$A2826="",FALSE(),중복검사!$H2826="중복")</f>
        <v>0</v>
      </c>
      <c r="K2828" s="5" t="str">
        <f aca="false">IF($J2828=FALSE(),"",COUNTIF($J$6:$J2828,TRUE()))</f>
        <v/>
      </c>
      <c r="L2828" s="5" t="str">
        <f aca="false">IF($K2828="","","R"&amp;$K2828)</f>
        <v/>
      </c>
    </row>
    <row r="2829" customFormat="false" ht="15" hidden="false" customHeight="true" outlineLevel="0" collapsed="false">
      <c r="J2829" s="14" t="b">
        <f aca="false">IF(중복검사!$A2827="",FALSE(),중복검사!$H2827="중복")</f>
        <v>0</v>
      </c>
      <c r="K2829" s="5" t="str">
        <f aca="false">IF($J2829=FALSE(),"",COUNTIF($J$6:$J2829,TRUE()))</f>
        <v/>
      </c>
      <c r="L2829" s="5" t="str">
        <f aca="false">IF($K2829="","","R"&amp;$K2829)</f>
        <v/>
      </c>
    </row>
    <row r="2830" customFormat="false" ht="15" hidden="false" customHeight="true" outlineLevel="0" collapsed="false">
      <c r="J2830" s="14" t="b">
        <f aca="false">IF(중복검사!$A2828="",FALSE(),중복검사!$H2828="중복")</f>
        <v>0</v>
      </c>
      <c r="K2830" s="5" t="str">
        <f aca="false">IF($J2830=FALSE(),"",COUNTIF($J$6:$J2830,TRUE()))</f>
        <v/>
      </c>
      <c r="L2830" s="5" t="str">
        <f aca="false">IF($K2830="","","R"&amp;$K2830)</f>
        <v/>
      </c>
    </row>
    <row r="2831" customFormat="false" ht="15" hidden="false" customHeight="true" outlineLevel="0" collapsed="false">
      <c r="J2831" s="14" t="b">
        <f aca="false">IF(중복검사!$A2829="",FALSE(),중복검사!$H2829="중복")</f>
        <v>0</v>
      </c>
      <c r="K2831" s="5" t="str">
        <f aca="false">IF($J2831=FALSE(),"",COUNTIF($J$6:$J2831,TRUE()))</f>
        <v/>
      </c>
      <c r="L2831" s="5" t="str">
        <f aca="false">IF($K2831="","","R"&amp;$K2831)</f>
        <v/>
      </c>
    </row>
    <row r="2832" customFormat="false" ht="15" hidden="false" customHeight="true" outlineLevel="0" collapsed="false">
      <c r="J2832" s="14" t="b">
        <f aca="false">IF(중복검사!$A2830="",FALSE(),중복검사!$H2830="중복")</f>
        <v>0</v>
      </c>
      <c r="K2832" s="5" t="str">
        <f aca="false">IF($J2832=FALSE(),"",COUNTIF($J$6:$J2832,TRUE()))</f>
        <v/>
      </c>
      <c r="L2832" s="5" t="str">
        <f aca="false">IF($K2832="","","R"&amp;$K2832)</f>
        <v/>
      </c>
    </row>
    <row r="2833" customFormat="false" ht="15" hidden="false" customHeight="true" outlineLevel="0" collapsed="false">
      <c r="J2833" s="14" t="b">
        <f aca="false">IF(중복검사!$A2831="",FALSE(),중복검사!$H2831="중복")</f>
        <v>0</v>
      </c>
      <c r="K2833" s="5" t="str">
        <f aca="false">IF($J2833=FALSE(),"",COUNTIF($J$6:$J2833,TRUE()))</f>
        <v/>
      </c>
      <c r="L2833" s="5" t="str">
        <f aca="false">IF($K2833="","","R"&amp;$K2833)</f>
        <v/>
      </c>
    </row>
    <row r="2834" customFormat="false" ht="15" hidden="false" customHeight="true" outlineLevel="0" collapsed="false">
      <c r="J2834" s="14" t="b">
        <f aca="false">IF(중복검사!$A2832="",FALSE(),중복검사!$H2832="중복")</f>
        <v>0</v>
      </c>
      <c r="K2834" s="5" t="str">
        <f aca="false">IF($J2834=FALSE(),"",COUNTIF($J$6:$J2834,TRUE()))</f>
        <v/>
      </c>
      <c r="L2834" s="5" t="str">
        <f aca="false">IF($K2834="","","R"&amp;$K2834)</f>
        <v/>
      </c>
    </row>
    <row r="2835" customFormat="false" ht="15" hidden="false" customHeight="true" outlineLevel="0" collapsed="false">
      <c r="J2835" s="14" t="b">
        <f aca="false">IF(중복검사!$A2833="",FALSE(),중복검사!$H2833="중복")</f>
        <v>0</v>
      </c>
      <c r="K2835" s="5" t="str">
        <f aca="false">IF($J2835=FALSE(),"",COUNTIF($J$6:$J2835,TRUE()))</f>
        <v/>
      </c>
      <c r="L2835" s="5" t="str">
        <f aca="false">IF($K2835="","","R"&amp;$K2835)</f>
        <v/>
      </c>
    </row>
    <row r="2836" customFormat="false" ht="15" hidden="false" customHeight="true" outlineLevel="0" collapsed="false">
      <c r="J2836" s="14" t="b">
        <f aca="false">IF(중복검사!$A2834="",FALSE(),중복검사!$H2834="중복")</f>
        <v>0</v>
      </c>
      <c r="K2836" s="5" t="str">
        <f aca="false">IF($J2836=FALSE(),"",COUNTIF($J$6:$J2836,TRUE()))</f>
        <v/>
      </c>
      <c r="L2836" s="5" t="str">
        <f aca="false">IF($K2836="","","R"&amp;$K2836)</f>
        <v/>
      </c>
    </row>
    <row r="2837" customFormat="false" ht="15" hidden="false" customHeight="true" outlineLevel="0" collapsed="false">
      <c r="J2837" s="14" t="b">
        <f aca="false">IF(중복검사!$A2835="",FALSE(),중복검사!$H2835="중복")</f>
        <v>0</v>
      </c>
      <c r="K2837" s="5" t="str">
        <f aca="false">IF($J2837=FALSE(),"",COUNTIF($J$6:$J2837,TRUE()))</f>
        <v/>
      </c>
      <c r="L2837" s="5" t="str">
        <f aca="false">IF($K2837="","","R"&amp;$K2837)</f>
        <v/>
      </c>
    </row>
    <row r="2838" customFormat="false" ht="15" hidden="false" customHeight="true" outlineLevel="0" collapsed="false">
      <c r="J2838" s="14" t="b">
        <f aca="false">IF(중복검사!$A2836="",FALSE(),중복검사!$H2836="중복")</f>
        <v>0</v>
      </c>
      <c r="K2838" s="5" t="str">
        <f aca="false">IF($J2838=FALSE(),"",COUNTIF($J$6:$J2838,TRUE()))</f>
        <v/>
      </c>
      <c r="L2838" s="5" t="str">
        <f aca="false">IF($K2838="","","R"&amp;$K2838)</f>
        <v/>
      </c>
    </row>
    <row r="2839" customFormat="false" ht="15" hidden="false" customHeight="true" outlineLevel="0" collapsed="false">
      <c r="J2839" s="14" t="b">
        <f aca="false">IF(중복검사!$A2837="",FALSE(),중복검사!$H2837="중복")</f>
        <v>0</v>
      </c>
      <c r="K2839" s="5" t="str">
        <f aca="false">IF($J2839=FALSE(),"",COUNTIF($J$6:$J2839,TRUE()))</f>
        <v/>
      </c>
      <c r="L2839" s="5" t="str">
        <f aca="false">IF($K2839="","","R"&amp;$K2839)</f>
        <v/>
      </c>
    </row>
    <row r="2840" customFormat="false" ht="15" hidden="false" customHeight="true" outlineLevel="0" collapsed="false">
      <c r="J2840" s="14" t="b">
        <f aca="false">IF(중복검사!$A2838="",FALSE(),중복검사!$H2838="중복")</f>
        <v>0</v>
      </c>
      <c r="K2840" s="5" t="str">
        <f aca="false">IF($J2840=FALSE(),"",COUNTIF($J$6:$J2840,TRUE()))</f>
        <v/>
      </c>
      <c r="L2840" s="5" t="str">
        <f aca="false">IF($K2840="","","R"&amp;$K2840)</f>
        <v/>
      </c>
    </row>
    <row r="2841" customFormat="false" ht="15" hidden="false" customHeight="true" outlineLevel="0" collapsed="false">
      <c r="J2841" s="14" t="b">
        <f aca="false">IF(중복검사!$A2839="",FALSE(),중복검사!$H2839="중복")</f>
        <v>0</v>
      </c>
      <c r="K2841" s="5" t="str">
        <f aca="false">IF($J2841=FALSE(),"",COUNTIF($J$6:$J2841,TRUE()))</f>
        <v/>
      </c>
      <c r="L2841" s="5" t="str">
        <f aca="false">IF($K2841="","","R"&amp;$K2841)</f>
        <v/>
      </c>
    </row>
    <row r="2842" customFormat="false" ht="15" hidden="false" customHeight="true" outlineLevel="0" collapsed="false">
      <c r="J2842" s="14" t="b">
        <f aca="false">IF(중복검사!$A2840="",FALSE(),중복검사!$H2840="중복")</f>
        <v>0</v>
      </c>
      <c r="K2842" s="5" t="str">
        <f aca="false">IF($J2842=FALSE(),"",COUNTIF($J$6:$J2842,TRUE()))</f>
        <v/>
      </c>
      <c r="L2842" s="5" t="str">
        <f aca="false">IF($K2842="","","R"&amp;$K2842)</f>
        <v/>
      </c>
    </row>
    <row r="2843" customFormat="false" ht="15" hidden="false" customHeight="true" outlineLevel="0" collapsed="false">
      <c r="J2843" s="14" t="b">
        <f aca="false">IF(중복검사!$A2841="",FALSE(),중복검사!$H2841="중복")</f>
        <v>0</v>
      </c>
      <c r="K2843" s="5" t="str">
        <f aca="false">IF($J2843=FALSE(),"",COUNTIF($J$6:$J2843,TRUE()))</f>
        <v/>
      </c>
      <c r="L2843" s="5" t="str">
        <f aca="false">IF($K2843="","","R"&amp;$K2843)</f>
        <v/>
      </c>
    </row>
    <row r="2844" customFormat="false" ht="15" hidden="false" customHeight="true" outlineLevel="0" collapsed="false">
      <c r="J2844" s="14" t="b">
        <f aca="false">IF(중복검사!$A2842="",FALSE(),중복검사!$H2842="중복")</f>
        <v>0</v>
      </c>
      <c r="K2844" s="5" t="str">
        <f aca="false">IF($J2844=FALSE(),"",COUNTIF($J$6:$J2844,TRUE()))</f>
        <v/>
      </c>
      <c r="L2844" s="5" t="str">
        <f aca="false">IF($K2844="","","R"&amp;$K2844)</f>
        <v/>
      </c>
    </row>
    <row r="2845" customFormat="false" ht="15" hidden="false" customHeight="true" outlineLevel="0" collapsed="false">
      <c r="J2845" s="14" t="b">
        <f aca="false">IF(중복검사!$A2843="",FALSE(),중복검사!$H2843="중복")</f>
        <v>0</v>
      </c>
      <c r="K2845" s="5" t="str">
        <f aca="false">IF($J2845=FALSE(),"",COUNTIF($J$6:$J2845,TRUE()))</f>
        <v/>
      </c>
      <c r="L2845" s="5" t="str">
        <f aca="false">IF($K2845="","","R"&amp;$K2845)</f>
        <v/>
      </c>
    </row>
    <row r="2846" customFormat="false" ht="15" hidden="false" customHeight="true" outlineLevel="0" collapsed="false">
      <c r="J2846" s="14" t="b">
        <f aca="false">IF(중복검사!$A2844="",FALSE(),중복검사!$H2844="중복")</f>
        <v>0</v>
      </c>
      <c r="K2846" s="5" t="str">
        <f aca="false">IF($J2846=FALSE(),"",COUNTIF($J$6:$J2846,TRUE()))</f>
        <v/>
      </c>
      <c r="L2846" s="5" t="str">
        <f aca="false">IF($K2846="","","R"&amp;$K2846)</f>
        <v/>
      </c>
    </row>
    <row r="2847" customFormat="false" ht="15" hidden="false" customHeight="true" outlineLevel="0" collapsed="false">
      <c r="J2847" s="14" t="b">
        <f aca="false">IF(중복검사!$A2845="",FALSE(),중복검사!$H2845="중복")</f>
        <v>0</v>
      </c>
      <c r="K2847" s="5" t="str">
        <f aca="false">IF($J2847=FALSE(),"",COUNTIF($J$6:$J2847,TRUE()))</f>
        <v/>
      </c>
      <c r="L2847" s="5" t="str">
        <f aca="false">IF($K2847="","","R"&amp;$K2847)</f>
        <v/>
      </c>
    </row>
    <row r="2848" customFormat="false" ht="15" hidden="false" customHeight="true" outlineLevel="0" collapsed="false">
      <c r="J2848" s="14" t="b">
        <f aca="false">IF(중복검사!$A2846="",FALSE(),중복검사!$H2846="중복")</f>
        <v>0</v>
      </c>
      <c r="K2848" s="5" t="str">
        <f aca="false">IF($J2848=FALSE(),"",COUNTIF($J$6:$J2848,TRUE()))</f>
        <v/>
      </c>
      <c r="L2848" s="5" t="str">
        <f aca="false">IF($K2848="","","R"&amp;$K2848)</f>
        <v/>
      </c>
    </row>
    <row r="2849" customFormat="false" ht="15" hidden="false" customHeight="true" outlineLevel="0" collapsed="false">
      <c r="J2849" s="14" t="b">
        <f aca="false">IF(중복검사!$A2847="",FALSE(),중복검사!$H2847="중복")</f>
        <v>0</v>
      </c>
      <c r="K2849" s="5" t="str">
        <f aca="false">IF($J2849=FALSE(),"",COUNTIF($J$6:$J2849,TRUE()))</f>
        <v/>
      </c>
      <c r="L2849" s="5" t="str">
        <f aca="false">IF($K2849="","","R"&amp;$K2849)</f>
        <v/>
      </c>
    </row>
    <row r="2850" customFormat="false" ht="15" hidden="false" customHeight="true" outlineLevel="0" collapsed="false">
      <c r="J2850" s="14" t="b">
        <f aca="false">IF(중복검사!$A2848="",FALSE(),중복검사!$H2848="중복")</f>
        <v>0</v>
      </c>
      <c r="K2850" s="5" t="str">
        <f aca="false">IF($J2850=FALSE(),"",COUNTIF($J$6:$J2850,TRUE()))</f>
        <v/>
      </c>
      <c r="L2850" s="5" t="str">
        <f aca="false">IF($K2850="","","R"&amp;$K2850)</f>
        <v/>
      </c>
    </row>
    <row r="2851" customFormat="false" ht="15" hidden="false" customHeight="true" outlineLevel="0" collapsed="false">
      <c r="J2851" s="14" t="b">
        <f aca="false">IF(중복검사!$A2849="",FALSE(),중복검사!$H2849="중복")</f>
        <v>0</v>
      </c>
      <c r="K2851" s="5" t="str">
        <f aca="false">IF($J2851=FALSE(),"",COUNTIF($J$6:$J2851,TRUE()))</f>
        <v/>
      </c>
      <c r="L2851" s="5" t="str">
        <f aca="false">IF($K2851="","","R"&amp;$K2851)</f>
        <v/>
      </c>
    </row>
    <row r="2852" customFormat="false" ht="15" hidden="false" customHeight="true" outlineLevel="0" collapsed="false">
      <c r="J2852" s="14" t="b">
        <f aca="false">IF(중복검사!$A2850="",FALSE(),중복검사!$H2850="중복")</f>
        <v>0</v>
      </c>
      <c r="K2852" s="5" t="str">
        <f aca="false">IF($J2852=FALSE(),"",COUNTIF($J$6:$J2852,TRUE()))</f>
        <v/>
      </c>
      <c r="L2852" s="5" t="str">
        <f aca="false">IF($K2852="","","R"&amp;$K2852)</f>
        <v/>
      </c>
    </row>
    <row r="2853" customFormat="false" ht="15" hidden="false" customHeight="true" outlineLevel="0" collapsed="false">
      <c r="J2853" s="14" t="b">
        <f aca="false">IF(중복검사!$A2851="",FALSE(),중복검사!$H2851="중복")</f>
        <v>0</v>
      </c>
      <c r="K2853" s="5" t="str">
        <f aca="false">IF($J2853=FALSE(),"",COUNTIF($J$6:$J2853,TRUE()))</f>
        <v/>
      </c>
      <c r="L2853" s="5" t="str">
        <f aca="false">IF($K2853="","","R"&amp;$K2853)</f>
        <v/>
      </c>
    </row>
    <row r="2854" customFormat="false" ht="15" hidden="false" customHeight="true" outlineLevel="0" collapsed="false">
      <c r="J2854" s="14" t="b">
        <f aca="false">IF(중복검사!$A2852="",FALSE(),중복검사!$H2852="중복")</f>
        <v>0</v>
      </c>
      <c r="K2854" s="5" t="str">
        <f aca="false">IF($J2854=FALSE(),"",COUNTIF($J$6:$J2854,TRUE()))</f>
        <v/>
      </c>
      <c r="L2854" s="5" t="str">
        <f aca="false">IF($K2854="","","R"&amp;$K2854)</f>
        <v/>
      </c>
    </row>
    <row r="2855" customFormat="false" ht="15" hidden="false" customHeight="true" outlineLevel="0" collapsed="false">
      <c r="J2855" s="14" t="b">
        <f aca="false">IF(중복검사!$A2853="",FALSE(),중복검사!$H2853="중복")</f>
        <v>0</v>
      </c>
      <c r="K2855" s="5" t="str">
        <f aca="false">IF($J2855=FALSE(),"",COUNTIF($J$6:$J2855,TRUE()))</f>
        <v/>
      </c>
      <c r="L2855" s="5" t="str">
        <f aca="false">IF($K2855="","","R"&amp;$K2855)</f>
        <v/>
      </c>
    </row>
    <row r="2856" customFormat="false" ht="15" hidden="false" customHeight="true" outlineLevel="0" collapsed="false">
      <c r="J2856" s="14" t="b">
        <f aca="false">IF(중복검사!$A2854="",FALSE(),중복검사!$H2854="중복")</f>
        <v>0</v>
      </c>
      <c r="K2856" s="5" t="str">
        <f aca="false">IF($J2856=FALSE(),"",COUNTIF($J$6:$J2856,TRUE()))</f>
        <v/>
      </c>
      <c r="L2856" s="5" t="str">
        <f aca="false">IF($K2856="","","R"&amp;$K2856)</f>
        <v/>
      </c>
    </row>
    <row r="2857" customFormat="false" ht="15" hidden="false" customHeight="true" outlineLevel="0" collapsed="false">
      <c r="J2857" s="14" t="b">
        <f aca="false">IF(중복검사!$A2855="",FALSE(),중복검사!$H2855="중복")</f>
        <v>0</v>
      </c>
      <c r="K2857" s="5" t="str">
        <f aca="false">IF($J2857=FALSE(),"",COUNTIF($J$6:$J2857,TRUE()))</f>
        <v/>
      </c>
      <c r="L2857" s="5" t="str">
        <f aca="false">IF($K2857="","","R"&amp;$K2857)</f>
        <v/>
      </c>
    </row>
    <row r="2858" customFormat="false" ht="15" hidden="false" customHeight="true" outlineLevel="0" collapsed="false">
      <c r="J2858" s="14" t="b">
        <f aca="false">IF(중복검사!$A2856="",FALSE(),중복검사!$H2856="중복")</f>
        <v>0</v>
      </c>
      <c r="K2858" s="5" t="str">
        <f aca="false">IF($J2858=FALSE(),"",COUNTIF($J$6:$J2858,TRUE()))</f>
        <v/>
      </c>
      <c r="L2858" s="5" t="str">
        <f aca="false">IF($K2858="","","R"&amp;$K2858)</f>
        <v/>
      </c>
    </row>
    <row r="2859" customFormat="false" ht="15" hidden="false" customHeight="true" outlineLevel="0" collapsed="false">
      <c r="J2859" s="14" t="b">
        <f aca="false">IF(중복검사!$A2857="",FALSE(),중복검사!$H2857="중복")</f>
        <v>0</v>
      </c>
      <c r="K2859" s="5" t="str">
        <f aca="false">IF($J2859=FALSE(),"",COUNTIF($J$6:$J2859,TRUE()))</f>
        <v/>
      </c>
      <c r="L2859" s="5" t="str">
        <f aca="false">IF($K2859="","","R"&amp;$K2859)</f>
        <v/>
      </c>
    </row>
    <row r="2860" customFormat="false" ht="15" hidden="false" customHeight="true" outlineLevel="0" collapsed="false">
      <c r="J2860" s="14" t="b">
        <f aca="false">IF(중복검사!$A2858="",FALSE(),중복검사!$H2858="중복")</f>
        <v>0</v>
      </c>
      <c r="K2860" s="5" t="str">
        <f aca="false">IF($J2860=FALSE(),"",COUNTIF($J$6:$J2860,TRUE()))</f>
        <v/>
      </c>
      <c r="L2860" s="5" t="str">
        <f aca="false">IF($K2860="","","R"&amp;$K2860)</f>
        <v/>
      </c>
    </row>
    <row r="2861" customFormat="false" ht="15" hidden="false" customHeight="true" outlineLevel="0" collapsed="false">
      <c r="J2861" s="14" t="b">
        <f aca="false">IF(중복검사!$A2859="",FALSE(),중복검사!$H2859="중복")</f>
        <v>0</v>
      </c>
      <c r="K2861" s="5" t="str">
        <f aca="false">IF($J2861=FALSE(),"",COUNTIF($J$6:$J2861,TRUE()))</f>
        <v/>
      </c>
      <c r="L2861" s="5" t="str">
        <f aca="false">IF($K2861="","","R"&amp;$K2861)</f>
        <v/>
      </c>
    </row>
    <row r="2862" customFormat="false" ht="15" hidden="false" customHeight="true" outlineLevel="0" collapsed="false">
      <c r="J2862" s="14" t="b">
        <f aca="false">IF(중복검사!$A2860="",FALSE(),중복검사!$H2860="중복")</f>
        <v>0</v>
      </c>
      <c r="K2862" s="5" t="str">
        <f aca="false">IF($J2862=FALSE(),"",COUNTIF($J$6:$J2862,TRUE()))</f>
        <v/>
      </c>
      <c r="L2862" s="5" t="str">
        <f aca="false">IF($K2862="","","R"&amp;$K2862)</f>
        <v/>
      </c>
    </row>
    <row r="2863" customFormat="false" ht="15" hidden="false" customHeight="true" outlineLevel="0" collapsed="false">
      <c r="J2863" s="14" t="b">
        <f aca="false">IF(중복검사!$A2861="",FALSE(),중복검사!$H2861="중복")</f>
        <v>0</v>
      </c>
      <c r="K2863" s="5" t="str">
        <f aca="false">IF($J2863=FALSE(),"",COUNTIF($J$6:$J2863,TRUE()))</f>
        <v/>
      </c>
      <c r="L2863" s="5" t="str">
        <f aca="false">IF($K2863="","","R"&amp;$K2863)</f>
        <v/>
      </c>
    </row>
    <row r="2864" customFormat="false" ht="15" hidden="false" customHeight="true" outlineLevel="0" collapsed="false">
      <c r="J2864" s="14" t="b">
        <f aca="false">IF(중복검사!$A2862="",FALSE(),중복검사!$H2862="중복")</f>
        <v>0</v>
      </c>
      <c r="K2864" s="5" t="str">
        <f aca="false">IF($J2864=FALSE(),"",COUNTIF($J$6:$J2864,TRUE()))</f>
        <v/>
      </c>
      <c r="L2864" s="5" t="str">
        <f aca="false">IF($K2864="","","R"&amp;$K2864)</f>
        <v/>
      </c>
    </row>
    <row r="2865" customFormat="false" ht="15" hidden="false" customHeight="true" outlineLevel="0" collapsed="false">
      <c r="J2865" s="14" t="b">
        <f aca="false">IF(중복검사!$A2863="",FALSE(),중복검사!$H2863="중복")</f>
        <v>0</v>
      </c>
      <c r="K2865" s="5" t="str">
        <f aca="false">IF($J2865=FALSE(),"",COUNTIF($J$6:$J2865,TRUE()))</f>
        <v/>
      </c>
      <c r="L2865" s="5" t="str">
        <f aca="false">IF($K2865="","","R"&amp;$K2865)</f>
        <v/>
      </c>
    </row>
    <row r="2866" customFormat="false" ht="15" hidden="false" customHeight="true" outlineLevel="0" collapsed="false">
      <c r="J2866" s="14" t="b">
        <f aca="false">IF(중복검사!$A2864="",FALSE(),중복검사!$H2864="중복")</f>
        <v>0</v>
      </c>
      <c r="K2866" s="5" t="str">
        <f aca="false">IF($J2866=FALSE(),"",COUNTIF($J$6:$J2866,TRUE()))</f>
        <v/>
      </c>
      <c r="L2866" s="5" t="str">
        <f aca="false">IF($K2866="","","R"&amp;$K2866)</f>
        <v/>
      </c>
    </row>
    <row r="2867" customFormat="false" ht="15" hidden="false" customHeight="true" outlineLevel="0" collapsed="false">
      <c r="J2867" s="14" t="b">
        <f aca="false">IF(중복검사!$A2865="",FALSE(),중복검사!$H2865="중복")</f>
        <v>0</v>
      </c>
      <c r="K2867" s="5" t="str">
        <f aca="false">IF($J2867=FALSE(),"",COUNTIF($J$6:$J2867,TRUE()))</f>
        <v/>
      </c>
      <c r="L2867" s="5" t="str">
        <f aca="false">IF($K2867="","","R"&amp;$K2867)</f>
        <v/>
      </c>
    </row>
    <row r="2868" customFormat="false" ht="15" hidden="false" customHeight="true" outlineLevel="0" collapsed="false">
      <c r="J2868" s="14" t="b">
        <f aca="false">IF(중복검사!$A2866="",FALSE(),중복검사!$H2866="중복")</f>
        <v>0</v>
      </c>
      <c r="K2868" s="5" t="str">
        <f aca="false">IF($J2868=FALSE(),"",COUNTIF($J$6:$J2868,TRUE()))</f>
        <v/>
      </c>
      <c r="L2868" s="5" t="str">
        <f aca="false">IF($K2868="","","R"&amp;$K2868)</f>
        <v/>
      </c>
    </row>
    <row r="2869" customFormat="false" ht="15" hidden="false" customHeight="true" outlineLevel="0" collapsed="false">
      <c r="J2869" s="14" t="b">
        <f aca="false">IF(중복검사!$A2867="",FALSE(),중복검사!$H2867="중복")</f>
        <v>0</v>
      </c>
      <c r="K2869" s="5" t="str">
        <f aca="false">IF($J2869=FALSE(),"",COUNTIF($J$6:$J2869,TRUE()))</f>
        <v/>
      </c>
      <c r="L2869" s="5" t="str">
        <f aca="false">IF($K2869="","","R"&amp;$K2869)</f>
        <v/>
      </c>
    </row>
    <row r="2870" customFormat="false" ht="15" hidden="false" customHeight="true" outlineLevel="0" collapsed="false">
      <c r="J2870" s="14" t="b">
        <f aca="false">IF(중복검사!$A2868="",FALSE(),중복검사!$H2868="중복")</f>
        <v>0</v>
      </c>
      <c r="K2870" s="5" t="str">
        <f aca="false">IF($J2870=FALSE(),"",COUNTIF($J$6:$J2870,TRUE()))</f>
        <v/>
      </c>
      <c r="L2870" s="5" t="str">
        <f aca="false">IF($K2870="","","R"&amp;$K2870)</f>
        <v/>
      </c>
    </row>
    <row r="2871" customFormat="false" ht="15" hidden="false" customHeight="true" outlineLevel="0" collapsed="false">
      <c r="J2871" s="14" t="b">
        <f aca="false">IF(중복검사!$A2869="",FALSE(),중복검사!$H2869="중복")</f>
        <v>0</v>
      </c>
      <c r="K2871" s="5" t="str">
        <f aca="false">IF($J2871=FALSE(),"",COUNTIF($J$6:$J2871,TRUE()))</f>
        <v/>
      </c>
      <c r="L2871" s="5" t="str">
        <f aca="false">IF($K2871="","","R"&amp;$K2871)</f>
        <v/>
      </c>
    </row>
    <row r="2872" customFormat="false" ht="15" hidden="false" customHeight="true" outlineLevel="0" collapsed="false">
      <c r="J2872" s="14" t="b">
        <f aca="false">IF(중복검사!$A2870="",FALSE(),중복검사!$H2870="중복")</f>
        <v>0</v>
      </c>
      <c r="K2872" s="5" t="str">
        <f aca="false">IF($J2872=FALSE(),"",COUNTIF($J$6:$J2872,TRUE()))</f>
        <v/>
      </c>
      <c r="L2872" s="5" t="str">
        <f aca="false">IF($K2872="","","R"&amp;$K2872)</f>
        <v/>
      </c>
    </row>
    <row r="2873" customFormat="false" ht="15" hidden="false" customHeight="true" outlineLevel="0" collapsed="false">
      <c r="J2873" s="14" t="b">
        <f aca="false">IF(중복검사!$A2871="",FALSE(),중복검사!$H2871="중복")</f>
        <v>0</v>
      </c>
      <c r="K2873" s="5" t="str">
        <f aca="false">IF($J2873=FALSE(),"",COUNTIF($J$6:$J2873,TRUE()))</f>
        <v/>
      </c>
      <c r="L2873" s="5" t="str">
        <f aca="false">IF($K2873="","","R"&amp;$K2873)</f>
        <v/>
      </c>
    </row>
    <row r="2874" customFormat="false" ht="15" hidden="false" customHeight="true" outlineLevel="0" collapsed="false">
      <c r="J2874" s="14" t="b">
        <f aca="false">IF(중복검사!$A2872="",FALSE(),중복검사!$H2872="중복")</f>
        <v>0</v>
      </c>
      <c r="K2874" s="5" t="str">
        <f aca="false">IF($J2874=FALSE(),"",COUNTIF($J$6:$J2874,TRUE()))</f>
        <v/>
      </c>
      <c r="L2874" s="5" t="str">
        <f aca="false">IF($K2874="","","R"&amp;$K2874)</f>
        <v/>
      </c>
    </row>
    <row r="2875" customFormat="false" ht="15" hidden="false" customHeight="true" outlineLevel="0" collapsed="false">
      <c r="J2875" s="14" t="b">
        <f aca="false">IF(중복검사!$A2873="",FALSE(),중복검사!$H2873="중복")</f>
        <v>0</v>
      </c>
      <c r="K2875" s="5" t="str">
        <f aca="false">IF($J2875=FALSE(),"",COUNTIF($J$6:$J2875,TRUE()))</f>
        <v/>
      </c>
      <c r="L2875" s="5" t="str">
        <f aca="false">IF($K2875="","","R"&amp;$K2875)</f>
        <v/>
      </c>
    </row>
    <row r="2876" customFormat="false" ht="15" hidden="false" customHeight="true" outlineLevel="0" collapsed="false">
      <c r="J2876" s="14" t="b">
        <f aca="false">IF(중복검사!$A2874="",FALSE(),중복검사!$H2874="중복")</f>
        <v>0</v>
      </c>
      <c r="K2876" s="5" t="str">
        <f aca="false">IF($J2876=FALSE(),"",COUNTIF($J$6:$J2876,TRUE()))</f>
        <v/>
      </c>
      <c r="L2876" s="5" t="str">
        <f aca="false">IF($K2876="","","R"&amp;$K2876)</f>
        <v/>
      </c>
    </row>
    <row r="2877" customFormat="false" ht="15" hidden="false" customHeight="true" outlineLevel="0" collapsed="false">
      <c r="J2877" s="14" t="b">
        <f aca="false">IF(중복검사!$A2875="",FALSE(),중복검사!$H2875="중복")</f>
        <v>0</v>
      </c>
      <c r="K2877" s="5" t="str">
        <f aca="false">IF($J2877=FALSE(),"",COUNTIF($J$6:$J2877,TRUE()))</f>
        <v/>
      </c>
      <c r="L2877" s="5" t="str">
        <f aca="false">IF($K2877="","","R"&amp;$K2877)</f>
        <v/>
      </c>
    </row>
    <row r="2878" customFormat="false" ht="15" hidden="false" customHeight="true" outlineLevel="0" collapsed="false">
      <c r="J2878" s="14" t="b">
        <f aca="false">IF(중복검사!$A2876="",FALSE(),중복검사!$H2876="중복")</f>
        <v>0</v>
      </c>
      <c r="K2878" s="5" t="str">
        <f aca="false">IF($J2878=FALSE(),"",COUNTIF($J$6:$J2878,TRUE()))</f>
        <v/>
      </c>
      <c r="L2878" s="5" t="str">
        <f aca="false">IF($K2878="","","R"&amp;$K2878)</f>
        <v/>
      </c>
    </row>
    <row r="2879" customFormat="false" ht="15" hidden="false" customHeight="true" outlineLevel="0" collapsed="false">
      <c r="J2879" s="14" t="b">
        <f aca="false">IF(중복검사!$A2877="",FALSE(),중복검사!$H2877="중복")</f>
        <v>0</v>
      </c>
      <c r="K2879" s="5" t="str">
        <f aca="false">IF($J2879=FALSE(),"",COUNTIF($J$6:$J2879,TRUE()))</f>
        <v/>
      </c>
      <c r="L2879" s="5" t="str">
        <f aca="false">IF($K2879="","","R"&amp;$K2879)</f>
        <v/>
      </c>
    </row>
    <row r="2880" customFormat="false" ht="15" hidden="false" customHeight="true" outlineLevel="0" collapsed="false">
      <c r="J2880" s="14" t="b">
        <f aca="false">IF(중복검사!$A2878="",FALSE(),중복검사!$H2878="중복")</f>
        <v>0</v>
      </c>
      <c r="K2880" s="5" t="str">
        <f aca="false">IF($J2880=FALSE(),"",COUNTIF($J$6:$J2880,TRUE()))</f>
        <v/>
      </c>
      <c r="L2880" s="5" t="str">
        <f aca="false">IF($K2880="","","R"&amp;$K2880)</f>
        <v/>
      </c>
    </row>
    <row r="2881" customFormat="false" ht="15" hidden="false" customHeight="true" outlineLevel="0" collapsed="false">
      <c r="J2881" s="14" t="b">
        <f aca="false">IF(중복검사!$A2879="",FALSE(),중복검사!$H2879="중복")</f>
        <v>0</v>
      </c>
      <c r="K2881" s="5" t="str">
        <f aca="false">IF($J2881=FALSE(),"",COUNTIF($J$6:$J2881,TRUE()))</f>
        <v/>
      </c>
      <c r="L2881" s="5" t="str">
        <f aca="false">IF($K2881="","","R"&amp;$K2881)</f>
        <v/>
      </c>
    </row>
    <row r="2882" customFormat="false" ht="15" hidden="false" customHeight="true" outlineLevel="0" collapsed="false">
      <c r="J2882" s="14" t="b">
        <f aca="false">IF(중복검사!$A2880="",FALSE(),중복검사!$H2880="중복")</f>
        <v>0</v>
      </c>
      <c r="K2882" s="5" t="str">
        <f aca="false">IF($J2882=FALSE(),"",COUNTIF($J$6:$J2882,TRUE()))</f>
        <v/>
      </c>
      <c r="L2882" s="5" t="str">
        <f aca="false">IF($K2882="","","R"&amp;$K2882)</f>
        <v/>
      </c>
    </row>
    <row r="2883" customFormat="false" ht="15" hidden="false" customHeight="true" outlineLevel="0" collapsed="false">
      <c r="J2883" s="14" t="b">
        <f aca="false">IF(중복검사!$A2881="",FALSE(),중복검사!$H2881="중복")</f>
        <v>0</v>
      </c>
      <c r="K2883" s="5" t="str">
        <f aca="false">IF($J2883=FALSE(),"",COUNTIF($J$6:$J2883,TRUE()))</f>
        <v/>
      </c>
      <c r="L2883" s="5" t="str">
        <f aca="false">IF($K2883="","","R"&amp;$K2883)</f>
        <v/>
      </c>
    </row>
    <row r="2884" customFormat="false" ht="15" hidden="false" customHeight="true" outlineLevel="0" collapsed="false">
      <c r="J2884" s="14" t="b">
        <f aca="false">IF(중복검사!$A2882="",FALSE(),중복검사!$H2882="중복")</f>
        <v>0</v>
      </c>
      <c r="K2884" s="5" t="str">
        <f aca="false">IF($J2884=FALSE(),"",COUNTIF($J$6:$J2884,TRUE()))</f>
        <v/>
      </c>
      <c r="L2884" s="5" t="str">
        <f aca="false">IF($K2884="","","R"&amp;$K2884)</f>
        <v/>
      </c>
    </row>
    <row r="2885" customFormat="false" ht="15" hidden="false" customHeight="true" outlineLevel="0" collapsed="false">
      <c r="J2885" s="14" t="b">
        <f aca="false">IF(중복검사!$A2883="",FALSE(),중복검사!$H2883="중복")</f>
        <v>0</v>
      </c>
      <c r="K2885" s="5" t="str">
        <f aca="false">IF($J2885=FALSE(),"",COUNTIF($J$6:$J2885,TRUE()))</f>
        <v/>
      </c>
      <c r="L2885" s="5" t="str">
        <f aca="false">IF($K2885="","","R"&amp;$K2885)</f>
        <v/>
      </c>
    </row>
    <row r="2886" customFormat="false" ht="15" hidden="false" customHeight="true" outlineLevel="0" collapsed="false">
      <c r="J2886" s="14" t="b">
        <f aca="false">IF(중복검사!$A2884="",FALSE(),중복검사!$H2884="중복")</f>
        <v>0</v>
      </c>
      <c r="K2886" s="5" t="str">
        <f aca="false">IF($J2886=FALSE(),"",COUNTIF($J$6:$J2886,TRUE()))</f>
        <v/>
      </c>
      <c r="L2886" s="5" t="str">
        <f aca="false">IF($K2886="","","R"&amp;$K2886)</f>
        <v/>
      </c>
    </row>
    <row r="2887" customFormat="false" ht="15" hidden="false" customHeight="true" outlineLevel="0" collapsed="false">
      <c r="J2887" s="14" t="b">
        <f aca="false">IF(중복검사!$A2885="",FALSE(),중복검사!$H2885="중복")</f>
        <v>0</v>
      </c>
      <c r="K2887" s="5" t="str">
        <f aca="false">IF($J2887=FALSE(),"",COUNTIF($J$6:$J2887,TRUE()))</f>
        <v/>
      </c>
      <c r="L2887" s="5" t="str">
        <f aca="false">IF($K2887="","","R"&amp;$K2887)</f>
        <v/>
      </c>
    </row>
    <row r="2888" customFormat="false" ht="15" hidden="false" customHeight="true" outlineLevel="0" collapsed="false">
      <c r="J2888" s="14" t="b">
        <f aca="false">IF(중복검사!$A2886="",FALSE(),중복검사!$H2886="중복")</f>
        <v>0</v>
      </c>
      <c r="K2888" s="5" t="str">
        <f aca="false">IF($J2888=FALSE(),"",COUNTIF($J$6:$J2888,TRUE()))</f>
        <v/>
      </c>
      <c r="L2888" s="5" t="str">
        <f aca="false">IF($K2888="","","R"&amp;$K2888)</f>
        <v/>
      </c>
    </row>
    <row r="2889" customFormat="false" ht="15" hidden="false" customHeight="true" outlineLevel="0" collapsed="false">
      <c r="J2889" s="14" t="b">
        <f aca="false">IF(중복검사!$A2887="",FALSE(),중복검사!$H2887="중복")</f>
        <v>0</v>
      </c>
      <c r="K2889" s="5" t="str">
        <f aca="false">IF($J2889=FALSE(),"",COUNTIF($J$6:$J2889,TRUE()))</f>
        <v/>
      </c>
      <c r="L2889" s="5" t="str">
        <f aca="false">IF($K2889="","","R"&amp;$K2889)</f>
        <v/>
      </c>
    </row>
    <row r="2890" customFormat="false" ht="15" hidden="false" customHeight="true" outlineLevel="0" collapsed="false">
      <c r="J2890" s="14" t="b">
        <f aca="false">IF(중복검사!$A2888="",FALSE(),중복검사!$H2888="중복")</f>
        <v>0</v>
      </c>
      <c r="K2890" s="5" t="str">
        <f aca="false">IF($J2890=FALSE(),"",COUNTIF($J$6:$J2890,TRUE()))</f>
        <v/>
      </c>
      <c r="L2890" s="5" t="str">
        <f aca="false">IF($K2890="","","R"&amp;$K2890)</f>
        <v/>
      </c>
    </row>
    <row r="2891" customFormat="false" ht="15" hidden="false" customHeight="true" outlineLevel="0" collapsed="false">
      <c r="J2891" s="14" t="b">
        <f aca="false">IF(중복검사!$A2889="",FALSE(),중복검사!$H2889="중복")</f>
        <v>0</v>
      </c>
      <c r="K2891" s="5" t="str">
        <f aca="false">IF($J2891=FALSE(),"",COUNTIF($J$6:$J2891,TRUE()))</f>
        <v/>
      </c>
      <c r="L2891" s="5" t="str">
        <f aca="false">IF($K2891="","","R"&amp;$K2891)</f>
        <v/>
      </c>
    </row>
    <row r="2892" customFormat="false" ht="15" hidden="false" customHeight="true" outlineLevel="0" collapsed="false">
      <c r="J2892" s="14" t="b">
        <f aca="false">IF(중복검사!$A2890="",FALSE(),중복검사!$H2890="중복")</f>
        <v>0</v>
      </c>
      <c r="K2892" s="5" t="str">
        <f aca="false">IF($J2892=FALSE(),"",COUNTIF($J$6:$J2892,TRUE()))</f>
        <v/>
      </c>
      <c r="L2892" s="5" t="str">
        <f aca="false">IF($K2892="","","R"&amp;$K2892)</f>
        <v/>
      </c>
    </row>
    <row r="2893" customFormat="false" ht="15" hidden="false" customHeight="true" outlineLevel="0" collapsed="false">
      <c r="J2893" s="14" t="b">
        <f aca="false">IF(중복검사!$A2891="",FALSE(),중복검사!$H2891="중복")</f>
        <v>0</v>
      </c>
      <c r="K2893" s="5" t="str">
        <f aca="false">IF($J2893=FALSE(),"",COUNTIF($J$6:$J2893,TRUE()))</f>
        <v/>
      </c>
      <c r="L2893" s="5" t="str">
        <f aca="false">IF($K2893="","","R"&amp;$K2893)</f>
        <v/>
      </c>
    </row>
    <row r="2894" customFormat="false" ht="15" hidden="false" customHeight="true" outlineLevel="0" collapsed="false">
      <c r="J2894" s="14" t="b">
        <f aca="false">IF(중복검사!$A2892="",FALSE(),중복검사!$H2892="중복")</f>
        <v>0</v>
      </c>
      <c r="K2894" s="5" t="str">
        <f aca="false">IF($J2894=FALSE(),"",COUNTIF($J$6:$J2894,TRUE()))</f>
        <v/>
      </c>
      <c r="L2894" s="5" t="str">
        <f aca="false">IF($K2894="","","R"&amp;$K2894)</f>
        <v/>
      </c>
    </row>
    <row r="2895" customFormat="false" ht="15" hidden="false" customHeight="true" outlineLevel="0" collapsed="false">
      <c r="J2895" s="14" t="b">
        <f aca="false">IF(중복검사!$A2893="",FALSE(),중복검사!$H2893="중복")</f>
        <v>0</v>
      </c>
      <c r="K2895" s="5" t="str">
        <f aca="false">IF($J2895=FALSE(),"",COUNTIF($J$6:$J2895,TRUE()))</f>
        <v/>
      </c>
      <c r="L2895" s="5" t="str">
        <f aca="false">IF($K2895="","","R"&amp;$K2895)</f>
        <v/>
      </c>
    </row>
    <row r="2896" customFormat="false" ht="15" hidden="false" customHeight="true" outlineLevel="0" collapsed="false">
      <c r="J2896" s="14" t="b">
        <f aca="false">IF(중복검사!$A2894="",FALSE(),중복검사!$H2894="중복")</f>
        <v>0</v>
      </c>
      <c r="K2896" s="5" t="str">
        <f aca="false">IF($J2896=FALSE(),"",COUNTIF($J$6:$J2896,TRUE()))</f>
        <v/>
      </c>
      <c r="L2896" s="5" t="str">
        <f aca="false">IF($K2896="","","R"&amp;$K2896)</f>
        <v/>
      </c>
    </row>
    <row r="2897" customFormat="false" ht="15" hidden="false" customHeight="true" outlineLevel="0" collapsed="false">
      <c r="J2897" s="14" t="b">
        <f aca="false">IF(중복검사!$A2895="",FALSE(),중복검사!$H2895="중복")</f>
        <v>0</v>
      </c>
      <c r="K2897" s="5" t="str">
        <f aca="false">IF($J2897=FALSE(),"",COUNTIF($J$6:$J2897,TRUE()))</f>
        <v/>
      </c>
      <c r="L2897" s="5" t="str">
        <f aca="false">IF($K2897="","","R"&amp;$K2897)</f>
        <v/>
      </c>
    </row>
    <row r="2898" customFormat="false" ht="15" hidden="false" customHeight="true" outlineLevel="0" collapsed="false">
      <c r="J2898" s="14" t="b">
        <f aca="false">IF(중복검사!$A2896="",FALSE(),중복검사!$H2896="중복")</f>
        <v>0</v>
      </c>
      <c r="K2898" s="5" t="str">
        <f aca="false">IF($J2898=FALSE(),"",COUNTIF($J$6:$J2898,TRUE()))</f>
        <v/>
      </c>
      <c r="L2898" s="5" t="str">
        <f aca="false">IF($K2898="","","R"&amp;$K2898)</f>
        <v/>
      </c>
    </row>
    <row r="2899" customFormat="false" ht="15" hidden="false" customHeight="true" outlineLevel="0" collapsed="false">
      <c r="J2899" s="14" t="b">
        <f aca="false">IF(중복검사!$A2897="",FALSE(),중복검사!$H2897="중복")</f>
        <v>0</v>
      </c>
      <c r="K2899" s="5" t="str">
        <f aca="false">IF($J2899=FALSE(),"",COUNTIF($J$6:$J2899,TRUE()))</f>
        <v/>
      </c>
      <c r="L2899" s="5" t="str">
        <f aca="false">IF($K2899="","","R"&amp;$K2899)</f>
        <v/>
      </c>
    </row>
    <row r="2900" customFormat="false" ht="15" hidden="false" customHeight="true" outlineLevel="0" collapsed="false">
      <c r="J2900" s="14" t="b">
        <f aca="false">IF(중복검사!$A2898="",FALSE(),중복검사!$H2898="중복")</f>
        <v>0</v>
      </c>
      <c r="K2900" s="5" t="str">
        <f aca="false">IF($J2900=FALSE(),"",COUNTIF($J$6:$J2900,TRUE()))</f>
        <v/>
      </c>
      <c r="L2900" s="5" t="str">
        <f aca="false">IF($K2900="","","R"&amp;$K2900)</f>
        <v/>
      </c>
    </row>
    <row r="2901" customFormat="false" ht="15" hidden="false" customHeight="true" outlineLevel="0" collapsed="false">
      <c r="J2901" s="14" t="b">
        <f aca="false">IF(중복검사!$A2899="",FALSE(),중복검사!$H2899="중복")</f>
        <v>0</v>
      </c>
      <c r="K2901" s="5" t="str">
        <f aca="false">IF($J2901=FALSE(),"",COUNTIF($J$6:$J2901,TRUE()))</f>
        <v/>
      </c>
      <c r="L2901" s="5" t="str">
        <f aca="false">IF($K2901="","","R"&amp;$K2901)</f>
        <v/>
      </c>
    </row>
    <row r="2902" customFormat="false" ht="15" hidden="false" customHeight="true" outlineLevel="0" collapsed="false">
      <c r="J2902" s="14" t="b">
        <f aca="false">IF(중복검사!$A2900="",FALSE(),중복검사!$H2900="중복")</f>
        <v>0</v>
      </c>
      <c r="K2902" s="5" t="str">
        <f aca="false">IF($J2902=FALSE(),"",COUNTIF($J$6:$J2902,TRUE()))</f>
        <v/>
      </c>
      <c r="L2902" s="5" t="str">
        <f aca="false">IF($K2902="","","R"&amp;$K2902)</f>
        <v/>
      </c>
    </row>
    <row r="2903" customFormat="false" ht="15" hidden="false" customHeight="true" outlineLevel="0" collapsed="false">
      <c r="J2903" s="14" t="b">
        <f aca="false">IF(중복검사!$A2901="",FALSE(),중복검사!$H2901="중복")</f>
        <v>0</v>
      </c>
      <c r="K2903" s="5" t="str">
        <f aca="false">IF($J2903=FALSE(),"",COUNTIF($J$6:$J2903,TRUE()))</f>
        <v/>
      </c>
      <c r="L2903" s="5" t="str">
        <f aca="false">IF($K2903="","","R"&amp;$K2903)</f>
        <v/>
      </c>
    </row>
    <row r="2904" customFormat="false" ht="15" hidden="false" customHeight="true" outlineLevel="0" collapsed="false">
      <c r="J2904" s="14" t="b">
        <f aca="false">IF(중복검사!$A2902="",FALSE(),중복검사!$H2902="중복")</f>
        <v>0</v>
      </c>
      <c r="K2904" s="5" t="str">
        <f aca="false">IF($J2904=FALSE(),"",COUNTIF($J$6:$J2904,TRUE()))</f>
        <v/>
      </c>
      <c r="L2904" s="5" t="str">
        <f aca="false">IF($K2904="","","R"&amp;$K2904)</f>
        <v/>
      </c>
    </row>
    <row r="2905" customFormat="false" ht="15" hidden="false" customHeight="true" outlineLevel="0" collapsed="false">
      <c r="J2905" s="14" t="b">
        <f aca="false">IF(중복검사!$A2903="",FALSE(),중복검사!$H2903="중복")</f>
        <v>0</v>
      </c>
      <c r="K2905" s="5" t="str">
        <f aca="false">IF($J2905=FALSE(),"",COUNTIF($J$6:$J2905,TRUE()))</f>
        <v/>
      </c>
      <c r="L2905" s="5" t="str">
        <f aca="false">IF($K2905="","","R"&amp;$K2905)</f>
        <v/>
      </c>
    </row>
    <row r="2906" customFormat="false" ht="15" hidden="false" customHeight="true" outlineLevel="0" collapsed="false">
      <c r="J2906" s="14" t="b">
        <f aca="false">IF(중복검사!$A2904="",FALSE(),중복검사!$H2904="중복")</f>
        <v>0</v>
      </c>
      <c r="K2906" s="5" t="str">
        <f aca="false">IF($J2906=FALSE(),"",COUNTIF($J$6:$J2906,TRUE()))</f>
        <v/>
      </c>
      <c r="L2906" s="5" t="str">
        <f aca="false">IF($K2906="","","R"&amp;$K2906)</f>
        <v/>
      </c>
    </row>
    <row r="2907" customFormat="false" ht="15" hidden="false" customHeight="true" outlineLevel="0" collapsed="false">
      <c r="J2907" s="14" t="b">
        <f aca="false">IF(중복검사!$A2905="",FALSE(),중복검사!$H2905="중복")</f>
        <v>0</v>
      </c>
      <c r="K2907" s="5" t="str">
        <f aca="false">IF($J2907=FALSE(),"",COUNTIF($J$6:$J2907,TRUE()))</f>
        <v/>
      </c>
      <c r="L2907" s="5" t="str">
        <f aca="false">IF($K2907="","","R"&amp;$K2907)</f>
        <v/>
      </c>
    </row>
    <row r="2908" customFormat="false" ht="15" hidden="false" customHeight="true" outlineLevel="0" collapsed="false">
      <c r="J2908" s="14" t="b">
        <f aca="false">IF(중복검사!$A2906="",FALSE(),중복검사!$H2906="중복")</f>
        <v>0</v>
      </c>
      <c r="K2908" s="5" t="str">
        <f aca="false">IF($J2908=FALSE(),"",COUNTIF($J$6:$J2908,TRUE()))</f>
        <v/>
      </c>
      <c r="L2908" s="5" t="str">
        <f aca="false">IF($K2908="","","R"&amp;$K2908)</f>
        <v/>
      </c>
    </row>
    <row r="2909" customFormat="false" ht="15" hidden="false" customHeight="true" outlineLevel="0" collapsed="false">
      <c r="J2909" s="14" t="b">
        <f aca="false">IF(중복검사!$A2907="",FALSE(),중복검사!$H2907="중복")</f>
        <v>0</v>
      </c>
      <c r="K2909" s="5" t="str">
        <f aca="false">IF($J2909=FALSE(),"",COUNTIF($J$6:$J2909,TRUE()))</f>
        <v/>
      </c>
      <c r="L2909" s="5" t="str">
        <f aca="false">IF($K2909="","","R"&amp;$K2909)</f>
        <v/>
      </c>
    </row>
    <row r="2910" customFormat="false" ht="15" hidden="false" customHeight="true" outlineLevel="0" collapsed="false">
      <c r="J2910" s="14" t="b">
        <f aca="false">IF(중복검사!$A2908="",FALSE(),중복검사!$H2908="중복")</f>
        <v>0</v>
      </c>
      <c r="K2910" s="5" t="str">
        <f aca="false">IF($J2910=FALSE(),"",COUNTIF($J$6:$J2910,TRUE()))</f>
        <v/>
      </c>
      <c r="L2910" s="5" t="str">
        <f aca="false">IF($K2910="","","R"&amp;$K2910)</f>
        <v/>
      </c>
    </row>
    <row r="2911" customFormat="false" ht="15" hidden="false" customHeight="true" outlineLevel="0" collapsed="false">
      <c r="J2911" s="14" t="b">
        <f aca="false">IF(중복검사!$A2909="",FALSE(),중복검사!$H2909="중복")</f>
        <v>0</v>
      </c>
      <c r="K2911" s="5" t="str">
        <f aca="false">IF($J2911=FALSE(),"",COUNTIF($J$6:$J2911,TRUE()))</f>
        <v/>
      </c>
      <c r="L2911" s="5" t="str">
        <f aca="false">IF($K2911="","","R"&amp;$K2911)</f>
        <v/>
      </c>
    </row>
    <row r="2912" customFormat="false" ht="15" hidden="false" customHeight="true" outlineLevel="0" collapsed="false">
      <c r="J2912" s="14" t="b">
        <f aca="false">IF(중복검사!$A2910="",FALSE(),중복검사!$H2910="중복")</f>
        <v>0</v>
      </c>
      <c r="K2912" s="5" t="str">
        <f aca="false">IF($J2912=FALSE(),"",COUNTIF($J$6:$J2912,TRUE()))</f>
        <v/>
      </c>
      <c r="L2912" s="5" t="str">
        <f aca="false">IF($K2912="","","R"&amp;$K2912)</f>
        <v/>
      </c>
    </row>
    <row r="2913" customFormat="false" ht="15" hidden="false" customHeight="true" outlineLevel="0" collapsed="false">
      <c r="J2913" s="14" t="b">
        <f aca="false">IF(중복검사!$A2911="",FALSE(),중복검사!$H2911="중복")</f>
        <v>0</v>
      </c>
      <c r="K2913" s="5" t="str">
        <f aca="false">IF($J2913=FALSE(),"",COUNTIF($J$6:$J2913,TRUE()))</f>
        <v/>
      </c>
      <c r="L2913" s="5" t="str">
        <f aca="false">IF($K2913="","","R"&amp;$K2913)</f>
        <v/>
      </c>
    </row>
    <row r="2914" customFormat="false" ht="15" hidden="false" customHeight="true" outlineLevel="0" collapsed="false">
      <c r="J2914" s="14" t="b">
        <f aca="false">IF(중복검사!$A2912="",FALSE(),중복검사!$H2912="중복")</f>
        <v>0</v>
      </c>
      <c r="K2914" s="5" t="str">
        <f aca="false">IF($J2914=FALSE(),"",COUNTIF($J$6:$J2914,TRUE()))</f>
        <v/>
      </c>
      <c r="L2914" s="5" t="str">
        <f aca="false">IF($K2914="","","R"&amp;$K2914)</f>
        <v/>
      </c>
    </row>
    <row r="2915" customFormat="false" ht="15" hidden="false" customHeight="true" outlineLevel="0" collapsed="false">
      <c r="J2915" s="14" t="b">
        <f aca="false">IF(중복검사!$A2913="",FALSE(),중복검사!$H2913="중복")</f>
        <v>0</v>
      </c>
      <c r="K2915" s="5" t="str">
        <f aca="false">IF($J2915=FALSE(),"",COUNTIF($J$6:$J2915,TRUE()))</f>
        <v/>
      </c>
      <c r="L2915" s="5" t="str">
        <f aca="false">IF($K2915="","","R"&amp;$K2915)</f>
        <v/>
      </c>
    </row>
    <row r="2916" customFormat="false" ht="15" hidden="false" customHeight="true" outlineLevel="0" collapsed="false">
      <c r="J2916" s="14" t="b">
        <f aca="false">IF(중복검사!$A2914="",FALSE(),중복검사!$H2914="중복")</f>
        <v>0</v>
      </c>
      <c r="K2916" s="5" t="str">
        <f aca="false">IF($J2916=FALSE(),"",COUNTIF($J$6:$J2916,TRUE()))</f>
        <v/>
      </c>
      <c r="L2916" s="5" t="str">
        <f aca="false">IF($K2916="","","R"&amp;$K2916)</f>
        <v/>
      </c>
    </row>
    <row r="2917" customFormat="false" ht="15" hidden="false" customHeight="true" outlineLevel="0" collapsed="false">
      <c r="J2917" s="14" t="b">
        <f aca="false">IF(중복검사!$A2915="",FALSE(),중복검사!$H2915="중복")</f>
        <v>0</v>
      </c>
      <c r="K2917" s="5" t="str">
        <f aca="false">IF($J2917=FALSE(),"",COUNTIF($J$6:$J2917,TRUE()))</f>
        <v/>
      </c>
      <c r="L2917" s="5" t="str">
        <f aca="false">IF($K2917="","","R"&amp;$K2917)</f>
        <v/>
      </c>
    </row>
    <row r="2918" customFormat="false" ht="15" hidden="false" customHeight="true" outlineLevel="0" collapsed="false">
      <c r="J2918" s="14" t="b">
        <f aca="false">IF(중복검사!$A2916="",FALSE(),중복검사!$H2916="중복")</f>
        <v>0</v>
      </c>
      <c r="K2918" s="5" t="str">
        <f aca="false">IF($J2918=FALSE(),"",COUNTIF($J$6:$J2918,TRUE()))</f>
        <v/>
      </c>
      <c r="L2918" s="5" t="str">
        <f aca="false">IF($K2918="","","R"&amp;$K2918)</f>
        <v/>
      </c>
    </row>
    <row r="2919" customFormat="false" ht="15" hidden="false" customHeight="true" outlineLevel="0" collapsed="false">
      <c r="J2919" s="14" t="b">
        <f aca="false">IF(중복검사!$A2917="",FALSE(),중복검사!$H2917="중복")</f>
        <v>0</v>
      </c>
      <c r="K2919" s="5" t="str">
        <f aca="false">IF($J2919=FALSE(),"",COUNTIF($J$6:$J2919,TRUE()))</f>
        <v/>
      </c>
      <c r="L2919" s="5" t="str">
        <f aca="false">IF($K2919="","","R"&amp;$K2919)</f>
        <v/>
      </c>
    </row>
    <row r="2920" customFormat="false" ht="15" hidden="false" customHeight="true" outlineLevel="0" collapsed="false">
      <c r="J2920" s="14" t="b">
        <f aca="false">IF(중복검사!$A2918="",FALSE(),중복검사!$H2918="중복")</f>
        <v>0</v>
      </c>
      <c r="K2920" s="5" t="str">
        <f aca="false">IF($J2920=FALSE(),"",COUNTIF($J$6:$J2920,TRUE()))</f>
        <v/>
      </c>
      <c r="L2920" s="5" t="str">
        <f aca="false">IF($K2920="","","R"&amp;$K2920)</f>
        <v/>
      </c>
    </row>
    <row r="2921" customFormat="false" ht="15" hidden="false" customHeight="true" outlineLevel="0" collapsed="false">
      <c r="J2921" s="14" t="b">
        <f aca="false">IF(중복검사!$A2919="",FALSE(),중복검사!$H2919="중복")</f>
        <v>0</v>
      </c>
      <c r="K2921" s="5" t="str">
        <f aca="false">IF($J2921=FALSE(),"",COUNTIF($J$6:$J2921,TRUE()))</f>
        <v/>
      </c>
      <c r="L2921" s="5" t="str">
        <f aca="false">IF($K2921="","","R"&amp;$K2921)</f>
        <v/>
      </c>
    </row>
    <row r="2922" customFormat="false" ht="15" hidden="false" customHeight="true" outlineLevel="0" collapsed="false">
      <c r="J2922" s="14" t="b">
        <f aca="false">IF(중복검사!$A2920="",FALSE(),중복검사!$H2920="중복")</f>
        <v>0</v>
      </c>
      <c r="K2922" s="5" t="str">
        <f aca="false">IF($J2922=FALSE(),"",COUNTIF($J$6:$J2922,TRUE()))</f>
        <v/>
      </c>
      <c r="L2922" s="5" t="str">
        <f aca="false">IF($K2922="","","R"&amp;$K2922)</f>
        <v/>
      </c>
    </row>
    <row r="2923" customFormat="false" ht="15" hidden="false" customHeight="true" outlineLevel="0" collapsed="false">
      <c r="J2923" s="14" t="b">
        <f aca="false">IF(중복검사!$A2921="",FALSE(),중복검사!$H2921="중복")</f>
        <v>0</v>
      </c>
      <c r="K2923" s="5" t="str">
        <f aca="false">IF($J2923=FALSE(),"",COUNTIF($J$6:$J2923,TRUE()))</f>
        <v/>
      </c>
      <c r="L2923" s="5" t="str">
        <f aca="false">IF($K2923="","","R"&amp;$K2923)</f>
        <v/>
      </c>
    </row>
    <row r="2924" customFormat="false" ht="15" hidden="false" customHeight="true" outlineLevel="0" collapsed="false">
      <c r="J2924" s="14" t="b">
        <f aca="false">IF(중복검사!$A2922="",FALSE(),중복검사!$H2922="중복")</f>
        <v>0</v>
      </c>
      <c r="K2924" s="5" t="str">
        <f aca="false">IF($J2924=FALSE(),"",COUNTIF($J$6:$J2924,TRUE()))</f>
        <v/>
      </c>
      <c r="L2924" s="5" t="str">
        <f aca="false">IF($K2924="","","R"&amp;$K2924)</f>
        <v/>
      </c>
    </row>
    <row r="2925" customFormat="false" ht="15" hidden="false" customHeight="true" outlineLevel="0" collapsed="false">
      <c r="J2925" s="14" t="b">
        <f aca="false">IF(중복검사!$A2923="",FALSE(),중복검사!$H2923="중복")</f>
        <v>0</v>
      </c>
      <c r="K2925" s="5" t="str">
        <f aca="false">IF($J2925=FALSE(),"",COUNTIF($J$6:$J2925,TRUE()))</f>
        <v/>
      </c>
      <c r="L2925" s="5" t="str">
        <f aca="false">IF($K2925="","","R"&amp;$K2925)</f>
        <v/>
      </c>
    </row>
    <row r="2926" customFormat="false" ht="15" hidden="false" customHeight="true" outlineLevel="0" collapsed="false">
      <c r="J2926" s="14" t="b">
        <f aca="false">IF(중복검사!$A2924="",FALSE(),중복검사!$H2924="중복")</f>
        <v>0</v>
      </c>
      <c r="K2926" s="5" t="str">
        <f aca="false">IF($J2926=FALSE(),"",COUNTIF($J$6:$J2926,TRUE()))</f>
        <v/>
      </c>
      <c r="L2926" s="5" t="str">
        <f aca="false">IF($K2926="","","R"&amp;$K2926)</f>
        <v/>
      </c>
    </row>
    <row r="2927" customFormat="false" ht="15" hidden="false" customHeight="true" outlineLevel="0" collapsed="false">
      <c r="J2927" s="14" t="b">
        <f aca="false">IF(중복검사!$A2925="",FALSE(),중복검사!$H2925="중복")</f>
        <v>0</v>
      </c>
      <c r="K2927" s="5" t="str">
        <f aca="false">IF($J2927=FALSE(),"",COUNTIF($J$6:$J2927,TRUE()))</f>
        <v/>
      </c>
      <c r="L2927" s="5" t="str">
        <f aca="false">IF($K2927="","","R"&amp;$K2927)</f>
        <v/>
      </c>
    </row>
    <row r="2928" customFormat="false" ht="15" hidden="false" customHeight="true" outlineLevel="0" collapsed="false">
      <c r="J2928" s="14" t="b">
        <f aca="false">IF(중복검사!$A2926="",FALSE(),중복검사!$H2926="중복")</f>
        <v>0</v>
      </c>
      <c r="K2928" s="5" t="str">
        <f aca="false">IF($J2928=FALSE(),"",COUNTIF($J$6:$J2928,TRUE()))</f>
        <v/>
      </c>
      <c r="L2928" s="5" t="str">
        <f aca="false">IF($K2928="","","R"&amp;$K2928)</f>
        <v/>
      </c>
    </row>
    <row r="2929" customFormat="false" ht="15" hidden="false" customHeight="true" outlineLevel="0" collapsed="false">
      <c r="J2929" s="14" t="b">
        <f aca="false">IF(중복검사!$A2927="",FALSE(),중복검사!$H2927="중복")</f>
        <v>0</v>
      </c>
      <c r="K2929" s="5" t="str">
        <f aca="false">IF($J2929=FALSE(),"",COUNTIF($J$6:$J2929,TRUE()))</f>
        <v/>
      </c>
      <c r="L2929" s="5" t="str">
        <f aca="false">IF($K2929="","","R"&amp;$K2929)</f>
        <v/>
      </c>
    </row>
    <row r="2930" customFormat="false" ht="15" hidden="false" customHeight="true" outlineLevel="0" collapsed="false">
      <c r="J2930" s="14" t="b">
        <f aca="false">IF(중복검사!$A2928="",FALSE(),중복검사!$H2928="중복")</f>
        <v>0</v>
      </c>
      <c r="K2930" s="5" t="str">
        <f aca="false">IF($J2930=FALSE(),"",COUNTIF($J$6:$J2930,TRUE()))</f>
        <v/>
      </c>
      <c r="L2930" s="5" t="str">
        <f aca="false">IF($K2930="","","R"&amp;$K2930)</f>
        <v/>
      </c>
    </row>
    <row r="2931" customFormat="false" ht="15" hidden="false" customHeight="true" outlineLevel="0" collapsed="false">
      <c r="J2931" s="14" t="b">
        <f aca="false">IF(중복검사!$A2929="",FALSE(),중복검사!$H2929="중복")</f>
        <v>0</v>
      </c>
      <c r="K2931" s="5" t="str">
        <f aca="false">IF($J2931=FALSE(),"",COUNTIF($J$6:$J2931,TRUE()))</f>
        <v/>
      </c>
      <c r="L2931" s="5" t="str">
        <f aca="false">IF($K2931="","","R"&amp;$K2931)</f>
        <v/>
      </c>
    </row>
    <row r="2932" customFormat="false" ht="15" hidden="false" customHeight="true" outlineLevel="0" collapsed="false">
      <c r="J2932" s="14" t="b">
        <f aca="false">IF(중복검사!$A2930="",FALSE(),중복검사!$H2930="중복")</f>
        <v>0</v>
      </c>
      <c r="K2932" s="5" t="str">
        <f aca="false">IF($J2932=FALSE(),"",COUNTIF($J$6:$J2932,TRUE()))</f>
        <v/>
      </c>
      <c r="L2932" s="5" t="str">
        <f aca="false">IF($K2932="","","R"&amp;$K2932)</f>
        <v/>
      </c>
    </row>
    <row r="2933" customFormat="false" ht="15" hidden="false" customHeight="true" outlineLevel="0" collapsed="false">
      <c r="J2933" s="14" t="b">
        <f aca="false">IF(중복검사!$A2931="",FALSE(),중복검사!$H2931="중복")</f>
        <v>0</v>
      </c>
      <c r="K2933" s="5" t="str">
        <f aca="false">IF($J2933=FALSE(),"",COUNTIF($J$6:$J2933,TRUE()))</f>
        <v/>
      </c>
      <c r="L2933" s="5" t="str">
        <f aca="false">IF($K2933="","","R"&amp;$K2933)</f>
        <v/>
      </c>
    </row>
    <row r="2934" customFormat="false" ht="15" hidden="false" customHeight="true" outlineLevel="0" collapsed="false">
      <c r="J2934" s="14" t="b">
        <f aca="false">IF(중복검사!$A2932="",FALSE(),중복검사!$H2932="중복")</f>
        <v>0</v>
      </c>
      <c r="K2934" s="5" t="str">
        <f aca="false">IF($J2934=FALSE(),"",COUNTIF($J$6:$J2934,TRUE()))</f>
        <v/>
      </c>
      <c r="L2934" s="5" t="str">
        <f aca="false">IF($K2934="","","R"&amp;$K2934)</f>
        <v/>
      </c>
    </row>
    <row r="2935" customFormat="false" ht="15" hidden="false" customHeight="true" outlineLevel="0" collapsed="false">
      <c r="J2935" s="14" t="b">
        <f aca="false">IF(중복검사!$A2933="",FALSE(),중복검사!$H2933="중복")</f>
        <v>0</v>
      </c>
      <c r="K2935" s="5" t="str">
        <f aca="false">IF($J2935=FALSE(),"",COUNTIF($J$6:$J2935,TRUE()))</f>
        <v/>
      </c>
      <c r="L2935" s="5" t="str">
        <f aca="false">IF($K2935="","","R"&amp;$K2935)</f>
        <v/>
      </c>
    </row>
    <row r="2936" customFormat="false" ht="15" hidden="false" customHeight="true" outlineLevel="0" collapsed="false">
      <c r="J2936" s="14" t="b">
        <f aca="false">IF(중복검사!$A2934="",FALSE(),중복검사!$H2934="중복")</f>
        <v>0</v>
      </c>
      <c r="K2936" s="5" t="str">
        <f aca="false">IF($J2936=FALSE(),"",COUNTIF($J$6:$J2936,TRUE()))</f>
        <v/>
      </c>
      <c r="L2936" s="5" t="str">
        <f aca="false">IF($K2936="","","R"&amp;$K2936)</f>
        <v/>
      </c>
    </row>
    <row r="2937" customFormat="false" ht="15" hidden="false" customHeight="true" outlineLevel="0" collapsed="false">
      <c r="J2937" s="14" t="b">
        <f aca="false">IF(중복검사!$A2935="",FALSE(),중복검사!$H2935="중복")</f>
        <v>0</v>
      </c>
      <c r="K2937" s="5" t="str">
        <f aca="false">IF($J2937=FALSE(),"",COUNTIF($J$6:$J2937,TRUE()))</f>
        <v/>
      </c>
      <c r="L2937" s="5" t="str">
        <f aca="false">IF($K2937="","","R"&amp;$K2937)</f>
        <v/>
      </c>
    </row>
    <row r="2938" customFormat="false" ht="15" hidden="false" customHeight="true" outlineLevel="0" collapsed="false">
      <c r="J2938" s="14" t="b">
        <f aca="false">IF(중복검사!$A2936="",FALSE(),중복검사!$H2936="중복")</f>
        <v>0</v>
      </c>
      <c r="K2938" s="5" t="str">
        <f aca="false">IF($J2938=FALSE(),"",COUNTIF($J$6:$J2938,TRUE()))</f>
        <v/>
      </c>
      <c r="L2938" s="5" t="str">
        <f aca="false">IF($K2938="","","R"&amp;$K2938)</f>
        <v/>
      </c>
    </row>
    <row r="2939" customFormat="false" ht="15" hidden="false" customHeight="true" outlineLevel="0" collapsed="false">
      <c r="J2939" s="14" t="b">
        <f aca="false">IF(중복검사!$A2937="",FALSE(),중복검사!$H2937="중복")</f>
        <v>0</v>
      </c>
      <c r="K2939" s="5" t="str">
        <f aca="false">IF($J2939=FALSE(),"",COUNTIF($J$6:$J2939,TRUE()))</f>
        <v/>
      </c>
      <c r="L2939" s="5" t="str">
        <f aca="false">IF($K2939="","","R"&amp;$K2939)</f>
        <v/>
      </c>
    </row>
    <row r="2940" customFormat="false" ht="15" hidden="false" customHeight="true" outlineLevel="0" collapsed="false">
      <c r="J2940" s="14" t="b">
        <f aca="false">IF(중복검사!$A2938="",FALSE(),중복검사!$H2938="중복")</f>
        <v>0</v>
      </c>
      <c r="K2940" s="5" t="str">
        <f aca="false">IF($J2940=FALSE(),"",COUNTIF($J$6:$J2940,TRUE()))</f>
        <v/>
      </c>
      <c r="L2940" s="5" t="str">
        <f aca="false">IF($K2940="","","R"&amp;$K2940)</f>
        <v/>
      </c>
    </row>
    <row r="2941" customFormat="false" ht="15" hidden="false" customHeight="true" outlineLevel="0" collapsed="false">
      <c r="J2941" s="14" t="b">
        <f aca="false">IF(중복검사!$A2939="",FALSE(),중복검사!$H2939="중복")</f>
        <v>0</v>
      </c>
      <c r="K2941" s="5" t="str">
        <f aca="false">IF($J2941=FALSE(),"",COUNTIF($J$6:$J2941,TRUE()))</f>
        <v/>
      </c>
      <c r="L2941" s="5" t="str">
        <f aca="false">IF($K2941="","","R"&amp;$K2941)</f>
        <v/>
      </c>
    </row>
    <row r="2942" customFormat="false" ht="15" hidden="false" customHeight="true" outlineLevel="0" collapsed="false">
      <c r="J2942" s="14" t="b">
        <f aca="false">IF(중복검사!$A2940="",FALSE(),중복검사!$H2940="중복")</f>
        <v>0</v>
      </c>
      <c r="K2942" s="5" t="str">
        <f aca="false">IF($J2942=FALSE(),"",COUNTIF($J$6:$J2942,TRUE()))</f>
        <v/>
      </c>
      <c r="L2942" s="5" t="str">
        <f aca="false">IF($K2942="","","R"&amp;$K2942)</f>
        <v/>
      </c>
    </row>
    <row r="2943" customFormat="false" ht="15" hidden="false" customHeight="true" outlineLevel="0" collapsed="false">
      <c r="J2943" s="14" t="b">
        <f aca="false">IF(중복검사!$A2941="",FALSE(),중복검사!$H2941="중복")</f>
        <v>0</v>
      </c>
      <c r="K2943" s="5" t="str">
        <f aca="false">IF($J2943=FALSE(),"",COUNTIF($J$6:$J2943,TRUE()))</f>
        <v/>
      </c>
      <c r="L2943" s="5" t="str">
        <f aca="false">IF($K2943="","","R"&amp;$K2943)</f>
        <v/>
      </c>
    </row>
    <row r="2944" customFormat="false" ht="15" hidden="false" customHeight="true" outlineLevel="0" collapsed="false">
      <c r="J2944" s="14" t="b">
        <f aca="false">IF(중복검사!$A2942="",FALSE(),중복검사!$H2942="중복")</f>
        <v>0</v>
      </c>
      <c r="K2944" s="5" t="str">
        <f aca="false">IF($J2944=FALSE(),"",COUNTIF($J$6:$J2944,TRUE()))</f>
        <v/>
      </c>
      <c r="L2944" s="5" t="str">
        <f aca="false">IF($K2944="","","R"&amp;$K2944)</f>
        <v/>
      </c>
    </row>
    <row r="2945" customFormat="false" ht="15" hidden="false" customHeight="true" outlineLevel="0" collapsed="false">
      <c r="J2945" s="14" t="b">
        <f aca="false">IF(중복검사!$A2943="",FALSE(),중복검사!$H2943="중복")</f>
        <v>0</v>
      </c>
      <c r="K2945" s="5" t="str">
        <f aca="false">IF($J2945=FALSE(),"",COUNTIF($J$6:$J2945,TRUE()))</f>
        <v/>
      </c>
      <c r="L2945" s="5" t="str">
        <f aca="false">IF($K2945="","","R"&amp;$K2945)</f>
        <v/>
      </c>
    </row>
    <row r="2946" customFormat="false" ht="15" hidden="false" customHeight="true" outlineLevel="0" collapsed="false">
      <c r="J2946" s="14" t="b">
        <f aca="false">IF(중복검사!$A2944="",FALSE(),중복검사!$H2944="중복")</f>
        <v>0</v>
      </c>
      <c r="K2946" s="5" t="str">
        <f aca="false">IF($J2946=FALSE(),"",COUNTIF($J$6:$J2946,TRUE()))</f>
        <v/>
      </c>
      <c r="L2946" s="5" t="str">
        <f aca="false">IF($K2946="","","R"&amp;$K2946)</f>
        <v/>
      </c>
    </row>
    <row r="2947" customFormat="false" ht="15" hidden="false" customHeight="true" outlineLevel="0" collapsed="false">
      <c r="J2947" s="14" t="b">
        <f aca="false">IF(중복검사!$A2945="",FALSE(),중복검사!$H2945="중복")</f>
        <v>0</v>
      </c>
      <c r="K2947" s="5" t="str">
        <f aca="false">IF($J2947=FALSE(),"",COUNTIF($J$6:$J2947,TRUE()))</f>
        <v/>
      </c>
      <c r="L2947" s="5" t="str">
        <f aca="false">IF($K2947="","","R"&amp;$K2947)</f>
        <v/>
      </c>
    </row>
    <row r="2948" customFormat="false" ht="15" hidden="false" customHeight="true" outlineLevel="0" collapsed="false">
      <c r="J2948" s="14" t="b">
        <f aca="false">IF(중복검사!$A2946="",FALSE(),중복검사!$H2946="중복")</f>
        <v>0</v>
      </c>
      <c r="K2948" s="5" t="str">
        <f aca="false">IF($J2948=FALSE(),"",COUNTIF($J$6:$J2948,TRUE()))</f>
        <v/>
      </c>
      <c r="L2948" s="5" t="str">
        <f aca="false">IF($K2948="","","R"&amp;$K2948)</f>
        <v/>
      </c>
    </row>
    <row r="2949" customFormat="false" ht="15" hidden="false" customHeight="true" outlineLevel="0" collapsed="false">
      <c r="J2949" s="14" t="b">
        <f aca="false">IF(중복검사!$A2947="",FALSE(),중복검사!$H2947="중복")</f>
        <v>0</v>
      </c>
      <c r="K2949" s="5" t="str">
        <f aca="false">IF($J2949=FALSE(),"",COUNTIF($J$6:$J2949,TRUE()))</f>
        <v/>
      </c>
      <c r="L2949" s="5" t="str">
        <f aca="false">IF($K2949="","","R"&amp;$K2949)</f>
        <v/>
      </c>
    </row>
    <row r="2950" customFormat="false" ht="15" hidden="false" customHeight="true" outlineLevel="0" collapsed="false">
      <c r="J2950" s="14" t="b">
        <f aca="false">IF(중복검사!$A2948="",FALSE(),중복검사!$H2948="중복")</f>
        <v>0</v>
      </c>
      <c r="K2950" s="5" t="str">
        <f aca="false">IF($J2950=FALSE(),"",COUNTIF($J$6:$J2950,TRUE()))</f>
        <v/>
      </c>
      <c r="L2950" s="5" t="str">
        <f aca="false">IF($K2950="","","R"&amp;$K2950)</f>
        <v/>
      </c>
    </row>
    <row r="2951" customFormat="false" ht="15" hidden="false" customHeight="true" outlineLevel="0" collapsed="false">
      <c r="J2951" s="14" t="b">
        <f aca="false">IF(중복검사!$A2949="",FALSE(),중복검사!$H2949="중복")</f>
        <v>0</v>
      </c>
      <c r="K2951" s="5" t="str">
        <f aca="false">IF($J2951=FALSE(),"",COUNTIF($J$6:$J2951,TRUE()))</f>
        <v/>
      </c>
      <c r="L2951" s="5" t="str">
        <f aca="false">IF($K2951="","","R"&amp;$K2951)</f>
        <v/>
      </c>
    </row>
    <row r="2952" customFormat="false" ht="15" hidden="false" customHeight="true" outlineLevel="0" collapsed="false">
      <c r="J2952" s="14" t="b">
        <f aca="false">IF(중복검사!$A2950="",FALSE(),중복검사!$H2950="중복")</f>
        <v>0</v>
      </c>
      <c r="K2952" s="5" t="str">
        <f aca="false">IF($J2952=FALSE(),"",COUNTIF($J$6:$J2952,TRUE()))</f>
        <v/>
      </c>
      <c r="L2952" s="5" t="str">
        <f aca="false">IF($K2952="","","R"&amp;$K2952)</f>
        <v/>
      </c>
    </row>
    <row r="2953" customFormat="false" ht="15" hidden="false" customHeight="true" outlineLevel="0" collapsed="false">
      <c r="J2953" s="14" t="b">
        <f aca="false">IF(중복검사!$A2951="",FALSE(),중복검사!$H2951="중복")</f>
        <v>0</v>
      </c>
      <c r="K2953" s="5" t="str">
        <f aca="false">IF($J2953=FALSE(),"",COUNTIF($J$6:$J2953,TRUE()))</f>
        <v/>
      </c>
      <c r="L2953" s="5" t="str">
        <f aca="false">IF($K2953="","","R"&amp;$K2953)</f>
        <v/>
      </c>
    </row>
    <row r="2954" customFormat="false" ht="15" hidden="false" customHeight="true" outlineLevel="0" collapsed="false">
      <c r="J2954" s="14" t="b">
        <f aca="false">IF(중복검사!$A2952="",FALSE(),중복검사!$H2952="중복")</f>
        <v>0</v>
      </c>
      <c r="K2954" s="5" t="str">
        <f aca="false">IF($J2954=FALSE(),"",COUNTIF($J$6:$J2954,TRUE()))</f>
        <v/>
      </c>
      <c r="L2954" s="5" t="str">
        <f aca="false">IF($K2954="","","R"&amp;$K2954)</f>
        <v/>
      </c>
    </row>
    <row r="2955" customFormat="false" ht="15" hidden="false" customHeight="true" outlineLevel="0" collapsed="false">
      <c r="J2955" s="14" t="b">
        <f aca="false">IF(중복검사!$A2953="",FALSE(),중복검사!$H2953="중복")</f>
        <v>0</v>
      </c>
      <c r="K2955" s="5" t="str">
        <f aca="false">IF($J2955=FALSE(),"",COUNTIF($J$6:$J2955,TRUE()))</f>
        <v/>
      </c>
      <c r="L2955" s="5" t="str">
        <f aca="false">IF($K2955="","","R"&amp;$K2955)</f>
        <v/>
      </c>
    </row>
    <row r="2956" customFormat="false" ht="15" hidden="false" customHeight="true" outlineLevel="0" collapsed="false">
      <c r="J2956" s="14" t="b">
        <f aca="false">IF(중복검사!$A2954="",FALSE(),중복검사!$H2954="중복")</f>
        <v>0</v>
      </c>
      <c r="K2956" s="5" t="str">
        <f aca="false">IF($J2956=FALSE(),"",COUNTIF($J$6:$J2956,TRUE()))</f>
        <v/>
      </c>
      <c r="L2956" s="5" t="str">
        <f aca="false">IF($K2956="","","R"&amp;$K2956)</f>
        <v/>
      </c>
    </row>
    <row r="2957" customFormat="false" ht="15" hidden="false" customHeight="true" outlineLevel="0" collapsed="false">
      <c r="J2957" s="14" t="b">
        <f aca="false">IF(중복검사!$A2955="",FALSE(),중복검사!$H2955="중복")</f>
        <v>0</v>
      </c>
      <c r="K2957" s="5" t="str">
        <f aca="false">IF($J2957=FALSE(),"",COUNTIF($J$6:$J2957,TRUE()))</f>
        <v/>
      </c>
      <c r="L2957" s="5" t="str">
        <f aca="false">IF($K2957="","","R"&amp;$K2957)</f>
        <v/>
      </c>
    </row>
    <row r="2958" customFormat="false" ht="15" hidden="false" customHeight="true" outlineLevel="0" collapsed="false">
      <c r="J2958" s="14" t="b">
        <f aca="false">IF(중복검사!$A2956="",FALSE(),중복검사!$H2956="중복")</f>
        <v>0</v>
      </c>
      <c r="K2958" s="5" t="str">
        <f aca="false">IF($J2958=FALSE(),"",COUNTIF($J$6:$J2958,TRUE()))</f>
        <v/>
      </c>
      <c r="L2958" s="5" t="str">
        <f aca="false">IF($K2958="","","R"&amp;$K2958)</f>
        <v/>
      </c>
    </row>
    <row r="2959" customFormat="false" ht="15" hidden="false" customHeight="true" outlineLevel="0" collapsed="false">
      <c r="J2959" s="14" t="b">
        <f aca="false">IF(중복검사!$A2957="",FALSE(),중복검사!$H2957="중복")</f>
        <v>0</v>
      </c>
      <c r="K2959" s="5" t="str">
        <f aca="false">IF($J2959=FALSE(),"",COUNTIF($J$6:$J2959,TRUE()))</f>
        <v/>
      </c>
      <c r="L2959" s="5" t="str">
        <f aca="false">IF($K2959="","","R"&amp;$K2959)</f>
        <v/>
      </c>
    </row>
    <row r="2960" customFormat="false" ht="15" hidden="false" customHeight="true" outlineLevel="0" collapsed="false">
      <c r="J2960" s="14" t="b">
        <f aca="false">IF(중복검사!$A2958="",FALSE(),중복검사!$H2958="중복")</f>
        <v>0</v>
      </c>
      <c r="K2960" s="5" t="str">
        <f aca="false">IF($J2960=FALSE(),"",COUNTIF($J$6:$J2960,TRUE()))</f>
        <v/>
      </c>
      <c r="L2960" s="5" t="str">
        <f aca="false">IF($K2960="","","R"&amp;$K2960)</f>
        <v/>
      </c>
    </row>
    <row r="2961" customFormat="false" ht="15" hidden="false" customHeight="true" outlineLevel="0" collapsed="false">
      <c r="J2961" s="14" t="b">
        <f aca="false">IF(중복검사!$A2959="",FALSE(),중복검사!$H2959="중복")</f>
        <v>0</v>
      </c>
      <c r="K2961" s="5" t="str">
        <f aca="false">IF($J2961=FALSE(),"",COUNTIF($J$6:$J2961,TRUE()))</f>
        <v/>
      </c>
      <c r="L2961" s="5" t="str">
        <f aca="false">IF($K2961="","","R"&amp;$K2961)</f>
        <v/>
      </c>
    </row>
    <row r="2962" customFormat="false" ht="15" hidden="false" customHeight="true" outlineLevel="0" collapsed="false">
      <c r="J2962" s="14" t="b">
        <f aca="false">IF(중복검사!$A2960="",FALSE(),중복검사!$H2960="중복")</f>
        <v>0</v>
      </c>
      <c r="K2962" s="5" t="str">
        <f aca="false">IF($J2962=FALSE(),"",COUNTIF($J$6:$J2962,TRUE()))</f>
        <v/>
      </c>
      <c r="L2962" s="5" t="str">
        <f aca="false">IF($K2962="","","R"&amp;$K2962)</f>
        <v/>
      </c>
    </row>
    <row r="2963" customFormat="false" ht="15" hidden="false" customHeight="true" outlineLevel="0" collapsed="false">
      <c r="J2963" s="14" t="b">
        <f aca="false">IF(중복검사!$A2961="",FALSE(),중복검사!$H2961="중복")</f>
        <v>0</v>
      </c>
      <c r="K2963" s="5" t="str">
        <f aca="false">IF($J2963=FALSE(),"",COUNTIF($J$6:$J2963,TRUE()))</f>
        <v/>
      </c>
      <c r="L2963" s="5" t="str">
        <f aca="false">IF($K2963="","","R"&amp;$K2963)</f>
        <v/>
      </c>
    </row>
    <row r="2964" customFormat="false" ht="15" hidden="false" customHeight="true" outlineLevel="0" collapsed="false">
      <c r="J2964" s="14" t="b">
        <f aca="false">IF(중복검사!$A2962="",FALSE(),중복검사!$H2962="중복")</f>
        <v>0</v>
      </c>
      <c r="K2964" s="5" t="str">
        <f aca="false">IF($J2964=FALSE(),"",COUNTIF($J$6:$J2964,TRUE()))</f>
        <v/>
      </c>
      <c r="L2964" s="5" t="str">
        <f aca="false">IF($K2964="","","R"&amp;$K2964)</f>
        <v/>
      </c>
    </row>
    <row r="2965" customFormat="false" ht="15" hidden="false" customHeight="true" outlineLevel="0" collapsed="false">
      <c r="J2965" s="14" t="b">
        <f aca="false">IF(중복검사!$A2963="",FALSE(),중복검사!$H2963="중복")</f>
        <v>0</v>
      </c>
      <c r="K2965" s="5" t="str">
        <f aca="false">IF($J2965=FALSE(),"",COUNTIF($J$6:$J2965,TRUE()))</f>
        <v/>
      </c>
      <c r="L2965" s="5" t="str">
        <f aca="false">IF($K2965="","","R"&amp;$K2965)</f>
        <v/>
      </c>
    </row>
    <row r="2966" customFormat="false" ht="15" hidden="false" customHeight="true" outlineLevel="0" collapsed="false">
      <c r="J2966" s="14" t="b">
        <f aca="false">IF(중복검사!$A2964="",FALSE(),중복검사!$H2964="중복")</f>
        <v>0</v>
      </c>
      <c r="K2966" s="5" t="str">
        <f aca="false">IF($J2966=FALSE(),"",COUNTIF($J$6:$J2966,TRUE()))</f>
        <v/>
      </c>
      <c r="L2966" s="5" t="str">
        <f aca="false">IF($K2966="","","R"&amp;$K2966)</f>
        <v/>
      </c>
    </row>
    <row r="2967" customFormat="false" ht="15" hidden="false" customHeight="true" outlineLevel="0" collapsed="false">
      <c r="J2967" s="14" t="b">
        <f aca="false">IF(중복검사!$A2965="",FALSE(),중복검사!$H2965="중복")</f>
        <v>0</v>
      </c>
      <c r="K2967" s="5" t="str">
        <f aca="false">IF($J2967=FALSE(),"",COUNTIF($J$6:$J2967,TRUE()))</f>
        <v/>
      </c>
      <c r="L2967" s="5" t="str">
        <f aca="false">IF($K2967="","","R"&amp;$K2967)</f>
        <v/>
      </c>
    </row>
    <row r="2968" customFormat="false" ht="15" hidden="false" customHeight="true" outlineLevel="0" collapsed="false">
      <c r="J2968" s="14" t="b">
        <f aca="false">IF(중복검사!$A2966="",FALSE(),중복검사!$H2966="중복")</f>
        <v>0</v>
      </c>
      <c r="K2968" s="5" t="str">
        <f aca="false">IF($J2968=FALSE(),"",COUNTIF($J$6:$J2968,TRUE()))</f>
        <v/>
      </c>
      <c r="L2968" s="5" t="str">
        <f aca="false">IF($K2968="","","R"&amp;$K2968)</f>
        <v/>
      </c>
    </row>
    <row r="2969" customFormat="false" ht="15" hidden="false" customHeight="true" outlineLevel="0" collapsed="false">
      <c r="J2969" s="14" t="b">
        <f aca="false">IF(중복검사!$A2967="",FALSE(),중복검사!$H2967="중복")</f>
        <v>0</v>
      </c>
      <c r="K2969" s="5" t="str">
        <f aca="false">IF($J2969=FALSE(),"",COUNTIF($J$6:$J2969,TRUE()))</f>
        <v/>
      </c>
      <c r="L2969" s="5" t="str">
        <f aca="false">IF($K2969="","","R"&amp;$K2969)</f>
        <v/>
      </c>
    </row>
    <row r="2970" customFormat="false" ht="15" hidden="false" customHeight="true" outlineLevel="0" collapsed="false">
      <c r="J2970" s="14" t="b">
        <f aca="false">IF(중복검사!$A2968="",FALSE(),중복검사!$H2968="중복")</f>
        <v>0</v>
      </c>
      <c r="K2970" s="5" t="str">
        <f aca="false">IF($J2970=FALSE(),"",COUNTIF($J$6:$J2970,TRUE()))</f>
        <v/>
      </c>
      <c r="L2970" s="5" t="str">
        <f aca="false">IF($K2970="","","R"&amp;$K2970)</f>
        <v/>
      </c>
    </row>
    <row r="2971" customFormat="false" ht="15" hidden="false" customHeight="true" outlineLevel="0" collapsed="false">
      <c r="J2971" s="14" t="b">
        <f aca="false">IF(중복검사!$A2969="",FALSE(),중복검사!$H2969="중복")</f>
        <v>0</v>
      </c>
      <c r="K2971" s="5" t="str">
        <f aca="false">IF($J2971=FALSE(),"",COUNTIF($J$6:$J2971,TRUE()))</f>
        <v/>
      </c>
      <c r="L2971" s="5" t="str">
        <f aca="false">IF($K2971="","","R"&amp;$K2971)</f>
        <v/>
      </c>
    </row>
    <row r="2972" customFormat="false" ht="15" hidden="false" customHeight="true" outlineLevel="0" collapsed="false">
      <c r="J2972" s="14" t="b">
        <f aca="false">IF(중복검사!$A2970="",FALSE(),중복검사!$H2970="중복")</f>
        <v>0</v>
      </c>
      <c r="K2972" s="5" t="str">
        <f aca="false">IF($J2972=FALSE(),"",COUNTIF($J$6:$J2972,TRUE()))</f>
        <v/>
      </c>
      <c r="L2972" s="5" t="str">
        <f aca="false">IF($K2972="","","R"&amp;$K2972)</f>
        <v/>
      </c>
    </row>
    <row r="2973" customFormat="false" ht="15" hidden="false" customHeight="true" outlineLevel="0" collapsed="false">
      <c r="J2973" s="14" t="b">
        <f aca="false">IF(중복검사!$A2971="",FALSE(),중복검사!$H2971="중복")</f>
        <v>0</v>
      </c>
      <c r="K2973" s="5" t="str">
        <f aca="false">IF($J2973=FALSE(),"",COUNTIF($J$6:$J2973,TRUE()))</f>
        <v/>
      </c>
      <c r="L2973" s="5" t="str">
        <f aca="false">IF($K2973="","","R"&amp;$K2973)</f>
        <v/>
      </c>
    </row>
    <row r="2974" customFormat="false" ht="15" hidden="false" customHeight="true" outlineLevel="0" collapsed="false">
      <c r="J2974" s="14" t="b">
        <f aca="false">IF(중복검사!$A2972="",FALSE(),중복검사!$H2972="중복")</f>
        <v>0</v>
      </c>
      <c r="K2974" s="5" t="str">
        <f aca="false">IF($J2974=FALSE(),"",COUNTIF($J$6:$J2974,TRUE()))</f>
        <v/>
      </c>
      <c r="L2974" s="5" t="str">
        <f aca="false">IF($K2974="","","R"&amp;$K2974)</f>
        <v/>
      </c>
    </row>
    <row r="2975" customFormat="false" ht="15" hidden="false" customHeight="true" outlineLevel="0" collapsed="false">
      <c r="J2975" s="14" t="b">
        <f aca="false">IF(중복검사!$A2973="",FALSE(),중복검사!$H2973="중복")</f>
        <v>0</v>
      </c>
      <c r="K2975" s="5" t="str">
        <f aca="false">IF($J2975=FALSE(),"",COUNTIF($J$6:$J2975,TRUE()))</f>
        <v/>
      </c>
      <c r="L2975" s="5" t="str">
        <f aca="false">IF($K2975="","","R"&amp;$K2975)</f>
        <v/>
      </c>
    </row>
    <row r="2976" customFormat="false" ht="15" hidden="false" customHeight="true" outlineLevel="0" collapsed="false">
      <c r="J2976" s="14" t="b">
        <f aca="false">IF(중복검사!$A2974="",FALSE(),중복검사!$H2974="중복")</f>
        <v>0</v>
      </c>
      <c r="K2976" s="5" t="str">
        <f aca="false">IF($J2976=FALSE(),"",COUNTIF($J$6:$J2976,TRUE()))</f>
        <v/>
      </c>
      <c r="L2976" s="5" t="str">
        <f aca="false">IF($K2976="","","R"&amp;$K2976)</f>
        <v/>
      </c>
    </row>
    <row r="2977" customFormat="false" ht="15" hidden="false" customHeight="true" outlineLevel="0" collapsed="false">
      <c r="J2977" s="14" t="b">
        <f aca="false">IF(중복검사!$A2975="",FALSE(),중복검사!$H2975="중복")</f>
        <v>0</v>
      </c>
      <c r="K2977" s="5" t="str">
        <f aca="false">IF($J2977=FALSE(),"",COUNTIF($J$6:$J2977,TRUE()))</f>
        <v/>
      </c>
      <c r="L2977" s="5" t="str">
        <f aca="false">IF($K2977="","","R"&amp;$K2977)</f>
        <v/>
      </c>
    </row>
    <row r="2978" customFormat="false" ht="15" hidden="false" customHeight="true" outlineLevel="0" collapsed="false">
      <c r="J2978" s="14" t="b">
        <f aca="false">IF(중복검사!$A2976="",FALSE(),중복검사!$H2976="중복")</f>
        <v>0</v>
      </c>
      <c r="K2978" s="5" t="str">
        <f aca="false">IF($J2978=FALSE(),"",COUNTIF($J$6:$J2978,TRUE()))</f>
        <v/>
      </c>
      <c r="L2978" s="5" t="str">
        <f aca="false">IF($K2978="","","R"&amp;$K2978)</f>
        <v/>
      </c>
    </row>
    <row r="2979" customFormat="false" ht="15" hidden="false" customHeight="true" outlineLevel="0" collapsed="false">
      <c r="J2979" s="14" t="b">
        <f aca="false">IF(중복검사!$A2977="",FALSE(),중복검사!$H2977="중복")</f>
        <v>0</v>
      </c>
      <c r="K2979" s="5" t="str">
        <f aca="false">IF($J2979=FALSE(),"",COUNTIF($J$6:$J2979,TRUE()))</f>
        <v/>
      </c>
      <c r="L2979" s="5" t="str">
        <f aca="false">IF($K2979="","","R"&amp;$K2979)</f>
        <v/>
      </c>
    </row>
    <row r="2980" customFormat="false" ht="15" hidden="false" customHeight="true" outlineLevel="0" collapsed="false">
      <c r="J2980" s="14" t="b">
        <f aca="false">IF(중복검사!$A2978="",FALSE(),중복검사!$H2978="중복")</f>
        <v>0</v>
      </c>
      <c r="K2980" s="5" t="str">
        <f aca="false">IF($J2980=FALSE(),"",COUNTIF($J$6:$J2980,TRUE()))</f>
        <v/>
      </c>
      <c r="L2980" s="5" t="str">
        <f aca="false">IF($K2980="","","R"&amp;$K2980)</f>
        <v/>
      </c>
    </row>
    <row r="2981" customFormat="false" ht="15" hidden="false" customHeight="true" outlineLevel="0" collapsed="false">
      <c r="J2981" s="14" t="b">
        <f aca="false">IF(중복검사!$A2979="",FALSE(),중복검사!$H2979="중복")</f>
        <v>0</v>
      </c>
      <c r="K2981" s="5" t="str">
        <f aca="false">IF($J2981=FALSE(),"",COUNTIF($J$6:$J2981,TRUE()))</f>
        <v/>
      </c>
      <c r="L2981" s="5" t="str">
        <f aca="false">IF($K2981="","","R"&amp;$K2981)</f>
        <v/>
      </c>
    </row>
    <row r="2982" customFormat="false" ht="15" hidden="false" customHeight="true" outlineLevel="0" collapsed="false">
      <c r="J2982" s="14" t="b">
        <f aca="false">IF(중복검사!$A2980="",FALSE(),중복검사!$H2980="중복")</f>
        <v>0</v>
      </c>
      <c r="K2982" s="5" t="str">
        <f aca="false">IF($J2982=FALSE(),"",COUNTIF($J$6:$J2982,TRUE()))</f>
        <v/>
      </c>
      <c r="L2982" s="5" t="str">
        <f aca="false">IF($K2982="","","R"&amp;$K2982)</f>
        <v/>
      </c>
    </row>
    <row r="2983" customFormat="false" ht="15" hidden="false" customHeight="true" outlineLevel="0" collapsed="false">
      <c r="J2983" s="14" t="b">
        <f aca="false">IF(중복검사!$A2981="",FALSE(),중복검사!$H2981="중복")</f>
        <v>0</v>
      </c>
      <c r="K2983" s="5" t="str">
        <f aca="false">IF($J2983=FALSE(),"",COUNTIF($J$6:$J2983,TRUE()))</f>
        <v/>
      </c>
      <c r="L2983" s="5" t="str">
        <f aca="false">IF($K2983="","","R"&amp;$K2983)</f>
        <v/>
      </c>
    </row>
    <row r="2984" customFormat="false" ht="15" hidden="false" customHeight="true" outlineLevel="0" collapsed="false">
      <c r="J2984" s="14" t="b">
        <f aca="false">IF(중복검사!$A2982="",FALSE(),중복검사!$H2982="중복")</f>
        <v>0</v>
      </c>
      <c r="K2984" s="5" t="str">
        <f aca="false">IF($J2984=FALSE(),"",COUNTIF($J$6:$J2984,TRUE()))</f>
        <v/>
      </c>
      <c r="L2984" s="5" t="str">
        <f aca="false">IF($K2984="","","R"&amp;$K2984)</f>
        <v/>
      </c>
    </row>
    <row r="2985" customFormat="false" ht="15" hidden="false" customHeight="true" outlineLevel="0" collapsed="false">
      <c r="J2985" s="14" t="b">
        <f aca="false">IF(중복검사!$A2983="",FALSE(),중복검사!$H2983="중복")</f>
        <v>0</v>
      </c>
      <c r="K2985" s="5" t="str">
        <f aca="false">IF($J2985=FALSE(),"",COUNTIF($J$6:$J2985,TRUE()))</f>
        <v/>
      </c>
      <c r="L2985" s="5" t="str">
        <f aca="false">IF($K2985="","","R"&amp;$K2985)</f>
        <v/>
      </c>
    </row>
    <row r="2986" customFormat="false" ht="15" hidden="false" customHeight="true" outlineLevel="0" collapsed="false">
      <c r="J2986" s="14" t="b">
        <f aca="false">IF(중복검사!$A2984="",FALSE(),중복검사!$H2984="중복")</f>
        <v>0</v>
      </c>
      <c r="K2986" s="5" t="str">
        <f aca="false">IF($J2986=FALSE(),"",COUNTIF($J$6:$J2986,TRUE()))</f>
        <v/>
      </c>
      <c r="L2986" s="5" t="str">
        <f aca="false">IF($K2986="","","R"&amp;$K2986)</f>
        <v/>
      </c>
    </row>
    <row r="2987" customFormat="false" ht="15" hidden="false" customHeight="true" outlineLevel="0" collapsed="false">
      <c r="J2987" s="14" t="b">
        <f aca="false">IF(중복검사!$A2985="",FALSE(),중복검사!$H2985="중복")</f>
        <v>0</v>
      </c>
      <c r="K2987" s="5" t="str">
        <f aca="false">IF($J2987=FALSE(),"",COUNTIF($J$6:$J2987,TRUE()))</f>
        <v/>
      </c>
      <c r="L2987" s="5" t="str">
        <f aca="false">IF($K2987="","","R"&amp;$K2987)</f>
        <v/>
      </c>
    </row>
    <row r="2988" customFormat="false" ht="15" hidden="false" customHeight="true" outlineLevel="0" collapsed="false">
      <c r="J2988" s="14" t="b">
        <f aca="false">IF(중복검사!$A2986="",FALSE(),중복검사!$H2986="중복")</f>
        <v>0</v>
      </c>
      <c r="K2988" s="5" t="str">
        <f aca="false">IF($J2988=FALSE(),"",COUNTIF($J$6:$J2988,TRUE()))</f>
        <v/>
      </c>
      <c r="L2988" s="5" t="str">
        <f aca="false">IF($K2988="","","R"&amp;$K2988)</f>
        <v/>
      </c>
    </row>
    <row r="2989" customFormat="false" ht="15" hidden="false" customHeight="true" outlineLevel="0" collapsed="false">
      <c r="J2989" s="14" t="b">
        <f aca="false">IF(중복검사!$A2987="",FALSE(),중복검사!$H2987="중복")</f>
        <v>0</v>
      </c>
      <c r="K2989" s="5" t="str">
        <f aca="false">IF($J2989=FALSE(),"",COUNTIF($J$6:$J2989,TRUE()))</f>
        <v/>
      </c>
      <c r="L2989" s="5" t="str">
        <f aca="false">IF($K2989="","","R"&amp;$K2989)</f>
        <v/>
      </c>
    </row>
    <row r="2990" customFormat="false" ht="15" hidden="false" customHeight="true" outlineLevel="0" collapsed="false">
      <c r="J2990" s="14" t="b">
        <f aca="false">IF(중복검사!$A2988="",FALSE(),중복검사!$H2988="중복")</f>
        <v>0</v>
      </c>
      <c r="K2990" s="5" t="str">
        <f aca="false">IF($J2990=FALSE(),"",COUNTIF($J$6:$J2990,TRUE()))</f>
        <v/>
      </c>
      <c r="L2990" s="5" t="str">
        <f aca="false">IF($K2990="","","R"&amp;$K2990)</f>
        <v/>
      </c>
    </row>
    <row r="2991" customFormat="false" ht="15" hidden="false" customHeight="true" outlineLevel="0" collapsed="false">
      <c r="J2991" s="14" t="b">
        <f aca="false">IF(중복검사!$A2989="",FALSE(),중복검사!$H2989="중복")</f>
        <v>0</v>
      </c>
      <c r="K2991" s="5" t="str">
        <f aca="false">IF($J2991=FALSE(),"",COUNTIF($J$6:$J2991,TRUE()))</f>
        <v/>
      </c>
      <c r="L2991" s="5" t="str">
        <f aca="false">IF($K2991="","","R"&amp;$K2991)</f>
        <v/>
      </c>
    </row>
    <row r="2992" customFormat="false" ht="15" hidden="false" customHeight="true" outlineLevel="0" collapsed="false">
      <c r="J2992" s="14" t="b">
        <f aca="false">IF(중복검사!$A2990="",FALSE(),중복검사!$H2990="중복")</f>
        <v>0</v>
      </c>
      <c r="K2992" s="5" t="str">
        <f aca="false">IF($J2992=FALSE(),"",COUNTIF($J$6:$J2992,TRUE()))</f>
        <v/>
      </c>
      <c r="L2992" s="5" t="str">
        <f aca="false">IF($K2992="","","R"&amp;$K2992)</f>
        <v/>
      </c>
    </row>
    <row r="2993" customFormat="false" ht="15" hidden="false" customHeight="true" outlineLevel="0" collapsed="false">
      <c r="J2993" s="14" t="b">
        <f aca="false">IF(중복검사!$A2991="",FALSE(),중복검사!$H2991="중복")</f>
        <v>0</v>
      </c>
      <c r="K2993" s="5" t="str">
        <f aca="false">IF($J2993=FALSE(),"",COUNTIF($J$6:$J2993,TRUE()))</f>
        <v/>
      </c>
      <c r="L2993" s="5" t="str">
        <f aca="false">IF($K2993="","","R"&amp;$K2993)</f>
        <v/>
      </c>
    </row>
    <row r="2994" customFormat="false" ht="15" hidden="false" customHeight="true" outlineLevel="0" collapsed="false">
      <c r="J2994" s="14" t="b">
        <f aca="false">IF(중복검사!$A2992="",FALSE(),중복검사!$H2992="중복")</f>
        <v>0</v>
      </c>
      <c r="K2994" s="5" t="str">
        <f aca="false">IF($J2994=FALSE(),"",COUNTIF($J$6:$J2994,TRUE()))</f>
        <v/>
      </c>
      <c r="L2994" s="5" t="str">
        <f aca="false">IF($K2994="","","R"&amp;$K2994)</f>
        <v/>
      </c>
    </row>
    <row r="2995" customFormat="false" ht="15" hidden="false" customHeight="true" outlineLevel="0" collapsed="false">
      <c r="J2995" s="14" t="b">
        <f aca="false">IF(중복검사!$A2993="",FALSE(),중복검사!$H2993="중복")</f>
        <v>0</v>
      </c>
      <c r="K2995" s="5" t="str">
        <f aca="false">IF($J2995=FALSE(),"",COUNTIF($J$6:$J2995,TRUE()))</f>
        <v/>
      </c>
      <c r="L2995" s="5" t="str">
        <f aca="false">IF($K2995="","","R"&amp;$K2995)</f>
        <v/>
      </c>
    </row>
    <row r="2996" customFormat="false" ht="15" hidden="false" customHeight="true" outlineLevel="0" collapsed="false">
      <c r="J2996" s="14" t="b">
        <f aca="false">IF(중복검사!$A2994="",FALSE(),중복검사!$H2994="중복")</f>
        <v>0</v>
      </c>
      <c r="K2996" s="5" t="str">
        <f aca="false">IF($J2996=FALSE(),"",COUNTIF($J$6:$J2996,TRUE()))</f>
        <v/>
      </c>
      <c r="L2996" s="5" t="str">
        <f aca="false">IF($K2996="","","R"&amp;$K2996)</f>
        <v/>
      </c>
    </row>
    <row r="2997" customFormat="false" ht="15" hidden="false" customHeight="true" outlineLevel="0" collapsed="false">
      <c r="J2997" s="14" t="b">
        <f aca="false">IF(중복검사!$A2995="",FALSE(),중복검사!$H2995="중복")</f>
        <v>0</v>
      </c>
      <c r="K2997" s="5" t="str">
        <f aca="false">IF($J2997=FALSE(),"",COUNTIF($J$6:$J2997,TRUE()))</f>
        <v/>
      </c>
      <c r="L2997" s="5" t="str">
        <f aca="false">IF($K2997="","","R"&amp;$K2997)</f>
        <v/>
      </c>
    </row>
    <row r="2998" customFormat="false" ht="15" hidden="false" customHeight="true" outlineLevel="0" collapsed="false">
      <c r="J2998" s="14" t="b">
        <f aca="false">IF(중복검사!$A2996="",FALSE(),중복검사!$H2996="중복")</f>
        <v>0</v>
      </c>
      <c r="K2998" s="5" t="str">
        <f aca="false">IF($J2998=FALSE(),"",COUNTIF($J$6:$J2998,TRUE()))</f>
        <v/>
      </c>
      <c r="L2998" s="5" t="str">
        <f aca="false">IF($K2998="","","R"&amp;$K2998)</f>
        <v/>
      </c>
    </row>
    <row r="2999" customFormat="false" ht="15" hidden="false" customHeight="true" outlineLevel="0" collapsed="false">
      <c r="J2999" s="14" t="b">
        <f aca="false">IF(중복검사!$A2997="",FALSE(),중복검사!$H2997="중복")</f>
        <v>0</v>
      </c>
      <c r="K2999" s="5" t="str">
        <f aca="false">IF($J2999=FALSE(),"",COUNTIF($J$6:$J2999,TRUE()))</f>
        <v/>
      </c>
      <c r="L2999" s="5" t="str">
        <f aca="false">IF($K2999="","","R"&amp;$K2999)</f>
        <v/>
      </c>
    </row>
    <row r="3000" customFormat="false" ht="15" hidden="false" customHeight="true" outlineLevel="0" collapsed="false">
      <c r="J3000" s="14" t="b">
        <f aca="false">IF(중복검사!$A2998="",FALSE(),중복검사!$H2998="중복")</f>
        <v>0</v>
      </c>
      <c r="K3000" s="5" t="str">
        <f aca="false">IF($J3000=FALSE(),"",COUNTIF($J$6:$J3000,TRUE()))</f>
        <v/>
      </c>
      <c r="L3000" s="5" t="str">
        <f aca="false">IF($K3000="","","R"&amp;$K3000)</f>
        <v/>
      </c>
    </row>
    <row r="3001" customFormat="false" ht="15" hidden="false" customHeight="true" outlineLevel="0" collapsed="false">
      <c r="J3001" s="14" t="b">
        <f aca="false">IF(중복검사!$A2999="",FALSE(),중복검사!$H2999="중복")</f>
        <v>0</v>
      </c>
      <c r="K3001" s="5" t="str">
        <f aca="false">IF($J3001=FALSE(),"",COUNTIF($J$6:$J3001,TRUE()))</f>
        <v/>
      </c>
      <c r="L3001" s="5" t="str">
        <f aca="false">IF($K3001="","","R"&amp;$K3001)</f>
        <v/>
      </c>
    </row>
    <row r="3002" customFormat="false" ht="15" hidden="false" customHeight="true" outlineLevel="0" collapsed="false">
      <c r="J3002" s="14" t="b">
        <f aca="false">IF(중복검사!$A3000="",FALSE(),중복검사!$H3000="중복")</f>
        <v>0</v>
      </c>
      <c r="K3002" s="5" t="str">
        <f aca="false">IF($J3002=FALSE(),"",COUNTIF($J$6:$J3002,TRUE()))</f>
        <v/>
      </c>
      <c r="L3002" s="5" t="str">
        <f aca="false">IF($K3002="","","R"&amp;$K3002)</f>
        <v/>
      </c>
    </row>
    <row r="3003" customFormat="false" ht="15" hidden="false" customHeight="true" outlineLevel="0" collapsed="false">
      <c r="J3003" s="14" t="b">
        <f aca="false">IF(중복검사!$A3001="",FALSE(),중복검사!$H3001="중복")</f>
        <v>0</v>
      </c>
      <c r="K3003" s="5" t="str">
        <f aca="false">IF($J3003=FALSE(),"",COUNTIF($J$6:$J3003,TRUE()))</f>
        <v/>
      </c>
      <c r="L3003" s="5" t="str">
        <f aca="false">IF($K3003="","","R"&amp;$K3003)</f>
        <v/>
      </c>
    </row>
    <row r="3004" customFormat="false" ht="15" hidden="false" customHeight="true" outlineLevel="0" collapsed="false">
      <c r="J3004" s="14" t="b">
        <f aca="false">IF(중복검사!$A3002="",FALSE(),중복검사!$H3002="중복")</f>
        <v>0</v>
      </c>
      <c r="K3004" s="5" t="str">
        <f aca="false">IF($J3004=FALSE(),"",COUNTIF($J$6:$J3004,TRUE()))</f>
        <v/>
      </c>
      <c r="L3004" s="5" t="str">
        <f aca="false">IF($K3004="","","R"&amp;$K3004)</f>
        <v/>
      </c>
    </row>
    <row r="3005" customFormat="false" ht="15" hidden="false" customHeight="true" outlineLevel="0" collapsed="false">
      <c r="J3005" s="14" t="b">
        <f aca="false">IF(중복검사!$A3003="",FALSE(),중복검사!$H3003="중복")</f>
        <v>0</v>
      </c>
      <c r="K3005" s="5" t="str">
        <f aca="false">IF($J3005=FALSE(),"",COUNTIF($J$6:$J3005,TRUE()))</f>
        <v/>
      </c>
      <c r="L3005" s="5" t="str">
        <f aca="false">IF($K3005="","","R"&amp;$K3005)</f>
        <v/>
      </c>
    </row>
    <row r="3006" customFormat="false" ht="15" hidden="false" customHeight="true" outlineLevel="0" collapsed="false">
      <c r="J3006" s="14" t="b">
        <f aca="false">IF(중복검사!$A3004="",FALSE(),중복검사!$H3004="중복")</f>
        <v>0</v>
      </c>
      <c r="K3006" s="5" t="str">
        <f aca="false">IF($J3006=FALSE(),"",COUNTIF($J$6:$J3006,TRUE()))</f>
        <v/>
      </c>
      <c r="L3006" s="5" t="str">
        <f aca="false">IF($K3006="","","R"&amp;$K3006)</f>
        <v/>
      </c>
    </row>
    <row r="3007" customFormat="false" ht="15" hidden="false" customHeight="true" outlineLevel="0" collapsed="false">
      <c r="J3007" s="14" t="b">
        <f aca="false">IF(중복검사!$A3005="",FALSE(),중복검사!$H3005="중복")</f>
        <v>0</v>
      </c>
      <c r="K3007" s="5" t="str">
        <f aca="false">IF($J3007=FALSE(),"",COUNTIF($J$6:$J3007,TRUE()))</f>
        <v/>
      </c>
      <c r="L3007" s="5" t="str">
        <f aca="false">IF($K3007="","","R"&amp;$K3007)</f>
        <v/>
      </c>
    </row>
    <row r="3008" customFormat="false" ht="15" hidden="false" customHeight="true" outlineLevel="0" collapsed="false">
      <c r="J3008" s="14" t="b">
        <f aca="false">IF(중복검사!$A3006="",FALSE(),중복검사!$H3006="중복")</f>
        <v>0</v>
      </c>
      <c r="K3008" s="5" t="str">
        <f aca="false">IF($J3008=FALSE(),"",COUNTIF($J$6:$J3008,TRUE()))</f>
        <v/>
      </c>
      <c r="L3008" s="5" t="str">
        <f aca="false">IF($K3008="","","R"&amp;$K3008)</f>
        <v/>
      </c>
    </row>
    <row r="3009" customFormat="false" ht="15" hidden="false" customHeight="true" outlineLevel="0" collapsed="false">
      <c r="J3009" s="14" t="b">
        <f aca="false">IF(중복검사!$A3007="",FALSE(),중복검사!$H3007="중복")</f>
        <v>0</v>
      </c>
      <c r="K3009" s="5" t="str">
        <f aca="false">IF($J3009=FALSE(),"",COUNTIF($J$6:$J3009,TRUE()))</f>
        <v/>
      </c>
      <c r="L3009" s="5" t="str">
        <f aca="false">IF($K3009="","","R"&amp;$K3009)</f>
        <v/>
      </c>
    </row>
    <row r="3010" customFormat="false" ht="15" hidden="false" customHeight="true" outlineLevel="0" collapsed="false">
      <c r="J3010" s="14" t="b">
        <f aca="false">IF(중복검사!$A3008="",FALSE(),중복검사!$H3008="중복")</f>
        <v>0</v>
      </c>
      <c r="K3010" s="5" t="str">
        <f aca="false">IF($J3010=FALSE(),"",COUNTIF($J$6:$J3010,TRUE()))</f>
        <v/>
      </c>
      <c r="L3010" s="5" t="str">
        <f aca="false">IF($K3010="","","R"&amp;$K3010)</f>
        <v/>
      </c>
    </row>
    <row r="3011" customFormat="false" ht="15" hidden="false" customHeight="true" outlineLevel="0" collapsed="false">
      <c r="J3011" s="14" t="b">
        <f aca="false">IF(중복검사!$A3009="",FALSE(),중복검사!$H3009="중복")</f>
        <v>0</v>
      </c>
      <c r="K3011" s="5" t="str">
        <f aca="false">IF($J3011=FALSE(),"",COUNTIF($J$6:$J3011,TRUE()))</f>
        <v/>
      </c>
      <c r="L3011" s="5" t="str">
        <f aca="false">IF($K3011="","","R"&amp;$K3011)</f>
        <v/>
      </c>
    </row>
    <row r="3012" customFormat="false" ht="15" hidden="false" customHeight="true" outlineLevel="0" collapsed="false">
      <c r="J3012" s="14" t="b">
        <f aca="false">IF(중복검사!$A3010="",FALSE(),중복검사!$H3010="중복")</f>
        <v>0</v>
      </c>
      <c r="K3012" s="5" t="str">
        <f aca="false">IF($J3012=FALSE(),"",COUNTIF($J$6:$J3012,TRUE()))</f>
        <v/>
      </c>
      <c r="L3012" s="5" t="str">
        <f aca="false">IF($K3012="","","R"&amp;$K3012)</f>
        <v/>
      </c>
    </row>
    <row r="3013" customFormat="false" ht="15" hidden="false" customHeight="true" outlineLevel="0" collapsed="false">
      <c r="J3013" s="14" t="b">
        <f aca="false">IF(중복검사!$A3011="",FALSE(),중복검사!$H3011="중복")</f>
        <v>0</v>
      </c>
      <c r="K3013" s="5" t="str">
        <f aca="false">IF($J3013=FALSE(),"",COUNTIF($J$6:$J3013,TRUE()))</f>
        <v/>
      </c>
      <c r="L3013" s="5" t="str">
        <f aca="false">IF($K3013="","","R"&amp;$K3013)</f>
        <v/>
      </c>
    </row>
    <row r="3014" customFormat="false" ht="15" hidden="false" customHeight="true" outlineLevel="0" collapsed="false">
      <c r="J3014" s="14" t="b">
        <f aca="false">IF(중복검사!$A3012="",FALSE(),중복검사!$H3012="중복")</f>
        <v>0</v>
      </c>
      <c r="K3014" s="5" t="str">
        <f aca="false">IF($J3014=FALSE(),"",COUNTIF($J$6:$J3014,TRUE()))</f>
        <v/>
      </c>
      <c r="L3014" s="5" t="str">
        <f aca="false">IF($K3014="","","R"&amp;$K3014)</f>
        <v/>
      </c>
    </row>
    <row r="3015" customFormat="false" ht="15" hidden="false" customHeight="true" outlineLevel="0" collapsed="false">
      <c r="J3015" s="14" t="b">
        <f aca="false">IF(중복검사!$A3013="",FALSE(),중복검사!$H3013="중복")</f>
        <v>0</v>
      </c>
      <c r="K3015" s="5" t="str">
        <f aca="false">IF($J3015=FALSE(),"",COUNTIF($J$6:$J3015,TRUE()))</f>
        <v/>
      </c>
      <c r="L3015" s="5" t="str">
        <f aca="false">IF($K3015="","","R"&amp;$K3015)</f>
        <v/>
      </c>
    </row>
    <row r="3016" customFormat="false" ht="15" hidden="false" customHeight="true" outlineLevel="0" collapsed="false">
      <c r="J3016" s="14" t="b">
        <f aca="false">IF(중복검사!$A3014="",FALSE(),중복검사!$H3014="중복")</f>
        <v>0</v>
      </c>
      <c r="K3016" s="5" t="str">
        <f aca="false">IF($J3016=FALSE(),"",COUNTIF($J$6:$J3016,TRUE()))</f>
        <v/>
      </c>
      <c r="L3016" s="5" t="str">
        <f aca="false">IF($K3016="","","R"&amp;$K3016)</f>
        <v/>
      </c>
    </row>
    <row r="3017" customFormat="false" ht="15" hidden="false" customHeight="true" outlineLevel="0" collapsed="false">
      <c r="J3017" s="14" t="b">
        <f aca="false">IF(중복검사!$A3015="",FALSE(),중복검사!$H3015="중복")</f>
        <v>0</v>
      </c>
      <c r="K3017" s="5" t="str">
        <f aca="false">IF($J3017=FALSE(),"",COUNTIF($J$6:$J3017,TRUE()))</f>
        <v/>
      </c>
      <c r="L3017" s="5" t="str">
        <f aca="false">IF($K3017="","","R"&amp;$K3017)</f>
        <v/>
      </c>
    </row>
    <row r="3018" customFormat="false" ht="15" hidden="false" customHeight="true" outlineLevel="0" collapsed="false">
      <c r="J3018" s="14" t="b">
        <f aca="false">IF(중복검사!$A3016="",FALSE(),중복검사!$H3016="중복")</f>
        <v>0</v>
      </c>
      <c r="K3018" s="5" t="str">
        <f aca="false">IF($J3018=FALSE(),"",COUNTIF($J$6:$J3018,TRUE()))</f>
        <v/>
      </c>
      <c r="L3018" s="5" t="str">
        <f aca="false">IF($K3018="","","R"&amp;$K3018)</f>
        <v/>
      </c>
    </row>
    <row r="3019" customFormat="false" ht="15" hidden="false" customHeight="true" outlineLevel="0" collapsed="false">
      <c r="J3019" s="14" t="b">
        <f aca="false">IF(중복검사!$A3017="",FALSE(),중복검사!$H3017="중복")</f>
        <v>0</v>
      </c>
      <c r="K3019" s="5" t="str">
        <f aca="false">IF($J3019=FALSE(),"",COUNTIF($J$6:$J3019,TRUE()))</f>
        <v/>
      </c>
      <c r="L3019" s="5" t="str">
        <f aca="false">IF($K3019="","","R"&amp;$K3019)</f>
        <v/>
      </c>
    </row>
    <row r="3020" customFormat="false" ht="15" hidden="false" customHeight="true" outlineLevel="0" collapsed="false">
      <c r="J3020" s="14" t="b">
        <f aca="false">IF(중복검사!$A3018="",FALSE(),중복검사!$H3018="중복")</f>
        <v>0</v>
      </c>
      <c r="K3020" s="5" t="str">
        <f aca="false">IF($J3020=FALSE(),"",COUNTIF($J$6:$J3020,TRUE()))</f>
        <v/>
      </c>
      <c r="L3020" s="5" t="str">
        <f aca="false">IF($K3020="","","R"&amp;$K3020)</f>
        <v/>
      </c>
    </row>
    <row r="3021" customFormat="false" ht="15" hidden="false" customHeight="true" outlineLevel="0" collapsed="false">
      <c r="J3021" s="14" t="b">
        <f aca="false">IF(중복검사!$A3019="",FALSE(),중복검사!$H3019="중복")</f>
        <v>0</v>
      </c>
      <c r="K3021" s="5" t="str">
        <f aca="false">IF($J3021=FALSE(),"",COUNTIF($J$6:$J3021,TRUE()))</f>
        <v/>
      </c>
      <c r="L3021" s="5" t="str">
        <f aca="false">IF($K3021="","","R"&amp;$K3021)</f>
        <v/>
      </c>
    </row>
    <row r="3022" customFormat="false" ht="15" hidden="false" customHeight="true" outlineLevel="0" collapsed="false">
      <c r="J3022" s="14" t="b">
        <f aca="false">IF(중복검사!$A3020="",FALSE(),중복검사!$H3020="중복")</f>
        <v>0</v>
      </c>
      <c r="K3022" s="5" t="str">
        <f aca="false">IF($J3022=FALSE(),"",COUNTIF($J$6:$J3022,TRUE()))</f>
        <v/>
      </c>
      <c r="L3022" s="5" t="str">
        <f aca="false">IF($K3022="","","R"&amp;$K3022)</f>
        <v/>
      </c>
    </row>
    <row r="3023" customFormat="false" ht="15" hidden="false" customHeight="true" outlineLevel="0" collapsed="false">
      <c r="J3023" s="14" t="b">
        <f aca="false">IF(중복검사!$A3021="",FALSE(),중복검사!$H3021="중복")</f>
        <v>0</v>
      </c>
      <c r="K3023" s="5" t="str">
        <f aca="false">IF($J3023=FALSE(),"",COUNTIF($J$6:$J3023,TRUE()))</f>
        <v/>
      </c>
      <c r="L3023" s="5" t="str">
        <f aca="false">IF($K3023="","","R"&amp;$K3023)</f>
        <v/>
      </c>
    </row>
    <row r="3024" customFormat="false" ht="15" hidden="false" customHeight="true" outlineLevel="0" collapsed="false">
      <c r="J3024" s="14" t="b">
        <f aca="false">IF(중복검사!$A3022="",FALSE(),중복검사!$H3022="중복")</f>
        <v>0</v>
      </c>
      <c r="K3024" s="5" t="str">
        <f aca="false">IF($J3024=FALSE(),"",COUNTIF($J$6:$J3024,TRUE()))</f>
        <v/>
      </c>
      <c r="L3024" s="5" t="str">
        <f aca="false">IF($K3024="","","R"&amp;$K3024)</f>
        <v/>
      </c>
    </row>
    <row r="3025" customFormat="false" ht="15" hidden="false" customHeight="true" outlineLevel="0" collapsed="false">
      <c r="J3025" s="14" t="b">
        <f aca="false">IF(중복검사!$A3023="",FALSE(),중복검사!$H3023="중복")</f>
        <v>0</v>
      </c>
      <c r="K3025" s="5" t="str">
        <f aca="false">IF($J3025=FALSE(),"",COUNTIF($J$6:$J3025,TRUE()))</f>
        <v/>
      </c>
      <c r="L3025" s="5" t="str">
        <f aca="false">IF($K3025="","","R"&amp;$K3025)</f>
        <v/>
      </c>
    </row>
    <row r="3026" customFormat="false" ht="15" hidden="false" customHeight="true" outlineLevel="0" collapsed="false">
      <c r="J3026" s="14" t="b">
        <f aca="false">IF(중복검사!$A3024="",FALSE(),중복검사!$H3024="중복")</f>
        <v>0</v>
      </c>
      <c r="K3026" s="5" t="str">
        <f aca="false">IF($J3026=FALSE(),"",COUNTIF($J$6:$J3026,TRUE()))</f>
        <v/>
      </c>
      <c r="L3026" s="5" t="str">
        <f aca="false">IF($K3026="","","R"&amp;$K3026)</f>
        <v/>
      </c>
    </row>
    <row r="3027" customFormat="false" ht="15" hidden="false" customHeight="true" outlineLevel="0" collapsed="false">
      <c r="J3027" s="14" t="b">
        <f aca="false">IF(중복검사!$A3025="",FALSE(),중복검사!$H3025="중복")</f>
        <v>0</v>
      </c>
      <c r="K3027" s="5" t="str">
        <f aca="false">IF($J3027=FALSE(),"",COUNTIF($J$6:$J3027,TRUE()))</f>
        <v/>
      </c>
      <c r="L3027" s="5" t="str">
        <f aca="false">IF($K3027="","","R"&amp;$K3027)</f>
        <v/>
      </c>
    </row>
    <row r="3028" customFormat="false" ht="15" hidden="false" customHeight="true" outlineLevel="0" collapsed="false">
      <c r="J3028" s="14" t="b">
        <f aca="false">IF(중복검사!$A3026="",FALSE(),중복검사!$H3026="중복")</f>
        <v>0</v>
      </c>
      <c r="K3028" s="5" t="str">
        <f aca="false">IF($J3028=FALSE(),"",COUNTIF($J$6:$J3028,TRUE()))</f>
        <v/>
      </c>
      <c r="L3028" s="5" t="str">
        <f aca="false">IF($K3028="","","R"&amp;$K3028)</f>
        <v/>
      </c>
    </row>
    <row r="3029" customFormat="false" ht="15" hidden="false" customHeight="true" outlineLevel="0" collapsed="false">
      <c r="J3029" s="14" t="b">
        <f aca="false">IF(중복검사!$A3027="",FALSE(),중복검사!$H3027="중복")</f>
        <v>0</v>
      </c>
      <c r="K3029" s="5" t="str">
        <f aca="false">IF($J3029=FALSE(),"",COUNTIF($J$6:$J3029,TRUE()))</f>
        <v/>
      </c>
      <c r="L3029" s="5" t="str">
        <f aca="false">IF($K3029="","","R"&amp;$K3029)</f>
        <v/>
      </c>
    </row>
    <row r="3030" customFormat="false" ht="15" hidden="false" customHeight="true" outlineLevel="0" collapsed="false">
      <c r="J3030" s="14" t="b">
        <f aca="false">IF(중복검사!$A3028="",FALSE(),중복검사!$H3028="중복")</f>
        <v>0</v>
      </c>
      <c r="K3030" s="5" t="str">
        <f aca="false">IF($J3030=FALSE(),"",COUNTIF($J$6:$J3030,TRUE()))</f>
        <v/>
      </c>
      <c r="L3030" s="5" t="str">
        <f aca="false">IF($K3030="","","R"&amp;$K3030)</f>
        <v/>
      </c>
    </row>
    <row r="3031" customFormat="false" ht="15" hidden="false" customHeight="true" outlineLevel="0" collapsed="false">
      <c r="J3031" s="14" t="b">
        <f aca="false">IF(중복검사!$A3029="",FALSE(),중복검사!$H3029="중복")</f>
        <v>0</v>
      </c>
      <c r="K3031" s="5" t="str">
        <f aca="false">IF($J3031=FALSE(),"",COUNTIF($J$6:$J3031,TRUE()))</f>
        <v/>
      </c>
      <c r="L3031" s="5" t="str">
        <f aca="false">IF($K3031="","","R"&amp;$K3031)</f>
        <v/>
      </c>
    </row>
    <row r="3032" customFormat="false" ht="15" hidden="false" customHeight="true" outlineLevel="0" collapsed="false">
      <c r="J3032" s="14" t="b">
        <f aca="false">IF(중복검사!$A3030="",FALSE(),중복검사!$H3030="중복")</f>
        <v>0</v>
      </c>
      <c r="K3032" s="5" t="str">
        <f aca="false">IF($J3032=FALSE(),"",COUNTIF($J$6:$J3032,TRUE()))</f>
        <v/>
      </c>
      <c r="L3032" s="5" t="str">
        <f aca="false">IF($K3032="","","R"&amp;$K3032)</f>
        <v/>
      </c>
    </row>
    <row r="3033" customFormat="false" ht="15" hidden="false" customHeight="true" outlineLevel="0" collapsed="false">
      <c r="J3033" s="14" t="b">
        <f aca="false">IF(중복검사!$A3031="",FALSE(),중복검사!$H3031="중복")</f>
        <v>0</v>
      </c>
      <c r="K3033" s="5" t="str">
        <f aca="false">IF($J3033=FALSE(),"",COUNTIF($J$6:$J3033,TRUE()))</f>
        <v/>
      </c>
      <c r="L3033" s="5" t="str">
        <f aca="false">IF($K3033="","","R"&amp;$K3033)</f>
        <v/>
      </c>
    </row>
    <row r="3034" customFormat="false" ht="15" hidden="false" customHeight="true" outlineLevel="0" collapsed="false">
      <c r="J3034" s="14" t="b">
        <f aca="false">IF(중복검사!$A3032="",FALSE(),중복검사!$H3032="중복")</f>
        <v>0</v>
      </c>
      <c r="K3034" s="5" t="str">
        <f aca="false">IF($J3034=FALSE(),"",COUNTIF($J$6:$J3034,TRUE()))</f>
        <v/>
      </c>
      <c r="L3034" s="5" t="str">
        <f aca="false">IF($K3034="","","R"&amp;$K3034)</f>
        <v/>
      </c>
    </row>
    <row r="3035" customFormat="false" ht="15" hidden="false" customHeight="true" outlineLevel="0" collapsed="false">
      <c r="J3035" s="14" t="b">
        <f aca="false">IF(중복검사!$A3033="",FALSE(),중복검사!$H3033="중복")</f>
        <v>0</v>
      </c>
      <c r="K3035" s="5" t="str">
        <f aca="false">IF($J3035=FALSE(),"",COUNTIF($J$6:$J3035,TRUE()))</f>
        <v/>
      </c>
      <c r="L3035" s="5" t="str">
        <f aca="false">IF($K3035="","","R"&amp;$K3035)</f>
        <v/>
      </c>
    </row>
    <row r="3036" customFormat="false" ht="15" hidden="false" customHeight="true" outlineLevel="0" collapsed="false">
      <c r="J3036" s="14" t="b">
        <f aca="false">IF(중복검사!$A3034="",FALSE(),중복검사!$H3034="중복")</f>
        <v>0</v>
      </c>
      <c r="K3036" s="5" t="str">
        <f aca="false">IF($J3036=FALSE(),"",COUNTIF($J$6:$J3036,TRUE()))</f>
        <v/>
      </c>
      <c r="L3036" s="5" t="str">
        <f aca="false">IF($K3036="","","R"&amp;$K3036)</f>
        <v/>
      </c>
    </row>
    <row r="3037" customFormat="false" ht="15" hidden="false" customHeight="true" outlineLevel="0" collapsed="false">
      <c r="J3037" s="14" t="b">
        <f aca="false">IF(중복검사!$A3035="",FALSE(),중복검사!$H3035="중복")</f>
        <v>0</v>
      </c>
      <c r="K3037" s="5" t="str">
        <f aca="false">IF($J3037=FALSE(),"",COUNTIF($J$6:$J3037,TRUE()))</f>
        <v/>
      </c>
      <c r="L3037" s="5" t="str">
        <f aca="false">IF($K3037="","","R"&amp;$K3037)</f>
        <v/>
      </c>
    </row>
    <row r="3038" customFormat="false" ht="15" hidden="false" customHeight="true" outlineLevel="0" collapsed="false">
      <c r="J3038" s="14" t="b">
        <f aca="false">IF(중복검사!$A3036="",FALSE(),중복검사!$H3036="중복")</f>
        <v>0</v>
      </c>
      <c r="K3038" s="5" t="str">
        <f aca="false">IF($J3038=FALSE(),"",COUNTIF($J$6:$J3038,TRUE()))</f>
        <v/>
      </c>
      <c r="L3038" s="5" t="str">
        <f aca="false">IF($K3038="","","R"&amp;$K3038)</f>
        <v/>
      </c>
    </row>
    <row r="3039" customFormat="false" ht="15" hidden="false" customHeight="true" outlineLevel="0" collapsed="false">
      <c r="J3039" s="14" t="b">
        <f aca="false">IF(중복검사!$A3037="",FALSE(),중복검사!$H3037="중복")</f>
        <v>0</v>
      </c>
      <c r="K3039" s="5" t="str">
        <f aca="false">IF($J3039=FALSE(),"",COUNTIF($J$6:$J3039,TRUE()))</f>
        <v/>
      </c>
      <c r="L3039" s="5" t="str">
        <f aca="false">IF($K3039="","","R"&amp;$K3039)</f>
        <v/>
      </c>
    </row>
    <row r="3040" customFormat="false" ht="15" hidden="false" customHeight="true" outlineLevel="0" collapsed="false">
      <c r="J3040" s="14" t="b">
        <f aca="false">IF(중복검사!$A3038="",FALSE(),중복검사!$H3038="중복")</f>
        <v>0</v>
      </c>
      <c r="K3040" s="5" t="str">
        <f aca="false">IF($J3040=FALSE(),"",COUNTIF($J$6:$J3040,TRUE()))</f>
        <v/>
      </c>
      <c r="L3040" s="5" t="str">
        <f aca="false">IF($K3040="","","R"&amp;$K3040)</f>
        <v/>
      </c>
    </row>
    <row r="3041" customFormat="false" ht="15" hidden="false" customHeight="true" outlineLevel="0" collapsed="false">
      <c r="J3041" s="14" t="b">
        <f aca="false">IF(중복검사!$A3039="",FALSE(),중복검사!$H3039="중복")</f>
        <v>0</v>
      </c>
      <c r="K3041" s="5" t="str">
        <f aca="false">IF($J3041=FALSE(),"",COUNTIF($J$6:$J3041,TRUE()))</f>
        <v/>
      </c>
      <c r="L3041" s="5" t="str">
        <f aca="false">IF($K3041="","","R"&amp;$K3041)</f>
        <v/>
      </c>
    </row>
    <row r="3042" customFormat="false" ht="15" hidden="false" customHeight="true" outlineLevel="0" collapsed="false">
      <c r="J3042" s="14" t="b">
        <f aca="false">IF(중복검사!$A3040="",FALSE(),중복검사!$H3040="중복")</f>
        <v>0</v>
      </c>
      <c r="K3042" s="5" t="str">
        <f aca="false">IF($J3042=FALSE(),"",COUNTIF($J$6:$J3042,TRUE()))</f>
        <v/>
      </c>
      <c r="L3042" s="5" t="str">
        <f aca="false">IF($K3042="","","R"&amp;$K3042)</f>
        <v/>
      </c>
    </row>
    <row r="3043" customFormat="false" ht="15" hidden="false" customHeight="true" outlineLevel="0" collapsed="false">
      <c r="J3043" s="14" t="b">
        <f aca="false">IF(중복검사!$A3041="",FALSE(),중복검사!$H3041="중복")</f>
        <v>0</v>
      </c>
      <c r="K3043" s="5" t="str">
        <f aca="false">IF($J3043=FALSE(),"",COUNTIF($J$6:$J3043,TRUE()))</f>
        <v/>
      </c>
      <c r="L3043" s="5" t="str">
        <f aca="false">IF($K3043="","","R"&amp;$K3043)</f>
        <v/>
      </c>
    </row>
    <row r="3044" customFormat="false" ht="15" hidden="false" customHeight="true" outlineLevel="0" collapsed="false">
      <c r="J3044" s="14" t="b">
        <f aca="false">IF(중복검사!$A3042="",FALSE(),중복검사!$H3042="중복")</f>
        <v>0</v>
      </c>
      <c r="K3044" s="5" t="str">
        <f aca="false">IF($J3044=FALSE(),"",COUNTIF($J$6:$J3044,TRUE()))</f>
        <v/>
      </c>
      <c r="L3044" s="5" t="str">
        <f aca="false">IF($K3044="","","R"&amp;$K3044)</f>
        <v/>
      </c>
    </row>
    <row r="3045" customFormat="false" ht="15" hidden="false" customHeight="true" outlineLevel="0" collapsed="false">
      <c r="J3045" s="14" t="b">
        <f aca="false">IF(중복검사!$A3043="",FALSE(),중복검사!$H3043="중복")</f>
        <v>0</v>
      </c>
      <c r="K3045" s="5" t="str">
        <f aca="false">IF($J3045=FALSE(),"",COUNTIF($J$6:$J3045,TRUE()))</f>
        <v/>
      </c>
      <c r="L3045" s="5" t="str">
        <f aca="false">IF($K3045="","","R"&amp;$K3045)</f>
        <v/>
      </c>
    </row>
    <row r="3046" customFormat="false" ht="15" hidden="false" customHeight="true" outlineLevel="0" collapsed="false">
      <c r="J3046" s="14" t="b">
        <f aca="false">IF(중복검사!$A3044="",FALSE(),중복검사!$H3044="중복")</f>
        <v>0</v>
      </c>
      <c r="K3046" s="5" t="str">
        <f aca="false">IF($J3046=FALSE(),"",COUNTIF($J$6:$J3046,TRUE()))</f>
        <v/>
      </c>
      <c r="L3046" s="5" t="str">
        <f aca="false">IF($K3046="","","R"&amp;$K3046)</f>
        <v/>
      </c>
    </row>
    <row r="3047" customFormat="false" ht="15" hidden="false" customHeight="true" outlineLevel="0" collapsed="false">
      <c r="J3047" s="14" t="b">
        <f aca="false">IF(중복검사!$A3045="",FALSE(),중복검사!$H3045="중복")</f>
        <v>0</v>
      </c>
      <c r="K3047" s="5" t="str">
        <f aca="false">IF($J3047=FALSE(),"",COUNTIF($J$6:$J3047,TRUE()))</f>
        <v/>
      </c>
      <c r="L3047" s="5" t="str">
        <f aca="false">IF($K3047="","","R"&amp;$K3047)</f>
        <v/>
      </c>
    </row>
    <row r="3048" customFormat="false" ht="15" hidden="false" customHeight="true" outlineLevel="0" collapsed="false">
      <c r="J3048" s="14" t="b">
        <f aca="false">IF(중복검사!$A3046="",FALSE(),중복검사!$H3046="중복")</f>
        <v>0</v>
      </c>
      <c r="K3048" s="5" t="str">
        <f aca="false">IF($J3048=FALSE(),"",COUNTIF($J$6:$J3048,TRUE()))</f>
        <v/>
      </c>
      <c r="L3048" s="5" t="str">
        <f aca="false">IF($K3048="","","R"&amp;$K3048)</f>
        <v/>
      </c>
    </row>
    <row r="3049" customFormat="false" ht="15" hidden="false" customHeight="true" outlineLevel="0" collapsed="false">
      <c r="J3049" s="14" t="b">
        <f aca="false">IF(중복검사!$A3047="",FALSE(),중복검사!$H3047="중복")</f>
        <v>0</v>
      </c>
      <c r="K3049" s="5" t="str">
        <f aca="false">IF($J3049=FALSE(),"",COUNTIF($J$6:$J3049,TRUE()))</f>
        <v/>
      </c>
      <c r="L3049" s="5" t="str">
        <f aca="false">IF($K3049="","","R"&amp;$K3049)</f>
        <v/>
      </c>
    </row>
    <row r="3050" customFormat="false" ht="15" hidden="false" customHeight="true" outlineLevel="0" collapsed="false">
      <c r="J3050" s="14" t="b">
        <f aca="false">IF(중복검사!$A3048="",FALSE(),중복검사!$H3048="중복")</f>
        <v>0</v>
      </c>
      <c r="K3050" s="5" t="str">
        <f aca="false">IF($J3050=FALSE(),"",COUNTIF($J$6:$J3050,TRUE()))</f>
        <v/>
      </c>
      <c r="L3050" s="5" t="str">
        <f aca="false">IF($K3050="","","R"&amp;$K3050)</f>
        <v/>
      </c>
    </row>
    <row r="3051" customFormat="false" ht="15" hidden="false" customHeight="true" outlineLevel="0" collapsed="false">
      <c r="J3051" s="14" t="b">
        <f aca="false">IF(중복검사!$A3049="",FALSE(),중복검사!$H3049="중복")</f>
        <v>0</v>
      </c>
      <c r="K3051" s="5" t="str">
        <f aca="false">IF($J3051=FALSE(),"",COUNTIF($J$6:$J3051,TRUE()))</f>
        <v/>
      </c>
      <c r="L3051" s="5" t="str">
        <f aca="false">IF($K3051="","","R"&amp;$K3051)</f>
        <v/>
      </c>
    </row>
    <row r="3052" customFormat="false" ht="15" hidden="false" customHeight="true" outlineLevel="0" collapsed="false">
      <c r="J3052" s="14" t="b">
        <f aca="false">IF(중복검사!$A3050="",FALSE(),중복검사!$H3050="중복")</f>
        <v>0</v>
      </c>
      <c r="K3052" s="5" t="str">
        <f aca="false">IF($J3052=FALSE(),"",COUNTIF($J$6:$J3052,TRUE()))</f>
        <v/>
      </c>
      <c r="L3052" s="5" t="str">
        <f aca="false">IF($K3052="","","R"&amp;$K3052)</f>
        <v/>
      </c>
    </row>
    <row r="3053" customFormat="false" ht="15" hidden="false" customHeight="true" outlineLevel="0" collapsed="false">
      <c r="J3053" s="14" t="b">
        <f aca="false">IF(중복검사!$A3051="",FALSE(),중복검사!$H3051="중복")</f>
        <v>0</v>
      </c>
      <c r="K3053" s="5" t="str">
        <f aca="false">IF($J3053=FALSE(),"",COUNTIF($J$6:$J3053,TRUE()))</f>
        <v/>
      </c>
      <c r="L3053" s="5" t="str">
        <f aca="false">IF($K3053="","","R"&amp;$K3053)</f>
        <v/>
      </c>
    </row>
    <row r="3054" customFormat="false" ht="15" hidden="false" customHeight="true" outlineLevel="0" collapsed="false">
      <c r="J3054" s="14" t="b">
        <f aca="false">IF(중복검사!$A3052="",FALSE(),중복검사!$H3052="중복")</f>
        <v>0</v>
      </c>
      <c r="K3054" s="5" t="str">
        <f aca="false">IF($J3054=FALSE(),"",COUNTIF($J$6:$J3054,TRUE()))</f>
        <v/>
      </c>
      <c r="L3054" s="5" t="str">
        <f aca="false">IF($K3054="","","R"&amp;$K3054)</f>
        <v/>
      </c>
    </row>
    <row r="3055" customFormat="false" ht="15" hidden="false" customHeight="true" outlineLevel="0" collapsed="false">
      <c r="J3055" s="14" t="b">
        <f aca="false">IF(중복검사!$A3053="",FALSE(),중복검사!$H3053="중복")</f>
        <v>0</v>
      </c>
      <c r="K3055" s="5" t="str">
        <f aca="false">IF($J3055=FALSE(),"",COUNTIF($J$6:$J3055,TRUE()))</f>
        <v/>
      </c>
      <c r="L3055" s="5" t="str">
        <f aca="false">IF($K3055="","","R"&amp;$K3055)</f>
        <v/>
      </c>
    </row>
    <row r="3056" customFormat="false" ht="15" hidden="false" customHeight="true" outlineLevel="0" collapsed="false">
      <c r="J3056" s="14" t="b">
        <f aca="false">IF(중복검사!$A3054="",FALSE(),중복검사!$H3054="중복")</f>
        <v>0</v>
      </c>
      <c r="K3056" s="5" t="str">
        <f aca="false">IF($J3056=FALSE(),"",COUNTIF($J$6:$J3056,TRUE()))</f>
        <v/>
      </c>
      <c r="L3056" s="5" t="str">
        <f aca="false">IF($K3056="","","R"&amp;$K3056)</f>
        <v/>
      </c>
    </row>
    <row r="3057" customFormat="false" ht="15" hidden="false" customHeight="true" outlineLevel="0" collapsed="false">
      <c r="J3057" s="14" t="b">
        <f aca="false">IF(중복검사!$A3055="",FALSE(),중복검사!$H3055="중복")</f>
        <v>0</v>
      </c>
      <c r="K3057" s="5" t="str">
        <f aca="false">IF($J3057=FALSE(),"",COUNTIF($J$6:$J3057,TRUE()))</f>
        <v/>
      </c>
      <c r="L3057" s="5" t="str">
        <f aca="false">IF($K3057="","","R"&amp;$K3057)</f>
        <v/>
      </c>
    </row>
    <row r="3058" customFormat="false" ht="15" hidden="false" customHeight="true" outlineLevel="0" collapsed="false">
      <c r="J3058" s="14" t="b">
        <f aca="false">IF(중복검사!$A3056="",FALSE(),중복검사!$H3056="중복")</f>
        <v>0</v>
      </c>
      <c r="K3058" s="5" t="str">
        <f aca="false">IF($J3058=FALSE(),"",COUNTIF($J$6:$J3058,TRUE()))</f>
        <v/>
      </c>
      <c r="L3058" s="5" t="str">
        <f aca="false">IF($K3058="","","R"&amp;$K3058)</f>
        <v/>
      </c>
    </row>
    <row r="3059" customFormat="false" ht="15" hidden="false" customHeight="true" outlineLevel="0" collapsed="false">
      <c r="J3059" s="14" t="b">
        <f aca="false">IF(중복검사!$A3057="",FALSE(),중복검사!$H3057="중복")</f>
        <v>0</v>
      </c>
      <c r="K3059" s="5" t="str">
        <f aca="false">IF($J3059=FALSE(),"",COUNTIF($J$6:$J3059,TRUE()))</f>
        <v/>
      </c>
      <c r="L3059" s="5" t="str">
        <f aca="false">IF($K3059="","","R"&amp;$K3059)</f>
        <v/>
      </c>
    </row>
    <row r="3060" customFormat="false" ht="15" hidden="false" customHeight="true" outlineLevel="0" collapsed="false">
      <c r="J3060" s="14" t="b">
        <f aca="false">IF(중복검사!$A3058="",FALSE(),중복검사!$H3058="중복")</f>
        <v>0</v>
      </c>
      <c r="K3060" s="5" t="str">
        <f aca="false">IF($J3060=FALSE(),"",COUNTIF($J$6:$J3060,TRUE()))</f>
        <v/>
      </c>
      <c r="L3060" s="5" t="str">
        <f aca="false">IF($K3060="","","R"&amp;$K3060)</f>
        <v/>
      </c>
    </row>
    <row r="3061" customFormat="false" ht="15" hidden="false" customHeight="true" outlineLevel="0" collapsed="false">
      <c r="J3061" s="14" t="b">
        <f aca="false">IF(중복검사!$A3059="",FALSE(),중복검사!$H3059="중복")</f>
        <v>0</v>
      </c>
      <c r="K3061" s="5" t="str">
        <f aca="false">IF($J3061=FALSE(),"",COUNTIF($J$6:$J3061,TRUE()))</f>
        <v/>
      </c>
      <c r="L3061" s="5" t="str">
        <f aca="false">IF($K3061="","","R"&amp;$K3061)</f>
        <v/>
      </c>
    </row>
    <row r="3062" customFormat="false" ht="15" hidden="false" customHeight="true" outlineLevel="0" collapsed="false">
      <c r="J3062" s="14" t="b">
        <f aca="false">IF(중복검사!$A3060="",FALSE(),중복검사!$H3060="중복")</f>
        <v>0</v>
      </c>
      <c r="K3062" s="5" t="str">
        <f aca="false">IF($J3062=FALSE(),"",COUNTIF($J$6:$J3062,TRUE()))</f>
        <v/>
      </c>
      <c r="L3062" s="5" t="str">
        <f aca="false">IF($K3062="","","R"&amp;$K3062)</f>
        <v/>
      </c>
    </row>
    <row r="3063" customFormat="false" ht="15" hidden="false" customHeight="true" outlineLevel="0" collapsed="false">
      <c r="J3063" s="14" t="b">
        <f aca="false">IF(중복검사!$A3061="",FALSE(),중복검사!$H3061="중복")</f>
        <v>0</v>
      </c>
      <c r="K3063" s="5" t="str">
        <f aca="false">IF($J3063=FALSE(),"",COUNTIF($J$6:$J3063,TRUE()))</f>
        <v/>
      </c>
      <c r="L3063" s="5" t="str">
        <f aca="false">IF($K3063="","","R"&amp;$K3063)</f>
        <v/>
      </c>
    </row>
    <row r="3064" customFormat="false" ht="15" hidden="false" customHeight="true" outlineLevel="0" collapsed="false">
      <c r="J3064" s="14" t="b">
        <f aca="false">IF(중복검사!$A3062="",FALSE(),중복검사!$H3062="중복")</f>
        <v>0</v>
      </c>
      <c r="K3064" s="5" t="str">
        <f aca="false">IF($J3064=FALSE(),"",COUNTIF($J$6:$J3064,TRUE()))</f>
        <v/>
      </c>
      <c r="L3064" s="5" t="str">
        <f aca="false">IF($K3064="","","R"&amp;$K3064)</f>
        <v/>
      </c>
    </row>
    <row r="3065" customFormat="false" ht="15" hidden="false" customHeight="true" outlineLevel="0" collapsed="false">
      <c r="J3065" s="14" t="b">
        <f aca="false">IF(중복검사!$A3063="",FALSE(),중복검사!$H3063="중복")</f>
        <v>0</v>
      </c>
      <c r="K3065" s="5" t="str">
        <f aca="false">IF($J3065=FALSE(),"",COUNTIF($J$6:$J3065,TRUE()))</f>
        <v/>
      </c>
      <c r="L3065" s="5" t="str">
        <f aca="false">IF($K3065="","","R"&amp;$K3065)</f>
        <v/>
      </c>
    </row>
    <row r="3066" customFormat="false" ht="15" hidden="false" customHeight="true" outlineLevel="0" collapsed="false">
      <c r="J3066" s="14" t="b">
        <f aca="false">IF(중복검사!$A3064="",FALSE(),중복검사!$H3064="중복")</f>
        <v>0</v>
      </c>
      <c r="K3066" s="5" t="str">
        <f aca="false">IF($J3066=FALSE(),"",COUNTIF($J$6:$J3066,TRUE()))</f>
        <v/>
      </c>
      <c r="L3066" s="5" t="str">
        <f aca="false">IF($K3066="","","R"&amp;$K3066)</f>
        <v/>
      </c>
    </row>
    <row r="3067" customFormat="false" ht="15" hidden="false" customHeight="true" outlineLevel="0" collapsed="false">
      <c r="J3067" s="14" t="b">
        <f aca="false">IF(중복검사!$A3065="",FALSE(),중복검사!$H3065="중복")</f>
        <v>0</v>
      </c>
      <c r="K3067" s="5" t="str">
        <f aca="false">IF($J3067=FALSE(),"",COUNTIF($J$6:$J3067,TRUE()))</f>
        <v/>
      </c>
      <c r="L3067" s="5" t="str">
        <f aca="false">IF($K3067="","","R"&amp;$K3067)</f>
        <v/>
      </c>
    </row>
    <row r="3068" customFormat="false" ht="15" hidden="false" customHeight="true" outlineLevel="0" collapsed="false">
      <c r="J3068" s="14" t="b">
        <f aca="false">IF(중복검사!$A3066="",FALSE(),중복검사!$H3066="중복")</f>
        <v>0</v>
      </c>
      <c r="K3068" s="5" t="str">
        <f aca="false">IF($J3068=FALSE(),"",COUNTIF($J$6:$J3068,TRUE()))</f>
        <v/>
      </c>
      <c r="L3068" s="5" t="str">
        <f aca="false">IF($K3068="","","R"&amp;$K3068)</f>
        <v/>
      </c>
    </row>
    <row r="3069" customFormat="false" ht="15" hidden="false" customHeight="true" outlineLevel="0" collapsed="false">
      <c r="J3069" s="14" t="b">
        <f aca="false">IF(중복검사!$A3067="",FALSE(),중복검사!$H3067="중복")</f>
        <v>0</v>
      </c>
      <c r="K3069" s="5" t="str">
        <f aca="false">IF($J3069=FALSE(),"",COUNTIF($J$6:$J3069,TRUE()))</f>
        <v/>
      </c>
      <c r="L3069" s="5" t="str">
        <f aca="false">IF($K3069="","","R"&amp;$K3069)</f>
        <v/>
      </c>
    </row>
    <row r="3070" customFormat="false" ht="15" hidden="false" customHeight="true" outlineLevel="0" collapsed="false">
      <c r="J3070" s="14" t="b">
        <f aca="false">IF(중복검사!$A3068="",FALSE(),중복검사!$H3068="중복")</f>
        <v>0</v>
      </c>
      <c r="K3070" s="5" t="str">
        <f aca="false">IF($J3070=FALSE(),"",COUNTIF($J$6:$J3070,TRUE()))</f>
        <v/>
      </c>
      <c r="L3070" s="5" t="str">
        <f aca="false">IF($K3070="","","R"&amp;$K3070)</f>
        <v/>
      </c>
    </row>
    <row r="3071" customFormat="false" ht="15" hidden="false" customHeight="true" outlineLevel="0" collapsed="false">
      <c r="J3071" s="14" t="b">
        <f aca="false">IF(중복검사!$A3069="",FALSE(),중복검사!$H3069="중복")</f>
        <v>0</v>
      </c>
      <c r="K3071" s="5" t="str">
        <f aca="false">IF($J3071=FALSE(),"",COUNTIF($J$6:$J3071,TRUE()))</f>
        <v/>
      </c>
      <c r="L3071" s="5" t="str">
        <f aca="false">IF($K3071="","","R"&amp;$K3071)</f>
        <v/>
      </c>
    </row>
    <row r="3072" customFormat="false" ht="15" hidden="false" customHeight="true" outlineLevel="0" collapsed="false">
      <c r="J3072" s="14" t="b">
        <f aca="false">IF(중복검사!$A3070="",FALSE(),중복검사!$H3070="중복")</f>
        <v>0</v>
      </c>
      <c r="K3072" s="5" t="str">
        <f aca="false">IF($J3072=FALSE(),"",COUNTIF($J$6:$J3072,TRUE()))</f>
        <v/>
      </c>
      <c r="L3072" s="5" t="str">
        <f aca="false">IF($K3072="","","R"&amp;$K3072)</f>
        <v/>
      </c>
    </row>
    <row r="3073" customFormat="false" ht="15" hidden="false" customHeight="true" outlineLevel="0" collapsed="false">
      <c r="J3073" s="14" t="b">
        <f aca="false">IF(중복검사!$A3071="",FALSE(),중복검사!$H3071="중복")</f>
        <v>0</v>
      </c>
      <c r="K3073" s="5" t="str">
        <f aca="false">IF($J3073=FALSE(),"",COUNTIF($J$6:$J3073,TRUE()))</f>
        <v/>
      </c>
      <c r="L3073" s="5" t="str">
        <f aca="false">IF($K3073="","","R"&amp;$K3073)</f>
        <v/>
      </c>
    </row>
    <row r="3074" customFormat="false" ht="15" hidden="false" customHeight="true" outlineLevel="0" collapsed="false">
      <c r="J3074" s="14" t="b">
        <f aca="false">IF(중복검사!$A3072="",FALSE(),중복검사!$H3072="중복")</f>
        <v>0</v>
      </c>
      <c r="K3074" s="5" t="str">
        <f aca="false">IF($J3074=FALSE(),"",COUNTIF($J$6:$J3074,TRUE()))</f>
        <v/>
      </c>
      <c r="L3074" s="5" t="str">
        <f aca="false">IF($K3074="","","R"&amp;$K3074)</f>
        <v/>
      </c>
    </row>
    <row r="3075" customFormat="false" ht="15" hidden="false" customHeight="true" outlineLevel="0" collapsed="false">
      <c r="J3075" s="14" t="b">
        <f aca="false">IF(중복검사!$A3073="",FALSE(),중복검사!$H3073="중복")</f>
        <v>0</v>
      </c>
      <c r="K3075" s="5" t="str">
        <f aca="false">IF($J3075=FALSE(),"",COUNTIF($J$6:$J3075,TRUE()))</f>
        <v/>
      </c>
      <c r="L3075" s="5" t="str">
        <f aca="false">IF($K3075="","","R"&amp;$K3075)</f>
        <v/>
      </c>
    </row>
    <row r="3076" customFormat="false" ht="15" hidden="false" customHeight="true" outlineLevel="0" collapsed="false">
      <c r="J3076" s="14" t="b">
        <f aca="false">IF(중복검사!$A3074="",FALSE(),중복검사!$H3074="중복")</f>
        <v>0</v>
      </c>
      <c r="K3076" s="5" t="str">
        <f aca="false">IF($J3076=FALSE(),"",COUNTIF($J$6:$J3076,TRUE()))</f>
        <v/>
      </c>
      <c r="L3076" s="5" t="str">
        <f aca="false">IF($K3076="","","R"&amp;$K3076)</f>
        <v/>
      </c>
    </row>
    <row r="3077" customFormat="false" ht="15" hidden="false" customHeight="true" outlineLevel="0" collapsed="false">
      <c r="J3077" s="14" t="b">
        <f aca="false">IF(중복검사!$A3075="",FALSE(),중복검사!$H3075="중복")</f>
        <v>0</v>
      </c>
      <c r="K3077" s="5" t="str">
        <f aca="false">IF($J3077=FALSE(),"",COUNTIF($J$6:$J3077,TRUE()))</f>
        <v/>
      </c>
      <c r="L3077" s="5" t="str">
        <f aca="false">IF($K3077="","","R"&amp;$K3077)</f>
        <v/>
      </c>
    </row>
    <row r="3078" customFormat="false" ht="15" hidden="false" customHeight="true" outlineLevel="0" collapsed="false">
      <c r="J3078" s="14" t="b">
        <f aca="false">IF(중복검사!$A3076="",FALSE(),중복검사!$H3076="중복")</f>
        <v>0</v>
      </c>
      <c r="K3078" s="5" t="str">
        <f aca="false">IF($J3078=FALSE(),"",COUNTIF($J$6:$J3078,TRUE()))</f>
        <v/>
      </c>
      <c r="L3078" s="5" t="str">
        <f aca="false">IF($K3078="","","R"&amp;$K3078)</f>
        <v/>
      </c>
    </row>
    <row r="3079" customFormat="false" ht="15" hidden="false" customHeight="true" outlineLevel="0" collapsed="false">
      <c r="J3079" s="14" t="b">
        <f aca="false">IF(중복검사!$A3077="",FALSE(),중복검사!$H3077="중복")</f>
        <v>0</v>
      </c>
      <c r="K3079" s="5" t="str">
        <f aca="false">IF($J3079=FALSE(),"",COUNTIF($J$6:$J3079,TRUE()))</f>
        <v/>
      </c>
      <c r="L3079" s="5" t="str">
        <f aca="false">IF($K3079="","","R"&amp;$K3079)</f>
        <v/>
      </c>
    </row>
    <row r="3080" customFormat="false" ht="15" hidden="false" customHeight="true" outlineLevel="0" collapsed="false">
      <c r="J3080" s="14" t="b">
        <f aca="false">IF(중복검사!$A3078="",FALSE(),중복검사!$H3078="중복")</f>
        <v>0</v>
      </c>
      <c r="K3080" s="5" t="str">
        <f aca="false">IF($J3080=FALSE(),"",COUNTIF($J$6:$J3080,TRUE()))</f>
        <v/>
      </c>
      <c r="L3080" s="5" t="str">
        <f aca="false">IF($K3080="","","R"&amp;$K3080)</f>
        <v/>
      </c>
    </row>
    <row r="3081" customFormat="false" ht="15" hidden="false" customHeight="true" outlineLevel="0" collapsed="false">
      <c r="J3081" s="14" t="b">
        <f aca="false">IF(중복검사!$A3079="",FALSE(),중복검사!$H3079="중복")</f>
        <v>0</v>
      </c>
      <c r="K3081" s="5" t="str">
        <f aca="false">IF($J3081=FALSE(),"",COUNTIF($J$6:$J3081,TRUE()))</f>
        <v/>
      </c>
      <c r="L3081" s="5" t="str">
        <f aca="false">IF($K3081="","","R"&amp;$K3081)</f>
        <v/>
      </c>
    </row>
    <row r="3082" customFormat="false" ht="15" hidden="false" customHeight="true" outlineLevel="0" collapsed="false">
      <c r="J3082" s="14" t="b">
        <f aca="false">IF(중복검사!$A3080="",FALSE(),중복검사!$H3080="중복")</f>
        <v>0</v>
      </c>
      <c r="K3082" s="5" t="str">
        <f aca="false">IF($J3082=FALSE(),"",COUNTIF($J$6:$J3082,TRUE()))</f>
        <v/>
      </c>
      <c r="L3082" s="5" t="str">
        <f aca="false">IF($K3082="","","R"&amp;$K3082)</f>
        <v/>
      </c>
    </row>
    <row r="3083" customFormat="false" ht="15" hidden="false" customHeight="true" outlineLevel="0" collapsed="false">
      <c r="J3083" s="14" t="b">
        <f aca="false">IF(중복검사!$A3081="",FALSE(),중복검사!$H3081="중복")</f>
        <v>0</v>
      </c>
      <c r="K3083" s="5" t="str">
        <f aca="false">IF($J3083=FALSE(),"",COUNTIF($J$6:$J3083,TRUE()))</f>
        <v/>
      </c>
      <c r="L3083" s="5" t="str">
        <f aca="false">IF($K3083="","","R"&amp;$K3083)</f>
        <v/>
      </c>
    </row>
    <row r="3084" customFormat="false" ht="15" hidden="false" customHeight="true" outlineLevel="0" collapsed="false">
      <c r="J3084" s="14" t="b">
        <f aca="false">IF(중복검사!$A3082="",FALSE(),중복검사!$H3082="중복")</f>
        <v>0</v>
      </c>
      <c r="K3084" s="5" t="str">
        <f aca="false">IF($J3084=FALSE(),"",COUNTIF($J$6:$J3084,TRUE()))</f>
        <v/>
      </c>
      <c r="L3084" s="5" t="str">
        <f aca="false">IF($K3084="","","R"&amp;$K3084)</f>
        <v/>
      </c>
    </row>
    <row r="3085" customFormat="false" ht="15" hidden="false" customHeight="true" outlineLevel="0" collapsed="false">
      <c r="J3085" s="14" t="b">
        <f aca="false">IF(중복검사!$A3083="",FALSE(),중복검사!$H3083="중복")</f>
        <v>0</v>
      </c>
      <c r="K3085" s="5" t="str">
        <f aca="false">IF($J3085=FALSE(),"",COUNTIF($J$6:$J3085,TRUE()))</f>
        <v/>
      </c>
      <c r="L3085" s="5" t="str">
        <f aca="false">IF($K3085="","","R"&amp;$K3085)</f>
        <v/>
      </c>
    </row>
    <row r="3086" customFormat="false" ht="15" hidden="false" customHeight="true" outlineLevel="0" collapsed="false">
      <c r="J3086" s="14" t="b">
        <f aca="false">IF(중복검사!$A3084="",FALSE(),중복검사!$H3084="중복")</f>
        <v>0</v>
      </c>
      <c r="K3086" s="5" t="str">
        <f aca="false">IF($J3086=FALSE(),"",COUNTIF($J$6:$J3086,TRUE()))</f>
        <v/>
      </c>
      <c r="L3086" s="5" t="str">
        <f aca="false">IF($K3086="","","R"&amp;$K3086)</f>
        <v/>
      </c>
    </row>
    <row r="3087" customFormat="false" ht="15" hidden="false" customHeight="true" outlineLevel="0" collapsed="false">
      <c r="J3087" s="14" t="b">
        <f aca="false">IF(중복검사!$A3085="",FALSE(),중복검사!$H3085="중복")</f>
        <v>0</v>
      </c>
      <c r="K3087" s="5" t="str">
        <f aca="false">IF($J3087=FALSE(),"",COUNTIF($J$6:$J3087,TRUE()))</f>
        <v/>
      </c>
      <c r="L3087" s="5" t="str">
        <f aca="false">IF($K3087="","","R"&amp;$K3087)</f>
        <v/>
      </c>
    </row>
    <row r="3088" customFormat="false" ht="15" hidden="false" customHeight="true" outlineLevel="0" collapsed="false">
      <c r="J3088" s="14" t="b">
        <f aca="false">IF(중복검사!$A3086="",FALSE(),중복검사!$H3086="중복")</f>
        <v>0</v>
      </c>
      <c r="K3088" s="5" t="str">
        <f aca="false">IF($J3088=FALSE(),"",COUNTIF($J$6:$J3088,TRUE()))</f>
        <v/>
      </c>
      <c r="L3088" s="5" t="str">
        <f aca="false">IF($K3088="","","R"&amp;$K3088)</f>
        <v/>
      </c>
    </row>
    <row r="3089" customFormat="false" ht="15" hidden="false" customHeight="true" outlineLevel="0" collapsed="false">
      <c r="J3089" s="14" t="b">
        <f aca="false">IF(중복검사!$A3087="",FALSE(),중복검사!$H3087="중복")</f>
        <v>0</v>
      </c>
      <c r="K3089" s="5" t="str">
        <f aca="false">IF($J3089=FALSE(),"",COUNTIF($J$6:$J3089,TRUE()))</f>
        <v/>
      </c>
      <c r="L3089" s="5" t="str">
        <f aca="false">IF($K3089="","","R"&amp;$K3089)</f>
        <v/>
      </c>
    </row>
    <row r="3090" customFormat="false" ht="15" hidden="false" customHeight="true" outlineLevel="0" collapsed="false">
      <c r="J3090" s="14" t="b">
        <f aca="false">IF(중복검사!$A3088="",FALSE(),중복검사!$H3088="중복")</f>
        <v>0</v>
      </c>
      <c r="K3090" s="5" t="str">
        <f aca="false">IF($J3090=FALSE(),"",COUNTIF($J$6:$J3090,TRUE()))</f>
        <v/>
      </c>
      <c r="L3090" s="5" t="str">
        <f aca="false">IF($K3090="","","R"&amp;$K3090)</f>
        <v/>
      </c>
    </row>
    <row r="3091" customFormat="false" ht="15" hidden="false" customHeight="true" outlineLevel="0" collapsed="false">
      <c r="J3091" s="14" t="b">
        <f aca="false">IF(중복검사!$A3089="",FALSE(),중복검사!$H3089="중복")</f>
        <v>0</v>
      </c>
      <c r="K3091" s="5" t="str">
        <f aca="false">IF($J3091=FALSE(),"",COUNTIF($J$6:$J3091,TRUE()))</f>
        <v/>
      </c>
      <c r="L3091" s="5" t="str">
        <f aca="false">IF($K3091="","","R"&amp;$K3091)</f>
        <v/>
      </c>
    </row>
    <row r="3092" customFormat="false" ht="15" hidden="false" customHeight="true" outlineLevel="0" collapsed="false">
      <c r="J3092" s="14" t="b">
        <f aca="false">IF(중복검사!$A3090="",FALSE(),중복검사!$H3090="중복")</f>
        <v>0</v>
      </c>
      <c r="K3092" s="5" t="str">
        <f aca="false">IF($J3092=FALSE(),"",COUNTIF($J$6:$J3092,TRUE()))</f>
        <v/>
      </c>
      <c r="L3092" s="5" t="str">
        <f aca="false">IF($K3092="","","R"&amp;$K3092)</f>
        <v/>
      </c>
    </row>
    <row r="3093" customFormat="false" ht="15" hidden="false" customHeight="true" outlineLevel="0" collapsed="false">
      <c r="J3093" s="14" t="b">
        <f aca="false">IF(중복검사!$A3091="",FALSE(),중복검사!$H3091="중복")</f>
        <v>0</v>
      </c>
      <c r="K3093" s="5" t="str">
        <f aca="false">IF($J3093=FALSE(),"",COUNTIF($J$6:$J3093,TRUE()))</f>
        <v/>
      </c>
      <c r="L3093" s="5" t="str">
        <f aca="false">IF($K3093="","","R"&amp;$K3093)</f>
        <v/>
      </c>
    </row>
    <row r="3094" customFormat="false" ht="15" hidden="false" customHeight="true" outlineLevel="0" collapsed="false">
      <c r="J3094" s="14" t="b">
        <f aca="false">IF(중복검사!$A3092="",FALSE(),중복검사!$H3092="중복")</f>
        <v>0</v>
      </c>
      <c r="K3094" s="5" t="str">
        <f aca="false">IF($J3094=FALSE(),"",COUNTIF($J$6:$J3094,TRUE()))</f>
        <v/>
      </c>
      <c r="L3094" s="5" t="str">
        <f aca="false">IF($K3094="","","R"&amp;$K3094)</f>
        <v/>
      </c>
    </row>
    <row r="3095" customFormat="false" ht="15" hidden="false" customHeight="true" outlineLevel="0" collapsed="false">
      <c r="J3095" s="14" t="b">
        <f aca="false">IF(중복검사!$A3093="",FALSE(),중복검사!$H3093="중복")</f>
        <v>0</v>
      </c>
      <c r="K3095" s="5" t="str">
        <f aca="false">IF($J3095=FALSE(),"",COUNTIF($J$6:$J3095,TRUE()))</f>
        <v/>
      </c>
      <c r="L3095" s="5" t="str">
        <f aca="false">IF($K3095="","","R"&amp;$K3095)</f>
        <v/>
      </c>
    </row>
    <row r="3096" customFormat="false" ht="15" hidden="false" customHeight="true" outlineLevel="0" collapsed="false">
      <c r="J3096" s="14" t="b">
        <f aca="false">IF(중복검사!$A3094="",FALSE(),중복검사!$H3094="중복")</f>
        <v>0</v>
      </c>
      <c r="K3096" s="5" t="str">
        <f aca="false">IF($J3096=FALSE(),"",COUNTIF($J$6:$J3096,TRUE()))</f>
        <v/>
      </c>
      <c r="L3096" s="5" t="str">
        <f aca="false">IF($K3096="","","R"&amp;$K3096)</f>
        <v/>
      </c>
    </row>
    <row r="3097" customFormat="false" ht="15" hidden="false" customHeight="true" outlineLevel="0" collapsed="false">
      <c r="J3097" s="14" t="b">
        <f aca="false">IF(중복검사!$A3095="",FALSE(),중복검사!$H3095="중복")</f>
        <v>0</v>
      </c>
      <c r="K3097" s="5" t="str">
        <f aca="false">IF($J3097=FALSE(),"",COUNTIF($J$6:$J3097,TRUE()))</f>
        <v/>
      </c>
      <c r="L3097" s="5" t="str">
        <f aca="false">IF($K3097="","","R"&amp;$K3097)</f>
        <v/>
      </c>
    </row>
    <row r="3098" customFormat="false" ht="15" hidden="false" customHeight="true" outlineLevel="0" collapsed="false">
      <c r="J3098" s="14" t="b">
        <f aca="false">IF(중복검사!$A3096="",FALSE(),중복검사!$H3096="중복")</f>
        <v>0</v>
      </c>
      <c r="K3098" s="5" t="str">
        <f aca="false">IF($J3098=FALSE(),"",COUNTIF($J$6:$J3098,TRUE()))</f>
        <v/>
      </c>
      <c r="L3098" s="5" t="str">
        <f aca="false">IF($K3098="","","R"&amp;$K3098)</f>
        <v/>
      </c>
    </row>
    <row r="3099" customFormat="false" ht="15" hidden="false" customHeight="true" outlineLevel="0" collapsed="false">
      <c r="J3099" s="14" t="b">
        <f aca="false">IF(중복검사!$A3097="",FALSE(),중복검사!$H3097="중복")</f>
        <v>0</v>
      </c>
      <c r="K3099" s="5" t="str">
        <f aca="false">IF($J3099=FALSE(),"",COUNTIF($J$6:$J3099,TRUE()))</f>
        <v/>
      </c>
      <c r="L3099" s="5" t="str">
        <f aca="false">IF($K3099="","","R"&amp;$K3099)</f>
        <v/>
      </c>
    </row>
    <row r="3100" customFormat="false" ht="15" hidden="false" customHeight="true" outlineLevel="0" collapsed="false">
      <c r="J3100" s="14" t="b">
        <f aca="false">IF(중복검사!$A3098="",FALSE(),중복검사!$H3098="중복")</f>
        <v>0</v>
      </c>
      <c r="K3100" s="5" t="str">
        <f aca="false">IF($J3100=FALSE(),"",COUNTIF($J$6:$J3100,TRUE()))</f>
        <v/>
      </c>
      <c r="L3100" s="5" t="str">
        <f aca="false">IF($K3100="","","R"&amp;$K3100)</f>
        <v/>
      </c>
    </row>
    <row r="3101" customFormat="false" ht="15" hidden="false" customHeight="true" outlineLevel="0" collapsed="false">
      <c r="J3101" s="14" t="b">
        <f aca="false">IF(중복검사!$A3099="",FALSE(),중복검사!$H3099="중복")</f>
        <v>0</v>
      </c>
      <c r="K3101" s="5" t="str">
        <f aca="false">IF($J3101=FALSE(),"",COUNTIF($J$6:$J3101,TRUE()))</f>
        <v/>
      </c>
      <c r="L3101" s="5" t="str">
        <f aca="false">IF($K3101="","","R"&amp;$K3101)</f>
        <v/>
      </c>
    </row>
    <row r="3102" customFormat="false" ht="15" hidden="false" customHeight="true" outlineLevel="0" collapsed="false">
      <c r="J3102" s="14" t="b">
        <f aca="false">IF(중복검사!$A3100="",FALSE(),중복검사!$H3100="중복")</f>
        <v>0</v>
      </c>
      <c r="K3102" s="5" t="str">
        <f aca="false">IF($J3102=FALSE(),"",COUNTIF($J$6:$J3102,TRUE()))</f>
        <v/>
      </c>
      <c r="L3102" s="5" t="str">
        <f aca="false">IF($K3102="","","R"&amp;$K3102)</f>
        <v/>
      </c>
    </row>
    <row r="3103" customFormat="false" ht="15" hidden="false" customHeight="true" outlineLevel="0" collapsed="false">
      <c r="J3103" s="14" t="b">
        <f aca="false">IF(중복검사!$A3101="",FALSE(),중복검사!$H3101="중복")</f>
        <v>0</v>
      </c>
      <c r="K3103" s="5" t="str">
        <f aca="false">IF($J3103=FALSE(),"",COUNTIF($J$6:$J3103,TRUE()))</f>
        <v/>
      </c>
      <c r="L3103" s="5" t="str">
        <f aca="false">IF($K3103="","","R"&amp;$K3103)</f>
        <v/>
      </c>
    </row>
    <row r="3104" customFormat="false" ht="15" hidden="false" customHeight="true" outlineLevel="0" collapsed="false">
      <c r="J3104" s="14" t="b">
        <f aca="false">IF(중복검사!$A3102="",FALSE(),중복검사!$H3102="중복")</f>
        <v>0</v>
      </c>
      <c r="K3104" s="5" t="str">
        <f aca="false">IF($J3104=FALSE(),"",COUNTIF($J$6:$J3104,TRUE()))</f>
        <v/>
      </c>
      <c r="L3104" s="5" t="str">
        <f aca="false">IF($K3104="","","R"&amp;$K3104)</f>
        <v/>
      </c>
    </row>
    <row r="3105" customFormat="false" ht="15" hidden="false" customHeight="true" outlineLevel="0" collapsed="false">
      <c r="J3105" s="14" t="b">
        <f aca="false">IF(중복검사!$A3103="",FALSE(),중복검사!$H3103="중복")</f>
        <v>0</v>
      </c>
      <c r="K3105" s="5" t="str">
        <f aca="false">IF($J3105=FALSE(),"",COUNTIF($J$6:$J3105,TRUE()))</f>
        <v/>
      </c>
      <c r="L3105" s="5" t="str">
        <f aca="false">IF($K3105="","","R"&amp;$K3105)</f>
        <v/>
      </c>
    </row>
    <row r="3106" customFormat="false" ht="15" hidden="false" customHeight="true" outlineLevel="0" collapsed="false">
      <c r="J3106" s="14" t="b">
        <f aca="false">IF(중복검사!$A3104="",FALSE(),중복검사!$H3104="중복")</f>
        <v>0</v>
      </c>
      <c r="K3106" s="5" t="str">
        <f aca="false">IF($J3106=FALSE(),"",COUNTIF($J$6:$J3106,TRUE()))</f>
        <v/>
      </c>
      <c r="L3106" s="5" t="str">
        <f aca="false">IF($K3106="","","R"&amp;$K3106)</f>
        <v/>
      </c>
    </row>
    <row r="3107" customFormat="false" ht="15" hidden="false" customHeight="true" outlineLevel="0" collapsed="false">
      <c r="J3107" s="14" t="b">
        <f aca="false">IF(중복검사!$A3105="",FALSE(),중복검사!$H3105="중복")</f>
        <v>0</v>
      </c>
      <c r="K3107" s="5" t="str">
        <f aca="false">IF($J3107=FALSE(),"",COUNTIF($J$6:$J3107,TRUE()))</f>
        <v/>
      </c>
      <c r="L3107" s="5" t="str">
        <f aca="false">IF($K3107="","","R"&amp;$K3107)</f>
        <v/>
      </c>
    </row>
    <row r="3108" customFormat="false" ht="15" hidden="false" customHeight="true" outlineLevel="0" collapsed="false">
      <c r="J3108" s="14" t="b">
        <f aca="false">IF(중복검사!$A3106="",FALSE(),중복검사!$H3106="중복")</f>
        <v>0</v>
      </c>
      <c r="K3108" s="5" t="str">
        <f aca="false">IF($J3108=FALSE(),"",COUNTIF($J$6:$J3108,TRUE()))</f>
        <v/>
      </c>
      <c r="L3108" s="5" t="str">
        <f aca="false">IF($K3108="","","R"&amp;$K3108)</f>
        <v/>
      </c>
    </row>
    <row r="3109" customFormat="false" ht="15" hidden="false" customHeight="true" outlineLevel="0" collapsed="false">
      <c r="J3109" s="14" t="b">
        <f aca="false">IF(중복검사!$A3107="",FALSE(),중복검사!$H3107="중복")</f>
        <v>0</v>
      </c>
      <c r="K3109" s="5" t="str">
        <f aca="false">IF($J3109=FALSE(),"",COUNTIF($J$6:$J3109,TRUE()))</f>
        <v/>
      </c>
      <c r="L3109" s="5" t="str">
        <f aca="false">IF($K3109="","","R"&amp;$K3109)</f>
        <v/>
      </c>
    </row>
    <row r="3110" customFormat="false" ht="15" hidden="false" customHeight="true" outlineLevel="0" collapsed="false">
      <c r="J3110" s="14" t="b">
        <f aca="false">IF(중복검사!$A3108="",FALSE(),중복검사!$H3108="중복")</f>
        <v>0</v>
      </c>
      <c r="K3110" s="5" t="str">
        <f aca="false">IF($J3110=FALSE(),"",COUNTIF($J$6:$J3110,TRUE()))</f>
        <v/>
      </c>
      <c r="L3110" s="5" t="str">
        <f aca="false">IF($K3110="","","R"&amp;$K3110)</f>
        <v/>
      </c>
    </row>
    <row r="3111" customFormat="false" ht="15" hidden="false" customHeight="true" outlineLevel="0" collapsed="false">
      <c r="J3111" s="14" t="b">
        <f aca="false">IF(중복검사!$A3109="",FALSE(),중복검사!$H3109="중복")</f>
        <v>0</v>
      </c>
      <c r="K3111" s="5" t="str">
        <f aca="false">IF($J3111=FALSE(),"",COUNTIF($J$6:$J3111,TRUE()))</f>
        <v/>
      </c>
      <c r="L3111" s="5" t="str">
        <f aca="false">IF($K3111="","","R"&amp;$K3111)</f>
        <v/>
      </c>
    </row>
    <row r="3112" customFormat="false" ht="15" hidden="false" customHeight="true" outlineLevel="0" collapsed="false">
      <c r="J3112" s="14" t="b">
        <f aca="false">IF(중복검사!$A3110="",FALSE(),중복검사!$H3110="중복")</f>
        <v>0</v>
      </c>
      <c r="K3112" s="5" t="str">
        <f aca="false">IF($J3112=FALSE(),"",COUNTIF($J$6:$J3112,TRUE()))</f>
        <v/>
      </c>
      <c r="L3112" s="5" t="str">
        <f aca="false">IF($K3112="","","R"&amp;$K3112)</f>
        <v/>
      </c>
    </row>
    <row r="3113" customFormat="false" ht="15" hidden="false" customHeight="true" outlineLevel="0" collapsed="false">
      <c r="J3113" s="14" t="b">
        <f aca="false">IF(중복검사!$A3111="",FALSE(),중복검사!$H3111="중복")</f>
        <v>0</v>
      </c>
      <c r="K3113" s="5" t="str">
        <f aca="false">IF($J3113=FALSE(),"",COUNTIF($J$6:$J3113,TRUE()))</f>
        <v/>
      </c>
      <c r="L3113" s="5" t="str">
        <f aca="false">IF($K3113="","","R"&amp;$K3113)</f>
        <v/>
      </c>
    </row>
    <row r="3114" customFormat="false" ht="15" hidden="false" customHeight="true" outlineLevel="0" collapsed="false">
      <c r="J3114" s="14" t="b">
        <f aca="false">IF(중복검사!$A3112="",FALSE(),중복검사!$H3112="중복")</f>
        <v>0</v>
      </c>
      <c r="K3114" s="5" t="str">
        <f aca="false">IF($J3114=FALSE(),"",COUNTIF($J$6:$J3114,TRUE()))</f>
        <v/>
      </c>
      <c r="L3114" s="5" t="str">
        <f aca="false">IF($K3114="","","R"&amp;$K3114)</f>
        <v/>
      </c>
    </row>
    <row r="3115" customFormat="false" ht="15" hidden="false" customHeight="true" outlineLevel="0" collapsed="false">
      <c r="J3115" s="14" t="b">
        <f aca="false">IF(중복검사!$A3113="",FALSE(),중복검사!$H3113="중복")</f>
        <v>0</v>
      </c>
      <c r="K3115" s="5" t="str">
        <f aca="false">IF($J3115=FALSE(),"",COUNTIF($J$6:$J3115,TRUE()))</f>
        <v/>
      </c>
      <c r="L3115" s="5" t="str">
        <f aca="false">IF($K3115="","","R"&amp;$K3115)</f>
        <v/>
      </c>
    </row>
    <row r="3116" customFormat="false" ht="15" hidden="false" customHeight="true" outlineLevel="0" collapsed="false">
      <c r="J3116" s="14" t="b">
        <f aca="false">IF(중복검사!$A3114="",FALSE(),중복검사!$H3114="중복")</f>
        <v>0</v>
      </c>
      <c r="K3116" s="5" t="str">
        <f aca="false">IF($J3116=FALSE(),"",COUNTIF($J$6:$J3116,TRUE()))</f>
        <v/>
      </c>
      <c r="L3116" s="5" t="str">
        <f aca="false">IF($K3116="","","R"&amp;$K3116)</f>
        <v/>
      </c>
    </row>
    <row r="3117" customFormat="false" ht="15" hidden="false" customHeight="true" outlineLevel="0" collapsed="false">
      <c r="J3117" s="14" t="b">
        <f aca="false">IF(중복검사!$A3115="",FALSE(),중복검사!$H3115="중복")</f>
        <v>0</v>
      </c>
      <c r="K3117" s="5" t="str">
        <f aca="false">IF($J3117=FALSE(),"",COUNTIF($J$6:$J3117,TRUE()))</f>
        <v/>
      </c>
      <c r="L3117" s="5" t="str">
        <f aca="false">IF($K3117="","","R"&amp;$K3117)</f>
        <v/>
      </c>
    </row>
    <row r="3118" customFormat="false" ht="15" hidden="false" customHeight="true" outlineLevel="0" collapsed="false">
      <c r="J3118" s="14" t="b">
        <f aca="false">IF(중복검사!$A3116="",FALSE(),중복검사!$H3116="중복")</f>
        <v>0</v>
      </c>
      <c r="K3118" s="5" t="str">
        <f aca="false">IF($J3118=FALSE(),"",COUNTIF($J$6:$J3118,TRUE()))</f>
        <v/>
      </c>
      <c r="L3118" s="5" t="str">
        <f aca="false">IF($K3118="","","R"&amp;$K3118)</f>
        <v/>
      </c>
    </row>
    <row r="3119" customFormat="false" ht="15" hidden="false" customHeight="true" outlineLevel="0" collapsed="false">
      <c r="J3119" s="14" t="b">
        <f aca="false">IF(중복검사!$A3117="",FALSE(),중복검사!$H3117="중복")</f>
        <v>0</v>
      </c>
      <c r="K3119" s="5" t="str">
        <f aca="false">IF($J3119=FALSE(),"",COUNTIF($J$6:$J3119,TRUE()))</f>
        <v/>
      </c>
      <c r="L3119" s="5" t="str">
        <f aca="false">IF($K3119="","","R"&amp;$K3119)</f>
        <v/>
      </c>
    </row>
    <row r="3120" customFormat="false" ht="15" hidden="false" customHeight="true" outlineLevel="0" collapsed="false">
      <c r="J3120" s="14" t="b">
        <f aca="false">IF(중복검사!$A3118="",FALSE(),중복검사!$H3118="중복")</f>
        <v>0</v>
      </c>
      <c r="K3120" s="5" t="str">
        <f aca="false">IF($J3120=FALSE(),"",COUNTIF($J$6:$J3120,TRUE()))</f>
        <v/>
      </c>
      <c r="L3120" s="5" t="str">
        <f aca="false">IF($K3120="","","R"&amp;$K3120)</f>
        <v/>
      </c>
    </row>
    <row r="3121" customFormat="false" ht="15" hidden="false" customHeight="true" outlineLevel="0" collapsed="false">
      <c r="J3121" s="14" t="b">
        <f aca="false">IF(중복검사!$A3119="",FALSE(),중복검사!$H3119="중복")</f>
        <v>0</v>
      </c>
      <c r="K3121" s="5" t="str">
        <f aca="false">IF($J3121=FALSE(),"",COUNTIF($J$6:$J3121,TRUE()))</f>
        <v/>
      </c>
      <c r="L3121" s="5" t="str">
        <f aca="false">IF($K3121="","","R"&amp;$K3121)</f>
        <v/>
      </c>
    </row>
    <row r="3122" customFormat="false" ht="15" hidden="false" customHeight="true" outlineLevel="0" collapsed="false">
      <c r="J3122" s="14" t="b">
        <f aca="false">IF(중복검사!$A3120="",FALSE(),중복검사!$H3120="중복")</f>
        <v>0</v>
      </c>
      <c r="K3122" s="5" t="str">
        <f aca="false">IF($J3122=FALSE(),"",COUNTIF($J$6:$J3122,TRUE()))</f>
        <v/>
      </c>
      <c r="L3122" s="5" t="str">
        <f aca="false">IF($K3122="","","R"&amp;$K3122)</f>
        <v/>
      </c>
    </row>
    <row r="3123" customFormat="false" ht="15" hidden="false" customHeight="true" outlineLevel="0" collapsed="false">
      <c r="J3123" s="14" t="b">
        <f aca="false">IF(중복검사!$A3121="",FALSE(),중복검사!$H3121="중복")</f>
        <v>0</v>
      </c>
      <c r="K3123" s="5" t="str">
        <f aca="false">IF($J3123=FALSE(),"",COUNTIF($J$6:$J3123,TRUE()))</f>
        <v/>
      </c>
      <c r="L3123" s="5" t="str">
        <f aca="false">IF($K3123="","","R"&amp;$K3123)</f>
        <v/>
      </c>
    </row>
    <row r="3124" customFormat="false" ht="15" hidden="false" customHeight="true" outlineLevel="0" collapsed="false">
      <c r="J3124" s="14" t="b">
        <f aca="false">IF(중복검사!$A3122="",FALSE(),중복검사!$H3122="중복")</f>
        <v>0</v>
      </c>
      <c r="K3124" s="5" t="str">
        <f aca="false">IF($J3124=FALSE(),"",COUNTIF($J$6:$J3124,TRUE()))</f>
        <v/>
      </c>
      <c r="L3124" s="5" t="str">
        <f aca="false">IF($K3124="","","R"&amp;$K3124)</f>
        <v/>
      </c>
    </row>
    <row r="3125" customFormat="false" ht="15" hidden="false" customHeight="true" outlineLevel="0" collapsed="false">
      <c r="J3125" s="14" t="b">
        <f aca="false">IF(중복검사!$A3123="",FALSE(),중복검사!$H3123="중복")</f>
        <v>0</v>
      </c>
      <c r="K3125" s="5" t="str">
        <f aca="false">IF($J3125=FALSE(),"",COUNTIF($J$6:$J3125,TRUE()))</f>
        <v/>
      </c>
      <c r="L3125" s="5" t="str">
        <f aca="false">IF($K3125="","","R"&amp;$K3125)</f>
        <v/>
      </c>
    </row>
    <row r="3126" customFormat="false" ht="15" hidden="false" customHeight="true" outlineLevel="0" collapsed="false">
      <c r="J3126" s="14" t="b">
        <f aca="false">IF(중복검사!$A3124="",FALSE(),중복검사!$H3124="중복")</f>
        <v>0</v>
      </c>
      <c r="K3126" s="5" t="str">
        <f aca="false">IF($J3126=FALSE(),"",COUNTIF($J$6:$J3126,TRUE()))</f>
        <v/>
      </c>
      <c r="L3126" s="5" t="str">
        <f aca="false">IF($K3126="","","R"&amp;$K3126)</f>
        <v/>
      </c>
    </row>
    <row r="3127" customFormat="false" ht="15" hidden="false" customHeight="true" outlineLevel="0" collapsed="false">
      <c r="J3127" s="14" t="b">
        <f aca="false">IF(중복검사!$A3125="",FALSE(),중복검사!$H3125="중복")</f>
        <v>0</v>
      </c>
      <c r="K3127" s="5" t="str">
        <f aca="false">IF($J3127=FALSE(),"",COUNTIF($J$6:$J3127,TRUE()))</f>
        <v/>
      </c>
      <c r="L3127" s="5" t="str">
        <f aca="false">IF($K3127="","","R"&amp;$K3127)</f>
        <v/>
      </c>
    </row>
    <row r="3128" customFormat="false" ht="15" hidden="false" customHeight="true" outlineLevel="0" collapsed="false">
      <c r="J3128" s="14" t="b">
        <f aca="false">IF(중복검사!$A3126="",FALSE(),중복검사!$H3126="중복")</f>
        <v>0</v>
      </c>
      <c r="K3128" s="5" t="str">
        <f aca="false">IF($J3128=FALSE(),"",COUNTIF($J$6:$J3128,TRUE()))</f>
        <v/>
      </c>
      <c r="L3128" s="5" t="str">
        <f aca="false">IF($K3128="","","R"&amp;$K3128)</f>
        <v/>
      </c>
    </row>
    <row r="3129" customFormat="false" ht="15" hidden="false" customHeight="true" outlineLevel="0" collapsed="false">
      <c r="J3129" s="14" t="b">
        <f aca="false">IF(중복검사!$A3127="",FALSE(),중복검사!$H3127="중복")</f>
        <v>0</v>
      </c>
      <c r="K3129" s="5" t="str">
        <f aca="false">IF($J3129=FALSE(),"",COUNTIF($J$6:$J3129,TRUE()))</f>
        <v/>
      </c>
      <c r="L3129" s="5" t="str">
        <f aca="false">IF($K3129="","","R"&amp;$K3129)</f>
        <v/>
      </c>
    </row>
    <row r="3130" customFormat="false" ht="15" hidden="false" customHeight="true" outlineLevel="0" collapsed="false">
      <c r="J3130" s="14" t="b">
        <f aca="false">IF(중복검사!$A3128="",FALSE(),중복검사!$H3128="중복")</f>
        <v>0</v>
      </c>
      <c r="K3130" s="5" t="str">
        <f aca="false">IF($J3130=FALSE(),"",COUNTIF($J$6:$J3130,TRUE()))</f>
        <v/>
      </c>
      <c r="L3130" s="5" t="str">
        <f aca="false">IF($K3130="","","R"&amp;$K3130)</f>
        <v/>
      </c>
    </row>
    <row r="3131" customFormat="false" ht="15" hidden="false" customHeight="true" outlineLevel="0" collapsed="false">
      <c r="J3131" s="14" t="b">
        <f aca="false">IF(중복검사!$A3129="",FALSE(),중복검사!$H3129="중복")</f>
        <v>0</v>
      </c>
      <c r="K3131" s="5" t="str">
        <f aca="false">IF($J3131=FALSE(),"",COUNTIF($J$6:$J3131,TRUE()))</f>
        <v/>
      </c>
      <c r="L3131" s="5" t="str">
        <f aca="false">IF($K3131="","","R"&amp;$K3131)</f>
        <v/>
      </c>
    </row>
    <row r="3132" customFormat="false" ht="15" hidden="false" customHeight="true" outlineLevel="0" collapsed="false">
      <c r="J3132" s="14" t="b">
        <f aca="false">IF(중복검사!$A3130="",FALSE(),중복검사!$H3130="중복")</f>
        <v>0</v>
      </c>
      <c r="K3132" s="5" t="str">
        <f aca="false">IF($J3132=FALSE(),"",COUNTIF($J$6:$J3132,TRUE()))</f>
        <v/>
      </c>
      <c r="L3132" s="5" t="str">
        <f aca="false">IF($K3132="","","R"&amp;$K3132)</f>
        <v/>
      </c>
    </row>
    <row r="3133" customFormat="false" ht="15" hidden="false" customHeight="true" outlineLevel="0" collapsed="false">
      <c r="J3133" s="14" t="b">
        <f aca="false">IF(중복검사!$A3131="",FALSE(),중복검사!$H3131="중복")</f>
        <v>0</v>
      </c>
      <c r="K3133" s="5" t="str">
        <f aca="false">IF($J3133=FALSE(),"",COUNTIF($J$6:$J3133,TRUE()))</f>
        <v/>
      </c>
      <c r="L3133" s="5" t="str">
        <f aca="false">IF($K3133="","","R"&amp;$K3133)</f>
        <v/>
      </c>
    </row>
    <row r="3134" customFormat="false" ht="15" hidden="false" customHeight="true" outlineLevel="0" collapsed="false">
      <c r="J3134" s="14" t="b">
        <f aca="false">IF(중복검사!$A3132="",FALSE(),중복검사!$H3132="중복")</f>
        <v>0</v>
      </c>
      <c r="K3134" s="5" t="str">
        <f aca="false">IF($J3134=FALSE(),"",COUNTIF($J$6:$J3134,TRUE()))</f>
        <v/>
      </c>
      <c r="L3134" s="5" t="str">
        <f aca="false">IF($K3134="","","R"&amp;$K3134)</f>
        <v/>
      </c>
    </row>
    <row r="3135" customFormat="false" ht="15" hidden="false" customHeight="true" outlineLevel="0" collapsed="false">
      <c r="J3135" s="14" t="b">
        <f aca="false">IF(중복검사!$A3133="",FALSE(),중복검사!$H3133="중복")</f>
        <v>0</v>
      </c>
      <c r="K3135" s="5" t="str">
        <f aca="false">IF($J3135=FALSE(),"",COUNTIF($J$6:$J3135,TRUE()))</f>
        <v/>
      </c>
      <c r="L3135" s="5" t="str">
        <f aca="false">IF($K3135="","","R"&amp;$K3135)</f>
        <v/>
      </c>
    </row>
    <row r="3136" customFormat="false" ht="15" hidden="false" customHeight="true" outlineLevel="0" collapsed="false">
      <c r="J3136" s="14" t="b">
        <f aca="false">IF(중복검사!$A3134="",FALSE(),중복검사!$H3134="중복")</f>
        <v>0</v>
      </c>
      <c r="K3136" s="5" t="str">
        <f aca="false">IF($J3136=FALSE(),"",COUNTIF($J$6:$J3136,TRUE()))</f>
        <v/>
      </c>
      <c r="L3136" s="5" t="str">
        <f aca="false">IF($K3136="","","R"&amp;$K3136)</f>
        <v/>
      </c>
    </row>
    <row r="3137" customFormat="false" ht="15" hidden="false" customHeight="true" outlineLevel="0" collapsed="false">
      <c r="J3137" s="14" t="b">
        <f aca="false">IF(중복검사!$A3135="",FALSE(),중복검사!$H3135="중복")</f>
        <v>0</v>
      </c>
      <c r="K3137" s="5" t="str">
        <f aca="false">IF($J3137=FALSE(),"",COUNTIF($J$6:$J3137,TRUE()))</f>
        <v/>
      </c>
      <c r="L3137" s="5" t="str">
        <f aca="false">IF($K3137="","","R"&amp;$K3137)</f>
        <v/>
      </c>
    </row>
    <row r="3138" customFormat="false" ht="15" hidden="false" customHeight="true" outlineLevel="0" collapsed="false">
      <c r="J3138" s="14" t="b">
        <f aca="false">IF(중복검사!$A3136="",FALSE(),중복검사!$H3136="중복")</f>
        <v>0</v>
      </c>
      <c r="K3138" s="5" t="str">
        <f aca="false">IF($J3138=FALSE(),"",COUNTIF($J$6:$J3138,TRUE()))</f>
        <v/>
      </c>
      <c r="L3138" s="5" t="str">
        <f aca="false">IF($K3138="","","R"&amp;$K3138)</f>
        <v/>
      </c>
    </row>
    <row r="3139" customFormat="false" ht="15" hidden="false" customHeight="true" outlineLevel="0" collapsed="false">
      <c r="J3139" s="14" t="b">
        <f aca="false">IF(중복검사!$A3137="",FALSE(),중복검사!$H3137="중복")</f>
        <v>0</v>
      </c>
      <c r="K3139" s="5" t="str">
        <f aca="false">IF($J3139=FALSE(),"",COUNTIF($J$6:$J3139,TRUE()))</f>
        <v/>
      </c>
      <c r="L3139" s="5" t="str">
        <f aca="false">IF($K3139="","","R"&amp;$K3139)</f>
        <v/>
      </c>
    </row>
    <row r="3140" customFormat="false" ht="15" hidden="false" customHeight="true" outlineLevel="0" collapsed="false">
      <c r="J3140" s="14" t="b">
        <f aca="false">IF(중복검사!$A3138="",FALSE(),중복검사!$H3138="중복")</f>
        <v>0</v>
      </c>
      <c r="K3140" s="5" t="str">
        <f aca="false">IF($J3140=FALSE(),"",COUNTIF($J$6:$J3140,TRUE()))</f>
        <v/>
      </c>
      <c r="L3140" s="5" t="str">
        <f aca="false">IF($K3140="","","R"&amp;$K3140)</f>
        <v/>
      </c>
    </row>
    <row r="3141" customFormat="false" ht="15" hidden="false" customHeight="true" outlineLevel="0" collapsed="false">
      <c r="J3141" s="14" t="b">
        <f aca="false">IF(중복검사!$A3139="",FALSE(),중복검사!$H3139="중복")</f>
        <v>0</v>
      </c>
      <c r="K3141" s="5" t="str">
        <f aca="false">IF($J3141=FALSE(),"",COUNTIF($J$6:$J3141,TRUE()))</f>
        <v/>
      </c>
      <c r="L3141" s="5" t="str">
        <f aca="false">IF($K3141="","","R"&amp;$K3141)</f>
        <v/>
      </c>
    </row>
    <row r="3142" customFormat="false" ht="15" hidden="false" customHeight="true" outlineLevel="0" collapsed="false">
      <c r="J3142" s="14" t="b">
        <f aca="false">IF(중복검사!$A3140="",FALSE(),중복검사!$H3140="중복")</f>
        <v>0</v>
      </c>
      <c r="K3142" s="5" t="str">
        <f aca="false">IF($J3142=FALSE(),"",COUNTIF($J$6:$J3142,TRUE()))</f>
        <v/>
      </c>
      <c r="L3142" s="5" t="str">
        <f aca="false">IF($K3142="","","R"&amp;$K3142)</f>
        <v/>
      </c>
    </row>
    <row r="3143" customFormat="false" ht="15" hidden="false" customHeight="true" outlineLevel="0" collapsed="false">
      <c r="J3143" s="14" t="b">
        <f aca="false">IF(중복검사!$A3141="",FALSE(),중복검사!$H3141="중복")</f>
        <v>0</v>
      </c>
      <c r="K3143" s="5" t="str">
        <f aca="false">IF($J3143=FALSE(),"",COUNTIF($J$6:$J3143,TRUE()))</f>
        <v/>
      </c>
      <c r="L3143" s="5" t="str">
        <f aca="false">IF($K3143="","","R"&amp;$K3143)</f>
        <v/>
      </c>
    </row>
    <row r="3144" customFormat="false" ht="15" hidden="false" customHeight="true" outlineLevel="0" collapsed="false">
      <c r="J3144" s="14" t="b">
        <f aca="false">IF(중복검사!$A3142="",FALSE(),중복검사!$H3142="중복")</f>
        <v>0</v>
      </c>
      <c r="K3144" s="5" t="str">
        <f aca="false">IF($J3144=FALSE(),"",COUNTIF($J$6:$J3144,TRUE()))</f>
        <v/>
      </c>
      <c r="L3144" s="5" t="str">
        <f aca="false">IF($K3144="","","R"&amp;$K3144)</f>
        <v/>
      </c>
    </row>
    <row r="3145" customFormat="false" ht="15" hidden="false" customHeight="true" outlineLevel="0" collapsed="false">
      <c r="J3145" s="14" t="b">
        <f aca="false">IF(중복검사!$A3143="",FALSE(),중복검사!$H3143="중복")</f>
        <v>0</v>
      </c>
      <c r="K3145" s="5" t="str">
        <f aca="false">IF($J3145=FALSE(),"",COUNTIF($J$6:$J3145,TRUE()))</f>
        <v/>
      </c>
      <c r="L3145" s="5" t="str">
        <f aca="false">IF($K3145="","","R"&amp;$K3145)</f>
        <v/>
      </c>
    </row>
    <row r="3146" customFormat="false" ht="15" hidden="false" customHeight="true" outlineLevel="0" collapsed="false">
      <c r="J3146" s="14" t="b">
        <f aca="false">IF(중복검사!$A3144="",FALSE(),중복검사!$H3144="중복")</f>
        <v>0</v>
      </c>
      <c r="K3146" s="5" t="str">
        <f aca="false">IF($J3146=FALSE(),"",COUNTIF($J$6:$J3146,TRUE()))</f>
        <v/>
      </c>
      <c r="L3146" s="5" t="str">
        <f aca="false">IF($K3146="","","R"&amp;$K3146)</f>
        <v/>
      </c>
    </row>
    <row r="3147" customFormat="false" ht="15" hidden="false" customHeight="true" outlineLevel="0" collapsed="false">
      <c r="J3147" s="14" t="b">
        <f aca="false">IF(중복검사!$A3145="",FALSE(),중복검사!$H3145="중복")</f>
        <v>0</v>
      </c>
      <c r="K3147" s="5" t="str">
        <f aca="false">IF($J3147=FALSE(),"",COUNTIF($J$6:$J3147,TRUE()))</f>
        <v/>
      </c>
      <c r="L3147" s="5" t="str">
        <f aca="false">IF($K3147="","","R"&amp;$K3147)</f>
        <v/>
      </c>
    </row>
    <row r="3148" customFormat="false" ht="15" hidden="false" customHeight="true" outlineLevel="0" collapsed="false">
      <c r="J3148" s="14" t="b">
        <f aca="false">IF(중복검사!$A3146="",FALSE(),중복검사!$H3146="중복")</f>
        <v>0</v>
      </c>
      <c r="K3148" s="5" t="str">
        <f aca="false">IF($J3148=FALSE(),"",COUNTIF($J$6:$J3148,TRUE()))</f>
        <v/>
      </c>
      <c r="L3148" s="5" t="str">
        <f aca="false">IF($K3148="","","R"&amp;$K3148)</f>
        <v/>
      </c>
    </row>
    <row r="3149" customFormat="false" ht="15" hidden="false" customHeight="true" outlineLevel="0" collapsed="false">
      <c r="J3149" s="14" t="b">
        <f aca="false">IF(중복검사!$A3147="",FALSE(),중복검사!$H3147="중복")</f>
        <v>0</v>
      </c>
      <c r="K3149" s="5" t="str">
        <f aca="false">IF($J3149=FALSE(),"",COUNTIF($J$6:$J3149,TRUE()))</f>
        <v/>
      </c>
      <c r="L3149" s="5" t="str">
        <f aca="false">IF($K3149="","","R"&amp;$K3149)</f>
        <v/>
      </c>
    </row>
    <row r="3150" customFormat="false" ht="15" hidden="false" customHeight="true" outlineLevel="0" collapsed="false">
      <c r="J3150" s="14" t="b">
        <f aca="false">IF(중복검사!$A3148="",FALSE(),중복검사!$H3148="중복")</f>
        <v>0</v>
      </c>
      <c r="K3150" s="5" t="str">
        <f aca="false">IF($J3150=FALSE(),"",COUNTIF($J$6:$J3150,TRUE()))</f>
        <v/>
      </c>
      <c r="L3150" s="5" t="str">
        <f aca="false">IF($K3150="","","R"&amp;$K3150)</f>
        <v/>
      </c>
    </row>
    <row r="3151" customFormat="false" ht="15" hidden="false" customHeight="true" outlineLevel="0" collapsed="false">
      <c r="J3151" s="14" t="b">
        <f aca="false">IF(중복검사!$A3149="",FALSE(),중복검사!$H3149="중복")</f>
        <v>0</v>
      </c>
      <c r="K3151" s="5" t="str">
        <f aca="false">IF($J3151=FALSE(),"",COUNTIF($J$6:$J3151,TRUE()))</f>
        <v/>
      </c>
      <c r="L3151" s="5" t="str">
        <f aca="false">IF($K3151="","","R"&amp;$K3151)</f>
        <v/>
      </c>
    </row>
    <row r="3152" customFormat="false" ht="15" hidden="false" customHeight="true" outlineLevel="0" collapsed="false">
      <c r="J3152" s="14" t="b">
        <f aca="false">IF(중복검사!$A3150="",FALSE(),중복검사!$H3150="중복")</f>
        <v>0</v>
      </c>
      <c r="K3152" s="5" t="str">
        <f aca="false">IF($J3152=FALSE(),"",COUNTIF($J$6:$J3152,TRUE()))</f>
        <v/>
      </c>
      <c r="L3152" s="5" t="str">
        <f aca="false">IF($K3152="","","R"&amp;$K3152)</f>
        <v/>
      </c>
    </row>
    <row r="3153" customFormat="false" ht="15" hidden="false" customHeight="true" outlineLevel="0" collapsed="false">
      <c r="J3153" s="14" t="b">
        <f aca="false">IF(중복검사!$A3151="",FALSE(),중복검사!$H3151="중복")</f>
        <v>0</v>
      </c>
      <c r="K3153" s="5" t="str">
        <f aca="false">IF($J3153=FALSE(),"",COUNTIF($J$6:$J3153,TRUE()))</f>
        <v/>
      </c>
      <c r="L3153" s="5" t="str">
        <f aca="false">IF($K3153="","","R"&amp;$K3153)</f>
        <v/>
      </c>
    </row>
    <row r="3154" customFormat="false" ht="15" hidden="false" customHeight="true" outlineLevel="0" collapsed="false">
      <c r="J3154" s="14" t="b">
        <f aca="false">IF(중복검사!$A3152="",FALSE(),중복검사!$H3152="중복")</f>
        <v>0</v>
      </c>
      <c r="K3154" s="5" t="str">
        <f aca="false">IF($J3154=FALSE(),"",COUNTIF($J$6:$J3154,TRUE()))</f>
        <v/>
      </c>
      <c r="L3154" s="5" t="str">
        <f aca="false">IF($K3154="","","R"&amp;$K3154)</f>
        <v/>
      </c>
    </row>
    <row r="3155" customFormat="false" ht="15" hidden="false" customHeight="true" outlineLevel="0" collapsed="false">
      <c r="J3155" s="14" t="b">
        <f aca="false">IF(중복검사!$A3153="",FALSE(),중복검사!$H3153="중복")</f>
        <v>0</v>
      </c>
      <c r="K3155" s="5" t="str">
        <f aca="false">IF($J3155=FALSE(),"",COUNTIF($J$6:$J3155,TRUE()))</f>
        <v/>
      </c>
      <c r="L3155" s="5" t="str">
        <f aca="false">IF($K3155="","","R"&amp;$K3155)</f>
        <v/>
      </c>
    </row>
    <row r="3156" customFormat="false" ht="15" hidden="false" customHeight="true" outlineLevel="0" collapsed="false">
      <c r="J3156" s="14" t="b">
        <f aca="false">IF(중복검사!$A3154="",FALSE(),중복검사!$H3154="중복")</f>
        <v>0</v>
      </c>
      <c r="K3156" s="5" t="str">
        <f aca="false">IF($J3156=FALSE(),"",COUNTIF($J$6:$J3156,TRUE()))</f>
        <v/>
      </c>
      <c r="L3156" s="5" t="str">
        <f aca="false">IF($K3156="","","R"&amp;$K3156)</f>
        <v/>
      </c>
    </row>
    <row r="3157" customFormat="false" ht="15" hidden="false" customHeight="true" outlineLevel="0" collapsed="false">
      <c r="J3157" s="14" t="b">
        <f aca="false">IF(중복검사!$A3155="",FALSE(),중복검사!$H3155="중복")</f>
        <v>0</v>
      </c>
      <c r="K3157" s="5" t="str">
        <f aca="false">IF($J3157=FALSE(),"",COUNTIF($J$6:$J3157,TRUE()))</f>
        <v/>
      </c>
      <c r="L3157" s="5" t="str">
        <f aca="false">IF($K3157="","","R"&amp;$K3157)</f>
        <v/>
      </c>
    </row>
    <row r="3158" customFormat="false" ht="15" hidden="false" customHeight="true" outlineLevel="0" collapsed="false">
      <c r="J3158" s="14" t="b">
        <f aca="false">IF(중복검사!$A3156="",FALSE(),중복검사!$H3156="중복")</f>
        <v>0</v>
      </c>
      <c r="K3158" s="5" t="str">
        <f aca="false">IF($J3158=FALSE(),"",COUNTIF($J$6:$J3158,TRUE()))</f>
        <v/>
      </c>
      <c r="L3158" s="5" t="str">
        <f aca="false">IF($K3158="","","R"&amp;$K3158)</f>
        <v/>
      </c>
    </row>
    <row r="3159" customFormat="false" ht="15" hidden="false" customHeight="true" outlineLevel="0" collapsed="false">
      <c r="J3159" s="14" t="b">
        <f aca="false">IF(중복검사!$A3157="",FALSE(),중복검사!$H3157="중복")</f>
        <v>0</v>
      </c>
      <c r="K3159" s="5" t="str">
        <f aca="false">IF($J3159=FALSE(),"",COUNTIF($J$6:$J3159,TRUE()))</f>
        <v/>
      </c>
      <c r="L3159" s="5" t="str">
        <f aca="false">IF($K3159="","","R"&amp;$K3159)</f>
        <v/>
      </c>
    </row>
    <row r="3160" customFormat="false" ht="15" hidden="false" customHeight="true" outlineLevel="0" collapsed="false">
      <c r="J3160" s="14" t="b">
        <f aca="false">IF(중복검사!$A3158="",FALSE(),중복검사!$H3158="중복")</f>
        <v>0</v>
      </c>
      <c r="K3160" s="5" t="str">
        <f aca="false">IF($J3160=FALSE(),"",COUNTIF($J$6:$J3160,TRUE()))</f>
        <v/>
      </c>
      <c r="L3160" s="5" t="str">
        <f aca="false">IF($K3160="","","R"&amp;$K3160)</f>
        <v/>
      </c>
    </row>
    <row r="3161" customFormat="false" ht="15" hidden="false" customHeight="true" outlineLevel="0" collapsed="false">
      <c r="J3161" s="14" t="b">
        <f aca="false">IF(중복검사!$A3159="",FALSE(),중복검사!$H3159="중복")</f>
        <v>0</v>
      </c>
      <c r="K3161" s="5" t="str">
        <f aca="false">IF($J3161=FALSE(),"",COUNTIF($J$6:$J3161,TRUE()))</f>
        <v/>
      </c>
      <c r="L3161" s="5" t="str">
        <f aca="false">IF($K3161="","","R"&amp;$K3161)</f>
        <v/>
      </c>
    </row>
    <row r="3162" customFormat="false" ht="15" hidden="false" customHeight="true" outlineLevel="0" collapsed="false">
      <c r="J3162" s="14" t="b">
        <f aca="false">IF(중복검사!$A3160="",FALSE(),중복검사!$H3160="중복")</f>
        <v>0</v>
      </c>
      <c r="K3162" s="5" t="str">
        <f aca="false">IF($J3162=FALSE(),"",COUNTIF($J$6:$J3162,TRUE()))</f>
        <v/>
      </c>
      <c r="L3162" s="5" t="str">
        <f aca="false">IF($K3162="","","R"&amp;$K3162)</f>
        <v/>
      </c>
    </row>
    <row r="3163" customFormat="false" ht="15" hidden="false" customHeight="true" outlineLevel="0" collapsed="false">
      <c r="J3163" s="14" t="b">
        <f aca="false">IF(중복검사!$A3161="",FALSE(),중복검사!$H3161="중복")</f>
        <v>0</v>
      </c>
      <c r="K3163" s="5" t="str">
        <f aca="false">IF($J3163=FALSE(),"",COUNTIF($J$6:$J3163,TRUE()))</f>
        <v/>
      </c>
      <c r="L3163" s="5" t="str">
        <f aca="false">IF($K3163="","","R"&amp;$K3163)</f>
        <v/>
      </c>
    </row>
    <row r="3164" customFormat="false" ht="15" hidden="false" customHeight="true" outlineLevel="0" collapsed="false">
      <c r="J3164" s="14" t="b">
        <f aca="false">IF(중복검사!$A3162="",FALSE(),중복검사!$H3162="중복")</f>
        <v>0</v>
      </c>
      <c r="K3164" s="5" t="str">
        <f aca="false">IF($J3164=FALSE(),"",COUNTIF($J$6:$J3164,TRUE()))</f>
        <v/>
      </c>
      <c r="L3164" s="5" t="str">
        <f aca="false">IF($K3164="","","R"&amp;$K3164)</f>
        <v/>
      </c>
    </row>
    <row r="3165" customFormat="false" ht="15" hidden="false" customHeight="true" outlineLevel="0" collapsed="false">
      <c r="J3165" s="14" t="b">
        <f aca="false">IF(중복검사!$A3163="",FALSE(),중복검사!$H3163="중복")</f>
        <v>0</v>
      </c>
      <c r="K3165" s="5" t="str">
        <f aca="false">IF($J3165=FALSE(),"",COUNTIF($J$6:$J3165,TRUE()))</f>
        <v/>
      </c>
      <c r="L3165" s="5" t="str">
        <f aca="false">IF($K3165="","","R"&amp;$K3165)</f>
        <v/>
      </c>
    </row>
    <row r="3166" customFormat="false" ht="15" hidden="false" customHeight="true" outlineLevel="0" collapsed="false">
      <c r="J3166" s="14" t="b">
        <f aca="false">IF(중복검사!$A3164="",FALSE(),중복검사!$H3164="중복")</f>
        <v>0</v>
      </c>
      <c r="K3166" s="5" t="str">
        <f aca="false">IF($J3166=FALSE(),"",COUNTIF($J$6:$J3166,TRUE()))</f>
        <v/>
      </c>
      <c r="L3166" s="5" t="str">
        <f aca="false">IF($K3166="","","R"&amp;$K3166)</f>
        <v/>
      </c>
    </row>
    <row r="3167" customFormat="false" ht="15" hidden="false" customHeight="true" outlineLevel="0" collapsed="false">
      <c r="J3167" s="14" t="b">
        <f aca="false">IF(중복검사!$A3165="",FALSE(),중복검사!$H3165="중복")</f>
        <v>0</v>
      </c>
      <c r="K3167" s="5" t="str">
        <f aca="false">IF($J3167=FALSE(),"",COUNTIF($J$6:$J3167,TRUE()))</f>
        <v/>
      </c>
      <c r="L3167" s="5" t="str">
        <f aca="false">IF($K3167="","","R"&amp;$K3167)</f>
        <v/>
      </c>
    </row>
    <row r="3168" customFormat="false" ht="15" hidden="false" customHeight="true" outlineLevel="0" collapsed="false">
      <c r="J3168" s="14" t="b">
        <f aca="false">IF(중복검사!$A3166="",FALSE(),중복검사!$H3166="중복")</f>
        <v>0</v>
      </c>
      <c r="K3168" s="5" t="str">
        <f aca="false">IF($J3168=FALSE(),"",COUNTIF($J$6:$J3168,TRUE()))</f>
        <v/>
      </c>
      <c r="L3168" s="5" t="str">
        <f aca="false">IF($K3168="","","R"&amp;$K3168)</f>
        <v/>
      </c>
    </row>
    <row r="3169" customFormat="false" ht="15" hidden="false" customHeight="true" outlineLevel="0" collapsed="false">
      <c r="J3169" s="14" t="b">
        <f aca="false">IF(중복검사!$A3167="",FALSE(),중복검사!$H3167="중복")</f>
        <v>0</v>
      </c>
      <c r="K3169" s="5" t="str">
        <f aca="false">IF($J3169=FALSE(),"",COUNTIF($J$6:$J3169,TRUE()))</f>
        <v/>
      </c>
      <c r="L3169" s="5" t="str">
        <f aca="false">IF($K3169="","","R"&amp;$K3169)</f>
        <v/>
      </c>
    </row>
    <row r="3170" customFormat="false" ht="15" hidden="false" customHeight="true" outlineLevel="0" collapsed="false">
      <c r="J3170" s="14" t="b">
        <f aca="false">IF(중복검사!$A3168="",FALSE(),중복검사!$H3168="중복")</f>
        <v>0</v>
      </c>
      <c r="K3170" s="5" t="str">
        <f aca="false">IF($J3170=FALSE(),"",COUNTIF($J$6:$J3170,TRUE()))</f>
        <v/>
      </c>
      <c r="L3170" s="5" t="str">
        <f aca="false">IF($K3170="","","R"&amp;$K3170)</f>
        <v/>
      </c>
    </row>
    <row r="3171" customFormat="false" ht="15" hidden="false" customHeight="true" outlineLevel="0" collapsed="false">
      <c r="J3171" s="14" t="b">
        <f aca="false">IF(중복검사!$A3169="",FALSE(),중복검사!$H3169="중복")</f>
        <v>0</v>
      </c>
      <c r="K3171" s="5" t="str">
        <f aca="false">IF($J3171=FALSE(),"",COUNTIF($J$6:$J3171,TRUE()))</f>
        <v/>
      </c>
      <c r="L3171" s="5" t="str">
        <f aca="false">IF($K3171="","","R"&amp;$K3171)</f>
        <v/>
      </c>
    </row>
    <row r="3172" customFormat="false" ht="15" hidden="false" customHeight="true" outlineLevel="0" collapsed="false">
      <c r="J3172" s="14" t="b">
        <f aca="false">IF(중복검사!$A3170="",FALSE(),중복검사!$H3170="중복")</f>
        <v>0</v>
      </c>
      <c r="K3172" s="5" t="str">
        <f aca="false">IF($J3172=FALSE(),"",COUNTIF($J$6:$J3172,TRUE()))</f>
        <v/>
      </c>
      <c r="L3172" s="5" t="str">
        <f aca="false">IF($K3172="","","R"&amp;$K3172)</f>
        <v/>
      </c>
    </row>
    <row r="3173" customFormat="false" ht="15" hidden="false" customHeight="true" outlineLevel="0" collapsed="false">
      <c r="J3173" s="14" t="b">
        <f aca="false">IF(중복검사!$A3171="",FALSE(),중복검사!$H3171="중복")</f>
        <v>0</v>
      </c>
      <c r="K3173" s="5" t="str">
        <f aca="false">IF($J3173=FALSE(),"",COUNTIF($J$6:$J3173,TRUE()))</f>
        <v/>
      </c>
      <c r="L3173" s="5" t="str">
        <f aca="false">IF($K3173="","","R"&amp;$K3173)</f>
        <v/>
      </c>
    </row>
    <row r="3174" customFormat="false" ht="15" hidden="false" customHeight="true" outlineLevel="0" collapsed="false">
      <c r="J3174" s="14" t="b">
        <f aca="false">IF(중복검사!$A3172="",FALSE(),중복검사!$H3172="중복")</f>
        <v>0</v>
      </c>
      <c r="K3174" s="5" t="str">
        <f aca="false">IF($J3174=FALSE(),"",COUNTIF($J$6:$J3174,TRUE()))</f>
        <v/>
      </c>
      <c r="L3174" s="5" t="str">
        <f aca="false">IF($K3174="","","R"&amp;$K3174)</f>
        <v/>
      </c>
    </row>
    <row r="3175" customFormat="false" ht="15" hidden="false" customHeight="true" outlineLevel="0" collapsed="false">
      <c r="J3175" s="14" t="b">
        <f aca="false">IF(중복검사!$A3173="",FALSE(),중복검사!$H3173="중복")</f>
        <v>0</v>
      </c>
      <c r="K3175" s="5" t="str">
        <f aca="false">IF($J3175=FALSE(),"",COUNTIF($J$6:$J3175,TRUE()))</f>
        <v/>
      </c>
      <c r="L3175" s="5" t="str">
        <f aca="false">IF($K3175="","","R"&amp;$K3175)</f>
        <v/>
      </c>
    </row>
    <row r="3176" customFormat="false" ht="15" hidden="false" customHeight="true" outlineLevel="0" collapsed="false">
      <c r="J3176" s="14" t="b">
        <f aca="false">IF(중복검사!$A3174="",FALSE(),중복검사!$H3174="중복")</f>
        <v>0</v>
      </c>
      <c r="K3176" s="5" t="str">
        <f aca="false">IF($J3176=FALSE(),"",COUNTIF($J$6:$J3176,TRUE()))</f>
        <v/>
      </c>
      <c r="L3176" s="5" t="str">
        <f aca="false">IF($K3176="","","R"&amp;$K3176)</f>
        <v/>
      </c>
    </row>
    <row r="3177" customFormat="false" ht="15" hidden="false" customHeight="true" outlineLevel="0" collapsed="false">
      <c r="J3177" s="14" t="b">
        <f aca="false">IF(중복검사!$A3175="",FALSE(),중복검사!$H3175="중복")</f>
        <v>0</v>
      </c>
      <c r="K3177" s="5" t="str">
        <f aca="false">IF($J3177=FALSE(),"",COUNTIF($J$6:$J3177,TRUE()))</f>
        <v/>
      </c>
      <c r="L3177" s="5" t="str">
        <f aca="false">IF($K3177="","","R"&amp;$K3177)</f>
        <v/>
      </c>
    </row>
    <row r="3178" customFormat="false" ht="15" hidden="false" customHeight="true" outlineLevel="0" collapsed="false">
      <c r="J3178" s="14" t="b">
        <f aca="false">IF(중복검사!$A3176="",FALSE(),중복검사!$H3176="중복")</f>
        <v>0</v>
      </c>
      <c r="K3178" s="5" t="str">
        <f aca="false">IF($J3178=FALSE(),"",COUNTIF($J$6:$J3178,TRUE()))</f>
        <v/>
      </c>
      <c r="L3178" s="5" t="str">
        <f aca="false">IF($K3178="","","R"&amp;$K3178)</f>
        <v/>
      </c>
    </row>
    <row r="3179" customFormat="false" ht="15" hidden="false" customHeight="true" outlineLevel="0" collapsed="false">
      <c r="J3179" s="14" t="b">
        <f aca="false">IF(중복검사!$A3177="",FALSE(),중복검사!$H3177="중복")</f>
        <v>0</v>
      </c>
      <c r="K3179" s="5" t="str">
        <f aca="false">IF($J3179=FALSE(),"",COUNTIF($J$6:$J3179,TRUE()))</f>
        <v/>
      </c>
      <c r="L3179" s="5" t="str">
        <f aca="false">IF($K3179="","","R"&amp;$K3179)</f>
        <v/>
      </c>
    </row>
    <row r="3180" customFormat="false" ht="15" hidden="false" customHeight="true" outlineLevel="0" collapsed="false">
      <c r="J3180" s="14" t="b">
        <f aca="false">IF(중복검사!$A3178="",FALSE(),중복검사!$H3178="중복")</f>
        <v>0</v>
      </c>
      <c r="K3180" s="5" t="str">
        <f aca="false">IF($J3180=FALSE(),"",COUNTIF($J$6:$J3180,TRUE()))</f>
        <v/>
      </c>
      <c r="L3180" s="5" t="str">
        <f aca="false">IF($K3180="","","R"&amp;$K3180)</f>
        <v/>
      </c>
    </row>
    <row r="3181" customFormat="false" ht="15" hidden="false" customHeight="true" outlineLevel="0" collapsed="false">
      <c r="J3181" s="14" t="b">
        <f aca="false">IF(중복검사!$A3179="",FALSE(),중복검사!$H3179="중복")</f>
        <v>0</v>
      </c>
      <c r="K3181" s="5" t="str">
        <f aca="false">IF($J3181=FALSE(),"",COUNTIF($J$6:$J3181,TRUE()))</f>
        <v/>
      </c>
      <c r="L3181" s="5" t="str">
        <f aca="false">IF($K3181="","","R"&amp;$K3181)</f>
        <v/>
      </c>
    </row>
    <row r="3182" customFormat="false" ht="15" hidden="false" customHeight="true" outlineLevel="0" collapsed="false">
      <c r="J3182" s="14" t="b">
        <f aca="false">IF(중복검사!$A3180="",FALSE(),중복검사!$H3180="중복")</f>
        <v>0</v>
      </c>
      <c r="K3182" s="5" t="str">
        <f aca="false">IF($J3182=FALSE(),"",COUNTIF($J$6:$J3182,TRUE()))</f>
        <v/>
      </c>
      <c r="L3182" s="5" t="str">
        <f aca="false">IF($K3182="","","R"&amp;$K3182)</f>
        <v/>
      </c>
    </row>
    <row r="3183" customFormat="false" ht="15" hidden="false" customHeight="true" outlineLevel="0" collapsed="false">
      <c r="J3183" s="14" t="b">
        <f aca="false">IF(중복검사!$A3181="",FALSE(),중복검사!$H3181="중복")</f>
        <v>0</v>
      </c>
      <c r="K3183" s="5" t="str">
        <f aca="false">IF($J3183=FALSE(),"",COUNTIF($J$6:$J3183,TRUE()))</f>
        <v/>
      </c>
      <c r="L3183" s="5" t="str">
        <f aca="false">IF($K3183="","","R"&amp;$K3183)</f>
        <v/>
      </c>
    </row>
    <row r="3184" customFormat="false" ht="15" hidden="false" customHeight="true" outlineLevel="0" collapsed="false">
      <c r="J3184" s="14" t="b">
        <f aca="false">IF(중복검사!$A3182="",FALSE(),중복검사!$H3182="중복")</f>
        <v>0</v>
      </c>
      <c r="K3184" s="5" t="str">
        <f aca="false">IF($J3184=FALSE(),"",COUNTIF($J$6:$J3184,TRUE()))</f>
        <v/>
      </c>
      <c r="L3184" s="5" t="str">
        <f aca="false">IF($K3184="","","R"&amp;$K3184)</f>
        <v/>
      </c>
    </row>
    <row r="3185" customFormat="false" ht="15" hidden="false" customHeight="true" outlineLevel="0" collapsed="false">
      <c r="J3185" s="14" t="b">
        <f aca="false">IF(중복검사!$A3183="",FALSE(),중복검사!$H3183="중복")</f>
        <v>0</v>
      </c>
      <c r="K3185" s="5" t="str">
        <f aca="false">IF($J3185=FALSE(),"",COUNTIF($J$6:$J3185,TRUE()))</f>
        <v/>
      </c>
      <c r="L3185" s="5" t="str">
        <f aca="false">IF($K3185="","","R"&amp;$K3185)</f>
        <v/>
      </c>
    </row>
    <row r="3186" customFormat="false" ht="15" hidden="false" customHeight="true" outlineLevel="0" collapsed="false">
      <c r="J3186" s="14" t="b">
        <f aca="false">IF(중복검사!$A3184="",FALSE(),중복검사!$H3184="중복")</f>
        <v>0</v>
      </c>
      <c r="K3186" s="5" t="str">
        <f aca="false">IF($J3186=FALSE(),"",COUNTIF($J$6:$J3186,TRUE()))</f>
        <v/>
      </c>
      <c r="L3186" s="5" t="str">
        <f aca="false">IF($K3186="","","R"&amp;$K3186)</f>
        <v/>
      </c>
    </row>
    <row r="3187" customFormat="false" ht="15" hidden="false" customHeight="true" outlineLevel="0" collapsed="false">
      <c r="J3187" s="14" t="b">
        <f aca="false">IF(중복검사!$A3185="",FALSE(),중복검사!$H3185="중복")</f>
        <v>0</v>
      </c>
      <c r="K3187" s="5" t="str">
        <f aca="false">IF($J3187=FALSE(),"",COUNTIF($J$6:$J3187,TRUE()))</f>
        <v/>
      </c>
      <c r="L3187" s="5" t="str">
        <f aca="false">IF($K3187="","","R"&amp;$K3187)</f>
        <v/>
      </c>
    </row>
    <row r="3188" customFormat="false" ht="15" hidden="false" customHeight="true" outlineLevel="0" collapsed="false">
      <c r="J3188" s="14" t="b">
        <f aca="false">IF(중복검사!$A3186="",FALSE(),중복검사!$H3186="중복")</f>
        <v>0</v>
      </c>
      <c r="K3188" s="5" t="str">
        <f aca="false">IF($J3188=FALSE(),"",COUNTIF($J$6:$J3188,TRUE()))</f>
        <v/>
      </c>
      <c r="L3188" s="5" t="str">
        <f aca="false">IF($K3188="","","R"&amp;$K3188)</f>
        <v/>
      </c>
    </row>
    <row r="3189" customFormat="false" ht="15" hidden="false" customHeight="true" outlineLevel="0" collapsed="false">
      <c r="J3189" s="14" t="b">
        <f aca="false">IF(중복검사!$A3187="",FALSE(),중복검사!$H3187="중복")</f>
        <v>0</v>
      </c>
      <c r="K3189" s="5" t="str">
        <f aca="false">IF($J3189=FALSE(),"",COUNTIF($J$6:$J3189,TRUE()))</f>
        <v/>
      </c>
      <c r="L3189" s="5" t="str">
        <f aca="false">IF($K3189="","","R"&amp;$K3189)</f>
        <v/>
      </c>
    </row>
    <row r="3190" customFormat="false" ht="15" hidden="false" customHeight="true" outlineLevel="0" collapsed="false">
      <c r="J3190" s="14" t="b">
        <f aca="false">IF(중복검사!$A3188="",FALSE(),중복검사!$H3188="중복")</f>
        <v>0</v>
      </c>
      <c r="K3190" s="5" t="str">
        <f aca="false">IF($J3190=FALSE(),"",COUNTIF($J$6:$J3190,TRUE()))</f>
        <v/>
      </c>
      <c r="L3190" s="5" t="str">
        <f aca="false">IF($K3190="","","R"&amp;$K3190)</f>
        <v/>
      </c>
    </row>
    <row r="3191" customFormat="false" ht="15" hidden="false" customHeight="true" outlineLevel="0" collapsed="false">
      <c r="J3191" s="14" t="b">
        <f aca="false">IF(중복검사!$A3189="",FALSE(),중복검사!$H3189="중복")</f>
        <v>0</v>
      </c>
      <c r="K3191" s="5" t="str">
        <f aca="false">IF($J3191=FALSE(),"",COUNTIF($J$6:$J3191,TRUE()))</f>
        <v/>
      </c>
      <c r="L3191" s="5" t="str">
        <f aca="false">IF($K3191="","","R"&amp;$K3191)</f>
        <v/>
      </c>
    </row>
    <row r="3192" customFormat="false" ht="15" hidden="false" customHeight="true" outlineLevel="0" collapsed="false">
      <c r="J3192" s="14" t="b">
        <f aca="false">IF(중복검사!$A3190="",FALSE(),중복검사!$H3190="중복")</f>
        <v>0</v>
      </c>
      <c r="K3192" s="5" t="str">
        <f aca="false">IF($J3192=FALSE(),"",COUNTIF($J$6:$J3192,TRUE()))</f>
        <v/>
      </c>
      <c r="L3192" s="5" t="str">
        <f aca="false">IF($K3192="","","R"&amp;$K3192)</f>
        <v/>
      </c>
    </row>
    <row r="3193" customFormat="false" ht="15" hidden="false" customHeight="true" outlineLevel="0" collapsed="false">
      <c r="J3193" s="14" t="b">
        <f aca="false">IF(중복검사!$A3191="",FALSE(),중복검사!$H3191="중복")</f>
        <v>0</v>
      </c>
      <c r="K3193" s="5" t="str">
        <f aca="false">IF($J3193=FALSE(),"",COUNTIF($J$6:$J3193,TRUE()))</f>
        <v/>
      </c>
      <c r="L3193" s="5" t="str">
        <f aca="false">IF($K3193="","","R"&amp;$K3193)</f>
        <v/>
      </c>
    </row>
    <row r="3194" customFormat="false" ht="15" hidden="false" customHeight="true" outlineLevel="0" collapsed="false">
      <c r="J3194" s="14" t="b">
        <f aca="false">IF(중복검사!$A3192="",FALSE(),중복검사!$H3192="중복")</f>
        <v>0</v>
      </c>
      <c r="K3194" s="5" t="str">
        <f aca="false">IF($J3194=FALSE(),"",COUNTIF($J$6:$J3194,TRUE()))</f>
        <v/>
      </c>
      <c r="L3194" s="5" t="str">
        <f aca="false">IF($K3194="","","R"&amp;$K3194)</f>
        <v/>
      </c>
    </row>
    <row r="3195" customFormat="false" ht="15" hidden="false" customHeight="true" outlineLevel="0" collapsed="false">
      <c r="J3195" s="14" t="b">
        <f aca="false">IF(중복검사!$A3193="",FALSE(),중복검사!$H3193="중복")</f>
        <v>0</v>
      </c>
      <c r="K3195" s="5" t="str">
        <f aca="false">IF($J3195=FALSE(),"",COUNTIF($J$6:$J3195,TRUE()))</f>
        <v/>
      </c>
      <c r="L3195" s="5" t="str">
        <f aca="false">IF($K3195="","","R"&amp;$K3195)</f>
        <v/>
      </c>
    </row>
    <row r="3196" customFormat="false" ht="15" hidden="false" customHeight="true" outlineLevel="0" collapsed="false">
      <c r="J3196" s="14" t="b">
        <f aca="false">IF(중복검사!$A3194="",FALSE(),중복검사!$H3194="중복")</f>
        <v>0</v>
      </c>
      <c r="K3196" s="5" t="str">
        <f aca="false">IF($J3196=FALSE(),"",COUNTIF($J$6:$J3196,TRUE()))</f>
        <v/>
      </c>
      <c r="L3196" s="5" t="str">
        <f aca="false">IF($K3196="","","R"&amp;$K3196)</f>
        <v/>
      </c>
    </row>
    <row r="3197" customFormat="false" ht="15" hidden="false" customHeight="true" outlineLevel="0" collapsed="false">
      <c r="J3197" s="14" t="b">
        <f aca="false">IF(중복검사!$A3195="",FALSE(),중복검사!$H3195="중복")</f>
        <v>0</v>
      </c>
      <c r="K3197" s="5" t="str">
        <f aca="false">IF($J3197=FALSE(),"",COUNTIF($J$6:$J3197,TRUE()))</f>
        <v/>
      </c>
      <c r="L3197" s="5" t="str">
        <f aca="false">IF($K3197="","","R"&amp;$K3197)</f>
        <v/>
      </c>
    </row>
    <row r="3198" customFormat="false" ht="15" hidden="false" customHeight="true" outlineLevel="0" collapsed="false">
      <c r="J3198" s="14" t="b">
        <f aca="false">IF(중복검사!$A3196="",FALSE(),중복검사!$H3196="중복")</f>
        <v>0</v>
      </c>
      <c r="K3198" s="5" t="str">
        <f aca="false">IF($J3198=FALSE(),"",COUNTIF($J$6:$J3198,TRUE()))</f>
        <v/>
      </c>
      <c r="L3198" s="5" t="str">
        <f aca="false">IF($K3198="","","R"&amp;$K3198)</f>
        <v/>
      </c>
    </row>
    <row r="3199" customFormat="false" ht="15" hidden="false" customHeight="true" outlineLevel="0" collapsed="false">
      <c r="J3199" s="14" t="b">
        <f aca="false">IF(중복검사!$A3197="",FALSE(),중복검사!$H3197="중복")</f>
        <v>0</v>
      </c>
      <c r="K3199" s="5" t="str">
        <f aca="false">IF($J3199=FALSE(),"",COUNTIF($J$6:$J3199,TRUE()))</f>
        <v/>
      </c>
      <c r="L3199" s="5" t="str">
        <f aca="false">IF($K3199="","","R"&amp;$K3199)</f>
        <v/>
      </c>
    </row>
    <row r="3200" customFormat="false" ht="15" hidden="false" customHeight="true" outlineLevel="0" collapsed="false">
      <c r="J3200" s="14" t="b">
        <f aca="false">IF(중복검사!$A3198="",FALSE(),중복검사!$H3198="중복")</f>
        <v>0</v>
      </c>
      <c r="K3200" s="5" t="str">
        <f aca="false">IF($J3200=FALSE(),"",COUNTIF($J$6:$J3200,TRUE()))</f>
        <v/>
      </c>
      <c r="L3200" s="5" t="str">
        <f aca="false">IF($K3200="","","R"&amp;$K3200)</f>
        <v/>
      </c>
    </row>
    <row r="3201" customFormat="false" ht="15" hidden="false" customHeight="true" outlineLevel="0" collapsed="false">
      <c r="J3201" s="14" t="b">
        <f aca="false">IF(중복검사!$A3199="",FALSE(),중복검사!$H3199="중복")</f>
        <v>0</v>
      </c>
      <c r="K3201" s="5" t="str">
        <f aca="false">IF($J3201=FALSE(),"",COUNTIF($J$6:$J3201,TRUE()))</f>
        <v/>
      </c>
      <c r="L3201" s="5" t="str">
        <f aca="false">IF($K3201="","","R"&amp;$K3201)</f>
        <v/>
      </c>
    </row>
    <row r="3202" customFormat="false" ht="15" hidden="false" customHeight="true" outlineLevel="0" collapsed="false">
      <c r="J3202" s="14" t="b">
        <f aca="false">IF(중복검사!$A3200="",FALSE(),중복검사!$H3200="중복")</f>
        <v>0</v>
      </c>
      <c r="K3202" s="5" t="str">
        <f aca="false">IF($J3202=FALSE(),"",COUNTIF($J$6:$J3202,TRUE()))</f>
        <v/>
      </c>
      <c r="L3202" s="5" t="str">
        <f aca="false">IF($K3202="","","R"&amp;$K3202)</f>
        <v/>
      </c>
    </row>
    <row r="3203" customFormat="false" ht="15" hidden="false" customHeight="true" outlineLevel="0" collapsed="false">
      <c r="J3203" s="14" t="b">
        <f aca="false">IF(중복검사!$A3201="",FALSE(),중복검사!$H3201="중복")</f>
        <v>0</v>
      </c>
      <c r="K3203" s="5" t="str">
        <f aca="false">IF($J3203=FALSE(),"",COUNTIF($J$6:$J3203,TRUE()))</f>
        <v/>
      </c>
      <c r="L3203" s="5" t="str">
        <f aca="false">IF($K3203="","","R"&amp;$K3203)</f>
        <v/>
      </c>
    </row>
    <row r="3204" customFormat="false" ht="15" hidden="false" customHeight="true" outlineLevel="0" collapsed="false">
      <c r="J3204" s="14" t="b">
        <f aca="false">IF(중복검사!$A3202="",FALSE(),중복검사!$H3202="중복")</f>
        <v>0</v>
      </c>
      <c r="K3204" s="5" t="str">
        <f aca="false">IF($J3204=FALSE(),"",COUNTIF($J$6:$J3204,TRUE()))</f>
        <v/>
      </c>
      <c r="L3204" s="5" t="str">
        <f aca="false">IF($K3204="","","R"&amp;$K3204)</f>
        <v/>
      </c>
    </row>
    <row r="3205" customFormat="false" ht="15" hidden="false" customHeight="true" outlineLevel="0" collapsed="false">
      <c r="J3205" s="14" t="b">
        <f aca="false">IF(중복검사!$A3203="",FALSE(),중복검사!$H3203="중복")</f>
        <v>0</v>
      </c>
      <c r="K3205" s="5" t="str">
        <f aca="false">IF($J3205=FALSE(),"",COUNTIF($J$6:$J3205,TRUE()))</f>
        <v/>
      </c>
      <c r="L3205" s="5" t="str">
        <f aca="false">IF($K3205="","","R"&amp;$K3205)</f>
        <v/>
      </c>
    </row>
    <row r="3206" customFormat="false" ht="15" hidden="false" customHeight="true" outlineLevel="0" collapsed="false">
      <c r="J3206" s="14" t="b">
        <f aca="false">IF(중복검사!$A3204="",FALSE(),중복검사!$H3204="중복")</f>
        <v>0</v>
      </c>
      <c r="K3206" s="5" t="str">
        <f aca="false">IF($J3206=FALSE(),"",COUNTIF($J$6:$J3206,TRUE()))</f>
        <v/>
      </c>
      <c r="L3206" s="5" t="str">
        <f aca="false">IF($K3206="","","R"&amp;$K3206)</f>
        <v/>
      </c>
    </row>
    <row r="3207" customFormat="false" ht="15" hidden="false" customHeight="true" outlineLevel="0" collapsed="false">
      <c r="J3207" s="14" t="b">
        <f aca="false">IF(중복검사!$A3205="",FALSE(),중복검사!$H3205="중복")</f>
        <v>0</v>
      </c>
      <c r="K3207" s="5" t="str">
        <f aca="false">IF($J3207=FALSE(),"",COUNTIF($J$6:$J3207,TRUE()))</f>
        <v/>
      </c>
      <c r="L3207" s="5" t="str">
        <f aca="false">IF($K3207="","","R"&amp;$K3207)</f>
        <v/>
      </c>
    </row>
    <row r="3208" customFormat="false" ht="15" hidden="false" customHeight="true" outlineLevel="0" collapsed="false">
      <c r="J3208" s="14" t="b">
        <f aca="false">IF(중복검사!$A3206="",FALSE(),중복검사!$H3206="중복")</f>
        <v>0</v>
      </c>
      <c r="K3208" s="5" t="str">
        <f aca="false">IF($J3208=FALSE(),"",COUNTIF($J$6:$J3208,TRUE()))</f>
        <v/>
      </c>
      <c r="L3208" s="5" t="str">
        <f aca="false">IF($K3208="","","R"&amp;$K3208)</f>
        <v/>
      </c>
    </row>
    <row r="3209" customFormat="false" ht="15" hidden="false" customHeight="true" outlineLevel="0" collapsed="false">
      <c r="J3209" s="14" t="b">
        <f aca="false">IF(중복검사!$A3207="",FALSE(),중복검사!$H3207="중복")</f>
        <v>0</v>
      </c>
      <c r="K3209" s="5" t="str">
        <f aca="false">IF($J3209=FALSE(),"",COUNTIF($J$6:$J3209,TRUE()))</f>
        <v/>
      </c>
      <c r="L3209" s="5" t="str">
        <f aca="false">IF($K3209="","","R"&amp;$K3209)</f>
        <v/>
      </c>
    </row>
    <row r="3210" customFormat="false" ht="15" hidden="false" customHeight="true" outlineLevel="0" collapsed="false">
      <c r="J3210" s="14" t="b">
        <f aca="false">IF(중복검사!$A3208="",FALSE(),중복검사!$H3208="중복")</f>
        <v>0</v>
      </c>
      <c r="K3210" s="5" t="str">
        <f aca="false">IF($J3210=FALSE(),"",COUNTIF($J$6:$J3210,TRUE()))</f>
        <v/>
      </c>
      <c r="L3210" s="5" t="str">
        <f aca="false">IF($K3210="","","R"&amp;$K3210)</f>
        <v/>
      </c>
    </row>
    <row r="3211" customFormat="false" ht="15" hidden="false" customHeight="true" outlineLevel="0" collapsed="false">
      <c r="J3211" s="14" t="b">
        <f aca="false">IF(중복검사!$A3209="",FALSE(),중복검사!$H3209="중복")</f>
        <v>0</v>
      </c>
      <c r="K3211" s="5" t="str">
        <f aca="false">IF($J3211=FALSE(),"",COUNTIF($J$6:$J3211,TRUE()))</f>
        <v/>
      </c>
      <c r="L3211" s="5" t="str">
        <f aca="false">IF($K3211="","","R"&amp;$K3211)</f>
        <v/>
      </c>
    </row>
    <row r="3212" customFormat="false" ht="15" hidden="false" customHeight="true" outlineLevel="0" collapsed="false">
      <c r="J3212" s="14" t="b">
        <f aca="false">IF(중복검사!$A3210="",FALSE(),중복검사!$H3210="중복")</f>
        <v>0</v>
      </c>
      <c r="K3212" s="5" t="str">
        <f aca="false">IF($J3212=FALSE(),"",COUNTIF($J$6:$J3212,TRUE()))</f>
        <v/>
      </c>
      <c r="L3212" s="5" t="str">
        <f aca="false">IF($K3212="","","R"&amp;$K3212)</f>
        <v/>
      </c>
    </row>
    <row r="3213" customFormat="false" ht="15" hidden="false" customHeight="true" outlineLevel="0" collapsed="false">
      <c r="J3213" s="14" t="b">
        <f aca="false">IF(중복검사!$A3211="",FALSE(),중복검사!$H3211="중복")</f>
        <v>0</v>
      </c>
      <c r="K3213" s="5" t="str">
        <f aca="false">IF($J3213=FALSE(),"",COUNTIF($J$6:$J3213,TRUE()))</f>
        <v/>
      </c>
      <c r="L3213" s="5" t="str">
        <f aca="false">IF($K3213="","","R"&amp;$K3213)</f>
        <v/>
      </c>
    </row>
    <row r="3214" customFormat="false" ht="15" hidden="false" customHeight="true" outlineLevel="0" collapsed="false">
      <c r="J3214" s="14" t="b">
        <f aca="false">IF(중복검사!$A3212="",FALSE(),중복검사!$H3212="중복")</f>
        <v>0</v>
      </c>
      <c r="K3214" s="5" t="str">
        <f aca="false">IF($J3214=FALSE(),"",COUNTIF($J$6:$J3214,TRUE()))</f>
        <v/>
      </c>
      <c r="L3214" s="5" t="str">
        <f aca="false">IF($K3214="","","R"&amp;$K3214)</f>
        <v/>
      </c>
    </row>
    <row r="3215" customFormat="false" ht="15" hidden="false" customHeight="true" outlineLevel="0" collapsed="false">
      <c r="J3215" s="14" t="b">
        <f aca="false">IF(중복검사!$A3213="",FALSE(),중복검사!$H3213="중복")</f>
        <v>0</v>
      </c>
      <c r="K3215" s="5" t="str">
        <f aca="false">IF($J3215=FALSE(),"",COUNTIF($J$6:$J3215,TRUE()))</f>
        <v/>
      </c>
      <c r="L3215" s="5" t="str">
        <f aca="false">IF($K3215="","","R"&amp;$K3215)</f>
        <v/>
      </c>
    </row>
    <row r="3216" customFormat="false" ht="15" hidden="false" customHeight="true" outlineLevel="0" collapsed="false">
      <c r="J3216" s="14" t="b">
        <f aca="false">IF(중복검사!$A3214="",FALSE(),중복검사!$H3214="중복")</f>
        <v>0</v>
      </c>
      <c r="K3216" s="5" t="str">
        <f aca="false">IF($J3216=FALSE(),"",COUNTIF($J$6:$J3216,TRUE()))</f>
        <v/>
      </c>
      <c r="L3216" s="5" t="str">
        <f aca="false">IF($K3216="","","R"&amp;$K3216)</f>
        <v/>
      </c>
    </row>
    <row r="3217" customFormat="false" ht="15" hidden="false" customHeight="true" outlineLevel="0" collapsed="false">
      <c r="J3217" s="14" t="b">
        <f aca="false">IF(중복검사!$A3215="",FALSE(),중복검사!$H3215="중복")</f>
        <v>0</v>
      </c>
      <c r="K3217" s="5" t="str">
        <f aca="false">IF($J3217=FALSE(),"",COUNTIF($J$6:$J3217,TRUE()))</f>
        <v/>
      </c>
      <c r="L3217" s="5" t="str">
        <f aca="false">IF($K3217="","","R"&amp;$K3217)</f>
        <v/>
      </c>
    </row>
    <row r="3218" customFormat="false" ht="15" hidden="false" customHeight="true" outlineLevel="0" collapsed="false">
      <c r="J3218" s="14" t="b">
        <f aca="false">IF(중복검사!$A3216="",FALSE(),중복검사!$H3216="중복")</f>
        <v>0</v>
      </c>
      <c r="K3218" s="5" t="str">
        <f aca="false">IF($J3218=FALSE(),"",COUNTIF($J$6:$J3218,TRUE()))</f>
        <v/>
      </c>
      <c r="L3218" s="5" t="str">
        <f aca="false">IF($K3218="","","R"&amp;$K3218)</f>
        <v/>
      </c>
    </row>
    <row r="3219" customFormat="false" ht="15" hidden="false" customHeight="true" outlineLevel="0" collapsed="false">
      <c r="J3219" s="14" t="b">
        <f aca="false">IF(중복검사!$A3217="",FALSE(),중복검사!$H3217="중복")</f>
        <v>0</v>
      </c>
      <c r="K3219" s="5" t="str">
        <f aca="false">IF($J3219=FALSE(),"",COUNTIF($J$6:$J3219,TRUE()))</f>
        <v/>
      </c>
      <c r="L3219" s="5" t="str">
        <f aca="false">IF($K3219="","","R"&amp;$K3219)</f>
        <v/>
      </c>
    </row>
    <row r="3220" customFormat="false" ht="15" hidden="false" customHeight="true" outlineLevel="0" collapsed="false">
      <c r="J3220" s="14" t="b">
        <f aca="false">IF(중복검사!$A3218="",FALSE(),중복검사!$H3218="중복")</f>
        <v>0</v>
      </c>
      <c r="K3220" s="5" t="str">
        <f aca="false">IF($J3220=FALSE(),"",COUNTIF($J$6:$J3220,TRUE()))</f>
        <v/>
      </c>
      <c r="L3220" s="5" t="str">
        <f aca="false">IF($K3220="","","R"&amp;$K3220)</f>
        <v/>
      </c>
    </row>
    <row r="3221" customFormat="false" ht="15" hidden="false" customHeight="true" outlineLevel="0" collapsed="false">
      <c r="J3221" s="14" t="b">
        <f aca="false">IF(중복검사!$A3219="",FALSE(),중복검사!$H3219="중복")</f>
        <v>0</v>
      </c>
      <c r="K3221" s="5" t="str">
        <f aca="false">IF($J3221=FALSE(),"",COUNTIF($J$6:$J3221,TRUE()))</f>
        <v/>
      </c>
      <c r="L3221" s="5" t="str">
        <f aca="false">IF($K3221="","","R"&amp;$K3221)</f>
        <v/>
      </c>
    </row>
    <row r="3222" customFormat="false" ht="15" hidden="false" customHeight="true" outlineLevel="0" collapsed="false">
      <c r="J3222" s="14" t="b">
        <f aca="false">IF(중복검사!$A3220="",FALSE(),중복검사!$H3220="중복")</f>
        <v>0</v>
      </c>
      <c r="K3222" s="5" t="str">
        <f aca="false">IF($J3222=FALSE(),"",COUNTIF($J$6:$J3222,TRUE()))</f>
        <v/>
      </c>
      <c r="L3222" s="5" t="str">
        <f aca="false">IF($K3222="","","R"&amp;$K3222)</f>
        <v/>
      </c>
    </row>
    <row r="3223" customFormat="false" ht="15" hidden="false" customHeight="true" outlineLevel="0" collapsed="false">
      <c r="J3223" s="14" t="b">
        <f aca="false">IF(중복검사!$A3221="",FALSE(),중복검사!$H3221="중복")</f>
        <v>0</v>
      </c>
      <c r="K3223" s="5" t="str">
        <f aca="false">IF($J3223=FALSE(),"",COUNTIF($J$6:$J3223,TRUE()))</f>
        <v/>
      </c>
      <c r="L3223" s="5" t="str">
        <f aca="false">IF($K3223="","","R"&amp;$K3223)</f>
        <v/>
      </c>
    </row>
    <row r="3224" customFormat="false" ht="15" hidden="false" customHeight="true" outlineLevel="0" collapsed="false">
      <c r="J3224" s="14" t="b">
        <f aca="false">IF(중복검사!$A3222="",FALSE(),중복검사!$H3222="중복")</f>
        <v>0</v>
      </c>
      <c r="K3224" s="5" t="str">
        <f aca="false">IF($J3224=FALSE(),"",COUNTIF($J$6:$J3224,TRUE()))</f>
        <v/>
      </c>
      <c r="L3224" s="5" t="str">
        <f aca="false">IF($K3224="","","R"&amp;$K3224)</f>
        <v/>
      </c>
    </row>
    <row r="3225" customFormat="false" ht="15" hidden="false" customHeight="true" outlineLevel="0" collapsed="false">
      <c r="J3225" s="14" t="b">
        <f aca="false">IF(중복검사!$A3223="",FALSE(),중복검사!$H3223="중복")</f>
        <v>0</v>
      </c>
      <c r="K3225" s="5" t="str">
        <f aca="false">IF($J3225=FALSE(),"",COUNTIF($J$6:$J3225,TRUE()))</f>
        <v/>
      </c>
      <c r="L3225" s="5" t="str">
        <f aca="false">IF($K3225="","","R"&amp;$K3225)</f>
        <v/>
      </c>
    </row>
    <row r="3226" customFormat="false" ht="15" hidden="false" customHeight="true" outlineLevel="0" collapsed="false">
      <c r="J3226" s="14" t="b">
        <f aca="false">IF(중복검사!$A3224="",FALSE(),중복검사!$H3224="중복")</f>
        <v>0</v>
      </c>
      <c r="K3226" s="5" t="str">
        <f aca="false">IF($J3226=FALSE(),"",COUNTIF($J$6:$J3226,TRUE()))</f>
        <v/>
      </c>
      <c r="L3226" s="5" t="str">
        <f aca="false">IF($K3226="","","R"&amp;$K3226)</f>
        <v/>
      </c>
    </row>
    <row r="3227" customFormat="false" ht="15" hidden="false" customHeight="true" outlineLevel="0" collapsed="false">
      <c r="J3227" s="14" t="b">
        <f aca="false">IF(중복검사!$A3225="",FALSE(),중복검사!$H3225="중복")</f>
        <v>0</v>
      </c>
      <c r="K3227" s="5" t="str">
        <f aca="false">IF($J3227=FALSE(),"",COUNTIF($J$6:$J3227,TRUE()))</f>
        <v/>
      </c>
      <c r="L3227" s="5" t="str">
        <f aca="false">IF($K3227="","","R"&amp;$K3227)</f>
        <v/>
      </c>
    </row>
    <row r="3228" customFormat="false" ht="15" hidden="false" customHeight="true" outlineLevel="0" collapsed="false">
      <c r="J3228" s="14" t="b">
        <f aca="false">IF(중복검사!$A3226="",FALSE(),중복검사!$H3226="중복")</f>
        <v>0</v>
      </c>
      <c r="K3228" s="5" t="str">
        <f aca="false">IF($J3228=FALSE(),"",COUNTIF($J$6:$J3228,TRUE()))</f>
        <v/>
      </c>
      <c r="L3228" s="5" t="str">
        <f aca="false">IF($K3228="","","R"&amp;$K3228)</f>
        <v/>
      </c>
    </row>
    <row r="3229" customFormat="false" ht="15" hidden="false" customHeight="true" outlineLevel="0" collapsed="false">
      <c r="J3229" s="14" t="b">
        <f aca="false">IF(중복검사!$A3227="",FALSE(),중복검사!$H3227="중복")</f>
        <v>0</v>
      </c>
      <c r="K3229" s="5" t="str">
        <f aca="false">IF($J3229=FALSE(),"",COUNTIF($J$6:$J3229,TRUE()))</f>
        <v/>
      </c>
      <c r="L3229" s="5" t="str">
        <f aca="false">IF($K3229="","","R"&amp;$K3229)</f>
        <v/>
      </c>
    </row>
    <row r="3230" customFormat="false" ht="15" hidden="false" customHeight="true" outlineLevel="0" collapsed="false">
      <c r="J3230" s="14" t="b">
        <f aca="false">IF(중복검사!$A3228="",FALSE(),중복검사!$H3228="중복")</f>
        <v>0</v>
      </c>
      <c r="K3230" s="5" t="str">
        <f aca="false">IF($J3230=FALSE(),"",COUNTIF($J$6:$J3230,TRUE()))</f>
        <v/>
      </c>
      <c r="L3230" s="5" t="str">
        <f aca="false">IF($K3230="","","R"&amp;$K3230)</f>
        <v/>
      </c>
    </row>
    <row r="3231" customFormat="false" ht="15" hidden="false" customHeight="true" outlineLevel="0" collapsed="false">
      <c r="J3231" s="14" t="b">
        <f aca="false">IF(중복검사!$A3229="",FALSE(),중복검사!$H3229="중복")</f>
        <v>0</v>
      </c>
      <c r="K3231" s="5" t="str">
        <f aca="false">IF($J3231=FALSE(),"",COUNTIF($J$6:$J3231,TRUE()))</f>
        <v/>
      </c>
      <c r="L3231" s="5" t="str">
        <f aca="false">IF($K3231="","","R"&amp;$K3231)</f>
        <v/>
      </c>
    </row>
    <row r="3232" customFormat="false" ht="15" hidden="false" customHeight="true" outlineLevel="0" collapsed="false">
      <c r="J3232" s="14" t="b">
        <f aca="false">IF(중복검사!$A3230="",FALSE(),중복검사!$H3230="중복")</f>
        <v>0</v>
      </c>
      <c r="K3232" s="5" t="str">
        <f aca="false">IF($J3232=FALSE(),"",COUNTIF($J$6:$J3232,TRUE()))</f>
        <v/>
      </c>
      <c r="L3232" s="5" t="str">
        <f aca="false">IF($K3232="","","R"&amp;$K3232)</f>
        <v/>
      </c>
    </row>
    <row r="3233" customFormat="false" ht="15" hidden="false" customHeight="true" outlineLevel="0" collapsed="false">
      <c r="J3233" s="14" t="b">
        <f aca="false">IF(중복검사!$A3231="",FALSE(),중복검사!$H3231="중복")</f>
        <v>0</v>
      </c>
      <c r="K3233" s="5" t="str">
        <f aca="false">IF($J3233=FALSE(),"",COUNTIF($J$6:$J3233,TRUE()))</f>
        <v/>
      </c>
      <c r="L3233" s="5" t="str">
        <f aca="false">IF($K3233="","","R"&amp;$K3233)</f>
        <v/>
      </c>
    </row>
    <row r="3234" customFormat="false" ht="15" hidden="false" customHeight="true" outlineLevel="0" collapsed="false">
      <c r="J3234" s="14" t="b">
        <f aca="false">IF(중복검사!$A3232="",FALSE(),중복검사!$H3232="중복")</f>
        <v>0</v>
      </c>
      <c r="K3234" s="5" t="str">
        <f aca="false">IF($J3234=FALSE(),"",COUNTIF($J$6:$J3234,TRUE()))</f>
        <v/>
      </c>
      <c r="L3234" s="5" t="str">
        <f aca="false">IF($K3234="","","R"&amp;$K3234)</f>
        <v/>
      </c>
    </row>
    <row r="3235" customFormat="false" ht="15" hidden="false" customHeight="true" outlineLevel="0" collapsed="false">
      <c r="J3235" s="14" t="b">
        <f aca="false">IF(중복검사!$A3233="",FALSE(),중복검사!$H3233="중복")</f>
        <v>0</v>
      </c>
      <c r="K3235" s="5" t="str">
        <f aca="false">IF($J3235=FALSE(),"",COUNTIF($J$6:$J3235,TRUE()))</f>
        <v/>
      </c>
      <c r="L3235" s="5" t="str">
        <f aca="false">IF($K3235="","","R"&amp;$K3235)</f>
        <v/>
      </c>
    </row>
    <row r="3236" customFormat="false" ht="15" hidden="false" customHeight="true" outlineLevel="0" collapsed="false">
      <c r="J3236" s="14" t="b">
        <f aca="false">IF(중복검사!$A3234="",FALSE(),중복검사!$H3234="중복")</f>
        <v>0</v>
      </c>
      <c r="K3236" s="5" t="str">
        <f aca="false">IF($J3236=FALSE(),"",COUNTIF($J$6:$J3236,TRUE()))</f>
        <v/>
      </c>
      <c r="L3236" s="5" t="str">
        <f aca="false">IF($K3236="","","R"&amp;$K3236)</f>
        <v/>
      </c>
    </row>
    <row r="3237" customFormat="false" ht="15" hidden="false" customHeight="true" outlineLevel="0" collapsed="false">
      <c r="J3237" s="14" t="b">
        <f aca="false">IF(중복검사!$A3235="",FALSE(),중복검사!$H3235="중복")</f>
        <v>0</v>
      </c>
      <c r="K3237" s="5" t="str">
        <f aca="false">IF($J3237=FALSE(),"",COUNTIF($J$6:$J3237,TRUE()))</f>
        <v/>
      </c>
      <c r="L3237" s="5" t="str">
        <f aca="false">IF($K3237="","","R"&amp;$K3237)</f>
        <v/>
      </c>
    </row>
    <row r="3238" customFormat="false" ht="15" hidden="false" customHeight="true" outlineLevel="0" collapsed="false">
      <c r="J3238" s="14" t="b">
        <f aca="false">IF(중복검사!$A3236="",FALSE(),중복검사!$H3236="중복")</f>
        <v>0</v>
      </c>
      <c r="K3238" s="5" t="str">
        <f aca="false">IF($J3238=FALSE(),"",COUNTIF($J$6:$J3238,TRUE()))</f>
        <v/>
      </c>
      <c r="L3238" s="5" t="str">
        <f aca="false">IF($K3238="","","R"&amp;$K3238)</f>
        <v/>
      </c>
    </row>
    <row r="3239" customFormat="false" ht="15" hidden="false" customHeight="true" outlineLevel="0" collapsed="false">
      <c r="J3239" s="14" t="b">
        <f aca="false">IF(중복검사!$A3237="",FALSE(),중복검사!$H3237="중복")</f>
        <v>0</v>
      </c>
      <c r="K3239" s="5" t="str">
        <f aca="false">IF($J3239=FALSE(),"",COUNTIF($J$6:$J3239,TRUE()))</f>
        <v/>
      </c>
      <c r="L3239" s="5" t="str">
        <f aca="false">IF($K3239="","","R"&amp;$K3239)</f>
        <v/>
      </c>
    </row>
    <row r="3240" customFormat="false" ht="15" hidden="false" customHeight="true" outlineLevel="0" collapsed="false">
      <c r="J3240" s="14" t="b">
        <f aca="false">IF(중복검사!$A3238="",FALSE(),중복검사!$H3238="중복")</f>
        <v>0</v>
      </c>
      <c r="K3240" s="5" t="str">
        <f aca="false">IF($J3240=FALSE(),"",COUNTIF($J$6:$J3240,TRUE()))</f>
        <v/>
      </c>
      <c r="L3240" s="5" t="str">
        <f aca="false">IF($K3240="","","R"&amp;$K3240)</f>
        <v/>
      </c>
    </row>
    <row r="3241" customFormat="false" ht="15" hidden="false" customHeight="true" outlineLevel="0" collapsed="false">
      <c r="J3241" s="14" t="b">
        <f aca="false">IF(중복검사!$A3239="",FALSE(),중복검사!$H3239="중복")</f>
        <v>0</v>
      </c>
      <c r="K3241" s="5" t="str">
        <f aca="false">IF($J3241=FALSE(),"",COUNTIF($J$6:$J3241,TRUE()))</f>
        <v/>
      </c>
      <c r="L3241" s="5" t="str">
        <f aca="false">IF($K3241="","","R"&amp;$K3241)</f>
        <v/>
      </c>
    </row>
    <row r="3242" customFormat="false" ht="15" hidden="false" customHeight="true" outlineLevel="0" collapsed="false">
      <c r="J3242" s="14" t="b">
        <f aca="false">IF(중복검사!$A3240="",FALSE(),중복검사!$H3240="중복")</f>
        <v>0</v>
      </c>
      <c r="K3242" s="5" t="str">
        <f aca="false">IF($J3242=FALSE(),"",COUNTIF($J$6:$J3242,TRUE()))</f>
        <v/>
      </c>
      <c r="L3242" s="5" t="str">
        <f aca="false">IF($K3242="","","R"&amp;$K3242)</f>
        <v/>
      </c>
    </row>
    <row r="3243" customFormat="false" ht="15" hidden="false" customHeight="true" outlineLevel="0" collapsed="false">
      <c r="J3243" s="14" t="b">
        <f aca="false">IF(중복검사!$A3241="",FALSE(),중복검사!$H3241="중복")</f>
        <v>0</v>
      </c>
      <c r="K3243" s="5" t="str">
        <f aca="false">IF($J3243=FALSE(),"",COUNTIF($J$6:$J3243,TRUE()))</f>
        <v/>
      </c>
      <c r="L3243" s="5" t="str">
        <f aca="false">IF($K3243="","","R"&amp;$K3243)</f>
        <v/>
      </c>
    </row>
    <row r="3244" customFormat="false" ht="15" hidden="false" customHeight="true" outlineLevel="0" collapsed="false">
      <c r="J3244" s="14" t="b">
        <f aca="false">IF(중복검사!$A3242="",FALSE(),중복검사!$H3242="중복")</f>
        <v>0</v>
      </c>
      <c r="K3244" s="5" t="str">
        <f aca="false">IF($J3244=FALSE(),"",COUNTIF($J$6:$J3244,TRUE()))</f>
        <v/>
      </c>
      <c r="L3244" s="5" t="str">
        <f aca="false">IF($K3244="","","R"&amp;$K3244)</f>
        <v/>
      </c>
    </row>
    <row r="3245" customFormat="false" ht="15" hidden="false" customHeight="true" outlineLevel="0" collapsed="false">
      <c r="J3245" s="14" t="b">
        <f aca="false">IF(중복검사!$A3243="",FALSE(),중복검사!$H3243="중복")</f>
        <v>0</v>
      </c>
      <c r="K3245" s="5" t="str">
        <f aca="false">IF($J3245=FALSE(),"",COUNTIF($J$6:$J3245,TRUE()))</f>
        <v/>
      </c>
      <c r="L3245" s="5" t="str">
        <f aca="false">IF($K3245="","","R"&amp;$K3245)</f>
        <v/>
      </c>
    </row>
    <row r="3246" customFormat="false" ht="15" hidden="false" customHeight="true" outlineLevel="0" collapsed="false">
      <c r="J3246" s="14" t="b">
        <f aca="false">IF(중복검사!$A3244="",FALSE(),중복검사!$H3244="중복")</f>
        <v>0</v>
      </c>
      <c r="K3246" s="5" t="str">
        <f aca="false">IF($J3246=FALSE(),"",COUNTIF($J$6:$J3246,TRUE()))</f>
        <v/>
      </c>
      <c r="L3246" s="5" t="str">
        <f aca="false">IF($K3246="","","R"&amp;$K3246)</f>
        <v/>
      </c>
    </row>
    <row r="3247" customFormat="false" ht="15" hidden="false" customHeight="true" outlineLevel="0" collapsed="false">
      <c r="J3247" s="14" t="b">
        <f aca="false">IF(중복검사!$A3245="",FALSE(),중복검사!$H3245="중복")</f>
        <v>0</v>
      </c>
      <c r="K3247" s="5" t="str">
        <f aca="false">IF($J3247=FALSE(),"",COUNTIF($J$6:$J3247,TRUE()))</f>
        <v/>
      </c>
      <c r="L3247" s="5" t="str">
        <f aca="false">IF($K3247="","","R"&amp;$K3247)</f>
        <v/>
      </c>
    </row>
    <row r="3248" customFormat="false" ht="15" hidden="false" customHeight="true" outlineLevel="0" collapsed="false">
      <c r="J3248" s="14" t="b">
        <f aca="false">IF(중복검사!$A3246="",FALSE(),중복검사!$H3246="중복")</f>
        <v>0</v>
      </c>
      <c r="K3248" s="5" t="str">
        <f aca="false">IF($J3248=FALSE(),"",COUNTIF($J$6:$J3248,TRUE()))</f>
        <v/>
      </c>
      <c r="L3248" s="5" t="str">
        <f aca="false">IF($K3248="","","R"&amp;$K3248)</f>
        <v/>
      </c>
    </row>
    <row r="3249" customFormat="false" ht="15" hidden="false" customHeight="true" outlineLevel="0" collapsed="false">
      <c r="J3249" s="14" t="b">
        <f aca="false">IF(중복검사!$A3247="",FALSE(),중복검사!$H3247="중복")</f>
        <v>0</v>
      </c>
      <c r="K3249" s="5" t="str">
        <f aca="false">IF($J3249=FALSE(),"",COUNTIF($J$6:$J3249,TRUE()))</f>
        <v/>
      </c>
      <c r="L3249" s="5" t="str">
        <f aca="false">IF($K3249="","","R"&amp;$K3249)</f>
        <v/>
      </c>
    </row>
    <row r="3250" customFormat="false" ht="15" hidden="false" customHeight="true" outlineLevel="0" collapsed="false">
      <c r="J3250" s="14" t="b">
        <f aca="false">IF(중복검사!$A3248="",FALSE(),중복검사!$H3248="중복")</f>
        <v>0</v>
      </c>
      <c r="K3250" s="5" t="str">
        <f aca="false">IF($J3250=FALSE(),"",COUNTIF($J$6:$J3250,TRUE()))</f>
        <v/>
      </c>
      <c r="L3250" s="5" t="str">
        <f aca="false">IF($K3250="","","R"&amp;$K3250)</f>
        <v/>
      </c>
    </row>
    <row r="3251" customFormat="false" ht="15" hidden="false" customHeight="true" outlineLevel="0" collapsed="false">
      <c r="J3251" s="14" t="b">
        <f aca="false">IF(중복검사!$A3249="",FALSE(),중복검사!$H3249="중복")</f>
        <v>0</v>
      </c>
      <c r="K3251" s="5" t="str">
        <f aca="false">IF($J3251=FALSE(),"",COUNTIF($J$6:$J3251,TRUE()))</f>
        <v/>
      </c>
      <c r="L3251" s="5" t="str">
        <f aca="false">IF($K3251="","","R"&amp;$K3251)</f>
        <v/>
      </c>
    </row>
    <row r="3252" customFormat="false" ht="15" hidden="false" customHeight="true" outlineLevel="0" collapsed="false">
      <c r="J3252" s="14" t="b">
        <f aca="false">IF(중복검사!$A3250="",FALSE(),중복검사!$H3250="중복")</f>
        <v>0</v>
      </c>
      <c r="K3252" s="5" t="str">
        <f aca="false">IF($J3252=FALSE(),"",COUNTIF($J$6:$J3252,TRUE()))</f>
        <v/>
      </c>
      <c r="L3252" s="5" t="str">
        <f aca="false">IF($K3252="","","R"&amp;$K3252)</f>
        <v/>
      </c>
    </row>
    <row r="3253" customFormat="false" ht="15" hidden="false" customHeight="true" outlineLevel="0" collapsed="false">
      <c r="J3253" s="14" t="b">
        <f aca="false">IF(중복검사!$A3251="",FALSE(),중복검사!$H3251="중복")</f>
        <v>0</v>
      </c>
      <c r="K3253" s="5" t="str">
        <f aca="false">IF($J3253=FALSE(),"",COUNTIF($J$6:$J3253,TRUE()))</f>
        <v/>
      </c>
      <c r="L3253" s="5" t="str">
        <f aca="false">IF($K3253="","","R"&amp;$K3253)</f>
        <v/>
      </c>
    </row>
    <row r="3254" customFormat="false" ht="15" hidden="false" customHeight="true" outlineLevel="0" collapsed="false">
      <c r="J3254" s="14" t="b">
        <f aca="false">IF(중복검사!$A3252="",FALSE(),중복검사!$H3252="중복")</f>
        <v>0</v>
      </c>
      <c r="K3254" s="5" t="str">
        <f aca="false">IF($J3254=FALSE(),"",COUNTIF($J$6:$J3254,TRUE()))</f>
        <v/>
      </c>
      <c r="L3254" s="5" t="str">
        <f aca="false">IF($K3254="","","R"&amp;$K3254)</f>
        <v/>
      </c>
    </row>
    <row r="3255" customFormat="false" ht="15" hidden="false" customHeight="true" outlineLevel="0" collapsed="false">
      <c r="J3255" s="14" t="b">
        <f aca="false">IF(중복검사!$A3253="",FALSE(),중복검사!$H3253="중복")</f>
        <v>0</v>
      </c>
      <c r="K3255" s="5" t="str">
        <f aca="false">IF($J3255=FALSE(),"",COUNTIF($J$6:$J3255,TRUE()))</f>
        <v/>
      </c>
      <c r="L3255" s="5" t="str">
        <f aca="false">IF($K3255="","","R"&amp;$K3255)</f>
        <v/>
      </c>
    </row>
    <row r="3256" customFormat="false" ht="15" hidden="false" customHeight="true" outlineLevel="0" collapsed="false">
      <c r="J3256" s="14" t="b">
        <f aca="false">IF(중복검사!$A3254="",FALSE(),중복검사!$H3254="중복")</f>
        <v>0</v>
      </c>
      <c r="K3256" s="5" t="str">
        <f aca="false">IF($J3256=FALSE(),"",COUNTIF($J$6:$J3256,TRUE()))</f>
        <v/>
      </c>
      <c r="L3256" s="5" t="str">
        <f aca="false">IF($K3256="","","R"&amp;$K3256)</f>
        <v/>
      </c>
    </row>
    <row r="3257" customFormat="false" ht="15" hidden="false" customHeight="true" outlineLevel="0" collapsed="false">
      <c r="J3257" s="14" t="b">
        <f aca="false">IF(중복검사!$A3255="",FALSE(),중복검사!$H3255="중복")</f>
        <v>0</v>
      </c>
      <c r="K3257" s="5" t="str">
        <f aca="false">IF($J3257=FALSE(),"",COUNTIF($J$6:$J3257,TRUE()))</f>
        <v/>
      </c>
      <c r="L3257" s="5" t="str">
        <f aca="false">IF($K3257="","","R"&amp;$K3257)</f>
        <v/>
      </c>
    </row>
    <row r="3258" customFormat="false" ht="15" hidden="false" customHeight="true" outlineLevel="0" collapsed="false">
      <c r="J3258" s="14" t="b">
        <f aca="false">IF(중복검사!$A3256="",FALSE(),중복검사!$H3256="중복")</f>
        <v>0</v>
      </c>
      <c r="K3258" s="5" t="str">
        <f aca="false">IF($J3258=FALSE(),"",COUNTIF($J$6:$J3258,TRUE()))</f>
        <v/>
      </c>
      <c r="L3258" s="5" t="str">
        <f aca="false">IF($K3258="","","R"&amp;$K3258)</f>
        <v/>
      </c>
    </row>
    <row r="3259" customFormat="false" ht="15" hidden="false" customHeight="true" outlineLevel="0" collapsed="false">
      <c r="J3259" s="14" t="b">
        <f aca="false">IF(중복검사!$A3257="",FALSE(),중복검사!$H3257="중복")</f>
        <v>0</v>
      </c>
      <c r="K3259" s="5" t="str">
        <f aca="false">IF($J3259=FALSE(),"",COUNTIF($J$6:$J3259,TRUE()))</f>
        <v/>
      </c>
      <c r="L3259" s="5" t="str">
        <f aca="false">IF($K3259="","","R"&amp;$K3259)</f>
        <v/>
      </c>
    </row>
    <row r="3260" customFormat="false" ht="15" hidden="false" customHeight="true" outlineLevel="0" collapsed="false">
      <c r="J3260" s="14" t="b">
        <f aca="false">IF(중복검사!$A3258="",FALSE(),중복검사!$H3258="중복")</f>
        <v>0</v>
      </c>
      <c r="K3260" s="5" t="str">
        <f aca="false">IF($J3260=FALSE(),"",COUNTIF($J$6:$J3260,TRUE()))</f>
        <v/>
      </c>
      <c r="L3260" s="5" t="str">
        <f aca="false">IF($K3260="","","R"&amp;$K3260)</f>
        <v/>
      </c>
    </row>
    <row r="3261" customFormat="false" ht="15" hidden="false" customHeight="true" outlineLevel="0" collapsed="false">
      <c r="J3261" s="14" t="b">
        <f aca="false">IF(중복검사!$A3259="",FALSE(),중복검사!$H3259="중복")</f>
        <v>0</v>
      </c>
      <c r="K3261" s="5" t="str">
        <f aca="false">IF($J3261=FALSE(),"",COUNTIF($J$6:$J3261,TRUE()))</f>
        <v/>
      </c>
      <c r="L3261" s="5" t="str">
        <f aca="false">IF($K3261="","","R"&amp;$K3261)</f>
        <v/>
      </c>
    </row>
    <row r="3262" customFormat="false" ht="15" hidden="false" customHeight="true" outlineLevel="0" collapsed="false">
      <c r="J3262" s="14" t="b">
        <f aca="false">IF(중복검사!$A3260="",FALSE(),중복검사!$H3260="중복")</f>
        <v>0</v>
      </c>
      <c r="K3262" s="5" t="str">
        <f aca="false">IF($J3262=FALSE(),"",COUNTIF($J$6:$J3262,TRUE()))</f>
        <v/>
      </c>
      <c r="L3262" s="5" t="str">
        <f aca="false">IF($K3262="","","R"&amp;$K3262)</f>
        <v/>
      </c>
    </row>
    <row r="3263" customFormat="false" ht="15" hidden="false" customHeight="true" outlineLevel="0" collapsed="false">
      <c r="J3263" s="14" t="b">
        <f aca="false">IF(중복검사!$A3261="",FALSE(),중복검사!$H3261="중복")</f>
        <v>0</v>
      </c>
      <c r="K3263" s="5" t="str">
        <f aca="false">IF($J3263=FALSE(),"",COUNTIF($J$6:$J3263,TRUE()))</f>
        <v/>
      </c>
      <c r="L3263" s="5" t="str">
        <f aca="false">IF($K3263="","","R"&amp;$K3263)</f>
        <v/>
      </c>
    </row>
    <row r="3264" customFormat="false" ht="15" hidden="false" customHeight="true" outlineLevel="0" collapsed="false">
      <c r="J3264" s="14" t="b">
        <f aca="false">IF(중복검사!$A3262="",FALSE(),중복검사!$H3262="중복")</f>
        <v>0</v>
      </c>
      <c r="K3264" s="5" t="str">
        <f aca="false">IF($J3264=FALSE(),"",COUNTIF($J$6:$J3264,TRUE()))</f>
        <v/>
      </c>
      <c r="L3264" s="5" t="str">
        <f aca="false">IF($K3264="","","R"&amp;$K3264)</f>
        <v/>
      </c>
    </row>
    <row r="3265" customFormat="false" ht="15" hidden="false" customHeight="true" outlineLevel="0" collapsed="false">
      <c r="J3265" s="14" t="b">
        <f aca="false">IF(중복검사!$A3263="",FALSE(),중복검사!$H3263="중복")</f>
        <v>0</v>
      </c>
      <c r="K3265" s="5" t="str">
        <f aca="false">IF($J3265=FALSE(),"",COUNTIF($J$6:$J3265,TRUE()))</f>
        <v/>
      </c>
      <c r="L3265" s="5" t="str">
        <f aca="false">IF($K3265="","","R"&amp;$K3265)</f>
        <v/>
      </c>
    </row>
    <row r="3266" customFormat="false" ht="15" hidden="false" customHeight="true" outlineLevel="0" collapsed="false">
      <c r="J3266" s="14" t="b">
        <f aca="false">IF(중복검사!$A3264="",FALSE(),중복검사!$H3264="중복")</f>
        <v>0</v>
      </c>
      <c r="K3266" s="5" t="str">
        <f aca="false">IF($J3266=FALSE(),"",COUNTIF($J$6:$J3266,TRUE()))</f>
        <v/>
      </c>
      <c r="L3266" s="5" t="str">
        <f aca="false">IF($K3266="","","R"&amp;$K3266)</f>
        <v/>
      </c>
    </row>
    <row r="3267" customFormat="false" ht="15" hidden="false" customHeight="true" outlineLevel="0" collapsed="false">
      <c r="J3267" s="14" t="b">
        <f aca="false">IF(중복검사!$A3265="",FALSE(),중복검사!$H3265="중복")</f>
        <v>0</v>
      </c>
      <c r="K3267" s="5" t="str">
        <f aca="false">IF($J3267=FALSE(),"",COUNTIF($J$6:$J3267,TRUE()))</f>
        <v/>
      </c>
      <c r="L3267" s="5" t="str">
        <f aca="false">IF($K3267="","","R"&amp;$K3267)</f>
        <v/>
      </c>
    </row>
    <row r="3268" customFormat="false" ht="15" hidden="false" customHeight="true" outlineLevel="0" collapsed="false">
      <c r="J3268" s="14" t="b">
        <f aca="false">IF(중복검사!$A3266="",FALSE(),중복검사!$H3266="중복")</f>
        <v>0</v>
      </c>
      <c r="K3268" s="5" t="str">
        <f aca="false">IF($J3268=FALSE(),"",COUNTIF($J$6:$J3268,TRUE()))</f>
        <v/>
      </c>
      <c r="L3268" s="5" t="str">
        <f aca="false">IF($K3268="","","R"&amp;$K3268)</f>
        <v/>
      </c>
    </row>
    <row r="3269" customFormat="false" ht="15" hidden="false" customHeight="true" outlineLevel="0" collapsed="false">
      <c r="J3269" s="14" t="b">
        <f aca="false">IF(중복검사!$A3267="",FALSE(),중복검사!$H3267="중복")</f>
        <v>0</v>
      </c>
      <c r="K3269" s="5" t="str">
        <f aca="false">IF($J3269=FALSE(),"",COUNTIF($J$6:$J3269,TRUE()))</f>
        <v/>
      </c>
      <c r="L3269" s="5" t="str">
        <f aca="false">IF($K3269="","","R"&amp;$K3269)</f>
        <v/>
      </c>
    </row>
    <row r="3270" customFormat="false" ht="15" hidden="false" customHeight="true" outlineLevel="0" collapsed="false">
      <c r="J3270" s="14" t="b">
        <f aca="false">IF(중복검사!$A3268="",FALSE(),중복검사!$H3268="중복")</f>
        <v>0</v>
      </c>
      <c r="K3270" s="5" t="str">
        <f aca="false">IF($J3270=FALSE(),"",COUNTIF($J$6:$J3270,TRUE()))</f>
        <v/>
      </c>
      <c r="L3270" s="5" t="str">
        <f aca="false">IF($K3270="","","R"&amp;$K3270)</f>
        <v/>
      </c>
    </row>
    <row r="3271" customFormat="false" ht="15" hidden="false" customHeight="true" outlineLevel="0" collapsed="false">
      <c r="J3271" s="14" t="b">
        <f aca="false">IF(중복검사!$A3269="",FALSE(),중복검사!$H3269="중복")</f>
        <v>0</v>
      </c>
      <c r="K3271" s="5" t="str">
        <f aca="false">IF($J3271=FALSE(),"",COUNTIF($J$6:$J3271,TRUE()))</f>
        <v/>
      </c>
      <c r="L3271" s="5" t="str">
        <f aca="false">IF($K3271="","","R"&amp;$K3271)</f>
        <v/>
      </c>
    </row>
    <row r="3272" customFormat="false" ht="15" hidden="false" customHeight="true" outlineLevel="0" collapsed="false">
      <c r="J3272" s="14" t="b">
        <f aca="false">IF(중복검사!$A3270="",FALSE(),중복검사!$H3270="중복")</f>
        <v>0</v>
      </c>
      <c r="K3272" s="5" t="str">
        <f aca="false">IF($J3272=FALSE(),"",COUNTIF($J$6:$J3272,TRUE()))</f>
        <v/>
      </c>
      <c r="L3272" s="5" t="str">
        <f aca="false">IF($K3272="","","R"&amp;$K3272)</f>
        <v/>
      </c>
    </row>
    <row r="3273" customFormat="false" ht="15" hidden="false" customHeight="true" outlineLevel="0" collapsed="false">
      <c r="J3273" s="14" t="b">
        <f aca="false">IF(중복검사!$A3271="",FALSE(),중복검사!$H3271="중복")</f>
        <v>0</v>
      </c>
      <c r="K3273" s="5" t="str">
        <f aca="false">IF($J3273=FALSE(),"",COUNTIF($J$6:$J3273,TRUE()))</f>
        <v/>
      </c>
      <c r="L3273" s="5" t="str">
        <f aca="false">IF($K3273="","","R"&amp;$K3273)</f>
        <v/>
      </c>
    </row>
    <row r="3274" customFormat="false" ht="15" hidden="false" customHeight="true" outlineLevel="0" collapsed="false">
      <c r="J3274" s="14" t="b">
        <f aca="false">IF(중복검사!$A3272="",FALSE(),중복검사!$H3272="중복")</f>
        <v>0</v>
      </c>
      <c r="K3274" s="5" t="str">
        <f aca="false">IF($J3274=FALSE(),"",COUNTIF($J$6:$J3274,TRUE()))</f>
        <v/>
      </c>
      <c r="L3274" s="5" t="str">
        <f aca="false">IF($K3274="","","R"&amp;$K3274)</f>
        <v/>
      </c>
    </row>
    <row r="3275" customFormat="false" ht="15" hidden="false" customHeight="true" outlineLevel="0" collapsed="false">
      <c r="J3275" s="14" t="b">
        <f aca="false">IF(중복검사!$A3273="",FALSE(),중복검사!$H3273="중복")</f>
        <v>0</v>
      </c>
      <c r="K3275" s="5" t="str">
        <f aca="false">IF($J3275=FALSE(),"",COUNTIF($J$6:$J3275,TRUE()))</f>
        <v/>
      </c>
      <c r="L3275" s="5" t="str">
        <f aca="false">IF($K3275="","","R"&amp;$K3275)</f>
        <v/>
      </c>
    </row>
    <row r="3276" customFormat="false" ht="15" hidden="false" customHeight="true" outlineLevel="0" collapsed="false">
      <c r="J3276" s="14" t="b">
        <f aca="false">IF(중복검사!$A3274="",FALSE(),중복검사!$H3274="중복")</f>
        <v>0</v>
      </c>
      <c r="K3276" s="5" t="str">
        <f aca="false">IF($J3276=FALSE(),"",COUNTIF($J$6:$J3276,TRUE()))</f>
        <v/>
      </c>
      <c r="L3276" s="5" t="str">
        <f aca="false">IF($K3276="","","R"&amp;$K3276)</f>
        <v/>
      </c>
    </row>
    <row r="3277" customFormat="false" ht="15" hidden="false" customHeight="true" outlineLevel="0" collapsed="false">
      <c r="J3277" s="14" t="b">
        <f aca="false">IF(중복검사!$A3275="",FALSE(),중복검사!$H3275="중복")</f>
        <v>0</v>
      </c>
      <c r="K3277" s="5" t="str">
        <f aca="false">IF($J3277=FALSE(),"",COUNTIF($J$6:$J3277,TRUE()))</f>
        <v/>
      </c>
      <c r="L3277" s="5" t="str">
        <f aca="false">IF($K3277="","","R"&amp;$K3277)</f>
        <v/>
      </c>
    </row>
    <row r="3278" customFormat="false" ht="15" hidden="false" customHeight="true" outlineLevel="0" collapsed="false">
      <c r="J3278" s="14" t="b">
        <f aca="false">IF(중복검사!$A3276="",FALSE(),중복검사!$H3276="중복")</f>
        <v>0</v>
      </c>
      <c r="K3278" s="5" t="str">
        <f aca="false">IF($J3278=FALSE(),"",COUNTIF($J$6:$J3278,TRUE()))</f>
        <v/>
      </c>
      <c r="L3278" s="5" t="str">
        <f aca="false">IF($K3278="","","R"&amp;$K3278)</f>
        <v/>
      </c>
    </row>
    <row r="3279" customFormat="false" ht="15" hidden="false" customHeight="true" outlineLevel="0" collapsed="false">
      <c r="J3279" s="14" t="b">
        <f aca="false">IF(중복검사!$A3277="",FALSE(),중복검사!$H3277="중복")</f>
        <v>0</v>
      </c>
      <c r="K3279" s="5" t="str">
        <f aca="false">IF($J3279=FALSE(),"",COUNTIF($J$6:$J3279,TRUE()))</f>
        <v/>
      </c>
      <c r="L3279" s="5" t="str">
        <f aca="false">IF($K3279="","","R"&amp;$K3279)</f>
        <v/>
      </c>
    </row>
    <row r="3280" customFormat="false" ht="15" hidden="false" customHeight="true" outlineLevel="0" collapsed="false">
      <c r="J3280" s="14" t="b">
        <f aca="false">IF(중복검사!$A3278="",FALSE(),중복검사!$H3278="중복")</f>
        <v>0</v>
      </c>
      <c r="K3280" s="5" t="str">
        <f aca="false">IF($J3280=FALSE(),"",COUNTIF($J$6:$J3280,TRUE()))</f>
        <v/>
      </c>
      <c r="L3280" s="5" t="str">
        <f aca="false">IF($K3280="","","R"&amp;$K3280)</f>
        <v/>
      </c>
    </row>
    <row r="3281" customFormat="false" ht="15" hidden="false" customHeight="true" outlineLevel="0" collapsed="false">
      <c r="J3281" s="14" t="b">
        <f aca="false">IF(중복검사!$A3279="",FALSE(),중복검사!$H3279="중복")</f>
        <v>0</v>
      </c>
      <c r="K3281" s="5" t="str">
        <f aca="false">IF($J3281=FALSE(),"",COUNTIF($J$6:$J3281,TRUE()))</f>
        <v/>
      </c>
      <c r="L3281" s="5" t="str">
        <f aca="false">IF($K3281="","","R"&amp;$K3281)</f>
        <v/>
      </c>
    </row>
    <row r="3282" customFormat="false" ht="15" hidden="false" customHeight="true" outlineLevel="0" collapsed="false">
      <c r="J3282" s="14" t="b">
        <f aca="false">IF(중복검사!$A3280="",FALSE(),중복검사!$H3280="중복")</f>
        <v>0</v>
      </c>
      <c r="K3282" s="5" t="str">
        <f aca="false">IF($J3282=FALSE(),"",COUNTIF($J$6:$J3282,TRUE()))</f>
        <v/>
      </c>
      <c r="L3282" s="5" t="str">
        <f aca="false">IF($K3282="","","R"&amp;$K3282)</f>
        <v/>
      </c>
    </row>
    <row r="3283" customFormat="false" ht="15" hidden="false" customHeight="true" outlineLevel="0" collapsed="false">
      <c r="J3283" s="14" t="b">
        <f aca="false">IF(중복검사!$A3281="",FALSE(),중복검사!$H3281="중복")</f>
        <v>0</v>
      </c>
      <c r="K3283" s="5" t="str">
        <f aca="false">IF($J3283=FALSE(),"",COUNTIF($J$6:$J3283,TRUE()))</f>
        <v/>
      </c>
      <c r="L3283" s="5" t="str">
        <f aca="false">IF($K3283="","","R"&amp;$K3283)</f>
        <v/>
      </c>
    </row>
    <row r="3284" customFormat="false" ht="15" hidden="false" customHeight="true" outlineLevel="0" collapsed="false">
      <c r="J3284" s="14" t="b">
        <f aca="false">IF(중복검사!$A3282="",FALSE(),중복검사!$H3282="중복")</f>
        <v>0</v>
      </c>
      <c r="K3284" s="5" t="str">
        <f aca="false">IF($J3284=FALSE(),"",COUNTIF($J$6:$J3284,TRUE()))</f>
        <v/>
      </c>
      <c r="L3284" s="5" t="str">
        <f aca="false">IF($K3284="","","R"&amp;$K3284)</f>
        <v/>
      </c>
    </row>
    <row r="3285" customFormat="false" ht="15" hidden="false" customHeight="true" outlineLevel="0" collapsed="false">
      <c r="J3285" s="14" t="b">
        <f aca="false">IF(중복검사!$A3283="",FALSE(),중복검사!$H3283="중복")</f>
        <v>0</v>
      </c>
      <c r="K3285" s="5" t="str">
        <f aca="false">IF($J3285=FALSE(),"",COUNTIF($J$6:$J3285,TRUE()))</f>
        <v/>
      </c>
      <c r="L3285" s="5" t="str">
        <f aca="false">IF($K3285="","","R"&amp;$K3285)</f>
        <v/>
      </c>
    </row>
    <row r="3286" customFormat="false" ht="15" hidden="false" customHeight="true" outlineLevel="0" collapsed="false">
      <c r="J3286" s="14" t="b">
        <f aca="false">IF(중복검사!$A3284="",FALSE(),중복검사!$H3284="중복")</f>
        <v>0</v>
      </c>
      <c r="K3286" s="5" t="str">
        <f aca="false">IF($J3286=FALSE(),"",COUNTIF($J$6:$J3286,TRUE()))</f>
        <v/>
      </c>
      <c r="L3286" s="5" t="str">
        <f aca="false">IF($K3286="","","R"&amp;$K3286)</f>
        <v/>
      </c>
    </row>
    <row r="3287" customFormat="false" ht="15" hidden="false" customHeight="true" outlineLevel="0" collapsed="false">
      <c r="J3287" s="14" t="b">
        <f aca="false">IF(중복검사!$A3285="",FALSE(),중복검사!$H3285="중복")</f>
        <v>0</v>
      </c>
      <c r="K3287" s="5" t="str">
        <f aca="false">IF($J3287=FALSE(),"",COUNTIF($J$6:$J3287,TRUE()))</f>
        <v/>
      </c>
      <c r="L3287" s="5" t="str">
        <f aca="false">IF($K3287="","","R"&amp;$K3287)</f>
        <v/>
      </c>
    </row>
    <row r="3288" customFormat="false" ht="15" hidden="false" customHeight="true" outlineLevel="0" collapsed="false">
      <c r="J3288" s="14" t="b">
        <f aca="false">IF(중복검사!$A3286="",FALSE(),중복검사!$H3286="중복")</f>
        <v>0</v>
      </c>
      <c r="K3288" s="5" t="str">
        <f aca="false">IF($J3288=FALSE(),"",COUNTIF($J$6:$J3288,TRUE()))</f>
        <v/>
      </c>
      <c r="L3288" s="5" t="str">
        <f aca="false">IF($K3288="","","R"&amp;$K3288)</f>
        <v/>
      </c>
    </row>
    <row r="3289" customFormat="false" ht="15" hidden="false" customHeight="true" outlineLevel="0" collapsed="false">
      <c r="J3289" s="14" t="b">
        <f aca="false">IF(중복검사!$A3287="",FALSE(),중복검사!$H3287="중복")</f>
        <v>0</v>
      </c>
      <c r="K3289" s="5" t="str">
        <f aca="false">IF($J3289=FALSE(),"",COUNTIF($J$6:$J3289,TRUE()))</f>
        <v/>
      </c>
      <c r="L3289" s="5" t="str">
        <f aca="false">IF($K3289="","","R"&amp;$K3289)</f>
        <v/>
      </c>
    </row>
    <row r="3290" customFormat="false" ht="15" hidden="false" customHeight="true" outlineLevel="0" collapsed="false">
      <c r="J3290" s="14" t="b">
        <f aca="false">IF(중복검사!$A3288="",FALSE(),중복검사!$H3288="중복")</f>
        <v>0</v>
      </c>
      <c r="K3290" s="5" t="str">
        <f aca="false">IF($J3290=FALSE(),"",COUNTIF($J$6:$J3290,TRUE()))</f>
        <v/>
      </c>
      <c r="L3290" s="5" t="str">
        <f aca="false">IF($K3290="","","R"&amp;$K3290)</f>
        <v/>
      </c>
    </row>
    <row r="3291" customFormat="false" ht="15" hidden="false" customHeight="true" outlineLevel="0" collapsed="false">
      <c r="J3291" s="14" t="b">
        <f aca="false">IF(중복검사!$A3289="",FALSE(),중복검사!$H3289="중복")</f>
        <v>0</v>
      </c>
      <c r="K3291" s="5" t="str">
        <f aca="false">IF($J3291=FALSE(),"",COUNTIF($J$6:$J3291,TRUE()))</f>
        <v/>
      </c>
      <c r="L3291" s="5" t="str">
        <f aca="false">IF($K3291="","","R"&amp;$K3291)</f>
        <v/>
      </c>
    </row>
    <row r="3292" customFormat="false" ht="15" hidden="false" customHeight="true" outlineLevel="0" collapsed="false">
      <c r="J3292" s="14" t="b">
        <f aca="false">IF(중복검사!$A3290="",FALSE(),중복검사!$H3290="중복")</f>
        <v>0</v>
      </c>
      <c r="K3292" s="5" t="str">
        <f aca="false">IF($J3292=FALSE(),"",COUNTIF($J$6:$J3292,TRUE()))</f>
        <v/>
      </c>
      <c r="L3292" s="5" t="str">
        <f aca="false">IF($K3292="","","R"&amp;$K3292)</f>
        <v/>
      </c>
    </row>
    <row r="3293" customFormat="false" ht="15" hidden="false" customHeight="true" outlineLevel="0" collapsed="false">
      <c r="J3293" s="14" t="b">
        <f aca="false">IF(중복검사!$A3291="",FALSE(),중복검사!$H3291="중복")</f>
        <v>0</v>
      </c>
      <c r="K3293" s="5" t="str">
        <f aca="false">IF($J3293=FALSE(),"",COUNTIF($J$6:$J3293,TRUE()))</f>
        <v/>
      </c>
      <c r="L3293" s="5" t="str">
        <f aca="false">IF($K3293="","","R"&amp;$K3293)</f>
        <v/>
      </c>
    </row>
    <row r="3294" customFormat="false" ht="15" hidden="false" customHeight="true" outlineLevel="0" collapsed="false">
      <c r="J3294" s="14" t="b">
        <f aca="false">IF(중복검사!$A3292="",FALSE(),중복검사!$H3292="중복")</f>
        <v>0</v>
      </c>
      <c r="K3294" s="5" t="str">
        <f aca="false">IF($J3294=FALSE(),"",COUNTIF($J$6:$J3294,TRUE()))</f>
        <v/>
      </c>
      <c r="L3294" s="5" t="str">
        <f aca="false">IF($K3294="","","R"&amp;$K3294)</f>
        <v/>
      </c>
    </row>
    <row r="3295" customFormat="false" ht="15" hidden="false" customHeight="true" outlineLevel="0" collapsed="false">
      <c r="J3295" s="14" t="b">
        <f aca="false">IF(중복검사!$A3293="",FALSE(),중복검사!$H3293="중복")</f>
        <v>0</v>
      </c>
      <c r="K3295" s="5" t="str">
        <f aca="false">IF($J3295=FALSE(),"",COUNTIF($J$6:$J3295,TRUE()))</f>
        <v/>
      </c>
      <c r="L3295" s="5" t="str">
        <f aca="false">IF($K3295="","","R"&amp;$K3295)</f>
        <v/>
      </c>
    </row>
    <row r="3296" customFormat="false" ht="15" hidden="false" customHeight="true" outlineLevel="0" collapsed="false">
      <c r="J3296" s="14" t="b">
        <f aca="false">IF(중복검사!$A3294="",FALSE(),중복검사!$H3294="중복")</f>
        <v>0</v>
      </c>
      <c r="K3296" s="5" t="str">
        <f aca="false">IF($J3296=FALSE(),"",COUNTIF($J$6:$J3296,TRUE()))</f>
        <v/>
      </c>
      <c r="L3296" s="5" t="str">
        <f aca="false">IF($K3296="","","R"&amp;$K3296)</f>
        <v/>
      </c>
    </row>
    <row r="3297" customFormat="false" ht="15" hidden="false" customHeight="true" outlineLevel="0" collapsed="false">
      <c r="J3297" s="14" t="b">
        <f aca="false">IF(중복검사!$A3295="",FALSE(),중복검사!$H3295="중복")</f>
        <v>0</v>
      </c>
      <c r="K3297" s="5" t="str">
        <f aca="false">IF($J3297=FALSE(),"",COUNTIF($J$6:$J3297,TRUE()))</f>
        <v/>
      </c>
      <c r="L3297" s="5" t="str">
        <f aca="false">IF($K3297="","","R"&amp;$K3297)</f>
        <v/>
      </c>
    </row>
    <row r="3298" customFormat="false" ht="15" hidden="false" customHeight="true" outlineLevel="0" collapsed="false">
      <c r="J3298" s="14" t="b">
        <f aca="false">IF(중복검사!$A3296="",FALSE(),중복검사!$H3296="중복")</f>
        <v>0</v>
      </c>
      <c r="K3298" s="5" t="str">
        <f aca="false">IF($J3298=FALSE(),"",COUNTIF($J$6:$J3298,TRUE()))</f>
        <v/>
      </c>
      <c r="L3298" s="5" t="str">
        <f aca="false">IF($K3298="","","R"&amp;$K3298)</f>
        <v/>
      </c>
    </row>
    <row r="3299" customFormat="false" ht="15" hidden="false" customHeight="true" outlineLevel="0" collapsed="false">
      <c r="J3299" s="14" t="b">
        <f aca="false">IF(중복검사!$A3297="",FALSE(),중복검사!$H3297="중복")</f>
        <v>0</v>
      </c>
      <c r="K3299" s="5" t="str">
        <f aca="false">IF($J3299=FALSE(),"",COUNTIF($J$6:$J3299,TRUE()))</f>
        <v/>
      </c>
      <c r="L3299" s="5" t="str">
        <f aca="false">IF($K3299="","","R"&amp;$K3299)</f>
        <v/>
      </c>
    </row>
    <row r="3300" customFormat="false" ht="15" hidden="false" customHeight="true" outlineLevel="0" collapsed="false">
      <c r="J3300" s="14" t="b">
        <f aca="false">IF(중복검사!$A3298="",FALSE(),중복검사!$H3298="중복")</f>
        <v>0</v>
      </c>
      <c r="K3300" s="5" t="str">
        <f aca="false">IF($J3300=FALSE(),"",COUNTIF($J$6:$J3300,TRUE()))</f>
        <v/>
      </c>
      <c r="L3300" s="5" t="str">
        <f aca="false">IF($K3300="","","R"&amp;$K3300)</f>
        <v/>
      </c>
    </row>
    <row r="3301" customFormat="false" ht="15" hidden="false" customHeight="true" outlineLevel="0" collapsed="false">
      <c r="J3301" s="14" t="b">
        <f aca="false">IF(중복검사!$A3299="",FALSE(),중복검사!$H3299="중복")</f>
        <v>0</v>
      </c>
      <c r="K3301" s="5" t="str">
        <f aca="false">IF($J3301=FALSE(),"",COUNTIF($J$6:$J3301,TRUE()))</f>
        <v/>
      </c>
      <c r="L3301" s="5" t="str">
        <f aca="false">IF($K3301="","","R"&amp;$K3301)</f>
        <v/>
      </c>
    </row>
    <row r="3302" customFormat="false" ht="15" hidden="false" customHeight="true" outlineLevel="0" collapsed="false">
      <c r="J3302" s="14" t="b">
        <f aca="false">IF(중복검사!$A3300="",FALSE(),중복검사!$H3300="중복")</f>
        <v>0</v>
      </c>
      <c r="K3302" s="5" t="str">
        <f aca="false">IF($J3302=FALSE(),"",COUNTIF($J$6:$J3302,TRUE()))</f>
        <v/>
      </c>
      <c r="L3302" s="5" t="str">
        <f aca="false">IF($K3302="","","R"&amp;$K3302)</f>
        <v/>
      </c>
    </row>
    <row r="3303" customFormat="false" ht="15" hidden="false" customHeight="true" outlineLevel="0" collapsed="false">
      <c r="J3303" s="14" t="b">
        <f aca="false">IF(중복검사!$A3301="",FALSE(),중복검사!$H3301="중복")</f>
        <v>0</v>
      </c>
      <c r="K3303" s="5" t="str">
        <f aca="false">IF($J3303=FALSE(),"",COUNTIF($J$6:$J3303,TRUE()))</f>
        <v/>
      </c>
      <c r="L3303" s="5" t="str">
        <f aca="false">IF($K3303="","","R"&amp;$K3303)</f>
        <v/>
      </c>
    </row>
    <row r="3304" customFormat="false" ht="15" hidden="false" customHeight="true" outlineLevel="0" collapsed="false">
      <c r="J3304" s="14" t="b">
        <f aca="false">IF(중복검사!$A3302="",FALSE(),중복검사!$H3302="중복")</f>
        <v>0</v>
      </c>
      <c r="K3304" s="5" t="str">
        <f aca="false">IF($J3304=FALSE(),"",COUNTIF($J$6:$J3304,TRUE()))</f>
        <v/>
      </c>
      <c r="L3304" s="5" t="str">
        <f aca="false">IF($K3304="","","R"&amp;$K3304)</f>
        <v/>
      </c>
    </row>
    <row r="3305" customFormat="false" ht="15" hidden="false" customHeight="true" outlineLevel="0" collapsed="false">
      <c r="J3305" s="14" t="b">
        <f aca="false">IF(중복검사!$A3303="",FALSE(),중복검사!$H3303="중복")</f>
        <v>0</v>
      </c>
      <c r="K3305" s="5" t="str">
        <f aca="false">IF($J3305=FALSE(),"",COUNTIF($J$6:$J3305,TRUE()))</f>
        <v/>
      </c>
      <c r="L3305" s="5" t="str">
        <f aca="false">IF($K3305="","","R"&amp;$K3305)</f>
        <v/>
      </c>
    </row>
    <row r="3306" customFormat="false" ht="15" hidden="false" customHeight="true" outlineLevel="0" collapsed="false">
      <c r="J3306" s="14" t="b">
        <f aca="false">IF(중복검사!$A3304="",FALSE(),중복검사!$H3304="중복")</f>
        <v>0</v>
      </c>
      <c r="K3306" s="5" t="str">
        <f aca="false">IF($J3306=FALSE(),"",COUNTIF($J$6:$J3306,TRUE()))</f>
        <v/>
      </c>
      <c r="L3306" s="5" t="str">
        <f aca="false">IF($K3306="","","R"&amp;$K3306)</f>
        <v/>
      </c>
    </row>
    <row r="3307" customFormat="false" ht="15" hidden="false" customHeight="true" outlineLevel="0" collapsed="false">
      <c r="J3307" s="14" t="b">
        <f aca="false">IF(중복검사!$A3305="",FALSE(),중복검사!$H3305="중복")</f>
        <v>0</v>
      </c>
      <c r="K3307" s="5" t="str">
        <f aca="false">IF($J3307=FALSE(),"",COUNTIF($J$6:$J3307,TRUE()))</f>
        <v/>
      </c>
      <c r="L3307" s="5" t="str">
        <f aca="false">IF($K3307="","","R"&amp;$K3307)</f>
        <v/>
      </c>
    </row>
    <row r="3308" customFormat="false" ht="15" hidden="false" customHeight="true" outlineLevel="0" collapsed="false">
      <c r="J3308" s="14" t="b">
        <f aca="false">IF(중복검사!$A3306="",FALSE(),중복검사!$H3306="중복")</f>
        <v>0</v>
      </c>
      <c r="K3308" s="5" t="str">
        <f aca="false">IF($J3308=FALSE(),"",COUNTIF($J$6:$J3308,TRUE()))</f>
        <v/>
      </c>
      <c r="L3308" s="5" t="str">
        <f aca="false">IF($K3308="","","R"&amp;$K3308)</f>
        <v/>
      </c>
    </row>
    <row r="3309" customFormat="false" ht="15" hidden="false" customHeight="true" outlineLevel="0" collapsed="false">
      <c r="J3309" s="14" t="b">
        <f aca="false">IF(중복검사!$A3307="",FALSE(),중복검사!$H3307="중복")</f>
        <v>0</v>
      </c>
      <c r="K3309" s="5" t="str">
        <f aca="false">IF($J3309=FALSE(),"",COUNTIF($J$6:$J3309,TRUE()))</f>
        <v/>
      </c>
      <c r="L3309" s="5" t="str">
        <f aca="false">IF($K3309="","","R"&amp;$K3309)</f>
        <v/>
      </c>
    </row>
    <row r="3310" customFormat="false" ht="15" hidden="false" customHeight="true" outlineLevel="0" collapsed="false">
      <c r="J3310" s="14" t="b">
        <f aca="false">IF(중복검사!$A3308="",FALSE(),중복검사!$H3308="중복")</f>
        <v>0</v>
      </c>
      <c r="K3310" s="5" t="str">
        <f aca="false">IF($J3310=FALSE(),"",COUNTIF($J$6:$J3310,TRUE()))</f>
        <v/>
      </c>
      <c r="L3310" s="5" t="str">
        <f aca="false">IF($K3310="","","R"&amp;$K3310)</f>
        <v/>
      </c>
    </row>
    <row r="3311" customFormat="false" ht="15" hidden="false" customHeight="true" outlineLevel="0" collapsed="false">
      <c r="J3311" s="14" t="b">
        <f aca="false">IF(중복검사!$A3309="",FALSE(),중복검사!$H3309="중복")</f>
        <v>0</v>
      </c>
      <c r="K3311" s="5" t="str">
        <f aca="false">IF($J3311=FALSE(),"",COUNTIF($J$6:$J3311,TRUE()))</f>
        <v/>
      </c>
      <c r="L3311" s="5" t="str">
        <f aca="false">IF($K3311="","","R"&amp;$K3311)</f>
        <v/>
      </c>
    </row>
    <row r="3312" customFormat="false" ht="15" hidden="false" customHeight="true" outlineLevel="0" collapsed="false">
      <c r="J3312" s="14" t="b">
        <f aca="false">IF(중복검사!$A3310="",FALSE(),중복검사!$H3310="중복")</f>
        <v>0</v>
      </c>
      <c r="K3312" s="5" t="str">
        <f aca="false">IF($J3312=FALSE(),"",COUNTIF($J$6:$J3312,TRUE()))</f>
        <v/>
      </c>
      <c r="L3312" s="5" t="str">
        <f aca="false">IF($K3312="","","R"&amp;$K3312)</f>
        <v/>
      </c>
    </row>
    <row r="3313" customFormat="false" ht="15" hidden="false" customHeight="true" outlineLevel="0" collapsed="false">
      <c r="J3313" s="14" t="b">
        <f aca="false">IF(중복검사!$A3311="",FALSE(),중복검사!$H3311="중복")</f>
        <v>0</v>
      </c>
      <c r="K3313" s="5" t="str">
        <f aca="false">IF($J3313=FALSE(),"",COUNTIF($J$6:$J3313,TRUE()))</f>
        <v/>
      </c>
      <c r="L3313" s="5" t="str">
        <f aca="false">IF($K3313="","","R"&amp;$K3313)</f>
        <v/>
      </c>
    </row>
    <row r="3314" customFormat="false" ht="15" hidden="false" customHeight="true" outlineLevel="0" collapsed="false">
      <c r="J3314" s="14" t="b">
        <f aca="false">IF(중복검사!$A3312="",FALSE(),중복검사!$H3312="중복")</f>
        <v>0</v>
      </c>
      <c r="K3314" s="5" t="str">
        <f aca="false">IF($J3314=FALSE(),"",COUNTIF($J$6:$J3314,TRUE()))</f>
        <v/>
      </c>
      <c r="L3314" s="5" t="str">
        <f aca="false">IF($K3314="","","R"&amp;$K3314)</f>
        <v/>
      </c>
    </row>
    <row r="3315" customFormat="false" ht="15" hidden="false" customHeight="true" outlineLevel="0" collapsed="false">
      <c r="J3315" s="14" t="b">
        <f aca="false">IF(중복검사!$A3313="",FALSE(),중복검사!$H3313="중복")</f>
        <v>0</v>
      </c>
      <c r="K3315" s="5" t="str">
        <f aca="false">IF($J3315=FALSE(),"",COUNTIF($J$6:$J3315,TRUE()))</f>
        <v/>
      </c>
      <c r="L3315" s="5" t="str">
        <f aca="false">IF($K3315="","","R"&amp;$K3315)</f>
        <v/>
      </c>
    </row>
    <row r="3316" customFormat="false" ht="15" hidden="false" customHeight="true" outlineLevel="0" collapsed="false">
      <c r="J3316" s="14" t="b">
        <f aca="false">IF(중복검사!$A3314="",FALSE(),중복검사!$H3314="중복")</f>
        <v>0</v>
      </c>
      <c r="K3316" s="5" t="str">
        <f aca="false">IF($J3316=FALSE(),"",COUNTIF($J$6:$J3316,TRUE()))</f>
        <v/>
      </c>
      <c r="L3316" s="5" t="str">
        <f aca="false">IF($K3316="","","R"&amp;$K3316)</f>
        <v/>
      </c>
    </row>
    <row r="3317" customFormat="false" ht="15" hidden="false" customHeight="true" outlineLevel="0" collapsed="false">
      <c r="J3317" s="14" t="b">
        <f aca="false">IF(중복검사!$A3315="",FALSE(),중복검사!$H3315="중복")</f>
        <v>0</v>
      </c>
      <c r="K3317" s="5" t="str">
        <f aca="false">IF($J3317=FALSE(),"",COUNTIF($J$6:$J3317,TRUE()))</f>
        <v/>
      </c>
      <c r="L3317" s="5" t="str">
        <f aca="false">IF($K3317="","","R"&amp;$K3317)</f>
        <v/>
      </c>
    </row>
    <row r="3318" customFormat="false" ht="15" hidden="false" customHeight="true" outlineLevel="0" collapsed="false">
      <c r="J3318" s="14" t="b">
        <f aca="false">IF(중복검사!$A3316="",FALSE(),중복검사!$H3316="중복")</f>
        <v>0</v>
      </c>
      <c r="K3318" s="5" t="str">
        <f aca="false">IF($J3318=FALSE(),"",COUNTIF($J$6:$J3318,TRUE()))</f>
        <v/>
      </c>
      <c r="L3318" s="5" t="str">
        <f aca="false">IF($K3318="","","R"&amp;$K3318)</f>
        <v/>
      </c>
    </row>
    <row r="3319" customFormat="false" ht="15" hidden="false" customHeight="true" outlineLevel="0" collapsed="false">
      <c r="J3319" s="14" t="b">
        <f aca="false">IF(중복검사!$A3317="",FALSE(),중복검사!$H3317="중복")</f>
        <v>0</v>
      </c>
      <c r="K3319" s="5" t="str">
        <f aca="false">IF($J3319=FALSE(),"",COUNTIF($J$6:$J3319,TRUE()))</f>
        <v/>
      </c>
      <c r="L3319" s="5" t="str">
        <f aca="false">IF($K3319="","","R"&amp;$K3319)</f>
        <v/>
      </c>
    </row>
    <row r="3320" customFormat="false" ht="15" hidden="false" customHeight="true" outlineLevel="0" collapsed="false">
      <c r="J3320" s="14" t="b">
        <f aca="false">IF(중복검사!$A3318="",FALSE(),중복검사!$H3318="중복")</f>
        <v>0</v>
      </c>
      <c r="K3320" s="5" t="str">
        <f aca="false">IF($J3320=FALSE(),"",COUNTIF($J$6:$J3320,TRUE()))</f>
        <v/>
      </c>
      <c r="L3320" s="5" t="str">
        <f aca="false">IF($K3320="","","R"&amp;$K3320)</f>
        <v/>
      </c>
    </row>
    <row r="3321" customFormat="false" ht="15" hidden="false" customHeight="true" outlineLevel="0" collapsed="false">
      <c r="J3321" s="14" t="b">
        <f aca="false">IF(중복검사!$A3319="",FALSE(),중복검사!$H3319="중복")</f>
        <v>0</v>
      </c>
      <c r="K3321" s="5" t="str">
        <f aca="false">IF($J3321=FALSE(),"",COUNTIF($J$6:$J3321,TRUE()))</f>
        <v/>
      </c>
      <c r="L3321" s="5" t="str">
        <f aca="false">IF($K3321="","","R"&amp;$K3321)</f>
        <v/>
      </c>
    </row>
    <row r="3322" customFormat="false" ht="15" hidden="false" customHeight="true" outlineLevel="0" collapsed="false">
      <c r="J3322" s="14" t="b">
        <f aca="false">IF(중복검사!$A3320="",FALSE(),중복검사!$H3320="중복")</f>
        <v>0</v>
      </c>
      <c r="K3322" s="5" t="str">
        <f aca="false">IF($J3322=FALSE(),"",COUNTIF($J$6:$J3322,TRUE()))</f>
        <v/>
      </c>
      <c r="L3322" s="5" t="str">
        <f aca="false">IF($K3322="","","R"&amp;$K3322)</f>
        <v/>
      </c>
    </row>
    <row r="3323" customFormat="false" ht="15" hidden="false" customHeight="true" outlineLevel="0" collapsed="false">
      <c r="J3323" s="14" t="b">
        <f aca="false">IF(중복검사!$A3321="",FALSE(),중복검사!$H3321="중복")</f>
        <v>0</v>
      </c>
      <c r="K3323" s="5" t="str">
        <f aca="false">IF($J3323=FALSE(),"",COUNTIF($J$6:$J3323,TRUE()))</f>
        <v/>
      </c>
      <c r="L3323" s="5" t="str">
        <f aca="false">IF($K3323="","","R"&amp;$K3323)</f>
        <v/>
      </c>
    </row>
    <row r="3324" customFormat="false" ht="15" hidden="false" customHeight="true" outlineLevel="0" collapsed="false">
      <c r="J3324" s="14" t="b">
        <f aca="false">IF(중복검사!$A3322="",FALSE(),중복검사!$H3322="중복")</f>
        <v>0</v>
      </c>
      <c r="K3324" s="5" t="str">
        <f aca="false">IF($J3324=FALSE(),"",COUNTIF($J$6:$J3324,TRUE()))</f>
        <v/>
      </c>
      <c r="L3324" s="5" t="str">
        <f aca="false">IF($K3324="","","R"&amp;$K3324)</f>
        <v/>
      </c>
    </row>
    <row r="3325" customFormat="false" ht="15" hidden="false" customHeight="true" outlineLevel="0" collapsed="false">
      <c r="J3325" s="14" t="b">
        <f aca="false">IF(중복검사!$A3323="",FALSE(),중복검사!$H3323="중복")</f>
        <v>0</v>
      </c>
      <c r="K3325" s="5" t="str">
        <f aca="false">IF($J3325=FALSE(),"",COUNTIF($J$6:$J3325,TRUE()))</f>
        <v/>
      </c>
      <c r="L3325" s="5" t="str">
        <f aca="false">IF($K3325="","","R"&amp;$K3325)</f>
        <v/>
      </c>
    </row>
    <row r="3326" customFormat="false" ht="15" hidden="false" customHeight="true" outlineLevel="0" collapsed="false">
      <c r="J3326" s="14" t="b">
        <f aca="false">IF(중복검사!$A3324="",FALSE(),중복검사!$H3324="중복")</f>
        <v>0</v>
      </c>
      <c r="K3326" s="5" t="str">
        <f aca="false">IF($J3326=FALSE(),"",COUNTIF($J$6:$J3326,TRUE()))</f>
        <v/>
      </c>
      <c r="L3326" s="5" t="str">
        <f aca="false">IF($K3326="","","R"&amp;$K3326)</f>
        <v/>
      </c>
    </row>
    <row r="3327" customFormat="false" ht="15" hidden="false" customHeight="true" outlineLevel="0" collapsed="false">
      <c r="J3327" s="14" t="b">
        <f aca="false">IF(중복검사!$A3325="",FALSE(),중복검사!$H3325="중복")</f>
        <v>0</v>
      </c>
      <c r="K3327" s="5" t="str">
        <f aca="false">IF($J3327=FALSE(),"",COUNTIF($J$6:$J3327,TRUE()))</f>
        <v/>
      </c>
      <c r="L3327" s="5" t="str">
        <f aca="false">IF($K3327="","","R"&amp;$K3327)</f>
        <v/>
      </c>
    </row>
    <row r="3328" customFormat="false" ht="15" hidden="false" customHeight="true" outlineLevel="0" collapsed="false">
      <c r="J3328" s="14" t="b">
        <f aca="false">IF(중복검사!$A3326="",FALSE(),중복검사!$H3326="중복")</f>
        <v>0</v>
      </c>
      <c r="K3328" s="5" t="str">
        <f aca="false">IF($J3328=FALSE(),"",COUNTIF($J$6:$J3328,TRUE()))</f>
        <v/>
      </c>
      <c r="L3328" s="5" t="str">
        <f aca="false">IF($K3328="","","R"&amp;$K3328)</f>
        <v/>
      </c>
    </row>
    <row r="3329" customFormat="false" ht="15" hidden="false" customHeight="true" outlineLevel="0" collapsed="false">
      <c r="J3329" s="14" t="b">
        <f aca="false">IF(중복검사!$A3327="",FALSE(),중복검사!$H3327="중복")</f>
        <v>0</v>
      </c>
      <c r="K3329" s="5" t="str">
        <f aca="false">IF($J3329=FALSE(),"",COUNTIF($J$6:$J3329,TRUE()))</f>
        <v/>
      </c>
      <c r="L3329" s="5" t="str">
        <f aca="false">IF($K3329="","","R"&amp;$K3329)</f>
        <v/>
      </c>
    </row>
    <row r="3330" customFormat="false" ht="15" hidden="false" customHeight="true" outlineLevel="0" collapsed="false">
      <c r="J3330" s="14" t="b">
        <f aca="false">IF(중복검사!$A3328="",FALSE(),중복검사!$H3328="중복")</f>
        <v>0</v>
      </c>
      <c r="K3330" s="5" t="str">
        <f aca="false">IF($J3330=FALSE(),"",COUNTIF($J$6:$J3330,TRUE()))</f>
        <v/>
      </c>
      <c r="L3330" s="5" t="str">
        <f aca="false">IF($K3330="","","R"&amp;$K3330)</f>
        <v/>
      </c>
    </row>
    <row r="3331" customFormat="false" ht="15" hidden="false" customHeight="true" outlineLevel="0" collapsed="false">
      <c r="J3331" s="14" t="b">
        <f aca="false">IF(중복검사!$A3329="",FALSE(),중복검사!$H3329="중복")</f>
        <v>0</v>
      </c>
      <c r="K3331" s="5" t="str">
        <f aca="false">IF($J3331=FALSE(),"",COUNTIF($J$6:$J3331,TRUE()))</f>
        <v/>
      </c>
      <c r="L3331" s="5" t="str">
        <f aca="false">IF($K3331="","","R"&amp;$K3331)</f>
        <v/>
      </c>
    </row>
    <row r="3332" customFormat="false" ht="15" hidden="false" customHeight="true" outlineLevel="0" collapsed="false">
      <c r="J3332" s="14" t="b">
        <f aca="false">IF(중복검사!$A3330="",FALSE(),중복검사!$H3330="중복")</f>
        <v>0</v>
      </c>
      <c r="K3332" s="5" t="str">
        <f aca="false">IF($J3332=FALSE(),"",COUNTIF($J$6:$J3332,TRUE()))</f>
        <v/>
      </c>
      <c r="L3332" s="5" t="str">
        <f aca="false">IF($K3332="","","R"&amp;$K3332)</f>
        <v/>
      </c>
    </row>
    <row r="3333" customFormat="false" ht="15" hidden="false" customHeight="true" outlineLevel="0" collapsed="false">
      <c r="J3333" s="14" t="b">
        <f aca="false">IF(중복검사!$A3331="",FALSE(),중복검사!$H3331="중복")</f>
        <v>0</v>
      </c>
      <c r="K3333" s="5" t="str">
        <f aca="false">IF($J3333=FALSE(),"",COUNTIF($J$6:$J3333,TRUE()))</f>
        <v/>
      </c>
      <c r="L3333" s="5" t="str">
        <f aca="false">IF($K3333="","","R"&amp;$K3333)</f>
        <v/>
      </c>
    </row>
    <row r="3334" customFormat="false" ht="15" hidden="false" customHeight="true" outlineLevel="0" collapsed="false">
      <c r="J3334" s="14" t="b">
        <f aca="false">IF(중복검사!$A3332="",FALSE(),중복검사!$H3332="중복")</f>
        <v>0</v>
      </c>
      <c r="K3334" s="5" t="str">
        <f aca="false">IF($J3334=FALSE(),"",COUNTIF($J$6:$J3334,TRUE()))</f>
        <v/>
      </c>
      <c r="L3334" s="5" t="str">
        <f aca="false">IF($K3334="","","R"&amp;$K3334)</f>
        <v/>
      </c>
    </row>
    <row r="3335" customFormat="false" ht="15" hidden="false" customHeight="true" outlineLevel="0" collapsed="false">
      <c r="J3335" s="14" t="b">
        <f aca="false">IF(중복검사!$A3333="",FALSE(),중복검사!$H3333="중복")</f>
        <v>0</v>
      </c>
      <c r="K3335" s="5" t="str">
        <f aca="false">IF($J3335=FALSE(),"",COUNTIF($J$6:$J3335,TRUE()))</f>
        <v/>
      </c>
      <c r="L3335" s="5" t="str">
        <f aca="false">IF($K3335="","","R"&amp;$K3335)</f>
        <v/>
      </c>
    </row>
    <row r="3336" customFormat="false" ht="15" hidden="false" customHeight="true" outlineLevel="0" collapsed="false">
      <c r="J3336" s="14" t="b">
        <f aca="false">IF(중복검사!$A3334="",FALSE(),중복검사!$H3334="중복")</f>
        <v>0</v>
      </c>
      <c r="K3336" s="5" t="str">
        <f aca="false">IF($J3336=FALSE(),"",COUNTIF($J$6:$J3336,TRUE()))</f>
        <v/>
      </c>
      <c r="L3336" s="5" t="str">
        <f aca="false">IF($K3336="","","R"&amp;$K3336)</f>
        <v/>
      </c>
    </row>
    <row r="3337" customFormat="false" ht="15" hidden="false" customHeight="true" outlineLevel="0" collapsed="false">
      <c r="J3337" s="14" t="b">
        <f aca="false">IF(중복검사!$A3335="",FALSE(),중복검사!$H3335="중복")</f>
        <v>0</v>
      </c>
      <c r="K3337" s="5" t="str">
        <f aca="false">IF($J3337=FALSE(),"",COUNTIF($J$6:$J3337,TRUE()))</f>
        <v/>
      </c>
      <c r="L3337" s="5" t="str">
        <f aca="false">IF($K3337="","","R"&amp;$K3337)</f>
        <v/>
      </c>
    </row>
    <row r="3338" customFormat="false" ht="15" hidden="false" customHeight="true" outlineLevel="0" collapsed="false">
      <c r="J3338" s="14" t="b">
        <f aca="false">IF(중복검사!$A3336="",FALSE(),중복검사!$H3336="중복")</f>
        <v>0</v>
      </c>
      <c r="K3338" s="5" t="str">
        <f aca="false">IF($J3338=FALSE(),"",COUNTIF($J$6:$J3338,TRUE()))</f>
        <v/>
      </c>
      <c r="L3338" s="5" t="str">
        <f aca="false">IF($K3338="","","R"&amp;$K3338)</f>
        <v/>
      </c>
    </row>
    <row r="3339" customFormat="false" ht="15" hidden="false" customHeight="true" outlineLevel="0" collapsed="false">
      <c r="J3339" s="14" t="b">
        <f aca="false">IF(중복검사!$A3337="",FALSE(),중복검사!$H3337="중복")</f>
        <v>0</v>
      </c>
      <c r="K3339" s="5" t="str">
        <f aca="false">IF($J3339=FALSE(),"",COUNTIF($J$6:$J3339,TRUE()))</f>
        <v/>
      </c>
      <c r="L3339" s="5" t="str">
        <f aca="false">IF($K3339="","","R"&amp;$K3339)</f>
        <v/>
      </c>
    </row>
    <row r="3340" customFormat="false" ht="15" hidden="false" customHeight="true" outlineLevel="0" collapsed="false">
      <c r="J3340" s="14" t="b">
        <f aca="false">IF(중복검사!$A3338="",FALSE(),중복검사!$H3338="중복")</f>
        <v>0</v>
      </c>
      <c r="K3340" s="5" t="str">
        <f aca="false">IF($J3340=FALSE(),"",COUNTIF($J$6:$J3340,TRUE()))</f>
        <v/>
      </c>
      <c r="L3340" s="5" t="str">
        <f aca="false">IF($K3340="","","R"&amp;$K3340)</f>
        <v/>
      </c>
    </row>
    <row r="3341" customFormat="false" ht="15" hidden="false" customHeight="true" outlineLevel="0" collapsed="false">
      <c r="J3341" s="14" t="b">
        <f aca="false">IF(중복검사!$A3339="",FALSE(),중복검사!$H3339="중복")</f>
        <v>0</v>
      </c>
      <c r="K3341" s="5" t="str">
        <f aca="false">IF($J3341=FALSE(),"",COUNTIF($J$6:$J3341,TRUE()))</f>
        <v/>
      </c>
      <c r="L3341" s="5" t="str">
        <f aca="false">IF($K3341="","","R"&amp;$K3341)</f>
        <v/>
      </c>
    </row>
    <row r="3342" customFormat="false" ht="15" hidden="false" customHeight="true" outlineLevel="0" collapsed="false">
      <c r="J3342" s="14" t="b">
        <f aca="false">IF(중복검사!$A3340="",FALSE(),중복검사!$H3340="중복")</f>
        <v>0</v>
      </c>
      <c r="K3342" s="5" t="str">
        <f aca="false">IF($J3342=FALSE(),"",COUNTIF($J$6:$J3342,TRUE()))</f>
        <v/>
      </c>
      <c r="L3342" s="5" t="str">
        <f aca="false">IF($K3342="","","R"&amp;$K3342)</f>
        <v/>
      </c>
    </row>
    <row r="3343" customFormat="false" ht="15" hidden="false" customHeight="true" outlineLevel="0" collapsed="false">
      <c r="J3343" s="14" t="b">
        <f aca="false">IF(중복검사!$A3341="",FALSE(),중복검사!$H3341="중복")</f>
        <v>0</v>
      </c>
      <c r="K3343" s="5" t="str">
        <f aca="false">IF($J3343=FALSE(),"",COUNTIF($J$6:$J3343,TRUE()))</f>
        <v/>
      </c>
      <c r="L3343" s="5" t="str">
        <f aca="false">IF($K3343="","","R"&amp;$K3343)</f>
        <v/>
      </c>
    </row>
    <row r="3344" customFormat="false" ht="15" hidden="false" customHeight="true" outlineLevel="0" collapsed="false">
      <c r="J3344" s="14" t="b">
        <f aca="false">IF(중복검사!$A3342="",FALSE(),중복검사!$H3342="중복")</f>
        <v>0</v>
      </c>
      <c r="K3344" s="5" t="str">
        <f aca="false">IF($J3344=FALSE(),"",COUNTIF($J$6:$J3344,TRUE()))</f>
        <v/>
      </c>
      <c r="L3344" s="5" t="str">
        <f aca="false">IF($K3344="","","R"&amp;$K3344)</f>
        <v/>
      </c>
    </row>
    <row r="3345" customFormat="false" ht="15" hidden="false" customHeight="true" outlineLevel="0" collapsed="false">
      <c r="J3345" s="14" t="b">
        <f aca="false">IF(중복검사!$A3343="",FALSE(),중복검사!$H3343="중복")</f>
        <v>0</v>
      </c>
      <c r="K3345" s="5" t="str">
        <f aca="false">IF($J3345=FALSE(),"",COUNTIF($J$6:$J3345,TRUE()))</f>
        <v/>
      </c>
      <c r="L3345" s="5" t="str">
        <f aca="false">IF($K3345="","","R"&amp;$K3345)</f>
        <v/>
      </c>
    </row>
    <row r="3346" customFormat="false" ht="15" hidden="false" customHeight="true" outlineLevel="0" collapsed="false">
      <c r="J3346" s="14" t="b">
        <f aca="false">IF(중복검사!$A3344="",FALSE(),중복검사!$H3344="중복")</f>
        <v>0</v>
      </c>
      <c r="K3346" s="5" t="str">
        <f aca="false">IF($J3346=FALSE(),"",COUNTIF($J$6:$J3346,TRUE()))</f>
        <v/>
      </c>
      <c r="L3346" s="5" t="str">
        <f aca="false">IF($K3346="","","R"&amp;$K3346)</f>
        <v/>
      </c>
    </row>
    <row r="3347" customFormat="false" ht="15" hidden="false" customHeight="true" outlineLevel="0" collapsed="false">
      <c r="J3347" s="14" t="b">
        <f aca="false">IF(중복검사!$A3345="",FALSE(),중복검사!$H3345="중복")</f>
        <v>0</v>
      </c>
      <c r="K3347" s="5" t="str">
        <f aca="false">IF($J3347=FALSE(),"",COUNTIF($J$6:$J3347,TRUE()))</f>
        <v/>
      </c>
      <c r="L3347" s="5" t="str">
        <f aca="false">IF($K3347="","","R"&amp;$K3347)</f>
        <v/>
      </c>
    </row>
    <row r="3348" customFormat="false" ht="15" hidden="false" customHeight="true" outlineLevel="0" collapsed="false">
      <c r="J3348" s="14" t="b">
        <f aca="false">IF(중복검사!$A3346="",FALSE(),중복검사!$H3346="중복")</f>
        <v>0</v>
      </c>
      <c r="K3348" s="5" t="str">
        <f aca="false">IF($J3348=FALSE(),"",COUNTIF($J$6:$J3348,TRUE()))</f>
        <v/>
      </c>
      <c r="L3348" s="5" t="str">
        <f aca="false">IF($K3348="","","R"&amp;$K3348)</f>
        <v/>
      </c>
    </row>
    <row r="3349" customFormat="false" ht="15" hidden="false" customHeight="true" outlineLevel="0" collapsed="false">
      <c r="J3349" s="14" t="b">
        <f aca="false">IF(중복검사!$A3347="",FALSE(),중복검사!$H3347="중복")</f>
        <v>0</v>
      </c>
      <c r="K3349" s="5" t="str">
        <f aca="false">IF($J3349=FALSE(),"",COUNTIF($J$6:$J3349,TRUE()))</f>
        <v/>
      </c>
      <c r="L3349" s="5" t="str">
        <f aca="false">IF($K3349="","","R"&amp;$K3349)</f>
        <v/>
      </c>
    </row>
    <row r="3350" customFormat="false" ht="15" hidden="false" customHeight="true" outlineLevel="0" collapsed="false">
      <c r="J3350" s="14" t="b">
        <f aca="false">IF(중복검사!$A3348="",FALSE(),중복검사!$H3348="중복")</f>
        <v>0</v>
      </c>
      <c r="K3350" s="5" t="str">
        <f aca="false">IF($J3350=FALSE(),"",COUNTIF($J$6:$J3350,TRUE()))</f>
        <v/>
      </c>
      <c r="L3350" s="5" t="str">
        <f aca="false">IF($K3350="","","R"&amp;$K3350)</f>
        <v/>
      </c>
    </row>
    <row r="3351" customFormat="false" ht="15" hidden="false" customHeight="true" outlineLevel="0" collapsed="false">
      <c r="J3351" s="14" t="b">
        <f aca="false">IF(중복검사!$A3349="",FALSE(),중복검사!$H3349="중복")</f>
        <v>0</v>
      </c>
      <c r="K3351" s="5" t="str">
        <f aca="false">IF($J3351=FALSE(),"",COUNTIF($J$6:$J3351,TRUE()))</f>
        <v/>
      </c>
      <c r="L3351" s="5" t="str">
        <f aca="false">IF($K3351="","","R"&amp;$K3351)</f>
        <v/>
      </c>
    </row>
    <row r="3352" customFormat="false" ht="15" hidden="false" customHeight="true" outlineLevel="0" collapsed="false">
      <c r="J3352" s="14" t="b">
        <f aca="false">IF(중복검사!$A3350="",FALSE(),중복검사!$H3350="중복")</f>
        <v>0</v>
      </c>
      <c r="K3352" s="5" t="str">
        <f aca="false">IF($J3352=FALSE(),"",COUNTIF($J$6:$J3352,TRUE()))</f>
        <v/>
      </c>
      <c r="L3352" s="5" t="str">
        <f aca="false">IF($K3352="","","R"&amp;$K3352)</f>
        <v/>
      </c>
    </row>
    <row r="3353" customFormat="false" ht="15" hidden="false" customHeight="true" outlineLevel="0" collapsed="false">
      <c r="J3353" s="14" t="b">
        <f aca="false">IF(중복검사!$A3351="",FALSE(),중복검사!$H3351="중복")</f>
        <v>0</v>
      </c>
      <c r="K3353" s="5" t="str">
        <f aca="false">IF($J3353=FALSE(),"",COUNTIF($J$6:$J3353,TRUE()))</f>
        <v/>
      </c>
      <c r="L3353" s="5" t="str">
        <f aca="false">IF($K3353="","","R"&amp;$K3353)</f>
        <v/>
      </c>
    </row>
    <row r="3354" customFormat="false" ht="15" hidden="false" customHeight="true" outlineLevel="0" collapsed="false">
      <c r="J3354" s="14" t="b">
        <f aca="false">IF(중복검사!$A3352="",FALSE(),중복검사!$H3352="중복")</f>
        <v>0</v>
      </c>
      <c r="K3354" s="5" t="str">
        <f aca="false">IF($J3354=FALSE(),"",COUNTIF($J$6:$J3354,TRUE()))</f>
        <v/>
      </c>
      <c r="L3354" s="5" t="str">
        <f aca="false">IF($K3354="","","R"&amp;$K3354)</f>
        <v/>
      </c>
    </row>
    <row r="3355" customFormat="false" ht="15" hidden="false" customHeight="true" outlineLevel="0" collapsed="false">
      <c r="J3355" s="14" t="b">
        <f aca="false">IF(중복검사!$A3353="",FALSE(),중복검사!$H3353="중복")</f>
        <v>0</v>
      </c>
      <c r="K3355" s="5" t="str">
        <f aca="false">IF($J3355=FALSE(),"",COUNTIF($J$6:$J3355,TRUE()))</f>
        <v/>
      </c>
      <c r="L3355" s="5" t="str">
        <f aca="false">IF($K3355="","","R"&amp;$K3355)</f>
        <v/>
      </c>
    </row>
    <row r="3356" customFormat="false" ht="15" hidden="false" customHeight="true" outlineLevel="0" collapsed="false">
      <c r="J3356" s="14" t="b">
        <f aca="false">IF(중복검사!$A3354="",FALSE(),중복검사!$H3354="중복")</f>
        <v>0</v>
      </c>
      <c r="K3356" s="5" t="str">
        <f aca="false">IF($J3356=FALSE(),"",COUNTIF($J$6:$J3356,TRUE()))</f>
        <v/>
      </c>
      <c r="L3356" s="5" t="str">
        <f aca="false">IF($K3356="","","R"&amp;$K3356)</f>
        <v/>
      </c>
    </row>
    <row r="3357" customFormat="false" ht="15" hidden="false" customHeight="true" outlineLevel="0" collapsed="false">
      <c r="J3357" s="14" t="b">
        <f aca="false">IF(중복검사!$A3355="",FALSE(),중복검사!$H3355="중복")</f>
        <v>0</v>
      </c>
      <c r="K3357" s="5" t="str">
        <f aca="false">IF($J3357=FALSE(),"",COUNTIF($J$6:$J3357,TRUE()))</f>
        <v/>
      </c>
      <c r="L3357" s="5" t="str">
        <f aca="false">IF($K3357="","","R"&amp;$K3357)</f>
        <v/>
      </c>
    </row>
    <row r="3358" customFormat="false" ht="15" hidden="false" customHeight="true" outlineLevel="0" collapsed="false">
      <c r="J3358" s="14" t="b">
        <f aca="false">IF(중복검사!$A3356="",FALSE(),중복검사!$H3356="중복")</f>
        <v>0</v>
      </c>
      <c r="K3358" s="5" t="str">
        <f aca="false">IF($J3358=FALSE(),"",COUNTIF($J$6:$J3358,TRUE()))</f>
        <v/>
      </c>
      <c r="L3358" s="5" t="str">
        <f aca="false">IF($K3358="","","R"&amp;$K3358)</f>
        <v/>
      </c>
    </row>
    <row r="3359" customFormat="false" ht="15" hidden="false" customHeight="true" outlineLevel="0" collapsed="false">
      <c r="J3359" s="14" t="b">
        <f aca="false">IF(중복검사!$A3357="",FALSE(),중복검사!$H3357="중복")</f>
        <v>0</v>
      </c>
      <c r="K3359" s="5" t="str">
        <f aca="false">IF($J3359=FALSE(),"",COUNTIF($J$6:$J3359,TRUE()))</f>
        <v/>
      </c>
      <c r="L3359" s="5" t="str">
        <f aca="false">IF($K3359="","","R"&amp;$K3359)</f>
        <v/>
      </c>
    </row>
    <row r="3360" customFormat="false" ht="15" hidden="false" customHeight="true" outlineLevel="0" collapsed="false">
      <c r="J3360" s="14" t="b">
        <f aca="false">IF(중복검사!$A3358="",FALSE(),중복검사!$H3358="중복")</f>
        <v>0</v>
      </c>
      <c r="K3360" s="5" t="str">
        <f aca="false">IF($J3360=FALSE(),"",COUNTIF($J$6:$J3360,TRUE()))</f>
        <v/>
      </c>
      <c r="L3360" s="5" t="str">
        <f aca="false">IF($K3360="","","R"&amp;$K3360)</f>
        <v/>
      </c>
    </row>
    <row r="3361" customFormat="false" ht="15" hidden="false" customHeight="true" outlineLevel="0" collapsed="false">
      <c r="J3361" s="14" t="b">
        <f aca="false">IF(중복검사!$A3359="",FALSE(),중복검사!$H3359="중복")</f>
        <v>0</v>
      </c>
      <c r="K3361" s="5" t="str">
        <f aca="false">IF($J3361=FALSE(),"",COUNTIF($J$6:$J3361,TRUE()))</f>
        <v/>
      </c>
      <c r="L3361" s="5" t="str">
        <f aca="false">IF($K3361="","","R"&amp;$K3361)</f>
        <v/>
      </c>
    </row>
    <row r="3362" customFormat="false" ht="15" hidden="false" customHeight="true" outlineLevel="0" collapsed="false">
      <c r="J3362" s="14" t="b">
        <f aca="false">IF(중복검사!$A3360="",FALSE(),중복검사!$H3360="중복")</f>
        <v>0</v>
      </c>
      <c r="K3362" s="5" t="str">
        <f aca="false">IF($J3362=FALSE(),"",COUNTIF($J$6:$J3362,TRUE()))</f>
        <v/>
      </c>
      <c r="L3362" s="5" t="str">
        <f aca="false">IF($K3362="","","R"&amp;$K3362)</f>
        <v/>
      </c>
    </row>
    <row r="3363" customFormat="false" ht="15" hidden="false" customHeight="true" outlineLevel="0" collapsed="false">
      <c r="J3363" s="14" t="b">
        <f aca="false">IF(중복검사!$A3361="",FALSE(),중복검사!$H3361="중복")</f>
        <v>0</v>
      </c>
      <c r="K3363" s="5" t="str">
        <f aca="false">IF($J3363=FALSE(),"",COUNTIF($J$6:$J3363,TRUE()))</f>
        <v/>
      </c>
      <c r="L3363" s="5" t="str">
        <f aca="false">IF($K3363="","","R"&amp;$K3363)</f>
        <v/>
      </c>
    </row>
    <row r="3364" customFormat="false" ht="15" hidden="false" customHeight="true" outlineLevel="0" collapsed="false">
      <c r="J3364" s="14" t="b">
        <f aca="false">IF(중복검사!$A3362="",FALSE(),중복검사!$H3362="중복")</f>
        <v>0</v>
      </c>
      <c r="K3364" s="5" t="str">
        <f aca="false">IF($J3364=FALSE(),"",COUNTIF($J$6:$J3364,TRUE()))</f>
        <v/>
      </c>
      <c r="L3364" s="5" t="str">
        <f aca="false">IF($K3364="","","R"&amp;$K3364)</f>
        <v/>
      </c>
    </row>
    <row r="3365" customFormat="false" ht="15" hidden="false" customHeight="true" outlineLevel="0" collapsed="false">
      <c r="J3365" s="14" t="b">
        <f aca="false">IF(중복검사!$A3363="",FALSE(),중복검사!$H3363="중복")</f>
        <v>0</v>
      </c>
      <c r="K3365" s="5" t="str">
        <f aca="false">IF($J3365=FALSE(),"",COUNTIF($J$6:$J3365,TRUE()))</f>
        <v/>
      </c>
      <c r="L3365" s="5" t="str">
        <f aca="false">IF($K3365="","","R"&amp;$K3365)</f>
        <v/>
      </c>
    </row>
    <row r="3366" customFormat="false" ht="15" hidden="false" customHeight="true" outlineLevel="0" collapsed="false">
      <c r="J3366" s="14" t="b">
        <f aca="false">IF(중복검사!$A3364="",FALSE(),중복검사!$H3364="중복")</f>
        <v>0</v>
      </c>
      <c r="K3366" s="5" t="str">
        <f aca="false">IF($J3366=FALSE(),"",COUNTIF($J$6:$J3366,TRUE()))</f>
        <v/>
      </c>
      <c r="L3366" s="5" t="str">
        <f aca="false">IF($K3366="","","R"&amp;$K3366)</f>
        <v/>
      </c>
    </row>
    <row r="3367" customFormat="false" ht="15" hidden="false" customHeight="true" outlineLevel="0" collapsed="false">
      <c r="J3367" s="14" t="b">
        <f aca="false">IF(중복검사!$A3365="",FALSE(),중복검사!$H3365="중복")</f>
        <v>0</v>
      </c>
      <c r="K3367" s="5" t="str">
        <f aca="false">IF($J3367=FALSE(),"",COUNTIF($J$6:$J3367,TRUE()))</f>
        <v/>
      </c>
      <c r="L3367" s="5" t="str">
        <f aca="false">IF($K3367="","","R"&amp;$K3367)</f>
        <v/>
      </c>
    </row>
    <row r="3368" customFormat="false" ht="15" hidden="false" customHeight="true" outlineLevel="0" collapsed="false">
      <c r="J3368" s="14" t="b">
        <f aca="false">IF(중복검사!$A3366="",FALSE(),중복검사!$H3366="중복")</f>
        <v>0</v>
      </c>
      <c r="K3368" s="5" t="str">
        <f aca="false">IF($J3368=FALSE(),"",COUNTIF($J$6:$J3368,TRUE()))</f>
        <v/>
      </c>
      <c r="L3368" s="5" t="str">
        <f aca="false">IF($K3368="","","R"&amp;$K3368)</f>
        <v/>
      </c>
    </row>
    <row r="3369" customFormat="false" ht="15" hidden="false" customHeight="true" outlineLevel="0" collapsed="false">
      <c r="J3369" s="14" t="b">
        <f aca="false">IF(중복검사!$A3367="",FALSE(),중복검사!$H3367="중복")</f>
        <v>0</v>
      </c>
      <c r="K3369" s="5" t="str">
        <f aca="false">IF($J3369=FALSE(),"",COUNTIF($J$6:$J3369,TRUE()))</f>
        <v/>
      </c>
      <c r="L3369" s="5" t="str">
        <f aca="false">IF($K3369="","","R"&amp;$K3369)</f>
        <v/>
      </c>
    </row>
    <row r="3370" customFormat="false" ht="15" hidden="false" customHeight="true" outlineLevel="0" collapsed="false">
      <c r="J3370" s="14" t="b">
        <f aca="false">IF(중복검사!$A3368="",FALSE(),중복검사!$H3368="중복")</f>
        <v>0</v>
      </c>
      <c r="K3370" s="5" t="str">
        <f aca="false">IF($J3370=FALSE(),"",COUNTIF($J$6:$J3370,TRUE()))</f>
        <v/>
      </c>
      <c r="L3370" s="5" t="str">
        <f aca="false">IF($K3370="","","R"&amp;$K3370)</f>
        <v/>
      </c>
    </row>
    <row r="3371" customFormat="false" ht="15" hidden="false" customHeight="true" outlineLevel="0" collapsed="false">
      <c r="J3371" s="14" t="b">
        <f aca="false">IF(중복검사!$A3369="",FALSE(),중복검사!$H3369="중복")</f>
        <v>0</v>
      </c>
      <c r="K3371" s="5" t="str">
        <f aca="false">IF($J3371=FALSE(),"",COUNTIF($J$6:$J3371,TRUE()))</f>
        <v/>
      </c>
      <c r="L3371" s="5" t="str">
        <f aca="false">IF($K3371="","","R"&amp;$K3371)</f>
        <v/>
      </c>
    </row>
    <row r="3372" customFormat="false" ht="15" hidden="false" customHeight="true" outlineLevel="0" collapsed="false">
      <c r="J3372" s="14" t="b">
        <f aca="false">IF(중복검사!$A3370="",FALSE(),중복검사!$H3370="중복")</f>
        <v>0</v>
      </c>
      <c r="K3372" s="5" t="str">
        <f aca="false">IF($J3372=FALSE(),"",COUNTIF($J$6:$J3372,TRUE()))</f>
        <v/>
      </c>
      <c r="L3372" s="5" t="str">
        <f aca="false">IF($K3372="","","R"&amp;$K3372)</f>
        <v/>
      </c>
    </row>
    <row r="3373" customFormat="false" ht="15" hidden="false" customHeight="true" outlineLevel="0" collapsed="false">
      <c r="J3373" s="14" t="b">
        <f aca="false">IF(중복검사!$A3371="",FALSE(),중복검사!$H3371="중복")</f>
        <v>0</v>
      </c>
      <c r="K3373" s="5" t="str">
        <f aca="false">IF($J3373=FALSE(),"",COUNTIF($J$6:$J3373,TRUE()))</f>
        <v/>
      </c>
      <c r="L3373" s="5" t="str">
        <f aca="false">IF($K3373="","","R"&amp;$K3373)</f>
        <v/>
      </c>
    </row>
    <row r="3374" customFormat="false" ht="15" hidden="false" customHeight="true" outlineLevel="0" collapsed="false">
      <c r="J3374" s="14" t="b">
        <f aca="false">IF(중복검사!$A3372="",FALSE(),중복검사!$H3372="중복")</f>
        <v>0</v>
      </c>
      <c r="K3374" s="5" t="str">
        <f aca="false">IF($J3374=FALSE(),"",COUNTIF($J$6:$J3374,TRUE()))</f>
        <v/>
      </c>
      <c r="L3374" s="5" t="str">
        <f aca="false">IF($K3374="","","R"&amp;$K3374)</f>
        <v/>
      </c>
    </row>
    <row r="3375" customFormat="false" ht="15" hidden="false" customHeight="true" outlineLevel="0" collapsed="false">
      <c r="J3375" s="14" t="b">
        <f aca="false">IF(중복검사!$A3373="",FALSE(),중복검사!$H3373="중복")</f>
        <v>0</v>
      </c>
      <c r="K3375" s="5" t="str">
        <f aca="false">IF($J3375=FALSE(),"",COUNTIF($J$6:$J3375,TRUE()))</f>
        <v/>
      </c>
      <c r="L3375" s="5" t="str">
        <f aca="false">IF($K3375="","","R"&amp;$K3375)</f>
        <v/>
      </c>
    </row>
    <row r="3376" customFormat="false" ht="15" hidden="false" customHeight="true" outlineLevel="0" collapsed="false">
      <c r="J3376" s="14" t="b">
        <f aca="false">IF(중복검사!$A3374="",FALSE(),중복검사!$H3374="중복")</f>
        <v>0</v>
      </c>
      <c r="K3376" s="5" t="str">
        <f aca="false">IF($J3376=FALSE(),"",COUNTIF($J$6:$J3376,TRUE()))</f>
        <v/>
      </c>
      <c r="L3376" s="5" t="str">
        <f aca="false">IF($K3376="","","R"&amp;$K3376)</f>
        <v/>
      </c>
    </row>
    <row r="3377" customFormat="false" ht="15" hidden="false" customHeight="true" outlineLevel="0" collapsed="false">
      <c r="J3377" s="14" t="b">
        <f aca="false">IF(중복검사!$A3375="",FALSE(),중복검사!$H3375="중복")</f>
        <v>0</v>
      </c>
      <c r="K3377" s="5" t="str">
        <f aca="false">IF($J3377=FALSE(),"",COUNTIF($J$6:$J3377,TRUE()))</f>
        <v/>
      </c>
      <c r="L3377" s="5" t="str">
        <f aca="false">IF($K3377="","","R"&amp;$K3377)</f>
        <v/>
      </c>
    </row>
    <row r="3378" customFormat="false" ht="15" hidden="false" customHeight="true" outlineLevel="0" collapsed="false">
      <c r="J3378" s="14" t="b">
        <f aca="false">IF(중복검사!$A3376="",FALSE(),중복검사!$H3376="중복")</f>
        <v>0</v>
      </c>
      <c r="K3378" s="5" t="str">
        <f aca="false">IF($J3378=FALSE(),"",COUNTIF($J$6:$J3378,TRUE()))</f>
        <v/>
      </c>
      <c r="L3378" s="5" t="str">
        <f aca="false">IF($K3378="","","R"&amp;$K3378)</f>
        <v/>
      </c>
    </row>
    <row r="3379" customFormat="false" ht="15" hidden="false" customHeight="true" outlineLevel="0" collapsed="false">
      <c r="J3379" s="14" t="b">
        <f aca="false">IF(중복검사!$A3377="",FALSE(),중복검사!$H3377="중복")</f>
        <v>0</v>
      </c>
      <c r="K3379" s="5" t="str">
        <f aca="false">IF($J3379=FALSE(),"",COUNTIF($J$6:$J3379,TRUE()))</f>
        <v/>
      </c>
      <c r="L3379" s="5" t="str">
        <f aca="false">IF($K3379="","","R"&amp;$K3379)</f>
        <v/>
      </c>
    </row>
    <row r="3380" customFormat="false" ht="15" hidden="false" customHeight="true" outlineLevel="0" collapsed="false">
      <c r="J3380" s="14" t="b">
        <f aca="false">IF(중복검사!$A3378="",FALSE(),중복검사!$H3378="중복")</f>
        <v>0</v>
      </c>
      <c r="K3380" s="5" t="str">
        <f aca="false">IF($J3380=FALSE(),"",COUNTIF($J$6:$J3380,TRUE()))</f>
        <v/>
      </c>
      <c r="L3380" s="5" t="str">
        <f aca="false">IF($K3380="","","R"&amp;$K3380)</f>
        <v/>
      </c>
    </row>
    <row r="3381" customFormat="false" ht="15" hidden="false" customHeight="true" outlineLevel="0" collapsed="false">
      <c r="J3381" s="14" t="b">
        <f aca="false">IF(중복검사!$A3379="",FALSE(),중복검사!$H3379="중복")</f>
        <v>0</v>
      </c>
      <c r="K3381" s="5" t="str">
        <f aca="false">IF($J3381=FALSE(),"",COUNTIF($J$6:$J3381,TRUE()))</f>
        <v/>
      </c>
      <c r="L3381" s="5" t="str">
        <f aca="false">IF($K3381="","","R"&amp;$K3381)</f>
        <v/>
      </c>
    </row>
    <row r="3382" customFormat="false" ht="15" hidden="false" customHeight="true" outlineLevel="0" collapsed="false">
      <c r="J3382" s="14" t="b">
        <f aca="false">IF(중복검사!$A3380="",FALSE(),중복검사!$H3380="중복")</f>
        <v>0</v>
      </c>
      <c r="K3382" s="5" t="str">
        <f aca="false">IF($J3382=FALSE(),"",COUNTIF($J$6:$J3382,TRUE()))</f>
        <v/>
      </c>
      <c r="L3382" s="5" t="str">
        <f aca="false">IF($K3382="","","R"&amp;$K3382)</f>
        <v/>
      </c>
    </row>
    <row r="3383" customFormat="false" ht="15" hidden="false" customHeight="true" outlineLevel="0" collapsed="false">
      <c r="J3383" s="14" t="b">
        <f aca="false">IF(중복검사!$A3381="",FALSE(),중복검사!$H3381="중복")</f>
        <v>0</v>
      </c>
      <c r="K3383" s="5" t="str">
        <f aca="false">IF($J3383=FALSE(),"",COUNTIF($J$6:$J3383,TRUE()))</f>
        <v/>
      </c>
      <c r="L3383" s="5" t="str">
        <f aca="false">IF($K3383="","","R"&amp;$K3383)</f>
        <v/>
      </c>
    </row>
    <row r="3384" customFormat="false" ht="15" hidden="false" customHeight="true" outlineLevel="0" collapsed="false">
      <c r="J3384" s="14" t="b">
        <f aca="false">IF(중복검사!$A3382="",FALSE(),중복검사!$H3382="중복")</f>
        <v>0</v>
      </c>
      <c r="K3384" s="5" t="str">
        <f aca="false">IF($J3384=FALSE(),"",COUNTIF($J$6:$J3384,TRUE()))</f>
        <v/>
      </c>
      <c r="L3384" s="5" t="str">
        <f aca="false">IF($K3384="","","R"&amp;$K3384)</f>
        <v/>
      </c>
    </row>
    <row r="3385" customFormat="false" ht="15" hidden="false" customHeight="true" outlineLevel="0" collapsed="false">
      <c r="J3385" s="14" t="b">
        <f aca="false">IF(중복검사!$A3383="",FALSE(),중복검사!$H3383="중복")</f>
        <v>0</v>
      </c>
      <c r="K3385" s="5" t="str">
        <f aca="false">IF($J3385=FALSE(),"",COUNTIF($J$6:$J3385,TRUE()))</f>
        <v/>
      </c>
      <c r="L3385" s="5" t="str">
        <f aca="false">IF($K3385="","","R"&amp;$K3385)</f>
        <v/>
      </c>
    </row>
    <row r="3386" customFormat="false" ht="15" hidden="false" customHeight="true" outlineLevel="0" collapsed="false">
      <c r="J3386" s="14" t="b">
        <f aca="false">IF(중복검사!$A3384="",FALSE(),중복검사!$H3384="중복")</f>
        <v>0</v>
      </c>
      <c r="K3386" s="5" t="str">
        <f aca="false">IF($J3386=FALSE(),"",COUNTIF($J$6:$J3386,TRUE()))</f>
        <v/>
      </c>
      <c r="L3386" s="5" t="str">
        <f aca="false">IF($K3386="","","R"&amp;$K3386)</f>
        <v/>
      </c>
    </row>
    <row r="3387" customFormat="false" ht="15" hidden="false" customHeight="true" outlineLevel="0" collapsed="false">
      <c r="J3387" s="14" t="b">
        <f aca="false">IF(중복검사!$A3385="",FALSE(),중복검사!$H3385="중복")</f>
        <v>0</v>
      </c>
      <c r="K3387" s="5" t="str">
        <f aca="false">IF($J3387=FALSE(),"",COUNTIF($J$6:$J3387,TRUE()))</f>
        <v/>
      </c>
      <c r="L3387" s="5" t="str">
        <f aca="false">IF($K3387="","","R"&amp;$K3387)</f>
        <v/>
      </c>
    </row>
    <row r="3388" customFormat="false" ht="15" hidden="false" customHeight="true" outlineLevel="0" collapsed="false">
      <c r="J3388" s="14" t="b">
        <f aca="false">IF(중복검사!$A3386="",FALSE(),중복검사!$H3386="중복")</f>
        <v>0</v>
      </c>
      <c r="K3388" s="5" t="str">
        <f aca="false">IF($J3388=FALSE(),"",COUNTIF($J$6:$J3388,TRUE()))</f>
        <v/>
      </c>
      <c r="L3388" s="5" t="str">
        <f aca="false">IF($K3388="","","R"&amp;$K3388)</f>
        <v/>
      </c>
    </row>
    <row r="3389" customFormat="false" ht="15" hidden="false" customHeight="true" outlineLevel="0" collapsed="false">
      <c r="J3389" s="14" t="b">
        <f aca="false">IF(중복검사!$A3387="",FALSE(),중복검사!$H3387="중복")</f>
        <v>0</v>
      </c>
      <c r="K3389" s="5" t="str">
        <f aca="false">IF($J3389=FALSE(),"",COUNTIF($J$6:$J3389,TRUE()))</f>
        <v/>
      </c>
      <c r="L3389" s="5" t="str">
        <f aca="false">IF($K3389="","","R"&amp;$K3389)</f>
        <v/>
      </c>
    </row>
    <row r="3390" customFormat="false" ht="15" hidden="false" customHeight="true" outlineLevel="0" collapsed="false">
      <c r="J3390" s="14" t="b">
        <f aca="false">IF(중복검사!$A3388="",FALSE(),중복검사!$H3388="중복")</f>
        <v>0</v>
      </c>
      <c r="K3390" s="5" t="str">
        <f aca="false">IF($J3390=FALSE(),"",COUNTIF($J$6:$J3390,TRUE()))</f>
        <v/>
      </c>
      <c r="L3390" s="5" t="str">
        <f aca="false">IF($K3390="","","R"&amp;$K3390)</f>
        <v/>
      </c>
    </row>
    <row r="3391" customFormat="false" ht="15" hidden="false" customHeight="true" outlineLevel="0" collapsed="false">
      <c r="J3391" s="14" t="b">
        <f aca="false">IF(중복검사!$A3389="",FALSE(),중복검사!$H3389="중복")</f>
        <v>0</v>
      </c>
      <c r="K3391" s="5" t="str">
        <f aca="false">IF($J3391=FALSE(),"",COUNTIF($J$6:$J3391,TRUE()))</f>
        <v/>
      </c>
      <c r="L3391" s="5" t="str">
        <f aca="false">IF($K3391="","","R"&amp;$K3391)</f>
        <v/>
      </c>
    </row>
    <row r="3392" customFormat="false" ht="15" hidden="false" customHeight="true" outlineLevel="0" collapsed="false">
      <c r="J3392" s="14" t="b">
        <f aca="false">IF(중복검사!$A3390="",FALSE(),중복검사!$H3390="중복")</f>
        <v>0</v>
      </c>
      <c r="K3392" s="5" t="str">
        <f aca="false">IF($J3392=FALSE(),"",COUNTIF($J$6:$J3392,TRUE()))</f>
        <v/>
      </c>
      <c r="L3392" s="5" t="str">
        <f aca="false">IF($K3392="","","R"&amp;$K3392)</f>
        <v/>
      </c>
    </row>
    <row r="3393" customFormat="false" ht="15" hidden="false" customHeight="true" outlineLevel="0" collapsed="false">
      <c r="J3393" s="14" t="b">
        <f aca="false">IF(중복검사!$A3391="",FALSE(),중복검사!$H3391="중복")</f>
        <v>0</v>
      </c>
      <c r="K3393" s="5" t="str">
        <f aca="false">IF($J3393=FALSE(),"",COUNTIF($J$6:$J3393,TRUE()))</f>
        <v/>
      </c>
      <c r="L3393" s="5" t="str">
        <f aca="false">IF($K3393="","","R"&amp;$K3393)</f>
        <v/>
      </c>
    </row>
    <row r="3394" customFormat="false" ht="15" hidden="false" customHeight="true" outlineLevel="0" collapsed="false">
      <c r="J3394" s="14" t="b">
        <f aca="false">IF(중복검사!$A3392="",FALSE(),중복검사!$H3392="중복")</f>
        <v>0</v>
      </c>
      <c r="K3394" s="5" t="str">
        <f aca="false">IF($J3394=FALSE(),"",COUNTIF($J$6:$J3394,TRUE()))</f>
        <v/>
      </c>
      <c r="L3394" s="5" t="str">
        <f aca="false">IF($K3394="","","R"&amp;$K3394)</f>
        <v/>
      </c>
    </row>
    <row r="3395" customFormat="false" ht="15" hidden="false" customHeight="true" outlineLevel="0" collapsed="false">
      <c r="J3395" s="14" t="b">
        <f aca="false">IF(중복검사!$A3393="",FALSE(),중복검사!$H3393="중복")</f>
        <v>0</v>
      </c>
      <c r="K3395" s="5" t="str">
        <f aca="false">IF($J3395=FALSE(),"",COUNTIF($J$6:$J3395,TRUE()))</f>
        <v/>
      </c>
      <c r="L3395" s="5" t="str">
        <f aca="false">IF($K3395="","","R"&amp;$K3395)</f>
        <v/>
      </c>
    </row>
    <row r="3396" customFormat="false" ht="15" hidden="false" customHeight="true" outlineLevel="0" collapsed="false">
      <c r="J3396" s="14" t="b">
        <f aca="false">IF(중복검사!$A3394="",FALSE(),중복검사!$H3394="중복")</f>
        <v>0</v>
      </c>
      <c r="K3396" s="5" t="str">
        <f aca="false">IF($J3396=FALSE(),"",COUNTIF($J$6:$J3396,TRUE()))</f>
        <v/>
      </c>
      <c r="L3396" s="5" t="str">
        <f aca="false">IF($K3396="","","R"&amp;$K3396)</f>
        <v/>
      </c>
    </row>
    <row r="3397" customFormat="false" ht="15" hidden="false" customHeight="true" outlineLevel="0" collapsed="false">
      <c r="J3397" s="14" t="b">
        <f aca="false">IF(중복검사!$A3395="",FALSE(),중복검사!$H3395="중복")</f>
        <v>0</v>
      </c>
      <c r="K3397" s="5" t="str">
        <f aca="false">IF($J3397=FALSE(),"",COUNTIF($J$6:$J3397,TRUE()))</f>
        <v/>
      </c>
      <c r="L3397" s="5" t="str">
        <f aca="false">IF($K3397="","","R"&amp;$K3397)</f>
        <v/>
      </c>
    </row>
    <row r="3398" customFormat="false" ht="15" hidden="false" customHeight="true" outlineLevel="0" collapsed="false">
      <c r="J3398" s="14" t="b">
        <f aca="false">IF(중복검사!$A3396="",FALSE(),중복검사!$H3396="중복")</f>
        <v>0</v>
      </c>
      <c r="K3398" s="5" t="str">
        <f aca="false">IF($J3398=FALSE(),"",COUNTIF($J$6:$J3398,TRUE()))</f>
        <v/>
      </c>
      <c r="L3398" s="5" t="str">
        <f aca="false">IF($K3398="","","R"&amp;$K3398)</f>
        <v/>
      </c>
    </row>
    <row r="3399" customFormat="false" ht="15" hidden="false" customHeight="true" outlineLevel="0" collapsed="false">
      <c r="J3399" s="14" t="b">
        <f aca="false">IF(중복검사!$A3397="",FALSE(),중복검사!$H3397="중복")</f>
        <v>0</v>
      </c>
      <c r="K3399" s="5" t="str">
        <f aca="false">IF($J3399=FALSE(),"",COUNTIF($J$6:$J3399,TRUE()))</f>
        <v/>
      </c>
      <c r="L3399" s="5" t="str">
        <f aca="false">IF($K3399="","","R"&amp;$K3399)</f>
        <v/>
      </c>
    </row>
    <row r="3400" customFormat="false" ht="15" hidden="false" customHeight="true" outlineLevel="0" collapsed="false">
      <c r="J3400" s="14" t="b">
        <f aca="false">IF(중복검사!$A3398="",FALSE(),중복검사!$H3398="중복")</f>
        <v>0</v>
      </c>
      <c r="K3400" s="5" t="str">
        <f aca="false">IF($J3400=FALSE(),"",COUNTIF($J$6:$J3400,TRUE()))</f>
        <v/>
      </c>
      <c r="L3400" s="5" t="str">
        <f aca="false">IF($K3400="","","R"&amp;$K3400)</f>
        <v/>
      </c>
    </row>
    <row r="3401" customFormat="false" ht="15" hidden="false" customHeight="true" outlineLevel="0" collapsed="false">
      <c r="J3401" s="14" t="b">
        <f aca="false">IF(중복검사!$A3399="",FALSE(),중복검사!$H3399="중복")</f>
        <v>0</v>
      </c>
      <c r="K3401" s="5" t="str">
        <f aca="false">IF($J3401=FALSE(),"",COUNTIF($J$6:$J3401,TRUE()))</f>
        <v/>
      </c>
      <c r="L3401" s="5" t="str">
        <f aca="false">IF($K3401="","","R"&amp;$K3401)</f>
        <v/>
      </c>
    </row>
    <row r="3402" customFormat="false" ht="15" hidden="false" customHeight="true" outlineLevel="0" collapsed="false">
      <c r="J3402" s="14" t="b">
        <f aca="false">IF(중복검사!$A3400="",FALSE(),중복검사!$H3400="중복")</f>
        <v>0</v>
      </c>
      <c r="K3402" s="5" t="str">
        <f aca="false">IF($J3402=FALSE(),"",COUNTIF($J$6:$J3402,TRUE()))</f>
        <v/>
      </c>
      <c r="L3402" s="5" t="str">
        <f aca="false">IF($K3402="","","R"&amp;$K3402)</f>
        <v/>
      </c>
    </row>
    <row r="3403" customFormat="false" ht="15" hidden="false" customHeight="true" outlineLevel="0" collapsed="false">
      <c r="J3403" s="14" t="b">
        <f aca="false">IF(중복검사!$A3401="",FALSE(),중복검사!$H3401="중복")</f>
        <v>0</v>
      </c>
      <c r="K3403" s="5" t="str">
        <f aca="false">IF($J3403=FALSE(),"",COUNTIF($J$6:$J3403,TRUE()))</f>
        <v/>
      </c>
      <c r="L3403" s="5" t="str">
        <f aca="false">IF($K3403="","","R"&amp;$K3403)</f>
        <v/>
      </c>
    </row>
    <row r="3404" customFormat="false" ht="15" hidden="false" customHeight="true" outlineLevel="0" collapsed="false">
      <c r="J3404" s="14" t="b">
        <f aca="false">IF(중복검사!$A3402="",FALSE(),중복검사!$H3402="중복")</f>
        <v>0</v>
      </c>
      <c r="K3404" s="5" t="str">
        <f aca="false">IF($J3404=FALSE(),"",COUNTIF($J$6:$J3404,TRUE()))</f>
        <v/>
      </c>
      <c r="L3404" s="5" t="str">
        <f aca="false">IF($K3404="","","R"&amp;$K3404)</f>
        <v/>
      </c>
    </row>
    <row r="3405" customFormat="false" ht="15" hidden="false" customHeight="true" outlineLevel="0" collapsed="false">
      <c r="J3405" s="14" t="b">
        <f aca="false">IF(중복검사!$A3403="",FALSE(),중복검사!$H3403="중복")</f>
        <v>0</v>
      </c>
      <c r="K3405" s="5" t="str">
        <f aca="false">IF($J3405=FALSE(),"",COUNTIF($J$6:$J3405,TRUE()))</f>
        <v/>
      </c>
      <c r="L3405" s="5" t="str">
        <f aca="false">IF($K3405="","","R"&amp;$K3405)</f>
        <v/>
      </c>
    </row>
    <row r="3406" customFormat="false" ht="15" hidden="false" customHeight="true" outlineLevel="0" collapsed="false">
      <c r="J3406" s="14" t="b">
        <f aca="false">IF(중복검사!$A3404="",FALSE(),중복검사!$H3404="중복")</f>
        <v>0</v>
      </c>
      <c r="K3406" s="5" t="str">
        <f aca="false">IF($J3406=FALSE(),"",COUNTIF($J$6:$J3406,TRUE()))</f>
        <v/>
      </c>
      <c r="L3406" s="5" t="str">
        <f aca="false">IF($K3406="","","R"&amp;$K3406)</f>
        <v/>
      </c>
    </row>
    <row r="3407" customFormat="false" ht="15" hidden="false" customHeight="true" outlineLevel="0" collapsed="false">
      <c r="J3407" s="14" t="b">
        <f aca="false">IF(중복검사!$A3405="",FALSE(),중복검사!$H3405="중복")</f>
        <v>0</v>
      </c>
      <c r="K3407" s="5" t="str">
        <f aca="false">IF($J3407=FALSE(),"",COUNTIF($J$6:$J3407,TRUE()))</f>
        <v/>
      </c>
      <c r="L3407" s="5" t="str">
        <f aca="false">IF($K3407="","","R"&amp;$K3407)</f>
        <v/>
      </c>
    </row>
    <row r="3408" customFormat="false" ht="15" hidden="false" customHeight="true" outlineLevel="0" collapsed="false">
      <c r="J3408" s="14" t="b">
        <f aca="false">IF(중복검사!$A3406="",FALSE(),중복검사!$H3406="중복")</f>
        <v>0</v>
      </c>
      <c r="K3408" s="5" t="str">
        <f aca="false">IF($J3408=FALSE(),"",COUNTIF($J$6:$J3408,TRUE()))</f>
        <v/>
      </c>
      <c r="L3408" s="5" t="str">
        <f aca="false">IF($K3408="","","R"&amp;$K3408)</f>
        <v/>
      </c>
    </row>
    <row r="3409" customFormat="false" ht="15" hidden="false" customHeight="true" outlineLevel="0" collapsed="false">
      <c r="J3409" s="14" t="b">
        <f aca="false">IF(중복검사!$A3407="",FALSE(),중복검사!$H3407="중복")</f>
        <v>0</v>
      </c>
      <c r="K3409" s="5" t="str">
        <f aca="false">IF($J3409=FALSE(),"",COUNTIF($J$6:$J3409,TRUE()))</f>
        <v/>
      </c>
      <c r="L3409" s="5" t="str">
        <f aca="false">IF($K3409="","","R"&amp;$K3409)</f>
        <v/>
      </c>
    </row>
    <row r="3410" customFormat="false" ht="15" hidden="false" customHeight="true" outlineLevel="0" collapsed="false">
      <c r="J3410" s="14" t="b">
        <f aca="false">IF(중복검사!$A3408="",FALSE(),중복검사!$H3408="중복")</f>
        <v>0</v>
      </c>
      <c r="K3410" s="5" t="str">
        <f aca="false">IF($J3410=FALSE(),"",COUNTIF($J$6:$J3410,TRUE()))</f>
        <v/>
      </c>
      <c r="L3410" s="5" t="str">
        <f aca="false">IF($K3410="","","R"&amp;$K3410)</f>
        <v/>
      </c>
    </row>
    <row r="3411" customFormat="false" ht="15" hidden="false" customHeight="true" outlineLevel="0" collapsed="false">
      <c r="J3411" s="14" t="b">
        <f aca="false">IF(중복검사!$A3409="",FALSE(),중복검사!$H3409="중복")</f>
        <v>0</v>
      </c>
      <c r="K3411" s="5" t="str">
        <f aca="false">IF($J3411=FALSE(),"",COUNTIF($J$6:$J3411,TRUE()))</f>
        <v/>
      </c>
      <c r="L3411" s="5" t="str">
        <f aca="false">IF($K3411="","","R"&amp;$K3411)</f>
        <v/>
      </c>
    </row>
    <row r="3412" customFormat="false" ht="15" hidden="false" customHeight="true" outlineLevel="0" collapsed="false">
      <c r="J3412" s="14" t="b">
        <f aca="false">IF(중복검사!$A3410="",FALSE(),중복검사!$H3410="중복")</f>
        <v>0</v>
      </c>
      <c r="K3412" s="5" t="str">
        <f aca="false">IF($J3412=FALSE(),"",COUNTIF($J$6:$J3412,TRUE()))</f>
        <v/>
      </c>
      <c r="L3412" s="5" t="str">
        <f aca="false">IF($K3412="","","R"&amp;$K3412)</f>
        <v/>
      </c>
    </row>
    <row r="3413" customFormat="false" ht="15" hidden="false" customHeight="true" outlineLevel="0" collapsed="false">
      <c r="J3413" s="14" t="b">
        <f aca="false">IF(중복검사!$A3411="",FALSE(),중복검사!$H3411="중복")</f>
        <v>0</v>
      </c>
      <c r="K3413" s="5" t="str">
        <f aca="false">IF($J3413=FALSE(),"",COUNTIF($J$6:$J3413,TRUE()))</f>
        <v/>
      </c>
      <c r="L3413" s="5" t="str">
        <f aca="false">IF($K3413="","","R"&amp;$K3413)</f>
        <v/>
      </c>
    </row>
    <row r="3414" customFormat="false" ht="15" hidden="false" customHeight="true" outlineLevel="0" collapsed="false">
      <c r="J3414" s="14" t="b">
        <f aca="false">IF(중복검사!$A3412="",FALSE(),중복검사!$H3412="중복")</f>
        <v>0</v>
      </c>
      <c r="K3414" s="5" t="str">
        <f aca="false">IF($J3414=FALSE(),"",COUNTIF($J$6:$J3414,TRUE()))</f>
        <v/>
      </c>
      <c r="L3414" s="5" t="str">
        <f aca="false">IF($K3414="","","R"&amp;$K3414)</f>
        <v/>
      </c>
    </row>
    <row r="3415" customFormat="false" ht="15" hidden="false" customHeight="true" outlineLevel="0" collapsed="false">
      <c r="J3415" s="14" t="b">
        <f aca="false">IF(중복검사!$A3413="",FALSE(),중복검사!$H3413="중복")</f>
        <v>0</v>
      </c>
      <c r="K3415" s="5" t="str">
        <f aca="false">IF($J3415=FALSE(),"",COUNTIF($J$6:$J3415,TRUE()))</f>
        <v/>
      </c>
      <c r="L3415" s="5" t="str">
        <f aca="false">IF($K3415="","","R"&amp;$K3415)</f>
        <v/>
      </c>
    </row>
    <row r="3416" customFormat="false" ht="15" hidden="false" customHeight="true" outlineLevel="0" collapsed="false">
      <c r="J3416" s="14" t="b">
        <f aca="false">IF(중복검사!$A3414="",FALSE(),중복검사!$H3414="중복")</f>
        <v>0</v>
      </c>
      <c r="K3416" s="5" t="str">
        <f aca="false">IF($J3416=FALSE(),"",COUNTIF($J$6:$J3416,TRUE()))</f>
        <v/>
      </c>
      <c r="L3416" s="5" t="str">
        <f aca="false">IF($K3416="","","R"&amp;$K3416)</f>
        <v/>
      </c>
    </row>
    <row r="3417" customFormat="false" ht="15" hidden="false" customHeight="true" outlineLevel="0" collapsed="false">
      <c r="J3417" s="14" t="b">
        <f aca="false">IF(중복검사!$A3415="",FALSE(),중복검사!$H3415="중복")</f>
        <v>0</v>
      </c>
      <c r="K3417" s="5" t="str">
        <f aca="false">IF($J3417=FALSE(),"",COUNTIF($J$6:$J3417,TRUE()))</f>
        <v/>
      </c>
      <c r="L3417" s="5" t="str">
        <f aca="false">IF($K3417="","","R"&amp;$K3417)</f>
        <v/>
      </c>
    </row>
    <row r="3418" customFormat="false" ht="15" hidden="false" customHeight="true" outlineLevel="0" collapsed="false">
      <c r="J3418" s="14" t="b">
        <f aca="false">IF(중복검사!$A3416="",FALSE(),중복검사!$H3416="중복")</f>
        <v>0</v>
      </c>
      <c r="K3418" s="5" t="str">
        <f aca="false">IF($J3418=FALSE(),"",COUNTIF($J$6:$J3418,TRUE()))</f>
        <v/>
      </c>
      <c r="L3418" s="5" t="str">
        <f aca="false">IF($K3418="","","R"&amp;$K3418)</f>
        <v/>
      </c>
    </row>
    <row r="3419" customFormat="false" ht="15" hidden="false" customHeight="true" outlineLevel="0" collapsed="false">
      <c r="J3419" s="14" t="b">
        <f aca="false">IF(중복검사!$A3417="",FALSE(),중복검사!$H3417="중복")</f>
        <v>0</v>
      </c>
      <c r="K3419" s="5" t="str">
        <f aca="false">IF($J3419=FALSE(),"",COUNTIF($J$6:$J3419,TRUE()))</f>
        <v/>
      </c>
      <c r="L3419" s="5" t="str">
        <f aca="false">IF($K3419="","","R"&amp;$K3419)</f>
        <v/>
      </c>
    </row>
    <row r="3420" customFormat="false" ht="15" hidden="false" customHeight="true" outlineLevel="0" collapsed="false">
      <c r="J3420" s="14" t="b">
        <f aca="false">IF(중복검사!$A3418="",FALSE(),중복검사!$H3418="중복")</f>
        <v>0</v>
      </c>
      <c r="K3420" s="5" t="str">
        <f aca="false">IF($J3420=FALSE(),"",COUNTIF($J$6:$J3420,TRUE()))</f>
        <v/>
      </c>
      <c r="L3420" s="5" t="str">
        <f aca="false">IF($K3420="","","R"&amp;$K3420)</f>
        <v/>
      </c>
    </row>
    <row r="3421" customFormat="false" ht="15" hidden="false" customHeight="true" outlineLevel="0" collapsed="false">
      <c r="J3421" s="14" t="b">
        <f aca="false">IF(중복검사!$A3419="",FALSE(),중복검사!$H3419="중복")</f>
        <v>0</v>
      </c>
      <c r="K3421" s="5" t="str">
        <f aca="false">IF($J3421=FALSE(),"",COUNTIF($J$6:$J3421,TRUE()))</f>
        <v/>
      </c>
      <c r="L3421" s="5" t="str">
        <f aca="false">IF($K3421="","","R"&amp;$K3421)</f>
        <v/>
      </c>
    </row>
    <row r="3422" customFormat="false" ht="15" hidden="false" customHeight="true" outlineLevel="0" collapsed="false">
      <c r="J3422" s="14" t="b">
        <f aca="false">IF(중복검사!$A3420="",FALSE(),중복검사!$H3420="중복")</f>
        <v>0</v>
      </c>
      <c r="K3422" s="5" t="str">
        <f aca="false">IF($J3422=FALSE(),"",COUNTIF($J$6:$J3422,TRUE()))</f>
        <v/>
      </c>
      <c r="L3422" s="5" t="str">
        <f aca="false">IF($K3422="","","R"&amp;$K3422)</f>
        <v/>
      </c>
    </row>
    <row r="3423" customFormat="false" ht="15" hidden="false" customHeight="true" outlineLevel="0" collapsed="false">
      <c r="J3423" s="14" t="b">
        <f aca="false">IF(중복검사!$A3421="",FALSE(),중복검사!$H3421="중복")</f>
        <v>0</v>
      </c>
      <c r="K3423" s="5" t="str">
        <f aca="false">IF($J3423=FALSE(),"",COUNTIF($J$6:$J3423,TRUE()))</f>
        <v/>
      </c>
      <c r="L3423" s="5" t="str">
        <f aca="false">IF($K3423="","","R"&amp;$K3423)</f>
        <v/>
      </c>
    </row>
    <row r="3424" customFormat="false" ht="15" hidden="false" customHeight="true" outlineLevel="0" collapsed="false">
      <c r="J3424" s="14" t="b">
        <f aca="false">IF(중복검사!$A3422="",FALSE(),중복검사!$H3422="중복")</f>
        <v>0</v>
      </c>
      <c r="K3424" s="5" t="str">
        <f aca="false">IF($J3424=FALSE(),"",COUNTIF($J$6:$J3424,TRUE()))</f>
        <v/>
      </c>
      <c r="L3424" s="5" t="str">
        <f aca="false">IF($K3424="","","R"&amp;$K3424)</f>
        <v/>
      </c>
    </row>
    <row r="3425" customFormat="false" ht="15" hidden="false" customHeight="true" outlineLevel="0" collapsed="false">
      <c r="J3425" s="14" t="b">
        <f aca="false">IF(중복검사!$A3423="",FALSE(),중복검사!$H3423="중복")</f>
        <v>0</v>
      </c>
      <c r="K3425" s="5" t="str">
        <f aca="false">IF($J3425=FALSE(),"",COUNTIF($J$6:$J3425,TRUE()))</f>
        <v/>
      </c>
      <c r="L3425" s="5" t="str">
        <f aca="false">IF($K3425="","","R"&amp;$K3425)</f>
        <v/>
      </c>
    </row>
    <row r="3426" customFormat="false" ht="15" hidden="false" customHeight="true" outlineLevel="0" collapsed="false">
      <c r="J3426" s="14" t="b">
        <f aca="false">IF(중복검사!$A3424="",FALSE(),중복검사!$H3424="중복")</f>
        <v>0</v>
      </c>
      <c r="K3426" s="5" t="str">
        <f aca="false">IF($J3426=FALSE(),"",COUNTIF($J$6:$J3426,TRUE()))</f>
        <v/>
      </c>
      <c r="L3426" s="5" t="str">
        <f aca="false">IF($K3426="","","R"&amp;$K3426)</f>
        <v/>
      </c>
    </row>
    <row r="3427" customFormat="false" ht="15" hidden="false" customHeight="true" outlineLevel="0" collapsed="false">
      <c r="J3427" s="14" t="b">
        <f aca="false">IF(중복검사!$A3425="",FALSE(),중복검사!$H3425="중복")</f>
        <v>0</v>
      </c>
      <c r="K3427" s="5" t="str">
        <f aca="false">IF($J3427=FALSE(),"",COUNTIF($J$6:$J3427,TRUE()))</f>
        <v/>
      </c>
      <c r="L3427" s="5" t="str">
        <f aca="false">IF($K3427="","","R"&amp;$K3427)</f>
        <v/>
      </c>
    </row>
    <row r="3428" customFormat="false" ht="15" hidden="false" customHeight="true" outlineLevel="0" collapsed="false">
      <c r="J3428" s="14" t="b">
        <f aca="false">IF(중복검사!$A3426="",FALSE(),중복검사!$H3426="중복")</f>
        <v>0</v>
      </c>
      <c r="K3428" s="5" t="str">
        <f aca="false">IF($J3428=FALSE(),"",COUNTIF($J$6:$J3428,TRUE()))</f>
        <v/>
      </c>
      <c r="L3428" s="5" t="str">
        <f aca="false">IF($K3428="","","R"&amp;$K3428)</f>
        <v/>
      </c>
    </row>
    <row r="3429" customFormat="false" ht="15" hidden="false" customHeight="true" outlineLevel="0" collapsed="false">
      <c r="J3429" s="14" t="b">
        <f aca="false">IF(중복검사!$A3427="",FALSE(),중복검사!$H3427="중복")</f>
        <v>0</v>
      </c>
      <c r="K3429" s="5" t="str">
        <f aca="false">IF($J3429=FALSE(),"",COUNTIF($J$6:$J3429,TRUE()))</f>
        <v/>
      </c>
      <c r="L3429" s="5" t="str">
        <f aca="false">IF($K3429="","","R"&amp;$K3429)</f>
        <v/>
      </c>
    </row>
    <row r="3430" customFormat="false" ht="15" hidden="false" customHeight="true" outlineLevel="0" collapsed="false">
      <c r="J3430" s="14" t="b">
        <f aca="false">IF(중복검사!$A3428="",FALSE(),중복검사!$H3428="중복")</f>
        <v>0</v>
      </c>
      <c r="K3430" s="5" t="str">
        <f aca="false">IF($J3430=FALSE(),"",COUNTIF($J$6:$J3430,TRUE()))</f>
        <v/>
      </c>
      <c r="L3430" s="5" t="str">
        <f aca="false">IF($K3430="","","R"&amp;$K3430)</f>
        <v/>
      </c>
    </row>
    <row r="3431" customFormat="false" ht="15" hidden="false" customHeight="true" outlineLevel="0" collapsed="false">
      <c r="J3431" s="14" t="b">
        <f aca="false">IF(중복검사!$A3429="",FALSE(),중복검사!$H3429="중복")</f>
        <v>0</v>
      </c>
      <c r="K3431" s="5" t="str">
        <f aca="false">IF($J3431=FALSE(),"",COUNTIF($J$6:$J3431,TRUE()))</f>
        <v/>
      </c>
      <c r="L3431" s="5" t="str">
        <f aca="false">IF($K3431="","","R"&amp;$K3431)</f>
        <v/>
      </c>
    </row>
    <row r="3432" customFormat="false" ht="15" hidden="false" customHeight="true" outlineLevel="0" collapsed="false">
      <c r="J3432" s="14" t="b">
        <f aca="false">IF(중복검사!$A3430="",FALSE(),중복검사!$H3430="중복")</f>
        <v>0</v>
      </c>
      <c r="K3432" s="5" t="str">
        <f aca="false">IF($J3432=FALSE(),"",COUNTIF($J$6:$J3432,TRUE()))</f>
        <v/>
      </c>
      <c r="L3432" s="5" t="str">
        <f aca="false">IF($K3432="","","R"&amp;$K3432)</f>
        <v/>
      </c>
    </row>
    <row r="3433" customFormat="false" ht="15" hidden="false" customHeight="true" outlineLevel="0" collapsed="false">
      <c r="J3433" s="14" t="b">
        <f aca="false">IF(중복검사!$A3431="",FALSE(),중복검사!$H3431="중복")</f>
        <v>0</v>
      </c>
      <c r="K3433" s="5" t="str">
        <f aca="false">IF($J3433=FALSE(),"",COUNTIF($J$6:$J3433,TRUE()))</f>
        <v/>
      </c>
      <c r="L3433" s="5" t="str">
        <f aca="false">IF($K3433="","","R"&amp;$K3433)</f>
        <v/>
      </c>
    </row>
    <row r="3434" customFormat="false" ht="15" hidden="false" customHeight="true" outlineLevel="0" collapsed="false">
      <c r="J3434" s="14" t="b">
        <f aca="false">IF(중복검사!$A3432="",FALSE(),중복검사!$H3432="중복")</f>
        <v>0</v>
      </c>
      <c r="K3434" s="5" t="str">
        <f aca="false">IF($J3434=FALSE(),"",COUNTIF($J$6:$J3434,TRUE()))</f>
        <v/>
      </c>
      <c r="L3434" s="5" t="str">
        <f aca="false">IF($K3434="","","R"&amp;$K3434)</f>
        <v/>
      </c>
    </row>
    <row r="3435" customFormat="false" ht="15" hidden="false" customHeight="true" outlineLevel="0" collapsed="false">
      <c r="J3435" s="14" t="b">
        <f aca="false">IF(중복검사!$A3433="",FALSE(),중복검사!$H3433="중복")</f>
        <v>0</v>
      </c>
      <c r="K3435" s="5" t="str">
        <f aca="false">IF($J3435=FALSE(),"",COUNTIF($J$6:$J3435,TRUE()))</f>
        <v/>
      </c>
      <c r="L3435" s="5" t="str">
        <f aca="false">IF($K3435="","","R"&amp;$K3435)</f>
        <v/>
      </c>
    </row>
    <row r="3436" customFormat="false" ht="15" hidden="false" customHeight="true" outlineLevel="0" collapsed="false">
      <c r="J3436" s="14" t="b">
        <f aca="false">IF(중복검사!$A3434="",FALSE(),중복검사!$H3434="중복")</f>
        <v>0</v>
      </c>
      <c r="K3436" s="5" t="str">
        <f aca="false">IF($J3436=FALSE(),"",COUNTIF($J$6:$J3436,TRUE()))</f>
        <v/>
      </c>
      <c r="L3436" s="5" t="str">
        <f aca="false">IF($K3436="","","R"&amp;$K3436)</f>
        <v/>
      </c>
    </row>
    <row r="3437" customFormat="false" ht="15" hidden="false" customHeight="true" outlineLevel="0" collapsed="false">
      <c r="J3437" s="14" t="b">
        <f aca="false">IF(중복검사!$A3435="",FALSE(),중복검사!$H3435="중복")</f>
        <v>0</v>
      </c>
      <c r="K3437" s="5" t="str">
        <f aca="false">IF($J3437=FALSE(),"",COUNTIF($J$6:$J3437,TRUE()))</f>
        <v/>
      </c>
      <c r="L3437" s="5" t="str">
        <f aca="false">IF($K3437="","","R"&amp;$K3437)</f>
        <v/>
      </c>
    </row>
    <row r="3438" customFormat="false" ht="15" hidden="false" customHeight="true" outlineLevel="0" collapsed="false">
      <c r="J3438" s="14" t="b">
        <f aca="false">IF(중복검사!$A3436="",FALSE(),중복검사!$H3436="중복")</f>
        <v>0</v>
      </c>
      <c r="K3438" s="5" t="str">
        <f aca="false">IF($J3438=FALSE(),"",COUNTIF($J$6:$J3438,TRUE()))</f>
        <v/>
      </c>
      <c r="L3438" s="5" t="str">
        <f aca="false">IF($K3438="","","R"&amp;$K3438)</f>
        <v/>
      </c>
    </row>
    <row r="3439" customFormat="false" ht="15" hidden="false" customHeight="true" outlineLevel="0" collapsed="false">
      <c r="J3439" s="14" t="b">
        <f aca="false">IF(중복검사!$A3437="",FALSE(),중복검사!$H3437="중복")</f>
        <v>0</v>
      </c>
      <c r="K3439" s="5" t="str">
        <f aca="false">IF($J3439=FALSE(),"",COUNTIF($J$6:$J3439,TRUE()))</f>
        <v/>
      </c>
      <c r="L3439" s="5" t="str">
        <f aca="false">IF($K3439="","","R"&amp;$K3439)</f>
        <v/>
      </c>
    </row>
    <row r="3440" customFormat="false" ht="15" hidden="false" customHeight="true" outlineLevel="0" collapsed="false">
      <c r="J3440" s="14" t="b">
        <f aca="false">IF(중복검사!$A3438="",FALSE(),중복검사!$H3438="중복")</f>
        <v>0</v>
      </c>
      <c r="K3440" s="5" t="str">
        <f aca="false">IF($J3440=FALSE(),"",COUNTIF($J$6:$J3440,TRUE()))</f>
        <v/>
      </c>
      <c r="L3440" s="5" t="str">
        <f aca="false">IF($K3440="","","R"&amp;$K3440)</f>
        <v/>
      </c>
    </row>
    <row r="3441" customFormat="false" ht="15" hidden="false" customHeight="true" outlineLevel="0" collapsed="false">
      <c r="J3441" s="14" t="b">
        <f aca="false">IF(중복검사!$A3439="",FALSE(),중복검사!$H3439="중복")</f>
        <v>0</v>
      </c>
      <c r="K3441" s="5" t="str">
        <f aca="false">IF($J3441=FALSE(),"",COUNTIF($J$6:$J3441,TRUE()))</f>
        <v/>
      </c>
      <c r="L3441" s="5" t="str">
        <f aca="false">IF($K3441="","","R"&amp;$K3441)</f>
        <v/>
      </c>
    </row>
    <row r="3442" customFormat="false" ht="15" hidden="false" customHeight="true" outlineLevel="0" collapsed="false">
      <c r="J3442" s="14" t="b">
        <f aca="false">IF(중복검사!$A3440="",FALSE(),중복검사!$H3440="중복")</f>
        <v>0</v>
      </c>
      <c r="K3442" s="5" t="str">
        <f aca="false">IF($J3442=FALSE(),"",COUNTIF($J$6:$J3442,TRUE()))</f>
        <v/>
      </c>
      <c r="L3442" s="5" t="str">
        <f aca="false">IF($K3442="","","R"&amp;$K3442)</f>
        <v/>
      </c>
    </row>
    <row r="3443" customFormat="false" ht="15" hidden="false" customHeight="true" outlineLevel="0" collapsed="false">
      <c r="J3443" s="14" t="b">
        <f aca="false">IF(중복검사!$A3441="",FALSE(),중복검사!$H3441="중복")</f>
        <v>0</v>
      </c>
      <c r="K3443" s="5" t="str">
        <f aca="false">IF($J3443=FALSE(),"",COUNTIF($J$6:$J3443,TRUE()))</f>
        <v/>
      </c>
      <c r="L3443" s="5" t="str">
        <f aca="false">IF($K3443="","","R"&amp;$K3443)</f>
        <v/>
      </c>
    </row>
    <row r="3444" customFormat="false" ht="15" hidden="false" customHeight="true" outlineLevel="0" collapsed="false">
      <c r="J3444" s="14" t="b">
        <f aca="false">IF(중복검사!$A3442="",FALSE(),중복검사!$H3442="중복")</f>
        <v>0</v>
      </c>
      <c r="K3444" s="5" t="str">
        <f aca="false">IF($J3444=FALSE(),"",COUNTIF($J$6:$J3444,TRUE()))</f>
        <v/>
      </c>
      <c r="L3444" s="5" t="str">
        <f aca="false">IF($K3444="","","R"&amp;$K3444)</f>
        <v/>
      </c>
    </row>
    <row r="3445" customFormat="false" ht="15" hidden="false" customHeight="true" outlineLevel="0" collapsed="false">
      <c r="J3445" s="14" t="b">
        <f aca="false">IF(중복검사!$A3443="",FALSE(),중복검사!$H3443="중복")</f>
        <v>0</v>
      </c>
      <c r="K3445" s="5" t="str">
        <f aca="false">IF($J3445=FALSE(),"",COUNTIF($J$6:$J3445,TRUE()))</f>
        <v/>
      </c>
      <c r="L3445" s="5" t="str">
        <f aca="false">IF($K3445="","","R"&amp;$K3445)</f>
        <v/>
      </c>
    </row>
    <row r="3446" customFormat="false" ht="15" hidden="false" customHeight="true" outlineLevel="0" collapsed="false">
      <c r="J3446" s="14" t="b">
        <f aca="false">IF(중복검사!$A3444="",FALSE(),중복검사!$H3444="중복")</f>
        <v>0</v>
      </c>
      <c r="K3446" s="5" t="str">
        <f aca="false">IF($J3446=FALSE(),"",COUNTIF($J$6:$J3446,TRUE()))</f>
        <v/>
      </c>
      <c r="L3446" s="5" t="str">
        <f aca="false">IF($K3446="","","R"&amp;$K3446)</f>
        <v/>
      </c>
    </row>
    <row r="3447" customFormat="false" ht="15" hidden="false" customHeight="true" outlineLevel="0" collapsed="false">
      <c r="J3447" s="14" t="b">
        <f aca="false">IF(중복검사!$A3445="",FALSE(),중복검사!$H3445="중복")</f>
        <v>0</v>
      </c>
      <c r="K3447" s="5" t="str">
        <f aca="false">IF($J3447=FALSE(),"",COUNTIF($J$6:$J3447,TRUE()))</f>
        <v/>
      </c>
      <c r="L3447" s="5" t="str">
        <f aca="false">IF($K3447="","","R"&amp;$K3447)</f>
        <v/>
      </c>
    </row>
    <row r="3448" customFormat="false" ht="15" hidden="false" customHeight="true" outlineLevel="0" collapsed="false">
      <c r="J3448" s="14" t="b">
        <f aca="false">IF(중복검사!$A3446="",FALSE(),중복검사!$H3446="중복")</f>
        <v>0</v>
      </c>
      <c r="K3448" s="5" t="str">
        <f aca="false">IF($J3448=FALSE(),"",COUNTIF($J$6:$J3448,TRUE()))</f>
        <v/>
      </c>
      <c r="L3448" s="5" t="str">
        <f aca="false">IF($K3448="","","R"&amp;$K3448)</f>
        <v/>
      </c>
    </row>
    <row r="3449" customFormat="false" ht="15" hidden="false" customHeight="true" outlineLevel="0" collapsed="false">
      <c r="J3449" s="14" t="b">
        <f aca="false">IF(중복검사!$A3447="",FALSE(),중복검사!$H3447="중복")</f>
        <v>0</v>
      </c>
      <c r="K3449" s="5" t="str">
        <f aca="false">IF($J3449=FALSE(),"",COUNTIF($J$6:$J3449,TRUE()))</f>
        <v/>
      </c>
      <c r="L3449" s="5" t="str">
        <f aca="false">IF($K3449="","","R"&amp;$K3449)</f>
        <v/>
      </c>
    </row>
    <row r="3450" customFormat="false" ht="15" hidden="false" customHeight="true" outlineLevel="0" collapsed="false">
      <c r="J3450" s="14" t="b">
        <f aca="false">IF(중복검사!$A3448="",FALSE(),중복검사!$H3448="중복")</f>
        <v>0</v>
      </c>
      <c r="K3450" s="5" t="str">
        <f aca="false">IF($J3450=FALSE(),"",COUNTIF($J$6:$J3450,TRUE()))</f>
        <v/>
      </c>
      <c r="L3450" s="5" t="str">
        <f aca="false">IF($K3450="","","R"&amp;$K3450)</f>
        <v/>
      </c>
    </row>
    <row r="3451" customFormat="false" ht="15" hidden="false" customHeight="true" outlineLevel="0" collapsed="false">
      <c r="J3451" s="14" t="b">
        <f aca="false">IF(중복검사!$A3449="",FALSE(),중복검사!$H3449="중복")</f>
        <v>0</v>
      </c>
      <c r="K3451" s="5" t="str">
        <f aca="false">IF($J3451=FALSE(),"",COUNTIF($J$6:$J3451,TRUE()))</f>
        <v/>
      </c>
      <c r="L3451" s="5" t="str">
        <f aca="false">IF($K3451="","","R"&amp;$K3451)</f>
        <v/>
      </c>
    </row>
    <row r="3452" customFormat="false" ht="15" hidden="false" customHeight="true" outlineLevel="0" collapsed="false">
      <c r="J3452" s="14" t="b">
        <f aca="false">IF(중복검사!$A3450="",FALSE(),중복검사!$H3450="중복")</f>
        <v>0</v>
      </c>
      <c r="K3452" s="5" t="str">
        <f aca="false">IF($J3452=FALSE(),"",COUNTIF($J$6:$J3452,TRUE()))</f>
        <v/>
      </c>
      <c r="L3452" s="5" t="str">
        <f aca="false">IF($K3452="","","R"&amp;$K3452)</f>
        <v/>
      </c>
    </row>
    <row r="3453" customFormat="false" ht="15" hidden="false" customHeight="true" outlineLevel="0" collapsed="false">
      <c r="J3453" s="14" t="b">
        <f aca="false">IF(중복검사!$A3451="",FALSE(),중복검사!$H3451="중복")</f>
        <v>0</v>
      </c>
      <c r="K3453" s="5" t="str">
        <f aca="false">IF($J3453=FALSE(),"",COUNTIF($J$6:$J3453,TRUE()))</f>
        <v/>
      </c>
      <c r="L3453" s="5" t="str">
        <f aca="false">IF($K3453="","","R"&amp;$K3453)</f>
        <v/>
      </c>
    </row>
    <row r="3454" customFormat="false" ht="15" hidden="false" customHeight="true" outlineLevel="0" collapsed="false">
      <c r="J3454" s="14" t="b">
        <f aca="false">IF(중복검사!$A3452="",FALSE(),중복검사!$H3452="중복")</f>
        <v>0</v>
      </c>
      <c r="K3454" s="5" t="str">
        <f aca="false">IF($J3454=FALSE(),"",COUNTIF($J$6:$J3454,TRUE()))</f>
        <v/>
      </c>
      <c r="L3454" s="5" t="str">
        <f aca="false">IF($K3454="","","R"&amp;$K3454)</f>
        <v/>
      </c>
    </row>
    <row r="3455" customFormat="false" ht="15" hidden="false" customHeight="true" outlineLevel="0" collapsed="false">
      <c r="J3455" s="14" t="b">
        <f aca="false">IF(중복검사!$A3453="",FALSE(),중복검사!$H3453="중복")</f>
        <v>0</v>
      </c>
      <c r="K3455" s="5" t="str">
        <f aca="false">IF($J3455=FALSE(),"",COUNTIF($J$6:$J3455,TRUE()))</f>
        <v/>
      </c>
      <c r="L3455" s="5" t="str">
        <f aca="false">IF($K3455="","","R"&amp;$K3455)</f>
        <v/>
      </c>
    </row>
    <row r="3456" customFormat="false" ht="15" hidden="false" customHeight="true" outlineLevel="0" collapsed="false">
      <c r="J3456" s="14" t="b">
        <f aca="false">IF(중복검사!$A3454="",FALSE(),중복검사!$H3454="중복")</f>
        <v>0</v>
      </c>
      <c r="K3456" s="5" t="str">
        <f aca="false">IF($J3456=FALSE(),"",COUNTIF($J$6:$J3456,TRUE()))</f>
        <v/>
      </c>
      <c r="L3456" s="5" t="str">
        <f aca="false">IF($K3456="","","R"&amp;$K3456)</f>
        <v/>
      </c>
    </row>
    <row r="3457" customFormat="false" ht="15" hidden="false" customHeight="true" outlineLevel="0" collapsed="false">
      <c r="J3457" s="14" t="b">
        <f aca="false">IF(중복검사!$A3455="",FALSE(),중복검사!$H3455="중복")</f>
        <v>0</v>
      </c>
      <c r="K3457" s="5" t="str">
        <f aca="false">IF($J3457=FALSE(),"",COUNTIF($J$6:$J3457,TRUE()))</f>
        <v/>
      </c>
      <c r="L3457" s="5" t="str">
        <f aca="false">IF($K3457="","","R"&amp;$K3457)</f>
        <v/>
      </c>
    </row>
    <row r="3458" customFormat="false" ht="15" hidden="false" customHeight="true" outlineLevel="0" collapsed="false">
      <c r="J3458" s="14" t="b">
        <f aca="false">IF(중복검사!$A3456="",FALSE(),중복검사!$H3456="중복")</f>
        <v>0</v>
      </c>
      <c r="K3458" s="5" t="str">
        <f aca="false">IF($J3458=FALSE(),"",COUNTIF($J$6:$J3458,TRUE()))</f>
        <v/>
      </c>
      <c r="L3458" s="5" t="str">
        <f aca="false">IF($K3458="","","R"&amp;$K3458)</f>
        <v/>
      </c>
    </row>
    <row r="3459" customFormat="false" ht="15" hidden="false" customHeight="true" outlineLevel="0" collapsed="false">
      <c r="J3459" s="14" t="b">
        <f aca="false">IF(중복검사!$A3457="",FALSE(),중복검사!$H3457="중복")</f>
        <v>0</v>
      </c>
      <c r="K3459" s="5" t="str">
        <f aca="false">IF($J3459=FALSE(),"",COUNTIF($J$6:$J3459,TRUE()))</f>
        <v/>
      </c>
      <c r="L3459" s="5" t="str">
        <f aca="false">IF($K3459="","","R"&amp;$K3459)</f>
        <v/>
      </c>
    </row>
    <row r="3460" customFormat="false" ht="15" hidden="false" customHeight="true" outlineLevel="0" collapsed="false">
      <c r="J3460" s="14" t="b">
        <f aca="false">IF(중복검사!$A3458="",FALSE(),중복검사!$H3458="중복")</f>
        <v>0</v>
      </c>
      <c r="K3460" s="5" t="str">
        <f aca="false">IF($J3460=FALSE(),"",COUNTIF($J$6:$J3460,TRUE()))</f>
        <v/>
      </c>
      <c r="L3460" s="5" t="str">
        <f aca="false">IF($K3460="","","R"&amp;$K3460)</f>
        <v/>
      </c>
    </row>
    <row r="3461" customFormat="false" ht="15" hidden="false" customHeight="true" outlineLevel="0" collapsed="false">
      <c r="J3461" s="14" t="b">
        <f aca="false">IF(중복검사!$A3459="",FALSE(),중복검사!$H3459="중복")</f>
        <v>0</v>
      </c>
      <c r="K3461" s="5" t="str">
        <f aca="false">IF($J3461=FALSE(),"",COUNTIF($J$6:$J3461,TRUE()))</f>
        <v/>
      </c>
      <c r="L3461" s="5" t="str">
        <f aca="false">IF($K3461="","","R"&amp;$K3461)</f>
        <v/>
      </c>
    </row>
    <row r="3462" customFormat="false" ht="15" hidden="false" customHeight="true" outlineLevel="0" collapsed="false">
      <c r="J3462" s="14" t="b">
        <f aca="false">IF(중복검사!$A3460="",FALSE(),중복검사!$H3460="중복")</f>
        <v>0</v>
      </c>
      <c r="K3462" s="5" t="str">
        <f aca="false">IF($J3462=FALSE(),"",COUNTIF($J$6:$J3462,TRUE()))</f>
        <v/>
      </c>
      <c r="L3462" s="5" t="str">
        <f aca="false">IF($K3462="","","R"&amp;$K3462)</f>
        <v/>
      </c>
    </row>
    <row r="3463" customFormat="false" ht="15" hidden="false" customHeight="true" outlineLevel="0" collapsed="false">
      <c r="J3463" s="14" t="b">
        <f aca="false">IF(중복검사!$A3461="",FALSE(),중복검사!$H3461="중복")</f>
        <v>0</v>
      </c>
      <c r="K3463" s="5" t="str">
        <f aca="false">IF($J3463=FALSE(),"",COUNTIF($J$6:$J3463,TRUE()))</f>
        <v/>
      </c>
      <c r="L3463" s="5" t="str">
        <f aca="false">IF($K3463="","","R"&amp;$K3463)</f>
        <v/>
      </c>
    </row>
    <row r="3464" customFormat="false" ht="15" hidden="false" customHeight="true" outlineLevel="0" collapsed="false">
      <c r="J3464" s="14" t="b">
        <f aca="false">IF(중복검사!$A3462="",FALSE(),중복검사!$H3462="중복")</f>
        <v>0</v>
      </c>
      <c r="K3464" s="5" t="str">
        <f aca="false">IF($J3464=FALSE(),"",COUNTIF($J$6:$J3464,TRUE()))</f>
        <v/>
      </c>
      <c r="L3464" s="5" t="str">
        <f aca="false">IF($K3464="","","R"&amp;$K3464)</f>
        <v/>
      </c>
    </row>
    <row r="3465" customFormat="false" ht="15" hidden="false" customHeight="true" outlineLevel="0" collapsed="false">
      <c r="J3465" s="14" t="b">
        <f aca="false">IF(중복검사!$A3463="",FALSE(),중복검사!$H3463="중복")</f>
        <v>0</v>
      </c>
      <c r="K3465" s="5" t="str">
        <f aca="false">IF($J3465=FALSE(),"",COUNTIF($J$6:$J3465,TRUE()))</f>
        <v/>
      </c>
      <c r="L3465" s="5" t="str">
        <f aca="false">IF($K3465="","","R"&amp;$K3465)</f>
        <v/>
      </c>
    </row>
    <row r="3466" customFormat="false" ht="15" hidden="false" customHeight="true" outlineLevel="0" collapsed="false">
      <c r="J3466" s="14" t="b">
        <f aca="false">IF(중복검사!$A3464="",FALSE(),중복검사!$H3464="중복")</f>
        <v>0</v>
      </c>
      <c r="K3466" s="5" t="str">
        <f aca="false">IF($J3466=FALSE(),"",COUNTIF($J$6:$J3466,TRUE()))</f>
        <v/>
      </c>
      <c r="L3466" s="5" t="str">
        <f aca="false">IF($K3466="","","R"&amp;$K3466)</f>
        <v/>
      </c>
    </row>
    <row r="3467" customFormat="false" ht="15" hidden="false" customHeight="true" outlineLevel="0" collapsed="false">
      <c r="J3467" s="14" t="b">
        <f aca="false">IF(중복검사!$A3465="",FALSE(),중복검사!$H3465="중복")</f>
        <v>0</v>
      </c>
      <c r="K3467" s="5" t="str">
        <f aca="false">IF($J3467=FALSE(),"",COUNTIF($J$6:$J3467,TRUE()))</f>
        <v/>
      </c>
      <c r="L3467" s="5" t="str">
        <f aca="false">IF($K3467="","","R"&amp;$K3467)</f>
        <v/>
      </c>
    </row>
    <row r="3468" customFormat="false" ht="15" hidden="false" customHeight="true" outlineLevel="0" collapsed="false">
      <c r="J3468" s="14" t="b">
        <f aca="false">IF(중복검사!$A3466="",FALSE(),중복검사!$H3466="중복")</f>
        <v>0</v>
      </c>
      <c r="K3468" s="5" t="str">
        <f aca="false">IF($J3468=FALSE(),"",COUNTIF($J$6:$J3468,TRUE()))</f>
        <v/>
      </c>
      <c r="L3468" s="5" t="str">
        <f aca="false">IF($K3468="","","R"&amp;$K3468)</f>
        <v/>
      </c>
    </row>
    <row r="3469" customFormat="false" ht="15" hidden="false" customHeight="true" outlineLevel="0" collapsed="false">
      <c r="J3469" s="14" t="b">
        <f aca="false">IF(중복검사!$A3467="",FALSE(),중복검사!$H3467="중복")</f>
        <v>0</v>
      </c>
      <c r="K3469" s="5" t="str">
        <f aca="false">IF($J3469=FALSE(),"",COUNTIF($J$6:$J3469,TRUE()))</f>
        <v/>
      </c>
      <c r="L3469" s="5" t="str">
        <f aca="false">IF($K3469="","","R"&amp;$K3469)</f>
        <v/>
      </c>
    </row>
    <row r="3470" customFormat="false" ht="15" hidden="false" customHeight="true" outlineLevel="0" collapsed="false">
      <c r="J3470" s="14" t="b">
        <f aca="false">IF(중복검사!$A3468="",FALSE(),중복검사!$H3468="중복")</f>
        <v>0</v>
      </c>
      <c r="K3470" s="5" t="str">
        <f aca="false">IF($J3470=FALSE(),"",COUNTIF($J$6:$J3470,TRUE()))</f>
        <v/>
      </c>
      <c r="L3470" s="5" t="str">
        <f aca="false">IF($K3470="","","R"&amp;$K3470)</f>
        <v/>
      </c>
    </row>
    <row r="3471" customFormat="false" ht="15" hidden="false" customHeight="true" outlineLevel="0" collapsed="false">
      <c r="J3471" s="14" t="b">
        <f aca="false">IF(중복검사!$A3469="",FALSE(),중복검사!$H3469="중복")</f>
        <v>0</v>
      </c>
      <c r="K3471" s="5" t="str">
        <f aca="false">IF($J3471=FALSE(),"",COUNTIF($J$6:$J3471,TRUE()))</f>
        <v/>
      </c>
      <c r="L3471" s="5" t="str">
        <f aca="false">IF($K3471="","","R"&amp;$K3471)</f>
        <v/>
      </c>
    </row>
    <row r="3472" customFormat="false" ht="15" hidden="false" customHeight="true" outlineLevel="0" collapsed="false">
      <c r="J3472" s="14" t="b">
        <f aca="false">IF(중복검사!$A3470="",FALSE(),중복검사!$H3470="중복")</f>
        <v>0</v>
      </c>
      <c r="K3472" s="5" t="str">
        <f aca="false">IF($J3472=FALSE(),"",COUNTIF($J$6:$J3472,TRUE()))</f>
        <v/>
      </c>
      <c r="L3472" s="5" t="str">
        <f aca="false">IF($K3472="","","R"&amp;$K3472)</f>
        <v/>
      </c>
    </row>
    <row r="3473" customFormat="false" ht="15" hidden="false" customHeight="true" outlineLevel="0" collapsed="false">
      <c r="J3473" s="14" t="b">
        <f aca="false">IF(중복검사!$A3471="",FALSE(),중복검사!$H3471="중복")</f>
        <v>0</v>
      </c>
      <c r="K3473" s="5" t="str">
        <f aca="false">IF($J3473=FALSE(),"",COUNTIF($J$6:$J3473,TRUE()))</f>
        <v/>
      </c>
      <c r="L3473" s="5" t="str">
        <f aca="false">IF($K3473="","","R"&amp;$K3473)</f>
        <v/>
      </c>
    </row>
    <row r="3474" customFormat="false" ht="15" hidden="false" customHeight="true" outlineLevel="0" collapsed="false">
      <c r="J3474" s="14" t="b">
        <f aca="false">IF(중복검사!$A3472="",FALSE(),중복검사!$H3472="중복")</f>
        <v>0</v>
      </c>
      <c r="K3474" s="5" t="str">
        <f aca="false">IF($J3474=FALSE(),"",COUNTIF($J$6:$J3474,TRUE()))</f>
        <v/>
      </c>
      <c r="L3474" s="5" t="str">
        <f aca="false">IF($K3474="","","R"&amp;$K3474)</f>
        <v/>
      </c>
    </row>
    <row r="3475" customFormat="false" ht="15" hidden="false" customHeight="true" outlineLevel="0" collapsed="false">
      <c r="J3475" s="14" t="b">
        <f aca="false">IF(중복검사!$A3473="",FALSE(),중복검사!$H3473="중복")</f>
        <v>0</v>
      </c>
      <c r="K3475" s="5" t="str">
        <f aca="false">IF($J3475=FALSE(),"",COUNTIF($J$6:$J3475,TRUE()))</f>
        <v/>
      </c>
      <c r="L3475" s="5" t="str">
        <f aca="false">IF($K3475="","","R"&amp;$K3475)</f>
        <v/>
      </c>
    </row>
    <row r="3476" customFormat="false" ht="15" hidden="false" customHeight="true" outlineLevel="0" collapsed="false">
      <c r="J3476" s="14" t="b">
        <f aca="false">IF(중복검사!$A3474="",FALSE(),중복검사!$H3474="중복")</f>
        <v>0</v>
      </c>
      <c r="K3476" s="5" t="str">
        <f aca="false">IF($J3476=FALSE(),"",COUNTIF($J$6:$J3476,TRUE()))</f>
        <v/>
      </c>
      <c r="L3476" s="5" t="str">
        <f aca="false">IF($K3476="","","R"&amp;$K3476)</f>
        <v/>
      </c>
    </row>
    <row r="3477" customFormat="false" ht="15" hidden="false" customHeight="true" outlineLevel="0" collapsed="false">
      <c r="J3477" s="14" t="b">
        <f aca="false">IF(중복검사!$A3475="",FALSE(),중복검사!$H3475="중복")</f>
        <v>0</v>
      </c>
      <c r="K3477" s="5" t="str">
        <f aca="false">IF($J3477=FALSE(),"",COUNTIF($J$6:$J3477,TRUE()))</f>
        <v/>
      </c>
      <c r="L3477" s="5" t="str">
        <f aca="false">IF($K3477="","","R"&amp;$K3477)</f>
        <v/>
      </c>
    </row>
    <row r="3478" customFormat="false" ht="15" hidden="false" customHeight="true" outlineLevel="0" collapsed="false">
      <c r="J3478" s="14" t="b">
        <f aca="false">IF(중복검사!$A3476="",FALSE(),중복검사!$H3476="중복")</f>
        <v>0</v>
      </c>
      <c r="K3478" s="5" t="str">
        <f aca="false">IF($J3478=FALSE(),"",COUNTIF($J$6:$J3478,TRUE()))</f>
        <v/>
      </c>
      <c r="L3478" s="5" t="str">
        <f aca="false">IF($K3478="","","R"&amp;$K3478)</f>
        <v/>
      </c>
    </row>
    <row r="3479" customFormat="false" ht="15" hidden="false" customHeight="true" outlineLevel="0" collapsed="false">
      <c r="J3479" s="14" t="b">
        <f aca="false">IF(중복검사!$A3477="",FALSE(),중복검사!$H3477="중복")</f>
        <v>0</v>
      </c>
      <c r="K3479" s="5" t="str">
        <f aca="false">IF($J3479=FALSE(),"",COUNTIF($J$6:$J3479,TRUE()))</f>
        <v/>
      </c>
      <c r="L3479" s="5" t="str">
        <f aca="false">IF($K3479="","","R"&amp;$K3479)</f>
        <v/>
      </c>
    </row>
    <row r="3480" customFormat="false" ht="15" hidden="false" customHeight="true" outlineLevel="0" collapsed="false">
      <c r="J3480" s="14" t="b">
        <f aca="false">IF(중복검사!$A3478="",FALSE(),중복검사!$H3478="중복")</f>
        <v>0</v>
      </c>
      <c r="K3480" s="5" t="str">
        <f aca="false">IF($J3480=FALSE(),"",COUNTIF($J$6:$J3480,TRUE()))</f>
        <v/>
      </c>
      <c r="L3480" s="5" t="str">
        <f aca="false">IF($K3480="","","R"&amp;$K3480)</f>
        <v/>
      </c>
    </row>
    <row r="3481" customFormat="false" ht="15" hidden="false" customHeight="true" outlineLevel="0" collapsed="false">
      <c r="J3481" s="14" t="b">
        <f aca="false">IF(중복검사!$A3479="",FALSE(),중복검사!$H3479="중복")</f>
        <v>0</v>
      </c>
      <c r="K3481" s="5" t="str">
        <f aca="false">IF($J3481=FALSE(),"",COUNTIF($J$6:$J3481,TRUE()))</f>
        <v/>
      </c>
      <c r="L3481" s="5" t="str">
        <f aca="false">IF($K3481="","","R"&amp;$K3481)</f>
        <v/>
      </c>
    </row>
    <row r="3482" customFormat="false" ht="15" hidden="false" customHeight="true" outlineLevel="0" collapsed="false">
      <c r="J3482" s="14" t="b">
        <f aca="false">IF(중복검사!$A3480="",FALSE(),중복검사!$H3480="중복")</f>
        <v>0</v>
      </c>
      <c r="K3482" s="5" t="str">
        <f aca="false">IF($J3482=FALSE(),"",COUNTIF($J$6:$J3482,TRUE()))</f>
        <v/>
      </c>
      <c r="L3482" s="5" t="str">
        <f aca="false">IF($K3482="","","R"&amp;$K3482)</f>
        <v/>
      </c>
    </row>
    <row r="3483" customFormat="false" ht="15" hidden="false" customHeight="true" outlineLevel="0" collapsed="false">
      <c r="J3483" s="14" t="b">
        <f aca="false">IF(중복검사!$A3481="",FALSE(),중복검사!$H3481="중복")</f>
        <v>0</v>
      </c>
      <c r="K3483" s="5" t="str">
        <f aca="false">IF($J3483=FALSE(),"",COUNTIF($J$6:$J3483,TRUE()))</f>
        <v/>
      </c>
      <c r="L3483" s="5" t="str">
        <f aca="false">IF($K3483="","","R"&amp;$K3483)</f>
        <v/>
      </c>
    </row>
    <row r="3484" customFormat="false" ht="15" hidden="false" customHeight="true" outlineLevel="0" collapsed="false">
      <c r="J3484" s="14" t="b">
        <f aca="false">IF(중복검사!$A3482="",FALSE(),중복검사!$H3482="중복")</f>
        <v>0</v>
      </c>
      <c r="K3484" s="5" t="str">
        <f aca="false">IF($J3484=FALSE(),"",COUNTIF($J$6:$J3484,TRUE()))</f>
        <v/>
      </c>
      <c r="L3484" s="5" t="str">
        <f aca="false">IF($K3484="","","R"&amp;$K3484)</f>
        <v/>
      </c>
    </row>
    <row r="3485" customFormat="false" ht="15" hidden="false" customHeight="true" outlineLevel="0" collapsed="false">
      <c r="J3485" s="14" t="b">
        <f aca="false">IF(중복검사!$A3483="",FALSE(),중복검사!$H3483="중복")</f>
        <v>0</v>
      </c>
      <c r="K3485" s="5" t="str">
        <f aca="false">IF($J3485=FALSE(),"",COUNTIF($J$6:$J3485,TRUE()))</f>
        <v/>
      </c>
      <c r="L3485" s="5" t="str">
        <f aca="false">IF($K3485="","","R"&amp;$K3485)</f>
        <v/>
      </c>
    </row>
    <row r="3486" customFormat="false" ht="15" hidden="false" customHeight="true" outlineLevel="0" collapsed="false">
      <c r="J3486" s="14" t="b">
        <f aca="false">IF(중복검사!$A3484="",FALSE(),중복검사!$H3484="중복")</f>
        <v>0</v>
      </c>
      <c r="K3486" s="5" t="str">
        <f aca="false">IF($J3486=FALSE(),"",COUNTIF($J$6:$J3486,TRUE()))</f>
        <v/>
      </c>
      <c r="L3486" s="5" t="str">
        <f aca="false">IF($K3486="","","R"&amp;$K3486)</f>
        <v/>
      </c>
    </row>
    <row r="3487" customFormat="false" ht="15" hidden="false" customHeight="true" outlineLevel="0" collapsed="false">
      <c r="J3487" s="14" t="b">
        <f aca="false">IF(중복검사!$A3485="",FALSE(),중복검사!$H3485="중복")</f>
        <v>0</v>
      </c>
      <c r="K3487" s="5" t="str">
        <f aca="false">IF($J3487=FALSE(),"",COUNTIF($J$6:$J3487,TRUE()))</f>
        <v/>
      </c>
      <c r="L3487" s="5" t="str">
        <f aca="false">IF($K3487="","","R"&amp;$K3487)</f>
        <v/>
      </c>
    </row>
    <row r="3488" customFormat="false" ht="15" hidden="false" customHeight="true" outlineLevel="0" collapsed="false">
      <c r="J3488" s="14" t="b">
        <f aca="false">IF(중복검사!$A3486="",FALSE(),중복검사!$H3486="중복")</f>
        <v>0</v>
      </c>
      <c r="K3488" s="5" t="str">
        <f aca="false">IF($J3488=FALSE(),"",COUNTIF($J$6:$J3488,TRUE()))</f>
        <v/>
      </c>
      <c r="L3488" s="5" t="str">
        <f aca="false">IF($K3488="","","R"&amp;$K3488)</f>
        <v/>
      </c>
    </row>
    <row r="3489" customFormat="false" ht="15" hidden="false" customHeight="true" outlineLevel="0" collapsed="false">
      <c r="J3489" s="14" t="b">
        <f aca="false">IF(중복검사!$A3487="",FALSE(),중복검사!$H3487="중복")</f>
        <v>0</v>
      </c>
      <c r="K3489" s="5" t="str">
        <f aca="false">IF($J3489=FALSE(),"",COUNTIF($J$6:$J3489,TRUE()))</f>
        <v/>
      </c>
      <c r="L3489" s="5" t="str">
        <f aca="false">IF($K3489="","","R"&amp;$K3489)</f>
        <v/>
      </c>
    </row>
    <row r="3490" customFormat="false" ht="15" hidden="false" customHeight="true" outlineLevel="0" collapsed="false">
      <c r="J3490" s="14" t="b">
        <f aca="false">IF(중복검사!$A3488="",FALSE(),중복검사!$H3488="중복")</f>
        <v>0</v>
      </c>
      <c r="K3490" s="5" t="str">
        <f aca="false">IF($J3490=FALSE(),"",COUNTIF($J$6:$J3490,TRUE()))</f>
        <v/>
      </c>
      <c r="L3490" s="5" t="str">
        <f aca="false">IF($K3490="","","R"&amp;$K3490)</f>
        <v/>
      </c>
    </row>
    <row r="3491" customFormat="false" ht="15" hidden="false" customHeight="true" outlineLevel="0" collapsed="false">
      <c r="J3491" s="14" t="b">
        <f aca="false">IF(중복검사!$A3489="",FALSE(),중복검사!$H3489="중복")</f>
        <v>0</v>
      </c>
      <c r="K3491" s="5" t="str">
        <f aca="false">IF($J3491=FALSE(),"",COUNTIF($J$6:$J3491,TRUE()))</f>
        <v/>
      </c>
      <c r="L3491" s="5" t="str">
        <f aca="false">IF($K3491="","","R"&amp;$K3491)</f>
        <v/>
      </c>
    </row>
    <row r="3492" customFormat="false" ht="15" hidden="false" customHeight="true" outlineLevel="0" collapsed="false">
      <c r="J3492" s="14" t="b">
        <f aca="false">IF(중복검사!$A3490="",FALSE(),중복검사!$H3490="중복")</f>
        <v>0</v>
      </c>
      <c r="K3492" s="5" t="str">
        <f aca="false">IF($J3492=FALSE(),"",COUNTIF($J$6:$J3492,TRUE()))</f>
        <v/>
      </c>
      <c r="L3492" s="5" t="str">
        <f aca="false">IF($K3492="","","R"&amp;$K3492)</f>
        <v/>
      </c>
    </row>
    <row r="3493" customFormat="false" ht="15" hidden="false" customHeight="true" outlineLevel="0" collapsed="false">
      <c r="J3493" s="14" t="b">
        <f aca="false">IF(중복검사!$A3491="",FALSE(),중복검사!$H3491="중복")</f>
        <v>0</v>
      </c>
      <c r="K3493" s="5" t="str">
        <f aca="false">IF($J3493=FALSE(),"",COUNTIF($J$6:$J3493,TRUE()))</f>
        <v/>
      </c>
      <c r="L3493" s="5" t="str">
        <f aca="false">IF($K3493="","","R"&amp;$K3493)</f>
        <v/>
      </c>
    </row>
    <row r="3494" customFormat="false" ht="15" hidden="false" customHeight="true" outlineLevel="0" collapsed="false">
      <c r="J3494" s="14" t="b">
        <f aca="false">IF(중복검사!$A3492="",FALSE(),중복검사!$H3492="중복")</f>
        <v>0</v>
      </c>
      <c r="K3494" s="5" t="str">
        <f aca="false">IF($J3494=FALSE(),"",COUNTIF($J$6:$J3494,TRUE()))</f>
        <v/>
      </c>
      <c r="L3494" s="5" t="str">
        <f aca="false">IF($K3494="","","R"&amp;$K3494)</f>
        <v/>
      </c>
    </row>
    <row r="3495" customFormat="false" ht="15" hidden="false" customHeight="true" outlineLevel="0" collapsed="false">
      <c r="J3495" s="14" t="b">
        <f aca="false">IF(중복검사!$A3493="",FALSE(),중복검사!$H3493="중복")</f>
        <v>0</v>
      </c>
      <c r="K3495" s="5" t="str">
        <f aca="false">IF($J3495=FALSE(),"",COUNTIF($J$6:$J3495,TRUE()))</f>
        <v/>
      </c>
      <c r="L3495" s="5" t="str">
        <f aca="false">IF($K3495="","","R"&amp;$K3495)</f>
        <v/>
      </c>
    </row>
    <row r="3496" customFormat="false" ht="15" hidden="false" customHeight="true" outlineLevel="0" collapsed="false">
      <c r="J3496" s="14" t="b">
        <f aca="false">IF(중복검사!$A3494="",FALSE(),중복검사!$H3494="중복")</f>
        <v>0</v>
      </c>
      <c r="K3496" s="5" t="str">
        <f aca="false">IF($J3496=FALSE(),"",COUNTIF($J$6:$J3496,TRUE()))</f>
        <v/>
      </c>
      <c r="L3496" s="5" t="str">
        <f aca="false">IF($K3496="","","R"&amp;$K3496)</f>
        <v/>
      </c>
    </row>
    <row r="3497" customFormat="false" ht="15" hidden="false" customHeight="true" outlineLevel="0" collapsed="false">
      <c r="J3497" s="14" t="b">
        <f aca="false">IF(중복검사!$A3495="",FALSE(),중복검사!$H3495="중복")</f>
        <v>0</v>
      </c>
      <c r="K3497" s="5" t="str">
        <f aca="false">IF($J3497=FALSE(),"",COUNTIF($J$6:$J3497,TRUE()))</f>
        <v/>
      </c>
      <c r="L3497" s="5" t="str">
        <f aca="false">IF($K3497="","","R"&amp;$K3497)</f>
        <v/>
      </c>
    </row>
    <row r="3498" customFormat="false" ht="15" hidden="false" customHeight="true" outlineLevel="0" collapsed="false">
      <c r="J3498" s="14" t="b">
        <f aca="false">IF(중복검사!$A3496="",FALSE(),중복검사!$H3496="중복")</f>
        <v>0</v>
      </c>
      <c r="K3498" s="5" t="str">
        <f aca="false">IF($J3498=FALSE(),"",COUNTIF($J$6:$J3498,TRUE()))</f>
        <v/>
      </c>
      <c r="L3498" s="5" t="str">
        <f aca="false">IF($K3498="","","R"&amp;$K3498)</f>
        <v/>
      </c>
    </row>
    <row r="3499" customFormat="false" ht="15" hidden="false" customHeight="true" outlineLevel="0" collapsed="false">
      <c r="J3499" s="14" t="b">
        <f aca="false">IF(중복검사!$A3497="",FALSE(),중복검사!$H3497="중복")</f>
        <v>0</v>
      </c>
      <c r="K3499" s="5" t="str">
        <f aca="false">IF($J3499=FALSE(),"",COUNTIF($J$6:$J3499,TRUE()))</f>
        <v/>
      </c>
      <c r="L3499" s="5" t="str">
        <f aca="false">IF($K3499="","","R"&amp;$K3499)</f>
        <v/>
      </c>
    </row>
    <row r="3500" customFormat="false" ht="15" hidden="false" customHeight="true" outlineLevel="0" collapsed="false">
      <c r="J3500" s="14" t="b">
        <f aca="false">IF(중복검사!$A3498="",FALSE(),중복검사!$H3498="중복")</f>
        <v>0</v>
      </c>
      <c r="K3500" s="5" t="str">
        <f aca="false">IF($J3500=FALSE(),"",COUNTIF($J$6:$J3500,TRUE()))</f>
        <v/>
      </c>
      <c r="L3500" s="5" t="str">
        <f aca="false">IF($K3500="","","R"&amp;$K3500)</f>
        <v/>
      </c>
    </row>
    <row r="3501" customFormat="false" ht="15" hidden="false" customHeight="true" outlineLevel="0" collapsed="false">
      <c r="J3501" s="14" t="b">
        <f aca="false">IF(중복검사!$A3499="",FALSE(),중복검사!$H3499="중복")</f>
        <v>0</v>
      </c>
      <c r="K3501" s="5" t="str">
        <f aca="false">IF($J3501=FALSE(),"",COUNTIF($J$6:$J3501,TRUE()))</f>
        <v/>
      </c>
      <c r="L3501" s="5" t="str">
        <f aca="false">IF($K3501="","","R"&amp;$K3501)</f>
        <v/>
      </c>
    </row>
    <row r="3502" customFormat="false" ht="15" hidden="false" customHeight="true" outlineLevel="0" collapsed="false">
      <c r="J3502" s="14" t="b">
        <f aca="false">IF(중복검사!$A3500="",FALSE(),중복검사!$H3500="중복")</f>
        <v>0</v>
      </c>
      <c r="K3502" s="5" t="str">
        <f aca="false">IF($J3502=FALSE(),"",COUNTIF($J$6:$J3502,TRUE()))</f>
        <v/>
      </c>
      <c r="L3502" s="5" t="str">
        <f aca="false">IF($K3502="","","R"&amp;$K3502)</f>
        <v/>
      </c>
    </row>
    <row r="3503" customFormat="false" ht="15" hidden="false" customHeight="true" outlineLevel="0" collapsed="false">
      <c r="J3503" s="14" t="b">
        <f aca="false">IF(중복검사!$A3501="",FALSE(),중복검사!$H3501="중복")</f>
        <v>0</v>
      </c>
      <c r="K3503" s="5" t="str">
        <f aca="false">IF($J3503=FALSE(),"",COUNTIF($J$6:$J3503,TRUE()))</f>
        <v/>
      </c>
      <c r="L3503" s="5" t="str">
        <f aca="false">IF($K3503="","","R"&amp;$K3503)</f>
        <v/>
      </c>
    </row>
    <row r="3504" customFormat="false" ht="15" hidden="false" customHeight="true" outlineLevel="0" collapsed="false">
      <c r="J3504" s="14" t="b">
        <f aca="false">IF(중복검사!$A3502="",FALSE(),중복검사!$H3502="중복")</f>
        <v>0</v>
      </c>
      <c r="K3504" s="5" t="str">
        <f aca="false">IF($J3504=FALSE(),"",COUNTIF($J$6:$J3504,TRUE()))</f>
        <v/>
      </c>
      <c r="L3504" s="5" t="str">
        <f aca="false">IF($K3504="","","R"&amp;$K3504)</f>
        <v/>
      </c>
    </row>
    <row r="3505" customFormat="false" ht="15" hidden="false" customHeight="true" outlineLevel="0" collapsed="false">
      <c r="J3505" s="14" t="b">
        <f aca="false">IF(중복검사!$A3503="",FALSE(),중복검사!$H3503="중복")</f>
        <v>0</v>
      </c>
      <c r="K3505" s="5" t="str">
        <f aca="false">IF($J3505=FALSE(),"",COUNTIF($J$6:$J3505,TRUE()))</f>
        <v/>
      </c>
      <c r="L3505" s="5" t="str">
        <f aca="false">IF($K3505="","","R"&amp;$K3505)</f>
        <v/>
      </c>
    </row>
    <row r="3506" customFormat="false" ht="15" hidden="false" customHeight="true" outlineLevel="0" collapsed="false">
      <c r="J3506" s="14" t="b">
        <f aca="false">IF(중복검사!$A3504="",FALSE(),중복검사!$H3504="중복")</f>
        <v>0</v>
      </c>
      <c r="K3506" s="5" t="str">
        <f aca="false">IF($J3506=FALSE(),"",COUNTIF($J$6:$J3506,TRUE()))</f>
        <v/>
      </c>
      <c r="L3506" s="5" t="str">
        <f aca="false">IF($K3506="","","R"&amp;$K3506)</f>
        <v/>
      </c>
    </row>
    <row r="3507" customFormat="false" ht="15" hidden="false" customHeight="true" outlineLevel="0" collapsed="false">
      <c r="J3507" s="14" t="b">
        <f aca="false">IF(중복검사!$A3505="",FALSE(),중복검사!$H3505="중복")</f>
        <v>0</v>
      </c>
      <c r="K3507" s="5" t="str">
        <f aca="false">IF($J3507=FALSE(),"",COUNTIF($J$6:$J3507,TRUE()))</f>
        <v/>
      </c>
      <c r="L3507" s="5" t="str">
        <f aca="false">IF($K3507="","","R"&amp;$K3507)</f>
        <v/>
      </c>
    </row>
    <row r="3508" customFormat="false" ht="15" hidden="false" customHeight="true" outlineLevel="0" collapsed="false">
      <c r="J3508" s="14" t="b">
        <f aca="false">IF(중복검사!$A3506="",FALSE(),중복검사!$H3506="중복")</f>
        <v>0</v>
      </c>
      <c r="K3508" s="5" t="str">
        <f aca="false">IF($J3508=FALSE(),"",COUNTIF($J$6:$J3508,TRUE()))</f>
        <v/>
      </c>
      <c r="L3508" s="5" t="str">
        <f aca="false">IF($K3508="","","R"&amp;$K3508)</f>
        <v/>
      </c>
    </row>
    <row r="3509" customFormat="false" ht="15" hidden="false" customHeight="true" outlineLevel="0" collapsed="false">
      <c r="J3509" s="14" t="b">
        <f aca="false">IF(중복검사!$A3507="",FALSE(),중복검사!$H3507="중복")</f>
        <v>0</v>
      </c>
      <c r="K3509" s="5" t="str">
        <f aca="false">IF($J3509=FALSE(),"",COUNTIF($J$6:$J3509,TRUE()))</f>
        <v/>
      </c>
      <c r="L3509" s="5" t="str">
        <f aca="false">IF($K3509="","","R"&amp;$K3509)</f>
        <v/>
      </c>
    </row>
    <row r="3510" customFormat="false" ht="15" hidden="false" customHeight="true" outlineLevel="0" collapsed="false">
      <c r="J3510" s="14" t="b">
        <f aca="false">IF(중복검사!$A3508="",FALSE(),중복검사!$H3508="중복")</f>
        <v>0</v>
      </c>
      <c r="K3510" s="5" t="str">
        <f aca="false">IF($J3510=FALSE(),"",COUNTIF($J$6:$J3510,TRUE()))</f>
        <v/>
      </c>
      <c r="L3510" s="5" t="str">
        <f aca="false">IF($K3510="","","R"&amp;$K3510)</f>
        <v/>
      </c>
    </row>
    <row r="3511" customFormat="false" ht="15" hidden="false" customHeight="true" outlineLevel="0" collapsed="false">
      <c r="J3511" s="14" t="b">
        <f aca="false">IF(중복검사!$A3509="",FALSE(),중복검사!$H3509="중복")</f>
        <v>0</v>
      </c>
      <c r="K3511" s="5" t="str">
        <f aca="false">IF($J3511=FALSE(),"",COUNTIF($J$6:$J3511,TRUE()))</f>
        <v/>
      </c>
      <c r="L3511" s="5" t="str">
        <f aca="false">IF($K3511="","","R"&amp;$K3511)</f>
        <v/>
      </c>
    </row>
    <row r="3512" customFormat="false" ht="15" hidden="false" customHeight="true" outlineLevel="0" collapsed="false">
      <c r="J3512" s="14" t="b">
        <f aca="false">IF(중복검사!$A3510="",FALSE(),중복검사!$H3510="중복")</f>
        <v>0</v>
      </c>
      <c r="K3512" s="5" t="str">
        <f aca="false">IF($J3512=FALSE(),"",COUNTIF($J$6:$J3512,TRUE()))</f>
        <v/>
      </c>
      <c r="L3512" s="5" t="str">
        <f aca="false">IF($K3512="","","R"&amp;$K3512)</f>
        <v/>
      </c>
    </row>
    <row r="3513" customFormat="false" ht="15" hidden="false" customHeight="true" outlineLevel="0" collapsed="false">
      <c r="J3513" s="14" t="b">
        <f aca="false">IF(중복검사!$A3511="",FALSE(),중복검사!$H3511="중복")</f>
        <v>0</v>
      </c>
      <c r="K3513" s="5" t="str">
        <f aca="false">IF($J3513=FALSE(),"",COUNTIF($J$6:$J3513,TRUE()))</f>
        <v/>
      </c>
      <c r="L3513" s="5" t="str">
        <f aca="false">IF($K3513="","","R"&amp;$K3513)</f>
        <v/>
      </c>
    </row>
    <row r="3514" customFormat="false" ht="15" hidden="false" customHeight="true" outlineLevel="0" collapsed="false">
      <c r="J3514" s="14" t="b">
        <f aca="false">IF(중복검사!$A3512="",FALSE(),중복검사!$H3512="중복")</f>
        <v>0</v>
      </c>
      <c r="K3514" s="5" t="str">
        <f aca="false">IF($J3514=FALSE(),"",COUNTIF($J$6:$J3514,TRUE()))</f>
        <v/>
      </c>
      <c r="L3514" s="5" t="str">
        <f aca="false">IF($K3514="","","R"&amp;$K3514)</f>
        <v/>
      </c>
    </row>
    <row r="3515" customFormat="false" ht="15" hidden="false" customHeight="true" outlineLevel="0" collapsed="false">
      <c r="J3515" s="14" t="b">
        <f aca="false">IF(중복검사!$A3513="",FALSE(),중복검사!$H3513="중복")</f>
        <v>0</v>
      </c>
      <c r="K3515" s="5" t="str">
        <f aca="false">IF($J3515=FALSE(),"",COUNTIF($J$6:$J3515,TRUE()))</f>
        <v/>
      </c>
      <c r="L3515" s="5" t="str">
        <f aca="false">IF($K3515="","","R"&amp;$K3515)</f>
        <v/>
      </c>
    </row>
    <row r="3516" customFormat="false" ht="15" hidden="false" customHeight="true" outlineLevel="0" collapsed="false">
      <c r="J3516" s="14" t="b">
        <f aca="false">IF(중복검사!$A3514="",FALSE(),중복검사!$H3514="중복")</f>
        <v>0</v>
      </c>
      <c r="K3516" s="5" t="str">
        <f aca="false">IF($J3516=FALSE(),"",COUNTIF($J$6:$J3516,TRUE()))</f>
        <v/>
      </c>
      <c r="L3516" s="5" t="str">
        <f aca="false">IF($K3516="","","R"&amp;$K3516)</f>
        <v/>
      </c>
    </row>
    <row r="3517" customFormat="false" ht="15" hidden="false" customHeight="true" outlineLevel="0" collapsed="false">
      <c r="J3517" s="14" t="b">
        <f aca="false">IF(중복검사!$A3515="",FALSE(),중복검사!$H3515="중복")</f>
        <v>0</v>
      </c>
      <c r="K3517" s="5" t="str">
        <f aca="false">IF($J3517=FALSE(),"",COUNTIF($J$6:$J3517,TRUE()))</f>
        <v/>
      </c>
      <c r="L3517" s="5" t="str">
        <f aca="false">IF($K3517="","","R"&amp;$K3517)</f>
        <v/>
      </c>
    </row>
    <row r="3518" customFormat="false" ht="15" hidden="false" customHeight="true" outlineLevel="0" collapsed="false">
      <c r="J3518" s="14" t="b">
        <f aca="false">IF(중복검사!$A3516="",FALSE(),중복검사!$H3516="중복")</f>
        <v>0</v>
      </c>
      <c r="K3518" s="5" t="str">
        <f aca="false">IF($J3518=FALSE(),"",COUNTIF($J$6:$J3518,TRUE()))</f>
        <v/>
      </c>
      <c r="L3518" s="5" t="str">
        <f aca="false">IF($K3518="","","R"&amp;$K3518)</f>
        <v/>
      </c>
    </row>
    <row r="3519" customFormat="false" ht="15" hidden="false" customHeight="true" outlineLevel="0" collapsed="false">
      <c r="J3519" s="14" t="b">
        <f aca="false">IF(중복검사!$A3517="",FALSE(),중복검사!$H3517="중복")</f>
        <v>0</v>
      </c>
      <c r="K3519" s="5" t="str">
        <f aca="false">IF($J3519=FALSE(),"",COUNTIF($J$6:$J3519,TRUE()))</f>
        <v/>
      </c>
      <c r="L3519" s="5" t="str">
        <f aca="false">IF($K3519="","","R"&amp;$K3519)</f>
        <v/>
      </c>
    </row>
    <row r="3520" customFormat="false" ht="15" hidden="false" customHeight="true" outlineLevel="0" collapsed="false">
      <c r="J3520" s="14" t="b">
        <f aca="false">IF(중복검사!$A3518="",FALSE(),중복검사!$H3518="중복")</f>
        <v>0</v>
      </c>
      <c r="K3520" s="5" t="str">
        <f aca="false">IF($J3520=FALSE(),"",COUNTIF($J$6:$J3520,TRUE()))</f>
        <v/>
      </c>
      <c r="L3520" s="5" t="str">
        <f aca="false">IF($K3520="","","R"&amp;$K3520)</f>
        <v/>
      </c>
    </row>
    <row r="3521" customFormat="false" ht="15" hidden="false" customHeight="true" outlineLevel="0" collapsed="false">
      <c r="J3521" s="14" t="b">
        <f aca="false">IF(중복검사!$A3519="",FALSE(),중복검사!$H3519="중복")</f>
        <v>0</v>
      </c>
      <c r="K3521" s="5" t="str">
        <f aca="false">IF($J3521=FALSE(),"",COUNTIF($J$6:$J3521,TRUE()))</f>
        <v/>
      </c>
      <c r="L3521" s="5" t="str">
        <f aca="false">IF($K3521="","","R"&amp;$K3521)</f>
        <v/>
      </c>
    </row>
    <row r="3522" customFormat="false" ht="15" hidden="false" customHeight="true" outlineLevel="0" collapsed="false">
      <c r="J3522" s="14" t="b">
        <f aca="false">IF(중복검사!$A3520="",FALSE(),중복검사!$H3520="중복")</f>
        <v>0</v>
      </c>
      <c r="K3522" s="5" t="str">
        <f aca="false">IF($J3522=FALSE(),"",COUNTIF($J$6:$J3522,TRUE()))</f>
        <v/>
      </c>
      <c r="L3522" s="5" t="str">
        <f aca="false">IF($K3522="","","R"&amp;$K3522)</f>
        <v/>
      </c>
    </row>
    <row r="3523" customFormat="false" ht="15" hidden="false" customHeight="true" outlineLevel="0" collapsed="false">
      <c r="J3523" s="14" t="b">
        <f aca="false">IF(중복검사!$A3521="",FALSE(),중복검사!$H3521="중복")</f>
        <v>0</v>
      </c>
      <c r="K3523" s="5" t="str">
        <f aca="false">IF($J3523=FALSE(),"",COUNTIF($J$6:$J3523,TRUE()))</f>
        <v/>
      </c>
      <c r="L3523" s="5" t="str">
        <f aca="false">IF($K3523="","","R"&amp;$K3523)</f>
        <v/>
      </c>
    </row>
    <row r="3524" customFormat="false" ht="15" hidden="false" customHeight="true" outlineLevel="0" collapsed="false">
      <c r="J3524" s="14" t="b">
        <f aca="false">IF(중복검사!$A3522="",FALSE(),중복검사!$H3522="중복")</f>
        <v>0</v>
      </c>
      <c r="K3524" s="5" t="str">
        <f aca="false">IF($J3524=FALSE(),"",COUNTIF($J$6:$J3524,TRUE()))</f>
        <v/>
      </c>
      <c r="L3524" s="5" t="str">
        <f aca="false">IF($K3524="","","R"&amp;$K3524)</f>
        <v/>
      </c>
    </row>
    <row r="3525" customFormat="false" ht="15" hidden="false" customHeight="true" outlineLevel="0" collapsed="false">
      <c r="J3525" s="14" t="b">
        <f aca="false">IF(중복검사!$A3523="",FALSE(),중복검사!$H3523="중복")</f>
        <v>0</v>
      </c>
      <c r="K3525" s="5" t="str">
        <f aca="false">IF($J3525=FALSE(),"",COUNTIF($J$6:$J3525,TRUE()))</f>
        <v/>
      </c>
      <c r="L3525" s="5" t="str">
        <f aca="false">IF($K3525="","","R"&amp;$K3525)</f>
        <v/>
      </c>
    </row>
    <row r="3526" customFormat="false" ht="15" hidden="false" customHeight="true" outlineLevel="0" collapsed="false">
      <c r="J3526" s="14" t="b">
        <f aca="false">IF(중복검사!$A3524="",FALSE(),중복검사!$H3524="중복")</f>
        <v>0</v>
      </c>
      <c r="K3526" s="5" t="str">
        <f aca="false">IF($J3526=FALSE(),"",COUNTIF($J$6:$J3526,TRUE()))</f>
        <v/>
      </c>
      <c r="L3526" s="5" t="str">
        <f aca="false">IF($K3526="","","R"&amp;$K3526)</f>
        <v/>
      </c>
    </row>
    <row r="3527" customFormat="false" ht="15" hidden="false" customHeight="true" outlineLevel="0" collapsed="false">
      <c r="J3527" s="14" t="b">
        <f aca="false">IF(중복검사!$A3525="",FALSE(),중복검사!$H3525="중복")</f>
        <v>0</v>
      </c>
      <c r="K3527" s="5" t="str">
        <f aca="false">IF($J3527=FALSE(),"",COUNTIF($J$6:$J3527,TRUE()))</f>
        <v/>
      </c>
      <c r="L3527" s="5" t="str">
        <f aca="false">IF($K3527="","","R"&amp;$K3527)</f>
        <v/>
      </c>
    </row>
    <row r="3528" customFormat="false" ht="15" hidden="false" customHeight="true" outlineLevel="0" collapsed="false">
      <c r="J3528" s="14" t="b">
        <f aca="false">IF(중복검사!$A3526="",FALSE(),중복검사!$H3526="중복")</f>
        <v>0</v>
      </c>
      <c r="K3528" s="5" t="str">
        <f aca="false">IF($J3528=FALSE(),"",COUNTIF($J$6:$J3528,TRUE()))</f>
        <v/>
      </c>
      <c r="L3528" s="5" t="str">
        <f aca="false">IF($K3528="","","R"&amp;$K3528)</f>
        <v/>
      </c>
    </row>
    <row r="3529" customFormat="false" ht="15" hidden="false" customHeight="true" outlineLevel="0" collapsed="false">
      <c r="J3529" s="14" t="b">
        <f aca="false">IF(중복검사!$A3527="",FALSE(),중복검사!$H3527="중복")</f>
        <v>0</v>
      </c>
      <c r="K3529" s="5" t="str">
        <f aca="false">IF($J3529=FALSE(),"",COUNTIF($J$6:$J3529,TRUE()))</f>
        <v/>
      </c>
      <c r="L3529" s="5" t="str">
        <f aca="false">IF($K3529="","","R"&amp;$K3529)</f>
        <v/>
      </c>
    </row>
    <row r="3530" customFormat="false" ht="15" hidden="false" customHeight="true" outlineLevel="0" collapsed="false">
      <c r="J3530" s="14" t="b">
        <f aca="false">IF(중복검사!$A3528="",FALSE(),중복검사!$H3528="중복")</f>
        <v>0</v>
      </c>
      <c r="K3530" s="5" t="str">
        <f aca="false">IF($J3530=FALSE(),"",COUNTIF($J$6:$J3530,TRUE()))</f>
        <v/>
      </c>
      <c r="L3530" s="5" t="str">
        <f aca="false">IF($K3530="","","R"&amp;$K3530)</f>
        <v/>
      </c>
    </row>
    <row r="3531" customFormat="false" ht="15" hidden="false" customHeight="true" outlineLevel="0" collapsed="false">
      <c r="J3531" s="14" t="b">
        <f aca="false">IF(중복검사!$A3529="",FALSE(),중복검사!$H3529="중복")</f>
        <v>0</v>
      </c>
      <c r="K3531" s="5" t="str">
        <f aca="false">IF($J3531=FALSE(),"",COUNTIF($J$6:$J3531,TRUE()))</f>
        <v/>
      </c>
      <c r="L3531" s="5" t="str">
        <f aca="false">IF($K3531="","","R"&amp;$K3531)</f>
        <v/>
      </c>
    </row>
    <row r="3532" customFormat="false" ht="15" hidden="false" customHeight="true" outlineLevel="0" collapsed="false">
      <c r="J3532" s="14" t="b">
        <f aca="false">IF(중복검사!$A3530="",FALSE(),중복검사!$H3530="중복")</f>
        <v>0</v>
      </c>
      <c r="K3532" s="5" t="str">
        <f aca="false">IF($J3532=FALSE(),"",COUNTIF($J$6:$J3532,TRUE()))</f>
        <v/>
      </c>
      <c r="L3532" s="5" t="str">
        <f aca="false">IF($K3532="","","R"&amp;$K3532)</f>
        <v/>
      </c>
    </row>
    <row r="3533" customFormat="false" ht="15" hidden="false" customHeight="true" outlineLevel="0" collapsed="false">
      <c r="J3533" s="14" t="b">
        <f aca="false">IF(중복검사!$A3531="",FALSE(),중복검사!$H3531="중복")</f>
        <v>0</v>
      </c>
      <c r="K3533" s="5" t="str">
        <f aca="false">IF($J3533=FALSE(),"",COUNTIF($J$6:$J3533,TRUE()))</f>
        <v/>
      </c>
      <c r="L3533" s="5" t="str">
        <f aca="false">IF($K3533="","","R"&amp;$K3533)</f>
        <v/>
      </c>
    </row>
    <row r="3534" customFormat="false" ht="15" hidden="false" customHeight="true" outlineLevel="0" collapsed="false">
      <c r="J3534" s="14" t="b">
        <f aca="false">IF(중복검사!$A3532="",FALSE(),중복검사!$H3532="중복")</f>
        <v>0</v>
      </c>
      <c r="K3534" s="5" t="str">
        <f aca="false">IF($J3534=FALSE(),"",COUNTIF($J$6:$J3534,TRUE()))</f>
        <v/>
      </c>
      <c r="L3534" s="5" t="str">
        <f aca="false">IF($K3534="","","R"&amp;$K3534)</f>
        <v/>
      </c>
    </row>
    <row r="3535" customFormat="false" ht="15" hidden="false" customHeight="true" outlineLevel="0" collapsed="false">
      <c r="J3535" s="14" t="b">
        <f aca="false">IF(중복검사!$A3533="",FALSE(),중복검사!$H3533="중복")</f>
        <v>0</v>
      </c>
      <c r="K3535" s="5" t="str">
        <f aca="false">IF($J3535=FALSE(),"",COUNTIF($J$6:$J3535,TRUE()))</f>
        <v/>
      </c>
      <c r="L3535" s="5" t="str">
        <f aca="false">IF($K3535="","","R"&amp;$K3535)</f>
        <v/>
      </c>
    </row>
    <row r="3536" customFormat="false" ht="15" hidden="false" customHeight="true" outlineLevel="0" collapsed="false">
      <c r="J3536" s="14" t="b">
        <f aca="false">IF(중복검사!$A3534="",FALSE(),중복검사!$H3534="중복")</f>
        <v>0</v>
      </c>
      <c r="K3536" s="5" t="str">
        <f aca="false">IF($J3536=FALSE(),"",COUNTIF($J$6:$J3536,TRUE()))</f>
        <v/>
      </c>
      <c r="L3536" s="5" t="str">
        <f aca="false">IF($K3536="","","R"&amp;$K3536)</f>
        <v/>
      </c>
    </row>
    <row r="3537" customFormat="false" ht="15" hidden="false" customHeight="true" outlineLevel="0" collapsed="false">
      <c r="J3537" s="14" t="b">
        <f aca="false">IF(중복검사!$A3535="",FALSE(),중복검사!$H3535="중복")</f>
        <v>0</v>
      </c>
      <c r="K3537" s="5" t="str">
        <f aca="false">IF($J3537=FALSE(),"",COUNTIF($J$6:$J3537,TRUE()))</f>
        <v/>
      </c>
      <c r="L3537" s="5" t="str">
        <f aca="false">IF($K3537="","","R"&amp;$K3537)</f>
        <v/>
      </c>
    </row>
    <row r="3538" customFormat="false" ht="15" hidden="false" customHeight="true" outlineLevel="0" collapsed="false">
      <c r="J3538" s="14" t="b">
        <f aca="false">IF(중복검사!$A3536="",FALSE(),중복검사!$H3536="중복")</f>
        <v>0</v>
      </c>
      <c r="K3538" s="5" t="str">
        <f aca="false">IF($J3538=FALSE(),"",COUNTIF($J$6:$J3538,TRUE()))</f>
        <v/>
      </c>
      <c r="L3538" s="5" t="str">
        <f aca="false">IF($K3538="","","R"&amp;$K3538)</f>
        <v/>
      </c>
    </row>
    <row r="3539" customFormat="false" ht="15" hidden="false" customHeight="true" outlineLevel="0" collapsed="false">
      <c r="J3539" s="14" t="b">
        <f aca="false">IF(중복검사!$A3537="",FALSE(),중복검사!$H3537="중복")</f>
        <v>0</v>
      </c>
      <c r="K3539" s="5" t="str">
        <f aca="false">IF($J3539=FALSE(),"",COUNTIF($J$6:$J3539,TRUE()))</f>
        <v/>
      </c>
      <c r="L3539" s="5" t="str">
        <f aca="false">IF($K3539="","","R"&amp;$K3539)</f>
        <v/>
      </c>
    </row>
    <row r="3540" customFormat="false" ht="15" hidden="false" customHeight="true" outlineLevel="0" collapsed="false">
      <c r="J3540" s="14" t="b">
        <f aca="false">IF(중복검사!$A3538="",FALSE(),중복검사!$H3538="중복")</f>
        <v>0</v>
      </c>
      <c r="K3540" s="5" t="str">
        <f aca="false">IF($J3540=FALSE(),"",COUNTIF($J$6:$J3540,TRUE()))</f>
        <v/>
      </c>
      <c r="L3540" s="5" t="str">
        <f aca="false">IF($K3540="","","R"&amp;$K3540)</f>
        <v/>
      </c>
    </row>
    <row r="3541" customFormat="false" ht="15" hidden="false" customHeight="true" outlineLevel="0" collapsed="false">
      <c r="J3541" s="14" t="b">
        <f aca="false">IF(중복검사!$A3539="",FALSE(),중복검사!$H3539="중복")</f>
        <v>0</v>
      </c>
      <c r="K3541" s="5" t="str">
        <f aca="false">IF($J3541=FALSE(),"",COUNTIF($J$6:$J3541,TRUE()))</f>
        <v/>
      </c>
      <c r="L3541" s="5" t="str">
        <f aca="false">IF($K3541="","","R"&amp;$K3541)</f>
        <v/>
      </c>
    </row>
    <row r="3542" customFormat="false" ht="15" hidden="false" customHeight="true" outlineLevel="0" collapsed="false">
      <c r="J3542" s="14" t="b">
        <f aca="false">IF(중복검사!$A3540="",FALSE(),중복검사!$H3540="중복")</f>
        <v>0</v>
      </c>
      <c r="K3542" s="5" t="str">
        <f aca="false">IF($J3542=FALSE(),"",COUNTIF($J$6:$J3542,TRUE()))</f>
        <v/>
      </c>
      <c r="L3542" s="5" t="str">
        <f aca="false">IF($K3542="","","R"&amp;$K3542)</f>
        <v/>
      </c>
    </row>
    <row r="3543" customFormat="false" ht="15" hidden="false" customHeight="true" outlineLevel="0" collapsed="false">
      <c r="J3543" s="14" t="b">
        <f aca="false">IF(중복검사!$A3541="",FALSE(),중복검사!$H3541="중복")</f>
        <v>0</v>
      </c>
      <c r="K3543" s="5" t="str">
        <f aca="false">IF($J3543=FALSE(),"",COUNTIF($J$6:$J3543,TRUE()))</f>
        <v/>
      </c>
      <c r="L3543" s="5" t="str">
        <f aca="false">IF($K3543="","","R"&amp;$K3543)</f>
        <v/>
      </c>
    </row>
    <row r="3544" customFormat="false" ht="15" hidden="false" customHeight="true" outlineLevel="0" collapsed="false">
      <c r="J3544" s="14" t="b">
        <f aca="false">IF(중복검사!$A3542="",FALSE(),중복검사!$H3542="중복")</f>
        <v>0</v>
      </c>
      <c r="K3544" s="5" t="str">
        <f aca="false">IF($J3544=FALSE(),"",COUNTIF($J$6:$J3544,TRUE()))</f>
        <v/>
      </c>
      <c r="L3544" s="5" t="str">
        <f aca="false">IF($K3544="","","R"&amp;$K3544)</f>
        <v/>
      </c>
    </row>
    <row r="3545" customFormat="false" ht="15" hidden="false" customHeight="true" outlineLevel="0" collapsed="false">
      <c r="J3545" s="14" t="b">
        <f aca="false">IF(중복검사!$A3543="",FALSE(),중복검사!$H3543="중복")</f>
        <v>0</v>
      </c>
      <c r="K3545" s="5" t="str">
        <f aca="false">IF($J3545=FALSE(),"",COUNTIF($J$6:$J3545,TRUE()))</f>
        <v/>
      </c>
      <c r="L3545" s="5" t="str">
        <f aca="false">IF($K3545="","","R"&amp;$K3545)</f>
        <v/>
      </c>
    </row>
    <row r="3546" customFormat="false" ht="15" hidden="false" customHeight="true" outlineLevel="0" collapsed="false">
      <c r="J3546" s="14" t="b">
        <f aca="false">IF(중복검사!$A3544="",FALSE(),중복검사!$H3544="중복")</f>
        <v>0</v>
      </c>
      <c r="K3546" s="5" t="str">
        <f aca="false">IF($J3546=FALSE(),"",COUNTIF($J$6:$J3546,TRUE()))</f>
        <v/>
      </c>
      <c r="L3546" s="5" t="str">
        <f aca="false">IF($K3546="","","R"&amp;$K3546)</f>
        <v/>
      </c>
    </row>
    <row r="3547" customFormat="false" ht="15" hidden="false" customHeight="true" outlineLevel="0" collapsed="false">
      <c r="J3547" s="14" t="b">
        <f aca="false">IF(중복검사!$A3545="",FALSE(),중복검사!$H3545="중복")</f>
        <v>0</v>
      </c>
      <c r="K3547" s="5" t="str">
        <f aca="false">IF($J3547=FALSE(),"",COUNTIF($J$6:$J3547,TRUE()))</f>
        <v/>
      </c>
      <c r="L3547" s="5" t="str">
        <f aca="false">IF($K3547="","","R"&amp;$K3547)</f>
        <v/>
      </c>
    </row>
    <row r="3548" customFormat="false" ht="15" hidden="false" customHeight="true" outlineLevel="0" collapsed="false">
      <c r="J3548" s="14" t="b">
        <f aca="false">IF(중복검사!$A3546="",FALSE(),중복검사!$H3546="중복")</f>
        <v>0</v>
      </c>
      <c r="K3548" s="5" t="str">
        <f aca="false">IF($J3548=FALSE(),"",COUNTIF($J$6:$J3548,TRUE()))</f>
        <v/>
      </c>
      <c r="L3548" s="5" t="str">
        <f aca="false">IF($K3548="","","R"&amp;$K3548)</f>
        <v/>
      </c>
    </row>
    <row r="3549" customFormat="false" ht="15" hidden="false" customHeight="true" outlineLevel="0" collapsed="false">
      <c r="J3549" s="14" t="b">
        <f aca="false">IF(중복검사!$A3547="",FALSE(),중복검사!$H3547="중복")</f>
        <v>0</v>
      </c>
      <c r="K3549" s="5" t="str">
        <f aca="false">IF($J3549=FALSE(),"",COUNTIF($J$6:$J3549,TRUE()))</f>
        <v/>
      </c>
      <c r="L3549" s="5" t="str">
        <f aca="false">IF($K3549="","","R"&amp;$K3549)</f>
        <v/>
      </c>
    </row>
    <row r="3550" customFormat="false" ht="15" hidden="false" customHeight="true" outlineLevel="0" collapsed="false">
      <c r="J3550" s="14" t="b">
        <f aca="false">IF(중복검사!$A3548="",FALSE(),중복검사!$H3548="중복")</f>
        <v>0</v>
      </c>
      <c r="K3550" s="5" t="str">
        <f aca="false">IF($J3550=FALSE(),"",COUNTIF($J$6:$J3550,TRUE()))</f>
        <v/>
      </c>
      <c r="L3550" s="5" t="str">
        <f aca="false">IF($K3550="","","R"&amp;$K3550)</f>
        <v/>
      </c>
    </row>
    <row r="3551" customFormat="false" ht="15" hidden="false" customHeight="true" outlineLevel="0" collapsed="false">
      <c r="J3551" s="14" t="b">
        <f aca="false">IF(중복검사!$A3549="",FALSE(),중복검사!$H3549="중복")</f>
        <v>0</v>
      </c>
      <c r="K3551" s="5" t="str">
        <f aca="false">IF($J3551=FALSE(),"",COUNTIF($J$6:$J3551,TRUE()))</f>
        <v/>
      </c>
      <c r="L3551" s="5" t="str">
        <f aca="false">IF($K3551="","","R"&amp;$K3551)</f>
        <v/>
      </c>
    </row>
    <row r="3552" customFormat="false" ht="15" hidden="false" customHeight="true" outlineLevel="0" collapsed="false">
      <c r="J3552" s="14" t="b">
        <f aca="false">IF(중복검사!$A3550="",FALSE(),중복검사!$H3550="중복")</f>
        <v>0</v>
      </c>
      <c r="K3552" s="5" t="str">
        <f aca="false">IF($J3552=FALSE(),"",COUNTIF($J$6:$J3552,TRUE()))</f>
        <v/>
      </c>
      <c r="L3552" s="5" t="str">
        <f aca="false">IF($K3552="","","R"&amp;$K3552)</f>
        <v/>
      </c>
    </row>
    <row r="3553" customFormat="false" ht="15" hidden="false" customHeight="true" outlineLevel="0" collapsed="false">
      <c r="J3553" s="14" t="b">
        <f aca="false">IF(중복검사!$A3551="",FALSE(),중복검사!$H3551="중복")</f>
        <v>0</v>
      </c>
      <c r="K3553" s="5" t="str">
        <f aca="false">IF($J3553=FALSE(),"",COUNTIF($J$6:$J3553,TRUE()))</f>
        <v/>
      </c>
      <c r="L3553" s="5" t="str">
        <f aca="false">IF($K3553="","","R"&amp;$K3553)</f>
        <v/>
      </c>
    </row>
    <row r="3554" customFormat="false" ht="15" hidden="false" customHeight="true" outlineLevel="0" collapsed="false">
      <c r="J3554" s="14" t="b">
        <f aca="false">IF(중복검사!$A3552="",FALSE(),중복검사!$H3552="중복")</f>
        <v>0</v>
      </c>
      <c r="K3554" s="5" t="str">
        <f aca="false">IF($J3554=FALSE(),"",COUNTIF($J$6:$J3554,TRUE()))</f>
        <v/>
      </c>
      <c r="L3554" s="5" t="str">
        <f aca="false">IF($K3554="","","R"&amp;$K3554)</f>
        <v/>
      </c>
    </row>
    <row r="3555" customFormat="false" ht="15" hidden="false" customHeight="true" outlineLevel="0" collapsed="false">
      <c r="J3555" s="14" t="b">
        <f aca="false">IF(중복검사!$A3553="",FALSE(),중복검사!$H3553="중복")</f>
        <v>0</v>
      </c>
      <c r="K3555" s="5" t="str">
        <f aca="false">IF($J3555=FALSE(),"",COUNTIF($J$6:$J3555,TRUE()))</f>
        <v/>
      </c>
      <c r="L3555" s="5" t="str">
        <f aca="false">IF($K3555="","","R"&amp;$K3555)</f>
        <v/>
      </c>
    </row>
    <row r="3556" customFormat="false" ht="15" hidden="false" customHeight="true" outlineLevel="0" collapsed="false">
      <c r="J3556" s="14" t="b">
        <f aca="false">IF(중복검사!$A3554="",FALSE(),중복검사!$H3554="중복")</f>
        <v>0</v>
      </c>
      <c r="K3556" s="5" t="str">
        <f aca="false">IF($J3556=FALSE(),"",COUNTIF($J$6:$J3556,TRUE()))</f>
        <v/>
      </c>
      <c r="L3556" s="5" t="str">
        <f aca="false">IF($K3556="","","R"&amp;$K3556)</f>
        <v/>
      </c>
    </row>
    <row r="3557" customFormat="false" ht="15" hidden="false" customHeight="true" outlineLevel="0" collapsed="false">
      <c r="J3557" s="14" t="b">
        <f aca="false">IF(중복검사!$A3555="",FALSE(),중복검사!$H3555="중복")</f>
        <v>0</v>
      </c>
      <c r="K3557" s="5" t="str">
        <f aca="false">IF($J3557=FALSE(),"",COUNTIF($J$6:$J3557,TRUE()))</f>
        <v/>
      </c>
      <c r="L3557" s="5" t="str">
        <f aca="false">IF($K3557="","","R"&amp;$K3557)</f>
        <v/>
      </c>
    </row>
    <row r="3558" customFormat="false" ht="15" hidden="false" customHeight="true" outlineLevel="0" collapsed="false">
      <c r="J3558" s="14" t="b">
        <f aca="false">IF(중복검사!$A3556="",FALSE(),중복검사!$H3556="중복")</f>
        <v>0</v>
      </c>
      <c r="K3558" s="5" t="str">
        <f aca="false">IF($J3558=FALSE(),"",COUNTIF($J$6:$J3558,TRUE()))</f>
        <v/>
      </c>
      <c r="L3558" s="5" t="str">
        <f aca="false">IF($K3558="","","R"&amp;$K3558)</f>
        <v/>
      </c>
    </row>
    <row r="3559" customFormat="false" ht="15" hidden="false" customHeight="true" outlineLevel="0" collapsed="false">
      <c r="J3559" s="14" t="b">
        <f aca="false">IF(중복검사!$A3557="",FALSE(),중복검사!$H3557="중복")</f>
        <v>0</v>
      </c>
      <c r="K3559" s="5" t="str">
        <f aca="false">IF($J3559=FALSE(),"",COUNTIF($J$6:$J3559,TRUE()))</f>
        <v/>
      </c>
      <c r="L3559" s="5" t="str">
        <f aca="false">IF($K3559="","","R"&amp;$K3559)</f>
        <v/>
      </c>
    </row>
    <row r="3560" customFormat="false" ht="15" hidden="false" customHeight="true" outlineLevel="0" collapsed="false">
      <c r="J3560" s="14" t="b">
        <f aca="false">IF(중복검사!$A3558="",FALSE(),중복검사!$H3558="중복")</f>
        <v>0</v>
      </c>
      <c r="K3560" s="5" t="str">
        <f aca="false">IF($J3560=FALSE(),"",COUNTIF($J$6:$J3560,TRUE()))</f>
        <v/>
      </c>
      <c r="L3560" s="5" t="str">
        <f aca="false">IF($K3560="","","R"&amp;$K3560)</f>
        <v/>
      </c>
    </row>
    <row r="3561" customFormat="false" ht="15" hidden="false" customHeight="true" outlineLevel="0" collapsed="false">
      <c r="J3561" s="14" t="b">
        <f aca="false">IF(중복검사!$A3559="",FALSE(),중복검사!$H3559="중복")</f>
        <v>0</v>
      </c>
      <c r="K3561" s="5" t="str">
        <f aca="false">IF($J3561=FALSE(),"",COUNTIF($J$6:$J3561,TRUE()))</f>
        <v/>
      </c>
      <c r="L3561" s="5" t="str">
        <f aca="false">IF($K3561="","","R"&amp;$K3561)</f>
        <v/>
      </c>
    </row>
    <row r="3562" customFormat="false" ht="15" hidden="false" customHeight="true" outlineLevel="0" collapsed="false">
      <c r="J3562" s="14" t="b">
        <f aca="false">IF(중복검사!$A3560="",FALSE(),중복검사!$H3560="중복")</f>
        <v>0</v>
      </c>
      <c r="K3562" s="5" t="str">
        <f aca="false">IF($J3562=FALSE(),"",COUNTIF($J$6:$J3562,TRUE()))</f>
        <v/>
      </c>
      <c r="L3562" s="5" t="str">
        <f aca="false">IF($K3562="","","R"&amp;$K3562)</f>
        <v/>
      </c>
    </row>
    <row r="3563" customFormat="false" ht="15" hidden="false" customHeight="true" outlineLevel="0" collapsed="false">
      <c r="J3563" s="14" t="b">
        <f aca="false">IF(중복검사!$A3561="",FALSE(),중복검사!$H3561="중복")</f>
        <v>0</v>
      </c>
      <c r="K3563" s="5" t="str">
        <f aca="false">IF($J3563=FALSE(),"",COUNTIF($J$6:$J3563,TRUE()))</f>
        <v/>
      </c>
      <c r="L3563" s="5" t="str">
        <f aca="false">IF($K3563="","","R"&amp;$K3563)</f>
        <v/>
      </c>
    </row>
    <row r="3564" customFormat="false" ht="15" hidden="false" customHeight="true" outlineLevel="0" collapsed="false">
      <c r="J3564" s="14" t="b">
        <f aca="false">IF(중복검사!$A3562="",FALSE(),중복검사!$H3562="중복")</f>
        <v>0</v>
      </c>
      <c r="K3564" s="5" t="str">
        <f aca="false">IF($J3564=FALSE(),"",COUNTIF($J$6:$J3564,TRUE()))</f>
        <v/>
      </c>
      <c r="L3564" s="5" t="str">
        <f aca="false">IF($K3564="","","R"&amp;$K3564)</f>
        <v/>
      </c>
    </row>
    <row r="3565" customFormat="false" ht="15" hidden="false" customHeight="true" outlineLevel="0" collapsed="false">
      <c r="J3565" s="14" t="b">
        <f aca="false">IF(중복검사!$A3563="",FALSE(),중복검사!$H3563="중복")</f>
        <v>0</v>
      </c>
      <c r="K3565" s="5" t="str">
        <f aca="false">IF($J3565=FALSE(),"",COUNTIF($J$6:$J3565,TRUE()))</f>
        <v/>
      </c>
      <c r="L3565" s="5" t="str">
        <f aca="false">IF($K3565="","","R"&amp;$K3565)</f>
        <v/>
      </c>
    </row>
    <row r="3566" customFormat="false" ht="15" hidden="false" customHeight="true" outlineLevel="0" collapsed="false">
      <c r="J3566" s="14" t="b">
        <f aca="false">IF(중복검사!$A3564="",FALSE(),중복검사!$H3564="중복")</f>
        <v>0</v>
      </c>
      <c r="K3566" s="5" t="str">
        <f aca="false">IF($J3566=FALSE(),"",COUNTIF($J$6:$J3566,TRUE()))</f>
        <v/>
      </c>
      <c r="L3566" s="5" t="str">
        <f aca="false">IF($K3566="","","R"&amp;$K3566)</f>
        <v/>
      </c>
    </row>
    <row r="3567" customFormat="false" ht="15" hidden="false" customHeight="true" outlineLevel="0" collapsed="false">
      <c r="J3567" s="14" t="b">
        <f aca="false">IF(중복검사!$A3565="",FALSE(),중복검사!$H3565="중복")</f>
        <v>0</v>
      </c>
      <c r="K3567" s="5" t="str">
        <f aca="false">IF($J3567=FALSE(),"",COUNTIF($J$6:$J3567,TRUE()))</f>
        <v/>
      </c>
      <c r="L3567" s="5" t="str">
        <f aca="false">IF($K3567="","","R"&amp;$K3567)</f>
        <v/>
      </c>
    </row>
    <row r="3568" customFormat="false" ht="15" hidden="false" customHeight="true" outlineLevel="0" collapsed="false">
      <c r="J3568" s="14" t="b">
        <f aca="false">IF(중복검사!$A3566="",FALSE(),중복검사!$H3566="중복")</f>
        <v>0</v>
      </c>
      <c r="K3568" s="5" t="str">
        <f aca="false">IF($J3568=FALSE(),"",COUNTIF($J$6:$J3568,TRUE()))</f>
        <v/>
      </c>
      <c r="L3568" s="5" t="str">
        <f aca="false">IF($K3568="","","R"&amp;$K3568)</f>
        <v/>
      </c>
    </row>
    <row r="3569" customFormat="false" ht="15" hidden="false" customHeight="true" outlineLevel="0" collapsed="false">
      <c r="J3569" s="14" t="b">
        <f aca="false">IF(중복검사!$A3567="",FALSE(),중복검사!$H3567="중복")</f>
        <v>0</v>
      </c>
      <c r="K3569" s="5" t="str">
        <f aca="false">IF($J3569=FALSE(),"",COUNTIF($J$6:$J3569,TRUE()))</f>
        <v/>
      </c>
      <c r="L3569" s="5" t="str">
        <f aca="false">IF($K3569="","","R"&amp;$K3569)</f>
        <v/>
      </c>
    </row>
    <row r="3570" customFormat="false" ht="15" hidden="false" customHeight="true" outlineLevel="0" collapsed="false">
      <c r="J3570" s="14" t="b">
        <f aca="false">IF(중복검사!$A3568="",FALSE(),중복검사!$H3568="중복")</f>
        <v>0</v>
      </c>
      <c r="K3570" s="5" t="str">
        <f aca="false">IF($J3570=FALSE(),"",COUNTIF($J$6:$J3570,TRUE()))</f>
        <v/>
      </c>
      <c r="L3570" s="5" t="str">
        <f aca="false">IF($K3570="","","R"&amp;$K3570)</f>
        <v/>
      </c>
    </row>
    <row r="3571" customFormat="false" ht="15" hidden="false" customHeight="true" outlineLevel="0" collapsed="false">
      <c r="J3571" s="14" t="b">
        <f aca="false">IF(중복검사!$A3569="",FALSE(),중복검사!$H3569="중복")</f>
        <v>0</v>
      </c>
      <c r="K3571" s="5" t="str">
        <f aca="false">IF($J3571=FALSE(),"",COUNTIF($J$6:$J3571,TRUE()))</f>
        <v/>
      </c>
      <c r="L3571" s="5" t="str">
        <f aca="false">IF($K3571="","","R"&amp;$K3571)</f>
        <v/>
      </c>
    </row>
    <row r="3572" customFormat="false" ht="15" hidden="false" customHeight="true" outlineLevel="0" collapsed="false">
      <c r="J3572" s="14" t="b">
        <f aca="false">IF(중복검사!$A3570="",FALSE(),중복검사!$H3570="중복")</f>
        <v>0</v>
      </c>
      <c r="K3572" s="5" t="str">
        <f aca="false">IF($J3572=FALSE(),"",COUNTIF($J$6:$J3572,TRUE()))</f>
        <v/>
      </c>
      <c r="L3572" s="5" t="str">
        <f aca="false">IF($K3572="","","R"&amp;$K3572)</f>
        <v/>
      </c>
    </row>
    <row r="3573" customFormat="false" ht="15" hidden="false" customHeight="true" outlineLevel="0" collapsed="false">
      <c r="J3573" s="14" t="b">
        <f aca="false">IF(중복검사!$A3571="",FALSE(),중복검사!$H3571="중복")</f>
        <v>0</v>
      </c>
      <c r="K3573" s="5" t="str">
        <f aca="false">IF($J3573=FALSE(),"",COUNTIF($J$6:$J3573,TRUE()))</f>
        <v/>
      </c>
      <c r="L3573" s="5" t="str">
        <f aca="false">IF($K3573="","","R"&amp;$K3573)</f>
        <v/>
      </c>
    </row>
    <row r="3574" customFormat="false" ht="15" hidden="false" customHeight="true" outlineLevel="0" collapsed="false">
      <c r="J3574" s="14" t="b">
        <f aca="false">IF(중복검사!$A3572="",FALSE(),중복검사!$H3572="중복")</f>
        <v>0</v>
      </c>
      <c r="K3574" s="5" t="str">
        <f aca="false">IF($J3574=FALSE(),"",COUNTIF($J$6:$J3574,TRUE()))</f>
        <v/>
      </c>
      <c r="L3574" s="5" t="str">
        <f aca="false">IF($K3574="","","R"&amp;$K3574)</f>
        <v/>
      </c>
    </row>
    <row r="3575" customFormat="false" ht="15" hidden="false" customHeight="true" outlineLevel="0" collapsed="false">
      <c r="J3575" s="14" t="b">
        <f aca="false">IF(중복검사!$A3573="",FALSE(),중복검사!$H3573="중복")</f>
        <v>0</v>
      </c>
      <c r="K3575" s="5" t="str">
        <f aca="false">IF($J3575=FALSE(),"",COUNTIF($J$6:$J3575,TRUE()))</f>
        <v/>
      </c>
      <c r="L3575" s="5" t="str">
        <f aca="false">IF($K3575="","","R"&amp;$K3575)</f>
        <v/>
      </c>
    </row>
    <row r="3576" customFormat="false" ht="15" hidden="false" customHeight="true" outlineLevel="0" collapsed="false">
      <c r="J3576" s="14" t="b">
        <f aca="false">IF(중복검사!$A3574="",FALSE(),중복검사!$H3574="중복")</f>
        <v>0</v>
      </c>
      <c r="K3576" s="5" t="str">
        <f aca="false">IF($J3576=FALSE(),"",COUNTIF($J$6:$J3576,TRUE()))</f>
        <v/>
      </c>
      <c r="L3576" s="5" t="str">
        <f aca="false">IF($K3576="","","R"&amp;$K3576)</f>
        <v/>
      </c>
    </row>
    <row r="3577" customFormat="false" ht="15" hidden="false" customHeight="true" outlineLevel="0" collapsed="false">
      <c r="J3577" s="14" t="b">
        <f aca="false">IF(중복검사!$A3575="",FALSE(),중복검사!$H3575="중복")</f>
        <v>0</v>
      </c>
      <c r="K3577" s="5" t="str">
        <f aca="false">IF($J3577=FALSE(),"",COUNTIF($J$6:$J3577,TRUE()))</f>
        <v/>
      </c>
      <c r="L3577" s="5" t="str">
        <f aca="false">IF($K3577="","","R"&amp;$K3577)</f>
        <v/>
      </c>
    </row>
    <row r="3578" customFormat="false" ht="15" hidden="false" customHeight="true" outlineLevel="0" collapsed="false">
      <c r="J3578" s="14" t="b">
        <f aca="false">IF(중복검사!$A3576="",FALSE(),중복검사!$H3576="중복")</f>
        <v>0</v>
      </c>
      <c r="K3578" s="5" t="str">
        <f aca="false">IF($J3578=FALSE(),"",COUNTIF($J$6:$J3578,TRUE()))</f>
        <v/>
      </c>
      <c r="L3578" s="5" t="str">
        <f aca="false">IF($K3578="","","R"&amp;$K3578)</f>
        <v/>
      </c>
    </row>
    <row r="3579" customFormat="false" ht="15" hidden="false" customHeight="true" outlineLevel="0" collapsed="false">
      <c r="J3579" s="14" t="b">
        <f aca="false">IF(중복검사!$A3577="",FALSE(),중복검사!$H3577="중복")</f>
        <v>0</v>
      </c>
      <c r="K3579" s="5" t="str">
        <f aca="false">IF($J3579=FALSE(),"",COUNTIF($J$6:$J3579,TRUE()))</f>
        <v/>
      </c>
      <c r="L3579" s="5" t="str">
        <f aca="false">IF($K3579="","","R"&amp;$K3579)</f>
        <v/>
      </c>
    </row>
    <row r="3580" customFormat="false" ht="15" hidden="false" customHeight="true" outlineLevel="0" collapsed="false">
      <c r="J3580" s="14" t="b">
        <f aca="false">IF(중복검사!$A3578="",FALSE(),중복검사!$H3578="중복")</f>
        <v>0</v>
      </c>
      <c r="K3580" s="5" t="str">
        <f aca="false">IF($J3580=FALSE(),"",COUNTIF($J$6:$J3580,TRUE()))</f>
        <v/>
      </c>
      <c r="L3580" s="5" t="str">
        <f aca="false">IF($K3580="","","R"&amp;$K3580)</f>
        <v/>
      </c>
    </row>
    <row r="3581" customFormat="false" ht="15" hidden="false" customHeight="true" outlineLevel="0" collapsed="false">
      <c r="J3581" s="14" t="b">
        <f aca="false">IF(중복검사!$A3579="",FALSE(),중복검사!$H3579="중복")</f>
        <v>0</v>
      </c>
      <c r="K3581" s="5" t="str">
        <f aca="false">IF($J3581=FALSE(),"",COUNTIF($J$6:$J3581,TRUE()))</f>
        <v/>
      </c>
      <c r="L3581" s="5" t="str">
        <f aca="false">IF($K3581="","","R"&amp;$K3581)</f>
        <v/>
      </c>
    </row>
    <row r="3582" customFormat="false" ht="15" hidden="false" customHeight="true" outlineLevel="0" collapsed="false">
      <c r="J3582" s="14" t="b">
        <f aca="false">IF(중복검사!$A3580="",FALSE(),중복검사!$H3580="중복")</f>
        <v>0</v>
      </c>
      <c r="K3582" s="5" t="str">
        <f aca="false">IF($J3582=FALSE(),"",COUNTIF($J$6:$J3582,TRUE()))</f>
        <v/>
      </c>
      <c r="L3582" s="5" t="str">
        <f aca="false">IF($K3582="","","R"&amp;$K3582)</f>
        <v/>
      </c>
    </row>
    <row r="3583" customFormat="false" ht="15" hidden="false" customHeight="true" outlineLevel="0" collapsed="false">
      <c r="J3583" s="14" t="b">
        <f aca="false">IF(중복검사!$A3581="",FALSE(),중복검사!$H3581="중복")</f>
        <v>0</v>
      </c>
      <c r="K3583" s="5" t="str">
        <f aca="false">IF($J3583=FALSE(),"",COUNTIF($J$6:$J3583,TRUE()))</f>
        <v/>
      </c>
      <c r="L3583" s="5" t="str">
        <f aca="false">IF($K3583="","","R"&amp;$K3583)</f>
        <v/>
      </c>
    </row>
    <row r="3584" customFormat="false" ht="15" hidden="false" customHeight="true" outlineLevel="0" collapsed="false">
      <c r="J3584" s="14" t="b">
        <f aca="false">IF(중복검사!$A3582="",FALSE(),중복검사!$H3582="중복")</f>
        <v>0</v>
      </c>
      <c r="K3584" s="5" t="str">
        <f aca="false">IF($J3584=FALSE(),"",COUNTIF($J$6:$J3584,TRUE()))</f>
        <v/>
      </c>
      <c r="L3584" s="5" t="str">
        <f aca="false">IF($K3584="","","R"&amp;$K3584)</f>
        <v/>
      </c>
    </row>
    <row r="3585" customFormat="false" ht="15" hidden="false" customHeight="true" outlineLevel="0" collapsed="false">
      <c r="J3585" s="14" t="b">
        <f aca="false">IF(중복검사!$A3583="",FALSE(),중복검사!$H3583="중복")</f>
        <v>0</v>
      </c>
      <c r="K3585" s="5" t="str">
        <f aca="false">IF($J3585=FALSE(),"",COUNTIF($J$6:$J3585,TRUE()))</f>
        <v/>
      </c>
      <c r="L3585" s="5" t="str">
        <f aca="false">IF($K3585="","","R"&amp;$K3585)</f>
        <v/>
      </c>
    </row>
    <row r="3586" customFormat="false" ht="15" hidden="false" customHeight="true" outlineLevel="0" collapsed="false">
      <c r="J3586" s="14" t="b">
        <f aca="false">IF(중복검사!$A3584="",FALSE(),중복검사!$H3584="중복")</f>
        <v>0</v>
      </c>
      <c r="K3586" s="5" t="str">
        <f aca="false">IF($J3586=FALSE(),"",COUNTIF($J$6:$J3586,TRUE()))</f>
        <v/>
      </c>
      <c r="L3586" s="5" t="str">
        <f aca="false">IF($K3586="","","R"&amp;$K3586)</f>
        <v/>
      </c>
    </row>
    <row r="3587" customFormat="false" ht="15" hidden="false" customHeight="true" outlineLevel="0" collapsed="false">
      <c r="J3587" s="14" t="b">
        <f aca="false">IF(중복검사!$A3585="",FALSE(),중복검사!$H3585="중복")</f>
        <v>0</v>
      </c>
      <c r="K3587" s="5" t="str">
        <f aca="false">IF($J3587=FALSE(),"",COUNTIF($J$6:$J3587,TRUE()))</f>
        <v/>
      </c>
      <c r="L3587" s="5" t="str">
        <f aca="false">IF($K3587="","","R"&amp;$K3587)</f>
        <v/>
      </c>
    </row>
    <row r="3588" customFormat="false" ht="15" hidden="false" customHeight="true" outlineLevel="0" collapsed="false">
      <c r="J3588" s="14" t="b">
        <f aca="false">IF(중복검사!$A3586="",FALSE(),중복검사!$H3586="중복")</f>
        <v>0</v>
      </c>
      <c r="K3588" s="5" t="str">
        <f aca="false">IF($J3588=FALSE(),"",COUNTIF($J$6:$J3588,TRUE()))</f>
        <v/>
      </c>
      <c r="L3588" s="5" t="str">
        <f aca="false">IF($K3588="","","R"&amp;$K3588)</f>
        <v/>
      </c>
    </row>
    <row r="3589" customFormat="false" ht="15" hidden="false" customHeight="true" outlineLevel="0" collapsed="false">
      <c r="J3589" s="14" t="b">
        <f aca="false">IF(중복검사!$A3587="",FALSE(),중복검사!$H3587="중복")</f>
        <v>0</v>
      </c>
      <c r="K3589" s="5" t="str">
        <f aca="false">IF($J3589=FALSE(),"",COUNTIF($J$6:$J3589,TRUE()))</f>
        <v/>
      </c>
      <c r="L3589" s="5" t="str">
        <f aca="false">IF($K3589="","","R"&amp;$K3589)</f>
        <v/>
      </c>
    </row>
    <row r="3590" customFormat="false" ht="15" hidden="false" customHeight="true" outlineLevel="0" collapsed="false">
      <c r="J3590" s="14" t="b">
        <f aca="false">IF(중복검사!$A3588="",FALSE(),중복검사!$H3588="중복")</f>
        <v>0</v>
      </c>
      <c r="K3590" s="5" t="str">
        <f aca="false">IF($J3590=FALSE(),"",COUNTIF($J$6:$J3590,TRUE()))</f>
        <v/>
      </c>
      <c r="L3590" s="5" t="str">
        <f aca="false">IF($K3590="","","R"&amp;$K3590)</f>
        <v/>
      </c>
    </row>
    <row r="3591" customFormat="false" ht="15" hidden="false" customHeight="true" outlineLevel="0" collapsed="false">
      <c r="J3591" s="14" t="b">
        <f aca="false">IF(중복검사!$A3589="",FALSE(),중복검사!$H3589="중복")</f>
        <v>0</v>
      </c>
      <c r="K3591" s="5" t="str">
        <f aca="false">IF($J3591=FALSE(),"",COUNTIF($J$6:$J3591,TRUE()))</f>
        <v/>
      </c>
      <c r="L3591" s="5" t="str">
        <f aca="false">IF($K3591="","","R"&amp;$K3591)</f>
        <v/>
      </c>
    </row>
    <row r="3592" customFormat="false" ht="15" hidden="false" customHeight="true" outlineLevel="0" collapsed="false">
      <c r="J3592" s="14" t="b">
        <f aca="false">IF(중복검사!$A3590="",FALSE(),중복검사!$H3590="중복")</f>
        <v>0</v>
      </c>
      <c r="K3592" s="5" t="str">
        <f aca="false">IF($J3592=FALSE(),"",COUNTIF($J$6:$J3592,TRUE()))</f>
        <v/>
      </c>
      <c r="L3592" s="5" t="str">
        <f aca="false">IF($K3592="","","R"&amp;$K3592)</f>
        <v/>
      </c>
    </row>
    <row r="3593" customFormat="false" ht="15" hidden="false" customHeight="true" outlineLevel="0" collapsed="false">
      <c r="J3593" s="14" t="b">
        <f aca="false">IF(중복검사!$A3591="",FALSE(),중복검사!$H3591="중복")</f>
        <v>0</v>
      </c>
      <c r="K3593" s="5" t="str">
        <f aca="false">IF($J3593=FALSE(),"",COUNTIF($J$6:$J3593,TRUE()))</f>
        <v/>
      </c>
      <c r="L3593" s="5" t="str">
        <f aca="false">IF($K3593="","","R"&amp;$K3593)</f>
        <v/>
      </c>
    </row>
    <row r="3594" customFormat="false" ht="15" hidden="false" customHeight="true" outlineLevel="0" collapsed="false">
      <c r="J3594" s="14" t="b">
        <f aca="false">IF(중복검사!$A3592="",FALSE(),중복검사!$H3592="중복")</f>
        <v>0</v>
      </c>
      <c r="K3594" s="5" t="str">
        <f aca="false">IF($J3594=FALSE(),"",COUNTIF($J$6:$J3594,TRUE()))</f>
        <v/>
      </c>
      <c r="L3594" s="5" t="str">
        <f aca="false">IF($K3594="","","R"&amp;$K3594)</f>
        <v/>
      </c>
    </row>
    <row r="3595" customFormat="false" ht="15" hidden="false" customHeight="true" outlineLevel="0" collapsed="false">
      <c r="J3595" s="14" t="b">
        <f aca="false">IF(중복검사!$A3593="",FALSE(),중복검사!$H3593="중복")</f>
        <v>0</v>
      </c>
      <c r="K3595" s="5" t="str">
        <f aca="false">IF($J3595=FALSE(),"",COUNTIF($J$6:$J3595,TRUE()))</f>
        <v/>
      </c>
      <c r="L3595" s="5" t="str">
        <f aca="false">IF($K3595="","","R"&amp;$K3595)</f>
        <v/>
      </c>
    </row>
    <row r="3596" customFormat="false" ht="15" hidden="false" customHeight="true" outlineLevel="0" collapsed="false">
      <c r="J3596" s="14" t="b">
        <f aca="false">IF(중복검사!$A3594="",FALSE(),중복검사!$H3594="중복")</f>
        <v>0</v>
      </c>
      <c r="K3596" s="5" t="str">
        <f aca="false">IF($J3596=FALSE(),"",COUNTIF($J$6:$J3596,TRUE()))</f>
        <v/>
      </c>
      <c r="L3596" s="5" t="str">
        <f aca="false">IF($K3596="","","R"&amp;$K3596)</f>
        <v/>
      </c>
    </row>
    <row r="3597" customFormat="false" ht="15" hidden="false" customHeight="true" outlineLevel="0" collapsed="false">
      <c r="J3597" s="14" t="b">
        <f aca="false">IF(중복검사!$A3595="",FALSE(),중복검사!$H3595="중복")</f>
        <v>0</v>
      </c>
      <c r="K3597" s="5" t="str">
        <f aca="false">IF($J3597=FALSE(),"",COUNTIF($J$6:$J3597,TRUE()))</f>
        <v/>
      </c>
      <c r="L3597" s="5" t="str">
        <f aca="false">IF($K3597="","","R"&amp;$K3597)</f>
        <v/>
      </c>
    </row>
    <row r="3598" customFormat="false" ht="15" hidden="false" customHeight="true" outlineLevel="0" collapsed="false">
      <c r="J3598" s="14" t="b">
        <f aca="false">IF(중복검사!$A3596="",FALSE(),중복검사!$H3596="중복")</f>
        <v>0</v>
      </c>
      <c r="K3598" s="5" t="str">
        <f aca="false">IF($J3598=FALSE(),"",COUNTIF($J$6:$J3598,TRUE()))</f>
        <v/>
      </c>
      <c r="L3598" s="5" t="str">
        <f aca="false">IF($K3598="","","R"&amp;$K3598)</f>
        <v/>
      </c>
    </row>
    <row r="3599" customFormat="false" ht="15" hidden="false" customHeight="true" outlineLevel="0" collapsed="false">
      <c r="J3599" s="14" t="b">
        <f aca="false">IF(중복검사!$A3597="",FALSE(),중복검사!$H3597="중복")</f>
        <v>0</v>
      </c>
      <c r="K3599" s="5" t="str">
        <f aca="false">IF($J3599=FALSE(),"",COUNTIF($J$6:$J3599,TRUE()))</f>
        <v/>
      </c>
      <c r="L3599" s="5" t="str">
        <f aca="false">IF($K3599="","","R"&amp;$K3599)</f>
        <v/>
      </c>
    </row>
    <row r="3600" customFormat="false" ht="15" hidden="false" customHeight="true" outlineLevel="0" collapsed="false">
      <c r="J3600" s="14" t="b">
        <f aca="false">IF(중복검사!$A3598="",FALSE(),중복검사!$H3598="중복")</f>
        <v>0</v>
      </c>
      <c r="K3600" s="5" t="str">
        <f aca="false">IF($J3600=FALSE(),"",COUNTIF($J$6:$J3600,TRUE()))</f>
        <v/>
      </c>
      <c r="L3600" s="5" t="str">
        <f aca="false">IF($K3600="","","R"&amp;$K3600)</f>
        <v/>
      </c>
    </row>
    <row r="3601" customFormat="false" ht="15" hidden="false" customHeight="true" outlineLevel="0" collapsed="false">
      <c r="J3601" s="14" t="b">
        <f aca="false">IF(중복검사!$A3599="",FALSE(),중복검사!$H3599="중복")</f>
        <v>0</v>
      </c>
      <c r="K3601" s="5" t="str">
        <f aca="false">IF($J3601=FALSE(),"",COUNTIF($J$6:$J3601,TRUE()))</f>
        <v/>
      </c>
      <c r="L3601" s="5" t="str">
        <f aca="false">IF($K3601="","","R"&amp;$K3601)</f>
        <v/>
      </c>
    </row>
    <row r="3602" customFormat="false" ht="15" hidden="false" customHeight="true" outlineLevel="0" collapsed="false">
      <c r="J3602" s="14" t="b">
        <f aca="false">IF(중복검사!$A3600="",FALSE(),중복검사!$H3600="중복")</f>
        <v>0</v>
      </c>
      <c r="K3602" s="5" t="str">
        <f aca="false">IF($J3602=FALSE(),"",COUNTIF($J$6:$J3602,TRUE()))</f>
        <v/>
      </c>
      <c r="L3602" s="5" t="str">
        <f aca="false">IF($K3602="","","R"&amp;$K3602)</f>
        <v/>
      </c>
    </row>
    <row r="3603" customFormat="false" ht="15" hidden="false" customHeight="true" outlineLevel="0" collapsed="false">
      <c r="J3603" s="14" t="b">
        <f aca="false">IF(중복검사!$A3601="",FALSE(),중복검사!$H3601="중복")</f>
        <v>0</v>
      </c>
      <c r="K3603" s="5" t="str">
        <f aca="false">IF($J3603=FALSE(),"",COUNTIF($J$6:$J3603,TRUE()))</f>
        <v/>
      </c>
      <c r="L3603" s="5" t="str">
        <f aca="false">IF($K3603="","","R"&amp;$K3603)</f>
        <v/>
      </c>
    </row>
    <row r="3604" customFormat="false" ht="15" hidden="false" customHeight="true" outlineLevel="0" collapsed="false">
      <c r="J3604" s="14" t="b">
        <f aca="false">IF(중복검사!$A3602="",FALSE(),중복검사!$H3602="중복")</f>
        <v>0</v>
      </c>
      <c r="K3604" s="5" t="str">
        <f aca="false">IF($J3604=FALSE(),"",COUNTIF($J$6:$J3604,TRUE()))</f>
        <v/>
      </c>
      <c r="L3604" s="5" t="str">
        <f aca="false">IF($K3604="","","R"&amp;$K3604)</f>
        <v/>
      </c>
    </row>
    <row r="3605" customFormat="false" ht="15" hidden="false" customHeight="true" outlineLevel="0" collapsed="false">
      <c r="J3605" s="14" t="b">
        <f aca="false">IF(중복검사!$A3603="",FALSE(),중복검사!$H3603="중복")</f>
        <v>0</v>
      </c>
      <c r="K3605" s="5" t="str">
        <f aca="false">IF($J3605=FALSE(),"",COUNTIF($J$6:$J3605,TRUE()))</f>
        <v/>
      </c>
      <c r="L3605" s="5" t="str">
        <f aca="false">IF($K3605="","","R"&amp;$K3605)</f>
        <v/>
      </c>
    </row>
    <row r="3606" customFormat="false" ht="15" hidden="false" customHeight="true" outlineLevel="0" collapsed="false">
      <c r="J3606" s="14" t="b">
        <f aca="false">IF(중복검사!$A3604="",FALSE(),중복검사!$H3604="중복")</f>
        <v>0</v>
      </c>
      <c r="K3606" s="5" t="str">
        <f aca="false">IF($J3606=FALSE(),"",COUNTIF($J$6:$J3606,TRUE()))</f>
        <v/>
      </c>
      <c r="L3606" s="5" t="str">
        <f aca="false">IF($K3606="","","R"&amp;$K3606)</f>
        <v/>
      </c>
    </row>
    <row r="3607" customFormat="false" ht="15" hidden="false" customHeight="true" outlineLevel="0" collapsed="false">
      <c r="J3607" s="14" t="b">
        <f aca="false">IF(중복검사!$A3605="",FALSE(),중복검사!$H3605="중복")</f>
        <v>0</v>
      </c>
      <c r="K3607" s="5" t="str">
        <f aca="false">IF($J3607=FALSE(),"",COUNTIF($J$6:$J3607,TRUE()))</f>
        <v/>
      </c>
      <c r="L3607" s="5" t="str">
        <f aca="false">IF($K3607="","","R"&amp;$K3607)</f>
        <v/>
      </c>
    </row>
    <row r="3608" customFormat="false" ht="15" hidden="false" customHeight="true" outlineLevel="0" collapsed="false">
      <c r="J3608" s="14" t="b">
        <f aca="false">IF(중복검사!$A3606="",FALSE(),중복검사!$H3606="중복")</f>
        <v>0</v>
      </c>
      <c r="K3608" s="5" t="str">
        <f aca="false">IF($J3608=FALSE(),"",COUNTIF($J$6:$J3608,TRUE()))</f>
        <v/>
      </c>
      <c r="L3608" s="5" t="str">
        <f aca="false">IF($K3608="","","R"&amp;$K3608)</f>
        <v/>
      </c>
    </row>
    <row r="3609" customFormat="false" ht="15" hidden="false" customHeight="true" outlineLevel="0" collapsed="false">
      <c r="J3609" s="14" t="b">
        <f aca="false">IF(중복검사!$A3607="",FALSE(),중복검사!$H3607="중복")</f>
        <v>0</v>
      </c>
      <c r="K3609" s="5" t="str">
        <f aca="false">IF($J3609=FALSE(),"",COUNTIF($J$6:$J3609,TRUE()))</f>
        <v/>
      </c>
      <c r="L3609" s="5" t="str">
        <f aca="false">IF($K3609="","","R"&amp;$K3609)</f>
        <v/>
      </c>
    </row>
    <row r="3610" customFormat="false" ht="15" hidden="false" customHeight="true" outlineLevel="0" collapsed="false">
      <c r="J3610" s="14" t="b">
        <f aca="false">IF(중복검사!$A3608="",FALSE(),중복검사!$H3608="중복")</f>
        <v>0</v>
      </c>
      <c r="K3610" s="5" t="str">
        <f aca="false">IF($J3610=FALSE(),"",COUNTIF($J$6:$J3610,TRUE()))</f>
        <v/>
      </c>
      <c r="L3610" s="5" t="str">
        <f aca="false">IF($K3610="","","R"&amp;$K3610)</f>
        <v/>
      </c>
    </row>
    <row r="3611" customFormat="false" ht="15" hidden="false" customHeight="true" outlineLevel="0" collapsed="false">
      <c r="J3611" s="14" t="b">
        <f aca="false">IF(중복검사!$A3609="",FALSE(),중복검사!$H3609="중복")</f>
        <v>0</v>
      </c>
      <c r="K3611" s="5" t="str">
        <f aca="false">IF($J3611=FALSE(),"",COUNTIF($J$6:$J3611,TRUE()))</f>
        <v/>
      </c>
      <c r="L3611" s="5" t="str">
        <f aca="false">IF($K3611="","","R"&amp;$K3611)</f>
        <v/>
      </c>
    </row>
    <row r="3612" customFormat="false" ht="15" hidden="false" customHeight="true" outlineLevel="0" collapsed="false">
      <c r="J3612" s="14" t="b">
        <f aca="false">IF(중복검사!$A3610="",FALSE(),중복검사!$H3610="중복")</f>
        <v>0</v>
      </c>
      <c r="K3612" s="5" t="str">
        <f aca="false">IF($J3612=FALSE(),"",COUNTIF($J$6:$J3612,TRUE()))</f>
        <v/>
      </c>
      <c r="L3612" s="5" t="str">
        <f aca="false">IF($K3612="","","R"&amp;$K3612)</f>
        <v/>
      </c>
    </row>
    <row r="3613" customFormat="false" ht="15" hidden="false" customHeight="true" outlineLevel="0" collapsed="false">
      <c r="J3613" s="14" t="b">
        <f aca="false">IF(중복검사!$A3611="",FALSE(),중복검사!$H3611="중복")</f>
        <v>0</v>
      </c>
      <c r="K3613" s="5" t="str">
        <f aca="false">IF($J3613=FALSE(),"",COUNTIF($J$6:$J3613,TRUE()))</f>
        <v/>
      </c>
      <c r="L3613" s="5" t="str">
        <f aca="false">IF($K3613="","","R"&amp;$K3613)</f>
        <v/>
      </c>
    </row>
    <row r="3614" customFormat="false" ht="15" hidden="false" customHeight="true" outlineLevel="0" collapsed="false">
      <c r="J3614" s="14" t="b">
        <f aca="false">IF(중복검사!$A3612="",FALSE(),중복검사!$H3612="중복")</f>
        <v>0</v>
      </c>
      <c r="K3614" s="5" t="str">
        <f aca="false">IF($J3614=FALSE(),"",COUNTIF($J$6:$J3614,TRUE()))</f>
        <v/>
      </c>
      <c r="L3614" s="5" t="str">
        <f aca="false">IF($K3614="","","R"&amp;$K3614)</f>
        <v/>
      </c>
    </row>
    <row r="3615" customFormat="false" ht="15" hidden="false" customHeight="true" outlineLevel="0" collapsed="false">
      <c r="J3615" s="14" t="b">
        <f aca="false">IF(중복검사!$A3613="",FALSE(),중복검사!$H3613="중복")</f>
        <v>0</v>
      </c>
      <c r="K3615" s="5" t="str">
        <f aca="false">IF($J3615=FALSE(),"",COUNTIF($J$6:$J3615,TRUE()))</f>
        <v/>
      </c>
      <c r="L3615" s="5" t="str">
        <f aca="false">IF($K3615="","","R"&amp;$K3615)</f>
        <v/>
      </c>
    </row>
    <row r="3616" customFormat="false" ht="15" hidden="false" customHeight="true" outlineLevel="0" collapsed="false">
      <c r="J3616" s="14" t="b">
        <f aca="false">IF(중복검사!$A3614="",FALSE(),중복검사!$H3614="중복")</f>
        <v>0</v>
      </c>
      <c r="K3616" s="5" t="str">
        <f aca="false">IF($J3616=FALSE(),"",COUNTIF($J$6:$J3616,TRUE()))</f>
        <v/>
      </c>
      <c r="L3616" s="5" t="str">
        <f aca="false">IF($K3616="","","R"&amp;$K3616)</f>
        <v/>
      </c>
    </row>
    <row r="3617" customFormat="false" ht="15" hidden="false" customHeight="true" outlineLevel="0" collapsed="false">
      <c r="J3617" s="14" t="b">
        <f aca="false">IF(중복검사!$A3615="",FALSE(),중복검사!$H3615="중복")</f>
        <v>0</v>
      </c>
      <c r="K3617" s="5" t="str">
        <f aca="false">IF($J3617=FALSE(),"",COUNTIF($J$6:$J3617,TRUE()))</f>
        <v/>
      </c>
      <c r="L3617" s="5" t="str">
        <f aca="false">IF($K3617="","","R"&amp;$K3617)</f>
        <v/>
      </c>
    </row>
    <row r="3618" customFormat="false" ht="15" hidden="false" customHeight="true" outlineLevel="0" collapsed="false">
      <c r="J3618" s="14" t="b">
        <f aca="false">IF(중복검사!$A3616="",FALSE(),중복검사!$H3616="중복")</f>
        <v>0</v>
      </c>
      <c r="K3618" s="5" t="str">
        <f aca="false">IF($J3618=FALSE(),"",COUNTIF($J$6:$J3618,TRUE()))</f>
        <v/>
      </c>
      <c r="L3618" s="5" t="str">
        <f aca="false">IF($K3618="","","R"&amp;$K3618)</f>
        <v/>
      </c>
    </row>
    <row r="3619" customFormat="false" ht="15" hidden="false" customHeight="true" outlineLevel="0" collapsed="false">
      <c r="J3619" s="14" t="b">
        <f aca="false">IF(중복검사!$A3617="",FALSE(),중복검사!$H3617="중복")</f>
        <v>0</v>
      </c>
      <c r="K3619" s="5" t="str">
        <f aca="false">IF($J3619=FALSE(),"",COUNTIF($J$6:$J3619,TRUE()))</f>
        <v/>
      </c>
      <c r="L3619" s="5" t="str">
        <f aca="false">IF($K3619="","","R"&amp;$K3619)</f>
        <v/>
      </c>
    </row>
    <row r="3620" customFormat="false" ht="15" hidden="false" customHeight="true" outlineLevel="0" collapsed="false">
      <c r="J3620" s="14" t="b">
        <f aca="false">IF(중복검사!$A3618="",FALSE(),중복검사!$H3618="중복")</f>
        <v>0</v>
      </c>
      <c r="K3620" s="5" t="str">
        <f aca="false">IF($J3620=FALSE(),"",COUNTIF($J$6:$J3620,TRUE()))</f>
        <v/>
      </c>
      <c r="L3620" s="5" t="str">
        <f aca="false">IF($K3620="","","R"&amp;$K3620)</f>
        <v/>
      </c>
    </row>
    <row r="3621" customFormat="false" ht="15" hidden="false" customHeight="true" outlineLevel="0" collapsed="false">
      <c r="J3621" s="14" t="b">
        <f aca="false">IF(중복검사!$A3619="",FALSE(),중복검사!$H3619="중복")</f>
        <v>0</v>
      </c>
      <c r="K3621" s="5" t="str">
        <f aca="false">IF($J3621=FALSE(),"",COUNTIF($J$6:$J3621,TRUE()))</f>
        <v/>
      </c>
      <c r="L3621" s="5" t="str">
        <f aca="false">IF($K3621="","","R"&amp;$K3621)</f>
        <v/>
      </c>
    </row>
    <row r="3622" customFormat="false" ht="15" hidden="false" customHeight="true" outlineLevel="0" collapsed="false">
      <c r="J3622" s="14" t="b">
        <f aca="false">IF(중복검사!$A3620="",FALSE(),중복검사!$H3620="중복")</f>
        <v>0</v>
      </c>
      <c r="K3622" s="5" t="str">
        <f aca="false">IF($J3622=FALSE(),"",COUNTIF($J$6:$J3622,TRUE()))</f>
        <v/>
      </c>
      <c r="L3622" s="5" t="str">
        <f aca="false">IF($K3622="","","R"&amp;$K3622)</f>
        <v/>
      </c>
    </row>
    <row r="3623" customFormat="false" ht="15" hidden="false" customHeight="true" outlineLevel="0" collapsed="false">
      <c r="J3623" s="14" t="b">
        <f aca="false">IF(중복검사!$A3621="",FALSE(),중복검사!$H3621="중복")</f>
        <v>0</v>
      </c>
      <c r="K3623" s="5" t="str">
        <f aca="false">IF($J3623=FALSE(),"",COUNTIF($J$6:$J3623,TRUE()))</f>
        <v/>
      </c>
      <c r="L3623" s="5" t="str">
        <f aca="false">IF($K3623="","","R"&amp;$K3623)</f>
        <v/>
      </c>
    </row>
    <row r="3624" customFormat="false" ht="15" hidden="false" customHeight="true" outlineLevel="0" collapsed="false">
      <c r="J3624" s="14" t="b">
        <f aca="false">IF(중복검사!$A3622="",FALSE(),중복검사!$H3622="중복")</f>
        <v>0</v>
      </c>
      <c r="K3624" s="5" t="str">
        <f aca="false">IF($J3624=FALSE(),"",COUNTIF($J$6:$J3624,TRUE()))</f>
        <v/>
      </c>
      <c r="L3624" s="5" t="str">
        <f aca="false">IF($K3624="","","R"&amp;$K3624)</f>
        <v/>
      </c>
    </row>
    <row r="3625" customFormat="false" ht="15" hidden="false" customHeight="true" outlineLevel="0" collapsed="false">
      <c r="J3625" s="14" t="b">
        <f aca="false">IF(중복검사!$A3623="",FALSE(),중복검사!$H3623="중복")</f>
        <v>0</v>
      </c>
      <c r="K3625" s="5" t="str">
        <f aca="false">IF($J3625=FALSE(),"",COUNTIF($J$6:$J3625,TRUE()))</f>
        <v/>
      </c>
      <c r="L3625" s="5" t="str">
        <f aca="false">IF($K3625="","","R"&amp;$K3625)</f>
        <v/>
      </c>
    </row>
    <row r="3626" customFormat="false" ht="15" hidden="false" customHeight="true" outlineLevel="0" collapsed="false">
      <c r="J3626" s="14" t="b">
        <f aca="false">IF(중복검사!$A3624="",FALSE(),중복검사!$H3624="중복")</f>
        <v>0</v>
      </c>
      <c r="K3626" s="5" t="str">
        <f aca="false">IF($J3626=FALSE(),"",COUNTIF($J$6:$J3626,TRUE()))</f>
        <v/>
      </c>
      <c r="L3626" s="5" t="str">
        <f aca="false">IF($K3626="","","R"&amp;$K3626)</f>
        <v/>
      </c>
    </row>
    <row r="3627" customFormat="false" ht="15" hidden="false" customHeight="true" outlineLevel="0" collapsed="false">
      <c r="J3627" s="14" t="b">
        <f aca="false">IF(중복검사!$A3625="",FALSE(),중복검사!$H3625="중복")</f>
        <v>0</v>
      </c>
      <c r="K3627" s="5" t="str">
        <f aca="false">IF($J3627=FALSE(),"",COUNTIF($J$6:$J3627,TRUE()))</f>
        <v/>
      </c>
      <c r="L3627" s="5" t="str">
        <f aca="false">IF($K3627="","","R"&amp;$K3627)</f>
        <v/>
      </c>
    </row>
    <row r="3628" customFormat="false" ht="15" hidden="false" customHeight="true" outlineLevel="0" collapsed="false">
      <c r="J3628" s="14" t="b">
        <f aca="false">IF(중복검사!$A3626="",FALSE(),중복검사!$H3626="중복")</f>
        <v>0</v>
      </c>
      <c r="K3628" s="5" t="str">
        <f aca="false">IF($J3628=FALSE(),"",COUNTIF($J$6:$J3628,TRUE()))</f>
        <v/>
      </c>
      <c r="L3628" s="5" t="str">
        <f aca="false">IF($K3628="","","R"&amp;$K3628)</f>
        <v/>
      </c>
    </row>
    <row r="3629" customFormat="false" ht="15" hidden="false" customHeight="true" outlineLevel="0" collapsed="false">
      <c r="J3629" s="14" t="b">
        <f aca="false">IF(중복검사!$A3627="",FALSE(),중복검사!$H3627="중복")</f>
        <v>0</v>
      </c>
      <c r="K3629" s="5" t="str">
        <f aca="false">IF($J3629=FALSE(),"",COUNTIF($J$6:$J3629,TRUE()))</f>
        <v/>
      </c>
      <c r="L3629" s="5" t="str">
        <f aca="false">IF($K3629="","","R"&amp;$K3629)</f>
        <v/>
      </c>
    </row>
    <row r="3630" customFormat="false" ht="15" hidden="false" customHeight="true" outlineLevel="0" collapsed="false">
      <c r="J3630" s="14" t="b">
        <f aca="false">IF(중복검사!$A3628="",FALSE(),중복검사!$H3628="중복")</f>
        <v>0</v>
      </c>
      <c r="K3630" s="5" t="str">
        <f aca="false">IF($J3630=FALSE(),"",COUNTIF($J$6:$J3630,TRUE()))</f>
        <v/>
      </c>
      <c r="L3630" s="5" t="str">
        <f aca="false">IF($K3630="","","R"&amp;$K3630)</f>
        <v/>
      </c>
    </row>
    <row r="3631" customFormat="false" ht="15" hidden="false" customHeight="true" outlineLevel="0" collapsed="false">
      <c r="J3631" s="14" t="b">
        <f aca="false">IF(중복검사!$A3629="",FALSE(),중복검사!$H3629="중복")</f>
        <v>0</v>
      </c>
      <c r="K3631" s="5" t="str">
        <f aca="false">IF($J3631=FALSE(),"",COUNTIF($J$6:$J3631,TRUE()))</f>
        <v/>
      </c>
      <c r="L3631" s="5" t="str">
        <f aca="false">IF($K3631="","","R"&amp;$K3631)</f>
        <v/>
      </c>
    </row>
    <row r="3632" customFormat="false" ht="15" hidden="false" customHeight="true" outlineLevel="0" collapsed="false">
      <c r="J3632" s="14" t="b">
        <f aca="false">IF(중복검사!$A3630="",FALSE(),중복검사!$H3630="중복")</f>
        <v>0</v>
      </c>
      <c r="K3632" s="5" t="str">
        <f aca="false">IF($J3632=FALSE(),"",COUNTIF($J$6:$J3632,TRUE()))</f>
        <v/>
      </c>
      <c r="L3632" s="5" t="str">
        <f aca="false">IF($K3632="","","R"&amp;$K3632)</f>
        <v/>
      </c>
    </row>
    <row r="3633" customFormat="false" ht="15" hidden="false" customHeight="true" outlineLevel="0" collapsed="false">
      <c r="J3633" s="14" t="b">
        <f aca="false">IF(중복검사!$A3631="",FALSE(),중복검사!$H3631="중복")</f>
        <v>0</v>
      </c>
      <c r="K3633" s="5" t="str">
        <f aca="false">IF($J3633=FALSE(),"",COUNTIF($J$6:$J3633,TRUE()))</f>
        <v/>
      </c>
      <c r="L3633" s="5" t="str">
        <f aca="false">IF($K3633="","","R"&amp;$K3633)</f>
        <v/>
      </c>
    </row>
    <row r="3634" customFormat="false" ht="15" hidden="false" customHeight="true" outlineLevel="0" collapsed="false">
      <c r="J3634" s="14" t="b">
        <f aca="false">IF(중복검사!$A3632="",FALSE(),중복검사!$H3632="중복")</f>
        <v>0</v>
      </c>
      <c r="K3634" s="5" t="str">
        <f aca="false">IF($J3634=FALSE(),"",COUNTIF($J$6:$J3634,TRUE()))</f>
        <v/>
      </c>
      <c r="L3634" s="5" t="str">
        <f aca="false">IF($K3634="","","R"&amp;$K3634)</f>
        <v/>
      </c>
    </row>
    <row r="3635" customFormat="false" ht="15" hidden="false" customHeight="true" outlineLevel="0" collapsed="false">
      <c r="J3635" s="14" t="b">
        <f aca="false">IF(중복검사!$A3633="",FALSE(),중복검사!$H3633="중복")</f>
        <v>0</v>
      </c>
      <c r="K3635" s="5" t="str">
        <f aca="false">IF($J3635=FALSE(),"",COUNTIF($J$6:$J3635,TRUE()))</f>
        <v/>
      </c>
      <c r="L3635" s="5" t="str">
        <f aca="false">IF($K3635="","","R"&amp;$K3635)</f>
        <v/>
      </c>
    </row>
    <row r="3636" customFormat="false" ht="15" hidden="false" customHeight="true" outlineLevel="0" collapsed="false">
      <c r="J3636" s="14" t="b">
        <f aca="false">IF(중복검사!$A3634="",FALSE(),중복검사!$H3634="중복")</f>
        <v>0</v>
      </c>
      <c r="K3636" s="5" t="str">
        <f aca="false">IF($J3636=FALSE(),"",COUNTIF($J$6:$J3636,TRUE()))</f>
        <v/>
      </c>
      <c r="L3636" s="5" t="str">
        <f aca="false">IF($K3636="","","R"&amp;$K3636)</f>
        <v/>
      </c>
    </row>
    <row r="3637" customFormat="false" ht="15" hidden="false" customHeight="true" outlineLevel="0" collapsed="false">
      <c r="J3637" s="14" t="b">
        <f aca="false">IF(중복검사!$A3635="",FALSE(),중복검사!$H3635="중복")</f>
        <v>0</v>
      </c>
      <c r="K3637" s="5" t="str">
        <f aca="false">IF($J3637=FALSE(),"",COUNTIF($J$6:$J3637,TRUE()))</f>
        <v/>
      </c>
      <c r="L3637" s="5" t="str">
        <f aca="false">IF($K3637="","","R"&amp;$K3637)</f>
        <v/>
      </c>
    </row>
    <row r="3638" customFormat="false" ht="15" hidden="false" customHeight="true" outlineLevel="0" collapsed="false">
      <c r="J3638" s="14" t="b">
        <f aca="false">IF(중복검사!$A3636="",FALSE(),중복검사!$H3636="중복")</f>
        <v>0</v>
      </c>
      <c r="K3638" s="5" t="str">
        <f aca="false">IF($J3638=FALSE(),"",COUNTIF($J$6:$J3638,TRUE()))</f>
        <v/>
      </c>
      <c r="L3638" s="5" t="str">
        <f aca="false">IF($K3638="","","R"&amp;$K3638)</f>
        <v/>
      </c>
    </row>
    <row r="3639" customFormat="false" ht="15" hidden="false" customHeight="true" outlineLevel="0" collapsed="false">
      <c r="J3639" s="14" t="b">
        <f aca="false">IF(중복검사!$A3637="",FALSE(),중복검사!$H3637="중복")</f>
        <v>0</v>
      </c>
      <c r="K3639" s="5" t="str">
        <f aca="false">IF($J3639=FALSE(),"",COUNTIF($J$6:$J3639,TRUE()))</f>
        <v/>
      </c>
      <c r="L3639" s="5" t="str">
        <f aca="false">IF($K3639="","","R"&amp;$K3639)</f>
        <v/>
      </c>
    </row>
    <row r="3640" customFormat="false" ht="15" hidden="false" customHeight="true" outlineLevel="0" collapsed="false">
      <c r="J3640" s="14" t="b">
        <f aca="false">IF(중복검사!$A3638="",FALSE(),중복검사!$H3638="중복")</f>
        <v>0</v>
      </c>
      <c r="K3640" s="5" t="str">
        <f aca="false">IF($J3640=FALSE(),"",COUNTIF($J$6:$J3640,TRUE()))</f>
        <v/>
      </c>
      <c r="L3640" s="5" t="str">
        <f aca="false">IF($K3640="","","R"&amp;$K3640)</f>
        <v/>
      </c>
    </row>
    <row r="3641" customFormat="false" ht="15" hidden="false" customHeight="true" outlineLevel="0" collapsed="false">
      <c r="J3641" s="14" t="b">
        <f aca="false">IF(중복검사!$A3639="",FALSE(),중복검사!$H3639="중복")</f>
        <v>0</v>
      </c>
      <c r="K3641" s="5" t="str">
        <f aca="false">IF($J3641=FALSE(),"",COUNTIF($J$6:$J3641,TRUE()))</f>
        <v/>
      </c>
      <c r="L3641" s="5" t="str">
        <f aca="false">IF($K3641="","","R"&amp;$K3641)</f>
        <v/>
      </c>
    </row>
    <row r="3642" customFormat="false" ht="15" hidden="false" customHeight="true" outlineLevel="0" collapsed="false">
      <c r="J3642" s="14" t="b">
        <f aca="false">IF(중복검사!$A3640="",FALSE(),중복검사!$H3640="중복")</f>
        <v>0</v>
      </c>
      <c r="K3642" s="5" t="str">
        <f aca="false">IF($J3642=FALSE(),"",COUNTIF($J$6:$J3642,TRUE()))</f>
        <v/>
      </c>
      <c r="L3642" s="5" t="str">
        <f aca="false">IF($K3642="","","R"&amp;$K3642)</f>
        <v/>
      </c>
    </row>
    <row r="3643" customFormat="false" ht="15" hidden="false" customHeight="true" outlineLevel="0" collapsed="false">
      <c r="J3643" s="14" t="b">
        <f aca="false">IF(중복검사!$A3641="",FALSE(),중복검사!$H3641="중복")</f>
        <v>0</v>
      </c>
      <c r="K3643" s="5" t="str">
        <f aca="false">IF($J3643=FALSE(),"",COUNTIF($J$6:$J3643,TRUE()))</f>
        <v/>
      </c>
      <c r="L3643" s="5" t="str">
        <f aca="false">IF($K3643="","","R"&amp;$K3643)</f>
        <v/>
      </c>
    </row>
    <row r="3644" customFormat="false" ht="15" hidden="false" customHeight="true" outlineLevel="0" collapsed="false">
      <c r="J3644" s="14" t="b">
        <f aca="false">IF(중복검사!$A3642="",FALSE(),중복검사!$H3642="중복")</f>
        <v>0</v>
      </c>
      <c r="K3644" s="5" t="str">
        <f aca="false">IF($J3644=FALSE(),"",COUNTIF($J$6:$J3644,TRUE()))</f>
        <v/>
      </c>
      <c r="L3644" s="5" t="str">
        <f aca="false">IF($K3644="","","R"&amp;$K3644)</f>
        <v/>
      </c>
    </row>
    <row r="3645" customFormat="false" ht="15" hidden="false" customHeight="true" outlineLevel="0" collapsed="false">
      <c r="J3645" s="14" t="b">
        <f aca="false">IF(중복검사!$A3643="",FALSE(),중복검사!$H3643="중복")</f>
        <v>0</v>
      </c>
      <c r="K3645" s="5" t="str">
        <f aca="false">IF($J3645=FALSE(),"",COUNTIF($J$6:$J3645,TRUE()))</f>
        <v/>
      </c>
      <c r="L3645" s="5" t="str">
        <f aca="false">IF($K3645="","","R"&amp;$K3645)</f>
        <v/>
      </c>
    </row>
    <row r="3646" customFormat="false" ht="15" hidden="false" customHeight="true" outlineLevel="0" collapsed="false">
      <c r="J3646" s="14" t="b">
        <f aca="false">IF(중복검사!$A3644="",FALSE(),중복검사!$H3644="중복")</f>
        <v>0</v>
      </c>
      <c r="K3646" s="5" t="str">
        <f aca="false">IF($J3646=FALSE(),"",COUNTIF($J$6:$J3646,TRUE()))</f>
        <v/>
      </c>
      <c r="L3646" s="5" t="str">
        <f aca="false">IF($K3646="","","R"&amp;$K3646)</f>
        <v/>
      </c>
    </row>
    <row r="3647" customFormat="false" ht="15" hidden="false" customHeight="true" outlineLevel="0" collapsed="false">
      <c r="J3647" s="14" t="b">
        <f aca="false">IF(중복검사!$A3645="",FALSE(),중복검사!$H3645="중복")</f>
        <v>0</v>
      </c>
      <c r="K3647" s="5" t="str">
        <f aca="false">IF($J3647=FALSE(),"",COUNTIF($J$6:$J3647,TRUE()))</f>
        <v/>
      </c>
      <c r="L3647" s="5" t="str">
        <f aca="false">IF($K3647="","","R"&amp;$K3647)</f>
        <v/>
      </c>
    </row>
    <row r="3648" customFormat="false" ht="15" hidden="false" customHeight="true" outlineLevel="0" collapsed="false">
      <c r="J3648" s="14" t="b">
        <f aca="false">IF(중복검사!$A3646="",FALSE(),중복검사!$H3646="중복")</f>
        <v>0</v>
      </c>
      <c r="K3648" s="5" t="str">
        <f aca="false">IF($J3648=FALSE(),"",COUNTIF($J$6:$J3648,TRUE()))</f>
        <v/>
      </c>
      <c r="L3648" s="5" t="str">
        <f aca="false">IF($K3648="","","R"&amp;$K3648)</f>
        <v/>
      </c>
    </row>
    <row r="3649" customFormat="false" ht="15" hidden="false" customHeight="true" outlineLevel="0" collapsed="false">
      <c r="J3649" s="14" t="b">
        <f aca="false">IF(중복검사!$A3647="",FALSE(),중복검사!$H3647="중복")</f>
        <v>0</v>
      </c>
      <c r="K3649" s="5" t="str">
        <f aca="false">IF($J3649=FALSE(),"",COUNTIF($J$6:$J3649,TRUE()))</f>
        <v/>
      </c>
      <c r="L3649" s="5" t="str">
        <f aca="false">IF($K3649="","","R"&amp;$K3649)</f>
        <v/>
      </c>
    </row>
    <row r="3650" customFormat="false" ht="15" hidden="false" customHeight="true" outlineLevel="0" collapsed="false">
      <c r="J3650" s="14" t="b">
        <f aca="false">IF(중복검사!$A3648="",FALSE(),중복검사!$H3648="중복")</f>
        <v>0</v>
      </c>
      <c r="K3650" s="5" t="str">
        <f aca="false">IF($J3650=FALSE(),"",COUNTIF($J$6:$J3650,TRUE()))</f>
        <v/>
      </c>
      <c r="L3650" s="5" t="str">
        <f aca="false">IF($K3650="","","R"&amp;$K3650)</f>
        <v/>
      </c>
    </row>
    <row r="3651" customFormat="false" ht="15" hidden="false" customHeight="true" outlineLevel="0" collapsed="false">
      <c r="J3651" s="14" t="b">
        <f aca="false">IF(중복검사!$A3649="",FALSE(),중복검사!$H3649="중복")</f>
        <v>0</v>
      </c>
      <c r="K3651" s="5" t="str">
        <f aca="false">IF($J3651=FALSE(),"",COUNTIF($J$6:$J3651,TRUE()))</f>
        <v/>
      </c>
      <c r="L3651" s="5" t="str">
        <f aca="false">IF($K3651="","","R"&amp;$K3651)</f>
        <v/>
      </c>
    </row>
    <row r="3652" customFormat="false" ht="15" hidden="false" customHeight="true" outlineLevel="0" collapsed="false">
      <c r="J3652" s="14" t="b">
        <f aca="false">IF(중복검사!$A3650="",FALSE(),중복검사!$H3650="중복")</f>
        <v>0</v>
      </c>
      <c r="K3652" s="5" t="str">
        <f aca="false">IF($J3652=FALSE(),"",COUNTIF($J$6:$J3652,TRUE()))</f>
        <v/>
      </c>
      <c r="L3652" s="5" t="str">
        <f aca="false">IF($K3652="","","R"&amp;$K3652)</f>
        <v/>
      </c>
    </row>
    <row r="3653" customFormat="false" ht="15" hidden="false" customHeight="true" outlineLevel="0" collapsed="false">
      <c r="J3653" s="14" t="b">
        <f aca="false">IF(중복검사!$A3651="",FALSE(),중복검사!$H3651="중복")</f>
        <v>0</v>
      </c>
      <c r="K3653" s="5" t="str">
        <f aca="false">IF($J3653=FALSE(),"",COUNTIF($J$6:$J3653,TRUE()))</f>
        <v/>
      </c>
      <c r="L3653" s="5" t="str">
        <f aca="false">IF($K3653="","","R"&amp;$K3653)</f>
        <v/>
      </c>
    </row>
    <row r="3654" customFormat="false" ht="15" hidden="false" customHeight="true" outlineLevel="0" collapsed="false">
      <c r="J3654" s="14" t="b">
        <f aca="false">IF(중복검사!$A3652="",FALSE(),중복검사!$H3652="중복")</f>
        <v>0</v>
      </c>
      <c r="K3654" s="5" t="str">
        <f aca="false">IF($J3654=FALSE(),"",COUNTIF($J$6:$J3654,TRUE()))</f>
        <v/>
      </c>
      <c r="L3654" s="5" t="str">
        <f aca="false">IF($K3654="","","R"&amp;$K3654)</f>
        <v/>
      </c>
    </row>
    <row r="3655" customFormat="false" ht="15" hidden="false" customHeight="true" outlineLevel="0" collapsed="false">
      <c r="J3655" s="14" t="b">
        <f aca="false">IF(중복검사!$A3653="",FALSE(),중복검사!$H3653="중복")</f>
        <v>0</v>
      </c>
      <c r="K3655" s="5" t="str">
        <f aca="false">IF($J3655=FALSE(),"",COUNTIF($J$6:$J3655,TRUE()))</f>
        <v/>
      </c>
      <c r="L3655" s="5" t="str">
        <f aca="false">IF($K3655="","","R"&amp;$K3655)</f>
        <v/>
      </c>
    </row>
    <row r="3656" customFormat="false" ht="15" hidden="false" customHeight="true" outlineLevel="0" collapsed="false">
      <c r="J3656" s="14" t="b">
        <f aca="false">IF(중복검사!$A3654="",FALSE(),중복검사!$H3654="중복")</f>
        <v>0</v>
      </c>
      <c r="K3656" s="5" t="str">
        <f aca="false">IF($J3656=FALSE(),"",COUNTIF($J$6:$J3656,TRUE()))</f>
        <v/>
      </c>
      <c r="L3656" s="5" t="str">
        <f aca="false">IF($K3656="","","R"&amp;$K3656)</f>
        <v/>
      </c>
    </row>
    <row r="3657" customFormat="false" ht="15" hidden="false" customHeight="true" outlineLevel="0" collapsed="false">
      <c r="J3657" s="14" t="b">
        <f aca="false">IF(중복검사!$A3655="",FALSE(),중복검사!$H3655="중복")</f>
        <v>0</v>
      </c>
      <c r="K3657" s="5" t="str">
        <f aca="false">IF($J3657=FALSE(),"",COUNTIF($J$6:$J3657,TRUE()))</f>
        <v/>
      </c>
      <c r="L3657" s="5" t="str">
        <f aca="false">IF($K3657="","","R"&amp;$K3657)</f>
        <v/>
      </c>
    </row>
    <row r="3658" customFormat="false" ht="15" hidden="false" customHeight="true" outlineLevel="0" collapsed="false">
      <c r="J3658" s="14" t="b">
        <f aca="false">IF(중복검사!$A3656="",FALSE(),중복검사!$H3656="중복")</f>
        <v>0</v>
      </c>
      <c r="K3658" s="5" t="str">
        <f aca="false">IF($J3658=FALSE(),"",COUNTIF($J$6:$J3658,TRUE()))</f>
        <v/>
      </c>
      <c r="L3658" s="5" t="str">
        <f aca="false">IF($K3658="","","R"&amp;$K3658)</f>
        <v/>
      </c>
    </row>
    <row r="3659" customFormat="false" ht="15" hidden="false" customHeight="true" outlineLevel="0" collapsed="false">
      <c r="J3659" s="14" t="b">
        <f aca="false">IF(중복검사!$A3657="",FALSE(),중복검사!$H3657="중복")</f>
        <v>0</v>
      </c>
      <c r="K3659" s="5" t="str">
        <f aca="false">IF($J3659=FALSE(),"",COUNTIF($J$6:$J3659,TRUE()))</f>
        <v/>
      </c>
      <c r="L3659" s="5" t="str">
        <f aca="false">IF($K3659="","","R"&amp;$K3659)</f>
        <v/>
      </c>
    </row>
    <row r="3660" customFormat="false" ht="15" hidden="false" customHeight="true" outlineLevel="0" collapsed="false">
      <c r="J3660" s="14" t="b">
        <f aca="false">IF(중복검사!$A3658="",FALSE(),중복검사!$H3658="중복")</f>
        <v>0</v>
      </c>
      <c r="K3660" s="5" t="str">
        <f aca="false">IF($J3660=FALSE(),"",COUNTIF($J$6:$J3660,TRUE()))</f>
        <v/>
      </c>
      <c r="L3660" s="5" t="str">
        <f aca="false">IF($K3660="","","R"&amp;$K3660)</f>
        <v/>
      </c>
    </row>
    <row r="3661" customFormat="false" ht="15" hidden="false" customHeight="true" outlineLevel="0" collapsed="false">
      <c r="J3661" s="14" t="b">
        <f aca="false">IF(중복검사!$A3659="",FALSE(),중복검사!$H3659="중복")</f>
        <v>0</v>
      </c>
      <c r="K3661" s="5" t="str">
        <f aca="false">IF($J3661=FALSE(),"",COUNTIF($J$6:$J3661,TRUE()))</f>
        <v/>
      </c>
      <c r="L3661" s="5" t="str">
        <f aca="false">IF($K3661="","","R"&amp;$K3661)</f>
        <v/>
      </c>
    </row>
    <row r="3662" customFormat="false" ht="15" hidden="false" customHeight="true" outlineLevel="0" collapsed="false">
      <c r="J3662" s="14" t="b">
        <f aca="false">IF(중복검사!$A3660="",FALSE(),중복검사!$H3660="중복")</f>
        <v>0</v>
      </c>
      <c r="K3662" s="5" t="str">
        <f aca="false">IF($J3662=FALSE(),"",COUNTIF($J$6:$J3662,TRUE()))</f>
        <v/>
      </c>
      <c r="L3662" s="5" t="str">
        <f aca="false">IF($K3662="","","R"&amp;$K3662)</f>
        <v/>
      </c>
    </row>
    <row r="3663" customFormat="false" ht="15" hidden="false" customHeight="true" outlineLevel="0" collapsed="false">
      <c r="J3663" s="14" t="b">
        <f aca="false">IF(중복검사!$A3661="",FALSE(),중복검사!$H3661="중복")</f>
        <v>0</v>
      </c>
      <c r="K3663" s="5" t="str">
        <f aca="false">IF($J3663=FALSE(),"",COUNTIF($J$6:$J3663,TRUE()))</f>
        <v/>
      </c>
      <c r="L3663" s="5" t="str">
        <f aca="false">IF($K3663="","","R"&amp;$K3663)</f>
        <v/>
      </c>
    </row>
    <row r="3664" customFormat="false" ht="15" hidden="false" customHeight="true" outlineLevel="0" collapsed="false">
      <c r="J3664" s="14" t="b">
        <f aca="false">IF(중복검사!$A3662="",FALSE(),중복검사!$H3662="중복")</f>
        <v>0</v>
      </c>
      <c r="K3664" s="5" t="str">
        <f aca="false">IF($J3664=FALSE(),"",COUNTIF($J$6:$J3664,TRUE()))</f>
        <v/>
      </c>
      <c r="L3664" s="5" t="str">
        <f aca="false">IF($K3664="","","R"&amp;$K3664)</f>
        <v/>
      </c>
    </row>
    <row r="3665" customFormat="false" ht="15" hidden="false" customHeight="true" outlineLevel="0" collapsed="false">
      <c r="J3665" s="14" t="b">
        <f aca="false">IF(중복검사!$A3663="",FALSE(),중복검사!$H3663="중복")</f>
        <v>0</v>
      </c>
      <c r="K3665" s="5" t="str">
        <f aca="false">IF($J3665=FALSE(),"",COUNTIF($J$6:$J3665,TRUE()))</f>
        <v/>
      </c>
      <c r="L3665" s="5" t="str">
        <f aca="false">IF($K3665="","","R"&amp;$K3665)</f>
        <v/>
      </c>
    </row>
    <row r="3666" customFormat="false" ht="15" hidden="false" customHeight="true" outlineLevel="0" collapsed="false">
      <c r="J3666" s="14" t="b">
        <f aca="false">IF(중복검사!$A3664="",FALSE(),중복검사!$H3664="중복")</f>
        <v>0</v>
      </c>
      <c r="K3666" s="5" t="str">
        <f aca="false">IF($J3666=FALSE(),"",COUNTIF($J$6:$J3666,TRUE()))</f>
        <v/>
      </c>
      <c r="L3666" s="5" t="str">
        <f aca="false">IF($K3666="","","R"&amp;$K3666)</f>
        <v/>
      </c>
    </row>
    <row r="3667" customFormat="false" ht="15" hidden="false" customHeight="true" outlineLevel="0" collapsed="false">
      <c r="J3667" s="14" t="b">
        <f aca="false">IF(중복검사!$A3665="",FALSE(),중복검사!$H3665="중복")</f>
        <v>0</v>
      </c>
      <c r="K3667" s="5" t="str">
        <f aca="false">IF($J3667=FALSE(),"",COUNTIF($J$6:$J3667,TRUE()))</f>
        <v/>
      </c>
      <c r="L3667" s="5" t="str">
        <f aca="false">IF($K3667="","","R"&amp;$K3667)</f>
        <v/>
      </c>
    </row>
    <row r="3668" customFormat="false" ht="15" hidden="false" customHeight="true" outlineLevel="0" collapsed="false">
      <c r="J3668" s="14" t="b">
        <f aca="false">IF(중복검사!$A3666="",FALSE(),중복검사!$H3666="중복")</f>
        <v>0</v>
      </c>
      <c r="K3668" s="5" t="str">
        <f aca="false">IF($J3668=FALSE(),"",COUNTIF($J$6:$J3668,TRUE()))</f>
        <v/>
      </c>
      <c r="L3668" s="5" t="str">
        <f aca="false">IF($K3668="","","R"&amp;$K3668)</f>
        <v/>
      </c>
    </row>
    <row r="3669" customFormat="false" ht="15" hidden="false" customHeight="true" outlineLevel="0" collapsed="false">
      <c r="J3669" s="14" t="b">
        <f aca="false">IF(중복검사!$A3667="",FALSE(),중복검사!$H3667="중복")</f>
        <v>0</v>
      </c>
      <c r="K3669" s="5" t="str">
        <f aca="false">IF($J3669=FALSE(),"",COUNTIF($J$6:$J3669,TRUE()))</f>
        <v/>
      </c>
      <c r="L3669" s="5" t="str">
        <f aca="false">IF($K3669="","","R"&amp;$K3669)</f>
        <v/>
      </c>
    </row>
    <row r="3670" customFormat="false" ht="15" hidden="false" customHeight="true" outlineLevel="0" collapsed="false">
      <c r="J3670" s="14" t="b">
        <f aca="false">IF(중복검사!$A3668="",FALSE(),중복검사!$H3668="중복")</f>
        <v>0</v>
      </c>
      <c r="K3670" s="5" t="str">
        <f aca="false">IF($J3670=FALSE(),"",COUNTIF($J$6:$J3670,TRUE()))</f>
        <v/>
      </c>
      <c r="L3670" s="5" t="str">
        <f aca="false">IF($K3670="","","R"&amp;$K3670)</f>
        <v/>
      </c>
    </row>
    <row r="3671" customFormat="false" ht="15" hidden="false" customHeight="true" outlineLevel="0" collapsed="false">
      <c r="J3671" s="14" t="b">
        <f aca="false">IF(중복검사!$A3669="",FALSE(),중복검사!$H3669="중복")</f>
        <v>0</v>
      </c>
      <c r="K3671" s="5" t="str">
        <f aca="false">IF($J3671=FALSE(),"",COUNTIF($J$6:$J3671,TRUE()))</f>
        <v/>
      </c>
      <c r="L3671" s="5" t="str">
        <f aca="false">IF($K3671="","","R"&amp;$K3671)</f>
        <v/>
      </c>
    </row>
    <row r="3672" customFormat="false" ht="15" hidden="false" customHeight="true" outlineLevel="0" collapsed="false">
      <c r="J3672" s="14" t="b">
        <f aca="false">IF(중복검사!$A3670="",FALSE(),중복검사!$H3670="중복")</f>
        <v>0</v>
      </c>
      <c r="K3672" s="5" t="str">
        <f aca="false">IF($J3672=FALSE(),"",COUNTIF($J$6:$J3672,TRUE()))</f>
        <v/>
      </c>
      <c r="L3672" s="5" t="str">
        <f aca="false">IF($K3672="","","R"&amp;$K3672)</f>
        <v/>
      </c>
    </row>
    <row r="3673" customFormat="false" ht="15" hidden="false" customHeight="true" outlineLevel="0" collapsed="false">
      <c r="J3673" s="14" t="b">
        <f aca="false">IF(중복검사!$A3671="",FALSE(),중복검사!$H3671="중복")</f>
        <v>0</v>
      </c>
      <c r="K3673" s="5" t="str">
        <f aca="false">IF($J3673=FALSE(),"",COUNTIF($J$6:$J3673,TRUE()))</f>
        <v/>
      </c>
      <c r="L3673" s="5" t="str">
        <f aca="false">IF($K3673="","","R"&amp;$K3673)</f>
        <v/>
      </c>
    </row>
    <row r="3674" customFormat="false" ht="15" hidden="false" customHeight="true" outlineLevel="0" collapsed="false">
      <c r="J3674" s="14" t="b">
        <f aca="false">IF(중복검사!$A3672="",FALSE(),중복검사!$H3672="중복")</f>
        <v>0</v>
      </c>
      <c r="K3674" s="5" t="str">
        <f aca="false">IF($J3674=FALSE(),"",COUNTIF($J$6:$J3674,TRUE()))</f>
        <v/>
      </c>
      <c r="L3674" s="5" t="str">
        <f aca="false">IF($K3674="","","R"&amp;$K3674)</f>
        <v/>
      </c>
    </row>
    <row r="3675" customFormat="false" ht="15" hidden="false" customHeight="true" outlineLevel="0" collapsed="false">
      <c r="J3675" s="14" t="b">
        <f aca="false">IF(중복검사!$A3673="",FALSE(),중복검사!$H3673="중복")</f>
        <v>0</v>
      </c>
      <c r="K3675" s="5" t="str">
        <f aca="false">IF($J3675=FALSE(),"",COUNTIF($J$6:$J3675,TRUE()))</f>
        <v/>
      </c>
      <c r="L3675" s="5" t="str">
        <f aca="false">IF($K3675="","","R"&amp;$K3675)</f>
        <v/>
      </c>
    </row>
    <row r="3676" customFormat="false" ht="15" hidden="false" customHeight="true" outlineLevel="0" collapsed="false">
      <c r="J3676" s="14" t="b">
        <f aca="false">IF(중복검사!$A3674="",FALSE(),중복검사!$H3674="중복")</f>
        <v>0</v>
      </c>
      <c r="K3676" s="5" t="str">
        <f aca="false">IF($J3676=FALSE(),"",COUNTIF($J$6:$J3676,TRUE()))</f>
        <v/>
      </c>
      <c r="L3676" s="5" t="str">
        <f aca="false">IF($K3676="","","R"&amp;$K3676)</f>
        <v/>
      </c>
    </row>
    <row r="3677" customFormat="false" ht="15" hidden="false" customHeight="true" outlineLevel="0" collapsed="false">
      <c r="J3677" s="14" t="b">
        <f aca="false">IF(중복검사!$A3675="",FALSE(),중복검사!$H3675="중복")</f>
        <v>0</v>
      </c>
      <c r="K3677" s="5" t="str">
        <f aca="false">IF($J3677=FALSE(),"",COUNTIF($J$6:$J3677,TRUE()))</f>
        <v/>
      </c>
      <c r="L3677" s="5" t="str">
        <f aca="false">IF($K3677="","","R"&amp;$K3677)</f>
        <v/>
      </c>
    </row>
    <row r="3678" customFormat="false" ht="15" hidden="false" customHeight="true" outlineLevel="0" collapsed="false">
      <c r="J3678" s="14" t="b">
        <f aca="false">IF(중복검사!$A3676="",FALSE(),중복검사!$H3676="중복")</f>
        <v>0</v>
      </c>
      <c r="K3678" s="5" t="str">
        <f aca="false">IF($J3678=FALSE(),"",COUNTIF($J$6:$J3678,TRUE()))</f>
        <v/>
      </c>
      <c r="L3678" s="5" t="str">
        <f aca="false">IF($K3678="","","R"&amp;$K3678)</f>
        <v/>
      </c>
    </row>
    <row r="3679" customFormat="false" ht="15" hidden="false" customHeight="true" outlineLevel="0" collapsed="false">
      <c r="J3679" s="14" t="b">
        <f aca="false">IF(중복검사!$A3677="",FALSE(),중복검사!$H3677="중복")</f>
        <v>0</v>
      </c>
      <c r="K3679" s="5" t="str">
        <f aca="false">IF($J3679=FALSE(),"",COUNTIF($J$6:$J3679,TRUE()))</f>
        <v/>
      </c>
      <c r="L3679" s="5" t="str">
        <f aca="false">IF($K3679="","","R"&amp;$K3679)</f>
        <v/>
      </c>
    </row>
    <row r="3680" customFormat="false" ht="15" hidden="false" customHeight="true" outlineLevel="0" collapsed="false">
      <c r="J3680" s="14" t="b">
        <f aca="false">IF(중복검사!$A3678="",FALSE(),중복검사!$H3678="중복")</f>
        <v>0</v>
      </c>
      <c r="K3680" s="5" t="str">
        <f aca="false">IF($J3680=FALSE(),"",COUNTIF($J$6:$J3680,TRUE()))</f>
        <v/>
      </c>
      <c r="L3680" s="5" t="str">
        <f aca="false">IF($K3680="","","R"&amp;$K3680)</f>
        <v/>
      </c>
    </row>
    <row r="3681" customFormat="false" ht="15" hidden="false" customHeight="true" outlineLevel="0" collapsed="false">
      <c r="J3681" s="14" t="b">
        <f aca="false">IF(중복검사!$A3679="",FALSE(),중복검사!$H3679="중복")</f>
        <v>0</v>
      </c>
      <c r="K3681" s="5" t="str">
        <f aca="false">IF($J3681=FALSE(),"",COUNTIF($J$6:$J3681,TRUE()))</f>
        <v/>
      </c>
      <c r="L3681" s="5" t="str">
        <f aca="false">IF($K3681="","","R"&amp;$K3681)</f>
        <v/>
      </c>
    </row>
    <row r="3682" customFormat="false" ht="15" hidden="false" customHeight="true" outlineLevel="0" collapsed="false">
      <c r="J3682" s="14" t="b">
        <f aca="false">IF(중복검사!$A3680="",FALSE(),중복검사!$H3680="중복")</f>
        <v>0</v>
      </c>
      <c r="K3682" s="5" t="str">
        <f aca="false">IF($J3682=FALSE(),"",COUNTIF($J$6:$J3682,TRUE()))</f>
        <v/>
      </c>
      <c r="L3682" s="5" t="str">
        <f aca="false">IF($K3682="","","R"&amp;$K3682)</f>
        <v/>
      </c>
    </row>
    <row r="3683" customFormat="false" ht="15" hidden="false" customHeight="true" outlineLevel="0" collapsed="false">
      <c r="J3683" s="14" t="b">
        <f aca="false">IF(중복검사!$A3681="",FALSE(),중복검사!$H3681="중복")</f>
        <v>0</v>
      </c>
      <c r="K3683" s="5" t="str">
        <f aca="false">IF($J3683=FALSE(),"",COUNTIF($J$6:$J3683,TRUE()))</f>
        <v/>
      </c>
      <c r="L3683" s="5" t="str">
        <f aca="false">IF($K3683="","","R"&amp;$K3683)</f>
        <v/>
      </c>
    </row>
    <row r="3684" customFormat="false" ht="15" hidden="false" customHeight="true" outlineLevel="0" collapsed="false">
      <c r="J3684" s="14" t="b">
        <f aca="false">IF(중복검사!$A3682="",FALSE(),중복검사!$H3682="중복")</f>
        <v>0</v>
      </c>
      <c r="K3684" s="5" t="str">
        <f aca="false">IF($J3684=FALSE(),"",COUNTIF($J$6:$J3684,TRUE()))</f>
        <v/>
      </c>
      <c r="L3684" s="5" t="str">
        <f aca="false">IF($K3684="","","R"&amp;$K3684)</f>
        <v/>
      </c>
    </row>
    <row r="3685" customFormat="false" ht="15" hidden="false" customHeight="true" outlineLevel="0" collapsed="false">
      <c r="J3685" s="14" t="b">
        <f aca="false">IF(중복검사!$A3683="",FALSE(),중복검사!$H3683="중복")</f>
        <v>0</v>
      </c>
      <c r="K3685" s="5" t="str">
        <f aca="false">IF($J3685=FALSE(),"",COUNTIF($J$6:$J3685,TRUE()))</f>
        <v/>
      </c>
      <c r="L3685" s="5" t="str">
        <f aca="false">IF($K3685="","","R"&amp;$K3685)</f>
        <v/>
      </c>
    </row>
    <row r="3686" customFormat="false" ht="15" hidden="false" customHeight="true" outlineLevel="0" collapsed="false">
      <c r="J3686" s="14" t="b">
        <f aca="false">IF(중복검사!$A3684="",FALSE(),중복검사!$H3684="중복")</f>
        <v>0</v>
      </c>
      <c r="K3686" s="5" t="str">
        <f aca="false">IF($J3686=FALSE(),"",COUNTIF($J$6:$J3686,TRUE()))</f>
        <v/>
      </c>
      <c r="L3686" s="5" t="str">
        <f aca="false">IF($K3686="","","R"&amp;$K3686)</f>
        <v/>
      </c>
    </row>
    <row r="3687" customFormat="false" ht="15" hidden="false" customHeight="true" outlineLevel="0" collapsed="false">
      <c r="J3687" s="14" t="b">
        <f aca="false">IF(중복검사!$A3685="",FALSE(),중복검사!$H3685="중복")</f>
        <v>0</v>
      </c>
      <c r="K3687" s="5" t="str">
        <f aca="false">IF($J3687=FALSE(),"",COUNTIF($J$6:$J3687,TRUE()))</f>
        <v/>
      </c>
      <c r="L3687" s="5" t="str">
        <f aca="false">IF($K3687="","","R"&amp;$K3687)</f>
        <v/>
      </c>
    </row>
    <row r="3688" customFormat="false" ht="15" hidden="false" customHeight="true" outlineLevel="0" collapsed="false">
      <c r="J3688" s="14" t="b">
        <f aca="false">IF(중복검사!$A3686="",FALSE(),중복검사!$H3686="중복")</f>
        <v>0</v>
      </c>
      <c r="K3688" s="5" t="str">
        <f aca="false">IF($J3688=FALSE(),"",COUNTIF($J$6:$J3688,TRUE()))</f>
        <v/>
      </c>
      <c r="L3688" s="5" t="str">
        <f aca="false">IF($K3688="","","R"&amp;$K3688)</f>
        <v/>
      </c>
    </row>
    <row r="3689" customFormat="false" ht="15" hidden="false" customHeight="true" outlineLevel="0" collapsed="false">
      <c r="J3689" s="14" t="b">
        <f aca="false">IF(중복검사!$A3687="",FALSE(),중복검사!$H3687="중복")</f>
        <v>0</v>
      </c>
      <c r="K3689" s="5" t="str">
        <f aca="false">IF($J3689=FALSE(),"",COUNTIF($J$6:$J3689,TRUE()))</f>
        <v/>
      </c>
      <c r="L3689" s="5" t="str">
        <f aca="false">IF($K3689="","","R"&amp;$K3689)</f>
        <v/>
      </c>
    </row>
    <row r="3690" customFormat="false" ht="15" hidden="false" customHeight="true" outlineLevel="0" collapsed="false">
      <c r="J3690" s="14" t="b">
        <f aca="false">IF(중복검사!$A3688="",FALSE(),중복검사!$H3688="중복")</f>
        <v>0</v>
      </c>
      <c r="K3690" s="5" t="str">
        <f aca="false">IF($J3690=FALSE(),"",COUNTIF($J$6:$J3690,TRUE()))</f>
        <v/>
      </c>
      <c r="L3690" s="5" t="str">
        <f aca="false">IF($K3690="","","R"&amp;$K3690)</f>
        <v/>
      </c>
    </row>
    <row r="3691" customFormat="false" ht="15" hidden="false" customHeight="true" outlineLevel="0" collapsed="false">
      <c r="J3691" s="14" t="b">
        <f aca="false">IF(중복검사!$A3689="",FALSE(),중복검사!$H3689="중복")</f>
        <v>0</v>
      </c>
      <c r="K3691" s="5" t="str">
        <f aca="false">IF($J3691=FALSE(),"",COUNTIF($J$6:$J3691,TRUE()))</f>
        <v/>
      </c>
      <c r="L3691" s="5" t="str">
        <f aca="false">IF($K3691="","","R"&amp;$K3691)</f>
        <v/>
      </c>
    </row>
    <row r="3692" customFormat="false" ht="15" hidden="false" customHeight="true" outlineLevel="0" collapsed="false">
      <c r="J3692" s="14" t="b">
        <f aca="false">IF(중복검사!$A3690="",FALSE(),중복검사!$H3690="중복")</f>
        <v>0</v>
      </c>
      <c r="K3692" s="5" t="str">
        <f aca="false">IF($J3692=FALSE(),"",COUNTIF($J$6:$J3692,TRUE()))</f>
        <v/>
      </c>
      <c r="L3692" s="5" t="str">
        <f aca="false">IF($K3692="","","R"&amp;$K3692)</f>
        <v/>
      </c>
    </row>
    <row r="3693" customFormat="false" ht="15" hidden="false" customHeight="true" outlineLevel="0" collapsed="false">
      <c r="J3693" s="14" t="b">
        <f aca="false">IF(중복검사!$A3691="",FALSE(),중복검사!$H3691="중복")</f>
        <v>0</v>
      </c>
      <c r="K3693" s="5" t="str">
        <f aca="false">IF($J3693=FALSE(),"",COUNTIF($J$6:$J3693,TRUE()))</f>
        <v/>
      </c>
      <c r="L3693" s="5" t="str">
        <f aca="false">IF($K3693="","","R"&amp;$K3693)</f>
        <v/>
      </c>
    </row>
    <row r="3694" customFormat="false" ht="15" hidden="false" customHeight="true" outlineLevel="0" collapsed="false">
      <c r="J3694" s="14" t="b">
        <f aca="false">IF(중복검사!$A3692="",FALSE(),중복검사!$H3692="중복")</f>
        <v>0</v>
      </c>
      <c r="K3694" s="5" t="str">
        <f aca="false">IF($J3694=FALSE(),"",COUNTIF($J$6:$J3694,TRUE()))</f>
        <v/>
      </c>
      <c r="L3694" s="5" t="str">
        <f aca="false">IF($K3694="","","R"&amp;$K3694)</f>
        <v/>
      </c>
    </row>
    <row r="3695" customFormat="false" ht="15" hidden="false" customHeight="true" outlineLevel="0" collapsed="false">
      <c r="J3695" s="14" t="b">
        <f aca="false">IF(중복검사!$A3693="",FALSE(),중복검사!$H3693="중복")</f>
        <v>0</v>
      </c>
      <c r="K3695" s="5" t="str">
        <f aca="false">IF($J3695=FALSE(),"",COUNTIF($J$6:$J3695,TRUE()))</f>
        <v/>
      </c>
      <c r="L3695" s="5" t="str">
        <f aca="false">IF($K3695="","","R"&amp;$K3695)</f>
        <v/>
      </c>
    </row>
    <row r="3696" customFormat="false" ht="15" hidden="false" customHeight="true" outlineLevel="0" collapsed="false">
      <c r="J3696" s="14" t="b">
        <f aca="false">IF(중복검사!$A3694="",FALSE(),중복검사!$H3694="중복")</f>
        <v>0</v>
      </c>
      <c r="K3696" s="5" t="str">
        <f aca="false">IF($J3696=FALSE(),"",COUNTIF($J$6:$J3696,TRUE()))</f>
        <v/>
      </c>
      <c r="L3696" s="5" t="str">
        <f aca="false">IF($K3696="","","R"&amp;$K3696)</f>
        <v/>
      </c>
    </row>
    <row r="3697" customFormat="false" ht="15" hidden="false" customHeight="true" outlineLevel="0" collapsed="false">
      <c r="J3697" s="14" t="b">
        <f aca="false">IF(중복검사!$A3695="",FALSE(),중복검사!$H3695="중복")</f>
        <v>0</v>
      </c>
      <c r="K3697" s="5" t="str">
        <f aca="false">IF($J3697=FALSE(),"",COUNTIF($J$6:$J3697,TRUE()))</f>
        <v/>
      </c>
      <c r="L3697" s="5" t="str">
        <f aca="false">IF($K3697="","","R"&amp;$K3697)</f>
        <v/>
      </c>
    </row>
    <row r="3698" customFormat="false" ht="15" hidden="false" customHeight="true" outlineLevel="0" collapsed="false">
      <c r="J3698" s="14" t="b">
        <f aca="false">IF(중복검사!$A3696="",FALSE(),중복검사!$H3696="중복")</f>
        <v>0</v>
      </c>
      <c r="K3698" s="5" t="str">
        <f aca="false">IF($J3698=FALSE(),"",COUNTIF($J$6:$J3698,TRUE()))</f>
        <v/>
      </c>
      <c r="L3698" s="5" t="str">
        <f aca="false">IF($K3698="","","R"&amp;$K3698)</f>
        <v/>
      </c>
    </row>
    <row r="3699" customFormat="false" ht="15" hidden="false" customHeight="true" outlineLevel="0" collapsed="false">
      <c r="J3699" s="14" t="b">
        <f aca="false">IF(중복검사!$A3697="",FALSE(),중복검사!$H3697="중복")</f>
        <v>0</v>
      </c>
      <c r="K3699" s="5" t="str">
        <f aca="false">IF($J3699=FALSE(),"",COUNTIF($J$6:$J3699,TRUE()))</f>
        <v/>
      </c>
      <c r="L3699" s="5" t="str">
        <f aca="false">IF($K3699="","","R"&amp;$K3699)</f>
        <v/>
      </c>
    </row>
    <row r="3700" customFormat="false" ht="15" hidden="false" customHeight="true" outlineLevel="0" collapsed="false">
      <c r="J3700" s="14" t="b">
        <f aca="false">IF(중복검사!$A3698="",FALSE(),중복검사!$H3698="중복")</f>
        <v>0</v>
      </c>
      <c r="K3700" s="5" t="str">
        <f aca="false">IF($J3700=FALSE(),"",COUNTIF($J$6:$J3700,TRUE()))</f>
        <v/>
      </c>
      <c r="L3700" s="5" t="str">
        <f aca="false">IF($K3700="","","R"&amp;$K3700)</f>
        <v/>
      </c>
    </row>
    <row r="3701" customFormat="false" ht="15" hidden="false" customHeight="true" outlineLevel="0" collapsed="false">
      <c r="J3701" s="14" t="b">
        <f aca="false">IF(중복검사!$A3699="",FALSE(),중복검사!$H3699="중복")</f>
        <v>0</v>
      </c>
      <c r="K3701" s="5" t="str">
        <f aca="false">IF($J3701=FALSE(),"",COUNTIF($J$6:$J3701,TRUE()))</f>
        <v/>
      </c>
      <c r="L3701" s="5" t="str">
        <f aca="false">IF($K3701="","","R"&amp;$K3701)</f>
        <v/>
      </c>
    </row>
    <row r="3702" customFormat="false" ht="15" hidden="false" customHeight="true" outlineLevel="0" collapsed="false">
      <c r="J3702" s="14" t="b">
        <f aca="false">IF(중복검사!$A3700="",FALSE(),중복검사!$H3700="중복")</f>
        <v>0</v>
      </c>
      <c r="K3702" s="5" t="str">
        <f aca="false">IF($J3702=FALSE(),"",COUNTIF($J$6:$J3702,TRUE()))</f>
        <v/>
      </c>
      <c r="L3702" s="5" t="str">
        <f aca="false">IF($K3702="","","R"&amp;$K3702)</f>
        <v/>
      </c>
    </row>
    <row r="3703" customFormat="false" ht="15" hidden="false" customHeight="true" outlineLevel="0" collapsed="false">
      <c r="J3703" s="14" t="b">
        <f aca="false">IF(중복검사!$A3701="",FALSE(),중복검사!$H3701="중복")</f>
        <v>0</v>
      </c>
      <c r="K3703" s="5" t="str">
        <f aca="false">IF($J3703=FALSE(),"",COUNTIF($J$6:$J3703,TRUE()))</f>
        <v/>
      </c>
      <c r="L3703" s="5" t="str">
        <f aca="false">IF($K3703="","","R"&amp;$K3703)</f>
        <v/>
      </c>
    </row>
    <row r="3704" customFormat="false" ht="15" hidden="false" customHeight="true" outlineLevel="0" collapsed="false">
      <c r="J3704" s="14" t="b">
        <f aca="false">IF(중복검사!$A3702="",FALSE(),중복검사!$H3702="중복")</f>
        <v>0</v>
      </c>
      <c r="K3704" s="5" t="str">
        <f aca="false">IF($J3704=FALSE(),"",COUNTIF($J$6:$J3704,TRUE()))</f>
        <v/>
      </c>
      <c r="L3704" s="5" t="str">
        <f aca="false">IF($K3704="","","R"&amp;$K3704)</f>
        <v/>
      </c>
    </row>
    <row r="3705" customFormat="false" ht="15" hidden="false" customHeight="true" outlineLevel="0" collapsed="false">
      <c r="J3705" s="14" t="b">
        <f aca="false">IF(중복검사!$A3703="",FALSE(),중복검사!$H3703="중복")</f>
        <v>0</v>
      </c>
      <c r="K3705" s="5" t="str">
        <f aca="false">IF($J3705=FALSE(),"",COUNTIF($J$6:$J3705,TRUE()))</f>
        <v/>
      </c>
      <c r="L3705" s="5" t="str">
        <f aca="false">IF($K3705="","","R"&amp;$K3705)</f>
        <v/>
      </c>
    </row>
    <row r="3706" customFormat="false" ht="15" hidden="false" customHeight="true" outlineLevel="0" collapsed="false">
      <c r="J3706" s="14" t="b">
        <f aca="false">IF(중복검사!$A3704="",FALSE(),중복검사!$H3704="중복")</f>
        <v>0</v>
      </c>
      <c r="K3706" s="5" t="str">
        <f aca="false">IF($J3706=FALSE(),"",COUNTIF($J$6:$J3706,TRUE()))</f>
        <v/>
      </c>
      <c r="L3706" s="5" t="str">
        <f aca="false">IF($K3706="","","R"&amp;$K3706)</f>
        <v/>
      </c>
    </row>
    <row r="3707" customFormat="false" ht="15" hidden="false" customHeight="true" outlineLevel="0" collapsed="false">
      <c r="J3707" s="14" t="b">
        <f aca="false">IF(중복검사!$A3705="",FALSE(),중복검사!$H3705="중복")</f>
        <v>0</v>
      </c>
      <c r="K3707" s="5" t="str">
        <f aca="false">IF($J3707=FALSE(),"",COUNTIF($J$6:$J3707,TRUE()))</f>
        <v/>
      </c>
      <c r="L3707" s="5" t="str">
        <f aca="false">IF($K3707="","","R"&amp;$K3707)</f>
        <v/>
      </c>
    </row>
    <row r="3708" customFormat="false" ht="15" hidden="false" customHeight="true" outlineLevel="0" collapsed="false">
      <c r="J3708" s="14" t="b">
        <f aca="false">IF(중복검사!$A3706="",FALSE(),중복검사!$H3706="중복")</f>
        <v>0</v>
      </c>
      <c r="K3708" s="5" t="str">
        <f aca="false">IF($J3708=FALSE(),"",COUNTIF($J$6:$J3708,TRUE()))</f>
        <v/>
      </c>
      <c r="L3708" s="5" t="str">
        <f aca="false">IF($K3708="","","R"&amp;$K3708)</f>
        <v/>
      </c>
    </row>
    <row r="3709" customFormat="false" ht="15" hidden="false" customHeight="true" outlineLevel="0" collapsed="false">
      <c r="J3709" s="14" t="b">
        <f aca="false">IF(중복검사!$A3707="",FALSE(),중복검사!$H3707="중복")</f>
        <v>0</v>
      </c>
      <c r="K3709" s="5" t="str">
        <f aca="false">IF($J3709=FALSE(),"",COUNTIF($J$6:$J3709,TRUE()))</f>
        <v/>
      </c>
      <c r="L3709" s="5" t="str">
        <f aca="false">IF($K3709="","","R"&amp;$K3709)</f>
        <v/>
      </c>
    </row>
    <row r="3710" customFormat="false" ht="15" hidden="false" customHeight="true" outlineLevel="0" collapsed="false">
      <c r="J3710" s="14" t="b">
        <f aca="false">IF(중복검사!$A3708="",FALSE(),중복검사!$H3708="중복")</f>
        <v>0</v>
      </c>
      <c r="K3710" s="5" t="str">
        <f aca="false">IF($J3710=FALSE(),"",COUNTIF($J$6:$J3710,TRUE()))</f>
        <v/>
      </c>
      <c r="L3710" s="5" t="str">
        <f aca="false">IF($K3710="","","R"&amp;$K3710)</f>
        <v/>
      </c>
    </row>
    <row r="3711" customFormat="false" ht="15" hidden="false" customHeight="true" outlineLevel="0" collapsed="false">
      <c r="J3711" s="14" t="b">
        <f aca="false">IF(중복검사!$A3709="",FALSE(),중복검사!$H3709="중복")</f>
        <v>0</v>
      </c>
      <c r="K3711" s="5" t="str">
        <f aca="false">IF($J3711=FALSE(),"",COUNTIF($J$6:$J3711,TRUE()))</f>
        <v/>
      </c>
      <c r="L3711" s="5" t="str">
        <f aca="false">IF($K3711="","","R"&amp;$K3711)</f>
        <v/>
      </c>
    </row>
    <row r="3712" customFormat="false" ht="15" hidden="false" customHeight="true" outlineLevel="0" collapsed="false">
      <c r="J3712" s="14" t="b">
        <f aca="false">IF(중복검사!$A3710="",FALSE(),중복검사!$H3710="중복")</f>
        <v>0</v>
      </c>
      <c r="K3712" s="5" t="str">
        <f aca="false">IF($J3712=FALSE(),"",COUNTIF($J$6:$J3712,TRUE()))</f>
        <v/>
      </c>
      <c r="L3712" s="5" t="str">
        <f aca="false">IF($K3712="","","R"&amp;$K3712)</f>
        <v/>
      </c>
    </row>
    <row r="3713" customFormat="false" ht="15" hidden="false" customHeight="true" outlineLevel="0" collapsed="false">
      <c r="J3713" s="14" t="b">
        <f aca="false">IF(중복검사!$A3711="",FALSE(),중복검사!$H3711="중복")</f>
        <v>0</v>
      </c>
      <c r="K3713" s="5" t="str">
        <f aca="false">IF($J3713=FALSE(),"",COUNTIF($J$6:$J3713,TRUE()))</f>
        <v/>
      </c>
      <c r="L3713" s="5" t="str">
        <f aca="false">IF($K3713="","","R"&amp;$K3713)</f>
        <v/>
      </c>
    </row>
    <row r="3714" customFormat="false" ht="15" hidden="false" customHeight="true" outlineLevel="0" collapsed="false">
      <c r="J3714" s="14" t="b">
        <f aca="false">IF(중복검사!$A3712="",FALSE(),중복검사!$H3712="중복")</f>
        <v>0</v>
      </c>
      <c r="K3714" s="5" t="str">
        <f aca="false">IF($J3714=FALSE(),"",COUNTIF($J$6:$J3714,TRUE()))</f>
        <v/>
      </c>
      <c r="L3714" s="5" t="str">
        <f aca="false">IF($K3714="","","R"&amp;$K3714)</f>
        <v/>
      </c>
    </row>
    <row r="3715" customFormat="false" ht="15" hidden="false" customHeight="true" outlineLevel="0" collapsed="false">
      <c r="J3715" s="14" t="b">
        <f aca="false">IF(중복검사!$A3713="",FALSE(),중복검사!$H3713="중복")</f>
        <v>0</v>
      </c>
      <c r="K3715" s="5" t="str">
        <f aca="false">IF($J3715=FALSE(),"",COUNTIF($J$6:$J3715,TRUE()))</f>
        <v/>
      </c>
      <c r="L3715" s="5" t="str">
        <f aca="false">IF($K3715="","","R"&amp;$K3715)</f>
        <v/>
      </c>
    </row>
    <row r="3716" customFormat="false" ht="15" hidden="false" customHeight="true" outlineLevel="0" collapsed="false">
      <c r="J3716" s="14" t="b">
        <f aca="false">IF(중복검사!$A3714="",FALSE(),중복검사!$H3714="중복")</f>
        <v>0</v>
      </c>
      <c r="K3716" s="5" t="str">
        <f aca="false">IF($J3716=FALSE(),"",COUNTIF($J$6:$J3716,TRUE()))</f>
        <v/>
      </c>
      <c r="L3716" s="5" t="str">
        <f aca="false">IF($K3716="","","R"&amp;$K3716)</f>
        <v/>
      </c>
    </row>
    <row r="3717" customFormat="false" ht="15" hidden="false" customHeight="true" outlineLevel="0" collapsed="false">
      <c r="J3717" s="14" t="b">
        <f aca="false">IF(중복검사!$A3715="",FALSE(),중복검사!$H3715="중복")</f>
        <v>0</v>
      </c>
      <c r="K3717" s="5" t="str">
        <f aca="false">IF($J3717=FALSE(),"",COUNTIF($J$6:$J3717,TRUE()))</f>
        <v/>
      </c>
      <c r="L3717" s="5" t="str">
        <f aca="false">IF($K3717="","","R"&amp;$K3717)</f>
        <v/>
      </c>
    </row>
    <row r="3718" customFormat="false" ht="15" hidden="false" customHeight="true" outlineLevel="0" collapsed="false">
      <c r="J3718" s="14" t="b">
        <f aca="false">IF(중복검사!$A3716="",FALSE(),중복검사!$H3716="중복")</f>
        <v>0</v>
      </c>
      <c r="K3718" s="5" t="str">
        <f aca="false">IF($J3718=FALSE(),"",COUNTIF($J$6:$J3718,TRUE()))</f>
        <v/>
      </c>
      <c r="L3718" s="5" t="str">
        <f aca="false">IF($K3718="","","R"&amp;$K3718)</f>
        <v/>
      </c>
    </row>
    <row r="3719" customFormat="false" ht="15" hidden="false" customHeight="true" outlineLevel="0" collapsed="false">
      <c r="J3719" s="14" t="b">
        <f aca="false">IF(중복검사!$A3717="",FALSE(),중복검사!$H3717="중복")</f>
        <v>0</v>
      </c>
      <c r="K3719" s="5" t="str">
        <f aca="false">IF($J3719=FALSE(),"",COUNTIF($J$6:$J3719,TRUE()))</f>
        <v/>
      </c>
      <c r="L3719" s="5" t="str">
        <f aca="false">IF($K3719="","","R"&amp;$K3719)</f>
        <v/>
      </c>
    </row>
    <row r="3720" customFormat="false" ht="15" hidden="false" customHeight="true" outlineLevel="0" collapsed="false">
      <c r="J3720" s="14" t="b">
        <f aca="false">IF(중복검사!$A3718="",FALSE(),중복검사!$H3718="중복")</f>
        <v>0</v>
      </c>
      <c r="K3720" s="5" t="str">
        <f aca="false">IF($J3720=FALSE(),"",COUNTIF($J$6:$J3720,TRUE()))</f>
        <v/>
      </c>
      <c r="L3720" s="5" t="str">
        <f aca="false">IF($K3720="","","R"&amp;$K3720)</f>
        <v/>
      </c>
    </row>
    <row r="3721" customFormat="false" ht="15" hidden="false" customHeight="true" outlineLevel="0" collapsed="false">
      <c r="J3721" s="14" t="b">
        <f aca="false">IF(중복검사!$A3719="",FALSE(),중복검사!$H3719="중복")</f>
        <v>0</v>
      </c>
      <c r="K3721" s="5" t="str">
        <f aca="false">IF($J3721=FALSE(),"",COUNTIF($J$6:$J3721,TRUE()))</f>
        <v/>
      </c>
      <c r="L3721" s="5" t="str">
        <f aca="false">IF($K3721="","","R"&amp;$K3721)</f>
        <v/>
      </c>
    </row>
    <row r="3722" customFormat="false" ht="15" hidden="false" customHeight="true" outlineLevel="0" collapsed="false">
      <c r="J3722" s="14" t="b">
        <f aca="false">IF(중복검사!$A3720="",FALSE(),중복검사!$H3720="중복")</f>
        <v>0</v>
      </c>
      <c r="K3722" s="5" t="str">
        <f aca="false">IF($J3722=FALSE(),"",COUNTIF($J$6:$J3722,TRUE()))</f>
        <v/>
      </c>
      <c r="L3722" s="5" t="str">
        <f aca="false">IF($K3722="","","R"&amp;$K3722)</f>
        <v/>
      </c>
    </row>
    <row r="3723" customFormat="false" ht="15" hidden="false" customHeight="true" outlineLevel="0" collapsed="false">
      <c r="J3723" s="14" t="b">
        <f aca="false">IF(중복검사!$A3721="",FALSE(),중복검사!$H3721="중복")</f>
        <v>0</v>
      </c>
      <c r="K3723" s="5" t="str">
        <f aca="false">IF($J3723=FALSE(),"",COUNTIF($J$6:$J3723,TRUE()))</f>
        <v/>
      </c>
      <c r="L3723" s="5" t="str">
        <f aca="false">IF($K3723="","","R"&amp;$K3723)</f>
        <v/>
      </c>
    </row>
    <row r="3724" customFormat="false" ht="15" hidden="false" customHeight="true" outlineLevel="0" collapsed="false">
      <c r="J3724" s="14" t="b">
        <f aca="false">IF(중복검사!$A3722="",FALSE(),중복검사!$H3722="중복")</f>
        <v>0</v>
      </c>
      <c r="K3724" s="5" t="str">
        <f aca="false">IF($J3724=FALSE(),"",COUNTIF($J$6:$J3724,TRUE()))</f>
        <v/>
      </c>
      <c r="L3724" s="5" t="str">
        <f aca="false">IF($K3724="","","R"&amp;$K3724)</f>
        <v/>
      </c>
    </row>
    <row r="3725" customFormat="false" ht="15" hidden="false" customHeight="true" outlineLevel="0" collapsed="false">
      <c r="J3725" s="14" t="b">
        <f aca="false">IF(중복검사!$A3723="",FALSE(),중복검사!$H3723="중복")</f>
        <v>0</v>
      </c>
      <c r="K3725" s="5" t="str">
        <f aca="false">IF($J3725=FALSE(),"",COUNTIF($J$6:$J3725,TRUE()))</f>
        <v/>
      </c>
      <c r="L3725" s="5" t="str">
        <f aca="false">IF($K3725="","","R"&amp;$K3725)</f>
        <v/>
      </c>
    </row>
    <row r="3726" customFormat="false" ht="15" hidden="false" customHeight="true" outlineLevel="0" collapsed="false">
      <c r="J3726" s="14" t="b">
        <f aca="false">IF(중복검사!$A3724="",FALSE(),중복검사!$H3724="중복")</f>
        <v>0</v>
      </c>
      <c r="K3726" s="5" t="str">
        <f aca="false">IF($J3726=FALSE(),"",COUNTIF($J$6:$J3726,TRUE()))</f>
        <v/>
      </c>
      <c r="L3726" s="5" t="str">
        <f aca="false">IF($K3726="","","R"&amp;$K3726)</f>
        <v/>
      </c>
    </row>
    <row r="3727" customFormat="false" ht="15" hidden="false" customHeight="true" outlineLevel="0" collapsed="false">
      <c r="J3727" s="14" t="b">
        <f aca="false">IF(중복검사!$A3725="",FALSE(),중복검사!$H3725="중복")</f>
        <v>0</v>
      </c>
      <c r="K3727" s="5" t="str">
        <f aca="false">IF($J3727=FALSE(),"",COUNTIF($J$6:$J3727,TRUE()))</f>
        <v/>
      </c>
      <c r="L3727" s="5" t="str">
        <f aca="false">IF($K3727="","","R"&amp;$K3727)</f>
        <v/>
      </c>
    </row>
    <row r="3728" customFormat="false" ht="15" hidden="false" customHeight="true" outlineLevel="0" collapsed="false">
      <c r="J3728" s="14" t="b">
        <f aca="false">IF(중복검사!$A3726="",FALSE(),중복검사!$H3726="중복")</f>
        <v>0</v>
      </c>
      <c r="K3728" s="5" t="str">
        <f aca="false">IF($J3728=FALSE(),"",COUNTIF($J$6:$J3728,TRUE()))</f>
        <v/>
      </c>
      <c r="L3728" s="5" t="str">
        <f aca="false">IF($K3728="","","R"&amp;$K3728)</f>
        <v/>
      </c>
    </row>
    <row r="3729" customFormat="false" ht="15" hidden="false" customHeight="true" outlineLevel="0" collapsed="false">
      <c r="J3729" s="14" t="b">
        <f aca="false">IF(중복검사!$A3727="",FALSE(),중복검사!$H3727="중복")</f>
        <v>0</v>
      </c>
      <c r="K3729" s="5" t="str">
        <f aca="false">IF($J3729=FALSE(),"",COUNTIF($J$6:$J3729,TRUE()))</f>
        <v/>
      </c>
      <c r="L3729" s="5" t="str">
        <f aca="false">IF($K3729="","","R"&amp;$K3729)</f>
        <v/>
      </c>
    </row>
    <row r="3730" customFormat="false" ht="15" hidden="false" customHeight="true" outlineLevel="0" collapsed="false">
      <c r="J3730" s="14" t="b">
        <f aca="false">IF(중복검사!$A3728="",FALSE(),중복검사!$H3728="중복")</f>
        <v>0</v>
      </c>
      <c r="K3730" s="5" t="str">
        <f aca="false">IF($J3730=FALSE(),"",COUNTIF($J$6:$J3730,TRUE()))</f>
        <v/>
      </c>
      <c r="L3730" s="5" t="str">
        <f aca="false">IF($K3730="","","R"&amp;$K3730)</f>
        <v/>
      </c>
    </row>
    <row r="3731" customFormat="false" ht="15" hidden="false" customHeight="true" outlineLevel="0" collapsed="false">
      <c r="J3731" s="14" t="b">
        <f aca="false">IF(중복검사!$A3729="",FALSE(),중복검사!$H3729="중복")</f>
        <v>0</v>
      </c>
      <c r="K3731" s="5" t="str">
        <f aca="false">IF($J3731=FALSE(),"",COUNTIF($J$6:$J3731,TRUE()))</f>
        <v/>
      </c>
      <c r="L3731" s="5" t="str">
        <f aca="false">IF($K3731="","","R"&amp;$K3731)</f>
        <v/>
      </c>
    </row>
    <row r="3732" customFormat="false" ht="15" hidden="false" customHeight="true" outlineLevel="0" collapsed="false">
      <c r="J3732" s="14" t="b">
        <f aca="false">IF(중복검사!$A3730="",FALSE(),중복검사!$H3730="중복")</f>
        <v>0</v>
      </c>
      <c r="K3732" s="5" t="str">
        <f aca="false">IF($J3732=FALSE(),"",COUNTIF($J$6:$J3732,TRUE()))</f>
        <v/>
      </c>
      <c r="L3732" s="5" t="str">
        <f aca="false">IF($K3732="","","R"&amp;$K3732)</f>
        <v/>
      </c>
    </row>
    <row r="3733" customFormat="false" ht="15" hidden="false" customHeight="true" outlineLevel="0" collapsed="false">
      <c r="J3733" s="14" t="b">
        <f aca="false">IF(중복검사!$A3731="",FALSE(),중복검사!$H3731="중복")</f>
        <v>0</v>
      </c>
      <c r="K3733" s="5" t="str">
        <f aca="false">IF($J3733=FALSE(),"",COUNTIF($J$6:$J3733,TRUE()))</f>
        <v/>
      </c>
      <c r="L3733" s="5" t="str">
        <f aca="false">IF($K3733="","","R"&amp;$K3733)</f>
        <v/>
      </c>
    </row>
    <row r="3734" customFormat="false" ht="15" hidden="false" customHeight="true" outlineLevel="0" collapsed="false">
      <c r="J3734" s="14" t="b">
        <f aca="false">IF(중복검사!$A3732="",FALSE(),중복검사!$H3732="중복")</f>
        <v>0</v>
      </c>
      <c r="K3734" s="5" t="str">
        <f aca="false">IF($J3734=FALSE(),"",COUNTIF($J$6:$J3734,TRUE()))</f>
        <v/>
      </c>
      <c r="L3734" s="5" t="str">
        <f aca="false">IF($K3734="","","R"&amp;$K3734)</f>
        <v/>
      </c>
    </row>
    <row r="3735" customFormat="false" ht="15" hidden="false" customHeight="true" outlineLevel="0" collapsed="false">
      <c r="J3735" s="14" t="b">
        <f aca="false">IF(중복검사!$A3733="",FALSE(),중복검사!$H3733="중복")</f>
        <v>0</v>
      </c>
      <c r="K3735" s="5" t="str">
        <f aca="false">IF($J3735=FALSE(),"",COUNTIF($J$6:$J3735,TRUE()))</f>
        <v/>
      </c>
      <c r="L3735" s="5" t="str">
        <f aca="false">IF($K3735="","","R"&amp;$K3735)</f>
        <v/>
      </c>
    </row>
    <row r="3736" customFormat="false" ht="15" hidden="false" customHeight="true" outlineLevel="0" collapsed="false">
      <c r="J3736" s="14" t="b">
        <f aca="false">IF(중복검사!$A3734="",FALSE(),중복검사!$H3734="중복")</f>
        <v>0</v>
      </c>
      <c r="K3736" s="5" t="str">
        <f aca="false">IF($J3736=FALSE(),"",COUNTIF($J$6:$J3736,TRUE()))</f>
        <v/>
      </c>
      <c r="L3736" s="5" t="str">
        <f aca="false">IF($K3736="","","R"&amp;$K3736)</f>
        <v/>
      </c>
    </row>
    <row r="3737" customFormat="false" ht="15" hidden="false" customHeight="true" outlineLevel="0" collapsed="false">
      <c r="J3737" s="14" t="b">
        <f aca="false">IF(중복검사!$A3735="",FALSE(),중복검사!$H3735="중복")</f>
        <v>0</v>
      </c>
      <c r="K3737" s="5" t="str">
        <f aca="false">IF($J3737=FALSE(),"",COUNTIF($J$6:$J3737,TRUE()))</f>
        <v/>
      </c>
      <c r="L3737" s="5" t="str">
        <f aca="false">IF($K3737="","","R"&amp;$K3737)</f>
        <v/>
      </c>
    </row>
    <row r="3738" customFormat="false" ht="15" hidden="false" customHeight="true" outlineLevel="0" collapsed="false">
      <c r="J3738" s="14" t="b">
        <f aca="false">IF(중복검사!$A3736="",FALSE(),중복검사!$H3736="중복")</f>
        <v>0</v>
      </c>
      <c r="K3738" s="5" t="str">
        <f aca="false">IF($J3738=FALSE(),"",COUNTIF($J$6:$J3738,TRUE()))</f>
        <v/>
      </c>
      <c r="L3738" s="5" t="str">
        <f aca="false">IF($K3738="","","R"&amp;$K3738)</f>
        <v/>
      </c>
    </row>
    <row r="3739" customFormat="false" ht="15" hidden="false" customHeight="true" outlineLevel="0" collapsed="false">
      <c r="J3739" s="14" t="b">
        <f aca="false">IF(중복검사!$A3737="",FALSE(),중복검사!$H3737="중복")</f>
        <v>0</v>
      </c>
      <c r="K3739" s="5" t="str">
        <f aca="false">IF($J3739=FALSE(),"",COUNTIF($J$6:$J3739,TRUE()))</f>
        <v/>
      </c>
      <c r="L3739" s="5" t="str">
        <f aca="false">IF($K3739="","","R"&amp;$K3739)</f>
        <v/>
      </c>
    </row>
    <row r="3740" customFormat="false" ht="15" hidden="false" customHeight="true" outlineLevel="0" collapsed="false">
      <c r="J3740" s="14" t="b">
        <f aca="false">IF(중복검사!$A3738="",FALSE(),중복검사!$H3738="중복")</f>
        <v>0</v>
      </c>
      <c r="K3740" s="5" t="str">
        <f aca="false">IF($J3740=FALSE(),"",COUNTIF($J$6:$J3740,TRUE()))</f>
        <v/>
      </c>
      <c r="L3740" s="5" t="str">
        <f aca="false">IF($K3740="","","R"&amp;$K3740)</f>
        <v/>
      </c>
    </row>
    <row r="3741" customFormat="false" ht="15" hidden="false" customHeight="true" outlineLevel="0" collapsed="false">
      <c r="J3741" s="14" t="b">
        <f aca="false">IF(중복검사!$A3739="",FALSE(),중복검사!$H3739="중복")</f>
        <v>0</v>
      </c>
      <c r="K3741" s="5" t="str">
        <f aca="false">IF($J3741=FALSE(),"",COUNTIF($J$6:$J3741,TRUE()))</f>
        <v/>
      </c>
      <c r="L3741" s="5" t="str">
        <f aca="false">IF($K3741="","","R"&amp;$K3741)</f>
        <v/>
      </c>
    </row>
    <row r="3742" customFormat="false" ht="15" hidden="false" customHeight="true" outlineLevel="0" collapsed="false">
      <c r="J3742" s="14" t="b">
        <f aca="false">IF(중복검사!$A3740="",FALSE(),중복검사!$H3740="중복")</f>
        <v>0</v>
      </c>
      <c r="K3742" s="5" t="str">
        <f aca="false">IF($J3742=FALSE(),"",COUNTIF($J$6:$J3742,TRUE()))</f>
        <v/>
      </c>
      <c r="L3742" s="5" t="str">
        <f aca="false">IF($K3742="","","R"&amp;$K3742)</f>
        <v/>
      </c>
    </row>
    <row r="3743" customFormat="false" ht="15" hidden="false" customHeight="true" outlineLevel="0" collapsed="false">
      <c r="J3743" s="14" t="b">
        <f aca="false">IF(중복검사!$A3741="",FALSE(),중복검사!$H3741="중복")</f>
        <v>0</v>
      </c>
      <c r="K3743" s="5" t="str">
        <f aca="false">IF($J3743=FALSE(),"",COUNTIF($J$6:$J3743,TRUE()))</f>
        <v/>
      </c>
      <c r="L3743" s="5" t="str">
        <f aca="false">IF($K3743="","","R"&amp;$K3743)</f>
        <v/>
      </c>
    </row>
    <row r="3744" customFormat="false" ht="15" hidden="false" customHeight="true" outlineLevel="0" collapsed="false">
      <c r="J3744" s="14" t="b">
        <f aca="false">IF(중복검사!$A3742="",FALSE(),중복검사!$H3742="중복")</f>
        <v>0</v>
      </c>
      <c r="K3744" s="5" t="str">
        <f aca="false">IF($J3744=FALSE(),"",COUNTIF($J$6:$J3744,TRUE()))</f>
        <v/>
      </c>
      <c r="L3744" s="5" t="str">
        <f aca="false">IF($K3744="","","R"&amp;$K3744)</f>
        <v/>
      </c>
    </row>
    <row r="3745" customFormat="false" ht="15" hidden="false" customHeight="true" outlineLevel="0" collapsed="false">
      <c r="J3745" s="14" t="b">
        <f aca="false">IF(중복검사!$A3743="",FALSE(),중복검사!$H3743="중복")</f>
        <v>0</v>
      </c>
      <c r="K3745" s="5" t="str">
        <f aca="false">IF($J3745=FALSE(),"",COUNTIF($J$6:$J3745,TRUE()))</f>
        <v/>
      </c>
      <c r="L3745" s="5" t="str">
        <f aca="false">IF($K3745="","","R"&amp;$K3745)</f>
        <v/>
      </c>
    </row>
    <row r="3746" customFormat="false" ht="15" hidden="false" customHeight="true" outlineLevel="0" collapsed="false">
      <c r="J3746" s="14" t="b">
        <f aca="false">IF(중복검사!$A3744="",FALSE(),중복검사!$H3744="중복")</f>
        <v>0</v>
      </c>
      <c r="K3746" s="5" t="str">
        <f aca="false">IF($J3746=FALSE(),"",COUNTIF($J$6:$J3746,TRUE()))</f>
        <v/>
      </c>
      <c r="L3746" s="5" t="str">
        <f aca="false">IF($K3746="","","R"&amp;$K3746)</f>
        <v/>
      </c>
    </row>
    <row r="3747" customFormat="false" ht="15" hidden="false" customHeight="true" outlineLevel="0" collapsed="false">
      <c r="J3747" s="14" t="b">
        <f aca="false">IF(중복검사!$A3745="",FALSE(),중복검사!$H3745="중복")</f>
        <v>0</v>
      </c>
      <c r="K3747" s="5" t="str">
        <f aca="false">IF($J3747=FALSE(),"",COUNTIF($J$6:$J3747,TRUE()))</f>
        <v/>
      </c>
      <c r="L3747" s="5" t="str">
        <f aca="false">IF($K3747="","","R"&amp;$K3747)</f>
        <v/>
      </c>
    </row>
    <row r="3748" customFormat="false" ht="15" hidden="false" customHeight="true" outlineLevel="0" collapsed="false">
      <c r="J3748" s="14" t="b">
        <f aca="false">IF(중복검사!$A3746="",FALSE(),중복검사!$H3746="중복")</f>
        <v>0</v>
      </c>
      <c r="K3748" s="5" t="str">
        <f aca="false">IF($J3748=FALSE(),"",COUNTIF($J$6:$J3748,TRUE()))</f>
        <v/>
      </c>
      <c r="L3748" s="5" t="str">
        <f aca="false">IF($K3748="","","R"&amp;$K3748)</f>
        <v/>
      </c>
    </row>
    <row r="3749" customFormat="false" ht="15" hidden="false" customHeight="true" outlineLevel="0" collapsed="false">
      <c r="J3749" s="14" t="b">
        <f aca="false">IF(중복검사!$A3747="",FALSE(),중복검사!$H3747="중복")</f>
        <v>0</v>
      </c>
      <c r="K3749" s="5" t="str">
        <f aca="false">IF($J3749=FALSE(),"",COUNTIF($J$6:$J3749,TRUE()))</f>
        <v/>
      </c>
      <c r="L3749" s="5" t="str">
        <f aca="false">IF($K3749="","","R"&amp;$K3749)</f>
        <v/>
      </c>
    </row>
    <row r="3750" customFormat="false" ht="15" hidden="false" customHeight="true" outlineLevel="0" collapsed="false">
      <c r="J3750" s="14" t="b">
        <f aca="false">IF(중복검사!$A3748="",FALSE(),중복검사!$H3748="중복")</f>
        <v>0</v>
      </c>
      <c r="K3750" s="5" t="str">
        <f aca="false">IF($J3750=FALSE(),"",COUNTIF($J$6:$J3750,TRUE()))</f>
        <v/>
      </c>
      <c r="L3750" s="5" t="str">
        <f aca="false">IF($K3750="","","R"&amp;$K3750)</f>
        <v/>
      </c>
    </row>
    <row r="3751" customFormat="false" ht="15" hidden="false" customHeight="true" outlineLevel="0" collapsed="false">
      <c r="J3751" s="14" t="b">
        <f aca="false">IF(중복검사!$A3749="",FALSE(),중복검사!$H3749="중복")</f>
        <v>0</v>
      </c>
      <c r="K3751" s="5" t="str">
        <f aca="false">IF($J3751=FALSE(),"",COUNTIF($J$6:$J3751,TRUE()))</f>
        <v/>
      </c>
      <c r="L3751" s="5" t="str">
        <f aca="false">IF($K3751="","","R"&amp;$K3751)</f>
        <v/>
      </c>
    </row>
    <row r="3752" customFormat="false" ht="15" hidden="false" customHeight="true" outlineLevel="0" collapsed="false">
      <c r="J3752" s="14" t="b">
        <f aca="false">IF(중복검사!$A3750="",FALSE(),중복검사!$H3750="중복")</f>
        <v>0</v>
      </c>
      <c r="K3752" s="5" t="str">
        <f aca="false">IF($J3752=FALSE(),"",COUNTIF($J$6:$J3752,TRUE()))</f>
        <v/>
      </c>
      <c r="L3752" s="5" t="str">
        <f aca="false">IF($K3752="","","R"&amp;$K3752)</f>
        <v/>
      </c>
    </row>
    <row r="3753" customFormat="false" ht="15" hidden="false" customHeight="true" outlineLevel="0" collapsed="false">
      <c r="J3753" s="14" t="b">
        <f aca="false">IF(중복검사!$A3751="",FALSE(),중복검사!$H3751="중복")</f>
        <v>0</v>
      </c>
      <c r="K3753" s="5" t="str">
        <f aca="false">IF($J3753=FALSE(),"",COUNTIF($J$6:$J3753,TRUE()))</f>
        <v/>
      </c>
      <c r="L3753" s="5" t="str">
        <f aca="false">IF($K3753="","","R"&amp;$K3753)</f>
        <v/>
      </c>
    </row>
    <row r="3754" customFormat="false" ht="15" hidden="false" customHeight="true" outlineLevel="0" collapsed="false">
      <c r="J3754" s="14" t="b">
        <f aca="false">IF(중복검사!$A3752="",FALSE(),중복검사!$H3752="중복")</f>
        <v>0</v>
      </c>
      <c r="K3754" s="5" t="str">
        <f aca="false">IF($J3754=FALSE(),"",COUNTIF($J$6:$J3754,TRUE()))</f>
        <v/>
      </c>
      <c r="L3754" s="5" t="str">
        <f aca="false">IF($K3754="","","R"&amp;$K3754)</f>
        <v/>
      </c>
    </row>
    <row r="3755" customFormat="false" ht="15" hidden="false" customHeight="true" outlineLevel="0" collapsed="false">
      <c r="J3755" s="14" t="b">
        <f aca="false">IF(중복검사!$A3753="",FALSE(),중복검사!$H3753="중복")</f>
        <v>0</v>
      </c>
      <c r="K3755" s="5" t="str">
        <f aca="false">IF($J3755=FALSE(),"",COUNTIF($J$6:$J3755,TRUE()))</f>
        <v/>
      </c>
      <c r="L3755" s="5" t="str">
        <f aca="false">IF($K3755="","","R"&amp;$K3755)</f>
        <v/>
      </c>
    </row>
    <row r="3756" customFormat="false" ht="15" hidden="false" customHeight="true" outlineLevel="0" collapsed="false">
      <c r="J3756" s="14" t="b">
        <f aca="false">IF(중복검사!$A3754="",FALSE(),중복검사!$H3754="중복")</f>
        <v>0</v>
      </c>
      <c r="K3756" s="5" t="str">
        <f aca="false">IF($J3756=FALSE(),"",COUNTIF($J$6:$J3756,TRUE()))</f>
        <v/>
      </c>
      <c r="L3756" s="5" t="str">
        <f aca="false">IF($K3756="","","R"&amp;$K3756)</f>
        <v/>
      </c>
    </row>
    <row r="3757" customFormat="false" ht="15" hidden="false" customHeight="true" outlineLevel="0" collapsed="false">
      <c r="J3757" s="14" t="b">
        <f aca="false">IF(중복검사!$A3755="",FALSE(),중복검사!$H3755="중복")</f>
        <v>0</v>
      </c>
      <c r="K3757" s="5" t="str">
        <f aca="false">IF($J3757=FALSE(),"",COUNTIF($J$6:$J3757,TRUE()))</f>
        <v/>
      </c>
      <c r="L3757" s="5" t="str">
        <f aca="false">IF($K3757="","","R"&amp;$K3757)</f>
        <v/>
      </c>
    </row>
    <row r="3758" customFormat="false" ht="15" hidden="false" customHeight="true" outlineLevel="0" collapsed="false">
      <c r="J3758" s="14" t="b">
        <f aca="false">IF(중복검사!$A3756="",FALSE(),중복검사!$H3756="중복")</f>
        <v>0</v>
      </c>
      <c r="K3758" s="5" t="str">
        <f aca="false">IF($J3758=FALSE(),"",COUNTIF($J$6:$J3758,TRUE()))</f>
        <v/>
      </c>
      <c r="L3758" s="5" t="str">
        <f aca="false">IF($K3758="","","R"&amp;$K3758)</f>
        <v/>
      </c>
    </row>
    <row r="3759" customFormat="false" ht="15" hidden="false" customHeight="true" outlineLevel="0" collapsed="false">
      <c r="J3759" s="14" t="b">
        <f aca="false">IF(중복검사!$A3757="",FALSE(),중복검사!$H3757="중복")</f>
        <v>0</v>
      </c>
      <c r="K3759" s="5" t="str">
        <f aca="false">IF($J3759=FALSE(),"",COUNTIF($J$6:$J3759,TRUE()))</f>
        <v/>
      </c>
      <c r="L3759" s="5" t="str">
        <f aca="false">IF($K3759="","","R"&amp;$K3759)</f>
        <v/>
      </c>
    </row>
    <row r="3760" customFormat="false" ht="15" hidden="false" customHeight="true" outlineLevel="0" collapsed="false">
      <c r="J3760" s="14" t="b">
        <f aca="false">IF(중복검사!$A3758="",FALSE(),중복검사!$H3758="중복")</f>
        <v>0</v>
      </c>
      <c r="K3760" s="5" t="str">
        <f aca="false">IF($J3760=FALSE(),"",COUNTIF($J$6:$J3760,TRUE()))</f>
        <v/>
      </c>
      <c r="L3760" s="5" t="str">
        <f aca="false">IF($K3760="","","R"&amp;$K3760)</f>
        <v/>
      </c>
    </row>
    <row r="3761" customFormat="false" ht="15" hidden="false" customHeight="true" outlineLevel="0" collapsed="false">
      <c r="J3761" s="14" t="b">
        <f aca="false">IF(중복검사!$A3759="",FALSE(),중복검사!$H3759="중복")</f>
        <v>0</v>
      </c>
      <c r="K3761" s="5" t="str">
        <f aca="false">IF($J3761=FALSE(),"",COUNTIF($J$6:$J3761,TRUE()))</f>
        <v/>
      </c>
      <c r="L3761" s="5" t="str">
        <f aca="false">IF($K3761="","","R"&amp;$K3761)</f>
        <v/>
      </c>
    </row>
    <row r="3762" customFormat="false" ht="15" hidden="false" customHeight="true" outlineLevel="0" collapsed="false">
      <c r="J3762" s="14" t="b">
        <f aca="false">IF(중복검사!$A3760="",FALSE(),중복검사!$H3760="중복")</f>
        <v>0</v>
      </c>
      <c r="K3762" s="5" t="str">
        <f aca="false">IF($J3762=FALSE(),"",COUNTIF($J$6:$J3762,TRUE()))</f>
        <v/>
      </c>
      <c r="L3762" s="5" t="str">
        <f aca="false">IF($K3762="","","R"&amp;$K3762)</f>
        <v/>
      </c>
    </row>
    <row r="3763" customFormat="false" ht="15" hidden="false" customHeight="true" outlineLevel="0" collapsed="false">
      <c r="J3763" s="14" t="b">
        <f aca="false">IF(중복검사!$A3761="",FALSE(),중복검사!$H3761="중복")</f>
        <v>0</v>
      </c>
      <c r="K3763" s="5" t="str">
        <f aca="false">IF($J3763=FALSE(),"",COUNTIF($J$6:$J3763,TRUE()))</f>
        <v/>
      </c>
      <c r="L3763" s="5" t="str">
        <f aca="false">IF($K3763="","","R"&amp;$K3763)</f>
        <v/>
      </c>
    </row>
    <row r="3764" customFormat="false" ht="15" hidden="false" customHeight="true" outlineLevel="0" collapsed="false">
      <c r="J3764" s="14" t="b">
        <f aca="false">IF(중복검사!$A3762="",FALSE(),중복검사!$H3762="중복")</f>
        <v>0</v>
      </c>
      <c r="K3764" s="5" t="str">
        <f aca="false">IF($J3764=FALSE(),"",COUNTIF($J$6:$J3764,TRUE()))</f>
        <v/>
      </c>
      <c r="L3764" s="5" t="str">
        <f aca="false">IF($K3764="","","R"&amp;$K3764)</f>
        <v/>
      </c>
    </row>
    <row r="3765" customFormat="false" ht="15" hidden="false" customHeight="true" outlineLevel="0" collapsed="false">
      <c r="J3765" s="14" t="b">
        <f aca="false">IF(중복검사!$A3763="",FALSE(),중복검사!$H3763="중복")</f>
        <v>0</v>
      </c>
      <c r="K3765" s="5" t="str">
        <f aca="false">IF($J3765=FALSE(),"",COUNTIF($J$6:$J3765,TRUE()))</f>
        <v/>
      </c>
      <c r="L3765" s="5" t="str">
        <f aca="false">IF($K3765="","","R"&amp;$K3765)</f>
        <v/>
      </c>
    </row>
    <row r="3766" customFormat="false" ht="15" hidden="false" customHeight="true" outlineLevel="0" collapsed="false">
      <c r="J3766" s="14" t="b">
        <f aca="false">IF(중복검사!$A3764="",FALSE(),중복검사!$H3764="중복")</f>
        <v>0</v>
      </c>
      <c r="K3766" s="5" t="str">
        <f aca="false">IF($J3766=FALSE(),"",COUNTIF($J$6:$J3766,TRUE()))</f>
        <v/>
      </c>
      <c r="L3766" s="5" t="str">
        <f aca="false">IF($K3766="","","R"&amp;$K3766)</f>
        <v/>
      </c>
    </row>
    <row r="3767" customFormat="false" ht="15" hidden="false" customHeight="true" outlineLevel="0" collapsed="false">
      <c r="J3767" s="14" t="b">
        <f aca="false">IF(중복검사!$A3765="",FALSE(),중복검사!$H3765="중복")</f>
        <v>0</v>
      </c>
      <c r="K3767" s="5" t="str">
        <f aca="false">IF($J3767=FALSE(),"",COUNTIF($J$6:$J3767,TRUE()))</f>
        <v/>
      </c>
      <c r="L3767" s="5" t="str">
        <f aca="false">IF($K3767="","","R"&amp;$K3767)</f>
        <v/>
      </c>
    </row>
    <row r="3768" customFormat="false" ht="15" hidden="false" customHeight="true" outlineLevel="0" collapsed="false">
      <c r="J3768" s="14" t="b">
        <f aca="false">IF(중복검사!$A3766="",FALSE(),중복검사!$H3766="중복")</f>
        <v>0</v>
      </c>
      <c r="K3768" s="5" t="str">
        <f aca="false">IF($J3768=FALSE(),"",COUNTIF($J$6:$J3768,TRUE()))</f>
        <v/>
      </c>
      <c r="L3768" s="5" t="str">
        <f aca="false">IF($K3768="","","R"&amp;$K3768)</f>
        <v/>
      </c>
    </row>
    <row r="3769" customFormat="false" ht="15" hidden="false" customHeight="true" outlineLevel="0" collapsed="false">
      <c r="J3769" s="14" t="b">
        <f aca="false">IF(중복검사!$A3767="",FALSE(),중복검사!$H3767="중복")</f>
        <v>0</v>
      </c>
      <c r="K3769" s="5" t="str">
        <f aca="false">IF($J3769=FALSE(),"",COUNTIF($J$6:$J3769,TRUE()))</f>
        <v/>
      </c>
      <c r="L3769" s="5" t="str">
        <f aca="false">IF($K3769="","","R"&amp;$K3769)</f>
        <v/>
      </c>
    </row>
    <row r="3770" customFormat="false" ht="15" hidden="false" customHeight="true" outlineLevel="0" collapsed="false">
      <c r="J3770" s="14" t="b">
        <f aca="false">IF(중복검사!$A3768="",FALSE(),중복검사!$H3768="중복")</f>
        <v>0</v>
      </c>
      <c r="K3770" s="5" t="str">
        <f aca="false">IF($J3770=FALSE(),"",COUNTIF($J$6:$J3770,TRUE()))</f>
        <v/>
      </c>
      <c r="L3770" s="5" t="str">
        <f aca="false">IF($K3770="","","R"&amp;$K3770)</f>
        <v/>
      </c>
    </row>
    <row r="3771" customFormat="false" ht="15" hidden="false" customHeight="true" outlineLevel="0" collapsed="false">
      <c r="J3771" s="14" t="b">
        <f aca="false">IF(중복검사!$A3769="",FALSE(),중복검사!$H3769="중복")</f>
        <v>0</v>
      </c>
      <c r="K3771" s="5" t="str">
        <f aca="false">IF($J3771=FALSE(),"",COUNTIF($J$6:$J3771,TRUE()))</f>
        <v/>
      </c>
      <c r="L3771" s="5" t="str">
        <f aca="false">IF($K3771="","","R"&amp;$K3771)</f>
        <v/>
      </c>
    </row>
    <row r="3772" customFormat="false" ht="15" hidden="false" customHeight="true" outlineLevel="0" collapsed="false">
      <c r="J3772" s="14" t="b">
        <f aca="false">IF(중복검사!$A3770="",FALSE(),중복검사!$H3770="중복")</f>
        <v>0</v>
      </c>
      <c r="K3772" s="5" t="str">
        <f aca="false">IF($J3772=FALSE(),"",COUNTIF($J$6:$J3772,TRUE()))</f>
        <v/>
      </c>
      <c r="L3772" s="5" t="str">
        <f aca="false">IF($K3772="","","R"&amp;$K3772)</f>
        <v/>
      </c>
    </row>
    <row r="3773" customFormat="false" ht="15" hidden="false" customHeight="true" outlineLevel="0" collapsed="false">
      <c r="J3773" s="14" t="b">
        <f aca="false">IF(중복검사!$A3771="",FALSE(),중복검사!$H3771="중복")</f>
        <v>0</v>
      </c>
      <c r="K3773" s="5" t="str">
        <f aca="false">IF($J3773=FALSE(),"",COUNTIF($J$6:$J3773,TRUE()))</f>
        <v/>
      </c>
      <c r="L3773" s="5" t="str">
        <f aca="false">IF($K3773="","","R"&amp;$K3773)</f>
        <v/>
      </c>
    </row>
    <row r="3774" customFormat="false" ht="15" hidden="false" customHeight="true" outlineLevel="0" collapsed="false">
      <c r="J3774" s="14" t="b">
        <f aca="false">IF(중복검사!$A3772="",FALSE(),중복검사!$H3772="중복")</f>
        <v>0</v>
      </c>
      <c r="K3774" s="5" t="str">
        <f aca="false">IF($J3774=FALSE(),"",COUNTIF($J$6:$J3774,TRUE()))</f>
        <v/>
      </c>
      <c r="L3774" s="5" t="str">
        <f aca="false">IF($K3774="","","R"&amp;$K3774)</f>
        <v/>
      </c>
    </row>
    <row r="3775" customFormat="false" ht="15" hidden="false" customHeight="true" outlineLevel="0" collapsed="false">
      <c r="J3775" s="14" t="b">
        <f aca="false">IF(중복검사!$A3773="",FALSE(),중복검사!$H3773="중복")</f>
        <v>0</v>
      </c>
      <c r="K3775" s="5" t="str">
        <f aca="false">IF($J3775=FALSE(),"",COUNTIF($J$6:$J3775,TRUE()))</f>
        <v/>
      </c>
      <c r="L3775" s="5" t="str">
        <f aca="false">IF($K3775="","","R"&amp;$K3775)</f>
        <v/>
      </c>
    </row>
    <row r="3776" customFormat="false" ht="15" hidden="false" customHeight="true" outlineLevel="0" collapsed="false">
      <c r="J3776" s="14" t="b">
        <f aca="false">IF(중복검사!$A3774="",FALSE(),중복검사!$H3774="중복")</f>
        <v>0</v>
      </c>
      <c r="K3776" s="5" t="str">
        <f aca="false">IF($J3776=FALSE(),"",COUNTIF($J$6:$J3776,TRUE()))</f>
        <v/>
      </c>
      <c r="L3776" s="5" t="str">
        <f aca="false">IF($K3776="","","R"&amp;$K3776)</f>
        <v/>
      </c>
    </row>
    <row r="3777" customFormat="false" ht="15" hidden="false" customHeight="true" outlineLevel="0" collapsed="false">
      <c r="J3777" s="14" t="b">
        <f aca="false">IF(중복검사!$A3775="",FALSE(),중복검사!$H3775="중복")</f>
        <v>0</v>
      </c>
      <c r="K3777" s="5" t="str">
        <f aca="false">IF($J3777=FALSE(),"",COUNTIF($J$6:$J3777,TRUE()))</f>
        <v/>
      </c>
      <c r="L3777" s="5" t="str">
        <f aca="false">IF($K3777="","","R"&amp;$K3777)</f>
        <v/>
      </c>
    </row>
    <row r="3778" customFormat="false" ht="15" hidden="false" customHeight="true" outlineLevel="0" collapsed="false">
      <c r="J3778" s="14" t="b">
        <f aca="false">IF(중복검사!$A3776="",FALSE(),중복검사!$H3776="중복")</f>
        <v>0</v>
      </c>
      <c r="K3778" s="5" t="str">
        <f aca="false">IF($J3778=FALSE(),"",COUNTIF($J$6:$J3778,TRUE()))</f>
        <v/>
      </c>
      <c r="L3778" s="5" t="str">
        <f aca="false">IF($K3778="","","R"&amp;$K3778)</f>
        <v/>
      </c>
    </row>
    <row r="3779" customFormat="false" ht="15" hidden="false" customHeight="true" outlineLevel="0" collapsed="false">
      <c r="J3779" s="14" t="b">
        <f aca="false">IF(중복검사!$A3777="",FALSE(),중복검사!$H3777="중복")</f>
        <v>0</v>
      </c>
      <c r="K3779" s="5" t="str">
        <f aca="false">IF($J3779=FALSE(),"",COUNTIF($J$6:$J3779,TRUE()))</f>
        <v/>
      </c>
      <c r="L3779" s="5" t="str">
        <f aca="false">IF($K3779="","","R"&amp;$K3779)</f>
        <v/>
      </c>
    </row>
    <row r="3780" customFormat="false" ht="15" hidden="false" customHeight="true" outlineLevel="0" collapsed="false">
      <c r="J3780" s="14" t="b">
        <f aca="false">IF(중복검사!$A3778="",FALSE(),중복검사!$H3778="중복")</f>
        <v>0</v>
      </c>
      <c r="K3780" s="5" t="str">
        <f aca="false">IF($J3780=FALSE(),"",COUNTIF($J$6:$J3780,TRUE()))</f>
        <v/>
      </c>
      <c r="L3780" s="5" t="str">
        <f aca="false">IF($K3780="","","R"&amp;$K3780)</f>
        <v/>
      </c>
    </row>
    <row r="3781" customFormat="false" ht="15" hidden="false" customHeight="true" outlineLevel="0" collapsed="false">
      <c r="J3781" s="14" t="b">
        <f aca="false">IF(중복검사!$A3779="",FALSE(),중복검사!$H3779="중복")</f>
        <v>0</v>
      </c>
      <c r="K3781" s="5" t="str">
        <f aca="false">IF($J3781=FALSE(),"",COUNTIF($J$6:$J3781,TRUE()))</f>
        <v/>
      </c>
      <c r="L3781" s="5" t="str">
        <f aca="false">IF($K3781="","","R"&amp;$K3781)</f>
        <v/>
      </c>
    </row>
    <row r="3782" customFormat="false" ht="15" hidden="false" customHeight="true" outlineLevel="0" collapsed="false">
      <c r="J3782" s="14" t="b">
        <f aca="false">IF(중복검사!$A3780="",FALSE(),중복검사!$H3780="중복")</f>
        <v>0</v>
      </c>
      <c r="K3782" s="5" t="str">
        <f aca="false">IF($J3782=FALSE(),"",COUNTIF($J$6:$J3782,TRUE()))</f>
        <v/>
      </c>
      <c r="L3782" s="5" t="str">
        <f aca="false">IF($K3782="","","R"&amp;$K3782)</f>
        <v/>
      </c>
    </row>
    <row r="3783" customFormat="false" ht="15" hidden="false" customHeight="true" outlineLevel="0" collapsed="false">
      <c r="J3783" s="14" t="b">
        <f aca="false">IF(중복검사!$A3781="",FALSE(),중복검사!$H3781="중복")</f>
        <v>0</v>
      </c>
      <c r="K3783" s="5" t="str">
        <f aca="false">IF($J3783=FALSE(),"",COUNTIF($J$6:$J3783,TRUE()))</f>
        <v/>
      </c>
      <c r="L3783" s="5" t="str">
        <f aca="false">IF($K3783="","","R"&amp;$K3783)</f>
        <v/>
      </c>
    </row>
    <row r="3784" customFormat="false" ht="15" hidden="false" customHeight="true" outlineLevel="0" collapsed="false">
      <c r="J3784" s="14" t="b">
        <f aca="false">IF(중복검사!$A3782="",FALSE(),중복검사!$H3782="중복")</f>
        <v>0</v>
      </c>
      <c r="K3784" s="5" t="str">
        <f aca="false">IF($J3784=FALSE(),"",COUNTIF($J$6:$J3784,TRUE()))</f>
        <v/>
      </c>
      <c r="L3784" s="5" t="str">
        <f aca="false">IF($K3784="","","R"&amp;$K3784)</f>
        <v/>
      </c>
    </row>
    <row r="3785" customFormat="false" ht="15" hidden="false" customHeight="true" outlineLevel="0" collapsed="false">
      <c r="J3785" s="14" t="b">
        <f aca="false">IF(중복검사!$A3783="",FALSE(),중복검사!$H3783="중복")</f>
        <v>0</v>
      </c>
      <c r="K3785" s="5" t="str">
        <f aca="false">IF($J3785=FALSE(),"",COUNTIF($J$6:$J3785,TRUE()))</f>
        <v/>
      </c>
      <c r="L3785" s="5" t="str">
        <f aca="false">IF($K3785="","","R"&amp;$K3785)</f>
        <v/>
      </c>
    </row>
    <row r="3786" customFormat="false" ht="15" hidden="false" customHeight="true" outlineLevel="0" collapsed="false">
      <c r="J3786" s="14" t="b">
        <f aca="false">IF(중복검사!$A3784="",FALSE(),중복검사!$H3784="중복")</f>
        <v>0</v>
      </c>
      <c r="K3786" s="5" t="str">
        <f aca="false">IF($J3786=FALSE(),"",COUNTIF($J$6:$J3786,TRUE()))</f>
        <v/>
      </c>
      <c r="L3786" s="5" t="str">
        <f aca="false">IF($K3786="","","R"&amp;$K3786)</f>
        <v/>
      </c>
    </row>
    <row r="3787" customFormat="false" ht="15" hidden="false" customHeight="true" outlineLevel="0" collapsed="false">
      <c r="J3787" s="14" t="b">
        <f aca="false">IF(중복검사!$A3785="",FALSE(),중복검사!$H3785="중복")</f>
        <v>0</v>
      </c>
      <c r="K3787" s="5" t="str">
        <f aca="false">IF($J3787=FALSE(),"",COUNTIF($J$6:$J3787,TRUE()))</f>
        <v/>
      </c>
      <c r="L3787" s="5" t="str">
        <f aca="false">IF($K3787="","","R"&amp;$K3787)</f>
        <v/>
      </c>
    </row>
    <row r="3788" customFormat="false" ht="15" hidden="false" customHeight="true" outlineLevel="0" collapsed="false">
      <c r="J3788" s="14" t="b">
        <f aca="false">IF(중복검사!$A3786="",FALSE(),중복검사!$H3786="중복")</f>
        <v>0</v>
      </c>
      <c r="K3788" s="5" t="str">
        <f aca="false">IF($J3788=FALSE(),"",COUNTIF($J$6:$J3788,TRUE()))</f>
        <v/>
      </c>
      <c r="L3788" s="5" t="str">
        <f aca="false">IF($K3788="","","R"&amp;$K3788)</f>
        <v/>
      </c>
    </row>
    <row r="3789" customFormat="false" ht="15" hidden="false" customHeight="true" outlineLevel="0" collapsed="false">
      <c r="J3789" s="14" t="b">
        <f aca="false">IF(중복검사!$A3787="",FALSE(),중복검사!$H3787="중복")</f>
        <v>0</v>
      </c>
      <c r="K3789" s="5" t="str">
        <f aca="false">IF($J3789=FALSE(),"",COUNTIF($J$6:$J3789,TRUE()))</f>
        <v/>
      </c>
      <c r="L3789" s="5" t="str">
        <f aca="false">IF($K3789="","","R"&amp;$K3789)</f>
        <v/>
      </c>
    </row>
    <row r="3790" customFormat="false" ht="15" hidden="false" customHeight="true" outlineLevel="0" collapsed="false">
      <c r="J3790" s="14" t="b">
        <f aca="false">IF(중복검사!$A3788="",FALSE(),중복검사!$H3788="중복")</f>
        <v>0</v>
      </c>
      <c r="K3790" s="5" t="str">
        <f aca="false">IF($J3790=FALSE(),"",COUNTIF($J$6:$J3790,TRUE()))</f>
        <v/>
      </c>
      <c r="L3790" s="5" t="str">
        <f aca="false">IF($K3790="","","R"&amp;$K3790)</f>
        <v/>
      </c>
    </row>
    <row r="3791" customFormat="false" ht="15" hidden="false" customHeight="true" outlineLevel="0" collapsed="false">
      <c r="J3791" s="14" t="b">
        <f aca="false">IF(중복검사!$A3789="",FALSE(),중복검사!$H3789="중복")</f>
        <v>0</v>
      </c>
      <c r="K3791" s="5" t="str">
        <f aca="false">IF($J3791=FALSE(),"",COUNTIF($J$6:$J3791,TRUE()))</f>
        <v/>
      </c>
      <c r="L3791" s="5" t="str">
        <f aca="false">IF($K3791="","","R"&amp;$K3791)</f>
        <v/>
      </c>
    </row>
    <row r="3792" customFormat="false" ht="15" hidden="false" customHeight="true" outlineLevel="0" collapsed="false">
      <c r="J3792" s="14" t="b">
        <f aca="false">IF(중복검사!$A3790="",FALSE(),중복검사!$H3790="중복")</f>
        <v>0</v>
      </c>
      <c r="K3792" s="5" t="str">
        <f aca="false">IF($J3792=FALSE(),"",COUNTIF($J$6:$J3792,TRUE()))</f>
        <v/>
      </c>
      <c r="L3792" s="5" t="str">
        <f aca="false">IF($K3792="","","R"&amp;$K3792)</f>
        <v/>
      </c>
    </row>
    <row r="3793" customFormat="false" ht="15" hidden="false" customHeight="true" outlineLevel="0" collapsed="false">
      <c r="J3793" s="14" t="b">
        <f aca="false">IF(중복검사!$A3791="",FALSE(),중복검사!$H3791="중복")</f>
        <v>0</v>
      </c>
      <c r="K3793" s="5" t="str">
        <f aca="false">IF($J3793=FALSE(),"",COUNTIF($J$6:$J3793,TRUE()))</f>
        <v/>
      </c>
      <c r="L3793" s="5" t="str">
        <f aca="false">IF($K3793="","","R"&amp;$K3793)</f>
        <v/>
      </c>
    </row>
    <row r="3794" customFormat="false" ht="15" hidden="false" customHeight="true" outlineLevel="0" collapsed="false">
      <c r="J3794" s="14" t="b">
        <f aca="false">IF(중복검사!$A3792="",FALSE(),중복검사!$H3792="중복")</f>
        <v>0</v>
      </c>
      <c r="K3794" s="5" t="str">
        <f aca="false">IF($J3794=FALSE(),"",COUNTIF($J$6:$J3794,TRUE()))</f>
        <v/>
      </c>
      <c r="L3794" s="5" t="str">
        <f aca="false">IF($K3794="","","R"&amp;$K3794)</f>
        <v/>
      </c>
    </row>
    <row r="3795" customFormat="false" ht="15" hidden="false" customHeight="true" outlineLevel="0" collapsed="false">
      <c r="J3795" s="14" t="b">
        <f aca="false">IF(중복검사!$A3793="",FALSE(),중복검사!$H3793="중복")</f>
        <v>0</v>
      </c>
      <c r="K3795" s="5" t="str">
        <f aca="false">IF($J3795=FALSE(),"",COUNTIF($J$6:$J3795,TRUE()))</f>
        <v/>
      </c>
      <c r="L3795" s="5" t="str">
        <f aca="false">IF($K3795="","","R"&amp;$K3795)</f>
        <v/>
      </c>
    </row>
    <row r="3796" customFormat="false" ht="15" hidden="false" customHeight="true" outlineLevel="0" collapsed="false">
      <c r="J3796" s="14" t="b">
        <f aca="false">IF(중복검사!$A3794="",FALSE(),중복검사!$H3794="중복")</f>
        <v>0</v>
      </c>
      <c r="K3796" s="5" t="str">
        <f aca="false">IF($J3796=FALSE(),"",COUNTIF($J$6:$J3796,TRUE()))</f>
        <v/>
      </c>
      <c r="L3796" s="5" t="str">
        <f aca="false">IF($K3796="","","R"&amp;$K3796)</f>
        <v/>
      </c>
    </row>
    <row r="3797" customFormat="false" ht="15" hidden="false" customHeight="true" outlineLevel="0" collapsed="false">
      <c r="J3797" s="14" t="b">
        <f aca="false">IF(중복검사!$A3795="",FALSE(),중복검사!$H3795="중복")</f>
        <v>0</v>
      </c>
      <c r="K3797" s="5" t="str">
        <f aca="false">IF($J3797=FALSE(),"",COUNTIF($J$6:$J3797,TRUE()))</f>
        <v/>
      </c>
      <c r="L3797" s="5" t="str">
        <f aca="false">IF($K3797="","","R"&amp;$K3797)</f>
        <v/>
      </c>
    </row>
    <row r="3798" customFormat="false" ht="15" hidden="false" customHeight="true" outlineLevel="0" collapsed="false">
      <c r="J3798" s="14" t="b">
        <f aca="false">IF(중복검사!$A3796="",FALSE(),중복검사!$H3796="중복")</f>
        <v>0</v>
      </c>
      <c r="K3798" s="5" t="str">
        <f aca="false">IF($J3798=FALSE(),"",COUNTIF($J$6:$J3798,TRUE()))</f>
        <v/>
      </c>
      <c r="L3798" s="5" t="str">
        <f aca="false">IF($K3798="","","R"&amp;$K3798)</f>
        <v/>
      </c>
    </row>
    <row r="3799" customFormat="false" ht="15" hidden="false" customHeight="true" outlineLevel="0" collapsed="false">
      <c r="J3799" s="14" t="b">
        <f aca="false">IF(중복검사!$A3797="",FALSE(),중복검사!$H3797="중복")</f>
        <v>0</v>
      </c>
      <c r="K3799" s="5" t="str">
        <f aca="false">IF($J3799=FALSE(),"",COUNTIF($J$6:$J3799,TRUE()))</f>
        <v/>
      </c>
      <c r="L3799" s="5" t="str">
        <f aca="false">IF($K3799="","","R"&amp;$K3799)</f>
        <v/>
      </c>
    </row>
    <row r="3800" customFormat="false" ht="15" hidden="false" customHeight="true" outlineLevel="0" collapsed="false">
      <c r="J3800" s="14" t="b">
        <f aca="false">IF(중복검사!$A3798="",FALSE(),중복검사!$H3798="중복")</f>
        <v>0</v>
      </c>
      <c r="K3800" s="5" t="str">
        <f aca="false">IF($J3800=FALSE(),"",COUNTIF($J$6:$J3800,TRUE()))</f>
        <v/>
      </c>
      <c r="L3800" s="5" t="str">
        <f aca="false">IF($K3800="","","R"&amp;$K3800)</f>
        <v/>
      </c>
    </row>
    <row r="3801" customFormat="false" ht="15" hidden="false" customHeight="true" outlineLevel="0" collapsed="false">
      <c r="J3801" s="14" t="b">
        <f aca="false">IF(중복검사!$A3799="",FALSE(),중복검사!$H3799="중복")</f>
        <v>0</v>
      </c>
      <c r="K3801" s="5" t="str">
        <f aca="false">IF($J3801=FALSE(),"",COUNTIF($J$6:$J3801,TRUE()))</f>
        <v/>
      </c>
      <c r="L3801" s="5" t="str">
        <f aca="false">IF($K3801="","","R"&amp;$K3801)</f>
        <v/>
      </c>
    </row>
    <row r="3802" customFormat="false" ht="15" hidden="false" customHeight="true" outlineLevel="0" collapsed="false">
      <c r="J3802" s="14" t="b">
        <f aca="false">IF(중복검사!$A3800="",FALSE(),중복검사!$H3800="중복")</f>
        <v>0</v>
      </c>
      <c r="K3802" s="5" t="str">
        <f aca="false">IF($J3802=FALSE(),"",COUNTIF($J$6:$J3802,TRUE()))</f>
        <v/>
      </c>
      <c r="L3802" s="5" t="str">
        <f aca="false">IF($K3802="","","R"&amp;$K3802)</f>
        <v/>
      </c>
    </row>
    <row r="3803" customFormat="false" ht="15" hidden="false" customHeight="true" outlineLevel="0" collapsed="false">
      <c r="J3803" s="14" t="b">
        <f aca="false">IF(중복검사!$A3801="",FALSE(),중복검사!$H3801="중복")</f>
        <v>0</v>
      </c>
      <c r="K3803" s="5" t="str">
        <f aca="false">IF($J3803=FALSE(),"",COUNTIF($J$6:$J3803,TRUE()))</f>
        <v/>
      </c>
      <c r="L3803" s="5" t="str">
        <f aca="false">IF($K3803="","","R"&amp;$K3803)</f>
        <v/>
      </c>
    </row>
    <row r="3804" customFormat="false" ht="15" hidden="false" customHeight="true" outlineLevel="0" collapsed="false">
      <c r="J3804" s="14" t="b">
        <f aca="false">IF(중복검사!$A3802="",FALSE(),중복검사!$H3802="중복")</f>
        <v>0</v>
      </c>
      <c r="K3804" s="5" t="str">
        <f aca="false">IF($J3804=FALSE(),"",COUNTIF($J$6:$J3804,TRUE()))</f>
        <v/>
      </c>
      <c r="L3804" s="5" t="str">
        <f aca="false">IF($K3804="","","R"&amp;$K3804)</f>
        <v/>
      </c>
    </row>
    <row r="3805" customFormat="false" ht="15" hidden="false" customHeight="true" outlineLevel="0" collapsed="false">
      <c r="J3805" s="14" t="b">
        <f aca="false">IF(중복검사!$A3803="",FALSE(),중복검사!$H3803="중복")</f>
        <v>0</v>
      </c>
      <c r="K3805" s="5" t="str">
        <f aca="false">IF($J3805=FALSE(),"",COUNTIF($J$6:$J3805,TRUE()))</f>
        <v/>
      </c>
      <c r="L3805" s="5" t="str">
        <f aca="false">IF($K3805="","","R"&amp;$K3805)</f>
        <v/>
      </c>
    </row>
    <row r="3806" customFormat="false" ht="15" hidden="false" customHeight="true" outlineLevel="0" collapsed="false">
      <c r="J3806" s="14" t="b">
        <f aca="false">IF(중복검사!$A3804="",FALSE(),중복검사!$H3804="중복")</f>
        <v>0</v>
      </c>
      <c r="K3806" s="5" t="str">
        <f aca="false">IF($J3806=FALSE(),"",COUNTIF($J$6:$J3806,TRUE()))</f>
        <v/>
      </c>
      <c r="L3806" s="5" t="str">
        <f aca="false">IF($K3806="","","R"&amp;$K3806)</f>
        <v/>
      </c>
    </row>
    <row r="3807" customFormat="false" ht="15" hidden="false" customHeight="true" outlineLevel="0" collapsed="false">
      <c r="J3807" s="14" t="b">
        <f aca="false">IF(중복검사!$A3805="",FALSE(),중복검사!$H3805="중복")</f>
        <v>0</v>
      </c>
      <c r="K3807" s="5" t="str">
        <f aca="false">IF($J3807=FALSE(),"",COUNTIF($J$6:$J3807,TRUE()))</f>
        <v/>
      </c>
      <c r="L3807" s="5" t="str">
        <f aca="false">IF($K3807="","","R"&amp;$K3807)</f>
        <v/>
      </c>
    </row>
    <row r="3808" customFormat="false" ht="15" hidden="false" customHeight="true" outlineLevel="0" collapsed="false">
      <c r="J3808" s="14" t="b">
        <f aca="false">IF(중복검사!$A3806="",FALSE(),중복검사!$H3806="중복")</f>
        <v>0</v>
      </c>
      <c r="K3808" s="5" t="str">
        <f aca="false">IF($J3808=FALSE(),"",COUNTIF($J$6:$J3808,TRUE()))</f>
        <v/>
      </c>
      <c r="L3808" s="5" t="str">
        <f aca="false">IF($K3808="","","R"&amp;$K3808)</f>
        <v/>
      </c>
    </row>
    <row r="3809" customFormat="false" ht="15" hidden="false" customHeight="true" outlineLevel="0" collapsed="false">
      <c r="J3809" s="14" t="b">
        <f aca="false">IF(중복검사!$A3807="",FALSE(),중복검사!$H3807="중복")</f>
        <v>0</v>
      </c>
      <c r="K3809" s="5" t="str">
        <f aca="false">IF($J3809=FALSE(),"",COUNTIF($J$6:$J3809,TRUE()))</f>
        <v/>
      </c>
      <c r="L3809" s="5" t="str">
        <f aca="false">IF($K3809="","","R"&amp;$K3809)</f>
        <v/>
      </c>
    </row>
    <row r="3810" customFormat="false" ht="15" hidden="false" customHeight="true" outlineLevel="0" collapsed="false">
      <c r="J3810" s="14" t="b">
        <f aca="false">IF(중복검사!$A3808="",FALSE(),중복검사!$H3808="중복")</f>
        <v>0</v>
      </c>
      <c r="K3810" s="5" t="str">
        <f aca="false">IF($J3810=FALSE(),"",COUNTIF($J$6:$J3810,TRUE()))</f>
        <v/>
      </c>
      <c r="L3810" s="5" t="str">
        <f aca="false">IF($K3810="","","R"&amp;$K3810)</f>
        <v/>
      </c>
    </row>
    <row r="3811" customFormat="false" ht="15" hidden="false" customHeight="true" outlineLevel="0" collapsed="false">
      <c r="J3811" s="14" t="b">
        <f aca="false">IF(중복검사!$A3809="",FALSE(),중복검사!$H3809="중복")</f>
        <v>0</v>
      </c>
      <c r="K3811" s="5" t="str">
        <f aca="false">IF($J3811=FALSE(),"",COUNTIF($J$6:$J3811,TRUE()))</f>
        <v/>
      </c>
      <c r="L3811" s="5" t="str">
        <f aca="false">IF($K3811="","","R"&amp;$K3811)</f>
        <v/>
      </c>
    </row>
    <row r="3812" customFormat="false" ht="15" hidden="false" customHeight="true" outlineLevel="0" collapsed="false">
      <c r="J3812" s="14" t="b">
        <f aca="false">IF(중복검사!$A3810="",FALSE(),중복검사!$H3810="중복")</f>
        <v>0</v>
      </c>
      <c r="K3812" s="5" t="str">
        <f aca="false">IF($J3812=FALSE(),"",COUNTIF($J$6:$J3812,TRUE()))</f>
        <v/>
      </c>
      <c r="L3812" s="5" t="str">
        <f aca="false">IF($K3812="","","R"&amp;$K3812)</f>
        <v/>
      </c>
    </row>
    <row r="3813" customFormat="false" ht="15" hidden="false" customHeight="true" outlineLevel="0" collapsed="false">
      <c r="J3813" s="14" t="b">
        <f aca="false">IF(중복검사!$A3811="",FALSE(),중복검사!$H3811="중복")</f>
        <v>0</v>
      </c>
      <c r="K3813" s="5" t="str">
        <f aca="false">IF($J3813=FALSE(),"",COUNTIF($J$6:$J3813,TRUE()))</f>
        <v/>
      </c>
      <c r="L3813" s="5" t="str">
        <f aca="false">IF($K3813="","","R"&amp;$K3813)</f>
        <v/>
      </c>
    </row>
    <row r="3814" customFormat="false" ht="15" hidden="false" customHeight="true" outlineLevel="0" collapsed="false">
      <c r="J3814" s="14" t="b">
        <f aca="false">IF(중복검사!$A3812="",FALSE(),중복검사!$H3812="중복")</f>
        <v>0</v>
      </c>
      <c r="K3814" s="5" t="str">
        <f aca="false">IF($J3814=FALSE(),"",COUNTIF($J$6:$J3814,TRUE()))</f>
        <v/>
      </c>
      <c r="L3814" s="5" t="str">
        <f aca="false">IF($K3814="","","R"&amp;$K3814)</f>
        <v/>
      </c>
    </row>
    <row r="3815" customFormat="false" ht="15" hidden="false" customHeight="true" outlineLevel="0" collapsed="false">
      <c r="J3815" s="14" t="b">
        <f aca="false">IF(중복검사!$A3813="",FALSE(),중복검사!$H3813="중복")</f>
        <v>0</v>
      </c>
      <c r="K3815" s="5" t="str">
        <f aca="false">IF($J3815=FALSE(),"",COUNTIF($J$6:$J3815,TRUE()))</f>
        <v/>
      </c>
      <c r="L3815" s="5" t="str">
        <f aca="false">IF($K3815="","","R"&amp;$K3815)</f>
        <v/>
      </c>
    </row>
    <row r="3816" customFormat="false" ht="15" hidden="false" customHeight="true" outlineLevel="0" collapsed="false">
      <c r="J3816" s="14" t="b">
        <f aca="false">IF(중복검사!$A3814="",FALSE(),중복검사!$H3814="중복")</f>
        <v>0</v>
      </c>
      <c r="K3816" s="5" t="str">
        <f aca="false">IF($J3816=FALSE(),"",COUNTIF($J$6:$J3816,TRUE()))</f>
        <v/>
      </c>
      <c r="L3816" s="5" t="str">
        <f aca="false">IF($K3816="","","R"&amp;$K3816)</f>
        <v/>
      </c>
    </row>
    <row r="3817" customFormat="false" ht="15" hidden="false" customHeight="true" outlineLevel="0" collapsed="false">
      <c r="J3817" s="14" t="b">
        <f aca="false">IF(중복검사!$A3815="",FALSE(),중복검사!$H3815="중복")</f>
        <v>0</v>
      </c>
      <c r="K3817" s="5" t="str">
        <f aca="false">IF($J3817=FALSE(),"",COUNTIF($J$6:$J3817,TRUE()))</f>
        <v/>
      </c>
      <c r="L3817" s="5" t="str">
        <f aca="false">IF($K3817="","","R"&amp;$K3817)</f>
        <v/>
      </c>
    </row>
    <row r="3818" customFormat="false" ht="15" hidden="false" customHeight="true" outlineLevel="0" collapsed="false">
      <c r="J3818" s="14" t="b">
        <f aca="false">IF(중복검사!$A3816="",FALSE(),중복검사!$H3816="중복")</f>
        <v>0</v>
      </c>
      <c r="K3818" s="5" t="str">
        <f aca="false">IF($J3818=FALSE(),"",COUNTIF($J$6:$J3818,TRUE()))</f>
        <v/>
      </c>
      <c r="L3818" s="5" t="str">
        <f aca="false">IF($K3818="","","R"&amp;$K3818)</f>
        <v/>
      </c>
    </row>
    <row r="3819" customFormat="false" ht="15" hidden="false" customHeight="true" outlineLevel="0" collapsed="false">
      <c r="J3819" s="14" t="b">
        <f aca="false">IF(중복검사!$A3817="",FALSE(),중복검사!$H3817="중복")</f>
        <v>0</v>
      </c>
      <c r="K3819" s="5" t="str">
        <f aca="false">IF($J3819=FALSE(),"",COUNTIF($J$6:$J3819,TRUE()))</f>
        <v/>
      </c>
      <c r="L3819" s="5" t="str">
        <f aca="false">IF($K3819="","","R"&amp;$K3819)</f>
        <v/>
      </c>
    </row>
    <row r="3820" customFormat="false" ht="15" hidden="false" customHeight="true" outlineLevel="0" collapsed="false">
      <c r="J3820" s="14" t="b">
        <f aca="false">IF(중복검사!$A3818="",FALSE(),중복검사!$H3818="중복")</f>
        <v>0</v>
      </c>
      <c r="K3820" s="5" t="str">
        <f aca="false">IF($J3820=FALSE(),"",COUNTIF($J$6:$J3820,TRUE()))</f>
        <v/>
      </c>
      <c r="L3820" s="5" t="str">
        <f aca="false">IF($K3820="","","R"&amp;$K3820)</f>
        <v/>
      </c>
    </row>
    <row r="3821" customFormat="false" ht="15" hidden="false" customHeight="true" outlineLevel="0" collapsed="false">
      <c r="J3821" s="14" t="b">
        <f aca="false">IF(중복검사!$A3819="",FALSE(),중복검사!$H3819="중복")</f>
        <v>0</v>
      </c>
      <c r="K3821" s="5" t="str">
        <f aca="false">IF($J3821=FALSE(),"",COUNTIF($J$6:$J3821,TRUE()))</f>
        <v/>
      </c>
      <c r="L3821" s="5" t="str">
        <f aca="false">IF($K3821="","","R"&amp;$K3821)</f>
        <v/>
      </c>
    </row>
    <row r="3822" customFormat="false" ht="15" hidden="false" customHeight="true" outlineLevel="0" collapsed="false">
      <c r="J3822" s="14" t="b">
        <f aca="false">IF(중복검사!$A3820="",FALSE(),중복검사!$H3820="중복")</f>
        <v>0</v>
      </c>
      <c r="K3822" s="5" t="str">
        <f aca="false">IF($J3822=FALSE(),"",COUNTIF($J$6:$J3822,TRUE()))</f>
        <v/>
      </c>
      <c r="L3822" s="5" t="str">
        <f aca="false">IF($K3822="","","R"&amp;$K3822)</f>
        <v/>
      </c>
    </row>
    <row r="3823" customFormat="false" ht="15" hidden="false" customHeight="true" outlineLevel="0" collapsed="false">
      <c r="J3823" s="14" t="b">
        <f aca="false">IF(중복검사!$A3821="",FALSE(),중복검사!$H3821="중복")</f>
        <v>0</v>
      </c>
      <c r="K3823" s="5" t="str">
        <f aca="false">IF($J3823=FALSE(),"",COUNTIF($J$6:$J3823,TRUE()))</f>
        <v/>
      </c>
      <c r="L3823" s="5" t="str">
        <f aca="false">IF($K3823="","","R"&amp;$K3823)</f>
        <v/>
      </c>
    </row>
    <row r="3824" customFormat="false" ht="15" hidden="false" customHeight="true" outlineLevel="0" collapsed="false">
      <c r="J3824" s="14" t="b">
        <f aca="false">IF(중복검사!$A3822="",FALSE(),중복검사!$H3822="중복")</f>
        <v>0</v>
      </c>
      <c r="K3824" s="5" t="str">
        <f aca="false">IF($J3824=FALSE(),"",COUNTIF($J$6:$J3824,TRUE()))</f>
        <v/>
      </c>
      <c r="L3824" s="5" t="str">
        <f aca="false">IF($K3824="","","R"&amp;$K3824)</f>
        <v/>
      </c>
    </row>
    <row r="3825" customFormat="false" ht="15" hidden="false" customHeight="true" outlineLevel="0" collapsed="false">
      <c r="J3825" s="14" t="b">
        <f aca="false">IF(중복검사!$A3823="",FALSE(),중복검사!$H3823="중복")</f>
        <v>0</v>
      </c>
      <c r="K3825" s="5" t="str">
        <f aca="false">IF($J3825=FALSE(),"",COUNTIF($J$6:$J3825,TRUE()))</f>
        <v/>
      </c>
      <c r="L3825" s="5" t="str">
        <f aca="false">IF($K3825="","","R"&amp;$K3825)</f>
        <v/>
      </c>
    </row>
    <row r="3826" customFormat="false" ht="15" hidden="false" customHeight="true" outlineLevel="0" collapsed="false">
      <c r="J3826" s="14" t="b">
        <f aca="false">IF(중복검사!$A3824="",FALSE(),중복검사!$H3824="중복")</f>
        <v>0</v>
      </c>
      <c r="K3826" s="5" t="str">
        <f aca="false">IF($J3826=FALSE(),"",COUNTIF($J$6:$J3826,TRUE()))</f>
        <v/>
      </c>
      <c r="L3826" s="5" t="str">
        <f aca="false">IF($K3826="","","R"&amp;$K3826)</f>
        <v/>
      </c>
    </row>
    <row r="3827" customFormat="false" ht="15" hidden="false" customHeight="true" outlineLevel="0" collapsed="false">
      <c r="J3827" s="14" t="b">
        <f aca="false">IF(중복검사!$A3825="",FALSE(),중복검사!$H3825="중복")</f>
        <v>0</v>
      </c>
      <c r="K3827" s="5" t="str">
        <f aca="false">IF($J3827=FALSE(),"",COUNTIF($J$6:$J3827,TRUE()))</f>
        <v/>
      </c>
      <c r="L3827" s="5" t="str">
        <f aca="false">IF($K3827="","","R"&amp;$K3827)</f>
        <v/>
      </c>
    </row>
    <row r="3828" customFormat="false" ht="15" hidden="false" customHeight="true" outlineLevel="0" collapsed="false">
      <c r="J3828" s="14" t="b">
        <f aca="false">IF(중복검사!$A3826="",FALSE(),중복검사!$H3826="중복")</f>
        <v>0</v>
      </c>
      <c r="K3828" s="5" t="str">
        <f aca="false">IF($J3828=FALSE(),"",COUNTIF($J$6:$J3828,TRUE()))</f>
        <v/>
      </c>
      <c r="L3828" s="5" t="str">
        <f aca="false">IF($K3828="","","R"&amp;$K3828)</f>
        <v/>
      </c>
    </row>
    <row r="3829" customFormat="false" ht="15" hidden="false" customHeight="true" outlineLevel="0" collapsed="false">
      <c r="J3829" s="14" t="b">
        <f aca="false">IF(중복검사!$A3827="",FALSE(),중복검사!$H3827="중복")</f>
        <v>0</v>
      </c>
      <c r="K3829" s="5" t="str">
        <f aca="false">IF($J3829=FALSE(),"",COUNTIF($J$6:$J3829,TRUE()))</f>
        <v/>
      </c>
      <c r="L3829" s="5" t="str">
        <f aca="false">IF($K3829="","","R"&amp;$K3829)</f>
        <v/>
      </c>
    </row>
    <row r="3830" customFormat="false" ht="15" hidden="false" customHeight="true" outlineLevel="0" collapsed="false">
      <c r="J3830" s="14" t="b">
        <f aca="false">IF(중복검사!$A3828="",FALSE(),중복검사!$H3828="중복")</f>
        <v>0</v>
      </c>
      <c r="K3830" s="5" t="str">
        <f aca="false">IF($J3830=FALSE(),"",COUNTIF($J$6:$J3830,TRUE()))</f>
        <v/>
      </c>
      <c r="L3830" s="5" t="str">
        <f aca="false">IF($K3830="","","R"&amp;$K3830)</f>
        <v/>
      </c>
    </row>
    <row r="3831" customFormat="false" ht="15" hidden="false" customHeight="true" outlineLevel="0" collapsed="false">
      <c r="J3831" s="14" t="b">
        <f aca="false">IF(중복검사!$A3829="",FALSE(),중복검사!$H3829="중복")</f>
        <v>0</v>
      </c>
      <c r="K3831" s="5" t="str">
        <f aca="false">IF($J3831=FALSE(),"",COUNTIF($J$6:$J3831,TRUE()))</f>
        <v/>
      </c>
      <c r="L3831" s="5" t="str">
        <f aca="false">IF($K3831="","","R"&amp;$K3831)</f>
        <v/>
      </c>
    </row>
    <row r="3832" customFormat="false" ht="15" hidden="false" customHeight="true" outlineLevel="0" collapsed="false">
      <c r="J3832" s="14" t="b">
        <f aca="false">IF(중복검사!$A3830="",FALSE(),중복검사!$H3830="중복")</f>
        <v>0</v>
      </c>
      <c r="K3832" s="5" t="str">
        <f aca="false">IF($J3832=FALSE(),"",COUNTIF($J$6:$J3832,TRUE()))</f>
        <v/>
      </c>
      <c r="L3832" s="5" t="str">
        <f aca="false">IF($K3832="","","R"&amp;$K3832)</f>
        <v/>
      </c>
    </row>
    <row r="3833" customFormat="false" ht="15" hidden="false" customHeight="true" outlineLevel="0" collapsed="false">
      <c r="J3833" s="14" t="b">
        <f aca="false">IF(중복검사!$A3831="",FALSE(),중복검사!$H3831="중복")</f>
        <v>0</v>
      </c>
      <c r="K3833" s="5" t="str">
        <f aca="false">IF($J3833=FALSE(),"",COUNTIF($J$6:$J3833,TRUE()))</f>
        <v/>
      </c>
      <c r="L3833" s="5" t="str">
        <f aca="false">IF($K3833="","","R"&amp;$K3833)</f>
        <v/>
      </c>
    </row>
    <row r="3834" customFormat="false" ht="15" hidden="false" customHeight="true" outlineLevel="0" collapsed="false">
      <c r="J3834" s="14" t="b">
        <f aca="false">IF(중복검사!$A3832="",FALSE(),중복검사!$H3832="중복")</f>
        <v>0</v>
      </c>
      <c r="K3834" s="5" t="str">
        <f aca="false">IF($J3834=FALSE(),"",COUNTIF($J$6:$J3834,TRUE()))</f>
        <v/>
      </c>
      <c r="L3834" s="5" t="str">
        <f aca="false">IF($K3834="","","R"&amp;$K3834)</f>
        <v/>
      </c>
    </row>
    <row r="3835" customFormat="false" ht="15" hidden="false" customHeight="true" outlineLevel="0" collapsed="false">
      <c r="J3835" s="14" t="b">
        <f aca="false">IF(중복검사!$A3833="",FALSE(),중복검사!$H3833="중복")</f>
        <v>0</v>
      </c>
      <c r="K3835" s="5" t="str">
        <f aca="false">IF($J3835=FALSE(),"",COUNTIF($J$6:$J3835,TRUE()))</f>
        <v/>
      </c>
      <c r="L3835" s="5" t="str">
        <f aca="false">IF($K3835="","","R"&amp;$K3835)</f>
        <v/>
      </c>
    </row>
    <row r="3836" customFormat="false" ht="15" hidden="false" customHeight="true" outlineLevel="0" collapsed="false">
      <c r="J3836" s="14" t="b">
        <f aca="false">IF(중복검사!$A3834="",FALSE(),중복검사!$H3834="중복")</f>
        <v>0</v>
      </c>
      <c r="K3836" s="5" t="str">
        <f aca="false">IF($J3836=FALSE(),"",COUNTIF($J$6:$J3836,TRUE()))</f>
        <v/>
      </c>
      <c r="L3836" s="5" t="str">
        <f aca="false">IF($K3836="","","R"&amp;$K3836)</f>
        <v/>
      </c>
    </row>
    <row r="3837" customFormat="false" ht="15" hidden="false" customHeight="true" outlineLevel="0" collapsed="false">
      <c r="J3837" s="14" t="b">
        <f aca="false">IF(중복검사!$A3835="",FALSE(),중복검사!$H3835="중복")</f>
        <v>0</v>
      </c>
      <c r="K3837" s="5" t="str">
        <f aca="false">IF($J3837=FALSE(),"",COUNTIF($J$6:$J3837,TRUE()))</f>
        <v/>
      </c>
      <c r="L3837" s="5" t="str">
        <f aca="false">IF($K3837="","","R"&amp;$K3837)</f>
        <v/>
      </c>
    </row>
    <row r="3838" customFormat="false" ht="15" hidden="false" customHeight="true" outlineLevel="0" collapsed="false">
      <c r="J3838" s="14" t="b">
        <f aca="false">IF(중복검사!$A3836="",FALSE(),중복검사!$H3836="중복")</f>
        <v>0</v>
      </c>
      <c r="K3838" s="5" t="str">
        <f aca="false">IF($J3838=FALSE(),"",COUNTIF($J$6:$J3838,TRUE()))</f>
        <v/>
      </c>
      <c r="L3838" s="5" t="str">
        <f aca="false">IF($K3838="","","R"&amp;$K3838)</f>
        <v/>
      </c>
    </row>
    <row r="3839" customFormat="false" ht="15" hidden="false" customHeight="true" outlineLevel="0" collapsed="false">
      <c r="J3839" s="14" t="b">
        <f aca="false">IF(중복검사!$A3837="",FALSE(),중복검사!$H3837="중복")</f>
        <v>0</v>
      </c>
      <c r="K3839" s="5" t="str">
        <f aca="false">IF($J3839=FALSE(),"",COUNTIF($J$6:$J3839,TRUE()))</f>
        <v/>
      </c>
      <c r="L3839" s="5" t="str">
        <f aca="false">IF($K3839="","","R"&amp;$K3839)</f>
        <v/>
      </c>
    </row>
    <row r="3840" customFormat="false" ht="15" hidden="false" customHeight="true" outlineLevel="0" collapsed="false">
      <c r="J3840" s="14" t="b">
        <f aca="false">IF(중복검사!$A3838="",FALSE(),중복검사!$H3838="중복")</f>
        <v>0</v>
      </c>
      <c r="K3840" s="5" t="str">
        <f aca="false">IF($J3840=FALSE(),"",COUNTIF($J$6:$J3840,TRUE()))</f>
        <v/>
      </c>
      <c r="L3840" s="5" t="str">
        <f aca="false">IF($K3840="","","R"&amp;$K3840)</f>
        <v/>
      </c>
    </row>
    <row r="3841" customFormat="false" ht="15" hidden="false" customHeight="true" outlineLevel="0" collapsed="false">
      <c r="J3841" s="14" t="b">
        <f aca="false">IF(중복검사!$A3839="",FALSE(),중복검사!$H3839="중복")</f>
        <v>0</v>
      </c>
      <c r="K3841" s="5" t="str">
        <f aca="false">IF($J3841=FALSE(),"",COUNTIF($J$6:$J3841,TRUE()))</f>
        <v/>
      </c>
      <c r="L3841" s="5" t="str">
        <f aca="false">IF($K3841="","","R"&amp;$K3841)</f>
        <v/>
      </c>
    </row>
    <row r="3842" customFormat="false" ht="15" hidden="false" customHeight="true" outlineLevel="0" collapsed="false">
      <c r="J3842" s="14" t="b">
        <f aca="false">IF(중복검사!$A3840="",FALSE(),중복검사!$H3840="중복")</f>
        <v>0</v>
      </c>
      <c r="K3842" s="5" t="str">
        <f aca="false">IF($J3842=FALSE(),"",COUNTIF($J$6:$J3842,TRUE()))</f>
        <v/>
      </c>
      <c r="L3842" s="5" t="str">
        <f aca="false">IF($K3842="","","R"&amp;$K3842)</f>
        <v/>
      </c>
    </row>
    <row r="3843" customFormat="false" ht="15" hidden="false" customHeight="true" outlineLevel="0" collapsed="false">
      <c r="J3843" s="14" t="b">
        <f aca="false">IF(중복검사!$A3841="",FALSE(),중복검사!$H3841="중복")</f>
        <v>0</v>
      </c>
      <c r="K3843" s="5" t="str">
        <f aca="false">IF($J3843=FALSE(),"",COUNTIF($J$6:$J3843,TRUE()))</f>
        <v/>
      </c>
      <c r="L3843" s="5" t="str">
        <f aca="false">IF($K3843="","","R"&amp;$K3843)</f>
        <v/>
      </c>
    </row>
    <row r="3844" customFormat="false" ht="15" hidden="false" customHeight="true" outlineLevel="0" collapsed="false">
      <c r="J3844" s="14" t="b">
        <f aca="false">IF(중복검사!$A3842="",FALSE(),중복검사!$H3842="중복")</f>
        <v>0</v>
      </c>
      <c r="K3844" s="5" t="str">
        <f aca="false">IF($J3844=FALSE(),"",COUNTIF($J$6:$J3844,TRUE()))</f>
        <v/>
      </c>
      <c r="L3844" s="5" t="str">
        <f aca="false">IF($K3844="","","R"&amp;$K3844)</f>
        <v/>
      </c>
    </row>
    <row r="3845" customFormat="false" ht="15" hidden="false" customHeight="true" outlineLevel="0" collapsed="false">
      <c r="J3845" s="14" t="b">
        <f aca="false">IF(중복검사!$A3843="",FALSE(),중복검사!$H3843="중복")</f>
        <v>0</v>
      </c>
      <c r="K3845" s="5" t="str">
        <f aca="false">IF($J3845=FALSE(),"",COUNTIF($J$6:$J3845,TRUE()))</f>
        <v/>
      </c>
      <c r="L3845" s="5" t="str">
        <f aca="false">IF($K3845="","","R"&amp;$K3845)</f>
        <v/>
      </c>
    </row>
    <row r="3846" customFormat="false" ht="15" hidden="false" customHeight="true" outlineLevel="0" collapsed="false">
      <c r="J3846" s="14" t="b">
        <f aca="false">IF(중복검사!$A3844="",FALSE(),중복검사!$H3844="중복")</f>
        <v>0</v>
      </c>
      <c r="K3846" s="5" t="str">
        <f aca="false">IF($J3846=FALSE(),"",COUNTIF($J$6:$J3846,TRUE()))</f>
        <v/>
      </c>
      <c r="L3846" s="5" t="str">
        <f aca="false">IF($K3846="","","R"&amp;$K3846)</f>
        <v/>
      </c>
    </row>
    <row r="3847" customFormat="false" ht="15" hidden="false" customHeight="true" outlineLevel="0" collapsed="false">
      <c r="J3847" s="14" t="b">
        <f aca="false">IF(중복검사!$A3845="",FALSE(),중복검사!$H3845="중복")</f>
        <v>0</v>
      </c>
      <c r="K3847" s="5" t="str">
        <f aca="false">IF($J3847=FALSE(),"",COUNTIF($J$6:$J3847,TRUE()))</f>
        <v/>
      </c>
      <c r="L3847" s="5" t="str">
        <f aca="false">IF($K3847="","","R"&amp;$K3847)</f>
        <v/>
      </c>
    </row>
    <row r="3848" customFormat="false" ht="15" hidden="false" customHeight="true" outlineLevel="0" collapsed="false">
      <c r="J3848" s="14" t="b">
        <f aca="false">IF(중복검사!$A3846="",FALSE(),중복검사!$H3846="중복")</f>
        <v>0</v>
      </c>
      <c r="K3848" s="5" t="str">
        <f aca="false">IF($J3848=FALSE(),"",COUNTIF($J$6:$J3848,TRUE()))</f>
        <v/>
      </c>
      <c r="L3848" s="5" t="str">
        <f aca="false">IF($K3848="","","R"&amp;$K3848)</f>
        <v/>
      </c>
    </row>
    <row r="3849" customFormat="false" ht="15" hidden="false" customHeight="true" outlineLevel="0" collapsed="false">
      <c r="J3849" s="14" t="b">
        <f aca="false">IF(중복검사!$A3847="",FALSE(),중복검사!$H3847="중복")</f>
        <v>0</v>
      </c>
      <c r="K3849" s="5" t="str">
        <f aca="false">IF($J3849=FALSE(),"",COUNTIF($J$6:$J3849,TRUE()))</f>
        <v/>
      </c>
      <c r="L3849" s="5" t="str">
        <f aca="false">IF($K3849="","","R"&amp;$K3849)</f>
        <v/>
      </c>
    </row>
    <row r="3850" customFormat="false" ht="15" hidden="false" customHeight="true" outlineLevel="0" collapsed="false">
      <c r="J3850" s="14" t="b">
        <f aca="false">IF(중복검사!$A3848="",FALSE(),중복검사!$H3848="중복")</f>
        <v>0</v>
      </c>
      <c r="K3850" s="5" t="str">
        <f aca="false">IF($J3850=FALSE(),"",COUNTIF($J$6:$J3850,TRUE()))</f>
        <v/>
      </c>
      <c r="L3850" s="5" t="str">
        <f aca="false">IF($K3850="","","R"&amp;$K3850)</f>
        <v/>
      </c>
    </row>
    <row r="3851" customFormat="false" ht="15" hidden="false" customHeight="true" outlineLevel="0" collapsed="false">
      <c r="J3851" s="14" t="b">
        <f aca="false">IF(중복검사!$A3849="",FALSE(),중복검사!$H3849="중복")</f>
        <v>0</v>
      </c>
      <c r="K3851" s="5" t="str">
        <f aca="false">IF($J3851=FALSE(),"",COUNTIF($J$6:$J3851,TRUE()))</f>
        <v/>
      </c>
      <c r="L3851" s="5" t="str">
        <f aca="false">IF($K3851="","","R"&amp;$K3851)</f>
        <v/>
      </c>
    </row>
    <row r="3852" customFormat="false" ht="15" hidden="false" customHeight="true" outlineLevel="0" collapsed="false">
      <c r="J3852" s="14" t="b">
        <f aca="false">IF(중복검사!$A3850="",FALSE(),중복검사!$H3850="중복")</f>
        <v>0</v>
      </c>
      <c r="K3852" s="5" t="str">
        <f aca="false">IF($J3852=FALSE(),"",COUNTIF($J$6:$J3852,TRUE()))</f>
        <v/>
      </c>
      <c r="L3852" s="5" t="str">
        <f aca="false">IF($K3852="","","R"&amp;$K3852)</f>
        <v/>
      </c>
    </row>
    <row r="3853" customFormat="false" ht="15" hidden="false" customHeight="true" outlineLevel="0" collapsed="false">
      <c r="J3853" s="14" t="b">
        <f aca="false">IF(중복검사!$A3851="",FALSE(),중복검사!$H3851="중복")</f>
        <v>0</v>
      </c>
      <c r="K3853" s="5" t="str">
        <f aca="false">IF($J3853=FALSE(),"",COUNTIF($J$6:$J3853,TRUE()))</f>
        <v/>
      </c>
      <c r="L3853" s="5" t="str">
        <f aca="false">IF($K3853="","","R"&amp;$K3853)</f>
        <v/>
      </c>
    </row>
    <row r="3854" customFormat="false" ht="15" hidden="false" customHeight="true" outlineLevel="0" collapsed="false">
      <c r="J3854" s="14" t="b">
        <f aca="false">IF(중복검사!$A3852="",FALSE(),중복검사!$H3852="중복")</f>
        <v>0</v>
      </c>
      <c r="K3854" s="5" t="str">
        <f aca="false">IF($J3854=FALSE(),"",COUNTIF($J$6:$J3854,TRUE()))</f>
        <v/>
      </c>
      <c r="L3854" s="5" t="str">
        <f aca="false">IF($K3854="","","R"&amp;$K3854)</f>
        <v/>
      </c>
    </row>
    <row r="3855" customFormat="false" ht="15" hidden="false" customHeight="true" outlineLevel="0" collapsed="false">
      <c r="J3855" s="14" t="b">
        <f aca="false">IF(중복검사!$A3853="",FALSE(),중복검사!$H3853="중복")</f>
        <v>0</v>
      </c>
      <c r="K3855" s="5" t="str">
        <f aca="false">IF($J3855=FALSE(),"",COUNTIF($J$6:$J3855,TRUE()))</f>
        <v/>
      </c>
      <c r="L3855" s="5" t="str">
        <f aca="false">IF($K3855="","","R"&amp;$K3855)</f>
        <v/>
      </c>
    </row>
    <row r="3856" customFormat="false" ht="15" hidden="false" customHeight="true" outlineLevel="0" collapsed="false">
      <c r="J3856" s="14" t="b">
        <f aca="false">IF(중복검사!$A3854="",FALSE(),중복검사!$H3854="중복")</f>
        <v>0</v>
      </c>
      <c r="K3856" s="5" t="str">
        <f aca="false">IF($J3856=FALSE(),"",COUNTIF($J$6:$J3856,TRUE()))</f>
        <v/>
      </c>
      <c r="L3856" s="5" t="str">
        <f aca="false">IF($K3856="","","R"&amp;$K3856)</f>
        <v/>
      </c>
    </row>
    <row r="3857" customFormat="false" ht="15" hidden="false" customHeight="true" outlineLevel="0" collapsed="false">
      <c r="J3857" s="14" t="b">
        <f aca="false">IF(중복검사!$A3855="",FALSE(),중복검사!$H3855="중복")</f>
        <v>0</v>
      </c>
      <c r="K3857" s="5" t="str">
        <f aca="false">IF($J3857=FALSE(),"",COUNTIF($J$6:$J3857,TRUE()))</f>
        <v/>
      </c>
      <c r="L3857" s="5" t="str">
        <f aca="false">IF($K3857="","","R"&amp;$K3857)</f>
        <v/>
      </c>
    </row>
    <row r="3858" customFormat="false" ht="15" hidden="false" customHeight="true" outlineLevel="0" collapsed="false">
      <c r="J3858" s="14" t="b">
        <f aca="false">IF(중복검사!$A3856="",FALSE(),중복검사!$H3856="중복")</f>
        <v>0</v>
      </c>
      <c r="K3858" s="5" t="str">
        <f aca="false">IF($J3858=FALSE(),"",COUNTIF($J$6:$J3858,TRUE()))</f>
        <v/>
      </c>
      <c r="L3858" s="5" t="str">
        <f aca="false">IF($K3858="","","R"&amp;$K3858)</f>
        <v/>
      </c>
    </row>
    <row r="3859" customFormat="false" ht="15" hidden="false" customHeight="true" outlineLevel="0" collapsed="false">
      <c r="J3859" s="14" t="b">
        <f aca="false">IF(중복검사!$A3857="",FALSE(),중복검사!$H3857="중복")</f>
        <v>0</v>
      </c>
      <c r="K3859" s="5" t="str">
        <f aca="false">IF($J3859=FALSE(),"",COUNTIF($J$6:$J3859,TRUE()))</f>
        <v/>
      </c>
      <c r="L3859" s="5" t="str">
        <f aca="false">IF($K3859="","","R"&amp;$K3859)</f>
        <v/>
      </c>
    </row>
    <row r="3860" customFormat="false" ht="15" hidden="false" customHeight="true" outlineLevel="0" collapsed="false">
      <c r="J3860" s="14" t="b">
        <f aca="false">IF(중복검사!$A3858="",FALSE(),중복검사!$H3858="중복")</f>
        <v>0</v>
      </c>
      <c r="K3860" s="5" t="str">
        <f aca="false">IF($J3860=FALSE(),"",COUNTIF($J$6:$J3860,TRUE()))</f>
        <v/>
      </c>
      <c r="L3860" s="5" t="str">
        <f aca="false">IF($K3860="","","R"&amp;$K3860)</f>
        <v/>
      </c>
    </row>
    <row r="3861" customFormat="false" ht="15" hidden="false" customHeight="true" outlineLevel="0" collapsed="false">
      <c r="J3861" s="14" t="b">
        <f aca="false">IF(중복검사!$A3859="",FALSE(),중복검사!$H3859="중복")</f>
        <v>0</v>
      </c>
      <c r="K3861" s="5" t="str">
        <f aca="false">IF($J3861=FALSE(),"",COUNTIF($J$6:$J3861,TRUE()))</f>
        <v/>
      </c>
      <c r="L3861" s="5" t="str">
        <f aca="false">IF($K3861="","","R"&amp;$K3861)</f>
        <v/>
      </c>
    </row>
    <row r="3862" customFormat="false" ht="15" hidden="false" customHeight="true" outlineLevel="0" collapsed="false">
      <c r="J3862" s="14" t="b">
        <f aca="false">IF(중복검사!$A3860="",FALSE(),중복검사!$H3860="중복")</f>
        <v>0</v>
      </c>
      <c r="K3862" s="5" t="str">
        <f aca="false">IF($J3862=FALSE(),"",COUNTIF($J$6:$J3862,TRUE()))</f>
        <v/>
      </c>
      <c r="L3862" s="5" t="str">
        <f aca="false">IF($K3862="","","R"&amp;$K3862)</f>
        <v/>
      </c>
    </row>
    <row r="3863" customFormat="false" ht="15" hidden="false" customHeight="true" outlineLevel="0" collapsed="false">
      <c r="J3863" s="14" t="b">
        <f aca="false">IF(중복검사!$A3861="",FALSE(),중복검사!$H3861="중복")</f>
        <v>0</v>
      </c>
      <c r="K3863" s="5" t="str">
        <f aca="false">IF($J3863=FALSE(),"",COUNTIF($J$6:$J3863,TRUE()))</f>
        <v/>
      </c>
      <c r="L3863" s="5" t="str">
        <f aca="false">IF($K3863="","","R"&amp;$K3863)</f>
        <v/>
      </c>
    </row>
    <row r="3864" customFormat="false" ht="15" hidden="false" customHeight="true" outlineLevel="0" collapsed="false">
      <c r="J3864" s="14" t="b">
        <f aca="false">IF(중복검사!$A3862="",FALSE(),중복검사!$H3862="중복")</f>
        <v>0</v>
      </c>
      <c r="K3864" s="5" t="str">
        <f aca="false">IF($J3864=FALSE(),"",COUNTIF($J$6:$J3864,TRUE()))</f>
        <v/>
      </c>
      <c r="L3864" s="5" t="str">
        <f aca="false">IF($K3864="","","R"&amp;$K3864)</f>
        <v/>
      </c>
    </row>
    <row r="3865" customFormat="false" ht="15" hidden="false" customHeight="true" outlineLevel="0" collapsed="false">
      <c r="J3865" s="14" t="b">
        <f aca="false">IF(중복검사!$A3863="",FALSE(),중복검사!$H3863="중복")</f>
        <v>0</v>
      </c>
      <c r="K3865" s="5" t="str">
        <f aca="false">IF($J3865=FALSE(),"",COUNTIF($J$6:$J3865,TRUE()))</f>
        <v/>
      </c>
      <c r="L3865" s="5" t="str">
        <f aca="false">IF($K3865="","","R"&amp;$K3865)</f>
        <v/>
      </c>
    </row>
    <row r="3866" customFormat="false" ht="15" hidden="false" customHeight="true" outlineLevel="0" collapsed="false">
      <c r="J3866" s="14" t="b">
        <f aca="false">IF(중복검사!$A3864="",FALSE(),중복검사!$H3864="중복")</f>
        <v>0</v>
      </c>
      <c r="K3866" s="5" t="str">
        <f aca="false">IF($J3866=FALSE(),"",COUNTIF($J$6:$J3866,TRUE()))</f>
        <v/>
      </c>
      <c r="L3866" s="5" t="str">
        <f aca="false">IF($K3866="","","R"&amp;$K3866)</f>
        <v/>
      </c>
    </row>
    <row r="3867" customFormat="false" ht="15" hidden="false" customHeight="true" outlineLevel="0" collapsed="false">
      <c r="J3867" s="14" t="b">
        <f aca="false">IF(중복검사!$A3865="",FALSE(),중복검사!$H3865="중복")</f>
        <v>0</v>
      </c>
      <c r="K3867" s="5" t="str">
        <f aca="false">IF($J3867=FALSE(),"",COUNTIF($J$6:$J3867,TRUE()))</f>
        <v/>
      </c>
      <c r="L3867" s="5" t="str">
        <f aca="false">IF($K3867="","","R"&amp;$K3867)</f>
        <v/>
      </c>
    </row>
    <row r="3868" customFormat="false" ht="15" hidden="false" customHeight="true" outlineLevel="0" collapsed="false">
      <c r="J3868" s="14" t="b">
        <f aca="false">IF(중복검사!$A3866="",FALSE(),중복검사!$H3866="중복")</f>
        <v>0</v>
      </c>
      <c r="K3868" s="5" t="str">
        <f aca="false">IF($J3868=FALSE(),"",COUNTIF($J$6:$J3868,TRUE()))</f>
        <v/>
      </c>
      <c r="L3868" s="5" t="str">
        <f aca="false">IF($K3868="","","R"&amp;$K3868)</f>
        <v/>
      </c>
    </row>
    <row r="3869" customFormat="false" ht="15" hidden="false" customHeight="true" outlineLevel="0" collapsed="false">
      <c r="J3869" s="14" t="b">
        <f aca="false">IF(중복검사!$A3867="",FALSE(),중복검사!$H3867="중복")</f>
        <v>0</v>
      </c>
      <c r="K3869" s="5" t="str">
        <f aca="false">IF($J3869=FALSE(),"",COUNTIF($J$6:$J3869,TRUE()))</f>
        <v/>
      </c>
      <c r="L3869" s="5" t="str">
        <f aca="false">IF($K3869="","","R"&amp;$K3869)</f>
        <v/>
      </c>
    </row>
    <row r="3870" customFormat="false" ht="15" hidden="false" customHeight="true" outlineLevel="0" collapsed="false">
      <c r="J3870" s="14" t="b">
        <f aca="false">IF(중복검사!$A3868="",FALSE(),중복검사!$H3868="중복")</f>
        <v>0</v>
      </c>
      <c r="K3870" s="5" t="str">
        <f aca="false">IF($J3870=FALSE(),"",COUNTIF($J$6:$J3870,TRUE()))</f>
        <v/>
      </c>
      <c r="L3870" s="5" t="str">
        <f aca="false">IF($K3870="","","R"&amp;$K3870)</f>
        <v/>
      </c>
    </row>
    <row r="3871" customFormat="false" ht="15" hidden="false" customHeight="true" outlineLevel="0" collapsed="false">
      <c r="J3871" s="14" t="b">
        <f aca="false">IF(중복검사!$A3869="",FALSE(),중복검사!$H3869="중복")</f>
        <v>0</v>
      </c>
      <c r="K3871" s="5" t="str">
        <f aca="false">IF($J3871=FALSE(),"",COUNTIF($J$6:$J3871,TRUE()))</f>
        <v/>
      </c>
      <c r="L3871" s="5" t="str">
        <f aca="false">IF($K3871="","","R"&amp;$K3871)</f>
        <v/>
      </c>
    </row>
    <row r="3872" customFormat="false" ht="15" hidden="false" customHeight="true" outlineLevel="0" collapsed="false">
      <c r="J3872" s="14" t="b">
        <f aca="false">IF(중복검사!$A3870="",FALSE(),중복검사!$H3870="중복")</f>
        <v>0</v>
      </c>
      <c r="K3872" s="5" t="str">
        <f aca="false">IF($J3872=FALSE(),"",COUNTIF($J$6:$J3872,TRUE()))</f>
        <v/>
      </c>
      <c r="L3872" s="5" t="str">
        <f aca="false">IF($K3872="","","R"&amp;$K3872)</f>
        <v/>
      </c>
    </row>
    <row r="3873" customFormat="false" ht="15" hidden="false" customHeight="true" outlineLevel="0" collapsed="false">
      <c r="J3873" s="14" t="b">
        <f aca="false">IF(중복검사!$A3871="",FALSE(),중복검사!$H3871="중복")</f>
        <v>0</v>
      </c>
      <c r="K3873" s="5" t="str">
        <f aca="false">IF($J3873=FALSE(),"",COUNTIF($J$6:$J3873,TRUE()))</f>
        <v/>
      </c>
      <c r="L3873" s="5" t="str">
        <f aca="false">IF($K3873="","","R"&amp;$K3873)</f>
        <v/>
      </c>
    </row>
    <row r="3874" customFormat="false" ht="15" hidden="false" customHeight="true" outlineLevel="0" collapsed="false">
      <c r="J3874" s="14" t="b">
        <f aca="false">IF(중복검사!$A3872="",FALSE(),중복검사!$H3872="중복")</f>
        <v>0</v>
      </c>
      <c r="K3874" s="5" t="str">
        <f aca="false">IF($J3874=FALSE(),"",COUNTIF($J$6:$J3874,TRUE()))</f>
        <v/>
      </c>
      <c r="L3874" s="5" t="str">
        <f aca="false">IF($K3874="","","R"&amp;$K3874)</f>
        <v/>
      </c>
    </row>
    <row r="3875" customFormat="false" ht="15" hidden="false" customHeight="true" outlineLevel="0" collapsed="false">
      <c r="J3875" s="14" t="b">
        <f aca="false">IF(중복검사!$A3873="",FALSE(),중복검사!$H3873="중복")</f>
        <v>0</v>
      </c>
      <c r="K3875" s="5" t="str">
        <f aca="false">IF($J3875=FALSE(),"",COUNTIF($J$6:$J3875,TRUE()))</f>
        <v/>
      </c>
      <c r="L3875" s="5" t="str">
        <f aca="false">IF($K3875="","","R"&amp;$K3875)</f>
        <v/>
      </c>
    </row>
    <row r="3876" customFormat="false" ht="15" hidden="false" customHeight="true" outlineLevel="0" collapsed="false">
      <c r="J3876" s="14" t="b">
        <f aca="false">IF(중복검사!$A3874="",FALSE(),중복검사!$H3874="중복")</f>
        <v>0</v>
      </c>
      <c r="K3876" s="5" t="str">
        <f aca="false">IF($J3876=FALSE(),"",COUNTIF($J$6:$J3876,TRUE()))</f>
        <v/>
      </c>
      <c r="L3876" s="5" t="str">
        <f aca="false">IF($K3876="","","R"&amp;$K3876)</f>
        <v/>
      </c>
    </row>
    <row r="3877" customFormat="false" ht="15" hidden="false" customHeight="true" outlineLevel="0" collapsed="false">
      <c r="J3877" s="14" t="b">
        <f aca="false">IF(중복검사!$A3875="",FALSE(),중복검사!$H3875="중복")</f>
        <v>0</v>
      </c>
      <c r="K3877" s="5" t="str">
        <f aca="false">IF($J3877=FALSE(),"",COUNTIF($J$6:$J3877,TRUE()))</f>
        <v/>
      </c>
      <c r="L3877" s="5" t="str">
        <f aca="false">IF($K3877="","","R"&amp;$K3877)</f>
        <v/>
      </c>
    </row>
    <row r="3878" customFormat="false" ht="15" hidden="false" customHeight="true" outlineLevel="0" collapsed="false">
      <c r="J3878" s="14" t="b">
        <f aca="false">IF(중복검사!$A3876="",FALSE(),중복검사!$H3876="중복")</f>
        <v>0</v>
      </c>
      <c r="K3878" s="5" t="str">
        <f aca="false">IF($J3878=FALSE(),"",COUNTIF($J$6:$J3878,TRUE()))</f>
        <v/>
      </c>
      <c r="L3878" s="5" t="str">
        <f aca="false">IF($K3878="","","R"&amp;$K3878)</f>
        <v/>
      </c>
    </row>
    <row r="3879" customFormat="false" ht="15" hidden="false" customHeight="true" outlineLevel="0" collapsed="false">
      <c r="J3879" s="14" t="b">
        <f aca="false">IF(중복검사!$A3877="",FALSE(),중복검사!$H3877="중복")</f>
        <v>0</v>
      </c>
      <c r="K3879" s="5" t="str">
        <f aca="false">IF($J3879=FALSE(),"",COUNTIF($J$6:$J3879,TRUE()))</f>
        <v/>
      </c>
      <c r="L3879" s="5" t="str">
        <f aca="false">IF($K3879="","","R"&amp;$K3879)</f>
        <v/>
      </c>
    </row>
    <row r="3880" customFormat="false" ht="15" hidden="false" customHeight="true" outlineLevel="0" collapsed="false">
      <c r="J3880" s="14" t="b">
        <f aca="false">IF(중복검사!$A3878="",FALSE(),중복검사!$H3878="중복")</f>
        <v>0</v>
      </c>
      <c r="K3880" s="5" t="str">
        <f aca="false">IF($J3880=FALSE(),"",COUNTIF($J$6:$J3880,TRUE()))</f>
        <v/>
      </c>
      <c r="L3880" s="5" t="str">
        <f aca="false">IF($K3880="","","R"&amp;$K3880)</f>
        <v/>
      </c>
    </row>
    <row r="3881" customFormat="false" ht="15" hidden="false" customHeight="true" outlineLevel="0" collapsed="false">
      <c r="J3881" s="14" t="b">
        <f aca="false">IF(중복검사!$A3879="",FALSE(),중복검사!$H3879="중복")</f>
        <v>0</v>
      </c>
      <c r="K3881" s="5" t="str">
        <f aca="false">IF($J3881=FALSE(),"",COUNTIF($J$6:$J3881,TRUE()))</f>
        <v/>
      </c>
      <c r="L3881" s="5" t="str">
        <f aca="false">IF($K3881="","","R"&amp;$K3881)</f>
        <v/>
      </c>
    </row>
    <row r="3882" customFormat="false" ht="15" hidden="false" customHeight="true" outlineLevel="0" collapsed="false">
      <c r="J3882" s="14" t="b">
        <f aca="false">IF(중복검사!$A3880="",FALSE(),중복검사!$H3880="중복")</f>
        <v>0</v>
      </c>
      <c r="K3882" s="5" t="str">
        <f aca="false">IF($J3882=FALSE(),"",COUNTIF($J$6:$J3882,TRUE()))</f>
        <v/>
      </c>
      <c r="L3882" s="5" t="str">
        <f aca="false">IF($K3882="","","R"&amp;$K3882)</f>
        <v/>
      </c>
    </row>
    <row r="3883" customFormat="false" ht="15" hidden="false" customHeight="true" outlineLevel="0" collapsed="false">
      <c r="J3883" s="14" t="b">
        <f aca="false">IF(중복검사!$A3881="",FALSE(),중복검사!$H3881="중복")</f>
        <v>0</v>
      </c>
      <c r="K3883" s="5" t="str">
        <f aca="false">IF($J3883=FALSE(),"",COUNTIF($J$6:$J3883,TRUE()))</f>
        <v/>
      </c>
      <c r="L3883" s="5" t="str">
        <f aca="false">IF($K3883="","","R"&amp;$K3883)</f>
        <v/>
      </c>
    </row>
    <row r="3884" customFormat="false" ht="15" hidden="false" customHeight="true" outlineLevel="0" collapsed="false">
      <c r="J3884" s="14" t="b">
        <f aca="false">IF(중복검사!$A3882="",FALSE(),중복검사!$H3882="중복")</f>
        <v>0</v>
      </c>
      <c r="K3884" s="5" t="str">
        <f aca="false">IF($J3884=FALSE(),"",COUNTIF($J$6:$J3884,TRUE()))</f>
        <v/>
      </c>
      <c r="L3884" s="5" t="str">
        <f aca="false">IF($K3884="","","R"&amp;$K3884)</f>
        <v/>
      </c>
    </row>
    <row r="3885" customFormat="false" ht="15" hidden="false" customHeight="true" outlineLevel="0" collapsed="false">
      <c r="J3885" s="14" t="b">
        <f aca="false">IF(중복검사!$A3883="",FALSE(),중복검사!$H3883="중복")</f>
        <v>0</v>
      </c>
      <c r="K3885" s="5" t="str">
        <f aca="false">IF($J3885=FALSE(),"",COUNTIF($J$6:$J3885,TRUE()))</f>
        <v/>
      </c>
      <c r="L3885" s="5" t="str">
        <f aca="false">IF($K3885="","","R"&amp;$K3885)</f>
        <v/>
      </c>
    </row>
    <row r="3886" customFormat="false" ht="15" hidden="false" customHeight="true" outlineLevel="0" collapsed="false">
      <c r="J3886" s="14" t="b">
        <f aca="false">IF(중복검사!$A3884="",FALSE(),중복검사!$H3884="중복")</f>
        <v>0</v>
      </c>
      <c r="K3886" s="5" t="str">
        <f aca="false">IF($J3886=FALSE(),"",COUNTIF($J$6:$J3886,TRUE()))</f>
        <v/>
      </c>
      <c r="L3886" s="5" t="str">
        <f aca="false">IF($K3886="","","R"&amp;$K3886)</f>
        <v/>
      </c>
    </row>
    <row r="3887" customFormat="false" ht="15" hidden="false" customHeight="true" outlineLevel="0" collapsed="false">
      <c r="J3887" s="14" t="b">
        <f aca="false">IF(중복검사!$A3885="",FALSE(),중복검사!$H3885="중복")</f>
        <v>0</v>
      </c>
      <c r="K3887" s="5" t="str">
        <f aca="false">IF($J3887=FALSE(),"",COUNTIF($J$6:$J3887,TRUE()))</f>
        <v/>
      </c>
      <c r="L3887" s="5" t="str">
        <f aca="false">IF($K3887="","","R"&amp;$K3887)</f>
        <v/>
      </c>
    </row>
    <row r="3888" customFormat="false" ht="15" hidden="false" customHeight="true" outlineLevel="0" collapsed="false">
      <c r="J3888" s="14" t="b">
        <f aca="false">IF(중복검사!$A3886="",FALSE(),중복검사!$H3886="중복")</f>
        <v>0</v>
      </c>
      <c r="K3888" s="5" t="str">
        <f aca="false">IF($J3888=FALSE(),"",COUNTIF($J$6:$J3888,TRUE()))</f>
        <v/>
      </c>
      <c r="L3888" s="5" t="str">
        <f aca="false">IF($K3888="","","R"&amp;$K3888)</f>
        <v/>
      </c>
    </row>
    <row r="3889" customFormat="false" ht="15" hidden="false" customHeight="true" outlineLevel="0" collapsed="false">
      <c r="J3889" s="14" t="b">
        <f aca="false">IF(중복검사!$A3887="",FALSE(),중복검사!$H3887="중복")</f>
        <v>0</v>
      </c>
      <c r="K3889" s="5" t="str">
        <f aca="false">IF($J3889=FALSE(),"",COUNTIF($J$6:$J3889,TRUE()))</f>
        <v/>
      </c>
      <c r="L3889" s="5" t="str">
        <f aca="false">IF($K3889="","","R"&amp;$K3889)</f>
        <v/>
      </c>
    </row>
    <row r="3890" customFormat="false" ht="15" hidden="false" customHeight="true" outlineLevel="0" collapsed="false">
      <c r="J3890" s="14" t="b">
        <f aca="false">IF(중복검사!$A3888="",FALSE(),중복검사!$H3888="중복")</f>
        <v>0</v>
      </c>
      <c r="K3890" s="5" t="str">
        <f aca="false">IF($J3890=FALSE(),"",COUNTIF($J$6:$J3890,TRUE()))</f>
        <v/>
      </c>
      <c r="L3890" s="5" t="str">
        <f aca="false">IF($K3890="","","R"&amp;$K3890)</f>
        <v/>
      </c>
    </row>
    <row r="3891" customFormat="false" ht="15" hidden="false" customHeight="true" outlineLevel="0" collapsed="false">
      <c r="J3891" s="14" t="b">
        <f aca="false">IF(중복검사!$A3889="",FALSE(),중복검사!$H3889="중복")</f>
        <v>0</v>
      </c>
      <c r="K3891" s="5" t="str">
        <f aca="false">IF($J3891=FALSE(),"",COUNTIF($J$6:$J3891,TRUE()))</f>
        <v/>
      </c>
      <c r="L3891" s="5" t="str">
        <f aca="false">IF($K3891="","","R"&amp;$K3891)</f>
        <v/>
      </c>
    </row>
    <row r="3892" customFormat="false" ht="15" hidden="false" customHeight="true" outlineLevel="0" collapsed="false">
      <c r="J3892" s="14" t="b">
        <f aca="false">IF(중복검사!$A3890="",FALSE(),중복검사!$H3890="중복")</f>
        <v>0</v>
      </c>
      <c r="K3892" s="5" t="str">
        <f aca="false">IF($J3892=FALSE(),"",COUNTIF($J$6:$J3892,TRUE()))</f>
        <v/>
      </c>
      <c r="L3892" s="5" t="str">
        <f aca="false">IF($K3892="","","R"&amp;$K3892)</f>
        <v/>
      </c>
    </row>
    <row r="3893" customFormat="false" ht="15" hidden="false" customHeight="true" outlineLevel="0" collapsed="false">
      <c r="J3893" s="14" t="b">
        <f aca="false">IF(중복검사!$A3891="",FALSE(),중복검사!$H3891="중복")</f>
        <v>0</v>
      </c>
      <c r="K3893" s="5" t="str">
        <f aca="false">IF($J3893=FALSE(),"",COUNTIF($J$6:$J3893,TRUE()))</f>
        <v/>
      </c>
      <c r="L3893" s="5" t="str">
        <f aca="false">IF($K3893="","","R"&amp;$K3893)</f>
        <v/>
      </c>
    </row>
    <row r="3894" customFormat="false" ht="15" hidden="false" customHeight="true" outlineLevel="0" collapsed="false">
      <c r="J3894" s="14" t="b">
        <f aca="false">IF(중복검사!$A3892="",FALSE(),중복검사!$H3892="중복")</f>
        <v>0</v>
      </c>
      <c r="K3894" s="5" t="str">
        <f aca="false">IF($J3894=FALSE(),"",COUNTIF($J$6:$J3894,TRUE()))</f>
        <v/>
      </c>
      <c r="L3894" s="5" t="str">
        <f aca="false">IF($K3894="","","R"&amp;$K3894)</f>
        <v/>
      </c>
    </row>
    <row r="3895" customFormat="false" ht="15" hidden="false" customHeight="true" outlineLevel="0" collapsed="false">
      <c r="J3895" s="14" t="b">
        <f aca="false">IF(중복검사!$A3893="",FALSE(),중복검사!$H3893="중복")</f>
        <v>0</v>
      </c>
      <c r="K3895" s="5" t="str">
        <f aca="false">IF($J3895=FALSE(),"",COUNTIF($J$6:$J3895,TRUE()))</f>
        <v/>
      </c>
      <c r="L3895" s="5" t="str">
        <f aca="false">IF($K3895="","","R"&amp;$K3895)</f>
        <v/>
      </c>
    </row>
    <row r="3896" customFormat="false" ht="15" hidden="false" customHeight="true" outlineLevel="0" collapsed="false">
      <c r="J3896" s="14" t="b">
        <f aca="false">IF(중복검사!$A3894="",FALSE(),중복검사!$H3894="중복")</f>
        <v>0</v>
      </c>
      <c r="K3896" s="5" t="str">
        <f aca="false">IF($J3896=FALSE(),"",COUNTIF($J$6:$J3896,TRUE()))</f>
        <v/>
      </c>
      <c r="L3896" s="5" t="str">
        <f aca="false">IF($K3896="","","R"&amp;$K3896)</f>
        <v/>
      </c>
    </row>
    <row r="3897" customFormat="false" ht="15" hidden="false" customHeight="true" outlineLevel="0" collapsed="false">
      <c r="J3897" s="14" t="b">
        <f aca="false">IF(중복검사!$A3895="",FALSE(),중복검사!$H3895="중복")</f>
        <v>0</v>
      </c>
      <c r="K3897" s="5" t="str">
        <f aca="false">IF($J3897=FALSE(),"",COUNTIF($J$6:$J3897,TRUE()))</f>
        <v/>
      </c>
      <c r="L3897" s="5" t="str">
        <f aca="false">IF($K3897="","","R"&amp;$K3897)</f>
        <v/>
      </c>
    </row>
    <row r="3898" customFormat="false" ht="15" hidden="false" customHeight="true" outlineLevel="0" collapsed="false">
      <c r="J3898" s="14" t="b">
        <f aca="false">IF(중복검사!$A3896="",FALSE(),중복검사!$H3896="중복")</f>
        <v>0</v>
      </c>
      <c r="K3898" s="5" t="str">
        <f aca="false">IF($J3898=FALSE(),"",COUNTIF($J$6:$J3898,TRUE()))</f>
        <v/>
      </c>
      <c r="L3898" s="5" t="str">
        <f aca="false">IF($K3898="","","R"&amp;$K3898)</f>
        <v/>
      </c>
    </row>
    <row r="3899" customFormat="false" ht="15" hidden="false" customHeight="true" outlineLevel="0" collapsed="false">
      <c r="J3899" s="14" t="b">
        <f aca="false">IF(중복검사!$A3897="",FALSE(),중복검사!$H3897="중복")</f>
        <v>0</v>
      </c>
      <c r="K3899" s="5" t="str">
        <f aca="false">IF($J3899=FALSE(),"",COUNTIF($J$6:$J3899,TRUE()))</f>
        <v/>
      </c>
      <c r="L3899" s="5" t="str">
        <f aca="false">IF($K3899="","","R"&amp;$K3899)</f>
        <v/>
      </c>
    </row>
    <row r="3900" customFormat="false" ht="15" hidden="false" customHeight="true" outlineLevel="0" collapsed="false">
      <c r="J3900" s="14" t="b">
        <f aca="false">IF(중복검사!$A3898="",FALSE(),중복검사!$H3898="중복")</f>
        <v>0</v>
      </c>
      <c r="K3900" s="5" t="str">
        <f aca="false">IF($J3900=FALSE(),"",COUNTIF($J$6:$J3900,TRUE()))</f>
        <v/>
      </c>
      <c r="L3900" s="5" t="str">
        <f aca="false">IF($K3900="","","R"&amp;$K3900)</f>
        <v/>
      </c>
    </row>
    <row r="3901" customFormat="false" ht="15" hidden="false" customHeight="true" outlineLevel="0" collapsed="false">
      <c r="J3901" s="14" t="b">
        <f aca="false">IF(중복검사!$A3899="",FALSE(),중복검사!$H3899="중복")</f>
        <v>0</v>
      </c>
      <c r="K3901" s="5" t="str">
        <f aca="false">IF($J3901=FALSE(),"",COUNTIF($J$6:$J3901,TRUE()))</f>
        <v/>
      </c>
      <c r="L3901" s="5" t="str">
        <f aca="false">IF($K3901="","","R"&amp;$K3901)</f>
        <v/>
      </c>
    </row>
    <row r="3902" customFormat="false" ht="15" hidden="false" customHeight="true" outlineLevel="0" collapsed="false">
      <c r="J3902" s="14" t="b">
        <f aca="false">IF(중복검사!$A3900="",FALSE(),중복검사!$H3900="중복")</f>
        <v>0</v>
      </c>
      <c r="K3902" s="5" t="str">
        <f aca="false">IF($J3902=FALSE(),"",COUNTIF($J$6:$J3902,TRUE()))</f>
        <v/>
      </c>
      <c r="L3902" s="5" t="str">
        <f aca="false">IF($K3902="","","R"&amp;$K3902)</f>
        <v/>
      </c>
    </row>
    <row r="3903" customFormat="false" ht="15" hidden="false" customHeight="true" outlineLevel="0" collapsed="false">
      <c r="J3903" s="14" t="b">
        <f aca="false">IF(중복검사!$A3901="",FALSE(),중복검사!$H3901="중복")</f>
        <v>0</v>
      </c>
      <c r="K3903" s="5" t="str">
        <f aca="false">IF($J3903=FALSE(),"",COUNTIF($J$6:$J3903,TRUE()))</f>
        <v/>
      </c>
      <c r="L3903" s="5" t="str">
        <f aca="false">IF($K3903="","","R"&amp;$K3903)</f>
        <v/>
      </c>
    </row>
    <row r="3904" customFormat="false" ht="15" hidden="false" customHeight="true" outlineLevel="0" collapsed="false">
      <c r="J3904" s="14" t="b">
        <f aca="false">IF(중복검사!$A3902="",FALSE(),중복검사!$H3902="중복")</f>
        <v>0</v>
      </c>
      <c r="K3904" s="5" t="str">
        <f aca="false">IF($J3904=FALSE(),"",COUNTIF($J$6:$J3904,TRUE()))</f>
        <v/>
      </c>
      <c r="L3904" s="5" t="str">
        <f aca="false">IF($K3904="","","R"&amp;$K3904)</f>
        <v/>
      </c>
    </row>
    <row r="3905" customFormat="false" ht="15" hidden="false" customHeight="true" outlineLevel="0" collapsed="false">
      <c r="J3905" s="14" t="b">
        <f aca="false">IF(중복검사!$A3903="",FALSE(),중복검사!$H3903="중복")</f>
        <v>0</v>
      </c>
      <c r="K3905" s="5" t="str">
        <f aca="false">IF($J3905=FALSE(),"",COUNTIF($J$6:$J3905,TRUE()))</f>
        <v/>
      </c>
      <c r="L3905" s="5" t="str">
        <f aca="false">IF($K3905="","","R"&amp;$K3905)</f>
        <v/>
      </c>
    </row>
    <row r="3906" customFormat="false" ht="15" hidden="false" customHeight="true" outlineLevel="0" collapsed="false">
      <c r="J3906" s="14" t="b">
        <f aca="false">IF(중복검사!$A3904="",FALSE(),중복검사!$H3904="중복")</f>
        <v>0</v>
      </c>
      <c r="K3906" s="5" t="str">
        <f aca="false">IF($J3906=FALSE(),"",COUNTIF($J$6:$J3906,TRUE()))</f>
        <v/>
      </c>
      <c r="L3906" s="5" t="str">
        <f aca="false">IF($K3906="","","R"&amp;$K3906)</f>
        <v/>
      </c>
    </row>
    <row r="3907" customFormat="false" ht="15" hidden="false" customHeight="true" outlineLevel="0" collapsed="false">
      <c r="J3907" s="14" t="b">
        <f aca="false">IF(중복검사!$A3905="",FALSE(),중복검사!$H3905="중복")</f>
        <v>0</v>
      </c>
      <c r="K3907" s="5" t="str">
        <f aca="false">IF($J3907=FALSE(),"",COUNTIF($J$6:$J3907,TRUE()))</f>
        <v/>
      </c>
      <c r="L3907" s="5" t="str">
        <f aca="false">IF($K3907="","","R"&amp;$K3907)</f>
        <v/>
      </c>
    </row>
    <row r="3908" customFormat="false" ht="15" hidden="false" customHeight="true" outlineLevel="0" collapsed="false">
      <c r="J3908" s="14" t="b">
        <f aca="false">IF(중복검사!$A3906="",FALSE(),중복검사!$H3906="중복")</f>
        <v>0</v>
      </c>
      <c r="K3908" s="5" t="str">
        <f aca="false">IF($J3908=FALSE(),"",COUNTIF($J$6:$J3908,TRUE()))</f>
        <v/>
      </c>
      <c r="L3908" s="5" t="str">
        <f aca="false">IF($K3908="","","R"&amp;$K3908)</f>
        <v/>
      </c>
    </row>
    <row r="3909" customFormat="false" ht="15" hidden="false" customHeight="true" outlineLevel="0" collapsed="false">
      <c r="J3909" s="14" t="b">
        <f aca="false">IF(중복검사!$A3907="",FALSE(),중복검사!$H3907="중복")</f>
        <v>0</v>
      </c>
      <c r="K3909" s="5" t="str">
        <f aca="false">IF($J3909=FALSE(),"",COUNTIF($J$6:$J3909,TRUE()))</f>
        <v/>
      </c>
      <c r="L3909" s="5" t="str">
        <f aca="false">IF($K3909="","","R"&amp;$K3909)</f>
        <v/>
      </c>
    </row>
    <row r="3910" customFormat="false" ht="15" hidden="false" customHeight="true" outlineLevel="0" collapsed="false">
      <c r="J3910" s="14" t="b">
        <f aca="false">IF(중복검사!$A3908="",FALSE(),중복검사!$H3908="중복")</f>
        <v>0</v>
      </c>
      <c r="K3910" s="5" t="str">
        <f aca="false">IF($J3910=FALSE(),"",COUNTIF($J$6:$J3910,TRUE()))</f>
        <v/>
      </c>
      <c r="L3910" s="5" t="str">
        <f aca="false">IF($K3910="","","R"&amp;$K3910)</f>
        <v/>
      </c>
    </row>
    <row r="3911" customFormat="false" ht="15" hidden="false" customHeight="true" outlineLevel="0" collapsed="false">
      <c r="J3911" s="14" t="b">
        <f aca="false">IF(중복검사!$A3909="",FALSE(),중복검사!$H3909="중복")</f>
        <v>0</v>
      </c>
      <c r="K3911" s="5" t="str">
        <f aca="false">IF($J3911=FALSE(),"",COUNTIF($J$6:$J3911,TRUE()))</f>
        <v/>
      </c>
      <c r="L3911" s="5" t="str">
        <f aca="false">IF($K3911="","","R"&amp;$K3911)</f>
        <v/>
      </c>
    </row>
    <row r="3912" customFormat="false" ht="15" hidden="false" customHeight="true" outlineLevel="0" collapsed="false">
      <c r="J3912" s="14" t="b">
        <f aca="false">IF(중복검사!$A3910="",FALSE(),중복검사!$H3910="중복")</f>
        <v>0</v>
      </c>
      <c r="K3912" s="5" t="str">
        <f aca="false">IF($J3912=FALSE(),"",COUNTIF($J$6:$J3912,TRUE()))</f>
        <v/>
      </c>
      <c r="L3912" s="5" t="str">
        <f aca="false">IF($K3912="","","R"&amp;$K3912)</f>
        <v/>
      </c>
    </row>
    <row r="3913" customFormat="false" ht="15" hidden="false" customHeight="true" outlineLevel="0" collapsed="false">
      <c r="J3913" s="14" t="b">
        <f aca="false">IF(중복검사!$A3911="",FALSE(),중복검사!$H3911="중복")</f>
        <v>0</v>
      </c>
      <c r="K3913" s="5" t="str">
        <f aca="false">IF($J3913=FALSE(),"",COUNTIF($J$6:$J3913,TRUE()))</f>
        <v/>
      </c>
      <c r="L3913" s="5" t="str">
        <f aca="false">IF($K3913="","","R"&amp;$K3913)</f>
        <v/>
      </c>
    </row>
    <row r="3914" customFormat="false" ht="15" hidden="false" customHeight="true" outlineLevel="0" collapsed="false">
      <c r="J3914" s="14" t="b">
        <f aca="false">IF(중복검사!$A3912="",FALSE(),중복검사!$H3912="중복")</f>
        <v>0</v>
      </c>
      <c r="K3914" s="5" t="str">
        <f aca="false">IF($J3914=FALSE(),"",COUNTIF($J$6:$J3914,TRUE()))</f>
        <v/>
      </c>
      <c r="L3914" s="5" t="str">
        <f aca="false">IF($K3914="","","R"&amp;$K3914)</f>
        <v/>
      </c>
    </row>
    <row r="3915" customFormat="false" ht="15" hidden="false" customHeight="true" outlineLevel="0" collapsed="false">
      <c r="J3915" s="14" t="b">
        <f aca="false">IF(중복검사!$A3913="",FALSE(),중복검사!$H3913="중복")</f>
        <v>0</v>
      </c>
      <c r="K3915" s="5" t="str">
        <f aca="false">IF($J3915=FALSE(),"",COUNTIF($J$6:$J3915,TRUE()))</f>
        <v/>
      </c>
      <c r="L3915" s="5" t="str">
        <f aca="false">IF($K3915="","","R"&amp;$K3915)</f>
        <v/>
      </c>
    </row>
    <row r="3916" customFormat="false" ht="15" hidden="false" customHeight="true" outlineLevel="0" collapsed="false">
      <c r="J3916" s="14" t="b">
        <f aca="false">IF(중복검사!$A3914="",FALSE(),중복검사!$H3914="중복")</f>
        <v>0</v>
      </c>
      <c r="K3916" s="5" t="str">
        <f aca="false">IF($J3916=FALSE(),"",COUNTIF($J$6:$J3916,TRUE()))</f>
        <v/>
      </c>
      <c r="L3916" s="5" t="str">
        <f aca="false">IF($K3916="","","R"&amp;$K3916)</f>
        <v/>
      </c>
    </row>
    <row r="3917" customFormat="false" ht="15" hidden="false" customHeight="true" outlineLevel="0" collapsed="false">
      <c r="J3917" s="14" t="b">
        <f aca="false">IF(중복검사!$A3915="",FALSE(),중복검사!$H3915="중복")</f>
        <v>0</v>
      </c>
      <c r="K3917" s="5" t="str">
        <f aca="false">IF($J3917=FALSE(),"",COUNTIF($J$6:$J3917,TRUE()))</f>
        <v/>
      </c>
      <c r="L3917" s="5" t="str">
        <f aca="false">IF($K3917="","","R"&amp;$K3917)</f>
        <v/>
      </c>
    </row>
    <row r="3918" customFormat="false" ht="15" hidden="false" customHeight="true" outlineLevel="0" collapsed="false">
      <c r="J3918" s="14" t="b">
        <f aca="false">IF(중복검사!$A3916="",FALSE(),중복검사!$H3916="중복")</f>
        <v>0</v>
      </c>
      <c r="K3918" s="5" t="str">
        <f aca="false">IF($J3918=FALSE(),"",COUNTIF($J$6:$J3918,TRUE()))</f>
        <v/>
      </c>
      <c r="L3918" s="5" t="str">
        <f aca="false">IF($K3918="","","R"&amp;$K3918)</f>
        <v/>
      </c>
    </row>
    <row r="3919" customFormat="false" ht="15" hidden="false" customHeight="true" outlineLevel="0" collapsed="false">
      <c r="J3919" s="14" t="b">
        <f aca="false">IF(중복검사!$A3917="",FALSE(),중복검사!$H3917="중복")</f>
        <v>0</v>
      </c>
      <c r="K3919" s="5" t="str">
        <f aca="false">IF($J3919=FALSE(),"",COUNTIF($J$6:$J3919,TRUE()))</f>
        <v/>
      </c>
      <c r="L3919" s="5" t="str">
        <f aca="false">IF($K3919="","","R"&amp;$K3919)</f>
        <v/>
      </c>
    </row>
    <row r="3920" customFormat="false" ht="15" hidden="false" customHeight="true" outlineLevel="0" collapsed="false">
      <c r="J3920" s="14" t="b">
        <f aca="false">IF(중복검사!$A3918="",FALSE(),중복검사!$H3918="중복")</f>
        <v>0</v>
      </c>
      <c r="K3920" s="5" t="str">
        <f aca="false">IF($J3920=FALSE(),"",COUNTIF($J$6:$J3920,TRUE()))</f>
        <v/>
      </c>
      <c r="L3920" s="5" t="str">
        <f aca="false">IF($K3920="","","R"&amp;$K3920)</f>
        <v/>
      </c>
    </row>
    <row r="3921" customFormat="false" ht="15" hidden="false" customHeight="true" outlineLevel="0" collapsed="false">
      <c r="J3921" s="14" t="b">
        <f aca="false">IF(중복검사!$A3919="",FALSE(),중복검사!$H3919="중복")</f>
        <v>0</v>
      </c>
      <c r="K3921" s="5" t="str">
        <f aca="false">IF($J3921=FALSE(),"",COUNTIF($J$6:$J3921,TRUE()))</f>
        <v/>
      </c>
      <c r="L3921" s="5" t="str">
        <f aca="false">IF($K3921="","","R"&amp;$K3921)</f>
        <v/>
      </c>
    </row>
    <row r="3922" customFormat="false" ht="15" hidden="false" customHeight="true" outlineLevel="0" collapsed="false">
      <c r="J3922" s="14" t="b">
        <f aca="false">IF(중복검사!$A3920="",FALSE(),중복검사!$H3920="중복")</f>
        <v>0</v>
      </c>
      <c r="K3922" s="5" t="str">
        <f aca="false">IF($J3922=FALSE(),"",COUNTIF($J$6:$J3922,TRUE()))</f>
        <v/>
      </c>
      <c r="L3922" s="5" t="str">
        <f aca="false">IF($K3922="","","R"&amp;$K3922)</f>
        <v/>
      </c>
    </row>
    <row r="3923" customFormat="false" ht="15" hidden="false" customHeight="true" outlineLevel="0" collapsed="false">
      <c r="J3923" s="14" t="b">
        <f aca="false">IF(중복검사!$A3921="",FALSE(),중복검사!$H3921="중복")</f>
        <v>0</v>
      </c>
      <c r="K3923" s="5" t="str">
        <f aca="false">IF($J3923=FALSE(),"",COUNTIF($J$6:$J3923,TRUE()))</f>
        <v/>
      </c>
      <c r="L3923" s="5" t="str">
        <f aca="false">IF($K3923="","","R"&amp;$K3923)</f>
        <v/>
      </c>
    </row>
    <row r="3924" customFormat="false" ht="15" hidden="false" customHeight="true" outlineLevel="0" collapsed="false">
      <c r="J3924" s="14" t="b">
        <f aca="false">IF(중복검사!$A3922="",FALSE(),중복검사!$H3922="중복")</f>
        <v>0</v>
      </c>
      <c r="K3924" s="5" t="str">
        <f aca="false">IF($J3924=FALSE(),"",COUNTIF($J$6:$J3924,TRUE()))</f>
        <v/>
      </c>
      <c r="L3924" s="5" t="str">
        <f aca="false">IF($K3924="","","R"&amp;$K3924)</f>
        <v/>
      </c>
    </row>
    <row r="3925" customFormat="false" ht="15" hidden="false" customHeight="true" outlineLevel="0" collapsed="false">
      <c r="J3925" s="14" t="b">
        <f aca="false">IF(중복검사!$A3923="",FALSE(),중복검사!$H3923="중복")</f>
        <v>0</v>
      </c>
      <c r="K3925" s="5" t="str">
        <f aca="false">IF($J3925=FALSE(),"",COUNTIF($J$6:$J3925,TRUE()))</f>
        <v/>
      </c>
      <c r="L3925" s="5" t="str">
        <f aca="false">IF($K3925="","","R"&amp;$K3925)</f>
        <v/>
      </c>
    </row>
    <row r="3926" customFormat="false" ht="15" hidden="false" customHeight="true" outlineLevel="0" collapsed="false">
      <c r="J3926" s="14" t="b">
        <f aca="false">IF(중복검사!$A3924="",FALSE(),중복검사!$H3924="중복")</f>
        <v>0</v>
      </c>
      <c r="K3926" s="5" t="str">
        <f aca="false">IF($J3926=FALSE(),"",COUNTIF($J$6:$J3926,TRUE()))</f>
        <v/>
      </c>
      <c r="L3926" s="5" t="str">
        <f aca="false">IF($K3926="","","R"&amp;$K3926)</f>
        <v/>
      </c>
    </row>
    <row r="3927" customFormat="false" ht="15" hidden="false" customHeight="true" outlineLevel="0" collapsed="false">
      <c r="J3927" s="14" t="b">
        <f aca="false">IF(중복검사!$A3925="",FALSE(),중복검사!$H3925="중복")</f>
        <v>0</v>
      </c>
      <c r="K3927" s="5" t="str">
        <f aca="false">IF($J3927=FALSE(),"",COUNTIF($J$6:$J3927,TRUE()))</f>
        <v/>
      </c>
      <c r="L3927" s="5" t="str">
        <f aca="false">IF($K3927="","","R"&amp;$K3927)</f>
        <v/>
      </c>
    </row>
    <row r="3928" customFormat="false" ht="15" hidden="false" customHeight="true" outlineLevel="0" collapsed="false">
      <c r="J3928" s="14" t="b">
        <f aca="false">IF(중복검사!$A3926="",FALSE(),중복검사!$H3926="중복")</f>
        <v>0</v>
      </c>
      <c r="K3928" s="5" t="str">
        <f aca="false">IF($J3928=FALSE(),"",COUNTIF($J$6:$J3928,TRUE()))</f>
        <v/>
      </c>
      <c r="L3928" s="5" t="str">
        <f aca="false">IF($K3928="","","R"&amp;$K3928)</f>
        <v/>
      </c>
    </row>
    <row r="3929" customFormat="false" ht="15" hidden="false" customHeight="true" outlineLevel="0" collapsed="false">
      <c r="J3929" s="14" t="b">
        <f aca="false">IF(중복검사!$A3927="",FALSE(),중복검사!$H3927="중복")</f>
        <v>0</v>
      </c>
      <c r="K3929" s="5" t="str">
        <f aca="false">IF($J3929=FALSE(),"",COUNTIF($J$6:$J3929,TRUE()))</f>
        <v/>
      </c>
      <c r="L3929" s="5" t="str">
        <f aca="false">IF($K3929="","","R"&amp;$K3929)</f>
        <v/>
      </c>
    </row>
    <row r="3930" customFormat="false" ht="15" hidden="false" customHeight="true" outlineLevel="0" collapsed="false">
      <c r="J3930" s="14" t="b">
        <f aca="false">IF(중복검사!$A3928="",FALSE(),중복검사!$H3928="중복")</f>
        <v>0</v>
      </c>
      <c r="K3930" s="5" t="str">
        <f aca="false">IF($J3930=FALSE(),"",COUNTIF($J$6:$J3930,TRUE()))</f>
        <v/>
      </c>
      <c r="L3930" s="5" t="str">
        <f aca="false">IF($K3930="","","R"&amp;$K3930)</f>
        <v/>
      </c>
    </row>
    <row r="3931" customFormat="false" ht="15" hidden="false" customHeight="true" outlineLevel="0" collapsed="false">
      <c r="J3931" s="14" t="b">
        <f aca="false">IF(중복검사!$A3929="",FALSE(),중복검사!$H3929="중복")</f>
        <v>0</v>
      </c>
      <c r="K3931" s="5" t="str">
        <f aca="false">IF($J3931=FALSE(),"",COUNTIF($J$6:$J3931,TRUE()))</f>
        <v/>
      </c>
      <c r="L3931" s="5" t="str">
        <f aca="false">IF($K3931="","","R"&amp;$K3931)</f>
        <v/>
      </c>
    </row>
    <row r="3932" customFormat="false" ht="15" hidden="false" customHeight="true" outlineLevel="0" collapsed="false">
      <c r="J3932" s="14" t="b">
        <f aca="false">IF(중복검사!$A3930="",FALSE(),중복검사!$H3930="중복")</f>
        <v>0</v>
      </c>
      <c r="K3932" s="5" t="str">
        <f aca="false">IF($J3932=FALSE(),"",COUNTIF($J$6:$J3932,TRUE()))</f>
        <v/>
      </c>
      <c r="L3932" s="5" t="str">
        <f aca="false">IF($K3932="","","R"&amp;$K3932)</f>
        <v/>
      </c>
    </row>
    <row r="3933" customFormat="false" ht="15" hidden="false" customHeight="true" outlineLevel="0" collapsed="false">
      <c r="J3933" s="14" t="b">
        <f aca="false">IF(중복검사!$A3931="",FALSE(),중복검사!$H3931="중복")</f>
        <v>0</v>
      </c>
      <c r="K3933" s="5" t="str">
        <f aca="false">IF($J3933=FALSE(),"",COUNTIF($J$6:$J3933,TRUE()))</f>
        <v/>
      </c>
      <c r="L3933" s="5" t="str">
        <f aca="false">IF($K3933="","","R"&amp;$K3933)</f>
        <v/>
      </c>
    </row>
    <row r="3934" customFormat="false" ht="15" hidden="false" customHeight="true" outlineLevel="0" collapsed="false">
      <c r="J3934" s="14" t="b">
        <f aca="false">IF(중복검사!$A3932="",FALSE(),중복검사!$H3932="중복")</f>
        <v>0</v>
      </c>
      <c r="K3934" s="5" t="str">
        <f aca="false">IF($J3934=FALSE(),"",COUNTIF($J$6:$J3934,TRUE()))</f>
        <v/>
      </c>
      <c r="L3934" s="5" t="str">
        <f aca="false">IF($K3934="","","R"&amp;$K3934)</f>
        <v/>
      </c>
    </row>
    <row r="3935" customFormat="false" ht="15" hidden="false" customHeight="true" outlineLevel="0" collapsed="false">
      <c r="J3935" s="14" t="b">
        <f aca="false">IF(중복검사!$A3933="",FALSE(),중복검사!$H3933="중복")</f>
        <v>0</v>
      </c>
      <c r="K3935" s="5" t="str">
        <f aca="false">IF($J3935=FALSE(),"",COUNTIF($J$6:$J3935,TRUE()))</f>
        <v/>
      </c>
      <c r="L3935" s="5" t="str">
        <f aca="false">IF($K3935="","","R"&amp;$K3935)</f>
        <v/>
      </c>
    </row>
    <row r="3936" customFormat="false" ht="15" hidden="false" customHeight="true" outlineLevel="0" collapsed="false">
      <c r="J3936" s="14" t="b">
        <f aca="false">IF(중복검사!$A3934="",FALSE(),중복검사!$H3934="중복")</f>
        <v>0</v>
      </c>
      <c r="K3936" s="5" t="str">
        <f aca="false">IF($J3936=FALSE(),"",COUNTIF($J$6:$J3936,TRUE()))</f>
        <v/>
      </c>
      <c r="L3936" s="5" t="str">
        <f aca="false">IF($K3936="","","R"&amp;$K3936)</f>
        <v/>
      </c>
    </row>
    <row r="3937" customFormat="false" ht="15" hidden="false" customHeight="true" outlineLevel="0" collapsed="false">
      <c r="J3937" s="14" t="b">
        <f aca="false">IF(중복검사!$A3935="",FALSE(),중복검사!$H3935="중복")</f>
        <v>0</v>
      </c>
      <c r="K3937" s="5" t="str">
        <f aca="false">IF($J3937=FALSE(),"",COUNTIF($J$6:$J3937,TRUE()))</f>
        <v/>
      </c>
      <c r="L3937" s="5" t="str">
        <f aca="false">IF($K3937="","","R"&amp;$K3937)</f>
        <v/>
      </c>
    </row>
    <row r="3938" customFormat="false" ht="15" hidden="false" customHeight="true" outlineLevel="0" collapsed="false">
      <c r="J3938" s="14" t="b">
        <f aca="false">IF(중복검사!$A3936="",FALSE(),중복검사!$H3936="중복")</f>
        <v>0</v>
      </c>
      <c r="K3938" s="5" t="str">
        <f aca="false">IF($J3938=FALSE(),"",COUNTIF($J$6:$J3938,TRUE()))</f>
        <v/>
      </c>
      <c r="L3938" s="5" t="str">
        <f aca="false">IF($K3938="","","R"&amp;$K3938)</f>
        <v/>
      </c>
    </row>
    <row r="3939" customFormat="false" ht="15" hidden="false" customHeight="true" outlineLevel="0" collapsed="false">
      <c r="J3939" s="14" t="b">
        <f aca="false">IF(중복검사!$A3937="",FALSE(),중복검사!$H3937="중복")</f>
        <v>0</v>
      </c>
      <c r="K3939" s="5" t="str">
        <f aca="false">IF($J3939=FALSE(),"",COUNTIF($J$6:$J3939,TRUE()))</f>
        <v/>
      </c>
      <c r="L3939" s="5" t="str">
        <f aca="false">IF($K3939="","","R"&amp;$K3939)</f>
        <v/>
      </c>
    </row>
    <row r="3940" customFormat="false" ht="15" hidden="false" customHeight="true" outlineLevel="0" collapsed="false">
      <c r="J3940" s="14" t="b">
        <f aca="false">IF(중복검사!$A3938="",FALSE(),중복검사!$H3938="중복")</f>
        <v>0</v>
      </c>
      <c r="K3940" s="5" t="str">
        <f aca="false">IF($J3940=FALSE(),"",COUNTIF($J$6:$J3940,TRUE()))</f>
        <v/>
      </c>
      <c r="L3940" s="5" t="str">
        <f aca="false">IF($K3940="","","R"&amp;$K3940)</f>
        <v/>
      </c>
    </row>
    <row r="3941" customFormat="false" ht="15" hidden="false" customHeight="true" outlineLevel="0" collapsed="false">
      <c r="J3941" s="14" t="b">
        <f aca="false">IF(중복검사!$A3939="",FALSE(),중복검사!$H3939="중복")</f>
        <v>0</v>
      </c>
      <c r="K3941" s="5" t="str">
        <f aca="false">IF($J3941=FALSE(),"",COUNTIF($J$6:$J3941,TRUE()))</f>
        <v/>
      </c>
      <c r="L3941" s="5" t="str">
        <f aca="false">IF($K3941="","","R"&amp;$K3941)</f>
        <v/>
      </c>
    </row>
    <row r="3942" customFormat="false" ht="15" hidden="false" customHeight="true" outlineLevel="0" collapsed="false">
      <c r="J3942" s="14" t="b">
        <f aca="false">IF(중복검사!$A3940="",FALSE(),중복검사!$H3940="중복")</f>
        <v>0</v>
      </c>
      <c r="K3942" s="5" t="str">
        <f aca="false">IF($J3942=FALSE(),"",COUNTIF($J$6:$J3942,TRUE()))</f>
        <v/>
      </c>
      <c r="L3942" s="5" t="str">
        <f aca="false">IF($K3942="","","R"&amp;$K3942)</f>
        <v/>
      </c>
    </row>
    <row r="3943" customFormat="false" ht="15" hidden="false" customHeight="true" outlineLevel="0" collapsed="false">
      <c r="J3943" s="14" t="b">
        <f aca="false">IF(중복검사!$A3941="",FALSE(),중복검사!$H3941="중복")</f>
        <v>0</v>
      </c>
      <c r="K3943" s="5" t="str">
        <f aca="false">IF($J3943=FALSE(),"",COUNTIF($J$6:$J3943,TRUE()))</f>
        <v/>
      </c>
      <c r="L3943" s="5" t="str">
        <f aca="false">IF($K3943="","","R"&amp;$K3943)</f>
        <v/>
      </c>
    </row>
    <row r="3944" customFormat="false" ht="15" hidden="false" customHeight="true" outlineLevel="0" collapsed="false">
      <c r="J3944" s="14" t="b">
        <f aca="false">IF(중복검사!$A3942="",FALSE(),중복검사!$H3942="중복")</f>
        <v>0</v>
      </c>
      <c r="K3944" s="5" t="str">
        <f aca="false">IF($J3944=FALSE(),"",COUNTIF($J$6:$J3944,TRUE()))</f>
        <v/>
      </c>
      <c r="L3944" s="5" t="str">
        <f aca="false">IF($K3944="","","R"&amp;$K3944)</f>
        <v/>
      </c>
    </row>
    <row r="3945" customFormat="false" ht="15" hidden="false" customHeight="true" outlineLevel="0" collapsed="false">
      <c r="J3945" s="14" t="b">
        <f aca="false">IF(중복검사!$A3943="",FALSE(),중복검사!$H3943="중복")</f>
        <v>0</v>
      </c>
      <c r="K3945" s="5" t="str">
        <f aca="false">IF($J3945=FALSE(),"",COUNTIF($J$6:$J3945,TRUE()))</f>
        <v/>
      </c>
      <c r="L3945" s="5" t="str">
        <f aca="false">IF($K3945="","","R"&amp;$K3945)</f>
        <v/>
      </c>
    </row>
    <row r="3946" customFormat="false" ht="15" hidden="false" customHeight="true" outlineLevel="0" collapsed="false">
      <c r="J3946" s="14" t="b">
        <f aca="false">IF(중복검사!$A3944="",FALSE(),중복검사!$H3944="중복")</f>
        <v>0</v>
      </c>
      <c r="K3946" s="5" t="str">
        <f aca="false">IF($J3946=FALSE(),"",COUNTIF($J$6:$J3946,TRUE()))</f>
        <v/>
      </c>
      <c r="L3946" s="5" t="str">
        <f aca="false">IF($K3946="","","R"&amp;$K3946)</f>
        <v/>
      </c>
    </row>
    <row r="3947" customFormat="false" ht="15" hidden="false" customHeight="true" outlineLevel="0" collapsed="false">
      <c r="J3947" s="14" t="b">
        <f aca="false">IF(중복검사!$A3945="",FALSE(),중복검사!$H3945="중복")</f>
        <v>0</v>
      </c>
      <c r="K3947" s="5" t="str">
        <f aca="false">IF($J3947=FALSE(),"",COUNTIF($J$6:$J3947,TRUE()))</f>
        <v/>
      </c>
      <c r="L3947" s="5" t="str">
        <f aca="false">IF($K3947="","","R"&amp;$K3947)</f>
        <v/>
      </c>
    </row>
    <row r="3948" customFormat="false" ht="15" hidden="false" customHeight="true" outlineLevel="0" collapsed="false">
      <c r="J3948" s="14" t="b">
        <f aca="false">IF(중복검사!$A3946="",FALSE(),중복검사!$H3946="중복")</f>
        <v>0</v>
      </c>
      <c r="K3948" s="5" t="str">
        <f aca="false">IF($J3948=FALSE(),"",COUNTIF($J$6:$J3948,TRUE()))</f>
        <v/>
      </c>
      <c r="L3948" s="5" t="str">
        <f aca="false">IF($K3948="","","R"&amp;$K3948)</f>
        <v/>
      </c>
    </row>
    <row r="3949" customFormat="false" ht="15" hidden="false" customHeight="true" outlineLevel="0" collapsed="false">
      <c r="J3949" s="14" t="b">
        <f aca="false">IF(중복검사!$A3947="",FALSE(),중복검사!$H3947="중복")</f>
        <v>0</v>
      </c>
      <c r="K3949" s="5" t="str">
        <f aca="false">IF($J3949=FALSE(),"",COUNTIF($J$6:$J3949,TRUE()))</f>
        <v/>
      </c>
      <c r="L3949" s="5" t="str">
        <f aca="false">IF($K3949="","","R"&amp;$K3949)</f>
        <v/>
      </c>
    </row>
    <row r="3950" customFormat="false" ht="15" hidden="false" customHeight="true" outlineLevel="0" collapsed="false">
      <c r="J3950" s="14" t="b">
        <f aca="false">IF(중복검사!$A3948="",FALSE(),중복검사!$H3948="중복")</f>
        <v>0</v>
      </c>
      <c r="K3950" s="5" t="str">
        <f aca="false">IF($J3950=FALSE(),"",COUNTIF($J$6:$J3950,TRUE()))</f>
        <v/>
      </c>
      <c r="L3950" s="5" t="str">
        <f aca="false">IF($K3950="","","R"&amp;$K3950)</f>
        <v/>
      </c>
    </row>
    <row r="3951" customFormat="false" ht="15" hidden="false" customHeight="true" outlineLevel="0" collapsed="false">
      <c r="J3951" s="14" t="b">
        <f aca="false">IF(중복검사!$A3949="",FALSE(),중복검사!$H3949="중복")</f>
        <v>0</v>
      </c>
      <c r="K3951" s="5" t="str">
        <f aca="false">IF($J3951=FALSE(),"",COUNTIF($J$6:$J3951,TRUE()))</f>
        <v/>
      </c>
      <c r="L3951" s="5" t="str">
        <f aca="false">IF($K3951="","","R"&amp;$K3951)</f>
        <v/>
      </c>
    </row>
    <row r="3952" customFormat="false" ht="15" hidden="false" customHeight="true" outlineLevel="0" collapsed="false">
      <c r="J3952" s="14" t="b">
        <f aca="false">IF(중복검사!$A3950="",FALSE(),중복검사!$H3950="중복")</f>
        <v>0</v>
      </c>
      <c r="K3952" s="5" t="str">
        <f aca="false">IF($J3952=FALSE(),"",COUNTIF($J$6:$J3952,TRUE()))</f>
        <v/>
      </c>
      <c r="L3952" s="5" t="str">
        <f aca="false">IF($K3952="","","R"&amp;$K3952)</f>
        <v/>
      </c>
    </row>
    <row r="3953" customFormat="false" ht="15" hidden="false" customHeight="true" outlineLevel="0" collapsed="false">
      <c r="J3953" s="14" t="b">
        <f aca="false">IF(중복검사!$A3951="",FALSE(),중복검사!$H3951="중복")</f>
        <v>0</v>
      </c>
      <c r="K3953" s="5" t="str">
        <f aca="false">IF($J3953=FALSE(),"",COUNTIF($J$6:$J3953,TRUE()))</f>
        <v/>
      </c>
      <c r="L3953" s="5" t="str">
        <f aca="false">IF($K3953="","","R"&amp;$K3953)</f>
        <v/>
      </c>
    </row>
    <row r="3954" customFormat="false" ht="15" hidden="false" customHeight="true" outlineLevel="0" collapsed="false">
      <c r="J3954" s="14" t="b">
        <f aca="false">IF(중복검사!$A3952="",FALSE(),중복검사!$H3952="중복")</f>
        <v>0</v>
      </c>
      <c r="K3954" s="5" t="str">
        <f aca="false">IF($J3954=FALSE(),"",COUNTIF($J$6:$J3954,TRUE()))</f>
        <v/>
      </c>
      <c r="L3954" s="5" t="str">
        <f aca="false">IF($K3954="","","R"&amp;$K3954)</f>
        <v/>
      </c>
    </row>
    <row r="3955" customFormat="false" ht="15" hidden="false" customHeight="true" outlineLevel="0" collapsed="false">
      <c r="J3955" s="14" t="b">
        <f aca="false">IF(중복검사!$A3953="",FALSE(),중복검사!$H3953="중복")</f>
        <v>0</v>
      </c>
      <c r="K3955" s="5" t="str">
        <f aca="false">IF($J3955=FALSE(),"",COUNTIF($J$6:$J3955,TRUE()))</f>
        <v/>
      </c>
      <c r="L3955" s="5" t="str">
        <f aca="false">IF($K3955="","","R"&amp;$K3955)</f>
        <v/>
      </c>
    </row>
    <row r="3956" customFormat="false" ht="15" hidden="false" customHeight="true" outlineLevel="0" collapsed="false">
      <c r="J3956" s="14" t="b">
        <f aca="false">IF(중복검사!$A3954="",FALSE(),중복검사!$H3954="중복")</f>
        <v>0</v>
      </c>
      <c r="K3956" s="5" t="str">
        <f aca="false">IF($J3956=FALSE(),"",COUNTIF($J$6:$J3956,TRUE()))</f>
        <v/>
      </c>
      <c r="L3956" s="5" t="str">
        <f aca="false">IF($K3956="","","R"&amp;$K3956)</f>
        <v/>
      </c>
    </row>
    <row r="3957" customFormat="false" ht="15" hidden="false" customHeight="true" outlineLevel="0" collapsed="false">
      <c r="J3957" s="14" t="b">
        <f aca="false">IF(중복검사!$A3955="",FALSE(),중복검사!$H3955="중복")</f>
        <v>0</v>
      </c>
      <c r="K3957" s="5" t="str">
        <f aca="false">IF($J3957=FALSE(),"",COUNTIF($J$6:$J3957,TRUE()))</f>
        <v/>
      </c>
      <c r="L3957" s="5" t="str">
        <f aca="false">IF($K3957="","","R"&amp;$K3957)</f>
        <v/>
      </c>
    </row>
    <row r="3958" customFormat="false" ht="15" hidden="false" customHeight="true" outlineLevel="0" collapsed="false">
      <c r="J3958" s="14" t="b">
        <f aca="false">IF(중복검사!$A3956="",FALSE(),중복검사!$H3956="중복")</f>
        <v>0</v>
      </c>
      <c r="K3958" s="5" t="str">
        <f aca="false">IF($J3958=FALSE(),"",COUNTIF($J$6:$J3958,TRUE()))</f>
        <v/>
      </c>
      <c r="L3958" s="5" t="str">
        <f aca="false">IF($K3958="","","R"&amp;$K3958)</f>
        <v/>
      </c>
    </row>
    <row r="3959" customFormat="false" ht="15" hidden="false" customHeight="true" outlineLevel="0" collapsed="false">
      <c r="J3959" s="14" t="b">
        <f aca="false">IF(중복검사!$A3957="",FALSE(),중복검사!$H3957="중복")</f>
        <v>0</v>
      </c>
      <c r="K3959" s="5" t="str">
        <f aca="false">IF($J3959=FALSE(),"",COUNTIF($J$6:$J3959,TRUE()))</f>
        <v/>
      </c>
      <c r="L3959" s="5" t="str">
        <f aca="false">IF($K3959="","","R"&amp;$K3959)</f>
        <v/>
      </c>
    </row>
    <row r="3960" customFormat="false" ht="15" hidden="false" customHeight="true" outlineLevel="0" collapsed="false">
      <c r="J3960" s="14" t="b">
        <f aca="false">IF(중복검사!$A3958="",FALSE(),중복검사!$H3958="중복")</f>
        <v>0</v>
      </c>
      <c r="K3960" s="5" t="str">
        <f aca="false">IF($J3960=FALSE(),"",COUNTIF($J$6:$J3960,TRUE()))</f>
        <v/>
      </c>
      <c r="L3960" s="5" t="str">
        <f aca="false">IF($K3960="","","R"&amp;$K3960)</f>
        <v/>
      </c>
    </row>
    <row r="3961" customFormat="false" ht="15" hidden="false" customHeight="true" outlineLevel="0" collapsed="false">
      <c r="J3961" s="14" t="b">
        <f aca="false">IF(중복검사!$A3959="",FALSE(),중복검사!$H3959="중복")</f>
        <v>0</v>
      </c>
      <c r="K3961" s="5" t="str">
        <f aca="false">IF($J3961=FALSE(),"",COUNTIF($J$6:$J3961,TRUE()))</f>
        <v/>
      </c>
      <c r="L3961" s="5" t="str">
        <f aca="false">IF($K3961="","","R"&amp;$K3961)</f>
        <v/>
      </c>
    </row>
    <row r="3962" customFormat="false" ht="15" hidden="false" customHeight="true" outlineLevel="0" collapsed="false">
      <c r="J3962" s="14" t="b">
        <f aca="false">IF(중복검사!$A3960="",FALSE(),중복검사!$H3960="중복")</f>
        <v>0</v>
      </c>
      <c r="K3962" s="5" t="str">
        <f aca="false">IF($J3962=FALSE(),"",COUNTIF($J$6:$J3962,TRUE()))</f>
        <v/>
      </c>
      <c r="L3962" s="5" t="str">
        <f aca="false">IF($K3962="","","R"&amp;$K3962)</f>
        <v/>
      </c>
    </row>
    <row r="3963" customFormat="false" ht="15" hidden="false" customHeight="true" outlineLevel="0" collapsed="false">
      <c r="J3963" s="14" t="b">
        <f aca="false">IF(중복검사!$A3961="",FALSE(),중복검사!$H3961="중복")</f>
        <v>0</v>
      </c>
      <c r="K3963" s="5" t="str">
        <f aca="false">IF($J3963=FALSE(),"",COUNTIF($J$6:$J3963,TRUE()))</f>
        <v/>
      </c>
      <c r="L3963" s="5" t="str">
        <f aca="false">IF($K3963="","","R"&amp;$K3963)</f>
        <v/>
      </c>
    </row>
    <row r="3964" customFormat="false" ht="15" hidden="false" customHeight="true" outlineLevel="0" collapsed="false">
      <c r="J3964" s="14" t="b">
        <f aca="false">IF(중복검사!$A3962="",FALSE(),중복검사!$H3962="중복")</f>
        <v>0</v>
      </c>
      <c r="K3964" s="5" t="str">
        <f aca="false">IF($J3964=FALSE(),"",COUNTIF($J$6:$J3964,TRUE()))</f>
        <v/>
      </c>
      <c r="L3964" s="5" t="str">
        <f aca="false">IF($K3964="","","R"&amp;$K3964)</f>
        <v/>
      </c>
    </row>
    <row r="3965" customFormat="false" ht="15" hidden="false" customHeight="true" outlineLevel="0" collapsed="false">
      <c r="J3965" s="14" t="b">
        <f aca="false">IF(중복검사!$A3963="",FALSE(),중복검사!$H3963="중복")</f>
        <v>0</v>
      </c>
      <c r="K3965" s="5" t="str">
        <f aca="false">IF($J3965=FALSE(),"",COUNTIF($J$6:$J3965,TRUE()))</f>
        <v/>
      </c>
      <c r="L3965" s="5" t="str">
        <f aca="false">IF($K3965="","","R"&amp;$K3965)</f>
        <v/>
      </c>
    </row>
    <row r="3966" customFormat="false" ht="15" hidden="false" customHeight="true" outlineLevel="0" collapsed="false">
      <c r="J3966" s="14" t="b">
        <f aca="false">IF(중복검사!$A3964="",FALSE(),중복검사!$H3964="중복")</f>
        <v>0</v>
      </c>
      <c r="K3966" s="5" t="str">
        <f aca="false">IF($J3966=FALSE(),"",COUNTIF($J$6:$J3966,TRUE()))</f>
        <v/>
      </c>
      <c r="L3966" s="5" t="str">
        <f aca="false">IF($K3966="","","R"&amp;$K3966)</f>
        <v/>
      </c>
    </row>
    <row r="3967" customFormat="false" ht="15" hidden="false" customHeight="true" outlineLevel="0" collapsed="false">
      <c r="J3967" s="14" t="b">
        <f aca="false">IF(중복검사!$A3965="",FALSE(),중복검사!$H3965="중복")</f>
        <v>0</v>
      </c>
      <c r="K3967" s="5" t="str">
        <f aca="false">IF($J3967=FALSE(),"",COUNTIF($J$6:$J3967,TRUE()))</f>
        <v/>
      </c>
      <c r="L3967" s="5" t="str">
        <f aca="false">IF($K3967="","","R"&amp;$K3967)</f>
        <v/>
      </c>
    </row>
    <row r="3968" customFormat="false" ht="15" hidden="false" customHeight="true" outlineLevel="0" collapsed="false">
      <c r="J3968" s="14" t="b">
        <f aca="false">IF(중복검사!$A3966="",FALSE(),중복검사!$H3966="중복")</f>
        <v>0</v>
      </c>
      <c r="K3968" s="5" t="str">
        <f aca="false">IF($J3968=FALSE(),"",COUNTIF($J$6:$J3968,TRUE()))</f>
        <v/>
      </c>
      <c r="L3968" s="5" t="str">
        <f aca="false">IF($K3968="","","R"&amp;$K3968)</f>
        <v/>
      </c>
    </row>
    <row r="3969" customFormat="false" ht="15" hidden="false" customHeight="true" outlineLevel="0" collapsed="false">
      <c r="J3969" s="14" t="b">
        <f aca="false">IF(중복검사!$A3967="",FALSE(),중복검사!$H3967="중복")</f>
        <v>0</v>
      </c>
      <c r="K3969" s="5" t="str">
        <f aca="false">IF($J3969=FALSE(),"",COUNTIF($J$6:$J3969,TRUE()))</f>
        <v/>
      </c>
      <c r="L3969" s="5" t="str">
        <f aca="false">IF($K3969="","","R"&amp;$K3969)</f>
        <v/>
      </c>
    </row>
    <row r="3970" customFormat="false" ht="15" hidden="false" customHeight="true" outlineLevel="0" collapsed="false">
      <c r="J3970" s="14" t="b">
        <f aca="false">IF(중복검사!$A3968="",FALSE(),중복검사!$H3968="중복")</f>
        <v>0</v>
      </c>
      <c r="K3970" s="5" t="str">
        <f aca="false">IF($J3970=FALSE(),"",COUNTIF($J$6:$J3970,TRUE()))</f>
        <v/>
      </c>
      <c r="L3970" s="5" t="str">
        <f aca="false">IF($K3970="","","R"&amp;$K3970)</f>
        <v/>
      </c>
    </row>
    <row r="3971" customFormat="false" ht="15" hidden="false" customHeight="true" outlineLevel="0" collapsed="false">
      <c r="J3971" s="14" t="b">
        <f aca="false">IF(중복검사!$A3969="",FALSE(),중복검사!$H3969="중복")</f>
        <v>0</v>
      </c>
      <c r="K3971" s="5" t="str">
        <f aca="false">IF($J3971=FALSE(),"",COUNTIF($J$6:$J3971,TRUE()))</f>
        <v/>
      </c>
      <c r="L3971" s="5" t="str">
        <f aca="false">IF($K3971="","","R"&amp;$K3971)</f>
        <v/>
      </c>
    </row>
    <row r="3972" customFormat="false" ht="15" hidden="false" customHeight="true" outlineLevel="0" collapsed="false">
      <c r="J3972" s="14" t="b">
        <f aca="false">IF(중복검사!$A3970="",FALSE(),중복검사!$H3970="중복")</f>
        <v>0</v>
      </c>
      <c r="K3972" s="5" t="str">
        <f aca="false">IF($J3972=FALSE(),"",COUNTIF($J$6:$J3972,TRUE()))</f>
        <v/>
      </c>
      <c r="L3972" s="5" t="str">
        <f aca="false">IF($K3972="","","R"&amp;$K3972)</f>
        <v/>
      </c>
    </row>
    <row r="3973" customFormat="false" ht="15" hidden="false" customHeight="true" outlineLevel="0" collapsed="false">
      <c r="J3973" s="14" t="b">
        <f aca="false">IF(중복검사!$A3971="",FALSE(),중복검사!$H3971="중복")</f>
        <v>0</v>
      </c>
      <c r="K3973" s="5" t="str">
        <f aca="false">IF($J3973=FALSE(),"",COUNTIF($J$6:$J3973,TRUE()))</f>
        <v/>
      </c>
      <c r="L3973" s="5" t="str">
        <f aca="false">IF($K3973="","","R"&amp;$K3973)</f>
        <v/>
      </c>
    </row>
    <row r="3974" customFormat="false" ht="15" hidden="false" customHeight="true" outlineLevel="0" collapsed="false">
      <c r="J3974" s="14" t="b">
        <f aca="false">IF(중복검사!$A3972="",FALSE(),중복검사!$H3972="중복")</f>
        <v>0</v>
      </c>
      <c r="K3974" s="5" t="str">
        <f aca="false">IF($J3974=FALSE(),"",COUNTIF($J$6:$J3974,TRUE()))</f>
        <v/>
      </c>
      <c r="L3974" s="5" t="str">
        <f aca="false">IF($K3974="","","R"&amp;$K3974)</f>
        <v/>
      </c>
    </row>
    <row r="3975" customFormat="false" ht="15" hidden="false" customHeight="true" outlineLevel="0" collapsed="false">
      <c r="J3975" s="14" t="b">
        <f aca="false">IF(중복검사!$A3973="",FALSE(),중복검사!$H3973="중복")</f>
        <v>0</v>
      </c>
      <c r="K3975" s="5" t="str">
        <f aca="false">IF($J3975=FALSE(),"",COUNTIF($J$6:$J3975,TRUE()))</f>
        <v/>
      </c>
      <c r="L3975" s="5" t="str">
        <f aca="false">IF($K3975="","","R"&amp;$K3975)</f>
        <v/>
      </c>
    </row>
    <row r="3976" customFormat="false" ht="15" hidden="false" customHeight="true" outlineLevel="0" collapsed="false">
      <c r="J3976" s="14" t="b">
        <f aca="false">IF(중복검사!$A3974="",FALSE(),중복검사!$H3974="중복")</f>
        <v>0</v>
      </c>
      <c r="K3976" s="5" t="str">
        <f aca="false">IF($J3976=FALSE(),"",COUNTIF($J$6:$J3976,TRUE()))</f>
        <v/>
      </c>
      <c r="L3976" s="5" t="str">
        <f aca="false">IF($K3976="","","R"&amp;$K3976)</f>
        <v/>
      </c>
    </row>
    <row r="3977" customFormat="false" ht="15" hidden="false" customHeight="true" outlineLevel="0" collapsed="false">
      <c r="J3977" s="14" t="b">
        <f aca="false">IF(중복검사!$A3975="",FALSE(),중복검사!$H3975="중복")</f>
        <v>0</v>
      </c>
      <c r="K3977" s="5" t="str">
        <f aca="false">IF($J3977=FALSE(),"",COUNTIF($J$6:$J3977,TRUE()))</f>
        <v/>
      </c>
      <c r="L3977" s="5" t="str">
        <f aca="false">IF($K3977="","","R"&amp;$K3977)</f>
        <v/>
      </c>
    </row>
    <row r="3978" customFormat="false" ht="15" hidden="false" customHeight="true" outlineLevel="0" collapsed="false">
      <c r="J3978" s="14" t="b">
        <f aca="false">IF(중복검사!$A3976="",FALSE(),중복검사!$H3976="중복")</f>
        <v>0</v>
      </c>
      <c r="K3978" s="5" t="str">
        <f aca="false">IF($J3978=FALSE(),"",COUNTIF($J$6:$J3978,TRUE()))</f>
        <v/>
      </c>
      <c r="L3978" s="5" t="str">
        <f aca="false">IF($K3978="","","R"&amp;$K3978)</f>
        <v/>
      </c>
    </row>
    <row r="3979" customFormat="false" ht="15" hidden="false" customHeight="true" outlineLevel="0" collapsed="false">
      <c r="J3979" s="14" t="b">
        <f aca="false">IF(중복검사!$A3977="",FALSE(),중복검사!$H3977="중복")</f>
        <v>0</v>
      </c>
      <c r="K3979" s="5" t="str">
        <f aca="false">IF($J3979=FALSE(),"",COUNTIF($J$6:$J3979,TRUE()))</f>
        <v/>
      </c>
      <c r="L3979" s="5" t="str">
        <f aca="false">IF($K3979="","","R"&amp;$K3979)</f>
        <v/>
      </c>
    </row>
    <row r="3980" customFormat="false" ht="15" hidden="false" customHeight="true" outlineLevel="0" collapsed="false">
      <c r="J3980" s="14" t="b">
        <f aca="false">IF(중복검사!$A3978="",FALSE(),중복검사!$H3978="중복")</f>
        <v>0</v>
      </c>
      <c r="K3980" s="5" t="str">
        <f aca="false">IF($J3980=FALSE(),"",COUNTIF($J$6:$J3980,TRUE()))</f>
        <v/>
      </c>
      <c r="L3980" s="5" t="str">
        <f aca="false">IF($K3980="","","R"&amp;$K3980)</f>
        <v/>
      </c>
    </row>
    <row r="3981" customFormat="false" ht="15" hidden="false" customHeight="true" outlineLevel="0" collapsed="false">
      <c r="J3981" s="14" t="b">
        <f aca="false">IF(중복검사!$A3979="",FALSE(),중복검사!$H3979="중복")</f>
        <v>0</v>
      </c>
      <c r="K3981" s="5" t="str">
        <f aca="false">IF($J3981=FALSE(),"",COUNTIF($J$6:$J3981,TRUE()))</f>
        <v/>
      </c>
      <c r="L3981" s="5" t="str">
        <f aca="false">IF($K3981="","","R"&amp;$K3981)</f>
        <v/>
      </c>
    </row>
    <row r="3982" customFormat="false" ht="15" hidden="false" customHeight="true" outlineLevel="0" collapsed="false">
      <c r="J3982" s="14" t="b">
        <f aca="false">IF(중복검사!$A3980="",FALSE(),중복검사!$H3980="중복")</f>
        <v>0</v>
      </c>
      <c r="K3982" s="5" t="str">
        <f aca="false">IF($J3982=FALSE(),"",COUNTIF($J$6:$J3982,TRUE()))</f>
        <v/>
      </c>
      <c r="L3982" s="5" t="str">
        <f aca="false">IF($K3982="","","R"&amp;$K3982)</f>
        <v/>
      </c>
    </row>
    <row r="3983" customFormat="false" ht="15" hidden="false" customHeight="true" outlineLevel="0" collapsed="false">
      <c r="J3983" s="14" t="b">
        <f aca="false">IF(중복검사!$A3981="",FALSE(),중복검사!$H3981="중복")</f>
        <v>0</v>
      </c>
      <c r="K3983" s="5" t="str">
        <f aca="false">IF($J3983=FALSE(),"",COUNTIF($J$6:$J3983,TRUE()))</f>
        <v/>
      </c>
      <c r="L3983" s="5" t="str">
        <f aca="false">IF($K3983="","","R"&amp;$K3983)</f>
        <v/>
      </c>
    </row>
    <row r="3984" customFormat="false" ht="15" hidden="false" customHeight="true" outlineLevel="0" collapsed="false">
      <c r="J3984" s="14" t="b">
        <f aca="false">IF(중복검사!$A3982="",FALSE(),중복검사!$H3982="중복")</f>
        <v>0</v>
      </c>
      <c r="K3984" s="5" t="str">
        <f aca="false">IF($J3984=FALSE(),"",COUNTIF($J$6:$J3984,TRUE()))</f>
        <v/>
      </c>
      <c r="L3984" s="5" t="str">
        <f aca="false">IF($K3984="","","R"&amp;$K3984)</f>
        <v/>
      </c>
    </row>
    <row r="3985" customFormat="false" ht="15" hidden="false" customHeight="true" outlineLevel="0" collapsed="false">
      <c r="J3985" s="14" t="b">
        <f aca="false">IF(중복검사!$A3983="",FALSE(),중복검사!$H3983="중복")</f>
        <v>0</v>
      </c>
      <c r="K3985" s="5" t="str">
        <f aca="false">IF($J3985=FALSE(),"",COUNTIF($J$6:$J3985,TRUE()))</f>
        <v/>
      </c>
      <c r="L3985" s="5" t="str">
        <f aca="false">IF($K3985="","","R"&amp;$K3985)</f>
        <v/>
      </c>
    </row>
    <row r="3986" customFormat="false" ht="15" hidden="false" customHeight="true" outlineLevel="0" collapsed="false">
      <c r="J3986" s="14" t="b">
        <f aca="false">IF(중복검사!$A3984="",FALSE(),중복검사!$H3984="중복")</f>
        <v>0</v>
      </c>
      <c r="K3986" s="5" t="str">
        <f aca="false">IF($J3986=FALSE(),"",COUNTIF($J$6:$J3986,TRUE()))</f>
        <v/>
      </c>
      <c r="L3986" s="5" t="str">
        <f aca="false">IF($K3986="","","R"&amp;$K3986)</f>
        <v/>
      </c>
    </row>
    <row r="3987" customFormat="false" ht="15" hidden="false" customHeight="true" outlineLevel="0" collapsed="false">
      <c r="J3987" s="14" t="b">
        <f aca="false">IF(중복검사!$A3985="",FALSE(),중복검사!$H3985="중복")</f>
        <v>0</v>
      </c>
      <c r="K3987" s="5" t="str">
        <f aca="false">IF($J3987=FALSE(),"",COUNTIF($J$6:$J3987,TRUE()))</f>
        <v/>
      </c>
      <c r="L3987" s="5" t="str">
        <f aca="false">IF($K3987="","","R"&amp;$K3987)</f>
        <v/>
      </c>
    </row>
    <row r="3988" customFormat="false" ht="15" hidden="false" customHeight="true" outlineLevel="0" collapsed="false">
      <c r="J3988" s="14" t="b">
        <f aca="false">IF(중복검사!$A3986="",FALSE(),중복검사!$H3986="중복")</f>
        <v>0</v>
      </c>
      <c r="K3988" s="5" t="str">
        <f aca="false">IF($J3988=FALSE(),"",COUNTIF($J$6:$J3988,TRUE()))</f>
        <v/>
      </c>
      <c r="L3988" s="5" t="str">
        <f aca="false">IF($K3988="","","R"&amp;$K3988)</f>
        <v/>
      </c>
    </row>
    <row r="3989" customFormat="false" ht="15" hidden="false" customHeight="true" outlineLevel="0" collapsed="false">
      <c r="J3989" s="14" t="b">
        <f aca="false">IF(중복검사!$A3987="",FALSE(),중복검사!$H3987="중복")</f>
        <v>0</v>
      </c>
      <c r="K3989" s="5" t="str">
        <f aca="false">IF($J3989=FALSE(),"",COUNTIF($J$6:$J3989,TRUE()))</f>
        <v/>
      </c>
      <c r="L3989" s="5" t="str">
        <f aca="false">IF($K3989="","","R"&amp;$K3989)</f>
        <v/>
      </c>
    </row>
    <row r="3990" customFormat="false" ht="15" hidden="false" customHeight="true" outlineLevel="0" collapsed="false">
      <c r="J3990" s="14" t="b">
        <f aca="false">IF(중복검사!$A3988="",FALSE(),중복검사!$H3988="중복")</f>
        <v>0</v>
      </c>
      <c r="K3990" s="5" t="str">
        <f aca="false">IF($J3990=FALSE(),"",COUNTIF($J$6:$J3990,TRUE()))</f>
        <v/>
      </c>
      <c r="L3990" s="5" t="str">
        <f aca="false">IF($K3990="","","R"&amp;$K3990)</f>
        <v/>
      </c>
    </row>
    <row r="3991" customFormat="false" ht="15" hidden="false" customHeight="true" outlineLevel="0" collapsed="false">
      <c r="J3991" s="14" t="b">
        <f aca="false">IF(중복검사!$A3989="",FALSE(),중복검사!$H3989="중복")</f>
        <v>0</v>
      </c>
      <c r="K3991" s="5" t="str">
        <f aca="false">IF($J3991=FALSE(),"",COUNTIF($J$6:$J3991,TRUE()))</f>
        <v/>
      </c>
      <c r="L3991" s="5" t="str">
        <f aca="false">IF($K3991="","","R"&amp;$K3991)</f>
        <v/>
      </c>
    </row>
    <row r="3992" customFormat="false" ht="15" hidden="false" customHeight="true" outlineLevel="0" collapsed="false">
      <c r="J3992" s="14" t="b">
        <f aca="false">IF(중복검사!$A3990="",FALSE(),중복검사!$H3990="중복")</f>
        <v>0</v>
      </c>
      <c r="K3992" s="5" t="str">
        <f aca="false">IF($J3992=FALSE(),"",COUNTIF($J$6:$J3992,TRUE()))</f>
        <v/>
      </c>
      <c r="L3992" s="5" t="str">
        <f aca="false">IF($K3992="","","R"&amp;$K3992)</f>
        <v/>
      </c>
    </row>
    <row r="3993" customFormat="false" ht="15" hidden="false" customHeight="true" outlineLevel="0" collapsed="false">
      <c r="J3993" s="14" t="b">
        <f aca="false">IF(중복검사!$A3991="",FALSE(),중복검사!$H3991="중복")</f>
        <v>0</v>
      </c>
      <c r="K3993" s="5" t="str">
        <f aca="false">IF($J3993=FALSE(),"",COUNTIF($J$6:$J3993,TRUE()))</f>
        <v/>
      </c>
      <c r="L3993" s="5" t="str">
        <f aca="false">IF($K3993="","","R"&amp;$K3993)</f>
        <v/>
      </c>
    </row>
    <row r="3994" customFormat="false" ht="15" hidden="false" customHeight="true" outlineLevel="0" collapsed="false">
      <c r="J3994" s="14" t="b">
        <f aca="false">IF(중복검사!$A3992="",FALSE(),중복검사!$H3992="중복")</f>
        <v>0</v>
      </c>
      <c r="K3994" s="5" t="str">
        <f aca="false">IF($J3994=FALSE(),"",COUNTIF($J$6:$J3994,TRUE()))</f>
        <v/>
      </c>
      <c r="L3994" s="5" t="str">
        <f aca="false">IF($K3994="","","R"&amp;$K3994)</f>
        <v/>
      </c>
    </row>
    <row r="3995" customFormat="false" ht="15" hidden="false" customHeight="true" outlineLevel="0" collapsed="false">
      <c r="J3995" s="14" t="b">
        <f aca="false">IF(중복검사!$A3993="",FALSE(),중복검사!$H3993="중복")</f>
        <v>0</v>
      </c>
      <c r="K3995" s="5" t="str">
        <f aca="false">IF($J3995=FALSE(),"",COUNTIF($J$6:$J3995,TRUE()))</f>
        <v/>
      </c>
      <c r="L3995" s="5" t="str">
        <f aca="false">IF($K3995="","","R"&amp;$K3995)</f>
        <v/>
      </c>
    </row>
    <row r="3996" customFormat="false" ht="15" hidden="false" customHeight="true" outlineLevel="0" collapsed="false">
      <c r="J3996" s="14" t="b">
        <f aca="false">IF(중복검사!$A3994="",FALSE(),중복검사!$H3994="중복")</f>
        <v>0</v>
      </c>
      <c r="K3996" s="5" t="str">
        <f aca="false">IF($J3996=FALSE(),"",COUNTIF($J$6:$J3996,TRUE()))</f>
        <v/>
      </c>
      <c r="L3996" s="5" t="str">
        <f aca="false">IF($K3996="","","R"&amp;$K3996)</f>
        <v/>
      </c>
    </row>
    <row r="3997" customFormat="false" ht="15" hidden="false" customHeight="true" outlineLevel="0" collapsed="false">
      <c r="J3997" s="14" t="b">
        <f aca="false">IF(중복검사!$A3995="",FALSE(),중복검사!$H3995="중복")</f>
        <v>0</v>
      </c>
      <c r="K3997" s="5" t="str">
        <f aca="false">IF($J3997=FALSE(),"",COUNTIF($J$6:$J3997,TRUE()))</f>
        <v/>
      </c>
      <c r="L3997" s="5" t="str">
        <f aca="false">IF($K3997="","","R"&amp;$K3997)</f>
        <v/>
      </c>
    </row>
    <row r="3998" customFormat="false" ht="15" hidden="false" customHeight="true" outlineLevel="0" collapsed="false">
      <c r="J3998" s="14" t="b">
        <f aca="false">IF(중복검사!$A3996="",FALSE(),중복검사!$H3996="중복")</f>
        <v>0</v>
      </c>
      <c r="K3998" s="5" t="str">
        <f aca="false">IF($J3998=FALSE(),"",COUNTIF($J$6:$J3998,TRUE()))</f>
        <v/>
      </c>
      <c r="L3998" s="5" t="str">
        <f aca="false">IF($K3998="","","R"&amp;$K3998)</f>
        <v/>
      </c>
    </row>
    <row r="3999" customFormat="false" ht="15" hidden="false" customHeight="true" outlineLevel="0" collapsed="false">
      <c r="J3999" s="14" t="b">
        <f aca="false">IF(중복검사!$A3997="",FALSE(),중복검사!$H3997="중복")</f>
        <v>0</v>
      </c>
      <c r="K3999" s="5" t="str">
        <f aca="false">IF($J3999=FALSE(),"",COUNTIF($J$6:$J3999,TRUE()))</f>
        <v/>
      </c>
      <c r="L3999" s="5" t="str">
        <f aca="false">IF($K3999="","","R"&amp;$K3999)</f>
        <v/>
      </c>
    </row>
    <row r="4000" customFormat="false" ht="15" hidden="false" customHeight="true" outlineLevel="0" collapsed="false">
      <c r="J4000" s="14" t="b">
        <f aca="false">IF(중복검사!$A3998="",FALSE(),중복검사!$H3998="중복")</f>
        <v>0</v>
      </c>
      <c r="K4000" s="5" t="str">
        <f aca="false">IF($J4000=FALSE(),"",COUNTIF($J$6:$J4000,TRUE()))</f>
        <v/>
      </c>
      <c r="L4000" s="5" t="str">
        <f aca="false">IF($K4000="","","R"&amp;$K4000)</f>
        <v/>
      </c>
    </row>
    <row r="4001" customFormat="false" ht="15" hidden="false" customHeight="true" outlineLevel="0" collapsed="false">
      <c r="J4001" s="14" t="b">
        <f aca="false">IF(중복검사!$A3999="",FALSE(),중복검사!$H3999="중복")</f>
        <v>0</v>
      </c>
      <c r="K4001" s="5" t="str">
        <f aca="false">IF($J4001=FALSE(),"",COUNTIF($J$6:$J4001,TRUE()))</f>
        <v/>
      </c>
      <c r="L4001" s="5" t="str">
        <f aca="false">IF($K4001="","","R"&amp;$K4001)</f>
        <v/>
      </c>
    </row>
    <row r="4002" customFormat="false" ht="15" hidden="false" customHeight="true" outlineLevel="0" collapsed="false">
      <c r="J4002" s="14" t="b">
        <f aca="false">IF(중복검사!$A4000="",FALSE(),중복검사!$H4000="중복")</f>
        <v>0</v>
      </c>
      <c r="K4002" s="5" t="str">
        <f aca="false">IF($J4002=FALSE(),"",COUNTIF($J$6:$J4002,TRUE()))</f>
        <v/>
      </c>
      <c r="L4002" s="5" t="str">
        <f aca="false">IF($K4002="","","R"&amp;$K4002)</f>
        <v/>
      </c>
    </row>
    <row r="4003" customFormat="false" ht="15" hidden="false" customHeight="true" outlineLevel="0" collapsed="false">
      <c r="J4003" s="14" t="b">
        <f aca="false">IF(중복검사!$A4001="",FALSE(),중복검사!$H4001="중복")</f>
        <v>0</v>
      </c>
      <c r="K4003" s="5" t="str">
        <f aca="false">IF($J4003=FALSE(),"",COUNTIF($J$6:$J4003,TRUE()))</f>
        <v/>
      </c>
      <c r="L4003" s="5" t="str">
        <f aca="false">IF($K4003="","","R"&amp;$K4003)</f>
        <v/>
      </c>
    </row>
    <row r="4004" customFormat="false" ht="15" hidden="false" customHeight="true" outlineLevel="0" collapsed="false">
      <c r="J4004" s="14" t="b">
        <f aca="false">IF(중복검사!$A4002="",FALSE(),중복검사!$H4002="중복")</f>
        <v>0</v>
      </c>
      <c r="K4004" s="5" t="str">
        <f aca="false">IF($J4004=FALSE(),"",COUNTIF($J$6:$J4004,TRUE()))</f>
        <v/>
      </c>
      <c r="L4004" s="5" t="str">
        <f aca="false">IF($K4004="","","R"&amp;$K4004)</f>
        <v/>
      </c>
    </row>
    <row r="4005" customFormat="false" ht="15" hidden="false" customHeight="true" outlineLevel="0" collapsed="false">
      <c r="J4005" s="14" t="b">
        <f aca="false">IF(중복검사!$A4003="",FALSE(),중복검사!$H4003="중복")</f>
        <v>0</v>
      </c>
      <c r="K4005" s="5" t="str">
        <f aca="false">IF($J4005=FALSE(),"",COUNTIF($J$6:$J4005,TRUE()))</f>
        <v/>
      </c>
      <c r="L4005" s="5" t="str">
        <f aca="false">IF($K4005="","","R"&amp;$K4005)</f>
        <v/>
      </c>
    </row>
    <row r="4006" customFormat="false" ht="15" hidden="false" customHeight="true" outlineLevel="0" collapsed="false">
      <c r="J4006" s="14" t="b">
        <f aca="false">IF(중복검사!$A4004="",FALSE(),중복검사!$H4004="중복")</f>
        <v>0</v>
      </c>
      <c r="K4006" s="5" t="str">
        <f aca="false">IF($J4006=FALSE(),"",COUNTIF($J$6:$J4006,TRUE()))</f>
        <v/>
      </c>
      <c r="L4006" s="5" t="str">
        <f aca="false">IF($K4006="","","R"&amp;$K4006)</f>
        <v/>
      </c>
    </row>
    <row r="4007" customFormat="false" ht="15" hidden="false" customHeight="true" outlineLevel="0" collapsed="false">
      <c r="J4007" s="14" t="b">
        <f aca="false">IF(중복검사!$A4005="",FALSE(),중복검사!$H4005="중복")</f>
        <v>0</v>
      </c>
      <c r="K4007" s="5" t="str">
        <f aca="false">IF($J4007=FALSE(),"",COUNTIF($J$6:$J4007,TRUE()))</f>
        <v/>
      </c>
      <c r="L4007" s="5" t="str">
        <f aca="false">IF($K4007="","","R"&amp;$K4007)</f>
        <v/>
      </c>
    </row>
    <row r="4008" customFormat="false" ht="15" hidden="false" customHeight="true" outlineLevel="0" collapsed="false">
      <c r="J4008" s="14" t="b">
        <f aca="false">IF(중복검사!$A4006="",FALSE(),중복검사!$H4006="중복")</f>
        <v>0</v>
      </c>
      <c r="K4008" s="5" t="str">
        <f aca="false">IF($J4008=FALSE(),"",COUNTIF($J$6:$J4008,TRUE()))</f>
        <v/>
      </c>
      <c r="L4008" s="5" t="str">
        <f aca="false">IF($K4008="","","R"&amp;$K4008)</f>
        <v/>
      </c>
    </row>
    <row r="4009" customFormat="false" ht="15" hidden="false" customHeight="true" outlineLevel="0" collapsed="false">
      <c r="J4009" s="14" t="b">
        <f aca="false">IF(중복검사!$A4007="",FALSE(),중복검사!$H4007="중복")</f>
        <v>0</v>
      </c>
      <c r="K4009" s="5" t="str">
        <f aca="false">IF($J4009=FALSE(),"",COUNTIF($J$6:$J4009,TRUE()))</f>
        <v/>
      </c>
      <c r="L4009" s="5" t="str">
        <f aca="false">IF($K4009="","","R"&amp;$K4009)</f>
        <v/>
      </c>
    </row>
    <row r="4010" customFormat="false" ht="15" hidden="false" customHeight="true" outlineLevel="0" collapsed="false">
      <c r="J4010" s="14" t="b">
        <f aca="false">IF(중복검사!$A4008="",FALSE(),중복검사!$H4008="중복")</f>
        <v>0</v>
      </c>
      <c r="K4010" s="5" t="str">
        <f aca="false">IF($J4010=FALSE(),"",COUNTIF($J$6:$J4010,TRUE()))</f>
        <v/>
      </c>
      <c r="L4010" s="5" t="str">
        <f aca="false">IF($K4010="","","R"&amp;$K4010)</f>
        <v/>
      </c>
    </row>
    <row r="4011" customFormat="false" ht="15" hidden="false" customHeight="true" outlineLevel="0" collapsed="false">
      <c r="J4011" s="14" t="b">
        <f aca="false">IF(중복검사!$A4009="",FALSE(),중복검사!$H4009="중복")</f>
        <v>0</v>
      </c>
      <c r="K4011" s="5" t="str">
        <f aca="false">IF($J4011=FALSE(),"",COUNTIF($J$6:$J4011,TRUE()))</f>
        <v/>
      </c>
      <c r="L4011" s="5" t="str">
        <f aca="false">IF($K4011="","","R"&amp;$K4011)</f>
        <v/>
      </c>
    </row>
    <row r="4012" customFormat="false" ht="15" hidden="false" customHeight="true" outlineLevel="0" collapsed="false">
      <c r="J4012" s="14" t="b">
        <f aca="false">IF(중복검사!$A4010="",FALSE(),중복검사!$H4010="중복")</f>
        <v>0</v>
      </c>
      <c r="K4012" s="5" t="str">
        <f aca="false">IF($J4012=FALSE(),"",COUNTIF($J$6:$J4012,TRUE()))</f>
        <v/>
      </c>
      <c r="L4012" s="5" t="str">
        <f aca="false">IF($K4012="","","R"&amp;$K4012)</f>
        <v/>
      </c>
    </row>
    <row r="4013" customFormat="false" ht="15" hidden="false" customHeight="true" outlineLevel="0" collapsed="false">
      <c r="J4013" s="14" t="b">
        <f aca="false">IF(중복검사!$A4011="",FALSE(),중복검사!$H4011="중복")</f>
        <v>0</v>
      </c>
      <c r="K4013" s="5" t="str">
        <f aca="false">IF($J4013=FALSE(),"",COUNTIF($J$6:$J4013,TRUE()))</f>
        <v/>
      </c>
      <c r="L4013" s="5" t="str">
        <f aca="false">IF($K4013="","","R"&amp;$K4013)</f>
        <v/>
      </c>
    </row>
    <row r="4014" customFormat="false" ht="15" hidden="false" customHeight="true" outlineLevel="0" collapsed="false">
      <c r="J4014" s="14" t="b">
        <f aca="false">IF(중복검사!$A4012="",FALSE(),중복검사!$H4012="중복")</f>
        <v>0</v>
      </c>
      <c r="K4014" s="5" t="str">
        <f aca="false">IF($J4014=FALSE(),"",COUNTIF($J$6:$J4014,TRUE()))</f>
        <v/>
      </c>
      <c r="L4014" s="5" t="str">
        <f aca="false">IF($K4014="","","R"&amp;$K4014)</f>
        <v/>
      </c>
    </row>
    <row r="4015" customFormat="false" ht="15" hidden="false" customHeight="true" outlineLevel="0" collapsed="false">
      <c r="J4015" s="14" t="b">
        <f aca="false">IF(중복검사!$A4013="",FALSE(),중복검사!$H4013="중복")</f>
        <v>0</v>
      </c>
      <c r="K4015" s="5" t="str">
        <f aca="false">IF($J4015=FALSE(),"",COUNTIF($J$6:$J4015,TRUE()))</f>
        <v/>
      </c>
      <c r="L4015" s="5" t="str">
        <f aca="false">IF($K4015="","","R"&amp;$K4015)</f>
        <v/>
      </c>
    </row>
    <row r="4016" customFormat="false" ht="15" hidden="false" customHeight="true" outlineLevel="0" collapsed="false">
      <c r="J4016" s="14" t="b">
        <f aca="false">IF(중복검사!$A4014="",FALSE(),중복검사!$H4014="중복")</f>
        <v>0</v>
      </c>
      <c r="K4016" s="5" t="str">
        <f aca="false">IF($J4016=FALSE(),"",COUNTIF($J$6:$J4016,TRUE()))</f>
        <v/>
      </c>
      <c r="L4016" s="5" t="str">
        <f aca="false">IF($K4016="","","R"&amp;$K4016)</f>
        <v/>
      </c>
    </row>
    <row r="4017" customFormat="false" ht="15" hidden="false" customHeight="true" outlineLevel="0" collapsed="false">
      <c r="J4017" s="14" t="b">
        <f aca="false">IF(중복검사!$A4015="",FALSE(),중복검사!$H4015="중복")</f>
        <v>0</v>
      </c>
      <c r="K4017" s="5" t="str">
        <f aca="false">IF($J4017=FALSE(),"",COUNTIF($J$6:$J4017,TRUE()))</f>
        <v/>
      </c>
      <c r="L4017" s="5" t="str">
        <f aca="false">IF($K4017="","","R"&amp;$K4017)</f>
        <v/>
      </c>
    </row>
    <row r="4018" customFormat="false" ht="15" hidden="false" customHeight="true" outlineLevel="0" collapsed="false">
      <c r="J4018" s="14" t="b">
        <f aca="false">IF(중복검사!$A4016="",FALSE(),중복검사!$H4016="중복")</f>
        <v>0</v>
      </c>
      <c r="K4018" s="5" t="str">
        <f aca="false">IF($J4018=FALSE(),"",COUNTIF($J$6:$J4018,TRUE()))</f>
        <v/>
      </c>
      <c r="L4018" s="5" t="str">
        <f aca="false">IF($K4018="","","R"&amp;$K4018)</f>
        <v/>
      </c>
    </row>
    <row r="4019" customFormat="false" ht="15" hidden="false" customHeight="true" outlineLevel="0" collapsed="false">
      <c r="J4019" s="14" t="b">
        <f aca="false">IF(중복검사!$A4017="",FALSE(),중복검사!$H4017="중복")</f>
        <v>0</v>
      </c>
      <c r="K4019" s="5" t="str">
        <f aca="false">IF($J4019=FALSE(),"",COUNTIF($J$6:$J4019,TRUE()))</f>
        <v/>
      </c>
      <c r="L4019" s="5" t="str">
        <f aca="false">IF($K4019="","","R"&amp;$K4019)</f>
        <v/>
      </c>
    </row>
    <row r="4020" customFormat="false" ht="15" hidden="false" customHeight="true" outlineLevel="0" collapsed="false">
      <c r="J4020" s="14" t="b">
        <f aca="false">IF(중복검사!$A4018="",FALSE(),중복검사!$H4018="중복")</f>
        <v>0</v>
      </c>
      <c r="K4020" s="5" t="str">
        <f aca="false">IF($J4020=FALSE(),"",COUNTIF($J$6:$J4020,TRUE()))</f>
        <v/>
      </c>
      <c r="L4020" s="5" t="str">
        <f aca="false">IF($K4020="","","R"&amp;$K4020)</f>
        <v/>
      </c>
    </row>
    <row r="4021" customFormat="false" ht="15" hidden="false" customHeight="true" outlineLevel="0" collapsed="false">
      <c r="J4021" s="14" t="b">
        <f aca="false">IF(중복검사!$A4019="",FALSE(),중복검사!$H4019="중복")</f>
        <v>0</v>
      </c>
      <c r="K4021" s="5" t="str">
        <f aca="false">IF($J4021=FALSE(),"",COUNTIF($J$6:$J4021,TRUE()))</f>
        <v/>
      </c>
      <c r="L4021" s="5" t="str">
        <f aca="false">IF($K4021="","","R"&amp;$K4021)</f>
        <v/>
      </c>
    </row>
    <row r="4022" customFormat="false" ht="15" hidden="false" customHeight="true" outlineLevel="0" collapsed="false">
      <c r="J4022" s="14" t="b">
        <f aca="false">IF(중복검사!$A4020="",FALSE(),중복검사!$H4020="중복")</f>
        <v>0</v>
      </c>
      <c r="K4022" s="5" t="str">
        <f aca="false">IF($J4022=FALSE(),"",COUNTIF($J$6:$J4022,TRUE()))</f>
        <v/>
      </c>
      <c r="L4022" s="5" t="str">
        <f aca="false">IF($K4022="","","R"&amp;$K4022)</f>
        <v/>
      </c>
    </row>
    <row r="4023" customFormat="false" ht="15" hidden="false" customHeight="true" outlineLevel="0" collapsed="false">
      <c r="J4023" s="14" t="b">
        <f aca="false">IF(중복검사!$A4021="",FALSE(),중복검사!$H4021="중복")</f>
        <v>0</v>
      </c>
      <c r="K4023" s="5" t="str">
        <f aca="false">IF($J4023=FALSE(),"",COUNTIF($J$6:$J4023,TRUE()))</f>
        <v/>
      </c>
      <c r="L4023" s="5" t="str">
        <f aca="false">IF($K4023="","","R"&amp;$K4023)</f>
        <v/>
      </c>
    </row>
    <row r="4024" customFormat="false" ht="15" hidden="false" customHeight="true" outlineLevel="0" collapsed="false">
      <c r="J4024" s="14" t="b">
        <f aca="false">IF(중복검사!$A4022="",FALSE(),중복검사!$H4022="중복")</f>
        <v>0</v>
      </c>
      <c r="K4024" s="5" t="str">
        <f aca="false">IF($J4024=FALSE(),"",COUNTIF($J$6:$J4024,TRUE()))</f>
        <v/>
      </c>
      <c r="L4024" s="5" t="str">
        <f aca="false">IF($K4024="","","R"&amp;$K4024)</f>
        <v/>
      </c>
    </row>
    <row r="4025" customFormat="false" ht="15" hidden="false" customHeight="true" outlineLevel="0" collapsed="false">
      <c r="J4025" s="14" t="b">
        <f aca="false">IF(중복검사!$A4023="",FALSE(),중복검사!$H4023="중복")</f>
        <v>0</v>
      </c>
      <c r="K4025" s="5" t="str">
        <f aca="false">IF($J4025=FALSE(),"",COUNTIF($J$6:$J4025,TRUE()))</f>
        <v/>
      </c>
      <c r="L4025" s="5" t="str">
        <f aca="false">IF($K4025="","","R"&amp;$K4025)</f>
        <v/>
      </c>
    </row>
    <row r="4026" customFormat="false" ht="15" hidden="false" customHeight="true" outlineLevel="0" collapsed="false">
      <c r="J4026" s="14" t="b">
        <f aca="false">IF(중복검사!$A4024="",FALSE(),중복검사!$H4024="중복")</f>
        <v>0</v>
      </c>
      <c r="K4026" s="5" t="str">
        <f aca="false">IF($J4026=FALSE(),"",COUNTIF($J$6:$J4026,TRUE()))</f>
        <v/>
      </c>
      <c r="L4026" s="5" t="str">
        <f aca="false">IF($K4026="","","R"&amp;$K4026)</f>
        <v/>
      </c>
    </row>
    <row r="4027" customFormat="false" ht="15" hidden="false" customHeight="true" outlineLevel="0" collapsed="false">
      <c r="J4027" s="14" t="b">
        <f aca="false">IF(중복검사!$A4025="",FALSE(),중복검사!$H4025="중복")</f>
        <v>0</v>
      </c>
      <c r="K4027" s="5" t="str">
        <f aca="false">IF($J4027=FALSE(),"",COUNTIF($J$6:$J4027,TRUE()))</f>
        <v/>
      </c>
      <c r="L4027" s="5" t="str">
        <f aca="false">IF($K4027="","","R"&amp;$K4027)</f>
        <v/>
      </c>
    </row>
    <row r="4028" customFormat="false" ht="15" hidden="false" customHeight="true" outlineLevel="0" collapsed="false">
      <c r="J4028" s="14" t="b">
        <f aca="false">IF(중복검사!$A4026="",FALSE(),중복검사!$H4026="중복")</f>
        <v>0</v>
      </c>
      <c r="K4028" s="5" t="str">
        <f aca="false">IF($J4028=FALSE(),"",COUNTIF($J$6:$J4028,TRUE()))</f>
        <v/>
      </c>
      <c r="L4028" s="5" t="str">
        <f aca="false">IF($K4028="","","R"&amp;$K4028)</f>
        <v/>
      </c>
    </row>
    <row r="4029" customFormat="false" ht="15" hidden="false" customHeight="true" outlineLevel="0" collapsed="false">
      <c r="J4029" s="14" t="b">
        <f aca="false">IF(중복검사!$A4027="",FALSE(),중복검사!$H4027="중복")</f>
        <v>0</v>
      </c>
      <c r="K4029" s="5" t="str">
        <f aca="false">IF($J4029=FALSE(),"",COUNTIF($J$6:$J4029,TRUE()))</f>
        <v/>
      </c>
      <c r="L4029" s="5" t="str">
        <f aca="false">IF($K4029="","","R"&amp;$K4029)</f>
        <v/>
      </c>
    </row>
    <row r="4030" customFormat="false" ht="15" hidden="false" customHeight="true" outlineLevel="0" collapsed="false">
      <c r="J4030" s="14" t="b">
        <f aca="false">IF(중복검사!$A4028="",FALSE(),중복검사!$H4028="중복")</f>
        <v>0</v>
      </c>
      <c r="K4030" s="5" t="str">
        <f aca="false">IF($J4030=FALSE(),"",COUNTIF($J$6:$J4030,TRUE()))</f>
        <v/>
      </c>
      <c r="L4030" s="5" t="str">
        <f aca="false">IF($K4030="","","R"&amp;$K4030)</f>
        <v/>
      </c>
    </row>
    <row r="4031" customFormat="false" ht="15" hidden="false" customHeight="true" outlineLevel="0" collapsed="false">
      <c r="J4031" s="14" t="b">
        <f aca="false">IF(중복검사!$A4029="",FALSE(),중복검사!$H4029="중복")</f>
        <v>0</v>
      </c>
      <c r="K4031" s="5" t="str">
        <f aca="false">IF($J4031=FALSE(),"",COUNTIF($J$6:$J4031,TRUE()))</f>
        <v/>
      </c>
      <c r="L4031" s="5" t="str">
        <f aca="false">IF($K4031="","","R"&amp;$K4031)</f>
        <v/>
      </c>
    </row>
    <row r="4032" customFormat="false" ht="15" hidden="false" customHeight="true" outlineLevel="0" collapsed="false">
      <c r="J4032" s="14" t="b">
        <f aca="false">IF(중복검사!$A4030="",FALSE(),중복검사!$H4030="중복")</f>
        <v>0</v>
      </c>
      <c r="K4032" s="5" t="str">
        <f aca="false">IF($J4032=FALSE(),"",COUNTIF($J$6:$J4032,TRUE()))</f>
        <v/>
      </c>
      <c r="L4032" s="5" t="str">
        <f aca="false">IF($K4032="","","R"&amp;$K4032)</f>
        <v/>
      </c>
    </row>
    <row r="4033" customFormat="false" ht="15" hidden="false" customHeight="true" outlineLevel="0" collapsed="false">
      <c r="J4033" s="14" t="b">
        <f aca="false">IF(중복검사!$A4031="",FALSE(),중복검사!$H4031="중복")</f>
        <v>0</v>
      </c>
      <c r="K4033" s="5" t="str">
        <f aca="false">IF($J4033=FALSE(),"",COUNTIF($J$6:$J4033,TRUE()))</f>
        <v/>
      </c>
      <c r="L4033" s="5" t="str">
        <f aca="false">IF($K4033="","","R"&amp;$K4033)</f>
        <v/>
      </c>
    </row>
    <row r="4034" customFormat="false" ht="15" hidden="false" customHeight="true" outlineLevel="0" collapsed="false">
      <c r="J4034" s="14" t="b">
        <f aca="false">IF(중복검사!$A4032="",FALSE(),중복검사!$H4032="중복")</f>
        <v>0</v>
      </c>
      <c r="K4034" s="5" t="str">
        <f aca="false">IF($J4034=FALSE(),"",COUNTIF($J$6:$J4034,TRUE()))</f>
        <v/>
      </c>
      <c r="L4034" s="5" t="str">
        <f aca="false">IF($K4034="","","R"&amp;$K4034)</f>
        <v/>
      </c>
    </row>
    <row r="4035" customFormat="false" ht="15" hidden="false" customHeight="true" outlineLevel="0" collapsed="false">
      <c r="J4035" s="14" t="b">
        <f aca="false">IF(중복검사!$A4033="",FALSE(),중복검사!$H4033="중복")</f>
        <v>0</v>
      </c>
      <c r="K4035" s="5" t="str">
        <f aca="false">IF($J4035=FALSE(),"",COUNTIF($J$6:$J4035,TRUE()))</f>
        <v/>
      </c>
      <c r="L4035" s="5" t="str">
        <f aca="false">IF($K4035="","","R"&amp;$K4035)</f>
        <v/>
      </c>
    </row>
    <row r="4036" customFormat="false" ht="15" hidden="false" customHeight="true" outlineLevel="0" collapsed="false">
      <c r="J4036" s="14" t="b">
        <f aca="false">IF(중복검사!$A4034="",FALSE(),중복검사!$H4034="중복")</f>
        <v>0</v>
      </c>
      <c r="K4036" s="5" t="str">
        <f aca="false">IF($J4036=FALSE(),"",COUNTIF($J$6:$J4036,TRUE()))</f>
        <v/>
      </c>
      <c r="L4036" s="5" t="str">
        <f aca="false">IF($K4036="","","R"&amp;$K4036)</f>
        <v/>
      </c>
    </row>
    <row r="4037" customFormat="false" ht="15" hidden="false" customHeight="true" outlineLevel="0" collapsed="false">
      <c r="J4037" s="14" t="b">
        <f aca="false">IF(중복검사!$A4035="",FALSE(),중복검사!$H4035="중복")</f>
        <v>0</v>
      </c>
      <c r="K4037" s="5" t="str">
        <f aca="false">IF($J4037=FALSE(),"",COUNTIF($J$6:$J4037,TRUE()))</f>
        <v/>
      </c>
      <c r="L4037" s="5" t="str">
        <f aca="false">IF($K4037="","","R"&amp;$K4037)</f>
        <v/>
      </c>
    </row>
    <row r="4038" customFormat="false" ht="15" hidden="false" customHeight="true" outlineLevel="0" collapsed="false">
      <c r="J4038" s="14" t="b">
        <f aca="false">IF(중복검사!$A4036="",FALSE(),중복검사!$H4036="중복")</f>
        <v>0</v>
      </c>
      <c r="K4038" s="5" t="str">
        <f aca="false">IF($J4038=FALSE(),"",COUNTIF($J$6:$J4038,TRUE()))</f>
        <v/>
      </c>
      <c r="L4038" s="5" t="str">
        <f aca="false">IF($K4038="","","R"&amp;$K4038)</f>
        <v/>
      </c>
    </row>
    <row r="4039" customFormat="false" ht="15" hidden="false" customHeight="true" outlineLevel="0" collapsed="false">
      <c r="J4039" s="14" t="b">
        <f aca="false">IF(중복검사!$A4037="",FALSE(),중복검사!$H4037="중복")</f>
        <v>0</v>
      </c>
      <c r="K4039" s="5" t="str">
        <f aca="false">IF($J4039=FALSE(),"",COUNTIF($J$6:$J4039,TRUE()))</f>
        <v/>
      </c>
      <c r="L4039" s="5" t="str">
        <f aca="false">IF($K4039="","","R"&amp;$K4039)</f>
        <v/>
      </c>
    </row>
    <row r="4040" customFormat="false" ht="15" hidden="false" customHeight="true" outlineLevel="0" collapsed="false">
      <c r="J4040" s="14" t="b">
        <f aca="false">IF(중복검사!$A4038="",FALSE(),중복검사!$H4038="중복")</f>
        <v>0</v>
      </c>
      <c r="K4040" s="5" t="str">
        <f aca="false">IF($J4040=FALSE(),"",COUNTIF($J$6:$J4040,TRUE()))</f>
        <v/>
      </c>
      <c r="L4040" s="5" t="str">
        <f aca="false">IF($K4040="","","R"&amp;$K4040)</f>
        <v/>
      </c>
    </row>
    <row r="4041" customFormat="false" ht="15" hidden="false" customHeight="true" outlineLevel="0" collapsed="false">
      <c r="J4041" s="14" t="b">
        <f aca="false">IF(중복검사!$A4039="",FALSE(),중복검사!$H4039="중복")</f>
        <v>0</v>
      </c>
      <c r="K4041" s="5" t="str">
        <f aca="false">IF($J4041=FALSE(),"",COUNTIF($J$6:$J4041,TRUE()))</f>
        <v/>
      </c>
      <c r="L4041" s="5" t="str">
        <f aca="false">IF($K4041="","","R"&amp;$K4041)</f>
        <v/>
      </c>
    </row>
    <row r="4042" customFormat="false" ht="15" hidden="false" customHeight="true" outlineLevel="0" collapsed="false">
      <c r="J4042" s="14" t="b">
        <f aca="false">IF(중복검사!$A4040="",FALSE(),중복검사!$H4040="중복")</f>
        <v>0</v>
      </c>
      <c r="K4042" s="5" t="str">
        <f aca="false">IF($J4042=FALSE(),"",COUNTIF($J$6:$J4042,TRUE()))</f>
        <v/>
      </c>
      <c r="L4042" s="5" t="str">
        <f aca="false">IF($K4042="","","R"&amp;$K4042)</f>
        <v/>
      </c>
    </row>
    <row r="4043" customFormat="false" ht="15" hidden="false" customHeight="true" outlineLevel="0" collapsed="false">
      <c r="J4043" s="14" t="b">
        <f aca="false">IF(중복검사!$A4041="",FALSE(),중복검사!$H4041="중복")</f>
        <v>0</v>
      </c>
      <c r="K4043" s="5" t="str">
        <f aca="false">IF($J4043=FALSE(),"",COUNTIF($J$6:$J4043,TRUE()))</f>
        <v/>
      </c>
      <c r="L4043" s="5" t="str">
        <f aca="false">IF($K4043="","","R"&amp;$K4043)</f>
        <v/>
      </c>
    </row>
    <row r="4044" customFormat="false" ht="15" hidden="false" customHeight="true" outlineLevel="0" collapsed="false">
      <c r="J4044" s="14" t="b">
        <f aca="false">IF(중복검사!$A4042="",FALSE(),중복검사!$H4042="중복")</f>
        <v>0</v>
      </c>
      <c r="K4044" s="5" t="str">
        <f aca="false">IF($J4044=FALSE(),"",COUNTIF($J$6:$J4044,TRUE()))</f>
        <v/>
      </c>
      <c r="L4044" s="5" t="str">
        <f aca="false">IF($K4044="","","R"&amp;$K4044)</f>
        <v/>
      </c>
    </row>
    <row r="4045" customFormat="false" ht="15" hidden="false" customHeight="true" outlineLevel="0" collapsed="false">
      <c r="J4045" s="14" t="b">
        <f aca="false">IF(중복검사!$A4043="",FALSE(),중복검사!$H4043="중복")</f>
        <v>0</v>
      </c>
      <c r="K4045" s="5" t="str">
        <f aca="false">IF($J4045=FALSE(),"",COUNTIF($J$6:$J4045,TRUE()))</f>
        <v/>
      </c>
      <c r="L4045" s="5" t="str">
        <f aca="false">IF($K4045="","","R"&amp;$K4045)</f>
        <v/>
      </c>
    </row>
    <row r="4046" customFormat="false" ht="15" hidden="false" customHeight="true" outlineLevel="0" collapsed="false">
      <c r="J4046" s="14" t="b">
        <f aca="false">IF(중복검사!$A4044="",FALSE(),중복검사!$H4044="중복")</f>
        <v>0</v>
      </c>
      <c r="K4046" s="5" t="str">
        <f aca="false">IF($J4046=FALSE(),"",COUNTIF($J$6:$J4046,TRUE()))</f>
        <v/>
      </c>
      <c r="L4046" s="5" t="str">
        <f aca="false">IF($K4046="","","R"&amp;$K4046)</f>
        <v/>
      </c>
    </row>
    <row r="4047" customFormat="false" ht="15" hidden="false" customHeight="true" outlineLevel="0" collapsed="false">
      <c r="J4047" s="14" t="b">
        <f aca="false">IF(중복검사!$A4045="",FALSE(),중복검사!$H4045="중복")</f>
        <v>0</v>
      </c>
      <c r="K4047" s="5" t="str">
        <f aca="false">IF($J4047=FALSE(),"",COUNTIF($J$6:$J4047,TRUE()))</f>
        <v/>
      </c>
      <c r="L4047" s="5" t="str">
        <f aca="false">IF($K4047="","","R"&amp;$K4047)</f>
        <v/>
      </c>
    </row>
    <row r="4048" customFormat="false" ht="15" hidden="false" customHeight="true" outlineLevel="0" collapsed="false">
      <c r="J4048" s="14" t="b">
        <f aca="false">IF(중복검사!$A4046="",FALSE(),중복검사!$H4046="중복")</f>
        <v>0</v>
      </c>
      <c r="K4048" s="5" t="str">
        <f aca="false">IF($J4048=FALSE(),"",COUNTIF($J$6:$J4048,TRUE()))</f>
        <v/>
      </c>
      <c r="L4048" s="5" t="str">
        <f aca="false">IF($K4048="","","R"&amp;$K4048)</f>
        <v/>
      </c>
    </row>
    <row r="4049" customFormat="false" ht="15" hidden="false" customHeight="true" outlineLevel="0" collapsed="false">
      <c r="J4049" s="14" t="b">
        <f aca="false">IF(중복검사!$A4047="",FALSE(),중복검사!$H4047="중복")</f>
        <v>0</v>
      </c>
      <c r="K4049" s="5" t="str">
        <f aca="false">IF($J4049=FALSE(),"",COUNTIF($J$6:$J4049,TRUE()))</f>
        <v/>
      </c>
      <c r="L4049" s="5" t="str">
        <f aca="false">IF($K4049="","","R"&amp;$K4049)</f>
        <v/>
      </c>
    </row>
    <row r="4050" customFormat="false" ht="15" hidden="false" customHeight="true" outlineLevel="0" collapsed="false">
      <c r="J4050" s="14" t="b">
        <f aca="false">IF(중복검사!$A4048="",FALSE(),중복검사!$H4048="중복")</f>
        <v>0</v>
      </c>
      <c r="K4050" s="5" t="str">
        <f aca="false">IF($J4050=FALSE(),"",COUNTIF($J$6:$J4050,TRUE()))</f>
        <v/>
      </c>
      <c r="L4050" s="5" t="str">
        <f aca="false">IF($K4050="","","R"&amp;$K4050)</f>
        <v/>
      </c>
    </row>
    <row r="4051" customFormat="false" ht="15" hidden="false" customHeight="true" outlineLevel="0" collapsed="false">
      <c r="J4051" s="14" t="b">
        <f aca="false">IF(중복검사!$A4049="",FALSE(),중복검사!$H4049="중복")</f>
        <v>0</v>
      </c>
      <c r="K4051" s="5" t="str">
        <f aca="false">IF($J4051=FALSE(),"",COUNTIF($J$6:$J4051,TRUE()))</f>
        <v/>
      </c>
      <c r="L4051" s="5" t="str">
        <f aca="false">IF($K4051="","","R"&amp;$K4051)</f>
        <v/>
      </c>
    </row>
    <row r="4052" customFormat="false" ht="15" hidden="false" customHeight="true" outlineLevel="0" collapsed="false">
      <c r="J4052" s="14" t="b">
        <f aca="false">IF(중복검사!$A4050="",FALSE(),중복검사!$H4050="중복")</f>
        <v>0</v>
      </c>
      <c r="K4052" s="5" t="str">
        <f aca="false">IF($J4052=FALSE(),"",COUNTIF($J$6:$J4052,TRUE()))</f>
        <v/>
      </c>
      <c r="L4052" s="5" t="str">
        <f aca="false">IF($K4052="","","R"&amp;$K4052)</f>
        <v/>
      </c>
    </row>
    <row r="4053" customFormat="false" ht="15" hidden="false" customHeight="true" outlineLevel="0" collapsed="false">
      <c r="J4053" s="14" t="b">
        <f aca="false">IF(중복검사!$A4051="",FALSE(),중복검사!$H4051="중복")</f>
        <v>0</v>
      </c>
      <c r="K4053" s="5" t="str">
        <f aca="false">IF($J4053=FALSE(),"",COUNTIF($J$6:$J4053,TRUE()))</f>
        <v/>
      </c>
      <c r="L4053" s="5" t="str">
        <f aca="false">IF($K4053="","","R"&amp;$K4053)</f>
        <v/>
      </c>
    </row>
    <row r="4054" customFormat="false" ht="15" hidden="false" customHeight="true" outlineLevel="0" collapsed="false">
      <c r="J4054" s="14" t="b">
        <f aca="false">IF(중복검사!$A4052="",FALSE(),중복검사!$H4052="중복")</f>
        <v>0</v>
      </c>
      <c r="K4054" s="5" t="str">
        <f aca="false">IF($J4054=FALSE(),"",COUNTIF($J$6:$J4054,TRUE()))</f>
        <v/>
      </c>
      <c r="L4054" s="5" t="str">
        <f aca="false">IF($K4054="","","R"&amp;$K4054)</f>
        <v/>
      </c>
    </row>
    <row r="4055" customFormat="false" ht="15" hidden="false" customHeight="true" outlineLevel="0" collapsed="false">
      <c r="J4055" s="14" t="b">
        <f aca="false">IF(중복검사!$A4053="",FALSE(),중복검사!$H4053="중복")</f>
        <v>0</v>
      </c>
      <c r="K4055" s="5" t="str">
        <f aca="false">IF($J4055=FALSE(),"",COUNTIF($J$6:$J4055,TRUE()))</f>
        <v/>
      </c>
      <c r="L4055" s="5" t="str">
        <f aca="false">IF($K4055="","","R"&amp;$K4055)</f>
        <v/>
      </c>
    </row>
    <row r="4056" customFormat="false" ht="15" hidden="false" customHeight="true" outlineLevel="0" collapsed="false">
      <c r="J4056" s="14" t="b">
        <f aca="false">IF(중복검사!$A4054="",FALSE(),중복검사!$H4054="중복")</f>
        <v>0</v>
      </c>
      <c r="K4056" s="5" t="str">
        <f aca="false">IF($J4056=FALSE(),"",COUNTIF($J$6:$J4056,TRUE()))</f>
        <v/>
      </c>
      <c r="L4056" s="5" t="str">
        <f aca="false">IF($K4056="","","R"&amp;$K4056)</f>
        <v/>
      </c>
    </row>
    <row r="4057" customFormat="false" ht="15" hidden="false" customHeight="true" outlineLevel="0" collapsed="false">
      <c r="J4057" s="14" t="b">
        <f aca="false">IF(중복검사!$A4055="",FALSE(),중복검사!$H4055="중복")</f>
        <v>0</v>
      </c>
      <c r="K4057" s="5" t="str">
        <f aca="false">IF($J4057=FALSE(),"",COUNTIF($J$6:$J4057,TRUE()))</f>
        <v/>
      </c>
      <c r="L4057" s="5" t="str">
        <f aca="false">IF($K4057="","","R"&amp;$K4057)</f>
        <v/>
      </c>
    </row>
    <row r="4058" customFormat="false" ht="15" hidden="false" customHeight="true" outlineLevel="0" collapsed="false">
      <c r="J4058" s="14" t="b">
        <f aca="false">IF(중복검사!$A4056="",FALSE(),중복검사!$H4056="중복")</f>
        <v>0</v>
      </c>
      <c r="K4058" s="5" t="str">
        <f aca="false">IF($J4058=FALSE(),"",COUNTIF($J$6:$J4058,TRUE()))</f>
        <v/>
      </c>
      <c r="L4058" s="5" t="str">
        <f aca="false">IF($K4058="","","R"&amp;$K4058)</f>
        <v/>
      </c>
    </row>
    <row r="4059" customFormat="false" ht="15" hidden="false" customHeight="true" outlineLevel="0" collapsed="false">
      <c r="J4059" s="14" t="b">
        <f aca="false">IF(중복검사!$A4057="",FALSE(),중복검사!$H4057="중복")</f>
        <v>0</v>
      </c>
      <c r="K4059" s="5" t="str">
        <f aca="false">IF($J4059=FALSE(),"",COUNTIF($J$6:$J4059,TRUE()))</f>
        <v/>
      </c>
      <c r="L4059" s="5" t="str">
        <f aca="false">IF($K4059="","","R"&amp;$K4059)</f>
        <v/>
      </c>
    </row>
    <row r="4060" customFormat="false" ht="15" hidden="false" customHeight="true" outlineLevel="0" collapsed="false">
      <c r="J4060" s="14" t="b">
        <f aca="false">IF(중복검사!$A4058="",FALSE(),중복검사!$H4058="중복")</f>
        <v>0</v>
      </c>
      <c r="K4060" s="5" t="str">
        <f aca="false">IF($J4060=FALSE(),"",COUNTIF($J$6:$J4060,TRUE()))</f>
        <v/>
      </c>
      <c r="L4060" s="5" t="str">
        <f aca="false">IF($K4060="","","R"&amp;$K4060)</f>
        <v/>
      </c>
    </row>
    <row r="4061" customFormat="false" ht="15" hidden="false" customHeight="true" outlineLevel="0" collapsed="false">
      <c r="J4061" s="14" t="b">
        <f aca="false">IF(중복검사!$A4059="",FALSE(),중복검사!$H4059="중복")</f>
        <v>0</v>
      </c>
      <c r="K4061" s="5" t="str">
        <f aca="false">IF($J4061=FALSE(),"",COUNTIF($J$6:$J4061,TRUE()))</f>
        <v/>
      </c>
      <c r="L4061" s="5" t="str">
        <f aca="false">IF($K4061="","","R"&amp;$K4061)</f>
        <v/>
      </c>
    </row>
    <row r="4062" customFormat="false" ht="15" hidden="false" customHeight="true" outlineLevel="0" collapsed="false">
      <c r="J4062" s="14" t="b">
        <f aca="false">IF(중복검사!$A4060="",FALSE(),중복검사!$H4060="중복")</f>
        <v>0</v>
      </c>
      <c r="K4062" s="5" t="str">
        <f aca="false">IF($J4062=FALSE(),"",COUNTIF($J$6:$J4062,TRUE()))</f>
        <v/>
      </c>
      <c r="L4062" s="5" t="str">
        <f aca="false">IF($K4062="","","R"&amp;$K4062)</f>
        <v/>
      </c>
    </row>
    <row r="4063" customFormat="false" ht="15" hidden="false" customHeight="true" outlineLevel="0" collapsed="false">
      <c r="J4063" s="14" t="b">
        <f aca="false">IF(중복검사!$A4061="",FALSE(),중복검사!$H4061="중복")</f>
        <v>0</v>
      </c>
      <c r="K4063" s="5" t="str">
        <f aca="false">IF($J4063=FALSE(),"",COUNTIF($J$6:$J4063,TRUE()))</f>
        <v/>
      </c>
      <c r="L4063" s="5" t="str">
        <f aca="false">IF($K4063="","","R"&amp;$K4063)</f>
        <v/>
      </c>
    </row>
    <row r="4064" customFormat="false" ht="15" hidden="false" customHeight="true" outlineLevel="0" collapsed="false">
      <c r="J4064" s="14" t="b">
        <f aca="false">IF(중복검사!$A4062="",FALSE(),중복검사!$H4062="중복")</f>
        <v>0</v>
      </c>
      <c r="K4064" s="5" t="str">
        <f aca="false">IF($J4064=FALSE(),"",COUNTIF($J$6:$J4064,TRUE()))</f>
        <v/>
      </c>
      <c r="L4064" s="5" t="str">
        <f aca="false">IF($K4064="","","R"&amp;$K4064)</f>
        <v/>
      </c>
    </row>
    <row r="4065" customFormat="false" ht="15" hidden="false" customHeight="true" outlineLevel="0" collapsed="false">
      <c r="J4065" s="14" t="b">
        <f aca="false">IF(중복검사!$A4063="",FALSE(),중복검사!$H4063="중복")</f>
        <v>0</v>
      </c>
      <c r="K4065" s="5" t="str">
        <f aca="false">IF($J4065=FALSE(),"",COUNTIF($J$6:$J4065,TRUE()))</f>
        <v/>
      </c>
      <c r="L4065" s="5" t="str">
        <f aca="false">IF($K4065="","","R"&amp;$K4065)</f>
        <v/>
      </c>
    </row>
    <row r="4066" customFormat="false" ht="15" hidden="false" customHeight="true" outlineLevel="0" collapsed="false">
      <c r="J4066" s="14" t="b">
        <f aca="false">IF(중복검사!$A4064="",FALSE(),중복검사!$H4064="중복")</f>
        <v>0</v>
      </c>
      <c r="K4066" s="5" t="str">
        <f aca="false">IF($J4066=FALSE(),"",COUNTIF($J$6:$J4066,TRUE()))</f>
        <v/>
      </c>
      <c r="L4066" s="5" t="str">
        <f aca="false">IF($K4066="","","R"&amp;$K4066)</f>
        <v/>
      </c>
    </row>
    <row r="4067" customFormat="false" ht="15" hidden="false" customHeight="true" outlineLevel="0" collapsed="false">
      <c r="J4067" s="14" t="b">
        <f aca="false">IF(중복검사!$A4065="",FALSE(),중복검사!$H4065="중복")</f>
        <v>0</v>
      </c>
      <c r="K4067" s="5" t="str">
        <f aca="false">IF($J4067=FALSE(),"",COUNTIF($J$6:$J4067,TRUE()))</f>
        <v/>
      </c>
      <c r="L4067" s="5" t="str">
        <f aca="false">IF($K4067="","","R"&amp;$K4067)</f>
        <v/>
      </c>
    </row>
    <row r="4068" customFormat="false" ht="15" hidden="false" customHeight="true" outlineLevel="0" collapsed="false">
      <c r="J4068" s="14" t="b">
        <f aca="false">IF(중복검사!$A4066="",FALSE(),중복검사!$H4066="중복")</f>
        <v>0</v>
      </c>
      <c r="K4068" s="5" t="str">
        <f aca="false">IF($J4068=FALSE(),"",COUNTIF($J$6:$J4068,TRUE()))</f>
        <v/>
      </c>
      <c r="L4068" s="5" t="str">
        <f aca="false">IF($K4068="","","R"&amp;$K4068)</f>
        <v/>
      </c>
    </row>
    <row r="4069" customFormat="false" ht="15" hidden="false" customHeight="true" outlineLevel="0" collapsed="false">
      <c r="J4069" s="14" t="b">
        <f aca="false">IF(중복검사!$A4067="",FALSE(),중복검사!$H4067="중복")</f>
        <v>0</v>
      </c>
      <c r="K4069" s="5" t="str">
        <f aca="false">IF($J4069=FALSE(),"",COUNTIF($J$6:$J4069,TRUE()))</f>
        <v/>
      </c>
      <c r="L4069" s="5" t="str">
        <f aca="false">IF($K4069="","","R"&amp;$K4069)</f>
        <v/>
      </c>
    </row>
    <row r="4070" customFormat="false" ht="15" hidden="false" customHeight="true" outlineLevel="0" collapsed="false">
      <c r="J4070" s="14" t="b">
        <f aca="false">IF(중복검사!$A4068="",FALSE(),중복검사!$H4068="중복")</f>
        <v>0</v>
      </c>
      <c r="K4070" s="5" t="str">
        <f aca="false">IF($J4070=FALSE(),"",COUNTIF($J$6:$J4070,TRUE()))</f>
        <v/>
      </c>
      <c r="L4070" s="5" t="str">
        <f aca="false">IF($K4070="","","R"&amp;$K4070)</f>
        <v/>
      </c>
    </row>
    <row r="4071" customFormat="false" ht="15" hidden="false" customHeight="true" outlineLevel="0" collapsed="false">
      <c r="J4071" s="14" t="b">
        <f aca="false">IF(중복검사!$A4069="",FALSE(),중복검사!$H4069="중복")</f>
        <v>0</v>
      </c>
      <c r="K4071" s="5" t="str">
        <f aca="false">IF($J4071=FALSE(),"",COUNTIF($J$6:$J4071,TRUE()))</f>
        <v/>
      </c>
      <c r="L4071" s="5" t="str">
        <f aca="false">IF($K4071="","","R"&amp;$K4071)</f>
        <v/>
      </c>
    </row>
    <row r="4072" customFormat="false" ht="15" hidden="false" customHeight="true" outlineLevel="0" collapsed="false">
      <c r="J4072" s="14" t="b">
        <f aca="false">IF(중복검사!$A4070="",FALSE(),중복검사!$H4070="중복")</f>
        <v>0</v>
      </c>
      <c r="K4072" s="5" t="str">
        <f aca="false">IF($J4072=FALSE(),"",COUNTIF($J$6:$J4072,TRUE()))</f>
        <v/>
      </c>
      <c r="L4072" s="5" t="str">
        <f aca="false">IF($K4072="","","R"&amp;$K4072)</f>
        <v/>
      </c>
    </row>
    <row r="4073" customFormat="false" ht="15" hidden="false" customHeight="true" outlineLevel="0" collapsed="false">
      <c r="J4073" s="14" t="b">
        <f aca="false">IF(중복검사!$A4071="",FALSE(),중복검사!$H4071="중복")</f>
        <v>0</v>
      </c>
      <c r="K4073" s="5" t="str">
        <f aca="false">IF($J4073=FALSE(),"",COUNTIF($J$6:$J4073,TRUE()))</f>
        <v/>
      </c>
      <c r="L4073" s="5" t="str">
        <f aca="false">IF($K4073="","","R"&amp;$K4073)</f>
        <v/>
      </c>
    </row>
    <row r="4074" customFormat="false" ht="15" hidden="false" customHeight="true" outlineLevel="0" collapsed="false">
      <c r="J4074" s="14" t="b">
        <f aca="false">IF(중복검사!$A4072="",FALSE(),중복검사!$H4072="중복")</f>
        <v>0</v>
      </c>
      <c r="K4074" s="5" t="str">
        <f aca="false">IF($J4074=FALSE(),"",COUNTIF($J$6:$J4074,TRUE()))</f>
        <v/>
      </c>
      <c r="L4074" s="5" t="str">
        <f aca="false">IF($K4074="","","R"&amp;$K4074)</f>
        <v/>
      </c>
    </row>
    <row r="4075" customFormat="false" ht="15" hidden="false" customHeight="true" outlineLevel="0" collapsed="false">
      <c r="J4075" s="14" t="b">
        <f aca="false">IF(중복검사!$A4073="",FALSE(),중복검사!$H4073="중복")</f>
        <v>0</v>
      </c>
      <c r="K4075" s="5" t="str">
        <f aca="false">IF($J4075=FALSE(),"",COUNTIF($J$6:$J4075,TRUE()))</f>
        <v/>
      </c>
      <c r="L4075" s="5" t="str">
        <f aca="false">IF($K4075="","","R"&amp;$K4075)</f>
        <v/>
      </c>
    </row>
    <row r="4076" customFormat="false" ht="15" hidden="false" customHeight="true" outlineLevel="0" collapsed="false">
      <c r="J4076" s="14" t="b">
        <f aca="false">IF(중복검사!$A4074="",FALSE(),중복검사!$H4074="중복")</f>
        <v>0</v>
      </c>
      <c r="K4076" s="5" t="str">
        <f aca="false">IF($J4076=FALSE(),"",COUNTIF($J$6:$J4076,TRUE()))</f>
        <v/>
      </c>
      <c r="L4076" s="5" t="str">
        <f aca="false">IF($K4076="","","R"&amp;$K4076)</f>
        <v/>
      </c>
    </row>
    <row r="4077" customFormat="false" ht="15" hidden="false" customHeight="true" outlineLevel="0" collapsed="false">
      <c r="J4077" s="14" t="b">
        <f aca="false">IF(중복검사!$A4075="",FALSE(),중복검사!$H4075="중복")</f>
        <v>0</v>
      </c>
      <c r="K4077" s="5" t="str">
        <f aca="false">IF($J4077=FALSE(),"",COUNTIF($J$6:$J4077,TRUE()))</f>
        <v/>
      </c>
      <c r="L4077" s="5" t="str">
        <f aca="false">IF($K4077="","","R"&amp;$K4077)</f>
        <v/>
      </c>
    </row>
    <row r="4078" customFormat="false" ht="15" hidden="false" customHeight="true" outlineLevel="0" collapsed="false">
      <c r="J4078" s="14" t="b">
        <f aca="false">IF(중복검사!$A4076="",FALSE(),중복검사!$H4076="중복")</f>
        <v>0</v>
      </c>
      <c r="K4078" s="5" t="str">
        <f aca="false">IF($J4078=FALSE(),"",COUNTIF($J$6:$J4078,TRUE()))</f>
        <v/>
      </c>
      <c r="L4078" s="5" t="str">
        <f aca="false">IF($K4078="","","R"&amp;$K4078)</f>
        <v/>
      </c>
    </row>
    <row r="4079" customFormat="false" ht="15" hidden="false" customHeight="true" outlineLevel="0" collapsed="false">
      <c r="J4079" s="14" t="b">
        <f aca="false">IF(중복검사!$A4077="",FALSE(),중복검사!$H4077="중복")</f>
        <v>0</v>
      </c>
      <c r="K4079" s="5" t="str">
        <f aca="false">IF($J4079=FALSE(),"",COUNTIF($J$6:$J4079,TRUE()))</f>
        <v/>
      </c>
      <c r="L4079" s="5" t="str">
        <f aca="false">IF($K4079="","","R"&amp;$K4079)</f>
        <v/>
      </c>
    </row>
    <row r="4080" customFormat="false" ht="15" hidden="false" customHeight="true" outlineLevel="0" collapsed="false">
      <c r="J4080" s="14" t="b">
        <f aca="false">IF(중복검사!$A4078="",FALSE(),중복검사!$H4078="중복")</f>
        <v>0</v>
      </c>
      <c r="K4080" s="5" t="str">
        <f aca="false">IF($J4080=FALSE(),"",COUNTIF($J$6:$J4080,TRUE()))</f>
        <v/>
      </c>
      <c r="L4080" s="5" t="str">
        <f aca="false">IF($K4080="","","R"&amp;$K4080)</f>
        <v/>
      </c>
    </row>
    <row r="4081" customFormat="false" ht="15" hidden="false" customHeight="true" outlineLevel="0" collapsed="false">
      <c r="J4081" s="14" t="b">
        <f aca="false">IF(중복검사!$A4079="",FALSE(),중복검사!$H4079="중복")</f>
        <v>0</v>
      </c>
      <c r="K4081" s="5" t="str">
        <f aca="false">IF($J4081=FALSE(),"",COUNTIF($J$6:$J4081,TRUE()))</f>
        <v/>
      </c>
      <c r="L4081" s="5" t="str">
        <f aca="false">IF($K4081="","","R"&amp;$K4081)</f>
        <v/>
      </c>
    </row>
    <row r="4082" customFormat="false" ht="15" hidden="false" customHeight="true" outlineLevel="0" collapsed="false">
      <c r="J4082" s="14" t="b">
        <f aca="false">IF(중복검사!$A4080="",FALSE(),중복검사!$H4080="중복")</f>
        <v>0</v>
      </c>
      <c r="K4082" s="5" t="str">
        <f aca="false">IF($J4082=FALSE(),"",COUNTIF($J$6:$J4082,TRUE()))</f>
        <v/>
      </c>
      <c r="L4082" s="5" t="str">
        <f aca="false">IF($K4082="","","R"&amp;$K4082)</f>
        <v/>
      </c>
    </row>
    <row r="4083" customFormat="false" ht="15" hidden="false" customHeight="true" outlineLevel="0" collapsed="false">
      <c r="J4083" s="14" t="b">
        <f aca="false">IF(중복검사!$A4081="",FALSE(),중복검사!$H4081="중복")</f>
        <v>0</v>
      </c>
      <c r="K4083" s="5" t="str">
        <f aca="false">IF($J4083=FALSE(),"",COUNTIF($J$6:$J4083,TRUE()))</f>
        <v/>
      </c>
      <c r="L4083" s="5" t="str">
        <f aca="false">IF($K4083="","","R"&amp;$K4083)</f>
        <v/>
      </c>
    </row>
    <row r="4084" customFormat="false" ht="15" hidden="false" customHeight="true" outlineLevel="0" collapsed="false">
      <c r="J4084" s="14" t="b">
        <f aca="false">IF(중복검사!$A4082="",FALSE(),중복검사!$H4082="중복")</f>
        <v>0</v>
      </c>
      <c r="K4084" s="5" t="str">
        <f aca="false">IF($J4084=FALSE(),"",COUNTIF($J$6:$J4084,TRUE()))</f>
        <v/>
      </c>
      <c r="L4084" s="5" t="str">
        <f aca="false">IF($K4084="","","R"&amp;$K4084)</f>
        <v/>
      </c>
    </row>
    <row r="4085" customFormat="false" ht="15" hidden="false" customHeight="true" outlineLevel="0" collapsed="false">
      <c r="J4085" s="14" t="b">
        <f aca="false">IF(중복검사!$A4083="",FALSE(),중복검사!$H4083="중복")</f>
        <v>0</v>
      </c>
      <c r="K4085" s="5" t="str">
        <f aca="false">IF($J4085=FALSE(),"",COUNTIF($J$6:$J4085,TRUE()))</f>
        <v/>
      </c>
      <c r="L4085" s="5" t="str">
        <f aca="false">IF($K4085="","","R"&amp;$K4085)</f>
        <v/>
      </c>
    </row>
    <row r="4086" customFormat="false" ht="15" hidden="false" customHeight="true" outlineLevel="0" collapsed="false">
      <c r="J4086" s="14" t="b">
        <f aca="false">IF(중복검사!$A4084="",FALSE(),중복검사!$H4084="중복")</f>
        <v>0</v>
      </c>
      <c r="K4086" s="5" t="str">
        <f aca="false">IF($J4086=FALSE(),"",COUNTIF($J$6:$J4086,TRUE()))</f>
        <v/>
      </c>
      <c r="L4086" s="5" t="str">
        <f aca="false">IF($K4086="","","R"&amp;$K4086)</f>
        <v/>
      </c>
    </row>
    <row r="4087" customFormat="false" ht="15" hidden="false" customHeight="true" outlineLevel="0" collapsed="false">
      <c r="J4087" s="14" t="b">
        <f aca="false">IF(중복검사!$A4085="",FALSE(),중복검사!$H4085="중복")</f>
        <v>0</v>
      </c>
      <c r="K4087" s="5" t="str">
        <f aca="false">IF($J4087=FALSE(),"",COUNTIF($J$6:$J4087,TRUE()))</f>
        <v/>
      </c>
      <c r="L4087" s="5" t="str">
        <f aca="false">IF($K4087="","","R"&amp;$K4087)</f>
        <v/>
      </c>
    </row>
    <row r="4088" customFormat="false" ht="15" hidden="false" customHeight="true" outlineLevel="0" collapsed="false">
      <c r="J4088" s="14" t="b">
        <f aca="false">IF(중복검사!$A4086="",FALSE(),중복검사!$H4086="중복")</f>
        <v>0</v>
      </c>
      <c r="K4088" s="5" t="str">
        <f aca="false">IF($J4088=FALSE(),"",COUNTIF($J$6:$J4088,TRUE()))</f>
        <v/>
      </c>
      <c r="L4088" s="5" t="str">
        <f aca="false">IF($K4088="","","R"&amp;$K4088)</f>
        <v/>
      </c>
    </row>
    <row r="4089" customFormat="false" ht="15" hidden="false" customHeight="true" outlineLevel="0" collapsed="false">
      <c r="J4089" s="14" t="b">
        <f aca="false">IF(중복검사!$A4087="",FALSE(),중복검사!$H4087="중복")</f>
        <v>0</v>
      </c>
      <c r="K4089" s="5" t="str">
        <f aca="false">IF($J4089=FALSE(),"",COUNTIF($J$6:$J4089,TRUE()))</f>
        <v/>
      </c>
      <c r="L4089" s="5" t="str">
        <f aca="false">IF($K4089="","","R"&amp;$K4089)</f>
        <v/>
      </c>
    </row>
    <row r="4090" customFormat="false" ht="15" hidden="false" customHeight="true" outlineLevel="0" collapsed="false">
      <c r="J4090" s="14" t="b">
        <f aca="false">IF(중복검사!$A4088="",FALSE(),중복검사!$H4088="중복")</f>
        <v>0</v>
      </c>
      <c r="K4090" s="5" t="str">
        <f aca="false">IF($J4090=FALSE(),"",COUNTIF($J$6:$J4090,TRUE()))</f>
        <v/>
      </c>
      <c r="L4090" s="5" t="str">
        <f aca="false">IF($K4090="","","R"&amp;$K4090)</f>
        <v/>
      </c>
    </row>
    <row r="4091" customFormat="false" ht="15" hidden="false" customHeight="true" outlineLevel="0" collapsed="false">
      <c r="J4091" s="14" t="b">
        <f aca="false">IF(중복검사!$A4089="",FALSE(),중복검사!$H4089="중복")</f>
        <v>0</v>
      </c>
      <c r="K4091" s="5" t="str">
        <f aca="false">IF($J4091=FALSE(),"",COUNTIF($J$6:$J4091,TRUE()))</f>
        <v/>
      </c>
      <c r="L4091" s="5" t="str">
        <f aca="false">IF($K4091="","","R"&amp;$K4091)</f>
        <v/>
      </c>
    </row>
    <row r="4092" customFormat="false" ht="15" hidden="false" customHeight="true" outlineLevel="0" collapsed="false">
      <c r="J4092" s="14" t="b">
        <f aca="false">IF(중복검사!$A4090="",FALSE(),중복검사!$H4090="중복")</f>
        <v>0</v>
      </c>
      <c r="K4092" s="5" t="str">
        <f aca="false">IF($J4092=FALSE(),"",COUNTIF($J$6:$J4092,TRUE()))</f>
        <v/>
      </c>
      <c r="L4092" s="5" t="str">
        <f aca="false">IF($K4092="","","R"&amp;$K4092)</f>
        <v/>
      </c>
    </row>
    <row r="4093" customFormat="false" ht="15" hidden="false" customHeight="true" outlineLevel="0" collapsed="false">
      <c r="J4093" s="14" t="b">
        <f aca="false">IF(중복검사!$A4091="",FALSE(),중복검사!$H4091="중복")</f>
        <v>0</v>
      </c>
      <c r="K4093" s="5" t="str">
        <f aca="false">IF($J4093=FALSE(),"",COUNTIF($J$6:$J4093,TRUE()))</f>
        <v/>
      </c>
      <c r="L4093" s="5" t="str">
        <f aca="false">IF($K4093="","","R"&amp;$K4093)</f>
        <v/>
      </c>
    </row>
    <row r="4094" customFormat="false" ht="15" hidden="false" customHeight="true" outlineLevel="0" collapsed="false">
      <c r="J4094" s="14" t="b">
        <f aca="false">IF(중복검사!$A4092="",FALSE(),중복검사!$H4092="중복")</f>
        <v>0</v>
      </c>
      <c r="K4094" s="5" t="str">
        <f aca="false">IF($J4094=FALSE(),"",COUNTIF($J$6:$J4094,TRUE()))</f>
        <v/>
      </c>
      <c r="L4094" s="5" t="str">
        <f aca="false">IF($K4094="","","R"&amp;$K4094)</f>
        <v/>
      </c>
    </row>
    <row r="4095" customFormat="false" ht="15" hidden="false" customHeight="true" outlineLevel="0" collapsed="false">
      <c r="J4095" s="14" t="b">
        <f aca="false">IF(중복검사!$A4093="",FALSE(),중복검사!$H4093="중복")</f>
        <v>0</v>
      </c>
      <c r="K4095" s="5" t="str">
        <f aca="false">IF($J4095=FALSE(),"",COUNTIF($J$6:$J4095,TRUE()))</f>
        <v/>
      </c>
      <c r="L4095" s="5" t="str">
        <f aca="false">IF($K4095="","","R"&amp;$K4095)</f>
        <v/>
      </c>
    </row>
    <row r="4096" customFormat="false" ht="15" hidden="false" customHeight="true" outlineLevel="0" collapsed="false">
      <c r="J4096" s="14" t="b">
        <f aca="false">IF(중복검사!$A4094="",FALSE(),중복검사!$H4094="중복")</f>
        <v>0</v>
      </c>
      <c r="K4096" s="5" t="str">
        <f aca="false">IF($J4096=FALSE(),"",COUNTIF($J$6:$J4096,TRUE()))</f>
        <v/>
      </c>
      <c r="L4096" s="5" t="str">
        <f aca="false">IF($K4096="","","R"&amp;$K4096)</f>
        <v/>
      </c>
    </row>
    <row r="4097" customFormat="false" ht="15" hidden="false" customHeight="true" outlineLevel="0" collapsed="false">
      <c r="J4097" s="14" t="b">
        <f aca="false">IF(중복검사!$A4095="",FALSE(),중복검사!$H4095="중복")</f>
        <v>0</v>
      </c>
      <c r="K4097" s="5" t="str">
        <f aca="false">IF($J4097=FALSE(),"",COUNTIF($J$6:$J4097,TRUE()))</f>
        <v/>
      </c>
      <c r="L4097" s="5" t="str">
        <f aca="false">IF($K4097="","","R"&amp;$K4097)</f>
        <v/>
      </c>
    </row>
    <row r="4098" customFormat="false" ht="15" hidden="false" customHeight="true" outlineLevel="0" collapsed="false">
      <c r="J4098" s="14" t="b">
        <f aca="false">IF(중복검사!$A4096="",FALSE(),중복검사!$H4096="중복")</f>
        <v>0</v>
      </c>
      <c r="K4098" s="5" t="str">
        <f aca="false">IF($J4098=FALSE(),"",COUNTIF($J$6:$J4098,TRUE()))</f>
        <v/>
      </c>
      <c r="L4098" s="5" t="str">
        <f aca="false">IF($K4098="","","R"&amp;$K4098)</f>
        <v/>
      </c>
    </row>
    <row r="4099" customFormat="false" ht="15" hidden="false" customHeight="true" outlineLevel="0" collapsed="false">
      <c r="J4099" s="14" t="b">
        <f aca="false">IF(중복검사!$A4097="",FALSE(),중복검사!$H4097="중복")</f>
        <v>0</v>
      </c>
      <c r="K4099" s="5" t="str">
        <f aca="false">IF($J4099=FALSE(),"",COUNTIF($J$6:$J4099,TRUE()))</f>
        <v/>
      </c>
      <c r="L4099" s="5" t="str">
        <f aca="false">IF($K4099="","","R"&amp;$K4099)</f>
        <v/>
      </c>
    </row>
    <row r="4100" customFormat="false" ht="15" hidden="false" customHeight="true" outlineLevel="0" collapsed="false">
      <c r="J4100" s="14" t="b">
        <f aca="false">IF(중복검사!$A4098="",FALSE(),중복검사!$H4098="중복")</f>
        <v>0</v>
      </c>
      <c r="K4100" s="5" t="str">
        <f aca="false">IF($J4100=FALSE(),"",COUNTIF($J$6:$J4100,TRUE()))</f>
        <v/>
      </c>
      <c r="L4100" s="5" t="str">
        <f aca="false">IF($K4100="","","R"&amp;$K4100)</f>
        <v/>
      </c>
    </row>
    <row r="4101" customFormat="false" ht="15" hidden="false" customHeight="true" outlineLevel="0" collapsed="false">
      <c r="J4101" s="14" t="b">
        <f aca="false">IF(중복검사!$A4099="",FALSE(),중복검사!$H4099="중복")</f>
        <v>0</v>
      </c>
      <c r="K4101" s="5" t="str">
        <f aca="false">IF($J4101=FALSE(),"",COUNTIF($J$6:$J4101,TRUE()))</f>
        <v/>
      </c>
      <c r="L4101" s="5" t="str">
        <f aca="false">IF($K4101="","","R"&amp;$K4101)</f>
        <v/>
      </c>
    </row>
    <row r="4102" customFormat="false" ht="15" hidden="false" customHeight="true" outlineLevel="0" collapsed="false">
      <c r="J4102" s="14" t="b">
        <f aca="false">IF(중복검사!$A4100="",FALSE(),중복검사!$H4100="중복")</f>
        <v>0</v>
      </c>
      <c r="K4102" s="5" t="str">
        <f aca="false">IF($J4102=FALSE(),"",COUNTIF($J$6:$J4102,TRUE()))</f>
        <v/>
      </c>
      <c r="L4102" s="5" t="str">
        <f aca="false">IF($K4102="","","R"&amp;$K4102)</f>
        <v/>
      </c>
    </row>
    <row r="4103" customFormat="false" ht="15" hidden="false" customHeight="true" outlineLevel="0" collapsed="false">
      <c r="J4103" s="14" t="b">
        <f aca="false">IF(중복검사!$A4101="",FALSE(),중복검사!$H4101="중복")</f>
        <v>0</v>
      </c>
      <c r="K4103" s="5" t="str">
        <f aca="false">IF($J4103=FALSE(),"",COUNTIF($J$6:$J4103,TRUE()))</f>
        <v/>
      </c>
      <c r="L4103" s="5" t="str">
        <f aca="false">IF($K4103="","","R"&amp;$K4103)</f>
        <v/>
      </c>
    </row>
    <row r="4104" customFormat="false" ht="15" hidden="false" customHeight="true" outlineLevel="0" collapsed="false">
      <c r="J4104" s="14" t="b">
        <f aca="false">IF(중복검사!$A4102="",FALSE(),중복검사!$H4102="중복")</f>
        <v>0</v>
      </c>
      <c r="K4104" s="5" t="str">
        <f aca="false">IF($J4104=FALSE(),"",COUNTIF($J$6:$J4104,TRUE()))</f>
        <v/>
      </c>
      <c r="L4104" s="5" t="str">
        <f aca="false">IF($K4104="","","R"&amp;$K4104)</f>
        <v/>
      </c>
    </row>
    <row r="4105" customFormat="false" ht="15" hidden="false" customHeight="true" outlineLevel="0" collapsed="false">
      <c r="J4105" s="14" t="b">
        <f aca="false">IF(중복검사!$A4103="",FALSE(),중복검사!$H4103="중복")</f>
        <v>0</v>
      </c>
      <c r="K4105" s="5" t="str">
        <f aca="false">IF($J4105=FALSE(),"",COUNTIF($J$6:$J4105,TRUE()))</f>
        <v/>
      </c>
      <c r="L4105" s="5" t="str">
        <f aca="false">IF($K4105="","","R"&amp;$K4105)</f>
        <v/>
      </c>
    </row>
    <row r="4106" customFormat="false" ht="15" hidden="false" customHeight="true" outlineLevel="0" collapsed="false">
      <c r="J4106" s="14" t="b">
        <f aca="false">IF(중복검사!$A4104="",FALSE(),중복검사!$H4104="중복")</f>
        <v>0</v>
      </c>
      <c r="K4106" s="5" t="str">
        <f aca="false">IF($J4106=FALSE(),"",COUNTIF($J$6:$J4106,TRUE()))</f>
        <v/>
      </c>
      <c r="L4106" s="5" t="str">
        <f aca="false">IF($K4106="","","R"&amp;$K4106)</f>
        <v/>
      </c>
    </row>
    <row r="4107" customFormat="false" ht="15" hidden="false" customHeight="true" outlineLevel="0" collapsed="false">
      <c r="J4107" s="14" t="b">
        <f aca="false">IF(중복검사!$A4105="",FALSE(),중복검사!$H4105="중복")</f>
        <v>0</v>
      </c>
      <c r="K4107" s="5" t="str">
        <f aca="false">IF($J4107=FALSE(),"",COUNTIF($J$6:$J4107,TRUE()))</f>
        <v/>
      </c>
      <c r="L4107" s="5" t="str">
        <f aca="false">IF($K4107="","","R"&amp;$K4107)</f>
        <v/>
      </c>
    </row>
    <row r="4108" customFormat="false" ht="15" hidden="false" customHeight="true" outlineLevel="0" collapsed="false">
      <c r="J4108" s="14" t="b">
        <f aca="false">IF(중복검사!$A4106="",FALSE(),중복검사!$H4106="중복")</f>
        <v>0</v>
      </c>
      <c r="K4108" s="5" t="str">
        <f aca="false">IF($J4108=FALSE(),"",COUNTIF($J$6:$J4108,TRUE()))</f>
        <v/>
      </c>
      <c r="L4108" s="5" t="str">
        <f aca="false">IF($K4108="","","R"&amp;$K4108)</f>
        <v/>
      </c>
    </row>
    <row r="4109" customFormat="false" ht="15" hidden="false" customHeight="true" outlineLevel="0" collapsed="false">
      <c r="J4109" s="14" t="b">
        <f aca="false">IF(중복검사!$A4107="",FALSE(),중복검사!$H4107="중복")</f>
        <v>0</v>
      </c>
      <c r="K4109" s="5" t="str">
        <f aca="false">IF($J4109=FALSE(),"",COUNTIF($J$6:$J4109,TRUE()))</f>
        <v/>
      </c>
      <c r="L4109" s="5" t="str">
        <f aca="false">IF($K4109="","","R"&amp;$K4109)</f>
        <v/>
      </c>
    </row>
    <row r="4110" customFormat="false" ht="15" hidden="false" customHeight="true" outlineLevel="0" collapsed="false">
      <c r="J4110" s="14" t="b">
        <f aca="false">IF(중복검사!$A4108="",FALSE(),중복검사!$H4108="중복")</f>
        <v>0</v>
      </c>
      <c r="K4110" s="5" t="str">
        <f aca="false">IF($J4110=FALSE(),"",COUNTIF($J$6:$J4110,TRUE()))</f>
        <v/>
      </c>
      <c r="L4110" s="5" t="str">
        <f aca="false">IF($K4110="","","R"&amp;$K4110)</f>
        <v/>
      </c>
    </row>
    <row r="4111" customFormat="false" ht="15" hidden="false" customHeight="true" outlineLevel="0" collapsed="false">
      <c r="J4111" s="14" t="b">
        <f aca="false">IF(중복검사!$A4109="",FALSE(),중복검사!$H4109="중복")</f>
        <v>0</v>
      </c>
      <c r="K4111" s="5" t="str">
        <f aca="false">IF($J4111=FALSE(),"",COUNTIF($J$6:$J4111,TRUE()))</f>
        <v/>
      </c>
      <c r="L4111" s="5" t="str">
        <f aca="false">IF($K4111="","","R"&amp;$K4111)</f>
        <v/>
      </c>
    </row>
    <row r="4112" customFormat="false" ht="15" hidden="false" customHeight="true" outlineLevel="0" collapsed="false">
      <c r="J4112" s="14" t="b">
        <f aca="false">IF(중복검사!$A4110="",FALSE(),중복검사!$H4110="중복")</f>
        <v>0</v>
      </c>
      <c r="K4112" s="5" t="str">
        <f aca="false">IF($J4112=FALSE(),"",COUNTIF($J$6:$J4112,TRUE()))</f>
        <v/>
      </c>
      <c r="L4112" s="5" t="str">
        <f aca="false">IF($K4112="","","R"&amp;$K4112)</f>
        <v/>
      </c>
    </row>
    <row r="4113" customFormat="false" ht="15" hidden="false" customHeight="true" outlineLevel="0" collapsed="false">
      <c r="J4113" s="14" t="b">
        <f aca="false">IF(중복검사!$A4111="",FALSE(),중복검사!$H4111="중복")</f>
        <v>0</v>
      </c>
      <c r="K4113" s="5" t="str">
        <f aca="false">IF($J4113=FALSE(),"",COUNTIF($J$6:$J4113,TRUE()))</f>
        <v/>
      </c>
      <c r="L4113" s="5" t="str">
        <f aca="false">IF($K4113="","","R"&amp;$K4113)</f>
        <v/>
      </c>
    </row>
    <row r="4114" customFormat="false" ht="15" hidden="false" customHeight="true" outlineLevel="0" collapsed="false">
      <c r="J4114" s="14" t="b">
        <f aca="false">IF(중복검사!$A4112="",FALSE(),중복검사!$H4112="중복")</f>
        <v>0</v>
      </c>
      <c r="K4114" s="5" t="str">
        <f aca="false">IF($J4114=FALSE(),"",COUNTIF($J$6:$J4114,TRUE()))</f>
        <v/>
      </c>
      <c r="L4114" s="5" t="str">
        <f aca="false">IF($K4114="","","R"&amp;$K4114)</f>
        <v/>
      </c>
    </row>
    <row r="4115" customFormat="false" ht="15" hidden="false" customHeight="true" outlineLevel="0" collapsed="false">
      <c r="J4115" s="14" t="b">
        <f aca="false">IF(중복검사!$A4113="",FALSE(),중복검사!$H4113="중복")</f>
        <v>0</v>
      </c>
      <c r="K4115" s="5" t="str">
        <f aca="false">IF($J4115=FALSE(),"",COUNTIF($J$6:$J4115,TRUE()))</f>
        <v/>
      </c>
      <c r="L4115" s="5" t="str">
        <f aca="false">IF($K4115="","","R"&amp;$K4115)</f>
        <v/>
      </c>
    </row>
    <row r="4116" customFormat="false" ht="15" hidden="false" customHeight="true" outlineLevel="0" collapsed="false">
      <c r="J4116" s="14" t="b">
        <f aca="false">IF(중복검사!$A4114="",FALSE(),중복검사!$H4114="중복")</f>
        <v>0</v>
      </c>
      <c r="K4116" s="5" t="str">
        <f aca="false">IF($J4116=FALSE(),"",COUNTIF($J$6:$J4116,TRUE()))</f>
        <v/>
      </c>
      <c r="L4116" s="5" t="str">
        <f aca="false">IF($K4116="","","R"&amp;$K4116)</f>
        <v/>
      </c>
    </row>
    <row r="4117" customFormat="false" ht="15" hidden="false" customHeight="true" outlineLevel="0" collapsed="false">
      <c r="J4117" s="14" t="b">
        <f aca="false">IF(중복검사!$A4115="",FALSE(),중복검사!$H4115="중복")</f>
        <v>0</v>
      </c>
      <c r="K4117" s="5" t="str">
        <f aca="false">IF($J4117=FALSE(),"",COUNTIF($J$6:$J4117,TRUE()))</f>
        <v/>
      </c>
      <c r="L4117" s="5" t="str">
        <f aca="false">IF($K4117="","","R"&amp;$K4117)</f>
        <v/>
      </c>
    </row>
    <row r="4118" customFormat="false" ht="15" hidden="false" customHeight="true" outlineLevel="0" collapsed="false">
      <c r="J4118" s="14" t="b">
        <f aca="false">IF(중복검사!$A4116="",FALSE(),중복검사!$H4116="중복")</f>
        <v>0</v>
      </c>
      <c r="K4118" s="5" t="str">
        <f aca="false">IF($J4118=FALSE(),"",COUNTIF($J$6:$J4118,TRUE()))</f>
        <v/>
      </c>
      <c r="L4118" s="5" t="str">
        <f aca="false">IF($K4118="","","R"&amp;$K4118)</f>
        <v/>
      </c>
    </row>
    <row r="4119" customFormat="false" ht="15" hidden="false" customHeight="true" outlineLevel="0" collapsed="false">
      <c r="J4119" s="14" t="b">
        <f aca="false">IF(중복검사!$A4117="",FALSE(),중복검사!$H4117="중복")</f>
        <v>0</v>
      </c>
      <c r="K4119" s="5" t="str">
        <f aca="false">IF($J4119=FALSE(),"",COUNTIF($J$6:$J4119,TRUE()))</f>
        <v/>
      </c>
      <c r="L4119" s="5" t="str">
        <f aca="false">IF($K4119="","","R"&amp;$K4119)</f>
        <v/>
      </c>
    </row>
    <row r="4120" customFormat="false" ht="15" hidden="false" customHeight="true" outlineLevel="0" collapsed="false">
      <c r="J4120" s="14" t="b">
        <f aca="false">IF(중복검사!$A4118="",FALSE(),중복검사!$H4118="중복")</f>
        <v>0</v>
      </c>
      <c r="K4120" s="5" t="str">
        <f aca="false">IF($J4120=FALSE(),"",COUNTIF($J$6:$J4120,TRUE()))</f>
        <v/>
      </c>
      <c r="L4120" s="5" t="str">
        <f aca="false">IF($K4120="","","R"&amp;$K4120)</f>
        <v/>
      </c>
    </row>
    <row r="4121" customFormat="false" ht="15" hidden="false" customHeight="true" outlineLevel="0" collapsed="false">
      <c r="J4121" s="14" t="b">
        <f aca="false">IF(중복검사!$A4119="",FALSE(),중복검사!$H4119="중복")</f>
        <v>0</v>
      </c>
      <c r="K4121" s="5" t="str">
        <f aca="false">IF($J4121=FALSE(),"",COUNTIF($J$6:$J4121,TRUE()))</f>
        <v/>
      </c>
      <c r="L4121" s="5" t="str">
        <f aca="false">IF($K4121="","","R"&amp;$K4121)</f>
        <v/>
      </c>
    </row>
    <row r="4122" customFormat="false" ht="15" hidden="false" customHeight="true" outlineLevel="0" collapsed="false">
      <c r="J4122" s="14" t="b">
        <f aca="false">IF(중복검사!$A4120="",FALSE(),중복검사!$H4120="중복")</f>
        <v>0</v>
      </c>
      <c r="K4122" s="5" t="str">
        <f aca="false">IF($J4122=FALSE(),"",COUNTIF($J$6:$J4122,TRUE()))</f>
        <v/>
      </c>
      <c r="L4122" s="5" t="str">
        <f aca="false">IF($K4122="","","R"&amp;$K4122)</f>
        <v/>
      </c>
    </row>
    <row r="4123" customFormat="false" ht="15" hidden="false" customHeight="true" outlineLevel="0" collapsed="false">
      <c r="J4123" s="14" t="b">
        <f aca="false">IF(중복검사!$A4121="",FALSE(),중복검사!$H4121="중복")</f>
        <v>0</v>
      </c>
      <c r="K4123" s="5" t="str">
        <f aca="false">IF($J4123=FALSE(),"",COUNTIF($J$6:$J4123,TRUE()))</f>
        <v/>
      </c>
      <c r="L4123" s="5" t="str">
        <f aca="false">IF($K4123="","","R"&amp;$K4123)</f>
        <v/>
      </c>
    </row>
    <row r="4124" customFormat="false" ht="15" hidden="false" customHeight="true" outlineLevel="0" collapsed="false">
      <c r="J4124" s="14" t="b">
        <f aca="false">IF(중복검사!$A4122="",FALSE(),중복검사!$H4122="중복")</f>
        <v>0</v>
      </c>
      <c r="K4124" s="5" t="str">
        <f aca="false">IF($J4124=FALSE(),"",COUNTIF($J$6:$J4124,TRUE()))</f>
        <v/>
      </c>
      <c r="L4124" s="5" t="str">
        <f aca="false">IF($K4124="","","R"&amp;$K4124)</f>
        <v/>
      </c>
    </row>
    <row r="4125" customFormat="false" ht="15" hidden="false" customHeight="true" outlineLevel="0" collapsed="false">
      <c r="J4125" s="14" t="b">
        <f aca="false">IF(중복검사!$A4123="",FALSE(),중복검사!$H4123="중복")</f>
        <v>0</v>
      </c>
      <c r="K4125" s="5" t="str">
        <f aca="false">IF($J4125=FALSE(),"",COUNTIF($J$6:$J4125,TRUE()))</f>
        <v/>
      </c>
      <c r="L4125" s="5" t="str">
        <f aca="false">IF($K4125="","","R"&amp;$K4125)</f>
        <v/>
      </c>
    </row>
    <row r="4126" customFormat="false" ht="15" hidden="false" customHeight="true" outlineLevel="0" collapsed="false">
      <c r="J4126" s="14" t="b">
        <f aca="false">IF(중복검사!$A4124="",FALSE(),중복검사!$H4124="중복")</f>
        <v>0</v>
      </c>
      <c r="K4126" s="5" t="str">
        <f aca="false">IF($J4126=FALSE(),"",COUNTIF($J$6:$J4126,TRUE()))</f>
        <v/>
      </c>
      <c r="L4126" s="5" t="str">
        <f aca="false">IF($K4126="","","R"&amp;$K4126)</f>
        <v/>
      </c>
    </row>
    <row r="4127" customFormat="false" ht="15" hidden="false" customHeight="true" outlineLevel="0" collapsed="false">
      <c r="J4127" s="14" t="b">
        <f aca="false">IF(중복검사!$A4125="",FALSE(),중복검사!$H4125="중복")</f>
        <v>0</v>
      </c>
      <c r="K4127" s="5" t="str">
        <f aca="false">IF($J4127=FALSE(),"",COUNTIF($J$6:$J4127,TRUE()))</f>
        <v/>
      </c>
      <c r="L4127" s="5" t="str">
        <f aca="false">IF($K4127="","","R"&amp;$K4127)</f>
        <v/>
      </c>
    </row>
    <row r="4128" customFormat="false" ht="15" hidden="false" customHeight="true" outlineLevel="0" collapsed="false">
      <c r="J4128" s="14" t="b">
        <f aca="false">IF(중복검사!$A4126="",FALSE(),중복검사!$H4126="중복")</f>
        <v>0</v>
      </c>
      <c r="K4128" s="5" t="str">
        <f aca="false">IF($J4128=FALSE(),"",COUNTIF($J$6:$J4128,TRUE()))</f>
        <v/>
      </c>
      <c r="L4128" s="5" t="str">
        <f aca="false">IF($K4128="","","R"&amp;$K4128)</f>
        <v/>
      </c>
    </row>
    <row r="4129" customFormat="false" ht="15" hidden="false" customHeight="true" outlineLevel="0" collapsed="false">
      <c r="J4129" s="14" t="b">
        <f aca="false">IF(중복검사!$A4127="",FALSE(),중복검사!$H4127="중복")</f>
        <v>0</v>
      </c>
      <c r="K4129" s="5" t="str">
        <f aca="false">IF($J4129=FALSE(),"",COUNTIF($J$6:$J4129,TRUE()))</f>
        <v/>
      </c>
      <c r="L4129" s="5" t="str">
        <f aca="false">IF($K4129="","","R"&amp;$K4129)</f>
        <v/>
      </c>
    </row>
    <row r="4130" customFormat="false" ht="15" hidden="false" customHeight="true" outlineLevel="0" collapsed="false">
      <c r="J4130" s="14" t="b">
        <f aca="false">IF(중복검사!$A4128="",FALSE(),중복검사!$H4128="중복")</f>
        <v>0</v>
      </c>
      <c r="K4130" s="5" t="str">
        <f aca="false">IF($J4130=FALSE(),"",COUNTIF($J$6:$J4130,TRUE()))</f>
        <v/>
      </c>
      <c r="L4130" s="5" t="str">
        <f aca="false">IF($K4130="","","R"&amp;$K4130)</f>
        <v/>
      </c>
    </row>
    <row r="4131" customFormat="false" ht="15" hidden="false" customHeight="true" outlineLevel="0" collapsed="false">
      <c r="J4131" s="14" t="b">
        <f aca="false">IF(중복검사!$A4129="",FALSE(),중복검사!$H4129="중복")</f>
        <v>0</v>
      </c>
      <c r="K4131" s="5" t="str">
        <f aca="false">IF($J4131=FALSE(),"",COUNTIF($J$6:$J4131,TRUE()))</f>
        <v/>
      </c>
      <c r="L4131" s="5" t="str">
        <f aca="false">IF($K4131="","","R"&amp;$K4131)</f>
        <v/>
      </c>
    </row>
    <row r="4132" customFormat="false" ht="15" hidden="false" customHeight="true" outlineLevel="0" collapsed="false">
      <c r="J4132" s="14" t="b">
        <f aca="false">IF(중복검사!$A4130="",FALSE(),중복검사!$H4130="중복")</f>
        <v>0</v>
      </c>
      <c r="K4132" s="5" t="str">
        <f aca="false">IF($J4132=FALSE(),"",COUNTIF($J$6:$J4132,TRUE()))</f>
        <v/>
      </c>
      <c r="L4132" s="5" t="str">
        <f aca="false">IF($K4132="","","R"&amp;$K4132)</f>
        <v/>
      </c>
    </row>
    <row r="4133" customFormat="false" ht="15" hidden="false" customHeight="true" outlineLevel="0" collapsed="false">
      <c r="J4133" s="14" t="b">
        <f aca="false">IF(중복검사!$A4131="",FALSE(),중복검사!$H4131="중복")</f>
        <v>0</v>
      </c>
      <c r="K4133" s="5" t="str">
        <f aca="false">IF($J4133=FALSE(),"",COUNTIF($J$6:$J4133,TRUE()))</f>
        <v/>
      </c>
      <c r="L4133" s="5" t="str">
        <f aca="false">IF($K4133="","","R"&amp;$K4133)</f>
        <v/>
      </c>
    </row>
    <row r="4134" customFormat="false" ht="15" hidden="false" customHeight="true" outlineLevel="0" collapsed="false">
      <c r="J4134" s="14" t="b">
        <f aca="false">IF(중복검사!$A4132="",FALSE(),중복검사!$H4132="중복")</f>
        <v>0</v>
      </c>
      <c r="K4134" s="5" t="str">
        <f aca="false">IF($J4134=FALSE(),"",COUNTIF($J$6:$J4134,TRUE()))</f>
        <v/>
      </c>
      <c r="L4134" s="5" t="str">
        <f aca="false">IF($K4134="","","R"&amp;$K4134)</f>
        <v/>
      </c>
    </row>
    <row r="4135" customFormat="false" ht="15" hidden="false" customHeight="true" outlineLevel="0" collapsed="false">
      <c r="J4135" s="14" t="b">
        <f aca="false">IF(중복검사!$A4133="",FALSE(),중복검사!$H4133="중복")</f>
        <v>0</v>
      </c>
      <c r="K4135" s="5" t="str">
        <f aca="false">IF($J4135=FALSE(),"",COUNTIF($J$6:$J4135,TRUE()))</f>
        <v/>
      </c>
      <c r="L4135" s="5" t="str">
        <f aca="false">IF($K4135="","","R"&amp;$K4135)</f>
        <v/>
      </c>
    </row>
    <row r="4136" customFormat="false" ht="15" hidden="false" customHeight="true" outlineLevel="0" collapsed="false">
      <c r="J4136" s="14" t="b">
        <f aca="false">IF(중복검사!$A4134="",FALSE(),중복검사!$H4134="중복")</f>
        <v>0</v>
      </c>
      <c r="K4136" s="5" t="str">
        <f aca="false">IF($J4136=FALSE(),"",COUNTIF($J$6:$J4136,TRUE()))</f>
        <v/>
      </c>
      <c r="L4136" s="5" t="str">
        <f aca="false">IF($K4136="","","R"&amp;$K4136)</f>
        <v/>
      </c>
    </row>
    <row r="4137" customFormat="false" ht="15" hidden="false" customHeight="true" outlineLevel="0" collapsed="false">
      <c r="J4137" s="14" t="b">
        <f aca="false">IF(중복검사!$A4135="",FALSE(),중복검사!$H4135="중복")</f>
        <v>0</v>
      </c>
      <c r="K4137" s="5" t="str">
        <f aca="false">IF($J4137=FALSE(),"",COUNTIF($J$6:$J4137,TRUE()))</f>
        <v/>
      </c>
      <c r="L4137" s="5" t="str">
        <f aca="false">IF($K4137="","","R"&amp;$K4137)</f>
        <v/>
      </c>
    </row>
    <row r="4138" customFormat="false" ht="15" hidden="false" customHeight="true" outlineLevel="0" collapsed="false">
      <c r="J4138" s="14" t="b">
        <f aca="false">IF(중복검사!$A4136="",FALSE(),중복검사!$H4136="중복")</f>
        <v>0</v>
      </c>
      <c r="K4138" s="5" t="str">
        <f aca="false">IF($J4138=FALSE(),"",COUNTIF($J$6:$J4138,TRUE()))</f>
        <v/>
      </c>
      <c r="L4138" s="5" t="str">
        <f aca="false">IF($K4138="","","R"&amp;$K4138)</f>
        <v/>
      </c>
    </row>
    <row r="4139" customFormat="false" ht="15" hidden="false" customHeight="true" outlineLevel="0" collapsed="false">
      <c r="J4139" s="14" t="b">
        <f aca="false">IF(중복검사!$A4137="",FALSE(),중복검사!$H4137="중복")</f>
        <v>0</v>
      </c>
      <c r="K4139" s="5" t="str">
        <f aca="false">IF($J4139=FALSE(),"",COUNTIF($J$6:$J4139,TRUE()))</f>
        <v/>
      </c>
      <c r="L4139" s="5" t="str">
        <f aca="false">IF($K4139="","","R"&amp;$K4139)</f>
        <v/>
      </c>
    </row>
    <row r="4140" customFormat="false" ht="15" hidden="false" customHeight="true" outlineLevel="0" collapsed="false">
      <c r="J4140" s="14" t="b">
        <f aca="false">IF(중복검사!$A4138="",FALSE(),중복검사!$H4138="중복")</f>
        <v>0</v>
      </c>
      <c r="K4140" s="5" t="str">
        <f aca="false">IF($J4140=FALSE(),"",COUNTIF($J$6:$J4140,TRUE()))</f>
        <v/>
      </c>
      <c r="L4140" s="5" t="str">
        <f aca="false">IF($K4140="","","R"&amp;$K4140)</f>
        <v/>
      </c>
    </row>
    <row r="4141" customFormat="false" ht="15" hidden="false" customHeight="true" outlineLevel="0" collapsed="false">
      <c r="J4141" s="14" t="b">
        <f aca="false">IF(중복검사!$A4139="",FALSE(),중복검사!$H4139="중복")</f>
        <v>0</v>
      </c>
      <c r="K4141" s="5" t="str">
        <f aca="false">IF($J4141=FALSE(),"",COUNTIF($J$6:$J4141,TRUE()))</f>
        <v/>
      </c>
      <c r="L4141" s="5" t="str">
        <f aca="false">IF($K4141="","","R"&amp;$K4141)</f>
        <v/>
      </c>
    </row>
    <row r="4142" customFormat="false" ht="15" hidden="false" customHeight="true" outlineLevel="0" collapsed="false">
      <c r="J4142" s="14" t="b">
        <f aca="false">IF(중복검사!$A4140="",FALSE(),중복검사!$H4140="중복")</f>
        <v>0</v>
      </c>
      <c r="K4142" s="5" t="str">
        <f aca="false">IF($J4142=FALSE(),"",COUNTIF($J$6:$J4142,TRUE()))</f>
        <v/>
      </c>
      <c r="L4142" s="5" t="str">
        <f aca="false">IF($K4142="","","R"&amp;$K4142)</f>
        <v/>
      </c>
    </row>
    <row r="4143" customFormat="false" ht="15" hidden="false" customHeight="true" outlineLevel="0" collapsed="false">
      <c r="J4143" s="14" t="b">
        <f aca="false">IF(중복검사!$A4141="",FALSE(),중복검사!$H4141="중복")</f>
        <v>0</v>
      </c>
      <c r="K4143" s="5" t="str">
        <f aca="false">IF($J4143=FALSE(),"",COUNTIF($J$6:$J4143,TRUE()))</f>
        <v/>
      </c>
      <c r="L4143" s="5" t="str">
        <f aca="false">IF($K4143="","","R"&amp;$K4143)</f>
        <v/>
      </c>
    </row>
    <row r="4144" customFormat="false" ht="15" hidden="false" customHeight="true" outlineLevel="0" collapsed="false">
      <c r="J4144" s="14" t="b">
        <f aca="false">IF(중복검사!$A4142="",FALSE(),중복검사!$H4142="중복")</f>
        <v>0</v>
      </c>
      <c r="K4144" s="5" t="str">
        <f aca="false">IF($J4144=FALSE(),"",COUNTIF($J$6:$J4144,TRUE()))</f>
        <v/>
      </c>
      <c r="L4144" s="5" t="str">
        <f aca="false">IF($K4144="","","R"&amp;$K4144)</f>
        <v/>
      </c>
    </row>
    <row r="4145" customFormat="false" ht="15" hidden="false" customHeight="true" outlineLevel="0" collapsed="false">
      <c r="J4145" s="14" t="b">
        <f aca="false">IF(중복검사!$A4143="",FALSE(),중복검사!$H4143="중복")</f>
        <v>0</v>
      </c>
      <c r="K4145" s="5" t="str">
        <f aca="false">IF($J4145=FALSE(),"",COUNTIF($J$6:$J4145,TRUE()))</f>
        <v/>
      </c>
      <c r="L4145" s="5" t="str">
        <f aca="false">IF($K4145="","","R"&amp;$K4145)</f>
        <v/>
      </c>
    </row>
    <row r="4146" customFormat="false" ht="15" hidden="false" customHeight="true" outlineLevel="0" collapsed="false">
      <c r="J4146" s="14" t="b">
        <f aca="false">IF(중복검사!$A4144="",FALSE(),중복검사!$H4144="중복")</f>
        <v>0</v>
      </c>
      <c r="K4146" s="5" t="str">
        <f aca="false">IF($J4146=FALSE(),"",COUNTIF($J$6:$J4146,TRUE()))</f>
        <v/>
      </c>
      <c r="L4146" s="5" t="str">
        <f aca="false">IF($K4146="","","R"&amp;$K4146)</f>
        <v/>
      </c>
    </row>
    <row r="4147" customFormat="false" ht="15" hidden="false" customHeight="true" outlineLevel="0" collapsed="false">
      <c r="J4147" s="14" t="b">
        <f aca="false">IF(중복검사!$A4145="",FALSE(),중복검사!$H4145="중복")</f>
        <v>0</v>
      </c>
      <c r="K4147" s="5" t="str">
        <f aca="false">IF($J4147=FALSE(),"",COUNTIF($J$6:$J4147,TRUE()))</f>
        <v/>
      </c>
      <c r="L4147" s="5" t="str">
        <f aca="false">IF($K4147="","","R"&amp;$K4147)</f>
        <v/>
      </c>
    </row>
    <row r="4148" customFormat="false" ht="15" hidden="false" customHeight="true" outlineLevel="0" collapsed="false">
      <c r="J4148" s="14" t="b">
        <f aca="false">IF(중복검사!$A4146="",FALSE(),중복검사!$H4146="중복")</f>
        <v>0</v>
      </c>
      <c r="K4148" s="5" t="str">
        <f aca="false">IF($J4148=FALSE(),"",COUNTIF($J$6:$J4148,TRUE()))</f>
        <v/>
      </c>
      <c r="L4148" s="5" t="str">
        <f aca="false">IF($K4148="","","R"&amp;$K4148)</f>
        <v/>
      </c>
    </row>
    <row r="4149" customFormat="false" ht="15" hidden="false" customHeight="true" outlineLevel="0" collapsed="false">
      <c r="J4149" s="14" t="b">
        <f aca="false">IF(중복검사!$A4147="",FALSE(),중복검사!$H4147="중복")</f>
        <v>0</v>
      </c>
      <c r="K4149" s="5" t="str">
        <f aca="false">IF($J4149=FALSE(),"",COUNTIF($J$6:$J4149,TRUE()))</f>
        <v/>
      </c>
      <c r="L4149" s="5" t="str">
        <f aca="false">IF($K4149="","","R"&amp;$K4149)</f>
        <v/>
      </c>
    </row>
    <row r="4150" customFormat="false" ht="15" hidden="false" customHeight="true" outlineLevel="0" collapsed="false">
      <c r="J4150" s="14" t="b">
        <f aca="false">IF(중복검사!$A4148="",FALSE(),중복검사!$H4148="중복")</f>
        <v>0</v>
      </c>
      <c r="K4150" s="5" t="str">
        <f aca="false">IF($J4150=FALSE(),"",COUNTIF($J$6:$J4150,TRUE()))</f>
        <v/>
      </c>
      <c r="L4150" s="5" t="str">
        <f aca="false">IF($K4150="","","R"&amp;$K4150)</f>
        <v/>
      </c>
    </row>
    <row r="4151" customFormat="false" ht="15" hidden="false" customHeight="true" outlineLevel="0" collapsed="false">
      <c r="J4151" s="14" t="b">
        <f aca="false">IF(중복검사!$A4149="",FALSE(),중복검사!$H4149="중복")</f>
        <v>0</v>
      </c>
      <c r="K4151" s="5" t="str">
        <f aca="false">IF($J4151=FALSE(),"",COUNTIF($J$6:$J4151,TRUE()))</f>
        <v/>
      </c>
      <c r="L4151" s="5" t="str">
        <f aca="false">IF($K4151="","","R"&amp;$K4151)</f>
        <v/>
      </c>
    </row>
    <row r="4152" customFormat="false" ht="15" hidden="false" customHeight="true" outlineLevel="0" collapsed="false">
      <c r="J4152" s="14" t="b">
        <f aca="false">IF(중복검사!$A4150="",FALSE(),중복검사!$H4150="중복")</f>
        <v>0</v>
      </c>
      <c r="K4152" s="5" t="str">
        <f aca="false">IF($J4152=FALSE(),"",COUNTIF($J$6:$J4152,TRUE()))</f>
        <v/>
      </c>
      <c r="L4152" s="5" t="str">
        <f aca="false">IF($K4152="","","R"&amp;$K4152)</f>
        <v/>
      </c>
    </row>
    <row r="4153" customFormat="false" ht="15" hidden="false" customHeight="true" outlineLevel="0" collapsed="false">
      <c r="J4153" s="14" t="b">
        <f aca="false">IF(중복검사!$A4151="",FALSE(),중복검사!$H4151="중복")</f>
        <v>0</v>
      </c>
      <c r="K4153" s="5" t="str">
        <f aca="false">IF($J4153=FALSE(),"",COUNTIF($J$6:$J4153,TRUE()))</f>
        <v/>
      </c>
      <c r="L4153" s="5" t="str">
        <f aca="false">IF($K4153="","","R"&amp;$K4153)</f>
        <v/>
      </c>
    </row>
    <row r="4154" customFormat="false" ht="15" hidden="false" customHeight="true" outlineLevel="0" collapsed="false">
      <c r="J4154" s="14" t="b">
        <f aca="false">IF(중복검사!$A4152="",FALSE(),중복검사!$H4152="중복")</f>
        <v>0</v>
      </c>
      <c r="K4154" s="5" t="str">
        <f aca="false">IF($J4154=FALSE(),"",COUNTIF($J$6:$J4154,TRUE()))</f>
        <v/>
      </c>
      <c r="L4154" s="5" t="str">
        <f aca="false">IF($K4154="","","R"&amp;$K4154)</f>
        <v/>
      </c>
    </row>
    <row r="4155" customFormat="false" ht="15" hidden="false" customHeight="true" outlineLevel="0" collapsed="false">
      <c r="J4155" s="14" t="b">
        <f aca="false">IF(중복검사!$A4153="",FALSE(),중복검사!$H4153="중복")</f>
        <v>0</v>
      </c>
      <c r="K4155" s="5" t="str">
        <f aca="false">IF($J4155=FALSE(),"",COUNTIF($J$6:$J4155,TRUE()))</f>
        <v/>
      </c>
      <c r="L4155" s="5" t="str">
        <f aca="false">IF($K4155="","","R"&amp;$K4155)</f>
        <v/>
      </c>
    </row>
    <row r="4156" customFormat="false" ht="15" hidden="false" customHeight="true" outlineLevel="0" collapsed="false">
      <c r="J4156" s="14" t="b">
        <f aca="false">IF(중복검사!$A4154="",FALSE(),중복검사!$H4154="중복")</f>
        <v>0</v>
      </c>
      <c r="K4156" s="5" t="str">
        <f aca="false">IF($J4156=FALSE(),"",COUNTIF($J$6:$J4156,TRUE()))</f>
        <v/>
      </c>
      <c r="L4156" s="5" t="str">
        <f aca="false">IF($K4156="","","R"&amp;$K4156)</f>
        <v/>
      </c>
    </row>
    <row r="4157" customFormat="false" ht="15" hidden="false" customHeight="true" outlineLevel="0" collapsed="false">
      <c r="J4157" s="14" t="b">
        <f aca="false">IF(중복검사!$A4155="",FALSE(),중복검사!$H4155="중복")</f>
        <v>0</v>
      </c>
      <c r="K4157" s="5" t="str">
        <f aca="false">IF($J4157=FALSE(),"",COUNTIF($J$6:$J4157,TRUE()))</f>
        <v/>
      </c>
      <c r="L4157" s="5" t="str">
        <f aca="false">IF($K4157="","","R"&amp;$K4157)</f>
        <v/>
      </c>
    </row>
    <row r="4158" customFormat="false" ht="15" hidden="false" customHeight="true" outlineLevel="0" collapsed="false">
      <c r="J4158" s="14" t="b">
        <f aca="false">IF(중복검사!$A4156="",FALSE(),중복검사!$H4156="중복")</f>
        <v>0</v>
      </c>
      <c r="K4158" s="5" t="str">
        <f aca="false">IF($J4158=FALSE(),"",COUNTIF($J$6:$J4158,TRUE()))</f>
        <v/>
      </c>
      <c r="L4158" s="5" t="str">
        <f aca="false">IF($K4158="","","R"&amp;$K4158)</f>
        <v/>
      </c>
    </row>
    <row r="4159" customFormat="false" ht="15" hidden="false" customHeight="true" outlineLevel="0" collapsed="false">
      <c r="J4159" s="14" t="b">
        <f aca="false">IF(중복검사!$A4157="",FALSE(),중복검사!$H4157="중복")</f>
        <v>0</v>
      </c>
      <c r="K4159" s="5" t="str">
        <f aca="false">IF($J4159=FALSE(),"",COUNTIF($J$6:$J4159,TRUE()))</f>
        <v/>
      </c>
      <c r="L4159" s="5" t="str">
        <f aca="false">IF($K4159="","","R"&amp;$K4159)</f>
        <v/>
      </c>
    </row>
    <row r="4160" customFormat="false" ht="15" hidden="false" customHeight="true" outlineLevel="0" collapsed="false">
      <c r="J4160" s="14" t="b">
        <f aca="false">IF(중복검사!$A4158="",FALSE(),중복검사!$H4158="중복")</f>
        <v>0</v>
      </c>
      <c r="K4160" s="5" t="str">
        <f aca="false">IF($J4160=FALSE(),"",COUNTIF($J$6:$J4160,TRUE()))</f>
        <v/>
      </c>
      <c r="L4160" s="5" t="str">
        <f aca="false">IF($K4160="","","R"&amp;$K4160)</f>
        <v/>
      </c>
    </row>
    <row r="4161" customFormat="false" ht="15" hidden="false" customHeight="true" outlineLevel="0" collapsed="false">
      <c r="J4161" s="14" t="b">
        <f aca="false">IF(중복검사!$A4159="",FALSE(),중복검사!$H4159="중복")</f>
        <v>0</v>
      </c>
      <c r="K4161" s="5" t="str">
        <f aca="false">IF($J4161=FALSE(),"",COUNTIF($J$6:$J4161,TRUE()))</f>
        <v/>
      </c>
      <c r="L4161" s="5" t="str">
        <f aca="false">IF($K4161="","","R"&amp;$K4161)</f>
        <v/>
      </c>
    </row>
    <row r="4162" customFormat="false" ht="15" hidden="false" customHeight="true" outlineLevel="0" collapsed="false">
      <c r="J4162" s="14" t="b">
        <f aca="false">IF(중복검사!$A4160="",FALSE(),중복검사!$H4160="중복")</f>
        <v>0</v>
      </c>
      <c r="K4162" s="5" t="str">
        <f aca="false">IF($J4162=FALSE(),"",COUNTIF($J$6:$J4162,TRUE()))</f>
        <v/>
      </c>
      <c r="L4162" s="5" t="str">
        <f aca="false">IF($K4162="","","R"&amp;$K4162)</f>
        <v/>
      </c>
    </row>
    <row r="4163" customFormat="false" ht="15" hidden="false" customHeight="true" outlineLevel="0" collapsed="false">
      <c r="J4163" s="14" t="b">
        <f aca="false">IF(중복검사!$A4161="",FALSE(),중복검사!$H4161="중복")</f>
        <v>0</v>
      </c>
      <c r="K4163" s="5" t="str">
        <f aca="false">IF($J4163=FALSE(),"",COUNTIF($J$6:$J4163,TRUE()))</f>
        <v/>
      </c>
      <c r="L4163" s="5" t="str">
        <f aca="false">IF($K4163="","","R"&amp;$K4163)</f>
        <v/>
      </c>
    </row>
    <row r="4164" customFormat="false" ht="15" hidden="false" customHeight="true" outlineLevel="0" collapsed="false">
      <c r="J4164" s="14" t="b">
        <f aca="false">IF(중복검사!$A4162="",FALSE(),중복검사!$H4162="중복")</f>
        <v>0</v>
      </c>
      <c r="K4164" s="5" t="str">
        <f aca="false">IF($J4164=FALSE(),"",COUNTIF($J$6:$J4164,TRUE()))</f>
        <v/>
      </c>
      <c r="L4164" s="5" t="str">
        <f aca="false">IF($K4164="","","R"&amp;$K4164)</f>
        <v/>
      </c>
    </row>
    <row r="4165" customFormat="false" ht="15" hidden="false" customHeight="true" outlineLevel="0" collapsed="false">
      <c r="J4165" s="14" t="b">
        <f aca="false">IF(중복검사!$A4163="",FALSE(),중복검사!$H4163="중복")</f>
        <v>0</v>
      </c>
      <c r="K4165" s="5" t="str">
        <f aca="false">IF($J4165=FALSE(),"",COUNTIF($J$6:$J4165,TRUE()))</f>
        <v/>
      </c>
      <c r="L4165" s="5" t="str">
        <f aca="false">IF($K4165="","","R"&amp;$K4165)</f>
        <v/>
      </c>
    </row>
    <row r="4166" customFormat="false" ht="15" hidden="false" customHeight="true" outlineLevel="0" collapsed="false">
      <c r="J4166" s="14" t="b">
        <f aca="false">IF(중복검사!$A4164="",FALSE(),중복검사!$H4164="중복")</f>
        <v>0</v>
      </c>
      <c r="K4166" s="5" t="str">
        <f aca="false">IF($J4166=FALSE(),"",COUNTIF($J$6:$J4166,TRUE()))</f>
        <v/>
      </c>
      <c r="L4166" s="5" t="str">
        <f aca="false">IF($K4166="","","R"&amp;$K4166)</f>
        <v/>
      </c>
    </row>
    <row r="4167" customFormat="false" ht="15" hidden="false" customHeight="true" outlineLevel="0" collapsed="false">
      <c r="J4167" s="14" t="b">
        <f aca="false">IF(중복검사!$A4165="",FALSE(),중복검사!$H4165="중복")</f>
        <v>0</v>
      </c>
      <c r="K4167" s="5" t="str">
        <f aca="false">IF($J4167=FALSE(),"",COUNTIF($J$6:$J4167,TRUE()))</f>
        <v/>
      </c>
      <c r="L4167" s="5" t="str">
        <f aca="false">IF($K4167="","","R"&amp;$K4167)</f>
        <v/>
      </c>
    </row>
    <row r="4168" customFormat="false" ht="15" hidden="false" customHeight="true" outlineLevel="0" collapsed="false">
      <c r="J4168" s="14" t="b">
        <f aca="false">IF(중복검사!$A4166="",FALSE(),중복검사!$H4166="중복")</f>
        <v>0</v>
      </c>
      <c r="K4168" s="5" t="str">
        <f aca="false">IF($J4168=FALSE(),"",COUNTIF($J$6:$J4168,TRUE()))</f>
        <v/>
      </c>
      <c r="L4168" s="5" t="str">
        <f aca="false">IF($K4168="","","R"&amp;$K4168)</f>
        <v/>
      </c>
    </row>
    <row r="4169" customFormat="false" ht="15" hidden="false" customHeight="true" outlineLevel="0" collapsed="false">
      <c r="J4169" s="14" t="b">
        <f aca="false">IF(중복검사!$A4167="",FALSE(),중복검사!$H4167="중복")</f>
        <v>0</v>
      </c>
      <c r="K4169" s="5" t="str">
        <f aca="false">IF($J4169=FALSE(),"",COUNTIF($J$6:$J4169,TRUE()))</f>
        <v/>
      </c>
      <c r="L4169" s="5" t="str">
        <f aca="false">IF($K4169="","","R"&amp;$K4169)</f>
        <v/>
      </c>
    </row>
    <row r="4170" customFormat="false" ht="15" hidden="false" customHeight="true" outlineLevel="0" collapsed="false">
      <c r="J4170" s="14" t="b">
        <f aca="false">IF(중복검사!$A4168="",FALSE(),중복검사!$H4168="중복")</f>
        <v>0</v>
      </c>
      <c r="K4170" s="5" t="str">
        <f aca="false">IF($J4170=FALSE(),"",COUNTIF($J$6:$J4170,TRUE()))</f>
        <v/>
      </c>
      <c r="L4170" s="5" t="str">
        <f aca="false">IF($K4170="","","R"&amp;$K4170)</f>
        <v/>
      </c>
    </row>
    <row r="4171" customFormat="false" ht="15" hidden="false" customHeight="true" outlineLevel="0" collapsed="false">
      <c r="J4171" s="14" t="b">
        <f aca="false">IF(중복검사!$A4169="",FALSE(),중복검사!$H4169="중복")</f>
        <v>0</v>
      </c>
      <c r="K4171" s="5" t="str">
        <f aca="false">IF($J4171=FALSE(),"",COUNTIF($J$6:$J4171,TRUE()))</f>
        <v/>
      </c>
      <c r="L4171" s="5" t="str">
        <f aca="false">IF($K4171="","","R"&amp;$K4171)</f>
        <v/>
      </c>
    </row>
    <row r="4172" customFormat="false" ht="15" hidden="false" customHeight="true" outlineLevel="0" collapsed="false">
      <c r="J4172" s="14" t="b">
        <f aca="false">IF(중복검사!$A4170="",FALSE(),중복검사!$H4170="중복")</f>
        <v>0</v>
      </c>
      <c r="K4172" s="5" t="str">
        <f aca="false">IF($J4172=FALSE(),"",COUNTIF($J$6:$J4172,TRUE()))</f>
        <v/>
      </c>
      <c r="L4172" s="5" t="str">
        <f aca="false">IF($K4172="","","R"&amp;$K4172)</f>
        <v/>
      </c>
    </row>
    <row r="4173" customFormat="false" ht="15" hidden="false" customHeight="true" outlineLevel="0" collapsed="false">
      <c r="J4173" s="14" t="b">
        <f aca="false">IF(중복검사!$A4171="",FALSE(),중복검사!$H4171="중복")</f>
        <v>0</v>
      </c>
      <c r="K4173" s="5" t="str">
        <f aca="false">IF($J4173=FALSE(),"",COUNTIF($J$6:$J4173,TRUE()))</f>
        <v/>
      </c>
      <c r="L4173" s="5" t="str">
        <f aca="false">IF($K4173="","","R"&amp;$K4173)</f>
        <v/>
      </c>
    </row>
    <row r="4174" customFormat="false" ht="15" hidden="false" customHeight="true" outlineLevel="0" collapsed="false">
      <c r="J4174" s="14" t="b">
        <f aca="false">IF(중복검사!$A4172="",FALSE(),중복검사!$H4172="중복")</f>
        <v>0</v>
      </c>
      <c r="K4174" s="5" t="str">
        <f aca="false">IF($J4174=FALSE(),"",COUNTIF($J$6:$J4174,TRUE()))</f>
        <v/>
      </c>
      <c r="L4174" s="5" t="str">
        <f aca="false">IF($K4174="","","R"&amp;$K4174)</f>
        <v/>
      </c>
    </row>
    <row r="4175" customFormat="false" ht="15" hidden="false" customHeight="true" outlineLevel="0" collapsed="false">
      <c r="J4175" s="14" t="b">
        <f aca="false">IF(중복검사!$A4173="",FALSE(),중복검사!$H4173="중복")</f>
        <v>0</v>
      </c>
      <c r="K4175" s="5" t="str">
        <f aca="false">IF($J4175=FALSE(),"",COUNTIF($J$6:$J4175,TRUE()))</f>
        <v/>
      </c>
      <c r="L4175" s="5" t="str">
        <f aca="false">IF($K4175="","","R"&amp;$K4175)</f>
        <v/>
      </c>
    </row>
    <row r="4176" customFormat="false" ht="15" hidden="false" customHeight="true" outlineLevel="0" collapsed="false">
      <c r="J4176" s="14" t="b">
        <f aca="false">IF(중복검사!$A4174="",FALSE(),중복검사!$H4174="중복")</f>
        <v>0</v>
      </c>
      <c r="K4176" s="5" t="str">
        <f aca="false">IF($J4176=FALSE(),"",COUNTIF($J$6:$J4176,TRUE()))</f>
        <v/>
      </c>
      <c r="L4176" s="5" t="str">
        <f aca="false">IF($K4176="","","R"&amp;$K4176)</f>
        <v/>
      </c>
    </row>
    <row r="4177" customFormat="false" ht="15" hidden="false" customHeight="true" outlineLevel="0" collapsed="false">
      <c r="J4177" s="14" t="b">
        <f aca="false">IF(중복검사!$A4175="",FALSE(),중복검사!$H4175="중복")</f>
        <v>0</v>
      </c>
      <c r="K4177" s="5" t="str">
        <f aca="false">IF($J4177=FALSE(),"",COUNTIF($J$6:$J4177,TRUE()))</f>
        <v/>
      </c>
      <c r="L4177" s="5" t="str">
        <f aca="false">IF($K4177="","","R"&amp;$K4177)</f>
        <v/>
      </c>
    </row>
    <row r="4178" customFormat="false" ht="15" hidden="false" customHeight="true" outlineLevel="0" collapsed="false">
      <c r="J4178" s="14" t="b">
        <f aca="false">IF(중복검사!$A4176="",FALSE(),중복검사!$H4176="중복")</f>
        <v>0</v>
      </c>
      <c r="K4178" s="5" t="str">
        <f aca="false">IF($J4178=FALSE(),"",COUNTIF($J$6:$J4178,TRUE()))</f>
        <v/>
      </c>
      <c r="L4178" s="5" t="str">
        <f aca="false">IF($K4178="","","R"&amp;$K4178)</f>
        <v/>
      </c>
    </row>
    <row r="4179" customFormat="false" ht="15" hidden="false" customHeight="true" outlineLevel="0" collapsed="false">
      <c r="J4179" s="14" t="b">
        <f aca="false">IF(중복검사!$A4177="",FALSE(),중복검사!$H4177="중복")</f>
        <v>0</v>
      </c>
      <c r="K4179" s="5" t="str">
        <f aca="false">IF($J4179=FALSE(),"",COUNTIF($J$6:$J4179,TRUE()))</f>
        <v/>
      </c>
      <c r="L4179" s="5" t="str">
        <f aca="false">IF($K4179="","","R"&amp;$K4179)</f>
        <v/>
      </c>
    </row>
    <row r="4180" customFormat="false" ht="15" hidden="false" customHeight="true" outlineLevel="0" collapsed="false">
      <c r="J4180" s="14" t="b">
        <f aca="false">IF(중복검사!$A4178="",FALSE(),중복검사!$H4178="중복")</f>
        <v>0</v>
      </c>
      <c r="K4180" s="5" t="str">
        <f aca="false">IF($J4180=FALSE(),"",COUNTIF($J$6:$J4180,TRUE()))</f>
        <v/>
      </c>
      <c r="L4180" s="5" t="str">
        <f aca="false">IF($K4180="","","R"&amp;$K4180)</f>
        <v/>
      </c>
    </row>
    <row r="4181" customFormat="false" ht="15" hidden="false" customHeight="true" outlineLevel="0" collapsed="false">
      <c r="J4181" s="14" t="b">
        <f aca="false">IF(중복검사!$A4179="",FALSE(),중복검사!$H4179="중복")</f>
        <v>0</v>
      </c>
      <c r="K4181" s="5" t="str">
        <f aca="false">IF($J4181=FALSE(),"",COUNTIF($J$6:$J4181,TRUE()))</f>
        <v/>
      </c>
      <c r="L4181" s="5" t="str">
        <f aca="false">IF($K4181="","","R"&amp;$K4181)</f>
        <v/>
      </c>
    </row>
    <row r="4182" customFormat="false" ht="15" hidden="false" customHeight="true" outlineLevel="0" collapsed="false">
      <c r="J4182" s="14" t="b">
        <f aca="false">IF(중복검사!$A4180="",FALSE(),중복검사!$H4180="중복")</f>
        <v>0</v>
      </c>
      <c r="K4182" s="5" t="str">
        <f aca="false">IF($J4182=FALSE(),"",COUNTIF($J$6:$J4182,TRUE()))</f>
        <v/>
      </c>
      <c r="L4182" s="5" t="str">
        <f aca="false">IF($K4182="","","R"&amp;$K4182)</f>
        <v/>
      </c>
    </row>
    <row r="4183" customFormat="false" ht="15" hidden="false" customHeight="true" outlineLevel="0" collapsed="false">
      <c r="J4183" s="14" t="b">
        <f aca="false">IF(중복검사!$A4181="",FALSE(),중복검사!$H4181="중복")</f>
        <v>0</v>
      </c>
      <c r="K4183" s="5" t="str">
        <f aca="false">IF($J4183=FALSE(),"",COUNTIF($J$6:$J4183,TRUE()))</f>
        <v/>
      </c>
      <c r="L4183" s="5" t="str">
        <f aca="false">IF($K4183="","","R"&amp;$K4183)</f>
        <v/>
      </c>
    </row>
    <row r="4184" customFormat="false" ht="15" hidden="false" customHeight="true" outlineLevel="0" collapsed="false">
      <c r="J4184" s="14" t="b">
        <f aca="false">IF(중복검사!$A4182="",FALSE(),중복검사!$H4182="중복")</f>
        <v>0</v>
      </c>
      <c r="K4184" s="5" t="str">
        <f aca="false">IF($J4184=FALSE(),"",COUNTIF($J$6:$J4184,TRUE()))</f>
        <v/>
      </c>
      <c r="L4184" s="5" t="str">
        <f aca="false">IF($K4184="","","R"&amp;$K4184)</f>
        <v/>
      </c>
    </row>
    <row r="4185" customFormat="false" ht="15" hidden="false" customHeight="true" outlineLevel="0" collapsed="false">
      <c r="J4185" s="14" t="b">
        <f aca="false">IF(중복검사!$A4183="",FALSE(),중복검사!$H4183="중복")</f>
        <v>0</v>
      </c>
      <c r="K4185" s="5" t="str">
        <f aca="false">IF($J4185=FALSE(),"",COUNTIF($J$6:$J4185,TRUE()))</f>
        <v/>
      </c>
      <c r="L4185" s="5" t="str">
        <f aca="false">IF($K4185="","","R"&amp;$K4185)</f>
        <v/>
      </c>
    </row>
    <row r="4186" customFormat="false" ht="15" hidden="false" customHeight="true" outlineLevel="0" collapsed="false">
      <c r="J4186" s="14" t="b">
        <f aca="false">IF(중복검사!$A4184="",FALSE(),중복검사!$H4184="중복")</f>
        <v>0</v>
      </c>
      <c r="K4186" s="5" t="str">
        <f aca="false">IF($J4186=FALSE(),"",COUNTIF($J$6:$J4186,TRUE()))</f>
        <v/>
      </c>
      <c r="L4186" s="5" t="str">
        <f aca="false">IF($K4186="","","R"&amp;$K4186)</f>
        <v/>
      </c>
    </row>
    <row r="4187" customFormat="false" ht="15" hidden="false" customHeight="true" outlineLevel="0" collapsed="false">
      <c r="J4187" s="14" t="b">
        <f aca="false">IF(중복검사!$A4185="",FALSE(),중복검사!$H4185="중복")</f>
        <v>0</v>
      </c>
      <c r="K4187" s="5" t="str">
        <f aca="false">IF($J4187=FALSE(),"",COUNTIF($J$6:$J4187,TRUE()))</f>
        <v/>
      </c>
      <c r="L4187" s="5" t="str">
        <f aca="false">IF($K4187="","","R"&amp;$K4187)</f>
        <v/>
      </c>
    </row>
    <row r="4188" customFormat="false" ht="15" hidden="false" customHeight="true" outlineLevel="0" collapsed="false">
      <c r="J4188" s="14" t="b">
        <f aca="false">IF(중복검사!$A4186="",FALSE(),중복검사!$H4186="중복")</f>
        <v>0</v>
      </c>
      <c r="K4188" s="5" t="str">
        <f aca="false">IF($J4188=FALSE(),"",COUNTIF($J$6:$J4188,TRUE()))</f>
        <v/>
      </c>
      <c r="L4188" s="5" t="str">
        <f aca="false">IF($K4188="","","R"&amp;$K4188)</f>
        <v/>
      </c>
    </row>
    <row r="4189" customFormat="false" ht="15" hidden="false" customHeight="true" outlineLevel="0" collapsed="false">
      <c r="J4189" s="14" t="b">
        <f aca="false">IF(중복검사!$A4187="",FALSE(),중복검사!$H4187="중복")</f>
        <v>0</v>
      </c>
      <c r="K4189" s="5" t="str">
        <f aca="false">IF($J4189=FALSE(),"",COUNTIF($J$6:$J4189,TRUE()))</f>
        <v/>
      </c>
      <c r="L4189" s="5" t="str">
        <f aca="false">IF($K4189="","","R"&amp;$K4189)</f>
        <v/>
      </c>
    </row>
    <row r="4190" customFormat="false" ht="15" hidden="false" customHeight="true" outlineLevel="0" collapsed="false">
      <c r="J4190" s="14" t="b">
        <f aca="false">IF(중복검사!$A4188="",FALSE(),중복검사!$H4188="중복")</f>
        <v>0</v>
      </c>
      <c r="K4190" s="5" t="str">
        <f aca="false">IF($J4190=FALSE(),"",COUNTIF($J$6:$J4190,TRUE()))</f>
        <v/>
      </c>
      <c r="L4190" s="5" t="str">
        <f aca="false">IF($K4190="","","R"&amp;$K4190)</f>
        <v/>
      </c>
    </row>
    <row r="4191" customFormat="false" ht="15" hidden="false" customHeight="true" outlineLevel="0" collapsed="false">
      <c r="J4191" s="14" t="b">
        <f aca="false">IF(중복검사!$A4189="",FALSE(),중복검사!$H4189="중복")</f>
        <v>0</v>
      </c>
      <c r="K4191" s="5" t="str">
        <f aca="false">IF($J4191=FALSE(),"",COUNTIF($J$6:$J4191,TRUE()))</f>
        <v/>
      </c>
      <c r="L4191" s="5" t="str">
        <f aca="false">IF($K4191="","","R"&amp;$K4191)</f>
        <v/>
      </c>
    </row>
    <row r="4192" customFormat="false" ht="15" hidden="false" customHeight="true" outlineLevel="0" collapsed="false">
      <c r="J4192" s="14" t="b">
        <f aca="false">IF(중복검사!$A4190="",FALSE(),중복검사!$H4190="중복")</f>
        <v>0</v>
      </c>
      <c r="K4192" s="5" t="str">
        <f aca="false">IF($J4192=FALSE(),"",COUNTIF($J$6:$J4192,TRUE()))</f>
        <v/>
      </c>
      <c r="L4192" s="5" t="str">
        <f aca="false">IF($K4192="","","R"&amp;$K4192)</f>
        <v/>
      </c>
    </row>
    <row r="4193" customFormat="false" ht="15" hidden="false" customHeight="true" outlineLevel="0" collapsed="false">
      <c r="J4193" s="14" t="b">
        <f aca="false">IF(중복검사!$A4191="",FALSE(),중복검사!$H4191="중복")</f>
        <v>0</v>
      </c>
      <c r="K4193" s="5" t="str">
        <f aca="false">IF($J4193=FALSE(),"",COUNTIF($J$6:$J4193,TRUE()))</f>
        <v/>
      </c>
      <c r="L4193" s="5" t="str">
        <f aca="false">IF($K4193="","","R"&amp;$K4193)</f>
        <v/>
      </c>
    </row>
    <row r="4194" customFormat="false" ht="15" hidden="false" customHeight="true" outlineLevel="0" collapsed="false">
      <c r="J4194" s="14" t="b">
        <f aca="false">IF(중복검사!$A4192="",FALSE(),중복검사!$H4192="중복")</f>
        <v>0</v>
      </c>
      <c r="K4194" s="5" t="str">
        <f aca="false">IF($J4194=FALSE(),"",COUNTIF($J$6:$J4194,TRUE()))</f>
        <v/>
      </c>
      <c r="L4194" s="5" t="str">
        <f aca="false">IF($K4194="","","R"&amp;$K4194)</f>
        <v/>
      </c>
    </row>
    <row r="4195" customFormat="false" ht="15" hidden="false" customHeight="true" outlineLevel="0" collapsed="false">
      <c r="J4195" s="14" t="b">
        <f aca="false">IF(중복검사!$A4193="",FALSE(),중복검사!$H4193="중복")</f>
        <v>0</v>
      </c>
      <c r="K4195" s="5" t="str">
        <f aca="false">IF($J4195=FALSE(),"",COUNTIF($J$6:$J4195,TRUE()))</f>
        <v/>
      </c>
      <c r="L4195" s="5" t="str">
        <f aca="false">IF($K4195="","","R"&amp;$K4195)</f>
        <v/>
      </c>
    </row>
    <row r="4196" customFormat="false" ht="15" hidden="false" customHeight="true" outlineLevel="0" collapsed="false">
      <c r="J4196" s="14" t="b">
        <f aca="false">IF(중복검사!$A4194="",FALSE(),중복검사!$H4194="중복")</f>
        <v>0</v>
      </c>
      <c r="K4196" s="5" t="str">
        <f aca="false">IF($J4196=FALSE(),"",COUNTIF($J$6:$J4196,TRUE()))</f>
        <v/>
      </c>
      <c r="L4196" s="5" t="str">
        <f aca="false">IF($K4196="","","R"&amp;$K4196)</f>
        <v/>
      </c>
    </row>
    <row r="4197" customFormat="false" ht="15" hidden="false" customHeight="true" outlineLevel="0" collapsed="false">
      <c r="J4197" s="14" t="b">
        <f aca="false">IF(중복검사!$A4195="",FALSE(),중복검사!$H4195="중복")</f>
        <v>0</v>
      </c>
      <c r="K4197" s="5" t="str">
        <f aca="false">IF($J4197=FALSE(),"",COUNTIF($J$6:$J4197,TRUE()))</f>
        <v/>
      </c>
      <c r="L4197" s="5" t="str">
        <f aca="false">IF($K4197="","","R"&amp;$K4197)</f>
        <v/>
      </c>
    </row>
    <row r="4198" customFormat="false" ht="15" hidden="false" customHeight="true" outlineLevel="0" collapsed="false">
      <c r="J4198" s="14" t="b">
        <f aca="false">IF(중복검사!$A4196="",FALSE(),중복검사!$H4196="중복")</f>
        <v>0</v>
      </c>
      <c r="K4198" s="5" t="str">
        <f aca="false">IF($J4198=FALSE(),"",COUNTIF($J$6:$J4198,TRUE()))</f>
        <v/>
      </c>
      <c r="L4198" s="5" t="str">
        <f aca="false">IF($K4198="","","R"&amp;$K4198)</f>
        <v/>
      </c>
    </row>
    <row r="4199" customFormat="false" ht="15" hidden="false" customHeight="true" outlineLevel="0" collapsed="false">
      <c r="J4199" s="14" t="b">
        <f aca="false">IF(중복검사!$A4197="",FALSE(),중복검사!$H4197="중복")</f>
        <v>0</v>
      </c>
      <c r="K4199" s="5" t="str">
        <f aca="false">IF($J4199=FALSE(),"",COUNTIF($J$6:$J4199,TRUE()))</f>
        <v/>
      </c>
      <c r="L4199" s="5" t="str">
        <f aca="false">IF($K4199="","","R"&amp;$K4199)</f>
        <v/>
      </c>
    </row>
    <row r="4200" customFormat="false" ht="15" hidden="false" customHeight="true" outlineLevel="0" collapsed="false">
      <c r="J4200" s="14" t="b">
        <f aca="false">IF(중복검사!$A4198="",FALSE(),중복검사!$H4198="중복")</f>
        <v>0</v>
      </c>
      <c r="K4200" s="5" t="str">
        <f aca="false">IF($J4200=FALSE(),"",COUNTIF($J$6:$J4200,TRUE()))</f>
        <v/>
      </c>
      <c r="L4200" s="5" t="str">
        <f aca="false">IF($K4200="","","R"&amp;$K4200)</f>
        <v/>
      </c>
    </row>
    <row r="4201" customFormat="false" ht="15" hidden="false" customHeight="true" outlineLevel="0" collapsed="false">
      <c r="J4201" s="14" t="b">
        <f aca="false">IF(중복검사!$A4199="",FALSE(),중복검사!$H4199="중복")</f>
        <v>0</v>
      </c>
      <c r="K4201" s="5" t="str">
        <f aca="false">IF($J4201=FALSE(),"",COUNTIF($J$6:$J4201,TRUE()))</f>
        <v/>
      </c>
      <c r="L4201" s="5" t="str">
        <f aca="false">IF($K4201="","","R"&amp;$K4201)</f>
        <v/>
      </c>
    </row>
    <row r="4202" customFormat="false" ht="15" hidden="false" customHeight="true" outlineLevel="0" collapsed="false">
      <c r="J4202" s="14" t="b">
        <f aca="false">IF(중복검사!$A4200="",FALSE(),중복검사!$H4200="중복")</f>
        <v>0</v>
      </c>
      <c r="K4202" s="5" t="str">
        <f aca="false">IF($J4202=FALSE(),"",COUNTIF($J$6:$J4202,TRUE()))</f>
        <v/>
      </c>
      <c r="L4202" s="5" t="str">
        <f aca="false">IF($K4202="","","R"&amp;$K4202)</f>
        <v/>
      </c>
    </row>
    <row r="4203" customFormat="false" ht="15" hidden="false" customHeight="true" outlineLevel="0" collapsed="false">
      <c r="J4203" s="14" t="b">
        <f aca="false">IF(중복검사!$A4201="",FALSE(),중복검사!$H4201="중복")</f>
        <v>0</v>
      </c>
      <c r="K4203" s="5" t="str">
        <f aca="false">IF($J4203=FALSE(),"",COUNTIF($J$6:$J4203,TRUE()))</f>
        <v/>
      </c>
      <c r="L4203" s="5" t="str">
        <f aca="false">IF($K4203="","","R"&amp;$K4203)</f>
        <v/>
      </c>
    </row>
    <row r="4204" customFormat="false" ht="15" hidden="false" customHeight="true" outlineLevel="0" collapsed="false">
      <c r="J4204" s="14" t="b">
        <f aca="false">IF(중복검사!$A4202="",FALSE(),중복검사!$H4202="중복")</f>
        <v>0</v>
      </c>
      <c r="K4204" s="5" t="str">
        <f aca="false">IF($J4204=FALSE(),"",COUNTIF($J$6:$J4204,TRUE()))</f>
        <v/>
      </c>
      <c r="L4204" s="5" t="str">
        <f aca="false">IF($K4204="","","R"&amp;$K4204)</f>
        <v/>
      </c>
    </row>
    <row r="4205" customFormat="false" ht="15" hidden="false" customHeight="true" outlineLevel="0" collapsed="false">
      <c r="J4205" s="14" t="b">
        <f aca="false">IF(중복검사!$A4203="",FALSE(),중복검사!$H4203="중복")</f>
        <v>0</v>
      </c>
      <c r="K4205" s="5" t="str">
        <f aca="false">IF($J4205=FALSE(),"",COUNTIF($J$6:$J4205,TRUE()))</f>
        <v/>
      </c>
      <c r="L4205" s="5" t="str">
        <f aca="false">IF($K4205="","","R"&amp;$K4205)</f>
        <v/>
      </c>
    </row>
    <row r="4206" customFormat="false" ht="15" hidden="false" customHeight="true" outlineLevel="0" collapsed="false">
      <c r="J4206" s="14" t="b">
        <f aca="false">IF(중복검사!$A4204="",FALSE(),중복검사!$H4204="중복")</f>
        <v>0</v>
      </c>
      <c r="K4206" s="5" t="str">
        <f aca="false">IF($J4206=FALSE(),"",COUNTIF($J$6:$J4206,TRUE()))</f>
        <v/>
      </c>
      <c r="L4206" s="5" t="str">
        <f aca="false">IF($K4206="","","R"&amp;$K4206)</f>
        <v/>
      </c>
    </row>
    <row r="4207" customFormat="false" ht="15" hidden="false" customHeight="true" outlineLevel="0" collapsed="false">
      <c r="J4207" s="14" t="b">
        <f aca="false">IF(중복검사!$A4205="",FALSE(),중복검사!$H4205="중복")</f>
        <v>0</v>
      </c>
      <c r="K4207" s="5" t="str">
        <f aca="false">IF($J4207=FALSE(),"",COUNTIF($J$6:$J4207,TRUE()))</f>
        <v/>
      </c>
      <c r="L4207" s="5" t="str">
        <f aca="false">IF($K4207="","","R"&amp;$K4207)</f>
        <v/>
      </c>
    </row>
    <row r="4208" customFormat="false" ht="15" hidden="false" customHeight="true" outlineLevel="0" collapsed="false">
      <c r="J4208" s="14" t="b">
        <f aca="false">IF(중복검사!$A4206="",FALSE(),중복검사!$H4206="중복")</f>
        <v>0</v>
      </c>
      <c r="K4208" s="5" t="str">
        <f aca="false">IF($J4208=FALSE(),"",COUNTIF($J$6:$J4208,TRUE()))</f>
        <v/>
      </c>
      <c r="L4208" s="5" t="str">
        <f aca="false">IF($K4208="","","R"&amp;$K4208)</f>
        <v/>
      </c>
    </row>
    <row r="4209" customFormat="false" ht="15" hidden="false" customHeight="true" outlineLevel="0" collapsed="false">
      <c r="J4209" s="14" t="b">
        <f aca="false">IF(중복검사!$A4207="",FALSE(),중복검사!$H4207="중복")</f>
        <v>0</v>
      </c>
      <c r="K4209" s="5" t="str">
        <f aca="false">IF($J4209=FALSE(),"",COUNTIF($J$6:$J4209,TRUE()))</f>
        <v/>
      </c>
      <c r="L4209" s="5" t="str">
        <f aca="false">IF($K4209="","","R"&amp;$K4209)</f>
        <v/>
      </c>
    </row>
    <row r="4210" customFormat="false" ht="15" hidden="false" customHeight="true" outlineLevel="0" collapsed="false">
      <c r="J4210" s="14" t="b">
        <f aca="false">IF(중복검사!$A4208="",FALSE(),중복검사!$H4208="중복")</f>
        <v>0</v>
      </c>
      <c r="K4210" s="5" t="str">
        <f aca="false">IF($J4210=FALSE(),"",COUNTIF($J$6:$J4210,TRUE()))</f>
        <v/>
      </c>
      <c r="L4210" s="5" t="str">
        <f aca="false">IF($K4210="","","R"&amp;$K4210)</f>
        <v/>
      </c>
    </row>
    <row r="4211" customFormat="false" ht="15" hidden="false" customHeight="true" outlineLevel="0" collapsed="false">
      <c r="J4211" s="14" t="b">
        <f aca="false">IF(중복검사!$A4209="",FALSE(),중복검사!$H4209="중복")</f>
        <v>0</v>
      </c>
      <c r="K4211" s="5" t="str">
        <f aca="false">IF($J4211=FALSE(),"",COUNTIF($J$6:$J4211,TRUE()))</f>
        <v/>
      </c>
      <c r="L4211" s="5" t="str">
        <f aca="false">IF($K4211="","","R"&amp;$K4211)</f>
        <v/>
      </c>
    </row>
    <row r="4212" customFormat="false" ht="15" hidden="false" customHeight="true" outlineLevel="0" collapsed="false">
      <c r="J4212" s="14" t="b">
        <f aca="false">IF(중복검사!$A4210="",FALSE(),중복검사!$H4210="중복")</f>
        <v>0</v>
      </c>
      <c r="K4212" s="5" t="str">
        <f aca="false">IF($J4212=FALSE(),"",COUNTIF($J$6:$J4212,TRUE()))</f>
        <v/>
      </c>
      <c r="L4212" s="5" t="str">
        <f aca="false">IF($K4212="","","R"&amp;$K4212)</f>
        <v/>
      </c>
    </row>
    <row r="4213" customFormat="false" ht="15" hidden="false" customHeight="true" outlineLevel="0" collapsed="false">
      <c r="J4213" s="14" t="b">
        <f aca="false">IF(중복검사!$A4211="",FALSE(),중복검사!$H4211="중복")</f>
        <v>0</v>
      </c>
      <c r="K4213" s="5" t="str">
        <f aca="false">IF($J4213=FALSE(),"",COUNTIF($J$6:$J4213,TRUE()))</f>
        <v/>
      </c>
      <c r="L4213" s="5" t="str">
        <f aca="false">IF($K4213="","","R"&amp;$K4213)</f>
        <v/>
      </c>
    </row>
    <row r="4214" customFormat="false" ht="15" hidden="false" customHeight="true" outlineLevel="0" collapsed="false">
      <c r="J4214" s="14" t="b">
        <f aca="false">IF(중복검사!$A4212="",FALSE(),중복검사!$H4212="중복")</f>
        <v>0</v>
      </c>
      <c r="K4214" s="5" t="str">
        <f aca="false">IF($J4214=FALSE(),"",COUNTIF($J$6:$J4214,TRUE()))</f>
        <v/>
      </c>
      <c r="L4214" s="5" t="str">
        <f aca="false">IF($K4214="","","R"&amp;$K4214)</f>
        <v/>
      </c>
    </row>
    <row r="4215" customFormat="false" ht="15" hidden="false" customHeight="true" outlineLevel="0" collapsed="false">
      <c r="J4215" s="14" t="b">
        <f aca="false">IF(중복검사!$A4213="",FALSE(),중복검사!$H4213="중복")</f>
        <v>0</v>
      </c>
      <c r="K4215" s="5" t="str">
        <f aca="false">IF($J4215=FALSE(),"",COUNTIF($J$6:$J4215,TRUE()))</f>
        <v/>
      </c>
      <c r="L4215" s="5" t="str">
        <f aca="false">IF($K4215="","","R"&amp;$K4215)</f>
        <v/>
      </c>
    </row>
    <row r="4216" customFormat="false" ht="15" hidden="false" customHeight="true" outlineLevel="0" collapsed="false">
      <c r="J4216" s="14" t="b">
        <f aca="false">IF(중복검사!$A4214="",FALSE(),중복검사!$H4214="중복")</f>
        <v>0</v>
      </c>
      <c r="K4216" s="5" t="str">
        <f aca="false">IF($J4216=FALSE(),"",COUNTIF($J$6:$J4216,TRUE()))</f>
        <v/>
      </c>
      <c r="L4216" s="5" t="str">
        <f aca="false">IF($K4216="","","R"&amp;$K4216)</f>
        <v/>
      </c>
    </row>
    <row r="4217" customFormat="false" ht="15" hidden="false" customHeight="true" outlineLevel="0" collapsed="false">
      <c r="J4217" s="14" t="b">
        <f aca="false">IF(중복검사!$A4215="",FALSE(),중복검사!$H4215="중복")</f>
        <v>0</v>
      </c>
      <c r="K4217" s="5" t="str">
        <f aca="false">IF($J4217=FALSE(),"",COUNTIF($J$6:$J4217,TRUE()))</f>
        <v/>
      </c>
      <c r="L4217" s="5" t="str">
        <f aca="false">IF($K4217="","","R"&amp;$K4217)</f>
        <v/>
      </c>
    </row>
    <row r="4218" customFormat="false" ht="15" hidden="false" customHeight="true" outlineLevel="0" collapsed="false">
      <c r="J4218" s="14" t="b">
        <f aca="false">IF(중복검사!$A4216="",FALSE(),중복검사!$H4216="중복")</f>
        <v>0</v>
      </c>
      <c r="K4218" s="5" t="str">
        <f aca="false">IF($J4218=FALSE(),"",COUNTIF($J$6:$J4218,TRUE()))</f>
        <v/>
      </c>
      <c r="L4218" s="5" t="str">
        <f aca="false">IF($K4218="","","R"&amp;$K4218)</f>
        <v/>
      </c>
    </row>
    <row r="4219" customFormat="false" ht="15" hidden="false" customHeight="true" outlineLevel="0" collapsed="false">
      <c r="J4219" s="14" t="b">
        <f aca="false">IF(중복검사!$A4217="",FALSE(),중복검사!$H4217="중복")</f>
        <v>0</v>
      </c>
      <c r="K4219" s="5" t="str">
        <f aca="false">IF($J4219=FALSE(),"",COUNTIF($J$6:$J4219,TRUE()))</f>
        <v/>
      </c>
      <c r="L4219" s="5" t="str">
        <f aca="false">IF($K4219="","","R"&amp;$K4219)</f>
        <v/>
      </c>
    </row>
    <row r="4220" customFormat="false" ht="15" hidden="false" customHeight="true" outlineLevel="0" collapsed="false">
      <c r="J4220" s="14" t="b">
        <f aca="false">IF(중복검사!$A4218="",FALSE(),중복검사!$H4218="중복")</f>
        <v>0</v>
      </c>
      <c r="K4220" s="5" t="str">
        <f aca="false">IF($J4220=FALSE(),"",COUNTIF($J$6:$J4220,TRUE()))</f>
        <v/>
      </c>
      <c r="L4220" s="5" t="str">
        <f aca="false">IF($K4220="","","R"&amp;$K4220)</f>
        <v/>
      </c>
    </row>
    <row r="4221" customFormat="false" ht="15" hidden="false" customHeight="true" outlineLevel="0" collapsed="false">
      <c r="J4221" s="14" t="b">
        <f aca="false">IF(중복검사!$A4219="",FALSE(),중복검사!$H4219="중복")</f>
        <v>0</v>
      </c>
      <c r="K4221" s="5" t="str">
        <f aca="false">IF($J4221=FALSE(),"",COUNTIF($J$6:$J4221,TRUE()))</f>
        <v/>
      </c>
      <c r="L4221" s="5" t="str">
        <f aca="false">IF($K4221="","","R"&amp;$K4221)</f>
        <v/>
      </c>
    </row>
    <row r="4222" customFormat="false" ht="15" hidden="false" customHeight="true" outlineLevel="0" collapsed="false">
      <c r="J4222" s="14" t="b">
        <f aca="false">IF(중복검사!$A4220="",FALSE(),중복검사!$H4220="중복")</f>
        <v>0</v>
      </c>
      <c r="K4222" s="5" t="str">
        <f aca="false">IF($J4222=FALSE(),"",COUNTIF($J$6:$J4222,TRUE()))</f>
        <v/>
      </c>
      <c r="L4222" s="5" t="str">
        <f aca="false">IF($K4222="","","R"&amp;$K4222)</f>
        <v/>
      </c>
    </row>
    <row r="4223" customFormat="false" ht="15" hidden="false" customHeight="true" outlineLevel="0" collapsed="false">
      <c r="J4223" s="14" t="b">
        <f aca="false">IF(중복검사!$A4221="",FALSE(),중복검사!$H4221="중복")</f>
        <v>0</v>
      </c>
      <c r="K4223" s="5" t="str">
        <f aca="false">IF($J4223=FALSE(),"",COUNTIF($J$6:$J4223,TRUE()))</f>
        <v/>
      </c>
      <c r="L4223" s="5" t="str">
        <f aca="false">IF($K4223="","","R"&amp;$K4223)</f>
        <v/>
      </c>
    </row>
    <row r="4224" customFormat="false" ht="15" hidden="false" customHeight="true" outlineLevel="0" collapsed="false">
      <c r="J4224" s="14" t="b">
        <f aca="false">IF(중복검사!$A4222="",FALSE(),중복검사!$H4222="중복")</f>
        <v>0</v>
      </c>
      <c r="K4224" s="5" t="str">
        <f aca="false">IF($J4224=FALSE(),"",COUNTIF($J$6:$J4224,TRUE()))</f>
        <v/>
      </c>
      <c r="L4224" s="5" t="str">
        <f aca="false">IF($K4224="","","R"&amp;$K4224)</f>
        <v/>
      </c>
    </row>
    <row r="4225" customFormat="false" ht="15" hidden="false" customHeight="true" outlineLevel="0" collapsed="false">
      <c r="J4225" s="14" t="b">
        <f aca="false">IF(중복검사!$A4223="",FALSE(),중복검사!$H4223="중복")</f>
        <v>0</v>
      </c>
      <c r="K4225" s="5" t="str">
        <f aca="false">IF($J4225=FALSE(),"",COUNTIF($J$6:$J4225,TRUE()))</f>
        <v/>
      </c>
      <c r="L4225" s="5" t="str">
        <f aca="false">IF($K4225="","","R"&amp;$K4225)</f>
        <v/>
      </c>
    </row>
    <row r="4226" customFormat="false" ht="15" hidden="false" customHeight="true" outlineLevel="0" collapsed="false">
      <c r="J4226" s="14" t="b">
        <f aca="false">IF(중복검사!$A4224="",FALSE(),중복검사!$H4224="중복")</f>
        <v>0</v>
      </c>
      <c r="K4226" s="5" t="str">
        <f aca="false">IF($J4226=FALSE(),"",COUNTIF($J$6:$J4226,TRUE()))</f>
        <v/>
      </c>
      <c r="L4226" s="5" t="str">
        <f aca="false">IF($K4226="","","R"&amp;$K4226)</f>
        <v/>
      </c>
    </row>
    <row r="4227" customFormat="false" ht="15" hidden="false" customHeight="true" outlineLevel="0" collapsed="false">
      <c r="J4227" s="14" t="b">
        <f aca="false">IF(중복검사!$A4225="",FALSE(),중복검사!$H4225="중복")</f>
        <v>0</v>
      </c>
      <c r="K4227" s="5" t="str">
        <f aca="false">IF($J4227=FALSE(),"",COUNTIF($J$6:$J4227,TRUE()))</f>
        <v/>
      </c>
      <c r="L4227" s="5" t="str">
        <f aca="false">IF($K4227="","","R"&amp;$K4227)</f>
        <v/>
      </c>
    </row>
    <row r="4228" customFormat="false" ht="15" hidden="false" customHeight="true" outlineLevel="0" collapsed="false">
      <c r="J4228" s="14" t="b">
        <f aca="false">IF(중복검사!$A4226="",FALSE(),중복검사!$H4226="중복")</f>
        <v>0</v>
      </c>
      <c r="K4228" s="5" t="str">
        <f aca="false">IF($J4228=FALSE(),"",COUNTIF($J$6:$J4228,TRUE()))</f>
        <v/>
      </c>
      <c r="L4228" s="5" t="str">
        <f aca="false">IF($K4228="","","R"&amp;$K4228)</f>
        <v/>
      </c>
    </row>
    <row r="4229" customFormat="false" ht="15" hidden="false" customHeight="true" outlineLevel="0" collapsed="false">
      <c r="J4229" s="14" t="b">
        <f aca="false">IF(중복검사!$A4227="",FALSE(),중복검사!$H4227="중복")</f>
        <v>0</v>
      </c>
      <c r="K4229" s="5" t="str">
        <f aca="false">IF($J4229=FALSE(),"",COUNTIF($J$6:$J4229,TRUE()))</f>
        <v/>
      </c>
      <c r="L4229" s="5" t="str">
        <f aca="false">IF($K4229="","","R"&amp;$K4229)</f>
        <v/>
      </c>
    </row>
    <row r="4230" customFormat="false" ht="15" hidden="false" customHeight="true" outlineLevel="0" collapsed="false">
      <c r="J4230" s="14" t="b">
        <f aca="false">IF(중복검사!$A4228="",FALSE(),중복검사!$H4228="중복")</f>
        <v>0</v>
      </c>
      <c r="K4230" s="5" t="str">
        <f aca="false">IF($J4230=FALSE(),"",COUNTIF($J$6:$J4230,TRUE()))</f>
        <v/>
      </c>
      <c r="L4230" s="5" t="str">
        <f aca="false">IF($K4230="","","R"&amp;$K4230)</f>
        <v/>
      </c>
    </row>
    <row r="4231" customFormat="false" ht="15" hidden="false" customHeight="true" outlineLevel="0" collapsed="false">
      <c r="J4231" s="14" t="b">
        <f aca="false">IF(중복검사!$A4229="",FALSE(),중복검사!$H4229="중복")</f>
        <v>0</v>
      </c>
      <c r="K4231" s="5" t="str">
        <f aca="false">IF($J4231=FALSE(),"",COUNTIF($J$6:$J4231,TRUE()))</f>
        <v/>
      </c>
      <c r="L4231" s="5" t="str">
        <f aca="false">IF($K4231="","","R"&amp;$K4231)</f>
        <v/>
      </c>
    </row>
    <row r="4232" customFormat="false" ht="15" hidden="false" customHeight="true" outlineLevel="0" collapsed="false">
      <c r="J4232" s="14" t="b">
        <f aca="false">IF(중복검사!$A4230="",FALSE(),중복검사!$H4230="중복")</f>
        <v>0</v>
      </c>
      <c r="K4232" s="5" t="str">
        <f aca="false">IF($J4232=FALSE(),"",COUNTIF($J$6:$J4232,TRUE()))</f>
        <v/>
      </c>
      <c r="L4232" s="5" t="str">
        <f aca="false">IF($K4232="","","R"&amp;$K4232)</f>
        <v/>
      </c>
    </row>
    <row r="4233" customFormat="false" ht="15" hidden="false" customHeight="true" outlineLevel="0" collapsed="false">
      <c r="J4233" s="14" t="b">
        <f aca="false">IF(중복검사!$A4231="",FALSE(),중복검사!$H4231="중복")</f>
        <v>0</v>
      </c>
      <c r="K4233" s="5" t="str">
        <f aca="false">IF($J4233=FALSE(),"",COUNTIF($J$6:$J4233,TRUE()))</f>
        <v/>
      </c>
      <c r="L4233" s="5" t="str">
        <f aca="false">IF($K4233="","","R"&amp;$K4233)</f>
        <v/>
      </c>
    </row>
    <row r="4234" customFormat="false" ht="15" hidden="false" customHeight="true" outlineLevel="0" collapsed="false">
      <c r="J4234" s="14" t="b">
        <f aca="false">IF(중복검사!$A4232="",FALSE(),중복검사!$H4232="중복")</f>
        <v>0</v>
      </c>
      <c r="K4234" s="5" t="str">
        <f aca="false">IF($J4234=FALSE(),"",COUNTIF($J$6:$J4234,TRUE()))</f>
        <v/>
      </c>
      <c r="L4234" s="5" t="str">
        <f aca="false">IF($K4234="","","R"&amp;$K4234)</f>
        <v/>
      </c>
    </row>
    <row r="4235" customFormat="false" ht="15" hidden="false" customHeight="true" outlineLevel="0" collapsed="false">
      <c r="J4235" s="14" t="b">
        <f aca="false">IF(중복검사!$A4233="",FALSE(),중복검사!$H4233="중복")</f>
        <v>0</v>
      </c>
      <c r="K4235" s="5" t="str">
        <f aca="false">IF($J4235=FALSE(),"",COUNTIF($J$6:$J4235,TRUE()))</f>
        <v/>
      </c>
      <c r="L4235" s="5" t="str">
        <f aca="false">IF($K4235="","","R"&amp;$K4235)</f>
        <v/>
      </c>
    </row>
    <row r="4236" customFormat="false" ht="15" hidden="false" customHeight="true" outlineLevel="0" collapsed="false">
      <c r="J4236" s="14" t="b">
        <f aca="false">IF(중복검사!$A4234="",FALSE(),중복검사!$H4234="중복")</f>
        <v>0</v>
      </c>
      <c r="K4236" s="5" t="str">
        <f aca="false">IF($J4236=FALSE(),"",COUNTIF($J$6:$J4236,TRUE()))</f>
        <v/>
      </c>
      <c r="L4236" s="5" t="str">
        <f aca="false">IF($K4236="","","R"&amp;$K4236)</f>
        <v/>
      </c>
    </row>
    <row r="4237" customFormat="false" ht="15" hidden="false" customHeight="true" outlineLevel="0" collapsed="false">
      <c r="J4237" s="14" t="b">
        <f aca="false">IF(중복검사!$A4235="",FALSE(),중복검사!$H4235="중복")</f>
        <v>0</v>
      </c>
      <c r="K4237" s="5" t="str">
        <f aca="false">IF($J4237=FALSE(),"",COUNTIF($J$6:$J4237,TRUE()))</f>
        <v/>
      </c>
      <c r="L4237" s="5" t="str">
        <f aca="false">IF($K4237="","","R"&amp;$K4237)</f>
        <v/>
      </c>
    </row>
    <row r="4238" customFormat="false" ht="15" hidden="false" customHeight="true" outlineLevel="0" collapsed="false">
      <c r="J4238" s="14" t="b">
        <f aca="false">IF(중복검사!$A4236="",FALSE(),중복검사!$H4236="중복")</f>
        <v>0</v>
      </c>
      <c r="K4238" s="5" t="str">
        <f aca="false">IF($J4238=FALSE(),"",COUNTIF($J$6:$J4238,TRUE()))</f>
        <v/>
      </c>
      <c r="L4238" s="5" t="str">
        <f aca="false">IF($K4238="","","R"&amp;$K4238)</f>
        <v/>
      </c>
    </row>
    <row r="4239" customFormat="false" ht="15" hidden="false" customHeight="true" outlineLevel="0" collapsed="false">
      <c r="J4239" s="14" t="b">
        <f aca="false">IF(중복검사!$A4237="",FALSE(),중복검사!$H4237="중복")</f>
        <v>0</v>
      </c>
      <c r="K4239" s="5" t="str">
        <f aca="false">IF($J4239=FALSE(),"",COUNTIF($J$6:$J4239,TRUE()))</f>
        <v/>
      </c>
      <c r="L4239" s="5" t="str">
        <f aca="false">IF($K4239="","","R"&amp;$K4239)</f>
        <v/>
      </c>
    </row>
    <row r="4240" customFormat="false" ht="15" hidden="false" customHeight="true" outlineLevel="0" collapsed="false">
      <c r="J4240" s="14" t="b">
        <f aca="false">IF(중복검사!$A4238="",FALSE(),중복검사!$H4238="중복")</f>
        <v>0</v>
      </c>
      <c r="K4240" s="5" t="str">
        <f aca="false">IF($J4240=FALSE(),"",COUNTIF($J$6:$J4240,TRUE()))</f>
        <v/>
      </c>
      <c r="L4240" s="5" t="str">
        <f aca="false">IF($K4240="","","R"&amp;$K4240)</f>
        <v/>
      </c>
    </row>
    <row r="4241" customFormat="false" ht="15" hidden="false" customHeight="true" outlineLevel="0" collapsed="false">
      <c r="J4241" s="14" t="b">
        <f aca="false">IF(중복검사!$A4239="",FALSE(),중복검사!$H4239="중복")</f>
        <v>0</v>
      </c>
      <c r="K4241" s="5" t="str">
        <f aca="false">IF($J4241=FALSE(),"",COUNTIF($J$6:$J4241,TRUE()))</f>
        <v/>
      </c>
      <c r="L4241" s="5" t="str">
        <f aca="false">IF($K4241="","","R"&amp;$K4241)</f>
        <v/>
      </c>
    </row>
    <row r="4242" customFormat="false" ht="15" hidden="false" customHeight="true" outlineLevel="0" collapsed="false">
      <c r="J4242" s="14" t="b">
        <f aca="false">IF(중복검사!$A4240="",FALSE(),중복검사!$H4240="중복")</f>
        <v>0</v>
      </c>
      <c r="K4242" s="5" t="str">
        <f aca="false">IF($J4242=FALSE(),"",COUNTIF($J$6:$J4242,TRUE()))</f>
        <v/>
      </c>
      <c r="L4242" s="5" t="str">
        <f aca="false">IF($K4242="","","R"&amp;$K4242)</f>
        <v/>
      </c>
    </row>
    <row r="4243" customFormat="false" ht="15" hidden="false" customHeight="true" outlineLevel="0" collapsed="false">
      <c r="J4243" s="14" t="b">
        <f aca="false">IF(중복검사!$A4241="",FALSE(),중복검사!$H4241="중복")</f>
        <v>0</v>
      </c>
      <c r="K4243" s="5" t="str">
        <f aca="false">IF($J4243=FALSE(),"",COUNTIF($J$6:$J4243,TRUE()))</f>
        <v/>
      </c>
      <c r="L4243" s="5" t="str">
        <f aca="false">IF($K4243="","","R"&amp;$K4243)</f>
        <v/>
      </c>
    </row>
    <row r="4244" customFormat="false" ht="15" hidden="false" customHeight="true" outlineLevel="0" collapsed="false">
      <c r="J4244" s="14" t="b">
        <f aca="false">IF(중복검사!$A4242="",FALSE(),중복검사!$H4242="중복")</f>
        <v>0</v>
      </c>
      <c r="K4244" s="5" t="str">
        <f aca="false">IF($J4244=FALSE(),"",COUNTIF($J$6:$J4244,TRUE()))</f>
        <v/>
      </c>
      <c r="L4244" s="5" t="str">
        <f aca="false">IF($K4244="","","R"&amp;$K4244)</f>
        <v/>
      </c>
    </row>
    <row r="4245" customFormat="false" ht="15" hidden="false" customHeight="true" outlineLevel="0" collapsed="false">
      <c r="J4245" s="14" t="b">
        <f aca="false">IF(중복검사!$A4243="",FALSE(),중복검사!$H4243="중복")</f>
        <v>0</v>
      </c>
      <c r="K4245" s="5" t="str">
        <f aca="false">IF($J4245=FALSE(),"",COUNTIF($J$6:$J4245,TRUE()))</f>
        <v/>
      </c>
      <c r="L4245" s="5" t="str">
        <f aca="false">IF($K4245="","","R"&amp;$K4245)</f>
        <v/>
      </c>
    </row>
    <row r="4246" customFormat="false" ht="15" hidden="false" customHeight="true" outlineLevel="0" collapsed="false">
      <c r="J4246" s="14" t="b">
        <f aca="false">IF(중복검사!$A4244="",FALSE(),중복검사!$H4244="중복")</f>
        <v>0</v>
      </c>
      <c r="K4246" s="5" t="str">
        <f aca="false">IF($J4246=FALSE(),"",COUNTIF($J$6:$J4246,TRUE()))</f>
        <v/>
      </c>
      <c r="L4246" s="5" t="str">
        <f aca="false">IF($K4246="","","R"&amp;$K4246)</f>
        <v/>
      </c>
    </row>
    <row r="4247" customFormat="false" ht="15" hidden="false" customHeight="true" outlineLevel="0" collapsed="false">
      <c r="J4247" s="14" t="b">
        <f aca="false">IF(중복검사!$A4245="",FALSE(),중복검사!$H4245="중복")</f>
        <v>0</v>
      </c>
      <c r="K4247" s="5" t="str">
        <f aca="false">IF($J4247=FALSE(),"",COUNTIF($J$6:$J4247,TRUE()))</f>
        <v/>
      </c>
      <c r="L4247" s="5" t="str">
        <f aca="false">IF($K4247="","","R"&amp;$K4247)</f>
        <v/>
      </c>
    </row>
    <row r="4248" customFormat="false" ht="15" hidden="false" customHeight="true" outlineLevel="0" collapsed="false">
      <c r="J4248" s="14" t="b">
        <f aca="false">IF(중복검사!$A4246="",FALSE(),중복검사!$H4246="중복")</f>
        <v>0</v>
      </c>
      <c r="K4248" s="5" t="str">
        <f aca="false">IF($J4248=FALSE(),"",COUNTIF($J$6:$J4248,TRUE()))</f>
        <v/>
      </c>
      <c r="L4248" s="5" t="str">
        <f aca="false">IF($K4248="","","R"&amp;$K4248)</f>
        <v/>
      </c>
    </row>
    <row r="4249" customFormat="false" ht="15" hidden="false" customHeight="true" outlineLevel="0" collapsed="false">
      <c r="J4249" s="14" t="b">
        <f aca="false">IF(중복검사!$A4247="",FALSE(),중복검사!$H4247="중복")</f>
        <v>0</v>
      </c>
      <c r="K4249" s="5" t="str">
        <f aca="false">IF($J4249=FALSE(),"",COUNTIF($J$6:$J4249,TRUE()))</f>
        <v/>
      </c>
      <c r="L4249" s="5" t="str">
        <f aca="false">IF($K4249="","","R"&amp;$K4249)</f>
        <v/>
      </c>
    </row>
    <row r="4250" customFormat="false" ht="15" hidden="false" customHeight="true" outlineLevel="0" collapsed="false">
      <c r="J4250" s="14" t="b">
        <f aca="false">IF(중복검사!$A4248="",FALSE(),중복검사!$H4248="중복")</f>
        <v>0</v>
      </c>
      <c r="K4250" s="5" t="str">
        <f aca="false">IF($J4250=FALSE(),"",COUNTIF($J$6:$J4250,TRUE()))</f>
        <v/>
      </c>
      <c r="L4250" s="5" t="str">
        <f aca="false">IF($K4250="","","R"&amp;$K4250)</f>
        <v/>
      </c>
    </row>
    <row r="4251" customFormat="false" ht="15" hidden="false" customHeight="true" outlineLevel="0" collapsed="false">
      <c r="J4251" s="14" t="b">
        <f aca="false">IF(중복검사!$A4249="",FALSE(),중복검사!$H4249="중복")</f>
        <v>0</v>
      </c>
      <c r="K4251" s="5" t="str">
        <f aca="false">IF($J4251=FALSE(),"",COUNTIF($J$6:$J4251,TRUE()))</f>
        <v/>
      </c>
      <c r="L4251" s="5" t="str">
        <f aca="false">IF($K4251="","","R"&amp;$K4251)</f>
        <v/>
      </c>
    </row>
    <row r="4252" customFormat="false" ht="15" hidden="false" customHeight="true" outlineLevel="0" collapsed="false">
      <c r="J4252" s="14" t="b">
        <f aca="false">IF(중복검사!$A4250="",FALSE(),중복검사!$H4250="중복")</f>
        <v>0</v>
      </c>
      <c r="K4252" s="5" t="str">
        <f aca="false">IF($J4252=FALSE(),"",COUNTIF($J$6:$J4252,TRUE()))</f>
        <v/>
      </c>
      <c r="L4252" s="5" t="str">
        <f aca="false">IF($K4252="","","R"&amp;$K4252)</f>
        <v/>
      </c>
    </row>
    <row r="4253" customFormat="false" ht="15" hidden="false" customHeight="true" outlineLevel="0" collapsed="false">
      <c r="J4253" s="14" t="b">
        <f aca="false">IF(중복검사!$A4251="",FALSE(),중복검사!$H4251="중복")</f>
        <v>0</v>
      </c>
      <c r="K4253" s="5" t="str">
        <f aca="false">IF($J4253=FALSE(),"",COUNTIF($J$6:$J4253,TRUE()))</f>
        <v/>
      </c>
      <c r="L4253" s="5" t="str">
        <f aca="false">IF($K4253="","","R"&amp;$K4253)</f>
        <v/>
      </c>
    </row>
    <row r="4254" customFormat="false" ht="15" hidden="false" customHeight="true" outlineLevel="0" collapsed="false">
      <c r="J4254" s="14" t="b">
        <f aca="false">IF(중복검사!$A4252="",FALSE(),중복검사!$H4252="중복")</f>
        <v>0</v>
      </c>
      <c r="K4254" s="5" t="str">
        <f aca="false">IF($J4254=FALSE(),"",COUNTIF($J$6:$J4254,TRUE()))</f>
        <v/>
      </c>
      <c r="L4254" s="5" t="str">
        <f aca="false">IF($K4254="","","R"&amp;$K4254)</f>
        <v/>
      </c>
    </row>
    <row r="4255" customFormat="false" ht="15" hidden="false" customHeight="true" outlineLevel="0" collapsed="false">
      <c r="J4255" s="14" t="b">
        <f aca="false">IF(중복검사!$A4253="",FALSE(),중복검사!$H4253="중복")</f>
        <v>0</v>
      </c>
      <c r="K4255" s="5" t="str">
        <f aca="false">IF($J4255=FALSE(),"",COUNTIF($J$6:$J4255,TRUE()))</f>
        <v/>
      </c>
      <c r="L4255" s="5" t="str">
        <f aca="false">IF($K4255="","","R"&amp;$K4255)</f>
        <v/>
      </c>
    </row>
    <row r="4256" customFormat="false" ht="15" hidden="false" customHeight="true" outlineLevel="0" collapsed="false">
      <c r="J4256" s="14" t="b">
        <f aca="false">IF(중복검사!$A4254="",FALSE(),중복검사!$H4254="중복")</f>
        <v>0</v>
      </c>
      <c r="K4256" s="5" t="str">
        <f aca="false">IF($J4256=FALSE(),"",COUNTIF($J$6:$J4256,TRUE()))</f>
        <v/>
      </c>
      <c r="L4256" s="5" t="str">
        <f aca="false">IF($K4256="","","R"&amp;$K4256)</f>
        <v/>
      </c>
    </row>
    <row r="4257" customFormat="false" ht="15" hidden="false" customHeight="true" outlineLevel="0" collapsed="false">
      <c r="J4257" s="14" t="b">
        <f aca="false">IF(중복검사!$A4255="",FALSE(),중복검사!$H4255="중복")</f>
        <v>0</v>
      </c>
      <c r="K4257" s="5" t="str">
        <f aca="false">IF($J4257=FALSE(),"",COUNTIF($J$6:$J4257,TRUE()))</f>
        <v/>
      </c>
      <c r="L4257" s="5" t="str">
        <f aca="false">IF($K4257="","","R"&amp;$K4257)</f>
        <v/>
      </c>
    </row>
    <row r="4258" customFormat="false" ht="15" hidden="false" customHeight="true" outlineLevel="0" collapsed="false">
      <c r="J4258" s="14" t="b">
        <f aca="false">IF(중복검사!$A4256="",FALSE(),중복검사!$H4256="중복")</f>
        <v>0</v>
      </c>
      <c r="K4258" s="5" t="str">
        <f aca="false">IF($J4258=FALSE(),"",COUNTIF($J$6:$J4258,TRUE()))</f>
        <v/>
      </c>
      <c r="L4258" s="5" t="str">
        <f aca="false">IF($K4258="","","R"&amp;$K4258)</f>
        <v/>
      </c>
    </row>
    <row r="4259" customFormat="false" ht="15" hidden="false" customHeight="true" outlineLevel="0" collapsed="false">
      <c r="J4259" s="14" t="b">
        <f aca="false">IF(중복검사!$A4257="",FALSE(),중복검사!$H4257="중복")</f>
        <v>0</v>
      </c>
      <c r="K4259" s="5" t="str">
        <f aca="false">IF($J4259=FALSE(),"",COUNTIF($J$6:$J4259,TRUE()))</f>
        <v/>
      </c>
      <c r="L4259" s="5" t="str">
        <f aca="false">IF($K4259="","","R"&amp;$K4259)</f>
        <v/>
      </c>
    </row>
    <row r="4260" customFormat="false" ht="15" hidden="false" customHeight="true" outlineLevel="0" collapsed="false">
      <c r="J4260" s="14" t="b">
        <f aca="false">IF(중복검사!$A4258="",FALSE(),중복검사!$H4258="중복")</f>
        <v>0</v>
      </c>
      <c r="K4260" s="5" t="str">
        <f aca="false">IF($J4260=FALSE(),"",COUNTIF($J$6:$J4260,TRUE()))</f>
        <v/>
      </c>
      <c r="L4260" s="5" t="str">
        <f aca="false">IF($K4260="","","R"&amp;$K4260)</f>
        <v/>
      </c>
    </row>
    <row r="4261" customFormat="false" ht="15" hidden="false" customHeight="true" outlineLevel="0" collapsed="false">
      <c r="J4261" s="14" t="b">
        <f aca="false">IF(중복검사!$A4259="",FALSE(),중복검사!$H4259="중복")</f>
        <v>0</v>
      </c>
      <c r="K4261" s="5" t="str">
        <f aca="false">IF($J4261=FALSE(),"",COUNTIF($J$6:$J4261,TRUE()))</f>
        <v/>
      </c>
      <c r="L4261" s="5" t="str">
        <f aca="false">IF($K4261="","","R"&amp;$K4261)</f>
        <v/>
      </c>
    </row>
    <row r="4262" customFormat="false" ht="15" hidden="false" customHeight="true" outlineLevel="0" collapsed="false">
      <c r="J4262" s="14" t="b">
        <f aca="false">IF(중복검사!$A4260="",FALSE(),중복검사!$H4260="중복")</f>
        <v>0</v>
      </c>
      <c r="K4262" s="5" t="str">
        <f aca="false">IF($J4262=FALSE(),"",COUNTIF($J$6:$J4262,TRUE()))</f>
        <v/>
      </c>
      <c r="L4262" s="5" t="str">
        <f aca="false">IF($K4262="","","R"&amp;$K4262)</f>
        <v/>
      </c>
    </row>
    <row r="4263" customFormat="false" ht="15" hidden="false" customHeight="true" outlineLevel="0" collapsed="false">
      <c r="J4263" s="14" t="b">
        <f aca="false">IF(중복검사!$A4261="",FALSE(),중복검사!$H4261="중복")</f>
        <v>0</v>
      </c>
      <c r="K4263" s="5" t="str">
        <f aca="false">IF($J4263=FALSE(),"",COUNTIF($J$6:$J4263,TRUE()))</f>
        <v/>
      </c>
      <c r="L4263" s="5" t="str">
        <f aca="false">IF($K4263="","","R"&amp;$K4263)</f>
        <v/>
      </c>
    </row>
    <row r="4264" customFormat="false" ht="15" hidden="false" customHeight="true" outlineLevel="0" collapsed="false">
      <c r="J4264" s="14" t="b">
        <f aca="false">IF(중복검사!$A4262="",FALSE(),중복검사!$H4262="중복")</f>
        <v>0</v>
      </c>
      <c r="K4264" s="5" t="str">
        <f aca="false">IF($J4264=FALSE(),"",COUNTIF($J$6:$J4264,TRUE()))</f>
        <v/>
      </c>
      <c r="L4264" s="5" t="str">
        <f aca="false">IF($K4264="","","R"&amp;$K4264)</f>
        <v/>
      </c>
    </row>
    <row r="4265" customFormat="false" ht="15" hidden="false" customHeight="true" outlineLevel="0" collapsed="false">
      <c r="J4265" s="14" t="b">
        <f aca="false">IF(중복검사!$A4263="",FALSE(),중복검사!$H4263="중복")</f>
        <v>0</v>
      </c>
      <c r="K4265" s="5" t="str">
        <f aca="false">IF($J4265=FALSE(),"",COUNTIF($J$6:$J4265,TRUE()))</f>
        <v/>
      </c>
      <c r="L4265" s="5" t="str">
        <f aca="false">IF($K4265="","","R"&amp;$K4265)</f>
        <v/>
      </c>
    </row>
    <row r="4266" customFormat="false" ht="15" hidden="false" customHeight="true" outlineLevel="0" collapsed="false">
      <c r="J4266" s="14" t="b">
        <f aca="false">IF(중복검사!$A4264="",FALSE(),중복검사!$H4264="중복")</f>
        <v>0</v>
      </c>
      <c r="K4266" s="5" t="str">
        <f aca="false">IF($J4266=FALSE(),"",COUNTIF($J$6:$J4266,TRUE()))</f>
        <v/>
      </c>
      <c r="L4266" s="5" t="str">
        <f aca="false">IF($K4266="","","R"&amp;$K4266)</f>
        <v/>
      </c>
    </row>
    <row r="4267" customFormat="false" ht="15" hidden="false" customHeight="true" outlineLevel="0" collapsed="false">
      <c r="J4267" s="14" t="b">
        <f aca="false">IF(중복검사!$A4265="",FALSE(),중복검사!$H4265="중복")</f>
        <v>0</v>
      </c>
      <c r="K4267" s="5" t="str">
        <f aca="false">IF($J4267=FALSE(),"",COUNTIF($J$6:$J4267,TRUE()))</f>
        <v/>
      </c>
      <c r="L4267" s="5" t="str">
        <f aca="false">IF($K4267="","","R"&amp;$K4267)</f>
        <v/>
      </c>
    </row>
    <row r="4268" customFormat="false" ht="15" hidden="false" customHeight="true" outlineLevel="0" collapsed="false">
      <c r="J4268" s="14" t="b">
        <f aca="false">IF(중복검사!$A4266="",FALSE(),중복검사!$H4266="중복")</f>
        <v>0</v>
      </c>
      <c r="K4268" s="5" t="str">
        <f aca="false">IF($J4268=FALSE(),"",COUNTIF($J$6:$J4268,TRUE()))</f>
        <v/>
      </c>
      <c r="L4268" s="5" t="str">
        <f aca="false">IF($K4268="","","R"&amp;$K4268)</f>
        <v/>
      </c>
    </row>
    <row r="4269" customFormat="false" ht="15" hidden="false" customHeight="true" outlineLevel="0" collapsed="false">
      <c r="J4269" s="14" t="b">
        <f aca="false">IF(중복검사!$A4267="",FALSE(),중복검사!$H4267="중복")</f>
        <v>0</v>
      </c>
      <c r="K4269" s="5" t="str">
        <f aca="false">IF($J4269=FALSE(),"",COUNTIF($J$6:$J4269,TRUE()))</f>
        <v/>
      </c>
      <c r="L4269" s="5" t="str">
        <f aca="false">IF($K4269="","","R"&amp;$K4269)</f>
        <v/>
      </c>
    </row>
    <row r="4270" customFormat="false" ht="15" hidden="false" customHeight="true" outlineLevel="0" collapsed="false">
      <c r="J4270" s="14" t="b">
        <f aca="false">IF(중복검사!$A4268="",FALSE(),중복검사!$H4268="중복")</f>
        <v>0</v>
      </c>
      <c r="K4270" s="5" t="str">
        <f aca="false">IF($J4270=FALSE(),"",COUNTIF($J$6:$J4270,TRUE()))</f>
        <v/>
      </c>
      <c r="L4270" s="5" t="str">
        <f aca="false">IF($K4270="","","R"&amp;$K4270)</f>
        <v/>
      </c>
    </row>
    <row r="4271" customFormat="false" ht="15" hidden="false" customHeight="true" outlineLevel="0" collapsed="false">
      <c r="J4271" s="14" t="b">
        <f aca="false">IF(중복검사!$A4269="",FALSE(),중복검사!$H4269="중복")</f>
        <v>0</v>
      </c>
      <c r="K4271" s="5" t="str">
        <f aca="false">IF($J4271=FALSE(),"",COUNTIF($J$6:$J4271,TRUE()))</f>
        <v/>
      </c>
      <c r="L4271" s="5" t="str">
        <f aca="false">IF($K4271="","","R"&amp;$K4271)</f>
        <v/>
      </c>
    </row>
    <row r="4272" customFormat="false" ht="15" hidden="false" customHeight="true" outlineLevel="0" collapsed="false">
      <c r="J4272" s="14" t="b">
        <f aca="false">IF(중복검사!$A4270="",FALSE(),중복검사!$H4270="중복")</f>
        <v>0</v>
      </c>
      <c r="K4272" s="5" t="str">
        <f aca="false">IF($J4272=FALSE(),"",COUNTIF($J$6:$J4272,TRUE()))</f>
        <v/>
      </c>
      <c r="L4272" s="5" t="str">
        <f aca="false">IF($K4272="","","R"&amp;$K4272)</f>
        <v/>
      </c>
    </row>
    <row r="4273" customFormat="false" ht="15" hidden="false" customHeight="true" outlineLevel="0" collapsed="false">
      <c r="J4273" s="14" t="b">
        <f aca="false">IF(중복검사!$A4271="",FALSE(),중복검사!$H4271="중복")</f>
        <v>0</v>
      </c>
      <c r="K4273" s="5" t="str">
        <f aca="false">IF($J4273=FALSE(),"",COUNTIF($J$6:$J4273,TRUE()))</f>
        <v/>
      </c>
      <c r="L4273" s="5" t="str">
        <f aca="false">IF($K4273="","","R"&amp;$K4273)</f>
        <v/>
      </c>
    </row>
    <row r="4274" customFormat="false" ht="15" hidden="false" customHeight="true" outlineLevel="0" collapsed="false">
      <c r="J4274" s="14" t="b">
        <f aca="false">IF(중복검사!$A4272="",FALSE(),중복검사!$H4272="중복")</f>
        <v>0</v>
      </c>
      <c r="K4274" s="5" t="str">
        <f aca="false">IF($J4274=FALSE(),"",COUNTIF($J$6:$J4274,TRUE()))</f>
        <v/>
      </c>
      <c r="L4274" s="5" t="str">
        <f aca="false">IF($K4274="","","R"&amp;$K4274)</f>
        <v/>
      </c>
    </row>
    <row r="4275" customFormat="false" ht="15" hidden="false" customHeight="true" outlineLevel="0" collapsed="false">
      <c r="J4275" s="14" t="b">
        <f aca="false">IF(중복검사!$A4273="",FALSE(),중복검사!$H4273="중복")</f>
        <v>0</v>
      </c>
      <c r="K4275" s="5" t="str">
        <f aca="false">IF($J4275=FALSE(),"",COUNTIF($J$6:$J4275,TRUE()))</f>
        <v/>
      </c>
      <c r="L4275" s="5" t="str">
        <f aca="false">IF($K4275="","","R"&amp;$K4275)</f>
        <v/>
      </c>
    </row>
    <row r="4276" customFormat="false" ht="15" hidden="false" customHeight="true" outlineLevel="0" collapsed="false">
      <c r="J4276" s="14" t="b">
        <f aca="false">IF(중복검사!$A4274="",FALSE(),중복검사!$H4274="중복")</f>
        <v>0</v>
      </c>
      <c r="K4276" s="5" t="str">
        <f aca="false">IF($J4276=FALSE(),"",COUNTIF($J$6:$J4276,TRUE()))</f>
        <v/>
      </c>
      <c r="L4276" s="5" t="str">
        <f aca="false">IF($K4276="","","R"&amp;$K4276)</f>
        <v/>
      </c>
    </row>
    <row r="4277" customFormat="false" ht="15" hidden="false" customHeight="true" outlineLevel="0" collapsed="false">
      <c r="J4277" s="14" t="b">
        <f aca="false">IF(중복검사!$A4275="",FALSE(),중복검사!$H4275="중복")</f>
        <v>0</v>
      </c>
      <c r="K4277" s="5" t="str">
        <f aca="false">IF($J4277=FALSE(),"",COUNTIF($J$6:$J4277,TRUE()))</f>
        <v/>
      </c>
      <c r="L4277" s="5" t="str">
        <f aca="false">IF($K4277="","","R"&amp;$K4277)</f>
        <v/>
      </c>
    </row>
    <row r="4278" customFormat="false" ht="15" hidden="false" customHeight="true" outlineLevel="0" collapsed="false">
      <c r="J4278" s="14" t="b">
        <f aca="false">IF(중복검사!$A4276="",FALSE(),중복검사!$H4276="중복")</f>
        <v>0</v>
      </c>
      <c r="K4278" s="5" t="str">
        <f aca="false">IF($J4278=FALSE(),"",COUNTIF($J$6:$J4278,TRUE()))</f>
        <v/>
      </c>
      <c r="L4278" s="5" t="str">
        <f aca="false">IF($K4278="","","R"&amp;$K4278)</f>
        <v/>
      </c>
    </row>
    <row r="4279" customFormat="false" ht="15" hidden="false" customHeight="true" outlineLevel="0" collapsed="false">
      <c r="J4279" s="14" t="b">
        <f aca="false">IF(중복검사!$A4277="",FALSE(),중복검사!$H4277="중복")</f>
        <v>0</v>
      </c>
      <c r="K4279" s="5" t="str">
        <f aca="false">IF($J4279=FALSE(),"",COUNTIF($J$6:$J4279,TRUE()))</f>
        <v/>
      </c>
      <c r="L4279" s="5" t="str">
        <f aca="false">IF($K4279="","","R"&amp;$K4279)</f>
        <v/>
      </c>
    </row>
    <row r="4280" customFormat="false" ht="15" hidden="false" customHeight="true" outlineLevel="0" collapsed="false">
      <c r="J4280" s="14" t="b">
        <f aca="false">IF(중복검사!$A4278="",FALSE(),중복검사!$H4278="중복")</f>
        <v>0</v>
      </c>
      <c r="K4280" s="5" t="str">
        <f aca="false">IF($J4280=FALSE(),"",COUNTIF($J$6:$J4280,TRUE()))</f>
        <v/>
      </c>
      <c r="L4280" s="5" t="str">
        <f aca="false">IF($K4280="","","R"&amp;$K4280)</f>
        <v/>
      </c>
    </row>
    <row r="4281" customFormat="false" ht="15" hidden="false" customHeight="true" outlineLevel="0" collapsed="false">
      <c r="J4281" s="14" t="b">
        <f aca="false">IF(중복검사!$A4279="",FALSE(),중복검사!$H4279="중복")</f>
        <v>0</v>
      </c>
      <c r="K4281" s="5" t="str">
        <f aca="false">IF($J4281=FALSE(),"",COUNTIF($J$6:$J4281,TRUE()))</f>
        <v/>
      </c>
      <c r="L4281" s="5" t="str">
        <f aca="false">IF($K4281="","","R"&amp;$K4281)</f>
        <v/>
      </c>
    </row>
    <row r="4282" customFormat="false" ht="15" hidden="false" customHeight="true" outlineLevel="0" collapsed="false">
      <c r="J4282" s="14" t="b">
        <f aca="false">IF(중복검사!$A4280="",FALSE(),중복검사!$H4280="중복")</f>
        <v>0</v>
      </c>
      <c r="K4282" s="5" t="str">
        <f aca="false">IF($J4282=FALSE(),"",COUNTIF($J$6:$J4282,TRUE()))</f>
        <v/>
      </c>
      <c r="L4282" s="5" t="str">
        <f aca="false">IF($K4282="","","R"&amp;$K4282)</f>
        <v/>
      </c>
    </row>
    <row r="4283" customFormat="false" ht="15" hidden="false" customHeight="true" outlineLevel="0" collapsed="false">
      <c r="J4283" s="14" t="b">
        <f aca="false">IF(중복검사!$A4281="",FALSE(),중복검사!$H4281="중복")</f>
        <v>0</v>
      </c>
      <c r="K4283" s="5" t="str">
        <f aca="false">IF($J4283=FALSE(),"",COUNTIF($J$6:$J4283,TRUE()))</f>
        <v/>
      </c>
      <c r="L4283" s="5" t="str">
        <f aca="false">IF($K4283="","","R"&amp;$K4283)</f>
        <v/>
      </c>
    </row>
    <row r="4284" customFormat="false" ht="15" hidden="false" customHeight="true" outlineLevel="0" collapsed="false">
      <c r="J4284" s="14" t="b">
        <f aca="false">IF(중복검사!$A4282="",FALSE(),중복검사!$H4282="중복")</f>
        <v>0</v>
      </c>
      <c r="K4284" s="5" t="str">
        <f aca="false">IF($J4284=FALSE(),"",COUNTIF($J$6:$J4284,TRUE()))</f>
        <v/>
      </c>
      <c r="L4284" s="5" t="str">
        <f aca="false">IF($K4284="","","R"&amp;$K4284)</f>
        <v/>
      </c>
    </row>
    <row r="4285" customFormat="false" ht="15" hidden="false" customHeight="true" outlineLevel="0" collapsed="false">
      <c r="J4285" s="14" t="b">
        <f aca="false">IF(중복검사!$A4283="",FALSE(),중복검사!$H4283="중복")</f>
        <v>0</v>
      </c>
      <c r="K4285" s="5" t="str">
        <f aca="false">IF($J4285=FALSE(),"",COUNTIF($J$6:$J4285,TRUE()))</f>
        <v/>
      </c>
      <c r="L4285" s="5" t="str">
        <f aca="false">IF($K4285="","","R"&amp;$K4285)</f>
        <v/>
      </c>
    </row>
    <row r="4286" customFormat="false" ht="15" hidden="false" customHeight="true" outlineLevel="0" collapsed="false">
      <c r="J4286" s="14" t="b">
        <f aca="false">IF(중복검사!$A4284="",FALSE(),중복검사!$H4284="중복")</f>
        <v>0</v>
      </c>
      <c r="K4286" s="5" t="str">
        <f aca="false">IF($J4286=FALSE(),"",COUNTIF($J$6:$J4286,TRUE()))</f>
        <v/>
      </c>
      <c r="L4286" s="5" t="str">
        <f aca="false">IF($K4286="","","R"&amp;$K4286)</f>
        <v/>
      </c>
    </row>
    <row r="4287" customFormat="false" ht="15" hidden="false" customHeight="true" outlineLevel="0" collapsed="false">
      <c r="J4287" s="14" t="b">
        <f aca="false">IF(중복검사!$A4285="",FALSE(),중복검사!$H4285="중복")</f>
        <v>0</v>
      </c>
      <c r="K4287" s="5" t="str">
        <f aca="false">IF($J4287=FALSE(),"",COUNTIF($J$6:$J4287,TRUE()))</f>
        <v/>
      </c>
      <c r="L4287" s="5" t="str">
        <f aca="false">IF($K4287="","","R"&amp;$K4287)</f>
        <v/>
      </c>
    </row>
    <row r="4288" customFormat="false" ht="15" hidden="false" customHeight="true" outlineLevel="0" collapsed="false">
      <c r="J4288" s="14" t="b">
        <f aca="false">IF(중복검사!$A4286="",FALSE(),중복검사!$H4286="중복")</f>
        <v>0</v>
      </c>
      <c r="K4288" s="5" t="str">
        <f aca="false">IF($J4288=FALSE(),"",COUNTIF($J$6:$J4288,TRUE()))</f>
        <v/>
      </c>
      <c r="L4288" s="5" t="str">
        <f aca="false">IF($K4288="","","R"&amp;$K4288)</f>
        <v/>
      </c>
    </row>
    <row r="4289" customFormat="false" ht="15" hidden="false" customHeight="true" outlineLevel="0" collapsed="false">
      <c r="J4289" s="14" t="b">
        <f aca="false">IF(중복검사!$A4287="",FALSE(),중복검사!$H4287="중복")</f>
        <v>0</v>
      </c>
      <c r="K4289" s="5" t="str">
        <f aca="false">IF($J4289=FALSE(),"",COUNTIF($J$6:$J4289,TRUE()))</f>
        <v/>
      </c>
      <c r="L4289" s="5" t="str">
        <f aca="false">IF($K4289="","","R"&amp;$K4289)</f>
        <v/>
      </c>
    </row>
    <row r="4290" customFormat="false" ht="15" hidden="false" customHeight="true" outlineLevel="0" collapsed="false">
      <c r="J4290" s="14" t="b">
        <f aca="false">IF(중복검사!$A4288="",FALSE(),중복검사!$H4288="중복")</f>
        <v>0</v>
      </c>
      <c r="K4290" s="5" t="str">
        <f aca="false">IF($J4290=FALSE(),"",COUNTIF($J$6:$J4290,TRUE()))</f>
        <v/>
      </c>
      <c r="L4290" s="5" t="str">
        <f aca="false">IF($K4290="","","R"&amp;$K4290)</f>
        <v/>
      </c>
    </row>
    <row r="4291" customFormat="false" ht="15" hidden="false" customHeight="true" outlineLevel="0" collapsed="false">
      <c r="J4291" s="14" t="b">
        <f aca="false">IF(중복검사!$A4289="",FALSE(),중복검사!$H4289="중복")</f>
        <v>0</v>
      </c>
      <c r="K4291" s="5" t="str">
        <f aca="false">IF($J4291=FALSE(),"",COUNTIF($J$6:$J4291,TRUE()))</f>
        <v/>
      </c>
      <c r="L4291" s="5" t="str">
        <f aca="false">IF($K4291="","","R"&amp;$K4291)</f>
        <v/>
      </c>
    </row>
    <row r="4292" customFormat="false" ht="15" hidden="false" customHeight="true" outlineLevel="0" collapsed="false">
      <c r="J4292" s="14" t="b">
        <f aca="false">IF(중복검사!$A4290="",FALSE(),중복검사!$H4290="중복")</f>
        <v>0</v>
      </c>
      <c r="K4292" s="5" t="str">
        <f aca="false">IF($J4292=FALSE(),"",COUNTIF($J$6:$J4292,TRUE()))</f>
        <v/>
      </c>
      <c r="L4292" s="5" t="str">
        <f aca="false">IF($K4292="","","R"&amp;$K4292)</f>
        <v/>
      </c>
    </row>
    <row r="4293" customFormat="false" ht="15" hidden="false" customHeight="true" outlineLevel="0" collapsed="false">
      <c r="J4293" s="14" t="b">
        <f aca="false">IF(중복검사!$A4291="",FALSE(),중복검사!$H4291="중복")</f>
        <v>0</v>
      </c>
      <c r="K4293" s="5" t="str">
        <f aca="false">IF($J4293=FALSE(),"",COUNTIF($J$6:$J4293,TRUE()))</f>
        <v/>
      </c>
      <c r="L4293" s="5" t="str">
        <f aca="false">IF($K4293="","","R"&amp;$K4293)</f>
        <v/>
      </c>
    </row>
    <row r="4294" customFormat="false" ht="15" hidden="false" customHeight="true" outlineLevel="0" collapsed="false">
      <c r="J4294" s="14" t="b">
        <f aca="false">IF(중복검사!$A4292="",FALSE(),중복검사!$H4292="중복")</f>
        <v>0</v>
      </c>
      <c r="K4294" s="5" t="str">
        <f aca="false">IF($J4294=FALSE(),"",COUNTIF($J$6:$J4294,TRUE()))</f>
        <v/>
      </c>
      <c r="L4294" s="5" t="str">
        <f aca="false">IF($K4294="","","R"&amp;$K4294)</f>
        <v/>
      </c>
    </row>
    <row r="4295" customFormat="false" ht="15" hidden="false" customHeight="true" outlineLevel="0" collapsed="false">
      <c r="J4295" s="14" t="b">
        <f aca="false">IF(중복검사!$A4293="",FALSE(),중복검사!$H4293="중복")</f>
        <v>0</v>
      </c>
      <c r="K4295" s="5" t="str">
        <f aca="false">IF($J4295=FALSE(),"",COUNTIF($J$6:$J4295,TRUE()))</f>
        <v/>
      </c>
      <c r="L4295" s="5" t="str">
        <f aca="false">IF($K4295="","","R"&amp;$K4295)</f>
        <v/>
      </c>
    </row>
    <row r="4296" customFormat="false" ht="15" hidden="false" customHeight="true" outlineLevel="0" collapsed="false">
      <c r="J4296" s="14" t="b">
        <f aca="false">IF(중복검사!$A4294="",FALSE(),중복검사!$H4294="중복")</f>
        <v>0</v>
      </c>
      <c r="K4296" s="5" t="str">
        <f aca="false">IF($J4296=FALSE(),"",COUNTIF($J$6:$J4296,TRUE()))</f>
        <v/>
      </c>
      <c r="L4296" s="5" t="str">
        <f aca="false">IF($K4296="","","R"&amp;$K4296)</f>
        <v/>
      </c>
    </row>
    <row r="4297" customFormat="false" ht="15" hidden="false" customHeight="true" outlineLevel="0" collapsed="false">
      <c r="J4297" s="14" t="b">
        <f aca="false">IF(중복검사!$A4295="",FALSE(),중복검사!$H4295="중복")</f>
        <v>0</v>
      </c>
      <c r="K4297" s="5" t="str">
        <f aca="false">IF($J4297=FALSE(),"",COUNTIF($J$6:$J4297,TRUE()))</f>
        <v/>
      </c>
      <c r="L4297" s="5" t="str">
        <f aca="false">IF($K4297="","","R"&amp;$K4297)</f>
        <v/>
      </c>
    </row>
    <row r="4298" customFormat="false" ht="15" hidden="false" customHeight="true" outlineLevel="0" collapsed="false">
      <c r="J4298" s="14" t="b">
        <f aca="false">IF(중복검사!$A4296="",FALSE(),중복검사!$H4296="중복")</f>
        <v>0</v>
      </c>
      <c r="K4298" s="5" t="str">
        <f aca="false">IF($J4298=FALSE(),"",COUNTIF($J$6:$J4298,TRUE()))</f>
        <v/>
      </c>
      <c r="L4298" s="5" t="str">
        <f aca="false">IF($K4298="","","R"&amp;$K4298)</f>
        <v/>
      </c>
    </row>
    <row r="4299" customFormat="false" ht="15" hidden="false" customHeight="true" outlineLevel="0" collapsed="false">
      <c r="J4299" s="14" t="b">
        <f aca="false">IF(중복검사!$A4297="",FALSE(),중복검사!$H4297="중복")</f>
        <v>0</v>
      </c>
      <c r="K4299" s="5" t="str">
        <f aca="false">IF($J4299=FALSE(),"",COUNTIF($J$6:$J4299,TRUE()))</f>
        <v/>
      </c>
      <c r="L4299" s="5" t="str">
        <f aca="false">IF($K4299="","","R"&amp;$K4299)</f>
        <v/>
      </c>
    </row>
    <row r="4300" customFormat="false" ht="15" hidden="false" customHeight="true" outlineLevel="0" collapsed="false">
      <c r="J4300" s="14" t="b">
        <f aca="false">IF(중복검사!$A4298="",FALSE(),중복검사!$H4298="중복")</f>
        <v>0</v>
      </c>
      <c r="K4300" s="5" t="str">
        <f aca="false">IF($J4300=FALSE(),"",COUNTIF($J$6:$J4300,TRUE()))</f>
        <v/>
      </c>
      <c r="L4300" s="5" t="str">
        <f aca="false">IF($K4300="","","R"&amp;$K4300)</f>
        <v/>
      </c>
    </row>
    <row r="4301" customFormat="false" ht="15" hidden="false" customHeight="true" outlineLevel="0" collapsed="false">
      <c r="J4301" s="14" t="b">
        <f aca="false">IF(중복검사!$A4299="",FALSE(),중복검사!$H4299="중복")</f>
        <v>0</v>
      </c>
      <c r="K4301" s="5" t="str">
        <f aca="false">IF($J4301=FALSE(),"",COUNTIF($J$6:$J4301,TRUE()))</f>
        <v/>
      </c>
      <c r="L4301" s="5" t="str">
        <f aca="false">IF($K4301="","","R"&amp;$K4301)</f>
        <v/>
      </c>
    </row>
    <row r="4302" customFormat="false" ht="15" hidden="false" customHeight="true" outlineLevel="0" collapsed="false">
      <c r="J4302" s="14" t="b">
        <f aca="false">IF(중복검사!$A4300="",FALSE(),중복검사!$H4300="중복")</f>
        <v>0</v>
      </c>
      <c r="K4302" s="5" t="str">
        <f aca="false">IF($J4302=FALSE(),"",COUNTIF($J$6:$J4302,TRUE()))</f>
        <v/>
      </c>
      <c r="L4302" s="5" t="str">
        <f aca="false">IF($K4302="","","R"&amp;$K4302)</f>
        <v/>
      </c>
    </row>
    <row r="4303" customFormat="false" ht="15" hidden="false" customHeight="true" outlineLevel="0" collapsed="false">
      <c r="J4303" s="14" t="b">
        <f aca="false">IF(중복검사!$A4301="",FALSE(),중복검사!$H4301="중복")</f>
        <v>0</v>
      </c>
      <c r="K4303" s="5" t="str">
        <f aca="false">IF($J4303=FALSE(),"",COUNTIF($J$6:$J4303,TRUE()))</f>
        <v/>
      </c>
      <c r="L4303" s="5" t="str">
        <f aca="false">IF($K4303="","","R"&amp;$K4303)</f>
        <v/>
      </c>
    </row>
    <row r="4304" customFormat="false" ht="15" hidden="false" customHeight="true" outlineLevel="0" collapsed="false">
      <c r="J4304" s="14" t="b">
        <f aca="false">IF(중복검사!$A4302="",FALSE(),중복검사!$H4302="중복")</f>
        <v>0</v>
      </c>
      <c r="K4304" s="5" t="str">
        <f aca="false">IF($J4304=FALSE(),"",COUNTIF($J$6:$J4304,TRUE()))</f>
        <v/>
      </c>
      <c r="L4304" s="5" t="str">
        <f aca="false">IF($K4304="","","R"&amp;$K4304)</f>
        <v/>
      </c>
    </row>
    <row r="4305" customFormat="false" ht="15" hidden="false" customHeight="true" outlineLevel="0" collapsed="false">
      <c r="J4305" s="14" t="b">
        <f aca="false">IF(중복검사!$A4303="",FALSE(),중복검사!$H4303="중복")</f>
        <v>0</v>
      </c>
      <c r="K4305" s="5" t="str">
        <f aca="false">IF($J4305=FALSE(),"",COUNTIF($J$6:$J4305,TRUE()))</f>
        <v/>
      </c>
      <c r="L4305" s="5" t="str">
        <f aca="false">IF($K4305="","","R"&amp;$K4305)</f>
        <v/>
      </c>
    </row>
    <row r="4306" customFormat="false" ht="15" hidden="false" customHeight="true" outlineLevel="0" collapsed="false">
      <c r="J4306" s="14" t="b">
        <f aca="false">IF(중복검사!$A4304="",FALSE(),중복검사!$H4304="중복")</f>
        <v>0</v>
      </c>
      <c r="K4306" s="5" t="str">
        <f aca="false">IF($J4306=FALSE(),"",COUNTIF($J$6:$J4306,TRUE()))</f>
        <v/>
      </c>
      <c r="L4306" s="5" t="str">
        <f aca="false">IF($K4306="","","R"&amp;$K4306)</f>
        <v/>
      </c>
    </row>
    <row r="4307" customFormat="false" ht="15" hidden="false" customHeight="true" outlineLevel="0" collapsed="false">
      <c r="J4307" s="14" t="b">
        <f aca="false">IF(중복검사!$A4305="",FALSE(),중복검사!$H4305="중복")</f>
        <v>0</v>
      </c>
      <c r="K4307" s="5" t="str">
        <f aca="false">IF($J4307=FALSE(),"",COUNTIF($J$6:$J4307,TRUE()))</f>
        <v/>
      </c>
      <c r="L4307" s="5" t="str">
        <f aca="false">IF($K4307="","","R"&amp;$K4307)</f>
        <v/>
      </c>
    </row>
    <row r="4308" customFormat="false" ht="15" hidden="false" customHeight="true" outlineLevel="0" collapsed="false">
      <c r="J4308" s="14" t="b">
        <f aca="false">IF(중복검사!$A4306="",FALSE(),중복검사!$H4306="중복")</f>
        <v>0</v>
      </c>
      <c r="K4308" s="5" t="str">
        <f aca="false">IF($J4308=FALSE(),"",COUNTIF($J$6:$J4308,TRUE()))</f>
        <v/>
      </c>
      <c r="L4308" s="5" t="str">
        <f aca="false">IF($K4308="","","R"&amp;$K4308)</f>
        <v/>
      </c>
    </row>
    <row r="4309" customFormat="false" ht="15" hidden="false" customHeight="true" outlineLevel="0" collapsed="false">
      <c r="J4309" s="14" t="b">
        <f aca="false">IF(중복검사!$A4307="",FALSE(),중복검사!$H4307="중복")</f>
        <v>0</v>
      </c>
      <c r="K4309" s="5" t="str">
        <f aca="false">IF($J4309=FALSE(),"",COUNTIF($J$6:$J4309,TRUE()))</f>
        <v/>
      </c>
      <c r="L4309" s="5" t="str">
        <f aca="false">IF($K4309="","","R"&amp;$K4309)</f>
        <v/>
      </c>
    </row>
    <row r="4310" customFormat="false" ht="15" hidden="false" customHeight="true" outlineLevel="0" collapsed="false">
      <c r="J4310" s="14" t="b">
        <f aca="false">IF(중복검사!$A4308="",FALSE(),중복검사!$H4308="중복")</f>
        <v>0</v>
      </c>
      <c r="K4310" s="5" t="str">
        <f aca="false">IF($J4310=FALSE(),"",COUNTIF($J$6:$J4310,TRUE()))</f>
        <v/>
      </c>
      <c r="L4310" s="5" t="str">
        <f aca="false">IF($K4310="","","R"&amp;$K4310)</f>
        <v/>
      </c>
    </row>
    <row r="4311" customFormat="false" ht="15" hidden="false" customHeight="true" outlineLevel="0" collapsed="false">
      <c r="J4311" s="14" t="b">
        <f aca="false">IF(중복검사!$A4309="",FALSE(),중복검사!$H4309="중복")</f>
        <v>0</v>
      </c>
      <c r="K4311" s="5" t="str">
        <f aca="false">IF($J4311=FALSE(),"",COUNTIF($J$6:$J4311,TRUE()))</f>
        <v/>
      </c>
      <c r="L4311" s="5" t="str">
        <f aca="false">IF($K4311="","","R"&amp;$K4311)</f>
        <v/>
      </c>
    </row>
    <row r="4312" customFormat="false" ht="15" hidden="false" customHeight="true" outlineLevel="0" collapsed="false">
      <c r="J4312" s="14" t="b">
        <f aca="false">IF(중복검사!$A4310="",FALSE(),중복검사!$H4310="중복")</f>
        <v>0</v>
      </c>
      <c r="K4312" s="5" t="str">
        <f aca="false">IF($J4312=FALSE(),"",COUNTIF($J$6:$J4312,TRUE()))</f>
        <v/>
      </c>
      <c r="L4312" s="5" t="str">
        <f aca="false">IF($K4312="","","R"&amp;$K4312)</f>
        <v/>
      </c>
    </row>
    <row r="4313" customFormat="false" ht="15" hidden="false" customHeight="true" outlineLevel="0" collapsed="false">
      <c r="J4313" s="14" t="b">
        <f aca="false">IF(중복검사!$A4311="",FALSE(),중복검사!$H4311="중복")</f>
        <v>0</v>
      </c>
      <c r="K4313" s="5" t="str">
        <f aca="false">IF($J4313=FALSE(),"",COUNTIF($J$6:$J4313,TRUE()))</f>
        <v/>
      </c>
      <c r="L4313" s="5" t="str">
        <f aca="false">IF($K4313="","","R"&amp;$K4313)</f>
        <v/>
      </c>
    </row>
    <row r="4314" customFormat="false" ht="15" hidden="false" customHeight="true" outlineLevel="0" collapsed="false">
      <c r="J4314" s="14" t="b">
        <f aca="false">IF(중복검사!$A4312="",FALSE(),중복검사!$H4312="중복")</f>
        <v>0</v>
      </c>
      <c r="K4314" s="5" t="str">
        <f aca="false">IF($J4314=FALSE(),"",COUNTIF($J$6:$J4314,TRUE()))</f>
        <v/>
      </c>
      <c r="L4314" s="5" t="str">
        <f aca="false">IF($K4314="","","R"&amp;$K4314)</f>
        <v/>
      </c>
    </row>
    <row r="4315" customFormat="false" ht="15" hidden="false" customHeight="true" outlineLevel="0" collapsed="false">
      <c r="J4315" s="14" t="b">
        <f aca="false">IF(중복검사!$A4313="",FALSE(),중복검사!$H4313="중복")</f>
        <v>0</v>
      </c>
      <c r="K4315" s="5" t="str">
        <f aca="false">IF($J4315=FALSE(),"",COUNTIF($J$6:$J4315,TRUE()))</f>
        <v/>
      </c>
      <c r="L4315" s="5" t="str">
        <f aca="false">IF($K4315="","","R"&amp;$K4315)</f>
        <v/>
      </c>
    </row>
    <row r="4316" customFormat="false" ht="15" hidden="false" customHeight="true" outlineLevel="0" collapsed="false">
      <c r="J4316" s="14" t="b">
        <f aca="false">IF(중복검사!$A4314="",FALSE(),중복검사!$H4314="중복")</f>
        <v>0</v>
      </c>
      <c r="K4316" s="5" t="str">
        <f aca="false">IF($J4316=FALSE(),"",COUNTIF($J$6:$J4316,TRUE()))</f>
        <v/>
      </c>
      <c r="L4316" s="5" t="str">
        <f aca="false">IF($K4316="","","R"&amp;$K4316)</f>
        <v/>
      </c>
    </row>
    <row r="4317" customFormat="false" ht="15" hidden="false" customHeight="true" outlineLevel="0" collapsed="false">
      <c r="J4317" s="14" t="b">
        <f aca="false">IF(중복검사!$A4315="",FALSE(),중복검사!$H4315="중복")</f>
        <v>0</v>
      </c>
      <c r="K4317" s="5" t="str">
        <f aca="false">IF($J4317=FALSE(),"",COUNTIF($J$6:$J4317,TRUE()))</f>
        <v/>
      </c>
      <c r="L4317" s="5" t="str">
        <f aca="false">IF($K4317="","","R"&amp;$K4317)</f>
        <v/>
      </c>
    </row>
    <row r="4318" customFormat="false" ht="15" hidden="false" customHeight="true" outlineLevel="0" collapsed="false">
      <c r="J4318" s="14" t="b">
        <f aca="false">IF(중복검사!$A4316="",FALSE(),중복검사!$H4316="중복")</f>
        <v>0</v>
      </c>
      <c r="K4318" s="5" t="str">
        <f aca="false">IF($J4318=FALSE(),"",COUNTIF($J$6:$J4318,TRUE()))</f>
        <v/>
      </c>
      <c r="L4318" s="5" t="str">
        <f aca="false">IF($K4318="","","R"&amp;$K4318)</f>
        <v/>
      </c>
    </row>
    <row r="4319" customFormat="false" ht="15" hidden="false" customHeight="true" outlineLevel="0" collapsed="false">
      <c r="J4319" s="14" t="b">
        <f aca="false">IF(중복검사!$A4317="",FALSE(),중복검사!$H4317="중복")</f>
        <v>0</v>
      </c>
      <c r="K4319" s="5" t="str">
        <f aca="false">IF($J4319=FALSE(),"",COUNTIF($J$6:$J4319,TRUE()))</f>
        <v/>
      </c>
      <c r="L4319" s="5" t="str">
        <f aca="false">IF($K4319="","","R"&amp;$K4319)</f>
        <v/>
      </c>
    </row>
    <row r="4320" customFormat="false" ht="15" hidden="false" customHeight="true" outlineLevel="0" collapsed="false">
      <c r="J4320" s="14" t="b">
        <f aca="false">IF(중복검사!$A4318="",FALSE(),중복검사!$H4318="중복")</f>
        <v>0</v>
      </c>
      <c r="K4320" s="5" t="str">
        <f aca="false">IF($J4320=FALSE(),"",COUNTIF($J$6:$J4320,TRUE()))</f>
        <v/>
      </c>
      <c r="L4320" s="5" t="str">
        <f aca="false">IF($K4320="","","R"&amp;$K4320)</f>
        <v/>
      </c>
    </row>
    <row r="4321" customFormat="false" ht="15" hidden="false" customHeight="true" outlineLevel="0" collapsed="false">
      <c r="J4321" s="14" t="b">
        <f aca="false">IF(중복검사!$A4319="",FALSE(),중복검사!$H4319="중복")</f>
        <v>0</v>
      </c>
      <c r="K4321" s="5" t="str">
        <f aca="false">IF($J4321=FALSE(),"",COUNTIF($J$6:$J4321,TRUE()))</f>
        <v/>
      </c>
      <c r="L4321" s="5" t="str">
        <f aca="false">IF($K4321="","","R"&amp;$K4321)</f>
        <v/>
      </c>
    </row>
    <row r="4322" customFormat="false" ht="15" hidden="false" customHeight="true" outlineLevel="0" collapsed="false">
      <c r="J4322" s="14" t="b">
        <f aca="false">IF(중복검사!$A4320="",FALSE(),중복검사!$H4320="중복")</f>
        <v>0</v>
      </c>
      <c r="K4322" s="5" t="str">
        <f aca="false">IF($J4322=FALSE(),"",COUNTIF($J$6:$J4322,TRUE()))</f>
        <v/>
      </c>
      <c r="L4322" s="5" t="str">
        <f aca="false">IF($K4322="","","R"&amp;$K4322)</f>
        <v/>
      </c>
    </row>
    <row r="4323" customFormat="false" ht="15" hidden="false" customHeight="true" outlineLevel="0" collapsed="false">
      <c r="J4323" s="14" t="b">
        <f aca="false">IF(중복검사!$A4321="",FALSE(),중복검사!$H4321="중복")</f>
        <v>0</v>
      </c>
      <c r="K4323" s="5" t="str">
        <f aca="false">IF($J4323=FALSE(),"",COUNTIF($J$6:$J4323,TRUE()))</f>
        <v/>
      </c>
      <c r="L4323" s="5" t="str">
        <f aca="false">IF($K4323="","","R"&amp;$K4323)</f>
        <v/>
      </c>
    </row>
    <row r="4324" customFormat="false" ht="15" hidden="false" customHeight="true" outlineLevel="0" collapsed="false">
      <c r="J4324" s="14" t="b">
        <f aca="false">IF(중복검사!$A4322="",FALSE(),중복검사!$H4322="중복")</f>
        <v>0</v>
      </c>
      <c r="K4324" s="5" t="str">
        <f aca="false">IF($J4324=FALSE(),"",COUNTIF($J$6:$J4324,TRUE()))</f>
        <v/>
      </c>
      <c r="L4324" s="5" t="str">
        <f aca="false">IF($K4324="","","R"&amp;$K4324)</f>
        <v/>
      </c>
    </row>
    <row r="4325" customFormat="false" ht="15" hidden="false" customHeight="true" outlineLevel="0" collapsed="false">
      <c r="J4325" s="14" t="b">
        <f aca="false">IF(중복검사!$A4323="",FALSE(),중복검사!$H4323="중복")</f>
        <v>0</v>
      </c>
      <c r="K4325" s="5" t="str">
        <f aca="false">IF($J4325=FALSE(),"",COUNTIF($J$6:$J4325,TRUE()))</f>
        <v/>
      </c>
      <c r="L4325" s="5" t="str">
        <f aca="false">IF($K4325="","","R"&amp;$K4325)</f>
        <v/>
      </c>
    </row>
    <row r="4326" customFormat="false" ht="15" hidden="false" customHeight="true" outlineLevel="0" collapsed="false">
      <c r="J4326" s="14" t="b">
        <f aca="false">IF(중복검사!$A4324="",FALSE(),중복검사!$H4324="중복")</f>
        <v>0</v>
      </c>
      <c r="K4326" s="5" t="str">
        <f aca="false">IF($J4326=FALSE(),"",COUNTIF($J$6:$J4326,TRUE()))</f>
        <v/>
      </c>
      <c r="L4326" s="5" t="str">
        <f aca="false">IF($K4326="","","R"&amp;$K4326)</f>
        <v/>
      </c>
    </row>
    <row r="4327" customFormat="false" ht="15" hidden="false" customHeight="true" outlineLevel="0" collapsed="false">
      <c r="J4327" s="14" t="b">
        <f aca="false">IF(중복검사!$A4325="",FALSE(),중복검사!$H4325="중복")</f>
        <v>0</v>
      </c>
      <c r="K4327" s="5" t="str">
        <f aca="false">IF($J4327=FALSE(),"",COUNTIF($J$6:$J4327,TRUE()))</f>
        <v/>
      </c>
      <c r="L4327" s="5" t="str">
        <f aca="false">IF($K4327="","","R"&amp;$K4327)</f>
        <v/>
      </c>
    </row>
    <row r="4328" customFormat="false" ht="15" hidden="false" customHeight="true" outlineLevel="0" collapsed="false">
      <c r="J4328" s="14" t="b">
        <f aca="false">IF(중복검사!$A4326="",FALSE(),중복검사!$H4326="중복")</f>
        <v>0</v>
      </c>
      <c r="K4328" s="5" t="str">
        <f aca="false">IF($J4328=FALSE(),"",COUNTIF($J$6:$J4328,TRUE()))</f>
        <v/>
      </c>
      <c r="L4328" s="5" t="str">
        <f aca="false">IF($K4328="","","R"&amp;$K4328)</f>
        <v/>
      </c>
    </row>
    <row r="4329" customFormat="false" ht="15" hidden="false" customHeight="true" outlineLevel="0" collapsed="false">
      <c r="J4329" s="14" t="b">
        <f aca="false">IF(중복검사!$A4327="",FALSE(),중복검사!$H4327="중복")</f>
        <v>0</v>
      </c>
      <c r="K4329" s="5" t="str">
        <f aca="false">IF($J4329=FALSE(),"",COUNTIF($J$6:$J4329,TRUE()))</f>
        <v/>
      </c>
      <c r="L4329" s="5" t="str">
        <f aca="false">IF($K4329="","","R"&amp;$K4329)</f>
        <v/>
      </c>
    </row>
    <row r="4330" customFormat="false" ht="15" hidden="false" customHeight="true" outlineLevel="0" collapsed="false">
      <c r="J4330" s="14" t="b">
        <f aca="false">IF(중복검사!$A4328="",FALSE(),중복검사!$H4328="중복")</f>
        <v>0</v>
      </c>
      <c r="K4330" s="5" t="str">
        <f aca="false">IF($J4330=FALSE(),"",COUNTIF($J$6:$J4330,TRUE()))</f>
        <v/>
      </c>
      <c r="L4330" s="5" t="str">
        <f aca="false">IF($K4330="","","R"&amp;$K4330)</f>
        <v/>
      </c>
    </row>
    <row r="4331" customFormat="false" ht="15" hidden="false" customHeight="true" outlineLevel="0" collapsed="false">
      <c r="J4331" s="14" t="b">
        <f aca="false">IF(중복검사!$A4329="",FALSE(),중복검사!$H4329="중복")</f>
        <v>0</v>
      </c>
      <c r="K4331" s="5" t="str">
        <f aca="false">IF($J4331=FALSE(),"",COUNTIF($J$6:$J4331,TRUE()))</f>
        <v/>
      </c>
      <c r="L4331" s="5" t="str">
        <f aca="false">IF($K4331="","","R"&amp;$K4331)</f>
        <v/>
      </c>
    </row>
    <row r="4332" customFormat="false" ht="15" hidden="false" customHeight="true" outlineLevel="0" collapsed="false">
      <c r="J4332" s="14" t="b">
        <f aca="false">IF(중복검사!$A4330="",FALSE(),중복검사!$H4330="중복")</f>
        <v>0</v>
      </c>
      <c r="K4332" s="5" t="str">
        <f aca="false">IF($J4332=FALSE(),"",COUNTIF($J$6:$J4332,TRUE()))</f>
        <v/>
      </c>
      <c r="L4332" s="5" t="str">
        <f aca="false">IF($K4332="","","R"&amp;$K4332)</f>
        <v/>
      </c>
    </row>
    <row r="4333" customFormat="false" ht="15" hidden="false" customHeight="true" outlineLevel="0" collapsed="false">
      <c r="J4333" s="14" t="b">
        <f aca="false">IF(중복검사!$A4331="",FALSE(),중복검사!$H4331="중복")</f>
        <v>0</v>
      </c>
      <c r="K4333" s="5" t="str">
        <f aca="false">IF($J4333=FALSE(),"",COUNTIF($J$6:$J4333,TRUE()))</f>
        <v/>
      </c>
      <c r="L4333" s="5" t="str">
        <f aca="false">IF($K4333="","","R"&amp;$K4333)</f>
        <v/>
      </c>
    </row>
    <row r="4334" customFormat="false" ht="15" hidden="false" customHeight="true" outlineLevel="0" collapsed="false">
      <c r="J4334" s="14" t="b">
        <f aca="false">IF(중복검사!$A4332="",FALSE(),중복검사!$H4332="중복")</f>
        <v>0</v>
      </c>
      <c r="K4334" s="5" t="str">
        <f aca="false">IF($J4334=FALSE(),"",COUNTIF($J$6:$J4334,TRUE()))</f>
        <v/>
      </c>
      <c r="L4334" s="5" t="str">
        <f aca="false">IF($K4334="","","R"&amp;$K4334)</f>
        <v/>
      </c>
    </row>
    <row r="4335" customFormat="false" ht="15" hidden="false" customHeight="true" outlineLevel="0" collapsed="false">
      <c r="J4335" s="14" t="b">
        <f aca="false">IF(중복검사!$A4333="",FALSE(),중복검사!$H4333="중복")</f>
        <v>0</v>
      </c>
      <c r="K4335" s="5" t="str">
        <f aca="false">IF($J4335=FALSE(),"",COUNTIF($J$6:$J4335,TRUE()))</f>
        <v/>
      </c>
      <c r="L4335" s="5" t="str">
        <f aca="false">IF($K4335="","","R"&amp;$K4335)</f>
        <v/>
      </c>
    </row>
    <row r="4336" customFormat="false" ht="15" hidden="false" customHeight="true" outlineLevel="0" collapsed="false">
      <c r="J4336" s="14" t="b">
        <f aca="false">IF(중복검사!$A4334="",FALSE(),중복검사!$H4334="중복")</f>
        <v>0</v>
      </c>
      <c r="K4336" s="5" t="str">
        <f aca="false">IF($J4336=FALSE(),"",COUNTIF($J$6:$J4336,TRUE()))</f>
        <v/>
      </c>
      <c r="L4336" s="5" t="str">
        <f aca="false">IF($K4336="","","R"&amp;$K4336)</f>
        <v/>
      </c>
    </row>
    <row r="4337" customFormat="false" ht="15" hidden="false" customHeight="true" outlineLevel="0" collapsed="false">
      <c r="J4337" s="14" t="b">
        <f aca="false">IF(중복검사!$A4335="",FALSE(),중복검사!$H4335="중복")</f>
        <v>0</v>
      </c>
      <c r="K4337" s="5" t="str">
        <f aca="false">IF($J4337=FALSE(),"",COUNTIF($J$6:$J4337,TRUE()))</f>
        <v/>
      </c>
      <c r="L4337" s="5" t="str">
        <f aca="false">IF($K4337="","","R"&amp;$K4337)</f>
        <v/>
      </c>
    </row>
    <row r="4338" customFormat="false" ht="15" hidden="false" customHeight="true" outlineLevel="0" collapsed="false">
      <c r="J4338" s="14" t="b">
        <f aca="false">IF(중복검사!$A4336="",FALSE(),중복검사!$H4336="중복")</f>
        <v>0</v>
      </c>
      <c r="K4338" s="5" t="str">
        <f aca="false">IF($J4338=FALSE(),"",COUNTIF($J$6:$J4338,TRUE()))</f>
        <v/>
      </c>
      <c r="L4338" s="5" t="str">
        <f aca="false">IF($K4338="","","R"&amp;$K4338)</f>
        <v/>
      </c>
    </row>
    <row r="4339" customFormat="false" ht="15" hidden="false" customHeight="true" outlineLevel="0" collapsed="false">
      <c r="J4339" s="14" t="b">
        <f aca="false">IF(중복검사!$A4337="",FALSE(),중복검사!$H4337="중복")</f>
        <v>0</v>
      </c>
      <c r="K4339" s="5" t="str">
        <f aca="false">IF($J4339=FALSE(),"",COUNTIF($J$6:$J4339,TRUE()))</f>
        <v/>
      </c>
      <c r="L4339" s="5" t="str">
        <f aca="false">IF($K4339="","","R"&amp;$K4339)</f>
        <v/>
      </c>
    </row>
    <row r="4340" customFormat="false" ht="15" hidden="false" customHeight="true" outlineLevel="0" collapsed="false">
      <c r="J4340" s="14" t="b">
        <f aca="false">IF(중복검사!$A4338="",FALSE(),중복검사!$H4338="중복")</f>
        <v>0</v>
      </c>
      <c r="K4340" s="5" t="str">
        <f aca="false">IF($J4340=FALSE(),"",COUNTIF($J$6:$J4340,TRUE()))</f>
        <v/>
      </c>
      <c r="L4340" s="5" t="str">
        <f aca="false">IF($K4340="","","R"&amp;$K4340)</f>
        <v/>
      </c>
    </row>
    <row r="4341" customFormat="false" ht="15" hidden="false" customHeight="true" outlineLevel="0" collapsed="false">
      <c r="J4341" s="14" t="b">
        <f aca="false">IF(중복검사!$A4339="",FALSE(),중복검사!$H4339="중복")</f>
        <v>0</v>
      </c>
      <c r="K4341" s="5" t="str">
        <f aca="false">IF($J4341=FALSE(),"",COUNTIF($J$6:$J4341,TRUE()))</f>
        <v/>
      </c>
      <c r="L4341" s="5" t="str">
        <f aca="false">IF($K4341="","","R"&amp;$K4341)</f>
        <v/>
      </c>
    </row>
    <row r="4342" customFormat="false" ht="15" hidden="false" customHeight="true" outlineLevel="0" collapsed="false">
      <c r="J4342" s="14" t="b">
        <f aca="false">IF(중복검사!$A4340="",FALSE(),중복검사!$H4340="중복")</f>
        <v>0</v>
      </c>
      <c r="K4342" s="5" t="str">
        <f aca="false">IF($J4342=FALSE(),"",COUNTIF($J$6:$J4342,TRUE()))</f>
        <v/>
      </c>
      <c r="L4342" s="5" t="str">
        <f aca="false">IF($K4342="","","R"&amp;$K4342)</f>
        <v/>
      </c>
    </row>
    <row r="4343" customFormat="false" ht="15" hidden="false" customHeight="true" outlineLevel="0" collapsed="false">
      <c r="J4343" s="14" t="b">
        <f aca="false">IF(중복검사!$A4341="",FALSE(),중복검사!$H4341="중복")</f>
        <v>0</v>
      </c>
      <c r="K4343" s="5" t="str">
        <f aca="false">IF($J4343=FALSE(),"",COUNTIF($J$6:$J4343,TRUE()))</f>
        <v/>
      </c>
      <c r="L4343" s="5" t="str">
        <f aca="false">IF($K4343="","","R"&amp;$K4343)</f>
        <v/>
      </c>
    </row>
    <row r="4344" customFormat="false" ht="15" hidden="false" customHeight="true" outlineLevel="0" collapsed="false">
      <c r="J4344" s="14" t="b">
        <f aca="false">IF(중복검사!$A4342="",FALSE(),중복검사!$H4342="중복")</f>
        <v>0</v>
      </c>
      <c r="K4344" s="5" t="str">
        <f aca="false">IF($J4344=FALSE(),"",COUNTIF($J$6:$J4344,TRUE()))</f>
        <v/>
      </c>
      <c r="L4344" s="5" t="str">
        <f aca="false">IF($K4344="","","R"&amp;$K4344)</f>
        <v/>
      </c>
    </row>
    <row r="4345" customFormat="false" ht="15" hidden="false" customHeight="true" outlineLevel="0" collapsed="false">
      <c r="J4345" s="14" t="b">
        <f aca="false">IF(중복검사!$A4343="",FALSE(),중복검사!$H4343="중복")</f>
        <v>0</v>
      </c>
      <c r="K4345" s="5" t="str">
        <f aca="false">IF($J4345=FALSE(),"",COUNTIF($J$6:$J4345,TRUE()))</f>
        <v/>
      </c>
      <c r="L4345" s="5" t="str">
        <f aca="false">IF($K4345="","","R"&amp;$K4345)</f>
        <v/>
      </c>
    </row>
    <row r="4346" customFormat="false" ht="15" hidden="false" customHeight="true" outlineLevel="0" collapsed="false">
      <c r="J4346" s="14" t="b">
        <f aca="false">IF(중복검사!$A4344="",FALSE(),중복검사!$H4344="중복")</f>
        <v>0</v>
      </c>
      <c r="K4346" s="5" t="str">
        <f aca="false">IF($J4346=FALSE(),"",COUNTIF($J$6:$J4346,TRUE()))</f>
        <v/>
      </c>
      <c r="L4346" s="5" t="str">
        <f aca="false">IF($K4346="","","R"&amp;$K4346)</f>
        <v/>
      </c>
    </row>
    <row r="4347" customFormat="false" ht="15" hidden="false" customHeight="true" outlineLevel="0" collapsed="false">
      <c r="J4347" s="14" t="b">
        <f aca="false">IF(중복검사!$A4345="",FALSE(),중복검사!$H4345="중복")</f>
        <v>0</v>
      </c>
      <c r="K4347" s="5" t="str">
        <f aca="false">IF($J4347=FALSE(),"",COUNTIF($J$6:$J4347,TRUE()))</f>
        <v/>
      </c>
      <c r="L4347" s="5" t="str">
        <f aca="false">IF($K4347="","","R"&amp;$K4347)</f>
        <v/>
      </c>
    </row>
    <row r="4348" customFormat="false" ht="15" hidden="false" customHeight="true" outlineLevel="0" collapsed="false">
      <c r="J4348" s="14" t="b">
        <f aca="false">IF(중복검사!$A4346="",FALSE(),중복검사!$H4346="중복")</f>
        <v>0</v>
      </c>
      <c r="K4348" s="5" t="str">
        <f aca="false">IF($J4348=FALSE(),"",COUNTIF($J$6:$J4348,TRUE()))</f>
        <v/>
      </c>
      <c r="L4348" s="5" t="str">
        <f aca="false">IF($K4348="","","R"&amp;$K4348)</f>
        <v/>
      </c>
    </row>
    <row r="4349" customFormat="false" ht="15" hidden="false" customHeight="true" outlineLevel="0" collapsed="false">
      <c r="J4349" s="14" t="b">
        <f aca="false">IF(중복검사!$A4347="",FALSE(),중복검사!$H4347="중복")</f>
        <v>0</v>
      </c>
      <c r="K4349" s="5" t="str">
        <f aca="false">IF($J4349=FALSE(),"",COUNTIF($J$6:$J4349,TRUE()))</f>
        <v/>
      </c>
      <c r="L4349" s="5" t="str">
        <f aca="false">IF($K4349="","","R"&amp;$K4349)</f>
        <v/>
      </c>
    </row>
    <row r="4350" customFormat="false" ht="15" hidden="false" customHeight="true" outlineLevel="0" collapsed="false">
      <c r="J4350" s="14" t="b">
        <f aca="false">IF(중복검사!$A4348="",FALSE(),중복검사!$H4348="중복")</f>
        <v>0</v>
      </c>
      <c r="K4350" s="5" t="str">
        <f aca="false">IF($J4350=FALSE(),"",COUNTIF($J$6:$J4350,TRUE()))</f>
        <v/>
      </c>
      <c r="L4350" s="5" t="str">
        <f aca="false">IF($K4350="","","R"&amp;$K4350)</f>
        <v/>
      </c>
    </row>
    <row r="4351" customFormat="false" ht="15" hidden="false" customHeight="true" outlineLevel="0" collapsed="false">
      <c r="J4351" s="14" t="b">
        <f aca="false">IF(중복검사!$A4349="",FALSE(),중복검사!$H4349="중복")</f>
        <v>0</v>
      </c>
      <c r="K4351" s="5" t="str">
        <f aca="false">IF($J4351=FALSE(),"",COUNTIF($J$6:$J4351,TRUE()))</f>
        <v/>
      </c>
      <c r="L4351" s="5" t="str">
        <f aca="false">IF($K4351="","","R"&amp;$K4351)</f>
        <v/>
      </c>
    </row>
    <row r="4352" customFormat="false" ht="15" hidden="false" customHeight="true" outlineLevel="0" collapsed="false">
      <c r="J4352" s="14" t="b">
        <f aca="false">IF(중복검사!$A4350="",FALSE(),중복검사!$H4350="중복")</f>
        <v>0</v>
      </c>
      <c r="K4352" s="5" t="str">
        <f aca="false">IF($J4352=FALSE(),"",COUNTIF($J$6:$J4352,TRUE()))</f>
        <v/>
      </c>
      <c r="L4352" s="5" t="str">
        <f aca="false">IF($K4352="","","R"&amp;$K4352)</f>
        <v/>
      </c>
    </row>
    <row r="4353" customFormat="false" ht="15" hidden="false" customHeight="true" outlineLevel="0" collapsed="false">
      <c r="J4353" s="14" t="b">
        <f aca="false">IF(중복검사!$A4351="",FALSE(),중복검사!$H4351="중복")</f>
        <v>0</v>
      </c>
      <c r="K4353" s="5" t="str">
        <f aca="false">IF($J4353=FALSE(),"",COUNTIF($J$6:$J4353,TRUE()))</f>
        <v/>
      </c>
      <c r="L4353" s="5" t="str">
        <f aca="false">IF($K4353="","","R"&amp;$K4353)</f>
        <v/>
      </c>
    </row>
    <row r="4354" customFormat="false" ht="15" hidden="false" customHeight="true" outlineLevel="0" collapsed="false">
      <c r="J4354" s="14" t="b">
        <f aca="false">IF(중복검사!$A4352="",FALSE(),중복검사!$H4352="중복")</f>
        <v>0</v>
      </c>
      <c r="K4354" s="5" t="str">
        <f aca="false">IF($J4354=FALSE(),"",COUNTIF($J$6:$J4354,TRUE()))</f>
        <v/>
      </c>
      <c r="L4354" s="5" t="str">
        <f aca="false">IF($K4354="","","R"&amp;$K4354)</f>
        <v/>
      </c>
    </row>
    <row r="4355" customFormat="false" ht="15" hidden="false" customHeight="true" outlineLevel="0" collapsed="false">
      <c r="J4355" s="14" t="b">
        <f aca="false">IF(중복검사!$A4353="",FALSE(),중복검사!$H4353="중복")</f>
        <v>0</v>
      </c>
      <c r="K4355" s="5" t="str">
        <f aca="false">IF($J4355=FALSE(),"",COUNTIF($J$6:$J4355,TRUE()))</f>
        <v/>
      </c>
      <c r="L4355" s="5" t="str">
        <f aca="false">IF($K4355="","","R"&amp;$K4355)</f>
        <v/>
      </c>
    </row>
    <row r="4356" customFormat="false" ht="15" hidden="false" customHeight="true" outlineLevel="0" collapsed="false">
      <c r="J4356" s="14" t="b">
        <f aca="false">IF(중복검사!$A4354="",FALSE(),중복검사!$H4354="중복")</f>
        <v>0</v>
      </c>
      <c r="K4356" s="5" t="str">
        <f aca="false">IF($J4356=FALSE(),"",COUNTIF($J$6:$J4356,TRUE()))</f>
        <v/>
      </c>
      <c r="L4356" s="5" t="str">
        <f aca="false">IF($K4356="","","R"&amp;$K4356)</f>
        <v/>
      </c>
    </row>
    <row r="4357" customFormat="false" ht="15" hidden="false" customHeight="true" outlineLevel="0" collapsed="false">
      <c r="J4357" s="14" t="b">
        <f aca="false">IF(중복검사!$A4355="",FALSE(),중복검사!$H4355="중복")</f>
        <v>0</v>
      </c>
      <c r="K4357" s="5" t="str">
        <f aca="false">IF($J4357=FALSE(),"",COUNTIF($J$6:$J4357,TRUE()))</f>
        <v/>
      </c>
      <c r="L4357" s="5" t="str">
        <f aca="false">IF($K4357="","","R"&amp;$K4357)</f>
        <v/>
      </c>
    </row>
    <row r="4358" customFormat="false" ht="15" hidden="false" customHeight="true" outlineLevel="0" collapsed="false">
      <c r="J4358" s="14" t="b">
        <f aca="false">IF(중복검사!$A4356="",FALSE(),중복검사!$H4356="중복")</f>
        <v>0</v>
      </c>
      <c r="K4358" s="5" t="str">
        <f aca="false">IF($J4358=FALSE(),"",COUNTIF($J$6:$J4358,TRUE()))</f>
        <v/>
      </c>
      <c r="L4358" s="5" t="str">
        <f aca="false">IF($K4358="","","R"&amp;$K4358)</f>
        <v/>
      </c>
    </row>
    <row r="4359" customFormat="false" ht="15" hidden="false" customHeight="true" outlineLevel="0" collapsed="false">
      <c r="J4359" s="14" t="b">
        <f aca="false">IF(중복검사!$A4357="",FALSE(),중복검사!$H4357="중복")</f>
        <v>0</v>
      </c>
      <c r="K4359" s="5" t="str">
        <f aca="false">IF($J4359=FALSE(),"",COUNTIF($J$6:$J4359,TRUE()))</f>
        <v/>
      </c>
      <c r="L4359" s="5" t="str">
        <f aca="false">IF($K4359="","","R"&amp;$K4359)</f>
        <v/>
      </c>
    </row>
    <row r="4360" customFormat="false" ht="15" hidden="false" customHeight="true" outlineLevel="0" collapsed="false">
      <c r="J4360" s="14" t="b">
        <f aca="false">IF(중복검사!$A4358="",FALSE(),중복검사!$H4358="중복")</f>
        <v>0</v>
      </c>
      <c r="K4360" s="5" t="str">
        <f aca="false">IF($J4360=FALSE(),"",COUNTIF($J$6:$J4360,TRUE()))</f>
        <v/>
      </c>
      <c r="L4360" s="5" t="str">
        <f aca="false">IF($K4360="","","R"&amp;$K4360)</f>
        <v/>
      </c>
    </row>
    <row r="4361" customFormat="false" ht="15" hidden="false" customHeight="true" outlineLevel="0" collapsed="false">
      <c r="J4361" s="14" t="b">
        <f aca="false">IF(중복검사!$A4359="",FALSE(),중복검사!$H4359="중복")</f>
        <v>0</v>
      </c>
      <c r="K4361" s="5" t="str">
        <f aca="false">IF($J4361=FALSE(),"",COUNTIF($J$6:$J4361,TRUE()))</f>
        <v/>
      </c>
      <c r="L4361" s="5" t="str">
        <f aca="false">IF($K4361="","","R"&amp;$K4361)</f>
        <v/>
      </c>
    </row>
    <row r="4362" customFormat="false" ht="15" hidden="false" customHeight="true" outlineLevel="0" collapsed="false">
      <c r="J4362" s="14" t="b">
        <f aca="false">IF(중복검사!$A4360="",FALSE(),중복검사!$H4360="중복")</f>
        <v>0</v>
      </c>
      <c r="K4362" s="5" t="str">
        <f aca="false">IF($J4362=FALSE(),"",COUNTIF($J$6:$J4362,TRUE()))</f>
        <v/>
      </c>
      <c r="L4362" s="5" t="str">
        <f aca="false">IF($K4362="","","R"&amp;$K4362)</f>
        <v/>
      </c>
    </row>
    <row r="4363" customFormat="false" ht="15" hidden="false" customHeight="true" outlineLevel="0" collapsed="false">
      <c r="J4363" s="14" t="b">
        <f aca="false">IF(중복검사!$A4361="",FALSE(),중복검사!$H4361="중복")</f>
        <v>0</v>
      </c>
      <c r="K4363" s="5" t="str">
        <f aca="false">IF($J4363=FALSE(),"",COUNTIF($J$6:$J4363,TRUE()))</f>
        <v/>
      </c>
      <c r="L4363" s="5" t="str">
        <f aca="false">IF($K4363="","","R"&amp;$K4363)</f>
        <v/>
      </c>
    </row>
    <row r="4364" customFormat="false" ht="15" hidden="false" customHeight="true" outlineLevel="0" collapsed="false">
      <c r="J4364" s="14" t="b">
        <f aca="false">IF(중복검사!$A4362="",FALSE(),중복검사!$H4362="중복")</f>
        <v>0</v>
      </c>
      <c r="K4364" s="5" t="str">
        <f aca="false">IF($J4364=FALSE(),"",COUNTIF($J$6:$J4364,TRUE()))</f>
        <v/>
      </c>
      <c r="L4364" s="5" t="str">
        <f aca="false">IF($K4364="","","R"&amp;$K4364)</f>
        <v/>
      </c>
    </row>
    <row r="4365" customFormat="false" ht="15" hidden="false" customHeight="true" outlineLevel="0" collapsed="false">
      <c r="J4365" s="14" t="b">
        <f aca="false">IF(중복검사!$A4363="",FALSE(),중복검사!$H4363="중복")</f>
        <v>0</v>
      </c>
      <c r="K4365" s="5" t="str">
        <f aca="false">IF($J4365=FALSE(),"",COUNTIF($J$6:$J4365,TRUE()))</f>
        <v/>
      </c>
      <c r="L4365" s="5" t="str">
        <f aca="false">IF($K4365="","","R"&amp;$K4365)</f>
        <v/>
      </c>
    </row>
    <row r="4366" customFormat="false" ht="15" hidden="false" customHeight="true" outlineLevel="0" collapsed="false">
      <c r="J4366" s="14" t="b">
        <f aca="false">IF(중복검사!$A4364="",FALSE(),중복검사!$H4364="중복")</f>
        <v>0</v>
      </c>
      <c r="K4366" s="5" t="str">
        <f aca="false">IF($J4366=FALSE(),"",COUNTIF($J$6:$J4366,TRUE()))</f>
        <v/>
      </c>
      <c r="L4366" s="5" t="str">
        <f aca="false">IF($K4366="","","R"&amp;$K4366)</f>
        <v/>
      </c>
    </row>
    <row r="4367" customFormat="false" ht="15" hidden="false" customHeight="true" outlineLevel="0" collapsed="false">
      <c r="J4367" s="14" t="b">
        <f aca="false">IF(중복검사!$A4365="",FALSE(),중복검사!$H4365="중복")</f>
        <v>0</v>
      </c>
      <c r="K4367" s="5" t="str">
        <f aca="false">IF($J4367=FALSE(),"",COUNTIF($J$6:$J4367,TRUE()))</f>
        <v/>
      </c>
      <c r="L4367" s="5" t="str">
        <f aca="false">IF($K4367="","","R"&amp;$K4367)</f>
        <v/>
      </c>
    </row>
    <row r="4368" customFormat="false" ht="15" hidden="false" customHeight="true" outlineLevel="0" collapsed="false">
      <c r="J4368" s="14" t="b">
        <f aca="false">IF(중복검사!$A4366="",FALSE(),중복검사!$H4366="중복")</f>
        <v>0</v>
      </c>
      <c r="K4368" s="5" t="str">
        <f aca="false">IF($J4368=FALSE(),"",COUNTIF($J$6:$J4368,TRUE()))</f>
        <v/>
      </c>
      <c r="L4368" s="5" t="str">
        <f aca="false">IF($K4368="","","R"&amp;$K4368)</f>
        <v/>
      </c>
    </row>
    <row r="4369" customFormat="false" ht="15" hidden="false" customHeight="true" outlineLevel="0" collapsed="false">
      <c r="J4369" s="14" t="b">
        <f aca="false">IF(중복검사!$A4367="",FALSE(),중복검사!$H4367="중복")</f>
        <v>0</v>
      </c>
      <c r="K4369" s="5" t="str">
        <f aca="false">IF($J4369=FALSE(),"",COUNTIF($J$6:$J4369,TRUE()))</f>
        <v/>
      </c>
      <c r="L4369" s="5" t="str">
        <f aca="false">IF($K4369="","","R"&amp;$K4369)</f>
        <v/>
      </c>
    </row>
    <row r="4370" customFormat="false" ht="15" hidden="false" customHeight="true" outlineLevel="0" collapsed="false">
      <c r="J4370" s="14" t="b">
        <f aca="false">IF(중복검사!$A4368="",FALSE(),중복검사!$H4368="중복")</f>
        <v>0</v>
      </c>
      <c r="K4370" s="5" t="str">
        <f aca="false">IF($J4370=FALSE(),"",COUNTIF($J$6:$J4370,TRUE()))</f>
        <v/>
      </c>
      <c r="L4370" s="5" t="str">
        <f aca="false">IF($K4370="","","R"&amp;$K4370)</f>
        <v/>
      </c>
    </row>
    <row r="4371" customFormat="false" ht="15" hidden="false" customHeight="true" outlineLevel="0" collapsed="false">
      <c r="J4371" s="14" t="b">
        <f aca="false">IF(중복검사!$A4369="",FALSE(),중복검사!$H4369="중복")</f>
        <v>0</v>
      </c>
      <c r="K4371" s="5" t="str">
        <f aca="false">IF($J4371=FALSE(),"",COUNTIF($J$6:$J4371,TRUE()))</f>
        <v/>
      </c>
      <c r="L4371" s="5" t="str">
        <f aca="false">IF($K4371="","","R"&amp;$K4371)</f>
        <v/>
      </c>
    </row>
    <row r="4372" customFormat="false" ht="15" hidden="false" customHeight="true" outlineLevel="0" collapsed="false">
      <c r="J4372" s="14" t="b">
        <f aca="false">IF(중복검사!$A4370="",FALSE(),중복검사!$H4370="중복")</f>
        <v>0</v>
      </c>
      <c r="K4372" s="5" t="str">
        <f aca="false">IF($J4372=FALSE(),"",COUNTIF($J$6:$J4372,TRUE()))</f>
        <v/>
      </c>
      <c r="L4372" s="5" t="str">
        <f aca="false">IF($K4372="","","R"&amp;$K4372)</f>
        <v/>
      </c>
    </row>
    <row r="4373" customFormat="false" ht="15" hidden="false" customHeight="true" outlineLevel="0" collapsed="false">
      <c r="J4373" s="14" t="b">
        <f aca="false">IF(중복검사!$A4371="",FALSE(),중복검사!$H4371="중복")</f>
        <v>0</v>
      </c>
      <c r="K4373" s="5" t="str">
        <f aca="false">IF($J4373=FALSE(),"",COUNTIF($J$6:$J4373,TRUE()))</f>
        <v/>
      </c>
      <c r="L4373" s="5" t="str">
        <f aca="false">IF($K4373="","","R"&amp;$K4373)</f>
        <v/>
      </c>
    </row>
    <row r="4374" customFormat="false" ht="15" hidden="false" customHeight="true" outlineLevel="0" collapsed="false">
      <c r="J4374" s="14" t="b">
        <f aca="false">IF(중복검사!$A4372="",FALSE(),중복검사!$H4372="중복")</f>
        <v>0</v>
      </c>
      <c r="K4374" s="5" t="str">
        <f aca="false">IF($J4374=FALSE(),"",COUNTIF($J$6:$J4374,TRUE()))</f>
        <v/>
      </c>
      <c r="L4374" s="5" t="str">
        <f aca="false">IF($K4374="","","R"&amp;$K4374)</f>
        <v/>
      </c>
    </row>
    <row r="4375" customFormat="false" ht="15" hidden="false" customHeight="true" outlineLevel="0" collapsed="false">
      <c r="J4375" s="14" t="b">
        <f aca="false">IF(중복검사!$A4373="",FALSE(),중복검사!$H4373="중복")</f>
        <v>0</v>
      </c>
      <c r="K4375" s="5" t="str">
        <f aca="false">IF($J4375=FALSE(),"",COUNTIF($J$6:$J4375,TRUE()))</f>
        <v/>
      </c>
      <c r="L4375" s="5" t="str">
        <f aca="false">IF($K4375="","","R"&amp;$K4375)</f>
        <v/>
      </c>
    </row>
    <row r="4376" customFormat="false" ht="15" hidden="false" customHeight="true" outlineLevel="0" collapsed="false">
      <c r="J4376" s="14" t="b">
        <f aca="false">IF(중복검사!$A4374="",FALSE(),중복검사!$H4374="중복")</f>
        <v>0</v>
      </c>
      <c r="K4376" s="5" t="str">
        <f aca="false">IF($J4376=FALSE(),"",COUNTIF($J$6:$J4376,TRUE()))</f>
        <v/>
      </c>
      <c r="L4376" s="5" t="str">
        <f aca="false">IF($K4376="","","R"&amp;$K4376)</f>
        <v/>
      </c>
    </row>
    <row r="4377" customFormat="false" ht="15" hidden="false" customHeight="true" outlineLevel="0" collapsed="false">
      <c r="J4377" s="14" t="b">
        <f aca="false">IF(중복검사!$A4375="",FALSE(),중복검사!$H4375="중복")</f>
        <v>0</v>
      </c>
      <c r="K4377" s="5" t="str">
        <f aca="false">IF($J4377=FALSE(),"",COUNTIF($J$6:$J4377,TRUE()))</f>
        <v/>
      </c>
      <c r="L4377" s="5" t="str">
        <f aca="false">IF($K4377="","","R"&amp;$K4377)</f>
        <v/>
      </c>
    </row>
    <row r="4378" customFormat="false" ht="15" hidden="false" customHeight="true" outlineLevel="0" collapsed="false">
      <c r="J4378" s="14" t="b">
        <f aca="false">IF(중복검사!$A4376="",FALSE(),중복검사!$H4376="중복")</f>
        <v>0</v>
      </c>
      <c r="K4378" s="5" t="str">
        <f aca="false">IF($J4378=FALSE(),"",COUNTIF($J$6:$J4378,TRUE()))</f>
        <v/>
      </c>
      <c r="L4378" s="5" t="str">
        <f aca="false">IF($K4378="","","R"&amp;$K4378)</f>
        <v/>
      </c>
    </row>
    <row r="4379" customFormat="false" ht="15" hidden="false" customHeight="true" outlineLevel="0" collapsed="false">
      <c r="J4379" s="14" t="b">
        <f aca="false">IF(중복검사!$A4377="",FALSE(),중복검사!$H4377="중복")</f>
        <v>0</v>
      </c>
      <c r="K4379" s="5" t="str">
        <f aca="false">IF($J4379=FALSE(),"",COUNTIF($J$6:$J4379,TRUE()))</f>
        <v/>
      </c>
      <c r="L4379" s="5" t="str">
        <f aca="false">IF($K4379="","","R"&amp;$K4379)</f>
        <v/>
      </c>
    </row>
    <row r="4380" customFormat="false" ht="15" hidden="false" customHeight="true" outlineLevel="0" collapsed="false">
      <c r="J4380" s="14" t="b">
        <f aca="false">IF(중복검사!$A4378="",FALSE(),중복검사!$H4378="중복")</f>
        <v>0</v>
      </c>
      <c r="K4380" s="5" t="str">
        <f aca="false">IF($J4380=FALSE(),"",COUNTIF($J$6:$J4380,TRUE()))</f>
        <v/>
      </c>
      <c r="L4380" s="5" t="str">
        <f aca="false">IF($K4380="","","R"&amp;$K4380)</f>
        <v/>
      </c>
    </row>
    <row r="4381" customFormat="false" ht="15" hidden="false" customHeight="true" outlineLevel="0" collapsed="false">
      <c r="J4381" s="14" t="b">
        <f aca="false">IF(중복검사!$A4379="",FALSE(),중복검사!$H4379="중복")</f>
        <v>0</v>
      </c>
      <c r="K4381" s="5" t="str">
        <f aca="false">IF($J4381=FALSE(),"",COUNTIF($J$6:$J4381,TRUE()))</f>
        <v/>
      </c>
      <c r="L4381" s="5" t="str">
        <f aca="false">IF($K4381="","","R"&amp;$K4381)</f>
        <v/>
      </c>
    </row>
    <row r="4382" customFormat="false" ht="15" hidden="false" customHeight="true" outlineLevel="0" collapsed="false">
      <c r="J4382" s="14" t="b">
        <f aca="false">IF(중복검사!$A4380="",FALSE(),중복검사!$H4380="중복")</f>
        <v>0</v>
      </c>
      <c r="K4382" s="5" t="str">
        <f aca="false">IF($J4382=FALSE(),"",COUNTIF($J$6:$J4382,TRUE()))</f>
        <v/>
      </c>
      <c r="L4382" s="5" t="str">
        <f aca="false">IF($K4382="","","R"&amp;$K4382)</f>
        <v/>
      </c>
    </row>
    <row r="4383" customFormat="false" ht="15" hidden="false" customHeight="true" outlineLevel="0" collapsed="false">
      <c r="J4383" s="14" t="b">
        <f aca="false">IF(중복검사!$A4381="",FALSE(),중복검사!$H4381="중복")</f>
        <v>0</v>
      </c>
      <c r="K4383" s="5" t="str">
        <f aca="false">IF($J4383=FALSE(),"",COUNTIF($J$6:$J4383,TRUE()))</f>
        <v/>
      </c>
      <c r="L4383" s="5" t="str">
        <f aca="false">IF($K4383="","","R"&amp;$K4383)</f>
        <v/>
      </c>
    </row>
    <row r="4384" customFormat="false" ht="15" hidden="false" customHeight="true" outlineLevel="0" collapsed="false">
      <c r="J4384" s="14" t="b">
        <f aca="false">IF(중복검사!$A4382="",FALSE(),중복검사!$H4382="중복")</f>
        <v>0</v>
      </c>
      <c r="K4384" s="5" t="str">
        <f aca="false">IF($J4384=FALSE(),"",COUNTIF($J$6:$J4384,TRUE()))</f>
        <v/>
      </c>
      <c r="L4384" s="5" t="str">
        <f aca="false">IF($K4384="","","R"&amp;$K4384)</f>
        <v/>
      </c>
    </row>
    <row r="4385" customFormat="false" ht="15" hidden="false" customHeight="true" outlineLevel="0" collapsed="false">
      <c r="J4385" s="14" t="b">
        <f aca="false">IF(중복검사!$A4383="",FALSE(),중복검사!$H4383="중복")</f>
        <v>0</v>
      </c>
      <c r="K4385" s="5" t="str">
        <f aca="false">IF($J4385=FALSE(),"",COUNTIF($J$6:$J4385,TRUE()))</f>
        <v/>
      </c>
      <c r="L4385" s="5" t="str">
        <f aca="false">IF($K4385="","","R"&amp;$K4385)</f>
        <v/>
      </c>
    </row>
    <row r="4386" customFormat="false" ht="15" hidden="false" customHeight="true" outlineLevel="0" collapsed="false">
      <c r="J4386" s="14" t="b">
        <f aca="false">IF(중복검사!$A4384="",FALSE(),중복검사!$H4384="중복")</f>
        <v>0</v>
      </c>
      <c r="K4386" s="5" t="str">
        <f aca="false">IF($J4386=FALSE(),"",COUNTIF($J$6:$J4386,TRUE()))</f>
        <v/>
      </c>
      <c r="L4386" s="5" t="str">
        <f aca="false">IF($K4386="","","R"&amp;$K4386)</f>
        <v/>
      </c>
    </row>
    <row r="4387" customFormat="false" ht="15" hidden="false" customHeight="true" outlineLevel="0" collapsed="false">
      <c r="J4387" s="14" t="b">
        <f aca="false">IF(중복검사!$A4385="",FALSE(),중복검사!$H4385="중복")</f>
        <v>0</v>
      </c>
      <c r="K4387" s="5" t="str">
        <f aca="false">IF($J4387=FALSE(),"",COUNTIF($J$6:$J4387,TRUE()))</f>
        <v/>
      </c>
      <c r="L4387" s="5" t="str">
        <f aca="false">IF($K4387="","","R"&amp;$K4387)</f>
        <v/>
      </c>
    </row>
    <row r="4388" customFormat="false" ht="15" hidden="false" customHeight="true" outlineLevel="0" collapsed="false">
      <c r="J4388" s="14" t="b">
        <f aca="false">IF(중복검사!$A4386="",FALSE(),중복검사!$H4386="중복")</f>
        <v>0</v>
      </c>
      <c r="K4388" s="5" t="str">
        <f aca="false">IF($J4388=FALSE(),"",COUNTIF($J$6:$J4388,TRUE()))</f>
        <v/>
      </c>
      <c r="L4388" s="5" t="str">
        <f aca="false">IF($K4388="","","R"&amp;$K4388)</f>
        <v/>
      </c>
    </row>
    <row r="4389" customFormat="false" ht="15" hidden="false" customHeight="true" outlineLevel="0" collapsed="false">
      <c r="J4389" s="14" t="b">
        <f aca="false">IF(중복검사!$A4387="",FALSE(),중복검사!$H4387="중복")</f>
        <v>0</v>
      </c>
      <c r="K4389" s="5" t="str">
        <f aca="false">IF($J4389=FALSE(),"",COUNTIF($J$6:$J4389,TRUE()))</f>
        <v/>
      </c>
      <c r="L4389" s="5" t="str">
        <f aca="false">IF($K4389="","","R"&amp;$K4389)</f>
        <v/>
      </c>
    </row>
    <row r="4390" customFormat="false" ht="15" hidden="false" customHeight="true" outlineLevel="0" collapsed="false">
      <c r="J4390" s="14" t="b">
        <f aca="false">IF(중복검사!$A4388="",FALSE(),중복검사!$H4388="중복")</f>
        <v>0</v>
      </c>
      <c r="K4390" s="5" t="str">
        <f aca="false">IF($J4390=FALSE(),"",COUNTIF($J$6:$J4390,TRUE()))</f>
        <v/>
      </c>
      <c r="L4390" s="5" t="str">
        <f aca="false">IF($K4390="","","R"&amp;$K4390)</f>
        <v/>
      </c>
    </row>
    <row r="4391" customFormat="false" ht="15" hidden="false" customHeight="true" outlineLevel="0" collapsed="false">
      <c r="J4391" s="14" t="b">
        <f aca="false">IF(중복검사!$A4389="",FALSE(),중복검사!$H4389="중복")</f>
        <v>0</v>
      </c>
      <c r="K4391" s="5" t="str">
        <f aca="false">IF($J4391=FALSE(),"",COUNTIF($J$6:$J4391,TRUE()))</f>
        <v/>
      </c>
      <c r="L4391" s="5" t="str">
        <f aca="false">IF($K4391="","","R"&amp;$K4391)</f>
        <v/>
      </c>
    </row>
    <row r="4392" customFormat="false" ht="15" hidden="false" customHeight="true" outlineLevel="0" collapsed="false">
      <c r="J4392" s="14" t="b">
        <f aca="false">IF(중복검사!$A4390="",FALSE(),중복검사!$H4390="중복")</f>
        <v>0</v>
      </c>
      <c r="K4392" s="5" t="str">
        <f aca="false">IF($J4392=FALSE(),"",COUNTIF($J$6:$J4392,TRUE()))</f>
        <v/>
      </c>
      <c r="L4392" s="5" t="str">
        <f aca="false">IF($K4392="","","R"&amp;$K4392)</f>
        <v/>
      </c>
    </row>
    <row r="4393" customFormat="false" ht="15" hidden="false" customHeight="true" outlineLevel="0" collapsed="false">
      <c r="J4393" s="14" t="b">
        <f aca="false">IF(중복검사!$A4391="",FALSE(),중복검사!$H4391="중복")</f>
        <v>0</v>
      </c>
      <c r="K4393" s="5" t="str">
        <f aca="false">IF($J4393=FALSE(),"",COUNTIF($J$6:$J4393,TRUE()))</f>
        <v/>
      </c>
      <c r="L4393" s="5" t="str">
        <f aca="false">IF($K4393="","","R"&amp;$K4393)</f>
        <v/>
      </c>
    </row>
    <row r="4394" customFormat="false" ht="15" hidden="false" customHeight="true" outlineLevel="0" collapsed="false">
      <c r="J4394" s="14" t="b">
        <f aca="false">IF(중복검사!$A4392="",FALSE(),중복검사!$H4392="중복")</f>
        <v>0</v>
      </c>
      <c r="K4394" s="5" t="str">
        <f aca="false">IF($J4394=FALSE(),"",COUNTIF($J$6:$J4394,TRUE()))</f>
        <v/>
      </c>
      <c r="L4394" s="5" t="str">
        <f aca="false">IF($K4394="","","R"&amp;$K4394)</f>
        <v/>
      </c>
    </row>
    <row r="4395" customFormat="false" ht="15" hidden="false" customHeight="true" outlineLevel="0" collapsed="false">
      <c r="J4395" s="14" t="b">
        <f aca="false">IF(중복검사!$A4393="",FALSE(),중복검사!$H4393="중복")</f>
        <v>0</v>
      </c>
      <c r="K4395" s="5" t="str">
        <f aca="false">IF($J4395=FALSE(),"",COUNTIF($J$6:$J4395,TRUE()))</f>
        <v/>
      </c>
      <c r="L4395" s="5" t="str">
        <f aca="false">IF($K4395="","","R"&amp;$K4395)</f>
        <v/>
      </c>
    </row>
    <row r="4396" customFormat="false" ht="15" hidden="false" customHeight="true" outlineLevel="0" collapsed="false">
      <c r="J4396" s="14" t="b">
        <f aca="false">IF(중복검사!$A4394="",FALSE(),중복검사!$H4394="중복")</f>
        <v>0</v>
      </c>
      <c r="K4396" s="5" t="str">
        <f aca="false">IF($J4396=FALSE(),"",COUNTIF($J$6:$J4396,TRUE()))</f>
        <v/>
      </c>
      <c r="L4396" s="5" t="str">
        <f aca="false">IF($K4396="","","R"&amp;$K4396)</f>
        <v/>
      </c>
    </row>
    <row r="4397" customFormat="false" ht="15" hidden="false" customHeight="true" outlineLevel="0" collapsed="false">
      <c r="J4397" s="14" t="b">
        <f aca="false">IF(중복검사!$A4395="",FALSE(),중복검사!$H4395="중복")</f>
        <v>0</v>
      </c>
      <c r="K4397" s="5" t="str">
        <f aca="false">IF($J4397=FALSE(),"",COUNTIF($J$6:$J4397,TRUE()))</f>
        <v/>
      </c>
      <c r="L4397" s="5" t="str">
        <f aca="false">IF($K4397="","","R"&amp;$K4397)</f>
        <v/>
      </c>
    </row>
    <row r="4398" customFormat="false" ht="15" hidden="false" customHeight="true" outlineLevel="0" collapsed="false">
      <c r="J4398" s="14" t="b">
        <f aca="false">IF(중복검사!$A4396="",FALSE(),중복검사!$H4396="중복")</f>
        <v>0</v>
      </c>
      <c r="K4398" s="5" t="str">
        <f aca="false">IF($J4398=FALSE(),"",COUNTIF($J$6:$J4398,TRUE()))</f>
        <v/>
      </c>
      <c r="L4398" s="5" t="str">
        <f aca="false">IF($K4398="","","R"&amp;$K4398)</f>
        <v/>
      </c>
    </row>
    <row r="4399" customFormat="false" ht="15" hidden="false" customHeight="true" outlineLevel="0" collapsed="false">
      <c r="J4399" s="14" t="b">
        <f aca="false">IF(중복검사!$A4397="",FALSE(),중복검사!$H4397="중복")</f>
        <v>0</v>
      </c>
      <c r="K4399" s="5" t="str">
        <f aca="false">IF($J4399=FALSE(),"",COUNTIF($J$6:$J4399,TRUE()))</f>
        <v/>
      </c>
      <c r="L4399" s="5" t="str">
        <f aca="false">IF($K4399="","","R"&amp;$K4399)</f>
        <v/>
      </c>
    </row>
    <row r="4400" customFormat="false" ht="15" hidden="false" customHeight="true" outlineLevel="0" collapsed="false">
      <c r="J4400" s="14" t="b">
        <f aca="false">IF(중복검사!$A4398="",FALSE(),중복검사!$H4398="중복")</f>
        <v>0</v>
      </c>
      <c r="K4400" s="5" t="str">
        <f aca="false">IF($J4400=FALSE(),"",COUNTIF($J$6:$J4400,TRUE()))</f>
        <v/>
      </c>
      <c r="L4400" s="5" t="str">
        <f aca="false">IF($K4400="","","R"&amp;$K4400)</f>
        <v/>
      </c>
    </row>
    <row r="4401" customFormat="false" ht="15" hidden="false" customHeight="true" outlineLevel="0" collapsed="false">
      <c r="J4401" s="14" t="b">
        <f aca="false">IF(중복검사!$A4399="",FALSE(),중복검사!$H4399="중복")</f>
        <v>0</v>
      </c>
      <c r="K4401" s="5" t="str">
        <f aca="false">IF($J4401=FALSE(),"",COUNTIF($J$6:$J4401,TRUE()))</f>
        <v/>
      </c>
      <c r="L4401" s="5" t="str">
        <f aca="false">IF($K4401="","","R"&amp;$K4401)</f>
        <v/>
      </c>
    </row>
    <row r="4402" customFormat="false" ht="15" hidden="false" customHeight="true" outlineLevel="0" collapsed="false">
      <c r="J4402" s="14" t="b">
        <f aca="false">IF(중복검사!$A4400="",FALSE(),중복검사!$H4400="중복")</f>
        <v>0</v>
      </c>
      <c r="K4402" s="5" t="str">
        <f aca="false">IF($J4402=FALSE(),"",COUNTIF($J$6:$J4402,TRUE()))</f>
        <v/>
      </c>
      <c r="L4402" s="5" t="str">
        <f aca="false">IF($K4402="","","R"&amp;$K4402)</f>
        <v/>
      </c>
    </row>
    <row r="4403" customFormat="false" ht="15" hidden="false" customHeight="true" outlineLevel="0" collapsed="false">
      <c r="J4403" s="14" t="b">
        <f aca="false">IF(중복검사!$A4401="",FALSE(),중복검사!$H4401="중복")</f>
        <v>0</v>
      </c>
      <c r="K4403" s="5" t="str">
        <f aca="false">IF($J4403=FALSE(),"",COUNTIF($J$6:$J4403,TRUE()))</f>
        <v/>
      </c>
      <c r="L4403" s="5" t="str">
        <f aca="false">IF($K4403="","","R"&amp;$K4403)</f>
        <v/>
      </c>
    </row>
    <row r="4404" customFormat="false" ht="15" hidden="false" customHeight="true" outlineLevel="0" collapsed="false">
      <c r="J4404" s="14" t="b">
        <f aca="false">IF(중복검사!$A4402="",FALSE(),중복검사!$H4402="중복")</f>
        <v>0</v>
      </c>
      <c r="K4404" s="5" t="str">
        <f aca="false">IF($J4404=FALSE(),"",COUNTIF($J$6:$J4404,TRUE()))</f>
        <v/>
      </c>
      <c r="L4404" s="5" t="str">
        <f aca="false">IF($K4404="","","R"&amp;$K4404)</f>
        <v/>
      </c>
    </row>
    <row r="4405" customFormat="false" ht="15" hidden="false" customHeight="true" outlineLevel="0" collapsed="false">
      <c r="J4405" s="14" t="b">
        <f aca="false">IF(중복검사!$A4403="",FALSE(),중복검사!$H4403="중복")</f>
        <v>0</v>
      </c>
      <c r="K4405" s="5" t="str">
        <f aca="false">IF($J4405=FALSE(),"",COUNTIF($J$6:$J4405,TRUE()))</f>
        <v/>
      </c>
      <c r="L4405" s="5" t="str">
        <f aca="false">IF($K4405="","","R"&amp;$K4405)</f>
        <v/>
      </c>
    </row>
    <row r="4406" customFormat="false" ht="15" hidden="false" customHeight="true" outlineLevel="0" collapsed="false">
      <c r="J4406" s="14" t="b">
        <f aca="false">IF(중복검사!$A4404="",FALSE(),중복검사!$H4404="중복")</f>
        <v>0</v>
      </c>
      <c r="K4406" s="5" t="str">
        <f aca="false">IF($J4406=FALSE(),"",COUNTIF($J$6:$J4406,TRUE()))</f>
        <v/>
      </c>
      <c r="L4406" s="5" t="str">
        <f aca="false">IF($K4406="","","R"&amp;$K4406)</f>
        <v/>
      </c>
    </row>
    <row r="4407" customFormat="false" ht="15" hidden="false" customHeight="true" outlineLevel="0" collapsed="false">
      <c r="J4407" s="14" t="b">
        <f aca="false">IF(중복검사!$A4405="",FALSE(),중복검사!$H4405="중복")</f>
        <v>0</v>
      </c>
      <c r="K4407" s="5" t="str">
        <f aca="false">IF($J4407=FALSE(),"",COUNTIF($J$6:$J4407,TRUE()))</f>
        <v/>
      </c>
      <c r="L4407" s="5" t="str">
        <f aca="false">IF($K4407="","","R"&amp;$K4407)</f>
        <v/>
      </c>
    </row>
    <row r="4408" customFormat="false" ht="15" hidden="false" customHeight="true" outlineLevel="0" collapsed="false">
      <c r="J4408" s="14" t="b">
        <f aca="false">IF(중복검사!$A4406="",FALSE(),중복검사!$H4406="중복")</f>
        <v>0</v>
      </c>
      <c r="K4408" s="5" t="str">
        <f aca="false">IF($J4408=FALSE(),"",COUNTIF($J$6:$J4408,TRUE()))</f>
        <v/>
      </c>
      <c r="L4408" s="5" t="str">
        <f aca="false">IF($K4408="","","R"&amp;$K4408)</f>
        <v/>
      </c>
    </row>
    <row r="4409" customFormat="false" ht="15" hidden="false" customHeight="true" outlineLevel="0" collapsed="false">
      <c r="J4409" s="14" t="b">
        <f aca="false">IF(중복검사!$A4407="",FALSE(),중복검사!$H4407="중복")</f>
        <v>0</v>
      </c>
      <c r="K4409" s="5" t="str">
        <f aca="false">IF($J4409=FALSE(),"",COUNTIF($J$6:$J4409,TRUE()))</f>
        <v/>
      </c>
      <c r="L4409" s="5" t="str">
        <f aca="false">IF($K4409="","","R"&amp;$K4409)</f>
        <v/>
      </c>
    </row>
    <row r="4410" customFormat="false" ht="15" hidden="false" customHeight="true" outlineLevel="0" collapsed="false">
      <c r="J4410" s="14" t="b">
        <f aca="false">IF(중복검사!$A4408="",FALSE(),중복검사!$H4408="중복")</f>
        <v>0</v>
      </c>
      <c r="K4410" s="5" t="str">
        <f aca="false">IF($J4410=FALSE(),"",COUNTIF($J$6:$J4410,TRUE()))</f>
        <v/>
      </c>
      <c r="L4410" s="5" t="str">
        <f aca="false">IF($K4410="","","R"&amp;$K4410)</f>
        <v/>
      </c>
    </row>
    <row r="4411" customFormat="false" ht="15" hidden="false" customHeight="true" outlineLevel="0" collapsed="false">
      <c r="J4411" s="14" t="b">
        <f aca="false">IF(중복검사!$A4409="",FALSE(),중복검사!$H4409="중복")</f>
        <v>0</v>
      </c>
      <c r="K4411" s="5" t="str">
        <f aca="false">IF($J4411=FALSE(),"",COUNTIF($J$6:$J4411,TRUE()))</f>
        <v/>
      </c>
      <c r="L4411" s="5" t="str">
        <f aca="false">IF($K4411="","","R"&amp;$K4411)</f>
        <v/>
      </c>
    </row>
    <row r="4412" customFormat="false" ht="15" hidden="false" customHeight="true" outlineLevel="0" collapsed="false">
      <c r="J4412" s="14" t="b">
        <f aca="false">IF(중복검사!$A4410="",FALSE(),중복검사!$H4410="중복")</f>
        <v>0</v>
      </c>
      <c r="K4412" s="5" t="str">
        <f aca="false">IF($J4412=FALSE(),"",COUNTIF($J$6:$J4412,TRUE()))</f>
        <v/>
      </c>
      <c r="L4412" s="5" t="str">
        <f aca="false">IF($K4412="","","R"&amp;$K4412)</f>
        <v/>
      </c>
    </row>
    <row r="4413" customFormat="false" ht="15" hidden="false" customHeight="true" outlineLevel="0" collapsed="false">
      <c r="J4413" s="14" t="b">
        <f aca="false">IF(중복검사!$A4411="",FALSE(),중복검사!$H4411="중복")</f>
        <v>0</v>
      </c>
      <c r="K4413" s="5" t="str">
        <f aca="false">IF($J4413=FALSE(),"",COUNTIF($J$6:$J4413,TRUE()))</f>
        <v/>
      </c>
      <c r="L4413" s="5" t="str">
        <f aca="false">IF($K4413="","","R"&amp;$K4413)</f>
        <v/>
      </c>
    </row>
    <row r="4414" customFormat="false" ht="15" hidden="false" customHeight="true" outlineLevel="0" collapsed="false">
      <c r="J4414" s="14" t="b">
        <f aca="false">IF(중복검사!$A4412="",FALSE(),중복검사!$H4412="중복")</f>
        <v>0</v>
      </c>
      <c r="K4414" s="5" t="str">
        <f aca="false">IF($J4414=FALSE(),"",COUNTIF($J$6:$J4414,TRUE()))</f>
        <v/>
      </c>
      <c r="L4414" s="5" t="str">
        <f aca="false">IF($K4414="","","R"&amp;$K4414)</f>
        <v/>
      </c>
    </row>
    <row r="4415" customFormat="false" ht="15" hidden="false" customHeight="true" outlineLevel="0" collapsed="false">
      <c r="J4415" s="14" t="b">
        <f aca="false">IF(중복검사!$A4413="",FALSE(),중복검사!$H4413="중복")</f>
        <v>0</v>
      </c>
      <c r="K4415" s="5" t="str">
        <f aca="false">IF($J4415=FALSE(),"",COUNTIF($J$6:$J4415,TRUE()))</f>
        <v/>
      </c>
      <c r="L4415" s="5" t="str">
        <f aca="false">IF($K4415="","","R"&amp;$K4415)</f>
        <v/>
      </c>
    </row>
    <row r="4416" customFormat="false" ht="15" hidden="false" customHeight="true" outlineLevel="0" collapsed="false">
      <c r="J4416" s="14" t="b">
        <f aca="false">IF(중복검사!$A4414="",FALSE(),중복검사!$H4414="중복")</f>
        <v>0</v>
      </c>
      <c r="K4416" s="5" t="str">
        <f aca="false">IF($J4416=FALSE(),"",COUNTIF($J$6:$J4416,TRUE()))</f>
        <v/>
      </c>
      <c r="L4416" s="5" t="str">
        <f aca="false">IF($K4416="","","R"&amp;$K4416)</f>
        <v/>
      </c>
    </row>
    <row r="4417" customFormat="false" ht="15" hidden="false" customHeight="true" outlineLevel="0" collapsed="false">
      <c r="J4417" s="14" t="b">
        <f aca="false">IF(중복검사!$A4415="",FALSE(),중복검사!$H4415="중복")</f>
        <v>0</v>
      </c>
      <c r="K4417" s="5" t="str">
        <f aca="false">IF($J4417=FALSE(),"",COUNTIF($J$6:$J4417,TRUE()))</f>
        <v/>
      </c>
      <c r="L4417" s="5" t="str">
        <f aca="false">IF($K4417="","","R"&amp;$K4417)</f>
        <v/>
      </c>
    </row>
    <row r="4418" customFormat="false" ht="15" hidden="false" customHeight="true" outlineLevel="0" collapsed="false">
      <c r="J4418" s="14" t="b">
        <f aca="false">IF(중복검사!$A4416="",FALSE(),중복검사!$H4416="중복")</f>
        <v>0</v>
      </c>
      <c r="K4418" s="5" t="str">
        <f aca="false">IF($J4418=FALSE(),"",COUNTIF($J$6:$J4418,TRUE()))</f>
        <v/>
      </c>
      <c r="L4418" s="5" t="str">
        <f aca="false">IF($K4418="","","R"&amp;$K4418)</f>
        <v/>
      </c>
    </row>
    <row r="4419" customFormat="false" ht="15" hidden="false" customHeight="true" outlineLevel="0" collapsed="false">
      <c r="J4419" s="14" t="b">
        <f aca="false">IF(중복검사!$A4417="",FALSE(),중복검사!$H4417="중복")</f>
        <v>0</v>
      </c>
      <c r="K4419" s="5" t="str">
        <f aca="false">IF($J4419=FALSE(),"",COUNTIF($J$6:$J4419,TRUE()))</f>
        <v/>
      </c>
      <c r="L4419" s="5" t="str">
        <f aca="false">IF($K4419="","","R"&amp;$K4419)</f>
        <v/>
      </c>
    </row>
    <row r="4420" customFormat="false" ht="15" hidden="false" customHeight="true" outlineLevel="0" collapsed="false">
      <c r="J4420" s="14" t="b">
        <f aca="false">IF(중복검사!$A4418="",FALSE(),중복검사!$H4418="중복")</f>
        <v>0</v>
      </c>
      <c r="K4420" s="5" t="str">
        <f aca="false">IF($J4420=FALSE(),"",COUNTIF($J$6:$J4420,TRUE()))</f>
        <v/>
      </c>
      <c r="L4420" s="5" t="str">
        <f aca="false">IF($K4420="","","R"&amp;$K4420)</f>
        <v/>
      </c>
    </row>
    <row r="4421" customFormat="false" ht="15" hidden="false" customHeight="true" outlineLevel="0" collapsed="false">
      <c r="J4421" s="14" t="b">
        <f aca="false">IF(중복검사!$A4419="",FALSE(),중복검사!$H4419="중복")</f>
        <v>0</v>
      </c>
      <c r="K4421" s="5" t="str">
        <f aca="false">IF($J4421=FALSE(),"",COUNTIF($J$6:$J4421,TRUE()))</f>
        <v/>
      </c>
      <c r="L4421" s="5" t="str">
        <f aca="false">IF($K4421="","","R"&amp;$K4421)</f>
        <v/>
      </c>
    </row>
    <row r="4422" customFormat="false" ht="15" hidden="false" customHeight="true" outlineLevel="0" collapsed="false">
      <c r="J4422" s="14" t="b">
        <f aca="false">IF(중복검사!$A4420="",FALSE(),중복검사!$H4420="중복")</f>
        <v>0</v>
      </c>
      <c r="K4422" s="5" t="str">
        <f aca="false">IF($J4422=FALSE(),"",COUNTIF($J$6:$J4422,TRUE()))</f>
        <v/>
      </c>
      <c r="L4422" s="5" t="str">
        <f aca="false">IF($K4422="","","R"&amp;$K4422)</f>
        <v/>
      </c>
    </row>
    <row r="4423" customFormat="false" ht="15" hidden="false" customHeight="true" outlineLevel="0" collapsed="false">
      <c r="J4423" s="14" t="b">
        <f aca="false">IF(중복검사!$A4421="",FALSE(),중복검사!$H4421="중복")</f>
        <v>0</v>
      </c>
      <c r="K4423" s="5" t="str">
        <f aca="false">IF($J4423=FALSE(),"",COUNTIF($J$6:$J4423,TRUE()))</f>
        <v/>
      </c>
      <c r="L4423" s="5" t="str">
        <f aca="false">IF($K4423="","","R"&amp;$K4423)</f>
        <v/>
      </c>
    </row>
    <row r="4424" customFormat="false" ht="15" hidden="false" customHeight="true" outlineLevel="0" collapsed="false">
      <c r="J4424" s="14" t="b">
        <f aca="false">IF(중복검사!$A4422="",FALSE(),중복검사!$H4422="중복")</f>
        <v>0</v>
      </c>
      <c r="K4424" s="5" t="str">
        <f aca="false">IF($J4424=FALSE(),"",COUNTIF($J$6:$J4424,TRUE()))</f>
        <v/>
      </c>
      <c r="L4424" s="5" t="str">
        <f aca="false">IF($K4424="","","R"&amp;$K4424)</f>
        <v/>
      </c>
    </row>
    <row r="4425" customFormat="false" ht="15" hidden="false" customHeight="true" outlineLevel="0" collapsed="false">
      <c r="J4425" s="14" t="b">
        <f aca="false">IF(중복검사!$A4423="",FALSE(),중복검사!$H4423="중복")</f>
        <v>0</v>
      </c>
      <c r="K4425" s="5" t="str">
        <f aca="false">IF($J4425=FALSE(),"",COUNTIF($J$6:$J4425,TRUE()))</f>
        <v/>
      </c>
      <c r="L4425" s="5" t="str">
        <f aca="false">IF($K4425="","","R"&amp;$K4425)</f>
        <v/>
      </c>
    </row>
    <row r="4426" customFormat="false" ht="15" hidden="false" customHeight="true" outlineLevel="0" collapsed="false">
      <c r="J4426" s="14" t="b">
        <f aca="false">IF(중복검사!$A4424="",FALSE(),중복검사!$H4424="중복")</f>
        <v>0</v>
      </c>
      <c r="K4426" s="5" t="str">
        <f aca="false">IF($J4426=FALSE(),"",COUNTIF($J$6:$J4426,TRUE()))</f>
        <v/>
      </c>
      <c r="L4426" s="5" t="str">
        <f aca="false">IF($K4426="","","R"&amp;$K4426)</f>
        <v/>
      </c>
    </row>
    <row r="4427" customFormat="false" ht="15" hidden="false" customHeight="true" outlineLevel="0" collapsed="false">
      <c r="J4427" s="14" t="b">
        <f aca="false">IF(중복검사!$A4425="",FALSE(),중복검사!$H4425="중복")</f>
        <v>0</v>
      </c>
      <c r="K4427" s="5" t="str">
        <f aca="false">IF($J4427=FALSE(),"",COUNTIF($J$6:$J4427,TRUE()))</f>
        <v/>
      </c>
      <c r="L4427" s="5" t="str">
        <f aca="false">IF($K4427="","","R"&amp;$K4427)</f>
        <v/>
      </c>
    </row>
    <row r="4428" customFormat="false" ht="15" hidden="false" customHeight="true" outlineLevel="0" collapsed="false">
      <c r="J4428" s="14" t="b">
        <f aca="false">IF(중복검사!$A4426="",FALSE(),중복검사!$H4426="중복")</f>
        <v>0</v>
      </c>
      <c r="K4428" s="5" t="str">
        <f aca="false">IF($J4428=FALSE(),"",COUNTIF($J$6:$J4428,TRUE()))</f>
        <v/>
      </c>
      <c r="L4428" s="5" t="str">
        <f aca="false">IF($K4428="","","R"&amp;$K4428)</f>
        <v/>
      </c>
    </row>
    <row r="4429" customFormat="false" ht="15" hidden="false" customHeight="true" outlineLevel="0" collapsed="false">
      <c r="J4429" s="14" t="b">
        <f aca="false">IF(중복검사!$A4427="",FALSE(),중복검사!$H4427="중복")</f>
        <v>0</v>
      </c>
      <c r="K4429" s="5" t="str">
        <f aca="false">IF($J4429=FALSE(),"",COUNTIF($J$6:$J4429,TRUE()))</f>
        <v/>
      </c>
      <c r="L4429" s="5" t="str">
        <f aca="false">IF($K4429="","","R"&amp;$K4429)</f>
        <v/>
      </c>
    </row>
    <row r="4430" customFormat="false" ht="15" hidden="false" customHeight="true" outlineLevel="0" collapsed="false">
      <c r="J4430" s="14" t="b">
        <f aca="false">IF(중복검사!$A4428="",FALSE(),중복검사!$H4428="중복")</f>
        <v>0</v>
      </c>
      <c r="K4430" s="5" t="str">
        <f aca="false">IF($J4430=FALSE(),"",COUNTIF($J$6:$J4430,TRUE()))</f>
        <v/>
      </c>
      <c r="L4430" s="5" t="str">
        <f aca="false">IF($K4430="","","R"&amp;$K4430)</f>
        <v/>
      </c>
    </row>
    <row r="4431" customFormat="false" ht="15" hidden="false" customHeight="true" outlineLevel="0" collapsed="false">
      <c r="J4431" s="14" t="b">
        <f aca="false">IF(중복검사!$A4429="",FALSE(),중복검사!$H4429="중복")</f>
        <v>0</v>
      </c>
      <c r="K4431" s="5" t="str">
        <f aca="false">IF($J4431=FALSE(),"",COUNTIF($J$6:$J4431,TRUE()))</f>
        <v/>
      </c>
      <c r="L4431" s="5" t="str">
        <f aca="false">IF($K4431="","","R"&amp;$K4431)</f>
        <v/>
      </c>
    </row>
    <row r="4432" customFormat="false" ht="15" hidden="false" customHeight="true" outlineLevel="0" collapsed="false">
      <c r="J4432" s="14" t="b">
        <f aca="false">IF(중복검사!$A4430="",FALSE(),중복검사!$H4430="중복")</f>
        <v>0</v>
      </c>
      <c r="K4432" s="5" t="str">
        <f aca="false">IF($J4432=FALSE(),"",COUNTIF($J$6:$J4432,TRUE()))</f>
        <v/>
      </c>
      <c r="L4432" s="5" t="str">
        <f aca="false">IF($K4432="","","R"&amp;$K4432)</f>
        <v/>
      </c>
    </row>
    <row r="4433" customFormat="false" ht="15" hidden="false" customHeight="true" outlineLevel="0" collapsed="false">
      <c r="J4433" s="14" t="b">
        <f aca="false">IF(중복검사!$A4431="",FALSE(),중복검사!$H4431="중복")</f>
        <v>0</v>
      </c>
      <c r="K4433" s="5" t="str">
        <f aca="false">IF($J4433=FALSE(),"",COUNTIF($J$6:$J4433,TRUE()))</f>
        <v/>
      </c>
      <c r="L4433" s="5" t="str">
        <f aca="false">IF($K4433="","","R"&amp;$K4433)</f>
        <v/>
      </c>
    </row>
    <row r="4434" customFormat="false" ht="15" hidden="false" customHeight="true" outlineLevel="0" collapsed="false">
      <c r="J4434" s="14" t="b">
        <f aca="false">IF(중복검사!$A4432="",FALSE(),중복검사!$H4432="중복")</f>
        <v>0</v>
      </c>
      <c r="K4434" s="5" t="str">
        <f aca="false">IF($J4434=FALSE(),"",COUNTIF($J$6:$J4434,TRUE()))</f>
        <v/>
      </c>
      <c r="L4434" s="5" t="str">
        <f aca="false">IF($K4434="","","R"&amp;$K4434)</f>
        <v/>
      </c>
    </row>
    <row r="4435" customFormat="false" ht="15" hidden="false" customHeight="true" outlineLevel="0" collapsed="false">
      <c r="J4435" s="14" t="b">
        <f aca="false">IF(중복검사!$A4433="",FALSE(),중복검사!$H4433="중복")</f>
        <v>0</v>
      </c>
      <c r="K4435" s="5" t="str">
        <f aca="false">IF($J4435=FALSE(),"",COUNTIF($J$6:$J4435,TRUE()))</f>
        <v/>
      </c>
      <c r="L4435" s="5" t="str">
        <f aca="false">IF($K4435="","","R"&amp;$K4435)</f>
        <v/>
      </c>
    </row>
    <row r="4436" customFormat="false" ht="15" hidden="false" customHeight="true" outlineLevel="0" collapsed="false">
      <c r="J4436" s="14" t="b">
        <f aca="false">IF(중복검사!$A4434="",FALSE(),중복검사!$H4434="중복")</f>
        <v>0</v>
      </c>
      <c r="K4436" s="5" t="str">
        <f aca="false">IF($J4436=FALSE(),"",COUNTIF($J$6:$J4436,TRUE()))</f>
        <v/>
      </c>
      <c r="L4436" s="5" t="str">
        <f aca="false">IF($K4436="","","R"&amp;$K4436)</f>
        <v/>
      </c>
    </row>
    <row r="4437" customFormat="false" ht="15" hidden="false" customHeight="true" outlineLevel="0" collapsed="false">
      <c r="J4437" s="14" t="b">
        <f aca="false">IF(중복검사!$A4435="",FALSE(),중복검사!$H4435="중복")</f>
        <v>0</v>
      </c>
      <c r="K4437" s="5" t="str">
        <f aca="false">IF($J4437=FALSE(),"",COUNTIF($J$6:$J4437,TRUE()))</f>
        <v/>
      </c>
      <c r="L4437" s="5" t="str">
        <f aca="false">IF($K4437="","","R"&amp;$K4437)</f>
        <v/>
      </c>
    </row>
    <row r="4438" customFormat="false" ht="15" hidden="false" customHeight="true" outlineLevel="0" collapsed="false">
      <c r="J4438" s="14" t="b">
        <f aca="false">IF(중복검사!$A4436="",FALSE(),중복검사!$H4436="중복")</f>
        <v>0</v>
      </c>
      <c r="K4438" s="5" t="str">
        <f aca="false">IF($J4438=FALSE(),"",COUNTIF($J$6:$J4438,TRUE()))</f>
        <v/>
      </c>
      <c r="L4438" s="5" t="str">
        <f aca="false">IF($K4438="","","R"&amp;$K4438)</f>
        <v/>
      </c>
    </row>
    <row r="4439" customFormat="false" ht="15" hidden="false" customHeight="true" outlineLevel="0" collapsed="false">
      <c r="J4439" s="14" t="b">
        <f aca="false">IF(중복검사!$A4437="",FALSE(),중복검사!$H4437="중복")</f>
        <v>0</v>
      </c>
      <c r="K4439" s="5" t="str">
        <f aca="false">IF($J4439=FALSE(),"",COUNTIF($J$6:$J4439,TRUE()))</f>
        <v/>
      </c>
      <c r="L4439" s="5" t="str">
        <f aca="false">IF($K4439="","","R"&amp;$K4439)</f>
        <v/>
      </c>
    </row>
    <row r="4440" customFormat="false" ht="15" hidden="false" customHeight="true" outlineLevel="0" collapsed="false">
      <c r="J4440" s="14" t="b">
        <f aca="false">IF(중복검사!$A4438="",FALSE(),중복검사!$H4438="중복")</f>
        <v>0</v>
      </c>
      <c r="K4440" s="5" t="str">
        <f aca="false">IF($J4440=FALSE(),"",COUNTIF($J$6:$J4440,TRUE()))</f>
        <v/>
      </c>
      <c r="L4440" s="5" t="str">
        <f aca="false">IF($K4440="","","R"&amp;$K4440)</f>
        <v/>
      </c>
    </row>
    <row r="4441" customFormat="false" ht="15" hidden="false" customHeight="true" outlineLevel="0" collapsed="false">
      <c r="J4441" s="14" t="b">
        <f aca="false">IF(중복검사!$A4439="",FALSE(),중복검사!$H4439="중복")</f>
        <v>0</v>
      </c>
      <c r="K4441" s="5" t="str">
        <f aca="false">IF($J4441=FALSE(),"",COUNTIF($J$6:$J4441,TRUE()))</f>
        <v/>
      </c>
      <c r="L4441" s="5" t="str">
        <f aca="false">IF($K4441="","","R"&amp;$K4441)</f>
        <v/>
      </c>
    </row>
    <row r="4442" customFormat="false" ht="15" hidden="false" customHeight="true" outlineLevel="0" collapsed="false">
      <c r="J4442" s="14" t="b">
        <f aca="false">IF(중복검사!$A4440="",FALSE(),중복검사!$H4440="중복")</f>
        <v>0</v>
      </c>
      <c r="K4442" s="5" t="str">
        <f aca="false">IF($J4442=FALSE(),"",COUNTIF($J$6:$J4442,TRUE()))</f>
        <v/>
      </c>
      <c r="L4442" s="5" t="str">
        <f aca="false">IF($K4442="","","R"&amp;$K4442)</f>
        <v/>
      </c>
    </row>
    <row r="4443" customFormat="false" ht="15" hidden="false" customHeight="true" outlineLevel="0" collapsed="false">
      <c r="J4443" s="14" t="b">
        <f aca="false">IF(중복검사!$A4441="",FALSE(),중복검사!$H4441="중복")</f>
        <v>0</v>
      </c>
      <c r="K4443" s="5" t="str">
        <f aca="false">IF($J4443=FALSE(),"",COUNTIF($J$6:$J4443,TRUE()))</f>
        <v/>
      </c>
      <c r="L4443" s="5" t="str">
        <f aca="false">IF($K4443="","","R"&amp;$K4443)</f>
        <v/>
      </c>
    </row>
    <row r="4444" customFormat="false" ht="15" hidden="false" customHeight="true" outlineLevel="0" collapsed="false">
      <c r="J4444" s="14" t="b">
        <f aca="false">IF(중복검사!$A4442="",FALSE(),중복검사!$H4442="중복")</f>
        <v>0</v>
      </c>
      <c r="K4444" s="5" t="str">
        <f aca="false">IF($J4444=FALSE(),"",COUNTIF($J$6:$J4444,TRUE()))</f>
        <v/>
      </c>
      <c r="L4444" s="5" t="str">
        <f aca="false">IF($K4444="","","R"&amp;$K4444)</f>
        <v/>
      </c>
    </row>
    <row r="4445" customFormat="false" ht="15" hidden="false" customHeight="true" outlineLevel="0" collapsed="false">
      <c r="J4445" s="14" t="b">
        <f aca="false">IF(중복검사!$A4443="",FALSE(),중복검사!$H4443="중복")</f>
        <v>0</v>
      </c>
      <c r="K4445" s="5" t="str">
        <f aca="false">IF($J4445=FALSE(),"",COUNTIF($J$6:$J4445,TRUE()))</f>
        <v/>
      </c>
      <c r="L4445" s="5" t="str">
        <f aca="false">IF($K4445="","","R"&amp;$K4445)</f>
        <v/>
      </c>
    </row>
    <row r="4446" customFormat="false" ht="15" hidden="false" customHeight="true" outlineLevel="0" collapsed="false">
      <c r="J4446" s="14" t="b">
        <f aca="false">IF(중복검사!$A4444="",FALSE(),중복검사!$H4444="중복")</f>
        <v>0</v>
      </c>
      <c r="K4446" s="5" t="str">
        <f aca="false">IF($J4446=FALSE(),"",COUNTIF($J$6:$J4446,TRUE()))</f>
        <v/>
      </c>
      <c r="L4446" s="5" t="str">
        <f aca="false">IF($K4446="","","R"&amp;$K4446)</f>
        <v/>
      </c>
    </row>
    <row r="4447" customFormat="false" ht="15" hidden="false" customHeight="true" outlineLevel="0" collapsed="false">
      <c r="J4447" s="14" t="b">
        <f aca="false">IF(중복검사!$A4445="",FALSE(),중복검사!$H4445="중복")</f>
        <v>0</v>
      </c>
      <c r="K4447" s="5" t="str">
        <f aca="false">IF($J4447=FALSE(),"",COUNTIF($J$6:$J4447,TRUE()))</f>
        <v/>
      </c>
      <c r="L4447" s="5" t="str">
        <f aca="false">IF($K4447="","","R"&amp;$K4447)</f>
        <v/>
      </c>
    </row>
    <row r="4448" customFormat="false" ht="15" hidden="false" customHeight="true" outlineLevel="0" collapsed="false">
      <c r="J4448" s="14" t="b">
        <f aca="false">IF(중복검사!$A4446="",FALSE(),중복검사!$H4446="중복")</f>
        <v>0</v>
      </c>
      <c r="K4448" s="5" t="str">
        <f aca="false">IF($J4448=FALSE(),"",COUNTIF($J$6:$J4448,TRUE()))</f>
        <v/>
      </c>
      <c r="L4448" s="5" t="str">
        <f aca="false">IF($K4448="","","R"&amp;$K4448)</f>
        <v/>
      </c>
    </row>
    <row r="4449" customFormat="false" ht="15" hidden="false" customHeight="true" outlineLevel="0" collapsed="false">
      <c r="J4449" s="14" t="b">
        <f aca="false">IF(중복검사!$A4447="",FALSE(),중복검사!$H4447="중복")</f>
        <v>0</v>
      </c>
      <c r="K4449" s="5" t="str">
        <f aca="false">IF($J4449=FALSE(),"",COUNTIF($J$6:$J4449,TRUE()))</f>
        <v/>
      </c>
      <c r="L4449" s="5" t="str">
        <f aca="false">IF($K4449="","","R"&amp;$K4449)</f>
        <v/>
      </c>
    </row>
    <row r="4450" customFormat="false" ht="15" hidden="false" customHeight="true" outlineLevel="0" collapsed="false">
      <c r="J4450" s="14" t="b">
        <f aca="false">IF(중복검사!$A4448="",FALSE(),중복검사!$H4448="중복")</f>
        <v>0</v>
      </c>
      <c r="K4450" s="5" t="str">
        <f aca="false">IF($J4450=FALSE(),"",COUNTIF($J$6:$J4450,TRUE()))</f>
        <v/>
      </c>
      <c r="L4450" s="5" t="str">
        <f aca="false">IF($K4450="","","R"&amp;$K4450)</f>
        <v/>
      </c>
    </row>
    <row r="4451" customFormat="false" ht="15" hidden="false" customHeight="true" outlineLevel="0" collapsed="false">
      <c r="J4451" s="14" t="b">
        <f aca="false">IF(중복검사!$A4449="",FALSE(),중복검사!$H4449="중복")</f>
        <v>0</v>
      </c>
      <c r="K4451" s="5" t="str">
        <f aca="false">IF($J4451=FALSE(),"",COUNTIF($J$6:$J4451,TRUE()))</f>
        <v/>
      </c>
      <c r="L4451" s="5" t="str">
        <f aca="false">IF($K4451="","","R"&amp;$K4451)</f>
        <v/>
      </c>
    </row>
    <row r="4452" customFormat="false" ht="15" hidden="false" customHeight="true" outlineLevel="0" collapsed="false">
      <c r="J4452" s="14" t="b">
        <f aca="false">IF(중복검사!$A4450="",FALSE(),중복검사!$H4450="중복")</f>
        <v>0</v>
      </c>
      <c r="K4452" s="5" t="str">
        <f aca="false">IF($J4452=FALSE(),"",COUNTIF($J$6:$J4452,TRUE()))</f>
        <v/>
      </c>
      <c r="L4452" s="5" t="str">
        <f aca="false">IF($K4452="","","R"&amp;$K4452)</f>
        <v/>
      </c>
    </row>
    <row r="4453" customFormat="false" ht="15" hidden="false" customHeight="true" outlineLevel="0" collapsed="false">
      <c r="J4453" s="14" t="b">
        <f aca="false">IF(중복검사!$A4451="",FALSE(),중복검사!$H4451="중복")</f>
        <v>0</v>
      </c>
      <c r="K4453" s="5" t="str">
        <f aca="false">IF($J4453=FALSE(),"",COUNTIF($J$6:$J4453,TRUE()))</f>
        <v/>
      </c>
      <c r="L4453" s="5" t="str">
        <f aca="false">IF($K4453="","","R"&amp;$K4453)</f>
        <v/>
      </c>
    </row>
    <row r="4454" customFormat="false" ht="15" hidden="false" customHeight="true" outlineLevel="0" collapsed="false">
      <c r="J4454" s="14" t="b">
        <f aca="false">IF(중복검사!$A4452="",FALSE(),중복검사!$H4452="중복")</f>
        <v>0</v>
      </c>
      <c r="K4454" s="5" t="str">
        <f aca="false">IF($J4454=FALSE(),"",COUNTIF($J$6:$J4454,TRUE()))</f>
        <v/>
      </c>
      <c r="L4454" s="5" t="str">
        <f aca="false">IF($K4454="","","R"&amp;$K4454)</f>
        <v/>
      </c>
    </row>
    <row r="4455" customFormat="false" ht="15" hidden="false" customHeight="true" outlineLevel="0" collapsed="false">
      <c r="J4455" s="14" t="b">
        <f aca="false">IF(중복검사!$A4453="",FALSE(),중복검사!$H4453="중복")</f>
        <v>0</v>
      </c>
      <c r="K4455" s="5" t="str">
        <f aca="false">IF($J4455=FALSE(),"",COUNTIF($J$6:$J4455,TRUE()))</f>
        <v/>
      </c>
      <c r="L4455" s="5" t="str">
        <f aca="false">IF($K4455="","","R"&amp;$K4455)</f>
        <v/>
      </c>
    </row>
    <row r="4456" customFormat="false" ht="15" hidden="false" customHeight="true" outlineLevel="0" collapsed="false">
      <c r="J4456" s="14" t="b">
        <f aca="false">IF(중복검사!$A4454="",FALSE(),중복검사!$H4454="중복")</f>
        <v>0</v>
      </c>
      <c r="K4456" s="5" t="str">
        <f aca="false">IF($J4456=FALSE(),"",COUNTIF($J$6:$J4456,TRUE()))</f>
        <v/>
      </c>
      <c r="L4456" s="5" t="str">
        <f aca="false">IF($K4456="","","R"&amp;$K4456)</f>
        <v/>
      </c>
    </row>
    <row r="4457" customFormat="false" ht="15" hidden="false" customHeight="true" outlineLevel="0" collapsed="false">
      <c r="J4457" s="14" t="b">
        <f aca="false">IF(중복검사!$A4455="",FALSE(),중복검사!$H4455="중복")</f>
        <v>0</v>
      </c>
      <c r="K4457" s="5" t="str">
        <f aca="false">IF($J4457=FALSE(),"",COUNTIF($J$6:$J4457,TRUE()))</f>
        <v/>
      </c>
      <c r="L4457" s="5" t="str">
        <f aca="false">IF($K4457="","","R"&amp;$K4457)</f>
        <v/>
      </c>
    </row>
    <row r="4458" customFormat="false" ht="15" hidden="false" customHeight="true" outlineLevel="0" collapsed="false">
      <c r="J4458" s="14" t="b">
        <f aca="false">IF(중복검사!$A4456="",FALSE(),중복검사!$H4456="중복")</f>
        <v>0</v>
      </c>
      <c r="K4458" s="5" t="str">
        <f aca="false">IF($J4458=FALSE(),"",COUNTIF($J$6:$J4458,TRUE()))</f>
        <v/>
      </c>
      <c r="L4458" s="5" t="str">
        <f aca="false">IF($K4458="","","R"&amp;$K4458)</f>
        <v/>
      </c>
    </row>
    <row r="4459" customFormat="false" ht="15" hidden="false" customHeight="true" outlineLevel="0" collapsed="false">
      <c r="J4459" s="14" t="b">
        <f aca="false">IF(중복검사!$A4457="",FALSE(),중복검사!$H4457="중복")</f>
        <v>0</v>
      </c>
      <c r="K4459" s="5" t="str">
        <f aca="false">IF($J4459=FALSE(),"",COUNTIF($J$6:$J4459,TRUE()))</f>
        <v/>
      </c>
      <c r="L4459" s="5" t="str">
        <f aca="false">IF($K4459="","","R"&amp;$K4459)</f>
        <v/>
      </c>
    </row>
    <row r="4460" customFormat="false" ht="15" hidden="false" customHeight="true" outlineLevel="0" collapsed="false">
      <c r="J4460" s="14" t="b">
        <f aca="false">IF(중복검사!$A4458="",FALSE(),중복검사!$H4458="중복")</f>
        <v>0</v>
      </c>
      <c r="K4460" s="5" t="str">
        <f aca="false">IF($J4460=FALSE(),"",COUNTIF($J$6:$J4460,TRUE()))</f>
        <v/>
      </c>
      <c r="L4460" s="5" t="str">
        <f aca="false">IF($K4460="","","R"&amp;$K4460)</f>
        <v/>
      </c>
    </row>
    <row r="4461" customFormat="false" ht="15" hidden="false" customHeight="true" outlineLevel="0" collapsed="false">
      <c r="J4461" s="14" t="b">
        <f aca="false">IF(중복검사!$A4459="",FALSE(),중복검사!$H4459="중복")</f>
        <v>0</v>
      </c>
      <c r="K4461" s="5" t="str">
        <f aca="false">IF($J4461=FALSE(),"",COUNTIF($J$6:$J4461,TRUE()))</f>
        <v/>
      </c>
      <c r="L4461" s="5" t="str">
        <f aca="false">IF($K4461="","","R"&amp;$K4461)</f>
        <v/>
      </c>
    </row>
    <row r="4462" customFormat="false" ht="15" hidden="false" customHeight="true" outlineLevel="0" collapsed="false">
      <c r="J4462" s="14" t="b">
        <f aca="false">IF(중복검사!$A4460="",FALSE(),중복검사!$H4460="중복")</f>
        <v>0</v>
      </c>
      <c r="K4462" s="5" t="str">
        <f aca="false">IF($J4462=FALSE(),"",COUNTIF($J$6:$J4462,TRUE()))</f>
        <v/>
      </c>
      <c r="L4462" s="5" t="str">
        <f aca="false">IF($K4462="","","R"&amp;$K4462)</f>
        <v/>
      </c>
    </row>
    <row r="4463" customFormat="false" ht="15" hidden="false" customHeight="true" outlineLevel="0" collapsed="false">
      <c r="J4463" s="14" t="b">
        <f aca="false">IF(중복검사!$A4461="",FALSE(),중복검사!$H4461="중복")</f>
        <v>0</v>
      </c>
      <c r="K4463" s="5" t="str">
        <f aca="false">IF($J4463=FALSE(),"",COUNTIF($J$6:$J4463,TRUE()))</f>
        <v/>
      </c>
      <c r="L4463" s="5" t="str">
        <f aca="false">IF($K4463="","","R"&amp;$K4463)</f>
        <v/>
      </c>
    </row>
    <row r="4464" customFormat="false" ht="15" hidden="false" customHeight="true" outlineLevel="0" collapsed="false">
      <c r="J4464" s="14" t="b">
        <f aca="false">IF(중복검사!$A4462="",FALSE(),중복검사!$H4462="중복")</f>
        <v>0</v>
      </c>
      <c r="K4464" s="5" t="str">
        <f aca="false">IF($J4464=FALSE(),"",COUNTIF($J$6:$J4464,TRUE()))</f>
        <v/>
      </c>
      <c r="L4464" s="5" t="str">
        <f aca="false">IF($K4464="","","R"&amp;$K4464)</f>
        <v/>
      </c>
    </row>
    <row r="4465" customFormat="false" ht="15" hidden="false" customHeight="true" outlineLevel="0" collapsed="false">
      <c r="J4465" s="14" t="b">
        <f aca="false">IF(중복검사!$A4463="",FALSE(),중복검사!$H4463="중복")</f>
        <v>0</v>
      </c>
      <c r="K4465" s="5" t="str">
        <f aca="false">IF($J4465=FALSE(),"",COUNTIF($J$6:$J4465,TRUE()))</f>
        <v/>
      </c>
      <c r="L4465" s="5" t="str">
        <f aca="false">IF($K4465="","","R"&amp;$K4465)</f>
        <v/>
      </c>
    </row>
    <row r="4466" customFormat="false" ht="15" hidden="false" customHeight="true" outlineLevel="0" collapsed="false">
      <c r="J4466" s="14" t="b">
        <f aca="false">IF(중복검사!$A4464="",FALSE(),중복검사!$H4464="중복")</f>
        <v>0</v>
      </c>
      <c r="K4466" s="5" t="str">
        <f aca="false">IF($J4466=FALSE(),"",COUNTIF($J$6:$J4466,TRUE()))</f>
        <v/>
      </c>
      <c r="L4466" s="5" t="str">
        <f aca="false">IF($K4466="","","R"&amp;$K4466)</f>
        <v/>
      </c>
    </row>
    <row r="4467" customFormat="false" ht="15" hidden="false" customHeight="true" outlineLevel="0" collapsed="false">
      <c r="J4467" s="14" t="b">
        <f aca="false">IF(중복검사!$A4465="",FALSE(),중복검사!$H4465="중복")</f>
        <v>0</v>
      </c>
      <c r="K4467" s="5" t="str">
        <f aca="false">IF($J4467=FALSE(),"",COUNTIF($J$6:$J4467,TRUE()))</f>
        <v/>
      </c>
      <c r="L4467" s="5" t="str">
        <f aca="false">IF($K4467="","","R"&amp;$K4467)</f>
        <v/>
      </c>
    </row>
    <row r="4468" customFormat="false" ht="15" hidden="false" customHeight="true" outlineLevel="0" collapsed="false">
      <c r="J4468" s="14" t="b">
        <f aca="false">IF(중복검사!$A4466="",FALSE(),중복검사!$H4466="중복")</f>
        <v>0</v>
      </c>
      <c r="K4468" s="5" t="str">
        <f aca="false">IF($J4468=FALSE(),"",COUNTIF($J$6:$J4468,TRUE()))</f>
        <v/>
      </c>
      <c r="L4468" s="5" t="str">
        <f aca="false">IF($K4468="","","R"&amp;$K4468)</f>
        <v/>
      </c>
    </row>
    <row r="4469" customFormat="false" ht="15" hidden="false" customHeight="true" outlineLevel="0" collapsed="false">
      <c r="J4469" s="14" t="b">
        <f aca="false">IF(중복검사!$A4467="",FALSE(),중복검사!$H4467="중복")</f>
        <v>0</v>
      </c>
      <c r="K4469" s="5" t="str">
        <f aca="false">IF($J4469=FALSE(),"",COUNTIF($J$6:$J4469,TRUE()))</f>
        <v/>
      </c>
      <c r="L4469" s="5" t="str">
        <f aca="false">IF($K4469="","","R"&amp;$K4469)</f>
        <v/>
      </c>
    </row>
    <row r="4470" customFormat="false" ht="15" hidden="false" customHeight="true" outlineLevel="0" collapsed="false">
      <c r="J4470" s="14" t="b">
        <f aca="false">IF(중복검사!$A4468="",FALSE(),중복검사!$H4468="중복")</f>
        <v>0</v>
      </c>
      <c r="K4470" s="5" t="str">
        <f aca="false">IF($J4470=FALSE(),"",COUNTIF($J$6:$J4470,TRUE()))</f>
        <v/>
      </c>
      <c r="L4470" s="5" t="str">
        <f aca="false">IF($K4470="","","R"&amp;$K4470)</f>
        <v/>
      </c>
    </row>
    <row r="4471" customFormat="false" ht="15" hidden="false" customHeight="true" outlineLevel="0" collapsed="false">
      <c r="J4471" s="14" t="b">
        <f aca="false">IF(중복검사!$A4469="",FALSE(),중복검사!$H4469="중복")</f>
        <v>0</v>
      </c>
      <c r="K4471" s="5" t="str">
        <f aca="false">IF($J4471=FALSE(),"",COUNTIF($J$6:$J4471,TRUE()))</f>
        <v/>
      </c>
      <c r="L4471" s="5" t="str">
        <f aca="false">IF($K4471="","","R"&amp;$K4471)</f>
        <v/>
      </c>
    </row>
    <row r="4472" customFormat="false" ht="15" hidden="false" customHeight="true" outlineLevel="0" collapsed="false">
      <c r="J4472" s="14" t="b">
        <f aca="false">IF(중복검사!$A4470="",FALSE(),중복검사!$H4470="중복")</f>
        <v>0</v>
      </c>
      <c r="K4472" s="5" t="str">
        <f aca="false">IF($J4472=FALSE(),"",COUNTIF($J$6:$J4472,TRUE()))</f>
        <v/>
      </c>
      <c r="L4472" s="5" t="str">
        <f aca="false">IF($K4472="","","R"&amp;$K4472)</f>
        <v/>
      </c>
    </row>
    <row r="4473" customFormat="false" ht="15" hidden="false" customHeight="true" outlineLevel="0" collapsed="false">
      <c r="J4473" s="14" t="b">
        <f aca="false">IF(중복검사!$A4471="",FALSE(),중복검사!$H4471="중복")</f>
        <v>0</v>
      </c>
      <c r="K4473" s="5" t="str">
        <f aca="false">IF($J4473=FALSE(),"",COUNTIF($J$6:$J4473,TRUE()))</f>
        <v/>
      </c>
      <c r="L4473" s="5" t="str">
        <f aca="false">IF($K4473="","","R"&amp;$K4473)</f>
        <v/>
      </c>
    </row>
    <row r="4474" customFormat="false" ht="15" hidden="false" customHeight="true" outlineLevel="0" collapsed="false">
      <c r="J4474" s="14" t="b">
        <f aca="false">IF(중복검사!$A4472="",FALSE(),중복검사!$H4472="중복")</f>
        <v>0</v>
      </c>
      <c r="K4474" s="5" t="str">
        <f aca="false">IF($J4474=FALSE(),"",COUNTIF($J$6:$J4474,TRUE()))</f>
        <v/>
      </c>
      <c r="L4474" s="5" t="str">
        <f aca="false">IF($K4474="","","R"&amp;$K4474)</f>
        <v/>
      </c>
    </row>
    <row r="4475" customFormat="false" ht="15" hidden="false" customHeight="true" outlineLevel="0" collapsed="false">
      <c r="J4475" s="14" t="b">
        <f aca="false">IF(중복검사!$A4473="",FALSE(),중복검사!$H4473="중복")</f>
        <v>0</v>
      </c>
      <c r="K4475" s="5" t="str">
        <f aca="false">IF($J4475=FALSE(),"",COUNTIF($J$6:$J4475,TRUE()))</f>
        <v/>
      </c>
      <c r="L4475" s="5" t="str">
        <f aca="false">IF($K4475="","","R"&amp;$K4475)</f>
        <v/>
      </c>
    </row>
    <row r="4476" customFormat="false" ht="15" hidden="false" customHeight="true" outlineLevel="0" collapsed="false">
      <c r="J4476" s="14" t="b">
        <f aca="false">IF(중복검사!$A4474="",FALSE(),중복검사!$H4474="중복")</f>
        <v>0</v>
      </c>
      <c r="K4476" s="5" t="str">
        <f aca="false">IF($J4476=FALSE(),"",COUNTIF($J$6:$J4476,TRUE()))</f>
        <v/>
      </c>
      <c r="L4476" s="5" t="str">
        <f aca="false">IF($K4476="","","R"&amp;$K4476)</f>
        <v/>
      </c>
    </row>
    <row r="4477" customFormat="false" ht="15" hidden="false" customHeight="true" outlineLevel="0" collapsed="false">
      <c r="J4477" s="14" t="b">
        <f aca="false">IF(중복검사!$A4475="",FALSE(),중복검사!$H4475="중복")</f>
        <v>0</v>
      </c>
      <c r="K4477" s="5" t="str">
        <f aca="false">IF($J4477=FALSE(),"",COUNTIF($J$6:$J4477,TRUE()))</f>
        <v/>
      </c>
      <c r="L4477" s="5" t="str">
        <f aca="false">IF($K4477="","","R"&amp;$K4477)</f>
        <v/>
      </c>
    </row>
    <row r="4478" customFormat="false" ht="15" hidden="false" customHeight="true" outlineLevel="0" collapsed="false">
      <c r="J4478" s="14" t="b">
        <f aca="false">IF(중복검사!$A4476="",FALSE(),중복검사!$H4476="중복")</f>
        <v>0</v>
      </c>
      <c r="K4478" s="5" t="str">
        <f aca="false">IF($J4478=FALSE(),"",COUNTIF($J$6:$J4478,TRUE()))</f>
        <v/>
      </c>
      <c r="L4478" s="5" t="str">
        <f aca="false">IF($K4478="","","R"&amp;$K4478)</f>
        <v/>
      </c>
    </row>
    <row r="4479" customFormat="false" ht="15" hidden="false" customHeight="true" outlineLevel="0" collapsed="false">
      <c r="J4479" s="14" t="b">
        <f aca="false">IF(중복검사!$A4477="",FALSE(),중복검사!$H4477="중복")</f>
        <v>0</v>
      </c>
      <c r="K4479" s="5" t="str">
        <f aca="false">IF($J4479=FALSE(),"",COUNTIF($J$6:$J4479,TRUE()))</f>
        <v/>
      </c>
      <c r="L4479" s="5" t="str">
        <f aca="false">IF($K4479="","","R"&amp;$K4479)</f>
        <v/>
      </c>
    </row>
    <row r="4480" customFormat="false" ht="15" hidden="false" customHeight="true" outlineLevel="0" collapsed="false">
      <c r="J4480" s="14" t="b">
        <f aca="false">IF(중복검사!$A4478="",FALSE(),중복검사!$H4478="중복")</f>
        <v>0</v>
      </c>
      <c r="K4480" s="5" t="str">
        <f aca="false">IF($J4480=FALSE(),"",COUNTIF($J$6:$J4480,TRUE()))</f>
        <v/>
      </c>
      <c r="L4480" s="5" t="str">
        <f aca="false">IF($K4480="","","R"&amp;$K4480)</f>
        <v/>
      </c>
    </row>
    <row r="4481" customFormat="false" ht="15" hidden="false" customHeight="true" outlineLevel="0" collapsed="false">
      <c r="J4481" s="14" t="b">
        <f aca="false">IF(중복검사!$A4479="",FALSE(),중복검사!$H4479="중복")</f>
        <v>0</v>
      </c>
      <c r="K4481" s="5" t="str">
        <f aca="false">IF($J4481=FALSE(),"",COUNTIF($J$6:$J4481,TRUE()))</f>
        <v/>
      </c>
      <c r="L4481" s="5" t="str">
        <f aca="false">IF($K4481="","","R"&amp;$K4481)</f>
        <v/>
      </c>
    </row>
    <row r="4482" customFormat="false" ht="15" hidden="false" customHeight="true" outlineLevel="0" collapsed="false">
      <c r="J4482" s="14" t="b">
        <f aca="false">IF(중복검사!$A4480="",FALSE(),중복검사!$H4480="중복")</f>
        <v>0</v>
      </c>
      <c r="K4482" s="5" t="str">
        <f aca="false">IF($J4482=FALSE(),"",COUNTIF($J$6:$J4482,TRUE()))</f>
        <v/>
      </c>
      <c r="L4482" s="5" t="str">
        <f aca="false">IF($K4482="","","R"&amp;$K4482)</f>
        <v/>
      </c>
    </row>
    <row r="4483" customFormat="false" ht="15" hidden="false" customHeight="true" outlineLevel="0" collapsed="false">
      <c r="J4483" s="14" t="b">
        <f aca="false">IF(중복검사!$A4481="",FALSE(),중복검사!$H4481="중복")</f>
        <v>0</v>
      </c>
      <c r="K4483" s="5" t="str">
        <f aca="false">IF($J4483=FALSE(),"",COUNTIF($J$6:$J4483,TRUE()))</f>
        <v/>
      </c>
      <c r="L4483" s="5" t="str">
        <f aca="false">IF($K4483="","","R"&amp;$K4483)</f>
        <v/>
      </c>
    </row>
    <row r="4484" customFormat="false" ht="15" hidden="false" customHeight="true" outlineLevel="0" collapsed="false">
      <c r="J4484" s="14" t="b">
        <f aca="false">IF(중복검사!$A4482="",FALSE(),중복검사!$H4482="중복")</f>
        <v>0</v>
      </c>
      <c r="K4484" s="5" t="str">
        <f aca="false">IF($J4484=FALSE(),"",COUNTIF($J$6:$J4484,TRUE()))</f>
        <v/>
      </c>
      <c r="L4484" s="5" t="str">
        <f aca="false">IF($K4484="","","R"&amp;$K4484)</f>
        <v/>
      </c>
    </row>
    <row r="4485" customFormat="false" ht="15" hidden="false" customHeight="true" outlineLevel="0" collapsed="false">
      <c r="J4485" s="14" t="b">
        <f aca="false">IF(중복검사!$A4483="",FALSE(),중복검사!$H4483="중복")</f>
        <v>0</v>
      </c>
      <c r="K4485" s="5" t="str">
        <f aca="false">IF($J4485=FALSE(),"",COUNTIF($J$6:$J4485,TRUE()))</f>
        <v/>
      </c>
      <c r="L4485" s="5" t="str">
        <f aca="false">IF($K4485="","","R"&amp;$K4485)</f>
        <v/>
      </c>
    </row>
    <row r="4486" customFormat="false" ht="15" hidden="false" customHeight="true" outlineLevel="0" collapsed="false">
      <c r="J4486" s="14" t="b">
        <f aca="false">IF(중복검사!$A4484="",FALSE(),중복검사!$H4484="중복")</f>
        <v>0</v>
      </c>
      <c r="K4486" s="5" t="str">
        <f aca="false">IF($J4486=FALSE(),"",COUNTIF($J$6:$J4486,TRUE()))</f>
        <v/>
      </c>
      <c r="L4486" s="5" t="str">
        <f aca="false">IF($K4486="","","R"&amp;$K4486)</f>
        <v/>
      </c>
    </row>
    <row r="4487" customFormat="false" ht="15" hidden="false" customHeight="true" outlineLevel="0" collapsed="false">
      <c r="J4487" s="14" t="b">
        <f aca="false">IF(중복검사!$A4485="",FALSE(),중복검사!$H4485="중복")</f>
        <v>0</v>
      </c>
      <c r="K4487" s="5" t="str">
        <f aca="false">IF($J4487=FALSE(),"",COUNTIF($J$6:$J4487,TRUE()))</f>
        <v/>
      </c>
      <c r="L4487" s="5" t="str">
        <f aca="false">IF($K4487="","","R"&amp;$K4487)</f>
        <v/>
      </c>
    </row>
    <row r="4488" customFormat="false" ht="15" hidden="false" customHeight="true" outlineLevel="0" collapsed="false">
      <c r="J4488" s="14" t="b">
        <f aca="false">IF(중복검사!$A4486="",FALSE(),중복검사!$H4486="중복")</f>
        <v>0</v>
      </c>
      <c r="K4488" s="5" t="str">
        <f aca="false">IF($J4488=FALSE(),"",COUNTIF($J$6:$J4488,TRUE()))</f>
        <v/>
      </c>
      <c r="L4488" s="5" t="str">
        <f aca="false">IF($K4488="","","R"&amp;$K4488)</f>
        <v/>
      </c>
    </row>
    <row r="4489" customFormat="false" ht="15" hidden="false" customHeight="true" outlineLevel="0" collapsed="false">
      <c r="J4489" s="14" t="b">
        <f aca="false">IF(중복검사!$A4487="",FALSE(),중복검사!$H4487="중복")</f>
        <v>0</v>
      </c>
      <c r="K4489" s="5" t="str">
        <f aca="false">IF($J4489=FALSE(),"",COUNTIF($J$6:$J4489,TRUE()))</f>
        <v/>
      </c>
      <c r="L4489" s="5" t="str">
        <f aca="false">IF($K4489="","","R"&amp;$K4489)</f>
        <v/>
      </c>
    </row>
    <row r="4490" customFormat="false" ht="15" hidden="false" customHeight="true" outlineLevel="0" collapsed="false">
      <c r="J4490" s="14" t="b">
        <f aca="false">IF(중복검사!$A4488="",FALSE(),중복검사!$H4488="중복")</f>
        <v>0</v>
      </c>
      <c r="K4490" s="5" t="str">
        <f aca="false">IF($J4490=FALSE(),"",COUNTIF($J$6:$J4490,TRUE()))</f>
        <v/>
      </c>
      <c r="L4490" s="5" t="str">
        <f aca="false">IF($K4490="","","R"&amp;$K4490)</f>
        <v/>
      </c>
    </row>
    <row r="4491" customFormat="false" ht="15" hidden="false" customHeight="true" outlineLevel="0" collapsed="false">
      <c r="J4491" s="14" t="b">
        <f aca="false">IF(중복검사!$A4489="",FALSE(),중복검사!$H4489="중복")</f>
        <v>0</v>
      </c>
      <c r="K4491" s="5" t="str">
        <f aca="false">IF($J4491=FALSE(),"",COUNTIF($J$6:$J4491,TRUE()))</f>
        <v/>
      </c>
      <c r="L4491" s="5" t="str">
        <f aca="false">IF($K4491="","","R"&amp;$K4491)</f>
        <v/>
      </c>
    </row>
    <row r="4492" customFormat="false" ht="15" hidden="false" customHeight="true" outlineLevel="0" collapsed="false">
      <c r="J4492" s="14" t="b">
        <f aca="false">IF(중복검사!$A4490="",FALSE(),중복검사!$H4490="중복")</f>
        <v>0</v>
      </c>
      <c r="K4492" s="5" t="str">
        <f aca="false">IF($J4492=FALSE(),"",COUNTIF($J$6:$J4492,TRUE()))</f>
        <v/>
      </c>
      <c r="L4492" s="5" t="str">
        <f aca="false">IF($K4492="","","R"&amp;$K4492)</f>
        <v/>
      </c>
    </row>
    <row r="4493" customFormat="false" ht="15" hidden="false" customHeight="true" outlineLevel="0" collapsed="false">
      <c r="J4493" s="14" t="b">
        <f aca="false">IF(중복검사!$A4491="",FALSE(),중복검사!$H4491="중복")</f>
        <v>0</v>
      </c>
      <c r="K4493" s="5" t="str">
        <f aca="false">IF($J4493=FALSE(),"",COUNTIF($J$6:$J4493,TRUE()))</f>
        <v/>
      </c>
      <c r="L4493" s="5" t="str">
        <f aca="false">IF($K4493="","","R"&amp;$K4493)</f>
        <v/>
      </c>
    </row>
    <row r="4494" customFormat="false" ht="15" hidden="false" customHeight="true" outlineLevel="0" collapsed="false">
      <c r="J4494" s="14" t="b">
        <f aca="false">IF(중복검사!$A4492="",FALSE(),중복검사!$H4492="중복")</f>
        <v>0</v>
      </c>
      <c r="K4494" s="5" t="str">
        <f aca="false">IF($J4494=FALSE(),"",COUNTIF($J$6:$J4494,TRUE()))</f>
        <v/>
      </c>
      <c r="L4494" s="5" t="str">
        <f aca="false">IF($K4494="","","R"&amp;$K4494)</f>
        <v/>
      </c>
    </row>
    <row r="4495" customFormat="false" ht="15" hidden="false" customHeight="true" outlineLevel="0" collapsed="false">
      <c r="J4495" s="14" t="b">
        <f aca="false">IF(중복검사!$A4493="",FALSE(),중복검사!$H4493="중복")</f>
        <v>0</v>
      </c>
      <c r="K4495" s="5" t="str">
        <f aca="false">IF($J4495=FALSE(),"",COUNTIF($J$6:$J4495,TRUE()))</f>
        <v/>
      </c>
      <c r="L4495" s="5" t="str">
        <f aca="false">IF($K4495="","","R"&amp;$K4495)</f>
        <v/>
      </c>
    </row>
    <row r="4496" customFormat="false" ht="15" hidden="false" customHeight="true" outlineLevel="0" collapsed="false">
      <c r="J4496" s="14" t="b">
        <f aca="false">IF(중복검사!$A4494="",FALSE(),중복검사!$H4494="중복")</f>
        <v>0</v>
      </c>
      <c r="K4496" s="5" t="str">
        <f aca="false">IF($J4496=FALSE(),"",COUNTIF($J$6:$J4496,TRUE()))</f>
        <v/>
      </c>
      <c r="L4496" s="5" t="str">
        <f aca="false">IF($K4496="","","R"&amp;$K4496)</f>
        <v/>
      </c>
    </row>
    <row r="4497" customFormat="false" ht="15" hidden="false" customHeight="true" outlineLevel="0" collapsed="false">
      <c r="J4497" s="14" t="b">
        <f aca="false">IF(중복검사!$A4495="",FALSE(),중복검사!$H4495="중복")</f>
        <v>0</v>
      </c>
      <c r="K4497" s="5" t="str">
        <f aca="false">IF($J4497=FALSE(),"",COUNTIF($J$6:$J4497,TRUE()))</f>
        <v/>
      </c>
      <c r="L4497" s="5" t="str">
        <f aca="false">IF($K4497="","","R"&amp;$K4497)</f>
        <v/>
      </c>
    </row>
    <row r="4498" customFormat="false" ht="15" hidden="false" customHeight="true" outlineLevel="0" collapsed="false">
      <c r="J4498" s="14" t="b">
        <f aca="false">IF(중복검사!$A4496="",FALSE(),중복검사!$H4496="중복")</f>
        <v>0</v>
      </c>
      <c r="K4498" s="5" t="str">
        <f aca="false">IF($J4498=FALSE(),"",COUNTIF($J$6:$J4498,TRUE()))</f>
        <v/>
      </c>
      <c r="L4498" s="5" t="str">
        <f aca="false">IF($K4498="","","R"&amp;$K4498)</f>
        <v/>
      </c>
    </row>
    <row r="4499" customFormat="false" ht="15" hidden="false" customHeight="true" outlineLevel="0" collapsed="false">
      <c r="J4499" s="14" t="b">
        <f aca="false">IF(중복검사!$A4497="",FALSE(),중복검사!$H4497="중복")</f>
        <v>0</v>
      </c>
      <c r="K4499" s="5" t="str">
        <f aca="false">IF($J4499=FALSE(),"",COUNTIF($J$6:$J4499,TRUE()))</f>
        <v/>
      </c>
      <c r="L4499" s="5" t="str">
        <f aca="false">IF($K4499="","","R"&amp;$K4499)</f>
        <v/>
      </c>
    </row>
    <row r="4500" customFormat="false" ht="15" hidden="false" customHeight="true" outlineLevel="0" collapsed="false">
      <c r="J4500" s="14" t="b">
        <f aca="false">IF(중복검사!$A4498="",FALSE(),중복검사!$H4498="중복")</f>
        <v>0</v>
      </c>
      <c r="K4500" s="5" t="str">
        <f aca="false">IF($J4500=FALSE(),"",COUNTIF($J$6:$J4500,TRUE()))</f>
        <v/>
      </c>
      <c r="L4500" s="5" t="str">
        <f aca="false">IF($K4500="","","R"&amp;$K4500)</f>
        <v/>
      </c>
    </row>
    <row r="4501" customFormat="false" ht="15" hidden="false" customHeight="true" outlineLevel="0" collapsed="false">
      <c r="J4501" s="14" t="b">
        <f aca="false">IF(중복검사!$A4499="",FALSE(),중복검사!$H4499="중복")</f>
        <v>0</v>
      </c>
      <c r="K4501" s="5" t="str">
        <f aca="false">IF($J4501=FALSE(),"",COUNTIF($J$6:$J4501,TRUE()))</f>
        <v/>
      </c>
      <c r="L4501" s="5" t="str">
        <f aca="false">IF($K4501="","","R"&amp;$K4501)</f>
        <v/>
      </c>
    </row>
    <row r="4502" customFormat="false" ht="15" hidden="false" customHeight="true" outlineLevel="0" collapsed="false">
      <c r="J4502" s="14" t="b">
        <f aca="false">IF(중복검사!$A4500="",FALSE(),중복검사!$H4500="중복")</f>
        <v>0</v>
      </c>
      <c r="K4502" s="5" t="str">
        <f aca="false">IF($J4502=FALSE(),"",COUNTIF($J$6:$J4502,TRUE()))</f>
        <v/>
      </c>
      <c r="L4502" s="5" t="str">
        <f aca="false">IF($K4502="","","R"&amp;$K4502)</f>
        <v/>
      </c>
    </row>
    <row r="4503" customFormat="false" ht="15" hidden="false" customHeight="true" outlineLevel="0" collapsed="false">
      <c r="J4503" s="14" t="b">
        <f aca="false">IF(중복검사!$A4501="",FALSE(),중복검사!$H4501="중복")</f>
        <v>0</v>
      </c>
      <c r="K4503" s="5" t="str">
        <f aca="false">IF($J4503=FALSE(),"",COUNTIF($J$6:$J4503,TRUE()))</f>
        <v/>
      </c>
      <c r="L4503" s="5" t="str">
        <f aca="false">IF($K4503="","","R"&amp;$K4503)</f>
        <v/>
      </c>
    </row>
    <row r="4504" customFormat="false" ht="15" hidden="false" customHeight="true" outlineLevel="0" collapsed="false">
      <c r="J4504" s="14" t="b">
        <f aca="false">IF(중복검사!$A4502="",FALSE(),중복검사!$H4502="중복")</f>
        <v>0</v>
      </c>
      <c r="K4504" s="5" t="str">
        <f aca="false">IF($J4504=FALSE(),"",COUNTIF($J$6:$J4504,TRUE()))</f>
        <v/>
      </c>
      <c r="L4504" s="5" t="str">
        <f aca="false">IF($K4504="","","R"&amp;$K4504)</f>
        <v/>
      </c>
    </row>
    <row r="4505" customFormat="false" ht="15" hidden="false" customHeight="true" outlineLevel="0" collapsed="false">
      <c r="J4505" s="14" t="b">
        <f aca="false">IF(중복검사!$A4503="",FALSE(),중복검사!$H4503="중복")</f>
        <v>0</v>
      </c>
      <c r="K4505" s="5" t="str">
        <f aca="false">IF($J4505=FALSE(),"",COUNTIF($J$6:$J4505,TRUE()))</f>
        <v/>
      </c>
      <c r="L4505" s="5" t="str">
        <f aca="false">IF($K4505="","","R"&amp;$K4505)</f>
        <v/>
      </c>
    </row>
    <row r="4506" customFormat="false" ht="15" hidden="false" customHeight="true" outlineLevel="0" collapsed="false">
      <c r="J4506" s="14" t="b">
        <f aca="false">IF(중복검사!$A4504="",FALSE(),중복검사!$H4504="중복")</f>
        <v>0</v>
      </c>
      <c r="K4506" s="5" t="str">
        <f aca="false">IF($J4506=FALSE(),"",COUNTIF($J$6:$J4506,TRUE()))</f>
        <v/>
      </c>
      <c r="L4506" s="5" t="str">
        <f aca="false">IF($K4506="","","R"&amp;$K4506)</f>
        <v/>
      </c>
    </row>
    <row r="4507" customFormat="false" ht="15" hidden="false" customHeight="true" outlineLevel="0" collapsed="false">
      <c r="J4507" s="14" t="b">
        <f aca="false">IF(중복검사!$A4505="",FALSE(),중복검사!$H4505="중복")</f>
        <v>0</v>
      </c>
      <c r="K4507" s="5" t="str">
        <f aca="false">IF($J4507=FALSE(),"",COUNTIF($J$6:$J4507,TRUE()))</f>
        <v/>
      </c>
      <c r="L4507" s="5" t="str">
        <f aca="false">IF($K4507="","","R"&amp;$K4507)</f>
        <v/>
      </c>
    </row>
    <row r="4508" customFormat="false" ht="15" hidden="false" customHeight="true" outlineLevel="0" collapsed="false">
      <c r="J4508" s="14" t="b">
        <f aca="false">IF(중복검사!$A4506="",FALSE(),중복검사!$H4506="중복")</f>
        <v>0</v>
      </c>
      <c r="K4508" s="5" t="str">
        <f aca="false">IF($J4508=FALSE(),"",COUNTIF($J$6:$J4508,TRUE()))</f>
        <v/>
      </c>
      <c r="L4508" s="5" t="str">
        <f aca="false">IF($K4508="","","R"&amp;$K4508)</f>
        <v/>
      </c>
    </row>
    <row r="4509" customFormat="false" ht="15" hidden="false" customHeight="true" outlineLevel="0" collapsed="false">
      <c r="J4509" s="14" t="b">
        <f aca="false">IF(중복검사!$A4507="",FALSE(),중복검사!$H4507="중복")</f>
        <v>0</v>
      </c>
      <c r="K4509" s="5" t="str">
        <f aca="false">IF($J4509=FALSE(),"",COUNTIF($J$6:$J4509,TRUE()))</f>
        <v/>
      </c>
      <c r="L4509" s="5" t="str">
        <f aca="false">IF($K4509="","","R"&amp;$K4509)</f>
        <v/>
      </c>
    </row>
    <row r="4510" customFormat="false" ht="15" hidden="false" customHeight="true" outlineLevel="0" collapsed="false">
      <c r="J4510" s="14" t="b">
        <f aca="false">IF(중복검사!$A4508="",FALSE(),중복검사!$H4508="중복")</f>
        <v>0</v>
      </c>
      <c r="K4510" s="5" t="str">
        <f aca="false">IF($J4510=FALSE(),"",COUNTIF($J$6:$J4510,TRUE()))</f>
        <v/>
      </c>
      <c r="L4510" s="5" t="str">
        <f aca="false">IF($K4510="","","R"&amp;$K4510)</f>
        <v/>
      </c>
    </row>
    <row r="4511" customFormat="false" ht="15" hidden="false" customHeight="true" outlineLevel="0" collapsed="false">
      <c r="J4511" s="14" t="b">
        <f aca="false">IF(중복검사!$A4509="",FALSE(),중복검사!$H4509="중복")</f>
        <v>0</v>
      </c>
      <c r="K4511" s="5" t="str">
        <f aca="false">IF($J4511=FALSE(),"",COUNTIF($J$6:$J4511,TRUE()))</f>
        <v/>
      </c>
      <c r="L4511" s="5" t="str">
        <f aca="false">IF($K4511="","","R"&amp;$K4511)</f>
        <v/>
      </c>
    </row>
    <row r="4512" customFormat="false" ht="15" hidden="false" customHeight="true" outlineLevel="0" collapsed="false">
      <c r="J4512" s="14" t="b">
        <f aca="false">IF(중복검사!$A4510="",FALSE(),중복검사!$H4510="중복")</f>
        <v>0</v>
      </c>
      <c r="K4512" s="5" t="str">
        <f aca="false">IF($J4512=FALSE(),"",COUNTIF($J$6:$J4512,TRUE()))</f>
        <v/>
      </c>
      <c r="L4512" s="5" t="str">
        <f aca="false">IF($K4512="","","R"&amp;$K4512)</f>
        <v/>
      </c>
    </row>
    <row r="4513" customFormat="false" ht="15" hidden="false" customHeight="true" outlineLevel="0" collapsed="false">
      <c r="J4513" s="14" t="b">
        <f aca="false">IF(중복검사!$A4511="",FALSE(),중복검사!$H4511="중복")</f>
        <v>0</v>
      </c>
      <c r="K4513" s="5" t="str">
        <f aca="false">IF($J4513=FALSE(),"",COUNTIF($J$6:$J4513,TRUE()))</f>
        <v/>
      </c>
      <c r="L4513" s="5" t="str">
        <f aca="false">IF($K4513="","","R"&amp;$K4513)</f>
        <v/>
      </c>
    </row>
    <row r="4514" customFormat="false" ht="15" hidden="false" customHeight="true" outlineLevel="0" collapsed="false">
      <c r="J4514" s="14" t="b">
        <f aca="false">IF(중복검사!$A4512="",FALSE(),중복검사!$H4512="중복")</f>
        <v>0</v>
      </c>
      <c r="K4514" s="5" t="str">
        <f aca="false">IF($J4514=FALSE(),"",COUNTIF($J$6:$J4514,TRUE()))</f>
        <v/>
      </c>
      <c r="L4514" s="5" t="str">
        <f aca="false">IF($K4514="","","R"&amp;$K4514)</f>
        <v/>
      </c>
    </row>
    <row r="4515" customFormat="false" ht="15" hidden="false" customHeight="true" outlineLevel="0" collapsed="false">
      <c r="J4515" s="14" t="b">
        <f aca="false">IF(중복검사!$A4513="",FALSE(),중복검사!$H4513="중복")</f>
        <v>0</v>
      </c>
      <c r="K4515" s="5" t="str">
        <f aca="false">IF($J4515=FALSE(),"",COUNTIF($J$6:$J4515,TRUE()))</f>
        <v/>
      </c>
      <c r="L4515" s="5" t="str">
        <f aca="false">IF($K4515="","","R"&amp;$K4515)</f>
        <v/>
      </c>
    </row>
    <row r="4516" customFormat="false" ht="15" hidden="false" customHeight="true" outlineLevel="0" collapsed="false">
      <c r="J4516" s="14" t="b">
        <f aca="false">IF(중복검사!$A4514="",FALSE(),중복검사!$H4514="중복")</f>
        <v>0</v>
      </c>
      <c r="K4516" s="5" t="str">
        <f aca="false">IF($J4516=FALSE(),"",COUNTIF($J$6:$J4516,TRUE()))</f>
        <v/>
      </c>
      <c r="L4516" s="5" t="str">
        <f aca="false">IF($K4516="","","R"&amp;$K4516)</f>
        <v/>
      </c>
    </row>
    <row r="4517" customFormat="false" ht="15" hidden="false" customHeight="true" outlineLevel="0" collapsed="false">
      <c r="J4517" s="14" t="b">
        <f aca="false">IF(중복검사!$A4515="",FALSE(),중복검사!$H4515="중복")</f>
        <v>0</v>
      </c>
      <c r="K4517" s="5" t="str">
        <f aca="false">IF($J4517=FALSE(),"",COUNTIF($J$6:$J4517,TRUE()))</f>
        <v/>
      </c>
      <c r="L4517" s="5" t="str">
        <f aca="false">IF($K4517="","","R"&amp;$K4517)</f>
        <v/>
      </c>
    </row>
    <row r="4518" customFormat="false" ht="15" hidden="false" customHeight="true" outlineLevel="0" collapsed="false">
      <c r="J4518" s="14" t="b">
        <f aca="false">IF(중복검사!$A4516="",FALSE(),중복검사!$H4516="중복")</f>
        <v>0</v>
      </c>
      <c r="K4518" s="5" t="str">
        <f aca="false">IF($J4518=FALSE(),"",COUNTIF($J$6:$J4518,TRUE()))</f>
        <v/>
      </c>
      <c r="L4518" s="5" t="str">
        <f aca="false">IF($K4518="","","R"&amp;$K4518)</f>
        <v/>
      </c>
    </row>
    <row r="4519" customFormat="false" ht="15" hidden="false" customHeight="true" outlineLevel="0" collapsed="false">
      <c r="J4519" s="14" t="b">
        <f aca="false">IF(중복검사!$A4517="",FALSE(),중복검사!$H4517="중복")</f>
        <v>0</v>
      </c>
      <c r="K4519" s="5" t="str">
        <f aca="false">IF($J4519=FALSE(),"",COUNTIF($J$6:$J4519,TRUE()))</f>
        <v/>
      </c>
      <c r="L4519" s="5" t="str">
        <f aca="false">IF($K4519="","","R"&amp;$K4519)</f>
        <v/>
      </c>
    </row>
    <row r="4520" customFormat="false" ht="15" hidden="false" customHeight="true" outlineLevel="0" collapsed="false">
      <c r="J4520" s="14" t="b">
        <f aca="false">IF(중복검사!$A4518="",FALSE(),중복검사!$H4518="중복")</f>
        <v>0</v>
      </c>
      <c r="K4520" s="5" t="str">
        <f aca="false">IF($J4520=FALSE(),"",COUNTIF($J$6:$J4520,TRUE()))</f>
        <v/>
      </c>
      <c r="L4520" s="5" t="str">
        <f aca="false">IF($K4520="","","R"&amp;$K4520)</f>
        <v/>
      </c>
    </row>
    <row r="4521" customFormat="false" ht="15" hidden="false" customHeight="true" outlineLevel="0" collapsed="false">
      <c r="J4521" s="14" t="b">
        <f aca="false">IF(중복검사!$A4519="",FALSE(),중복검사!$H4519="중복")</f>
        <v>0</v>
      </c>
      <c r="K4521" s="5" t="str">
        <f aca="false">IF($J4521=FALSE(),"",COUNTIF($J$6:$J4521,TRUE()))</f>
        <v/>
      </c>
      <c r="L4521" s="5" t="str">
        <f aca="false">IF($K4521="","","R"&amp;$K4521)</f>
        <v/>
      </c>
    </row>
    <row r="4522" customFormat="false" ht="15" hidden="false" customHeight="true" outlineLevel="0" collapsed="false">
      <c r="J4522" s="14" t="b">
        <f aca="false">IF(중복검사!$A4520="",FALSE(),중복검사!$H4520="중복")</f>
        <v>0</v>
      </c>
      <c r="K4522" s="5" t="str">
        <f aca="false">IF($J4522=FALSE(),"",COUNTIF($J$6:$J4522,TRUE()))</f>
        <v/>
      </c>
      <c r="L4522" s="5" t="str">
        <f aca="false">IF($K4522="","","R"&amp;$K4522)</f>
        <v/>
      </c>
    </row>
    <row r="4523" customFormat="false" ht="15" hidden="false" customHeight="true" outlineLevel="0" collapsed="false">
      <c r="J4523" s="14" t="b">
        <f aca="false">IF(중복검사!$A4521="",FALSE(),중복검사!$H4521="중복")</f>
        <v>0</v>
      </c>
      <c r="K4523" s="5" t="str">
        <f aca="false">IF($J4523=FALSE(),"",COUNTIF($J$6:$J4523,TRUE()))</f>
        <v/>
      </c>
      <c r="L4523" s="5" t="str">
        <f aca="false">IF($K4523="","","R"&amp;$K4523)</f>
        <v/>
      </c>
    </row>
    <row r="4524" customFormat="false" ht="15" hidden="false" customHeight="true" outlineLevel="0" collapsed="false">
      <c r="J4524" s="14" t="b">
        <f aca="false">IF(중복검사!$A4522="",FALSE(),중복검사!$H4522="중복")</f>
        <v>0</v>
      </c>
      <c r="K4524" s="5" t="str">
        <f aca="false">IF($J4524=FALSE(),"",COUNTIF($J$6:$J4524,TRUE()))</f>
        <v/>
      </c>
      <c r="L4524" s="5" t="str">
        <f aca="false">IF($K4524="","","R"&amp;$K4524)</f>
        <v/>
      </c>
    </row>
    <row r="4525" customFormat="false" ht="15" hidden="false" customHeight="true" outlineLevel="0" collapsed="false">
      <c r="J4525" s="14" t="b">
        <f aca="false">IF(중복검사!$A4523="",FALSE(),중복검사!$H4523="중복")</f>
        <v>0</v>
      </c>
      <c r="K4525" s="5" t="str">
        <f aca="false">IF($J4525=FALSE(),"",COUNTIF($J$6:$J4525,TRUE()))</f>
        <v/>
      </c>
      <c r="L4525" s="5" t="str">
        <f aca="false">IF($K4525="","","R"&amp;$K4525)</f>
        <v/>
      </c>
    </row>
    <row r="4526" customFormat="false" ht="15" hidden="false" customHeight="true" outlineLevel="0" collapsed="false">
      <c r="J4526" s="14" t="b">
        <f aca="false">IF(중복검사!$A4524="",FALSE(),중복검사!$H4524="중복")</f>
        <v>0</v>
      </c>
      <c r="K4526" s="5" t="str">
        <f aca="false">IF($J4526=FALSE(),"",COUNTIF($J$6:$J4526,TRUE()))</f>
        <v/>
      </c>
      <c r="L4526" s="5" t="str">
        <f aca="false">IF($K4526="","","R"&amp;$K4526)</f>
        <v/>
      </c>
    </row>
    <row r="4527" customFormat="false" ht="15" hidden="false" customHeight="true" outlineLevel="0" collapsed="false">
      <c r="J4527" s="14" t="b">
        <f aca="false">IF(중복검사!$A4525="",FALSE(),중복검사!$H4525="중복")</f>
        <v>0</v>
      </c>
      <c r="K4527" s="5" t="str">
        <f aca="false">IF($J4527=FALSE(),"",COUNTIF($J$6:$J4527,TRUE()))</f>
        <v/>
      </c>
      <c r="L4527" s="5" t="str">
        <f aca="false">IF($K4527="","","R"&amp;$K4527)</f>
        <v/>
      </c>
    </row>
    <row r="4528" customFormat="false" ht="15" hidden="false" customHeight="true" outlineLevel="0" collapsed="false">
      <c r="J4528" s="14" t="b">
        <f aca="false">IF(중복검사!$A4526="",FALSE(),중복검사!$H4526="중복")</f>
        <v>0</v>
      </c>
      <c r="K4528" s="5" t="str">
        <f aca="false">IF($J4528=FALSE(),"",COUNTIF($J$6:$J4528,TRUE()))</f>
        <v/>
      </c>
      <c r="L4528" s="5" t="str">
        <f aca="false">IF($K4528="","","R"&amp;$K4528)</f>
        <v/>
      </c>
    </row>
    <row r="4529" customFormat="false" ht="15" hidden="false" customHeight="true" outlineLevel="0" collapsed="false">
      <c r="J4529" s="14" t="b">
        <f aca="false">IF(중복검사!$A4527="",FALSE(),중복검사!$H4527="중복")</f>
        <v>0</v>
      </c>
      <c r="K4529" s="5" t="str">
        <f aca="false">IF($J4529=FALSE(),"",COUNTIF($J$6:$J4529,TRUE()))</f>
        <v/>
      </c>
      <c r="L4529" s="5" t="str">
        <f aca="false">IF($K4529="","","R"&amp;$K4529)</f>
        <v/>
      </c>
    </row>
    <row r="4530" customFormat="false" ht="15" hidden="false" customHeight="true" outlineLevel="0" collapsed="false">
      <c r="J4530" s="14" t="b">
        <f aca="false">IF(중복검사!$A4528="",FALSE(),중복검사!$H4528="중복")</f>
        <v>0</v>
      </c>
      <c r="K4530" s="5" t="str">
        <f aca="false">IF($J4530=FALSE(),"",COUNTIF($J$6:$J4530,TRUE()))</f>
        <v/>
      </c>
      <c r="L4530" s="5" t="str">
        <f aca="false">IF($K4530="","","R"&amp;$K4530)</f>
        <v/>
      </c>
    </row>
    <row r="4531" customFormat="false" ht="15" hidden="false" customHeight="true" outlineLevel="0" collapsed="false">
      <c r="J4531" s="14" t="b">
        <f aca="false">IF(중복검사!$A4529="",FALSE(),중복검사!$H4529="중복")</f>
        <v>0</v>
      </c>
      <c r="K4531" s="5" t="str">
        <f aca="false">IF($J4531=FALSE(),"",COUNTIF($J$6:$J4531,TRUE()))</f>
        <v/>
      </c>
      <c r="L4531" s="5" t="str">
        <f aca="false">IF($K4531="","","R"&amp;$K4531)</f>
        <v/>
      </c>
    </row>
    <row r="4532" customFormat="false" ht="15" hidden="false" customHeight="true" outlineLevel="0" collapsed="false">
      <c r="J4532" s="14" t="b">
        <f aca="false">IF(중복검사!$A4530="",FALSE(),중복검사!$H4530="중복")</f>
        <v>0</v>
      </c>
      <c r="K4532" s="5" t="str">
        <f aca="false">IF($J4532=FALSE(),"",COUNTIF($J$6:$J4532,TRUE()))</f>
        <v/>
      </c>
      <c r="L4532" s="5" t="str">
        <f aca="false">IF($K4532="","","R"&amp;$K4532)</f>
        <v/>
      </c>
    </row>
    <row r="4533" customFormat="false" ht="15" hidden="false" customHeight="true" outlineLevel="0" collapsed="false">
      <c r="J4533" s="14" t="b">
        <f aca="false">IF(중복검사!$A4531="",FALSE(),중복검사!$H4531="중복")</f>
        <v>0</v>
      </c>
      <c r="K4533" s="5" t="str">
        <f aca="false">IF($J4533=FALSE(),"",COUNTIF($J$6:$J4533,TRUE()))</f>
        <v/>
      </c>
      <c r="L4533" s="5" t="str">
        <f aca="false">IF($K4533="","","R"&amp;$K4533)</f>
        <v/>
      </c>
    </row>
    <row r="4534" customFormat="false" ht="15" hidden="false" customHeight="true" outlineLevel="0" collapsed="false">
      <c r="J4534" s="14" t="b">
        <f aca="false">IF(중복검사!$A4532="",FALSE(),중복검사!$H4532="중복")</f>
        <v>0</v>
      </c>
      <c r="K4534" s="5" t="str">
        <f aca="false">IF($J4534=FALSE(),"",COUNTIF($J$6:$J4534,TRUE()))</f>
        <v/>
      </c>
      <c r="L4534" s="5" t="str">
        <f aca="false">IF($K4534="","","R"&amp;$K4534)</f>
        <v/>
      </c>
    </row>
    <row r="4535" customFormat="false" ht="15" hidden="false" customHeight="true" outlineLevel="0" collapsed="false">
      <c r="J4535" s="14" t="b">
        <f aca="false">IF(중복검사!$A4533="",FALSE(),중복검사!$H4533="중복")</f>
        <v>0</v>
      </c>
      <c r="K4535" s="5" t="str">
        <f aca="false">IF($J4535=FALSE(),"",COUNTIF($J$6:$J4535,TRUE()))</f>
        <v/>
      </c>
      <c r="L4535" s="5" t="str">
        <f aca="false">IF($K4535="","","R"&amp;$K4535)</f>
        <v/>
      </c>
    </row>
    <row r="4536" customFormat="false" ht="15" hidden="false" customHeight="true" outlineLevel="0" collapsed="false">
      <c r="J4536" s="14" t="b">
        <f aca="false">IF(중복검사!$A4534="",FALSE(),중복검사!$H4534="중복")</f>
        <v>0</v>
      </c>
      <c r="K4536" s="5" t="str">
        <f aca="false">IF($J4536=FALSE(),"",COUNTIF($J$6:$J4536,TRUE()))</f>
        <v/>
      </c>
      <c r="L4536" s="5" t="str">
        <f aca="false">IF($K4536="","","R"&amp;$K4536)</f>
        <v/>
      </c>
    </row>
    <row r="4537" customFormat="false" ht="15" hidden="false" customHeight="true" outlineLevel="0" collapsed="false">
      <c r="J4537" s="14" t="b">
        <f aca="false">IF(중복검사!$A4535="",FALSE(),중복검사!$H4535="중복")</f>
        <v>0</v>
      </c>
      <c r="K4537" s="5" t="str">
        <f aca="false">IF($J4537=FALSE(),"",COUNTIF($J$6:$J4537,TRUE()))</f>
        <v/>
      </c>
      <c r="L4537" s="5" t="str">
        <f aca="false">IF($K4537="","","R"&amp;$K4537)</f>
        <v/>
      </c>
    </row>
    <row r="4538" customFormat="false" ht="15" hidden="false" customHeight="true" outlineLevel="0" collapsed="false">
      <c r="J4538" s="14" t="b">
        <f aca="false">IF(중복검사!$A4536="",FALSE(),중복검사!$H4536="중복")</f>
        <v>0</v>
      </c>
      <c r="K4538" s="5" t="str">
        <f aca="false">IF($J4538=FALSE(),"",COUNTIF($J$6:$J4538,TRUE()))</f>
        <v/>
      </c>
      <c r="L4538" s="5" t="str">
        <f aca="false">IF($K4538="","","R"&amp;$K4538)</f>
        <v/>
      </c>
    </row>
    <row r="4539" customFormat="false" ht="15" hidden="false" customHeight="true" outlineLevel="0" collapsed="false">
      <c r="J4539" s="14" t="b">
        <f aca="false">IF(중복검사!$A4537="",FALSE(),중복검사!$H4537="중복")</f>
        <v>0</v>
      </c>
      <c r="K4539" s="5" t="str">
        <f aca="false">IF($J4539=FALSE(),"",COUNTIF($J$6:$J4539,TRUE()))</f>
        <v/>
      </c>
      <c r="L4539" s="5" t="str">
        <f aca="false">IF($K4539="","","R"&amp;$K4539)</f>
        <v/>
      </c>
    </row>
    <row r="4540" customFormat="false" ht="15" hidden="false" customHeight="true" outlineLevel="0" collapsed="false">
      <c r="J4540" s="14" t="b">
        <f aca="false">IF(중복검사!$A4538="",FALSE(),중복검사!$H4538="중복")</f>
        <v>0</v>
      </c>
      <c r="K4540" s="5" t="str">
        <f aca="false">IF($J4540=FALSE(),"",COUNTIF($J$6:$J4540,TRUE()))</f>
        <v/>
      </c>
      <c r="L4540" s="5" t="str">
        <f aca="false">IF($K4540="","","R"&amp;$K4540)</f>
        <v/>
      </c>
    </row>
    <row r="4541" customFormat="false" ht="15" hidden="false" customHeight="true" outlineLevel="0" collapsed="false">
      <c r="J4541" s="14" t="b">
        <f aca="false">IF(중복검사!$A4539="",FALSE(),중복검사!$H4539="중복")</f>
        <v>0</v>
      </c>
      <c r="K4541" s="5" t="str">
        <f aca="false">IF($J4541=FALSE(),"",COUNTIF($J$6:$J4541,TRUE()))</f>
        <v/>
      </c>
      <c r="L4541" s="5" t="str">
        <f aca="false">IF($K4541="","","R"&amp;$K4541)</f>
        <v/>
      </c>
    </row>
    <row r="4542" customFormat="false" ht="15" hidden="false" customHeight="true" outlineLevel="0" collapsed="false">
      <c r="J4542" s="14" t="b">
        <f aca="false">IF(중복검사!$A4540="",FALSE(),중복검사!$H4540="중복")</f>
        <v>0</v>
      </c>
      <c r="K4542" s="5" t="str">
        <f aca="false">IF($J4542=FALSE(),"",COUNTIF($J$6:$J4542,TRUE()))</f>
        <v/>
      </c>
      <c r="L4542" s="5" t="str">
        <f aca="false">IF($K4542="","","R"&amp;$K4542)</f>
        <v/>
      </c>
    </row>
    <row r="4543" customFormat="false" ht="15" hidden="false" customHeight="true" outlineLevel="0" collapsed="false">
      <c r="J4543" s="14" t="b">
        <f aca="false">IF(중복검사!$A4541="",FALSE(),중복검사!$H4541="중복")</f>
        <v>0</v>
      </c>
      <c r="K4543" s="5" t="str">
        <f aca="false">IF($J4543=FALSE(),"",COUNTIF($J$6:$J4543,TRUE()))</f>
        <v/>
      </c>
      <c r="L4543" s="5" t="str">
        <f aca="false">IF($K4543="","","R"&amp;$K4543)</f>
        <v/>
      </c>
    </row>
    <row r="4544" customFormat="false" ht="15" hidden="false" customHeight="true" outlineLevel="0" collapsed="false">
      <c r="J4544" s="14" t="b">
        <f aca="false">IF(중복검사!$A4542="",FALSE(),중복검사!$H4542="중복")</f>
        <v>0</v>
      </c>
      <c r="K4544" s="5" t="str">
        <f aca="false">IF($J4544=FALSE(),"",COUNTIF($J$6:$J4544,TRUE()))</f>
        <v/>
      </c>
      <c r="L4544" s="5" t="str">
        <f aca="false">IF($K4544="","","R"&amp;$K4544)</f>
        <v/>
      </c>
    </row>
    <row r="4545" customFormat="false" ht="15" hidden="false" customHeight="true" outlineLevel="0" collapsed="false">
      <c r="J4545" s="14" t="b">
        <f aca="false">IF(중복검사!$A4543="",FALSE(),중복검사!$H4543="중복")</f>
        <v>0</v>
      </c>
      <c r="K4545" s="5" t="str">
        <f aca="false">IF($J4545=FALSE(),"",COUNTIF($J$6:$J4545,TRUE()))</f>
        <v/>
      </c>
      <c r="L4545" s="5" t="str">
        <f aca="false">IF($K4545="","","R"&amp;$K4545)</f>
        <v/>
      </c>
    </row>
    <row r="4546" customFormat="false" ht="15" hidden="false" customHeight="true" outlineLevel="0" collapsed="false">
      <c r="J4546" s="14" t="b">
        <f aca="false">IF(중복검사!$A4544="",FALSE(),중복검사!$H4544="중복")</f>
        <v>0</v>
      </c>
      <c r="K4546" s="5" t="str">
        <f aca="false">IF($J4546=FALSE(),"",COUNTIF($J$6:$J4546,TRUE()))</f>
        <v/>
      </c>
      <c r="L4546" s="5" t="str">
        <f aca="false">IF($K4546="","","R"&amp;$K4546)</f>
        <v/>
      </c>
    </row>
    <row r="4547" customFormat="false" ht="15" hidden="false" customHeight="true" outlineLevel="0" collapsed="false">
      <c r="J4547" s="14" t="b">
        <f aca="false">IF(중복검사!$A4545="",FALSE(),중복검사!$H4545="중복")</f>
        <v>0</v>
      </c>
      <c r="K4547" s="5" t="str">
        <f aca="false">IF($J4547=FALSE(),"",COUNTIF($J$6:$J4547,TRUE()))</f>
        <v/>
      </c>
      <c r="L4547" s="5" t="str">
        <f aca="false">IF($K4547="","","R"&amp;$K4547)</f>
        <v/>
      </c>
    </row>
    <row r="4548" customFormat="false" ht="15" hidden="false" customHeight="true" outlineLevel="0" collapsed="false">
      <c r="J4548" s="14" t="b">
        <f aca="false">IF(중복검사!$A4546="",FALSE(),중복검사!$H4546="중복")</f>
        <v>0</v>
      </c>
      <c r="K4548" s="5" t="str">
        <f aca="false">IF($J4548=FALSE(),"",COUNTIF($J$6:$J4548,TRUE()))</f>
        <v/>
      </c>
      <c r="L4548" s="5" t="str">
        <f aca="false">IF($K4548="","","R"&amp;$K4548)</f>
        <v/>
      </c>
    </row>
    <row r="4549" customFormat="false" ht="15" hidden="false" customHeight="true" outlineLevel="0" collapsed="false">
      <c r="J4549" s="14" t="b">
        <f aca="false">IF(중복검사!$A4547="",FALSE(),중복검사!$H4547="중복")</f>
        <v>0</v>
      </c>
      <c r="K4549" s="5" t="str">
        <f aca="false">IF($J4549=FALSE(),"",COUNTIF($J$6:$J4549,TRUE()))</f>
        <v/>
      </c>
      <c r="L4549" s="5" t="str">
        <f aca="false">IF($K4549="","","R"&amp;$K4549)</f>
        <v/>
      </c>
    </row>
    <row r="4550" customFormat="false" ht="15" hidden="false" customHeight="true" outlineLevel="0" collapsed="false">
      <c r="J4550" s="14" t="b">
        <f aca="false">IF(중복검사!$A4548="",FALSE(),중복검사!$H4548="중복")</f>
        <v>0</v>
      </c>
      <c r="K4550" s="5" t="str">
        <f aca="false">IF($J4550=FALSE(),"",COUNTIF($J$6:$J4550,TRUE()))</f>
        <v/>
      </c>
      <c r="L4550" s="5" t="str">
        <f aca="false">IF($K4550="","","R"&amp;$K4550)</f>
        <v/>
      </c>
    </row>
    <row r="4551" customFormat="false" ht="15" hidden="false" customHeight="true" outlineLevel="0" collapsed="false">
      <c r="J4551" s="14" t="b">
        <f aca="false">IF(중복검사!$A4549="",FALSE(),중복검사!$H4549="중복")</f>
        <v>0</v>
      </c>
      <c r="K4551" s="5" t="str">
        <f aca="false">IF($J4551=FALSE(),"",COUNTIF($J$6:$J4551,TRUE()))</f>
        <v/>
      </c>
      <c r="L4551" s="5" t="str">
        <f aca="false">IF($K4551="","","R"&amp;$K4551)</f>
        <v/>
      </c>
    </row>
    <row r="4552" customFormat="false" ht="15" hidden="false" customHeight="true" outlineLevel="0" collapsed="false">
      <c r="J4552" s="14" t="b">
        <f aca="false">IF(중복검사!$A4550="",FALSE(),중복검사!$H4550="중복")</f>
        <v>0</v>
      </c>
      <c r="K4552" s="5" t="str">
        <f aca="false">IF($J4552=FALSE(),"",COUNTIF($J$6:$J4552,TRUE()))</f>
        <v/>
      </c>
      <c r="L4552" s="5" t="str">
        <f aca="false">IF($K4552="","","R"&amp;$K4552)</f>
        <v/>
      </c>
    </row>
    <row r="4553" customFormat="false" ht="15" hidden="false" customHeight="true" outlineLevel="0" collapsed="false">
      <c r="J4553" s="14" t="b">
        <f aca="false">IF(중복검사!$A4551="",FALSE(),중복검사!$H4551="중복")</f>
        <v>0</v>
      </c>
      <c r="K4553" s="5" t="str">
        <f aca="false">IF($J4553=FALSE(),"",COUNTIF($J$6:$J4553,TRUE()))</f>
        <v/>
      </c>
      <c r="L4553" s="5" t="str">
        <f aca="false">IF($K4553="","","R"&amp;$K4553)</f>
        <v/>
      </c>
    </row>
    <row r="4554" customFormat="false" ht="15" hidden="false" customHeight="true" outlineLevel="0" collapsed="false">
      <c r="J4554" s="14" t="b">
        <f aca="false">IF(중복검사!$A4552="",FALSE(),중복검사!$H4552="중복")</f>
        <v>0</v>
      </c>
      <c r="K4554" s="5" t="str">
        <f aca="false">IF($J4554=FALSE(),"",COUNTIF($J$6:$J4554,TRUE()))</f>
        <v/>
      </c>
      <c r="L4554" s="5" t="str">
        <f aca="false">IF($K4554="","","R"&amp;$K4554)</f>
        <v/>
      </c>
    </row>
    <row r="4555" customFormat="false" ht="15" hidden="false" customHeight="true" outlineLevel="0" collapsed="false">
      <c r="J4555" s="14" t="b">
        <f aca="false">IF(중복검사!$A4553="",FALSE(),중복검사!$H4553="중복")</f>
        <v>0</v>
      </c>
      <c r="K4555" s="5" t="str">
        <f aca="false">IF($J4555=FALSE(),"",COUNTIF($J$6:$J4555,TRUE()))</f>
        <v/>
      </c>
      <c r="L4555" s="5" t="str">
        <f aca="false">IF($K4555="","","R"&amp;$K4555)</f>
        <v/>
      </c>
    </row>
    <row r="4556" customFormat="false" ht="15" hidden="false" customHeight="true" outlineLevel="0" collapsed="false">
      <c r="J4556" s="14" t="b">
        <f aca="false">IF(중복검사!$A4554="",FALSE(),중복검사!$H4554="중복")</f>
        <v>0</v>
      </c>
      <c r="K4556" s="5" t="str">
        <f aca="false">IF($J4556=FALSE(),"",COUNTIF($J$6:$J4556,TRUE()))</f>
        <v/>
      </c>
      <c r="L4556" s="5" t="str">
        <f aca="false">IF($K4556="","","R"&amp;$K4556)</f>
        <v/>
      </c>
    </row>
    <row r="4557" customFormat="false" ht="15" hidden="false" customHeight="true" outlineLevel="0" collapsed="false">
      <c r="J4557" s="14" t="b">
        <f aca="false">IF(중복검사!$A4555="",FALSE(),중복검사!$H4555="중복")</f>
        <v>0</v>
      </c>
      <c r="K4557" s="5" t="str">
        <f aca="false">IF($J4557=FALSE(),"",COUNTIF($J$6:$J4557,TRUE()))</f>
        <v/>
      </c>
      <c r="L4557" s="5" t="str">
        <f aca="false">IF($K4557="","","R"&amp;$K4557)</f>
        <v/>
      </c>
    </row>
    <row r="4558" customFormat="false" ht="15" hidden="false" customHeight="true" outlineLevel="0" collapsed="false">
      <c r="J4558" s="14" t="b">
        <f aca="false">IF(중복검사!$A4556="",FALSE(),중복검사!$H4556="중복")</f>
        <v>0</v>
      </c>
      <c r="K4558" s="5" t="str">
        <f aca="false">IF($J4558=FALSE(),"",COUNTIF($J$6:$J4558,TRUE()))</f>
        <v/>
      </c>
      <c r="L4558" s="5" t="str">
        <f aca="false">IF($K4558="","","R"&amp;$K4558)</f>
        <v/>
      </c>
    </row>
    <row r="4559" customFormat="false" ht="15" hidden="false" customHeight="true" outlineLevel="0" collapsed="false">
      <c r="J4559" s="14" t="b">
        <f aca="false">IF(중복검사!$A4557="",FALSE(),중복검사!$H4557="중복")</f>
        <v>0</v>
      </c>
      <c r="K4559" s="5" t="str">
        <f aca="false">IF($J4559=FALSE(),"",COUNTIF($J$6:$J4559,TRUE()))</f>
        <v/>
      </c>
      <c r="L4559" s="5" t="str">
        <f aca="false">IF($K4559="","","R"&amp;$K4559)</f>
        <v/>
      </c>
    </row>
    <row r="4560" customFormat="false" ht="15" hidden="false" customHeight="true" outlineLevel="0" collapsed="false">
      <c r="J4560" s="14" t="b">
        <f aca="false">IF(중복검사!$A4558="",FALSE(),중복검사!$H4558="중복")</f>
        <v>0</v>
      </c>
      <c r="K4560" s="5" t="str">
        <f aca="false">IF($J4560=FALSE(),"",COUNTIF($J$6:$J4560,TRUE()))</f>
        <v/>
      </c>
      <c r="L4560" s="5" t="str">
        <f aca="false">IF($K4560="","","R"&amp;$K4560)</f>
        <v/>
      </c>
    </row>
    <row r="4561" customFormat="false" ht="15" hidden="false" customHeight="true" outlineLevel="0" collapsed="false">
      <c r="J4561" s="14" t="b">
        <f aca="false">IF(중복검사!$A4559="",FALSE(),중복검사!$H4559="중복")</f>
        <v>0</v>
      </c>
      <c r="K4561" s="5" t="str">
        <f aca="false">IF($J4561=FALSE(),"",COUNTIF($J$6:$J4561,TRUE()))</f>
        <v/>
      </c>
      <c r="L4561" s="5" t="str">
        <f aca="false">IF($K4561="","","R"&amp;$K4561)</f>
        <v/>
      </c>
    </row>
    <row r="4562" customFormat="false" ht="15" hidden="false" customHeight="true" outlineLevel="0" collapsed="false">
      <c r="J4562" s="14" t="b">
        <f aca="false">IF(중복검사!$A4560="",FALSE(),중복검사!$H4560="중복")</f>
        <v>0</v>
      </c>
      <c r="K4562" s="5" t="str">
        <f aca="false">IF($J4562=FALSE(),"",COUNTIF($J$6:$J4562,TRUE()))</f>
        <v/>
      </c>
      <c r="L4562" s="5" t="str">
        <f aca="false">IF($K4562="","","R"&amp;$K4562)</f>
        <v/>
      </c>
    </row>
    <row r="4563" customFormat="false" ht="15" hidden="false" customHeight="true" outlineLevel="0" collapsed="false">
      <c r="J4563" s="14" t="b">
        <f aca="false">IF(중복검사!$A4561="",FALSE(),중복검사!$H4561="중복")</f>
        <v>0</v>
      </c>
      <c r="K4563" s="5" t="str">
        <f aca="false">IF($J4563=FALSE(),"",COUNTIF($J$6:$J4563,TRUE()))</f>
        <v/>
      </c>
      <c r="L4563" s="5" t="str">
        <f aca="false">IF($K4563="","","R"&amp;$K4563)</f>
        <v/>
      </c>
    </row>
    <row r="4564" customFormat="false" ht="15" hidden="false" customHeight="true" outlineLevel="0" collapsed="false">
      <c r="J4564" s="14" t="b">
        <f aca="false">IF(중복검사!$A4562="",FALSE(),중복검사!$H4562="중복")</f>
        <v>0</v>
      </c>
      <c r="K4564" s="5" t="str">
        <f aca="false">IF($J4564=FALSE(),"",COUNTIF($J$6:$J4564,TRUE()))</f>
        <v/>
      </c>
      <c r="L4564" s="5" t="str">
        <f aca="false">IF($K4564="","","R"&amp;$K4564)</f>
        <v/>
      </c>
    </row>
    <row r="4565" customFormat="false" ht="15" hidden="false" customHeight="true" outlineLevel="0" collapsed="false">
      <c r="J4565" s="14" t="b">
        <f aca="false">IF(중복검사!$A4563="",FALSE(),중복검사!$H4563="중복")</f>
        <v>0</v>
      </c>
      <c r="K4565" s="5" t="str">
        <f aca="false">IF($J4565=FALSE(),"",COUNTIF($J$6:$J4565,TRUE()))</f>
        <v/>
      </c>
      <c r="L4565" s="5" t="str">
        <f aca="false">IF($K4565="","","R"&amp;$K4565)</f>
        <v/>
      </c>
    </row>
    <row r="4566" customFormat="false" ht="15" hidden="false" customHeight="true" outlineLevel="0" collapsed="false">
      <c r="J4566" s="14" t="b">
        <f aca="false">IF(중복검사!$A4564="",FALSE(),중복검사!$H4564="중복")</f>
        <v>0</v>
      </c>
      <c r="K4566" s="5" t="str">
        <f aca="false">IF($J4566=FALSE(),"",COUNTIF($J$6:$J4566,TRUE()))</f>
        <v/>
      </c>
      <c r="L4566" s="5" t="str">
        <f aca="false">IF($K4566="","","R"&amp;$K4566)</f>
        <v/>
      </c>
    </row>
    <row r="4567" customFormat="false" ht="15" hidden="false" customHeight="true" outlineLevel="0" collapsed="false">
      <c r="J4567" s="14" t="b">
        <f aca="false">IF(중복검사!$A4565="",FALSE(),중복검사!$H4565="중복")</f>
        <v>0</v>
      </c>
      <c r="K4567" s="5" t="str">
        <f aca="false">IF($J4567=FALSE(),"",COUNTIF($J$6:$J4567,TRUE()))</f>
        <v/>
      </c>
      <c r="L4567" s="5" t="str">
        <f aca="false">IF($K4567="","","R"&amp;$K4567)</f>
        <v/>
      </c>
    </row>
    <row r="4568" customFormat="false" ht="15" hidden="false" customHeight="true" outlineLevel="0" collapsed="false">
      <c r="J4568" s="14" t="b">
        <f aca="false">IF(중복검사!$A4566="",FALSE(),중복검사!$H4566="중복")</f>
        <v>0</v>
      </c>
      <c r="K4568" s="5" t="str">
        <f aca="false">IF($J4568=FALSE(),"",COUNTIF($J$6:$J4568,TRUE()))</f>
        <v/>
      </c>
      <c r="L4568" s="5" t="str">
        <f aca="false">IF($K4568="","","R"&amp;$K4568)</f>
        <v/>
      </c>
    </row>
    <row r="4569" customFormat="false" ht="15" hidden="false" customHeight="true" outlineLevel="0" collapsed="false">
      <c r="J4569" s="14" t="b">
        <f aca="false">IF(중복검사!$A4567="",FALSE(),중복검사!$H4567="중복")</f>
        <v>0</v>
      </c>
      <c r="K4569" s="5" t="str">
        <f aca="false">IF($J4569=FALSE(),"",COUNTIF($J$6:$J4569,TRUE()))</f>
        <v/>
      </c>
      <c r="L4569" s="5" t="str">
        <f aca="false">IF($K4569="","","R"&amp;$K4569)</f>
        <v/>
      </c>
    </row>
    <row r="4570" customFormat="false" ht="15" hidden="false" customHeight="true" outlineLevel="0" collapsed="false">
      <c r="J4570" s="14" t="b">
        <f aca="false">IF(중복검사!$A4568="",FALSE(),중복검사!$H4568="중복")</f>
        <v>0</v>
      </c>
      <c r="K4570" s="5" t="str">
        <f aca="false">IF($J4570=FALSE(),"",COUNTIF($J$6:$J4570,TRUE()))</f>
        <v/>
      </c>
      <c r="L4570" s="5" t="str">
        <f aca="false">IF($K4570="","","R"&amp;$K4570)</f>
        <v/>
      </c>
    </row>
    <row r="4571" customFormat="false" ht="15" hidden="false" customHeight="true" outlineLevel="0" collapsed="false">
      <c r="J4571" s="14" t="b">
        <f aca="false">IF(중복검사!$A4569="",FALSE(),중복검사!$H4569="중복")</f>
        <v>0</v>
      </c>
      <c r="K4571" s="5" t="str">
        <f aca="false">IF($J4571=FALSE(),"",COUNTIF($J$6:$J4571,TRUE()))</f>
        <v/>
      </c>
      <c r="L4571" s="5" t="str">
        <f aca="false">IF($K4571="","","R"&amp;$K4571)</f>
        <v/>
      </c>
    </row>
    <row r="4572" customFormat="false" ht="15" hidden="false" customHeight="true" outlineLevel="0" collapsed="false">
      <c r="J4572" s="14" t="b">
        <f aca="false">IF(중복검사!$A4570="",FALSE(),중복검사!$H4570="중복")</f>
        <v>0</v>
      </c>
      <c r="K4572" s="5" t="str">
        <f aca="false">IF($J4572=FALSE(),"",COUNTIF($J$6:$J4572,TRUE()))</f>
        <v/>
      </c>
      <c r="L4572" s="5" t="str">
        <f aca="false">IF($K4572="","","R"&amp;$K4572)</f>
        <v/>
      </c>
    </row>
    <row r="4573" customFormat="false" ht="15" hidden="false" customHeight="true" outlineLevel="0" collapsed="false">
      <c r="J4573" s="14" t="b">
        <f aca="false">IF(중복검사!$A4571="",FALSE(),중복검사!$H4571="중복")</f>
        <v>0</v>
      </c>
      <c r="K4573" s="5" t="str">
        <f aca="false">IF($J4573=FALSE(),"",COUNTIF($J$6:$J4573,TRUE()))</f>
        <v/>
      </c>
      <c r="L4573" s="5" t="str">
        <f aca="false">IF($K4573="","","R"&amp;$K4573)</f>
        <v/>
      </c>
    </row>
    <row r="4574" customFormat="false" ht="15" hidden="false" customHeight="true" outlineLevel="0" collapsed="false">
      <c r="J4574" s="14" t="b">
        <f aca="false">IF(중복검사!$A4572="",FALSE(),중복검사!$H4572="중복")</f>
        <v>0</v>
      </c>
      <c r="K4574" s="5" t="str">
        <f aca="false">IF($J4574=FALSE(),"",COUNTIF($J$6:$J4574,TRUE()))</f>
        <v/>
      </c>
      <c r="L4574" s="5" t="str">
        <f aca="false">IF($K4574="","","R"&amp;$K4574)</f>
        <v/>
      </c>
    </row>
    <row r="4575" customFormat="false" ht="15" hidden="false" customHeight="true" outlineLevel="0" collapsed="false">
      <c r="J4575" s="14" t="b">
        <f aca="false">IF(중복검사!$A4573="",FALSE(),중복검사!$H4573="중복")</f>
        <v>0</v>
      </c>
      <c r="K4575" s="5" t="str">
        <f aca="false">IF($J4575=FALSE(),"",COUNTIF($J$6:$J4575,TRUE()))</f>
        <v/>
      </c>
      <c r="L4575" s="5" t="str">
        <f aca="false">IF($K4575="","","R"&amp;$K4575)</f>
        <v/>
      </c>
    </row>
    <row r="4576" customFormat="false" ht="15" hidden="false" customHeight="true" outlineLevel="0" collapsed="false">
      <c r="J4576" s="14" t="b">
        <f aca="false">IF(중복검사!$A4574="",FALSE(),중복검사!$H4574="중복")</f>
        <v>0</v>
      </c>
      <c r="K4576" s="5" t="str">
        <f aca="false">IF($J4576=FALSE(),"",COUNTIF($J$6:$J4576,TRUE()))</f>
        <v/>
      </c>
      <c r="L4576" s="5" t="str">
        <f aca="false">IF($K4576="","","R"&amp;$K4576)</f>
        <v/>
      </c>
    </row>
    <row r="4577" customFormat="false" ht="15" hidden="false" customHeight="true" outlineLevel="0" collapsed="false">
      <c r="J4577" s="14" t="b">
        <f aca="false">IF(중복검사!$A4575="",FALSE(),중복검사!$H4575="중복")</f>
        <v>0</v>
      </c>
      <c r="K4577" s="5" t="str">
        <f aca="false">IF($J4577=FALSE(),"",COUNTIF($J$6:$J4577,TRUE()))</f>
        <v/>
      </c>
      <c r="L4577" s="5" t="str">
        <f aca="false">IF($K4577="","","R"&amp;$K4577)</f>
        <v/>
      </c>
    </row>
    <row r="4578" customFormat="false" ht="15" hidden="false" customHeight="true" outlineLevel="0" collapsed="false">
      <c r="J4578" s="14" t="b">
        <f aca="false">IF(중복검사!$A4576="",FALSE(),중복검사!$H4576="중복")</f>
        <v>0</v>
      </c>
      <c r="K4578" s="5" t="str">
        <f aca="false">IF($J4578=FALSE(),"",COUNTIF($J$6:$J4578,TRUE()))</f>
        <v/>
      </c>
      <c r="L4578" s="5" t="str">
        <f aca="false">IF($K4578="","","R"&amp;$K4578)</f>
        <v/>
      </c>
    </row>
    <row r="4579" customFormat="false" ht="15" hidden="false" customHeight="true" outlineLevel="0" collapsed="false">
      <c r="J4579" s="14" t="b">
        <f aca="false">IF(중복검사!$A4577="",FALSE(),중복검사!$H4577="중복")</f>
        <v>0</v>
      </c>
      <c r="K4579" s="5" t="str">
        <f aca="false">IF($J4579=FALSE(),"",COUNTIF($J$6:$J4579,TRUE()))</f>
        <v/>
      </c>
      <c r="L4579" s="5" t="str">
        <f aca="false">IF($K4579="","","R"&amp;$K4579)</f>
        <v/>
      </c>
    </row>
    <row r="4580" customFormat="false" ht="15" hidden="false" customHeight="true" outlineLevel="0" collapsed="false">
      <c r="J4580" s="14" t="b">
        <f aca="false">IF(중복검사!$A4578="",FALSE(),중복검사!$H4578="중복")</f>
        <v>0</v>
      </c>
      <c r="K4580" s="5" t="str">
        <f aca="false">IF($J4580=FALSE(),"",COUNTIF($J$6:$J4580,TRUE()))</f>
        <v/>
      </c>
      <c r="L4580" s="5" t="str">
        <f aca="false">IF($K4580="","","R"&amp;$K4580)</f>
        <v/>
      </c>
    </row>
    <row r="4581" customFormat="false" ht="15" hidden="false" customHeight="true" outlineLevel="0" collapsed="false">
      <c r="J4581" s="14" t="b">
        <f aca="false">IF(중복검사!$A4579="",FALSE(),중복검사!$H4579="중복")</f>
        <v>0</v>
      </c>
      <c r="K4581" s="5" t="str">
        <f aca="false">IF($J4581=FALSE(),"",COUNTIF($J$6:$J4581,TRUE()))</f>
        <v/>
      </c>
      <c r="L4581" s="5" t="str">
        <f aca="false">IF($K4581="","","R"&amp;$K4581)</f>
        <v/>
      </c>
    </row>
    <row r="4582" customFormat="false" ht="15" hidden="false" customHeight="true" outlineLevel="0" collapsed="false">
      <c r="J4582" s="14" t="b">
        <f aca="false">IF(중복검사!$A4580="",FALSE(),중복검사!$H4580="중복")</f>
        <v>0</v>
      </c>
      <c r="K4582" s="5" t="str">
        <f aca="false">IF($J4582=FALSE(),"",COUNTIF($J$6:$J4582,TRUE()))</f>
        <v/>
      </c>
      <c r="L4582" s="5" t="str">
        <f aca="false">IF($K4582="","","R"&amp;$K4582)</f>
        <v/>
      </c>
    </row>
    <row r="4583" customFormat="false" ht="15" hidden="false" customHeight="true" outlineLevel="0" collapsed="false">
      <c r="J4583" s="14" t="b">
        <f aca="false">IF(중복검사!$A4581="",FALSE(),중복검사!$H4581="중복")</f>
        <v>0</v>
      </c>
      <c r="K4583" s="5" t="str">
        <f aca="false">IF($J4583=FALSE(),"",COUNTIF($J$6:$J4583,TRUE()))</f>
        <v/>
      </c>
      <c r="L4583" s="5" t="str">
        <f aca="false">IF($K4583="","","R"&amp;$K4583)</f>
        <v/>
      </c>
    </row>
    <row r="4584" customFormat="false" ht="15" hidden="false" customHeight="true" outlineLevel="0" collapsed="false">
      <c r="J4584" s="14" t="b">
        <f aca="false">IF(중복검사!$A4582="",FALSE(),중복검사!$H4582="중복")</f>
        <v>0</v>
      </c>
      <c r="K4584" s="5" t="str">
        <f aca="false">IF($J4584=FALSE(),"",COUNTIF($J$6:$J4584,TRUE()))</f>
        <v/>
      </c>
      <c r="L4584" s="5" t="str">
        <f aca="false">IF($K4584="","","R"&amp;$K4584)</f>
        <v/>
      </c>
    </row>
    <row r="4585" customFormat="false" ht="15" hidden="false" customHeight="true" outlineLevel="0" collapsed="false">
      <c r="J4585" s="14" t="b">
        <f aca="false">IF(중복검사!$A4583="",FALSE(),중복검사!$H4583="중복")</f>
        <v>0</v>
      </c>
      <c r="K4585" s="5" t="str">
        <f aca="false">IF($J4585=FALSE(),"",COUNTIF($J$6:$J4585,TRUE()))</f>
        <v/>
      </c>
      <c r="L4585" s="5" t="str">
        <f aca="false">IF($K4585="","","R"&amp;$K4585)</f>
        <v/>
      </c>
    </row>
    <row r="4586" customFormat="false" ht="15" hidden="false" customHeight="true" outlineLevel="0" collapsed="false">
      <c r="J4586" s="14" t="b">
        <f aca="false">IF(중복검사!$A4584="",FALSE(),중복검사!$H4584="중복")</f>
        <v>0</v>
      </c>
      <c r="K4586" s="5" t="str">
        <f aca="false">IF($J4586=FALSE(),"",COUNTIF($J$6:$J4586,TRUE()))</f>
        <v/>
      </c>
      <c r="L4586" s="5" t="str">
        <f aca="false">IF($K4586="","","R"&amp;$K4586)</f>
        <v/>
      </c>
    </row>
    <row r="4587" customFormat="false" ht="15" hidden="false" customHeight="true" outlineLevel="0" collapsed="false">
      <c r="J4587" s="14" t="b">
        <f aca="false">IF(중복검사!$A4585="",FALSE(),중복검사!$H4585="중복")</f>
        <v>0</v>
      </c>
      <c r="K4587" s="5" t="str">
        <f aca="false">IF($J4587=FALSE(),"",COUNTIF($J$6:$J4587,TRUE()))</f>
        <v/>
      </c>
      <c r="L4587" s="5" t="str">
        <f aca="false">IF($K4587="","","R"&amp;$K4587)</f>
        <v/>
      </c>
    </row>
    <row r="4588" customFormat="false" ht="15" hidden="false" customHeight="true" outlineLevel="0" collapsed="false">
      <c r="J4588" s="14" t="b">
        <f aca="false">IF(중복검사!$A4586="",FALSE(),중복검사!$H4586="중복")</f>
        <v>0</v>
      </c>
      <c r="K4588" s="5" t="str">
        <f aca="false">IF($J4588=FALSE(),"",COUNTIF($J$6:$J4588,TRUE()))</f>
        <v/>
      </c>
      <c r="L4588" s="5" t="str">
        <f aca="false">IF($K4588="","","R"&amp;$K4588)</f>
        <v/>
      </c>
    </row>
    <row r="4589" customFormat="false" ht="15" hidden="false" customHeight="true" outlineLevel="0" collapsed="false">
      <c r="J4589" s="14" t="b">
        <f aca="false">IF(중복검사!$A4587="",FALSE(),중복검사!$H4587="중복")</f>
        <v>0</v>
      </c>
      <c r="K4589" s="5" t="str">
        <f aca="false">IF($J4589=FALSE(),"",COUNTIF($J$6:$J4589,TRUE()))</f>
        <v/>
      </c>
      <c r="L4589" s="5" t="str">
        <f aca="false">IF($K4589="","","R"&amp;$K4589)</f>
        <v/>
      </c>
    </row>
    <row r="4590" customFormat="false" ht="15" hidden="false" customHeight="true" outlineLevel="0" collapsed="false">
      <c r="J4590" s="14" t="b">
        <f aca="false">IF(중복검사!$A4588="",FALSE(),중복검사!$H4588="중복")</f>
        <v>0</v>
      </c>
      <c r="K4590" s="5" t="str">
        <f aca="false">IF($J4590=FALSE(),"",COUNTIF($J$6:$J4590,TRUE()))</f>
        <v/>
      </c>
      <c r="L4590" s="5" t="str">
        <f aca="false">IF($K4590="","","R"&amp;$K4590)</f>
        <v/>
      </c>
    </row>
    <row r="4591" customFormat="false" ht="15" hidden="false" customHeight="true" outlineLevel="0" collapsed="false">
      <c r="J4591" s="14" t="b">
        <f aca="false">IF(중복검사!$A4589="",FALSE(),중복검사!$H4589="중복")</f>
        <v>0</v>
      </c>
      <c r="K4591" s="5" t="str">
        <f aca="false">IF($J4591=FALSE(),"",COUNTIF($J$6:$J4591,TRUE()))</f>
        <v/>
      </c>
      <c r="L4591" s="5" t="str">
        <f aca="false">IF($K4591="","","R"&amp;$K4591)</f>
        <v/>
      </c>
    </row>
    <row r="4592" customFormat="false" ht="15" hidden="false" customHeight="true" outlineLevel="0" collapsed="false">
      <c r="J4592" s="14" t="b">
        <f aca="false">IF(중복검사!$A4590="",FALSE(),중복검사!$H4590="중복")</f>
        <v>0</v>
      </c>
      <c r="K4592" s="5" t="str">
        <f aca="false">IF($J4592=FALSE(),"",COUNTIF($J$6:$J4592,TRUE()))</f>
        <v/>
      </c>
      <c r="L4592" s="5" t="str">
        <f aca="false">IF($K4592="","","R"&amp;$K4592)</f>
        <v/>
      </c>
    </row>
    <row r="4593" customFormat="false" ht="15" hidden="false" customHeight="true" outlineLevel="0" collapsed="false">
      <c r="J4593" s="14" t="b">
        <f aca="false">IF(중복검사!$A4591="",FALSE(),중복검사!$H4591="중복")</f>
        <v>0</v>
      </c>
      <c r="K4593" s="5" t="str">
        <f aca="false">IF($J4593=FALSE(),"",COUNTIF($J$6:$J4593,TRUE()))</f>
        <v/>
      </c>
      <c r="L4593" s="5" t="str">
        <f aca="false">IF($K4593="","","R"&amp;$K4593)</f>
        <v/>
      </c>
    </row>
    <row r="4594" customFormat="false" ht="15" hidden="false" customHeight="true" outlineLevel="0" collapsed="false">
      <c r="J4594" s="14" t="b">
        <f aca="false">IF(중복검사!$A4592="",FALSE(),중복검사!$H4592="중복")</f>
        <v>0</v>
      </c>
      <c r="K4594" s="5" t="str">
        <f aca="false">IF($J4594=FALSE(),"",COUNTIF($J$6:$J4594,TRUE()))</f>
        <v/>
      </c>
      <c r="L4594" s="5" t="str">
        <f aca="false">IF($K4594="","","R"&amp;$K4594)</f>
        <v/>
      </c>
    </row>
    <row r="4595" customFormat="false" ht="15" hidden="false" customHeight="true" outlineLevel="0" collapsed="false">
      <c r="J4595" s="14" t="b">
        <f aca="false">IF(중복검사!$A4593="",FALSE(),중복검사!$H4593="중복")</f>
        <v>0</v>
      </c>
      <c r="K4595" s="5" t="str">
        <f aca="false">IF($J4595=FALSE(),"",COUNTIF($J$6:$J4595,TRUE()))</f>
        <v/>
      </c>
      <c r="L4595" s="5" t="str">
        <f aca="false">IF($K4595="","","R"&amp;$K4595)</f>
        <v/>
      </c>
    </row>
    <row r="4596" customFormat="false" ht="15" hidden="false" customHeight="true" outlineLevel="0" collapsed="false">
      <c r="J4596" s="14" t="b">
        <f aca="false">IF(중복검사!$A4594="",FALSE(),중복검사!$H4594="중복")</f>
        <v>0</v>
      </c>
      <c r="K4596" s="5" t="str">
        <f aca="false">IF($J4596=FALSE(),"",COUNTIF($J$6:$J4596,TRUE()))</f>
        <v/>
      </c>
      <c r="L4596" s="5" t="str">
        <f aca="false">IF($K4596="","","R"&amp;$K4596)</f>
        <v/>
      </c>
    </row>
    <row r="4597" customFormat="false" ht="15" hidden="false" customHeight="true" outlineLevel="0" collapsed="false">
      <c r="J4597" s="14" t="b">
        <f aca="false">IF(중복검사!$A4595="",FALSE(),중복검사!$H4595="중복")</f>
        <v>0</v>
      </c>
      <c r="K4597" s="5" t="str">
        <f aca="false">IF($J4597=FALSE(),"",COUNTIF($J$6:$J4597,TRUE()))</f>
        <v/>
      </c>
      <c r="L4597" s="5" t="str">
        <f aca="false">IF($K4597="","","R"&amp;$K4597)</f>
        <v/>
      </c>
    </row>
    <row r="4598" customFormat="false" ht="15" hidden="false" customHeight="true" outlineLevel="0" collapsed="false">
      <c r="J4598" s="14" t="b">
        <f aca="false">IF(중복검사!$A4596="",FALSE(),중복검사!$H4596="중복")</f>
        <v>0</v>
      </c>
      <c r="K4598" s="5" t="str">
        <f aca="false">IF($J4598=FALSE(),"",COUNTIF($J$6:$J4598,TRUE()))</f>
        <v/>
      </c>
      <c r="L4598" s="5" t="str">
        <f aca="false">IF($K4598="","","R"&amp;$K4598)</f>
        <v/>
      </c>
    </row>
    <row r="4599" customFormat="false" ht="15" hidden="false" customHeight="true" outlineLevel="0" collapsed="false">
      <c r="J4599" s="14" t="b">
        <f aca="false">IF(중복검사!$A4597="",FALSE(),중복검사!$H4597="중복")</f>
        <v>0</v>
      </c>
      <c r="K4599" s="5" t="str">
        <f aca="false">IF($J4599=FALSE(),"",COUNTIF($J$6:$J4599,TRUE()))</f>
        <v/>
      </c>
      <c r="L4599" s="5" t="str">
        <f aca="false">IF($K4599="","","R"&amp;$K4599)</f>
        <v/>
      </c>
    </row>
    <row r="4600" customFormat="false" ht="15" hidden="false" customHeight="true" outlineLevel="0" collapsed="false">
      <c r="J4600" s="14" t="b">
        <f aca="false">IF(중복검사!$A4598="",FALSE(),중복검사!$H4598="중복")</f>
        <v>0</v>
      </c>
      <c r="K4600" s="5" t="str">
        <f aca="false">IF($J4600=FALSE(),"",COUNTIF($J$6:$J4600,TRUE()))</f>
        <v/>
      </c>
      <c r="L4600" s="5" t="str">
        <f aca="false">IF($K4600="","","R"&amp;$K4600)</f>
        <v/>
      </c>
    </row>
    <row r="4601" customFormat="false" ht="15" hidden="false" customHeight="true" outlineLevel="0" collapsed="false">
      <c r="J4601" s="14" t="b">
        <f aca="false">IF(중복검사!$A4599="",FALSE(),중복검사!$H4599="중복")</f>
        <v>0</v>
      </c>
      <c r="K4601" s="5" t="str">
        <f aca="false">IF($J4601=FALSE(),"",COUNTIF($J$6:$J4601,TRUE()))</f>
        <v/>
      </c>
      <c r="L4601" s="5" t="str">
        <f aca="false">IF($K4601="","","R"&amp;$K4601)</f>
        <v/>
      </c>
    </row>
    <row r="4602" customFormat="false" ht="15" hidden="false" customHeight="true" outlineLevel="0" collapsed="false">
      <c r="J4602" s="14" t="b">
        <f aca="false">IF(중복검사!$A4600="",FALSE(),중복검사!$H4600="중복")</f>
        <v>0</v>
      </c>
      <c r="K4602" s="5" t="str">
        <f aca="false">IF($J4602=FALSE(),"",COUNTIF($J$6:$J4602,TRUE()))</f>
        <v/>
      </c>
      <c r="L4602" s="5" t="str">
        <f aca="false">IF($K4602="","","R"&amp;$K4602)</f>
        <v/>
      </c>
    </row>
    <row r="4603" customFormat="false" ht="15" hidden="false" customHeight="true" outlineLevel="0" collapsed="false">
      <c r="J4603" s="14" t="b">
        <f aca="false">IF(중복검사!$A4601="",FALSE(),중복검사!$H4601="중복")</f>
        <v>0</v>
      </c>
      <c r="K4603" s="5" t="str">
        <f aca="false">IF($J4603=FALSE(),"",COUNTIF($J$6:$J4603,TRUE()))</f>
        <v/>
      </c>
      <c r="L4603" s="5" t="str">
        <f aca="false">IF($K4603="","","R"&amp;$K4603)</f>
        <v/>
      </c>
    </row>
    <row r="4604" customFormat="false" ht="15" hidden="false" customHeight="true" outlineLevel="0" collapsed="false">
      <c r="J4604" s="14" t="b">
        <f aca="false">IF(중복검사!$A4602="",FALSE(),중복검사!$H4602="중복")</f>
        <v>0</v>
      </c>
      <c r="K4604" s="5" t="str">
        <f aca="false">IF($J4604=FALSE(),"",COUNTIF($J$6:$J4604,TRUE()))</f>
        <v/>
      </c>
      <c r="L4604" s="5" t="str">
        <f aca="false">IF($K4604="","","R"&amp;$K4604)</f>
        <v/>
      </c>
    </row>
    <row r="4605" customFormat="false" ht="15" hidden="false" customHeight="true" outlineLevel="0" collapsed="false">
      <c r="J4605" s="14" t="b">
        <f aca="false">IF(중복검사!$A4603="",FALSE(),중복검사!$H4603="중복")</f>
        <v>0</v>
      </c>
      <c r="K4605" s="5" t="str">
        <f aca="false">IF($J4605=FALSE(),"",COUNTIF($J$6:$J4605,TRUE()))</f>
        <v/>
      </c>
      <c r="L4605" s="5" t="str">
        <f aca="false">IF($K4605="","","R"&amp;$K4605)</f>
        <v/>
      </c>
    </row>
    <row r="4606" customFormat="false" ht="15" hidden="false" customHeight="true" outlineLevel="0" collapsed="false">
      <c r="J4606" s="14" t="b">
        <f aca="false">IF(중복검사!$A4604="",FALSE(),중복검사!$H4604="중복")</f>
        <v>0</v>
      </c>
      <c r="K4606" s="5" t="str">
        <f aca="false">IF($J4606=FALSE(),"",COUNTIF($J$6:$J4606,TRUE()))</f>
        <v/>
      </c>
      <c r="L4606" s="5" t="str">
        <f aca="false">IF($K4606="","","R"&amp;$K4606)</f>
        <v/>
      </c>
    </row>
    <row r="4607" customFormat="false" ht="15" hidden="false" customHeight="true" outlineLevel="0" collapsed="false">
      <c r="J4607" s="14" t="b">
        <f aca="false">IF(중복검사!$A4605="",FALSE(),중복검사!$H4605="중복")</f>
        <v>0</v>
      </c>
      <c r="K4607" s="5" t="str">
        <f aca="false">IF($J4607=FALSE(),"",COUNTIF($J$6:$J4607,TRUE()))</f>
        <v/>
      </c>
      <c r="L4607" s="5" t="str">
        <f aca="false">IF($K4607="","","R"&amp;$K4607)</f>
        <v/>
      </c>
    </row>
    <row r="4608" customFormat="false" ht="15" hidden="false" customHeight="true" outlineLevel="0" collapsed="false">
      <c r="J4608" s="14" t="b">
        <f aca="false">IF(중복검사!$A4606="",FALSE(),중복검사!$H4606="중복")</f>
        <v>0</v>
      </c>
      <c r="K4608" s="5" t="str">
        <f aca="false">IF($J4608=FALSE(),"",COUNTIF($J$6:$J4608,TRUE()))</f>
        <v/>
      </c>
      <c r="L4608" s="5" t="str">
        <f aca="false">IF($K4608="","","R"&amp;$K4608)</f>
        <v/>
      </c>
    </row>
    <row r="4609" customFormat="false" ht="15" hidden="false" customHeight="true" outlineLevel="0" collapsed="false">
      <c r="J4609" s="14" t="b">
        <f aca="false">IF(중복검사!$A4607="",FALSE(),중복검사!$H4607="중복")</f>
        <v>0</v>
      </c>
      <c r="K4609" s="5" t="str">
        <f aca="false">IF($J4609=FALSE(),"",COUNTIF($J$6:$J4609,TRUE()))</f>
        <v/>
      </c>
      <c r="L4609" s="5" t="str">
        <f aca="false">IF($K4609="","","R"&amp;$K4609)</f>
        <v/>
      </c>
    </row>
    <row r="4610" customFormat="false" ht="15" hidden="false" customHeight="true" outlineLevel="0" collapsed="false">
      <c r="J4610" s="14" t="b">
        <f aca="false">IF(중복검사!$A4608="",FALSE(),중복검사!$H4608="중복")</f>
        <v>0</v>
      </c>
      <c r="K4610" s="5" t="str">
        <f aca="false">IF($J4610=FALSE(),"",COUNTIF($J$6:$J4610,TRUE()))</f>
        <v/>
      </c>
      <c r="L4610" s="5" t="str">
        <f aca="false">IF($K4610="","","R"&amp;$K4610)</f>
        <v/>
      </c>
    </row>
    <row r="4611" customFormat="false" ht="15" hidden="false" customHeight="true" outlineLevel="0" collapsed="false">
      <c r="J4611" s="14" t="b">
        <f aca="false">IF(중복검사!$A4609="",FALSE(),중복검사!$H4609="중복")</f>
        <v>0</v>
      </c>
      <c r="K4611" s="5" t="str">
        <f aca="false">IF($J4611=FALSE(),"",COUNTIF($J$6:$J4611,TRUE()))</f>
        <v/>
      </c>
      <c r="L4611" s="5" t="str">
        <f aca="false">IF($K4611="","","R"&amp;$K4611)</f>
        <v/>
      </c>
    </row>
    <row r="4612" customFormat="false" ht="15" hidden="false" customHeight="true" outlineLevel="0" collapsed="false">
      <c r="J4612" s="14" t="b">
        <f aca="false">IF(중복검사!$A4610="",FALSE(),중복검사!$H4610="중복")</f>
        <v>0</v>
      </c>
      <c r="K4612" s="5" t="str">
        <f aca="false">IF($J4612=FALSE(),"",COUNTIF($J$6:$J4612,TRUE()))</f>
        <v/>
      </c>
      <c r="L4612" s="5" t="str">
        <f aca="false">IF($K4612="","","R"&amp;$K4612)</f>
        <v/>
      </c>
    </row>
    <row r="4613" customFormat="false" ht="15" hidden="false" customHeight="true" outlineLevel="0" collapsed="false">
      <c r="J4613" s="14" t="b">
        <f aca="false">IF(중복검사!$A4611="",FALSE(),중복검사!$H4611="중복")</f>
        <v>0</v>
      </c>
      <c r="K4613" s="5" t="str">
        <f aca="false">IF($J4613=FALSE(),"",COUNTIF($J$6:$J4613,TRUE()))</f>
        <v/>
      </c>
      <c r="L4613" s="5" t="str">
        <f aca="false">IF($K4613="","","R"&amp;$K4613)</f>
        <v/>
      </c>
    </row>
    <row r="4614" customFormat="false" ht="15" hidden="false" customHeight="true" outlineLevel="0" collapsed="false">
      <c r="J4614" s="14" t="b">
        <f aca="false">IF(중복검사!$A4612="",FALSE(),중복검사!$H4612="중복")</f>
        <v>0</v>
      </c>
      <c r="K4614" s="5" t="str">
        <f aca="false">IF($J4614=FALSE(),"",COUNTIF($J$6:$J4614,TRUE()))</f>
        <v/>
      </c>
      <c r="L4614" s="5" t="str">
        <f aca="false">IF($K4614="","","R"&amp;$K4614)</f>
        <v/>
      </c>
    </row>
    <row r="4615" customFormat="false" ht="15" hidden="false" customHeight="true" outlineLevel="0" collapsed="false">
      <c r="J4615" s="14" t="b">
        <f aca="false">IF(중복검사!$A4613="",FALSE(),중복검사!$H4613="중복")</f>
        <v>0</v>
      </c>
      <c r="K4615" s="5" t="str">
        <f aca="false">IF($J4615=FALSE(),"",COUNTIF($J$6:$J4615,TRUE()))</f>
        <v/>
      </c>
      <c r="L4615" s="5" t="str">
        <f aca="false">IF($K4615="","","R"&amp;$K4615)</f>
        <v/>
      </c>
    </row>
    <row r="4616" customFormat="false" ht="15" hidden="false" customHeight="true" outlineLevel="0" collapsed="false">
      <c r="J4616" s="14" t="b">
        <f aca="false">IF(중복검사!$A4614="",FALSE(),중복검사!$H4614="중복")</f>
        <v>0</v>
      </c>
      <c r="K4616" s="5" t="str">
        <f aca="false">IF($J4616=FALSE(),"",COUNTIF($J$6:$J4616,TRUE()))</f>
        <v/>
      </c>
      <c r="L4616" s="5" t="str">
        <f aca="false">IF($K4616="","","R"&amp;$K4616)</f>
        <v/>
      </c>
    </row>
    <row r="4617" customFormat="false" ht="15" hidden="false" customHeight="true" outlineLevel="0" collapsed="false">
      <c r="J4617" s="14" t="b">
        <f aca="false">IF(중복검사!$A4615="",FALSE(),중복검사!$H4615="중복")</f>
        <v>0</v>
      </c>
      <c r="K4617" s="5" t="str">
        <f aca="false">IF($J4617=FALSE(),"",COUNTIF($J$6:$J4617,TRUE()))</f>
        <v/>
      </c>
      <c r="L4617" s="5" t="str">
        <f aca="false">IF($K4617="","","R"&amp;$K4617)</f>
        <v/>
      </c>
    </row>
    <row r="4618" customFormat="false" ht="15" hidden="false" customHeight="true" outlineLevel="0" collapsed="false">
      <c r="J4618" s="14" t="b">
        <f aca="false">IF(중복검사!$A4616="",FALSE(),중복검사!$H4616="중복")</f>
        <v>0</v>
      </c>
      <c r="K4618" s="5" t="str">
        <f aca="false">IF($J4618=FALSE(),"",COUNTIF($J$6:$J4618,TRUE()))</f>
        <v/>
      </c>
      <c r="L4618" s="5" t="str">
        <f aca="false">IF($K4618="","","R"&amp;$K4618)</f>
        <v/>
      </c>
    </row>
    <row r="4619" customFormat="false" ht="15" hidden="false" customHeight="true" outlineLevel="0" collapsed="false">
      <c r="J4619" s="14" t="b">
        <f aca="false">IF(중복검사!$A4617="",FALSE(),중복검사!$H4617="중복")</f>
        <v>0</v>
      </c>
      <c r="K4619" s="5" t="str">
        <f aca="false">IF($J4619=FALSE(),"",COUNTIF($J$6:$J4619,TRUE()))</f>
        <v/>
      </c>
      <c r="L4619" s="5" t="str">
        <f aca="false">IF($K4619="","","R"&amp;$K4619)</f>
        <v/>
      </c>
    </row>
    <row r="4620" customFormat="false" ht="15" hidden="false" customHeight="true" outlineLevel="0" collapsed="false">
      <c r="J4620" s="14" t="b">
        <f aca="false">IF(중복검사!$A4618="",FALSE(),중복검사!$H4618="중복")</f>
        <v>0</v>
      </c>
      <c r="K4620" s="5" t="str">
        <f aca="false">IF($J4620=FALSE(),"",COUNTIF($J$6:$J4620,TRUE()))</f>
        <v/>
      </c>
      <c r="L4620" s="5" t="str">
        <f aca="false">IF($K4620="","","R"&amp;$K4620)</f>
        <v/>
      </c>
    </row>
    <row r="4621" customFormat="false" ht="15" hidden="false" customHeight="true" outlineLevel="0" collapsed="false">
      <c r="J4621" s="14" t="b">
        <f aca="false">IF(중복검사!$A4619="",FALSE(),중복검사!$H4619="중복")</f>
        <v>0</v>
      </c>
      <c r="K4621" s="5" t="str">
        <f aca="false">IF($J4621=FALSE(),"",COUNTIF($J$6:$J4621,TRUE()))</f>
        <v/>
      </c>
      <c r="L4621" s="5" t="str">
        <f aca="false">IF($K4621="","","R"&amp;$K4621)</f>
        <v/>
      </c>
    </row>
    <row r="4622" customFormat="false" ht="15" hidden="false" customHeight="true" outlineLevel="0" collapsed="false">
      <c r="J4622" s="14" t="b">
        <f aca="false">IF(중복검사!$A4620="",FALSE(),중복검사!$H4620="중복")</f>
        <v>0</v>
      </c>
      <c r="K4622" s="5" t="str">
        <f aca="false">IF($J4622=FALSE(),"",COUNTIF($J$6:$J4622,TRUE()))</f>
        <v/>
      </c>
      <c r="L4622" s="5" t="str">
        <f aca="false">IF($K4622="","","R"&amp;$K4622)</f>
        <v/>
      </c>
    </row>
    <row r="4623" customFormat="false" ht="15" hidden="false" customHeight="true" outlineLevel="0" collapsed="false">
      <c r="J4623" s="14" t="b">
        <f aca="false">IF(중복검사!$A4621="",FALSE(),중복검사!$H4621="중복")</f>
        <v>0</v>
      </c>
      <c r="K4623" s="5" t="str">
        <f aca="false">IF($J4623=FALSE(),"",COUNTIF($J$6:$J4623,TRUE()))</f>
        <v/>
      </c>
      <c r="L4623" s="5" t="str">
        <f aca="false">IF($K4623="","","R"&amp;$K4623)</f>
        <v/>
      </c>
    </row>
    <row r="4624" customFormat="false" ht="15" hidden="false" customHeight="true" outlineLevel="0" collapsed="false">
      <c r="J4624" s="14" t="b">
        <f aca="false">IF(중복검사!$A4622="",FALSE(),중복검사!$H4622="중복")</f>
        <v>0</v>
      </c>
      <c r="K4624" s="5" t="str">
        <f aca="false">IF($J4624=FALSE(),"",COUNTIF($J$6:$J4624,TRUE()))</f>
        <v/>
      </c>
      <c r="L4624" s="5" t="str">
        <f aca="false">IF($K4624="","","R"&amp;$K4624)</f>
        <v/>
      </c>
    </row>
    <row r="4625" customFormat="false" ht="15" hidden="false" customHeight="true" outlineLevel="0" collapsed="false">
      <c r="J4625" s="14" t="b">
        <f aca="false">IF(중복검사!$A4623="",FALSE(),중복검사!$H4623="중복")</f>
        <v>0</v>
      </c>
      <c r="K4625" s="5" t="str">
        <f aca="false">IF($J4625=FALSE(),"",COUNTIF($J$6:$J4625,TRUE()))</f>
        <v/>
      </c>
      <c r="L4625" s="5" t="str">
        <f aca="false">IF($K4625="","","R"&amp;$K4625)</f>
        <v/>
      </c>
    </row>
    <row r="4626" customFormat="false" ht="15" hidden="false" customHeight="true" outlineLevel="0" collapsed="false">
      <c r="J4626" s="14" t="b">
        <f aca="false">IF(중복검사!$A4624="",FALSE(),중복검사!$H4624="중복")</f>
        <v>0</v>
      </c>
      <c r="K4626" s="5" t="str">
        <f aca="false">IF($J4626=FALSE(),"",COUNTIF($J$6:$J4626,TRUE()))</f>
        <v/>
      </c>
      <c r="L4626" s="5" t="str">
        <f aca="false">IF($K4626="","","R"&amp;$K4626)</f>
        <v/>
      </c>
    </row>
    <row r="4627" customFormat="false" ht="15" hidden="false" customHeight="true" outlineLevel="0" collapsed="false">
      <c r="J4627" s="14" t="b">
        <f aca="false">IF(중복검사!$A4625="",FALSE(),중복검사!$H4625="중복")</f>
        <v>0</v>
      </c>
      <c r="K4627" s="5" t="str">
        <f aca="false">IF($J4627=FALSE(),"",COUNTIF($J$6:$J4627,TRUE()))</f>
        <v/>
      </c>
      <c r="L4627" s="5" t="str">
        <f aca="false">IF($K4627="","","R"&amp;$K4627)</f>
        <v/>
      </c>
    </row>
    <row r="4628" customFormat="false" ht="15" hidden="false" customHeight="true" outlineLevel="0" collapsed="false">
      <c r="J4628" s="14" t="b">
        <f aca="false">IF(중복검사!$A4626="",FALSE(),중복검사!$H4626="중복")</f>
        <v>0</v>
      </c>
      <c r="K4628" s="5" t="str">
        <f aca="false">IF($J4628=FALSE(),"",COUNTIF($J$6:$J4628,TRUE()))</f>
        <v/>
      </c>
      <c r="L4628" s="5" t="str">
        <f aca="false">IF($K4628="","","R"&amp;$K4628)</f>
        <v/>
      </c>
    </row>
    <row r="4629" customFormat="false" ht="15" hidden="false" customHeight="true" outlineLevel="0" collapsed="false">
      <c r="J4629" s="14" t="b">
        <f aca="false">IF(중복검사!$A4627="",FALSE(),중복검사!$H4627="중복")</f>
        <v>0</v>
      </c>
      <c r="K4629" s="5" t="str">
        <f aca="false">IF($J4629=FALSE(),"",COUNTIF($J$6:$J4629,TRUE()))</f>
        <v/>
      </c>
      <c r="L4629" s="5" t="str">
        <f aca="false">IF($K4629="","","R"&amp;$K4629)</f>
        <v/>
      </c>
    </row>
    <row r="4630" customFormat="false" ht="15" hidden="false" customHeight="true" outlineLevel="0" collapsed="false">
      <c r="J4630" s="14" t="b">
        <f aca="false">IF(중복검사!$A4628="",FALSE(),중복검사!$H4628="중복")</f>
        <v>0</v>
      </c>
      <c r="K4630" s="5" t="str">
        <f aca="false">IF($J4630=FALSE(),"",COUNTIF($J$6:$J4630,TRUE()))</f>
        <v/>
      </c>
      <c r="L4630" s="5" t="str">
        <f aca="false">IF($K4630="","","R"&amp;$K4630)</f>
        <v/>
      </c>
    </row>
    <row r="4631" customFormat="false" ht="15" hidden="false" customHeight="true" outlineLevel="0" collapsed="false">
      <c r="J4631" s="14" t="b">
        <f aca="false">IF(중복검사!$A4629="",FALSE(),중복검사!$H4629="중복")</f>
        <v>0</v>
      </c>
      <c r="K4631" s="5" t="str">
        <f aca="false">IF($J4631=FALSE(),"",COUNTIF($J$6:$J4631,TRUE()))</f>
        <v/>
      </c>
      <c r="L4631" s="5" t="str">
        <f aca="false">IF($K4631="","","R"&amp;$K4631)</f>
        <v/>
      </c>
    </row>
    <row r="4632" customFormat="false" ht="15" hidden="false" customHeight="true" outlineLevel="0" collapsed="false">
      <c r="J4632" s="14" t="b">
        <f aca="false">IF(중복검사!$A4630="",FALSE(),중복검사!$H4630="중복")</f>
        <v>0</v>
      </c>
      <c r="K4632" s="5" t="str">
        <f aca="false">IF($J4632=FALSE(),"",COUNTIF($J$6:$J4632,TRUE()))</f>
        <v/>
      </c>
      <c r="L4632" s="5" t="str">
        <f aca="false">IF($K4632="","","R"&amp;$K4632)</f>
        <v/>
      </c>
    </row>
    <row r="4633" customFormat="false" ht="15" hidden="false" customHeight="true" outlineLevel="0" collapsed="false">
      <c r="J4633" s="14" t="b">
        <f aca="false">IF(중복검사!$A4631="",FALSE(),중복검사!$H4631="중복")</f>
        <v>0</v>
      </c>
      <c r="K4633" s="5" t="str">
        <f aca="false">IF($J4633=FALSE(),"",COUNTIF($J$6:$J4633,TRUE()))</f>
        <v/>
      </c>
      <c r="L4633" s="5" t="str">
        <f aca="false">IF($K4633="","","R"&amp;$K4633)</f>
        <v/>
      </c>
    </row>
    <row r="4634" customFormat="false" ht="15" hidden="false" customHeight="true" outlineLevel="0" collapsed="false">
      <c r="J4634" s="14" t="b">
        <f aca="false">IF(중복검사!$A4632="",FALSE(),중복검사!$H4632="중복")</f>
        <v>0</v>
      </c>
      <c r="K4634" s="5" t="str">
        <f aca="false">IF($J4634=FALSE(),"",COUNTIF($J$6:$J4634,TRUE()))</f>
        <v/>
      </c>
      <c r="L4634" s="5" t="str">
        <f aca="false">IF($K4634="","","R"&amp;$K4634)</f>
        <v/>
      </c>
    </row>
    <row r="4635" customFormat="false" ht="15" hidden="false" customHeight="true" outlineLevel="0" collapsed="false">
      <c r="J4635" s="14" t="b">
        <f aca="false">IF(중복검사!$A4633="",FALSE(),중복검사!$H4633="중복")</f>
        <v>0</v>
      </c>
      <c r="K4635" s="5" t="str">
        <f aca="false">IF($J4635=FALSE(),"",COUNTIF($J$6:$J4635,TRUE()))</f>
        <v/>
      </c>
      <c r="L4635" s="5" t="str">
        <f aca="false">IF($K4635="","","R"&amp;$K4635)</f>
        <v/>
      </c>
    </row>
    <row r="4636" customFormat="false" ht="15" hidden="false" customHeight="true" outlineLevel="0" collapsed="false">
      <c r="J4636" s="14" t="b">
        <f aca="false">IF(중복검사!$A4634="",FALSE(),중복검사!$H4634="중복")</f>
        <v>0</v>
      </c>
      <c r="K4636" s="5" t="str">
        <f aca="false">IF($J4636=FALSE(),"",COUNTIF($J$6:$J4636,TRUE()))</f>
        <v/>
      </c>
      <c r="L4636" s="5" t="str">
        <f aca="false">IF($K4636="","","R"&amp;$K4636)</f>
        <v/>
      </c>
    </row>
    <row r="4637" customFormat="false" ht="15" hidden="false" customHeight="true" outlineLevel="0" collapsed="false">
      <c r="J4637" s="14" t="b">
        <f aca="false">IF(중복검사!$A4635="",FALSE(),중복검사!$H4635="중복")</f>
        <v>0</v>
      </c>
      <c r="K4637" s="5" t="str">
        <f aca="false">IF($J4637=FALSE(),"",COUNTIF($J$6:$J4637,TRUE()))</f>
        <v/>
      </c>
      <c r="L4637" s="5" t="str">
        <f aca="false">IF($K4637="","","R"&amp;$K4637)</f>
        <v/>
      </c>
    </row>
    <row r="4638" customFormat="false" ht="15" hidden="false" customHeight="true" outlineLevel="0" collapsed="false">
      <c r="J4638" s="14" t="b">
        <f aca="false">IF(중복검사!$A4636="",FALSE(),중복검사!$H4636="중복")</f>
        <v>0</v>
      </c>
      <c r="K4638" s="5" t="str">
        <f aca="false">IF($J4638=FALSE(),"",COUNTIF($J$6:$J4638,TRUE()))</f>
        <v/>
      </c>
      <c r="L4638" s="5" t="str">
        <f aca="false">IF($K4638="","","R"&amp;$K4638)</f>
        <v/>
      </c>
    </row>
    <row r="4639" customFormat="false" ht="15" hidden="false" customHeight="true" outlineLevel="0" collapsed="false">
      <c r="J4639" s="14" t="b">
        <f aca="false">IF(중복검사!$A4637="",FALSE(),중복검사!$H4637="중복")</f>
        <v>0</v>
      </c>
      <c r="K4639" s="5" t="str">
        <f aca="false">IF($J4639=FALSE(),"",COUNTIF($J$6:$J4639,TRUE()))</f>
        <v/>
      </c>
      <c r="L4639" s="5" t="str">
        <f aca="false">IF($K4639="","","R"&amp;$K4639)</f>
        <v/>
      </c>
    </row>
    <row r="4640" customFormat="false" ht="15" hidden="false" customHeight="true" outlineLevel="0" collapsed="false">
      <c r="J4640" s="14" t="b">
        <f aca="false">IF(중복검사!$A4638="",FALSE(),중복검사!$H4638="중복")</f>
        <v>0</v>
      </c>
      <c r="K4640" s="5" t="str">
        <f aca="false">IF($J4640=FALSE(),"",COUNTIF($J$6:$J4640,TRUE()))</f>
        <v/>
      </c>
      <c r="L4640" s="5" t="str">
        <f aca="false">IF($K4640="","","R"&amp;$K4640)</f>
        <v/>
      </c>
    </row>
    <row r="4641" customFormat="false" ht="15" hidden="false" customHeight="true" outlineLevel="0" collapsed="false">
      <c r="J4641" s="14" t="b">
        <f aca="false">IF(중복검사!$A4639="",FALSE(),중복검사!$H4639="중복")</f>
        <v>0</v>
      </c>
      <c r="K4641" s="5" t="str">
        <f aca="false">IF($J4641=FALSE(),"",COUNTIF($J$6:$J4641,TRUE()))</f>
        <v/>
      </c>
      <c r="L4641" s="5" t="str">
        <f aca="false">IF($K4641="","","R"&amp;$K4641)</f>
        <v/>
      </c>
    </row>
    <row r="4642" customFormat="false" ht="15" hidden="false" customHeight="true" outlineLevel="0" collapsed="false">
      <c r="J4642" s="14" t="b">
        <f aca="false">IF(중복검사!$A4640="",FALSE(),중복검사!$H4640="중복")</f>
        <v>0</v>
      </c>
      <c r="K4642" s="5" t="str">
        <f aca="false">IF($J4642=FALSE(),"",COUNTIF($J$6:$J4642,TRUE()))</f>
        <v/>
      </c>
      <c r="L4642" s="5" t="str">
        <f aca="false">IF($K4642="","","R"&amp;$K4642)</f>
        <v/>
      </c>
    </row>
    <row r="4643" customFormat="false" ht="15" hidden="false" customHeight="true" outlineLevel="0" collapsed="false">
      <c r="J4643" s="14" t="b">
        <f aca="false">IF(중복검사!$A4641="",FALSE(),중복검사!$H4641="중복")</f>
        <v>0</v>
      </c>
      <c r="K4643" s="5" t="str">
        <f aca="false">IF($J4643=FALSE(),"",COUNTIF($J$6:$J4643,TRUE()))</f>
        <v/>
      </c>
      <c r="L4643" s="5" t="str">
        <f aca="false">IF($K4643="","","R"&amp;$K4643)</f>
        <v/>
      </c>
    </row>
    <row r="4644" customFormat="false" ht="15" hidden="false" customHeight="true" outlineLevel="0" collapsed="false">
      <c r="J4644" s="14" t="b">
        <f aca="false">IF(중복검사!$A4642="",FALSE(),중복검사!$H4642="중복")</f>
        <v>0</v>
      </c>
      <c r="K4644" s="5" t="str">
        <f aca="false">IF($J4644=FALSE(),"",COUNTIF($J$6:$J4644,TRUE()))</f>
        <v/>
      </c>
      <c r="L4644" s="5" t="str">
        <f aca="false">IF($K4644="","","R"&amp;$K4644)</f>
        <v/>
      </c>
    </row>
    <row r="4645" customFormat="false" ht="15" hidden="false" customHeight="true" outlineLevel="0" collapsed="false">
      <c r="J4645" s="14" t="b">
        <f aca="false">IF(중복검사!$A4643="",FALSE(),중복검사!$H4643="중복")</f>
        <v>0</v>
      </c>
      <c r="K4645" s="5" t="str">
        <f aca="false">IF($J4645=FALSE(),"",COUNTIF($J$6:$J4645,TRUE()))</f>
        <v/>
      </c>
      <c r="L4645" s="5" t="str">
        <f aca="false">IF($K4645="","","R"&amp;$K4645)</f>
        <v/>
      </c>
    </row>
    <row r="4646" customFormat="false" ht="15" hidden="false" customHeight="true" outlineLevel="0" collapsed="false">
      <c r="J4646" s="14" t="b">
        <f aca="false">IF(중복검사!$A4644="",FALSE(),중복검사!$H4644="중복")</f>
        <v>0</v>
      </c>
      <c r="K4646" s="5" t="str">
        <f aca="false">IF($J4646=FALSE(),"",COUNTIF($J$6:$J4646,TRUE()))</f>
        <v/>
      </c>
      <c r="L4646" s="5" t="str">
        <f aca="false">IF($K4646="","","R"&amp;$K4646)</f>
        <v/>
      </c>
    </row>
    <row r="4647" customFormat="false" ht="15" hidden="false" customHeight="true" outlineLevel="0" collapsed="false">
      <c r="J4647" s="14" t="b">
        <f aca="false">IF(중복검사!$A4645="",FALSE(),중복검사!$H4645="중복")</f>
        <v>0</v>
      </c>
      <c r="K4647" s="5" t="str">
        <f aca="false">IF($J4647=FALSE(),"",COUNTIF($J$6:$J4647,TRUE()))</f>
        <v/>
      </c>
      <c r="L4647" s="5" t="str">
        <f aca="false">IF($K4647="","","R"&amp;$K4647)</f>
        <v/>
      </c>
    </row>
    <row r="4648" customFormat="false" ht="15" hidden="false" customHeight="true" outlineLevel="0" collapsed="false">
      <c r="J4648" s="14" t="b">
        <f aca="false">IF(중복검사!$A4646="",FALSE(),중복검사!$H4646="중복")</f>
        <v>0</v>
      </c>
      <c r="K4648" s="5" t="str">
        <f aca="false">IF($J4648=FALSE(),"",COUNTIF($J$6:$J4648,TRUE()))</f>
        <v/>
      </c>
      <c r="L4648" s="5" t="str">
        <f aca="false">IF($K4648="","","R"&amp;$K4648)</f>
        <v/>
      </c>
    </row>
    <row r="4649" customFormat="false" ht="15" hidden="false" customHeight="true" outlineLevel="0" collapsed="false">
      <c r="J4649" s="14" t="b">
        <f aca="false">IF(중복검사!$A4647="",FALSE(),중복검사!$H4647="중복")</f>
        <v>0</v>
      </c>
      <c r="K4649" s="5" t="str">
        <f aca="false">IF($J4649=FALSE(),"",COUNTIF($J$6:$J4649,TRUE()))</f>
        <v/>
      </c>
      <c r="L4649" s="5" t="str">
        <f aca="false">IF($K4649="","","R"&amp;$K4649)</f>
        <v/>
      </c>
    </row>
    <row r="4650" customFormat="false" ht="15" hidden="false" customHeight="true" outlineLevel="0" collapsed="false">
      <c r="J4650" s="14" t="b">
        <f aca="false">IF(중복검사!$A4648="",FALSE(),중복검사!$H4648="중복")</f>
        <v>0</v>
      </c>
      <c r="K4650" s="5" t="str">
        <f aca="false">IF($J4650=FALSE(),"",COUNTIF($J$6:$J4650,TRUE()))</f>
        <v/>
      </c>
      <c r="L4650" s="5" t="str">
        <f aca="false">IF($K4650="","","R"&amp;$K4650)</f>
        <v/>
      </c>
    </row>
    <row r="4651" customFormat="false" ht="15" hidden="false" customHeight="true" outlineLevel="0" collapsed="false">
      <c r="J4651" s="14" t="b">
        <f aca="false">IF(중복검사!$A4649="",FALSE(),중복검사!$H4649="중복")</f>
        <v>0</v>
      </c>
      <c r="K4651" s="5" t="str">
        <f aca="false">IF($J4651=FALSE(),"",COUNTIF($J$6:$J4651,TRUE()))</f>
        <v/>
      </c>
      <c r="L4651" s="5" t="str">
        <f aca="false">IF($K4651="","","R"&amp;$K4651)</f>
        <v/>
      </c>
    </row>
    <row r="4652" customFormat="false" ht="15" hidden="false" customHeight="true" outlineLevel="0" collapsed="false">
      <c r="J4652" s="14" t="b">
        <f aca="false">IF(중복검사!$A4650="",FALSE(),중복검사!$H4650="중복")</f>
        <v>0</v>
      </c>
      <c r="K4652" s="5" t="str">
        <f aca="false">IF($J4652=FALSE(),"",COUNTIF($J$6:$J4652,TRUE()))</f>
        <v/>
      </c>
      <c r="L4652" s="5" t="str">
        <f aca="false">IF($K4652="","","R"&amp;$K4652)</f>
        <v/>
      </c>
    </row>
    <row r="4653" customFormat="false" ht="15" hidden="false" customHeight="true" outlineLevel="0" collapsed="false">
      <c r="J4653" s="14" t="b">
        <f aca="false">IF(중복검사!$A4651="",FALSE(),중복검사!$H4651="중복")</f>
        <v>0</v>
      </c>
      <c r="K4653" s="5" t="str">
        <f aca="false">IF($J4653=FALSE(),"",COUNTIF($J$6:$J4653,TRUE()))</f>
        <v/>
      </c>
      <c r="L4653" s="5" t="str">
        <f aca="false">IF($K4653="","","R"&amp;$K4653)</f>
        <v/>
      </c>
    </row>
    <row r="4654" customFormat="false" ht="15" hidden="false" customHeight="true" outlineLevel="0" collapsed="false">
      <c r="J4654" s="14" t="b">
        <f aca="false">IF(중복검사!$A4652="",FALSE(),중복검사!$H4652="중복")</f>
        <v>0</v>
      </c>
      <c r="K4654" s="5" t="str">
        <f aca="false">IF($J4654=FALSE(),"",COUNTIF($J$6:$J4654,TRUE()))</f>
        <v/>
      </c>
      <c r="L4654" s="5" t="str">
        <f aca="false">IF($K4654="","","R"&amp;$K4654)</f>
        <v/>
      </c>
    </row>
    <row r="4655" customFormat="false" ht="15" hidden="false" customHeight="true" outlineLevel="0" collapsed="false">
      <c r="J4655" s="14" t="b">
        <f aca="false">IF(중복검사!$A4653="",FALSE(),중복검사!$H4653="중복")</f>
        <v>0</v>
      </c>
      <c r="K4655" s="5" t="str">
        <f aca="false">IF($J4655=FALSE(),"",COUNTIF($J$6:$J4655,TRUE()))</f>
        <v/>
      </c>
      <c r="L4655" s="5" t="str">
        <f aca="false">IF($K4655="","","R"&amp;$K4655)</f>
        <v/>
      </c>
    </row>
    <row r="4656" customFormat="false" ht="15" hidden="false" customHeight="true" outlineLevel="0" collapsed="false">
      <c r="J4656" s="14" t="b">
        <f aca="false">IF(중복검사!$A4654="",FALSE(),중복검사!$H4654="중복")</f>
        <v>0</v>
      </c>
      <c r="K4656" s="5" t="str">
        <f aca="false">IF($J4656=FALSE(),"",COUNTIF($J$6:$J4656,TRUE()))</f>
        <v/>
      </c>
      <c r="L4656" s="5" t="str">
        <f aca="false">IF($K4656="","","R"&amp;$K4656)</f>
        <v/>
      </c>
    </row>
    <row r="4657" customFormat="false" ht="15" hidden="false" customHeight="true" outlineLevel="0" collapsed="false">
      <c r="J4657" s="14" t="b">
        <f aca="false">IF(중복검사!$A4655="",FALSE(),중복검사!$H4655="중복")</f>
        <v>0</v>
      </c>
      <c r="K4657" s="5" t="str">
        <f aca="false">IF($J4657=FALSE(),"",COUNTIF($J$6:$J4657,TRUE()))</f>
        <v/>
      </c>
      <c r="L4657" s="5" t="str">
        <f aca="false">IF($K4657="","","R"&amp;$K4657)</f>
        <v/>
      </c>
    </row>
    <row r="4658" customFormat="false" ht="15" hidden="false" customHeight="true" outlineLevel="0" collapsed="false">
      <c r="J4658" s="14" t="b">
        <f aca="false">IF(중복검사!$A4656="",FALSE(),중복검사!$H4656="중복")</f>
        <v>0</v>
      </c>
      <c r="K4658" s="5" t="str">
        <f aca="false">IF($J4658=FALSE(),"",COUNTIF($J$6:$J4658,TRUE()))</f>
        <v/>
      </c>
      <c r="L4658" s="5" t="str">
        <f aca="false">IF($K4658="","","R"&amp;$K4658)</f>
        <v/>
      </c>
    </row>
    <row r="4659" customFormat="false" ht="15" hidden="false" customHeight="true" outlineLevel="0" collapsed="false">
      <c r="J4659" s="14" t="b">
        <f aca="false">IF(중복검사!$A4657="",FALSE(),중복검사!$H4657="중복")</f>
        <v>0</v>
      </c>
      <c r="K4659" s="5" t="str">
        <f aca="false">IF($J4659=FALSE(),"",COUNTIF($J$6:$J4659,TRUE()))</f>
        <v/>
      </c>
      <c r="L4659" s="5" t="str">
        <f aca="false">IF($K4659="","","R"&amp;$K4659)</f>
        <v/>
      </c>
    </row>
    <row r="4660" customFormat="false" ht="15" hidden="false" customHeight="true" outlineLevel="0" collapsed="false">
      <c r="J4660" s="14" t="b">
        <f aca="false">IF(중복검사!$A4658="",FALSE(),중복검사!$H4658="중복")</f>
        <v>0</v>
      </c>
      <c r="K4660" s="5" t="str">
        <f aca="false">IF($J4660=FALSE(),"",COUNTIF($J$6:$J4660,TRUE()))</f>
        <v/>
      </c>
      <c r="L4660" s="5" t="str">
        <f aca="false">IF($K4660="","","R"&amp;$K4660)</f>
        <v/>
      </c>
    </row>
    <row r="4661" customFormat="false" ht="15" hidden="false" customHeight="true" outlineLevel="0" collapsed="false">
      <c r="J4661" s="14" t="b">
        <f aca="false">IF(중복검사!$A4659="",FALSE(),중복검사!$H4659="중복")</f>
        <v>0</v>
      </c>
      <c r="K4661" s="5" t="str">
        <f aca="false">IF($J4661=FALSE(),"",COUNTIF($J$6:$J4661,TRUE()))</f>
        <v/>
      </c>
      <c r="L4661" s="5" t="str">
        <f aca="false">IF($K4661="","","R"&amp;$K4661)</f>
        <v/>
      </c>
    </row>
    <row r="4662" customFormat="false" ht="15" hidden="false" customHeight="true" outlineLevel="0" collapsed="false">
      <c r="J4662" s="14" t="b">
        <f aca="false">IF(중복검사!$A4660="",FALSE(),중복검사!$H4660="중복")</f>
        <v>0</v>
      </c>
      <c r="K4662" s="5" t="str">
        <f aca="false">IF($J4662=FALSE(),"",COUNTIF($J$6:$J4662,TRUE()))</f>
        <v/>
      </c>
      <c r="L4662" s="5" t="str">
        <f aca="false">IF($K4662="","","R"&amp;$K4662)</f>
        <v/>
      </c>
    </row>
    <row r="4663" customFormat="false" ht="15" hidden="false" customHeight="true" outlineLevel="0" collapsed="false">
      <c r="J4663" s="14" t="b">
        <f aca="false">IF(중복검사!$A4661="",FALSE(),중복검사!$H4661="중복")</f>
        <v>0</v>
      </c>
      <c r="K4663" s="5" t="str">
        <f aca="false">IF($J4663=FALSE(),"",COUNTIF($J$6:$J4663,TRUE()))</f>
        <v/>
      </c>
      <c r="L4663" s="5" t="str">
        <f aca="false">IF($K4663="","","R"&amp;$K4663)</f>
        <v/>
      </c>
    </row>
    <row r="4664" customFormat="false" ht="15" hidden="false" customHeight="true" outlineLevel="0" collapsed="false">
      <c r="J4664" s="14" t="b">
        <f aca="false">IF(중복검사!$A4662="",FALSE(),중복검사!$H4662="중복")</f>
        <v>0</v>
      </c>
      <c r="K4664" s="5" t="str">
        <f aca="false">IF($J4664=FALSE(),"",COUNTIF($J$6:$J4664,TRUE()))</f>
        <v/>
      </c>
      <c r="L4664" s="5" t="str">
        <f aca="false">IF($K4664="","","R"&amp;$K4664)</f>
        <v/>
      </c>
    </row>
    <row r="4665" customFormat="false" ht="15" hidden="false" customHeight="true" outlineLevel="0" collapsed="false">
      <c r="J4665" s="14" t="b">
        <f aca="false">IF(중복검사!$A4663="",FALSE(),중복검사!$H4663="중복")</f>
        <v>0</v>
      </c>
      <c r="K4665" s="5" t="str">
        <f aca="false">IF($J4665=FALSE(),"",COUNTIF($J$6:$J4665,TRUE()))</f>
        <v/>
      </c>
      <c r="L4665" s="5" t="str">
        <f aca="false">IF($K4665="","","R"&amp;$K4665)</f>
        <v/>
      </c>
    </row>
    <row r="4666" customFormat="false" ht="15" hidden="false" customHeight="true" outlineLevel="0" collapsed="false">
      <c r="J4666" s="14" t="b">
        <f aca="false">IF(중복검사!$A4664="",FALSE(),중복검사!$H4664="중복")</f>
        <v>0</v>
      </c>
      <c r="K4666" s="5" t="str">
        <f aca="false">IF($J4666=FALSE(),"",COUNTIF($J$6:$J4666,TRUE()))</f>
        <v/>
      </c>
      <c r="L4666" s="5" t="str">
        <f aca="false">IF($K4666="","","R"&amp;$K4666)</f>
        <v/>
      </c>
    </row>
    <row r="4667" customFormat="false" ht="15" hidden="false" customHeight="true" outlineLevel="0" collapsed="false">
      <c r="J4667" s="14" t="b">
        <f aca="false">IF(중복검사!$A4665="",FALSE(),중복검사!$H4665="중복")</f>
        <v>0</v>
      </c>
      <c r="K4667" s="5" t="str">
        <f aca="false">IF($J4667=FALSE(),"",COUNTIF($J$6:$J4667,TRUE()))</f>
        <v/>
      </c>
      <c r="L4667" s="5" t="str">
        <f aca="false">IF($K4667="","","R"&amp;$K4667)</f>
        <v/>
      </c>
    </row>
    <row r="4668" customFormat="false" ht="15" hidden="false" customHeight="true" outlineLevel="0" collapsed="false">
      <c r="J4668" s="14" t="b">
        <f aca="false">IF(중복검사!$A4666="",FALSE(),중복검사!$H4666="중복")</f>
        <v>0</v>
      </c>
      <c r="K4668" s="5" t="str">
        <f aca="false">IF($J4668=FALSE(),"",COUNTIF($J$6:$J4668,TRUE()))</f>
        <v/>
      </c>
      <c r="L4668" s="5" t="str">
        <f aca="false">IF($K4668="","","R"&amp;$K4668)</f>
        <v/>
      </c>
    </row>
    <row r="4669" customFormat="false" ht="15" hidden="false" customHeight="true" outlineLevel="0" collapsed="false">
      <c r="J4669" s="14" t="b">
        <f aca="false">IF(중복검사!$A4667="",FALSE(),중복검사!$H4667="중복")</f>
        <v>0</v>
      </c>
      <c r="K4669" s="5" t="str">
        <f aca="false">IF($J4669=FALSE(),"",COUNTIF($J$6:$J4669,TRUE()))</f>
        <v/>
      </c>
      <c r="L4669" s="5" t="str">
        <f aca="false">IF($K4669="","","R"&amp;$K4669)</f>
        <v/>
      </c>
    </row>
    <row r="4670" customFormat="false" ht="15" hidden="false" customHeight="true" outlineLevel="0" collapsed="false">
      <c r="J4670" s="14" t="b">
        <f aca="false">IF(중복검사!$A4668="",FALSE(),중복검사!$H4668="중복")</f>
        <v>0</v>
      </c>
      <c r="K4670" s="5" t="str">
        <f aca="false">IF($J4670=FALSE(),"",COUNTIF($J$6:$J4670,TRUE()))</f>
        <v/>
      </c>
      <c r="L4670" s="5" t="str">
        <f aca="false">IF($K4670="","","R"&amp;$K4670)</f>
        <v/>
      </c>
    </row>
    <row r="4671" customFormat="false" ht="15" hidden="false" customHeight="true" outlineLevel="0" collapsed="false">
      <c r="J4671" s="14" t="b">
        <f aca="false">IF(중복검사!$A4669="",FALSE(),중복검사!$H4669="중복")</f>
        <v>0</v>
      </c>
      <c r="K4671" s="5" t="str">
        <f aca="false">IF($J4671=FALSE(),"",COUNTIF($J$6:$J4671,TRUE()))</f>
        <v/>
      </c>
      <c r="L4671" s="5" t="str">
        <f aca="false">IF($K4671="","","R"&amp;$K4671)</f>
        <v/>
      </c>
    </row>
    <row r="4672" customFormat="false" ht="15" hidden="false" customHeight="true" outlineLevel="0" collapsed="false">
      <c r="J4672" s="14" t="b">
        <f aca="false">IF(중복검사!$A4670="",FALSE(),중복검사!$H4670="중복")</f>
        <v>0</v>
      </c>
      <c r="K4672" s="5" t="str">
        <f aca="false">IF($J4672=FALSE(),"",COUNTIF($J$6:$J4672,TRUE()))</f>
        <v/>
      </c>
      <c r="L4672" s="5" t="str">
        <f aca="false">IF($K4672="","","R"&amp;$K4672)</f>
        <v/>
      </c>
    </row>
    <row r="4673" customFormat="false" ht="15" hidden="false" customHeight="true" outlineLevel="0" collapsed="false">
      <c r="J4673" s="14" t="b">
        <f aca="false">IF(중복검사!$A4671="",FALSE(),중복검사!$H4671="중복")</f>
        <v>0</v>
      </c>
      <c r="K4673" s="5" t="str">
        <f aca="false">IF($J4673=FALSE(),"",COUNTIF($J$6:$J4673,TRUE()))</f>
        <v/>
      </c>
      <c r="L4673" s="5" t="str">
        <f aca="false">IF($K4673="","","R"&amp;$K4673)</f>
        <v/>
      </c>
    </row>
    <row r="4674" customFormat="false" ht="15" hidden="false" customHeight="true" outlineLevel="0" collapsed="false">
      <c r="J4674" s="14" t="b">
        <f aca="false">IF(중복검사!$A4672="",FALSE(),중복검사!$H4672="중복")</f>
        <v>0</v>
      </c>
      <c r="K4674" s="5" t="str">
        <f aca="false">IF($J4674=FALSE(),"",COUNTIF($J$6:$J4674,TRUE()))</f>
        <v/>
      </c>
      <c r="L4674" s="5" t="str">
        <f aca="false">IF($K4674="","","R"&amp;$K4674)</f>
        <v/>
      </c>
    </row>
    <row r="4675" customFormat="false" ht="15" hidden="false" customHeight="true" outlineLevel="0" collapsed="false">
      <c r="J4675" s="14" t="b">
        <f aca="false">IF(중복검사!$A4673="",FALSE(),중복검사!$H4673="중복")</f>
        <v>0</v>
      </c>
      <c r="K4675" s="5" t="str">
        <f aca="false">IF($J4675=FALSE(),"",COUNTIF($J$6:$J4675,TRUE()))</f>
        <v/>
      </c>
      <c r="L4675" s="5" t="str">
        <f aca="false">IF($K4675="","","R"&amp;$K4675)</f>
        <v/>
      </c>
    </row>
    <row r="4676" customFormat="false" ht="15" hidden="false" customHeight="true" outlineLevel="0" collapsed="false">
      <c r="J4676" s="14" t="b">
        <f aca="false">IF(중복검사!$A4674="",FALSE(),중복검사!$H4674="중복")</f>
        <v>0</v>
      </c>
      <c r="K4676" s="5" t="str">
        <f aca="false">IF($J4676=FALSE(),"",COUNTIF($J$6:$J4676,TRUE()))</f>
        <v/>
      </c>
      <c r="L4676" s="5" t="str">
        <f aca="false">IF($K4676="","","R"&amp;$K4676)</f>
        <v/>
      </c>
    </row>
    <row r="4677" customFormat="false" ht="15" hidden="false" customHeight="true" outlineLevel="0" collapsed="false">
      <c r="J4677" s="14" t="b">
        <f aca="false">IF(중복검사!$A4675="",FALSE(),중복검사!$H4675="중복")</f>
        <v>0</v>
      </c>
      <c r="K4677" s="5" t="str">
        <f aca="false">IF($J4677=FALSE(),"",COUNTIF($J$6:$J4677,TRUE()))</f>
        <v/>
      </c>
      <c r="L4677" s="5" t="str">
        <f aca="false">IF($K4677="","","R"&amp;$K4677)</f>
        <v/>
      </c>
    </row>
    <row r="4678" customFormat="false" ht="15" hidden="false" customHeight="true" outlineLevel="0" collapsed="false">
      <c r="J4678" s="14" t="b">
        <f aca="false">IF(중복검사!$A4676="",FALSE(),중복검사!$H4676="중복")</f>
        <v>0</v>
      </c>
      <c r="K4678" s="5" t="str">
        <f aca="false">IF($J4678=FALSE(),"",COUNTIF($J$6:$J4678,TRUE()))</f>
        <v/>
      </c>
      <c r="L4678" s="5" t="str">
        <f aca="false">IF($K4678="","","R"&amp;$K4678)</f>
        <v/>
      </c>
    </row>
    <row r="4679" customFormat="false" ht="15" hidden="false" customHeight="true" outlineLevel="0" collapsed="false">
      <c r="J4679" s="14" t="b">
        <f aca="false">IF(중복검사!$A4677="",FALSE(),중복검사!$H4677="중복")</f>
        <v>0</v>
      </c>
      <c r="K4679" s="5" t="str">
        <f aca="false">IF($J4679=FALSE(),"",COUNTIF($J$6:$J4679,TRUE()))</f>
        <v/>
      </c>
      <c r="L4679" s="5" t="str">
        <f aca="false">IF($K4679="","","R"&amp;$K4679)</f>
        <v/>
      </c>
    </row>
    <row r="4680" customFormat="false" ht="15" hidden="false" customHeight="true" outlineLevel="0" collapsed="false">
      <c r="J4680" s="14" t="b">
        <f aca="false">IF(중복검사!$A4678="",FALSE(),중복검사!$H4678="중복")</f>
        <v>0</v>
      </c>
      <c r="K4680" s="5" t="str">
        <f aca="false">IF($J4680=FALSE(),"",COUNTIF($J$6:$J4680,TRUE()))</f>
        <v/>
      </c>
      <c r="L4680" s="5" t="str">
        <f aca="false">IF($K4680="","","R"&amp;$K4680)</f>
        <v/>
      </c>
    </row>
    <row r="4681" customFormat="false" ht="15" hidden="false" customHeight="true" outlineLevel="0" collapsed="false">
      <c r="J4681" s="14" t="b">
        <f aca="false">IF(중복검사!$A4679="",FALSE(),중복검사!$H4679="중복")</f>
        <v>0</v>
      </c>
      <c r="K4681" s="5" t="str">
        <f aca="false">IF($J4681=FALSE(),"",COUNTIF($J$6:$J4681,TRUE()))</f>
        <v/>
      </c>
      <c r="L4681" s="5" t="str">
        <f aca="false">IF($K4681="","","R"&amp;$K4681)</f>
        <v/>
      </c>
    </row>
    <row r="4682" customFormat="false" ht="15" hidden="false" customHeight="true" outlineLevel="0" collapsed="false">
      <c r="J4682" s="14" t="b">
        <f aca="false">IF(중복검사!$A4680="",FALSE(),중복검사!$H4680="중복")</f>
        <v>0</v>
      </c>
      <c r="K4682" s="5" t="str">
        <f aca="false">IF($J4682=FALSE(),"",COUNTIF($J$6:$J4682,TRUE()))</f>
        <v/>
      </c>
      <c r="L4682" s="5" t="str">
        <f aca="false">IF($K4682="","","R"&amp;$K4682)</f>
        <v/>
      </c>
    </row>
    <row r="4683" customFormat="false" ht="15" hidden="false" customHeight="true" outlineLevel="0" collapsed="false">
      <c r="J4683" s="14" t="b">
        <f aca="false">IF(중복검사!$A4681="",FALSE(),중복검사!$H4681="중복")</f>
        <v>0</v>
      </c>
      <c r="K4683" s="5" t="str">
        <f aca="false">IF($J4683=FALSE(),"",COUNTIF($J$6:$J4683,TRUE()))</f>
        <v/>
      </c>
      <c r="L4683" s="5" t="str">
        <f aca="false">IF($K4683="","","R"&amp;$K4683)</f>
        <v/>
      </c>
    </row>
    <row r="4684" customFormat="false" ht="15" hidden="false" customHeight="true" outlineLevel="0" collapsed="false">
      <c r="J4684" s="14" t="b">
        <f aca="false">IF(중복검사!$A4682="",FALSE(),중복검사!$H4682="중복")</f>
        <v>0</v>
      </c>
      <c r="K4684" s="5" t="str">
        <f aca="false">IF($J4684=FALSE(),"",COUNTIF($J$6:$J4684,TRUE()))</f>
        <v/>
      </c>
      <c r="L4684" s="5" t="str">
        <f aca="false">IF($K4684="","","R"&amp;$K4684)</f>
        <v/>
      </c>
    </row>
    <row r="4685" customFormat="false" ht="15" hidden="false" customHeight="true" outlineLevel="0" collapsed="false">
      <c r="J4685" s="14" t="b">
        <f aca="false">IF(중복검사!$A4683="",FALSE(),중복검사!$H4683="중복")</f>
        <v>0</v>
      </c>
      <c r="K4685" s="5" t="str">
        <f aca="false">IF($J4685=FALSE(),"",COUNTIF($J$6:$J4685,TRUE()))</f>
        <v/>
      </c>
      <c r="L4685" s="5" t="str">
        <f aca="false">IF($K4685="","","R"&amp;$K4685)</f>
        <v/>
      </c>
    </row>
    <row r="4686" customFormat="false" ht="15" hidden="false" customHeight="true" outlineLevel="0" collapsed="false">
      <c r="J4686" s="14" t="b">
        <f aca="false">IF(중복검사!$A4684="",FALSE(),중복검사!$H4684="중복")</f>
        <v>0</v>
      </c>
      <c r="K4686" s="5" t="str">
        <f aca="false">IF($J4686=FALSE(),"",COUNTIF($J$6:$J4686,TRUE()))</f>
        <v/>
      </c>
      <c r="L4686" s="5" t="str">
        <f aca="false">IF($K4686="","","R"&amp;$K4686)</f>
        <v/>
      </c>
    </row>
    <row r="4687" customFormat="false" ht="15" hidden="false" customHeight="true" outlineLevel="0" collapsed="false">
      <c r="J4687" s="14" t="b">
        <f aca="false">IF(중복검사!$A4685="",FALSE(),중복검사!$H4685="중복")</f>
        <v>0</v>
      </c>
      <c r="K4687" s="5" t="str">
        <f aca="false">IF($J4687=FALSE(),"",COUNTIF($J$6:$J4687,TRUE()))</f>
        <v/>
      </c>
      <c r="L4687" s="5" t="str">
        <f aca="false">IF($K4687="","","R"&amp;$K4687)</f>
        <v/>
      </c>
    </row>
    <row r="4688" customFormat="false" ht="15" hidden="false" customHeight="true" outlineLevel="0" collapsed="false">
      <c r="J4688" s="14" t="b">
        <f aca="false">IF(중복검사!$A4686="",FALSE(),중복검사!$H4686="중복")</f>
        <v>0</v>
      </c>
      <c r="K4688" s="5" t="str">
        <f aca="false">IF($J4688=FALSE(),"",COUNTIF($J$6:$J4688,TRUE()))</f>
        <v/>
      </c>
      <c r="L4688" s="5" t="str">
        <f aca="false">IF($K4688="","","R"&amp;$K4688)</f>
        <v/>
      </c>
    </row>
    <row r="4689" customFormat="false" ht="15" hidden="false" customHeight="true" outlineLevel="0" collapsed="false">
      <c r="J4689" s="14" t="b">
        <f aca="false">IF(중복검사!$A4687="",FALSE(),중복검사!$H4687="중복")</f>
        <v>0</v>
      </c>
      <c r="K4689" s="5" t="str">
        <f aca="false">IF($J4689=FALSE(),"",COUNTIF($J$6:$J4689,TRUE()))</f>
        <v/>
      </c>
      <c r="L4689" s="5" t="str">
        <f aca="false">IF($K4689="","","R"&amp;$K4689)</f>
        <v/>
      </c>
    </row>
    <row r="4690" customFormat="false" ht="15" hidden="false" customHeight="true" outlineLevel="0" collapsed="false">
      <c r="J4690" s="14" t="b">
        <f aca="false">IF(중복검사!$A4688="",FALSE(),중복검사!$H4688="중복")</f>
        <v>0</v>
      </c>
      <c r="K4690" s="5" t="str">
        <f aca="false">IF($J4690=FALSE(),"",COUNTIF($J$6:$J4690,TRUE()))</f>
        <v/>
      </c>
      <c r="L4690" s="5" t="str">
        <f aca="false">IF($K4690="","","R"&amp;$K4690)</f>
        <v/>
      </c>
    </row>
    <row r="4691" customFormat="false" ht="15" hidden="false" customHeight="true" outlineLevel="0" collapsed="false">
      <c r="J4691" s="14" t="b">
        <f aca="false">IF(중복검사!$A4689="",FALSE(),중복검사!$H4689="중복")</f>
        <v>0</v>
      </c>
      <c r="K4691" s="5" t="str">
        <f aca="false">IF($J4691=FALSE(),"",COUNTIF($J$6:$J4691,TRUE()))</f>
        <v/>
      </c>
      <c r="L4691" s="5" t="str">
        <f aca="false">IF($K4691="","","R"&amp;$K4691)</f>
        <v/>
      </c>
    </row>
    <row r="4692" customFormat="false" ht="15" hidden="false" customHeight="true" outlineLevel="0" collapsed="false">
      <c r="J4692" s="14" t="b">
        <f aca="false">IF(중복검사!$A4690="",FALSE(),중복검사!$H4690="중복")</f>
        <v>0</v>
      </c>
      <c r="K4692" s="5" t="str">
        <f aca="false">IF($J4692=FALSE(),"",COUNTIF($J$6:$J4692,TRUE()))</f>
        <v/>
      </c>
      <c r="L4692" s="5" t="str">
        <f aca="false">IF($K4692="","","R"&amp;$K4692)</f>
        <v/>
      </c>
    </row>
    <row r="4693" customFormat="false" ht="15" hidden="false" customHeight="true" outlineLevel="0" collapsed="false">
      <c r="J4693" s="14" t="b">
        <f aca="false">IF(중복검사!$A4691="",FALSE(),중복검사!$H4691="중복")</f>
        <v>0</v>
      </c>
      <c r="K4693" s="5" t="str">
        <f aca="false">IF($J4693=FALSE(),"",COUNTIF($J$6:$J4693,TRUE()))</f>
        <v/>
      </c>
      <c r="L4693" s="5" t="str">
        <f aca="false">IF($K4693="","","R"&amp;$K4693)</f>
        <v/>
      </c>
    </row>
    <row r="4694" customFormat="false" ht="15" hidden="false" customHeight="true" outlineLevel="0" collapsed="false">
      <c r="J4694" s="14" t="b">
        <f aca="false">IF(중복검사!$A4692="",FALSE(),중복검사!$H4692="중복")</f>
        <v>0</v>
      </c>
      <c r="K4694" s="5" t="str">
        <f aca="false">IF($J4694=FALSE(),"",COUNTIF($J$6:$J4694,TRUE()))</f>
        <v/>
      </c>
      <c r="L4694" s="5" t="str">
        <f aca="false">IF($K4694="","","R"&amp;$K4694)</f>
        <v/>
      </c>
    </row>
    <row r="4695" customFormat="false" ht="15" hidden="false" customHeight="true" outlineLevel="0" collapsed="false">
      <c r="J4695" s="14" t="b">
        <f aca="false">IF(중복검사!$A4693="",FALSE(),중복검사!$H4693="중복")</f>
        <v>0</v>
      </c>
      <c r="K4695" s="5" t="str">
        <f aca="false">IF($J4695=FALSE(),"",COUNTIF($J$6:$J4695,TRUE()))</f>
        <v/>
      </c>
      <c r="L4695" s="5" t="str">
        <f aca="false">IF($K4695="","","R"&amp;$K4695)</f>
        <v/>
      </c>
    </row>
    <row r="4696" customFormat="false" ht="15" hidden="false" customHeight="true" outlineLevel="0" collapsed="false">
      <c r="J4696" s="14" t="b">
        <f aca="false">IF(중복검사!$A4694="",FALSE(),중복검사!$H4694="중복")</f>
        <v>0</v>
      </c>
      <c r="K4696" s="5" t="str">
        <f aca="false">IF($J4696=FALSE(),"",COUNTIF($J$6:$J4696,TRUE()))</f>
        <v/>
      </c>
      <c r="L4696" s="5" t="str">
        <f aca="false">IF($K4696="","","R"&amp;$K4696)</f>
        <v/>
      </c>
    </row>
    <row r="4697" customFormat="false" ht="15" hidden="false" customHeight="true" outlineLevel="0" collapsed="false">
      <c r="J4697" s="14" t="b">
        <f aca="false">IF(중복검사!$A4695="",FALSE(),중복검사!$H4695="중복")</f>
        <v>0</v>
      </c>
      <c r="K4697" s="5" t="str">
        <f aca="false">IF($J4697=FALSE(),"",COUNTIF($J$6:$J4697,TRUE()))</f>
        <v/>
      </c>
      <c r="L4697" s="5" t="str">
        <f aca="false">IF($K4697="","","R"&amp;$K4697)</f>
        <v/>
      </c>
    </row>
    <row r="4698" customFormat="false" ht="15" hidden="false" customHeight="true" outlineLevel="0" collapsed="false">
      <c r="J4698" s="14" t="b">
        <f aca="false">IF(중복검사!$A4696="",FALSE(),중복검사!$H4696="중복")</f>
        <v>0</v>
      </c>
      <c r="K4698" s="5" t="str">
        <f aca="false">IF($J4698=FALSE(),"",COUNTIF($J$6:$J4698,TRUE()))</f>
        <v/>
      </c>
      <c r="L4698" s="5" t="str">
        <f aca="false">IF($K4698="","","R"&amp;$K4698)</f>
        <v/>
      </c>
    </row>
    <row r="4699" customFormat="false" ht="15" hidden="false" customHeight="true" outlineLevel="0" collapsed="false">
      <c r="J4699" s="14" t="b">
        <f aca="false">IF(중복검사!$A4697="",FALSE(),중복검사!$H4697="중복")</f>
        <v>0</v>
      </c>
      <c r="K4699" s="5" t="str">
        <f aca="false">IF($J4699=FALSE(),"",COUNTIF($J$6:$J4699,TRUE()))</f>
        <v/>
      </c>
      <c r="L4699" s="5" t="str">
        <f aca="false">IF($K4699="","","R"&amp;$K4699)</f>
        <v/>
      </c>
    </row>
    <row r="4700" customFormat="false" ht="15" hidden="false" customHeight="true" outlineLevel="0" collapsed="false">
      <c r="J4700" s="14" t="b">
        <f aca="false">IF(중복검사!$A4698="",FALSE(),중복검사!$H4698="중복")</f>
        <v>0</v>
      </c>
      <c r="K4700" s="5" t="str">
        <f aca="false">IF($J4700=FALSE(),"",COUNTIF($J$6:$J4700,TRUE()))</f>
        <v/>
      </c>
      <c r="L4700" s="5" t="str">
        <f aca="false">IF($K4700="","","R"&amp;$K4700)</f>
        <v/>
      </c>
    </row>
    <row r="4701" customFormat="false" ht="15" hidden="false" customHeight="true" outlineLevel="0" collapsed="false">
      <c r="J4701" s="14" t="b">
        <f aca="false">IF(중복검사!$A4699="",FALSE(),중복검사!$H4699="중복")</f>
        <v>0</v>
      </c>
      <c r="K4701" s="5" t="str">
        <f aca="false">IF($J4701=FALSE(),"",COUNTIF($J$6:$J4701,TRUE()))</f>
        <v/>
      </c>
      <c r="L4701" s="5" t="str">
        <f aca="false">IF($K4701="","","R"&amp;$K4701)</f>
        <v/>
      </c>
    </row>
    <row r="4702" customFormat="false" ht="15" hidden="false" customHeight="true" outlineLevel="0" collapsed="false">
      <c r="J4702" s="14" t="b">
        <f aca="false">IF(중복검사!$A4700="",FALSE(),중복검사!$H4700="중복")</f>
        <v>0</v>
      </c>
      <c r="K4702" s="5" t="str">
        <f aca="false">IF($J4702=FALSE(),"",COUNTIF($J$6:$J4702,TRUE()))</f>
        <v/>
      </c>
      <c r="L4702" s="5" t="str">
        <f aca="false">IF($K4702="","","R"&amp;$K4702)</f>
        <v/>
      </c>
    </row>
    <row r="4703" customFormat="false" ht="15" hidden="false" customHeight="true" outlineLevel="0" collapsed="false">
      <c r="J4703" s="14" t="b">
        <f aca="false">IF(중복검사!$A4701="",FALSE(),중복검사!$H4701="중복")</f>
        <v>0</v>
      </c>
      <c r="K4703" s="5" t="str">
        <f aca="false">IF($J4703=FALSE(),"",COUNTIF($J$6:$J4703,TRUE()))</f>
        <v/>
      </c>
      <c r="L4703" s="5" t="str">
        <f aca="false">IF($K4703="","","R"&amp;$K4703)</f>
        <v/>
      </c>
    </row>
    <row r="4704" customFormat="false" ht="15" hidden="false" customHeight="true" outlineLevel="0" collapsed="false">
      <c r="J4704" s="14" t="b">
        <f aca="false">IF(중복검사!$A4702="",FALSE(),중복검사!$H4702="중복")</f>
        <v>0</v>
      </c>
      <c r="K4704" s="5" t="str">
        <f aca="false">IF($J4704=FALSE(),"",COUNTIF($J$6:$J4704,TRUE()))</f>
        <v/>
      </c>
      <c r="L4704" s="5" t="str">
        <f aca="false">IF($K4704="","","R"&amp;$K4704)</f>
        <v/>
      </c>
    </row>
    <row r="4705" customFormat="false" ht="15" hidden="false" customHeight="true" outlineLevel="0" collapsed="false">
      <c r="J4705" s="14" t="b">
        <f aca="false">IF(중복검사!$A4703="",FALSE(),중복검사!$H4703="중복")</f>
        <v>0</v>
      </c>
      <c r="K4705" s="5" t="str">
        <f aca="false">IF($J4705=FALSE(),"",COUNTIF($J$6:$J4705,TRUE()))</f>
        <v/>
      </c>
      <c r="L4705" s="5" t="str">
        <f aca="false">IF($K4705="","","R"&amp;$K4705)</f>
        <v/>
      </c>
    </row>
    <row r="4706" customFormat="false" ht="15" hidden="false" customHeight="true" outlineLevel="0" collapsed="false">
      <c r="J4706" s="14" t="b">
        <f aca="false">IF(중복검사!$A4704="",FALSE(),중복검사!$H4704="중복")</f>
        <v>0</v>
      </c>
      <c r="K4706" s="5" t="str">
        <f aca="false">IF($J4706=FALSE(),"",COUNTIF($J$6:$J4706,TRUE()))</f>
        <v/>
      </c>
      <c r="L4706" s="5" t="str">
        <f aca="false">IF($K4706="","","R"&amp;$K4706)</f>
        <v/>
      </c>
    </row>
    <row r="4707" customFormat="false" ht="15" hidden="false" customHeight="true" outlineLevel="0" collapsed="false">
      <c r="J4707" s="14" t="b">
        <f aca="false">IF(중복검사!$A4705="",FALSE(),중복검사!$H4705="중복")</f>
        <v>0</v>
      </c>
      <c r="K4707" s="5" t="str">
        <f aca="false">IF($J4707=FALSE(),"",COUNTIF($J$6:$J4707,TRUE()))</f>
        <v/>
      </c>
      <c r="L4707" s="5" t="str">
        <f aca="false">IF($K4707="","","R"&amp;$K4707)</f>
        <v/>
      </c>
    </row>
    <row r="4708" customFormat="false" ht="15" hidden="false" customHeight="true" outlineLevel="0" collapsed="false">
      <c r="J4708" s="14" t="b">
        <f aca="false">IF(중복검사!$A4706="",FALSE(),중복검사!$H4706="중복")</f>
        <v>0</v>
      </c>
      <c r="K4708" s="5" t="str">
        <f aca="false">IF($J4708=FALSE(),"",COUNTIF($J$6:$J4708,TRUE()))</f>
        <v/>
      </c>
      <c r="L4708" s="5" t="str">
        <f aca="false">IF($K4708="","","R"&amp;$K4708)</f>
        <v/>
      </c>
    </row>
    <row r="4709" customFormat="false" ht="15" hidden="false" customHeight="true" outlineLevel="0" collapsed="false">
      <c r="J4709" s="14" t="b">
        <f aca="false">IF(중복검사!$A4707="",FALSE(),중복검사!$H4707="중복")</f>
        <v>0</v>
      </c>
      <c r="K4709" s="5" t="str">
        <f aca="false">IF($J4709=FALSE(),"",COUNTIF($J$6:$J4709,TRUE()))</f>
        <v/>
      </c>
      <c r="L4709" s="5" t="str">
        <f aca="false">IF($K4709="","","R"&amp;$K4709)</f>
        <v/>
      </c>
    </row>
    <row r="4710" customFormat="false" ht="15" hidden="false" customHeight="true" outlineLevel="0" collapsed="false">
      <c r="J4710" s="14" t="b">
        <f aca="false">IF(중복검사!$A4708="",FALSE(),중복검사!$H4708="중복")</f>
        <v>0</v>
      </c>
      <c r="K4710" s="5" t="str">
        <f aca="false">IF($J4710=FALSE(),"",COUNTIF($J$6:$J4710,TRUE()))</f>
        <v/>
      </c>
      <c r="L4710" s="5" t="str">
        <f aca="false">IF($K4710="","","R"&amp;$K4710)</f>
        <v/>
      </c>
    </row>
    <row r="4711" customFormat="false" ht="15" hidden="false" customHeight="true" outlineLevel="0" collapsed="false">
      <c r="J4711" s="14" t="b">
        <f aca="false">IF(중복검사!$A4709="",FALSE(),중복검사!$H4709="중복")</f>
        <v>0</v>
      </c>
      <c r="K4711" s="5" t="str">
        <f aca="false">IF($J4711=FALSE(),"",COUNTIF($J$6:$J4711,TRUE()))</f>
        <v/>
      </c>
      <c r="L4711" s="5" t="str">
        <f aca="false">IF($K4711="","","R"&amp;$K4711)</f>
        <v/>
      </c>
    </row>
    <row r="4712" customFormat="false" ht="15" hidden="false" customHeight="true" outlineLevel="0" collapsed="false">
      <c r="J4712" s="14" t="b">
        <f aca="false">IF(중복검사!$A4710="",FALSE(),중복검사!$H4710="중복")</f>
        <v>0</v>
      </c>
      <c r="K4712" s="5" t="str">
        <f aca="false">IF($J4712=FALSE(),"",COUNTIF($J$6:$J4712,TRUE()))</f>
        <v/>
      </c>
      <c r="L4712" s="5" t="str">
        <f aca="false">IF($K4712="","","R"&amp;$K4712)</f>
        <v/>
      </c>
    </row>
    <row r="4713" customFormat="false" ht="15" hidden="false" customHeight="true" outlineLevel="0" collapsed="false">
      <c r="J4713" s="14" t="b">
        <f aca="false">IF(중복검사!$A4711="",FALSE(),중복검사!$H4711="중복")</f>
        <v>0</v>
      </c>
      <c r="K4713" s="5" t="str">
        <f aca="false">IF($J4713=FALSE(),"",COUNTIF($J$6:$J4713,TRUE()))</f>
        <v/>
      </c>
      <c r="L4713" s="5" t="str">
        <f aca="false">IF($K4713="","","R"&amp;$K4713)</f>
        <v/>
      </c>
    </row>
    <row r="4714" customFormat="false" ht="15" hidden="false" customHeight="true" outlineLevel="0" collapsed="false">
      <c r="J4714" s="14" t="b">
        <f aca="false">IF(중복검사!$A4712="",FALSE(),중복검사!$H4712="중복")</f>
        <v>0</v>
      </c>
      <c r="K4714" s="5" t="str">
        <f aca="false">IF($J4714=FALSE(),"",COUNTIF($J$6:$J4714,TRUE()))</f>
        <v/>
      </c>
      <c r="L4714" s="5" t="str">
        <f aca="false">IF($K4714="","","R"&amp;$K4714)</f>
        <v/>
      </c>
    </row>
    <row r="4715" customFormat="false" ht="15" hidden="false" customHeight="true" outlineLevel="0" collapsed="false">
      <c r="J4715" s="14" t="b">
        <f aca="false">IF(중복검사!$A4713="",FALSE(),중복검사!$H4713="중복")</f>
        <v>0</v>
      </c>
      <c r="K4715" s="5" t="str">
        <f aca="false">IF($J4715=FALSE(),"",COUNTIF($J$6:$J4715,TRUE()))</f>
        <v/>
      </c>
      <c r="L4715" s="5" t="str">
        <f aca="false">IF($K4715="","","R"&amp;$K4715)</f>
        <v/>
      </c>
    </row>
    <row r="4716" customFormat="false" ht="15" hidden="false" customHeight="true" outlineLevel="0" collapsed="false">
      <c r="J4716" s="14" t="b">
        <f aca="false">IF(중복검사!$A4714="",FALSE(),중복검사!$H4714="중복")</f>
        <v>0</v>
      </c>
      <c r="K4716" s="5" t="str">
        <f aca="false">IF($J4716=FALSE(),"",COUNTIF($J$6:$J4716,TRUE()))</f>
        <v/>
      </c>
      <c r="L4716" s="5" t="str">
        <f aca="false">IF($K4716="","","R"&amp;$K4716)</f>
        <v/>
      </c>
    </row>
    <row r="4717" customFormat="false" ht="15" hidden="false" customHeight="true" outlineLevel="0" collapsed="false">
      <c r="J4717" s="14" t="b">
        <f aca="false">IF(중복검사!$A4715="",FALSE(),중복검사!$H4715="중복")</f>
        <v>0</v>
      </c>
      <c r="K4717" s="5" t="str">
        <f aca="false">IF($J4717=FALSE(),"",COUNTIF($J$6:$J4717,TRUE()))</f>
        <v/>
      </c>
      <c r="L4717" s="5" t="str">
        <f aca="false">IF($K4717="","","R"&amp;$K4717)</f>
        <v/>
      </c>
    </row>
    <row r="4718" customFormat="false" ht="15" hidden="false" customHeight="true" outlineLevel="0" collapsed="false">
      <c r="J4718" s="14" t="b">
        <f aca="false">IF(중복검사!$A4716="",FALSE(),중복검사!$H4716="중복")</f>
        <v>0</v>
      </c>
      <c r="K4718" s="5" t="str">
        <f aca="false">IF($J4718=FALSE(),"",COUNTIF($J$6:$J4718,TRUE()))</f>
        <v/>
      </c>
      <c r="L4718" s="5" t="str">
        <f aca="false">IF($K4718="","","R"&amp;$K4718)</f>
        <v/>
      </c>
    </row>
    <row r="4719" customFormat="false" ht="15" hidden="false" customHeight="true" outlineLevel="0" collapsed="false">
      <c r="J4719" s="14" t="b">
        <f aca="false">IF(중복검사!$A4717="",FALSE(),중복검사!$H4717="중복")</f>
        <v>0</v>
      </c>
      <c r="K4719" s="5" t="str">
        <f aca="false">IF($J4719=FALSE(),"",COUNTIF($J$6:$J4719,TRUE()))</f>
        <v/>
      </c>
      <c r="L4719" s="5" t="str">
        <f aca="false">IF($K4719="","","R"&amp;$K4719)</f>
        <v/>
      </c>
    </row>
    <row r="4720" customFormat="false" ht="15" hidden="false" customHeight="true" outlineLevel="0" collapsed="false">
      <c r="J4720" s="14" t="b">
        <f aca="false">IF(중복검사!$A4718="",FALSE(),중복검사!$H4718="중복")</f>
        <v>0</v>
      </c>
      <c r="K4720" s="5" t="str">
        <f aca="false">IF($J4720=FALSE(),"",COUNTIF($J$6:$J4720,TRUE()))</f>
        <v/>
      </c>
      <c r="L4720" s="5" t="str">
        <f aca="false">IF($K4720="","","R"&amp;$K4720)</f>
        <v/>
      </c>
    </row>
    <row r="4721" customFormat="false" ht="15" hidden="false" customHeight="true" outlineLevel="0" collapsed="false">
      <c r="J4721" s="14" t="b">
        <f aca="false">IF(중복검사!$A4719="",FALSE(),중복검사!$H4719="중복")</f>
        <v>0</v>
      </c>
      <c r="K4721" s="5" t="str">
        <f aca="false">IF($J4721=FALSE(),"",COUNTIF($J$6:$J4721,TRUE()))</f>
        <v/>
      </c>
      <c r="L4721" s="5" t="str">
        <f aca="false">IF($K4721="","","R"&amp;$K4721)</f>
        <v/>
      </c>
    </row>
    <row r="4722" customFormat="false" ht="15" hidden="false" customHeight="true" outlineLevel="0" collapsed="false">
      <c r="J4722" s="14" t="b">
        <f aca="false">IF(중복검사!$A4720="",FALSE(),중복검사!$H4720="중복")</f>
        <v>0</v>
      </c>
      <c r="K4722" s="5" t="str">
        <f aca="false">IF($J4722=FALSE(),"",COUNTIF($J$6:$J4722,TRUE()))</f>
        <v/>
      </c>
      <c r="L4722" s="5" t="str">
        <f aca="false">IF($K4722="","","R"&amp;$K4722)</f>
        <v/>
      </c>
    </row>
    <row r="4723" customFormat="false" ht="15" hidden="false" customHeight="true" outlineLevel="0" collapsed="false">
      <c r="J4723" s="14" t="b">
        <f aca="false">IF(중복검사!$A4721="",FALSE(),중복검사!$H4721="중복")</f>
        <v>0</v>
      </c>
      <c r="K4723" s="5" t="str">
        <f aca="false">IF($J4723=FALSE(),"",COUNTIF($J$6:$J4723,TRUE()))</f>
        <v/>
      </c>
      <c r="L4723" s="5" t="str">
        <f aca="false">IF($K4723="","","R"&amp;$K4723)</f>
        <v/>
      </c>
    </row>
    <row r="4724" customFormat="false" ht="15" hidden="false" customHeight="true" outlineLevel="0" collapsed="false">
      <c r="J4724" s="14" t="b">
        <f aca="false">IF(중복검사!$A4722="",FALSE(),중복검사!$H4722="중복")</f>
        <v>0</v>
      </c>
      <c r="K4724" s="5" t="str">
        <f aca="false">IF($J4724=FALSE(),"",COUNTIF($J$6:$J4724,TRUE()))</f>
        <v/>
      </c>
      <c r="L4724" s="5" t="str">
        <f aca="false">IF($K4724="","","R"&amp;$K4724)</f>
        <v/>
      </c>
    </row>
    <row r="4725" customFormat="false" ht="15" hidden="false" customHeight="true" outlineLevel="0" collapsed="false">
      <c r="J4725" s="14" t="b">
        <f aca="false">IF(중복검사!$A4723="",FALSE(),중복검사!$H4723="중복")</f>
        <v>0</v>
      </c>
      <c r="K4725" s="5" t="str">
        <f aca="false">IF($J4725=FALSE(),"",COUNTIF($J$6:$J4725,TRUE()))</f>
        <v/>
      </c>
      <c r="L4725" s="5" t="str">
        <f aca="false">IF($K4725="","","R"&amp;$K4725)</f>
        <v/>
      </c>
    </row>
    <row r="4726" customFormat="false" ht="15" hidden="false" customHeight="true" outlineLevel="0" collapsed="false">
      <c r="J4726" s="14" t="b">
        <f aca="false">IF(중복검사!$A4724="",FALSE(),중복검사!$H4724="중복")</f>
        <v>0</v>
      </c>
      <c r="K4726" s="5" t="str">
        <f aca="false">IF($J4726=FALSE(),"",COUNTIF($J$6:$J4726,TRUE()))</f>
        <v/>
      </c>
      <c r="L4726" s="5" t="str">
        <f aca="false">IF($K4726="","","R"&amp;$K4726)</f>
        <v/>
      </c>
    </row>
    <row r="4727" customFormat="false" ht="15" hidden="false" customHeight="true" outlineLevel="0" collapsed="false">
      <c r="J4727" s="14" t="b">
        <f aca="false">IF(중복검사!$A4725="",FALSE(),중복검사!$H4725="중복")</f>
        <v>0</v>
      </c>
      <c r="K4727" s="5" t="str">
        <f aca="false">IF($J4727=FALSE(),"",COUNTIF($J$6:$J4727,TRUE()))</f>
        <v/>
      </c>
      <c r="L4727" s="5" t="str">
        <f aca="false">IF($K4727="","","R"&amp;$K4727)</f>
        <v/>
      </c>
    </row>
    <row r="4728" customFormat="false" ht="15" hidden="false" customHeight="true" outlineLevel="0" collapsed="false">
      <c r="J4728" s="14" t="b">
        <f aca="false">IF(중복검사!$A4726="",FALSE(),중복검사!$H4726="중복")</f>
        <v>0</v>
      </c>
      <c r="K4728" s="5" t="str">
        <f aca="false">IF($J4728=FALSE(),"",COUNTIF($J$6:$J4728,TRUE()))</f>
        <v/>
      </c>
      <c r="L4728" s="5" t="str">
        <f aca="false">IF($K4728="","","R"&amp;$K4728)</f>
        <v/>
      </c>
    </row>
    <row r="4729" customFormat="false" ht="15" hidden="false" customHeight="true" outlineLevel="0" collapsed="false">
      <c r="J4729" s="14" t="b">
        <f aca="false">IF(중복검사!$A4727="",FALSE(),중복검사!$H4727="중복")</f>
        <v>0</v>
      </c>
      <c r="K4729" s="5" t="str">
        <f aca="false">IF($J4729=FALSE(),"",COUNTIF($J$6:$J4729,TRUE()))</f>
        <v/>
      </c>
      <c r="L4729" s="5" t="str">
        <f aca="false">IF($K4729="","","R"&amp;$K4729)</f>
        <v/>
      </c>
    </row>
    <row r="4730" customFormat="false" ht="15" hidden="false" customHeight="true" outlineLevel="0" collapsed="false">
      <c r="J4730" s="14" t="b">
        <f aca="false">IF(중복검사!$A4728="",FALSE(),중복검사!$H4728="중복")</f>
        <v>0</v>
      </c>
      <c r="K4730" s="5" t="str">
        <f aca="false">IF($J4730=FALSE(),"",COUNTIF($J$6:$J4730,TRUE()))</f>
        <v/>
      </c>
      <c r="L4730" s="5" t="str">
        <f aca="false">IF($K4730="","","R"&amp;$K4730)</f>
        <v/>
      </c>
    </row>
    <row r="4731" customFormat="false" ht="15" hidden="false" customHeight="true" outlineLevel="0" collapsed="false">
      <c r="J4731" s="14" t="b">
        <f aca="false">IF(중복검사!$A4729="",FALSE(),중복검사!$H4729="중복")</f>
        <v>0</v>
      </c>
      <c r="K4731" s="5" t="str">
        <f aca="false">IF($J4731=FALSE(),"",COUNTIF($J$6:$J4731,TRUE()))</f>
        <v/>
      </c>
      <c r="L4731" s="5" t="str">
        <f aca="false">IF($K4731="","","R"&amp;$K4731)</f>
        <v/>
      </c>
    </row>
    <row r="4732" customFormat="false" ht="15" hidden="false" customHeight="true" outlineLevel="0" collapsed="false">
      <c r="J4732" s="14" t="b">
        <f aca="false">IF(중복검사!$A4730="",FALSE(),중복검사!$H4730="중복")</f>
        <v>0</v>
      </c>
      <c r="K4732" s="5" t="str">
        <f aca="false">IF($J4732=FALSE(),"",COUNTIF($J$6:$J4732,TRUE()))</f>
        <v/>
      </c>
      <c r="L4732" s="5" t="str">
        <f aca="false">IF($K4732="","","R"&amp;$K4732)</f>
        <v/>
      </c>
    </row>
    <row r="4733" customFormat="false" ht="15" hidden="false" customHeight="true" outlineLevel="0" collapsed="false">
      <c r="J4733" s="14" t="b">
        <f aca="false">IF(중복검사!$A4731="",FALSE(),중복검사!$H4731="중복")</f>
        <v>0</v>
      </c>
      <c r="K4733" s="5" t="str">
        <f aca="false">IF($J4733=FALSE(),"",COUNTIF($J$6:$J4733,TRUE()))</f>
        <v/>
      </c>
      <c r="L4733" s="5" t="str">
        <f aca="false">IF($K4733="","","R"&amp;$K4733)</f>
        <v/>
      </c>
    </row>
    <row r="4734" customFormat="false" ht="15" hidden="false" customHeight="true" outlineLevel="0" collapsed="false">
      <c r="J4734" s="14" t="b">
        <f aca="false">IF(중복검사!$A4732="",FALSE(),중복검사!$H4732="중복")</f>
        <v>0</v>
      </c>
      <c r="K4734" s="5" t="str">
        <f aca="false">IF($J4734=FALSE(),"",COUNTIF($J$6:$J4734,TRUE()))</f>
        <v/>
      </c>
      <c r="L4734" s="5" t="str">
        <f aca="false">IF($K4734="","","R"&amp;$K4734)</f>
        <v/>
      </c>
    </row>
    <row r="4735" customFormat="false" ht="15" hidden="false" customHeight="true" outlineLevel="0" collapsed="false">
      <c r="J4735" s="14" t="b">
        <f aca="false">IF(중복검사!$A4733="",FALSE(),중복검사!$H4733="중복")</f>
        <v>0</v>
      </c>
      <c r="K4735" s="5" t="str">
        <f aca="false">IF($J4735=FALSE(),"",COUNTIF($J$6:$J4735,TRUE()))</f>
        <v/>
      </c>
      <c r="L4735" s="5" t="str">
        <f aca="false">IF($K4735="","","R"&amp;$K4735)</f>
        <v/>
      </c>
    </row>
    <row r="4736" customFormat="false" ht="15" hidden="false" customHeight="true" outlineLevel="0" collapsed="false">
      <c r="J4736" s="14" t="b">
        <f aca="false">IF(중복검사!$A4734="",FALSE(),중복검사!$H4734="중복")</f>
        <v>0</v>
      </c>
      <c r="K4736" s="5" t="str">
        <f aca="false">IF($J4736=FALSE(),"",COUNTIF($J$6:$J4736,TRUE()))</f>
        <v/>
      </c>
      <c r="L4736" s="5" t="str">
        <f aca="false">IF($K4736="","","R"&amp;$K4736)</f>
        <v/>
      </c>
    </row>
    <row r="4737" customFormat="false" ht="15" hidden="false" customHeight="true" outlineLevel="0" collapsed="false">
      <c r="J4737" s="14" t="b">
        <f aca="false">IF(중복검사!$A4735="",FALSE(),중복검사!$H4735="중복")</f>
        <v>0</v>
      </c>
      <c r="K4737" s="5" t="str">
        <f aca="false">IF($J4737=FALSE(),"",COUNTIF($J$6:$J4737,TRUE()))</f>
        <v/>
      </c>
      <c r="L4737" s="5" t="str">
        <f aca="false">IF($K4737="","","R"&amp;$K4737)</f>
        <v/>
      </c>
    </row>
    <row r="4738" customFormat="false" ht="15" hidden="false" customHeight="true" outlineLevel="0" collapsed="false">
      <c r="J4738" s="14" t="b">
        <f aca="false">IF(중복검사!$A4736="",FALSE(),중복검사!$H4736="중복")</f>
        <v>0</v>
      </c>
      <c r="K4738" s="5" t="str">
        <f aca="false">IF($J4738=FALSE(),"",COUNTIF($J$6:$J4738,TRUE()))</f>
        <v/>
      </c>
      <c r="L4738" s="5" t="str">
        <f aca="false">IF($K4738="","","R"&amp;$K4738)</f>
        <v/>
      </c>
    </row>
    <row r="4739" customFormat="false" ht="15" hidden="false" customHeight="true" outlineLevel="0" collapsed="false">
      <c r="J4739" s="14" t="b">
        <f aca="false">IF(중복검사!$A4737="",FALSE(),중복검사!$H4737="중복")</f>
        <v>0</v>
      </c>
      <c r="K4739" s="5" t="str">
        <f aca="false">IF($J4739=FALSE(),"",COUNTIF($J$6:$J4739,TRUE()))</f>
        <v/>
      </c>
      <c r="L4739" s="5" t="str">
        <f aca="false">IF($K4739="","","R"&amp;$K4739)</f>
        <v/>
      </c>
    </row>
    <row r="4740" customFormat="false" ht="15" hidden="false" customHeight="true" outlineLevel="0" collapsed="false">
      <c r="J4740" s="14" t="b">
        <f aca="false">IF(중복검사!$A4738="",FALSE(),중복검사!$H4738="중복")</f>
        <v>0</v>
      </c>
      <c r="K4740" s="5" t="str">
        <f aca="false">IF($J4740=FALSE(),"",COUNTIF($J$6:$J4740,TRUE()))</f>
        <v/>
      </c>
      <c r="L4740" s="5" t="str">
        <f aca="false">IF($K4740="","","R"&amp;$K4740)</f>
        <v/>
      </c>
    </row>
    <row r="4741" customFormat="false" ht="15" hidden="false" customHeight="true" outlineLevel="0" collapsed="false">
      <c r="J4741" s="14" t="b">
        <f aca="false">IF(중복검사!$A4739="",FALSE(),중복검사!$H4739="중복")</f>
        <v>0</v>
      </c>
      <c r="K4741" s="5" t="str">
        <f aca="false">IF($J4741=FALSE(),"",COUNTIF($J$6:$J4741,TRUE()))</f>
        <v/>
      </c>
      <c r="L4741" s="5" t="str">
        <f aca="false">IF($K4741="","","R"&amp;$K4741)</f>
        <v/>
      </c>
    </row>
    <row r="4742" customFormat="false" ht="15" hidden="false" customHeight="true" outlineLevel="0" collapsed="false">
      <c r="J4742" s="14" t="b">
        <f aca="false">IF(중복검사!$A4740="",FALSE(),중복검사!$H4740="중복")</f>
        <v>0</v>
      </c>
      <c r="K4742" s="5" t="str">
        <f aca="false">IF($J4742=FALSE(),"",COUNTIF($J$6:$J4742,TRUE()))</f>
        <v/>
      </c>
      <c r="L4742" s="5" t="str">
        <f aca="false">IF($K4742="","","R"&amp;$K4742)</f>
        <v/>
      </c>
    </row>
    <row r="4743" customFormat="false" ht="15" hidden="false" customHeight="true" outlineLevel="0" collapsed="false">
      <c r="J4743" s="14" t="b">
        <f aca="false">IF(중복검사!$A4741="",FALSE(),중복검사!$H4741="중복")</f>
        <v>0</v>
      </c>
      <c r="K4743" s="5" t="str">
        <f aca="false">IF($J4743=FALSE(),"",COUNTIF($J$6:$J4743,TRUE()))</f>
        <v/>
      </c>
      <c r="L4743" s="5" t="str">
        <f aca="false">IF($K4743="","","R"&amp;$K4743)</f>
        <v/>
      </c>
    </row>
    <row r="4744" customFormat="false" ht="15" hidden="false" customHeight="true" outlineLevel="0" collapsed="false">
      <c r="J4744" s="14" t="b">
        <f aca="false">IF(중복검사!$A4742="",FALSE(),중복검사!$H4742="중복")</f>
        <v>0</v>
      </c>
      <c r="K4744" s="5" t="str">
        <f aca="false">IF($J4744=FALSE(),"",COUNTIF($J$6:$J4744,TRUE()))</f>
        <v/>
      </c>
      <c r="L4744" s="5" t="str">
        <f aca="false">IF($K4744="","","R"&amp;$K4744)</f>
        <v/>
      </c>
    </row>
    <row r="4745" customFormat="false" ht="15" hidden="false" customHeight="true" outlineLevel="0" collapsed="false">
      <c r="J4745" s="14" t="b">
        <f aca="false">IF(중복검사!$A4743="",FALSE(),중복검사!$H4743="중복")</f>
        <v>0</v>
      </c>
      <c r="K4745" s="5" t="str">
        <f aca="false">IF($J4745=FALSE(),"",COUNTIF($J$6:$J4745,TRUE()))</f>
        <v/>
      </c>
      <c r="L4745" s="5" t="str">
        <f aca="false">IF($K4745="","","R"&amp;$K4745)</f>
        <v/>
      </c>
    </row>
    <row r="4746" customFormat="false" ht="15" hidden="false" customHeight="true" outlineLevel="0" collapsed="false">
      <c r="J4746" s="14" t="b">
        <f aca="false">IF(중복검사!$A4744="",FALSE(),중복검사!$H4744="중복")</f>
        <v>0</v>
      </c>
      <c r="K4746" s="5" t="str">
        <f aca="false">IF($J4746=FALSE(),"",COUNTIF($J$6:$J4746,TRUE()))</f>
        <v/>
      </c>
      <c r="L4746" s="5" t="str">
        <f aca="false">IF($K4746="","","R"&amp;$K4746)</f>
        <v/>
      </c>
    </row>
    <row r="4747" customFormat="false" ht="15" hidden="false" customHeight="true" outlineLevel="0" collapsed="false">
      <c r="J4747" s="14" t="b">
        <f aca="false">IF(중복검사!$A4745="",FALSE(),중복검사!$H4745="중복")</f>
        <v>0</v>
      </c>
      <c r="K4747" s="5" t="str">
        <f aca="false">IF($J4747=FALSE(),"",COUNTIF($J$6:$J4747,TRUE()))</f>
        <v/>
      </c>
      <c r="L4747" s="5" t="str">
        <f aca="false">IF($K4747="","","R"&amp;$K4747)</f>
        <v/>
      </c>
    </row>
    <row r="4748" customFormat="false" ht="15" hidden="false" customHeight="true" outlineLevel="0" collapsed="false">
      <c r="J4748" s="14" t="b">
        <f aca="false">IF(중복검사!$A4746="",FALSE(),중복검사!$H4746="중복")</f>
        <v>0</v>
      </c>
      <c r="K4748" s="5" t="str">
        <f aca="false">IF($J4748=FALSE(),"",COUNTIF($J$6:$J4748,TRUE()))</f>
        <v/>
      </c>
      <c r="L4748" s="5" t="str">
        <f aca="false">IF($K4748="","","R"&amp;$K4748)</f>
        <v/>
      </c>
    </row>
    <row r="4749" customFormat="false" ht="15" hidden="false" customHeight="true" outlineLevel="0" collapsed="false">
      <c r="J4749" s="14" t="b">
        <f aca="false">IF(중복검사!$A4747="",FALSE(),중복검사!$H4747="중복")</f>
        <v>0</v>
      </c>
      <c r="K4749" s="5" t="str">
        <f aca="false">IF($J4749=FALSE(),"",COUNTIF($J$6:$J4749,TRUE()))</f>
        <v/>
      </c>
      <c r="L4749" s="5" t="str">
        <f aca="false">IF($K4749="","","R"&amp;$K4749)</f>
        <v/>
      </c>
    </row>
    <row r="4750" customFormat="false" ht="15" hidden="false" customHeight="true" outlineLevel="0" collapsed="false">
      <c r="J4750" s="14" t="b">
        <f aca="false">IF(중복검사!$A4748="",FALSE(),중복검사!$H4748="중복")</f>
        <v>0</v>
      </c>
      <c r="K4750" s="5" t="str">
        <f aca="false">IF($J4750=FALSE(),"",COUNTIF($J$6:$J4750,TRUE()))</f>
        <v/>
      </c>
      <c r="L4750" s="5" t="str">
        <f aca="false">IF($K4750="","","R"&amp;$K4750)</f>
        <v/>
      </c>
    </row>
    <row r="4751" customFormat="false" ht="15" hidden="false" customHeight="true" outlineLevel="0" collapsed="false">
      <c r="J4751" s="14" t="b">
        <f aca="false">IF(중복검사!$A4749="",FALSE(),중복검사!$H4749="중복")</f>
        <v>0</v>
      </c>
      <c r="K4751" s="5" t="str">
        <f aca="false">IF($J4751=FALSE(),"",COUNTIF($J$6:$J4751,TRUE()))</f>
        <v/>
      </c>
      <c r="L4751" s="5" t="str">
        <f aca="false">IF($K4751="","","R"&amp;$K4751)</f>
        <v/>
      </c>
    </row>
    <row r="4752" customFormat="false" ht="15" hidden="false" customHeight="true" outlineLevel="0" collapsed="false">
      <c r="J4752" s="14" t="b">
        <f aca="false">IF(중복검사!$A4750="",FALSE(),중복검사!$H4750="중복")</f>
        <v>0</v>
      </c>
      <c r="K4752" s="5" t="str">
        <f aca="false">IF($J4752=FALSE(),"",COUNTIF($J$6:$J4752,TRUE()))</f>
        <v/>
      </c>
      <c r="L4752" s="5" t="str">
        <f aca="false">IF($K4752="","","R"&amp;$K4752)</f>
        <v/>
      </c>
    </row>
    <row r="4753" customFormat="false" ht="15" hidden="false" customHeight="true" outlineLevel="0" collapsed="false">
      <c r="J4753" s="14" t="b">
        <f aca="false">IF(중복검사!$A4751="",FALSE(),중복검사!$H4751="중복")</f>
        <v>0</v>
      </c>
      <c r="K4753" s="5" t="str">
        <f aca="false">IF($J4753=FALSE(),"",COUNTIF($J$6:$J4753,TRUE()))</f>
        <v/>
      </c>
      <c r="L4753" s="5" t="str">
        <f aca="false">IF($K4753="","","R"&amp;$K4753)</f>
        <v/>
      </c>
    </row>
    <row r="4754" customFormat="false" ht="15" hidden="false" customHeight="true" outlineLevel="0" collapsed="false">
      <c r="J4754" s="14" t="b">
        <f aca="false">IF(중복검사!$A4752="",FALSE(),중복검사!$H4752="중복")</f>
        <v>0</v>
      </c>
      <c r="K4754" s="5" t="str">
        <f aca="false">IF($J4754=FALSE(),"",COUNTIF($J$6:$J4754,TRUE()))</f>
        <v/>
      </c>
      <c r="L4754" s="5" t="str">
        <f aca="false">IF($K4754="","","R"&amp;$K4754)</f>
        <v/>
      </c>
    </row>
    <row r="4755" customFormat="false" ht="15" hidden="false" customHeight="true" outlineLevel="0" collapsed="false">
      <c r="J4755" s="14" t="b">
        <f aca="false">IF(중복검사!$A4753="",FALSE(),중복검사!$H4753="중복")</f>
        <v>0</v>
      </c>
      <c r="K4755" s="5" t="str">
        <f aca="false">IF($J4755=FALSE(),"",COUNTIF($J$6:$J4755,TRUE()))</f>
        <v/>
      </c>
      <c r="L4755" s="5" t="str">
        <f aca="false">IF($K4755="","","R"&amp;$K4755)</f>
        <v/>
      </c>
    </row>
    <row r="4756" customFormat="false" ht="15" hidden="false" customHeight="true" outlineLevel="0" collapsed="false">
      <c r="J4756" s="14" t="b">
        <f aca="false">IF(중복검사!$A4754="",FALSE(),중복검사!$H4754="중복")</f>
        <v>0</v>
      </c>
      <c r="K4756" s="5" t="str">
        <f aca="false">IF($J4756=FALSE(),"",COUNTIF($J$6:$J4756,TRUE()))</f>
        <v/>
      </c>
      <c r="L4756" s="5" t="str">
        <f aca="false">IF($K4756="","","R"&amp;$K4756)</f>
        <v/>
      </c>
    </row>
    <row r="4757" customFormat="false" ht="15" hidden="false" customHeight="true" outlineLevel="0" collapsed="false">
      <c r="J4757" s="14" t="b">
        <f aca="false">IF(중복검사!$A4755="",FALSE(),중복검사!$H4755="중복")</f>
        <v>0</v>
      </c>
      <c r="K4757" s="5" t="str">
        <f aca="false">IF($J4757=FALSE(),"",COUNTIF($J$6:$J4757,TRUE()))</f>
        <v/>
      </c>
      <c r="L4757" s="5" t="str">
        <f aca="false">IF($K4757="","","R"&amp;$K4757)</f>
        <v/>
      </c>
    </row>
    <row r="4758" customFormat="false" ht="15" hidden="false" customHeight="true" outlineLevel="0" collapsed="false">
      <c r="J4758" s="14" t="b">
        <f aca="false">IF(중복검사!$A4756="",FALSE(),중복검사!$H4756="중복")</f>
        <v>0</v>
      </c>
      <c r="K4758" s="5" t="str">
        <f aca="false">IF($J4758=FALSE(),"",COUNTIF($J$6:$J4758,TRUE()))</f>
        <v/>
      </c>
      <c r="L4758" s="5" t="str">
        <f aca="false">IF($K4758="","","R"&amp;$K4758)</f>
        <v/>
      </c>
    </row>
    <row r="4759" customFormat="false" ht="15" hidden="false" customHeight="true" outlineLevel="0" collapsed="false">
      <c r="J4759" s="14" t="b">
        <f aca="false">IF(중복검사!$A4757="",FALSE(),중복검사!$H4757="중복")</f>
        <v>0</v>
      </c>
      <c r="K4759" s="5" t="str">
        <f aca="false">IF($J4759=FALSE(),"",COUNTIF($J$6:$J4759,TRUE()))</f>
        <v/>
      </c>
      <c r="L4759" s="5" t="str">
        <f aca="false">IF($K4759="","","R"&amp;$K4759)</f>
        <v/>
      </c>
    </row>
    <row r="4760" customFormat="false" ht="15" hidden="false" customHeight="true" outlineLevel="0" collapsed="false">
      <c r="J4760" s="14" t="b">
        <f aca="false">IF(중복검사!$A4758="",FALSE(),중복검사!$H4758="중복")</f>
        <v>0</v>
      </c>
      <c r="K4760" s="5" t="str">
        <f aca="false">IF($J4760=FALSE(),"",COUNTIF($J$6:$J4760,TRUE()))</f>
        <v/>
      </c>
      <c r="L4760" s="5" t="str">
        <f aca="false">IF($K4760="","","R"&amp;$K4760)</f>
        <v/>
      </c>
    </row>
    <row r="4761" customFormat="false" ht="15" hidden="false" customHeight="true" outlineLevel="0" collapsed="false">
      <c r="J4761" s="14" t="b">
        <f aca="false">IF(중복검사!$A4759="",FALSE(),중복검사!$H4759="중복")</f>
        <v>0</v>
      </c>
      <c r="K4761" s="5" t="str">
        <f aca="false">IF($J4761=FALSE(),"",COUNTIF($J$6:$J4761,TRUE()))</f>
        <v/>
      </c>
      <c r="L4761" s="5" t="str">
        <f aca="false">IF($K4761="","","R"&amp;$K4761)</f>
        <v/>
      </c>
    </row>
    <row r="4762" customFormat="false" ht="15" hidden="false" customHeight="true" outlineLevel="0" collapsed="false">
      <c r="J4762" s="14" t="b">
        <f aca="false">IF(중복검사!$A4760="",FALSE(),중복검사!$H4760="중복")</f>
        <v>0</v>
      </c>
      <c r="K4762" s="5" t="str">
        <f aca="false">IF($J4762=FALSE(),"",COUNTIF($J$6:$J4762,TRUE()))</f>
        <v/>
      </c>
      <c r="L4762" s="5" t="str">
        <f aca="false">IF($K4762="","","R"&amp;$K4762)</f>
        <v/>
      </c>
    </row>
    <row r="4763" customFormat="false" ht="15" hidden="false" customHeight="true" outlineLevel="0" collapsed="false">
      <c r="J4763" s="14" t="b">
        <f aca="false">IF(중복검사!$A4761="",FALSE(),중복검사!$H4761="중복")</f>
        <v>0</v>
      </c>
      <c r="K4763" s="5" t="str">
        <f aca="false">IF($J4763=FALSE(),"",COUNTIF($J$6:$J4763,TRUE()))</f>
        <v/>
      </c>
      <c r="L4763" s="5" t="str">
        <f aca="false">IF($K4763="","","R"&amp;$K4763)</f>
        <v/>
      </c>
    </row>
    <row r="4764" customFormat="false" ht="15" hidden="false" customHeight="true" outlineLevel="0" collapsed="false">
      <c r="J4764" s="14" t="b">
        <f aca="false">IF(중복검사!$A4762="",FALSE(),중복검사!$H4762="중복")</f>
        <v>0</v>
      </c>
      <c r="K4764" s="5" t="str">
        <f aca="false">IF($J4764=FALSE(),"",COUNTIF($J$6:$J4764,TRUE()))</f>
        <v/>
      </c>
      <c r="L4764" s="5" t="str">
        <f aca="false">IF($K4764="","","R"&amp;$K4764)</f>
        <v/>
      </c>
    </row>
    <row r="4765" customFormat="false" ht="15" hidden="false" customHeight="true" outlineLevel="0" collapsed="false">
      <c r="J4765" s="14" t="b">
        <f aca="false">IF(중복검사!$A4763="",FALSE(),중복검사!$H4763="중복")</f>
        <v>0</v>
      </c>
      <c r="K4765" s="5" t="str">
        <f aca="false">IF($J4765=FALSE(),"",COUNTIF($J$6:$J4765,TRUE()))</f>
        <v/>
      </c>
      <c r="L4765" s="5" t="str">
        <f aca="false">IF($K4765="","","R"&amp;$K4765)</f>
        <v/>
      </c>
    </row>
    <row r="4766" customFormat="false" ht="15" hidden="false" customHeight="true" outlineLevel="0" collapsed="false">
      <c r="J4766" s="14" t="b">
        <f aca="false">IF(중복검사!$A4764="",FALSE(),중복검사!$H4764="중복")</f>
        <v>0</v>
      </c>
      <c r="K4766" s="5" t="str">
        <f aca="false">IF($J4766=FALSE(),"",COUNTIF($J$6:$J4766,TRUE()))</f>
        <v/>
      </c>
      <c r="L4766" s="5" t="str">
        <f aca="false">IF($K4766="","","R"&amp;$K4766)</f>
        <v/>
      </c>
    </row>
    <row r="4767" customFormat="false" ht="15" hidden="false" customHeight="true" outlineLevel="0" collapsed="false">
      <c r="J4767" s="14" t="b">
        <f aca="false">IF(중복검사!$A4765="",FALSE(),중복검사!$H4765="중복")</f>
        <v>0</v>
      </c>
      <c r="K4767" s="5" t="str">
        <f aca="false">IF($J4767=FALSE(),"",COUNTIF($J$6:$J4767,TRUE()))</f>
        <v/>
      </c>
      <c r="L4767" s="5" t="str">
        <f aca="false">IF($K4767="","","R"&amp;$K4767)</f>
        <v/>
      </c>
    </row>
    <row r="4768" customFormat="false" ht="15" hidden="false" customHeight="true" outlineLevel="0" collapsed="false">
      <c r="J4768" s="14" t="b">
        <f aca="false">IF(중복검사!$A4766="",FALSE(),중복검사!$H4766="중복")</f>
        <v>0</v>
      </c>
      <c r="K4768" s="5" t="str">
        <f aca="false">IF($J4768=FALSE(),"",COUNTIF($J$6:$J4768,TRUE()))</f>
        <v/>
      </c>
      <c r="L4768" s="5" t="str">
        <f aca="false">IF($K4768="","","R"&amp;$K4768)</f>
        <v/>
      </c>
    </row>
    <row r="4769" customFormat="false" ht="15" hidden="false" customHeight="true" outlineLevel="0" collapsed="false">
      <c r="J4769" s="14" t="b">
        <f aca="false">IF(중복검사!$A4767="",FALSE(),중복검사!$H4767="중복")</f>
        <v>0</v>
      </c>
      <c r="K4769" s="5" t="str">
        <f aca="false">IF($J4769=FALSE(),"",COUNTIF($J$6:$J4769,TRUE()))</f>
        <v/>
      </c>
      <c r="L4769" s="5" t="str">
        <f aca="false">IF($K4769="","","R"&amp;$K4769)</f>
        <v/>
      </c>
    </row>
    <row r="4770" customFormat="false" ht="15" hidden="false" customHeight="true" outlineLevel="0" collapsed="false">
      <c r="J4770" s="14" t="b">
        <f aca="false">IF(중복검사!$A4768="",FALSE(),중복검사!$H4768="중복")</f>
        <v>0</v>
      </c>
      <c r="K4770" s="5" t="str">
        <f aca="false">IF($J4770=FALSE(),"",COUNTIF($J$6:$J4770,TRUE()))</f>
        <v/>
      </c>
      <c r="L4770" s="5" t="str">
        <f aca="false">IF($K4770="","","R"&amp;$K4770)</f>
        <v/>
      </c>
    </row>
    <row r="4771" customFormat="false" ht="15" hidden="false" customHeight="true" outlineLevel="0" collapsed="false">
      <c r="J4771" s="14" t="b">
        <f aca="false">IF(중복검사!$A4769="",FALSE(),중복검사!$H4769="중복")</f>
        <v>0</v>
      </c>
      <c r="K4771" s="5" t="str">
        <f aca="false">IF($J4771=FALSE(),"",COUNTIF($J$6:$J4771,TRUE()))</f>
        <v/>
      </c>
      <c r="L4771" s="5" t="str">
        <f aca="false">IF($K4771="","","R"&amp;$K4771)</f>
        <v/>
      </c>
    </row>
    <row r="4772" customFormat="false" ht="15" hidden="false" customHeight="true" outlineLevel="0" collapsed="false">
      <c r="J4772" s="14" t="b">
        <f aca="false">IF(중복검사!$A4770="",FALSE(),중복검사!$H4770="중복")</f>
        <v>0</v>
      </c>
      <c r="K4772" s="5" t="str">
        <f aca="false">IF($J4772=FALSE(),"",COUNTIF($J$6:$J4772,TRUE()))</f>
        <v/>
      </c>
      <c r="L4772" s="5" t="str">
        <f aca="false">IF($K4772="","","R"&amp;$K4772)</f>
        <v/>
      </c>
    </row>
    <row r="4773" customFormat="false" ht="15" hidden="false" customHeight="true" outlineLevel="0" collapsed="false">
      <c r="J4773" s="14" t="b">
        <f aca="false">IF(중복검사!$A4771="",FALSE(),중복검사!$H4771="중복")</f>
        <v>0</v>
      </c>
      <c r="K4773" s="5" t="str">
        <f aca="false">IF($J4773=FALSE(),"",COUNTIF($J$6:$J4773,TRUE()))</f>
        <v/>
      </c>
      <c r="L4773" s="5" t="str">
        <f aca="false">IF($K4773="","","R"&amp;$K4773)</f>
        <v/>
      </c>
    </row>
    <row r="4774" customFormat="false" ht="15" hidden="false" customHeight="true" outlineLevel="0" collapsed="false">
      <c r="J4774" s="14" t="b">
        <f aca="false">IF(중복검사!$A4772="",FALSE(),중복검사!$H4772="중복")</f>
        <v>0</v>
      </c>
      <c r="K4774" s="5" t="str">
        <f aca="false">IF($J4774=FALSE(),"",COUNTIF($J$6:$J4774,TRUE()))</f>
        <v/>
      </c>
      <c r="L4774" s="5" t="str">
        <f aca="false">IF($K4774="","","R"&amp;$K4774)</f>
        <v/>
      </c>
    </row>
    <row r="4775" customFormat="false" ht="15" hidden="false" customHeight="true" outlineLevel="0" collapsed="false">
      <c r="J4775" s="14" t="b">
        <f aca="false">IF(중복검사!$A4773="",FALSE(),중복검사!$H4773="중복")</f>
        <v>0</v>
      </c>
      <c r="K4775" s="5" t="str">
        <f aca="false">IF($J4775=FALSE(),"",COUNTIF($J$6:$J4775,TRUE()))</f>
        <v/>
      </c>
      <c r="L4775" s="5" t="str">
        <f aca="false">IF($K4775="","","R"&amp;$K4775)</f>
        <v/>
      </c>
    </row>
    <row r="4776" customFormat="false" ht="15" hidden="false" customHeight="true" outlineLevel="0" collapsed="false">
      <c r="J4776" s="14" t="b">
        <f aca="false">IF(중복검사!$A4774="",FALSE(),중복검사!$H4774="중복")</f>
        <v>0</v>
      </c>
      <c r="K4776" s="5" t="str">
        <f aca="false">IF($J4776=FALSE(),"",COUNTIF($J$6:$J4776,TRUE()))</f>
        <v/>
      </c>
      <c r="L4776" s="5" t="str">
        <f aca="false">IF($K4776="","","R"&amp;$K4776)</f>
        <v/>
      </c>
    </row>
    <row r="4777" customFormat="false" ht="15" hidden="false" customHeight="true" outlineLevel="0" collapsed="false">
      <c r="J4777" s="14" t="b">
        <f aca="false">IF(중복검사!$A4775="",FALSE(),중복검사!$H4775="중복")</f>
        <v>0</v>
      </c>
      <c r="K4777" s="5" t="str">
        <f aca="false">IF($J4777=FALSE(),"",COUNTIF($J$6:$J4777,TRUE()))</f>
        <v/>
      </c>
      <c r="L4777" s="5" t="str">
        <f aca="false">IF($K4777="","","R"&amp;$K4777)</f>
        <v/>
      </c>
    </row>
    <row r="4778" customFormat="false" ht="15" hidden="false" customHeight="true" outlineLevel="0" collapsed="false">
      <c r="J4778" s="14" t="b">
        <f aca="false">IF(중복검사!$A4776="",FALSE(),중복검사!$H4776="중복")</f>
        <v>0</v>
      </c>
      <c r="K4778" s="5" t="str">
        <f aca="false">IF($J4778=FALSE(),"",COUNTIF($J$6:$J4778,TRUE()))</f>
        <v/>
      </c>
      <c r="L4778" s="5" t="str">
        <f aca="false">IF($K4778="","","R"&amp;$K4778)</f>
        <v/>
      </c>
    </row>
    <row r="4779" customFormat="false" ht="15" hidden="false" customHeight="true" outlineLevel="0" collapsed="false">
      <c r="J4779" s="14" t="b">
        <f aca="false">IF(중복검사!$A4777="",FALSE(),중복검사!$H4777="중복")</f>
        <v>0</v>
      </c>
      <c r="K4779" s="5" t="str">
        <f aca="false">IF($J4779=FALSE(),"",COUNTIF($J$6:$J4779,TRUE()))</f>
        <v/>
      </c>
      <c r="L4779" s="5" t="str">
        <f aca="false">IF($K4779="","","R"&amp;$K4779)</f>
        <v/>
      </c>
    </row>
    <row r="4780" customFormat="false" ht="15" hidden="false" customHeight="true" outlineLevel="0" collapsed="false">
      <c r="J4780" s="14" t="b">
        <f aca="false">IF(중복검사!$A4778="",FALSE(),중복검사!$H4778="중복")</f>
        <v>0</v>
      </c>
      <c r="K4780" s="5" t="str">
        <f aca="false">IF($J4780=FALSE(),"",COUNTIF($J$6:$J4780,TRUE()))</f>
        <v/>
      </c>
      <c r="L4780" s="5" t="str">
        <f aca="false">IF($K4780="","","R"&amp;$K4780)</f>
        <v/>
      </c>
    </row>
    <row r="4781" customFormat="false" ht="15" hidden="false" customHeight="true" outlineLevel="0" collapsed="false">
      <c r="J4781" s="14" t="b">
        <f aca="false">IF(중복검사!$A4779="",FALSE(),중복검사!$H4779="중복")</f>
        <v>0</v>
      </c>
      <c r="K4781" s="5" t="str">
        <f aca="false">IF($J4781=FALSE(),"",COUNTIF($J$6:$J4781,TRUE()))</f>
        <v/>
      </c>
      <c r="L4781" s="5" t="str">
        <f aca="false">IF($K4781="","","R"&amp;$K4781)</f>
        <v/>
      </c>
    </row>
    <row r="4782" customFormat="false" ht="15" hidden="false" customHeight="true" outlineLevel="0" collapsed="false">
      <c r="J4782" s="14" t="b">
        <f aca="false">IF(중복검사!$A4780="",FALSE(),중복검사!$H4780="중복")</f>
        <v>0</v>
      </c>
      <c r="K4782" s="5" t="str">
        <f aca="false">IF($J4782=FALSE(),"",COUNTIF($J$6:$J4782,TRUE()))</f>
        <v/>
      </c>
      <c r="L4782" s="5" t="str">
        <f aca="false">IF($K4782="","","R"&amp;$K4782)</f>
        <v/>
      </c>
    </row>
    <row r="4783" customFormat="false" ht="15" hidden="false" customHeight="true" outlineLevel="0" collapsed="false">
      <c r="J4783" s="14" t="b">
        <f aca="false">IF(중복검사!$A4781="",FALSE(),중복검사!$H4781="중복")</f>
        <v>0</v>
      </c>
      <c r="K4783" s="5" t="str">
        <f aca="false">IF($J4783=FALSE(),"",COUNTIF($J$6:$J4783,TRUE()))</f>
        <v/>
      </c>
      <c r="L4783" s="5" t="str">
        <f aca="false">IF($K4783="","","R"&amp;$K4783)</f>
        <v/>
      </c>
    </row>
    <row r="4784" customFormat="false" ht="15" hidden="false" customHeight="true" outlineLevel="0" collapsed="false">
      <c r="J4784" s="14" t="b">
        <f aca="false">IF(중복검사!$A4782="",FALSE(),중복검사!$H4782="중복")</f>
        <v>0</v>
      </c>
      <c r="K4784" s="5" t="str">
        <f aca="false">IF($J4784=FALSE(),"",COUNTIF($J$6:$J4784,TRUE()))</f>
        <v/>
      </c>
      <c r="L4784" s="5" t="str">
        <f aca="false">IF($K4784="","","R"&amp;$K4784)</f>
        <v/>
      </c>
    </row>
    <row r="4785" customFormat="false" ht="15" hidden="false" customHeight="true" outlineLevel="0" collapsed="false">
      <c r="J4785" s="14" t="b">
        <f aca="false">IF(중복검사!$A4783="",FALSE(),중복검사!$H4783="중복")</f>
        <v>0</v>
      </c>
      <c r="K4785" s="5" t="str">
        <f aca="false">IF($J4785=FALSE(),"",COUNTIF($J$6:$J4785,TRUE()))</f>
        <v/>
      </c>
      <c r="L4785" s="5" t="str">
        <f aca="false">IF($K4785="","","R"&amp;$K4785)</f>
        <v/>
      </c>
    </row>
    <row r="4786" customFormat="false" ht="15" hidden="false" customHeight="true" outlineLevel="0" collapsed="false">
      <c r="J4786" s="14" t="b">
        <f aca="false">IF(중복검사!$A4784="",FALSE(),중복검사!$H4784="중복")</f>
        <v>0</v>
      </c>
      <c r="K4786" s="5" t="str">
        <f aca="false">IF($J4786=FALSE(),"",COUNTIF($J$6:$J4786,TRUE()))</f>
        <v/>
      </c>
      <c r="L4786" s="5" t="str">
        <f aca="false">IF($K4786="","","R"&amp;$K4786)</f>
        <v/>
      </c>
    </row>
    <row r="4787" customFormat="false" ht="15" hidden="false" customHeight="true" outlineLevel="0" collapsed="false">
      <c r="J4787" s="14" t="b">
        <f aca="false">IF(중복검사!$A4785="",FALSE(),중복검사!$H4785="중복")</f>
        <v>0</v>
      </c>
      <c r="K4787" s="5" t="str">
        <f aca="false">IF($J4787=FALSE(),"",COUNTIF($J$6:$J4787,TRUE()))</f>
        <v/>
      </c>
      <c r="L4787" s="5" t="str">
        <f aca="false">IF($K4787="","","R"&amp;$K4787)</f>
        <v/>
      </c>
    </row>
    <row r="4788" customFormat="false" ht="15" hidden="false" customHeight="true" outlineLevel="0" collapsed="false">
      <c r="J4788" s="14" t="b">
        <f aca="false">IF(중복검사!$A4786="",FALSE(),중복검사!$H4786="중복")</f>
        <v>0</v>
      </c>
      <c r="K4788" s="5" t="str">
        <f aca="false">IF($J4788=FALSE(),"",COUNTIF($J$6:$J4788,TRUE()))</f>
        <v/>
      </c>
      <c r="L4788" s="5" t="str">
        <f aca="false">IF($K4788="","","R"&amp;$K4788)</f>
        <v/>
      </c>
    </row>
    <row r="4789" customFormat="false" ht="15" hidden="false" customHeight="true" outlineLevel="0" collapsed="false">
      <c r="J4789" s="14" t="b">
        <f aca="false">IF(중복검사!$A4787="",FALSE(),중복검사!$H4787="중복")</f>
        <v>0</v>
      </c>
      <c r="K4789" s="5" t="str">
        <f aca="false">IF($J4789=FALSE(),"",COUNTIF($J$6:$J4789,TRUE()))</f>
        <v/>
      </c>
      <c r="L4789" s="5" t="str">
        <f aca="false">IF($K4789="","","R"&amp;$K4789)</f>
        <v/>
      </c>
    </row>
    <row r="4790" customFormat="false" ht="15" hidden="false" customHeight="true" outlineLevel="0" collapsed="false">
      <c r="J4790" s="14" t="b">
        <f aca="false">IF(중복검사!$A4788="",FALSE(),중복검사!$H4788="중복")</f>
        <v>0</v>
      </c>
      <c r="K4790" s="5" t="str">
        <f aca="false">IF($J4790=FALSE(),"",COUNTIF($J$6:$J4790,TRUE()))</f>
        <v/>
      </c>
      <c r="L4790" s="5" t="str">
        <f aca="false">IF($K4790="","","R"&amp;$K4790)</f>
        <v/>
      </c>
    </row>
    <row r="4791" customFormat="false" ht="15" hidden="false" customHeight="true" outlineLevel="0" collapsed="false">
      <c r="J4791" s="14" t="b">
        <f aca="false">IF(중복검사!$A4789="",FALSE(),중복검사!$H4789="중복")</f>
        <v>0</v>
      </c>
      <c r="K4791" s="5" t="str">
        <f aca="false">IF($J4791=FALSE(),"",COUNTIF($J$6:$J4791,TRUE()))</f>
        <v/>
      </c>
      <c r="L4791" s="5" t="str">
        <f aca="false">IF($K4791="","","R"&amp;$K4791)</f>
        <v/>
      </c>
    </row>
    <row r="4792" customFormat="false" ht="15" hidden="false" customHeight="true" outlineLevel="0" collapsed="false">
      <c r="J4792" s="14" t="b">
        <f aca="false">IF(중복검사!$A4790="",FALSE(),중복검사!$H4790="중복")</f>
        <v>0</v>
      </c>
      <c r="K4792" s="5" t="str">
        <f aca="false">IF($J4792=FALSE(),"",COUNTIF($J$6:$J4792,TRUE()))</f>
        <v/>
      </c>
      <c r="L4792" s="5" t="str">
        <f aca="false">IF($K4792="","","R"&amp;$K4792)</f>
        <v/>
      </c>
    </row>
    <row r="4793" customFormat="false" ht="15" hidden="false" customHeight="true" outlineLevel="0" collapsed="false">
      <c r="J4793" s="14" t="b">
        <f aca="false">IF(중복검사!$A4791="",FALSE(),중복검사!$H4791="중복")</f>
        <v>0</v>
      </c>
      <c r="K4793" s="5" t="str">
        <f aca="false">IF($J4793=FALSE(),"",COUNTIF($J$6:$J4793,TRUE()))</f>
        <v/>
      </c>
      <c r="L4793" s="5" t="str">
        <f aca="false">IF($K4793="","","R"&amp;$K4793)</f>
        <v/>
      </c>
    </row>
    <row r="4794" customFormat="false" ht="15" hidden="false" customHeight="true" outlineLevel="0" collapsed="false">
      <c r="J4794" s="14" t="b">
        <f aca="false">IF(중복검사!$A4792="",FALSE(),중복검사!$H4792="중복")</f>
        <v>0</v>
      </c>
      <c r="K4794" s="5" t="str">
        <f aca="false">IF($J4794=FALSE(),"",COUNTIF($J$6:$J4794,TRUE()))</f>
        <v/>
      </c>
      <c r="L4794" s="5" t="str">
        <f aca="false">IF($K4794="","","R"&amp;$K4794)</f>
        <v/>
      </c>
    </row>
    <row r="4795" customFormat="false" ht="15" hidden="false" customHeight="true" outlineLevel="0" collapsed="false">
      <c r="J4795" s="14" t="b">
        <f aca="false">IF(중복검사!$A4793="",FALSE(),중복검사!$H4793="중복")</f>
        <v>0</v>
      </c>
      <c r="K4795" s="5" t="str">
        <f aca="false">IF($J4795=FALSE(),"",COUNTIF($J$6:$J4795,TRUE()))</f>
        <v/>
      </c>
      <c r="L4795" s="5" t="str">
        <f aca="false">IF($K4795="","","R"&amp;$K4795)</f>
        <v/>
      </c>
    </row>
    <row r="4796" customFormat="false" ht="15" hidden="false" customHeight="true" outlineLevel="0" collapsed="false">
      <c r="J4796" s="14" t="b">
        <f aca="false">IF(중복검사!$A4794="",FALSE(),중복검사!$H4794="중복")</f>
        <v>0</v>
      </c>
      <c r="K4796" s="5" t="str">
        <f aca="false">IF($J4796=FALSE(),"",COUNTIF($J$6:$J4796,TRUE()))</f>
        <v/>
      </c>
      <c r="L4796" s="5" t="str">
        <f aca="false">IF($K4796="","","R"&amp;$K4796)</f>
        <v/>
      </c>
    </row>
    <row r="4797" customFormat="false" ht="15" hidden="false" customHeight="true" outlineLevel="0" collapsed="false">
      <c r="J4797" s="14" t="b">
        <f aca="false">IF(중복검사!$A4795="",FALSE(),중복검사!$H4795="중복")</f>
        <v>0</v>
      </c>
      <c r="K4797" s="5" t="str">
        <f aca="false">IF($J4797=FALSE(),"",COUNTIF($J$6:$J4797,TRUE()))</f>
        <v/>
      </c>
      <c r="L4797" s="5" t="str">
        <f aca="false">IF($K4797="","","R"&amp;$K4797)</f>
        <v/>
      </c>
    </row>
    <row r="4798" customFormat="false" ht="15" hidden="false" customHeight="true" outlineLevel="0" collapsed="false">
      <c r="J4798" s="14" t="b">
        <f aca="false">IF(중복검사!$A4796="",FALSE(),중복검사!$H4796="중복")</f>
        <v>0</v>
      </c>
      <c r="K4798" s="5" t="str">
        <f aca="false">IF($J4798=FALSE(),"",COUNTIF($J$6:$J4798,TRUE()))</f>
        <v/>
      </c>
      <c r="L4798" s="5" t="str">
        <f aca="false">IF($K4798="","","R"&amp;$K4798)</f>
        <v/>
      </c>
    </row>
    <row r="4799" customFormat="false" ht="15" hidden="false" customHeight="true" outlineLevel="0" collapsed="false">
      <c r="J4799" s="14" t="b">
        <f aca="false">IF(중복검사!$A4797="",FALSE(),중복검사!$H4797="중복")</f>
        <v>0</v>
      </c>
      <c r="K4799" s="5" t="str">
        <f aca="false">IF($J4799=FALSE(),"",COUNTIF($J$6:$J4799,TRUE()))</f>
        <v/>
      </c>
      <c r="L4799" s="5" t="str">
        <f aca="false">IF($K4799="","","R"&amp;$K4799)</f>
        <v/>
      </c>
    </row>
    <row r="4800" customFormat="false" ht="15" hidden="false" customHeight="true" outlineLevel="0" collapsed="false">
      <c r="J4800" s="14" t="b">
        <f aca="false">IF(중복검사!$A4798="",FALSE(),중복검사!$H4798="중복")</f>
        <v>0</v>
      </c>
      <c r="K4800" s="5" t="str">
        <f aca="false">IF($J4800=FALSE(),"",COUNTIF($J$6:$J4800,TRUE()))</f>
        <v/>
      </c>
      <c r="L4800" s="5" t="str">
        <f aca="false">IF($K4800="","","R"&amp;$K4800)</f>
        <v/>
      </c>
    </row>
    <row r="4801" customFormat="false" ht="15" hidden="false" customHeight="true" outlineLevel="0" collapsed="false">
      <c r="J4801" s="14" t="b">
        <f aca="false">IF(중복검사!$A4799="",FALSE(),중복검사!$H4799="중복")</f>
        <v>0</v>
      </c>
      <c r="K4801" s="5" t="str">
        <f aca="false">IF($J4801=FALSE(),"",COUNTIF($J$6:$J4801,TRUE()))</f>
        <v/>
      </c>
      <c r="L4801" s="5" t="str">
        <f aca="false">IF($K4801="","","R"&amp;$K4801)</f>
        <v/>
      </c>
    </row>
    <row r="4802" customFormat="false" ht="15" hidden="false" customHeight="true" outlineLevel="0" collapsed="false">
      <c r="J4802" s="14" t="b">
        <f aca="false">IF(중복검사!$A4800="",FALSE(),중복검사!$H4800="중복")</f>
        <v>0</v>
      </c>
      <c r="K4802" s="5" t="str">
        <f aca="false">IF($J4802=FALSE(),"",COUNTIF($J$6:$J4802,TRUE()))</f>
        <v/>
      </c>
      <c r="L4802" s="5" t="str">
        <f aca="false">IF($K4802="","","R"&amp;$K4802)</f>
        <v/>
      </c>
    </row>
    <row r="4803" customFormat="false" ht="15" hidden="false" customHeight="true" outlineLevel="0" collapsed="false">
      <c r="J4803" s="14" t="b">
        <f aca="false">IF(중복검사!$A4801="",FALSE(),중복검사!$H4801="중복")</f>
        <v>0</v>
      </c>
      <c r="K4803" s="5" t="str">
        <f aca="false">IF($J4803=FALSE(),"",COUNTIF($J$6:$J4803,TRUE()))</f>
        <v/>
      </c>
      <c r="L4803" s="5" t="str">
        <f aca="false">IF($K4803="","","R"&amp;$K4803)</f>
        <v/>
      </c>
    </row>
    <row r="4804" customFormat="false" ht="15" hidden="false" customHeight="true" outlineLevel="0" collapsed="false">
      <c r="J4804" s="14" t="b">
        <f aca="false">IF(중복검사!$A4802="",FALSE(),중복검사!$H4802="중복")</f>
        <v>0</v>
      </c>
      <c r="K4804" s="5" t="str">
        <f aca="false">IF($J4804=FALSE(),"",COUNTIF($J$6:$J4804,TRUE()))</f>
        <v/>
      </c>
      <c r="L4804" s="5" t="str">
        <f aca="false">IF($K4804="","","R"&amp;$K4804)</f>
        <v/>
      </c>
    </row>
    <row r="4805" customFormat="false" ht="15" hidden="false" customHeight="true" outlineLevel="0" collapsed="false">
      <c r="J4805" s="14" t="b">
        <f aca="false">IF(중복검사!$A4803="",FALSE(),중복검사!$H4803="중복")</f>
        <v>0</v>
      </c>
      <c r="K4805" s="5" t="str">
        <f aca="false">IF($J4805=FALSE(),"",COUNTIF($J$6:$J4805,TRUE()))</f>
        <v/>
      </c>
      <c r="L4805" s="5" t="str">
        <f aca="false">IF($K4805="","","R"&amp;$K4805)</f>
        <v/>
      </c>
    </row>
    <row r="4806" customFormat="false" ht="15" hidden="false" customHeight="true" outlineLevel="0" collapsed="false">
      <c r="J4806" s="14" t="b">
        <f aca="false">IF(중복검사!$A4804="",FALSE(),중복검사!$H4804="중복")</f>
        <v>0</v>
      </c>
      <c r="K4806" s="5" t="str">
        <f aca="false">IF($J4806=FALSE(),"",COUNTIF($J$6:$J4806,TRUE()))</f>
        <v/>
      </c>
      <c r="L4806" s="5" t="str">
        <f aca="false">IF($K4806="","","R"&amp;$K4806)</f>
        <v/>
      </c>
    </row>
    <row r="4807" customFormat="false" ht="15" hidden="false" customHeight="true" outlineLevel="0" collapsed="false">
      <c r="J4807" s="14" t="b">
        <f aca="false">IF(중복검사!$A4805="",FALSE(),중복검사!$H4805="중복")</f>
        <v>0</v>
      </c>
      <c r="K4807" s="5" t="str">
        <f aca="false">IF($J4807=FALSE(),"",COUNTIF($J$6:$J4807,TRUE()))</f>
        <v/>
      </c>
      <c r="L4807" s="5" t="str">
        <f aca="false">IF($K4807="","","R"&amp;$K4807)</f>
        <v/>
      </c>
    </row>
    <row r="4808" customFormat="false" ht="15" hidden="false" customHeight="true" outlineLevel="0" collapsed="false">
      <c r="J4808" s="14" t="b">
        <f aca="false">IF(중복검사!$A4806="",FALSE(),중복검사!$H4806="중복")</f>
        <v>0</v>
      </c>
      <c r="K4808" s="5" t="str">
        <f aca="false">IF($J4808=FALSE(),"",COUNTIF($J$6:$J4808,TRUE()))</f>
        <v/>
      </c>
      <c r="L4808" s="5" t="str">
        <f aca="false">IF($K4808="","","R"&amp;$K4808)</f>
        <v/>
      </c>
    </row>
    <row r="4809" customFormat="false" ht="15" hidden="false" customHeight="true" outlineLevel="0" collapsed="false">
      <c r="J4809" s="14" t="b">
        <f aca="false">IF(중복검사!$A4807="",FALSE(),중복검사!$H4807="중복")</f>
        <v>0</v>
      </c>
      <c r="K4809" s="5" t="str">
        <f aca="false">IF($J4809=FALSE(),"",COUNTIF($J$6:$J4809,TRUE()))</f>
        <v/>
      </c>
      <c r="L4809" s="5" t="str">
        <f aca="false">IF($K4809="","","R"&amp;$K4809)</f>
        <v/>
      </c>
    </row>
    <row r="4810" customFormat="false" ht="15" hidden="false" customHeight="true" outlineLevel="0" collapsed="false">
      <c r="J4810" s="14" t="b">
        <f aca="false">IF(중복검사!$A4808="",FALSE(),중복검사!$H4808="중복")</f>
        <v>0</v>
      </c>
      <c r="K4810" s="5" t="str">
        <f aca="false">IF($J4810=FALSE(),"",COUNTIF($J$6:$J4810,TRUE()))</f>
        <v/>
      </c>
      <c r="L4810" s="5" t="str">
        <f aca="false">IF($K4810="","","R"&amp;$K4810)</f>
        <v/>
      </c>
    </row>
    <row r="4811" customFormat="false" ht="15" hidden="false" customHeight="true" outlineLevel="0" collapsed="false">
      <c r="J4811" s="14" t="b">
        <f aca="false">IF(중복검사!$A4809="",FALSE(),중복검사!$H4809="중복")</f>
        <v>0</v>
      </c>
      <c r="K4811" s="5" t="str">
        <f aca="false">IF($J4811=FALSE(),"",COUNTIF($J$6:$J4811,TRUE()))</f>
        <v/>
      </c>
      <c r="L4811" s="5" t="str">
        <f aca="false">IF($K4811="","","R"&amp;$K4811)</f>
        <v/>
      </c>
    </row>
    <row r="4812" customFormat="false" ht="15" hidden="false" customHeight="true" outlineLevel="0" collapsed="false">
      <c r="J4812" s="14" t="b">
        <f aca="false">IF(중복검사!$A4810="",FALSE(),중복검사!$H4810="중복")</f>
        <v>0</v>
      </c>
      <c r="K4812" s="5" t="str">
        <f aca="false">IF($J4812=FALSE(),"",COUNTIF($J$6:$J4812,TRUE()))</f>
        <v/>
      </c>
      <c r="L4812" s="5" t="str">
        <f aca="false">IF($K4812="","","R"&amp;$K4812)</f>
        <v/>
      </c>
    </row>
    <row r="4813" customFormat="false" ht="15" hidden="false" customHeight="true" outlineLevel="0" collapsed="false">
      <c r="J4813" s="14" t="b">
        <f aca="false">IF(중복검사!$A4811="",FALSE(),중복검사!$H4811="중복")</f>
        <v>0</v>
      </c>
      <c r="K4813" s="5" t="str">
        <f aca="false">IF($J4813=FALSE(),"",COUNTIF($J$6:$J4813,TRUE()))</f>
        <v/>
      </c>
      <c r="L4813" s="5" t="str">
        <f aca="false">IF($K4813="","","R"&amp;$K4813)</f>
        <v/>
      </c>
    </row>
    <row r="4814" customFormat="false" ht="15" hidden="false" customHeight="true" outlineLevel="0" collapsed="false">
      <c r="J4814" s="14" t="b">
        <f aca="false">IF(중복검사!$A4812="",FALSE(),중복검사!$H4812="중복")</f>
        <v>0</v>
      </c>
      <c r="K4814" s="5" t="str">
        <f aca="false">IF($J4814=FALSE(),"",COUNTIF($J$6:$J4814,TRUE()))</f>
        <v/>
      </c>
      <c r="L4814" s="5" t="str">
        <f aca="false">IF($K4814="","","R"&amp;$K4814)</f>
        <v/>
      </c>
    </row>
    <row r="4815" customFormat="false" ht="15" hidden="false" customHeight="true" outlineLevel="0" collapsed="false">
      <c r="J4815" s="14" t="b">
        <f aca="false">IF(중복검사!$A4813="",FALSE(),중복검사!$H4813="중복")</f>
        <v>0</v>
      </c>
      <c r="K4815" s="5" t="str">
        <f aca="false">IF($J4815=FALSE(),"",COUNTIF($J$6:$J4815,TRUE()))</f>
        <v/>
      </c>
      <c r="L4815" s="5" t="str">
        <f aca="false">IF($K4815="","","R"&amp;$K4815)</f>
        <v/>
      </c>
    </row>
    <row r="4816" customFormat="false" ht="15" hidden="false" customHeight="true" outlineLevel="0" collapsed="false">
      <c r="J4816" s="14" t="b">
        <f aca="false">IF(중복검사!$A4814="",FALSE(),중복검사!$H4814="중복")</f>
        <v>0</v>
      </c>
      <c r="K4816" s="5" t="str">
        <f aca="false">IF($J4816=FALSE(),"",COUNTIF($J$6:$J4816,TRUE()))</f>
        <v/>
      </c>
      <c r="L4816" s="5" t="str">
        <f aca="false">IF($K4816="","","R"&amp;$K4816)</f>
        <v/>
      </c>
    </row>
    <row r="4817" customFormat="false" ht="15" hidden="false" customHeight="true" outlineLevel="0" collapsed="false">
      <c r="J4817" s="14" t="b">
        <f aca="false">IF(중복검사!$A4815="",FALSE(),중복검사!$H4815="중복")</f>
        <v>0</v>
      </c>
      <c r="K4817" s="5" t="str">
        <f aca="false">IF($J4817=FALSE(),"",COUNTIF($J$6:$J4817,TRUE()))</f>
        <v/>
      </c>
      <c r="L4817" s="5" t="str">
        <f aca="false">IF($K4817="","","R"&amp;$K4817)</f>
        <v/>
      </c>
    </row>
    <row r="4818" customFormat="false" ht="15" hidden="false" customHeight="true" outlineLevel="0" collapsed="false">
      <c r="J4818" s="14" t="b">
        <f aca="false">IF(중복검사!$A4816="",FALSE(),중복검사!$H4816="중복")</f>
        <v>0</v>
      </c>
      <c r="K4818" s="5" t="str">
        <f aca="false">IF($J4818=FALSE(),"",COUNTIF($J$6:$J4818,TRUE()))</f>
        <v/>
      </c>
      <c r="L4818" s="5" t="str">
        <f aca="false">IF($K4818="","","R"&amp;$K4818)</f>
        <v/>
      </c>
    </row>
    <row r="4819" customFormat="false" ht="15" hidden="false" customHeight="true" outlineLevel="0" collapsed="false">
      <c r="J4819" s="14" t="b">
        <f aca="false">IF(중복검사!$A4817="",FALSE(),중복검사!$H4817="중복")</f>
        <v>0</v>
      </c>
      <c r="K4819" s="5" t="str">
        <f aca="false">IF($J4819=FALSE(),"",COUNTIF($J$6:$J4819,TRUE()))</f>
        <v/>
      </c>
      <c r="L4819" s="5" t="str">
        <f aca="false">IF($K4819="","","R"&amp;$K4819)</f>
        <v/>
      </c>
    </row>
    <row r="4820" customFormat="false" ht="15" hidden="false" customHeight="true" outlineLevel="0" collapsed="false">
      <c r="J4820" s="14" t="b">
        <f aca="false">IF(중복검사!$A4818="",FALSE(),중복검사!$H4818="중복")</f>
        <v>0</v>
      </c>
      <c r="K4820" s="5" t="str">
        <f aca="false">IF($J4820=FALSE(),"",COUNTIF($J$6:$J4820,TRUE()))</f>
        <v/>
      </c>
      <c r="L4820" s="5" t="str">
        <f aca="false">IF($K4820="","","R"&amp;$K4820)</f>
        <v/>
      </c>
    </row>
    <row r="4821" customFormat="false" ht="15" hidden="false" customHeight="true" outlineLevel="0" collapsed="false">
      <c r="J4821" s="14" t="b">
        <f aca="false">IF(중복검사!$A4819="",FALSE(),중복검사!$H4819="중복")</f>
        <v>0</v>
      </c>
      <c r="K4821" s="5" t="str">
        <f aca="false">IF($J4821=FALSE(),"",COUNTIF($J$6:$J4821,TRUE()))</f>
        <v/>
      </c>
      <c r="L4821" s="5" t="str">
        <f aca="false">IF($K4821="","","R"&amp;$K4821)</f>
        <v/>
      </c>
    </row>
    <row r="4822" customFormat="false" ht="15" hidden="false" customHeight="true" outlineLevel="0" collapsed="false">
      <c r="J4822" s="14" t="b">
        <f aca="false">IF(중복검사!$A4820="",FALSE(),중복검사!$H4820="중복")</f>
        <v>0</v>
      </c>
      <c r="K4822" s="5" t="str">
        <f aca="false">IF($J4822=FALSE(),"",COUNTIF($J$6:$J4822,TRUE()))</f>
        <v/>
      </c>
      <c r="L4822" s="5" t="str">
        <f aca="false">IF($K4822="","","R"&amp;$K4822)</f>
        <v/>
      </c>
    </row>
    <row r="4823" customFormat="false" ht="15" hidden="false" customHeight="true" outlineLevel="0" collapsed="false">
      <c r="J4823" s="14" t="b">
        <f aca="false">IF(중복검사!$A4821="",FALSE(),중복검사!$H4821="중복")</f>
        <v>0</v>
      </c>
      <c r="K4823" s="5" t="str">
        <f aca="false">IF($J4823=FALSE(),"",COUNTIF($J$6:$J4823,TRUE()))</f>
        <v/>
      </c>
      <c r="L4823" s="5" t="str">
        <f aca="false">IF($K4823="","","R"&amp;$K4823)</f>
        <v/>
      </c>
    </row>
    <row r="4824" customFormat="false" ht="15" hidden="false" customHeight="true" outlineLevel="0" collapsed="false">
      <c r="J4824" s="14" t="b">
        <f aca="false">IF(중복검사!$A4822="",FALSE(),중복검사!$H4822="중복")</f>
        <v>0</v>
      </c>
      <c r="K4824" s="5" t="str">
        <f aca="false">IF($J4824=FALSE(),"",COUNTIF($J$6:$J4824,TRUE()))</f>
        <v/>
      </c>
      <c r="L4824" s="5" t="str">
        <f aca="false">IF($K4824="","","R"&amp;$K4824)</f>
        <v/>
      </c>
    </row>
    <row r="4825" customFormat="false" ht="15" hidden="false" customHeight="true" outlineLevel="0" collapsed="false">
      <c r="J4825" s="14" t="b">
        <f aca="false">IF(중복검사!$A4823="",FALSE(),중복검사!$H4823="중복")</f>
        <v>0</v>
      </c>
      <c r="K4825" s="5" t="str">
        <f aca="false">IF($J4825=FALSE(),"",COUNTIF($J$6:$J4825,TRUE()))</f>
        <v/>
      </c>
      <c r="L4825" s="5" t="str">
        <f aca="false">IF($K4825="","","R"&amp;$K4825)</f>
        <v/>
      </c>
    </row>
    <row r="4826" customFormat="false" ht="15" hidden="false" customHeight="true" outlineLevel="0" collapsed="false">
      <c r="J4826" s="14" t="b">
        <f aca="false">IF(중복검사!$A4824="",FALSE(),중복검사!$H4824="중복")</f>
        <v>0</v>
      </c>
      <c r="K4826" s="5" t="str">
        <f aca="false">IF($J4826=FALSE(),"",COUNTIF($J$6:$J4826,TRUE()))</f>
        <v/>
      </c>
      <c r="L4826" s="5" t="str">
        <f aca="false">IF($K4826="","","R"&amp;$K4826)</f>
        <v/>
      </c>
    </row>
    <row r="4827" customFormat="false" ht="15" hidden="false" customHeight="true" outlineLevel="0" collapsed="false">
      <c r="J4827" s="14" t="b">
        <f aca="false">IF(중복검사!$A4825="",FALSE(),중복검사!$H4825="중복")</f>
        <v>0</v>
      </c>
      <c r="K4827" s="5" t="str">
        <f aca="false">IF($J4827=FALSE(),"",COUNTIF($J$6:$J4827,TRUE()))</f>
        <v/>
      </c>
      <c r="L4827" s="5" t="str">
        <f aca="false">IF($K4827="","","R"&amp;$K4827)</f>
        <v/>
      </c>
    </row>
    <row r="4828" customFormat="false" ht="15" hidden="false" customHeight="true" outlineLevel="0" collapsed="false">
      <c r="J4828" s="14" t="b">
        <f aca="false">IF(중복검사!$A4826="",FALSE(),중복검사!$H4826="중복")</f>
        <v>0</v>
      </c>
      <c r="K4828" s="5" t="str">
        <f aca="false">IF($J4828=FALSE(),"",COUNTIF($J$6:$J4828,TRUE()))</f>
        <v/>
      </c>
      <c r="L4828" s="5" t="str">
        <f aca="false">IF($K4828="","","R"&amp;$K4828)</f>
        <v/>
      </c>
    </row>
    <row r="4829" customFormat="false" ht="15" hidden="false" customHeight="true" outlineLevel="0" collapsed="false">
      <c r="J4829" s="14" t="b">
        <f aca="false">IF(중복검사!$A4827="",FALSE(),중복검사!$H4827="중복")</f>
        <v>0</v>
      </c>
      <c r="K4829" s="5" t="str">
        <f aca="false">IF($J4829=FALSE(),"",COUNTIF($J$6:$J4829,TRUE()))</f>
        <v/>
      </c>
      <c r="L4829" s="5" t="str">
        <f aca="false">IF($K4829="","","R"&amp;$K4829)</f>
        <v/>
      </c>
    </row>
    <row r="4830" customFormat="false" ht="15" hidden="false" customHeight="true" outlineLevel="0" collapsed="false">
      <c r="J4830" s="14" t="b">
        <f aca="false">IF(중복검사!$A4828="",FALSE(),중복검사!$H4828="중복")</f>
        <v>0</v>
      </c>
      <c r="K4830" s="5" t="str">
        <f aca="false">IF($J4830=FALSE(),"",COUNTIF($J$6:$J4830,TRUE()))</f>
        <v/>
      </c>
      <c r="L4830" s="5" t="str">
        <f aca="false">IF($K4830="","","R"&amp;$K4830)</f>
        <v/>
      </c>
    </row>
    <row r="4831" customFormat="false" ht="15" hidden="false" customHeight="true" outlineLevel="0" collapsed="false">
      <c r="J4831" s="14" t="b">
        <f aca="false">IF(중복검사!$A4829="",FALSE(),중복검사!$H4829="중복")</f>
        <v>0</v>
      </c>
      <c r="K4831" s="5" t="str">
        <f aca="false">IF($J4831=FALSE(),"",COUNTIF($J$6:$J4831,TRUE()))</f>
        <v/>
      </c>
      <c r="L4831" s="5" t="str">
        <f aca="false">IF($K4831="","","R"&amp;$K4831)</f>
        <v/>
      </c>
    </row>
    <row r="4832" customFormat="false" ht="15" hidden="false" customHeight="true" outlineLevel="0" collapsed="false">
      <c r="J4832" s="14" t="b">
        <f aca="false">IF(중복검사!$A4830="",FALSE(),중복검사!$H4830="중복")</f>
        <v>0</v>
      </c>
      <c r="K4832" s="5" t="str">
        <f aca="false">IF($J4832=FALSE(),"",COUNTIF($J$6:$J4832,TRUE()))</f>
        <v/>
      </c>
      <c r="L4832" s="5" t="str">
        <f aca="false">IF($K4832="","","R"&amp;$K4832)</f>
        <v/>
      </c>
    </row>
    <row r="4833" customFormat="false" ht="15" hidden="false" customHeight="true" outlineLevel="0" collapsed="false">
      <c r="J4833" s="14" t="b">
        <f aca="false">IF(중복검사!$A4831="",FALSE(),중복검사!$H4831="중복")</f>
        <v>0</v>
      </c>
      <c r="K4833" s="5" t="str">
        <f aca="false">IF($J4833=FALSE(),"",COUNTIF($J$6:$J4833,TRUE()))</f>
        <v/>
      </c>
      <c r="L4833" s="5" t="str">
        <f aca="false">IF($K4833="","","R"&amp;$K4833)</f>
        <v/>
      </c>
    </row>
    <row r="4834" customFormat="false" ht="15" hidden="false" customHeight="true" outlineLevel="0" collapsed="false">
      <c r="J4834" s="14" t="b">
        <f aca="false">IF(중복검사!$A4832="",FALSE(),중복검사!$H4832="중복")</f>
        <v>0</v>
      </c>
      <c r="K4834" s="5" t="str">
        <f aca="false">IF($J4834=FALSE(),"",COUNTIF($J$6:$J4834,TRUE()))</f>
        <v/>
      </c>
      <c r="L4834" s="5" t="str">
        <f aca="false">IF($K4834="","","R"&amp;$K4834)</f>
        <v/>
      </c>
    </row>
    <row r="4835" customFormat="false" ht="15" hidden="false" customHeight="true" outlineLevel="0" collapsed="false">
      <c r="J4835" s="14" t="b">
        <f aca="false">IF(중복검사!$A4833="",FALSE(),중복검사!$H4833="중복")</f>
        <v>0</v>
      </c>
      <c r="K4835" s="5" t="str">
        <f aca="false">IF($J4835=FALSE(),"",COUNTIF($J$6:$J4835,TRUE()))</f>
        <v/>
      </c>
      <c r="L4835" s="5" t="str">
        <f aca="false">IF($K4835="","","R"&amp;$K4835)</f>
        <v/>
      </c>
    </row>
    <row r="4836" customFormat="false" ht="15" hidden="false" customHeight="true" outlineLevel="0" collapsed="false">
      <c r="J4836" s="14" t="b">
        <f aca="false">IF(중복검사!$A4834="",FALSE(),중복검사!$H4834="중복")</f>
        <v>0</v>
      </c>
      <c r="K4836" s="5" t="str">
        <f aca="false">IF($J4836=FALSE(),"",COUNTIF($J$6:$J4836,TRUE()))</f>
        <v/>
      </c>
      <c r="L4836" s="5" t="str">
        <f aca="false">IF($K4836="","","R"&amp;$K4836)</f>
        <v/>
      </c>
    </row>
    <row r="4837" customFormat="false" ht="15" hidden="false" customHeight="true" outlineLevel="0" collapsed="false">
      <c r="J4837" s="14" t="b">
        <f aca="false">IF(중복검사!$A4835="",FALSE(),중복검사!$H4835="중복")</f>
        <v>0</v>
      </c>
      <c r="K4837" s="5" t="str">
        <f aca="false">IF($J4837=FALSE(),"",COUNTIF($J$6:$J4837,TRUE()))</f>
        <v/>
      </c>
      <c r="L4837" s="5" t="str">
        <f aca="false">IF($K4837="","","R"&amp;$K4837)</f>
        <v/>
      </c>
    </row>
    <row r="4838" customFormat="false" ht="15" hidden="false" customHeight="true" outlineLevel="0" collapsed="false">
      <c r="J4838" s="14" t="b">
        <f aca="false">IF(중복검사!$A4836="",FALSE(),중복검사!$H4836="중복")</f>
        <v>0</v>
      </c>
      <c r="K4838" s="5" t="str">
        <f aca="false">IF($J4838=FALSE(),"",COUNTIF($J$6:$J4838,TRUE()))</f>
        <v/>
      </c>
      <c r="L4838" s="5" t="str">
        <f aca="false">IF($K4838="","","R"&amp;$K4838)</f>
        <v/>
      </c>
    </row>
    <row r="4839" customFormat="false" ht="15" hidden="false" customHeight="true" outlineLevel="0" collapsed="false">
      <c r="J4839" s="14" t="b">
        <f aca="false">IF(중복검사!$A4837="",FALSE(),중복검사!$H4837="중복")</f>
        <v>0</v>
      </c>
      <c r="K4839" s="5" t="str">
        <f aca="false">IF($J4839=FALSE(),"",COUNTIF($J$6:$J4839,TRUE()))</f>
        <v/>
      </c>
      <c r="L4839" s="5" t="str">
        <f aca="false">IF($K4839="","","R"&amp;$K4839)</f>
        <v/>
      </c>
    </row>
    <row r="4840" customFormat="false" ht="15" hidden="false" customHeight="true" outlineLevel="0" collapsed="false">
      <c r="J4840" s="14" t="b">
        <f aca="false">IF(중복검사!$A4838="",FALSE(),중복검사!$H4838="중복")</f>
        <v>0</v>
      </c>
      <c r="K4840" s="5" t="str">
        <f aca="false">IF($J4840=FALSE(),"",COUNTIF($J$6:$J4840,TRUE()))</f>
        <v/>
      </c>
      <c r="L4840" s="5" t="str">
        <f aca="false">IF($K4840="","","R"&amp;$K4840)</f>
        <v/>
      </c>
    </row>
    <row r="4841" customFormat="false" ht="15" hidden="false" customHeight="true" outlineLevel="0" collapsed="false">
      <c r="J4841" s="14" t="b">
        <f aca="false">IF(중복검사!$A4839="",FALSE(),중복검사!$H4839="중복")</f>
        <v>0</v>
      </c>
      <c r="K4841" s="5" t="str">
        <f aca="false">IF($J4841=FALSE(),"",COUNTIF($J$6:$J4841,TRUE()))</f>
        <v/>
      </c>
      <c r="L4841" s="5" t="str">
        <f aca="false">IF($K4841="","","R"&amp;$K4841)</f>
        <v/>
      </c>
    </row>
    <row r="4842" customFormat="false" ht="15" hidden="false" customHeight="true" outlineLevel="0" collapsed="false">
      <c r="J4842" s="14" t="b">
        <f aca="false">IF(중복검사!$A4840="",FALSE(),중복검사!$H4840="중복")</f>
        <v>0</v>
      </c>
      <c r="K4842" s="5" t="str">
        <f aca="false">IF($J4842=FALSE(),"",COUNTIF($J$6:$J4842,TRUE()))</f>
        <v/>
      </c>
      <c r="L4842" s="5" t="str">
        <f aca="false">IF($K4842="","","R"&amp;$K4842)</f>
        <v/>
      </c>
    </row>
    <row r="4843" customFormat="false" ht="15" hidden="false" customHeight="true" outlineLevel="0" collapsed="false">
      <c r="J4843" s="14" t="b">
        <f aca="false">IF(중복검사!$A4841="",FALSE(),중복검사!$H4841="중복")</f>
        <v>0</v>
      </c>
      <c r="K4843" s="5" t="str">
        <f aca="false">IF($J4843=FALSE(),"",COUNTIF($J$6:$J4843,TRUE()))</f>
        <v/>
      </c>
      <c r="L4843" s="5" t="str">
        <f aca="false">IF($K4843="","","R"&amp;$K4843)</f>
        <v/>
      </c>
    </row>
    <row r="4844" customFormat="false" ht="15" hidden="false" customHeight="true" outlineLevel="0" collapsed="false">
      <c r="J4844" s="14" t="b">
        <f aca="false">IF(중복검사!$A4842="",FALSE(),중복검사!$H4842="중복")</f>
        <v>0</v>
      </c>
      <c r="K4844" s="5" t="str">
        <f aca="false">IF($J4844=FALSE(),"",COUNTIF($J$6:$J4844,TRUE()))</f>
        <v/>
      </c>
      <c r="L4844" s="5" t="str">
        <f aca="false">IF($K4844="","","R"&amp;$K4844)</f>
        <v/>
      </c>
    </row>
    <row r="4845" customFormat="false" ht="15" hidden="false" customHeight="true" outlineLevel="0" collapsed="false">
      <c r="J4845" s="14" t="b">
        <f aca="false">IF(중복검사!$A4843="",FALSE(),중복검사!$H4843="중복")</f>
        <v>0</v>
      </c>
      <c r="K4845" s="5" t="str">
        <f aca="false">IF($J4845=FALSE(),"",COUNTIF($J$6:$J4845,TRUE()))</f>
        <v/>
      </c>
      <c r="L4845" s="5" t="str">
        <f aca="false">IF($K4845="","","R"&amp;$K4845)</f>
        <v/>
      </c>
    </row>
    <row r="4846" customFormat="false" ht="15" hidden="false" customHeight="true" outlineLevel="0" collapsed="false">
      <c r="J4846" s="14" t="b">
        <f aca="false">IF(중복검사!$A4844="",FALSE(),중복검사!$H4844="중복")</f>
        <v>0</v>
      </c>
      <c r="K4846" s="5" t="str">
        <f aca="false">IF($J4846=FALSE(),"",COUNTIF($J$6:$J4846,TRUE()))</f>
        <v/>
      </c>
      <c r="L4846" s="5" t="str">
        <f aca="false">IF($K4846="","","R"&amp;$K4846)</f>
        <v/>
      </c>
    </row>
    <row r="4847" customFormat="false" ht="15" hidden="false" customHeight="true" outlineLevel="0" collapsed="false">
      <c r="J4847" s="14" t="b">
        <f aca="false">IF(중복검사!$A4845="",FALSE(),중복검사!$H4845="중복")</f>
        <v>0</v>
      </c>
      <c r="K4847" s="5" t="str">
        <f aca="false">IF($J4847=FALSE(),"",COUNTIF($J$6:$J4847,TRUE()))</f>
        <v/>
      </c>
      <c r="L4847" s="5" t="str">
        <f aca="false">IF($K4847="","","R"&amp;$K4847)</f>
        <v/>
      </c>
    </row>
    <row r="4848" customFormat="false" ht="15" hidden="false" customHeight="true" outlineLevel="0" collapsed="false">
      <c r="J4848" s="14" t="b">
        <f aca="false">IF(중복검사!$A4846="",FALSE(),중복검사!$H4846="중복")</f>
        <v>0</v>
      </c>
      <c r="K4848" s="5" t="str">
        <f aca="false">IF($J4848=FALSE(),"",COUNTIF($J$6:$J4848,TRUE()))</f>
        <v/>
      </c>
      <c r="L4848" s="5" t="str">
        <f aca="false">IF($K4848="","","R"&amp;$K4848)</f>
        <v/>
      </c>
    </row>
    <row r="4849" customFormat="false" ht="15" hidden="false" customHeight="true" outlineLevel="0" collapsed="false">
      <c r="J4849" s="14" t="b">
        <f aca="false">IF(중복검사!$A4847="",FALSE(),중복검사!$H4847="중복")</f>
        <v>0</v>
      </c>
      <c r="K4849" s="5" t="str">
        <f aca="false">IF($J4849=FALSE(),"",COUNTIF($J$6:$J4849,TRUE()))</f>
        <v/>
      </c>
      <c r="L4849" s="5" t="str">
        <f aca="false">IF($K4849="","","R"&amp;$K4849)</f>
        <v/>
      </c>
    </row>
    <row r="4850" customFormat="false" ht="15" hidden="false" customHeight="true" outlineLevel="0" collapsed="false">
      <c r="J4850" s="14" t="b">
        <f aca="false">IF(중복검사!$A4848="",FALSE(),중복검사!$H4848="중복")</f>
        <v>0</v>
      </c>
      <c r="K4850" s="5" t="str">
        <f aca="false">IF($J4850=FALSE(),"",COUNTIF($J$6:$J4850,TRUE()))</f>
        <v/>
      </c>
      <c r="L4850" s="5" t="str">
        <f aca="false">IF($K4850="","","R"&amp;$K4850)</f>
        <v/>
      </c>
    </row>
    <row r="4851" customFormat="false" ht="15" hidden="false" customHeight="true" outlineLevel="0" collapsed="false">
      <c r="J4851" s="14" t="b">
        <f aca="false">IF(중복검사!$A4849="",FALSE(),중복검사!$H4849="중복")</f>
        <v>0</v>
      </c>
      <c r="K4851" s="5" t="str">
        <f aca="false">IF($J4851=FALSE(),"",COUNTIF($J$6:$J4851,TRUE()))</f>
        <v/>
      </c>
      <c r="L4851" s="5" t="str">
        <f aca="false">IF($K4851="","","R"&amp;$K4851)</f>
        <v/>
      </c>
    </row>
    <row r="4852" customFormat="false" ht="15" hidden="false" customHeight="true" outlineLevel="0" collapsed="false">
      <c r="J4852" s="14" t="b">
        <f aca="false">IF(중복검사!$A4850="",FALSE(),중복검사!$H4850="중복")</f>
        <v>0</v>
      </c>
      <c r="K4852" s="5" t="str">
        <f aca="false">IF($J4852=FALSE(),"",COUNTIF($J$6:$J4852,TRUE()))</f>
        <v/>
      </c>
      <c r="L4852" s="5" t="str">
        <f aca="false">IF($K4852="","","R"&amp;$K4852)</f>
        <v/>
      </c>
    </row>
    <row r="4853" customFormat="false" ht="15" hidden="false" customHeight="true" outlineLevel="0" collapsed="false">
      <c r="J4853" s="14" t="b">
        <f aca="false">IF(중복검사!$A4851="",FALSE(),중복검사!$H4851="중복")</f>
        <v>0</v>
      </c>
      <c r="K4853" s="5" t="str">
        <f aca="false">IF($J4853=FALSE(),"",COUNTIF($J$6:$J4853,TRUE()))</f>
        <v/>
      </c>
      <c r="L4853" s="5" t="str">
        <f aca="false">IF($K4853="","","R"&amp;$K4853)</f>
        <v/>
      </c>
    </row>
    <row r="4854" customFormat="false" ht="15" hidden="false" customHeight="true" outlineLevel="0" collapsed="false">
      <c r="J4854" s="14" t="b">
        <f aca="false">IF(중복검사!$A4852="",FALSE(),중복검사!$H4852="중복")</f>
        <v>0</v>
      </c>
      <c r="K4854" s="5" t="str">
        <f aca="false">IF($J4854=FALSE(),"",COUNTIF($J$6:$J4854,TRUE()))</f>
        <v/>
      </c>
      <c r="L4854" s="5" t="str">
        <f aca="false">IF($K4854="","","R"&amp;$K4854)</f>
        <v/>
      </c>
    </row>
    <row r="4855" customFormat="false" ht="15" hidden="false" customHeight="true" outlineLevel="0" collapsed="false">
      <c r="J4855" s="14" t="b">
        <f aca="false">IF(중복검사!$A4853="",FALSE(),중복검사!$H4853="중복")</f>
        <v>0</v>
      </c>
      <c r="K4855" s="5" t="str">
        <f aca="false">IF($J4855=FALSE(),"",COUNTIF($J$6:$J4855,TRUE()))</f>
        <v/>
      </c>
      <c r="L4855" s="5" t="str">
        <f aca="false">IF($K4855="","","R"&amp;$K4855)</f>
        <v/>
      </c>
    </row>
    <row r="4856" customFormat="false" ht="15" hidden="false" customHeight="true" outlineLevel="0" collapsed="false">
      <c r="J4856" s="14" t="b">
        <f aca="false">IF(중복검사!$A4854="",FALSE(),중복검사!$H4854="중복")</f>
        <v>0</v>
      </c>
      <c r="K4856" s="5" t="str">
        <f aca="false">IF($J4856=FALSE(),"",COUNTIF($J$6:$J4856,TRUE()))</f>
        <v/>
      </c>
      <c r="L4856" s="5" t="str">
        <f aca="false">IF($K4856="","","R"&amp;$K4856)</f>
        <v/>
      </c>
    </row>
    <row r="4857" customFormat="false" ht="15" hidden="false" customHeight="true" outlineLevel="0" collapsed="false">
      <c r="J4857" s="14" t="b">
        <f aca="false">IF(중복검사!$A4855="",FALSE(),중복검사!$H4855="중복")</f>
        <v>0</v>
      </c>
      <c r="K4857" s="5" t="str">
        <f aca="false">IF($J4857=FALSE(),"",COUNTIF($J$6:$J4857,TRUE()))</f>
        <v/>
      </c>
      <c r="L4857" s="5" t="str">
        <f aca="false">IF($K4857="","","R"&amp;$K4857)</f>
        <v/>
      </c>
    </row>
    <row r="4858" customFormat="false" ht="15" hidden="false" customHeight="true" outlineLevel="0" collapsed="false">
      <c r="J4858" s="14" t="b">
        <f aca="false">IF(중복검사!$A4856="",FALSE(),중복검사!$H4856="중복")</f>
        <v>0</v>
      </c>
      <c r="K4858" s="5" t="str">
        <f aca="false">IF($J4858=FALSE(),"",COUNTIF($J$6:$J4858,TRUE()))</f>
        <v/>
      </c>
      <c r="L4858" s="5" t="str">
        <f aca="false">IF($K4858="","","R"&amp;$K4858)</f>
        <v/>
      </c>
    </row>
    <row r="4859" customFormat="false" ht="15" hidden="false" customHeight="true" outlineLevel="0" collapsed="false">
      <c r="J4859" s="14" t="b">
        <f aca="false">IF(중복검사!$A4857="",FALSE(),중복검사!$H4857="중복")</f>
        <v>0</v>
      </c>
      <c r="K4859" s="5" t="str">
        <f aca="false">IF($J4859=FALSE(),"",COUNTIF($J$6:$J4859,TRUE()))</f>
        <v/>
      </c>
      <c r="L4859" s="5" t="str">
        <f aca="false">IF($K4859="","","R"&amp;$K4859)</f>
        <v/>
      </c>
    </row>
    <row r="4860" customFormat="false" ht="15" hidden="false" customHeight="true" outlineLevel="0" collapsed="false">
      <c r="J4860" s="14" t="b">
        <f aca="false">IF(중복검사!$A4858="",FALSE(),중복검사!$H4858="중복")</f>
        <v>0</v>
      </c>
      <c r="K4860" s="5" t="str">
        <f aca="false">IF($J4860=FALSE(),"",COUNTIF($J$6:$J4860,TRUE()))</f>
        <v/>
      </c>
      <c r="L4860" s="5" t="str">
        <f aca="false">IF($K4860="","","R"&amp;$K4860)</f>
        <v/>
      </c>
    </row>
    <row r="4861" customFormat="false" ht="15" hidden="false" customHeight="true" outlineLevel="0" collapsed="false">
      <c r="J4861" s="14" t="b">
        <f aca="false">IF(중복검사!$A4859="",FALSE(),중복검사!$H4859="중복")</f>
        <v>0</v>
      </c>
      <c r="K4861" s="5" t="str">
        <f aca="false">IF($J4861=FALSE(),"",COUNTIF($J$6:$J4861,TRUE()))</f>
        <v/>
      </c>
      <c r="L4861" s="5" t="str">
        <f aca="false">IF($K4861="","","R"&amp;$K4861)</f>
        <v/>
      </c>
    </row>
    <row r="4862" customFormat="false" ht="15" hidden="false" customHeight="true" outlineLevel="0" collapsed="false">
      <c r="J4862" s="14" t="b">
        <f aca="false">IF(중복검사!$A4860="",FALSE(),중복검사!$H4860="중복")</f>
        <v>0</v>
      </c>
      <c r="K4862" s="5" t="str">
        <f aca="false">IF($J4862=FALSE(),"",COUNTIF($J$6:$J4862,TRUE()))</f>
        <v/>
      </c>
      <c r="L4862" s="5" t="str">
        <f aca="false">IF($K4862="","","R"&amp;$K4862)</f>
        <v/>
      </c>
    </row>
    <row r="4863" customFormat="false" ht="15" hidden="false" customHeight="true" outlineLevel="0" collapsed="false">
      <c r="J4863" s="14" t="b">
        <f aca="false">IF(중복검사!$A4861="",FALSE(),중복검사!$H4861="중복")</f>
        <v>0</v>
      </c>
      <c r="K4863" s="5" t="str">
        <f aca="false">IF($J4863=FALSE(),"",COUNTIF($J$6:$J4863,TRUE()))</f>
        <v/>
      </c>
      <c r="L4863" s="5" t="str">
        <f aca="false">IF($K4863="","","R"&amp;$K4863)</f>
        <v/>
      </c>
    </row>
    <row r="4864" customFormat="false" ht="15" hidden="false" customHeight="true" outlineLevel="0" collapsed="false">
      <c r="J4864" s="14" t="b">
        <f aca="false">IF(중복검사!$A4862="",FALSE(),중복검사!$H4862="중복")</f>
        <v>0</v>
      </c>
      <c r="K4864" s="5" t="str">
        <f aca="false">IF($J4864=FALSE(),"",COUNTIF($J$6:$J4864,TRUE()))</f>
        <v/>
      </c>
      <c r="L4864" s="5" t="str">
        <f aca="false">IF($K4864="","","R"&amp;$K4864)</f>
        <v/>
      </c>
    </row>
    <row r="4865" customFormat="false" ht="15" hidden="false" customHeight="true" outlineLevel="0" collapsed="false">
      <c r="J4865" s="14" t="b">
        <f aca="false">IF(중복검사!$A4863="",FALSE(),중복검사!$H4863="중복")</f>
        <v>0</v>
      </c>
      <c r="K4865" s="5" t="str">
        <f aca="false">IF($J4865=FALSE(),"",COUNTIF($J$6:$J4865,TRUE()))</f>
        <v/>
      </c>
      <c r="L4865" s="5" t="str">
        <f aca="false">IF($K4865="","","R"&amp;$K4865)</f>
        <v/>
      </c>
    </row>
    <row r="4866" customFormat="false" ht="15" hidden="false" customHeight="true" outlineLevel="0" collapsed="false">
      <c r="J4866" s="14" t="b">
        <f aca="false">IF(중복검사!$A4864="",FALSE(),중복검사!$H4864="중복")</f>
        <v>0</v>
      </c>
      <c r="K4866" s="5" t="str">
        <f aca="false">IF($J4866=FALSE(),"",COUNTIF($J$6:$J4866,TRUE()))</f>
        <v/>
      </c>
      <c r="L4866" s="5" t="str">
        <f aca="false">IF($K4866="","","R"&amp;$K4866)</f>
        <v/>
      </c>
    </row>
    <row r="4867" customFormat="false" ht="15" hidden="false" customHeight="true" outlineLevel="0" collapsed="false">
      <c r="J4867" s="14" t="b">
        <f aca="false">IF(중복검사!$A4865="",FALSE(),중복검사!$H4865="중복")</f>
        <v>0</v>
      </c>
      <c r="K4867" s="5" t="str">
        <f aca="false">IF($J4867=FALSE(),"",COUNTIF($J$6:$J4867,TRUE()))</f>
        <v/>
      </c>
      <c r="L4867" s="5" t="str">
        <f aca="false">IF($K4867="","","R"&amp;$K4867)</f>
        <v/>
      </c>
    </row>
    <row r="4868" customFormat="false" ht="15" hidden="false" customHeight="true" outlineLevel="0" collapsed="false">
      <c r="J4868" s="14" t="b">
        <f aca="false">IF(중복검사!$A4866="",FALSE(),중복검사!$H4866="중복")</f>
        <v>0</v>
      </c>
      <c r="K4868" s="5" t="str">
        <f aca="false">IF($J4868=FALSE(),"",COUNTIF($J$6:$J4868,TRUE()))</f>
        <v/>
      </c>
      <c r="L4868" s="5" t="str">
        <f aca="false">IF($K4868="","","R"&amp;$K4868)</f>
        <v/>
      </c>
    </row>
    <row r="4869" customFormat="false" ht="15" hidden="false" customHeight="true" outlineLevel="0" collapsed="false">
      <c r="J4869" s="14" t="b">
        <f aca="false">IF(중복검사!$A4867="",FALSE(),중복검사!$H4867="중복")</f>
        <v>0</v>
      </c>
      <c r="K4869" s="5" t="str">
        <f aca="false">IF($J4869=FALSE(),"",COUNTIF($J$6:$J4869,TRUE()))</f>
        <v/>
      </c>
      <c r="L4869" s="5" t="str">
        <f aca="false">IF($K4869="","","R"&amp;$K4869)</f>
        <v/>
      </c>
    </row>
    <row r="4870" customFormat="false" ht="15" hidden="false" customHeight="true" outlineLevel="0" collapsed="false">
      <c r="J4870" s="14" t="b">
        <f aca="false">IF(중복검사!$A4868="",FALSE(),중복검사!$H4868="중복")</f>
        <v>0</v>
      </c>
      <c r="K4870" s="5" t="str">
        <f aca="false">IF($J4870=FALSE(),"",COUNTIF($J$6:$J4870,TRUE()))</f>
        <v/>
      </c>
      <c r="L4870" s="5" t="str">
        <f aca="false">IF($K4870="","","R"&amp;$K4870)</f>
        <v/>
      </c>
    </row>
    <row r="4871" customFormat="false" ht="15" hidden="false" customHeight="true" outlineLevel="0" collapsed="false">
      <c r="J4871" s="14" t="b">
        <f aca="false">IF(중복검사!$A4869="",FALSE(),중복검사!$H4869="중복")</f>
        <v>0</v>
      </c>
      <c r="K4871" s="5" t="str">
        <f aca="false">IF($J4871=FALSE(),"",COUNTIF($J$6:$J4871,TRUE()))</f>
        <v/>
      </c>
      <c r="L4871" s="5" t="str">
        <f aca="false">IF($K4871="","","R"&amp;$K4871)</f>
        <v/>
      </c>
    </row>
    <row r="4872" customFormat="false" ht="15" hidden="false" customHeight="true" outlineLevel="0" collapsed="false">
      <c r="J4872" s="14" t="b">
        <f aca="false">IF(중복검사!$A4870="",FALSE(),중복검사!$H4870="중복")</f>
        <v>0</v>
      </c>
      <c r="K4872" s="5" t="str">
        <f aca="false">IF($J4872=FALSE(),"",COUNTIF($J$6:$J4872,TRUE()))</f>
        <v/>
      </c>
      <c r="L4872" s="5" t="str">
        <f aca="false">IF($K4872="","","R"&amp;$K4872)</f>
        <v/>
      </c>
    </row>
    <row r="4873" customFormat="false" ht="15" hidden="false" customHeight="true" outlineLevel="0" collapsed="false">
      <c r="J4873" s="14" t="b">
        <f aca="false">IF(중복검사!$A4871="",FALSE(),중복검사!$H4871="중복")</f>
        <v>0</v>
      </c>
      <c r="K4873" s="5" t="str">
        <f aca="false">IF($J4873=FALSE(),"",COUNTIF($J$6:$J4873,TRUE()))</f>
        <v/>
      </c>
      <c r="L4873" s="5" t="str">
        <f aca="false">IF($K4873="","","R"&amp;$K4873)</f>
        <v/>
      </c>
    </row>
    <row r="4874" customFormat="false" ht="15" hidden="false" customHeight="true" outlineLevel="0" collapsed="false">
      <c r="J4874" s="14" t="b">
        <f aca="false">IF(중복검사!$A4872="",FALSE(),중복검사!$H4872="중복")</f>
        <v>0</v>
      </c>
      <c r="K4874" s="5" t="str">
        <f aca="false">IF($J4874=FALSE(),"",COUNTIF($J$6:$J4874,TRUE()))</f>
        <v/>
      </c>
      <c r="L4874" s="5" t="str">
        <f aca="false">IF($K4874="","","R"&amp;$K4874)</f>
        <v/>
      </c>
    </row>
    <row r="4875" customFormat="false" ht="15" hidden="false" customHeight="true" outlineLevel="0" collapsed="false">
      <c r="J4875" s="14" t="b">
        <f aca="false">IF(중복검사!$A4873="",FALSE(),중복검사!$H4873="중복")</f>
        <v>0</v>
      </c>
      <c r="K4875" s="5" t="str">
        <f aca="false">IF($J4875=FALSE(),"",COUNTIF($J$6:$J4875,TRUE()))</f>
        <v/>
      </c>
      <c r="L4875" s="5" t="str">
        <f aca="false">IF($K4875="","","R"&amp;$K4875)</f>
        <v/>
      </c>
    </row>
    <row r="4876" customFormat="false" ht="15" hidden="false" customHeight="true" outlineLevel="0" collapsed="false">
      <c r="J4876" s="14" t="b">
        <f aca="false">IF(중복검사!$A4874="",FALSE(),중복검사!$H4874="중복")</f>
        <v>0</v>
      </c>
      <c r="K4876" s="5" t="str">
        <f aca="false">IF($J4876=FALSE(),"",COUNTIF($J$6:$J4876,TRUE()))</f>
        <v/>
      </c>
      <c r="L4876" s="5" t="str">
        <f aca="false">IF($K4876="","","R"&amp;$K4876)</f>
        <v/>
      </c>
    </row>
    <row r="4877" customFormat="false" ht="15" hidden="false" customHeight="true" outlineLevel="0" collapsed="false">
      <c r="J4877" s="14" t="b">
        <f aca="false">IF(중복검사!$A4875="",FALSE(),중복검사!$H4875="중복")</f>
        <v>0</v>
      </c>
      <c r="K4877" s="5" t="str">
        <f aca="false">IF($J4877=FALSE(),"",COUNTIF($J$6:$J4877,TRUE()))</f>
        <v/>
      </c>
      <c r="L4877" s="5" t="str">
        <f aca="false">IF($K4877="","","R"&amp;$K4877)</f>
        <v/>
      </c>
    </row>
    <row r="4878" customFormat="false" ht="15" hidden="false" customHeight="true" outlineLevel="0" collapsed="false">
      <c r="J4878" s="14" t="b">
        <f aca="false">IF(중복검사!$A4876="",FALSE(),중복검사!$H4876="중복")</f>
        <v>0</v>
      </c>
      <c r="K4878" s="5" t="str">
        <f aca="false">IF($J4878=FALSE(),"",COUNTIF($J$6:$J4878,TRUE()))</f>
        <v/>
      </c>
      <c r="L4878" s="5" t="str">
        <f aca="false">IF($K4878="","","R"&amp;$K4878)</f>
        <v/>
      </c>
    </row>
    <row r="4879" customFormat="false" ht="15" hidden="false" customHeight="true" outlineLevel="0" collapsed="false">
      <c r="J4879" s="14" t="b">
        <f aca="false">IF(중복검사!$A4877="",FALSE(),중복검사!$H4877="중복")</f>
        <v>0</v>
      </c>
      <c r="K4879" s="5" t="str">
        <f aca="false">IF($J4879=FALSE(),"",COUNTIF($J$6:$J4879,TRUE()))</f>
        <v/>
      </c>
      <c r="L4879" s="5" t="str">
        <f aca="false">IF($K4879="","","R"&amp;$K4879)</f>
        <v/>
      </c>
    </row>
    <row r="4880" customFormat="false" ht="15" hidden="false" customHeight="true" outlineLevel="0" collapsed="false">
      <c r="J4880" s="14" t="b">
        <f aca="false">IF(중복검사!$A4878="",FALSE(),중복검사!$H4878="중복")</f>
        <v>0</v>
      </c>
      <c r="K4880" s="5" t="str">
        <f aca="false">IF($J4880=FALSE(),"",COUNTIF($J$6:$J4880,TRUE()))</f>
        <v/>
      </c>
      <c r="L4880" s="5" t="str">
        <f aca="false">IF($K4880="","","R"&amp;$K4880)</f>
        <v/>
      </c>
    </row>
    <row r="4881" customFormat="false" ht="15" hidden="false" customHeight="true" outlineLevel="0" collapsed="false">
      <c r="J4881" s="14" t="b">
        <f aca="false">IF(중복검사!$A4879="",FALSE(),중복검사!$H4879="중복")</f>
        <v>0</v>
      </c>
      <c r="K4881" s="5" t="str">
        <f aca="false">IF($J4881=FALSE(),"",COUNTIF($J$6:$J4881,TRUE()))</f>
        <v/>
      </c>
      <c r="L4881" s="5" t="str">
        <f aca="false">IF($K4881="","","R"&amp;$K4881)</f>
        <v/>
      </c>
    </row>
    <row r="4882" customFormat="false" ht="15" hidden="false" customHeight="true" outlineLevel="0" collapsed="false">
      <c r="J4882" s="14" t="b">
        <f aca="false">IF(중복검사!$A4880="",FALSE(),중복검사!$H4880="중복")</f>
        <v>0</v>
      </c>
      <c r="K4882" s="5" t="str">
        <f aca="false">IF($J4882=FALSE(),"",COUNTIF($J$6:$J4882,TRUE()))</f>
        <v/>
      </c>
      <c r="L4882" s="5" t="str">
        <f aca="false">IF($K4882="","","R"&amp;$K4882)</f>
        <v/>
      </c>
    </row>
    <row r="4883" customFormat="false" ht="15" hidden="false" customHeight="true" outlineLevel="0" collapsed="false">
      <c r="J4883" s="14" t="b">
        <f aca="false">IF(중복검사!$A4881="",FALSE(),중복검사!$H4881="중복")</f>
        <v>0</v>
      </c>
      <c r="K4883" s="5" t="str">
        <f aca="false">IF($J4883=FALSE(),"",COUNTIF($J$6:$J4883,TRUE()))</f>
        <v/>
      </c>
      <c r="L4883" s="5" t="str">
        <f aca="false">IF($K4883="","","R"&amp;$K4883)</f>
        <v/>
      </c>
    </row>
    <row r="4884" customFormat="false" ht="15" hidden="false" customHeight="true" outlineLevel="0" collapsed="false">
      <c r="J4884" s="14" t="b">
        <f aca="false">IF(중복검사!$A4882="",FALSE(),중복검사!$H4882="중복")</f>
        <v>0</v>
      </c>
      <c r="K4884" s="5" t="str">
        <f aca="false">IF($J4884=FALSE(),"",COUNTIF($J$6:$J4884,TRUE()))</f>
        <v/>
      </c>
      <c r="L4884" s="5" t="str">
        <f aca="false">IF($K4884="","","R"&amp;$K4884)</f>
        <v/>
      </c>
    </row>
    <row r="4885" customFormat="false" ht="15" hidden="false" customHeight="true" outlineLevel="0" collapsed="false">
      <c r="J4885" s="14" t="b">
        <f aca="false">IF(중복검사!$A4883="",FALSE(),중복검사!$H4883="중복")</f>
        <v>0</v>
      </c>
      <c r="K4885" s="5" t="str">
        <f aca="false">IF($J4885=FALSE(),"",COUNTIF($J$6:$J4885,TRUE()))</f>
        <v/>
      </c>
      <c r="L4885" s="5" t="str">
        <f aca="false">IF($K4885="","","R"&amp;$K4885)</f>
        <v/>
      </c>
    </row>
    <row r="4886" customFormat="false" ht="15" hidden="false" customHeight="true" outlineLevel="0" collapsed="false">
      <c r="J4886" s="14" t="b">
        <f aca="false">IF(중복검사!$A4884="",FALSE(),중복검사!$H4884="중복")</f>
        <v>0</v>
      </c>
      <c r="K4886" s="5" t="str">
        <f aca="false">IF($J4886=FALSE(),"",COUNTIF($J$6:$J4886,TRUE()))</f>
        <v/>
      </c>
      <c r="L4886" s="5" t="str">
        <f aca="false">IF($K4886="","","R"&amp;$K4886)</f>
        <v/>
      </c>
    </row>
    <row r="4887" customFormat="false" ht="15" hidden="false" customHeight="true" outlineLevel="0" collapsed="false">
      <c r="J4887" s="14" t="b">
        <f aca="false">IF(중복검사!$A4885="",FALSE(),중복검사!$H4885="중복")</f>
        <v>0</v>
      </c>
      <c r="K4887" s="5" t="str">
        <f aca="false">IF($J4887=FALSE(),"",COUNTIF($J$6:$J4887,TRUE()))</f>
        <v/>
      </c>
      <c r="L4887" s="5" t="str">
        <f aca="false">IF($K4887="","","R"&amp;$K4887)</f>
        <v/>
      </c>
    </row>
    <row r="4888" customFormat="false" ht="15" hidden="false" customHeight="true" outlineLevel="0" collapsed="false">
      <c r="J4888" s="14" t="b">
        <f aca="false">IF(중복검사!$A4886="",FALSE(),중복검사!$H4886="중복")</f>
        <v>0</v>
      </c>
      <c r="K4888" s="5" t="str">
        <f aca="false">IF($J4888=FALSE(),"",COUNTIF($J$6:$J4888,TRUE()))</f>
        <v/>
      </c>
      <c r="L4888" s="5" t="str">
        <f aca="false">IF($K4888="","","R"&amp;$K4888)</f>
        <v/>
      </c>
    </row>
    <row r="4889" customFormat="false" ht="15" hidden="false" customHeight="true" outlineLevel="0" collapsed="false">
      <c r="J4889" s="14" t="b">
        <f aca="false">IF(중복검사!$A4887="",FALSE(),중복검사!$H4887="중복")</f>
        <v>0</v>
      </c>
      <c r="K4889" s="5" t="str">
        <f aca="false">IF($J4889=FALSE(),"",COUNTIF($J$6:$J4889,TRUE()))</f>
        <v/>
      </c>
      <c r="L4889" s="5" t="str">
        <f aca="false">IF($K4889="","","R"&amp;$K4889)</f>
        <v/>
      </c>
    </row>
    <row r="4890" customFormat="false" ht="15" hidden="false" customHeight="true" outlineLevel="0" collapsed="false">
      <c r="J4890" s="14" t="b">
        <f aca="false">IF(중복검사!$A4888="",FALSE(),중복검사!$H4888="중복")</f>
        <v>0</v>
      </c>
      <c r="K4890" s="5" t="str">
        <f aca="false">IF($J4890=FALSE(),"",COUNTIF($J$6:$J4890,TRUE()))</f>
        <v/>
      </c>
      <c r="L4890" s="5" t="str">
        <f aca="false">IF($K4890="","","R"&amp;$K4890)</f>
        <v/>
      </c>
    </row>
    <row r="4891" customFormat="false" ht="15" hidden="false" customHeight="true" outlineLevel="0" collapsed="false">
      <c r="J4891" s="14" t="b">
        <f aca="false">IF(중복검사!$A4889="",FALSE(),중복검사!$H4889="중복")</f>
        <v>0</v>
      </c>
      <c r="K4891" s="5" t="str">
        <f aca="false">IF($J4891=FALSE(),"",COUNTIF($J$6:$J4891,TRUE()))</f>
        <v/>
      </c>
      <c r="L4891" s="5" t="str">
        <f aca="false">IF($K4891="","","R"&amp;$K4891)</f>
        <v/>
      </c>
    </row>
    <row r="4892" customFormat="false" ht="15" hidden="false" customHeight="true" outlineLevel="0" collapsed="false">
      <c r="J4892" s="14" t="b">
        <f aca="false">IF(중복검사!$A4890="",FALSE(),중복검사!$H4890="중복")</f>
        <v>0</v>
      </c>
      <c r="K4892" s="5" t="str">
        <f aca="false">IF($J4892=FALSE(),"",COUNTIF($J$6:$J4892,TRUE()))</f>
        <v/>
      </c>
      <c r="L4892" s="5" t="str">
        <f aca="false">IF($K4892="","","R"&amp;$K4892)</f>
        <v/>
      </c>
    </row>
    <row r="4893" customFormat="false" ht="15" hidden="false" customHeight="true" outlineLevel="0" collapsed="false">
      <c r="J4893" s="14" t="b">
        <f aca="false">IF(중복검사!$A4891="",FALSE(),중복검사!$H4891="중복")</f>
        <v>0</v>
      </c>
      <c r="K4893" s="5" t="str">
        <f aca="false">IF($J4893=FALSE(),"",COUNTIF($J$6:$J4893,TRUE()))</f>
        <v/>
      </c>
      <c r="L4893" s="5" t="str">
        <f aca="false">IF($K4893="","","R"&amp;$K4893)</f>
        <v/>
      </c>
    </row>
    <row r="4894" customFormat="false" ht="15" hidden="false" customHeight="true" outlineLevel="0" collapsed="false">
      <c r="J4894" s="14" t="b">
        <f aca="false">IF(중복검사!$A4892="",FALSE(),중복검사!$H4892="중복")</f>
        <v>0</v>
      </c>
      <c r="K4894" s="5" t="str">
        <f aca="false">IF($J4894=FALSE(),"",COUNTIF($J$6:$J4894,TRUE()))</f>
        <v/>
      </c>
      <c r="L4894" s="5" t="str">
        <f aca="false">IF($K4894="","","R"&amp;$K4894)</f>
        <v/>
      </c>
    </row>
    <row r="4895" customFormat="false" ht="15" hidden="false" customHeight="true" outlineLevel="0" collapsed="false">
      <c r="J4895" s="14" t="b">
        <f aca="false">IF(중복검사!$A4893="",FALSE(),중복검사!$H4893="중복")</f>
        <v>0</v>
      </c>
      <c r="K4895" s="5" t="str">
        <f aca="false">IF($J4895=FALSE(),"",COUNTIF($J$6:$J4895,TRUE()))</f>
        <v/>
      </c>
      <c r="L4895" s="5" t="str">
        <f aca="false">IF($K4895="","","R"&amp;$K4895)</f>
        <v/>
      </c>
    </row>
    <row r="4896" customFormat="false" ht="15" hidden="false" customHeight="true" outlineLevel="0" collapsed="false">
      <c r="J4896" s="14" t="b">
        <f aca="false">IF(중복검사!$A4894="",FALSE(),중복검사!$H4894="중복")</f>
        <v>0</v>
      </c>
      <c r="K4896" s="5" t="str">
        <f aca="false">IF($J4896=FALSE(),"",COUNTIF($J$6:$J4896,TRUE()))</f>
        <v/>
      </c>
      <c r="L4896" s="5" t="str">
        <f aca="false">IF($K4896="","","R"&amp;$K4896)</f>
        <v/>
      </c>
    </row>
    <row r="4897" customFormat="false" ht="15" hidden="false" customHeight="true" outlineLevel="0" collapsed="false">
      <c r="J4897" s="14" t="b">
        <f aca="false">IF(중복검사!$A4895="",FALSE(),중복검사!$H4895="중복")</f>
        <v>0</v>
      </c>
      <c r="K4897" s="5" t="str">
        <f aca="false">IF($J4897=FALSE(),"",COUNTIF($J$6:$J4897,TRUE()))</f>
        <v/>
      </c>
      <c r="L4897" s="5" t="str">
        <f aca="false">IF($K4897="","","R"&amp;$K4897)</f>
        <v/>
      </c>
    </row>
    <row r="4898" customFormat="false" ht="15" hidden="false" customHeight="true" outlineLevel="0" collapsed="false">
      <c r="J4898" s="14" t="b">
        <f aca="false">IF(중복검사!$A4896="",FALSE(),중복검사!$H4896="중복")</f>
        <v>0</v>
      </c>
      <c r="K4898" s="5" t="str">
        <f aca="false">IF($J4898=FALSE(),"",COUNTIF($J$6:$J4898,TRUE()))</f>
        <v/>
      </c>
      <c r="L4898" s="5" t="str">
        <f aca="false">IF($K4898="","","R"&amp;$K4898)</f>
        <v/>
      </c>
    </row>
    <row r="4899" customFormat="false" ht="15" hidden="false" customHeight="true" outlineLevel="0" collapsed="false">
      <c r="J4899" s="14" t="b">
        <f aca="false">IF(중복검사!$A4897="",FALSE(),중복검사!$H4897="중복")</f>
        <v>0</v>
      </c>
      <c r="K4899" s="5" t="str">
        <f aca="false">IF($J4899=FALSE(),"",COUNTIF($J$6:$J4899,TRUE()))</f>
        <v/>
      </c>
      <c r="L4899" s="5" t="str">
        <f aca="false">IF($K4899="","","R"&amp;$K4899)</f>
        <v/>
      </c>
    </row>
    <row r="4900" customFormat="false" ht="15" hidden="false" customHeight="true" outlineLevel="0" collapsed="false">
      <c r="J4900" s="14" t="b">
        <f aca="false">IF(중복검사!$A4898="",FALSE(),중복검사!$H4898="중복")</f>
        <v>0</v>
      </c>
      <c r="K4900" s="5" t="str">
        <f aca="false">IF($J4900=FALSE(),"",COUNTIF($J$6:$J4900,TRUE()))</f>
        <v/>
      </c>
      <c r="L4900" s="5" t="str">
        <f aca="false">IF($K4900="","","R"&amp;$K4900)</f>
        <v/>
      </c>
    </row>
    <row r="4901" customFormat="false" ht="15" hidden="false" customHeight="true" outlineLevel="0" collapsed="false">
      <c r="J4901" s="14" t="b">
        <f aca="false">IF(중복검사!$A4899="",FALSE(),중복검사!$H4899="중복")</f>
        <v>0</v>
      </c>
      <c r="K4901" s="5" t="str">
        <f aca="false">IF($J4901=FALSE(),"",COUNTIF($J$6:$J4901,TRUE()))</f>
        <v/>
      </c>
      <c r="L4901" s="5" t="str">
        <f aca="false">IF($K4901="","","R"&amp;$K4901)</f>
        <v/>
      </c>
    </row>
    <row r="4902" customFormat="false" ht="15" hidden="false" customHeight="true" outlineLevel="0" collapsed="false">
      <c r="J4902" s="14" t="b">
        <f aca="false">IF(중복검사!$A4900="",FALSE(),중복검사!$H4900="중복")</f>
        <v>0</v>
      </c>
      <c r="K4902" s="5" t="str">
        <f aca="false">IF($J4902=FALSE(),"",COUNTIF($J$6:$J4902,TRUE()))</f>
        <v/>
      </c>
      <c r="L4902" s="5" t="str">
        <f aca="false">IF($K4902="","","R"&amp;$K4902)</f>
        <v/>
      </c>
    </row>
    <row r="4903" customFormat="false" ht="15" hidden="false" customHeight="true" outlineLevel="0" collapsed="false">
      <c r="J4903" s="14" t="b">
        <f aca="false">IF(중복검사!$A4901="",FALSE(),중복검사!$H4901="중복")</f>
        <v>0</v>
      </c>
      <c r="K4903" s="5" t="str">
        <f aca="false">IF($J4903=FALSE(),"",COUNTIF($J$6:$J4903,TRUE()))</f>
        <v/>
      </c>
      <c r="L4903" s="5" t="str">
        <f aca="false">IF($K4903="","","R"&amp;$K4903)</f>
        <v/>
      </c>
    </row>
    <row r="4904" customFormat="false" ht="15" hidden="false" customHeight="true" outlineLevel="0" collapsed="false">
      <c r="J4904" s="14" t="b">
        <f aca="false">IF(중복검사!$A4902="",FALSE(),중복검사!$H4902="중복")</f>
        <v>0</v>
      </c>
      <c r="K4904" s="5" t="str">
        <f aca="false">IF($J4904=FALSE(),"",COUNTIF($J$6:$J4904,TRUE()))</f>
        <v/>
      </c>
      <c r="L4904" s="5" t="str">
        <f aca="false">IF($K4904="","","R"&amp;$K4904)</f>
        <v/>
      </c>
    </row>
    <row r="4905" customFormat="false" ht="15" hidden="false" customHeight="true" outlineLevel="0" collapsed="false">
      <c r="J4905" s="14" t="b">
        <f aca="false">IF(중복검사!$A4903="",FALSE(),중복검사!$H4903="중복")</f>
        <v>0</v>
      </c>
      <c r="K4905" s="5" t="str">
        <f aca="false">IF($J4905=FALSE(),"",COUNTIF($J$6:$J4905,TRUE()))</f>
        <v/>
      </c>
      <c r="L4905" s="5" t="str">
        <f aca="false">IF($K4905="","","R"&amp;$K4905)</f>
        <v/>
      </c>
    </row>
    <row r="4906" customFormat="false" ht="15" hidden="false" customHeight="true" outlineLevel="0" collapsed="false">
      <c r="J4906" s="14" t="b">
        <f aca="false">IF(중복검사!$A4904="",FALSE(),중복검사!$H4904="중복")</f>
        <v>0</v>
      </c>
      <c r="K4906" s="5" t="str">
        <f aca="false">IF($J4906=FALSE(),"",COUNTIF($J$6:$J4906,TRUE()))</f>
        <v/>
      </c>
      <c r="L4906" s="5" t="str">
        <f aca="false">IF($K4906="","","R"&amp;$K4906)</f>
        <v/>
      </c>
    </row>
    <row r="4907" customFormat="false" ht="15" hidden="false" customHeight="true" outlineLevel="0" collapsed="false">
      <c r="J4907" s="14" t="b">
        <f aca="false">IF(중복검사!$A4905="",FALSE(),중복검사!$H4905="중복")</f>
        <v>0</v>
      </c>
      <c r="K4907" s="5" t="str">
        <f aca="false">IF($J4907=FALSE(),"",COUNTIF($J$6:$J4907,TRUE()))</f>
        <v/>
      </c>
      <c r="L4907" s="5" t="str">
        <f aca="false">IF($K4907="","","R"&amp;$K4907)</f>
        <v/>
      </c>
    </row>
    <row r="4908" customFormat="false" ht="15" hidden="false" customHeight="true" outlineLevel="0" collapsed="false">
      <c r="J4908" s="14" t="b">
        <f aca="false">IF(중복검사!$A4906="",FALSE(),중복검사!$H4906="중복")</f>
        <v>0</v>
      </c>
      <c r="K4908" s="5" t="str">
        <f aca="false">IF($J4908=FALSE(),"",COUNTIF($J$6:$J4908,TRUE()))</f>
        <v/>
      </c>
      <c r="L4908" s="5" t="str">
        <f aca="false">IF($K4908="","","R"&amp;$K4908)</f>
        <v/>
      </c>
    </row>
    <row r="4909" customFormat="false" ht="15" hidden="false" customHeight="true" outlineLevel="0" collapsed="false">
      <c r="J4909" s="14" t="b">
        <f aca="false">IF(중복검사!$A4907="",FALSE(),중복검사!$H4907="중복")</f>
        <v>0</v>
      </c>
      <c r="K4909" s="5" t="str">
        <f aca="false">IF($J4909=FALSE(),"",COUNTIF($J$6:$J4909,TRUE()))</f>
        <v/>
      </c>
      <c r="L4909" s="5" t="str">
        <f aca="false">IF($K4909="","","R"&amp;$K4909)</f>
        <v/>
      </c>
    </row>
    <row r="4910" customFormat="false" ht="15" hidden="false" customHeight="true" outlineLevel="0" collapsed="false">
      <c r="J4910" s="14" t="b">
        <f aca="false">IF(중복검사!$A4908="",FALSE(),중복검사!$H4908="중복")</f>
        <v>0</v>
      </c>
      <c r="K4910" s="5" t="str">
        <f aca="false">IF($J4910=FALSE(),"",COUNTIF($J$6:$J4910,TRUE()))</f>
        <v/>
      </c>
      <c r="L4910" s="5" t="str">
        <f aca="false">IF($K4910="","","R"&amp;$K4910)</f>
        <v/>
      </c>
    </row>
    <row r="4911" customFormat="false" ht="15" hidden="false" customHeight="true" outlineLevel="0" collapsed="false">
      <c r="J4911" s="14" t="b">
        <f aca="false">IF(중복검사!$A4909="",FALSE(),중복검사!$H4909="중복")</f>
        <v>0</v>
      </c>
      <c r="K4911" s="5" t="str">
        <f aca="false">IF($J4911=FALSE(),"",COUNTIF($J$6:$J4911,TRUE()))</f>
        <v/>
      </c>
      <c r="L4911" s="5" t="str">
        <f aca="false">IF($K4911="","","R"&amp;$K4911)</f>
        <v/>
      </c>
    </row>
    <row r="4912" customFormat="false" ht="15" hidden="false" customHeight="true" outlineLevel="0" collapsed="false">
      <c r="J4912" s="14" t="b">
        <f aca="false">IF(중복검사!$A4910="",FALSE(),중복검사!$H4910="중복")</f>
        <v>0</v>
      </c>
      <c r="K4912" s="5" t="str">
        <f aca="false">IF($J4912=FALSE(),"",COUNTIF($J$6:$J4912,TRUE()))</f>
        <v/>
      </c>
      <c r="L4912" s="5" t="str">
        <f aca="false">IF($K4912="","","R"&amp;$K4912)</f>
        <v/>
      </c>
    </row>
    <row r="4913" customFormat="false" ht="15" hidden="false" customHeight="true" outlineLevel="0" collapsed="false">
      <c r="J4913" s="14" t="b">
        <f aca="false">IF(중복검사!$A4911="",FALSE(),중복검사!$H4911="중복")</f>
        <v>0</v>
      </c>
      <c r="K4913" s="5" t="str">
        <f aca="false">IF($J4913=FALSE(),"",COUNTIF($J$6:$J4913,TRUE()))</f>
        <v/>
      </c>
      <c r="L4913" s="5" t="str">
        <f aca="false">IF($K4913="","","R"&amp;$K4913)</f>
        <v/>
      </c>
    </row>
    <row r="4914" customFormat="false" ht="15" hidden="false" customHeight="true" outlineLevel="0" collapsed="false">
      <c r="J4914" s="14" t="b">
        <f aca="false">IF(중복검사!$A4912="",FALSE(),중복검사!$H4912="중복")</f>
        <v>0</v>
      </c>
      <c r="K4914" s="5" t="str">
        <f aca="false">IF($J4914=FALSE(),"",COUNTIF($J$6:$J4914,TRUE()))</f>
        <v/>
      </c>
      <c r="L4914" s="5" t="str">
        <f aca="false">IF($K4914="","","R"&amp;$K4914)</f>
        <v/>
      </c>
    </row>
    <row r="4915" customFormat="false" ht="15" hidden="false" customHeight="true" outlineLevel="0" collapsed="false">
      <c r="J4915" s="14" t="b">
        <f aca="false">IF(중복검사!$A4913="",FALSE(),중복검사!$H4913="중복")</f>
        <v>0</v>
      </c>
      <c r="K4915" s="5" t="str">
        <f aca="false">IF($J4915=FALSE(),"",COUNTIF($J$6:$J4915,TRUE()))</f>
        <v/>
      </c>
      <c r="L4915" s="5" t="str">
        <f aca="false">IF($K4915="","","R"&amp;$K4915)</f>
        <v/>
      </c>
    </row>
    <row r="4916" customFormat="false" ht="15" hidden="false" customHeight="true" outlineLevel="0" collapsed="false">
      <c r="J4916" s="14" t="b">
        <f aca="false">IF(중복검사!$A4914="",FALSE(),중복검사!$H4914="중복")</f>
        <v>0</v>
      </c>
      <c r="K4916" s="5" t="str">
        <f aca="false">IF($J4916=FALSE(),"",COUNTIF($J$6:$J4916,TRUE()))</f>
        <v/>
      </c>
      <c r="L4916" s="5" t="str">
        <f aca="false">IF($K4916="","","R"&amp;$K4916)</f>
        <v/>
      </c>
    </row>
    <row r="4917" customFormat="false" ht="15" hidden="false" customHeight="true" outlineLevel="0" collapsed="false">
      <c r="J4917" s="14" t="b">
        <f aca="false">IF(중복검사!$A4915="",FALSE(),중복검사!$H4915="중복")</f>
        <v>0</v>
      </c>
      <c r="K4917" s="5" t="str">
        <f aca="false">IF($J4917=FALSE(),"",COUNTIF($J$6:$J4917,TRUE()))</f>
        <v/>
      </c>
      <c r="L4917" s="5" t="str">
        <f aca="false">IF($K4917="","","R"&amp;$K4917)</f>
        <v/>
      </c>
    </row>
    <row r="4918" customFormat="false" ht="15" hidden="false" customHeight="true" outlineLevel="0" collapsed="false">
      <c r="J4918" s="14" t="b">
        <f aca="false">IF(중복검사!$A4916="",FALSE(),중복검사!$H4916="중복")</f>
        <v>0</v>
      </c>
      <c r="K4918" s="5" t="str">
        <f aca="false">IF($J4918=FALSE(),"",COUNTIF($J$6:$J4918,TRUE()))</f>
        <v/>
      </c>
      <c r="L4918" s="5" t="str">
        <f aca="false">IF($K4918="","","R"&amp;$K4918)</f>
        <v/>
      </c>
    </row>
    <row r="4919" customFormat="false" ht="15" hidden="false" customHeight="true" outlineLevel="0" collapsed="false">
      <c r="J4919" s="14" t="b">
        <f aca="false">IF(중복검사!$A4917="",FALSE(),중복검사!$H4917="중복")</f>
        <v>0</v>
      </c>
      <c r="K4919" s="5" t="str">
        <f aca="false">IF($J4919=FALSE(),"",COUNTIF($J$6:$J4919,TRUE()))</f>
        <v/>
      </c>
      <c r="L4919" s="5" t="str">
        <f aca="false">IF($K4919="","","R"&amp;$K4919)</f>
        <v/>
      </c>
    </row>
    <row r="4920" customFormat="false" ht="15" hidden="false" customHeight="true" outlineLevel="0" collapsed="false">
      <c r="J4920" s="14" t="b">
        <f aca="false">IF(중복검사!$A4918="",FALSE(),중복검사!$H4918="중복")</f>
        <v>0</v>
      </c>
      <c r="K4920" s="5" t="str">
        <f aca="false">IF($J4920=FALSE(),"",COUNTIF($J$6:$J4920,TRUE()))</f>
        <v/>
      </c>
      <c r="L4920" s="5" t="str">
        <f aca="false">IF($K4920="","","R"&amp;$K4920)</f>
        <v/>
      </c>
    </row>
    <row r="4921" customFormat="false" ht="15" hidden="false" customHeight="true" outlineLevel="0" collapsed="false">
      <c r="J4921" s="14" t="b">
        <f aca="false">IF(중복검사!$A4919="",FALSE(),중복검사!$H4919="중복")</f>
        <v>0</v>
      </c>
      <c r="K4921" s="5" t="str">
        <f aca="false">IF($J4921=FALSE(),"",COUNTIF($J$6:$J4921,TRUE()))</f>
        <v/>
      </c>
      <c r="L4921" s="5" t="str">
        <f aca="false">IF($K4921="","","R"&amp;$K4921)</f>
        <v/>
      </c>
    </row>
    <row r="4922" customFormat="false" ht="15" hidden="false" customHeight="true" outlineLevel="0" collapsed="false">
      <c r="J4922" s="14" t="b">
        <f aca="false">IF(중복검사!$A4920="",FALSE(),중복검사!$H4920="중복")</f>
        <v>0</v>
      </c>
      <c r="K4922" s="5" t="str">
        <f aca="false">IF($J4922=FALSE(),"",COUNTIF($J$6:$J4922,TRUE()))</f>
        <v/>
      </c>
      <c r="L4922" s="5" t="str">
        <f aca="false">IF($K4922="","","R"&amp;$K4922)</f>
        <v/>
      </c>
    </row>
    <row r="4923" customFormat="false" ht="15" hidden="false" customHeight="true" outlineLevel="0" collapsed="false">
      <c r="J4923" s="14" t="b">
        <f aca="false">IF(중복검사!$A4921="",FALSE(),중복검사!$H4921="중복")</f>
        <v>0</v>
      </c>
      <c r="K4923" s="5" t="str">
        <f aca="false">IF($J4923=FALSE(),"",COUNTIF($J$6:$J4923,TRUE()))</f>
        <v/>
      </c>
      <c r="L4923" s="5" t="str">
        <f aca="false">IF($K4923="","","R"&amp;$K4923)</f>
        <v/>
      </c>
    </row>
    <row r="4924" customFormat="false" ht="15" hidden="false" customHeight="true" outlineLevel="0" collapsed="false">
      <c r="J4924" s="14" t="b">
        <f aca="false">IF(중복검사!$A4922="",FALSE(),중복검사!$H4922="중복")</f>
        <v>0</v>
      </c>
      <c r="K4924" s="5" t="str">
        <f aca="false">IF($J4924=FALSE(),"",COUNTIF($J$6:$J4924,TRUE()))</f>
        <v/>
      </c>
      <c r="L4924" s="5" t="str">
        <f aca="false">IF($K4924="","","R"&amp;$K4924)</f>
        <v/>
      </c>
    </row>
    <row r="4925" customFormat="false" ht="15" hidden="false" customHeight="true" outlineLevel="0" collapsed="false">
      <c r="J4925" s="14" t="b">
        <f aca="false">IF(중복검사!$A4923="",FALSE(),중복검사!$H4923="중복")</f>
        <v>0</v>
      </c>
      <c r="K4925" s="5" t="str">
        <f aca="false">IF($J4925=FALSE(),"",COUNTIF($J$6:$J4925,TRUE()))</f>
        <v/>
      </c>
      <c r="L4925" s="5" t="str">
        <f aca="false">IF($K4925="","","R"&amp;$K4925)</f>
        <v/>
      </c>
    </row>
    <row r="4926" customFormat="false" ht="15" hidden="false" customHeight="true" outlineLevel="0" collapsed="false">
      <c r="J4926" s="14" t="b">
        <f aca="false">IF(중복검사!$A4924="",FALSE(),중복검사!$H4924="중복")</f>
        <v>0</v>
      </c>
      <c r="K4926" s="5" t="str">
        <f aca="false">IF($J4926=FALSE(),"",COUNTIF($J$6:$J4926,TRUE()))</f>
        <v/>
      </c>
      <c r="L4926" s="5" t="str">
        <f aca="false">IF($K4926="","","R"&amp;$K4926)</f>
        <v/>
      </c>
    </row>
    <row r="4927" customFormat="false" ht="15" hidden="false" customHeight="true" outlineLevel="0" collapsed="false">
      <c r="J4927" s="14" t="b">
        <f aca="false">IF(중복검사!$A4925="",FALSE(),중복검사!$H4925="중복")</f>
        <v>0</v>
      </c>
      <c r="K4927" s="5" t="str">
        <f aca="false">IF($J4927=FALSE(),"",COUNTIF($J$6:$J4927,TRUE()))</f>
        <v/>
      </c>
      <c r="L4927" s="5" t="str">
        <f aca="false">IF($K4927="","","R"&amp;$K4927)</f>
        <v/>
      </c>
    </row>
    <row r="4928" customFormat="false" ht="15" hidden="false" customHeight="true" outlineLevel="0" collapsed="false">
      <c r="J4928" s="14" t="b">
        <f aca="false">IF(중복검사!$A4926="",FALSE(),중복검사!$H4926="중복")</f>
        <v>0</v>
      </c>
      <c r="K4928" s="5" t="str">
        <f aca="false">IF($J4928=FALSE(),"",COUNTIF($J$6:$J4928,TRUE()))</f>
        <v/>
      </c>
      <c r="L4928" s="5" t="str">
        <f aca="false">IF($K4928="","","R"&amp;$K4928)</f>
        <v/>
      </c>
    </row>
    <row r="4929" customFormat="false" ht="15" hidden="false" customHeight="true" outlineLevel="0" collapsed="false">
      <c r="J4929" s="14" t="b">
        <f aca="false">IF(중복검사!$A4927="",FALSE(),중복검사!$H4927="중복")</f>
        <v>0</v>
      </c>
      <c r="K4929" s="5" t="str">
        <f aca="false">IF($J4929=FALSE(),"",COUNTIF($J$6:$J4929,TRUE()))</f>
        <v/>
      </c>
      <c r="L4929" s="5" t="str">
        <f aca="false">IF($K4929="","","R"&amp;$K4929)</f>
        <v/>
      </c>
    </row>
    <row r="4930" customFormat="false" ht="15" hidden="false" customHeight="true" outlineLevel="0" collapsed="false">
      <c r="J4930" s="14" t="b">
        <f aca="false">IF(중복검사!$A4928="",FALSE(),중복검사!$H4928="중복")</f>
        <v>0</v>
      </c>
      <c r="K4930" s="5" t="str">
        <f aca="false">IF($J4930=FALSE(),"",COUNTIF($J$6:$J4930,TRUE()))</f>
        <v/>
      </c>
      <c r="L4930" s="5" t="str">
        <f aca="false">IF($K4930="","","R"&amp;$K4930)</f>
        <v/>
      </c>
    </row>
    <row r="4931" customFormat="false" ht="15" hidden="false" customHeight="true" outlineLevel="0" collapsed="false">
      <c r="J4931" s="14" t="b">
        <f aca="false">IF(중복검사!$A4929="",FALSE(),중복검사!$H4929="중복")</f>
        <v>0</v>
      </c>
      <c r="K4931" s="5" t="str">
        <f aca="false">IF($J4931=FALSE(),"",COUNTIF($J$6:$J4931,TRUE()))</f>
        <v/>
      </c>
      <c r="L4931" s="5" t="str">
        <f aca="false">IF($K4931="","","R"&amp;$K4931)</f>
        <v/>
      </c>
    </row>
    <row r="4932" customFormat="false" ht="15" hidden="false" customHeight="true" outlineLevel="0" collapsed="false">
      <c r="J4932" s="14" t="b">
        <f aca="false">IF(중복검사!$A4930="",FALSE(),중복검사!$H4930="중복")</f>
        <v>0</v>
      </c>
      <c r="K4932" s="5" t="str">
        <f aca="false">IF($J4932=FALSE(),"",COUNTIF($J$6:$J4932,TRUE()))</f>
        <v/>
      </c>
      <c r="L4932" s="5" t="str">
        <f aca="false">IF($K4932="","","R"&amp;$K4932)</f>
        <v/>
      </c>
    </row>
    <row r="4933" customFormat="false" ht="15" hidden="false" customHeight="true" outlineLevel="0" collapsed="false">
      <c r="J4933" s="14" t="b">
        <f aca="false">IF(중복검사!$A4931="",FALSE(),중복검사!$H4931="중복")</f>
        <v>0</v>
      </c>
      <c r="K4933" s="5" t="str">
        <f aca="false">IF($J4933=FALSE(),"",COUNTIF($J$6:$J4933,TRUE()))</f>
        <v/>
      </c>
      <c r="L4933" s="5" t="str">
        <f aca="false">IF($K4933="","","R"&amp;$K4933)</f>
        <v/>
      </c>
    </row>
    <row r="4934" customFormat="false" ht="15" hidden="false" customHeight="true" outlineLevel="0" collapsed="false">
      <c r="J4934" s="14" t="b">
        <f aca="false">IF(중복검사!$A4932="",FALSE(),중복검사!$H4932="중복")</f>
        <v>0</v>
      </c>
      <c r="K4934" s="5" t="str">
        <f aca="false">IF($J4934=FALSE(),"",COUNTIF($J$6:$J4934,TRUE()))</f>
        <v/>
      </c>
      <c r="L4934" s="5" t="str">
        <f aca="false">IF($K4934="","","R"&amp;$K4934)</f>
        <v/>
      </c>
    </row>
    <row r="4935" customFormat="false" ht="15" hidden="false" customHeight="true" outlineLevel="0" collapsed="false">
      <c r="J4935" s="14" t="b">
        <f aca="false">IF(중복검사!$A4933="",FALSE(),중복검사!$H4933="중복")</f>
        <v>0</v>
      </c>
      <c r="K4935" s="5" t="str">
        <f aca="false">IF($J4935=FALSE(),"",COUNTIF($J$6:$J4935,TRUE()))</f>
        <v/>
      </c>
      <c r="L4935" s="5" t="str">
        <f aca="false">IF($K4935="","","R"&amp;$K4935)</f>
        <v/>
      </c>
    </row>
    <row r="4936" customFormat="false" ht="15" hidden="false" customHeight="true" outlineLevel="0" collapsed="false">
      <c r="J4936" s="14" t="b">
        <f aca="false">IF(중복검사!$A4934="",FALSE(),중복검사!$H4934="중복")</f>
        <v>0</v>
      </c>
      <c r="K4936" s="5" t="str">
        <f aca="false">IF($J4936=FALSE(),"",COUNTIF($J$6:$J4936,TRUE()))</f>
        <v/>
      </c>
      <c r="L4936" s="5" t="str">
        <f aca="false">IF($K4936="","","R"&amp;$K4936)</f>
        <v/>
      </c>
    </row>
    <row r="4937" customFormat="false" ht="15" hidden="false" customHeight="true" outlineLevel="0" collapsed="false">
      <c r="J4937" s="14" t="b">
        <f aca="false">IF(중복검사!$A4935="",FALSE(),중복검사!$H4935="중복")</f>
        <v>0</v>
      </c>
      <c r="K4937" s="5" t="str">
        <f aca="false">IF($J4937=FALSE(),"",COUNTIF($J$6:$J4937,TRUE()))</f>
        <v/>
      </c>
      <c r="L4937" s="5" t="str">
        <f aca="false">IF($K4937="","","R"&amp;$K4937)</f>
        <v/>
      </c>
    </row>
    <row r="4938" customFormat="false" ht="15" hidden="false" customHeight="true" outlineLevel="0" collapsed="false">
      <c r="J4938" s="14" t="b">
        <f aca="false">IF(중복검사!$A4936="",FALSE(),중복검사!$H4936="중복")</f>
        <v>0</v>
      </c>
      <c r="K4938" s="5" t="str">
        <f aca="false">IF($J4938=FALSE(),"",COUNTIF($J$6:$J4938,TRUE()))</f>
        <v/>
      </c>
      <c r="L4938" s="5" t="str">
        <f aca="false">IF($K4938="","","R"&amp;$K4938)</f>
        <v/>
      </c>
    </row>
    <row r="4939" customFormat="false" ht="15" hidden="false" customHeight="true" outlineLevel="0" collapsed="false">
      <c r="J4939" s="14" t="b">
        <f aca="false">IF(중복검사!$A4937="",FALSE(),중복검사!$H4937="중복")</f>
        <v>0</v>
      </c>
      <c r="K4939" s="5" t="str">
        <f aca="false">IF($J4939=FALSE(),"",COUNTIF($J$6:$J4939,TRUE()))</f>
        <v/>
      </c>
      <c r="L4939" s="5" t="str">
        <f aca="false">IF($K4939="","","R"&amp;$K4939)</f>
        <v/>
      </c>
    </row>
    <row r="4940" customFormat="false" ht="15" hidden="false" customHeight="true" outlineLevel="0" collapsed="false">
      <c r="J4940" s="14" t="b">
        <f aca="false">IF(중복검사!$A4938="",FALSE(),중복검사!$H4938="중복")</f>
        <v>0</v>
      </c>
      <c r="K4940" s="5" t="str">
        <f aca="false">IF($J4940=FALSE(),"",COUNTIF($J$6:$J4940,TRUE()))</f>
        <v/>
      </c>
      <c r="L4940" s="5" t="str">
        <f aca="false">IF($K4940="","","R"&amp;$K4940)</f>
        <v/>
      </c>
    </row>
    <row r="4941" customFormat="false" ht="15" hidden="false" customHeight="true" outlineLevel="0" collapsed="false">
      <c r="J4941" s="14" t="b">
        <f aca="false">IF(중복검사!$A4939="",FALSE(),중복검사!$H4939="중복")</f>
        <v>0</v>
      </c>
      <c r="K4941" s="5" t="str">
        <f aca="false">IF($J4941=FALSE(),"",COUNTIF($J$6:$J4941,TRUE()))</f>
        <v/>
      </c>
      <c r="L4941" s="5" t="str">
        <f aca="false">IF($K4941="","","R"&amp;$K4941)</f>
        <v/>
      </c>
    </row>
    <row r="4942" customFormat="false" ht="15" hidden="false" customHeight="true" outlineLevel="0" collapsed="false">
      <c r="J4942" s="14" t="b">
        <f aca="false">IF(중복검사!$A4940="",FALSE(),중복검사!$H4940="중복")</f>
        <v>0</v>
      </c>
      <c r="K4942" s="5" t="str">
        <f aca="false">IF($J4942=FALSE(),"",COUNTIF($J$6:$J4942,TRUE()))</f>
        <v/>
      </c>
      <c r="L4942" s="5" t="str">
        <f aca="false">IF($K4942="","","R"&amp;$K4942)</f>
        <v/>
      </c>
    </row>
    <row r="4943" customFormat="false" ht="15" hidden="false" customHeight="true" outlineLevel="0" collapsed="false">
      <c r="J4943" s="14" t="b">
        <f aca="false">IF(중복검사!$A4941="",FALSE(),중복검사!$H4941="중복")</f>
        <v>0</v>
      </c>
      <c r="K4943" s="5" t="str">
        <f aca="false">IF($J4943=FALSE(),"",COUNTIF($J$6:$J4943,TRUE()))</f>
        <v/>
      </c>
      <c r="L4943" s="5" t="str">
        <f aca="false">IF($K4943="","","R"&amp;$K4943)</f>
        <v/>
      </c>
    </row>
    <row r="4944" customFormat="false" ht="15" hidden="false" customHeight="true" outlineLevel="0" collapsed="false">
      <c r="J4944" s="14" t="b">
        <f aca="false">IF(중복검사!$A4942="",FALSE(),중복검사!$H4942="중복")</f>
        <v>0</v>
      </c>
      <c r="K4944" s="5" t="str">
        <f aca="false">IF($J4944=FALSE(),"",COUNTIF($J$6:$J4944,TRUE()))</f>
        <v/>
      </c>
      <c r="L4944" s="5" t="str">
        <f aca="false">IF($K4944="","","R"&amp;$K4944)</f>
        <v/>
      </c>
    </row>
    <row r="4945" customFormat="false" ht="15" hidden="false" customHeight="true" outlineLevel="0" collapsed="false">
      <c r="J4945" s="14" t="b">
        <f aca="false">IF(중복검사!$A4943="",FALSE(),중복검사!$H4943="중복")</f>
        <v>0</v>
      </c>
      <c r="K4945" s="5" t="str">
        <f aca="false">IF($J4945=FALSE(),"",COUNTIF($J$6:$J4945,TRUE()))</f>
        <v/>
      </c>
      <c r="L4945" s="5" t="str">
        <f aca="false">IF($K4945="","","R"&amp;$K4945)</f>
        <v/>
      </c>
    </row>
    <row r="4946" customFormat="false" ht="15" hidden="false" customHeight="true" outlineLevel="0" collapsed="false">
      <c r="J4946" s="14" t="b">
        <f aca="false">IF(중복검사!$A4944="",FALSE(),중복검사!$H4944="중복")</f>
        <v>0</v>
      </c>
      <c r="K4946" s="5" t="str">
        <f aca="false">IF($J4946=FALSE(),"",COUNTIF($J$6:$J4946,TRUE()))</f>
        <v/>
      </c>
      <c r="L4946" s="5" t="str">
        <f aca="false">IF($K4946="","","R"&amp;$K4946)</f>
        <v/>
      </c>
    </row>
    <row r="4947" customFormat="false" ht="15" hidden="false" customHeight="true" outlineLevel="0" collapsed="false">
      <c r="J4947" s="14" t="b">
        <f aca="false">IF(중복검사!$A4945="",FALSE(),중복검사!$H4945="중복")</f>
        <v>0</v>
      </c>
      <c r="K4947" s="5" t="str">
        <f aca="false">IF($J4947=FALSE(),"",COUNTIF($J$6:$J4947,TRUE()))</f>
        <v/>
      </c>
      <c r="L4947" s="5" t="str">
        <f aca="false">IF($K4947="","","R"&amp;$K4947)</f>
        <v/>
      </c>
    </row>
    <row r="4948" customFormat="false" ht="15" hidden="false" customHeight="true" outlineLevel="0" collapsed="false">
      <c r="J4948" s="14" t="b">
        <f aca="false">IF(중복검사!$A4946="",FALSE(),중복검사!$H4946="중복")</f>
        <v>0</v>
      </c>
      <c r="K4948" s="5" t="str">
        <f aca="false">IF($J4948=FALSE(),"",COUNTIF($J$6:$J4948,TRUE()))</f>
        <v/>
      </c>
      <c r="L4948" s="5" t="str">
        <f aca="false">IF($K4948="","","R"&amp;$K4948)</f>
        <v/>
      </c>
    </row>
    <row r="4949" customFormat="false" ht="15" hidden="false" customHeight="true" outlineLevel="0" collapsed="false">
      <c r="J4949" s="14" t="b">
        <f aca="false">IF(중복검사!$A4947="",FALSE(),중복검사!$H4947="중복")</f>
        <v>0</v>
      </c>
      <c r="K4949" s="5" t="str">
        <f aca="false">IF($J4949=FALSE(),"",COUNTIF($J$6:$J4949,TRUE()))</f>
        <v/>
      </c>
      <c r="L4949" s="5" t="str">
        <f aca="false">IF($K4949="","","R"&amp;$K4949)</f>
        <v/>
      </c>
    </row>
    <row r="4950" customFormat="false" ht="15" hidden="false" customHeight="true" outlineLevel="0" collapsed="false">
      <c r="J4950" s="14" t="b">
        <f aca="false">IF(중복검사!$A4948="",FALSE(),중복검사!$H4948="중복")</f>
        <v>0</v>
      </c>
      <c r="K4950" s="5" t="str">
        <f aca="false">IF($J4950=FALSE(),"",COUNTIF($J$6:$J4950,TRUE()))</f>
        <v/>
      </c>
      <c r="L4950" s="5" t="str">
        <f aca="false">IF($K4950="","","R"&amp;$K4950)</f>
        <v/>
      </c>
    </row>
    <row r="4951" customFormat="false" ht="15" hidden="false" customHeight="true" outlineLevel="0" collapsed="false">
      <c r="J4951" s="14" t="b">
        <f aca="false">IF(중복검사!$A4949="",FALSE(),중복검사!$H4949="중복")</f>
        <v>0</v>
      </c>
      <c r="K4951" s="5" t="str">
        <f aca="false">IF($J4951=FALSE(),"",COUNTIF($J$6:$J4951,TRUE()))</f>
        <v/>
      </c>
      <c r="L4951" s="5" t="str">
        <f aca="false">IF($K4951="","","R"&amp;$K4951)</f>
        <v/>
      </c>
    </row>
    <row r="4952" customFormat="false" ht="15" hidden="false" customHeight="true" outlineLevel="0" collapsed="false">
      <c r="J4952" s="14" t="b">
        <f aca="false">IF(중복검사!$A4950="",FALSE(),중복검사!$H4950="중복")</f>
        <v>0</v>
      </c>
      <c r="K4952" s="5" t="str">
        <f aca="false">IF($J4952=FALSE(),"",COUNTIF($J$6:$J4952,TRUE()))</f>
        <v/>
      </c>
      <c r="L4952" s="5" t="str">
        <f aca="false">IF($K4952="","","R"&amp;$K4952)</f>
        <v/>
      </c>
    </row>
    <row r="4953" customFormat="false" ht="15" hidden="false" customHeight="true" outlineLevel="0" collapsed="false">
      <c r="J4953" s="14" t="b">
        <f aca="false">IF(중복검사!$A4951="",FALSE(),중복검사!$H4951="중복")</f>
        <v>0</v>
      </c>
      <c r="K4953" s="5" t="str">
        <f aca="false">IF($J4953=FALSE(),"",COUNTIF($J$6:$J4953,TRUE()))</f>
        <v/>
      </c>
      <c r="L4953" s="5" t="str">
        <f aca="false">IF($K4953="","","R"&amp;$K4953)</f>
        <v/>
      </c>
    </row>
    <row r="4954" customFormat="false" ht="15" hidden="false" customHeight="true" outlineLevel="0" collapsed="false">
      <c r="J4954" s="14" t="b">
        <f aca="false">IF(중복검사!$A4952="",FALSE(),중복검사!$H4952="중복")</f>
        <v>0</v>
      </c>
      <c r="K4954" s="5" t="str">
        <f aca="false">IF($J4954=FALSE(),"",COUNTIF($J$6:$J4954,TRUE()))</f>
        <v/>
      </c>
      <c r="L4954" s="5" t="str">
        <f aca="false">IF($K4954="","","R"&amp;$K4954)</f>
        <v/>
      </c>
    </row>
    <row r="4955" customFormat="false" ht="15" hidden="false" customHeight="true" outlineLevel="0" collapsed="false">
      <c r="J4955" s="14" t="b">
        <f aca="false">IF(중복검사!$A4953="",FALSE(),중복검사!$H4953="중복")</f>
        <v>0</v>
      </c>
      <c r="K4955" s="5" t="str">
        <f aca="false">IF($J4955=FALSE(),"",COUNTIF($J$6:$J4955,TRUE()))</f>
        <v/>
      </c>
      <c r="L4955" s="5" t="str">
        <f aca="false">IF($K4955="","","R"&amp;$K4955)</f>
        <v/>
      </c>
    </row>
    <row r="4956" customFormat="false" ht="15" hidden="false" customHeight="true" outlineLevel="0" collapsed="false">
      <c r="J4956" s="14" t="b">
        <f aca="false">IF(중복검사!$A4954="",FALSE(),중복검사!$H4954="중복")</f>
        <v>0</v>
      </c>
      <c r="K4956" s="5" t="str">
        <f aca="false">IF($J4956=FALSE(),"",COUNTIF($J$6:$J4956,TRUE()))</f>
        <v/>
      </c>
      <c r="L4956" s="5" t="str">
        <f aca="false">IF($K4956="","","R"&amp;$K4956)</f>
        <v/>
      </c>
    </row>
    <row r="4957" customFormat="false" ht="15" hidden="false" customHeight="true" outlineLevel="0" collapsed="false">
      <c r="J4957" s="14" t="b">
        <f aca="false">IF(중복검사!$A4955="",FALSE(),중복검사!$H4955="중복")</f>
        <v>0</v>
      </c>
      <c r="K4957" s="5" t="str">
        <f aca="false">IF($J4957=FALSE(),"",COUNTIF($J$6:$J4957,TRUE()))</f>
        <v/>
      </c>
      <c r="L4957" s="5" t="str">
        <f aca="false">IF($K4957="","","R"&amp;$K4957)</f>
        <v/>
      </c>
    </row>
    <row r="4958" customFormat="false" ht="15" hidden="false" customHeight="true" outlineLevel="0" collapsed="false">
      <c r="J4958" s="14" t="b">
        <f aca="false">IF(중복검사!$A4956="",FALSE(),중복검사!$H4956="중복")</f>
        <v>0</v>
      </c>
      <c r="K4958" s="5" t="str">
        <f aca="false">IF($J4958=FALSE(),"",COUNTIF($J$6:$J4958,TRUE()))</f>
        <v/>
      </c>
      <c r="L4958" s="5" t="str">
        <f aca="false">IF($K4958="","","R"&amp;$K4958)</f>
        <v/>
      </c>
    </row>
    <row r="4959" customFormat="false" ht="15" hidden="false" customHeight="true" outlineLevel="0" collapsed="false">
      <c r="J4959" s="14" t="b">
        <f aca="false">IF(중복검사!$A4957="",FALSE(),중복검사!$H4957="중복")</f>
        <v>0</v>
      </c>
      <c r="K4959" s="5" t="str">
        <f aca="false">IF($J4959=FALSE(),"",COUNTIF($J$6:$J4959,TRUE()))</f>
        <v/>
      </c>
      <c r="L4959" s="5" t="str">
        <f aca="false">IF($K4959="","","R"&amp;$K4959)</f>
        <v/>
      </c>
    </row>
    <row r="4960" customFormat="false" ht="15" hidden="false" customHeight="true" outlineLevel="0" collapsed="false">
      <c r="J4960" s="14" t="b">
        <f aca="false">IF(중복검사!$A4958="",FALSE(),중복검사!$H4958="중복")</f>
        <v>0</v>
      </c>
      <c r="K4960" s="5" t="str">
        <f aca="false">IF($J4960=FALSE(),"",COUNTIF($J$6:$J4960,TRUE()))</f>
        <v/>
      </c>
      <c r="L4960" s="5" t="str">
        <f aca="false">IF($K4960="","","R"&amp;$K4960)</f>
        <v/>
      </c>
    </row>
    <row r="4961" customFormat="false" ht="15" hidden="false" customHeight="true" outlineLevel="0" collapsed="false">
      <c r="J4961" s="14" t="b">
        <f aca="false">IF(중복검사!$A4959="",FALSE(),중복검사!$H4959="중복")</f>
        <v>0</v>
      </c>
      <c r="K4961" s="5" t="str">
        <f aca="false">IF($J4961=FALSE(),"",COUNTIF($J$6:$J4961,TRUE()))</f>
        <v/>
      </c>
      <c r="L4961" s="5" t="str">
        <f aca="false">IF($K4961="","","R"&amp;$K4961)</f>
        <v/>
      </c>
    </row>
    <row r="4962" customFormat="false" ht="15" hidden="false" customHeight="true" outlineLevel="0" collapsed="false">
      <c r="J4962" s="14" t="b">
        <f aca="false">IF(중복검사!$A4960="",FALSE(),중복검사!$H4960="중복")</f>
        <v>0</v>
      </c>
      <c r="K4962" s="5" t="str">
        <f aca="false">IF($J4962=FALSE(),"",COUNTIF($J$6:$J4962,TRUE()))</f>
        <v/>
      </c>
      <c r="L4962" s="5" t="str">
        <f aca="false">IF($K4962="","","R"&amp;$K4962)</f>
        <v/>
      </c>
    </row>
    <row r="4963" customFormat="false" ht="15" hidden="false" customHeight="true" outlineLevel="0" collapsed="false">
      <c r="J4963" s="14" t="b">
        <f aca="false">IF(중복검사!$A4961="",FALSE(),중복검사!$H4961="중복")</f>
        <v>0</v>
      </c>
      <c r="K4963" s="5" t="str">
        <f aca="false">IF($J4963=FALSE(),"",COUNTIF($J$6:$J4963,TRUE()))</f>
        <v/>
      </c>
      <c r="L4963" s="5" t="str">
        <f aca="false">IF($K4963="","","R"&amp;$K4963)</f>
        <v/>
      </c>
    </row>
    <row r="4964" customFormat="false" ht="15" hidden="false" customHeight="true" outlineLevel="0" collapsed="false">
      <c r="J4964" s="14" t="b">
        <f aca="false">IF(중복검사!$A4962="",FALSE(),중복검사!$H4962="중복")</f>
        <v>0</v>
      </c>
      <c r="K4964" s="5" t="str">
        <f aca="false">IF($J4964=FALSE(),"",COUNTIF($J$6:$J4964,TRUE()))</f>
        <v/>
      </c>
      <c r="L4964" s="5" t="str">
        <f aca="false">IF($K4964="","","R"&amp;$K4964)</f>
        <v/>
      </c>
    </row>
    <row r="4965" customFormat="false" ht="15" hidden="false" customHeight="true" outlineLevel="0" collapsed="false">
      <c r="J4965" s="14" t="b">
        <f aca="false">IF(중복검사!$A4963="",FALSE(),중복검사!$H4963="중복")</f>
        <v>0</v>
      </c>
      <c r="K4965" s="5" t="str">
        <f aca="false">IF($J4965=FALSE(),"",COUNTIF($J$6:$J4965,TRUE()))</f>
        <v/>
      </c>
      <c r="L4965" s="5" t="str">
        <f aca="false">IF($K4965="","","R"&amp;$K4965)</f>
        <v/>
      </c>
    </row>
    <row r="4966" customFormat="false" ht="15" hidden="false" customHeight="true" outlineLevel="0" collapsed="false">
      <c r="J4966" s="14" t="b">
        <f aca="false">IF(중복검사!$A4964="",FALSE(),중복검사!$H4964="중복")</f>
        <v>0</v>
      </c>
      <c r="K4966" s="5" t="str">
        <f aca="false">IF($J4966=FALSE(),"",COUNTIF($J$6:$J4966,TRUE()))</f>
        <v/>
      </c>
      <c r="L4966" s="5" t="str">
        <f aca="false">IF($K4966="","","R"&amp;$K4966)</f>
        <v/>
      </c>
    </row>
    <row r="4967" customFormat="false" ht="15" hidden="false" customHeight="true" outlineLevel="0" collapsed="false">
      <c r="J4967" s="14" t="b">
        <f aca="false">IF(중복검사!$A4965="",FALSE(),중복검사!$H4965="중복")</f>
        <v>0</v>
      </c>
      <c r="K4967" s="5" t="str">
        <f aca="false">IF($J4967=FALSE(),"",COUNTIF($J$6:$J4967,TRUE()))</f>
        <v/>
      </c>
      <c r="L4967" s="5" t="str">
        <f aca="false">IF($K4967="","","R"&amp;$K4967)</f>
        <v/>
      </c>
    </row>
    <row r="4968" customFormat="false" ht="15" hidden="false" customHeight="true" outlineLevel="0" collapsed="false">
      <c r="J4968" s="14" t="b">
        <f aca="false">IF(중복검사!$A4966="",FALSE(),중복검사!$H4966="중복")</f>
        <v>0</v>
      </c>
      <c r="K4968" s="5" t="str">
        <f aca="false">IF($J4968=FALSE(),"",COUNTIF($J$6:$J4968,TRUE()))</f>
        <v/>
      </c>
      <c r="L4968" s="5" t="str">
        <f aca="false">IF($K4968="","","R"&amp;$K4968)</f>
        <v/>
      </c>
    </row>
    <row r="4969" customFormat="false" ht="15" hidden="false" customHeight="true" outlineLevel="0" collapsed="false">
      <c r="J4969" s="14" t="b">
        <f aca="false">IF(중복검사!$A4967="",FALSE(),중복검사!$H4967="중복")</f>
        <v>0</v>
      </c>
      <c r="K4969" s="5" t="str">
        <f aca="false">IF($J4969=FALSE(),"",COUNTIF($J$6:$J4969,TRUE()))</f>
        <v/>
      </c>
      <c r="L4969" s="5" t="str">
        <f aca="false">IF($K4969="","","R"&amp;$K4969)</f>
        <v/>
      </c>
    </row>
    <row r="4970" customFormat="false" ht="15" hidden="false" customHeight="true" outlineLevel="0" collapsed="false">
      <c r="J4970" s="14" t="b">
        <f aca="false">IF(중복검사!$A4968="",FALSE(),중복검사!$H4968="중복")</f>
        <v>0</v>
      </c>
      <c r="K4970" s="5" t="str">
        <f aca="false">IF($J4970=FALSE(),"",COUNTIF($J$6:$J4970,TRUE()))</f>
        <v/>
      </c>
      <c r="L4970" s="5" t="str">
        <f aca="false">IF($K4970="","","R"&amp;$K4970)</f>
        <v/>
      </c>
    </row>
    <row r="4971" customFormat="false" ht="15" hidden="false" customHeight="true" outlineLevel="0" collapsed="false">
      <c r="J4971" s="14" t="b">
        <f aca="false">IF(중복검사!$A4969="",FALSE(),중복검사!$H4969="중복")</f>
        <v>0</v>
      </c>
      <c r="K4971" s="5" t="str">
        <f aca="false">IF($J4971=FALSE(),"",COUNTIF($J$6:$J4971,TRUE()))</f>
        <v/>
      </c>
      <c r="L4971" s="5" t="str">
        <f aca="false">IF($K4971="","","R"&amp;$K4971)</f>
        <v/>
      </c>
    </row>
    <row r="4972" customFormat="false" ht="15" hidden="false" customHeight="true" outlineLevel="0" collapsed="false">
      <c r="J4972" s="14" t="b">
        <f aca="false">IF(중복검사!$A4970="",FALSE(),중복검사!$H4970="중복")</f>
        <v>0</v>
      </c>
      <c r="K4972" s="5" t="str">
        <f aca="false">IF($J4972=FALSE(),"",COUNTIF($J$6:$J4972,TRUE()))</f>
        <v/>
      </c>
      <c r="L4972" s="5" t="str">
        <f aca="false">IF($K4972="","","R"&amp;$K4972)</f>
        <v/>
      </c>
    </row>
    <row r="4973" customFormat="false" ht="15" hidden="false" customHeight="true" outlineLevel="0" collapsed="false">
      <c r="J4973" s="14" t="b">
        <f aca="false">IF(중복검사!$A4971="",FALSE(),중복검사!$H4971="중복")</f>
        <v>0</v>
      </c>
      <c r="K4973" s="5" t="str">
        <f aca="false">IF($J4973=FALSE(),"",COUNTIF($J$6:$J4973,TRUE()))</f>
        <v/>
      </c>
      <c r="L4973" s="5" t="str">
        <f aca="false">IF($K4973="","","R"&amp;$K4973)</f>
        <v/>
      </c>
    </row>
    <row r="4974" customFormat="false" ht="15" hidden="false" customHeight="true" outlineLevel="0" collapsed="false">
      <c r="J4974" s="14" t="b">
        <f aca="false">IF(중복검사!$A4972="",FALSE(),중복검사!$H4972="중복")</f>
        <v>0</v>
      </c>
      <c r="K4974" s="5" t="str">
        <f aca="false">IF($J4974=FALSE(),"",COUNTIF($J$6:$J4974,TRUE()))</f>
        <v/>
      </c>
      <c r="L4974" s="5" t="str">
        <f aca="false">IF($K4974="","","R"&amp;$K4974)</f>
        <v/>
      </c>
    </row>
    <row r="4975" customFormat="false" ht="15" hidden="false" customHeight="true" outlineLevel="0" collapsed="false">
      <c r="J4975" s="14" t="b">
        <f aca="false">IF(중복검사!$A4973="",FALSE(),중복검사!$H4973="중복")</f>
        <v>0</v>
      </c>
      <c r="K4975" s="5" t="str">
        <f aca="false">IF($J4975=FALSE(),"",COUNTIF($J$6:$J4975,TRUE()))</f>
        <v/>
      </c>
      <c r="L4975" s="5" t="str">
        <f aca="false">IF($K4975="","","R"&amp;$K4975)</f>
        <v/>
      </c>
    </row>
    <row r="4976" customFormat="false" ht="15" hidden="false" customHeight="true" outlineLevel="0" collapsed="false">
      <c r="J4976" s="14" t="b">
        <f aca="false">IF(중복검사!$A4974="",FALSE(),중복검사!$H4974="중복")</f>
        <v>0</v>
      </c>
      <c r="K4976" s="5" t="str">
        <f aca="false">IF($J4976=FALSE(),"",COUNTIF($J$6:$J4976,TRUE()))</f>
        <v/>
      </c>
      <c r="L4976" s="5" t="str">
        <f aca="false">IF($K4976="","","R"&amp;$K4976)</f>
        <v/>
      </c>
    </row>
    <row r="4977" customFormat="false" ht="15" hidden="false" customHeight="true" outlineLevel="0" collapsed="false">
      <c r="J4977" s="14" t="b">
        <f aca="false">IF(중복검사!$A4975="",FALSE(),중복검사!$H4975="중복")</f>
        <v>0</v>
      </c>
      <c r="K4977" s="5" t="str">
        <f aca="false">IF($J4977=FALSE(),"",COUNTIF($J$6:$J4977,TRUE()))</f>
        <v/>
      </c>
      <c r="L4977" s="5" t="str">
        <f aca="false">IF($K4977="","","R"&amp;$K4977)</f>
        <v/>
      </c>
    </row>
    <row r="4978" customFormat="false" ht="15" hidden="false" customHeight="true" outlineLevel="0" collapsed="false">
      <c r="J4978" s="14" t="b">
        <f aca="false">IF(중복검사!$A4976="",FALSE(),중복검사!$H4976="중복")</f>
        <v>0</v>
      </c>
      <c r="K4978" s="5" t="str">
        <f aca="false">IF($J4978=FALSE(),"",COUNTIF($J$6:$J4978,TRUE()))</f>
        <v/>
      </c>
      <c r="L4978" s="5" t="str">
        <f aca="false">IF($K4978="","","R"&amp;$K4978)</f>
        <v/>
      </c>
    </row>
    <row r="4979" customFormat="false" ht="15" hidden="false" customHeight="true" outlineLevel="0" collapsed="false">
      <c r="J4979" s="14" t="b">
        <f aca="false">IF(중복검사!$A4977="",FALSE(),중복검사!$H4977="중복")</f>
        <v>0</v>
      </c>
      <c r="K4979" s="5" t="str">
        <f aca="false">IF($J4979=FALSE(),"",COUNTIF($J$6:$J4979,TRUE()))</f>
        <v/>
      </c>
      <c r="L4979" s="5" t="str">
        <f aca="false">IF($K4979="","","R"&amp;$K4979)</f>
        <v/>
      </c>
    </row>
    <row r="4980" customFormat="false" ht="15" hidden="false" customHeight="true" outlineLevel="0" collapsed="false">
      <c r="J4980" s="14" t="b">
        <f aca="false">IF(중복검사!$A4978="",FALSE(),중복검사!$H4978="중복")</f>
        <v>0</v>
      </c>
      <c r="K4980" s="5" t="str">
        <f aca="false">IF($J4980=FALSE(),"",COUNTIF($J$6:$J4980,TRUE()))</f>
        <v/>
      </c>
      <c r="L4980" s="5" t="str">
        <f aca="false">IF($K4980="","","R"&amp;$K4980)</f>
        <v/>
      </c>
    </row>
    <row r="4981" customFormat="false" ht="15" hidden="false" customHeight="true" outlineLevel="0" collapsed="false">
      <c r="J4981" s="14" t="b">
        <f aca="false">IF(중복검사!$A4979="",FALSE(),중복검사!$H4979="중복")</f>
        <v>0</v>
      </c>
      <c r="K4981" s="5" t="str">
        <f aca="false">IF($J4981=FALSE(),"",COUNTIF($J$6:$J4981,TRUE()))</f>
        <v/>
      </c>
      <c r="L4981" s="5" t="str">
        <f aca="false">IF($K4981="","","R"&amp;$K4981)</f>
        <v/>
      </c>
    </row>
    <row r="4982" customFormat="false" ht="15" hidden="false" customHeight="true" outlineLevel="0" collapsed="false">
      <c r="J4982" s="14" t="b">
        <f aca="false">IF(중복검사!$A4980="",FALSE(),중복검사!$H4980="중복")</f>
        <v>0</v>
      </c>
      <c r="K4982" s="5" t="str">
        <f aca="false">IF($J4982=FALSE(),"",COUNTIF($J$6:$J4982,TRUE()))</f>
        <v/>
      </c>
      <c r="L4982" s="5" t="str">
        <f aca="false">IF($K4982="","","R"&amp;$K4982)</f>
        <v/>
      </c>
    </row>
    <row r="4983" customFormat="false" ht="15" hidden="false" customHeight="true" outlineLevel="0" collapsed="false">
      <c r="J4983" s="14" t="b">
        <f aca="false">IF(중복검사!$A4981="",FALSE(),중복검사!$H4981="중복")</f>
        <v>0</v>
      </c>
      <c r="K4983" s="5" t="str">
        <f aca="false">IF($J4983=FALSE(),"",COUNTIF($J$6:$J4983,TRUE()))</f>
        <v/>
      </c>
      <c r="L4983" s="5" t="str">
        <f aca="false">IF($K4983="","","R"&amp;$K4983)</f>
        <v/>
      </c>
    </row>
    <row r="4984" customFormat="false" ht="15" hidden="false" customHeight="true" outlineLevel="0" collapsed="false">
      <c r="J4984" s="14" t="b">
        <f aca="false">IF(중복검사!$A4982="",FALSE(),중복검사!$H4982="중복")</f>
        <v>0</v>
      </c>
      <c r="K4984" s="5" t="str">
        <f aca="false">IF($J4984=FALSE(),"",COUNTIF($J$6:$J4984,TRUE()))</f>
        <v/>
      </c>
      <c r="L4984" s="5" t="str">
        <f aca="false">IF($K4984="","","R"&amp;$K4984)</f>
        <v/>
      </c>
    </row>
    <row r="4985" customFormat="false" ht="15" hidden="false" customHeight="true" outlineLevel="0" collapsed="false">
      <c r="J4985" s="14" t="b">
        <f aca="false">IF(중복검사!$A4983="",FALSE(),중복검사!$H4983="중복")</f>
        <v>0</v>
      </c>
      <c r="K4985" s="5" t="str">
        <f aca="false">IF($J4985=FALSE(),"",COUNTIF($J$6:$J4985,TRUE()))</f>
        <v/>
      </c>
      <c r="L4985" s="5" t="str">
        <f aca="false">IF($K4985="","","R"&amp;$K4985)</f>
        <v/>
      </c>
    </row>
    <row r="4986" customFormat="false" ht="15" hidden="false" customHeight="true" outlineLevel="0" collapsed="false">
      <c r="J4986" s="14" t="b">
        <f aca="false">IF(중복검사!$A4984="",FALSE(),중복검사!$H4984="중복")</f>
        <v>0</v>
      </c>
      <c r="K4986" s="5" t="str">
        <f aca="false">IF($J4986=FALSE(),"",COUNTIF($J$6:$J4986,TRUE()))</f>
        <v/>
      </c>
      <c r="L4986" s="5" t="str">
        <f aca="false">IF($K4986="","","R"&amp;$K4986)</f>
        <v/>
      </c>
    </row>
    <row r="4987" customFormat="false" ht="15" hidden="false" customHeight="true" outlineLevel="0" collapsed="false">
      <c r="J4987" s="14" t="b">
        <f aca="false">IF(중복검사!$A4985="",FALSE(),중복검사!$H4985="중복")</f>
        <v>0</v>
      </c>
      <c r="K4987" s="5" t="str">
        <f aca="false">IF($J4987=FALSE(),"",COUNTIF($J$6:$J4987,TRUE()))</f>
        <v/>
      </c>
      <c r="L4987" s="5" t="str">
        <f aca="false">IF($K4987="","","R"&amp;$K4987)</f>
        <v/>
      </c>
    </row>
    <row r="4988" customFormat="false" ht="15" hidden="false" customHeight="true" outlineLevel="0" collapsed="false">
      <c r="J4988" s="14" t="b">
        <f aca="false">IF(중복검사!$A4986="",FALSE(),중복검사!$H4986="중복")</f>
        <v>0</v>
      </c>
      <c r="K4988" s="5" t="str">
        <f aca="false">IF($J4988=FALSE(),"",COUNTIF($J$6:$J4988,TRUE()))</f>
        <v/>
      </c>
      <c r="L4988" s="5" t="str">
        <f aca="false">IF($K4988="","","R"&amp;$K4988)</f>
        <v/>
      </c>
    </row>
    <row r="4989" customFormat="false" ht="15" hidden="false" customHeight="true" outlineLevel="0" collapsed="false">
      <c r="J4989" s="14" t="b">
        <f aca="false">IF(중복검사!$A4987="",FALSE(),중복검사!$H4987="중복")</f>
        <v>0</v>
      </c>
      <c r="K4989" s="5" t="str">
        <f aca="false">IF($J4989=FALSE(),"",COUNTIF($J$6:$J4989,TRUE()))</f>
        <v/>
      </c>
      <c r="L4989" s="5" t="str">
        <f aca="false">IF($K4989="","","R"&amp;$K4989)</f>
        <v/>
      </c>
    </row>
    <row r="4990" customFormat="false" ht="15" hidden="false" customHeight="true" outlineLevel="0" collapsed="false">
      <c r="J4990" s="14" t="b">
        <f aca="false">IF(중복검사!$A4988="",FALSE(),중복검사!$H4988="중복")</f>
        <v>0</v>
      </c>
      <c r="K4990" s="5" t="str">
        <f aca="false">IF($J4990=FALSE(),"",COUNTIF($J$6:$J4990,TRUE()))</f>
        <v/>
      </c>
      <c r="L4990" s="5" t="str">
        <f aca="false">IF($K4990="","","R"&amp;$K4990)</f>
        <v/>
      </c>
    </row>
    <row r="4991" customFormat="false" ht="15" hidden="false" customHeight="true" outlineLevel="0" collapsed="false">
      <c r="J4991" s="14" t="b">
        <f aca="false">IF(중복검사!$A4989="",FALSE(),중복검사!$H4989="중복")</f>
        <v>0</v>
      </c>
      <c r="K4991" s="5" t="str">
        <f aca="false">IF($J4991=FALSE(),"",COUNTIF($J$6:$J4991,TRUE()))</f>
        <v/>
      </c>
      <c r="L4991" s="5" t="str">
        <f aca="false">IF($K4991="","","R"&amp;$K4991)</f>
        <v/>
      </c>
    </row>
    <row r="4992" customFormat="false" ht="15" hidden="false" customHeight="true" outlineLevel="0" collapsed="false">
      <c r="J4992" s="14" t="b">
        <f aca="false">IF(중복검사!$A4990="",FALSE(),중복검사!$H4990="중복")</f>
        <v>0</v>
      </c>
      <c r="K4992" s="5" t="str">
        <f aca="false">IF($J4992=FALSE(),"",COUNTIF($J$6:$J4992,TRUE()))</f>
        <v/>
      </c>
      <c r="L4992" s="5" t="str">
        <f aca="false">IF($K4992="","","R"&amp;$K4992)</f>
        <v/>
      </c>
    </row>
    <row r="4993" customFormat="false" ht="15" hidden="false" customHeight="true" outlineLevel="0" collapsed="false">
      <c r="J4993" s="14" t="b">
        <f aca="false">IF(중복검사!$A4991="",FALSE(),중복검사!$H4991="중복")</f>
        <v>0</v>
      </c>
      <c r="K4993" s="5" t="str">
        <f aca="false">IF($J4993=FALSE(),"",COUNTIF($J$6:$J4993,TRUE()))</f>
        <v/>
      </c>
      <c r="L4993" s="5" t="str">
        <f aca="false">IF($K4993="","","R"&amp;$K4993)</f>
        <v/>
      </c>
    </row>
    <row r="4994" customFormat="false" ht="15" hidden="false" customHeight="true" outlineLevel="0" collapsed="false">
      <c r="J4994" s="14" t="b">
        <f aca="false">IF(중복검사!$A4992="",FALSE(),중복검사!$H4992="중복")</f>
        <v>0</v>
      </c>
      <c r="K4994" s="5" t="str">
        <f aca="false">IF($J4994=FALSE(),"",COUNTIF($J$6:$J4994,TRUE()))</f>
        <v/>
      </c>
      <c r="L4994" s="5" t="str">
        <f aca="false">IF($K4994="","","R"&amp;$K4994)</f>
        <v/>
      </c>
    </row>
    <row r="4995" customFormat="false" ht="15" hidden="false" customHeight="true" outlineLevel="0" collapsed="false">
      <c r="J4995" s="14" t="b">
        <f aca="false">IF(중복검사!$A4993="",FALSE(),중복검사!$H4993="중복")</f>
        <v>0</v>
      </c>
      <c r="K4995" s="5" t="str">
        <f aca="false">IF($J4995=FALSE(),"",COUNTIF($J$6:$J4995,TRUE()))</f>
        <v/>
      </c>
      <c r="L4995" s="5" t="str">
        <f aca="false">IF($K4995="","","R"&amp;$K4995)</f>
        <v/>
      </c>
    </row>
    <row r="4996" customFormat="false" ht="15" hidden="false" customHeight="true" outlineLevel="0" collapsed="false">
      <c r="J4996" s="14" t="b">
        <f aca="false">IF(중복검사!$A4994="",FALSE(),중복검사!$H4994="중복")</f>
        <v>0</v>
      </c>
      <c r="K4996" s="5" t="str">
        <f aca="false">IF($J4996=FALSE(),"",COUNTIF($J$6:$J4996,TRUE()))</f>
        <v/>
      </c>
      <c r="L4996" s="5" t="str">
        <f aca="false">IF($K4996="","","R"&amp;$K4996)</f>
        <v/>
      </c>
    </row>
    <row r="4997" customFormat="false" ht="15" hidden="false" customHeight="true" outlineLevel="0" collapsed="false">
      <c r="J4997" s="14" t="b">
        <f aca="false">IF(중복검사!$A4995="",FALSE(),중복검사!$H4995="중복")</f>
        <v>0</v>
      </c>
      <c r="K4997" s="5" t="str">
        <f aca="false">IF($J4997=FALSE(),"",COUNTIF($J$6:$J4997,TRUE()))</f>
        <v/>
      </c>
      <c r="L4997" s="5" t="str">
        <f aca="false">IF($K4997="","","R"&amp;$K4997)</f>
        <v/>
      </c>
    </row>
    <row r="4998" customFormat="false" ht="15" hidden="false" customHeight="true" outlineLevel="0" collapsed="false">
      <c r="J4998" s="14" t="b">
        <f aca="false">IF(중복검사!$A4996="",FALSE(),중복검사!$H4996="중복")</f>
        <v>0</v>
      </c>
      <c r="K4998" s="5" t="str">
        <f aca="false">IF($J4998=FALSE(),"",COUNTIF($J$6:$J4998,TRUE()))</f>
        <v/>
      </c>
      <c r="L4998" s="5" t="str">
        <f aca="false">IF($K4998="","","R"&amp;$K4998)</f>
        <v/>
      </c>
    </row>
    <row r="4999" customFormat="false" ht="15" hidden="false" customHeight="true" outlineLevel="0" collapsed="false">
      <c r="J4999" s="14" t="b">
        <f aca="false">IF(중복검사!$A4997="",FALSE(),중복검사!$H4997="중복")</f>
        <v>0</v>
      </c>
      <c r="K4999" s="5" t="str">
        <f aca="false">IF($J4999=FALSE(),"",COUNTIF($J$6:$J4999,TRUE()))</f>
        <v/>
      </c>
      <c r="L4999" s="5" t="str">
        <f aca="false">IF($K4999="","","R"&amp;$K4999)</f>
        <v/>
      </c>
    </row>
    <row r="5000" customFormat="false" ht="15" hidden="false" customHeight="true" outlineLevel="0" collapsed="false">
      <c r="J5000" s="14" t="b">
        <f aca="false">IF(중복검사!$A4998="",FALSE(),중복검사!$H4998="중복")</f>
        <v>0</v>
      </c>
      <c r="K5000" s="5" t="str">
        <f aca="false">IF($J5000=FALSE(),"",COUNTIF($J$6:$J5000,TRUE()))</f>
        <v/>
      </c>
      <c r="L5000" s="5" t="str">
        <f aca="false">IF($K5000="","","R"&amp;$K5000)</f>
        <v/>
      </c>
    </row>
    <row r="5001" customFormat="false" ht="15" hidden="false" customHeight="true" outlineLevel="0" collapsed="false">
      <c r="J5001" s="14" t="b">
        <f aca="false">IF(중복검사!$A4999="",FALSE(),중복검사!$H4999="중복")</f>
        <v>0</v>
      </c>
      <c r="K5001" s="5" t="str">
        <f aca="false">IF($J5001=FALSE(),"",COUNTIF($J$6:$J5001,TRUE()))</f>
        <v/>
      </c>
      <c r="L5001" s="5" t="str">
        <f aca="false">IF($K5001="","","R"&amp;$K5001)</f>
        <v/>
      </c>
    </row>
    <row r="5002" customFormat="false" ht="15" hidden="false" customHeight="true" outlineLevel="0" collapsed="false">
      <c r="J5002" s="14" t="b">
        <f aca="false">IF(중복검사!$A5000="",FALSE(),중복검사!$H5000="중복")</f>
        <v>0</v>
      </c>
      <c r="K5002" s="5" t="str">
        <f aca="false">IF($J5002=FALSE(),"",COUNTIF($J$6:$J5002,TRUE()))</f>
        <v/>
      </c>
      <c r="L5002" s="5" t="str">
        <f aca="false">IF($K5002="","","R"&amp;$K5002)</f>
        <v/>
      </c>
    </row>
    <row r="5003" customFormat="false" ht="15" hidden="false" customHeight="true" outlineLevel="0" collapsed="false">
      <c r="J5003" s="14" t="b">
        <f aca="false">IF(중복검사!$A5001="",FALSE(),중복검사!$H5001="중복")</f>
        <v>0</v>
      </c>
      <c r="K5003" s="5" t="str">
        <f aca="false">IF($J5003=FALSE(),"",COUNTIF($J$6:$J5003,TRUE()))</f>
        <v/>
      </c>
      <c r="L5003" s="5" t="str">
        <f aca="false">IF($K5003="","","R"&amp;$K5003)</f>
        <v/>
      </c>
    </row>
    <row r="5004" customFormat="false" ht="15" hidden="false" customHeight="true" outlineLevel="0" collapsed="false">
      <c r="J5004" s="14" t="b">
        <f aca="false">IF(중복검사!$A5002="",FALSE(),중복검사!$H5002="중복")</f>
        <v>0</v>
      </c>
      <c r="K5004" s="5" t="str">
        <f aca="false">IF($J5004=FALSE(),"",COUNTIF($J$6:$J5004,TRUE()))</f>
        <v/>
      </c>
      <c r="L5004" s="5" t="str">
        <f aca="false">IF($K5004="","","R"&amp;$K5004)</f>
        <v/>
      </c>
    </row>
    <row r="5005" customFormat="false" ht="15" hidden="false" customHeight="true" outlineLevel="0" collapsed="false">
      <c r="J5005" s="14" t="b">
        <f aca="false">IF(중복검사!$A5003="",FALSE(),중복검사!$H5003="중복")</f>
        <v>0</v>
      </c>
      <c r="K5005" s="5" t="str">
        <f aca="false">IF($J5005=FALSE(),"",COUNTIF($J$6:$J5005,TRUE()))</f>
        <v/>
      </c>
      <c r="L5005" s="5" t="str">
        <f aca="false">IF($K5005="","","R"&amp;$K5005)</f>
        <v/>
      </c>
    </row>
    <row r="5006" customFormat="false" ht="15" hidden="false" customHeight="true" outlineLevel="0" collapsed="false">
      <c r="J5006" s="14" t="b">
        <f aca="false">IF(중복검사!$A5004="",FALSE(),중복검사!$H5004="중복")</f>
        <v>0</v>
      </c>
      <c r="K5006" s="5" t="str">
        <f aca="false">IF($J5006=FALSE(),"",COUNTIF($J$6:$J5006,TRUE()))</f>
        <v/>
      </c>
      <c r="L5006" s="5" t="str">
        <f aca="false">IF($K5006="","","R"&amp;$K5006)</f>
        <v/>
      </c>
    </row>
    <row r="5007" customFormat="false" ht="15" hidden="false" customHeight="true" outlineLevel="0" collapsed="false">
      <c r="J5007" s="14" t="b">
        <f aca="false">IF(중복검사!$A5005="",FALSE(),중복검사!$H5005="중복")</f>
        <v>0</v>
      </c>
      <c r="K5007" s="5" t="str">
        <f aca="false">IF($J5007=FALSE(),"",COUNTIF($J$6:$J5007,TRUE()))</f>
        <v/>
      </c>
      <c r="L5007" s="5" t="str">
        <f aca="false">IF($K5007="","","R"&amp;$K5007)</f>
        <v/>
      </c>
    </row>
    <row r="5008" customFormat="false" ht="15" hidden="false" customHeight="true" outlineLevel="0" collapsed="false">
      <c r="J5008" s="14" t="b">
        <f aca="false">IF(중복검사!$A5006="",FALSE(),중복검사!$H5006="중복")</f>
        <v>0</v>
      </c>
      <c r="K5008" s="5" t="str">
        <f aca="false">IF($J5008=FALSE(),"",COUNTIF($J$6:$J5008,TRUE()))</f>
        <v/>
      </c>
      <c r="L5008" s="5" t="str">
        <f aca="false">IF($K5008="","","R"&amp;$K5008)</f>
        <v/>
      </c>
    </row>
    <row r="5009" customFormat="false" ht="15" hidden="false" customHeight="true" outlineLevel="0" collapsed="false">
      <c r="J5009" s="14" t="b">
        <f aca="false">IF(중복검사!$A5007="",FALSE(),중복검사!$H5007="중복")</f>
        <v>0</v>
      </c>
      <c r="K5009" s="5" t="str">
        <f aca="false">IF($J5009=FALSE(),"",COUNTIF($J$6:$J5009,TRUE()))</f>
        <v/>
      </c>
      <c r="L5009" s="5" t="str">
        <f aca="false">IF($K5009="","","R"&amp;$K5009)</f>
        <v/>
      </c>
    </row>
    <row r="5010" customFormat="false" ht="15" hidden="false" customHeight="true" outlineLevel="0" collapsed="false">
      <c r="J5010" s="14" t="b">
        <f aca="false">IF(중복검사!$A5008="",FALSE(),중복검사!$H5008="중복")</f>
        <v>0</v>
      </c>
      <c r="K5010" s="5" t="str">
        <f aca="false">IF($J5010=FALSE(),"",COUNTIF($J$6:$J5010,TRUE()))</f>
        <v/>
      </c>
      <c r="L5010" s="5" t="str">
        <f aca="false">IF($K5010="","","R"&amp;$K5010)</f>
        <v/>
      </c>
    </row>
    <row r="5011" customFormat="false" ht="15" hidden="false" customHeight="true" outlineLevel="0" collapsed="false">
      <c r="J5011" s="14" t="b">
        <f aca="false">IF(중복검사!$A5009="",FALSE(),중복검사!$H5009="중복")</f>
        <v>0</v>
      </c>
      <c r="K5011" s="5" t="str">
        <f aca="false">IF($J5011=FALSE(),"",COUNTIF($J$6:$J5011,TRUE()))</f>
        <v/>
      </c>
      <c r="L5011" s="5" t="str">
        <f aca="false">IF($K5011="","","R"&amp;$K5011)</f>
        <v/>
      </c>
    </row>
    <row r="5012" customFormat="false" ht="15" hidden="false" customHeight="true" outlineLevel="0" collapsed="false">
      <c r="J5012" s="14" t="b">
        <f aca="false">IF(중복검사!$A5010="",FALSE(),중복검사!$H5010="중복")</f>
        <v>0</v>
      </c>
      <c r="K5012" s="5" t="str">
        <f aca="false">IF($J5012=FALSE(),"",COUNTIF($J$6:$J5012,TRUE()))</f>
        <v/>
      </c>
      <c r="L5012" s="5" t="str">
        <f aca="false">IF($K5012="","","R"&amp;$K5012)</f>
        <v/>
      </c>
    </row>
    <row r="5013" customFormat="false" ht="15" hidden="false" customHeight="true" outlineLevel="0" collapsed="false">
      <c r="J5013" s="14" t="b">
        <f aca="false">IF(중복검사!$A5011="",FALSE(),중복검사!$H5011="중복")</f>
        <v>0</v>
      </c>
      <c r="K5013" s="5" t="str">
        <f aca="false">IF($J5013=FALSE(),"",COUNTIF($J$6:$J5013,TRUE()))</f>
        <v/>
      </c>
      <c r="L5013" s="5" t="str">
        <f aca="false">IF($K5013="","","R"&amp;$K5013)</f>
        <v/>
      </c>
    </row>
    <row r="5014" customFormat="false" ht="15" hidden="false" customHeight="true" outlineLevel="0" collapsed="false">
      <c r="J5014" s="14" t="b">
        <f aca="false">IF(중복검사!$A5012="",FALSE(),중복검사!$H5012="중복")</f>
        <v>0</v>
      </c>
      <c r="K5014" s="5" t="str">
        <f aca="false">IF($J5014=FALSE(),"",COUNTIF($J$6:$J5014,TRUE()))</f>
        <v/>
      </c>
      <c r="L5014" s="5" t="str">
        <f aca="false">IF($K5014="","","R"&amp;$K5014)</f>
        <v/>
      </c>
    </row>
    <row r="5015" customFormat="false" ht="15" hidden="false" customHeight="true" outlineLevel="0" collapsed="false">
      <c r="J5015" s="14" t="b">
        <f aca="false">IF(중복검사!$A5013="",FALSE(),중복검사!$H5013="중복")</f>
        <v>0</v>
      </c>
      <c r="K5015" s="5" t="str">
        <f aca="false">IF($J5015=FALSE(),"",COUNTIF($J$6:$J5015,TRUE()))</f>
        <v/>
      </c>
      <c r="L5015" s="5" t="str">
        <f aca="false">IF($K5015="","","R"&amp;$K5015)</f>
        <v/>
      </c>
    </row>
    <row r="5016" customFormat="false" ht="15" hidden="false" customHeight="true" outlineLevel="0" collapsed="false">
      <c r="J5016" s="14" t="b">
        <f aca="false">IF(중복검사!$A5014="",FALSE(),중복검사!$H5014="중복")</f>
        <v>0</v>
      </c>
      <c r="K5016" s="5" t="str">
        <f aca="false">IF($J5016=FALSE(),"",COUNTIF($J$6:$J5016,TRUE()))</f>
        <v/>
      </c>
      <c r="L5016" s="5" t="str">
        <f aca="false">IF($K5016="","","R"&amp;$K5016)</f>
        <v/>
      </c>
    </row>
    <row r="5017" customFormat="false" ht="15" hidden="false" customHeight="true" outlineLevel="0" collapsed="false">
      <c r="J5017" s="14" t="b">
        <f aca="false">IF(중복검사!$A5015="",FALSE(),중복검사!$H5015="중복")</f>
        <v>0</v>
      </c>
      <c r="K5017" s="5" t="str">
        <f aca="false">IF($J5017=FALSE(),"",COUNTIF($J$6:$J5017,TRUE()))</f>
        <v/>
      </c>
      <c r="L5017" s="5" t="str">
        <f aca="false">IF($K5017="","","R"&amp;$K5017)</f>
        <v/>
      </c>
    </row>
    <row r="5018" customFormat="false" ht="15" hidden="false" customHeight="true" outlineLevel="0" collapsed="false">
      <c r="J5018" s="14" t="b">
        <f aca="false">IF(중복검사!$A5016="",FALSE(),중복검사!$H5016="중복")</f>
        <v>0</v>
      </c>
      <c r="K5018" s="5" t="str">
        <f aca="false">IF($J5018=FALSE(),"",COUNTIF($J$6:$J5018,TRUE()))</f>
        <v/>
      </c>
      <c r="L5018" s="5" t="str">
        <f aca="false">IF($K5018="","","R"&amp;$K5018)</f>
        <v/>
      </c>
    </row>
    <row r="5019" customFormat="false" ht="15" hidden="false" customHeight="true" outlineLevel="0" collapsed="false">
      <c r="J5019" s="14" t="b">
        <f aca="false">IF(중복검사!$A5017="",FALSE(),중복검사!$H5017="중복")</f>
        <v>0</v>
      </c>
      <c r="K5019" s="5" t="str">
        <f aca="false">IF($J5019=FALSE(),"",COUNTIF($J$6:$J5019,TRUE()))</f>
        <v/>
      </c>
      <c r="L5019" s="5" t="str">
        <f aca="false">IF($K5019="","","R"&amp;$K5019)</f>
        <v/>
      </c>
    </row>
    <row r="5020" customFormat="false" ht="15" hidden="false" customHeight="true" outlineLevel="0" collapsed="false">
      <c r="J5020" s="14" t="b">
        <f aca="false">IF(중복검사!$A5018="",FALSE(),중복검사!$H5018="중복")</f>
        <v>0</v>
      </c>
      <c r="K5020" s="5" t="str">
        <f aca="false">IF($J5020=FALSE(),"",COUNTIF($J$6:$J5020,TRUE()))</f>
        <v/>
      </c>
      <c r="L5020" s="5" t="str">
        <f aca="false">IF($K5020="","","R"&amp;$K5020)</f>
        <v/>
      </c>
    </row>
    <row r="5021" customFormat="false" ht="15" hidden="false" customHeight="true" outlineLevel="0" collapsed="false">
      <c r="J5021" s="14" t="b">
        <f aca="false">IF(중복검사!$A5019="",FALSE(),중복검사!$H5019="중복")</f>
        <v>0</v>
      </c>
      <c r="K5021" s="5" t="str">
        <f aca="false">IF($J5021=FALSE(),"",COUNTIF($J$6:$J5021,TRUE()))</f>
        <v/>
      </c>
      <c r="L5021" s="5" t="str">
        <f aca="false">IF($K5021="","","R"&amp;$K5021)</f>
        <v/>
      </c>
    </row>
    <row r="5022" customFormat="false" ht="15" hidden="false" customHeight="true" outlineLevel="0" collapsed="false">
      <c r="J5022" s="14" t="b">
        <f aca="false">IF(중복검사!$A5020="",FALSE(),중복검사!$H5020="중복")</f>
        <v>0</v>
      </c>
      <c r="K5022" s="5" t="str">
        <f aca="false">IF($J5022=FALSE(),"",COUNTIF($J$6:$J5022,TRUE()))</f>
        <v/>
      </c>
      <c r="L5022" s="5" t="str">
        <f aca="false">IF($K5022="","","R"&amp;$K5022)</f>
        <v/>
      </c>
    </row>
    <row r="5023" customFormat="false" ht="15" hidden="false" customHeight="true" outlineLevel="0" collapsed="false">
      <c r="J5023" s="14" t="b">
        <f aca="false">IF(중복검사!$A5021="",FALSE(),중복검사!$H5021="중복")</f>
        <v>0</v>
      </c>
      <c r="K5023" s="5" t="str">
        <f aca="false">IF($J5023=FALSE(),"",COUNTIF($J$6:$J5023,TRUE()))</f>
        <v/>
      </c>
      <c r="L5023" s="5" t="str">
        <f aca="false">IF($K5023="","","R"&amp;$K5023)</f>
        <v/>
      </c>
    </row>
    <row r="5024" customFormat="false" ht="15" hidden="false" customHeight="true" outlineLevel="0" collapsed="false">
      <c r="J5024" s="14" t="b">
        <f aca="false">IF(중복검사!$A5022="",FALSE(),중복검사!$H5022="중복")</f>
        <v>0</v>
      </c>
      <c r="K5024" s="5" t="str">
        <f aca="false">IF($J5024=FALSE(),"",COUNTIF($J$6:$J5024,TRUE()))</f>
        <v/>
      </c>
      <c r="L5024" s="5" t="str">
        <f aca="false">IF($K5024="","","R"&amp;$K5024)</f>
        <v/>
      </c>
    </row>
    <row r="5025" customFormat="false" ht="15" hidden="false" customHeight="true" outlineLevel="0" collapsed="false">
      <c r="J5025" s="14" t="b">
        <f aca="false">IF(중복검사!$A5023="",FALSE(),중복검사!$H5023="중복")</f>
        <v>0</v>
      </c>
      <c r="K5025" s="5" t="str">
        <f aca="false">IF($J5025=FALSE(),"",COUNTIF($J$6:$J5025,TRUE()))</f>
        <v/>
      </c>
      <c r="L5025" s="5" t="str">
        <f aca="false">IF($K5025="","","R"&amp;$K5025)</f>
        <v/>
      </c>
    </row>
    <row r="5026" customFormat="false" ht="15" hidden="false" customHeight="true" outlineLevel="0" collapsed="false">
      <c r="J5026" s="14" t="b">
        <f aca="false">IF(중복검사!$A5024="",FALSE(),중복검사!$H5024="중복")</f>
        <v>0</v>
      </c>
      <c r="K5026" s="5" t="str">
        <f aca="false">IF($J5026=FALSE(),"",COUNTIF($J$6:$J5026,TRUE()))</f>
        <v/>
      </c>
      <c r="L5026" s="5" t="str">
        <f aca="false">IF($K5026="","","R"&amp;$K5026)</f>
        <v/>
      </c>
    </row>
    <row r="5027" customFormat="false" ht="15" hidden="false" customHeight="true" outlineLevel="0" collapsed="false">
      <c r="J5027" s="14" t="b">
        <f aca="false">IF(중복검사!$A5025="",FALSE(),중복검사!$H5025="중복")</f>
        <v>0</v>
      </c>
      <c r="K5027" s="5" t="str">
        <f aca="false">IF($J5027=FALSE(),"",COUNTIF($J$6:$J5027,TRUE()))</f>
        <v/>
      </c>
      <c r="L5027" s="5" t="str">
        <f aca="false">IF($K5027="","","R"&amp;$K5027)</f>
        <v/>
      </c>
    </row>
    <row r="5028" customFormat="false" ht="15" hidden="false" customHeight="true" outlineLevel="0" collapsed="false">
      <c r="J5028" s="14" t="b">
        <f aca="false">IF(중복검사!$A5026="",FALSE(),중복검사!$H5026="중복")</f>
        <v>0</v>
      </c>
      <c r="K5028" s="5" t="str">
        <f aca="false">IF($J5028=FALSE(),"",COUNTIF($J$6:$J5028,TRUE()))</f>
        <v/>
      </c>
      <c r="L5028" s="5" t="str">
        <f aca="false">IF($K5028="","","R"&amp;$K5028)</f>
        <v/>
      </c>
    </row>
    <row r="5029" customFormat="false" ht="15" hidden="false" customHeight="true" outlineLevel="0" collapsed="false">
      <c r="J5029" s="14" t="b">
        <f aca="false">IF(중복검사!$A5027="",FALSE(),중복검사!$H5027="중복")</f>
        <v>0</v>
      </c>
      <c r="K5029" s="5" t="str">
        <f aca="false">IF($J5029=FALSE(),"",COUNTIF($J$6:$J5029,TRUE()))</f>
        <v/>
      </c>
      <c r="L5029" s="5" t="str">
        <f aca="false">IF($K5029="","","R"&amp;$K5029)</f>
        <v/>
      </c>
    </row>
    <row r="5030" customFormat="false" ht="15" hidden="false" customHeight="true" outlineLevel="0" collapsed="false">
      <c r="J5030" s="14" t="b">
        <f aca="false">IF(중복검사!$A5028="",FALSE(),중복검사!$H5028="중복")</f>
        <v>0</v>
      </c>
      <c r="K5030" s="5" t="str">
        <f aca="false">IF($J5030=FALSE(),"",COUNTIF($J$6:$J5030,TRUE()))</f>
        <v/>
      </c>
      <c r="L5030" s="5" t="str">
        <f aca="false">IF($K5030="","","R"&amp;$K5030)</f>
        <v/>
      </c>
    </row>
    <row r="5031" customFormat="false" ht="15" hidden="false" customHeight="true" outlineLevel="0" collapsed="false">
      <c r="J5031" s="14" t="b">
        <f aca="false">IF(중복검사!$A5029="",FALSE(),중복검사!$H5029="중복")</f>
        <v>0</v>
      </c>
      <c r="K5031" s="5" t="str">
        <f aca="false">IF($J5031=FALSE(),"",COUNTIF($J$6:$J5031,TRUE()))</f>
        <v/>
      </c>
      <c r="L5031" s="5" t="str">
        <f aca="false">IF($K5031="","","R"&amp;$K5031)</f>
        <v/>
      </c>
    </row>
    <row r="5032" customFormat="false" ht="15" hidden="false" customHeight="true" outlineLevel="0" collapsed="false">
      <c r="J5032" s="14" t="b">
        <f aca="false">IF(중복검사!$A5030="",FALSE(),중복검사!$H5030="중복")</f>
        <v>0</v>
      </c>
      <c r="K5032" s="5" t="str">
        <f aca="false">IF($J5032=FALSE(),"",COUNTIF($J$6:$J5032,TRUE()))</f>
        <v/>
      </c>
      <c r="L5032" s="5" t="str">
        <f aca="false">IF($K5032="","","R"&amp;$K5032)</f>
        <v/>
      </c>
    </row>
    <row r="5033" customFormat="false" ht="15" hidden="false" customHeight="true" outlineLevel="0" collapsed="false">
      <c r="J5033" s="14" t="b">
        <f aca="false">IF(중복검사!$A5031="",FALSE(),중복검사!$H5031="중복")</f>
        <v>0</v>
      </c>
      <c r="K5033" s="5" t="str">
        <f aca="false">IF($J5033=FALSE(),"",COUNTIF($J$6:$J5033,TRUE()))</f>
        <v/>
      </c>
      <c r="L5033" s="5" t="str">
        <f aca="false">IF($K5033="","","R"&amp;$K5033)</f>
        <v/>
      </c>
    </row>
    <row r="5034" customFormat="false" ht="15" hidden="false" customHeight="true" outlineLevel="0" collapsed="false">
      <c r="J5034" s="14" t="b">
        <f aca="false">IF(중복검사!$A5032="",FALSE(),중복검사!$H5032="중복")</f>
        <v>0</v>
      </c>
      <c r="K5034" s="5" t="str">
        <f aca="false">IF($J5034=FALSE(),"",COUNTIF($J$6:$J5034,TRUE()))</f>
        <v/>
      </c>
      <c r="L5034" s="5" t="str">
        <f aca="false">IF($K5034="","","R"&amp;$K5034)</f>
        <v/>
      </c>
    </row>
    <row r="5035" customFormat="false" ht="15" hidden="false" customHeight="true" outlineLevel="0" collapsed="false">
      <c r="J5035" s="14" t="b">
        <f aca="false">IF(중복검사!$A5033="",FALSE(),중복검사!$H5033="중복")</f>
        <v>0</v>
      </c>
      <c r="K5035" s="5" t="str">
        <f aca="false">IF($J5035=FALSE(),"",COUNTIF($J$6:$J5035,TRUE()))</f>
        <v/>
      </c>
      <c r="L5035" s="5" t="str">
        <f aca="false">IF($K5035="","","R"&amp;$K5035)</f>
        <v/>
      </c>
    </row>
    <row r="5036" customFormat="false" ht="15" hidden="false" customHeight="true" outlineLevel="0" collapsed="false">
      <c r="J5036" s="14" t="b">
        <f aca="false">IF(중복검사!$A5034="",FALSE(),중복검사!$H5034="중복")</f>
        <v>0</v>
      </c>
      <c r="K5036" s="5" t="str">
        <f aca="false">IF($J5036=FALSE(),"",COUNTIF($J$6:$J5036,TRUE()))</f>
        <v/>
      </c>
      <c r="L5036" s="5" t="str">
        <f aca="false">IF($K5036="","","R"&amp;$K5036)</f>
        <v/>
      </c>
    </row>
    <row r="5037" customFormat="false" ht="15" hidden="false" customHeight="true" outlineLevel="0" collapsed="false">
      <c r="J5037" s="14" t="b">
        <f aca="false">IF(중복검사!$A5035="",FALSE(),중복검사!$H5035="중복")</f>
        <v>0</v>
      </c>
      <c r="K5037" s="5" t="str">
        <f aca="false">IF($J5037=FALSE(),"",COUNTIF($J$6:$J5037,TRUE()))</f>
        <v/>
      </c>
      <c r="L5037" s="5" t="str">
        <f aca="false">IF($K5037="","","R"&amp;$K5037)</f>
        <v/>
      </c>
    </row>
    <row r="5038" customFormat="false" ht="15" hidden="false" customHeight="true" outlineLevel="0" collapsed="false">
      <c r="J5038" s="14" t="b">
        <f aca="false">IF(중복검사!$A5036="",FALSE(),중복검사!$H5036="중복")</f>
        <v>0</v>
      </c>
      <c r="K5038" s="5" t="str">
        <f aca="false">IF($J5038=FALSE(),"",COUNTIF($J$6:$J5038,TRUE()))</f>
        <v/>
      </c>
      <c r="L5038" s="5" t="str">
        <f aca="false">IF($K5038="","","R"&amp;$K5038)</f>
        <v/>
      </c>
    </row>
    <row r="5039" customFormat="false" ht="15" hidden="false" customHeight="true" outlineLevel="0" collapsed="false">
      <c r="J5039" s="14" t="b">
        <f aca="false">IF(중복검사!$A5037="",FALSE(),중복검사!$H5037="중복")</f>
        <v>0</v>
      </c>
      <c r="K5039" s="5" t="str">
        <f aca="false">IF($J5039=FALSE(),"",COUNTIF($J$6:$J5039,TRUE()))</f>
        <v/>
      </c>
      <c r="L5039" s="5" t="str">
        <f aca="false">IF($K5039="","","R"&amp;$K5039)</f>
        <v/>
      </c>
    </row>
    <row r="5040" customFormat="false" ht="15" hidden="false" customHeight="true" outlineLevel="0" collapsed="false">
      <c r="J5040" s="14" t="b">
        <f aca="false">IF(중복검사!$A5038="",FALSE(),중복검사!$H5038="중복")</f>
        <v>0</v>
      </c>
      <c r="K5040" s="5" t="str">
        <f aca="false">IF($J5040=FALSE(),"",COUNTIF($J$6:$J5040,TRUE()))</f>
        <v/>
      </c>
      <c r="L5040" s="5" t="str">
        <f aca="false">IF($K5040="","","R"&amp;$K5040)</f>
        <v/>
      </c>
    </row>
    <row r="5041" customFormat="false" ht="15" hidden="false" customHeight="true" outlineLevel="0" collapsed="false">
      <c r="J5041" s="14" t="b">
        <f aca="false">IF(중복검사!$A5039="",FALSE(),중복검사!$H5039="중복")</f>
        <v>0</v>
      </c>
      <c r="K5041" s="5" t="str">
        <f aca="false">IF($J5041=FALSE(),"",COUNTIF($J$6:$J5041,TRUE()))</f>
        <v/>
      </c>
      <c r="L5041" s="5" t="str">
        <f aca="false">IF($K5041="","","R"&amp;$K5041)</f>
        <v/>
      </c>
    </row>
    <row r="5042" customFormat="false" ht="15" hidden="false" customHeight="true" outlineLevel="0" collapsed="false">
      <c r="J5042" s="14" t="b">
        <f aca="false">IF(중복검사!$A5040="",FALSE(),중복검사!$H5040="중복")</f>
        <v>0</v>
      </c>
      <c r="K5042" s="5" t="str">
        <f aca="false">IF($J5042=FALSE(),"",COUNTIF($J$6:$J5042,TRUE()))</f>
        <v/>
      </c>
      <c r="L5042" s="5" t="str">
        <f aca="false">IF($K5042="","","R"&amp;$K5042)</f>
        <v/>
      </c>
    </row>
    <row r="5043" customFormat="false" ht="15" hidden="false" customHeight="true" outlineLevel="0" collapsed="false">
      <c r="J5043" s="14" t="b">
        <f aca="false">IF(중복검사!$A5041="",FALSE(),중복검사!$H5041="중복")</f>
        <v>0</v>
      </c>
      <c r="K5043" s="5" t="str">
        <f aca="false">IF($J5043=FALSE(),"",COUNTIF($J$6:$J5043,TRUE()))</f>
        <v/>
      </c>
      <c r="L5043" s="5" t="str">
        <f aca="false">IF($K5043="","","R"&amp;$K5043)</f>
        <v/>
      </c>
    </row>
    <row r="5044" customFormat="false" ht="15" hidden="false" customHeight="true" outlineLevel="0" collapsed="false">
      <c r="J5044" s="14" t="b">
        <f aca="false">IF(중복검사!$A5042="",FALSE(),중복검사!$H5042="중복")</f>
        <v>0</v>
      </c>
      <c r="K5044" s="5" t="str">
        <f aca="false">IF($J5044=FALSE(),"",COUNTIF($J$6:$J5044,TRUE()))</f>
        <v/>
      </c>
      <c r="L5044" s="5" t="str">
        <f aca="false">IF($K5044="","","R"&amp;$K5044)</f>
        <v/>
      </c>
    </row>
    <row r="5045" customFormat="false" ht="15" hidden="false" customHeight="true" outlineLevel="0" collapsed="false">
      <c r="J5045" s="14" t="b">
        <f aca="false">IF(중복검사!$A5043="",FALSE(),중복검사!$H5043="중복")</f>
        <v>0</v>
      </c>
      <c r="K5045" s="5" t="str">
        <f aca="false">IF($J5045=FALSE(),"",COUNTIF($J$6:$J5045,TRUE()))</f>
        <v/>
      </c>
      <c r="L5045" s="5" t="str">
        <f aca="false">IF($K5045="","","R"&amp;$K5045)</f>
        <v/>
      </c>
    </row>
    <row r="5046" customFormat="false" ht="15" hidden="false" customHeight="true" outlineLevel="0" collapsed="false">
      <c r="J5046" s="14" t="b">
        <f aca="false">IF(중복검사!$A5044="",FALSE(),중복검사!$H5044="중복")</f>
        <v>0</v>
      </c>
      <c r="K5046" s="5" t="str">
        <f aca="false">IF($J5046=FALSE(),"",COUNTIF($J$6:$J5046,TRUE()))</f>
        <v/>
      </c>
      <c r="L5046" s="5" t="str">
        <f aca="false">IF($K5046="","","R"&amp;$K5046)</f>
        <v/>
      </c>
    </row>
    <row r="5047" customFormat="false" ht="15" hidden="false" customHeight="true" outlineLevel="0" collapsed="false">
      <c r="J5047" s="14" t="b">
        <f aca="false">IF(중복검사!$A5045="",FALSE(),중복검사!$H5045="중복")</f>
        <v>0</v>
      </c>
      <c r="K5047" s="5" t="str">
        <f aca="false">IF($J5047=FALSE(),"",COUNTIF($J$6:$J5047,TRUE()))</f>
        <v/>
      </c>
      <c r="L5047" s="5" t="str">
        <f aca="false">IF($K5047="","","R"&amp;$K5047)</f>
        <v/>
      </c>
    </row>
    <row r="5048" customFormat="false" ht="15" hidden="false" customHeight="true" outlineLevel="0" collapsed="false">
      <c r="J5048" s="14" t="b">
        <f aca="false">IF(중복검사!$A5046="",FALSE(),중복검사!$H5046="중복")</f>
        <v>0</v>
      </c>
      <c r="K5048" s="5" t="str">
        <f aca="false">IF($J5048=FALSE(),"",COUNTIF($J$6:$J5048,TRUE()))</f>
        <v/>
      </c>
      <c r="L5048" s="5" t="str">
        <f aca="false">IF($K5048="","","R"&amp;$K5048)</f>
        <v/>
      </c>
    </row>
    <row r="5049" customFormat="false" ht="15" hidden="false" customHeight="true" outlineLevel="0" collapsed="false">
      <c r="J5049" s="14" t="b">
        <f aca="false">IF(중복검사!$A5047="",FALSE(),중복검사!$H5047="중복")</f>
        <v>0</v>
      </c>
      <c r="K5049" s="5" t="str">
        <f aca="false">IF($J5049=FALSE(),"",COUNTIF($J$6:$J5049,TRUE()))</f>
        <v/>
      </c>
      <c r="L5049" s="5" t="str">
        <f aca="false">IF($K5049="","","R"&amp;$K5049)</f>
        <v/>
      </c>
    </row>
    <row r="5050" customFormat="false" ht="15" hidden="false" customHeight="true" outlineLevel="0" collapsed="false">
      <c r="J5050" s="14" t="b">
        <f aca="false">IF(중복검사!$A5048="",FALSE(),중복검사!$H5048="중복")</f>
        <v>0</v>
      </c>
      <c r="K5050" s="5" t="str">
        <f aca="false">IF($J5050=FALSE(),"",COUNTIF($J$6:$J5050,TRUE()))</f>
        <v/>
      </c>
      <c r="L5050" s="5" t="str">
        <f aca="false">IF($K5050="","","R"&amp;$K5050)</f>
        <v/>
      </c>
    </row>
    <row r="5051" customFormat="false" ht="15" hidden="false" customHeight="true" outlineLevel="0" collapsed="false">
      <c r="J5051" s="14" t="b">
        <f aca="false">IF(중복검사!$A5049="",FALSE(),중복검사!$H5049="중복")</f>
        <v>0</v>
      </c>
      <c r="K5051" s="5" t="str">
        <f aca="false">IF($J5051=FALSE(),"",COUNTIF($J$6:$J5051,TRUE()))</f>
        <v/>
      </c>
      <c r="L5051" s="5" t="str">
        <f aca="false">IF($K5051="","","R"&amp;$K5051)</f>
        <v/>
      </c>
    </row>
    <row r="5052" customFormat="false" ht="15" hidden="false" customHeight="true" outlineLevel="0" collapsed="false">
      <c r="J5052" s="14" t="b">
        <f aca="false">IF(중복검사!$A5050="",FALSE(),중복검사!$H5050="중복")</f>
        <v>0</v>
      </c>
      <c r="K5052" s="5" t="str">
        <f aca="false">IF($J5052=FALSE(),"",COUNTIF($J$6:$J5052,TRUE()))</f>
        <v/>
      </c>
      <c r="L5052" s="5" t="str">
        <f aca="false">IF($K5052="","","R"&amp;$K5052)</f>
        <v/>
      </c>
    </row>
    <row r="5053" customFormat="false" ht="15" hidden="false" customHeight="true" outlineLevel="0" collapsed="false">
      <c r="J5053" s="14" t="b">
        <f aca="false">IF(중복검사!$A5051="",FALSE(),중복검사!$H5051="중복")</f>
        <v>0</v>
      </c>
      <c r="K5053" s="5" t="str">
        <f aca="false">IF($J5053=FALSE(),"",COUNTIF($J$6:$J5053,TRUE()))</f>
        <v/>
      </c>
      <c r="L5053" s="5" t="str">
        <f aca="false">IF($K5053="","","R"&amp;$K5053)</f>
        <v/>
      </c>
    </row>
    <row r="5054" customFormat="false" ht="15" hidden="false" customHeight="true" outlineLevel="0" collapsed="false">
      <c r="J5054" s="14" t="b">
        <f aca="false">IF(중복검사!$A5052="",FALSE(),중복검사!$H5052="중복")</f>
        <v>0</v>
      </c>
      <c r="K5054" s="5" t="str">
        <f aca="false">IF($J5054=FALSE(),"",COUNTIF($J$6:$J5054,TRUE()))</f>
        <v/>
      </c>
      <c r="L5054" s="5" t="str">
        <f aca="false">IF($K5054="","","R"&amp;$K5054)</f>
        <v/>
      </c>
    </row>
    <row r="5055" customFormat="false" ht="15" hidden="false" customHeight="true" outlineLevel="0" collapsed="false">
      <c r="J5055" s="14" t="b">
        <f aca="false">IF(중복검사!$A5053="",FALSE(),중복검사!$H5053="중복")</f>
        <v>0</v>
      </c>
      <c r="K5055" s="5" t="str">
        <f aca="false">IF($J5055=FALSE(),"",COUNTIF($J$6:$J5055,TRUE()))</f>
        <v/>
      </c>
      <c r="L5055" s="5" t="str">
        <f aca="false">IF($K5055="","","R"&amp;$K5055)</f>
        <v/>
      </c>
    </row>
    <row r="5056" customFormat="false" ht="15" hidden="false" customHeight="true" outlineLevel="0" collapsed="false">
      <c r="J5056" s="14" t="b">
        <f aca="false">IF(중복검사!$A5054="",FALSE(),중복검사!$H5054="중복")</f>
        <v>0</v>
      </c>
      <c r="K5056" s="5" t="str">
        <f aca="false">IF($J5056=FALSE(),"",COUNTIF($J$6:$J5056,TRUE()))</f>
        <v/>
      </c>
      <c r="L5056" s="5" t="str">
        <f aca="false">IF($K5056="","","R"&amp;$K5056)</f>
        <v/>
      </c>
    </row>
    <row r="5057" customFormat="false" ht="15" hidden="false" customHeight="true" outlineLevel="0" collapsed="false">
      <c r="J5057" s="14" t="b">
        <f aca="false">IF(중복검사!$A5055="",FALSE(),중복검사!$H5055="중복")</f>
        <v>0</v>
      </c>
      <c r="K5057" s="5" t="str">
        <f aca="false">IF($J5057=FALSE(),"",COUNTIF($J$6:$J5057,TRUE()))</f>
        <v/>
      </c>
      <c r="L5057" s="5" t="str">
        <f aca="false">IF($K5057="","","R"&amp;$K5057)</f>
        <v/>
      </c>
    </row>
    <row r="5058" customFormat="false" ht="15" hidden="false" customHeight="true" outlineLevel="0" collapsed="false">
      <c r="J5058" s="14" t="b">
        <f aca="false">IF(중복검사!$A5056="",FALSE(),중복검사!$H5056="중복")</f>
        <v>0</v>
      </c>
      <c r="K5058" s="5" t="str">
        <f aca="false">IF($J5058=FALSE(),"",COUNTIF($J$6:$J5058,TRUE()))</f>
        <v/>
      </c>
      <c r="L5058" s="5" t="str">
        <f aca="false">IF($K5058="","","R"&amp;$K5058)</f>
        <v/>
      </c>
    </row>
    <row r="5059" customFormat="false" ht="15" hidden="false" customHeight="true" outlineLevel="0" collapsed="false">
      <c r="J5059" s="14" t="b">
        <f aca="false">IF(중복검사!$A5057="",FALSE(),중복검사!$H5057="중복")</f>
        <v>0</v>
      </c>
      <c r="K5059" s="5" t="str">
        <f aca="false">IF($J5059=FALSE(),"",COUNTIF($J$6:$J5059,TRUE()))</f>
        <v/>
      </c>
      <c r="L5059" s="5" t="str">
        <f aca="false">IF($K5059="","","R"&amp;$K5059)</f>
        <v/>
      </c>
    </row>
    <row r="5060" customFormat="false" ht="15" hidden="false" customHeight="true" outlineLevel="0" collapsed="false">
      <c r="J5060" s="14" t="b">
        <f aca="false">IF(중복검사!$A5058="",FALSE(),중복검사!$H5058="중복")</f>
        <v>0</v>
      </c>
      <c r="K5060" s="5" t="str">
        <f aca="false">IF($J5060=FALSE(),"",COUNTIF($J$6:$J5060,TRUE()))</f>
        <v/>
      </c>
      <c r="L5060" s="5" t="str">
        <f aca="false">IF($K5060="","","R"&amp;$K5060)</f>
        <v/>
      </c>
    </row>
    <row r="5061" customFormat="false" ht="15" hidden="false" customHeight="true" outlineLevel="0" collapsed="false">
      <c r="J5061" s="14" t="b">
        <f aca="false">IF(중복검사!$A5059="",FALSE(),중복검사!$H5059="중복")</f>
        <v>0</v>
      </c>
      <c r="K5061" s="5" t="str">
        <f aca="false">IF($J5061=FALSE(),"",COUNTIF($J$6:$J5061,TRUE()))</f>
        <v/>
      </c>
      <c r="L5061" s="5" t="str">
        <f aca="false">IF($K5061="","","R"&amp;$K5061)</f>
        <v/>
      </c>
    </row>
    <row r="5062" customFormat="false" ht="15" hidden="false" customHeight="true" outlineLevel="0" collapsed="false">
      <c r="J5062" s="14" t="b">
        <f aca="false">IF(중복검사!$A5060="",FALSE(),중복검사!$H5060="중복")</f>
        <v>0</v>
      </c>
      <c r="K5062" s="5" t="str">
        <f aca="false">IF($J5062=FALSE(),"",COUNTIF($J$6:$J5062,TRUE()))</f>
        <v/>
      </c>
      <c r="L5062" s="5" t="str">
        <f aca="false">IF($K5062="","","R"&amp;$K5062)</f>
        <v/>
      </c>
    </row>
    <row r="5063" customFormat="false" ht="15" hidden="false" customHeight="true" outlineLevel="0" collapsed="false">
      <c r="J5063" s="14" t="b">
        <f aca="false">IF(중복검사!$A5061="",FALSE(),중복검사!$H5061="중복")</f>
        <v>0</v>
      </c>
      <c r="K5063" s="5" t="str">
        <f aca="false">IF($J5063=FALSE(),"",COUNTIF($J$6:$J5063,TRUE()))</f>
        <v/>
      </c>
      <c r="L5063" s="5" t="str">
        <f aca="false">IF($K5063="","","R"&amp;$K5063)</f>
        <v/>
      </c>
    </row>
    <row r="5064" customFormat="false" ht="15" hidden="false" customHeight="true" outlineLevel="0" collapsed="false">
      <c r="J5064" s="14" t="b">
        <f aca="false">IF(중복검사!$A5062="",FALSE(),중복검사!$H5062="중복")</f>
        <v>0</v>
      </c>
      <c r="K5064" s="5" t="str">
        <f aca="false">IF($J5064=FALSE(),"",COUNTIF($J$6:$J5064,TRUE()))</f>
        <v/>
      </c>
      <c r="L5064" s="5" t="str">
        <f aca="false">IF($K5064="","","R"&amp;$K5064)</f>
        <v/>
      </c>
    </row>
    <row r="5065" customFormat="false" ht="15" hidden="false" customHeight="true" outlineLevel="0" collapsed="false">
      <c r="J5065" s="14" t="b">
        <f aca="false">IF(중복검사!$A5063="",FALSE(),중복검사!$H5063="중복")</f>
        <v>0</v>
      </c>
      <c r="K5065" s="5" t="str">
        <f aca="false">IF($J5065=FALSE(),"",COUNTIF($J$6:$J5065,TRUE()))</f>
        <v/>
      </c>
      <c r="L5065" s="5" t="str">
        <f aca="false">IF($K5065="","","R"&amp;$K5065)</f>
        <v/>
      </c>
    </row>
    <row r="5066" customFormat="false" ht="15" hidden="false" customHeight="true" outlineLevel="0" collapsed="false">
      <c r="J5066" s="14" t="b">
        <f aca="false">IF(중복검사!$A5064="",FALSE(),중복검사!$H5064="중복")</f>
        <v>0</v>
      </c>
      <c r="K5066" s="5" t="str">
        <f aca="false">IF($J5066=FALSE(),"",COUNTIF($J$6:$J5066,TRUE()))</f>
        <v/>
      </c>
      <c r="L5066" s="5" t="str">
        <f aca="false">IF($K5066="","","R"&amp;$K5066)</f>
        <v/>
      </c>
    </row>
    <row r="5067" customFormat="false" ht="15" hidden="false" customHeight="true" outlineLevel="0" collapsed="false">
      <c r="J5067" s="14" t="b">
        <f aca="false">IF(중복검사!$A5065="",FALSE(),중복검사!$H5065="중복")</f>
        <v>0</v>
      </c>
      <c r="K5067" s="5" t="str">
        <f aca="false">IF($J5067=FALSE(),"",COUNTIF($J$6:$J5067,TRUE()))</f>
        <v/>
      </c>
      <c r="L5067" s="5" t="str">
        <f aca="false">IF($K5067="","","R"&amp;$K5067)</f>
        <v/>
      </c>
    </row>
    <row r="5068" customFormat="false" ht="15" hidden="false" customHeight="true" outlineLevel="0" collapsed="false">
      <c r="J5068" s="14" t="b">
        <f aca="false">IF(중복검사!$A5066="",FALSE(),중복검사!$H5066="중복")</f>
        <v>0</v>
      </c>
      <c r="K5068" s="5" t="str">
        <f aca="false">IF($J5068=FALSE(),"",COUNTIF($J$6:$J5068,TRUE()))</f>
        <v/>
      </c>
      <c r="L5068" s="5" t="str">
        <f aca="false">IF($K5068="","","R"&amp;$K5068)</f>
        <v/>
      </c>
    </row>
    <row r="5069" customFormat="false" ht="15" hidden="false" customHeight="true" outlineLevel="0" collapsed="false">
      <c r="J5069" s="14" t="b">
        <f aca="false">IF(중복검사!$A5067="",FALSE(),중복검사!$H5067="중복")</f>
        <v>0</v>
      </c>
      <c r="K5069" s="5" t="str">
        <f aca="false">IF($J5069=FALSE(),"",COUNTIF($J$6:$J5069,TRUE()))</f>
        <v/>
      </c>
      <c r="L5069" s="5" t="str">
        <f aca="false">IF($K5069="","","R"&amp;$K5069)</f>
        <v/>
      </c>
    </row>
    <row r="5070" customFormat="false" ht="15" hidden="false" customHeight="true" outlineLevel="0" collapsed="false">
      <c r="J5070" s="14" t="b">
        <f aca="false">IF(중복검사!$A5068="",FALSE(),중복검사!$H5068="중복")</f>
        <v>0</v>
      </c>
      <c r="K5070" s="5" t="str">
        <f aca="false">IF($J5070=FALSE(),"",COUNTIF($J$6:$J5070,TRUE()))</f>
        <v/>
      </c>
      <c r="L5070" s="5" t="str">
        <f aca="false">IF($K5070="","","R"&amp;$K5070)</f>
        <v/>
      </c>
    </row>
    <row r="5071" customFormat="false" ht="15" hidden="false" customHeight="true" outlineLevel="0" collapsed="false">
      <c r="J5071" s="14" t="b">
        <f aca="false">IF(중복검사!$A5069="",FALSE(),중복검사!$H5069="중복")</f>
        <v>0</v>
      </c>
      <c r="K5071" s="5" t="str">
        <f aca="false">IF($J5071=FALSE(),"",COUNTIF($J$6:$J5071,TRUE()))</f>
        <v/>
      </c>
      <c r="L5071" s="5" t="str">
        <f aca="false">IF($K5071="","","R"&amp;$K5071)</f>
        <v/>
      </c>
    </row>
    <row r="5072" customFormat="false" ht="15" hidden="false" customHeight="true" outlineLevel="0" collapsed="false">
      <c r="J5072" s="14" t="b">
        <f aca="false">IF(중복검사!$A5070="",FALSE(),중복검사!$H5070="중복")</f>
        <v>0</v>
      </c>
      <c r="K5072" s="5" t="str">
        <f aca="false">IF($J5072=FALSE(),"",COUNTIF($J$6:$J5072,TRUE()))</f>
        <v/>
      </c>
      <c r="L5072" s="5" t="str">
        <f aca="false">IF($K5072="","","R"&amp;$K5072)</f>
        <v/>
      </c>
    </row>
    <row r="5073" customFormat="false" ht="15" hidden="false" customHeight="true" outlineLevel="0" collapsed="false">
      <c r="J5073" s="14" t="b">
        <f aca="false">IF(중복검사!$A5071="",FALSE(),중복검사!$H5071="중복")</f>
        <v>0</v>
      </c>
      <c r="K5073" s="5" t="str">
        <f aca="false">IF($J5073=FALSE(),"",COUNTIF($J$6:$J5073,TRUE()))</f>
        <v/>
      </c>
      <c r="L5073" s="5" t="str">
        <f aca="false">IF($K5073="","","R"&amp;$K5073)</f>
        <v/>
      </c>
    </row>
    <row r="5074" customFormat="false" ht="15" hidden="false" customHeight="true" outlineLevel="0" collapsed="false">
      <c r="J5074" s="14" t="b">
        <f aca="false">IF(중복검사!$A5072="",FALSE(),중복검사!$H5072="중복")</f>
        <v>0</v>
      </c>
      <c r="K5074" s="5" t="str">
        <f aca="false">IF($J5074=FALSE(),"",COUNTIF($J$6:$J5074,TRUE()))</f>
        <v/>
      </c>
      <c r="L5074" s="5" t="str">
        <f aca="false">IF($K5074="","","R"&amp;$K5074)</f>
        <v/>
      </c>
    </row>
    <row r="5075" customFormat="false" ht="15" hidden="false" customHeight="true" outlineLevel="0" collapsed="false">
      <c r="J5075" s="14" t="b">
        <f aca="false">IF(중복검사!$A5073="",FALSE(),중복검사!$H5073="중복")</f>
        <v>0</v>
      </c>
      <c r="K5075" s="5" t="str">
        <f aca="false">IF($J5075=FALSE(),"",COUNTIF($J$6:$J5075,TRUE()))</f>
        <v/>
      </c>
      <c r="L5075" s="5" t="str">
        <f aca="false">IF($K5075="","","R"&amp;$K5075)</f>
        <v/>
      </c>
    </row>
    <row r="5076" customFormat="false" ht="15" hidden="false" customHeight="true" outlineLevel="0" collapsed="false">
      <c r="J5076" s="14" t="b">
        <f aca="false">IF(중복검사!$A5074="",FALSE(),중복검사!$H5074="중복")</f>
        <v>0</v>
      </c>
      <c r="K5076" s="5" t="str">
        <f aca="false">IF($J5076=FALSE(),"",COUNTIF($J$6:$J5076,TRUE()))</f>
        <v/>
      </c>
      <c r="L5076" s="5" t="str">
        <f aca="false">IF($K5076="","","R"&amp;$K5076)</f>
        <v/>
      </c>
    </row>
    <row r="5077" customFormat="false" ht="15" hidden="false" customHeight="true" outlineLevel="0" collapsed="false">
      <c r="J5077" s="14" t="b">
        <f aca="false">IF(중복검사!$A5075="",FALSE(),중복검사!$H5075="중복")</f>
        <v>0</v>
      </c>
      <c r="K5077" s="5" t="str">
        <f aca="false">IF($J5077=FALSE(),"",COUNTIF($J$6:$J5077,TRUE()))</f>
        <v/>
      </c>
      <c r="L5077" s="5" t="str">
        <f aca="false">IF($K5077="","","R"&amp;$K5077)</f>
        <v/>
      </c>
    </row>
    <row r="5078" customFormat="false" ht="15" hidden="false" customHeight="true" outlineLevel="0" collapsed="false">
      <c r="J5078" s="14" t="b">
        <f aca="false">IF(중복검사!$A5076="",FALSE(),중복검사!$H5076="중복")</f>
        <v>0</v>
      </c>
      <c r="K5078" s="5" t="str">
        <f aca="false">IF($J5078=FALSE(),"",COUNTIF($J$6:$J5078,TRUE()))</f>
        <v/>
      </c>
      <c r="L5078" s="5" t="str">
        <f aca="false">IF($K5078="","","R"&amp;$K5078)</f>
        <v/>
      </c>
    </row>
    <row r="5079" customFormat="false" ht="15" hidden="false" customHeight="true" outlineLevel="0" collapsed="false">
      <c r="J5079" s="14" t="b">
        <f aca="false">IF(중복검사!$A5077="",FALSE(),중복검사!$H5077="중복")</f>
        <v>0</v>
      </c>
      <c r="K5079" s="5" t="str">
        <f aca="false">IF($J5079=FALSE(),"",COUNTIF($J$6:$J5079,TRUE()))</f>
        <v/>
      </c>
      <c r="L5079" s="5" t="str">
        <f aca="false">IF($K5079="","","R"&amp;$K5079)</f>
        <v/>
      </c>
    </row>
    <row r="5080" customFormat="false" ht="15" hidden="false" customHeight="true" outlineLevel="0" collapsed="false">
      <c r="J5080" s="14" t="b">
        <f aca="false">IF(중복검사!$A5078="",FALSE(),중복검사!$H5078="중복")</f>
        <v>0</v>
      </c>
      <c r="K5080" s="5" t="str">
        <f aca="false">IF($J5080=FALSE(),"",COUNTIF($J$6:$J5080,TRUE()))</f>
        <v/>
      </c>
      <c r="L5080" s="5" t="str">
        <f aca="false">IF($K5080="","","R"&amp;$K5080)</f>
        <v/>
      </c>
    </row>
    <row r="5081" customFormat="false" ht="15" hidden="false" customHeight="true" outlineLevel="0" collapsed="false">
      <c r="J5081" s="14" t="b">
        <f aca="false">IF(중복검사!$A5079="",FALSE(),중복검사!$H5079="중복")</f>
        <v>0</v>
      </c>
      <c r="K5081" s="5" t="str">
        <f aca="false">IF($J5081=FALSE(),"",COUNTIF($J$6:$J5081,TRUE()))</f>
        <v/>
      </c>
      <c r="L5081" s="5" t="str">
        <f aca="false">IF($K5081="","","R"&amp;$K5081)</f>
        <v/>
      </c>
    </row>
    <row r="5082" customFormat="false" ht="15" hidden="false" customHeight="true" outlineLevel="0" collapsed="false">
      <c r="J5082" s="14" t="b">
        <f aca="false">IF(중복검사!$A5080="",FALSE(),중복검사!$H5080="중복")</f>
        <v>0</v>
      </c>
      <c r="K5082" s="5" t="str">
        <f aca="false">IF($J5082=FALSE(),"",COUNTIF($J$6:$J5082,TRUE()))</f>
        <v/>
      </c>
      <c r="L5082" s="5" t="str">
        <f aca="false">IF($K5082="","","R"&amp;$K5082)</f>
        <v/>
      </c>
    </row>
    <row r="5083" customFormat="false" ht="15" hidden="false" customHeight="true" outlineLevel="0" collapsed="false">
      <c r="J5083" s="14" t="b">
        <f aca="false">IF(중복검사!$A5081="",FALSE(),중복검사!$H5081="중복")</f>
        <v>0</v>
      </c>
      <c r="K5083" s="5" t="str">
        <f aca="false">IF($J5083=FALSE(),"",COUNTIF($J$6:$J5083,TRUE()))</f>
        <v/>
      </c>
      <c r="L5083" s="5" t="str">
        <f aca="false">IF($K5083="","","R"&amp;$K5083)</f>
        <v/>
      </c>
    </row>
    <row r="5084" customFormat="false" ht="15" hidden="false" customHeight="true" outlineLevel="0" collapsed="false">
      <c r="J5084" s="14" t="b">
        <f aca="false">IF(중복검사!$A5082="",FALSE(),중복검사!$H5082="중복")</f>
        <v>0</v>
      </c>
      <c r="K5084" s="5" t="str">
        <f aca="false">IF($J5084=FALSE(),"",COUNTIF($J$6:$J5084,TRUE()))</f>
        <v/>
      </c>
      <c r="L5084" s="5" t="str">
        <f aca="false">IF($K5084="","","R"&amp;$K5084)</f>
        <v/>
      </c>
    </row>
    <row r="5085" customFormat="false" ht="15" hidden="false" customHeight="true" outlineLevel="0" collapsed="false">
      <c r="J5085" s="14" t="b">
        <f aca="false">IF(중복검사!$A5083="",FALSE(),중복검사!$H5083="중복")</f>
        <v>0</v>
      </c>
      <c r="K5085" s="5" t="str">
        <f aca="false">IF($J5085=FALSE(),"",COUNTIF($J$6:$J5085,TRUE()))</f>
        <v/>
      </c>
      <c r="L5085" s="5" t="str">
        <f aca="false">IF($K5085="","","R"&amp;$K5085)</f>
        <v/>
      </c>
    </row>
    <row r="5086" customFormat="false" ht="15" hidden="false" customHeight="true" outlineLevel="0" collapsed="false">
      <c r="J5086" s="14" t="b">
        <f aca="false">IF(중복검사!$A5084="",FALSE(),중복검사!$H5084="중복")</f>
        <v>0</v>
      </c>
      <c r="K5086" s="5" t="str">
        <f aca="false">IF($J5086=FALSE(),"",COUNTIF($J$6:$J5086,TRUE()))</f>
        <v/>
      </c>
      <c r="L5086" s="5" t="str">
        <f aca="false">IF($K5086="","","R"&amp;$K5086)</f>
        <v/>
      </c>
    </row>
    <row r="5087" customFormat="false" ht="15" hidden="false" customHeight="true" outlineLevel="0" collapsed="false">
      <c r="J5087" s="14" t="b">
        <f aca="false">IF(중복검사!$A5085="",FALSE(),중복검사!$H5085="중복")</f>
        <v>0</v>
      </c>
      <c r="K5087" s="5" t="str">
        <f aca="false">IF($J5087=FALSE(),"",COUNTIF($J$6:$J5087,TRUE()))</f>
        <v/>
      </c>
      <c r="L5087" s="5" t="str">
        <f aca="false">IF($K5087="","","R"&amp;$K5087)</f>
        <v/>
      </c>
    </row>
    <row r="5088" customFormat="false" ht="15" hidden="false" customHeight="true" outlineLevel="0" collapsed="false">
      <c r="J5088" s="14" t="b">
        <f aca="false">IF(중복검사!$A5086="",FALSE(),중복검사!$H5086="중복")</f>
        <v>0</v>
      </c>
      <c r="K5088" s="5" t="str">
        <f aca="false">IF($J5088=FALSE(),"",COUNTIF($J$6:$J5088,TRUE()))</f>
        <v/>
      </c>
      <c r="L5088" s="5" t="str">
        <f aca="false">IF($K5088="","","R"&amp;$K5088)</f>
        <v/>
      </c>
    </row>
    <row r="5089" customFormat="false" ht="15" hidden="false" customHeight="true" outlineLevel="0" collapsed="false">
      <c r="J5089" s="14" t="b">
        <f aca="false">IF(중복검사!$A5087="",FALSE(),중복검사!$H5087="중복")</f>
        <v>0</v>
      </c>
      <c r="K5089" s="5" t="str">
        <f aca="false">IF($J5089=FALSE(),"",COUNTIF($J$6:$J5089,TRUE()))</f>
        <v/>
      </c>
      <c r="L5089" s="5" t="str">
        <f aca="false">IF($K5089="","","R"&amp;$K5089)</f>
        <v/>
      </c>
    </row>
    <row r="5090" customFormat="false" ht="15" hidden="false" customHeight="true" outlineLevel="0" collapsed="false">
      <c r="J5090" s="14" t="b">
        <f aca="false">IF(중복검사!$A5088="",FALSE(),중복검사!$H5088="중복")</f>
        <v>0</v>
      </c>
      <c r="K5090" s="5" t="str">
        <f aca="false">IF($J5090=FALSE(),"",COUNTIF($J$6:$J5090,TRUE()))</f>
        <v/>
      </c>
      <c r="L5090" s="5" t="str">
        <f aca="false">IF($K5090="","","R"&amp;$K5090)</f>
        <v/>
      </c>
    </row>
    <row r="5091" customFormat="false" ht="15" hidden="false" customHeight="true" outlineLevel="0" collapsed="false">
      <c r="J5091" s="14" t="b">
        <f aca="false">IF(중복검사!$A5089="",FALSE(),중복검사!$H5089="중복")</f>
        <v>0</v>
      </c>
      <c r="K5091" s="5" t="str">
        <f aca="false">IF($J5091=FALSE(),"",COUNTIF($J$6:$J5091,TRUE()))</f>
        <v/>
      </c>
      <c r="L5091" s="5" t="str">
        <f aca="false">IF($K5091="","","R"&amp;$K5091)</f>
        <v/>
      </c>
    </row>
    <row r="5092" customFormat="false" ht="15" hidden="false" customHeight="true" outlineLevel="0" collapsed="false">
      <c r="J5092" s="14" t="b">
        <f aca="false">IF(중복검사!$A5090="",FALSE(),중복검사!$H5090="중복")</f>
        <v>0</v>
      </c>
      <c r="K5092" s="5" t="str">
        <f aca="false">IF($J5092=FALSE(),"",COUNTIF($J$6:$J5092,TRUE()))</f>
        <v/>
      </c>
      <c r="L5092" s="5" t="str">
        <f aca="false">IF($K5092="","","R"&amp;$K5092)</f>
        <v/>
      </c>
    </row>
    <row r="5093" customFormat="false" ht="15" hidden="false" customHeight="true" outlineLevel="0" collapsed="false">
      <c r="J5093" s="14" t="b">
        <f aca="false">IF(중복검사!$A5091="",FALSE(),중복검사!$H5091="중복")</f>
        <v>0</v>
      </c>
      <c r="K5093" s="5" t="str">
        <f aca="false">IF($J5093=FALSE(),"",COUNTIF($J$6:$J5093,TRUE()))</f>
        <v/>
      </c>
      <c r="L5093" s="5" t="str">
        <f aca="false">IF($K5093="","","R"&amp;$K5093)</f>
        <v/>
      </c>
    </row>
    <row r="5094" customFormat="false" ht="15" hidden="false" customHeight="true" outlineLevel="0" collapsed="false">
      <c r="J5094" s="14" t="b">
        <f aca="false">IF(중복검사!$A5092="",FALSE(),중복검사!$H5092="중복")</f>
        <v>0</v>
      </c>
      <c r="K5094" s="5" t="str">
        <f aca="false">IF($J5094=FALSE(),"",COUNTIF($J$6:$J5094,TRUE()))</f>
        <v/>
      </c>
      <c r="L5094" s="5" t="str">
        <f aca="false">IF($K5094="","","R"&amp;$K5094)</f>
        <v/>
      </c>
    </row>
    <row r="5095" customFormat="false" ht="15" hidden="false" customHeight="true" outlineLevel="0" collapsed="false">
      <c r="J5095" s="14" t="b">
        <f aca="false">IF(중복검사!$A5093="",FALSE(),중복검사!$H5093="중복")</f>
        <v>0</v>
      </c>
      <c r="K5095" s="5" t="str">
        <f aca="false">IF($J5095=FALSE(),"",COUNTIF($J$6:$J5095,TRUE()))</f>
        <v/>
      </c>
      <c r="L5095" s="5" t="str">
        <f aca="false">IF($K5095="","","R"&amp;$K5095)</f>
        <v/>
      </c>
    </row>
    <row r="5096" customFormat="false" ht="15" hidden="false" customHeight="true" outlineLevel="0" collapsed="false">
      <c r="J5096" s="14" t="b">
        <f aca="false">IF(중복검사!$A5094="",FALSE(),중복검사!$H5094="중복")</f>
        <v>0</v>
      </c>
      <c r="K5096" s="5" t="str">
        <f aca="false">IF($J5096=FALSE(),"",COUNTIF($J$6:$J5096,TRUE()))</f>
        <v/>
      </c>
      <c r="L5096" s="5" t="str">
        <f aca="false">IF($K5096="","","R"&amp;$K5096)</f>
        <v/>
      </c>
    </row>
    <row r="5097" customFormat="false" ht="15" hidden="false" customHeight="true" outlineLevel="0" collapsed="false">
      <c r="J5097" s="14" t="b">
        <f aca="false">IF(중복검사!$A5095="",FALSE(),중복검사!$H5095="중복")</f>
        <v>0</v>
      </c>
      <c r="K5097" s="5" t="str">
        <f aca="false">IF($J5097=FALSE(),"",COUNTIF($J$6:$J5097,TRUE()))</f>
        <v/>
      </c>
      <c r="L5097" s="5" t="str">
        <f aca="false">IF($K5097="","","R"&amp;$K5097)</f>
        <v/>
      </c>
    </row>
    <row r="5098" customFormat="false" ht="15" hidden="false" customHeight="true" outlineLevel="0" collapsed="false">
      <c r="J5098" s="14" t="b">
        <f aca="false">IF(중복검사!$A5096="",FALSE(),중복검사!$H5096="중복")</f>
        <v>0</v>
      </c>
      <c r="K5098" s="5" t="str">
        <f aca="false">IF($J5098=FALSE(),"",COUNTIF($J$6:$J5098,TRUE()))</f>
        <v/>
      </c>
      <c r="L5098" s="5" t="str">
        <f aca="false">IF($K5098="","","R"&amp;$K5098)</f>
        <v/>
      </c>
    </row>
    <row r="5099" customFormat="false" ht="15" hidden="false" customHeight="true" outlineLevel="0" collapsed="false">
      <c r="J5099" s="14" t="b">
        <f aca="false">IF(중복검사!$A5097="",FALSE(),중복검사!$H5097="중복")</f>
        <v>0</v>
      </c>
      <c r="K5099" s="5" t="str">
        <f aca="false">IF($J5099=FALSE(),"",COUNTIF($J$6:$J5099,TRUE()))</f>
        <v/>
      </c>
      <c r="L5099" s="5" t="str">
        <f aca="false">IF($K5099="","","R"&amp;$K5099)</f>
        <v/>
      </c>
    </row>
    <row r="5100" customFormat="false" ht="15" hidden="false" customHeight="true" outlineLevel="0" collapsed="false">
      <c r="J5100" s="14" t="b">
        <f aca="false">IF(중복검사!$A5098="",FALSE(),중복검사!$H5098="중복")</f>
        <v>0</v>
      </c>
      <c r="K5100" s="5" t="str">
        <f aca="false">IF($J5100=FALSE(),"",COUNTIF($J$6:$J5100,TRUE()))</f>
        <v/>
      </c>
      <c r="L5100" s="5" t="str">
        <f aca="false">IF($K5100="","","R"&amp;$K5100)</f>
        <v/>
      </c>
    </row>
    <row r="5101" customFormat="false" ht="15" hidden="false" customHeight="true" outlineLevel="0" collapsed="false">
      <c r="J5101" s="14" t="b">
        <f aca="false">IF(중복검사!$A5099="",FALSE(),중복검사!$H5099="중복")</f>
        <v>0</v>
      </c>
      <c r="K5101" s="5" t="str">
        <f aca="false">IF($J5101=FALSE(),"",COUNTIF($J$6:$J5101,TRUE()))</f>
        <v/>
      </c>
      <c r="L5101" s="5" t="str">
        <f aca="false">IF($K5101="","","R"&amp;$K5101)</f>
        <v/>
      </c>
    </row>
    <row r="5102" customFormat="false" ht="15" hidden="false" customHeight="true" outlineLevel="0" collapsed="false">
      <c r="J5102" s="14" t="b">
        <f aca="false">IF(중복검사!$A5100="",FALSE(),중복검사!$H5100="중복")</f>
        <v>0</v>
      </c>
      <c r="K5102" s="5" t="str">
        <f aca="false">IF($J5102=FALSE(),"",COUNTIF($J$6:$J5102,TRUE()))</f>
        <v/>
      </c>
      <c r="L5102" s="5" t="str">
        <f aca="false">IF($K5102="","","R"&amp;$K5102)</f>
        <v/>
      </c>
    </row>
    <row r="5103" customFormat="false" ht="15" hidden="false" customHeight="true" outlineLevel="0" collapsed="false">
      <c r="J5103" s="14" t="b">
        <f aca="false">IF(중복검사!$A5101="",FALSE(),중복검사!$H5101="중복")</f>
        <v>0</v>
      </c>
      <c r="K5103" s="5" t="str">
        <f aca="false">IF($J5103=FALSE(),"",COUNTIF($J$6:$J5103,TRUE()))</f>
        <v/>
      </c>
      <c r="L5103" s="5" t="str">
        <f aca="false">IF($K5103="","","R"&amp;$K5103)</f>
        <v/>
      </c>
    </row>
    <row r="5104" customFormat="false" ht="15" hidden="false" customHeight="true" outlineLevel="0" collapsed="false">
      <c r="J5104" s="14" t="b">
        <f aca="false">IF(중복검사!$A5102="",FALSE(),중복검사!$H5102="중복")</f>
        <v>0</v>
      </c>
      <c r="K5104" s="5" t="str">
        <f aca="false">IF($J5104=FALSE(),"",COUNTIF($J$6:$J5104,TRUE()))</f>
        <v/>
      </c>
      <c r="L5104" s="5" t="str">
        <f aca="false">IF($K5104="","","R"&amp;$K5104)</f>
        <v/>
      </c>
    </row>
    <row r="5105" customFormat="false" ht="15" hidden="false" customHeight="true" outlineLevel="0" collapsed="false">
      <c r="J5105" s="14" t="b">
        <f aca="false">IF(중복검사!$A5103="",FALSE(),중복검사!$H5103="중복")</f>
        <v>0</v>
      </c>
      <c r="K5105" s="5" t="str">
        <f aca="false">IF($J5105=FALSE(),"",COUNTIF($J$6:$J5105,TRUE()))</f>
        <v/>
      </c>
      <c r="L5105" s="5" t="str">
        <f aca="false">IF($K5105="","","R"&amp;$K5105)</f>
        <v/>
      </c>
    </row>
    <row r="5106" customFormat="false" ht="15" hidden="false" customHeight="true" outlineLevel="0" collapsed="false">
      <c r="J5106" s="14" t="b">
        <f aca="false">IF(중복검사!$A5104="",FALSE(),중복검사!$H5104="중복")</f>
        <v>0</v>
      </c>
      <c r="K5106" s="5" t="str">
        <f aca="false">IF($J5106=FALSE(),"",COUNTIF($J$6:$J5106,TRUE()))</f>
        <v/>
      </c>
      <c r="L5106" s="5" t="str">
        <f aca="false">IF($K5106="","","R"&amp;$K5106)</f>
        <v/>
      </c>
    </row>
    <row r="5107" customFormat="false" ht="15" hidden="false" customHeight="true" outlineLevel="0" collapsed="false">
      <c r="J5107" s="14" t="b">
        <f aca="false">IF(중복검사!$A5105="",FALSE(),중복검사!$H5105="중복")</f>
        <v>0</v>
      </c>
      <c r="K5107" s="5" t="str">
        <f aca="false">IF($J5107=FALSE(),"",COUNTIF($J$6:$J5107,TRUE()))</f>
        <v/>
      </c>
      <c r="L5107" s="5" t="str">
        <f aca="false">IF($K5107="","","R"&amp;$K5107)</f>
        <v/>
      </c>
    </row>
    <row r="5108" customFormat="false" ht="15" hidden="false" customHeight="true" outlineLevel="0" collapsed="false">
      <c r="J5108" s="14" t="b">
        <f aca="false">IF(중복검사!$A5106="",FALSE(),중복검사!$H5106="중복")</f>
        <v>0</v>
      </c>
      <c r="K5108" s="5" t="str">
        <f aca="false">IF($J5108=FALSE(),"",COUNTIF($J$6:$J5108,TRUE()))</f>
        <v/>
      </c>
      <c r="L5108" s="5" t="str">
        <f aca="false">IF($K5108="","","R"&amp;$K5108)</f>
        <v/>
      </c>
    </row>
    <row r="5109" customFormat="false" ht="15" hidden="false" customHeight="true" outlineLevel="0" collapsed="false">
      <c r="J5109" s="14" t="b">
        <f aca="false">IF(중복검사!$A5107="",FALSE(),중복검사!$H5107="중복")</f>
        <v>0</v>
      </c>
      <c r="K5109" s="5" t="str">
        <f aca="false">IF($J5109=FALSE(),"",COUNTIF($J$6:$J5109,TRUE()))</f>
        <v/>
      </c>
      <c r="L5109" s="5" t="str">
        <f aca="false">IF($K5109="","","R"&amp;$K5109)</f>
        <v/>
      </c>
    </row>
    <row r="5110" customFormat="false" ht="15" hidden="false" customHeight="true" outlineLevel="0" collapsed="false">
      <c r="J5110" s="14" t="b">
        <f aca="false">IF(중복검사!$A5108="",FALSE(),중복검사!$H5108="중복")</f>
        <v>0</v>
      </c>
      <c r="K5110" s="5" t="str">
        <f aca="false">IF($J5110=FALSE(),"",COUNTIF($J$6:$J5110,TRUE()))</f>
        <v/>
      </c>
      <c r="L5110" s="5" t="str">
        <f aca="false">IF($K5110="","","R"&amp;$K5110)</f>
        <v/>
      </c>
    </row>
    <row r="5111" customFormat="false" ht="15" hidden="false" customHeight="true" outlineLevel="0" collapsed="false">
      <c r="J5111" s="14" t="b">
        <f aca="false">IF(중복검사!$A5109="",FALSE(),중복검사!$H5109="중복")</f>
        <v>0</v>
      </c>
      <c r="K5111" s="5" t="str">
        <f aca="false">IF($J5111=FALSE(),"",COUNTIF($J$6:$J5111,TRUE()))</f>
        <v/>
      </c>
      <c r="L5111" s="5" t="str">
        <f aca="false">IF($K5111="","","R"&amp;$K5111)</f>
        <v/>
      </c>
    </row>
    <row r="5112" customFormat="false" ht="15" hidden="false" customHeight="true" outlineLevel="0" collapsed="false">
      <c r="J5112" s="14" t="b">
        <f aca="false">IF(중복검사!$A5110="",FALSE(),중복검사!$H5110="중복")</f>
        <v>0</v>
      </c>
      <c r="K5112" s="5" t="str">
        <f aca="false">IF($J5112=FALSE(),"",COUNTIF($J$6:$J5112,TRUE()))</f>
        <v/>
      </c>
      <c r="L5112" s="5" t="str">
        <f aca="false">IF($K5112="","","R"&amp;$K5112)</f>
        <v/>
      </c>
    </row>
    <row r="5113" customFormat="false" ht="15" hidden="false" customHeight="true" outlineLevel="0" collapsed="false">
      <c r="J5113" s="14" t="b">
        <f aca="false">IF(중복검사!$A5111="",FALSE(),중복검사!$H5111="중복")</f>
        <v>0</v>
      </c>
      <c r="K5113" s="5" t="str">
        <f aca="false">IF($J5113=FALSE(),"",COUNTIF($J$6:$J5113,TRUE()))</f>
        <v/>
      </c>
      <c r="L5113" s="5" t="str">
        <f aca="false">IF($K5113="","","R"&amp;$K5113)</f>
        <v/>
      </c>
    </row>
    <row r="5114" customFormat="false" ht="15" hidden="false" customHeight="true" outlineLevel="0" collapsed="false">
      <c r="J5114" s="14" t="b">
        <f aca="false">IF(중복검사!$A5112="",FALSE(),중복검사!$H5112="중복")</f>
        <v>0</v>
      </c>
      <c r="K5114" s="5" t="str">
        <f aca="false">IF($J5114=FALSE(),"",COUNTIF($J$6:$J5114,TRUE()))</f>
        <v/>
      </c>
      <c r="L5114" s="5" t="str">
        <f aca="false">IF($K5114="","","R"&amp;$K5114)</f>
        <v/>
      </c>
    </row>
    <row r="5115" customFormat="false" ht="15" hidden="false" customHeight="true" outlineLevel="0" collapsed="false">
      <c r="J5115" s="14" t="b">
        <f aca="false">IF(중복검사!$A5113="",FALSE(),중복검사!$H5113="중복")</f>
        <v>0</v>
      </c>
      <c r="K5115" s="5" t="str">
        <f aca="false">IF($J5115=FALSE(),"",COUNTIF($J$6:$J5115,TRUE()))</f>
        <v/>
      </c>
      <c r="L5115" s="5" t="str">
        <f aca="false">IF($K5115="","","R"&amp;$K5115)</f>
        <v/>
      </c>
    </row>
    <row r="5116" customFormat="false" ht="15" hidden="false" customHeight="true" outlineLevel="0" collapsed="false">
      <c r="J5116" s="14" t="b">
        <f aca="false">IF(중복검사!$A5114="",FALSE(),중복검사!$H5114="중복")</f>
        <v>0</v>
      </c>
      <c r="K5116" s="5" t="str">
        <f aca="false">IF($J5116=FALSE(),"",COUNTIF($J$6:$J5116,TRUE()))</f>
        <v/>
      </c>
      <c r="L5116" s="5" t="str">
        <f aca="false">IF($K5116="","","R"&amp;$K5116)</f>
        <v/>
      </c>
    </row>
    <row r="5117" customFormat="false" ht="15" hidden="false" customHeight="true" outlineLevel="0" collapsed="false">
      <c r="J5117" s="14" t="b">
        <f aca="false">IF(중복검사!$A5115="",FALSE(),중복검사!$H5115="중복")</f>
        <v>0</v>
      </c>
      <c r="K5117" s="5" t="str">
        <f aca="false">IF($J5117=FALSE(),"",COUNTIF($J$6:$J5117,TRUE()))</f>
        <v/>
      </c>
      <c r="L5117" s="5" t="str">
        <f aca="false">IF($K5117="","","R"&amp;$K5117)</f>
        <v/>
      </c>
    </row>
    <row r="5118" customFormat="false" ht="15" hidden="false" customHeight="true" outlineLevel="0" collapsed="false">
      <c r="J5118" s="14" t="b">
        <f aca="false">IF(중복검사!$A5116="",FALSE(),중복검사!$H5116="중복")</f>
        <v>0</v>
      </c>
      <c r="K5118" s="5" t="str">
        <f aca="false">IF($J5118=FALSE(),"",COUNTIF($J$6:$J5118,TRUE()))</f>
        <v/>
      </c>
      <c r="L5118" s="5" t="str">
        <f aca="false">IF($K5118="","","R"&amp;$K5118)</f>
        <v/>
      </c>
    </row>
    <row r="5119" customFormat="false" ht="15" hidden="false" customHeight="true" outlineLevel="0" collapsed="false">
      <c r="J5119" s="14" t="b">
        <f aca="false">IF(중복검사!$A5117="",FALSE(),중복검사!$H5117="중복")</f>
        <v>0</v>
      </c>
      <c r="K5119" s="5" t="str">
        <f aca="false">IF($J5119=FALSE(),"",COUNTIF($J$6:$J5119,TRUE()))</f>
        <v/>
      </c>
      <c r="L5119" s="5" t="str">
        <f aca="false">IF($K5119="","","R"&amp;$K5119)</f>
        <v/>
      </c>
    </row>
    <row r="5120" customFormat="false" ht="15" hidden="false" customHeight="true" outlineLevel="0" collapsed="false">
      <c r="J5120" s="14" t="b">
        <f aca="false">IF(중복검사!$A5118="",FALSE(),중복검사!$H5118="중복")</f>
        <v>0</v>
      </c>
      <c r="K5120" s="5" t="str">
        <f aca="false">IF($J5120=FALSE(),"",COUNTIF($J$6:$J5120,TRUE()))</f>
        <v/>
      </c>
      <c r="L5120" s="5" t="str">
        <f aca="false">IF($K5120="","","R"&amp;$K5120)</f>
        <v/>
      </c>
    </row>
    <row r="5121" customFormat="false" ht="15" hidden="false" customHeight="true" outlineLevel="0" collapsed="false">
      <c r="J5121" s="14" t="b">
        <f aca="false">IF(중복검사!$A5119="",FALSE(),중복검사!$H5119="중복")</f>
        <v>0</v>
      </c>
      <c r="K5121" s="5" t="str">
        <f aca="false">IF($J5121=FALSE(),"",COUNTIF($J$6:$J5121,TRUE()))</f>
        <v/>
      </c>
      <c r="L5121" s="5" t="str">
        <f aca="false">IF($K5121="","","R"&amp;$K5121)</f>
        <v/>
      </c>
    </row>
    <row r="5122" customFormat="false" ht="15" hidden="false" customHeight="true" outlineLevel="0" collapsed="false">
      <c r="J5122" s="14" t="b">
        <f aca="false">IF(중복검사!$A5120="",FALSE(),중복검사!$H5120="중복")</f>
        <v>0</v>
      </c>
      <c r="K5122" s="5" t="str">
        <f aca="false">IF($J5122=FALSE(),"",COUNTIF($J$6:$J5122,TRUE()))</f>
        <v/>
      </c>
      <c r="L5122" s="5" t="str">
        <f aca="false">IF($K5122="","","R"&amp;$K5122)</f>
        <v/>
      </c>
    </row>
    <row r="5123" customFormat="false" ht="15" hidden="false" customHeight="true" outlineLevel="0" collapsed="false">
      <c r="J5123" s="14" t="b">
        <f aca="false">IF(중복검사!$A5121="",FALSE(),중복검사!$H5121="중복")</f>
        <v>0</v>
      </c>
      <c r="K5123" s="5" t="str">
        <f aca="false">IF($J5123=FALSE(),"",COUNTIF($J$6:$J5123,TRUE()))</f>
        <v/>
      </c>
      <c r="L5123" s="5" t="str">
        <f aca="false">IF($K5123="","","R"&amp;$K5123)</f>
        <v/>
      </c>
    </row>
    <row r="5124" customFormat="false" ht="15" hidden="false" customHeight="true" outlineLevel="0" collapsed="false">
      <c r="J5124" s="14" t="b">
        <f aca="false">IF(중복검사!$A5122="",FALSE(),중복검사!$H5122="중복")</f>
        <v>0</v>
      </c>
      <c r="K5124" s="5" t="str">
        <f aca="false">IF($J5124=FALSE(),"",COUNTIF($J$6:$J5124,TRUE()))</f>
        <v/>
      </c>
      <c r="L5124" s="5" t="str">
        <f aca="false">IF($K5124="","","R"&amp;$K5124)</f>
        <v/>
      </c>
    </row>
    <row r="5125" customFormat="false" ht="15" hidden="false" customHeight="true" outlineLevel="0" collapsed="false">
      <c r="J5125" s="14" t="b">
        <f aca="false">IF(중복검사!$A5123="",FALSE(),중복검사!$H5123="중복")</f>
        <v>0</v>
      </c>
      <c r="K5125" s="5" t="str">
        <f aca="false">IF($J5125=FALSE(),"",COUNTIF($J$6:$J5125,TRUE()))</f>
        <v/>
      </c>
      <c r="L5125" s="5" t="str">
        <f aca="false">IF($K5125="","","R"&amp;$K5125)</f>
        <v/>
      </c>
    </row>
    <row r="5126" customFormat="false" ht="15" hidden="false" customHeight="true" outlineLevel="0" collapsed="false">
      <c r="J5126" s="14" t="b">
        <f aca="false">IF(중복검사!$A5124="",FALSE(),중복검사!$H5124="중복")</f>
        <v>0</v>
      </c>
      <c r="K5126" s="5" t="str">
        <f aca="false">IF($J5126=FALSE(),"",COUNTIF($J$6:$J5126,TRUE()))</f>
        <v/>
      </c>
      <c r="L5126" s="5" t="str">
        <f aca="false">IF($K5126="","","R"&amp;$K5126)</f>
        <v/>
      </c>
    </row>
    <row r="5127" customFormat="false" ht="15" hidden="false" customHeight="true" outlineLevel="0" collapsed="false">
      <c r="J5127" s="14" t="b">
        <f aca="false">IF(중복검사!$A5125="",FALSE(),중복검사!$H5125="중복")</f>
        <v>0</v>
      </c>
      <c r="K5127" s="5" t="str">
        <f aca="false">IF($J5127=FALSE(),"",COUNTIF($J$6:$J5127,TRUE()))</f>
        <v/>
      </c>
      <c r="L5127" s="5" t="str">
        <f aca="false">IF($K5127="","","R"&amp;$K5127)</f>
        <v/>
      </c>
    </row>
    <row r="5128" customFormat="false" ht="15" hidden="false" customHeight="true" outlineLevel="0" collapsed="false">
      <c r="J5128" s="14" t="b">
        <f aca="false">IF(중복검사!$A5126="",FALSE(),중복검사!$H5126="중복")</f>
        <v>0</v>
      </c>
      <c r="K5128" s="5" t="str">
        <f aca="false">IF($J5128=FALSE(),"",COUNTIF($J$6:$J5128,TRUE()))</f>
        <v/>
      </c>
      <c r="L5128" s="5" t="str">
        <f aca="false">IF($K5128="","","R"&amp;$K5128)</f>
        <v/>
      </c>
    </row>
    <row r="5129" customFormat="false" ht="15" hidden="false" customHeight="true" outlineLevel="0" collapsed="false">
      <c r="J5129" s="14" t="b">
        <f aca="false">IF(중복검사!$A5127="",FALSE(),중복검사!$H5127="중복")</f>
        <v>0</v>
      </c>
      <c r="K5129" s="5" t="str">
        <f aca="false">IF($J5129=FALSE(),"",COUNTIF($J$6:$J5129,TRUE()))</f>
        <v/>
      </c>
      <c r="L5129" s="5" t="str">
        <f aca="false">IF($K5129="","","R"&amp;$K5129)</f>
        <v/>
      </c>
    </row>
    <row r="5130" customFormat="false" ht="15" hidden="false" customHeight="true" outlineLevel="0" collapsed="false">
      <c r="J5130" s="14" t="b">
        <f aca="false">IF(중복검사!$A5128="",FALSE(),중복검사!$H5128="중복")</f>
        <v>0</v>
      </c>
      <c r="K5130" s="5" t="str">
        <f aca="false">IF($J5130=FALSE(),"",COUNTIF($J$6:$J5130,TRUE()))</f>
        <v/>
      </c>
      <c r="L5130" s="5" t="str">
        <f aca="false">IF($K5130="","","R"&amp;$K5130)</f>
        <v/>
      </c>
    </row>
    <row r="5131" customFormat="false" ht="15" hidden="false" customHeight="true" outlineLevel="0" collapsed="false">
      <c r="J5131" s="14" t="b">
        <f aca="false">IF(중복검사!$A5129="",FALSE(),중복검사!$H5129="중복")</f>
        <v>0</v>
      </c>
      <c r="K5131" s="5" t="str">
        <f aca="false">IF($J5131=FALSE(),"",COUNTIF($J$6:$J5131,TRUE()))</f>
        <v/>
      </c>
      <c r="L5131" s="5" t="str">
        <f aca="false">IF($K5131="","","R"&amp;$K5131)</f>
        <v/>
      </c>
    </row>
    <row r="5132" customFormat="false" ht="15" hidden="false" customHeight="true" outlineLevel="0" collapsed="false">
      <c r="J5132" s="14" t="b">
        <f aca="false">IF(중복검사!$A5130="",FALSE(),중복검사!$H5130="중복")</f>
        <v>0</v>
      </c>
      <c r="K5132" s="5" t="str">
        <f aca="false">IF($J5132=FALSE(),"",COUNTIF($J$6:$J5132,TRUE()))</f>
        <v/>
      </c>
      <c r="L5132" s="5" t="str">
        <f aca="false">IF($K5132="","","R"&amp;$K5132)</f>
        <v/>
      </c>
    </row>
    <row r="5133" customFormat="false" ht="15" hidden="false" customHeight="true" outlineLevel="0" collapsed="false">
      <c r="J5133" s="14" t="b">
        <f aca="false">IF(중복검사!$A5131="",FALSE(),중복검사!$H5131="중복")</f>
        <v>0</v>
      </c>
      <c r="K5133" s="5" t="str">
        <f aca="false">IF($J5133=FALSE(),"",COUNTIF($J$6:$J5133,TRUE()))</f>
        <v/>
      </c>
      <c r="L5133" s="5" t="str">
        <f aca="false">IF($K5133="","","R"&amp;$K5133)</f>
        <v/>
      </c>
    </row>
    <row r="5134" customFormat="false" ht="15" hidden="false" customHeight="true" outlineLevel="0" collapsed="false">
      <c r="J5134" s="14" t="b">
        <f aca="false">IF(중복검사!$A5132="",FALSE(),중복검사!$H5132="중복")</f>
        <v>0</v>
      </c>
      <c r="K5134" s="5" t="str">
        <f aca="false">IF($J5134=FALSE(),"",COUNTIF($J$6:$J5134,TRUE()))</f>
        <v/>
      </c>
      <c r="L5134" s="5" t="str">
        <f aca="false">IF($K5134="","","R"&amp;$K5134)</f>
        <v/>
      </c>
    </row>
    <row r="5135" customFormat="false" ht="15" hidden="false" customHeight="true" outlineLevel="0" collapsed="false">
      <c r="J5135" s="14" t="b">
        <f aca="false">IF(중복검사!$A5133="",FALSE(),중복검사!$H5133="중복")</f>
        <v>0</v>
      </c>
      <c r="K5135" s="5" t="str">
        <f aca="false">IF($J5135=FALSE(),"",COUNTIF($J$6:$J5135,TRUE()))</f>
        <v/>
      </c>
      <c r="L5135" s="5" t="str">
        <f aca="false">IF($K5135="","","R"&amp;$K5135)</f>
        <v/>
      </c>
    </row>
    <row r="5136" customFormat="false" ht="15" hidden="false" customHeight="true" outlineLevel="0" collapsed="false">
      <c r="J5136" s="14" t="b">
        <f aca="false">IF(중복검사!$A5134="",FALSE(),중복검사!$H5134="중복")</f>
        <v>0</v>
      </c>
      <c r="K5136" s="5" t="str">
        <f aca="false">IF($J5136=FALSE(),"",COUNTIF($J$6:$J5136,TRUE()))</f>
        <v/>
      </c>
      <c r="L5136" s="5" t="str">
        <f aca="false">IF($K5136="","","R"&amp;$K5136)</f>
        <v/>
      </c>
    </row>
    <row r="5137" customFormat="false" ht="15" hidden="false" customHeight="true" outlineLevel="0" collapsed="false">
      <c r="J5137" s="14" t="b">
        <f aca="false">IF(중복검사!$A5135="",FALSE(),중복검사!$H5135="중복")</f>
        <v>0</v>
      </c>
      <c r="K5137" s="5" t="str">
        <f aca="false">IF($J5137=FALSE(),"",COUNTIF($J$6:$J5137,TRUE()))</f>
        <v/>
      </c>
      <c r="L5137" s="5" t="str">
        <f aca="false">IF($K5137="","","R"&amp;$K5137)</f>
        <v/>
      </c>
    </row>
    <row r="5138" customFormat="false" ht="15" hidden="false" customHeight="true" outlineLevel="0" collapsed="false">
      <c r="J5138" s="14" t="b">
        <f aca="false">IF(중복검사!$A5136="",FALSE(),중복검사!$H5136="중복")</f>
        <v>0</v>
      </c>
      <c r="K5138" s="5" t="str">
        <f aca="false">IF($J5138=FALSE(),"",COUNTIF($J$6:$J5138,TRUE()))</f>
        <v/>
      </c>
      <c r="L5138" s="5" t="str">
        <f aca="false">IF($K5138="","","R"&amp;$K5138)</f>
        <v/>
      </c>
    </row>
    <row r="5139" customFormat="false" ht="15" hidden="false" customHeight="true" outlineLevel="0" collapsed="false">
      <c r="J5139" s="14" t="b">
        <f aca="false">IF(중복검사!$A5137="",FALSE(),중복검사!$H5137="중복")</f>
        <v>0</v>
      </c>
      <c r="K5139" s="5" t="str">
        <f aca="false">IF($J5139=FALSE(),"",COUNTIF($J$6:$J5139,TRUE()))</f>
        <v/>
      </c>
      <c r="L5139" s="5" t="str">
        <f aca="false">IF($K5139="","","R"&amp;$K5139)</f>
        <v/>
      </c>
    </row>
    <row r="5140" customFormat="false" ht="15" hidden="false" customHeight="true" outlineLevel="0" collapsed="false">
      <c r="J5140" s="14" t="b">
        <f aca="false">IF(중복검사!$A5138="",FALSE(),중복검사!$H5138="중복")</f>
        <v>0</v>
      </c>
      <c r="K5140" s="5" t="str">
        <f aca="false">IF($J5140=FALSE(),"",COUNTIF($J$6:$J5140,TRUE()))</f>
        <v/>
      </c>
      <c r="L5140" s="5" t="str">
        <f aca="false">IF($K5140="","","R"&amp;$K5140)</f>
        <v/>
      </c>
    </row>
    <row r="5141" customFormat="false" ht="15" hidden="false" customHeight="true" outlineLevel="0" collapsed="false">
      <c r="J5141" s="14" t="b">
        <f aca="false">IF(중복검사!$A5139="",FALSE(),중복검사!$H5139="중복")</f>
        <v>0</v>
      </c>
      <c r="K5141" s="5" t="str">
        <f aca="false">IF($J5141=FALSE(),"",COUNTIF($J$6:$J5141,TRUE()))</f>
        <v/>
      </c>
      <c r="L5141" s="5" t="str">
        <f aca="false">IF($K5141="","","R"&amp;$K5141)</f>
        <v/>
      </c>
    </row>
    <row r="5142" customFormat="false" ht="15" hidden="false" customHeight="true" outlineLevel="0" collapsed="false">
      <c r="J5142" s="14" t="b">
        <f aca="false">IF(중복검사!$A5140="",FALSE(),중복검사!$H5140="중복")</f>
        <v>0</v>
      </c>
      <c r="K5142" s="5" t="str">
        <f aca="false">IF($J5142=FALSE(),"",COUNTIF($J$6:$J5142,TRUE()))</f>
        <v/>
      </c>
      <c r="L5142" s="5" t="str">
        <f aca="false">IF($K5142="","","R"&amp;$K5142)</f>
        <v/>
      </c>
    </row>
    <row r="5143" customFormat="false" ht="15" hidden="false" customHeight="true" outlineLevel="0" collapsed="false">
      <c r="J5143" s="14" t="b">
        <f aca="false">IF(중복검사!$A5141="",FALSE(),중복검사!$H5141="중복")</f>
        <v>0</v>
      </c>
      <c r="K5143" s="5" t="str">
        <f aca="false">IF($J5143=FALSE(),"",COUNTIF($J$6:$J5143,TRUE()))</f>
        <v/>
      </c>
      <c r="L5143" s="5" t="str">
        <f aca="false">IF($K5143="","","R"&amp;$K5143)</f>
        <v/>
      </c>
    </row>
    <row r="5144" customFormat="false" ht="15" hidden="false" customHeight="true" outlineLevel="0" collapsed="false">
      <c r="J5144" s="14" t="b">
        <f aca="false">IF(중복검사!$A5142="",FALSE(),중복검사!$H5142="중복")</f>
        <v>0</v>
      </c>
      <c r="K5144" s="5" t="str">
        <f aca="false">IF($J5144=FALSE(),"",COUNTIF($J$6:$J5144,TRUE()))</f>
        <v/>
      </c>
      <c r="L5144" s="5" t="str">
        <f aca="false">IF($K5144="","","R"&amp;$K5144)</f>
        <v/>
      </c>
    </row>
    <row r="5145" customFormat="false" ht="15" hidden="false" customHeight="true" outlineLevel="0" collapsed="false">
      <c r="J5145" s="14" t="b">
        <f aca="false">IF(중복검사!$A5143="",FALSE(),중복검사!$H5143="중복")</f>
        <v>0</v>
      </c>
      <c r="K5145" s="5" t="str">
        <f aca="false">IF($J5145=FALSE(),"",COUNTIF($J$6:$J5145,TRUE()))</f>
        <v/>
      </c>
      <c r="L5145" s="5" t="str">
        <f aca="false">IF($K5145="","","R"&amp;$K5145)</f>
        <v/>
      </c>
    </row>
    <row r="5146" customFormat="false" ht="15" hidden="false" customHeight="true" outlineLevel="0" collapsed="false">
      <c r="J5146" s="14" t="b">
        <f aca="false">IF(중복검사!$A5144="",FALSE(),중복검사!$H5144="중복")</f>
        <v>0</v>
      </c>
      <c r="K5146" s="5" t="str">
        <f aca="false">IF($J5146=FALSE(),"",COUNTIF($J$6:$J5146,TRUE()))</f>
        <v/>
      </c>
      <c r="L5146" s="5" t="str">
        <f aca="false">IF($K5146="","","R"&amp;$K5146)</f>
        <v/>
      </c>
    </row>
    <row r="5147" customFormat="false" ht="15" hidden="false" customHeight="true" outlineLevel="0" collapsed="false">
      <c r="J5147" s="14" t="b">
        <f aca="false">IF(중복검사!$A5145="",FALSE(),중복검사!$H5145="중복")</f>
        <v>0</v>
      </c>
      <c r="K5147" s="5" t="str">
        <f aca="false">IF($J5147=FALSE(),"",COUNTIF($J$6:$J5147,TRUE()))</f>
        <v/>
      </c>
      <c r="L5147" s="5" t="str">
        <f aca="false">IF($K5147="","","R"&amp;$K5147)</f>
        <v/>
      </c>
    </row>
    <row r="5148" customFormat="false" ht="15" hidden="false" customHeight="true" outlineLevel="0" collapsed="false">
      <c r="J5148" s="14" t="b">
        <f aca="false">IF(중복검사!$A5146="",FALSE(),중복검사!$H5146="중복")</f>
        <v>0</v>
      </c>
      <c r="K5148" s="5" t="str">
        <f aca="false">IF($J5148=FALSE(),"",COUNTIF($J$6:$J5148,TRUE()))</f>
        <v/>
      </c>
      <c r="L5148" s="5" t="str">
        <f aca="false">IF($K5148="","","R"&amp;$K5148)</f>
        <v/>
      </c>
    </row>
    <row r="5149" customFormat="false" ht="15" hidden="false" customHeight="true" outlineLevel="0" collapsed="false">
      <c r="J5149" s="14" t="b">
        <f aca="false">IF(중복검사!$A5147="",FALSE(),중복검사!$H5147="중복")</f>
        <v>0</v>
      </c>
      <c r="K5149" s="5" t="str">
        <f aca="false">IF($J5149=FALSE(),"",COUNTIF($J$6:$J5149,TRUE()))</f>
        <v/>
      </c>
      <c r="L5149" s="5" t="str">
        <f aca="false">IF($K5149="","","R"&amp;$K5149)</f>
        <v/>
      </c>
    </row>
    <row r="5150" customFormat="false" ht="15" hidden="false" customHeight="true" outlineLevel="0" collapsed="false">
      <c r="J5150" s="14" t="b">
        <f aca="false">IF(중복검사!$A5148="",FALSE(),중복검사!$H5148="중복")</f>
        <v>0</v>
      </c>
      <c r="K5150" s="5" t="str">
        <f aca="false">IF($J5150=FALSE(),"",COUNTIF($J$6:$J5150,TRUE()))</f>
        <v/>
      </c>
      <c r="L5150" s="5" t="str">
        <f aca="false">IF($K5150="","","R"&amp;$K5150)</f>
        <v/>
      </c>
    </row>
    <row r="5151" customFormat="false" ht="15" hidden="false" customHeight="true" outlineLevel="0" collapsed="false">
      <c r="J5151" s="14" t="b">
        <f aca="false">IF(중복검사!$A5149="",FALSE(),중복검사!$H5149="중복")</f>
        <v>0</v>
      </c>
      <c r="K5151" s="5" t="str">
        <f aca="false">IF($J5151=FALSE(),"",COUNTIF($J$6:$J5151,TRUE()))</f>
        <v/>
      </c>
      <c r="L5151" s="5" t="str">
        <f aca="false">IF($K5151="","","R"&amp;$K5151)</f>
        <v/>
      </c>
    </row>
    <row r="5152" customFormat="false" ht="15" hidden="false" customHeight="true" outlineLevel="0" collapsed="false">
      <c r="J5152" s="14" t="b">
        <f aca="false">IF(중복검사!$A5150="",FALSE(),중복검사!$H5150="중복")</f>
        <v>0</v>
      </c>
      <c r="K5152" s="5" t="str">
        <f aca="false">IF($J5152=FALSE(),"",COUNTIF($J$6:$J5152,TRUE()))</f>
        <v/>
      </c>
      <c r="L5152" s="5" t="str">
        <f aca="false">IF($K5152="","","R"&amp;$K5152)</f>
        <v/>
      </c>
    </row>
    <row r="5153" customFormat="false" ht="15" hidden="false" customHeight="true" outlineLevel="0" collapsed="false">
      <c r="J5153" s="14" t="b">
        <f aca="false">IF(중복검사!$A5151="",FALSE(),중복검사!$H5151="중복")</f>
        <v>0</v>
      </c>
      <c r="K5153" s="5" t="str">
        <f aca="false">IF($J5153=FALSE(),"",COUNTIF($J$6:$J5153,TRUE()))</f>
        <v/>
      </c>
      <c r="L5153" s="5" t="str">
        <f aca="false">IF($K5153="","","R"&amp;$K5153)</f>
        <v/>
      </c>
    </row>
    <row r="5154" customFormat="false" ht="15" hidden="false" customHeight="true" outlineLevel="0" collapsed="false">
      <c r="J5154" s="14" t="b">
        <f aca="false">IF(중복검사!$A5152="",FALSE(),중복검사!$H5152="중복")</f>
        <v>0</v>
      </c>
      <c r="K5154" s="5" t="str">
        <f aca="false">IF($J5154=FALSE(),"",COUNTIF($J$6:$J5154,TRUE()))</f>
        <v/>
      </c>
      <c r="L5154" s="5" t="str">
        <f aca="false">IF($K5154="","","R"&amp;$K5154)</f>
        <v/>
      </c>
    </row>
    <row r="5155" customFormat="false" ht="15" hidden="false" customHeight="true" outlineLevel="0" collapsed="false">
      <c r="J5155" s="14" t="b">
        <f aca="false">IF(중복검사!$A5153="",FALSE(),중복검사!$H5153="중복")</f>
        <v>0</v>
      </c>
      <c r="K5155" s="5" t="str">
        <f aca="false">IF($J5155=FALSE(),"",COUNTIF($J$6:$J5155,TRUE()))</f>
        <v/>
      </c>
      <c r="L5155" s="5" t="str">
        <f aca="false">IF($K5155="","","R"&amp;$K5155)</f>
        <v/>
      </c>
    </row>
    <row r="5156" customFormat="false" ht="15" hidden="false" customHeight="true" outlineLevel="0" collapsed="false">
      <c r="J5156" s="14" t="b">
        <f aca="false">IF(중복검사!$A5154="",FALSE(),중복검사!$H5154="중복")</f>
        <v>0</v>
      </c>
      <c r="K5156" s="5" t="str">
        <f aca="false">IF($J5156=FALSE(),"",COUNTIF($J$6:$J5156,TRUE()))</f>
        <v/>
      </c>
      <c r="L5156" s="5" t="str">
        <f aca="false">IF($K5156="","","R"&amp;$K5156)</f>
        <v/>
      </c>
    </row>
    <row r="5157" customFormat="false" ht="15" hidden="false" customHeight="true" outlineLevel="0" collapsed="false">
      <c r="J5157" s="14" t="b">
        <f aca="false">IF(중복검사!$A5155="",FALSE(),중복검사!$H5155="중복")</f>
        <v>0</v>
      </c>
      <c r="K5157" s="5" t="str">
        <f aca="false">IF($J5157=FALSE(),"",COUNTIF($J$6:$J5157,TRUE()))</f>
        <v/>
      </c>
      <c r="L5157" s="5" t="str">
        <f aca="false">IF($K5157="","","R"&amp;$K5157)</f>
        <v/>
      </c>
    </row>
    <row r="5158" customFormat="false" ht="15" hidden="false" customHeight="true" outlineLevel="0" collapsed="false">
      <c r="J5158" s="14" t="b">
        <f aca="false">IF(중복검사!$A5156="",FALSE(),중복검사!$H5156="중복")</f>
        <v>0</v>
      </c>
      <c r="K5158" s="5" t="str">
        <f aca="false">IF($J5158=FALSE(),"",COUNTIF($J$6:$J5158,TRUE()))</f>
        <v/>
      </c>
      <c r="L5158" s="5" t="str">
        <f aca="false">IF($K5158="","","R"&amp;$K5158)</f>
        <v/>
      </c>
    </row>
    <row r="5159" customFormat="false" ht="15" hidden="false" customHeight="true" outlineLevel="0" collapsed="false">
      <c r="J5159" s="14" t="b">
        <f aca="false">IF(중복검사!$A5157="",FALSE(),중복검사!$H5157="중복")</f>
        <v>0</v>
      </c>
      <c r="K5159" s="5" t="str">
        <f aca="false">IF($J5159=FALSE(),"",COUNTIF($J$6:$J5159,TRUE()))</f>
        <v/>
      </c>
      <c r="L5159" s="5" t="str">
        <f aca="false">IF($K5159="","","R"&amp;$K5159)</f>
        <v/>
      </c>
    </row>
    <row r="5160" customFormat="false" ht="15" hidden="false" customHeight="true" outlineLevel="0" collapsed="false">
      <c r="J5160" s="14" t="b">
        <f aca="false">IF(중복검사!$A5158="",FALSE(),중복검사!$H5158="중복")</f>
        <v>0</v>
      </c>
      <c r="K5160" s="5" t="str">
        <f aca="false">IF($J5160=FALSE(),"",COUNTIF($J$6:$J5160,TRUE()))</f>
        <v/>
      </c>
      <c r="L5160" s="5" t="str">
        <f aca="false">IF($K5160="","","R"&amp;$K5160)</f>
        <v/>
      </c>
    </row>
    <row r="5161" customFormat="false" ht="15" hidden="false" customHeight="true" outlineLevel="0" collapsed="false">
      <c r="J5161" s="14" t="b">
        <f aca="false">IF(중복검사!$A5159="",FALSE(),중복검사!$H5159="중복")</f>
        <v>0</v>
      </c>
      <c r="K5161" s="5" t="str">
        <f aca="false">IF($J5161=FALSE(),"",COUNTIF($J$6:$J5161,TRUE()))</f>
        <v/>
      </c>
      <c r="L5161" s="5" t="str">
        <f aca="false">IF($K5161="","","R"&amp;$K5161)</f>
        <v/>
      </c>
    </row>
    <row r="5162" customFormat="false" ht="15" hidden="false" customHeight="true" outlineLevel="0" collapsed="false">
      <c r="J5162" s="14" t="b">
        <f aca="false">IF(중복검사!$A5160="",FALSE(),중복검사!$H5160="중복")</f>
        <v>0</v>
      </c>
      <c r="K5162" s="5" t="str">
        <f aca="false">IF($J5162=FALSE(),"",COUNTIF($J$6:$J5162,TRUE()))</f>
        <v/>
      </c>
      <c r="L5162" s="5" t="str">
        <f aca="false">IF($K5162="","","R"&amp;$K5162)</f>
        <v/>
      </c>
    </row>
    <row r="5163" customFormat="false" ht="15" hidden="false" customHeight="true" outlineLevel="0" collapsed="false">
      <c r="J5163" s="14" t="b">
        <f aca="false">IF(중복검사!$A5161="",FALSE(),중복검사!$H5161="중복")</f>
        <v>0</v>
      </c>
      <c r="K5163" s="5" t="str">
        <f aca="false">IF($J5163=FALSE(),"",COUNTIF($J$6:$J5163,TRUE()))</f>
        <v/>
      </c>
      <c r="L5163" s="5" t="str">
        <f aca="false">IF($K5163="","","R"&amp;$K5163)</f>
        <v/>
      </c>
    </row>
    <row r="5164" customFormat="false" ht="15" hidden="false" customHeight="true" outlineLevel="0" collapsed="false">
      <c r="J5164" s="14" t="b">
        <f aca="false">IF(중복검사!$A5162="",FALSE(),중복검사!$H5162="중복")</f>
        <v>0</v>
      </c>
      <c r="K5164" s="5" t="str">
        <f aca="false">IF($J5164=FALSE(),"",COUNTIF($J$6:$J5164,TRUE()))</f>
        <v/>
      </c>
      <c r="L5164" s="5" t="str">
        <f aca="false">IF($K5164="","","R"&amp;$K5164)</f>
        <v/>
      </c>
    </row>
    <row r="5165" customFormat="false" ht="15" hidden="false" customHeight="true" outlineLevel="0" collapsed="false">
      <c r="J5165" s="14" t="b">
        <f aca="false">IF(중복검사!$A5163="",FALSE(),중복검사!$H5163="중복")</f>
        <v>0</v>
      </c>
      <c r="K5165" s="5" t="str">
        <f aca="false">IF($J5165=FALSE(),"",COUNTIF($J$6:$J5165,TRUE()))</f>
        <v/>
      </c>
      <c r="L5165" s="5" t="str">
        <f aca="false">IF($K5165="","","R"&amp;$K5165)</f>
        <v/>
      </c>
    </row>
    <row r="5166" customFormat="false" ht="15" hidden="false" customHeight="true" outlineLevel="0" collapsed="false">
      <c r="J5166" s="14" t="b">
        <f aca="false">IF(중복검사!$A5164="",FALSE(),중복검사!$H5164="중복")</f>
        <v>0</v>
      </c>
      <c r="K5166" s="5" t="str">
        <f aca="false">IF($J5166=FALSE(),"",COUNTIF($J$6:$J5166,TRUE()))</f>
        <v/>
      </c>
      <c r="L5166" s="5" t="str">
        <f aca="false">IF($K5166="","","R"&amp;$K5166)</f>
        <v/>
      </c>
    </row>
    <row r="5167" customFormat="false" ht="15" hidden="false" customHeight="true" outlineLevel="0" collapsed="false">
      <c r="J5167" s="14" t="b">
        <f aca="false">IF(중복검사!$A5165="",FALSE(),중복검사!$H5165="중복")</f>
        <v>0</v>
      </c>
      <c r="K5167" s="5" t="str">
        <f aca="false">IF($J5167=FALSE(),"",COUNTIF($J$6:$J5167,TRUE()))</f>
        <v/>
      </c>
      <c r="L5167" s="5" t="str">
        <f aca="false">IF($K5167="","","R"&amp;$K5167)</f>
        <v/>
      </c>
    </row>
    <row r="5168" customFormat="false" ht="15" hidden="false" customHeight="true" outlineLevel="0" collapsed="false">
      <c r="J5168" s="14" t="b">
        <f aca="false">IF(중복검사!$A5166="",FALSE(),중복검사!$H5166="중복")</f>
        <v>0</v>
      </c>
      <c r="K5168" s="5" t="str">
        <f aca="false">IF($J5168=FALSE(),"",COUNTIF($J$6:$J5168,TRUE()))</f>
        <v/>
      </c>
      <c r="L5168" s="5" t="str">
        <f aca="false">IF($K5168="","","R"&amp;$K5168)</f>
        <v/>
      </c>
    </row>
    <row r="5169" customFormat="false" ht="15" hidden="false" customHeight="true" outlineLevel="0" collapsed="false">
      <c r="J5169" s="14" t="b">
        <f aca="false">IF(중복검사!$A5167="",FALSE(),중복검사!$H5167="중복")</f>
        <v>0</v>
      </c>
      <c r="K5169" s="5" t="str">
        <f aca="false">IF($J5169=FALSE(),"",COUNTIF($J$6:$J5169,TRUE()))</f>
        <v/>
      </c>
      <c r="L5169" s="5" t="str">
        <f aca="false">IF($K5169="","","R"&amp;$K5169)</f>
        <v/>
      </c>
    </row>
    <row r="5170" customFormat="false" ht="15" hidden="false" customHeight="true" outlineLevel="0" collapsed="false">
      <c r="J5170" s="14" t="b">
        <f aca="false">IF(중복검사!$A5168="",FALSE(),중복검사!$H5168="중복")</f>
        <v>0</v>
      </c>
      <c r="K5170" s="5" t="str">
        <f aca="false">IF($J5170=FALSE(),"",COUNTIF($J$6:$J5170,TRUE()))</f>
        <v/>
      </c>
      <c r="L5170" s="5" t="str">
        <f aca="false">IF($K5170="","","R"&amp;$K5170)</f>
        <v/>
      </c>
    </row>
    <row r="5171" customFormat="false" ht="15" hidden="false" customHeight="true" outlineLevel="0" collapsed="false">
      <c r="J5171" s="14" t="b">
        <f aca="false">IF(중복검사!$A5169="",FALSE(),중복검사!$H5169="중복")</f>
        <v>0</v>
      </c>
      <c r="K5171" s="5" t="str">
        <f aca="false">IF($J5171=FALSE(),"",COUNTIF($J$6:$J5171,TRUE()))</f>
        <v/>
      </c>
      <c r="L5171" s="5" t="str">
        <f aca="false">IF($K5171="","","R"&amp;$K5171)</f>
        <v/>
      </c>
    </row>
    <row r="5172" customFormat="false" ht="15" hidden="false" customHeight="true" outlineLevel="0" collapsed="false">
      <c r="J5172" s="14" t="b">
        <f aca="false">IF(중복검사!$A5170="",FALSE(),중복검사!$H5170="중복")</f>
        <v>0</v>
      </c>
      <c r="K5172" s="5" t="str">
        <f aca="false">IF($J5172=FALSE(),"",COUNTIF($J$6:$J5172,TRUE()))</f>
        <v/>
      </c>
      <c r="L5172" s="5" t="str">
        <f aca="false">IF($K5172="","","R"&amp;$K5172)</f>
        <v/>
      </c>
    </row>
    <row r="5173" customFormat="false" ht="15" hidden="false" customHeight="true" outlineLevel="0" collapsed="false">
      <c r="J5173" s="14" t="b">
        <f aca="false">IF(중복검사!$A5171="",FALSE(),중복검사!$H5171="중복")</f>
        <v>0</v>
      </c>
      <c r="K5173" s="5" t="str">
        <f aca="false">IF($J5173=FALSE(),"",COUNTIF($J$6:$J5173,TRUE()))</f>
        <v/>
      </c>
      <c r="L5173" s="5" t="str">
        <f aca="false">IF($K5173="","","R"&amp;$K5173)</f>
        <v/>
      </c>
    </row>
    <row r="5174" customFormat="false" ht="15" hidden="false" customHeight="true" outlineLevel="0" collapsed="false">
      <c r="J5174" s="14" t="b">
        <f aca="false">IF(중복검사!$A5172="",FALSE(),중복검사!$H5172="중복")</f>
        <v>0</v>
      </c>
      <c r="K5174" s="5" t="str">
        <f aca="false">IF($J5174=FALSE(),"",COUNTIF($J$6:$J5174,TRUE()))</f>
        <v/>
      </c>
      <c r="L5174" s="5" t="str">
        <f aca="false">IF($K5174="","","R"&amp;$K5174)</f>
        <v/>
      </c>
    </row>
    <row r="5175" customFormat="false" ht="15" hidden="false" customHeight="true" outlineLevel="0" collapsed="false">
      <c r="J5175" s="14" t="b">
        <f aca="false">IF(중복검사!$A5173="",FALSE(),중복검사!$H5173="중복")</f>
        <v>0</v>
      </c>
      <c r="K5175" s="5" t="str">
        <f aca="false">IF($J5175=FALSE(),"",COUNTIF($J$6:$J5175,TRUE()))</f>
        <v/>
      </c>
      <c r="L5175" s="5" t="str">
        <f aca="false">IF($K5175="","","R"&amp;$K5175)</f>
        <v/>
      </c>
    </row>
    <row r="5176" customFormat="false" ht="15" hidden="false" customHeight="true" outlineLevel="0" collapsed="false">
      <c r="J5176" s="14" t="b">
        <f aca="false">IF(중복검사!$A5174="",FALSE(),중복검사!$H5174="중복")</f>
        <v>0</v>
      </c>
      <c r="K5176" s="5" t="str">
        <f aca="false">IF($J5176=FALSE(),"",COUNTIF($J$6:$J5176,TRUE()))</f>
        <v/>
      </c>
      <c r="L5176" s="5" t="str">
        <f aca="false">IF($K5176="","","R"&amp;$K5176)</f>
        <v/>
      </c>
    </row>
    <row r="5177" customFormat="false" ht="15" hidden="false" customHeight="true" outlineLevel="0" collapsed="false">
      <c r="J5177" s="14" t="b">
        <f aca="false">IF(중복검사!$A5175="",FALSE(),중복검사!$H5175="중복")</f>
        <v>0</v>
      </c>
      <c r="K5177" s="5" t="str">
        <f aca="false">IF($J5177=FALSE(),"",COUNTIF($J$6:$J5177,TRUE()))</f>
        <v/>
      </c>
      <c r="L5177" s="5" t="str">
        <f aca="false">IF($K5177="","","R"&amp;$K5177)</f>
        <v/>
      </c>
    </row>
    <row r="5178" customFormat="false" ht="15" hidden="false" customHeight="true" outlineLevel="0" collapsed="false">
      <c r="J5178" s="14" t="b">
        <f aca="false">IF(중복검사!$A5176="",FALSE(),중복검사!$H5176="중복")</f>
        <v>0</v>
      </c>
      <c r="K5178" s="5" t="str">
        <f aca="false">IF($J5178=FALSE(),"",COUNTIF($J$6:$J5178,TRUE()))</f>
        <v/>
      </c>
      <c r="L5178" s="5" t="str">
        <f aca="false">IF($K5178="","","R"&amp;$K5178)</f>
        <v/>
      </c>
    </row>
    <row r="5179" customFormat="false" ht="15" hidden="false" customHeight="true" outlineLevel="0" collapsed="false">
      <c r="J5179" s="14" t="b">
        <f aca="false">IF(중복검사!$A5177="",FALSE(),중복검사!$H5177="중복")</f>
        <v>0</v>
      </c>
      <c r="K5179" s="5" t="str">
        <f aca="false">IF($J5179=FALSE(),"",COUNTIF($J$6:$J5179,TRUE()))</f>
        <v/>
      </c>
      <c r="L5179" s="5" t="str">
        <f aca="false">IF($K5179="","","R"&amp;$K5179)</f>
        <v/>
      </c>
    </row>
    <row r="5180" customFormat="false" ht="15" hidden="false" customHeight="true" outlineLevel="0" collapsed="false">
      <c r="J5180" s="14" t="b">
        <f aca="false">IF(중복검사!$A5178="",FALSE(),중복검사!$H5178="중복")</f>
        <v>0</v>
      </c>
      <c r="K5180" s="5" t="str">
        <f aca="false">IF($J5180=FALSE(),"",COUNTIF($J$6:$J5180,TRUE()))</f>
        <v/>
      </c>
      <c r="L5180" s="5" t="str">
        <f aca="false">IF($K5180="","","R"&amp;$K5180)</f>
        <v/>
      </c>
    </row>
    <row r="5181" customFormat="false" ht="15" hidden="false" customHeight="true" outlineLevel="0" collapsed="false">
      <c r="J5181" s="14" t="b">
        <f aca="false">IF(중복검사!$A5179="",FALSE(),중복검사!$H5179="중복")</f>
        <v>0</v>
      </c>
      <c r="K5181" s="5" t="str">
        <f aca="false">IF($J5181=FALSE(),"",COUNTIF($J$6:$J5181,TRUE()))</f>
        <v/>
      </c>
      <c r="L5181" s="5" t="str">
        <f aca="false">IF($K5181="","","R"&amp;$K5181)</f>
        <v/>
      </c>
    </row>
    <row r="5182" customFormat="false" ht="15" hidden="false" customHeight="true" outlineLevel="0" collapsed="false">
      <c r="J5182" s="14" t="b">
        <f aca="false">IF(중복검사!$A5180="",FALSE(),중복검사!$H5180="중복")</f>
        <v>0</v>
      </c>
      <c r="K5182" s="5" t="str">
        <f aca="false">IF($J5182=FALSE(),"",COUNTIF($J$6:$J5182,TRUE()))</f>
        <v/>
      </c>
      <c r="L5182" s="5" t="str">
        <f aca="false">IF($K5182="","","R"&amp;$K5182)</f>
        <v/>
      </c>
    </row>
    <row r="5183" customFormat="false" ht="15" hidden="false" customHeight="true" outlineLevel="0" collapsed="false">
      <c r="J5183" s="14" t="b">
        <f aca="false">IF(중복검사!$A5181="",FALSE(),중복검사!$H5181="중복")</f>
        <v>0</v>
      </c>
      <c r="K5183" s="5" t="str">
        <f aca="false">IF($J5183=FALSE(),"",COUNTIF($J$6:$J5183,TRUE()))</f>
        <v/>
      </c>
      <c r="L5183" s="5" t="str">
        <f aca="false">IF($K5183="","","R"&amp;$K5183)</f>
        <v/>
      </c>
    </row>
    <row r="5184" customFormat="false" ht="15" hidden="false" customHeight="true" outlineLevel="0" collapsed="false">
      <c r="J5184" s="14" t="b">
        <f aca="false">IF(중복검사!$A5182="",FALSE(),중복검사!$H5182="중복")</f>
        <v>0</v>
      </c>
      <c r="K5184" s="5" t="str">
        <f aca="false">IF($J5184=FALSE(),"",COUNTIF($J$6:$J5184,TRUE()))</f>
        <v/>
      </c>
      <c r="L5184" s="5" t="str">
        <f aca="false">IF($K5184="","","R"&amp;$K5184)</f>
        <v/>
      </c>
    </row>
    <row r="5185" customFormat="false" ht="15" hidden="false" customHeight="true" outlineLevel="0" collapsed="false">
      <c r="J5185" s="14" t="b">
        <f aca="false">IF(중복검사!$A5183="",FALSE(),중복검사!$H5183="중복")</f>
        <v>0</v>
      </c>
      <c r="K5185" s="5" t="str">
        <f aca="false">IF($J5185=FALSE(),"",COUNTIF($J$6:$J5185,TRUE()))</f>
        <v/>
      </c>
      <c r="L5185" s="5" t="str">
        <f aca="false">IF($K5185="","","R"&amp;$K5185)</f>
        <v/>
      </c>
    </row>
    <row r="5186" customFormat="false" ht="15" hidden="false" customHeight="true" outlineLevel="0" collapsed="false">
      <c r="J5186" s="14" t="b">
        <f aca="false">IF(중복검사!$A5184="",FALSE(),중복검사!$H5184="중복")</f>
        <v>0</v>
      </c>
      <c r="K5186" s="5" t="str">
        <f aca="false">IF($J5186=FALSE(),"",COUNTIF($J$6:$J5186,TRUE()))</f>
        <v/>
      </c>
      <c r="L5186" s="5" t="str">
        <f aca="false">IF($K5186="","","R"&amp;$K5186)</f>
        <v/>
      </c>
    </row>
    <row r="5187" customFormat="false" ht="15" hidden="false" customHeight="true" outlineLevel="0" collapsed="false">
      <c r="J5187" s="14" t="b">
        <f aca="false">IF(중복검사!$A5185="",FALSE(),중복검사!$H5185="중복")</f>
        <v>0</v>
      </c>
      <c r="K5187" s="5" t="str">
        <f aca="false">IF($J5187=FALSE(),"",COUNTIF($J$6:$J5187,TRUE()))</f>
        <v/>
      </c>
      <c r="L5187" s="5" t="str">
        <f aca="false">IF($K5187="","","R"&amp;$K5187)</f>
        <v/>
      </c>
    </row>
    <row r="5188" customFormat="false" ht="15" hidden="false" customHeight="true" outlineLevel="0" collapsed="false">
      <c r="J5188" s="14" t="b">
        <f aca="false">IF(중복검사!$A5186="",FALSE(),중복검사!$H5186="중복")</f>
        <v>0</v>
      </c>
      <c r="K5188" s="5" t="str">
        <f aca="false">IF($J5188=FALSE(),"",COUNTIF($J$6:$J5188,TRUE()))</f>
        <v/>
      </c>
      <c r="L5188" s="5" t="str">
        <f aca="false">IF($K5188="","","R"&amp;$K5188)</f>
        <v/>
      </c>
    </row>
    <row r="5189" customFormat="false" ht="15" hidden="false" customHeight="true" outlineLevel="0" collapsed="false">
      <c r="J5189" s="14" t="b">
        <f aca="false">IF(중복검사!$A5187="",FALSE(),중복검사!$H5187="중복")</f>
        <v>0</v>
      </c>
      <c r="K5189" s="5" t="str">
        <f aca="false">IF($J5189=FALSE(),"",COUNTIF($J$6:$J5189,TRUE()))</f>
        <v/>
      </c>
      <c r="L5189" s="5" t="str">
        <f aca="false">IF($K5189="","","R"&amp;$K5189)</f>
        <v/>
      </c>
    </row>
    <row r="5190" customFormat="false" ht="15" hidden="false" customHeight="true" outlineLevel="0" collapsed="false">
      <c r="J5190" s="14" t="b">
        <f aca="false">IF(중복검사!$A5188="",FALSE(),중복검사!$H5188="중복")</f>
        <v>0</v>
      </c>
      <c r="K5190" s="5" t="str">
        <f aca="false">IF($J5190=FALSE(),"",COUNTIF($J$6:$J5190,TRUE()))</f>
        <v/>
      </c>
      <c r="L5190" s="5" t="str">
        <f aca="false">IF($K5190="","","R"&amp;$K5190)</f>
        <v/>
      </c>
    </row>
    <row r="5191" customFormat="false" ht="15" hidden="false" customHeight="true" outlineLevel="0" collapsed="false">
      <c r="J5191" s="14" t="b">
        <f aca="false">IF(중복검사!$A5189="",FALSE(),중복검사!$H5189="중복")</f>
        <v>0</v>
      </c>
      <c r="K5191" s="5" t="str">
        <f aca="false">IF($J5191=FALSE(),"",COUNTIF($J$6:$J5191,TRUE()))</f>
        <v/>
      </c>
      <c r="L5191" s="5" t="str">
        <f aca="false">IF($K5191="","","R"&amp;$K5191)</f>
        <v/>
      </c>
    </row>
    <row r="5192" customFormat="false" ht="15" hidden="false" customHeight="true" outlineLevel="0" collapsed="false">
      <c r="J5192" s="14" t="b">
        <f aca="false">IF(중복검사!$A5190="",FALSE(),중복검사!$H5190="중복")</f>
        <v>0</v>
      </c>
      <c r="K5192" s="5" t="str">
        <f aca="false">IF($J5192=FALSE(),"",COUNTIF($J$6:$J5192,TRUE()))</f>
        <v/>
      </c>
      <c r="L5192" s="5" t="str">
        <f aca="false">IF($K5192="","","R"&amp;$K5192)</f>
        <v/>
      </c>
    </row>
    <row r="5193" customFormat="false" ht="15" hidden="false" customHeight="true" outlineLevel="0" collapsed="false">
      <c r="J5193" s="14" t="b">
        <f aca="false">IF(중복검사!$A5191="",FALSE(),중복검사!$H5191="중복")</f>
        <v>0</v>
      </c>
      <c r="K5193" s="5" t="str">
        <f aca="false">IF($J5193=FALSE(),"",COUNTIF($J$6:$J5193,TRUE()))</f>
        <v/>
      </c>
      <c r="L5193" s="5" t="str">
        <f aca="false">IF($K5193="","","R"&amp;$K5193)</f>
        <v/>
      </c>
    </row>
    <row r="5194" customFormat="false" ht="15" hidden="false" customHeight="true" outlineLevel="0" collapsed="false">
      <c r="J5194" s="14" t="b">
        <f aca="false">IF(중복검사!$A5192="",FALSE(),중복검사!$H5192="중복")</f>
        <v>0</v>
      </c>
      <c r="K5194" s="5" t="str">
        <f aca="false">IF($J5194=FALSE(),"",COUNTIF($J$6:$J5194,TRUE()))</f>
        <v/>
      </c>
      <c r="L5194" s="5" t="str">
        <f aca="false">IF($K5194="","","R"&amp;$K5194)</f>
        <v/>
      </c>
    </row>
    <row r="5195" customFormat="false" ht="15" hidden="false" customHeight="true" outlineLevel="0" collapsed="false">
      <c r="J5195" s="14" t="b">
        <f aca="false">IF(중복검사!$A5193="",FALSE(),중복검사!$H5193="중복")</f>
        <v>0</v>
      </c>
      <c r="K5195" s="5" t="str">
        <f aca="false">IF($J5195=FALSE(),"",COUNTIF($J$6:$J5195,TRUE()))</f>
        <v/>
      </c>
      <c r="L5195" s="5" t="str">
        <f aca="false">IF($K5195="","","R"&amp;$K5195)</f>
        <v/>
      </c>
    </row>
    <row r="5196" customFormat="false" ht="15" hidden="false" customHeight="true" outlineLevel="0" collapsed="false">
      <c r="J5196" s="14" t="b">
        <f aca="false">IF(중복검사!$A5194="",FALSE(),중복검사!$H5194="중복")</f>
        <v>0</v>
      </c>
      <c r="K5196" s="5" t="str">
        <f aca="false">IF($J5196=FALSE(),"",COUNTIF($J$6:$J5196,TRUE()))</f>
        <v/>
      </c>
      <c r="L5196" s="5" t="str">
        <f aca="false">IF($K5196="","","R"&amp;$K5196)</f>
        <v/>
      </c>
    </row>
    <row r="5197" customFormat="false" ht="15" hidden="false" customHeight="true" outlineLevel="0" collapsed="false">
      <c r="J5197" s="14" t="b">
        <f aca="false">IF(중복검사!$A5195="",FALSE(),중복검사!$H5195="중복")</f>
        <v>0</v>
      </c>
      <c r="K5197" s="5" t="str">
        <f aca="false">IF($J5197=FALSE(),"",COUNTIF($J$6:$J5197,TRUE()))</f>
        <v/>
      </c>
      <c r="L5197" s="5" t="str">
        <f aca="false">IF($K5197="","","R"&amp;$K5197)</f>
        <v/>
      </c>
    </row>
    <row r="5198" customFormat="false" ht="15" hidden="false" customHeight="true" outlineLevel="0" collapsed="false">
      <c r="J5198" s="14" t="b">
        <f aca="false">IF(중복검사!$A5196="",FALSE(),중복검사!$H5196="중복")</f>
        <v>0</v>
      </c>
      <c r="K5198" s="5" t="str">
        <f aca="false">IF($J5198=FALSE(),"",COUNTIF($J$6:$J5198,TRUE()))</f>
        <v/>
      </c>
      <c r="L5198" s="5" t="str">
        <f aca="false">IF($K5198="","","R"&amp;$K5198)</f>
        <v/>
      </c>
    </row>
    <row r="5199" customFormat="false" ht="15" hidden="false" customHeight="true" outlineLevel="0" collapsed="false">
      <c r="J5199" s="14" t="b">
        <f aca="false">IF(중복검사!$A5197="",FALSE(),중복검사!$H5197="중복")</f>
        <v>0</v>
      </c>
      <c r="K5199" s="5" t="str">
        <f aca="false">IF($J5199=FALSE(),"",COUNTIF($J$6:$J5199,TRUE()))</f>
        <v/>
      </c>
      <c r="L5199" s="5" t="str">
        <f aca="false">IF($K5199="","","R"&amp;$K5199)</f>
        <v/>
      </c>
    </row>
    <row r="5200" customFormat="false" ht="15" hidden="false" customHeight="true" outlineLevel="0" collapsed="false">
      <c r="J5200" s="14" t="b">
        <f aca="false">IF(중복검사!$A5198="",FALSE(),중복검사!$H5198="중복")</f>
        <v>0</v>
      </c>
      <c r="K5200" s="5" t="str">
        <f aca="false">IF($J5200=FALSE(),"",COUNTIF($J$6:$J5200,TRUE()))</f>
        <v/>
      </c>
      <c r="L5200" s="5" t="str">
        <f aca="false">IF($K5200="","","R"&amp;$K5200)</f>
        <v/>
      </c>
    </row>
    <row r="5201" customFormat="false" ht="15" hidden="false" customHeight="true" outlineLevel="0" collapsed="false">
      <c r="J5201" s="14" t="b">
        <f aca="false">IF(중복검사!$A5199="",FALSE(),중복검사!$H5199="중복")</f>
        <v>0</v>
      </c>
      <c r="K5201" s="5" t="str">
        <f aca="false">IF($J5201=FALSE(),"",COUNTIF($J$6:$J5201,TRUE()))</f>
        <v/>
      </c>
      <c r="L5201" s="5" t="str">
        <f aca="false">IF($K5201="","","R"&amp;$K5201)</f>
        <v/>
      </c>
    </row>
    <row r="5202" customFormat="false" ht="15" hidden="false" customHeight="true" outlineLevel="0" collapsed="false">
      <c r="J5202" s="14" t="b">
        <f aca="false">IF(중복검사!$A5200="",FALSE(),중복검사!$H5200="중복")</f>
        <v>0</v>
      </c>
      <c r="K5202" s="5" t="str">
        <f aca="false">IF($J5202=FALSE(),"",COUNTIF($J$6:$J5202,TRUE()))</f>
        <v/>
      </c>
      <c r="L5202" s="5" t="str">
        <f aca="false">IF($K5202="","","R"&amp;$K5202)</f>
        <v/>
      </c>
    </row>
    <row r="5203" customFormat="false" ht="15" hidden="false" customHeight="true" outlineLevel="0" collapsed="false">
      <c r="J5203" s="14" t="b">
        <f aca="false">IF(중복검사!$A5201="",FALSE(),중복검사!$H5201="중복")</f>
        <v>0</v>
      </c>
      <c r="K5203" s="5" t="str">
        <f aca="false">IF($J5203=FALSE(),"",COUNTIF($J$6:$J5203,TRUE()))</f>
        <v/>
      </c>
      <c r="L5203" s="5" t="str">
        <f aca="false">IF($K5203="","","R"&amp;$K5203)</f>
        <v/>
      </c>
    </row>
    <row r="5204" customFormat="false" ht="15" hidden="false" customHeight="true" outlineLevel="0" collapsed="false">
      <c r="J5204" s="14" t="b">
        <f aca="false">IF(중복검사!$A5202="",FALSE(),중복검사!$H5202="중복")</f>
        <v>0</v>
      </c>
      <c r="K5204" s="5" t="str">
        <f aca="false">IF($J5204=FALSE(),"",COUNTIF($J$6:$J5204,TRUE()))</f>
        <v/>
      </c>
      <c r="L5204" s="5" t="str">
        <f aca="false">IF($K5204="","","R"&amp;$K5204)</f>
        <v/>
      </c>
    </row>
    <row r="5205" customFormat="false" ht="15" hidden="false" customHeight="true" outlineLevel="0" collapsed="false">
      <c r="J5205" s="14" t="b">
        <f aca="false">IF(중복검사!$A5203="",FALSE(),중복검사!$H5203="중복")</f>
        <v>0</v>
      </c>
      <c r="K5205" s="5" t="str">
        <f aca="false">IF($J5205=FALSE(),"",COUNTIF($J$6:$J5205,TRUE()))</f>
        <v/>
      </c>
      <c r="L5205" s="5" t="str">
        <f aca="false">IF($K5205="","","R"&amp;$K5205)</f>
        <v/>
      </c>
    </row>
    <row r="5206" customFormat="false" ht="15" hidden="false" customHeight="true" outlineLevel="0" collapsed="false">
      <c r="J5206" s="14" t="b">
        <f aca="false">IF(중복검사!$A5204="",FALSE(),중복검사!$H5204="중복")</f>
        <v>0</v>
      </c>
      <c r="K5206" s="5" t="str">
        <f aca="false">IF($J5206=FALSE(),"",COUNTIF($J$6:$J5206,TRUE()))</f>
        <v/>
      </c>
      <c r="L5206" s="5" t="str">
        <f aca="false">IF($K5206="","","R"&amp;$K5206)</f>
        <v/>
      </c>
    </row>
    <row r="5207" customFormat="false" ht="15" hidden="false" customHeight="true" outlineLevel="0" collapsed="false">
      <c r="J5207" s="14" t="b">
        <f aca="false">IF(중복검사!$A5205="",FALSE(),중복검사!$H5205="중복")</f>
        <v>0</v>
      </c>
      <c r="K5207" s="5" t="str">
        <f aca="false">IF($J5207=FALSE(),"",COUNTIF($J$6:$J5207,TRUE()))</f>
        <v/>
      </c>
      <c r="L5207" s="5" t="str">
        <f aca="false">IF($K5207="","","R"&amp;$K5207)</f>
        <v/>
      </c>
    </row>
    <row r="5208" customFormat="false" ht="15" hidden="false" customHeight="true" outlineLevel="0" collapsed="false">
      <c r="J5208" s="14" t="b">
        <f aca="false">IF(중복검사!$A5206="",FALSE(),중복검사!$H5206="중복")</f>
        <v>0</v>
      </c>
      <c r="K5208" s="5" t="str">
        <f aca="false">IF($J5208=FALSE(),"",COUNTIF($J$6:$J5208,TRUE()))</f>
        <v/>
      </c>
      <c r="L5208" s="5" t="str">
        <f aca="false">IF($K5208="","","R"&amp;$K5208)</f>
        <v/>
      </c>
    </row>
    <row r="5209" customFormat="false" ht="15" hidden="false" customHeight="true" outlineLevel="0" collapsed="false">
      <c r="J5209" s="14" t="b">
        <f aca="false">IF(중복검사!$A5207="",FALSE(),중복검사!$H5207="중복")</f>
        <v>0</v>
      </c>
      <c r="K5209" s="5" t="str">
        <f aca="false">IF($J5209=FALSE(),"",COUNTIF($J$6:$J5209,TRUE()))</f>
        <v/>
      </c>
      <c r="L5209" s="5" t="str">
        <f aca="false">IF($K5209="","","R"&amp;$K5209)</f>
        <v/>
      </c>
    </row>
    <row r="5210" customFormat="false" ht="15" hidden="false" customHeight="true" outlineLevel="0" collapsed="false">
      <c r="J5210" s="14" t="b">
        <f aca="false">IF(중복검사!$A5208="",FALSE(),중복검사!$H5208="중복")</f>
        <v>0</v>
      </c>
      <c r="K5210" s="5" t="str">
        <f aca="false">IF($J5210=FALSE(),"",COUNTIF($J$6:$J5210,TRUE()))</f>
        <v/>
      </c>
      <c r="L5210" s="5" t="str">
        <f aca="false">IF($K5210="","","R"&amp;$K5210)</f>
        <v/>
      </c>
    </row>
    <row r="5211" customFormat="false" ht="15" hidden="false" customHeight="true" outlineLevel="0" collapsed="false">
      <c r="J5211" s="14" t="b">
        <f aca="false">IF(중복검사!$A5209="",FALSE(),중복검사!$H5209="중복")</f>
        <v>0</v>
      </c>
      <c r="K5211" s="5" t="str">
        <f aca="false">IF($J5211=FALSE(),"",COUNTIF($J$6:$J5211,TRUE()))</f>
        <v/>
      </c>
      <c r="L5211" s="5" t="str">
        <f aca="false">IF($K5211="","","R"&amp;$K5211)</f>
        <v/>
      </c>
    </row>
    <row r="5212" customFormat="false" ht="15" hidden="false" customHeight="true" outlineLevel="0" collapsed="false">
      <c r="J5212" s="14" t="b">
        <f aca="false">IF(중복검사!$A5210="",FALSE(),중복검사!$H5210="중복")</f>
        <v>0</v>
      </c>
      <c r="K5212" s="5" t="str">
        <f aca="false">IF($J5212=FALSE(),"",COUNTIF($J$6:$J5212,TRUE()))</f>
        <v/>
      </c>
      <c r="L5212" s="5" t="str">
        <f aca="false">IF($K5212="","","R"&amp;$K5212)</f>
        <v/>
      </c>
    </row>
    <row r="5213" customFormat="false" ht="15" hidden="false" customHeight="true" outlineLevel="0" collapsed="false">
      <c r="J5213" s="14" t="b">
        <f aca="false">IF(중복검사!$A5211="",FALSE(),중복검사!$H5211="중복")</f>
        <v>0</v>
      </c>
      <c r="K5213" s="5" t="str">
        <f aca="false">IF($J5213=FALSE(),"",COUNTIF($J$6:$J5213,TRUE()))</f>
        <v/>
      </c>
      <c r="L5213" s="5" t="str">
        <f aca="false">IF($K5213="","","R"&amp;$K5213)</f>
        <v/>
      </c>
    </row>
    <row r="5214" customFormat="false" ht="15" hidden="false" customHeight="true" outlineLevel="0" collapsed="false">
      <c r="J5214" s="14" t="b">
        <f aca="false">IF(중복검사!$A5212="",FALSE(),중복검사!$H5212="중복")</f>
        <v>0</v>
      </c>
      <c r="K5214" s="5" t="str">
        <f aca="false">IF($J5214=FALSE(),"",COUNTIF($J$6:$J5214,TRUE()))</f>
        <v/>
      </c>
      <c r="L5214" s="5" t="str">
        <f aca="false">IF($K5214="","","R"&amp;$K5214)</f>
        <v/>
      </c>
    </row>
    <row r="5215" customFormat="false" ht="15" hidden="false" customHeight="true" outlineLevel="0" collapsed="false">
      <c r="J5215" s="14" t="b">
        <f aca="false">IF(중복검사!$A5213="",FALSE(),중복검사!$H5213="중복")</f>
        <v>0</v>
      </c>
      <c r="K5215" s="5" t="str">
        <f aca="false">IF($J5215=FALSE(),"",COUNTIF($J$6:$J5215,TRUE()))</f>
        <v/>
      </c>
      <c r="L5215" s="5" t="str">
        <f aca="false">IF($K5215="","","R"&amp;$K5215)</f>
        <v/>
      </c>
    </row>
    <row r="5216" customFormat="false" ht="15" hidden="false" customHeight="true" outlineLevel="0" collapsed="false">
      <c r="J5216" s="14" t="b">
        <f aca="false">IF(중복검사!$A5214="",FALSE(),중복검사!$H5214="중복")</f>
        <v>0</v>
      </c>
      <c r="K5216" s="5" t="str">
        <f aca="false">IF($J5216=FALSE(),"",COUNTIF($J$6:$J5216,TRUE()))</f>
        <v/>
      </c>
      <c r="L5216" s="5" t="str">
        <f aca="false">IF($K5216="","","R"&amp;$K5216)</f>
        <v/>
      </c>
    </row>
    <row r="5217" customFormat="false" ht="15" hidden="false" customHeight="true" outlineLevel="0" collapsed="false">
      <c r="J5217" s="14" t="b">
        <f aca="false">IF(중복검사!$A5215="",FALSE(),중복검사!$H5215="중복")</f>
        <v>0</v>
      </c>
      <c r="K5217" s="5" t="str">
        <f aca="false">IF($J5217=FALSE(),"",COUNTIF($J$6:$J5217,TRUE()))</f>
        <v/>
      </c>
      <c r="L5217" s="5" t="str">
        <f aca="false">IF($K5217="","","R"&amp;$K5217)</f>
        <v/>
      </c>
    </row>
    <row r="5218" customFormat="false" ht="15" hidden="false" customHeight="true" outlineLevel="0" collapsed="false">
      <c r="J5218" s="14" t="b">
        <f aca="false">IF(중복검사!$A5216="",FALSE(),중복검사!$H5216="중복")</f>
        <v>0</v>
      </c>
      <c r="K5218" s="5" t="str">
        <f aca="false">IF($J5218=FALSE(),"",COUNTIF($J$6:$J5218,TRUE()))</f>
        <v/>
      </c>
      <c r="L5218" s="5" t="str">
        <f aca="false">IF($K5218="","","R"&amp;$K5218)</f>
        <v/>
      </c>
    </row>
    <row r="5219" customFormat="false" ht="15" hidden="false" customHeight="true" outlineLevel="0" collapsed="false">
      <c r="J5219" s="14" t="b">
        <f aca="false">IF(중복검사!$A5217="",FALSE(),중복검사!$H5217="중복")</f>
        <v>0</v>
      </c>
      <c r="K5219" s="5" t="str">
        <f aca="false">IF($J5219=FALSE(),"",COUNTIF($J$6:$J5219,TRUE()))</f>
        <v/>
      </c>
      <c r="L5219" s="5" t="str">
        <f aca="false">IF($K5219="","","R"&amp;$K5219)</f>
        <v/>
      </c>
    </row>
    <row r="5220" customFormat="false" ht="15" hidden="false" customHeight="true" outlineLevel="0" collapsed="false">
      <c r="J5220" s="14" t="b">
        <f aca="false">IF(중복검사!$A5218="",FALSE(),중복검사!$H5218="중복")</f>
        <v>0</v>
      </c>
      <c r="K5220" s="5" t="str">
        <f aca="false">IF($J5220=FALSE(),"",COUNTIF($J$6:$J5220,TRUE()))</f>
        <v/>
      </c>
      <c r="L5220" s="5" t="str">
        <f aca="false">IF($K5220="","","R"&amp;$K5220)</f>
        <v/>
      </c>
    </row>
    <row r="5221" customFormat="false" ht="15" hidden="false" customHeight="true" outlineLevel="0" collapsed="false">
      <c r="J5221" s="14" t="b">
        <f aca="false">IF(중복검사!$A5219="",FALSE(),중복검사!$H5219="중복")</f>
        <v>0</v>
      </c>
      <c r="K5221" s="5" t="str">
        <f aca="false">IF($J5221=FALSE(),"",COUNTIF($J$6:$J5221,TRUE()))</f>
        <v/>
      </c>
      <c r="L5221" s="5" t="str">
        <f aca="false">IF($K5221="","","R"&amp;$K5221)</f>
        <v/>
      </c>
    </row>
    <row r="5222" customFormat="false" ht="15" hidden="false" customHeight="true" outlineLevel="0" collapsed="false">
      <c r="J5222" s="14" t="b">
        <f aca="false">IF(중복검사!$A5220="",FALSE(),중복검사!$H5220="중복")</f>
        <v>0</v>
      </c>
      <c r="K5222" s="5" t="str">
        <f aca="false">IF($J5222=FALSE(),"",COUNTIF($J$6:$J5222,TRUE()))</f>
        <v/>
      </c>
      <c r="L5222" s="5" t="str">
        <f aca="false">IF($K5222="","","R"&amp;$K5222)</f>
        <v/>
      </c>
    </row>
    <row r="5223" customFormat="false" ht="15" hidden="false" customHeight="true" outlineLevel="0" collapsed="false">
      <c r="J5223" s="14" t="b">
        <f aca="false">IF(중복검사!$A5221="",FALSE(),중복검사!$H5221="중복")</f>
        <v>0</v>
      </c>
      <c r="K5223" s="5" t="str">
        <f aca="false">IF($J5223=FALSE(),"",COUNTIF($J$6:$J5223,TRUE()))</f>
        <v/>
      </c>
      <c r="L5223" s="5" t="str">
        <f aca="false">IF($K5223="","","R"&amp;$K5223)</f>
        <v/>
      </c>
    </row>
    <row r="5224" customFormat="false" ht="15" hidden="false" customHeight="true" outlineLevel="0" collapsed="false">
      <c r="J5224" s="14" t="b">
        <f aca="false">IF(중복검사!$A5222="",FALSE(),중복검사!$H5222="중복")</f>
        <v>0</v>
      </c>
      <c r="K5224" s="5" t="str">
        <f aca="false">IF($J5224=FALSE(),"",COUNTIF($J$6:$J5224,TRUE()))</f>
        <v/>
      </c>
      <c r="L5224" s="5" t="str">
        <f aca="false">IF($K5224="","","R"&amp;$K5224)</f>
        <v/>
      </c>
    </row>
    <row r="5225" customFormat="false" ht="15" hidden="false" customHeight="true" outlineLevel="0" collapsed="false">
      <c r="J5225" s="14" t="b">
        <f aca="false">IF(중복검사!$A5223="",FALSE(),중복검사!$H5223="중복")</f>
        <v>0</v>
      </c>
      <c r="K5225" s="5" t="str">
        <f aca="false">IF($J5225=FALSE(),"",COUNTIF($J$6:$J5225,TRUE()))</f>
        <v/>
      </c>
      <c r="L5225" s="5" t="str">
        <f aca="false">IF($K5225="","","R"&amp;$K5225)</f>
        <v/>
      </c>
    </row>
    <row r="5226" customFormat="false" ht="15" hidden="false" customHeight="true" outlineLevel="0" collapsed="false">
      <c r="J5226" s="14" t="b">
        <f aca="false">IF(중복검사!$A5224="",FALSE(),중복검사!$H5224="중복")</f>
        <v>0</v>
      </c>
      <c r="K5226" s="5" t="str">
        <f aca="false">IF($J5226=FALSE(),"",COUNTIF($J$6:$J5226,TRUE()))</f>
        <v/>
      </c>
      <c r="L5226" s="5" t="str">
        <f aca="false">IF($K5226="","","R"&amp;$K5226)</f>
        <v/>
      </c>
    </row>
    <row r="5227" customFormat="false" ht="15" hidden="false" customHeight="true" outlineLevel="0" collapsed="false">
      <c r="J5227" s="14" t="b">
        <f aca="false">IF(중복검사!$A5225="",FALSE(),중복검사!$H5225="중복")</f>
        <v>0</v>
      </c>
      <c r="K5227" s="5" t="str">
        <f aca="false">IF($J5227=FALSE(),"",COUNTIF($J$6:$J5227,TRUE()))</f>
        <v/>
      </c>
      <c r="L5227" s="5" t="str">
        <f aca="false">IF($K5227="","","R"&amp;$K5227)</f>
        <v/>
      </c>
    </row>
    <row r="5228" customFormat="false" ht="15" hidden="false" customHeight="true" outlineLevel="0" collapsed="false">
      <c r="J5228" s="14" t="b">
        <f aca="false">IF(중복검사!$A5226="",FALSE(),중복검사!$H5226="중복")</f>
        <v>0</v>
      </c>
      <c r="K5228" s="5" t="str">
        <f aca="false">IF($J5228=FALSE(),"",COUNTIF($J$6:$J5228,TRUE()))</f>
        <v/>
      </c>
      <c r="L5228" s="5" t="str">
        <f aca="false">IF($K5228="","","R"&amp;$K5228)</f>
        <v/>
      </c>
    </row>
    <row r="5229" customFormat="false" ht="15" hidden="false" customHeight="true" outlineLevel="0" collapsed="false">
      <c r="J5229" s="14" t="b">
        <f aca="false">IF(중복검사!$A5227="",FALSE(),중복검사!$H5227="중복")</f>
        <v>0</v>
      </c>
      <c r="K5229" s="5" t="str">
        <f aca="false">IF($J5229=FALSE(),"",COUNTIF($J$6:$J5229,TRUE()))</f>
        <v/>
      </c>
      <c r="L5229" s="5" t="str">
        <f aca="false">IF($K5229="","","R"&amp;$K5229)</f>
        <v/>
      </c>
    </row>
    <row r="5230" customFormat="false" ht="15" hidden="false" customHeight="true" outlineLevel="0" collapsed="false">
      <c r="J5230" s="14" t="b">
        <f aca="false">IF(중복검사!$A5228="",FALSE(),중복검사!$H5228="중복")</f>
        <v>0</v>
      </c>
      <c r="K5230" s="5" t="str">
        <f aca="false">IF($J5230=FALSE(),"",COUNTIF($J$6:$J5230,TRUE()))</f>
        <v/>
      </c>
      <c r="L5230" s="5" t="str">
        <f aca="false">IF($K5230="","","R"&amp;$K5230)</f>
        <v/>
      </c>
    </row>
    <row r="5231" customFormat="false" ht="15" hidden="false" customHeight="true" outlineLevel="0" collapsed="false">
      <c r="J5231" s="14" t="b">
        <f aca="false">IF(중복검사!$A5229="",FALSE(),중복검사!$H5229="중복")</f>
        <v>0</v>
      </c>
      <c r="K5231" s="5" t="str">
        <f aca="false">IF($J5231=FALSE(),"",COUNTIF($J$6:$J5231,TRUE()))</f>
        <v/>
      </c>
      <c r="L5231" s="5" t="str">
        <f aca="false">IF($K5231="","","R"&amp;$K5231)</f>
        <v/>
      </c>
    </row>
    <row r="5232" customFormat="false" ht="15" hidden="false" customHeight="true" outlineLevel="0" collapsed="false">
      <c r="J5232" s="14" t="b">
        <f aca="false">IF(중복검사!$A5230="",FALSE(),중복검사!$H5230="중복")</f>
        <v>0</v>
      </c>
      <c r="K5232" s="5" t="str">
        <f aca="false">IF($J5232=FALSE(),"",COUNTIF($J$6:$J5232,TRUE()))</f>
        <v/>
      </c>
      <c r="L5232" s="5" t="str">
        <f aca="false">IF($K5232="","","R"&amp;$K5232)</f>
        <v/>
      </c>
    </row>
    <row r="5233" customFormat="false" ht="15" hidden="false" customHeight="true" outlineLevel="0" collapsed="false">
      <c r="J5233" s="14" t="b">
        <f aca="false">IF(중복검사!$A5231="",FALSE(),중복검사!$H5231="중복")</f>
        <v>0</v>
      </c>
      <c r="K5233" s="5" t="str">
        <f aca="false">IF($J5233=FALSE(),"",COUNTIF($J$6:$J5233,TRUE()))</f>
        <v/>
      </c>
      <c r="L5233" s="5" t="str">
        <f aca="false">IF($K5233="","","R"&amp;$K5233)</f>
        <v/>
      </c>
    </row>
    <row r="5234" customFormat="false" ht="15" hidden="false" customHeight="true" outlineLevel="0" collapsed="false">
      <c r="J5234" s="14" t="b">
        <f aca="false">IF(중복검사!$A5232="",FALSE(),중복검사!$H5232="중복")</f>
        <v>0</v>
      </c>
      <c r="K5234" s="5" t="str">
        <f aca="false">IF($J5234=FALSE(),"",COUNTIF($J$6:$J5234,TRUE()))</f>
        <v/>
      </c>
      <c r="L5234" s="5" t="str">
        <f aca="false">IF($K5234="","","R"&amp;$K5234)</f>
        <v/>
      </c>
    </row>
    <row r="5235" customFormat="false" ht="15" hidden="false" customHeight="true" outlineLevel="0" collapsed="false">
      <c r="J5235" s="14" t="b">
        <f aca="false">IF(중복검사!$A5233="",FALSE(),중복검사!$H5233="중복")</f>
        <v>0</v>
      </c>
      <c r="K5235" s="5" t="str">
        <f aca="false">IF($J5235=FALSE(),"",COUNTIF($J$6:$J5235,TRUE()))</f>
        <v/>
      </c>
      <c r="L5235" s="5" t="str">
        <f aca="false">IF($K5235="","","R"&amp;$K5235)</f>
        <v/>
      </c>
    </row>
    <row r="5236" customFormat="false" ht="15" hidden="false" customHeight="true" outlineLevel="0" collapsed="false">
      <c r="J5236" s="14" t="b">
        <f aca="false">IF(중복검사!$A5234="",FALSE(),중복검사!$H5234="중복")</f>
        <v>0</v>
      </c>
      <c r="K5236" s="5" t="str">
        <f aca="false">IF($J5236=FALSE(),"",COUNTIF($J$6:$J5236,TRUE()))</f>
        <v/>
      </c>
      <c r="L5236" s="5" t="str">
        <f aca="false">IF($K5236="","","R"&amp;$K5236)</f>
        <v/>
      </c>
    </row>
    <row r="5237" customFormat="false" ht="15" hidden="false" customHeight="true" outlineLevel="0" collapsed="false">
      <c r="J5237" s="14" t="b">
        <f aca="false">IF(중복검사!$A5235="",FALSE(),중복검사!$H5235="중복")</f>
        <v>0</v>
      </c>
      <c r="K5237" s="5" t="str">
        <f aca="false">IF($J5237=FALSE(),"",COUNTIF($J$6:$J5237,TRUE()))</f>
        <v/>
      </c>
      <c r="L5237" s="5" t="str">
        <f aca="false">IF($K5237="","","R"&amp;$K5237)</f>
        <v/>
      </c>
    </row>
    <row r="5238" customFormat="false" ht="15" hidden="false" customHeight="true" outlineLevel="0" collapsed="false">
      <c r="J5238" s="14" t="b">
        <f aca="false">IF(중복검사!$A5236="",FALSE(),중복검사!$H5236="중복")</f>
        <v>0</v>
      </c>
      <c r="K5238" s="5" t="str">
        <f aca="false">IF($J5238=FALSE(),"",COUNTIF($J$6:$J5238,TRUE()))</f>
        <v/>
      </c>
      <c r="L5238" s="5" t="str">
        <f aca="false">IF($K5238="","","R"&amp;$K5238)</f>
        <v/>
      </c>
    </row>
    <row r="5239" customFormat="false" ht="15" hidden="false" customHeight="true" outlineLevel="0" collapsed="false">
      <c r="J5239" s="14" t="b">
        <f aca="false">IF(중복검사!$A5237="",FALSE(),중복검사!$H5237="중복")</f>
        <v>0</v>
      </c>
      <c r="K5239" s="5" t="str">
        <f aca="false">IF($J5239=FALSE(),"",COUNTIF($J$6:$J5239,TRUE()))</f>
        <v/>
      </c>
      <c r="L5239" s="5" t="str">
        <f aca="false">IF($K5239="","","R"&amp;$K5239)</f>
        <v/>
      </c>
    </row>
    <row r="5240" customFormat="false" ht="15" hidden="false" customHeight="true" outlineLevel="0" collapsed="false">
      <c r="J5240" s="14" t="b">
        <f aca="false">IF(중복검사!$A5238="",FALSE(),중복검사!$H5238="중복")</f>
        <v>0</v>
      </c>
      <c r="K5240" s="5" t="str">
        <f aca="false">IF($J5240=FALSE(),"",COUNTIF($J$6:$J5240,TRUE()))</f>
        <v/>
      </c>
      <c r="L5240" s="5" t="str">
        <f aca="false">IF($K5240="","","R"&amp;$K5240)</f>
        <v/>
      </c>
    </row>
    <row r="5241" customFormat="false" ht="15" hidden="false" customHeight="true" outlineLevel="0" collapsed="false">
      <c r="J5241" s="14" t="b">
        <f aca="false">IF(중복검사!$A5239="",FALSE(),중복검사!$H5239="중복")</f>
        <v>0</v>
      </c>
      <c r="K5241" s="5" t="str">
        <f aca="false">IF($J5241=FALSE(),"",COUNTIF($J$6:$J5241,TRUE()))</f>
        <v/>
      </c>
      <c r="L5241" s="5" t="str">
        <f aca="false">IF($K5241="","","R"&amp;$K5241)</f>
        <v/>
      </c>
    </row>
    <row r="5242" customFormat="false" ht="15" hidden="false" customHeight="true" outlineLevel="0" collapsed="false">
      <c r="J5242" s="14" t="b">
        <f aca="false">IF(중복검사!$A5240="",FALSE(),중복검사!$H5240="중복")</f>
        <v>0</v>
      </c>
      <c r="K5242" s="5" t="str">
        <f aca="false">IF($J5242=FALSE(),"",COUNTIF($J$6:$J5242,TRUE()))</f>
        <v/>
      </c>
      <c r="L5242" s="5" t="str">
        <f aca="false">IF($K5242="","","R"&amp;$K5242)</f>
        <v/>
      </c>
    </row>
    <row r="5243" customFormat="false" ht="15" hidden="false" customHeight="true" outlineLevel="0" collapsed="false">
      <c r="J5243" s="14" t="b">
        <f aca="false">IF(중복검사!$A5241="",FALSE(),중복검사!$H5241="중복")</f>
        <v>0</v>
      </c>
      <c r="K5243" s="5" t="str">
        <f aca="false">IF($J5243=FALSE(),"",COUNTIF($J$6:$J5243,TRUE()))</f>
        <v/>
      </c>
      <c r="L5243" s="5" t="str">
        <f aca="false">IF($K5243="","","R"&amp;$K5243)</f>
        <v/>
      </c>
    </row>
    <row r="5244" customFormat="false" ht="15" hidden="false" customHeight="true" outlineLevel="0" collapsed="false">
      <c r="J5244" s="14" t="b">
        <f aca="false">IF(중복검사!$A5242="",FALSE(),중복검사!$H5242="중복")</f>
        <v>0</v>
      </c>
      <c r="K5244" s="5" t="str">
        <f aca="false">IF($J5244=FALSE(),"",COUNTIF($J$6:$J5244,TRUE()))</f>
        <v/>
      </c>
      <c r="L5244" s="5" t="str">
        <f aca="false">IF($K5244="","","R"&amp;$K5244)</f>
        <v/>
      </c>
    </row>
    <row r="5245" customFormat="false" ht="15" hidden="false" customHeight="true" outlineLevel="0" collapsed="false">
      <c r="J5245" s="14" t="b">
        <f aca="false">IF(중복검사!$A5243="",FALSE(),중복검사!$H5243="중복")</f>
        <v>0</v>
      </c>
      <c r="K5245" s="5" t="str">
        <f aca="false">IF($J5245=FALSE(),"",COUNTIF($J$6:$J5245,TRUE()))</f>
        <v/>
      </c>
      <c r="L5245" s="5" t="str">
        <f aca="false">IF($K5245="","","R"&amp;$K5245)</f>
        <v/>
      </c>
    </row>
    <row r="5246" customFormat="false" ht="15" hidden="false" customHeight="true" outlineLevel="0" collapsed="false">
      <c r="J5246" s="14" t="b">
        <f aca="false">IF(중복검사!$A5244="",FALSE(),중복검사!$H5244="중복")</f>
        <v>0</v>
      </c>
      <c r="K5246" s="5" t="str">
        <f aca="false">IF($J5246=FALSE(),"",COUNTIF($J$6:$J5246,TRUE()))</f>
        <v/>
      </c>
      <c r="L5246" s="5" t="str">
        <f aca="false">IF($K5246="","","R"&amp;$K5246)</f>
        <v/>
      </c>
    </row>
    <row r="5247" customFormat="false" ht="15" hidden="false" customHeight="true" outlineLevel="0" collapsed="false">
      <c r="J5247" s="14" t="b">
        <f aca="false">IF(중복검사!$A5245="",FALSE(),중복검사!$H5245="중복")</f>
        <v>0</v>
      </c>
      <c r="K5247" s="5" t="str">
        <f aca="false">IF($J5247=FALSE(),"",COUNTIF($J$6:$J5247,TRUE()))</f>
        <v/>
      </c>
      <c r="L5247" s="5" t="str">
        <f aca="false">IF($K5247="","","R"&amp;$K5247)</f>
        <v/>
      </c>
    </row>
    <row r="5248" customFormat="false" ht="15" hidden="false" customHeight="true" outlineLevel="0" collapsed="false">
      <c r="J5248" s="14" t="b">
        <f aca="false">IF(중복검사!$A5246="",FALSE(),중복검사!$H5246="중복")</f>
        <v>0</v>
      </c>
      <c r="K5248" s="5" t="str">
        <f aca="false">IF($J5248=FALSE(),"",COUNTIF($J$6:$J5248,TRUE()))</f>
        <v/>
      </c>
      <c r="L5248" s="5" t="str">
        <f aca="false">IF($K5248="","","R"&amp;$K5248)</f>
        <v/>
      </c>
    </row>
    <row r="5249" customFormat="false" ht="15" hidden="false" customHeight="true" outlineLevel="0" collapsed="false">
      <c r="J5249" s="14" t="b">
        <f aca="false">IF(중복검사!$A5247="",FALSE(),중복검사!$H5247="중복")</f>
        <v>0</v>
      </c>
      <c r="K5249" s="5" t="str">
        <f aca="false">IF($J5249=FALSE(),"",COUNTIF($J$6:$J5249,TRUE()))</f>
        <v/>
      </c>
      <c r="L5249" s="5" t="str">
        <f aca="false">IF($K5249="","","R"&amp;$K5249)</f>
        <v/>
      </c>
    </row>
    <row r="5250" customFormat="false" ht="15" hidden="false" customHeight="true" outlineLevel="0" collapsed="false">
      <c r="J5250" s="14" t="b">
        <f aca="false">IF(중복검사!$A5248="",FALSE(),중복검사!$H5248="중복")</f>
        <v>0</v>
      </c>
      <c r="K5250" s="5" t="str">
        <f aca="false">IF($J5250=FALSE(),"",COUNTIF($J$6:$J5250,TRUE()))</f>
        <v/>
      </c>
      <c r="L5250" s="5" t="str">
        <f aca="false">IF($K5250="","","R"&amp;$K5250)</f>
        <v/>
      </c>
    </row>
    <row r="5251" customFormat="false" ht="15" hidden="false" customHeight="true" outlineLevel="0" collapsed="false">
      <c r="J5251" s="14" t="b">
        <f aca="false">IF(중복검사!$A5249="",FALSE(),중복검사!$H5249="중복")</f>
        <v>0</v>
      </c>
      <c r="K5251" s="5" t="str">
        <f aca="false">IF($J5251=FALSE(),"",COUNTIF($J$6:$J5251,TRUE()))</f>
        <v/>
      </c>
      <c r="L5251" s="5" t="str">
        <f aca="false">IF($K5251="","","R"&amp;$K5251)</f>
        <v/>
      </c>
    </row>
    <row r="5252" customFormat="false" ht="15" hidden="false" customHeight="true" outlineLevel="0" collapsed="false">
      <c r="J5252" s="14" t="b">
        <f aca="false">IF(중복검사!$A5250="",FALSE(),중복검사!$H5250="중복")</f>
        <v>0</v>
      </c>
      <c r="K5252" s="5" t="str">
        <f aca="false">IF($J5252=FALSE(),"",COUNTIF($J$6:$J5252,TRUE()))</f>
        <v/>
      </c>
      <c r="L5252" s="5" t="str">
        <f aca="false">IF($K5252="","","R"&amp;$K5252)</f>
        <v/>
      </c>
    </row>
    <row r="5253" customFormat="false" ht="15" hidden="false" customHeight="true" outlineLevel="0" collapsed="false">
      <c r="J5253" s="14" t="b">
        <f aca="false">IF(중복검사!$A5251="",FALSE(),중복검사!$H5251="중복")</f>
        <v>0</v>
      </c>
      <c r="K5253" s="5" t="str">
        <f aca="false">IF($J5253=FALSE(),"",COUNTIF($J$6:$J5253,TRUE()))</f>
        <v/>
      </c>
      <c r="L5253" s="5" t="str">
        <f aca="false">IF($K5253="","","R"&amp;$K5253)</f>
        <v/>
      </c>
    </row>
    <row r="5254" customFormat="false" ht="15" hidden="false" customHeight="true" outlineLevel="0" collapsed="false">
      <c r="J5254" s="14" t="b">
        <f aca="false">IF(중복검사!$A5252="",FALSE(),중복검사!$H5252="중복")</f>
        <v>0</v>
      </c>
      <c r="K5254" s="5" t="str">
        <f aca="false">IF($J5254=FALSE(),"",COUNTIF($J$6:$J5254,TRUE()))</f>
        <v/>
      </c>
      <c r="L5254" s="5" t="str">
        <f aca="false">IF($K5254="","","R"&amp;$K5254)</f>
        <v/>
      </c>
    </row>
    <row r="5255" customFormat="false" ht="15" hidden="false" customHeight="true" outlineLevel="0" collapsed="false">
      <c r="J5255" s="14" t="b">
        <f aca="false">IF(중복검사!$A5253="",FALSE(),중복검사!$H5253="중복")</f>
        <v>0</v>
      </c>
      <c r="K5255" s="5" t="str">
        <f aca="false">IF($J5255=FALSE(),"",COUNTIF($J$6:$J5255,TRUE()))</f>
        <v/>
      </c>
      <c r="L5255" s="5" t="str">
        <f aca="false">IF($K5255="","","R"&amp;$K5255)</f>
        <v/>
      </c>
    </row>
    <row r="5256" customFormat="false" ht="15" hidden="false" customHeight="true" outlineLevel="0" collapsed="false">
      <c r="J5256" s="14" t="b">
        <f aca="false">IF(중복검사!$A5254="",FALSE(),중복검사!$H5254="중복")</f>
        <v>0</v>
      </c>
      <c r="K5256" s="5" t="str">
        <f aca="false">IF($J5256=FALSE(),"",COUNTIF($J$6:$J5256,TRUE()))</f>
        <v/>
      </c>
      <c r="L5256" s="5" t="str">
        <f aca="false">IF($K5256="","","R"&amp;$K5256)</f>
        <v/>
      </c>
    </row>
    <row r="5257" customFormat="false" ht="15" hidden="false" customHeight="true" outlineLevel="0" collapsed="false">
      <c r="J5257" s="14" t="b">
        <f aca="false">IF(중복검사!$A5255="",FALSE(),중복검사!$H5255="중복")</f>
        <v>0</v>
      </c>
      <c r="K5257" s="5" t="str">
        <f aca="false">IF($J5257=FALSE(),"",COUNTIF($J$6:$J5257,TRUE()))</f>
        <v/>
      </c>
      <c r="L5257" s="5" t="str">
        <f aca="false">IF($K5257="","","R"&amp;$K5257)</f>
        <v/>
      </c>
    </row>
    <row r="5258" customFormat="false" ht="15" hidden="false" customHeight="true" outlineLevel="0" collapsed="false">
      <c r="J5258" s="14" t="b">
        <f aca="false">IF(중복검사!$A5256="",FALSE(),중복검사!$H5256="중복")</f>
        <v>0</v>
      </c>
      <c r="K5258" s="5" t="str">
        <f aca="false">IF($J5258=FALSE(),"",COUNTIF($J$6:$J5258,TRUE()))</f>
        <v/>
      </c>
      <c r="L5258" s="5" t="str">
        <f aca="false">IF($K5258="","","R"&amp;$K5258)</f>
        <v/>
      </c>
    </row>
    <row r="5259" customFormat="false" ht="15" hidden="false" customHeight="true" outlineLevel="0" collapsed="false">
      <c r="J5259" s="14" t="b">
        <f aca="false">IF(중복검사!$A5257="",FALSE(),중복검사!$H5257="중복")</f>
        <v>0</v>
      </c>
      <c r="K5259" s="5" t="str">
        <f aca="false">IF($J5259=FALSE(),"",COUNTIF($J$6:$J5259,TRUE()))</f>
        <v/>
      </c>
      <c r="L5259" s="5" t="str">
        <f aca="false">IF($K5259="","","R"&amp;$K5259)</f>
        <v/>
      </c>
    </row>
    <row r="5260" customFormat="false" ht="15" hidden="false" customHeight="true" outlineLevel="0" collapsed="false">
      <c r="J5260" s="14" t="b">
        <f aca="false">IF(중복검사!$A5258="",FALSE(),중복검사!$H5258="중복")</f>
        <v>0</v>
      </c>
      <c r="K5260" s="5" t="str">
        <f aca="false">IF($J5260=FALSE(),"",COUNTIF($J$6:$J5260,TRUE()))</f>
        <v/>
      </c>
      <c r="L5260" s="5" t="str">
        <f aca="false">IF($K5260="","","R"&amp;$K5260)</f>
        <v/>
      </c>
    </row>
    <row r="5261" customFormat="false" ht="15" hidden="false" customHeight="true" outlineLevel="0" collapsed="false">
      <c r="J5261" s="14" t="b">
        <f aca="false">IF(중복검사!$A5259="",FALSE(),중복검사!$H5259="중복")</f>
        <v>0</v>
      </c>
      <c r="K5261" s="5" t="str">
        <f aca="false">IF($J5261=FALSE(),"",COUNTIF($J$6:$J5261,TRUE()))</f>
        <v/>
      </c>
      <c r="L5261" s="5" t="str">
        <f aca="false">IF($K5261="","","R"&amp;$K5261)</f>
        <v/>
      </c>
    </row>
    <row r="5262" customFormat="false" ht="15" hidden="false" customHeight="true" outlineLevel="0" collapsed="false">
      <c r="J5262" s="14" t="b">
        <f aca="false">IF(중복검사!$A5260="",FALSE(),중복검사!$H5260="중복")</f>
        <v>0</v>
      </c>
      <c r="K5262" s="5" t="str">
        <f aca="false">IF($J5262=FALSE(),"",COUNTIF($J$6:$J5262,TRUE()))</f>
        <v/>
      </c>
      <c r="L5262" s="5" t="str">
        <f aca="false">IF($K5262="","","R"&amp;$K5262)</f>
        <v/>
      </c>
    </row>
    <row r="5263" customFormat="false" ht="15" hidden="false" customHeight="true" outlineLevel="0" collapsed="false">
      <c r="J5263" s="14" t="b">
        <f aca="false">IF(중복검사!$A5261="",FALSE(),중복검사!$H5261="중복")</f>
        <v>0</v>
      </c>
      <c r="K5263" s="5" t="str">
        <f aca="false">IF($J5263=FALSE(),"",COUNTIF($J$6:$J5263,TRUE()))</f>
        <v/>
      </c>
      <c r="L5263" s="5" t="str">
        <f aca="false">IF($K5263="","","R"&amp;$K5263)</f>
        <v/>
      </c>
    </row>
    <row r="5264" customFormat="false" ht="15" hidden="false" customHeight="true" outlineLevel="0" collapsed="false">
      <c r="J5264" s="14" t="b">
        <f aca="false">IF(중복검사!$A5262="",FALSE(),중복검사!$H5262="중복")</f>
        <v>0</v>
      </c>
      <c r="K5264" s="5" t="str">
        <f aca="false">IF($J5264=FALSE(),"",COUNTIF($J$6:$J5264,TRUE()))</f>
        <v/>
      </c>
      <c r="L5264" s="5" t="str">
        <f aca="false">IF($K5264="","","R"&amp;$K5264)</f>
        <v/>
      </c>
    </row>
    <row r="5265" customFormat="false" ht="15" hidden="false" customHeight="true" outlineLevel="0" collapsed="false">
      <c r="J5265" s="14" t="b">
        <f aca="false">IF(중복검사!$A5263="",FALSE(),중복검사!$H5263="중복")</f>
        <v>0</v>
      </c>
      <c r="K5265" s="5" t="str">
        <f aca="false">IF($J5265=FALSE(),"",COUNTIF($J$6:$J5265,TRUE()))</f>
        <v/>
      </c>
      <c r="L5265" s="5" t="str">
        <f aca="false">IF($K5265="","","R"&amp;$K5265)</f>
        <v/>
      </c>
    </row>
    <row r="5266" customFormat="false" ht="15" hidden="false" customHeight="true" outlineLevel="0" collapsed="false">
      <c r="J5266" s="14" t="b">
        <f aca="false">IF(중복검사!$A5264="",FALSE(),중복검사!$H5264="중복")</f>
        <v>0</v>
      </c>
      <c r="K5266" s="5" t="str">
        <f aca="false">IF($J5266=FALSE(),"",COUNTIF($J$6:$J5266,TRUE()))</f>
        <v/>
      </c>
      <c r="L5266" s="5" t="str">
        <f aca="false">IF($K5266="","","R"&amp;$K5266)</f>
        <v/>
      </c>
    </row>
    <row r="5267" customFormat="false" ht="15" hidden="false" customHeight="true" outlineLevel="0" collapsed="false">
      <c r="J5267" s="14" t="b">
        <f aca="false">IF(중복검사!$A5265="",FALSE(),중복검사!$H5265="중복")</f>
        <v>0</v>
      </c>
      <c r="K5267" s="5" t="str">
        <f aca="false">IF($J5267=FALSE(),"",COUNTIF($J$6:$J5267,TRUE()))</f>
        <v/>
      </c>
      <c r="L5267" s="5" t="str">
        <f aca="false">IF($K5267="","","R"&amp;$K5267)</f>
        <v/>
      </c>
    </row>
    <row r="5268" customFormat="false" ht="15" hidden="false" customHeight="true" outlineLevel="0" collapsed="false">
      <c r="J5268" s="14" t="b">
        <f aca="false">IF(중복검사!$A5266="",FALSE(),중복검사!$H5266="중복")</f>
        <v>0</v>
      </c>
      <c r="K5268" s="5" t="str">
        <f aca="false">IF($J5268=FALSE(),"",COUNTIF($J$6:$J5268,TRUE()))</f>
        <v/>
      </c>
      <c r="L5268" s="5" t="str">
        <f aca="false">IF($K5268="","","R"&amp;$K5268)</f>
        <v/>
      </c>
    </row>
    <row r="5269" customFormat="false" ht="15" hidden="false" customHeight="true" outlineLevel="0" collapsed="false">
      <c r="J5269" s="14" t="b">
        <f aca="false">IF(중복검사!$A5267="",FALSE(),중복검사!$H5267="중복")</f>
        <v>0</v>
      </c>
      <c r="K5269" s="5" t="str">
        <f aca="false">IF($J5269=FALSE(),"",COUNTIF($J$6:$J5269,TRUE()))</f>
        <v/>
      </c>
      <c r="L5269" s="5" t="str">
        <f aca="false">IF($K5269="","","R"&amp;$K5269)</f>
        <v/>
      </c>
    </row>
    <row r="5270" customFormat="false" ht="15" hidden="false" customHeight="true" outlineLevel="0" collapsed="false">
      <c r="J5270" s="14" t="b">
        <f aca="false">IF(중복검사!$A5268="",FALSE(),중복검사!$H5268="중복")</f>
        <v>0</v>
      </c>
      <c r="K5270" s="5" t="str">
        <f aca="false">IF($J5270=FALSE(),"",COUNTIF($J$6:$J5270,TRUE()))</f>
        <v/>
      </c>
      <c r="L5270" s="5" t="str">
        <f aca="false">IF($K5270="","","R"&amp;$K5270)</f>
        <v/>
      </c>
    </row>
    <row r="5271" customFormat="false" ht="15" hidden="false" customHeight="true" outlineLevel="0" collapsed="false">
      <c r="J5271" s="14" t="b">
        <f aca="false">IF(중복검사!$A5269="",FALSE(),중복검사!$H5269="중복")</f>
        <v>0</v>
      </c>
      <c r="K5271" s="5" t="str">
        <f aca="false">IF($J5271=FALSE(),"",COUNTIF($J$6:$J5271,TRUE()))</f>
        <v/>
      </c>
      <c r="L5271" s="5" t="str">
        <f aca="false">IF($K5271="","","R"&amp;$K5271)</f>
        <v/>
      </c>
    </row>
    <row r="5272" customFormat="false" ht="15" hidden="false" customHeight="true" outlineLevel="0" collapsed="false">
      <c r="J5272" s="14" t="b">
        <f aca="false">IF(중복검사!$A5270="",FALSE(),중복검사!$H5270="중복")</f>
        <v>0</v>
      </c>
      <c r="K5272" s="5" t="str">
        <f aca="false">IF($J5272=FALSE(),"",COUNTIF($J$6:$J5272,TRUE()))</f>
        <v/>
      </c>
      <c r="L5272" s="5" t="str">
        <f aca="false">IF($K5272="","","R"&amp;$K5272)</f>
        <v/>
      </c>
    </row>
    <row r="5273" customFormat="false" ht="15" hidden="false" customHeight="true" outlineLevel="0" collapsed="false">
      <c r="J5273" s="14" t="b">
        <f aca="false">IF(중복검사!$A5271="",FALSE(),중복검사!$H5271="중복")</f>
        <v>0</v>
      </c>
      <c r="K5273" s="5" t="str">
        <f aca="false">IF($J5273=FALSE(),"",COUNTIF($J$6:$J5273,TRUE()))</f>
        <v/>
      </c>
      <c r="L5273" s="5" t="str">
        <f aca="false">IF($K5273="","","R"&amp;$K5273)</f>
        <v/>
      </c>
    </row>
    <row r="5274" customFormat="false" ht="15" hidden="false" customHeight="true" outlineLevel="0" collapsed="false">
      <c r="J5274" s="14" t="b">
        <f aca="false">IF(중복검사!$A5272="",FALSE(),중복검사!$H5272="중복")</f>
        <v>0</v>
      </c>
      <c r="K5274" s="5" t="str">
        <f aca="false">IF($J5274=FALSE(),"",COUNTIF($J$6:$J5274,TRUE()))</f>
        <v/>
      </c>
      <c r="L5274" s="5" t="str">
        <f aca="false">IF($K5274="","","R"&amp;$K5274)</f>
        <v/>
      </c>
    </row>
    <row r="5275" customFormat="false" ht="15" hidden="false" customHeight="true" outlineLevel="0" collapsed="false">
      <c r="J5275" s="14" t="b">
        <f aca="false">IF(중복검사!$A5273="",FALSE(),중복검사!$H5273="중복")</f>
        <v>0</v>
      </c>
      <c r="K5275" s="5" t="str">
        <f aca="false">IF($J5275=FALSE(),"",COUNTIF($J$6:$J5275,TRUE()))</f>
        <v/>
      </c>
      <c r="L5275" s="5" t="str">
        <f aca="false">IF($K5275="","","R"&amp;$K5275)</f>
        <v/>
      </c>
    </row>
    <row r="5276" customFormat="false" ht="15" hidden="false" customHeight="true" outlineLevel="0" collapsed="false">
      <c r="J5276" s="14" t="b">
        <f aca="false">IF(중복검사!$A5274="",FALSE(),중복검사!$H5274="중복")</f>
        <v>0</v>
      </c>
      <c r="K5276" s="5" t="str">
        <f aca="false">IF($J5276=FALSE(),"",COUNTIF($J$6:$J5276,TRUE()))</f>
        <v/>
      </c>
      <c r="L5276" s="5" t="str">
        <f aca="false">IF($K5276="","","R"&amp;$K5276)</f>
        <v/>
      </c>
    </row>
    <row r="5277" customFormat="false" ht="15" hidden="false" customHeight="true" outlineLevel="0" collapsed="false">
      <c r="J5277" s="14" t="b">
        <f aca="false">IF(중복검사!$A5275="",FALSE(),중복검사!$H5275="중복")</f>
        <v>0</v>
      </c>
      <c r="K5277" s="5" t="str">
        <f aca="false">IF($J5277=FALSE(),"",COUNTIF($J$6:$J5277,TRUE()))</f>
        <v/>
      </c>
      <c r="L5277" s="5" t="str">
        <f aca="false">IF($K5277="","","R"&amp;$K5277)</f>
        <v/>
      </c>
    </row>
    <row r="5278" customFormat="false" ht="15" hidden="false" customHeight="true" outlineLevel="0" collapsed="false">
      <c r="J5278" s="14" t="b">
        <f aca="false">IF(중복검사!$A5276="",FALSE(),중복검사!$H5276="중복")</f>
        <v>0</v>
      </c>
      <c r="K5278" s="5" t="str">
        <f aca="false">IF($J5278=FALSE(),"",COUNTIF($J$6:$J5278,TRUE()))</f>
        <v/>
      </c>
      <c r="L5278" s="5" t="str">
        <f aca="false">IF($K5278="","","R"&amp;$K5278)</f>
        <v/>
      </c>
    </row>
    <row r="5279" customFormat="false" ht="15" hidden="false" customHeight="true" outlineLevel="0" collapsed="false">
      <c r="J5279" s="14" t="b">
        <f aca="false">IF(중복검사!$A5277="",FALSE(),중복검사!$H5277="중복")</f>
        <v>0</v>
      </c>
      <c r="K5279" s="5" t="str">
        <f aca="false">IF($J5279=FALSE(),"",COUNTIF($J$6:$J5279,TRUE()))</f>
        <v/>
      </c>
      <c r="L5279" s="5" t="str">
        <f aca="false">IF($K5279="","","R"&amp;$K5279)</f>
        <v/>
      </c>
    </row>
    <row r="5280" customFormat="false" ht="15" hidden="false" customHeight="true" outlineLevel="0" collapsed="false">
      <c r="J5280" s="14" t="b">
        <f aca="false">IF(중복검사!$A5278="",FALSE(),중복검사!$H5278="중복")</f>
        <v>0</v>
      </c>
      <c r="K5280" s="5" t="str">
        <f aca="false">IF($J5280=FALSE(),"",COUNTIF($J$6:$J5280,TRUE()))</f>
        <v/>
      </c>
      <c r="L5280" s="5" t="str">
        <f aca="false">IF($K5280="","","R"&amp;$K5280)</f>
        <v/>
      </c>
    </row>
    <row r="5281" customFormat="false" ht="15" hidden="false" customHeight="true" outlineLevel="0" collapsed="false">
      <c r="J5281" s="14" t="b">
        <f aca="false">IF(중복검사!$A5279="",FALSE(),중복검사!$H5279="중복")</f>
        <v>0</v>
      </c>
      <c r="K5281" s="5" t="str">
        <f aca="false">IF($J5281=FALSE(),"",COUNTIF($J$6:$J5281,TRUE()))</f>
        <v/>
      </c>
      <c r="L5281" s="5" t="str">
        <f aca="false">IF($K5281="","","R"&amp;$K5281)</f>
        <v/>
      </c>
    </row>
    <row r="5282" customFormat="false" ht="15" hidden="false" customHeight="true" outlineLevel="0" collapsed="false">
      <c r="J5282" s="14" t="b">
        <f aca="false">IF(중복검사!$A5280="",FALSE(),중복검사!$H5280="중복")</f>
        <v>0</v>
      </c>
      <c r="K5282" s="5" t="str">
        <f aca="false">IF($J5282=FALSE(),"",COUNTIF($J$6:$J5282,TRUE()))</f>
        <v/>
      </c>
      <c r="L5282" s="5" t="str">
        <f aca="false">IF($K5282="","","R"&amp;$K5282)</f>
        <v/>
      </c>
    </row>
    <row r="5283" customFormat="false" ht="15" hidden="false" customHeight="true" outlineLevel="0" collapsed="false">
      <c r="J5283" s="14" t="b">
        <f aca="false">IF(중복검사!$A5281="",FALSE(),중복검사!$H5281="중복")</f>
        <v>0</v>
      </c>
      <c r="K5283" s="5" t="str">
        <f aca="false">IF($J5283=FALSE(),"",COUNTIF($J$6:$J5283,TRUE()))</f>
        <v/>
      </c>
      <c r="L5283" s="5" t="str">
        <f aca="false">IF($K5283="","","R"&amp;$K5283)</f>
        <v/>
      </c>
    </row>
    <row r="5284" customFormat="false" ht="15" hidden="false" customHeight="true" outlineLevel="0" collapsed="false">
      <c r="J5284" s="14" t="b">
        <f aca="false">IF(중복검사!$A5282="",FALSE(),중복검사!$H5282="중복")</f>
        <v>0</v>
      </c>
      <c r="K5284" s="5" t="str">
        <f aca="false">IF($J5284=FALSE(),"",COUNTIF($J$6:$J5284,TRUE()))</f>
        <v/>
      </c>
      <c r="L5284" s="5" t="str">
        <f aca="false">IF($K5284="","","R"&amp;$K5284)</f>
        <v/>
      </c>
    </row>
    <row r="5285" customFormat="false" ht="15" hidden="false" customHeight="true" outlineLevel="0" collapsed="false">
      <c r="J5285" s="14" t="b">
        <f aca="false">IF(중복검사!$A5283="",FALSE(),중복검사!$H5283="중복")</f>
        <v>0</v>
      </c>
      <c r="K5285" s="5" t="str">
        <f aca="false">IF($J5285=FALSE(),"",COUNTIF($J$6:$J5285,TRUE()))</f>
        <v/>
      </c>
      <c r="L5285" s="5" t="str">
        <f aca="false">IF($K5285="","","R"&amp;$K5285)</f>
        <v/>
      </c>
    </row>
    <row r="5286" customFormat="false" ht="15" hidden="false" customHeight="true" outlineLevel="0" collapsed="false">
      <c r="J5286" s="14" t="b">
        <f aca="false">IF(중복검사!$A5284="",FALSE(),중복검사!$H5284="중복")</f>
        <v>0</v>
      </c>
      <c r="K5286" s="5" t="str">
        <f aca="false">IF($J5286=FALSE(),"",COUNTIF($J$6:$J5286,TRUE()))</f>
        <v/>
      </c>
      <c r="L5286" s="5" t="str">
        <f aca="false">IF($K5286="","","R"&amp;$K5286)</f>
        <v/>
      </c>
    </row>
    <row r="5287" customFormat="false" ht="15" hidden="false" customHeight="true" outlineLevel="0" collapsed="false">
      <c r="J5287" s="14" t="b">
        <f aca="false">IF(중복검사!$A5285="",FALSE(),중복검사!$H5285="중복")</f>
        <v>0</v>
      </c>
      <c r="K5287" s="5" t="str">
        <f aca="false">IF($J5287=FALSE(),"",COUNTIF($J$6:$J5287,TRUE()))</f>
        <v/>
      </c>
      <c r="L5287" s="5" t="str">
        <f aca="false">IF($K5287="","","R"&amp;$K5287)</f>
        <v/>
      </c>
    </row>
    <row r="5288" customFormat="false" ht="15" hidden="false" customHeight="true" outlineLevel="0" collapsed="false">
      <c r="J5288" s="14" t="b">
        <f aca="false">IF(중복검사!$A5286="",FALSE(),중복검사!$H5286="중복")</f>
        <v>0</v>
      </c>
      <c r="K5288" s="5" t="str">
        <f aca="false">IF($J5288=FALSE(),"",COUNTIF($J$6:$J5288,TRUE()))</f>
        <v/>
      </c>
      <c r="L5288" s="5" t="str">
        <f aca="false">IF($K5288="","","R"&amp;$K5288)</f>
        <v/>
      </c>
    </row>
    <row r="5289" customFormat="false" ht="15" hidden="false" customHeight="true" outlineLevel="0" collapsed="false">
      <c r="J5289" s="14" t="b">
        <f aca="false">IF(중복검사!$A5287="",FALSE(),중복검사!$H5287="중복")</f>
        <v>0</v>
      </c>
      <c r="K5289" s="5" t="str">
        <f aca="false">IF($J5289=FALSE(),"",COUNTIF($J$6:$J5289,TRUE()))</f>
        <v/>
      </c>
      <c r="L5289" s="5" t="str">
        <f aca="false">IF($K5289="","","R"&amp;$K5289)</f>
        <v/>
      </c>
    </row>
    <row r="5290" customFormat="false" ht="15" hidden="false" customHeight="true" outlineLevel="0" collapsed="false">
      <c r="J5290" s="14" t="b">
        <f aca="false">IF(중복검사!$A5288="",FALSE(),중복검사!$H5288="중복")</f>
        <v>0</v>
      </c>
      <c r="K5290" s="5" t="str">
        <f aca="false">IF($J5290=FALSE(),"",COUNTIF($J$6:$J5290,TRUE()))</f>
        <v/>
      </c>
      <c r="L5290" s="5" t="str">
        <f aca="false">IF($K5290="","","R"&amp;$K5290)</f>
        <v/>
      </c>
    </row>
    <row r="5291" customFormat="false" ht="15" hidden="false" customHeight="true" outlineLevel="0" collapsed="false">
      <c r="J5291" s="14" t="b">
        <f aca="false">IF(중복검사!$A5289="",FALSE(),중복검사!$H5289="중복")</f>
        <v>0</v>
      </c>
      <c r="K5291" s="5" t="str">
        <f aca="false">IF($J5291=FALSE(),"",COUNTIF($J$6:$J5291,TRUE()))</f>
        <v/>
      </c>
      <c r="L5291" s="5" t="str">
        <f aca="false">IF($K5291="","","R"&amp;$K5291)</f>
        <v/>
      </c>
    </row>
    <row r="5292" customFormat="false" ht="15" hidden="false" customHeight="true" outlineLevel="0" collapsed="false">
      <c r="J5292" s="14" t="b">
        <f aca="false">IF(중복검사!$A5290="",FALSE(),중복검사!$H5290="중복")</f>
        <v>0</v>
      </c>
      <c r="K5292" s="5" t="str">
        <f aca="false">IF($J5292=FALSE(),"",COUNTIF($J$6:$J5292,TRUE()))</f>
        <v/>
      </c>
      <c r="L5292" s="5" t="str">
        <f aca="false">IF($K5292="","","R"&amp;$K5292)</f>
        <v/>
      </c>
    </row>
    <row r="5293" customFormat="false" ht="15" hidden="false" customHeight="true" outlineLevel="0" collapsed="false">
      <c r="J5293" s="14" t="b">
        <f aca="false">IF(중복검사!$A5291="",FALSE(),중복검사!$H5291="중복")</f>
        <v>0</v>
      </c>
      <c r="K5293" s="5" t="str">
        <f aca="false">IF($J5293=FALSE(),"",COUNTIF($J$6:$J5293,TRUE()))</f>
        <v/>
      </c>
      <c r="L5293" s="5" t="str">
        <f aca="false">IF($K5293="","","R"&amp;$K5293)</f>
        <v/>
      </c>
    </row>
    <row r="5294" customFormat="false" ht="15" hidden="false" customHeight="true" outlineLevel="0" collapsed="false">
      <c r="J5294" s="14" t="b">
        <f aca="false">IF(중복검사!$A5292="",FALSE(),중복검사!$H5292="중복")</f>
        <v>0</v>
      </c>
      <c r="K5294" s="5" t="str">
        <f aca="false">IF($J5294=FALSE(),"",COUNTIF($J$6:$J5294,TRUE()))</f>
        <v/>
      </c>
      <c r="L5294" s="5" t="str">
        <f aca="false">IF($K5294="","","R"&amp;$K5294)</f>
        <v/>
      </c>
    </row>
    <row r="5295" customFormat="false" ht="15" hidden="false" customHeight="true" outlineLevel="0" collapsed="false">
      <c r="J5295" s="14" t="b">
        <f aca="false">IF(중복검사!$A5293="",FALSE(),중복검사!$H5293="중복")</f>
        <v>0</v>
      </c>
      <c r="K5295" s="5" t="str">
        <f aca="false">IF($J5295=FALSE(),"",COUNTIF($J$6:$J5295,TRUE()))</f>
        <v/>
      </c>
      <c r="L5295" s="5" t="str">
        <f aca="false">IF($K5295="","","R"&amp;$K5295)</f>
        <v/>
      </c>
    </row>
    <row r="5296" customFormat="false" ht="15" hidden="false" customHeight="true" outlineLevel="0" collapsed="false">
      <c r="J5296" s="14" t="b">
        <f aca="false">IF(중복검사!$A5294="",FALSE(),중복검사!$H5294="중복")</f>
        <v>0</v>
      </c>
      <c r="K5296" s="5" t="str">
        <f aca="false">IF($J5296=FALSE(),"",COUNTIF($J$6:$J5296,TRUE()))</f>
        <v/>
      </c>
      <c r="L5296" s="5" t="str">
        <f aca="false">IF($K5296="","","R"&amp;$K5296)</f>
        <v/>
      </c>
    </row>
    <row r="5297" customFormat="false" ht="15" hidden="false" customHeight="true" outlineLevel="0" collapsed="false">
      <c r="J5297" s="14" t="b">
        <f aca="false">IF(중복검사!$A5295="",FALSE(),중복검사!$H5295="중복")</f>
        <v>0</v>
      </c>
      <c r="K5297" s="5" t="str">
        <f aca="false">IF($J5297=FALSE(),"",COUNTIF($J$6:$J5297,TRUE()))</f>
        <v/>
      </c>
      <c r="L5297" s="5" t="str">
        <f aca="false">IF($K5297="","","R"&amp;$K5297)</f>
        <v/>
      </c>
    </row>
    <row r="5298" customFormat="false" ht="15" hidden="false" customHeight="true" outlineLevel="0" collapsed="false">
      <c r="J5298" s="14" t="b">
        <f aca="false">IF(중복검사!$A5296="",FALSE(),중복검사!$H5296="중복")</f>
        <v>0</v>
      </c>
      <c r="K5298" s="5" t="str">
        <f aca="false">IF($J5298=FALSE(),"",COUNTIF($J$6:$J5298,TRUE()))</f>
        <v/>
      </c>
      <c r="L5298" s="5" t="str">
        <f aca="false">IF($K5298="","","R"&amp;$K5298)</f>
        <v/>
      </c>
    </row>
    <row r="5299" customFormat="false" ht="15" hidden="false" customHeight="true" outlineLevel="0" collapsed="false">
      <c r="J5299" s="14" t="b">
        <f aca="false">IF(중복검사!$A5297="",FALSE(),중복검사!$H5297="중복")</f>
        <v>0</v>
      </c>
      <c r="K5299" s="5" t="str">
        <f aca="false">IF($J5299=FALSE(),"",COUNTIF($J$6:$J5299,TRUE()))</f>
        <v/>
      </c>
      <c r="L5299" s="5" t="str">
        <f aca="false">IF($K5299="","","R"&amp;$K5299)</f>
        <v/>
      </c>
    </row>
    <row r="5300" customFormat="false" ht="15" hidden="false" customHeight="true" outlineLevel="0" collapsed="false">
      <c r="J5300" s="14" t="b">
        <f aca="false">IF(중복검사!$A5298="",FALSE(),중복검사!$H5298="중복")</f>
        <v>0</v>
      </c>
      <c r="K5300" s="5" t="str">
        <f aca="false">IF($J5300=FALSE(),"",COUNTIF($J$6:$J5300,TRUE()))</f>
        <v/>
      </c>
      <c r="L5300" s="5" t="str">
        <f aca="false">IF($K5300="","","R"&amp;$K5300)</f>
        <v/>
      </c>
    </row>
    <row r="5301" customFormat="false" ht="15" hidden="false" customHeight="true" outlineLevel="0" collapsed="false">
      <c r="J5301" s="14" t="b">
        <f aca="false">IF(중복검사!$A5299="",FALSE(),중복검사!$H5299="중복")</f>
        <v>0</v>
      </c>
      <c r="K5301" s="5" t="str">
        <f aca="false">IF($J5301=FALSE(),"",COUNTIF($J$6:$J5301,TRUE()))</f>
        <v/>
      </c>
      <c r="L5301" s="5" t="str">
        <f aca="false">IF($K5301="","","R"&amp;$K5301)</f>
        <v/>
      </c>
    </row>
    <row r="5302" customFormat="false" ht="15" hidden="false" customHeight="true" outlineLevel="0" collapsed="false">
      <c r="J5302" s="14" t="b">
        <f aca="false">IF(중복검사!$A5300="",FALSE(),중복검사!$H5300="중복")</f>
        <v>0</v>
      </c>
      <c r="K5302" s="5" t="str">
        <f aca="false">IF($J5302=FALSE(),"",COUNTIF($J$6:$J5302,TRUE()))</f>
        <v/>
      </c>
      <c r="L5302" s="5" t="str">
        <f aca="false">IF($K5302="","","R"&amp;$K5302)</f>
        <v/>
      </c>
    </row>
    <row r="5303" customFormat="false" ht="15" hidden="false" customHeight="true" outlineLevel="0" collapsed="false">
      <c r="J5303" s="14" t="b">
        <f aca="false">IF(중복검사!$A5301="",FALSE(),중복검사!$H5301="중복")</f>
        <v>0</v>
      </c>
      <c r="K5303" s="5" t="str">
        <f aca="false">IF($J5303=FALSE(),"",COUNTIF($J$6:$J5303,TRUE()))</f>
        <v/>
      </c>
      <c r="L5303" s="5" t="str">
        <f aca="false">IF($K5303="","","R"&amp;$K5303)</f>
        <v/>
      </c>
    </row>
    <row r="5304" customFormat="false" ht="15" hidden="false" customHeight="true" outlineLevel="0" collapsed="false">
      <c r="J5304" s="14" t="b">
        <f aca="false">IF(중복검사!$A5302="",FALSE(),중복검사!$H5302="중복")</f>
        <v>0</v>
      </c>
      <c r="K5304" s="5" t="str">
        <f aca="false">IF($J5304=FALSE(),"",COUNTIF($J$6:$J5304,TRUE()))</f>
        <v/>
      </c>
      <c r="L5304" s="5" t="str">
        <f aca="false">IF($K5304="","","R"&amp;$K5304)</f>
        <v/>
      </c>
    </row>
    <row r="5305" customFormat="false" ht="15" hidden="false" customHeight="true" outlineLevel="0" collapsed="false">
      <c r="J5305" s="14" t="b">
        <f aca="false">IF(중복검사!$A5303="",FALSE(),중복검사!$H5303="중복")</f>
        <v>0</v>
      </c>
      <c r="K5305" s="5" t="str">
        <f aca="false">IF($J5305=FALSE(),"",COUNTIF($J$6:$J5305,TRUE()))</f>
        <v/>
      </c>
      <c r="L5305" s="5" t="str">
        <f aca="false">IF($K5305="","","R"&amp;$K5305)</f>
        <v/>
      </c>
    </row>
    <row r="5306" customFormat="false" ht="15" hidden="false" customHeight="true" outlineLevel="0" collapsed="false">
      <c r="J5306" s="14" t="b">
        <f aca="false">IF(중복검사!$A5304="",FALSE(),중복검사!$H5304="중복")</f>
        <v>0</v>
      </c>
      <c r="K5306" s="5" t="str">
        <f aca="false">IF($J5306=FALSE(),"",COUNTIF($J$6:$J5306,TRUE()))</f>
        <v/>
      </c>
      <c r="L5306" s="5" t="str">
        <f aca="false">IF($K5306="","","R"&amp;$K5306)</f>
        <v/>
      </c>
    </row>
    <row r="5307" customFormat="false" ht="15" hidden="false" customHeight="true" outlineLevel="0" collapsed="false">
      <c r="J5307" s="14" t="b">
        <f aca="false">IF(중복검사!$A5305="",FALSE(),중복검사!$H5305="중복")</f>
        <v>0</v>
      </c>
      <c r="K5307" s="5" t="str">
        <f aca="false">IF($J5307=FALSE(),"",COUNTIF($J$6:$J5307,TRUE()))</f>
        <v/>
      </c>
      <c r="L5307" s="5" t="str">
        <f aca="false">IF($K5307="","","R"&amp;$K5307)</f>
        <v/>
      </c>
    </row>
    <row r="5308" customFormat="false" ht="15" hidden="false" customHeight="true" outlineLevel="0" collapsed="false">
      <c r="J5308" s="14" t="b">
        <f aca="false">IF(중복검사!$A5306="",FALSE(),중복검사!$H5306="중복")</f>
        <v>0</v>
      </c>
      <c r="K5308" s="5" t="str">
        <f aca="false">IF($J5308=FALSE(),"",COUNTIF($J$6:$J5308,TRUE()))</f>
        <v/>
      </c>
      <c r="L5308" s="5" t="str">
        <f aca="false">IF($K5308="","","R"&amp;$K5308)</f>
        <v/>
      </c>
    </row>
    <row r="5309" customFormat="false" ht="15" hidden="false" customHeight="true" outlineLevel="0" collapsed="false">
      <c r="J5309" s="14" t="b">
        <f aca="false">IF(중복검사!$A5307="",FALSE(),중복검사!$H5307="중복")</f>
        <v>0</v>
      </c>
      <c r="K5309" s="5" t="str">
        <f aca="false">IF($J5309=FALSE(),"",COUNTIF($J$6:$J5309,TRUE()))</f>
        <v/>
      </c>
      <c r="L5309" s="5" t="str">
        <f aca="false">IF($K5309="","","R"&amp;$K5309)</f>
        <v/>
      </c>
    </row>
    <row r="5310" customFormat="false" ht="15" hidden="false" customHeight="true" outlineLevel="0" collapsed="false">
      <c r="J5310" s="14" t="b">
        <f aca="false">IF(중복검사!$A5308="",FALSE(),중복검사!$H5308="중복")</f>
        <v>0</v>
      </c>
      <c r="K5310" s="5" t="str">
        <f aca="false">IF($J5310=FALSE(),"",COUNTIF($J$6:$J5310,TRUE()))</f>
        <v/>
      </c>
      <c r="L5310" s="5" t="str">
        <f aca="false">IF($K5310="","","R"&amp;$K5310)</f>
        <v/>
      </c>
    </row>
    <row r="5311" customFormat="false" ht="15" hidden="false" customHeight="true" outlineLevel="0" collapsed="false">
      <c r="J5311" s="14" t="b">
        <f aca="false">IF(중복검사!$A5309="",FALSE(),중복검사!$H5309="중복")</f>
        <v>0</v>
      </c>
      <c r="K5311" s="5" t="str">
        <f aca="false">IF($J5311=FALSE(),"",COUNTIF($J$6:$J5311,TRUE()))</f>
        <v/>
      </c>
      <c r="L5311" s="5" t="str">
        <f aca="false">IF($K5311="","","R"&amp;$K5311)</f>
        <v/>
      </c>
    </row>
    <row r="5312" customFormat="false" ht="15" hidden="false" customHeight="true" outlineLevel="0" collapsed="false">
      <c r="J5312" s="14" t="b">
        <f aca="false">IF(중복검사!$A5310="",FALSE(),중복검사!$H5310="중복")</f>
        <v>0</v>
      </c>
      <c r="K5312" s="5" t="str">
        <f aca="false">IF($J5312=FALSE(),"",COUNTIF($J$6:$J5312,TRUE()))</f>
        <v/>
      </c>
      <c r="L5312" s="5" t="str">
        <f aca="false">IF($K5312="","","R"&amp;$K5312)</f>
        <v/>
      </c>
    </row>
    <row r="5313" customFormat="false" ht="15" hidden="false" customHeight="true" outlineLevel="0" collapsed="false">
      <c r="J5313" s="14" t="b">
        <f aca="false">IF(중복검사!$A5311="",FALSE(),중복검사!$H5311="중복")</f>
        <v>0</v>
      </c>
      <c r="K5313" s="5" t="str">
        <f aca="false">IF($J5313=FALSE(),"",COUNTIF($J$6:$J5313,TRUE()))</f>
        <v/>
      </c>
      <c r="L5313" s="5" t="str">
        <f aca="false">IF($K5313="","","R"&amp;$K5313)</f>
        <v/>
      </c>
    </row>
    <row r="5314" customFormat="false" ht="15" hidden="false" customHeight="true" outlineLevel="0" collapsed="false">
      <c r="J5314" s="14" t="b">
        <f aca="false">IF(중복검사!$A5312="",FALSE(),중복검사!$H5312="중복")</f>
        <v>0</v>
      </c>
      <c r="K5314" s="5" t="str">
        <f aca="false">IF($J5314=FALSE(),"",COUNTIF($J$6:$J5314,TRUE()))</f>
        <v/>
      </c>
      <c r="L5314" s="5" t="str">
        <f aca="false">IF($K5314="","","R"&amp;$K5314)</f>
        <v/>
      </c>
    </row>
    <row r="5315" customFormat="false" ht="15" hidden="false" customHeight="true" outlineLevel="0" collapsed="false">
      <c r="J5315" s="14" t="b">
        <f aca="false">IF(중복검사!$A5313="",FALSE(),중복검사!$H5313="중복")</f>
        <v>0</v>
      </c>
      <c r="K5315" s="5" t="str">
        <f aca="false">IF($J5315=FALSE(),"",COUNTIF($J$6:$J5315,TRUE()))</f>
        <v/>
      </c>
      <c r="L5315" s="5" t="str">
        <f aca="false">IF($K5315="","","R"&amp;$K5315)</f>
        <v/>
      </c>
    </row>
    <row r="5316" customFormat="false" ht="15" hidden="false" customHeight="true" outlineLevel="0" collapsed="false">
      <c r="J5316" s="14" t="b">
        <f aca="false">IF(중복검사!$A5314="",FALSE(),중복검사!$H5314="중복")</f>
        <v>0</v>
      </c>
      <c r="K5316" s="5" t="str">
        <f aca="false">IF($J5316=FALSE(),"",COUNTIF($J$6:$J5316,TRUE()))</f>
        <v/>
      </c>
      <c r="L5316" s="5" t="str">
        <f aca="false">IF($K5316="","","R"&amp;$K5316)</f>
        <v/>
      </c>
    </row>
    <row r="5317" customFormat="false" ht="15" hidden="false" customHeight="true" outlineLevel="0" collapsed="false">
      <c r="J5317" s="14" t="b">
        <f aca="false">IF(중복검사!$A5315="",FALSE(),중복검사!$H5315="중복")</f>
        <v>0</v>
      </c>
      <c r="K5317" s="5" t="str">
        <f aca="false">IF($J5317=FALSE(),"",COUNTIF($J$6:$J5317,TRUE()))</f>
        <v/>
      </c>
      <c r="L5317" s="5" t="str">
        <f aca="false">IF($K5317="","","R"&amp;$K5317)</f>
        <v/>
      </c>
    </row>
    <row r="5318" customFormat="false" ht="15" hidden="false" customHeight="true" outlineLevel="0" collapsed="false">
      <c r="J5318" s="14" t="b">
        <f aca="false">IF(중복검사!$A5316="",FALSE(),중복검사!$H5316="중복")</f>
        <v>0</v>
      </c>
      <c r="K5318" s="5" t="str">
        <f aca="false">IF($J5318=FALSE(),"",COUNTIF($J$6:$J5318,TRUE()))</f>
        <v/>
      </c>
      <c r="L5318" s="5" t="str">
        <f aca="false">IF($K5318="","","R"&amp;$K5318)</f>
        <v/>
      </c>
    </row>
    <row r="5319" customFormat="false" ht="15" hidden="false" customHeight="true" outlineLevel="0" collapsed="false">
      <c r="J5319" s="14" t="b">
        <f aca="false">IF(중복검사!$A5317="",FALSE(),중복검사!$H5317="중복")</f>
        <v>0</v>
      </c>
      <c r="K5319" s="5" t="str">
        <f aca="false">IF($J5319=FALSE(),"",COUNTIF($J$6:$J5319,TRUE()))</f>
        <v/>
      </c>
      <c r="L5319" s="5" t="str">
        <f aca="false">IF($K5319="","","R"&amp;$K5319)</f>
        <v/>
      </c>
    </row>
    <row r="5320" customFormat="false" ht="15" hidden="false" customHeight="true" outlineLevel="0" collapsed="false">
      <c r="J5320" s="14" t="b">
        <f aca="false">IF(중복검사!$A5318="",FALSE(),중복검사!$H5318="중복")</f>
        <v>0</v>
      </c>
      <c r="K5320" s="5" t="str">
        <f aca="false">IF($J5320=FALSE(),"",COUNTIF($J$6:$J5320,TRUE()))</f>
        <v/>
      </c>
      <c r="L5320" s="5" t="str">
        <f aca="false">IF($K5320="","","R"&amp;$K5320)</f>
        <v/>
      </c>
    </row>
    <row r="5321" customFormat="false" ht="15" hidden="false" customHeight="true" outlineLevel="0" collapsed="false">
      <c r="J5321" s="14" t="b">
        <f aca="false">IF(중복검사!$A5319="",FALSE(),중복검사!$H5319="중복")</f>
        <v>0</v>
      </c>
      <c r="K5321" s="5" t="str">
        <f aca="false">IF($J5321=FALSE(),"",COUNTIF($J$6:$J5321,TRUE()))</f>
        <v/>
      </c>
      <c r="L5321" s="5" t="str">
        <f aca="false">IF($K5321="","","R"&amp;$K5321)</f>
        <v/>
      </c>
    </row>
    <row r="5322" customFormat="false" ht="15" hidden="false" customHeight="true" outlineLevel="0" collapsed="false">
      <c r="J5322" s="14" t="b">
        <f aca="false">IF(중복검사!$A5320="",FALSE(),중복검사!$H5320="중복")</f>
        <v>0</v>
      </c>
      <c r="K5322" s="5" t="str">
        <f aca="false">IF($J5322=FALSE(),"",COUNTIF($J$6:$J5322,TRUE()))</f>
        <v/>
      </c>
      <c r="L5322" s="5" t="str">
        <f aca="false">IF($K5322="","","R"&amp;$K5322)</f>
        <v/>
      </c>
    </row>
    <row r="5323" customFormat="false" ht="15" hidden="false" customHeight="true" outlineLevel="0" collapsed="false">
      <c r="J5323" s="14" t="b">
        <f aca="false">IF(중복검사!$A5321="",FALSE(),중복검사!$H5321="중복")</f>
        <v>0</v>
      </c>
      <c r="K5323" s="5" t="str">
        <f aca="false">IF($J5323=FALSE(),"",COUNTIF($J$6:$J5323,TRUE()))</f>
        <v/>
      </c>
      <c r="L5323" s="5" t="str">
        <f aca="false">IF($K5323="","","R"&amp;$K5323)</f>
        <v/>
      </c>
    </row>
    <row r="5324" customFormat="false" ht="15" hidden="false" customHeight="true" outlineLevel="0" collapsed="false">
      <c r="J5324" s="14" t="b">
        <f aca="false">IF(중복검사!$A5322="",FALSE(),중복검사!$H5322="중복")</f>
        <v>0</v>
      </c>
      <c r="K5324" s="5" t="str">
        <f aca="false">IF($J5324=FALSE(),"",COUNTIF($J$6:$J5324,TRUE()))</f>
        <v/>
      </c>
      <c r="L5324" s="5" t="str">
        <f aca="false">IF($K5324="","","R"&amp;$K5324)</f>
        <v/>
      </c>
    </row>
    <row r="5325" customFormat="false" ht="15" hidden="false" customHeight="true" outlineLevel="0" collapsed="false">
      <c r="J5325" s="14" t="b">
        <f aca="false">IF(중복검사!$A5323="",FALSE(),중복검사!$H5323="중복")</f>
        <v>0</v>
      </c>
      <c r="K5325" s="5" t="str">
        <f aca="false">IF($J5325=FALSE(),"",COUNTIF($J$6:$J5325,TRUE()))</f>
        <v/>
      </c>
      <c r="L5325" s="5" t="str">
        <f aca="false">IF($K5325="","","R"&amp;$K5325)</f>
        <v/>
      </c>
    </row>
    <row r="5326" customFormat="false" ht="15" hidden="false" customHeight="true" outlineLevel="0" collapsed="false">
      <c r="J5326" s="14" t="b">
        <f aca="false">IF(중복검사!$A5324="",FALSE(),중복검사!$H5324="중복")</f>
        <v>0</v>
      </c>
      <c r="K5326" s="5" t="str">
        <f aca="false">IF($J5326=FALSE(),"",COUNTIF($J$6:$J5326,TRUE()))</f>
        <v/>
      </c>
      <c r="L5326" s="5" t="str">
        <f aca="false">IF($K5326="","","R"&amp;$K5326)</f>
        <v/>
      </c>
    </row>
    <row r="5327" customFormat="false" ht="15" hidden="false" customHeight="true" outlineLevel="0" collapsed="false">
      <c r="J5327" s="14" t="b">
        <f aca="false">IF(중복검사!$A5325="",FALSE(),중복검사!$H5325="중복")</f>
        <v>0</v>
      </c>
      <c r="K5327" s="5" t="str">
        <f aca="false">IF($J5327=FALSE(),"",COUNTIF($J$6:$J5327,TRUE()))</f>
        <v/>
      </c>
      <c r="L5327" s="5" t="str">
        <f aca="false">IF($K5327="","","R"&amp;$K5327)</f>
        <v/>
      </c>
    </row>
    <row r="5328" customFormat="false" ht="15" hidden="false" customHeight="true" outlineLevel="0" collapsed="false">
      <c r="J5328" s="14" t="b">
        <f aca="false">IF(중복검사!$A5326="",FALSE(),중복검사!$H5326="중복")</f>
        <v>0</v>
      </c>
      <c r="K5328" s="5" t="str">
        <f aca="false">IF($J5328=FALSE(),"",COUNTIF($J$6:$J5328,TRUE()))</f>
        <v/>
      </c>
      <c r="L5328" s="5" t="str">
        <f aca="false">IF($K5328="","","R"&amp;$K5328)</f>
        <v/>
      </c>
    </row>
    <row r="5329" customFormat="false" ht="15" hidden="false" customHeight="true" outlineLevel="0" collapsed="false">
      <c r="J5329" s="14" t="b">
        <f aca="false">IF(중복검사!$A5327="",FALSE(),중복검사!$H5327="중복")</f>
        <v>0</v>
      </c>
      <c r="K5329" s="5" t="str">
        <f aca="false">IF($J5329=FALSE(),"",COUNTIF($J$6:$J5329,TRUE()))</f>
        <v/>
      </c>
      <c r="L5329" s="5" t="str">
        <f aca="false">IF($K5329="","","R"&amp;$K5329)</f>
        <v/>
      </c>
    </row>
    <row r="5330" customFormat="false" ht="15" hidden="false" customHeight="true" outlineLevel="0" collapsed="false">
      <c r="J5330" s="14" t="b">
        <f aca="false">IF(중복검사!$A5328="",FALSE(),중복검사!$H5328="중복")</f>
        <v>0</v>
      </c>
      <c r="K5330" s="5" t="str">
        <f aca="false">IF($J5330=FALSE(),"",COUNTIF($J$6:$J5330,TRUE()))</f>
        <v/>
      </c>
      <c r="L5330" s="5" t="str">
        <f aca="false">IF($K5330="","","R"&amp;$K5330)</f>
        <v/>
      </c>
    </row>
    <row r="5331" customFormat="false" ht="15" hidden="false" customHeight="true" outlineLevel="0" collapsed="false">
      <c r="J5331" s="14" t="b">
        <f aca="false">IF(중복검사!$A5329="",FALSE(),중복검사!$H5329="중복")</f>
        <v>0</v>
      </c>
      <c r="K5331" s="5" t="str">
        <f aca="false">IF($J5331=FALSE(),"",COUNTIF($J$6:$J5331,TRUE()))</f>
        <v/>
      </c>
      <c r="L5331" s="5" t="str">
        <f aca="false">IF($K5331="","","R"&amp;$K5331)</f>
        <v/>
      </c>
    </row>
    <row r="5332" customFormat="false" ht="15" hidden="false" customHeight="true" outlineLevel="0" collapsed="false">
      <c r="J5332" s="14" t="b">
        <f aca="false">IF(중복검사!$A5330="",FALSE(),중복검사!$H5330="중복")</f>
        <v>0</v>
      </c>
      <c r="K5332" s="5" t="str">
        <f aca="false">IF($J5332=FALSE(),"",COUNTIF($J$6:$J5332,TRUE()))</f>
        <v/>
      </c>
      <c r="L5332" s="5" t="str">
        <f aca="false">IF($K5332="","","R"&amp;$K5332)</f>
        <v/>
      </c>
    </row>
    <row r="5333" customFormat="false" ht="15" hidden="false" customHeight="true" outlineLevel="0" collapsed="false">
      <c r="J5333" s="14" t="b">
        <f aca="false">IF(중복검사!$A5331="",FALSE(),중복검사!$H5331="중복")</f>
        <v>0</v>
      </c>
      <c r="K5333" s="5" t="str">
        <f aca="false">IF($J5333=FALSE(),"",COUNTIF($J$6:$J5333,TRUE()))</f>
        <v/>
      </c>
      <c r="L5333" s="5" t="str">
        <f aca="false">IF($K5333="","","R"&amp;$K5333)</f>
        <v/>
      </c>
    </row>
    <row r="5334" customFormat="false" ht="15" hidden="false" customHeight="true" outlineLevel="0" collapsed="false">
      <c r="J5334" s="14" t="b">
        <f aca="false">IF(중복검사!$A5332="",FALSE(),중복검사!$H5332="중복")</f>
        <v>0</v>
      </c>
      <c r="K5334" s="5" t="str">
        <f aca="false">IF($J5334=FALSE(),"",COUNTIF($J$6:$J5334,TRUE()))</f>
        <v/>
      </c>
      <c r="L5334" s="5" t="str">
        <f aca="false">IF($K5334="","","R"&amp;$K5334)</f>
        <v/>
      </c>
    </row>
    <row r="5335" customFormat="false" ht="15" hidden="false" customHeight="true" outlineLevel="0" collapsed="false">
      <c r="J5335" s="14" t="b">
        <f aca="false">IF(중복검사!$A5333="",FALSE(),중복검사!$H5333="중복")</f>
        <v>0</v>
      </c>
      <c r="K5335" s="5" t="str">
        <f aca="false">IF($J5335=FALSE(),"",COUNTIF($J$6:$J5335,TRUE()))</f>
        <v/>
      </c>
      <c r="L5335" s="5" t="str">
        <f aca="false">IF($K5335="","","R"&amp;$K5335)</f>
        <v/>
      </c>
    </row>
    <row r="5336" customFormat="false" ht="15" hidden="false" customHeight="true" outlineLevel="0" collapsed="false">
      <c r="J5336" s="14" t="b">
        <f aca="false">IF(중복검사!$A5334="",FALSE(),중복검사!$H5334="중복")</f>
        <v>0</v>
      </c>
      <c r="K5336" s="5" t="str">
        <f aca="false">IF($J5336=FALSE(),"",COUNTIF($J$6:$J5336,TRUE()))</f>
        <v/>
      </c>
      <c r="L5336" s="5" t="str">
        <f aca="false">IF($K5336="","","R"&amp;$K5336)</f>
        <v/>
      </c>
    </row>
    <row r="5337" customFormat="false" ht="15" hidden="false" customHeight="true" outlineLevel="0" collapsed="false">
      <c r="J5337" s="14" t="b">
        <f aca="false">IF(중복검사!$A5335="",FALSE(),중복검사!$H5335="중복")</f>
        <v>0</v>
      </c>
      <c r="K5337" s="5" t="str">
        <f aca="false">IF($J5337=FALSE(),"",COUNTIF($J$6:$J5337,TRUE()))</f>
        <v/>
      </c>
      <c r="L5337" s="5" t="str">
        <f aca="false">IF($K5337="","","R"&amp;$K5337)</f>
        <v/>
      </c>
    </row>
    <row r="5338" customFormat="false" ht="15" hidden="false" customHeight="true" outlineLevel="0" collapsed="false">
      <c r="J5338" s="14" t="b">
        <f aca="false">IF(중복검사!$A5336="",FALSE(),중복검사!$H5336="중복")</f>
        <v>0</v>
      </c>
      <c r="K5338" s="5" t="str">
        <f aca="false">IF($J5338=FALSE(),"",COUNTIF($J$6:$J5338,TRUE()))</f>
        <v/>
      </c>
      <c r="L5338" s="5" t="str">
        <f aca="false">IF($K5338="","","R"&amp;$K5338)</f>
        <v/>
      </c>
    </row>
    <row r="5339" customFormat="false" ht="15" hidden="false" customHeight="true" outlineLevel="0" collapsed="false">
      <c r="J5339" s="14" t="b">
        <f aca="false">IF(중복검사!$A5337="",FALSE(),중복검사!$H5337="중복")</f>
        <v>0</v>
      </c>
      <c r="K5339" s="5" t="str">
        <f aca="false">IF($J5339=FALSE(),"",COUNTIF($J$6:$J5339,TRUE()))</f>
        <v/>
      </c>
      <c r="L5339" s="5" t="str">
        <f aca="false">IF($K5339="","","R"&amp;$K5339)</f>
        <v/>
      </c>
    </row>
    <row r="5340" customFormat="false" ht="15" hidden="false" customHeight="true" outlineLevel="0" collapsed="false">
      <c r="J5340" s="14" t="b">
        <f aca="false">IF(중복검사!$A5338="",FALSE(),중복검사!$H5338="중복")</f>
        <v>0</v>
      </c>
      <c r="K5340" s="5" t="str">
        <f aca="false">IF($J5340=FALSE(),"",COUNTIF($J$6:$J5340,TRUE()))</f>
        <v/>
      </c>
      <c r="L5340" s="5" t="str">
        <f aca="false">IF($K5340="","","R"&amp;$K5340)</f>
        <v/>
      </c>
    </row>
    <row r="5341" customFormat="false" ht="15" hidden="false" customHeight="true" outlineLevel="0" collapsed="false">
      <c r="J5341" s="14" t="b">
        <f aca="false">IF(중복검사!$A5339="",FALSE(),중복검사!$H5339="중복")</f>
        <v>0</v>
      </c>
      <c r="K5341" s="5" t="str">
        <f aca="false">IF($J5341=FALSE(),"",COUNTIF($J$6:$J5341,TRUE()))</f>
        <v/>
      </c>
      <c r="L5341" s="5" t="str">
        <f aca="false">IF($K5341="","","R"&amp;$K5341)</f>
        <v/>
      </c>
    </row>
    <row r="5342" customFormat="false" ht="15" hidden="false" customHeight="true" outlineLevel="0" collapsed="false">
      <c r="J5342" s="14" t="b">
        <f aca="false">IF(중복검사!$A5340="",FALSE(),중복검사!$H5340="중복")</f>
        <v>0</v>
      </c>
      <c r="K5342" s="5" t="str">
        <f aca="false">IF($J5342=FALSE(),"",COUNTIF($J$6:$J5342,TRUE()))</f>
        <v/>
      </c>
      <c r="L5342" s="5" t="str">
        <f aca="false">IF($K5342="","","R"&amp;$K5342)</f>
        <v/>
      </c>
    </row>
    <row r="5343" customFormat="false" ht="15" hidden="false" customHeight="true" outlineLevel="0" collapsed="false">
      <c r="J5343" s="14" t="b">
        <f aca="false">IF(중복검사!$A5341="",FALSE(),중복검사!$H5341="중복")</f>
        <v>0</v>
      </c>
      <c r="K5343" s="5" t="str">
        <f aca="false">IF($J5343=FALSE(),"",COUNTIF($J$6:$J5343,TRUE()))</f>
        <v/>
      </c>
      <c r="L5343" s="5" t="str">
        <f aca="false">IF($K5343="","","R"&amp;$K5343)</f>
        <v/>
      </c>
    </row>
    <row r="5344" customFormat="false" ht="15" hidden="false" customHeight="true" outlineLevel="0" collapsed="false">
      <c r="J5344" s="14" t="b">
        <f aca="false">IF(중복검사!$A5342="",FALSE(),중복검사!$H5342="중복")</f>
        <v>0</v>
      </c>
      <c r="K5344" s="5" t="str">
        <f aca="false">IF($J5344=FALSE(),"",COUNTIF($J$6:$J5344,TRUE()))</f>
        <v/>
      </c>
      <c r="L5344" s="5" t="str">
        <f aca="false">IF($K5344="","","R"&amp;$K5344)</f>
        <v/>
      </c>
    </row>
    <row r="5345" customFormat="false" ht="15" hidden="false" customHeight="true" outlineLevel="0" collapsed="false">
      <c r="J5345" s="14" t="b">
        <f aca="false">IF(중복검사!$A5343="",FALSE(),중복검사!$H5343="중복")</f>
        <v>0</v>
      </c>
      <c r="K5345" s="5" t="str">
        <f aca="false">IF($J5345=FALSE(),"",COUNTIF($J$6:$J5345,TRUE()))</f>
        <v/>
      </c>
      <c r="L5345" s="5" t="str">
        <f aca="false">IF($K5345="","","R"&amp;$K5345)</f>
        <v/>
      </c>
    </row>
    <row r="5346" customFormat="false" ht="15" hidden="false" customHeight="true" outlineLevel="0" collapsed="false">
      <c r="J5346" s="14" t="b">
        <f aca="false">IF(중복검사!$A5344="",FALSE(),중복검사!$H5344="중복")</f>
        <v>0</v>
      </c>
      <c r="K5346" s="5" t="str">
        <f aca="false">IF($J5346=FALSE(),"",COUNTIF($J$6:$J5346,TRUE()))</f>
        <v/>
      </c>
      <c r="L5346" s="5" t="str">
        <f aca="false">IF($K5346="","","R"&amp;$K5346)</f>
        <v/>
      </c>
    </row>
    <row r="5347" customFormat="false" ht="15" hidden="false" customHeight="true" outlineLevel="0" collapsed="false">
      <c r="J5347" s="14" t="b">
        <f aca="false">IF(중복검사!$A5345="",FALSE(),중복검사!$H5345="중복")</f>
        <v>0</v>
      </c>
      <c r="K5347" s="5" t="str">
        <f aca="false">IF($J5347=FALSE(),"",COUNTIF($J$6:$J5347,TRUE()))</f>
        <v/>
      </c>
      <c r="L5347" s="5" t="str">
        <f aca="false">IF($K5347="","","R"&amp;$K5347)</f>
        <v/>
      </c>
    </row>
    <row r="5348" customFormat="false" ht="15" hidden="false" customHeight="true" outlineLevel="0" collapsed="false">
      <c r="J5348" s="14" t="b">
        <f aca="false">IF(중복검사!$A5346="",FALSE(),중복검사!$H5346="중복")</f>
        <v>0</v>
      </c>
      <c r="K5348" s="5" t="str">
        <f aca="false">IF($J5348=FALSE(),"",COUNTIF($J$6:$J5348,TRUE()))</f>
        <v/>
      </c>
      <c r="L5348" s="5" t="str">
        <f aca="false">IF($K5348="","","R"&amp;$K5348)</f>
        <v/>
      </c>
    </row>
    <row r="5349" customFormat="false" ht="15" hidden="false" customHeight="true" outlineLevel="0" collapsed="false">
      <c r="J5349" s="14" t="b">
        <f aca="false">IF(중복검사!$A5347="",FALSE(),중복검사!$H5347="중복")</f>
        <v>0</v>
      </c>
      <c r="K5349" s="5" t="str">
        <f aca="false">IF($J5349=FALSE(),"",COUNTIF($J$6:$J5349,TRUE()))</f>
        <v/>
      </c>
      <c r="L5349" s="5" t="str">
        <f aca="false">IF($K5349="","","R"&amp;$K5349)</f>
        <v/>
      </c>
    </row>
    <row r="5350" customFormat="false" ht="15" hidden="false" customHeight="true" outlineLevel="0" collapsed="false">
      <c r="J5350" s="14" t="b">
        <f aca="false">IF(중복검사!$A5348="",FALSE(),중복검사!$H5348="중복")</f>
        <v>0</v>
      </c>
      <c r="K5350" s="5" t="str">
        <f aca="false">IF($J5350=FALSE(),"",COUNTIF($J$6:$J5350,TRUE()))</f>
        <v/>
      </c>
      <c r="L5350" s="5" t="str">
        <f aca="false">IF($K5350="","","R"&amp;$K5350)</f>
        <v/>
      </c>
    </row>
    <row r="5351" customFormat="false" ht="15" hidden="false" customHeight="true" outlineLevel="0" collapsed="false">
      <c r="J5351" s="14" t="b">
        <f aca="false">IF(중복검사!$A5349="",FALSE(),중복검사!$H5349="중복")</f>
        <v>0</v>
      </c>
      <c r="K5351" s="5" t="str">
        <f aca="false">IF($J5351=FALSE(),"",COUNTIF($J$6:$J5351,TRUE()))</f>
        <v/>
      </c>
      <c r="L5351" s="5" t="str">
        <f aca="false">IF($K5351="","","R"&amp;$K5351)</f>
        <v/>
      </c>
    </row>
    <row r="5352" customFormat="false" ht="15" hidden="false" customHeight="true" outlineLevel="0" collapsed="false">
      <c r="J5352" s="14" t="b">
        <f aca="false">IF(중복검사!$A5350="",FALSE(),중복검사!$H5350="중복")</f>
        <v>0</v>
      </c>
      <c r="K5352" s="5" t="str">
        <f aca="false">IF($J5352=FALSE(),"",COUNTIF($J$6:$J5352,TRUE()))</f>
        <v/>
      </c>
      <c r="L5352" s="5" t="str">
        <f aca="false">IF($K5352="","","R"&amp;$K5352)</f>
        <v/>
      </c>
    </row>
    <row r="5353" customFormat="false" ht="15" hidden="false" customHeight="true" outlineLevel="0" collapsed="false">
      <c r="J5353" s="14" t="b">
        <f aca="false">IF(중복검사!$A5351="",FALSE(),중복검사!$H5351="중복")</f>
        <v>0</v>
      </c>
      <c r="K5353" s="5" t="str">
        <f aca="false">IF($J5353=FALSE(),"",COUNTIF($J$6:$J5353,TRUE()))</f>
        <v/>
      </c>
      <c r="L5353" s="5" t="str">
        <f aca="false">IF($K5353="","","R"&amp;$K5353)</f>
        <v/>
      </c>
    </row>
    <row r="5354" customFormat="false" ht="15" hidden="false" customHeight="true" outlineLevel="0" collapsed="false">
      <c r="J5354" s="14" t="b">
        <f aca="false">IF(중복검사!$A5352="",FALSE(),중복검사!$H5352="중복")</f>
        <v>0</v>
      </c>
      <c r="K5354" s="5" t="str">
        <f aca="false">IF($J5354=FALSE(),"",COUNTIF($J$6:$J5354,TRUE()))</f>
        <v/>
      </c>
      <c r="L5354" s="5" t="str">
        <f aca="false">IF($K5354="","","R"&amp;$K5354)</f>
        <v/>
      </c>
    </row>
    <row r="5355" customFormat="false" ht="15" hidden="false" customHeight="true" outlineLevel="0" collapsed="false">
      <c r="J5355" s="14" t="b">
        <f aca="false">IF(중복검사!$A5353="",FALSE(),중복검사!$H5353="중복")</f>
        <v>0</v>
      </c>
      <c r="K5355" s="5" t="str">
        <f aca="false">IF($J5355=FALSE(),"",COUNTIF($J$6:$J5355,TRUE()))</f>
        <v/>
      </c>
      <c r="L5355" s="5" t="str">
        <f aca="false">IF($K5355="","","R"&amp;$K5355)</f>
        <v/>
      </c>
    </row>
    <row r="5356" customFormat="false" ht="15" hidden="false" customHeight="true" outlineLevel="0" collapsed="false">
      <c r="J5356" s="14" t="b">
        <f aca="false">IF(중복검사!$A5354="",FALSE(),중복검사!$H5354="중복")</f>
        <v>0</v>
      </c>
      <c r="K5356" s="5" t="str">
        <f aca="false">IF($J5356=FALSE(),"",COUNTIF($J$6:$J5356,TRUE()))</f>
        <v/>
      </c>
      <c r="L5356" s="5" t="str">
        <f aca="false">IF($K5356="","","R"&amp;$K5356)</f>
        <v/>
      </c>
    </row>
    <row r="5357" customFormat="false" ht="15" hidden="false" customHeight="true" outlineLevel="0" collapsed="false">
      <c r="J5357" s="14" t="b">
        <f aca="false">IF(중복검사!$A5355="",FALSE(),중복검사!$H5355="중복")</f>
        <v>0</v>
      </c>
      <c r="K5357" s="5" t="str">
        <f aca="false">IF($J5357=FALSE(),"",COUNTIF($J$6:$J5357,TRUE()))</f>
        <v/>
      </c>
      <c r="L5357" s="5" t="str">
        <f aca="false">IF($K5357="","","R"&amp;$K5357)</f>
        <v/>
      </c>
    </row>
    <row r="5358" customFormat="false" ht="15" hidden="false" customHeight="true" outlineLevel="0" collapsed="false">
      <c r="J5358" s="14" t="b">
        <f aca="false">IF(중복검사!$A5356="",FALSE(),중복검사!$H5356="중복")</f>
        <v>0</v>
      </c>
      <c r="K5358" s="5" t="str">
        <f aca="false">IF($J5358=FALSE(),"",COUNTIF($J$6:$J5358,TRUE()))</f>
        <v/>
      </c>
      <c r="L5358" s="5" t="str">
        <f aca="false">IF($K5358="","","R"&amp;$K5358)</f>
        <v/>
      </c>
    </row>
    <row r="5359" customFormat="false" ht="15" hidden="false" customHeight="true" outlineLevel="0" collapsed="false">
      <c r="J5359" s="14" t="b">
        <f aca="false">IF(중복검사!$A5357="",FALSE(),중복검사!$H5357="중복")</f>
        <v>0</v>
      </c>
      <c r="K5359" s="5" t="str">
        <f aca="false">IF($J5359=FALSE(),"",COUNTIF($J$6:$J5359,TRUE()))</f>
        <v/>
      </c>
      <c r="L5359" s="5" t="str">
        <f aca="false">IF($K5359="","","R"&amp;$K5359)</f>
        <v/>
      </c>
    </row>
    <row r="5360" customFormat="false" ht="15" hidden="false" customHeight="true" outlineLevel="0" collapsed="false">
      <c r="J5360" s="14" t="b">
        <f aca="false">IF(중복검사!$A5358="",FALSE(),중복검사!$H5358="중복")</f>
        <v>0</v>
      </c>
      <c r="K5360" s="5" t="str">
        <f aca="false">IF($J5360=FALSE(),"",COUNTIF($J$6:$J5360,TRUE()))</f>
        <v/>
      </c>
      <c r="L5360" s="5" t="str">
        <f aca="false">IF($K5360="","","R"&amp;$K5360)</f>
        <v/>
      </c>
    </row>
    <row r="5361" customFormat="false" ht="15" hidden="false" customHeight="true" outlineLevel="0" collapsed="false">
      <c r="J5361" s="14" t="b">
        <f aca="false">IF(중복검사!$A5359="",FALSE(),중복검사!$H5359="중복")</f>
        <v>0</v>
      </c>
      <c r="K5361" s="5" t="str">
        <f aca="false">IF($J5361=FALSE(),"",COUNTIF($J$6:$J5361,TRUE()))</f>
        <v/>
      </c>
      <c r="L5361" s="5" t="str">
        <f aca="false">IF($K5361="","","R"&amp;$K5361)</f>
        <v/>
      </c>
    </row>
    <row r="5362" customFormat="false" ht="15" hidden="false" customHeight="true" outlineLevel="0" collapsed="false">
      <c r="J5362" s="14" t="b">
        <f aca="false">IF(중복검사!$A5360="",FALSE(),중복검사!$H5360="중복")</f>
        <v>0</v>
      </c>
      <c r="K5362" s="5" t="str">
        <f aca="false">IF($J5362=FALSE(),"",COUNTIF($J$6:$J5362,TRUE()))</f>
        <v/>
      </c>
      <c r="L5362" s="5" t="str">
        <f aca="false">IF($K5362="","","R"&amp;$K5362)</f>
        <v/>
      </c>
    </row>
    <row r="5363" customFormat="false" ht="15" hidden="false" customHeight="true" outlineLevel="0" collapsed="false">
      <c r="J5363" s="14" t="b">
        <f aca="false">IF(중복검사!$A5361="",FALSE(),중복검사!$H5361="중복")</f>
        <v>0</v>
      </c>
      <c r="K5363" s="5" t="str">
        <f aca="false">IF($J5363=FALSE(),"",COUNTIF($J$6:$J5363,TRUE()))</f>
        <v/>
      </c>
      <c r="L5363" s="5" t="str">
        <f aca="false">IF($K5363="","","R"&amp;$K5363)</f>
        <v/>
      </c>
    </row>
    <row r="5364" customFormat="false" ht="15" hidden="false" customHeight="true" outlineLevel="0" collapsed="false">
      <c r="J5364" s="14" t="b">
        <f aca="false">IF(중복검사!$A5362="",FALSE(),중복검사!$H5362="중복")</f>
        <v>0</v>
      </c>
      <c r="K5364" s="5" t="str">
        <f aca="false">IF($J5364=FALSE(),"",COUNTIF($J$6:$J5364,TRUE()))</f>
        <v/>
      </c>
      <c r="L5364" s="5" t="str">
        <f aca="false">IF($K5364="","","R"&amp;$K5364)</f>
        <v/>
      </c>
    </row>
    <row r="5365" customFormat="false" ht="15" hidden="false" customHeight="true" outlineLevel="0" collapsed="false">
      <c r="J5365" s="14" t="b">
        <f aca="false">IF(중복검사!$A5363="",FALSE(),중복검사!$H5363="중복")</f>
        <v>0</v>
      </c>
      <c r="K5365" s="5" t="str">
        <f aca="false">IF($J5365=FALSE(),"",COUNTIF($J$6:$J5365,TRUE()))</f>
        <v/>
      </c>
      <c r="L5365" s="5" t="str">
        <f aca="false">IF($K5365="","","R"&amp;$K5365)</f>
        <v/>
      </c>
    </row>
    <row r="5366" customFormat="false" ht="15" hidden="false" customHeight="true" outlineLevel="0" collapsed="false">
      <c r="J5366" s="14" t="b">
        <f aca="false">IF(중복검사!$A5364="",FALSE(),중복검사!$H5364="중복")</f>
        <v>0</v>
      </c>
      <c r="K5366" s="5" t="str">
        <f aca="false">IF($J5366=FALSE(),"",COUNTIF($J$6:$J5366,TRUE()))</f>
        <v/>
      </c>
      <c r="L5366" s="5" t="str">
        <f aca="false">IF($K5366="","","R"&amp;$K5366)</f>
        <v/>
      </c>
    </row>
    <row r="5367" customFormat="false" ht="15" hidden="false" customHeight="true" outlineLevel="0" collapsed="false">
      <c r="J5367" s="14" t="b">
        <f aca="false">IF(중복검사!$A5365="",FALSE(),중복검사!$H5365="중복")</f>
        <v>0</v>
      </c>
      <c r="K5367" s="5" t="str">
        <f aca="false">IF($J5367=FALSE(),"",COUNTIF($J$6:$J5367,TRUE()))</f>
        <v/>
      </c>
      <c r="L5367" s="5" t="str">
        <f aca="false">IF($K5367="","","R"&amp;$K5367)</f>
        <v/>
      </c>
    </row>
    <row r="5368" customFormat="false" ht="15" hidden="false" customHeight="true" outlineLevel="0" collapsed="false">
      <c r="J5368" s="14" t="b">
        <f aca="false">IF(중복검사!$A5366="",FALSE(),중복검사!$H5366="중복")</f>
        <v>0</v>
      </c>
      <c r="K5368" s="5" t="str">
        <f aca="false">IF($J5368=FALSE(),"",COUNTIF($J$6:$J5368,TRUE()))</f>
        <v/>
      </c>
      <c r="L5368" s="5" t="str">
        <f aca="false">IF($K5368="","","R"&amp;$K5368)</f>
        <v/>
      </c>
    </row>
    <row r="5369" customFormat="false" ht="15" hidden="false" customHeight="true" outlineLevel="0" collapsed="false">
      <c r="J5369" s="14" t="b">
        <f aca="false">IF(중복검사!$A5367="",FALSE(),중복검사!$H5367="중복")</f>
        <v>0</v>
      </c>
      <c r="K5369" s="5" t="str">
        <f aca="false">IF($J5369=FALSE(),"",COUNTIF($J$6:$J5369,TRUE()))</f>
        <v/>
      </c>
      <c r="L5369" s="5" t="str">
        <f aca="false">IF($K5369="","","R"&amp;$K5369)</f>
        <v/>
      </c>
    </row>
    <row r="5370" customFormat="false" ht="15" hidden="false" customHeight="true" outlineLevel="0" collapsed="false">
      <c r="J5370" s="14" t="b">
        <f aca="false">IF(중복검사!$A5368="",FALSE(),중복검사!$H5368="중복")</f>
        <v>0</v>
      </c>
      <c r="K5370" s="5" t="str">
        <f aca="false">IF($J5370=FALSE(),"",COUNTIF($J$6:$J5370,TRUE()))</f>
        <v/>
      </c>
      <c r="L5370" s="5" t="str">
        <f aca="false">IF($K5370="","","R"&amp;$K5370)</f>
        <v/>
      </c>
    </row>
    <row r="5371" customFormat="false" ht="15" hidden="false" customHeight="true" outlineLevel="0" collapsed="false">
      <c r="J5371" s="14" t="b">
        <f aca="false">IF(중복검사!$A5369="",FALSE(),중복검사!$H5369="중복")</f>
        <v>0</v>
      </c>
      <c r="K5371" s="5" t="str">
        <f aca="false">IF($J5371=FALSE(),"",COUNTIF($J$6:$J5371,TRUE()))</f>
        <v/>
      </c>
      <c r="L5371" s="5" t="str">
        <f aca="false">IF($K5371="","","R"&amp;$K5371)</f>
        <v/>
      </c>
    </row>
    <row r="5372" customFormat="false" ht="15" hidden="false" customHeight="true" outlineLevel="0" collapsed="false">
      <c r="J5372" s="14" t="b">
        <f aca="false">IF(중복검사!$A5370="",FALSE(),중복검사!$H5370="중복")</f>
        <v>0</v>
      </c>
      <c r="K5372" s="5" t="str">
        <f aca="false">IF($J5372=FALSE(),"",COUNTIF($J$6:$J5372,TRUE()))</f>
        <v/>
      </c>
      <c r="L5372" s="5" t="str">
        <f aca="false">IF($K5372="","","R"&amp;$K5372)</f>
        <v/>
      </c>
    </row>
    <row r="5373" customFormat="false" ht="15" hidden="false" customHeight="true" outlineLevel="0" collapsed="false">
      <c r="J5373" s="14" t="b">
        <f aca="false">IF(중복검사!$A5371="",FALSE(),중복검사!$H5371="중복")</f>
        <v>0</v>
      </c>
      <c r="K5373" s="5" t="str">
        <f aca="false">IF($J5373=FALSE(),"",COUNTIF($J$6:$J5373,TRUE()))</f>
        <v/>
      </c>
      <c r="L5373" s="5" t="str">
        <f aca="false">IF($K5373="","","R"&amp;$K5373)</f>
        <v/>
      </c>
    </row>
    <row r="5374" customFormat="false" ht="15" hidden="false" customHeight="true" outlineLevel="0" collapsed="false">
      <c r="J5374" s="14" t="b">
        <f aca="false">IF(중복검사!$A5372="",FALSE(),중복검사!$H5372="중복")</f>
        <v>0</v>
      </c>
      <c r="K5374" s="5" t="str">
        <f aca="false">IF($J5374=FALSE(),"",COUNTIF($J$6:$J5374,TRUE()))</f>
        <v/>
      </c>
      <c r="L5374" s="5" t="str">
        <f aca="false">IF($K5374="","","R"&amp;$K5374)</f>
        <v/>
      </c>
    </row>
    <row r="5375" customFormat="false" ht="15" hidden="false" customHeight="true" outlineLevel="0" collapsed="false">
      <c r="J5375" s="14" t="b">
        <f aca="false">IF(중복검사!$A5373="",FALSE(),중복검사!$H5373="중복")</f>
        <v>0</v>
      </c>
      <c r="K5375" s="5" t="str">
        <f aca="false">IF($J5375=FALSE(),"",COUNTIF($J$6:$J5375,TRUE()))</f>
        <v/>
      </c>
      <c r="L5375" s="5" t="str">
        <f aca="false">IF($K5375="","","R"&amp;$K5375)</f>
        <v/>
      </c>
    </row>
    <row r="5376" customFormat="false" ht="15" hidden="false" customHeight="true" outlineLevel="0" collapsed="false">
      <c r="J5376" s="14" t="b">
        <f aca="false">IF(중복검사!$A5374="",FALSE(),중복검사!$H5374="중복")</f>
        <v>0</v>
      </c>
      <c r="K5376" s="5" t="str">
        <f aca="false">IF($J5376=FALSE(),"",COUNTIF($J$6:$J5376,TRUE()))</f>
        <v/>
      </c>
      <c r="L5376" s="5" t="str">
        <f aca="false">IF($K5376="","","R"&amp;$K5376)</f>
        <v/>
      </c>
    </row>
    <row r="5377" customFormat="false" ht="15" hidden="false" customHeight="true" outlineLevel="0" collapsed="false">
      <c r="J5377" s="14" t="b">
        <f aca="false">IF(중복검사!$A5375="",FALSE(),중복검사!$H5375="중복")</f>
        <v>0</v>
      </c>
      <c r="K5377" s="5" t="str">
        <f aca="false">IF($J5377=FALSE(),"",COUNTIF($J$6:$J5377,TRUE()))</f>
        <v/>
      </c>
      <c r="L5377" s="5" t="str">
        <f aca="false">IF($K5377="","","R"&amp;$K5377)</f>
        <v/>
      </c>
    </row>
    <row r="5378" customFormat="false" ht="15" hidden="false" customHeight="true" outlineLevel="0" collapsed="false">
      <c r="J5378" s="14" t="b">
        <f aca="false">IF(중복검사!$A5376="",FALSE(),중복검사!$H5376="중복")</f>
        <v>0</v>
      </c>
      <c r="K5378" s="5" t="str">
        <f aca="false">IF($J5378=FALSE(),"",COUNTIF($J$6:$J5378,TRUE()))</f>
        <v/>
      </c>
      <c r="L5378" s="5" t="str">
        <f aca="false">IF($K5378="","","R"&amp;$K5378)</f>
        <v/>
      </c>
    </row>
    <row r="5379" customFormat="false" ht="15" hidden="false" customHeight="true" outlineLevel="0" collapsed="false">
      <c r="J5379" s="14" t="b">
        <f aca="false">IF(중복검사!$A5377="",FALSE(),중복검사!$H5377="중복")</f>
        <v>0</v>
      </c>
      <c r="K5379" s="5" t="str">
        <f aca="false">IF($J5379=FALSE(),"",COUNTIF($J$6:$J5379,TRUE()))</f>
        <v/>
      </c>
      <c r="L5379" s="5" t="str">
        <f aca="false">IF($K5379="","","R"&amp;$K5379)</f>
        <v/>
      </c>
    </row>
    <row r="5380" customFormat="false" ht="15" hidden="false" customHeight="true" outlineLevel="0" collapsed="false">
      <c r="J5380" s="14" t="b">
        <f aca="false">IF(중복검사!$A5378="",FALSE(),중복검사!$H5378="중복")</f>
        <v>0</v>
      </c>
      <c r="K5380" s="5" t="str">
        <f aca="false">IF($J5380=FALSE(),"",COUNTIF($J$6:$J5380,TRUE()))</f>
        <v/>
      </c>
      <c r="L5380" s="5" t="str">
        <f aca="false">IF($K5380="","","R"&amp;$K5380)</f>
        <v/>
      </c>
    </row>
    <row r="5381" customFormat="false" ht="15" hidden="false" customHeight="true" outlineLevel="0" collapsed="false">
      <c r="J5381" s="14" t="b">
        <f aca="false">IF(중복검사!$A5379="",FALSE(),중복검사!$H5379="중복")</f>
        <v>0</v>
      </c>
      <c r="K5381" s="5" t="str">
        <f aca="false">IF($J5381=FALSE(),"",COUNTIF($J$6:$J5381,TRUE()))</f>
        <v/>
      </c>
      <c r="L5381" s="5" t="str">
        <f aca="false">IF($K5381="","","R"&amp;$K5381)</f>
        <v/>
      </c>
    </row>
    <row r="5382" customFormat="false" ht="15" hidden="false" customHeight="true" outlineLevel="0" collapsed="false">
      <c r="J5382" s="14" t="b">
        <f aca="false">IF(중복검사!$A5380="",FALSE(),중복검사!$H5380="중복")</f>
        <v>0</v>
      </c>
      <c r="K5382" s="5" t="str">
        <f aca="false">IF($J5382=FALSE(),"",COUNTIF($J$6:$J5382,TRUE()))</f>
        <v/>
      </c>
      <c r="L5382" s="5" t="str">
        <f aca="false">IF($K5382="","","R"&amp;$K5382)</f>
        <v/>
      </c>
    </row>
    <row r="5383" customFormat="false" ht="15" hidden="false" customHeight="true" outlineLevel="0" collapsed="false">
      <c r="J5383" s="14" t="b">
        <f aca="false">IF(중복검사!$A5381="",FALSE(),중복검사!$H5381="중복")</f>
        <v>0</v>
      </c>
      <c r="K5383" s="5" t="str">
        <f aca="false">IF($J5383=FALSE(),"",COUNTIF($J$6:$J5383,TRUE()))</f>
        <v/>
      </c>
      <c r="L5383" s="5" t="str">
        <f aca="false">IF($K5383="","","R"&amp;$K5383)</f>
        <v/>
      </c>
    </row>
    <row r="5384" customFormat="false" ht="15" hidden="false" customHeight="true" outlineLevel="0" collapsed="false">
      <c r="J5384" s="14" t="b">
        <f aca="false">IF(중복검사!$A5382="",FALSE(),중복검사!$H5382="중복")</f>
        <v>0</v>
      </c>
      <c r="K5384" s="5" t="str">
        <f aca="false">IF($J5384=FALSE(),"",COUNTIF($J$6:$J5384,TRUE()))</f>
        <v/>
      </c>
      <c r="L5384" s="5" t="str">
        <f aca="false">IF($K5384="","","R"&amp;$K5384)</f>
        <v/>
      </c>
    </row>
    <row r="5385" customFormat="false" ht="15" hidden="false" customHeight="true" outlineLevel="0" collapsed="false">
      <c r="J5385" s="14" t="b">
        <f aca="false">IF(중복검사!$A5383="",FALSE(),중복검사!$H5383="중복")</f>
        <v>0</v>
      </c>
      <c r="K5385" s="5" t="str">
        <f aca="false">IF($J5385=FALSE(),"",COUNTIF($J$6:$J5385,TRUE()))</f>
        <v/>
      </c>
      <c r="L5385" s="5" t="str">
        <f aca="false">IF($K5385="","","R"&amp;$K5385)</f>
        <v/>
      </c>
    </row>
    <row r="5386" customFormat="false" ht="15" hidden="false" customHeight="true" outlineLevel="0" collapsed="false">
      <c r="J5386" s="14" t="b">
        <f aca="false">IF(중복검사!$A5384="",FALSE(),중복검사!$H5384="중복")</f>
        <v>0</v>
      </c>
      <c r="K5386" s="5" t="str">
        <f aca="false">IF($J5386=FALSE(),"",COUNTIF($J$6:$J5386,TRUE()))</f>
        <v/>
      </c>
      <c r="L5386" s="5" t="str">
        <f aca="false">IF($K5386="","","R"&amp;$K5386)</f>
        <v/>
      </c>
    </row>
    <row r="5387" customFormat="false" ht="15" hidden="false" customHeight="true" outlineLevel="0" collapsed="false">
      <c r="J5387" s="14" t="b">
        <f aca="false">IF(중복검사!$A5385="",FALSE(),중복검사!$H5385="중복")</f>
        <v>0</v>
      </c>
      <c r="K5387" s="5" t="str">
        <f aca="false">IF($J5387=FALSE(),"",COUNTIF($J$6:$J5387,TRUE()))</f>
        <v/>
      </c>
      <c r="L5387" s="5" t="str">
        <f aca="false">IF($K5387="","","R"&amp;$K5387)</f>
        <v/>
      </c>
    </row>
    <row r="5388" customFormat="false" ht="15" hidden="false" customHeight="true" outlineLevel="0" collapsed="false">
      <c r="J5388" s="14" t="b">
        <f aca="false">IF(중복검사!$A5386="",FALSE(),중복검사!$H5386="중복")</f>
        <v>0</v>
      </c>
      <c r="K5388" s="5" t="str">
        <f aca="false">IF($J5388=FALSE(),"",COUNTIF($J$6:$J5388,TRUE()))</f>
        <v/>
      </c>
      <c r="L5388" s="5" t="str">
        <f aca="false">IF($K5388="","","R"&amp;$K5388)</f>
        <v/>
      </c>
    </row>
    <row r="5389" customFormat="false" ht="15" hidden="false" customHeight="true" outlineLevel="0" collapsed="false">
      <c r="J5389" s="14" t="b">
        <f aca="false">IF(중복검사!$A5387="",FALSE(),중복검사!$H5387="중복")</f>
        <v>0</v>
      </c>
      <c r="K5389" s="5" t="str">
        <f aca="false">IF($J5389=FALSE(),"",COUNTIF($J$6:$J5389,TRUE()))</f>
        <v/>
      </c>
      <c r="L5389" s="5" t="str">
        <f aca="false">IF($K5389="","","R"&amp;$K5389)</f>
        <v/>
      </c>
    </row>
    <row r="5390" customFormat="false" ht="15" hidden="false" customHeight="true" outlineLevel="0" collapsed="false">
      <c r="J5390" s="14" t="b">
        <f aca="false">IF(중복검사!$A5388="",FALSE(),중복검사!$H5388="중복")</f>
        <v>0</v>
      </c>
      <c r="K5390" s="5" t="str">
        <f aca="false">IF($J5390=FALSE(),"",COUNTIF($J$6:$J5390,TRUE()))</f>
        <v/>
      </c>
      <c r="L5390" s="5" t="str">
        <f aca="false">IF($K5390="","","R"&amp;$K5390)</f>
        <v/>
      </c>
    </row>
    <row r="5391" customFormat="false" ht="15" hidden="false" customHeight="true" outlineLevel="0" collapsed="false">
      <c r="J5391" s="14" t="b">
        <f aca="false">IF(중복검사!$A5389="",FALSE(),중복검사!$H5389="중복")</f>
        <v>0</v>
      </c>
      <c r="K5391" s="5" t="str">
        <f aca="false">IF($J5391=FALSE(),"",COUNTIF($J$6:$J5391,TRUE()))</f>
        <v/>
      </c>
      <c r="L5391" s="5" t="str">
        <f aca="false">IF($K5391="","","R"&amp;$K5391)</f>
        <v/>
      </c>
    </row>
    <row r="5392" customFormat="false" ht="15" hidden="false" customHeight="true" outlineLevel="0" collapsed="false">
      <c r="J5392" s="14" t="b">
        <f aca="false">IF(중복검사!$A5390="",FALSE(),중복검사!$H5390="중복")</f>
        <v>0</v>
      </c>
      <c r="K5392" s="5" t="str">
        <f aca="false">IF($J5392=FALSE(),"",COUNTIF($J$6:$J5392,TRUE()))</f>
        <v/>
      </c>
      <c r="L5392" s="5" t="str">
        <f aca="false">IF($K5392="","","R"&amp;$K5392)</f>
        <v/>
      </c>
    </row>
    <row r="5393" customFormat="false" ht="15" hidden="false" customHeight="true" outlineLevel="0" collapsed="false">
      <c r="J5393" s="14" t="b">
        <f aca="false">IF(중복검사!$A5391="",FALSE(),중복검사!$H5391="중복")</f>
        <v>0</v>
      </c>
      <c r="K5393" s="5" t="str">
        <f aca="false">IF($J5393=FALSE(),"",COUNTIF($J$6:$J5393,TRUE()))</f>
        <v/>
      </c>
      <c r="L5393" s="5" t="str">
        <f aca="false">IF($K5393="","","R"&amp;$K5393)</f>
        <v/>
      </c>
    </row>
    <row r="5394" customFormat="false" ht="15" hidden="false" customHeight="true" outlineLevel="0" collapsed="false">
      <c r="J5394" s="14" t="b">
        <f aca="false">IF(중복검사!$A5392="",FALSE(),중복검사!$H5392="중복")</f>
        <v>0</v>
      </c>
      <c r="K5394" s="5" t="str">
        <f aca="false">IF($J5394=FALSE(),"",COUNTIF($J$6:$J5394,TRUE()))</f>
        <v/>
      </c>
      <c r="L5394" s="5" t="str">
        <f aca="false">IF($K5394="","","R"&amp;$K5394)</f>
        <v/>
      </c>
    </row>
    <row r="5395" customFormat="false" ht="15" hidden="false" customHeight="true" outlineLevel="0" collapsed="false">
      <c r="J5395" s="14" t="b">
        <f aca="false">IF(중복검사!$A5393="",FALSE(),중복검사!$H5393="중복")</f>
        <v>0</v>
      </c>
      <c r="K5395" s="5" t="str">
        <f aca="false">IF($J5395=FALSE(),"",COUNTIF($J$6:$J5395,TRUE()))</f>
        <v/>
      </c>
      <c r="L5395" s="5" t="str">
        <f aca="false">IF($K5395="","","R"&amp;$K5395)</f>
        <v/>
      </c>
    </row>
    <row r="5396" customFormat="false" ht="15" hidden="false" customHeight="true" outlineLevel="0" collapsed="false">
      <c r="J5396" s="14" t="b">
        <f aca="false">IF(중복검사!$A5394="",FALSE(),중복검사!$H5394="중복")</f>
        <v>0</v>
      </c>
      <c r="K5396" s="5" t="str">
        <f aca="false">IF($J5396=FALSE(),"",COUNTIF($J$6:$J5396,TRUE()))</f>
        <v/>
      </c>
      <c r="L5396" s="5" t="str">
        <f aca="false">IF($K5396="","","R"&amp;$K5396)</f>
        <v/>
      </c>
    </row>
    <row r="5397" customFormat="false" ht="15" hidden="false" customHeight="true" outlineLevel="0" collapsed="false">
      <c r="J5397" s="14" t="b">
        <f aca="false">IF(중복검사!$A5395="",FALSE(),중복검사!$H5395="중복")</f>
        <v>0</v>
      </c>
      <c r="K5397" s="5" t="str">
        <f aca="false">IF($J5397=FALSE(),"",COUNTIF($J$6:$J5397,TRUE()))</f>
        <v/>
      </c>
      <c r="L5397" s="5" t="str">
        <f aca="false">IF($K5397="","","R"&amp;$K5397)</f>
        <v/>
      </c>
    </row>
    <row r="5398" customFormat="false" ht="15" hidden="false" customHeight="true" outlineLevel="0" collapsed="false">
      <c r="J5398" s="14" t="b">
        <f aca="false">IF(중복검사!$A5396="",FALSE(),중복검사!$H5396="중복")</f>
        <v>0</v>
      </c>
      <c r="K5398" s="5" t="str">
        <f aca="false">IF($J5398=FALSE(),"",COUNTIF($J$6:$J5398,TRUE()))</f>
        <v/>
      </c>
      <c r="L5398" s="5" t="str">
        <f aca="false">IF($K5398="","","R"&amp;$K5398)</f>
        <v/>
      </c>
    </row>
    <row r="5399" customFormat="false" ht="15" hidden="false" customHeight="true" outlineLevel="0" collapsed="false">
      <c r="J5399" s="14" t="b">
        <f aca="false">IF(중복검사!$A5397="",FALSE(),중복검사!$H5397="중복")</f>
        <v>0</v>
      </c>
      <c r="K5399" s="5" t="str">
        <f aca="false">IF($J5399=FALSE(),"",COUNTIF($J$6:$J5399,TRUE()))</f>
        <v/>
      </c>
      <c r="L5399" s="5" t="str">
        <f aca="false">IF($K5399="","","R"&amp;$K5399)</f>
        <v/>
      </c>
    </row>
    <row r="5400" customFormat="false" ht="15" hidden="false" customHeight="true" outlineLevel="0" collapsed="false">
      <c r="J5400" s="14" t="b">
        <f aca="false">IF(중복검사!$A5398="",FALSE(),중복검사!$H5398="중복")</f>
        <v>0</v>
      </c>
      <c r="K5400" s="5" t="str">
        <f aca="false">IF($J5400=FALSE(),"",COUNTIF($J$6:$J5400,TRUE()))</f>
        <v/>
      </c>
      <c r="L5400" s="5" t="str">
        <f aca="false">IF($K5400="","","R"&amp;$K5400)</f>
        <v/>
      </c>
    </row>
    <row r="5401" customFormat="false" ht="15" hidden="false" customHeight="true" outlineLevel="0" collapsed="false">
      <c r="J5401" s="14" t="b">
        <f aca="false">IF(중복검사!$A5399="",FALSE(),중복검사!$H5399="중복")</f>
        <v>0</v>
      </c>
      <c r="K5401" s="5" t="str">
        <f aca="false">IF($J5401=FALSE(),"",COUNTIF($J$6:$J5401,TRUE()))</f>
        <v/>
      </c>
      <c r="L5401" s="5" t="str">
        <f aca="false">IF($K5401="","","R"&amp;$K5401)</f>
        <v/>
      </c>
    </row>
    <row r="5402" customFormat="false" ht="15" hidden="false" customHeight="true" outlineLevel="0" collapsed="false">
      <c r="J5402" s="14" t="b">
        <f aca="false">IF(중복검사!$A5400="",FALSE(),중복검사!$H5400="중복")</f>
        <v>0</v>
      </c>
      <c r="K5402" s="5" t="str">
        <f aca="false">IF($J5402=FALSE(),"",COUNTIF($J$6:$J5402,TRUE()))</f>
        <v/>
      </c>
      <c r="L5402" s="5" t="str">
        <f aca="false">IF($K5402="","","R"&amp;$K5402)</f>
        <v/>
      </c>
    </row>
    <row r="5403" customFormat="false" ht="15" hidden="false" customHeight="true" outlineLevel="0" collapsed="false">
      <c r="J5403" s="14" t="b">
        <f aca="false">IF(중복검사!$A5401="",FALSE(),중복검사!$H5401="중복")</f>
        <v>0</v>
      </c>
      <c r="K5403" s="5" t="str">
        <f aca="false">IF($J5403=FALSE(),"",COUNTIF($J$6:$J5403,TRUE()))</f>
        <v/>
      </c>
      <c r="L5403" s="5" t="str">
        <f aca="false">IF($K5403="","","R"&amp;$K5403)</f>
        <v/>
      </c>
    </row>
    <row r="5404" customFormat="false" ht="15" hidden="false" customHeight="true" outlineLevel="0" collapsed="false">
      <c r="J5404" s="14" t="b">
        <f aca="false">IF(중복검사!$A5402="",FALSE(),중복검사!$H5402="중복")</f>
        <v>0</v>
      </c>
      <c r="K5404" s="5" t="str">
        <f aca="false">IF($J5404=FALSE(),"",COUNTIF($J$6:$J5404,TRUE()))</f>
        <v/>
      </c>
      <c r="L5404" s="5" t="str">
        <f aca="false">IF($K5404="","","R"&amp;$K5404)</f>
        <v/>
      </c>
    </row>
    <row r="5405" customFormat="false" ht="15" hidden="false" customHeight="true" outlineLevel="0" collapsed="false">
      <c r="J5405" s="14" t="b">
        <f aca="false">IF(중복검사!$A5403="",FALSE(),중복검사!$H5403="중복")</f>
        <v>0</v>
      </c>
      <c r="K5405" s="5" t="str">
        <f aca="false">IF($J5405=FALSE(),"",COUNTIF($J$6:$J5405,TRUE()))</f>
        <v/>
      </c>
      <c r="L5405" s="5" t="str">
        <f aca="false">IF($K5405="","","R"&amp;$K5405)</f>
        <v/>
      </c>
    </row>
    <row r="5406" customFormat="false" ht="15" hidden="false" customHeight="true" outlineLevel="0" collapsed="false">
      <c r="J5406" s="14" t="b">
        <f aca="false">IF(중복검사!$A5404="",FALSE(),중복검사!$H5404="중복")</f>
        <v>0</v>
      </c>
      <c r="K5406" s="5" t="str">
        <f aca="false">IF($J5406=FALSE(),"",COUNTIF($J$6:$J5406,TRUE()))</f>
        <v/>
      </c>
      <c r="L5406" s="5" t="str">
        <f aca="false">IF($K5406="","","R"&amp;$K5406)</f>
        <v/>
      </c>
    </row>
    <row r="5407" customFormat="false" ht="15" hidden="false" customHeight="true" outlineLevel="0" collapsed="false">
      <c r="J5407" s="14" t="b">
        <f aca="false">IF(중복검사!$A5405="",FALSE(),중복검사!$H5405="중복")</f>
        <v>0</v>
      </c>
      <c r="K5407" s="5" t="str">
        <f aca="false">IF($J5407=FALSE(),"",COUNTIF($J$6:$J5407,TRUE()))</f>
        <v/>
      </c>
      <c r="L5407" s="5" t="str">
        <f aca="false">IF($K5407="","","R"&amp;$K5407)</f>
        <v/>
      </c>
    </row>
    <row r="5408" customFormat="false" ht="15" hidden="false" customHeight="true" outlineLevel="0" collapsed="false">
      <c r="J5408" s="14" t="b">
        <f aca="false">IF(중복검사!$A5406="",FALSE(),중복검사!$H5406="중복")</f>
        <v>0</v>
      </c>
      <c r="K5408" s="5" t="str">
        <f aca="false">IF($J5408=FALSE(),"",COUNTIF($J$6:$J5408,TRUE()))</f>
        <v/>
      </c>
      <c r="L5408" s="5" t="str">
        <f aca="false">IF($K5408="","","R"&amp;$K5408)</f>
        <v/>
      </c>
    </row>
    <row r="5409" customFormat="false" ht="15" hidden="false" customHeight="true" outlineLevel="0" collapsed="false">
      <c r="J5409" s="14" t="b">
        <f aca="false">IF(중복검사!$A5407="",FALSE(),중복검사!$H5407="중복")</f>
        <v>0</v>
      </c>
      <c r="K5409" s="5" t="str">
        <f aca="false">IF($J5409=FALSE(),"",COUNTIF($J$6:$J5409,TRUE()))</f>
        <v/>
      </c>
      <c r="L5409" s="5" t="str">
        <f aca="false">IF($K5409="","","R"&amp;$K5409)</f>
        <v/>
      </c>
    </row>
    <row r="5410" customFormat="false" ht="15" hidden="false" customHeight="true" outlineLevel="0" collapsed="false">
      <c r="J5410" s="14" t="b">
        <f aca="false">IF(중복검사!$A5408="",FALSE(),중복검사!$H5408="중복")</f>
        <v>0</v>
      </c>
      <c r="K5410" s="5" t="str">
        <f aca="false">IF($J5410=FALSE(),"",COUNTIF($J$6:$J5410,TRUE()))</f>
        <v/>
      </c>
      <c r="L5410" s="5" t="str">
        <f aca="false">IF($K5410="","","R"&amp;$K5410)</f>
        <v/>
      </c>
    </row>
    <row r="5411" customFormat="false" ht="15" hidden="false" customHeight="true" outlineLevel="0" collapsed="false">
      <c r="J5411" s="14" t="b">
        <f aca="false">IF(중복검사!$A5409="",FALSE(),중복검사!$H5409="중복")</f>
        <v>0</v>
      </c>
      <c r="K5411" s="5" t="str">
        <f aca="false">IF($J5411=FALSE(),"",COUNTIF($J$6:$J5411,TRUE()))</f>
        <v/>
      </c>
      <c r="L5411" s="5" t="str">
        <f aca="false">IF($K5411="","","R"&amp;$K5411)</f>
        <v/>
      </c>
    </row>
    <row r="5412" customFormat="false" ht="15" hidden="false" customHeight="true" outlineLevel="0" collapsed="false">
      <c r="J5412" s="14" t="b">
        <f aca="false">IF(중복검사!$A5410="",FALSE(),중복검사!$H5410="중복")</f>
        <v>0</v>
      </c>
      <c r="K5412" s="5" t="str">
        <f aca="false">IF($J5412=FALSE(),"",COUNTIF($J$6:$J5412,TRUE()))</f>
        <v/>
      </c>
      <c r="L5412" s="5" t="str">
        <f aca="false">IF($K5412="","","R"&amp;$K5412)</f>
        <v/>
      </c>
    </row>
    <row r="5413" customFormat="false" ht="15" hidden="false" customHeight="true" outlineLevel="0" collapsed="false">
      <c r="J5413" s="14" t="b">
        <f aca="false">IF(중복검사!$A5411="",FALSE(),중복검사!$H5411="중복")</f>
        <v>0</v>
      </c>
      <c r="K5413" s="5" t="str">
        <f aca="false">IF($J5413=FALSE(),"",COUNTIF($J$6:$J5413,TRUE()))</f>
        <v/>
      </c>
      <c r="L5413" s="5" t="str">
        <f aca="false">IF($K5413="","","R"&amp;$K5413)</f>
        <v/>
      </c>
    </row>
    <row r="5414" customFormat="false" ht="15" hidden="false" customHeight="true" outlineLevel="0" collapsed="false">
      <c r="J5414" s="14" t="b">
        <f aca="false">IF(중복검사!$A5412="",FALSE(),중복검사!$H5412="중복")</f>
        <v>0</v>
      </c>
      <c r="K5414" s="5" t="str">
        <f aca="false">IF($J5414=FALSE(),"",COUNTIF($J$6:$J5414,TRUE()))</f>
        <v/>
      </c>
      <c r="L5414" s="5" t="str">
        <f aca="false">IF($K5414="","","R"&amp;$K5414)</f>
        <v/>
      </c>
    </row>
    <row r="5415" customFormat="false" ht="15" hidden="false" customHeight="true" outlineLevel="0" collapsed="false">
      <c r="J5415" s="14" t="b">
        <f aca="false">IF(중복검사!$A5413="",FALSE(),중복검사!$H5413="중복")</f>
        <v>0</v>
      </c>
      <c r="K5415" s="5" t="str">
        <f aca="false">IF($J5415=FALSE(),"",COUNTIF($J$6:$J5415,TRUE()))</f>
        <v/>
      </c>
      <c r="L5415" s="5" t="str">
        <f aca="false">IF($K5415="","","R"&amp;$K5415)</f>
        <v/>
      </c>
    </row>
    <row r="5416" customFormat="false" ht="15" hidden="false" customHeight="true" outlineLevel="0" collapsed="false">
      <c r="J5416" s="14" t="b">
        <f aca="false">IF(중복검사!$A5414="",FALSE(),중복검사!$H5414="중복")</f>
        <v>0</v>
      </c>
      <c r="K5416" s="5" t="str">
        <f aca="false">IF($J5416=FALSE(),"",COUNTIF($J$6:$J5416,TRUE()))</f>
        <v/>
      </c>
      <c r="L5416" s="5" t="str">
        <f aca="false">IF($K5416="","","R"&amp;$K5416)</f>
        <v/>
      </c>
    </row>
    <row r="5417" customFormat="false" ht="15" hidden="false" customHeight="true" outlineLevel="0" collapsed="false">
      <c r="J5417" s="14" t="b">
        <f aca="false">IF(중복검사!$A5415="",FALSE(),중복검사!$H5415="중복")</f>
        <v>0</v>
      </c>
      <c r="K5417" s="5" t="str">
        <f aca="false">IF($J5417=FALSE(),"",COUNTIF($J$6:$J5417,TRUE()))</f>
        <v/>
      </c>
      <c r="L5417" s="5" t="str">
        <f aca="false">IF($K5417="","","R"&amp;$K5417)</f>
        <v/>
      </c>
    </row>
    <row r="5418" customFormat="false" ht="15" hidden="false" customHeight="true" outlineLevel="0" collapsed="false">
      <c r="J5418" s="14" t="b">
        <f aca="false">IF(중복검사!$A5416="",FALSE(),중복검사!$H5416="중복")</f>
        <v>0</v>
      </c>
      <c r="K5418" s="5" t="str">
        <f aca="false">IF($J5418=FALSE(),"",COUNTIF($J$6:$J5418,TRUE()))</f>
        <v/>
      </c>
      <c r="L5418" s="5" t="str">
        <f aca="false">IF($K5418="","","R"&amp;$K5418)</f>
        <v/>
      </c>
    </row>
    <row r="5419" customFormat="false" ht="15" hidden="false" customHeight="true" outlineLevel="0" collapsed="false">
      <c r="J5419" s="14" t="b">
        <f aca="false">IF(중복검사!$A5417="",FALSE(),중복검사!$H5417="중복")</f>
        <v>0</v>
      </c>
      <c r="K5419" s="5" t="str">
        <f aca="false">IF($J5419=FALSE(),"",COUNTIF($J$6:$J5419,TRUE()))</f>
        <v/>
      </c>
      <c r="L5419" s="5" t="str">
        <f aca="false">IF($K5419="","","R"&amp;$K5419)</f>
        <v/>
      </c>
    </row>
    <row r="5420" customFormat="false" ht="15" hidden="false" customHeight="true" outlineLevel="0" collapsed="false">
      <c r="J5420" s="14" t="b">
        <f aca="false">IF(중복검사!$A5418="",FALSE(),중복검사!$H5418="중복")</f>
        <v>0</v>
      </c>
      <c r="K5420" s="5" t="str">
        <f aca="false">IF($J5420=FALSE(),"",COUNTIF($J$6:$J5420,TRUE()))</f>
        <v/>
      </c>
      <c r="L5420" s="5" t="str">
        <f aca="false">IF($K5420="","","R"&amp;$K5420)</f>
        <v/>
      </c>
    </row>
    <row r="5421" customFormat="false" ht="15" hidden="false" customHeight="true" outlineLevel="0" collapsed="false">
      <c r="J5421" s="14" t="b">
        <f aca="false">IF(중복검사!$A5419="",FALSE(),중복검사!$H5419="중복")</f>
        <v>0</v>
      </c>
      <c r="K5421" s="5" t="str">
        <f aca="false">IF($J5421=FALSE(),"",COUNTIF($J$6:$J5421,TRUE()))</f>
        <v/>
      </c>
      <c r="L5421" s="5" t="str">
        <f aca="false">IF($K5421="","","R"&amp;$K5421)</f>
        <v/>
      </c>
    </row>
    <row r="5422" customFormat="false" ht="15" hidden="false" customHeight="true" outlineLevel="0" collapsed="false">
      <c r="J5422" s="14" t="b">
        <f aca="false">IF(중복검사!$A5420="",FALSE(),중복검사!$H5420="중복")</f>
        <v>0</v>
      </c>
      <c r="K5422" s="5" t="str">
        <f aca="false">IF($J5422=FALSE(),"",COUNTIF($J$6:$J5422,TRUE()))</f>
        <v/>
      </c>
      <c r="L5422" s="5" t="str">
        <f aca="false">IF($K5422="","","R"&amp;$K5422)</f>
        <v/>
      </c>
    </row>
    <row r="5423" customFormat="false" ht="15" hidden="false" customHeight="true" outlineLevel="0" collapsed="false">
      <c r="J5423" s="14" t="b">
        <f aca="false">IF(중복검사!$A5421="",FALSE(),중복검사!$H5421="중복")</f>
        <v>0</v>
      </c>
      <c r="K5423" s="5" t="str">
        <f aca="false">IF($J5423=FALSE(),"",COUNTIF($J$6:$J5423,TRUE()))</f>
        <v/>
      </c>
      <c r="L5423" s="5" t="str">
        <f aca="false">IF($K5423="","","R"&amp;$K5423)</f>
        <v/>
      </c>
    </row>
    <row r="5424" customFormat="false" ht="15" hidden="false" customHeight="true" outlineLevel="0" collapsed="false">
      <c r="J5424" s="14" t="b">
        <f aca="false">IF(중복검사!$A5422="",FALSE(),중복검사!$H5422="중복")</f>
        <v>0</v>
      </c>
      <c r="K5424" s="5" t="str">
        <f aca="false">IF($J5424=FALSE(),"",COUNTIF($J$6:$J5424,TRUE()))</f>
        <v/>
      </c>
      <c r="L5424" s="5" t="str">
        <f aca="false">IF($K5424="","","R"&amp;$K5424)</f>
        <v/>
      </c>
    </row>
    <row r="5425" customFormat="false" ht="15" hidden="false" customHeight="true" outlineLevel="0" collapsed="false">
      <c r="J5425" s="14" t="b">
        <f aca="false">IF(중복검사!$A5423="",FALSE(),중복검사!$H5423="중복")</f>
        <v>0</v>
      </c>
      <c r="K5425" s="5" t="str">
        <f aca="false">IF($J5425=FALSE(),"",COUNTIF($J$6:$J5425,TRUE()))</f>
        <v/>
      </c>
      <c r="L5425" s="5" t="str">
        <f aca="false">IF($K5425="","","R"&amp;$K5425)</f>
        <v/>
      </c>
    </row>
    <row r="5426" customFormat="false" ht="15" hidden="false" customHeight="true" outlineLevel="0" collapsed="false">
      <c r="J5426" s="14" t="b">
        <f aca="false">IF(중복검사!$A5424="",FALSE(),중복검사!$H5424="중복")</f>
        <v>0</v>
      </c>
      <c r="K5426" s="5" t="str">
        <f aca="false">IF($J5426=FALSE(),"",COUNTIF($J$6:$J5426,TRUE()))</f>
        <v/>
      </c>
      <c r="L5426" s="5" t="str">
        <f aca="false">IF($K5426="","","R"&amp;$K5426)</f>
        <v/>
      </c>
    </row>
    <row r="5427" customFormat="false" ht="15" hidden="false" customHeight="true" outlineLevel="0" collapsed="false">
      <c r="J5427" s="14" t="b">
        <f aca="false">IF(중복검사!$A5425="",FALSE(),중복검사!$H5425="중복")</f>
        <v>0</v>
      </c>
      <c r="K5427" s="5" t="str">
        <f aca="false">IF($J5427=FALSE(),"",COUNTIF($J$6:$J5427,TRUE()))</f>
        <v/>
      </c>
      <c r="L5427" s="5" t="str">
        <f aca="false">IF($K5427="","","R"&amp;$K5427)</f>
        <v/>
      </c>
    </row>
    <row r="5428" customFormat="false" ht="15" hidden="false" customHeight="true" outlineLevel="0" collapsed="false">
      <c r="J5428" s="14" t="b">
        <f aca="false">IF(중복검사!$A5426="",FALSE(),중복검사!$H5426="중복")</f>
        <v>0</v>
      </c>
      <c r="K5428" s="5" t="str">
        <f aca="false">IF($J5428=FALSE(),"",COUNTIF($J$6:$J5428,TRUE()))</f>
        <v/>
      </c>
      <c r="L5428" s="5" t="str">
        <f aca="false">IF($K5428="","","R"&amp;$K5428)</f>
        <v/>
      </c>
    </row>
    <row r="5429" customFormat="false" ht="15" hidden="false" customHeight="true" outlineLevel="0" collapsed="false">
      <c r="J5429" s="14" t="b">
        <f aca="false">IF(중복검사!$A5427="",FALSE(),중복검사!$H5427="중복")</f>
        <v>0</v>
      </c>
      <c r="K5429" s="5" t="str">
        <f aca="false">IF($J5429=FALSE(),"",COUNTIF($J$6:$J5429,TRUE()))</f>
        <v/>
      </c>
      <c r="L5429" s="5" t="str">
        <f aca="false">IF($K5429="","","R"&amp;$K5429)</f>
        <v/>
      </c>
    </row>
    <row r="5430" customFormat="false" ht="15" hidden="false" customHeight="true" outlineLevel="0" collapsed="false">
      <c r="J5430" s="14" t="b">
        <f aca="false">IF(중복검사!$A5428="",FALSE(),중복검사!$H5428="중복")</f>
        <v>0</v>
      </c>
      <c r="K5430" s="5" t="str">
        <f aca="false">IF($J5430=FALSE(),"",COUNTIF($J$6:$J5430,TRUE()))</f>
        <v/>
      </c>
      <c r="L5430" s="5" t="str">
        <f aca="false">IF($K5430="","","R"&amp;$K5430)</f>
        <v/>
      </c>
    </row>
    <row r="5431" customFormat="false" ht="15" hidden="false" customHeight="true" outlineLevel="0" collapsed="false">
      <c r="J5431" s="14" t="b">
        <f aca="false">IF(중복검사!$A5429="",FALSE(),중복검사!$H5429="중복")</f>
        <v>0</v>
      </c>
      <c r="K5431" s="5" t="str">
        <f aca="false">IF($J5431=FALSE(),"",COUNTIF($J$6:$J5431,TRUE()))</f>
        <v/>
      </c>
      <c r="L5431" s="5" t="str">
        <f aca="false">IF($K5431="","","R"&amp;$K5431)</f>
        <v/>
      </c>
    </row>
    <row r="5432" customFormat="false" ht="15" hidden="false" customHeight="true" outlineLevel="0" collapsed="false">
      <c r="J5432" s="14" t="b">
        <f aca="false">IF(중복검사!$A5430="",FALSE(),중복검사!$H5430="중복")</f>
        <v>0</v>
      </c>
      <c r="K5432" s="5" t="str">
        <f aca="false">IF($J5432=FALSE(),"",COUNTIF($J$6:$J5432,TRUE()))</f>
        <v/>
      </c>
      <c r="L5432" s="5" t="str">
        <f aca="false">IF($K5432="","","R"&amp;$K5432)</f>
        <v/>
      </c>
    </row>
    <row r="5433" customFormat="false" ht="15" hidden="false" customHeight="true" outlineLevel="0" collapsed="false">
      <c r="J5433" s="14" t="b">
        <f aca="false">IF(중복검사!$A5431="",FALSE(),중복검사!$H5431="중복")</f>
        <v>0</v>
      </c>
      <c r="K5433" s="5" t="str">
        <f aca="false">IF($J5433=FALSE(),"",COUNTIF($J$6:$J5433,TRUE()))</f>
        <v/>
      </c>
      <c r="L5433" s="5" t="str">
        <f aca="false">IF($K5433="","","R"&amp;$K5433)</f>
        <v/>
      </c>
    </row>
    <row r="5434" customFormat="false" ht="15" hidden="false" customHeight="true" outlineLevel="0" collapsed="false">
      <c r="J5434" s="14" t="b">
        <f aca="false">IF(중복검사!$A5432="",FALSE(),중복검사!$H5432="중복")</f>
        <v>0</v>
      </c>
      <c r="K5434" s="5" t="str">
        <f aca="false">IF($J5434=FALSE(),"",COUNTIF($J$6:$J5434,TRUE()))</f>
        <v/>
      </c>
      <c r="L5434" s="5" t="str">
        <f aca="false">IF($K5434="","","R"&amp;$K5434)</f>
        <v/>
      </c>
    </row>
    <row r="5435" customFormat="false" ht="15" hidden="false" customHeight="true" outlineLevel="0" collapsed="false">
      <c r="J5435" s="14" t="b">
        <f aca="false">IF(중복검사!$A5433="",FALSE(),중복검사!$H5433="중복")</f>
        <v>0</v>
      </c>
      <c r="K5435" s="5" t="str">
        <f aca="false">IF($J5435=FALSE(),"",COUNTIF($J$6:$J5435,TRUE()))</f>
        <v/>
      </c>
      <c r="L5435" s="5" t="str">
        <f aca="false">IF($K5435="","","R"&amp;$K5435)</f>
        <v/>
      </c>
    </row>
    <row r="5436" customFormat="false" ht="15" hidden="false" customHeight="true" outlineLevel="0" collapsed="false">
      <c r="J5436" s="14" t="b">
        <f aca="false">IF(중복검사!$A5434="",FALSE(),중복검사!$H5434="중복")</f>
        <v>0</v>
      </c>
      <c r="K5436" s="5" t="str">
        <f aca="false">IF($J5436=FALSE(),"",COUNTIF($J$6:$J5436,TRUE()))</f>
        <v/>
      </c>
      <c r="L5436" s="5" t="str">
        <f aca="false">IF($K5436="","","R"&amp;$K5436)</f>
        <v/>
      </c>
    </row>
    <row r="5437" customFormat="false" ht="15" hidden="false" customHeight="true" outlineLevel="0" collapsed="false">
      <c r="J5437" s="14" t="b">
        <f aca="false">IF(중복검사!$A5435="",FALSE(),중복검사!$H5435="중복")</f>
        <v>0</v>
      </c>
      <c r="K5437" s="5" t="str">
        <f aca="false">IF($J5437=FALSE(),"",COUNTIF($J$6:$J5437,TRUE()))</f>
        <v/>
      </c>
      <c r="L5437" s="5" t="str">
        <f aca="false">IF($K5437="","","R"&amp;$K5437)</f>
        <v/>
      </c>
    </row>
    <row r="5438" customFormat="false" ht="15" hidden="false" customHeight="true" outlineLevel="0" collapsed="false">
      <c r="J5438" s="14" t="b">
        <f aca="false">IF(중복검사!$A5436="",FALSE(),중복검사!$H5436="중복")</f>
        <v>0</v>
      </c>
      <c r="K5438" s="5" t="str">
        <f aca="false">IF($J5438=FALSE(),"",COUNTIF($J$6:$J5438,TRUE()))</f>
        <v/>
      </c>
      <c r="L5438" s="5" t="str">
        <f aca="false">IF($K5438="","","R"&amp;$K5438)</f>
        <v/>
      </c>
    </row>
    <row r="5439" customFormat="false" ht="15" hidden="false" customHeight="true" outlineLevel="0" collapsed="false">
      <c r="J5439" s="14" t="b">
        <f aca="false">IF(중복검사!$A5437="",FALSE(),중복검사!$H5437="중복")</f>
        <v>0</v>
      </c>
      <c r="K5439" s="5" t="str">
        <f aca="false">IF($J5439=FALSE(),"",COUNTIF($J$6:$J5439,TRUE()))</f>
        <v/>
      </c>
      <c r="L5439" s="5" t="str">
        <f aca="false">IF($K5439="","","R"&amp;$K5439)</f>
        <v/>
      </c>
    </row>
    <row r="5440" customFormat="false" ht="15" hidden="false" customHeight="true" outlineLevel="0" collapsed="false">
      <c r="J5440" s="14" t="b">
        <f aca="false">IF(중복검사!$A5438="",FALSE(),중복검사!$H5438="중복")</f>
        <v>0</v>
      </c>
      <c r="K5440" s="5" t="str">
        <f aca="false">IF($J5440=FALSE(),"",COUNTIF($J$6:$J5440,TRUE()))</f>
        <v/>
      </c>
      <c r="L5440" s="5" t="str">
        <f aca="false">IF($K5440="","","R"&amp;$K5440)</f>
        <v/>
      </c>
    </row>
    <row r="5441" customFormat="false" ht="15" hidden="false" customHeight="true" outlineLevel="0" collapsed="false">
      <c r="J5441" s="14" t="b">
        <f aca="false">IF(중복검사!$A5439="",FALSE(),중복검사!$H5439="중복")</f>
        <v>0</v>
      </c>
      <c r="K5441" s="5" t="str">
        <f aca="false">IF($J5441=FALSE(),"",COUNTIF($J$6:$J5441,TRUE()))</f>
        <v/>
      </c>
      <c r="L5441" s="5" t="str">
        <f aca="false">IF($K5441="","","R"&amp;$K5441)</f>
        <v/>
      </c>
    </row>
    <row r="5442" customFormat="false" ht="15" hidden="false" customHeight="true" outlineLevel="0" collapsed="false">
      <c r="J5442" s="14" t="b">
        <f aca="false">IF(중복검사!$A5440="",FALSE(),중복검사!$H5440="중복")</f>
        <v>0</v>
      </c>
      <c r="K5442" s="5" t="str">
        <f aca="false">IF($J5442=FALSE(),"",COUNTIF($J$6:$J5442,TRUE()))</f>
        <v/>
      </c>
      <c r="L5442" s="5" t="str">
        <f aca="false">IF($K5442="","","R"&amp;$K5442)</f>
        <v/>
      </c>
    </row>
    <row r="5443" customFormat="false" ht="15" hidden="false" customHeight="true" outlineLevel="0" collapsed="false">
      <c r="J5443" s="14" t="b">
        <f aca="false">IF(중복검사!$A5441="",FALSE(),중복검사!$H5441="중복")</f>
        <v>0</v>
      </c>
      <c r="K5443" s="5" t="str">
        <f aca="false">IF($J5443=FALSE(),"",COUNTIF($J$6:$J5443,TRUE()))</f>
        <v/>
      </c>
      <c r="L5443" s="5" t="str">
        <f aca="false">IF($K5443="","","R"&amp;$K5443)</f>
        <v/>
      </c>
    </row>
    <row r="5444" customFormat="false" ht="15" hidden="false" customHeight="true" outlineLevel="0" collapsed="false">
      <c r="J5444" s="14" t="b">
        <f aca="false">IF(중복검사!$A5442="",FALSE(),중복검사!$H5442="중복")</f>
        <v>0</v>
      </c>
      <c r="K5444" s="5" t="str">
        <f aca="false">IF($J5444=FALSE(),"",COUNTIF($J$6:$J5444,TRUE()))</f>
        <v/>
      </c>
      <c r="L5444" s="5" t="str">
        <f aca="false">IF($K5444="","","R"&amp;$K5444)</f>
        <v/>
      </c>
    </row>
    <row r="5445" customFormat="false" ht="15" hidden="false" customHeight="true" outlineLevel="0" collapsed="false">
      <c r="J5445" s="14" t="b">
        <f aca="false">IF(중복검사!$A5443="",FALSE(),중복검사!$H5443="중복")</f>
        <v>0</v>
      </c>
      <c r="K5445" s="5" t="str">
        <f aca="false">IF($J5445=FALSE(),"",COUNTIF($J$6:$J5445,TRUE()))</f>
        <v/>
      </c>
      <c r="L5445" s="5" t="str">
        <f aca="false">IF($K5445="","","R"&amp;$K5445)</f>
        <v/>
      </c>
    </row>
    <row r="5446" customFormat="false" ht="15" hidden="false" customHeight="true" outlineLevel="0" collapsed="false">
      <c r="J5446" s="14" t="b">
        <f aca="false">IF(중복검사!$A5444="",FALSE(),중복검사!$H5444="중복")</f>
        <v>0</v>
      </c>
      <c r="K5446" s="5" t="str">
        <f aca="false">IF($J5446=FALSE(),"",COUNTIF($J$6:$J5446,TRUE()))</f>
        <v/>
      </c>
      <c r="L5446" s="5" t="str">
        <f aca="false">IF($K5446="","","R"&amp;$K5446)</f>
        <v/>
      </c>
    </row>
    <row r="5447" customFormat="false" ht="15" hidden="false" customHeight="true" outlineLevel="0" collapsed="false">
      <c r="J5447" s="14" t="b">
        <f aca="false">IF(중복검사!$A5445="",FALSE(),중복검사!$H5445="중복")</f>
        <v>0</v>
      </c>
      <c r="K5447" s="5" t="str">
        <f aca="false">IF($J5447=FALSE(),"",COUNTIF($J$6:$J5447,TRUE()))</f>
        <v/>
      </c>
      <c r="L5447" s="5" t="str">
        <f aca="false">IF($K5447="","","R"&amp;$K5447)</f>
        <v/>
      </c>
    </row>
    <row r="5448" customFormat="false" ht="15" hidden="false" customHeight="true" outlineLevel="0" collapsed="false">
      <c r="J5448" s="14" t="b">
        <f aca="false">IF(중복검사!$A5446="",FALSE(),중복검사!$H5446="중복")</f>
        <v>0</v>
      </c>
      <c r="K5448" s="5" t="str">
        <f aca="false">IF($J5448=FALSE(),"",COUNTIF($J$6:$J5448,TRUE()))</f>
        <v/>
      </c>
      <c r="L5448" s="5" t="str">
        <f aca="false">IF($K5448="","","R"&amp;$K5448)</f>
        <v/>
      </c>
    </row>
    <row r="5449" customFormat="false" ht="15" hidden="false" customHeight="true" outlineLevel="0" collapsed="false">
      <c r="J5449" s="14" t="b">
        <f aca="false">IF(중복검사!$A5447="",FALSE(),중복검사!$H5447="중복")</f>
        <v>0</v>
      </c>
      <c r="K5449" s="5" t="str">
        <f aca="false">IF($J5449=FALSE(),"",COUNTIF($J$6:$J5449,TRUE()))</f>
        <v/>
      </c>
      <c r="L5449" s="5" t="str">
        <f aca="false">IF($K5449="","","R"&amp;$K5449)</f>
        <v/>
      </c>
    </row>
    <row r="5450" customFormat="false" ht="15" hidden="false" customHeight="true" outlineLevel="0" collapsed="false">
      <c r="J5450" s="14" t="b">
        <f aca="false">IF(중복검사!$A5448="",FALSE(),중복검사!$H5448="중복")</f>
        <v>0</v>
      </c>
      <c r="K5450" s="5" t="str">
        <f aca="false">IF($J5450=FALSE(),"",COUNTIF($J$6:$J5450,TRUE()))</f>
        <v/>
      </c>
      <c r="L5450" s="5" t="str">
        <f aca="false">IF($K5450="","","R"&amp;$K5450)</f>
        <v/>
      </c>
    </row>
    <row r="5451" customFormat="false" ht="15" hidden="false" customHeight="true" outlineLevel="0" collapsed="false">
      <c r="J5451" s="14" t="b">
        <f aca="false">IF(중복검사!$A5449="",FALSE(),중복검사!$H5449="중복")</f>
        <v>0</v>
      </c>
      <c r="K5451" s="5" t="str">
        <f aca="false">IF($J5451=FALSE(),"",COUNTIF($J$6:$J5451,TRUE()))</f>
        <v/>
      </c>
      <c r="L5451" s="5" t="str">
        <f aca="false">IF($K5451="","","R"&amp;$K5451)</f>
        <v/>
      </c>
    </row>
    <row r="5452" customFormat="false" ht="15" hidden="false" customHeight="true" outlineLevel="0" collapsed="false">
      <c r="J5452" s="14" t="b">
        <f aca="false">IF(중복검사!$A5450="",FALSE(),중복검사!$H5450="중복")</f>
        <v>0</v>
      </c>
      <c r="K5452" s="5" t="str">
        <f aca="false">IF($J5452=FALSE(),"",COUNTIF($J$6:$J5452,TRUE()))</f>
        <v/>
      </c>
      <c r="L5452" s="5" t="str">
        <f aca="false">IF($K5452="","","R"&amp;$K5452)</f>
        <v/>
      </c>
    </row>
    <row r="5453" customFormat="false" ht="15" hidden="false" customHeight="true" outlineLevel="0" collapsed="false">
      <c r="J5453" s="14" t="b">
        <f aca="false">IF(중복검사!$A5451="",FALSE(),중복검사!$H5451="중복")</f>
        <v>0</v>
      </c>
      <c r="K5453" s="5" t="str">
        <f aca="false">IF($J5453=FALSE(),"",COUNTIF($J$6:$J5453,TRUE()))</f>
        <v/>
      </c>
      <c r="L5453" s="5" t="str">
        <f aca="false">IF($K5453="","","R"&amp;$K5453)</f>
        <v/>
      </c>
    </row>
    <row r="5454" customFormat="false" ht="15" hidden="false" customHeight="true" outlineLevel="0" collapsed="false">
      <c r="J5454" s="14" t="b">
        <f aca="false">IF(중복검사!$A5452="",FALSE(),중복검사!$H5452="중복")</f>
        <v>0</v>
      </c>
      <c r="K5454" s="5" t="str">
        <f aca="false">IF($J5454=FALSE(),"",COUNTIF($J$6:$J5454,TRUE()))</f>
        <v/>
      </c>
      <c r="L5454" s="5" t="str">
        <f aca="false">IF($K5454="","","R"&amp;$K5454)</f>
        <v/>
      </c>
    </row>
    <row r="5455" customFormat="false" ht="15" hidden="false" customHeight="true" outlineLevel="0" collapsed="false">
      <c r="J5455" s="14" t="b">
        <f aca="false">IF(중복검사!$A5453="",FALSE(),중복검사!$H5453="중복")</f>
        <v>0</v>
      </c>
      <c r="K5455" s="5" t="str">
        <f aca="false">IF($J5455=FALSE(),"",COUNTIF($J$6:$J5455,TRUE()))</f>
        <v/>
      </c>
      <c r="L5455" s="5" t="str">
        <f aca="false">IF($K5455="","","R"&amp;$K5455)</f>
        <v/>
      </c>
    </row>
    <row r="5456" customFormat="false" ht="15" hidden="false" customHeight="true" outlineLevel="0" collapsed="false">
      <c r="J5456" s="14" t="b">
        <f aca="false">IF(중복검사!$A5454="",FALSE(),중복검사!$H5454="중복")</f>
        <v>0</v>
      </c>
      <c r="K5456" s="5" t="str">
        <f aca="false">IF($J5456=FALSE(),"",COUNTIF($J$6:$J5456,TRUE()))</f>
        <v/>
      </c>
      <c r="L5456" s="5" t="str">
        <f aca="false">IF($K5456="","","R"&amp;$K5456)</f>
        <v/>
      </c>
    </row>
    <row r="5457" customFormat="false" ht="15" hidden="false" customHeight="true" outlineLevel="0" collapsed="false">
      <c r="J5457" s="14" t="b">
        <f aca="false">IF(중복검사!$A5455="",FALSE(),중복검사!$H5455="중복")</f>
        <v>0</v>
      </c>
      <c r="K5457" s="5" t="str">
        <f aca="false">IF($J5457=FALSE(),"",COUNTIF($J$6:$J5457,TRUE()))</f>
        <v/>
      </c>
      <c r="L5457" s="5" t="str">
        <f aca="false">IF($K5457="","","R"&amp;$K5457)</f>
        <v/>
      </c>
    </row>
    <row r="5458" customFormat="false" ht="15" hidden="false" customHeight="true" outlineLevel="0" collapsed="false">
      <c r="J5458" s="14" t="b">
        <f aca="false">IF(중복검사!$A5456="",FALSE(),중복검사!$H5456="중복")</f>
        <v>0</v>
      </c>
      <c r="K5458" s="5" t="str">
        <f aca="false">IF($J5458=FALSE(),"",COUNTIF($J$6:$J5458,TRUE()))</f>
        <v/>
      </c>
      <c r="L5458" s="5" t="str">
        <f aca="false">IF($K5458="","","R"&amp;$K5458)</f>
        <v/>
      </c>
    </row>
    <row r="5459" customFormat="false" ht="15" hidden="false" customHeight="true" outlineLevel="0" collapsed="false">
      <c r="J5459" s="14" t="b">
        <f aca="false">IF(중복검사!$A5457="",FALSE(),중복검사!$H5457="중복")</f>
        <v>0</v>
      </c>
      <c r="K5459" s="5" t="str">
        <f aca="false">IF($J5459=FALSE(),"",COUNTIF($J$6:$J5459,TRUE()))</f>
        <v/>
      </c>
      <c r="L5459" s="5" t="str">
        <f aca="false">IF($K5459="","","R"&amp;$K5459)</f>
        <v/>
      </c>
    </row>
    <row r="5460" customFormat="false" ht="15" hidden="false" customHeight="true" outlineLevel="0" collapsed="false">
      <c r="J5460" s="14" t="b">
        <f aca="false">IF(중복검사!$A5458="",FALSE(),중복검사!$H5458="중복")</f>
        <v>0</v>
      </c>
      <c r="K5460" s="5" t="str">
        <f aca="false">IF($J5460=FALSE(),"",COUNTIF($J$6:$J5460,TRUE()))</f>
        <v/>
      </c>
      <c r="L5460" s="5" t="str">
        <f aca="false">IF($K5460="","","R"&amp;$K5460)</f>
        <v/>
      </c>
    </row>
    <row r="5461" customFormat="false" ht="15" hidden="false" customHeight="true" outlineLevel="0" collapsed="false">
      <c r="J5461" s="14" t="b">
        <f aca="false">IF(중복검사!$A5459="",FALSE(),중복검사!$H5459="중복")</f>
        <v>0</v>
      </c>
      <c r="K5461" s="5" t="str">
        <f aca="false">IF($J5461=FALSE(),"",COUNTIF($J$6:$J5461,TRUE()))</f>
        <v/>
      </c>
      <c r="L5461" s="5" t="str">
        <f aca="false">IF($K5461="","","R"&amp;$K5461)</f>
        <v/>
      </c>
    </row>
    <row r="5462" customFormat="false" ht="15" hidden="false" customHeight="true" outlineLevel="0" collapsed="false">
      <c r="J5462" s="14" t="b">
        <f aca="false">IF(중복검사!$A5460="",FALSE(),중복검사!$H5460="중복")</f>
        <v>0</v>
      </c>
      <c r="K5462" s="5" t="str">
        <f aca="false">IF($J5462=FALSE(),"",COUNTIF($J$6:$J5462,TRUE()))</f>
        <v/>
      </c>
      <c r="L5462" s="5" t="str">
        <f aca="false">IF($K5462="","","R"&amp;$K5462)</f>
        <v/>
      </c>
    </row>
    <row r="5463" customFormat="false" ht="15" hidden="false" customHeight="true" outlineLevel="0" collapsed="false">
      <c r="J5463" s="14" t="b">
        <f aca="false">IF(중복검사!$A5461="",FALSE(),중복검사!$H5461="중복")</f>
        <v>0</v>
      </c>
      <c r="K5463" s="5" t="str">
        <f aca="false">IF($J5463=FALSE(),"",COUNTIF($J$6:$J5463,TRUE()))</f>
        <v/>
      </c>
      <c r="L5463" s="5" t="str">
        <f aca="false">IF($K5463="","","R"&amp;$K5463)</f>
        <v/>
      </c>
    </row>
    <row r="5464" customFormat="false" ht="15" hidden="false" customHeight="true" outlineLevel="0" collapsed="false">
      <c r="J5464" s="14" t="b">
        <f aca="false">IF(중복검사!$A5462="",FALSE(),중복검사!$H5462="중복")</f>
        <v>0</v>
      </c>
      <c r="K5464" s="5" t="str">
        <f aca="false">IF($J5464=FALSE(),"",COUNTIF($J$6:$J5464,TRUE()))</f>
        <v/>
      </c>
      <c r="L5464" s="5" t="str">
        <f aca="false">IF($K5464="","","R"&amp;$K5464)</f>
        <v/>
      </c>
    </row>
    <row r="5465" customFormat="false" ht="15" hidden="false" customHeight="true" outlineLevel="0" collapsed="false">
      <c r="J5465" s="14" t="b">
        <f aca="false">IF(중복검사!$A5463="",FALSE(),중복검사!$H5463="중복")</f>
        <v>0</v>
      </c>
      <c r="K5465" s="5" t="str">
        <f aca="false">IF($J5465=FALSE(),"",COUNTIF($J$6:$J5465,TRUE()))</f>
        <v/>
      </c>
      <c r="L5465" s="5" t="str">
        <f aca="false">IF($K5465="","","R"&amp;$K5465)</f>
        <v/>
      </c>
    </row>
    <row r="5466" customFormat="false" ht="15" hidden="false" customHeight="true" outlineLevel="0" collapsed="false">
      <c r="J5466" s="14" t="b">
        <f aca="false">IF(중복검사!$A5464="",FALSE(),중복검사!$H5464="중복")</f>
        <v>0</v>
      </c>
      <c r="K5466" s="5" t="str">
        <f aca="false">IF($J5466=FALSE(),"",COUNTIF($J$6:$J5466,TRUE()))</f>
        <v/>
      </c>
      <c r="L5466" s="5" t="str">
        <f aca="false">IF($K5466="","","R"&amp;$K5466)</f>
        <v/>
      </c>
    </row>
    <row r="5467" customFormat="false" ht="15" hidden="false" customHeight="true" outlineLevel="0" collapsed="false">
      <c r="J5467" s="14" t="b">
        <f aca="false">IF(중복검사!$A5465="",FALSE(),중복검사!$H5465="중복")</f>
        <v>0</v>
      </c>
      <c r="K5467" s="5" t="str">
        <f aca="false">IF($J5467=FALSE(),"",COUNTIF($J$6:$J5467,TRUE()))</f>
        <v/>
      </c>
      <c r="L5467" s="5" t="str">
        <f aca="false">IF($K5467="","","R"&amp;$K5467)</f>
        <v/>
      </c>
    </row>
    <row r="5468" customFormat="false" ht="15" hidden="false" customHeight="true" outlineLevel="0" collapsed="false">
      <c r="J5468" s="14" t="b">
        <f aca="false">IF(중복검사!$A5466="",FALSE(),중복검사!$H5466="중복")</f>
        <v>0</v>
      </c>
      <c r="K5468" s="5" t="str">
        <f aca="false">IF($J5468=FALSE(),"",COUNTIF($J$6:$J5468,TRUE()))</f>
        <v/>
      </c>
      <c r="L5468" s="5" t="str">
        <f aca="false">IF($K5468="","","R"&amp;$K5468)</f>
        <v/>
      </c>
    </row>
    <row r="5469" customFormat="false" ht="15" hidden="false" customHeight="true" outlineLevel="0" collapsed="false">
      <c r="J5469" s="14" t="b">
        <f aca="false">IF(중복검사!$A5467="",FALSE(),중복검사!$H5467="중복")</f>
        <v>0</v>
      </c>
      <c r="K5469" s="5" t="str">
        <f aca="false">IF($J5469=FALSE(),"",COUNTIF($J$6:$J5469,TRUE()))</f>
        <v/>
      </c>
      <c r="L5469" s="5" t="str">
        <f aca="false">IF($K5469="","","R"&amp;$K5469)</f>
        <v/>
      </c>
    </row>
    <row r="5470" customFormat="false" ht="15" hidden="false" customHeight="true" outlineLevel="0" collapsed="false">
      <c r="J5470" s="14" t="b">
        <f aca="false">IF(중복검사!$A5468="",FALSE(),중복검사!$H5468="중복")</f>
        <v>0</v>
      </c>
      <c r="K5470" s="5" t="str">
        <f aca="false">IF($J5470=FALSE(),"",COUNTIF($J$6:$J5470,TRUE()))</f>
        <v/>
      </c>
      <c r="L5470" s="5" t="str">
        <f aca="false">IF($K5470="","","R"&amp;$K5470)</f>
        <v/>
      </c>
    </row>
    <row r="5471" customFormat="false" ht="15" hidden="false" customHeight="true" outlineLevel="0" collapsed="false">
      <c r="J5471" s="14" t="b">
        <f aca="false">IF(중복검사!$A5469="",FALSE(),중복검사!$H5469="중복")</f>
        <v>0</v>
      </c>
      <c r="K5471" s="5" t="str">
        <f aca="false">IF($J5471=FALSE(),"",COUNTIF($J$6:$J5471,TRUE()))</f>
        <v/>
      </c>
      <c r="L5471" s="5" t="str">
        <f aca="false">IF($K5471="","","R"&amp;$K5471)</f>
        <v/>
      </c>
    </row>
    <row r="5472" customFormat="false" ht="15" hidden="false" customHeight="true" outlineLevel="0" collapsed="false">
      <c r="J5472" s="14" t="b">
        <f aca="false">IF(중복검사!$A5470="",FALSE(),중복검사!$H5470="중복")</f>
        <v>0</v>
      </c>
      <c r="K5472" s="5" t="str">
        <f aca="false">IF($J5472=FALSE(),"",COUNTIF($J$6:$J5472,TRUE()))</f>
        <v/>
      </c>
      <c r="L5472" s="5" t="str">
        <f aca="false">IF($K5472="","","R"&amp;$K5472)</f>
        <v/>
      </c>
    </row>
    <row r="5473" customFormat="false" ht="15" hidden="false" customHeight="true" outlineLevel="0" collapsed="false">
      <c r="J5473" s="14" t="b">
        <f aca="false">IF(중복검사!$A5471="",FALSE(),중복검사!$H5471="중복")</f>
        <v>0</v>
      </c>
      <c r="K5473" s="5" t="str">
        <f aca="false">IF($J5473=FALSE(),"",COUNTIF($J$6:$J5473,TRUE()))</f>
        <v/>
      </c>
      <c r="L5473" s="5" t="str">
        <f aca="false">IF($K5473="","","R"&amp;$K5473)</f>
        <v/>
      </c>
    </row>
    <row r="5474" customFormat="false" ht="15" hidden="false" customHeight="true" outlineLevel="0" collapsed="false">
      <c r="J5474" s="14" t="b">
        <f aca="false">IF(중복검사!$A5472="",FALSE(),중복검사!$H5472="중복")</f>
        <v>0</v>
      </c>
      <c r="K5474" s="5" t="str">
        <f aca="false">IF($J5474=FALSE(),"",COUNTIF($J$6:$J5474,TRUE()))</f>
        <v/>
      </c>
      <c r="L5474" s="5" t="str">
        <f aca="false">IF($K5474="","","R"&amp;$K5474)</f>
        <v/>
      </c>
    </row>
    <row r="5475" customFormat="false" ht="15" hidden="false" customHeight="true" outlineLevel="0" collapsed="false">
      <c r="J5475" s="14" t="b">
        <f aca="false">IF(중복검사!$A5473="",FALSE(),중복검사!$H5473="중복")</f>
        <v>0</v>
      </c>
      <c r="K5475" s="5" t="str">
        <f aca="false">IF($J5475=FALSE(),"",COUNTIF($J$6:$J5475,TRUE()))</f>
        <v/>
      </c>
      <c r="L5475" s="5" t="str">
        <f aca="false">IF($K5475="","","R"&amp;$K5475)</f>
        <v/>
      </c>
    </row>
    <row r="5476" customFormat="false" ht="15" hidden="false" customHeight="true" outlineLevel="0" collapsed="false">
      <c r="J5476" s="14" t="b">
        <f aca="false">IF(중복검사!$A5474="",FALSE(),중복검사!$H5474="중복")</f>
        <v>0</v>
      </c>
      <c r="K5476" s="5" t="str">
        <f aca="false">IF($J5476=FALSE(),"",COUNTIF($J$6:$J5476,TRUE()))</f>
        <v/>
      </c>
      <c r="L5476" s="5" t="str">
        <f aca="false">IF($K5476="","","R"&amp;$K5476)</f>
        <v/>
      </c>
    </row>
    <row r="5477" customFormat="false" ht="15" hidden="false" customHeight="true" outlineLevel="0" collapsed="false">
      <c r="J5477" s="14" t="b">
        <f aca="false">IF(중복검사!$A5475="",FALSE(),중복검사!$H5475="중복")</f>
        <v>0</v>
      </c>
      <c r="K5477" s="5" t="str">
        <f aca="false">IF($J5477=FALSE(),"",COUNTIF($J$6:$J5477,TRUE()))</f>
        <v/>
      </c>
      <c r="L5477" s="5" t="str">
        <f aca="false">IF($K5477="","","R"&amp;$K5477)</f>
        <v/>
      </c>
    </row>
    <row r="5478" customFormat="false" ht="15" hidden="false" customHeight="true" outlineLevel="0" collapsed="false">
      <c r="J5478" s="14" t="b">
        <f aca="false">IF(중복검사!$A5476="",FALSE(),중복검사!$H5476="중복")</f>
        <v>0</v>
      </c>
      <c r="K5478" s="5" t="str">
        <f aca="false">IF($J5478=FALSE(),"",COUNTIF($J$6:$J5478,TRUE()))</f>
        <v/>
      </c>
      <c r="L5478" s="5" t="str">
        <f aca="false">IF($K5478="","","R"&amp;$K5478)</f>
        <v/>
      </c>
    </row>
    <row r="5479" customFormat="false" ht="15" hidden="false" customHeight="true" outlineLevel="0" collapsed="false">
      <c r="J5479" s="14" t="b">
        <f aca="false">IF(중복검사!$A5477="",FALSE(),중복검사!$H5477="중복")</f>
        <v>0</v>
      </c>
      <c r="K5479" s="5" t="str">
        <f aca="false">IF($J5479=FALSE(),"",COUNTIF($J$6:$J5479,TRUE()))</f>
        <v/>
      </c>
      <c r="L5479" s="5" t="str">
        <f aca="false">IF($K5479="","","R"&amp;$K5479)</f>
        <v/>
      </c>
    </row>
    <row r="5480" customFormat="false" ht="15" hidden="false" customHeight="true" outlineLevel="0" collapsed="false">
      <c r="J5480" s="14" t="b">
        <f aca="false">IF(중복검사!$A5478="",FALSE(),중복검사!$H5478="중복")</f>
        <v>0</v>
      </c>
      <c r="K5480" s="5" t="str">
        <f aca="false">IF($J5480=FALSE(),"",COUNTIF($J$6:$J5480,TRUE()))</f>
        <v/>
      </c>
      <c r="L5480" s="5" t="str">
        <f aca="false">IF($K5480="","","R"&amp;$K5480)</f>
        <v/>
      </c>
    </row>
    <row r="5481" customFormat="false" ht="15" hidden="false" customHeight="true" outlineLevel="0" collapsed="false">
      <c r="J5481" s="14" t="b">
        <f aca="false">IF(중복검사!$A5479="",FALSE(),중복검사!$H5479="중복")</f>
        <v>0</v>
      </c>
      <c r="K5481" s="5" t="str">
        <f aca="false">IF($J5481=FALSE(),"",COUNTIF($J$6:$J5481,TRUE()))</f>
        <v/>
      </c>
      <c r="L5481" s="5" t="str">
        <f aca="false">IF($K5481="","","R"&amp;$K5481)</f>
        <v/>
      </c>
    </row>
    <row r="5482" customFormat="false" ht="15" hidden="false" customHeight="true" outlineLevel="0" collapsed="false">
      <c r="J5482" s="14" t="b">
        <f aca="false">IF(중복검사!$A5480="",FALSE(),중복검사!$H5480="중복")</f>
        <v>0</v>
      </c>
      <c r="K5482" s="5" t="str">
        <f aca="false">IF($J5482=FALSE(),"",COUNTIF($J$6:$J5482,TRUE()))</f>
        <v/>
      </c>
      <c r="L5482" s="5" t="str">
        <f aca="false">IF($K5482="","","R"&amp;$K5482)</f>
        <v/>
      </c>
    </row>
    <row r="5483" customFormat="false" ht="15" hidden="false" customHeight="true" outlineLevel="0" collapsed="false">
      <c r="J5483" s="14" t="b">
        <f aca="false">IF(중복검사!$A5481="",FALSE(),중복검사!$H5481="중복")</f>
        <v>0</v>
      </c>
      <c r="K5483" s="5" t="str">
        <f aca="false">IF($J5483=FALSE(),"",COUNTIF($J$6:$J5483,TRUE()))</f>
        <v/>
      </c>
      <c r="L5483" s="5" t="str">
        <f aca="false">IF($K5483="","","R"&amp;$K5483)</f>
        <v/>
      </c>
    </row>
    <row r="5484" customFormat="false" ht="15" hidden="false" customHeight="true" outlineLevel="0" collapsed="false">
      <c r="J5484" s="14" t="b">
        <f aca="false">IF(중복검사!$A5482="",FALSE(),중복검사!$H5482="중복")</f>
        <v>0</v>
      </c>
      <c r="K5484" s="5" t="str">
        <f aca="false">IF($J5484=FALSE(),"",COUNTIF($J$6:$J5484,TRUE()))</f>
        <v/>
      </c>
      <c r="L5484" s="5" t="str">
        <f aca="false">IF($K5484="","","R"&amp;$K5484)</f>
        <v/>
      </c>
    </row>
    <row r="5485" customFormat="false" ht="15" hidden="false" customHeight="true" outlineLevel="0" collapsed="false">
      <c r="J5485" s="14" t="b">
        <f aca="false">IF(중복검사!$A5483="",FALSE(),중복검사!$H5483="중복")</f>
        <v>0</v>
      </c>
      <c r="K5485" s="5" t="str">
        <f aca="false">IF($J5485=FALSE(),"",COUNTIF($J$6:$J5485,TRUE()))</f>
        <v/>
      </c>
      <c r="L5485" s="5" t="str">
        <f aca="false">IF($K5485="","","R"&amp;$K5485)</f>
        <v/>
      </c>
    </row>
    <row r="5486" customFormat="false" ht="15" hidden="false" customHeight="true" outlineLevel="0" collapsed="false">
      <c r="J5486" s="14" t="b">
        <f aca="false">IF(중복검사!$A5484="",FALSE(),중복검사!$H5484="중복")</f>
        <v>0</v>
      </c>
      <c r="K5486" s="5" t="str">
        <f aca="false">IF($J5486=FALSE(),"",COUNTIF($J$6:$J5486,TRUE()))</f>
        <v/>
      </c>
      <c r="L5486" s="5" t="str">
        <f aca="false">IF($K5486="","","R"&amp;$K5486)</f>
        <v/>
      </c>
    </row>
    <row r="5487" customFormat="false" ht="15" hidden="false" customHeight="true" outlineLevel="0" collapsed="false">
      <c r="J5487" s="14" t="b">
        <f aca="false">IF(중복검사!$A5485="",FALSE(),중복검사!$H5485="중복")</f>
        <v>0</v>
      </c>
      <c r="K5487" s="5" t="str">
        <f aca="false">IF($J5487=FALSE(),"",COUNTIF($J$6:$J5487,TRUE()))</f>
        <v/>
      </c>
      <c r="L5487" s="5" t="str">
        <f aca="false">IF($K5487="","","R"&amp;$K5487)</f>
        <v/>
      </c>
    </row>
    <row r="5488" customFormat="false" ht="15" hidden="false" customHeight="true" outlineLevel="0" collapsed="false">
      <c r="J5488" s="14" t="b">
        <f aca="false">IF(중복검사!$A5486="",FALSE(),중복검사!$H5486="중복")</f>
        <v>0</v>
      </c>
      <c r="K5488" s="5" t="str">
        <f aca="false">IF($J5488=FALSE(),"",COUNTIF($J$6:$J5488,TRUE()))</f>
        <v/>
      </c>
      <c r="L5488" s="5" t="str">
        <f aca="false">IF($K5488="","","R"&amp;$K5488)</f>
        <v/>
      </c>
    </row>
    <row r="5489" customFormat="false" ht="15" hidden="false" customHeight="true" outlineLevel="0" collapsed="false">
      <c r="J5489" s="14" t="b">
        <f aca="false">IF(중복검사!$A5487="",FALSE(),중복검사!$H5487="중복")</f>
        <v>0</v>
      </c>
      <c r="K5489" s="5" t="str">
        <f aca="false">IF($J5489=FALSE(),"",COUNTIF($J$6:$J5489,TRUE()))</f>
        <v/>
      </c>
      <c r="L5489" s="5" t="str">
        <f aca="false">IF($K5489="","","R"&amp;$K5489)</f>
        <v/>
      </c>
    </row>
    <row r="5490" customFormat="false" ht="15" hidden="false" customHeight="true" outlineLevel="0" collapsed="false">
      <c r="J5490" s="14" t="b">
        <f aca="false">IF(중복검사!$A5488="",FALSE(),중복검사!$H5488="중복")</f>
        <v>0</v>
      </c>
      <c r="K5490" s="5" t="str">
        <f aca="false">IF($J5490=FALSE(),"",COUNTIF($J$6:$J5490,TRUE()))</f>
        <v/>
      </c>
      <c r="L5490" s="5" t="str">
        <f aca="false">IF($K5490="","","R"&amp;$K5490)</f>
        <v/>
      </c>
    </row>
    <row r="5491" customFormat="false" ht="15" hidden="false" customHeight="true" outlineLevel="0" collapsed="false">
      <c r="J5491" s="14" t="b">
        <f aca="false">IF(중복검사!$A5489="",FALSE(),중복검사!$H5489="중복")</f>
        <v>0</v>
      </c>
      <c r="K5491" s="5" t="str">
        <f aca="false">IF($J5491=FALSE(),"",COUNTIF($J$6:$J5491,TRUE()))</f>
        <v/>
      </c>
      <c r="L5491" s="5" t="str">
        <f aca="false">IF($K5491="","","R"&amp;$K5491)</f>
        <v/>
      </c>
    </row>
    <row r="5492" customFormat="false" ht="15" hidden="false" customHeight="true" outlineLevel="0" collapsed="false">
      <c r="J5492" s="14" t="b">
        <f aca="false">IF(중복검사!$A5490="",FALSE(),중복검사!$H5490="중복")</f>
        <v>0</v>
      </c>
      <c r="K5492" s="5" t="str">
        <f aca="false">IF($J5492=FALSE(),"",COUNTIF($J$6:$J5492,TRUE()))</f>
        <v/>
      </c>
      <c r="L5492" s="5" t="str">
        <f aca="false">IF($K5492="","","R"&amp;$K5492)</f>
        <v/>
      </c>
    </row>
    <row r="5493" customFormat="false" ht="15" hidden="false" customHeight="true" outlineLevel="0" collapsed="false">
      <c r="J5493" s="14" t="b">
        <f aca="false">IF(중복검사!$A5491="",FALSE(),중복검사!$H5491="중복")</f>
        <v>0</v>
      </c>
      <c r="K5493" s="5" t="str">
        <f aca="false">IF($J5493=FALSE(),"",COUNTIF($J$6:$J5493,TRUE()))</f>
        <v/>
      </c>
      <c r="L5493" s="5" t="str">
        <f aca="false">IF($K5493="","","R"&amp;$K5493)</f>
        <v/>
      </c>
    </row>
    <row r="5494" customFormat="false" ht="15" hidden="false" customHeight="true" outlineLevel="0" collapsed="false">
      <c r="J5494" s="14" t="b">
        <f aca="false">IF(중복검사!$A5492="",FALSE(),중복검사!$H5492="중복")</f>
        <v>0</v>
      </c>
      <c r="K5494" s="5" t="str">
        <f aca="false">IF($J5494=FALSE(),"",COUNTIF($J$6:$J5494,TRUE()))</f>
        <v/>
      </c>
      <c r="L5494" s="5" t="str">
        <f aca="false">IF($K5494="","","R"&amp;$K5494)</f>
        <v/>
      </c>
    </row>
    <row r="5495" customFormat="false" ht="15" hidden="false" customHeight="true" outlineLevel="0" collapsed="false">
      <c r="J5495" s="14" t="b">
        <f aca="false">IF(중복검사!$A5493="",FALSE(),중복검사!$H5493="중복")</f>
        <v>0</v>
      </c>
      <c r="K5495" s="5" t="str">
        <f aca="false">IF($J5495=FALSE(),"",COUNTIF($J$6:$J5495,TRUE()))</f>
        <v/>
      </c>
      <c r="L5495" s="5" t="str">
        <f aca="false">IF($K5495="","","R"&amp;$K5495)</f>
        <v/>
      </c>
    </row>
    <row r="5496" customFormat="false" ht="15" hidden="false" customHeight="true" outlineLevel="0" collapsed="false">
      <c r="J5496" s="14" t="b">
        <f aca="false">IF(중복검사!$A5494="",FALSE(),중복검사!$H5494="중복")</f>
        <v>0</v>
      </c>
      <c r="K5496" s="5" t="str">
        <f aca="false">IF($J5496=FALSE(),"",COUNTIF($J$6:$J5496,TRUE()))</f>
        <v/>
      </c>
      <c r="L5496" s="5" t="str">
        <f aca="false">IF($K5496="","","R"&amp;$K5496)</f>
        <v/>
      </c>
    </row>
    <row r="5497" customFormat="false" ht="15" hidden="false" customHeight="true" outlineLevel="0" collapsed="false">
      <c r="J5497" s="14" t="b">
        <f aca="false">IF(중복검사!$A5495="",FALSE(),중복검사!$H5495="중복")</f>
        <v>0</v>
      </c>
      <c r="K5497" s="5" t="str">
        <f aca="false">IF($J5497=FALSE(),"",COUNTIF($J$6:$J5497,TRUE()))</f>
        <v/>
      </c>
      <c r="L5497" s="5" t="str">
        <f aca="false">IF($K5497="","","R"&amp;$K5497)</f>
        <v/>
      </c>
    </row>
    <row r="5498" customFormat="false" ht="15" hidden="false" customHeight="true" outlineLevel="0" collapsed="false">
      <c r="J5498" s="14" t="b">
        <f aca="false">IF(중복검사!$A5496="",FALSE(),중복검사!$H5496="중복")</f>
        <v>0</v>
      </c>
      <c r="K5498" s="5" t="str">
        <f aca="false">IF($J5498=FALSE(),"",COUNTIF($J$6:$J5498,TRUE()))</f>
        <v/>
      </c>
      <c r="L5498" s="5" t="str">
        <f aca="false">IF($K5498="","","R"&amp;$K5498)</f>
        <v/>
      </c>
    </row>
    <row r="5499" customFormat="false" ht="15" hidden="false" customHeight="true" outlineLevel="0" collapsed="false">
      <c r="J5499" s="14" t="b">
        <f aca="false">IF(중복검사!$A5497="",FALSE(),중복검사!$H5497="중복")</f>
        <v>0</v>
      </c>
      <c r="K5499" s="5" t="str">
        <f aca="false">IF($J5499=FALSE(),"",COUNTIF($J$6:$J5499,TRUE()))</f>
        <v/>
      </c>
      <c r="L5499" s="5" t="str">
        <f aca="false">IF($K5499="","","R"&amp;$K5499)</f>
        <v/>
      </c>
    </row>
    <row r="5500" customFormat="false" ht="15" hidden="false" customHeight="true" outlineLevel="0" collapsed="false">
      <c r="J5500" s="14" t="b">
        <f aca="false">IF(중복검사!$A5498="",FALSE(),중복검사!$H5498="중복")</f>
        <v>0</v>
      </c>
      <c r="K5500" s="5" t="str">
        <f aca="false">IF($J5500=FALSE(),"",COUNTIF($J$6:$J5500,TRUE()))</f>
        <v/>
      </c>
      <c r="L5500" s="5" t="str">
        <f aca="false">IF($K5500="","","R"&amp;$K5500)</f>
        <v/>
      </c>
    </row>
    <row r="5501" customFormat="false" ht="15" hidden="false" customHeight="true" outlineLevel="0" collapsed="false">
      <c r="J5501" s="14" t="b">
        <f aca="false">IF(중복검사!$A5499="",FALSE(),중복검사!$H5499="중복")</f>
        <v>0</v>
      </c>
      <c r="K5501" s="5" t="str">
        <f aca="false">IF($J5501=FALSE(),"",COUNTIF($J$6:$J5501,TRUE()))</f>
        <v/>
      </c>
      <c r="L5501" s="5" t="str">
        <f aca="false">IF($K5501="","","R"&amp;$K5501)</f>
        <v/>
      </c>
    </row>
    <row r="5502" customFormat="false" ht="15" hidden="false" customHeight="true" outlineLevel="0" collapsed="false">
      <c r="J5502" s="14" t="b">
        <f aca="false">IF(중복검사!$A5500="",FALSE(),중복검사!$H5500="중복")</f>
        <v>0</v>
      </c>
      <c r="K5502" s="5" t="str">
        <f aca="false">IF($J5502=FALSE(),"",COUNTIF($J$6:$J5502,TRUE()))</f>
        <v/>
      </c>
      <c r="L5502" s="5" t="str">
        <f aca="false">IF($K5502="","","R"&amp;$K5502)</f>
        <v/>
      </c>
    </row>
    <row r="5503" customFormat="false" ht="15" hidden="false" customHeight="true" outlineLevel="0" collapsed="false">
      <c r="J5503" s="14" t="b">
        <f aca="false">IF(중복검사!$A5501="",FALSE(),중복검사!$H5501="중복")</f>
        <v>0</v>
      </c>
      <c r="K5503" s="5" t="str">
        <f aca="false">IF($J5503=FALSE(),"",COUNTIF($J$6:$J5503,TRUE()))</f>
        <v/>
      </c>
      <c r="L5503" s="5" t="str">
        <f aca="false">IF($K5503="","","R"&amp;$K5503)</f>
        <v/>
      </c>
    </row>
    <row r="5504" customFormat="false" ht="15" hidden="false" customHeight="true" outlineLevel="0" collapsed="false">
      <c r="J5504" s="14" t="b">
        <f aca="false">IF(중복검사!$A5502="",FALSE(),중복검사!$H5502="중복")</f>
        <v>0</v>
      </c>
      <c r="K5504" s="5" t="str">
        <f aca="false">IF($J5504=FALSE(),"",COUNTIF($J$6:$J5504,TRUE()))</f>
        <v/>
      </c>
      <c r="L5504" s="5" t="str">
        <f aca="false">IF($K5504="","","R"&amp;$K5504)</f>
        <v/>
      </c>
    </row>
    <row r="5505" customFormat="false" ht="15" hidden="false" customHeight="true" outlineLevel="0" collapsed="false">
      <c r="J5505" s="14" t="b">
        <f aca="false">IF(중복검사!$A5503="",FALSE(),중복검사!$H5503="중복")</f>
        <v>0</v>
      </c>
      <c r="K5505" s="5" t="str">
        <f aca="false">IF($J5505=FALSE(),"",COUNTIF($J$6:$J5505,TRUE()))</f>
        <v/>
      </c>
      <c r="L5505" s="5" t="str">
        <f aca="false">IF($K5505="","","R"&amp;$K5505)</f>
        <v/>
      </c>
    </row>
    <row r="5506" customFormat="false" ht="15" hidden="false" customHeight="true" outlineLevel="0" collapsed="false">
      <c r="J5506" s="14" t="b">
        <f aca="false">IF(중복검사!$A5504="",FALSE(),중복검사!$H5504="중복")</f>
        <v>0</v>
      </c>
      <c r="K5506" s="5" t="str">
        <f aca="false">IF($J5506=FALSE(),"",COUNTIF($J$6:$J5506,TRUE()))</f>
        <v/>
      </c>
      <c r="L5506" s="5" t="str">
        <f aca="false">IF($K5506="","","R"&amp;$K5506)</f>
        <v/>
      </c>
    </row>
    <row r="5507" customFormat="false" ht="15" hidden="false" customHeight="true" outlineLevel="0" collapsed="false">
      <c r="J5507" s="14" t="b">
        <f aca="false">IF(중복검사!$A5505="",FALSE(),중복검사!$H5505="중복")</f>
        <v>0</v>
      </c>
      <c r="K5507" s="5" t="str">
        <f aca="false">IF($J5507=FALSE(),"",COUNTIF($J$6:$J5507,TRUE()))</f>
        <v/>
      </c>
      <c r="L5507" s="5" t="str">
        <f aca="false">IF($K5507="","","R"&amp;$K5507)</f>
        <v/>
      </c>
    </row>
    <row r="5508" customFormat="false" ht="15" hidden="false" customHeight="true" outlineLevel="0" collapsed="false">
      <c r="J5508" s="14" t="b">
        <f aca="false">IF(중복검사!$A5506="",FALSE(),중복검사!$H5506="중복")</f>
        <v>0</v>
      </c>
      <c r="K5508" s="5" t="str">
        <f aca="false">IF($J5508=FALSE(),"",COUNTIF($J$6:$J5508,TRUE()))</f>
        <v/>
      </c>
      <c r="L5508" s="5" t="str">
        <f aca="false">IF($K5508="","","R"&amp;$K5508)</f>
        <v/>
      </c>
    </row>
    <row r="5509" customFormat="false" ht="15" hidden="false" customHeight="true" outlineLevel="0" collapsed="false">
      <c r="J5509" s="14" t="b">
        <f aca="false">IF(중복검사!$A5507="",FALSE(),중복검사!$H5507="중복")</f>
        <v>0</v>
      </c>
      <c r="K5509" s="5" t="str">
        <f aca="false">IF($J5509=FALSE(),"",COUNTIF($J$6:$J5509,TRUE()))</f>
        <v/>
      </c>
      <c r="L5509" s="5" t="str">
        <f aca="false">IF($K5509="","","R"&amp;$K5509)</f>
        <v/>
      </c>
    </row>
    <row r="5510" customFormat="false" ht="15" hidden="false" customHeight="true" outlineLevel="0" collapsed="false">
      <c r="J5510" s="14" t="b">
        <f aca="false">IF(중복검사!$A5508="",FALSE(),중복검사!$H5508="중복")</f>
        <v>0</v>
      </c>
      <c r="K5510" s="5" t="str">
        <f aca="false">IF($J5510=FALSE(),"",COUNTIF($J$6:$J5510,TRUE()))</f>
        <v/>
      </c>
      <c r="L5510" s="5" t="str">
        <f aca="false">IF($K5510="","","R"&amp;$K5510)</f>
        <v/>
      </c>
    </row>
    <row r="5511" customFormat="false" ht="15" hidden="false" customHeight="true" outlineLevel="0" collapsed="false">
      <c r="J5511" s="14" t="b">
        <f aca="false">IF(중복검사!$A5509="",FALSE(),중복검사!$H5509="중복")</f>
        <v>0</v>
      </c>
      <c r="K5511" s="5" t="str">
        <f aca="false">IF($J5511=FALSE(),"",COUNTIF($J$6:$J5511,TRUE()))</f>
        <v/>
      </c>
      <c r="L5511" s="5" t="str">
        <f aca="false">IF($K5511="","","R"&amp;$K5511)</f>
        <v/>
      </c>
    </row>
    <row r="5512" customFormat="false" ht="15" hidden="false" customHeight="true" outlineLevel="0" collapsed="false">
      <c r="J5512" s="14" t="b">
        <f aca="false">IF(중복검사!$A5510="",FALSE(),중복검사!$H5510="중복")</f>
        <v>0</v>
      </c>
      <c r="K5512" s="5" t="str">
        <f aca="false">IF($J5512=FALSE(),"",COUNTIF($J$6:$J5512,TRUE()))</f>
        <v/>
      </c>
      <c r="L5512" s="5" t="str">
        <f aca="false">IF($K5512="","","R"&amp;$K5512)</f>
        <v/>
      </c>
    </row>
    <row r="5513" customFormat="false" ht="15" hidden="false" customHeight="true" outlineLevel="0" collapsed="false">
      <c r="J5513" s="14" t="b">
        <f aca="false">IF(중복검사!$A5511="",FALSE(),중복검사!$H5511="중복")</f>
        <v>0</v>
      </c>
      <c r="K5513" s="5" t="str">
        <f aca="false">IF($J5513=FALSE(),"",COUNTIF($J$6:$J5513,TRUE()))</f>
        <v/>
      </c>
      <c r="L5513" s="5" t="str">
        <f aca="false">IF($K5513="","","R"&amp;$K5513)</f>
        <v/>
      </c>
    </row>
    <row r="5514" customFormat="false" ht="15" hidden="false" customHeight="true" outlineLevel="0" collapsed="false">
      <c r="J5514" s="14" t="b">
        <f aca="false">IF(중복검사!$A5512="",FALSE(),중복검사!$H5512="중복")</f>
        <v>0</v>
      </c>
      <c r="K5514" s="5" t="str">
        <f aca="false">IF($J5514=FALSE(),"",COUNTIF($J$6:$J5514,TRUE()))</f>
        <v/>
      </c>
      <c r="L5514" s="5" t="str">
        <f aca="false">IF($K5514="","","R"&amp;$K5514)</f>
        <v/>
      </c>
    </row>
    <row r="5515" customFormat="false" ht="15" hidden="false" customHeight="true" outlineLevel="0" collapsed="false">
      <c r="J5515" s="14" t="b">
        <f aca="false">IF(중복검사!$A5513="",FALSE(),중복검사!$H5513="중복")</f>
        <v>0</v>
      </c>
      <c r="K5515" s="5" t="str">
        <f aca="false">IF($J5515=FALSE(),"",COUNTIF($J$6:$J5515,TRUE()))</f>
        <v/>
      </c>
      <c r="L5515" s="5" t="str">
        <f aca="false">IF($K5515="","","R"&amp;$K5515)</f>
        <v/>
      </c>
    </row>
    <row r="5516" customFormat="false" ht="15" hidden="false" customHeight="true" outlineLevel="0" collapsed="false">
      <c r="J5516" s="14" t="b">
        <f aca="false">IF(중복검사!$A5514="",FALSE(),중복검사!$H5514="중복")</f>
        <v>0</v>
      </c>
      <c r="K5516" s="5" t="str">
        <f aca="false">IF($J5516=FALSE(),"",COUNTIF($J$6:$J5516,TRUE()))</f>
        <v/>
      </c>
      <c r="L5516" s="5" t="str">
        <f aca="false">IF($K5516="","","R"&amp;$K5516)</f>
        <v/>
      </c>
    </row>
    <row r="5517" customFormat="false" ht="15" hidden="false" customHeight="true" outlineLevel="0" collapsed="false">
      <c r="J5517" s="14" t="b">
        <f aca="false">IF(중복검사!$A5515="",FALSE(),중복검사!$H5515="중복")</f>
        <v>0</v>
      </c>
      <c r="K5517" s="5" t="str">
        <f aca="false">IF($J5517=FALSE(),"",COUNTIF($J$6:$J5517,TRUE()))</f>
        <v/>
      </c>
      <c r="L5517" s="5" t="str">
        <f aca="false">IF($K5517="","","R"&amp;$K5517)</f>
        <v/>
      </c>
    </row>
    <row r="5518" customFormat="false" ht="15" hidden="false" customHeight="true" outlineLevel="0" collapsed="false">
      <c r="J5518" s="14" t="b">
        <f aca="false">IF(중복검사!$A5516="",FALSE(),중복검사!$H5516="중복")</f>
        <v>0</v>
      </c>
      <c r="K5518" s="5" t="str">
        <f aca="false">IF($J5518=FALSE(),"",COUNTIF($J$6:$J5518,TRUE()))</f>
        <v/>
      </c>
      <c r="L5518" s="5" t="str">
        <f aca="false">IF($K5518="","","R"&amp;$K5518)</f>
        <v/>
      </c>
    </row>
    <row r="5519" customFormat="false" ht="15" hidden="false" customHeight="true" outlineLevel="0" collapsed="false">
      <c r="J5519" s="14" t="b">
        <f aca="false">IF(중복검사!$A5517="",FALSE(),중복검사!$H5517="중복")</f>
        <v>0</v>
      </c>
      <c r="K5519" s="5" t="str">
        <f aca="false">IF($J5519=FALSE(),"",COUNTIF($J$6:$J5519,TRUE()))</f>
        <v/>
      </c>
      <c r="L5519" s="5" t="str">
        <f aca="false">IF($K5519="","","R"&amp;$K5519)</f>
        <v/>
      </c>
    </row>
    <row r="5520" customFormat="false" ht="15" hidden="false" customHeight="true" outlineLevel="0" collapsed="false">
      <c r="J5520" s="14" t="b">
        <f aca="false">IF(중복검사!$A5518="",FALSE(),중복검사!$H5518="중복")</f>
        <v>0</v>
      </c>
      <c r="K5520" s="5" t="str">
        <f aca="false">IF($J5520=FALSE(),"",COUNTIF($J$6:$J5520,TRUE()))</f>
        <v/>
      </c>
      <c r="L5520" s="5" t="str">
        <f aca="false">IF($K5520="","","R"&amp;$K5520)</f>
        <v/>
      </c>
    </row>
    <row r="5521" customFormat="false" ht="15" hidden="false" customHeight="true" outlineLevel="0" collapsed="false">
      <c r="J5521" s="14" t="b">
        <f aca="false">IF(중복검사!$A5519="",FALSE(),중복검사!$H5519="중복")</f>
        <v>0</v>
      </c>
      <c r="K5521" s="5" t="str">
        <f aca="false">IF($J5521=FALSE(),"",COUNTIF($J$6:$J5521,TRUE()))</f>
        <v/>
      </c>
      <c r="L5521" s="5" t="str">
        <f aca="false">IF($K5521="","","R"&amp;$K5521)</f>
        <v/>
      </c>
    </row>
    <row r="5522" customFormat="false" ht="15" hidden="false" customHeight="true" outlineLevel="0" collapsed="false">
      <c r="J5522" s="14" t="b">
        <f aca="false">IF(중복검사!$A5520="",FALSE(),중복검사!$H5520="중복")</f>
        <v>0</v>
      </c>
      <c r="K5522" s="5" t="str">
        <f aca="false">IF($J5522=FALSE(),"",COUNTIF($J$6:$J5522,TRUE()))</f>
        <v/>
      </c>
      <c r="L5522" s="5" t="str">
        <f aca="false">IF($K5522="","","R"&amp;$K5522)</f>
        <v/>
      </c>
    </row>
    <row r="5523" customFormat="false" ht="15" hidden="false" customHeight="true" outlineLevel="0" collapsed="false">
      <c r="J5523" s="14" t="b">
        <f aca="false">IF(중복검사!$A5521="",FALSE(),중복검사!$H5521="중복")</f>
        <v>0</v>
      </c>
      <c r="K5523" s="5" t="str">
        <f aca="false">IF($J5523=FALSE(),"",COUNTIF($J$6:$J5523,TRUE()))</f>
        <v/>
      </c>
      <c r="L5523" s="5" t="str">
        <f aca="false">IF($K5523="","","R"&amp;$K5523)</f>
        <v/>
      </c>
    </row>
    <row r="5524" customFormat="false" ht="15" hidden="false" customHeight="true" outlineLevel="0" collapsed="false">
      <c r="J5524" s="14" t="b">
        <f aca="false">IF(중복검사!$A5522="",FALSE(),중복검사!$H5522="중복")</f>
        <v>0</v>
      </c>
      <c r="K5524" s="5" t="str">
        <f aca="false">IF($J5524=FALSE(),"",COUNTIF($J$6:$J5524,TRUE()))</f>
        <v/>
      </c>
      <c r="L5524" s="5" t="str">
        <f aca="false">IF($K5524="","","R"&amp;$K5524)</f>
        <v/>
      </c>
    </row>
    <row r="5525" customFormat="false" ht="15" hidden="false" customHeight="true" outlineLevel="0" collapsed="false">
      <c r="J5525" s="14" t="b">
        <f aca="false">IF(중복검사!$A5523="",FALSE(),중복검사!$H5523="중복")</f>
        <v>0</v>
      </c>
      <c r="K5525" s="5" t="str">
        <f aca="false">IF($J5525=FALSE(),"",COUNTIF($J$6:$J5525,TRUE()))</f>
        <v/>
      </c>
      <c r="L5525" s="5" t="str">
        <f aca="false">IF($K5525="","","R"&amp;$K5525)</f>
        <v/>
      </c>
    </row>
    <row r="5526" customFormat="false" ht="15" hidden="false" customHeight="true" outlineLevel="0" collapsed="false">
      <c r="J5526" s="14" t="b">
        <f aca="false">IF(중복검사!$A5524="",FALSE(),중복검사!$H5524="중복")</f>
        <v>0</v>
      </c>
      <c r="K5526" s="5" t="str">
        <f aca="false">IF($J5526=FALSE(),"",COUNTIF($J$6:$J5526,TRUE()))</f>
        <v/>
      </c>
      <c r="L5526" s="5" t="str">
        <f aca="false">IF($K5526="","","R"&amp;$K5526)</f>
        <v/>
      </c>
    </row>
    <row r="5527" customFormat="false" ht="15" hidden="false" customHeight="true" outlineLevel="0" collapsed="false">
      <c r="J5527" s="14" t="b">
        <f aca="false">IF(중복검사!$A5525="",FALSE(),중복검사!$H5525="중복")</f>
        <v>0</v>
      </c>
      <c r="K5527" s="5" t="str">
        <f aca="false">IF($J5527=FALSE(),"",COUNTIF($J$6:$J5527,TRUE()))</f>
        <v/>
      </c>
      <c r="L5527" s="5" t="str">
        <f aca="false">IF($K5527="","","R"&amp;$K5527)</f>
        <v/>
      </c>
    </row>
    <row r="5528" customFormat="false" ht="15" hidden="false" customHeight="true" outlineLevel="0" collapsed="false">
      <c r="J5528" s="14" t="b">
        <f aca="false">IF(중복검사!$A5526="",FALSE(),중복검사!$H5526="중복")</f>
        <v>0</v>
      </c>
      <c r="K5528" s="5" t="str">
        <f aca="false">IF($J5528=FALSE(),"",COUNTIF($J$6:$J5528,TRUE()))</f>
        <v/>
      </c>
      <c r="L5528" s="5" t="str">
        <f aca="false">IF($K5528="","","R"&amp;$K5528)</f>
        <v/>
      </c>
    </row>
    <row r="5529" customFormat="false" ht="15" hidden="false" customHeight="true" outlineLevel="0" collapsed="false">
      <c r="J5529" s="14" t="b">
        <f aca="false">IF(중복검사!$A5527="",FALSE(),중복검사!$H5527="중복")</f>
        <v>0</v>
      </c>
      <c r="K5529" s="5" t="str">
        <f aca="false">IF($J5529=FALSE(),"",COUNTIF($J$6:$J5529,TRUE()))</f>
        <v/>
      </c>
      <c r="L5529" s="5" t="str">
        <f aca="false">IF($K5529="","","R"&amp;$K5529)</f>
        <v/>
      </c>
    </row>
    <row r="5530" customFormat="false" ht="15" hidden="false" customHeight="true" outlineLevel="0" collapsed="false">
      <c r="J5530" s="14" t="b">
        <f aca="false">IF(중복검사!$A5528="",FALSE(),중복검사!$H5528="중복")</f>
        <v>0</v>
      </c>
      <c r="K5530" s="5" t="str">
        <f aca="false">IF($J5530=FALSE(),"",COUNTIF($J$6:$J5530,TRUE()))</f>
        <v/>
      </c>
      <c r="L5530" s="5" t="str">
        <f aca="false">IF($K5530="","","R"&amp;$K5530)</f>
        <v/>
      </c>
    </row>
    <row r="5531" customFormat="false" ht="15" hidden="false" customHeight="true" outlineLevel="0" collapsed="false">
      <c r="J5531" s="14" t="b">
        <f aca="false">IF(중복검사!$A5529="",FALSE(),중복검사!$H5529="중복")</f>
        <v>0</v>
      </c>
      <c r="K5531" s="5" t="str">
        <f aca="false">IF($J5531=FALSE(),"",COUNTIF($J$6:$J5531,TRUE()))</f>
        <v/>
      </c>
      <c r="L5531" s="5" t="str">
        <f aca="false">IF($K5531="","","R"&amp;$K5531)</f>
        <v/>
      </c>
    </row>
    <row r="5532" customFormat="false" ht="15" hidden="false" customHeight="true" outlineLevel="0" collapsed="false">
      <c r="J5532" s="14" t="b">
        <f aca="false">IF(중복검사!$A5530="",FALSE(),중복검사!$H5530="중복")</f>
        <v>0</v>
      </c>
      <c r="K5532" s="5" t="str">
        <f aca="false">IF($J5532=FALSE(),"",COUNTIF($J$6:$J5532,TRUE()))</f>
        <v/>
      </c>
      <c r="L5532" s="5" t="str">
        <f aca="false">IF($K5532="","","R"&amp;$K5532)</f>
        <v/>
      </c>
    </row>
    <row r="5533" customFormat="false" ht="15" hidden="false" customHeight="true" outlineLevel="0" collapsed="false">
      <c r="J5533" s="14" t="b">
        <f aca="false">IF(중복검사!$A5531="",FALSE(),중복검사!$H5531="중복")</f>
        <v>0</v>
      </c>
      <c r="K5533" s="5" t="str">
        <f aca="false">IF($J5533=FALSE(),"",COUNTIF($J$6:$J5533,TRUE()))</f>
        <v/>
      </c>
      <c r="L5533" s="5" t="str">
        <f aca="false">IF($K5533="","","R"&amp;$K5533)</f>
        <v/>
      </c>
    </row>
    <row r="5534" customFormat="false" ht="15" hidden="false" customHeight="true" outlineLevel="0" collapsed="false">
      <c r="J5534" s="14" t="b">
        <f aca="false">IF(중복검사!$A5532="",FALSE(),중복검사!$H5532="중복")</f>
        <v>0</v>
      </c>
      <c r="K5534" s="5" t="str">
        <f aca="false">IF($J5534=FALSE(),"",COUNTIF($J$6:$J5534,TRUE()))</f>
        <v/>
      </c>
      <c r="L5534" s="5" t="str">
        <f aca="false">IF($K5534="","","R"&amp;$K5534)</f>
        <v/>
      </c>
    </row>
    <row r="5535" customFormat="false" ht="15" hidden="false" customHeight="true" outlineLevel="0" collapsed="false">
      <c r="J5535" s="14" t="b">
        <f aca="false">IF(중복검사!$A5533="",FALSE(),중복검사!$H5533="중복")</f>
        <v>0</v>
      </c>
      <c r="K5535" s="5" t="str">
        <f aca="false">IF($J5535=FALSE(),"",COUNTIF($J$6:$J5535,TRUE()))</f>
        <v/>
      </c>
      <c r="L5535" s="5" t="str">
        <f aca="false">IF($K5535="","","R"&amp;$K5535)</f>
        <v/>
      </c>
    </row>
    <row r="5536" customFormat="false" ht="15" hidden="false" customHeight="true" outlineLevel="0" collapsed="false">
      <c r="J5536" s="14" t="b">
        <f aca="false">IF(중복검사!$A5534="",FALSE(),중복검사!$H5534="중복")</f>
        <v>0</v>
      </c>
      <c r="K5536" s="5" t="str">
        <f aca="false">IF($J5536=FALSE(),"",COUNTIF($J$6:$J5536,TRUE()))</f>
        <v/>
      </c>
      <c r="L5536" s="5" t="str">
        <f aca="false">IF($K5536="","","R"&amp;$K5536)</f>
        <v/>
      </c>
    </row>
    <row r="5537" customFormat="false" ht="15" hidden="false" customHeight="true" outlineLevel="0" collapsed="false">
      <c r="J5537" s="14" t="b">
        <f aca="false">IF(중복검사!$A5535="",FALSE(),중복검사!$H5535="중복")</f>
        <v>0</v>
      </c>
      <c r="K5537" s="5" t="str">
        <f aca="false">IF($J5537=FALSE(),"",COUNTIF($J$6:$J5537,TRUE()))</f>
        <v/>
      </c>
      <c r="L5537" s="5" t="str">
        <f aca="false">IF($K5537="","","R"&amp;$K5537)</f>
        <v/>
      </c>
    </row>
    <row r="5538" customFormat="false" ht="15" hidden="false" customHeight="true" outlineLevel="0" collapsed="false">
      <c r="J5538" s="14" t="b">
        <f aca="false">IF(중복검사!$A5536="",FALSE(),중복검사!$H5536="중복")</f>
        <v>0</v>
      </c>
      <c r="K5538" s="5" t="str">
        <f aca="false">IF($J5538=FALSE(),"",COUNTIF($J$6:$J5538,TRUE()))</f>
        <v/>
      </c>
      <c r="L5538" s="5" t="str">
        <f aca="false">IF($K5538="","","R"&amp;$K5538)</f>
        <v/>
      </c>
    </row>
    <row r="5539" customFormat="false" ht="15" hidden="false" customHeight="true" outlineLevel="0" collapsed="false">
      <c r="J5539" s="14" t="b">
        <f aca="false">IF(중복검사!$A5537="",FALSE(),중복검사!$H5537="중복")</f>
        <v>0</v>
      </c>
      <c r="K5539" s="5" t="str">
        <f aca="false">IF($J5539=FALSE(),"",COUNTIF($J$6:$J5539,TRUE()))</f>
        <v/>
      </c>
      <c r="L5539" s="5" t="str">
        <f aca="false">IF($K5539="","","R"&amp;$K5539)</f>
        <v/>
      </c>
    </row>
    <row r="5540" customFormat="false" ht="15" hidden="false" customHeight="true" outlineLevel="0" collapsed="false">
      <c r="J5540" s="14" t="b">
        <f aca="false">IF(중복검사!$A5538="",FALSE(),중복검사!$H5538="중복")</f>
        <v>0</v>
      </c>
      <c r="K5540" s="5" t="str">
        <f aca="false">IF($J5540=FALSE(),"",COUNTIF($J$6:$J5540,TRUE()))</f>
        <v/>
      </c>
      <c r="L5540" s="5" t="str">
        <f aca="false">IF($K5540="","","R"&amp;$K5540)</f>
        <v/>
      </c>
    </row>
    <row r="5541" customFormat="false" ht="15" hidden="false" customHeight="true" outlineLevel="0" collapsed="false">
      <c r="J5541" s="14" t="b">
        <f aca="false">IF(중복검사!$A5539="",FALSE(),중복검사!$H5539="중복")</f>
        <v>0</v>
      </c>
      <c r="K5541" s="5" t="str">
        <f aca="false">IF($J5541=FALSE(),"",COUNTIF($J$6:$J5541,TRUE()))</f>
        <v/>
      </c>
      <c r="L5541" s="5" t="str">
        <f aca="false">IF($K5541="","","R"&amp;$K5541)</f>
        <v/>
      </c>
    </row>
    <row r="5542" customFormat="false" ht="15" hidden="false" customHeight="true" outlineLevel="0" collapsed="false">
      <c r="J5542" s="14" t="b">
        <f aca="false">IF(중복검사!$A5540="",FALSE(),중복검사!$H5540="중복")</f>
        <v>0</v>
      </c>
      <c r="K5542" s="5" t="str">
        <f aca="false">IF($J5542=FALSE(),"",COUNTIF($J$6:$J5542,TRUE()))</f>
        <v/>
      </c>
      <c r="L5542" s="5" t="str">
        <f aca="false">IF($K5542="","","R"&amp;$K5542)</f>
        <v/>
      </c>
    </row>
    <row r="5543" customFormat="false" ht="15" hidden="false" customHeight="true" outlineLevel="0" collapsed="false">
      <c r="J5543" s="14" t="b">
        <f aca="false">IF(중복검사!$A5541="",FALSE(),중복검사!$H5541="중복")</f>
        <v>0</v>
      </c>
      <c r="K5543" s="5" t="str">
        <f aca="false">IF($J5543=FALSE(),"",COUNTIF($J$6:$J5543,TRUE()))</f>
        <v/>
      </c>
      <c r="L5543" s="5" t="str">
        <f aca="false">IF($K5543="","","R"&amp;$K5543)</f>
        <v/>
      </c>
    </row>
    <row r="5544" customFormat="false" ht="15" hidden="false" customHeight="true" outlineLevel="0" collapsed="false">
      <c r="J5544" s="14" t="b">
        <f aca="false">IF(중복검사!$A5542="",FALSE(),중복검사!$H5542="중복")</f>
        <v>0</v>
      </c>
      <c r="K5544" s="5" t="str">
        <f aca="false">IF($J5544=FALSE(),"",COUNTIF($J$6:$J5544,TRUE()))</f>
        <v/>
      </c>
      <c r="L5544" s="5" t="str">
        <f aca="false">IF($K5544="","","R"&amp;$K5544)</f>
        <v/>
      </c>
    </row>
    <row r="5545" customFormat="false" ht="15" hidden="false" customHeight="true" outlineLevel="0" collapsed="false">
      <c r="J5545" s="14" t="b">
        <f aca="false">IF(중복검사!$A5543="",FALSE(),중복검사!$H5543="중복")</f>
        <v>0</v>
      </c>
      <c r="K5545" s="5" t="str">
        <f aca="false">IF($J5545=FALSE(),"",COUNTIF($J$6:$J5545,TRUE()))</f>
        <v/>
      </c>
      <c r="L5545" s="5" t="str">
        <f aca="false">IF($K5545="","","R"&amp;$K5545)</f>
        <v/>
      </c>
    </row>
    <row r="5546" customFormat="false" ht="15" hidden="false" customHeight="true" outlineLevel="0" collapsed="false">
      <c r="J5546" s="14" t="b">
        <f aca="false">IF(중복검사!$A5544="",FALSE(),중복검사!$H5544="중복")</f>
        <v>0</v>
      </c>
      <c r="K5546" s="5" t="str">
        <f aca="false">IF($J5546=FALSE(),"",COUNTIF($J$6:$J5546,TRUE()))</f>
        <v/>
      </c>
      <c r="L5546" s="5" t="str">
        <f aca="false">IF($K5546="","","R"&amp;$K5546)</f>
        <v/>
      </c>
    </row>
    <row r="5547" customFormat="false" ht="15" hidden="false" customHeight="true" outlineLevel="0" collapsed="false">
      <c r="J5547" s="14" t="b">
        <f aca="false">IF(중복검사!$A5545="",FALSE(),중복검사!$H5545="중복")</f>
        <v>0</v>
      </c>
      <c r="K5547" s="5" t="str">
        <f aca="false">IF($J5547=FALSE(),"",COUNTIF($J$6:$J5547,TRUE()))</f>
        <v/>
      </c>
      <c r="L5547" s="5" t="str">
        <f aca="false">IF($K5547="","","R"&amp;$K5547)</f>
        <v/>
      </c>
    </row>
    <row r="5548" customFormat="false" ht="15" hidden="false" customHeight="true" outlineLevel="0" collapsed="false">
      <c r="J5548" s="14" t="b">
        <f aca="false">IF(중복검사!$A5546="",FALSE(),중복검사!$H5546="중복")</f>
        <v>0</v>
      </c>
      <c r="K5548" s="5" t="str">
        <f aca="false">IF($J5548=FALSE(),"",COUNTIF($J$6:$J5548,TRUE()))</f>
        <v/>
      </c>
      <c r="L5548" s="5" t="str">
        <f aca="false">IF($K5548="","","R"&amp;$K5548)</f>
        <v/>
      </c>
    </row>
    <row r="5549" customFormat="false" ht="15" hidden="false" customHeight="true" outlineLevel="0" collapsed="false">
      <c r="J5549" s="14" t="b">
        <f aca="false">IF(중복검사!$A5547="",FALSE(),중복검사!$H5547="중복")</f>
        <v>0</v>
      </c>
      <c r="K5549" s="5" t="str">
        <f aca="false">IF($J5549=FALSE(),"",COUNTIF($J$6:$J5549,TRUE()))</f>
        <v/>
      </c>
      <c r="L5549" s="5" t="str">
        <f aca="false">IF($K5549="","","R"&amp;$K5549)</f>
        <v/>
      </c>
    </row>
    <row r="5550" customFormat="false" ht="15" hidden="false" customHeight="true" outlineLevel="0" collapsed="false">
      <c r="J5550" s="14" t="b">
        <f aca="false">IF(중복검사!$A5548="",FALSE(),중복검사!$H5548="중복")</f>
        <v>0</v>
      </c>
      <c r="K5550" s="5" t="str">
        <f aca="false">IF($J5550=FALSE(),"",COUNTIF($J$6:$J5550,TRUE()))</f>
        <v/>
      </c>
      <c r="L5550" s="5" t="str">
        <f aca="false">IF($K5550="","","R"&amp;$K5550)</f>
        <v/>
      </c>
    </row>
    <row r="5551" customFormat="false" ht="15" hidden="false" customHeight="true" outlineLevel="0" collapsed="false">
      <c r="J5551" s="14" t="b">
        <f aca="false">IF(중복검사!$A5549="",FALSE(),중복검사!$H5549="중복")</f>
        <v>0</v>
      </c>
      <c r="K5551" s="5" t="str">
        <f aca="false">IF($J5551=FALSE(),"",COUNTIF($J$6:$J5551,TRUE()))</f>
        <v/>
      </c>
      <c r="L5551" s="5" t="str">
        <f aca="false">IF($K5551="","","R"&amp;$K5551)</f>
        <v/>
      </c>
    </row>
    <row r="5552" customFormat="false" ht="15" hidden="false" customHeight="true" outlineLevel="0" collapsed="false">
      <c r="J5552" s="14" t="b">
        <f aca="false">IF(중복검사!$A5550="",FALSE(),중복검사!$H5550="중복")</f>
        <v>0</v>
      </c>
      <c r="K5552" s="5" t="str">
        <f aca="false">IF($J5552=FALSE(),"",COUNTIF($J$6:$J5552,TRUE()))</f>
        <v/>
      </c>
      <c r="L5552" s="5" t="str">
        <f aca="false">IF($K5552="","","R"&amp;$K5552)</f>
        <v/>
      </c>
    </row>
    <row r="5553" customFormat="false" ht="15" hidden="false" customHeight="true" outlineLevel="0" collapsed="false">
      <c r="J5553" s="14" t="b">
        <f aca="false">IF(중복검사!$A5551="",FALSE(),중복검사!$H5551="중복")</f>
        <v>0</v>
      </c>
      <c r="K5553" s="5" t="str">
        <f aca="false">IF($J5553=FALSE(),"",COUNTIF($J$6:$J5553,TRUE()))</f>
        <v/>
      </c>
      <c r="L5553" s="5" t="str">
        <f aca="false">IF($K5553="","","R"&amp;$K5553)</f>
        <v/>
      </c>
    </row>
    <row r="5554" customFormat="false" ht="15" hidden="false" customHeight="true" outlineLevel="0" collapsed="false">
      <c r="J5554" s="14" t="b">
        <f aca="false">IF(중복검사!$A5552="",FALSE(),중복검사!$H5552="중복")</f>
        <v>0</v>
      </c>
      <c r="K5554" s="5" t="str">
        <f aca="false">IF($J5554=FALSE(),"",COUNTIF($J$6:$J5554,TRUE()))</f>
        <v/>
      </c>
      <c r="L5554" s="5" t="str">
        <f aca="false">IF($K5554="","","R"&amp;$K5554)</f>
        <v/>
      </c>
    </row>
    <row r="5555" customFormat="false" ht="15" hidden="false" customHeight="true" outlineLevel="0" collapsed="false">
      <c r="J5555" s="14" t="b">
        <f aca="false">IF(중복검사!$A5553="",FALSE(),중복검사!$H5553="중복")</f>
        <v>0</v>
      </c>
      <c r="K5555" s="5" t="str">
        <f aca="false">IF($J5555=FALSE(),"",COUNTIF($J$6:$J5555,TRUE()))</f>
        <v/>
      </c>
      <c r="L5555" s="5" t="str">
        <f aca="false">IF($K5555="","","R"&amp;$K5555)</f>
        <v/>
      </c>
    </row>
    <row r="5556" customFormat="false" ht="15" hidden="false" customHeight="true" outlineLevel="0" collapsed="false">
      <c r="J5556" s="14" t="b">
        <f aca="false">IF(중복검사!$A5554="",FALSE(),중복검사!$H5554="중복")</f>
        <v>0</v>
      </c>
      <c r="K5556" s="5" t="str">
        <f aca="false">IF($J5556=FALSE(),"",COUNTIF($J$6:$J5556,TRUE()))</f>
        <v/>
      </c>
      <c r="L5556" s="5" t="str">
        <f aca="false">IF($K5556="","","R"&amp;$K5556)</f>
        <v/>
      </c>
    </row>
    <row r="5557" customFormat="false" ht="15" hidden="false" customHeight="true" outlineLevel="0" collapsed="false">
      <c r="J5557" s="14" t="b">
        <f aca="false">IF(중복검사!$A5555="",FALSE(),중복검사!$H5555="중복")</f>
        <v>0</v>
      </c>
      <c r="K5557" s="5" t="str">
        <f aca="false">IF($J5557=FALSE(),"",COUNTIF($J$6:$J5557,TRUE()))</f>
        <v/>
      </c>
      <c r="L5557" s="5" t="str">
        <f aca="false">IF($K5557="","","R"&amp;$K5557)</f>
        <v/>
      </c>
    </row>
    <row r="5558" customFormat="false" ht="15" hidden="false" customHeight="true" outlineLevel="0" collapsed="false">
      <c r="J5558" s="14" t="b">
        <f aca="false">IF(중복검사!$A5556="",FALSE(),중복검사!$H5556="중복")</f>
        <v>0</v>
      </c>
      <c r="K5558" s="5" t="str">
        <f aca="false">IF($J5558=FALSE(),"",COUNTIF($J$6:$J5558,TRUE()))</f>
        <v/>
      </c>
      <c r="L5558" s="5" t="str">
        <f aca="false">IF($K5558="","","R"&amp;$K5558)</f>
        <v/>
      </c>
    </row>
    <row r="5559" customFormat="false" ht="15" hidden="false" customHeight="true" outlineLevel="0" collapsed="false">
      <c r="J5559" s="14" t="b">
        <f aca="false">IF(중복검사!$A5557="",FALSE(),중복검사!$H5557="중복")</f>
        <v>0</v>
      </c>
      <c r="K5559" s="5" t="str">
        <f aca="false">IF($J5559=FALSE(),"",COUNTIF($J$6:$J5559,TRUE()))</f>
        <v/>
      </c>
      <c r="L5559" s="5" t="str">
        <f aca="false">IF($K5559="","","R"&amp;$K5559)</f>
        <v/>
      </c>
    </row>
    <row r="5560" customFormat="false" ht="15" hidden="false" customHeight="true" outlineLevel="0" collapsed="false">
      <c r="J5560" s="14" t="b">
        <f aca="false">IF(중복검사!$A5558="",FALSE(),중복검사!$H5558="중복")</f>
        <v>0</v>
      </c>
      <c r="K5560" s="5" t="str">
        <f aca="false">IF($J5560=FALSE(),"",COUNTIF($J$6:$J5560,TRUE()))</f>
        <v/>
      </c>
      <c r="L5560" s="5" t="str">
        <f aca="false">IF($K5560="","","R"&amp;$K5560)</f>
        <v/>
      </c>
    </row>
    <row r="5561" customFormat="false" ht="15" hidden="false" customHeight="true" outlineLevel="0" collapsed="false">
      <c r="J5561" s="14" t="b">
        <f aca="false">IF(중복검사!$A5559="",FALSE(),중복검사!$H5559="중복")</f>
        <v>0</v>
      </c>
      <c r="K5561" s="5" t="str">
        <f aca="false">IF($J5561=FALSE(),"",COUNTIF($J$6:$J5561,TRUE()))</f>
        <v/>
      </c>
      <c r="L5561" s="5" t="str">
        <f aca="false">IF($K5561="","","R"&amp;$K5561)</f>
        <v/>
      </c>
    </row>
    <row r="5562" customFormat="false" ht="15" hidden="false" customHeight="true" outlineLevel="0" collapsed="false">
      <c r="J5562" s="14" t="b">
        <f aca="false">IF(중복검사!$A5560="",FALSE(),중복검사!$H5560="중복")</f>
        <v>0</v>
      </c>
      <c r="K5562" s="5" t="str">
        <f aca="false">IF($J5562=FALSE(),"",COUNTIF($J$6:$J5562,TRUE()))</f>
        <v/>
      </c>
      <c r="L5562" s="5" t="str">
        <f aca="false">IF($K5562="","","R"&amp;$K5562)</f>
        <v/>
      </c>
    </row>
    <row r="5563" customFormat="false" ht="15" hidden="false" customHeight="true" outlineLevel="0" collapsed="false">
      <c r="J5563" s="14" t="b">
        <f aca="false">IF(중복검사!$A5561="",FALSE(),중복검사!$H5561="중복")</f>
        <v>0</v>
      </c>
      <c r="K5563" s="5" t="str">
        <f aca="false">IF($J5563=FALSE(),"",COUNTIF($J$6:$J5563,TRUE()))</f>
        <v/>
      </c>
      <c r="L5563" s="5" t="str">
        <f aca="false">IF($K5563="","","R"&amp;$K5563)</f>
        <v/>
      </c>
    </row>
    <row r="5564" customFormat="false" ht="15" hidden="false" customHeight="true" outlineLevel="0" collapsed="false">
      <c r="J5564" s="14" t="b">
        <f aca="false">IF(중복검사!$A5562="",FALSE(),중복검사!$H5562="중복")</f>
        <v>0</v>
      </c>
      <c r="K5564" s="5" t="str">
        <f aca="false">IF($J5564=FALSE(),"",COUNTIF($J$6:$J5564,TRUE()))</f>
        <v/>
      </c>
      <c r="L5564" s="5" t="str">
        <f aca="false">IF($K5564="","","R"&amp;$K5564)</f>
        <v/>
      </c>
    </row>
    <row r="5565" customFormat="false" ht="15" hidden="false" customHeight="true" outlineLevel="0" collapsed="false">
      <c r="J5565" s="14" t="b">
        <f aca="false">IF(중복검사!$A5563="",FALSE(),중복검사!$H5563="중복")</f>
        <v>0</v>
      </c>
      <c r="K5565" s="5" t="str">
        <f aca="false">IF($J5565=FALSE(),"",COUNTIF($J$6:$J5565,TRUE()))</f>
        <v/>
      </c>
      <c r="L5565" s="5" t="str">
        <f aca="false">IF($K5565="","","R"&amp;$K5565)</f>
        <v/>
      </c>
    </row>
    <row r="5566" customFormat="false" ht="15" hidden="false" customHeight="true" outlineLevel="0" collapsed="false">
      <c r="J5566" s="14" t="b">
        <f aca="false">IF(중복검사!$A5564="",FALSE(),중복검사!$H5564="중복")</f>
        <v>0</v>
      </c>
      <c r="K5566" s="5" t="str">
        <f aca="false">IF($J5566=FALSE(),"",COUNTIF($J$6:$J5566,TRUE()))</f>
        <v/>
      </c>
      <c r="L5566" s="5" t="str">
        <f aca="false">IF($K5566="","","R"&amp;$K5566)</f>
        <v/>
      </c>
    </row>
    <row r="5567" customFormat="false" ht="15" hidden="false" customHeight="true" outlineLevel="0" collapsed="false">
      <c r="J5567" s="14" t="b">
        <f aca="false">IF(중복검사!$A5565="",FALSE(),중복검사!$H5565="중복")</f>
        <v>0</v>
      </c>
      <c r="K5567" s="5" t="str">
        <f aca="false">IF($J5567=FALSE(),"",COUNTIF($J$6:$J5567,TRUE()))</f>
        <v/>
      </c>
      <c r="L5567" s="5" t="str">
        <f aca="false">IF($K5567="","","R"&amp;$K5567)</f>
        <v/>
      </c>
    </row>
    <row r="5568" customFormat="false" ht="15" hidden="false" customHeight="true" outlineLevel="0" collapsed="false">
      <c r="J5568" s="14" t="b">
        <f aca="false">IF(중복검사!$A5566="",FALSE(),중복검사!$H5566="중복")</f>
        <v>0</v>
      </c>
      <c r="K5568" s="5" t="str">
        <f aca="false">IF($J5568=FALSE(),"",COUNTIF($J$6:$J5568,TRUE()))</f>
        <v/>
      </c>
      <c r="L5568" s="5" t="str">
        <f aca="false">IF($K5568="","","R"&amp;$K5568)</f>
        <v/>
      </c>
    </row>
    <row r="5569" customFormat="false" ht="15" hidden="false" customHeight="true" outlineLevel="0" collapsed="false">
      <c r="J5569" s="14" t="b">
        <f aca="false">IF(중복검사!$A5567="",FALSE(),중복검사!$H5567="중복")</f>
        <v>0</v>
      </c>
      <c r="K5569" s="5" t="str">
        <f aca="false">IF($J5569=FALSE(),"",COUNTIF($J$6:$J5569,TRUE()))</f>
        <v/>
      </c>
      <c r="L5569" s="5" t="str">
        <f aca="false">IF($K5569="","","R"&amp;$K5569)</f>
        <v/>
      </c>
    </row>
    <row r="5570" customFormat="false" ht="15" hidden="false" customHeight="true" outlineLevel="0" collapsed="false">
      <c r="J5570" s="14" t="b">
        <f aca="false">IF(중복검사!$A5568="",FALSE(),중복검사!$H5568="중복")</f>
        <v>0</v>
      </c>
      <c r="K5570" s="5" t="str">
        <f aca="false">IF($J5570=FALSE(),"",COUNTIF($J$6:$J5570,TRUE()))</f>
        <v/>
      </c>
      <c r="L5570" s="5" t="str">
        <f aca="false">IF($K5570="","","R"&amp;$K5570)</f>
        <v/>
      </c>
    </row>
    <row r="5571" customFormat="false" ht="15" hidden="false" customHeight="true" outlineLevel="0" collapsed="false">
      <c r="J5571" s="14" t="b">
        <f aca="false">IF(중복검사!$A5569="",FALSE(),중복검사!$H5569="중복")</f>
        <v>0</v>
      </c>
      <c r="K5571" s="5" t="str">
        <f aca="false">IF($J5571=FALSE(),"",COUNTIF($J$6:$J5571,TRUE()))</f>
        <v/>
      </c>
      <c r="L5571" s="5" t="str">
        <f aca="false">IF($K5571="","","R"&amp;$K5571)</f>
        <v/>
      </c>
    </row>
    <row r="5572" customFormat="false" ht="15" hidden="false" customHeight="true" outlineLevel="0" collapsed="false">
      <c r="J5572" s="14" t="b">
        <f aca="false">IF(중복검사!$A5570="",FALSE(),중복검사!$H5570="중복")</f>
        <v>0</v>
      </c>
      <c r="K5572" s="5" t="str">
        <f aca="false">IF($J5572=FALSE(),"",COUNTIF($J$6:$J5572,TRUE()))</f>
        <v/>
      </c>
      <c r="L5572" s="5" t="str">
        <f aca="false">IF($K5572="","","R"&amp;$K5572)</f>
        <v/>
      </c>
    </row>
    <row r="5573" customFormat="false" ht="15" hidden="false" customHeight="true" outlineLevel="0" collapsed="false">
      <c r="J5573" s="14" t="b">
        <f aca="false">IF(중복검사!$A5571="",FALSE(),중복검사!$H5571="중복")</f>
        <v>0</v>
      </c>
      <c r="K5573" s="5" t="str">
        <f aca="false">IF($J5573=FALSE(),"",COUNTIF($J$6:$J5573,TRUE()))</f>
        <v/>
      </c>
      <c r="L5573" s="5" t="str">
        <f aca="false">IF($K5573="","","R"&amp;$K5573)</f>
        <v/>
      </c>
    </row>
    <row r="5574" customFormat="false" ht="15" hidden="false" customHeight="true" outlineLevel="0" collapsed="false">
      <c r="J5574" s="14" t="b">
        <f aca="false">IF(중복검사!$A5572="",FALSE(),중복검사!$H5572="중복")</f>
        <v>0</v>
      </c>
      <c r="K5574" s="5" t="str">
        <f aca="false">IF($J5574=FALSE(),"",COUNTIF($J$6:$J5574,TRUE()))</f>
        <v/>
      </c>
      <c r="L5574" s="5" t="str">
        <f aca="false">IF($K5574="","","R"&amp;$K5574)</f>
        <v/>
      </c>
    </row>
    <row r="5575" customFormat="false" ht="15" hidden="false" customHeight="true" outlineLevel="0" collapsed="false">
      <c r="J5575" s="14" t="b">
        <f aca="false">IF(중복검사!$A5573="",FALSE(),중복검사!$H5573="중복")</f>
        <v>0</v>
      </c>
      <c r="K5575" s="5" t="str">
        <f aca="false">IF($J5575=FALSE(),"",COUNTIF($J$6:$J5575,TRUE()))</f>
        <v/>
      </c>
      <c r="L5575" s="5" t="str">
        <f aca="false">IF($K5575="","","R"&amp;$K5575)</f>
        <v/>
      </c>
    </row>
    <row r="5576" customFormat="false" ht="15" hidden="false" customHeight="true" outlineLevel="0" collapsed="false">
      <c r="J5576" s="14" t="b">
        <f aca="false">IF(중복검사!$A5574="",FALSE(),중복검사!$H5574="중복")</f>
        <v>0</v>
      </c>
      <c r="K5576" s="5" t="str">
        <f aca="false">IF($J5576=FALSE(),"",COUNTIF($J$6:$J5576,TRUE()))</f>
        <v/>
      </c>
      <c r="L5576" s="5" t="str">
        <f aca="false">IF($K5576="","","R"&amp;$K5576)</f>
        <v/>
      </c>
    </row>
    <row r="5577" customFormat="false" ht="15" hidden="false" customHeight="true" outlineLevel="0" collapsed="false">
      <c r="J5577" s="14" t="b">
        <f aca="false">IF(중복검사!$A5575="",FALSE(),중복검사!$H5575="중복")</f>
        <v>0</v>
      </c>
      <c r="K5577" s="5" t="str">
        <f aca="false">IF($J5577=FALSE(),"",COUNTIF($J$6:$J5577,TRUE()))</f>
        <v/>
      </c>
      <c r="L5577" s="5" t="str">
        <f aca="false">IF($K5577="","","R"&amp;$K5577)</f>
        <v/>
      </c>
    </row>
    <row r="5578" customFormat="false" ht="15" hidden="false" customHeight="true" outlineLevel="0" collapsed="false">
      <c r="J5578" s="14" t="b">
        <f aca="false">IF(중복검사!$A5576="",FALSE(),중복검사!$H5576="중복")</f>
        <v>0</v>
      </c>
      <c r="K5578" s="5" t="str">
        <f aca="false">IF($J5578=FALSE(),"",COUNTIF($J$6:$J5578,TRUE()))</f>
        <v/>
      </c>
      <c r="L5578" s="5" t="str">
        <f aca="false">IF($K5578="","","R"&amp;$K5578)</f>
        <v/>
      </c>
    </row>
    <row r="5579" customFormat="false" ht="15" hidden="false" customHeight="true" outlineLevel="0" collapsed="false">
      <c r="J5579" s="14" t="b">
        <f aca="false">IF(중복검사!$A5577="",FALSE(),중복검사!$H5577="중복")</f>
        <v>0</v>
      </c>
      <c r="K5579" s="5" t="str">
        <f aca="false">IF($J5579=FALSE(),"",COUNTIF($J$6:$J5579,TRUE()))</f>
        <v/>
      </c>
      <c r="L5579" s="5" t="str">
        <f aca="false">IF($K5579="","","R"&amp;$K5579)</f>
        <v/>
      </c>
    </row>
    <row r="5580" customFormat="false" ht="15" hidden="false" customHeight="true" outlineLevel="0" collapsed="false">
      <c r="J5580" s="14" t="b">
        <f aca="false">IF(중복검사!$A5578="",FALSE(),중복검사!$H5578="중복")</f>
        <v>0</v>
      </c>
      <c r="K5580" s="5" t="str">
        <f aca="false">IF($J5580=FALSE(),"",COUNTIF($J$6:$J5580,TRUE()))</f>
        <v/>
      </c>
      <c r="L5580" s="5" t="str">
        <f aca="false">IF($K5580="","","R"&amp;$K5580)</f>
        <v/>
      </c>
    </row>
    <row r="5581" customFormat="false" ht="15" hidden="false" customHeight="true" outlineLevel="0" collapsed="false">
      <c r="J5581" s="14" t="b">
        <f aca="false">IF(중복검사!$A5579="",FALSE(),중복검사!$H5579="중복")</f>
        <v>0</v>
      </c>
      <c r="K5581" s="5" t="str">
        <f aca="false">IF($J5581=FALSE(),"",COUNTIF($J$6:$J5581,TRUE()))</f>
        <v/>
      </c>
      <c r="L5581" s="5" t="str">
        <f aca="false">IF($K5581="","","R"&amp;$K5581)</f>
        <v/>
      </c>
    </row>
    <row r="5582" customFormat="false" ht="15" hidden="false" customHeight="true" outlineLevel="0" collapsed="false">
      <c r="J5582" s="14" t="b">
        <f aca="false">IF(중복검사!$A5580="",FALSE(),중복검사!$H5580="중복")</f>
        <v>0</v>
      </c>
      <c r="K5582" s="5" t="str">
        <f aca="false">IF($J5582=FALSE(),"",COUNTIF($J$6:$J5582,TRUE()))</f>
        <v/>
      </c>
      <c r="L5582" s="5" t="str">
        <f aca="false">IF($K5582="","","R"&amp;$K5582)</f>
        <v/>
      </c>
    </row>
    <row r="5583" customFormat="false" ht="15" hidden="false" customHeight="true" outlineLevel="0" collapsed="false">
      <c r="J5583" s="14" t="b">
        <f aca="false">IF(중복검사!$A5581="",FALSE(),중복검사!$H5581="중복")</f>
        <v>0</v>
      </c>
      <c r="K5583" s="5" t="str">
        <f aca="false">IF($J5583=FALSE(),"",COUNTIF($J$6:$J5583,TRUE()))</f>
        <v/>
      </c>
      <c r="L5583" s="5" t="str">
        <f aca="false">IF($K5583="","","R"&amp;$K5583)</f>
        <v/>
      </c>
    </row>
    <row r="5584" customFormat="false" ht="15" hidden="false" customHeight="true" outlineLevel="0" collapsed="false">
      <c r="J5584" s="14" t="b">
        <f aca="false">IF(중복검사!$A5582="",FALSE(),중복검사!$H5582="중복")</f>
        <v>0</v>
      </c>
      <c r="K5584" s="5" t="str">
        <f aca="false">IF($J5584=FALSE(),"",COUNTIF($J$6:$J5584,TRUE()))</f>
        <v/>
      </c>
      <c r="L5584" s="5" t="str">
        <f aca="false">IF($K5584="","","R"&amp;$K5584)</f>
        <v/>
      </c>
    </row>
    <row r="5585" customFormat="false" ht="15" hidden="false" customHeight="true" outlineLevel="0" collapsed="false">
      <c r="J5585" s="14" t="b">
        <f aca="false">IF(중복검사!$A5583="",FALSE(),중복검사!$H5583="중복")</f>
        <v>0</v>
      </c>
      <c r="K5585" s="5" t="str">
        <f aca="false">IF($J5585=FALSE(),"",COUNTIF($J$6:$J5585,TRUE()))</f>
        <v/>
      </c>
      <c r="L5585" s="5" t="str">
        <f aca="false">IF($K5585="","","R"&amp;$K5585)</f>
        <v/>
      </c>
    </row>
    <row r="5586" customFormat="false" ht="15" hidden="false" customHeight="true" outlineLevel="0" collapsed="false">
      <c r="J5586" s="14" t="b">
        <f aca="false">IF(중복검사!$A5584="",FALSE(),중복검사!$H5584="중복")</f>
        <v>0</v>
      </c>
      <c r="K5586" s="5" t="str">
        <f aca="false">IF($J5586=FALSE(),"",COUNTIF($J$6:$J5586,TRUE()))</f>
        <v/>
      </c>
      <c r="L5586" s="5" t="str">
        <f aca="false">IF($K5586="","","R"&amp;$K5586)</f>
        <v/>
      </c>
    </row>
    <row r="5587" customFormat="false" ht="15" hidden="false" customHeight="true" outlineLevel="0" collapsed="false">
      <c r="J5587" s="14" t="b">
        <f aca="false">IF(중복검사!$A5585="",FALSE(),중복검사!$H5585="중복")</f>
        <v>0</v>
      </c>
      <c r="K5587" s="5" t="str">
        <f aca="false">IF($J5587=FALSE(),"",COUNTIF($J$6:$J5587,TRUE()))</f>
        <v/>
      </c>
      <c r="L5587" s="5" t="str">
        <f aca="false">IF($K5587="","","R"&amp;$K5587)</f>
        <v/>
      </c>
    </row>
    <row r="5588" customFormat="false" ht="15" hidden="false" customHeight="true" outlineLevel="0" collapsed="false">
      <c r="J5588" s="14" t="b">
        <f aca="false">IF(중복검사!$A5586="",FALSE(),중복검사!$H5586="중복")</f>
        <v>0</v>
      </c>
      <c r="K5588" s="5" t="str">
        <f aca="false">IF($J5588=FALSE(),"",COUNTIF($J$6:$J5588,TRUE()))</f>
        <v/>
      </c>
      <c r="L5588" s="5" t="str">
        <f aca="false">IF($K5588="","","R"&amp;$K5588)</f>
        <v/>
      </c>
    </row>
    <row r="5589" customFormat="false" ht="15" hidden="false" customHeight="true" outlineLevel="0" collapsed="false">
      <c r="J5589" s="14" t="b">
        <f aca="false">IF(중복검사!$A5587="",FALSE(),중복검사!$H5587="중복")</f>
        <v>0</v>
      </c>
      <c r="K5589" s="5" t="str">
        <f aca="false">IF($J5589=FALSE(),"",COUNTIF($J$6:$J5589,TRUE()))</f>
        <v/>
      </c>
      <c r="L5589" s="5" t="str">
        <f aca="false">IF($K5589="","","R"&amp;$K5589)</f>
        <v/>
      </c>
    </row>
    <row r="5590" customFormat="false" ht="15" hidden="false" customHeight="true" outlineLevel="0" collapsed="false">
      <c r="J5590" s="14" t="b">
        <f aca="false">IF(중복검사!$A5588="",FALSE(),중복검사!$H5588="중복")</f>
        <v>0</v>
      </c>
      <c r="K5590" s="5" t="str">
        <f aca="false">IF($J5590=FALSE(),"",COUNTIF($J$6:$J5590,TRUE()))</f>
        <v/>
      </c>
      <c r="L5590" s="5" t="str">
        <f aca="false">IF($K5590="","","R"&amp;$K5590)</f>
        <v/>
      </c>
    </row>
    <row r="5591" customFormat="false" ht="15" hidden="false" customHeight="true" outlineLevel="0" collapsed="false">
      <c r="J5591" s="14" t="b">
        <f aca="false">IF(중복검사!$A5589="",FALSE(),중복검사!$H5589="중복")</f>
        <v>0</v>
      </c>
      <c r="K5591" s="5" t="str">
        <f aca="false">IF($J5591=FALSE(),"",COUNTIF($J$6:$J5591,TRUE()))</f>
        <v/>
      </c>
      <c r="L5591" s="5" t="str">
        <f aca="false">IF($K5591="","","R"&amp;$K5591)</f>
        <v/>
      </c>
    </row>
    <row r="5592" customFormat="false" ht="15" hidden="false" customHeight="true" outlineLevel="0" collapsed="false">
      <c r="J5592" s="14" t="b">
        <f aca="false">IF(중복검사!$A5590="",FALSE(),중복검사!$H5590="중복")</f>
        <v>0</v>
      </c>
      <c r="K5592" s="5" t="str">
        <f aca="false">IF($J5592=FALSE(),"",COUNTIF($J$6:$J5592,TRUE()))</f>
        <v/>
      </c>
      <c r="L5592" s="5" t="str">
        <f aca="false">IF($K5592="","","R"&amp;$K5592)</f>
        <v/>
      </c>
    </row>
    <row r="5593" customFormat="false" ht="15" hidden="false" customHeight="true" outlineLevel="0" collapsed="false">
      <c r="J5593" s="14" t="b">
        <f aca="false">IF(중복검사!$A5591="",FALSE(),중복검사!$H5591="중복")</f>
        <v>0</v>
      </c>
      <c r="K5593" s="5" t="str">
        <f aca="false">IF($J5593=FALSE(),"",COUNTIF($J$6:$J5593,TRUE()))</f>
        <v/>
      </c>
      <c r="L5593" s="5" t="str">
        <f aca="false">IF($K5593="","","R"&amp;$K5593)</f>
        <v/>
      </c>
    </row>
    <row r="5594" customFormat="false" ht="15" hidden="false" customHeight="true" outlineLevel="0" collapsed="false">
      <c r="J5594" s="14" t="b">
        <f aca="false">IF(중복검사!$A5592="",FALSE(),중복검사!$H5592="중복")</f>
        <v>0</v>
      </c>
      <c r="K5594" s="5" t="str">
        <f aca="false">IF($J5594=FALSE(),"",COUNTIF($J$6:$J5594,TRUE()))</f>
        <v/>
      </c>
      <c r="L5594" s="5" t="str">
        <f aca="false">IF($K5594="","","R"&amp;$K5594)</f>
        <v/>
      </c>
    </row>
    <row r="5595" customFormat="false" ht="15" hidden="false" customHeight="true" outlineLevel="0" collapsed="false">
      <c r="J5595" s="14" t="b">
        <f aca="false">IF(중복검사!$A5593="",FALSE(),중복검사!$H5593="중복")</f>
        <v>0</v>
      </c>
      <c r="K5595" s="5" t="str">
        <f aca="false">IF($J5595=FALSE(),"",COUNTIF($J$6:$J5595,TRUE()))</f>
        <v/>
      </c>
      <c r="L5595" s="5" t="str">
        <f aca="false">IF($K5595="","","R"&amp;$K5595)</f>
        <v/>
      </c>
    </row>
    <row r="5596" customFormat="false" ht="15" hidden="false" customHeight="true" outlineLevel="0" collapsed="false">
      <c r="J5596" s="14" t="b">
        <f aca="false">IF(중복검사!$A5594="",FALSE(),중복검사!$H5594="중복")</f>
        <v>0</v>
      </c>
      <c r="K5596" s="5" t="str">
        <f aca="false">IF($J5596=FALSE(),"",COUNTIF($J$6:$J5596,TRUE()))</f>
        <v/>
      </c>
      <c r="L5596" s="5" t="str">
        <f aca="false">IF($K5596="","","R"&amp;$K5596)</f>
        <v/>
      </c>
    </row>
    <row r="5597" customFormat="false" ht="15" hidden="false" customHeight="true" outlineLevel="0" collapsed="false">
      <c r="J5597" s="14" t="b">
        <f aca="false">IF(중복검사!$A5595="",FALSE(),중복검사!$H5595="중복")</f>
        <v>0</v>
      </c>
      <c r="K5597" s="5" t="str">
        <f aca="false">IF($J5597=FALSE(),"",COUNTIF($J$6:$J5597,TRUE()))</f>
        <v/>
      </c>
      <c r="L5597" s="5" t="str">
        <f aca="false">IF($K5597="","","R"&amp;$K5597)</f>
        <v/>
      </c>
    </row>
    <row r="5598" customFormat="false" ht="15" hidden="false" customHeight="true" outlineLevel="0" collapsed="false">
      <c r="J5598" s="14" t="b">
        <f aca="false">IF(중복검사!$A5596="",FALSE(),중복검사!$H5596="중복")</f>
        <v>0</v>
      </c>
      <c r="K5598" s="5" t="str">
        <f aca="false">IF($J5598=FALSE(),"",COUNTIF($J$6:$J5598,TRUE()))</f>
        <v/>
      </c>
      <c r="L5598" s="5" t="str">
        <f aca="false">IF($K5598="","","R"&amp;$K5598)</f>
        <v/>
      </c>
    </row>
    <row r="5599" customFormat="false" ht="15" hidden="false" customHeight="true" outlineLevel="0" collapsed="false">
      <c r="J5599" s="14" t="b">
        <f aca="false">IF(중복검사!$A5597="",FALSE(),중복검사!$H5597="중복")</f>
        <v>0</v>
      </c>
      <c r="K5599" s="5" t="str">
        <f aca="false">IF($J5599=FALSE(),"",COUNTIF($J$6:$J5599,TRUE()))</f>
        <v/>
      </c>
      <c r="L5599" s="5" t="str">
        <f aca="false">IF($K5599="","","R"&amp;$K5599)</f>
        <v/>
      </c>
    </row>
    <row r="5600" customFormat="false" ht="15" hidden="false" customHeight="true" outlineLevel="0" collapsed="false">
      <c r="J5600" s="14" t="b">
        <f aca="false">IF(중복검사!$A5598="",FALSE(),중복검사!$H5598="중복")</f>
        <v>0</v>
      </c>
      <c r="K5600" s="5" t="str">
        <f aca="false">IF($J5600=FALSE(),"",COUNTIF($J$6:$J5600,TRUE()))</f>
        <v/>
      </c>
      <c r="L5600" s="5" t="str">
        <f aca="false">IF($K5600="","","R"&amp;$K5600)</f>
        <v/>
      </c>
    </row>
    <row r="5601" customFormat="false" ht="15" hidden="false" customHeight="true" outlineLevel="0" collapsed="false">
      <c r="J5601" s="14" t="b">
        <f aca="false">IF(중복검사!$A5599="",FALSE(),중복검사!$H5599="중복")</f>
        <v>0</v>
      </c>
      <c r="K5601" s="5" t="str">
        <f aca="false">IF($J5601=FALSE(),"",COUNTIF($J$6:$J5601,TRUE()))</f>
        <v/>
      </c>
      <c r="L5601" s="5" t="str">
        <f aca="false">IF($K5601="","","R"&amp;$K5601)</f>
        <v/>
      </c>
    </row>
    <row r="5602" customFormat="false" ht="15" hidden="false" customHeight="true" outlineLevel="0" collapsed="false">
      <c r="J5602" s="14" t="b">
        <f aca="false">IF(중복검사!$A5600="",FALSE(),중복검사!$H5600="중복")</f>
        <v>0</v>
      </c>
      <c r="K5602" s="5" t="str">
        <f aca="false">IF($J5602=FALSE(),"",COUNTIF($J$6:$J5602,TRUE()))</f>
        <v/>
      </c>
      <c r="L5602" s="5" t="str">
        <f aca="false">IF($K5602="","","R"&amp;$K5602)</f>
        <v/>
      </c>
    </row>
    <row r="5603" customFormat="false" ht="15" hidden="false" customHeight="true" outlineLevel="0" collapsed="false">
      <c r="J5603" s="14" t="b">
        <f aca="false">IF(중복검사!$A5601="",FALSE(),중복검사!$H5601="중복")</f>
        <v>0</v>
      </c>
      <c r="K5603" s="5" t="str">
        <f aca="false">IF($J5603=FALSE(),"",COUNTIF($J$6:$J5603,TRUE()))</f>
        <v/>
      </c>
      <c r="L5603" s="5" t="str">
        <f aca="false">IF($K5603="","","R"&amp;$K5603)</f>
        <v/>
      </c>
    </row>
    <row r="5604" customFormat="false" ht="15" hidden="false" customHeight="true" outlineLevel="0" collapsed="false">
      <c r="J5604" s="14" t="b">
        <f aca="false">IF(중복검사!$A5602="",FALSE(),중복검사!$H5602="중복")</f>
        <v>0</v>
      </c>
      <c r="K5604" s="5" t="str">
        <f aca="false">IF($J5604=FALSE(),"",COUNTIF($J$6:$J5604,TRUE()))</f>
        <v/>
      </c>
      <c r="L5604" s="5" t="str">
        <f aca="false">IF($K5604="","","R"&amp;$K5604)</f>
        <v/>
      </c>
    </row>
    <row r="5605" customFormat="false" ht="15" hidden="false" customHeight="true" outlineLevel="0" collapsed="false">
      <c r="J5605" s="14" t="b">
        <f aca="false">IF(중복검사!$A5603="",FALSE(),중복검사!$H5603="중복")</f>
        <v>0</v>
      </c>
      <c r="K5605" s="5" t="str">
        <f aca="false">IF($J5605=FALSE(),"",COUNTIF($J$6:$J5605,TRUE()))</f>
        <v/>
      </c>
      <c r="L5605" s="5" t="str">
        <f aca="false">IF($K5605="","","R"&amp;$K5605)</f>
        <v/>
      </c>
    </row>
    <row r="5606" customFormat="false" ht="15" hidden="false" customHeight="true" outlineLevel="0" collapsed="false">
      <c r="J5606" s="14" t="b">
        <f aca="false">IF(중복검사!$A5604="",FALSE(),중복검사!$H5604="중복")</f>
        <v>0</v>
      </c>
      <c r="K5606" s="5" t="str">
        <f aca="false">IF($J5606=FALSE(),"",COUNTIF($J$6:$J5606,TRUE()))</f>
        <v/>
      </c>
      <c r="L5606" s="5" t="str">
        <f aca="false">IF($K5606="","","R"&amp;$K5606)</f>
        <v/>
      </c>
    </row>
    <row r="5607" customFormat="false" ht="15" hidden="false" customHeight="true" outlineLevel="0" collapsed="false">
      <c r="J5607" s="14" t="b">
        <f aca="false">IF(중복검사!$A5605="",FALSE(),중복검사!$H5605="중복")</f>
        <v>0</v>
      </c>
      <c r="K5607" s="5" t="str">
        <f aca="false">IF($J5607=FALSE(),"",COUNTIF($J$6:$J5607,TRUE()))</f>
        <v/>
      </c>
      <c r="L5607" s="5" t="str">
        <f aca="false">IF($K5607="","","R"&amp;$K5607)</f>
        <v/>
      </c>
    </row>
    <row r="5608" customFormat="false" ht="15" hidden="false" customHeight="true" outlineLevel="0" collapsed="false">
      <c r="J5608" s="14" t="b">
        <f aca="false">IF(중복검사!$A5606="",FALSE(),중복검사!$H5606="중복")</f>
        <v>0</v>
      </c>
      <c r="K5608" s="5" t="str">
        <f aca="false">IF($J5608=FALSE(),"",COUNTIF($J$6:$J5608,TRUE()))</f>
        <v/>
      </c>
      <c r="L5608" s="5" t="str">
        <f aca="false">IF($K5608="","","R"&amp;$K5608)</f>
        <v/>
      </c>
    </row>
    <row r="5609" customFormat="false" ht="15" hidden="false" customHeight="true" outlineLevel="0" collapsed="false">
      <c r="J5609" s="14" t="b">
        <f aca="false">IF(중복검사!$A5607="",FALSE(),중복검사!$H5607="중복")</f>
        <v>0</v>
      </c>
      <c r="K5609" s="5" t="str">
        <f aca="false">IF($J5609=FALSE(),"",COUNTIF($J$6:$J5609,TRUE()))</f>
        <v/>
      </c>
      <c r="L5609" s="5" t="str">
        <f aca="false">IF($K5609="","","R"&amp;$K5609)</f>
        <v/>
      </c>
    </row>
    <row r="5610" customFormat="false" ht="15" hidden="false" customHeight="true" outlineLevel="0" collapsed="false">
      <c r="J5610" s="14" t="b">
        <f aca="false">IF(중복검사!$A5608="",FALSE(),중복검사!$H5608="중복")</f>
        <v>0</v>
      </c>
      <c r="K5610" s="5" t="str">
        <f aca="false">IF($J5610=FALSE(),"",COUNTIF($J$6:$J5610,TRUE()))</f>
        <v/>
      </c>
      <c r="L5610" s="5" t="str">
        <f aca="false">IF($K5610="","","R"&amp;$K5610)</f>
        <v/>
      </c>
    </row>
    <row r="5611" customFormat="false" ht="15" hidden="false" customHeight="true" outlineLevel="0" collapsed="false">
      <c r="J5611" s="14" t="b">
        <f aca="false">IF(중복검사!$A5609="",FALSE(),중복검사!$H5609="중복")</f>
        <v>0</v>
      </c>
      <c r="K5611" s="5" t="str">
        <f aca="false">IF($J5611=FALSE(),"",COUNTIF($J$6:$J5611,TRUE()))</f>
        <v/>
      </c>
      <c r="L5611" s="5" t="str">
        <f aca="false">IF($K5611="","","R"&amp;$K5611)</f>
        <v/>
      </c>
    </row>
    <row r="5612" customFormat="false" ht="15" hidden="false" customHeight="true" outlineLevel="0" collapsed="false">
      <c r="J5612" s="14" t="b">
        <f aca="false">IF(중복검사!$A5610="",FALSE(),중복검사!$H5610="중복")</f>
        <v>0</v>
      </c>
      <c r="K5612" s="5" t="str">
        <f aca="false">IF($J5612=FALSE(),"",COUNTIF($J$6:$J5612,TRUE()))</f>
        <v/>
      </c>
      <c r="L5612" s="5" t="str">
        <f aca="false">IF($K5612="","","R"&amp;$K5612)</f>
        <v/>
      </c>
    </row>
    <row r="5613" customFormat="false" ht="15" hidden="false" customHeight="true" outlineLevel="0" collapsed="false">
      <c r="J5613" s="14" t="b">
        <f aca="false">IF(중복검사!$A5611="",FALSE(),중복검사!$H5611="중복")</f>
        <v>0</v>
      </c>
      <c r="K5613" s="5" t="str">
        <f aca="false">IF($J5613=FALSE(),"",COUNTIF($J$6:$J5613,TRUE()))</f>
        <v/>
      </c>
      <c r="L5613" s="5" t="str">
        <f aca="false">IF($K5613="","","R"&amp;$K5613)</f>
        <v/>
      </c>
    </row>
    <row r="5614" customFormat="false" ht="15" hidden="false" customHeight="true" outlineLevel="0" collapsed="false">
      <c r="J5614" s="14" t="b">
        <f aca="false">IF(중복검사!$A5612="",FALSE(),중복검사!$H5612="중복")</f>
        <v>0</v>
      </c>
      <c r="K5614" s="5" t="str">
        <f aca="false">IF($J5614=FALSE(),"",COUNTIF($J$6:$J5614,TRUE()))</f>
        <v/>
      </c>
      <c r="L5614" s="5" t="str">
        <f aca="false">IF($K5614="","","R"&amp;$K5614)</f>
        <v/>
      </c>
    </row>
    <row r="5615" customFormat="false" ht="15" hidden="false" customHeight="true" outlineLevel="0" collapsed="false">
      <c r="J5615" s="14" t="b">
        <f aca="false">IF(중복검사!$A5613="",FALSE(),중복검사!$H5613="중복")</f>
        <v>0</v>
      </c>
      <c r="K5615" s="5" t="str">
        <f aca="false">IF($J5615=FALSE(),"",COUNTIF($J$6:$J5615,TRUE()))</f>
        <v/>
      </c>
      <c r="L5615" s="5" t="str">
        <f aca="false">IF($K5615="","","R"&amp;$K5615)</f>
        <v/>
      </c>
    </row>
    <row r="5616" customFormat="false" ht="15" hidden="false" customHeight="true" outlineLevel="0" collapsed="false">
      <c r="J5616" s="14" t="b">
        <f aca="false">IF(중복검사!$A5614="",FALSE(),중복검사!$H5614="중복")</f>
        <v>0</v>
      </c>
      <c r="K5616" s="5" t="str">
        <f aca="false">IF($J5616=FALSE(),"",COUNTIF($J$6:$J5616,TRUE()))</f>
        <v/>
      </c>
      <c r="L5616" s="5" t="str">
        <f aca="false">IF($K5616="","","R"&amp;$K5616)</f>
        <v/>
      </c>
    </row>
    <row r="5617" customFormat="false" ht="15" hidden="false" customHeight="true" outlineLevel="0" collapsed="false">
      <c r="J5617" s="14" t="b">
        <f aca="false">IF(중복검사!$A5615="",FALSE(),중복검사!$H5615="중복")</f>
        <v>0</v>
      </c>
      <c r="K5617" s="5" t="str">
        <f aca="false">IF($J5617=FALSE(),"",COUNTIF($J$6:$J5617,TRUE()))</f>
        <v/>
      </c>
      <c r="L5617" s="5" t="str">
        <f aca="false">IF($K5617="","","R"&amp;$K5617)</f>
        <v/>
      </c>
    </row>
    <row r="5618" customFormat="false" ht="15" hidden="false" customHeight="true" outlineLevel="0" collapsed="false">
      <c r="J5618" s="14" t="b">
        <f aca="false">IF(중복검사!$A5616="",FALSE(),중복검사!$H5616="중복")</f>
        <v>0</v>
      </c>
      <c r="K5618" s="5" t="str">
        <f aca="false">IF($J5618=FALSE(),"",COUNTIF($J$6:$J5618,TRUE()))</f>
        <v/>
      </c>
      <c r="L5618" s="5" t="str">
        <f aca="false">IF($K5618="","","R"&amp;$K5618)</f>
        <v/>
      </c>
    </row>
    <row r="5619" customFormat="false" ht="15" hidden="false" customHeight="true" outlineLevel="0" collapsed="false">
      <c r="J5619" s="14" t="b">
        <f aca="false">IF(중복검사!$A5617="",FALSE(),중복검사!$H5617="중복")</f>
        <v>0</v>
      </c>
      <c r="K5619" s="5" t="str">
        <f aca="false">IF($J5619=FALSE(),"",COUNTIF($J$6:$J5619,TRUE()))</f>
        <v/>
      </c>
      <c r="L5619" s="5" t="str">
        <f aca="false">IF($K5619="","","R"&amp;$K5619)</f>
        <v/>
      </c>
    </row>
    <row r="5620" customFormat="false" ht="15" hidden="false" customHeight="true" outlineLevel="0" collapsed="false">
      <c r="J5620" s="14" t="b">
        <f aca="false">IF(중복검사!$A5618="",FALSE(),중복검사!$H5618="중복")</f>
        <v>0</v>
      </c>
      <c r="K5620" s="5" t="str">
        <f aca="false">IF($J5620=FALSE(),"",COUNTIF($J$6:$J5620,TRUE()))</f>
        <v/>
      </c>
      <c r="L5620" s="5" t="str">
        <f aca="false">IF($K5620="","","R"&amp;$K5620)</f>
        <v/>
      </c>
    </row>
    <row r="5621" customFormat="false" ht="15" hidden="false" customHeight="true" outlineLevel="0" collapsed="false">
      <c r="J5621" s="14" t="b">
        <f aca="false">IF(중복검사!$A5619="",FALSE(),중복검사!$H5619="중복")</f>
        <v>0</v>
      </c>
      <c r="K5621" s="5" t="str">
        <f aca="false">IF($J5621=FALSE(),"",COUNTIF($J$6:$J5621,TRUE()))</f>
        <v/>
      </c>
      <c r="L5621" s="5" t="str">
        <f aca="false">IF($K5621="","","R"&amp;$K5621)</f>
        <v/>
      </c>
    </row>
    <row r="5622" customFormat="false" ht="15" hidden="false" customHeight="true" outlineLevel="0" collapsed="false">
      <c r="J5622" s="14" t="b">
        <f aca="false">IF(중복검사!$A5620="",FALSE(),중복검사!$H5620="중복")</f>
        <v>0</v>
      </c>
      <c r="K5622" s="5" t="str">
        <f aca="false">IF($J5622=FALSE(),"",COUNTIF($J$6:$J5622,TRUE()))</f>
        <v/>
      </c>
      <c r="L5622" s="5" t="str">
        <f aca="false">IF($K5622="","","R"&amp;$K5622)</f>
        <v/>
      </c>
    </row>
    <row r="5623" customFormat="false" ht="15" hidden="false" customHeight="true" outlineLevel="0" collapsed="false">
      <c r="J5623" s="14" t="b">
        <f aca="false">IF(중복검사!$A5621="",FALSE(),중복검사!$H5621="중복")</f>
        <v>0</v>
      </c>
      <c r="K5623" s="5" t="str">
        <f aca="false">IF($J5623=FALSE(),"",COUNTIF($J$6:$J5623,TRUE()))</f>
        <v/>
      </c>
      <c r="L5623" s="5" t="str">
        <f aca="false">IF($K5623="","","R"&amp;$K5623)</f>
        <v/>
      </c>
    </row>
    <row r="5624" customFormat="false" ht="15" hidden="false" customHeight="true" outlineLevel="0" collapsed="false">
      <c r="J5624" s="14" t="b">
        <f aca="false">IF(중복검사!$A5622="",FALSE(),중복검사!$H5622="중복")</f>
        <v>0</v>
      </c>
      <c r="K5624" s="5" t="str">
        <f aca="false">IF($J5624=FALSE(),"",COUNTIF($J$6:$J5624,TRUE()))</f>
        <v/>
      </c>
      <c r="L5624" s="5" t="str">
        <f aca="false">IF($K5624="","","R"&amp;$K5624)</f>
        <v/>
      </c>
    </row>
    <row r="5625" customFormat="false" ht="15" hidden="false" customHeight="true" outlineLevel="0" collapsed="false">
      <c r="J5625" s="14" t="b">
        <f aca="false">IF(중복검사!$A5623="",FALSE(),중복검사!$H5623="중복")</f>
        <v>0</v>
      </c>
      <c r="K5625" s="5" t="str">
        <f aca="false">IF($J5625=FALSE(),"",COUNTIF($J$6:$J5625,TRUE()))</f>
        <v/>
      </c>
      <c r="L5625" s="5" t="str">
        <f aca="false">IF($K5625="","","R"&amp;$K5625)</f>
        <v/>
      </c>
    </row>
    <row r="5626" customFormat="false" ht="15" hidden="false" customHeight="true" outlineLevel="0" collapsed="false">
      <c r="J5626" s="14" t="b">
        <f aca="false">IF(중복검사!$A5624="",FALSE(),중복검사!$H5624="중복")</f>
        <v>0</v>
      </c>
      <c r="K5626" s="5" t="str">
        <f aca="false">IF($J5626=FALSE(),"",COUNTIF($J$6:$J5626,TRUE()))</f>
        <v/>
      </c>
      <c r="L5626" s="5" t="str">
        <f aca="false">IF($K5626="","","R"&amp;$K5626)</f>
        <v/>
      </c>
    </row>
    <row r="5627" customFormat="false" ht="15" hidden="false" customHeight="true" outlineLevel="0" collapsed="false">
      <c r="J5627" s="14" t="b">
        <f aca="false">IF(중복검사!$A5625="",FALSE(),중복검사!$H5625="중복")</f>
        <v>0</v>
      </c>
      <c r="K5627" s="5" t="str">
        <f aca="false">IF($J5627=FALSE(),"",COUNTIF($J$6:$J5627,TRUE()))</f>
        <v/>
      </c>
      <c r="L5627" s="5" t="str">
        <f aca="false">IF($K5627="","","R"&amp;$K5627)</f>
        <v/>
      </c>
    </row>
    <row r="5628" customFormat="false" ht="15" hidden="false" customHeight="true" outlineLevel="0" collapsed="false">
      <c r="J5628" s="14" t="b">
        <f aca="false">IF(중복검사!$A5626="",FALSE(),중복검사!$H5626="중복")</f>
        <v>0</v>
      </c>
      <c r="K5628" s="5" t="str">
        <f aca="false">IF($J5628=FALSE(),"",COUNTIF($J$6:$J5628,TRUE()))</f>
        <v/>
      </c>
      <c r="L5628" s="5" t="str">
        <f aca="false">IF($K5628="","","R"&amp;$K5628)</f>
        <v/>
      </c>
    </row>
    <row r="5629" customFormat="false" ht="15" hidden="false" customHeight="true" outlineLevel="0" collapsed="false">
      <c r="J5629" s="14" t="b">
        <f aca="false">IF(중복검사!$A5627="",FALSE(),중복검사!$H5627="중복")</f>
        <v>0</v>
      </c>
      <c r="K5629" s="5" t="str">
        <f aca="false">IF($J5629=FALSE(),"",COUNTIF($J$6:$J5629,TRUE()))</f>
        <v/>
      </c>
      <c r="L5629" s="5" t="str">
        <f aca="false">IF($K5629="","","R"&amp;$K5629)</f>
        <v/>
      </c>
    </row>
    <row r="5630" customFormat="false" ht="15" hidden="false" customHeight="true" outlineLevel="0" collapsed="false">
      <c r="J5630" s="14" t="b">
        <f aca="false">IF(중복검사!$A5628="",FALSE(),중복검사!$H5628="중복")</f>
        <v>0</v>
      </c>
      <c r="K5630" s="5" t="str">
        <f aca="false">IF($J5630=FALSE(),"",COUNTIF($J$6:$J5630,TRUE()))</f>
        <v/>
      </c>
      <c r="L5630" s="5" t="str">
        <f aca="false">IF($K5630="","","R"&amp;$K5630)</f>
        <v/>
      </c>
    </row>
    <row r="5631" customFormat="false" ht="15" hidden="false" customHeight="true" outlineLevel="0" collapsed="false">
      <c r="J5631" s="14" t="b">
        <f aca="false">IF(중복검사!$A5629="",FALSE(),중복검사!$H5629="중복")</f>
        <v>0</v>
      </c>
      <c r="K5631" s="5" t="str">
        <f aca="false">IF($J5631=FALSE(),"",COUNTIF($J$6:$J5631,TRUE()))</f>
        <v/>
      </c>
      <c r="L5631" s="5" t="str">
        <f aca="false">IF($K5631="","","R"&amp;$K5631)</f>
        <v/>
      </c>
    </row>
    <row r="5632" customFormat="false" ht="15" hidden="false" customHeight="true" outlineLevel="0" collapsed="false">
      <c r="J5632" s="14" t="b">
        <f aca="false">IF(중복검사!$A5630="",FALSE(),중복검사!$H5630="중복")</f>
        <v>0</v>
      </c>
      <c r="K5632" s="5" t="str">
        <f aca="false">IF($J5632=FALSE(),"",COUNTIF($J$6:$J5632,TRUE()))</f>
        <v/>
      </c>
      <c r="L5632" s="5" t="str">
        <f aca="false">IF($K5632="","","R"&amp;$K5632)</f>
        <v/>
      </c>
    </row>
    <row r="5633" customFormat="false" ht="15" hidden="false" customHeight="true" outlineLevel="0" collapsed="false">
      <c r="J5633" s="14" t="b">
        <f aca="false">IF(중복검사!$A5631="",FALSE(),중복검사!$H5631="중복")</f>
        <v>0</v>
      </c>
      <c r="K5633" s="5" t="str">
        <f aca="false">IF($J5633=FALSE(),"",COUNTIF($J$6:$J5633,TRUE()))</f>
        <v/>
      </c>
      <c r="L5633" s="5" t="str">
        <f aca="false">IF($K5633="","","R"&amp;$K5633)</f>
        <v/>
      </c>
    </row>
    <row r="5634" customFormat="false" ht="15" hidden="false" customHeight="true" outlineLevel="0" collapsed="false">
      <c r="J5634" s="14" t="b">
        <f aca="false">IF(중복검사!$A5632="",FALSE(),중복검사!$H5632="중복")</f>
        <v>0</v>
      </c>
      <c r="K5634" s="5" t="str">
        <f aca="false">IF($J5634=FALSE(),"",COUNTIF($J$6:$J5634,TRUE()))</f>
        <v/>
      </c>
      <c r="L5634" s="5" t="str">
        <f aca="false">IF($K5634="","","R"&amp;$K5634)</f>
        <v/>
      </c>
    </row>
    <row r="5635" customFormat="false" ht="15" hidden="false" customHeight="true" outlineLevel="0" collapsed="false">
      <c r="J5635" s="14" t="b">
        <f aca="false">IF(중복검사!$A5633="",FALSE(),중복검사!$H5633="중복")</f>
        <v>0</v>
      </c>
      <c r="K5635" s="5" t="str">
        <f aca="false">IF($J5635=FALSE(),"",COUNTIF($J$6:$J5635,TRUE()))</f>
        <v/>
      </c>
      <c r="L5635" s="5" t="str">
        <f aca="false">IF($K5635="","","R"&amp;$K5635)</f>
        <v/>
      </c>
    </row>
    <row r="5636" customFormat="false" ht="15" hidden="false" customHeight="true" outlineLevel="0" collapsed="false">
      <c r="J5636" s="14" t="b">
        <f aca="false">IF(중복검사!$A5634="",FALSE(),중복검사!$H5634="중복")</f>
        <v>0</v>
      </c>
      <c r="K5636" s="5" t="str">
        <f aca="false">IF($J5636=FALSE(),"",COUNTIF($J$6:$J5636,TRUE()))</f>
        <v/>
      </c>
      <c r="L5636" s="5" t="str">
        <f aca="false">IF($K5636="","","R"&amp;$K5636)</f>
        <v/>
      </c>
    </row>
    <row r="5637" customFormat="false" ht="15" hidden="false" customHeight="true" outlineLevel="0" collapsed="false">
      <c r="J5637" s="14" t="b">
        <f aca="false">IF(중복검사!$A5635="",FALSE(),중복검사!$H5635="중복")</f>
        <v>0</v>
      </c>
      <c r="K5637" s="5" t="str">
        <f aca="false">IF($J5637=FALSE(),"",COUNTIF($J$6:$J5637,TRUE()))</f>
        <v/>
      </c>
      <c r="L5637" s="5" t="str">
        <f aca="false">IF($K5637="","","R"&amp;$K5637)</f>
        <v/>
      </c>
    </row>
    <row r="5638" customFormat="false" ht="15" hidden="false" customHeight="true" outlineLevel="0" collapsed="false">
      <c r="J5638" s="14" t="b">
        <f aca="false">IF(중복검사!$A5636="",FALSE(),중복검사!$H5636="중복")</f>
        <v>0</v>
      </c>
      <c r="K5638" s="5" t="str">
        <f aca="false">IF($J5638=FALSE(),"",COUNTIF($J$6:$J5638,TRUE()))</f>
        <v/>
      </c>
      <c r="L5638" s="5" t="str">
        <f aca="false">IF($K5638="","","R"&amp;$K5638)</f>
        <v/>
      </c>
    </row>
    <row r="5639" customFormat="false" ht="15" hidden="false" customHeight="true" outlineLevel="0" collapsed="false">
      <c r="J5639" s="14" t="b">
        <f aca="false">IF(중복검사!$A5637="",FALSE(),중복검사!$H5637="중복")</f>
        <v>0</v>
      </c>
      <c r="K5639" s="5" t="str">
        <f aca="false">IF($J5639=FALSE(),"",COUNTIF($J$6:$J5639,TRUE()))</f>
        <v/>
      </c>
      <c r="L5639" s="5" t="str">
        <f aca="false">IF($K5639="","","R"&amp;$K5639)</f>
        <v/>
      </c>
    </row>
    <row r="5640" customFormat="false" ht="15" hidden="false" customHeight="true" outlineLevel="0" collapsed="false">
      <c r="J5640" s="14" t="b">
        <f aca="false">IF(중복검사!$A5638="",FALSE(),중복검사!$H5638="중복")</f>
        <v>0</v>
      </c>
      <c r="K5640" s="5" t="str">
        <f aca="false">IF($J5640=FALSE(),"",COUNTIF($J$6:$J5640,TRUE()))</f>
        <v/>
      </c>
      <c r="L5640" s="5" t="str">
        <f aca="false">IF($K5640="","","R"&amp;$K5640)</f>
        <v/>
      </c>
    </row>
    <row r="5641" customFormat="false" ht="15" hidden="false" customHeight="true" outlineLevel="0" collapsed="false">
      <c r="J5641" s="14" t="b">
        <f aca="false">IF(중복검사!$A5639="",FALSE(),중복검사!$H5639="중복")</f>
        <v>0</v>
      </c>
      <c r="K5641" s="5" t="str">
        <f aca="false">IF($J5641=FALSE(),"",COUNTIF($J$6:$J5641,TRUE()))</f>
        <v/>
      </c>
      <c r="L5641" s="5" t="str">
        <f aca="false">IF($K5641="","","R"&amp;$K5641)</f>
        <v/>
      </c>
    </row>
    <row r="5642" customFormat="false" ht="15" hidden="false" customHeight="true" outlineLevel="0" collapsed="false">
      <c r="J5642" s="14" t="b">
        <f aca="false">IF(중복검사!$A5640="",FALSE(),중복검사!$H5640="중복")</f>
        <v>0</v>
      </c>
      <c r="K5642" s="5" t="str">
        <f aca="false">IF($J5642=FALSE(),"",COUNTIF($J$6:$J5642,TRUE()))</f>
        <v/>
      </c>
      <c r="L5642" s="5" t="str">
        <f aca="false">IF($K5642="","","R"&amp;$K5642)</f>
        <v/>
      </c>
    </row>
    <row r="5643" customFormat="false" ht="15" hidden="false" customHeight="true" outlineLevel="0" collapsed="false">
      <c r="J5643" s="14" t="b">
        <f aca="false">IF(중복검사!$A5641="",FALSE(),중복검사!$H5641="중복")</f>
        <v>0</v>
      </c>
      <c r="K5643" s="5" t="str">
        <f aca="false">IF($J5643=FALSE(),"",COUNTIF($J$6:$J5643,TRUE()))</f>
        <v/>
      </c>
      <c r="L5643" s="5" t="str">
        <f aca="false">IF($K5643="","","R"&amp;$K5643)</f>
        <v/>
      </c>
    </row>
    <row r="5644" customFormat="false" ht="15" hidden="false" customHeight="true" outlineLevel="0" collapsed="false">
      <c r="J5644" s="14" t="b">
        <f aca="false">IF(중복검사!$A5642="",FALSE(),중복검사!$H5642="중복")</f>
        <v>0</v>
      </c>
      <c r="K5644" s="5" t="str">
        <f aca="false">IF($J5644=FALSE(),"",COUNTIF($J$6:$J5644,TRUE()))</f>
        <v/>
      </c>
      <c r="L5644" s="5" t="str">
        <f aca="false">IF($K5644="","","R"&amp;$K5644)</f>
        <v/>
      </c>
    </row>
    <row r="5645" customFormat="false" ht="15" hidden="false" customHeight="true" outlineLevel="0" collapsed="false">
      <c r="J5645" s="14" t="b">
        <f aca="false">IF(중복검사!$A5643="",FALSE(),중복검사!$H5643="중복")</f>
        <v>0</v>
      </c>
      <c r="K5645" s="5" t="str">
        <f aca="false">IF($J5645=FALSE(),"",COUNTIF($J$6:$J5645,TRUE()))</f>
        <v/>
      </c>
      <c r="L5645" s="5" t="str">
        <f aca="false">IF($K5645="","","R"&amp;$K5645)</f>
        <v/>
      </c>
    </row>
    <row r="5646" customFormat="false" ht="15" hidden="false" customHeight="true" outlineLevel="0" collapsed="false">
      <c r="J5646" s="14" t="b">
        <f aca="false">IF(중복검사!$A5644="",FALSE(),중복검사!$H5644="중복")</f>
        <v>0</v>
      </c>
      <c r="K5646" s="5" t="str">
        <f aca="false">IF($J5646=FALSE(),"",COUNTIF($J$6:$J5646,TRUE()))</f>
        <v/>
      </c>
      <c r="L5646" s="5" t="str">
        <f aca="false">IF($K5646="","","R"&amp;$K5646)</f>
        <v/>
      </c>
    </row>
    <row r="5647" customFormat="false" ht="15" hidden="false" customHeight="true" outlineLevel="0" collapsed="false">
      <c r="J5647" s="14" t="b">
        <f aca="false">IF(중복검사!$A5645="",FALSE(),중복검사!$H5645="중복")</f>
        <v>0</v>
      </c>
      <c r="K5647" s="5" t="str">
        <f aca="false">IF($J5647=FALSE(),"",COUNTIF($J$6:$J5647,TRUE()))</f>
        <v/>
      </c>
      <c r="L5647" s="5" t="str">
        <f aca="false">IF($K5647="","","R"&amp;$K5647)</f>
        <v/>
      </c>
    </row>
    <row r="5648" customFormat="false" ht="15" hidden="false" customHeight="true" outlineLevel="0" collapsed="false">
      <c r="J5648" s="14" t="b">
        <f aca="false">IF(중복검사!$A5646="",FALSE(),중복검사!$H5646="중복")</f>
        <v>0</v>
      </c>
      <c r="K5648" s="5" t="str">
        <f aca="false">IF($J5648=FALSE(),"",COUNTIF($J$6:$J5648,TRUE()))</f>
        <v/>
      </c>
      <c r="L5648" s="5" t="str">
        <f aca="false">IF($K5648="","","R"&amp;$K5648)</f>
        <v/>
      </c>
    </row>
    <row r="5649" customFormat="false" ht="15" hidden="false" customHeight="true" outlineLevel="0" collapsed="false">
      <c r="J5649" s="14" t="b">
        <f aca="false">IF(중복검사!$A5647="",FALSE(),중복검사!$H5647="중복")</f>
        <v>0</v>
      </c>
      <c r="K5649" s="5" t="str">
        <f aca="false">IF($J5649=FALSE(),"",COUNTIF($J$6:$J5649,TRUE()))</f>
        <v/>
      </c>
      <c r="L5649" s="5" t="str">
        <f aca="false">IF($K5649="","","R"&amp;$K5649)</f>
        <v/>
      </c>
    </row>
    <row r="5650" customFormat="false" ht="15" hidden="false" customHeight="true" outlineLevel="0" collapsed="false">
      <c r="J5650" s="14" t="b">
        <f aca="false">IF(중복검사!$A5648="",FALSE(),중복검사!$H5648="중복")</f>
        <v>0</v>
      </c>
      <c r="K5650" s="5" t="str">
        <f aca="false">IF($J5650=FALSE(),"",COUNTIF($J$6:$J5650,TRUE()))</f>
        <v/>
      </c>
      <c r="L5650" s="5" t="str">
        <f aca="false">IF($K5650="","","R"&amp;$K5650)</f>
        <v/>
      </c>
    </row>
    <row r="5651" customFormat="false" ht="15" hidden="false" customHeight="true" outlineLevel="0" collapsed="false">
      <c r="J5651" s="14" t="b">
        <f aca="false">IF(중복검사!$A5649="",FALSE(),중복검사!$H5649="중복")</f>
        <v>0</v>
      </c>
      <c r="K5651" s="5" t="str">
        <f aca="false">IF($J5651=FALSE(),"",COUNTIF($J$6:$J5651,TRUE()))</f>
        <v/>
      </c>
      <c r="L5651" s="5" t="str">
        <f aca="false">IF($K5651="","","R"&amp;$K5651)</f>
        <v/>
      </c>
    </row>
    <row r="5652" customFormat="false" ht="15" hidden="false" customHeight="true" outlineLevel="0" collapsed="false">
      <c r="J5652" s="14" t="b">
        <f aca="false">IF(중복검사!$A5650="",FALSE(),중복검사!$H5650="중복")</f>
        <v>0</v>
      </c>
      <c r="K5652" s="5" t="str">
        <f aca="false">IF($J5652=FALSE(),"",COUNTIF($J$6:$J5652,TRUE()))</f>
        <v/>
      </c>
      <c r="L5652" s="5" t="str">
        <f aca="false">IF($K5652="","","R"&amp;$K5652)</f>
        <v/>
      </c>
    </row>
    <row r="5653" customFormat="false" ht="15" hidden="false" customHeight="true" outlineLevel="0" collapsed="false">
      <c r="J5653" s="14" t="b">
        <f aca="false">IF(중복검사!$A5651="",FALSE(),중복검사!$H5651="중복")</f>
        <v>0</v>
      </c>
      <c r="K5653" s="5" t="str">
        <f aca="false">IF($J5653=FALSE(),"",COUNTIF($J$6:$J5653,TRUE()))</f>
        <v/>
      </c>
      <c r="L5653" s="5" t="str">
        <f aca="false">IF($K5653="","","R"&amp;$K5653)</f>
        <v/>
      </c>
    </row>
    <row r="5654" customFormat="false" ht="15" hidden="false" customHeight="true" outlineLevel="0" collapsed="false">
      <c r="J5654" s="14" t="b">
        <f aca="false">IF(중복검사!$A5652="",FALSE(),중복검사!$H5652="중복")</f>
        <v>0</v>
      </c>
      <c r="K5654" s="5" t="str">
        <f aca="false">IF($J5654=FALSE(),"",COUNTIF($J$6:$J5654,TRUE()))</f>
        <v/>
      </c>
      <c r="L5654" s="5" t="str">
        <f aca="false">IF($K5654="","","R"&amp;$K5654)</f>
        <v/>
      </c>
    </row>
    <row r="5655" customFormat="false" ht="15" hidden="false" customHeight="true" outlineLevel="0" collapsed="false">
      <c r="J5655" s="14" t="b">
        <f aca="false">IF(중복검사!$A5653="",FALSE(),중복검사!$H5653="중복")</f>
        <v>0</v>
      </c>
      <c r="K5655" s="5" t="str">
        <f aca="false">IF($J5655=FALSE(),"",COUNTIF($J$6:$J5655,TRUE()))</f>
        <v/>
      </c>
      <c r="L5655" s="5" t="str">
        <f aca="false">IF($K5655="","","R"&amp;$K5655)</f>
        <v/>
      </c>
    </row>
    <row r="5656" customFormat="false" ht="15" hidden="false" customHeight="true" outlineLevel="0" collapsed="false">
      <c r="J5656" s="14" t="b">
        <f aca="false">IF(중복검사!$A5654="",FALSE(),중복검사!$H5654="중복")</f>
        <v>0</v>
      </c>
      <c r="K5656" s="5" t="str">
        <f aca="false">IF($J5656=FALSE(),"",COUNTIF($J$6:$J5656,TRUE()))</f>
        <v/>
      </c>
      <c r="L5656" s="5" t="str">
        <f aca="false">IF($K5656="","","R"&amp;$K5656)</f>
        <v/>
      </c>
    </row>
    <row r="5657" customFormat="false" ht="15" hidden="false" customHeight="true" outlineLevel="0" collapsed="false">
      <c r="J5657" s="14" t="b">
        <f aca="false">IF(중복검사!$A5655="",FALSE(),중복검사!$H5655="중복")</f>
        <v>0</v>
      </c>
      <c r="K5657" s="5" t="str">
        <f aca="false">IF($J5657=FALSE(),"",COUNTIF($J$6:$J5657,TRUE()))</f>
        <v/>
      </c>
      <c r="L5657" s="5" t="str">
        <f aca="false">IF($K5657="","","R"&amp;$K5657)</f>
        <v/>
      </c>
    </row>
    <row r="5658" customFormat="false" ht="15" hidden="false" customHeight="true" outlineLevel="0" collapsed="false">
      <c r="J5658" s="14" t="b">
        <f aca="false">IF(중복검사!$A5656="",FALSE(),중복검사!$H5656="중복")</f>
        <v>0</v>
      </c>
      <c r="K5658" s="5" t="str">
        <f aca="false">IF($J5658=FALSE(),"",COUNTIF($J$6:$J5658,TRUE()))</f>
        <v/>
      </c>
      <c r="L5658" s="5" t="str">
        <f aca="false">IF($K5658="","","R"&amp;$K5658)</f>
        <v/>
      </c>
    </row>
    <row r="5659" customFormat="false" ht="15" hidden="false" customHeight="true" outlineLevel="0" collapsed="false">
      <c r="J5659" s="14" t="b">
        <f aca="false">IF(중복검사!$A5657="",FALSE(),중복검사!$H5657="중복")</f>
        <v>0</v>
      </c>
      <c r="K5659" s="5" t="str">
        <f aca="false">IF($J5659=FALSE(),"",COUNTIF($J$6:$J5659,TRUE()))</f>
        <v/>
      </c>
      <c r="L5659" s="5" t="str">
        <f aca="false">IF($K5659="","","R"&amp;$K5659)</f>
        <v/>
      </c>
    </row>
    <row r="5660" customFormat="false" ht="15" hidden="false" customHeight="true" outlineLevel="0" collapsed="false">
      <c r="J5660" s="14" t="b">
        <f aca="false">IF(중복검사!$A5658="",FALSE(),중복검사!$H5658="중복")</f>
        <v>0</v>
      </c>
      <c r="K5660" s="5" t="str">
        <f aca="false">IF($J5660=FALSE(),"",COUNTIF($J$6:$J5660,TRUE()))</f>
        <v/>
      </c>
      <c r="L5660" s="5" t="str">
        <f aca="false">IF($K5660="","","R"&amp;$K5660)</f>
        <v/>
      </c>
    </row>
    <row r="5661" customFormat="false" ht="15" hidden="false" customHeight="true" outlineLevel="0" collapsed="false">
      <c r="J5661" s="14" t="b">
        <f aca="false">IF(중복검사!$A5659="",FALSE(),중복검사!$H5659="중복")</f>
        <v>0</v>
      </c>
      <c r="K5661" s="5" t="str">
        <f aca="false">IF($J5661=FALSE(),"",COUNTIF($J$6:$J5661,TRUE()))</f>
        <v/>
      </c>
      <c r="L5661" s="5" t="str">
        <f aca="false">IF($K5661="","","R"&amp;$K5661)</f>
        <v/>
      </c>
    </row>
    <row r="5662" customFormat="false" ht="15" hidden="false" customHeight="true" outlineLevel="0" collapsed="false">
      <c r="J5662" s="14" t="b">
        <f aca="false">IF(중복검사!$A5660="",FALSE(),중복검사!$H5660="중복")</f>
        <v>0</v>
      </c>
      <c r="K5662" s="5" t="str">
        <f aca="false">IF($J5662=FALSE(),"",COUNTIF($J$6:$J5662,TRUE()))</f>
        <v/>
      </c>
      <c r="L5662" s="5" t="str">
        <f aca="false">IF($K5662="","","R"&amp;$K5662)</f>
        <v/>
      </c>
    </row>
    <row r="5663" customFormat="false" ht="15" hidden="false" customHeight="true" outlineLevel="0" collapsed="false">
      <c r="J5663" s="14" t="b">
        <f aca="false">IF(중복검사!$A5661="",FALSE(),중복검사!$H5661="중복")</f>
        <v>0</v>
      </c>
      <c r="K5663" s="5" t="str">
        <f aca="false">IF($J5663=FALSE(),"",COUNTIF($J$6:$J5663,TRUE()))</f>
        <v/>
      </c>
      <c r="L5663" s="5" t="str">
        <f aca="false">IF($K5663="","","R"&amp;$K5663)</f>
        <v/>
      </c>
    </row>
    <row r="5664" customFormat="false" ht="15" hidden="false" customHeight="true" outlineLevel="0" collapsed="false">
      <c r="J5664" s="14" t="b">
        <f aca="false">IF(중복검사!$A5662="",FALSE(),중복검사!$H5662="중복")</f>
        <v>0</v>
      </c>
      <c r="K5664" s="5" t="str">
        <f aca="false">IF($J5664=FALSE(),"",COUNTIF($J$6:$J5664,TRUE()))</f>
        <v/>
      </c>
      <c r="L5664" s="5" t="str">
        <f aca="false">IF($K5664="","","R"&amp;$K5664)</f>
        <v/>
      </c>
    </row>
    <row r="5665" customFormat="false" ht="15" hidden="false" customHeight="true" outlineLevel="0" collapsed="false">
      <c r="J5665" s="14" t="b">
        <f aca="false">IF(중복검사!$A5663="",FALSE(),중복검사!$H5663="중복")</f>
        <v>0</v>
      </c>
      <c r="K5665" s="5" t="str">
        <f aca="false">IF($J5665=FALSE(),"",COUNTIF($J$6:$J5665,TRUE()))</f>
        <v/>
      </c>
      <c r="L5665" s="5" t="str">
        <f aca="false">IF($K5665="","","R"&amp;$K5665)</f>
        <v/>
      </c>
    </row>
    <row r="5666" customFormat="false" ht="15" hidden="false" customHeight="true" outlineLevel="0" collapsed="false">
      <c r="J5666" s="14" t="b">
        <f aca="false">IF(중복검사!$A5664="",FALSE(),중복검사!$H5664="중복")</f>
        <v>0</v>
      </c>
      <c r="K5666" s="5" t="str">
        <f aca="false">IF($J5666=FALSE(),"",COUNTIF($J$6:$J5666,TRUE()))</f>
        <v/>
      </c>
      <c r="L5666" s="5" t="str">
        <f aca="false">IF($K5666="","","R"&amp;$K5666)</f>
        <v/>
      </c>
    </row>
    <row r="5667" customFormat="false" ht="15" hidden="false" customHeight="true" outlineLevel="0" collapsed="false">
      <c r="J5667" s="14" t="b">
        <f aca="false">IF(중복검사!$A5665="",FALSE(),중복검사!$H5665="중복")</f>
        <v>0</v>
      </c>
      <c r="K5667" s="5" t="str">
        <f aca="false">IF($J5667=FALSE(),"",COUNTIF($J$6:$J5667,TRUE()))</f>
        <v/>
      </c>
      <c r="L5667" s="5" t="str">
        <f aca="false">IF($K5667="","","R"&amp;$K5667)</f>
        <v/>
      </c>
    </row>
    <row r="5668" customFormat="false" ht="15" hidden="false" customHeight="true" outlineLevel="0" collapsed="false">
      <c r="J5668" s="14" t="b">
        <f aca="false">IF(중복검사!$A5666="",FALSE(),중복검사!$H5666="중복")</f>
        <v>0</v>
      </c>
      <c r="K5668" s="5" t="str">
        <f aca="false">IF($J5668=FALSE(),"",COUNTIF($J$6:$J5668,TRUE()))</f>
        <v/>
      </c>
      <c r="L5668" s="5" t="str">
        <f aca="false">IF($K5668="","","R"&amp;$K5668)</f>
        <v/>
      </c>
    </row>
    <row r="5669" customFormat="false" ht="15" hidden="false" customHeight="true" outlineLevel="0" collapsed="false">
      <c r="J5669" s="14" t="b">
        <f aca="false">IF(중복검사!$A5667="",FALSE(),중복검사!$H5667="중복")</f>
        <v>0</v>
      </c>
      <c r="K5669" s="5" t="str">
        <f aca="false">IF($J5669=FALSE(),"",COUNTIF($J$6:$J5669,TRUE()))</f>
        <v/>
      </c>
      <c r="L5669" s="5" t="str">
        <f aca="false">IF($K5669="","","R"&amp;$K5669)</f>
        <v/>
      </c>
    </row>
    <row r="5670" customFormat="false" ht="15" hidden="false" customHeight="true" outlineLevel="0" collapsed="false">
      <c r="J5670" s="14" t="b">
        <f aca="false">IF(중복검사!$A5668="",FALSE(),중복검사!$H5668="중복")</f>
        <v>0</v>
      </c>
      <c r="K5670" s="5" t="str">
        <f aca="false">IF($J5670=FALSE(),"",COUNTIF($J$6:$J5670,TRUE()))</f>
        <v/>
      </c>
      <c r="L5670" s="5" t="str">
        <f aca="false">IF($K5670="","","R"&amp;$K5670)</f>
        <v/>
      </c>
    </row>
    <row r="5671" customFormat="false" ht="15" hidden="false" customHeight="true" outlineLevel="0" collapsed="false">
      <c r="J5671" s="14" t="b">
        <f aca="false">IF(중복검사!$A5669="",FALSE(),중복검사!$H5669="중복")</f>
        <v>0</v>
      </c>
      <c r="K5671" s="5" t="str">
        <f aca="false">IF($J5671=FALSE(),"",COUNTIF($J$6:$J5671,TRUE()))</f>
        <v/>
      </c>
      <c r="L5671" s="5" t="str">
        <f aca="false">IF($K5671="","","R"&amp;$K5671)</f>
        <v/>
      </c>
    </row>
    <row r="5672" customFormat="false" ht="15" hidden="false" customHeight="true" outlineLevel="0" collapsed="false">
      <c r="J5672" s="14" t="b">
        <f aca="false">IF(중복검사!$A5670="",FALSE(),중복검사!$H5670="중복")</f>
        <v>0</v>
      </c>
      <c r="K5672" s="5" t="str">
        <f aca="false">IF($J5672=FALSE(),"",COUNTIF($J$6:$J5672,TRUE()))</f>
        <v/>
      </c>
      <c r="L5672" s="5" t="str">
        <f aca="false">IF($K5672="","","R"&amp;$K5672)</f>
        <v/>
      </c>
    </row>
    <row r="5673" customFormat="false" ht="15" hidden="false" customHeight="true" outlineLevel="0" collapsed="false">
      <c r="J5673" s="14" t="b">
        <f aca="false">IF(중복검사!$A5671="",FALSE(),중복검사!$H5671="중복")</f>
        <v>0</v>
      </c>
      <c r="K5673" s="5" t="str">
        <f aca="false">IF($J5673=FALSE(),"",COUNTIF($J$6:$J5673,TRUE()))</f>
        <v/>
      </c>
      <c r="L5673" s="5" t="str">
        <f aca="false">IF($K5673="","","R"&amp;$K5673)</f>
        <v/>
      </c>
    </row>
    <row r="5674" customFormat="false" ht="15" hidden="false" customHeight="true" outlineLevel="0" collapsed="false">
      <c r="J5674" s="14" t="b">
        <f aca="false">IF(중복검사!$A5672="",FALSE(),중복검사!$H5672="중복")</f>
        <v>0</v>
      </c>
      <c r="K5674" s="5" t="str">
        <f aca="false">IF($J5674=FALSE(),"",COUNTIF($J$6:$J5674,TRUE()))</f>
        <v/>
      </c>
      <c r="L5674" s="5" t="str">
        <f aca="false">IF($K5674="","","R"&amp;$K5674)</f>
        <v/>
      </c>
    </row>
    <row r="5675" customFormat="false" ht="15" hidden="false" customHeight="true" outlineLevel="0" collapsed="false">
      <c r="J5675" s="14" t="b">
        <f aca="false">IF(중복검사!$A5673="",FALSE(),중복검사!$H5673="중복")</f>
        <v>0</v>
      </c>
      <c r="K5675" s="5" t="str">
        <f aca="false">IF($J5675=FALSE(),"",COUNTIF($J$6:$J5675,TRUE()))</f>
        <v/>
      </c>
      <c r="L5675" s="5" t="str">
        <f aca="false">IF($K5675="","","R"&amp;$K5675)</f>
        <v/>
      </c>
    </row>
    <row r="5676" customFormat="false" ht="15" hidden="false" customHeight="true" outlineLevel="0" collapsed="false">
      <c r="J5676" s="14" t="b">
        <f aca="false">IF(중복검사!$A5674="",FALSE(),중복검사!$H5674="중복")</f>
        <v>0</v>
      </c>
      <c r="K5676" s="5" t="str">
        <f aca="false">IF($J5676=FALSE(),"",COUNTIF($J$6:$J5676,TRUE()))</f>
        <v/>
      </c>
      <c r="L5676" s="5" t="str">
        <f aca="false">IF($K5676="","","R"&amp;$K5676)</f>
        <v/>
      </c>
    </row>
    <row r="5677" customFormat="false" ht="15" hidden="false" customHeight="true" outlineLevel="0" collapsed="false">
      <c r="J5677" s="14" t="b">
        <f aca="false">IF(중복검사!$A5675="",FALSE(),중복검사!$H5675="중복")</f>
        <v>0</v>
      </c>
      <c r="K5677" s="5" t="str">
        <f aca="false">IF($J5677=FALSE(),"",COUNTIF($J$6:$J5677,TRUE()))</f>
        <v/>
      </c>
      <c r="L5677" s="5" t="str">
        <f aca="false">IF($K5677="","","R"&amp;$K5677)</f>
        <v/>
      </c>
    </row>
    <row r="5678" customFormat="false" ht="15" hidden="false" customHeight="true" outlineLevel="0" collapsed="false">
      <c r="J5678" s="14" t="b">
        <f aca="false">IF(중복검사!$A5676="",FALSE(),중복검사!$H5676="중복")</f>
        <v>0</v>
      </c>
      <c r="K5678" s="5" t="str">
        <f aca="false">IF($J5678=FALSE(),"",COUNTIF($J$6:$J5678,TRUE()))</f>
        <v/>
      </c>
      <c r="L5678" s="5" t="str">
        <f aca="false">IF($K5678="","","R"&amp;$K5678)</f>
        <v/>
      </c>
    </row>
    <row r="5679" customFormat="false" ht="15" hidden="false" customHeight="true" outlineLevel="0" collapsed="false">
      <c r="J5679" s="14" t="b">
        <f aca="false">IF(중복검사!$A5677="",FALSE(),중복검사!$H5677="중복")</f>
        <v>0</v>
      </c>
      <c r="K5679" s="5" t="str">
        <f aca="false">IF($J5679=FALSE(),"",COUNTIF($J$6:$J5679,TRUE()))</f>
        <v/>
      </c>
      <c r="L5679" s="5" t="str">
        <f aca="false">IF($K5679="","","R"&amp;$K5679)</f>
        <v/>
      </c>
    </row>
    <row r="5680" customFormat="false" ht="15" hidden="false" customHeight="true" outlineLevel="0" collapsed="false">
      <c r="J5680" s="14" t="b">
        <f aca="false">IF(중복검사!$A5678="",FALSE(),중복검사!$H5678="중복")</f>
        <v>0</v>
      </c>
      <c r="K5680" s="5" t="str">
        <f aca="false">IF($J5680=FALSE(),"",COUNTIF($J$6:$J5680,TRUE()))</f>
        <v/>
      </c>
      <c r="L5680" s="5" t="str">
        <f aca="false">IF($K5680="","","R"&amp;$K5680)</f>
        <v/>
      </c>
    </row>
    <row r="5681" customFormat="false" ht="15" hidden="false" customHeight="true" outlineLevel="0" collapsed="false">
      <c r="J5681" s="14" t="b">
        <f aca="false">IF(중복검사!$A5679="",FALSE(),중복검사!$H5679="중복")</f>
        <v>0</v>
      </c>
      <c r="K5681" s="5" t="str">
        <f aca="false">IF($J5681=FALSE(),"",COUNTIF($J$6:$J5681,TRUE()))</f>
        <v/>
      </c>
      <c r="L5681" s="5" t="str">
        <f aca="false">IF($K5681="","","R"&amp;$K5681)</f>
        <v/>
      </c>
    </row>
    <row r="5682" customFormat="false" ht="15" hidden="false" customHeight="true" outlineLevel="0" collapsed="false">
      <c r="J5682" s="14" t="b">
        <f aca="false">IF(중복검사!$A5680="",FALSE(),중복검사!$H5680="중복")</f>
        <v>0</v>
      </c>
      <c r="K5682" s="5" t="str">
        <f aca="false">IF($J5682=FALSE(),"",COUNTIF($J$6:$J5682,TRUE()))</f>
        <v/>
      </c>
      <c r="L5682" s="5" t="str">
        <f aca="false">IF($K5682="","","R"&amp;$K5682)</f>
        <v/>
      </c>
    </row>
    <row r="5683" customFormat="false" ht="15" hidden="false" customHeight="true" outlineLevel="0" collapsed="false">
      <c r="J5683" s="14" t="b">
        <f aca="false">IF(중복검사!$A5681="",FALSE(),중복검사!$H5681="중복")</f>
        <v>0</v>
      </c>
      <c r="K5683" s="5" t="str">
        <f aca="false">IF($J5683=FALSE(),"",COUNTIF($J$6:$J5683,TRUE()))</f>
        <v/>
      </c>
      <c r="L5683" s="5" t="str">
        <f aca="false">IF($K5683="","","R"&amp;$K5683)</f>
        <v/>
      </c>
    </row>
    <row r="5684" customFormat="false" ht="15" hidden="false" customHeight="true" outlineLevel="0" collapsed="false">
      <c r="J5684" s="14" t="b">
        <f aca="false">IF(중복검사!$A5682="",FALSE(),중복검사!$H5682="중복")</f>
        <v>0</v>
      </c>
      <c r="K5684" s="5" t="str">
        <f aca="false">IF($J5684=FALSE(),"",COUNTIF($J$6:$J5684,TRUE()))</f>
        <v/>
      </c>
      <c r="L5684" s="5" t="str">
        <f aca="false">IF($K5684="","","R"&amp;$K5684)</f>
        <v/>
      </c>
    </row>
    <row r="5685" customFormat="false" ht="15" hidden="false" customHeight="true" outlineLevel="0" collapsed="false">
      <c r="J5685" s="14" t="b">
        <f aca="false">IF(중복검사!$A5683="",FALSE(),중복검사!$H5683="중복")</f>
        <v>0</v>
      </c>
      <c r="K5685" s="5" t="str">
        <f aca="false">IF($J5685=FALSE(),"",COUNTIF($J$6:$J5685,TRUE()))</f>
        <v/>
      </c>
      <c r="L5685" s="5" t="str">
        <f aca="false">IF($K5685="","","R"&amp;$K5685)</f>
        <v/>
      </c>
    </row>
    <row r="5686" customFormat="false" ht="15" hidden="false" customHeight="true" outlineLevel="0" collapsed="false">
      <c r="J5686" s="14" t="b">
        <f aca="false">IF(중복검사!$A5684="",FALSE(),중복검사!$H5684="중복")</f>
        <v>0</v>
      </c>
      <c r="K5686" s="5" t="str">
        <f aca="false">IF($J5686=FALSE(),"",COUNTIF($J$6:$J5686,TRUE()))</f>
        <v/>
      </c>
      <c r="L5686" s="5" t="str">
        <f aca="false">IF($K5686="","","R"&amp;$K5686)</f>
        <v/>
      </c>
    </row>
    <row r="5687" customFormat="false" ht="15" hidden="false" customHeight="true" outlineLevel="0" collapsed="false">
      <c r="J5687" s="14" t="b">
        <f aca="false">IF(중복검사!$A5685="",FALSE(),중복검사!$H5685="중복")</f>
        <v>0</v>
      </c>
      <c r="K5687" s="5" t="str">
        <f aca="false">IF($J5687=FALSE(),"",COUNTIF($J$6:$J5687,TRUE()))</f>
        <v/>
      </c>
      <c r="L5687" s="5" t="str">
        <f aca="false">IF($K5687="","","R"&amp;$K5687)</f>
        <v/>
      </c>
    </row>
    <row r="5688" customFormat="false" ht="15" hidden="false" customHeight="true" outlineLevel="0" collapsed="false">
      <c r="J5688" s="14" t="b">
        <f aca="false">IF(중복검사!$A5686="",FALSE(),중복검사!$H5686="중복")</f>
        <v>0</v>
      </c>
      <c r="K5688" s="5" t="str">
        <f aca="false">IF($J5688=FALSE(),"",COUNTIF($J$6:$J5688,TRUE()))</f>
        <v/>
      </c>
      <c r="L5688" s="5" t="str">
        <f aca="false">IF($K5688="","","R"&amp;$K5688)</f>
        <v/>
      </c>
    </row>
    <row r="5689" customFormat="false" ht="15" hidden="false" customHeight="true" outlineLevel="0" collapsed="false">
      <c r="J5689" s="14" t="b">
        <f aca="false">IF(중복검사!$A5687="",FALSE(),중복검사!$H5687="중복")</f>
        <v>0</v>
      </c>
      <c r="K5689" s="5" t="str">
        <f aca="false">IF($J5689=FALSE(),"",COUNTIF($J$6:$J5689,TRUE()))</f>
        <v/>
      </c>
      <c r="L5689" s="5" t="str">
        <f aca="false">IF($K5689="","","R"&amp;$K5689)</f>
        <v/>
      </c>
    </row>
    <row r="5690" customFormat="false" ht="15" hidden="false" customHeight="true" outlineLevel="0" collapsed="false">
      <c r="J5690" s="14" t="b">
        <f aca="false">IF(중복검사!$A5688="",FALSE(),중복검사!$H5688="중복")</f>
        <v>0</v>
      </c>
      <c r="K5690" s="5" t="str">
        <f aca="false">IF($J5690=FALSE(),"",COUNTIF($J$6:$J5690,TRUE()))</f>
        <v/>
      </c>
      <c r="L5690" s="5" t="str">
        <f aca="false">IF($K5690="","","R"&amp;$K5690)</f>
        <v/>
      </c>
    </row>
    <row r="5691" customFormat="false" ht="15" hidden="false" customHeight="true" outlineLevel="0" collapsed="false">
      <c r="J5691" s="14" t="b">
        <f aca="false">IF(중복검사!$A5689="",FALSE(),중복검사!$H5689="중복")</f>
        <v>0</v>
      </c>
      <c r="K5691" s="5" t="str">
        <f aca="false">IF($J5691=FALSE(),"",COUNTIF($J$6:$J5691,TRUE()))</f>
        <v/>
      </c>
      <c r="L5691" s="5" t="str">
        <f aca="false">IF($K5691="","","R"&amp;$K5691)</f>
        <v/>
      </c>
    </row>
    <row r="5692" customFormat="false" ht="15" hidden="false" customHeight="true" outlineLevel="0" collapsed="false">
      <c r="J5692" s="14" t="b">
        <f aca="false">IF(중복검사!$A5690="",FALSE(),중복검사!$H5690="중복")</f>
        <v>0</v>
      </c>
      <c r="K5692" s="5" t="str">
        <f aca="false">IF($J5692=FALSE(),"",COUNTIF($J$6:$J5692,TRUE()))</f>
        <v/>
      </c>
      <c r="L5692" s="5" t="str">
        <f aca="false">IF($K5692="","","R"&amp;$K5692)</f>
        <v/>
      </c>
    </row>
    <row r="5693" customFormat="false" ht="15" hidden="false" customHeight="true" outlineLevel="0" collapsed="false">
      <c r="J5693" s="14" t="b">
        <f aca="false">IF(중복검사!$A5691="",FALSE(),중복검사!$H5691="중복")</f>
        <v>0</v>
      </c>
      <c r="K5693" s="5" t="str">
        <f aca="false">IF($J5693=FALSE(),"",COUNTIF($J$6:$J5693,TRUE()))</f>
        <v/>
      </c>
      <c r="L5693" s="5" t="str">
        <f aca="false">IF($K5693="","","R"&amp;$K5693)</f>
        <v/>
      </c>
    </row>
    <row r="5694" customFormat="false" ht="15" hidden="false" customHeight="true" outlineLevel="0" collapsed="false">
      <c r="J5694" s="14" t="b">
        <f aca="false">IF(중복검사!$A5692="",FALSE(),중복검사!$H5692="중복")</f>
        <v>0</v>
      </c>
      <c r="K5694" s="5" t="str">
        <f aca="false">IF($J5694=FALSE(),"",COUNTIF($J$6:$J5694,TRUE()))</f>
        <v/>
      </c>
      <c r="L5694" s="5" t="str">
        <f aca="false">IF($K5694="","","R"&amp;$K5694)</f>
        <v/>
      </c>
    </row>
    <row r="5695" customFormat="false" ht="15" hidden="false" customHeight="true" outlineLevel="0" collapsed="false">
      <c r="J5695" s="14" t="b">
        <f aca="false">IF(중복검사!$A5693="",FALSE(),중복검사!$H5693="중복")</f>
        <v>0</v>
      </c>
      <c r="K5695" s="5" t="str">
        <f aca="false">IF($J5695=FALSE(),"",COUNTIF($J$6:$J5695,TRUE()))</f>
        <v/>
      </c>
      <c r="L5695" s="5" t="str">
        <f aca="false">IF($K5695="","","R"&amp;$K5695)</f>
        <v/>
      </c>
    </row>
    <row r="5696" customFormat="false" ht="15" hidden="false" customHeight="true" outlineLevel="0" collapsed="false">
      <c r="J5696" s="14" t="b">
        <f aca="false">IF(중복검사!$A5694="",FALSE(),중복검사!$H5694="중복")</f>
        <v>0</v>
      </c>
      <c r="K5696" s="5" t="str">
        <f aca="false">IF($J5696=FALSE(),"",COUNTIF($J$6:$J5696,TRUE()))</f>
        <v/>
      </c>
      <c r="L5696" s="5" t="str">
        <f aca="false">IF($K5696="","","R"&amp;$K5696)</f>
        <v/>
      </c>
    </row>
    <row r="5697" customFormat="false" ht="15" hidden="false" customHeight="true" outlineLevel="0" collapsed="false">
      <c r="J5697" s="14" t="b">
        <f aca="false">IF(중복검사!$A5695="",FALSE(),중복검사!$H5695="중복")</f>
        <v>0</v>
      </c>
      <c r="K5697" s="5" t="str">
        <f aca="false">IF($J5697=FALSE(),"",COUNTIF($J$6:$J5697,TRUE()))</f>
        <v/>
      </c>
      <c r="L5697" s="5" t="str">
        <f aca="false">IF($K5697="","","R"&amp;$K5697)</f>
        <v/>
      </c>
    </row>
    <row r="5698" customFormat="false" ht="15" hidden="false" customHeight="true" outlineLevel="0" collapsed="false">
      <c r="J5698" s="14" t="b">
        <f aca="false">IF(중복검사!$A5696="",FALSE(),중복검사!$H5696="중복")</f>
        <v>0</v>
      </c>
      <c r="K5698" s="5" t="str">
        <f aca="false">IF($J5698=FALSE(),"",COUNTIF($J$6:$J5698,TRUE()))</f>
        <v/>
      </c>
      <c r="L5698" s="5" t="str">
        <f aca="false">IF($K5698="","","R"&amp;$K5698)</f>
        <v/>
      </c>
    </row>
    <row r="5699" customFormat="false" ht="15" hidden="false" customHeight="true" outlineLevel="0" collapsed="false">
      <c r="J5699" s="14" t="b">
        <f aca="false">IF(중복검사!$A5697="",FALSE(),중복검사!$H5697="중복")</f>
        <v>0</v>
      </c>
      <c r="K5699" s="5" t="str">
        <f aca="false">IF($J5699=FALSE(),"",COUNTIF($J$6:$J5699,TRUE()))</f>
        <v/>
      </c>
      <c r="L5699" s="5" t="str">
        <f aca="false">IF($K5699="","","R"&amp;$K5699)</f>
        <v/>
      </c>
    </row>
    <row r="5700" customFormat="false" ht="15" hidden="false" customHeight="true" outlineLevel="0" collapsed="false">
      <c r="J5700" s="14" t="b">
        <f aca="false">IF(중복검사!$A5698="",FALSE(),중복검사!$H5698="중복")</f>
        <v>0</v>
      </c>
      <c r="K5700" s="5" t="str">
        <f aca="false">IF($J5700=FALSE(),"",COUNTIF($J$6:$J5700,TRUE()))</f>
        <v/>
      </c>
      <c r="L5700" s="5" t="str">
        <f aca="false">IF($K5700="","","R"&amp;$K5700)</f>
        <v/>
      </c>
    </row>
    <row r="5701" customFormat="false" ht="15" hidden="false" customHeight="true" outlineLevel="0" collapsed="false">
      <c r="J5701" s="14" t="b">
        <f aca="false">IF(중복검사!$A5699="",FALSE(),중복검사!$H5699="중복")</f>
        <v>0</v>
      </c>
      <c r="K5701" s="5" t="str">
        <f aca="false">IF($J5701=FALSE(),"",COUNTIF($J$6:$J5701,TRUE()))</f>
        <v/>
      </c>
      <c r="L5701" s="5" t="str">
        <f aca="false">IF($K5701="","","R"&amp;$K5701)</f>
        <v/>
      </c>
    </row>
    <row r="5702" customFormat="false" ht="15" hidden="false" customHeight="true" outlineLevel="0" collapsed="false">
      <c r="J5702" s="14" t="b">
        <f aca="false">IF(중복검사!$A5700="",FALSE(),중복검사!$H5700="중복")</f>
        <v>0</v>
      </c>
      <c r="K5702" s="5" t="str">
        <f aca="false">IF($J5702=FALSE(),"",COUNTIF($J$6:$J5702,TRUE()))</f>
        <v/>
      </c>
      <c r="L5702" s="5" t="str">
        <f aca="false">IF($K5702="","","R"&amp;$K5702)</f>
        <v/>
      </c>
    </row>
    <row r="5703" customFormat="false" ht="15" hidden="false" customHeight="true" outlineLevel="0" collapsed="false">
      <c r="J5703" s="14" t="b">
        <f aca="false">IF(중복검사!$A5701="",FALSE(),중복검사!$H5701="중복")</f>
        <v>0</v>
      </c>
      <c r="K5703" s="5" t="str">
        <f aca="false">IF($J5703=FALSE(),"",COUNTIF($J$6:$J5703,TRUE()))</f>
        <v/>
      </c>
      <c r="L5703" s="5" t="str">
        <f aca="false">IF($K5703="","","R"&amp;$K5703)</f>
        <v/>
      </c>
    </row>
    <row r="5704" customFormat="false" ht="15" hidden="false" customHeight="true" outlineLevel="0" collapsed="false">
      <c r="J5704" s="14" t="b">
        <f aca="false">IF(중복검사!$A5702="",FALSE(),중복검사!$H5702="중복")</f>
        <v>0</v>
      </c>
      <c r="K5704" s="5" t="str">
        <f aca="false">IF($J5704=FALSE(),"",COUNTIF($J$6:$J5704,TRUE()))</f>
        <v/>
      </c>
      <c r="L5704" s="5" t="str">
        <f aca="false">IF($K5704="","","R"&amp;$K5704)</f>
        <v/>
      </c>
    </row>
    <row r="5705" customFormat="false" ht="15" hidden="false" customHeight="true" outlineLevel="0" collapsed="false">
      <c r="J5705" s="14" t="b">
        <f aca="false">IF(중복검사!$A5703="",FALSE(),중복검사!$H5703="중복")</f>
        <v>0</v>
      </c>
      <c r="K5705" s="5" t="str">
        <f aca="false">IF($J5705=FALSE(),"",COUNTIF($J$6:$J5705,TRUE()))</f>
        <v/>
      </c>
      <c r="L5705" s="5" t="str">
        <f aca="false">IF($K5705="","","R"&amp;$K5705)</f>
        <v/>
      </c>
    </row>
    <row r="5706" customFormat="false" ht="15" hidden="false" customHeight="true" outlineLevel="0" collapsed="false">
      <c r="J5706" s="14" t="b">
        <f aca="false">IF(중복검사!$A5704="",FALSE(),중복검사!$H5704="중복")</f>
        <v>0</v>
      </c>
      <c r="K5706" s="5" t="str">
        <f aca="false">IF($J5706=FALSE(),"",COUNTIF($J$6:$J5706,TRUE()))</f>
        <v/>
      </c>
      <c r="L5706" s="5" t="str">
        <f aca="false">IF($K5706="","","R"&amp;$K5706)</f>
        <v/>
      </c>
    </row>
    <row r="5707" customFormat="false" ht="15" hidden="false" customHeight="true" outlineLevel="0" collapsed="false">
      <c r="J5707" s="14" t="b">
        <f aca="false">IF(중복검사!$A5705="",FALSE(),중복검사!$H5705="중복")</f>
        <v>0</v>
      </c>
      <c r="K5707" s="5" t="str">
        <f aca="false">IF($J5707=FALSE(),"",COUNTIF($J$6:$J5707,TRUE()))</f>
        <v/>
      </c>
      <c r="L5707" s="5" t="str">
        <f aca="false">IF($K5707="","","R"&amp;$K5707)</f>
        <v/>
      </c>
    </row>
    <row r="5708" customFormat="false" ht="15" hidden="false" customHeight="true" outlineLevel="0" collapsed="false">
      <c r="J5708" s="14" t="b">
        <f aca="false">IF(중복검사!$A5706="",FALSE(),중복검사!$H5706="중복")</f>
        <v>0</v>
      </c>
      <c r="K5708" s="5" t="str">
        <f aca="false">IF($J5708=FALSE(),"",COUNTIF($J$6:$J5708,TRUE()))</f>
        <v/>
      </c>
      <c r="L5708" s="5" t="str">
        <f aca="false">IF($K5708="","","R"&amp;$K5708)</f>
        <v/>
      </c>
    </row>
    <row r="5709" customFormat="false" ht="15" hidden="false" customHeight="true" outlineLevel="0" collapsed="false">
      <c r="J5709" s="14" t="b">
        <f aca="false">IF(중복검사!$A5707="",FALSE(),중복검사!$H5707="중복")</f>
        <v>0</v>
      </c>
      <c r="K5709" s="5" t="str">
        <f aca="false">IF($J5709=FALSE(),"",COUNTIF($J$6:$J5709,TRUE()))</f>
        <v/>
      </c>
      <c r="L5709" s="5" t="str">
        <f aca="false">IF($K5709="","","R"&amp;$K5709)</f>
        <v/>
      </c>
    </row>
    <row r="5710" customFormat="false" ht="15" hidden="false" customHeight="true" outlineLevel="0" collapsed="false">
      <c r="J5710" s="14" t="b">
        <f aca="false">IF(중복검사!$A5708="",FALSE(),중복검사!$H5708="중복")</f>
        <v>0</v>
      </c>
      <c r="K5710" s="5" t="str">
        <f aca="false">IF($J5710=FALSE(),"",COUNTIF($J$6:$J5710,TRUE()))</f>
        <v/>
      </c>
      <c r="L5710" s="5" t="str">
        <f aca="false">IF($K5710="","","R"&amp;$K5710)</f>
        <v/>
      </c>
    </row>
    <row r="5711" customFormat="false" ht="15" hidden="false" customHeight="true" outlineLevel="0" collapsed="false">
      <c r="J5711" s="14" t="b">
        <f aca="false">IF(중복검사!$A5709="",FALSE(),중복검사!$H5709="중복")</f>
        <v>0</v>
      </c>
      <c r="K5711" s="5" t="str">
        <f aca="false">IF($J5711=FALSE(),"",COUNTIF($J$6:$J5711,TRUE()))</f>
        <v/>
      </c>
      <c r="L5711" s="5" t="str">
        <f aca="false">IF($K5711="","","R"&amp;$K5711)</f>
        <v/>
      </c>
    </row>
    <row r="5712" customFormat="false" ht="15" hidden="false" customHeight="true" outlineLevel="0" collapsed="false">
      <c r="J5712" s="14" t="b">
        <f aca="false">IF(중복검사!$A5710="",FALSE(),중복검사!$H5710="중복")</f>
        <v>0</v>
      </c>
      <c r="K5712" s="5" t="str">
        <f aca="false">IF($J5712=FALSE(),"",COUNTIF($J$6:$J5712,TRUE()))</f>
        <v/>
      </c>
      <c r="L5712" s="5" t="str">
        <f aca="false">IF($K5712="","","R"&amp;$K5712)</f>
        <v/>
      </c>
    </row>
    <row r="5713" customFormat="false" ht="15" hidden="false" customHeight="true" outlineLevel="0" collapsed="false">
      <c r="J5713" s="14" t="b">
        <f aca="false">IF(중복검사!$A5711="",FALSE(),중복검사!$H5711="중복")</f>
        <v>0</v>
      </c>
      <c r="K5713" s="5" t="str">
        <f aca="false">IF($J5713=FALSE(),"",COUNTIF($J$6:$J5713,TRUE()))</f>
        <v/>
      </c>
      <c r="L5713" s="5" t="str">
        <f aca="false">IF($K5713="","","R"&amp;$K5713)</f>
        <v/>
      </c>
    </row>
    <row r="5714" customFormat="false" ht="15" hidden="false" customHeight="true" outlineLevel="0" collapsed="false">
      <c r="J5714" s="14" t="b">
        <f aca="false">IF(중복검사!$A5712="",FALSE(),중복검사!$H5712="중복")</f>
        <v>0</v>
      </c>
      <c r="K5714" s="5" t="str">
        <f aca="false">IF($J5714=FALSE(),"",COUNTIF($J$6:$J5714,TRUE()))</f>
        <v/>
      </c>
      <c r="L5714" s="5" t="str">
        <f aca="false">IF($K5714="","","R"&amp;$K5714)</f>
        <v/>
      </c>
    </row>
    <row r="5715" customFormat="false" ht="15" hidden="false" customHeight="true" outlineLevel="0" collapsed="false">
      <c r="J5715" s="14" t="b">
        <f aca="false">IF(중복검사!$A5713="",FALSE(),중복검사!$H5713="중복")</f>
        <v>0</v>
      </c>
      <c r="K5715" s="5" t="str">
        <f aca="false">IF($J5715=FALSE(),"",COUNTIF($J$6:$J5715,TRUE()))</f>
        <v/>
      </c>
      <c r="L5715" s="5" t="str">
        <f aca="false">IF($K5715="","","R"&amp;$K5715)</f>
        <v/>
      </c>
    </row>
    <row r="5716" customFormat="false" ht="15" hidden="false" customHeight="true" outlineLevel="0" collapsed="false">
      <c r="J5716" s="14" t="b">
        <f aca="false">IF(중복검사!$A5714="",FALSE(),중복검사!$H5714="중복")</f>
        <v>0</v>
      </c>
      <c r="K5716" s="5" t="str">
        <f aca="false">IF($J5716=FALSE(),"",COUNTIF($J$6:$J5716,TRUE()))</f>
        <v/>
      </c>
      <c r="L5716" s="5" t="str">
        <f aca="false">IF($K5716="","","R"&amp;$K5716)</f>
        <v/>
      </c>
    </row>
    <row r="5717" customFormat="false" ht="15" hidden="false" customHeight="true" outlineLevel="0" collapsed="false">
      <c r="J5717" s="14" t="b">
        <f aca="false">IF(중복검사!$A5715="",FALSE(),중복검사!$H5715="중복")</f>
        <v>0</v>
      </c>
      <c r="K5717" s="5" t="str">
        <f aca="false">IF($J5717=FALSE(),"",COUNTIF($J$6:$J5717,TRUE()))</f>
        <v/>
      </c>
      <c r="L5717" s="5" t="str">
        <f aca="false">IF($K5717="","","R"&amp;$K5717)</f>
        <v/>
      </c>
    </row>
    <row r="5718" customFormat="false" ht="15" hidden="false" customHeight="true" outlineLevel="0" collapsed="false">
      <c r="J5718" s="14" t="b">
        <f aca="false">IF(중복검사!$A5716="",FALSE(),중복검사!$H5716="중복")</f>
        <v>0</v>
      </c>
      <c r="K5718" s="5" t="str">
        <f aca="false">IF($J5718=FALSE(),"",COUNTIF($J$6:$J5718,TRUE()))</f>
        <v/>
      </c>
      <c r="L5718" s="5" t="str">
        <f aca="false">IF($K5718="","","R"&amp;$K5718)</f>
        <v/>
      </c>
    </row>
    <row r="5719" customFormat="false" ht="15" hidden="false" customHeight="true" outlineLevel="0" collapsed="false">
      <c r="J5719" s="14" t="b">
        <f aca="false">IF(중복검사!$A5717="",FALSE(),중복검사!$H5717="중복")</f>
        <v>0</v>
      </c>
      <c r="K5719" s="5" t="str">
        <f aca="false">IF($J5719=FALSE(),"",COUNTIF($J$6:$J5719,TRUE()))</f>
        <v/>
      </c>
      <c r="L5719" s="5" t="str">
        <f aca="false">IF($K5719="","","R"&amp;$K5719)</f>
        <v/>
      </c>
    </row>
    <row r="5720" customFormat="false" ht="15" hidden="false" customHeight="true" outlineLevel="0" collapsed="false">
      <c r="J5720" s="14" t="b">
        <f aca="false">IF(중복검사!$A5718="",FALSE(),중복검사!$H5718="중복")</f>
        <v>0</v>
      </c>
      <c r="K5720" s="5" t="str">
        <f aca="false">IF($J5720=FALSE(),"",COUNTIF($J$6:$J5720,TRUE()))</f>
        <v/>
      </c>
      <c r="L5720" s="5" t="str">
        <f aca="false">IF($K5720="","","R"&amp;$K5720)</f>
        <v/>
      </c>
    </row>
    <row r="5721" customFormat="false" ht="15" hidden="false" customHeight="true" outlineLevel="0" collapsed="false">
      <c r="J5721" s="14" t="b">
        <f aca="false">IF(중복검사!$A5719="",FALSE(),중복검사!$H5719="중복")</f>
        <v>0</v>
      </c>
      <c r="K5721" s="5" t="str">
        <f aca="false">IF($J5721=FALSE(),"",COUNTIF($J$6:$J5721,TRUE()))</f>
        <v/>
      </c>
      <c r="L5721" s="5" t="str">
        <f aca="false">IF($K5721="","","R"&amp;$K5721)</f>
        <v/>
      </c>
    </row>
    <row r="5722" customFormat="false" ht="15" hidden="false" customHeight="true" outlineLevel="0" collapsed="false">
      <c r="J5722" s="14" t="b">
        <f aca="false">IF(중복검사!$A5720="",FALSE(),중복검사!$H5720="중복")</f>
        <v>0</v>
      </c>
      <c r="K5722" s="5" t="str">
        <f aca="false">IF($J5722=FALSE(),"",COUNTIF($J$6:$J5722,TRUE()))</f>
        <v/>
      </c>
      <c r="L5722" s="5" t="str">
        <f aca="false">IF($K5722="","","R"&amp;$K5722)</f>
        <v/>
      </c>
    </row>
    <row r="5723" customFormat="false" ht="15" hidden="false" customHeight="true" outlineLevel="0" collapsed="false">
      <c r="J5723" s="14" t="b">
        <f aca="false">IF(중복검사!$A5721="",FALSE(),중복검사!$H5721="중복")</f>
        <v>0</v>
      </c>
      <c r="K5723" s="5" t="str">
        <f aca="false">IF($J5723=FALSE(),"",COUNTIF($J$6:$J5723,TRUE()))</f>
        <v/>
      </c>
      <c r="L5723" s="5" t="str">
        <f aca="false">IF($K5723="","","R"&amp;$K5723)</f>
        <v/>
      </c>
    </row>
    <row r="5724" customFormat="false" ht="15" hidden="false" customHeight="true" outlineLevel="0" collapsed="false">
      <c r="J5724" s="14" t="b">
        <f aca="false">IF(중복검사!$A5722="",FALSE(),중복검사!$H5722="중복")</f>
        <v>0</v>
      </c>
      <c r="K5724" s="5" t="str">
        <f aca="false">IF($J5724=FALSE(),"",COUNTIF($J$6:$J5724,TRUE()))</f>
        <v/>
      </c>
      <c r="L5724" s="5" t="str">
        <f aca="false">IF($K5724="","","R"&amp;$K5724)</f>
        <v/>
      </c>
    </row>
    <row r="5725" customFormat="false" ht="15" hidden="false" customHeight="true" outlineLevel="0" collapsed="false">
      <c r="J5725" s="14" t="b">
        <f aca="false">IF(중복검사!$A5723="",FALSE(),중복검사!$H5723="중복")</f>
        <v>0</v>
      </c>
      <c r="K5725" s="5" t="str">
        <f aca="false">IF($J5725=FALSE(),"",COUNTIF($J$6:$J5725,TRUE()))</f>
        <v/>
      </c>
      <c r="L5725" s="5" t="str">
        <f aca="false">IF($K5725="","","R"&amp;$K5725)</f>
        <v/>
      </c>
    </row>
    <row r="5726" customFormat="false" ht="15" hidden="false" customHeight="true" outlineLevel="0" collapsed="false">
      <c r="J5726" s="14" t="b">
        <f aca="false">IF(중복검사!$A5724="",FALSE(),중복검사!$H5724="중복")</f>
        <v>0</v>
      </c>
      <c r="K5726" s="5" t="str">
        <f aca="false">IF($J5726=FALSE(),"",COUNTIF($J$6:$J5726,TRUE()))</f>
        <v/>
      </c>
      <c r="L5726" s="5" t="str">
        <f aca="false">IF($K5726="","","R"&amp;$K5726)</f>
        <v/>
      </c>
    </row>
    <row r="5727" customFormat="false" ht="15" hidden="false" customHeight="true" outlineLevel="0" collapsed="false">
      <c r="J5727" s="14" t="b">
        <f aca="false">IF(중복검사!$A5725="",FALSE(),중복검사!$H5725="중복")</f>
        <v>0</v>
      </c>
      <c r="K5727" s="5" t="str">
        <f aca="false">IF($J5727=FALSE(),"",COUNTIF($J$6:$J5727,TRUE()))</f>
        <v/>
      </c>
      <c r="L5727" s="5" t="str">
        <f aca="false">IF($K5727="","","R"&amp;$K5727)</f>
        <v/>
      </c>
    </row>
    <row r="5728" customFormat="false" ht="15" hidden="false" customHeight="true" outlineLevel="0" collapsed="false">
      <c r="J5728" s="14" t="b">
        <f aca="false">IF(중복검사!$A5726="",FALSE(),중복검사!$H5726="중복")</f>
        <v>0</v>
      </c>
      <c r="K5728" s="5" t="str">
        <f aca="false">IF($J5728=FALSE(),"",COUNTIF($J$6:$J5728,TRUE()))</f>
        <v/>
      </c>
      <c r="L5728" s="5" t="str">
        <f aca="false">IF($K5728="","","R"&amp;$K5728)</f>
        <v/>
      </c>
    </row>
    <row r="5729" customFormat="false" ht="15" hidden="false" customHeight="true" outlineLevel="0" collapsed="false">
      <c r="J5729" s="14" t="b">
        <f aca="false">IF(중복검사!$A5727="",FALSE(),중복검사!$H5727="중복")</f>
        <v>0</v>
      </c>
      <c r="K5729" s="5" t="str">
        <f aca="false">IF($J5729=FALSE(),"",COUNTIF($J$6:$J5729,TRUE()))</f>
        <v/>
      </c>
      <c r="L5729" s="5" t="str">
        <f aca="false">IF($K5729="","","R"&amp;$K5729)</f>
        <v/>
      </c>
    </row>
    <row r="5730" customFormat="false" ht="15" hidden="false" customHeight="true" outlineLevel="0" collapsed="false">
      <c r="J5730" s="14" t="b">
        <f aca="false">IF(중복검사!$A5728="",FALSE(),중복검사!$H5728="중복")</f>
        <v>0</v>
      </c>
      <c r="K5730" s="5" t="str">
        <f aca="false">IF($J5730=FALSE(),"",COUNTIF($J$6:$J5730,TRUE()))</f>
        <v/>
      </c>
      <c r="L5730" s="5" t="str">
        <f aca="false">IF($K5730="","","R"&amp;$K5730)</f>
        <v/>
      </c>
    </row>
    <row r="5731" customFormat="false" ht="15" hidden="false" customHeight="true" outlineLevel="0" collapsed="false">
      <c r="J5731" s="14" t="b">
        <f aca="false">IF(중복검사!$A5729="",FALSE(),중복검사!$H5729="중복")</f>
        <v>0</v>
      </c>
      <c r="K5731" s="5" t="str">
        <f aca="false">IF($J5731=FALSE(),"",COUNTIF($J$6:$J5731,TRUE()))</f>
        <v/>
      </c>
      <c r="L5731" s="5" t="str">
        <f aca="false">IF($K5731="","","R"&amp;$K5731)</f>
        <v/>
      </c>
    </row>
    <row r="5732" customFormat="false" ht="15" hidden="false" customHeight="true" outlineLevel="0" collapsed="false">
      <c r="J5732" s="14" t="b">
        <f aca="false">IF(중복검사!$A5730="",FALSE(),중복검사!$H5730="중복")</f>
        <v>0</v>
      </c>
      <c r="K5732" s="5" t="str">
        <f aca="false">IF($J5732=FALSE(),"",COUNTIF($J$6:$J5732,TRUE()))</f>
        <v/>
      </c>
      <c r="L5732" s="5" t="str">
        <f aca="false">IF($K5732="","","R"&amp;$K5732)</f>
        <v/>
      </c>
    </row>
    <row r="5733" customFormat="false" ht="15" hidden="false" customHeight="true" outlineLevel="0" collapsed="false">
      <c r="J5733" s="14" t="b">
        <f aca="false">IF(중복검사!$A5731="",FALSE(),중복검사!$H5731="중복")</f>
        <v>0</v>
      </c>
      <c r="K5733" s="5" t="str">
        <f aca="false">IF($J5733=FALSE(),"",COUNTIF($J$6:$J5733,TRUE()))</f>
        <v/>
      </c>
      <c r="L5733" s="5" t="str">
        <f aca="false">IF($K5733="","","R"&amp;$K5733)</f>
        <v/>
      </c>
    </row>
    <row r="5734" customFormat="false" ht="15" hidden="false" customHeight="true" outlineLevel="0" collapsed="false">
      <c r="J5734" s="14" t="b">
        <f aca="false">IF(중복검사!$A5732="",FALSE(),중복검사!$H5732="중복")</f>
        <v>0</v>
      </c>
      <c r="K5734" s="5" t="str">
        <f aca="false">IF($J5734=FALSE(),"",COUNTIF($J$6:$J5734,TRUE()))</f>
        <v/>
      </c>
      <c r="L5734" s="5" t="str">
        <f aca="false">IF($K5734="","","R"&amp;$K5734)</f>
        <v/>
      </c>
    </row>
    <row r="5735" customFormat="false" ht="15" hidden="false" customHeight="true" outlineLevel="0" collapsed="false">
      <c r="J5735" s="14" t="b">
        <f aca="false">IF(중복검사!$A5733="",FALSE(),중복검사!$H5733="중복")</f>
        <v>0</v>
      </c>
      <c r="K5735" s="5" t="str">
        <f aca="false">IF($J5735=FALSE(),"",COUNTIF($J$6:$J5735,TRUE()))</f>
        <v/>
      </c>
      <c r="L5735" s="5" t="str">
        <f aca="false">IF($K5735="","","R"&amp;$K5735)</f>
        <v/>
      </c>
    </row>
    <row r="5736" customFormat="false" ht="15" hidden="false" customHeight="true" outlineLevel="0" collapsed="false">
      <c r="J5736" s="14" t="b">
        <f aca="false">IF(중복검사!$A5734="",FALSE(),중복검사!$H5734="중복")</f>
        <v>0</v>
      </c>
      <c r="K5736" s="5" t="str">
        <f aca="false">IF($J5736=FALSE(),"",COUNTIF($J$6:$J5736,TRUE()))</f>
        <v/>
      </c>
      <c r="L5736" s="5" t="str">
        <f aca="false">IF($K5736="","","R"&amp;$K5736)</f>
        <v/>
      </c>
    </row>
    <row r="5737" customFormat="false" ht="15" hidden="false" customHeight="true" outlineLevel="0" collapsed="false">
      <c r="J5737" s="14" t="b">
        <f aca="false">IF(중복검사!$A5735="",FALSE(),중복검사!$H5735="중복")</f>
        <v>0</v>
      </c>
      <c r="K5737" s="5" t="str">
        <f aca="false">IF($J5737=FALSE(),"",COUNTIF($J$6:$J5737,TRUE()))</f>
        <v/>
      </c>
      <c r="L5737" s="5" t="str">
        <f aca="false">IF($K5737="","","R"&amp;$K5737)</f>
        <v/>
      </c>
    </row>
    <row r="5738" customFormat="false" ht="15" hidden="false" customHeight="true" outlineLevel="0" collapsed="false">
      <c r="J5738" s="14" t="b">
        <f aca="false">IF(중복검사!$A5736="",FALSE(),중복검사!$H5736="중복")</f>
        <v>0</v>
      </c>
      <c r="K5738" s="5" t="str">
        <f aca="false">IF($J5738=FALSE(),"",COUNTIF($J$6:$J5738,TRUE()))</f>
        <v/>
      </c>
      <c r="L5738" s="5" t="str">
        <f aca="false">IF($K5738="","","R"&amp;$K5738)</f>
        <v/>
      </c>
    </row>
    <row r="5739" customFormat="false" ht="15" hidden="false" customHeight="true" outlineLevel="0" collapsed="false">
      <c r="J5739" s="14" t="b">
        <f aca="false">IF(중복검사!$A5737="",FALSE(),중복검사!$H5737="중복")</f>
        <v>0</v>
      </c>
      <c r="K5739" s="5" t="str">
        <f aca="false">IF($J5739=FALSE(),"",COUNTIF($J$6:$J5739,TRUE()))</f>
        <v/>
      </c>
      <c r="L5739" s="5" t="str">
        <f aca="false">IF($K5739="","","R"&amp;$K5739)</f>
        <v/>
      </c>
    </row>
    <row r="5740" customFormat="false" ht="15" hidden="false" customHeight="true" outlineLevel="0" collapsed="false">
      <c r="J5740" s="14" t="b">
        <f aca="false">IF(중복검사!$A5738="",FALSE(),중복검사!$H5738="중복")</f>
        <v>0</v>
      </c>
      <c r="K5740" s="5" t="str">
        <f aca="false">IF($J5740=FALSE(),"",COUNTIF($J$6:$J5740,TRUE()))</f>
        <v/>
      </c>
      <c r="L5740" s="5" t="str">
        <f aca="false">IF($K5740="","","R"&amp;$K5740)</f>
        <v/>
      </c>
    </row>
    <row r="5741" customFormat="false" ht="15" hidden="false" customHeight="true" outlineLevel="0" collapsed="false">
      <c r="J5741" s="14" t="b">
        <f aca="false">IF(중복검사!$A5739="",FALSE(),중복검사!$H5739="중복")</f>
        <v>0</v>
      </c>
      <c r="K5741" s="5" t="str">
        <f aca="false">IF($J5741=FALSE(),"",COUNTIF($J$6:$J5741,TRUE()))</f>
        <v/>
      </c>
      <c r="L5741" s="5" t="str">
        <f aca="false">IF($K5741="","","R"&amp;$K5741)</f>
        <v/>
      </c>
    </row>
    <row r="5742" customFormat="false" ht="15" hidden="false" customHeight="true" outlineLevel="0" collapsed="false">
      <c r="J5742" s="14" t="b">
        <f aca="false">IF(중복검사!$A5740="",FALSE(),중복검사!$H5740="중복")</f>
        <v>0</v>
      </c>
      <c r="K5742" s="5" t="str">
        <f aca="false">IF($J5742=FALSE(),"",COUNTIF($J$6:$J5742,TRUE()))</f>
        <v/>
      </c>
      <c r="L5742" s="5" t="str">
        <f aca="false">IF($K5742="","","R"&amp;$K5742)</f>
        <v/>
      </c>
    </row>
    <row r="5743" customFormat="false" ht="15" hidden="false" customHeight="true" outlineLevel="0" collapsed="false">
      <c r="J5743" s="14" t="b">
        <f aca="false">IF(중복검사!$A5741="",FALSE(),중복검사!$H5741="중복")</f>
        <v>0</v>
      </c>
      <c r="K5743" s="5" t="str">
        <f aca="false">IF($J5743=FALSE(),"",COUNTIF($J$6:$J5743,TRUE()))</f>
        <v/>
      </c>
      <c r="L5743" s="5" t="str">
        <f aca="false">IF($K5743="","","R"&amp;$K5743)</f>
        <v/>
      </c>
    </row>
    <row r="5744" customFormat="false" ht="15" hidden="false" customHeight="true" outlineLevel="0" collapsed="false">
      <c r="J5744" s="14" t="b">
        <f aca="false">IF(중복검사!$A5742="",FALSE(),중복검사!$H5742="중복")</f>
        <v>0</v>
      </c>
      <c r="K5744" s="5" t="str">
        <f aca="false">IF($J5744=FALSE(),"",COUNTIF($J$6:$J5744,TRUE()))</f>
        <v/>
      </c>
      <c r="L5744" s="5" t="str">
        <f aca="false">IF($K5744="","","R"&amp;$K5744)</f>
        <v/>
      </c>
    </row>
    <row r="5745" customFormat="false" ht="15" hidden="false" customHeight="true" outlineLevel="0" collapsed="false">
      <c r="J5745" s="14" t="b">
        <f aca="false">IF(중복검사!$A5743="",FALSE(),중복검사!$H5743="중복")</f>
        <v>0</v>
      </c>
      <c r="K5745" s="5" t="str">
        <f aca="false">IF($J5745=FALSE(),"",COUNTIF($J$6:$J5745,TRUE()))</f>
        <v/>
      </c>
      <c r="L5745" s="5" t="str">
        <f aca="false">IF($K5745="","","R"&amp;$K5745)</f>
        <v/>
      </c>
    </row>
    <row r="5746" customFormat="false" ht="15" hidden="false" customHeight="true" outlineLevel="0" collapsed="false">
      <c r="J5746" s="14" t="b">
        <f aca="false">IF(중복검사!$A5744="",FALSE(),중복검사!$H5744="중복")</f>
        <v>0</v>
      </c>
      <c r="K5746" s="5" t="str">
        <f aca="false">IF($J5746=FALSE(),"",COUNTIF($J$6:$J5746,TRUE()))</f>
        <v/>
      </c>
      <c r="L5746" s="5" t="str">
        <f aca="false">IF($K5746="","","R"&amp;$K5746)</f>
        <v/>
      </c>
    </row>
    <row r="5747" customFormat="false" ht="15" hidden="false" customHeight="true" outlineLevel="0" collapsed="false">
      <c r="J5747" s="14" t="b">
        <f aca="false">IF(중복검사!$A5745="",FALSE(),중복검사!$H5745="중복")</f>
        <v>0</v>
      </c>
      <c r="K5747" s="5" t="str">
        <f aca="false">IF($J5747=FALSE(),"",COUNTIF($J$6:$J5747,TRUE()))</f>
        <v/>
      </c>
      <c r="L5747" s="5" t="str">
        <f aca="false">IF($K5747="","","R"&amp;$K5747)</f>
        <v/>
      </c>
    </row>
    <row r="5748" customFormat="false" ht="15" hidden="false" customHeight="true" outlineLevel="0" collapsed="false">
      <c r="J5748" s="14" t="b">
        <f aca="false">IF(중복검사!$A5746="",FALSE(),중복검사!$H5746="중복")</f>
        <v>0</v>
      </c>
      <c r="K5748" s="5" t="str">
        <f aca="false">IF($J5748=FALSE(),"",COUNTIF($J$6:$J5748,TRUE()))</f>
        <v/>
      </c>
      <c r="L5748" s="5" t="str">
        <f aca="false">IF($K5748="","","R"&amp;$K5748)</f>
        <v/>
      </c>
    </row>
    <row r="5749" customFormat="false" ht="15" hidden="false" customHeight="true" outlineLevel="0" collapsed="false">
      <c r="J5749" s="14" t="b">
        <f aca="false">IF(중복검사!$A5747="",FALSE(),중복검사!$H5747="중복")</f>
        <v>0</v>
      </c>
      <c r="K5749" s="5" t="str">
        <f aca="false">IF($J5749=FALSE(),"",COUNTIF($J$6:$J5749,TRUE()))</f>
        <v/>
      </c>
      <c r="L5749" s="5" t="str">
        <f aca="false">IF($K5749="","","R"&amp;$K5749)</f>
        <v/>
      </c>
    </row>
    <row r="5750" customFormat="false" ht="15" hidden="false" customHeight="true" outlineLevel="0" collapsed="false">
      <c r="J5750" s="14" t="b">
        <f aca="false">IF(중복검사!$A5748="",FALSE(),중복검사!$H5748="중복")</f>
        <v>0</v>
      </c>
      <c r="K5750" s="5" t="str">
        <f aca="false">IF($J5750=FALSE(),"",COUNTIF($J$6:$J5750,TRUE()))</f>
        <v/>
      </c>
      <c r="L5750" s="5" t="str">
        <f aca="false">IF($K5750="","","R"&amp;$K5750)</f>
        <v/>
      </c>
    </row>
    <row r="5751" customFormat="false" ht="15" hidden="false" customHeight="true" outlineLevel="0" collapsed="false">
      <c r="J5751" s="14" t="b">
        <f aca="false">IF(중복검사!$A5749="",FALSE(),중복검사!$H5749="중복")</f>
        <v>0</v>
      </c>
      <c r="K5751" s="5" t="str">
        <f aca="false">IF($J5751=FALSE(),"",COUNTIF($J$6:$J5751,TRUE()))</f>
        <v/>
      </c>
      <c r="L5751" s="5" t="str">
        <f aca="false">IF($K5751="","","R"&amp;$K5751)</f>
        <v/>
      </c>
    </row>
    <row r="5752" customFormat="false" ht="15" hidden="false" customHeight="true" outlineLevel="0" collapsed="false">
      <c r="J5752" s="14" t="b">
        <f aca="false">IF(중복검사!$A5750="",FALSE(),중복검사!$H5750="중복")</f>
        <v>0</v>
      </c>
      <c r="K5752" s="5" t="str">
        <f aca="false">IF($J5752=FALSE(),"",COUNTIF($J$6:$J5752,TRUE()))</f>
        <v/>
      </c>
      <c r="L5752" s="5" t="str">
        <f aca="false">IF($K5752="","","R"&amp;$K5752)</f>
        <v/>
      </c>
    </row>
    <row r="5753" customFormat="false" ht="15" hidden="false" customHeight="true" outlineLevel="0" collapsed="false">
      <c r="J5753" s="14" t="b">
        <f aca="false">IF(중복검사!$A5751="",FALSE(),중복검사!$H5751="중복")</f>
        <v>0</v>
      </c>
      <c r="K5753" s="5" t="str">
        <f aca="false">IF($J5753=FALSE(),"",COUNTIF($J$6:$J5753,TRUE()))</f>
        <v/>
      </c>
      <c r="L5753" s="5" t="str">
        <f aca="false">IF($K5753="","","R"&amp;$K5753)</f>
        <v/>
      </c>
    </row>
    <row r="5754" customFormat="false" ht="15" hidden="false" customHeight="true" outlineLevel="0" collapsed="false">
      <c r="J5754" s="14" t="b">
        <f aca="false">IF(중복검사!$A5752="",FALSE(),중복검사!$H5752="중복")</f>
        <v>0</v>
      </c>
      <c r="K5754" s="5" t="str">
        <f aca="false">IF($J5754=FALSE(),"",COUNTIF($J$6:$J5754,TRUE()))</f>
        <v/>
      </c>
      <c r="L5754" s="5" t="str">
        <f aca="false">IF($K5754="","","R"&amp;$K5754)</f>
        <v/>
      </c>
    </row>
    <row r="5755" customFormat="false" ht="15" hidden="false" customHeight="true" outlineLevel="0" collapsed="false">
      <c r="J5755" s="14" t="b">
        <f aca="false">IF(중복검사!$A5753="",FALSE(),중복검사!$H5753="중복")</f>
        <v>0</v>
      </c>
      <c r="K5755" s="5" t="str">
        <f aca="false">IF($J5755=FALSE(),"",COUNTIF($J$6:$J5755,TRUE()))</f>
        <v/>
      </c>
      <c r="L5755" s="5" t="str">
        <f aca="false">IF($K5755="","","R"&amp;$K5755)</f>
        <v/>
      </c>
    </row>
    <row r="5756" customFormat="false" ht="15" hidden="false" customHeight="true" outlineLevel="0" collapsed="false">
      <c r="J5756" s="14" t="b">
        <f aca="false">IF(중복검사!$A5754="",FALSE(),중복검사!$H5754="중복")</f>
        <v>0</v>
      </c>
      <c r="K5756" s="5" t="str">
        <f aca="false">IF($J5756=FALSE(),"",COUNTIF($J$6:$J5756,TRUE()))</f>
        <v/>
      </c>
      <c r="L5756" s="5" t="str">
        <f aca="false">IF($K5756="","","R"&amp;$K5756)</f>
        <v/>
      </c>
    </row>
    <row r="5757" customFormat="false" ht="15" hidden="false" customHeight="true" outlineLevel="0" collapsed="false">
      <c r="J5757" s="14" t="b">
        <f aca="false">IF(중복검사!$A5755="",FALSE(),중복검사!$H5755="중복")</f>
        <v>0</v>
      </c>
      <c r="K5757" s="5" t="str">
        <f aca="false">IF($J5757=FALSE(),"",COUNTIF($J$6:$J5757,TRUE()))</f>
        <v/>
      </c>
      <c r="L5757" s="5" t="str">
        <f aca="false">IF($K5757="","","R"&amp;$K5757)</f>
        <v/>
      </c>
    </row>
    <row r="5758" customFormat="false" ht="15" hidden="false" customHeight="true" outlineLevel="0" collapsed="false">
      <c r="J5758" s="14" t="b">
        <f aca="false">IF(중복검사!$A5756="",FALSE(),중복검사!$H5756="중복")</f>
        <v>0</v>
      </c>
      <c r="K5758" s="5" t="str">
        <f aca="false">IF($J5758=FALSE(),"",COUNTIF($J$6:$J5758,TRUE()))</f>
        <v/>
      </c>
      <c r="L5758" s="5" t="str">
        <f aca="false">IF($K5758="","","R"&amp;$K5758)</f>
        <v/>
      </c>
    </row>
    <row r="5759" customFormat="false" ht="15" hidden="false" customHeight="true" outlineLevel="0" collapsed="false">
      <c r="J5759" s="14" t="b">
        <f aca="false">IF(중복검사!$A5757="",FALSE(),중복검사!$H5757="중복")</f>
        <v>0</v>
      </c>
      <c r="K5759" s="5" t="str">
        <f aca="false">IF($J5759=FALSE(),"",COUNTIF($J$6:$J5759,TRUE()))</f>
        <v/>
      </c>
      <c r="L5759" s="5" t="str">
        <f aca="false">IF($K5759="","","R"&amp;$K5759)</f>
        <v/>
      </c>
    </row>
    <row r="5760" customFormat="false" ht="15" hidden="false" customHeight="true" outlineLevel="0" collapsed="false">
      <c r="J5760" s="14" t="b">
        <f aca="false">IF(중복검사!$A5758="",FALSE(),중복검사!$H5758="중복")</f>
        <v>0</v>
      </c>
      <c r="K5760" s="5" t="str">
        <f aca="false">IF($J5760=FALSE(),"",COUNTIF($J$6:$J5760,TRUE()))</f>
        <v/>
      </c>
      <c r="L5760" s="5" t="str">
        <f aca="false">IF($K5760="","","R"&amp;$K5760)</f>
        <v/>
      </c>
    </row>
    <row r="5761" customFormat="false" ht="15" hidden="false" customHeight="true" outlineLevel="0" collapsed="false">
      <c r="J5761" s="14" t="b">
        <f aca="false">IF(중복검사!$A5759="",FALSE(),중복검사!$H5759="중복")</f>
        <v>0</v>
      </c>
      <c r="K5761" s="5" t="str">
        <f aca="false">IF($J5761=FALSE(),"",COUNTIF($J$6:$J5761,TRUE()))</f>
        <v/>
      </c>
      <c r="L5761" s="5" t="str">
        <f aca="false">IF($K5761="","","R"&amp;$K5761)</f>
        <v/>
      </c>
    </row>
    <row r="5762" customFormat="false" ht="15" hidden="false" customHeight="true" outlineLevel="0" collapsed="false">
      <c r="J5762" s="14" t="b">
        <f aca="false">IF(중복검사!$A5760="",FALSE(),중복검사!$H5760="중복")</f>
        <v>0</v>
      </c>
      <c r="K5762" s="5" t="str">
        <f aca="false">IF($J5762=FALSE(),"",COUNTIF($J$6:$J5762,TRUE()))</f>
        <v/>
      </c>
      <c r="L5762" s="5" t="str">
        <f aca="false">IF($K5762="","","R"&amp;$K5762)</f>
        <v/>
      </c>
    </row>
    <row r="5763" customFormat="false" ht="15" hidden="false" customHeight="true" outlineLevel="0" collapsed="false">
      <c r="J5763" s="14" t="b">
        <f aca="false">IF(중복검사!$A5761="",FALSE(),중복검사!$H5761="중복")</f>
        <v>0</v>
      </c>
      <c r="K5763" s="5" t="str">
        <f aca="false">IF($J5763=FALSE(),"",COUNTIF($J$6:$J5763,TRUE()))</f>
        <v/>
      </c>
      <c r="L5763" s="5" t="str">
        <f aca="false">IF($K5763="","","R"&amp;$K5763)</f>
        <v/>
      </c>
    </row>
    <row r="5764" customFormat="false" ht="15" hidden="false" customHeight="true" outlineLevel="0" collapsed="false">
      <c r="J5764" s="14" t="b">
        <f aca="false">IF(중복검사!$A5762="",FALSE(),중복검사!$H5762="중복")</f>
        <v>0</v>
      </c>
      <c r="K5764" s="5" t="str">
        <f aca="false">IF($J5764=FALSE(),"",COUNTIF($J$6:$J5764,TRUE()))</f>
        <v/>
      </c>
      <c r="L5764" s="5" t="str">
        <f aca="false">IF($K5764="","","R"&amp;$K5764)</f>
        <v/>
      </c>
    </row>
    <row r="5765" customFormat="false" ht="15" hidden="false" customHeight="true" outlineLevel="0" collapsed="false">
      <c r="J5765" s="14" t="b">
        <f aca="false">IF(중복검사!$A5763="",FALSE(),중복검사!$H5763="중복")</f>
        <v>0</v>
      </c>
      <c r="K5765" s="5" t="str">
        <f aca="false">IF($J5765=FALSE(),"",COUNTIF($J$6:$J5765,TRUE()))</f>
        <v/>
      </c>
      <c r="L5765" s="5" t="str">
        <f aca="false">IF($K5765="","","R"&amp;$K5765)</f>
        <v/>
      </c>
    </row>
    <row r="5766" customFormat="false" ht="15" hidden="false" customHeight="true" outlineLevel="0" collapsed="false">
      <c r="J5766" s="14" t="b">
        <f aca="false">IF(중복검사!$A5764="",FALSE(),중복검사!$H5764="중복")</f>
        <v>0</v>
      </c>
      <c r="K5766" s="5" t="str">
        <f aca="false">IF($J5766=FALSE(),"",COUNTIF($J$6:$J5766,TRUE()))</f>
        <v/>
      </c>
      <c r="L5766" s="5" t="str">
        <f aca="false">IF($K5766="","","R"&amp;$K5766)</f>
        <v/>
      </c>
    </row>
    <row r="5767" customFormat="false" ht="15" hidden="false" customHeight="true" outlineLevel="0" collapsed="false">
      <c r="J5767" s="14" t="b">
        <f aca="false">IF(중복검사!$A5765="",FALSE(),중복검사!$H5765="중복")</f>
        <v>0</v>
      </c>
      <c r="K5767" s="5" t="str">
        <f aca="false">IF($J5767=FALSE(),"",COUNTIF($J$6:$J5767,TRUE()))</f>
        <v/>
      </c>
      <c r="L5767" s="5" t="str">
        <f aca="false">IF($K5767="","","R"&amp;$K5767)</f>
        <v/>
      </c>
    </row>
    <row r="5768" customFormat="false" ht="15" hidden="false" customHeight="true" outlineLevel="0" collapsed="false">
      <c r="J5768" s="14" t="b">
        <f aca="false">IF(중복검사!$A5766="",FALSE(),중복검사!$H5766="중복")</f>
        <v>0</v>
      </c>
      <c r="K5768" s="5" t="str">
        <f aca="false">IF($J5768=FALSE(),"",COUNTIF($J$6:$J5768,TRUE()))</f>
        <v/>
      </c>
      <c r="L5768" s="5" t="str">
        <f aca="false">IF($K5768="","","R"&amp;$K5768)</f>
        <v/>
      </c>
    </row>
    <row r="5769" customFormat="false" ht="15" hidden="false" customHeight="true" outlineLevel="0" collapsed="false">
      <c r="J5769" s="14" t="b">
        <f aca="false">IF(중복검사!$A5767="",FALSE(),중복검사!$H5767="중복")</f>
        <v>0</v>
      </c>
      <c r="K5769" s="5" t="str">
        <f aca="false">IF($J5769=FALSE(),"",COUNTIF($J$6:$J5769,TRUE()))</f>
        <v/>
      </c>
      <c r="L5769" s="5" t="str">
        <f aca="false">IF($K5769="","","R"&amp;$K5769)</f>
        <v/>
      </c>
    </row>
    <row r="5770" customFormat="false" ht="15" hidden="false" customHeight="true" outlineLevel="0" collapsed="false">
      <c r="J5770" s="14" t="b">
        <f aca="false">IF(중복검사!$A5768="",FALSE(),중복검사!$H5768="중복")</f>
        <v>0</v>
      </c>
      <c r="K5770" s="5" t="str">
        <f aca="false">IF($J5770=FALSE(),"",COUNTIF($J$6:$J5770,TRUE()))</f>
        <v/>
      </c>
      <c r="L5770" s="5" t="str">
        <f aca="false">IF($K5770="","","R"&amp;$K5770)</f>
        <v/>
      </c>
    </row>
    <row r="5771" customFormat="false" ht="15" hidden="false" customHeight="true" outlineLevel="0" collapsed="false">
      <c r="J5771" s="14" t="b">
        <f aca="false">IF(중복검사!$A5769="",FALSE(),중복검사!$H5769="중복")</f>
        <v>0</v>
      </c>
      <c r="K5771" s="5" t="str">
        <f aca="false">IF($J5771=FALSE(),"",COUNTIF($J$6:$J5771,TRUE()))</f>
        <v/>
      </c>
      <c r="L5771" s="5" t="str">
        <f aca="false">IF($K5771="","","R"&amp;$K5771)</f>
        <v/>
      </c>
    </row>
    <row r="5772" customFormat="false" ht="15" hidden="false" customHeight="true" outlineLevel="0" collapsed="false">
      <c r="J5772" s="14" t="b">
        <f aca="false">IF(중복검사!$A5770="",FALSE(),중복검사!$H5770="중복")</f>
        <v>0</v>
      </c>
      <c r="K5772" s="5" t="str">
        <f aca="false">IF($J5772=FALSE(),"",COUNTIF($J$6:$J5772,TRUE()))</f>
        <v/>
      </c>
      <c r="L5772" s="5" t="str">
        <f aca="false">IF($K5772="","","R"&amp;$K5772)</f>
        <v/>
      </c>
    </row>
    <row r="5773" customFormat="false" ht="15" hidden="false" customHeight="true" outlineLevel="0" collapsed="false">
      <c r="J5773" s="14" t="b">
        <f aca="false">IF(중복검사!$A5771="",FALSE(),중복검사!$H5771="중복")</f>
        <v>0</v>
      </c>
      <c r="K5773" s="5" t="str">
        <f aca="false">IF($J5773=FALSE(),"",COUNTIF($J$6:$J5773,TRUE()))</f>
        <v/>
      </c>
      <c r="L5773" s="5" t="str">
        <f aca="false">IF($K5773="","","R"&amp;$K5773)</f>
        <v/>
      </c>
    </row>
    <row r="5774" customFormat="false" ht="15" hidden="false" customHeight="true" outlineLevel="0" collapsed="false">
      <c r="J5774" s="14" t="b">
        <f aca="false">IF(중복검사!$A5772="",FALSE(),중복검사!$H5772="중복")</f>
        <v>0</v>
      </c>
      <c r="K5774" s="5" t="str">
        <f aca="false">IF($J5774=FALSE(),"",COUNTIF($J$6:$J5774,TRUE()))</f>
        <v/>
      </c>
      <c r="L5774" s="5" t="str">
        <f aca="false">IF($K5774="","","R"&amp;$K5774)</f>
        <v/>
      </c>
    </row>
    <row r="5775" customFormat="false" ht="15" hidden="false" customHeight="true" outlineLevel="0" collapsed="false">
      <c r="J5775" s="14" t="b">
        <f aca="false">IF(중복검사!$A5773="",FALSE(),중복검사!$H5773="중복")</f>
        <v>0</v>
      </c>
      <c r="K5775" s="5" t="str">
        <f aca="false">IF($J5775=FALSE(),"",COUNTIF($J$6:$J5775,TRUE()))</f>
        <v/>
      </c>
      <c r="L5775" s="5" t="str">
        <f aca="false">IF($K5775="","","R"&amp;$K5775)</f>
        <v/>
      </c>
    </row>
    <row r="5776" customFormat="false" ht="15" hidden="false" customHeight="true" outlineLevel="0" collapsed="false">
      <c r="J5776" s="14" t="b">
        <f aca="false">IF(중복검사!$A5774="",FALSE(),중복검사!$H5774="중복")</f>
        <v>0</v>
      </c>
      <c r="K5776" s="5" t="str">
        <f aca="false">IF($J5776=FALSE(),"",COUNTIF($J$6:$J5776,TRUE()))</f>
        <v/>
      </c>
      <c r="L5776" s="5" t="str">
        <f aca="false">IF($K5776="","","R"&amp;$K5776)</f>
        <v/>
      </c>
    </row>
    <row r="5777" customFormat="false" ht="15" hidden="false" customHeight="true" outlineLevel="0" collapsed="false">
      <c r="J5777" s="14" t="b">
        <f aca="false">IF(중복검사!$A5775="",FALSE(),중복검사!$H5775="중복")</f>
        <v>0</v>
      </c>
      <c r="K5777" s="5" t="str">
        <f aca="false">IF($J5777=FALSE(),"",COUNTIF($J$6:$J5777,TRUE()))</f>
        <v/>
      </c>
      <c r="L5777" s="5" t="str">
        <f aca="false">IF($K5777="","","R"&amp;$K5777)</f>
        <v/>
      </c>
    </row>
    <row r="5778" customFormat="false" ht="15" hidden="false" customHeight="true" outlineLevel="0" collapsed="false">
      <c r="J5778" s="14" t="b">
        <f aca="false">IF(중복검사!$A5776="",FALSE(),중복검사!$H5776="중복")</f>
        <v>0</v>
      </c>
      <c r="K5778" s="5" t="str">
        <f aca="false">IF($J5778=FALSE(),"",COUNTIF($J$6:$J5778,TRUE()))</f>
        <v/>
      </c>
      <c r="L5778" s="5" t="str">
        <f aca="false">IF($K5778="","","R"&amp;$K5778)</f>
        <v/>
      </c>
    </row>
    <row r="5779" customFormat="false" ht="15" hidden="false" customHeight="true" outlineLevel="0" collapsed="false">
      <c r="J5779" s="14" t="b">
        <f aca="false">IF(중복검사!$A5777="",FALSE(),중복검사!$H5777="중복")</f>
        <v>0</v>
      </c>
      <c r="K5779" s="5" t="str">
        <f aca="false">IF($J5779=FALSE(),"",COUNTIF($J$6:$J5779,TRUE()))</f>
        <v/>
      </c>
      <c r="L5779" s="5" t="str">
        <f aca="false">IF($K5779="","","R"&amp;$K5779)</f>
        <v/>
      </c>
    </row>
    <row r="5780" customFormat="false" ht="15" hidden="false" customHeight="true" outlineLevel="0" collapsed="false">
      <c r="J5780" s="14" t="b">
        <f aca="false">IF(중복검사!$A5778="",FALSE(),중복검사!$H5778="중복")</f>
        <v>0</v>
      </c>
      <c r="K5780" s="5" t="str">
        <f aca="false">IF($J5780=FALSE(),"",COUNTIF($J$6:$J5780,TRUE()))</f>
        <v/>
      </c>
      <c r="L5780" s="5" t="str">
        <f aca="false">IF($K5780="","","R"&amp;$K5780)</f>
        <v/>
      </c>
    </row>
    <row r="5781" customFormat="false" ht="15" hidden="false" customHeight="true" outlineLevel="0" collapsed="false">
      <c r="J5781" s="14" t="b">
        <f aca="false">IF(중복검사!$A5779="",FALSE(),중복검사!$H5779="중복")</f>
        <v>0</v>
      </c>
      <c r="K5781" s="5" t="str">
        <f aca="false">IF($J5781=FALSE(),"",COUNTIF($J$6:$J5781,TRUE()))</f>
        <v/>
      </c>
      <c r="L5781" s="5" t="str">
        <f aca="false">IF($K5781="","","R"&amp;$K5781)</f>
        <v/>
      </c>
    </row>
    <row r="5782" customFormat="false" ht="15" hidden="false" customHeight="true" outlineLevel="0" collapsed="false">
      <c r="J5782" s="14" t="b">
        <f aca="false">IF(중복검사!$A5780="",FALSE(),중복검사!$H5780="중복")</f>
        <v>0</v>
      </c>
      <c r="K5782" s="5" t="str">
        <f aca="false">IF($J5782=FALSE(),"",COUNTIF($J$6:$J5782,TRUE()))</f>
        <v/>
      </c>
      <c r="L5782" s="5" t="str">
        <f aca="false">IF($K5782="","","R"&amp;$K5782)</f>
        <v/>
      </c>
    </row>
    <row r="5783" customFormat="false" ht="15" hidden="false" customHeight="true" outlineLevel="0" collapsed="false">
      <c r="J5783" s="14" t="b">
        <f aca="false">IF(중복검사!$A5781="",FALSE(),중복검사!$H5781="중복")</f>
        <v>0</v>
      </c>
      <c r="K5783" s="5" t="str">
        <f aca="false">IF($J5783=FALSE(),"",COUNTIF($J$6:$J5783,TRUE()))</f>
        <v/>
      </c>
      <c r="L5783" s="5" t="str">
        <f aca="false">IF($K5783="","","R"&amp;$K5783)</f>
        <v/>
      </c>
    </row>
    <row r="5784" customFormat="false" ht="15" hidden="false" customHeight="true" outlineLevel="0" collapsed="false">
      <c r="J5784" s="14" t="b">
        <f aca="false">IF(중복검사!$A5782="",FALSE(),중복검사!$H5782="중복")</f>
        <v>0</v>
      </c>
      <c r="K5784" s="5" t="str">
        <f aca="false">IF($J5784=FALSE(),"",COUNTIF($J$6:$J5784,TRUE()))</f>
        <v/>
      </c>
      <c r="L5784" s="5" t="str">
        <f aca="false">IF($K5784="","","R"&amp;$K5784)</f>
        <v/>
      </c>
    </row>
    <row r="5785" customFormat="false" ht="15" hidden="false" customHeight="true" outlineLevel="0" collapsed="false">
      <c r="J5785" s="14" t="b">
        <f aca="false">IF(중복검사!$A5783="",FALSE(),중복검사!$H5783="중복")</f>
        <v>0</v>
      </c>
      <c r="K5785" s="5" t="str">
        <f aca="false">IF($J5785=FALSE(),"",COUNTIF($J$6:$J5785,TRUE()))</f>
        <v/>
      </c>
      <c r="L5785" s="5" t="str">
        <f aca="false">IF($K5785="","","R"&amp;$K5785)</f>
        <v/>
      </c>
    </row>
    <row r="5786" customFormat="false" ht="15" hidden="false" customHeight="true" outlineLevel="0" collapsed="false">
      <c r="J5786" s="14" t="b">
        <f aca="false">IF(중복검사!$A5784="",FALSE(),중복검사!$H5784="중복")</f>
        <v>0</v>
      </c>
      <c r="K5786" s="5" t="str">
        <f aca="false">IF($J5786=FALSE(),"",COUNTIF($J$6:$J5786,TRUE()))</f>
        <v/>
      </c>
      <c r="L5786" s="5" t="str">
        <f aca="false">IF($K5786="","","R"&amp;$K5786)</f>
        <v/>
      </c>
    </row>
    <row r="5787" customFormat="false" ht="15" hidden="false" customHeight="true" outlineLevel="0" collapsed="false">
      <c r="J5787" s="14" t="b">
        <f aca="false">IF(중복검사!$A5785="",FALSE(),중복검사!$H5785="중복")</f>
        <v>0</v>
      </c>
      <c r="K5787" s="5" t="str">
        <f aca="false">IF($J5787=FALSE(),"",COUNTIF($J$6:$J5787,TRUE()))</f>
        <v/>
      </c>
      <c r="L5787" s="5" t="str">
        <f aca="false">IF($K5787="","","R"&amp;$K5787)</f>
        <v/>
      </c>
    </row>
    <row r="5788" customFormat="false" ht="15" hidden="false" customHeight="true" outlineLevel="0" collapsed="false">
      <c r="J5788" s="14" t="b">
        <f aca="false">IF(중복검사!$A5786="",FALSE(),중복검사!$H5786="중복")</f>
        <v>0</v>
      </c>
      <c r="K5788" s="5" t="str">
        <f aca="false">IF($J5788=FALSE(),"",COUNTIF($J$6:$J5788,TRUE()))</f>
        <v/>
      </c>
      <c r="L5788" s="5" t="str">
        <f aca="false">IF($K5788="","","R"&amp;$K5788)</f>
        <v/>
      </c>
    </row>
    <row r="5789" customFormat="false" ht="15" hidden="false" customHeight="true" outlineLevel="0" collapsed="false">
      <c r="J5789" s="14" t="b">
        <f aca="false">IF(중복검사!$A5787="",FALSE(),중복검사!$H5787="중복")</f>
        <v>0</v>
      </c>
      <c r="K5789" s="5" t="str">
        <f aca="false">IF($J5789=FALSE(),"",COUNTIF($J$6:$J5789,TRUE()))</f>
        <v/>
      </c>
      <c r="L5789" s="5" t="str">
        <f aca="false">IF($K5789="","","R"&amp;$K5789)</f>
        <v/>
      </c>
    </row>
    <row r="5790" customFormat="false" ht="15" hidden="false" customHeight="true" outlineLevel="0" collapsed="false">
      <c r="J5790" s="14" t="b">
        <f aca="false">IF(중복검사!$A5788="",FALSE(),중복검사!$H5788="중복")</f>
        <v>0</v>
      </c>
      <c r="K5790" s="5" t="str">
        <f aca="false">IF($J5790=FALSE(),"",COUNTIF($J$6:$J5790,TRUE()))</f>
        <v/>
      </c>
      <c r="L5790" s="5" t="str">
        <f aca="false">IF($K5790="","","R"&amp;$K5790)</f>
        <v/>
      </c>
    </row>
    <row r="5791" customFormat="false" ht="15" hidden="false" customHeight="true" outlineLevel="0" collapsed="false">
      <c r="J5791" s="14" t="b">
        <f aca="false">IF(중복검사!$A5789="",FALSE(),중복검사!$H5789="중복")</f>
        <v>0</v>
      </c>
      <c r="K5791" s="5" t="str">
        <f aca="false">IF($J5791=FALSE(),"",COUNTIF($J$6:$J5791,TRUE()))</f>
        <v/>
      </c>
      <c r="L5791" s="5" t="str">
        <f aca="false">IF($K5791="","","R"&amp;$K5791)</f>
        <v/>
      </c>
    </row>
    <row r="5792" customFormat="false" ht="15" hidden="false" customHeight="true" outlineLevel="0" collapsed="false">
      <c r="J5792" s="14" t="b">
        <f aca="false">IF(중복검사!$A5790="",FALSE(),중복검사!$H5790="중복")</f>
        <v>0</v>
      </c>
      <c r="K5792" s="5" t="str">
        <f aca="false">IF($J5792=FALSE(),"",COUNTIF($J$6:$J5792,TRUE()))</f>
        <v/>
      </c>
      <c r="L5792" s="5" t="str">
        <f aca="false">IF($K5792="","","R"&amp;$K5792)</f>
        <v/>
      </c>
    </row>
    <row r="5793" customFormat="false" ht="15" hidden="false" customHeight="true" outlineLevel="0" collapsed="false">
      <c r="J5793" s="14" t="b">
        <f aca="false">IF(중복검사!$A5791="",FALSE(),중복검사!$H5791="중복")</f>
        <v>0</v>
      </c>
      <c r="K5793" s="5" t="str">
        <f aca="false">IF($J5793=FALSE(),"",COUNTIF($J$6:$J5793,TRUE()))</f>
        <v/>
      </c>
      <c r="L5793" s="5" t="str">
        <f aca="false">IF($K5793="","","R"&amp;$K5793)</f>
        <v/>
      </c>
    </row>
    <row r="5794" customFormat="false" ht="15" hidden="false" customHeight="true" outlineLevel="0" collapsed="false">
      <c r="J5794" s="14" t="b">
        <f aca="false">IF(중복검사!$A5792="",FALSE(),중복검사!$H5792="중복")</f>
        <v>0</v>
      </c>
      <c r="K5794" s="5" t="str">
        <f aca="false">IF($J5794=FALSE(),"",COUNTIF($J$6:$J5794,TRUE()))</f>
        <v/>
      </c>
      <c r="L5794" s="5" t="str">
        <f aca="false">IF($K5794="","","R"&amp;$K5794)</f>
        <v/>
      </c>
    </row>
    <row r="5795" customFormat="false" ht="15" hidden="false" customHeight="true" outlineLevel="0" collapsed="false">
      <c r="J5795" s="14" t="b">
        <f aca="false">IF(중복검사!$A5793="",FALSE(),중복검사!$H5793="중복")</f>
        <v>0</v>
      </c>
      <c r="K5795" s="5" t="str">
        <f aca="false">IF($J5795=FALSE(),"",COUNTIF($J$6:$J5795,TRUE()))</f>
        <v/>
      </c>
      <c r="L5795" s="5" t="str">
        <f aca="false">IF($K5795="","","R"&amp;$K5795)</f>
        <v/>
      </c>
    </row>
    <row r="5796" customFormat="false" ht="15" hidden="false" customHeight="true" outlineLevel="0" collapsed="false">
      <c r="J5796" s="14" t="b">
        <f aca="false">IF(중복검사!$A5794="",FALSE(),중복검사!$H5794="중복")</f>
        <v>0</v>
      </c>
      <c r="K5796" s="5" t="str">
        <f aca="false">IF($J5796=FALSE(),"",COUNTIF($J$6:$J5796,TRUE()))</f>
        <v/>
      </c>
      <c r="L5796" s="5" t="str">
        <f aca="false">IF($K5796="","","R"&amp;$K5796)</f>
        <v/>
      </c>
    </row>
    <row r="5797" customFormat="false" ht="15" hidden="false" customHeight="true" outlineLevel="0" collapsed="false">
      <c r="J5797" s="14" t="b">
        <f aca="false">IF(중복검사!$A5795="",FALSE(),중복검사!$H5795="중복")</f>
        <v>0</v>
      </c>
      <c r="K5797" s="5" t="str">
        <f aca="false">IF($J5797=FALSE(),"",COUNTIF($J$6:$J5797,TRUE()))</f>
        <v/>
      </c>
      <c r="L5797" s="5" t="str">
        <f aca="false">IF($K5797="","","R"&amp;$K5797)</f>
        <v/>
      </c>
    </row>
    <row r="5798" customFormat="false" ht="15" hidden="false" customHeight="true" outlineLevel="0" collapsed="false">
      <c r="J5798" s="14" t="b">
        <f aca="false">IF(중복검사!$A5796="",FALSE(),중복검사!$H5796="중복")</f>
        <v>0</v>
      </c>
      <c r="K5798" s="5" t="str">
        <f aca="false">IF($J5798=FALSE(),"",COUNTIF($J$6:$J5798,TRUE()))</f>
        <v/>
      </c>
      <c r="L5798" s="5" t="str">
        <f aca="false">IF($K5798="","","R"&amp;$K5798)</f>
        <v/>
      </c>
    </row>
    <row r="5799" customFormat="false" ht="15" hidden="false" customHeight="true" outlineLevel="0" collapsed="false">
      <c r="J5799" s="14" t="b">
        <f aca="false">IF(중복검사!$A5797="",FALSE(),중복검사!$H5797="중복")</f>
        <v>0</v>
      </c>
      <c r="K5799" s="5" t="str">
        <f aca="false">IF($J5799=FALSE(),"",COUNTIF($J$6:$J5799,TRUE()))</f>
        <v/>
      </c>
      <c r="L5799" s="5" t="str">
        <f aca="false">IF($K5799="","","R"&amp;$K5799)</f>
        <v/>
      </c>
    </row>
    <row r="5800" customFormat="false" ht="15" hidden="false" customHeight="true" outlineLevel="0" collapsed="false">
      <c r="J5800" s="14" t="b">
        <f aca="false">IF(중복검사!$A5798="",FALSE(),중복검사!$H5798="중복")</f>
        <v>0</v>
      </c>
      <c r="K5800" s="5" t="str">
        <f aca="false">IF($J5800=FALSE(),"",COUNTIF($J$6:$J5800,TRUE()))</f>
        <v/>
      </c>
      <c r="L5800" s="5" t="str">
        <f aca="false">IF($K5800="","","R"&amp;$K5800)</f>
        <v/>
      </c>
    </row>
    <row r="5801" customFormat="false" ht="15" hidden="false" customHeight="true" outlineLevel="0" collapsed="false">
      <c r="J5801" s="14" t="b">
        <f aca="false">IF(중복검사!$A5799="",FALSE(),중복검사!$H5799="중복")</f>
        <v>0</v>
      </c>
      <c r="K5801" s="5" t="str">
        <f aca="false">IF($J5801=FALSE(),"",COUNTIF($J$6:$J5801,TRUE()))</f>
        <v/>
      </c>
      <c r="L5801" s="5" t="str">
        <f aca="false">IF($K5801="","","R"&amp;$K5801)</f>
        <v/>
      </c>
    </row>
    <row r="5802" customFormat="false" ht="15" hidden="false" customHeight="true" outlineLevel="0" collapsed="false">
      <c r="J5802" s="14" t="b">
        <f aca="false">IF(중복검사!$A5800="",FALSE(),중복검사!$H5800="중복")</f>
        <v>0</v>
      </c>
      <c r="K5802" s="5" t="str">
        <f aca="false">IF($J5802=FALSE(),"",COUNTIF($J$6:$J5802,TRUE()))</f>
        <v/>
      </c>
      <c r="L5802" s="5" t="str">
        <f aca="false">IF($K5802="","","R"&amp;$K5802)</f>
        <v/>
      </c>
    </row>
    <row r="5803" customFormat="false" ht="15" hidden="false" customHeight="true" outlineLevel="0" collapsed="false">
      <c r="J5803" s="14" t="b">
        <f aca="false">IF(중복검사!$A5801="",FALSE(),중복검사!$H5801="중복")</f>
        <v>0</v>
      </c>
      <c r="K5803" s="5" t="str">
        <f aca="false">IF($J5803=FALSE(),"",COUNTIF($J$6:$J5803,TRUE()))</f>
        <v/>
      </c>
      <c r="L5803" s="5" t="str">
        <f aca="false">IF($K5803="","","R"&amp;$K5803)</f>
        <v/>
      </c>
    </row>
    <row r="5804" customFormat="false" ht="15" hidden="false" customHeight="true" outlineLevel="0" collapsed="false">
      <c r="J5804" s="14" t="b">
        <f aca="false">IF(중복검사!$A5802="",FALSE(),중복검사!$H5802="중복")</f>
        <v>0</v>
      </c>
      <c r="K5804" s="5" t="str">
        <f aca="false">IF($J5804=FALSE(),"",COUNTIF($J$6:$J5804,TRUE()))</f>
        <v/>
      </c>
      <c r="L5804" s="5" t="str">
        <f aca="false">IF($K5804="","","R"&amp;$K5804)</f>
        <v/>
      </c>
    </row>
    <row r="5805" customFormat="false" ht="15" hidden="false" customHeight="true" outlineLevel="0" collapsed="false">
      <c r="J5805" s="14" t="b">
        <f aca="false">IF(중복검사!$A5803="",FALSE(),중복검사!$H5803="중복")</f>
        <v>0</v>
      </c>
      <c r="K5805" s="5" t="str">
        <f aca="false">IF($J5805=FALSE(),"",COUNTIF($J$6:$J5805,TRUE()))</f>
        <v/>
      </c>
      <c r="L5805" s="5" t="str">
        <f aca="false">IF($K5805="","","R"&amp;$K5805)</f>
        <v/>
      </c>
    </row>
    <row r="5806" customFormat="false" ht="15" hidden="false" customHeight="true" outlineLevel="0" collapsed="false">
      <c r="J5806" s="14" t="b">
        <f aca="false">IF(중복검사!$A5804="",FALSE(),중복검사!$H5804="중복")</f>
        <v>0</v>
      </c>
      <c r="K5806" s="5" t="str">
        <f aca="false">IF($J5806=FALSE(),"",COUNTIF($J$6:$J5806,TRUE()))</f>
        <v/>
      </c>
      <c r="L5806" s="5" t="str">
        <f aca="false">IF($K5806="","","R"&amp;$K5806)</f>
        <v/>
      </c>
    </row>
    <row r="5807" customFormat="false" ht="15" hidden="false" customHeight="true" outlineLevel="0" collapsed="false">
      <c r="J5807" s="14" t="b">
        <f aca="false">IF(중복검사!$A5805="",FALSE(),중복검사!$H5805="중복")</f>
        <v>0</v>
      </c>
      <c r="K5807" s="5" t="str">
        <f aca="false">IF($J5807=FALSE(),"",COUNTIF($J$6:$J5807,TRUE()))</f>
        <v/>
      </c>
      <c r="L5807" s="5" t="str">
        <f aca="false">IF($K5807="","","R"&amp;$K5807)</f>
        <v/>
      </c>
    </row>
    <row r="5808" customFormat="false" ht="15" hidden="false" customHeight="true" outlineLevel="0" collapsed="false">
      <c r="J5808" s="14" t="b">
        <f aca="false">IF(중복검사!$A5806="",FALSE(),중복검사!$H5806="중복")</f>
        <v>0</v>
      </c>
      <c r="K5808" s="5" t="str">
        <f aca="false">IF($J5808=FALSE(),"",COUNTIF($J$6:$J5808,TRUE()))</f>
        <v/>
      </c>
      <c r="L5808" s="5" t="str">
        <f aca="false">IF($K5808="","","R"&amp;$K5808)</f>
        <v/>
      </c>
    </row>
    <row r="5809" customFormat="false" ht="15" hidden="false" customHeight="true" outlineLevel="0" collapsed="false">
      <c r="J5809" s="14" t="b">
        <f aca="false">IF(중복검사!$A5807="",FALSE(),중복검사!$H5807="중복")</f>
        <v>0</v>
      </c>
      <c r="K5809" s="5" t="str">
        <f aca="false">IF($J5809=FALSE(),"",COUNTIF($J$6:$J5809,TRUE()))</f>
        <v/>
      </c>
      <c r="L5809" s="5" t="str">
        <f aca="false">IF($K5809="","","R"&amp;$K5809)</f>
        <v/>
      </c>
    </row>
    <row r="5810" customFormat="false" ht="15" hidden="false" customHeight="true" outlineLevel="0" collapsed="false">
      <c r="J5810" s="14" t="b">
        <f aca="false">IF(중복검사!$A5808="",FALSE(),중복검사!$H5808="중복")</f>
        <v>0</v>
      </c>
      <c r="K5810" s="5" t="str">
        <f aca="false">IF($J5810=FALSE(),"",COUNTIF($J$6:$J5810,TRUE()))</f>
        <v/>
      </c>
      <c r="L5810" s="5" t="str">
        <f aca="false">IF($K5810="","","R"&amp;$K5810)</f>
        <v/>
      </c>
    </row>
    <row r="5811" customFormat="false" ht="15" hidden="false" customHeight="true" outlineLevel="0" collapsed="false">
      <c r="J5811" s="14" t="b">
        <f aca="false">IF(중복검사!$A5809="",FALSE(),중복검사!$H5809="중복")</f>
        <v>0</v>
      </c>
      <c r="K5811" s="5" t="str">
        <f aca="false">IF($J5811=FALSE(),"",COUNTIF($J$6:$J5811,TRUE()))</f>
        <v/>
      </c>
      <c r="L5811" s="5" t="str">
        <f aca="false">IF($K5811="","","R"&amp;$K5811)</f>
        <v/>
      </c>
    </row>
    <row r="5812" customFormat="false" ht="15" hidden="false" customHeight="true" outlineLevel="0" collapsed="false">
      <c r="J5812" s="14" t="b">
        <f aca="false">IF(중복검사!$A5810="",FALSE(),중복검사!$H5810="중복")</f>
        <v>0</v>
      </c>
      <c r="K5812" s="5" t="str">
        <f aca="false">IF($J5812=FALSE(),"",COUNTIF($J$6:$J5812,TRUE()))</f>
        <v/>
      </c>
      <c r="L5812" s="5" t="str">
        <f aca="false">IF($K5812="","","R"&amp;$K5812)</f>
        <v/>
      </c>
    </row>
    <row r="5813" customFormat="false" ht="15" hidden="false" customHeight="true" outlineLevel="0" collapsed="false">
      <c r="J5813" s="14" t="b">
        <f aca="false">IF(중복검사!$A5811="",FALSE(),중복검사!$H5811="중복")</f>
        <v>0</v>
      </c>
      <c r="K5813" s="5" t="str">
        <f aca="false">IF($J5813=FALSE(),"",COUNTIF($J$6:$J5813,TRUE()))</f>
        <v/>
      </c>
      <c r="L5813" s="5" t="str">
        <f aca="false">IF($K5813="","","R"&amp;$K5813)</f>
        <v/>
      </c>
    </row>
    <row r="5814" customFormat="false" ht="15" hidden="false" customHeight="true" outlineLevel="0" collapsed="false">
      <c r="J5814" s="14" t="b">
        <f aca="false">IF(중복검사!$A5812="",FALSE(),중복검사!$H5812="중복")</f>
        <v>0</v>
      </c>
      <c r="K5814" s="5" t="str">
        <f aca="false">IF($J5814=FALSE(),"",COUNTIF($J$6:$J5814,TRUE()))</f>
        <v/>
      </c>
      <c r="L5814" s="5" t="str">
        <f aca="false">IF($K5814="","","R"&amp;$K5814)</f>
        <v/>
      </c>
    </row>
    <row r="5815" customFormat="false" ht="15" hidden="false" customHeight="true" outlineLevel="0" collapsed="false">
      <c r="J5815" s="14" t="b">
        <f aca="false">IF(중복검사!$A5813="",FALSE(),중복검사!$H5813="중복")</f>
        <v>0</v>
      </c>
      <c r="K5815" s="5" t="str">
        <f aca="false">IF($J5815=FALSE(),"",COUNTIF($J$6:$J5815,TRUE()))</f>
        <v/>
      </c>
      <c r="L5815" s="5" t="str">
        <f aca="false">IF($K5815="","","R"&amp;$K5815)</f>
        <v/>
      </c>
    </row>
    <row r="5816" customFormat="false" ht="15" hidden="false" customHeight="true" outlineLevel="0" collapsed="false">
      <c r="J5816" s="14" t="b">
        <f aca="false">IF(중복검사!$A5814="",FALSE(),중복검사!$H5814="중복")</f>
        <v>0</v>
      </c>
      <c r="K5816" s="5" t="str">
        <f aca="false">IF($J5816=FALSE(),"",COUNTIF($J$6:$J5816,TRUE()))</f>
        <v/>
      </c>
      <c r="L5816" s="5" t="str">
        <f aca="false">IF($K5816="","","R"&amp;$K5816)</f>
        <v/>
      </c>
    </row>
    <row r="5817" customFormat="false" ht="15" hidden="false" customHeight="true" outlineLevel="0" collapsed="false">
      <c r="J5817" s="14" t="b">
        <f aca="false">IF(중복검사!$A5815="",FALSE(),중복검사!$H5815="중복")</f>
        <v>0</v>
      </c>
      <c r="K5817" s="5" t="str">
        <f aca="false">IF($J5817=FALSE(),"",COUNTIF($J$6:$J5817,TRUE()))</f>
        <v/>
      </c>
      <c r="L5817" s="5" t="str">
        <f aca="false">IF($K5817="","","R"&amp;$K5817)</f>
        <v/>
      </c>
    </row>
    <row r="5818" customFormat="false" ht="15" hidden="false" customHeight="true" outlineLevel="0" collapsed="false">
      <c r="J5818" s="14" t="b">
        <f aca="false">IF(중복검사!$A5816="",FALSE(),중복검사!$H5816="중복")</f>
        <v>0</v>
      </c>
      <c r="K5818" s="5" t="str">
        <f aca="false">IF($J5818=FALSE(),"",COUNTIF($J$6:$J5818,TRUE()))</f>
        <v/>
      </c>
      <c r="L5818" s="5" t="str">
        <f aca="false">IF($K5818="","","R"&amp;$K5818)</f>
        <v/>
      </c>
    </row>
    <row r="5819" customFormat="false" ht="15" hidden="false" customHeight="true" outlineLevel="0" collapsed="false">
      <c r="J5819" s="14" t="b">
        <f aca="false">IF(중복검사!$A5817="",FALSE(),중복검사!$H5817="중복")</f>
        <v>0</v>
      </c>
      <c r="K5819" s="5" t="str">
        <f aca="false">IF($J5819=FALSE(),"",COUNTIF($J$6:$J5819,TRUE()))</f>
        <v/>
      </c>
      <c r="L5819" s="5" t="str">
        <f aca="false">IF($K5819="","","R"&amp;$K5819)</f>
        <v/>
      </c>
    </row>
    <row r="5820" customFormat="false" ht="15" hidden="false" customHeight="true" outlineLevel="0" collapsed="false">
      <c r="J5820" s="14" t="b">
        <f aca="false">IF(중복검사!$A5818="",FALSE(),중복검사!$H5818="중복")</f>
        <v>0</v>
      </c>
      <c r="K5820" s="5" t="str">
        <f aca="false">IF($J5820=FALSE(),"",COUNTIF($J$6:$J5820,TRUE()))</f>
        <v/>
      </c>
      <c r="L5820" s="5" t="str">
        <f aca="false">IF($K5820="","","R"&amp;$K5820)</f>
        <v/>
      </c>
    </row>
    <row r="5821" customFormat="false" ht="15" hidden="false" customHeight="true" outlineLevel="0" collapsed="false">
      <c r="J5821" s="14" t="b">
        <f aca="false">IF(중복검사!$A5819="",FALSE(),중복검사!$H5819="중복")</f>
        <v>0</v>
      </c>
      <c r="K5821" s="5" t="str">
        <f aca="false">IF($J5821=FALSE(),"",COUNTIF($J$6:$J5821,TRUE()))</f>
        <v/>
      </c>
      <c r="L5821" s="5" t="str">
        <f aca="false">IF($K5821="","","R"&amp;$K5821)</f>
        <v/>
      </c>
    </row>
    <row r="5822" customFormat="false" ht="15" hidden="false" customHeight="true" outlineLevel="0" collapsed="false">
      <c r="J5822" s="14" t="b">
        <f aca="false">IF(중복검사!$A5820="",FALSE(),중복검사!$H5820="중복")</f>
        <v>0</v>
      </c>
      <c r="K5822" s="5" t="str">
        <f aca="false">IF($J5822=FALSE(),"",COUNTIF($J$6:$J5822,TRUE()))</f>
        <v/>
      </c>
      <c r="L5822" s="5" t="str">
        <f aca="false">IF($K5822="","","R"&amp;$K5822)</f>
        <v/>
      </c>
    </row>
    <row r="5823" customFormat="false" ht="15" hidden="false" customHeight="true" outlineLevel="0" collapsed="false">
      <c r="J5823" s="14" t="b">
        <f aca="false">IF(중복검사!$A5821="",FALSE(),중복검사!$H5821="중복")</f>
        <v>0</v>
      </c>
      <c r="K5823" s="5" t="str">
        <f aca="false">IF($J5823=FALSE(),"",COUNTIF($J$6:$J5823,TRUE()))</f>
        <v/>
      </c>
      <c r="L5823" s="5" t="str">
        <f aca="false">IF($K5823="","","R"&amp;$K5823)</f>
        <v/>
      </c>
    </row>
    <row r="5824" customFormat="false" ht="15" hidden="false" customHeight="true" outlineLevel="0" collapsed="false">
      <c r="J5824" s="14" t="b">
        <f aca="false">IF(중복검사!$A5822="",FALSE(),중복검사!$H5822="중복")</f>
        <v>0</v>
      </c>
      <c r="K5824" s="5" t="str">
        <f aca="false">IF($J5824=FALSE(),"",COUNTIF($J$6:$J5824,TRUE()))</f>
        <v/>
      </c>
      <c r="L5824" s="5" t="str">
        <f aca="false">IF($K5824="","","R"&amp;$K5824)</f>
        <v/>
      </c>
    </row>
    <row r="5825" customFormat="false" ht="15" hidden="false" customHeight="true" outlineLevel="0" collapsed="false">
      <c r="J5825" s="14" t="b">
        <f aca="false">IF(중복검사!$A5823="",FALSE(),중복검사!$H5823="중복")</f>
        <v>0</v>
      </c>
      <c r="K5825" s="5" t="str">
        <f aca="false">IF($J5825=FALSE(),"",COUNTIF($J$6:$J5825,TRUE()))</f>
        <v/>
      </c>
      <c r="L5825" s="5" t="str">
        <f aca="false">IF($K5825="","","R"&amp;$K5825)</f>
        <v/>
      </c>
    </row>
    <row r="5826" customFormat="false" ht="15" hidden="false" customHeight="true" outlineLevel="0" collapsed="false">
      <c r="J5826" s="14" t="b">
        <f aca="false">IF(중복검사!$A5824="",FALSE(),중복검사!$H5824="중복")</f>
        <v>0</v>
      </c>
      <c r="K5826" s="5" t="str">
        <f aca="false">IF($J5826=FALSE(),"",COUNTIF($J$6:$J5826,TRUE()))</f>
        <v/>
      </c>
      <c r="L5826" s="5" t="str">
        <f aca="false">IF($K5826="","","R"&amp;$K5826)</f>
        <v/>
      </c>
    </row>
    <row r="5827" customFormat="false" ht="15" hidden="false" customHeight="true" outlineLevel="0" collapsed="false">
      <c r="J5827" s="14" t="b">
        <f aca="false">IF(중복검사!$A5825="",FALSE(),중복검사!$H5825="중복")</f>
        <v>0</v>
      </c>
      <c r="K5827" s="5" t="str">
        <f aca="false">IF($J5827=FALSE(),"",COUNTIF($J$6:$J5827,TRUE()))</f>
        <v/>
      </c>
      <c r="L5827" s="5" t="str">
        <f aca="false">IF($K5827="","","R"&amp;$K5827)</f>
        <v/>
      </c>
    </row>
    <row r="5828" customFormat="false" ht="15" hidden="false" customHeight="true" outlineLevel="0" collapsed="false">
      <c r="J5828" s="14" t="b">
        <f aca="false">IF(중복검사!$A5826="",FALSE(),중복검사!$H5826="중복")</f>
        <v>0</v>
      </c>
      <c r="K5828" s="5" t="str">
        <f aca="false">IF($J5828=FALSE(),"",COUNTIF($J$6:$J5828,TRUE()))</f>
        <v/>
      </c>
      <c r="L5828" s="5" t="str">
        <f aca="false">IF($K5828="","","R"&amp;$K5828)</f>
        <v/>
      </c>
    </row>
    <row r="5829" customFormat="false" ht="15" hidden="false" customHeight="true" outlineLevel="0" collapsed="false">
      <c r="J5829" s="14" t="b">
        <f aca="false">IF(중복검사!$A5827="",FALSE(),중복검사!$H5827="중복")</f>
        <v>0</v>
      </c>
      <c r="K5829" s="5" t="str">
        <f aca="false">IF($J5829=FALSE(),"",COUNTIF($J$6:$J5829,TRUE()))</f>
        <v/>
      </c>
      <c r="L5829" s="5" t="str">
        <f aca="false">IF($K5829="","","R"&amp;$K5829)</f>
        <v/>
      </c>
    </row>
    <row r="5830" customFormat="false" ht="15" hidden="false" customHeight="true" outlineLevel="0" collapsed="false">
      <c r="J5830" s="14" t="b">
        <f aca="false">IF(중복검사!$A5828="",FALSE(),중복검사!$H5828="중복")</f>
        <v>0</v>
      </c>
      <c r="K5830" s="5" t="str">
        <f aca="false">IF($J5830=FALSE(),"",COUNTIF($J$6:$J5830,TRUE()))</f>
        <v/>
      </c>
      <c r="L5830" s="5" t="str">
        <f aca="false">IF($K5830="","","R"&amp;$K5830)</f>
        <v/>
      </c>
    </row>
    <row r="5831" customFormat="false" ht="15" hidden="false" customHeight="true" outlineLevel="0" collapsed="false">
      <c r="J5831" s="14" t="b">
        <f aca="false">IF(중복검사!$A5829="",FALSE(),중복검사!$H5829="중복")</f>
        <v>0</v>
      </c>
      <c r="K5831" s="5" t="str">
        <f aca="false">IF($J5831=FALSE(),"",COUNTIF($J$6:$J5831,TRUE()))</f>
        <v/>
      </c>
      <c r="L5831" s="5" t="str">
        <f aca="false">IF($K5831="","","R"&amp;$K5831)</f>
        <v/>
      </c>
    </row>
    <row r="5832" customFormat="false" ht="15" hidden="false" customHeight="true" outlineLevel="0" collapsed="false">
      <c r="J5832" s="14" t="b">
        <f aca="false">IF(중복검사!$A5830="",FALSE(),중복검사!$H5830="중복")</f>
        <v>0</v>
      </c>
      <c r="K5832" s="5" t="str">
        <f aca="false">IF($J5832=FALSE(),"",COUNTIF($J$6:$J5832,TRUE()))</f>
        <v/>
      </c>
      <c r="L5832" s="5" t="str">
        <f aca="false">IF($K5832="","","R"&amp;$K5832)</f>
        <v/>
      </c>
    </row>
    <row r="5833" customFormat="false" ht="15" hidden="false" customHeight="true" outlineLevel="0" collapsed="false">
      <c r="J5833" s="14" t="b">
        <f aca="false">IF(중복검사!$A5831="",FALSE(),중복검사!$H5831="중복")</f>
        <v>0</v>
      </c>
      <c r="K5833" s="5" t="str">
        <f aca="false">IF($J5833=FALSE(),"",COUNTIF($J$6:$J5833,TRUE()))</f>
        <v/>
      </c>
      <c r="L5833" s="5" t="str">
        <f aca="false">IF($K5833="","","R"&amp;$K5833)</f>
        <v/>
      </c>
    </row>
    <row r="5834" customFormat="false" ht="15" hidden="false" customHeight="true" outlineLevel="0" collapsed="false">
      <c r="J5834" s="14" t="b">
        <f aca="false">IF(중복검사!$A5832="",FALSE(),중복검사!$H5832="중복")</f>
        <v>0</v>
      </c>
      <c r="K5834" s="5" t="str">
        <f aca="false">IF($J5834=FALSE(),"",COUNTIF($J$6:$J5834,TRUE()))</f>
        <v/>
      </c>
      <c r="L5834" s="5" t="str">
        <f aca="false">IF($K5834="","","R"&amp;$K5834)</f>
        <v/>
      </c>
    </row>
    <row r="5835" customFormat="false" ht="15" hidden="false" customHeight="true" outlineLevel="0" collapsed="false">
      <c r="J5835" s="14" t="b">
        <f aca="false">IF(중복검사!$A5833="",FALSE(),중복검사!$H5833="중복")</f>
        <v>0</v>
      </c>
      <c r="K5835" s="5" t="str">
        <f aca="false">IF($J5835=FALSE(),"",COUNTIF($J$6:$J5835,TRUE()))</f>
        <v/>
      </c>
      <c r="L5835" s="5" t="str">
        <f aca="false">IF($K5835="","","R"&amp;$K5835)</f>
        <v/>
      </c>
    </row>
    <row r="5836" customFormat="false" ht="15" hidden="false" customHeight="true" outlineLevel="0" collapsed="false">
      <c r="J5836" s="14" t="b">
        <f aca="false">IF(중복검사!$A5834="",FALSE(),중복검사!$H5834="중복")</f>
        <v>0</v>
      </c>
      <c r="K5836" s="5" t="str">
        <f aca="false">IF($J5836=FALSE(),"",COUNTIF($J$6:$J5836,TRUE()))</f>
        <v/>
      </c>
      <c r="L5836" s="5" t="str">
        <f aca="false">IF($K5836="","","R"&amp;$K5836)</f>
        <v/>
      </c>
    </row>
    <row r="5837" customFormat="false" ht="15" hidden="false" customHeight="true" outlineLevel="0" collapsed="false">
      <c r="J5837" s="14" t="b">
        <f aca="false">IF(중복검사!$A5835="",FALSE(),중복검사!$H5835="중복")</f>
        <v>0</v>
      </c>
      <c r="K5837" s="5" t="str">
        <f aca="false">IF($J5837=FALSE(),"",COUNTIF($J$6:$J5837,TRUE()))</f>
        <v/>
      </c>
      <c r="L5837" s="5" t="str">
        <f aca="false">IF($K5837="","","R"&amp;$K5837)</f>
        <v/>
      </c>
    </row>
    <row r="5838" customFormat="false" ht="15" hidden="false" customHeight="true" outlineLevel="0" collapsed="false">
      <c r="J5838" s="14" t="b">
        <f aca="false">IF(중복검사!$A5836="",FALSE(),중복검사!$H5836="중복")</f>
        <v>0</v>
      </c>
      <c r="K5838" s="5" t="str">
        <f aca="false">IF($J5838=FALSE(),"",COUNTIF($J$6:$J5838,TRUE()))</f>
        <v/>
      </c>
      <c r="L5838" s="5" t="str">
        <f aca="false">IF($K5838="","","R"&amp;$K5838)</f>
        <v/>
      </c>
    </row>
    <row r="5839" customFormat="false" ht="15" hidden="false" customHeight="true" outlineLevel="0" collapsed="false">
      <c r="J5839" s="14" t="b">
        <f aca="false">IF(중복검사!$A5837="",FALSE(),중복검사!$H5837="중복")</f>
        <v>0</v>
      </c>
      <c r="K5839" s="5" t="str">
        <f aca="false">IF($J5839=FALSE(),"",COUNTIF($J$6:$J5839,TRUE()))</f>
        <v/>
      </c>
      <c r="L5839" s="5" t="str">
        <f aca="false">IF($K5839="","","R"&amp;$K5839)</f>
        <v/>
      </c>
    </row>
    <row r="5840" customFormat="false" ht="15" hidden="false" customHeight="true" outlineLevel="0" collapsed="false">
      <c r="J5840" s="14" t="b">
        <f aca="false">IF(중복검사!$A5838="",FALSE(),중복검사!$H5838="중복")</f>
        <v>0</v>
      </c>
      <c r="K5840" s="5" t="str">
        <f aca="false">IF($J5840=FALSE(),"",COUNTIF($J$6:$J5840,TRUE()))</f>
        <v/>
      </c>
      <c r="L5840" s="5" t="str">
        <f aca="false">IF($K5840="","","R"&amp;$K5840)</f>
        <v/>
      </c>
    </row>
    <row r="5841" customFormat="false" ht="15" hidden="false" customHeight="true" outlineLevel="0" collapsed="false">
      <c r="J5841" s="14" t="b">
        <f aca="false">IF(중복검사!$A5839="",FALSE(),중복검사!$H5839="중복")</f>
        <v>0</v>
      </c>
      <c r="K5841" s="5" t="str">
        <f aca="false">IF($J5841=FALSE(),"",COUNTIF($J$6:$J5841,TRUE()))</f>
        <v/>
      </c>
      <c r="L5841" s="5" t="str">
        <f aca="false">IF($K5841="","","R"&amp;$K5841)</f>
        <v/>
      </c>
    </row>
    <row r="5842" customFormat="false" ht="15" hidden="false" customHeight="true" outlineLevel="0" collapsed="false">
      <c r="J5842" s="14" t="b">
        <f aca="false">IF(중복검사!$A5840="",FALSE(),중복검사!$H5840="중복")</f>
        <v>0</v>
      </c>
      <c r="K5842" s="5" t="str">
        <f aca="false">IF($J5842=FALSE(),"",COUNTIF($J$6:$J5842,TRUE()))</f>
        <v/>
      </c>
      <c r="L5842" s="5" t="str">
        <f aca="false">IF($K5842="","","R"&amp;$K5842)</f>
        <v/>
      </c>
    </row>
    <row r="5843" customFormat="false" ht="15" hidden="false" customHeight="true" outlineLevel="0" collapsed="false">
      <c r="J5843" s="14" t="b">
        <f aca="false">IF(중복검사!$A5841="",FALSE(),중복검사!$H5841="중복")</f>
        <v>0</v>
      </c>
      <c r="K5843" s="5" t="str">
        <f aca="false">IF($J5843=FALSE(),"",COUNTIF($J$6:$J5843,TRUE()))</f>
        <v/>
      </c>
      <c r="L5843" s="5" t="str">
        <f aca="false">IF($K5843="","","R"&amp;$K5843)</f>
        <v/>
      </c>
    </row>
    <row r="5844" customFormat="false" ht="15" hidden="false" customHeight="true" outlineLevel="0" collapsed="false">
      <c r="J5844" s="14" t="b">
        <f aca="false">IF(중복검사!$A5842="",FALSE(),중복검사!$H5842="중복")</f>
        <v>0</v>
      </c>
      <c r="K5844" s="5" t="str">
        <f aca="false">IF($J5844=FALSE(),"",COUNTIF($J$6:$J5844,TRUE()))</f>
        <v/>
      </c>
      <c r="L5844" s="5" t="str">
        <f aca="false">IF($K5844="","","R"&amp;$K5844)</f>
        <v/>
      </c>
    </row>
    <row r="5845" customFormat="false" ht="15" hidden="false" customHeight="true" outlineLevel="0" collapsed="false">
      <c r="J5845" s="14" t="b">
        <f aca="false">IF(중복검사!$A5843="",FALSE(),중복검사!$H5843="중복")</f>
        <v>0</v>
      </c>
      <c r="K5845" s="5" t="str">
        <f aca="false">IF($J5845=FALSE(),"",COUNTIF($J$6:$J5845,TRUE()))</f>
        <v/>
      </c>
      <c r="L5845" s="5" t="str">
        <f aca="false">IF($K5845="","","R"&amp;$K5845)</f>
        <v/>
      </c>
    </row>
    <row r="5846" customFormat="false" ht="15" hidden="false" customHeight="true" outlineLevel="0" collapsed="false">
      <c r="J5846" s="14" t="b">
        <f aca="false">IF(중복검사!$A5844="",FALSE(),중복검사!$H5844="중복")</f>
        <v>0</v>
      </c>
      <c r="K5846" s="5" t="str">
        <f aca="false">IF($J5846=FALSE(),"",COUNTIF($J$6:$J5846,TRUE()))</f>
        <v/>
      </c>
      <c r="L5846" s="5" t="str">
        <f aca="false">IF($K5846="","","R"&amp;$K5846)</f>
        <v/>
      </c>
    </row>
    <row r="5847" customFormat="false" ht="15" hidden="false" customHeight="true" outlineLevel="0" collapsed="false">
      <c r="J5847" s="14" t="b">
        <f aca="false">IF(중복검사!$A5845="",FALSE(),중복검사!$H5845="중복")</f>
        <v>0</v>
      </c>
      <c r="K5847" s="5" t="str">
        <f aca="false">IF($J5847=FALSE(),"",COUNTIF($J$6:$J5847,TRUE()))</f>
        <v/>
      </c>
      <c r="L5847" s="5" t="str">
        <f aca="false">IF($K5847="","","R"&amp;$K5847)</f>
        <v/>
      </c>
    </row>
    <row r="5848" customFormat="false" ht="15" hidden="false" customHeight="true" outlineLevel="0" collapsed="false">
      <c r="J5848" s="14" t="b">
        <f aca="false">IF(중복검사!$A5846="",FALSE(),중복검사!$H5846="중복")</f>
        <v>0</v>
      </c>
      <c r="K5848" s="5" t="str">
        <f aca="false">IF($J5848=FALSE(),"",COUNTIF($J$6:$J5848,TRUE()))</f>
        <v/>
      </c>
      <c r="L5848" s="5" t="str">
        <f aca="false">IF($K5848="","","R"&amp;$K5848)</f>
        <v/>
      </c>
    </row>
    <row r="5849" customFormat="false" ht="15" hidden="false" customHeight="true" outlineLevel="0" collapsed="false">
      <c r="J5849" s="14" t="b">
        <f aca="false">IF(중복검사!$A5847="",FALSE(),중복검사!$H5847="중복")</f>
        <v>0</v>
      </c>
      <c r="K5849" s="5" t="str">
        <f aca="false">IF($J5849=FALSE(),"",COUNTIF($J$6:$J5849,TRUE()))</f>
        <v/>
      </c>
      <c r="L5849" s="5" t="str">
        <f aca="false">IF($K5849="","","R"&amp;$K5849)</f>
        <v/>
      </c>
    </row>
    <row r="5850" customFormat="false" ht="15" hidden="false" customHeight="true" outlineLevel="0" collapsed="false">
      <c r="J5850" s="14" t="b">
        <f aca="false">IF(중복검사!$A5848="",FALSE(),중복검사!$H5848="중복")</f>
        <v>0</v>
      </c>
      <c r="K5850" s="5" t="str">
        <f aca="false">IF($J5850=FALSE(),"",COUNTIF($J$6:$J5850,TRUE()))</f>
        <v/>
      </c>
      <c r="L5850" s="5" t="str">
        <f aca="false">IF($K5850="","","R"&amp;$K5850)</f>
        <v/>
      </c>
    </row>
    <row r="5851" customFormat="false" ht="15" hidden="false" customHeight="true" outlineLevel="0" collapsed="false">
      <c r="J5851" s="14" t="b">
        <f aca="false">IF(중복검사!$A5849="",FALSE(),중복검사!$H5849="중복")</f>
        <v>0</v>
      </c>
      <c r="K5851" s="5" t="str">
        <f aca="false">IF($J5851=FALSE(),"",COUNTIF($J$6:$J5851,TRUE()))</f>
        <v/>
      </c>
      <c r="L5851" s="5" t="str">
        <f aca="false">IF($K5851="","","R"&amp;$K5851)</f>
        <v/>
      </c>
    </row>
    <row r="5852" customFormat="false" ht="15" hidden="false" customHeight="true" outlineLevel="0" collapsed="false">
      <c r="J5852" s="14" t="b">
        <f aca="false">IF(중복검사!$A5850="",FALSE(),중복검사!$H5850="중복")</f>
        <v>0</v>
      </c>
      <c r="K5852" s="5" t="str">
        <f aca="false">IF($J5852=FALSE(),"",COUNTIF($J$6:$J5852,TRUE()))</f>
        <v/>
      </c>
      <c r="L5852" s="5" t="str">
        <f aca="false">IF($K5852="","","R"&amp;$K5852)</f>
        <v/>
      </c>
    </row>
    <row r="5853" customFormat="false" ht="15" hidden="false" customHeight="true" outlineLevel="0" collapsed="false">
      <c r="J5853" s="14" t="b">
        <f aca="false">IF(중복검사!$A5851="",FALSE(),중복검사!$H5851="중복")</f>
        <v>0</v>
      </c>
      <c r="K5853" s="5" t="str">
        <f aca="false">IF($J5853=FALSE(),"",COUNTIF($J$6:$J5853,TRUE()))</f>
        <v/>
      </c>
      <c r="L5853" s="5" t="str">
        <f aca="false">IF($K5853="","","R"&amp;$K5853)</f>
        <v/>
      </c>
    </row>
    <row r="5854" customFormat="false" ht="15" hidden="false" customHeight="true" outlineLevel="0" collapsed="false">
      <c r="J5854" s="14" t="b">
        <f aca="false">IF(중복검사!$A5852="",FALSE(),중복검사!$H5852="중복")</f>
        <v>0</v>
      </c>
      <c r="K5854" s="5" t="str">
        <f aca="false">IF($J5854=FALSE(),"",COUNTIF($J$6:$J5854,TRUE()))</f>
        <v/>
      </c>
      <c r="L5854" s="5" t="str">
        <f aca="false">IF($K5854="","","R"&amp;$K5854)</f>
        <v/>
      </c>
    </row>
    <row r="5855" customFormat="false" ht="15" hidden="false" customHeight="true" outlineLevel="0" collapsed="false">
      <c r="J5855" s="14" t="b">
        <f aca="false">IF(중복검사!$A5853="",FALSE(),중복검사!$H5853="중복")</f>
        <v>0</v>
      </c>
      <c r="K5855" s="5" t="str">
        <f aca="false">IF($J5855=FALSE(),"",COUNTIF($J$6:$J5855,TRUE()))</f>
        <v/>
      </c>
      <c r="L5855" s="5" t="str">
        <f aca="false">IF($K5855="","","R"&amp;$K5855)</f>
        <v/>
      </c>
    </row>
    <row r="5856" customFormat="false" ht="15" hidden="false" customHeight="true" outlineLevel="0" collapsed="false">
      <c r="J5856" s="14" t="b">
        <f aca="false">IF(중복검사!$A5854="",FALSE(),중복검사!$H5854="중복")</f>
        <v>0</v>
      </c>
      <c r="K5856" s="5" t="str">
        <f aca="false">IF($J5856=FALSE(),"",COUNTIF($J$6:$J5856,TRUE()))</f>
        <v/>
      </c>
      <c r="L5856" s="5" t="str">
        <f aca="false">IF($K5856="","","R"&amp;$K5856)</f>
        <v/>
      </c>
    </row>
    <row r="5857" customFormat="false" ht="15" hidden="false" customHeight="true" outlineLevel="0" collapsed="false">
      <c r="J5857" s="14" t="b">
        <f aca="false">IF(중복검사!$A5855="",FALSE(),중복검사!$H5855="중복")</f>
        <v>0</v>
      </c>
      <c r="K5857" s="5" t="str">
        <f aca="false">IF($J5857=FALSE(),"",COUNTIF($J$6:$J5857,TRUE()))</f>
        <v/>
      </c>
      <c r="L5857" s="5" t="str">
        <f aca="false">IF($K5857="","","R"&amp;$K5857)</f>
        <v/>
      </c>
    </row>
    <row r="5858" customFormat="false" ht="15" hidden="false" customHeight="true" outlineLevel="0" collapsed="false">
      <c r="J5858" s="14" t="b">
        <f aca="false">IF(중복검사!$A5856="",FALSE(),중복검사!$H5856="중복")</f>
        <v>0</v>
      </c>
      <c r="K5858" s="5" t="str">
        <f aca="false">IF($J5858=FALSE(),"",COUNTIF($J$6:$J5858,TRUE()))</f>
        <v/>
      </c>
      <c r="L5858" s="5" t="str">
        <f aca="false">IF($K5858="","","R"&amp;$K5858)</f>
        <v/>
      </c>
    </row>
    <row r="5859" customFormat="false" ht="15" hidden="false" customHeight="true" outlineLevel="0" collapsed="false">
      <c r="J5859" s="14" t="b">
        <f aca="false">IF(중복검사!$A5857="",FALSE(),중복검사!$H5857="중복")</f>
        <v>0</v>
      </c>
      <c r="K5859" s="5" t="str">
        <f aca="false">IF($J5859=FALSE(),"",COUNTIF($J$6:$J5859,TRUE()))</f>
        <v/>
      </c>
      <c r="L5859" s="5" t="str">
        <f aca="false">IF($K5859="","","R"&amp;$K5859)</f>
        <v/>
      </c>
    </row>
    <row r="5860" customFormat="false" ht="15" hidden="false" customHeight="true" outlineLevel="0" collapsed="false">
      <c r="J5860" s="14" t="b">
        <f aca="false">IF(중복검사!$A5858="",FALSE(),중복검사!$H5858="중복")</f>
        <v>0</v>
      </c>
      <c r="K5860" s="5" t="str">
        <f aca="false">IF($J5860=FALSE(),"",COUNTIF($J$6:$J5860,TRUE()))</f>
        <v/>
      </c>
      <c r="L5860" s="5" t="str">
        <f aca="false">IF($K5860="","","R"&amp;$K5860)</f>
        <v/>
      </c>
    </row>
    <row r="5861" customFormat="false" ht="15" hidden="false" customHeight="true" outlineLevel="0" collapsed="false">
      <c r="J5861" s="14" t="b">
        <f aca="false">IF(중복검사!$A5859="",FALSE(),중복검사!$H5859="중복")</f>
        <v>0</v>
      </c>
      <c r="K5861" s="5" t="str">
        <f aca="false">IF($J5861=FALSE(),"",COUNTIF($J$6:$J5861,TRUE()))</f>
        <v/>
      </c>
      <c r="L5861" s="5" t="str">
        <f aca="false">IF($K5861="","","R"&amp;$K5861)</f>
        <v/>
      </c>
    </row>
    <row r="5862" customFormat="false" ht="15" hidden="false" customHeight="true" outlineLevel="0" collapsed="false">
      <c r="J5862" s="14" t="b">
        <f aca="false">IF(중복검사!$A5860="",FALSE(),중복검사!$H5860="중복")</f>
        <v>0</v>
      </c>
      <c r="K5862" s="5" t="str">
        <f aca="false">IF($J5862=FALSE(),"",COUNTIF($J$6:$J5862,TRUE()))</f>
        <v/>
      </c>
      <c r="L5862" s="5" t="str">
        <f aca="false">IF($K5862="","","R"&amp;$K5862)</f>
        <v/>
      </c>
    </row>
    <row r="5863" customFormat="false" ht="15" hidden="false" customHeight="true" outlineLevel="0" collapsed="false">
      <c r="J5863" s="14" t="b">
        <f aca="false">IF(중복검사!$A5861="",FALSE(),중복검사!$H5861="중복")</f>
        <v>0</v>
      </c>
      <c r="K5863" s="5" t="str">
        <f aca="false">IF($J5863=FALSE(),"",COUNTIF($J$6:$J5863,TRUE()))</f>
        <v/>
      </c>
      <c r="L5863" s="5" t="str">
        <f aca="false">IF($K5863="","","R"&amp;$K5863)</f>
        <v/>
      </c>
    </row>
    <row r="5864" customFormat="false" ht="15" hidden="false" customHeight="true" outlineLevel="0" collapsed="false">
      <c r="J5864" s="14" t="b">
        <f aca="false">IF(중복검사!$A5862="",FALSE(),중복검사!$H5862="중복")</f>
        <v>0</v>
      </c>
      <c r="K5864" s="5" t="str">
        <f aca="false">IF($J5864=FALSE(),"",COUNTIF($J$6:$J5864,TRUE()))</f>
        <v/>
      </c>
      <c r="L5864" s="5" t="str">
        <f aca="false">IF($K5864="","","R"&amp;$K5864)</f>
        <v/>
      </c>
    </row>
    <row r="5865" customFormat="false" ht="15" hidden="false" customHeight="true" outlineLevel="0" collapsed="false">
      <c r="J5865" s="14" t="b">
        <f aca="false">IF(중복검사!$A5863="",FALSE(),중복검사!$H5863="중복")</f>
        <v>0</v>
      </c>
      <c r="K5865" s="5" t="str">
        <f aca="false">IF($J5865=FALSE(),"",COUNTIF($J$6:$J5865,TRUE()))</f>
        <v/>
      </c>
      <c r="L5865" s="5" t="str">
        <f aca="false">IF($K5865="","","R"&amp;$K5865)</f>
        <v/>
      </c>
    </row>
    <row r="5866" customFormat="false" ht="15" hidden="false" customHeight="true" outlineLevel="0" collapsed="false">
      <c r="J5866" s="14" t="b">
        <f aca="false">IF(중복검사!$A5864="",FALSE(),중복검사!$H5864="중복")</f>
        <v>0</v>
      </c>
      <c r="K5866" s="5" t="str">
        <f aca="false">IF($J5866=FALSE(),"",COUNTIF($J$6:$J5866,TRUE()))</f>
        <v/>
      </c>
      <c r="L5866" s="5" t="str">
        <f aca="false">IF($K5866="","","R"&amp;$K5866)</f>
        <v/>
      </c>
    </row>
    <row r="5867" customFormat="false" ht="15" hidden="false" customHeight="true" outlineLevel="0" collapsed="false">
      <c r="J5867" s="14" t="b">
        <f aca="false">IF(중복검사!$A5865="",FALSE(),중복검사!$H5865="중복")</f>
        <v>0</v>
      </c>
      <c r="K5867" s="5" t="str">
        <f aca="false">IF($J5867=FALSE(),"",COUNTIF($J$6:$J5867,TRUE()))</f>
        <v/>
      </c>
      <c r="L5867" s="5" t="str">
        <f aca="false">IF($K5867="","","R"&amp;$K5867)</f>
        <v/>
      </c>
    </row>
    <row r="5868" customFormat="false" ht="15" hidden="false" customHeight="true" outlineLevel="0" collapsed="false">
      <c r="J5868" s="14" t="b">
        <f aca="false">IF(중복검사!$A5866="",FALSE(),중복검사!$H5866="중복")</f>
        <v>0</v>
      </c>
      <c r="K5868" s="5" t="str">
        <f aca="false">IF($J5868=FALSE(),"",COUNTIF($J$6:$J5868,TRUE()))</f>
        <v/>
      </c>
      <c r="L5868" s="5" t="str">
        <f aca="false">IF($K5868="","","R"&amp;$K5868)</f>
        <v/>
      </c>
    </row>
    <row r="5869" customFormat="false" ht="15" hidden="false" customHeight="true" outlineLevel="0" collapsed="false">
      <c r="J5869" s="14" t="b">
        <f aca="false">IF(중복검사!$A5867="",FALSE(),중복검사!$H5867="중복")</f>
        <v>0</v>
      </c>
      <c r="K5869" s="5" t="str">
        <f aca="false">IF($J5869=FALSE(),"",COUNTIF($J$6:$J5869,TRUE()))</f>
        <v/>
      </c>
      <c r="L5869" s="5" t="str">
        <f aca="false">IF($K5869="","","R"&amp;$K5869)</f>
        <v/>
      </c>
    </row>
    <row r="5870" customFormat="false" ht="15" hidden="false" customHeight="true" outlineLevel="0" collapsed="false">
      <c r="J5870" s="14" t="b">
        <f aca="false">IF(중복검사!$A5868="",FALSE(),중복검사!$H5868="중복")</f>
        <v>0</v>
      </c>
      <c r="K5870" s="5" t="str">
        <f aca="false">IF($J5870=FALSE(),"",COUNTIF($J$6:$J5870,TRUE()))</f>
        <v/>
      </c>
      <c r="L5870" s="5" t="str">
        <f aca="false">IF($K5870="","","R"&amp;$K5870)</f>
        <v/>
      </c>
    </row>
    <row r="5871" customFormat="false" ht="15" hidden="false" customHeight="true" outlineLevel="0" collapsed="false">
      <c r="J5871" s="14" t="b">
        <f aca="false">IF(중복검사!$A5869="",FALSE(),중복검사!$H5869="중복")</f>
        <v>0</v>
      </c>
      <c r="K5871" s="5" t="str">
        <f aca="false">IF($J5871=FALSE(),"",COUNTIF($J$6:$J5871,TRUE()))</f>
        <v/>
      </c>
      <c r="L5871" s="5" t="str">
        <f aca="false">IF($K5871="","","R"&amp;$K5871)</f>
        <v/>
      </c>
    </row>
    <row r="5872" customFormat="false" ht="15" hidden="false" customHeight="true" outlineLevel="0" collapsed="false">
      <c r="J5872" s="14" t="b">
        <f aca="false">IF(중복검사!$A5870="",FALSE(),중복검사!$H5870="중복")</f>
        <v>0</v>
      </c>
      <c r="K5872" s="5" t="str">
        <f aca="false">IF($J5872=FALSE(),"",COUNTIF($J$6:$J5872,TRUE()))</f>
        <v/>
      </c>
      <c r="L5872" s="5" t="str">
        <f aca="false">IF($K5872="","","R"&amp;$K5872)</f>
        <v/>
      </c>
    </row>
    <row r="5873" customFormat="false" ht="15" hidden="false" customHeight="true" outlineLevel="0" collapsed="false">
      <c r="J5873" s="14" t="b">
        <f aca="false">IF(중복검사!$A5871="",FALSE(),중복검사!$H5871="중복")</f>
        <v>0</v>
      </c>
      <c r="K5873" s="5" t="str">
        <f aca="false">IF($J5873=FALSE(),"",COUNTIF($J$6:$J5873,TRUE()))</f>
        <v/>
      </c>
      <c r="L5873" s="5" t="str">
        <f aca="false">IF($K5873="","","R"&amp;$K5873)</f>
        <v/>
      </c>
    </row>
    <row r="5874" customFormat="false" ht="15" hidden="false" customHeight="true" outlineLevel="0" collapsed="false">
      <c r="J5874" s="14" t="b">
        <f aca="false">IF(중복검사!$A5872="",FALSE(),중복검사!$H5872="중복")</f>
        <v>0</v>
      </c>
      <c r="K5874" s="5" t="str">
        <f aca="false">IF($J5874=FALSE(),"",COUNTIF($J$6:$J5874,TRUE()))</f>
        <v/>
      </c>
      <c r="L5874" s="5" t="str">
        <f aca="false">IF($K5874="","","R"&amp;$K5874)</f>
        <v/>
      </c>
    </row>
    <row r="5875" customFormat="false" ht="15" hidden="false" customHeight="true" outlineLevel="0" collapsed="false">
      <c r="J5875" s="14" t="b">
        <f aca="false">IF(중복검사!$A5873="",FALSE(),중복검사!$H5873="중복")</f>
        <v>0</v>
      </c>
      <c r="K5875" s="5" t="str">
        <f aca="false">IF($J5875=FALSE(),"",COUNTIF($J$6:$J5875,TRUE()))</f>
        <v/>
      </c>
      <c r="L5875" s="5" t="str">
        <f aca="false">IF($K5875="","","R"&amp;$K5875)</f>
        <v/>
      </c>
    </row>
    <row r="5876" customFormat="false" ht="15" hidden="false" customHeight="true" outlineLevel="0" collapsed="false">
      <c r="J5876" s="14" t="b">
        <f aca="false">IF(중복검사!$A5874="",FALSE(),중복검사!$H5874="중복")</f>
        <v>0</v>
      </c>
      <c r="K5876" s="5" t="str">
        <f aca="false">IF($J5876=FALSE(),"",COUNTIF($J$6:$J5876,TRUE()))</f>
        <v/>
      </c>
      <c r="L5876" s="5" t="str">
        <f aca="false">IF($K5876="","","R"&amp;$K5876)</f>
        <v/>
      </c>
    </row>
    <row r="5877" customFormat="false" ht="15" hidden="false" customHeight="true" outlineLevel="0" collapsed="false">
      <c r="J5877" s="14" t="b">
        <f aca="false">IF(중복검사!$A5875="",FALSE(),중복검사!$H5875="중복")</f>
        <v>0</v>
      </c>
      <c r="K5877" s="5" t="str">
        <f aca="false">IF($J5877=FALSE(),"",COUNTIF($J$6:$J5877,TRUE()))</f>
        <v/>
      </c>
      <c r="L5877" s="5" t="str">
        <f aca="false">IF($K5877="","","R"&amp;$K5877)</f>
        <v/>
      </c>
    </row>
    <row r="5878" customFormat="false" ht="15" hidden="false" customHeight="true" outlineLevel="0" collapsed="false">
      <c r="J5878" s="14" t="b">
        <f aca="false">IF(중복검사!$A5876="",FALSE(),중복검사!$H5876="중복")</f>
        <v>0</v>
      </c>
      <c r="K5878" s="5" t="str">
        <f aca="false">IF($J5878=FALSE(),"",COUNTIF($J$6:$J5878,TRUE()))</f>
        <v/>
      </c>
      <c r="L5878" s="5" t="str">
        <f aca="false">IF($K5878="","","R"&amp;$K5878)</f>
        <v/>
      </c>
    </row>
    <row r="5879" customFormat="false" ht="15" hidden="false" customHeight="true" outlineLevel="0" collapsed="false">
      <c r="J5879" s="14" t="b">
        <f aca="false">IF(중복검사!$A5877="",FALSE(),중복검사!$H5877="중복")</f>
        <v>0</v>
      </c>
      <c r="K5879" s="5" t="str">
        <f aca="false">IF($J5879=FALSE(),"",COUNTIF($J$6:$J5879,TRUE()))</f>
        <v/>
      </c>
      <c r="L5879" s="5" t="str">
        <f aca="false">IF($K5879="","","R"&amp;$K5879)</f>
        <v/>
      </c>
    </row>
    <row r="5880" customFormat="false" ht="15" hidden="false" customHeight="true" outlineLevel="0" collapsed="false">
      <c r="J5880" s="14" t="b">
        <f aca="false">IF(중복검사!$A5878="",FALSE(),중복검사!$H5878="중복")</f>
        <v>0</v>
      </c>
      <c r="K5880" s="5" t="str">
        <f aca="false">IF($J5880=FALSE(),"",COUNTIF($J$6:$J5880,TRUE()))</f>
        <v/>
      </c>
      <c r="L5880" s="5" t="str">
        <f aca="false">IF($K5880="","","R"&amp;$K5880)</f>
        <v/>
      </c>
    </row>
    <row r="5881" customFormat="false" ht="15" hidden="false" customHeight="true" outlineLevel="0" collapsed="false">
      <c r="J5881" s="14" t="b">
        <f aca="false">IF(중복검사!$A5879="",FALSE(),중복검사!$H5879="중복")</f>
        <v>0</v>
      </c>
      <c r="K5881" s="5" t="str">
        <f aca="false">IF($J5881=FALSE(),"",COUNTIF($J$6:$J5881,TRUE()))</f>
        <v/>
      </c>
      <c r="L5881" s="5" t="str">
        <f aca="false">IF($K5881="","","R"&amp;$K5881)</f>
        <v/>
      </c>
    </row>
    <row r="5882" customFormat="false" ht="15" hidden="false" customHeight="true" outlineLevel="0" collapsed="false">
      <c r="J5882" s="14" t="b">
        <f aca="false">IF(중복검사!$A5880="",FALSE(),중복검사!$H5880="중복")</f>
        <v>0</v>
      </c>
      <c r="K5882" s="5" t="str">
        <f aca="false">IF($J5882=FALSE(),"",COUNTIF($J$6:$J5882,TRUE()))</f>
        <v/>
      </c>
      <c r="L5882" s="5" t="str">
        <f aca="false">IF($K5882="","","R"&amp;$K5882)</f>
        <v/>
      </c>
    </row>
    <row r="5883" customFormat="false" ht="15" hidden="false" customHeight="true" outlineLevel="0" collapsed="false">
      <c r="J5883" s="14" t="b">
        <f aca="false">IF(중복검사!$A5881="",FALSE(),중복검사!$H5881="중복")</f>
        <v>0</v>
      </c>
      <c r="K5883" s="5" t="str">
        <f aca="false">IF($J5883=FALSE(),"",COUNTIF($J$6:$J5883,TRUE()))</f>
        <v/>
      </c>
      <c r="L5883" s="5" t="str">
        <f aca="false">IF($K5883="","","R"&amp;$K5883)</f>
        <v/>
      </c>
    </row>
    <row r="5884" customFormat="false" ht="15" hidden="false" customHeight="true" outlineLevel="0" collapsed="false">
      <c r="J5884" s="14" t="b">
        <f aca="false">IF(중복검사!$A5882="",FALSE(),중복검사!$H5882="중복")</f>
        <v>0</v>
      </c>
      <c r="K5884" s="5" t="str">
        <f aca="false">IF($J5884=FALSE(),"",COUNTIF($J$6:$J5884,TRUE()))</f>
        <v/>
      </c>
      <c r="L5884" s="5" t="str">
        <f aca="false">IF($K5884="","","R"&amp;$K5884)</f>
        <v/>
      </c>
    </row>
    <row r="5885" customFormat="false" ht="15" hidden="false" customHeight="true" outlineLevel="0" collapsed="false">
      <c r="J5885" s="14" t="b">
        <f aca="false">IF(중복검사!$A5883="",FALSE(),중복검사!$H5883="중복")</f>
        <v>0</v>
      </c>
      <c r="K5885" s="5" t="str">
        <f aca="false">IF($J5885=FALSE(),"",COUNTIF($J$6:$J5885,TRUE()))</f>
        <v/>
      </c>
      <c r="L5885" s="5" t="str">
        <f aca="false">IF($K5885="","","R"&amp;$K5885)</f>
        <v/>
      </c>
    </row>
    <row r="5886" customFormat="false" ht="15" hidden="false" customHeight="true" outlineLevel="0" collapsed="false">
      <c r="J5886" s="14" t="b">
        <f aca="false">IF(중복검사!$A5884="",FALSE(),중복검사!$H5884="중복")</f>
        <v>0</v>
      </c>
      <c r="K5886" s="5" t="str">
        <f aca="false">IF($J5886=FALSE(),"",COUNTIF($J$6:$J5886,TRUE()))</f>
        <v/>
      </c>
      <c r="L5886" s="5" t="str">
        <f aca="false">IF($K5886="","","R"&amp;$K5886)</f>
        <v/>
      </c>
    </row>
    <row r="5887" customFormat="false" ht="15" hidden="false" customHeight="true" outlineLevel="0" collapsed="false">
      <c r="J5887" s="14" t="b">
        <f aca="false">IF(중복검사!$A5885="",FALSE(),중복검사!$H5885="중복")</f>
        <v>0</v>
      </c>
      <c r="K5887" s="5" t="str">
        <f aca="false">IF($J5887=FALSE(),"",COUNTIF($J$6:$J5887,TRUE()))</f>
        <v/>
      </c>
      <c r="L5887" s="5" t="str">
        <f aca="false">IF($K5887="","","R"&amp;$K5887)</f>
        <v/>
      </c>
    </row>
    <row r="5888" customFormat="false" ht="15" hidden="false" customHeight="true" outlineLevel="0" collapsed="false">
      <c r="J5888" s="14" t="b">
        <f aca="false">IF(중복검사!$A5886="",FALSE(),중복검사!$H5886="중복")</f>
        <v>0</v>
      </c>
      <c r="K5888" s="5" t="str">
        <f aca="false">IF($J5888=FALSE(),"",COUNTIF($J$6:$J5888,TRUE()))</f>
        <v/>
      </c>
      <c r="L5888" s="5" t="str">
        <f aca="false">IF($K5888="","","R"&amp;$K5888)</f>
        <v/>
      </c>
    </row>
    <row r="5889" customFormat="false" ht="15" hidden="false" customHeight="true" outlineLevel="0" collapsed="false">
      <c r="J5889" s="14" t="b">
        <f aca="false">IF(중복검사!$A5887="",FALSE(),중복검사!$H5887="중복")</f>
        <v>0</v>
      </c>
      <c r="K5889" s="5" t="str">
        <f aca="false">IF($J5889=FALSE(),"",COUNTIF($J$6:$J5889,TRUE()))</f>
        <v/>
      </c>
      <c r="L5889" s="5" t="str">
        <f aca="false">IF($K5889="","","R"&amp;$K5889)</f>
        <v/>
      </c>
    </row>
    <row r="5890" customFormat="false" ht="15" hidden="false" customHeight="true" outlineLevel="0" collapsed="false">
      <c r="J5890" s="14" t="b">
        <f aca="false">IF(중복검사!$A5888="",FALSE(),중복검사!$H5888="중복")</f>
        <v>0</v>
      </c>
      <c r="K5890" s="5" t="str">
        <f aca="false">IF($J5890=FALSE(),"",COUNTIF($J$6:$J5890,TRUE()))</f>
        <v/>
      </c>
      <c r="L5890" s="5" t="str">
        <f aca="false">IF($K5890="","","R"&amp;$K5890)</f>
        <v/>
      </c>
    </row>
    <row r="5891" customFormat="false" ht="15" hidden="false" customHeight="true" outlineLevel="0" collapsed="false">
      <c r="J5891" s="14" t="b">
        <f aca="false">IF(중복검사!$A5889="",FALSE(),중복검사!$H5889="중복")</f>
        <v>0</v>
      </c>
      <c r="K5891" s="5" t="str">
        <f aca="false">IF($J5891=FALSE(),"",COUNTIF($J$6:$J5891,TRUE()))</f>
        <v/>
      </c>
      <c r="L5891" s="5" t="str">
        <f aca="false">IF($K5891="","","R"&amp;$K5891)</f>
        <v/>
      </c>
    </row>
    <row r="5892" customFormat="false" ht="15" hidden="false" customHeight="true" outlineLevel="0" collapsed="false">
      <c r="J5892" s="14" t="b">
        <f aca="false">IF(중복검사!$A5890="",FALSE(),중복검사!$H5890="중복")</f>
        <v>0</v>
      </c>
      <c r="K5892" s="5" t="str">
        <f aca="false">IF($J5892=FALSE(),"",COUNTIF($J$6:$J5892,TRUE()))</f>
        <v/>
      </c>
      <c r="L5892" s="5" t="str">
        <f aca="false">IF($K5892="","","R"&amp;$K5892)</f>
        <v/>
      </c>
    </row>
    <row r="5893" customFormat="false" ht="15" hidden="false" customHeight="true" outlineLevel="0" collapsed="false">
      <c r="J5893" s="14" t="b">
        <f aca="false">IF(중복검사!$A5891="",FALSE(),중복검사!$H5891="중복")</f>
        <v>0</v>
      </c>
      <c r="K5893" s="5" t="str">
        <f aca="false">IF($J5893=FALSE(),"",COUNTIF($J$6:$J5893,TRUE()))</f>
        <v/>
      </c>
      <c r="L5893" s="5" t="str">
        <f aca="false">IF($K5893="","","R"&amp;$K5893)</f>
        <v/>
      </c>
    </row>
    <row r="5894" customFormat="false" ht="15" hidden="false" customHeight="true" outlineLevel="0" collapsed="false">
      <c r="J5894" s="14" t="b">
        <f aca="false">IF(중복검사!$A5892="",FALSE(),중복검사!$H5892="중복")</f>
        <v>0</v>
      </c>
      <c r="K5894" s="5" t="str">
        <f aca="false">IF($J5894=FALSE(),"",COUNTIF($J$6:$J5894,TRUE()))</f>
        <v/>
      </c>
      <c r="L5894" s="5" t="str">
        <f aca="false">IF($K5894="","","R"&amp;$K5894)</f>
        <v/>
      </c>
    </row>
    <row r="5895" customFormat="false" ht="15" hidden="false" customHeight="true" outlineLevel="0" collapsed="false">
      <c r="J5895" s="14" t="b">
        <f aca="false">IF(중복검사!$A5893="",FALSE(),중복검사!$H5893="중복")</f>
        <v>0</v>
      </c>
      <c r="K5895" s="5" t="str">
        <f aca="false">IF($J5895=FALSE(),"",COUNTIF($J$6:$J5895,TRUE()))</f>
        <v/>
      </c>
      <c r="L5895" s="5" t="str">
        <f aca="false">IF($K5895="","","R"&amp;$K5895)</f>
        <v/>
      </c>
    </row>
    <row r="5896" customFormat="false" ht="15" hidden="false" customHeight="true" outlineLevel="0" collapsed="false">
      <c r="J5896" s="14" t="b">
        <f aca="false">IF(중복검사!$A5894="",FALSE(),중복검사!$H5894="중복")</f>
        <v>0</v>
      </c>
      <c r="K5896" s="5" t="str">
        <f aca="false">IF($J5896=FALSE(),"",COUNTIF($J$6:$J5896,TRUE()))</f>
        <v/>
      </c>
      <c r="L5896" s="5" t="str">
        <f aca="false">IF($K5896="","","R"&amp;$K5896)</f>
        <v/>
      </c>
    </row>
    <row r="5897" customFormat="false" ht="15" hidden="false" customHeight="true" outlineLevel="0" collapsed="false">
      <c r="J5897" s="14" t="b">
        <f aca="false">IF(중복검사!$A5895="",FALSE(),중복검사!$H5895="중복")</f>
        <v>0</v>
      </c>
      <c r="K5897" s="5" t="str">
        <f aca="false">IF($J5897=FALSE(),"",COUNTIF($J$6:$J5897,TRUE()))</f>
        <v/>
      </c>
      <c r="L5897" s="5" t="str">
        <f aca="false">IF($K5897="","","R"&amp;$K5897)</f>
        <v/>
      </c>
    </row>
    <row r="5898" customFormat="false" ht="15" hidden="false" customHeight="true" outlineLevel="0" collapsed="false">
      <c r="J5898" s="14" t="b">
        <f aca="false">IF(중복검사!$A5896="",FALSE(),중복검사!$H5896="중복")</f>
        <v>0</v>
      </c>
      <c r="K5898" s="5" t="str">
        <f aca="false">IF($J5898=FALSE(),"",COUNTIF($J$6:$J5898,TRUE()))</f>
        <v/>
      </c>
      <c r="L5898" s="5" t="str">
        <f aca="false">IF($K5898="","","R"&amp;$K5898)</f>
        <v/>
      </c>
    </row>
    <row r="5899" customFormat="false" ht="15" hidden="false" customHeight="true" outlineLevel="0" collapsed="false">
      <c r="J5899" s="14" t="b">
        <f aca="false">IF(중복검사!$A5897="",FALSE(),중복검사!$H5897="중복")</f>
        <v>0</v>
      </c>
      <c r="K5899" s="5" t="str">
        <f aca="false">IF($J5899=FALSE(),"",COUNTIF($J$6:$J5899,TRUE()))</f>
        <v/>
      </c>
      <c r="L5899" s="5" t="str">
        <f aca="false">IF($K5899="","","R"&amp;$K5899)</f>
        <v/>
      </c>
    </row>
    <row r="5900" customFormat="false" ht="15" hidden="false" customHeight="true" outlineLevel="0" collapsed="false">
      <c r="J5900" s="14" t="b">
        <f aca="false">IF(중복검사!$A5898="",FALSE(),중복검사!$H5898="중복")</f>
        <v>0</v>
      </c>
      <c r="K5900" s="5" t="str">
        <f aca="false">IF($J5900=FALSE(),"",COUNTIF($J$6:$J5900,TRUE()))</f>
        <v/>
      </c>
      <c r="L5900" s="5" t="str">
        <f aca="false">IF($K5900="","","R"&amp;$K5900)</f>
        <v/>
      </c>
    </row>
    <row r="5901" customFormat="false" ht="15" hidden="false" customHeight="true" outlineLevel="0" collapsed="false">
      <c r="J5901" s="14" t="b">
        <f aca="false">IF(중복검사!$A5899="",FALSE(),중복검사!$H5899="중복")</f>
        <v>0</v>
      </c>
      <c r="K5901" s="5" t="str">
        <f aca="false">IF($J5901=FALSE(),"",COUNTIF($J$6:$J5901,TRUE()))</f>
        <v/>
      </c>
      <c r="L5901" s="5" t="str">
        <f aca="false">IF($K5901="","","R"&amp;$K5901)</f>
        <v/>
      </c>
    </row>
    <row r="5902" customFormat="false" ht="15" hidden="false" customHeight="true" outlineLevel="0" collapsed="false">
      <c r="J5902" s="14" t="b">
        <f aca="false">IF(중복검사!$A5900="",FALSE(),중복검사!$H5900="중복")</f>
        <v>0</v>
      </c>
      <c r="K5902" s="5" t="str">
        <f aca="false">IF($J5902=FALSE(),"",COUNTIF($J$6:$J5902,TRUE()))</f>
        <v/>
      </c>
      <c r="L5902" s="5" t="str">
        <f aca="false">IF($K5902="","","R"&amp;$K5902)</f>
        <v/>
      </c>
    </row>
    <row r="5903" customFormat="false" ht="15" hidden="false" customHeight="true" outlineLevel="0" collapsed="false">
      <c r="J5903" s="14" t="b">
        <f aca="false">IF(중복검사!$A5901="",FALSE(),중복검사!$H5901="중복")</f>
        <v>0</v>
      </c>
      <c r="K5903" s="5" t="str">
        <f aca="false">IF($J5903=FALSE(),"",COUNTIF($J$6:$J5903,TRUE()))</f>
        <v/>
      </c>
      <c r="L5903" s="5" t="str">
        <f aca="false">IF($K5903="","","R"&amp;$K5903)</f>
        <v/>
      </c>
    </row>
    <row r="5904" customFormat="false" ht="15" hidden="false" customHeight="true" outlineLevel="0" collapsed="false">
      <c r="J5904" s="14" t="b">
        <f aca="false">IF(중복검사!$A5902="",FALSE(),중복검사!$H5902="중복")</f>
        <v>0</v>
      </c>
      <c r="K5904" s="5" t="str">
        <f aca="false">IF($J5904=FALSE(),"",COUNTIF($J$6:$J5904,TRUE()))</f>
        <v/>
      </c>
      <c r="L5904" s="5" t="str">
        <f aca="false">IF($K5904="","","R"&amp;$K5904)</f>
        <v/>
      </c>
    </row>
    <row r="5905" customFormat="false" ht="15" hidden="false" customHeight="true" outlineLevel="0" collapsed="false">
      <c r="J5905" s="14" t="b">
        <f aca="false">IF(중복검사!$A5903="",FALSE(),중복검사!$H5903="중복")</f>
        <v>0</v>
      </c>
      <c r="K5905" s="5" t="str">
        <f aca="false">IF($J5905=FALSE(),"",COUNTIF($J$6:$J5905,TRUE()))</f>
        <v/>
      </c>
      <c r="L5905" s="5" t="str">
        <f aca="false">IF($K5905="","","R"&amp;$K5905)</f>
        <v/>
      </c>
    </row>
    <row r="5906" customFormat="false" ht="15" hidden="false" customHeight="true" outlineLevel="0" collapsed="false">
      <c r="J5906" s="14" t="b">
        <f aca="false">IF(중복검사!$A5904="",FALSE(),중복검사!$H5904="중복")</f>
        <v>0</v>
      </c>
      <c r="K5906" s="5" t="str">
        <f aca="false">IF($J5906=FALSE(),"",COUNTIF($J$6:$J5906,TRUE()))</f>
        <v/>
      </c>
      <c r="L5906" s="5" t="str">
        <f aca="false">IF($K5906="","","R"&amp;$K5906)</f>
        <v/>
      </c>
    </row>
    <row r="5907" customFormat="false" ht="15" hidden="false" customHeight="true" outlineLevel="0" collapsed="false">
      <c r="J5907" s="14" t="b">
        <f aca="false">IF(중복검사!$A5905="",FALSE(),중복검사!$H5905="중복")</f>
        <v>0</v>
      </c>
      <c r="K5907" s="5" t="str">
        <f aca="false">IF($J5907=FALSE(),"",COUNTIF($J$6:$J5907,TRUE()))</f>
        <v/>
      </c>
      <c r="L5907" s="5" t="str">
        <f aca="false">IF($K5907="","","R"&amp;$K5907)</f>
        <v/>
      </c>
    </row>
    <row r="5908" customFormat="false" ht="15" hidden="false" customHeight="true" outlineLevel="0" collapsed="false">
      <c r="J5908" s="14" t="b">
        <f aca="false">IF(중복검사!$A5906="",FALSE(),중복검사!$H5906="중복")</f>
        <v>0</v>
      </c>
      <c r="K5908" s="5" t="str">
        <f aca="false">IF($J5908=FALSE(),"",COUNTIF($J$6:$J5908,TRUE()))</f>
        <v/>
      </c>
      <c r="L5908" s="5" t="str">
        <f aca="false">IF($K5908="","","R"&amp;$K5908)</f>
        <v/>
      </c>
    </row>
    <row r="5909" customFormat="false" ht="15" hidden="false" customHeight="true" outlineLevel="0" collapsed="false">
      <c r="J5909" s="14" t="b">
        <f aca="false">IF(중복검사!$A5907="",FALSE(),중복검사!$H5907="중복")</f>
        <v>0</v>
      </c>
      <c r="K5909" s="5" t="str">
        <f aca="false">IF($J5909=FALSE(),"",COUNTIF($J$6:$J5909,TRUE()))</f>
        <v/>
      </c>
      <c r="L5909" s="5" t="str">
        <f aca="false">IF($K5909="","","R"&amp;$K5909)</f>
        <v/>
      </c>
    </row>
    <row r="5910" customFormat="false" ht="15" hidden="false" customHeight="true" outlineLevel="0" collapsed="false">
      <c r="J5910" s="14" t="b">
        <f aca="false">IF(중복검사!$A5908="",FALSE(),중복검사!$H5908="중복")</f>
        <v>0</v>
      </c>
      <c r="K5910" s="5" t="str">
        <f aca="false">IF($J5910=FALSE(),"",COUNTIF($J$6:$J5910,TRUE()))</f>
        <v/>
      </c>
      <c r="L5910" s="5" t="str">
        <f aca="false">IF($K5910="","","R"&amp;$K5910)</f>
        <v/>
      </c>
    </row>
    <row r="5911" customFormat="false" ht="15" hidden="false" customHeight="true" outlineLevel="0" collapsed="false">
      <c r="J5911" s="14" t="b">
        <f aca="false">IF(중복검사!$A5909="",FALSE(),중복검사!$H5909="중복")</f>
        <v>0</v>
      </c>
      <c r="K5911" s="5" t="str">
        <f aca="false">IF($J5911=FALSE(),"",COUNTIF($J$6:$J5911,TRUE()))</f>
        <v/>
      </c>
      <c r="L5911" s="5" t="str">
        <f aca="false">IF($K5911="","","R"&amp;$K5911)</f>
        <v/>
      </c>
    </row>
    <row r="5912" customFormat="false" ht="15" hidden="false" customHeight="true" outlineLevel="0" collapsed="false">
      <c r="J5912" s="14" t="b">
        <f aca="false">IF(중복검사!$A5910="",FALSE(),중복검사!$H5910="중복")</f>
        <v>0</v>
      </c>
      <c r="K5912" s="5" t="str">
        <f aca="false">IF($J5912=FALSE(),"",COUNTIF($J$6:$J5912,TRUE()))</f>
        <v/>
      </c>
      <c r="L5912" s="5" t="str">
        <f aca="false">IF($K5912="","","R"&amp;$K5912)</f>
        <v/>
      </c>
    </row>
    <row r="5913" customFormat="false" ht="15" hidden="false" customHeight="true" outlineLevel="0" collapsed="false">
      <c r="J5913" s="14" t="b">
        <f aca="false">IF(중복검사!$A5911="",FALSE(),중복검사!$H5911="중복")</f>
        <v>0</v>
      </c>
      <c r="K5913" s="5" t="str">
        <f aca="false">IF($J5913=FALSE(),"",COUNTIF($J$6:$J5913,TRUE()))</f>
        <v/>
      </c>
      <c r="L5913" s="5" t="str">
        <f aca="false">IF($K5913="","","R"&amp;$K5913)</f>
        <v/>
      </c>
    </row>
    <row r="5914" customFormat="false" ht="15" hidden="false" customHeight="true" outlineLevel="0" collapsed="false">
      <c r="J5914" s="14" t="b">
        <f aca="false">IF(중복검사!$A5912="",FALSE(),중복검사!$H5912="중복")</f>
        <v>0</v>
      </c>
      <c r="K5914" s="5" t="str">
        <f aca="false">IF($J5914=FALSE(),"",COUNTIF($J$6:$J5914,TRUE()))</f>
        <v/>
      </c>
      <c r="L5914" s="5" t="str">
        <f aca="false">IF($K5914="","","R"&amp;$K5914)</f>
        <v/>
      </c>
    </row>
    <row r="5915" customFormat="false" ht="15" hidden="false" customHeight="true" outlineLevel="0" collapsed="false">
      <c r="J5915" s="14" t="b">
        <f aca="false">IF(중복검사!$A5913="",FALSE(),중복검사!$H5913="중복")</f>
        <v>0</v>
      </c>
      <c r="K5915" s="5" t="str">
        <f aca="false">IF($J5915=FALSE(),"",COUNTIF($J$6:$J5915,TRUE()))</f>
        <v/>
      </c>
      <c r="L5915" s="5" t="str">
        <f aca="false">IF($K5915="","","R"&amp;$K5915)</f>
        <v/>
      </c>
    </row>
    <row r="5916" customFormat="false" ht="15" hidden="false" customHeight="true" outlineLevel="0" collapsed="false">
      <c r="J5916" s="14" t="b">
        <f aca="false">IF(중복검사!$A5914="",FALSE(),중복검사!$H5914="중복")</f>
        <v>0</v>
      </c>
      <c r="K5916" s="5" t="str">
        <f aca="false">IF($J5916=FALSE(),"",COUNTIF($J$6:$J5916,TRUE()))</f>
        <v/>
      </c>
      <c r="L5916" s="5" t="str">
        <f aca="false">IF($K5916="","","R"&amp;$K5916)</f>
        <v/>
      </c>
    </row>
    <row r="5917" customFormat="false" ht="15" hidden="false" customHeight="true" outlineLevel="0" collapsed="false">
      <c r="J5917" s="14" t="b">
        <f aca="false">IF(중복검사!$A5915="",FALSE(),중복검사!$H5915="중복")</f>
        <v>0</v>
      </c>
      <c r="K5917" s="5" t="str">
        <f aca="false">IF($J5917=FALSE(),"",COUNTIF($J$6:$J5917,TRUE()))</f>
        <v/>
      </c>
      <c r="L5917" s="5" t="str">
        <f aca="false">IF($K5917="","","R"&amp;$K5917)</f>
        <v/>
      </c>
    </row>
    <row r="5918" customFormat="false" ht="15" hidden="false" customHeight="true" outlineLevel="0" collapsed="false">
      <c r="J5918" s="14" t="b">
        <f aca="false">IF(중복검사!$A5916="",FALSE(),중복검사!$H5916="중복")</f>
        <v>0</v>
      </c>
      <c r="K5918" s="5" t="str">
        <f aca="false">IF($J5918=FALSE(),"",COUNTIF($J$6:$J5918,TRUE()))</f>
        <v/>
      </c>
      <c r="L5918" s="5" t="str">
        <f aca="false">IF($K5918="","","R"&amp;$K5918)</f>
        <v/>
      </c>
    </row>
    <row r="5919" customFormat="false" ht="15" hidden="false" customHeight="true" outlineLevel="0" collapsed="false">
      <c r="J5919" s="14" t="b">
        <f aca="false">IF(중복검사!$A5917="",FALSE(),중복검사!$H5917="중복")</f>
        <v>0</v>
      </c>
      <c r="K5919" s="5" t="str">
        <f aca="false">IF($J5919=FALSE(),"",COUNTIF($J$6:$J5919,TRUE()))</f>
        <v/>
      </c>
      <c r="L5919" s="5" t="str">
        <f aca="false">IF($K5919="","","R"&amp;$K5919)</f>
        <v/>
      </c>
    </row>
    <row r="5920" customFormat="false" ht="15" hidden="false" customHeight="true" outlineLevel="0" collapsed="false">
      <c r="J5920" s="14" t="b">
        <f aca="false">IF(중복검사!$A5918="",FALSE(),중복검사!$H5918="중복")</f>
        <v>0</v>
      </c>
      <c r="K5920" s="5" t="str">
        <f aca="false">IF($J5920=FALSE(),"",COUNTIF($J$6:$J5920,TRUE()))</f>
        <v/>
      </c>
      <c r="L5920" s="5" t="str">
        <f aca="false">IF($K5920="","","R"&amp;$K5920)</f>
        <v/>
      </c>
    </row>
    <row r="5921" customFormat="false" ht="15" hidden="false" customHeight="true" outlineLevel="0" collapsed="false">
      <c r="J5921" s="14" t="b">
        <f aca="false">IF(중복검사!$A5919="",FALSE(),중복검사!$H5919="중복")</f>
        <v>0</v>
      </c>
      <c r="K5921" s="5" t="str">
        <f aca="false">IF($J5921=FALSE(),"",COUNTIF($J$6:$J5921,TRUE()))</f>
        <v/>
      </c>
      <c r="L5921" s="5" t="str">
        <f aca="false">IF($K5921="","","R"&amp;$K5921)</f>
        <v/>
      </c>
    </row>
    <row r="5922" customFormat="false" ht="15" hidden="false" customHeight="true" outlineLevel="0" collapsed="false">
      <c r="J5922" s="14" t="b">
        <f aca="false">IF(중복검사!$A5920="",FALSE(),중복검사!$H5920="중복")</f>
        <v>0</v>
      </c>
      <c r="K5922" s="5" t="str">
        <f aca="false">IF($J5922=FALSE(),"",COUNTIF($J$6:$J5922,TRUE()))</f>
        <v/>
      </c>
      <c r="L5922" s="5" t="str">
        <f aca="false">IF($K5922="","","R"&amp;$K5922)</f>
        <v/>
      </c>
    </row>
    <row r="5923" customFormat="false" ht="15" hidden="false" customHeight="true" outlineLevel="0" collapsed="false">
      <c r="J5923" s="14" t="b">
        <f aca="false">IF(중복검사!$A5921="",FALSE(),중복검사!$H5921="중복")</f>
        <v>0</v>
      </c>
      <c r="K5923" s="5" t="str">
        <f aca="false">IF($J5923=FALSE(),"",COUNTIF($J$6:$J5923,TRUE()))</f>
        <v/>
      </c>
      <c r="L5923" s="5" t="str">
        <f aca="false">IF($K5923="","","R"&amp;$K5923)</f>
        <v/>
      </c>
    </row>
    <row r="5924" customFormat="false" ht="15" hidden="false" customHeight="true" outlineLevel="0" collapsed="false">
      <c r="J5924" s="14" t="b">
        <f aca="false">IF(중복검사!$A5922="",FALSE(),중복검사!$H5922="중복")</f>
        <v>0</v>
      </c>
      <c r="K5924" s="5" t="str">
        <f aca="false">IF($J5924=FALSE(),"",COUNTIF($J$6:$J5924,TRUE()))</f>
        <v/>
      </c>
      <c r="L5924" s="5" t="str">
        <f aca="false">IF($K5924="","","R"&amp;$K5924)</f>
        <v/>
      </c>
    </row>
    <row r="5925" customFormat="false" ht="15" hidden="false" customHeight="true" outlineLevel="0" collapsed="false">
      <c r="J5925" s="14" t="b">
        <f aca="false">IF(중복검사!$A5923="",FALSE(),중복검사!$H5923="중복")</f>
        <v>0</v>
      </c>
      <c r="K5925" s="5" t="str">
        <f aca="false">IF($J5925=FALSE(),"",COUNTIF($J$6:$J5925,TRUE()))</f>
        <v/>
      </c>
      <c r="L5925" s="5" t="str">
        <f aca="false">IF($K5925="","","R"&amp;$K5925)</f>
        <v/>
      </c>
    </row>
    <row r="5926" customFormat="false" ht="15" hidden="false" customHeight="true" outlineLevel="0" collapsed="false">
      <c r="J5926" s="14" t="b">
        <f aca="false">IF(중복검사!$A5924="",FALSE(),중복검사!$H5924="중복")</f>
        <v>0</v>
      </c>
      <c r="K5926" s="5" t="str">
        <f aca="false">IF($J5926=FALSE(),"",COUNTIF($J$6:$J5926,TRUE()))</f>
        <v/>
      </c>
      <c r="L5926" s="5" t="str">
        <f aca="false">IF($K5926="","","R"&amp;$K5926)</f>
        <v/>
      </c>
    </row>
    <row r="5927" customFormat="false" ht="15" hidden="false" customHeight="true" outlineLevel="0" collapsed="false">
      <c r="J5927" s="14" t="b">
        <f aca="false">IF(중복검사!$A5925="",FALSE(),중복검사!$H5925="중복")</f>
        <v>0</v>
      </c>
      <c r="K5927" s="5" t="str">
        <f aca="false">IF($J5927=FALSE(),"",COUNTIF($J$6:$J5927,TRUE()))</f>
        <v/>
      </c>
      <c r="L5927" s="5" t="str">
        <f aca="false">IF($K5927="","","R"&amp;$K5927)</f>
        <v/>
      </c>
    </row>
    <row r="5928" customFormat="false" ht="15" hidden="false" customHeight="true" outlineLevel="0" collapsed="false">
      <c r="J5928" s="14" t="b">
        <f aca="false">IF(중복검사!$A5926="",FALSE(),중복검사!$H5926="중복")</f>
        <v>0</v>
      </c>
      <c r="K5928" s="5" t="str">
        <f aca="false">IF($J5928=FALSE(),"",COUNTIF($J$6:$J5928,TRUE()))</f>
        <v/>
      </c>
      <c r="L5928" s="5" t="str">
        <f aca="false">IF($K5928="","","R"&amp;$K5928)</f>
        <v/>
      </c>
    </row>
    <row r="5929" customFormat="false" ht="15" hidden="false" customHeight="true" outlineLevel="0" collapsed="false">
      <c r="J5929" s="14" t="b">
        <f aca="false">IF(중복검사!$A5927="",FALSE(),중복검사!$H5927="중복")</f>
        <v>0</v>
      </c>
      <c r="K5929" s="5" t="str">
        <f aca="false">IF($J5929=FALSE(),"",COUNTIF($J$6:$J5929,TRUE()))</f>
        <v/>
      </c>
      <c r="L5929" s="5" t="str">
        <f aca="false">IF($K5929="","","R"&amp;$K5929)</f>
        <v/>
      </c>
    </row>
    <row r="5930" customFormat="false" ht="15" hidden="false" customHeight="true" outlineLevel="0" collapsed="false">
      <c r="J5930" s="14" t="b">
        <f aca="false">IF(중복검사!$A5928="",FALSE(),중복검사!$H5928="중복")</f>
        <v>0</v>
      </c>
      <c r="K5930" s="5" t="str">
        <f aca="false">IF($J5930=FALSE(),"",COUNTIF($J$6:$J5930,TRUE()))</f>
        <v/>
      </c>
      <c r="L5930" s="5" t="str">
        <f aca="false">IF($K5930="","","R"&amp;$K5930)</f>
        <v/>
      </c>
    </row>
    <row r="5931" customFormat="false" ht="15" hidden="false" customHeight="true" outlineLevel="0" collapsed="false">
      <c r="J5931" s="14" t="b">
        <f aca="false">IF(중복검사!$A5929="",FALSE(),중복검사!$H5929="중복")</f>
        <v>0</v>
      </c>
      <c r="K5931" s="5" t="str">
        <f aca="false">IF($J5931=FALSE(),"",COUNTIF($J$6:$J5931,TRUE()))</f>
        <v/>
      </c>
      <c r="L5931" s="5" t="str">
        <f aca="false">IF($K5931="","","R"&amp;$K5931)</f>
        <v/>
      </c>
    </row>
    <row r="5932" customFormat="false" ht="15" hidden="false" customHeight="true" outlineLevel="0" collapsed="false">
      <c r="J5932" s="14" t="b">
        <f aca="false">IF(중복검사!$A5930="",FALSE(),중복검사!$H5930="중복")</f>
        <v>0</v>
      </c>
      <c r="K5932" s="5" t="str">
        <f aca="false">IF($J5932=FALSE(),"",COUNTIF($J$6:$J5932,TRUE()))</f>
        <v/>
      </c>
      <c r="L5932" s="5" t="str">
        <f aca="false">IF($K5932="","","R"&amp;$K5932)</f>
        <v/>
      </c>
    </row>
    <row r="5933" customFormat="false" ht="15" hidden="false" customHeight="true" outlineLevel="0" collapsed="false">
      <c r="J5933" s="14" t="b">
        <f aca="false">IF(중복검사!$A5931="",FALSE(),중복검사!$H5931="중복")</f>
        <v>0</v>
      </c>
      <c r="K5933" s="5" t="str">
        <f aca="false">IF($J5933=FALSE(),"",COUNTIF($J$6:$J5933,TRUE()))</f>
        <v/>
      </c>
      <c r="L5933" s="5" t="str">
        <f aca="false">IF($K5933="","","R"&amp;$K5933)</f>
        <v/>
      </c>
    </row>
    <row r="5934" customFormat="false" ht="15" hidden="false" customHeight="true" outlineLevel="0" collapsed="false">
      <c r="J5934" s="14" t="b">
        <f aca="false">IF(중복검사!$A5932="",FALSE(),중복검사!$H5932="중복")</f>
        <v>0</v>
      </c>
      <c r="K5934" s="5" t="str">
        <f aca="false">IF($J5934=FALSE(),"",COUNTIF($J$6:$J5934,TRUE()))</f>
        <v/>
      </c>
      <c r="L5934" s="5" t="str">
        <f aca="false">IF($K5934="","","R"&amp;$K5934)</f>
        <v/>
      </c>
    </row>
    <row r="5935" customFormat="false" ht="15" hidden="false" customHeight="true" outlineLevel="0" collapsed="false">
      <c r="J5935" s="14" t="b">
        <f aca="false">IF(중복검사!$A5933="",FALSE(),중복검사!$H5933="중복")</f>
        <v>0</v>
      </c>
      <c r="K5935" s="5" t="str">
        <f aca="false">IF($J5935=FALSE(),"",COUNTIF($J$6:$J5935,TRUE()))</f>
        <v/>
      </c>
      <c r="L5935" s="5" t="str">
        <f aca="false">IF($K5935="","","R"&amp;$K5935)</f>
        <v/>
      </c>
    </row>
    <row r="5936" customFormat="false" ht="15" hidden="false" customHeight="true" outlineLevel="0" collapsed="false">
      <c r="J5936" s="14" t="b">
        <f aca="false">IF(중복검사!$A5934="",FALSE(),중복검사!$H5934="중복")</f>
        <v>0</v>
      </c>
      <c r="K5936" s="5" t="str">
        <f aca="false">IF($J5936=FALSE(),"",COUNTIF($J$6:$J5936,TRUE()))</f>
        <v/>
      </c>
      <c r="L5936" s="5" t="str">
        <f aca="false">IF($K5936="","","R"&amp;$K5936)</f>
        <v/>
      </c>
    </row>
    <row r="5937" customFormat="false" ht="15" hidden="false" customHeight="true" outlineLevel="0" collapsed="false">
      <c r="J5937" s="14" t="b">
        <f aca="false">IF(중복검사!$A5935="",FALSE(),중복검사!$H5935="중복")</f>
        <v>0</v>
      </c>
      <c r="K5937" s="5" t="str">
        <f aca="false">IF($J5937=FALSE(),"",COUNTIF($J$6:$J5937,TRUE()))</f>
        <v/>
      </c>
      <c r="L5937" s="5" t="str">
        <f aca="false">IF($K5937="","","R"&amp;$K5937)</f>
        <v/>
      </c>
    </row>
    <row r="5938" customFormat="false" ht="15" hidden="false" customHeight="true" outlineLevel="0" collapsed="false">
      <c r="J5938" s="14" t="b">
        <f aca="false">IF(중복검사!$A5936="",FALSE(),중복검사!$H5936="중복")</f>
        <v>0</v>
      </c>
      <c r="K5938" s="5" t="str">
        <f aca="false">IF($J5938=FALSE(),"",COUNTIF($J$6:$J5938,TRUE()))</f>
        <v/>
      </c>
      <c r="L5938" s="5" t="str">
        <f aca="false">IF($K5938="","","R"&amp;$K5938)</f>
        <v/>
      </c>
    </row>
    <row r="5939" customFormat="false" ht="15" hidden="false" customHeight="true" outlineLevel="0" collapsed="false">
      <c r="J5939" s="14" t="b">
        <f aca="false">IF(중복검사!$A5937="",FALSE(),중복검사!$H5937="중복")</f>
        <v>0</v>
      </c>
      <c r="K5939" s="5" t="str">
        <f aca="false">IF($J5939=FALSE(),"",COUNTIF($J$6:$J5939,TRUE()))</f>
        <v/>
      </c>
      <c r="L5939" s="5" t="str">
        <f aca="false">IF($K5939="","","R"&amp;$K5939)</f>
        <v/>
      </c>
    </row>
    <row r="5940" customFormat="false" ht="15" hidden="false" customHeight="true" outlineLevel="0" collapsed="false">
      <c r="J5940" s="14" t="b">
        <f aca="false">IF(중복검사!$A5938="",FALSE(),중복검사!$H5938="중복")</f>
        <v>0</v>
      </c>
      <c r="K5940" s="5" t="str">
        <f aca="false">IF($J5940=FALSE(),"",COUNTIF($J$6:$J5940,TRUE()))</f>
        <v/>
      </c>
      <c r="L5940" s="5" t="str">
        <f aca="false">IF($K5940="","","R"&amp;$K5940)</f>
        <v/>
      </c>
    </row>
    <row r="5941" customFormat="false" ht="15" hidden="false" customHeight="true" outlineLevel="0" collapsed="false">
      <c r="J5941" s="14" t="b">
        <f aca="false">IF(중복검사!$A5939="",FALSE(),중복검사!$H5939="중복")</f>
        <v>0</v>
      </c>
      <c r="K5941" s="5" t="str">
        <f aca="false">IF($J5941=FALSE(),"",COUNTIF($J$6:$J5941,TRUE()))</f>
        <v/>
      </c>
      <c r="L5941" s="5" t="str">
        <f aca="false">IF($K5941="","","R"&amp;$K5941)</f>
        <v/>
      </c>
    </row>
    <row r="5942" customFormat="false" ht="15" hidden="false" customHeight="true" outlineLevel="0" collapsed="false">
      <c r="J5942" s="14" t="b">
        <f aca="false">IF(중복검사!$A5940="",FALSE(),중복검사!$H5940="중복")</f>
        <v>0</v>
      </c>
      <c r="K5942" s="5" t="str">
        <f aca="false">IF($J5942=FALSE(),"",COUNTIF($J$6:$J5942,TRUE()))</f>
        <v/>
      </c>
      <c r="L5942" s="5" t="str">
        <f aca="false">IF($K5942="","","R"&amp;$K5942)</f>
        <v/>
      </c>
    </row>
    <row r="5943" customFormat="false" ht="15" hidden="false" customHeight="true" outlineLevel="0" collapsed="false">
      <c r="J5943" s="14" t="b">
        <f aca="false">IF(중복검사!$A5941="",FALSE(),중복검사!$H5941="중복")</f>
        <v>0</v>
      </c>
      <c r="K5943" s="5" t="str">
        <f aca="false">IF($J5943=FALSE(),"",COUNTIF($J$6:$J5943,TRUE()))</f>
        <v/>
      </c>
      <c r="L5943" s="5" t="str">
        <f aca="false">IF($K5943="","","R"&amp;$K5943)</f>
        <v/>
      </c>
    </row>
    <row r="5944" customFormat="false" ht="15" hidden="false" customHeight="true" outlineLevel="0" collapsed="false">
      <c r="J5944" s="14" t="b">
        <f aca="false">IF(중복검사!$A5942="",FALSE(),중복검사!$H5942="중복")</f>
        <v>0</v>
      </c>
      <c r="K5944" s="5" t="str">
        <f aca="false">IF($J5944=FALSE(),"",COUNTIF($J$6:$J5944,TRUE()))</f>
        <v/>
      </c>
      <c r="L5944" s="5" t="str">
        <f aca="false">IF($K5944="","","R"&amp;$K5944)</f>
        <v/>
      </c>
    </row>
    <row r="5945" customFormat="false" ht="15" hidden="false" customHeight="true" outlineLevel="0" collapsed="false">
      <c r="J5945" s="14" t="b">
        <f aca="false">IF(중복검사!$A5943="",FALSE(),중복검사!$H5943="중복")</f>
        <v>0</v>
      </c>
      <c r="K5945" s="5" t="str">
        <f aca="false">IF($J5945=FALSE(),"",COUNTIF($J$6:$J5945,TRUE()))</f>
        <v/>
      </c>
      <c r="L5945" s="5" t="str">
        <f aca="false">IF($K5945="","","R"&amp;$K5945)</f>
        <v/>
      </c>
    </row>
    <row r="5946" customFormat="false" ht="15" hidden="false" customHeight="true" outlineLevel="0" collapsed="false">
      <c r="J5946" s="14" t="b">
        <f aca="false">IF(중복검사!$A5944="",FALSE(),중복검사!$H5944="중복")</f>
        <v>0</v>
      </c>
      <c r="K5946" s="5" t="str">
        <f aca="false">IF($J5946=FALSE(),"",COUNTIF($J$6:$J5946,TRUE()))</f>
        <v/>
      </c>
      <c r="L5946" s="5" t="str">
        <f aca="false">IF($K5946="","","R"&amp;$K5946)</f>
        <v/>
      </c>
    </row>
    <row r="5947" customFormat="false" ht="15" hidden="false" customHeight="true" outlineLevel="0" collapsed="false">
      <c r="J5947" s="14" t="b">
        <f aca="false">IF(중복검사!$A5945="",FALSE(),중복검사!$H5945="중복")</f>
        <v>0</v>
      </c>
      <c r="K5947" s="5" t="str">
        <f aca="false">IF($J5947=FALSE(),"",COUNTIF($J$6:$J5947,TRUE()))</f>
        <v/>
      </c>
      <c r="L5947" s="5" t="str">
        <f aca="false">IF($K5947="","","R"&amp;$K5947)</f>
        <v/>
      </c>
    </row>
    <row r="5948" customFormat="false" ht="15" hidden="false" customHeight="true" outlineLevel="0" collapsed="false">
      <c r="J5948" s="14" t="b">
        <f aca="false">IF(중복검사!$A5946="",FALSE(),중복검사!$H5946="중복")</f>
        <v>0</v>
      </c>
      <c r="K5948" s="5" t="str">
        <f aca="false">IF($J5948=FALSE(),"",COUNTIF($J$6:$J5948,TRUE()))</f>
        <v/>
      </c>
      <c r="L5948" s="5" t="str">
        <f aca="false">IF($K5948="","","R"&amp;$K5948)</f>
        <v/>
      </c>
    </row>
    <row r="5949" customFormat="false" ht="15" hidden="false" customHeight="true" outlineLevel="0" collapsed="false">
      <c r="J5949" s="14" t="b">
        <f aca="false">IF(중복검사!$A5947="",FALSE(),중복검사!$H5947="중복")</f>
        <v>0</v>
      </c>
      <c r="K5949" s="5" t="str">
        <f aca="false">IF($J5949=FALSE(),"",COUNTIF($J$6:$J5949,TRUE()))</f>
        <v/>
      </c>
      <c r="L5949" s="5" t="str">
        <f aca="false">IF($K5949="","","R"&amp;$K5949)</f>
        <v/>
      </c>
    </row>
    <row r="5950" customFormat="false" ht="15" hidden="false" customHeight="true" outlineLevel="0" collapsed="false">
      <c r="J5950" s="14" t="b">
        <f aca="false">IF(중복검사!$A5948="",FALSE(),중복검사!$H5948="중복")</f>
        <v>0</v>
      </c>
      <c r="K5950" s="5" t="str">
        <f aca="false">IF($J5950=FALSE(),"",COUNTIF($J$6:$J5950,TRUE()))</f>
        <v/>
      </c>
      <c r="L5950" s="5" t="str">
        <f aca="false">IF($K5950="","","R"&amp;$K5950)</f>
        <v/>
      </c>
    </row>
    <row r="5951" customFormat="false" ht="15" hidden="false" customHeight="true" outlineLevel="0" collapsed="false">
      <c r="J5951" s="14" t="b">
        <f aca="false">IF(중복검사!$A5949="",FALSE(),중복검사!$H5949="중복")</f>
        <v>0</v>
      </c>
      <c r="K5951" s="5" t="str">
        <f aca="false">IF($J5951=FALSE(),"",COUNTIF($J$6:$J5951,TRUE()))</f>
        <v/>
      </c>
      <c r="L5951" s="5" t="str">
        <f aca="false">IF($K5951="","","R"&amp;$K5951)</f>
        <v/>
      </c>
    </row>
    <row r="5952" customFormat="false" ht="15" hidden="false" customHeight="true" outlineLevel="0" collapsed="false">
      <c r="J5952" s="14" t="b">
        <f aca="false">IF(중복검사!$A5950="",FALSE(),중복검사!$H5950="중복")</f>
        <v>0</v>
      </c>
      <c r="K5952" s="5" t="str">
        <f aca="false">IF($J5952=FALSE(),"",COUNTIF($J$6:$J5952,TRUE()))</f>
        <v/>
      </c>
      <c r="L5952" s="5" t="str">
        <f aca="false">IF($K5952="","","R"&amp;$K5952)</f>
        <v/>
      </c>
    </row>
    <row r="5953" customFormat="false" ht="15" hidden="false" customHeight="true" outlineLevel="0" collapsed="false">
      <c r="J5953" s="14" t="b">
        <f aca="false">IF(중복검사!$A5951="",FALSE(),중복검사!$H5951="중복")</f>
        <v>0</v>
      </c>
      <c r="K5953" s="5" t="str">
        <f aca="false">IF($J5953=FALSE(),"",COUNTIF($J$6:$J5953,TRUE()))</f>
        <v/>
      </c>
      <c r="L5953" s="5" t="str">
        <f aca="false">IF($K5953="","","R"&amp;$K5953)</f>
        <v/>
      </c>
    </row>
    <row r="5954" customFormat="false" ht="15" hidden="false" customHeight="true" outlineLevel="0" collapsed="false">
      <c r="J5954" s="14" t="b">
        <f aca="false">IF(중복검사!$A5952="",FALSE(),중복검사!$H5952="중복")</f>
        <v>0</v>
      </c>
      <c r="K5954" s="5" t="str">
        <f aca="false">IF($J5954=FALSE(),"",COUNTIF($J$6:$J5954,TRUE()))</f>
        <v/>
      </c>
      <c r="L5954" s="5" t="str">
        <f aca="false">IF($K5954="","","R"&amp;$K5954)</f>
        <v/>
      </c>
    </row>
    <row r="5955" customFormat="false" ht="15" hidden="false" customHeight="true" outlineLevel="0" collapsed="false">
      <c r="J5955" s="14" t="b">
        <f aca="false">IF(중복검사!$A5953="",FALSE(),중복검사!$H5953="중복")</f>
        <v>0</v>
      </c>
      <c r="K5955" s="5" t="str">
        <f aca="false">IF($J5955=FALSE(),"",COUNTIF($J$6:$J5955,TRUE()))</f>
        <v/>
      </c>
      <c r="L5955" s="5" t="str">
        <f aca="false">IF($K5955="","","R"&amp;$K5955)</f>
        <v/>
      </c>
    </row>
    <row r="5956" customFormat="false" ht="15" hidden="false" customHeight="true" outlineLevel="0" collapsed="false">
      <c r="J5956" s="14" t="b">
        <f aca="false">IF(중복검사!$A5954="",FALSE(),중복검사!$H5954="중복")</f>
        <v>0</v>
      </c>
      <c r="K5956" s="5" t="str">
        <f aca="false">IF($J5956=FALSE(),"",COUNTIF($J$6:$J5956,TRUE()))</f>
        <v/>
      </c>
      <c r="L5956" s="5" t="str">
        <f aca="false">IF($K5956="","","R"&amp;$K5956)</f>
        <v/>
      </c>
    </row>
    <row r="5957" customFormat="false" ht="15" hidden="false" customHeight="true" outlineLevel="0" collapsed="false">
      <c r="J5957" s="14" t="b">
        <f aca="false">IF(중복검사!$A5955="",FALSE(),중복검사!$H5955="중복")</f>
        <v>0</v>
      </c>
      <c r="K5957" s="5" t="str">
        <f aca="false">IF($J5957=FALSE(),"",COUNTIF($J$6:$J5957,TRUE()))</f>
        <v/>
      </c>
      <c r="L5957" s="5" t="str">
        <f aca="false">IF($K5957="","","R"&amp;$K5957)</f>
        <v/>
      </c>
    </row>
    <row r="5958" customFormat="false" ht="15" hidden="false" customHeight="true" outlineLevel="0" collapsed="false">
      <c r="J5958" s="14" t="b">
        <f aca="false">IF(중복검사!$A5956="",FALSE(),중복검사!$H5956="중복")</f>
        <v>0</v>
      </c>
      <c r="K5958" s="5" t="str">
        <f aca="false">IF($J5958=FALSE(),"",COUNTIF($J$6:$J5958,TRUE()))</f>
        <v/>
      </c>
      <c r="L5958" s="5" t="str">
        <f aca="false">IF($K5958="","","R"&amp;$K5958)</f>
        <v/>
      </c>
    </row>
    <row r="5959" customFormat="false" ht="15" hidden="false" customHeight="true" outlineLevel="0" collapsed="false">
      <c r="J5959" s="14" t="b">
        <f aca="false">IF(중복검사!$A5957="",FALSE(),중복검사!$H5957="중복")</f>
        <v>0</v>
      </c>
      <c r="K5959" s="5" t="str">
        <f aca="false">IF($J5959=FALSE(),"",COUNTIF($J$6:$J5959,TRUE()))</f>
        <v/>
      </c>
      <c r="L5959" s="5" t="str">
        <f aca="false">IF($K5959="","","R"&amp;$K5959)</f>
        <v/>
      </c>
    </row>
    <row r="5960" customFormat="false" ht="15" hidden="false" customHeight="true" outlineLevel="0" collapsed="false">
      <c r="J5960" s="14" t="b">
        <f aca="false">IF(중복검사!$A5958="",FALSE(),중복검사!$H5958="중복")</f>
        <v>0</v>
      </c>
      <c r="K5960" s="5" t="str">
        <f aca="false">IF($J5960=FALSE(),"",COUNTIF($J$6:$J5960,TRUE()))</f>
        <v/>
      </c>
      <c r="L5960" s="5" t="str">
        <f aca="false">IF($K5960="","","R"&amp;$K5960)</f>
        <v/>
      </c>
    </row>
    <row r="5961" customFormat="false" ht="15" hidden="false" customHeight="true" outlineLevel="0" collapsed="false">
      <c r="J5961" s="14" t="b">
        <f aca="false">IF(중복검사!$A5959="",FALSE(),중복검사!$H5959="중복")</f>
        <v>0</v>
      </c>
      <c r="K5961" s="5" t="str">
        <f aca="false">IF($J5961=FALSE(),"",COUNTIF($J$6:$J5961,TRUE()))</f>
        <v/>
      </c>
      <c r="L5961" s="5" t="str">
        <f aca="false">IF($K5961="","","R"&amp;$K5961)</f>
        <v/>
      </c>
    </row>
    <row r="5962" customFormat="false" ht="15" hidden="false" customHeight="true" outlineLevel="0" collapsed="false">
      <c r="J5962" s="14" t="b">
        <f aca="false">IF(중복검사!$A5960="",FALSE(),중복검사!$H5960="중복")</f>
        <v>0</v>
      </c>
      <c r="K5962" s="5" t="str">
        <f aca="false">IF($J5962=FALSE(),"",COUNTIF($J$6:$J5962,TRUE()))</f>
        <v/>
      </c>
      <c r="L5962" s="5" t="str">
        <f aca="false">IF($K5962="","","R"&amp;$K5962)</f>
        <v/>
      </c>
    </row>
    <row r="5963" customFormat="false" ht="15" hidden="false" customHeight="true" outlineLevel="0" collapsed="false">
      <c r="J5963" s="14" t="b">
        <f aca="false">IF(중복검사!$A5961="",FALSE(),중복검사!$H5961="중복")</f>
        <v>0</v>
      </c>
      <c r="K5963" s="5" t="str">
        <f aca="false">IF($J5963=FALSE(),"",COUNTIF($J$6:$J5963,TRUE()))</f>
        <v/>
      </c>
      <c r="L5963" s="5" t="str">
        <f aca="false">IF($K5963="","","R"&amp;$K5963)</f>
        <v/>
      </c>
    </row>
    <row r="5964" customFormat="false" ht="15" hidden="false" customHeight="true" outlineLevel="0" collapsed="false">
      <c r="J5964" s="14" t="b">
        <f aca="false">IF(중복검사!$A5962="",FALSE(),중복검사!$H5962="중복")</f>
        <v>0</v>
      </c>
      <c r="K5964" s="5" t="str">
        <f aca="false">IF($J5964=FALSE(),"",COUNTIF($J$6:$J5964,TRUE()))</f>
        <v/>
      </c>
      <c r="L5964" s="5" t="str">
        <f aca="false">IF($K5964="","","R"&amp;$K5964)</f>
        <v/>
      </c>
    </row>
    <row r="5965" customFormat="false" ht="15" hidden="false" customHeight="true" outlineLevel="0" collapsed="false">
      <c r="J5965" s="14" t="b">
        <f aca="false">IF(중복검사!$A5963="",FALSE(),중복검사!$H5963="중복")</f>
        <v>0</v>
      </c>
      <c r="K5965" s="5" t="str">
        <f aca="false">IF($J5965=FALSE(),"",COUNTIF($J$6:$J5965,TRUE()))</f>
        <v/>
      </c>
      <c r="L5965" s="5" t="str">
        <f aca="false">IF($K5965="","","R"&amp;$K5965)</f>
        <v/>
      </c>
    </row>
    <row r="5966" customFormat="false" ht="15" hidden="false" customHeight="true" outlineLevel="0" collapsed="false">
      <c r="J5966" s="14" t="b">
        <f aca="false">IF(중복검사!$A5964="",FALSE(),중복검사!$H5964="중복")</f>
        <v>0</v>
      </c>
      <c r="K5966" s="5" t="str">
        <f aca="false">IF($J5966=FALSE(),"",COUNTIF($J$6:$J5966,TRUE()))</f>
        <v/>
      </c>
      <c r="L5966" s="5" t="str">
        <f aca="false">IF($K5966="","","R"&amp;$K5966)</f>
        <v/>
      </c>
    </row>
    <row r="5967" customFormat="false" ht="15" hidden="false" customHeight="true" outlineLevel="0" collapsed="false">
      <c r="J5967" s="14" t="b">
        <f aca="false">IF(중복검사!$A5965="",FALSE(),중복검사!$H5965="중복")</f>
        <v>0</v>
      </c>
      <c r="K5967" s="5" t="str">
        <f aca="false">IF($J5967=FALSE(),"",COUNTIF($J$6:$J5967,TRUE()))</f>
        <v/>
      </c>
      <c r="L5967" s="5" t="str">
        <f aca="false">IF($K5967="","","R"&amp;$K5967)</f>
        <v/>
      </c>
    </row>
    <row r="5968" customFormat="false" ht="15" hidden="false" customHeight="true" outlineLevel="0" collapsed="false">
      <c r="J5968" s="14" t="b">
        <f aca="false">IF(중복검사!$A5966="",FALSE(),중복검사!$H5966="중복")</f>
        <v>0</v>
      </c>
      <c r="K5968" s="5" t="str">
        <f aca="false">IF($J5968=FALSE(),"",COUNTIF($J$6:$J5968,TRUE()))</f>
        <v/>
      </c>
      <c r="L5968" s="5" t="str">
        <f aca="false">IF($K5968="","","R"&amp;$K5968)</f>
        <v/>
      </c>
    </row>
    <row r="5969" customFormat="false" ht="15" hidden="false" customHeight="true" outlineLevel="0" collapsed="false">
      <c r="J5969" s="14" t="b">
        <f aca="false">IF(중복검사!$A5967="",FALSE(),중복검사!$H5967="중복")</f>
        <v>0</v>
      </c>
      <c r="K5969" s="5" t="str">
        <f aca="false">IF($J5969=FALSE(),"",COUNTIF($J$6:$J5969,TRUE()))</f>
        <v/>
      </c>
      <c r="L5969" s="5" t="str">
        <f aca="false">IF($K5969="","","R"&amp;$K5969)</f>
        <v/>
      </c>
    </row>
    <row r="5970" customFormat="false" ht="15" hidden="false" customHeight="true" outlineLevel="0" collapsed="false">
      <c r="J5970" s="14" t="b">
        <f aca="false">IF(중복검사!$A5968="",FALSE(),중복검사!$H5968="중복")</f>
        <v>0</v>
      </c>
      <c r="K5970" s="5" t="str">
        <f aca="false">IF($J5970=FALSE(),"",COUNTIF($J$6:$J5970,TRUE()))</f>
        <v/>
      </c>
      <c r="L5970" s="5" t="str">
        <f aca="false">IF($K5970="","","R"&amp;$K5970)</f>
        <v/>
      </c>
    </row>
    <row r="5971" customFormat="false" ht="15" hidden="false" customHeight="true" outlineLevel="0" collapsed="false">
      <c r="J5971" s="14" t="b">
        <f aca="false">IF(중복검사!$A5969="",FALSE(),중복검사!$H5969="중복")</f>
        <v>0</v>
      </c>
      <c r="K5971" s="5" t="str">
        <f aca="false">IF($J5971=FALSE(),"",COUNTIF($J$6:$J5971,TRUE()))</f>
        <v/>
      </c>
      <c r="L5971" s="5" t="str">
        <f aca="false">IF($K5971="","","R"&amp;$K5971)</f>
        <v/>
      </c>
    </row>
    <row r="5972" customFormat="false" ht="15" hidden="false" customHeight="true" outlineLevel="0" collapsed="false">
      <c r="J5972" s="14" t="b">
        <f aca="false">IF(중복검사!$A5970="",FALSE(),중복검사!$H5970="중복")</f>
        <v>0</v>
      </c>
      <c r="K5972" s="5" t="str">
        <f aca="false">IF($J5972=FALSE(),"",COUNTIF($J$6:$J5972,TRUE()))</f>
        <v/>
      </c>
      <c r="L5972" s="5" t="str">
        <f aca="false">IF($K5972="","","R"&amp;$K5972)</f>
        <v/>
      </c>
    </row>
    <row r="5973" customFormat="false" ht="15" hidden="false" customHeight="true" outlineLevel="0" collapsed="false">
      <c r="J5973" s="14" t="b">
        <f aca="false">IF(중복검사!$A5971="",FALSE(),중복검사!$H5971="중복")</f>
        <v>0</v>
      </c>
      <c r="K5973" s="5" t="str">
        <f aca="false">IF($J5973=FALSE(),"",COUNTIF($J$6:$J5973,TRUE()))</f>
        <v/>
      </c>
      <c r="L5973" s="5" t="str">
        <f aca="false">IF($K5973="","","R"&amp;$K5973)</f>
        <v/>
      </c>
    </row>
    <row r="5974" customFormat="false" ht="15" hidden="false" customHeight="true" outlineLevel="0" collapsed="false">
      <c r="J5974" s="14" t="b">
        <f aca="false">IF(중복검사!$A5972="",FALSE(),중복검사!$H5972="중복")</f>
        <v>0</v>
      </c>
      <c r="K5974" s="5" t="str">
        <f aca="false">IF($J5974=FALSE(),"",COUNTIF($J$6:$J5974,TRUE()))</f>
        <v/>
      </c>
      <c r="L5974" s="5" t="str">
        <f aca="false">IF($K5974="","","R"&amp;$K5974)</f>
        <v/>
      </c>
    </row>
    <row r="5975" customFormat="false" ht="15" hidden="false" customHeight="true" outlineLevel="0" collapsed="false">
      <c r="J5975" s="14" t="b">
        <f aca="false">IF(중복검사!$A5973="",FALSE(),중복검사!$H5973="중복")</f>
        <v>0</v>
      </c>
      <c r="K5975" s="5" t="str">
        <f aca="false">IF($J5975=FALSE(),"",COUNTIF($J$6:$J5975,TRUE()))</f>
        <v/>
      </c>
      <c r="L5975" s="5" t="str">
        <f aca="false">IF($K5975="","","R"&amp;$K5975)</f>
        <v/>
      </c>
    </row>
    <row r="5976" customFormat="false" ht="15" hidden="false" customHeight="true" outlineLevel="0" collapsed="false">
      <c r="J5976" s="14" t="b">
        <f aca="false">IF(중복검사!$A5974="",FALSE(),중복검사!$H5974="중복")</f>
        <v>0</v>
      </c>
      <c r="K5976" s="5" t="str">
        <f aca="false">IF($J5976=FALSE(),"",COUNTIF($J$6:$J5976,TRUE()))</f>
        <v/>
      </c>
      <c r="L5976" s="5" t="str">
        <f aca="false">IF($K5976="","","R"&amp;$K5976)</f>
        <v/>
      </c>
    </row>
    <row r="5977" customFormat="false" ht="15" hidden="false" customHeight="true" outlineLevel="0" collapsed="false">
      <c r="J5977" s="14" t="b">
        <f aca="false">IF(중복검사!$A5975="",FALSE(),중복검사!$H5975="중복")</f>
        <v>0</v>
      </c>
      <c r="K5977" s="5" t="str">
        <f aca="false">IF($J5977=FALSE(),"",COUNTIF($J$6:$J5977,TRUE()))</f>
        <v/>
      </c>
      <c r="L5977" s="5" t="str">
        <f aca="false">IF($K5977="","","R"&amp;$K5977)</f>
        <v/>
      </c>
    </row>
    <row r="5978" customFormat="false" ht="15" hidden="false" customHeight="true" outlineLevel="0" collapsed="false">
      <c r="J5978" s="14" t="b">
        <f aca="false">IF(중복검사!$A5976="",FALSE(),중복검사!$H5976="중복")</f>
        <v>0</v>
      </c>
      <c r="K5978" s="5" t="str">
        <f aca="false">IF($J5978=FALSE(),"",COUNTIF($J$6:$J5978,TRUE()))</f>
        <v/>
      </c>
      <c r="L5978" s="5" t="str">
        <f aca="false">IF($K5978="","","R"&amp;$K5978)</f>
        <v/>
      </c>
    </row>
    <row r="5979" customFormat="false" ht="15" hidden="false" customHeight="true" outlineLevel="0" collapsed="false">
      <c r="J5979" s="14" t="b">
        <f aca="false">IF(중복검사!$A5977="",FALSE(),중복검사!$H5977="중복")</f>
        <v>0</v>
      </c>
      <c r="K5979" s="5" t="str">
        <f aca="false">IF($J5979=FALSE(),"",COUNTIF($J$6:$J5979,TRUE()))</f>
        <v/>
      </c>
      <c r="L5979" s="5" t="str">
        <f aca="false">IF($K5979="","","R"&amp;$K5979)</f>
        <v/>
      </c>
    </row>
    <row r="5980" customFormat="false" ht="15" hidden="false" customHeight="true" outlineLevel="0" collapsed="false">
      <c r="J5980" s="14" t="b">
        <f aca="false">IF(중복검사!$A5978="",FALSE(),중복검사!$H5978="중복")</f>
        <v>0</v>
      </c>
      <c r="K5980" s="5" t="str">
        <f aca="false">IF($J5980=FALSE(),"",COUNTIF($J$6:$J5980,TRUE()))</f>
        <v/>
      </c>
      <c r="L5980" s="5" t="str">
        <f aca="false">IF($K5980="","","R"&amp;$K5980)</f>
        <v/>
      </c>
    </row>
    <row r="5981" customFormat="false" ht="15" hidden="false" customHeight="true" outlineLevel="0" collapsed="false">
      <c r="J5981" s="14" t="b">
        <f aca="false">IF(중복검사!$A5979="",FALSE(),중복검사!$H5979="중복")</f>
        <v>0</v>
      </c>
      <c r="K5981" s="5" t="str">
        <f aca="false">IF($J5981=FALSE(),"",COUNTIF($J$6:$J5981,TRUE()))</f>
        <v/>
      </c>
      <c r="L5981" s="5" t="str">
        <f aca="false">IF($K5981="","","R"&amp;$K5981)</f>
        <v/>
      </c>
    </row>
    <row r="5982" customFormat="false" ht="15" hidden="false" customHeight="true" outlineLevel="0" collapsed="false">
      <c r="J5982" s="14" t="b">
        <f aca="false">IF(중복검사!$A5980="",FALSE(),중복검사!$H5980="중복")</f>
        <v>0</v>
      </c>
      <c r="K5982" s="5" t="str">
        <f aca="false">IF($J5982=FALSE(),"",COUNTIF($J$6:$J5982,TRUE()))</f>
        <v/>
      </c>
      <c r="L5982" s="5" t="str">
        <f aca="false">IF($K5982="","","R"&amp;$K5982)</f>
        <v/>
      </c>
    </row>
    <row r="5983" customFormat="false" ht="15" hidden="false" customHeight="true" outlineLevel="0" collapsed="false">
      <c r="J5983" s="14" t="b">
        <f aca="false">IF(중복검사!$A5981="",FALSE(),중복검사!$H5981="중복")</f>
        <v>0</v>
      </c>
      <c r="K5983" s="5" t="str">
        <f aca="false">IF($J5983=FALSE(),"",COUNTIF($J$6:$J5983,TRUE()))</f>
        <v/>
      </c>
      <c r="L5983" s="5" t="str">
        <f aca="false">IF($K5983="","","R"&amp;$K5983)</f>
        <v/>
      </c>
    </row>
    <row r="5984" customFormat="false" ht="15" hidden="false" customHeight="true" outlineLevel="0" collapsed="false">
      <c r="J5984" s="14" t="b">
        <f aca="false">IF(중복검사!$A5982="",FALSE(),중복검사!$H5982="중복")</f>
        <v>0</v>
      </c>
      <c r="K5984" s="5" t="str">
        <f aca="false">IF($J5984=FALSE(),"",COUNTIF($J$6:$J5984,TRUE()))</f>
        <v/>
      </c>
      <c r="L5984" s="5" t="str">
        <f aca="false">IF($K5984="","","R"&amp;$K5984)</f>
        <v/>
      </c>
    </row>
    <row r="5985" customFormat="false" ht="15" hidden="false" customHeight="true" outlineLevel="0" collapsed="false">
      <c r="J5985" s="14" t="b">
        <f aca="false">IF(중복검사!$A5983="",FALSE(),중복검사!$H5983="중복")</f>
        <v>0</v>
      </c>
      <c r="K5985" s="5" t="str">
        <f aca="false">IF($J5985=FALSE(),"",COUNTIF($J$6:$J5985,TRUE()))</f>
        <v/>
      </c>
      <c r="L5985" s="5" t="str">
        <f aca="false">IF($K5985="","","R"&amp;$K5985)</f>
        <v/>
      </c>
    </row>
    <row r="5986" customFormat="false" ht="15" hidden="false" customHeight="true" outlineLevel="0" collapsed="false">
      <c r="J5986" s="14" t="b">
        <f aca="false">IF(중복검사!$A5984="",FALSE(),중복검사!$H5984="중복")</f>
        <v>0</v>
      </c>
      <c r="K5986" s="5" t="str">
        <f aca="false">IF($J5986=FALSE(),"",COUNTIF($J$6:$J5986,TRUE()))</f>
        <v/>
      </c>
      <c r="L5986" s="5" t="str">
        <f aca="false">IF($K5986="","","R"&amp;$K5986)</f>
        <v/>
      </c>
    </row>
    <row r="5987" customFormat="false" ht="15" hidden="false" customHeight="true" outlineLevel="0" collapsed="false">
      <c r="J5987" s="14" t="b">
        <f aca="false">IF(중복검사!$A5985="",FALSE(),중복검사!$H5985="중복")</f>
        <v>0</v>
      </c>
      <c r="K5987" s="5" t="str">
        <f aca="false">IF($J5987=FALSE(),"",COUNTIF($J$6:$J5987,TRUE()))</f>
        <v/>
      </c>
      <c r="L5987" s="5" t="str">
        <f aca="false">IF($K5987="","","R"&amp;$K5987)</f>
        <v/>
      </c>
    </row>
    <row r="5988" customFormat="false" ht="15" hidden="false" customHeight="true" outlineLevel="0" collapsed="false">
      <c r="J5988" s="14" t="b">
        <f aca="false">IF(중복검사!$A5986="",FALSE(),중복검사!$H5986="중복")</f>
        <v>0</v>
      </c>
      <c r="K5988" s="5" t="str">
        <f aca="false">IF($J5988=FALSE(),"",COUNTIF($J$6:$J5988,TRUE()))</f>
        <v/>
      </c>
      <c r="L5988" s="5" t="str">
        <f aca="false">IF($K5988="","","R"&amp;$K5988)</f>
        <v/>
      </c>
    </row>
    <row r="5989" customFormat="false" ht="15" hidden="false" customHeight="true" outlineLevel="0" collapsed="false">
      <c r="J5989" s="14" t="b">
        <f aca="false">IF(중복검사!$A5987="",FALSE(),중복검사!$H5987="중복")</f>
        <v>0</v>
      </c>
      <c r="K5989" s="5" t="str">
        <f aca="false">IF($J5989=FALSE(),"",COUNTIF($J$6:$J5989,TRUE()))</f>
        <v/>
      </c>
      <c r="L5989" s="5" t="str">
        <f aca="false">IF($K5989="","","R"&amp;$K5989)</f>
        <v/>
      </c>
    </row>
    <row r="5990" customFormat="false" ht="15" hidden="false" customHeight="true" outlineLevel="0" collapsed="false">
      <c r="J5990" s="14" t="b">
        <f aca="false">IF(중복검사!$A5988="",FALSE(),중복검사!$H5988="중복")</f>
        <v>0</v>
      </c>
      <c r="K5990" s="5" t="str">
        <f aca="false">IF($J5990=FALSE(),"",COUNTIF($J$6:$J5990,TRUE()))</f>
        <v/>
      </c>
      <c r="L5990" s="5" t="str">
        <f aca="false">IF($K5990="","","R"&amp;$K5990)</f>
        <v/>
      </c>
    </row>
    <row r="5991" customFormat="false" ht="15" hidden="false" customHeight="true" outlineLevel="0" collapsed="false">
      <c r="J5991" s="14" t="b">
        <f aca="false">IF(중복검사!$A5989="",FALSE(),중복검사!$H5989="중복")</f>
        <v>0</v>
      </c>
      <c r="K5991" s="5" t="str">
        <f aca="false">IF($J5991=FALSE(),"",COUNTIF($J$6:$J5991,TRUE()))</f>
        <v/>
      </c>
      <c r="L5991" s="5" t="str">
        <f aca="false">IF($K5991="","","R"&amp;$K5991)</f>
        <v/>
      </c>
    </row>
    <row r="5992" customFormat="false" ht="15" hidden="false" customHeight="true" outlineLevel="0" collapsed="false">
      <c r="J5992" s="14" t="b">
        <f aca="false">IF(중복검사!$A5990="",FALSE(),중복검사!$H5990="중복")</f>
        <v>0</v>
      </c>
      <c r="K5992" s="5" t="str">
        <f aca="false">IF($J5992=FALSE(),"",COUNTIF($J$6:$J5992,TRUE()))</f>
        <v/>
      </c>
      <c r="L5992" s="5" t="str">
        <f aca="false">IF($K5992="","","R"&amp;$K5992)</f>
        <v/>
      </c>
    </row>
    <row r="5993" customFormat="false" ht="15" hidden="false" customHeight="true" outlineLevel="0" collapsed="false">
      <c r="J5993" s="14" t="b">
        <f aca="false">IF(중복검사!$A5991="",FALSE(),중복검사!$H5991="중복")</f>
        <v>0</v>
      </c>
      <c r="K5993" s="5" t="str">
        <f aca="false">IF($J5993=FALSE(),"",COUNTIF($J$6:$J5993,TRUE()))</f>
        <v/>
      </c>
      <c r="L5993" s="5" t="str">
        <f aca="false">IF($K5993="","","R"&amp;$K5993)</f>
        <v/>
      </c>
    </row>
    <row r="5994" customFormat="false" ht="15" hidden="false" customHeight="true" outlineLevel="0" collapsed="false">
      <c r="J5994" s="14" t="b">
        <f aca="false">IF(중복검사!$A5992="",FALSE(),중복검사!$H5992="중복")</f>
        <v>0</v>
      </c>
      <c r="K5994" s="5" t="str">
        <f aca="false">IF($J5994=FALSE(),"",COUNTIF($J$6:$J5994,TRUE()))</f>
        <v/>
      </c>
      <c r="L5994" s="5" t="str">
        <f aca="false">IF($K5994="","","R"&amp;$K5994)</f>
        <v/>
      </c>
    </row>
    <row r="5995" customFormat="false" ht="15" hidden="false" customHeight="true" outlineLevel="0" collapsed="false">
      <c r="J5995" s="14" t="b">
        <f aca="false">IF(중복검사!$A5993="",FALSE(),중복검사!$H5993="중복")</f>
        <v>0</v>
      </c>
      <c r="K5995" s="5" t="str">
        <f aca="false">IF($J5995=FALSE(),"",COUNTIF($J$6:$J5995,TRUE()))</f>
        <v/>
      </c>
      <c r="L5995" s="5" t="str">
        <f aca="false">IF($K5995="","","R"&amp;$K5995)</f>
        <v/>
      </c>
    </row>
    <row r="5996" customFormat="false" ht="15" hidden="false" customHeight="true" outlineLevel="0" collapsed="false">
      <c r="J5996" s="14" t="b">
        <f aca="false">IF(중복검사!$A5994="",FALSE(),중복검사!$H5994="중복")</f>
        <v>0</v>
      </c>
      <c r="K5996" s="5" t="str">
        <f aca="false">IF($J5996=FALSE(),"",COUNTIF($J$6:$J5996,TRUE()))</f>
        <v/>
      </c>
      <c r="L5996" s="5" t="str">
        <f aca="false">IF($K5996="","","R"&amp;$K5996)</f>
        <v/>
      </c>
    </row>
    <row r="5997" customFormat="false" ht="15" hidden="false" customHeight="true" outlineLevel="0" collapsed="false">
      <c r="J5997" s="14" t="b">
        <f aca="false">IF(중복검사!$A5995="",FALSE(),중복검사!$H5995="중복")</f>
        <v>0</v>
      </c>
      <c r="K5997" s="5" t="str">
        <f aca="false">IF($J5997=FALSE(),"",COUNTIF($J$6:$J5997,TRUE()))</f>
        <v/>
      </c>
      <c r="L5997" s="5" t="str">
        <f aca="false">IF($K5997="","","R"&amp;$K5997)</f>
        <v/>
      </c>
    </row>
    <row r="5998" customFormat="false" ht="15" hidden="false" customHeight="true" outlineLevel="0" collapsed="false">
      <c r="J5998" s="14" t="b">
        <f aca="false">IF(중복검사!$A5996="",FALSE(),중복검사!$H5996="중복")</f>
        <v>0</v>
      </c>
      <c r="K5998" s="5" t="str">
        <f aca="false">IF($J5998=FALSE(),"",COUNTIF($J$6:$J5998,TRUE()))</f>
        <v/>
      </c>
      <c r="L5998" s="5" t="str">
        <f aca="false">IF($K5998="","","R"&amp;$K5998)</f>
        <v/>
      </c>
    </row>
    <row r="5999" customFormat="false" ht="15" hidden="false" customHeight="true" outlineLevel="0" collapsed="false">
      <c r="J5999" s="14" t="b">
        <f aca="false">IF(중복검사!$A5997="",FALSE(),중복검사!$H5997="중복")</f>
        <v>0</v>
      </c>
      <c r="K5999" s="5" t="str">
        <f aca="false">IF($J5999=FALSE(),"",COUNTIF($J$6:$J5999,TRUE()))</f>
        <v/>
      </c>
      <c r="L5999" s="5" t="str">
        <f aca="false">IF($K5999="","","R"&amp;$K5999)</f>
        <v/>
      </c>
    </row>
    <row r="6000" customFormat="false" ht="15" hidden="false" customHeight="true" outlineLevel="0" collapsed="false">
      <c r="J6000" s="14" t="b">
        <f aca="false">IF(중복검사!$A5998="",FALSE(),중복검사!$H5998="중복")</f>
        <v>0</v>
      </c>
      <c r="K6000" s="5" t="str">
        <f aca="false">IF($J6000=FALSE(),"",COUNTIF($J$6:$J6000,TRUE()))</f>
        <v/>
      </c>
      <c r="L6000" s="5" t="str">
        <f aca="false">IF($K6000="","","R"&amp;$K6000)</f>
        <v/>
      </c>
    </row>
    <row r="6001" customFormat="false" ht="15" hidden="false" customHeight="true" outlineLevel="0" collapsed="false">
      <c r="J6001" s="14" t="b">
        <f aca="false">IF(중복검사!$A5999="",FALSE(),중복검사!$H5999="중복")</f>
        <v>0</v>
      </c>
      <c r="K6001" s="5" t="str">
        <f aca="false">IF($J6001=FALSE(),"",COUNTIF($J$6:$J6001,TRUE()))</f>
        <v/>
      </c>
      <c r="L6001" s="5" t="str">
        <f aca="false">IF($K6001="","","R"&amp;$K6001)</f>
        <v/>
      </c>
    </row>
    <row r="6002" customFormat="false" ht="15" hidden="false" customHeight="true" outlineLevel="0" collapsed="false">
      <c r="J6002" s="14" t="b">
        <f aca="false">IF(중복검사!$A6000="",FALSE(),중복검사!$H6000="중복")</f>
        <v>0</v>
      </c>
      <c r="K6002" s="5" t="str">
        <f aca="false">IF($J6002=FALSE(),"",COUNTIF($J$6:$J6002,TRUE()))</f>
        <v/>
      </c>
      <c r="L6002" s="5" t="str">
        <f aca="false">IF($K6002="","","R"&amp;$K6002)</f>
        <v/>
      </c>
    </row>
    <row r="6003" customFormat="false" ht="15" hidden="false" customHeight="true" outlineLevel="0" collapsed="false">
      <c r="J6003" s="14" t="b">
        <f aca="false">IF(중복검사!$A6001="",FALSE(),중복검사!$H6001="중복")</f>
        <v>0</v>
      </c>
      <c r="K6003" s="5" t="str">
        <f aca="false">IF($J6003=FALSE(),"",COUNTIF($J$6:$J6003,TRUE()))</f>
        <v/>
      </c>
      <c r="L6003" s="5" t="str">
        <f aca="false">IF($K6003="","","R"&amp;$K6003)</f>
        <v/>
      </c>
    </row>
    <row r="6004" customFormat="false" ht="15" hidden="false" customHeight="true" outlineLevel="0" collapsed="false">
      <c r="J6004" s="14" t="b">
        <f aca="false">IF(중복검사!$A6002="",FALSE(),중복검사!$H6002="중복")</f>
        <v>0</v>
      </c>
      <c r="K6004" s="5" t="str">
        <f aca="false">IF($J6004=FALSE(),"",COUNTIF($J$6:$J6004,TRUE()))</f>
        <v/>
      </c>
      <c r="L6004" s="5" t="str">
        <f aca="false">IF($K6004="","","R"&amp;$K6004)</f>
        <v/>
      </c>
    </row>
    <row r="6005" customFormat="false" ht="15" hidden="false" customHeight="true" outlineLevel="0" collapsed="false">
      <c r="J6005" s="14" t="b">
        <f aca="false">IF(중복검사!$A6003="",FALSE(),중복검사!$H6003="중복")</f>
        <v>0</v>
      </c>
      <c r="K6005" s="5" t="str">
        <f aca="false">IF($J6005=FALSE(),"",COUNTIF($J$6:$J6005,TRUE()))</f>
        <v/>
      </c>
      <c r="L6005" s="5" t="str">
        <f aca="false">IF($K6005="","","R"&amp;$K6005)</f>
        <v/>
      </c>
    </row>
  </sheetData>
  <mergeCells count="1">
    <mergeCell ref="A1:H1"/>
  </mergeCells>
  <conditionalFormatting sqref="A6:H305">
    <cfRule type="expression" priority="2" aboveAverage="0" equalAverage="0" bottom="0" percent="0" rank="0" text="" dxfId="0">
      <formula>$H6="확인 필요"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7"/>
    <col collapsed="false" customWidth="true" hidden="false" outlineLevel="0" max="3" min="3" style="1" width="13"/>
    <col collapsed="false" customWidth="true" hidden="false" outlineLevel="0" max="4" min="4" style="1" width="17"/>
    <col collapsed="false" customWidth="true" hidden="false" outlineLevel="0" max="5" min="5" style="1" width="34"/>
    <col collapsed="false" customWidth="true" hidden="false" outlineLevel="0" max="6" min="6" style="1" width="20"/>
    <col collapsed="false" customWidth="true" hidden="false" outlineLevel="0" max="9" min="8" style="1" width="12"/>
    <col collapsed="false" customWidth="true" hidden="false" outlineLevel="0" max="10" min="10" style="1" width="13"/>
  </cols>
  <sheetData>
    <row r="1" customFormat="false" ht="25.5" hidden="false" customHeight="true" outlineLevel="0" collapsed="false">
      <c r="A1" s="2" t="s">
        <v>75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76</v>
      </c>
      <c r="B3" s="16" t="n">
        <f aca="false">COUNTIF(중복검사!$J$4:$J$6003,"유지")</f>
        <v>3</v>
      </c>
      <c r="D3" s="5" t="s">
        <v>77</v>
      </c>
    </row>
    <row r="5" customFormat="false" ht="15" hidden="false" customHeight="true" outlineLevel="0" collapsed="false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H5" s="5" t="s">
        <v>72</v>
      </c>
      <c r="I5" s="5" t="s">
        <v>34</v>
      </c>
      <c r="J5" s="5" t="s">
        <v>73</v>
      </c>
    </row>
    <row r="6" customFormat="false" ht="15" hidden="false" customHeight="true" outlineLevel="0" collapsed="false">
      <c r="A6" s="10" t="str">
        <f aca="false">IFERROR(IF(INDEX(원본명단!$A$3:$A$6002,MATCH("R"&amp;1,정리결과!$J$6:$J$6005,0))="","",INDEX(원본명단!$A$3:$A$6002,MATCH("R"&amp;1,정리결과!$J$6:$J$6005,0))),"")</f>
        <v>(주)가나상사</v>
      </c>
      <c r="B6" s="10" t="str">
        <f aca="false">IF($A6="","",IFERROR(IF(INDEX(원본명단!$B$3:$B$6002,MATCH("R"&amp;1,정리결과!$J$6:$J$6005,0))="","",INDEX(원본명단!$B$3:$B$6002,MATCH("R"&amp;1,정리결과!$J$6:$J$6005,0))),""))</f>
        <v>123-45-67890</v>
      </c>
      <c r="C6" s="10" t="str">
        <f aca="false">IF($A6="","",IFERROR(IF(INDEX(원본명단!$C$3:$C$6002,MATCH("R"&amp;1,정리결과!$J$6:$J$6005,0))="","",INDEX(원본명단!$C$3:$C$6002,MATCH("R"&amp;1,정리결과!$J$6:$J$6005,0))),""))</f>
        <v>김대표</v>
      </c>
      <c r="D6" s="10" t="str">
        <f aca="false">IF($A6="","",IFERROR(IF(INDEX(원본명단!$D$3:$D$6002,MATCH("R"&amp;1,정리결과!$J$6:$J$6005,0))="","",INDEX(원본명단!$D$3:$D$6002,MATCH("R"&amp;1,정리결과!$J$6:$J$6005,0))),""))</f>
        <v>010-1111-2222</v>
      </c>
      <c r="E6" s="10" t="str">
        <f aca="false">IF($A6="","",IFERROR(IF(INDEX(원본명단!$E$3:$E$6002,MATCH("R"&amp;1,정리결과!$J$6:$J$6005,0))="","",INDEX(원본명단!$E$3:$E$6002,MATCH("R"&amp;1,정리결과!$J$6:$J$6005,0))),""))</f>
        <v>서울시 강남구 테헤란로 1</v>
      </c>
      <c r="F6" s="10" t="str">
        <f aca="false">IF($A6="","",IFERROR(IF(INDEX(원본명단!$F$3:$F$6002,MATCH("R"&amp;1,정리결과!$J$6:$J$6005,0))="","",INDEX(원본명단!$F$3:$F$6002,MATCH("R"&amp;1,정리결과!$J$6:$J$6005,0))),""))</f>
        <v>← 예시 5건 (2·5번이 중복)</v>
      </c>
      <c r="H6" s="14" t="b">
        <f aca="false">IF(중복검사!$A4="",FALSE(),중복검사!$J4="유지")</f>
        <v>1</v>
      </c>
      <c r="I6" s="5" t="n">
        <f aca="false">IF($H6=FALSE(),"",COUNTIF($H$6:$H6,TRUE()))</f>
        <v>1</v>
      </c>
      <c r="J6" s="5" t="str">
        <f aca="false">IF($I6="","","R"&amp;$I6)</f>
        <v>R1</v>
      </c>
    </row>
    <row r="7" customFormat="false" ht="15" hidden="false" customHeight="true" outlineLevel="0" collapsed="false">
      <c r="A7" s="10" t="str">
        <f aca="false">IFERROR(IF(INDEX(원본명단!$A$3:$A$6002,MATCH("R"&amp;2,정리결과!$J$6:$J$6005,0))="","",INDEX(원본명단!$A$3:$A$6002,MATCH("R"&amp;2,정리결과!$J$6:$J$6005,0))),"")</f>
        <v>다라유통</v>
      </c>
      <c r="B7" s="10" t="str">
        <f aca="false">IF($A7="","",IFERROR(IF(INDEX(원본명단!$B$3:$B$6002,MATCH("R"&amp;2,정리결과!$J$6:$J$6005,0))="","",INDEX(원본명단!$B$3:$B$6002,MATCH("R"&amp;2,정리결과!$J$6:$J$6005,0))),""))</f>
        <v>222-22-22222</v>
      </c>
      <c r="C7" s="10" t="str">
        <f aca="false">IF($A7="","",IFERROR(IF(INDEX(원본명단!$C$3:$C$6002,MATCH("R"&amp;2,정리결과!$J$6:$J$6005,0))="","",INDEX(원본명단!$C$3:$C$6002,MATCH("R"&amp;2,정리결과!$J$6:$J$6005,0))),""))</f>
        <v>이대표</v>
      </c>
      <c r="D7" s="10" t="str">
        <f aca="false">IF($A7="","",IFERROR(IF(INDEX(원본명단!$D$3:$D$6002,MATCH("R"&amp;2,정리결과!$J$6:$J$6005,0))="","",INDEX(원본명단!$D$3:$D$6002,MATCH("R"&amp;2,정리결과!$J$6:$J$6005,0))),""))</f>
        <v>031-222-3333</v>
      </c>
      <c r="E7" s="10" t="str">
        <f aca="false">IF($A7="","",IFERROR(IF(INDEX(원본명단!$E$3:$E$6002,MATCH("R"&amp;2,정리결과!$J$6:$J$6005,0))="","",INDEX(원본명단!$E$3:$E$6002,MATCH("R"&amp;2,정리결과!$J$6:$J$6005,0))),""))</f>
        <v>경기도 성남시 분당구 2</v>
      </c>
      <c r="F7" s="10" t="str">
        <f aca="false">IF($A7="","",IFERROR(IF(INDEX(원본명단!$F$3:$F$6002,MATCH("R"&amp;2,정리결과!$J$6:$J$6005,0))="","",INDEX(원본명단!$F$3:$F$6002,MATCH("R"&amp;2,정리결과!$J$6:$J$6005,0))),""))</f>
        <v/>
      </c>
      <c r="H7" s="14" t="b">
        <f aca="false">IF(중복검사!$A5="",FALSE(),중복검사!$J5="유지")</f>
        <v>0</v>
      </c>
      <c r="I7" s="5" t="str">
        <f aca="false">IF($H7=FALSE(),"",COUNTIF($H$6:$H7,TRUE()))</f>
        <v/>
      </c>
      <c r="J7" s="5" t="str">
        <f aca="false">IF($I7="","","R"&amp;$I7)</f>
        <v/>
      </c>
    </row>
    <row r="8" customFormat="false" ht="15" hidden="false" customHeight="true" outlineLevel="0" collapsed="false">
      <c r="A8" s="10" t="str">
        <f aca="false">IFERROR(IF(INDEX(원본명단!$A$3:$A$6002,MATCH("R"&amp;3,정리결과!$J$6:$J$6005,0))="","",INDEX(원본명단!$A$3:$A$6002,MATCH("R"&amp;3,정리결과!$J$6:$J$6005,0))),"")</f>
        <v>마바물산 주식회사</v>
      </c>
      <c r="B8" s="10" t="str">
        <f aca="false">IF($A8="","",IFERROR(IF(INDEX(원본명단!$B$3:$B$6002,MATCH("R"&amp;3,정리결과!$J$6:$J$6005,0))="","",INDEX(원본명단!$B$3:$B$6002,MATCH("R"&amp;3,정리결과!$J$6:$J$6005,0))),""))</f>
        <v>333-33-33333</v>
      </c>
      <c r="C8" s="10" t="str">
        <f aca="false">IF($A8="","",IFERROR(IF(INDEX(원본명단!$C$3:$C$6002,MATCH("R"&amp;3,정리결과!$J$6:$J$6005,0))="","",INDEX(원본명단!$C$3:$C$6002,MATCH("R"&amp;3,정리결과!$J$6:$J$6005,0))),""))</f>
        <v>박대표</v>
      </c>
      <c r="D8" s="10" t="str">
        <f aca="false">IF($A8="","",IFERROR(IF(INDEX(원본명단!$D$3:$D$6002,MATCH("R"&amp;3,정리결과!$J$6:$J$6005,0))="","",INDEX(원본명단!$D$3:$D$6002,MATCH("R"&amp;3,정리결과!$J$6:$J$6005,0))),""))</f>
        <v>02-333-4444</v>
      </c>
      <c r="E8" s="10" t="str">
        <f aca="false">IF($A8="","",IFERROR(IF(INDEX(원본명단!$E$3:$E$6002,MATCH("R"&amp;3,정리결과!$J$6:$J$6005,0))="","",INDEX(원본명단!$E$3:$E$6002,MATCH("R"&amp;3,정리결과!$J$6:$J$6005,0))),""))</f>
        <v>부산시 해운대구 3</v>
      </c>
      <c r="F8" s="10" t="str">
        <f aca="false">IF($A8="","",IFERROR(IF(INDEX(원본명단!$F$3:$F$6002,MATCH("R"&amp;3,정리결과!$J$6:$J$6005,0))="","",INDEX(원본명단!$F$3:$F$6002,MATCH("R"&amp;3,정리결과!$J$6:$J$6005,0))),""))</f>
        <v/>
      </c>
      <c r="H8" s="14" t="b">
        <f aca="false">IF(중복검사!$A6="",FALSE(),중복검사!$J6="유지")</f>
        <v>1</v>
      </c>
      <c r="I8" s="5" t="n">
        <f aca="false">IF($H8=FALSE(),"",COUNTIF($H$6:$H8,TRUE()))</f>
        <v>2</v>
      </c>
      <c r="J8" s="5" t="str">
        <f aca="false">IF($I8="","","R"&amp;$I8)</f>
        <v>R2</v>
      </c>
    </row>
    <row r="9" customFormat="false" ht="15" hidden="false" customHeight="true" outlineLevel="0" collapsed="false">
      <c r="A9" s="10" t="str">
        <f aca="false">IFERROR(IF(INDEX(원본명단!$A$3:$A$6002,MATCH("R"&amp;4,정리결과!$J$6:$J$6005,0))="","",INDEX(원본명단!$A$3:$A$6002,MATCH("R"&amp;4,정리결과!$J$6:$J$6005,0))),"")</f>
        <v/>
      </c>
      <c r="B9" s="10" t="str">
        <f aca="false">IF($A9="","",IFERROR(IF(INDEX(원본명단!$B$3:$B$6002,MATCH("R"&amp;4,정리결과!$J$6:$J$6005,0))="","",INDEX(원본명단!$B$3:$B$6002,MATCH("R"&amp;4,정리결과!$J$6:$J$6005,0))),""))</f>
        <v/>
      </c>
      <c r="C9" s="10" t="str">
        <f aca="false">IF($A9="","",IFERROR(IF(INDEX(원본명단!$C$3:$C$6002,MATCH("R"&amp;4,정리결과!$J$6:$J$6005,0))="","",INDEX(원본명단!$C$3:$C$6002,MATCH("R"&amp;4,정리결과!$J$6:$J$6005,0))),""))</f>
        <v/>
      </c>
      <c r="D9" s="10" t="str">
        <f aca="false">IF($A9="","",IFERROR(IF(INDEX(원본명단!$D$3:$D$6002,MATCH("R"&amp;4,정리결과!$J$6:$J$6005,0))="","",INDEX(원본명단!$D$3:$D$6002,MATCH("R"&amp;4,정리결과!$J$6:$J$6005,0))),""))</f>
        <v/>
      </c>
      <c r="E9" s="10" t="str">
        <f aca="false">IF($A9="","",IFERROR(IF(INDEX(원본명단!$E$3:$E$6002,MATCH("R"&amp;4,정리결과!$J$6:$J$6005,0))="","",INDEX(원본명단!$E$3:$E$6002,MATCH("R"&amp;4,정리결과!$J$6:$J$6005,0))),""))</f>
        <v/>
      </c>
      <c r="F9" s="10" t="str">
        <f aca="false">IF($A9="","",IFERROR(IF(INDEX(원본명단!$F$3:$F$6002,MATCH("R"&amp;4,정리결과!$J$6:$J$6005,0))="","",INDEX(원본명단!$F$3:$F$6002,MATCH("R"&amp;4,정리결과!$J$6:$J$6005,0))),""))</f>
        <v/>
      </c>
      <c r="H9" s="14" t="b">
        <f aca="false">IF(중복검사!$A7="",FALSE(),중복검사!$J7="유지")</f>
        <v>1</v>
      </c>
      <c r="I9" s="5" t="n">
        <f aca="false">IF($H9=FALSE(),"",COUNTIF($H$6:$H9,TRUE()))</f>
        <v>3</v>
      </c>
      <c r="J9" s="5" t="str">
        <f aca="false">IF($I9="","","R"&amp;$I9)</f>
        <v>R3</v>
      </c>
    </row>
    <row r="10" customFormat="false" ht="15" hidden="false" customHeight="true" outlineLevel="0" collapsed="false">
      <c r="A10" s="10" t="str">
        <f aca="false">IFERROR(IF(INDEX(원본명단!$A$3:$A$6002,MATCH("R"&amp;5,정리결과!$J$6:$J$6005,0))="","",INDEX(원본명단!$A$3:$A$6002,MATCH("R"&amp;5,정리결과!$J$6:$J$6005,0))),"")</f>
        <v/>
      </c>
      <c r="B10" s="10" t="str">
        <f aca="false">IF($A10="","",IFERROR(IF(INDEX(원본명단!$B$3:$B$6002,MATCH("R"&amp;5,정리결과!$J$6:$J$6005,0))="","",INDEX(원본명단!$B$3:$B$6002,MATCH("R"&amp;5,정리결과!$J$6:$J$6005,0))),""))</f>
        <v/>
      </c>
      <c r="C10" s="10" t="str">
        <f aca="false">IF($A10="","",IFERROR(IF(INDEX(원본명단!$C$3:$C$6002,MATCH("R"&amp;5,정리결과!$J$6:$J$6005,0))="","",INDEX(원본명단!$C$3:$C$6002,MATCH("R"&amp;5,정리결과!$J$6:$J$6005,0))),""))</f>
        <v/>
      </c>
      <c r="D10" s="10" t="str">
        <f aca="false">IF($A10="","",IFERROR(IF(INDEX(원본명단!$D$3:$D$6002,MATCH("R"&amp;5,정리결과!$J$6:$J$6005,0))="","",INDEX(원본명단!$D$3:$D$6002,MATCH("R"&amp;5,정리결과!$J$6:$J$6005,0))),""))</f>
        <v/>
      </c>
      <c r="E10" s="10" t="str">
        <f aca="false">IF($A10="","",IFERROR(IF(INDEX(원본명단!$E$3:$E$6002,MATCH("R"&amp;5,정리결과!$J$6:$J$6005,0))="","",INDEX(원본명단!$E$3:$E$6002,MATCH("R"&amp;5,정리결과!$J$6:$J$6005,0))),""))</f>
        <v/>
      </c>
      <c r="F10" s="10" t="str">
        <f aca="false">IF($A10="","",IFERROR(IF(INDEX(원본명단!$F$3:$F$6002,MATCH("R"&amp;5,정리결과!$J$6:$J$6005,0))="","",INDEX(원본명단!$F$3:$F$6002,MATCH("R"&amp;5,정리결과!$J$6:$J$6005,0))),""))</f>
        <v/>
      </c>
      <c r="H10" s="14" t="b">
        <f aca="false">IF(중복검사!$A8="",FALSE(),중복검사!$J8="유지")</f>
        <v>0</v>
      </c>
      <c r="I10" s="5" t="str">
        <f aca="false">IF($H10=FALSE(),"",COUNTIF($H$6:$H10,TRUE()))</f>
        <v/>
      </c>
      <c r="J10" s="5" t="str">
        <f aca="false">IF($I10="","","R"&amp;$I10)</f>
        <v/>
      </c>
    </row>
    <row r="11" customFormat="false" ht="15" hidden="false" customHeight="true" outlineLevel="0" collapsed="false">
      <c r="A11" s="10" t="str">
        <f aca="false">IFERROR(IF(INDEX(원본명단!$A$3:$A$6002,MATCH("R"&amp;6,정리결과!$J$6:$J$6005,0))="","",INDEX(원본명단!$A$3:$A$6002,MATCH("R"&amp;6,정리결과!$J$6:$J$6005,0))),"")</f>
        <v/>
      </c>
      <c r="B11" s="10" t="str">
        <f aca="false">IF($A11="","",IFERROR(IF(INDEX(원본명단!$B$3:$B$6002,MATCH("R"&amp;6,정리결과!$J$6:$J$6005,0))="","",INDEX(원본명단!$B$3:$B$6002,MATCH("R"&amp;6,정리결과!$J$6:$J$6005,0))),""))</f>
        <v/>
      </c>
      <c r="C11" s="10" t="str">
        <f aca="false">IF($A11="","",IFERROR(IF(INDEX(원본명단!$C$3:$C$6002,MATCH("R"&amp;6,정리결과!$J$6:$J$6005,0))="","",INDEX(원본명단!$C$3:$C$6002,MATCH("R"&amp;6,정리결과!$J$6:$J$6005,0))),""))</f>
        <v/>
      </c>
      <c r="D11" s="10" t="str">
        <f aca="false">IF($A11="","",IFERROR(IF(INDEX(원본명단!$D$3:$D$6002,MATCH("R"&amp;6,정리결과!$J$6:$J$6005,0))="","",INDEX(원본명단!$D$3:$D$6002,MATCH("R"&amp;6,정리결과!$J$6:$J$6005,0))),""))</f>
        <v/>
      </c>
      <c r="E11" s="10" t="str">
        <f aca="false">IF($A11="","",IFERROR(IF(INDEX(원본명단!$E$3:$E$6002,MATCH("R"&amp;6,정리결과!$J$6:$J$6005,0))="","",INDEX(원본명단!$E$3:$E$6002,MATCH("R"&amp;6,정리결과!$J$6:$J$6005,0))),""))</f>
        <v/>
      </c>
      <c r="F11" s="10" t="str">
        <f aca="false">IF($A11="","",IFERROR(IF(INDEX(원본명단!$F$3:$F$6002,MATCH("R"&amp;6,정리결과!$J$6:$J$6005,0))="","",INDEX(원본명단!$F$3:$F$6002,MATCH("R"&amp;6,정리결과!$J$6:$J$6005,0))),""))</f>
        <v/>
      </c>
      <c r="H11" s="14" t="b">
        <f aca="false">IF(중복검사!$A9="",FALSE(),중복검사!$J9="유지")</f>
        <v>0</v>
      </c>
      <c r="I11" s="5" t="str">
        <f aca="false">IF($H11=FALSE(),"",COUNTIF($H$6:$H11,TRUE()))</f>
        <v/>
      </c>
      <c r="J11" s="5" t="str">
        <f aca="false">IF($I11="","","R"&amp;$I11)</f>
        <v/>
      </c>
    </row>
    <row r="12" customFormat="false" ht="15" hidden="false" customHeight="true" outlineLevel="0" collapsed="false">
      <c r="A12" s="10" t="str">
        <f aca="false">IFERROR(IF(INDEX(원본명단!$A$3:$A$6002,MATCH("R"&amp;7,정리결과!$J$6:$J$6005,0))="","",INDEX(원본명단!$A$3:$A$6002,MATCH("R"&amp;7,정리결과!$J$6:$J$6005,0))),"")</f>
        <v/>
      </c>
      <c r="B12" s="10" t="str">
        <f aca="false">IF($A12="","",IFERROR(IF(INDEX(원본명단!$B$3:$B$6002,MATCH("R"&amp;7,정리결과!$J$6:$J$6005,0))="","",INDEX(원본명단!$B$3:$B$6002,MATCH("R"&amp;7,정리결과!$J$6:$J$6005,0))),""))</f>
        <v/>
      </c>
      <c r="C12" s="10" t="str">
        <f aca="false">IF($A12="","",IFERROR(IF(INDEX(원본명단!$C$3:$C$6002,MATCH("R"&amp;7,정리결과!$J$6:$J$6005,0))="","",INDEX(원본명단!$C$3:$C$6002,MATCH("R"&amp;7,정리결과!$J$6:$J$6005,0))),""))</f>
        <v/>
      </c>
      <c r="D12" s="10" t="str">
        <f aca="false">IF($A12="","",IFERROR(IF(INDEX(원본명단!$D$3:$D$6002,MATCH("R"&amp;7,정리결과!$J$6:$J$6005,0))="","",INDEX(원본명단!$D$3:$D$6002,MATCH("R"&amp;7,정리결과!$J$6:$J$6005,0))),""))</f>
        <v/>
      </c>
      <c r="E12" s="10" t="str">
        <f aca="false">IF($A12="","",IFERROR(IF(INDEX(원본명단!$E$3:$E$6002,MATCH("R"&amp;7,정리결과!$J$6:$J$6005,0))="","",INDEX(원본명단!$E$3:$E$6002,MATCH("R"&amp;7,정리결과!$J$6:$J$6005,0))),""))</f>
        <v/>
      </c>
      <c r="F12" s="10" t="str">
        <f aca="false">IF($A12="","",IFERROR(IF(INDEX(원본명단!$F$3:$F$6002,MATCH("R"&amp;7,정리결과!$J$6:$J$6005,0))="","",INDEX(원본명단!$F$3:$F$6002,MATCH("R"&amp;7,정리결과!$J$6:$J$6005,0))),""))</f>
        <v/>
      </c>
      <c r="H12" s="14" t="b">
        <f aca="false">IF(중복검사!$A10="",FALSE(),중복검사!$J10="유지")</f>
        <v>0</v>
      </c>
      <c r="I12" s="5" t="str">
        <f aca="false">IF($H12=FALSE(),"",COUNTIF($H$6:$H12,TRUE()))</f>
        <v/>
      </c>
      <c r="J12" s="5" t="str">
        <f aca="false">IF($I12="","","R"&amp;$I12)</f>
        <v/>
      </c>
    </row>
    <row r="13" customFormat="false" ht="15" hidden="false" customHeight="true" outlineLevel="0" collapsed="false">
      <c r="A13" s="10" t="str">
        <f aca="false">IFERROR(IF(INDEX(원본명단!$A$3:$A$6002,MATCH("R"&amp;8,정리결과!$J$6:$J$6005,0))="","",INDEX(원본명단!$A$3:$A$6002,MATCH("R"&amp;8,정리결과!$J$6:$J$6005,0))),"")</f>
        <v/>
      </c>
      <c r="B13" s="10" t="str">
        <f aca="false">IF($A13="","",IFERROR(IF(INDEX(원본명단!$B$3:$B$6002,MATCH("R"&amp;8,정리결과!$J$6:$J$6005,0))="","",INDEX(원본명단!$B$3:$B$6002,MATCH("R"&amp;8,정리결과!$J$6:$J$6005,0))),""))</f>
        <v/>
      </c>
      <c r="C13" s="10" t="str">
        <f aca="false">IF($A13="","",IFERROR(IF(INDEX(원본명단!$C$3:$C$6002,MATCH("R"&amp;8,정리결과!$J$6:$J$6005,0))="","",INDEX(원본명단!$C$3:$C$6002,MATCH("R"&amp;8,정리결과!$J$6:$J$6005,0))),""))</f>
        <v/>
      </c>
      <c r="D13" s="10" t="str">
        <f aca="false">IF($A13="","",IFERROR(IF(INDEX(원본명단!$D$3:$D$6002,MATCH("R"&amp;8,정리결과!$J$6:$J$6005,0))="","",INDEX(원본명단!$D$3:$D$6002,MATCH("R"&amp;8,정리결과!$J$6:$J$6005,0))),""))</f>
        <v/>
      </c>
      <c r="E13" s="10" t="str">
        <f aca="false">IF($A13="","",IFERROR(IF(INDEX(원본명단!$E$3:$E$6002,MATCH("R"&amp;8,정리결과!$J$6:$J$6005,0))="","",INDEX(원본명단!$E$3:$E$6002,MATCH("R"&amp;8,정리결과!$J$6:$J$6005,0))),""))</f>
        <v/>
      </c>
      <c r="F13" s="10" t="str">
        <f aca="false">IF($A13="","",IFERROR(IF(INDEX(원본명단!$F$3:$F$6002,MATCH("R"&amp;8,정리결과!$J$6:$J$6005,0))="","",INDEX(원본명단!$F$3:$F$6002,MATCH("R"&amp;8,정리결과!$J$6:$J$6005,0))),""))</f>
        <v/>
      </c>
      <c r="H13" s="14" t="b">
        <f aca="false">IF(중복검사!$A11="",FALSE(),중복검사!$J11="유지")</f>
        <v>0</v>
      </c>
      <c r="I13" s="5" t="str">
        <f aca="false">IF($H13=FALSE(),"",COUNTIF($H$6:$H13,TRUE()))</f>
        <v/>
      </c>
      <c r="J13" s="5" t="str">
        <f aca="false">IF($I13="","","R"&amp;$I13)</f>
        <v/>
      </c>
    </row>
    <row r="14" customFormat="false" ht="15" hidden="false" customHeight="true" outlineLevel="0" collapsed="false">
      <c r="A14" s="10" t="str">
        <f aca="false">IFERROR(IF(INDEX(원본명단!$A$3:$A$6002,MATCH("R"&amp;9,정리결과!$J$6:$J$6005,0))="","",INDEX(원본명단!$A$3:$A$6002,MATCH("R"&amp;9,정리결과!$J$6:$J$6005,0))),"")</f>
        <v/>
      </c>
      <c r="B14" s="10" t="str">
        <f aca="false">IF($A14="","",IFERROR(IF(INDEX(원본명단!$B$3:$B$6002,MATCH("R"&amp;9,정리결과!$J$6:$J$6005,0))="","",INDEX(원본명단!$B$3:$B$6002,MATCH("R"&amp;9,정리결과!$J$6:$J$6005,0))),""))</f>
        <v/>
      </c>
      <c r="C14" s="10" t="str">
        <f aca="false">IF($A14="","",IFERROR(IF(INDEX(원본명단!$C$3:$C$6002,MATCH("R"&amp;9,정리결과!$J$6:$J$6005,0))="","",INDEX(원본명단!$C$3:$C$6002,MATCH("R"&amp;9,정리결과!$J$6:$J$6005,0))),""))</f>
        <v/>
      </c>
      <c r="D14" s="10" t="str">
        <f aca="false">IF($A14="","",IFERROR(IF(INDEX(원본명단!$D$3:$D$6002,MATCH("R"&amp;9,정리결과!$J$6:$J$6005,0))="","",INDEX(원본명단!$D$3:$D$6002,MATCH("R"&amp;9,정리결과!$J$6:$J$6005,0))),""))</f>
        <v/>
      </c>
      <c r="E14" s="10" t="str">
        <f aca="false">IF($A14="","",IFERROR(IF(INDEX(원본명단!$E$3:$E$6002,MATCH("R"&amp;9,정리결과!$J$6:$J$6005,0))="","",INDEX(원본명단!$E$3:$E$6002,MATCH("R"&amp;9,정리결과!$J$6:$J$6005,0))),""))</f>
        <v/>
      </c>
      <c r="F14" s="10" t="str">
        <f aca="false">IF($A14="","",IFERROR(IF(INDEX(원본명단!$F$3:$F$6002,MATCH("R"&amp;9,정리결과!$J$6:$J$6005,0))="","",INDEX(원본명단!$F$3:$F$6002,MATCH("R"&amp;9,정리결과!$J$6:$J$6005,0))),""))</f>
        <v/>
      </c>
      <c r="H14" s="14" t="b">
        <f aca="false">IF(중복검사!$A12="",FALSE(),중복검사!$J12="유지")</f>
        <v>0</v>
      </c>
      <c r="I14" s="5" t="str">
        <f aca="false">IF($H14=FALSE(),"",COUNTIF($H$6:$H14,TRUE()))</f>
        <v/>
      </c>
      <c r="J14" s="5" t="str">
        <f aca="false">IF($I14="","","R"&amp;$I14)</f>
        <v/>
      </c>
    </row>
    <row r="15" customFormat="false" ht="15" hidden="false" customHeight="true" outlineLevel="0" collapsed="false">
      <c r="A15" s="10" t="str">
        <f aca="false">IFERROR(IF(INDEX(원본명단!$A$3:$A$6002,MATCH("R"&amp;10,정리결과!$J$6:$J$6005,0))="","",INDEX(원본명단!$A$3:$A$6002,MATCH("R"&amp;10,정리결과!$J$6:$J$6005,0))),"")</f>
        <v/>
      </c>
      <c r="B15" s="10" t="str">
        <f aca="false">IF($A15="","",IFERROR(IF(INDEX(원본명단!$B$3:$B$6002,MATCH("R"&amp;10,정리결과!$J$6:$J$6005,0))="","",INDEX(원본명단!$B$3:$B$6002,MATCH("R"&amp;10,정리결과!$J$6:$J$6005,0))),""))</f>
        <v/>
      </c>
      <c r="C15" s="10" t="str">
        <f aca="false">IF($A15="","",IFERROR(IF(INDEX(원본명단!$C$3:$C$6002,MATCH("R"&amp;10,정리결과!$J$6:$J$6005,0))="","",INDEX(원본명단!$C$3:$C$6002,MATCH("R"&amp;10,정리결과!$J$6:$J$6005,0))),""))</f>
        <v/>
      </c>
      <c r="D15" s="10" t="str">
        <f aca="false">IF($A15="","",IFERROR(IF(INDEX(원본명단!$D$3:$D$6002,MATCH("R"&amp;10,정리결과!$J$6:$J$6005,0))="","",INDEX(원본명단!$D$3:$D$6002,MATCH("R"&amp;10,정리결과!$J$6:$J$6005,0))),""))</f>
        <v/>
      </c>
      <c r="E15" s="10" t="str">
        <f aca="false">IF($A15="","",IFERROR(IF(INDEX(원본명단!$E$3:$E$6002,MATCH("R"&amp;10,정리결과!$J$6:$J$6005,0))="","",INDEX(원본명단!$E$3:$E$6002,MATCH("R"&amp;10,정리결과!$J$6:$J$6005,0))),""))</f>
        <v/>
      </c>
      <c r="F15" s="10" t="str">
        <f aca="false">IF($A15="","",IFERROR(IF(INDEX(원본명단!$F$3:$F$6002,MATCH("R"&amp;10,정리결과!$J$6:$J$6005,0))="","",INDEX(원본명단!$F$3:$F$6002,MATCH("R"&amp;10,정리결과!$J$6:$J$6005,0))),""))</f>
        <v/>
      </c>
      <c r="H15" s="14" t="b">
        <f aca="false">IF(중복검사!$A13="",FALSE(),중복검사!$J13="유지")</f>
        <v>0</v>
      </c>
      <c r="I15" s="5" t="str">
        <f aca="false">IF($H15=FALSE(),"",COUNTIF($H$6:$H15,TRUE()))</f>
        <v/>
      </c>
      <c r="J15" s="5" t="str">
        <f aca="false">IF($I15="","","R"&amp;$I15)</f>
        <v/>
      </c>
    </row>
    <row r="16" customFormat="false" ht="15" hidden="false" customHeight="true" outlineLevel="0" collapsed="false">
      <c r="A16" s="10" t="str">
        <f aca="false">IFERROR(IF(INDEX(원본명단!$A$3:$A$6002,MATCH("R"&amp;11,정리결과!$J$6:$J$6005,0))="","",INDEX(원본명단!$A$3:$A$6002,MATCH("R"&amp;11,정리결과!$J$6:$J$6005,0))),"")</f>
        <v/>
      </c>
      <c r="B16" s="10" t="str">
        <f aca="false">IF($A16="","",IFERROR(IF(INDEX(원본명단!$B$3:$B$6002,MATCH("R"&amp;11,정리결과!$J$6:$J$6005,0))="","",INDEX(원본명단!$B$3:$B$6002,MATCH("R"&amp;11,정리결과!$J$6:$J$6005,0))),""))</f>
        <v/>
      </c>
      <c r="C16" s="10" t="str">
        <f aca="false">IF($A16="","",IFERROR(IF(INDEX(원본명단!$C$3:$C$6002,MATCH("R"&amp;11,정리결과!$J$6:$J$6005,0))="","",INDEX(원본명단!$C$3:$C$6002,MATCH("R"&amp;11,정리결과!$J$6:$J$6005,0))),""))</f>
        <v/>
      </c>
      <c r="D16" s="10" t="str">
        <f aca="false">IF($A16="","",IFERROR(IF(INDEX(원본명단!$D$3:$D$6002,MATCH("R"&amp;11,정리결과!$J$6:$J$6005,0))="","",INDEX(원본명단!$D$3:$D$6002,MATCH("R"&amp;11,정리결과!$J$6:$J$6005,0))),""))</f>
        <v/>
      </c>
      <c r="E16" s="10" t="str">
        <f aca="false">IF($A16="","",IFERROR(IF(INDEX(원본명단!$E$3:$E$6002,MATCH("R"&amp;11,정리결과!$J$6:$J$6005,0))="","",INDEX(원본명단!$E$3:$E$6002,MATCH("R"&amp;11,정리결과!$J$6:$J$6005,0))),""))</f>
        <v/>
      </c>
      <c r="F16" s="10" t="str">
        <f aca="false">IF($A16="","",IFERROR(IF(INDEX(원본명단!$F$3:$F$6002,MATCH("R"&amp;11,정리결과!$J$6:$J$6005,0))="","",INDEX(원본명단!$F$3:$F$6002,MATCH("R"&amp;11,정리결과!$J$6:$J$6005,0))),""))</f>
        <v/>
      </c>
      <c r="H16" s="14" t="b">
        <f aca="false">IF(중복검사!$A14="",FALSE(),중복검사!$J14="유지")</f>
        <v>0</v>
      </c>
      <c r="I16" s="5" t="str">
        <f aca="false">IF($H16=FALSE(),"",COUNTIF($H$6:$H16,TRUE()))</f>
        <v/>
      </c>
      <c r="J16" s="5" t="str">
        <f aca="false">IF($I16="","","R"&amp;$I16)</f>
        <v/>
      </c>
    </row>
    <row r="17" customFormat="false" ht="15" hidden="false" customHeight="true" outlineLevel="0" collapsed="false">
      <c r="A17" s="10" t="str">
        <f aca="false">IFERROR(IF(INDEX(원본명단!$A$3:$A$6002,MATCH("R"&amp;12,정리결과!$J$6:$J$6005,0))="","",INDEX(원본명단!$A$3:$A$6002,MATCH("R"&amp;12,정리결과!$J$6:$J$6005,0))),"")</f>
        <v/>
      </c>
      <c r="B17" s="10" t="str">
        <f aca="false">IF($A17="","",IFERROR(IF(INDEX(원본명단!$B$3:$B$6002,MATCH("R"&amp;12,정리결과!$J$6:$J$6005,0))="","",INDEX(원본명단!$B$3:$B$6002,MATCH("R"&amp;12,정리결과!$J$6:$J$6005,0))),""))</f>
        <v/>
      </c>
      <c r="C17" s="10" t="str">
        <f aca="false">IF($A17="","",IFERROR(IF(INDEX(원본명단!$C$3:$C$6002,MATCH("R"&amp;12,정리결과!$J$6:$J$6005,0))="","",INDEX(원본명단!$C$3:$C$6002,MATCH("R"&amp;12,정리결과!$J$6:$J$6005,0))),""))</f>
        <v/>
      </c>
      <c r="D17" s="10" t="str">
        <f aca="false">IF($A17="","",IFERROR(IF(INDEX(원본명단!$D$3:$D$6002,MATCH("R"&amp;12,정리결과!$J$6:$J$6005,0))="","",INDEX(원본명단!$D$3:$D$6002,MATCH("R"&amp;12,정리결과!$J$6:$J$6005,0))),""))</f>
        <v/>
      </c>
      <c r="E17" s="10" t="str">
        <f aca="false">IF($A17="","",IFERROR(IF(INDEX(원본명단!$E$3:$E$6002,MATCH("R"&amp;12,정리결과!$J$6:$J$6005,0))="","",INDEX(원본명단!$E$3:$E$6002,MATCH("R"&amp;12,정리결과!$J$6:$J$6005,0))),""))</f>
        <v/>
      </c>
      <c r="F17" s="10" t="str">
        <f aca="false">IF($A17="","",IFERROR(IF(INDEX(원본명단!$F$3:$F$6002,MATCH("R"&amp;12,정리결과!$J$6:$J$6005,0))="","",INDEX(원본명단!$F$3:$F$6002,MATCH("R"&amp;12,정리결과!$J$6:$J$6005,0))),""))</f>
        <v/>
      </c>
      <c r="H17" s="14" t="b">
        <f aca="false">IF(중복검사!$A15="",FALSE(),중복검사!$J15="유지")</f>
        <v>0</v>
      </c>
      <c r="I17" s="5" t="str">
        <f aca="false">IF($H17=FALSE(),"",COUNTIF($H$6:$H17,TRUE()))</f>
        <v/>
      </c>
      <c r="J17" s="5" t="str">
        <f aca="false">IF($I17="","","R"&amp;$I17)</f>
        <v/>
      </c>
    </row>
    <row r="18" customFormat="false" ht="15" hidden="false" customHeight="true" outlineLevel="0" collapsed="false">
      <c r="A18" s="10" t="str">
        <f aca="false">IFERROR(IF(INDEX(원본명단!$A$3:$A$6002,MATCH("R"&amp;13,정리결과!$J$6:$J$6005,0))="","",INDEX(원본명단!$A$3:$A$6002,MATCH("R"&amp;13,정리결과!$J$6:$J$6005,0))),"")</f>
        <v/>
      </c>
      <c r="B18" s="10" t="str">
        <f aca="false">IF($A18="","",IFERROR(IF(INDEX(원본명단!$B$3:$B$6002,MATCH("R"&amp;13,정리결과!$J$6:$J$6005,0))="","",INDEX(원본명단!$B$3:$B$6002,MATCH("R"&amp;13,정리결과!$J$6:$J$6005,0))),""))</f>
        <v/>
      </c>
      <c r="C18" s="10" t="str">
        <f aca="false">IF($A18="","",IFERROR(IF(INDEX(원본명단!$C$3:$C$6002,MATCH("R"&amp;13,정리결과!$J$6:$J$6005,0))="","",INDEX(원본명단!$C$3:$C$6002,MATCH("R"&amp;13,정리결과!$J$6:$J$6005,0))),""))</f>
        <v/>
      </c>
      <c r="D18" s="10" t="str">
        <f aca="false">IF($A18="","",IFERROR(IF(INDEX(원본명단!$D$3:$D$6002,MATCH("R"&amp;13,정리결과!$J$6:$J$6005,0))="","",INDEX(원본명단!$D$3:$D$6002,MATCH("R"&amp;13,정리결과!$J$6:$J$6005,0))),""))</f>
        <v/>
      </c>
      <c r="E18" s="10" t="str">
        <f aca="false">IF($A18="","",IFERROR(IF(INDEX(원본명단!$E$3:$E$6002,MATCH("R"&amp;13,정리결과!$J$6:$J$6005,0))="","",INDEX(원본명단!$E$3:$E$6002,MATCH("R"&amp;13,정리결과!$J$6:$J$6005,0))),""))</f>
        <v/>
      </c>
      <c r="F18" s="10" t="str">
        <f aca="false">IF($A18="","",IFERROR(IF(INDEX(원본명단!$F$3:$F$6002,MATCH("R"&amp;13,정리결과!$J$6:$J$6005,0))="","",INDEX(원본명단!$F$3:$F$6002,MATCH("R"&amp;13,정리결과!$J$6:$J$6005,0))),""))</f>
        <v/>
      </c>
      <c r="H18" s="14" t="b">
        <f aca="false">IF(중복검사!$A16="",FALSE(),중복검사!$J16="유지")</f>
        <v>0</v>
      </c>
      <c r="I18" s="5" t="str">
        <f aca="false">IF($H18=FALSE(),"",COUNTIF($H$6:$H18,TRUE()))</f>
        <v/>
      </c>
      <c r="J18" s="5" t="str">
        <f aca="false">IF($I18="","","R"&amp;$I18)</f>
        <v/>
      </c>
    </row>
    <row r="19" customFormat="false" ht="15" hidden="false" customHeight="true" outlineLevel="0" collapsed="false">
      <c r="A19" s="10" t="str">
        <f aca="false">IFERROR(IF(INDEX(원본명단!$A$3:$A$6002,MATCH("R"&amp;14,정리결과!$J$6:$J$6005,0))="","",INDEX(원본명단!$A$3:$A$6002,MATCH("R"&amp;14,정리결과!$J$6:$J$6005,0))),"")</f>
        <v/>
      </c>
      <c r="B19" s="10" t="str">
        <f aca="false">IF($A19="","",IFERROR(IF(INDEX(원본명단!$B$3:$B$6002,MATCH("R"&amp;14,정리결과!$J$6:$J$6005,0))="","",INDEX(원본명단!$B$3:$B$6002,MATCH("R"&amp;14,정리결과!$J$6:$J$6005,0))),""))</f>
        <v/>
      </c>
      <c r="C19" s="10" t="str">
        <f aca="false">IF($A19="","",IFERROR(IF(INDEX(원본명단!$C$3:$C$6002,MATCH("R"&amp;14,정리결과!$J$6:$J$6005,0))="","",INDEX(원본명단!$C$3:$C$6002,MATCH("R"&amp;14,정리결과!$J$6:$J$6005,0))),""))</f>
        <v/>
      </c>
      <c r="D19" s="10" t="str">
        <f aca="false">IF($A19="","",IFERROR(IF(INDEX(원본명단!$D$3:$D$6002,MATCH("R"&amp;14,정리결과!$J$6:$J$6005,0))="","",INDEX(원본명단!$D$3:$D$6002,MATCH("R"&amp;14,정리결과!$J$6:$J$6005,0))),""))</f>
        <v/>
      </c>
      <c r="E19" s="10" t="str">
        <f aca="false">IF($A19="","",IFERROR(IF(INDEX(원본명단!$E$3:$E$6002,MATCH("R"&amp;14,정리결과!$J$6:$J$6005,0))="","",INDEX(원본명단!$E$3:$E$6002,MATCH("R"&amp;14,정리결과!$J$6:$J$6005,0))),""))</f>
        <v/>
      </c>
      <c r="F19" s="10" t="str">
        <f aca="false">IF($A19="","",IFERROR(IF(INDEX(원본명단!$F$3:$F$6002,MATCH("R"&amp;14,정리결과!$J$6:$J$6005,0))="","",INDEX(원본명단!$F$3:$F$6002,MATCH("R"&amp;14,정리결과!$J$6:$J$6005,0))),""))</f>
        <v/>
      </c>
      <c r="H19" s="14" t="b">
        <f aca="false">IF(중복검사!$A17="",FALSE(),중복검사!$J17="유지")</f>
        <v>0</v>
      </c>
      <c r="I19" s="5" t="str">
        <f aca="false">IF($H19=FALSE(),"",COUNTIF($H$6:$H19,TRUE()))</f>
        <v/>
      </c>
      <c r="J19" s="5" t="str">
        <f aca="false">IF($I19="","","R"&amp;$I19)</f>
        <v/>
      </c>
    </row>
    <row r="20" customFormat="false" ht="15" hidden="false" customHeight="true" outlineLevel="0" collapsed="false">
      <c r="A20" s="10" t="str">
        <f aca="false">IFERROR(IF(INDEX(원본명단!$A$3:$A$6002,MATCH("R"&amp;15,정리결과!$J$6:$J$6005,0))="","",INDEX(원본명단!$A$3:$A$6002,MATCH("R"&amp;15,정리결과!$J$6:$J$6005,0))),"")</f>
        <v/>
      </c>
      <c r="B20" s="10" t="str">
        <f aca="false">IF($A20="","",IFERROR(IF(INDEX(원본명단!$B$3:$B$6002,MATCH("R"&amp;15,정리결과!$J$6:$J$6005,0))="","",INDEX(원본명단!$B$3:$B$6002,MATCH("R"&amp;15,정리결과!$J$6:$J$6005,0))),""))</f>
        <v/>
      </c>
      <c r="C20" s="10" t="str">
        <f aca="false">IF($A20="","",IFERROR(IF(INDEX(원본명단!$C$3:$C$6002,MATCH("R"&amp;15,정리결과!$J$6:$J$6005,0))="","",INDEX(원본명단!$C$3:$C$6002,MATCH("R"&amp;15,정리결과!$J$6:$J$6005,0))),""))</f>
        <v/>
      </c>
      <c r="D20" s="10" t="str">
        <f aca="false">IF($A20="","",IFERROR(IF(INDEX(원본명단!$D$3:$D$6002,MATCH("R"&amp;15,정리결과!$J$6:$J$6005,0))="","",INDEX(원본명단!$D$3:$D$6002,MATCH("R"&amp;15,정리결과!$J$6:$J$6005,0))),""))</f>
        <v/>
      </c>
      <c r="E20" s="10" t="str">
        <f aca="false">IF($A20="","",IFERROR(IF(INDEX(원본명단!$E$3:$E$6002,MATCH("R"&amp;15,정리결과!$J$6:$J$6005,0))="","",INDEX(원본명단!$E$3:$E$6002,MATCH("R"&amp;15,정리결과!$J$6:$J$6005,0))),""))</f>
        <v/>
      </c>
      <c r="F20" s="10" t="str">
        <f aca="false">IF($A20="","",IFERROR(IF(INDEX(원본명단!$F$3:$F$6002,MATCH("R"&amp;15,정리결과!$J$6:$J$6005,0))="","",INDEX(원본명단!$F$3:$F$6002,MATCH("R"&amp;15,정리결과!$J$6:$J$6005,0))),""))</f>
        <v/>
      </c>
      <c r="H20" s="14" t="b">
        <f aca="false">IF(중복검사!$A18="",FALSE(),중복검사!$J18="유지")</f>
        <v>0</v>
      </c>
      <c r="I20" s="5" t="str">
        <f aca="false">IF($H20=FALSE(),"",COUNTIF($H$6:$H20,TRUE()))</f>
        <v/>
      </c>
      <c r="J20" s="5" t="str">
        <f aca="false">IF($I20="","","R"&amp;$I20)</f>
        <v/>
      </c>
    </row>
    <row r="21" customFormat="false" ht="15" hidden="false" customHeight="true" outlineLevel="0" collapsed="false">
      <c r="A21" s="10" t="str">
        <f aca="false">IFERROR(IF(INDEX(원본명단!$A$3:$A$6002,MATCH("R"&amp;16,정리결과!$J$6:$J$6005,0))="","",INDEX(원본명단!$A$3:$A$6002,MATCH("R"&amp;16,정리결과!$J$6:$J$6005,0))),"")</f>
        <v/>
      </c>
      <c r="B21" s="10" t="str">
        <f aca="false">IF($A21="","",IFERROR(IF(INDEX(원본명단!$B$3:$B$6002,MATCH("R"&amp;16,정리결과!$J$6:$J$6005,0))="","",INDEX(원본명단!$B$3:$B$6002,MATCH("R"&amp;16,정리결과!$J$6:$J$6005,0))),""))</f>
        <v/>
      </c>
      <c r="C21" s="10" t="str">
        <f aca="false">IF($A21="","",IFERROR(IF(INDEX(원본명단!$C$3:$C$6002,MATCH("R"&amp;16,정리결과!$J$6:$J$6005,0))="","",INDEX(원본명단!$C$3:$C$6002,MATCH("R"&amp;16,정리결과!$J$6:$J$6005,0))),""))</f>
        <v/>
      </c>
      <c r="D21" s="10" t="str">
        <f aca="false">IF($A21="","",IFERROR(IF(INDEX(원본명단!$D$3:$D$6002,MATCH("R"&amp;16,정리결과!$J$6:$J$6005,0))="","",INDEX(원본명단!$D$3:$D$6002,MATCH("R"&amp;16,정리결과!$J$6:$J$6005,0))),""))</f>
        <v/>
      </c>
      <c r="E21" s="10" t="str">
        <f aca="false">IF($A21="","",IFERROR(IF(INDEX(원본명단!$E$3:$E$6002,MATCH("R"&amp;16,정리결과!$J$6:$J$6005,0))="","",INDEX(원본명단!$E$3:$E$6002,MATCH("R"&amp;16,정리결과!$J$6:$J$6005,0))),""))</f>
        <v/>
      </c>
      <c r="F21" s="10" t="str">
        <f aca="false">IF($A21="","",IFERROR(IF(INDEX(원본명단!$F$3:$F$6002,MATCH("R"&amp;16,정리결과!$J$6:$J$6005,0))="","",INDEX(원본명단!$F$3:$F$6002,MATCH("R"&amp;16,정리결과!$J$6:$J$6005,0))),""))</f>
        <v/>
      </c>
      <c r="H21" s="14" t="b">
        <f aca="false">IF(중복검사!$A19="",FALSE(),중복검사!$J19="유지")</f>
        <v>0</v>
      </c>
      <c r="I21" s="5" t="str">
        <f aca="false">IF($H21=FALSE(),"",COUNTIF($H$6:$H21,TRUE()))</f>
        <v/>
      </c>
      <c r="J21" s="5" t="str">
        <f aca="false">IF($I21="","","R"&amp;$I21)</f>
        <v/>
      </c>
    </row>
    <row r="22" customFormat="false" ht="15" hidden="false" customHeight="true" outlineLevel="0" collapsed="false">
      <c r="A22" s="10" t="str">
        <f aca="false">IFERROR(IF(INDEX(원본명단!$A$3:$A$6002,MATCH("R"&amp;17,정리결과!$J$6:$J$6005,0))="","",INDEX(원본명단!$A$3:$A$6002,MATCH("R"&amp;17,정리결과!$J$6:$J$6005,0))),"")</f>
        <v/>
      </c>
      <c r="B22" s="10" t="str">
        <f aca="false">IF($A22="","",IFERROR(IF(INDEX(원본명단!$B$3:$B$6002,MATCH("R"&amp;17,정리결과!$J$6:$J$6005,0))="","",INDEX(원본명단!$B$3:$B$6002,MATCH("R"&amp;17,정리결과!$J$6:$J$6005,0))),""))</f>
        <v/>
      </c>
      <c r="C22" s="10" t="str">
        <f aca="false">IF($A22="","",IFERROR(IF(INDEX(원본명단!$C$3:$C$6002,MATCH("R"&amp;17,정리결과!$J$6:$J$6005,0))="","",INDEX(원본명단!$C$3:$C$6002,MATCH("R"&amp;17,정리결과!$J$6:$J$6005,0))),""))</f>
        <v/>
      </c>
      <c r="D22" s="10" t="str">
        <f aca="false">IF($A22="","",IFERROR(IF(INDEX(원본명단!$D$3:$D$6002,MATCH("R"&amp;17,정리결과!$J$6:$J$6005,0))="","",INDEX(원본명단!$D$3:$D$6002,MATCH("R"&amp;17,정리결과!$J$6:$J$6005,0))),""))</f>
        <v/>
      </c>
      <c r="E22" s="10" t="str">
        <f aca="false">IF($A22="","",IFERROR(IF(INDEX(원본명단!$E$3:$E$6002,MATCH("R"&amp;17,정리결과!$J$6:$J$6005,0))="","",INDEX(원본명단!$E$3:$E$6002,MATCH("R"&amp;17,정리결과!$J$6:$J$6005,0))),""))</f>
        <v/>
      </c>
      <c r="F22" s="10" t="str">
        <f aca="false">IF($A22="","",IFERROR(IF(INDEX(원본명단!$F$3:$F$6002,MATCH("R"&amp;17,정리결과!$J$6:$J$6005,0))="","",INDEX(원본명단!$F$3:$F$6002,MATCH("R"&amp;17,정리결과!$J$6:$J$6005,0))),""))</f>
        <v/>
      </c>
      <c r="H22" s="14" t="b">
        <f aca="false">IF(중복검사!$A20="",FALSE(),중복검사!$J20="유지")</f>
        <v>0</v>
      </c>
      <c r="I22" s="5" t="str">
        <f aca="false">IF($H22=FALSE(),"",COUNTIF($H$6:$H22,TRUE()))</f>
        <v/>
      </c>
      <c r="J22" s="5" t="str">
        <f aca="false">IF($I22="","","R"&amp;$I22)</f>
        <v/>
      </c>
    </row>
    <row r="23" customFormat="false" ht="15" hidden="false" customHeight="true" outlineLevel="0" collapsed="false">
      <c r="A23" s="10" t="str">
        <f aca="false">IFERROR(IF(INDEX(원본명단!$A$3:$A$6002,MATCH("R"&amp;18,정리결과!$J$6:$J$6005,0))="","",INDEX(원본명단!$A$3:$A$6002,MATCH("R"&amp;18,정리결과!$J$6:$J$6005,0))),"")</f>
        <v/>
      </c>
      <c r="B23" s="10" t="str">
        <f aca="false">IF($A23="","",IFERROR(IF(INDEX(원본명단!$B$3:$B$6002,MATCH("R"&amp;18,정리결과!$J$6:$J$6005,0))="","",INDEX(원본명단!$B$3:$B$6002,MATCH("R"&amp;18,정리결과!$J$6:$J$6005,0))),""))</f>
        <v/>
      </c>
      <c r="C23" s="10" t="str">
        <f aca="false">IF($A23="","",IFERROR(IF(INDEX(원본명단!$C$3:$C$6002,MATCH("R"&amp;18,정리결과!$J$6:$J$6005,0))="","",INDEX(원본명단!$C$3:$C$6002,MATCH("R"&amp;18,정리결과!$J$6:$J$6005,0))),""))</f>
        <v/>
      </c>
      <c r="D23" s="10" t="str">
        <f aca="false">IF($A23="","",IFERROR(IF(INDEX(원본명단!$D$3:$D$6002,MATCH("R"&amp;18,정리결과!$J$6:$J$6005,0))="","",INDEX(원본명단!$D$3:$D$6002,MATCH("R"&amp;18,정리결과!$J$6:$J$6005,0))),""))</f>
        <v/>
      </c>
      <c r="E23" s="10" t="str">
        <f aca="false">IF($A23="","",IFERROR(IF(INDEX(원본명단!$E$3:$E$6002,MATCH("R"&amp;18,정리결과!$J$6:$J$6005,0))="","",INDEX(원본명단!$E$3:$E$6002,MATCH("R"&amp;18,정리결과!$J$6:$J$6005,0))),""))</f>
        <v/>
      </c>
      <c r="F23" s="10" t="str">
        <f aca="false">IF($A23="","",IFERROR(IF(INDEX(원본명단!$F$3:$F$6002,MATCH("R"&amp;18,정리결과!$J$6:$J$6005,0))="","",INDEX(원본명단!$F$3:$F$6002,MATCH("R"&amp;18,정리결과!$J$6:$J$6005,0))),""))</f>
        <v/>
      </c>
      <c r="H23" s="14" t="b">
        <f aca="false">IF(중복검사!$A21="",FALSE(),중복검사!$J21="유지")</f>
        <v>0</v>
      </c>
      <c r="I23" s="5" t="str">
        <f aca="false">IF($H23=FALSE(),"",COUNTIF($H$6:$H23,TRUE()))</f>
        <v/>
      </c>
      <c r="J23" s="5" t="str">
        <f aca="false">IF($I23="","","R"&amp;$I23)</f>
        <v/>
      </c>
    </row>
    <row r="24" customFormat="false" ht="15" hidden="false" customHeight="true" outlineLevel="0" collapsed="false">
      <c r="A24" s="10" t="str">
        <f aca="false">IFERROR(IF(INDEX(원본명단!$A$3:$A$6002,MATCH("R"&amp;19,정리결과!$J$6:$J$6005,0))="","",INDEX(원본명단!$A$3:$A$6002,MATCH("R"&amp;19,정리결과!$J$6:$J$6005,0))),"")</f>
        <v/>
      </c>
      <c r="B24" s="10" t="str">
        <f aca="false">IF($A24="","",IFERROR(IF(INDEX(원본명단!$B$3:$B$6002,MATCH("R"&amp;19,정리결과!$J$6:$J$6005,0))="","",INDEX(원본명단!$B$3:$B$6002,MATCH("R"&amp;19,정리결과!$J$6:$J$6005,0))),""))</f>
        <v/>
      </c>
      <c r="C24" s="10" t="str">
        <f aca="false">IF($A24="","",IFERROR(IF(INDEX(원본명단!$C$3:$C$6002,MATCH("R"&amp;19,정리결과!$J$6:$J$6005,0))="","",INDEX(원본명단!$C$3:$C$6002,MATCH("R"&amp;19,정리결과!$J$6:$J$6005,0))),""))</f>
        <v/>
      </c>
      <c r="D24" s="10" t="str">
        <f aca="false">IF($A24="","",IFERROR(IF(INDEX(원본명단!$D$3:$D$6002,MATCH("R"&amp;19,정리결과!$J$6:$J$6005,0))="","",INDEX(원본명단!$D$3:$D$6002,MATCH("R"&amp;19,정리결과!$J$6:$J$6005,0))),""))</f>
        <v/>
      </c>
      <c r="E24" s="10" t="str">
        <f aca="false">IF($A24="","",IFERROR(IF(INDEX(원본명단!$E$3:$E$6002,MATCH("R"&amp;19,정리결과!$J$6:$J$6005,0))="","",INDEX(원본명단!$E$3:$E$6002,MATCH("R"&amp;19,정리결과!$J$6:$J$6005,0))),""))</f>
        <v/>
      </c>
      <c r="F24" s="10" t="str">
        <f aca="false">IF($A24="","",IFERROR(IF(INDEX(원본명단!$F$3:$F$6002,MATCH("R"&amp;19,정리결과!$J$6:$J$6005,0))="","",INDEX(원본명단!$F$3:$F$6002,MATCH("R"&amp;19,정리결과!$J$6:$J$6005,0))),""))</f>
        <v/>
      </c>
      <c r="H24" s="14" t="b">
        <f aca="false">IF(중복검사!$A22="",FALSE(),중복검사!$J22="유지")</f>
        <v>0</v>
      </c>
      <c r="I24" s="5" t="str">
        <f aca="false">IF($H24=FALSE(),"",COUNTIF($H$6:$H24,TRUE()))</f>
        <v/>
      </c>
      <c r="J24" s="5" t="str">
        <f aca="false">IF($I24="","","R"&amp;$I24)</f>
        <v/>
      </c>
    </row>
    <row r="25" customFormat="false" ht="15" hidden="false" customHeight="true" outlineLevel="0" collapsed="false">
      <c r="A25" s="10" t="str">
        <f aca="false">IFERROR(IF(INDEX(원본명단!$A$3:$A$6002,MATCH("R"&amp;20,정리결과!$J$6:$J$6005,0))="","",INDEX(원본명단!$A$3:$A$6002,MATCH("R"&amp;20,정리결과!$J$6:$J$6005,0))),"")</f>
        <v/>
      </c>
      <c r="B25" s="10" t="str">
        <f aca="false">IF($A25="","",IFERROR(IF(INDEX(원본명단!$B$3:$B$6002,MATCH("R"&amp;20,정리결과!$J$6:$J$6005,0))="","",INDEX(원본명단!$B$3:$B$6002,MATCH("R"&amp;20,정리결과!$J$6:$J$6005,0))),""))</f>
        <v/>
      </c>
      <c r="C25" s="10" t="str">
        <f aca="false">IF($A25="","",IFERROR(IF(INDEX(원본명단!$C$3:$C$6002,MATCH("R"&amp;20,정리결과!$J$6:$J$6005,0))="","",INDEX(원본명단!$C$3:$C$6002,MATCH("R"&amp;20,정리결과!$J$6:$J$6005,0))),""))</f>
        <v/>
      </c>
      <c r="D25" s="10" t="str">
        <f aca="false">IF($A25="","",IFERROR(IF(INDEX(원본명단!$D$3:$D$6002,MATCH("R"&amp;20,정리결과!$J$6:$J$6005,0))="","",INDEX(원본명단!$D$3:$D$6002,MATCH("R"&amp;20,정리결과!$J$6:$J$6005,0))),""))</f>
        <v/>
      </c>
      <c r="E25" s="10" t="str">
        <f aca="false">IF($A25="","",IFERROR(IF(INDEX(원본명단!$E$3:$E$6002,MATCH("R"&amp;20,정리결과!$J$6:$J$6005,0))="","",INDEX(원본명단!$E$3:$E$6002,MATCH("R"&amp;20,정리결과!$J$6:$J$6005,0))),""))</f>
        <v/>
      </c>
      <c r="F25" s="10" t="str">
        <f aca="false">IF($A25="","",IFERROR(IF(INDEX(원본명단!$F$3:$F$6002,MATCH("R"&amp;20,정리결과!$J$6:$J$6005,0))="","",INDEX(원본명단!$F$3:$F$6002,MATCH("R"&amp;20,정리결과!$J$6:$J$6005,0))),""))</f>
        <v/>
      </c>
      <c r="H25" s="14" t="b">
        <f aca="false">IF(중복검사!$A23="",FALSE(),중복검사!$J23="유지")</f>
        <v>0</v>
      </c>
      <c r="I25" s="5" t="str">
        <f aca="false">IF($H25=FALSE(),"",COUNTIF($H$6:$H25,TRUE()))</f>
        <v/>
      </c>
      <c r="J25" s="5" t="str">
        <f aca="false">IF($I25="","","R"&amp;$I25)</f>
        <v/>
      </c>
    </row>
    <row r="26" customFormat="false" ht="15" hidden="false" customHeight="true" outlineLevel="0" collapsed="false">
      <c r="A26" s="10" t="str">
        <f aca="false">IFERROR(IF(INDEX(원본명단!$A$3:$A$6002,MATCH("R"&amp;21,정리결과!$J$6:$J$6005,0))="","",INDEX(원본명단!$A$3:$A$6002,MATCH("R"&amp;21,정리결과!$J$6:$J$6005,0))),"")</f>
        <v/>
      </c>
      <c r="B26" s="10" t="str">
        <f aca="false">IF($A26="","",IFERROR(IF(INDEX(원본명단!$B$3:$B$6002,MATCH("R"&amp;21,정리결과!$J$6:$J$6005,0))="","",INDEX(원본명단!$B$3:$B$6002,MATCH("R"&amp;21,정리결과!$J$6:$J$6005,0))),""))</f>
        <v/>
      </c>
      <c r="C26" s="10" t="str">
        <f aca="false">IF($A26="","",IFERROR(IF(INDEX(원본명단!$C$3:$C$6002,MATCH("R"&amp;21,정리결과!$J$6:$J$6005,0))="","",INDEX(원본명단!$C$3:$C$6002,MATCH("R"&amp;21,정리결과!$J$6:$J$6005,0))),""))</f>
        <v/>
      </c>
      <c r="D26" s="10" t="str">
        <f aca="false">IF($A26="","",IFERROR(IF(INDEX(원본명단!$D$3:$D$6002,MATCH("R"&amp;21,정리결과!$J$6:$J$6005,0))="","",INDEX(원본명단!$D$3:$D$6002,MATCH("R"&amp;21,정리결과!$J$6:$J$6005,0))),""))</f>
        <v/>
      </c>
      <c r="E26" s="10" t="str">
        <f aca="false">IF($A26="","",IFERROR(IF(INDEX(원본명단!$E$3:$E$6002,MATCH("R"&amp;21,정리결과!$J$6:$J$6005,0))="","",INDEX(원본명단!$E$3:$E$6002,MATCH("R"&amp;21,정리결과!$J$6:$J$6005,0))),""))</f>
        <v/>
      </c>
      <c r="F26" s="10" t="str">
        <f aca="false">IF($A26="","",IFERROR(IF(INDEX(원본명단!$F$3:$F$6002,MATCH("R"&amp;21,정리결과!$J$6:$J$6005,0))="","",INDEX(원본명단!$F$3:$F$6002,MATCH("R"&amp;21,정리결과!$J$6:$J$6005,0))),""))</f>
        <v/>
      </c>
      <c r="H26" s="14" t="b">
        <f aca="false">IF(중복검사!$A24="",FALSE(),중복검사!$J24="유지")</f>
        <v>0</v>
      </c>
      <c r="I26" s="5" t="str">
        <f aca="false">IF($H26=FALSE(),"",COUNTIF($H$6:$H26,TRUE()))</f>
        <v/>
      </c>
      <c r="J26" s="5" t="str">
        <f aca="false">IF($I26="","","R"&amp;$I26)</f>
        <v/>
      </c>
    </row>
    <row r="27" customFormat="false" ht="15" hidden="false" customHeight="true" outlineLevel="0" collapsed="false">
      <c r="A27" s="10" t="str">
        <f aca="false">IFERROR(IF(INDEX(원본명단!$A$3:$A$6002,MATCH("R"&amp;22,정리결과!$J$6:$J$6005,0))="","",INDEX(원본명단!$A$3:$A$6002,MATCH("R"&amp;22,정리결과!$J$6:$J$6005,0))),"")</f>
        <v/>
      </c>
      <c r="B27" s="10" t="str">
        <f aca="false">IF($A27="","",IFERROR(IF(INDEX(원본명단!$B$3:$B$6002,MATCH("R"&amp;22,정리결과!$J$6:$J$6005,0))="","",INDEX(원본명단!$B$3:$B$6002,MATCH("R"&amp;22,정리결과!$J$6:$J$6005,0))),""))</f>
        <v/>
      </c>
      <c r="C27" s="10" t="str">
        <f aca="false">IF($A27="","",IFERROR(IF(INDEX(원본명단!$C$3:$C$6002,MATCH("R"&amp;22,정리결과!$J$6:$J$6005,0))="","",INDEX(원본명단!$C$3:$C$6002,MATCH("R"&amp;22,정리결과!$J$6:$J$6005,0))),""))</f>
        <v/>
      </c>
      <c r="D27" s="10" t="str">
        <f aca="false">IF($A27="","",IFERROR(IF(INDEX(원본명단!$D$3:$D$6002,MATCH("R"&amp;22,정리결과!$J$6:$J$6005,0))="","",INDEX(원본명단!$D$3:$D$6002,MATCH("R"&amp;22,정리결과!$J$6:$J$6005,0))),""))</f>
        <v/>
      </c>
      <c r="E27" s="10" t="str">
        <f aca="false">IF($A27="","",IFERROR(IF(INDEX(원본명단!$E$3:$E$6002,MATCH("R"&amp;22,정리결과!$J$6:$J$6005,0))="","",INDEX(원본명단!$E$3:$E$6002,MATCH("R"&amp;22,정리결과!$J$6:$J$6005,0))),""))</f>
        <v/>
      </c>
      <c r="F27" s="10" t="str">
        <f aca="false">IF($A27="","",IFERROR(IF(INDEX(원본명단!$F$3:$F$6002,MATCH("R"&amp;22,정리결과!$J$6:$J$6005,0))="","",INDEX(원본명단!$F$3:$F$6002,MATCH("R"&amp;22,정리결과!$J$6:$J$6005,0))),""))</f>
        <v/>
      </c>
      <c r="H27" s="14" t="b">
        <f aca="false">IF(중복검사!$A25="",FALSE(),중복검사!$J25="유지")</f>
        <v>0</v>
      </c>
      <c r="I27" s="5" t="str">
        <f aca="false">IF($H27=FALSE(),"",COUNTIF($H$6:$H27,TRUE()))</f>
        <v/>
      </c>
      <c r="J27" s="5" t="str">
        <f aca="false">IF($I27="","","R"&amp;$I27)</f>
        <v/>
      </c>
    </row>
    <row r="28" customFormat="false" ht="15" hidden="false" customHeight="true" outlineLevel="0" collapsed="false">
      <c r="A28" s="10" t="str">
        <f aca="false">IFERROR(IF(INDEX(원본명단!$A$3:$A$6002,MATCH("R"&amp;23,정리결과!$J$6:$J$6005,0))="","",INDEX(원본명단!$A$3:$A$6002,MATCH("R"&amp;23,정리결과!$J$6:$J$6005,0))),"")</f>
        <v/>
      </c>
      <c r="B28" s="10" t="str">
        <f aca="false">IF($A28="","",IFERROR(IF(INDEX(원본명단!$B$3:$B$6002,MATCH("R"&amp;23,정리결과!$J$6:$J$6005,0))="","",INDEX(원본명단!$B$3:$B$6002,MATCH("R"&amp;23,정리결과!$J$6:$J$6005,0))),""))</f>
        <v/>
      </c>
      <c r="C28" s="10" t="str">
        <f aca="false">IF($A28="","",IFERROR(IF(INDEX(원본명단!$C$3:$C$6002,MATCH("R"&amp;23,정리결과!$J$6:$J$6005,0))="","",INDEX(원본명단!$C$3:$C$6002,MATCH("R"&amp;23,정리결과!$J$6:$J$6005,0))),""))</f>
        <v/>
      </c>
      <c r="D28" s="10" t="str">
        <f aca="false">IF($A28="","",IFERROR(IF(INDEX(원본명단!$D$3:$D$6002,MATCH("R"&amp;23,정리결과!$J$6:$J$6005,0))="","",INDEX(원본명단!$D$3:$D$6002,MATCH("R"&amp;23,정리결과!$J$6:$J$6005,0))),""))</f>
        <v/>
      </c>
      <c r="E28" s="10" t="str">
        <f aca="false">IF($A28="","",IFERROR(IF(INDEX(원본명단!$E$3:$E$6002,MATCH("R"&amp;23,정리결과!$J$6:$J$6005,0))="","",INDEX(원본명단!$E$3:$E$6002,MATCH("R"&amp;23,정리결과!$J$6:$J$6005,0))),""))</f>
        <v/>
      </c>
      <c r="F28" s="10" t="str">
        <f aca="false">IF($A28="","",IFERROR(IF(INDEX(원본명단!$F$3:$F$6002,MATCH("R"&amp;23,정리결과!$J$6:$J$6005,0))="","",INDEX(원본명단!$F$3:$F$6002,MATCH("R"&amp;23,정리결과!$J$6:$J$6005,0))),""))</f>
        <v/>
      </c>
      <c r="H28" s="14" t="b">
        <f aca="false">IF(중복검사!$A26="",FALSE(),중복검사!$J26="유지")</f>
        <v>0</v>
      </c>
      <c r="I28" s="5" t="str">
        <f aca="false">IF($H28=FALSE(),"",COUNTIF($H$6:$H28,TRUE()))</f>
        <v/>
      </c>
      <c r="J28" s="5" t="str">
        <f aca="false">IF($I28="","","R"&amp;$I28)</f>
        <v/>
      </c>
    </row>
    <row r="29" customFormat="false" ht="15" hidden="false" customHeight="true" outlineLevel="0" collapsed="false">
      <c r="A29" s="10" t="str">
        <f aca="false">IFERROR(IF(INDEX(원본명단!$A$3:$A$6002,MATCH("R"&amp;24,정리결과!$J$6:$J$6005,0))="","",INDEX(원본명단!$A$3:$A$6002,MATCH("R"&amp;24,정리결과!$J$6:$J$6005,0))),"")</f>
        <v/>
      </c>
      <c r="B29" s="10" t="str">
        <f aca="false">IF($A29="","",IFERROR(IF(INDEX(원본명단!$B$3:$B$6002,MATCH("R"&amp;24,정리결과!$J$6:$J$6005,0))="","",INDEX(원본명단!$B$3:$B$6002,MATCH("R"&amp;24,정리결과!$J$6:$J$6005,0))),""))</f>
        <v/>
      </c>
      <c r="C29" s="10" t="str">
        <f aca="false">IF($A29="","",IFERROR(IF(INDEX(원본명단!$C$3:$C$6002,MATCH("R"&amp;24,정리결과!$J$6:$J$6005,0))="","",INDEX(원본명단!$C$3:$C$6002,MATCH("R"&amp;24,정리결과!$J$6:$J$6005,0))),""))</f>
        <v/>
      </c>
      <c r="D29" s="10" t="str">
        <f aca="false">IF($A29="","",IFERROR(IF(INDEX(원본명단!$D$3:$D$6002,MATCH("R"&amp;24,정리결과!$J$6:$J$6005,0))="","",INDEX(원본명단!$D$3:$D$6002,MATCH("R"&amp;24,정리결과!$J$6:$J$6005,0))),""))</f>
        <v/>
      </c>
      <c r="E29" s="10" t="str">
        <f aca="false">IF($A29="","",IFERROR(IF(INDEX(원본명단!$E$3:$E$6002,MATCH("R"&amp;24,정리결과!$J$6:$J$6005,0))="","",INDEX(원본명단!$E$3:$E$6002,MATCH("R"&amp;24,정리결과!$J$6:$J$6005,0))),""))</f>
        <v/>
      </c>
      <c r="F29" s="10" t="str">
        <f aca="false">IF($A29="","",IFERROR(IF(INDEX(원본명단!$F$3:$F$6002,MATCH("R"&amp;24,정리결과!$J$6:$J$6005,0))="","",INDEX(원본명단!$F$3:$F$6002,MATCH("R"&amp;24,정리결과!$J$6:$J$6005,0))),""))</f>
        <v/>
      </c>
      <c r="H29" s="14" t="b">
        <f aca="false">IF(중복검사!$A27="",FALSE(),중복검사!$J27="유지")</f>
        <v>0</v>
      </c>
      <c r="I29" s="5" t="str">
        <f aca="false">IF($H29=FALSE(),"",COUNTIF($H$6:$H29,TRUE()))</f>
        <v/>
      </c>
      <c r="J29" s="5" t="str">
        <f aca="false">IF($I29="","","R"&amp;$I29)</f>
        <v/>
      </c>
    </row>
    <row r="30" customFormat="false" ht="15" hidden="false" customHeight="true" outlineLevel="0" collapsed="false">
      <c r="A30" s="10" t="str">
        <f aca="false">IFERROR(IF(INDEX(원본명단!$A$3:$A$6002,MATCH("R"&amp;25,정리결과!$J$6:$J$6005,0))="","",INDEX(원본명단!$A$3:$A$6002,MATCH("R"&amp;25,정리결과!$J$6:$J$6005,0))),"")</f>
        <v/>
      </c>
      <c r="B30" s="10" t="str">
        <f aca="false">IF($A30="","",IFERROR(IF(INDEX(원본명단!$B$3:$B$6002,MATCH("R"&amp;25,정리결과!$J$6:$J$6005,0))="","",INDEX(원본명단!$B$3:$B$6002,MATCH("R"&amp;25,정리결과!$J$6:$J$6005,0))),""))</f>
        <v/>
      </c>
      <c r="C30" s="10" t="str">
        <f aca="false">IF($A30="","",IFERROR(IF(INDEX(원본명단!$C$3:$C$6002,MATCH("R"&amp;25,정리결과!$J$6:$J$6005,0))="","",INDEX(원본명단!$C$3:$C$6002,MATCH("R"&amp;25,정리결과!$J$6:$J$6005,0))),""))</f>
        <v/>
      </c>
      <c r="D30" s="10" t="str">
        <f aca="false">IF($A30="","",IFERROR(IF(INDEX(원본명단!$D$3:$D$6002,MATCH("R"&amp;25,정리결과!$J$6:$J$6005,0))="","",INDEX(원본명단!$D$3:$D$6002,MATCH("R"&amp;25,정리결과!$J$6:$J$6005,0))),""))</f>
        <v/>
      </c>
      <c r="E30" s="10" t="str">
        <f aca="false">IF($A30="","",IFERROR(IF(INDEX(원본명단!$E$3:$E$6002,MATCH("R"&amp;25,정리결과!$J$6:$J$6005,0))="","",INDEX(원본명단!$E$3:$E$6002,MATCH("R"&amp;25,정리결과!$J$6:$J$6005,0))),""))</f>
        <v/>
      </c>
      <c r="F30" s="10" t="str">
        <f aca="false">IF($A30="","",IFERROR(IF(INDEX(원본명단!$F$3:$F$6002,MATCH("R"&amp;25,정리결과!$J$6:$J$6005,0))="","",INDEX(원본명단!$F$3:$F$6002,MATCH("R"&amp;25,정리결과!$J$6:$J$6005,0))),""))</f>
        <v/>
      </c>
      <c r="H30" s="14" t="b">
        <f aca="false">IF(중복검사!$A28="",FALSE(),중복검사!$J28="유지")</f>
        <v>0</v>
      </c>
      <c r="I30" s="5" t="str">
        <f aca="false">IF($H30=FALSE(),"",COUNTIF($H$6:$H30,TRUE()))</f>
        <v/>
      </c>
      <c r="J30" s="5" t="str">
        <f aca="false">IF($I30="","","R"&amp;$I30)</f>
        <v/>
      </c>
    </row>
    <row r="31" customFormat="false" ht="15" hidden="false" customHeight="true" outlineLevel="0" collapsed="false">
      <c r="A31" s="10" t="str">
        <f aca="false">IFERROR(IF(INDEX(원본명단!$A$3:$A$6002,MATCH("R"&amp;26,정리결과!$J$6:$J$6005,0))="","",INDEX(원본명단!$A$3:$A$6002,MATCH("R"&amp;26,정리결과!$J$6:$J$6005,0))),"")</f>
        <v/>
      </c>
      <c r="B31" s="10" t="str">
        <f aca="false">IF($A31="","",IFERROR(IF(INDEX(원본명단!$B$3:$B$6002,MATCH("R"&amp;26,정리결과!$J$6:$J$6005,0))="","",INDEX(원본명단!$B$3:$B$6002,MATCH("R"&amp;26,정리결과!$J$6:$J$6005,0))),""))</f>
        <v/>
      </c>
      <c r="C31" s="10" t="str">
        <f aca="false">IF($A31="","",IFERROR(IF(INDEX(원본명단!$C$3:$C$6002,MATCH("R"&amp;26,정리결과!$J$6:$J$6005,0))="","",INDEX(원본명단!$C$3:$C$6002,MATCH("R"&amp;26,정리결과!$J$6:$J$6005,0))),""))</f>
        <v/>
      </c>
      <c r="D31" s="10" t="str">
        <f aca="false">IF($A31="","",IFERROR(IF(INDEX(원본명단!$D$3:$D$6002,MATCH("R"&amp;26,정리결과!$J$6:$J$6005,0))="","",INDEX(원본명단!$D$3:$D$6002,MATCH("R"&amp;26,정리결과!$J$6:$J$6005,0))),""))</f>
        <v/>
      </c>
      <c r="E31" s="10" t="str">
        <f aca="false">IF($A31="","",IFERROR(IF(INDEX(원본명단!$E$3:$E$6002,MATCH("R"&amp;26,정리결과!$J$6:$J$6005,0))="","",INDEX(원본명단!$E$3:$E$6002,MATCH("R"&amp;26,정리결과!$J$6:$J$6005,0))),""))</f>
        <v/>
      </c>
      <c r="F31" s="10" t="str">
        <f aca="false">IF($A31="","",IFERROR(IF(INDEX(원본명단!$F$3:$F$6002,MATCH("R"&amp;26,정리결과!$J$6:$J$6005,0))="","",INDEX(원본명단!$F$3:$F$6002,MATCH("R"&amp;26,정리결과!$J$6:$J$6005,0))),""))</f>
        <v/>
      </c>
      <c r="H31" s="14" t="b">
        <f aca="false">IF(중복검사!$A29="",FALSE(),중복검사!$J29="유지")</f>
        <v>0</v>
      </c>
      <c r="I31" s="5" t="str">
        <f aca="false">IF($H31=FALSE(),"",COUNTIF($H$6:$H31,TRUE()))</f>
        <v/>
      </c>
      <c r="J31" s="5" t="str">
        <f aca="false">IF($I31="","","R"&amp;$I31)</f>
        <v/>
      </c>
    </row>
    <row r="32" customFormat="false" ht="15" hidden="false" customHeight="true" outlineLevel="0" collapsed="false">
      <c r="A32" s="10" t="str">
        <f aca="false">IFERROR(IF(INDEX(원본명단!$A$3:$A$6002,MATCH("R"&amp;27,정리결과!$J$6:$J$6005,0))="","",INDEX(원본명단!$A$3:$A$6002,MATCH("R"&amp;27,정리결과!$J$6:$J$6005,0))),"")</f>
        <v/>
      </c>
      <c r="B32" s="10" t="str">
        <f aca="false">IF($A32="","",IFERROR(IF(INDEX(원본명단!$B$3:$B$6002,MATCH("R"&amp;27,정리결과!$J$6:$J$6005,0))="","",INDEX(원본명단!$B$3:$B$6002,MATCH("R"&amp;27,정리결과!$J$6:$J$6005,0))),""))</f>
        <v/>
      </c>
      <c r="C32" s="10" t="str">
        <f aca="false">IF($A32="","",IFERROR(IF(INDEX(원본명단!$C$3:$C$6002,MATCH("R"&amp;27,정리결과!$J$6:$J$6005,0))="","",INDEX(원본명단!$C$3:$C$6002,MATCH("R"&amp;27,정리결과!$J$6:$J$6005,0))),""))</f>
        <v/>
      </c>
      <c r="D32" s="10" t="str">
        <f aca="false">IF($A32="","",IFERROR(IF(INDEX(원본명단!$D$3:$D$6002,MATCH("R"&amp;27,정리결과!$J$6:$J$6005,0))="","",INDEX(원본명단!$D$3:$D$6002,MATCH("R"&amp;27,정리결과!$J$6:$J$6005,0))),""))</f>
        <v/>
      </c>
      <c r="E32" s="10" t="str">
        <f aca="false">IF($A32="","",IFERROR(IF(INDEX(원본명단!$E$3:$E$6002,MATCH("R"&amp;27,정리결과!$J$6:$J$6005,0))="","",INDEX(원본명단!$E$3:$E$6002,MATCH("R"&amp;27,정리결과!$J$6:$J$6005,0))),""))</f>
        <v/>
      </c>
      <c r="F32" s="10" t="str">
        <f aca="false">IF($A32="","",IFERROR(IF(INDEX(원본명단!$F$3:$F$6002,MATCH("R"&amp;27,정리결과!$J$6:$J$6005,0))="","",INDEX(원본명단!$F$3:$F$6002,MATCH("R"&amp;27,정리결과!$J$6:$J$6005,0))),""))</f>
        <v/>
      </c>
      <c r="H32" s="14" t="b">
        <f aca="false">IF(중복검사!$A30="",FALSE(),중복검사!$J30="유지")</f>
        <v>0</v>
      </c>
      <c r="I32" s="5" t="str">
        <f aca="false">IF($H32=FALSE(),"",COUNTIF($H$6:$H32,TRUE()))</f>
        <v/>
      </c>
      <c r="J32" s="5" t="str">
        <f aca="false">IF($I32="","","R"&amp;$I32)</f>
        <v/>
      </c>
    </row>
    <row r="33" customFormat="false" ht="15" hidden="false" customHeight="true" outlineLevel="0" collapsed="false">
      <c r="A33" s="10" t="str">
        <f aca="false">IFERROR(IF(INDEX(원본명단!$A$3:$A$6002,MATCH("R"&amp;28,정리결과!$J$6:$J$6005,0))="","",INDEX(원본명단!$A$3:$A$6002,MATCH("R"&amp;28,정리결과!$J$6:$J$6005,0))),"")</f>
        <v/>
      </c>
      <c r="B33" s="10" t="str">
        <f aca="false">IF($A33="","",IFERROR(IF(INDEX(원본명단!$B$3:$B$6002,MATCH("R"&amp;28,정리결과!$J$6:$J$6005,0))="","",INDEX(원본명단!$B$3:$B$6002,MATCH("R"&amp;28,정리결과!$J$6:$J$6005,0))),""))</f>
        <v/>
      </c>
      <c r="C33" s="10" t="str">
        <f aca="false">IF($A33="","",IFERROR(IF(INDEX(원본명단!$C$3:$C$6002,MATCH("R"&amp;28,정리결과!$J$6:$J$6005,0))="","",INDEX(원본명단!$C$3:$C$6002,MATCH("R"&amp;28,정리결과!$J$6:$J$6005,0))),""))</f>
        <v/>
      </c>
      <c r="D33" s="10" t="str">
        <f aca="false">IF($A33="","",IFERROR(IF(INDEX(원본명단!$D$3:$D$6002,MATCH("R"&amp;28,정리결과!$J$6:$J$6005,0))="","",INDEX(원본명단!$D$3:$D$6002,MATCH("R"&amp;28,정리결과!$J$6:$J$6005,0))),""))</f>
        <v/>
      </c>
      <c r="E33" s="10" t="str">
        <f aca="false">IF($A33="","",IFERROR(IF(INDEX(원본명단!$E$3:$E$6002,MATCH("R"&amp;28,정리결과!$J$6:$J$6005,0))="","",INDEX(원본명단!$E$3:$E$6002,MATCH("R"&amp;28,정리결과!$J$6:$J$6005,0))),""))</f>
        <v/>
      </c>
      <c r="F33" s="10" t="str">
        <f aca="false">IF($A33="","",IFERROR(IF(INDEX(원본명단!$F$3:$F$6002,MATCH("R"&amp;28,정리결과!$J$6:$J$6005,0))="","",INDEX(원본명단!$F$3:$F$6002,MATCH("R"&amp;28,정리결과!$J$6:$J$6005,0))),""))</f>
        <v/>
      </c>
      <c r="H33" s="14" t="b">
        <f aca="false">IF(중복검사!$A31="",FALSE(),중복검사!$J31="유지")</f>
        <v>0</v>
      </c>
      <c r="I33" s="5" t="str">
        <f aca="false">IF($H33=FALSE(),"",COUNTIF($H$6:$H33,TRUE()))</f>
        <v/>
      </c>
      <c r="J33" s="5" t="str">
        <f aca="false">IF($I33="","","R"&amp;$I33)</f>
        <v/>
      </c>
    </row>
    <row r="34" customFormat="false" ht="15" hidden="false" customHeight="true" outlineLevel="0" collapsed="false">
      <c r="A34" s="10" t="str">
        <f aca="false">IFERROR(IF(INDEX(원본명단!$A$3:$A$6002,MATCH("R"&amp;29,정리결과!$J$6:$J$6005,0))="","",INDEX(원본명단!$A$3:$A$6002,MATCH("R"&amp;29,정리결과!$J$6:$J$6005,0))),"")</f>
        <v/>
      </c>
      <c r="B34" s="10" t="str">
        <f aca="false">IF($A34="","",IFERROR(IF(INDEX(원본명단!$B$3:$B$6002,MATCH("R"&amp;29,정리결과!$J$6:$J$6005,0))="","",INDEX(원본명단!$B$3:$B$6002,MATCH("R"&amp;29,정리결과!$J$6:$J$6005,0))),""))</f>
        <v/>
      </c>
      <c r="C34" s="10" t="str">
        <f aca="false">IF($A34="","",IFERROR(IF(INDEX(원본명단!$C$3:$C$6002,MATCH("R"&amp;29,정리결과!$J$6:$J$6005,0))="","",INDEX(원본명단!$C$3:$C$6002,MATCH("R"&amp;29,정리결과!$J$6:$J$6005,0))),""))</f>
        <v/>
      </c>
      <c r="D34" s="10" t="str">
        <f aca="false">IF($A34="","",IFERROR(IF(INDEX(원본명단!$D$3:$D$6002,MATCH("R"&amp;29,정리결과!$J$6:$J$6005,0))="","",INDEX(원본명단!$D$3:$D$6002,MATCH("R"&amp;29,정리결과!$J$6:$J$6005,0))),""))</f>
        <v/>
      </c>
      <c r="E34" s="10" t="str">
        <f aca="false">IF($A34="","",IFERROR(IF(INDEX(원본명단!$E$3:$E$6002,MATCH("R"&amp;29,정리결과!$J$6:$J$6005,0))="","",INDEX(원본명단!$E$3:$E$6002,MATCH("R"&amp;29,정리결과!$J$6:$J$6005,0))),""))</f>
        <v/>
      </c>
      <c r="F34" s="10" t="str">
        <f aca="false">IF($A34="","",IFERROR(IF(INDEX(원본명단!$F$3:$F$6002,MATCH("R"&amp;29,정리결과!$J$6:$J$6005,0))="","",INDEX(원본명단!$F$3:$F$6002,MATCH("R"&amp;29,정리결과!$J$6:$J$6005,0))),""))</f>
        <v/>
      </c>
      <c r="H34" s="14" t="b">
        <f aca="false">IF(중복검사!$A32="",FALSE(),중복검사!$J32="유지")</f>
        <v>0</v>
      </c>
      <c r="I34" s="5" t="str">
        <f aca="false">IF($H34=FALSE(),"",COUNTIF($H$6:$H34,TRUE()))</f>
        <v/>
      </c>
      <c r="J34" s="5" t="str">
        <f aca="false">IF($I34="","","R"&amp;$I34)</f>
        <v/>
      </c>
    </row>
    <row r="35" customFormat="false" ht="15" hidden="false" customHeight="true" outlineLevel="0" collapsed="false">
      <c r="A35" s="10" t="str">
        <f aca="false">IFERROR(IF(INDEX(원본명단!$A$3:$A$6002,MATCH("R"&amp;30,정리결과!$J$6:$J$6005,0))="","",INDEX(원본명단!$A$3:$A$6002,MATCH("R"&amp;30,정리결과!$J$6:$J$6005,0))),"")</f>
        <v/>
      </c>
      <c r="B35" s="10" t="str">
        <f aca="false">IF($A35="","",IFERROR(IF(INDEX(원본명단!$B$3:$B$6002,MATCH("R"&amp;30,정리결과!$J$6:$J$6005,0))="","",INDEX(원본명단!$B$3:$B$6002,MATCH("R"&amp;30,정리결과!$J$6:$J$6005,0))),""))</f>
        <v/>
      </c>
      <c r="C35" s="10" t="str">
        <f aca="false">IF($A35="","",IFERROR(IF(INDEX(원본명단!$C$3:$C$6002,MATCH("R"&amp;30,정리결과!$J$6:$J$6005,0))="","",INDEX(원본명단!$C$3:$C$6002,MATCH("R"&amp;30,정리결과!$J$6:$J$6005,0))),""))</f>
        <v/>
      </c>
      <c r="D35" s="10" t="str">
        <f aca="false">IF($A35="","",IFERROR(IF(INDEX(원본명단!$D$3:$D$6002,MATCH("R"&amp;30,정리결과!$J$6:$J$6005,0))="","",INDEX(원본명단!$D$3:$D$6002,MATCH("R"&amp;30,정리결과!$J$6:$J$6005,0))),""))</f>
        <v/>
      </c>
      <c r="E35" s="10" t="str">
        <f aca="false">IF($A35="","",IFERROR(IF(INDEX(원본명단!$E$3:$E$6002,MATCH("R"&amp;30,정리결과!$J$6:$J$6005,0))="","",INDEX(원본명단!$E$3:$E$6002,MATCH("R"&amp;30,정리결과!$J$6:$J$6005,0))),""))</f>
        <v/>
      </c>
      <c r="F35" s="10" t="str">
        <f aca="false">IF($A35="","",IFERROR(IF(INDEX(원본명단!$F$3:$F$6002,MATCH("R"&amp;30,정리결과!$J$6:$J$6005,0))="","",INDEX(원본명단!$F$3:$F$6002,MATCH("R"&amp;30,정리결과!$J$6:$J$6005,0))),""))</f>
        <v/>
      </c>
      <c r="H35" s="14" t="b">
        <f aca="false">IF(중복검사!$A33="",FALSE(),중복검사!$J33="유지")</f>
        <v>0</v>
      </c>
      <c r="I35" s="5" t="str">
        <f aca="false">IF($H35=FALSE(),"",COUNTIF($H$6:$H35,TRUE()))</f>
        <v/>
      </c>
      <c r="J35" s="5" t="str">
        <f aca="false">IF($I35="","","R"&amp;$I35)</f>
        <v/>
      </c>
    </row>
    <row r="36" customFormat="false" ht="15" hidden="false" customHeight="true" outlineLevel="0" collapsed="false">
      <c r="A36" s="10" t="str">
        <f aca="false">IFERROR(IF(INDEX(원본명단!$A$3:$A$6002,MATCH("R"&amp;31,정리결과!$J$6:$J$6005,0))="","",INDEX(원본명단!$A$3:$A$6002,MATCH("R"&amp;31,정리결과!$J$6:$J$6005,0))),"")</f>
        <v/>
      </c>
      <c r="B36" s="10" t="str">
        <f aca="false">IF($A36="","",IFERROR(IF(INDEX(원본명단!$B$3:$B$6002,MATCH("R"&amp;31,정리결과!$J$6:$J$6005,0))="","",INDEX(원본명단!$B$3:$B$6002,MATCH("R"&amp;31,정리결과!$J$6:$J$6005,0))),""))</f>
        <v/>
      </c>
      <c r="C36" s="10" t="str">
        <f aca="false">IF($A36="","",IFERROR(IF(INDEX(원본명단!$C$3:$C$6002,MATCH("R"&amp;31,정리결과!$J$6:$J$6005,0))="","",INDEX(원본명단!$C$3:$C$6002,MATCH("R"&amp;31,정리결과!$J$6:$J$6005,0))),""))</f>
        <v/>
      </c>
      <c r="D36" s="10" t="str">
        <f aca="false">IF($A36="","",IFERROR(IF(INDEX(원본명단!$D$3:$D$6002,MATCH("R"&amp;31,정리결과!$J$6:$J$6005,0))="","",INDEX(원본명단!$D$3:$D$6002,MATCH("R"&amp;31,정리결과!$J$6:$J$6005,0))),""))</f>
        <v/>
      </c>
      <c r="E36" s="10" t="str">
        <f aca="false">IF($A36="","",IFERROR(IF(INDEX(원본명단!$E$3:$E$6002,MATCH("R"&amp;31,정리결과!$J$6:$J$6005,0))="","",INDEX(원본명단!$E$3:$E$6002,MATCH("R"&amp;31,정리결과!$J$6:$J$6005,0))),""))</f>
        <v/>
      </c>
      <c r="F36" s="10" t="str">
        <f aca="false">IF($A36="","",IFERROR(IF(INDEX(원본명단!$F$3:$F$6002,MATCH("R"&amp;31,정리결과!$J$6:$J$6005,0))="","",INDEX(원본명단!$F$3:$F$6002,MATCH("R"&amp;31,정리결과!$J$6:$J$6005,0))),""))</f>
        <v/>
      </c>
      <c r="H36" s="14" t="b">
        <f aca="false">IF(중복검사!$A34="",FALSE(),중복검사!$J34="유지")</f>
        <v>0</v>
      </c>
      <c r="I36" s="5" t="str">
        <f aca="false">IF($H36=FALSE(),"",COUNTIF($H$6:$H36,TRUE()))</f>
        <v/>
      </c>
      <c r="J36" s="5" t="str">
        <f aca="false">IF($I36="","","R"&amp;$I36)</f>
        <v/>
      </c>
    </row>
    <row r="37" customFormat="false" ht="15" hidden="false" customHeight="true" outlineLevel="0" collapsed="false">
      <c r="A37" s="10" t="str">
        <f aca="false">IFERROR(IF(INDEX(원본명단!$A$3:$A$6002,MATCH("R"&amp;32,정리결과!$J$6:$J$6005,0))="","",INDEX(원본명단!$A$3:$A$6002,MATCH("R"&amp;32,정리결과!$J$6:$J$6005,0))),"")</f>
        <v/>
      </c>
      <c r="B37" s="10" t="str">
        <f aca="false">IF($A37="","",IFERROR(IF(INDEX(원본명단!$B$3:$B$6002,MATCH("R"&amp;32,정리결과!$J$6:$J$6005,0))="","",INDEX(원본명단!$B$3:$B$6002,MATCH("R"&amp;32,정리결과!$J$6:$J$6005,0))),""))</f>
        <v/>
      </c>
      <c r="C37" s="10" t="str">
        <f aca="false">IF($A37="","",IFERROR(IF(INDEX(원본명단!$C$3:$C$6002,MATCH("R"&amp;32,정리결과!$J$6:$J$6005,0))="","",INDEX(원본명단!$C$3:$C$6002,MATCH("R"&amp;32,정리결과!$J$6:$J$6005,0))),""))</f>
        <v/>
      </c>
      <c r="D37" s="10" t="str">
        <f aca="false">IF($A37="","",IFERROR(IF(INDEX(원본명단!$D$3:$D$6002,MATCH("R"&amp;32,정리결과!$J$6:$J$6005,0))="","",INDEX(원본명단!$D$3:$D$6002,MATCH("R"&amp;32,정리결과!$J$6:$J$6005,0))),""))</f>
        <v/>
      </c>
      <c r="E37" s="10" t="str">
        <f aca="false">IF($A37="","",IFERROR(IF(INDEX(원본명단!$E$3:$E$6002,MATCH("R"&amp;32,정리결과!$J$6:$J$6005,0))="","",INDEX(원본명단!$E$3:$E$6002,MATCH("R"&amp;32,정리결과!$J$6:$J$6005,0))),""))</f>
        <v/>
      </c>
      <c r="F37" s="10" t="str">
        <f aca="false">IF($A37="","",IFERROR(IF(INDEX(원본명단!$F$3:$F$6002,MATCH("R"&amp;32,정리결과!$J$6:$J$6005,0))="","",INDEX(원본명단!$F$3:$F$6002,MATCH("R"&amp;32,정리결과!$J$6:$J$6005,0))),""))</f>
        <v/>
      </c>
      <c r="H37" s="14" t="b">
        <f aca="false">IF(중복검사!$A35="",FALSE(),중복검사!$J35="유지")</f>
        <v>0</v>
      </c>
      <c r="I37" s="5" t="str">
        <f aca="false">IF($H37=FALSE(),"",COUNTIF($H$6:$H37,TRUE()))</f>
        <v/>
      </c>
      <c r="J37" s="5" t="str">
        <f aca="false">IF($I37="","","R"&amp;$I37)</f>
        <v/>
      </c>
    </row>
    <row r="38" customFormat="false" ht="15" hidden="false" customHeight="true" outlineLevel="0" collapsed="false">
      <c r="A38" s="10" t="str">
        <f aca="false">IFERROR(IF(INDEX(원본명단!$A$3:$A$6002,MATCH("R"&amp;33,정리결과!$J$6:$J$6005,0))="","",INDEX(원본명단!$A$3:$A$6002,MATCH("R"&amp;33,정리결과!$J$6:$J$6005,0))),"")</f>
        <v/>
      </c>
      <c r="B38" s="10" t="str">
        <f aca="false">IF($A38="","",IFERROR(IF(INDEX(원본명단!$B$3:$B$6002,MATCH("R"&amp;33,정리결과!$J$6:$J$6005,0))="","",INDEX(원본명단!$B$3:$B$6002,MATCH("R"&amp;33,정리결과!$J$6:$J$6005,0))),""))</f>
        <v/>
      </c>
      <c r="C38" s="10" t="str">
        <f aca="false">IF($A38="","",IFERROR(IF(INDEX(원본명단!$C$3:$C$6002,MATCH("R"&amp;33,정리결과!$J$6:$J$6005,0))="","",INDEX(원본명단!$C$3:$C$6002,MATCH("R"&amp;33,정리결과!$J$6:$J$6005,0))),""))</f>
        <v/>
      </c>
      <c r="D38" s="10" t="str">
        <f aca="false">IF($A38="","",IFERROR(IF(INDEX(원본명단!$D$3:$D$6002,MATCH("R"&amp;33,정리결과!$J$6:$J$6005,0))="","",INDEX(원본명단!$D$3:$D$6002,MATCH("R"&amp;33,정리결과!$J$6:$J$6005,0))),""))</f>
        <v/>
      </c>
      <c r="E38" s="10" t="str">
        <f aca="false">IF($A38="","",IFERROR(IF(INDEX(원본명단!$E$3:$E$6002,MATCH("R"&amp;33,정리결과!$J$6:$J$6005,0))="","",INDEX(원본명단!$E$3:$E$6002,MATCH("R"&amp;33,정리결과!$J$6:$J$6005,0))),""))</f>
        <v/>
      </c>
      <c r="F38" s="10" t="str">
        <f aca="false">IF($A38="","",IFERROR(IF(INDEX(원본명단!$F$3:$F$6002,MATCH("R"&amp;33,정리결과!$J$6:$J$6005,0))="","",INDEX(원본명단!$F$3:$F$6002,MATCH("R"&amp;33,정리결과!$J$6:$J$6005,0))),""))</f>
        <v/>
      </c>
      <c r="H38" s="14" t="b">
        <f aca="false">IF(중복검사!$A36="",FALSE(),중복검사!$J36="유지")</f>
        <v>0</v>
      </c>
      <c r="I38" s="5" t="str">
        <f aca="false">IF($H38=FALSE(),"",COUNTIF($H$6:$H38,TRUE()))</f>
        <v/>
      </c>
      <c r="J38" s="5" t="str">
        <f aca="false">IF($I38="","","R"&amp;$I38)</f>
        <v/>
      </c>
    </row>
    <row r="39" customFormat="false" ht="15" hidden="false" customHeight="true" outlineLevel="0" collapsed="false">
      <c r="A39" s="10" t="str">
        <f aca="false">IFERROR(IF(INDEX(원본명단!$A$3:$A$6002,MATCH("R"&amp;34,정리결과!$J$6:$J$6005,0))="","",INDEX(원본명단!$A$3:$A$6002,MATCH("R"&amp;34,정리결과!$J$6:$J$6005,0))),"")</f>
        <v/>
      </c>
      <c r="B39" s="10" t="str">
        <f aca="false">IF($A39="","",IFERROR(IF(INDEX(원본명단!$B$3:$B$6002,MATCH("R"&amp;34,정리결과!$J$6:$J$6005,0))="","",INDEX(원본명단!$B$3:$B$6002,MATCH("R"&amp;34,정리결과!$J$6:$J$6005,0))),""))</f>
        <v/>
      </c>
      <c r="C39" s="10" t="str">
        <f aca="false">IF($A39="","",IFERROR(IF(INDEX(원본명단!$C$3:$C$6002,MATCH("R"&amp;34,정리결과!$J$6:$J$6005,0))="","",INDEX(원본명단!$C$3:$C$6002,MATCH("R"&amp;34,정리결과!$J$6:$J$6005,0))),""))</f>
        <v/>
      </c>
      <c r="D39" s="10" t="str">
        <f aca="false">IF($A39="","",IFERROR(IF(INDEX(원본명단!$D$3:$D$6002,MATCH("R"&amp;34,정리결과!$J$6:$J$6005,0))="","",INDEX(원본명단!$D$3:$D$6002,MATCH("R"&amp;34,정리결과!$J$6:$J$6005,0))),""))</f>
        <v/>
      </c>
      <c r="E39" s="10" t="str">
        <f aca="false">IF($A39="","",IFERROR(IF(INDEX(원본명단!$E$3:$E$6002,MATCH("R"&amp;34,정리결과!$J$6:$J$6005,0))="","",INDEX(원본명단!$E$3:$E$6002,MATCH("R"&amp;34,정리결과!$J$6:$J$6005,0))),""))</f>
        <v/>
      </c>
      <c r="F39" s="10" t="str">
        <f aca="false">IF($A39="","",IFERROR(IF(INDEX(원본명단!$F$3:$F$6002,MATCH("R"&amp;34,정리결과!$J$6:$J$6005,0))="","",INDEX(원본명단!$F$3:$F$6002,MATCH("R"&amp;34,정리결과!$J$6:$J$6005,0))),""))</f>
        <v/>
      </c>
      <c r="H39" s="14" t="b">
        <f aca="false">IF(중복검사!$A37="",FALSE(),중복검사!$J37="유지")</f>
        <v>0</v>
      </c>
      <c r="I39" s="5" t="str">
        <f aca="false">IF($H39=FALSE(),"",COUNTIF($H$6:$H39,TRUE()))</f>
        <v/>
      </c>
      <c r="J39" s="5" t="str">
        <f aca="false">IF($I39="","","R"&amp;$I39)</f>
        <v/>
      </c>
    </row>
    <row r="40" customFormat="false" ht="15" hidden="false" customHeight="true" outlineLevel="0" collapsed="false">
      <c r="A40" s="10" t="str">
        <f aca="false">IFERROR(IF(INDEX(원본명단!$A$3:$A$6002,MATCH("R"&amp;35,정리결과!$J$6:$J$6005,0))="","",INDEX(원본명단!$A$3:$A$6002,MATCH("R"&amp;35,정리결과!$J$6:$J$6005,0))),"")</f>
        <v/>
      </c>
      <c r="B40" s="10" t="str">
        <f aca="false">IF($A40="","",IFERROR(IF(INDEX(원본명단!$B$3:$B$6002,MATCH("R"&amp;35,정리결과!$J$6:$J$6005,0))="","",INDEX(원본명단!$B$3:$B$6002,MATCH("R"&amp;35,정리결과!$J$6:$J$6005,0))),""))</f>
        <v/>
      </c>
      <c r="C40" s="10" t="str">
        <f aca="false">IF($A40="","",IFERROR(IF(INDEX(원본명단!$C$3:$C$6002,MATCH("R"&amp;35,정리결과!$J$6:$J$6005,0))="","",INDEX(원본명단!$C$3:$C$6002,MATCH("R"&amp;35,정리결과!$J$6:$J$6005,0))),""))</f>
        <v/>
      </c>
      <c r="D40" s="10" t="str">
        <f aca="false">IF($A40="","",IFERROR(IF(INDEX(원본명단!$D$3:$D$6002,MATCH("R"&amp;35,정리결과!$J$6:$J$6005,0))="","",INDEX(원본명단!$D$3:$D$6002,MATCH("R"&amp;35,정리결과!$J$6:$J$6005,0))),""))</f>
        <v/>
      </c>
      <c r="E40" s="10" t="str">
        <f aca="false">IF($A40="","",IFERROR(IF(INDEX(원본명단!$E$3:$E$6002,MATCH("R"&amp;35,정리결과!$J$6:$J$6005,0))="","",INDEX(원본명단!$E$3:$E$6002,MATCH("R"&amp;35,정리결과!$J$6:$J$6005,0))),""))</f>
        <v/>
      </c>
      <c r="F40" s="10" t="str">
        <f aca="false">IF($A40="","",IFERROR(IF(INDEX(원본명단!$F$3:$F$6002,MATCH("R"&amp;35,정리결과!$J$6:$J$6005,0))="","",INDEX(원본명단!$F$3:$F$6002,MATCH("R"&amp;35,정리결과!$J$6:$J$6005,0))),""))</f>
        <v/>
      </c>
      <c r="H40" s="14" t="b">
        <f aca="false">IF(중복검사!$A38="",FALSE(),중복검사!$J38="유지")</f>
        <v>0</v>
      </c>
      <c r="I40" s="5" t="str">
        <f aca="false">IF($H40=FALSE(),"",COUNTIF($H$6:$H40,TRUE()))</f>
        <v/>
      </c>
      <c r="J40" s="5" t="str">
        <f aca="false">IF($I40="","","R"&amp;$I40)</f>
        <v/>
      </c>
    </row>
    <row r="41" customFormat="false" ht="15" hidden="false" customHeight="true" outlineLevel="0" collapsed="false">
      <c r="A41" s="10" t="str">
        <f aca="false">IFERROR(IF(INDEX(원본명단!$A$3:$A$6002,MATCH("R"&amp;36,정리결과!$J$6:$J$6005,0))="","",INDEX(원본명단!$A$3:$A$6002,MATCH("R"&amp;36,정리결과!$J$6:$J$6005,0))),"")</f>
        <v/>
      </c>
      <c r="B41" s="10" t="str">
        <f aca="false">IF($A41="","",IFERROR(IF(INDEX(원본명단!$B$3:$B$6002,MATCH("R"&amp;36,정리결과!$J$6:$J$6005,0))="","",INDEX(원본명단!$B$3:$B$6002,MATCH("R"&amp;36,정리결과!$J$6:$J$6005,0))),""))</f>
        <v/>
      </c>
      <c r="C41" s="10" t="str">
        <f aca="false">IF($A41="","",IFERROR(IF(INDEX(원본명단!$C$3:$C$6002,MATCH("R"&amp;36,정리결과!$J$6:$J$6005,0))="","",INDEX(원본명단!$C$3:$C$6002,MATCH("R"&amp;36,정리결과!$J$6:$J$6005,0))),""))</f>
        <v/>
      </c>
      <c r="D41" s="10" t="str">
        <f aca="false">IF($A41="","",IFERROR(IF(INDEX(원본명단!$D$3:$D$6002,MATCH("R"&amp;36,정리결과!$J$6:$J$6005,0))="","",INDEX(원본명단!$D$3:$D$6002,MATCH("R"&amp;36,정리결과!$J$6:$J$6005,0))),""))</f>
        <v/>
      </c>
      <c r="E41" s="10" t="str">
        <f aca="false">IF($A41="","",IFERROR(IF(INDEX(원본명단!$E$3:$E$6002,MATCH("R"&amp;36,정리결과!$J$6:$J$6005,0))="","",INDEX(원본명단!$E$3:$E$6002,MATCH("R"&amp;36,정리결과!$J$6:$J$6005,0))),""))</f>
        <v/>
      </c>
      <c r="F41" s="10" t="str">
        <f aca="false">IF($A41="","",IFERROR(IF(INDEX(원본명단!$F$3:$F$6002,MATCH("R"&amp;36,정리결과!$J$6:$J$6005,0))="","",INDEX(원본명단!$F$3:$F$6002,MATCH("R"&amp;36,정리결과!$J$6:$J$6005,0))),""))</f>
        <v/>
      </c>
      <c r="H41" s="14" t="b">
        <f aca="false">IF(중복검사!$A39="",FALSE(),중복검사!$J39="유지")</f>
        <v>0</v>
      </c>
      <c r="I41" s="5" t="str">
        <f aca="false">IF($H41=FALSE(),"",COUNTIF($H$6:$H41,TRUE()))</f>
        <v/>
      </c>
      <c r="J41" s="5" t="str">
        <f aca="false">IF($I41="","","R"&amp;$I41)</f>
        <v/>
      </c>
    </row>
    <row r="42" customFormat="false" ht="15" hidden="false" customHeight="true" outlineLevel="0" collapsed="false">
      <c r="A42" s="10" t="str">
        <f aca="false">IFERROR(IF(INDEX(원본명단!$A$3:$A$6002,MATCH("R"&amp;37,정리결과!$J$6:$J$6005,0))="","",INDEX(원본명단!$A$3:$A$6002,MATCH("R"&amp;37,정리결과!$J$6:$J$6005,0))),"")</f>
        <v/>
      </c>
      <c r="B42" s="10" t="str">
        <f aca="false">IF($A42="","",IFERROR(IF(INDEX(원본명단!$B$3:$B$6002,MATCH("R"&amp;37,정리결과!$J$6:$J$6005,0))="","",INDEX(원본명단!$B$3:$B$6002,MATCH("R"&amp;37,정리결과!$J$6:$J$6005,0))),""))</f>
        <v/>
      </c>
      <c r="C42" s="10" t="str">
        <f aca="false">IF($A42="","",IFERROR(IF(INDEX(원본명단!$C$3:$C$6002,MATCH("R"&amp;37,정리결과!$J$6:$J$6005,0))="","",INDEX(원본명단!$C$3:$C$6002,MATCH("R"&amp;37,정리결과!$J$6:$J$6005,0))),""))</f>
        <v/>
      </c>
      <c r="D42" s="10" t="str">
        <f aca="false">IF($A42="","",IFERROR(IF(INDEX(원본명단!$D$3:$D$6002,MATCH("R"&amp;37,정리결과!$J$6:$J$6005,0))="","",INDEX(원본명단!$D$3:$D$6002,MATCH("R"&amp;37,정리결과!$J$6:$J$6005,0))),""))</f>
        <v/>
      </c>
      <c r="E42" s="10" t="str">
        <f aca="false">IF($A42="","",IFERROR(IF(INDEX(원본명단!$E$3:$E$6002,MATCH("R"&amp;37,정리결과!$J$6:$J$6005,0))="","",INDEX(원본명단!$E$3:$E$6002,MATCH("R"&amp;37,정리결과!$J$6:$J$6005,0))),""))</f>
        <v/>
      </c>
      <c r="F42" s="10" t="str">
        <f aca="false">IF($A42="","",IFERROR(IF(INDEX(원본명단!$F$3:$F$6002,MATCH("R"&amp;37,정리결과!$J$6:$J$6005,0))="","",INDEX(원본명단!$F$3:$F$6002,MATCH("R"&amp;37,정리결과!$J$6:$J$6005,0))),""))</f>
        <v/>
      </c>
      <c r="H42" s="14" t="b">
        <f aca="false">IF(중복검사!$A40="",FALSE(),중복검사!$J40="유지")</f>
        <v>0</v>
      </c>
      <c r="I42" s="5" t="str">
        <f aca="false">IF($H42=FALSE(),"",COUNTIF($H$6:$H42,TRUE()))</f>
        <v/>
      </c>
      <c r="J42" s="5" t="str">
        <f aca="false">IF($I42="","","R"&amp;$I42)</f>
        <v/>
      </c>
    </row>
    <row r="43" customFormat="false" ht="15" hidden="false" customHeight="true" outlineLevel="0" collapsed="false">
      <c r="A43" s="10" t="str">
        <f aca="false">IFERROR(IF(INDEX(원본명단!$A$3:$A$6002,MATCH("R"&amp;38,정리결과!$J$6:$J$6005,0))="","",INDEX(원본명단!$A$3:$A$6002,MATCH("R"&amp;38,정리결과!$J$6:$J$6005,0))),"")</f>
        <v/>
      </c>
      <c r="B43" s="10" t="str">
        <f aca="false">IF($A43="","",IFERROR(IF(INDEX(원본명단!$B$3:$B$6002,MATCH("R"&amp;38,정리결과!$J$6:$J$6005,0))="","",INDEX(원본명단!$B$3:$B$6002,MATCH("R"&amp;38,정리결과!$J$6:$J$6005,0))),""))</f>
        <v/>
      </c>
      <c r="C43" s="10" t="str">
        <f aca="false">IF($A43="","",IFERROR(IF(INDEX(원본명단!$C$3:$C$6002,MATCH("R"&amp;38,정리결과!$J$6:$J$6005,0))="","",INDEX(원본명단!$C$3:$C$6002,MATCH("R"&amp;38,정리결과!$J$6:$J$6005,0))),""))</f>
        <v/>
      </c>
      <c r="D43" s="10" t="str">
        <f aca="false">IF($A43="","",IFERROR(IF(INDEX(원본명단!$D$3:$D$6002,MATCH("R"&amp;38,정리결과!$J$6:$J$6005,0))="","",INDEX(원본명단!$D$3:$D$6002,MATCH("R"&amp;38,정리결과!$J$6:$J$6005,0))),""))</f>
        <v/>
      </c>
      <c r="E43" s="10" t="str">
        <f aca="false">IF($A43="","",IFERROR(IF(INDEX(원본명단!$E$3:$E$6002,MATCH("R"&amp;38,정리결과!$J$6:$J$6005,0))="","",INDEX(원본명단!$E$3:$E$6002,MATCH("R"&amp;38,정리결과!$J$6:$J$6005,0))),""))</f>
        <v/>
      </c>
      <c r="F43" s="10" t="str">
        <f aca="false">IF($A43="","",IFERROR(IF(INDEX(원본명단!$F$3:$F$6002,MATCH("R"&amp;38,정리결과!$J$6:$J$6005,0))="","",INDEX(원본명단!$F$3:$F$6002,MATCH("R"&amp;38,정리결과!$J$6:$J$6005,0))),""))</f>
        <v/>
      </c>
      <c r="H43" s="14" t="b">
        <f aca="false">IF(중복검사!$A41="",FALSE(),중복검사!$J41="유지")</f>
        <v>0</v>
      </c>
      <c r="I43" s="5" t="str">
        <f aca="false">IF($H43=FALSE(),"",COUNTIF($H$6:$H43,TRUE()))</f>
        <v/>
      </c>
      <c r="J43" s="5" t="str">
        <f aca="false">IF($I43="","","R"&amp;$I43)</f>
        <v/>
      </c>
    </row>
    <row r="44" customFormat="false" ht="15" hidden="false" customHeight="true" outlineLevel="0" collapsed="false">
      <c r="A44" s="10" t="str">
        <f aca="false">IFERROR(IF(INDEX(원본명단!$A$3:$A$6002,MATCH("R"&amp;39,정리결과!$J$6:$J$6005,0))="","",INDEX(원본명단!$A$3:$A$6002,MATCH("R"&amp;39,정리결과!$J$6:$J$6005,0))),"")</f>
        <v/>
      </c>
      <c r="B44" s="10" t="str">
        <f aca="false">IF($A44="","",IFERROR(IF(INDEX(원본명단!$B$3:$B$6002,MATCH("R"&amp;39,정리결과!$J$6:$J$6005,0))="","",INDEX(원본명단!$B$3:$B$6002,MATCH("R"&amp;39,정리결과!$J$6:$J$6005,0))),""))</f>
        <v/>
      </c>
      <c r="C44" s="10" t="str">
        <f aca="false">IF($A44="","",IFERROR(IF(INDEX(원본명단!$C$3:$C$6002,MATCH("R"&amp;39,정리결과!$J$6:$J$6005,0))="","",INDEX(원본명단!$C$3:$C$6002,MATCH("R"&amp;39,정리결과!$J$6:$J$6005,0))),""))</f>
        <v/>
      </c>
      <c r="D44" s="10" t="str">
        <f aca="false">IF($A44="","",IFERROR(IF(INDEX(원본명단!$D$3:$D$6002,MATCH("R"&amp;39,정리결과!$J$6:$J$6005,0))="","",INDEX(원본명단!$D$3:$D$6002,MATCH("R"&amp;39,정리결과!$J$6:$J$6005,0))),""))</f>
        <v/>
      </c>
      <c r="E44" s="10" t="str">
        <f aca="false">IF($A44="","",IFERROR(IF(INDEX(원본명단!$E$3:$E$6002,MATCH("R"&amp;39,정리결과!$J$6:$J$6005,0))="","",INDEX(원본명단!$E$3:$E$6002,MATCH("R"&amp;39,정리결과!$J$6:$J$6005,0))),""))</f>
        <v/>
      </c>
      <c r="F44" s="10" t="str">
        <f aca="false">IF($A44="","",IFERROR(IF(INDEX(원본명단!$F$3:$F$6002,MATCH("R"&amp;39,정리결과!$J$6:$J$6005,0))="","",INDEX(원본명단!$F$3:$F$6002,MATCH("R"&amp;39,정리결과!$J$6:$J$6005,0))),""))</f>
        <v/>
      </c>
      <c r="H44" s="14" t="b">
        <f aca="false">IF(중복검사!$A42="",FALSE(),중복검사!$J42="유지")</f>
        <v>0</v>
      </c>
      <c r="I44" s="5" t="str">
        <f aca="false">IF($H44=FALSE(),"",COUNTIF($H$6:$H44,TRUE()))</f>
        <v/>
      </c>
      <c r="J44" s="5" t="str">
        <f aca="false">IF($I44="","","R"&amp;$I44)</f>
        <v/>
      </c>
    </row>
    <row r="45" customFormat="false" ht="15" hidden="false" customHeight="true" outlineLevel="0" collapsed="false">
      <c r="A45" s="10" t="str">
        <f aca="false">IFERROR(IF(INDEX(원본명단!$A$3:$A$6002,MATCH("R"&amp;40,정리결과!$J$6:$J$6005,0))="","",INDEX(원본명단!$A$3:$A$6002,MATCH("R"&amp;40,정리결과!$J$6:$J$6005,0))),"")</f>
        <v/>
      </c>
      <c r="B45" s="10" t="str">
        <f aca="false">IF($A45="","",IFERROR(IF(INDEX(원본명단!$B$3:$B$6002,MATCH("R"&amp;40,정리결과!$J$6:$J$6005,0))="","",INDEX(원본명단!$B$3:$B$6002,MATCH("R"&amp;40,정리결과!$J$6:$J$6005,0))),""))</f>
        <v/>
      </c>
      <c r="C45" s="10" t="str">
        <f aca="false">IF($A45="","",IFERROR(IF(INDEX(원본명단!$C$3:$C$6002,MATCH("R"&amp;40,정리결과!$J$6:$J$6005,0))="","",INDEX(원본명단!$C$3:$C$6002,MATCH("R"&amp;40,정리결과!$J$6:$J$6005,0))),""))</f>
        <v/>
      </c>
      <c r="D45" s="10" t="str">
        <f aca="false">IF($A45="","",IFERROR(IF(INDEX(원본명단!$D$3:$D$6002,MATCH("R"&amp;40,정리결과!$J$6:$J$6005,0))="","",INDEX(원본명단!$D$3:$D$6002,MATCH("R"&amp;40,정리결과!$J$6:$J$6005,0))),""))</f>
        <v/>
      </c>
      <c r="E45" s="10" t="str">
        <f aca="false">IF($A45="","",IFERROR(IF(INDEX(원본명단!$E$3:$E$6002,MATCH("R"&amp;40,정리결과!$J$6:$J$6005,0))="","",INDEX(원본명단!$E$3:$E$6002,MATCH("R"&amp;40,정리결과!$J$6:$J$6005,0))),""))</f>
        <v/>
      </c>
      <c r="F45" s="10" t="str">
        <f aca="false">IF($A45="","",IFERROR(IF(INDEX(원본명단!$F$3:$F$6002,MATCH("R"&amp;40,정리결과!$J$6:$J$6005,0))="","",INDEX(원본명단!$F$3:$F$6002,MATCH("R"&amp;40,정리결과!$J$6:$J$6005,0))),""))</f>
        <v/>
      </c>
      <c r="H45" s="14" t="b">
        <f aca="false">IF(중복검사!$A43="",FALSE(),중복검사!$J43="유지")</f>
        <v>0</v>
      </c>
      <c r="I45" s="5" t="str">
        <f aca="false">IF($H45=FALSE(),"",COUNTIF($H$6:$H45,TRUE()))</f>
        <v/>
      </c>
      <c r="J45" s="5" t="str">
        <f aca="false">IF($I45="","","R"&amp;$I45)</f>
        <v/>
      </c>
    </row>
    <row r="46" customFormat="false" ht="15" hidden="false" customHeight="true" outlineLevel="0" collapsed="false">
      <c r="A46" s="10" t="str">
        <f aca="false">IFERROR(IF(INDEX(원본명단!$A$3:$A$6002,MATCH("R"&amp;41,정리결과!$J$6:$J$6005,0))="","",INDEX(원본명단!$A$3:$A$6002,MATCH("R"&amp;41,정리결과!$J$6:$J$6005,0))),"")</f>
        <v/>
      </c>
      <c r="B46" s="10" t="str">
        <f aca="false">IF($A46="","",IFERROR(IF(INDEX(원본명단!$B$3:$B$6002,MATCH("R"&amp;41,정리결과!$J$6:$J$6005,0))="","",INDEX(원본명단!$B$3:$B$6002,MATCH("R"&amp;41,정리결과!$J$6:$J$6005,0))),""))</f>
        <v/>
      </c>
      <c r="C46" s="10" t="str">
        <f aca="false">IF($A46="","",IFERROR(IF(INDEX(원본명단!$C$3:$C$6002,MATCH("R"&amp;41,정리결과!$J$6:$J$6005,0))="","",INDEX(원본명단!$C$3:$C$6002,MATCH("R"&amp;41,정리결과!$J$6:$J$6005,0))),""))</f>
        <v/>
      </c>
      <c r="D46" s="10" t="str">
        <f aca="false">IF($A46="","",IFERROR(IF(INDEX(원본명단!$D$3:$D$6002,MATCH("R"&amp;41,정리결과!$J$6:$J$6005,0))="","",INDEX(원본명단!$D$3:$D$6002,MATCH("R"&amp;41,정리결과!$J$6:$J$6005,0))),""))</f>
        <v/>
      </c>
      <c r="E46" s="10" t="str">
        <f aca="false">IF($A46="","",IFERROR(IF(INDEX(원본명단!$E$3:$E$6002,MATCH("R"&amp;41,정리결과!$J$6:$J$6005,0))="","",INDEX(원본명단!$E$3:$E$6002,MATCH("R"&amp;41,정리결과!$J$6:$J$6005,0))),""))</f>
        <v/>
      </c>
      <c r="F46" s="10" t="str">
        <f aca="false">IF($A46="","",IFERROR(IF(INDEX(원본명단!$F$3:$F$6002,MATCH("R"&amp;41,정리결과!$J$6:$J$6005,0))="","",INDEX(원본명단!$F$3:$F$6002,MATCH("R"&amp;41,정리결과!$J$6:$J$6005,0))),""))</f>
        <v/>
      </c>
      <c r="H46" s="14" t="b">
        <f aca="false">IF(중복검사!$A44="",FALSE(),중복검사!$J44="유지")</f>
        <v>0</v>
      </c>
      <c r="I46" s="5" t="str">
        <f aca="false">IF($H46=FALSE(),"",COUNTIF($H$6:$H46,TRUE()))</f>
        <v/>
      </c>
      <c r="J46" s="5" t="str">
        <f aca="false">IF($I46="","","R"&amp;$I46)</f>
        <v/>
      </c>
    </row>
    <row r="47" customFormat="false" ht="15" hidden="false" customHeight="true" outlineLevel="0" collapsed="false">
      <c r="A47" s="10" t="str">
        <f aca="false">IFERROR(IF(INDEX(원본명단!$A$3:$A$6002,MATCH("R"&amp;42,정리결과!$J$6:$J$6005,0))="","",INDEX(원본명단!$A$3:$A$6002,MATCH("R"&amp;42,정리결과!$J$6:$J$6005,0))),"")</f>
        <v/>
      </c>
      <c r="B47" s="10" t="str">
        <f aca="false">IF($A47="","",IFERROR(IF(INDEX(원본명단!$B$3:$B$6002,MATCH("R"&amp;42,정리결과!$J$6:$J$6005,0))="","",INDEX(원본명단!$B$3:$B$6002,MATCH("R"&amp;42,정리결과!$J$6:$J$6005,0))),""))</f>
        <v/>
      </c>
      <c r="C47" s="10" t="str">
        <f aca="false">IF($A47="","",IFERROR(IF(INDEX(원본명단!$C$3:$C$6002,MATCH("R"&amp;42,정리결과!$J$6:$J$6005,0))="","",INDEX(원본명단!$C$3:$C$6002,MATCH("R"&amp;42,정리결과!$J$6:$J$6005,0))),""))</f>
        <v/>
      </c>
      <c r="D47" s="10" t="str">
        <f aca="false">IF($A47="","",IFERROR(IF(INDEX(원본명단!$D$3:$D$6002,MATCH("R"&amp;42,정리결과!$J$6:$J$6005,0))="","",INDEX(원본명단!$D$3:$D$6002,MATCH("R"&amp;42,정리결과!$J$6:$J$6005,0))),""))</f>
        <v/>
      </c>
      <c r="E47" s="10" t="str">
        <f aca="false">IF($A47="","",IFERROR(IF(INDEX(원본명단!$E$3:$E$6002,MATCH("R"&amp;42,정리결과!$J$6:$J$6005,0))="","",INDEX(원본명단!$E$3:$E$6002,MATCH("R"&amp;42,정리결과!$J$6:$J$6005,0))),""))</f>
        <v/>
      </c>
      <c r="F47" s="10" t="str">
        <f aca="false">IF($A47="","",IFERROR(IF(INDEX(원본명단!$F$3:$F$6002,MATCH("R"&amp;42,정리결과!$J$6:$J$6005,0))="","",INDEX(원본명단!$F$3:$F$6002,MATCH("R"&amp;42,정리결과!$J$6:$J$6005,0))),""))</f>
        <v/>
      </c>
      <c r="H47" s="14" t="b">
        <f aca="false">IF(중복검사!$A45="",FALSE(),중복검사!$J45="유지")</f>
        <v>0</v>
      </c>
      <c r="I47" s="5" t="str">
        <f aca="false">IF($H47=FALSE(),"",COUNTIF($H$6:$H47,TRUE()))</f>
        <v/>
      </c>
      <c r="J47" s="5" t="str">
        <f aca="false">IF($I47="","","R"&amp;$I47)</f>
        <v/>
      </c>
    </row>
    <row r="48" customFormat="false" ht="15" hidden="false" customHeight="true" outlineLevel="0" collapsed="false">
      <c r="A48" s="10" t="str">
        <f aca="false">IFERROR(IF(INDEX(원본명단!$A$3:$A$6002,MATCH("R"&amp;43,정리결과!$J$6:$J$6005,0))="","",INDEX(원본명단!$A$3:$A$6002,MATCH("R"&amp;43,정리결과!$J$6:$J$6005,0))),"")</f>
        <v/>
      </c>
      <c r="B48" s="10" t="str">
        <f aca="false">IF($A48="","",IFERROR(IF(INDEX(원본명단!$B$3:$B$6002,MATCH("R"&amp;43,정리결과!$J$6:$J$6005,0))="","",INDEX(원본명단!$B$3:$B$6002,MATCH("R"&amp;43,정리결과!$J$6:$J$6005,0))),""))</f>
        <v/>
      </c>
      <c r="C48" s="10" t="str">
        <f aca="false">IF($A48="","",IFERROR(IF(INDEX(원본명단!$C$3:$C$6002,MATCH("R"&amp;43,정리결과!$J$6:$J$6005,0))="","",INDEX(원본명단!$C$3:$C$6002,MATCH("R"&amp;43,정리결과!$J$6:$J$6005,0))),""))</f>
        <v/>
      </c>
      <c r="D48" s="10" t="str">
        <f aca="false">IF($A48="","",IFERROR(IF(INDEX(원본명단!$D$3:$D$6002,MATCH("R"&amp;43,정리결과!$J$6:$J$6005,0))="","",INDEX(원본명단!$D$3:$D$6002,MATCH("R"&amp;43,정리결과!$J$6:$J$6005,0))),""))</f>
        <v/>
      </c>
      <c r="E48" s="10" t="str">
        <f aca="false">IF($A48="","",IFERROR(IF(INDEX(원본명단!$E$3:$E$6002,MATCH("R"&amp;43,정리결과!$J$6:$J$6005,0))="","",INDEX(원본명단!$E$3:$E$6002,MATCH("R"&amp;43,정리결과!$J$6:$J$6005,0))),""))</f>
        <v/>
      </c>
      <c r="F48" s="10" t="str">
        <f aca="false">IF($A48="","",IFERROR(IF(INDEX(원본명단!$F$3:$F$6002,MATCH("R"&amp;43,정리결과!$J$6:$J$6005,0))="","",INDEX(원본명단!$F$3:$F$6002,MATCH("R"&amp;43,정리결과!$J$6:$J$6005,0))),""))</f>
        <v/>
      </c>
      <c r="H48" s="14" t="b">
        <f aca="false">IF(중복검사!$A46="",FALSE(),중복검사!$J46="유지")</f>
        <v>0</v>
      </c>
      <c r="I48" s="5" t="str">
        <f aca="false">IF($H48=FALSE(),"",COUNTIF($H$6:$H48,TRUE()))</f>
        <v/>
      </c>
      <c r="J48" s="5" t="str">
        <f aca="false">IF($I48="","","R"&amp;$I48)</f>
        <v/>
      </c>
    </row>
    <row r="49" customFormat="false" ht="15" hidden="false" customHeight="true" outlineLevel="0" collapsed="false">
      <c r="A49" s="10" t="str">
        <f aca="false">IFERROR(IF(INDEX(원본명단!$A$3:$A$6002,MATCH("R"&amp;44,정리결과!$J$6:$J$6005,0))="","",INDEX(원본명단!$A$3:$A$6002,MATCH("R"&amp;44,정리결과!$J$6:$J$6005,0))),"")</f>
        <v/>
      </c>
      <c r="B49" s="10" t="str">
        <f aca="false">IF($A49="","",IFERROR(IF(INDEX(원본명단!$B$3:$B$6002,MATCH("R"&amp;44,정리결과!$J$6:$J$6005,0))="","",INDEX(원본명단!$B$3:$B$6002,MATCH("R"&amp;44,정리결과!$J$6:$J$6005,0))),""))</f>
        <v/>
      </c>
      <c r="C49" s="10" t="str">
        <f aca="false">IF($A49="","",IFERROR(IF(INDEX(원본명단!$C$3:$C$6002,MATCH("R"&amp;44,정리결과!$J$6:$J$6005,0))="","",INDEX(원본명단!$C$3:$C$6002,MATCH("R"&amp;44,정리결과!$J$6:$J$6005,0))),""))</f>
        <v/>
      </c>
      <c r="D49" s="10" t="str">
        <f aca="false">IF($A49="","",IFERROR(IF(INDEX(원본명단!$D$3:$D$6002,MATCH("R"&amp;44,정리결과!$J$6:$J$6005,0))="","",INDEX(원본명단!$D$3:$D$6002,MATCH("R"&amp;44,정리결과!$J$6:$J$6005,0))),""))</f>
        <v/>
      </c>
      <c r="E49" s="10" t="str">
        <f aca="false">IF($A49="","",IFERROR(IF(INDEX(원본명단!$E$3:$E$6002,MATCH("R"&amp;44,정리결과!$J$6:$J$6005,0))="","",INDEX(원본명단!$E$3:$E$6002,MATCH("R"&amp;44,정리결과!$J$6:$J$6005,0))),""))</f>
        <v/>
      </c>
      <c r="F49" s="10" t="str">
        <f aca="false">IF($A49="","",IFERROR(IF(INDEX(원본명단!$F$3:$F$6002,MATCH("R"&amp;44,정리결과!$J$6:$J$6005,0))="","",INDEX(원본명단!$F$3:$F$6002,MATCH("R"&amp;44,정리결과!$J$6:$J$6005,0))),""))</f>
        <v/>
      </c>
      <c r="H49" s="14" t="b">
        <f aca="false">IF(중복검사!$A47="",FALSE(),중복검사!$J47="유지")</f>
        <v>0</v>
      </c>
      <c r="I49" s="5" t="str">
        <f aca="false">IF($H49=FALSE(),"",COUNTIF($H$6:$H49,TRUE()))</f>
        <v/>
      </c>
      <c r="J49" s="5" t="str">
        <f aca="false">IF($I49="","","R"&amp;$I49)</f>
        <v/>
      </c>
    </row>
    <row r="50" customFormat="false" ht="15" hidden="false" customHeight="true" outlineLevel="0" collapsed="false">
      <c r="A50" s="10" t="str">
        <f aca="false">IFERROR(IF(INDEX(원본명단!$A$3:$A$6002,MATCH("R"&amp;45,정리결과!$J$6:$J$6005,0))="","",INDEX(원본명단!$A$3:$A$6002,MATCH("R"&amp;45,정리결과!$J$6:$J$6005,0))),"")</f>
        <v/>
      </c>
      <c r="B50" s="10" t="str">
        <f aca="false">IF($A50="","",IFERROR(IF(INDEX(원본명단!$B$3:$B$6002,MATCH("R"&amp;45,정리결과!$J$6:$J$6005,0))="","",INDEX(원본명단!$B$3:$B$6002,MATCH("R"&amp;45,정리결과!$J$6:$J$6005,0))),""))</f>
        <v/>
      </c>
      <c r="C50" s="10" t="str">
        <f aca="false">IF($A50="","",IFERROR(IF(INDEX(원본명단!$C$3:$C$6002,MATCH("R"&amp;45,정리결과!$J$6:$J$6005,0))="","",INDEX(원본명단!$C$3:$C$6002,MATCH("R"&amp;45,정리결과!$J$6:$J$6005,0))),""))</f>
        <v/>
      </c>
      <c r="D50" s="10" t="str">
        <f aca="false">IF($A50="","",IFERROR(IF(INDEX(원본명단!$D$3:$D$6002,MATCH("R"&amp;45,정리결과!$J$6:$J$6005,0))="","",INDEX(원본명단!$D$3:$D$6002,MATCH("R"&amp;45,정리결과!$J$6:$J$6005,0))),""))</f>
        <v/>
      </c>
      <c r="E50" s="10" t="str">
        <f aca="false">IF($A50="","",IFERROR(IF(INDEX(원본명단!$E$3:$E$6002,MATCH("R"&amp;45,정리결과!$J$6:$J$6005,0))="","",INDEX(원본명단!$E$3:$E$6002,MATCH("R"&amp;45,정리결과!$J$6:$J$6005,0))),""))</f>
        <v/>
      </c>
      <c r="F50" s="10" t="str">
        <f aca="false">IF($A50="","",IFERROR(IF(INDEX(원본명단!$F$3:$F$6002,MATCH("R"&amp;45,정리결과!$J$6:$J$6005,0))="","",INDEX(원본명단!$F$3:$F$6002,MATCH("R"&amp;45,정리결과!$J$6:$J$6005,0))),""))</f>
        <v/>
      </c>
      <c r="H50" s="14" t="b">
        <f aca="false">IF(중복검사!$A48="",FALSE(),중복검사!$J48="유지")</f>
        <v>0</v>
      </c>
      <c r="I50" s="5" t="str">
        <f aca="false">IF($H50=FALSE(),"",COUNTIF($H$6:$H50,TRUE()))</f>
        <v/>
      </c>
      <c r="J50" s="5" t="str">
        <f aca="false">IF($I50="","","R"&amp;$I50)</f>
        <v/>
      </c>
    </row>
    <row r="51" customFormat="false" ht="15" hidden="false" customHeight="true" outlineLevel="0" collapsed="false">
      <c r="A51" s="10" t="str">
        <f aca="false">IFERROR(IF(INDEX(원본명단!$A$3:$A$6002,MATCH("R"&amp;46,정리결과!$J$6:$J$6005,0))="","",INDEX(원본명단!$A$3:$A$6002,MATCH("R"&amp;46,정리결과!$J$6:$J$6005,0))),"")</f>
        <v/>
      </c>
      <c r="B51" s="10" t="str">
        <f aca="false">IF($A51="","",IFERROR(IF(INDEX(원본명단!$B$3:$B$6002,MATCH("R"&amp;46,정리결과!$J$6:$J$6005,0))="","",INDEX(원본명단!$B$3:$B$6002,MATCH("R"&amp;46,정리결과!$J$6:$J$6005,0))),""))</f>
        <v/>
      </c>
      <c r="C51" s="10" t="str">
        <f aca="false">IF($A51="","",IFERROR(IF(INDEX(원본명단!$C$3:$C$6002,MATCH("R"&amp;46,정리결과!$J$6:$J$6005,0))="","",INDEX(원본명단!$C$3:$C$6002,MATCH("R"&amp;46,정리결과!$J$6:$J$6005,0))),""))</f>
        <v/>
      </c>
      <c r="D51" s="10" t="str">
        <f aca="false">IF($A51="","",IFERROR(IF(INDEX(원본명단!$D$3:$D$6002,MATCH("R"&amp;46,정리결과!$J$6:$J$6005,0))="","",INDEX(원본명단!$D$3:$D$6002,MATCH("R"&amp;46,정리결과!$J$6:$J$6005,0))),""))</f>
        <v/>
      </c>
      <c r="E51" s="10" t="str">
        <f aca="false">IF($A51="","",IFERROR(IF(INDEX(원본명단!$E$3:$E$6002,MATCH("R"&amp;46,정리결과!$J$6:$J$6005,0))="","",INDEX(원본명단!$E$3:$E$6002,MATCH("R"&amp;46,정리결과!$J$6:$J$6005,0))),""))</f>
        <v/>
      </c>
      <c r="F51" s="10" t="str">
        <f aca="false">IF($A51="","",IFERROR(IF(INDEX(원본명단!$F$3:$F$6002,MATCH("R"&amp;46,정리결과!$J$6:$J$6005,0))="","",INDEX(원본명단!$F$3:$F$6002,MATCH("R"&amp;46,정리결과!$J$6:$J$6005,0))),""))</f>
        <v/>
      </c>
      <c r="H51" s="14" t="b">
        <f aca="false">IF(중복검사!$A49="",FALSE(),중복검사!$J49="유지")</f>
        <v>0</v>
      </c>
      <c r="I51" s="5" t="str">
        <f aca="false">IF($H51=FALSE(),"",COUNTIF($H$6:$H51,TRUE()))</f>
        <v/>
      </c>
      <c r="J51" s="5" t="str">
        <f aca="false">IF($I51="","","R"&amp;$I51)</f>
        <v/>
      </c>
    </row>
    <row r="52" customFormat="false" ht="15" hidden="false" customHeight="true" outlineLevel="0" collapsed="false">
      <c r="A52" s="10" t="str">
        <f aca="false">IFERROR(IF(INDEX(원본명단!$A$3:$A$6002,MATCH("R"&amp;47,정리결과!$J$6:$J$6005,0))="","",INDEX(원본명단!$A$3:$A$6002,MATCH("R"&amp;47,정리결과!$J$6:$J$6005,0))),"")</f>
        <v/>
      </c>
      <c r="B52" s="10" t="str">
        <f aca="false">IF($A52="","",IFERROR(IF(INDEX(원본명단!$B$3:$B$6002,MATCH("R"&amp;47,정리결과!$J$6:$J$6005,0))="","",INDEX(원본명단!$B$3:$B$6002,MATCH("R"&amp;47,정리결과!$J$6:$J$6005,0))),""))</f>
        <v/>
      </c>
      <c r="C52" s="10" t="str">
        <f aca="false">IF($A52="","",IFERROR(IF(INDEX(원본명단!$C$3:$C$6002,MATCH("R"&amp;47,정리결과!$J$6:$J$6005,0))="","",INDEX(원본명단!$C$3:$C$6002,MATCH("R"&amp;47,정리결과!$J$6:$J$6005,0))),""))</f>
        <v/>
      </c>
      <c r="D52" s="10" t="str">
        <f aca="false">IF($A52="","",IFERROR(IF(INDEX(원본명단!$D$3:$D$6002,MATCH("R"&amp;47,정리결과!$J$6:$J$6005,0))="","",INDEX(원본명단!$D$3:$D$6002,MATCH("R"&amp;47,정리결과!$J$6:$J$6005,0))),""))</f>
        <v/>
      </c>
      <c r="E52" s="10" t="str">
        <f aca="false">IF($A52="","",IFERROR(IF(INDEX(원본명단!$E$3:$E$6002,MATCH("R"&amp;47,정리결과!$J$6:$J$6005,0))="","",INDEX(원본명단!$E$3:$E$6002,MATCH("R"&amp;47,정리결과!$J$6:$J$6005,0))),""))</f>
        <v/>
      </c>
      <c r="F52" s="10" t="str">
        <f aca="false">IF($A52="","",IFERROR(IF(INDEX(원본명단!$F$3:$F$6002,MATCH("R"&amp;47,정리결과!$J$6:$J$6005,0))="","",INDEX(원본명단!$F$3:$F$6002,MATCH("R"&amp;47,정리결과!$J$6:$J$6005,0))),""))</f>
        <v/>
      </c>
      <c r="H52" s="14" t="b">
        <f aca="false">IF(중복검사!$A50="",FALSE(),중복검사!$J50="유지")</f>
        <v>0</v>
      </c>
      <c r="I52" s="5" t="str">
        <f aca="false">IF($H52=FALSE(),"",COUNTIF($H$6:$H52,TRUE()))</f>
        <v/>
      </c>
      <c r="J52" s="5" t="str">
        <f aca="false">IF($I52="","","R"&amp;$I52)</f>
        <v/>
      </c>
    </row>
    <row r="53" customFormat="false" ht="15" hidden="false" customHeight="true" outlineLevel="0" collapsed="false">
      <c r="A53" s="10" t="str">
        <f aca="false">IFERROR(IF(INDEX(원본명단!$A$3:$A$6002,MATCH("R"&amp;48,정리결과!$J$6:$J$6005,0))="","",INDEX(원본명단!$A$3:$A$6002,MATCH("R"&amp;48,정리결과!$J$6:$J$6005,0))),"")</f>
        <v/>
      </c>
      <c r="B53" s="10" t="str">
        <f aca="false">IF($A53="","",IFERROR(IF(INDEX(원본명단!$B$3:$B$6002,MATCH("R"&amp;48,정리결과!$J$6:$J$6005,0))="","",INDEX(원본명단!$B$3:$B$6002,MATCH("R"&amp;48,정리결과!$J$6:$J$6005,0))),""))</f>
        <v/>
      </c>
      <c r="C53" s="10" t="str">
        <f aca="false">IF($A53="","",IFERROR(IF(INDEX(원본명단!$C$3:$C$6002,MATCH("R"&amp;48,정리결과!$J$6:$J$6005,0))="","",INDEX(원본명단!$C$3:$C$6002,MATCH("R"&amp;48,정리결과!$J$6:$J$6005,0))),""))</f>
        <v/>
      </c>
      <c r="D53" s="10" t="str">
        <f aca="false">IF($A53="","",IFERROR(IF(INDEX(원본명단!$D$3:$D$6002,MATCH("R"&amp;48,정리결과!$J$6:$J$6005,0))="","",INDEX(원본명단!$D$3:$D$6002,MATCH("R"&amp;48,정리결과!$J$6:$J$6005,0))),""))</f>
        <v/>
      </c>
      <c r="E53" s="10" t="str">
        <f aca="false">IF($A53="","",IFERROR(IF(INDEX(원본명단!$E$3:$E$6002,MATCH("R"&amp;48,정리결과!$J$6:$J$6005,0))="","",INDEX(원본명단!$E$3:$E$6002,MATCH("R"&amp;48,정리결과!$J$6:$J$6005,0))),""))</f>
        <v/>
      </c>
      <c r="F53" s="10" t="str">
        <f aca="false">IF($A53="","",IFERROR(IF(INDEX(원본명단!$F$3:$F$6002,MATCH("R"&amp;48,정리결과!$J$6:$J$6005,0))="","",INDEX(원본명단!$F$3:$F$6002,MATCH("R"&amp;48,정리결과!$J$6:$J$6005,0))),""))</f>
        <v/>
      </c>
      <c r="H53" s="14" t="b">
        <f aca="false">IF(중복검사!$A51="",FALSE(),중복검사!$J51="유지")</f>
        <v>0</v>
      </c>
      <c r="I53" s="5" t="str">
        <f aca="false">IF($H53=FALSE(),"",COUNTIF($H$6:$H53,TRUE()))</f>
        <v/>
      </c>
      <c r="J53" s="5" t="str">
        <f aca="false">IF($I53="","","R"&amp;$I53)</f>
        <v/>
      </c>
    </row>
    <row r="54" customFormat="false" ht="15" hidden="false" customHeight="true" outlineLevel="0" collapsed="false">
      <c r="A54" s="10" t="str">
        <f aca="false">IFERROR(IF(INDEX(원본명단!$A$3:$A$6002,MATCH("R"&amp;49,정리결과!$J$6:$J$6005,0))="","",INDEX(원본명단!$A$3:$A$6002,MATCH("R"&amp;49,정리결과!$J$6:$J$6005,0))),"")</f>
        <v/>
      </c>
      <c r="B54" s="10" t="str">
        <f aca="false">IF($A54="","",IFERROR(IF(INDEX(원본명단!$B$3:$B$6002,MATCH("R"&amp;49,정리결과!$J$6:$J$6005,0))="","",INDEX(원본명단!$B$3:$B$6002,MATCH("R"&amp;49,정리결과!$J$6:$J$6005,0))),""))</f>
        <v/>
      </c>
      <c r="C54" s="10" t="str">
        <f aca="false">IF($A54="","",IFERROR(IF(INDEX(원본명단!$C$3:$C$6002,MATCH("R"&amp;49,정리결과!$J$6:$J$6005,0))="","",INDEX(원본명단!$C$3:$C$6002,MATCH("R"&amp;49,정리결과!$J$6:$J$6005,0))),""))</f>
        <v/>
      </c>
      <c r="D54" s="10" t="str">
        <f aca="false">IF($A54="","",IFERROR(IF(INDEX(원본명단!$D$3:$D$6002,MATCH("R"&amp;49,정리결과!$J$6:$J$6005,0))="","",INDEX(원본명단!$D$3:$D$6002,MATCH("R"&amp;49,정리결과!$J$6:$J$6005,0))),""))</f>
        <v/>
      </c>
      <c r="E54" s="10" t="str">
        <f aca="false">IF($A54="","",IFERROR(IF(INDEX(원본명단!$E$3:$E$6002,MATCH("R"&amp;49,정리결과!$J$6:$J$6005,0))="","",INDEX(원본명단!$E$3:$E$6002,MATCH("R"&amp;49,정리결과!$J$6:$J$6005,0))),""))</f>
        <v/>
      </c>
      <c r="F54" s="10" t="str">
        <f aca="false">IF($A54="","",IFERROR(IF(INDEX(원본명단!$F$3:$F$6002,MATCH("R"&amp;49,정리결과!$J$6:$J$6005,0))="","",INDEX(원본명단!$F$3:$F$6002,MATCH("R"&amp;49,정리결과!$J$6:$J$6005,0))),""))</f>
        <v/>
      </c>
      <c r="H54" s="14" t="b">
        <f aca="false">IF(중복검사!$A52="",FALSE(),중복검사!$J52="유지")</f>
        <v>0</v>
      </c>
      <c r="I54" s="5" t="str">
        <f aca="false">IF($H54=FALSE(),"",COUNTIF($H$6:$H54,TRUE()))</f>
        <v/>
      </c>
      <c r="J54" s="5" t="str">
        <f aca="false">IF($I54="","","R"&amp;$I54)</f>
        <v/>
      </c>
    </row>
    <row r="55" customFormat="false" ht="15" hidden="false" customHeight="true" outlineLevel="0" collapsed="false">
      <c r="A55" s="10" t="str">
        <f aca="false">IFERROR(IF(INDEX(원본명단!$A$3:$A$6002,MATCH("R"&amp;50,정리결과!$J$6:$J$6005,0))="","",INDEX(원본명단!$A$3:$A$6002,MATCH("R"&amp;50,정리결과!$J$6:$J$6005,0))),"")</f>
        <v/>
      </c>
      <c r="B55" s="10" t="str">
        <f aca="false">IF($A55="","",IFERROR(IF(INDEX(원본명단!$B$3:$B$6002,MATCH("R"&amp;50,정리결과!$J$6:$J$6005,0))="","",INDEX(원본명단!$B$3:$B$6002,MATCH("R"&amp;50,정리결과!$J$6:$J$6005,0))),""))</f>
        <v/>
      </c>
      <c r="C55" s="10" t="str">
        <f aca="false">IF($A55="","",IFERROR(IF(INDEX(원본명단!$C$3:$C$6002,MATCH("R"&amp;50,정리결과!$J$6:$J$6005,0))="","",INDEX(원본명단!$C$3:$C$6002,MATCH("R"&amp;50,정리결과!$J$6:$J$6005,0))),""))</f>
        <v/>
      </c>
      <c r="D55" s="10" t="str">
        <f aca="false">IF($A55="","",IFERROR(IF(INDEX(원본명단!$D$3:$D$6002,MATCH("R"&amp;50,정리결과!$J$6:$J$6005,0))="","",INDEX(원본명단!$D$3:$D$6002,MATCH("R"&amp;50,정리결과!$J$6:$J$6005,0))),""))</f>
        <v/>
      </c>
      <c r="E55" s="10" t="str">
        <f aca="false">IF($A55="","",IFERROR(IF(INDEX(원본명단!$E$3:$E$6002,MATCH("R"&amp;50,정리결과!$J$6:$J$6005,0))="","",INDEX(원본명단!$E$3:$E$6002,MATCH("R"&amp;50,정리결과!$J$6:$J$6005,0))),""))</f>
        <v/>
      </c>
      <c r="F55" s="10" t="str">
        <f aca="false">IF($A55="","",IFERROR(IF(INDEX(원본명단!$F$3:$F$6002,MATCH("R"&amp;50,정리결과!$J$6:$J$6005,0))="","",INDEX(원본명단!$F$3:$F$6002,MATCH("R"&amp;50,정리결과!$J$6:$J$6005,0))),""))</f>
        <v/>
      </c>
      <c r="H55" s="14" t="b">
        <f aca="false">IF(중복검사!$A53="",FALSE(),중복검사!$J53="유지")</f>
        <v>0</v>
      </c>
      <c r="I55" s="5" t="str">
        <f aca="false">IF($H55=FALSE(),"",COUNTIF($H$6:$H55,TRUE()))</f>
        <v/>
      </c>
      <c r="J55" s="5" t="str">
        <f aca="false">IF($I55="","","R"&amp;$I55)</f>
        <v/>
      </c>
    </row>
    <row r="56" customFormat="false" ht="15" hidden="false" customHeight="true" outlineLevel="0" collapsed="false">
      <c r="A56" s="10" t="str">
        <f aca="false">IFERROR(IF(INDEX(원본명단!$A$3:$A$6002,MATCH("R"&amp;51,정리결과!$J$6:$J$6005,0))="","",INDEX(원본명단!$A$3:$A$6002,MATCH("R"&amp;51,정리결과!$J$6:$J$6005,0))),"")</f>
        <v/>
      </c>
      <c r="B56" s="10" t="str">
        <f aca="false">IF($A56="","",IFERROR(IF(INDEX(원본명단!$B$3:$B$6002,MATCH("R"&amp;51,정리결과!$J$6:$J$6005,0))="","",INDEX(원본명단!$B$3:$B$6002,MATCH("R"&amp;51,정리결과!$J$6:$J$6005,0))),""))</f>
        <v/>
      </c>
      <c r="C56" s="10" t="str">
        <f aca="false">IF($A56="","",IFERROR(IF(INDEX(원본명단!$C$3:$C$6002,MATCH("R"&amp;51,정리결과!$J$6:$J$6005,0))="","",INDEX(원본명단!$C$3:$C$6002,MATCH("R"&amp;51,정리결과!$J$6:$J$6005,0))),""))</f>
        <v/>
      </c>
      <c r="D56" s="10" t="str">
        <f aca="false">IF($A56="","",IFERROR(IF(INDEX(원본명단!$D$3:$D$6002,MATCH("R"&amp;51,정리결과!$J$6:$J$6005,0))="","",INDEX(원본명단!$D$3:$D$6002,MATCH("R"&amp;51,정리결과!$J$6:$J$6005,0))),""))</f>
        <v/>
      </c>
      <c r="E56" s="10" t="str">
        <f aca="false">IF($A56="","",IFERROR(IF(INDEX(원본명단!$E$3:$E$6002,MATCH("R"&amp;51,정리결과!$J$6:$J$6005,0))="","",INDEX(원본명단!$E$3:$E$6002,MATCH("R"&amp;51,정리결과!$J$6:$J$6005,0))),""))</f>
        <v/>
      </c>
      <c r="F56" s="10" t="str">
        <f aca="false">IF($A56="","",IFERROR(IF(INDEX(원본명단!$F$3:$F$6002,MATCH("R"&amp;51,정리결과!$J$6:$J$6005,0))="","",INDEX(원본명단!$F$3:$F$6002,MATCH("R"&amp;51,정리결과!$J$6:$J$6005,0))),""))</f>
        <v/>
      </c>
      <c r="H56" s="14" t="b">
        <f aca="false">IF(중복검사!$A54="",FALSE(),중복검사!$J54="유지")</f>
        <v>0</v>
      </c>
      <c r="I56" s="5" t="str">
        <f aca="false">IF($H56=FALSE(),"",COUNTIF($H$6:$H56,TRUE()))</f>
        <v/>
      </c>
      <c r="J56" s="5" t="str">
        <f aca="false">IF($I56="","","R"&amp;$I56)</f>
        <v/>
      </c>
    </row>
    <row r="57" customFormat="false" ht="15" hidden="false" customHeight="true" outlineLevel="0" collapsed="false">
      <c r="A57" s="10" t="str">
        <f aca="false">IFERROR(IF(INDEX(원본명단!$A$3:$A$6002,MATCH("R"&amp;52,정리결과!$J$6:$J$6005,0))="","",INDEX(원본명단!$A$3:$A$6002,MATCH("R"&amp;52,정리결과!$J$6:$J$6005,0))),"")</f>
        <v/>
      </c>
      <c r="B57" s="10" t="str">
        <f aca="false">IF($A57="","",IFERROR(IF(INDEX(원본명단!$B$3:$B$6002,MATCH("R"&amp;52,정리결과!$J$6:$J$6005,0))="","",INDEX(원본명단!$B$3:$B$6002,MATCH("R"&amp;52,정리결과!$J$6:$J$6005,0))),""))</f>
        <v/>
      </c>
      <c r="C57" s="10" t="str">
        <f aca="false">IF($A57="","",IFERROR(IF(INDEX(원본명단!$C$3:$C$6002,MATCH("R"&amp;52,정리결과!$J$6:$J$6005,0))="","",INDEX(원본명단!$C$3:$C$6002,MATCH("R"&amp;52,정리결과!$J$6:$J$6005,0))),""))</f>
        <v/>
      </c>
      <c r="D57" s="10" t="str">
        <f aca="false">IF($A57="","",IFERROR(IF(INDEX(원본명단!$D$3:$D$6002,MATCH("R"&amp;52,정리결과!$J$6:$J$6005,0))="","",INDEX(원본명단!$D$3:$D$6002,MATCH("R"&amp;52,정리결과!$J$6:$J$6005,0))),""))</f>
        <v/>
      </c>
      <c r="E57" s="10" t="str">
        <f aca="false">IF($A57="","",IFERROR(IF(INDEX(원본명단!$E$3:$E$6002,MATCH("R"&amp;52,정리결과!$J$6:$J$6005,0))="","",INDEX(원본명단!$E$3:$E$6002,MATCH("R"&amp;52,정리결과!$J$6:$J$6005,0))),""))</f>
        <v/>
      </c>
      <c r="F57" s="10" t="str">
        <f aca="false">IF($A57="","",IFERROR(IF(INDEX(원본명단!$F$3:$F$6002,MATCH("R"&amp;52,정리결과!$J$6:$J$6005,0))="","",INDEX(원본명단!$F$3:$F$6002,MATCH("R"&amp;52,정리결과!$J$6:$J$6005,0))),""))</f>
        <v/>
      </c>
      <c r="H57" s="14" t="b">
        <f aca="false">IF(중복검사!$A55="",FALSE(),중복검사!$J55="유지")</f>
        <v>0</v>
      </c>
      <c r="I57" s="5" t="str">
        <f aca="false">IF($H57=FALSE(),"",COUNTIF($H$6:$H57,TRUE()))</f>
        <v/>
      </c>
      <c r="J57" s="5" t="str">
        <f aca="false">IF($I57="","","R"&amp;$I57)</f>
        <v/>
      </c>
    </row>
    <row r="58" customFormat="false" ht="15" hidden="false" customHeight="true" outlineLevel="0" collapsed="false">
      <c r="A58" s="10" t="str">
        <f aca="false">IFERROR(IF(INDEX(원본명단!$A$3:$A$6002,MATCH("R"&amp;53,정리결과!$J$6:$J$6005,0))="","",INDEX(원본명단!$A$3:$A$6002,MATCH("R"&amp;53,정리결과!$J$6:$J$6005,0))),"")</f>
        <v/>
      </c>
      <c r="B58" s="10" t="str">
        <f aca="false">IF($A58="","",IFERROR(IF(INDEX(원본명단!$B$3:$B$6002,MATCH("R"&amp;53,정리결과!$J$6:$J$6005,0))="","",INDEX(원본명단!$B$3:$B$6002,MATCH("R"&amp;53,정리결과!$J$6:$J$6005,0))),""))</f>
        <v/>
      </c>
      <c r="C58" s="10" t="str">
        <f aca="false">IF($A58="","",IFERROR(IF(INDEX(원본명단!$C$3:$C$6002,MATCH("R"&amp;53,정리결과!$J$6:$J$6005,0))="","",INDEX(원본명단!$C$3:$C$6002,MATCH("R"&amp;53,정리결과!$J$6:$J$6005,0))),""))</f>
        <v/>
      </c>
      <c r="D58" s="10" t="str">
        <f aca="false">IF($A58="","",IFERROR(IF(INDEX(원본명단!$D$3:$D$6002,MATCH("R"&amp;53,정리결과!$J$6:$J$6005,0))="","",INDEX(원본명단!$D$3:$D$6002,MATCH("R"&amp;53,정리결과!$J$6:$J$6005,0))),""))</f>
        <v/>
      </c>
      <c r="E58" s="10" t="str">
        <f aca="false">IF($A58="","",IFERROR(IF(INDEX(원본명단!$E$3:$E$6002,MATCH("R"&amp;53,정리결과!$J$6:$J$6005,0))="","",INDEX(원본명단!$E$3:$E$6002,MATCH("R"&amp;53,정리결과!$J$6:$J$6005,0))),""))</f>
        <v/>
      </c>
      <c r="F58" s="10" t="str">
        <f aca="false">IF($A58="","",IFERROR(IF(INDEX(원본명단!$F$3:$F$6002,MATCH("R"&amp;53,정리결과!$J$6:$J$6005,0))="","",INDEX(원본명단!$F$3:$F$6002,MATCH("R"&amp;53,정리결과!$J$6:$J$6005,0))),""))</f>
        <v/>
      </c>
      <c r="H58" s="14" t="b">
        <f aca="false">IF(중복검사!$A56="",FALSE(),중복검사!$J56="유지")</f>
        <v>0</v>
      </c>
      <c r="I58" s="5" t="str">
        <f aca="false">IF($H58=FALSE(),"",COUNTIF($H$6:$H58,TRUE()))</f>
        <v/>
      </c>
      <c r="J58" s="5" t="str">
        <f aca="false">IF($I58="","","R"&amp;$I58)</f>
        <v/>
      </c>
    </row>
    <row r="59" customFormat="false" ht="15" hidden="false" customHeight="true" outlineLevel="0" collapsed="false">
      <c r="A59" s="10" t="str">
        <f aca="false">IFERROR(IF(INDEX(원본명단!$A$3:$A$6002,MATCH("R"&amp;54,정리결과!$J$6:$J$6005,0))="","",INDEX(원본명단!$A$3:$A$6002,MATCH("R"&amp;54,정리결과!$J$6:$J$6005,0))),"")</f>
        <v/>
      </c>
      <c r="B59" s="10" t="str">
        <f aca="false">IF($A59="","",IFERROR(IF(INDEX(원본명단!$B$3:$B$6002,MATCH("R"&amp;54,정리결과!$J$6:$J$6005,0))="","",INDEX(원본명단!$B$3:$B$6002,MATCH("R"&amp;54,정리결과!$J$6:$J$6005,0))),""))</f>
        <v/>
      </c>
      <c r="C59" s="10" t="str">
        <f aca="false">IF($A59="","",IFERROR(IF(INDEX(원본명단!$C$3:$C$6002,MATCH("R"&amp;54,정리결과!$J$6:$J$6005,0))="","",INDEX(원본명단!$C$3:$C$6002,MATCH("R"&amp;54,정리결과!$J$6:$J$6005,0))),""))</f>
        <v/>
      </c>
      <c r="D59" s="10" t="str">
        <f aca="false">IF($A59="","",IFERROR(IF(INDEX(원본명단!$D$3:$D$6002,MATCH("R"&amp;54,정리결과!$J$6:$J$6005,0))="","",INDEX(원본명단!$D$3:$D$6002,MATCH("R"&amp;54,정리결과!$J$6:$J$6005,0))),""))</f>
        <v/>
      </c>
      <c r="E59" s="10" t="str">
        <f aca="false">IF($A59="","",IFERROR(IF(INDEX(원본명단!$E$3:$E$6002,MATCH("R"&amp;54,정리결과!$J$6:$J$6005,0))="","",INDEX(원본명단!$E$3:$E$6002,MATCH("R"&amp;54,정리결과!$J$6:$J$6005,0))),""))</f>
        <v/>
      </c>
      <c r="F59" s="10" t="str">
        <f aca="false">IF($A59="","",IFERROR(IF(INDEX(원본명단!$F$3:$F$6002,MATCH("R"&amp;54,정리결과!$J$6:$J$6005,0))="","",INDEX(원본명단!$F$3:$F$6002,MATCH("R"&amp;54,정리결과!$J$6:$J$6005,0))),""))</f>
        <v/>
      </c>
      <c r="H59" s="14" t="b">
        <f aca="false">IF(중복검사!$A57="",FALSE(),중복검사!$J57="유지")</f>
        <v>0</v>
      </c>
      <c r="I59" s="5" t="str">
        <f aca="false">IF($H59=FALSE(),"",COUNTIF($H$6:$H59,TRUE()))</f>
        <v/>
      </c>
      <c r="J59" s="5" t="str">
        <f aca="false">IF($I59="","","R"&amp;$I59)</f>
        <v/>
      </c>
    </row>
    <row r="60" customFormat="false" ht="15" hidden="false" customHeight="true" outlineLevel="0" collapsed="false">
      <c r="A60" s="10" t="str">
        <f aca="false">IFERROR(IF(INDEX(원본명단!$A$3:$A$6002,MATCH("R"&amp;55,정리결과!$J$6:$J$6005,0))="","",INDEX(원본명단!$A$3:$A$6002,MATCH("R"&amp;55,정리결과!$J$6:$J$6005,0))),"")</f>
        <v/>
      </c>
      <c r="B60" s="10" t="str">
        <f aca="false">IF($A60="","",IFERROR(IF(INDEX(원본명단!$B$3:$B$6002,MATCH("R"&amp;55,정리결과!$J$6:$J$6005,0))="","",INDEX(원본명단!$B$3:$B$6002,MATCH("R"&amp;55,정리결과!$J$6:$J$6005,0))),""))</f>
        <v/>
      </c>
      <c r="C60" s="10" t="str">
        <f aca="false">IF($A60="","",IFERROR(IF(INDEX(원본명단!$C$3:$C$6002,MATCH("R"&amp;55,정리결과!$J$6:$J$6005,0))="","",INDEX(원본명단!$C$3:$C$6002,MATCH("R"&amp;55,정리결과!$J$6:$J$6005,0))),""))</f>
        <v/>
      </c>
      <c r="D60" s="10" t="str">
        <f aca="false">IF($A60="","",IFERROR(IF(INDEX(원본명단!$D$3:$D$6002,MATCH("R"&amp;55,정리결과!$J$6:$J$6005,0))="","",INDEX(원본명단!$D$3:$D$6002,MATCH("R"&amp;55,정리결과!$J$6:$J$6005,0))),""))</f>
        <v/>
      </c>
      <c r="E60" s="10" t="str">
        <f aca="false">IF($A60="","",IFERROR(IF(INDEX(원본명단!$E$3:$E$6002,MATCH("R"&amp;55,정리결과!$J$6:$J$6005,0))="","",INDEX(원본명단!$E$3:$E$6002,MATCH("R"&amp;55,정리결과!$J$6:$J$6005,0))),""))</f>
        <v/>
      </c>
      <c r="F60" s="10" t="str">
        <f aca="false">IF($A60="","",IFERROR(IF(INDEX(원본명단!$F$3:$F$6002,MATCH("R"&amp;55,정리결과!$J$6:$J$6005,0))="","",INDEX(원본명단!$F$3:$F$6002,MATCH("R"&amp;55,정리결과!$J$6:$J$6005,0))),""))</f>
        <v/>
      </c>
      <c r="H60" s="14" t="b">
        <f aca="false">IF(중복검사!$A58="",FALSE(),중복검사!$J58="유지")</f>
        <v>0</v>
      </c>
      <c r="I60" s="5" t="str">
        <f aca="false">IF($H60=FALSE(),"",COUNTIF($H$6:$H60,TRUE()))</f>
        <v/>
      </c>
      <c r="J60" s="5" t="str">
        <f aca="false">IF($I60="","","R"&amp;$I60)</f>
        <v/>
      </c>
    </row>
    <row r="61" customFormat="false" ht="15" hidden="false" customHeight="true" outlineLevel="0" collapsed="false">
      <c r="A61" s="10" t="str">
        <f aca="false">IFERROR(IF(INDEX(원본명단!$A$3:$A$6002,MATCH("R"&amp;56,정리결과!$J$6:$J$6005,0))="","",INDEX(원본명단!$A$3:$A$6002,MATCH("R"&amp;56,정리결과!$J$6:$J$6005,0))),"")</f>
        <v/>
      </c>
      <c r="B61" s="10" t="str">
        <f aca="false">IF($A61="","",IFERROR(IF(INDEX(원본명단!$B$3:$B$6002,MATCH("R"&amp;56,정리결과!$J$6:$J$6005,0))="","",INDEX(원본명단!$B$3:$B$6002,MATCH("R"&amp;56,정리결과!$J$6:$J$6005,0))),""))</f>
        <v/>
      </c>
      <c r="C61" s="10" t="str">
        <f aca="false">IF($A61="","",IFERROR(IF(INDEX(원본명단!$C$3:$C$6002,MATCH("R"&amp;56,정리결과!$J$6:$J$6005,0))="","",INDEX(원본명단!$C$3:$C$6002,MATCH("R"&amp;56,정리결과!$J$6:$J$6005,0))),""))</f>
        <v/>
      </c>
      <c r="D61" s="10" t="str">
        <f aca="false">IF($A61="","",IFERROR(IF(INDEX(원본명단!$D$3:$D$6002,MATCH("R"&amp;56,정리결과!$J$6:$J$6005,0))="","",INDEX(원본명단!$D$3:$D$6002,MATCH("R"&amp;56,정리결과!$J$6:$J$6005,0))),""))</f>
        <v/>
      </c>
      <c r="E61" s="10" t="str">
        <f aca="false">IF($A61="","",IFERROR(IF(INDEX(원본명단!$E$3:$E$6002,MATCH("R"&amp;56,정리결과!$J$6:$J$6005,0))="","",INDEX(원본명단!$E$3:$E$6002,MATCH("R"&amp;56,정리결과!$J$6:$J$6005,0))),""))</f>
        <v/>
      </c>
      <c r="F61" s="10" t="str">
        <f aca="false">IF($A61="","",IFERROR(IF(INDEX(원본명단!$F$3:$F$6002,MATCH("R"&amp;56,정리결과!$J$6:$J$6005,0))="","",INDEX(원본명단!$F$3:$F$6002,MATCH("R"&amp;56,정리결과!$J$6:$J$6005,0))),""))</f>
        <v/>
      </c>
      <c r="H61" s="14" t="b">
        <f aca="false">IF(중복검사!$A59="",FALSE(),중복검사!$J59="유지")</f>
        <v>0</v>
      </c>
      <c r="I61" s="5" t="str">
        <f aca="false">IF($H61=FALSE(),"",COUNTIF($H$6:$H61,TRUE()))</f>
        <v/>
      </c>
      <c r="J61" s="5" t="str">
        <f aca="false">IF($I61="","","R"&amp;$I61)</f>
        <v/>
      </c>
    </row>
    <row r="62" customFormat="false" ht="15" hidden="false" customHeight="true" outlineLevel="0" collapsed="false">
      <c r="A62" s="10" t="str">
        <f aca="false">IFERROR(IF(INDEX(원본명단!$A$3:$A$6002,MATCH("R"&amp;57,정리결과!$J$6:$J$6005,0))="","",INDEX(원본명단!$A$3:$A$6002,MATCH("R"&amp;57,정리결과!$J$6:$J$6005,0))),"")</f>
        <v/>
      </c>
      <c r="B62" s="10" t="str">
        <f aca="false">IF($A62="","",IFERROR(IF(INDEX(원본명단!$B$3:$B$6002,MATCH("R"&amp;57,정리결과!$J$6:$J$6005,0))="","",INDEX(원본명단!$B$3:$B$6002,MATCH("R"&amp;57,정리결과!$J$6:$J$6005,0))),""))</f>
        <v/>
      </c>
      <c r="C62" s="10" t="str">
        <f aca="false">IF($A62="","",IFERROR(IF(INDEX(원본명단!$C$3:$C$6002,MATCH("R"&amp;57,정리결과!$J$6:$J$6005,0))="","",INDEX(원본명단!$C$3:$C$6002,MATCH("R"&amp;57,정리결과!$J$6:$J$6005,0))),""))</f>
        <v/>
      </c>
      <c r="D62" s="10" t="str">
        <f aca="false">IF($A62="","",IFERROR(IF(INDEX(원본명단!$D$3:$D$6002,MATCH("R"&amp;57,정리결과!$J$6:$J$6005,0))="","",INDEX(원본명단!$D$3:$D$6002,MATCH("R"&amp;57,정리결과!$J$6:$J$6005,0))),""))</f>
        <v/>
      </c>
      <c r="E62" s="10" t="str">
        <f aca="false">IF($A62="","",IFERROR(IF(INDEX(원본명단!$E$3:$E$6002,MATCH("R"&amp;57,정리결과!$J$6:$J$6005,0))="","",INDEX(원본명단!$E$3:$E$6002,MATCH("R"&amp;57,정리결과!$J$6:$J$6005,0))),""))</f>
        <v/>
      </c>
      <c r="F62" s="10" t="str">
        <f aca="false">IF($A62="","",IFERROR(IF(INDEX(원본명단!$F$3:$F$6002,MATCH("R"&amp;57,정리결과!$J$6:$J$6005,0))="","",INDEX(원본명단!$F$3:$F$6002,MATCH("R"&amp;57,정리결과!$J$6:$J$6005,0))),""))</f>
        <v/>
      </c>
      <c r="H62" s="14" t="b">
        <f aca="false">IF(중복검사!$A60="",FALSE(),중복검사!$J60="유지")</f>
        <v>0</v>
      </c>
      <c r="I62" s="5" t="str">
        <f aca="false">IF($H62=FALSE(),"",COUNTIF($H$6:$H62,TRUE()))</f>
        <v/>
      </c>
      <c r="J62" s="5" t="str">
        <f aca="false">IF($I62="","","R"&amp;$I62)</f>
        <v/>
      </c>
    </row>
    <row r="63" customFormat="false" ht="15" hidden="false" customHeight="true" outlineLevel="0" collapsed="false">
      <c r="A63" s="10" t="str">
        <f aca="false">IFERROR(IF(INDEX(원본명단!$A$3:$A$6002,MATCH("R"&amp;58,정리결과!$J$6:$J$6005,0))="","",INDEX(원본명단!$A$3:$A$6002,MATCH("R"&amp;58,정리결과!$J$6:$J$6005,0))),"")</f>
        <v/>
      </c>
      <c r="B63" s="10" t="str">
        <f aca="false">IF($A63="","",IFERROR(IF(INDEX(원본명단!$B$3:$B$6002,MATCH("R"&amp;58,정리결과!$J$6:$J$6005,0))="","",INDEX(원본명단!$B$3:$B$6002,MATCH("R"&amp;58,정리결과!$J$6:$J$6005,0))),""))</f>
        <v/>
      </c>
      <c r="C63" s="10" t="str">
        <f aca="false">IF($A63="","",IFERROR(IF(INDEX(원본명단!$C$3:$C$6002,MATCH("R"&amp;58,정리결과!$J$6:$J$6005,0))="","",INDEX(원본명단!$C$3:$C$6002,MATCH("R"&amp;58,정리결과!$J$6:$J$6005,0))),""))</f>
        <v/>
      </c>
      <c r="D63" s="10" t="str">
        <f aca="false">IF($A63="","",IFERROR(IF(INDEX(원본명단!$D$3:$D$6002,MATCH("R"&amp;58,정리결과!$J$6:$J$6005,0))="","",INDEX(원본명단!$D$3:$D$6002,MATCH("R"&amp;58,정리결과!$J$6:$J$6005,0))),""))</f>
        <v/>
      </c>
      <c r="E63" s="10" t="str">
        <f aca="false">IF($A63="","",IFERROR(IF(INDEX(원본명단!$E$3:$E$6002,MATCH("R"&amp;58,정리결과!$J$6:$J$6005,0))="","",INDEX(원본명단!$E$3:$E$6002,MATCH("R"&amp;58,정리결과!$J$6:$J$6005,0))),""))</f>
        <v/>
      </c>
      <c r="F63" s="10" t="str">
        <f aca="false">IF($A63="","",IFERROR(IF(INDEX(원본명단!$F$3:$F$6002,MATCH("R"&amp;58,정리결과!$J$6:$J$6005,0))="","",INDEX(원본명단!$F$3:$F$6002,MATCH("R"&amp;58,정리결과!$J$6:$J$6005,0))),""))</f>
        <v/>
      </c>
      <c r="H63" s="14" t="b">
        <f aca="false">IF(중복검사!$A61="",FALSE(),중복검사!$J61="유지")</f>
        <v>0</v>
      </c>
      <c r="I63" s="5" t="str">
        <f aca="false">IF($H63=FALSE(),"",COUNTIF($H$6:$H63,TRUE()))</f>
        <v/>
      </c>
      <c r="J63" s="5" t="str">
        <f aca="false">IF($I63="","","R"&amp;$I63)</f>
        <v/>
      </c>
    </row>
    <row r="64" customFormat="false" ht="15" hidden="false" customHeight="true" outlineLevel="0" collapsed="false">
      <c r="A64" s="10" t="str">
        <f aca="false">IFERROR(IF(INDEX(원본명단!$A$3:$A$6002,MATCH("R"&amp;59,정리결과!$J$6:$J$6005,0))="","",INDEX(원본명단!$A$3:$A$6002,MATCH("R"&amp;59,정리결과!$J$6:$J$6005,0))),"")</f>
        <v/>
      </c>
      <c r="B64" s="10" t="str">
        <f aca="false">IF($A64="","",IFERROR(IF(INDEX(원본명단!$B$3:$B$6002,MATCH("R"&amp;59,정리결과!$J$6:$J$6005,0))="","",INDEX(원본명단!$B$3:$B$6002,MATCH("R"&amp;59,정리결과!$J$6:$J$6005,0))),""))</f>
        <v/>
      </c>
      <c r="C64" s="10" t="str">
        <f aca="false">IF($A64="","",IFERROR(IF(INDEX(원본명단!$C$3:$C$6002,MATCH("R"&amp;59,정리결과!$J$6:$J$6005,0))="","",INDEX(원본명단!$C$3:$C$6002,MATCH("R"&amp;59,정리결과!$J$6:$J$6005,0))),""))</f>
        <v/>
      </c>
      <c r="D64" s="10" t="str">
        <f aca="false">IF($A64="","",IFERROR(IF(INDEX(원본명단!$D$3:$D$6002,MATCH("R"&amp;59,정리결과!$J$6:$J$6005,0))="","",INDEX(원본명단!$D$3:$D$6002,MATCH("R"&amp;59,정리결과!$J$6:$J$6005,0))),""))</f>
        <v/>
      </c>
      <c r="E64" s="10" t="str">
        <f aca="false">IF($A64="","",IFERROR(IF(INDEX(원본명단!$E$3:$E$6002,MATCH("R"&amp;59,정리결과!$J$6:$J$6005,0))="","",INDEX(원본명단!$E$3:$E$6002,MATCH("R"&amp;59,정리결과!$J$6:$J$6005,0))),""))</f>
        <v/>
      </c>
      <c r="F64" s="10" t="str">
        <f aca="false">IF($A64="","",IFERROR(IF(INDEX(원본명단!$F$3:$F$6002,MATCH("R"&amp;59,정리결과!$J$6:$J$6005,0))="","",INDEX(원본명단!$F$3:$F$6002,MATCH("R"&amp;59,정리결과!$J$6:$J$6005,0))),""))</f>
        <v/>
      </c>
      <c r="H64" s="14" t="b">
        <f aca="false">IF(중복검사!$A62="",FALSE(),중복검사!$J62="유지")</f>
        <v>0</v>
      </c>
      <c r="I64" s="5" t="str">
        <f aca="false">IF($H64=FALSE(),"",COUNTIF($H$6:$H64,TRUE()))</f>
        <v/>
      </c>
      <c r="J64" s="5" t="str">
        <f aca="false">IF($I64="","","R"&amp;$I64)</f>
        <v/>
      </c>
    </row>
    <row r="65" customFormat="false" ht="15" hidden="false" customHeight="true" outlineLevel="0" collapsed="false">
      <c r="A65" s="10" t="str">
        <f aca="false">IFERROR(IF(INDEX(원본명단!$A$3:$A$6002,MATCH("R"&amp;60,정리결과!$J$6:$J$6005,0))="","",INDEX(원본명단!$A$3:$A$6002,MATCH("R"&amp;60,정리결과!$J$6:$J$6005,0))),"")</f>
        <v/>
      </c>
      <c r="B65" s="10" t="str">
        <f aca="false">IF($A65="","",IFERROR(IF(INDEX(원본명단!$B$3:$B$6002,MATCH("R"&amp;60,정리결과!$J$6:$J$6005,0))="","",INDEX(원본명단!$B$3:$B$6002,MATCH("R"&amp;60,정리결과!$J$6:$J$6005,0))),""))</f>
        <v/>
      </c>
      <c r="C65" s="10" t="str">
        <f aca="false">IF($A65="","",IFERROR(IF(INDEX(원본명단!$C$3:$C$6002,MATCH("R"&amp;60,정리결과!$J$6:$J$6005,0))="","",INDEX(원본명단!$C$3:$C$6002,MATCH("R"&amp;60,정리결과!$J$6:$J$6005,0))),""))</f>
        <v/>
      </c>
      <c r="D65" s="10" t="str">
        <f aca="false">IF($A65="","",IFERROR(IF(INDEX(원본명단!$D$3:$D$6002,MATCH("R"&amp;60,정리결과!$J$6:$J$6005,0))="","",INDEX(원본명단!$D$3:$D$6002,MATCH("R"&amp;60,정리결과!$J$6:$J$6005,0))),""))</f>
        <v/>
      </c>
      <c r="E65" s="10" t="str">
        <f aca="false">IF($A65="","",IFERROR(IF(INDEX(원본명단!$E$3:$E$6002,MATCH("R"&amp;60,정리결과!$J$6:$J$6005,0))="","",INDEX(원본명단!$E$3:$E$6002,MATCH("R"&amp;60,정리결과!$J$6:$J$6005,0))),""))</f>
        <v/>
      </c>
      <c r="F65" s="10" t="str">
        <f aca="false">IF($A65="","",IFERROR(IF(INDEX(원본명단!$F$3:$F$6002,MATCH("R"&amp;60,정리결과!$J$6:$J$6005,0))="","",INDEX(원본명단!$F$3:$F$6002,MATCH("R"&amp;60,정리결과!$J$6:$J$6005,0))),""))</f>
        <v/>
      </c>
      <c r="H65" s="14" t="b">
        <f aca="false">IF(중복검사!$A63="",FALSE(),중복검사!$J63="유지")</f>
        <v>0</v>
      </c>
      <c r="I65" s="5" t="str">
        <f aca="false">IF($H65=FALSE(),"",COUNTIF($H$6:$H65,TRUE()))</f>
        <v/>
      </c>
      <c r="J65" s="5" t="str">
        <f aca="false">IF($I65="","","R"&amp;$I65)</f>
        <v/>
      </c>
    </row>
    <row r="66" customFormat="false" ht="15" hidden="false" customHeight="true" outlineLevel="0" collapsed="false">
      <c r="A66" s="10" t="str">
        <f aca="false">IFERROR(IF(INDEX(원본명단!$A$3:$A$6002,MATCH("R"&amp;61,정리결과!$J$6:$J$6005,0))="","",INDEX(원본명단!$A$3:$A$6002,MATCH("R"&amp;61,정리결과!$J$6:$J$6005,0))),"")</f>
        <v/>
      </c>
      <c r="B66" s="10" t="str">
        <f aca="false">IF($A66="","",IFERROR(IF(INDEX(원본명단!$B$3:$B$6002,MATCH("R"&amp;61,정리결과!$J$6:$J$6005,0))="","",INDEX(원본명단!$B$3:$B$6002,MATCH("R"&amp;61,정리결과!$J$6:$J$6005,0))),""))</f>
        <v/>
      </c>
      <c r="C66" s="10" t="str">
        <f aca="false">IF($A66="","",IFERROR(IF(INDEX(원본명단!$C$3:$C$6002,MATCH("R"&amp;61,정리결과!$J$6:$J$6005,0))="","",INDEX(원본명단!$C$3:$C$6002,MATCH("R"&amp;61,정리결과!$J$6:$J$6005,0))),""))</f>
        <v/>
      </c>
      <c r="D66" s="10" t="str">
        <f aca="false">IF($A66="","",IFERROR(IF(INDEX(원본명단!$D$3:$D$6002,MATCH("R"&amp;61,정리결과!$J$6:$J$6005,0))="","",INDEX(원본명단!$D$3:$D$6002,MATCH("R"&amp;61,정리결과!$J$6:$J$6005,0))),""))</f>
        <v/>
      </c>
      <c r="E66" s="10" t="str">
        <f aca="false">IF($A66="","",IFERROR(IF(INDEX(원본명단!$E$3:$E$6002,MATCH("R"&amp;61,정리결과!$J$6:$J$6005,0))="","",INDEX(원본명단!$E$3:$E$6002,MATCH("R"&amp;61,정리결과!$J$6:$J$6005,0))),""))</f>
        <v/>
      </c>
      <c r="F66" s="10" t="str">
        <f aca="false">IF($A66="","",IFERROR(IF(INDEX(원본명단!$F$3:$F$6002,MATCH("R"&amp;61,정리결과!$J$6:$J$6005,0))="","",INDEX(원본명단!$F$3:$F$6002,MATCH("R"&amp;61,정리결과!$J$6:$J$6005,0))),""))</f>
        <v/>
      </c>
      <c r="H66" s="14" t="b">
        <f aca="false">IF(중복검사!$A64="",FALSE(),중복검사!$J64="유지")</f>
        <v>0</v>
      </c>
      <c r="I66" s="5" t="str">
        <f aca="false">IF($H66=FALSE(),"",COUNTIF($H$6:$H66,TRUE()))</f>
        <v/>
      </c>
      <c r="J66" s="5" t="str">
        <f aca="false">IF($I66="","","R"&amp;$I66)</f>
        <v/>
      </c>
    </row>
    <row r="67" customFormat="false" ht="15" hidden="false" customHeight="true" outlineLevel="0" collapsed="false">
      <c r="A67" s="10" t="str">
        <f aca="false">IFERROR(IF(INDEX(원본명단!$A$3:$A$6002,MATCH("R"&amp;62,정리결과!$J$6:$J$6005,0))="","",INDEX(원본명단!$A$3:$A$6002,MATCH("R"&amp;62,정리결과!$J$6:$J$6005,0))),"")</f>
        <v/>
      </c>
      <c r="B67" s="10" t="str">
        <f aca="false">IF($A67="","",IFERROR(IF(INDEX(원본명단!$B$3:$B$6002,MATCH("R"&amp;62,정리결과!$J$6:$J$6005,0))="","",INDEX(원본명단!$B$3:$B$6002,MATCH("R"&amp;62,정리결과!$J$6:$J$6005,0))),""))</f>
        <v/>
      </c>
      <c r="C67" s="10" t="str">
        <f aca="false">IF($A67="","",IFERROR(IF(INDEX(원본명단!$C$3:$C$6002,MATCH("R"&amp;62,정리결과!$J$6:$J$6005,0))="","",INDEX(원본명단!$C$3:$C$6002,MATCH("R"&amp;62,정리결과!$J$6:$J$6005,0))),""))</f>
        <v/>
      </c>
      <c r="D67" s="10" t="str">
        <f aca="false">IF($A67="","",IFERROR(IF(INDEX(원본명단!$D$3:$D$6002,MATCH("R"&amp;62,정리결과!$J$6:$J$6005,0))="","",INDEX(원본명단!$D$3:$D$6002,MATCH("R"&amp;62,정리결과!$J$6:$J$6005,0))),""))</f>
        <v/>
      </c>
      <c r="E67" s="10" t="str">
        <f aca="false">IF($A67="","",IFERROR(IF(INDEX(원본명단!$E$3:$E$6002,MATCH("R"&amp;62,정리결과!$J$6:$J$6005,0))="","",INDEX(원본명단!$E$3:$E$6002,MATCH("R"&amp;62,정리결과!$J$6:$J$6005,0))),""))</f>
        <v/>
      </c>
      <c r="F67" s="10" t="str">
        <f aca="false">IF($A67="","",IFERROR(IF(INDEX(원본명단!$F$3:$F$6002,MATCH("R"&amp;62,정리결과!$J$6:$J$6005,0))="","",INDEX(원본명단!$F$3:$F$6002,MATCH("R"&amp;62,정리결과!$J$6:$J$6005,0))),""))</f>
        <v/>
      </c>
      <c r="H67" s="14" t="b">
        <f aca="false">IF(중복검사!$A65="",FALSE(),중복검사!$J65="유지")</f>
        <v>0</v>
      </c>
      <c r="I67" s="5" t="str">
        <f aca="false">IF($H67=FALSE(),"",COUNTIF($H$6:$H67,TRUE()))</f>
        <v/>
      </c>
      <c r="J67" s="5" t="str">
        <f aca="false">IF($I67="","","R"&amp;$I67)</f>
        <v/>
      </c>
    </row>
    <row r="68" customFormat="false" ht="15" hidden="false" customHeight="true" outlineLevel="0" collapsed="false">
      <c r="A68" s="10" t="str">
        <f aca="false">IFERROR(IF(INDEX(원본명단!$A$3:$A$6002,MATCH("R"&amp;63,정리결과!$J$6:$J$6005,0))="","",INDEX(원본명단!$A$3:$A$6002,MATCH("R"&amp;63,정리결과!$J$6:$J$6005,0))),"")</f>
        <v/>
      </c>
      <c r="B68" s="10" t="str">
        <f aca="false">IF($A68="","",IFERROR(IF(INDEX(원본명단!$B$3:$B$6002,MATCH("R"&amp;63,정리결과!$J$6:$J$6005,0))="","",INDEX(원본명단!$B$3:$B$6002,MATCH("R"&amp;63,정리결과!$J$6:$J$6005,0))),""))</f>
        <v/>
      </c>
      <c r="C68" s="10" t="str">
        <f aca="false">IF($A68="","",IFERROR(IF(INDEX(원본명단!$C$3:$C$6002,MATCH("R"&amp;63,정리결과!$J$6:$J$6005,0))="","",INDEX(원본명단!$C$3:$C$6002,MATCH("R"&amp;63,정리결과!$J$6:$J$6005,0))),""))</f>
        <v/>
      </c>
      <c r="D68" s="10" t="str">
        <f aca="false">IF($A68="","",IFERROR(IF(INDEX(원본명단!$D$3:$D$6002,MATCH("R"&amp;63,정리결과!$J$6:$J$6005,0))="","",INDEX(원본명단!$D$3:$D$6002,MATCH("R"&amp;63,정리결과!$J$6:$J$6005,0))),""))</f>
        <v/>
      </c>
      <c r="E68" s="10" t="str">
        <f aca="false">IF($A68="","",IFERROR(IF(INDEX(원본명단!$E$3:$E$6002,MATCH("R"&amp;63,정리결과!$J$6:$J$6005,0))="","",INDEX(원본명단!$E$3:$E$6002,MATCH("R"&amp;63,정리결과!$J$6:$J$6005,0))),""))</f>
        <v/>
      </c>
      <c r="F68" s="10" t="str">
        <f aca="false">IF($A68="","",IFERROR(IF(INDEX(원본명단!$F$3:$F$6002,MATCH("R"&amp;63,정리결과!$J$6:$J$6005,0))="","",INDEX(원본명단!$F$3:$F$6002,MATCH("R"&amp;63,정리결과!$J$6:$J$6005,0))),""))</f>
        <v/>
      </c>
      <c r="H68" s="14" t="b">
        <f aca="false">IF(중복검사!$A66="",FALSE(),중복검사!$J66="유지")</f>
        <v>0</v>
      </c>
      <c r="I68" s="5" t="str">
        <f aca="false">IF($H68=FALSE(),"",COUNTIF($H$6:$H68,TRUE()))</f>
        <v/>
      </c>
      <c r="J68" s="5" t="str">
        <f aca="false">IF($I68="","","R"&amp;$I68)</f>
        <v/>
      </c>
    </row>
    <row r="69" customFormat="false" ht="15" hidden="false" customHeight="true" outlineLevel="0" collapsed="false">
      <c r="A69" s="10" t="str">
        <f aca="false">IFERROR(IF(INDEX(원본명단!$A$3:$A$6002,MATCH("R"&amp;64,정리결과!$J$6:$J$6005,0))="","",INDEX(원본명단!$A$3:$A$6002,MATCH("R"&amp;64,정리결과!$J$6:$J$6005,0))),"")</f>
        <v/>
      </c>
      <c r="B69" s="10" t="str">
        <f aca="false">IF($A69="","",IFERROR(IF(INDEX(원본명단!$B$3:$B$6002,MATCH("R"&amp;64,정리결과!$J$6:$J$6005,0))="","",INDEX(원본명단!$B$3:$B$6002,MATCH("R"&amp;64,정리결과!$J$6:$J$6005,0))),""))</f>
        <v/>
      </c>
      <c r="C69" s="10" t="str">
        <f aca="false">IF($A69="","",IFERROR(IF(INDEX(원본명단!$C$3:$C$6002,MATCH("R"&amp;64,정리결과!$J$6:$J$6005,0))="","",INDEX(원본명단!$C$3:$C$6002,MATCH("R"&amp;64,정리결과!$J$6:$J$6005,0))),""))</f>
        <v/>
      </c>
      <c r="D69" s="10" t="str">
        <f aca="false">IF($A69="","",IFERROR(IF(INDEX(원본명단!$D$3:$D$6002,MATCH("R"&amp;64,정리결과!$J$6:$J$6005,0))="","",INDEX(원본명단!$D$3:$D$6002,MATCH("R"&amp;64,정리결과!$J$6:$J$6005,0))),""))</f>
        <v/>
      </c>
      <c r="E69" s="10" t="str">
        <f aca="false">IF($A69="","",IFERROR(IF(INDEX(원본명단!$E$3:$E$6002,MATCH("R"&amp;64,정리결과!$J$6:$J$6005,0))="","",INDEX(원본명단!$E$3:$E$6002,MATCH("R"&amp;64,정리결과!$J$6:$J$6005,0))),""))</f>
        <v/>
      </c>
      <c r="F69" s="10" t="str">
        <f aca="false">IF($A69="","",IFERROR(IF(INDEX(원본명단!$F$3:$F$6002,MATCH("R"&amp;64,정리결과!$J$6:$J$6005,0))="","",INDEX(원본명단!$F$3:$F$6002,MATCH("R"&amp;64,정리결과!$J$6:$J$6005,0))),""))</f>
        <v/>
      </c>
      <c r="H69" s="14" t="b">
        <f aca="false">IF(중복검사!$A67="",FALSE(),중복검사!$J67="유지")</f>
        <v>0</v>
      </c>
      <c r="I69" s="5" t="str">
        <f aca="false">IF($H69=FALSE(),"",COUNTIF($H$6:$H69,TRUE()))</f>
        <v/>
      </c>
      <c r="J69" s="5" t="str">
        <f aca="false">IF($I69="","","R"&amp;$I69)</f>
        <v/>
      </c>
    </row>
    <row r="70" customFormat="false" ht="15" hidden="false" customHeight="true" outlineLevel="0" collapsed="false">
      <c r="A70" s="10" t="str">
        <f aca="false">IFERROR(IF(INDEX(원본명단!$A$3:$A$6002,MATCH("R"&amp;65,정리결과!$J$6:$J$6005,0))="","",INDEX(원본명단!$A$3:$A$6002,MATCH("R"&amp;65,정리결과!$J$6:$J$6005,0))),"")</f>
        <v/>
      </c>
      <c r="B70" s="10" t="str">
        <f aca="false">IF($A70="","",IFERROR(IF(INDEX(원본명단!$B$3:$B$6002,MATCH("R"&amp;65,정리결과!$J$6:$J$6005,0))="","",INDEX(원본명단!$B$3:$B$6002,MATCH("R"&amp;65,정리결과!$J$6:$J$6005,0))),""))</f>
        <v/>
      </c>
      <c r="C70" s="10" t="str">
        <f aca="false">IF($A70="","",IFERROR(IF(INDEX(원본명단!$C$3:$C$6002,MATCH("R"&amp;65,정리결과!$J$6:$J$6005,0))="","",INDEX(원본명단!$C$3:$C$6002,MATCH("R"&amp;65,정리결과!$J$6:$J$6005,0))),""))</f>
        <v/>
      </c>
      <c r="D70" s="10" t="str">
        <f aca="false">IF($A70="","",IFERROR(IF(INDEX(원본명단!$D$3:$D$6002,MATCH("R"&amp;65,정리결과!$J$6:$J$6005,0))="","",INDEX(원본명단!$D$3:$D$6002,MATCH("R"&amp;65,정리결과!$J$6:$J$6005,0))),""))</f>
        <v/>
      </c>
      <c r="E70" s="10" t="str">
        <f aca="false">IF($A70="","",IFERROR(IF(INDEX(원본명단!$E$3:$E$6002,MATCH("R"&amp;65,정리결과!$J$6:$J$6005,0))="","",INDEX(원본명단!$E$3:$E$6002,MATCH("R"&amp;65,정리결과!$J$6:$J$6005,0))),""))</f>
        <v/>
      </c>
      <c r="F70" s="10" t="str">
        <f aca="false">IF($A70="","",IFERROR(IF(INDEX(원본명단!$F$3:$F$6002,MATCH("R"&amp;65,정리결과!$J$6:$J$6005,0))="","",INDEX(원본명단!$F$3:$F$6002,MATCH("R"&amp;65,정리결과!$J$6:$J$6005,0))),""))</f>
        <v/>
      </c>
      <c r="H70" s="14" t="b">
        <f aca="false">IF(중복검사!$A68="",FALSE(),중복검사!$J68="유지")</f>
        <v>0</v>
      </c>
      <c r="I70" s="5" t="str">
        <f aca="false">IF($H70=FALSE(),"",COUNTIF($H$6:$H70,TRUE()))</f>
        <v/>
      </c>
      <c r="J70" s="5" t="str">
        <f aca="false">IF($I70="","","R"&amp;$I70)</f>
        <v/>
      </c>
    </row>
    <row r="71" customFormat="false" ht="15" hidden="false" customHeight="true" outlineLevel="0" collapsed="false">
      <c r="A71" s="10" t="str">
        <f aca="false">IFERROR(IF(INDEX(원본명단!$A$3:$A$6002,MATCH("R"&amp;66,정리결과!$J$6:$J$6005,0))="","",INDEX(원본명단!$A$3:$A$6002,MATCH("R"&amp;66,정리결과!$J$6:$J$6005,0))),"")</f>
        <v/>
      </c>
      <c r="B71" s="10" t="str">
        <f aca="false">IF($A71="","",IFERROR(IF(INDEX(원본명단!$B$3:$B$6002,MATCH("R"&amp;66,정리결과!$J$6:$J$6005,0))="","",INDEX(원본명단!$B$3:$B$6002,MATCH("R"&amp;66,정리결과!$J$6:$J$6005,0))),""))</f>
        <v/>
      </c>
      <c r="C71" s="10" t="str">
        <f aca="false">IF($A71="","",IFERROR(IF(INDEX(원본명단!$C$3:$C$6002,MATCH("R"&amp;66,정리결과!$J$6:$J$6005,0))="","",INDEX(원본명단!$C$3:$C$6002,MATCH("R"&amp;66,정리결과!$J$6:$J$6005,0))),""))</f>
        <v/>
      </c>
      <c r="D71" s="10" t="str">
        <f aca="false">IF($A71="","",IFERROR(IF(INDEX(원본명단!$D$3:$D$6002,MATCH("R"&amp;66,정리결과!$J$6:$J$6005,0))="","",INDEX(원본명단!$D$3:$D$6002,MATCH("R"&amp;66,정리결과!$J$6:$J$6005,0))),""))</f>
        <v/>
      </c>
      <c r="E71" s="10" t="str">
        <f aca="false">IF($A71="","",IFERROR(IF(INDEX(원본명단!$E$3:$E$6002,MATCH("R"&amp;66,정리결과!$J$6:$J$6005,0))="","",INDEX(원본명단!$E$3:$E$6002,MATCH("R"&amp;66,정리결과!$J$6:$J$6005,0))),""))</f>
        <v/>
      </c>
      <c r="F71" s="10" t="str">
        <f aca="false">IF($A71="","",IFERROR(IF(INDEX(원본명단!$F$3:$F$6002,MATCH("R"&amp;66,정리결과!$J$6:$J$6005,0))="","",INDEX(원본명단!$F$3:$F$6002,MATCH("R"&amp;66,정리결과!$J$6:$J$6005,0))),""))</f>
        <v/>
      </c>
      <c r="H71" s="14" t="b">
        <f aca="false">IF(중복검사!$A69="",FALSE(),중복검사!$J69="유지")</f>
        <v>0</v>
      </c>
      <c r="I71" s="5" t="str">
        <f aca="false">IF($H71=FALSE(),"",COUNTIF($H$6:$H71,TRUE()))</f>
        <v/>
      </c>
      <c r="J71" s="5" t="str">
        <f aca="false">IF($I71="","","R"&amp;$I71)</f>
        <v/>
      </c>
    </row>
    <row r="72" customFormat="false" ht="15" hidden="false" customHeight="true" outlineLevel="0" collapsed="false">
      <c r="A72" s="10" t="str">
        <f aca="false">IFERROR(IF(INDEX(원본명단!$A$3:$A$6002,MATCH("R"&amp;67,정리결과!$J$6:$J$6005,0))="","",INDEX(원본명단!$A$3:$A$6002,MATCH("R"&amp;67,정리결과!$J$6:$J$6005,0))),"")</f>
        <v/>
      </c>
      <c r="B72" s="10" t="str">
        <f aca="false">IF($A72="","",IFERROR(IF(INDEX(원본명단!$B$3:$B$6002,MATCH("R"&amp;67,정리결과!$J$6:$J$6005,0))="","",INDEX(원본명단!$B$3:$B$6002,MATCH("R"&amp;67,정리결과!$J$6:$J$6005,0))),""))</f>
        <v/>
      </c>
      <c r="C72" s="10" t="str">
        <f aca="false">IF($A72="","",IFERROR(IF(INDEX(원본명단!$C$3:$C$6002,MATCH("R"&amp;67,정리결과!$J$6:$J$6005,0))="","",INDEX(원본명단!$C$3:$C$6002,MATCH("R"&amp;67,정리결과!$J$6:$J$6005,0))),""))</f>
        <v/>
      </c>
      <c r="D72" s="10" t="str">
        <f aca="false">IF($A72="","",IFERROR(IF(INDEX(원본명단!$D$3:$D$6002,MATCH("R"&amp;67,정리결과!$J$6:$J$6005,0))="","",INDEX(원본명단!$D$3:$D$6002,MATCH("R"&amp;67,정리결과!$J$6:$J$6005,0))),""))</f>
        <v/>
      </c>
      <c r="E72" s="10" t="str">
        <f aca="false">IF($A72="","",IFERROR(IF(INDEX(원본명단!$E$3:$E$6002,MATCH("R"&amp;67,정리결과!$J$6:$J$6005,0))="","",INDEX(원본명단!$E$3:$E$6002,MATCH("R"&amp;67,정리결과!$J$6:$J$6005,0))),""))</f>
        <v/>
      </c>
      <c r="F72" s="10" t="str">
        <f aca="false">IF($A72="","",IFERROR(IF(INDEX(원본명단!$F$3:$F$6002,MATCH("R"&amp;67,정리결과!$J$6:$J$6005,0))="","",INDEX(원본명단!$F$3:$F$6002,MATCH("R"&amp;67,정리결과!$J$6:$J$6005,0))),""))</f>
        <v/>
      </c>
      <c r="H72" s="14" t="b">
        <f aca="false">IF(중복검사!$A70="",FALSE(),중복검사!$J70="유지")</f>
        <v>0</v>
      </c>
      <c r="I72" s="5" t="str">
        <f aca="false">IF($H72=FALSE(),"",COUNTIF($H$6:$H72,TRUE()))</f>
        <v/>
      </c>
      <c r="J72" s="5" t="str">
        <f aca="false">IF($I72="","","R"&amp;$I72)</f>
        <v/>
      </c>
    </row>
    <row r="73" customFormat="false" ht="15" hidden="false" customHeight="true" outlineLevel="0" collapsed="false">
      <c r="A73" s="10" t="str">
        <f aca="false">IFERROR(IF(INDEX(원본명단!$A$3:$A$6002,MATCH("R"&amp;68,정리결과!$J$6:$J$6005,0))="","",INDEX(원본명단!$A$3:$A$6002,MATCH("R"&amp;68,정리결과!$J$6:$J$6005,0))),"")</f>
        <v/>
      </c>
      <c r="B73" s="10" t="str">
        <f aca="false">IF($A73="","",IFERROR(IF(INDEX(원본명단!$B$3:$B$6002,MATCH("R"&amp;68,정리결과!$J$6:$J$6005,0))="","",INDEX(원본명단!$B$3:$B$6002,MATCH("R"&amp;68,정리결과!$J$6:$J$6005,0))),""))</f>
        <v/>
      </c>
      <c r="C73" s="10" t="str">
        <f aca="false">IF($A73="","",IFERROR(IF(INDEX(원본명단!$C$3:$C$6002,MATCH("R"&amp;68,정리결과!$J$6:$J$6005,0))="","",INDEX(원본명단!$C$3:$C$6002,MATCH("R"&amp;68,정리결과!$J$6:$J$6005,0))),""))</f>
        <v/>
      </c>
      <c r="D73" s="10" t="str">
        <f aca="false">IF($A73="","",IFERROR(IF(INDEX(원본명단!$D$3:$D$6002,MATCH("R"&amp;68,정리결과!$J$6:$J$6005,0))="","",INDEX(원본명단!$D$3:$D$6002,MATCH("R"&amp;68,정리결과!$J$6:$J$6005,0))),""))</f>
        <v/>
      </c>
      <c r="E73" s="10" t="str">
        <f aca="false">IF($A73="","",IFERROR(IF(INDEX(원본명단!$E$3:$E$6002,MATCH("R"&amp;68,정리결과!$J$6:$J$6005,0))="","",INDEX(원본명단!$E$3:$E$6002,MATCH("R"&amp;68,정리결과!$J$6:$J$6005,0))),""))</f>
        <v/>
      </c>
      <c r="F73" s="10" t="str">
        <f aca="false">IF($A73="","",IFERROR(IF(INDEX(원본명단!$F$3:$F$6002,MATCH("R"&amp;68,정리결과!$J$6:$J$6005,0))="","",INDEX(원본명단!$F$3:$F$6002,MATCH("R"&amp;68,정리결과!$J$6:$J$6005,0))),""))</f>
        <v/>
      </c>
      <c r="H73" s="14" t="b">
        <f aca="false">IF(중복검사!$A71="",FALSE(),중복검사!$J71="유지")</f>
        <v>0</v>
      </c>
      <c r="I73" s="5" t="str">
        <f aca="false">IF($H73=FALSE(),"",COUNTIF($H$6:$H73,TRUE()))</f>
        <v/>
      </c>
      <c r="J73" s="5" t="str">
        <f aca="false">IF($I73="","","R"&amp;$I73)</f>
        <v/>
      </c>
    </row>
    <row r="74" customFormat="false" ht="15" hidden="false" customHeight="true" outlineLevel="0" collapsed="false">
      <c r="A74" s="10" t="str">
        <f aca="false">IFERROR(IF(INDEX(원본명단!$A$3:$A$6002,MATCH("R"&amp;69,정리결과!$J$6:$J$6005,0))="","",INDEX(원본명단!$A$3:$A$6002,MATCH("R"&amp;69,정리결과!$J$6:$J$6005,0))),"")</f>
        <v/>
      </c>
      <c r="B74" s="10" t="str">
        <f aca="false">IF($A74="","",IFERROR(IF(INDEX(원본명단!$B$3:$B$6002,MATCH("R"&amp;69,정리결과!$J$6:$J$6005,0))="","",INDEX(원본명단!$B$3:$B$6002,MATCH("R"&amp;69,정리결과!$J$6:$J$6005,0))),""))</f>
        <v/>
      </c>
      <c r="C74" s="10" t="str">
        <f aca="false">IF($A74="","",IFERROR(IF(INDEX(원본명단!$C$3:$C$6002,MATCH("R"&amp;69,정리결과!$J$6:$J$6005,0))="","",INDEX(원본명단!$C$3:$C$6002,MATCH("R"&amp;69,정리결과!$J$6:$J$6005,0))),""))</f>
        <v/>
      </c>
      <c r="D74" s="10" t="str">
        <f aca="false">IF($A74="","",IFERROR(IF(INDEX(원본명단!$D$3:$D$6002,MATCH("R"&amp;69,정리결과!$J$6:$J$6005,0))="","",INDEX(원본명단!$D$3:$D$6002,MATCH("R"&amp;69,정리결과!$J$6:$J$6005,0))),""))</f>
        <v/>
      </c>
      <c r="E74" s="10" t="str">
        <f aca="false">IF($A74="","",IFERROR(IF(INDEX(원본명단!$E$3:$E$6002,MATCH("R"&amp;69,정리결과!$J$6:$J$6005,0))="","",INDEX(원본명단!$E$3:$E$6002,MATCH("R"&amp;69,정리결과!$J$6:$J$6005,0))),""))</f>
        <v/>
      </c>
      <c r="F74" s="10" t="str">
        <f aca="false">IF($A74="","",IFERROR(IF(INDEX(원본명단!$F$3:$F$6002,MATCH("R"&amp;69,정리결과!$J$6:$J$6005,0))="","",INDEX(원본명단!$F$3:$F$6002,MATCH("R"&amp;69,정리결과!$J$6:$J$6005,0))),""))</f>
        <v/>
      </c>
      <c r="H74" s="14" t="b">
        <f aca="false">IF(중복검사!$A72="",FALSE(),중복검사!$J72="유지")</f>
        <v>0</v>
      </c>
      <c r="I74" s="5" t="str">
        <f aca="false">IF($H74=FALSE(),"",COUNTIF($H$6:$H74,TRUE()))</f>
        <v/>
      </c>
      <c r="J74" s="5" t="str">
        <f aca="false">IF($I74="","","R"&amp;$I74)</f>
        <v/>
      </c>
    </row>
    <row r="75" customFormat="false" ht="15" hidden="false" customHeight="true" outlineLevel="0" collapsed="false">
      <c r="A75" s="10" t="str">
        <f aca="false">IFERROR(IF(INDEX(원본명단!$A$3:$A$6002,MATCH("R"&amp;70,정리결과!$J$6:$J$6005,0))="","",INDEX(원본명단!$A$3:$A$6002,MATCH("R"&amp;70,정리결과!$J$6:$J$6005,0))),"")</f>
        <v/>
      </c>
      <c r="B75" s="10" t="str">
        <f aca="false">IF($A75="","",IFERROR(IF(INDEX(원본명단!$B$3:$B$6002,MATCH("R"&amp;70,정리결과!$J$6:$J$6005,0))="","",INDEX(원본명단!$B$3:$B$6002,MATCH("R"&amp;70,정리결과!$J$6:$J$6005,0))),""))</f>
        <v/>
      </c>
      <c r="C75" s="10" t="str">
        <f aca="false">IF($A75="","",IFERROR(IF(INDEX(원본명단!$C$3:$C$6002,MATCH("R"&amp;70,정리결과!$J$6:$J$6005,0))="","",INDEX(원본명단!$C$3:$C$6002,MATCH("R"&amp;70,정리결과!$J$6:$J$6005,0))),""))</f>
        <v/>
      </c>
      <c r="D75" s="10" t="str">
        <f aca="false">IF($A75="","",IFERROR(IF(INDEX(원본명단!$D$3:$D$6002,MATCH("R"&amp;70,정리결과!$J$6:$J$6005,0))="","",INDEX(원본명단!$D$3:$D$6002,MATCH("R"&amp;70,정리결과!$J$6:$J$6005,0))),""))</f>
        <v/>
      </c>
      <c r="E75" s="10" t="str">
        <f aca="false">IF($A75="","",IFERROR(IF(INDEX(원본명단!$E$3:$E$6002,MATCH("R"&amp;70,정리결과!$J$6:$J$6005,0))="","",INDEX(원본명단!$E$3:$E$6002,MATCH("R"&amp;70,정리결과!$J$6:$J$6005,0))),""))</f>
        <v/>
      </c>
      <c r="F75" s="10" t="str">
        <f aca="false">IF($A75="","",IFERROR(IF(INDEX(원본명단!$F$3:$F$6002,MATCH("R"&amp;70,정리결과!$J$6:$J$6005,0))="","",INDEX(원본명단!$F$3:$F$6002,MATCH("R"&amp;70,정리결과!$J$6:$J$6005,0))),""))</f>
        <v/>
      </c>
      <c r="H75" s="14" t="b">
        <f aca="false">IF(중복검사!$A73="",FALSE(),중복검사!$J73="유지")</f>
        <v>0</v>
      </c>
      <c r="I75" s="5" t="str">
        <f aca="false">IF($H75=FALSE(),"",COUNTIF($H$6:$H75,TRUE()))</f>
        <v/>
      </c>
      <c r="J75" s="5" t="str">
        <f aca="false">IF($I75="","","R"&amp;$I75)</f>
        <v/>
      </c>
    </row>
    <row r="76" customFormat="false" ht="15" hidden="false" customHeight="true" outlineLevel="0" collapsed="false">
      <c r="A76" s="10" t="str">
        <f aca="false">IFERROR(IF(INDEX(원본명단!$A$3:$A$6002,MATCH("R"&amp;71,정리결과!$J$6:$J$6005,0))="","",INDEX(원본명단!$A$3:$A$6002,MATCH("R"&amp;71,정리결과!$J$6:$J$6005,0))),"")</f>
        <v/>
      </c>
      <c r="B76" s="10" t="str">
        <f aca="false">IF($A76="","",IFERROR(IF(INDEX(원본명단!$B$3:$B$6002,MATCH("R"&amp;71,정리결과!$J$6:$J$6005,0))="","",INDEX(원본명단!$B$3:$B$6002,MATCH("R"&amp;71,정리결과!$J$6:$J$6005,0))),""))</f>
        <v/>
      </c>
      <c r="C76" s="10" t="str">
        <f aca="false">IF($A76="","",IFERROR(IF(INDEX(원본명단!$C$3:$C$6002,MATCH("R"&amp;71,정리결과!$J$6:$J$6005,0))="","",INDEX(원본명단!$C$3:$C$6002,MATCH("R"&amp;71,정리결과!$J$6:$J$6005,0))),""))</f>
        <v/>
      </c>
      <c r="D76" s="10" t="str">
        <f aca="false">IF($A76="","",IFERROR(IF(INDEX(원본명단!$D$3:$D$6002,MATCH("R"&amp;71,정리결과!$J$6:$J$6005,0))="","",INDEX(원본명단!$D$3:$D$6002,MATCH("R"&amp;71,정리결과!$J$6:$J$6005,0))),""))</f>
        <v/>
      </c>
      <c r="E76" s="10" t="str">
        <f aca="false">IF($A76="","",IFERROR(IF(INDEX(원본명단!$E$3:$E$6002,MATCH("R"&amp;71,정리결과!$J$6:$J$6005,0))="","",INDEX(원본명단!$E$3:$E$6002,MATCH("R"&amp;71,정리결과!$J$6:$J$6005,0))),""))</f>
        <v/>
      </c>
      <c r="F76" s="10" t="str">
        <f aca="false">IF($A76="","",IFERROR(IF(INDEX(원본명단!$F$3:$F$6002,MATCH("R"&amp;71,정리결과!$J$6:$J$6005,0))="","",INDEX(원본명단!$F$3:$F$6002,MATCH("R"&amp;71,정리결과!$J$6:$J$6005,0))),""))</f>
        <v/>
      </c>
      <c r="H76" s="14" t="b">
        <f aca="false">IF(중복검사!$A74="",FALSE(),중복검사!$J74="유지")</f>
        <v>0</v>
      </c>
      <c r="I76" s="5" t="str">
        <f aca="false">IF($H76=FALSE(),"",COUNTIF($H$6:$H76,TRUE()))</f>
        <v/>
      </c>
      <c r="J76" s="5" t="str">
        <f aca="false">IF($I76="","","R"&amp;$I76)</f>
        <v/>
      </c>
    </row>
    <row r="77" customFormat="false" ht="15" hidden="false" customHeight="true" outlineLevel="0" collapsed="false">
      <c r="A77" s="10" t="str">
        <f aca="false">IFERROR(IF(INDEX(원본명단!$A$3:$A$6002,MATCH("R"&amp;72,정리결과!$J$6:$J$6005,0))="","",INDEX(원본명단!$A$3:$A$6002,MATCH("R"&amp;72,정리결과!$J$6:$J$6005,0))),"")</f>
        <v/>
      </c>
      <c r="B77" s="10" t="str">
        <f aca="false">IF($A77="","",IFERROR(IF(INDEX(원본명단!$B$3:$B$6002,MATCH("R"&amp;72,정리결과!$J$6:$J$6005,0))="","",INDEX(원본명단!$B$3:$B$6002,MATCH("R"&amp;72,정리결과!$J$6:$J$6005,0))),""))</f>
        <v/>
      </c>
      <c r="C77" s="10" t="str">
        <f aca="false">IF($A77="","",IFERROR(IF(INDEX(원본명단!$C$3:$C$6002,MATCH("R"&amp;72,정리결과!$J$6:$J$6005,0))="","",INDEX(원본명단!$C$3:$C$6002,MATCH("R"&amp;72,정리결과!$J$6:$J$6005,0))),""))</f>
        <v/>
      </c>
      <c r="D77" s="10" t="str">
        <f aca="false">IF($A77="","",IFERROR(IF(INDEX(원본명단!$D$3:$D$6002,MATCH("R"&amp;72,정리결과!$J$6:$J$6005,0))="","",INDEX(원본명단!$D$3:$D$6002,MATCH("R"&amp;72,정리결과!$J$6:$J$6005,0))),""))</f>
        <v/>
      </c>
      <c r="E77" s="10" t="str">
        <f aca="false">IF($A77="","",IFERROR(IF(INDEX(원본명단!$E$3:$E$6002,MATCH("R"&amp;72,정리결과!$J$6:$J$6005,0))="","",INDEX(원본명단!$E$3:$E$6002,MATCH("R"&amp;72,정리결과!$J$6:$J$6005,0))),""))</f>
        <v/>
      </c>
      <c r="F77" s="10" t="str">
        <f aca="false">IF($A77="","",IFERROR(IF(INDEX(원본명단!$F$3:$F$6002,MATCH("R"&amp;72,정리결과!$J$6:$J$6005,0))="","",INDEX(원본명단!$F$3:$F$6002,MATCH("R"&amp;72,정리결과!$J$6:$J$6005,0))),""))</f>
        <v/>
      </c>
      <c r="H77" s="14" t="b">
        <f aca="false">IF(중복검사!$A75="",FALSE(),중복검사!$J75="유지")</f>
        <v>0</v>
      </c>
      <c r="I77" s="5" t="str">
        <f aca="false">IF($H77=FALSE(),"",COUNTIF($H$6:$H77,TRUE()))</f>
        <v/>
      </c>
      <c r="J77" s="5" t="str">
        <f aca="false">IF($I77="","","R"&amp;$I77)</f>
        <v/>
      </c>
    </row>
    <row r="78" customFormat="false" ht="15" hidden="false" customHeight="true" outlineLevel="0" collapsed="false">
      <c r="A78" s="10" t="str">
        <f aca="false">IFERROR(IF(INDEX(원본명단!$A$3:$A$6002,MATCH("R"&amp;73,정리결과!$J$6:$J$6005,0))="","",INDEX(원본명단!$A$3:$A$6002,MATCH("R"&amp;73,정리결과!$J$6:$J$6005,0))),"")</f>
        <v/>
      </c>
      <c r="B78" s="10" t="str">
        <f aca="false">IF($A78="","",IFERROR(IF(INDEX(원본명단!$B$3:$B$6002,MATCH("R"&amp;73,정리결과!$J$6:$J$6005,0))="","",INDEX(원본명단!$B$3:$B$6002,MATCH("R"&amp;73,정리결과!$J$6:$J$6005,0))),""))</f>
        <v/>
      </c>
      <c r="C78" s="10" t="str">
        <f aca="false">IF($A78="","",IFERROR(IF(INDEX(원본명단!$C$3:$C$6002,MATCH("R"&amp;73,정리결과!$J$6:$J$6005,0))="","",INDEX(원본명단!$C$3:$C$6002,MATCH("R"&amp;73,정리결과!$J$6:$J$6005,0))),""))</f>
        <v/>
      </c>
      <c r="D78" s="10" t="str">
        <f aca="false">IF($A78="","",IFERROR(IF(INDEX(원본명단!$D$3:$D$6002,MATCH("R"&amp;73,정리결과!$J$6:$J$6005,0))="","",INDEX(원본명단!$D$3:$D$6002,MATCH("R"&amp;73,정리결과!$J$6:$J$6005,0))),""))</f>
        <v/>
      </c>
      <c r="E78" s="10" t="str">
        <f aca="false">IF($A78="","",IFERROR(IF(INDEX(원본명단!$E$3:$E$6002,MATCH("R"&amp;73,정리결과!$J$6:$J$6005,0))="","",INDEX(원본명단!$E$3:$E$6002,MATCH("R"&amp;73,정리결과!$J$6:$J$6005,0))),""))</f>
        <v/>
      </c>
      <c r="F78" s="10" t="str">
        <f aca="false">IF($A78="","",IFERROR(IF(INDEX(원본명단!$F$3:$F$6002,MATCH("R"&amp;73,정리결과!$J$6:$J$6005,0))="","",INDEX(원본명단!$F$3:$F$6002,MATCH("R"&amp;73,정리결과!$J$6:$J$6005,0))),""))</f>
        <v/>
      </c>
      <c r="H78" s="14" t="b">
        <f aca="false">IF(중복검사!$A76="",FALSE(),중복검사!$J76="유지")</f>
        <v>0</v>
      </c>
      <c r="I78" s="5" t="str">
        <f aca="false">IF($H78=FALSE(),"",COUNTIF($H$6:$H78,TRUE()))</f>
        <v/>
      </c>
      <c r="J78" s="5" t="str">
        <f aca="false">IF($I78="","","R"&amp;$I78)</f>
        <v/>
      </c>
    </row>
    <row r="79" customFormat="false" ht="15" hidden="false" customHeight="true" outlineLevel="0" collapsed="false">
      <c r="A79" s="10" t="str">
        <f aca="false">IFERROR(IF(INDEX(원본명단!$A$3:$A$6002,MATCH("R"&amp;74,정리결과!$J$6:$J$6005,0))="","",INDEX(원본명단!$A$3:$A$6002,MATCH("R"&amp;74,정리결과!$J$6:$J$6005,0))),"")</f>
        <v/>
      </c>
      <c r="B79" s="10" t="str">
        <f aca="false">IF($A79="","",IFERROR(IF(INDEX(원본명단!$B$3:$B$6002,MATCH("R"&amp;74,정리결과!$J$6:$J$6005,0))="","",INDEX(원본명단!$B$3:$B$6002,MATCH("R"&amp;74,정리결과!$J$6:$J$6005,0))),""))</f>
        <v/>
      </c>
      <c r="C79" s="10" t="str">
        <f aca="false">IF($A79="","",IFERROR(IF(INDEX(원본명단!$C$3:$C$6002,MATCH("R"&amp;74,정리결과!$J$6:$J$6005,0))="","",INDEX(원본명단!$C$3:$C$6002,MATCH("R"&amp;74,정리결과!$J$6:$J$6005,0))),""))</f>
        <v/>
      </c>
      <c r="D79" s="10" t="str">
        <f aca="false">IF($A79="","",IFERROR(IF(INDEX(원본명단!$D$3:$D$6002,MATCH("R"&amp;74,정리결과!$J$6:$J$6005,0))="","",INDEX(원본명단!$D$3:$D$6002,MATCH("R"&amp;74,정리결과!$J$6:$J$6005,0))),""))</f>
        <v/>
      </c>
      <c r="E79" s="10" t="str">
        <f aca="false">IF($A79="","",IFERROR(IF(INDEX(원본명단!$E$3:$E$6002,MATCH("R"&amp;74,정리결과!$J$6:$J$6005,0))="","",INDEX(원본명단!$E$3:$E$6002,MATCH("R"&amp;74,정리결과!$J$6:$J$6005,0))),""))</f>
        <v/>
      </c>
      <c r="F79" s="10" t="str">
        <f aca="false">IF($A79="","",IFERROR(IF(INDEX(원본명단!$F$3:$F$6002,MATCH("R"&amp;74,정리결과!$J$6:$J$6005,0))="","",INDEX(원본명단!$F$3:$F$6002,MATCH("R"&amp;74,정리결과!$J$6:$J$6005,0))),""))</f>
        <v/>
      </c>
      <c r="H79" s="14" t="b">
        <f aca="false">IF(중복검사!$A77="",FALSE(),중복검사!$J77="유지")</f>
        <v>0</v>
      </c>
      <c r="I79" s="5" t="str">
        <f aca="false">IF($H79=FALSE(),"",COUNTIF($H$6:$H79,TRUE()))</f>
        <v/>
      </c>
      <c r="J79" s="5" t="str">
        <f aca="false">IF($I79="","","R"&amp;$I79)</f>
        <v/>
      </c>
    </row>
    <row r="80" customFormat="false" ht="15" hidden="false" customHeight="true" outlineLevel="0" collapsed="false">
      <c r="A80" s="10" t="str">
        <f aca="false">IFERROR(IF(INDEX(원본명단!$A$3:$A$6002,MATCH("R"&amp;75,정리결과!$J$6:$J$6005,0))="","",INDEX(원본명단!$A$3:$A$6002,MATCH("R"&amp;75,정리결과!$J$6:$J$6005,0))),"")</f>
        <v/>
      </c>
      <c r="B80" s="10" t="str">
        <f aca="false">IF($A80="","",IFERROR(IF(INDEX(원본명단!$B$3:$B$6002,MATCH("R"&amp;75,정리결과!$J$6:$J$6005,0))="","",INDEX(원본명단!$B$3:$B$6002,MATCH("R"&amp;75,정리결과!$J$6:$J$6005,0))),""))</f>
        <v/>
      </c>
      <c r="C80" s="10" t="str">
        <f aca="false">IF($A80="","",IFERROR(IF(INDEX(원본명단!$C$3:$C$6002,MATCH("R"&amp;75,정리결과!$J$6:$J$6005,0))="","",INDEX(원본명단!$C$3:$C$6002,MATCH("R"&amp;75,정리결과!$J$6:$J$6005,0))),""))</f>
        <v/>
      </c>
      <c r="D80" s="10" t="str">
        <f aca="false">IF($A80="","",IFERROR(IF(INDEX(원본명단!$D$3:$D$6002,MATCH("R"&amp;75,정리결과!$J$6:$J$6005,0))="","",INDEX(원본명단!$D$3:$D$6002,MATCH("R"&amp;75,정리결과!$J$6:$J$6005,0))),""))</f>
        <v/>
      </c>
      <c r="E80" s="10" t="str">
        <f aca="false">IF($A80="","",IFERROR(IF(INDEX(원본명단!$E$3:$E$6002,MATCH("R"&amp;75,정리결과!$J$6:$J$6005,0))="","",INDEX(원본명단!$E$3:$E$6002,MATCH("R"&amp;75,정리결과!$J$6:$J$6005,0))),""))</f>
        <v/>
      </c>
      <c r="F80" s="10" t="str">
        <f aca="false">IF($A80="","",IFERROR(IF(INDEX(원본명단!$F$3:$F$6002,MATCH("R"&amp;75,정리결과!$J$6:$J$6005,0))="","",INDEX(원본명단!$F$3:$F$6002,MATCH("R"&amp;75,정리결과!$J$6:$J$6005,0))),""))</f>
        <v/>
      </c>
      <c r="H80" s="14" t="b">
        <f aca="false">IF(중복검사!$A78="",FALSE(),중복검사!$J78="유지")</f>
        <v>0</v>
      </c>
      <c r="I80" s="5" t="str">
        <f aca="false">IF($H80=FALSE(),"",COUNTIF($H$6:$H80,TRUE()))</f>
        <v/>
      </c>
      <c r="J80" s="5" t="str">
        <f aca="false">IF($I80="","","R"&amp;$I80)</f>
        <v/>
      </c>
    </row>
    <row r="81" customFormat="false" ht="15" hidden="false" customHeight="true" outlineLevel="0" collapsed="false">
      <c r="A81" s="10" t="str">
        <f aca="false">IFERROR(IF(INDEX(원본명단!$A$3:$A$6002,MATCH("R"&amp;76,정리결과!$J$6:$J$6005,0))="","",INDEX(원본명단!$A$3:$A$6002,MATCH("R"&amp;76,정리결과!$J$6:$J$6005,0))),"")</f>
        <v/>
      </c>
      <c r="B81" s="10" t="str">
        <f aca="false">IF($A81="","",IFERROR(IF(INDEX(원본명단!$B$3:$B$6002,MATCH("R"&amp;76,정리결과!$J$6:$J$6005,0))="","",INDEX(원본명단!$B$3:$B$6002,MATCH("R"&amp;76,정리결과!$J$6:$J$6005,0))),""))</f>
        <v/>
      </c>
      <c r="C81" s="10" t="str">
        <f aca="false">IF($A81="","",IFERROR(IF(INDEX(원본명단!$C$3:$C$6002,MATCH("R"&amp;76,정리결과!$J$6:$J$6005,0))="","",INDEX(원본명단!$C$3:$C$6002,MATCH("R"&amp;76,정리결과!$J$6:$J$6005,0))),""))</f>
        <v/>
      </c>
      <c r="D81" s="10" t="str">
        <f aca="false">IF($A81="","",IFERROR(IF(INDEX(원본명단!$D$3:$D$6002,MATCH("R"&amp;76,정리결과!$J$6:$J$6005,0))="","",INDEX(원본명단!$D$3:$D$6002,MATCH("R"&amp;76,정리결과!$J$6:$J$6005,0))),""))</f>
        <v/>
      </c>
      <c r="E81" s="10" t="str">
        <f aca="false">IF($A81="","",IFERROR(IF(INDEX(원본명단!$E$3:$E$6002,MATCH("R"&amp;76,정리결과!$J$6:$J$6005,0))="","",INDEX(원본명단!$E$3:$E$6002,MATCH("R"&amp;76,정리결과!$J$6:$J$6005,0))),""))</f>
        <v/>
      </c>
      <c r="F81" s="10" t="str">
        <f aca="false">IF($A81="","",IFERROR(IF(INDEX(원본명단!$F$3:$F$6002,MATCH("R"&amp;76,정리결과!$J$6:$J$6005,0))="","",INDEX(원본명단!$F$3:$F$6002,MATCH("R"&amp;76,정리결과!$J$6:$J$6005,0))),""))</f>
        <v/>
      </c>
      <c r="H81" s="14" t="b">
        <f aca="false">IF(중복검사!$A79="",FALSE(),중복검사!$J79="유지")</f>
        <v>0</v>
      </c>
      <c r="I81" s="5" t="str">
        <f aca="false">IF($H81=FALSE(),"",COUNTIF($H$6:$H81,TRUE()))</f>
        <v/>
      </c>
      <c r="J81" s="5" t="str">
        <f aca="false">IF($I81="","","R"&amp;$I81)</f>
        <v/>
      </c>
    </row>
    <row r="82" customFormat="false" ht="15" hidden="false" customHeight="true" outlineLevel="0" collapsed="false">
      <c r="A82" s="10" t="str">
        <f aca="false">IFERROR(IF(INDEX(원본명단!$A$3:$A$6002,MATCH("R"&amp;77,정리결과!$J$6:$J$6005,0))="","",INDEX(원본명단!$A$3:$A$6002,MATCH("R"&amp;77,정리결과!$J$6:$J$6005,0))),"")</f>
        <v/>
      </c>
      <c r="B82" s="10" t="str">
        <f aca="false">IF($A82="","",IFERROR(IF(INDEX(원본명단!$B$3:$B$6002,MATCH("R"&amp;77,정리결과!$J$6:$J$6005,0))="","",INDEX(원본명단!$B$3:$B$6002,MATCH("R"&amp;77,정리결과!$J$6:$J$6005,0))),""))</f>
        <v/>
      </c>
      <c r="C82" s="10" t="str">
        <f aca="false">IF($A82="","",IFERROR(IF(INDEX(원본명단!$C$3:$C$6002,MATCH("R"&amp;77,정리결과!$J$6:$J$6005,0))="","",INDEX(원본명단!$C$3:$C$6002,MATCH("R"&amp;77,정리결과!$J$6:$J$6005,0))),""))</f>
        <v/>
      </c>
      <c r="D82" s="10" t="str">
        <f aca="false">IF($A82="","",IFERROR(IF(INDEX(원본명단!$D$3:$D$6002,MATCH("R"&amp;77,정리결과!$J$6:$J$6005,0))="","",INDEX(원본명단!$D$3:$D$6002,MATCH("R"&amp;77,정리결과!$J$6:$J$6005,0))),""))</f>
        <v/>
      </c>
      <c r="E82" s="10" t="str">
        <f aca="false">IF($A82="","",IFERROR(IF(INDEX(원본명단!$E$3:$E$6002,MATCH("R"&amp;77,정리결과!$J$6:$J$6005,0))="","",INDEX(원본명단!$E$3:$E$6002,MATCH("R"&amp;77,정리결과!$J$6:$J$6005,0))),""))</f>
        <v/>
      </c>
      <c r="F82" s="10" t="str">
        <f aca="false">IF($A82="","",IFERROR(IF(INDEX(원본명단!$F$3:$F$6002,MATCH("R"&amp;77,정리결과!$J$6:$J$6005,0))="","",INDEX(원본명단!$F$3:$F$6002,MATCH("R"&amp;77,정리결과!$J$6:$J$6005,0))),""))</f>
        <v/>
      </c>
      <c r="H82" s="14" t="b">
        <f aca="false">IF(중복검사!$A80="",FALSE(),중복검사!$J80="유지")</f>
        <v>0</v>
      </c>
      <c r="I82" s="5" t="str">
        <f aca="false">IF($H82=FALSE(),"",COUNTIF($H$6:$H82,TRUE()))</f>
        <v/>
      </c>
      <c r="J82" s="5" t="str">
        <f aca="false">IF($I82="","","R"&amp;$I82)</f>
        <v/>
      </c>
    </row>
    <row r="83" customFormat="false" ht="15" hidden="false" customHeight="true" outlineLevel="0" collapsed="false">
      <c r="A83" s="10" t="str">
        <f aca="false">IFERROR(IF(INDEX(원본명단!$A$3:$A$6002,MATCH("R"&amp;78,정리결과!$J$6:$J$6005,0))="","",INDEX(원본명단!$A$3:$A$6002,MATCH("R"&amp;78,정리결과!$J$6:$J$6005,0))),"")</f>
        <v/>
      </c>
      <c r="B83" s="10" t="str">
        <f aca="false">IF($A83="","",IFERROR(IF(INDEX(원본명단!$B$3:$B$6002,MATCH("R"&amp;78,정리결과!$J$6:$J$6005,0))="","",INDEX(원본명단!$B$3:$B$6002,MATCH("R"&amp;78,정리결과!$J$6:$J$6005,0))),""))</f>
        <v/>
      </c>
      <c r="C83" s="10" t="str">
        <f aca="false">IF($A83="","",IFERROR(IF(INDEX(원본명단!$C$3:$C$6002,MATCH("R"&amp;78,정리결과!$J$6:$J$6005,0))="","",INDEX(원본명단!$C$3:$C$6002,MATCH("R"&amp;78,정리결과!$J$6:$J$6005,0))),""))</f>
        <v/>
      </c>
      <c r="D83" s="10" t="str">
        <f aca="false">IF($A83="","",IFERROR(IF(INDEX(원본명단!$D$3:$D$6002,MATCH("R"&amp;78,정리결과!$J$6:$J$6005,0))="","",INDEX(원본명단!$D$3:$D$6002,MATCH("R"&amp;78,정리결과!$J$6:$J$6005,0))),""))</f>
        <v/>
      </c>
      <c r="E83" s="10" t="str">
        <f aca="false">IF($A83="","",IFERROR(IF(INDEX(원본명단!$E$3:$E$6002,MATCH("R"&amp;78,정리결과!$J$6:$J$6005,0))="","",INDEX(원본명단!$E$3:$E$6002,MATCH("R"&amp;78,정리결과!$J$6:$J$6005,0))),""))</f>
        <v/>
      </c>
      <c r="F83" s="10" t="str">
        <f aca="false">IF($A83="","",IFERROR(IF(INDEX(원본명단!$F$3:$F$6002,MATCH("R"&amp;78,정리결과!$J$6:$J$6005,0))="","",INDEX(원본명단!$F$3:$F$6002,MATCH("R"&amp;78,정리결과!$J$6:$J$6005,0))),""))</f>
        <v/>
      </c>
      <c r="H83" s="14" t="b">
        <f aca="false">IF(중복검사!$A81="",FALSE(),중복검사!$J81="유지")</f>
        <v>0</v>
      </c>
      <c r="I83" s="5" t="str">
        <f aca="false">IF($H83=FALSE(),"",COUNTIF($H$6:$H83,TRUE()))</f>
        <v/>
      </c>
      <c r="J83" s="5" t="str">
        <f aca="false">IF($I83="","","R"&amp;$I83)</f>
        <v/>
      </c>
    </row>
    <row r="84" customFormat="false" ht="15" hidden="false" customHeight="true" outlineLevel="0" collapsed="false">
      <c r="A84" s="10" t="str">
        <f aca="false">IFERROR(IF(INDEX(원본명단!$A$3:$A$6002,MATCH("R"&amp;79,정리결과!$J$6:$J$6005,0))="","",INDEX(원본명단!$A$3:$A$6002,MATCH("R"&amp;79,정리결과!$J$6:$J$6005,0))),"")</f>
        <v/>
      </c>
      <c r="B84" s="10" t="str">
        <f aca="false">IF($A84="","",IFERROR(IF(INDEX(원본명단!$B$3:$B$6002,MATCH("R"&amp;79,정리결과!$J$6:$J$6005,0))="","",INDEX(원본명단!$B$3:$B$6002,MATCH("R"&amp;79,정리결과!$J$6:$J$6005,0))),""))</f>
        <v/>
      </c>
      <c r="C84" s="10" t="str">
        <f aca="false">IF($A84="","",IFERROR(IF(INDEX(원본명단!$C$3:$C$6002,MATCH("R"&amp;79,정리결과!$J$6:$J$6005,0))="","",INDEX(원본명단!$C$3:$C$6002,MATCH("R"&amp;79,정리결과!$J$6:$J$6005,0))),""))</f>
        <v/>
      </c>
      <c r="D84" s="10" t="str">
        <f aca="false">IF($A84="","",IFERROR(IF(INDEX(원본명단!$D$3:$D$6002,MATCH("R"&amp;79,정리결과!$J$6:$J$6005,0))="","",INDEX(원본명단!$D$3:$D$6002,MATCH("R"&amp;79,정리결과!$J$6:$J$6005,0))),""))</f>
        <v/>
      </c>
      <c r="E84" s="10" t="str">
        <f aca="false">IF($A84="","",IFERROR(IF(INDEX(원본명단!$E$3:$E$6002,MATCH("R"&amp;79,정리결과!$J$6:$J$6005,0))="","",INDEX(원본명단!$E$3:$E$6002,MATCH("R"&amp;79,정리결과!$J$6:$J$6005,0))),""))</f>
        <v/>
      </c>
      <c r="F84" s="10" t="str">
        <f aca="false">IF($A84="","",IFERROR(IF(INDEX(원본명단!$F$3:$F$6002,MATCH("R"&amp;79,정리결과!$J$6:$J$6005,0))="","",INDEX(원본명단!$F$3:$F$6002,MATCH("R"&amp;79,정리결과!$J$6:$J$6005,0))),""))</f>
        <v/>
      </c>
      <c r="H84" s="14" t="b">
        <f aca="false">IF(중복검사!$A82="",FALSE(),중복검사!$J82="유지")</f>
        <v>0</v>
      </c>
      <c r="I84" s="5" t="str">
        <f aca="false">IF($H84=FALSE(),"",COUNTIF($H$6:$H84,TRUE()))</f>
        <v/>
      </c>
      <c r="J84" s="5" t="str">
        <f aca="false">IF($I84="","","R"&amp;$I84)</f>
        <v/>
      </c>
    </row>
    <row r="85" customFormat="false" ht="15" hidden="false" customHeight="true" outlineLevel="0" collapsed="false">
      <c r="A85" s="10" t="str">
        <f aca="false">IFERROR(IF(INDEX(원본명단!$A$3:$A$6002,MATCH("R"&amp;80,정리결과!$J$6:$J$6005,0))="","",INDEX(원본명단!$A$3:$A$6002,MATCH("R"&amp;80,정리결과!$J$6:$J$6005,0))),"")</f>
        <v/>
      </c>
      <c r="B85" s="10" t="str">
        <f aca="false">IF($A85="","",IFERROR(IF(INDEX(원본명단!$B$3:$B$6002,MATCH("R"&amp;80,정리결과!$J$6:$J$6005,0))="","",INDEX(원본명단!$B$3:$B$6002,MATCH("R"&amp;80,정리결과!$J$6:$J$6005,0))),""))</f>
        <v/>
      </c>
      <c r="C85" s="10" t="str">
        <f aca="false">IF($A85="","",IFERROR(IF(INDEX(원본명단!$C$3:$C$6002,MATCH("R"&amp;80,정리결과!$J$6:$J$6005,0))="","",INDEX(원본명단!$C$3:$C$6002,MATCH("R"&amp;80,정리결과!$J$6:$J$6005,0))),""))</f>
        <v/>
      </c>
      <c r="D85" s="10" t="str">
        <f aca="false">IF($A85="","",IFERROR(IF(INDEX(원본명단!$D$3:$D$6002,MATCH("R"&amp;80,정리결과!$J$6:$J$6005,0))="","",INDEX(원본명단!$D$3:$D$6002,MATCH("R"&amp;80,정리결과!$J$6:$J$6005,0))),""))</f>
        <v/>
      </c>
      <c r="E85" s="10" t="str">
        <f aca="false">IF($A85="","",IFERROR(IF(INDEX(원본명단!$E$3:$E$6002,MATCH("R"&amp;80,정리결과!$J$6:$J$6005,0))="","",INDEX(원본명단!$E$3:$E$6002,MATCH("R"&amp;80,정리결과!$J$6:$J$6005,0))),""))</f>
        <v/>
      </c>
      <c r="F85" s="10" t="str">
        <f aca="false">IF($A85="","",IFERROR(IF(INDEX(원본명단!$F$3:$F$6002,MATCH("R"&amp;80,정리결과!$J$6:$J$6005,0))="","",INDEX(원본명단!$F$3:$F$6002,MATCH("R"&amp;80,정리결과!$J$6:$J$6005,0))),""))</f>
        <v/>
      </c>
      <c r="H85" s="14" t="b">
        <f aca="false">IF(중복검사!$A83="",FALSE(),중복검사!$J83="유지")</f>
        <v>0</v>
      </c>
      <c r="I85" s="5" t="str">
        <f aca="false">IF($H85=FALSE(),"",COUNTIF($H$6:$H85,TRUE()))</f>
        <v/>
      </c>
      <c r="J85" s="5" t="str">
        <f aca="false">IF($I85="","","R"&amp;$I85)</f>
        <v/>
      </c>
    </row>
    <row r="86" customFormat="false" ht="15" hidden="false" customHeight="true" outlineLevel="0" collapsed="false">
      <c r="A86" s="10" t="str">
        <f aca="false">IFERROR(IF(INDEX(원본명단!$A$3:$A$6002,MATCH("R"&amp;81,정리결과!$J$6:$J$6005,0))="","",INDEX(원본명단!$A$3:$A$6002,MATCH("R"&amp;81,정리결과!$J$6:$J$6005,0))),"")</f>
        <v/>
      </c>
      <c r="B86" s="10" t="str">
        <f aca="false">IF($A86="","",IFERROR(IF(INDEX(원본명단!$B$3:$B$6002,MATCH("R"&amp;81,정리결과!$J$6:$J$6005,0))="","",INDEX(원본명단!$B$3:$B$6002,MATCH("R"&amp;81,정리결과!$J$6:$J$6005,0))),""))</f>
        <v/>
      </c>
      <c r="C86" s="10" t="str">
        <f aca="false">IF($A86="","",IFERROR(IF(INDEX(원본명단!$C$3:$C$6002,MATCH("R"&amp;81,정리결과!$J$6:$J$6005,0))="","",INDEX(원본명단!$C$3:$C$6002,MATCH("R"&amp;81,정리결과!$J$6:$J$6005,0))),""))</f>
        <v/>
      </c>
      <c r="D86" s="10" t="str">
        <f aca="false">IF($A86="","",IFERROR(IF(INDEX(원본명단!$D$3:$D$6002,MATCH("R"&amp;81,정리결과!$J$6:$J$6005,0))="","",INDEX(원본명단!$D$3:$D$6002,MATCH("R"&amp;81,정리결과!$J$6:$J$6005,0))),""))</f>
        <v/>
      </c>
      <c r="E86" s="10" t="str">
        <f aca="false">IF($A86="","",IFERROR(IF(INDEX(원본명단!$E$3:$E$6002,MATCH("R"&amp;81,정리결과!$J$6:$J$6005,0))="","",INDEX(원본명단!$E$3:$E$6002,MATCH("R"&amp;81,정리결과!$J$6:$J$6005,0))),""))</f>
        <v/>
      </c>
      <c r="F86" s="10" t="str">
        <f aca="false">IF($A86="","",IFERROR(IF(INDEX(원본명단!$F$3:$F$6002,MATCH("R"&amp;81,정리결과!$J$6:$J$6005,0))="","",INDEX(원본명단!$F$3:$F$6002,MATCH("R"&amp;81,정리결과!$J$6:$J$6005,0))),""))</f>
        <v/>
      </c>
      <c r="H86" s="14" t="b">
        <f aca="false">IF(중복검사!$A84="",FALSE(),중복검사!$J84="유지")</f>
        <v>0</v>
      </c>
      <c r="I86" s="5" t="str">
        <f aca="false">IF($H86=FALSE(),"",COUNTIF($H$6:$H86,TRUE()))</f>
        <v/>
      </c>
      <c r="J86" s="5" t="str">
        <f aca="false">IF($I86="","","R"&amp;$I86)</f>
        <v/>
      </c>
    </row>
    <row r="87" customFormat="false" ht="15" hidden="false" customHeight="true" outlineLevel="0" collapsed="false">
      <c r="A87" s="10" t="str">
        <f aca="false">IFERROR(IF(INDEX(원본명단!$A$3:$A$6002,MATCH("R"&amp;82,정리결과!$J$6:$J$6005,0))="","",INDEX(원본명단!$A$3:$A$6002,MATCH("R"&amp;82,정리결과!$J$6:$J$6005,0))),"")</f>
        <v/>
      </c>
      <c r="B87" s="10" t="str">
        <f aca="false">IF($A87="","",IFERROR(IF(INDEX(원본명단!$B$3:$B$6002,MATCH("R"&amp;82,정리결과!$J$6:$J$6005,0))="","",INDEX(원본명단!$B$3:$B$6002,MATCH("R"&amp;82,정리결과!$J$6:$J$6005,0))),""))</f>
        <v/>
      </c>
      <c r="C87" s="10" t="str">
        <f aca="false">IF($A87="","",IFERROR(IF(INDEX(원본명단!$C$3:$C$6002,MATCH("R"&amp;82,정리결과!$J$6:$J$6005,0))="","",INDEX(원본명단!$C$3:$C$6002,MATCH("R"&amp;82,정리결과!$J$6:$J$6005,0))),""))</f>
        <v/>
      </c>
      <c r="D87" s="10" t="str">
        <f aca="false">IF($A87="","",IFERROR(IF(INDEX(원본명단!$D$3:$D$6002,MATCH("R"&amp;82,정리결과!$J$6:$J$6005,0))="","",INDEX(원본명단!$D$3:$D$6002,MATCH("R"&amp;82,정리결과!$J$6:$J$6005,0))),""))</f>
        <v/>
      </c>
      <c r="E87" s="10" t="str">
        <f aca="false">IF($A87="","",IFERROR(IF(INDEX(원본명단!$E$3:$E$6002,MATCH("R"&amp;82,정리결과!$J$6:$J$6005,0))="","",INDEX(원본명단!$E$3:$E$6002,MATCH("R"&amp;82,정리결과!$J$6:$J$6005,0))),""))</f>
        <v/>
      </c>
      <c r="F87" s="10" t="str">
        <f aca="false">IF($A87="","",IFERROR(IF(INDEX(원본명단!$F$3:$F$6002,MATCH("R"&amp;82,정리결과!$J$6:$J$6005,0))="","",INDEX(원본명단!$F$3:$F$6002,MATCH("R"&amp;82,정리결과!$J$6:$J$6005,0))),""))</f>
        <v/>
      </c>
      <c r="H87" s="14" t="b">
        <f aca="false">IF(중복검사!$A85="",FALSE(),중복검사!$J85="유지")</f>
        <v>0</v>
      </c>
      <c r="I87" s="5" t="str">
        <f aca="false">IF($H87=FALSE(),"",COUNTIF($H$6:$H87,TRUE()))</f>
        <v/>
      </c>
      <c r="J87" s="5" t="str">
        <f aca="false">IF($I87="","","R"&amp;$I87)</f>
        <v/>
      </c>
    </row>
    <row r="88" customFormat="false" ht="15" hidden="false" customHeight="true" outlineLevel="0" collapsed="false">
      <c r="A88" s="10" t="str">
        <f aca="false">IFERROR(IF(INDEX(원본명단!$A$3:$A$6002,MATCH("R"&amp;83,정리결과!$J$6:$J$6005,0))="","",INDEX(원본명단!$A$3:$A$6002,MATCH("R"&amp;83,정리결과!$J$6:$J$6005,0))),"")</f>
        <v/>
      </c>
      <c r="B88" s="10" t="str">
        <f aca="false">IF($A88="","",IFERROR(IF(INDEX(원본명단!$B$3:$B$6002,MATCH("R"&amp;83,정리결과!$J$6:$J$6005,0))="","",INDEX(원본명단!$B$3:$B$6002,MATCH("R"&amp;83,정리결과!$J$6:$J$6005,0))),""))</f>
        <v/>
      </c>
      <c r="C88" s="10" t="str">
        <f aca="false">IF($A88="","",IFERROR(IF(INDEX(원본명단!$C$3:$C$6002,MATCH("R"&amp;83,정리결과!$J$6:$J$6005,0))="","",INDEX(원본명단!$C$3:$C$6002,MATCH("R"&amp;83,정리결과!$J$6:$J$6005,0))),""))</f>
        <v/>
      </c>
      <c r="D88" s="10" t="str">
        <f aca="false">IF($A88="","",IFERROR(IF(INDEX(원본명단!$D$3:$D$6002,MATCH("R"&amp;83,정리결과!$J$6:$J$6005,0))="","",INDEX(원본명단!$D$3:$D$6002,MATCH("R"&amp;83,정리결과!$J$6:$J$6005,0))),""))</f>
        <v/>
      </c>
      <c r="E88" s="10" t="str">
        <f aca="false">IF($A88="","",IFERROR(IF(INDEX(원본명단!$E$3:$E$6002,MATCH("R"&amp;83,정리결과!$J$6:$J$6005,0))="","",INDEX(원본명단!$E$3:$E$6002,MATCH("R"&amp;83,정리결과!$J$6:$J$6005,0))),""))</f>
        <v/>
      </c>
      <c r="F88" s="10" t="str">
        <f aca="false">IF($A88="","",IFERROR(IF(INDEX(원본명단!$F$3:$F$6002,MATCH("R"&amp;83,정리결과!$J$6:$J$6005,0))="","",INDEX(원본명단!$F$3:$F$6002,MATCH("R"&amp;83,정리결과!$J$6:$J$6005,0))),""))</f>
        <v/>
      </c>
      <c r="H88" s="14" t="b">
        <f aca="false">IF(중복검사!$A86="",FALSE(),중복검사!$J86="유지")</f>
        <v>0</v>
      </c>
      <c r="I88" s="5" t="str">
        <f aca="false">IF($H88=FALSE(),"",COUNTIF($H$6:$H88,TRUE()))</f>
        <v/>
      </c>
      <c r="J88" s="5" t="str">
        <f aca="false">IF($I88="","","R"&amp;$I88)</f>
        <v/>
      </c>
    </row>
    <row r="89" customFormat="false" ht="15" hidden="false" customHeight="true" outlineLevel="0" collapsed="false">
      <c r="A89" s="10" t="str">
        <f aca="false">IFERROR(IF(INDEX(원본명단!$A$3:$A$6002,MATCH("R"&amp;84,정리결과!$J$6:$J$6005,0))="","",INDEX(원본명단!$A$3:$A$6002,MATCH("R"&amp;84,정리결과!$J$6:$J$6005,0))),"")</f>
        <v/>
      </c>
      <c r="B89" s="10" t="str">
        <f aca="false">IF($A89="","",IFERROR(IF(INDEX(원본명단!$B$3:$B$6002,MATCH("R"&amp;84,정리결과!$J$6:$J$6005,0))="","",INDEX(원본명단!$B$3:$B$6002,MATCH("R"&amp;84,정리결과!$J$6:$J$6005,0))),""))</f>
        <v/>
      </c>
      <c r="C89" s="10" t="str">
        <f aca="false">IF($A89="","",IFERROR(IF(INDEX(원본명단!$C$3:$C$6002,MATCH("R"&amp;84,정리결과!$J$6:$J$6005,0))="","",INDEX(원본명단!$C$3:$C$6002,MATCH("R"&amp;84,정리결과!$J$6:$J$6005,0))),""))</f>
        <v/>
      </c>
      <c r="D89" s="10" t="str">
        <f aca="false">IF($A89="","",IFERROR(IF(INDEX(원본명단!$D$3:$D$6002,MATCH("R"&amp;84,정리결과!$J$6:$J$6005,0))="","",INDEX(원본명단!$D$3:$D$6002,MATCH("R"&amp;84,정리결과!$J$6:$J$6005,0))),""))</f>
        <v/>
      </c>
      <c r="E89" s="10" t="str">
        <f aca="false">IF($A89="","",IFERROR(IF(INDEX(원본명단!$E$3:$E$6002,MATCH("R"&amp;84,정리결과!$J$6:$J$6005,0))="","",INDEX(원본명단!$E$3:$E$6002,MATCH("R"&amp;84,정리결과!$J$6:$J$6005,0))),""))</f>
        <v/>
      </c>
      <c r="F89" s="10" t="str">
        <f aca="false">IF($A89="","",IFERROR(IF(INDEX(원본명단!$F$3:$F$6002,MATCH("R"&amp;84,정리결과!$J$6:$J$6005,0))="","",INDEX(원본명단!$F$3:$F$6002,MATCH("R"&amp;84,정리결과!$J$6:$J$6005,0))),""))</f>
        <v/>
      </c>
      <c r="H89" s="14" t="b">
        <f aca="false">IF(중복검사!$A87="",FALSE(),중복검사!$J87="유지")</f>
        <v>0</v>
      </c>
      <c r="I89" s="5" t="str">
        <f aca="false">IF($H89=FALSE(),"",COUNTIF($H$6:$H89,TRUE()))</f>
        <v/>
      </c>
      <c r="J89" s="5" t="str">
        <f aca="false">IF($I89="","","R"&amp;$I89)</f>
        <v/>
      </c>
    </row>
    <row r="90" customFormat="false" ht="15" hidden="false" customHeight="true" outlineLevel="0" collapsed="false">
      <c r="A90" s="10" t="str">
        <f aca="false">IFERROR(IF(INDEX(원본명단!$A$3:$A$6002,MATCH("R"&amp;85,정리결과!$J$6:$J$6005,0))="","",INDEX(원본명단!$A$3:$A$6002,MATCH("R"&amp;85,정리결과!$J$6:$J$6005,0))),"")</f>
        <v/>
      </c>
      <c r="B90" s="10" t="str">
        <f aca="false">IF($A90="","",IFERROR(IF(INDEX(원본명단!$B$3:$B$6002,MATCH("R"&amp;85,정리결과!$J$6:$J$6005,0))="","",INDEX(원본명단!$B$3:$B$6002,MATCH("R"&amp;85,정리결과!$J$6:$J$6005,0))),""))</f>
        <v/>
      </c>
      <c r="C90" s="10" t="str">
        <f aca="false">IF($A90="","",IFERROR(IF(INDEX(원본명단!$C$3:$C$6002,MATCH("R"&amp;85,정리결과!$J$6:$J$6005,0))="","",INDEX(원본명단!$C$3:$C$6002,MATCH("R"&amp;85,정리결과!$J$6:$J$6005,0))),""))</f>
        <v/>
      </c>
      <c r="D90" s="10" t="str">
        <f aca="false">IF($A90="","",IFERROR(IF(INDEX(원본명단!$D$3:$D$6002,MATCH("R"&amp;85,정리결과!$J$6:$J$6005,0))="","",INDEX(원본명단!$D$3:$D$6002,MATCH("R"&amp;85,정리결과!$J$6:$J$6005,0))),""))</f>
        <v/>
      </c>
      <c r="E90" s="10" t="str">
        <f aca="false">IF($A90="","",IFERROR(IF(INDEX(원본명단!$E$3:$E$6002,MATCH("R"&amp;85,정리결과!$J$6:$J$6005,0))="","",INDEX(원본명단!$E$3:$E$6002,MATCH("R"&amp;85,정리결과!$J$6:$J$6005,0))),""))</f>
        <v/>
      </c>
      <c r="F90" s="10" t="str">
        <f aca="false">IF($A90="","",IFERROR(IF(INDEX(원본명단!$F$3:$F$6002,MATCH("R"&amp;85,정리결과!$J$6:$J$6005,0))="","",INDEX(원본명단!$F$3:$F$6002,MATCH("R"&amp;85,정리결과!$J$6:$J$6005,0))),""))</f>
        <v/>
      </c>
      <c r="H90" s="14" t="b">
        <f aca="false">IF(중복검사!$A88="",FALSE(),중복검사!$J88="유지")</f>
        <v>0</v>
      </c>
      <c r="I90" s="5" t="str">
        <f aca="false">IF($H90=FALSE(),"",COUNTIF($H$6:$H90,TRUE()))</f>
        <v/>
      </c>
      <c r="J90" s="5" t="str">
        <f aca="false">IF($I90="","","R"&amp;$I90)</f>
        <v/>
      </c>
    </row>
    <row r="91" customFormat="false" ht="15" hidden="false" customHeight="true" outlineLevel="0" collapsed="false">
      <c r="A91" s="10" t="str">
        <f aca="false">IFERROR(IF(INDEX(원본명단!$A$3:$A$6002,MATCH("R"&amp;86,정리결과!$J$6:$J$6005,0))="","",INDEX(원본명단!$A$3:$A$6002,MATCH("R"&amp;86,정리결과!$J$6:$J$6005,0))),"")</f>
        <v/>
      </c>
      <c r="B91" s="10" t="str">
        <f aca="false">IF($A91="","",IFERROR(IF(INDEX(원본명단!$B$3:$B$6002,MATCH("R"&amp;86,정리결과!$J$6:$J$6005,0))="","",INDEX(원본명단!$B$3:$B$6002,MATCH("R"&amp;86,정리결과!$J$6:$J$6005,0))),""))</f>
        <v/>
      </c>
      <c r="C91" s="10" t="str">
        <f aca="false">IF($A91="","",IFERROR(IF(INDEX(원본명단!$C$3:$C$6002,MATCH("R"&amp;86,정리결과!$J$6:$J$6005,0))="","",INDEX(원본명단!$C$3:$C$6002,MATCH("R"&amp;86,정리결과!$J$6:$J$6005,0))),""))</f>
        <v/>
      </c>
      <c r="D91" s="10" t="str">
        <f aca="false">IF($A91="","",IFERROR(IF(INDEX(원본명단!$D$3:$D$6002,MATCH("R"&amp;86,정리결과!$J$6:$J$6005,0))="","",INDEX(원본명단!$D$3:$D$6002,MATCH("R"&amp;86,정리결과!$J$6:$J$6005,0))),""))</f>
        <v/>
      </c>
      <c r="E91" s="10" t="str">
        <f aca="false">IF($A91="","",IFERROR(IF(INDEX(원본명단!$E$3:$E$6002,MATCH("R"&amp;86,정리결과!$J$6:$J$6005,0))="","",INDEX(원본명단!$E$3:$E$6002,MATCH("R"&amp;86,정리결과!$J$6:$J$6005,0))),""))</f>
        <v/>
      </c>
      <c r="F91" s="10" t="str">
        <f aca="false">IF($A91="","",IFERROR(IF(INDEX(원본명단!$F$3:$F$6002,MATCH("R"&amp;86,정리결과!$J$6:$J$6005,0))="","",INDEX(원본명단!$F$3:$F$6002,MATCH("R"&amp;86,정리결과!$J$6:$J$6005,0))),""))</f>
        <v/>
      </c>
      <c r="H91" s="14" t="b">
        <f aca="false">IF(중복검사!$A89="",FALSE(),중복검사!$J89="유지")</f>
        <v>0</v>
      </c>
      <c r="I91" s="5" t="str">
        <f aca="false">IF($H91=FALSE(),"",COUNTIF($H$6:$H91,TRUE()))</f>
        <v/>
      </c>
      <c r="J91" s="5" t="str">
        <f aca="false">IF($I91="","","R"&amp;$I91)</f>
        <v/>
      </c>
    </row>
    <row r="92" customFormat="false" ht="15" hidden="false" customHeight="true" outlineLevel="0" collapsed="false">
      <c r="A92" s="10" t="str">
        <f aca="false">IFERROR(IF(INDEX(원본명단!$A$3:$A$6002,MATCH("R"&amp;87,정리결과!$J$6:$J$6005,0))="","",INDEX(원본명단!$A$3:$A$6002,MATCH("R"&amp;87,정리결과!$J$6:$J$6005,0))),"")</f>
        <v/>
      </c>
      <c r="B92" s="10" t="str">
        <f aca="false">IF($A92="","",IFERROR(IF(INDEX(원본명단!$B$3:$B$6002,MATCH("R"&amp;87,정리결과!$J$6:$J$6005,0))="","",INDEX(원본명단!$B$3:$B$6002,MATCH("R"&amp;87,정리결과!$J$6:$J$6005,0))),""))</f>
        <v/>
      </c>
      <c r="C92" s="10" t="str">
        <f aca="false">IF($A92="","",IFERROR(IF(INDEX(원본명단!$C$3:$C$6002,MATCH("R"&amp;87,정리결과!$J$6:$J$6005,0))="","",INDEX(원본명단!$C$3:$C$6002,MATCH("R"&amp;87,정리결과!$J$6:$J$6005,0))),""))</f>
        <v/>
      </c>
      <c r="D92" s="10" t="str">
        <f aca="false">IF($A92="","",IFERROR(IF(INDEX(원본명단!$D$3:$D$6002,MATCH("R"&amp;87,정리결과!$J$6:$J$6005,0))="","",INDEX(원본명단!$D$3:$D$6002,MATCH("R"&amp;87,정리결과!$J$6:$J$6005,0))),""))</f>
        <v/>
      </c>
      <c r="E92" s="10" t="str">
        <f aca="false">IF($A92="","",IFERROR(IF(INDEX(원본명단!$E$3:$E$6002,MATCH("R"&amp;87,정리결과!$J$6:$J$6005,0))="","",INDEX(원본명단!$E$3:$E$6002,MATCH("R"&amp;87,정리결과!$J$6:$J$6005,0))),""))</f>
        <v/>
      </c>
      <c r="F92" s="10" t="str">
        <f aca="false">IF($A92="","",IFERROR(IF(INDEX(원본명단!$F$3:$F$6002,MATCH("R"&amp;87,정리결과!$J$6:$J$6005,0))="","",INDEX(원본명단!$F$3:$F$6002,MATCH("R"&amp;87,정리결과!$J$6:$J$6005,0))),""))</f>
        <v/>
      </c>
      <c r="H92" s="14" t="b">
        <f aca="false">IF(중복검사!$A90="",FALSE(),중복검사!$J90="유지")</f>
        <v>0</v>
      </c>
      <c r="I92" s="5" t="str">
        <f aca="false">IF($H92=FALSE(),"",COUNTIF($H$6:$H92,TRUE()))</f>
        <v/>
      </c>
      <c r="J92" s="5" t="str">
        <f aca="false">IF($I92="","","R"&amp;$I92)</f>
        <v/>
      </c>
    </row>
    <row r="93" customFormat="false" ht="15" hidden="false" customHeight="true" outlineLevel="0" collapsed="false">
      <c r="A93" s="10" t="str">
        <f aca="false">IFERROR(IF(INDEX(원본명단!$A$3:$A$6002,MATCH("R"&amp;88,정리결과!$J$6:$J$6005,0))="","",INDEX(원본명단!$A$3:$A$6002,MATCH("R"&amp;88,정리결과!$J$6:$J$6005,0))),"")</f>
        <v/>
      </c>
      <c r="B93" s="10" t="str">
        <f aca="false">IF($A93="","",IFERROR(IF(INDEX(원본명단!$B$3:$B$6002,MATCH("R"&amp;88,정리결과!$J$6:$J$6005,0))="","",INDEX(원본명단!$B$3:$B$6002,MATCH("R"&amp;88,정리결과!$J$6:$J$6005,0))),""))</f>
        <v/>
      </c>
      <c r="C93" s="10" t="str">
        <f aca="false">IF($A93="","",IFERROR(IF(INDEX(원본명단!$C$3:$C$6002,MATCH("R"&amp;88,정리결과!$J$6:$J$6005,0))="","",INDEX(원본명단!$C$3:$C$6002,MATCH("R"&amp;88,정리결과!$J$6:$J$6005,0))),""))</f>
        <v/>
      </c>
      <c r="D93" s="10" t="str">
        <f aca="false">IF($A93="","",IFERROR(IF(INDEX(원본명단!$D$3:$D$6002,MATCH("R"&amp;88,정리결과!$J$6:$J$6005,0))="","",INDEX(원본명단!$D$3:$D$6002,MATCH("R"&amp;88,정리결과!$J$6:$J$6005,0))),""))</f>
        <v/>
      </c>
      <c r="E93" s="10" t="str">
        <f aca="false">IF($A93="","",IFERROR(IF(INDEX(원본명단!$E$3:$E$6002,MATCH("R"&amp;88,정리결과!$J$6:$J$6005,0))="","",INDEX(원본명단!$E$3:$E$6002,MATCH("R"&amp;88,정리결과!$J$6:$J$6005,0))),""))</f>
        <v/>
      </c>
      <c r="F93" s="10" t="str">
        <f aca="false">IF($A93="","",IFERROR(IF(INDEX(원본명단!$F$3:$F$6002,MATCH("R"&amp;88,정리결과!$J$6:$J$6005,0))="","",INDEX(원본명단!$F$3:$F$6002,MATCH("R"&amp;88,정리결과!$J$6:$J$6005,0))),""))</f>
        <v/>
      </c>
      <c r="H93" s="14" t="b">
        <f aca="false">IF(중복검사!$A91="",FALSE(),중복검사!$J91="유지")</f>
        <v>0</v>
      </c>
      <c r="I93" s="5" t="str">
        <f aca="false">IF($H93=FALSE(),"",COUNTIF($H$6:$H93,TRUE()))</f>
        <v/>
      </c>
      <c r="J93" s="5" t="str">
        <f aca="false">IF($I93="","","R"&amp;$I93)</f>
        <v/>
      </c>
    </row>
    <row r="94" customFormat="false" ht="15" hidden="false" customHeight="true" outlineLevel="0" collapsed="false">
      <c r="A94" s="10" t="str">
        <f aca="false">IFERROR(IF(INDEX(원본명단!$A$3:$A$6002,MATCH("R"&amp;89,정리결과!$J$6:$J$6005,0))="","",INDEX(원본명단!$A$3:$A$6002,MATCH("R"&amp;89,정리결과!$J$6:$J$6005,0))),"")</f>
        <v/>
      </c>
      <c r="B94" s="10" t="str">
        <f aca="false">IF($A94="","",IFERROR(IF(INDEX(원본명단!$B$3:$B$6002,MATCH("R"&amp;89,정리결과!$J$6:$J$6005,0))="","",INDEX(원본명단!$B$3:$B$6002,MATCH("R"&amp;89,정리결과!$J$6:$J$6005,0))),""))</f>
        <v/>
      </c>
      <c r="C94" s="10" t="str">
        <f aca="false">IF($A94="","",IFERROR(IF(INDEX(원본명단!$C$3:$C$6002,MATCH("R"&amp;89,정리결과!$J$6:$J$6005,0))="","",INDEX(원본명단!$C$3:$C$6002,MATCH("R"&amp;89,정리결과!$J$6:$J$6005,0))),""))</f>
        <v/>
      </c>
      <c r="D94" s="10" t="str">
        <f aca="false">IF($A94="","",IFERROR(IF(INDEX(원본명단!$D$3:$D$6002,MATCH("R"&amp;89,정리결과!$J$6:$J$6005,0))="","",INDEX(원본명단!$D$3:$D$6002,MATCH("R"&amp;89,정리결과!$J$6:$J$6005,0))),""))</f>
        <v/>
      </c>
      <c r="E94" s="10" t="str">
        <f aca="false">IF($A94="","",IFERROR(IF(INDEX(원본명단!$E$3:$E$6002,MATCH("R"&amp;89,정리결과!$J$6:$J$6005,0))="","",INDEX(원본명단!$E$3:$E$6002,MATCH("R"&amp;89,정리결과!$J$6:$J$6005,0))),""))</f>
        <v/>
      </c>
      <c r="F94" s="10" t="str">
        <f aca="false">IF($A94="","",IFERROR(IF(INDEX(원본명단!$F$3:$F$6002,MATCH("R"&amp;89,정리결과!$J$6:$J$6005,0))="","",INDEX(원본명단!$F$3:$F$6002,MATCH("R"&amp;89,정리결과!$J$6:$J$6005,0))),""))</f>
        <v/>
      </c>
      <c r="H94" s="14" t="b">
        <f aca="false">IF(중복검사!$A92="",FALSE(),중복검사!$J92="유지")</f>
        <v>0</v>
      </c>
      <c r="I94" s="5" t="str">
        <f aca="false">IF($H94=FALSE(),"",COUNTIF($H$6:$H94,TRUE()))</f>
        <v/>
      </c>
      <c r="J94" s="5" t="str">
        <f aca="false">IF($I94="","","R"&amp;$I94)</f>
        <v/>
      </c>
    </row>
    <row r="95" customFormat="false" ht="15" hidden="false" customHeight="true" outlineLevel="0" collapsed="false">
      <c r="A95" s="10" t="str">
        <f aca="false">IFERROR(IF(INDEX(원본명단!$A$3:$A$6002,MATCH("R"&amp;90,정리결과!$J$6:$J$6005,0))="","",INDEX(원본명단!$A$3:$A$6002,MATCH("R"&amp;90,정리결과!$J$6:$J$6005,0))),"")</f>
        <v/>
      </c>
      <c r="B95" s="10" t="str">
        <f aca="false">IF($A95="","",IFERROR(IF(INDEX(원본명단!$B$3:$B$6002,MATCH("R"&amp;90,정리결과!$J$6:$J$6005,0))="","",INDEX(원본명단!$B$3:$B$6002,MATCH("R"&amp;90,정리결과!$J$6:$J$6005,0))),""))</f>
        <v/>
      </c>
      <c r="C95" s="10" t="str">
        <f aca="false">IF($A95="","",IFERROR(IF(INDEX(원본명단!$C$3:$C$6002,MATCH("R"&amp;90,정리결과!$J$6:$J$6005,0))="","",INDEX(원본명단!$C$3:$C$6002,MATCH("R"&amp;90,정리결과!$J$6:$J$6005,0))),""))</f>
        <v/>
      </c>
      <c r="D95" s="10" t="str">
        <f aca="false">IF($A95="","",IFERROR(IF(INDEX(원본명단!$D$3:$D$6002,MATCH("R"&amp;90,정리결과!$J$6:$J$6005,0))="","",INDEX(원본명단!$D$3:$D$6002,MATCH("R"&amp;90,정리결과!$J$6:$J$6005,0))),""))</f>
        <v/>
      </c>
      <c r="E95" s="10" t="str">
        <f aca="false">IF($A95="","",IFERROR(IF(INDEX(원본명단!$E$3:$E$6002,MATCH("R"&amp;90,정리결과!$J$6:$J$6005,0))="","",INDEX(원본명단!$E$3:$E$6002,MATCH("R"&amp;90,정리결과!$J$6:$J$6005,0))),""))</f>
        <v/>
      </c>
      <c r="F95" s="10" t="str">
        <f aca="false">IF($A95="","",IFERROR(IF(INDEX(원본명단!$F$3:$F$6002,MATCH("R"&amp;90,정리결과!$J$6:$J$6005,0))="","",INDEX(원본명단!$F$3:$F$6002,MATCH("R"&amp;90,정리결과!$J$6:$J$6005,0))),""))</f>
        <v/>
      </c>
      <c r="H95" s="14" t="b">
        <f aca="false">IF(중복검사!$A93="",FALSE(),중복검사!$J93="유지")</f>
        <v>0</v>
      </c>
      <c r="I95" s="5" t="str">
        <f aca="false">IF($H95=FALSE(),"",COUNTIF($H$6:$H95,TRUE()))</f>
        <v/>
      </c>
      <c r="J95" s="5" t="str">
        <f aca="false">IF($I95="","","R"&amp;$I95)</f>
        <v/>
      </c>
    </row>
    <row r="96" customFormat="false" ht="15" hidden="false" customHeight="true" outlineLevel="0" collapsed="false">
      <c r="A96" s="10" t="str">
        <f aca="false">IFERROR(IF(INDEX(원본명단!$A$3:$A$6002,MATCH("R"&amp;91,정리결과!$J$6:$J$6005,0))="","",INDEX(원본명단!$A$3:$A$6002,MATCH("R"&amp;91,정리결과!$J$6:$J$6005,0))),"")</f>
        <v/>
      </c>
      <c r="B96" s="10" t="str">
        <f aca="false">IF($A96="","",IFERROR(IF(INDEX(원본명단!$B$3:$B$6002,MATCH("R"&amp;91,정리결과!$J$6:$J$6005,0))="","",INDEX(원본명단!$B$3:$B$6002,MATCH("R"&amp;91,정리결과!$J$6:$J$6005,0))),""))</f>
        <v/>
      </c>
      <c r="C96" s="10" t="str">
        <f aca="false">IF($A96="","",IFERROR(IF(INDEX(원본명단!$C$3:$C$6002,MATCH("R"&amp;91,정리결과!$J$6:$J$6005,0))="","",INDEX(원본명단!$C$3:$C$6002,MATCH("R"&amp;91,정리결과!$J$6:$J$6005,0))),""))</f>
        <v/>
      </c>
      <c r="D96" s="10" t="str">
        <f aca="false">IF($A96="","",IFERROR(IF(INDEX(원본명단!$D$3:$D$6002,MATCH("R"&amp;91,정리결과!$J$6:$J$6005,0))="","",INDEX(원본명단!$D$3:$D$6002,MATCH("R"&amp;91,정리결과!$J$6:$J$6005,0))),""))</f>
        <v/>
      </c>
      <c r="E96" s="10" t="str">
        <f aca="false">IF($A96="","",IFERROR(IF(INDEX(원본명단!$E$3:$E$6002,MATCH("R"&amp;91,정리결과!$J$6:$J$6005,0))="","",INDEX(원본명단!$E$3:$E$6002,MATCH("R"&amp;91,정리결과!$J$6:$J$6005,0))),""))</f>
        <v/>
      </c>
      <c r="F96" s="10" t="str">
        <f aca="false">IF($A96="","",IFERROR(IF(INDEX(원본명단!$F$3:$F$6002,MATCH("R"&amp;91,정리결과!$J$6:$J$6005,0))="","",INDEX(원본명단!$F$3:$F$6002,MATCH("R"&amp;91,정리결과!$J$6:$J$6005,0))),""))</f>
        <v/>
      </c>
      <c r="H96" s="14" t="b">
        <f aca="false">IF(중복검사!$A94="",FALSE(),중복검사!$J94="유지")</f>
        <v>0</v>
      </c>
      <c r="I96" s="5" t="str">
        <f aca="false">IF($H96=FALSE(),"",COUNTIF($H$6:$H96,TRUE()))</f>
        <v/>
      </c>
      <c r="J96" s="5" t="str">
        <f aca="false">IF($I96="","","R"&amp;$I96)</f>
        <v/>
      </c>
    </row>
    <row r="97" customFormat="false" ht="15" hidden="false" customHeight="true" outlineLevel="0" collapsed="false">
      <c r="A97" s="10" t="str">
        <f aca="false">IFERROR(IF(INDEX(원본명단!$A$3:$A$6002,MATCH("R"&amp;92,정리결과!$J$6:$J$6005,0))="","",INDEX(원본명단!$A$3:$A$6002,MATCH("R"&amp;92,정리결과!$J$6:$J$6005,0))),"")</f>
        <v/>
      </c>
      <c r="B97" s="10" t="str">
        <f aca="false">IF($A97="","",IFERROR(IF(INDEX(원본명단!$B$3:$B$6002,MATCH("R"&amp;92,정리결과!$J$6:$J$6005,0))="","",INDEX(원본명단!$B$3:$B$6002,MATCH("R"&amp;92,정리결과!$J$6:$J$6005,0))),""))</f>
        <v/>
      </c>
      <c r="C97" s="10" t="str">
        <f aca="false">IF($A97="","",IFERROR(IF(INDEX(원본명단!$C$3:$C$6002,MATCH("R"&amp;92,정리결과!$J$6:$J$6005,0))="","",INDEX(원본명단!$C$3:$C$6002,MATCH("R"&amp;92,정리결과!$J$6:$J$6005,0))),""))</f>
        <v/>
      </c>
      <c r="D97" s="10" t="str">
        <f aca="false">IF($A97="","",IFERROR(IF(INDEX(원본명단!$D$3:$D$6002,MATCH("R"&amp;92,정리결과!$J$6:$J$6005,0))="","",INDEX(원본명단!$D$3:$D$6002,MATCH("R"&amp;92,정리결과!$J$6:$J$6005,0))),""))</f>
        <v/>
      </c>
      <c r="E97" s="10" t="str">
        <f aca="false">IF($A97="","",IFERROR(IF(INDEX(원본명단!$E$3:$E$6002,MATCH("R"&amp;92,정리결과!$J$6:$J$6005,0))="","",INDEX(원본명단!$E$3:$E$6002,MATCH("R"&amp;92,정리결과!$J$6:$J$6005,0))),""))</f>
        <v/>
      </c>
      <c r="F97" s="10" t="str">
        <f aca="false">IF($A97="","",IFERROR(IF(INDEX(원본명단!$F$3:$F$6002,MATCH("R"&amp;92,정리결과!$J$6:$J$6005,0))="","",INDEX(원본명단!$F$3:$F$6002,MATCH("R"&amp;92,정리결과!$J$6:$J$6005,0))),""))</f>
        <v/>
      </c>
      <c r="H97" s="14" t="b">
        <f aca="false">IF(중복검사!$A95="",FALSE(),중복검사!$J95="유지")</f>
        <v>0</v>
      </c>
      <c r="I97" s="5" t="str">
        <f aca="false">IF($H97=FALSE(),"",COUNTIF($H$6:$H97,TRUE()))</f>
        <v/>
      </c>
      <c r="J97" s="5" t="str">
        <f aca="false">IF($I97="","","R"&amp;$I97)</f>
        <v/>
      </c>
    </row>
    <row r="98" customFormat="false" ht="15" hidden="false" customHeight="true" outlineLevel="0" collapsed="false">
      <c r="A98" s="10" t="str">
        <f aca="false">IFERROR(IF(INDEX(원본명단!$A$3:$A$6002,MATCH("R"&amp;93,정리결과!$J$6:$J$6005,0))="","",INDEX(원본명단!$A$3:$A$6002,MATCH("R"&amp;93,정리결과!$J$6:$J$6005,0))),"")</f>
        <v/>
      </c>
      <c r="B98" s="10" t="str">
        <f aca="false">IF($A98="","",IFERROR(IF(INDEX(원본명단!$B$3:$B$6002,MATCH("R"&amp;93,정리결과!$J$6:$J$6005,0))="","",INDEX(원본명단!$B$3:$B$6002,MATCH("R"&amp;93,정리결과!$J$6:$J$6005,0))),""))</f>
        <v/>
      </c>
      <c r="C98" s="10" t="str">
        <f aca="false">IF($A98="","",IFERROR(IF(INDEX(원본명단!$C$3:$C$6002,MATCH("R"&amp;93,정리결과!$J$6:$J$6005,0))="","",INDEX(원본명단!$C$3:$C$6002,MATCH("R"&amp;93,정리결과!$J$6:$J$6005,0))),""))</f>
        <v/>
      </c>
      <c r="D98" s="10" t="str">
        <f aca="false">IF($A98="","",IFERROR(IF(INDEX(원본명단!$D$3:$D$6002,MATCH("R"&amp;93,정리결과!$J$6:$J$6005,0))="","",INDEX(원본명단!$D$3:$D$6002,MATCH("R"&amp;93,정리결과!$J$6:$J$6005,0))),""))</f>
        <v/>
      </c>
      <c r="E98" s="10" t="str">
        <f aca="false">IF($A98="","",IFERROR(IF(INDEX(원본명단!$E$3:$E$6002,MATCH("R"&amp;93,정리결과!$J$6:$J$6005,0))="","",INDEX(원본명단!$E$3:$E$6002,MATCH("R"&amp;93,정리결과!$J$6:$J$6005,0))),""))</f>
        <v/>
      </c>
      <c r="F98" s="10" t="str">
        <f aca="false">IF($A98="","",IFERROR(IF(INDEX(원본명단!$F$3:$F$6002,MATCH("R"&amp;93,정리결과!$J$6:$J$6005,0))="","",INDEX(원본명단!$F$3:$F$6002,MATCH("R"&amp;93,정리결과!$J$6:$J$6005,0))),""))</f>
        <v/>
      </c>
      <c r="H98" s="14" t="b">
        <f aca="false">IF(중복검사!$A96="",FALSE(),중복검사!$J96="유지")</f>
        <v>0</v>
      </c>
      <c r="I98" s="5" t="str">
        <f aca="false">IF($H98=FALSE(),"",COUNTIF($H$6:$H98,TRUE()))</f>
        <v/>
      </c>
      <c r="J98" s="5" t="str">
        <f aca="false">IF($I98="","","R"&amp;$I98)</f>
        <v/>
      </c>
    </row>
    <row r="99" customFormat="false" ht="15" hidden="false" customHeight="true" outlineLevel="0" collapsed="false">
      <c r="A99" s="10" t="str">
        <f aca="false">IFERROR(IF(INDEX(원본명단!$A$3:$A$6002,MATCH("R"&amp;94,정리결과!$J$6:$J$6005,0))="","",INDEX(원본명단!$A$3:$A$6002,MATCH("R"&amp;94,정리결과!$J$6:$J$6005,0))),"")</f>
        <v/>
      </c>
      <c r="B99" s="10" t="str">
        <f aca="false">IF($A99="","",IFERROR(IF(INDEX(원본명단!$B$3:$B$6002,MATCH("R"&amp;94,정리결과!$J$6:$J$6005,0))="","",INDEX(원본명단!$B$3:$B$6002,MATCH("R"&amp;94,정리결과!$J$6:$J$6005,0))),""))</f>
        <v/>
      </c>
      <c r="C99" s="10" t="str">
        <f aca="false">IF($A99="","",IFERROR(IF(INDEX(원본명단!$C$3:$C$6002,MATCH("R"&amp;94,정리결과!$J$6:$J$6005,0))="","",INDEX(원본명단!$C$3:$C$6002,MATCH("R"&amp;94,정리결과!$J$6:$J$6005,0))),""))</f>
        <v/>
      </c>
      <c r="D99" s="10" t="str">
        <f aca="false">IF($A99="","",IFERROR(IF(INDEX(원본명단!$D$3:$D$6002,MATCH("R"&amp;94,정리결과!$J$6:$J$6005,0))="","",INDEX(원본명단!$D$3:$D$6002,MATCH("R"&amp;94,정리결과!$J$6:$J$6005,0))),""))</f>
        <v/>
      </c>
      <c r="E99" s="10" t="str">
        <f aca="false">IF($A99="","",IFERROR(IF(INDEX(원본명단!$E$3:$E$6002,MATCH("R"&amp;94,정리결과!$J$6:$J$6005,0))="","",INDEX(원본명단!$E$3:$E$6002,MATCH("R"&amp;94,정리결과!$J$6:$J$6005,0))),""))</f>
        <v/>
      </c>
      <c r="F99" s="10" t="str">
        <f aca="false">IF($A99="","",IFERROR(IF(INDEX(원본명단!$F$3:$F$6002,MATCH("R"&amp;94,정리결과!$J$6:$J$6005,0))="","",INDEX(원본명단!$F$3:$F$6002,MATCH("R"&amp;94,정리결과!$J$6:$J$6005,0))),""))</f>
        <v/>
      </c>
      <c r="H99" s="14" t="b">
        <f aca="false">IF(중복검사!$A97="",FALSE(),중복검사!$J97="유지")</f>
        <v>0</v>
      </c>
      <c r="I99" s="5" t="str">
        <f aca="false">IF($H99=FALSE(),"",COUNTIF($H$6:$H99,TRUE()))</f>
        <v/>
      </c>
      <c r="J99" s="5" t="str">
        <f aca="false">IF($I99="","","R"&amp;$I99)</f>
        <v/>
      </c>
    </row>
    <row r="100" customFormat="false" ht="15" hidden="false" customHeight="true" outlineLevel="0" collapsed="false">
      <c r="A100" s="10" t="str">
        <f aca="false">IFERROR(IF(INDEX(원본명단!$A$3:$A$6002,MATCH("R"&amp;95,정리결과!$J$6:$J$6005,0))="","",INDEX(원본명단!$A$3:$A$6002,MATCH("R"&amp;95,정리결과!$J$6:$J$6005,0))),"")</f>
        <v/>
      </c>
      <c r="B100" s="10" t="str">
        <f aca="false">IF($A100="","",IFERROR(IF(INDEX(원본명단!$B$3:$B$6002,MATCH("R"&amp;95,정리결과!$J$6:$J$6005,0))="","",INDEX(원본명단!$B$3:$B$6002,MATCH("R"&amp;95,정리결과!$J$6:$J$6005,0))),""))</f>
        <v/>
      </c>
      <c r="C100" s="10" t="str">
        <f aca="false">IF($A100="","",IFERROR(IF(INDEX(원본명단!$C$3:$C$6002,MATCH("R"&amp;95,정리결과!$J$6:$J$6005,0))="","",INDEX(원본명단!$C$3:$C$6002,MATCH("R"&amp;95,정리결과!$J$6:$J$6005,0))),""))</f>
        <v/>
      </c>
      <c r="D100" s="10" t="str">
        <f aca="false">IF($A100="","",IFERROR(IF(INDEX(원본명단!$D$3:$D$6002,MATCH("R"&amp;95,정리결과!$J$6:$J$6005,0))="","",INDEX(원본명단!$D$3:$D$6002,MATCH("R"&amp;95,정리결과!$J$6:$J$6005,0))),""))</f>
        <v/>
      </c>
      <c r="E100" s="10" t="str">
        <f aca="false">IF($A100="","",IFERROR(IF(INDEX(원본명단!$E$3:$E$6002,MATCH("R"&amp;95,정리결과!$J$6:$J$6005,0))="","",INDEX(원본명단!$E$3:$E$6002,MATCH("R"&amp;95,정리결과!$J$6:$J$6005,0))),""))</f>
        <v/>
      </c>
      <c r="F100" s="10" t="str">
        <f aca="false">IF($A100="","",IFERROR(IF(INDEX(원본명단!$F$3:$F$6002,MATCH("R"&amp;95,정리결과!$J$6:$J$6005,0))="","",INDEX(원본명단!$F$3:$F$6002,MATCH("R"&amp;95,정리결과!$J$6:$J$6005,0))),""))</f>
        <v/>
      </c>
      <c r="H100" s="14" t="b">
        <f aca="false">IF(중복검사!$A98="",FALSE(),중복검사!$J98="유지")</f>
        <v>0</v>
      </c>
      <c r="I100" s="5" t="str">
        <f aca="false">IF($H100=FALSE(),"",COUNTIF($H$6:$H100,TRUE()))</f>
        <v/>
      </c>
      <c r="J100" s="5" t="str">
        <f aca="false">IF($I100="","","R"&amp;$I100)</f>
        <v/>
      </c>
    </row>
    <row r="101" customFormat="false" ht="15" hidden="false" customHeight="true" outlineLevel="0" collapsed="false">
      <c r="A101" s="10" t="str">
        <f aca="false">IFERROR(IF(INDEX(원본명단!$A$3:$A$6002,MATCH("R"&amp;96,정리결과!$J$6:$J$6005,0))="","",INDEX(원본명단!$A$3:$A$6002,MATCH("R"&amp;96,정리결과!$J$6:$J$6005,0))),"")</f>
        <v/>
      </c>
      <c r="B101" s="10" t="str">
        <f aca="false">IF($A101="","",IFERROR(IF(INDEX(원본명단!$B$3:$B$6002,MATCH("R"&amp;96,정리결과!$J$6:$J$6005,0))="","",INDEX(원본명단!$B$3:$B$6002,MATCH("R"&amp;96,정리결과!$J$6:$J$6005,0))),""))</f>
        <v/>
      </c>
      <c r="C101" s="10" t="str">
        <f aca="false">IF($A101="","",IFERROR(IF(INDEX(원본명단!$C$3:$C$6002,MATCH("R"&amp;96,정리결과!$J$6:$J$6005,0))="","",INDEX(원본명단!$C$3:$C$6002,MATCH("R"&amp;96,정리결과!$J$6:$J$6005,0))),""))</f>
        <v/>
      </c>
      <c r="D101" s="10" t="str">
        <f aca="false">IF($A101="","",IFERROR(IF(INDEX(원본명단!$D$3:$D$6002,MATCH("R"&amp;96,정리결과!$J$6:$J$6005,0))="","",INDEX(원본명단!$D$3:$D$6002,MATCH("R"&amp;96,정리결과!$J$6:$J$6005,0))),""))</f>
        <v/>
      </c>
      <c r="E101" s="10" t="str">
        <f aca="false">IF($A101="","",IFERROR(IF(INDEX(원본명단!$E$3:$E$6002,MATCH("R"&amp;96,정리결과!$J$6:$J$6005,0))="","",INDEX(원본명단!$E$3:$E$6002,MATCH("R"&amp;96,정리결과!$J$6:$J$6005,0))),""))</f>
        <v/>
      </c>
      <c r="F101" s="10" t="str">
        <f aca="false">IF($A101="","",IFERROR(IF(INDEX(원본명단!$F$3:$F$6002,MATCH("R"&amp;96,정리결과!$J$6:$J$6005,0))="","",INDEX(원본명단!$F$3:$F$6002,MATCH("R"&amp;96,정리결과!$J$6:$J$6005,0))),""))</f>
        <v/>
      </c>
      <c r="H101" s="14" t="b">
        <f aca="false">IF(중복검사!$A99="",FALSE(),중복검사!$J99="유지")</f>
        <v>0</v>
      </c>
      <c r="I101" s="5" t="str">
        <f aca="false">IF($H101=FALSE(),"",COUNTIF($H$6:$H101,TRUE()))</f>
        <v/>
      </c>
      <c r="J101" s="5" t="str">
        <f aca="false">IF($I101="","","R"&amp;$I101)</f>
        <v/>
      </c>
    </row>
    <row r="102" customFormat="false" ht="15" hidden="false" customHeight="true" outlineLevel="0" collapsed="false">
      <c r="A102" s="10" t="str">
        <f aca="false">IFERROR(IF(INDEX(원본명단!$A$3:$A$6002,MATCH("R"&amp;97,정리결과!$J$6:$J$6005,0))="","",INDEX(원본명단!$A$3:$A$6002,MATCH("R"&amp;97,정리결과!$J$6:$J$6005,0))),"")</f>
        <v/>
      </c>
      <c r="B102" s="10" t="str">
        <f aca="false">IF($A102="","",IFERROR(IF(INDEX(원본명단!$B$3:$B$6002,MATCH("R"&amp;97,정리결과!$J$6:$J$6005,0))="","",INDEX(원본명단!$B$3:$B$6002,MATCH("R"&amp;97,정리결과!$J$6:$J$6005,0))),""))</f>
        <v/>
      </c>
      <c r="C102" s="10" t="str">
        <f aca="false">IF($A102="","",IFERROR(IF(INDEX(원본명단!$C$3:$C$6002,MATCH("R"&amp;97,정리결과!$J$6:$J$6005,0))="","",INDEX(원본명단!$C$3:$C$6002,MATCH("R"&amp;97,정리결과!$J$6:$J$6005,0))),""))</f>
        <v/>
      </c>
      <c r="D102" s="10" t="str">
        <f aca="false">IF($A102="","",IFERROR(IF(INDEX(원본명단!$D$3:$D$6002,MATCH("R"&amp;97,정리결과!$J$6:$J$6005,0))="","",INDEX(원본명단!$D$3:$D$6002,MATCH("R"&amp;97,정리결과!$J$6:$J$6005,0))),""))</f>
        <v/>
      </c>
      <c r="E102" s="10" t="str">
        <f aca="false">IF($A102="","",IFERROR(IF(INDEX(원본명단!$E$3:$E$6002,MATCH("R"&amp;97,정리결과!$J$6:$J$6005,0))="","",INDEX(원본명단!$E$3:$E$6002,MATCH("R"&amp;97,정리결과!$J$6:$J$6005,0))),""))</f>
        <v/>
      </c>
      <c r="F102" s="10" t="str">
        <f aca="false">IF($A102="","",IFERROR(IF(INDEX(원본명단!$F$3:$F$6002,MATCH("R"&amp;97,정리결과!$J$6:$J$6005,0))="","",INDEX(원본명단!$F$3:$F$6002,MATCH("R"&amp;97,정리결과!$J$6:$J$6005,0))),""))</f>
        <v/>
      </c>
      <c r="H102" s="14" t="b">
        <f aca="false">IF(중복검사!$A100="",FALSE(),중복검사!$J100="유지")</f>
        <v>0</v>
      </c>
      <c r="I102" s="5" t="str">
        <f aca="false">IF($H102=FALSE(),"",COUNTIF($H$6:$H102,TRUE()))</f>
        <v/>
      </c>
      <c r="J102" s="5" t="str">
        <f aca="false">IF($I102="","","R"&amp;$I102)</f>
        <v/>
      </c>
    </row>
    <row r="103" customFormat="false" ht="15" hidden="false" customHeight="true" outlineLevel="0" collapsed="false">
      <c r="A103" s="10" t="str">
        <f aca="false">IFERROR(IF(INDEX(원본명단!$A$3:$A$6002,MATCH("R"&amp;98,정리결과!$J$6:$J$6005,0))="","",INDEX(원본명단!$A$3:$A$6002,MATCH("R"&amp;98,정리결과!$J$6:$J$6005,0))),"")</f>
        <v/>
      </c>
      <c r="B103" s="10" t="str">
        <f aca="false">IF($A103="","",IFERROR(IF(INDEX(원본명단!$B$3:$B$6002,MATCH("R"&amp;98,정리결과!$J$6:$J$6005,0))="","",INDEX(원본명단!$B$3:$B$6002,MATCH("R"&amp;98,정리결과!$J$6:$J$6005,0))),""))</f>
        <v/>
      </c>
      <c r="C103" s="10" t="str">
        <f aca="false">IF($A103="","",IFERROR(IF(INDEX(원본명단!$C$3:$C$6002,MATCH("R"&amp;98,정리결과!$J$6:$J$6005,0))="","",INDEX(원본명단!$C$3:$C$6002,MATCH("R"&amp;98,정리결과!$J$6:$J$6005,0))),""))</f>
        <v/>
      </c>
      <c r="D103" s="10" t="str">
        <f aca="false">IF($A103="","",IFERROR(IF(INDEX(원본명단!$D$3:$D$6002,MATCH("R"&amp;98,정리결과!$J$6:$J$6005,0))="","",INDEX(원본명단!$D$3:$D$6002,MATCH("R"&amp;98,정리결과!$J$6:$J$6005,0))),""))</f>
        <v/>
      </c>
      <c r="E103" s="10" t="str">
        <f aca="false">IF($A103="","",IFERROR(IF(INDEX(원본명단!$E$3:$E$6002,MATCH("R"&amp;98,정리결과!$J$6:$J$6005,0))="","",INDEX(원본명단!$E$3:$E$6002,MATCH("R"&amp;98,정리결과!$J$6:$J$6005,0))),""))</f>
        <v/>
      </c>
      <c r="F103" s="10" t="str">
        <f aca="false">IF($A103="","",IFERROR(IF(INDEX(원본명단!$F$3:$F$6002,MATCH("R"&amp;98,정리결과!$J$6:$J$6005,0))="","",INDEX(원본명단!$F$3:$F$6002,MATCH("R"&amp;98,정리결과!$J$6:$J$6005,0))),""))</f>
        <v/>
      </c>
      <c r="H103" s="14" t="b">
        <f aca="false">IF(중복검사!$A101="",FALSE(),중복검사!$J101="유지")</f>
        <v>0</v>
      </c>
      <c r="I103" s="5" t="str">
        <f aca="false">IF($H103=FALSE(),"",COUNTIF($H$6:$H103,TRUE()))</f>
        <v/>
      </c>
      <c r="J103" s="5" t="str">
        <f aca="false">IF($I103="","","R"&amp;$I103)</f>
        <v/>
      </c>
    </row>
    <row r="104" customFormat="false" ht="15" hidden="false" customHeight="true" outlineLevel="0" collapsed="false">
      <c r="A104" s="10" t="str">
        <f aca="false">IFERROR(IF(INDEX(원본명단!$A$3:$A$6002,MATCH("R"&amp;99,정리결과!$J$6:$J$6005,0))="","",INDEX(원본명단!$A$3:$A$6002,MATCH("R"&amp;99,정리결과!$J$6:$J$6005,0))),"")</f>
        <v/>
      </c>
      <c r="B104" s="10" t="str">
        <f aca="false">IF($A104="","",IFERROR(IF(INDEX(원본명단!$B$3:$B$6002,MATCH("R"&amp;99,정리결과!$J$6:$J$6005,0))="","",INDEX(원본명단!$B$3:$B$6002,MATCH("R"&amp;99,정리결과!$J$6:$J$6005,0))),""))</f>
        <v/>
      </c>
      <c r="C104" s="10" t="str">
        <f aca="false">IF($A104="","",IFERROR(IF(INDEX(원본명단!$C$3:$C$6002,MATCH("R"&amp;99,정리결과!$J$6:$J$6005,0))="","",INDEX(원본명단!$C$3:$C$6002,MATCH("R"&amp;99,정리결과!$J$6:$J$6005,0))),""))</f>
        <v/>
      </c>
      <c r="D104" s="10" t="str">
        <f aca="false">IF($A104="","",IFERROR(IF(INDEX(원본명단!$D$3:$D$6002,MATCH("R"&amp;99,정리결과!$J$6:$J$6005,0))="","",INDEX(원본명단!$D$3:$D$6002,MATCH("R"&amp;99,정리결과!$J$6:$J$6005,0))),""))</f>
        <v/>
      </c>
      <c r="E104" s="10" t="str">
        <f aca="false">IF($A104="","",IFERROR(IF(INDEX(원본명단!$E$3:$E$6002,MATCH("R"&amp;99,정리결과!$J$6:$J$6005,0))="","",INDEX(원본명단!$E$3:$E$6002,MATCH("R"&amp;99,정리결과!$J$6:$J$6005,0))),""))</f>
        <v/>
      </c>
      <c r="F104" s="10" t="str">
        <f aca="false">IF($A104="","",IFERROR(IF(INDEX(원본명단!$F$3:$F$6002,MATCH("R"&amp;99,정리결과!$J$6:$J$6005,0))="","",INDEX(원본명단!$F$3:$F$6002,MATCH("R"&amp;99,정리결과!$J$6:$J$6005,0))),""))</f>
        <v/>
      </c>
      <c r="H104" s="14" t="b">
        <f aca="false">IF(중복검사!$A102="",FALSE(),중복검사!$J102="유지")</f>
        <v>0</v>
      </c>
      <c r="I104" s="5" t="str">
        <f aca="false">IF($H104=FALSE(),"",COUNTIF($H$6:$H104,TRUE()))</f>
        <v/>
      </c>
      <c r="J104" s="5" t="str">
        <f aca="false">IF($I104="","","R"&amp;$I104)</f>
        <v/>
      </c>
    </row>
    <row r="105" customFormat="false" ht="15" hidden="false" customHeight="true" outlineLevel="0" collapsed="false">
      <c r="A105" s="10" t="str">
        <f aca="false">IFERROR(IF(INDEX(원본명단!$A$3:$A$6002,MATCH("R"&amp;100,정리결과!$J$6:$J$6005,0))="","",INDEX(원본명단!$A$3:$A$6002,MATCH("R"&amp;100,정리결과!$J$6:$J$6005,0))),"")</f>
        <v/>
      </c>
      <c r="B105" s="10" t="str">
        <f aca="false">IF($A105="","",IFERROR(IF(INDEX(원본명단!$B$3:$B$6002,MATCH("R"&amp;100,정리결과!$J$6:$J$6005,0))="","",INDEX(원본명단!$B$3:$B$6002,MATCH("R"&amp;100,정리결과!$J$6:$J$6005,0))),""))</f>
        <v/>
      </c>
      <c r="C105" s="10" t="str">
        <f aca="false">IF($A105="","",IFERROR(IF(INDEX(원본명단!$C$3:$C$6002,MATCH("R"&amp;100,정리결과!$J$6:$J$6005,0))="","",INDEX(원본명단!$C$3:$C$6002,MATCH("R"&amp;100,정리결과!$J$6:$J$6005,0))),""))</f>
        <v/>
      </c>
      <c r="D105" s="10" t="str">
        <f aca="false">IF($A105="","",IFERROR(IF(INDEX(원본명단!$D$3:$D$6002,MATCH("R"&amp;100,정리결과!$J$6:$J$6005,0))="","",INDEX(원본명단!$D$3:$D$6002,MATCH("R"&amp;100,정리결과!$J$6:$J$6005,0))),""))</f>
        <v/>
      </c>
      <c r="E105" s="10" t="str">
        <f aca="false">IF($A105="","",IFERROR(IF(INDEX(원본명단!$E$3:$E$6002,MATCH("R"&amp;100,정리결과!$J$6:$J$6005,0))="","",INDEX(원본명단!$E$3:$E$6002,MATCH("R"&amp;100,정리결과!$J$6:$J$6005,0))),""))</f>
        <v/>
      </c>
      <c r="F105" s="10" t="str">
        <f aca="false">IF($A105="","",IFERROR(IF(INDEX(원본명단!$F$3:$F$6002,MATCH("R"&amp;100,정리결과!$J$6:$J$6005,0))="","",INDEX(원본명단!$F$3:$F$6002,MATCH("R"&amp;100,정리결과!$J$6:$J$6005,0))),""))</f>
        <v/>
      </c>
      <c r="H105" s="14" t="b">
        <f aca="false">IF(중복검사!$A103="",FALSE(),중복검사!$J103="유지")</f>
        <v>0</v>
      </c>
      <c r="I105" s="5" t="str">
        <f aca="false">IF($H105=FALSE(),"",COUNTIF($H$6:$H105,TRUE()))</f>
        <v/>
      </c>
      <c r="J105" s="5" t="str">
        <f aca="false">IF($I105="","","R"&amp;$I105)</f>
        <v/>
      </c>
    </row>
    <row r="106" customFormat="false" ht="15" hidden="false" customHeight="true" outlineLevel="0" collapsed="false">
      <c r="A106" s="10" t="str">
        <f aca="false">IFERROR(IF(INDEX(원본명단!$A$3:$A$6002,MATCH("R"&amp;101,정리결과!$J$6:$J$6005,0))="","",INDEX(원본명단!$A$3:$A$6002,MATCH("R"&amp;101,정리결과!$J$6:$J$6005,0))),"")</f>
        <v/>
      </c>
      <c r="B106" s="10" t="str">
        <f aca="false">IF($A106="","",IFERROR(IF(INDEX(원본명단!$B$3:$B$6002,MATCH("R"&amp;101,정리결과!$J$6:$J$6005,0))="","",INDEX(원본명단!$B$3:$B$6002,MATCH("R"&amp;101,정리결과!$J$6:$J$6005,0))),""))</f>
        <v/>
      </c>
      <c r="C106" s="10" t="str">
        <f aca="false">IF($A106="","",IFERROR(IF(INDEX(원본명단!$C$3:$C$6002,MATCH("R"&amp;101,정리결과!$J$6:$J$6005,0))="","",INDEX(원본명단!$C$3:$C$6002,MATCH("R"&amp;101,정리결과!$J$6:$J$6005,0))),""))</f>
        <v/>
      </c>
      <c r="D106" s="10" t="str">
        <f aca="false">IF($A106="","",IFERROR(IF(INDEX(원본명단!$D$3:$D$6002,MATCH("R"&amp;101,정리결과!$J$6:$J$6005,0))="","",INDEX(원본명단!$D$3:$D$6002,MATCH("R"&amp;101,정리결과!$J$6:$J$6005,0))),""))</f>
        <v/>
      </c>
      <c r="E106" s="10" t="str">
        <f aca="false">IF($A106="","",IFERROR(IF(INDEX(원본명단!$E$3:$E$6002,MATCH("R"&amp;101,정리결과!$J$6:$J$6005,0))="","",INDEX(원본명단!$E$3:$E$6002,MATCH("R"&amp;101,정리결과!$J$6:$J$6005,0))),""))</f>
        <v/>
      </c>
      <c r="F106" s="10" t="str">
        <f aca="false">IF($A106="","",IFERROR(IF(INDEX(원본명단!$F$3:$F$6002,MATCH("R"&amp;101,정리결과!$J$6:$J$6005,0))="","",INDEX(원본명단!$F$3:$F$6002,MATCH("R"&amp;101,정리결과!$J$6:$J$6005,0))),""))</f>
        <v/>
      </c>
      <c r="H106" s="14" t="b">
        <f aca="false">IF(중복검사!$A104="",FALSE(),중복검사!$J104="유지")</f>
        <v>0</v>
      </c>
      <c r="I106" s="5" t="str">
        <f aca="false">IF($H106=FALSE(),"",COUNTIF($H$6:$H106,TRUE()))</f>
        <v/>
      </c>
      <c r="J106" s="5" t="str">
        <f aca="false">IF($I106="","","R"&amp;$I106)</f>
        <v/>
      </c>
    </row>
    <row r="107" customFormat="false" ht="15" hidden="false" customHeight="true" outlineLevel="0" collapsed="false">
      <c r="A107" s="10" t="str">
        <f aca="false">IFERROR(IF(INDEX(원본명단!$A$3:$A$6002,MATCH("R"&amp;102,정리결과!$J$6:$J$6005,0))="","",INDEX(원본명단!$A$3:$A$6002,MATCH("R"&amp;102,정리결과!$J$6:$J$6005,0))),"")</f>
        <v/>
      </c>
      <c r="B107" s="10" t="str">
        <f aca="false">IF($A107="","",IFERROR(IF(INDEX(원본명단!$B$3:$B$6002,MATCH("R"&amp;102,정리결과!$J$6:$J$6005,0))="","",INDEX(원본명단!$B$3:$B$6002,MATCH("R"&amp;102,정리결과!$J$6:$J$6005,0))),""))</f>
        <v/>
      </c>
      <c r="C107" s="10" t="str">
        <f aca="false">IF($A107="","",IFERROR(IF(INDEX(원본명단!$C$3:$C$6002,MATCH("R"&amp;102,정리결과!$J$6:$J$6005,0))="","",INDEX(원본명단!$C$3:$C$6002,MATCH("R"&amp;102,정리결과!$J$6:$J$6005,0))),""))</f>
        <v/>
      </c>
      <c r="D107" s="10" t="str">
        <f aca="false">IF($A107="","",IFERROR(IF(INDEX(원본명단!$D$3:$D$6002,MATCH("R"&amp;102,정리결과!$J$6:$J$6005,0))="","",INDEX(원본명단!$D$3:$D$6002,MATCH("R"&amp;102,정리결과!$J$6:$J$6005,0))),""))</f>
        <v/>
      </c>
      <c r="E107" s="10" t="str">
        <f aca="false">IF($A107="","",IFERROR(IF(INDEX(원본명단!$E$3:$E$6002,MATCH("R"&amp;102,정리결과!$J$6:$J$6005,0))="","",INDEX(원본명단!$E$3:$E$6002,MATCH("R"&amp;102,정리결과!$J$6:$J$6005,0))),""))</f>
        <v/>
      </c>
      <c r="F107" s="10" t="str">
        <f aca="false">IF($A107="","",IFERROR(IF(INDEX(원본명단!$F$3:$F$6002,MATCH("R"&amp;102,정리결과!$J$6:$J$6005,0))="","",INDEX(원본명단!$F$3:$F$6002,MATCH("R"&amp;102,정리결과!$J$6:$J$6005,0))),""))</f>
        <v/>
      </c>
      <c r="H107" s="14" t="b">
        <f aca="false">IF(중복검사!$A105="",FALSE(),중복검사!$J105="유지")</f>
        <v>0</v>
      </c>
      <c r="I107" s="5" t="str">
        <f aca="false">IF($H107=FALSE(),"",COUNTIF($H$6:$H107,TRUE()))</f>
        <v/>
      </c>
      <c r="J107" s="5" t="str">
        <f aca="false">IF($I107="","","R"&amp;$I107)</f>
        <v/>
      </c>
    </row>
    <row r="108" customFormat="false" ht="15" hidden="false" customHeight="true" outlineLevel="0" collapsed="false">
      <c r="A108" s="10" t="str">
        <f aca="false">IFERROR(IF(INDEX(원본명단!$A$3:$A$6002,MATCH("R"&amp;103,정리결과!$J$6:$J$6005,0))="","",INDEX(원본명단!$A$3:$A$6002,MATCH("R"&amp;103,정리결과!$J$6:$J$6005,0))),"")</f>
        <v/>
      </c>
      <c r="B108" s="10" t="str">
        <f aca="false">IF($A108="","",IFERROR(IF(INDEX(원본명단!$B$3:$B$6002,MATCH("R"&amp;103,정리결과!$J$6:$J$6005,0))="","",INDEX(원본명단!$B$3:$B$6002,MATCH("R"&amp;103,정리결과!$J$6:$J$6005,0))),""))</f>
        <v/>
      </c>
      <c r="C108" s="10" t="str">
        <f aca="false">IF($A108="","",IFERROR(IF(INDEX(원본명단!$C$3:$C$6002,MATCH("R"&amp;103,정리결과!$J$6:$J$6005,0))="","",INDEX(원본명단!$C$3:$C$6002,MATCH("R"&amp;103,정리결과!$J$6:$J$6005,0))),""))</f>
        <v/>
      </c>
      <c r="D108" s="10" t="str">
        <f aca="false">IF($A108="","",IFERROR(IF(INDEX(원본명단!$D$3:$D$6002,MATCH("R"&amp;103,정리결과!$J$6:$J$6005,0))="","",INDEX(원본명단!$D$3:$D$6002,MATCH("R"&amp;103,정리결과!$J$6:$J$6005,0))),""))</f>
        <v/>
      </c>
      <c r="E108" s="10" t="str">
        <f aca="false">IF($A108="","",IFERROR(IF(INDEX(원본명단!$E$3:$E$6002,MATCH("R"&amp;103,정리결과!$J$6:$J$6005,0))="","",INDEX(원본명단!$E$3:$E$6002,MATCH("R"&amp;103,정리결과!$J$6:$J$6005,0))),""))</f>
        <v/>
      </c>
      <c r="F108" s="10" t="str">
        <f aca="false">IF($A108="","",IFERROR(IF(INDEX(원본명단!$F$3:$F$6002,MATCH("R"&amp;103,정리결과!$J$6:$J$6005,0))="","",INDEX(원본명단!$F$3:$F$6002,MATCH("R"&amp;103,정리결과!$J$6:$J$6005,0))),""))</f>
        <v/>
      </c>
      <c r="H108" s="14" t="b">
        <f aca="false">IF(중복검사!$A106="",FALSE(),중복검사!$J106="유지")</f>
        <v>0</v>
      </c>
      <c r="I108" s="5" t="str">
        <f aca="false">IF($H108=FALSE(),"",COUNTIF($H$6:$H108,TRUE()))</f>
        <v/>
      </c>
      <c r="J108" s="5" t="str">
        <f aca="false">IF($I108="","","R"&amp;$I108)</f>
        <v/>
      </c>
    </row>
    <row r="109" customFormat="false" ht="15" hidden="false" customHeight="true" outlineLevel="0" collapsed="false">
      <c r="A109" s="10" t="str">
        <f aca="false">IFERROR(IF(INDEX(원본명단!$A$3:$A$6002,MATCH("R"&amp;104,정리결과!$J$6:$J$6005,0))="","",INDEX(원본명단!$A$3:$A$6002,MATCH("R"&amp;104,정리결과!$J$6:$J$6005,0))),"")</f>
        <v/>
      </c>
      <c r="B109" s="10" t="str">
        <f aca="false">IF($A109="","",IFERROR(IF(INDEX(원본명단!$B$3:$B$6002,MATCH("R"&amp;104,정리결과!$J$6:$J$6005,0))="","",INDEX(원본명단!$B$3:$B$6002,MATCH("R"&amp;104,정리결과!$J$6:$J$6005,0))),""))</f>
        <v/>
      </c>
      <c r="C109" s="10" t="str">
        <f aca="false">IF($A109="","",IFERROR(IF(INDEX(원본명단!$C$3:$C$6002,MATCH("R"&amp;104,정리결과!$J$6:$J$6005,0))="","",INDEX(원본명단!$C$3:$C$6002,MATCH("R"&amp;104,정리결과!$J$6:$J$6005,0))),""))</f>
        <v/>
      </c>
      <c r="D109" s="10" t="str">
        <f aca="false">IF($A109="","",IFERROR(IF(INDEX(원본명단!$D$3:$D$6002,MATCH("R"&amp;104,정리결과!$J$6:$J$6005,0))="","",INDEX(원본명단!$D$3:$D$6002,MATCH("R"&amp;104,정리결과!$J$6:$J$6005,0))),""))</f>
        <v/>
      </c>
      <c r="E109" s="10" t="str">
        <f aca="false">IF($A109="","",IFERROR(IF(INDEX(원본명단!$E$3:$E$6002,MATCH("R"&amp;104,정리결과!$J$6:$J$6005,0))="","",INDEX(원본명단!$E$3:$E$6002,MATCH("R"&amp;104,정리결과!$J$6:$J$6005,0))),""))</f>
        <v/>
      </c>
      <c r="F109" s="10" t="str">
        <f aca="false">IF($A109="","",IFERROR(IF(INDEX(원본명단!$F$3:$F$6002,MATCH("R"&amp;104,정리결과!$J$6:$J$6005,0))="","",INDEX(원본명단!$F$3:$F$6002,MATCH("R"&amp;104,정리결과!$J$6:$J$6005,0))),""))</f>
        <v/>
      </c>
      <c r="H109" s="14" t="b">
        <f aca="false">IF(중복검사!$A107="",FALSE(),중복검사!$J107="유지")</f>
        <v>0</v>
      </c>
      <c r="I109" s="5" t="str">
        <f aca="false">IF($H109=FALSE(),"",COUNTIF($H$6:$H109,TRUE()))</f>
        <v/>
      </c>
      <c r="J109" s="5" t="str">
        <f aca="false">IF($I109="","","R"&amp;$I109)</f>
        <v/>
      </c>
    </row>
    <row r="110" customFormat="false" ht="15" hidden="false" customHeight="true" outlineLevel="0" collapsed="false">
      <c r="A110" s="10" t="str">
        <f aca="false">IFERROR(IF(INDEX(원본명단!$A$3:$A$6002,MATCH("R"&amp;105,정리결과!$J$6:$J$6005,0))="","",INDEX(원본명단!$A$3:$A$6002,MATCH("R"&amp;105,정리결과!$J$6:$J$6005,0))),"")</f>
        <v/>
      </c>
      <c r="B110" s="10" t="str">
        <f aca="false">IF($A110="","",IFERROR(IF(INDEX(원본명단!$B$3:$B$6002,MATCH("R"&amp;105,정리결과!$J$6:$J$6005,0))="","",INDEX(원본명단!$B$3:$B$6002,MATCH("R"&amp;105,정리결과!$J$6:$J$6005,0))),""))</f>
        <v/>
      </c>
      <c r="C110" s="10" t="str">
        <f aca="false">IF($A110="","",IFERROR(IF(INDEX(원본명단!$C$3:$C$6002,MATCH("R"&amp;105,정리결과!$J$6:$J$6005,0))="","",INDEX(원본명단!$C$3:$C$6002,MATCH("R"&amp;105,정리결과!$J$6:$J$6005,0))),""))</f>
        <v/>
      </c>
      <c r="D110" s="10" t="str">
        <f aca="false">IF($A110="","",IFERROR(IF(INDEX(원본명단!$D$3:$D$6002,MATCH("R"&amp;105,정리결과!$J$6:$J$6005,0))="","",INDEX(원본명단!$D$3:$D$6002,MATCH("R"&amp;105,정리결과!$J$6:$J$6005,0))),""))</f>
        <v/>
      </c>
      <c r="E110" s="10" t="str">
        <f aca="false">IF($A110="","",IFERROR(IF(INDEX(원본명단!$E$3:$E$6002,MATCH("R"&amp;105,정리결과!$J$6:$J$6005,0))="","",INDEX(원본명단!$E$3:$E$6002,MATCH("R"&amp;105,정리결과!$J$6:$J$6005,0))),""))</f>
        <v/>
      </c>
      <c r="F110" s="10" t="str">
        <f aca="false">IF($A110="","",IFERROR(IF(INDEX(원본명단!$F$3:$F$6002,MATCH("R"&amp;105,정리결과!$J$6:$J$6005,0))="","",INDEX(원본명단!$F$3:$F$6002,MATCH("R"&amp;105,정리결과!$J$6:$J$6005,0))),""))</f>
        <v/>
      </c>
      <c r="H110" s="14" t="b">
        <f aca="false">IF(중복검사!$A108="",FALSE(),중복검사!$J108="유지")</f>
        <v>0</v>
      </c>
      <c r="I110" s="5" t="str">
        <f aca="false">IF($H110=FALSE(),"",COUNTIF($H$6:$H110,TRUE()))</f>
        <v/>
      </c>
      <c r="J110" s="5" t="str">
        <f aca="false">IF($I110="","","R"&amp;$I110)</f>
        <v/>
      </c>
    </row>
    <row r="111" customFormat="false" ht="15" hidden="false" customHeight="true" outlineLevel="0" collapsed="false">
      <c r="A111" s="10" t="str">
        <f aca="false">IFERROR(IF(INDEX(원본명단!$A$3:$A$6002,MATCH("R"&amp;106,정리결과!$J$6:$J$6005,0))="","",INDEX(원본명단!$A$3:$A$6002,MATCH("R"&amp;106,정리결과!$J$6:$J$6005,0))),"")</f>
        <v/>
      </c>
      <c r="B111" s="10" t="str">
        <f aca="false">IF($A111="","",IFERROR(IF(INDEX(원본명단!$B$3:$B$6002,MATCH("R"&amp;106,정리결과!$J$6:$J$6005,0))="","",INDEX(원본명단!$B$3:$B$6002,MATCH("R"&amp;106,정리결과!$J$6:$J$6005,0))),""))</f>
        <v/>
      </c>
      <c r="C111" s="10" t="str">
        <f aca="false">IF($A111="","",IFERROR(IF(INDEX(원본명단!$C$3:$C$6002,MATCH("R"&amp;106,정리결과!$J$6:$J$6005,0))="","",INDEX(원본명단!$C$3:$C$6002,MATCH("R"&amp;106,정리결과!$J$6:$J$6005,0))),""))</f>
        <v/>
      </c>
      <c r="D111" s="10" t="str">
        <f aca="false">IF($A111="","",IFERROR(IF(INDEX(원본명단!$D$3:$D$6002,MATCH("R"&amp;106,정리결과!$J$6:$J$6005,0))="","",INDEX(원본명단!$D$3:$D$6002,MATCH("R"&amp;106,정리결과!$J$6:$J$6005,0))),""))</f>
        <v/>
      </c>
      <c r="E111" s="10" t="str">
        <f aca="false">IF($A111="","",IFERROR(IF(INDEX(원본명단!$E$3:$E$6002,MATCH("R"&amp;106,정리결과!$J$6:$J$6005,0))="","",INDEX(원본명단!$E$3:$E$6002,MATCH("R"&amp;106,정리결과!$J$6:$J$6005,0))),""))</f>
        <v/>
      </c>
      <c r="F111" s="10" t="str">
        <f aca="false">IF($A111="","",IFERROR(IF(INDEX(원본명단!$F$3:$F$6002,MATCH("R"&amp;106,정리결과!$J$6:$J$6005,0))="","",INDEX(원본명단!$F$3:$F$6002,MATCH("R"&amp;106,정리결과!$J$6:$J$6005,0))),""))</f>
        <v/>
      </c>
      <c r="H111" s="14" t="b">
        <f aca="false">IF(중복검사!$A109="",FALSE(),중복검사!$J109="유지")</f>
        <v>0</v>
      </c>
      <c r="I111" s="5" t="str">
        <f aca="false">IF($H111=FALSE(),"",COUNTIF($H$6:$H111,TRUE()))</f>
        <v/>
      </c>
      <c r="J111" s="5" t="str">
        <f aca="false">IF($I111="","","R"&amp;$I111)</f>
        <v/>
      </c>
    </row>
    <row r="112" customFormat="false" ht="15" hidden="false" customHeight="true" outlineLevel="0" collapsed="false">
      <c r="A112" s="10" t="str">
        <f aca="false">IFERROR(IF(INDEX(원본명단!$A$3:$A$6002,MATCH("R"&amp;107,정리결과!$J$6:$J$6005,0))="","",INDEX(원본명단!$A$3:$A$6002,MATCH("R"&amp;107,정리결과!$J$6:$J$6005,0))),"")</f>
        <v/>
      </c>
      <c r="B112" s="10" t="str">
        <f aca="false">IF($A112="","",IFERROR(IF(INDEX(원본명단!$B$3:$B$6002,MATCH("R"&amp;107,정리결과!$J$6:$J$6005,0))="","",INDEX(원본명단!$B$3:$B$6002,MATCH("R"&amp;107,정리결과!$J$6:$J$6005,0))),""))</f>
        <v/>
      </c>
      <c r="C112" s="10" t="str">
        <f aca="false">IF($A112="","",IFERROR(IF(INDEX(원본명단!$C$3:$C$6002,MATCH("R"&amp;107,정리결과!$J$6:$J$6005,0))="","",INDEX(원본명단!$C$3:$C$6002,MATCH("R"&amp;107,정리결과!$J$6:$J$6005,0))),""))</f>
        <v/>
      </c>
      <c r="D112" s="10" t="str">
        <f aca="false">IF($A112="","",IFERROR(IF(INDEX(원본명단!$D$3:$D$6002,MATCH("R"&amp;107,정리결과!$J$6:$J$6005,0))="","",INDEX(원본명단!$D$3:$D$6002,MATCH("R"&amp;107,정리결과!$J$6:$J$6005,0))),""))</f>
        <v/>
      </c>
      <c r="E112" s="10" t="str">
        <f aca="false">IF($A112="","",IFERROR(IF(INDEX(원본명단!$E$3:$E$6002,MATCH("R"&amp;107,정리결과!$J$6:$J$6005,0))="","",INDEX(원본명단!$E$3:$E$6002,MATCH("R"&amp;107,정리결과!$J$6:$J$6005,0))),""))</f>
        <v/>
      </c>
      <c r="F112" s="10" t="str">
        <f aca="false">IF($A112="","",IFERROR(IF(INDEX(원본명단!$F$3:$F$6002,MATCH("R"&amp;107,정리결과!$J$6:$J$6005,0))="","",INDEX(원본명단!$F$3:$F$6002,MATCH("R"&amp;107,정리결과!$J$6:$J$6005,0))),""))</f>
        <v/>
      </c>
      <c r="H112" s="14" t="b">
        <f aca="false">IF(중복검사!$A110="",FALSE(),중복검사!$J110="유지")</f>
        <v>0</v>
      </c>
      <c r="I112" s="5" t="str">
        <f aca="false">IF($H112=FALSE(),"",COUNTIF($H$6:$H112,TRUE()))</f>
        <v/>
      </c>
      <c r="J112" s="5" t="str">
        <f aca="false">IF($I112="","","R"&amp;$I112)</f>
        <v/>
      </c>
    </row>
    <row r="113" customFormat="false" ht="15" hidden="false" customHeight="true" outlineLevel="0" collapsed="false">
      <c r="A113" s="10" t="str">
        <f aca="false">IFERROR(IF(INDEX(원본명단!$A$3:$A$6002,MATCH("R"&amp;108,정리결과!$J$6:$J$6005,0))="","",INDEX(원본명단!$A$3:$A$6002,MATCH("R"&amp;108,정리결과!$J$6:$J$6005,0))),"")</f>
        <v/>
      </c>
      <c r="B113" s="10" t="str">
        <f aca="false">IF($A113="","",IFERROR(IF(INDEX(원본명단!$B$3:$B$6002,MATCH("R"&amp;108,정리결과!$J$6:$J$6005,0))="","",INDEX(원본명단!$B$3:$B$6002,MATCH("R"&amp;108,정리결과!$J$6:$J$6005,0))),""))</f>
        <v/>
      </c>
      <c r="C113" s="10" t="str">
        <f aca="false">IF($A113="","",IFERROR(IF(INDEX(원본명단!$C$3:$C$6002,MATCH("R"&amp;108,정리결과!$J$6:$J$6005,0))="","",INDEX(원본명단!$C$3:$C$6002,MATCH("R"&amp;108,정리결과!$J$6:$J$6005,0))),""))</f>
        <v/>
      </c>
      <c r="D113" s="10" t="str">
        <f aca="false">IF($A113="","",IFERROR(IF(INDEX(원본명단!$D$3:$D$6002,MATCH("R"&amp;108,정리결과!$J$6:$J$6005,0))="","",INDEX(원본명단!$D$3:$D$6002,MATCH("R"&amp;108,정리결과!$J$6:$J$6005,0))),""))</f>
        <v/>
      </c>
      <c r="E113" s="10" t="str">
        <f aca="false">IF($A113="","",IFERROR(IF(INDEX(원본명단!$E$3:$E$6002,MATCH("R"&amp;108,정리결과!$J$6:$J$6005,0))="","",INDEX(원본명단!$E$3:$E$6002,MATCH("R"&amp;108,정리결과!$J$6:$J$6005,0))),""))</f>
        <v/>
      </c>
      <c r="F113" s="10" t="str">
        <f aca="false">IF($A113="","",IFERROR(IF(INDEX(원본명단!$F$3:$F$6002,MATCH("R"&amp;108,정리결과!$J$6:$J$6005,0))="","",INDEX(원본명단!$F$3:$F$6002,MATCH("R"&amp;108,정리결과!$J$6:$J$6005,0))),""))</f>
        <v/>
      </c>
      <c r="H113" s="14" t="b">
        <f aca="false">IF(중복검사!$A111="",FALSE(),중복검사!$J111="유지")</f>
        <v>0</v>
      </c>
      <c r="I113" s="5" t="str">
        <f aca="false">IF($H113=FALSE(),"",COUNTIF($H$6:$H113,TRUE()))</f>
        <v/>
      </c>
      <c r="J113" s="5" t="str">
        <f aca="false">IF($I113="","","R"&amp;$I113)</f>
        <v/>
      </c>
    </row>
    <row r="114" customFormat="false" ht="15" hidden="false" customHeight="true" outlineLevel="0" collapsed="false">
      <c r="A114" s="10" t="str">
        <f aca="false">IFERROR(IF(INDEX(원본명단!$A$3:$A$6002,MATCH("R"&amp;109,정리결과!$J$6:$J$6005,0))="","",INDEX(원본명단!$A$3:$A$6002,MATCH("R"&amp;109,정리결과!$J$6:$J$6005,0))),"")</f>
        <v/>
      </c>
      <c r="B114" s="10" t="str">
        <f aca="false">IF($A114="","",IFERROR(IF(INDEX(원본명단!$B$3:$B$6002,MATCH("R"&amp;109,정리결과!$J$6:$J$6005,0))="","",INDEX(원본명단!$B$3:$B$6002,MATCH("R"&amp;109,정리결과!$J$6:$J$6005,0))),""))</f>
        <v/>
      </c>
      <c r="C114" s="10" t="str">
        <f aca="false">IF($A114="","",IFERROR(IF(INDEX(원본명단!$C$3:$C$6002,MATCH("R"&amp;109,정리결과!$J$6:$J$6005,0))="","",INDEX(원본명단!$C$3:$C$6002,MATCH("R"&amp;109,정리결과!$J$6:$J$6005,0))),""))</f>
        <v/>
      </c>
      <c r="D114" s="10" t="str">
        <f aca="false">IF($A114="","",IFERROR(IF(INDEX(원본명단!$D$3:$D$6002,MATCH("R"&amp;109,정리결과!$J$6:$J$6005,0))="","",INDEX(원본명단!$D$3:$D$6002,MATCH("R"&amp;109,정리결과!$J$6:$J$6005,0))),""))</f>
        <v/>
      </c>
      <c r="E114" s="10" t="str">
        <f aca="false">IF($A114="","",IFERROR(IF(INDEX(원본명단!$E$3:$E$6002,MATCH("R"&amp;109,정리결과!$J$6:$J$6005,0))="","",INDEX(원본명단!$E$3:$E$6002,MATCH("R"&amp;109,정리결과!$J$6:$J$6005,0))),""))</f>
        <v/>
      </c>
      <c r="F114" s="10" t="str">
        <f aca="false">IF($A114="","",IFERROR(IF(INDEX(원본명단!$F$3:$F$6002,MATCH("R"&amp;109,정리결과!$J$6:$J$6005,0))="","",INDEX(원본명단!$F$3:$F$6002,MATCH("R"&amp;109,정리결과!$J$6:$J$6005,0))),""))</f>
        <v/>
      </c>
      <c r="H114" s="14" t="b">
        <f aca="false">IF(중복검사!$A112="",FALSE(),중복검사!$J112="유지")</f>
        <v>0</v>
      </c>
      <c r="I114" s="5" t="str">
        <f aca="false">IF($H114=FALSE(),"",COUNTIF($H$6:$H114,TRUE()))</f>
        <v/>
      </c>
      <c r="J114" s="5" t="str">
        <f aca="false">IF($I114="","","R"&amp;$I114)</f>
        <v/>
      </c>
    </row>
    <row r="115" customFormat="false" ht="15" hidden="false" customHeight="true" outlineLevel="0" collapsed="false">
      <c r="A115" s="10" t="str">
        <f aca="false">IFERROR(IF(INDEX(원본명단!$A$3:$A$6002,MATCH("R"&amp;110,정리결과!$J$6:$J$6005,0))="","",INDEX(원본명단!$A$3:$A$6002,MATCH("R"&amp;110,정리결과!$J$6:$J$6005,0))),"")</f>
        <v/>
      </c>
      <c r="B115" s="10" t="str">
        <f aca="false">IF($A115="","",IFERROR(IF(INDEX(원본명단!$B$3:$B$6002,MATCH("R"&amp;110,정리결과!$J$6:$J$6005,0))="","",INDEX(원본명단!$B$3:$B$6002,MATCH("R"&amp;110,정리결과!$J$6:$J$6005,0))),""))</f>
        <v/>
      </c>
      <c r="C115" s="10" t="str">
        <f aca="false">IF($A115="","",IFERROR(IF(INDEX(원본명단!$C$3:$C$6002,MATCH("R"&amp;110,정리결과!$J$6:$J$6005,0))="","",INDEX(원본명단!$C$3:$C$6002,MATCH("R"&amp;110,정리결과!$J$6:$J$6005,0))),""))</f>
        <v/>
      </c>
      <c r="D115" s="10" t="str">
        <f aca="false">IF($A115="","",IFERROR(IF(INDEX(원본명단!$D$3:$D$6002,MATCH("R"&amp;110,정리결과!$J$6:$J$6005,0))="","",INDEX(원본명단!$D$3:$D$6002,MATCH("R"&amp;110,정리결과!$J$6:$J$6005,0))),""))</f>
        <v/>
      </c>
      <c r="E115" s="10" t="str">
        <f aca="false">IF($A115="","",IFERROR(IF(INDEX(원본명단!$E$3:$E$6002,MATCH("R"&amp;110,정리결과!$J$6:$J$6005,0))="","",INDEX(원본명단!$E$3:$E$6002,MATCH("R"&amp;110,정리결과!$J$6:$J$6005,0))),""))</f>
        <v/>
      </c>
      <c r="F115" s="10" t="str">
        <f aca="false">IF($A115="","",IFERROR(IF(INDEX(원본명단!$F$3:$F$6002,MATCH("R"&amp;110,정리결과!$J$6:$J$6005,0))="","",INDEX(원본명단!$F$3:$F$6002,MATCH("R"&amp;110,정리결과!$J$6:$J$6005,0))),""))</f>
        <v/>
      </c>
      <c r="H115" s="14" t="b">
        <f aca="false">IF(중복검사!$A113="",FALSE(),중복검사!$J113="유지")</f>
        <v>0</v>
      </c>
      <c r="I115" s="5" t="str">
        <f aca="false">IF($H115=FALSE(),"",COUNTIF($H$6:$H115,TRUE()))</f>
        <v/>
      </c>
      <c r="J115" s="5" t="str">
        <f aca="false">IF($I115="","","R"&amp;$I115)</f>
        <v/>
      </c>
    </row>
    <row r="116" customFormat="false" ht="15" hidden="false" customHeight="true" outlineLevel="0" collapsed="false">
      <c r="A116" s="10" t="str">
        <f aca="false">IFERROR(IF(INDEX(원본명단!$A$3:$A$6002,MATCH("R"&amp;111,정리결과!$J$6:$J$6005,0))="","",INDEX(원본명단!$A$3:$A$6002,MATCH("R"&amp;111,정리결과!$J$6:$J$6005,0))),"")</f>
        <v/>
      </c>
      <c r="B116" s="10" t="str">
        <f aca="false">IF($A116="","",IFERROR(IF(INDEX(원본명단!$B$3:$B$6002,MATCH("R"&amp;111,정리결과!$J$6:$J$6005,0))="","",INDEX(원본명단!$B$3:$B$6002,MATCH("R"&amp;111,정리결과!$J$6:$J$6005,0))),""))</f>
        <v/>
      </c>
      <c r="C116" s="10" t="str">
        <f aca="false">IF($A116="","",IFERROR(IF(INDEX(원본명단!$C$3:$C$6002,MATCH("R"&amp;111,정리결과!$J$6:$J$6005,0))="","",INDEX(원본명단!$C$3:$C$6002,MATCH("R"&amp;111,정리결과!$J$6:$J$6005,0))),""))</f>
        <v/>
      </c>
      <c r="D116" s="10" t="str">
        <f aca="false">IF($A116="","",IFERROR(IF(INDEX(원본명단!$D$3:$D$6002,MATCH("R"&amp;111,정리결과!$J$6:$J$6005,0))="","",INDEX(원본명단!$D$3:$D$6002,MATCH("R"&amp;111,정리결과!$J$6:$J$6005,0))),""))</f>
        <v/>
      </c>
      <c r="E116" s="10" t="str">
        <f aca="false">IF($A116="","",IFERROR(IF(INDEX(원본명단!$E$3:$E$6002,MATCH("R"&amp;111,정리결과!$J$6:$J$6005,0))="","",INDEX(원본명단!$E$3:$E$6002,MATCH("R"&amp;111,정리결과!$J$6:$J$6005,0))),""))</f>
        <v/>
      </c>
      <c r="F116" s="10" t="str">
        <f aca="false">IF($A116="","",IFERROR(IF(INDEX(원본명단!$F$3:$F$6002,MATCH("R"&amp;111,정리결과!$J$6:$J$6005,0))="","",INDEX(원본명단!$F$3:$F$6002,MATCH("R"&amp;111,정리결과!$J$6:$J$6005,0))),""))</f>
        <v/>
      </c>
      <c r="H116" s="14" t="b">
        <f aca="false">IF(중복검사!$A114="",FALSE(),중복검사!$J114="유지")</f>
        <v>0</v>
      </c>
      <c r="I116" s="5" t="str">
        <f aca="false">IF($H116=FALSE(),"",COUNTIF($H$6:$H116,TRUE()))</f>
        <v/>
      </c>
      <c r="J116" s="5" t="str">
        <f aca="false">IF($I116="","","R"&amp;$I116)</f>
        <v/>
      </c>
    </row>
    <row r="117" customFormat="false" ht="15" hidden="false" customHeight="true" outlineLevel="0" collapsed="false">
      <c r="A117" s="10" t="str">
        <f aca="false">IFERROR(IF(INDEX(원본명단!$A$3:$A$6002,MATCH("R"&amp;112,정리결과!$J$6:$J$6005,0))="","",INDEX(원본명단!$A$3:$A$6002,MATCH("R"&amp;112,정리결과!$J$6:$J$6005,0))),"")</f>
        <v/>
      </c>
      <c r="B117" s="10" t="str">
        <f aca="false">IF($A117="","",IFERROR(IF(INDEX(원본명단!$B$3:$B$6002,MATCH("R"&amp;112,정리결과!$J$6:$J$6005,0))="","",INDEX(원본명단!$B$3:$B$6002,MATCH("R"&amp;112,정리결과!$J$6:$J$6005,0))),""))</f>
        <v/>
      </c>
      <c r="C117" s="10" t="str">
        <f aca="false">IF($A117="","",IFERROR(IF(INDEX(원본명단!$C$3:$C$6002,MATCH("R"&amp;112,정리결과!$J$6:$J$6005,0))="","",INDEX(원본명단!$C$3:$C$6002,MATCH("R"&amp;112,정리결과!$J$6:$J$6005,0))),""))</f>
        <v/>
      </c>
      <c r="D117" s="10" t="str">
        <f aca="false">IF($A117="","",IFERROR(IF(INDEX(원본명단!$D$3:$D$6002,MATCH("R"&amp;112,정리결과!$J$6:$J$6005,0))="","",INDEX(원본명단!$D$3:$D$6002,MATCH("R"&amp;112,정리결과!$J$6:$J$6005,0))),""))</f>
        <v/>
      </c>
      <c r="E117" s="10" t="str">
        <f aca="false">IF($A117="","",IFERROR(IF(INDEX(원본명단!$E$3:$E$6002,MATCH("R"&amp;112,정리결과!$J$6:$J$6005,0))="","",INDEX(원본명단!$E$3:$E$6002,MATCH("R"&amp;112,정리결과!$J$6:$J$6005,0))),""))</f>
        <v/>
      </c>
      <c r="F117" s="10" t="str">
        <f aca="false">IF($A117="","",IFERROR(IF(INDEX(원본명단!$F$3:$F$6002,MATCH("R"&amp;112,정리결과!$J$6:$J$6005,0))="","",INDEX(원본명단!$F$3:$F$6002,MATCH("R"&amp;112,정리결과!$J$6:$J$6005,0))),""))</f>
        <v/>
      </c>
      <c r="H117" s="14" t="b">
        <f aca="false">IF(중복검사!$A115="",FALSE(),중복검사!$J115="유지")</f>
        <v>0</v>
      </c>
      <c r="I117" s="5" t="str">
        <f aca="false">IF($H117=FALSE(),"",COUNTIF($H$6:$H117,TRUE()))</f>
        <v/>
      </c>
      <c r="J117" s="5" t="str">
        <f aca="false">IF($I117="","","R"&amp;$I117)</f>
        <v/>
      </c>
    </row>
    <row r="118" customFormat="false" ht="15" hidden="false" customHeight="true" outlineLevel="0" collapsed="false">
      <c r="A118" s="10" t="str">
        <f aca="false">IFERROR(IF(INDEX(원본명단!$A$3:$A$6002,MATCH("R"&amp;113,정리결과!$J$6:$J$6005,0))="","",INDEX(원본명단!$A$3:$A$6002,MATCH("R"&amp;113,정리결과!$J$6:$J$6005,0))),"")</f>
        <v/>
      </c>
      <c r="B118" s="10" t="str">
        <f aca="false">IF($A118="","",IFERROR(IF(INDEX(원본명단!$B$3:$B$6002,MATCH("R"&amp;113,정리결과!$J$6:$J$6005,0))="","",INDEX(원본명단!$B$3:$B$6002,MATCH("R"&amp;113,정리결과!$J$6:$J$6005,0))),""))</f>
        <v/>
      </c>
      <c r="C118" s="10" t="str">
        <f aca="false">IF($A118="","",IFERROR(IF(INDEX(원본명단!$C$3:$C$6002,MATCH("R"&amp;113,정리결과!$J$6:$J$6005,0))="","",INDEX(원본명단!$C$3:$C$6002,MATCH("R"&amp;113,정리결과!$J$6:$J$6005,0))),""))</f>
        <v/>
      </c>
      <c r="D118" s="10" t="str">
        <f aca="false">IF($A118="","",IFERROR(IF(INDEX(원본명단!$D$3:$D$6002,MATCH("R"&amp;113,정리결과!$J$6:$J$6005,0))="","",INDEX(원본명단!$D$3:$D$6002,MATCH("R"&amp;113,정리결과!$J$6:$J$6005,0))),""))</f>
        <v/>
      </c>
      <c r="E118" s="10" t="str">
        <f aca="false">IF($A118="","",IFERROR(IF(INDEX(원본명단!$E$3:$E$6002,MATCH("R"&amp;113,정리결과!$J$6:$J$6005,0))="","",INDEX(원본명단!$E$3:$E$6002,MATCH("R"&amp;113,정리결과!$J$6:$J$6005,0))),""))</f>
        <v/>
      </c>
      <c r="F118" s="10" t="str">
        <f aca="false">IF($A118="","",IFERROR(IF(INDEX(원본명단!$F$3:$F$6002,MATCH("R"&amp;113,정리결과!$J$6:$J$6005,0))="","",INDEX(원본명단!$F$3:$F$6002,MATCH("R"&amp;113,정리결과!$J$6:$J$6005,0))),""))</f>
        <v/>
      </c>
      <c r="H118" s="14" t="b">
        <f aca="false">IF(중복검사!$A116="",FALSE(),중복검사!$J116="유지")</f>
        <v>0</v>
      </c>
      <c r="I118" s="5" t="str">
        <f aca="false">IF($H118=FALSE(),"",COUNTIF($H$6:$H118,TRUE()))</f>
        <v/>
      </c>
      <c r="J118" s="5" t="str">
        <f aca="false">IF($I118="","","R"&amp;$I118)</f>
        <v/>
      </c>
    </row>
    <row r="119" customFormat="false" ht="15" hidden="false" customHeight="true" outlineLevel="0" collapsed="false">
      <c r="A119" s="10" t="str">
        <f aca="false">IFERROR(IF(INDEX(원본명단!$A$3:$A$6002,MATCH("R"&amp;114,정리결과!$J$6:$J$6005,0))="","",INDEX(원본명단!$A$3:$A$6002,MATCH("R"&amp;114,정리결과!$J$6:$J$6005,0))),"")</f>
        <v/>
      </c>
      <c r="B119" s="10" t="str">
        <f aca="false">IF($A119="","",IFERROR(IF(INDEX(원본명단!$B$3:$B$6002,MATCH("R"&amp;114,정리결과!$J$6:$J$6005,0))="","",INDEX(원본명단!$B$3:$B$6002,MATCH("R"&amp;114,정리결과!$J$6:$J$6005,0))),""))</f>
        <v/>
      </c>
      <c r="C119" s="10" t="str">
        <f aca="false">IF($A119="","",IFERROR(IF(INDEX(원본명단!$C$3:$C$6002,MATCH("R"&amp;114,정리결과!$J$6:$J$6005,0))="","",INDEX(원본명단!$C$3:$C$6002,MATCH("R"&amp;114,정리결과!$J$6:$J$6005,0))),""))</f>
        <v/>
      </c>
      <c r="D119" s="10" t="str">
        <f aca="false">IF($A119="","",IFERROR(IF(INDEX(원본명단!$D$3:$D$6002,MATCH("R"&amp;114,정리결과!$J$6:$J$6005,0))="","",INDEX(원본명단!$D$3:$D$6002,MATCH("R"&amp;114,정리결과!$J$6:$J$6005,0))),""))</f>
        <v/>
      </c>
      <c r="E119" s="10" t="str">
        <f aca="false">IF($A119="","",IFERROR(IF(INDEX(원본명단!$E$3:$E$6002,MATCH("R"&amp;114,정리결과!$J$6:$J$6005,0))="","",INDEX(원본명단!$E$3:$E$6002,MATCH("R"&amp;114,정리결과!$J$6:$J$6005,0))),""))</f>
        <v/>
      </c>
      <c r="F119" s="10" t="str">
        <f aca="false">IF($A119="","",IFERROR(IF(INDEX(원본명단!$F$3:$F$6002,MATCH("R"&amp;114,정리결과!$J$6:$J$6005,0))="","",INDEX(원본명단!$F$3:$F$6002,MATCH("R"&amp;114,정리결과!$J$6:$J$6005,0))),""))</f>
        <v/>
      </c>
      <c r="H119" s="14" t="b">
        <f aca="false">IF(중복검사!$A117="",FALSE(),중복검사!$J117="유지")</f>
        <v>0</v>
      </c>
      <c r="I119" s="5" t="str">
        <f aca="false">IF($H119=FALSE(),"",COUNTIF($H$6:$H119,TRUE()))</f>
        <v/>
      </c>
      <c r="J119" s="5" t="str">
        <f aca="false">IF($I119="","","R"&amp;$I119)</f>
        <v/>
      </c>
    </row>
    <row r="120" customFormat="false" ht="15" hidden="false" customHeight="true" outlineLevel="0" collapsed="false">
      <c r="A120" s="10" t="str">
        <f aca="false">IFERROR(IF(INDEX(원본명단!$A$3:$A$6002,MATCH("R"&amp;115,정리결과!$J$6:$J$6005,0))="","",INDEX(원본명단!$A$3:$A$6002,MATCH("R"&amp;115,정리결과!$J$6:$J$6005,0))),"")</f>
        <v/>
      </c>
      <c r="B120" s="10" t="str">
        <f aca="false">IF($A120="","",IFERROR(IF(INDEX(원본명단!$B$3:$B$6002,MATCH("R"&amp;115,정리결과!$J$6:$J$6005,0))="","",INDEX(원본명단!$B$3:$B$6002,MATCH("R"&amp;115,정리결과!$J$6:$J$6005,0))),""))</f>
        <v/>
      </c>
      <c r="C120" s="10" t="str">
        <f aca="false">IF($A120="","",IFERROR(IF(INDEX(원본명단!$C$3:$C$6002,MATCH("R"&amp;115,정리결과!$J$6:$J$6005,0))="","",INDEX(원본명단!$C$3:$C$6002,MATCH("R"&amp;115,정리결과!$J$6:$J$6005,0))),""))</f>
        <v/>
      </c>
      <c r="D120" s="10" t="str">
        <f aca="false">IF($A120="","",IFERROR(IF(INDEX(원본명단!$D$3:$D$6002,MATCH("R"&amp;115,정리결과!$J$6:$J$6005,0))="","",INDEX(원본명단!$D$3:$D$6002,MATCH("R"&amp;115,정리결과!$J$6:$J$6005,0))),""))</f>
        <v/>
      </c>
      <c r="E120" s="10" t="str">
        <f aca="false">IF($A120="","",IFERROR(IF(INDEX(원본명단!$E$3:$E$6002,MATCH("R"&amp;115,정리결과!$J$6:$J$6005,0))="","",INDEX(원본명단!$E$3:$E$6002,MATCH("R"&amp;115,정리결과!$J$6:$J$6005,0))),""))</f>
        <v/>
      </c>
      <c r="F120" s="10" t="str">
        <f aca="false">IF($A120="","",IFERROR(IF(INDEX(원본명단!$F$3:$F$6002,MATCH("R"&amp;115,정리결과!$J$6:$J$6005,0))="","",INDEX(원본명단!$F$3:$F$6002,MATCH("R"&amp;115,정리결과!$J$6:$J$6005,0))),""))</f>
        <v/>
      </c>
      <c r="H120" s="14" t="b">
        <f aca="false">IF(중복검사!$A118="",FALSE(),중복검사!$J118="유지")</f>
        <v>0</v>
      </c>
      <c r="I120" s="5" t="str">
        <f aca="false">IF($H120=FALSE(),"",COUNTIF($H$6:$H120,TRUE()))</f>
        <v/>
      </c>
      <c r="J120" s="5" t="str">
        <f aca="false">IF($I120="","","R"&amp;$I120)</f>
        <v/>
      </c>
    </row>
    <row r="121" customFormat="false" ht="15" hidden="false" customHeight="true" outlineLevel="0" collapsed="false">
      <c r="A121" s="10" t="str">
        <f aca="false">IFERROR(IF(INDEX(원본명단!$A$3:$A$6002,MATCH("R"&amp;116,정리결과!$J$6:$J$6005,0))="","",INDEX(원본명단!$A$3:$A$6002,MATCH("R"&amp;116,정리결과!$J$6:$J$6005,0))),"")</f>
        <v/>
      </c>
      <c r="B121" s="10" t="str">
        <f aca="false">IF($A121="","",IFERROR(IF(INDEX(원본명단!$B$3:$B$6002,MATCH("R"&amp;116,정리결과!$J$6:$J$6005,0))="","",INDEX(원본명단!$B$3:$B$6002,MATCH("R"&amp;116,정리결과!$J$6:$J$6005,0))),""))</f>
        <v/>
      </c>
      <c r="C121" s="10" t="str">
        <f aca="false">IF($A121="","",IFERROR(IF(INDEX(원본명단!$C$3:$C$6002,MATCH("R"&amp;116,정리결과!$J$6:$J$6005,0))="","",INDEX(원본명단!$C$3:$C$6002,MATCH("R"&amp;116,정리결과!$J$6:$J$6005,0))),""))</f>
        <v/>
      </c>
      <c r="D121" s="10" t="str">
        <f aca="false">IF($A121="","",IFERROR(IF(INDEX(원본명단!$D$3:$D$6002,MATCH("R"&amp;116,정리결과!$J$6:$J$6005,0))="","",INDEX(원본명단!$D$3:$D$6002,MATCH("R"&amp;116,정리결과!$J$6:$J$6005,0))),""))</f>
        <v/>
      </c>
      <c r="E121" s="10" t="str">
        <f aca="false">IF($A121="","",IFERROR(IF(INDEX(원본명단!$E$3:$E$6002,MATCH("R"&amp;116,정리결과!$J$6:$J$6005,0))="","",INDEX(원본명단!$E$3:$E$6002,MATCH("R"&amp;116,정리결과!$J$6:$J$6005,0))),""))</f>
        <v/>
      </c>
      <c r="F121" s="10" t="str">
        <f aca="false">IF($A121="","",IFERROR(IF(INDEX(원본명단!$F$3:$F$6002,MATCH("R"&amp;116,정리결과!$J$6:$J$6005,0))="","",INDEX(원본명단!$F$3:$F$6002,MATCH("R"&amp;116,정리결과!$J$6:$J$6005,0))),""))</f>
        <v/>
      </c>
      <c r="H121" s="14" t="b">
        <f aca="false">IF(중복검사!$A119="",FALSE(),중복검사!$J119="유지")</f>
        <v>0</v>
      </c>
      <c r="I121" s="5" t="str">
        <f aca="false">IF($H121=FALSE(),"",COUNTIF($H$6:$H121,TRUE()))</f>
        <v/>
      </c>
      <c r="J121" s="5" t="str">
        <f aca="false">IF($I121="","","R"&amp;$I121)</f>
        <v/>
      </c>
    </row>
    <row r="122" customFormat="false" ht="15" hidden="false" customHeight="true" outlineLevel="0" collapsed="false">
      <c r="A122" s="10" t="str">
        <f aca="false">IFERROR(IF(INDEX(원본명단!$A$3:$A$6002,MATCH("R"&amp;117,정리결과!$J$6:$J$6005,0))="","",INDEX(원본명단!$A$3:$A$6002,MATCH("R"&amp;117,정리결과!$J$6:$J$6005,0))),"")</f>
        <v/>
      </c>
      <c r="B122" s="10" t="str">
        <f aca="false">IF($A122="","",IFERROR(IF(INDEX(원본명단!$B$3:$B$6002,MATCH("R"&amp;117,정리결과!$J$6:$J$6005,0))="","",INDEX(원본명단!$B$3:$B$6002,MATCH("R"&amp;117,정리결과!$J$6:$J$6005,0))),""))</f>
        <v/>
      </c>
      <c r="C122" s="10" t="str">
        <f aca="false">IF($A122="","",IFERROR(IF(INDEX(원본명단!$C$3:$C$6002,MATCH("R"&amp;117,정리결과!$J$6:$J$6005,0))="","",INDEX(원본명단!$C$3:$C$6002,MATCH("R"&amp;117,정리결과!$J$6:$J$6005,0))),""))</f>
        <v/>
      </c>
      <c r="D122" s="10" t="str">
        <f aca="false">IF($A122="","",IFERROR(IF(INDEX(원본명단!$D$3:$D$6002,MATCH("R"&amp;117,정리결과!$J$6:$J$6005,0))="","",INDEX(원본명단!$D$3:$D$6002,MATCH("R"&amp;117,정리결과!$J$6:$J$6005,0))),""))</f>
        <v/>
      </c>
      <c r="E122" s="10" t="str">
        <f aca="false">IF($A122="","",IFERROR(IF(INDEX(원본명단!$E$3:$E$6002,MATCH("R"&amp;117,정리결과!$J$6:$J$6005,0))="","",INDEX(원본명단!$E$3:$E$6002,MATCH("R"&amp;117,정리결과!$J$6:$J$6005,0))),""))</f>
        <v/>
      </c>
      <c r="F122" s="10" t="str">
        <f aca="false">IF($A122="","",IFERROR(IF(INDEX(원본명단!$F$3:$F$6002,MATCH("R"&amp;117,정리결과!$J$6:$J$6005,0))="","",INDEX(원본명단!$F$3:$F$6002,MATCH("R"&amp;117,정리결과!$J$6:$J$6005,0))),""))</f>
        <v/>
      </c>
      <c r="H122" s="14" t="b">
        <f aca="false">IF(중복검사!$A120="",FALSE(),중복검사!$J120="유지")</f>
        <v>0</v>
      </c>
      <c r="I122" s="5" t="str">
        <f aca="false">IF($H122=FALSE(),"",COUNTIF($H$6:$H122,TRUE()))</f>
        <v/>
      </c>
      <c r="J122" s="5" t="str">
        <f aca="false">IF($I122="","","R"&amp;$I122)</f>
        <v/>
      </c>
    </row>
    <row r="123" customFormat="false" ht="15" hidden="false" customHeight="true" outlineLevel="0" collapsed="false">
      <c r="A123" s="10" t="str">
        <f aca="false">IFERROR(IF(INDEX(원본명단!$A$3:$A$6002,MATCH("R"&amp;118,정리결과!$J$6:$J$6005,0))="","",INDEX(원본명단!$A$3:$A$6002,MATCH("R"&amp;118,정리결과!$J$6:$J$6005,0))),"")</f>
        <v/>
      </c>
      <c r="B123" s="10" t="str">
        <f aca="false">IF($A123="","",IFERROR(IF(INDEX(원본명단!$B$3:$B$6002,MATCH("R"&amp;118,정리결과!$J$6:$J$6005,0))="","",INDEX(원본명단!$B$3:$B$6002,MATCH("R"&amp;118,정리결과!$J$6:$J$6005,0))),""))</f>
        <v/>
      </c>
      <c r="C123" s="10" t="str">
        <f aca="false">IF($A123="","",IFERROR(IF(INDEX(원본명단!$C$3:$C$6002,MATCH("R"&amp;118,정리결과!$J$6:$J$6005,0))="","",INDEX(원본명단!$C$3:$C$6002,MATCH("R"&amp;118,정리결과!$J$6:$J$6005,0))),""))</f>
        <v/>
      </c>
      <c r="D123" s="10" t="str">
        <f aca="false">IF($A123="","",IFERROR(IF(INDEX(원본명단!$D$3:$D$6002,MATCH("R"&amp;118,정리결과!$J$6:$J$6005,0))="","",INDEX(원본명단!$D$3:$D$6002,MATCH("R"&amp;118,정리결과!$J$6:$J$6005,0))),""))</f>
        <v/>
      </c>
      <c r="E123" s="10" t="str">
        <f aca="false">IF($A123="","",IFERROR(IF(INDEX(원본명단!$E$3:$E$6002,MATCH("R"&amp;118,정리결과!$J$6:$J$6005,0))="","",INDEX(원본명단!$E$3:$E$6002,MATCH("R"&amp;118,정리결과!$J$6:$J$6005,0))),""))</f>
        <v/>
      </c>
      <c r="F123" s="10" t="str">
        <f aca="false">IF($A123="","",IFERROR(IF(INDEX(원본명단!$F$3:$F$6002,MATCH("R"&amp;118,정리결과!$J$6:$J$6005,0))="","",INDEX(원본명단!$F$3:$F$6002,MATCH("R"&amp;118,정리결과!$J$6:$J$6005,0))),""))</f>
        <v/>
      </c>
      <c r="H123" s="14" t="b">
        <f aca="false">IF(중복검사!$A121="",FALSE(),중복검사!$J121="유지")</f>
        <v>0</v>
      </c>
      <c r="I123" s="5" t="str">
        <f aca="false">IF($H123=FALSE(),"",COUNTIF($H$6:$H123,TRUE()))</f>
        <v/>
      </c>
      <c r="J123" s="5" t="str">
        <f aca="false">IF($I123="","","R"&amp;$I123)</f>
        <v/>
      </c>
    </row>
    <row r="124" customFormat="false" ht="15" hidden="false" customHeight="true" outlineLevel="0" collapsed="false">
      <c r="A124" s="10" t="str">
        <f aca="false">IFERROR(IF(INDEX(원본명단!$A$3:$A$6002,MATCH("R"&amp;119,정리결과!$J$6:$J$6005,0))="","",INDEX(원본명단!$A$3:$A$6002,MATCH("R"&amp;119,정리결과!$J$6:$J$6005,0))),"")</f>
        <v/>
      </c>
      <c r="B124" s="10" t="str">
        <f aca="false">IF($A124="","",IFERROR(IF(INDEX(원본명단!$B$3:$B$6002,MATCH("R"&amp;119,정리결과!$J$6:$J$6005,0))="","",INDEX(원본명단!$B$3:$B$6002,MATCH("R"&amp;119,정리결과!$J$6:$J$6005,0))),""))</f>
        <v/>
      </c>
      <c r="C124" s="10" t="str">
        <f aca="false">IF($A124="","",IFERROR(IF(INDEX(원본명단!$C$3:$C$6002,MATCH("R"&amp;119,정리결과!$J$6:$J$6005,0))="","",INDEX(원본명단!$C$3:$C$6002,MATCH("R"&amp;119,정리결과!$J$6:$J$6005,0))),""))</f>
        <v/>
      </c>
      <c r="D124" s="10" t="str">
        <f aca="false">IF($A124="","",IFERROR(IF(INDEX(원본명단!$D$3:$D$6002,MATCH("R"&amp;119,정리결과!$J$6:$J$6005,0))="","",INDEX(원본명단!$D$3:$D$6002,MATCH("R"&amp;119,정리결과!$J$6:$J$6005,0))),""))</f>
        <v/>
      </c>
      <c r="E124" s="10" t="str">
        <f aca="false">IF($A124="","",IFERROR(IF(INDEX(원본명단!$E$3:$E$6002,MATCH("R"&amp;119,정리결과!$J$6:$J$6005,0))="","",INDEX(원본명단!$E$3:$E$6002,MATCH("R"&amp;119,정리결과!$J$6:$J$6005,0))),""))</f>
        <v/>
      </c>
      <c r="F124" s="10" t="str">
        <f aca="false">IF($A124="","",IFERROR(IF(INDEX(원본명단!$F$3:$F$6002,MATCH("R"&amp;119,정리결과!$J$6:$J$6005,0))="","",INDEX(원본명단!$F$3:$F$6002,MATCH("R"&amp;119,정리결과!$J$6:$J$6005,0))),""))</f>
        <v/>
      </c>
      <c r="H124" s="14" t="b">
        <f aca="false">IF(중복검사!$A122="",FALSE(),중복검사!$J122="유지")</f>
        <v>0</v>
      </c>
      <c r="I124" s="5" t="str">
        <f aca="false">IF($H124=FALSE(),"",COUNTIF($H$6:$H124,TRUE()))</f>
        <v/>
      </c>
      <c r="J124" s="5" t="str">
        <f aca="false">IF($I124="","","R"&amp;$I124)</f>
        <v/>
      </c>
    </row>
    <row r="125" customFormat="false" ht="15" hidden="false" customHeight="true" outlineLevel="0" collapsed="false">
      <c r="A125" s="10" t="str">
        <f aca="false">IFERROR(IF(INDEX(원본명단!$A$3:$A$6002,MATCH("R"&amp;120,정리결과!$J$6:$J$6005,0))="","",INDEX(원본명단!$A$3:$A$6002,MATCH("R"&amp;120,정리결과!$J$6:$J$6005,0))),"")</f>
        <v/>
      </c>
      <c r="B125" s="10" t="str">
        <f aca="false">IF($A125="","",IFERROR(IF(INDEX(원본명단!$B$3:$B$6002,MATCH("R"&amp;120,정리결과!$J$6:$J$6005,0))="","",INDEX(원본명단!$B$3:$B$6002,MATCH("R"&amp;120,정리결과!$J$6:$J$6005,0))),""))</f>
        <v/>
      </c>
      <c r="C125" s="10" t="str">
        <f aca="false">IF($A125="","",IFERROR(IF(INDEX(원본명단!$C$3:$C$6002,MATCH("R"&amp;120,정리결과!$J$6:$J$6005,0))="","",INDEX(원본명단!$C$3:$C$6002,MATCH("R"&amp;120,정리결과!$J$6:$J$6005,0))),""))</f>
        <v/>
      </c>
      <c r="D125" s="10" t="str">
        <f aca="false">IF($A125="","",IFERROR(IF(INDEX(원본명단!$D$3:$D$6002,MATCH("R"&amp;120,정리결과!$J$6:$J$6005,0))="","",INDEX(원본명단!$D$3:$D$6002,MATCH("R"&amp;120,정리결과!$J$6:$J$6005,0))),""))</f>
        <v/>
      </c>
      <c r="E125" s="10" t="str">
        <f aca="false">IF($A125="","",IFERROR(IF(INDEX(원본명단!$E$3:$E$6002,MATCH("R"&amp;120,정리결과!$J$6:$J$6005,0))="","",INDEX(원본명단!$E$3:$E$6002,MATCH("R"&amp;120,정리결과!$J$6:$J$6005,0))),""))</f>
        <v/>
      </c>
      <c r="F125" s="10" t="str">
        <f aca="false">IF($A125="","",IFERROR(IF(INDEX(원본명단!$F$3:$F$6002,MATCH("R"&amp;120,정리결과!$J$6:$J$6005,0))="","",INDEX(원본명단!$F$3:$F$6002,MATCH("R"&amp;120,정리결과!$J$6:$J$6005,0))),""))</f>
        <v/>
      </c>
      <c r="H125" s="14" t="b">
        <f aca="false">IF(중복검사!$A123="",FALSE(),중복검사!$J123="유지")</f>
        <v>0</v>
      </c>
      <c r="I125" s="5" t="str">
        <f aca="false">IF($H125=FALSE(),"",COUNTIF($H$6:$H125,TRUE()))</f>
        <v/>
      </c>
      <c r="J125" s="5" t="str">
        <f aca="false">IF($I125="","","R"&amp;$I125)</f>
        <v/>
      </c>
    </row>
    <row r="126" customFormat="false" ht="15" hidden="false" customHeight="true" outlineLevel="0" collapsed="false">
      <c r="A126" s="10" t="str">
        <f aca="false">IFERROR(IF(INDEX(원본명단!$A$3:$A$6002,MATCH("R"&amp;121,정리결과!$J$6:$J$6005,0))="","",INDEX(원본명단!$A$3:$A$6002,MATCH("R"&amp;121,정리결과!$J$6:$J$6005,0))),"")</f>
        <v/>
      </c>
      <c r="B126" s="10" t="str">
        <f aca="false">IF($A126="","",IFERROR(IF(INDEX(원본명단!$B$3:$B$6002,MATCH("R"&amp;121,정리결과!$J$6:$J$6005,0))="","",INDEX(원본명단!$B$3:$B$6002,MATCH("R"&amp;121,정리결과!$J$6:$J$6005,0))),""))</f>
        <v/>
      </c>
      <c r="C126" s="10" t="str">
        <f aca="false">IF($A126="","",IFERROR(IF(INDEX(원본명단!$C$3:$C$6002,MATCH("R"&amp;121,정리결과!$J$6:$J$6005,0))="","",INDEX(원본명단!$C$3:$C$6002,MATCH("R"&amp;121,정리결과!$J$6:$J$6005,0))),""))</f>
        <v/>
      </c>
      <c r="D126" s="10" t="str">
        <f aca="false">IF($A126="","",IFERROR(IF(INDEX(원본명단!$D$3:$D$6002,MATCH("R"&amp;121,정리결과!$J$6:$J$6005,0))="","",INDEX(원본명단!$D$3:$D$6002,MATCH("R"&amp;121,정리결과!$J$6:$J$6005,0))),""))</f>
        <v/>
      </c>
      <c r="E126" s="10" t="str">
        <f aca="false">IF($A126="","",IFERROR(IF(INDEX(원본명단!$E$3:$E$6002,MATCH("R"&amp;121,정리결과!$J$6:$J$6005,0))="","",INDEX(원본명단!$E$3:$E$6002,MATCH("R"&amp;121,정리결과!$J$6:$J$6005,0))),""))</f>
        <v/>
      </c>
      <c r="F126" s="10" t="str">
        <f aca="false">IF($A126="","",IFERROR(IF(INDEX(원본명단!$F$3:$F$6002,MATCH("R"&amp;121,정리결과!$J$6:$J$6005,0))="","",INDEX(원본명단!$F$3:$F$6002,MATCH("R"&amp;121,정리결과!$J$6:$J$6005,0))),""))</f>
        <v/>
      </c>
      <c r="H126" s="14" t="b">
        <f aca="false">IF(중복검사!$A124="",FALSE(),중복검사!$J124="유지")</f>
        <v>0</v>
      </c>
      <c r="I126" s="5" t="str">
        <f aca="false">IF($H126=FALSE(),"",COUNTIF($H$6:$H126,TRUE()))</f>
        <v/>
      </c>
      <c r="J126" s="5" t="str">
        <f aca="false">IF($I126="","","R"&amp;$I126)</f>
        <v/>
      </c>
    </row>
    <row r="127" customFormat="false" ht="15" hidden="false" customHeight="true" outlineLevel="0" collapsed="false">
      <c r="A127" s="10" t="str">
        <f aca="false">IFERROR(IF(INDEX(원본명단!$A$3:$A$6002,MATCH("R"&amp;122,정리결과!$J$6:$J$6005,0))="","",INDEX(원본명단!$A$3:$A$6002,MATCH("R"&amp;122,정리결과!$J$6:$J$6005,0))),"")</f>
        <v/>
      </c>
      <c r="B127" s="10" t="str">
        <f aca="false">IF($A127="","",IFERROR(IF(INDEX(원본명단!$B$3:$B$6002,MATCH("R"&amp;122,정리결과!$J$6:$J$6005,0))="","",INDEX(원본명단!$B$3:$B$6002,MATCH("R"&amp;122,정리결과!$J$6:$J$6005,0))),""))</f>
        <v/>
      </c>
      <c r="C127" s="10" t="str">
        <f aca="false">IF($A127="","",IFERROR(IF(INDEX(원본명단!$C$3:$C$6002,MATCH("R"&amp;122,정리결과!$J$6:$J$6005,0))="","",INDEX(원본명단!$C$3:$C$6002,MATCH("R"&amp;122,정리결과!$J$6:$J$6005,0))),""))</f>
        <v/>
      </c>
      <c r="D127" s="10" t="str">
        <f aca="false">IF($A127="","",IFERROR(IF(INDEX(원본명단!$D$3:$D$6002,MATCH("R"&amp;122,정리결과!$J$6:$J$6005,0))="","",INDEX(원본명단!$D$3:$D$6002,MATCH("R"&amp;122,정리결과!$J$6:$J$6005,0))),""))</f>
        <v/>
      </c>
      <c r="E127" s="10" t="str">
        <f aca="false">IF($A127="","",IFERROR(IF(INDEX(원본명단!$E$3:$E$6002,MATCH("R"&amp;122,정리결과!$J$6:$J$6005,0))="","",INDEX(원본명단!$E$3:$E$6002,MATCH("R"&amp;122,정리결과!$J$6:$J$6005,0))),""))</f>
        <v/>
      </c>
      <c r="F127" s="10" t="str">
        <f aca="false">IF($A127="","",IFERROR(IF(INDEX(원본명단!$F$3:$F$6002,MATCH("R"&amp;122,정리결과!$J$6:$J$6005,0))="","",INDEX(원본명단!$F$3:$F$6002,MATCH("R"&amp;122,정리결과!$J$6:$J$6005,0))),""))</f>
        <v/>
      </c>
      <c r="H127" s="14" t="b">
        <f aca="false">IF(중복검사!$A125="",FALSE(),중복검사!$J125="유지")</f>
        <v>0</v>
      </c>
      <c r="I127" s="5" t="str">
        <f aca="false">IF($H127=FALSE(),"",COUNTIF($H$6:$H127,TRUE()))</f>
        <v/>
      </c>
      <c r="J127" s="5" t="str">
        <f aca="false">IF($I127="","","R"&amp;$I127)</f>
        <v/>
      </c>
    </row>
    <row r="128" customFormat="false" ht="15" hidden="false" customHeight="true" outlineLevel="0" collapsed="false">
      <c r="A128" s="10" t="str">
        <f aca="false">IFERROR(IF(INDEX(원본명단!$A$3:$A$6002,MATCH("R"&amp;123,정리결과!$J$6:$J$6005,0))="","",INDEX(원본명단!$A$3:$A$6002,MATCH("R"&amp;123,정리결과!$J$6:$J$6005,0))),"")</f>
        <v/>
      </c>
      <c r="B128" s="10" t="str">
        <f aca="false">IF($A128="","",IFERROR(IF(INDEX(원본명단!$B$3:$B$6002,MATCH("R"&amp;123,정리결과!$J$6:$J$6005,0))="","",INDEX(원본명단!$B$3:$B$6002,MATCH("R"&amp;123,정리결과!$J$6:$J$6005,0))),""))</f>
        <v/>
      </c>
      <c r="C128" s="10" t="str">
        <f aca="false">IF($A128="","",IFERROR(IF(INDEX(원본명단!$C$3:$C$6002,MATCH("R"&amp;123,정리결과!$J$6:$J$6005,0))="","",INDEX(원본명단!$C$3:$C$6002,MATCH("R"&amp;123,정리결과!$J$6:$J$6005,0))),""))</f>
        <v/>
      </c>
      <c r="D128" s="10" t="str">
        <f aca="false">IF($A128="","",IFERROR(IF(INDEX(원본명단!$D$3:$D$6002,MATCH("R"&amp;123,정리결과!$J$6:$J$6005,0))="","",INDEX(원본명단!$D$3:$D$6002,MATCH("R"&amp;123,정리결과!$J$6:$J$6005,0))),""))</f>
        <v/>
      </c>
      <c r="E128" s="10" t="str">
        <f aca="false">IF($A128="","",IFERROR(IF(INDEX(원본명단!$E$3:$E$6002,MATCH("R"&amp;123,정리결과!$J$6:$J$6005,0))="","",INDEX(원본명단!$E$3:$E$6002,MATCH("R"&amp;123,정리결과!$J$6:$J$6005,0))),""))</f>
        <v/>
      </c>
      <c r="F128" s="10" t="str">
        <f aca="false">IF($A128="","",IFERROR(IF(INDEX(원본명단!$F$3:$F$6002,MATCH("R"&amp;123,정리결과!$J$6:$J$6005,0))="","",INDEX(원본명단!$F$3:$F$6002,MATCH("R"&amp;123,정리결과!$J$6:$J$6005,0))),""))</f>
        <v/>
      </c>
      <c r="H128" s="14" t="b">
        <f aca="false">IF(중복검사!$A126="",FALSE(),중복검사!$J126="유지")</f>
        <v>0</v>
      </c>
      <c r="I128" s="5" t="str">
        <f aca="false">IF($H128=FALSE(),"",COUNTIF($H$6:$H128,TRUE()))</f>
        <v/>
      </c>
      <c r="J128" s="5" t="str">
        <f aca="false">IF($I128="","","R"&amp;$I128)</f>
        <v/>
      </c>
    </row>
    <row r="129" customFormat="false" ht="15" hidden="false" customHeight="true" outlineLevel="0" collapsed="false">
      <c r="A129" s="10" t="str">
        <f aca="false">IFERROR(IF(INDEX(원본명단!$A$3:$A$6002,MATCH("R"&amp;124,정리결과!$J$6:$J$6005,0))="","",INDEX(원본명단!$A$3:$A$6002,MATCH("R"&amp;124,정리결과!$J$6:$J$6005,0))),"")</f>
        <v/>
      </c>
      <c r="B129" s="10" t="str">
        <f aca="false">IF($A129="","",IFERROR(IF(INDEX(원본명단!$B$3:$B$6002,MATCH("R"&amp;124,정리결과!$J$6:$J$6005,0))="","",INDEX(원본명단!$B$3:$B$6002,MATCH("R"&amp;124,정리결과!$J$6:$J$6005,0))),""))</f>
        <v/>
      </c>
      <c r="C129" s="10" t="str">
        <f aca="false">IF($A129="","",IFERROR(IF(INDEX(원본명단!$C$3:$C$6002,MATCH("R"&amp;124,정리결과!$J$6:$J$6005,0))="","",INDEX(원본명단!$C$3:$C$6002,MATCH("R"&amp;124,정리결과!$J$6:$J$6005,0))),""))</f>
        <v/>
      </c>
      <c r="D129" s="10" t="str">
        <f aca="false">IF($A129="","",IFERROR(IF(INDEX(원본명단!$D$3:$D$6002,MATCH("R"&amp;124,정리결과!$J$6:$J$6005,0))="","",INDEX(원본명단!$D$3:$D$6002,MATCH("R"&amp;124,정리결과!$J$6:$J$6005,0))),""))</f>
        <v/>
      </c>
      <c r="E129" s="10" t="str">
        <f aca="false">IF($A129="","",IFERROR(IF(INDEX(원본명단!$E$3:$E$6002,MATCH("R"&amp;124,정리결과!$J$6:$J$6005,0))="","",INDEX(원본명단!$E$3:$E$6002,MATCH("R"&amp;124,정리결과!$J$6:$J$6005,0))),""))</f>
        <v/>
      </c>
      <c r="F129" s="10" t="str">
        <f aca="false">IF($A129="","",IFERROR(IF(INDEX(원본명단!$F$3:$F$6002,MATCH("R"&amp;124,정리결과!$J$6:$J$6005,0))="","",INDEX(원본명단!$F$3:$F$6002,MATCH("R"&amp;124,정리결과!$J$6:$J$6005,0))),""))</f>
        <v/>
      </c>
      <c r="H129" s="14" t="b">
        <f aca="false">IF(중복검사!$A127="",FALSE(),중복검사!$J127="유지")</f>
        <v>0</v>
      </c>
      <c r="I129" s="5" t="str">
        <f aca="false">IF($H129=FALSE(),"",COUNTIF($H$6:$H129,TRUE()))</f>
        <v/>
      </c>
      <c r="J129" s="5" t="str">
        <f aca="false">IF($I129="","","R"&amp;$I129)</f>
        <v/>
      </c>
    </row>
    <row r="130" customFormat="false" ht="15" hidden="false" customHeight="true" outlineLevel="0" collapsed="false">
      <c r="A130" s="10" t="str">
        <f aca="false">IFERROR(IF(INDEX(원본명단!$A$3:$A$6002,MATCH("R"&amp;125,정리결과!$J$6:$J$6005,0))="","",INDEX(원본명단!$A$3:$A$6002,MATCH("R"&amp;125,정리결과!$J$6:$J$6005,0))),"")</f>
        <v/>
      </c>
      <c r="B130" s="10" t="str">
        <f aca="false">IF($A130="","",IFERROR(IF(INDEX(원본명단!$B$3:$B$6002,MATCH("R"&amp;125,정리결과!$J$6:$J$6005,0))="","",INDEX(원본명단!$B$3:$B$6002,MATCH("R"&amp;125,정리결과!$J$6:$J$6005,0))),""))</f>
        <v/>
      </c>
      <c r="C130" s="10" t="str">
        <f aca="false">IF($A130="","",IFERROR(IF(INDEX(원본명단!$C$3:$C$6002,MATCH("R"&amp;125,정리결과!$J$6:$J$6005,0))="","",INDEX(원본명단!$C$3:$C$6002,MATCH("R"&amp;125,정리결과!$J$6:$J$6005,0))),""))</f>
        <v/>
      </c>
      <c r="D130" s="10" t="str">
        <f aca="false">IF($A130="","",IFERROR(IF(INDEX(원본명단!$D$3:$D$6002,MATCH("R"&amp;125,정리결과!$J$6:$J$6005,0))="","",INDEX(원본명단!$D$3:$D$6002,MATCH("R"&amp;125,정리결과!$J$6:$J$6005,0))),""))</f>
        <v/>
      </c>
      <c r="E130" s="10" t="str">
        <f aca="false">IF($A130="","",IFERROR(IF(INDEX(원본명단!$E$3:$E$6002,MATCH("R"&amp;125,정리결과!$J$6:$J$6005,0))="","",INDEX(원본명단!$E$3:$E$6002,MATCH("R"&amp;125,정리결과!$J$6:$J$6005,0))),""))</f>
        <v/>
      </c>
      <c r="F130" s="10" t="str">
        <f aca="false">IF($A130="","",IFERROR(IF(INDEX(원본명단!$F$3:$F$6002,MATCH("R"&amp;125,정리결과!$J$6:$J$6005,0))="","",INDEX(원본명단!$F$3:$F$6002,MATCH("R"&amp;125,정리결과!$J$6:$J$6005,0))),""))</f>
        <v/>
      </c>
      <c r="H130" s="14" t="b">
        <f aca="false">IF(중복검사!$A128="",FALSE(),중복검사!$J128="유지")</f>
        <v>0</v>
      </c>
      <c r="I130" s="5" t="str">
        <f aca="false">IF($H130=FALSE(),"",COUNTIF($H$6:$H130,TRUE()))</f>
        <v/>
      </c>
      <c r="J130" s="5" t="str">
        <f aca="false">IF($I130="","","R"&amp;$I130)</f>
        <v/>
      </c>
    </row>
    <row r="131" customFormat="false" ht="15" hidden="false" customHeight="true" outlineLevel="0" collapsed="false">
      <c r="A131" s="10" t="str">
        <f aca="false">IFERROR(IF(INDEX(원본명단!$A$3:$A$6002,MATCH("R"&amp;126,정리결과!$J$6:$J$6005,0))="","",INDEX(원본명단!$A$3:$A$6002,MATCH("R"&amp;126,정리결과!$J$6:$J$6005,0))),"")</f>
        <v/>
      </c>
      <c r="B131" s="10" t="str">
        <f aca="false">IF($A131="","",IFERROR(IF(INDEX(원본명단!$B$3:$B$6002,MATCH("R"&amp;126,정리결과!$J$6:$J$6005,0))="","",INDEX(원본명단!$B$3:$B$6002,MATCH("R"&amp;126,정리결과!$J$6:$J$6005,0))),""))</f>
        <v/>
      </c>
      <c r="C131" s="10" t="str">
        <f aca="false">IF($A131="","",IFERROR(IF(INDEX(원본명단!$C$3:$C$6002,MATCH("R"&amp;126,정리결과!$J$6:$J$6005,0))="","",INDEX(원본명단!$C$3:$C$6002,MATCH("R"&amp;126,정리결과!$J$6:$J$6005,0))),""))</f>
        <v/>
      </c>
      <c r="D131" s="10" t="str">
        <f aca="false">IF($A131="","",IFERROR(IF(INDEX(원본명단!$D$3:$D$6002,MATCH("R"&amp;126,정리결과!$J$6:$J$6005,0))="","",INDEX(원본명단!$D$3:$D$6002,MATCH("R"&amp;126,정리결과!$J$6:$J$6005,0))),""))</f>
        <v/>
      </c>
      <c r="E131" s="10" t="str">
        <f aca="false">IF($A131="","",IFERROR(IF(INDEX(원본명단!$E$3:$E$6002,MATCH("R"&amp;126,정리결과!$J$6:$J$6005,0))="","",INDEX(원본명단!$E$3:$E$6002,MATCH("R"&amp;126,정리결과!$J$6:$J$6005,0))),""))</f>
        <v/>
      </c>
      <c r="F131" s="10" t="str">
        <f aca="false">IF($A131="","",IFERROR(IF(INDEX(원본명단!$F$3:$F$6002,MATCH("R"&amp;126,정리결과!$J$6:$J$6005,0))="","",INDEX(원본명단!$F$3:$F$6002,MATCH("R"&amp;126,정리결과!$J$6:$J$6005,0))),""))</f>
        <v/>
      </c>
      <c r="H131" s="14" t="b">
        <f aca="false">IF(중복검사!$A129="",FALSE(),중복검사!$J129="유지")</f>
        <v>0</v>
      </c>
      <c r="I131" s="5" t="str">
        <f aca="false">IF($H131=FALSE(),"",COUNTIF($H$6:$H131,TRUE()))</f>
        <v/>
      </c>
      <c r="J131" s="5" t="str">
        <f aca="false">IF($I131="","","R"&amp;$I131)</f>
        <v/>
      </c>
    </row>
    <row r="132" customFormat="false" ht="15" hidden="false" customHeight="true" outlineLevel="0" collapsed="false">
      <c r="A132" s="10" t="str">
        <f aca="false">IFERROR(IF(INDEX(원본명단!$A$3:$A$6002,MATCH("R"&amp;127,정리결과!$J$6:$J$6005,0))="","",INDEX(원본명단!$A$3:$A$6002,MATCH("R"&amp;127,정리결과!$J$6:$J$6005,0))),"")</f>
        <v/>
      </c>
      <c r="B132" s="10" t="str">
        <f aca="false">IF($A132="","",IFERROR(IF(INDEX(원본명단!$B$3:$B$6002,MATCH("R"&amp;127,정리결과!$J$6:$J$6005,0))="","",INDEX(원본명단!$B$3:$B$6002,MATCH("R"&amp;127,정리결과!$J$6:$J$6005,0))),""))</f>
        <v/>
      </c>
      <c r="C132" s="10" t="str">
        <f aca="false">IF($A132="","",IFERROR(IF(INDEX(원본명단!$C$3:$C$6002,MATCH("R"&amp;127,정리결과!$J$6:$J$6005,0))="","",INDEX(원본명단!$C$3:$C$6002,MATCH("R"&amp;127,정리결과!$J$6:$J$6005,0))),""))</f>
        <v/>
      </c>
      <c r="D132" s="10" t="str">
        <f aca="false">IF($A132="","",IFERROR(IF(INDEX(원본명단!$D$3:$D$6002,MATCH("R"&amp;127,정리결과!$J$6:$J$6005,0))="","",INDEX(원본명단!$D$3:$D$6002,MATCH("R"&amp;127,정리결과!$J$6:$J$6005,0))),""))</f>
        <v/>
      </c>
      <c r="E132" s="10" t="str">
        <f aca="false">IF($A132="","",IFERROR(IF(INDEX(원본명단!$E$3:$E$6002,MATCH("R"&amp;127,정리결과!$J$6:$J$6005,0))="","",INDEX(원본명단!$E$3:$E$6002,MATCH("R"&amp;127,정리결과!$J$6:$J$6005,0))),""))</f>
        <v/>
      </c>
      <c r="F132" s="10" t="str">
        <f aca="false">IF($A132="","",IFERROR(IF(INDEX(원본명단!$F$3:$F$6002,MATCH("R"&amp;127,정리결과!$J$6:$J$6005,0))="","",INDEX(원본명단!$F$3:$F$6002,MATCH("R"&amp;127,정리결과!$J$6:$J$6005,0))),""))</f>
        <v/>
      </c>
      <c r="H132" s="14" t="b">
        <f aca="false">IF(중복검사!$A130="",FALSE(),중복검사!$J130="유지")</f>
        <v>0</v>
      </c>
      <c r="I132" s="5" t="str">
        <f aca="false">IF($H132=FALSE(),"",COUNTIF($H$6:$H132,TRUE()))</f>
        <v/>
      </c>
      <c r="J132" s="5" t="str">
        <f aca="false">IF($I132="","","R"&amp;$I132)</f>
        <v/>
      </c>
    </row>
    <row r="133" customFormat="false" ht="15" hidden="false" customHeight="true" outlineLevel="0" collapsed="false">
      <c r="A133" s="10" t="str">
        <f aca="false">IFERROR(IF(INDEX(원본명단!$A$3:$A$6002,MATCH("R"&amp;128,정리결과!$J$6:$J$6005,0))="","",INDEX(원본명단!$A$3:$A$6002,MATCH("R"&amp;128,정리결과!$J$6:$J$6005,0))),"")</f>
        <v/>
      </c>
      <c r="B133" s="10" t="str">
        <f aca="false">IF($A133="","",IFERROR(IF(INDEX(원본명단!$B$3:$B$6002,MATCH("R"&amp;128,정리결과!$J$6:$J$6005,0))="","",INDEX(원본명단!$B$3:$B$6002,MATCH("R"&amp;128,정리결과!$J$6:$J$6005,0))),""))</f>
        <v/>
      </c>
      <c r="C133" s="10" t="str">
        <f aca="false">IF($A133="","",IFERROR(IF(INDEX(원본명단!$C$3:$C$6002,MATCH("R"&amp;128,정리결과!$J$6:$J$6005,0))="","",INDEX(원본명단!$C$3:$C$6002,MATCH("R"&amp;128,정리결과!$J$6:$J$6005,0))),""))</f>
        <v/>
      </c>
      <c r="D133" s="10" t="str">
        <f aca="false">IF($A133="","",IFERROR(IF(INDEX(원본명단!$D$3:$D$6002,MATCH("R"&amp;128,정리결과!$J$6:$J$6005,0))="","",INDEX(원본명단!$D$3:$D$6002,MATCH("R"&amp;128,정리결과!$J$6:$J$6005,0))),""))</f>
        <v/>
      </c>
      <c r="E133" s="10" t="str">
        <f aca="false">IF($A133="","",IFERROR(IF(INDEX(원본명단!$E$3:$E$6002,MATCH("R"&amp;128,정리결과!$J$6:$J$6005,0))="","",INDEX(원본명단!$E$3:$E$6002,MATCH("R"&amp;128,정리결과!$J$6:$J$6005,0))),""))</f>
        <v/>
      </c>
      <c r="F133" s="10" t="str">
        <f aca="false">IF($A133="","",IFERROR(IF(INDEX(원본명단!$F$3:$F$6002,MATCH("R"&amp;128,정리결과!$J$6:$J$6005,0))="","",INDEX(원본명단!$F$3:$F$6002,MATCH("R"&amp;128,정리결과!$J$6:$J$6005,0))),""))</f>
        <v/>
      </c>
      <c r="H133" s="14" t="b">
        <f aca="false">IF(중복검사!$A131="",FALSE(),중복검사!$J131="유지")</f>
        <v>0</v>
      </c>
      <c r="I133" s="5" t="str">
        <f aca="false">IF($H133=FALSE(),"",COUNTIF($H$6:$H133,TRUE()))</f>
        <v/>
      </c>
      <c r="J133" s="5" t="str">
        <f aca="false">IF($I133="","","R"&amp;$I133)</f>
        <v/>
      </c>
    </row>
    <row r="134" customFormat="false" ht="15" hidden="false" customHeight="true" outlineLevel="0" collapsed="false">
      <c r="A134" s="10" t="str">
        <f aca="false">IFERROR(IF(INDEX(원본명단!$A$3:$A$6002,MATCH("R"&amp;129,정리결과!$J$6:$J$6005,0))="","",INDEX(원본명단!$A$3:$A$6002,MATCH("R"&amp;129,정리결과!$J$6:$J$6005,0))),"")</f>
        <v/>
      </c>
      <c r="B134" s="10" t="str">
        <f aca="false">IF($A134="","",IFERROR(IF(INDEX(원본명단!$B$3:$B$6002,MATCH("R"&amp;129,정리결과!$J$6:$J$6005,0))="","",INDEX(원본명단!$B$3:$B$6002,MATCH("R"&amp;129,정리결과!$J$6:$J$6005,0))),""))</f>
        <v/>
      </c>
      <c r="C134" s="10" t="str">
        <f aca="false">IF($A134="","",IFERROR(IF(INDEX(원본명단!$C$3:$C$6002,MATCH("R"&amp;129,정리결과!$J$6:$J$6005,0))="","",INDEX(원본명단!$C$3:$C$6002,MATCH("R"&amp;129,정리결과!$J$6:$J$6005,0))),""))</f>
        <v/>
      </c>
      <c r="D134" s="10" t="str">
        <f aca="false">IF($A134="","",IFERROR(IF(INDEX(원본명단!$D$3:$D$6002,MATCH("R"&amp;129,정리결과!$J$6:$J$6005,0))="","",INDEX(원본명단!$D$3:$D$6002,MATCH("R"&amp;129,정리결과!$J$6:$J$6005,0))),""))</f>
        <v/>
      </c>
      <c r="E134" s="10" t="str">
        <f aca="false">IF($A134="","",IFERROR(IF(INDEX(원본명단!$E$3:$E$6002,MATCH("R"&amp;129,정리결과!$J$6:$J$6005,0))="","",INDEX(원본명단!$E$3:$E$6002,MATCH("R"&amp;129,정리결과!$J$6:$J$6005,0))),""))</f>
        <v/>
      </c>
      <c r="F134" s="10" t="str">
        <f aca="false">IF($A134="","",IFERROR(IF(INDEX(원본명단!$F$3:$F$6002,MATCH("R"&amp;129,정리결과!$J$6:$J$6005,0))="","",INDEX(원본명단!$F$3:$F$6002,MATCH("R"&amp;129,정리결과!$J$6:$J$6005,0))),""))</f>
        <v/>
      </c>
      <c r="H134" s="14" t="b">
        <f aca="false">IF(중복검사!$A132="",FALSE(),중복검사!$J132="유지")</f>
        <v>0</v>
      </c>
      <c r="I134" s="5" t="str">
        <f aca="false">IF($H134=FALSE(),"",COUNTIF($H$6:$H134,TRUE()))</f>
        <v/>
      </c>
      <c r="J134" s="5" t="str">
        <f aca="false">IF($I134="","","R"&amp;$I134)</f>
        <v/>
      </c>
    </row>
    <row r="135" customFormat="false" ht="15" hidden="false" customHeight="true" outlineLevel="0" collapsed="false">
      <c r="A135" s="10" t="str">
        <f aca="false">IFERROR(IF(INDEX(원본명단!$A$3:$A$6002,MATCH("R"&amp;130,정리결과!$J$6:$J$6005,0))="","",INDEX(원본명단!$A$3:$A$6002,MATCH("R"&amp;130,정리결과!$J$6:$J$6005,0))),"")</f>
        <v/>
      </c>
      <c r="B135" s="10" t="str">
        <f aca="false">IF($A135="","",IFERROR(IF(INDEX(원본명단!$B$3:$B$6002,MATCH("R"&amp;130,정리결과!$J$6:$J$6005,0))="","",INDEX(원본명단!$B$3:$B$6002,MATCH("R"&amp;130,정리결과!$J$6:$J$6005,0))),""))</f>
        <v/>
      </c>
      <c r="C135" s="10" t="str">
        <f aca="false">IF($A135="","",IFERROR(IF(INDEX(원본명단!$C$3:$C$6002,MATCH("R"&amp;130,정리결과!$J$6:$J$6005,0))="","",INDEX(원본명단!$C$3:$C$6002,MATCH("R"&amp;130,정리결과!$J$6:$J$6005,0))),""))</f>
        <v/>
      </c>
      <c r="D135" s="10" t="str">
        <f aca="false">IF($A135="","",IFERROR(IF(INDEX(원본명단!$D$3:$D$6002,MATCH("R"&amp;130,정리결과!$J$6:$J$6005,0))="","",INDEX(원본명단!$D$3:$D$6002,MATCH("R"&amp;130,정리결과!$J$6:$J$6005,0))),""))</f>
        <v/>
      </c>
      <c r="E135" s="10" t="str">
        <f aca="false">IF($A135="","",IFERROR(IF(INDEX(원본명단!$E$3:$E$6002,MATCH("R"&amp;130,정리결과!$J$6:$J$6005,0))="","",INDEX(원본명단!$E$3:$E$6002,MATCH("R"&amp;130,정리결과!$J$6:$J$6005,0))),""))</f>
        <v/>
      </c>
      <c r="F135" s="10" t="str">
        <f aca="false">IF($A135="","",IFERROR(IF(INDEX(원본명단!$F$3:$F$6002,MATCH("R"&amp;130,정리결과!$J$6:$J$6005,0))="","",INDEX(원본명단!$F$3:$F$6002,MATCH("R"&amp;130,정리결과!$J$6:$J$6005,0))),""))</f>
        <v/>
      </c>
      <c r="H135" s="14" t="b">
        <f aca="false">IF(중복검사!$A133="",FALSE(),중복검사!$J133="유지")</f>
        <v>0</v>
      </c>
      <c r="I135" s="5" t="str">
        <f aca="false">IF($H135=FALSE(),"",COUNTIF($H$6:$H135,TRUE()))</f>
        <v/>
      </c>
      <c r="J135" s="5" t="str">
        <f aca="false">IF($I135="","","R"&amp;$I135)</f>
        <v/>
      </c>
    </row>
    <row r="136" customFormat="false" ht="15" hidden="false" customHeight="true" outlineLevel="0" collapsed="false">
      <c r="A136" s="10" t="str">
        <f aca="false">IFERROR(IF(INDEX(원본명단!$A$3:$A$6002,MATCH("R"&amp;131,정리결과!$J$6:$J$6005,0))="","",INDEX(원본명단!$A$3:$A$6002,MATCH("R"&amp;131,정리결과!$J$6:$J$6005,0))),"")</f>
        <v/>
      </c>
      <c r="B136" s="10" t="str">
        <f aca="false">IF($A136="","",IFERROR(IF(INDEX(원본명단!$B$3:$B$6002,MATCH("R"&amp;131,정리결과!$J$6:$J$6005,0))="","",INDEX(원본명단!$B$3:$B$6002,MATCH("R"&amp;131,정리결과!$J$6:$J$6005,0))),""))</f>
        <v/>
      </c>
      <c r="C136" s="10" t="str">
        <f aca="false">IF($A136="","",IFERROR(IF(INDEX(원본명단!$C$3:$C$6002,MATCH("R"&amp;131,정리결과!$J$6:$J$6005,0))="","",INDEX(원본명단!$C$3:$C$6002,MATCH("R"&amp;131,정리결과!$J$6:$J$6005,0))),""))</f>
        <v/>
      </c>
      <c r="D136" s="10" t="str">
        <f aca="false">IF($A136="","",IFERROR(IF(INDEX(원본명단!$D$3:$D$6002,MATCH("R"&amp;131,정리결과!$J$6:$J$6005,0))="","",INDEX(원본명단!$D$3:$D$6002,MATCH("R"&amp;131,정리결과!$J$6:$J$6005,0))),""))</f>
        <v/>
      </c>
      <c r="E136" s="10" t="str">
        <f aca="false">IF($A136="","",IFERROR(IF(INDEX(원본명단!$E$3:$E$6002,MATCH("R"&amp;131,정리결과!$J$6:$J$6005,0))="","",INDEX(원본명단!$E$3:$E$6002,MATCH("R"&amp;131,정리결과!$J$6:$J$6005,0))),""))</f>
        <v/>
      </c>
      <c r="F136" s="10" t="str">
        <f aca="false">IF($A136="","",IFERROR(IF(INDEX(원본명단!$F$3:$F$6002,MATCH("R"&amp;131,정리결과!$J$6:$J$6005,0))="","",INDEX(원본명단!$F$3:$F$6002,MATCH("R"&amp;131,정리결과!$J$6:$J$6005,0))),""))</f>
        <v/>
      </c>
      <c r="H136" s="14" t="b">
        <f aca="false">IF(중복검사!$A134="",FALSE(),중복검사!$J134="유지")</f>
        <v>0</v>
      </c>
      <c r="I136" s="5" t="str">
        <f aca="false">IF($H136=FALSE(),"",COUNTIF($H$6:$H136,TRUE()))</f>
        <v/>
      </c>
      <c r="J136" s="5" t="str">
        <f aca="false">IF($I136="","","R"&amp;$I136)</f>
        <v/>
      </c>
    </row>
    <row r="137" customFormat="false" ht="15" hidden="false" customHeight="true" outlineLevel="0" collapsed="false">
      <c r="A137" s="10" t="str">
        <f aca="false">IFERROR(IF(INDEX(원본명단!$A$3:$A$6002,MATCH("R"&amp;132,정리결과!$J$6:$J$6005,0))="","",INDEX(원본명단!$A$3:$A$6002,MATCH("R"&amp;132,정리결과!$J$6:$J$6005,0))),"")</f>
        <v/>
      </c>
      <c r="B137" s="10" t="str">
        <f aca="false">IF($A137="","",IFERROR(IF(INDEX(원본명단!$B$3:$B$6002,MATCH("R"&amp;132,정리결과!$J$6:$J$6005,0))="","",INDEX(원본명단!$B$3:$B$6002,MATCH("R"&amp;132,정리결과!$J$6:$J$6005,0))),""))</f>
        <v/>
      </c>
      <c r="C137" s="10" t="str">
        <f aca="false">IF($A137="","",IFERROR(IF(INDEX(원본명단!$C$3:$C$6002,MATCH("R"&amp;132,정리결과!$J$6:$J$6005,0))="","",INDEX(원본명단!$C$3:$C$6002,MATCH("R"&amp;132,정리결과!$J$6:$J$6005,0))),""))</f>
        <v/>
      </c>
      <c r="D137" s="10" t="str">
        <f aca="false">IF($A137="","",IFERROR(IF(INDEX(원본명단!$D$3:$D$6002,MATCH("R"&amp;132,정리결과!$J$6:$J$6005,0))="","",INDEX(원본명단!$D$3:$D$6002,MATCH("R"&amp;132,정리결과!$J$6:$J$6005,0))),""))</f>
        <v/>
      </c>
      <c r="E137" s="10" t="str">
        <f aca="false">IF($A137="","",IFERROR(IF(INDEX(원본명단!$E$3:$E$6002,MATCH("R"&amp;132,정리결과!$J$6:$J$6005,0))="","",INDEX(원본명단!$E$3:$E$6002,MATCH("R"&amp;132,정리결과!$J$6:$J$6005,0))),""))</f>
        <v/>
      </c>
      <c r="F137" s="10" t="str">
        <f aca="false">IF($A137="","",IFERROR(IF(INDEX(원본명단!$F$3:$F$6002,MATCH("R"&amp;132,정리결과!$J$6:$J$6005,0))="","",INDEX(원본명단!$F$3:$F$6002,MATCH("R"&amp;132,정리결과!$J$6:$J$6005,0))),""))</f>
        <v/>
      </c>
      <c r="H137" s="14" t="b">
        <f aca="false">IF(중복검사!$A135="",FALSE(),중복검사!$J135="유지")</f>
        <v>0</v>
      </c>
      <c r="I137" s="5" t="str">
        <f aca="false">IF($H137=FALSE(),"",COUNTIF($H$6:$H137,TRUE()))</f>
        <v/>
      </c>
      <c r="J137" s="5" t="str">
        <f aca="false">IF($I137="","","R"&amp;$I137)</f>
        <v/>
      </c>
    </row>
    <row r="138" customFormat="false" ht="15" hidden="false" customHeight="true" outlineLevel="0" collapsed="false">
      <c r="A138" s="10" t="str">
        <f aca="false">IFERROR(IF(INDEX(원본명단!$A$3:$A$6002,MATCH("R"&amp;133,정리결과!$J$6:$J$6005,0))="","",INDEX(원본명단!$A$3:$A$6002,MATCH("R"&amp;133,정리결과!$J$6:$J$6005,0))),"")</f>
        <v/>
      </c>
      <c r="B138" s="10" t="str">
        <f aca="false">IF($A138="","",IFERROR(IF(INDEX(원본명단!$B$3:$B$6002,MATCH("R"&amp;133,정리결과!$J$6:$J$6005,0))="","",INDEX(원본명단!$B$3:$B$6002,MATCH("R"&amp;133,정리결과!$J$6:$J$6005,0))),""))</f>
        <v/>
      </c>
      <c r="C138" s="10" t="str">
        <f aca="false">IF($A138="","",IFERROR(IF(INDEX(원본명단!$C$3:$C$6002,MATCH("R"&amp;133,정리결과!$J$6:$J$6005,0))="","",INDEX(원본명단!$C$3:$C$6002,MATCH("R"&amp;133,정리결과!$J$6:$J$6005,0))),""))</f>
        <v/>
      </c>
      <c r="D138" s="10" t="str">
        <f aca="false">IF($A138="","",IFERROR(IF(INDEX(원본명단!$D$3:$D$6002,MATCH("R"&amp;133,정리결과!$J$6:$J$6005,0))="","",INDEX(원본명단!$D$3:$D$6002,MATCH("R"&amp;133,정리결과!$J$6:$J$6005,0))),""))</f>
        <v/>
      </c>
      <c r="E138" s="10" t="str">
        <f aca="false">IF($A138="","",IFERROR(IF(INDEX(원본명단!$E$3:$E$6002,MATCH("R"&amp;133,정리결과!$J$6:$J$6005,0))="","",INDEX(원본명단!$E$3:$E$6002,MATCH("R"&amp;133,정리결과!$J$6:$J$6005,0))),""))</f>
        <v/>
      </c>
      <c r="F138" s="10" t="str">
        <f aca="false">IF($A138="","",IFERROR(IF(INDEX(원본명단!$F$3:$F$6002,MATCH("R"&amp;133,정리결과!$J$6:$J$6005,0))="","",INDEX(원본명단!$F$3:$F$6002,MATCH("R"&amp;133,정리결과!$J$6:$J$6005,0))),""))</f>
        <v/>
      </c>
      <c r="H138" s="14" t="b">
        <f aca="false">IF(중복검사!$A136="",FALSE(),중복검사!$J136="유지")</f>
        <v>0</v>
      </c>
      <c r="I138" s="5" t="str">
        <f aca="false">IF($H138=FALSE(),"",COUNTIF($H$6:$H138,TRUE()))</f>
        <v/>
      </c>
      <c r="J138" s="5" t="str">
        <f aca="false">IF($I138="","","R"&amp;$I138)</f>
        <v/>
      </c>
    </row>
    <row r="139" customFormat="false" ht="15" hidden="false" customHeight="true" outlineLevel="0" collapsed="false">
      <c r="A139" s="10" t="str">
        <f aca="false">IFERROR(IF(INDEX(원본명단!$A$3:$A$6002,MATCH("R"&amp;134,정리결과!$J$6:$J$6005,0))="","",INDEX(원본명단!$A$3:$A$6002,MATCH("R"&amp;134,정리결과!$J$6:$J$6005,0))),"")</f>
        <v/>
      </c>
      <c r="B139" s="10" t="str">
        <f aca="false">IF($A139="","",IFERROR(IF(INDEX(원본명단!$B$3:$B$6002,MATCH("R"&amp;134,정리결과!$J$6:$J$6005,0))="","",INDEX(원본명단!$B$3:$B$6002,MATCH("R"&amp;134,정리결과!$J$6:$J$6005,0))),""))</f>
        <v/>
      </c>
      <c r="C139" s="10" t="str">
        <f aca="false">IF($A139="","",IFERROR(IF(INDEX(원본명단!$C$3:$C$6002,MATCH("R"&amp;134,정리결과!$J$6:$J$6005,0))="","",INDEX(원본명단!$C$3:$C$6002,MATCH("R"&amp;134,정리결과!$J$6:$J$6005,0))),""))</f>
        <v/>
      </c>
      <c r="D139" s="10" t="str">
        <f aca="false">IF($A139="","",IFERROR(IF(INDEX(원본명단!$D$3:$D$6002,MATCH("R"&amp;134,정리결과!$J$6:$J$6005,0))="","",INDEX(원본명단!$D$3:$D$6002,MATCH("R"&amp;134,정리결과!$J$6:$J$6005,0))),""))</f>
        <v/>
      </c>
      <c r="E139" s="10" t="str">
        <f aca="false">IF($A139="","",IFERROR(IF(INDEX(원본명단!$E$3:$E$6002,MATCH("R"&amp;134,정리결과!$J$6:$J$6005,0))="","",INDEX(원본명단!$E$3:$E$6002,MATCH("R"&amp;134,정리결과!$J$6:$J$6005,0))),""))</f>
        <v/>
      </c>
      <c r="F139" s="10" t="str">
        <f aca="false">IF($A139="","",IFERROR(IF(INDEX(원본명단!$F$3:$F$6002,MATCH("R"&amp;134,정리결과!$J$6:$J$6005,0))="","",INDEX(원본명단!$F$3:$F$6002,MATCH("R"&amp;134,정리결과!$J$6:$J$6005,0))),""))</f>
        <v/>
      </c>
      <c r="H139" s="14" t="b">
        <f aca="false">IF(중복검사!$A137="",FALSE(),중복검사!$J137="유지")</f>
        <v>0</v>
      </c>
      <c r="I139" s="5" t="str">
        <f aca="false">IF($H139=FALSE(),"",COUNTIF($H$6:$H139,TRUE()))</f>
        <v/>
      </c>
      <c r="J139" s="5" t="str">
        <f aca="false">IF($I139="","","R"&amp;$I139)</f>
        <v/>
      </c>
    </row>
    <row r="140" customFormat="false" ht="15" hidden="false" customHeight="true" outlineLevel="0" collapsed="false">
      <c r="A140" s="10" t="str">
        <f aca="false">IFERROR(IF(INDEX(원본명단!$A$3:$A$6002,MATCH("R"&amp;135,정리결과!$J$6:$J$6005,0))="","",INDEX(원본명단!$A$3:$A$6002,MATCH("R"&amp;135,정리결과!$J$6:$J$6005,0))),"")</f>
        <v/>
      </c>
      <c r="B140" s="10" t="str">
        <f aca="false">IF($A140="","",IFERROR(IF(INDEX(원본명단!$B$3:$B$6002,MATCH("R"&amp;135,정리결과!$J$6:$J$6005,0))="","",INDEX(원본명단!$B$3:$B$6002,MATCH("R"&amp;135,정리결과!$J$6:$J$6005,0))),""))</f>
        <v/>
      </c>
      <c r="C140" s="10" t="str">
        <f aca="false">IF($A140="","",IFERROR(IF(INDEX(원본명단!$C$3:$C$6002,MATCH("R"&amp;135,정리결과!$J$6:$J$6005,0))="","",INDEX(원본명단!$C$3:$C$6002,MATCH("R"&amp;135,정리결과!$J$6:$J$6005,0))),""))</f>
        <v/>
      </c>
      <c r="D140" s="10" t="str">
        <f aca="false">IF($A140="","",IFERROR(IF(INDEX(원본명단!$D$3:$D$6002,MATCH("R"&amp;135,정리결과!$J$6:$J$6005,0))="","",INDEX(원본명단!$D$3:$D$6002,MATCH("R"&amp;135,정리결과!$J$6:$J$6005,0))),""))</f>
        <v/>
      </c>
      <c r="E140" s="10" t="str">
        <f aca="false">IF($A140="","",IFERROR(IF(INDEX(원본명단!$E$3:$E$6002,MATCH("R"&amp;135,정리결과!$J$6:$J$6005,0))="","",INDEX(원본명단!$E$3:$E$6002,MATCH("R"&amp;135,정리결과!$J$6:$J$6005,0))),""))</f>
        <v/>
      </c>
      <c r="F140" s="10" t="str">
        <f aca="false">IF($A140="","",IFERROR(IF(INDEX(원본명단!$F$3:$F$6002,MATCH("R"&amp;135,정리결과!$J$6:$J$6005,0))="","",INDEX(원본명단!$F$3:$F$6002,MATCH("R"&amp;135,정리결과!$J$6:$J$6005,0))),""))</f>
        <v/>
      </c>
      <c r="H140" s="14" t="b">
        <f aca="false">IF(중복검사!$A138="",FALSE(),중복검사!$J138="유지")</f>
        <v>0</v>
      </c>
      <c r="I140" s="5" t="str">
        <f aca="false">IF($H140=FALSE(),"",COUNTIF($H$6:$H140,TRUE()))</f>
        <v/>
      </c>
      <c r="J140" s="5" t="str">
        <f aca="false">IF($I140="","","R"&amp;$I140)</f>
        <v/>
      </c>
    </row>
    <row r="141" customFormat="false" ht="15" hidden="false" customHeight="true" outlineLevel="0" collapsed="false">
      <c r="A141" s="10" t="str">
        <f aca="false">IFERROR(IF(INDEX(원본명단!$A$3:$A$6002,MATCH("R"&amp;136,정리결과!$J$6:$J$6005,0))="","",INDEX(원본명단!$A$3:$A$6002,MATCH("R"&amp;136,정리결과!$J$6:$J$6005,0))),"")</f>
        <v/>
      </c>
      <c r="B141" s="10" t="str">
        <f aca="false">IF($A141="","",IFERROR(IF(INDEX(원본명단!$B$3:$B$6002,MATCH("R"&amp;136,정리결과!$J$6:$J$6005,0))="","",INDEX(원본명단!$B$3:$B$6002,MATCH("R"&amp;136,정리결과!$J$6:$J$6005,0))),""))</f>
        <v/>
      </c>
      <c r="C141" s="10" t="str">
        <f aca="false">IF($A141="","",IFERROR(IF(INDEX(원본명단!$C$3:$C$6002,MATCH("R"&amp;136,정리결과!$J$6:$J$6005,0))="","",INDEX(원본명단!$C$3:$C$6002,MATCH("R"&amp;136,정리결과!$J$6:$J$6005,0))),""))</f>
        <v/>
      </c>
      <c r="D141" s="10" t="str">
        <f aca="false">IF($A141="","",IFERROR(IF(INDEX(원본명단!$D$3:$D$6002,MATCH("R"&amp;136,정리결과!$J$6:$J$6005,0))="","",INDEX(원본명단!$D$3:$D$6002,MATCH("R"&amp;136,정리결과!$J$6:$J$6005,0))),""))</f>
        <v/>
      </c>
      <c r="E141" s="10" t="str">
        <f aca="false">IF($A141="","",IFERROR(IF(INDEX(원본명단!$E$3:$E$6002,MATCH("R"&amp;136,정리결과!$J$6:$J$6005,0))="","",INDEX(원본명단!$E$3:$E$6002,MATCH("R"&amp;136,정리결과!$J$6:$J$6005,0))),""))</f>
        <v/>
      </c>
      <c r="F141" s="10" t="str">
        <f aca="false">IF($A141="","",IFERROR(IF(INDEX(원본명단!$F$3:$F$6002,MATCH("R"&amp;136,정리결과!$J$6:$J$6005,0))="","",INDEX(원본명단!$F$3:$F$6002,MATCH("R"&amp;136,정리결과!$J$6:$J$6005,0))),""))</f>
        <v/>
      </c>
      <c r="H141" s="14" t="b">
        <f aca="false">IF(중복검사!$A139="",FALSE(),중복검사!$J139="유지")</f>
        <v>0</v>
      </c>
      <c r="I141" s="5" t="str">
        <f aca="false">IF($H141=FALSE(),"",COUNTIF($H$6:$H141,TRUE()))</f>
        <v/>
      </c>
      <c r="J141" s="5" t="str">
        <f aca="false">IF($I141="","","R"&amp;$I141)</f>
        <v/>
      </c>
    </row>
    <row r="142" customFormat="false" ht="15" hidden="false" customHeight="true" outlineLevel="0" collapsed="false">
      <c r="A142" s="10" t="str">
        <f aca="false">IFERROR(IF(INDEX(원본명단!$A$3:$A$6002,MATCH("R"&amp;137,정리결과!$J$6:$J$6005,0))="","",INDEX(원본명단!$A$3:$A$6002,MATCH("R"&amp;137,정리결과!$J$6:$J$6005,0))),"")</f>
        <v/>
      </c>
      <c r="B142" s="10" t="str">
        <f aca="false">IF($A142="","",IFERROR(IF(INDEX(원본명단!$B$3:$B$6002,MATCH("R"&amp;137,정리결과!$J$6:$J$6005,0))="","",INDEX(원본명단!$B$3:$B$6002,MATCH("R"&amp;137,정리결과!$J$6:$J$6005,0))),""))</f>
        <v/>
      </c>
      <c r="C142" s="10" t="str">
        <f aca="false">IF($A142="","",IFERROR(IF(INDEX(원본명단!$C$3:$C$6002,MATCH("R"&amp;137,정리결과!$J$6:$J$6005,0))="","",INDEX(원본명단!$C$3:$C$6002,MATCH("R"&amp;137,정리결과!$J$6:$J$6005,0))),""))</f>
        <v/>
      </c>
      <c r="D142" s="10" t="str">
        <f aca="false">IF($A142="","",IFERROR(IF(INDEX(원본명단!$D$3:$D$6002,MATCH("R"&amp;137,정리결과!$J$6:$J$6005,0))="","",INDEX(원본명단!$D$3:$D$6002,MATCH("R"&amp;137,정리결과!$J$6:$J$6005,0))),""))</f>
        <v/>
      </c>
      <c r="E142" s="10" t="str">
        <f aca="false">IF($A142="","",IFERROR(IF(INDEX(원본명단!$E$3:$E$6002,MATCH("R"&amp;137,정리결과!$J$6:$J$6005,0))="","",INDEX(원본명단!$E$3:$E$6002,MATCH("R"&amp;137,정리결과!$J$6:$J$6005,0))),""))</f>
        <v/>
      </c>
      <c r="F142" s="10" t="str">
        <f aca="false">IF($A142="","",IFERROR(IF(INDEX(원본명단!$F$3:$F$6002,MATCH("R"&amp;137,정리결과!$J$6:$J$6005,0))="","",INDEX(원본명단!$F$3:$F$6002,MATCH("R"&amp;137,정리결과!$J$6:$J$6005,0))),""))</f>
        <v/>
      </c>
      <c r="H142" s="14" t="b">
        <f aca="false">IF(중복검사!$A140="",FALSE(),중복검사!$J140="유지")</f>
        <v>0</v>
      </c>
      <c r="I142" s="5" t="str">
        <f aca="false">IF($H142=FALSE(),"",COUNTIF($H$6:$H142,TRUE()))</f>
        <v/>
      </c>
      <c r="J142" s="5" t="str">
        <f aca="false">IF($I142="","","R"&amp;$I142)</f>
        <v/>
      </c>
    </row>
    <row r="143" customFormat="false" ht="15" hidden="false" customHeight="true" outlineLevel="0" collapsed="false">
      <c r="A143" s="10" t="str">
        <f aca="false">IFERROR(IF(INDEX(원본명단!$A$3:$A$6002,MATCH("R"&amp;138,정리결과!$J$6:$J$6005,0))="","",INDEX(원본명단!$A$3:$A$6002,MATCH("R"&amp;138,정리결과!$J$6:$J$6005,0))),"")</f>
        <v/>
      </c>
      <c r="B143" s="10" t="str">
        <f aca="false">IF($A143="","",IFERROR(IF(INDEX(원본명단!$B$3:$B$6002,MATCH("R"&amp;138,정리결과!$J$6:$J$6005,0))="","",INDEX(원본명단!$B$3:$B$6002,MATCH("R"&amp;138,정리결과!$J$6:$J$6005,0))),""))</f>
        <v/>
      </c>
      <c r="C143" s="10" t="str">
        <f aca="false">IF($A143="","",IFERROR(IF(INDEX(원본명단!$C$3:$C$6002,MATCH("R"&amp;138,정리결과!$J$6:$J$6005,0))="","",INDEX(원본명단!$C$3:$C$6002,MATCH("R"&amp;138,정리결과!$J$6:$J$6005,0))),""))</f>
        <v/>
      </c>
      <c r="D143" s="10" t="str">
        <f aca="false">IF($A143="","",IFERROR(IF(INDEX(원본명단!$D$3:$D$6002,MATCH("R"&amp;138,정리결과!$J$6:$J$6005,0))="","",INDEX(원본명단!$D$3:$D$6002,MATCH("R"&amp;138,정리결과!$J$6:$J$6005,0))),""))</f>
        <v/>
      </c>
      <c r="E143" s="10" t="str">
        <f aca="false">IF($A143="","",IFERROR(IF(INDEX(원본명단!$E$3:$E$6002,MATCH("R"&amp;138,정리결과!$J$6:$J$6005,0))="","",INDEX(원본명단!$E$3:$E$6002,MATCH("R"&amp;138,정리결과!$J$6:$J$6005,0))),""))</f>
        <v/>
      </c>
      <c r="F143" s="10" t="str">
        <f aca="false">IF($A143="","",IFERROR(IF(INDEX(원본명단!$F$3:$F$6002,MATCH("R"&amp;138,정리결과!$J$6:$J$6005,0))="","",INDEX(원본명단!$F$3:$F$6002,MATCH("R"&amp;138,정리결과!$J$6:$J$6005,0))),""))</f>
        <v/>
      </c>
      <c r="H143" s="14" t="b">
        <f aca="false">IF(중복검사!$A141="",FALSE(),중복검사!$J141="유지")</f>
        <v>0</v>
      </c>
      <c r="I143" s="5" t="str">
        <f aca="false">IF($H143=FALSE(),"",COUNTIF($H$6:$H143,TRUE()))</f>
        <v/>
      </c>
      <c r="J143" s="5" t="str">
        <f aca="false">IF($I143="","","R"&amp;$I143)</f>
        <v/>
      </c>
    </row>
    <row r="144" customFormat="false" ht="15" hidden="false" customHeight="true" outlineLevel="0" collapsed="false">
      <c r="A144" s="10" t="str">
        <f aca="false">IFERROR(IF(INDEX(원본명단!$A$3:$A$6002,MATCH("R"&amp;139,정리결과!$J$6:$J$6005,0))="","",INDEX(원본명단!$A$3:$A$6002,MATCH("R"&amp;139,정리결과!$J$6:$J$6005,0))),"")</f>
        <v/>
      </c>
      <c r="B144" s="10" t="str">
        <f aca="false">IF($A144="","",IFERROR(IF(INDEX(원본명단!$B$3:$B$6002,MATCH("R"&amp;139,정리결과!$J$6:$J$6005,0))="","",INDEX(원본명단!$B$3:$B$6002,MATCH("R"&amp;139,정리결과!$J$6:$J$6005,0))),""))</f>
        <v/>
      </c>
      <c r="C144" s="10" t="str">
        <f aca="false">IF($A144="","",IFERROR(IF(INDEX(원본명단!$C$3:$C$6002,MATCH("R"&amp;139,정리결과!$J$6:$J$6005,0))="","",INDEX(원본명단!$C$3:$C$6002,MATCH("R"&amp;139,정리결과!$J$6:$J$6005,0))),""))</f>
        <v/>
      </c>
      <c r="D144" s="10" t="str">
        <f aca="false">IF($A144="","",IFERROR(IF(INDEX(원본명단!$D$3:$D$6002,MATCH("R"&amp;139,정리결과!$J$6:$J$6005,0))="","",INDEX(원본명단!$D$3:$D$6002,MATCH("R"&amp;139,정리결과!$J$6:$J$6005,0))),""))</f>
        <v/>
      </c>
      <c r="E144" s="10" t="str">
        <f aca="false">IF($A144="","",IFERROR(IF(INDEX(원본명단!$E$3:$E$6002,MATCH("R"&amp;139,정리결과!$J$6:$J$6005,0))="","",INDEX(원본명단!$E$3:$E$6002,MATCH("R"&amp;139,정리결과!$J$6:$J$6005,0))),""))</f>
        <v/>
      </c>
      <c r="F144" s="10" t="str">
        <f aca="false">IF($A144="","",IFERROR(IF(INDEX(원본명단!$F$3:$F$6002,MATCH("R"&amp;139,정리결과!$J$6:$J$6005,0))="","",INDEX(원본명단!$F$3:$F$6002,MATCH("R"&amp;139,정리결과!$J$6:$J$6005,0))),""))</f>
        <v/>
      </c>
      <c r="H144" s="14" t="b">
        <f aca="false">IF(중복검사!$A142="",FALSE(),중복검사!$J142="유지")</f>
        <v>0</v>
      </c>
      <c r="I144" s="5" t="str">
        <f aca="false">IF($H144=FALSE(),"",COUNTIF($H$6:$H144,TRUE()))</f>
        <v/>
      </c>
      <c r="J144" s="5" t="str">
        <f aca="false">IF($I144="","","R"&amp;$I144)</f>
        <v/>
      </c>
    </row>
    <row r="145" customFormat="false" ht="15" hidden="false" customHeight="true" outlineLevel="0" collapsed="false">
      <c r="A145" s="10" t="str">
        <f aca="false">IFERROR(IF(INDEX(원본명단!$A$3:$A$6002,MATCH("R"&amp;140,정리결과!$J$6:$J$6005,0))="","",INDEX(원본명단!$A$3:$A$6002,MATCH("R"&amp;140,정리결과!$J$6:$J$6005,0))),"")</f>
        <v/>
      </c>
      <c r="B145" s="10" t="str">
        <f aca="false">IF($A145="","",IFERROR(IF(INDEX(원본명단!$B$3:$B$6002,MATCH("R"&amp;140,정리결과!$J$6:$J$6005,0))="","",INDEX(원본명단!$B$3:$B$6002,MATCH("R"&amp;140,정리결과!$J$6:$J$6005,0))),""))</f>
        <v/>
      </c>
      <c r="C145" s="10" t="str">
        <f aca="false">IF($A145="","",IFERROR(IF(INDEX(원본명단!$C$3:$C$6002,MATCH("R"&amp;140,정리결과!$J$6:$J$6005,0))="","",INDEX(원본명단!$C$3:$C$6002,MATCH("R"&amp;140,정리결과!$J$6:$J$6005,0))),""))</f>
        <v/>
      </c>
      <c r="D145" s="10" t="str">
        <f aca="false">IF($A145="","",IFERROR(IF(INDEX(원본명단!$D$3:$D$6002,MATCH("R"&amp;140,정리결과!$J$6:$J$6005,0))="","",INDEX(원본명단!$D$3:$D$6002,MATCH("R"&amp;140,정리결과!$J$6:$J$6005,0))),""))</f>
        <v/>
      </c>
      <c r="E145" s="10" t="str">
        <f aca="false">IF($A145="","",IFERROR(IF(INDEX(원본명단!$E$3:$E$6002,MATCH("R"&amp;140,정리결과!$J$6:$J$6005,0))="","",INDEX(원본명단!$E$3:$E$6002,MATCH("R"&amp;140,정리결과!$J$6:$J$6005,0))),""))</f>
        <v/>
      </c>
      <c r="F145" s="10" t="str">
        <f aca="false">IF($A145="","",IFERROR(IF(INDEX(원본명단!$F$3:$F$6002,MATCH("R"&amp;140,정리결과!$J$6:$J$6005,0))="","",INDEX(원본명단!$F$3:$F$6002,MATCH("R"&amp;140,정리결과!$J$6:$J$6005,0))),""))</f>
        <v/>
      </c>
      <c r="H145" s="14" t="b">
        <f aca="false">IF(중복검사!$A143="",FALSE(),중복검사!$J143="유지")</f>
        <v>0</v>
      </c>
      <c r="I145" s="5" t="str">
        <f aca="false">IF($H145=FALSE(),"",COUNTIF($H$6:$H145,TRUE()))</f>
        <v/>
      </c>
      <c r="J145" s="5" t="str">
        <f aca="false">IF($I145="","","R"&amp;$I145)</f>
        <v/>
      </c>
    </row>
    <row r="146" customFormat="false" ht="15" hidden="false" customHeight="true" outlineLevel="0" collapsed="false">
      <c r="A146" s="10" t="str">
        <f aca="false">IFERROR(IF(INDEX(원본명단!$A$3:$A$6002,MATCH("R"&amp;141,정리결과!$J$6:$J$6005,0))="","",INDEX(원본명단!$A$3:$A$6002,MATCH("R"&amp;141,정리결과!$J$6:$J$6005,0))),"")</f>
        <v/>
      </c>
      <c r="B146" s="10" t="str">
        <f aca="false">IF($A146="","",IFERROR(IF(INDEX(원본명단!$B$3:$B$6002,MATCH("R"&amp;141,정리결과!$J$6:$J$6005,0))="","",INDEX(원본명단!$B$3:$B$6002,MATCH("R"&amp;141,정리결과!$J$6:$J$6005,0))),""))</f>
        <v/>
      </c>
      <c r="C146" s="10" t="str">
        <f aca="false">IF($A146="","",IFERROR(IF(INDEX(원본명단!$C$3:$C$6002,MATCH("R"&amp;141,정리결과!$J$6:$J$6005,0))="","",INDEX(원본명단!$C$3:$C$6002,MATCH("R"&amp;141,정리결과!$J$6:$J$6005,0))),""))</f>
        <v/>
      </c>
      <c r="D146" s="10" t="str">
        <f aca="false">IF($A146="","",IFERROR(IF(INDEX(원본명단!$D$3:$D$6002,MATCH("R"&amp;141,정리결과!$J$6:$J$6005,0))="","",INDEX(원본명단!$D$3:$D$6002,MATCH("R"&amp;141,정리결과!$J$6:$J$6005,0))),""))</f>
        <v/>
      </c>
      <c r="E146" s="10" t="str">
        <f aca="false">IF($A146="","",IFERROR(IF(INDEX(원본명단!$E$3:$E$6002,MATCH("R"&amp;141,정리결과!$J$6:$J$6005,0))="","",INDEX(원본명단!$E$3:$E$6002,MATCH("R"&amp;141,정리결과!$J$6:$J$6005,0))),""))</f>
        <v/>
      </c>
      <c r="F146" s="10" t="str">
        <f aca="false">IF($A146="","",IFERROR(IF(INDEX(원본명단!$F$3:$F$6002,MATCH("R"&amp;141,정리결과!$J$6:$J$6005,0))="","",INDEX(원본명단!$F$3:$F$6002,MATCH("R"&amp;141,정리결과!$J$6:$J$6005,0))),""))</f>
        <v/>
      </c>
      <c r="H146" s="14" t="b">
        <f aca="false">IF(중복검사!$A144="",FALSE(),중복검사!$J144="유지")</f>
        <v>0</v>
      </c>
      <c r="I146" s="5" t="str">
        <f aca="false">IF($H146=FALSE(),"",COUNTIF($H$6:$H146,TRUE()))</f>
        <v/>
      </c>
      <c r="J146" s="5" t="str">
        <f aca="false">IF($I146="","","R"&amp;$I146)</f>
        <v/>
      </c>
    </row>
    <row r="147" customFormat="false" ht="15" hidden="false" customHeight="true" outlineLevel="0" collapsed="false">
      <c r="A147" s="10" t="str">
        <f aca="false">IFERROR(IF(INDEX(원본명단!$A$3:$A$6002,MATCH("R"&amp;142,정리결과!$J$6:$J$6005,0))="","",INDEX(원본명단!$A$3:$A$6002,MATCH("R"&amp;142,정리결과!$J$6:$J$6005,0))),"")</f>
        <v/>
      </c>
      <c r="B147" s="10" t="str">
        <f aca="false">IF($A147="","",IFERROR(IF(INDEX(원본명단!$B$3:$B$6002,MATCH("R"&amp;142,정리결과!$J$6:$J$6005,0))="","",INDEX(원본명단!$B$3:$B$6002,MATCH("R"&amp;142,정리결과!$J$6:$J$6005,0))),""))</f>
        <v/>
      </c>
      <c r="C147" s="10" t="str">
        <f aca="false">IF($A147="","",IFERROR(IF(INDEX(원본명단!$C$3:$C$6002,MATCH("R"&amp;142,정리결과!$J$6:$J$6005,0))="","",INDEX(원본명단!$C$3:$C$6002,MATCH("R"&amp;142,정리결과!$J$6:$J$6005,0))),""))</f>
        <v/>
      </c>
      <c r="D147" s="10" t="str">
        <f aca="false">IF($A147="","",IFERROR(IF(INDEX(원본명단!$D$3:$D$6002,MATCH("R"&amp;142,정리결과!$J$6:$J$6005,0))="","",INDEX(원본명단!$D$3:$D$6002,MATCH("R"&amp;142,정리결과!$J$6:$J$6005,0))),""))</f>
        <v/>
      </c>
      <c r="E147" s="10" t="str">
        <f aca="false">IF($A147="","",IFERROR(IF(INDEX(원본명단!$E$3:$E$6002,MATCH("R"&amp;142,정리결과!$J$6:$J$6005,0))="","",INDEX(원본명단!$E$3:$E$6002,MATCH("R"&amp;142,정리결과!$J$6:$J$6005,0))),""))</f>
        <v/>
      </c>
      <c r="F147" s="10" t="str">
        <f aca="false">IF($A147="","",IFERROR(IF(INDEX(원본명단!$F$3:$F$6002,MATCH("R"&amp;142,정리결과!$J$6:$J$6005,0))="","",INDEX(원본명단!$F$3:$F$6002,MATCH("R"&amp;142,정리결과!$J$6:$J$6005,0))),""))</f>
        <v/>
      </c>
      <c r="H147" s="14" t="b">
        <f aca="false">IF(중복검사!$A145="",FALSE(),중복검사!$J145="유지")</f>
        <v>0</v>
      </c>
      <c r="I147" s="5" t="str">
        <f aca="false">IF($H147=FALSE(),"",COUNTIF($H$6:$H147,TRUE()))</f>
        <v/>
      </c>
      <c r="J147" s="5" t="str">
        <f aca="false">IF($I147="","","R"&amp;$I147)</f>
        <v/>
      </c>
    </row>
    <row r="148" customFormat="false" ht="15" hidden="false" customHeight="true" outlineLevel="0" collapsed="false">
      <c r="A148" s="10" t="str">
        <f aca="false">IFERROR(IF(INDEX(원본명단!$A$3:$A$6002,MATCH("R"&amp;143,정리결과!$J$6:$J$6005,0))="","",INDEX(원본명단!$A$3:$A$6002,MATCH("R"&amp;143,정리결과!$J$6:$J$6005,0))),"")</f>
        <v/>
      </c>
      <c r="B148" s="10" t="str">
        <f aca="false">IF($A148="","",IFERROR(IF(INDEX(원본명단!$B$3:$B$6002,MATCH("R"&amp;143,정리결과!$J$6:$J$6005,0))="","",INDEX(원본명단!$B$3:$B$6002,MATCH("R"&amp;143,정리결과!$J$6:$J$6005,0))),""))</f>
        <v/>
      </c>
      <c r="C148" s="10" t="str">
        <f aca="false">IF($A148="","",IFERROR(IF(INDEX(원본명단!$C$3:$C$6002,MATCH("R"&amp;143,정리결과!$J$6:$J$6005,0))="","",INDEX(원본명단!$C$3:$C$6002,MATCH("R"&amp;143,정리결과!$J$6:$J$6005,0))),""))</f>
        <v/>
      </c>
      <c r="D148" s="10" t="str">
        <f aca="false">IF($A148="","",IFERROR(IF(INDEX(원본명단!$D$3:$D$6002,MATCH("R"&amp;143,정리결과!$J$6:$J$6005,0))="","",INDEX(원본명단!$D$3:$D$6002,MATCH("R"&amp;143,정리결과!$J$6:$J$6005,0))),""))</f>
        <v/>
      </c>
      <c r="E148" s="10" t="str">
        <f aca="false">IF($A148="","",IFERROR(IF(INDEX(원본명단!$E$3:$E$6002,MATCH("R"&amp;143,정리결과!$J$6:$J$6005,0))="","",INDEX(원본명단!$E$3:$E$6002,MATCH("R"&amp;143,정리결과!$J$6:$J$6005,0))),""))</f>
        <v/>
      </c>
      <c r="F148" s="10" t="str">
        <f aca="false">IF($A148="","",IFERROR(IF(INDEX(원본명단!$F$3:$F$6002,MATCH("R"&amp;143,정리결과!$J$6:$J$6005,0))="","",INDEX(원본명단!$F$3:$F$6002,MATCH("R"&amp;143,정리결과!$J$6:$J$6005,0))),""))</f>
        <v/>
      </c>
      <c r="H148" s="14" t="b">
        <f aca="false">IF(중복검사!$A146="",FALSE(),중복검사!$J146="유지")</f>
        <v>0</v>
      </c>
      <c r="I148" s="5" t="str">
        <f aca="false">IF($H148=FALSE(),"",COUNTIF($H$6:$H148,TRUE()))</f>
        <v/>
      </c>
      <c r="J148" s="5" t="str">
        <f aca="false">IF($I148="","","R"&amp;$I148)</f>
        <v/>
      </c>
    </row>
    <row r="149" customFormat="false" ht="15" hidden="false" customHeight="true" outlineLevel="0" collapsed="false">
      <c r="A149" s="10" t="str">
        <f aca="false">IFERROR(IF(INDEX(원본명단!$A$3:$A$6002,MATCH("R"&amp;144,정리결과!$J$6:$J$6005,0))="","",INDEX(원본명단!$A$3:$A$6002,MATCH("R"&amp;144,정리결과!$J$6:$J$6005,0))),"")</f>
        <v/>
      </c>
      <c r="B149" s="10" t="str">
        <f aca="false">IF($A149="","",IFERROR(IF(INDEX(원본명단!$B$3:$B$6002,MATCH("R"&amp;144,정리결과!$J$6:$J$6005,0))="","",INDEX(원본명단!$B$3:$B$6002,MATCH("R"&amp;144,정리결과!$J$6:$J$6005,0))),""))</f>
        <v/>
      </c>
      <c r="C149" s="10" t="str">
        <f aca="false">IF($A149="","",IFERROR(IF(INDEX(원본명단!$C$3:$C$6002,MATCH("R"&amp;144,정리결과!$J$6:$J$6005,0))="","",INDEX(원본명단!$C$3:$C$6002,MATCH("R"&amp;144,정리결과!$J$6:$J$6005,0))),""))</f>
        <v/>
      </c>
      <c r="D149" s="10" t="str">
        <f aca="false">IF($A149="","",IFERROR(IF(INDEX(원본명단!$D$3:$D$6002,MATCH("R"&amp;144,정리결과!$J$6:$J$6005,0))="","",INDEX(원본명단!$D$3:$D$6002,MATCH("R"&amp;144,정리결과!$J$6:$J$6005,0))),""))</f>
        <v/>
      </c>
      <c r="E149" s="10" t="str">
        <f aca="false">IF($A149="","",IFERROR(IF(INDEX(원본명단!$E$3:$E$6002,MATCH("R"&amp;144,정리결과!$J$6:$J$6005,0))="","",INDEX(원본명단!$E$3:$E$6002,MATCH("R"&amp;144,정리결과!$J$6:$J$6005,0))),""))</f>
        <v/>
      </c>
      <c r="F149" s="10" t="str">
        <f aca="false">IF($A149="","",IFERROR(IF(INDEX(원본명단!$F$3:$F$6002,MATCH("R"&amp;144,정리결과!$J$6:$J$6005,0))="","",INDEX(원본명단!$F$3:$F$6002,MATCH("R"&amp;144,정리결과!$J$6:$J$6005,0))),""))</f>
        <v/>
      </c>
      <c r="H149" s="14" t="b">
        <f aca="false">IF(중복검사!$A147="",FALSE(),중복검사!$J147="유지")</f>
        <v>0</v>
      </c>
      <c r="I149" s="5" t="str">
        <f aca="false">IF($H149=FALSE(),"",COUNTIF($H$6:$H149,TRUE()))</f>
        <v/>
      </c>
      <c r="J149" s="5" t="str">
        <f aca="false">IF($I149="","","R"&amp;$I149)</f>
        <v/>
      </c>
    </row>
    <row r="150" customFormat="false" ht="15" hidden="false" customHeight="true" outlineLevel="0" collapsed="false">
      <c r="A150" s="10" t="str">
        <f aca="false">IFERROR(IF(INDEX(원본명단!$A$3:$A$6002,MATCH("R"&amp;145,정리결과!$J$6:$J$6005,0))="","",INDEX(원본명단!$A$3:$A$6002,MATCH("R"&amp;145,정리결과!$J$6:$J$6005,0))),"")</f>
        <v/>
      </c>
      <c r="B150" s="10" t="str">
        <f aca="false">IF($A150="","",IFERROR(IF(INDEX(원본명단!$B$3:$B$6002,MATCH("R"&amp;145,정리결과!$J$6:$J$6005,0))="","",INDEX(원본명단!$B$3:$B$6002,MATCH("R"&amp;145,정리결과!$J$6:$J$6005,0))),""))</f>
        <v/>
      </c>
      <c r="C150" s="10" t="str">
        <f aca="false">IF($A150="","",IFERROR(IF(INDEX(원본명단!$C$3:$C$6002,MATCH("R"&amp;145,정리결과!$J$6:$J$6005,0))="","",INDEX(원본명단!$C$3:$C$6002,MATCH("R"&amp;145,정리결과!$J$6:$J$6005,0))),""))</f>
        <v/>
      </c>
      <c r="D150" s="10" t="str">
        <f aca="false">IF($A150="","",IFERROR(IF(INDEX(원본명단!$D$3:$D$6002,MATCH("R"&amp;145,정리결과!$J$6:$J$6005,0))="","",INDEX(원본명단!$D$3:$D$6002,MATCH("R"&amp;145,정리결과!$J$6:$J$6005,0))),""))</f>
        <v/>
      </c>
      <c r="E150" s="10" t="str">
        <f aca="false">IF($A150="","",IFERROR(IF(INDEX(원본명단!$E$3:$E$6002,MATCH("R"&amp;145,정리결과!$J$6:$J$6005,0))="","",INDEX(원본명단!$E$3:$E$6002,MATCH("R"&amp;145,정리결과!$J$6:$J$6005,0))),""))</f>
        <v/>
      </c>
      <c r="F150" s="10" t="str">
        <f aca="false">IF($A150="","",IFERROR(IF(INDEX(원본명단!$F$3:$F$6002,MATCH("R"&amp;145,정리결과!$J$6:$J$6005,0))="","",INDEX(원본명단!$F$3:$F$6002,MATCH("R"&amp;145,정리결과!$J$6:$J$6005,0))),""))</f>
        <v/>
      </c>
      <c r="H150" s="14" t="b">
        <f aca="false">IF(중복검사!$A148="",FALSE(),중복검사!$J148="유지")</f>
        <v>0</v>
      </c>
      <c r="I150" s="5" t="str">
        <f aca="false">IF($H150=FALSE(),"",COUNTIF($H$6:$H150,TRUE()))</f>
        <v/>
      </c>
      <c r="J150" s="5" t="str">
        <f aca="false">IF($I150="","","R"&amp;$I150)</f>
        <v/>
      </c>
    </row>
    <row r="151" customFormat="false" ht="15" hidden="false" customHeight="true" outlineLevel="0" collapsed="false">
      <c r="A151" s="10" t="str">
        <f aca="false">IFERROR(IF(INDEX(원본명단!$A$3:$A$6002,MATCH("R"&amp;146,정리결과!$J$6:$J$6005,0))="","",INDEX(원본명단!$A$3:$A$6002,MATCH("R"&amp;146,정리결과!$J$6:$J$6005,0))),"")</f>
        <v/>
      </c>
      <c r="B151" s="10" t="str">
        <f aca="false">IF($A151="","",IFERROR(IF(INDEX(원본명단!$B$3:$B$6002,MATCH("R"&amp;146,정리결과!$J$6:$J$6005,0))="","",INDEX(원본명단!$B$3:$B$6002,MATCH("R"&amp;146,정리결과!$J$6:$J$6005,0))),""))</f>
        <v/>
      </c>
      <c r="C151" s="10" t="str">
        <f aca="false">IF($A151="","",IFERROR(IF(INDEX(원본명단!$C$3:$C$6002,MATCH("R"&amp;146,정리결과!$J$6:$J$6005,0))="","",INDEX(원본명단!$C$3:$C$6002,MATCH("R"&amp;146,정리결과!$J$6:$J$6005,0))),""))</f>
        <v/>
      </c>
      <c r="D151" s="10" t="str">
        <f aca="false">IF($A151="","",IFERROR(IF(INDEX(원본명단!$D$3:$D$6002,MATCH("R"&amp;146,정리결과!$J$6:$J$6005,0))="","",INDEX(원본명단!$D$3:$D$6002,MATCH("R"&amp;146,정리결과!$J$6:$J$6005,0))),""))</f>
        <v/>
      </c>
      <c r="E151" s="10" t="str">
        <f aca="false">IF($A151="","",IFERROR(IF(INDEX(원본명단!$E$3:$E$6002,MATCH("R"&amp;146,정리결과!$J$6:$J$6005,0))="","",INDEX(원본명단!$E$3:$E$6002,MATCH("R"&amp;146,정리결과!$J$6:$J$6005,0))),""))</f>
        <v/>
      </c>
      <c r="F151" s="10" t="str">
        <f aca="false">IF($A151="","",IFERROR(IF(INDEX(원본명단!$F$3:$F$6002,MATCH("R"&amp;146,정리결과!$J$6:$J$6005,0))="","",INDEX(원본명단!$F$3:$F$6002,MATCH("R"&amp;146,정리결과!$J$6:$J$6005,0))),""))</f>
        <v/>
      </c>
      <c r="H151" s="14" t="b">
        <f aca="false">IF(중복검사!$A149="",FALSE(),중복검사!$J149="유지")</f>
        <v>0</v>
      </c>
      <c r="I151" s="5" t="str">
        <f aca="false">IF($H151=FALSE(),"",COUNTIF($H$6:$H151,TRUE()))</f>
        <v/>
      </c>
      <c r="J151" s="5" t="str">
        <f aca="false">IF($I151="","","R"&amp;$I151)</f>
        <v/>
      </c>
    </row>
    <row r="152" customFormat="false" ht="15" hidden="false" customHeight="true" outlineLevel="0" collapsed="false">
      <c r="A152" s="10" t="str">
        <f aca="false">IFERROR(IF(INDEX(원본명단!$A$3:$A$6002,MATCH("R"&amp;147,정리결과!$J$6:$J$6005,0))="","",INDEX(원본명단!$A$3:$A$6002,MATCH("R"&amp;147,정리결과!$J$6:$J$6005,0))),"")</f>
        <v/>
      </c>
      <c r="B152" s="10" t="str">
        <f aca="false">IF($A152="","",IFERROR(IF(INDEX(원본명단!$B$3:$B$6002,MATCH("R"&amp;147,정리결과!$J$6:$J$6005,0))="","",INDEX(원본명단!$B$3:$B$6002,MATCH("R"&amp;147,정리결과!$J$6:$J$6005,0))),""))</f>
        <v/>
      </c>
      <c r="C152" s="10" t="str">
        <f aca="false">IF($A152="","",IFERROR(IF(INDEX(원본명단!$C$3:$C$6002,MATCH("R"&amp;147,정리결과!$J$6:$J$6005,0))="","",INDEX(원본명단!$C$3:$C$6002,MATCH("R"&amp;147,정리결과!$J$6:$J$6005,0))),""))</f>
        <v/>
      </c>
      <c r="D152" s="10" t="str">
        <f aca="false">IF($A152="","",IFERROR(IF(INDEX(원본명단!$D$3:$D$6002,MATCH("R"&amp;147,정리결과!$J$6:$J$6005,0))="","",INDEX(원본명단!$D$3:$D$6002,MATCH("R"&amp;147,정리결과!$J$6:$J$6005,0))),""))</f>
        <v/>
      </c>
      <c r="E152" s="10" t="str">
        <f aca="false">IF($A152="","",IFERROR(IF(INDEX(원본명단!$E$3:$E$6002,MATCH("R"&amp;147,정리결과!$J$6:$J$6005,0))="","",INDEX(원본명단!$E$3:$E$6002,MATCH("R"&amp;147,정리결과!$J$6:$J$6005,0))),""))</f>
        <v/>
      </c>
      <c r="F152" s="10" t="str">
        <f aca="false">IF($A152="","",IFERROR(IF(INDEX(원본명단!$F$3:$F$6002,MATCH("R"&amp;147,정리결과!$J$6:$J$6005,0))="","",INDEX(원본명단!$F$3:$F$6002,MATCH("R"&amp;147,정리결과!$J$6:$J$6005,0))),""))</f>
        <v/>
      </c>
      <c r="H152" s="14" t="b">
        <f aca="false">IF(중복검사!$A150="",FALSE(),중복검사!$J150="유지")</f>
        <v>0</v>
      </c>
      <c r="I152" s="5" t="str">
        <f aca="false">IF($H152=FALSE(),"",COUNTIF($H$6:$H152,TRUE()))</f>
        <v/>
      </c>
      <c r="J152" s="5" t="str">
        <f aca="false">IF($I152="","","R"&amp;$I152)</f>
        <v/>
      </c>
    </row>
    <row r="153" customFormat="false" ht="15" hidden="false" customHeight="true" outlineLevel="0" collapsed="false">
      <c r="A153" s="10" t="str">
        <f aca="false">IFERROR(IF(INDEX(원본명단!$A$3:$A$6002,MATCH("R"&amp;148,정리결과!$J$6:$J$6005,0))="","",INDEX(원본명단!$A$3:$A$6002,MATCH("R"&amp;148,정리결과!$J$6:$J$6005,0))),"")</f>
        <v/>
      </c>
      <c r="B153" s="10" t="str">
        <f aca="false">IF($A153="","",IFERROR(IF(INDEX(원본명단!$B$3:$B$6002,MATCH("R"&amp;148,정리결과!$J$6:$J$6005,0))="","",INDEX(원본명단!$B$3:$B$6002,MATCH("R"&amp;148,정리결과!$J$6:$J$6005,0))),""))</f>
        <v/>
      </c>
      <c r="C153" s="10" t="str">
        <f aca="false">IF($A153="","",IFERROR(IF(INDEX(원본명단!$C$3:$C$6002,MATCH("R"&amp;148,정리결과!$J$6:$J$6005,0))="","",INDEX(원본명단!$C$3:$C$6002,MATCH("R"&amp;148,정리결과!$J$6:$J$6005,0))),""))</f>
        <v/>
      </c>
      <c r="D153" s="10" t="str">
        <f aca="false">IF($A153="","",IFERROR(IF(INDEX(원본명단!$D$3:$D$6002,MATCH("R"&amp;148,정리결과!$J$6:$J$6005,0))="","",INDEX(원본명단!$D$3:$D$6002,MATCH("R"&amp;148,정리결과!$J$6:$J$6005,0))),""))</f>
        <v/>
      </c>
      <c r="E153" s="10" t="str">
        <f aca="false">IF($A153="","",IFERROR(IF(INDEX(원본명단!$E$3:$E$6002,MATCH("R"&amp;148,정리결과!$J$6:$J$6005,0))="","",INDEX(원본명단!$E$3:$E$6002,MATCH("R"&amp;148,정리결과!$J$6:$J$6005,0))),""))</f>
        <v/>
      </c>
      <c r="F153" s="10" t="str">
        <f aca="false">IF($A153="","",IFERROR(IF(INDEX(원본명단!$F$3:$F$6002,MATCH("R"&amp;148,정리결과!$J$6:$J$6005,0))="","",INDEX(원본명단!$F$3:$F$6002,MATCH("R"&amp;148,정리결과!$J$6:$J$6005,0))),""))</f>
        <v/>
      </c>
      <c r="H153" s="14" t="b">
        <f aca="false">IF(중복검사!$A151="",FALSE(),중복검사!$J151="유지")</f>
        <v>0</v>
      </c>
      <c r="I153" s="5" t="str">
        <f aca="false">IF($H153=FALSE(),"",COUNTIF($H$6:$H153,TRUE()))</f>
        <v/>
      </c>
      <c r="J153" s="5" t="str">
        <f aca="false">IF($I153="","","R"&amp;$I153)</f>
        <v/>
      </c>
    </row>
    <row r="154" customFormat="false" ht="15" hidden="false" customHeight="true" outlineLevel="0" collapsed="false">
      <c r="A154" s="10" t="str">
        <f aca="false">IFERROR(IF(INDEX(원본명단!$A$3:$A$6002,MATCH("R"&amp;149,정리결과!$J$6:$J$6005,0))="","",INDEX(원본명단!$A$3:$A$6002,MATCH("R"&amp;149,정리결과!$J$6:$J$6005,0))),"")</f>
        <v/>
      </c>
      <c r="B154" s="10" t="str">
        <f aca="false">IF($A154="","",IFERROR(IF(INDEX(원본명단!$B$3:$B$6002,MATCH("R"&amp;149,정리결과!$J$6:$J$6005,0))="","",INDEX(원본명단!$B$3:$B$6002,MATCH("R"&amp;149,정리결과!$J$6:$J$6005,0))),""))</f>
        <v/>
      </c>
      <c r="C154" s="10" t="str">
        <f aca="false">IF($A154="","",IFERROR(IF(INDEX(원본명단!$C$3:$C$6002,MATCH("R"&amp;149,정리결과!$J$6:$J$6005,0))="","",INDEX(원본명단!$C$3:$C$6002,MATCH("R"&amp;149,정리결과!$J$6:$J$6005,0))),""))</f>
        <v/>
      </c>
      <c r="D154" s="10" t="str">
        <f aca="false">IF($A154="","",IFERROR(IF(INDEX(원본명단!$D$3:$D$6002,MATCH("R"&amp;149,정리결과!$J$6:$J$6005,0))="","",INDEX(원본명단!$D$3:$D$6002,MATCH("R"&amp;149,정리결과!$J$6:$J$6005,0))),""))</f>
        <v/>
      </c>
      <c r="E154" s="10" t="str">
        <f aca="false">IF($A154="","",IFERROR(IF(INDEX(원본명단!$E$3:$E$6002,MATCH("R"&amp;149,정리결과!$J$6:$J$6005,0))="","",INDEX(원본명단!$E$3:$E$6002,MATCH("R"&amp;149,정리결과!$J$6:$J$6005,0))),""))</f>
        <v/>
      </c>
      <c r="F154" s="10" t="str">
        <f aca="false">IF($A154="","",IFERROR(IF(INDEX(원본명단!$F$3:$F$6002,MATCH("R"&amp;149,정리결과!$J$6:$J$6005,0))="","",INDEX(원본명단!$F$3:$F$6002,MATCH("R"&amp;149,정리결과!$J$6:$J$6005,0))),""))</f>
        <v/>
      </c>
      <c r="H154" s="14" t="b">
        <f aca="false">IF(중복검사!$A152="",FALSE(),중복검사!$J152="유지")</f>
        <v>0</v>
      </c>
      <c r="I154" s="5" t="str">
        <f aca="false">IF($H154=FALSE(),"",COUNTIF($H$6:$H154,TRUE()))</f>
        <v/>
      </c>
      <c r="J154" s="5" t="str">
        <f aca="false">IF($I154="","","R"&amp;$I154)</f>
        <v/>
      </c>
    </row>
    <row r="155" customFormat="false" ht="15" hidden="false" customHeight="true" outlineLevel="0" collapsed="false">
      <c r="A155" s="10" t="str">
        <f aca="false">IFERROR(IF(INDEX(원본명단!$A$3:$A$6002,MATCH("R"&amp;150,정리결과!$J$6:$J$6005,0))="","",INDEX(원본명단!$A$3:$A$6002,MATCH("R"&amp;150,정리결과!$J$6:$J$6005,0))),"")</f>
        <v/>
      </c>
      <c r="B155" s="10" t="str">
        <f aca="false">IF($A155="","",IFERROR(IF(INDEX(원본명단!$B$3:$B$6002,MATCH("R"&amp;150,정리결과!$J$6:$J$6005,0))="","",INDEX(원본명단!$B$3:$B$6002,MATCH("R"&amp;150,정리결과!$J$6:$J$6005,0))),""))</f>
        <v/>
      </c>
      <c r="C155" s="10" t="str">
        <f aca="false">IF($A155="","",IFERROR(IF(INDEX(원본명단!$C$3:$C$6002,MATCH("R"&amp;150,정리결과!$J$6:$J$6005,0))="","",INDEX(원본명단!$C$3:$C$6002,MATCH("R"&amp;150,정리결과!$J$6:$J$6005,0))),""))</f>
        <v/>
      </c>
      <c r="D155" s="10" t="str">
        <f aca="false">IF($A155="","",IFERROR(IF(INDEX(원본명단!$D$3:$D$6002,MATCH("R"&amp;150,정리결과!$J$6:$J$6005,0))="","",INDEX(원본명단!$D$3:$D$6002,MATCH("R"&amp;150,정리결과!$J$6:$J$6005,0))),""))</f>
        <v/>
      </c>
      <c r="E155" s="10" t="str">
        <f aca="false">IF($A155="","",IFERROR(IF(INDEX(원본명단!$E$3:$E$6002,MATCH("R"&amp;150,정리결과!$J$6:$J$6005,0))="","",INDEX(원본명단!$E$3:$E$6002,MATCH("R"&amp;150,정리결과!$J$6:$J$6005,0))),""))</f>
        <v/>
      </c>
      <c r="F155" s="10" t="str">
        <f aca="false">IF($A155="","",IFERROR(IF(INDEX(원본명단!$F$3:$F$6002,MATCH("R"&amp;150,정리결과!$J$6:$J$6005,0))="","",INDEX(원본명단!$F$3:$F$6002,MATCH("R"&amp;150,정리결과!$J$6:$J$6005,0))),""))</f>
        <v/>
      </c>
      <c r="H155" s="14" t="b">
        <f aca="false">IF(중복검사!$A153="",FALSE(),중복검사!$J153="유지")</f>
        <v>0</v>
      </c>
      <c r="I155" s="5" t="str">
        <f aca="false">IF($H155=FALSE(),"",COUNTIF($H$6:$H155,TRUE()))</f>
        <v/>
      </c>
      <c r="J155" s="5" t="str">
        <f aca="false">IF($I155="","","R"&amp;$I155)</f>
        <v/>
      </c>
    </row>
    <row r="156" customFormat="false" ht="15" hidden="false" customHeight="true" outlineLevel="0" collapsed="false">
      <c r="A156" s="10" t="str">
        <f aca="false">IFERROR(IF(INDEX(원본명단!$A$3:$A$6002,MATCH("R"&amp;151,정리결과!$J$6:$J$6005,0))="","",INDEX(원본명단!$A$3:$A$6002,MATCH("R"&amp;151,정리결과!$J$6:$J$6005,0))),"")</f>
        <v/>
      </c>
      <c r="B156" s="10" t="str">
        <f aca="false">IF($A156="","",IFERROR(IF(INDEX(원본명단!$B$3:$B$6002,MATCH("R"&amp;151,정리결과!$J$6:$J$6005,0))="","",INDEX(원본명단!$B$3:$B$6002,MATCH("R"&amp;151,정리결과!$J$6:$J$6005,0))),""))</f>
        <v/>
      </c>
      <c r="C156" s="10" t="str">
        <f aca="false">IF($A156="","",IFERROR(IF(INDEX(원본명단!$C$3:$C$6002,MATCH("R"&amp;151,정리결과!$J$6:$J$6005,0))="","",INDEX(원본명단!$C$3:$C$6002,MATCH("R"&amp;151,정리결과!$J$6:$J$6005,0))),""))</f>
        <v/>
      </c>
      <c r="D156" s="10" t="str">
        <f aca="false">IF($A156="","",IFERROR(IF(INDEX(원본명단!$D$3:$D$6002,MATCH("R"&amp;151,정리결과!$J$6:$J$6005,0))="","",INDEX(원본명단!$D$3:$D$6002,MATCH("R"&amp;151,정리결과!$J$6:$J$6005,0))),""))</f>
        <v/>
      </c>
      <c r="E156" s="10" t="str">
        <f aca="false">IF($A156="","",IFERROR(IF(INDEX(원본명단!$E$3:$E$6002,MATCH("R"&amp;151,정리결과!$J$6:$J$6005,0))="","",INDEX(원본명단!$E$3:$E$6002,MATCH("R"&amp;151,정리결과!$J$6:$J$6005,0))),""))</f>
        <v/>
      </c>
      <c r="F156" s="10" t="str">
        <f aca="false">IF($A156="","",IFERROR(IF(INDEX(원본명단!$F$3:$F$6002,MATCH("R"&amp;151,정리결과!$J$6:$J$6005,0))="","",INDEX(원본명단!$F$3:$F$6002,MATCH("R"&amp;151,정리결과!$J$6:$J$6005,0))),""))</f>
        <v/>
      </c>
      <c r="H156" s="14" t="b">
        <f aca="false">IF(중복검사!$A154="",FALSE(),중복검사!$J154="유지")</f>
        <v>0</v>
      </c>
      <c r="I156" s="5" t="str">
        <f aca="false">IF($H156=FALSE(),"",COUNTIF($H$6:$H156,TRUE()))</f>
        <v/>
      </c>
      <c r="J156" s="5" t="str">
        <f aca="false">IF($I156="","","R"&amp;$I156)</f>
        <v/>
      </c>
    </row>
    <row r="157" customFormat="false" ht="15" hidden="false" customHeight="true" outlineLevel="0" collapsed="false">
      <c r="A157" s="10" t="str">
        <f aca="false">IFERROR(IF(INDEX(원본명단!$A$3:$A$6002,MATCH("R"&amp;152,정리결과!$J$6:$J$6005,0))="","",INDEX(원본명단!$A$3:$A$6002,MATCH("R"&amp;152,정리결과!$J$6:$J$6005,0))),"")</f>
        <v/>
      </c>
      <c r="B157" s="10" t="str">
        <f aca="false">IF($A157="","",IFERROR(IF(INDEX(원본명단!$B$3:$B$6002,MATCH("R"&amp;152,정리결과!$J$6:$J$6005,0))="","",INDEX(원본명단!$B$3:$B$6002,MATCH("R"&amp;152,정리결과!$J$6:$J$6005,0))),""))</f>
        <v/>
      </c>
      <c r="C157" s="10" t="str">
        <f aca="false">IF($A157="","",IFERROR(IF(INDEX(원본명단!$C$3:$C$6002,MATCH("R"&amp;152,정리결과!$J$6:$J$6005,0))="","",INDEX(원본명단!$C$3:$C$6002,MATCH("R"&amp;152,정리결과!$J$6:$J$6005,0))),""))</f>
        <v/>
      </c>
      <c r="D157" s="10" t="str">
        <f aca="false">IF($A157="","",IFERROR(IF(INDEX(원본명단!$D$3:$D$6002,MATCH("R"&amp;152,정리결과!$J$6:$J$6005,0))="","",INDEX(원본명단!$D$3:$D$6002,MATCH("R"&amp;152,정리결과!$J$6:$J$6005,0))),""))</f>
        <v/>
      </c>
      <c r="E157" s="10" t="str">
        <f aca="false">IF($A157="","",IFERROR(IF(INDEX(원본명단!$E$3:$E$6002,MATCH("R"&amp;152,정리결과!$J$6:$J$6005,0))="","",INDEX(원본명단!$E$3:$E$6002,MATCH("R"&amp;152,정리결과!$J$6:$J$6005,0))),""))</f>
        <v/>
      </c>
      <c r="F157" s="10" t="str">
        <f aca="false">IF($A157="","",IFERROR(IF(INDEX(원본명단!$F$3:$F$6002,MATCH("R"&amp;152,정리결과!$J$6:$J$6005,0))="","",INDEX(원본명단!$F$3:$F$6002,MATCH("R"&amp;152,정리결과!$J$6:$J$6005,0))),""))</f>
        <v/>
      </c>
      <c r="H157" s="14" t="b">
        <f aca="false">IF(중복검사!$A155="",FALSE(),중복검사!$J155="유지")</f>
        <v>0</v>
      </c>
      <c r="I157" s="5" t="str">
        <f aca="false">IF($H157=FALSE(),"",COUNTIF($H$6:$H157,TRUE()))</f>
        <v/>
      </c>
      <c r="J157" s="5" t="str">
        <f aca="false">IF($I157="","","R"&amp;$I157)</f>
        <v/>
      </c>
    </row>
    <row r="158" customFormat="false" ht="15" hidden="false" customHeight="true" outlineLevel="0" collapsed="false">
      <c r="A158" s="10" t="str">
        <f aca="false">IFERROR(IF(INDEX(원본명단!$A$3:$A$6002,MATCH("R"&amp;153,정리결과!$J$6:$J$6005,0))="","",INDEX(원본명단!$A$3:$A$6002,MATCH("R"&amp;153,정리결과!$J$6:$J$6005,0))),"")</f>
        <v/>
      </c>
      <c r="B158" s="10" t="str">
        <f aca="false">IF($A158="","",IFERROR(IF(INDEX(원본명단!$B$3:$B$6002,MATCH("R"&amp;153,정리결과!$J$6:$J$6005,0))="","",INDEX(원본명단!$B$3:$B$6002,MATCH("R"&amp;153,정리결과!$J$6:$J$6005,0))),""))</f>
        <v/>
      </c>
      <c r="C158" s="10" t="str">
        <f aca="false">IF($A158="","",IFERROR(IF(INDEX(원본명단!$C$3:$C$6002,MATCH("R"&amp;153,정리결과!$J$6:$J$6005,0))="","",INDEX(원본명단!$C$3:$C$6002,MATCH("R"&amp;153,정리결과!$J$6:$J$6005,0))),""))</f>
        <v/>
      </c>
      <c r="D158" s="10" t="str">
        <f aca="false">IF($A158="","",IFERROR(IF(INDEX(원본명단!$D$3:$D$6002,MATCH("R"&amp;153,정리결과!$J$6:$J$6005,0))="","",INDEX(원본명단!$D$3:$D$6002,MATCH("R"&amp;153,정리결과!$J$6:$J$6005,0))),""))</f>
        <v/>
      </c>
      <c r="E158" s="10" t="str">
        <f aca="false">IF($A158="","",IFERROR(IF(INDEX(원본명단!$E$3:$E$6002,MATCH("R"&amp;153,정리결과!$J$6:$J$6005,0))="","",INDEX(원본명단!$E$3:$E$6002,MATCH("R"&amp;153,정리결과!$J$6:$J$6005,0))),""))</f>
        <v/>
      </c>
      <c r="F158" s="10" t="str">
        <f aca="false">IF($A158="","",IFERROR(IF(INDEX(원본명단!$F$3:$F$6002,MATCH("R"&amp;153,정리결과!$J$6:$J$6005,0))="","",INDEX(원본명단!$F$3:$F$6002,MATCH("R"&amp;153,정리결과!$J$6:$J$6005,0))),""))</f>
        <v/>
      </c>
      <c r="H158" s="14" t="b">
        <f aca="false">IF(중복검사!$A156="",FALSE(),중복검사!$J156="유지")</f>
        <v>0</v>
      </c>
      <c r="I158" s="5" t="str">
        <f aca="false">IF($H158=FALSE(),"",COUNTIF($H$6:$H158,TRUE()))</f>
        <v/>
      </c>
      <c r="J158" s="5" t="str">
        <f aca="false">IF($I158="","","R"&amp;$I158)</f>
        <v/>
      </c>
    </row>
    <row r="159" customFormat="false" ht="15" hidden="false" customHeight="true" outlineLevel="0" collapsed="false">
      <c r="A159" s="10" t="str">
        <f aca="false">IFERROR(IF(INDEX(원본명단!$A$3:$A$6002,MATCH("R"&amp;154,정리결과!$J$6:$J$6005,0))="","",INDEX(원본명단!$A$3:$A$6002,MATCH("R"&amp;154,정리결과!$J$6:$J$6005,0))),"")</f>
        <v/>
      </c>
      <c r="B159" s="10" t="str">
        <f aca="false">IF($A159="","",IFERROR(IF(INDEX(원본명단!$B$3:$B$6002,MATCH("R"&amp;154,정리결과!$J$6:$J$6005,0))="","",INDEX(원본명단!$B$3:$B$6002,MATCH("R"&amp;154,정리결과!$J$6:$J$6005,0))),""))</f>
        <v/>
      </c>
      <c r="C159" s="10" t="str">
        <f aca="false">IF($A159="","",IFERROR(IF(INDEX(원본명단!$C$3:$C$6002,MATCH("R"&amp;154,정리결과!$J$6:$J$6005,0))="","",INDEX(원본명단!$C$3:$C$6002,MATCH("R"&amp;154,정리결과!$J$6:$J$6005,0))),""))</f>
        <v/>
      </c>
      <c r="D159" s="10" t="str">
        <f aca="false">IF($A159="","",IFERROR(IF(INDEX(원본명단!$D$3:$D$6002,MATCH("R"&amp;154,정리결과!$J$6:$J$6005,0))="","",INDEX(원본명단!$D$3:$D$6002,MATCH("R"&amp;154,정리결과!$J$6:$J$6005,0))),""))</f>
        <v/>
      </c>
      <c r="E159" s="10" t="str">
        <f aca="false">IF($A159="","",IFERROR(IF(INDEX(원본명단!$E$3:$E$6002,MATCH("R"&amp;154,정리결과!$J$6:$J$6005,0))="","",INDEX(원본명단!$E$3:$E$6002,MATCH("R"&amp;154,정리결과!$J$6:$J$6005,0))),""))</f>
        <v/>
      </c>
      <c r="F159" s="10" t="str">
        <f aca="false">IF($A159="","",IFERROR(IF(INDEX(원본명단!$F$3:$F$6002,MATCH("R"&amp;154,정리결과!$J$6:$J$6005,0))="","",INDEX(원본명단!$F$3:$F$6002,MATCH("R"&amp;154,정리결과!$J$6:$J$6005,0))),""))</f>
        <v/>
      </c>
      <c r="H159" s="14" t="b">
        <f aca="false">IF(중복검사!$A157="",FALSE(),중복검사!$J157="유지")</f>
        <v>0</v>
      </c>
      <c r="I159" s="5" t="str">
        <f aca="false">IF($H159=FALSE(),"",COUNTIF($H$6:$H159,TRUE()))</f>
        <v/>
      </c>
      <c r="J159" s="5" t="str">
        <f aca="false">IF($I159="","","R"&amp;$I159)</f>
        <v/>
      </c>
    </row>
    <row r="160" customFormat="false" ht="15" hidden="false" customHeight="true" outlineLevel="0" collapsed="false">
      <c r="A160" s="10" t="str">
        <f aca="false">IFERROR(IF(INDEX(원본명단!$A$3:$A$6002,MATCH("R"&amp;155,정리결과!$J$6:$J$6005,0))="","",INDEX(원본명단!$A$3:$A$6002,MATCH("R"&amp;155,정리결과!$J$6:$J$6005,0))),"")</f>
        <v/>
      </c>
      <c r="B160" s="10" t="str">
        <f aca="false">IF($A160="","",IFERROR(IF(INDEX(원본명단!$B$3:$B$6002,MATCH("R"&amp;155,정리결과!$J$6:$J$6005,0))="","",INDEX(원본명단!$B$3:$B$6002,MATCH("R"&amp;155,정리결과!$J$6:$J$6005,0))),""))</f>
        <v/>
      </c>
      <c r="C160" s="10" t="str">
        <f aca="false">IF($A160="","",IFERROR(IF(INDEX(원본명단!$C$3:$C$6002,MATCH("R"&amp;155,정리결과!$J$6:$J$6005,0))="","",INDEX(원본명단!$C$3:$C$6002,MATCH("R"&amp;155,정리결과!$J$6:$J$6005,0))),""))</f>
        <v/>
      </c>
      <c r="D160" s="10" t="str">
        <f aca="false">IF($A160="","",IFERROR(IF(INDEX(원본명단!$D$3:$D$6002,MATCH("R"&amp;155,정리결과!$J$6:$J$6005,0))="","",INDEX(원본명단!$D$3:$D$6002,MATCH("R"&amp;155,정리결과!$J$6:$J$6005,0))),""))</f>
        <v/>
      </c>
      <c r="E160" s="10" t="str">
        <f aca="false">IF($A160="","",IFERROR(IF(INDEX(원본명단!$E$3:$E$6002,MATCH("R"&amp;155,정리결과!$J$6:$J$6005,0))="","",INDEX(원본명단!$E$3:$E$6002,MATCH("R"&amp;155,정리결과!$J$6:$J$6005,0))),""))</f>
        <v/>
      </c>
      <c r="F160" s="10" t="str">
        <f aca="false">IF($A160="","",IFERROR(IF(INDEX(원본명단!$F$3:$F$6002,MATCH("R"&amp;155,정리결과!$J$6:$J$6005,0))="","",INDEX(원본명단!$F$3:$F$6002,MATCH("R"&amp;155,정리결과!$J$6:$J$6005,0))),""))</f>
        <v/>
      </c>
      <c r="H160" s="14" t="b">
        <f aca="false">IF(중복검사!$A158="",FALSE(),중복검사!$J158="유지")</f>
        <v>0</v>
      </c>
      <c r="I160" s="5" t="str">
        <f aca="false">IF($H160=FALSE(),"",COUNTIF($H$6:$H160,TRUE()))</f>
        <v/>
      </c>
      <c r="J160" s="5" t="str">
        <f aca="false">IF($I160="","","R"&amp;$I160)</f>
        <v/>
      </c>
    </row>
    <row r="161" customFormat="false" ht="15" hidden="false" customHeight="true" outlineLevel="0" collapsed="false">
      <c r="A161" s="10" t="str">
        <f aca="false">IFERROR(IF(INDEX(원본명단!$A$3:$A$6002,MATCH("R"&amp;156,정리결과!$J$6:$J$6005,0))="","",INDEX(원본명단!$A$3:$A$6002,MATCH("R"&amp;156,정리결과!$J$6:$J$6005,0))),"")</f>
        <v/>
      </c>
      <c r="B161" s="10" t="str">
        <f aca="false">IF($A161="","",IFERROR(IF(INDEX(원본명단!$B$3:$B$6002,MATCH("R"&amp;156,정리결과!$J$6:$J$6005,0))="","",INDEX(원본명단!$B$3:$B$6002,MATCH("R"&amp;156,정리결과!$J$6:$J$6005,0))),""))</f>
        <v/>
      </c>
      <c r="C161" s="10" t="str">
        <f aca="false">IF($A161="","",IFERROR(IF(INDEX(원본명단!$C$3:$C$6002,MATCH("R"&amp;156,정리결과!$J$6:$J$6005,0))="","",INDEX(원본명단!$C$3:$C$6002,MATCH("R"&amp;156,정리결과!$J$6:$J$6005,0))),""))</f>
        <v/>
      </c>
      <c r="D161" s="10" t="str">
        <f aca="false">IF($A161="","",IFERROR(IF(INDEX(원본명단!$D$3:$D$6002,MATCH("R"&amp;156,정리결과!$J$6:$J$6005,0))="","",INDEX(원본명단!$D$3:$D$6002,MATCH("R"&amp;156,정리결과!$J$6:$J$6005,0))),""))</f>
        <v/>
      </c>
      <c r="E161" s="10" t="str">
        <f aca="false">IF($A161="","",IFERROR(IF(INDEX(원본명단!$E$3:$E$6002,MATCH("R"&amp;156,정리결과!$J$6:$J$6005,0))="","",INDEX(원본명단!$E$3:$E$6002,MATCH("R"&amp;156,정리결과!$J$6:$J$6005,0))),""))</f>
        <v/>
      </c>
      <c r="F161" s="10" t="str">
        <f aca="false">IF($A161="","",IFERROR(IF(INDEX(원본명단!$F$3:$F$6002,MATCH("R"&amp;156,정리결과!$J$6:$J$6005,0))="","",INDEX(원본명단!$F$3:$F$6002,MATCH("R"&amp;156,정리결과!$J$6:$J$6005,0))),""))</f>
        <v/>
      </c>
      <c r="H161" s="14" t="b">
        <f aca="false">IF(중복검사!$A159="",FALSE(),중복검사!$J159="유지")</f>
        <v>0</v>
      </c>
      <c r="I161" s="5" t="str">
        <f aca="false">IF($H161=FALSE(),"",COUNTIF($H$6:$H161,TRUE()))</f>
        <v/>
      </c>
      <c r="J161" s="5" t="str">
        <f aca="false">IF($I161="","","R"&amp;$I161)</f>
        <v/>
      </c>
    </row>
    <row r="162" customFormat="false" ht="15" hidden="false" customHeight="true" outlineLevel="0" collapsed="false">
      <c r="A162" s="10" t="str">
        <f aca="false">IFERROR(IF(INDEX(원본명단!$A$3:$A$6002,MATCH("R"&amp;157,정리결과!$J$6:$J$6005,0))="","",INDEX(원본명단!$A$3:$A$6002,MATCH("R"&amp;157,정리결과!$J$6:$J$6005,0))),"")</f>
        <v/>
      </c>
      <c r="B162" s="10" t="str">
        <f aca="false">IF($A162="","",IFERROR(IF(INDEX(원본명단!$B$3:$B$6002,MATCH("R"&amp;157,정리결과!$J$6:$J$6005,0))="","",INDEX(원본명단!$B$3:$B$6002,MATCH("R"&amp;157,정리결과!$J$6:$J$6005,0))),""))</f>
        <v/>
      </c>
      <c r="C162" s="10" t="str">
        <f aca="false">IF($A162="","",IFERROR(IF(INDEX(원본명단!$C$3:$C$6002,MATCH("R"&amp;157,정리결과!$J$6:$J$6005,0))="","",INDEX(원본명단!$C$3:$C$6002,MATCH("R"&amp;157,정리결과!$J$6:$J$6005,0))),""))</f>
        <v/>
      </c>
      <c r="D162" s="10" t="str">
        <f aca="false">IF($A162="","",IFERROR(IF(INDEX(원본명단!$D$3:$D$6002,MATCH("R"&amp;157,정리결과!$J$6:$J$6005,0))="","",INDEX(원본명단!$D$3:$D$6002,MATCH("R"&amp;157,정리결과!$J$6:$J$6005,0))),""))</f>
        <v/>
      </c>
      <c r="E162" s="10" t="str">
        <f aca="false">IF($A162="","",IFERROR(IF(INDEX(원본명단!$E$3:$E$6002,MATCH("R"&amp;157,정리결과!$J$6:$J$6005,0))="","",INDEX(원본명단!$E$3:$E$6002,MATCH("R"&amp;157,정리결과!$J$6:$J$6005,0))),""))</f>
        <v/>
      </c>
      <c r="F162" s="10" t="str">
        <f aca="false">IF($A162="","",IFERROR(IF(INDEX(원본명단!$F$3:$F$6002,MATCH("R"&amp;157,정리결과!$J$6:$J$6005,0))="","",INDEX(원본명단!$F$3:$F$6002,MATCH("R"&amp;157,정리결과!$J$6:$J$6005,0))),""))</f>
        <v/>
      </c>
      <c r="H162" s="14" t="b">
        <f aca="false">IF(중복검사!$A160="",FALSE(),중복검사!$J160="유지")</f>
        <v>0</v>
      </c>
      <c r="I162" s="5" t="str">
        <f aca="false">IF($H162=FALSE(),"",COUNTIF($H$6:$H162,TRUE()))</f>
        <v/>
      </c>
      <c r="J162" s="5" t="str">
        <f aca="false">IF($I162="","","R"&amp;$I162)</f>
        <v/>
      </c>
    </row>
    <row r="163" customFormat="false" ht="15" hidden="false" customHeight="true" outlineLevel="0" collapsed="false">
      <c r="A163" s="10" t="str">
        <f aca="false">IFERROR(IF(INDEX(원본명단!$A$3:$A$6002,MATCH("R"&amp;158,정리결과!$J$6:$J$6005,0))="","",INDEX(원본명단!$A$3:$A$6002,MATCH("R"&amp;158,정리결과!$J$6:$J$6005,0))),"")</f>
        <v/>
      </c>
      <c r="B163" s="10" t="str">
        <f aca="false">IF($A163="","",IFERROR(IF(INDEX(원본명단!$B$3:$B$6002,MATCH("R"&amp;158,정리결과!$J$6:$J$6005,0))="","",INDEX(원본명단!$B$3:$B$6002,MATCH("R"&amp;158,정리결과!$J$6:$J$6005,0))),""))</f>
        <v/>
      </c>
      <c r="C163" s="10" t="str">
        <f aca="false">IF($A163="","",IFERROR(IF(INDEX(원본명단!$C$3:$C$6002,MATCH("R"&amp;158,정리결과!$J$6:$J$6005,0))="","",INDEX(원본명단!$C$3:$C$6002,MATCH("R"&amp;158,정리결과!$J$6:$J$6005,0))),""))</f>
        <v/>
      </c>
      <c r="D163" s="10" t="str">
        <f aca="false">IF($A163="","",IFERROR(IF(INDEX(원본명단!$D$3:$D$6002,MATCH("R"&amp;158,정리결과!$J$6:$J$6005,0))="","",INDEX(원본명단!$D$3:$D$6002,MATCH("R"&amp;158,정리결과!$J$6:$J$6005,0))),""))</f>
        <v/>
      </c>
      <c r="E163" s="10" t="str">
        <f aca="false">IF($A163="","",IFERROR(IF(INDEX(원본명단!$E$3:$E$6002,MATCH("R"&amp;158,정리결과!$J$6:$J$6005,0))="","",INDEX(원본명단!$E$3:$E$6002,MATCH("R"&amp;158,정리결과!$J$6:$J$6005,0))),""))</f>
        <v/>
      </c>
      <c r="F163" s="10" t="str">
        <f aca="false">IF($A163="","",IFERROR(IF(INDEX(원본명단!$F$3:$F$6002,MATCH("R"&amp;158,정리결과!$J$6:$J$6005,0))="","",INDEX(원본명단!$F$3:$F$6002,MATCH("R"&amp;158,정리결과!$J$6:$J$6005,0))),""))</f>
        <v/>
      </c>
      <c r="H163" s="14" t="b">
        <f aca="false">IF(중복검사!$A161="",FALSE(),중복검사!$J161="유지")</f>
        <v>0</v>
      </c>
      <c r="I163" s="5" t="str">
        <f aca="false">IF($H163=FALSE(),"",COUNTIF($H$6:$H163,TRUE()))</f>
        <v/>
      </c>
      <c r="J163" s="5" t="str">
        <f aca="false">IF($I163="","","R"&amp;$I163)</f>
        <v/>
      </c>
    </row>
    <row r="164" customFormat="false" ht="15" hidden="false" customHeight="true" outlineLevel="0" collapsed="false">
      <c r="A164" s="10" t="str">
        <f aca="false">IFERROR(IF(INDEX(원본명단!$A$3:$A$6002,MATCH("R"&amp;159,정리결과!$J$6:$J$6005,0))="","",INDEX(원본명단!$A$3:$A$6002,MATCH("R"&amp;159,정리결과!$J$6:$J$6005,0))),"")</f>
        <v/>
      </c>
      <c r="B164" s="10" t="str">
        <f aca="false">IF($A164="","",IFERROR(IF(INDEX(원본명단!$B$3:$B$6002,MATCH("R"&amp;159,정리결과!$J$6:$J$6005,0))="","",INDEX(원본명단!$B$3:$B$6002,MATCH("R"&amp;159,정리결과!$J$6:$J$6005,0))),""))</f>
        <v/>
      </c>
      <c r="C164" s="10" t="str">
        <f aca="false">IF($A164="","",IFERROR(IF(INDEX(원본명단!$C$3:$C$6002,MATCH("R"&amp;159,정리결과!$J$6:$J$6005,0))="","",INDEX(원본명단!$C$3:$C$6002,MATCH("R"&amp;159,정리결과!$J$6:$J$6005,0))),""))</f>
        <v/>
      </c>
      <c r="D164" s="10" t="str">
        <f aca="false">IF($A164="","",IFERROR(IF(INDEX(원본명단!$D$3:$D$6002,MATCH("R"&amp;159,정리결과!$J$6:$J$6005,0))="","",INDEX(원본명단!$D$3:$D$6002,MATCH("R"&amp;159,정리결과!$J$6:$J$6005,0))),""))</f>
        <v/>
      </c>
      <c r="E164" s="10" t="str">
        <f aca="false">IF($A164="","",IFERROR(IF(INDEX(원본명단!$E$3:$E$6002,MATCH("R"&amp;159,정리결과!$J$6:$J$6005,0))="","",INDEX(원본명단!$E$3:$E$6002,MATCH("R"&amp;159,정리결과!$J$6:$J$6005,0))),""))</f>
        <v/>
      </c>
      <c r="F164" s="10" t="str">
        <f aca="false">IF($A164="","",IFERROR(IF(INDEX(원본명단!$F$3:$F$6002,MATCH("R"&amp;159,정리결과!$J$6:$J$6005,0))="","",INDEX(원본명단!$F$3:$F$6002,MATCH("R"&amp;159,정리결과!$J$6:$J$6005,0))),""))</f>
        <v/>
      </c>
      <c r="H164" s="14" t="b">
        <f aca="false">IF(중복검사!$A162="",FALSE(),중복검사!$J162="유지")</f>
        <v>0</v>
      </c>
      <c r="I164" s="5" t="str">
        <f aca="false">IF($H164=FALSE(),"",COUNTIF($H$6:$H164,TRUE()))</f>
        <v/>
      </c>
      <c r="J164" s="5" t="str">
        <f aca="false">IF($I164="","","R"&amp;$I164)</f>
        <v/>
      </c>
    </row>
    <row r="165" customFormat="false" ht="15" hidden="false" customHeight="true" outlineLevel="0" collapsed="false">
      <c r="A165" s="10" t="str">
        <f aca="false">IFERROR(IF(INDEX(원본명단!$A$3:$A$6002,MATCH("R"&amp;160,정리결과!$J$6:$J$6005,0))="","",INDEX(원본명단!$A$3:$A$6002,MATCH("R"&amp;160,정리결과!$J$6:$J$6005,0))),"")</f>
        <v/>
      </c>
      <c r="B165" s="10" t="str">
        <f aca="false">IF($A165="","",IFERROR(IF(INDEX(원본명단!$B$3:$B$6002,MATCH("R"&amp;160,정리결과!$J$6:$J$6005,0))="","",INDEX(원본명단!$B$3:$B$6002,MATCH("R"&amp;160,정리결과!$J$6:$J$6005,0))),""))</f>
        <v/>
      </c>
      <c r="C165" s="10" t="str">
        <f aca="false">IF($A165="","",IFERROR(IF(INDEX(원본명단!$C$3:$C$6002,MATCH("R"&amp;160,정리결과!$J$6:$J$6005,0))="","",INDEX(원본명단!$C$3:$C$6002,MATCH("R"&amp;160,정리결과!$J$6:$J$6005,0))),""))</f>
        <v/>
      </c>
      <c r="D165" s="10" t="str">
        <f aca="false">IF($A165="","",IFERROR(IF(INDEX(원본명단!$D$3:$D$6002,MATCH("R"&amp;160,정리결과!$J$6:$J$6005,0))="","",INDEX(원본명단!$D$3:$D$6002,MATCH("R"&amp;160,정리결과!$J$6:$J$6005,0))),""))</f>
        <v/>
      </c>
      <c r="E165" s="10" t="str">
        <f aca="false">IF($A165="","",IFERROR(IF(INDEX(원본명단!$E$3:$E$6002,MATCH("R"&amp;160,정리결과!$J$6:$J$6005,0))="","",INDEX(원본명단!$E$3:$E$6002,MATCH("R"&amp;160,정리결과!$J$6:$J$6005,0))),""))</f>
        <v/>
      </c>
      <c r="F165" s="10" t="str">
        <f aca="false">IF($A165="","",IFERROR(IF(INDEX(원본명단!$F$3:$F$6002,MATCH("R"&amp;160,정리결과!$J$6:$J$6005,0))="","",INDEX(원본명단!$F$3:$F$6002,MATCH("R"&amp;160,정리결과!$J$6:$J$6005,0))),""))</f>
        <v/>
      </c>
      <c r="H165" s="14" t="b">
        <f aca="false">IF(중복검사!$A163="",FALSE(),중복검사!$J163="유지")</f>
        <v>0</v>
      </c>
      <c r="I165" s="5" t="str">
        <f aca="false">IF($H165=FALSE(),"",COUNTIF($H$6:$H165,TRUE()))</f>
        <v/>
      </c>
      <c r="J165" s="5" t="str">
        <f aca="false">IF($I165="","","R"&amp;$I165)</f>
        <v/>
      </c>
    </row>
    <row r="166" customFormat="false" ht="15" hidden="false" customHeight="true" outlineLevel="0" collapsed="false">
      <c r="A166" s="10" t="str">
        <f aca="false">IFERROR(IF(INDEX(원본명단!$A$3:$A$6002,MATCH("R"&amp;161,정리결과!$J$6:$J$6005,0))="","",INDEX(원본명단!$A$3:$A$6002,MATCH("R"&amp;161,정리결과!$J$6:$J$6005,0))),"")</f>
        <v/>
      </c>
      <c r="B166" s="10" t="str">
        <f aca="false">IF($A166="","",IFERROR(IF(INDEX(원본명단!$B$3:$B$6002,MATCH("R"&amp;161,정리결과!$J$6:$J$6005,0))="","",INDEX(원본명단!$B$3:$B$6002,MATCH("R"&amp;161,정리결과!$J$6:$J$6005,0))),""))</f>
        <v/>
      </c>
      <c r="C166" s="10" t="str">
        <f aca="false">IF($A166="","",IFERROR(IF(INDEX(원본명단!$C$3:$C$6002,MATCH("R"&amp;161,정리결과!$J$6:$J$6005,0))="","",INDEX(원본명단!$C$3:$C$6002,MATCH("R"&amp;161,정리결과!$J$6:$J$6005,0))),""))</f>
        <v/>
      </c>
      <c r="D166" s="10" t="str">
        <f aca="false">IF($A166="","",IFERROR(IF(INDEX(원본명단!$D$3:$D$6002,MATCH("R"&amp;161,정리결과!$J$6:$J$6005,0))="","",INDEX(원본명단!$D$3:$D$6002,MATCH("R"&amp;161,정리결과!$J$6:$J$6005,0))),""))</f>
        <v/>
      </c>
      <c r="E166" s="10" t="str">
        <f aca="false">IF($A166="","",IFERROR(IF(INDEX(원본명단!$E$3:$E$6002,MATCH("R"&amp;161,정리결과!$J$6:$J$6005,0))="","",INDEX(원본명단!$E$3:$E$6002,MATCH("R"&amp;161,정리결과!$J$6:$J$6005,0))),""))</f>
        <v/>
      </c>
      <c r="F166" s="10" t="str">
        <f aca="false">IF($A166="","",IFERROR(IF(INDEX(원본명단!$F$3:$F$6002,MATCH("R"&amp;161,정리결과!$J$6:$J$6005,0))="","",INDEX(원본명단!$F$3:$F$6002,MATCH("R"&amp;161,정리결과!$J$6:$J$6005,0))),""))</f>
        <v/>
      </c>
      <c r="H166" s="14" t="b">
        <f aca="false">IF(중복검사!$A164="",FALSE(),중복검사!$J164="유지")</f>
        <v>0</v>
      </c>
      <c r="I166" s="5" t="str">
        <f aca="false">IF($H166=FALSE(),"",COUNTIF($H$6:$H166,TRUE()))</f>
        <v/>
      </c>
      <c r="J166" s="5" t="str">
        <f aca="false">IF($I166="","","R"&amp;$I166)</f>
        <v/>
      </c>
    </row>
    <row r="167" customFormat="false" ht="15" hidden="false" customHeight="true" outlineLevel="0" collapsed="false">
      <c r="A167" s="10" t="str">
        <f aca="false">IFERROR(IF(INDEX(원본명단!$A$3:$A$6002,MATCH("R"&amp;162,정리결과!$J$6:$J$6005,0))="","",INDEX(원본명단!$A$3:$A$6002,MATCH("R"&amp;162,정리결과!$J$6:$J$6005,0))),"")</f>
        <v/>
      </c>
      <c r="B167" s="10" t="str">
        <f aca="false">IF($A167="","",IFERROR(IF(INDEX(원본명단!$B$3:$B$6002,MATCH("R"&amp;162,정리결과!$J$6:$J$6005,0))="","",INDEX(원본명단!$B$3:$B$6002,MATCH("R"&amp;162,정리결과!$J$6:$J$6005,0))),""))</f>
        <v/>
      </c>
      <c r="C167" s="10" t="str">
        <f aca="false">IF($A167="","",IFERROR(IF(INDEX(원본명단!$C$3:$C$6002,MATCH("R"&amp;162,정리결과!$J$6:$J$6005,0))="","",INDEX(원본명단!$C$3:$C$6002,MATCH("R"&amp;162,정리결과!$J$6:$J$6005,0))),""))</f>
        <v/>
      </c>
      <c r="D167" s="10" t="str">
        <f aca="false">IF($A167="","",IFERROR(IF(INDEX(원본명단!$D$3:$D$6002,MATCH("R"&amp;162,정리결과!$J$6:$J$6005,0))="","",INDEX(원본명단!$D$3:$D$6002,MATCH("R"&amp;162,정리결과!$J$6:$J$6005,0))),""))</f>
        <v/>
      </c>
      <c r="E167" s="10" t="str">
        <f aca="false">IF($A167="","",IFERROR(IF(INDEX(원본명단!$E$3:$E$6002,MATCH("R"&amp;162,정리결과!$J$6:$J$6005,0))="","",INDEX(원본명단!$E$3:$E$6002,MATCH("R"&amp;162,정리결과!$J$6:$J$6005,0))),""))</f>
        <v/>
      </c>
      <c r="F167" s="10" t="str">
        <f aca="false">IF($A167="","",IFERROR(IF(INDEX(원본명단!$F$3:$F$6002,MATCH("R"&amp;162,정리결과!$J$6:$J$6005,0))="","",INDEX(원본명단!$F$3:$F$6002,MATCH("R"&amp;162,정리결과!$J$6:$J$6005,0))),""))</f>
        <v/>
      </c>
      <c r="H167" s="14" t="b">
        <f aca="false">IF(중복검사!$A165="",FALSE(),중복검사!$J165="유지")</f>
        <v>0</v>
      </c>
      <c r="I167" s="5" t="str">
        <f aca="false">IF($H167=FALSE(),"",COUNTIF($H$6:$H167,TRUE()))</f>
        <v/>
      </c>
      <c r="J167" s="5" t="str">
        <f aca="false">IF($I167="","","R"&amp;$I167)</f>
        <v/>
      </c>
    </row>
    <row r="168" customFormat="false" ht="15" hidden="false" customHeight="true" outlineLevel="0" collapsed="false">
      <c r="A168" s="10" t="str">
        <f aca="false">IFERROR(IF(INDEX(원본명단!$A$3:$A$6002,MATCH("R"&amp;163,정리결과!$J$6:$J$6005,0))="","",INDEX(원본명단!$A$3:$A$6002,MATCH("R"&amp;163,정리결과!$J$6:$J$6005,0))),"")</f>
        <v/>
      </c>
      <c r="B168" s="10" t="str">
        <f aca="false">IF($A168="","",IFERROR(IF(INDEX(원본명단!$B$3:$B$6002,MATCH("R"&amp;163,정리결과!$J$6:$J$6005,0))="","",INDEX(원본명단!$B$3:$B$6002,MATCH("R"&amp;163,정리결과!$J$6:$J$6005,0))),""))</f>
        <v/>
      </c>
      <c r="C168" s="10" t="str">
        <f aca="false">IF($A168="","",IFERROR(IF(INDEX(원본명단!$C$3:$C$6002,MATCH("R"&amp;163,정리결과!$J$6:$J$6005,0))="","",INDEX(원본명단!$C$3:$C$6002,MATCH("R"&amp;163,정리결과!$J$6:$J$6005,0))),""))</f>
        <v/>
      </c>
      <c r="D168" s="10" t="str">
        <f aca="false">IF($A168="","",IFERROR(IF(INDEX(원본명단!$D$3:$D$6002,MATCH("R"&amp;163,정리결과!$J$6:$J$6005,0))="","",INDEX(원본명단!$D$3:$D$6002,MATCH("R"&amp;163,정리결과!$J$6:$J$6005,0))),""))</f>
        <v/>
      </c>
      <c r="E168" s="10" t="str">
        <f aca="false">IF($A168="","",IFERROR(IF(INDEX(원본명단!$E$3:$E$6002,MATCH("R"&amp;163,정리결과!$J$6:$J$6005,0))="","",INDEX(원본명단!$E$3:$E$6002,MATCH("R"&amp;163,정리결과!$J$6:$J$6005,0))),""))</f>
        <v/>
      </c>
      <c r="F168" s="10" t="str">
        <f aca="false">IF($A168="","",IFERROR(IF(INDEX(원본명단!$F$3:$F$6002,MATCH("R"&amp;163,정리결과!$J$6:$J$6005,0))="","",INDEX(원본명단!$F$3:$F$6002,MATCH("R"&amp;163,정리결과!$J$6:$J$6005,0))),""))</f>
        <v/>
      </c>
      <c r="H168" s="14" t="b">
        <f aca="false">IF(중복검사!$A166="",FALSE(),중복검사!$J166="유지")</f>
        <v>0</v>
      </c>
      <c r="I168" s="5" t="str">
        <f aca="false">IF($H168=FALSE(),"",COUNTIF($H$6:$H168,TRUE()))</f>
        <v/>
      </c>
      <c r="J168" s="5" t="str">
        <f aca="false">IF($I168="","","R"&amp;$I168)</f>
        <v/>
      </c>
    </row>
    <row r="169" customFormat="false" ht="15" hidden="false" customHeight="true" outlineLevel="0" collapsed="false">
      <c r="A169" s="10" t="str">
        <f aca="false">IFERROR(IF(INDEX(원본명단!$A$3:$A$6002,MATCH("R"&amp;164,정리결과!$J$6:$J$6005,0))="","",INDEX(원본명단!$A$3:$A$6002,MATCH("R"&amp;164,정리결과!$J$6:$J$6005,0))),"")</f>
        <v/>
      </c>
      <c r="B169" s="10" t="str">
        <f aca="false">IF($A169="","",IFERROR(IF(INDEX(원본명단!$B$3:$B$6002,MATCH("R"&amp;164,정리결과!$J$6:$J$6005,0))="","",INDEX(원본명단!$B$3:$B$6002,MATCH("R"&amp;164,정리결과!$J$6:$J$6005,0))),""))</f>
        <v/>
      </c>
      <c r="C169" s="10" t="str">
        <f aca="false">IF($A169="","",IFERROR(IF(INDEX(원본명단!$C$3:$C$6002,MATCH("R"&amp;164,정리결과!$J$6:$J$6005,0))="","",INDEX(원본명단!$C$3:$C$6002,MATCH("R"&amp;164,정리결과!$J$6:$J$6005,0))),""))</f>
        <v/>
      </c>
      <c r="D169" s="10" t="str">
        <f aca="false">IF($A169="","",IFERROR(IF(INDEX(원본명단!$D$3:$D$6002,MATCH("R"&amp;164,정리결과!$J$6:$J$6005,0))="","",INDEX(원본명단!$D$3:$D$6002,MATCH("R"&amp;164,정리결과!$J$6:$J$6005,0))),""))</f>
        <v/>
      </c>
      <c r="E169" s="10" t="str">
        <f aca="false">IF($A169="","",IFERROR(IF(INDEX(원본명단!$E$3:$E$6002,MATCH("R"&amp;164,정리결과!$J$6:$J$6005,0))="","",INDEX(원본명단!$E$3:$E$6002,MATCH("R"&amp;164,정리결과!$J$6:$J$6005,0))),""))</f>
        <v/>
      </c>
      <c r="F169" s="10" t="str">
        <f aca="false">IF($A169="","",IFERROR(IF(INDEX(원본명단!$F$3:$F$6002,MATCH("R"&amp;164,정리결과!$J$6:$J$6005,0))="","",INDEX(원본명단!$F$3:$F$6002,MATCH("R"&amp;164,정리결과!$J$6:$J$6005,0))),""))</f>
        <v/>
      </c>
      <c r="H169" s="14" t="b">
        <f aca="false">IF(중복검사!$A167="",FALSE(),중복검사!$J167="유지")</f>
        <v>0</v>
      </c>
      <c r="I169" s="5" t="str">
        <f aca="false">IF($H169=FALSE(),"",COUNTIF($H$6:$H169,TRUE()))</f>
        <v/>
      </c>
      <c r="J169" s="5" t="str">
        <f aca="false">IF($I169="","","R"&amp;$I169)</f>
        <v/>
      </c>
    </row>
    <row r="170" customFormat="false" ht="15" hidden="false" customHeight="true" outlineLevel="0" collapsed="false">
      <c r="A170" s="10" t="str">
        <f aca="false">IFERROR(IF(INDEX(원본명단!$A$3:$A$6002,MATCH("R"&amp;165,정리결과!$J$6:$J$6005,0))="","",INDEX(원본명단!$A$3:$A$6002,MATCH("R"&amp;165,정리결과!$J$6:$J$6005,0))),"")</f>
        <v/>
      </c>
      <c r="B170" s="10" t="str">
        <f aca="false">IF($A170="","",IFERROR(IF(INDEX(원본명단!$B$3:$B$6002,MATCH("R"&amp;165,정리결과!$J$6:$J$6005,0))="","",INDEX(원본명단!$B$3:$B$6002,MATCH("R"&amp;165,정리결과!$J$6:$J$6005,0))),""))</f>
        <v/>
      </c>
      <c r="C170" s="10" t="str">
        <f aca="false">IF($A170="","",IFERROR(IF(INDEX(원본명단!$C$3:$C$6002,MATCH("R"&amp;165,정리결과!$J$6:$J$6005,0))="","",INDEX(원본명단!$C$3:$C$6002,MATCH("R"&amp;165,정리결과!$J$6:$J$6005,0))),""))</f>
        <v/>
      </c>
      <c r="D170" s="10" t="str">
        <f aca="false">IF($A170="","",IFERROR(IF(INDEX(원본명단!$D$3:$D$6002,MATCH("R"&amp;165,정리결과!$J$6:$J$6005,0))="","",INDEX(원본명단!$D$3:$D$6002,MATCH("R"&amp;165,정리결과!$J$6:$J$6005,0))),""))</f>
        <v/>
      </c>
      <c r="E170" s="10" t="str">
        <f aca="false">IF($A170="","",IFERROR(IF(INDEX(원본명단!$E$3:$E$6002,MATCH("R"&amp;165,정리결과!$J$6:$J$6005,0))="","",INDEX(원본명단!$E$3:$E$6002,MATCH("R"&amp;165,정리결과!$J$6:$J$6005,0))),""))</f>
        <v/>
      </c>
      <c r="F170" s="10" t="str">
        <f aca="false">IF($A170="","",IFERROR(IF(INDEX(원본명단!$F$3:$F$6002,MATCH("R"&amp;165,정리결과!$J$6:$J$6005,0))="","",INDEX(원본명단!$F$3:$F$6002,MATCH("R"&amp;165,정리결과!$J$6:$J$6005,0))),""))</f>
        <v/>
      </c>
      <c r="H170" s="14" t="b">
        <f aca="false">IF(중복검사!$A168="",FALSE(),중복검사!$J168="유지")</f>
        <v>0</v>
      </c>
      <c r="I170" s="5" t="str">
        <f aca="false">IF($H170=FALSE(),"",COUNTIF($H$6:$H170,TRUE()))</f>
        <v/>
      </c>
      <c r="J170" s="5" t="str">
        <f aca="false">IF($I170="","","R"&amp;$I170)</f>
        <v/>
      </c>
    </row>
    <row r="171" customFormat="false" ht="15" hidden="false" customHeight="true" outlineLevel="0" collapsed="false">
      <c r="A171" s="10" t="str">
        <f aca="false">IFERROR(IF(INDEX(원본명단!$A$3:$A$6002,MATCH("R"&amp;166,정리결과!$J$6:$J$6005,0))="","",INDEX(원본명단!$A$3:$A$6002,MATCH("R"&amp;166,정리결과!$J$6:$J$6005,0))),"")</f>
        <v/>
      </c>
      <c r="B171" s="10" t="str">
        <f aca="false">IF($A171="","",IFERROR(IF(INDEX(원본명단!$B$3:$B$6002,MATCH("R"&amp;166,정리결과!$J$6:$J$6005,0))="","",INDEX(원본명단!$B$3:$B$6002,MATCH("R"&amp;166,정리결과!$J$6:$J$6005,0))),""))</f>
        <v/>
      </c>
      <c r="C171" s="10" t="str">
        <f aca="false">IF($A171="","",IFERROR(IF(INDEX(원본명단!$C$3:$C$6002,MATCH("R"&amp;166,정리결과!$J$6:$J$6005,0))="","",INDEX(원본명단!$C$3:$C$6002,MATCH("R"&amp;166,정리결과!$J$6:$J$6005,0))),""))</f>
        <v/>
      </c>
      <c r="D171" s="10" t="str">
        <f aca="false">IF($A171="","",IFERROR(IF(INDEX(원본명단!$D$3:$D$6002,MATCH("R"&amp;166,정리결과!$J$6:$J$6005,0))="","",INDEX(원본명단!$D$3:$D$6002,MATCH("R"&amp;166,정리결과!$J$6:$J$6005,0))),""))</f>
        <v/>
      </c>
      <c r="E171" s="10" t="str">
        <f aca="false">IF($A171="","",IFERROR(IF(INDEX(원본명단!$E$3:$E$6002,MATCH("R"&amp;166,정리결과!$J$6:$J$6005,0))="","",INDEX(원본명단!$E$3:$E$6002,MATCH("R"&amp;166,정리결과!$J$6:$J$6005,0))),""))</f>
        <v/>
      </c>
      <c r="F171" s="10" t="str">
        <f aca="false">IF($A171="","",IFERROR(IF(INDEX(원본명단!$F$3:$F$6002,MATCH("R"&amp;166,정리결과!$J$6:$J$6005,0))="","",INDEX(원본명단!$F$3:$F$6002,MATCH("R"&amp;166,정리결과!$J$6:$J$6005,0))),""))</f>
        <v/>
      </c>
      <c r="H171" s="14" t="b">
        <f aca="false">IF(중복검사!$A169="",FALSE(),중복검사!$J169="유지")</f>
        <v>0</v>
      </c>
      <c r="I171" s="5" t="str">
        <f aca="false">IF($H171=FALSE(),"",COUNTIF($H$6:$H171,TRUE()))</f>
        <v/>
      </c>
      <c r="J171" s="5" t="str">
        <f aca="false">IF($I171="","","R"&amp;$I171)</f>
        <v/>
      </c>
    </row>
    <row r="172" customFormat="false" ht="15" hidden="false" customHeight="true" outlineLevel="0" collapsed="false">
      <c r="A172" s="10" t="str">
        <f aca="false">IFERROR(IF(INDEX(원본명단!$A$3:$A$6002,MATCH("R"&amp;167,정리결과!$J$6:$J$6005,0))="","",INDEX(원본명단!$A$3:$A$6002,MATCH("R"&amp;167,정리결과!$J$6:$J$6005,0))),"")</f>
        <v/>
      </c>
      <c r="B172" s="10" t="str">
        <f aca="false">IF($A172="","",IFERROR(IF(INDEX(원본명단!$B$3:$B$6002,MATCH("R"&amp;167,정리결과!$J$6:$J$6005,0))="","",INDEX(원본명단!$B$3:$B$6002,MATCH("R"&amp;167,정리결과!$J$6:$J$6005,0))),""))</f>
        <v/>
      </c>
      <c r="C172" s="10" t="str">
        <f aca="false">IF($A172="","",IFERROR(IF(INDEX(원본명단!$C$3:$C$6002,MATCH("R"&amp;167,정리결과!$J$6:$J$6005,0))="","",INDEX(원본명단!$C$3:$C$6002,MATCH("R"&amp;167,정리결과!$J$6:$J$6005,0))),""))</f>
        <v/>
      </c>
      <c r="D172" s="10" t="str">
        <f aca="false">IF($A172="","",IFERROR(IF(INDEX(원본명단!$D$3:$D$6002,MATCH("R"&amp;167,정리결과!$J$6:$J$6005,0))="","",INDEX(원본명단!$D$3:$D$6002,MATCH("R"&amp;167,정리결과!$J$6:$J$6005,0))),""))</f>
        <v/>
      </c>
      <c r="E172" s="10" t="str">
        <f aca="false">IF($A172="","",IFERROR(IF(INDEX(원본명단!$E$3:$E$6002,MATCH("R"&amp;167,정리결과!$J$6:$J$6005,0))="","",INDEX(원본명단!$E$3:$E$6002,MATCH("R"&amp;167,정리결과!$J$6:$J$6005,0))),""))</f>
        <v/>
      </c>
      <c r="F172" s="10" t="str">
        <f aca="false">IF($A172="","",IFERROR(IF(INDEX(원본명단!$F$3:$F$6002,MATCH("R"&amp;167,정리결과!$J$6:$J$6005,0))="","",INDEX(원본명단!$F$3:$F$6002,MATCH("R"&amp;167,정리결과!$J$6:$J$6005,0))),""))</f>
        <v/>
      </c>
      <c r="H172" s="14" t="b">
        <f aca="false">IF(중복검사!$A170="",FALSE(),중복검사!$J170="유지")</f>
        <v>0</v>
      </c>
      <c r="I172" s="5" t="str">
        <f aca="false">IF($H172=FALSE(),"",COUNTIF($H$6:$H172,TRUE()))</f>
        <v/>
      </c>
      <c r="J172" s="5" t="str">
        <f aca="false">IF($I172="","","R"&amp;$I172)</f>
        <v/>
      </c>
    </row>
    <row r="173" customFormat="false" ht="15" hidden="false" customHeight="true" outlineLevel="0" collapsed="false">
      <c r="A173" s="10" t="str">
        <f aca="false">IFERROR(IF(INDEX(원본명단!$A$3:$A$6002,MATCH("R"&amp;168,정리결과!$J$6:$J$6005,0))="","",INDEX(원본명단!$A$3:$A$6002,MATCH("R"&amp;168,정리결과!$J$6:$J$6005,0))),"")</f>
        <v/>
      </c>
      <c r="B173" s="10" t="str">
        <f aca="false">IF($A173="","",IFERROR(IF(INDEX(원본명단!$B$3:$B$6002,MATCH("R"&amp;168,정리결과!$J$6:$J$6005,0))="","",INDEX(원본명단!$B$3:$B$6002,MATCH("R"&amp;168,정리결과!$J$6:$J$6005,0))),""))</f>
        <v/>
      </c>
      <c r="C173" s="10" t="str">
        <f aca="false">IF($A173="","",IFERROR(IF(INDEX(원본명단!$C$3:$C$6002,MATCH("R"&amp;168,정리결과!$J$6:$J$6005,0))="","",INDEX(원본명단!$C$3:$C$6002,MATCH("R"&amp;168,정리결과!$J$6:$J$6005,0))),""))</f>
        <v/>
      </c>
      <c r="D173" s="10" t="str">
        <f aca="false">IF($A173="","",IFERROR(IF(INDEX(원본명단!$D$3:$D$6002,MATCH("R"&amp;168,정리결과!$J$6:$J$6005,0))="","",INDEX(원본명단!$D$3:$D$6002,MATCH("R"&amp;168,정리결과!$J$6:$J$6005,0))),""))</f>
        <v/>
      </c>
      <c r="E173" s="10" t="str">
        <f aca="false">IF($A173="","",IFERROR(IF(INDEX(원본명단!$E$3:$E$6002,MATCH("R"&amp;168,정리결과!$J$6:$J$6005,0))="","",INDEX(원본명단!$E$3:$E$6002,MATCH("R"&amp;168,정리결과!$J$6:$J$6005,0))),""))</f>
        <v/>
      </c>
      <c r="F173" s="10" t="str">
        <f aca="false">IF($A173="","",IFERROR(IF(INDEX(원본명단!$F$3:$F$6002,MATCH("R"&amp;168,정리결과!$J$6:$J$6005,0))="","",INDEX(원본명단!$F$3:$F$6002,MATCH("R"&amp;168,정리결과!$J$6:$J$6005,0))),""))</f>
        <v/>
      </c>
      <c r="H173" s="14" t="b">
        <f aca="false">IF(중복검사!$A171="",FALSE(),중복검사!$J171="유지")</f>
        <v>0</v>
      </c>
      <c r="I173" s="5" t="str">
        <f aca="false">IF($H173=FALSE(),"",COUNTIF($H$6:$H173,TRUE()))</f>
        <v/>
      </c>
      <c r="J173" s="5" t="str">
        <f aca="false">IF($I173="","","R"&amp;$I173)</f>
        <v/>
      </c>
    </row>
    <row r="174" customFormat="false" ht="15" hidden="false" customHeight="true" outlineLevel="0" collapsed="false">
      <c r="A174" s="10" t="str">
        <f aca="false">IFERROR(IF(INDEX(원본명단!$A$3:$A$6002,MATCH("R"&amp;169,정리결과!$J$6:$J$6005,0))="","",INDEX(원본명단!$A$3:$A$6002,MATCH("R"&amp;169,정리결과!$J$6:$J$6005,0))),"")</f>
        <v/>
      </c>
      <c r="B174" s="10" t="str">
        <f aca="false">IF($A174="","",IFERROR(IF(INDEX(원본명단!$B$3:$B$6002,MATCH("R"&amp;169,정리결과!$J$6:$J$6005,0))="","",INDEX(원본명단!$B$3:$B$6002,MATCH("R"&amp;169,정리결과!$J$6:$J$6005,0))),""))</f>
        <v/>
      </c>
      <c r="C174" s="10" t="str">
        <f aca="false">IF($A174="","",IFERROR(IF(INDEX(원본명단!$C$3:$C$6002,MATCH("R"&amp;169,정리결과!$J$6:$J$6005,0))="","",INDEX(원본명단!$C$3:$C$6002,MATCH("R"&amp;169,정리결과!$J$6:$J$6005,0))),""))</f>
        <v/>
      </c>
      <c r="D174" s="10" t="str">
        <f aca="false">IF($A174="","",IFERROR(IF(INDEX(원본명단!$D$3:$D$6002,MATCH("R"&amp;169,정리결과!$J$6:$J$6005,0))="","",INDEX(원본명단!$D$3:$D$6002,MATCH("R"&amp;169,정리결과!$J$6:$J$6005,0))),""))</f>
        <v/>
      </c>
      <c r="E174" s="10" t="str">
        <f aca="false">IF($A174="","",IFERROR(IF(INDEX(원본명단!$E$3:$E$6002,MATCH("R"&amp;169,정리결과!$J$6:$J$6005,0))="","",INDEX(원본명단!$E$3:$E$6002,MATCH("R"&amp;169,정리결과!$J$6:$J$6005,0))),""))</f>
        <v/>
      </c>
      <c r="F174" s="10" t="str">
        <f aca="false">IF($A174="","",IFERROR(IF(INDEX(원본명단!$F$3:$F$6002,MATCH("R"&amp;169,정리결과!$J$6:$J$6005,0))="","",INDEX(원본명단!$F$3:$F$6002,MATCH("R"&amp;169,정리결과!$J$6:$J$6005,0))),""))</f>
        <v/>
      </c>
      <c r="H174" s="14" t="b">
        <f aca="false">IF(중복검사!$A172="",FALSE(),중복검사!$J172="유지")</f>
        <v>0</v>
      </c>
      <c r="I174" s="5" t="str">
        <f aca="false">IF($H174=FALSE(),"",COUNTIF($H$6:$H174,TRUE()))</f>
        <v/>
      </c>
      <c r="J174" s="5" t="str">
        <f aca="false">IF($I174="","","R"&amp;$I174)</f>
        <v/>
      </c>
    </row>
    <row r="175" customFormat="false" ht="15" hidden="false" customHeight="true" outlineLevel="0" collapsed="false">
      <c r="A175" s="10" t="str">
        <f aca="false">IFERROR(IF(INDEX(원본명단!$A$3:$A$6002,MATCH("R"&amp;170,정리결과!$J$6:$J$6005,0))="","",INDEX(원본명단!$A$3:$A$6002,MATCH("R"&amp;170,정리결과!$J$6:$J$6005,0))),"")</f>
        <v/>
      </c>
      <c r="B175" s="10" t="str">
        <f aca="false">IF($A175="","",IFERROR(IF(INDEX(원본명단!$B$3:$B$6002,MATCH("R"&amp;170,정리결과!$J$6:$J$6005,0))="","",INDEX(원본명단!$B$3:$B$6002,MATCH("R"&amp;170,정리결과!$J$6:$J$6005,0))),""))</f>
        <v/>
      </c>
      <c r="C175" s="10" t="str">
        <f aca="false">IF($A175="","",IFERROR(IF(INDEX(원본명단!$C$3:$C$6002,MATCH("R"&amp;170,정리결과!$J$6:$J$6005,0))="","",INDEX(원본명단!$C$3:$C$6002,MATCH("R"&amp;170,정리결과!$J$6:$J$6005,0))),""))</f>
        <v/>
      </c>
      <c r="D175" s="10" t="str">
        <f aca="false">IF($A175="","",IFERROR(IF(INDEX(원본명단!$D$3:$D$6002,MATCH("R"&amp;170,정리결과!$J$6:$J$6005,0))="","",INDEX(원본명단!$D$3:$D$6002,MATCH("R"&amp;170,정리결과!$J$6:$J$6005,0))),""))</f>
        <v/>
      </c>
      <c r="E175" s="10" t="str">
        <f aca="false">IF($A175="","",IFERROR(IF(INDEX(원본명단!$E$3:$E$6002,MATCH("R"&amp;170,정리결과!$J$6:$J$6005,0))="","",INDEX(원본명단!$E$3:$E$6002,MATCH("R"&amp;170,정리결과!$J$6:$J$6005,0))),""))</f>
        <v/>
      </c>
      <c r="F175" s="10" t="str">
        <f aca="false">IF($A175="","",IFERROR(IF(INDEX(원본명단!$F$3:$F$6002,MATCH("R"&amp;170,정리결과!$J$6:$J$6005,0))="","",INDEX(원본명단!$F$3:$F$6002,MATCH("R"&amp;170,정리결과!$J$6:$J$6005,0))),""))</f>
        <v/>
      </c>
      <c r="H175" s="14" t="b">
        <f aca="false">IF(중복검사!$A173="",FALSE(),중복검사!$J173="유지")</f>
        <v>0</v>
      </c>
      <c r="I175" s="5" t="str">
        <f aca="false">IF($H175=FALSE(),"",COUNTIF($H$6:$H175,TRUE()))</f>
        <v/>
      </c>
      <c r="J175" s="5" t="str">
        <f aca="false">IF($I175="","","R"&amp;$I175)</f>
        <v/>
      </c>
    </row>
    <row r="176" customFormat="false" ht="15" hidden="false" customHeight="true" outlineLevel="0" collapsed="false">
      <c r="A176" s="10" t="str">
        <f aca="false">IFERROR(IF(INDEX(원본명단!$A$3:$A$6002,MATCH("R"&amp;171,정리결과!$J$6:$J$6005,0))="","",INDEX(원본명단!$A$3:$A$6002,MATCH("R"&amp;171,정리결과!$J$6:$J$6005,0))),"")</f>
        <v/>
      </c>
      <c r="B176" s="10" t="str">
        <f aca="false">IF($A176="","",IFERROR(IF(INDEX(원본명단!$B$3:$B$6002,MATCH("R"&amp;171,정리결과!$J$6:$J$6005,0))="","",INDEX(원본명단!$B$3:$B$6002,MATCH("R"&amp;171,정리결과!$J$6:$J$6005,0))),""))</f>
        <v/>
      </c>
      <c r="C176" s="10" t="str">
        <f aca="false">IF($A176="","",IFERROR(IF(INDEX(원본명단!$C$3:$C$6002,MATCH("R"&amp;171,정리결과!$J$6:$J$6005,0))="","",INDEX(원본명단!$C$3:$C$6002,MATCH("R"&amp;171,정리결과!$J$6:$J$6005,0))),""))</f>
        <v/>
      </c>
      <c r="D176" s="10" t="str">
        <f aca="false">IF($A176="","",IFERROR(IF(INDEX(원본명단!$D$3:$D$6002,MATCH("R"&amp;171,정리결과!$J$6:$J$6005,0))="","",INDEX(원본명단!$D$3:$D$6002,MATCH("R"&amp;171,정리결과!$J$6:$J$6005,0))),""))</f>
        <v/>
      </c>
      <c r="E176" s="10" t="str">
        <f aca="false">IF($A176="","",IFERROR(IF(INDEX(원본명단!$E$3:$E$6002,MATCH("R"&amp;171,정리결과!$J$6:$J$6005,0))="","",INDEX(원본명단!$E$3:$E$6002,MATCH("R"&amp;171,정리결과!$J$6:$J$6005,0))),""))</f>
        <v/>
      </c>
      <c r="F176" s="10" t="str">
        <f aca="false">IF($A176="","",IFERROR(IF(INDEX(원본명단!$F$3:$F$6002,MATCH("R"&amp;171,정리결과!$J$6:$J$6005,0))="","",INDEX(원본명단!$F$3:$F$6002,MATCH("R"&amp;171,정리결과!$J$6:$J$6005,0))),""))</f>
        <v/>
      </c>
      <c r="H176" s="14" t="b">
        <f aca="false">IF(중복검사!$A174="",FALSE(),중복검사!$J174="유지")</f>
        <v>0</v>
      </c>
      <c r="I176" s="5" t="str">
        <f aca="false">IF($H176=FALSE(),"",COUNTIF($H$6:$H176,TRUE()))</f>
        <v/>
      </c>
      <c r="J176" s="5" t="str">
        <f aca="false">IF($I176="","","R"&amp;$I176)</f>
        <v/>
      </c>
    </row>
    <row r="177" customFormat="false" ht="15" hidden="false" customHeight="true" outlineLevel="0" collapsed="false">
      <c r="A177" s="10" t="str">
        <f aca="false">IFERROR(IF(INDEX(원본명단!$A$3:$A$6002,MATCH("R"&amp;172,정리결과!$J$6:$J$6005,0))="","",INDEX(원본명단!$A$3:$A$6002,MATCH("R"&amp;172,정리결과!$J$6:$J$6005,0))),"")</f>
        <v/>
      </c>
      <c r="B177" s="10" t="str">
        <f aca="false">IF($A177="","",IFERROR(IF(INDEX(원본명단!$B$3:$B$6002,MATCH("R"&amp;172,정리결과!$J$6:$J$6005,0))="","",INDEX(원본명단!$B$3:$B$6002,MATCH("R"&amp;172,정리결과!$J$6:$J$6005,0))),""))</f>
        <v/>
      </c>
      <c r="C177" s="10" t="str">
        <f aca="false">IF($A177="","",IFERROR(IF(INDEX(원본명단!$C$3:$C$6002,MATCH("R"&amp;172,정리결과!$J$6:$J$6005,0))="","",INDEX(원본명단!$C$3:$C$6002,MATCH("R"&amp;172,정리결과!$J$6:$J$6005,0))),""))</f>
        <v/>
      </c>
      <c r="D177" s="10" t="str">
        <f aca="false">IF($A177="","",IFERROR(IF(INDEX(원본명단!$D$3:$D$6002,MATCH("R"&amp;172,정리결과!$J$6:$J$6005,0))="","",INDEX(원본명단!$D$3:$D$6002,MATCH("R"&amp;172,정리결과!$J$6:$J$6005,0))),""))</f>
        <v/>
      </c>
      <c r="E177" s="10" t="str">
        <f aca="false">IF($A177="","",IFERROR(IF(INDEX(원본명단!$E$3:$E$6002,MATCH("R"&amp;172,정리결과!$J$6:$J$6005,0))="","",INDEX(원본명단!$E$3:$E$6002,MATCH("R"&amp;172,정리결과!$J$6:$J$6005,0))),""))</f>
        <v/>
      </c>
      <c r="F177" s="10" t="str">
        <f aca="false">IF($A177="","",IFERROR(IF(INDEX(원본명단!$F$3:$F$6002,MATCH("R"&amp;172,정리결과!$J$6:$J$6005,0))="","",INDEX(원본명단!$F$3:$F$6002,MATCH("R"&amp;172,정리결과!$J$6:$J$6005,0))),""))</f>
        <v/>
      </c>
      <c r="H177" s="14" t="b">
        <f aca="false">IF(중복검사!$A175="",FALSE(),중복검사!$J175="유지")</f>
        <v>0</v>
      </c>
      <c r="I177" s="5" t="str">
        <f aca="false">IF($H177=FALSE(),"",COUNTIF($H$6:$H177,TRUE()))</f>
        <v/>
      </c>
      <c r="J177" s="5" t="str">
        <f aca="false">IF($I177="","","R"&amp;$I177)</f>
        <v/>
      </c>
    </row>
    <row r="178" customFormat="false" ht="15" hidden="false" customHeight="true" outlineLevel="0" collapsed="false">
      <c r="A178" s="10" t="str">
        <f aca="false">IFERROR(IF(INDEX(원본명단!$A$3:$A$6002,MATCH("R"&amp;173,정리결과!$J$6:$J$6005,0))="","",INDEX(원본명단!$A$3:$A$6002,MATCH("R"&amp;173,정리결과!$J$6:$J$6005,0))),"")</f>
        <v/>
      </c>
      <c r="B178" s="10" t="str">
        <f aca="false">IF($A178="","",IFERROR(IF(INDEX(원본명단!$B$3:$B$6002,MATCH("R"&amp;173,정리결과!$J$6:$J$6005,0))="","",INDEX(원본명단!$B$3:$B$6002,MATCH("R"&amp;173,정리결과!$J$6:$J$6005,0))),""))</f>
        <v/>
      </c>
      <c r="C178" s="10" t="str">
        <f aca="false">IF($A178="","",IFERROR(IF(INDEX(원본명단!$C$3:$C$6002,MATCH("R"&amp;173,정리결과!$J$6:$J$6005,0))="","",INDEX(원본명단!$C$3:$C$6002,MATCH("R"&amp;173,정리결과!$J$6:$J$6005,0))),""))</f>
        <v/>
      </c>
      <c r="D178" s="10" t="str">
        <f aca="false">IF($A178="","",IFERROR(IF(INDEX(원본명단!$D$3:$D$6002,MATCH("R"&amp;173,정리결과!$J$6:$J$6005,0))="","",INDEX(원본명단!$D$3:$D$6002,MATCH("R"&amp;173,정리결과!$J$6:$J$6005,0))),""))</f>
        <v/>
      </c>
      <c r="E178" s="10" t="str">
        <f aca="false">IF($A178="","",IFERROR(IF(INDEX(원본명단!$E$3:$E$6002,MATCH("R"&amp;173,정리결과!$J$6:$J$6005,0))="","",INDEX(원본명단!$E$3:$E$6002,MATCH("R"&amp;173,정리결과!$J$6:$J$6005,0))),""))</f>
        <v/>
      </c>
      <c r="F178" s="10" t="str">
        <f aca="false">IF($A178="","",IFERROR(IF(INDEX(원본명단!$F$3:$F$6002,MATCH("R"&amp;173,정리결과!$J$6:$J$6005,0))="","",INDEX(원본명단!$F$3:$F$6002,MATCH("R"&amp;173,정리결과!$J$6:$J$6005,0))),""))</f>
        <v/>
      </c>
      <c r="H178" s="14" t="b">
        <f aca="false">IF(중복검사!$A176="",FALSE(),중복검사!$J176="유지")</f>
        <v>0</v>
      </c>
      <c r="I178" s="5" t="str">
        <f aca="false">IF($H178=FALSE(),"",COUNTIF($H$6:$H178,TRUE()))</f>
        <v/>
      </c>
      <c r="J178" s="5" t="str">
        <f aca="false">IF($I178="","","R"&amp;$I178)</f>
        <v/>
      </c>
    </row>
    <row r="179" customFormat="false" ht="15" hidden="false" customHeight="true" outlineLevel="0" collapsed="false">
      <c r="A179" s="10" t="str">
        <f aca="false">IFERROR(IF(INDEX(원본명단!$A$3:$A$6002,MATCH("R"&amp;174,정리결과!$J$6:$J$6005,0))="","",INDEX(원본명단!$A$3:$A$6002,MATCH("R"&amp;174,정리결과!$J$6:$J$6005,0))),"")</f>
        <v/>
      </c>
      <c r="B179" s="10" t="str">
        <f aca="false">IF($A179="","",IFERROR(IF(INDEX(원본명단!$B$3:$B$6002,MATCH("R"&amp;174,정리결과!$J$6:$J$6005,0))="","",INDEX(원본명단!$B$3:$B$6002,MATCH("R"&amp;174,정리결과!$J$6:$J$6005,0))),""))</f>
        <v/>
      </c>
      <c r="C179" s="10" t="str">
        <f aca="false">IF($A179="","",IFERROR(IF(INDEX(원본명단!$C$3:$C$6002,MATCH("R"&amp;174,정리결과!$J$6:$J$6005,0))="","",INDEX(원본명단!$C$3:$C$6002,MATCH("R"&amp;174,정리결과!$J$6:$J$6005,0))),""))</f>
        <v/>
      </c>
      <c r="D179" s="10" t="str">
        <f aca="false">IF($A179="","",IFERROR(IF(INDEX(원본명단!$D$3:$D$6002,MATCH("R"&amp;174,정리결과!$J$6:$J$6005,0))="","",INDEX(원본명단!$D$3:$D$6002,MATCH("R"&amp;174,정리결과!$J$6:$J$6005,0))),""))</f>
        <v/>
      </c>
      <c r="E179" s="10" t="str">
        <f aca="false">IF($A179="","",IFERROR(IF(INDEX(원본명단!$E$3:$E$6002,MATCH("R"&amp;174,정리결과!$J$6:$J$6005,0))="","",INDEX(원본명단!$E$3:$E$6002,MATCH("R"&amp;174,정리결과!$J$6:$J$6005,0))),""))</f>
        <v/>
      </c>
      <c r="F179" s="10" t="str">
        <f aca="false">IF($A179="","",IFERROR(IF(INDEX(원본명단!$F$3:$F$6002,MATCH("R"&amp;174,정리결과!$J$6:$J$6005,0))="","",INDEX(원본명단!$F$3:$F$6002,MATCH("R"&amp;174,정리결과!$J$6:$J$6005,0))),""))</f>
        <v/>
      </c>
      <c r="H179" s="14" t="b">
        <f aca="false">IF(중복검사!$A177="",FALSE(),중복검사!$J177="유지")</f>
        <v>0</v>
      </c>
      <c r="I179" s="5" t="str">
        <f aca="false">IF($H179=FALSE(),"",COUNTIF($H$6:$H179,TRUE()))</f>
        <v/>
      </c>
      <c r="J179" s="5" t="str">
        <f aca="false">IF($I179="","","R"&amp;$I179)</f>
        <v/>
      </c>
    </row>
    <row r="180" customFormat="false" ht="15" hidden="false" customHeight="true" outlineLevel="0" collapsed="false">
      <c r="A180" s="10" t="str">
        <f aca="false">IFERROR(IF(INDEX(원본명단!$A$3:$A$6002,MATCH("R"&amp;175,정리결과!$J$6:$J$6005,0))="","",INDEX(원본명단!$A$3:$A$6002,MATCH("R"&amp;175,정리결과!$J$6:$J$6005,0))),"")</f>
        <v/>
      </c>
      <c r="B180" s="10" t="str">
        <f aca="false">IF($A180="","",IFERROR(IF(INDEX(원본명단!$B$3:$B$6002,MATCH("R"&amp;175,정리결과!$J$6:$J$6005,0))="","",INDEX(원본명단!$B$3:$B$6002,MATCH("R"&amp;175,정리결과!$J$6:$J$6005,0))),""))</f>
        <v/>
      </c>
      <c r="C180" s="10" t="str">
        <f aca="false">IF($A180="","",IFERROR(IF(INDEX(원본명단!$C$3:$C$6002,MATCH("R"&amp;175,정리결과!$J$6:$J$6005,0))="","",INDEX(원본명단!$C$3:$C$6002,MATCH("R"&amp;175,정리결과!$J$6:$J$6005,0))),""))</f>
        <v/>
      </c>
      <c r="D180" s="10" t="str">
        <f aca="false">IF($A180="","",IFERROR(IF(INDEX(원본명단!$D$3:$D$6002,MATCH("R"&amp;175,정리결과!$J$6:$J$6005,0))="","",INDEX(원본명단!$D$3:$D$6002,MATCH("R"&amp;175,정리결과!$J$6:$J$6005,0))),""))</f>
        <v/>
      </c>
      <c r="E180" s="10" t="str">
        <f aca="false">IF($A180="","",IFERROR(IF(INDEX(원본명단!$E$3:$E$6002,MATCH("R"&amp;175,정리결과!$J$6:$J$6005,0))="","",INDEX(원본명단!$E$3:$E$6002,MATCH("R"&amp;175,정리결과!$J$6:$J$6005,0))),""))</f>
        <v/>
      </c>
      <c r="F180" s="10" t="str">
        <f aca="false">IF($A180="","",IFERROR(IF(INDEX(원본명단!$F$3:$F$6002,MATCH("R"&amp;175,정리결과!$J$6:$J$6005,0))="","",INDEX(원본명단!$F$3:$F$6002,MATCH("R"&amp;175,정리결과!$J$6:$J$6005,0))),""))</f>
        <v/>
      </c>
      <c r="H180" s="14" t="b">
        <f aca="false">IF(중복검사!$A178="",FALSE(),중복검사!$J178="유지")</f>
        <v>0</v>
      </c>
      <c r="I180" s="5" t="str">
        <f aca="false">IF($H180=FALSE(),"",COUNTIF($H$6:$H180,TRUE()))</f>
        <v/>
      </c>
      <c r="J180" s="5" t="str">
        <f aca="false">IF($I180="","","R"&amp;$I180)</f>
        <v/>
      </c>
    </row>
    <row r="181" customFormat="false" ht="15" hidden="false" customHeight="true" outlineLevel="0" collapsed="false">
      <c r="A181" s="10" t="str">
        <f aca="false">IFERROR(IF(INDEX(원본명단!$A$3:$A$6002,MATCH("R"&amp;176,정리결과!$J$6:$J$6005,0))="","",INDEX(원본명단!$A$3:$A$6002,MATCH("R"&amp;176,정리결과!$J$6:$J$6005,0))),"")</f>
        <v/>
      </c>
      <c r="B181" s="10" t="str">
        <f aca="false">IF($A181="","",IFERROR(IF(INDEX(원본명단!$B$3:$B$6002,MATCH("R"&amp;176,정리결과!$J$6:$J$6005,0))="","",INDEX(원본명단!$B$3:$B$6002,MATCH("R"&amp;176,정리결과!$J$6:$J$6005,0))),""))</f>
        <v/>
      </c>
      <c r="C181" s="10" t="str">
        <f aca="false">IF($A181="","",IFERROR(IF(INDEX(원본명단!$C$3:$C$6002,MATCH("R"&amp;176,정리결과!$J$6:$J$6005,0))="","",INDEX(원본명단!$C$3:$C$6002,MATCH("R"&amp;176,정리결과!$J$6:$J$6005,0))),""))</f>
        <v/>
      </c>
      <c r="D181" s="10" t="str">
        <f aca="false">IF($A181="","",IFERROR(IF(INDEX(원본명단!$D$3:$D$6002,MATCH("R"&amp;176,정리결과!$J$6:$J$6005,0))="","",INDEX(원본명단!$D$3:$D$6002,MATCH("R"&amp;176,정리결과!$J$6:$J$6005,0))),""))</f>
        <v/>
      </c>
      <c r="E181" s="10" t="str">
        <f aca="false">IF($A181="","",IFERROR(IF(INDEX(원본명단!$E$3:$E$6002,MATCH("R"&amp;176,정리결과!$J$6:$J$6005,0))="","",INDEX(원본명단!$E$3:$E$6002,MATCH("R"&amp;176,정리결과!$J$6:$J$6005,0))),""))</f>
        <v/>
      </c>
      <c r="F181" s="10" t="str">
        <f aca="false">IF($A181="","",IFERROR(IF(INDEX(원본명단!$F$3:$F$6002,MATCH("R"&amp;176,정리결과!$J$6:$J$6005,0))="","",INDEX(원본명단!$F$3:$F$6002,MATCH("R"&amp;176,정리결과!$J$6:$J$6005,0))),""))</f>
        <v/>
      </c>
      <c r="H181" s="14" t="b">
        <f aca="false">IF(중복검사!$A179="",FALSE(),중복검사!$J179="유지")</f>
        <v>0</v>
      </c>
      <c r="I181" s="5" t="str">
        <f aca="false">IF($H181=FALSE(),"",COUNTIF($H$6:$H181,TRUE()))</f>
        <v/>
      </c>
      <c r="J181" s="5" t="str">
        <f aca="false">IF($I181="","","R"&amp;$I181)</f>
        <v/>
      </c>
    </row>
    <row r="182" customFormat="false" ht="15" hidden="false" customHeight="true" outlineLevel="0" collapsed="false">
      <c r="A182" s="10" t="str">
        <f aca="false">IFERROR(IF(INDEX(원본명단!$A$3:$A$6002,MATCH("R"&amp;177,정리결과!$J$6:$J$6005,0))="","",INDEX(원본명단!$A$3:$A$6002,MATCH("R"&amp;177,정리결과!$J$6:$J$6005,0))),"")</f>
        <v/>
      </c>
      <c r="B182" s="10" t="str">
        <f aca="false">IF($A182="","",IFERROR(IF(INDEX(원본명단!$B$3:$B$6002,MATCH("R"&amp;177,정리결과!$J$6:$J$6005,0))="","",INDEX(원본명단!$B$3:$B$6002,MATCH("R"&amp;177,정리결과!$J$6:$J$6005,0))),""))</f>
        <v/>
      </c>
      <c r="C182" s="10" t="str">
        <f aca="false">IF($A182="","",IFERROR(IF(INDEX(원본명단!$C$3:$C$6002,MATCH("R"&amp;177,정리결과!$J$6:$J$6005,0))="","",INDEX(원본명단!$C$3:$C$6002,MATCH("R"&amp;177,정리결과!$J$6:$J$6005,0))),""))</f>
        <v/>
      </c>
      <c r="D182" s="10" t="str">
        <f aca="false">IF($A182="","",IFERROR(IF(INDEX(원본명단!$D$3:$D$6002,MATCH("R"&amp;177,정리결과!$J$6:$J$6005,0))="","",INDEX(원본명단!$D$3:$D$6002,MATCH("R"&amp;177,정리결과!$J$6:$J$6005,0))),""))</f>
        <v/>
      </c>
      <c r="E182" s="10" t="str">
        <f aca="false">IF($A182="","",IFERROR(IF(INDEX(원본명단!$E$3:$E$6002,MATCH("R"&amp;177,정리결과!$J$6:$J$6005,0))="","",INDEX(원본명단!$E$3:$E$6002,MATCH("R"&amp;177,정리결과!$J$6:$J$6005,0))),""))</f>
        <v/>
      </c>
      <c r="F182" s="10" t="str">
        <f aca="false">IF($A182="","",IFERROR(IF(INDEX(원본명단!$F$3:$F$6002,MATCH("R"&amp;177,정리결과!$J$6:$J$6005,0))="","",INDEX(원본명단!$F$3:$F$6002,MATCH("R"&amp;177,정리결과!$J$6:$J$6005,0))),""))</f>
        <v/>
      </c>
      <c r="H182" s="14" t="b">
        <f aca="false">IF(중복검사!$A180="",FALSE(),중복검사!$J180="유지")</f>
        <v>0</v>
      </c>
      <c r="I182" s="5" t="str">
        <f aca="false">IF($H182=FALSE(),"",COUNTIF($H$6:$H182,TRUE()))</f>
        <v/>
      </c>
      <c r="J182" s="5" t="str">
        <f aca="false">IF($I182="","","R"&amp;$I182)</f>
        <v/>
      </c>
    </row>
    <row r="183" customFormat="false" ht="15" hidden="false" customHeight="true" outlineLevel="0" collapsed="false">
      <c r="A183" s="10" t="str">
        <f aca="false">IFERROR(IF(INDEX(원본명단!$A$3:$A$6002,MATCH("R"&amp;178,정리결과!$J$6:$J$6005,0))="","",INDEX(원본명단!$A$3:$A$6002,MATCH("R"&amp;178,정리결과!$J$6:$J$6005,0))),"")</f>
        <v/>
      </c>
      <c r="B183" s="10" t="str">
        <f aca="false">IF($A183="","",IFERROR(IF(INDEX(원본명단!$B$3:$B$6002,MATCH("R"&amp;178,정리결과!$J$6:$J$6005,0))="","",INDEX(원본명단!$B$3:$B$6002,MATCH("R"&amp;178,정리결과!$J$6:$J$6005,0))),""))</f>
        <v/>
      </c>
      <c r="C183" s="10" t="str">
        <f aca="false">IF($A183="","",IFERROR(IF(INDEX(원본명단!$C$3:$C$6002,MATCH("R"&amp;178,정리결과!$J$6:$J$6005,0))="","",INDEX(원본명단!$C$3:$C$6002,MATCH("R"&amp;178,정리결과!$J$6:$J$6005,0))),""))</f>
        <v/>
      </c>
      <c r="D183" s="10" t="str">
        <f aca="false">IF($A183="","",IFERROR(IF(INDEX(원본명단!$D$3:$D$6002,MATCH("R"&amp;178,정리결과!$J$6:$J$6005,0))="","",INDEX(원본명단!$D$3:$D$6002,MATCH("R"&amp;178,정리결과!$J$6:$J$6005,0))),""))</f>
        <v/>
      </c>
      <c r="E183" s="10" t="str">
        <f aca="false">IF($A183="","",IFERROR(IF(INDEX(원본명단!$E$3:$E$6002,MATCH("R"&amp;178,정리결과!$J$6:$J$6005,0))="","",INDEX(원본명단!$E$3:$E$6002,MATCH("R"&amp;178,정리결과!$J$6:$J$6005,0))),""))</f>
        <v/>
      </c>
      <c r="F183" s="10" t="str">
        <f aca="false">IF($A183="","",IFERROR(IF(INDEX(원본명단!$F$3:$F$6002,MATCH("R"&amp;178,정리결과!$J$6:$J$6005,0))="","",INDEX(원본명단!$F$3:$F$6002,MATCH("R"&amp;178,정리결과!$J$6:$J$6005,0))),""))</f>
        <v/>
      </c>
      <c r="H183" s="14" t="b">
        <f aca="false">IF(중복검사!$A181="",FALSE(),중복검사!$J181="유지")</f>
        <v>0</v>
      </c>
      <c r="I183" s="5" t="str">
        <f aca="false">IF($H183=FALSE(),"",COUNTIF($H$6:$H183,TRUE()))</f>
        <v/>
      </c>
      <c r="J183" s="5" t="str">
        <f aca="false">IF($I183="","","R"&amp;$I183)</f>
        <v/>
      </c>
    </row>
    <row r="184" customFormat="false" ht="15" hidden="false" customHeight="true" outlineLevel="0" collapsed="false">
      <c r="A184" s="10" t="str">
        <f aca="false">IFERROR(IF(INDEX(원본명단!$A$3:$A$6002,MATCH("R"&amp;179,정리결과!$J$6:$J$6005,0))="","",INDEX(원본명단!$A$3:$A$6002,MATCH("R"&amp;179,정리결과!$J$6:$J$6005,0))),"")</f>
        <v/>
      </c>
      <c r="B184" s="10" t="str">
        <f aca="false">IF($A184="","",IFERROR(IF(INDEX(원본명단!$B$3:$B$6002,MATCH("R"&amp;179,정리결과!$J$6:$J$6005,0))="","",INDEX(원본명단!$B$3:$B$6002,MATCH("R"&amp;179,정리결과!$J$6:$J$6005,0))),""))</f>
        <v/>
      </c>
      <c r="C184" s="10" t="str">
        <f aca="false">IF($A184="","",IFERROR(IF(INDEX(원본명단!$C$3:$C$6002,MATCH("R"&amp;179,정리결과!$J$6:$J$6005,0))="","",INDEX(원본명단!$C$3:$C$6002,MATCH("R"&amp;179,정리결과!$J$6:$J$6005,0))),""))</f>
        <v/>
      </c>
      <c r="D184" s="10" t="str">
        <f aca="false">IF($A184="","",IFERROR(IF(INDEX(원본명단!$D$3:$D$6002,MATCH("R"&amp;179,정리결과!$J$6:$J$6005,0))="","",INDEX(원본명단!$D$3:$D$6002,MATCH("R"&amp;179,정리결과!$J$6:$J$6005,0))),""))</f>
        <v/>
      </c>
      <c r="E184" s="10" t="str">
        <f aca="false">IF($A184="","",IFERROR(IF(INDEX(원본명단!$E$3:$E$6002,MATCH("R"&amp;179,정리결과!$J$6:$J$6005,0))="","",INDEX(원본명단!$E$3:$E$6002,MATCH("R"&amp;179,정리결과!$J$6:$J$6005,0))),""))</f>
        <v/>
      </c>
      <c r="F184" s="10" t="str">
        <f aca="false">IF($A184="","",IFERROR(IF(INDEX(원본명단!$F$3:$F$6002,MATCH("R"&amp;179,정리결과!$J$6:$J$6005,0))="","",INDEX(원본명단!$F$3:$F$6002,MATCH("R"&amp;179,정리결과!$J$6:$J$6005,0))),""))</f>
        <v/>
      </c>
      <c r="H184" s="14" t="b">
        <f aca="false">IF(중복검사!$A182="",FALSE(),중복검사!$J182="유지")</f>
        <v>0</v>
      </c>
      <c r="I184" s="5" t="str">
        <f aca="false">IF($H184=FALSE(),"",COUNTIF($H$6:$H184,TRUE()))</f>
        <v/>
      </c>
      <c r="J184" s="5" t="str">
        <f aca="false">IF($I184="","","R"&amp;$I184)</f>
        <v/>
      </c>
    </row>
    <row r="185" customFormat="false" ht="15" hidden="false" customHeight="true" outlineLevel="0" collapsed="false">
      <c r="A185" s="10" t="str">
        <f aca="false">IFERROR(IF(INDEX(원본명단!$A$3:$A$6002,MATCH("R"&amp;180,정리결과!$J$6:$J$6005,0))="","",INDEX(원본명단!$A$3:$A$6002,MATCH("R"&amp;180,정리결과!$J$6:$J$6005,0))),"")</f>
        <v/>
      </c>
      <c r="B185" s="10" t="str">
        <f aca="false">IF($A185="","",IFERROR(IF(INDEX(원본명단!$B$3:$B$6002,MATCH("R"&amp;180,정리결과!$J$6:$J$6005,0))="","",INDEX(원본명단!$B$3:$B$6002,MATCH("R"&amp;180,정리결과!$J$6:$J$6005,0))),""))</f>
        <v/>
      </c>
      <c r="C185" s="10" t="str">
        <f aca="false">IF($A185="","",IFERROR(IF(INDEX(원본명단!$C$3:$C$6002,MATCH("R"&amp;180,정리결과!$J$6:$J$6005,0))="","",INDEX(원본명단!$C$3:$C$6002,MATCH("R"&amp;180,정리결과!$J$6:$J$6005,0))),""))</f>
        <v/>
      </c>
      <c r="D185" s="10" t="str">
        <f aca="false">IF($A185="","",IFERROR(IF(INDEX(원본명단!$D$3:$D$6002,MATCH("R"&amp;180,정리결과!$J$6:$J$6005,0))="","",INDEX(원본명단!$D$3:$D$6002,MATCH("R"&amp;180,정리결과!$J$6:$J$6005,0))),""))</f>
        <v/>
      </c>
      <c r="E185" s="10" t="str">
        <f aca="false">IF($A185="","",IFERROR(IF(INDEX(원본명단!$E$3:$E$6002,MATCH("R"&amp;180,정리결과!$J$6:$J$6005,0))="","",INDEX(원본명단!$E$3:$E$6002,MATCH("R"&amp;180,정리결과!$J$6:$J$6005,0))),""))</f>
        <v/>
      </c>
      <c r="F185" s="10" t="str">
        <f aca="false">IF($A185="","",IFERROR(IF(INDEX(원본명단!$F$3:$F$6002,MATCH("R"&amp;180,정리결과!$J$6:$J$6005,0))="","",INDEX(원본명단!$F$3:$F$6002,MATCH("R"&amp;180,정리결과!$J$6:$J$6005,0))),""))</f>
        <v/>
      </c>
      <c r="H185" s="14" t="b">
        <f aca="false">IF(중복검사!$A183="",FALSE(),중복검사!$J183="유지")</f>
        <v>0</v>
      </c>
      <c r="I185" s="5" t="str">
        <f aca="false">IF($H185=FALSE(),"",COUNTIF($H$6:$H185,TRUE()))</f>
        <v/>
      </c>
      <c r="J185" s="5" t="str">
        <f aca="false">IF($I185="","","R"&amp;$I185)</f>
        <v/>
      </c>
    </row>
    <row r="186" customFormat="false" ht="15" hidden="false" customHeight="true" outlineLevel="0" collapsed="false">
      <c r="A186" s="10" t="str">
        <f aca="false">IFERROR(IF(INDEX(원본명단!$A$3:$A$6002,MATCH("R"&amp;181,정리결과!$J$6:$J$6005,0))="","",INDEX(원본명단!$A$3:$A$6002,MATCH("R"&amp;181,정리결과!$J$6:$J$6005,0))),"")</f>
        <v/>
      </c>
      <c r="B186" s="10" t="str">
        <f aca="false">IF($A186="","",IFERROR(IF(INDEX(원본명단!$B$3:$B$6002,MATCH("R"&amp;181,정리결과!$J$6:$J$6005,0))="","",INDEX(원본명단!$B$3:$B$6002,MATCH("R"&amp;181,정리결과!$J$6:$J$6005,0))),""))</f>
        <v/>
      </c>
      <c r="C186" s="10" t="str">
        <f aca="false">IF($A186="","",IFERROR(IF(INDEX(원본명단!$C$3:$C$6002,MATCH("R"&amp;181,정리결과!$J$6:$J$6005,0))="","",INDEX(원본명단!$C$3:$C$6002,MATCH("R"&amp;181,정리결과!$J$6:$J$6005,0))),""))</f>
        <v/>
      </c>
      <c r="D186" s="10" t="str">
        <f aca="false">IF($A186="","",IFERROR(IF(INDEX(원본명단!$D$3:$D$6002,MATCH("R"&amp;181,정리결과!$J$6:$J$6005,0))="","",INDEX(원본명단!$D$3:$D$6002,MATCH("R"&amp;181,정리결과!$J$6:$J$6005,0))),""))</f>
        <v/>
      </c>
      <c r="E186" s="10" t="str">
        <f aca="false">IF($A186="","",IFERROR(IF(INDEX(원본명단!$E$3:$E$6002,MATCH("R"&amp;181,정리결과!$J$6:$J$6005,0))="","",INDEX(원본명단!$E$3:$E$6002,MATCH("R"&amp;181,정리결과!$J$6:$J$6005,0))),""))</f>
        <v/>
      </c>
      <c r="F186" s="10" t="str">
        <f aca="false">IF($A186="","",IFERROR(IF(INDEX(원본명단!$F$3:$F$6002,MATCH("R"&amp;181,정리결과!$J$6:$J$6005,0))="","",INDEX(원본명단!$F$3:$F$6002,MATCH("R"&amp;181,정리결과!$J$6:$J$6005,0))),""))</f>
        <v/>
      </c>
      <c r="H186" s="14" t="b">
        <f aca="false">IF(중복검사!$A184="",FALSE(),중복검사!$J184="유지")</f>
        <v>0</v>
      </c>
      <c r="I186" s="5" t="str">
        <f aca="false">IF($H186=FALSE(),"",COUNTIF($H$6:$H186,TRUE()))</f>
        <v/>
      </c>
      <c r="J186" s="5" t="str">
        <f aca="false">IF($I186="","","R"&amp;$I186)</f>
        <v/>
      </c>
    </row>
    <row r="187" customFormat="false" ht="15" hidden="false" customHeight="true" outlineLevel="0" collapsed="false">
      <c r="A187" s="10" t="str">
        <f aca="false">IFERROR(IF(INDEX(원본명단!$A$3:$A$6002,MATCH("R"&amp;182,정리결과!$J$6:$J$6005,0))="","",INDEX(원본명단!$A$3:$A$6002,MATCH("R"&amp;182,정리결과!$J$6:$J$6005,0))),"")</f>
        <v/>
      </c>
      <c r="B187" s="10" t="str">
        <f aca="false">IF($A187="","",IFERROR(IF(INDEX(원본명단!$B$3:$B$6002,MATCH("R"&amp;182,정리결과!$J$6:$J$6005,0))="","",INDEX(원본명단!$B$3:$B$6002,MATCH("R"&amp;182,정리결과!$J$6:$J$6005,0))),""))</f>
        <v/>
      </c>
      <c r="C187" s="10" t="str">
        <f aca="false">IF($A187="","",IFERROR(IF(INDEX(원본명단!$C$3:$C$6002,MATCH("R"&amp;182,정리결과!$J$6:$J$6005,0))="","",INDEX(원본명단!$C$3:$C$6002,MATCH("R"&amp;182,정리결과!$J$6:$J$6005,0))),""))</f>
        <v/>
      </c>
      <c r="D187" s="10" t="str">
        <f aca="false">IF($A187="","",IFERROR(IF(INDEX(원본명단!$D$3:$D$6002,MATCH("R"&amp;182,정리결과!$J$6:$J$6005,0))="","",INDEX(원본명단!$D$3:$D$6002,MATCH("R"&amp;182,정리결과!$J$6:$J$6005,0))),""))</f>
        <v/>
      </c>
      <c r="E187" s="10" t="str">
        <f aca="false">IF($A187="","",IFERROR(IF(INDEX(원본명단!$E$3:$E$6002,MATCH("R"&amp;182,정리결과!$J$6:$J$6005,0))="","",INDEX(원본명단!$E$3:$E$6002,MATCH("R"&amp;182,정리결과!$J$6:$J$6005,0))),""))</f>
        <v/>
      </c>
      <c r="F187" s="10" t="str">
        <f aca="false">IF($A187="","",IFERROR(IF(INDEX(원본명단!$F$3:$F$6002,MATCH("R"&amp;182,정리결과!$J$6:$J$6005,0))="","",INDEX(원본명단!$F$3:$F$6002,MATCH("R"&amp;182,정리결과!$J$6:$J$6005,0))),""))</f>
        <v/>
      </c>
      <c r="H187" s="14" t="b">
        <f aca="false">IF(중복검사!$A185="",FALSE(),중복검사!$J185="유지")</f>
        <v>0</v>
      </c>
      <c r="I187" s="5" t="str">
        <f aca="false">IF($H187=FALSE(),"",COUNTIF($H$6:$H187,TRUE()))</f>
        <v/>
      </c>
      <c r="J187" s="5" t="str">
        <f aca="false">IF($I187="","","R"&amp;$I187)</f>
        <v/>
      </c>
    </row>
    <row r="188" customFormat="false" ht="15" hidden="false" customHeight="true" outlineLevel="0" collapsed="false">
      <c r="A188" s="10" t="str">
        <f aca="false">IFERROR(IF(INDEX(원본명단!$A$3:$A$6002,MATCH("R"&amp;183,정리결과!$J$6:$J$6005,0))="","",INDEX(원본명단!$A$3:$A$6002,MATCH("R"&amp;183,정리결과!$J$6:$J$6005,0))),"")</f>
        <v/>
      </c>
      <c r="B188" s="10" t="str">
        <f aca="false">IF($A188="","",IFERROR(IF(INDEX(원본명단!$B$3:$B$6002,MATCH("R"&amp;183,정리결과!$J$6:$J$6005,0))="","",INDEX(원본명단!$B$3:$B$6002,MATCH("R"&amp;183,정리결과!$J$6:$J$6005,0))),""))</f>
        <v/>
      </c>
      <c r="C188" s="10" t="str">
        <f aca="false">IF($A188="","",IFERROR(IF(INDEX(원본명단!$C$3:$C$6002,MATCH("R"&amp;183,정리결과!$J$6:$J$6005,0))="","",INDEX(원본명단!$C$3:$C$6002,MATCH("R"&amp;183,정리결과!$J$6:$J$6005,0))),""))</f>
        <v/>
      </c>
      <c r="D188" s="10" t="str">
        <f aca="false">IF($A188="","",IFERROR(IF(INDEX(원본명단!$D$3:$D$6002,MATCH("R"&amp;183,정리결과!$J$6:$J$6005,0))="","",INDEX(원본명단!$D$3:$D$6002,MATCH("R"&amp;183,정리결과!$J$6:$J$6005,0))),""))</f>
        <v/>
      </c>
      <c r="E188" s="10" t="str">
        <f aca="false">IF($A188="","",IFERROR(IF(INDEX(원본명단!$E$3:$E$6002,MATCH("R"&amp;183,정리결과!$J$6:$J$6005,0))="","",INDEX(원본명단!$E$3:$E$6002,MATCH("R"&amp;183,정리결과!$J$6:$J$6005,0))),""))</f>
        <v/>
      </c>
      <c r="F188" s="10" t="str">
        <f aca="false">IF($A188="","",IFERROR(IF(INDEX(원본명단!$F$3:$F$6002,MATCH("R"&amp;183,정리결과!$J$6:$J$6005,0))="","",INDEX(원본명단!$F$3:$F$6002,MATCH("R"&amp;183,정리결과!$J$6:$J$6005,0))),""))</f>
        <v/>
      </c>
      <c r="H188" s="14" t="b">
        <f aca="false">IF(중복검사!$A186="",FALSE(),중복검사!$J186="유지")</f>
        <v>0</v>
      </c>
      <c r="I188" s="5" t="str">
        <f aca="false">IF($H188=FALSE(),"",COUNTIF($H$6:$H188,TRUE()))</f>
        <v/>
      </c>
      <c r="J188" s="5" t="str">
        <f aca="false">IF($I188="","","R"&amp;$I188)</f>
        <v/>
      </c>
    </row>
    <row r="189" customFormat="false" ht="15" hidden="false" customHeight="true" outlineLevel="0" collapsed="false">
      <c r="A189" s="10" t="str">
        <f aca="false">IFERROR(IF(INDEX(원본명단!$A$3:$A$6002,MATCH("R"&amp;184,정리결과!$J$6:$J$6005,0))="","",INDEX(원본명단!$A$3:$A$6002,MATCH("R"&amp;184,정리결과!$J$6:$J$6005,0))),"")</f>
        <v/>
      </c>
      <c r="B189" s="10" t="str">
        <f aca="false">IF($A189="","",IFERROR(IF(INDEX(원본명단!$B$3:$B$6002,MATCH("R"&amp;184,정리결과!$J$6:$J$6005,0))="","",INDEX(원본명단!$B$3:$B$6002,MATCH("R"&amp;184,정리결과!$J$6:$J$6005,0))),""))</f>
        <v/>
      </c>
      <c r="C189" s="10" t="str">
        <f aca="false">IF($A189="","",IFERROR(IF(INDEX(원본명단!$C$3:$C$6002,MATCH("R"&amp;184,정리결과!$J$6:$J$6005,0))="","",INDEX(원본명단!$C$3:$C$6002,MATCH("R"&amp;184,정리결과!$J$6:$J$6005,0))),""))</f>
        <v/>
      </c>
      <c r="D189" s="10" t="str">
        <f aca="false">IF($A189="","",IFERROR(IF(INDEX(원본명단!$D$3:$D$6002,MATCH("R"&amp;184,정리결과!$J$6:$J$6005,0))="","",INDEX(원본명단!$D$3:$D$6002,MATCH("R"&amp;184,정리결과!$J$6:$J$6005,0))),""))</f>
        <v/>
      </c>
      <c r="E189" s="10" t="str">
        <f aca="false">IF($A189="","",IFERROR(IF(INDEX(원본명단!$E$3:$E$6002,MATCH("R"&amp;184,정리결과!$J$6:$J$6005,0))="","",INDEX(원본명단!$E$3:$E$6002,MATCH("R"&amp;184,정리결과!$J$6:$J$6005,0))),""))</f>
        <v/>
      </c>
      <c r="F189" s="10" t="str">
        <f aca="false">IF($A189="","",IFERROR(IF(INDEX(원본명단!$F$3:$F$6002,MATCH("R"&amp;184,정리결과!$J$6:$J$6005,0))="","",INDEX(원본명단!$F$3:$F$6002,MATCH("R"&amp;184,정리결과!$J$6:$J$6005,0))),""))</f>
        <v/>
      </c>
      <c r="H189" s="14" t="b">
        <f aca="false">IF(중복검사!$A187="",FALSE(),중복검사!$J187="유지")</f>
        <v>0</v>
      </c>
      <c r="I189" s="5" t="str">
        <f aca="false">IF($H189=FALSE(),"",COUNTIF($H$6:$H189,TRUE()))</f>
        <v/>
      </c>
      <c r="J189" s="5" t="str">
        <f aca="false">IF($I189="","","R"&amp;$I189)</f>
        <v/>
      </c>
    </row>
    <row r="190" customFormat="false" ht="15" hidden="false" customHeight="true" outlineLevel="0" collapsed="false">
      <c r="A190" s="10" t="str">
        <f aca="false">IFERROR(IF(INDEX(원본명단!$A$3:$A$6002,MATCH("R"&amp;185,정리결과!$J$6:$J$6005,0))="","",INDEX(원본명단!$A$3:$A$6002,MATCH("R"&amp;185,정리결과!$J$6:$J$6005,0))),"")</f>
        <v/>
      </c>
      <c r="B190" s="10" t="str">
        <f aca="false">IF($A190="","",IFERROR(IF(INDEX(원본명단!$B$3:$B$6002,MATCH("R"&amp;185,정리결과!$J$6:$J$6005,0))="","",INDEX(원본명단!$B$3:$B$6002,MATCH("R"&amp;185,정리결과!$J$6:$J$6005,0))),""))</f>
        <v/>
      </c>
      <c r="C190" s="10" t="str">
        <f aca="false">IF($A190="","",IFERROR(IF(INDEX(원본명단!$C$3:$C$6002,MATCH("R"&amp;185,정리결과!$J$6:$J$6005,0))="","",INDEX(원본명단!$C$3:$C$6002,MATCH("R"&amp;185,정리결과!$J$6:$J$6005,0))),""))</f>
        <v/>
      </c>
      <c r="D190" s="10" t="str">
        <f aca="false">IF($A190="","",IFERROR(IF(INDEX(원본명단!$D$3:$D$6002,MATCH("R"&amp;185,정리결과!$J$6:$J$6005,0))="","",INDEX(원본명단!$D$3:$D$6002,MATCH("R"&amp;185,정리결과!$J$6:$J$6005,0))),""))</f>
        <v/>
      </c>
      <c r="E190" s="10" t="str">
        <f aca="false">IF($A190="","",IFERROR(IF(INDEX(원본명단!$E$3:$E$6002,MATCH("R"&amp;185,정리결과!$J$6:$J$6005,0))="","",INDEX(원본명단!$E$3:$E$6002,MATCH("R"&amp;185,정리결과!$J$6:$J$6005,0))),""))</f>
        <v/>
      </c>
      <c r="F190" s="10" t="str">
        <f aca="false">IF($A190="","",IFERROR(IF(INDEX(원본명단!$F$3:$F$6002,MATCH("R"&amp;185,정리결과!$J$6:$J$6005,0))="","",INDEX(원본명단!$F$3:$F$6002,MATCH("R"&amp;185,정리결과!$J$6:$J$6005,0))),""))</f>
        <v/>
      </c>
      <c r="H190" s="14" t="b">
        <f aca="false">IF(중복검사!$A188="",FALSE(),중복검사!$J188="유지")</f>
        <v>0</v>
      </c>
      <c r="I190" s="5" t="str">
        <f aca="false">IF($H190=FALSE(),"",COUNTIF($H$6:$H190,TRUE()))</f>
        <v/>
      </c>
      <c r="J190" s="5" t="str">
        <f aca="false">IF($I190="","","R"&amp;$I190)</f>
        <v/>
      </c>
    </row>
    <row r="191" customFormat="false" ht="15" hidden="false" customHeight="true" outlineLevel="0" collapsed="false">
      <c r="A191" s="10" t="str">
        <f aca="false">IFERROR(IF(INDEX(원본명단!$A$3:$A$6002,MATCH("R"&amp;186,정리결과!$J$6:$J$6005,0))="","",INDEX(원본명단!$A$3:$A$6002,MATCH("R"&amp;186,정리결과!$J$6:$J$6005,0))),"")</f>
        <v/>
      </c>
      <c r="B191" s="10" t="str">
        <f aca="false">IF($A191="","",IFERROR(IF(INDEX(원본명단!$B$3:$B$6002,MATCH("R"&amp;186,정리결과!$J$6:$J$6005,0))="","",INDEX(원본명단!$B$3:$B$6002,MATCH("R"&amp;186,정리결과!$J$6:$J$6005,0))),""))</f>
        <v/>
      </c>
      <c r="C191" s="10" t="str">
        <f aca="false">IF($A191="","",IFERROR(IF(INDEX(원본명단!$C$3:$C$6002,MATCH("R"&amp;186,정리결과!$J$6:$J$6005,0))="","",INDEX(원본명단!$C$3:$C$6002,MATCH("R"&amp;186,정리결과!$J$6:$J$6005,0))),""))</f>
        <v/>
      </c>
      <c r="D191" s="10" t="str">
        <f aca="false">IF($A191="","",IFERROR(IF(INDEX(원본명단!$D$3:$D$6002,MATCH("R"&amp;186,정리결과!$J$6:$J$6005,0))="","",INDEX(원본명단!$D$3:$D$6002,MATCH("R"&amp;186,정리결과!$J$6:$J$6005,0))),""))</f>
        <v/>
      </c>
      <c r="E191" s="10" t="str">
        <f aca="false">IF($A191="","",IFERROR(IF(INDEX(원본명단!$E$3:$E$6002,MATCH("R"&amp;186,정리결과!$J$6:$J$6005,0))="","",INDEX(원본명단!$E$3:$E$6002,MATCH("R"&amp;186,정리결과!$J$6:$J$6005,0))),""))</f>
        <v/>
      </c>
      <c r="F191" s="10" t="str">
        <f aca="false">IF($A191="","",IFERROR(IF(INDEX(원본명단!$F$3:$F$6002,MATCH("R"&amp;186,정리결과!$J$6:$J$6005,0))="","",INDEX(원본명단!$F$3:$F$6002,MATCH("R"&amp;186,정리결과!$J$6:$J$6005,0))),""))</f>
        <v/>
      </c>
      <c r="H191" s="14" t="b">
        <f aca="false">IF(중복검사!$A189="",FALSE(),중복검사!$J189="유지")</f>
        <v>0</v>
      </c>
      <c r="I191" s="5" t="str">
        <f aca="false">IF($H191=FALSE(),"",COUNTIF($H$6:$H191,TRUE()))</f>
        <v/>
      </c>
      <c r="J191" s="5" t="str">
        <f aca="false">IF($I191="","","R"&amp;$I191)</f>
        <v/>
      </c>
    </row>
    <row r="192" customFormat="false" ht="15" hidden="false" customHeight="true" outlineLevel="0" collapsed="false">
      <c r="A192" s="10" t="str">
        <f aca="false">IFERROR(IF(INDEX(원본명단!$A$3:$A$6002,MATCH("R"&amp;187,정리결과!$J$6:$J$6005,0))="","",INDEX(원본명단!$A$3:$A$6002,MATCH("R"&amp;187,정리결과!$J$6:$J$6005,0))),"")</f>
        <v/>
      </c>
      <c r="B192" s="10" t="str">
        <f aca="false">IF($A192="","",IFERROR(IF(INDEX(원본명단!$B$3:$B$6002,MATCH("R"&amp;187,정리결과!$J$6:$J$6005,0))="","",INDEX(원본명단!$B$3:$B$6002,MATCH("R"&amp;187,정리결과!$J$6:$J$6005,0))),""))</f>
        <v/>
      </c>
      <c r="C192" s="10" t="str">
        <f aca="false">IF($A192="","",IFERROR(IF(INDEX(원본명단!$C$3:$C$6002,MATCH("R"&amp;187,정리결과!$J$6:$J$6005,0))="","",INDEX(원본명단!$C$3:$C$6002,MATCH("R"&amp;187,정리결과!$J$6:$J$6005,0))),""))</f>
        <v/>
      </c>
      <c r="D192" s="10" t="str">
        <f aca="false">IF($A192="","",IFERROR(IF(INDEX(원본명단!$D$3:$D$6002,MATCH("R"&amp;187,정리결과!$J$6:$J$6005,0))="","",INDEX(원본명단!$D$3:$D$6002,MATCH("R"&amp;187,정리결과!$J$6:$J$6005,0))),""))</f>
        <v/>
      </c>
      <c r="E192" s="10" t="str">
        <f aca="false">IF($A192="","",IFERROR(IF(INDEX(원본명단!$E$3:$E$6002,MATCH("R"&amp;187,정리결과!$J$6:$J$6005,0))="","",INDEX(원본명단!$E$3:$E$6002,MATCH("R"&amp;187,정리결과!$J$6:$J$6005,0))),""))</f>
        <v/>
      </c>
      <c r="F192" s="10" t="str">
        <f aca="false">IF($A192="","",IFERROR(IF(INDEX(원본명단!$F$3:$F$6002,MATCH("R"&amp;187,정리결과!$J$6:$J$6005,0))="","",INDEX(원본명단!$F$3:$F$6002,MATCH("R"&amp;187,정리결과!$J$6:$J$6005,0))),""))</f>
        <v/>
      </c>
      <c r="H192" s="14" t="b">
        <f aca="false">IF(중복검사!$A190="",FALSE(),중복검사!$J190="유지")</f>
        <v>0</v>
      </c>
      <c r="I192" s="5" t="str">
        <f aca="false">IF($H192=FALSE(),"",COUNTIF($H$6:$H192,TRUE()))</f>
        <v/>
      </c>
      <c r="J192" s="5" t="str">
        <f aca="false">IF($I192="","","R"&amp;$I192)</f>
        <v/>
      </c>
    </row>
    <row r="193" customFormat="false" ht="15" hidden="false" customHeight="true" outlineLevel="0" collapsed="false">
      <c r="A193" s="10" t="str">
        <f aca="false">IFERROR(IF(INDEX(원본명단!$A$3:$A$6002,MATCH("R"&amp;188,정리결과!$J$6:$J$6005,0))="","",INDEX(원본명단!$A$3:$A$6002,MATCH("R"&amp;188,정리결과!$J$6:$J$6005,0))),"")</f>
        <v/>
      </c>
      <c r="B193" s="10" t="str">
        <f aca="false">IF($A193="","",IFERROR(IF(INDEX(원본명단!$B$3:$B$6002,MATCH("R"&amp;188,정리결과!$J$6:$J$6005,0))="","",INDEX(원본명단!$B$3:$B$6002,MATCH("R"&amp;188,정리결과!$J$6:$J$6005,0))),""))</f>
        <v/>
      </c>
      <c r="C193" s="10" t="str">
        <f aca="false">IF($A193="","",IFERROR(IF(INDEX(원본명단!$C$3:$C$6002,MATCH("R"&amp;188,정리결과!$J$6:$J$6005,0))="","",INDEX(원본명단!$C$3:$C$6002,MATCH("R"&amp;188,정리결과!$J$6:$J$6005,0))),""))</f>
        <v/>
      </c>
      <c r="D193" s="10" t="str">
        <f aca="false">IF($A193="","",IFERROR(IF(INDEX(원본명단!$D$3:$D$6002,MATCH("R"&amp;188,정리결과!$J$6:$J$6005,0))="","",INDEX(원본명단!$D$3:$D$6002,MATCH("R"&amp;188,정리결과!$J$6:$J$6005,0))),""))</f>
        <v/>
      </c>
      <c r="E193" s="10" t="str">
        <f aca="false">IF($A193="","",IFERROR(IF(INDEX(원본명단!$E$3:$E$6002,MATCH("R"&amp;188,정리결과!$J$6:$J$6005,0))="","",INDEX(원본명단!$E$3:$E$6002,MATCH("R"&amp;188,정리결과!$J$6:$J$6005,0))),""))</f>
        <v/>
      </c>
      <c r="F193" s="10" t="str">
        <f aca="false">IF($A193="","",IFERROR(IF(INDEX(원본명단!$F$3:$F$6002,MATCH("R"&amp;188,정리결과!$J$6:$J$6005,0))="","",INDEX(원본명단!$F$3:$F$6002,MATCH("R"&amp;188,정리결과!$J$6:$J$6005,0))),""))</f>
        <v/>
      </c>
      <c r="H193" s="14" t="b">
        <f aca="false">IF(중복검사!$A191="",FALSE(),중복검사!$J191="유지")</f>
        <v>0</v>
      </c>
      <c r="I193" s="5" t="str">
        <f aca="false">IF($H193=FALSE(),"",COUNTIF($H$6:$H193,TRUE()))</f>
        <v/>
      </c>
      <c r="J193" s="5" t="str">
        <f aca="false">IF($I193="","","R"&amp;$I193)</f>
        <v/>
      </c>
    </row>
    <row r="194" customFormat="false" ht="15" hidden="false" customHeight="true" outlineLevel="0" collapsed="false">
      <c r="A194" s="10" t="str">
        <f aca="false">IFERROR(IF(INDEX(원본명단!$A$3:$A$6002,MATCH("R"&amp;189,정리결과!$J$6:$J$6005,0))="","",INDEX(원본명단!$A$3:$A$6002,MATCH("R"&amp;189,정리결과!$J$6:$J$6005,0))),"")</f>
        <v/>
      </c>
      <c r="B194" s="10" t="str">
        <f aca="false">IF($A194="","",IFERROR(IF(INDEX(원본명단!$B$3:$B$6002,MATCH("R"&amp;189,정리결과!$J$6:$J$6005,0))="","",INDEX(원본명단!$B$3:$B$6002,MATCH("R"&amp;189,정리결과!$J$6:$J$6005,0))),""))</f>
        <v/>
      </c>
      <c r="C194" s="10" t="str">
        <f aca="false">IF($A194="","",IFERROR(IF(INDEX(원본명단!$C$3:$C$6002,MATCH("R"&amp;189,정리결과!$J$6:$J$6005,0))="","",INDEX(원본명단!$C$3:$C$6002,MATCH("R"&amp;189,정리결과!$J$6:$J$6005,0))),""))</f>
        <v/>
      </c>
      <c r="D194" s="10" t="str">
        <f aca="false">IF($A194="","",IFERROR(IF(INDEX(원본명단!$D$3:$D$6002,MATCH("R"&amp;189,정리결과!$J$6:$J$6005,0))="","",INDEX(원본명단!$D$3:$D$6002,MATCH("R"&amp;189,정리결과!$J$6:$J$6005,0))),""))</f>
        <v/>
      </c>
      <c r="E194" s="10" t="str">
        <f aca="false">IF($A194="","",IFERROR(IF(INDEX(원본명단!$E$3:$E$6002,MATCH("R"&amp;189,정리결과!$J$6:$J$6005,0))="","",INDEX(원본명단!$E$3:$E$6002,MATCH("R"&amp;189,정리결과!$J$6:$J$6005,0))),""))</f>
        <v/>
      </c>
      <c r="F194" s="10" t="str">
        <f aca="false">IF($A194="","",IFERROR(IF(INDEX(원본명단!$F$3:$F$6002,MATCH("R"&amp;189,정리결과!$J$6:$J$6005,0))="","",INDEX(원본명단!$F$3:$F$6002,MATCH("R"&amp;189,정리결과!$J$6:$J$6005,0))),""))</f>
        <v/>
      </c>
      <c r="H194" s="14" t="b">
        <f aca="false">IF(중복검사!$A192="",FALSE(),중복검사!$J192="유지")</f>
        <v>0</v>
      </c>
      <c r="I194" s="5" t="str">
        <f aca="false">IF($H194=FALSE(),"",COUNTIF($H$6:$H194,TRUE()))</f>
        <v/>
      </c>
      <c r="J194" s="5" t="str">
        <f aca="false">IF($I194="","","R"&amp;$I194)</f>
        <v/>
      </c>
    </row>
    <row r="195" customFormat="false" ht="15" hidden="false" customHeight="true" outlineLevel="0" collapsed="false">
      <c r="A195" s="10" t="str">
        <f aca="false">IFERROR(IF(INDEX(원본명단!$A$3:$A$6002,MATCH("R"&amp;190,정리결과!$J$6:$J$6005,0))="","",INDEX(원본명단!$A$3:$A$6002,MATCH("R"&amp;190,정리결과!$J$6:$J$6005,0))),"")</f>
        <v/>
      </c>
      <c r="B195" s="10" t="str">
        <f aca="false">IF($A195="","",IFERROR(IF(INDEX(원본명단!$B$3:$B$6002,MATCH("R"&amp;190,정리결과!$J$6:$J$6005,0))="","",INDEX(원본명단!$B$3:$B$6002,MATCH("R"&amp;190,정리결과!$J$6:$J$6005,0))),""))</f>
        <v/>
      </c>
      <c r="C195" s="10" t="str">
        <f aca="false">IF($A195="","",IFERROR(IF(INDEX(원본명단!$C$3:$C$6002,MATCH("R"&amp;190,정리결과!$J$6:$J$6005,0))="","",INDEX(원본명단!$C$3:$C$6002,MATCH("R"&amp;190,정리결과!$J$6:$J$6005,0))),""))</f>
        <v/>
      </c>
      <c r="D195" s="10" t="str">
        <f aca="false">IF($A195="","",IFERROR(IF(INDEX(원본명단!$D$3:$D$6002,MATCH("R"&amp;190,정리결과!$J$6:$J$6005,0))="","",INDEX(원본명단!$D$3:$D$6002,MATCH("R"&amp;190,정리결과!$J$6:$J$6005,0))),""))</f>
        <v/>
      </c>
      <c r="E195" s="10" t="str">
        <f aca="false">IF($A195="","",IFERROR(IF(INDEX(원본명단!$E$3:$E$6002,MATCH("R"&amp;190,정리결과!$J$6:$J$6005,0))="","",INDEX(원본명단!$E$3:$E$6002,MATCH("R"&amp;190,정리결과!$J$6:$J$6005,0))),""))</f>
        <v/>
      </c>
      <c r="F195" s="10" t="str">
        <f aca="false">IF($A195="","",IFERROR(IF(INDEX(원본명단!$F$3:$F$6002,MATCH("R"&amp;190,정리결과!$J$6:$J$6005,0))="","",INDEX(원본명단!$F$3:$F$6002,MATCH("R"&amp;190,정리결과!$J$6:$J$6005,0))),""))</f>
        <v/>
      </c>
      <c r="H195" s="14" t="b">
        <f aca="false">IF(중복검사!$A193="",FALSE(),중복검사!$J193="유지")</f>
        <v>0</v>
      </c>
      <c r="I195" s="5" t="str">
        <f aca="false">IF($H195=FALSE(),"",COUNTIF($H$6:$H195,TRUE()))</f>
        <v/>
      </c>
      <c r="J195" s="5" t="str">
        <f aca="false">IF($I195="","","R"&amp;$I195)</f>
        <v/>
      </c>
    </row>
    <row r="196" customFormat="false" ht="15" hidden="false" customHeight="true" outlineLevel="0" collapsed="false">
      <c r="A196" s="10" t="str">
        <f aca="false">IFERROR(IF(INDEX(원본명단!$A$3:$A$6002,MATCH("R"&amp;191,정리결과!$J$6:$J$6005,0))="","",INDEX(원본명단!$A$3:$A$6002,MATCH("R"&amp;191,정리결과!$J$6:$J$6005,0))),"")</f>
        <v/>
      </c>
      <c r="B196" s="10" t="str">
        <f aca="false">IF($A196="","",IFERROR(IF(INDEX(원본명단!$B$3:$B$6002,MATCH("R"&amp;191,정리결과!$J$6:$J$6005,0))="","",INDEX(원본명단!$B$3:$B$6002,MATCH("R"&amp;191,정리결과!$J$6:$J$6005,0))),""))</f>
        <v/>
      </c>
      <c r="C196" s="10" t="str">
        <f aca="false">IF($A196="","",IFERROR(IF(INDEX(원본명단!$C$3:$C$6002,MATCH("R"&amp;191,정리결과!$J$6:$J$6005,0))="","",INDEX(원본명단!$C$3:$C$6002,MATCH("R"&amp;191,정리결과!$J$6:$J$6005,0))),""))</f>
        <v/>
      </c>
      <c r="D196" s="10" t="str">
        <f aca="false">IF($A196="","",IFERROR(IF(INDEX(원본명단!$D$3:$D$6002,MATCH("R"&amp;191,정리결과!$J$6:$J$6005,0))="","",INDEX(원본명단!$D$3:$D$6002,MATCH("R"&amp;191,정리결과!$J$6:$J$6005,0))),""))</f>
        <v/>
      </c>
      <c r="E196" s="10" t="str">
        <f aca="false">IF($A196="","",IFERROR(IF(INDEX(원본명단!$E$3:$E$6002,MATCH("R"&amp;191,정리결과!$J$6:$J$6005,0))="","",INDEX(원본명단!$E$3:$E$6002,MATCH("R"&amp;191,정리결과!$J$6:$J$6005,0))),""))</f>
        <v/>
      </c>
      <c r="F196" s="10" t="str">
        <f aca="false">IF($A196="","",IFERROR(IF(INDEX(원본명단!$F$3:$F$6002,MATCH("R"&amp;191,정리결과!$J$6:$J$6005,0))="","",INDEX(원본명단!$F$3:$F$6002,MATCH("R"&amp;191,정리결과!$J$6:$J$6005,0))),""))</f>
        <v/>
      </c>
      <c r="H196" s="14" t="b">
        <f aca="false">IF(중복검사!$A194="",FALSE(),중복검사!$J194="유지")</f>
        <v>0</v>
      </c>
      <c r="I196" s="5" t="str">
        <f aca="false">IF($H196=FALSE(),"",COUNTIF($H$6:$H196,TRUE()))</f>
        <v/>
      </c>
      <c r="J196" s="5" t="str">
        <f aca="false">IF($I196="","","R"&amp;$I196)</f>
        <v/>
      </c>
    </row>
    <row r="197" customFormat="false" ht="15" hidden="false" customHeight="true" outlineLevel="0" collapsed="false">
      <c r="A197" s="10" t="str">
        <f aca="false">IFERROR(IF(INDEX(원본명단!$A$3:$A$6002,MATCH("R"&amp;192,정리결과!$J$6:$J$6005,0))="","",INDEX(원본명단!$A$3:$A$6002,MATCH("R"&amp;192,정리결과!$J$6:$J$6005,0))),"")</f>
        <v/>
      </c>
      <c r="B197" s="10" t="str">
        <f aca="false">IF($A197="","",IFERROR(IF(INDEX(원본명단!$B$3:$B$6002,MATCH("R"&amp;192,정리결과!$J$6:$J$6005,0))="","",INDEX(원본명단!$B$3:$B$6002,MATCH("R"&amp;192,정리결과!$J$6:$J$6005,0))),""))</f>
        <v/>
      </c>
      <c r="C197" s="10" t="str">
        <f aca="false">IF($A197="","",IFERROR(IF(INDEX(원본명단!$C$3:$C$6002,MATCH("R"&amp;192,정리결과!$J$6:$J$6005,0))="","",INDEX(원본명단!$C$3:$C$6002,MATCH("R"&amp;192,정리결과!$J$6:$J$6005,0))),""))</f>
        <v/>
      </c>
      <c r="D197" s="10" t="str">
        <f aca="false">IF($A197="","",IFERROR(IF(INDEX(원본명단!$D$3:$D$6002,MATCH("R"&amp;192,정리결과!$J$6:$J$6005,0))="","",INDEX(원본명단!$D$3:$D$6002,MATCH("R"&amp;192,정리결과!$J$6:$J$6005,0))),""))</f>
        <v/>
      </c>
      <c r="E197" s="10" t="str">
        <f aca="false">IF($A197="","",IFERROR(IF(INDEX(원본명단!$E$3:$E$6002,MATCH("R"&amp;192,정리결과!$J$6:$J$6005,0))="","",INDEX(원본명단!$E$3:$E$6002,MATCH("R"&amp;192,정리결과!$J$6:$J$6005,0))),""))</f>
        <v/>
      </c>
      <c r="F197" s="10" t="str">
        <f aca="false">IF($A197="","",IFERROR(IF(INDEX(원본명단!$F$3:$F$6002,MATCH("R"&amp;192,정리결과!$J$6:$J$6005,0))="","",INDEX(원본명단!$F$3:$F$6002,MATCH("R"&amp;192,정리결과!$J$6:$J$6005,0))),""))</f>
        <v/>
      </c>
      <c r="H197" s="14" t="b">
        <f aca="false">IF(중복검사!$A195="",FALSE(),중복검사!$J195="유지")</f>
        <v>0</v>
      </c>
      <c r="I197" s="5" t="str">
        <f aca="false">IF($H197=FALSE(),"",COUNTIF($H$6:$H197,TRUE()))</f>
        <v/>
      </c>
      <c r="J197" s="5" t="str">
        <f aca="false">IF($I197="","","R"&amp;$I197)</f>
        <v/>
      </c>
    </row>
    <row r="198" customFormat="false" ht="15" hidden="false" customHeight="true" outlineLevel="0" collapsed="false">
      <c r="A198" s="10" t="str">
        <f aca="false">IFERROR(IF(INDEX(원본명단!$A$3:$A$6002,MATCH("R"&amp;193,정리결과!$J$6:$J$6005,0))="","",INDEX(원본명단!$A$3:$A$6002,MATCH("R"&amp;193,정리결과!$J$6:$J$6005,0))),"")</f>
        <v/>
      </c>
      <c r="B198" s="10" t="str">
        <f aca="false">IF($A198="","",IFERROR(IF(INDEX(원본명단!$B$3:$B$6002,MATCH("R"&amp;193,정리결과!$J$6:$J$6005,0))="","",INDEX(원본명단!$B$3:$B$6002,MATCH("R"&amp;193,정리결과!$J$6:$J$6005,0))),""))</f>
        <v/>
      </c>
      <c r="C198" s="10" t="str">
        <f aca="false">IF($A198="","",IFERROR(IF(INDEX(원본명단!$C$3:$C$6002,MATCH("R"&amp;193,정리결과!$J$6:$J$6005,0))="","",INDEX(원본명단!$C$3:$C$6002,MATCH("R"&amp;193,정리결과!$J$6:$J$6005,0))),""))</f>
        <v/>
      </c>
      <c r="D198" s="10" t="str">
        <f aca="false">IF($A198="","",IFERROR(IF(INDEX(원본명단!$D$3:$D$6002,MATCH("R"&amp;193,정리결과!$J$6:$J$6005,0))="","",INDEX(원본명단!$D$3:$D$6002,MATCH("R"&amp;193,정리결과!$J$6:$J$6005,0))),""))</f>
        <v/>
      </c>
      <c r="E198" s="10" t="str">
        <f aca="false">IF($A198="","",IFERROR(IF(INDEX(원본명단!$E$3:$E$6002,MATCH("R"&amp;193,정리결과!$J$6:$J$6005,0))="","",INDEX(원본명단!$E$3:$E$6002,MATCH("R"&amp;193,정리결과!$J$6:$J$6005,0))),""))</f>
        <v/>
      </c>
      <c r="F198" s="10" t="str">
        <f aca="false">IF($A198="","",IFERROR(IF(INDEX(원본명단!$F$3:$F$6002,MATCH("R"&amp;193,정리결과!$J$6:$J$6005,0))="","",INDEX(원본명단!$F$3:$F$6002,MATCH("R"&amp;193,정리결과!$J$6:$J$6005,0))),""))</f>
        <v/>
      </c>
      <c r="H198" s="14" t="b">
        <f aca="false">IF(중복검사!$A196="",FALSE(),중복검사!$J196="유지")</f>
        <v>0</v>
      </c>
      <c r="I198" s="5" t="str">
        <f aca="false">IF($H198=FALSE(),"",COUNTIF($H$6:$H198,TRUE()))</f>
        <v/>
      </c>
      <c r="J198" s="5" t="str">
        <f aca="false">IF($I198="","","R"&amp;$I198)</f>
        <v/>
      </c>
    </row>
    <row r="199" customFormat="false" ht="15" hidden="false" customHeight="true" outlineLevel="0" collapsed="false">
      <c r="A199" s="10" t="str">
        <f aca="false">IFERROR(IF(INDEX(원본명단!$A$3:$A$6002,MATCH("R"&amp;194,정리결과!$J$6:$J$6005,0))="","",INDEX(원본명단!$A$3:$A$6002,MATCH("R"&amp;194,정리결과!$J$6:$J$6005,0))),"")</f>
        <v/>
      </c>
      <c r="B199" s="10" t="str">
        <f aca="false">IF($A199="","",IFERROR(IF(INDEX(원본명단!$B$3:$B$6002,MATCH("R"&amp;194,정리결과!$J$6:$J$6005,0))="","",INDEX(원본명단!$B$3:$B$6002,MATCH("R"&amp;194,정리결과!$J$6:$J$6005,0))),""))</f>
        <v/>
      </c>
      <c r="C199" s="10" t="str">
        <f aca="false">IF($A199="","",IFERROR(IF(INDEX(원본명단!$C$3:$C$6002,MATCH("R"&amp;194,정리결과!$J$6:$J$6005,0))="","",INDEX(원본명단!$C$3:$C$6002,MATCH("R"&amp;194,정리결과!$J$6:$J$6005,0))),""))</f>
        <v/>
      </c>
      <c r="D199" s="10" t="str">
        <f aca="false">IF($A199="","",IFERROR(IF(INDEX(원본명단!$D$3:$D$6002,MATCH("R"&amp;194,정리결과!$J$6:$J$6005,0))="","",INDEX(원본명단!$D$3:$D$6002,MATCH("R"&amp;194,정리결과!$J$6:$J$6005,0))),""))</f>
        <v/>
      </c>
      <c r="E199" s="10" t="str">
        <f aca="false">IF($A199="","",IFERROR(IF(INDEX(원본명단!$E$3:$E$6002,MATCH("R"&amp;194,정리결과!$J$6:$J$6005,0))="","",INDEX(원본명단!$E$3:$E$6002,MATCH("R"&amp;194,정리결과!$J$6:$J$6005,0))),""))</f>
        <v/>
      </c>
      <c r="F199" s="10" t="str">
        <f aca="false">IF($A199="","",IFERROR(IF(INDEX(원본명단!$F$3:$F$6002,MATCH("R"&amp;194,정리결과!$J$6:$J$6005,0))="","",INDEX(원본명단!$F$3:$F$6002,MATCH("R"&amp;194,정리결과!$J$6:$J$6005,0))),""))</f>
        <v/>
      </c>
      <c r="H199" s="14" t="b">
        <f aca="false">IF(중복검사!$A197="",FALSE(),중복검사!$J197="유지")</f>
        <v>0</v>
      </c>
      <c r="I199" s="5" t="str">
        <f aca="false">IF($H199=FALSE(),"",COUNTIF($H$6:$H199,TRUE()))</f>
        <v/>
      </c>
      <c r="J199" s="5" t="str">
        <f aca="false">IF($I199="","","R"&amp;$I199)</f>
        <v/>
      </c>
    </row>
    <row r="200" customFormat="false" ht="15" hidden="false" customHeight="true" outlineLevel="0" collapsed="false">
      <c r="A200" s="10" t="str">
        <f aca="false">IFERROR(IF(INDEX(원본명단!$A$3:$A$6002,MATCH("R"&amp;195,정리결과!$J$6:$J$6005,0))="","",INDEX(원본명단!$A$3:$A$6002,MATCH("R"&amp;195,정리결과!$J$6:$J$6005,0))),"")</f>
        <v/>
      </c>
      <c r="B200" s="10" t="str">
        <f aca="false">IF($A200="","",IFERROR(IF(INDEX(원본명단!$B$3:$B$6002,MATCH("R"&amp;195,정리결과!$J$6:$J$6005,0))="","",INDEX(원본명단!$B$3:$B$6002,MATCH("R"&amp;195,정리결과!$J$6:$J$6005,0))),""))</f>
        <v/>
      </c>
      <c r="C200" s="10" t="str">
        <f aca="false">IF($A200="","",IFERROR(IF(INDEX(원본명단!$C$3:$C$6002,MATCH("R"&amp;195,정리결과!$J$6:$J$6005,0))="","",INDEX(원본명단!$C$3:$C$6002,MATCH("R"&amp;195,정리결과!$J$6:$J$6005,0))),""))</f>
        <v/>
      </c>
      <c r="D200" s="10" t="str">
        <f aca="false">IF($A200="","",IFERROR(IF(INDEX(원본명단!$D$3:$D$6002,MATCH("R"&amp;195,정리결과!$J$6:$J$6005,0))="","",INDEX(원본명단!$D$3:$D$6002,MATCH("R"&amp;195,정리결과!$J$6:$J$6005,0))),""))</f>
        <v/>
      </c>
      <c r="E200" s="10" t="str">
        <f aca="false">IF($A200="","",IFERROR(IF(INDEX(원본명단!$E$3:$E$6002,MATCH("R"&amp;195,정리결과!$J$6:$J$6005,0))="","",INDEX(원본명단!$E$3:$E$6002,MATCH("R"&amp;195,정리결과!$J$6:$J$6005,0))),""))</f>
        <v/>
      </c>
      <c r="F200" s="10" t="str">
        <f aca="false">IF($A200="","",IFERROR(IF(INDEX(원본명단!$F$3:$F$6002,MATCH("R"&amp;195,정리결과!$J$6:$J$6005,0))="","",INDEX(원본명단!$F$3:$F$6002,MATCH("R"&amp;195,정리결과!$J$6:$J$6005,0))),""))</f>
        <v/>
      </c>
      <c r="H200" s="14" t="b">
        <f aca="false">IF(중복검사!$A198="",FALSE(),중복검사!$J198="유지")</f>
        <v>0</v>
      </c>
      <c r="I200" s="5" t="str">
        <f aca="false">IF($H200=FALSE(),"",COUNTIF($H$6:$H200,TRUE()))</f>
        <v/>
      </c>
      <c r="J200" s="5" t="str">
        <f aca="false">IF($I200="","","R"&amp;$I200)</f>
        <v/>
      </c>
    </row>
    <row r="201" customFormat="false" ht="15" hidden="false" customHeight="true" outlineLevel="0" collapsed="false">
      <c r="A201" s="10" t="str">
        <f aca="false">IFERROR(IF(INDEX(원본명단!$A$3:$A$6002,MATCH("R"&amp;196,정리결과!$J$6:$J$6005,0))="","",INDEX(원본명단!$A$3:$A$6002,MATCH("R"&amp;196,정리결과!$J$6:$J$6005,0))),"")</f>
        <v/>
      </c>
      <c r="B201" s="10" t="str">
        <f aca="false">IF($A201="","",IFERROR(IF(INDEX(원본명단!$B$3:$B$6002,MATCH("R"&amp;196,정리결과!$J$6:$J$6005,0))="","",INDEX(원본명단!$B$3:$B$6002,MATCH("R"&amp;196,정리결과!$J$6:$J$6005,0))),""))</f>
        <v/>
      </c>
      <c r="C201" s="10" t="str">
        <f aca="false">IF($A201="","",IFERROR(IF(INDEX(원본명단!$C$3:$C$6002,MATCH("R"&amp;196,정리결과!$J$6:$J$6005,0))="","",INDEX(원본명단!$C$3:$C$6002,MATCH("R"&amp;196,정리결과!$J$6:$J$6005,0))),""))</f>
        <v/>
      </c>
      <c r="D201" s="10" t="str">
        <f aca="false">IF($A201="","",IFERROR(IF(INDEX(원본명단!$D$3:$D$6002,MATCH("R"&amp;196,정리결과!$J$6:$J$6005,0))="","",INDEX(원본명단!$D$3:$D$6002,MATCH("R"&amp;196,정리결과!$J$6:$J$6005,0))),""))</f>
        <v/>
      </c>
      <c r="E201" s="10" t="str">
        <f aca="false">IF($A201="","",IFERROR(IF(INDEX(원본명단!$E$3:$E$6002,MATCH("R"&amp;196,정리결과!$J$6:$J$6005,0))="","",INDEX(원본명단!$E$3:$E$6002,MATCH("R"&amp;196,정리결과!$J$6:$J$6005,0))),""))</f>
        <v/>
      </c>
      <c r="F201" s="10" t="str">
        <f aca="false">IF($A201="","",IFERROR(IF(INDEX(원본명단!$F$3:$F$6002,MATCH("R"&amp;196,정리결과!$J$6:$J$6005,0))="","",INDEX(원본명단!$F$3:$F$6002,MATCH("R"&amp;196,정리결과!$J$6:$J$6005,0))),""))</f>
        <v/>
      </c>
      <c r="H201" s="14" t="b">
        <f aca="false">IF(중복검사!$A199="",FALSE(),중복검사!$J199="유지")</f>
        <v>0</v>
      </c>
      <c r="I201" s="5" t="str">
        <f aca="false">IF($H201=FALSE(),"",COUNTIF($H$6:$H201,TRUE()))</f>
        <v/>
      </c>
      <c r="J201" s="5" t="str">
        <f aca="false">IF($I201="","","R"&amp;$I201)</f>
        <v/>
      </c>
    </row>
    <row r="202" customFormat="false" ht="15" hidden="false" customHeight="true" outlineLevel="0" collapsed="false">
      <c r="A202" s="10" t="str">
        <f aca="false">IFERROR(IF(INDEX(원본명단!$A$3:$A$6002,MATCH("R"&amp;197,정리결과!$J$6:$J$6005,0))="","",INDEX(원본명단!$A$3:$A$6002,MATCH("R"&amp;197,정리결과!$J$6:$J$6005,0))),"")</f>
        <v/>
      </c>
      <c r="B202" s="10" t="str">
        <f aca="false">IF($A202="","",IFERROR(IF(INDEX(원본명단!$B$3:$B$6002,MATCH("R"&amp;197,정리결과!$J$6:$J$6005,0))="","",INDEX(원본명단!$B$3:$B$6002,MATCH("R"&amp;197,정리결과!$J$6:$J$6005,0))),""))</f>
        <v/>
      </c>
      <c r="C202" s="10" t="str">
        <f aca="false">IF($A202="","",IFERROR(IF(INDEX(원본명단!$C$3:$C$6002,MATCH("R"&amp;197,정리결과!$J$6:$J$6005,0))="","",INDEX(원본명단!$C$3:$C$6002,MATCH("R"&amp;197,정리결과!$J$6:$J$6005,0))),""))</f>
        <v/>
      </c>
      <c r="D202" s="10" t="str">
        <f aca="false">IF($A202="","",IFERROR(IF(INDEX(원본명단!$D$3:$D$6002,MATCH("R"&amp;197,정리결과!$J$6:$J$6005,0))="","",INDEX(원본명단!$D$3:$D$6002,MATCH("R"&amp;197,정리결과!$J$6:$J$6005,0))),""))</f>
        <v/>
      </c>
      <c r="E202" s="10" t="str">
        <f aca="false">IF($A202="","",IFERROR(IF(INDEX(원본명단!$E$3:$E$6002,MATCH("R"&amp;197,정리결과!$J$6:$J$6005,0))="","",INDEX(원본명단!$E$3:$E$6002,MATCH("R"&amp;197,정리결과!$J$6:$J$6005,0))),""))</f>
        <v/>
      </c>
      <c r="F202" s="10" t="str">
        <f aca="false">IF($A202="","",IFERROR(IF(INDEX(원본명단!$F$3:$F$6002,MATCH("R"&amp;197,정리결과!$J$6:$J$6005,0))="","",INDEX(원본명단!$F$3:$F$6002,MATCH("R"&amp;197,정리결과!$J$6:$J$6005,0))),""))</f>
        <v/>
      </c>
      <c r="H202" s="14" t="b">
        <f aca="false">IF(중복검사!$A200="",FALSE(),중복검사!$J200="유지")</f>
        <v>0</v>
      </c>
      <c r="I202" s="5" t="str">
        <f aca="false">IF($H202=FALSE(),"",COUNTIF($H$6:$H202,TRUE()))</f>
        <v/>
      </c>
      <c r="J202" s="5" t="str">
        <f aca="false">IF($I202="","","R"&amp;$I202)</f>
        <v/>
      </c>
    </row>
    <row r="203" customFormat="false" ht="15" hidden="false" customHeight="true" outlineLevel="0" collapsed="false">
      <c r="A203" s="10" t="str">
        <f aca="false">IFERROR(IF(INDEX(원본명단!$A$3:$A$6002,MATCH("R"&amp;198,정리결과!$J$6:$J$6005,0))="","",INDEX(원본명단!$A$3:$A$6002,MATCH("R"&amp;198,정리결과!$J$6:$J$6005,0))),"")</f>
        <v/>
      </c>
      <c r="B203" s="10" t="str">
        <f aca="false">IF($A203="","",IFERROR(IF(INDEX(원본명단!$B$3:$B$6002,MATCH("R"&amp;198,정리결과!$J$6:$J$6005,0))="","",INDEX(원본명단!$B$3:$B$6002,MATCH("R"&amp;198,정리결과!$J$6:$J$6005,0))),""))</f>
        <v/>
      </c>
      <c r="C203" s="10" t="str">
        <f aca="false">IF($A203="","",IFERROR(IF(INDEX(원본명단!$C$3:$C$6002,MATCH("R"&amp;198,정리결과!$J$6:$J$6005,0))="","",INDEX(원본명단!$C$3:$C$6002,MATCH("R"&amp;198,정리결과!$J$6:$J$6005,0))),""))</f>
        <v/>
      </c>
      <c r="D203" s="10" t="str">
        <f aca="false">IF($A203="","",IFERROR(IF(INDEX(원본명단!$D$3:$D$6002,MATCH("R"&amp;198,정리결과!$J$6:$J$6005,0))="","",INDEX(원본명단!$D$3:$D$6002,MATCH("R"&amp;198,정리결과!$J$6:$J$6005,0))),""))</f>
        <v/>
      </c>
      <c r="E203" s="10" t="str">
        <f aca="false">IF($A203="","",IFERROR(IF(INDEX(원본명단!$E$3:$E$6002,MATCH("R"&amp;198,정리결과!$J$6:$J$6005,0))="","",INDEX(원본명단!$E$3:$E$6002,MATCH("R"&amp;198,정리결과!$J$6:$J$6005,0))),""))</f>
        <v/>
      </c>
      <c r="F203" s="10" t="str">
        <f aca="false">IF($A203="","",IFERROR(IF(INDEX(원본명단!$F$3:$F$6002,MATCH("R"&amp;198,정리결과!$J$6:$J$6005,0))="","",INDEX(원본명단!$F$3:$F$6002,MATCH("R"&amp;198,정리결과!$J$6:$J$6005,0))),""))</f>
        <v/>
      </c>
      <c r="H203" s="14" t="b">
        <f aca="false">IF(중복검사!$A201="",FALSE(),중복검사!$J201="유지")</f>
        <v>0</v>
      </c>
      <c r="I203" s="5" t="str">
        <f aca="false">IF($H203=FALSE(),"",COUNTIF($H$6:$H203,TRUE()))</f>
        <v/>
      </c>
      <c r="J203" s="5" t="str">
        <f aca="false">IF($I203="","","R"&amp;$I203)</f>
        <v/>
      </c>
    </row>
    <row r="204" customFormat="false" ht="15" hidden="false" customHeight="true" outlineLevel="0" collapsed="false">
      <c r="A204" s="10" t="str">
        <f aca="false">IFERROR(IF(INDEX(원본명단!$A$3:$A$6002,MATCH("R"&amp;199,정리결과!$J$6:$J$6005,0))="","",INDEX(원본명단!$A$3:$A$6002,MATCH("R"&amp;199,정리결과!$J$6:$J$6005,0))),"")</f>
        <v/>
      </c>
      <c r="B204" s="10" t="str">
        <f aca="false">IF($A204="","",IFERROR(IF(INDEX(원본명단!$B$3:$B$6002,MATCH("R"&amp;199,정리결과!$J$6:$J$6005,0))="","",INDEX(원본명단!$B$3:$B$6002,MATCH("R"&amp;199,정리결과!$J$6:$J$6005,0))),""))</f>
        <v/>
      </c>
      <c r="C204" s="10" t="str">
        <f aca="false">IF($A204="","",IFERROR(IF(INDEX(원본명단!$C$3:$C$6002,MATCH("R"&amp;199,정리결과!$J$6:$J$6005,0))="","",INDEX(원본명단!$C$3:$C$6002,MATCH("R"&amp;199,정리결과!$J$6:$J$6005,0))),""))</f>
        <v/>
      </c>
      <c r="D204" s="10" t="str">
        <f aca="false">IF($A204="","",IFERROR(IF(INDEX(원본명단!$D$3:$D$6002,MATCH("R"&amp;199,정리결과!$J$6:$J$6005,0))="","",INDEX(원본명단!$D$3:$D$6002,MATCH("R"&amp;199,정리결과!$J$6:$J$6005,0))),""))</f>
        <v/>
      </c>
      <c r="E204" s="10" t="str">
        <f aca="false">IF($A204="","",IFERROR(IF(INDEX(원본명단!$E$3:$E$6002,MATCH("R"&amp;199,정리결과!$J$6:$J$6005,0))="","",INDEX(원본명단!$E$3:$E$6002,MATCH("R"&amp;199,정리결과!$J$6:$J$6005,0))),""))</f>
        <v/>
      </c>
      <c r="F204" s="10" t="str">
        <f aca="false">IF($A204="","",IFERROR(IF(INDEX(원본명단!$F$3:$F$6002,MATCH("R"&amp;199,정리결과!$J$6:$J$6005,0))="","",INDEX(원본명단!$F$3:$F$6002,MATCH("R"&amp;199,정리결과!$J$6:$J$6005,0))),""))</f>
        <v/>
      </c>
      <c r="H204" s="14" t="b">
        <f aca="false">IF(중복검사!$A202="",FALSE(),중복검사!$J202="유지")</f>
        <v>0</v>
      </c>
      <c r="I204" s="5" t="str">
        <f aca="false">IF($H204=FALSE(),"",COUNTIF($H$6:$H204,TRUE()))</f>
        <v/>
      </c>
      <c r="J204" s="5" t="str">
        <f aca="false">IF($I204="","","R"&amp;$I204)</f>
        <v/>
      </c>
    </row>
    <row r="205" customFormat="false" ht="15" hidden="false" customHeight="true" outlineLevel="0" collapsed="false">
      <c r="A205" s="10" t="str">
        <f aca="false">IFERROR(IF(INDEX(원본명단!$A$3:$A$6002,MATCH("R"&amp;200,정리결과!$J$6:$J$6005,0))="","",INDEX(원본명단!$A$3:$A$6002,MATCH("R"&amp;200,정리결과!$J$6:$J$6005,0))),"")</f>
        <v/>
      </c>
      <c r="B205" s="10" t="str">
        <f aca="false">IF($A205="","",IFERROR(IF(INDEX(원본명단!$B$3:$B$6002,MATCH("R"&amp;200,정리결과!$J$6:$J$6005,0))="","",INDEX(원본명단!$B$3:$B$6002,MATCH("R"&amp;200,정리결과!$J$6:$J$6005,0))),""))</f>
        <v/>
      </c>
      <c r="C205" s="10" t="str">
        <f aca="false">IF($A205="","",IFERROR(IF(INDEX(원본명단!$C$3:$C$6002,MATCH("R"&amp;200,정리결과!$J$6:$J$6005,0))="","",INDEX(원본명단!$C$3:$C$6002,MATCH("R"&amp;200,정리결과!$J$6:$J$6005,0))),""))</f>
        <v/>
      </c>
      <c r="D205" s="10" t="str">
        <f aca="false">IF($A205="","",IFERROR(IF(INDEX(원본명단!$D$3:$D$6002,MATCH("R"&amp;200,정리결과!$J$6:$J$6005,0))="","",INDEX(원본명단!$D$3:$D$6002,MATCH("R"&amp;200,정리결과!$J$6:$J$6005,0))),""))</f>
        <v/>
      </c>
      <c r="E205" s="10" t="str">
        <f aca="false">IF($A205="","",IFERROR(IF(INDEX(원본명단!$E$3:$E$6002,MATCH("R"&amp;200,정리결과!$J$6:$J$6005,0))="","",INDEX(원본명단!$E$3:$E$6002,MATCH("R"&amp;200,정리결과!$J$6:$J$6005,0))),""))</f>
        <v/>
      </c>
      <c r="F205" s="10" t="str">
        <f aca="false">IF($A205="","",IFERROR(IF(INDEX(원본명단!$F$3:$F$6002,MATCH("R"&amp;200,정리결과!$J$6:$J$6005,0))="","",INDEX(원본명단!$F$3:$F$6002,MATCH("R"&amp;200,정리결과!$J$6:$J$6005,0))),""))</f>
        <v/>
      </c>
      <c r="H205" s="14" t="b">
        <f aca="false">IF(중복검사!$A203="",FALSE(),중복검사!$J203="유지")</f>
        <v>0</v>
      </c>
      <c r="I205" s="5" t="str">
        <f aca="false">IF($H205=FALSE(),"",COUNTIF($H$6:$H205,TRUE()))</f>
        <v/>
      </c>
      <c r="J205" s="5" t="str">
        <f aca="false">IF($I205="","","R"&amp;$I205)</f>
        <v/>
      </c>
    </row>
    <row r="206" customFormat="false" ht="15" hidden="false" customHeight="true" outlineLevel="0" collapsed="false">
      <c r="A206" s="10" t="str">
        <f aca="false">IFERROR(IF(INDEX(원본명단!$A$3:$A$6002,MATCH("R"&amp;201,정리결과!$J$6:$J$6005,0))="","",INDEX(원본명단!$A$3:$A$6002,MATCH("R"&amp;201,정리결과!$J$6:$J$6005,0))),"")</f>
        <v/>
      </c>
      <c r="B206" s="10" t="str">
        <f aca="false">IF($A206="","",IFERROR(IF(INDEX(원본명단!$B$3:$B$6002,MATCH("R"&amp;201,정리결과!$J$6:$J$6005,0))="","",INDEX(원본명단!$B$3:$B$6002,MATCH("R"&amp;201,정리결과!$J$6:$J$6005,0))),""))</f>
        <v/>
      </c>
      <c r="C206" s="10" t="str">
        <f aca="false">IF($A206="","",IFERROR(IF(INDEX(원본명단!$C$3:$C$6002,MATCH("R"&amp;201,정리결과!$J$6:$J$6005,0))="","",INDEX(원본명단!$C$3:$C$6002,MATCH("R"&amp;201,정리결과!$J$6:$J$6005,0))),""))</f>
        <v/>
      </c>
      <c r="D206" s="10" t="str">
        <f aca="false">IF($A206="","",IFERROR(IF(INDEX(원본명단!$D$3:$D$6002,MATCH("R"&amp;201,정리결과!$J$6:$J$6005,0))="","",INDEX(원본명단!$D$3:$D$6002,MATCH("R"&amp;201,정리결과!$J$6:$J$6005,0))),""))</f>
        <v/>
      </c>
      <c r="E206" s="10" t="str">
        <f aca="false">IF($A206="","",IFERROR(IF(INDEX(원본명단!$E$3:$E$6002,MATCH("R"&amp;201,정리결과!$J$6:$J$6005,0))="","",INDEX(원본명단!$E$3:$E$6002,MATCH("R"&amp;201,정리결과!$J$6:$J$6005,0))),""))</f>
        <v/>
      </c>
      <c r="F206" s="10" t="str">
        <f aca="false">IF($A206="","",IFERROR(IF(INDEX(원본명단!$F$3:$F$6002,MATCH("R"&amp;201,정리결과!$J$6:$J$6005,0))="","",INDEX(원본명단!$F$3:$F$6002,MATCH("R"&amp;201,정리결과!$J$6:$J$6005,0))),""))</f>
        <v/>
      </c>
      <c r="H206" s="14" t="b">
        <f aca="false">IF(중복검사!$A204="",FALSE(),중복검사!$J204="유지")</f>
        <v>0</v>
      </c>
      <c r="I206" s="5" t="str">
        <f aca="false">IF($H206=FALSE(),"",COUNTIF($H$6:$H206,TRUE()))</f>
        <v/>
      </c>
      <c r="J206" s="5" t="str">
        <f aca="false">IF($I206="","","R"&amp;$I206)</f>
        <v/>
      </c>
    </row>
    <row r="207" customFormat="false" ht="15" hidden="false" customHeight="true" outlineLevel="0" collapsed="false">
      <c r="A207" s="10" t="str">
        <f aca="false">IFERROR(IF(INDEX(원본명단!$A$3:$A$6002,MATCH("R"&amp;202,정리결과!$J$6:$J$6005,0))="","",INDEX(원본명단!$A$3:$A$6002,MATCH("R"&amp;202,정리결과!$J$6:$J$6005,0))),"")</f>
        <v/>
      </c>
      <c r="B207" s="10" t="str">
        <f aca="false">IF($A207="","",IFERROR(IF(INDEX(원본명단!$B$3:$B$6002,MATCH("R"&amp;202,정리결과!$J$6:$J$6005,0))="","",INDEX(원본명단!$B$3:$B$6002,MATCH("R"&amp;202,정리결과!$J$6:$J$6005,0))),""))</f>
        <v/>
      </c>
      <c r="C207" s="10" t="str">
        <f aca="false">IF($A207="","",IFERROR(IF(INDEX(원본명단!$C$3:$C$6002,MATCH("R"&amp;202,정리결과!$J$6:$J$6005,0))="","",INDEX(원본명단!$C$3:$C$6002,MATCH("R"&amp;202,정리결과!$J$6:$J$6005,0))),""))</f>
        <v/>
      </c>
      <c r="D207" s="10" t="str">
        <f aca="false">IF($A207="","",IFERROR(IF(INDEX(원본명단!$D$3:$D$6002,MATCH("R"&amp;202,정리결과!$J$6:$J$6005,0))="","",INDEX(원본명단!$D$3:$D$6002,MATCH("R"&amp;202,정리결과!$J$6:$J$6005,0))),""))</f>
        <v/>
      </c>
      <c r="E207" s="10" t="str">
        <f aca="false">IF($A207="","",IFERROR(IF(INDEX(원본명단!$E$3:$E$6002,MATCH("R"&amp;202,정리결과!$J$6:$J$6005,0))="","",INDEX(원본명단!$E$3:$E$6002,MATCH("R"&amp;202,정리결과!$J$6:$J$6005,0))),""))</f>
        <v/>
      </c>
      <c r="F207" s="10" t="str">
        <f aca="false">IF($A207="","",IFERROR(IF(INDEX(원본명단!$F$3:$F$6002,MATCH("R"&amp;202,정리결과!$J$6:$J$6005,0))="","",INDEX(원본명단!$F$3:$F$6002,MATCH("R"&amp;202,정리결과!$J$6:$J$6005,0))),""))</f>
        <v/>
      </c>
      <c r="H207" s="14" t="b">
        <f aca="false">IF(중복검사!$A205="",FALSE(),중복검사!$J205="유지")</f>
        <v>0</v>
      </c>
      <c r="I207" s="5" t="str">
        <f aca="false">IF($H207=FALSE(),"",COUNTIF($H$6:$H207,TRUE()))</f>
        <v/>
      </c>
      <c r="J207" s="5" t="str">
        <f aca="false">IF($I207="","","R"&amp;$I207)</f>
        <v/>
      </c>
    </row>
    <row r="208" customFormat="false" ht="15" hidden="false" customHeight="true" outlineLevel="0" collapsed="false">
      <c r="A208" s="10" t="str">
        <f aca="false">IFERROR(IF(INDEX(원본명단!$A$3:$A$6002,MATCH("R"&amp;203,정리결과!$J$6:$J$6005,0))="","",INDEX(원본명단!$A$3:$A$6002,MATCH("R"&amp;203,정리결과!$J$6:$J$6005,0))),"")</f>
        <v/>
      </c>
      <c r="B208" s="10" t="str">
        <f aca="false">IF($A208="","",IFERROR(IF(INDEX(원본명단!$B$3:$B$6002,MATCH("R"&amp;203,정리결과!$J$6:$J$6005,0))="","",INDEX(원본명단!$B$3:$B$6002,MATCH("R"&amp;203,정리결과!$J$6:$J$6005,0))),""))</f>
        <v/>
      </c>
      <c r="C208" s="10" t="str">
        <f aca="false">IF($A208="","",IFERROR(IF(INDEX(원본명단!$C$3:$C$6002,MATCH("R"&amp;203,정리결과!$J$6:$J$6005,0))="","",INDEX(원본명단!$C$3:$C$6002,MATCH("R"&amp;203,정리결과!$J$6:$J$6005,0))),""))</f>
        <v/>
      </c>
      <c r="D208" s="10" t="str">
        <f aca="false">IF($A208="","",IFERROR(IF(INDEX(원본명단!$D$3:$D$6002,MATCH("R"&amp;203,정리결과!$J$6:$J$6005,0))="","",INDEX(원본명단!$D$3:$D$6002,MATCH("R"&amp;203,정리결과!$J$6:$J$6005,0))),""))</f>
        <v/>
      </c>
      <c r="E208" s="10" t="str">
        <f aca="false">IF($A208="","",IFERROR(IF(INDEX(원본명단!$E$3:$E$6002,MATCH("R"&amp;203,정리결과!$J$6:$J$6005,0))="","",INDEX(원본명단!$E$3:$E$6002,MATCH("R"&amp;203,정리결과!$J$6:$J$6005,0))),""))</f>
        <v/>
      </c>
      <c r="F208" s="10" t="str">
        <f aca="false">IF($A208="","",IFERROR(IF(INDEX(원본명단!$F$3:$F$6002,MATCH("R"&amp;203,정리결과!$J$6:$J$6005,0))="","",INDEX(원본명단!$F$3:$F$6002,MATCH("R"&amp;203,정리결과!$J$6:$J$6005,0))),""))</f>
        <v/>
      </c>
      <c r="H208" s="14" t="b">
        <f aca="false">IF(중복검사!$A206="",FALSE(),중복검사!$J206="유지")</f>
        <v>0</v>
      </c>
      <c r="I208" s="5" t="str">
        <f aca="false">IF($H208=FALSE(),"",COUNTIF($H$6:$H208,TRUE()))</f>
        <v/>
      </c>
      <c r="J208" s="5" t="str">
        <f aca="false">IF($I208="","","R"&amp;$I208)</f>
        <v/>
      </c>
    </row>
    <row r="209" customFormat="false" ht="15" hidden="false" customHeight="true" outlineLevel="0" collapsed="false">
      <c r="A209" s="10" t="str">
        <f aca="false">IFERROR(IF(INDEX(원본명단!$A$3:$A$6002,MATCH("R"&amp;204,정리결과!$J$6:$J$6005,0))="","",INDEX(원본명단!$A$3:$A$6002,MATCH("R"&amp;204,정리결과!$J$6:$J$6005,0))),"")</f>
        <v/>
      </c>
      <c r="B209" s="10" t="str">
        <f aca="false">IF($A209="","",IFERROR(IF(INDEX(원본명단!$B$3:$B$6002,MATCH("R"&amp;204,정리결과!$J$6:$J$6005,0))="","",INDEX(원본명단!$B$3:$B$6002,MATCH("R"&amp;204,정리결과!$J$6:$J$6005,0))),""))</f>
        <v/>
      </c>
      <c r="C209" s="10" t="str">
        <f aca="false">IF($A209="","",IFERROR(IF(INDEX(원본명단!$C$3:$C$6002,MATCH("R"&amp;204,정리결과!$J$6:$J$6005,0))="","",INDEX(원본명단!$C$3:$C$6002,MATCH("R"&amp;204,정리결과!$J$6:$J$6005,0))),""))</f>
        <v/>
      </c>
      <c r="D209" s="10" t="str">
        <f aca="false">IF($A209="","",IFERROR(IF(INDEX(원본명단!$D$3:$D$6002,MATCH("R"&amp;204,정리결과!$J$6:$J$6005,0))="","",INDEX(원본명단!$D$3:$D$6002,MATCH("R"&amp;204,정리결과!$J$6:$J$6005,0))),""))</f>
        <v/>
      </c>
      <c r="E209" s="10" t="str">
        <f aca="false">IF($A209="","",IFERROR(IF(INDEX(원본명단!$E$3:$E$6002,MATCH("R"&amp;204,정리결과!$J$6:$J$6005,0))="","",INDEX(원본명단!$E$3:$E$6002,MATCH("R"&amp;204,정리결과!$J$6:$J$6005,0))),""))</f>
        <v/>
      </c>
      <c r="F209" s="10" t="str">
        <f aca="false">IF($A209="","",IFERROR(IF(INDEX(원본명단!$F$3:$F$6002,MATCH("R"&amp;204,정리결과!$J$6:$J$6005,0))="","",INDEX(원본명단!$F$3:$F$6002,MATCH("R"&amp;204,정리결과!$J$6:$J$6005,0))),""))</f>
        <v/>
      </c>
      <c r="H209" s="14" t="b">
        <f aca="false">IF(중복검사!$A207="",FALSE(),중복검사!$J207="유지")</f>
        <v>0</v>
      </c>
      <c r="I209" s="5" t="str">
        <f aca="false">IF($H209=FALSE(),"",COUNTIF($H$6:$H209,TRUE()))</f>
        <v/>
      </c>
      <c r="J209" s="5" t="str">
        <f aca="false">IF($I209="","","R"&amp;$I209)</f>
        <v/>
      </c>
    </row>
    <row r="210" customFormat="false" ht="15" hidden="false" customHeight="true" outlineLevel="0" collapsed="false">
      <c r="A210" s="10" t="str">
        <f aca="false">IFERROR(IF(INDEX(원본명단!$A$3:$A$6002,MATCH("R"&amp;205,정리결과!$J$6:$J$6005,0))="","",INDEX(원본명단!$A$3:$A$6002,MATCH("R"&amp;205,정리결과!$J$6:$J$6005,0))),"")</f>
        <v/>
      </c>
      <c r="B210" s="10" t="str">
        <f aca="false">IF($A210="","",IFERROR(IF(INDEX(원본명단!$B$3:$B$6002,MATCH("R"&amp;205,정리결과!$J$6:$J$6005,0))="","",INDEX(원본명단!$B$3:$B$6002,MATCH("R"&amp;205,정리결과!$J$6:$J$6005,0))),""))</f>
        <v/>
      </c>
      <c r="C210" s="10" t="str">
        <f aca="false">IF($A210="","",IFERROR(IF(INDEX(원본명단!$C$3:$C$6002,MATCH("R"&amp;205,정리결과!$J$6:$J$6005,0))="","",INDEX(원본명단!$C$3:$C$6002,MATCH("R"&amp;205,정리결과!$J$6:$J$6005,0))),""))</f>
        <v/>
      </c>
      <c r="D210" s="10" t="str">
        <f aca="false">IF($A210="","",IFERROR(IF(INDEX(원본명단!$D$3:$D$6002,MATCH("R"&amp;205,정리결과!$J$6:$J$6005,0))="","",INDEX(원본명단!$D$3:$D$6002,MATCH("R"&amp;205,정리결과!$J$6:$J$6005,0))),""))</f>
        <v/>
      </c>
      <c r="E210" s="10" t="str">
        <f aca="false">IF($A210="","",IFERROR(IF(INDEX(원본명단!$E$3:$E$6002,MATCH("R"&amp;205,정리결과!$J$6:$J$6005,0))="","",INDEX(원본명단!$E$3:$E$6002,MATCH("R"&amp;205,정리결과!$J$6:$J$6005,0))),""))</f>
        <v/>
      </c>
      <c r="F210" s="10" t="str">
        <f aca="false">IF($A210="","",IFERROR(IF(INDEX(원본명단!$F$3:$F$6002,MATCH("R"&amp;205,정리결과!$J$6:$J$6005,0))="","",INDEX(원본명단!$F$3:$F$6002,MATCH("R"&amp;205,정리결과!$J$6:$J$6005,0))),""))</f>
        <v/>
      </c>
      <c r="H210" s="14" t="b">
        <f aca="false">IF(중복검사!$A208="",FALSE(),중복검사!$J208="유지")</f>
        <v>0</v>
      </c>
      <c r="I210" s="5" t="str">
        <f aca="false">IF($H210=FALSE(),"",COUNTIF($H$6:$H210,TRUE()))</f>
        <v/>
      </c>
      <c r="J210" s="5" t="str">
        <f aca="false">IF($I210="","","R"&amp;$I210)</f>
        <v/>
      </c>
    </row>
    <row r="211" customFormat="false" ht="15" hidden="false" customHeight="true" outlineLevel="0" collapsed="false">
      <c r="A211" s="10" t="str">
        <f aca="false">IFERROR(IF(INDEX(원본명단!$A$3:$A$6002,MATCH("R"&amp;206,정리결과!$J$6:$J$6005,0))="","",INDEX(원본명단!$A$3:$A$6002,MATCH("R"&amp;206,정리결과!$J$6:$J$6005,0))),"")</f>
        <v/>
      </c>
      <c r="B211" s="10" t="str">
        <f aca="false">IF($A211="","",IFERROR(IF(INDEX(원본명단!$B$3:$B$6002,MATCH("R"&amp;206,정리결과!$J$6:$J$6005,0))="","",INDEX(원본명단!$B$3:$B$6002,MATCH("R"&amp;206,정리결과!$J$6:$J$6005,0))),""))</f>
        <v/>
      </c>
      <c r="C211" s="10" t="str">
        <f aca="false">IF($A211="","",IFERROR(IF(INDEX(원본명단!$C$3:$C$6002,MATCH("R"&amp;206,정리결과!$J$6:$J$6005,0))="","",INDEX(원본명단!$C$3:$C$6002,MATCH("R"&amp;206,정리결과!$J$6:$J$6005,0))),""))</f>
        <v/>
      </c>
      <c r="D211" s="10" t="str">
        <f aca="false">IF($A211="","",IFERROR(IF(INDEX(원본명단!$D$3:$D$6002,MATCH("R"&amp;206,정리결과!$J$6:$J$6005,0))="","",INDEX(원본명단!$D$3:$D$6002,MATCH("R"&amp;206,정리결과!$J$6:$J$6005,0))),""))</f>
        <v/>
      </c>
      <c r="E211" s="10" t="str">
        <f aca="false">IF($A211="","",IFERROR(IF(INDEX(원본명단!$E$3:$E$6002,MATCH("R"&amp;206,정리결과!$J$6:$J$6005,0))="","",INDEX(원본명단!$E$3:$E$6002,MATCH("R"&amp;206,정리결과!$J$6:$J$6005,0))),""))</f>
        <v/>
      </c>
      <c r="F211" s="10" t="str">
        <f aca="false">IF($A211="","",IFERROR(IF(INDEX(원본명단!$F$3:$F$6002,MATCH("R"&amp;206,정리결과!$J$6:$J$6005,0))="","",INDEX(원본명단!$F$3:$F$6002,MATCH("R"&amp;206,정리결과!$J$6:$J$6005,0))),""))</f>
        <v/>
      </c>
      <c r="H211" s="14" t="b">
        <f aca="false">IF(중복검사!$A209="",FALSE(),중복검사!$J209="유지")</f>
        <v>0</v>
      </c>
      <c r="I211" s="5" t="str">
        <f aca="false">IF($H211=FALSE(),"",COUNTIF($H$6:$H211,TRUE()))</f>
        <v/>
      </c>
      <c r="J211" s="5" t="str">
        <f aca="false">IF($I211="","","R"&amp;$I211)</f>
        <v/>
      </c>
    </row>
    <row r="212" customFormat="false" ht="15" hidden="false" customHeight="true" outlineLevel="0" collapsed="false">
      <c r="A212" s="10" t="str">
        <f aca="false">IFERROR(IF(INDEX(원본명단!$A$3:$A$6002,MATCH("R"&amp;207,정리결과!$J$6:$J$6005,0))="","",INDEX(원본명단!$A$3:$A$6002,MATCH("R"&amp;207,정리결과!$J$6:$J$6005,0))),"")</f>
        <v/>
      </c>
      <c r="B212" s="10" t="str">
        <f aca="false">IF($A212="","",IFERROR(IF(INDEX(원본명단!$B$3:$B$6002,MATCH("R"&amp;207,정리결과!$J$6:$J$6005,0))="","",INDEX(원본명단!$B$3:$B$6002,MATCH("R"&amp;207,정리결과!$J$6:$J$6005,0))),""))</f>
        <v/>
      </c>
      <c r="C212" s="10" t="str">
        <f aca="false">IF($A212="","",IFERROR(IF(INDEX(원본명단!$C$3:$C$6002,MATCH("R"&amp;207,정리결과!$J$6:$J$6005,0))="","",INDEX(원본명단!$C$3:$C$6002,MATCH("R"&amp;207,정리결과!$J$6:$J$6005,0))),""))</f>
        <v/>
      </c>
      <c r="D212" s="10" t="str">
        <f aca="false">IF($A212="","",IFERROR(IF(INDEX(원본명단!$D$3:$D$6002,MATCH("R"&amp;207,정리결과!$J$6:$J$6005,0))="","",INDEX(원본명단!$D$3:$D$6002,MATCH("R"&amp;207,정리결과!$J$6:$J$6005,0))),""))</f>
        <v/>
      </c>
      <c r="E212" s="10" t="str">
        <f aca="false">IF($A212="","",IFERROR(IF(INDEX(원본명단!$E$3:$E$6002,MATCH("R"&amp;207,정리결과!$J$6:$J$6005,0))="","",INDEX(원본명단!$E$3:$E$6002,MATCH("R"&amp;207,정리결과!$J$6:$J$6005,0))),""))</f>
        <v/>
      </c>
      <c r="F212" s="10" t="str">
        <f aca="false">IF($A212="","",IFERROR(IF(INDEX(원본명단!$F$3:$F$6002,MATCH("R"&amp;207,정리결과!$J$6:$J$6005,0))="","",INDEX(원본명단!$F$3:$F$6002,MATCH("R"&amp;207,정리결과!$J$6:$J$6005,0))),""))</f>
        <v/>
      </c>
      <c r="H212" s="14" t="b">
        <f aca="false">IF(중복검사!$A210="",FALSE(),중복검사!$J210="유지")</f>
        <v>0</v>
      </c>
      <c r="I212" s="5" t="str">
        <f aca="false">IF($H212=FALSE(),"",COUNTIF($H$6:$H212,TRUE()))</f>
        <v/>
      </c>
      <c r="J212" s="5" t="str">
        <f aca="false">IF($I212="","","R"&amp;$I212)</f>
        <v/>
      </c>
    </row>
    <row r="213" customFormat="false" ht="15" hidden="false" customHeight="true" outlineLevel="0" collapsed="false">
      <c r="A213" s="10" t="str">
        <f aca="false">IFERROR(IF(INDEX(원본명단!$A$3:$A$6002,MATCH("R"&amp;208,정리결과!$J$6:$J$6005,0))="","",INDEX(원본명단!$A$3:$A$6002,MATCH("R"&amp;208,정리결과!$J$6:$J$6005,0))),"")</f>
        <v/>
      </c>
      <c r="B213" s="10" t="str">
        <f aca="false">IF($A213="","",IFERROR(IF(INDEX(원본명단!$B$3:$B$6002,MATCH("R"&amp;208,정리결과!$J$6:$J$6005,0))="","",INDEX(원본명단!$B$3:$B$6002,MATCH("R"&amp;208,정리결과!$J$6:$J$6005,0))),""))</f>
        <v/>
      </c>
      <c r="C213" s="10" t="str">
        <f aca="false">IF($A213="","",IFERROR(IF(INDEX(원본명단!$C$3:$C$6002,MATCH("R"&amp;208,정리결과!$J$6:$J$6005,0))="","",INDEX(원본명단!$C$3:$C$6002,MATCH("R"&amp;208,정리결과!$J$6:$J$6005,0))),""))</f>
        <v/>
      </c>
      <c r="D213" s="10" t="str">
        <f aca="false">IF($A213="","",IFERROR(IF(INDEX(원본명단!$D$3:$D$6002,MATCH("R"&amp;208,정리결과!$J$6:$J$6005,0))="","",INDEX(원본명단!$D$3:$D$6002,MATCH("R"&amp;208,정리결과!$J$6:$J$6005,0))),""))</f>
        <v/>
      </c>
      <c r="E213" s="10" t="str">
        <f aca="false">IF($A213="","",IFERROR(IF(INDEX(원본명단!$E$3:$E$6002,MATCH("R"&amp;208,정리결과!$J$6:$J$6005,0))="","",INDEX(원본명단!$E$3:$E$6002,MATCH("R"&amp;208,정리결과!$J$6:$J$6005,0))),""))</f>
        <v/>
      </c>
      <c r="F213" s="10" t="str">
        <f aca="false">IF($A213="","",IFERROR(IF(INDEX(원본명단!$F$3:$F$6002,MATCH("R"&amp;208,정리결과!$J$6:$J$6005,0))="","",INDEX(원본명단!$F$3:$F$6002,MATCH("R"&amp;208,정리결과!$J$6:$J$6005,0))),""))</f>
        <v/>
      </c>
      <c r="H213" s="14" t="b">
        <f aca="false">IF(중복검사!$A211="",FALSE(),중복검사!$J211="유지")</f>
        <v>0</v>
      </c>
      <c r="I213" s="5" t="str">
        <f aca="false">IF($H213=FALSE(),"",COUNTIF($H$6:$H213,TRUE()))</f>
        <v/>
      </c>
      <c r="J213" s="5" t="str">
        <f aca="false">IF($I213="","","R"&amp;$I213)</f>
        <v/>
      </c>
    </row>
    <row r="214" customFormat="false" ht="15" hidden="false" customHeight="true" outlineLevel="0" collapsed="false">
      <c r="A214" s="10" t="str">
        <f aca="false">IFERROR(IF(INDEX(원본명단!$A$3:$A$6002,MATCH("R"&amp;209,정리결과!$J$6:$J$6005,0))="","",INDEX(원본명단!$A$3:$A$6002,MATCH("R"&amp;209,정리결과!$J$6:$J$6005,0))),"")</f>
        <v/>
      </c>
      <c r="B214" s="10" t="str">
        <f aca="false">IF($A214="","",IFERROR(IF(INDEX(원본명단!$B$3:$B$6002,MATCH("R"&amp;209,정리결과!$J$6:$J$6005,0))="","",INDEX(원본명단!$B$3:$B$6002,MATCH("R"&amp;209,정리결과!$J$6:$J$6005,0))),""))</f>
        <v/>
      </c>
      <c r="C214" s="10" t="str">
        <f aca="false">IF($A214="","",IFERROR(IF(INDEX(원본명단!$C$3:$C$6002,MATCH("R"&amp;209,정리결과!$J$6:$J$6005,0))="","",INDEX(원본명단!$C$3:$C$6002,MATCH("R"&amp;209,정리결과!$J$6:$J$6005,0))),""))</f>
        <v/>
      </c>
      <c r="D214" s="10" t="str">
        <f aca="false">IF($A214="","",IFERROR(IF(INDEX(원본명단!$D$3:$D$6002,MATCH("R"&amp;209,정리결과!$J$6:$J$6005,0))="","",INDEX(원본명단!$D$3:$D$6002,MATCH("R"&amp;209,정리결과!$J$6:$J$6005,0))),""))</f>
        <v/>
      </c>
      <c r="E214" s="10" t="str">
        <f aca="false">IF($A214="","",IFERROR(IF(INDEX(원본명단!$E$3:$E$6002,MATCH("R"&amp;209,정리결과!$J$6:$J$6005,0))="","",INDEX(원본명단!$E$3:$E$6002,MATCH("R"&amp;209,정리결과!$J$6:$J$6005,0))),""))</f>
        <v/>
      </c>
      <c r="F214" s="10" t="str">
        <f aca="false">IF($A214="","",IFERROR(IF(INDEX(원본명단!$F$3:$F$6002,MATCH("R"&amp;209,정리결과!$J$6:$J$6005,0))="","",INDEX(원본명단!$F$3:$F$6002,MATCH("R"&amp;209,정리결과!$J$6:$J$6005,0))),""))</f>
        <v/>
      </c>
      <c r="H214" s="14" t="b">
        <f aca="false">IF(중복검사!$A212="",FALSE(),중복검사!$J212="유지")</f>
        <v>0</v>
      </c>
      <c r="I214" s="5" t="str">
        <f aca="false">IF($H214=FALSE(),"",COUNTIF($H$6:$H214,TRUE()))</f>
        <v/>
      </c>
      <c r="J214" s="5" t="str">
        <f aca="false">IF($I214="","","R"&amp;$I214)</f>
        <v/>
      </c>
    </row>
    <row r="215" customFormat="false" ht="15" hidden="false" customHeight="true" outlineLevel="0" collapsed="false">
      <c r="A215" s="10" t="str">
        <f aca="false">IFERROR(IF(INDEX(원본명단!$A$3:$A$6002,MATCH("R"&amp;210,정리결과!$J$6:$J$6005,0))="","",INDEX(원본명단!$A$3:$A$6002,MATCH("R"&amp;210,정리결과!$J$6:$J$6005,0))),"")</f>
        <v/>
      </c>
      <c r="B215" s="10" t="str">
        <f aca="false">IF($A215="","",IFERROR(IF(INDEX(원본명단!$B$3:$B$6002,MATCH("R"&amp;210,정리결과!$J$6:$J$6005,0))="","",INDEX(원본명단!$B$3:$B$6002,MATCH("R"&amp;210,정리결과!$J$6:$J$6005,0))),""))</f>
        <v/>
      </c>
      <c r="C215" s="10" t="str">
        <f aca="false">IF($A215="","",IFERROR(IF(INDEX(원본명단!$C$3:$C$6002,MATCH("R"&amp;210,정리결과!$J$6:$J$6005,0))="","",INDEX(원본명단!$C$3:$C$6002,MATCH("R"&amp;210,정리결과!$J$6:$J$6005,0))),""))</f>
        <v/>
      </c>
      <c r="D215" s="10" t="str">
        <f aca="false">IF($A215="","",IFERROR(IF(INDEX(원본명단!$D$3:$D$6002,MATCH("R"&amp;210,정리결과!$J$6:$J$6005,0))="","",INDEX(원본명단!$D$3:$D$6002,MATCH("R"&amp;210,정리결과!$J$6:$J$6005,0))),""))</f>
        <v/>
      </c>
      <c r="E215" s="10" t="str">
        <f aca="false">IF($A215="","",IFERROR(IF(INDEX(원본명단!$E$3:$E$6002,MATCH("R"&amp;210,정리결과!$J$6:$J$6005,0))="","",INDEX(원본명단!$E$3:$E$6002,MATCH("R"&amp;210,정리결과!$J$6:$J$6005,0))),""))</f>
        <v/>
      </c>
      <c r="F215" s="10" t="str">
        <f aca="false">IF($A215="","",IFERROR(IF(INDEX(원본명단!$F$3:$F$6002,MATCH("R"&amp;210,정리결과!$J$6:$J$6005,0))="","",INDEX(원본명단!$F$3:$F$6002,MATCH("R"&amp;210,정리결과!$J$6:$J$6005,0))),""))</f>
        <v/>
      </c>
      <c r="H215" s="14" t="b">
        <f aca="false">IF(중복검사!$A213="",FALSE(),중복검사!$J213="유지")</f>
        <v>0</v>
      </c>
      <c r="I215" s="5" t="str">
        <f aca="false">IF($H215=FALSE(),"",COUNTIF($H$6:$H215,TRUE()))</f>
        <v/>
      </c>
      <c r="J215" s="5" t="str">
        <f aca="false">IF($I215="","","R"&amp;$I215)</f>
        <v/>
      </c>
    </row>
    <row r="216" customFormat="false" ht="15" hidden="false" customHeight="true" outlineLevel="0" collapsed="false">
      <c r="A216" s="10" t="str">
        <f aca="false">IFERROR(IF(INDEX(원본명단!$A$3:$A$6002,MATCH("R"&amp;211,정리결과!$J$6:$J$6005,0))="","",INDEX(원본명단!$A$3:$A$6002,MATCH("R"&amp;211,정리결과!$J$6:$J$6005,0))),"")</f>
        <v/>
      </c>
      <c r="B216" s="10" t="str">
        <f aca="false">IF($A216="","",IFERROR(IF(INDEX(원본명단!$B$3:$B$6002,MATCH("R"&amp;211,정리결과!$J$6:$J$6005,0))="","",INDEX(원본명단!$B$3:$B$6002,MATCH("R"&amp;211,정리결과!$J$6:$J$6005,0))),""))</f>
        <v/>
      </c>
      <c r="C216" s="10" t="str">
        <f aca="false">IF($A216="","",IFERROR(IF(INDEX(원본명단!$C$3:$C$6002,MATCH("R"&amp;211,정리결과!$J$6:$J$6005,0))="","",INDEX(원본명단!$C$3:$C$6002,MATCH("R"&amp;211,정리결과!$J$6:$J$6005,0))),""))</f>
        <v/>
      </c>
      <c r="D216" s="10" t="str">
        <f aca="false">IF($A216="","",IFERROR(IF(INDEX(원본명단!$D$3:$D$6002,MATCH("R"&amp;211,정리결과!$J$6:$J$6005,0))="","",INDEX(원본명단!$D$3:$D$6002,MATCH("R"&amp;211,정리결과!$J$6:$J$6005,0))),""))</f>
        <v/>
      </c>
      <c r="E216" s="10" t="str">
        <f aca="false">IF($A216="","",IFERROR(IF(INDEX(원본명단!$E$3:$E$6002,MATCH("R"&amp;211,정리결과!$J$6:$J$6005,0))="","",INDEX(원본명단!$E$3:$E$6002,MATCH("R"&amp;211,정리결과!$J$6:$J$6005,0))),""))</f>
        <v/>
      </c>
      <c r="F216" s="10" t="str">
        <f aca="false">IF($A216="","",IFERROR(IF(INDEX(원본명단!$F$3:$F$6002,MATCH("R"&amp;211,정리결과!$J$6:$J$6005,0))="","",INDEX(원본명단!$F$3:$F$6002,MATCH("R"&amp;211,정리결과!$J$6:$J$6005,0))),""))</f>
        <v/>
      </c>
      <c r="H216" s="14" t="b">
        <f aca="false">IF(중복검사!$A214="",FALSE(),중복검사!$J214="유지")</f>
        <v>0</v>
      </c>
      <c r="I216" s="5" t="str">
        <f aca="false">IF($H216=FALSE(),"",COUNTIF($H$6:$H216,TRUE()))</f>
        <v/>
      </c>
      <c r="J216" s="5" t="str">
        <f aca="false">IF($I216="","","R"&amp;$I216)</f>
        <v/>
      </c>
    </row>
    <row r="217" customFormat="false" ht="15" hidden="false" customHeight="true" outlineLevel="0" collapsed="false">
      <c r="A217" s="10" t="str">
        <f aca="false">IFERROR(IF(INDEX(원본명단!$A$3:$A$6002,MATCH("R"&amp;212,정리결과!$J$6:$J$6005,0))="","",INDEX(원본명단!$A$3:$A$6002,MATCH("R"&amp;212,정리결과!$J$6:$J$6005,0))),"")</f>
        <v/>
      </c>
      <c r="B217" s="10" t="str">
        <f aca="false">IF($A217="","",IFERROR(IF(INDEX(원본명단!$B$3:$B$6002,MATCH("R"&amp;212,정리결과!$J$6:$J$6005,0))="","",INDEX(원본명단!$B$3:$B$6002,MATCH("R"&amp;212,정리결과!$J$6:$J$6005,0))),""))</f>
        <v/>
      </c>
      <c r="C217" s="10" t="str">
        <f aca="false">IF($A217="","",IFERROR(IF(INDEX(원본명단!$C$3:$C$6002,MATCH("R"&amp;212,정리결과!$J$6:$J$6005,0))="","",INDEX(원본명단!$C$3:$C$6002,MATCH("R"&amp;212,정리결과!$J$6:$J$6005,0))),""))</f>
        <v/>
      </c>
      <c r="D217" s="10" t="str">
        <f aca="false">IF($A217="","",IFERROR(IF(INDEX(원본명단!$D$3:$D$6002,MATCH("R"&amp;212,정리결과!$J$6:$J$6005,0))="","",INDEX(원본명단!$D$3:$D$6002,MATCH("R"&amp;212,정리결과!$J$6:$J$6005,0))),""))</f>
        <v/>
      </c>
      <c r="E217" s="10" t="str">
        <f aca="false">IF($A217="","",IFERROR(IF(INDEX(원본명단!$E$3:$E$6002,MATCH("R"&amp;212,정리결과!$J$6:$J$6005,0))="","",INDEX(원본명단!$E$3:$E$6002,MATCH("R"&amp;212,정리결과!$J$6:$J$6005,0))),""))</f>
        <v/>
      </c>
      <c r="F217" s="10" t="str">
        <f aca="false">IF($A217="","",IFERROR(IF(INDEX(원본명단!$F$3:$F$6002,MATCH("R"&amp;212,정리결과!$J$6:$J$6005,0))="","",INDEX(원본명단!$F$3:$F$6002,MATCH("R"&amp;212,정리결과!$J$6:$J$6005,0))),""))</f>
        <v/>
      </c>
      <c r="H217" s="14" t="b">
        <f aca="false">IF(중복검사!$A215="",FALSE(),중복검사!$J215="유지")</f>
        <v>0</v>
      </c>
      <c r="I217" s="5" t="str">
        <f aca="false">IF($H217=FALSE(),"",COUNTIF($H$6:$H217,TRUE()))</f>
        <v/>
      </c>
      <c r="J217" s="5" t="str">
        <f aca="false">IF($I217="","","R"&amp;$I217)</f>
        <v/>
      </c>
    </row>
    <row r="218" customFormat="false" ht="15" hidden="false" customHeight="true" outlineLevel="0" collapsed="false">
      <c r="A218" s="10" t="str">
        <f aca="false">IFERROR(IF(INDEX(원본명단!$A$3:$A$6002,MATCH("R"&amp;213,정리결과!$J$6:$J$6005,0))="","",INDEX(원본명단!$A$3:$A$6002,MATCH("R"&amp;213,정리결과!$J$6:$J$6005,0))),"")</f>
        <v/>
      </c>
      <c r="B218" s="10" t="str">
        <f aca="false">IF($A218="","",IFERROR(IF(INDEX(원본명단!$B$3:$B$6002,MATCH("R"&amp;213,정리결과!$J$6:$J$6005,0))="","",INDEX(원본명단!$B$3:$B$6002,MATCH("R"&amp;213,정리결과!$J$6:$J$6005,0))),""))</f>
        <v/>
      </c>
      <c r="C218" s="10" t="str">
        <f aca="false">IF($A218="","",IFERROR(IF(INDEX(원본명단!$C$3:$C$6002,MATCH("R"&amp;213,정리결과!$J$6:$J$6005,0))="","",INDEX(원본명단!$C$3:$C$6002,MATCH("R"&amp;213,정리결과!$J$6:$J$6005,0))),""))</f>
        <v/>
      </c>
      <c r="D218" s="10" t="str">
        <f aca="false">IF($A218="","",IFERROR(IF(INDEX(원본명단!$D$3:$D$6002,MATCH("R"&amp;213,정리결과!$J$6:$J$6005,0))="","",INDEX(원본명단!$D$3:$D$6002,MATCH("R"&amp;213,정리결과!$J$6:$J$6005,0))),""))</f>
        <v/>
      </c>
      <c r="E218" s="10" t="str">
        <f aca="false">IF($A218="","",IFERROR(IF(INDEX(원본명단!$E$3:$E$6002,MATCH("R"&amp;213,정리결과!$J$6:$J$6005,0))="","",INDEX(원본명단!$E$3:$E$6002,MATCH("R"&amp;213,정리결과!$J$6:$J$6005,0))),""))</f>
        <v/>
      </c>
      <c r="F218" s="10" t="str">
        <f aca="false">IF($A218="","",IFERROR(IF(INDEX(원본명단!$F$3:$F$6002,MATCH("R"&amp;213,정리결과!$J$6:$J$6005,0))="","",INDEX(원본명단!$F$3:$F$6002,MATCH("R"&amp;213,정리결과!$J$6:$J$6005,0))),""))</f>
        <v/>
      </c>
      <c r="H218" s="14" t="b">
        <f aca="false">IF(중복검사!$A216="",FALSE(),중복검사!$J216="유지")</f>
        <v>0</v>
      </c>
      <c r="I218" s="5" t="str">
        <f aca="false">IF($H218=FALSE(),"",COUNTIF($H$6:$H218,TRUE()))</f>
        <v/>
      </c>
      <c r="J218" s="5" t="str">
        <f aca="false">IF($I218="","","R"&amp;$I218)</f>
        <v/>
      </c>
    </row>
    <row r="219" customFormat="false" ht="15" hidden="false" customHeight="true" outlineLevel="0" collapsed="false">
      <c r="A219" s="10" t="str">
        <f aca="false">IFERROR(IF(INDEX(원본명단!$A$3:$A$6002,MATCH("R"&amp;214,정리결과!$J$6:$J$6005,0))="","",INDEX(원본명단!$A$3:$A$6002,MATCH("R"&amp;214,정리결과!$J$6:$J$6005,0))),"")</f>
        <v/>
      </c>
      <c r="B219" s="10" t="str">
        <f aca="false">IF($A219="","",IFERROR(IF(INDEX(원본명단!$B$3:$B$6002,MATCH("R"&amp;214,정리결과!$J$6:$J$6005,0))="","",INDEX(원본명단!$B$3:$B$6002,MATCH("R"&amp;214,정리결과!$J$6:$J$6005,0))),""))</f>
        <v/>
      </c>
      <c r="C219" s="10" t="str">
        <f aca="false">IF($A219="","",IFERROR(IF(INDEX(원본명단!$C$3:$C$6002,MATCH("R"&amp;214,정리결과!$J$6:$J$6005,0))="","",INDEX(원본명단!$C$3:$C$6002,MATCH("R"&amp;214,정리결과!$J$6:$J$6005,0))),""))</f>
        <v/>
      </c>
      <c r="D219" s="10" t="str">
        <f aca="false">IF($A219="","",IFERROR(IF(INDEX(원본명단!$D$3:$D$6002,MATCH("R"&amp;214,정리결과!$J$6:$J$6005,0))="","",INDEX(원본명단!$D$3:$D$6002,MATCH("R"&amp;214,정리결과!$J$6:$J$6005,0))),""))</f>
        <v/>
      </c>
      <c r="E219" s="10" t="str">
        <f aca="false">IF($A219="","",IFERROR(IF(INDEX(원본명단!$E$3:$E$6002,MATCH("R"&amp;214,정리결과!$J$6:$J$6005,0))="","",INDEX(원본명단!$E$3:$E$6002,MATCH("R"&amp;214,정리결과!$J$6:$J$6005,0))),""))</f>
        <v/>
      </c>
      <c r="F219" s="10" t="str">
        <f aca="false">IF($A219="","",IFERROR(IF(INDEX(원본명단!$F$3:$F$6002,MATCH("R"&amp;214,정리결과!$J$6:$J$6005,0))="","",INDEX(원본명단!$F$3:$F$6002,MATCH("R"&amp;214,정리결과!$J$6:$J$6005,0))),""))</f>
        <v/>
      </c>
      <c r="H219" s="14" t="b">
        <f aca="false">IF(중복검사!$A217="",FALSE(),중복검사!$J217="유지")</f>
        <v>0</v>
      </c>
      <c r="I219" s="5" t="str">
        <f aca="false">IF($H219=FALSE(),"",COUNTIF($H$6:$H219,TRUE()))</f>
        <v/>
      </c>
      <c r="J219" s="5" t="str">
        <f aca="false">IF($I219="","","R"&amp;$I219)</f>
        <v/>
      </c>
    </row>
    <row r="220" customFormat="false" ht="15" hidden="false" customHeight="true" outlineLevel="0" collapsed="false">
      <c r="A220" s="10" t="str">
        <f aca="false">IFERROR(IF(INDEX(원본명단!$A$3:$A$6002,MATCH("R"&amp;215,정리결과!$J$6:$J$6005,0))="","",INDEX(원본명단!$A$3:$A$6002,MATCH("R"&amp;215,정리결과!$J$6:$J$6005,0))),"")</f>
        <v/>
      </c>
      <c r="B220" s="10" t="str">
        <f aca="false">IF($A220="","",IFERROR(IF(INDEX(원본명단!$B$3:$B$6002,MATCH("R"&amp;215,정리결과!$J$6:$J$6005,0))="","",INDEX(원본명단!$B$3:$B$6002,MATCH("R"&amp;215,정리결과!$J$6:$J$6005,0))),""))</f>
        <v/>
      </c>
      <c r="C220" s="10" t="str">
        <f aca="false">IF($A220="","",IFERROR(IF(INDEX(원본명단!$C$3:$C$6002,MATCH("R"&amp;215,정리결과!$J$6:$J$6005,0))="","",INDEX(원본명단!$C$3:$C$6002,MATCH("R"&amp;215,정리결과!$J$6:$J$6005,0))),""))</f>
        <v/>
      </c>
      <c r="D220" s="10" t="str">
        <f aca="false">IF($A220="","",IFERROR(IF(INDEX(원본명단!$D$3:$D$6002,MATCH("R"&amp;215,정리결과!$J$6:$J$6005,0))="","",INDEX(원본명단!$D$3:$D$6002,MATCH("R"&amp;215,정리결과!$J$6:$J$6005,0))),""))</f>
        <v/>
      </c>
      <c r="E220" s="10" t="str">
        <f aca="false">IF($A220="","",IFERROR(IF(INDEX(원본명단!$E$3:$E$6002,MATCH("R"&amp;215,정리결과!$J$6:$J$6005,0))="","",INDEX(원본명단!$E$3:$E$6002,MATCH("R"&amp;215,정리결과!$J$6:$J$6005,0))),""))</f>
        <v/>
      </c>
      <c r="F220" s="10" t="str">
        <f aca="false">IF($A220="","",IFERROR(IF(INDEX(원본명단!$F$3:$F$6002,MATCH("R"&amp;215,정리결과!$J$6:$J$6005,0))="","",INDEX(원본명단!$F$3:$F$6002,MATCH("R"&amp;215,정리결과!$J$6:$J$6005,0))),""))</f>
        <v/>
      </c>
      <c r="H220" s="14" t="b">
        <f aca="false">IF(중복검사!$A218="",FALSE(),중복검사!$J218="유지")</f>
        <v>0</v>
      </c>
      <c r="I220" s="5" t="str">
        <f aca="false">IF($H220=FALSE(),"",COUNTIF($H$6:$H220,TRUE()))</f>
        <v/>
      </c>
      <c r="J220" s="5" t="str">
        <f aca="false">IF($I220="","","R"&amp;$I220)</f>
        <v/>
      </c>
    </row>
    <row r="221" customFormat="false" ht="15" hidden="false" customHeight="true" outlineLevel="0" collapsed="false">
      <c r="A221" s="10" t="str">
        <f aca="false">IFERROR(IF(INDEX(원본명단!$A$3:$A$6002,MATCH("R"&amp;216,정리결과!$J$6:$J$6005,0))="","",INDEX(원본명단!$A$3:$A$6002,MATCH("R"&amp;216,정리결과!$J$6:$J$6005,0))),"")</f>
        <v/>
      </c>
      <c r="B221" s="10" t="str">
        <f aca="false">IF($A221="","",IFERROR(IF(INDEX(원본명단!$B$3:$B$6002,MATCH("R"&amp;216,정리결과!$J$6:$J$6005,0))="","",INDEX(원본명단!$B$3:$B$6002,MATCH("R"&amp;216,정리결과!$J$6:$J$6005,0))),""))</f>
        <v/>
      </c>
      <c r="C221" s="10" t="str">
        <f aca="false">IF($A221="","",IFERROR(IF(INDEX(원본명단!$C$3:$C$6002,MATCH("R"&amp;216,정리결과!$J$6:$J$6005,0))="","",INDEX(원본명단!$C$3:$C$6002,MATCH("R"&amp;216,정리결과!$J$6:$J$6005,0))),""))</f>
        <v/>
      </c>
      <c r="D221" s="10" t="str">
        <f aca="false">IF($A221="","",IFERROR(IF(INDEX(원본명단!$D$3:$D$6002,MATCH("R"&amp;216,정리결과!$J$6:$J$6005,0))="","",INDEX(원본명단!$D$3:$D$6002,MATCH("R"&amp;216,정리결과!$J$6:$J$6005,0))),""))</f>
        <v/>
      </c>
      <c r="E221" s="10" t="str">
        <f aca="false">IF($A221="","",IFERROR(IF(INDEX(원본명단!$E$3:$E$6002,MATCH("R"&amp;216,정리결과!$J$6:$J$6005,0))="","",INDEX(원본명단!$E$3:$E$6002,MATCH("R"&amp;216,정리결과!$J$6:$J$6005,0))),""))</f>
        <v/>
      </c>
      <c r="F221" s="10" t="str">
        <f aca="false">IF($A221="","",IFERROR(IF(INDEX(원본명단!$F$3:$F$6002,MATCH("R"&amp;216,정리결과!$J$6:$J$6005,0))="","",INDEX(원본명단!$F$3:$F$6002,MATCH("R"&amp;216,정리결과!$J$6:$J$6005,0))),""))</f>
        <v/>
      </c>
      <c r="H221" s="14" t="b">
        <f aca="false">IF(중복검사!$A219="",FALSE(),중복검사!$J219="유지")</f>
        <v>0</v>
      </c>
      <c r="I221" s="5" t="str">
        <f aca="false">IF($H221=FALSE(),"",COUNTIF($H$6:$H221,TRUE()))</f>
        <v/>
      </c>
      <c r="J221" s="5" t="str">
        <f aca="false">IF($I221="","","R"&amp;$I221)</f>
        <v/>
      </c>
    </row>
    <row r="222" customFormat="false" ht="15" hidden="false" customHeight="true" outlineLevel="0" collapsed="false">
      <c r="A222" s="10" t="str">
        <f aca="false">IFERROR(IF(INDEX(원본명단!$A$3:$A$6002,MATCH("R"&amp;217,정리결과!$J$6:$J$6005,0))="","",INDEX(원본명단!$A$3:$A$6002,MATCH("R"&amp;217,정리결과!$J$6:$J$6005,0))),"")</f>
        <v/>
      </c>
      <c r="B222" s="10" t="str">
        <f aca="false">IF($A222="","",IFERROR(IF(INDEX(원본명단!$B$3:$B$6002,MATCH("R"&amp;217,정리결과!$J$6:$J$6005,0))="","",INDEX(원본명단!$B$3:$B$6002,MATCH("R"&amp;217,정리결과!$J$6:$J$6005,0))),""))</f>
        <v/>
      </c>
      <c r="C222" s="10" t="str">
        <f aca="false">IF($A222="","",IFERROR(IF(INDEX(원본명단!$C$3:$C$6002,MATCH("R"&amp;217,정리결과!$J$6:$J$6005,0))="","",INDEX(원본명단!$C$3:$C$6002,MATCH("R"&amp;217,정리결과!$J$6:$J$6005,0))),""))</f>
        <v/>
      </c>
      <c r="D222" s="10" t="str">
        <f aca="false">IF($A222="","",IFERROR(IF(INDEX(원본명단!$D$3:$D$6002,MATCH("R"&amp;217,정리결과!$J$6:$J$6005,0))="","",INDEX(원본명단!$D$3:$D$6002,MATCH("R"&amp;217,정리결과!$J$6:$J$6005,0))),""))</f>
        <v/>
      </c>
      <c r="E222" s="10" t="str">
        <f aca="false">IF($A222="","",IFERROR(IF(INDEX(원본명단!$E$3:$E$6002,MATCH("R"&amp;217,정리결과!$J$6:$J$6005,0))="","",INDEX(원본명단!$E$3:$E$6002,MATCH("R"&amp;217,정리결과!$J$6:$J$6005,0))),""))</f>
        <v/>
      </c>
      <c r="F222" s="10" t="str">
        <f aca="false">IF($A222="","",IFERROR(IF(INDEX(원본명단!$F$3:$F$6002,MATCH("R"&amp;217,정리결과!$J$6:$J$6005,0))="","",INDEX(원본명단!$F$3:$F$6002,MATCH("R"&amp;217,정리결과!$J$6:$J$6005,0))),""))</f>
        <v/>
      </c>
      <c r="H222" s="14" t="b">
        <f aca="false">IF(중복검사!$A220="",FALSE(),중복검사!$J220="유지")</f>
        <v>0</v>
      </c>
      <c r="I222" s="5" t="str">
        <f aca="false">IF($H222=FALSE(),"",COUNTIF($H$6:$H222,TRUE()))</f>
        <v/>
      </c>
      <c r="J222" s="5" t="str">
        <f aca="false">IF($I222="","","R"&amp;$I222)</f>
        <v/>
      </c>
    </row>
    <row r="223" customFormat="false" ht="15" hidden="false" customHeight="true" outlineLevel="0" collapsed="false">
      <c r="A223" s="10" t="str">
        <f aca="false">IFERROR(IF(INDEX(원본명단!$A$3:$A$6002,MATCH("R"&amp;218,정리결과!$J$6:$J$6005,0))="","",INDEX(원본명단!$A$3:$A$6002,MATCH("R"&amp;218,정리결과!$J$6:$J$6005,0))),"")</f>
        <v/>
      </c>
      <c r="B223" s="10" t="str">
        <f aca="false">IF($A223="","",IFERROR(IF(INDEX(원본명단!$B$3:$B$6002,MATCH("R"&amp;218,정리결과!$J$6:$J$6005,0))="","",INDEX(원본명단!$B$3:$B$6002,MATCH("R"&amp;218,정리결과!$J$6:$J$6005,0))),""))</f>
        <v/>
      </c>
      <c r="C223" s="10" t="str">
        <f aca="false">IF($A223="","",IFERROR(IF(INDEX(원본명단!$C$3:$C$6002,MATCH("R"&amp;218,정리결과!$J$6:$J$6005,0))="","",INDEX(원본명단!$C$3:$C$6002,MATCH("R"&amp;218,정리결과!$J$6:$J$6005,0))),""))</f>
        <v/>
      </c>
      <c r="D223" s="10" t="str">
        <f aca="false">IF($A223="","",IFERROR(IF(INDEX(원본명단!$D$3:$D$6002,MATCH("R"&amp;218,정리결과!$J$6:$J$6005,0))="","",INDEX(원본명단!$D$3:$D$6002,MATCH("R"&amp;218,정리결과!$J$6:$J$6005,0))),""))</f>
        <v/>
      </c>
      <c r="E223" s="10" t="str">
        <f aca="false">IF($A223="","",IFERROR(IF(INDEX(원본명단!$E$3:$E$6002,MATCH("R"&amp;218,정리결과!$J$6:$J$6005,0))="","",INDEX(원본명단!$E$3:$E$6002,MATCH("R"&amp;218,정리결과!$J$6:$J$6005,0))),""))</f>
        <v/>
      </c>
      <c r="F223" s="10" t="str">
        <f aca="false">IF($A223="","",IFERROR(IF(INDEX(원본명단!$F$3:$F$6002,MATCH("R"&amp;218,정리결과!$J$6:$J$6005,0))="","",INDEX(원본명단!$F$3:$F$6002,MATCH("R"&amp;218,정리결과!$J$6:$J$6005,0))),""))</f>
        <v/>
      </c>
      <c r="H223" s="14" t="b">
        <f aca="false">IF(중복검사!$A221="",FALSE(),중복검사!$J221="유지")</f>
        <v>0</v>
      </c>
      <c r="I223" s="5" t="str">
        <f aca="false">IF($H223=FALSE(),"",COUNTIF($H$6:$H223,TRUE()))</f>
        <v/>
      </c>
      <c r="J223" s="5" t="str">
        <f aca="false">IF($I223="","","R"&amp;$I223)</f>
        <v/>
      </c>
    </row>
    <row r="224" customFormat="false" ht="15" hidden="false" customHeight="true" outlineLevel="0" collapsed="false">
      <c r="A224" s="10" t="str">
        <f aca="false">IFERROR(IF(INDEX(원본명단!$A$3:$A$6002,MATCH("R"&amp;219,정리결과!$J$6:$J$6005,0))="","",INDEX(원본명단!$A$3:$A$6002,MATCH("R"&amp;219,정리결과!$J$6:$J$6005,0))),"")</f>
        <v/>
      </c>
      <c r="B224" s="10" t="str">
        <f aca="false">IF($A224="","",IFERROR(IF(INDEX(원본명단!$B$3:$B$6002,MATCH("R"&amp;219,정리결과!$J$6:$J$6005,0))="","",INDEX(원본명단!$B$3:$B$6002,MATCH("R"&amp;219,정리결과!$J$6:$J$6005,0))),""))</f>
        <v/>
      </c>
      <c r="C224" s="10" t="str">
        <f aca="false">IF($A224="","",IFERROR(IF(INDEX(원본명단!$C$3:$C$6002,MATCH("R"&amp;219,정리결과!$J$6:$J$6005,0))="","",INDEX(원본명단!$C$3:$C$6002,MATCH("R"&amp;219,정리결과!$J$6:$J$6005,0))),""))</f>
        <v/>
      </c>
      <c r="D224" s="10" t="str">
        <f aca="false">IF($A224="","",IFERROR(IF(INDEX(원본명단!$D$3:$D$6002,MATCH("R"&amp;219,정리결과!$J$6:$J$6005,0))="","",INDEX(원본명단!$D$3:$D$6002,MATCH("R"&amp;219,정리결과!$J$6:$J$6005,0))),""))</f>
        <v/>
      </c>
      <c r="E224" s="10" t="str">
        <f aca="false">IF($A224="","",IFERROR(IF(INDEX(원본명단!$E$3:$E$6002,MATCH("R"&amp;219,정리결과!$J$6:$J$6005,0))="","",INDEX(원본명단!$E$3:$E$6002,MATCH("R"&amp;219,정리결과!$J$6:$J$6005,0))),""))</f>
        <v/>
      </c>
      <c r="F224" s="10" t="str">
        <f aca="false">IF($A224="","",IFERROR(IF(INDEX(원본명단!$F$3:$F$6002,MATCH("R"&amp;219,정리결과!$J$6:$J$6005,0))="","",INDEX(원본명단!$F$3:$F$6002,MATCH("R"&amp;219,정리결과!$J$6:$J$6005,0))),""))</f>
        <v/>
      </c>
      <c r="H224" s="14" t="b">
        <f aca="false">IF(중복검사!$A222="",FALSE(),중복검사!$J222="유지")</f>
        <v>0</v>
      </c>
      <c r="I224" s="5" t="str">
        <f aca="false">IF($H224=FALSE(),"",COUNTIF($H$6:$H224,TRUE()))</f>
        <v/>
      </c>
      <c r="J224" s="5" t="str">
        <f aca="false">IF($I224="","","R"&amp;$I224)</f>
        <v/>
      </c>
    </row>
    <row r="225" customFormat="false" ht="15" hidden="false" customHeight="true" outlineLevel="0" collapsed="false">
      <c r="A225" s="10" t="str">
        <f aca="false">IFERROR(IF(INDEX(원본명단!$A$3:$A$6002,MATCH("R"&amp;220,정리결과!$J$6:$J$6005,0))="","",INDEX(원본명단!$A$3:$A$6002,MATCH("R"&amp;220,정리결과!$J$6:$J$6005,0))),"")</f>
        <v/>
      </c>
      <c r="B225" s="10" t="str">
        <f aca="false">IF($A225="","",IFERROR(IF(INDEX(원본명단!$B$3:$B$6002,MATCH("R"&amp;220,정리결과!$J$6:$J$6005,0))="","",INDEX(원본명단!$B$3:$B$6002,MATCH("R"&amp;220,정리결과!$J$6:$J$6005,0))),""))</f>
        <v/>
      </c>
      <c r="C225" s="10" t="str">
        <f aca="false">IF($A225="","",IFERROR(IF(INDEX(원본명단!$C$3:$C$6002,MATCH("R"&amp;220,정리결과!$J$6:$J$6005,0))="","",INDEX(원본명단!$C$3:$C$6002,MATCH("R"&amp;220,정리결과!$J$6:$J$6005,0))),""))</f>
        <v/>
      </c>
      <c r="D225" s="10" t="str">
        <f aca="false">IF($A225="","",IFERROR(IF(INDEX(원본명단!$D$3:$D$6002,MATCH("R"&amp;220,정리결과!$J$6:$J$6005,0))="","",INDEX(원본명단!$D$3:$D$6002,MATCH("R"&amp;220,정리결과!$J$6:$J$6005,0))),""))</f>
        <v/>
      </c>
      <c r="E225" s="10" t="str">
        <f aca="false">IF($A225="","",IFERROR(IF(INDEX(원본명단!$E$3:$E$6002,MATCH("R"&amp;220,정리결과!$J$6:$J$6005,0))="","",INDEX(원본명단!$E$3:$E$6002,MATCH("R"&amp;220,정리결과!$J$6:$J$6005,0))),""))</f>
        <v/>
      </c>
      <c r="F225" s="10" t="str">
        <f aca="false">IF($A225="","",IFERROR(IF(INDEX(원본명단!$F$3:$F$6002,MATCH("R"&amp;220,정리결과!$J$6:$J$6005,0))="","",INDEX(원본명단!$F$3:$F$6002,MATCH("R"&amp;220,정리결과!$J$6:$J$6005,0))),""))</f>
        <v/>
      </c>
      <c r="H225" s="14" t="b">
        <f aca="false">IF(중복검사!$A223="",FALSE(),중복검사!$J223="유지")</f>
        <v>0</v>
      </c>
      <c r="I225" s="5" t="str">
        <f aca="false">IF($H225=FALSE(),"",COUNTIF($H$6:$H225,TRUE()))</f>
        <v/>
      </c>
      <c r="J225" s="5" t="str">
        <f aca="false">IF($I225="","","R"&amp;$I225)</f>
        <v/>
      </c>
    </row>
    <row r="226" customFormat="false" ht="15" hidden="false" customHeight="true" outlineLevel="0" collapsed="false">
      <c r="A226" s="10" t="str">
        <f aca="false">IFERROR(IF(INDEX(원본명단!$A$3:$A$6002,MATCH("R"&amp;221,정리결과!$J$6:$J$6005,0))="","",INDEX(원본명단!$A$3:$A$6002,MATCH("R"&amp;221,정리결과!$J$6:$J$6005,0))),"")</f>
        <v/>
      </c>
      <c r="B226" s="10" t="str">
        <f aca="false">IF($A226="","",IFERROR(IF(INDEX(원본명단!$B$3:$B$6002,MATCH("R"&amp;221,정리결과!$J$6:$J$6005,0))="","",INDEX(원본명단!$B$3:$B$6002,MATCH("R"&amp;221,정리결과!$J$6:$J$6005,0))),""))</f>
        <v/>
      </c>
      <c r="C226" s="10" t="str">
        <f aca="false">IF($A226="","",IFERROR(IF(INDEX(원본명단!$C$3:$C$6002,MATCH("R"&amp;221,정리결과!$J$6:$J$6005,0))="","",INDEX(원본명단!$C$3:$C$6002,MATCH("R"&amp;221,정리결과!$J$6:$J$6005,0))),""))</f>
        <v/>
      </c>
      <c r="D226" s="10" t="str">
        <f aca="false">IF($A226="","",IFERROR(IF(INDEX(원본명단!$D$3:$D$6002,MATCH("R"&amp;221,정리결과!$J$6:$J$6005,0))="","",INDEX(원본명단!$D$3:$D$6002,MATCH("R"&amp;221,정리결과!$J$6:$J$6005,0))),""))</f>
        <v/>
      </c>
      <c r="E226" s="10" t="str">
        <f aca="false">IF($A226="","",IFERROR(IF(INDEX(원본명단!$E$3:$E$6002,MATCH("R"&amp;221,정리결과!$J$6:$J$6005,0))="","",INDEX(원본명단!$E$3:$E$6002,MATCH("R"&amp;221,정리결과!$J$6:$J$6005,0))),""))</f>
        <v/>
      </c>
      <c r="F226" s="10" t="str">
        <f aca="false">IF($A226="","",IFERROR(IF(INDEX(원본명단!$F$3:$F$6002,MATCH("R"&amp;221,정리결과!$J$6:$J$6005,0))="","",INDEX(원본명단!$F$3:$F$6002,MATCH("R"&amp;221,정리결과!$J$6:$J$6005,0))),""))</f>
        <v/>
      </c>
      <c r="H226" s="14" t="b">
        <f aca="false">IF(중복검사!$A224="",FALSE(),중복검사!$J224="유지")</f>
        <v>0</v>
      </c>
      <c r="I226" s="5" t="str">
        <f aca="false">IF($H226=FALSE(),"",COUNTIF($H$6:$H226,TRUE()))</f>
        <v/>
      </c>
      <c r="J226" s="5" t="str">
        <f aca="false">IF($I226="","","R"&amp;$I226)</f>
        <v/>
      </c>
    </row>
    <row r="227" customFormat="false" ht="15" hidden="false" customHeight="true" outlineLevel="0" collapsed="false">
      <c r="A227" s="10" t="str">
        <f aca="false">IFERROR(IF(INDEX(원본명단!$A$3:$A$6002,MATCH("R"&amp;222,정리결과!$J$6:$J$6005,0))="","",INDEX(원본명단!$A$3:$A$6002,MATCH("R"&amp;222,정리결과!$J$6:$J$6005,0))),"")</f>
        <v/>
      </c>
      <c r="B227" s="10" t="str">
        <f aca="false">IF($A227="","",IFERROR(IF(INDEX(원본명단!$B$3:$B$6002,MATCH("R"&amp;222,정리결과!$J$6:$J$6005,0))="","",INDEX(원본명단!$B$3:$B$6002,MATCH("R"&amp;222,정리결과!$J$6:$J$6005,0))),""))</f>
        <v/>
      </c>
      <c r="C227" s="10" t="str">
        <f aca="false">IF($A227="","",IFERROR(IF(INDEX(원본명단!$C$3:$C$6002,MATCH("R"&amp;222,정리결과!$J$6:$J$6005,0))="","",INDEX(원본명단!$C$3:$C$6002,MATCH("R"&amp;222,정리결과!$J$6:$J$6005,0))),""))</f>
        <v/>
      </c>
      <c r="D227" s="10" t="str">
        <f aca="false">IF($A227="","",IFERROR(IF(INDEX(원본명단!$D$3:$D$6002,MATCH("R"&amp;222,정리결과!$J$6:$J$6005,0))="","",INDEX(원본명단!$D$3:$D$6002,MATCH("R"&amp;222,정리결과!$J$6:$J$6005,0))),""))</f>
        <v/>
      </c>
      <c r="E227" s="10" t="str">
        <f aca="false">IF($A227="","",IFERROR(IF(INDEX(원본명단!$E$3:$E$6002,MATCH("R"&amp;222,정리결과!$J$6:$J$6005,0))="","",INDEX(원본명단!$E$3:$E$6002,MATCH("R"&amp;222,정리결과!$J$6:$J$6005,0))),""))</f>
        <v/>
      </c>
      <c r="F227" s="10" t="str">
        <f aca="false">IF($A227="","",IFERROR(IF(INDEX(원본명단!$F$3:$F$6002,MATCH("R"&amp;222,정리결과!$J$6:$J$6005,0))="","",INDEX(원본명단!$F$3:$F$6002,MATCH("R"&amp;222,정리결과!$J$6:$J$6005,0))),""))</f>
        <v/>
      </c>
      <c r="H227" s="14" t="b">
        <f aca="false">IF(중복검사!$A225="",FALSE(),중복검사!$J225="유지")</f>
        <v>0</v>
      </c>
      <c r="I227" s="5" t="str">
        <f aca="false">IF($H227=FALSE(),"",COUNTIF($H$6:$H227,TRUE()))</f>
        <v/>
      </c>
      <c r="J227" s="5" t="str">
        <f aca="false">IF($I227="","","R"&amp;$I227)</f>
        <v/>
      </c>
    </row>
    <row r="228" customFormat="false" ht="15" hidden="false" customHeight="true" outlineLevel="0" collapsed="false">
      <c r="A228" s="10" t="str">
        <f aca="false">IFERROR(IF(INDEX(원본명단!$A$3:$A$6002,MATCH("R"&amp;223,정리결과!$J$6:$J$6005,0))="","",INDEX(원본명단!$A$3:$A$6002,MATCH("R"&amp;223,정리결과!$J$6:$J$6005,0))),"")</f>
        <v/>
      </c>
      <c r="B228" s="10" t="str">
        <f aca="false">IF($A228="","",IFERROR(IF(INDEX(원본명단!$B$3:$B$6002,MATCH("R"&amp;223,정리결과!$J$6:$J$6005,0))="","",INDEX(원본명단!$B$3:$B$6002,MATCH("R"&amp;223,정리결과!$J$6:$J$6005,0))),""))</f>
        <v/>
      </c>
      <c r="C228" s="10" t="str">
        <f aca="false">IF($A228="","",IFERROR(IF(INDEX(원본명단!$C$3:$C$6002,MATCH("R"&amp;223,정리결과!$J$6:$J$6005,0))="","",INDEX(원본명단!$C$3:$C$6002,MATCH("R"&amp;223,정리결과!$J$6:$J$6005,0))),""))</f>
        <v/>
      </c>
      <c r="D228" s="10" t="str">
        <f aca="false">IF($A228="","",IFERROR(IF(INDEX(원본명단!$D$3:$D$6002,MATCH("R"&amp;223,정리결과!$J$6:$J$6005,0))="","",INDEX(원본명단!$D$3:$D$6002,MATCH("R"&amp;223,정리결과!$J$6:$J$6005,0))),""))</f>
        <v/>
      </c>
      <c r="E228" s="10" t="str">
        <f aca="false">IF($A228="","",IFERROR(IF(INDEX(원본명단!$E$3:$E$6002,MATCH("R"&amp;223,정리결과!$J$6:$J$6005,0))="","",INDEX(원본명단!$E$3:$E$6002,MATCH("R"&amp;223,정리결과!$J$6:$J$6005,0))),""))</f>
        <v/>
      </c>
      <c r="F228" s="10" t="str">
        <f aca="false">IF($A228="","",IFERROR(IF(INDEX(원본명단!$F$3:$F$6002,MATCH("R"&amp;223,정리결과!$J$6:$J$6005,0))="","",INDEX(원본명단!$F$3:$F$6002,MATCH("R"&amp;223,정리결과!$J$6:$J$6005,0))),""))</f>
        <v/>
      </c>
      <c r="H228" s="14" t="b">
        <f aca="false">IF(중복검사!$A226="",FALSE(),중복검사!$J226="유지")</f>
        <v>0</v>
      </c>
      <c r="I228" s="5" t="str">
        <f aca="false">IF($H228=FALSE(),"",COUNTIF($H$6:$H228,TRUE()))</f>
        <v/>
      </c>
      <c r="J228" s="5" t="str">
        <f aca="false">IF($I228="","","R"&amp;$I228)</f>
        <v/>
      </c>
    </row>
    <row r="229" customFormat="false" ht="15" hidden="false" customHeight="true" outlineLevel="0" collapsed="false">
      <c r="A229" s="10" t="str">
        <f aca="false">IFERROR(IF(INDEX(원본명단!$A$3:$A$6002,MATCH("R"&amp;224,정리결과!$J$6:$J$6005,0))="","",INDEX(원본명단!$A$3:$A$6002,MATCH("R"&amp;224,정리결과!$J$6:$J$6005,0))),"")</f>
        <v/>
      </c>
      <c r="B229" s="10" t="str">
        <f aca="false">IF($A229="","",IFERROR(IF(INDEX(원본명단!$B$3:$B$6002,MATCH("R"&amp;224,정리결과!$J$6:$J$6005,0))="","",INDEX(원본명단!$B$3:$B$6002,MATCH("R"&amp;224,정리결과!$J$6:$J$6005,0))),""))</f>
        <v/>
      </c>
      <c r="C229" s="10" t="str">
        <f aca="false">IF($A229="","",IFERROR(IF(INDEX(원본명단!$C$3:$C$6002,MATCH("R"&amp;224,정리결과!$J$6:$J$6005,0))="","",INDEX(원본명단!$C$3:$C$6002,MATCH("R"&amp;224,정리결과!$J$6:$J$6005,0))),""))</f>
        <v/>
      </c>
      <c r="D229" s="10" t="str">
        <f aca="false">IF($A229="","",IFERROR(IF(INDEX(원본명단!$D$3:$D$6002,MATCH("R"&amp;224,정리결과!$J$6:$J$6005,0))="","",INDEX(원본명단!$D$3:$D$6002,MATCH("R"&amp;224,정리결과!$J$6:$J$6005,0))),""))</f>
        <v/>
      </c>
      <c r="E229" s="10" t="str">
        <f aca="false">IF($A229="","",IFERROR(IF(INDEX(원본명단!$E$3:$E$6002,MATCH("R"&amp;224,정리결과!$J$6:$J$6005,0))="","",INDEX(원본명단!$E$3:$E$6002,MATCH("R"&amp;224,정리결과!$J$6:$J$6005,0))),""))</f>
        <v/>
      </c>
      <c r="F229" s="10" t="str">
        <f aca="false">IF($A229="","",IFERROR(IF(INDEX(원본명단!$F$3:$F$6002,MATCH("R"&amp;224,정리결과!$J$6:$J$6005,0))="","",INDEX(원본명단!$F$3:$F$6002,MATCH("R"&amp;224,정리결과!$J$6:$J$6005,0))),""))</f>
        <v/>
      </c>
      <c r="H229" s="14" t="b">
        <f aca="false">IF(중복검사!$A227="",FALSE(),중복검사!$J227="유지")</f>
        <v>0</v>
      </c>
      <c r="I229" s="5" t="str">
        <f aca="false">IF($H229=FALSE(),"",COUNTIF($H$6:$H229,TRUE()))</f>
        <v/>
      </c>
      <c r="J229" s="5" t="str">
        <f aca="false">IF($I229="","","R"&amp;$I229)</f>
        <v/>
      </c>
    </row>
    <row r="230" customFormat="false" ht="15" hidden="false" customHeight="true" outlineLevel="0" collapsed="false">
      <c r="A230" s="10" t="str">
        <f aca="false">IFERROR(IF(INDEX(원본명단!$A$3:$A$6002,MATCH("R"&amp;225,정리결과!$J$6:$J$6005,0))="","",INDEX(원본명단!$A$3:$A$6002,MATCH("R"&amp;225,정리결과!$J$6:$J$6005,0))),"")</f>
        <v/>
      </c>
      <c r="B230" s="10" t="str">
        <f aca="false">IF($A230="","",IFERROR(IF(INDEX(원본명단!$B$3:$B$6002,MATCH("R"&amp;225,정리결과!$J$6:$J$6005,0))="","",INDEX(원본명단!$B$3:$B$6002,MATCH("R"&amp;225,정리결과!$J$6:$J$6005,0))),""))</f>
        <v/>
      </c>
      <c r="C230" s="10" t="str">
        <f aca="false">IF($A230="","",IFERROR(IF(INDEX(원본명단!$C$3:$C$6002,MATCH("R"&amp;225,정리결과!$J$6:$J$6005,0))="","",INDEX(원본명단!$C$3:$C$6002,MATCH("R"&amp;225,정리결과!$J$6:$J$6005,0))),""))</f>
        <v/>
      </c>
      <c r="D230" s="10" t="str">
        <f aca="false">IF($A230="","",IFERROR(IF(INDEX(원본명단!$D$3:$D$6002,MATCH("R"&amp;225,정리결과!$J$6:$J$6005,0))="","",INDEX(원본명단!$D$3:$D$6002,MATCH("R"&amp;225,정리결과!$J$6:$J$6005,0))),""))</f>
        <v/>
      </c>
      <c r="E230" s="10" t="str">
        <f aca="false">IF($A230="","",IFERROR(IF(INDEX(원본명단!$E$3:$E$6002,MATCH("R"&amp;225,정리결과!$J$6:$J$6005,0))="","",INDEX(원본명단!$E$3:$E$6002,MATCH("R"&amp;225,정리결과!$J$6:$J$6005,0))),""))</f>
        <v/>
      </c>
      <c r="F230" s="10" t="str">
        <f aca="false">IF($A230="","",IFERROR(IF(INDEX(원본명단!$F$3:$F$6002,MATCH("R"&amp;225,정리결과!$J$6:$J$6005,0))="","",INDEX(원본명단!$F$3:$F$6002,MATCH("R"&amp;225,정리결과!$J$6:$J$6005,0))),""))</f>
        <v/>
      </c>
      <c r="H230" s="14" t="b">
        <f aca="false">IF(중복검사!$A228="",FALSE(),중복검사!$J228="유지")</f>
        <v>0</v>
      </c>
      <c r="I230" s="5" t="str">
        <f aca="false">IF($H230=FALSE(),"",COUNTIF($H$6:$H230,TRUE()))</f>
        <v/>
      </c>
      <c r="J230" s="5" t="str">
        <f aca="false">IF($I230="","","R"&amp;$I230)</f>
        <v/>
      </c>
    </row>
    <row r="231" customFormat="false" ht="15" hidden="false" customHeight="true" outlineLevel="0" collapsed="false">
      <c r="A231" s="10" t="str">
        <f aca="false">IFERROR(IF(INDEX(원본명단!$A$3:$A$6002,MATCH("R"&amp;226,정리결과!$J$6:$J$6005,0))="","",INDEX(원본명단!$A$3:$A$6002,MATCH("R"&amp;226,정리결과!$J$6:$J$6005,0))),"")</f>
        <v/>
      </c>
      <c r="B231" s="10" t="str">
        <f aca="false">IF($A231="","",IFERROR(IF(INDEX(원본명단!$B$3:$B$6002,MATCH("R"&amp;226,정리결과!$J$6:$J$6005,0))="","",INDEX(원본명단!$B$3:$B$6002,MATCH("R"&amp;226,정리결과!$J$6:$J$6005,0))),""))</f>
        <v/>
      </c>
      <c r="C231" s="10" t="str">
        <f aca="false">IF($A231="","",IFERROR(IF(INDEX(원본명단!$C$3:$C$6002,MATCH("R"&amp;226,정리결과!$J$6:$J$6005,0))="","",INDEX(원본명단!$C$3:$C$6002,MATCH("R"&amp;226,정리결과!$J$6:$J$6005,0))),""))</f>
        <v/>
      </c>
      <c r="D231" s="10" t="str">
        <f aca="false">IF($A231="","",IFERROR(IF(INDEX(원본명단!$D$3:$D$6002,MATCH("R"&amp;226,정리결과!$J$6:$J$6005,0))="","",INDEX(원본명단!$D$3:$D$6002,MATCH("R"&amp;226,정리결과!$J$6:$J$6005,0))),""))</f>
        <v/>
      </c>
      <c r="E231" s="10" t="str">
        <f aca="false">IF($A231="","",IFERROR(IF(INDEX(원본명단!$E$3:$E$6002,MATCH("R"&amp;226,정리결과!$J$6:$J$6005,0))="","",INDEX(원본명단!$E$3:$E$6002,MATCH("R"&amp;226,정리결과!$J$6:$J$6005,0))),""))</f>
        <v/>
      </c>
      <c r="F231" s="10" t="str">
        <f aca="false">IF($A231="","",IFERROR(IF(INDEX(원본명단!$F$3:$F$6002,MATCH("R"&amp;226,정리결과!$J$6:$J$6005,0))="","",INDEX(원본명단!$F$3:$F$6002,MATCH("R"&amp;226,정리결과!$J$6:$J$6005,0))),""))</f>
        <v/>
      </c>
      <c r="H231" s="14" t="b">
        <f aca="false">IF(중복검사!$A229="",FALSE(),중복검사!$J229="유지")</f>
        <v>0</v>
      </c>
      <c r="I231" s="5" t="str">
        <f aca="false">IF($H231=FALSE(),"",COUNTIF($H$6:$H231,TRUE()))</f>
        <v/>
      </c>
      <c r="J231" s="5" t="str">
        <f aca="false">IF($I231="","","R"&amp;$I231)</f>
        <v/>
      </c>
    </row>
    <row r="232" customFormat="false" ht="15" hidden="false" customHeight="true" outlineLevel="0" collapsed="false">
      <c r="A232" s="10" t="str">
        <f aca="false">IFERROR(IF(INDEX(원본명단!$A$3:$A$6002,MATCH("R"&amp;227,정리결과!$J$6:$J$6005,0))="","",INDEX(원본명단!$A$3:$A$6002,MATCH("R"&amp;227,정리결과!$J$6:$J$6005,0))),"")</f>
        <v/>
      </c>
      <c r="B232" s="10" t="str">
        <f aca="false">IF($A232="","",IFERROR(IF(INDEX(원본명단!$B$3:$B$6002,MATCH("R"&amp;227,정리결과!$J$6:$J$6005,0))="","",INDEX(원본명단!$B$3:$B$6002,MATCH("R"&amp;227,정리결과!$J$6:$J$6005,0))),""))</f>
        <v/>
      </c>
      <c r="C232" s="10" t="str">
        <f aca="false">IF($A232="","",IFERROR(IF(INDEX(원본명단!$C$3:$C$6002,MATCH("R"&amp;227,정리결과!$J$6:$J$6005,0))="","",INDEX(원본명단!$C$3:$C$6002,MATCH("R"&amp;227,정리결과!$J$6:$J$6005,0))),""))</f>
        <v/>
      </c>
      <c r="D232" s="10" t="str">
        <f aca="false">IF($A232="","",IFERROR(IF(INDEX(원본명단!$D$3:$D$6002,MATCH("R"&amp;227,정리결과!$J$6:$J$6005,0))="","",INDEX(원본명단!$D$3:$D$6002,MATCH("R"&amp;227,정리결과!$J$6:$J$6005,0))),""))</f>
        <v/>
      </c>
      <c r="E232" s="10" t="str">
        <f aca="false">IF($A232="","",IFERROR(IF(INDEX(원본명단!$E$3:$E$6002,MATCH("R"&amp;227,정리결과!$J$6:$J$6005,0))="","",INDEX(원본명단!$E$3:$E$6002,MATCH("R"&amp;227,정리결과!$J$6:$J$6005,0))),""))</f>
        <v/>
      </c>
      <c r="F232" s="10" t="str">
        <f aca="false">IF($A232="","",IFERROR(IF(INDEX(원본명단!$F$3:$F$6002,MATCH("R"&amp;227,정리결과!$J$6:$J$6005,0))="","",INDEX(원본명단!$F$3:$F$6002,MATCH("R"&amp;227,정리결과!$J$6:$J$6005,0))),""))</f>
        <v/>
      </c>
      <c r="H232" s="14" t="b">
        <f aca="false">IF(중복검사!$A230="",FALSE(),중복검사!$J230="유지")</f>
        <v>0</v>
      </c>
      <c r="I232" s="5" t="str">
        <f aca="false">IF($H232=FALSE(),"",COUNTIF($H$6:$H232,TRUE()))</f>
        <v/>
      </c>
      <c r="J232" s="5" t="str">
        <f aca="false">IF($I232="","","R"&amp;$I232)</f>
        <v/>
      </c>
    </row>
    <row r="233" customFormat="false" ht="15" hidden="false" customHeight="true" outlineLevel="0" collapsed="false">
      <c r="A233" s="10" t="str">
        <f aca="false">IFERROR(IF(INDEX(원본명단!$A$3:$A$6002,MATCH("R"&amp;228,정리결과!$J$6:$J$6005,0))="","",INDEX(원본명단!$A$3:$A$6002,MATCH("R"&amp;228,정리결과!$J$6:$J$6005,0))),"")</f>
        <v/>
      </c>
      <c r="B233" s="10" t="str">
        <f aca="false">IF($A233="","",IFERROR(IF(INDEX(원본명단!$B$3:$B$6002,MATCH("R"&amp;228,정리결과!$J$6:$J$6005,0))="","",INDEX(원본명단!$B$3:$B$6002,MATCH("R"&amp;228,정리결과!$J$6:$J$6005,0))),""))</f>
        <v/>
      </c>
      <c r="C233" s="10" t="str">
        <f aca="false">IF($A233="","",IFERROR(IF(INDEX(원본명단!$C$3:$C$6002,MATCH("R"&amp;228,정리결과!$J$6:$J$6005,0))="","",INDEX(원본명단!$C$3:$C$6002,MATCH("R"&amp;228,정리결과!$J$6:$J$6005,0))),""))</f>
        <v/>
      </c>
      <c r="D233" s="10" t="str">
        <f aca="false">IF($A233="","",IFERROR(IF(INDEX(원본명단!$D$3:$D$6002,MATCH("R"&amp;228,정리결과!$J$6:$J$6005,0))="","",INDEX(원본명단!$D$3:$D$6002,MATCH("R"&amp;228,정리결과!$J$6:$J$6005,0))),""))</f>
        <v/>
      </c>
      <c r="E233" s="10" t="str">
        <f aca="false">IF($A233="","",IFERROR(IF(INDEX(원본명단!$E$3:$E$6002,MATCH("R"&amp;228,정리결과!$J$6:$J$6005,0))="","",INDEX(원본명단!$E$3:$E$6002,MATCH("R"&amp;228,정리결과!$J$6:$J$6005,0))),""))</f>
        <v/>
      </c>
      <c r="F233" s="10" t="str">
        <f aca="false">IF($A233="","",IFERROR(IF(INDEX(원본명단!$F$3:$F$6002,MATCH("R"&amp;228,정리결과!$J$6:$J$6005,0))="","",INDEX(원본명단!$F$3:$F$6002,MATCH("R"&amp;228,정리결과!$J$6:$J$6005,0))),""))</f>
        <v/>
      </c>
      <c r="H233" s="14" t="b">
        <f aca="false">IF(중복검사!$A231="",FALSE(),중복검사!$J231="유지")</f>
        <v>0</v>
      </c>
      <c r="I233" s="5" t="str">
        <f aca="false">IF($H233=FALSE(),"",COUNTIF($H$6:$H233,TRUE()))</f>
        <v/>
      </c>
      <c r="J233" s="5" t="str">
        <f aca="false">IF($I233="","","R"&amp;$I233)</f>
        <v/>
      </c>
    </row>
    <row r="234" customFormat="false" ht="15" hidden="false" customHeight="true" outlineLevel="0" collapsed="false">
      <c r="A234" s="10" t="str">
        <f aca="false">IFERROR(IF(INDEX(원본명단!$A$3:$A$6002,MATCH("R"&amp;229,정리결과!$J$6:$J$6005,0))="","",INDEX(원본명단!$A$3:$A$6002,MATCH("R"&amp;229,정리결과!$J$6:$J$6005,0))),"")</f>
        <v/>
      </c>
      <c r="B234" s="10" t="str">
        <f aca="false">IF($A234="","",IFERROR(IF(INDEX(원본명단!$B$3:$B$6002,MATCH("R"&amp;229,정리결과!$J$6:$J$6005,0))="","",INDEX(원본명단!$B$3:$B$6002,MATCH("R"&amp;229,정리결과!$J$6:$J$6005,0))),""))</f>
        <v/>
      </c>
      <c r="C234" s="10" t="str">
        <f aca="false">IF($A234="","",IFERROR(IF(INDEX(원본명단!$C$3:$C$6002,MATCH("R"&amp;229,정리결과!$J$6:$J$6005,0))="","",INDEX(원본명단!$C$3:$C$6002,MATCH("R"&amp;229,정리결과!$J$6:$J$6005,0))),""))</f>
        <v/>
      </c>
      <c r="D234" s="10" t="str">
        <f aca="false">IF($A234="","",IFERROR(IF(INDEX(원본명단!$D$3:$D$6002,MATCH("R"&amp;229,정리결과!$J$6:$J$6005,0))="","",INDEX(원본명단!$D$3:$D$6002,MATCH("R"&amp;229,정리결과!$J$6:$J$6005,0))),""))</f>
        <v/>
      </c>
      <c r="E234" s="10" t="str">
        <f aca="false">IF($A234="","",IFERROR(IF(INDEX(원본명단!$E$3:$E$6002,MATCH("R"&amp;229,정리결과!$J$6:$J$6005,0))="","",INDEX(원본명단!$E$3:$E$6002,MATCH("R"&amp;229,정리결과!$J$6:$J$6005,0))),""))</f>
        <v/>
      </c>
      <c r="F234" s="10" t="str">
        <f aca="false">IF($A234="","",IFERROR(IF(INDEX(원본명단!$F$3:$F$6002,MATCH("R"&amp;229,정리결과!$J$6:$J$6005,0))="","",INDEX(원본명단!$F$3:$F$6002,MATCH("R"&amp;229,정리결과!$J$6:$J$6005,0))),""))</f>
        <v/>
      </c>
      <c r="H234" s="14" t="b">
        <f aca="false">IF(중복검사!$A232="",FALSE(),중복검사!$J232="유지")</f>
        <v>0</v>
      </c>
      <c r="I234" s="5" t="str">
        <f aca="false">IF($H234=FALSE(),"",COUNTIF($H$6:$H234,TRUE()))</f>
        <v/>
      </c>
      <c r="J234" s="5" t="str">
        <f aca="false">IF($I234="","","R"&amp;$I234)</f>
        <v/>
      </c>
    </row>
    <row r="235" customFormat="false" ht="15" hidden="false" customHeight="true" outlineLevel="0" collapsed="false">
      <c r="A235" s="10" t="str">
        <f aca="false">IFERROR(IF(INDEX(원본명단!$A$3:$A$6002,MATCH("R"&amp;230,정리결과!$J$6:$J$6005,0))="","",INDEX(원본명단!$A$3:$A$6002,MATCH("R"&amp;230,정리결과!$J$6:$J$6005,0))),"")</f>
        <v/>
      </c>
      <c r="B235" s="10" t="str">
        <f aca="false">IF($A235="","",IFERROR(IF(INDEX(원본명단!$B$3:$B$6002,MATCH("R"&amp;230,정리결과!$J$6:$J$6005,0))="","",INDEX(원본명단!$B$3:$B$6002,MATCH("R"&amp;230,정리결과!$J$6:$J$6005,0))),""))</f>
        <v/>
      </c>
      <c r="C235" s="10" t="str">
        <f aca="false">IF($A235="","",IFERROR(IF(INDEX(원본명단!$C$3:$C$6002,MATCH("R"&amp;230,정리결과!$J$6:$J$6005,0))="","",INDEX(원본명단!$C$3:$C$6002,MATCH("R"&amp;230,정리결과!$J$6:$J$6005,0))),""))</f>
        <v/>
      </c>
      <c r="D235" s="10" t="str">
        <f aca="false">IF($A235="","",IFERROR(IF(INDEX(원본명단!$D$3:$D$6002,MATCH("R"&amp;230,정리결과!$J$6:$J$6005,0))="","",INDEX(원본명단!$D$3:$D$6002,MATCH("R"&amp;230,정리결과!$J$6:$J$6005,0))),""))</f>
        <v/>
      </c>
      <c r="E235" s="10" t="str">
        <f aca="false">IF($A235="","",IFERROR(IF(INDEX(원본명단!$E$3:$E$6002,MATCH("R"&amp;230,정리결과!$J$6:$J$6005,0))="","",INDEX(원본명단!$E$3:$E$6002,MATCH("R"&amp;230,정리결과!$J$6:$J$6005,0))),""))</f>
        <v/>
      </c>
      <c r="F235" s="10" t="str">
        <f aca="false">IF($A235="","",IFERROR(IF(INDEX(원본명단!$F$3:$F$6002,MATCH("R"&amp;230,정리결과!$J$6:$J$6005,0))="","",INDEX(원본명단!$F$3:$F$6002,MATCH("R"&amp;230,정리결과!$J$6:$J$6005,0))),""))</f>
        <v/>
      </c>
      <c r="H235" s="14" t="b">
        <f aca="false">IF(중복검사!$A233="",FALSE(),중복검사!$J233="유지")</f>
        <v>0</v>
      </c>
      <c r="I235" s="5" t="str">
        <f aca="false">IF($H235=FALSE(),"",COUNTIF($H$6:$H235,TRUE()))</f>
        <v/>
      </c>
      <c r="J235" s="5" t="str">
        <f aca="false">IF($I235="","","R"&amp;$I235)</f>
        <v/>
      </c>
    </row>
    <row r="236" customFormat="false" ht="15" hidden="false" customHeight="true" outlineLevel="0" collapsed="false">
      <c r="A236" s="10" t="str">
        <f aca="false">IFERROR(IF(INDEX(원본명단!$A$3:$A$6002,MATCH("R"&amp;231,정리결과!$J$6:$J$6005,0))="","",INDEX(원본명단!$A$3:$A$6002,MATCH("R"&amp;231,정리결과!$J$6:$J$6005,0))),"")</f>
        <v/>
      </c>
      <c r="B236" s="10" t="str">
        <f aca="false">IF($A236="","",IFERROR(IF(INDEX(원본명단!$B$3:$B$6002,MATCH("R"&amp;231,정리결과!$J$6:$J$6005,0))="","",INDEX(원본명단!$B$3:$B$6002,MATCH("R"&amp;231,정리결과!$J$6:$J$6005,0))),""))</f>
        <v/>
      </c>
      <c r="C236" s="10" t="str">
        <f aca="false">IF($A236="","",IFERROR(IF(INDEX(원본명단!$C$3:$C$6002,MATCH("R"&amp;231,정리결과!$J$6:$J$6005,0))="","",INDEX(원본명단!$C$3:$C$6002,MATCH("R"&amp;231,정리결과!$J$6:$J$6005,0))),""))</f>
        <v/>
      </c>
      <c r="D236" s="10" t="str">
        <f aca="false">IF($A236="","",IFERROR(IF(INDEX(원본명단!$D$3:$D$6002,MATCH("R"&amp;231,정리결과!$J$6:$J$6005,0))="","",INDEX(원본명단!$D$3:$D$6002,MATCH("R"&amp;231,정리결과!$J$6:$J$6005,0))),""))</f>
        <v/>
      </c>
      <c r="E236" s="10" t="str">
        <f aca="false">IF($A236="","",IFERROR(IF(INDEX(원본명단!$E$3:$E$6002,MATCH("R"&amp;231,정리결과!$J$6:$J$6005,0))="","",INDEX(원본명단!$E$3:$E$6002,MATCH("R"&amp;231,정리결과!$J$6:$J$6005,0))),""))</f>
        <v/>
      </c>
      <c r="F236" s="10" t="str">
        <f aca="false">IF($A236="","",IFERROR(IF(INDEX(원본명단!$F$3:$F$6002,MATCH("R"&amp;231,정리결과!$J$6:$J$6005,0))="","",INDEX(원본명단!$F$3:$F$6002,MATCH("R"&amp;231,정리결과!$J$6:$J$6005,0))),""))</f>
        <v/>
      </c>
      <c r="H236" s="14" t="b">
        <f aca="false">IF(중복검사!$A234="",FALSE(),중복검사!$J234="유지")</f>
        <v>0</v>
      </c>
      <c r="I236" s="5" t="str">
        <f aca="false">IF($H236=FALSE(),"",COUNTIF($H$6:$H236,TRUE()))</f>
        <v/>
      </c>
      <c r="J236" s="5" t="str">
        <f aca="false">IF($I236="","","R"&amp;$I236)</f>
        <v/>
      </c>
    </row>
    <row r="237" customFormat="false" ht="15" hidden="false" customHeight="true" outlineLevel="0" collapsed="false">
      <c r="A237" s="10" t="str">
        <f aca="false">IFERROR(IF(INDEX(원본명단!$A$3:$A$6002,MATCH("R"&amp;232,정리결과!$J$6:$J$6005,0))="","",INDEX(원본명단!$A$3:$A$6002,MATCH("R"&amp;232,정리결과!$J$6:$J$6005,0))),"")</f>
        <v/>
      </c>
      <c r="B237" s="10" t="str">
        <f aca="false">IF($A237="","",IFERROR(IF(INDEX(원본명단!$B$3:$B$6002,MATCH("R"&amp;232,정리결과!$J$6:$J$6005,0))="","",INDEX(원본명단!$B$3:$B$6002,MATCH("R"&amp;232,정리결과!$J$6:$J$6005,0))),""))</f>
        <v/>
      </c>
      <c r="C237" s="10" t="str">
        <f aca="false">IF($A237="","",IFERROR(IF(INDEX(원본명단!$C$3:$C$6002,MATCH("R"&amp;232,정리결과!$J$6:$J$6005,0))="","",INDEX(원본명단!$C$3:$C$6002,MATCH("R"&amp;232,정리결과!$J$6:$J$6005,0))),""))</f>
        <v/>
      </c>
      <c r="D237" s="10" t="str">
        <f aca="false">IF($A237="","",IFERROR(IF(INDEX(원본명단!$D$3:$D$6002,MATCH("R"&amp;232,정리결과!$J$6:$J$6005,0))="","",INDEX(원본명단!$D$3:$D$6002,MATCH("R"&amp;232,정리결과!$J$6:$J$6005,0))),""))</f>
        <v/>
      </c>
      <c r="E237" s="10" t="str">
        <f aca="false">IF($A237="","",IFERROR(IF(INDEX(원본명단!$E$3:$E$6002,MATCH("R"&amp;232,정리결과!$J$6:$J$6005,0))="","",INDEX(원본명단!$E$3:$E$6002,MATCH("R"&amp;232,정리결과!$J$6:$J$6005,0))),""))</f>
        <v/>
      </c>
      <c r="F237" s="10" t="str">
        <f aca="false">IF($A237="","",IFERROR(IF(INDEX(원본명단!$F$3:$F$6002,MATCH("R"&amp;232,정리결과!$J$6:$J$6005,0))="","",INDEX(원본명단!$F$3:$F$6002,MATCH("R"&amp;232,정리결과!$J$6:$J$6005,0))),""))</f>
        <v/>
      </c>
      <c r="H237" s="14" t="b">
        <f aca="false">IF(중복검사!$A235="",FALSE(),중복검사!$J235="유지")</f>
        <v>0</v>
      </c>
      <c r="I237" s="5" t="str">
        <f aca="false">IF($H237=FALSE(),"",COUNTIF($H$6:$H237,TRUE()))</f>
        <v/>
      </c>
      <c r="J237" s="5" t="str">
        <f aca="false">IF($I237="","","R"&amp;$I237)</f>
        <v/>
      </c>
    </row>
    <row r="238" customFormat="false" ht="15" hidden="false" customHeight="true" outlineLevel="0" collapsed="false">
      <c r="A238" s="10" t="str">
        <f aca="false">IFERROR(IF(INDEX(원본명단!$A$3:$A$6002,MATCH("R"&amp;233,정리결과!$J$6:$J$6005,0))="","",INDEX(원본명단!$A$3:$A$6002,MATCH("R"&amp;233,정리결과!$J$6:$J$6005,0))),"")</f>
        <v/>
      </c>
      <c r="B238" s="10" t="str">
        <f aca="false">IF($A238="","",IFERROR(IF(INDEX(원본명단!$B$3:$B$6002,MATCH("R"&amp;233,정리결과!$J$6:$J$6005,0))="","",INDEX(원본명단!$B$3:$B$6002,MATCH("R"&amp;233,정리결과!$J$6:$J$6005,0))),""))</f>
        <v/>
      </c>
      <c r="C238" s="10" t="str">
        <f aca="false">IF($A238="","",IFERROR(IF(INDEX(원본명단!$C$3:$C$6002,MATCH("R"&amp;233,정리결과!$J$6:$J$6005,0))="","",INDEX(원본명단!$C$3:$C$6002,MATCH("R"&amp;233,정리결과!$J$6:$J$6005,0))),""))</f>
        <v/>
      </c>
      <c r="D238" s="10" t="str">
        <f aca="false">IF($A238="","",IFERROR(IF(INDEX(원본명단!$D$3:$D$6002,MATCH("R"&amp;233,정리결과!$J$6:$J$6005,0))="","",INDEX(원본명단!$D$3:$D$6002,MATCH("R"&amp;233,정리결과!$J$6:$J$6005,0))),""))</f>
        <v/>
      </c>
      <c r="E238" s="10" t="str">
        <f aca="false">IF($A238="","",IFERROR(IF(INDEX(원본명단!$E$3:$E$6002,MATCH("R"&amp;233,정리결과!$J$6:$J$6005,0))="","",INDEX(원본명단!$E$3:$E$6002,MATCH("R"&amp;233,정리결과!$J$6:$J$6005,0))),""))</f>
        <v/>
      </c>
      <c r="F238" s="10" t="str">
        <f aca="false">IF($A238="","",IFERROR(IF(INDEX(원본명단!$F$3:$F$6002,MATCH("R"&amp;233,정리결과!$J$6:$J$6005,0))="","",INDEX(원본명단!$F$3:$F$6002,MATCH("R"&amp;233,정리결과!$J$6:$J$6005,0))),""))</f>
        <v/>
      </c>
      <c r="H238" s="14" t="b">
        <f aca="false">IF(중복검사!$A236="",FALSE(),중복검사!$J236="유지")</f>
        <v>0</v>
      </c>
      <c r="I238" s="5" t="str">
        <f aca="false">IF($H238=FALSE(),"",COUNTIF($H$6:$H238,TRUE()))</f>
        <v/>
      </c>
      <c r="J238" s="5" t="str">
        <f aca="false">IF($I238="","","R"&amp;$I238)</f>
        <v/>
      </c>
    </row>
    <row r="239" customFormat="false" ht="15" hidden="false" customHeight="true" outlineLevel="0" collapsed="false">
      <c r="A239" s="10" t="str">
        <f aca="false">IFERROR(IF(INDEX(원본명단!$A$3:$A$6002,MATCH("R"&amp;234,정리결과!$J$6:$J$6005,0))="","",INDEX(원본명단!$A$3:$A$6002,MATCH("R"&amp;234,정리결과!$J$6:$J$6005,0))),"")</f>
        <v/>
      </c>
      <c r="B239" s="10" t="str">
        <f aca="false">IF($A239="","",IFERROR(IF(INDEX(원본명단!$B$3:$B$6002,MATCH("R"&amp;234,정리결과!$J$6:$J$6005,0))="","",INDEX(원본명단!$B$3:$B$6002,MATCH("R"&amp;234,정리결과!$J$6:$J$6005,0))),""))</f>
        <v/>
      </c>
      <c r="C239" s="10" t="str">
        <f aca="false">IF($A239="","",IFERROR(IF(INDEX(원본명단!$C$3:$C$6002,MATCH("R"&amp;234,정리결과!$J$6:$J$6005,0))="","",INDEX(원본명단!$C$3:$C$6002,MATCH("R"&amp;234,정리결과!$J$6:$J$6005,0))),""))</f>
        <v/>
      </c>
      <c r="D239" s="10" t="str">
        <f aca="false">IF($A239="","",IFERROR(IF(INDEX(원본명단!$D$3:$D$6002,MATCH("R"&amp;234,정리결과!$J$6:$J$6005,0))="","",INDEX(원본명단!$D$3:$D$6002,MATCH("R"&amp;234,정리결과!$J$6:$J$6005,0))),""))</f>
        <v/>
      </c>
      <c r="E239" s="10" t="str">
        <f aca="false">IF($A239="","",IFERROR(IF(INDEX(원본명단!$E$3:$E$6002,MATCH("R"&amp;234,정리결과!$J$6:$J$6005,0))="","",INDEX(원본명단!$E$3:$E$6002,MATCH("R"&amp;234,정리결과!$J$6:$J$6005,0))),""))</f>
        <v/>
      </c>
      <c r="F239" s="10" t="str">
        <f aca="false">IF($A239="","",IFERROR(IF(INDEX(원본명단!$F$3:$F$6002,MATCH("R"&amp;234,정리결과!$J$6:$J$6005,0))="","",INDEX(원본명단!$F$3:$F$6002,MATCH("R"&amp;234,정리결과!$J$6:$J$6005,0))),""))</f>
        <v/>
      </c>
      <c r="H239" s="14" t="b">
        <f aca="false">IF(중복검사!$A237="",FALSE(),중복검사!$J237="유지")</f>
        <v>0</v>
      </c>
      <c r="I239" s="5" t="str">
        <f aca="false">IF($H239=FALSE(),"",COUNTIF($H$6:$H239,TRUE()))</f>
        <v/>
      </c>
      <c r="J239" s="5" t="str">
        <f aca="false">IF($I239="","","R"&amp;$I239)</f>
        <v/>
      </c>
    </row>
    <row r="240" customFormat="false" ht="15" hidden="false" customHeight="true" outlineLevel="0" collapsed="false">
      <c r="A240" s="10" t="str">
        <f aca="false">IFERROR(IF(INDEX(원본명단!$A$3:$A$6002,MATCH("R"&amp;235,정리결과!$J$6:$J$6005,0))="","",INDEX(원본명단!$A$3:$A$6002,MATCH("R"&amp;235,정리결과!$J$6:$J$6005,0))),"")</f>
        <v/>
      </c>
      <c r="B240" s="10" t="str">
        <f aca="false">IF($A240="","",IFERROR(IF(INDEX(원본명단!$B$3:$B$6002,MATCH("R"&amp;235,정리결과!$J$6:$J$6005,0))="","",INDEX(원본명단!$B$3:$B$6002,MATCH("R"&amp;235,정리결과!$J$6:$J$6005,0))),""))</f>
        <v/>
      </c>
      <c r="C240" s="10" t="str">
        <f aca="false">IF($A240="","",IFERROR(IF(INDEX(원본명단!$C$3:$C$6002,MATCH("R"&amp;235,정리결과!$J$6:$J$6005,0))="","",INDEX(원본명단!$C$3:$C$6002,MATCH("R"&amp;235,정리결과!$J$6:$J$6005,0))),""))</f>
        <v/>
      </c>
      <c r="D240" s="10" t="str">
        <f aca="false">IF($A240="","",IFERROR(IF(INDEX(원본명단!$D$3:$D$6002,MATCH("R"&amp;235,정리결과!$J$6:$J$6005,0))="","",INDEX(원본명단!$D$3:$D$6002,MATCH("R"&amp;235,정리결과!$J$6:$J$6005,0))),""))</f>
        <v/>
      </c>
      <c r="E240" s="10" t="str">
        <f aca="false">IF($A240="","",IFERROR(IF(INDEX(원본명단!$E$3:$E$6002,MATCH("R"&amp;235,정리결과!$J$6:$J$6005,0))="","",INDEX(원본명단!$E$3:$E$6002,MATCH("R"&amp;235,정리결과!$J$6:$J$6005,0))),""))</f>
        <v/>
      </c>
      <c r="F240" s="10" t="str">
        <f aca="false">IF($A240="","",IFERROR(IF(INDEX(원본명단!$F$3:$F$6002,MATCH("R"&amp;235,정리결과!$J$6:$J$6005,0))="","",INDEX(원본명단!$F$3:$F$6002,MATCH("R"&amp;235,정리결과!$J$6:$J$6005,0))),""))</f>
        <v/>
      </c>
      <c r="H240" s="14" t="b">
        <f aca="false">IF(중복검사!$A238="",FALSE(),중복검사!$J238="유지")</f>
        <v>0</v>
      </c>
      <c r="I240" s="5" t="str">
        <f aca="false">IF($H240=FALSE(),"",COUNTIF($H$6:$H240,TRUE()))</f>
        <v/>
      </c>
      <c r="J240" s="5" t="str">
        <f aca="false">IF($I240="","","R"&amp;$I240)</f>
        <v/>
      </c>
    </row>
    <row r="241" customFormat="false" ht="15" hidden="false" customHeight="true" outlineLevel="0" collapsed="false">
      <c r="A241" s="10" t="str">
        <f aca="false">IFERROR(IF(INDEX(원본명단!$A$3:$A$6002,MATCH("R"&amp;236,정리결과!$J$6:$J$6005,0))="","",INDEX(원본명단!$A$3:$A$6002,MATCH("R"&amp;236,정리결과!$J$6:$J$6005,0))),"")</f>
        <v/>
      </c>
      <c r="B241" s="10" t="str">
        <f aca="false">IF($A241="","",IFERROR(IF(INDEX(원본명단!$B$3:$B$6002,MATCH("R"&amp;236,정리결과!$J$6:$J$6005,0))="","",INDEX(원본명단!$B$3:$B$6002,MATCH("R"&amp;236,정리결과!$J$6:$J$6005,0))),""))</f>
        <v/>
      </c>
      <c r="C241" s="10" t="str">
        <f aca="false">IF($A241="","",IFERROR(IF(INDEX(원본명단!$C$3:$C$6002,MATCH("R"&amp;236,정리결과!$J$6:$J$6005,0))="","",INDEX(원본명단!$C$3:$C$6002,MATCH("R"&amp;236,정리결과!$J$6:$J$6005,0))),""))</f>
        <v/>
      </c>
      <c r="D241" s="10" t="str">
        <f aca="false">IF($A241="","",IFERROR(IF(INDEX(원본명단!$D$3:$D$6002,MATCH("R"&amp;236,정리결과!$J$6:$J$6005,0))="","",INDEX(원본명단!$D$3:$D$6002,MATCH("R"&amp;236,정리결과!$J$6:$J$6005,0))),""))</f>
        <v/>
      </c>
      <c r="E241" s="10" t="str">
        <f aca="false">IF($A241="","",IFERROR(IF(INDEX(원본명단!$E$3:$E$6002,MATCH("R"&amp;236,정리결과!$J$6:$J$6005,0))="","",INDEX(원본명단!$E$3:$E$6002,MATCH("R"&amp;236,정리결과!$J$6:$J$6005,0))),""))</f>
        <v/>
      </c>
      <c r="F241" s="10" t="str">
        <f aca="false">IF($A241="","",IFERROR(IF(INDEX(원본명단!$F$3:$F$6002,MATCH("R"&amp;236,정리결과!$J$6:$J$6005,0))="","",INDEX(원본명단!$F$3:$F$6002,MATCH("R"&amp;236,정리결과!$J$6:$J$6005,0))),""))</f>
        <v/>
      </c>
      <c r="H241" s="14" t="b">
        <f aca="false">IF(중복검사!$A239="",FALSE(),중복검사!$J239="유지")</f>
        <v>0</v>
      </c>
      <c r="I241" s="5" t="str">
        <f aca="false">IF($H241=FALSE(),"",COUNTIF($H$6:$H241,TRUE()))</f>
        <v/>
      </c>
      <c r="J241" s="5" t="str">
        <f aca="false">IF($I241="","","R"&amp;$I241)</f>
        <v/>
      </c>
    </row>
    <row r="242" customFormat="false" ht="15" hidden="false" customHeight="true" outlineLevel="0" collapsed="false">
      <c r="A242" s="10" t="str">
        <f aca="false">IFERROR(IF(INDEX(원본명단!$A$3:$A$6002,MATCH("R"&amp;237,정리결과!$J$6:$J$6005,0))="","",INDEX(원본명단!$A$3:$A$6002,MATCH("R"&amp;237,정리결과!$J$6:$J$6005,0))),"")</f>
        <v/>
      </c>
      <c r="B242" s="10" t="str">
        <f aca="false">IF($A242="","",IFERROR(IF(INDEX(원본명단!$B$3:$B$6002,MATCH("R"&amp;237,정리결과!$J$6:$J$6005,0))="","",INDEX(원본명단!$B$3:$B$6002,MATCH("R"&amp;237,정리결과!$J$6:$J$6005,0))),""))</f>
        <v/>
      </c>
      <c r="C242" s="10" t="str">
        <f aca="false">IF($A242="","",IFERROR(IF(INDEX(원본명단!$C$3:$C$6002,MATCH("R"&amp;237,정리결과!$J$6:$J$6005,0))="","",INDEX(원본명단!$C$3:$C$6002,MATCH("R"&amp;237,정리결과!$J$6:$J$6005,0))),""))</f>
        <v/>
      </c>
      <c r="D242" s="10" t="str">
        <f aca="false">IF($A242="","",IFERROR(IF(INDEX(원본명단!$D$3:$D$6002,MATCH("R"&amp;237,정리결과!$J$6:$J$6005,0))="","",INDEX(원본명단!$D$3:$D$6002,MATCH("R"&amp;237,정리결과!$J$6:$J$6005,0))),""))</f>
        <v/>
      </c>
      <c r="E242" s="10" t="str">
        <f aca="false">IF($A242="","",IFERROR(IF(INDEX(원본명단!$E$3:$E$6002,MATCH("R"&amp;237,정리결과!$J$6:$J$6005,0))="","",INDEX(원본명단!$E$3:$E$6002,MATCH("R"&amp;237,정리결과!$J$6:$J$6005,0))),""))</f>
        <v/>
      </c>
      <c r="F242" s="10" t="str">
        <f aca="false">IF($A242="","",IFERROR(IF(INDEX(원본명단!$F$3:$F$6002,MATCH("R"&amp;237,정리결과!$J$6:$J$6005,0))="","",INDEX(원본명단!$F$3:$F$6002,MATCH("R"&amp;237,정리결과!$J$6:$J$6005,0))),""))</f>
        <v/>
      </c>
      <c r="H242" s="14" t="b">
        <f aca="false">IF(중복검사!$A240="",FALSE(),중복검사!$J240="유지")</f>
        <v>0</v>
      </c>
      <c r="I242" s="5" t="str">
        <f aca="false">IF($H242=FALSE(),"",COUNTIF($H$6:$H242,TRUE()))</f>
        <v/>
      </c>
      <c r="J242" s="5" t="str">
        <f aca="false">IF($I242="","","R"&amp;$I242)</f>
        <v/>
      </c>
    </row>
    <row r="243" customFormat="false" ht="15" hidden="false" customHeight="true" outlineLevel="0" collapsed="false">
      <c r="A243" s="10" t="str">
        <f aca="false">IFERROR(IF(INDEX(원본명단!$A$3:$A$6002,MATCH("R"&amp;238,정리결과!$J$6:$J$6005,0))="","",INDEX(원본명단!$A$3:$A$6002,MATCH("R"&amp;238,정리결과!$J$6:$J$6005,0))),"")</f>
        <v/>
      </c>
      <c r="B243" s="10" t="str">
        <f aca="false">IF($A243="","",IFERROR(IF(INDEX(원본명단!$B$3:$B$6002,MATCH("R"&amp;238,정리결과!$J$6:$J$6005,0))="","",INDEX(원본명단!$B$3:$B$6002,MATCH("R"&amp;238,정리결과!$J$6:$J$6005,0))),""))</f>
        <v/>
      </c>
      <c r="C243" s="10" t="str">
        <f aca="false">IF($A243="","",IFERROR(IF(INDEX(원본명단!$C$3:$C$6002,MATCH("R"&amp;238,정리결과!$J$6:$J$6005,0))="","",INDEX(원본명단!$C$3:$C$6002,MATCH("R"&amp;238,정리결과!$J$6:$J$6005,0))),""))</f>
        <v/>
      </c>
      <c r="D243" s="10" t="str">
        <f aca="false">IF($A243="","",IFERROR(IF(INDEX(원본명단!$D$3:$D$6002,MATCH("R"&amp;238,정리결과!$J$6:$J$6005,0))="","",INDEX(원본명단!$D$3:$D$6002,MATCH("R"&amp;238,정리결과!$J$6:$J$6005,0))),""))</f>
        <v/>
      </c>
      <c r="E243" s="10" t="str">
        <f aca="false">IF($A243="","",IFERROR(IF(INDEX(원본명단!$E$3:$E$6002,MATCH("R"&amp;238,정리결과!$J$6:$J$6005,0))="","",INDEX(원본명단!$E$3:$E$6002,MATCH("R"&amp;238,정리결과!$J$6:$J$6005,0))),""))</f>
        <v/>
      </c>
      <c r="F243" s="10" t="str">
        <f aca="false">IF($A243="","",IFERROR(IF(INDEX(원본명단!$F$3:$F$6002,MATCH("R"&amp;238,정리결과!$J$6:$J$6005,0))="","",INDEX(원본명단!$F$3:$F$6002,MATCH("R"&amp;238,정리결과!$J$6:$J$6005,0))),""))</f>
        <v/>
      </c>
      <c r="H243" s="14" t="b">
        <f aca="false">IF(중복검사!$A241="",FALSE(),중복검사!$J241="유지")</f>
        <v>0</v>
      </c>
      <c r="I243" s="5" t="str">
        <f aca="false">IF($H243=FALSE(),"",COUNTIF($H$6:$H243,TRUE()))</f>
        <v/>
      </c>
      <c r="J243" s="5" t="str">
        <f aca="false">IF($I243="","","R"&amp;$I243)</f>
        <v/>
      </c>
    </row>
    <row r="244" customFormat="false" ht="15" hidden="false" customHeight="true" outlineLevel="0" collapsed="false">
      <c r="A244" s="10" t="str">
        <f aca="false">IFERROR(IF(INDEX(원본명단!$A$3:$A$6002,MATCH("R"&amp;239,정리결과!$J$6:$J$6005,0))="","",INDEX(원본명단!$A$3:$A$6002,MATCH("R"&amp;239,정리결과!$J$6:$J$6005,0))),"")</f>
        <v/>
      </c>
      <c r="B244" s="10" t="str">
        <f aca="false">IF($A244="","",IFERROR(IF(INDEX(원본명단!$B$3:$B$6002,MATCH("R"&amp;239,정리결과!$J$6:$J$6005,0))="","",INDEX(원본명단!$B$3:$B$6002,MATCH("R"&amp;239,정리결과!$J$6:$J$6005,0))),""))</f>
        <v/>
      </c>
      <c r="C244" s="10" t="str">
        <f aca="false">IF($A244="","",IFERROR(IF(INDEX(원본명단!$C$3:$C$6002,MATCH("R"&amp;239,정리결과!$J$6:$J$6005,0))="","",INDEX(원본명단!$C$3:$C$6002,MATCH("R"&amp;239,정리결과!$J$6:$J$6005,0))),""))</f>
        <v/>
      </c>
      <c r="D244" s="10" t="str">
        <f aca="false">IF($A244="","",IFERROR(IF(INDEX(원본명단!$D$3:$D$6002,MATCH("R"&amp;239,정리결과!$J$6:$J$6005,0))="","",INDEX(원본명단!$D$3:$D$6002,MATCH("R"&amp;239,정리결과!$J$6:$J$6005,0))),""))</f>
        <v/>
      </c>
      <c r="E244" s="10" t="str">
        <f aca="false">IF($A244="","",IFERROR(IF(INDEX(원본명단!$E$3:$E$6002,MATCH("R"&amp;239,정리결과!$J$6:$J$6005,0))="","",INDEX(원본명단!$E$3:$E$6002,MATCH("R"&amp;239,정리결과!$J$6:$J$6005,0))),""))</f>
        <v/>
      </c>
      <c r="F244" s="10" t="str">
        <f aca="false">IF($A244="","",IFERROR(IF(INDEX(원본명단!$F$3:$F$6002,MATCH("R"&amp;239,정리결과!$J$6:$J$6005,0))="","",INDEX(원본명단!$F$3:$F$6002,MATCH("R"&amp;239,정리결과!$J$6:$J$6005,0))),""))</f>
        <v/>
      </c>
      <c r="H244" s="14" t="b">
        <f aca="false">IF(중복검사!$A242="",FALSE(),중복검사!$J242="유지")</f>
        <v>0</v>
      </c>
      <c r="I244" s="5" t="str">
        <f aca="false">IF($H244=FALSE(),"",COUNTIF($H$6:$H244,TRUE()))</f>
        <v/>
      </c>
      <c r="J244" s="5" t="str">
        <f aca="false">IF($I244="","","R"&amp;$I244)</f>
        <v/>
      </c>
    </row>
    <row r="245" customFormat="false" ht="15" hidden="false" customHeight="true" outlineLevel="0" collapsed="false">
      <c r="A245" s="10" t="str">
        <f aca="false">IFERROR(IF(INDEX(원본명단!$A$3:$A$6002,MATCH("R"&amp;240,정리결과!$J$6:$J$6005,0))="","",INDEX(원본명단!$A$3:$A$6002,MATCH("R"&amp;240,정리결과!$J$6:$J$6005,0))),"")</f>
        <v/>
      </c>
      <c r="B245" s="10" t="str">
        <f aca="false">IF($A245="","",IFERROR(IF(INDEX(원본명단!$B$3:$B$6002,MATCH("R"&amp;240,정리결과!$J$6:$J$6005,0))="","",INDEX(원본명단!$B$3:$B$6002,MATCH("R"&amp;240,정리결과!$J$6:$J$6005,0))),""))</f>
        <v/>
      </c>
      <c r="C245" s="10" t="str">
        <f aca="false">IF($A245="","",IFERROR(IF(INDEX(원본명단!$C$3:$C$6002,MATCH("R"&amp;240,정리결과!$J$6:$J$6005,0))="","",INDEX(원본명단!$C$3:$C$6002,MATCH("R"&amp;240,정리결과!$J$6:$J$6005,0))),""))</f>
        <v/>
      </c>
      <c r="D245" s="10" t="str">
        <f aca="false">IF($A245="","",IFERROR(IF(INDEX(원본명단!$D$3:$D$6002,MATCH("R"&amp;240,정리결과!$J$6:$J$6005,0))="","",INDEX(원본명단!$D$3:$D$6002,MATCH("R"&amp;240,정리결과!$J$6:$J$6005,0))),""))</f>
        <v/>
      </c>
      <c r="E245" s="10" t="str">
        <f aca="false">IF($A245="","",IFERROR(IF(INDEX(원본명단!$E$3:$E$6002,MATCH("R"&amp;240,정리결과!$J$6:$J$6005,0))="","",INDEX(원본명단!$E$3:$E$6002,MATCH("R"&amp;240,정리결과!$J$6:$J$6005,0))),""))</f>
        <v/>
      </c>
      <c r="F245" s="10" t="str">
        <f aca="false">IF($A245="","",IFERROR(IF(INDEX(원본명단!$F$3:$F$6002,MATCH("R"&amp;240,정리결과!$J$6:$J$6005,0))="","",INDEX(원본명단!$F$3:$F$6002,MATCH("R"&amp;240,정리결과!$J$6:$J$6005,0))),""))</f>
        <v/>
      </c>
      <c r="H245" s="14" t="b">
        <f aca="false">IF(중복검사!$A243="",FALSE(),중복검사!$J243="유지")</f>
        <v>0</v>
      </c>
      <c r="I245" s="5" t="str">
        <f aca="false">IF($H245=FALSE(),"",COUNTIF($H$6:$H245,TRUE()))</f>
        <v/>
      </c>
      <c r="J245" s="5" t="str">
        <f aca="false">IF($I245="","","R"&amp;$I245)</f>
        <v/>
      </c>
    </row>
    <row r="246" customFormat="false" ht="15" hidden="false" customHeight="true" outlineLevel="0" collapsed="false">
      <c r="A246" s="10" t="str">
        <f aca="false">IFERROR(IF(INDEX(원본명단!$A$3:$A$6002,MATCH("R"&amp;241,정리결과!$J$6:$J$6005,0))="","",INDEX(원본명단!$A$3:$A$6002,MATCH("R"&amp;241,정리결과!$J$6:$J$6005,0))),"")</f>
        <v/>
      </c>
      <c r="B246" s="10" t="str">
        <f aca="false">IF($A246="","",IFERROR(IF(INDEX(원본명단!$B$3:$B$6002,MATCH("R"&amp;241,정리결과!$J$6:$J$6005,0))="","",INDEX(원본명단!$B$3:$B$6002,MATCH("R"&amp;241,정리결과!$J$6:$J$6005,0))),""))</f>
        <v/>
      </c>
      <c r="C246" s="10" t="str">
        <f aca="false">IF($A246="","",IFERROR(IF(INDEX(원본명단!$C$3:$C$6002,MATCH("R"&amp;241,정리결과!$J$6:$J$6005,0))="","",INDEX(원본명단!$C$3:$C$6002,MATCH("R"&amp;241,정리결과!$J$6:$J$6005,0))),""))</f>
        <v/>
      </c>
      <c r="D246" s="10" t="str">
        <f aca="false">IF($A246="","",IFERROR(IF(INDEX(원본명단!$D$3:$D$6002,MATCH("R"&amp;241,정리결과!$J$6:$J$6005,0))="","",INDEX(원본명단!$D$3:$D$6002,MATCH("R"&amp;241,정리결과!$J$6:$J$6005,0))),""))</f>
        <v/>
      </c>
      <c r="E246" s="10" t="str">
        <f aca="false">IF($A246="","",IFERROR(IF(INDEX(원본명단!$E$3:$E$6002,MATCH("R"&amp;241,정리결과!$J$6:$J$6005,0))="","",INDEX(원본명단!$E$3:$E$6002,MATCH("R"&amp;241,정리결과!$J$6:$J$6005,0))),""))</f>
        <v/>
      </c>
      <c r="F246" s="10" t="str">
        <f aca="false">IF($A246="","",IFERROR(IF(INDEX(원본명단!$F$3:$F$6002,MATCH("R"&amp;241,정리결과!$J$6:$J$6005,0))="","",INDEX(원본명단!$F$3:$F$6002,MATCH("R"&amp;241,정리결과!$J$6:$J$6005,0))),""))</f>
        <v/>
      </c>
      <c r="H246" s="14" t="b">
        <f aca="false">IF(중복검사!$A244="",FALSE(),중복검사!$J244="유지")</f>
        <v>0</v>
      </c>
      <c r="I246" s="5" t="str">
        <f aca="false">IF($H246=FALSE(),"",COUNTIF($H$6:$H246,TRUE()))</f>
        <v/>
      </c>
      <c r="J246" s="5" t="str">
        <f aca="false">IF($I246="","","R"&amp;$I246)</f>
        <v/>
      </c>
    </row>
    <row r="247" customFormat="false" ht="15" hidden="false" customHeight="true" outlineLevel="0" collapsed="false">
      <c r="A247" s="10" t="str">
        <f aca="false">IFERROR(IF(INDEX(원본명단!$A$3:$A$6002,MATCH("R"&amp;242,정리결과!$J$6:$J$6005,0))="","",INDEX(원본명단!$A$3:$A$6002,MATCH("R"&amp;242,정리결과!$J$6:$J$6005,0))),"")</f>
        <v/>
      </c>
      <c r="B247" s="10" t="str">
        <f aca="false">IF($A247="","",IFERROR(IF(INDEX(원본명단!$B$3:$B$6002,MATCH("R"&amp;242,정리결과!$J$6:$J$6005,0))="","",INDEX(원본명단!$B$3:$B$6002,MATCH("R"&amp;242,정리결과!$J$6:$J$6005,0))),""))</f>
        <v/>
      </c>
      <c r="C247" s="10" t="str">
        <f aca="false">IF($A247="","",IFERROR(IF(INDEX(원본명단!$C$3:$C$6002,MATCH("R"&amp;242,정리결과!$J$6:$J$6005,0))="","",INDEX(원본명단!$C$3:$C$6002,MATCH("R"&amp;242,정리결과!$J$6:$J$6005,0))),""))</f>
        <v/>
      </c>
      <c r="D247" s="10" t="str">
        <f aca="false">IF($A247="","",IFERROR(IF(INDEX(원본명단!$D$3:$D$6002,MATCH("R"&amp;242,정리결과!$J$6:$J$6005,0))="","",INDEX(원본명단!$D$3:$D$6002,MATCH("R"&amp;242,정리결과!$J$6:$J$6005,0))),""))</f>
        <v/>
      </c>
      <c r="E247" s="10" t="str">
        <f aca="false">IF($A247="","",IFERROR(IF(INDEX(원본명단!$E$3:$E$6002,MATCH("R"&amp;242,정리결과!$J$6:$J$6005,0))="","",INDEX(원본명단!$E$3:$E$6002,MATCH("R"&amp;242,정리결과!$J$6:$J$6005,0))),""))</f>
        <v/>
      </c>
      <c r="F247" s="10" t="str">
        <f aca="false">IF($A247="","",IFERROR(IF(INDEX(원본명단!$F$3:$F$6002,MATCH("R"&amp;242,정리결과!$J$6:$J$6005,0))="","",INDEX(원본명단!$F$3:$F$6002,MATCH("R"&amp;242,정리결과!$J$6:$J$6005,0))),""))</f>
        <v/>
      </c>
      <c r="H247" s="14" t="b">
        <f aca="false">IF(중복검사!$A245="",FALSE(),중복검사!$J245="유지")</f>
        <v>0</v>
      </c>
      <c r="I247" s="5" t="str">
        <f aca="false">IF($H247=FALSE(),"",COUNTIF($H$6:$H247,TRUE()))</f>
        <v/>
      </c>
      <c r="J247" s="5" t="str">
        <f aca="false">IF($I247="","","R"&amp;$I247)</f>
        <v/>
      </c>
    </row>
    <row r="248" customFormat="false" ht="15" hidden="false" customHeight="true" outlineLevel="0" collapsed="false">
      <c r="A248" s="10" t="str">
        <f aca="false">IFERROR(IF(INDEX(원본명단!$A$3:$A$6002,MATCH("R"&amp;243,정리결과!$J$6:$J$6005,0))="","",INDEX(원본명단!$A$3:$A$6002,MATCH("R"&amp;243,정리결과!$J$6:$J$6005,0))),"")</f>
        <v/>
      </c>
      <c r="B248" s="10" t="str">
        <f aca="false">IF($A248="","",IFERROR(IF(INDEX(원본명단!$B$3:$B$6002,MATCH("R"&amp;243,정리결과!$J$6:$J$6005,0))="","",INDEX(원본명단!$B$3:$B$6002,MATCH("R"&amp;243,정리결과!$J$6:$J$6005,0))),""))</f>
        <v/>
      </c>
      <c r="C248" s="10" t="str">
        <f aca="false">IF($A248="","",IFERROR(IF(INDEX(원본명단!$C$3:$C$6002,MATCH("R"&amp;243,정리결과!$J$6:$J$6005,0))="","",INDEX(원본명단!$C$3:$C$6002,MATCH("R"&amp;243,정리결과!$J$6:$J$6005,0))),""))</f>
        <v/>
      </c>
      <c r="D248" s="10" t="str">
        <f aca="false">IF($A248="","",IFERROR(IF(INDEX(원본명단!$D$3:$D$6002,MATCH("R"&amp;243,정리결과!$J$6:$J$6005,0))="","",INDEX(원본명단!$D$3:$D$6002,MATCH("R"&amp;243,정리결과!$J$6:$J$6005,0))),""))</f>
        <v/>
      </c>
      <c r="E248" s="10" t="str">
        <f aca="false">IF($A248="","",IFERROR(IF(INDEX(원본명단!$E$3:$E$6002,MATCH("R"&amp;243,정리결과!$J$6:$J$6005,0))="","",INDEX(원본명단!$E$3:$E$6002,MATCH("R"&amp;243,정리결과!$J$6:$J$6005,0))),""))</f>
        <v/>
      </c>
      <c r="F248" s="10" t="str">
        <f aca="false">IF($A248="","",IFERROR(IF(INDEX(원본명단!$F$3:$F$6002,MATCH("R"&amp;243,정리결과!$J$6:$J$6005,0))="","",INDEX(원본명단!$F$3:$F$6002,MATCH("R"&amp;243,정리결과!$J$6:$J$6005,0))),""))</f>
        <v/>
      </c>
      <c r="H248" s="14" t="b">
        <f aca="false">IF(중복검사!$A246="",FALSE(),중복검사!$J246="유지")</f>
        <v>0</v>
      </c>
      <c r="I248" s="5" t="str">
        <f aca="false">IF($H248=FALSE(),"",COUNTIF($H$6:$H248,TRUE()))</f>
        <v/>
      </c>
      <c r="J248" s="5" t="str">
        <f aca="false">IF($I248="","","R"&amp;$I248)</f>
        <v/>
      </c>
    </row>
    <row r="249" customFormat="false" ht="15" hidden="false" customHeight="true" outlineLevel="0" collapsed="false">
      <c r="A249" s="10" t="str">
        <f aca="false">IFERROR(IF(INDEX(원본명단!$A$3:$A$6002,MATCH("R"&amp;244,정리결과!$J$6:$J$6005,0))="","",INDEX(원본명단!$A$3:$A$6002,MATCH("R"&amp;244,정리결과!$J$6:$J$6005,0))),"")</f>
        <v/>
      </c>
      <c r="B249" s="10" t="str">
        <f aca="false">IF($A249="","",IFERROR(IF(INDEX(원본명단!$B$3:$B$6002,MATCH("R"&amp;244,정리결과!$J$6:$J$6005,0))="","",INDEX(원본명단!$B$3:$B$6002,MATCH("R"&amp;244,정리결과!$J$6:$J$6005,0))),""))</f>
        <v/>
      </c>
      <c r="C249" s="10" t="str">
        <f aca="false">IF($A249="","",IFERROR(IF(INDEX(원본명단!$C$3:$C$6002,MATCH("R"&amp;244,정리결과!$J$6:$J$6005,0))="","",INDEX(원본명단!$C$3:$C$6002,MATCH("R"&amp;244,정리결과!$J$6:$J$6005,0))),""))</f>
        <v/>
      </c>
      <c r="D249" s="10" t="str">
        <f aca="false">IF($A249="","",IFERROR(IF(INDEX(원본명단!$D$3:$D$6002,MATCH("R"&amp;244,정리결과!$J$6:$J$6005,0))="","",INDEX(원본명단!$D$3:$D$6002,MATCH("R"&amp;244,정리결과!$J$6:$J$6005,0))),""))</f>
        <v/>
      </c>
      <c r="E249" s="10" t="str">
        <f aca="false">IF($A249="","",IFERROR(IF(INDEX(원본명단!$E$3:$E$6002,MATCH("R"&amp;244,정리결과!$J$6:$J$6005,0))="","",INDEX(원본명단!$E$3:$E$6002,MATCH("R"&amp;244,정리결과!$J$6:$J$6005,0))),""))</f>
        <v/>
      </c>
      <c r="F249" s="10" t="str">
        <f aca="false">IF($A249="","",IFERROR(IF(INDEX(원본명단!$F$3:$F$6002,MATCH("R"&amp;244,정리결과!$J$6:$J$6005,0))="","",INDEX(원본명단!$F$3:$F$6002,MATCH("R"&amp;244,정리결과!$J$6:$J$6005,0))),""))</f>
        <v/>
      </c>
      <c r="H249" s="14" t="b">
        <f aca="false">IF(중복검사!$A247="",FALSE(),중복검사!$J247="유지")</f>
        <v>0</v>
      </c>
      <c r="I249" s="5" t="str">
        <f aca="false">IF($H249=FALSE(),"",COUNTIF($H$6:$H249,TRUE()))</f>
        <v/>
      </c>
      <c r="J249" s="5" t="str">
        <f aca="false">IF($I249="","","R"&amp;$I249)</f>
        <v/>
      </c>
    </row>
    <row r="250" customFormat="false" ht="15" hidden="false" customHeight="true" outlineLevel="0" collapsed="false">
      <c r="A250" s="10" t="str">
        <f aca="false">IFERROR(IF(INDEX(원본명단!$A$3:$A$6002,MATCH("R"&amp;245,정리결과!$J$6:$J$6005,0))="","",INDEX(원본명단!$A$3:$A$6002,MATCH("R"&amp;245,정리결과!$J$6:$J$6005,0))),"")</f>
        <v/>
      </c>
      <c r="B250" s="10" t="str">
        <f aca="false">IF($A250="","",IFERROR(IF(INDEX(원본명단!$B$3:$B$6002,MATCH("R"&amp;245,정리결과!$J$6:$J$6005,0))="","",INDEX(원본명단!$B$3:$B$6002,MATCH("R"&amp;245,정리결과!$J$6:$J$6005,0))),""))</f>
        <v/>
      </c>
      <c r="C250" s="10" t="str">
        <f aca="false">IF($A250="","",IFERROR(IF(INDEX(원본명단!$C$3:$C$6002,MATCH("R"&amp;245,정리결과!$J$6:$J$6005,0))="","",INDEX(원본명단!$C$3:$C$6002,MATCH("R"&amp;245,정리결과!$J$6:$J$6005,0))),""))</f>
        <v/>
      </c>
      <c r="D250" s="10" t="str">
        <f aca="false">IF($A250="","",IFERROR(IF(INDEX(원본명단!$D$3:$D$6002,MATCH("R"&amp;245,정리결과!$J$6:$J$6005,0))="","",INDEX(원본명단!$D$3:$D$6002,MATCH("R"&amp;245,정리결과!$J$6:$J$6005,0))),""))</f>
        <v/>
      </c>
      <c r="E250" s="10" t="str">
        <f aca="false">IF($A250="","",IFERROR(IF(INDEX(원본명단!$E$3:$E$6002,MATCH("R"&amp;245,정리결과!$J$6:$J$6005,0))="","",INDEX(원본명단!$E$3:$E$6002,MATCH("R"&amp;245,정리결과!$J$6:$J$6005,0))),""))</f>
        <v/>
      </c>
      <c r="F250" s="10" t="str">
        <f aca="false">IF($A250="","",IFERROR(IF(INDEX(원본명단!$F$3:$F$6002,MATCH("R"&amp;245,정리결과!$J$6:$J$6005,0))="","",INDEX(원본명단!$F$3:$F$6002,MATCH("R"&amp;245,정리결과!$J$6:$J$6005,0))),""))</f>
        <v/>
      </c>
      <c r="H250" s="14" t="b">
        <f aca="false">IF(중복검사!$A248="",FALSE(),중복검사!$J248="유지")</f>
        <v>0</v>
      </c>
      <c r="I250" s="5" t="str">
        <f aca="false">IF($H250=FALSE(),"",COUNTIF($H$6:$H250,TRUE()))</f>
        <v/>
      </c>
      <c r="J250" s="5" t="str">
        <f aca="false">IF($I250="","","R"&amp;$I250)</f>
        <v/>
      </c>
    </row>
    <row r="251" customFormat="false" ht="15" hidden="false" customHeight="true" outlineLevel="0" collapsed="false">
      <c r="A251" s="10" t="str">
        <f aca="false">IFERROR(IF(INDEX(원본명단!$A$3:$A$6002,MATCH("R"&amp;246,정리결과!$J$6:$J$6005,0))="","",INDEX(원본명단!$A$3:$A$6002,MATCH("R"&amp;246,정리결과!$J$6:$J$6005,0))),"")</f>
        <v/>
      </c>
      <c r="B251" s="10" t="str">
        <f aca="false">IF($A251="","",IFERROR(IF(INDEX(원본명단!$B$3:$B$6002,MATCH("R"&amp;246,정리결과!$J$6:$J$6005,0))="","",INDEX(원본명단!$B$3:$B$6002,MATCH("R"&amp;246,정리결과!$J$6:$J$6005,0))),""))</f>
        <v/>
      </c>
      <c r="C251" s="10" t="str">
        <f aca="false">IF($A251="","",IFERROR(IF(INDEX(원본명단!$C$3:$C$6002,MATCH("R"&amp;246,정리결과!$J$6:$J$6005,0))="","",INDEX(원본명단!$C$3:$C$6002,MATCH("R"&amp;246,정리결과!$J$6:$J$6005,0))),""))</f>
        <v/>
      </c>
      <c r="D251" s="10" t="str">
        <f aca="false">IF($A251="","",IFERROR(IF(INDEX(원본명단!$D$3:$D$6002,MATCH("R"&amp;246,정리결과!$J$6:$J$6005,0))="","",INDEX(원본명단!$D$3:$D$6002,MATCH("R"&amp;246,정리결과!$J$6:$J$6005,0))),""))</f>
        <v/>
      </c>
      <c r="E251" s="10" t="str">
        <f aca="false">IF($A251="","",IFERROR(IF(INDEX(원본명단!$E$3:$E$6002,MATCH("R"&amp;246,정리결과!$J$6:$J$6005,0))="","",INDEX(원본명단!$E$3:$E$6002,MATCH("R"&amp;246,정리결과!$J$6:$J$6005,0))),""))</f>
        <v/>
      </c>
      <c r="F251" s="10" t="str">
        <f aca="false">IF($A251="","",IFERROR(IF(INDEX(원본명단!$F$3:$F$6002,MATCH("R"&amp;246,정리결과!$J$6:$J$6005,0))="","",INDEX(원본명단!$F$3:$F$6002,MATCH("R"&amp;246,정리결과!$J$6:$J$6005,0))),""))</f>
        <v/>
      </c>
      <c r="H251" s="14" t="b">
        <f aca="false">IF(중복검사!$A249="",FALSE(),중복검사!$J249="유지")</f>
        <v>0</v>
      </c>
      <c r="I251" s="5" t="str">
        <f aca="false">IF($H251=FALSE(),"",COUNTIF($H$6:$H251,TRUE()))</f>
        <v/>
      </c>
      <c r="J251" s="5" t="str">
        <f aca="false">IF($I251="","","R"&amp;$I251)</f>
        <v/>
      </c>
    </row>
    <row r="252" customFormat="false" ht="15" hidden="false" customHeight="true" outlineLevel="0" collapsed="false">
      <c r="A252" s="10" t="str">
        <f aca="false">IFERROR(IF(INDEX(원본명단!$A$3:$A$6002,MATCH("R"&amp;247,정리결과!$J$6:$J$6005,0))="","",INDEX(원본명단!$A$3:$A$6002,MATCH("R"&amp;247,정리결과!$J$6:$J$6005,0))),"")</f>
        <v/>
      </c>
      <c r="B252" s="10" t="str">
        <f aca="false">IF($A252="","",IFERROR(IF(INDEX(원본명단!$B$3:$B$6002,MATCH("R"&amp;247,정리결과!$J$6:$J$6005,0))="","",INDEX(원본명단!$B$3:$B$6002,MATCH("R"&amp;247,정리결과!$J$6:$J$6005,0))),""))</f>
        <v/>
      </c>
      <c r="C252" s="10" t="str">
        <f aca="false">IF($A252="","",IFERROR(IF(INDEX(원본명단!$C$3:$C$6002,MATCH("R"&amp;247,정리결과!$J$6:$J$6005,0))="","",INDEX(원본명단!$C$3:$C$6002,MATCH("R"&amp;247,정리결과!$J$6:$J$6005,0))),""))</f>
        <v/>
      </c>
      <c r="D252" s="10" t="str">
        <f aca="false">IF($A252="","",IFERROR(IF(INDEX(원본명단!$D$3:$D$6002,MATCH("R"&amp;247,정리결과!$J$6:$J$6005,0))="","",INDEX(원본명단!$D$3:$D$6002,MATCH("R"&amp;247,정리결과!$J$6:$J$6005,0))),""))</f>
        <v/>
      </c>
      <c r="E252" s="10" t="str">
        <f aca="false">IF($A252="","",IFERROR(IF(INDEX(원본명단!$E$3:$E$6002,MATCH("R"&amp;247,정리결과!$J$6:$J$6005,0))="","",INDEX(원본명단!$E$3:$E$6002,MATCH("R"&amp;247,정리결과!$J$6:$J$6005,0))),""))</f>
        <v/>
      </c>
      <c r="F252" s="10" t="str">
        <f aca="false">IF($A252="","",IFERROR(IF(INDEX(원본명단!$F$3:$F$6002,MATCH("R"&amp;247,정리결과!$J$6:$J$6005,0))="","",INDEX(원본명단!$F$3:$F$6002,MATCH("R"&amp;247,정리결과!$J$6:$J$6005,0))),""))</f>
        <v/>
      </c>
      <c r="H252" s="14" t="b">
        <f aca="false">IF(중복검사!$A250="",FALSE(),중복검사!$J250="유지")</f>
        <v>0</v>
      </c>
      <c r="I252" s="5" t="str">
        <f aca="false">IF($H252=FALSE(),"",COUNTIF($H$6:$H252,TRUE()))</f>
        <v/>
      </c>
      <c r="J252" s="5" t="str">
        <f aca="false">IF($I252="","","R"&amp;$I252)</f>
        <v/>
      </c>
    </row>
    <row r="253" customFormat="false" ht="15" hidden="false" customHeight="true" outlineLevel="0" collapsed="false">
      <c r="A253" s="10" t="str">
        <f aca="false">IFERROR(IF(INDEX(원본명단!$A$3:$A$6002,MATCH("R"&amp;248,정리결과!$J$6:$J$6005,0))="","",INDEX(원본명단!$A$3:$A$6002,MATCH("R"&amp;248,정리결과!$J$6:$J$6005,0))),"")</f>
        <v/>
      </c>
      <c r="B253" s="10" t="str">
        <f aca="false">IF($A253="","",IFERROR(IF(INDEX(원본명단!$B$3:$B$6002,MATCH("R"&amp;248,정리결과!$J$6:$J$6005,0))="","",INDEX(원본명단!$B$3:$B$6002,MATCH("R"&amp;248,정리결과!$J$6:$J$6005,0))),""))</f>
        <v/>
      </c>
      <c r="C253" s="10" t="str">
        <f aca="false">IF($A253="","",IFERROR(IF(INDEX(원본명단!$C$3:$C$6002,MATCH("R"&amp;248,정리결과!$J$6:$J$6005,0))="","",INDEX(원본명단!$C$3:$C$6002,MATCH("R"&amp;248,정리결과!$J$6:$J$6005,0))),""))</f>
        <v/>
      </c>
      <c r="D253" s="10" t="str">
        <f aca="false">IF($A253="","",IFERROR(IF(INDEX(원본명단!$D$3:$D$6002,MATCH("R"&amp;248,정리결과!$J$6:$J$6005,0))="","",INDEX(원본명단!$D$3:$D$6002,MATCH("R"&amp;248,정리결과!$J$6:$J$6005,0))),""))</f>
        <v/>
      </c>
      <c r="E253" s="10" t="str">
        <f aca="false">IF($A253="","",IFERROR(IF(INDEX(원본명단!$E$3:$E$6002,MATCH("R"&amp;248,정리결과!$J$6:$J$6005,0))="","",INDEX(원본명단!$E$3:$E$6002,MATCH("R"&amp;248,정리결과!$J$6:$J$6005,0))),""))</f>
        <v/>
      </c>
      <c r="F253" s="10" t="str">
        <f aca="false">IF($A253="","",IFERROR(IF(INDEX(원본명단!$F$3:$F$6002,MATCH("R"&amp;248,정리결과!$J$6:$J$6005,0))="","",INDEX(원본명단!$F$3:$F$6002,MATCH("R"&amp;248,정리결과!$J$6:$J$6005,0))),""))</f>
        <v/>
      </c>
      <c r="H253" s="14" t="b">
        <f aca="false">IF(중복검사!$A251="",FALSE(),중복검사!$J251="유지")</f>
        <v>0</v>
      </c>
      <c r="I253" s="5" t="str">
        <f aca="false">IF($H253=FALSE(),"",COUNTIF($H$6:$H253,TRUE()))</f>
        <v/>
      </c>
      <c r="J253" s="5" t="str">
        <f aca="false">IF($I253="","","R"&amp;$I253)</f>
        <v/>
      </c>
    </row>
    <row r="254" customFormat="false" ht="15" hidden="false" customHeight="true" outlineLevel="0" collapsed="false">
      <c r="A254" s="10" t="str">
        <f aca="false">IFERROR(IF(INDEX(원본명단!$A$3:$A$6002,MATCH("R"&amp;249,정리결과!$J$6:$J$6005,0))="","",INDEX(원본명단!$A$3:$A$6002,MATCH("R"&amp;249,정리결과!$J$6:$J$6005,0))),"")</f>
        <v/>
      </c>
      <c r="B254" s="10" t="str">
        <f aca="false">IF($A254="","",IFERROR(IF(INDEX(원본명단!$B$3:$B$6002,MATCH("R"&amp;249,정리결과!$J$6:$J$6005,0))="","",INDEX(원본명단!$B$3:$B$6002,MATCH("R"&amp;249,정리결과!$J$6:$J$6005,0))),""))</f>
        <v/>
      </c>
      <c r="C254" s="10" t="str">
        <f aca="false">IF($A254="","",IFERROR(IF(INDEX(원본명단!$C$3:$C$6002,MATCH("R"&amp;249,정리결과!$J$6:$J$6005,0))="","",INDEX(원본명단!$C$3:$C$6002,MATCH("R"&amp;249,정리결과!$J$6:$J$6005,0))),""))</f>
        <v/>
      </c>
      <c r="D254" s="10" t="str">
        <f aca="false">IF($A254="","",IFERROR(IF(INDEX(원본명단!$D$3:$D$6002,MATCH("R"&amp;249,정리결과!$J$6:$J$6005,0))="","",INDEX(원본명단!$D$3:$D$6002,MATCH("R"&amp;249,정리결과!$J$6:$J$6005,0))),""))</f>
        <v/>
      </c>
      <c r="E254" s="10" t="str">
        <f aca="false">IF($A254="","",IFERROR(IF(INDEX(원본명단!$E$3:$E$6002,MATCH("R"&amp;249,정리결과!$J$6:$J$6005,0))="","",INDEX(원본명단!$E$3:$E$6002,MATCH("R"&amp;249,정리결과!$J$6:$J$6005,0))),""))</f>
        <v/>
      </c>
      <c r="F254" s="10" t="str">
        <f aca="false">IF($A254="","",IFERROR(IF(INDEX(원본명단!$F$3:$F$6002,MATCH("R"&amp;249,정리결과!$J$6:$J$6005,0))="","",INDEX(원본명단!$F$3:$F$6002,MATCH("R"&amp;249,정리결과!$J$6:$J$6005,0))),""))</f>
        <v/>
      </c>
      <c r="H254" s="14" t="b">
        <f aca="false">IF(중복검사!$A252="",FALSE(),중복검사!$J252="유지")</f>
        <v>0</v>
      </c>
      <c r="I254" s="5" t="str">
        <f aca="false">IF($H254=FALSE(),"",COUNTIF($H$6:$H254,TRUE()))</f>
        <v/>
      </c>
      <c r="J254" s="5" t="str">
        <f aca="false">IF($I254="","","R"&amp;$I254)</f>
        <v/>
      </c>
    </row>
    <row r="255" customFormat="false" ht="15" hidden="false" customHeight="true" outlineLevel="0" collapsed="false">
      <c r="A255" s="10" t="str">
        <f aca="false">IFERROR(IF(INDEX(원본명단!$A$3:$A$6002,MATCH("R"&amp;250,정리결과!$J$6:$J$6005,0))="","",INDEX(원본명단!$A$3:$A$6002,MATCH("R"&amp;250,정리결과!$J$6:$J$6005,0))),"")</f>
        <v/>
      </c>
      <c r="B255" s="10" t="str">
        <f aca="false">IF($A255="","",IFERROR(IF(INDEX(원본명단!$B$3:$B$6002,MATCH("R"&amp;250,정리결과!$J$6:$J$6005,0))="","",INDEX(원본명단!$B$3:$B$6002,MATCH("R"&amp;250,정리결과!$J$6:$J$6005,0))),""))</f>
        <v/>
      </c>
      <c r="C255" s="10" t="str">
        <f aca="false">IF($A255="","",IFERROR(IF(INDEX(원본명단!$C$3:$C$6002,MATCH("R"&amp;250,정리결과!$J$6:$J$6005,0))="","",INDEX(원본명단!$C$3:$C$6002,MATCH("R"&amp;250,정리결과!$J$6:$J$6005,0))),""))</f>
        <v/>
      </c>
      <c r="D255" s="10" t="str">
        <f aca="false">IF($A255="","",IFERROR(IF(INDEX(원본명단!$D$3:$D$6002,MATCH("R"&amp;250,정리결과!$J$6:$J$6005,0))="","",INDEX(원본명단!$D$3:$D$6002,MATCH("R"&amp;250,정리결과!$J$6:$J$6005,0))),""))</f>
        <v/>
      </c>
      <c r="E255" s="10" t="str">
        <f aca="false">IF($A255="","",IFERROR(IF(INDEX(원본명단!$E$3:$E$6002,MATCH("R"&amp;250,정리결과!$J$6:$J$6005,0))="","",INDEX(원본명단!$E$3:$E$6002,MATCH("R"&amp;250,정리결과!$J$6:$J$6005,0))),""))</f>
        <v/>
      </c>
      <c r="F255" s="10" t="str">
        <f aca="false">IF($A255="","",IFERROR(IF(INDEX(원본명단!$F$3:$F$6002,MATCH("R"&amp;250,정리결과!$J$6:$J$6005,0))="","",INDEX(원본명단!$F$3:$F$6002,MATCH("R"&amp;250,정리결과!$J$6:$J$6005,0))),""))</f>
        <v/>
      </c>
      <c r="H255" s="14" t="b">
        <f aca="false">IF(중복검사!$A253="",FALSE(),중복검사!$J253="유지")</f>
        <v>0</v>
      </c>
      <c r="I255" s="5" t="str">
        <f aca="false">IF($H255=FALSE(),"",COUNTIF($H$6:$H255,TRUE()))</f>
        <v/>
      </c>
      <c r="J255" s="5" t="str">
        <f aca="false">IF($I255="","","R"&amp;$I255)</f>
        <v/>
      </c>
    </row>
    <row r="256" customFormat="false" ht="15" hidden="false" customHeight="true" outlineLevel="0" collapsed="false">
      <c r="A256" s="10" t="str">
        <f aca="false">IFERROR(IF(INDEX(원본명단!$A$3:$A$6002,MATCH("R"&amp;251,정리결과!$J$6:$J$6005,0))="","",INDEX(원본명단!$A$3:$A$6002,MATCH("R"&amp;251,정리결과!$J$6:$J$6005,0))),"")</f>
        <v/>
      </c>
      <c r="B256" s="10" t="str">
        <f aca="false">IF($A256="","",IFERROR(IF(INDEX(원본명단!$B$3:$B$6002,MATCH("R"&amp;251,정리결과!$J$6:$J$6005,0))="","",INDEX(원본명단!$B$3:$B$6002,MATCH("R"&amp;251,정리결과!$J$6:$J$6005,0))),""))</f>
        <v/>
      </c>
      <c r="C256" s="10" t="str">
        <f aca="false">IF($A256="","",IFERROR(IF(INDEX(원본명단!$C$3:$C$6002,MATCH("R"&amp;251,정리결과!$J$6:$J$6005,0))="","",INDEX(원본명단!$C$3:$C$6002,MATCH("R"&amp;251,정리결과!$J$6:$J$6005,0))),""))</f>
        <v/>
      </c>
      <c r="D256" s="10" t="str">
        <f aca="false">IF($A256="","",IFERROR(IF(INDEX(원본명단!$D$3:$D$6002,MATCH("R"&amp;251,정리결과!$J$6:$J$6005,0))="","",INDEX(원본명단!$D$3:$D$6002,MATCH("R"&amp;251,정리결과!$J$6:$J$6005,0))),""))</f>
        <v/>
      </c>
      <c r="E256" s="10" t="str">
        <f aca="false">IF($A256="","",IFERROR(IF(INDEX(원본명단!$E$3:$E$6002,MATCH("R"&amp;251,정리결과!$J$6:$J$6005,0))="","",INDEX(원본명단!$E$3:$E$6002,MATCH("R"&amp;251,정리결과!$J$6:$J$6005,0))),""))</f>
        <v/>
      </c>
      <c r="F256" s="10" t="str">
        <f aca="false">IF($A256="","",IFERROR(IF(INDEX(원본명단!$F$3:$F$6002,MATCH("R"&amp;251,정리결과!$J$6:$J$6005,0))="","",INDEX(원본명단!$F$3:$F$6002,MATCH("R"&amp;251,정리결과!$J$6:$J$6005,0))),""))</f>
        <v/>
      </c>
      <c r="H256" s="14" t="b">
        <f aca="false">IF(중복검사!$A254="",FALSE(),중복검사!$J254="유지")</f>
        <v>0</v>
      </c>
      <c r="I256" s="5" t="str">
        <f aca="false">IF($H256=FALSE(),"",COUNTIF($H$6:$H256,TRUE()))</f>
        <v/>
      </c>
      <c r="J256" s="5" t="str">
        <f aca="false">IF($I256="","","R"&amp;$I256)</f>
        <v/>
      </c>
    </row>
    <row r="257" customFormat="false" ht="15" hidden="false" customHeight="true" outlineLevel="0" collapsed="false">
      <c r="A257" s="10" t="str">
        <f aca="false">IFERROR(IF(INDEX(원본명단!$A$3:$A$6002,MATCH("R"&amp;252,정리결과!$J$6:$J$6005,0))="","",INDEX(원본명단!$A$3:$A$6002,MATCH("R"&amp;252,정리결과!$J$6:$J$6005,0))),"")</f>
        <v/>
      </c>
      <c r="B257" s="10" t="str">
        <f aca="false">IF($A257="","",IFERROR(IF(INDEX(원본명단!$B$3:$B$6002,MATCH("R"&amp;252,정리결과!$J$6:$J$6005,0))="","",INDEX(원본명단!$B$3:$B$6002,MATCH("R"&amp;252,정리결과!$J$6:$J$6005,0))),""))</f>
        <v/>
      </c>
      <c r="C257" s="10" t="str">
        <f aca="false">IF($A257="","",IFERROR(IF(INDEX(원본명단!$C$3:$C$6002,MATCH("R"&amp;252,정리결과!$J$6:$J$6005,0))="","",INDEX(원본명단!$C$3:$C$6002,MATCH("R"&amp;252,정리결과!$J$6:$J$6005,0))),""))</f>
        <v/>
      </c>
      <c r="D257" s="10" t="str">
        <f aca="false">IF($A257="","",IFERROR(IF(INDEX(원본명단!$D$3:$D$6002,MATCH("R"&amp;252,정리결과!$J$6:$J$6005,0))="","",INDEX(원본명단!$D$3:$D$6002,MATCH("R"&amp;252,정리결과!$J$6:$J$6005,0))),""))</f>
        <v/>
      </c>
      <c r="E257" s="10" t="str">
        <f aca="false">IF($A257="","",IFERROR(IF(INDEX(원본명단!$E$3:$E$6002,MATCH("R"&amp;252,정리결과!$J$6:$J$6005,0))="","",INDEX(원본명단!$E$3:$E$6002,MATCH("R"&amp;252,정리결과!$J$6:$J$6005,0))),""))</f>
        <v/>
      </c>
      <c r="F257" s="10" t="str">
        <f aca="false">IF($A257="","",IFERROR(IF(INDEX(원본명단!$F$3:$F$6002,MATCH("R"&amp;252,정리결과!$J$6:$J$6005,0))="","",INDEX(원본명단!$F$3:$F$6002,MATCH("R"&amp;252,정리결과!$J$6:$J$6005,0))),""))</f>
        <v/>
      </c>
      <c r="H257" s="14" t="b">
        <f aca="false">IF(중복검사!$A255="",FALSE(),중복검사!$J255="유지")</f>
        <v>0</v>
      </c>
      <c r="I257" s="5" t="str">
        <f aca="false">IF($H257=FALSE(),"",COUNTIF($H$6:$H257,TRUE()))</f>
        <v/>
      </c>
      <c r="J257" s="5" t="str">
        <f aca="false">IF($I257="","","R"&amp;$I257)</f>
        <v/>
      </c>
    </row>
    <row r="258" customFormat="false" ht="15" hidden="false" customHeight="true" outlineLevel="0" collapsed="false">
      <c r="A258" s="10" t="str">
        <f aca="false">IFERROR(IF(INDEX(원본명단!$A$3:$A$6002,MATCH("R"&amp;253,정리결과!$J$6:$J$6005,0))="","",INDEX(원본명단!$A$3:$A$6002,MATCH("R"&amp;253,정리결과!$J$6:$J$6005,0))),"")</f>
        <v/>
      </c>
      <c r="B258" s="10" t="str">
        <f aca="false">IF($A258="","",IFERROR(IF(INDEX(원본명단!$B$3:$B$6002,MATCH("R"&amp;253,정리결과!$J$6:$J$6005,0))="","",INDEX(원본명단!$B$3:$B$6002,MATCH("R"&amp;253,정리결과!$J$6:$J$6005,0))),""))</f>
        <v/>
      </c>
      <c r="C258" s="10" t="str">
        <f aca="false">IF($A258="","",IFERROR(IF(INDEX(원본명단!$C$3:$C$6002,MATCH("R"&amp;253,정리결과!$J$6:$J$6005,0))="","",INDEX(원본명단!$C$3:$C$6002,MATCH("R"&amp;253,정리결과!$J$6:$J$6005,0))),""))</f>
        <v/>
      </c>
      <c r="D258" s="10" t="str">
        <f aca="false">IF($A258="","",IFERROR(IF(INDEX(원본명단!$D$3:$D$6002,MATCH("R"&amp;253,정리결과!$J$6:$J$6005,0))="","",INDEX(원본명단!$D$3:$D$6002,MATCH("R"&amp;253,정리결과!$J$6:$J$6005,0))),""))</f>
        <v/>
      </c>
      <c r="E258" s="10" t="str">
        <f aca="false">IF($A258="","",IFERROR(IF(INDEX(원본명단!$E$3:$E$6002,MATCH("R"&amp;253,정리결과!$J$6:$J$6005,0))="","",INDEX(원본명단!$E$3:$E$6002,MATCH("R"&amp;253,정리결과!$J$6:$J$6005,0))),""))</f>
        <v/>
      </c>
      <c r="F258" s="10" t="str">
        <f aca="false">IF($A258="","",IFERROR(IF(INDEX(원본명단!$F$3:$F$6002,MATCH("R"&amp;253,정리결과!$J$6:$J$6005,0))="","",INDEX(원본명단!$F$3:$F$6002,MATCH("R"&amp;253,정리결과!$J$6:$J$6005,0))),""))</f>
        <v/>
      </c>
      <c r="H258" s="14" t="b">
        <f aca="false">IF(중복검사!$A256="",FALSE(),중복검사!$J256="유지")</f>
        <v>0</v>
      </c>
      <c r="I258" s="5" t="str">
        <f aca="false">IF($H258=FALSE(),"",COUNTIF($H$6:$H258,TRUE()))</f>
        <v/>
      </c>
      <c r="J258" s="5" t="str">
        <f aca="false">IF($I258="","","R"&amp;$I258)</f>
        <v/>
      </c>
    </row>
    <row r="259" customFormat="false" ht="15" hidden="false" customHeight="true" outlineLevel="0" collapsed="false">
      <c r="A259" s="10" t="str">
        <f aca="false">IFERROR(IF(INDEX(원본명단!$A$3:$A$6002,MATCH("R"&amp;254,정리결과!$J$6:$J$6005,0))="","",INDEX(원본명단!$A$3:$A$6002,MATCH("R"&amp;254,정리결과!$J$6:$J$6005,0))),"")</f>
        <v/>
      </c>
      <c r="B259" s="10" t="str">
        <f aca="false">IF($A259="","",IFERROR(IF(INDEX(원본명단!$B$3:$B$6002,MATCH("R"&amp;254,정리결과!$J$6:$J$6005,0))="","",INDEX(원본명단!$B$3:$B$6002,MATCH("R"&amp;254,정리결과!$J$6:$J$6005,0))),""))</f>
        <v/>
      </c>
      <c r="C259" s="10" t="str">
        <f aca="false">IF($A259="","",IFERROR(IF(INDEX(원본명단!$C$3:$C$6002,MATCH("R"&amp;254,정리결과!$J$6:$J$6005,0))="","",INDEX(원본명단!$C$3:$C$6002,MATCH("R"&amp;254,정리결과!$J$6:$J$6005,0))),""))</f>
        <v/>
      </c>
      <c r="D259" s="10" t="str">
        <f aca="false">IF($A259="","",IFERROR(IF(INDEX(원본명단!$D$3:$D$6002,MATCH("R"&amp;254,정리결과!$J$6:$J$6005,0))="","",INDEX(원본명단!$D$3:$D$6002,MATCH("R"&amp;254,정리결과!$J$6:$J$6005,0))),""))</f>
        <v/>
      </c>
      <c r="E259" s="10" t="str">
        <f aca="false">IF($A259="","",IFERROR(IF(INDEX(원본명단!$E$3:$E$6002,MATCH("R"&amp;254,정리결과!$J$6:$J$6005,0))="","",INDEX(원본명단!$E$3:$E$6002,MATCH("R"&amp;254,정리결과!$J$6:$J$6005,0))),""))</f>
        <v/>
      </c>
      <c r="F259" s="10" t="str">
        <f aca="false">IF($A259="","",IFERROR(IF(INDEX(원본명단!$F$3:$F$6002,MATCH("R"&amp;254,정리결과!$J$6:$J$6005,0))="","",INDEX(원본명단!$F$3:$F$6002,MATCH("R"&amp;254,정리결과!$J$6:$J$6005,0))),""))</f>
        <v/>
      </c>
      <c r="H259" s="14" t="b">
        <f aca="false">IF(중복검사!$A257="",FALSE(),중복검사!$J257="유지")</f>
        <v>0</v>
      </c>
      <c r="I259" s="5" t="str">
        <f aca="false">IF($H259=FALSE(),"",COUNTIF($H$6:$H259,TRUE()))</f>
        <v/>
      </c>
      <c r="J259" s="5" t="str">
        <f aca="false">IF($I259="","","R"&amp;$I259)</f>
        <v/>
      </c>
    </row>
    <row r="260" customFormat="false" ht="15" hidden="false" customHeight="true" outlineLevel="0" collapsed="false">
      <c r="A260" s="10" t="str">
        <f aca="false">IFERROR(IF(INDEX(원본명단!$A$3:$A$6002,MATCH("R"&amp;255,정리결과!$J$6:$J$6005,0))="","",INDEX(원본명단!$A$3:$A$6002,MATCH("R"&amp;255,정리결과!$J$6:$J$6005,0))),"")</f>
        <v/>
      </c>
      <c r="B260" s="10" t="str">
        <f aca="false">IF($A260="","",IFERROR(IF(INDEX(원본명단!$B$3:$B$6002,MATCH("R"&amp;255,정리결과!$J$6:$J$6005,0))="","",INDEX(원본명단!$B$3:$B$6002,MATCH("R"&amp;255,정리결과!$J$6:$J$6005,0))),""))</f>
        <v/>
      </c>
      <c r="C260" s="10" t="str">
        <f aca="false">IF($A260="","",IFERROR(IF(INDEX(원본명단!$C$3:$C$6002,MATCH("R"&amp;255,정리결과!$J$6:$J$6005,0))="","",INDEX(원본명단!$C$3:$C$6002,MATCH("R"&amp;255,정리결과!$J$6:$J$6005,0))),""))</f>
        <v/>
      </c>
      <c r="D260" s="10" t="str">
        <f aca="false">IF($A260="","",IFERROR(IF(INDEX(원본명단!$D$3:$D$6002,MATCH("R"&amp;255,정리결과!$J$6:$J$6005,0))="","",INDEX(원본명단!$D$3:$D$6002,MATCH("R"&amp;255,정리결과!$J$6:$J$6005,0))),""))</f>
        <v/>
      </c>
      <c r="E260" s="10" t="str">
        <f aca="false">IF($A260="","",IFERROR(IF(INDEX(원본명단!$E$3:$E$6002,MATCH("R"&amp;255,정리결과!$J$6:$J$6005,0))="","",INDEX(원본명단!$E$3:$E$6002,MATCH("R"&amp;255,정리결과!$J$6:$J$6005,0))),""))</f>
        <v/>
      </c>
      <c r="F260" s="10" t="str">
        <f aca="false">IF($A260="","",IFERROR(IF(INDEX(원본명단!$F$3:$F$6002,MATCH("R"&amp;255,정리결과!$J$6:$J$6005,0))="","",INDEX(원본명단!$F$3:$F$6002,MATCH("R"&amp;255,정리결과!$J$6:$J$6005,0))),""))</f>
        <v/>
      </c>
      <c r="H260" s="14" t="b">
        <f aca="false">IF(중복검사!$A258="",FALSE(),중복검사!$J258="유지")</f>
        <v>0</v>
      </c>
      <c r="I260" s="5" t="str">
        <f aca="false">IF($H260=FALSE(),"",COUNTIF($H$6:$H260,TRUE()))</f>
        <v/>
      </c>
      <c r="J260" s="5" t="str">
        <f aca="false">IF($I260="","","R"&amp;$I260)</f>
        <v/>
      </c>
    </row>
    <row r="261" customFormat="false" ht="15" hidden="false" customHeight="true" outlineLevel="0" collapsed="false">
      <c r="A261" s="10" t="str">
        <f aca="false">IFERROR(IF(INDEX(원본명단!$A$3:$A$6002,MATCH("R"&amp;256,정리결과!$J$6:$J$6005,0))="","",INDEX(원본명단!$A$3:$A$6002,MATCH("R"&amp;256,정리결과!$J$6:$J$6005,0))),"")</f>
        <v/>
      </c>
      <c r="B261" s="10" t="str">
        <f aca="false">IF($A261="","",IFERROR(IF(INDEX(원본명단!$B$3:$B$6002,MATCH("R"&amp;256,정리결과!$J$6:$J$6005,0))="","",INDEX(원본명단!$B$3:$B$6002,MATCH("R"&amp;256,정리결과!$J$6:$J$6005,0))),""))</f>
        <v/>
      </c>
      <c r="C261" s="10" t="str">
        <f aca="false">IF($A261="","",IFERROR(IF(INDEX(원본명단!$C$3:$C$6002,MATCH("R"&amp;256,정리결과!$J$6:$J$6005,0))="","",INDEX(원본명단!$C$3:$C$6002,MATCH("R"&amp;256,정리결과!$J$6:$J$6005,0))),""))</f>
        <v/>
      </c>
      <c r="D261" s="10" t="str">
        <f aca="false">IF($A261="","",IFERROR(IF(INDEX(원본명단!$D$3:$D$6002,MATCH("R"&amp;256,정리결과!$J$6:$J$6005,0))="","",INDEX(원본명단!$D$3:$D$6002,MATCH("R"&amp;256,정리결과!$J$6:$J$6005,0))),""))</f>
        <v/>
      </c>
      <c r="E261" s="10" t="str">
        <f aca="false">IF($A261="","",IFERROR(IF(INDEX(원본명단!$E$3:$E$6002,MATCH("R"&amp;256,정리결과!$J$6:$J$6005,0))="","",INDEX(원본명단!$E$3:$E$6002,MATCH("R"&amp;256,정리결과!$J$6:$J$6005,0))),""))</f>
        <v/>
      </c>
      <c r="F261" s="10" t="str">
        <f aca="false">IF($A261="","",IFERROR(IF(INDEX(원본명단!$F$3:$F$6002,MATCH("R"&amp;256,정리결과!$J$6:$J$6005,0))="","",INDEX(원본명단!$F$3:$F$6002,MATCH("R"&amp;256,정리결과!$J$6:$J$6005,0))),""))</f>
        <v/>
      </c>
      <c r="H261" s="14" t="b">
        <f aca="false">IF(중복검사!$A259="",FALSE(),중복검사!$J259="유지")</f>
        <v>0</v>
      </c>
      <c r="I261" s="5" t="str">
        <f aca="false">IF($H261=FALSE(),"",COUNTIF($H$6:$H261,TRUE()))</f>
        <v/>
      </c>
      <c r="J261" s="5" t="str">
        <f aca="false">IF($I261="","","R"&amp;$I261)</f>
        <v/>
      </c>
    </row>
    <row r="262" customFormat="false" ht="15" hidden="false" customHeight="true" outlineLevel="0" collapsed="false">
      <c r="A262" s="10" t="str">
        <f aca="false">IFERROR(IF(INDEX(원본명단!$A$3:$A$6002,MATCH("R"&amp;257,정리결과!$J$6:$J$6005,0))="","",INDEX(원본명단!$A$3:$A$6002,MATCH("R"&amp;257,정리결과!$J$6:$J$6005,0))),"")</f>
        <v/>
      </c>
      <c r="B262" s="10" t="str">
        <f aca="false">IF($A262="","",IFERROR(IF(INDEX(원본명단!$B$3:$B$6002,MATCH("R"&amp;257,정리결과!$J$6:$J$6005,0))="","",INDEX(원본명단!$B$3:$B$6002,MATCH("R"&amp;257,정리결과!$J$6:$J$6005,0))),""))</f>
        <v/>
      </c>
      <c r="C262" s="10" t="str">
        <f aca="false">IF($A262="","",IFERROR(IF(INDEX(원본명단!$C$3:$C$6002,MATCH("R"&amp;257,정리결과!$J$6:$J$6005,0))="","",INDEX(원본명단!$C$3:$C$6002,MATCH("R"&amp;257,정리결과!$J$6:$J$6005,0))),""))</f>
        <v/>
      </c>
      <c r="D262" s="10" t="str">
        <f aca="false">IF($A262="","",IFERROR(IF(INDEX(원본명단!$D$3:$D$6002,MATCH("R"&amp;257,정리결과!$J$6:$J$6005,0))="","",INDEX(원본명단!$D$3:$D$6002,MATCH("R"&amp;257,정리결과!$J$6:$J$6005,0))),""))</f>
        <v/>
      </c>
      <c r="E262" s="10" t="str">
        <f aca="false">IF($A262="","",IFERROR(IF(INDEX(원본명단!$E$3:$E$6002,MATCH("R"&amp;257,정리결과!$J$6:$J$6005,0))="","",INDEX(원본명단!$E$3:$E$6002,MATCH("R"&amp;257,정리결과!$J$6:$J$6005,0))),""))</f>
        <v/>
      </c>
      <c r="F262" s="10" t="str">
        <f aca="false">IF($A262="","",IFERROR(IF(INDEX(원본명단!$F$3:$F$6002,MATCH("R"&amp;257,정리결과!$J$6:$J$6005,0))="","",INDEX(원본명단!$F$3:$F$6002,MATCH("R"&amp;257,정리결과!$J$6:$J$6005,0))),""))</f>
        <v/>
      </c>
      <c r="H262" s="14" t="b">
        <f aca="false">IF(중복검사!$A260="",FALSE(),중복검사!$J260="유지")</f>
        <v>0</v>
      </c>
      <c r="I262" s="5" t="str">
        <f aca="false">IF($H262=FALSE(),"",COUNTIF($H$6:$H262,TRUE()))</f>
        <v/>
      </c>
      <c r="J262" s="5" t="str">
        <f aca="false">IF($I262="","","R"&amp;$I262)</f>
        <v/>
      </c>
    </row>
    <row r="263" customFormat="false" ht="15" hidden="false" customHeight="true" outlineLevel="0" collapsed="false">
      <c r="A263" s="10" t="str">
        <f aca="false">IFERROR(IF(INDEX(원본명단!$A$3:$A$6002,MATCH("R"&amp;258,정리결과!$J$6:$J$6005,0))="","",INDEX(원본명단!$A$3:$A$6002,MATCH("R"&amp;258,정리결과!$J$6:$J$6005,0))),"")</f>
        <v/>
      </c>
      <c r="B263" s="10" t="str">
        <f aca="false">IF($A263="","",IFERROR(IF(INDEX(원본명단!$B$3:$B$6002,MATCH("R"&amp;258,정리결과!$J$6:$J$6005,0))="","",INDEX(원본명단!$B$3:$B$6002,MATCH("R"&amp;258,정리결과!$J$6:$J$6005,0))),""))</f>
        <v/>
      </c>
      <c r="C263" s="10" t="str">
        <f aca="false">IF($A263="","",IFERROR(IF(INDEX(원본명단!$C$3:$C$6002,MATCH("R"&amp;258,정리결과!$J$6:$J$6005,0))="","",INDEX(원본명단!$C$3:$C$6002,MATCH("R"&amp;258,정리결과!$J$6:$J$6005,0))),""))</f>
        <v/>
      </c>
      <c r="D263" s="10" t="str">
        <f aca="false">IF($A263="","",IFERROR(IF(INDEX(원본명단!$D$3:$D$6002,MATCH("R"&amp;258,정리결과!$J$6:$J$6005,0))="","",INDEX(원본명단!$D$3:$D$6002,MATCH("R"&amp;258,정리결과!$J$6:$J$6005,0))),""))</f>
        <v/>
      </c>
      <c r="E263" s="10" t="str">
        <f aca="false">IF($A263="","",IFERROR(IF(INDEX(원본명단!$E$3:$E$6002,MATCH("R"&amp;258,정리결과!$J$6:$J$6005,0))="","",INDEX(원본명단!$E$3:$E$6002,MATCH("R"&amp;258,정리결과!$J$6:$J$6005,0))),""))</f>
        <v/>
      </c>
      <c r="F263" s="10" t="str">
        <f aca="false">IF($A263="","",IFERROR(IF(INDEX(원본명단!$F$3:$F$6002,MATCH("R"&amp;258,정리결과!$J$6:$J$6005,0))="","",INDEX(원본명단!$F$3:$F$6002,MATCH("R"&amp;258,정리결과!$J$6:$J$6005,0))),""))</f>
        <v/>
      </c>
      <c r="H263" s="14" t="b">
        <f aca="false">IF(중복검사!$A261="",FALSE(),중복검사!$J261="유지")</f>
        <v>0</v>
      </c>
      <c r="I263" s="5" t="str">
        <f aca="false">IF($H263=FALSE(),"",COUNTIF($H$6:$H263,TRUE()))</f>
        <v/>
      </c>
      <c r="J263" s="5" t="str">
        <f aca="false">IF($I263="","","R"&amp;$I263)</f>
        <v/>
      </c>
    </row>
    <row r="264" customFormat="false" ht="15" hidden="false" customHeight="true" outlineLevel="0" collapsed="false">
      <c r="A264" s="10" t="str">
        <f aca="false">IFERROR(IF(INDEX(원본명단!$A$3:$A$6002,MATCH("R"&amp;259,정리결과!$J$6:$J$6005,0))="","",INDEX(원본명단!$A$3:$A$6002,MATCH("R"&amp;259,정리결과!$J$6:$J$6005,0))),"")</f>
        <v/>
      </c>
      <c r="B264" s="10" t="str">
        <f aca="false">IF($A264="","",IFERROR(IF(INDEX(원본명단!$B$3:$B$6002,MATCH("R"&amp;259,정리결과!$J$6:$J$6005,0))="","",INDEX(원본명단!$B$3:$B$6002,MATCH("R"&amp;259,정리결과!$J$6:$J$6005,0))),""))</f>
        <v/>
      </c>
      <c r="C264" s="10" t="str">
        <f aca="false">IF($A264="","",IFERROR(IF(INDEX(원본명단!$C$3:$C$6002,MATCH("R"&amp;259,정리결과!$J$6:$J$6005,0))="","",INDEX(원본명단!$C$3:$C$6002,MATCH("R"&amp;259,정리결과!$J$6:$J$6005,0))),""))</f>
        <v/>
      </c>
      <c r="D264" s="10" t="str">
        <f aca="false">IF($A264="","",IFERROR(IF(INDEX(원본명단!$D$3:$D$6002,MATCH("R"&amp;259,정리결과!$J$6:$J$6005,0))="","",INDEX(원본명단!$D$3:$D$6002,MATCH("R"&amp;259,정리결과!$J$6:$J$6005,0))),""))</f>
        <v/>
      </c>
      <c r="E264" s="10" t="str">
        <f aca="false">IF($A264="","",IFERROR(IF(INDEX(원본명단!$E$3:$E$6002,MATCH("R"&amp;259,정리결과!$J$6:$J$6005,0))="","",INDEX(원본명단!$E$3:$E$6002,MATCH("R"&amp;259,정리결과!$J$6:$J$6005,0))),""))</f>
        <v/>
      </c>
      <c r="F264" s="10" t="str">
        <f aca="false">IF($A264="","",IFERROR(IF(INDEX(원본명단!$F$3:$F$6002,MATCH("R"&amp;259,정리결과!$J$6:$J$6005,0))="","",INDEX(원본명단!$F$3:$F$6002,MATCH("R"&amp;259,정리결과!$J$6:$J$6005,0))),""))</f>
        <v/>
      </c>
      <c r="H264" s="14" t="b">
        <f aca="false">IF(중복검사!$A262="",FALSE(),중복검사!$J262="유지")</f>
        <v>0</v>
      </c>
      <c r="I264" s="5" t="str">
        <f aca="false">IF($H264=FALSE(),"",COUNTIF($H$6:$H264,TRUE()))</f>
        <v/>
      </c>
      <c r="J264" s="5" t="str">
        <f aca="false">IF($I264="","","R"&amp;$I264)</f>
        <v/>
      </c>
    </row>
    <row r="265" customFormat="false" ht="15" hidden="false" customHeight="true" outlineLevel="0" collapsed="false">
      <c r="A265" s="10" t="str">
        <f aca="false">IFERROR(IF(INDEX(원본명단!$A$3:$A$6002,MATCH("R"&amp;260,정리결과!$J$6:$J$6005,0))="","",INDEX(원본명단!$A$3:$A$6002,MATCH("R"&amp;260,정리결과!$J$6:$J$6005,0))),"")</f>
        <v/>
      </c>
      <c r="B265" s="10" t="str">
        <f aca="false">IF($A265="","",IFERROR(IF(INDEX(원본명단!$B$3:$B$6002,MATCH("R"&amp;260,정리결과!$J$6:$J$6005,0))="","",INDEX(원본명단!$B$3:$B$6002,MATCH("R"&amp;260,정리결과!$J$6:$J$6005,0))),""))</f>
        <v/>
      </c>
      <c r="C265" s="10" t="str">
        <f aca="false">IF($A265="","",IFERROR(IF(INDEX(원본명단!$C$3:$C$6002,MATCH("R"&amp;260,정리결과!$J$6:$J$6005,0))="","",INDEX(원본명단!$C$3:$C$6002,MATCH("R"&amp;260,정리결과!$J$6:$J$6005,0))),""))</f>
        <v/>
      </c>
      <c r="D265" s="10" t="str">
        <f aca="false">IF($A265="","",IFERROR(IF(INDEX(원본명단!$D$3:$D$6002,MATCH("R"&amp;260,정리결과!$J$6:$J$6005,0))="","",INDEX(원본명단!$D$3:$D$6002,MATCH("R"&amp;260,정리결과!$J$6:$J$6005,0))),""))</f>
        <v/>
      </c>
      <c r="E265" s="10" t="str">
        <f aca="false">IF($A265="","",IFERROR(IF(INDEX(원본명단!$E$3:$E$6002,MATCH("R"&amp;260,정리결과!$J$6:$J$6005,0))="","",INDEX(원본명단!$E$3:$E$6002,MATCH("R"&amp;260,정리결과!$J$6:$J$6005,0))),""))</f>
        <v/>
      </c>
      <c r="F265" s="10" t="str">
        <f aca="false">IF($A265="","",IFERROR(IF(INDEX(원본명단!$F$3:$F$6002,MATCH("R"&amp;260,정리결과!$J$6:$J$6005,0))="","",INDEX(원본명단!$F$3:$F$6002,MATCH("R"&amp;260,정리결과!$J$6:$J$6005,0))),""))</f>
        <v/>
      </c>
      <c r="H265" s="14" t="b">
        <f aca="false">IF(중복검사!$A263="",FALSE(),중복검사!$J263="유지")</f>
        <v>0</v>
      </c>
      <c r="I265" s="5" t="str">
        <f aca="false">IF($H265=FALSE(),"",COUNTIF($H$6:$H265,TRUE()))</f>
        <v/>
      </c>
      <c r="J265" s="5" t="str">
        <f aca="false">IF($I265="","","R"&amp;$I265)</f>
        <v/>
      </c>
    </row>
    <row r="266" customFormat="false" ht="15" hidden="false" customHeight="true" outlineLevel="0" collapsed="false">
      <c r="A266" s="10" t="str">
        <f aca="false">IFERROR(IF(INDEX(원본명단!$A$3:$A$6002,MATCH("R"&amp;261,정리결과!$J$6:$J$6005,0))="","",INDEX(원본명단!$A$3:$A$6002,MATCH("R"&amp;261,정리결과!$J$6:$J$6005,0))),"")</f>
        <v/>
      </c>
      <c r="B266" s="10" t="str">
        <f aca="false">IF($A266="","",IFERROR(IF(INDEX(원본명단!$B$3:$B$6002,MATCH("R"&amp;261,정리결과!$J$6:$J$6005,0))="","",INDEX(원본명단!$B$3:$B$6002,MATCH("R"&amp;261,정리결과!$J$6:$J$6005,0))),""))</f>
        <v/>
      </c>
      <c r="C266" s="10" t="str">
        <f aca="false">IF($A266="","",IFERROR(IF(INDEX(원본명단!$C$3:$C$6002,MATCH("R"&amp;261,정리결과!$J$6:$J$6005,0))="","",INDEX(원본명단!$C$3:$C$6002,MATCH("R"&amp;261,정리결과!$J$6:$J$6005,0))),""))</f>
        <v/>
      </c>
      <c r="D266" s="10" t="str">
        <f aca="false">IF($A266="","",IFERROR(IF(INDEX(원본명단!$D$3:$D$6002,MATCH("R"&amp;261,정리결과!$J$6:$J$6005,0))="","",INDEX(원본명단!$D$3:$D$6002,MATCH("R"&amp;261,정리결과!$J$6:$J$6005,0))),""))</f>
        <v/>
      </c>
      <c r="E266" s="10" t="str">
        <f aca="false">IF($A266="","",IFERROR(IF(INDEX(원본명단!$E$3:$E$6002,MATCH("R"&amp;261,정리결과!$J$6:$J$6005,0))="","",INDEX(원본명단!$E$3:$E$6002,MATCH("R"&amp;261,정리결과!$J$6:$J$6005,0))),""))</f>
        <v/>
      </c>
      <c r="F266" s="10" t="str">
        <f aca="false">IF($A266="","",IFERROR(IF(INDEX(원본명단!$F$3:$F$6002,MATCH("R"&amp;261,정리결과!$J$6:$J$6005,0))="","",INDEX(원본명단!$F$3:$F$6002,MATCH("R"&amp;261,정리결과!$J$6:$J$6005,0))),""))</f>
        <v/>
      </c>
      <c r="H266" s="14" t="b">
        <f aca="false">IF(중복검사!$A264="",FALSE(),중복검사!$J264="유지")</f>
        <v>0</v>
      </c>
      <c r="I266" s="5" t="str">
        <f aca="false">IF($H266=FALSE(),"",COUNTIF($H$6:$H266,TRUE()))</f>
        <v/>
      </c>
      <c r="J266" s="5" t="str">
        <f aca="false">IF($I266="","","R"&amp;$I266)</f>
        <v/>
      </c>
    </row>
    <row r="267" customFormat="false" ht="15" hidden="false" customHeight="true" outlineLevel="0" collapsed="false">
      <c r="A267" s="10" t="str">
        <f aca="false">IFERROR(IF(INDEX(원본명단!$A$3:$A$6002,MATCH("R"&amp;262,정리결과!$J$6:$J$6005,0))="","",INDEX(원본명단!$A$3:$A$6002,MATCH("R"&amp;262,정리결과!$J$6:$J$6005,0))),"")</f>
        <v/>
      </c>
      <c r="B267" s="10" t="str">
        <f aca="false">IF($A267="","",IFERROR(IF(INDEX(원본명단!$B$3:$B$6002,MATCH("R"&amp;262,정리결과!$J$6:$J$6005,0))="","",INDEX(원본명단!$B$3:$B$6002,MATCH("R"&amp;262,정리결과!$J$6:$J$6005,0))),""))</f>
        <v/>
      </c>
      <c r="C267" s="10" t="str">
        <f aca="false">IF($A267="","",IFERROR(IF(INDEX(원본명단!$C$3:$C$6002,MATCH("R"&amp;262,정리결과!$J$6:$J$6005,0))="","",INDEX(원본명단!$C$3:$C$6002,MATCH("R"&amp;262,정리결과!$J$6:$J$6005,0))),""))</f>
        <v/>
      </c>
      <c r="D267" s="10" t="str">
        <f aca="false">IF($A267="","",IFERROR(IF(INDEX(원본명단!$D$3:$D$6002,MATCH("R"&amp;262,정리결과!$J$6:$J$6005,0))="","",INDEX(원본명단!$D$3:$D$6002,MATCH("R"&amp;262,정리결과!$J$6:$J$6005,0))),""))</f>
        <v/>
      </c>
      <c r="E267" s="10" t="str">
        <f aca="false">IF($A267="","",IFERROR(IF(INDEX(원본명단!$E$3:$E$6002,MATCH("R"&amp;262,정리결과!$J$6:$J$6005,0))="","",INDEX(원본명단!$E$3:$E$6002,MATCH("R"&amp;262,정리결과!$J$6:$J$6005,0))),""))</f>
        <v/>
      </c>
      <c r="F267" s="10" t="str">
        <f aca="false">IF($A267="","",IFERROR(IF(INDEX(원본명단!$F$3:$F$6002,MATCH("R"&amp;262,정리결과!$J$6:$J$6005,0))="","",INDEX(원본명단!$F$3:$F$6002,MATCH("R"&amp;262,정리결과!$J$6:$J$6005,0))),""))</f>
        <v/>
      </c>
      <c r="H267" s="14" t="b">
        <f aca="false">IF(중복검사!$A265="",FALSE(),중복검사!$J265="유지")</f>
        <v>0</v>
      </c>
      <c r="I267" s="5" t="str">
        <f aca="false">IF($H267=FALSE(),"",COUNTIF($H$6:$H267,TRUE()))</f>
        <v/>
      </c>
      <c r="J267" s="5" t="str">
        <f aca="false">IF($I267="","","R"&amp;$I267)</f>
        <v/>
      </c>
    </row>
    <row r="268" customFormat="false" ht="15" hidden="false" customHeight="true" outlineLevel="0" collapsed="false">
      <c r="A268" s="10" t="str">
        <f aca="false">IFERROR(IF(INDEX(원본명단!$A$3:$A$6002,MATCH("R"&amp;263,정리결과!$J$6:$J$6005,0))="","",INDEX(원본명단!$A$3:$A$6002,MATCH("R"&amp;263,정리결과!$J$6:$J$6005,0))),"")</f>
        <v/>
      </c>
      <c r="B268" s="10" t="str">
        <f aca="false">IF($A268="","",IFERROR(IF(INDEX(원본명단!$B$3:$B$6002,MATCH("R"&amp;263,정리결과!$J$6:$J$6005,0))="","",INDEX(원본명단!$B$3:$B$6002,MATCH("R"&amp;263,정리결과!$J$6:$J$6005,0))),""))</f>
        <v/>
      </c>
      <c r="C268" s="10" t="str">
        <f aca="false">IF($A268="","",IFERROR(IF(INDEX(원본명단!$C$3:$C$6002,MATCH("R"&amp;263,정리결과!$J$6:$J$6005,0))="","",INDEX(원본명단!$C$3:$C$6002,MATCH("R"&amp;263,정리결과!$J$6:$J$6005,0))),""))</f>
        <v/>
      </c>
      <c r="D268" s="10" t="str">
        <f aca="false">IF($A268="","",IFERROR(IF(INDEX(원본명단!$D$3:$D$6002,MATCH("R"&amp;263,정리결과!$J$6:$J$6005,0))="","",INDEX(원본명단!$D$3:$D$6002,MATCH("R"&amp;263,정리결과!$J$6:$J$6005,0))),""))</f>
        <v/>
      </c>
      <c r="E268" s="10" t="str">
        <f aca="false">IF($A268="","",IFERROR(IF(INDEX(원본명단!$E$3:$E$6002,MATCH("R"&amp;263,정리결과!$J$6:$J$6005,0))="","",INDEX(원본명단!$E$3:$E$6002,MATCH("R"&amp;263,정리결과!$J$6:$J$6005,0))),""))</f>
        <v/>
      </c>
      <c r="F268" s="10" t="str">
        <f aca="false">IF($A268="","",IFERROR(IF(INDEX(원본명단!$F$3:$F$6002,MATCH("R"&amp;263,정리결과!$J$6:$J$6005,0))="","",INDEX(원본명단!$F$3:$F$6002,MATCH("R"&amp;263,정리결과!$J$6:$J$6005,0))),""))</f>
        <v/>
      </c>
      <c r="H268" s="14" t="b">
        <f aca="false">IF(중복검사!$A266="",FALSE(),중복검사!$J266="유지")</f>
        <v>0</v>
      </c>
      <c r="I268" s="5" t="str">
        <f aca="false">IF($H268=FALSE(),"",COUNTIF($H$6:$H268,TRUE()))</f>
        <v/>
      </c>
      <c r="J268" s="5" t="str">
        <f aca="false">IF($I268="","","R"&amp;$I268)</f>
        <v/>
      </c>
    </row>
    <row r="269" customFormat="false" ht="15" hidden="false" customHeight="true" outlineLevel="0" collapsed="false">
      <c r="A269" s="10" t="str">
        <f aca="false">IFERROR(IF(INDEX(원본명단!$A$3:$A$6002,MATCH("R"&amp;264,정리결과!$J$6:$J$6005,0))="","",INDEX(원본명단!$A$3:$A$6002,MATCH("R"&amp;264,정리결과!$J$6:$J$6005,0))),"")</f>
        <v/>
      </c>
      <c r="B269" s="10" t="str">
        <f aca="false">IF($A269="","",IFERROR(IF(INDEX(원본명단!$B$3:$B$6002,MATCH("R"&amp;264,정리결과!$J$6:$J$6005,0))="","",INDEX(원본명단!$B$3:$B$6002,MATCH("R"&amp;264,정리결과!$J$6:$J$6005,0))),""))</f>
        <v/>
      </c>
      <c r="C269" s="10" t="str">
        <f aca="false">IF($A269="","",IFERROR(IF(INDEX(원본명단!$C$3:$C$6002,MATCH("R"&amp;264,정리결과!$J$6:$J$6005,0))="","",INDEX(원본명단!$C$3:$C$6002,MATCH("R"&amp;264,정리결과!$J$6:$J$6005,0))),""))</f>
        <v/>
      </c>
      <c r="D269" s="10" t="str">
        <f aca="false">IF($A269="","",IFERROR(IF(INDEX(원본명단!$D$3:$D$6002,MATCH("R"&amp;264,정리결과!$J$6:$J$6005,0))="","",INDEX(원본명단!$D$3:$D$6002,MATCH("R"&amp;264,정리결과!$J$6:$J$6005,0))),""))</f>
        <v/>
      </c>
      <c r="E269" s="10" t="str">
        <f aca="false">IF($A269="","",IFERROR(IF(INDEX(원본명단!$E$3:$E$6002,MATCH("R"&amp;264,정리결과!$J$6:$J$6005,0))="","",INDEX(원본명단!$E$3:$E$6002,MATCH("R"&amp;264,정리결과!$J$6:$J$6005,0))),""))</f>
        <v/>
      </c>
      <c r="F269" s="10" t="str">
        <f aca="false">IF($A269="","",IFERROR(IF(INDEX(원본명단!$F$3:$F$6002,MATCH("R"&amp;264,정리결과!$J$6:$J$6005,0))="","",INDEX(원본명단!$F$3:$F$6002,MATCH("R"&amp;264,정리결과!$J$6:$J$6005,0))),""))</f>
        <v/>
      </c>
      <c r="H269" s="14" t="b">
        <f aca="false">IF(중복검사!$A267="",FALSE(),중복검사!$J267="유지")</f>
        <v>0</v>
      </c>
      <c r="I269" s="5" t="str">
        <f aca="false">IF($H269=FALSE(),"",COUNTIF($H$6:$H269,TRUE()))</f>
        <v/>
      </c>
      <c r="J269" s="5" t="str">
        <f aca="false">IF($I269="","","R"&amp;$I269)</f>
        <v/>
      </c>
    </row>
    <row r="270" customFormat="false" ht="15" hidden="false" customHeight="true" outlineLevel="0" collapsed="false">
      <c r="A270" s="10" t="str">
        <f aca="false">IFERROR(IF(INDEX(원본명단!$A$3:$A$6002,MATCH("R"&amp;265,정리결과!$J$6:$J$6005,0))="","",INDEX(원본명단!$A$3:$A$6002,MATCH("R"&amp;265,정리결과!$J$6:$J$6005,0))),"")</f>
        <v/>
      </c>
      <c r="B270" s="10" t="str">
        <f aca="false">IF($A270="","",IFERROR(IF(INDEX(원본명단!$B$3:$B$6002,MATCH("R"&amp;265,정리결과!$J$6:$J$6005,0))="","",INDEX(원본명단!$B$3:$B$6002,MATCH("R"&amp;265,정리결과!$J$6:$J$6005,0))),""))</f>
        <v/>
      </c>
      <c r="C270" s="10" t="str">
        <f aca="false">IF($A270="","",IFERROR(IF(INDEX(원본명단!$C$3:$C$6002,MATCH("R"&amp;265,정리결과!$J$6:$J$6005,0))="","",INDEX(원본명단!$C$3:$C$6002,MATCH("R"&amp;265,정리결과!$J$6:$J$6005,0))),""))</f>
        <v/>
      </c>
      <c r="D270" s="10" t="str">
        <f aca="false">IF($A270="","",IFERROR(IF(INDEX(원본명단!$D$3:$D$6002,MATCH("R"&amp;265,정리결과!$J$6:$J$6005,0))="","",INDEX(원본명단!$D$3:$D$6002,MATCH("R"&amp;265,정리결과!$J$6:$J$6005,0))),""))</f>
        <v/>
      </c>
      <c r="E270" s="10" t="str">
        <f aca="false">IF($A270="","",IFERROR(IF(INDEX(원본명단!$E$3:$E$6002,MATCH("R"&amp;265,정리결과!$J$6:$J$6005,0))="","",INDEX(원본명단!$E$3:$E$6002,MATCH("R"&amp;265,정리결과!$J$6:$J$6005,0))),""))</f>
        <v/>
      </c>
      <c r="F270" s="10" t="str">
        <f aca="false">IF($A270="","",IFERROR(IF(INDEX(원본명단!$F$3:$F$6002,MATCH("R"&amp;265,정리결과!$J$6:$J$6005,0))="","",INDEX(원본명단!$F$3:$F$6002,MATCH("R"&amp;265,정리결과!$J$6:$J$6005,0))),""))</f>
        <v/>
      </c>
      <c r="H270" s="14" t="b">
        <f aca="false">IF(중복검사!$A268="",FALSE(),중복검사!$J268="유지")</f>
        <v>0</v>
      </c>
      <c r="I270" s="5" t="str">
        <f aca="false">IF($H270=FALSE(),"",COUNTIF($H$6:$H270,TRUE()))</f>
        <v/>
      </c>
      <c r="J270" s="5" t="str">
        <f aca="false">IF($I270="","","R"&amp;$I270)</f>
        <v/>
      </c>
    </row>
    <row r="271" customFormat="false" ht="15" hidden="false" customHeight="true" outlineLevel="0" collapsed="false">
      <c r="A271" s="10" t="str">
        <f aca="false">IFERROR(IF(INDEX(원본명단!$A$3:$A$6002,MATCH("R"&amp;266,정리결과!$J$6:$J$6005,0))="","",INDEX(원본명단!$A$3:$A$6002,MATCH("R"&amp;266,정리결과!$J$6:$J$6005,0))),"")</f>
        <v/>
      </c>
      <c r="B271" s="10" t="str">
        <f aca="false">IF($A271="","",IFERROR(IF(INDEX(원본명단!$B$3:$B$6002,MATCH("R"&amp;266,정리결과!$J$6:$J$6005,0))="","",INDEX(원본명단!$B$3:$B$6002,MATCH("R"&amp;266,정리결과!$J$6:$J$6005,0))),""))</f>
        <v/>
      </c>
      <c r="C271" s="10" t="str">
        <f aca="false">IF($A271="","",IFERROR(IF(INDEX(원본명단!$C$3:$C$6002,MATCH("R"&amp;266,정리결과!$J$6:$J$6005,0))="","",INDEX(원본명단!$C$3:$C$6002,MATCH("R"&amp;266,정리결과!$J$6:$J$6005,0))),""))</f>
        <v/>
      </c>
      <c r="D271" s="10" t="str">
        <f aca="false">IF($A271="","",IFERROR(IF(INDEX(원본명단!$D$3:$D$6002,MATCH("R"&amp;266,정리결과!$J$6:$J$6005,0))="","",INDEX(원본명단!$D$3:$D$6002,MATCH("R"&amp;266,정리결과!$J$6:$J$6005,0))),""))</f>
        <v/>
      </c>
      <c r="E271" s="10" t="str">
        <f aca="false">IF($A271="","",IFERROR(IF(INDEX(원본명단!$E$3:$E$6002,MATCH("R"&amp;266,정리결과!$J$6:$J$6005,0))="","",INDEX(원본명단!$E$3:$E$6002,MATCH("R"&amp;266,정리결과!$J$6:$J$6005,0))),""))</f>
        <v/>
      </c>
      <c r="F271" s="10" t="str">
        <f aca="false">IF($A271="","",IFERROR(IF(INDEX(원본명단!$F$3:$F$6002,MATCH("R"&amp;266,정리결과!$J$6:$J$6005,0))="","",INDEX(원본명단!$F$3:$F$6002,MATCH("R"&amp;266,정리결과!$J$6:$J$6005,0))),""))</f>
        <v/>
      </c>
      <c r="H271" s="14" t="b">
        <f aca="false">IF(중복검사!$A269="",FALSE(),중복검사!$J269="유지")</f>
        <v>0</v>
      </c>
      <c r="I271" s="5" t="str">
        <f aca="false">IF($H271=FALSE(),"",COUNTIF($H$6:$H271,TRUE()))</f>
        <v/>
      </c>
      <c r="J271" s="5" t="str">
        <f aca="false">IF($I271="","","R"&amp;$I271)</f>
        <v/>
      </c>
    </row>
    <row r="272" customFormat="false" ht="15" hidden="false" customHeight="true" outlineLevel="0" collapsed="false">
      <c r="A272" s="10" t="str">
        <f aca="false">IFERROR(IF(INDEX(원본명단!$A$3:$A$6002,MATCH("R"&amp;267,정리결과!$J$6:$J$6005,0))="","",INDEX(원본명단!$A$3:$A$6002,MATCH("R"&amp;267,정리결과!$J$6:$J$6005,0))),"")</f>
        <v/>
      </c>
      <c r="B272" s="10" t="str">
        <f aca="false">IF($A272="","",IFERROR(IF(INDEX(원본명단!$B$3:$B$6002,MATCH("R"&amp;267,정리결과!$J$6:$J$6005,0))="","",INDEX(원본명단!$B$3:$B$6002,MATCH("R"&amp;267,정리결과!$J$6:$J$6005,0))),""))</f>
        <v/>
      </c>
      <c r="C272" s="10" t="str">
        <f aca="false">IF($A272="","",IFERROR(IF(INDEX(원본명단!$C$3:$C$6002,MATCH("R"&amp;267,정리결과!$J$6:$J$6005,0))="","",INDEX(원본명단!$C$3:$C$6002,MATCH("R"&amp;267,정리결과!$J$6:$J$6005,0))),""))</f>
        <v/>
      </c>
      <c r="D272" s="10" t="str">
        <f aca="false">IF($A272="","",IFERROR(IF(INDEX(원본명단!$D$3:$D$6002,MATCH("R"&amp;267,정리결과!$J$6:$J$6005,0))="","",INDEX(원본명단!$D$3:$D$6002,MATCH("R"&amp;267,정리결과!$J$6:$J$6005,0))),""))</f>
        <v/>
      </c>
      <c r="E272" s="10" t="str">
        <f aca="false">IF($A272="","",IFERROR(IF(INDEX(원본명단!$E$3:$E$6002,MATCH("R"&amp;267,정리결과!$J$6:$J$6005,0))="","",INDEX(원본명단!$E$3:$E$6002,MATCH("R"&amp;267,정리결과!$J$6:$J$6005,0))),""))</f>
        <v/>
      </c>
      <c r="F272" s="10" t="str">
        <f aca="false">IF($A272="","",IFERROR(IF(INDEX(원본명단!$F$3:$F$6002,MATCH("R"&amp;267,정리결과!$J$6:$J$6005,0))="","",INDEX(원본명단!$F$3:$F$6002,MATCH("R"&amp;267,정리결과!$J$6:$J$6005,0))),""))</f>
        <v/>
      </c>
      <c r="H272" s="14" t="b">
        <f aca="false">IF(중복검사!$A270="",FALSE(),중복검사!$J270="유지")</f>
        <v>0</v>
      </c>
      <c r="I272" s="5" t="str">
        <f aca="false">IF($H272=FALSE(),"",COUNTIF($H$6:$H272,TRUE()))</f>
        <v/>
      </c>
      <c r="J272" s="5" t="str">
        <f aca="false">IF($I272="","","R"&amp;$I272)</f>
        <v/>
      </c>
    </row>
    <row r="273" customFormat="false" ht="15" hidden="false" customHeight="true" outlineLevel="0" collapsed="false">
      <c r="A273" s="10" t="str">
        <f aca="false">IFERROR(IF(INDEX(원본명단!$A$3:$A$6002,MATCH("R"&amp;268,정리결과!$J$6:$J$6005,0))="","",INDEX(원본명단!$A$3:$A$6002,MATCH("R"&amp;268,정리결과!$J$6:$J$6005,0))),"")</f>
        <v/>
      </c>
      <c r="B273" s="10" t="str">
        <f aca="false">IF($A273="","",IFERROR(IF(INDEX(원본명단!$B$3:$B$6002,MATCH("R"&amp;268,정리결과!$J$6:$J$6005,0))="","",INDEX(원본명단!$B$3:$B$6002,MATCH("R"&amp;268,정리결과!$J$6:$J$6005,0))),""))</f>
        <v/>
      </c>
      <c r="C273" s="10" t="str">
        <f aca="false">IF($A273="","",IFERROR(IF(INDEX(원본명단!$C$3:$C$6002,MATCH("R"&amp;268,정리결과!$J$6:$J$6005,0))="","",INDEX(원본명단!$C$3:$C$6002,MATCH("R"&amp;268,정리결과!$J$6:$J$6005,0))),""))</f>
        <v/>
      </c>
      <c r="D273" s="10" t="str">
        <f aca="false">IF($A273="","",IFERROR(IF(INDEX(원본명단!$D$3:$D$6002,MATCH("R"&amp;268,정리결과!$J$6:$J$6005,0))="","",INDEX(원본명단!$D$3:$D$6002,MATCH("R"&amp;268,정리결과!$J$6:$J$6005,0))),""))</f>
        <v/>
      </c>
      <c r="E273" s="10" t="str">
        <f aca="false">IF($A273="","",IFERROR(IF(INDEX(원본명단!$E$3:$E$6002,MATCH("R"&amp;268,정리결과!$J$6:$J$6005,0))="","",INDEX(원본명단!$E$3:$E$6002,MATCH("R"&amp;268,정리결과!$J$6:$J$6005,0))),""))</f>
        <v/>
      </c>
      <c r="F273" s="10" t="str">
        <f aca="false">IF($A273="","",IFERROR(IF(INDEX(원본명단!$F$3:$F$6002,MATCH("R"&amp;268,정리결과!$J$6:$J$6005,0))="","",INDEX(원본명단!$F$3:$F$6002,MATCH("R"&amp;268,정리결과!$J$6:$J$6005,0))),""))</f>
        <v/>
      </c>
      <c r="H273" s="14" t="b">
        <f aca="false">IF(중복검사!$A271="",FALSE(),중복검사!$J271="유지")</f>
        <v>0</v>
      </c>
      <c r="I273" s="5" t="str">
        <f aca="false">IF($H273=FALSE(),"",COUNTIF($H$6:$H273,TRUE()))</f>
        <v/>
      </c>
      <c r="J273" s="5" t="str">
        <f aca="false">IF($I273="","","R"&amp;$I273)</f>
        <v/>
      </c>
    </row>
    <row r="274" customFormat="false" ht="15" hidden="false" customHeight="true" outlineLevel="0" collapsed="false">
      <c r="A274" s="10" t="str">
        <f aca="false">IFERROR(IF(INDEX(원본명단!$A$3:$A$6002,MATCH("R"&amp;269,정리결과!$J$6:$J$6005,0))="","",INDEX(원본명단!$A$3:$A$6002,MATCH("R"&amp;269,정리결과!$J$6:$J$6005,0))),"")</f>
        <v/>
      </c>
      <c r="B274" s="10" t="str">
        <f aca="false">IF($A274="","",IFERROR(IF(INDEX(원본명단!$B$3:$B$6002,MATCH("R"&amp;269,정리결과!$J$6:$J$6005,0))="","",INDEX(원본명단!$B$3:$B$6002,MATCH("R"&amp;269,정리결과!$J$6:$J$6005,0))),""))</f>
        <v/>
      </c>
      <c r="C274" s="10" t="str">
        <f aca="false">IF($A274="","",IFERROR(IF(INDEX(원본명단!$C$3:$C$6002,MATCH("R"&amp;269,정리결과!$J$6:$J$6005,0))="","",INDEX(원본명단!$C$3:$C$6002,MATCH("R"&amp;269,정리결과!$J$6:$J$6005,0))),""))</f>
        <v/>
      </c>
      <c r="D274" s="10" t="str">
        <f aca="false">IF($A274="","",IFERROR(IF(INDEX(원본명단!$D$3:$D$6002,MATCH("R"&amp;269,정리결과!$J$6:$J$6005,0))="","",INDEX(원본명단!$D$3:$D$6002,MATCH("R"&amp;269,정리결과!$J$6:$J$6005,0))),""))</f>
        <v/>
      </c>
      <c r="E274" s="10" t="str">
        <f aca="false">IF($A274="","",IFERROR(IF(INDEX(원본명단!$E$3:$E$6002,MATCH("R"&amp;269,정리결과!$J$6:$J$6005,0))="","",INDEX(원본명단!$E$3:$E$6002,MATCH("R"&amp;269,정리결과!$J$6:$J$6005,0))),""))</f>
        <v/>
      </c>
      <c r="F274" s="10" t="str">
        <f aca="false">IF($A274="","",IFERROR(IF(INDEX(원본명단!$F$3:$F$6002,MATCH("R"&amp;269,정리결과!$J$6:$J$6005,0))="","",INDEX(원본명단!$F$3:$F$6002,MATCH("R"&amp;269,정리결과!$J$6:$J$6005,0))),""))</f>
        <v/>
      </c>
      <c r="H274" s="14" t="b">
        <f aca="false">IF(중복검사!$A272="",FALSE(),중복검사!$J272="유지")</f>
        <v>0</v>
      </c>
      <c r="I274" s="5" t="str">
        <f aca="false">IF($H274=FALSE(),"",COUNTIF($H$6:$H274,TRUE()))</f>
        <v/>
      </c>
      <c r="J274" s="5" t="str">
        <f aca="false">IF($I274="","","R"&amp;$I274)</f>
        <v/>
      </c>
    </row>
    <row r="275" customFormat="false" ht="15" hidden="false" customHeight="true" outlineLevel="0" collapsed="false">
      <c r="A275" s="10" t="str">
        <f aca="false">IFERROR(IF(INDEX(원본명단!$A$3:$A$6002,MATCH("R"&amp;270,정리결과!$J$6:$J$6005,0))="","",INDEX(원본명단!$A$3:$A$6002,MATCH("R"&amp;270,정리결과!$J$6:$J$6005,0))),"")</f>
        <v/>
      </c>
      <c r="B275" s="10" t="str">
        <f aca="false">IF($A275="","",IFERROR(IF(INDEX(원본명단!$B$3:$B$6002,MATCH("R"&amp;270,정리결과!$J$6:$J$6005,0))="","",INDEX(원본명단!$B$3:$B$6002,MATCH("R"&amp;270,정리결과!$J$6:$J$6005,0))),""))</f>
        <v/>
      </c>
      <c r="C275" s="10" t="str">
        <f aca="false">IF($A275="","",IFERROR(IF(INDEX(원본명단!$C$3:$C$6002,MATCH("R"&amp;270,정리결과!$J$6:$J$6005,0))="","",INDEX(원본명단!$C$3:$C$6002,MATCH("R"&amp;270,정리결과!$J$6:$J$6005,0))),""))</f>
        <v/>
      </c>
      <c r="D275" s="10" t="str">
        <f aca="false">IF($A275="","",IFERROR(IF(INDEX(원본명단!$D$3:$D$6002,MATCH("R"&amp;270,정리결과!$J$6:$J$6005,0))="","",INDEX(원본명단!$D$3:$D$6002,MATCH("R"&amp;270,정리결과!$J$6:$J$6005,0))),""))</f>
        <v/>
      </c>
      <c r="E275" s="10" t="str">
        <f aca="false">IF($A275="","",IFERROR(IF(INDEX(원본명단!$E$3:$E$6002,MATCH("R"&amp;270,정리결과!$J$6:$J$6005,0))="","",INDEX(원본명단!$E$3:$E$6002,MATCH("R"&amp;270,정리결과!$J$6:$J$6005,0))),""))</f>
        <v/>
      </c>
      <c r="F275" s="10" t="str">
        <f aca="false">IF($A275="","",IFERROR(IF(INDEX(원본명단!$F$3:$F$6002,MATCH("R"&amp;270,정리결과!$J$6:$J$6005,0))="","",INDEX(원본명단!$F$3:$F$6002,MATCH("R"&amp;270,정리결과!$J$6:$J$6005,0))),""))</f>
        <v/>
      </c>
      <c r="H275" s="14" t="b">
        <f aca="false">IF(중복검사!$A273="",FALSE(),중복검사!$J273="유지")</f>
        <v>0</v>
      </c>
      <c r="I275" s="5" t="str">
        <f aca="false">IF($H275=FALSE(),"",COUNTIF($H$6:$H275,TRUE()))</f>
        <v/>
      </c>
      <c r="J275" s="5" t="str">
        <f aca="false">IF($I275="","","R"&amp;$I275)</f>
        <v/>
      </c>
    </row>
    <row r="276" customFormat="false" ht="15" hidden="false" customHeight="true" outlineLevel="0" collapsed="false">
      <c r="A276" s="10" t="str">
        <f aca="false">IFERROR(IF(INDEX(원본명단!$A$3:$A$6002,MATCH("R"&amp;271,정리결과!$J$6:$J$6005,0))="","",INDEX(원본명단!$A$3:$A$6002,MATCH("R"&amp;271,정리결과!$J$6:$J$6005,0))),"")</f>
        <v/>
      </c>
      <c r="B276" s="10" t="str">
        <f aca="false">IF($A276="","",IFERROR(IF(INDEX(원본명단!$B$3:$B$6002,MATCH("R"&amp;271,정리결과!$J$6:$J$6005,0))="","",INDEX(원본명단!$B$3:$B$6002,MATCH("R"&amp;271,정리결과!$J$6:$J$6005,0))),""))</f>
        <v/>
      </c>
      <c r="C276" s="10" t="str">
        <f aca="false">IF($A276="","",IFERROR(IF(INDEX(원본명단!$C$3:$C$6002,MATCH("R"&amp;271,정리결과!$J$6:$J$6005,0))="","",INDEX(원본명단!$C$3:$C$6002,MATCH("R"&amp;271,정리결과!$J$6:$J$6005,0))),""))</f>
        <v/>
      </c>
      <c r="D276" s="10" t="str">
        <f aca="false">IF($A276="","",IFERROR(IF(INDEX(원본명단!$D$3:$D$6002,MATCH("R"&amp;271,정리결과!$J$6:$J$6005,0))="","",INDEX(원본명단!$D$3:$D$6002,MATCH("R"&amp;271,정리결과!$J$6:$J$6005,0))),""))</f>
        <v/>
      </c>
      <c r="E276" s="10" t="str">
        <f aca="false">IF($A276="","",IFERROR(IF(INDEX(원본명단!$E$3:$E$6002,MATCH("R"&amp;271,정리결과!$J$6:$J$6005,0))="","",INDEX(원본명단!$E$3:$E$6002,MATCH("R"&amp;271,정리결과!$J$6:$J$6005,0))),""))</f>
        <v/>
      </c>
      <c r="F276" s="10" t="str">
        <f aca="false">IF($A276="","",IFERROR(IF(INDEX(원본명단!$F$3:$F$6002,MATCH("R"&amp;271,정리결과!$J$6:$J$6005,0))="","",INDEX(원본명단!$F$3:$F$6002,MATCH("R"&amp;271,정리결과!$J$6:$J$6005,0))),""))</f>
        <v/>
      </c>
      <c r="H276" s="14" t="b">
        <f aca="false">IF(중복검사!$A274="",FALSE(),중복검사!$J274="유지")</f>
        <v>0</v>
      </c>
      <c r="I276" s="5" t="str">
        <f aca="false">IF($H276=FALSE(),"",COUNTIF($H$6:$H276,TRUE()))</f>
        <v/>
      </c>
      <c r="J276" s="5" t="str">
        <f aca="false">IF($I276="","","R"&amp;$I276)</f>
        <v/>
      </c>
    </row>
    <row r="277" customFormat="false" ht="15" hidden="false" customHeight="true" outlineLevel="0" collapsed="false">
      <c r="A277" s="10" t="str">
        <f aca="false">IFERROR(IF(INDEX(원본명단!$A$3:$A$6002,MATCH("R"&amp;272,정리결과!$J$6:$J$6005,0))="","",INDEX(원본명단!$A$3:$A$6002,MATCH("R"&amp;272,정리결과!$J$6:$J$6005,0))),"")</f>
        <v/>
      </c>
      <c r="B277" s="10" t="str">
        <f aca="false">IF($A277="","",IFERROR(IF(INDEX(원본명단!$B$3:$B$6002,MATCH("R"&amp;272,정리결과!$J$6:$J$6005,0))="","",INDEX(원본명단!$B$3:$B$6002,MATCH("R"&amp;272,정리결과!$J$6:$J$6005,0))),""))</f>
        <v/>
      </c>
      <c r="C277" s="10" t="str">
        <f aca="false">IF($A277="","",IFERROR(IF(INDEX(원본명단!$C$3:$C$6002,MATCH("R"&amp;272,정리결과!$J$6:$J$6005,0))="","",INDEX(원본명단!$C$3:$C$6002,MATCH("R"&amp;272,정리결과!$J$6:$J$6005,0))),""))</f>
        <v/>
      </c>
      <c r="D277" s="10" t="str">
        <f aca="false">IF($A277="","",IFERROR(IF(INDEX(원본명단!$D$3:$D$6002,MATCH("R"&amp;272,정리결과!$J$6:$J$6005,0))="","",INDEX(원본명단!$D$3:$D$6002,MATCH("R"&amp;272,정리결과!$J$6:$J$6005,0))),""))</f>
        <v/>
      </c>
      <c r="E277" s="10" t="str">
        <f aca="false">IF($A277="","",IFERROR(IF(INDEX(원본명단!$E$3:$E$6002,MATCH("R"&amp;272,정리결과!$J$6:$J$6005,0))="","",INDEX(원본명단!$E$3:$E$6002,MATCH("R"&amp;272,정리결과!$J$6:$J$6005,0))),""))</f>
        <v/>
      </c>
      <c r="F277" s="10" t="str">
        <f aca="false">IF($A277="","",IFERROR(IF(INDEX(원본명단!$F$3:$F$6002,MATCH("R"&amp;272,정리결과!$J$6:$J$6005,0))="","",INDEX(원본명단!$F$3:$F$6002,MATCH("R"&amp;272,정리결과!$J$6:$J$6005,0))),""))</f>
        <v/>
      </c>
      <c r="H277" s="14" t="b">
        <f aca="false">IF(중복검사!$A275="",FALSE(),중복검사!$J275="유지")</f>
        <v>0</v>
      </c>
      <c r="I277" s="5" t="str">
        <f aca="false">IF($H277=FALSE(),"",COUNTIF($H$6:$H277,TRUE()))</f>
        <v/>
      </c>
      <c r="J277" s="5" t="str">
        <f aca="false">IF($I277="","","R"&amp;$I277)</f>
        <v/>
      </c>
    </row>
    <row r="278" customFormat="false" ht="15" hidden="false" customHeight="true" outlineLevel="0" collapsed="false">
      <c r="A278" s="10" t="str">
        <f aca="false">IFERROR(IF(INDEX(원본명단!$A$3:$A$6002,MATCH("R"&amp;273,정리결과!$J$6:$J$6005,0))="","",INDEX(원본명단!$A$3:$A$6002,MATCH("R"&amp;273,정리결과!$J$6:$J$6005,0))),"")</f>
        <v/>
      </c>
      <c r="B278" s="10" t="str">
        <f aca="false">IF($A278="","",IFERROR(IF(INDEX(원본명단!$B$3:$B$6002,MATCH("R"&amp;273,정리결과!$J$6:$J$6005,0))="","",INDEX(원본명단!$B$3:$B$6002,MATCH("R"&amp;273,정리결과!$J$6:$J$6005,0))),""))</f>
        <v/>
      </c>
      <c r="C278" s="10" t="str">
        <f aca="false">IF($A278="","",IFERROR(IF(INDEX(원본명단!$C$3:$C$6002,MATCH("R"&amp;273,정리결과!$J$6:$J$6005,0))="","",INDEX(원본명단!$C$3:$C$6002,MATCH("R"&amp;273,정리결과!$J$6:$J$6005,0))),""))</f>
        <v/>
      </c>
      <c r="D278" s="10" t="str">
        <f aca="false">IF($A278="","",IFERROR(IF(INDEX(원본명단!$D$3:$D$6002,MATCH("R"&amp;273,정리결과!$J$6:$J$6005,0))="","",INDEX(원본명단!$D$3:$D$6002,MATCH("R"&amp;273,정리결과!$J$6:$J$6005,0))),""))</f>
        <v/>
      </c>
      <c r="E278" s="10" t="str">
        <f aca="false">IF($A278="","",IFERROR(IF(INDEX(원본명단!$E$3:$E$6002,MATCH("R"&amp;273,정리결과!$J$6:$J$6005,0))="","",INDEX(원본명단!$E$3:$E$6002,MATCH("R"&amp;273,정리결과!$J$6:$J$6005,0))),""))</f>
        <v/>
      </c>
      <c r="F278" s="10" t="str">
        <f aca="false">IF($A278="","",IFERROR(IF(INDEX(원본명단!$F$3:$F$6002,MATCH("R"&amp;273,정리결과!$J$6:$J$6005,0))="","",INDEX(원본명단!$F$3:$F$6002,MATCH("R"&amp;273,정리결과!$J$6:$J$6005,0))),""))</f>
        <v/>
      </c>
      <c r="H278" s="14" t="b">
        <f aca="false">IF(중복검사!$A276="",FALSE(),중복검사!$J276="유지")</f>
        <v>0</v>
      </c>
      <c r="I278" s="5" t="str">
        <f aca="false">IF($H278=FALSE(),"",COUNTIF($H$6:$H278,TRUE()))</f>
        <v/>
      </c>
      <c r="J278" s="5" t="str">
        <f aca="false">IF($I278="","","R"&amp;$I278)</f>
        <v/>
      </c>
    </row>
    <row r="279" customFormat="false" ht="15" hidden="false" customHeight="true" outlineLevel="0" collapsed="false">
      <c r="A279" s="10" t="str">
        <f aca="false">IFERROR(IF(INDEX(원본명단!$A$3:$A$6002,MATCH("R"&amp;274,정리결과!$J$6:$J$6005,0))="","",INDEX(원본명단!$A$3:$A$6002,MATCH("R"&amp;274,정리결과!$J$6:$J$6005,0))),"")</f>
        <v/>
      </c>
      <c r="B279" s="10" t="str">
        <f aca="false">IF($A279="","",IFERROR(IF(INDEX(원본명단!$B$3:$B$6002,MATCH("R"&amp;274,정리결과!$J$6:$J$6005,0))="","",INDEX(원본명단!$B$3:$B$6002,MATCH("R"&amp;274,정리결과!$J$6:$J$6005,0))),""))</f>
        <v/>
      </c>
      <c r="C279" s="10" t="str">
        <f aca="false">IF($A279="","",IFERROR(IF(INDEX(원본명단!$C$3:$C$6002,MATCH("R"&amp;274,정리결과!$J$6:$J$6005,0))="","",INDEX(원본명단!$C$3:$C$6002,MATCH("R"&amp;274,정리결과!$J$6:$J$6005,0))),""))</f>
        <v/>
      </c>
      <c r="D279" s="10" t="str">
        <f aca="false">IF($A279="","",IFERROR(IF(INDEX(원본명단!$D$3:$D$6002,MATCH("R"&amp;274,정리결과!$J$6:$J$6005,0))="","",INDEX(원본명단!$D$3:$D$6002,MATCH("R"&amp;274,정리결과!$J$6:$J$6005,0))),""))</f>
        <v/>
      </c>
      <c r="E279" s="10" t="str">
        <f aca="false">IF($A279="","",IFERROR(IF(INDEX(원본명단!$E$3:$E$6002,MATCH("R"&amp;274,정리결과!$J$6:$J$6005,0))="","",INDEX(원본명단!$E$3:$E$6002,MATCH("R"&amp;274,정리결과!$J$6:$J$6005,0))),""))</f>
        <v/>
      </c>
      <c r="F279" s="10" t="str">
        <f aca="false">IF($A279="","",IFERROR(IF(INDEX(원본명단!$F$3:$F$6002,MATCH("R"&amp;274,정리결과!$J$6:$J$6005,0))="","",INDEX(원본명단!$F$3:$F$6002,MATCH("R"&amp;274,정리결과!$J$6:$J$6005,0))),""))</f>
        <v/>
      </c>
      <c r="H279" s="14" t="b">
        <f aca="false">IF(중복검사!$A277="",FALSE(),중복검사!$J277="유지")</f>
        <v>0</v>
      </c>
      <c r="I279" s="5" t="str">
        <f aca="false">IF($H279=FALSE(),"",COUNTIF($H$6:$H279,TRUE()))</f>
        <v/>
      </c>
      <c r="J279" s="5" t="str">
        <f aca="false">IF($I279="","","R"&amp;$I279)</f>
        <v/>
      </c>
    </row>
    <row r="280" customFormat="false" ht="15" hidden="false" customHeight="true" outlineLevel="0" collapsed="false">
      <c r="A280" s="10" t="str">
        <f aca="false">IFERROR(IF(INDEX(원본명단!$A$3:$A$6002,MATCH("R"&amp;275,정리결과!$J$6:$J$6005,0))="","",INDEX(원본명단!$A$3:$A$6002,MATCH("R"&amp;275,정리결과!$J$6:$J$6005,0))),"")</f>
        <v/>
      </c>
      <c r="B280" s="10" t="str">
        <f aca="false">IF($A280="","",IFERROR(IF(INDEX(원본명단!$B$3:$B$6002,MATCH("R"&amp;275,정리결과!$J$6:$J$6005,0))="","",INDEX(원본명단!$B$3:$B$6002,MATCH("R"&amp;275,정리결과!$J$6:$J$6005,0))),""))</f>
        <v/>
      </c>
      <c r="C280" s="10" t="str">
        <f aca="false">IF($A280="","",IFERROR(IF(INDEX(원본명단!$C$3:$C$6002,MATCH("R"&amp;275,정리결과!$J$6:$J$6005,0))="","",INDEX(원본명단!$C$3:$C$6002,MATCH("R"&amp;275,정리결과!$J$6:$J$6005,0))),""))</f>
        <v/>
      </c>
      <c r="D280" s="10" t="str">
        <f aca="false">IF($A280="","",IFERROR(IF(INDEX(원본명단!$D$3:$D$6002,MATCH("R"&amp;275,정리결과!$J$6:$J$6005,0))="","",INDEX(원본명단!$D$3:$D$6002,MATCH("R"&amp;275,정리결과!$J$6:$J$6005,0))),""))</f>
        <v/>
      </c>
      <c r="E280" s="10" t="str">
        <f aca="false">IF($A280="","",IFERROR(IF(INDEX(원본명단!$E$3:$E$6002,MATCH("R"&amp;275,정리결과!$J$6:$J$6005,0))="","",INDEX(원본명단!$E$3:$E$6002,MATCH("R"&amp;275,정리결과!$J$6:$J$6005,0))),""))</f>
        <v/>
      </c>
      <c r="F280" s="10" t="str">
        <f aca="false">IF($A280="","",IFERROR(IF(INDEX(원본명단!$F$3:$F$6002,MATCH("R"&amp;275,정리결과!$J$6:$J$6005,0))="","",INDEX(원본명단!$F$3:$F$6002,MATCH("R"&amp;275,정리결과!$J$6:$J$6005,0))),""))</f>
        <v/>
      </c>
      <c r="H280" s="14" t="b">
        <f aca="false">IF(중복검사!$A278="",FALSE(),중복검사!$J278="유지")</f>
        <v>0</v>
      </c>
      <c r="I280" s="5" t="str">
        <f aca="false">IF($H280=FALSE(),"",COUNTIF($H$6:$H280,TRUE()))</f>
        <v/>
      </c>
      <c r="J280" s="5" t="str">
        <f aca="false">IF($I280="","","R"&amp;$I280)</f>
        <v/>
      </c>
    </row>
    <row r="281" customFormat="false" ht="15" hidden="false" customHeight="true" outlineLevel="0" collapsed="false">
      <c r="A281" s="10" t="str">
        <f aca="false">IFERROR(IF(INDEX(원본명단!$A$3:$A$6002,MATCH("R"&amp;276,정리결과!$J$6:$J$6005,0))="","",INDEX(원본명단!$A$3:$A$6002,MATCH("R"&amp;276,정리결과!$J$6:$J$6005,0))),"")</f>
        <v/>
      </c>
      <c r="B281" s="10" t="str">
        <f aca="false">IF($A281="","",IFERROR(IF(INDEX(원본명단!$B$3:$B$6002,MATCH("R"&amp;276,정리결과!$J$6:$J$6005,0))="","",INDEX(원본명단!$B$3:$B$6002,MATCH("R"&amp;276,정리결과!$J$6:$J$6005,0))),""))</f>
        <v/>
      </c>
      <c r="C281" s="10" t="str">
        <f aca="false">IF($A281="","",IFERROR(IF(INDEX(원본명단!$C$3:$C$6002,MATCH("R"&amp;276,정리결과!$J$6:$J$6005,0))="","",INDEX(원본명단!$C$3:$C$6002,MATCH("R"&amp;276,정리결과!$J$6:$J$6005,0))),""))</f>
        <v/>
      </c>
      <c r="D281" s="10" t="str">
        <f aca="false">IF($A281="","",IFERROR(IF(INDEX(원본명단!$D$3:$D$6002,MATCH("R"&amp;276,정리결과!$J$6:$J$6005,0))="","",INDEX(원본명단!$D$3:$D$6002,MATCH("R"&amp;276,정리결과!$J$6:$J$6005,0))),""))</f>
        <v/>
      </c>
      <c r="E281" s="10" t="str">
        <f aca="false">IF($A281="","",IFERROR(IF(INDEX(원본명단!$E$3:$E$6002,MATCH("R"&amp;276,정리결과!$J$6:$J$6005,0))="","",INDEX(원본명단!$E$3:$E$6002,MATCH("R"&amp;276,정리결과!$J$6:$J$6005,0))),""))</f>
        <v/>
      </c>
      <c r="F281" s="10" t="str">
        <f aca="false">IF($A281="","",IFERROR(IF(INDEX(원본명단!$F$3:$F$6002,MATCH("R"&amp;276,정리결과!$J$6:$J$6005,0))="","",INDEX(원본명단!$F$3:$F$6002,MATCH("R"&amp;276,정리결과!$J$6:$J$6005,0))),""))</f>
        <v/>
      </c>
      <c r="H281" s="14" t="b">
        <f aca="false">IF(중복검사!$A279="",FALSE(),중복검사!$J279="유지")</f>
        <v>0</v>
      </c>
      <c r="I281" s="5" t="str">
        <f aca="false">IF($H281=FALSE(),"",COUNTIF($H$6:$H281,TRUE()))</f>
        <v/>
      </c>
      <c r="J281" s="5" t="str">
        <f aca="false">IF($I281="","","R"&amp;$I281)</f>
        <v/>
      </c>
    </row>
    <row r="282" customFormat="false" ht="15" hidden="false" customHeight="true" outlineLevel="0" collapsed="false">
      <c r="A282" s="10" t="str">
        <f aca="false">IFERROR(IF(INDEX(원본명단!$A$3:$A$6002,MATCH("R"&amp;277,정리결과!$J$6:$J$6005,0))="","",INDEX(원본명단!$A$3:$A$6002,MATCH("R"&amp;277,정리결과!$J$6:$J$6005,0))),"")</f>
        <v/>
      </c>
      <c r="B282" s="10" t="str">
        <f aca="false">IF($A282="","",IFERROR(IF(INDEX(원본명단!$B$3:$B$6002,MATCH("R"&amp;277,정리결과!$J$6:$J$6005,0))="","",INDEX(원본명단!$B$3:$B$6002,MATCH("R"&amp;277,정리결과!$J$6:$J$6005,0))),""))</f>
        <v/>
      </c>
      <c r="C282" s="10" t="str">
        <f aca="false">IF($A282="","",IFERROR(IF(INDEX(원본명단!$C$3:$C$6002,MATCH("R"&amp;277,정리결과!$J$6:$J$6005,0))="","",INDEX(원본명단!$C$3:$C$6002,MATCH("R"&amp;277,정리결과!$J$6:$J$6005,0))),""))</f>
        <v/>
      </c>
      <c r="D282" s="10" t="str">
        <f aca="false">IF($A282="","",IFERROR(IF(INDEX(원본명단!$D$3:$D$6002,MATCH("R"&amp;277,정리결과!$J$6:$J$6005,0))="","",INDEX(원본명단!$D$3:$D$6002,MATCH("R"&amp;277,정리결과!$J$6:$J$6005,0))),""))</f>
        <v/>
      </c>
      <c r="E282" s="10" t="str">
        <f aca="false">IF($A282="","",IFERROR(IF(INDEX(원본명단!$E$3:$E$6002,MATCH("R"&amp;277,정리결과!$J$6:$J$6005,0))="","",INDEX(원본명단!$E$3:$E$6002,MATCH("R"&amp;277,정리결과!$J$6:$J$6005,0))),""))</f>
        <v/>
      </c>
      <c r="F282" s="10" t="str">
        <f aca="false">IF($A282="","",IFERROR(IF(INDEX(원본명단!$F$3:$F$6002,MATCH("R"&amp;277,정리결과!$J$6:$J$6005,0))="","",INDEX(원본명단!$F$3:$F$6002,MATCH("R"&amp;277,정리결과!$J$6:$J$6005,0))),""))</f>
        <v/>
      </c>
      <c r="H282" s="14" t="b">
        <f aca="false">IF(중복검사!$A280="",FALSE(),중복검사!$J280="유지")</f>
        <v>0</v>
      </c>
      <c r="I282" s="5" t="str">
        <f aca="false">IF($H282=FALSE(),"",COUNTIF($H$6:$H282,TRUE()))</f>
        <v/>
      </c>
      <c r="J282" s="5" t="str">
        <f aca="false">IF($I282="","","R"&amp;$I282)</f>
        <v/>
      </c>
    </row>
    <row r="283" customFormat="false" ht="15" hidden="false" customHeight="true" outlineLevel="0" collapsed="false">
      <c r="A283" s="10" t="str">
        <f aca="false">IFERROR(IF(INDEX(원본명단!$A$3:$A$6002,MATCH("R"&amp;278,정리결과!$J$6:$J$6005,0))="","",INDEX(원본명단!$A$3:$A$6002,MATCH("R"&amp;278,정리결과!$J$6:$J$6005,0))),"")</f>
        <v/>
      </c>
      <c r="B283" s="10" t="str">
        <f aca="false">IF($A283="","",IFERROR(IF(INDEX(원본명단!$B$3:$B$6002,MATCH("R"&amp;278,정리결과!$J$6:$J$6005,0))="","",INDEX(원본명단!$B$3:$B$6002,MATCH("R"&amp;278,정리결과!$J$6:$J$6005,0))),""))</f>
        <v/>
      </c>
      <c r="C283" s="10" t="str">
        <f aca="false">IF($A283="","",IFERROR(IF(INDEX(원본명단!$C$3:$C$6002,MATCH("R"&amp;278,정리결과!$J$6:$J$6005,0))="","",INDEX(원본명단!$C$3:$C$6002,MATCH("R"&amp;278,정리결과!$J$6:$J$6005,0))),""))</f>
        <v/>
      </c>
      <c r="D283" s="10" t="str">
        <f aca="false">IF($A283="","",IFERROR(IF(INDEX(원본명단!$D$3:$D$6002,MATCH("R"&amp;278,정리결과!$J$6:$J$6005,0))="","",INDEX(원본명단!$D$3:$D$6002,MATCH("R"&amp;278,정리결과!$J$6:$J$6005,0))),""))</f>
        <v/>
      </c>
      <c r="E283" s="10" t="str">
        <f aca="false">IF($A283="","",IFERROR(IF(INDEX(원본명단!$E$3:$E$6002,MATCH("R"&amp;278,정리결과!$J$6:$J$6005,0))="","",INDEX(원본명단!$E$3:$E$6002,MATCH("R"&amp;278,정리결과!$J$6:$J$6005,0))),""))</f>
        <v/>
      </c>
      <c r="F283" s="10" t="str">
        <f aca="false">IF($A283="","",IFERROR(IF(INDEX(원본명단!$F$3:$F$6002,MATCH("R"&amp;278,정리결과!$J$6:$J$6005,0))="","",INDEX(원본명단!$F$3:$F$6002,MATCH("R"&amp;278,정리결과!$J$6:$J$6005,0))),""))</f>
        <v/>
      </c>
      <c r="H283" s="14" t="b">
        <f aca="false">IF(중복검사!$A281="",FALSE(),중복검사!$J281="유지")</f>
        <v>0</v>
      </c>
      <c r="I283" s="5" t="str">
        <f aca="false">IF($H283=FALSE(),"",COUNTIF($H$6:$H283,TRUE()))</f>
        <v/>
      </c>
      <c r="J283" s="5" t="str">
        <f aca="false">IF($I283="","","R"&amp;$I283)</f>
        <v/>
      </c>
    </row>
    <row r="284" customFormat="false" ht="15" hidden="false" customHeight="true" outlineLevel="0" collapsed="false">
      <c r="A284" s="10" t="str">
        <f aca="false">IFERROR(IF(INDEX(원본명단!$A$3:$A$6002,MATCH("R"&amp;279,정리결과!$J$6:$J$6005,0))="","",INDEX(원본명단!$A$3:$A$6002,MATCH("R"&amp;279,정리결과!$J$6:$J$6005,0))),"")</f>
        <v/>
      </c>
      <c r="B284" s="10" t="str">
        <f aca="false">IF($A284="","",IFERROR(IF(INDEX(원본명단!$B$3:$B$6002,MATCH("R"&amp;279,정리결과!$J$6:$J$6005,0))="","",INDEX(원본명단!$B$3:$B$6002,MATCH("R"&amp;279,정리결과!$J$6:$J$6005,0))),""))</f>
        <v/>
      </c>
      <c r="C284" s="10" t="str">
        <f aca="false">IF($A284="","",IFERROR(IF(INDEX(원본명단!$C$3:$C$6002,MATCH("R"&amp;279,정리결과!$J$6:$J$6005,0))="","",INDEX(원본명단!$C$3:$C$6002,MATCH("R"&amp;279,정리결과!$J$6:$J$6005,0))),""))</f>
        <v/>
      </c>
      <c r="D284" s="10" t="str">
        <f aca="false">IF($A284="","",IFERROR(IF(INDEX(원본명단!$D$3:$D$6002,MATCH("R"&amp;279,정리결과!$J$6:$J$6005,0))="","",INDEX(원본명단!$D$3:$D$6002,MATCH("R"&amp;279,정리결과!$J$6:$J$6005,0))),""))</f>
        <v/>
      </c>
      <c r="E284" s="10" t="str">
        <f aca="false">IF($A284="","",IFERROR(IF(INDEX(원본명단!$E$3:$E$6002,MATCH("R"&amp;279,정리결과!$J$6:$J$6005,0))="","",INDEX(원본명단!$E$3:$E$6002,MATCH("R"&amp;279,정리결과!$J$6:$J$6005,0))),""))</f>
        <v/>
      </c>
      <c r="F284" s="10" t="str">
        <f aca="false">IF($A284="","",IFERROR(IF(INDEX(원본명단!$F$3:$F$6002,MATCH("R"&amp;279,정리결과!$J$6:$J$6005,0))="","",INDEX(원본명단!$F$3:$F$6002,MATCH("R"&amp;279,정리결과!$J$6:$J$6005,0))),""))</f>
        <v/>
      </c>
      <c r="H284" s="14" t="b">
        <f aca="false">IF(중복검사!$A282="",FALSE(),중복검사!$J282="유지")</f>
        <v>0</v>
      </c>
      <c r="I284" s="5" t="str">
        <f aca="false">IF($H284=FALSE(),"",COUNTIF($H$6:$H284,TRUE()))</f>
        <v/>
      </c>
      <c r="J284" s="5" t="str">
        <f aca="false">IF($I284="","","R"&amp;$I284)</f>
        <v/>
      </c>
    </row>
    <row r="285" customFormat="false" ht="15" hidden="false" customHeight="true" outlineLevel="0" collapsed="false">
      <c r="A285" s="10" t="str">
        <f aca="false">IFERROR(IF(INDEX(원본명단!$A$3:$A$6002,MATCH("R"&amp;280,정리결과!$J$6:$J$6005,0))="","",INDEX(원본명단!$A$3:$A$6002,MATCH("R"&amp;280,정리결과!$J$6:$J$6005,0))),"")</f>
        <v/>
      </c>
      <c r="B285" s="10" t="str">
        <f aca="false">IF($A285="","",IFERROR(IF(INDEX(원본명단!$B$3:$B$6002,MATCH("R"&amp;280,정리결과!$J$6:$J$6005,0))="","",INDEX(원본명단!$B$3:$B$6002,MATCH("R"&amp;280,정리결과!$J$6:$J$6005,0))),""))</f>
        <v/>
      </c>
      <c r="C285" s="10" t="str">
        <f aca="false">IF($A285="","",IFERROR(IF(INDEX(원본명단!$C$3:$C$6002,MATCH("R"&amp;280,정리결과!$J$6:$J$6005,0))="","",INDEX(원본명단!$C$3:$C$6002,MATCH("R"&amp;280,정리결과!$J$6:$J$6005,0))),""))</f>
        <v/>
      </c>
      <c r="D285" s="10" t="str">
        <f aca="false">IF($A285="","",IFERROR(IF(INDEX(원본명단!$D$3:$D$6002,MATCH("R"&amp;280,정리결과!$J$6:$J$6005,0))="","",INDEX(원본명단!$D$3:$D$6002,MATCH("R"&amp;280,정리결과!$J$6:$J$6005,0))),""))</f>
        <v/>
      </c>
      <c r="E285" s="10" t="str">
        <f aca="false">IF($A285="","",IFERROR(IF(INDEX(원본명단!$E$3:$E$6002,MATCH("R"&amp;280,정리결과!$J$6:$J$6005,0))="","",INDEX(원본명단!$E$3:$E$6002,MATCH("R"&amp;280,정리결과!$J$6:$J$6005,0))),""))</f>
        <v/>
      </c>
      <c r="F285" s="10" t="str">
        <f aca="false">IF($A285="","",IFERROR(IF(INDEX(원본명단!$F$3:$F$6002,MATCH("R"&amp;280,정리결과!$J$6:$J$6005,0))="","",INDEX(원본명단!$F$3:$F$6002,MATCH("R"&amp;280,정리결과!$J$6:$J$6005,0))),""))</f>
        <v/>
      </c>
      <c r="H285" s="14" t="b">
        <f aca="false">IF(중복검사!$A283="",FALSE(),중복검사!$J283="유지")</f>
        <v>0</v>
      </c>
      <c r="I285" s="5" t="str">
        <f aca="false">IF($H285=FALSE(),"",COUNTIF($H$6:$H285,TRUE()))</f>
        <v/>
      </c>
      <c r="J285" s="5" t="str">
        <f aca="false">IF($I285="","","R"&amp;$I285)</f>
        <v/>
      </c>
    </row>
    <row r="286" customFormat="false" ht="15" hidden="false" customHeight="true" outlineLevel="0" collapsed="false">
      <c r="A286" s="10" t="str">
        <f aca="false">IFERROR(IF(INDEX(원본명단!$A$3:$A$6002,MATCH("R"&amp;281,정리결과!$J$6:$J$6005,0))="","",INDEX(원본명단!$A$3:$A$6002,MATCH("R"&amp;281,정리결과!$J$6:$J$6005,0))),"")</f>
        <v/>
      </c>
      <c r="B286" s="10" t="str">
        <f aca="false">IF($A286="","",IFERROR(IF(INDEX(원본명단!$B$3:$B$6002,MATCH("R"&amp;281,정리결과!$J$6:$J$6005,0))="","",INDEX(원본명단!$B$3:$B$6002,MATCH("R"&amp;281,정리결과!$J$6:$J$6005,0))),""))</f>
        <v/>
      </c>
      <c r="C286" s="10" t="str">
        <f aca="false">IF($A286="","",IFERROR(IF(INDEX(원본명단!$C$3:$C$6002,MATCH("R"&amp;281,정리결과!$J$6:$J$6005,0))="","",INDEX(원본명단!$C$3:$C$6002,MATCH("R"&amp;281,정리결과!$J$6:$J$6005,0))),""))</f>
        <v/>
      </c>
      <c r="D286" s="10" t="str">
        <f aca="false">IF($A286="","",IFERROR(IF(INDEX(원본명단!$D$3:$D$6002,MATCH("R"&amp;281,정리결과!$J$6:$J$6005,0))="","",INDEX(원본명단!$D$3:$D$6002,MATCH("R"&amp;281,정리결과!$J$6:$J$6005,0))),""))</f>
        <v/>
      </c>
      <c r="E286" s="10" t="str">
        <f aca="false">IF($A286="","",IFERROR(IF(INDEX(원본명단!$E$3:$E$6002,MATCH("R"&amp;281,정리결과!$J$6:$J$6005,0))="","",INDEX(원본명단!$E$3:$E$6002,MATCH("R"&amp;281,정리결과!$J$6:$J$6005,0))),""))</f>
        <v/>
      </c>
      <c r="F286" s="10" t="str">
        <f aca="false">IF($A286="","",IFERROR(IF(INDEX(원본명단!$F$3:$F$6002,MATCH("R"&amp;281,정리결과!$J$6:$J$6005,0))="","",INDEX(원본명단!$F$3:$F$6002,MATCH("R"&amp;281,정리결과!$J$6:$J$6005,0))),""))</f>
        <v/>
      </c>
      <c r="H286" s="14" t="b">
        <f aca="false">IF(중복검사!$A284="",FALSE(),중복검사!$J284="유지")</f>
        <v>0</v>
      </c>
      <c r="I286" s="5" t="str">
        <f aca="false">IF($H286=FALSE(),"",COUNTIF($H$6:$H286,TRUE()))</f>
        <v/>
      </c>
      <c r="J286" s="5" t="str">
        <f aca="false">IF($I286="","","R"&amp;$I286)</f>
        <v/>
      </c>
    </row>
    <row r="287" customFormat="false" ht="15" hidden="false" customHeight="true" outlineLevel="0" collapsed="false">
      <c r="A287" s="10" t="str">
        <f aca="false">IFERROR(IF(INDEX(원본명단!$A$3:$A$6002,MATCH("R"&amp;282,정리결과!$J$6:$J$6005,0))="","",INDEX(원본명단!$A$3:$A$6002,MATCH("R"&amp;282,정리결과!$J$6:$J$6005,0))),"")</f>
        <v/>
      </c>
      <c r="B287" s="10" t="str">
        <f aca="false">IF($A287="","",IFERROR(IF(INDEX(원본명단!$B$3:$B$6002,MATCH("R"&amp;282,정리결과!$J$6:$J$6005,0))="","",INDEX(원본명단!$B$3:$B$6002,MATCH("R"&amp;282,정리결과!$J$6:$J$6005,0))),""))</f>
        <v/>
      </c>
      <c r="C287" s="10" t="str">
        <f aca="false">IF($A287="","",IFERROR(IF(INDEX(원본명단!$C$3:$C$6002,MATCH("R"&amp;282,정리결과!$J$6:$J$6005,0))="","",INDEX(원본명단!$C$3:$C$6002,MATCH("R"&amp;282,정리결과!$J$6:$J$6005,0))),""))</f>
        <v/>
      </c>
      <c r="D287" s="10" t="str">
        <f aca="false">IF($A287="","",IFERROR(IF(INDEX(원본명단!$D$3:$D$6002,MATCH("R"&amp;282,정리결과!$J$6:$J$6005,0))="","",INDEX(원본명단!$D$3:$D$6002,MATCH("R"&amp;282,정리결과!$J$6:$J$6005,0))),""))</f>
        <v/>
      </c>
      <c r="E287" s="10" t="str">
        <f aca="false">IF($A287="","",IFERROR(IF(INDEX(원본명단!$E$3:$E$6002,MATCH("R"&amp;282,정리결과!$J$6:$J$6005,0))="","",INDEX(원본명단!$E$3:$E$6002,MATCH("R"&amp;282,정리결과!$J$6:$J$6005,0))),""))</f>
        <v/>
      </c>
      <c r="F287" s="10" t="str">
        <f aca="false">IF($A287="","",IFERROR(IF(INDEX(원본명단!$F$3:$F$6002,MATCH("R"&amp;282,정리결과!$J$6:$J$6005,0))="","",INDEX(원본명단!$F$3:$F$6002,MATCH("R"&amp;282,정리결과!$J$6:$J$6005,0))),""))</f>
        <v/>
      </c>
      <c r="H287" s="14" t="b">
        <f aca="false">IF(중복검사!$A285="",FALSE(),중복검사!$J285="유지")</f>
        <v>0</v>
      </c>
      <c r="I287" s="5" t="str">
        <f aca="false">IF($H287=FALSE(),"",COUNTIF($H$6:$H287,TRUE()))</f>
        <v/>
      </c>
      <c r="J287" s="5" t="str">
        <f aca="false">IF($I287="","","R"&amp;$I287)</f>
        <v/>
      </c>
    </row>
    <row r="288" customFormat="false" ht="15" hidden="false" customHeight="true" outlineLevel="0" collapsed="false">
      <c r="A288" s="10" t="str">
        <f aca="false">IFERROR(IF(INDEX(원본명단!$A$3:$A$6002,MATCH("R"&amp;283,정리결과!$J$6:$J$6005,0))="","",INDEX(원본명단!$A$3:$A$6002,MATCH("R"&amp;283,정리결과!$J$6:$J$6005,0))),"")</f>
        <v/>
      </c>
      <c r="B288" s="10" t="str">
        <f aca="false">IF($A288="","",IFERROR(IF(INDEX(원본명단!$B$3:$B$6002,MATCH("R"&amp;283,정리결과!$J$6:$J$6005,0))="","",INDEX(원본명단!$B$3:$B$6002,MATCH("R"&amp;283,정리결과!$J$6:$J$6005,0))),""))</f>
        <v/>
      </c>
      <c r="C288" s="10" t="str">
        <f aca="false">IF($A288="","",IFERROR(IF(INDEX(원본명단!$C$3:$C$6002,MATCH("R"&amp;283,정리결과!$J$6:$J$6005,0))="","",INDEX(원본명단!$C$3:$C$6002,MATCH("R"&amp;283,정리결과!$J$6:$J$6005,0))),""))</f>
        <v/>
      </c>
      <c r="D288" s="10" t="str">
        <f aca="false">IF($A288="","",IFERROR(IF(INDEX(원본명단!$D$3:$D$6002,MATCH("R"&amp;283,정리결과!$J$6:$J$6005,0))="","",INDEX(원본명단!$D$3:$D$6002,MATCH("R"&amp;283,정리결과!$J$6:$J$6005,0))),""))</f>
        <v/>
      </c>
      <c r="E288" s="10" t="str">
        <f aca="false">IF($A288="","",IFERROR(IF(INDEX(원본명단!$E$3:$E$6002,MATCH("R"&amp;283,정리결과!$J$6:$J$6005,0))="","",INDEX(원본명단!$E$3:$E$6002,MATCH("R"&amp;283,정리결과!$J$6:$J$6005,0))),""))</f>
        <v/>
      </c>
      <c r="F288" s="10" t="str">
        <f aca="false">IF($A288="","",IFERROR(IF(INDEX(원본명단!$F$3:$F$6002,MATCH("R"&amp;283,정리결과!$J$6:$J$6005,0))="","",INDEX(원본명단!$F$3:$F$6002,MATCH("R"&amp;283,정리결과!$J$6:$J$6005,0))),""))</f>
        <v/>
      </c>
      <c r="H288" s="14" t="b">
        <f aca="false">IF(중복검사!$A286="",FALSE(),중복검사!$J286="유지")</f>
        <v>0</v>
      </c>
      <c r="I288" s="5" t="str">
        <f aca="false">IF($H288=FALSE(),"",COUNTIF($H$6:$H288,TRUE()))</f>
        <v/>
      </c>
      <c r="J288" s="5" t="str">
        <f aca="false">IF($I288="","","R"&amp;$I288)</f>
        <v/>
      </c>
    </row>
    <row r="289" customFormat="false" ht="15" hidden="false" customHeight="true" outlineLevel="0" collapsed="false">
      <c r="A289" s="10" t="str">
        <f aca="false">IFERROR(IF(INDEX(원본명단!$A$3:$A$6002,MATCH("R"&amp;284,정리결과!$J$6:$J$6005,0))="","",INDEX(원본명단!$A$3:$A$6002,MATCH("R"&amp;284,정리결과!$J$6:$J$6005,0))),"")</f>
        <v/>
      </c>
      <c r="B289" s="10" t="str">
        <f aca="false">IF($A289="","",IFERROR(IF(INDEX(원본명단!$B$3:$B$6002,MATCH("R"&amp;284,정리결과!$J$6:$J$6005,0))="","",INDEX(원본명단!$B$3:$B$6002,MATCH("R"&amp;284,정리결과!$J$6:$J$6005,0))),""))</f>
        <v/>
      </c>
      <c r="C289" s="10" t="str">
        <f aca="false">IF($A289="","",IFERROR(IF(INDEX(원본명단!$C$3:$C$6002,MATCH("R"&amp;284,정리결과!$J$6:$J$6005,0))="","",INDEX(원본명단!$C$3:$C$6002,MATCH("R"&amp;284,정리결과!$J$6:$J$6005,0))),""))</f>
        <v/>
      </c>
      <c r="D289" s="10" t="str">
        <f aca="false">IF($A289="","",IFERROR(IF(INDEX(원본명단!$D$3:$D$6002,MATCH("R"&amp;284,정리결과!$J$6:$J$6005,0))="","",INDEX(원본명단!$D$3:$D$6002,MATCH("R"&amp;284,정리결과!$J$6:$J$6005,0))),""))</f>
        <v/>
      </c>
      <c r="E289" s="10" t="str">
        <f aca="false">IF($A289="","",IFERROR(IF(INDEX(원본명단!$E$3:$E$6002,MATCH("R"&amp;284,정리결과!$J$6:$J$6005,0))="","",INDEX(원본명단!$E$3:$E$6002,MATCH("R"&amp;284,정리결과!$J$6:$J$6005,0))),""))</f>
        <v/>
      </c>
      <c r="F289" s="10" t="str">
        <f aca="false">IF($A289="","",IFERROR(IF(INDEX(원본명단!$F$3:$F$6002,MATCH("R"&amp;284,정리결과!$J$6:$J$6005,0))="","",INDEX(원본명단!$F$3:$F$6002,MATCH("R"&amp;284,정리결과!$J$6:$J$6005,0))),""))</f>
        <v/>
      </c>
      <c r="H289" s="14" t="b">
        <f aca="false">IF(중복검사!$A287="",FALSE(),중복검사!$J287="유지")</f>
        <v>0</v>
      </c>
      <c r="I289" s="5" t="str">
        <f aca="false">IF($H289=FALSE(),"",COUNTIF($H$6:$H289,TRUE()))</f>
        <v/>
      </c>
      <c r="J289" s="5" t="str">
        <f aca="false">IF($I289="","","R"&amp;$I289)</f>
        <v/>
      </c>
    </row>
    <row r="290" customFormat="false" ht="15" hidden="false" customHeight="true" outlineLevel="0" collapsed="false">
      <c r="A290" s="10" t="str">
        <f aca="false">IFERROR(IF(INDEX(원본명단!$A$3:$A$6002,MATCH("R"&amp;285,정리결과!$J$6:$J$6005,0))="","",INDEX(원본명단!$A$3:$A$6002,MATCH("R"&amp;285,정리결과!$J$6:$J$6005,0))),"")</f>
        <v/>
      </c>
      <c r="B290" s="10" t="str">
        <f aca="false">IF($A290="","",IFERROR(IF(INDEX(원본명단!$B$3:$B$6002,MATCH("R"&amp;285,정리결과!$J$6:$J$6005,0))="","",INDEX(원본명단!$B$3:$B$6002,MATCH("R"&amp;285,정리결과!$J$6:$J$6005,0))),""))</f>
        <v/>
      </c>
      <c r="C290" s="10" t="str">
        <f aca="false">IF($A290="","",IFERROR(IF(INDEX(원본명단!$C$3:$C$6002,MATCH("R"&amp;285,정리결과!$J$6:$J$6005,0))="","",INDEX(원본명단!$C$3:$C$6002,MATCH("R"&amp;285,정리결과!$J$6:$J$6005,0))),""))</f>
        <v/>
      </c>
      <c r="D290" s="10" t="str">
        <f aca="false">IF($A290="","",IFERROR(IF(INDEX(원본명단!$D$3:$D$6002,MATCH("R"&amp;285,정리결과!$J$6:$J$6005,0))="","",INDEX(원본명단!$D$3:$D$6002,MATCH("R"&amp;285,정리결과!$J$6:$J$6005,0))),""))</f>
        <v/>
      </c>
      <c r="E290" s="10" t="str">
        <f aca="false">IF($A290="","",IFERROR(IF(INDEX(원본명단!$E$3:$E$6002,MATCH("R"&amp;285,정리결과!$J$6:$J$6005,0))="","",INDEX(원본명단!$E$3:$E$6002,MATCH("R"&amp;285,정리결과!$J$6:$J$6005,0))),""))</f>
        <v/>
      </c>
      <c r="F290" s="10" t="str">
        <f aca="false">IF($A290="","",IFERROR(IF(INDEX(원본명단!$F$3:$F$6002,MATCH("R"&amp;285,정리결과!$J$6:$J$6005,0))="","",INDEX(원본명단!$F$3:$F$6002,MATCH("R"&amp;285,정리결과!$J$6:$J$6005,0))),""))</f>
        <v/>
      </c>
      <c r="H290" s="14" t="b">
        <f aca="false">IF(중복검사!$A288="",FALSE(),중복검사!$J288="유지")</f>
        <v>0</v>
      </c>
      <c r="I290" s="5" t="str">
        <f aca="false">IF($H290=FALSE(),"",COUNTIF($H$6:$H290,TRUE()))</f>
        <v/>
      </c>
      <c r="J290" s="5" t="str">
        <f aca="false">IF($I290="","","R"&amp;$I290)</f>
        <v/>
      </c>
    </row>
    <row r="291" customFormat="false" ht="15" hidden="false" customHeight="true" outlineLevel="0" collapsed="false">
      <c r="A291" s="10" t="str">
        <f aca="false">IFERROR(IF(INDEX(원본명단!$A$3:$A$6002,MATCH("R"&amp;286,정리결과!$J$6:$J$6005,0))="","",INDEX(원본명단!$A$3:$A$6002,MATCH("R"&amp;286,정리결과!$J$6:$J$6005,0))),"")</f>
        <v/>
      </c>
      <c r="B291" s="10" t="str">
        <f aca="false">IF($A291="","",IFERROR(IF(INDEX(원본명단!$B$3:$B$6002,MATCH("R"&amp;286,정리결과!$J$6:$J$6005,0))="","",INDEX(원본명단!$B$3:$B$6002,MATCH("R"&amp;286,정리결과!$J$6:$J$6005,0))),""))</f>
        <v/>
      </c>
      <c r="C291" s="10" t="str">
        <f aca="false">IF($A291="","",IFERROR(IF(INDEX(원본명단!$C$3:$C$6002,MATCH("R"&amp;286,정리결과!$J$6:$J$6005,0))="","",INDEX(원본명단!$C$3:$C$6002,MATCH("R"&amp;286,정리결과!$J$6:$J$6005,0))),""))</f>
        <v/>
      </c>
      <c r="D291" s="10" t="str">
        <f aca="false">IF($A291="","",IFERROR(IF(INDEX(원본명단!$D$3:$D$6002,MATCH("R"&amp;286,정리결과!$J$6:$J$6005,0))="","",INDEX(원본명단!$D$3:$D$6002,MATCH("R"&amp;286,정리결과!$J$6:$J$6005,0))),""))</f>
        <v/>
      </c>
      <c r="E291" s="10" t="str">
        <f aca="false">IF($A291="","",IFERROR(IF(INDEX(원본명단!$E$3:$E$6002,MATCH("R"&amp;286,정리결과!$J$6:$J$6005,0))="","",INDEX(원본명단!$E$3:$E$6002,MATCH("R"&amp;286,정리결과!$J$6:$J$6005,0))),""))</f>
        <v/>
      </c>
      <c r="F291" s="10" t="str">
        <f aca="false">IF($A291="","",IFERROR(IF(INDEX(원본명단!$F$3:$F$6002,MATCH("R"&amp;286,정리결과!$J$6:$J$6005,0))="","",INDEX(원본명단!$F$3:$F$6002,MATCH("R"&amp;286,정리결과!$J$6:$J$6005,0))),""))</f>
        <v/>
      </c>
      <c r="H291" s="14" t="b">
        <f aca="false">IF(중복검사!$A289="",FALSE(),중복검사!$J289="유지")</f>
        <v>0</v>
      </c>
      <c r="I291" s="5" t="str">
        <f aca="false">IF($H291=FALSE(),"",COUNTIF($H$6:$H291,TRUE()))</f>
        <v/>
      </c>
      <c r="J291" s="5" t="str">
        <f aca="false">IF($I291="","","R"&amp;$I291)</f>
        <v/>
      </c>
    </row>
    <row r="292" customFormat="false" ht="15" hidden="false" customHeight="true" outlineLevel="0" collapsed="false">
      <c r="A292" s="10" t="str">
        <f aca="false">IFERROR(IF(INDEX(원본명단!$A$3:$A$6002,MATCH("R"&amp;287,정리결과!$J$6:$J$6005,0))="","",INDEX(원본명단!$A$3:$A$6002,MATCH("R"&amp;287,정리결과!$J$6:$J$6005,0))),"")</f>
        <v/>
      </c>
      <c r="B292" s="10" t="str">
        <f aca="false">IF($A292="","",IFERROR(IF(INDEX(원본명단!$B$3:$B$6002,MATCH("R"&amp;287,정리결과!$J$6:$J$6005,0))="","",INDEX(원본명단!$B$3:$B$6002,MATCH("R"&amp;287,정리결과!$J$6:$J$6005,0))),""))</f>
        <v/>
      </c>
      <c r="C292" s="10" t="str">
        <f aca="false">IF($A292="","",IFERROR(IF(INDEX(원본명단!$C$3:$C$6002,MATCH("R"&amp;287,정리결과!$J$6:$J$6005,0))="","",INDEX(원본명단!$C$3:$C$6002,MATCH("R"&amp;287,정리결과!$J$6:$J$6005,0))),""))</f>
        <v/>
      </c>
      <c r="D292" s="10" t="str">
        <f aca="false">IF($A292="","",IFERROR(IF(INDEX(원본명단!$D$3:$D$6002,MATCH("R"&amp;287,정리결과!$J$6:$J$6005,0))="","",INDEX(원본명단!$D$3:$D$6002,MATCH("R"&amp;287,정리결과!$J$6:$J$6005,0))),""))</f>
        <v/>
      </c>
      <c r="E292" s="10" t="str">
        <f aca="false">IF($A292="","",IFERROR(IF(INDEX(원본명단!$E$3:$E$6002,MATCH("R"&amp;287,정리결과!$J$6:$J$6005,0))="","",INDEX(원본명단!$E$3:$E$6002,MATCH("R"&amp;287,정리결과!$J$6:$J$6005,0))),""))</f>
        <v/>
      </c>
      <c r="F292" s="10" t="str">
        <f aca="false">IF($A292="","",IFERROR(IF(INDEX(원본명단!$F$3:$F$6002,MATCH("R"&amp;287,정리결과!$J$6:$J$6005,0))="","",INDEX(원본명단!$F$3:$F$6002,MATCH("R"&amp;287,정리결과!$J$6:$J$6005,0))),""))</f>
        <v/>
      </c>
      <c r="H292" s="14" t="b">
        <f aca="false">IF(중복검사!$A290="",FALSE(),중복검사!$J290="유지")</f>
        <v>0</v>
      </c>
      <c r="I292" s="5" t="str">
        <f aca="false">IF($H292=FALSE(),"",COUNTIF($H$6:$H292,TRUE()))</f>
        <v/>
      </c>
      <c r="J292" s="5" t="str">
        <f aca="false">IF($I292="","","R"&amp;$I292)</f>
        <v/>
      </c>
    </row>
    <row r="293" customFormat="false" ht="15" hidden="false" customHeight="true" outlineLevel="0" collapsed="false">
      <c r="A293" s="10" t="str">
        <f aca="false">IFERROR(IF(INDEX(원본명단!$A$3:$A$6002,MATCH("R"&amp;288,정리결과!$J$6:$J$6005,0))="","",INDEX(원본명단!$A$3:$A$6002,MATCH("R"&amp;288,정리결과!$J$6:$J$6005,0))),"")</f>
        <v/>
      </c>
      <c r="B293" s="10" t="str">
        <f aca="false">IF($A293="","",IFERROR(IF(INDEX(원본명단!$B$3:$B$6002,MATCH("R"&amp;288,정리결과!$J$6:$J$6005,0))="","",INDEX(원본명단!$B$3:$B$6002,MATCH("R"&amp;288,정리결과!$J$6:$J$6005,0))),""))</f>
        <v/>
      </c>
      <c r="C293" s="10" t="str">
        <f aca="false">IF($A293="","",IFERROR(IF(INDEX(원본명단!$C$3:$C$6002,MATCH("R"&amp;288,정리결과!$J$6:$J$6005,0))="","",INDEX(원본명단!$C$3:$C$6002,MATCH("R"&amp;288,정리결과!$J$6:$J$6005,0))),""))</f>
        <v/>
      </c>
      <c r="D293" s="10" t="str">
        <f aca="false">IF($A293="","",IFERROR(IF(INDEX(원본명단!$D$3:$D$6002,MATCH("R"&amp;288,정리결과!$J$6:$J$6005,0))="","",INDEX(원본명단!$D$3:$D$6002,MATCH("R"&amp;288,정리결과!$J$6:$J$6005,0))),""))</f>
        <v/>
      </c>
      <c r="E293" s="10" t="str">
        <f aca="false">IF($A293="","",IFERROR(IF(INDEX(원본명단!$E$3:$E$6002,MATCH("R"&amp;288,정리결과!$J$6:$J$6005,0))="","",INDEX(원본명단!$E$3:$E$6002,MATCH("R"&amp;288,정리결과!$J$6:$J$6005,0))),""))</f>
        <v/>
      </c>
      <c r="F293" s="10" t="str">
        <f aca="false">IF($A293="","",IFERROR(IF(INDEX(원본명단!$F$3:$F$6002,MATCH("R"&amp;288,정리결과!$J$6:$J$6005,0))="","",INDEX(원본명단!$F$3:$F$6002,MATCH("R"&amp;288,정리결과!$J$6:$J$6005,0))),""))</f>
        <v/>
      </c>
      <c r="H293" s="14" t="b">
        <f aca="false">IF(중복검사!$A291="",FALSE(),중복검사!$J291="유지")</f>
        <v>0</v>
      </c>
      <c r="I293" s="5" t="str">
        <f aca="false">IF($H293=FALSE(),"",COUNTIF($H$6:$H293,TRUE()))</f>
        <v/>
      </c>
      <c r="J293" s="5" t="str">
        <f aca="false">IF($I293="","","R"&amp;$I293)</f>
        <v/>
      </c>
    </row>
    <row r="294" customFormat="false" ht="15" hidden="false" customHeight="true" outlineLevel="0" collapsed="false">
      <c r="A294" s="10" t="str">
        <f aca="false">IFERROR(IF(INDEX(원본명단!$A$3:$A$6002,MATCH("R"&amp;289,정리결과!$J$6:$J$6005,0))="","",INDEX(원본명단!$A$3:$A$6002,MATCH("R"&amp;289,정리결과!$J$6:$J$6005,0))),"")</f>
        <v/>
      </c>
      <c r="B294" s="10" t="str">
        <f aca="false">IF($A294="","",IFERROR(IF(INDEX(원본명단!$B$3:$B$6002,MATCH("R"&amp;289,정리결과!$J$6:$J$6005,0))="","",INDEX(원본명단!$B$3:$B$6002,MATCH("R"&amp;289,정리결과!$J$6:$J$6005,0))),""))</f>
        <v/>
      </c>
      <c r="C294" s="10" t="str">
        <f aca="false">IF($A294="","",IFERROR(IF(INDEX(원본명단!$C$3:$C$6002,MATCH("R"&amp;289,정리결과!$J$6:$J$6005,0))="","",INDEX(원본명단!$C$3:$C$6002,MATCH("R"&amp;289,정리결과!$J$6:$J$6005,0))),""))</f>
        <v/>
      </c>
      <c r="D294" s="10" t="str">
        <f aca="false">IF($A294="","",IFERROR(IF(INDEX(원본명단!$D$3:$D$6002,MATCH("R"&amp;289,정리결과!$J$6:$J$6005,0))="","",INDEX(원본명단!$D$3:$D$6002,MATCH("R"&amp;289,정리결과!$J$6:$J$6005,0))),""))</f>
        <v/>
      </c>
      <c r="E294" s="10" t="str">
        <f aca="false">IF($A294="","",IFERROR(IF(INDEX(원본명단!$E$3:$E$6002,MATCH("R"&amp;289,정리결과!$J$6:$J$6005,0))="","",INDEX(원본명단!$E$3:$E$6002,MATCH("R"&amp;289,정리결과!$J$6:$J$6005,0))),""))</f>
        <v/>
      </c>
      <c r="F294" s="10" t="str">
        <f aca="false">IF($A294="","",IFERROR(IF(INDEX(원본명단!$F$3:$F$6002,MATCH("R"&amp;289,정리결과!$J$6:$J$6005,0))="","",INDEX(원본명단!$F$3:$F$6002,MATCH("R"&amp;289,정리결과!$J$6:$J$6005,0))),""))</f>
        <v/>
      </c>
      <c r="H294" s="14" t="b">
        <f aca="false">IF(중복검사!$A292="",FALSE(),중복검사!$J292="유지")</f>
        <v>0</v>
      </c>
      <c r="I294" s="5" t="str">
        <f aca="false">IF($H294=FALSE(),"",COUNTIF($H$6:$H294,TRUE()))</f>
        <v/>
      </c>
      <c r="J294" s="5" t="str">
        <f aca="false">IF($I294="","","R"&amp;$I294)</f>
        <v/>
      </c>
    </row>
    <row r="295" customFormat="false" ht="15" hidden="false" customHeight="true" outlineLevel="0" collapsed="false">
      <c r="A295" s="10" t="str">
        <f aca="false">IFERROR(IF(INDEX(원본명단!$A$3:$A$6002,MATCH("R"&amp;290,정리결과!$J$6:$J$6005,0))="","",INDEX(원본명단!$A$3:$A$6002,MATCH("R"&amp;290,정리결과!$J$6:$J$6005,0))),"")</f>
        <v/>
      </c>
      <c r="B295" s="10" t="str">
        <f aca="false">IF($A295="","",IFERROR(IF(INDEX(원본명단!$B$3:$B$6002,MATCH("R"&amp;290,정리결과!$J$6:$J$6005,0))="","",INDEX(원본명단!$B$3:$B$6002,MATCH("R"&amp;290,정리결과!$J$6:$J$6005,0))),""))</f>
        <v/>
      </c>
      <c r="C295" s="10" t="str">
        <f aca="false">IF($A295="","",IFERROR(IF(INDEX(원본명단!$C$3:$C$6002,MATCH("R"&amp;290,정리결과!$J$6:$J$6005,0))="","",INDEX(원본명단!$C$3:$C$6002,MATCH("R"&amp;290,정리결과!$J$6:$J$6005,0))),""))</f>
        <v/>
      </c>
      <c r="D295" s="10" t="str">
        <f aca="false">IF($A295="","",IFERROR(IF(INDEX(원본명단!$D$3:$D$6002,MATCH("R"&amp;290,정리결과!$J$6:$J$6005,0))="","",INDEX(원본명단!$D$3:$D$6002,MATCH("R"&amp;290,정리결과!$J$6:$J$6005,0))),""))</f>
        <v/>
      </c>
      <c r="E295" s="10" t="str">
        <f aca="false">IF($A295="","",IFERROR(IF(INDEX(원본명단!$E$3:$E$6002,MATCH("R"&amp;290,정리결과!$J$6:$J$6005,0))="","",INDEX(원본명단!$E$3:$E$6002,MATCH("R"&amp;290,정리결과!$J$6:$J$6005,0))),""))</f>
        <v/>
      </c>
      <c r="F295" s="10" t="str">
        <f aca="false">IF($A295="","",IFERROR(IF(INDEX(원본명단!$F$3:$F$6002,MATCH("R"&amp;290,정리결과!$J$6:$J$6005,0))="","",INDEX(원본명단!$F$3:$F$6002,MATCH("R"&amp;290,정리결과!$J$6:$J$6005,0))),""))</f>
        <v/>
      </c>
      <c r="H295" s="14" t="b">
        <f aca="false">IF(중복검사!$A293="",FALSE(),중복검사!$J293="유지")</f>
        <v>0</v>
      </c>
      <c r="I295" s="5" t="str">
        <f aca="false">IF($H295=FALSE(),"",COUNTIF($H$6:$H295,TRUE()))</f>
        <v/>
      </c>
      <c r="J295" s="5" t="str">
        <f aca="false">IF($I295="","","R"&amp;$I295)</f>
        <v/>
      </c>
    </row>
    <row r="296" customFormat="false" ht="15" hidden="false" customHeight="true" outlineLevel="0" collapsed="false">
      <c r="A296" s="10" t="str">
        <f aca="false">IFERROR(IF(INDEX(원본명단!$A$3:$A$6002,MATCH("R"&amp;291,정리결과!$J$6:$J$6005,0))="","",INDEX(원본명단!$A$3:$A$6002,MATCH("R"&amp;291,정리결과!$J$6:$J$6005,0))),"")</f>
        <v/>
      </c>
      <c r="B296" s="10" t="str">
        <f aca="false">IF($A296="","",IFERROR(IF(INDEX(원본명단!$B$3:$B$6002,MATCH("R"&amp;291,정리결과!$J$6:$J$6005,0))="","",INDEX(원본명단!$B$3:$B$6002,MATCH("R"&amp;291,정리결과!$J$6:$J$6005,0))),""))</f>
        <v/>
      </c>
      <c r="C296" s="10" t="str">
        <f aca="false">IF($A296="","",IFERROR(IF(INDEX(원본명단!$C$3:$C$6002,MATCH("R"&amp;291,정리결과!$J$6:$J$6005,0))="","",INDEX(원본명단!$C$3:$C$6002,MATCH("R"&amp;291,정리결과!$J$6:$J$6005,0))),""))</f>
        <v/>
      </c>
      <c r="D296" s="10" t="str">
        <f aca="false">IF($A296="","",IFERROR(IF(INDEX(원본명단!$D$3:$D$6002,MATCH("R"&amp;291,정리결과!$J$6:$J$6005,0))="","",INDEX(원본명단!$D$3:$D$6002,MATCH("R"&amp;291,정리결과!$J$6:$J$6005,0))),""))</f>
        <v/>
      </c>
      <c r="E296" s="10" t="str">
        <f aca="false">IF($A296="","",IFERROR(IF(INDEX(원본명단!$E$3:$E$6002,MATCH("R"&amp;291,정리결과!$J$6:$J$6005,0))="","",INDEX(원본명단!$E$3:$E$6002,MATCH("R"&amp;291,정리결과!$J$6:$J$6005,0))),""))</f>
        <v/>
      </c>
      <c r="F296" s="10" t="str">
        <f aca="false">IF($A296="","",IFERROR(IF(INDEX(원본명단!$F$3:$F$6002,MATCH("R"&amp;291,정리결과!$J$6:$J$6005,0))="","",INDEX(원본명단!$F$3:$F$6002,MATCH("R"&amp;291,정리결과!$J$6:$J$6005,0))),""))</f>
        <v/>
      </c>
      <c r="H296" s="14" t="b">
        <f aca="false">IF(중복검사!$A294="",FALSE(),중복검사!$J294="유지")</f>
        <v>0</v>
      </c>
      <c r="I296" s="5" t="str">
        <f aca="false">IF($H296=FALSE(),"",COUNTIF($H$6:$H296,TRUE()))</f>
        <v/>
      </c>
      <c r="J296" s="5" t="str">
        <f aca="false">IF($I296="","","R"&amp;$I296)</f>
        <v/>
      </c>
    </row>
    <row r="297" customFormat="false" ht="15" hidden="false" customHeight="true" outlineLevel="0" collapsed="false">
      <c r="A297" s="10" t="str">
        <f aca="false">IFERROR(IF(INDEX(원본명단!$A$3:$A$6002,MATCH("R"&amp;292,정리결과!$J$6:$J$6005,0))="","",INDEX(원본명단!$A$3:$A$6002,MATCH("R"&amp;292,정리결과!$J$6:$J$6005,0))),"")</f>
        <v/>
      </c>
      <c r="B297" s="10" t="str">
        <f aca="false">IF($A297="","",IFERROR(IF(INDEX(원본명단!$B$3:$B$6002,MATCH("R"&amp;292,정리결과!$J$6:$J$6005,0))="","",INDEX(원본명단!$B$3:$B$6002,MATCH("R"&amp;292,정리결과!$J$6:$J$6005,0))),""))</f>
        <v/>
      </c>
      <c r="C297" s="10" t="str">
        <f aca="false">IF($A297="","",IFERROR(IF(INDEX(원본명단!$C$3:$C$6002,MATCH("R"&amp;292,정리결과!$J$6:$J$6005,0))="","",INDEX(원본명단!$C$3:$C$6002,MATCH("R"&amp;292,정리결과!$J$6:$J$6005,0))),""))</f>
        <v/>
      </c>
      <c r="D297" s="10" t="str">
        <f aca="false">IF($A297="","",IFERROR(IF(INDEX(원본명단!$D$3:$D$6002,MATCH("R"&amp;292,정리결과!$J$6:$J$6005,0))="","",INDEX(원본명단!$D$3:$D$6002,MATCH("R"&amp;292,정리결과!$J$6:$J$6005,0))),""))</f>
        <v/>
      </c>
      <c r="E297" s="10" t="str">
        <f aca="false">IF($A297="","",IFERROR(IF(INDEX(원본명단!$E$3:$E$6002,MATCH("R"&amp;292,정리결과!$J$6:$J$6005,0))="","",INDEX(원본명단!$E$3:$E$6002,MATCH("R"&amp;292,정리결과!$J$6:$J$6005,0))),""))</f>
        <v/>
      </c>
      <c r="F297" s="10" t="str">
        <f aca="false">IF($A297="","",IFERROR(IF(INDEX(원본명단!$F$3:$F$6002,MATCH("R"&amp;292,정리결과!$J$6:$J$6005,0))="","",INDEX(원본명단!$F$3:$F$6002,MATCH("R"&amp;292,정리결과!$J$6:$J$6005,0))),""))</f>
        <v/>
      </c>
      <c r="H297" s="14" t="b">
        <f aca="false">IF(중복검사!$A295="",FALSE(),중복검사!$J295="유지")</f>
        <v>0</v>
      </c>
      <c r="I297" s="5" t="str">
        <f aca="false">IF($H297=FALSE(),"",COUNTIF($H$6:$H297,TRUE()))</f>
        <v/>
      </c>
      <c r="J297" s="5" t="str">
        <f aca="false">IF($I297="","","R"&amp;$I297)</f>
        <v/>
      </c>
    </row>
    <row r="298" customFormat="false" ht="15" hidden="false" customHeight="true" outlineLevel="0" collapsed="false">
      <c r="A298" s="10" t="str">
        <f aca="false">IFERROR(IF(INDEX(원본명단!$A$3:$A$6002,MATCH("R"&amp;293,정리결과!$J$6:$J$6005,0))="","",INDEX(원본명단!$A$3:$A$6002,MATCH("R"&amp;293,정리결과!$J$6:$J$6005,0))),"")</f>
        <v/>
      </c>
      <c r="B298" s="10" t="str">
        <f aca="false">IF($A298="","",IFERROR(IF(INDEX(원본명단!$B$3:$B$6002,MATCH("R"&amp;293,정리결과!$J$6:$J$6005,0))="","",INDEX(원본명단!$B$3:$B$6002,MATCH("R"&amp;293,정리결과!$J$6:$J$6005,0))),""))</f>
        <v/>
      </c>
      <c r="C298" s="10" t="str">
        <f aca="false">IF($A298="","",IFERROR(IF(INDEX(원본명단!$C$3:$C$6002,MATCH("R"&amp;293,정리결과!$J$6:$J$6005,0))="","",INDEX(원본명단!$C$3:$C$6002,MATCH("R"&amp;293,정리결과!$J$6:$J$6005,0))),""))</f>
        <v/>
      </c>
      <c r="D298" s="10" t="str">
        <f aca="false">IF($A298="","",IFERROR(IF(INDEX(원본명단!$D$3:$D$6002,MATCH("R"&amp;293,정리결과!$J$6:$J$6005,0))="","",INDEX(원본명단!$D$3:$D$6002,MATCH("R"&amp;293,정리결과!$J$6:$J$6005,0))),""))</f>
        <v/>
      </c>
      <c r="E298" s="10" t="str">
        <f aca="false">IF($A298="","",IFERROR(IF(INDEX(원본명단!$E$3:$E$6002,MATCH("R"&amp;293,정리결과!$J$6:$J$6005,0))="","",INDEX(원본명단!$E$3:$E$6002,MATCH("R"&amp;293,정리결과!$J$6:$J$6005,0))),""))</f>
        <v/>
      </c>
      <c r="F298" s="10" t="str">
        <f aca="false">IF($A298="","",IFERROR(IF(INDEX(원본명단!$F$3:$F$6002,MATCH("R"&amp;293,정리결과!$J$6:$J$6005,0))="","",INDEX(원본명단!$F$3:$F$6002,MATCH("R"&amp;293,정리결과!$J$6:$J$6005,0))),""))</f>
        <v/>
      </c>
      <c r="H298" s="14" t="b">
        <f aca="false">IF(중복검사!$A296="",FALSE(),중복검사!$J296="유지")</f>
        <v>0</v>
      </c>
      <c r="I298" s="5" t="str">
        <f aca="false">IF($H298=FALSE(),"",COUNTIF($H$6:$H298,TRUE()))</f>
        <v/>
      </c>
      <c r="J298" s="5" t="str">
        <f aca="false">IF($I298="","","R"&amp;$I298)</f>
        <v/>
      </c>
    </row>
    <row r="299" customFormat="false" ht="15" hidden="false" customHeight="true" outlineLevel="0" collapsed="false">
      <c r="A299" s="10" t="str">
        <f aca="false">IFERROR(IF(INDEX(원본명단!$A$3:$A$6002,MATCH("R"&amp;294,정리결과!$J$6:$J$6005,0))="","",INDEX(원본명단!$A$3:$A$6002,MATCH("R"&amp;294,정리결과!$J$6:$J$6005,0))),"")</f>
        <v/>
      </c>
      <c r="B299" s="10" t="str">
        <f aca="false">IF($A299="","",IFERROR(IF(INDEX(원본명단!$B$3:$B$6002,MATCH("R"&amp;294,정리결과!$J$6:$J$6005,0))="","",INDEX(원본명단!$B$3:$B$6002,MATCH("R"&amp;294,정리결과!$J$6:$J$6005,0))),""))</f>
        <v/>
      </c>
      <c r="C299" s="10" t="str">
        <f aca="false">IF($A299="","",IFERROR(IF(INDEX(원본명단!$C$3:$C$6002,MATCH("R"&amp;294,정리결과!$J$6:$J$6005,0))="","",INDEX(원본명단!$C$3:$C$6002,MATCH("R"&amp;294,정리결과!$J$6:$J$6005,0))),""))</f>
        <v/>
      </c>
      <c r="D299" s="10" t="str">
        <f aca="false">IF($A299="","",IFERROR(IF(INDEX(원본명단!$D$3:$D$6002,MATCH("R"&amp;294,정리결과!$J$6:$J$6005,0))="","",INDEX(원본명단!$D$3:$D$6002,MATCH("R"&amp;294,정리결과!$J$6:$J$6005,0))),""))</f>
        <v/>
      </c>
      <c r="E299" s="10" t="str">
        <f aca="false">IF($A299="","",IFERROR(IF(INDEX(원본명단!$E$3:$E$6002,MATCH("R"&amp;294,정리결과!$J$6:$J$6005,0))="","",INDEX(원본명단!$E$3:$E$6002,MATCH("R"&amp;294,정리결과!$J$6:$J$6005,0))),""))</f>
        <v/>
      </c>
      <c r="F299" s="10" t="str">
        <f aca="false">IF($A299="","",IFERROR(IF(INDEX(원본명단!$F$3:$F$6002,MATCH("R"&amp;294,정리결과!$J$6:$J$6005,0))="","",INDEX(원본명단!$F$3:$F$6002,MATCH("R"&amp;294,정리결과!$J$6:$J$6005,0))),""))</f>
        <v/>
      </c>
      <c r="H299" s="14" t="b">
        <f aca="false">IF(중복검사!$A297="",FALSE(),중복검사!$J297="유지")</f>
        <v>0</v>
      </c>
      <c r="I299" s="5" t="str">
        <f aca="false">IF($H299=FALSE(),"",COUNTIF($H$6:$H299,TRUE()))</f>
        <v/>
      </c>
      <c r="J299" s="5" t="str">
        <f aca="false">IF($I299="","","R"&amp;$I299)</f>
        <v/>
      </c>
    </row>
    <row r="300" customFormat="false" ht="15" hidden="false" customHeight="true" outlineLevel="0" collapsed="false">
      <c r="A300" s="10" t="str">
        <f aca="false">IFERROR(IF(INDEX(원본명단!$A$3:$A$6002,MATCH("R"&amp;295,정리결과!$J$6:$J$6005,0))="","",INDEX(원본명단!$A$3:$A$6002,MATCH("R"&amp;295,정리결과!$J$6:$J$6005,0))),"")</f>
        <v/>
      </c>
      <c r="B300" s="10" t="str">
        <f aca="false">IF($A300="","",IFERROR(IF(INDEX(원본명단!$B$3:$B$6002,MATCH("R"&amp;295,정리결과!$J$6:$J$6005,0))="","",INDEX(원본명단!$B$3:$B$6002,MATCH("R"&amp;295,정리결과!$J$6:$J$6005,0))),""))</f>
        <v/>
      </c>
      <c r="C300" s="10" t="str">
        <f aca="false">IF($A300="","",IFERROR(IF(INDEX(원본명단!$C$3:$C$6002,MATCH("R"&amp;295,정리결과!$J$6:$J$6005,0))="","",INDEX(원본명단!$C$3:$C$6002,MATCH("R"&amp;295,정리결과!$J$6:$J$6005,0))),""))</f>
        <v/>
      </c>
      <c r="D300" s="10" t="str">
        <f aca="false">IF($A300="","",IFERROR(IF(INDEX(원본명단!$D$3:$D$6002,MATCH("R"&amp;295,정리결과!$J$6:$J$6005,0))="","",INDEX(원본명단!$D$3:$D$6002,MATCH("R"&amp;295,정리결과!$J$6:$J$6005,0))),""))</f>
        <v/>
      </c>
      <c r="E300" s="10" t="str">
        <f aca="false">IF($A300="","",IFERROR(IF(INDEX(원본명단!$E$3:$E$6002,MATCH("R"&amp;295,정리결과!$J$6:$J$6005,0))="","",INDEX(원본명단!$E$3:$E$6002,MATCH("R"&amp;295,정리결과!$J$6:$J$6005,0))),""))</f>
        <v/>
      </c>
      <c r="F300" s="10" t="str">
        <f aca="false">IF($A300="","",IFERROR(IF(INDEX(원본명단!$F$3:$F$6002,MATCH("R"&amp;295,정리결과!$J$6:$J$6005,0))="","",INDEX(원본명단!$F$3:$F$6002,MATCH("R"&amp;295,정리결과!$J$6:$J$6005,0))),""))</f>
        <v/>
      </c>
      <c r="H300" s="14" t="b">
        <f aca="false">IF(중복검사!$A298="",FALSE(),중복검사!$J298="유지")</f>
        <v>0</v>
      </c>
      <c r="I300" s="5" t="str">
        <f aca="false">IF($H300=FALSE(),"",COUNTIF($H$6:$H300,TRUE()))</f>
        <v/>
      </c>
      <c r="J300" s="5" t="str">
        <f aca="false">IF($I300="","","R"&amp;$I300)</f>
        <v/>
      </c>
    </row>
    <row r="301" customFormat="false" ht="15" hidden="false" customHeight="true" outlineLevel="0" collapsed="false">
      <c r="A301" s="10" t="str">
        <f aca="false">IFERROR(IF(INDEX(원본명단!$A$3:$A$6002,MATCH("R"&amp;296,정리결과!$J$6:$J$6005,0))="","",INDEX(원본명단!$A$3:$A$6002,MATCH("R"&amp;296,정리결과!$J$6:$J$6005,0))),"")</f>
        <v/>
      </c>
      <c r="B301" s="10" t="str">
        <f aca="false">IF($A301="","",IFERROR(IF(INDEX(원본명단!$B$3:$B$6002,MATCH("R"&amp;296,정리결과!$J$6:$J$6005,0))="","",INDEX(원본명단!$B$3:$B$6002,MATCH("R"&amp;296,정리결과!$J$6:$J$6005,0))),""))</f>
        <v/>
      </c>
      <c r="C301" s="10" t="str">
        <f aca="false">IF($A301="","",IFERROR(IF(INDEX(원본명단!$C$3:$C$6002,MATCH("R"&amp;296,정리결과!$J$6:$J$6005,0))="","",INDEX(원본명단!$C$3:$C$6002,MATCH("R"&amp;296,정리결과!$J$6:$J$6005,0))),""))</f>
        <v/>
      </c>
      <c r="D301" s="10" t="str">
        <f aca="false">IF($A301="","",IFERROR(IF(INDEX(원본명단!$D$3:$D$6002,MATCH("R"&amp;296,정리결과!$J$6:$J$6005,0))="","",INDEX(원본명단!$D$3:$D$6002,MATCH("R"&amp;296,정리결과!$J$6:$J$6005,0))),""))</f>
        <v/>
      </c>
      <c r="E301" s="10" t="str">
        <f aca="false">IF($A301="","",IFERROR(IF(INDEX(원본명단!$E$3:$E$6002,MATCH("R"&amp;296,정리결과!$J$6:$J$6005,0))="","",INDEX(원본명단!$E$3:$E$6002,MATCH("R"&amp;296,정리결과!$J$6:$J$6005,0))),""))</f>
        <v/>
      </c>
      <c r="F301" s="10" t="str">
        <f aca="false">IF($A301="","",IFERROR(IF(INDEX(원본명단!$F$3:$F$6002,MATCH("R"&amp;296,정리결과!$J$6:$J$6005,0))="","",INDEX(원본명단!$F$3:$F$6002,MATCH("R"&amp;296,정리결과!$J$6:$J$6005,0))),""))</f>
        <v/>
      </c>
      <c r="H301" s="14" t="b">
        <f aca="false">IF(중복검사!$A299="",FALSE(),중복검사!$J299="유지")</f>
        <v>0</v>
      </c>
      <c r="I301" s="5" t="str">
        <f aca="false">IF($H301=FALSE(),"",COUNTIF($H$6:$H301,TRUE()))</f>
        <v/>
      </c>
      <c r="J301" s="5" t="str">
        <f aca="false">IF($I301="","","R"&amp;$I301)</f>
        <v/>
      </c>
    </row>
    <row r="302" customFormat="false" ht="15" hidden="false" customHeight="true" outlineLevel="0" collapsed="false">
      <c r="A302" s="10" t="str">
        <f aca="false">IFERROR(IF(INDEX(원본명단!$A$3:$A$6002,MATCH("R"&amp;297,정리결과!$J$6:$J$6005,0))="","",INDEX(원본명단!$A$3:$A$6002,MATCH("R"&amp;297,정리결과!$J$6:$J$6005,0))),"")</f>
        <v/>
      </c>
      <c r="B302" s="10" t="str">
        <f aca="false">IF($A302="","",IFERROR(IF(INDEX(원본명단!$B$3:$B$6002,MATCH("R"&amp;297,정리결과!$J$6:$J$6005,0))="","",INDEX(원본명단!$B$3:$B$6002,MATCH("R"&amp;297,정리결과!$J$6:$J$6005,0))),""))</f>
        <v/>
      </c>
      <c r="C302" s="10" t="str">
        <f aca="false">IF($A302="","",IFERROR(IF(INDEX(원본명단!$C$3:$C$6002,MATCH("R"&amp;297,정리결과!$J$6:$J$6005,0))="","",INDEX(원본명단!$C$3:$C$6002,MATCH("R"&amp;297,정리결과!$J$6:$J$6005,0))),""))</f>
        <v/>
      </c>
      <c r="D302" s="10" t="str">
        <f aca="false">IF($A302="","",IFERROR(IF(INDEX(원본명단!$D$3:$D$6002,MATCH("R"&amp;297,정리결과!$J$6:$J$6005,0))="","",INDEX(원본명단!$D$3:$D$6002,MATCH("R"&amp;297,정리결과!$J$6:$J$6005,0))),""))</f>
        <v/>
      </c>
      <c r="E302" s="10" t="str">
        <f aca="false">IF($A302="","",IFERROR(IF(INDEX(원본명단!$E$3:$E$6002,MATCH("R"&amp;297,정리결과!$J$6:$J$6005,0))="","",INDEX(원본명단!$E$3:$E$6002,MATCH("R"&amp;297,정리결과!$J$6:$J$6005,0))),""))</f>
        <v/>
      </c>
      <c r="F302" s="10" t="str">
        <f aca="false">IF($A302="","",IFERROR(IF(INDEX(원본명단!$F$3:$F$6002,MATCH("R"&amp;297,정리결과!$J$6:$J$6005,0))="","",INDEX(원본명단!$F$3:$F$6002,MATCH("R"&amp;297,정리결과!$J$6:$J$6005,0))),""))</f>
        <v/>
      </c>
      <c r="H302" s="14" t="b">
        <f aca="false">IF(중복검사!$A300="",FALSE(),중복검사!$J300="유지")</f>
        <v>0</v>
      </c>
      <c r="I302" s="5" t="str">
        <f aca="false">IF($H302=FALSE(),"",COUNTIF($H$6:$H302,TRUE()))</f>
        <v/>
      </c>
      <c r="J302" s="5" t="str">
        <f aca="false">IF($I302="","","R"&amp;$I302)</f>
        <v/>
      </c>
    </row>
    <row r="303" customFormat="false" ht="15" hidden="false" customHeight="true" outlineLevel="0" collapsed="false">
      <c r="A303" s="10" t="str">
        <f aca="false">IFERROR(IF(INDEX(원본명단!$A$3:$A$6002,MATCH("R"&amp;298,정리결과!$J$6:$J$6005,0))="","",INDEX(원본명단!$A$3:$A$6002,MATCH("R"&amp;298,정리결과!$J$6:$J$6005,0))),"")</f>
        <v/>
      </c>
      <c r="B303" s="10" t="str">
        <f aca="false">IF($A303="","",IFERROR(IF(INDEX(원본명단!$B$3:$B$6002,MATCH("R"&amp;298,정리결과!$J$6:$J$6005,0))="","",INDEX(원본명단!$B$3:$B$6002,MATCH("R"&amp;298,정리결과!$J$6:$J$6005,0))),""))</f>
        <v/>
      </c>
      <c r="C303" s="10" t="str">
        <f aca="false">IF($A303="","",IFERROR(IF(INDEX(원본명단!$C$3:$C$6002,MATCH("R"&amp;298,정리결과!$J$6:$J$6005,0))="","",INDEX(원본명단!$C$3:$C$6002,MATCH("R"&amp;298,정리결과!$J$6:$J$6005,0))),""))</f>
        <v/>
      </c>
      <c r="D303" s="10" t="str">
        <f aca="false">IF($A303="","",IFERROR(IF(INDEX(원본명단!$D$3:$D$6002,MATCH("R"&amp;298,정리결과!$J$6:$J$6005,0))="","",INDEX(원본명단!$D$3:$D$6002,MATCH("R"&amp;298,정리결과!$J$6:$J$6005,0))),""))</f>
        <v/>
      </c>
      <c r="E303" s="10" t="str">
        <f aca="false">IF($A303="","",IFERROR(IF(INDEX(원본명단!$E$3:$E$6002,MATCH("R"&amp;298,정리결과!$J$6:$J$6005,0))="","",INDEX(원본명단!$E$3:$E$6002,MATCH("R"&amp;298,정리결과!$J$6:$J$6005,0))),""))</f>
        <v/>
      </c>
      <c r="F303" s="10" t="str">
        <f aca="false">IF($A303="","",IFERROR(IF(INDEX(원본명단!$F$3:$F$6002,MATCH("R"&amp;298,정리결과!$J$6:$J$6005,0))="","",INDEX(원본명단!$F$3:$F$6002,MATCH("R"&amp;298,정리결과!$J$6:$J$6005,0))),""))</f>
        <v/>
      </c>
      <c r="H303" s="14" t="b">
        <f aca="false">IF(중복검사!$A301="",FALSE(),중복검사!$J301="유지")</f>
        <v>0</v>
      </c>
      <c r="I303" s="5" t="str">
        <f aca="false">IF($H303=FALSE(),"",COUNTIF($H$6:$H303,TRUE()))</f>
        <v/>
      </c>
      <c r="J303" s="5" t="str">
        <f aca="false">IF($I303="","","R"&amp;$I303)</f>
        <v/>
      </c>
    </row>
    <row r="304" customFormat="false" ht="15" hidden="false" customHeight="true" outlineLevel="0" collapsed="false">
      <c r="A304" s="10" t="str">
        <f aca="false">IFERROR(IF(INDEX(원본명단!$A$3:$A$6002,MATCH("R"&amp;299,정리결과!$J$6:$J$6005,0))="","",INDEX(원본명단!$A$3:$A$6002,MATCH("R"&amp;299,정리결과!$J$6:$J$6005,0))),"")</f>
        <v/>
      </c>
      <c r="B304" s="10" t="str">
        <f aca="false">IF($A304="","",IFERROR(IF(INDEX(원본명단!$B$3:$B$6002,MATCH("R"&amp;299,정리결과!$J$6:$J$6005,0))="","",INDEX(원본명단!$B$3:$B$6002,MATCH("R"&amp;299,정리결과!$J$6:$J$6005,0))),""))</f>
        <v/>
      </c>
      <c r="C304" s="10" t="str">
        <f aca="false">IF($A304="","",IFERROR(IF(INDEX(원본명단!$C$3:$C$6002,MATCH("R"&amp;299,정리결과!$J$6:$J$6005,0))="","",INDEX(원본명단!$C$3:$C$6002,MATCH("R"&amp;299,정리결과!$J$6:$J$6005,0))),""))</f>
        <v/>
      </c>
      <c r="D304" s="10" t="str">
        <f aca="false">IF($A304="","",IFERROR(IF(INDEX(원본명단!$D$3:$D$6002,MATCH("R"&amp;299,정리결과!$J$6:$J$6005,0))="","",INDEX(원본명단!$D$3:$D$6002,MATCH("R"&amp;299,정리결과!$J$6:$J$6005,0))),""))</f>
        <v/>
      </c>
      <c r="E304" s="10" t="str">
        <f aca="false">IF($A304="","",IFERROR(IF(INDEX(원본명단!$E$3:$E$6002,MATCH("R"&amp;299,정리결과!$J$6:$J$6005,0))="","",INDEX(원본명단!$E$3:$E$6002,MATCH("R"&amp;299,정리결과!$J$6:$J$6005,0))),""))</f>
        <v/>
      </c>
      <c r="F304" s="10" t="str">
        <f aca="false">IF($A304="","",IFERROR(IF(INDEX(원본명단!$F$3:$F$6002,MATCH("R"&amp;299,정리결과!$J$6:$J$6005,0))="","",INDEX(원본명단!$F$3:$F$6002,MATCH("R"&amp;299,정리결과!$J$6:$J$6005,0))),""))</f>
        <v/>
      </c>
      <c r="H304" s="14" t="b">
        <f aca="false">IF(중복검사!$A302="",FALSE(),중복검사!$J302="유지")</f>
        <v>0</v>
      </c>
      <c r="I304" s="5" t="str">
        <f aca="false">IF($H304=FALSE(),"",COUNTIF($H$6:$H304,TRUE()))</f>
        <v/>
      </c>
      <c r="J304" s="5" t="str">
        <f aca="false">IF($I304="","","R"&amp;$I304)</f>
        <v/>
      </c>
    </row>
    <row r="305" customFormat="false" ht="15" hidden="false" customHeight="true" outlineLevel="0" collapsed="false">
      <c r="A305" s="10" t="str">
        <f aca="false">IFERROR(IF(INDEX(원본명단!$A$3:$A$6002,MATCH("R"&amp;300,정리결과!$J$6:$J$6005,0))="","",INDEX(원본명단!$A$3:$A$6002,MATCH("R"&amp;300,정리결과!$J$6:$J$6005,0))),"")</f>
        <v/>
      </c>
      <c r="B305" s="10" t="str">
        <f aca="false">IF($A305="","",IFERROR(IF(INDEX(원본명단!$B$3:$B$6002,MATCH("R"&amp;300,정리결과!$J$6:$J$6005,0))="","",INDEX(원본명단!$B$3:$B$6002,MATCH("R"&amp;300,정리결과!$J$6:$J$6005,0))),""))</f>
        <v/>
      </c>
      <c r="C305" s="10" t="str">
        <f aca="false">IF($A305="","",IFERROR(IF(INDEX(원본명단!$C$3:$C$6002,MATCH("R"&amp;300,정리결과!$J$6:$J$6005,0))="","",INDEX(원본명단!$C$3:$C$6002,MATCH("R"&amp;300,정리결과!$J$6:$J$6005,0))),""))</f>
        <v/>
      </c>
      <c r="D305" s="10" t="str">
        <f aca="false">IF($A305="","",IFERROR(IF(INDEX(원본명단!$D$3:$D$6002,MATCH("R"&amp;300,정리결과!$J$6:$J$6005,0))="","",INDEX(원본명단!$D$3:$D$6002,MATCH("R"&amp;300,정리결과!$J$6:$J$6005,0))),""))</f>
        <v/>
      </c>
      <c r="E305" s="10" t="str">
        <f aca="false">IF($A305="","",IFERROR(IF(INDEX(원본명단!$E$3:$E$6002,MATCH("R"&amp;300,정리결과!$J$6:$J$6005,0))="","",INDEX(원본명단!$E$3:$E$6002,MATCH("R"&amp;300,정리결과!$J$6:$J$6005,0))),""))</f>
        <v/>
      </c>
      <c r="F305" s="10" t="str">
        <f aca="false">IF($A305="","",IFERROR(IF(INDEX(원본명단!$F$3:$F$6002,MATCH("R"&amp;300,정리결과!$J$6:$J$6005,0))="","",INDEX(원본명단!$F$3:$F$6002,MATCH("R"&amp;300,정리결과!$J$6:$J$6005,0))),""))</f>
        <v/>
      </c>
      <c r="H305" s="14" t="b">
        <f aca="false">IF(중복검사!$A303="",FALSE(),중복검사!$J303="유지")</f>
        <v>0</v>
      </c>
      <c r="I305" s="5" t="str">
        <f aca="false">IF($H305=FALSE(),"",COUNTIF($H$6:$H305,TRUE()))</f>
        <v/>
      </c>
      <c r="J305" s="5" t="str">
        <f aca="false">IF($I305="","","R"&amp;$I305)</f>
        <v/>
      </c>
    </row>
    <row r="306" customFormat="false" ht="15" hidden="false" customHeight="true" outlineLevel="0" collapsed="false">
      <c r="A306" s="10" t="str">
        <f aca="false">IFERROR(IF(INDEX(원본명단!$A$3:$A$6002,MATCH("R"&amp;301,정리결과!$J$6:$J$6005,0))="","",INDEX(원본명단!$A$3:$A$6002,MATCH("R"&amp;301,정리결과!$J$6:$J$6005,0))),"")</f>
        <v/>
      </c>
      <c r="B306" s="10" t="str">
        <f aca="false">IF($A306="","",IFERROR(IF(INDEX(원본명단!$B$3:$B$6002,MATCH("R"&amp;301,정리결과!$J$6:$J$6005,0))="","",INDEX(원본명단!$B$3:$B$6002,MATCH("R"&amp;301,정리결과!$J$6:$J$6005,0))),""))</f>
        <v/>
      </c>
      <c r="C306" s="10" t="str">
        <f aca="false">IF($A306="","",IFERROR(IF(INDEX(원본명단!$C$3:$C$6002,MATCH("R"&amp;301,정리결과!$J$6:$J$6005,0))="","",INDEX(원본명단!$C$3:$C$6002,MATCH("R"&amp;301,정리결과!$J$6:$J$6005,0))),""))</f>
        <v/>
      </c>
      <c r="D306" s="10" t="str">
        <f aca="false">IF($A306="","",IFERROR(IF(INDEX(원본명단!$D$3:$D$6002,MATCH("R"&amp;301,정리결과!$J$6:$J$6005,0))="","",INDEX(원본명단!$D$3:$D$6002,MATCH("R"&amp;301,정리결과!$J$6:$J$6005,0))),""))</f>
        <v/>
      </c>
      <c r="E306" s="10" t="str">
        <f aca="false">IF($A306="","",IFERROR(IF(INDEX(원본명단!$E$3:$E$6002,MATCH("R"&amp;301,정리결과!$J$6:$J$6005,0))="","",INDEX(원본명단!$E$3:$E$6002,MATCH("R"&amp;301,정리결과!$J$6:$J$6005,0))),""))</f>
        <v/>
      </c>
      <c r="F306" s="10" t="str">
        <f aca="false">IF($A306="","",IFERROR(IF(INDEX(원본명단!$F$3:$F$6002,MATCH("R"&amp;301,정리결과!$J$6:$J$6005,0))="","",INDEX(원본명단!$F$3:$F$6002,MATCH("R"&amp;301,정리결과!$J$6:$J$6005,0))),""))</f>
        <v/>
      </c>
      <c r="H306" s="14" t="b">
        <f aca="false">IF(중복검사!$A304="",FALSE(),중복검사!$J304="유지")</f>
        <v>0</v>
      </c>
      <c r="I306" s="5" t="str">
        <f aca="false">IF($H306=FALSE(),"",COUNTIF($H$6:$H306,TRUE()))</f>
        <v/>
      </c>
      <c r="J306" s="5" t="str">
        <f aca="false">IF($I306="","","R"&amp;$I306)</f>
        <v/>
      </c>
    </row>
    <row r="307" customFormat="false" ht="15" hidden="false" customHeight="true" outlineLevel="0" collapsed="false">
      <c r="A307" s="10" t="str">
        <f aca="false">IFERROR(IF(INDEX(원본명단!$A$3:$A$6002,MATCH("R"&amp;302,정리결과!$J$6:$J$6005,0))="","",INDEX(원본명단!$A$3:$A$6002,MATCH("R"&amp;302,정리결과!$J$6:$J$6005,0))),"")</f>
        <v/>
      </c>
      <c r="B307" s="10" t="str">
        <f aca="false">IF($A307="","",IFERROR(IF(INDEX(원본명단!$B$3:$B$6002,MATCH("R"&amp;302,정리결과!$J$6:$J$6005,0))="","",INDEX(원본명단!$B$3:$B$6002,MATCH("R"&amp;302,정리결과!$J$6:$J$6005,0))),""))</f>
        <v/>
      </c>
      <c r="C307" s="10" t="str">
        <f aca="false">IF($A307="","",IFERROR(IF(INDEX(원본명단!$C$3:$C$6002,MATCH("R"&amp;302,정리결과!$J$6:$J$6005,0))="","",INDEX(원본명단!$C$3:$C$6002,MATCH("R"&amp;302,정리결과!$J$6:$J$6005,0))),""))</f>
        <v/>
      </c>
      <c r="D307" s="10" t="str">
        <f aca="false">IF($A307="","",IFERROR(IF(INDEX(원본명단!$D$3:$D$6002,MATCH("R"&amp;302,정리결과!$J$6:$J$6005,0))="","",INDEX(원본명단!$D$3:$D$6002,MATCH("R"&amp;302,정리결과!$J$6:$J$6005,0))),""))</f>
        <v/>
      </c>
      <c r="E307" s="10" t="str">
        <f aca="false">IF($A307="","",IFERROR(IF(INDEX(원본명단!$E$3:$E$6002,MATCH("R"&amp;302,정리결과!$J$6:$J$6005,0))="","",INDEX(원본명단!$E$3:$E$6002,MATCH("R"&amp;302,정리결과!$J$6:$J$6005,0))),""))</f>
        <v/>
      </c>
      <c r="F307" s="10" t="str">
        <f aca="false">IF($A307="","",IFERROR(IF(INDEX(원본명단!$F$3:$F$6002,MATCH("R"&amp;302,정리결과!$J$6:$J$6005,0))="","",INDEX(원본명단!$F$3:$F$6002,MATCH("R"&amp;302,정리결과!$J$6:$J$6005,0))),""))</f>
        <v/>
      </c>
      <c r="H307" s="14" t="b">
        <f aca="false">IF(중복검사!$A305="",FALSE(),중복검사!$J305="유지")</f>
        <v>0</v>
      </c>
      <c r="I307" s="5" t="str">
        <f aca="false">IF($H307=FALSE(),"",COUNTIF($H$6:$H307,TRUE()))</f>
        <v/>
      </c>
      <c r="J307" s="5" t="str">
        <f aca="false">IF($I307="","","R"&amp;$I307)</f>
        <v/>
      </c>
    </row>
    <row r="308" customFormat="false" ht="15" hidden="false" customHeight="true" outlineLevel="0" collapsed="false">
      <c r="A308" s="10" t="str">
        <f aca="false">IFERROR(IF(INDEX(원본명단!$A$3:$A$6002,MATCH("R"&amp;303,정리결과!$J$6:$J$6005,0))="","",INDEX(원본명단!$A$3:$A$6002,MATCH("R"&amp;303,정리결과!$J$6:$J$6005,0))),"")</f>
        <v/>
      </c>
      <c r="B308" s="10" t="str">
        <f aca="false">IF($A308="","",IFERROR(IF(INDEX(원본명단!$B$3:$B$6002,MATCH("R"&amp;303,정리결과!$J$6:$J$6005,0))="","",INDEX(원본명단!$B$3:$B$6002,MATCH("R"&amp;303,정리결과!$J$6:$J$6005,0))),""))</f>
        <v/>
      </c>
      <c r="C308" s="10" t="str">
        <f aca="false">IF($A308="","",IFERROR(IF(INDEX(원본명단!$C$3:$C$6002,MATCH("R"&amp;303,정리결과!$J$6:$J$6005,0))="","",INDEX(원본명단!$C$3:$C$6002,MATCH("R"&amp;303,정리결과!$J$6:$J$6005,0))),""))</f>
        <v/>
      </c>
      <c r="D308" s="10" t="str">
        <f aca="false">IF($A308="","",IFERROR(IF(INDEX(원본명단!$D$3:$D$6002,MATCH("R"&amp;303,정리결과!$J$6:$J$6005,0))="","",INDEX(원본명단!$D$3:$D$6002,MATCH("R"&amp;303,정리결과!$J$6:$J$6005,0))),""))</f>
        <v/>
      </c>
      <c r="E308" s="10" t="str">
        <f aca="false">IF($A308="","",IFERROR(IF(INDEX(원본명단!$E$3:$E$6002,MATCH("R"&amp;303,정리결과!$J$6:$J$6005,0))="","",INDEX(원본명단!$E$3:$E$6002,MATCH("R"&amp;303,정리결과!$J$6:$J$6005,0))),""))</f>
        <v/>
      </c>
      <c r="F308" s="10" t="str">
        <f aca="false">IF($A308="","",IFERROR(IF(INDEX(원본명단!$F$3:$F$6002,MATCH("R"&amp;303,정리결과!$J$6:$J$6005,0))="","",INDEX(원본명단!$F$3:$F$6002,MATCH("R"&amp;303,정리결과!$J$6:$J$6005,0))),""))</f>
        <v/>
      </c>
      <c r="H308" s="14" t="b">
        <f aca="false">IF(중복검사!$A306="",FALSE(),중복검사!$J306="유지")</f>
        <v>0</v>
      </c>
      <c r="I308" s="5" t="str">
        <f aca="false">IF($H308=FALSE(),"",COUNTIF($H$6:$H308,TRUE()))</f>
        <v/>
      </c>
      <c r="J308" s="5" t="str">
        <f aca="false">IF($I308="","","R"&amp;$I308)</f>
        <v/>
      </c>
    </row>
    <row r="309" customFormat="false" ht="15" hidden="false" customHeight="true" outlineLevel="0" collapsed="false">
      <c r="A309" s="10" t="str">
        <f aca="false">IFERROR(IF(INDEX(원본명단!$A$3:$A$6002,MATCH("R"&amp;304,정리결과!$J$6:$J$6005,0))="","",INDEX(원본명단!$A$3:$A$6002,MATCH("R"&amp;304,정리결과!$J$6:$J$6005,0))),"")</f>
        <v/>
      </c>
      <c r="B309" s="10" t="str">
        <f aca="false">IF($A309="","",IFERROR(IF(INDEX(원본명단!$B$3:$B$6002,MATCH("R"&amp;304,정리결과!$J$6:$J$6005,0))="","",INDEX(원본명단!$B$3:$B$6002,MATCH("R"&amp;304,정리결과!$J$6:$J$6005,0))),""))</f>
        <v/>
      </c>
      <c r="C309" s="10" t="str">
        <f aca="false">IF($A309="","",IFERROR(IF(INDEX(원본명단!$C$3:$C$6002,MATCH("R"&amp;304,정리결과!$J$6:$J$6005,0))="","",INDEX(원본명단!$C$3:$C$6002,MATCH("R"&amp;304,정리결과!$J$6:$J$6005,0))),""))</f>
        <v/>
      </c>
      <c r="D309" s="10" t="str">
        <f aca="false">IF($A309="","",IFERROR(IF(INDEX(원본명단!$D$3:$D$6002,MATCH("R"&amp;304,정리결과!$J$6:$J$6005,0))="","",INDEX(원본명단!$D$3:$D$6002,MATCH("R"&amp;304,정리결과!$J$6:$J$6005,0))),""))</f>
        <v/>
      </c>
      <c r="E309" s="10" t="str">
        <f aca="false">IF($A309="","",IFERROR(IF(INDEX(원본명단!$E$3:$E$6002,MATCH("R"&amp;304,정리결과!$J$6:$J$6005,0))="","",INDEX(원본명단!$E$3:$E$6002,MATCH("R"&amp;304,정리결과!$J$6:$J$6005,0))),""))</f>
        <v/>
      </c>
      <c r="F309" s="10" t="str">
        <f aca="false">IF($A309="","",IFERROR(IF(INDEX(원본명단!$F$3:$F$6002,MATCH("R"&amp;304,정리결과!$J$6:$J$6005,0))="","",INDEX(원본명단!$F$3:$F$6002,MATCH("R"&amp;304,정리결과!$J$6:$J$6005,0))),""))</f>
        <v/>
      </c>
      <c r="H309" s="14" t="b">
        <f aca="false">IF(중복검사!$A307="",FALSE(),중복검사!$J307="유지")</f>
        <v>0</v>
      </c>
      <c r="I309" s="5" t="str">
        <f aca="false">IF($H309=FALSE(),"",COUNTIF($H$6:$H309,TRUE()))</f>
        <v/>
      </c>
      <c r="J309" s="5" t="str">
        <f aca="false">IF($I309="","","R"&amp;$I309)</f>
        <v/>
      </c>
    </row>
    <row r="310" customFormat="false" ht="15" hidden="false" customHeight="true" outlineLevel="0" collapsed="false">
      <c r="A310" s="10" t="str">
        <f aca="false">IFERROR(IF(INDEX(원본명단!$A$3:$A$6002,MATCH("R"&amp;305,정리결과!$J$6:$J$6005,0))="","",INDEX(원본명단!$A$3:$A$6002,MATCH("R"&amp;305,정리결과!$J$6:$J$6005,0))),"")</f>
        <v/>
      </c>
      <c r="B310" s="10" t="str">
        <f aca="false">IF($A310="","",IFERROR(IF(INDEX(원본명단!$B$3:$B$6002,MATCH("R"&amp;305,정리결과!$J$6:$J$6005,0))="","",INDEX(원본명단!$B$3:$B$6002,MATCH("R"&amp;305,정리결과!$J$6:$J$6005,0))),""))</f>
        <v/>
      </c>
      <c r="C310" s="10" t="str">
        <f aca="false">IF($A310="","",IFERROR(IF(INDEX(원본명단!$C$3:$C$6002,MATCH("R"&amp;305,정리결과!$J$6:$J$6005,0))="","",INDEX(원본명단!$C$3:$C$6002,MATCH("R"&amp;305,정리결과!$J$6:$J$6005,0))),""))</f>
        <v/>
      </c>
      <c r="D310" s="10" t="str">
        <f aca="false">IF($A310="","",IFERROR(IF(INDEX(원본명단!$D$3:$D$6002,MATCH("R"&amp;305,정리결과!$J$6:$J$6005,0))="","",INDEX(원본명단!$D$3:$D$6002,MATCH("R"&amp;305,정리결과!$J$6:$J$6005,0))),""))</f>
        <v/>
      </c>
      <c r="E310" s="10" t="str">
        <f aca="false">IF($A310="","",IFERROR(IF(INDEX(원본명단!$E$3:$E$6002,MATCH("R"&amp;305,정리결과!$J$6:$J$6005,0))="","",INDEX(원본명단!$E$3:$E$6002,MATCH("R"&amp;305,정리결과!$J$6:$J$6005,0))),""))</f>
        <v/>
      </c>
      <c r="F310" s="10" t="str">
        <f aca="false">IF($A310="","",IFERROR(IF(INDEX(원본명단!$F$3:$F$6002,MATCH("R"&amp;305,정리결과!$J$6:$J$6005,0))="","",INDEX(원본명단!$F$3:$F$6002,MATCH("R"&amp;305,정리결과!$J$6:$J$6005,0))),""))</f>
        <v/>
      </c>
      <c r="H310" s="14" t="b">
        <f aca="false">IF(중복검사!$A308="",FALSE(),중복검사!$J308="유지")</f>
        <v>0</v>
      </c>
      <c r="I310" s="5" t="str">
        <f aca="false">IF($H310=FALSE(),"",COUNTIF($H$6:$H310,TRUE()))</f>
        <v/>
      </c>
      <c r="J310" s="5" t="str">
        <f aca="false">IF($I310="","","R"&amp;$I310)</f>
        <v/>
      </c>
    </row>
    <row r="311" customFormat="false" ht="15" hidden="false" customHeight="true" outlineLevel="0" collapsed="false">
      <c r="A311" s="10" t="str">
        <f aca="false">IFERROR(IF(INDEX(원본명단!$A$3:$A$6002,MATCH("R"&amp;306,정리결과!$J$6:$J$6005,0))="","",INDEX(원본명단!$A$3:$A$6002,MATCH("R"&amp;306,정리결과!$J$6:$J$6005,0))),"")</f>
        <v/>
      </c>
      <c r="B311" s="10" t="str">
        <f aca="false">IF($A311="","",IFERROR(IF(INDEX(원본명단!$B$3:$B$6002,MATCH("R"&amp;306,정리결과!$J$6:$J$6005,0))="","",INDEX(원본명단!$B$3:$B$6002,MATCH("R"&amp;306,정리결과!$J$6:$J$6005,0))),""))</f>
        <v/>
      </c>
      <c r="C311" s="10" t="str">
        <f aca="false">IF($A311="","",IFERROR(IF(INDEX(원본명단!$C$3:$C$6002,MATCH("R"&amp;306,정리결과!$J$6:$J$6005,0))="","",INDEX(원본명단!$C$3:$C$6002,MATCH("R"&amp;306,정리결과!$J$6:$J$6005,0))),""))</f>
        <v/>
      </c>
      <c r="D311" s="10" t="str">
        <f aca="false">IF($A311="","",IFERROR(IF(INDEX(원본명단!$D$3:$D$6002,MATCH("R"&amp;306,정리결과!$J$6:$J$6005,0))="","",INDEX(원본명단!$D$3:$D$6002,MATCH("R"&amp;306,정리결과!$J$6:$J$6005,0))),""))</f>
        <v/>
      </c>
      <c r="E311" s="10" t="str">
        <f aca="false">IF($A311="","",IFERROR(IF(INDEX(원본명단!$E$3:$E$6002,MATCH("R"&amp;306,정리결과!$J$6:$J$6005,0))="","",INDEX(원본명단!$E$3:$E$6002,MATCH("R"&amp;306,정리결과!$J$6:$J$6005,0))),""))</f>
        <v/>
      </c>
      <c r="F311" s="10" t="str">
        <f aca="false">IF($A311="","",IFERROR(IF(INDEX(원본명단!$F$3:$F$6002,MATCH("R"&amp;306,정리결과!$J$6:$J$6005,0))="","",INDEX(원본명단!$F$3:$F$6002,MATCH("R"&amp;306,정리결과!$J$6:$J$6005,0))),""))</f>
        <v/>
      </c>
      <c r="H311" s="14" t="b">
        <f aca="false">IF(중복검사!$A309="",FALSE(),중복검사!$J309="유지")</f>
        <v>0</v>
      </c>
      <c r="I311" s="5" t="str">
        <f aca="false">IF($H311=FALSE(),"",COUNTIF($H$6:$H311,TRUE()))</f>
        <v/>
      </c>
      <c r="J311" s="5" t="str">
        <f aca="false">IF($I311="","","R"&amp;$I311)</f>
        <v/>
      </c>
    </row>
    <row r="312" customFormat="false" ht="15" hidden="false" customHeight="true" outlineLevel="0" collapsed="false">
      <c r="A312" s="10" t="str">
        <f aca="false">IFERROR(IF(INDEX(원본명단!$A$3:$A$6002,MATCH("R"&amp;307,정리결과!$J$6:$J$6005,0))="","",INDEX(원본명단!$A$3:$A$6002,MATCH("R"&amp;307,정리결과!$J$6:$J$6005,0))),"")</f>
        <v/>
      </c>
      <c r="B312" s="10" t="str">
        <f aca="false">IF($A312="","",IFERROR(IF(INDEX(원본명단!$B$3:$B$6002,MATCH("R"&amp;307,정리결과!$J$6:$J$6005,0))="","",INDEX(원본명단!$B$3:$B$6002,MATCH("R"&amp;307,정리결과!$J$6:$J$6005,0))),""))</f>
        <v/>
      </c>
      <c r="C312" s="10" t="str">
        <f aca="false">IF($A312="","",IFERROR(IF(INDEX(원본명단!$C$3:$C$6002,MATCH("R"&amp;307,정리결과!$J$6:$J$6005,0))="","",INDEX(원본명단!$C$3:$C$6002,MATCH("R"&amp;307,정리결과!$J$6:$J$6005,0))),""))</f>
        <v/>
      </c>
      <c r="D312" s="10" t="str">
        <f aca="false">IF($A312="","",IFERROR(IF(INDEX(원본명단!$D$3:$D$6002,MATCH("R"&amp;307,정리결과!$J$6:$J$6005,0))="","",INDEX(원본명단!$D$3:$D$6002,MATCH("R"&amp;307,정리결과!$J$6:$J$6005,0))),""))</f>
        <v/>
      </c>
      <c r="E312" s="10" t="str">
        <f aca="false">IF($A312="","",IFERROR(IF(INDEX(원본명단!$E$3:$E$6002,MATCH("R"&amp;307,정리결과!$J$6:$J$6005,0))="","",INDEX(원본명단!$E$3:$E$6002,MATCH("R"&amp;307,정리결과!$J$6:$J$6005,0))),""))</f>
        <v/>
      </c>
      <c r="F312" s="10" t="str">
        <f aca="false">IF($A312="","",IFERROR(IF(INDEX(원본명단!$F$3:$F$6002,MATCH("R"&amp;307,정리결과!$J$6:$J$6005,0))="","",INDEX(원본명단!$F$3:$F$6002,MATCH("R"&amp;307,정리결과!$J$6:$J$6005,0))),""))</f>
        <v/>
      </c>
      <c r="H312" s="14" t="b">
        <f aca="false">IF(중복검사!$A310="",FALSE(),중복검사!$J310="유지")</f>
        <v>0</v>
      </c>
      <c r="I312" s="5" t="str">
        <f aca="false">IF($H312=FALSE(),"",COUNTIF($H$6:$H312,TRUE()))</f>
        <v/>
      </c>
      <c r="J312" s="5" t="str">
        <f aca="false">IF($I312="","","R"&amp;$I312)</f>
        <v/>
      </c>
    </row>
    <row r="313" customFormat="false" ht="15" hidden="false" customHeight="true" outlineLevel="0" collapsed="false">
      <c r="A313" s="10" t="str">
        <f aca="false">IFERROR(IF(INDEX(원본명단!$A$3:$A$6002,MATCH("R"&amp;308,정리결과!$J$6:$J$6005,0))="","",INDEX(원본명단!$A$3:$A$6002,MATCH("R"&amp;308,정리결과!$J$6:$J$6005,0))),"")</f>
        <v/>
      </c>
      <c r="B313" s="10" t="str">
        <f aca="false">IF($A313="","",IFERROR(IF(INDEX(원본명단!$B$3:$B$6002,MATCH("R"&amp;308,정리결과!$J$6:$J$6005,0))="","",INDEX(원본명단!$B$3:$B$6002,MATCH("R"&amp;308,정리결과!$J$6:$J$6005,0))),""))</f>
        <v/>
      </c>
      <c r="C313" s="10" t="str">
        <f aca="false">IF($A313="","",IFERROR(IF(INDEX(원본명단!$C$3:$C$6002,MATCH("R"&amp;308,정리결과!$J$6:$J$6005,0))="","",INDEX(원본명단!$C$3:$C$6002,MATCH("R"&amp;308,정리결과!$J$6:$J$6005,0))),""))</f>
        <v/>
      </c>
      <c r="D313" s="10" t="str">
        <f aca="false">IF($A313="","",IFERROR(IF(INDEX(원본명단!$D$3:$D$6002,MATCH("R"&amp;308,정리결과!$J$6:$J$6005,0))="","",INDEX(원본명단!$D$3:$D$6002,MATCH("R"&amp;308,정리결과!$J$6:$J$6005,0))),""))</f>
        <v/>
      </c>
      <c r="E313" s="10" t="str">
        <f aca="false">IF($A313="","",IFERROR(IF(INDEX(원본명단!$E$3:$E$6002,MATCH("R"&amp;308,정리결과!$J$6:$J$6005,0))="","",INDEX(원본명단!$E$3:$E$6002,MATCH("R"&amp;308,정리결과!$J$6:$J$6005,0))),""))</f>
        <v/>
      </c>
      <c r="F313" s="10" t="str">
        <f aca="false">IF($A313="","",IFERROR(IF(INDEX(원본명단!$F$3:$F$6002,MATCH("R"&amp;308,정리결과!$J$6:$J$6005,0))="","",INDEX(원본명단!$F$3:$F$6002,MATCH("R"&amp;308,정리결과!$J$6:$J$6005,0))),""))</f>
        <v/>
      </c>
      <c r="H313" s="14" t="b">
        <f aca="false">IF(중복검사!$A311="",FALSE(),중복검사!$J311="유지")</f>
        <v>0</v>
      </c>
      <c r="I313" s="5" t="str">
        <f aca="false">IF($H313=FALSE(),"",COUNTIF($H$6:$H313,TRUE()))</f>
        <v/>
      </c>
      <c r="J313" s="5" t="str">
        <f aca="false">IF($I313="","","R"&amp;$I313)</f>
        <v/>
      </c>
    </row>
    <row r="314" customFormat="false" ht="15" hidden="false" customHeight="true" outlineLevel="0" collapsed="false">
      <c r="A314" s="10" t="str">
        <f aca="false">IFERROR(IF(INDEX(원본명단!$A$3:$A$6002,MATCH("R"&amp;309,정리결과!$J$6:$J$6005,0))="","",INDEX(원본명단!$A$3:$A$6002,MATCH("R"&amp;309,정리결과!$J$6:$J$6005,0))),"")</f>
        <v/>
      </c>
      <c r="B314" s="10" t="str">
        <f aca="false">IF($A314="","",IFERROR(IF(INDEX(원본명단!$B$3:$B$6002,MATCH("R"&amp;309,정리결과!$J$6:$J$6005,0))="","",INDEX(원본명단!$B$3:$B$6002,MATCH("R"&amp;309,정리결과!$J$6:$J$6005,0))),""))</f>
        <v/>
      </c>
      <c r="C314" s="10" t="str">
        <f aca="false">IF($A314="","",IFERROR(IF(INDEX(원본명단!$C$3:$C$6002,MATCH("R"&amp;309,정리결과!$J$6:$J$6005,0))="","",INDEX(원본명단!$C$3:$C$6002,MATCH("R"&amp;309,정리결과!$J$6:$J$6005,0))),""))</f>
        <v/>
      </c>
      <c r="D314" s="10" t="str">
        <f aca="false">IF($A314="","",IFERROR(IF(INDEX(원본명단!$D$3:$D$6002,MATCH("R"&amp;309,정리결과!$J$6:$J$6005,0))="","",INDEX(원본명단!$D$3:$D$6002,MATCH("R"&amp;309,정리결과!$J$6:$J$6005,0))),""))</f>
        <v/>
      </c>
      <c r="E314" s="10" t="str">
        <f aca="false">IF($A314="","",IFERROR(IF(INDEX(원본명단!$E$3:$E$6002,MATCH("R"&amp;309,정리결과!$J$6:$J$6005,0))="","",INDEX(원본명단!$E$3:$E$6002,MATCH("R"&amp;309,정리결과!$J$6:$J$6005,0))),""))</f>
        <v/>
      </c>
      <c r="F314" s="10" t="str">
        <f aca="false">IF($A314="","",IFERROR(IF(INDEX(원본명단!$F$3:$F$6002,MATCH("R"&amp;309,정리결과!$J$6:$J$6005,0))="","",INDEX(원본명단!$F$3:$F$6002,MATCH("R"&amp;309,정리결과!$J$6:$J$6005,0))),""))</f>
        <v/>
      </c>
      <c r="H314" s="14" t="b">
        <f aca="false">IF(중복검사!$A312="",FALSE(),중복검사!$J312="유지")</f>
        <v>0</v>
      </c>
      <c r="I314" s="5" t="str">
        <f aca="false">IF($H314=FALSE(),"",COUNTIF($H$6:$H314,TRUE()))</f>
        <v/>
      </c>
      <c r="J314" s="5" t="str">
        <f aca="false">IF($I314="","","R"&amp;$I314)</f>
        <v/>
      </c>
    </row>
    <row r="315" customFormat="false" ht="15" hidden="false" customHeight="true" outlineLevel="0" collapsed="false">
      <c r="A315" s="10" t="str">
        <f aca="false">IFERROR(IF(INDEX(원본명단!$A$3:$A$6002,MATCH("R"&amp;310,정리결과!$J$6:$J$6005,0))="","",INDEX(원본명단!$A$3:$A$6002,MATCH("R"&amp;310,정리결과!$J$6:$J$6005,0))),"")</f>
        <v/>
      </c>
      <c r="B315" s="10" t="str">
        <f aca="false">IF($A315="","",IFERROR(IF(INDEX(원본명단!$B$3:$B$6002,MATCH("R"&amp;310,정리결과!$J$6:$J$6005,0))="","",INDEX(원본명단!$B$3:$B$6002,MATCH("R"&amp;310,정리결과!$J$6:$J$6005,0))),""))</f>
        <v/>
      </c>
      <c r="C315" s="10" t="str">
        <f aca="false">IF($A315="","",IFERROR(IF(INDEX(원본명단!$C$3:$C$6002,MATCH("R"&amp;310,정리결과!$J$6:$J$6005,0))="","",INDEX(원본명단!$C$3:$C$6002,MATCH("R"&amp;310,정리결과!$J$6:$J$6005,0))),""))</f>
        <v/>
      </c>
      <c r="D315" s="10" t="str">
        <f aca="false">IF($A315="","",IFERROR(IF(INDEX(원본명단!$D$3:$D$6002,MATCH("R"&amp;310,정리결과!$J$6:$J$6005,0))="","",INDEX(원본명단!$D$3:$D$6002,MATCH("R"&amp;310,정리결과!$J$6:$J$6005,0))),""))</f>
        <v/>
      </c>
      <c r="E315" s="10" t="str">
        <f aca="false">IF($A315="","",IFERROR(IF(INDEX(원본명단!$E$3:$E$6002,MATCH("R"&amp;310,정리결과!$J$6:$J$6005,0))="","",INDEX(원본명단!$E$3:$E$6002,MATCH("R"&amp;310,정리결과!$J$6:$J$6005,0))),""))</f>
        <v/>
      </c>
      <c r="F315" s="10" t="str">
        <f aca="false">IF($A315="","",IFERROR(IF(INDEX(원본명단!$F$3:$F$6002,MATCH("R"&amp;310,정리결과!$J$6:$J$6005,0))="","",INDEX(원본명단!$F$3:$F$6002,MATCH("R"&amp;310,정리결과!$J$6:$J$6005,0))),""))</f>
        <v/>
      </c>
      <c r="H315" s="14" t="b">
        <f aca="false">IF(중복검사!$A313="",FALSE(),중복검사!$J313="유지")</f>
        <v>0</v>
      </c>
      <c r="I315" s="5" t="str">
        <f aca="false">IF($H315=FALSE(),"",COUNTIF($H$6:$H315,TRUE()))</f>
        <v/>
      </c>
      <c r="J315" s="5" t="str">
        <f aca="false">IF($I315="","","R"&amp;$I315)</f>
        <v/>
      </c>
    </row>
    <row r="316" customFormat="false" ht="15" hidden="false" customHeight="true" outlineLevel="0" collapsed="false">
      <c r="A316" s="10" t="str">
        <f aca="false">IFERROR(IF(INDEX(원본명단!$A$3:$A$6002,MATCH("R"&amp;311,정리결과!$J$6:$J$6005,0))="","",INDEX(원본명단!$A$3:$A$6002,MATCH("R"&amp;311,정리결과!$J$6:$J$6005,0))),"")</f>
        <v/>
      </c>
      <c r="B316" s="10" t="str">
        <f aca="false">IF($A316="","",IFERROR(IF(INDEX(원본명단!$B$3:$B$6002,MATCH("R"&amp;311,정리결과!$J$6:$J$6005,0))="","",INDEX(원본명단!$B$3:$B$6002,MATCH("R"&amp;311,정리결과!$J$6:$J$6005,0))),""))</f>
        <v/>
      </c>
      <c r="C316" s="10" t="str">
        <f aca="false">IF($A316="","",IFERROR(IF(INDEX(원본명단!$C$3:$C$6002,MATCH("R"&amp;311,정리결과!$J$6:$J$6005,0))="","",INDEX(원본명단!$C$3:$C$6002,MATCH("R"&amp;311,정리결과!$J$6:$J$6005,0))),""))</f>
        <v/>
      </c>
      <c r="D316" s="10" t="str">
        <f aca="false">IF($A316="","",IFERROR(IF(INDEX(원본명단!$D$3:$D$6002,MATCH("R"&amp;311,정리결과!$J$6:$J$6005,0))="","",INDEX(원본명단!$D$3:$D$6002,MATCH("R"&amp;311,정리결과!$J$6:$J$6005,0))),""))</f>
        <v/>
      </c>
      <c r="E316" s="10" t="str">
        <f aca="false">IF($A316="","",IFERROR(IF(INDEX(원본명단!$E$3:$E$6002,MATCH("R"&amp;311,정리결과!$J$6:$J$6005,0))="","",INDEX(원본명단!$E$3:$E$6002,MATCH("R"&amp;311,정리결과!$J$6:$J$6005,0))),""))</f>
        <v/>
      </c>
      <c r="F316" s="10" t="str">
        <f aca="false">IF($A316="","",IFERROR(IF(INDEX(원본명단!$F$3:$F$6002,MATCH("R"&amp;311,정리결과!$J$6:$J$6005,0))="","",INDEX(원본명단!$F$3:$F$6002,MATCH("R"&amp;311,정리결과!$J$6:$J$6005,0))),""))</f>
        <v/>
      </c>
      <c r="H316" s="14" t="b">
        <f aca="false">IF(중복검사!$A314="",FALSE(),중복검사!$J314="유지")</f>
        <v>0</v>
      </c>
      <c r="I316" s="5" t="str">
        <f aca="false">IF($H316=FALSE(),"",COUNTIF($H$6:$H316,TRUE()))</f>
        <v/>
      </c>
      <c r="J316" s="5" t="str">
        <f aca="false">IF($I316="","","R"&amp;$I316)</f>
        <v/>
      </c>
    </row>
    <row r="317" customFormat="false" ht="15" hidden="false" customHeight="true" outlineLevel="0" collapsed="false">
      <c r="A317" s="10" t="str">
        <f aca="false">IFERROR(IF(INDEX(원본명단!$A$3:$A$6002,MATCH("R"&amp;312,정리결과!$J$6:$J$6005,0))="","",INDEX(원본명단!$A$3:$A$6002,MATCH("R"&amp;312,정리결과!$J$6:$J$6005,0))),"")</f>
        <v/>
      </c>
      <c r="B317" s="10" t="str">
        <f aca="false">IF($A317="","",IFERROR(IF(INDEX(원본명단!$B$3:$B$6002,MATCH("R"&amp;312,정리결과!$J$6:$J$6005,0))="","",INDEX(원본명단!$B$3:$B$6002,MATCH("R"&amp;312,정리결과!$J$6:$J$6005,0))),""))</f>
        <v/>
      </c>
      <c r="C317" s="10" t="str">
        <f aca="false">IF($A317="","",IFERROR(IF(INDEX(원본명단!$C$3:$C$6002,MATCH("R"&amp;312,정리결과!$J$6:$J$6005,0))="","",INDEX(원본명단!$C$3:$C$6002,MATCH("R"&amp;312,정리결과!$J$6:$J$6005,0))),""))</f>
        <v/>
      </c>
      <c r="D317" s="10" t="str">
        <f aca="false">IF($A317="","",IFERROR(IF(INDEX(원본명단!$D$3:$D$6002,MATCH("R"&amp;312,정리결과!$J$6:$J$6005,0))="","",INDEX(원본명단!$D$3:$D$6002,MATCH("R"&amp;312,정리결과!$J$6:$J$6005,0))),""))</f>
        <v/>
      </c>
      <c r="E317" s="10" t="str">
        <f aca="false">IF($A317="","",IFERROR(IF(INDEX(원본명단!$E$3:$E$6002,MATCH("R"&amp;312,정리결과!$J$6:$J$6005,0))="","",INDEX(원본명단!$E$3:$E$6002,MATCH("R"&amp;312,정리결과!$J$6:$J$6005,0))),""))</f>
        <v/>
      </c>
      <c r="F317" s="10" t="str">
        <f aca="false">IF($A317="","",IFERROR(IF(INDEX(원본명단!$F$3:$F$6002,MATCH("R"&amp;312,정리결과!$J$6:$J$6005,0))="","",INDEX(원본명단!$F$3:$F$6002,MATCH("R"&amp;312,정리결과!$J$6:$J$6005,0))),""))</f>
        <v/>
      </c>
      <c r="H317" s="14" t="b">
        <f aca="false">IF(중복검사!$A315="",FALSE(),중복검사!$J315="유지")</f>
        <v>0</v>
      </c>
      <c r="I317" s="5" t="str">
        <f aca="false">IF($H317=FALSE(),"",COUNTIF($H$6:$H317,TRUE()))</f>
        <v/>
      </c>
      <c r="J317" s="5" t="str">
        <f aca="false">IF($I317="","","R"&amp;$I317)</f>
        <v/>
      </c>
    </row>
    <row r="318" customFormat="false" ht="15" hidden="false" customHeight="true" outlineLevel="0" collapsed="false">
      <c r="A318" s="10" t="str">
        <f aca="false">IFERROR(IF(INDEX(원본명단!$A$3:$A$6002,MATCH("R"&amp;313,정리결과!$J$6:$J$6005,0))="","",INDEX(원본명단!$A$3:$A$6002,MATCH("R"&amp;313,정리결과!$J$6:$J$6005,0))),"")</f>
        <v/>
      </c>
      <c r="B318" s="10" t="str">
        <f aca="false">IF($A318="","",IFERROR(IF(INDEX(원본명단!$B$3:$B$6002,MATCH("R"&amp;313,정리결과!$J$6:$J$6005,0))="","",INDEX(원본명단!$B$3:$B$6002,MATCH("R"&amp;313,정리결과!$J$6:$J$6005,0))),""))</f>
        <v/>
      </c>
      <c r="C318" s="10" t="str">
        <f aca="false">IF($A318="","",IFERROR(IF(INDEX(원본명단!$C$3:$C$6002,MATCH("R"&amp;313,정리결과!$J$6:$J$6005,0))="","",INDEX(원본명단!$C$3:$C$6002,MATCH("R"&amp;313,정리결과!$J$6:$J$6005,0))),""))</f>
        <v/>
      </c>
      <c r="D318" s="10" t="str">
        <f aca="false">IF($A318="","",IFERROR(IF(INDEX(원본명단!$D$3:$D$6002,MATCH("R"&amp;313,정리결과!$J$6:$J$6005,0))="","",INDEX(원본명단!$D$3:$D$6002,MATCH("R"&amp;313,정리결과!$J$6:$J$6005,0))),""))</f>
        <v/>
      </c>
      <c r="E318" s="10" t="str">
        <f aca="false">IF($A318="","",IFERROR(IF(INDEX(원본명단!$E$3:$E$6002,MATCH("R"&amp;313,정리결과!$J$6:$J$6005,0))="","",INDEX(원본명단!$E$3:$E$6002,MATCH("R"&amp;313,정리결과!$J$6:$J$6005,0))),""))</f>
        <v/>
      </c>
      <c r="F318" s="10" t="str">
        <f aca="false">IF($A318="","",IFERROR(IF(INDEX(원본명단!$F$3:$F$6002,MATCH("R"&amp;313,정리결과!$J$6:$J$6005,0))="","",INDEX(원본명단!$F$3:$F$6002,MATCH("R"&amp;313,정리결과!$J$6:$J$6005,0))),""))</f>
        <v/>
      </c>
      <c r="H318" s="14" t="b">
        <f aca="false">IF(중복검사!$A316="",FALSE(),중복검사!$J316="유지")</f>
        <v>0</v>
      </c>
      <c r="I318" s="5" t="str">
        <f aca="false">IF($H318=FALSE(),"",COUNTIF($H$6:$H318,TRUE()))</f>
        <v/>
      </c>
      <c r="J318" s="5" t="str">
        <f aca="false">IF($I318="","","R"&amp;$I318)</f>
        <v/>
      </c>
    </row>
    <row r="319" customFormat="false" ht="15" hidden="false" customHeight="true" outlineLevel="0" collapsed="false">
      <c r="A319" s="10" t="str">
        <f aca="false">IFERROR(IF(INDEX(원본명단!$A$3:$A$6002,MATCH("R"&amp;314,정리결과!$J$6:$J$6005,0))="","",INDEX(원본명단!$A$3:$A$6002,MATCH("R"&amp;314,정리결과!$J$6:$J$6005,0))),"")</f>
        <v/>
      </c>
      <c r="B319" s="10" t="str">
        <f aca="false">IF($A319="","",IFERROR(IF(INDEX(원본명단!$B$3:$B$6002,MATCH("R"&amp;314,정리결과!$J$6:$J$6005,0))="","",INDEX(원본명단!$B$3:$B$6002,MATCH("R"&amp;314,정리결과!$J$6:$J$6005,0))),""))</f>
        <v/>
      </c>
      <c r="C319" s="10" t="str">
        <f aca="false">IF($A319="","",IFERROR(IF(INDEX(원본명단!$C$3:$C$6002,MATCH("R"&amp;314,정리결과!$J$6:$J$6005,0))="","",INDEX(원본명단!$C$3:$C$6002,MATCH("R"&amp;314,정리결과!$J$6:$J$6005,0))),""))</f>
        <v/>
      </c>
      <c r="D319" s="10" t="str">
        <f aca="false">IF($A319="","",IFERROR(IF(INDEX(원본명단!$D$3:$D$6002,MATCH("R"&amp;314,정리결과!$J$6:$J$6005,0))="","",INDEX(원본명단!$D$3:$D$6002,MATCH("R"&amp;314,정리결과!$J$6:$J$6005,0))),""))</f>
        <v/>
      </c>
      <c r="E319" s="10" t="str">
        <f aca="false">IF($A319="","",IFERROR(IF(INDEX(원본명단!$E$3:$E$6002,MATCH("R"&amp;314,정리결과!$J$6:$J$6005,0))="","",INDEX(원본명단!$E$3:$E$6002,MATCH("R"&amp;314,정리결과!$J$6:$J$6005,0))),""))</f>
        <v/>
      </c>
      <c r="F319" s="10" t="str">
        <f aca="false">IF($A319="","",IFERROR(IF(INDEX(원본명단!$F$3:$F$6002,MATCH("R"&amp;314,정리결과!$J$6:$J$6005,0))="","",INDEX(원본명단!$F$3:$F$6002,MATCH("R"&amp;314,정리결과!$J$6:$J$6005,0))),""))</f>
        <v/>
      </c>
      <c r="H319" s="14" t="b">
        <f aca="false">IF(중복검사!$A317="",FALSE(),중복검사!$J317="유지")</f>
        <v>0</v>
      </c>
      <c r="I319" s="5" t="str">
        <f aca="false">IF($H319=FALSE(),"",COUNTIF($H$6:$H319,TRUE()))</f>
        <v/>
      </c>
      <c r="J319" s="5" t="str">
        <f aca="false">IF($I319="","","R"&amp;$I319)</f>
        <v/>
      </c>
    </row>
    <row r="320" customFormat="false" ht="15" hidden="false" customHeight="true" outlineLevel="0" collapsed="false">
      <c r="A320" s="10" t="str">
        <f aca="false">IFERROR(IF(INDEX(원본명단!$A$3:$A$6002,MATCH("R"&amp;315,정리결과!$J$6:$J$6005,0))="","",INDEX(원본명단!$A$3:$A$6002,MATCH("R"&amp;315,정리결과!$J$6:$J$6005,0))),"")</f>
        <v/>
      </c>
      <c r="B320" s="10" t="str">
        <f aca="false">IF($A320="","",IFERROR(IF(INDEX(원본명단!$B$3:$B$6002,MATCH("R"&amp;315,정리결과!$J$6:$J$6005,0))="","",INDEX(원본명단!$B$3:$B$6002,MATCH("R"&amp;315,정리결과!$J$6:$J$6005,0))),""))</f>
        <v/>
      </c>
      <c r="C320" s="10" t="str">
        <f aca="false">IF($A320="","",IFERROR(IF(INDEX(원본명단!$C$3:$C$6002,MATCH("R"&amp;315,정리결과!$J$6:$J$6005,0))="","",INDEX(원본명단!$C$3:$C$6002,MATCH("R"&amp;315,정리결과!$J$6:$J$6005,0))),""))</f>
        <v/>
      </c>
      <c r="D320" s="10" t="str">
        <f aca="false">IF($A320="","",IFERROR(IF(INDEX(원본명단!$D$3:$D$6002,MATCH("R"&amp;315,정리결과!$J$6:$J$6005,0))="","",INDEX(원본명단!$D$3:$D$6002,MATCH("R"&amp;315,정리결과!$J$6:$J$6005,0))),""))</f>
        <v/>
      </c>
      <c r="E320" s="10" t="str">
        <f aca="false">IF($A320="","",IFERROR(IF(INDEX(원본명단!$E$3:$E$6002,MATCH("R"&amp;315,정리결과!$J$6:$J$6005,0))="","",INDEX(원본명단!$E$3:$E$6002,MATCH("R"&amp;315,정리결과!$J$6:$J$6005,0))),""))</f>
        <v/>
      </c>
      <c r="F320" s="10" t="str">
        <f aca="false">IF($A320="","",IFERROR(IF(INDEX(원본명단!$F$3:$F$6002,MATCH("R"&amp;315,정리결과!$J$6:$J$6005,0))="","",INDEX(원본명단!$F$3:$F$6002,MATCH("R"&amp;315,정리결과!$J$6:$J$6005,0))),""))</f>
        <v/>
      </c>
      <c r="H320" s="14" t="b">
        <f aca="false">IF(중복검사!$A318="",FALSE(),중복검사!$J318="유지")</f>
        <v>0</v>
      </c>
      <c r="I320" s="5" t="str">
        <f aca="false">IF($H320=FALSE(),"",COUNTIF($H$6:$H320,TRUE()))</f>
        <v/>
      </c>
      <c r="J320" s="5" t="str">
        <f aca="false">IF($I320="","","R"&amp;$I320)</f>
        <v/>
      </c>
    </row>
    <row r="321" customFormat="false" ht="15" hidden="false" customHeight="true" outlineLevel="0" collapsed="false">
      <c r="A321" s="10" t="str">
        <f aca="false">IFERROR(IF(INDEX(원본명단!$A$3:$A$6002,MATCH("R"&amp;316,정리결과!$J$6:$J$6005,0))="","",INDEX(원본명단!$A$3:$A$6002,MATCH("R"&amp;316,정리결과!$J$6:$J$6005,0))),"")</f>
        <v/>
      </c>
      <c r="B321" s="10" t="str">
        <f aca="false">IF($A321="","",IFERROR(IF(INDEX(원본명단!$B$3:$B$6002,MATCH("R"&amp;316,정리결과!$J$6:$J$6005,0))="","",INDEX(원본명단!$B$3:$B$6002,MATCH("R"&amp;316,정리결과!$J$6:$J$6005,0))),""))</f>
        <v/>
      </c>
      <c r="C321" s="10" t="str">
        <f aca="false">IF($A321="","",IFERROR(IF(INDEX(원본명단!$C$3:$C$6002,MATCH("R"&amp;316,정리결과!$J$6:$J$6005,0))="","",INDEX(원본명단!$C$3:$C$6002,MATCH("R"&amp;316,정리결과!$J$6:$J$6005,0))),""))</f>
        <v/>
      </c>
      <c r="D321" s="10" t="str">
        <f aca="false">IF($A321="","",IFERROR(IF(INDEX(원본명단!$D$3:$D$6002,MATCH("R"&amp;316,정리결과!$J$6:$J$6005,0))="","",INDEX(원본명단!$D$3:$D$6002,MATCH("R"&amp;316,정리결과!$J$6:$J$6005,0))),""))</f>
        <v/>
      </c>
      <c r="E321" s="10" t="str">
        <f aca="false">IF($A321="","",IFERROR(IF(INDEX(원본명단!$E$3:$E$6002,MATCH("R"&amp;316,정리결과!$J$6:$J$6005,0))="","",INDEX(원본명단!$E$3:$E$6002,MATCH("R"&amp;316,정리결과!$J$6:$J$6005,0))),""))</f>
        <v/>
      </c>
      <c r="F321" s="10" t="str">
        <f aca="false">IF($A321="","",IFERROR(IF(INDEX(원본명단!$F$3:$F$6002,MATCH("R"&amp;316,정리결과!$J$6:$J$6005,0))="","",INDEX(원본명단!$F$3:$F$6002,MATCH("R"&amp;316,정리결과!$J$6:$J$6005,0))),""))</f>
        <v/>
      </c>
      <c r="H321" s="14" t="b">
        <f aca="false">IF(중복검사!$A319="",FALSE(),중복검사!$J319="유지")</f>
        <v>0</v>
      </c>
      <c r="I321" s="5" t="str">
        <f aca="false">IF($H321=FALSE(),"",COUNTIF($H$6:$H321,TRUE()))</f>
        <v/>
      </c>
      <c r="J321" s="5" t="str">
        <f aca="false">IF($I321="","","R"&amp;$I321)</f>
        <v/>
      </c>
    </row>
    <row r="322" customFormat="false" ht="15" hidden="false" customHeight="true" outlineLevel="0" collapsed="false">
      <c r="A322" s="10" t="str">
        <f aca="false">IFERROR(IF(INDEX(원본명단!$A$3:$A$6002,MATCH("R"&amp;317,정리결과!$J$6:$J$6005,0))="","",INDEX(원본명단!$A$3:$A$6002,MATCH("R"&amp;317,정리결과!$J$6:$J$6005,0))),"")</f>
        <v/>
      </c>
      <c r="B322" s="10" t="str">
        <f aca="false">IF($A322="","",IFERROR(IF(INDEX(원본명단!$B$3:$B$6002,MATCH("R"&amp;317,정리결과!$J$6:$J$6005,0))="","",INDEX(원본명단!$B$3:$B$6002,MATCH("R"&amp;317,정리결과!$J$6:$J$6005,0))),""))</f>
        <v/>
      </c>
      <c r="C322" s="10" t="str">
        <f aca="false">IF($A322="","",IFERROR(IF(INDEX(원본명단!$C$3:$C$6002,MATCH("R"&amp;317,정리결과!$J$6:$J$6005,0))="","",INDEX(원본명단!$C$3:$C$6002,MATCH("R"&amp;317,정리결과!$J$6:$J$6005,0))),""))</f>
        <v/>
      </c>
      <c r="D322" s="10" t="str">
        <f aca="false">IF($A322="","",IFERROR(IF(INDEX(원본명단!$D$3:$D$6002,MATCH("R"&amp;317,정리결과!$J$6:$J$6005,0))="","",INDEX(원본명단!$D$3:$D$6002,MATCH("R"&amp;317,정리결과!$J$6:$J$6005,0))),""))</f>
        <v/>
      </c>
      <c r="E322" s="10" t="str">
        <f aca="false">IF($A322="","",IFERROR(IF(INDEX(원본명단!$E$3:$E$6002,MATCH("R"&amp;317,정리결과!$J$6:$J$6005,0))="","",INDEX(원본명단!$E$3:$E$6002,MATCH("R"&amp;317,정리결과!$J$6:$J$6005,0))),""))</f>
        <v/>
      </c>
      <c r="F322" s="10" t="str">
        <f aca="false">IF($A322="","",IFERROR(IF(INDEX(원본명단!$F$3:$F$6002,MATCH("R"&amp;317,정리결과!$J$6:$J$6005,0))="","",INDEX(원본명단!$F$3:$F$6002,MATCH("R"&amp;317,정리결과!$J$6:$J$6005,0))),""))</f>
        <v/>
      </c>
      <c r="H322" s="14" t="b">
        <f aca="false">IF(중복검사!$A320="",FALSE(),중복검사!$J320="유지")</f>
        <v>0</v>
      </c>
      <c r="I322" s="5" t="str">
        <f aca="false">IF($H322=FALSE(),"",COUNTIF($H$6:$H322,TRUE()))</f>
        <v/>
      </c>
      <c r="J322" s="5" t="str">
        <f aca="false">IF($I322="","","R"&amp;$I322)</f>
        <v/>
      </c>
    </row>
    <row r="323" customFormat="false" ht="15" hidden="false" customHeight="true" outlineLevel="0" collapsed="false">
      <c r="A323" s="10" t="str">
        <f aca="false">IFERROR(IF(INDEX(원본명단!$A$3:$A$6002,MATCH("R"&amp;318,정리결과!$J$6:$J$6005,0))="","",INDEX(원본명단!$A$3:$A$6002,MATCH("R"&amp;318,정리결과!$J$6:$J$6005,0))),"")</f>
        <v/>
      </c>
      <c r="B323" s="10" t="str">
        <f aca="false">IF($A323="","",IFERROR(IF(INDEX(원본명단!$B$3:$B$6002,MATCH("R"&amp;318,정리결과!$J$6:$J$6005,0))="","",INDEX(원본명단!$B$3:$B$6002,MATCH("R"&amp;318,정리결과!$J$6:$J$6005,0))),""))</f>
        <v/>
      </c>
      <c r="C323" s="10" t="str">
        <f aca="false">IF($A323="","",IFERROR(IF(INDEX(원본명단!$C$3:$C$6002,MATCH("R"&amp;318,정리결과!$J$6:$J$6005,0))="","",INDEX(원본명단!$C$3:$C$6002,MATCH("R"&amp;318,정리결과!$J$6:$J$6005,0))),""))</f>
        <v/>
      </c>
      <c r="D323" s="10" t="str">
        <f aca="false">IF($A323="","",IFERROR(IF(INDEX(원본명단!$D$3:$D$6002,MATCH("R"&amp;318,정리결과!$J$6:$J$6005,0))="","",INDEX(원본명단!$D$3:$D$6002,MATCH("R"&amp;318,정리결과!$J$6:$J$6005,0))),""))</f>
        <v/>
      </c>
      <c r="E323" s="10" t="str">
        <f aca="false">IF($A323="","",IFERROR(IF(INDEX(원본명단!$E$3:$E$6002,MATCH("R"&amp;318,정리결과!$J$6:$J$6005,0))="","",INDEX(원본명단!$E$3:$E$6002,MATCH("R"&amp;318,정리결과!$J$6:$J$6005,0))),""))</f>
        <v/>
      </c>
      <c r="F323" s="10" t="str">
        <f aca="false">IF($A323="","",IFERROR(IF(INDEX(원본명단!$F$3:$F$6002,MATCH("R"&amp;318,정리결과!$J$6:$J$6005,0))="","",INDEX(원본명단!$F$3:$F$6002,MATCH("R"&amp;318,정리결과!$J$6:$J$6005,0))),""))</f>
        <v/>
      </c>
      <c r="H323" s="14" t="b">
        <f aca="false">IF(중복검사!$A321="",FALSE(),중복검사!$J321="유지")</f>
        <v>0</v>
      </c>
      <c r="I323" s="5" t="str">
        <f aca="false">IF($H323=FALSE(),"",COUNTIF($H$6:$H323,TRUE()))</f>
        <v/>
      </c>
      <c r="J323" s="5" t="str">
        <f aca="false">IF($I323="","","R"&amp;$I323)</f>
        <v/>
      </c>
    </row>
    <row r="324" customFormat="false" ht="15" hidden="false" customHeight="true" outlineLevel="0" collapsed="false">
      <c r="A324" s="10" t="str">
        <f aca="false">IFERROR(IF(INDEX(원본명단!$A$3:$A$6002,MATCH("R"&amp;319,정리결과!$J$6:$J$6005,0))="","",INDEX(원본명단!$A$3:$A$6002,MATCH("R"&amp;319,정리결과!$J$6:$J$6005,0))),"")</f>
        <v/>
      </c>
      <c r="B324" s="10" t="str">
        <f aca="false">IF($A324="","",IFERROR(IF(INDEX(원본명단!$B$3:$B$6002,MATCH("R"&amp;319,정리결과!$J$6:$J$6005,0))="","",INDEX(원본명단!$B$3:$B$6002,MATCH("R"&amp;319,정리결과!$J$6:$J$6005,0))),""))</f>
        <v/>
      </c>
      <c r="C324" s="10" t="str">
        <f aca="false">IF($A324="","",IFERROR(IF(INDEX(원본명단!$C$3:$C$6002,MATCH("R"&amp;319,정리결과!$J$6:$J$6005,0))="","",INDEX(원본명단!$C$3:$C$6002,MATCH("R"&amp;319,정리결과!$J$6:$J$6005,0))),""))</f>
        <v/>
      </c>
      <c r="D324" s="10" t="str">
        <f aca="false">IF($A324="","",IFERROR(IF(INDEX(원본명단!$D$3:$D$6002,MATCH("R"&amp;319,정리결과!$J$6:$J$6005,0))="","",INDEX(원본명단!$D$3:$D$6002,MATCH("R"&amp;319,정리결과!$J$6:$J$6005,0))),""))</f>
        <v/>
      </c>
      <c r="E324" s="10" t="str">
        <f aca="false">IF($A324="","",IFERROR(IF(INDEX(원본명단!$E$3:$E$6002,MATCH("R"&amp;319,정리결과!$J$6:$J$6005,0))="","",INDEX(원본명단!$E$3:$E$6002,MATCH("R"&amp;319,정리결과!$J$6:$J$6005,0))),""))</f>
        <v/>
      </c>
      <c r="F324" s="10" t="str">
        <f aca="false">IF($A324="","",IFERROR(IF(INDEX(원본명단!$F$3:$F$6002,MATCH("R"&amp;319,정리결과!$J$6:$J$6005,0))="","",INDEX(원본명단!$F$3:$F$6002,MATCH("R"&amp;319,정리결과!$J$6:$J$6005,0))),""))</f>
        <v/>
      </c>
      <c r="H324" s="14" t="b">
        <f aca="false">IF(중복검사!$A322="",FALSE(),중복검사!$J322="유지")</f>
        <v>0</v>
      </c>
      <c r="I324" s="5" t="str">
        <f aca="false">IF($H324=FALSE(),"",COUNTIF($H$6:$H324,TRUE()))</f>
        <v/>
      </c>
      <c r="J324" s="5" t="str">
        <f aca="false">IF($I324="","","R"&amp;$I324)</f>
        <v/>
      </c>
    </row>
    <row r="325" customFormat="false" ht="15" hidden="false" customHeight="true" outlineLevel="0" collapsed="false">
      <c r="A325" s="10" t="str">
        <f aca="false">IFERROR(IF(INDEX(원본명단!$A$3:$A$6002,MATCH("R"&amp;320,정리결과!$J$6:$J$6005,0))="","",INDEX(원본명단!$A$3:$A$6002,MATCH("R"&amp;320,정리결과!$J$6:$J$6005,0))),"")</f>
        <v/>
      </c>
      <c r="B325" s="10" t="str">
        <f aca="false">IF($A325="","",IFERROR(IF(INDEX(원본명단!$B$3:$B$6002,MATCH("R"&amp;320,정리결과!$J$6:$J$6005,0))="","",INDEX(원본명단!$B$3:$B$6002,MATCH("R"&amp;320,정리결과!$J$6:$J$6005,0))),""))</f>
        <v/>
      </c>
      <c r="C325" s="10" t="str">
        <f aca="false">IF($A325="","",IFERROR(IF(INDEX(원본명단!$C$3:$C$6002,MATCH("R"&amp;320,정리결과!$J$6:$J$6005,0))="","",INDEX(원본명단!$C$3:$C$6002,MATCH("R"&amp;320,정리결과!$J$6:$J$6005,0))),""))</f>
        <v/>
      </c>
      <c r="D325" s="10" t="str">
        <f aca="false">IF($A325="","",IFERROR(IF(INDEX(원본명단!$D$3:$D$6002,MATCH("R"&amp;320,정리결과!$J$6:$J$6005,0))="","",INDEX(원본명단!$D$3:$D$6002,MATCH("R"&amp;320,정리결과!$J$6:$J$6005,0))),""))</f>
        <v/>
      </c>
      <c r="E325" s="10" t="str">
        <f aca="false">IF($A325="","",IFERROR(IF(INDEX(원본명단!$E$3:$E$6002,MATCH("R"&amp;320,정리결과!$J$6:$J$6005,0))="","",INDEX(원본명단!$E$3:$E$6002,MATCH("R"&amp;320,정리결과!$J$6:$J$6005,0))),""))</f>
        <v/>
      </c>
      <c r="F325" s="10" t="str">
        <f aca="false">IF($A325="","",IFERROR(IF(INDEX(원본명단!$F$3:$F$6002,MATCH("R"&amp;320,정리결과!$J$6:$J$6005,0))="","",INDEX(원본명단!$F$3:$F$6002,MATCH("R"&amp;320,정리결과!$J$6:$J$6005,0))),""))</f>
        <v/>
      </c>
      <c r="H325" s="14" t="b">
        <f aca="false">IF(중복검사!$A323="",FALSE(),중복검사!$J323="유지")</f>
        <v>0</v>
      </c>
      <c r="I325" s="5" t="str">
        <f aca="false">IF($H325=FALSE(),"",COUNTIF($H$6:$H325,TRUE()))</f>
        <v/>
      </c>
      <c r="J325" s="5" t="str">
        <f aca="false">IF($I325="","","R"&amp;$I325)</f>
        <v/>
      </c>
    </row>
    <row r="326" customFormat="false" ht="15" hidden="false" customHeight="true" outlineLevel="0" collapsed="false">
      <c r="A326" s="10" t="str">
        <f aca="false">IFERROR(IF(INDEX(원본명단!$A$3:$A$6002,MATCH("R"&amp;321,정리결과!$J$6:$J$6005,0))="","",INDEX(원본명단!$A$3:$A$6002,MATCH("R"&amp;321,정리결과!$J$6:$J$6005,0))),"")</f>
        <v/>
      </c>
      <c r="B326" s="10" t="str">
        <f aca="false">IF($A326="","",IFERROR(IF(INDEX(원본명단!$B$3:$B$6002,MATCH("R"&amp;321,정리결과!$J$6:$J$6005,0))="","",INDEX(원본명단!$B$3:$B$6002,MATCH("R"&amp;321,정리결과!$J$6:$J$6005,0))),""))</f>
        <v/>
      </c>
      <c r="C326" s="10" t="str">
        <f aca="false">IF($A326="","",IFERROR(IF(INDEX(원본명단!$C$3:$C$6002,MATCH("R"&amp;321,정리결과!$J$6:$J$6005,0))="","",INDEX(원본명단!$C$3:$C$6002,MATCH("R"&amp;321,정리결과!$J$6:$J$6005,0))),""))</f>
        <v/>
      </c>
      <c r="D326" s="10" t="str">
        <f aca="false">IF($A326="","",IFERROR(IF(INDEX(원본명단!$D$3:$D$6002,MATCH("R"&amp;321,정리결과!$J$6:$J$6005,0))="","",INDEX(원본명단!$D$3:$D$6002,MATCH("R"&amp;321,정리결과!$J$6:$J$6005,0))),""))</f>
        <v/>
      </c>
      <c r="E326" s="10" t="str">
        <f aca="false">IF($A326="","",IFERROR(IF(INDEX(원본명단!$E$3:$E$6002,MATCH("R"&amp;321,정리결과!$J$6:$J$6005,0))="","",INDEX(원본명단!$E$3:$E$6002,MATCH("R"&amp;321,정리결과!$J$6:$J$6005,0))),""))</f>
        <v/>
      </c>
      <c r="F326" s="10" t="str">
        <f aca="false">IF($A326="","",IFERROR(IF(INDEX(원본명단!$F$3:$F$6002,MATCH("R"&amp;321,정리결과!$J$6:$J$6005,0))="","",INDEX(원본명단!$F$3:$F$6002,MATCH("R"&amp;321,정리결과!$J$6:$J$6005,0))),""))</f>
        <v/>
      </c>
      <c r="H326" s="14" t="b">
        <f aca="false">IF(중복검사!$A324="",FALSE(),중복검사!$J324="유지")</f>
        <v>0</v>
      </c>
      <c r="I326" s="5" t="str">
        <f aca="false">IF($H326=FALSE(),"",COUNTIF($H$6:$H326,TRUE()))</f>
        <v/>
      </c>
      <c r="J326" s="5" t="str">
        <f aca="false">IF($I326="","","R"&amp;$I326)</f>
        <v/>
      </c>
    </row>
    <row r="327" customFormat="false" ht="15" hidden="false" customHeight="true" outlineLevel="0" collapsed="false">
      <c r="A327" s="10" t="str">
        <f aca="false">IFERROR(IF(INDEX(원본명단!$A$3:$A$6002,MATCH("R"&amp;322,정리결과!$J$6:$J$6005,0))="","",INDEX(원본명단!$A$3:$A$6002,MATCH("R"&amp;322,정리결과!$J$6:$J$6005,0))),"")</f>
        <v/>
      </c>
      <c r="B327" s="10" t="str">
        <f aca="false">IF($A327="","",IFERROR(IF(INDEX(원본명단!$B$3:$B$6002,MATCH("R"&amp;322,정리결과!$J$6:$J$6005,0))="","",INDEX(원본명단!$B$3:$B$6002,MATCH("R"&amp;322,정리결과!$J$6:$J$6005,0))),""))</f>
        <v/>
      </c>
      <c r="C327" s="10" t="str">
        <f aca="false">IF($A327="","",IFERROR(IF(INDEX(원본명단!$C$3:$C$6002,MATCH("R"&amp;322,정리결과!$J$6:$J$6005,0))="","",INDEX(원본명단!$C$3:$C$6002,MATCH("R"&amp;322,정리결과!$J$6:$J$6005,0))),""))</f>
        <v/>
      </c>
      <c r="D327" s="10" t="str">
        <f aca="false">IF($A327="","",IFERROR(IF(INDEX(원본명단!$D$3:$D$6002,MATCH("R"&amp;322,정리결과!$J$6:$J$6005,0))="","",INDEX(원본명단!$D$3:$D$6002,MATCH("R"&amp;322,정리결과!$J$6:$J$6005,0))),""))</f>
        <v/>
      </c>
      <c r="E327" s="10" t="str">
        <f aca="false">IF($A327="","",IFERROR(IF(INDEX(원본명단!$E$3:$E$6002,MATCH("R"&amp;322,정리결과!$J$6:$J$6005,0))="","",INDEX(원본명단!$E$3:$E$6002,MATCH("R"&amp;322,정리결과!$J$6:$J$6005,0))),""))</f>
        <v/>
      </c>
      <c r="F327" s="10" t="str">
        <f aca="false">IF($A327="","",IFERROR(IF(INDEX(원본명단!$F$3:$F$6002,MATCH("R"&amp;322,정리결과!$J$6:$J$6005,0))="","",INDEX(원본명단!$F$3:$F$6002,MATCH("R"&amp;322,정리결과!$J$6:$J$6005,0))),""))</f>
        <v/>
      </c>
      <c r="H327" s="14" t="b">
        <f aca="false">IF(중복검사!$A325="",FALSE(),중복검사!$J325="유지")</f>
        <v>0</v>
      </c>
      <c r="I327" s="5" t="str">
        <f aca="false">IF($H327=FALSE(),"",COUNTIF($H$6:$H327,TRUE()))</f>
        <v/>
      </c>
      <c r="J327" s="5" t="str">
        <f aca="false">IF($I327="","","R"&amp;$I327)</f>
        <v/>
      </c>
    </row>
    <row r="328" customFormat="false" ht="15" hidden="false" customHeight="true" outlineLevel="0" collapsed="false">
      <c r="A328" s="10" t="str">
        <f aca="false">IFERROR(IF(INDEX(원본명단!$A$3:$A$6002,MATCH("R"&amp;323,정리결과!$J$6:$J$6005,0))="","",INDEX(원본명단!$A$3:$A$6002,MATCH("R"&amp;323,정리결과!$J$6:$J$6005,0))),"")</f>
        <v/>
      </c>
      <c r="B328" s="10" t="str">
        <f aca="false">IF($A328="","",IFERROR(IF(INDEX(원본명단!$B$3:$B$6002,MATCH("R"&amp;323,정리결과!$J$6:$J$6005,0))="","",INDEX(원본명단!$B$3:$B$6002,MATCH("R"&amp;323,정리결과!$J$6:$J$6005,0))),""))</f>
        <v/>
      </c>
      <c r="C328" s="10" t="str">
        <f aca="false">IF($A328="","",IFERROR(IF(INDEX(원본명단!$C$3:$C$6002,MATCH("R"&amp;323,정리결과!$J$6:$J$6005,0))="","",INDEX(원본명단!$C$3:$C$6002,MATCH("R"&amp;323,정리결과!$J$6:$J$6005,0))),""))</f>
        <v/>
      </c>
      <c r="D328" s="10" t="str">
        <f aca="false">IF($A328="","",IFERROR(IF(INDEX(원본명단!$D$3:$D$6002,MATCH("R"&amp;323,정리결과!$J$6:$J$6005,0))="","",INDEX(원본명단!$D$3:$D$6002,MATCH("R"&amp;323,정리결과!$J$6:$J$6005,0))),""))</f>
        <v/>
      </c>
      <c r="E328" s="10" t="str">
        <f aca="false">IF($A328="","",IFERROR(IF(INDEX(원본명단!$E$3:$E$6002,MATCH("R"&amp;323,정리결과!$J$6:$J$6005,0))="","",INDEX(원본명단!$E$3:$E$6002,MATCH("R"&amp;323,정리결과!$J$6:$J$6005,0))),""))</f>
        <v/>
      </c>
      <c r="F328" s="10" t="str">
        <f aca="false">IF($A328="","",IFERROR(IF(INDEX(원본명단!$F$3:$F$6002,MATCH("R"&amp;323,정리결과!$J$6:$J$6005,0))="","",INDEX(원본명단!$F$3:$F$6002,MATCH("R"&amp;323,정리결과!$J$6:$J$6005,0))),""))</f>
        <v/>
      </c>
      <c r="H328" s="14" t="b">
        <f aca="false">IF(중복검사!$A326="",FALSE(),중복검사!$J326="유지")</f>
        <v>0</v>
      </c>
      <c r="I328" s="5" t="str">
        <f aca="false">IF($H328=FALSE(),"",COUNTIF($H$6:$H328,TRUE()))</f>
        <v/>
      </c>
      <c r="J328" s="5" t="str">
        <f aca="false">IF($I328="","","R"&amp;$I328)</f>
        <v/>
      </c>
    </row>
    <row r="329" customFormat="false" ht="15" hidden="false" customHeight="true" outlineLevel="0" collapsed="false">
      <c r="A329" s="10" t="str">
        <f aca="false">IFERROR(IF(INDEX(원본명단!$A$3:$A$6002,MATCH("R"&amp;324,정리결과!$J$6:$J$6005,0))="","",INDEX(원본명단!$A$3:$A$6002,MATCH("R"&amp;324,정리결과!$J$6:$J$6005,0))),"")</f>
        <v/>
      </c>
      <c r="B329" s="10" t="str">
        <f aca="false">IF($A329="","",IFERROR(IF(INDEX(원본명단!$B$3:$B$6002,MATCH("R"&amp;324,정리결과!$J$6:$J$6005,0))="","",INDEX(원본명단!$B$3:$B$6002,MATCH("R"&amp;324,정리결과!$J$6:$J$6005,0))),""))</f>
        <v/>
      </c>
      <c r="C329" s="10" t="str">
        <f aca="false">IF($A329="","",IFERROR(IF(INDEX(원본명단!$C$3:$C$6002,MATCH("R"&amp;324,정리결과!$J$6:$J$6005,0))="","",INDEX(원본명단!$C$3:$C$6002,MATCH("R"&amp;324,정리결과!$J$6:$J$6005,0))),""))</f>
        <v/>
      </c>
      <c r="D329" s="10" t="str">
        <f aca="false">IF($A329="","",IFERROR(IF(INDEX(원본명단!$D$3:$D$6002,MATCH("R"&amp;324,정리결과!$J$6:$J$6005,0))="","",INDEX(원본명단!$D$3:$D$6002,MATCH("R"&amp;324,정리결과!$J$6:$J$6005,0))),""))</f>
        <v/>
      </c>
      <c r="E329" s="10" t="str">
        <f aca="false">IF($A329="","",IFERROR(IF(INDEX(원본명단!$E$3:$E$6002,MATCH("R"&amp;324,정리결과!$J$6:$J$6005,0))="","",INDEX(원본명단!$E$3:$E$6002,MATCH("R"&amp;324,정리결과!$J$6:$J$6005,0))),""))</f>
        <v/>
      </c>
      <c r="F329" s="10" t="str">
        <f aca="false">IF($A329="","",IFERROR(IF(INDEX(원본명단!$F$3:$F$6002,MATCH("R"&amp;324,정리결과!$J$6:$J$6005,0))="","",INDEX(원본명단!$F$3:$F$6002,MATCH("R"&amp;324,정리결과!$J$6:$J$6005,0))),""))</f>
        <v/>
      </c>
      <c r="H329" s="14" t="b">
        <f aca="false">IF(중복검사!$A327="",FALSE(),중복검사!$J327="유지")</f>
        <v>0</v>
      </c>
      <c r="I329" s="5" t="str">
        <f aca="false">IF($H329=FALSE(),"",COUNTIF($H$6:$H329,TRUE()))</f>
        <v/>
      </c>
      <c r="J329" s="5" t="str">
        <f aca="false">IF($I329="","","R"&amp;$I329)</f>
        <v/>
      </c>
    </row>
    <row r="330" customFormat="false" ht="15" hidden="false" customHeight="true" outlineLevel="0" collapsed="false">
      <c r="A330" s="10" t="str">
        <f aca="false">IFERROR(IF(INDEX(원본명단!$A$3:$A$6002,MATCH("R"&amp;325,정리결과!$J$6:$J$6005,0))="","",INDEX(원본명단!$A$3:$A$6002,MATCH("R"&amp;325,정리결과!$J$6:$J$6005,0))),"")</f>
        <v/>
      </c>
      <c r="B330" s="10" t="str">
        <f aca="false">IF($A330="","",IFERROR(IF(INDEX(원본명단!$B$3:$B$6002,MATCH("R"&amp;325,정리결과!$J$6:$J$6005,0))="","",INDEX(원본명단!$B$3:$B$6002,MATCH("R"&amp;325,정리결과!$J$6:$J$6005,0))),""))</f>
        <v/>
      </c>
      <c r="C330" s="10" t="str">
        <f aca="false">IF($A330="","",IFERROR(IF(INDEX(원본명단!$C$3:$C$6002,MATCH("R"&amp;325,정리결과!$J$6:$J$6005,0))="","",INDEX(원본명단!$C$3:$C$6002,MATCH("R"&amp;325,정리결과!$J$6:$J$6005,0))),""))</f>
        <v/>
      </c>
      <c r="D330" s="10" t="str">
        <f aca="false">IF($A330="","",IFERROR(IF(INDEX(원본명단!$D$3:$D$6002,MATCH("R"&amp;325,정리결과!$J$6:$J$6005,0))="","",INDEX(원본명단!$D$3:$D$6002,MATCH("R"&amp;325,정리결과!$J$6:$J$6005,0))),""))</f>
        <v/>
      </c>
      <c r="E330" s="10" t="str">
        <f aca="false">IF($A330="","",IFERROR(IF(INDEX(원본명단!$E$3:$E$6002,MATCH("R"&amp;325,정리결과!$J$6:$J$6005,0))="","",INDEX(원본명단!$E$3:$E$6002,MATCH("R"&amp;325,정리결과!$J$6:$J$6005,0))),""))</f>
        <v/>
      </c>
      <c r="F330" s="10" t="str">
        <f aca="false">IF($A330="","",IFERROR(IF(INDEX(원본명단!$F$3:$F$6002,MATCH("R"&amp;325,정리결과!$J$6:$J$6005,0))="","",INDEX(원본명단!$F$3:$F$6002,MATCH("R"&amp;325,정리결과!$J$6:$J$6005,0))),""))</f>
        <v/>
      </c>
      <c r="H330" s="14" t="b">
        <f aca="false">IF(중복검사!$A328="",FALSE(),중복검사!$J328="유지")</f>
        <v>0</v>
      </c>
      <c r="I330" s="5" t="str">
        <f aca="false">IF($H330=FALSE(),"",COUNTIF($H$6:$H330,TRUE()))</f>
        <v/>
      </c>
      <c r="J330" s="5" t="str">
        <f aca="false">IF($I330="","","R"&amp;$I330)</f>
        <v/>
      </c>
    </row>
    <row r="331" customFormat="false" ht="15" hidden="false" customHeight="true" outlineLevel="0" collapsed="false">
      <c r="A331" s="10" t="str">
        <f aca="false">IFERROR(IF(INDEX(원본명단!$A$3:$A$6002,MATCH("R"&amp;326,정리결과!$J$6:$J$6005,0))="","",INDEX(원본명단!$A$3:$A$6002,MATCH("R"&amp;326,정리결과!$J$6:$J$6005,0))),"")</f>
        <v/>
      </c>
      <c r="B331" s="10" t="str">
        <f aca="false">IF($A331="","",IFERROR(IF(INDEX(원본명단!$B$3:$B$6002,MATCH("R"&amp;326,정리결과!$J$6:$J$6005,0))="","",INDEX(원본명단!$B$3:$B$6002,MATCH("R"&amp;326,정리결과!$J$6:$J$6005,0))),""))</f>
        <v/>
      </c>
      <c r="C331" s="10" t="str">
        <f aca="false">IF($A331="","",IFERROR(IF(INDEX(원본명단!$C$3:$C$6002,MATCH("R"&amp;326,정리결과!$J$6:$J$6005,0))="","",INDEX(원본명단!$C$3:$C$6002,MATCH("R"&amp;326,정리결과!$J$6:$J$6005,0))),""))</f>
        <v/>
      </c>
      <c r="D331" s="10" t="str">
        <f aca="false">IF($A331="","",IFERROR(IF(INDEX(원본명단!$D$3:$D$6002,MATCH("R"&amp;326,정리결과!$J$6:$J$6005,0))="","",INDEX(원본명단!$D$3:$D$6002,MATCH("R"&amp;326,정리결과!$J$6:$J$6005,0))),""))</f>
        <v/>
      </c>
      <c r="E331" s="10" t="str">
        <f aca="false">IF($A331="","",IFERROR(IF(INDEX(원본명단!$E$3:$E$6002,MATCH("R"&amp;326,정리결과!$J$6:$J$6005,0))="","",INDEX(원본명단!$E$3:$E$6002,MATCH("R"&amp;326,정리결과!$J$6:$J$6005,0))),""))</f>
        <v/>
      </c>
      <c r="F331" s="10" t="str">
        <f aca="false">IF($A331="","",IFERROR(IF(INDEX(원본명단!$F$3:$F$6002,MATCH("R"&amp;326,정리결과!$J$6:$J$6005,0))="","",INDEX(원본명단!$F$3:$F$6002,MATCH("R"&amp;326,정리결과!$J$6:$J$6005,0))),""))</f>
        <v/>
      </c>
      <c r="H331" s="14" t="b">
        <f aca="false">IF(중복검사!$A329="",FALSE(),중복검사!$J329="유지")</f>
        <v>0</v>
      </c>
      <c r="I331" s="5" t="str">
        <f aca="false">IF($H331=FALSE(),"",COUNTIF($H$6:$H331,TRUE()))</f>
        <v/>
      </c>
      <c r="J331" s="5" t="str">
        <f aca="false">IF($I331="","","R"&amp;$I331)</f>
        <v/>
      </c>
    </row>
    <row r="332" customFormat="false" ht="15" hidden="false" customHeight="true" outlineLevel="0" collapsed="false">
      <c r="A332" s="10" t="str">
        <f aca="false">IFERROR(IF(INDEX(원본명단!$A$3:$A$6002,MATCH("R"&amp;327,정리결과!$J$6:$J$6005,0))="","",INDEX(원본명단!$A$3:$A$6002,MATCH("R"&amp;327,정리결과!$J$6:$J$6005,0))),"")</f>
        <v/>
      </c>
      <c r="B332" s="10" t="str">
        <f aca="false">IF($A332="","",IFERROR(IF(INDEX(원본명단!$B$3:$B$6002,MATCH("R"&amp;327,정리결과!$J$6:$J$6005,0))="","",INDEX(원본명단!$B$3:$B$6002,MATCH("R"&amp;327,정리결과!$J$6:$J$6005,0))),""))</f>
        <v/>
      </c>
      <c r="C332" s="10" t="str">
        <f aca="false">IF($A332="","",IFERROR(IF(INDEX(원본명단!$C$3:$C$6002,MATCH("R"&amp;327,정리결과!$J$6:$J$6005,0))="","",INDEX(원본명단!$C$3:$C$6002,MATCH("R"&amp;327,정리결과!$J$6:$J$6005,0))),""))</f>
        <v/>
      </c>
      <c r="D332" s="10" t="str">
        <f aca="false">IF($A332="","",IFERROR(IF(INDEX(원본명단!$D$3:$D$6002,MATCH("R"&amp;327,정리결과!$J$6:$J$6005,0))="","",INDEX(원본명단!$D$3:$D$6002,MATCH("R"&amp;327,정리결과!$J$6:$J$6005,0))),""))</f>
        <v/>
      </c>
      <c r="E332" s="10" t="str">
        <f aca="false">IF($A332="","",IFERROR(IF(INDEX(원본명단!$E$3:$E$6002,MATCH("R"&amp;327,정리결과!$J$6:$J$6005,0))="","",INDEX(원본명단!$E$3:$E$6002,MATCH("R"&amp;327,정리결과!$J$6:$J$6005,0))),""))</f>
        <v/>
      </c>
      <c r="F332" s="10" t="str">
        <f aca="false">IF($A332="","",IFERROR(IF(INDEX(원본명단!$F$3:$F$6002,MATCH("R"&amp;327,정리결과!$J$6:$J$6005,0))="","",INDEX(원본명단!$F$3:$F$6002,MATCH("R"&amp;327,정리결과!$J$6:$J$6005,0))),""))</f>
        <v/>
      </c>
      <c r="H332" s="14" t="b">
        <f aca="false">IF(중복검사!$A330="",FALSE(),중복검사!$J330="유지")</f>
        <v>0</v>
      </c>
      <c r="I332" s="5" t="str">
        <f aca="false">IF($H332=FALSE(),"",COUNTIF($H$6:$H332,TRUE()))</f>
        <v/>
      </c>
      <c r="J332" s="5" t="str">
        <f aca="false">IF($I332="","","R"&amp;$I332)</f>
        <v/>
      </c>
    </row>
    <row r="333" customFormat="false" ht="15" hidden="false" customHeight="true" outlineLevel="0" collapsed="false">
      <c r="A333" s="10" t="str">
        <f aca="false">IFERROR(IF(INDEX(원본명단!$A$3:$A$6002,MATCH("R"&amp;328,정리결과!$J$6:$J$6005,0))="","",INDEX(원본명단!$A$3:$A$6002,MATCH("R"&amp;328,정리결과!$J$6:$J$6005,0))),"")</f>
        <v/>
      </c>
      <c r="B333" s="10" t="str">
        <f aca="false">IF($A333="","",IFERROR(IF(INDEX(원본명단!$B$3:$B$6002,MATCH("R"&amp;328,정리결과!$J$6:$J$6005,0))="","",INDEX(원본명단!$B$3:$B$6002,MATCH("R"&amp;328,정리결과!$J$6:$J$6005,0))),""))</f>
        <v/>
      </c>
      <c r="C333" s="10" t="str">
        <f aca="false">IF($A333="","",IFERROR(IF(INDEX(원본명단!$C$3:$C$6002,MATCH("R"&amp;328,정리결과!$J$6:$J$6005,0))="","",INDEX(원본명단!$C$3:$C$6002,MATCH("R"&amp;328,정리결과!$J$6:$J$6005,0))),""))</f>
        <v/>
      </c>
      <c r="D333" s="10" t="str">
        <f aca="false">IF($A333="","",IFERROR(IF(INDEX(원본명단!$D$3:$D$6002,MATCH("R"&amp;328,정리결과!$J$6:$J$6005,0))="","",INDEX(원본명단!$D$3:$D$6002,MATCH("R"&amp;328,정리결과!$J$6:$J$6005,0))),""))</f>
        <v/>
      </c>
      <c r="E333" s="10" t="str">
        <f aca="false">IF($A333="","",IFERROR(IF(INDEX(원본명단!$E$3:$E$6002,MATCH("R"&amp;328,정리결과!$J$6:$J$6005,0))="","",INDEX(원본명단!$E$3:$E$6002,MATCH("R"&amp;328,정리결과!$J$6:$J$6005,0))),""))</f>
        <v/>
      </c>
      <c r="F333" s="10" t="str">
        <f aca="false">IF($A333="","",IFERROR(IF(INDEX(원본명단!$F$3:$F$6002,MATCH("R"&amp;328,정리결과!$J$6:$J$6005,0))="","",INDEX(원본명단!$F$3:$F$6002,MATCH("R"&amp;328,정리결과!$J$6:$J$6005,0))),""))</f>
        <v/>
      </c>
      <c r="H333" s="14" t="b">
        <f aca="false">IF(중복검사!$A331="",FALSE(),중복검사!$J331="유지")</f>
        <v>0</v>
      </c>
      <c r="I333" s="5" t="str">
        <f aca="false">IF($H333=FALSE(),"",COUNTIF($H$6:$H333,TRUE()))</f>
        <v/>
      </c>
      <c r="J333" s="5" t="str">
        <f aca="false">IF($I333="","","R"&amp;$I333)</f>
        <v/>
      </c>
    </row>
    <row r="334" customFormat="false" ht="15" hidden="false" customHeight="true" outlineLevel="0" collapsed="false">
      <c r="A334" s="10" t="str">
        <f aca="false">IFERROR(IF(INDEX(원본명단!$A$3:$A$6002,MATCH("R"&amp;329,정리결과!$J$6:$J$6005,0))="","",INDEX(원본명단!$A$3:$A$6002,MATCH("R"&amp;329,정리결과!$J$6:$J$6005,0))),"")</f>
        <v/>
      </c>
      <c r="B334" s="10" t="str">
        <f aca="false">IF($A334="","",IFERROR(IF(INDEX(원본명단!$B$3:$B$6002,MATCH("R"&amp;329,정리결과!$J$6:$J$6005,0))="","",INDEX(원본명단!$B$3:$B$6002,MATCH("R"&amp;329,정리결과!$J$6:$J$6005,0))),""))</f>
        <v/>
      </c>
      <c r="C334" s="10" t="str">
        <f aca="false">IF($A334="","",IFERROR(IF(INDEX(원본명단!$C$3:$C$6002,MATCH("R"&amp;329,정리결과!$J$6:$J$6005,0))="","",INDEX(원본명단!$C$3:$C$6002,MATCH("R"&amp;329,정리결과!$J$6:$J$6005,0))),""))</f>
        <v/>
      </c>
      <c r="D334" s="10" t="str">
        <f aca="false">IF($A334="","",IFERROR(IF(INDEX(원본명단!$D$3:$D$6002,MATCH("R"&amp;329,정리결과!$J$6:$J$6005,0))="","",INDEX(원본명단!$D$3:$D$6002,MATCH("R"&amp;329,정리결과!$J$6:$J$6005,0))),""))</f>
        <v/>
      </c>
      <c r="E334" s="10" t="str">
        <f aca="false">IF($A334="","",IFERROR(IF(INDEX(원본명단!$E$3:$E$6002,MATCH("R"&amp;329,정리결과!$J$6:$J$6005,0))="","",INDEX(원본명단!$E$3:$E$6002,MATCH("R"&amp;329,정리결과!$J$6:$J$6005,0))),""))</f>
        <v/>
      </c>
      <c r="F334" s="10" t="str">
        <f aca="false">IF($A334="","",IFERROR(IF(INDEX(원본명단!$F$3:$F$6002,MATCH("R"&amp;329,정리결과!$J$6:$J$6005,0))="","",INDEX(원본명단!$F$3:$F$6002,MATCH("R"&amp;329,정리결과!$J$6:$J$6005,0))),""))</f>
        <v/>
      </c>
      <c r="H334" s="14" t="b">
        <f aca="false">IF(중복검사!$A332="",FALSE(),중복검사!$J332="유지")</f>
        <v>0</v>
      </c>
      <c r="I334" s="5" t="str">
        <f aca="false">IF($H334=FALSE(),"",COUNTIF($H$6:$H334,TRUE()))</f>
        <v/>
      </c>
      <c r="J334" s="5" t="str">
        <f aca="false">IF($I334="","","R"&amp;$I334)</f>
        <v/>
      </c>
    </row>
    <row r="335" customFormat="false" ht="15" hidden="false" customHeight="true" outlineLevel="0" collapsed="false">
      <c r="A335" s="10" t="str">
        <f aca="false">IFERROR(IF(INDEX(원본명단!$A$3:$A$6002,MATCH("R"&amp;330,정리결과!$J$6:$J$6005,0))="","",INDEX(원본명단!$A$3:$A$6002,MATCH("R"&amp;330,정리결과!$J$6:$J$6005,0))),"")</f>
        <v/>
      </c>
      <c r="B335" s="10" t="str">
        <f aca="false">IF($A335="","",IFERROR(IF(INDEX(원본명단!$B$3:$B$6002,MATCH("R"&amp;330,정리결과!$J$6:$J$6005,0))="","",INDEX(원본명단!$B$3:$B$6002,MATCH("R"&amp;330,정리결과!$J$6:$J$6005,0))),""))</f>
        <v/>
      </c>
      <c r="C335" s="10" t="str">
        <f aca="false">IF($A335="","",IFERROR(IF(INDEX(원본명단!$C$3:$C$6002,MATCH("R"&amp;330,정리결과!$J$6:$J$6005,0))="","",INDEX(원본명단!$C$3:$C$6002,MATCH("R"&amp;330,정리결과!$J$6:$J$6005,0))),""))</f>
        <v/>
      </c>
      <c r="D335" s="10" t="str">
        <f aca="false">IF($A335="","",IFERROR(IF(INDEX(원본명단!$D$3:$D$6002,MATCH("R"&amp;330,정리결과!$J$6:$J$6005,0))="","",INDEX(원본명단!$D$3:$D$6002,MATCH("R"&amp;330,정리결과!$J$6:$J$6005,0))),""))</f>
        <v/>
      </c>
      <c r="E335" s="10" t="str">
        <f aca="false">IF($A335="","",IFERROR(IF(INDEX(원본명단!$E$3:$E$6002,MATCH("R"&amp;330,정리결과!$J$6:$J$6005,0))="","",INDEX(원본명단!$E$3:$E$6002,MATCH("R"&amp;330,정리결과!$J$6:$J$6005,0))),""))</f>
        <v/>
      </c>
      <c r="F335" s="10" t="str">
        <f aca="false">IF($A335="","",IFERROR(IF(INDEX(원본명단!$F$3:$F$6002,MATCH("R"&amp;330,정리결과!$J$6:$J$6005,0))="","",INDEX(원본명단!$F$3:$F$6002,MATCH("R"&amp;330,정리결과!$J$6:$J$6005,0))),""))</f>
        <v/>
      </c>
      <c r="H335" s="14" t="b">
        <f aca="false">IF(중복검사!$A333="",FALSE(),중복검사!$J333="유지")</f>
        <v>0</v>
      </c>
      <c r="I335" s="5" t="str">
        <f aca="false">IF($H335=FALSE(),"",COUNTIF($H$6:$H335,TRUE()))</f>
        <v/>
      </c>
      <c r="J335" s="5" t="str">
        <f aca="false">IF($I335="","","R"&amp;$I335)</f>
        <v/>
      </c>
    </row>
    <row r="336" customFormat="false" ht="15" hidden="false" customHeight="true" outlineLevel="0" collapsed="false">
      <c r="A336" s="10" t="str">
        <f aca="false">IFERROR(IF(INDEX(원본명단!$A$3:$A$6002,MATCH("R"&amp;331,정리결과!$J$6:$J$6005,0))="","",INDEX(원본명단!$A$3:$A$6002,MATCH("R"&amp;331,정리결과!$J$6:$J$6005,0))),"")</f>
        <v/>
      </c>
      <c r="B336" s="10" t="str">
        <f aca="false">IF($A336="","",IFERROR(IF(INDEX(원본명단!$B$3:$B$6002,MATCH("R"&amp;331,정리결과!$J$6:$J$6005,0))="","",INDEX(원본명단!$B$3:$B$6002,MATCH("R"&amp;331,정리결과!$J$6:$J$6005,0))),""))</f>
        <v/>
      </c>
      <c r="C336" s="10" t="str">
        <f aca="false">IF($A336="","",IFERROR(IF(INDEX(원본명단!$C$3:$C$6002,MATCH("R"&amp;331,정리결과!$J$6:$J$6005,0))="","",INDEX(원본명단!$C$3:$C$6002,MATCH("R"&amp;331,정리결과!$J$6:$J$6005,0))),""))</f>
        <v/>
      </c>
      <c r="D336" s="10" t="str">
        <f aca="false">IF($A336="","",IFERROR(IF(INDEX(원본명단!$D$3:$D$6002,MATCH("R"&amp;331,정리결과!$J$6:$J$6005,0))="","",INDEX(원본명단!$D$3:$D$6002,MATCH("R"&amp;331,정리결과!$J$6:$J$6005,0))),""))</f>
        <v/>
      </c>
      <c r="E336" s="10" t="str">
        <f aca="false">IF($A336="","",IFERROR(IF(INDEX(원본명단!$E$3:$E$6002,MATCH("R"&amp;331,정리결과!$J$6:$J$6005,0))="","",INDEX(원본명단!$E$3:$E$6002,MATCH("R"&amp;331,정리결과!$J$6:$J$6005,0))),""))</f>
        <v/>
      </c>
      <c r="F336" s="10" t="str">
        <f aca="false">IF($A336="","",IFERROR(IF(INDEX(원본명단!$F$3:$F$6002,MATCH("R"&amp;331,정리결과!$J$6:$J$6005,0))="","",INDEX(원본명단!$F$3:$F$6002,MATCH("R"&amp;331,정리결과!$J$6:$J$6005,0))),""))</f>
        <v/>
      </c>
      <c r="H336" s="14" t="b">
        <f aca="false">IF(중복검사!$A334="",FALSE(),중복검사!$J334="유지")</f>
        <v>0</v>
      </c>
      <c r="I336" s="5" t="str">
        <f aca="false">IF($H336=FALSE(),"",COUNTIF($H$6:$H336,TRUE()))</f>
        <v/>
      </c>
      <c r="J336" s="5" t="str">
        <f aca="false">IF($I336="","","R"&amp;$I336)</f>
        <v/>
      </c>
    </row>
    <row r="337" customFormat="false" ht="15" hidden="false" customHeight="true" outlineLevel="0" collapsed="false">
      <c r="A337" s="10" t="str">
        <f aca="false">IFERROR(IF(INDEX(원본명단!$A$3:$A$6002,MATCH("R"&amp;332,정리결과!$J$6:$J$6005,0))="","",INDEX(원본명단!$A$3:$A$6002,MATCH("R"&amp;332,정리결과!$J$6:$J$6005,0))),"")</f>
        <v/>
      </c>
      <c r="B337" s="10" t="str">
        <f aca="false">IF($A337="","",IFERROR(IF(INDEX(원본명단!$B$3:$B$6002,MATCH("R"&amp;332,정리결과!$J$6:$J$6005,0))="","",INDEX(원본명단!$B$3:$B$6002,MATCH("R"&amp;332,정리결과!$J$6:$J$6005,0))),""))</f>
        <v/>
      </c>
      <c r="C337" s="10" t="str">
        <f aca="false">IF($A337="","",IFERROR(IF(INDEX(원본명단!$C$3:$C$6002,MATCH("R"&amp;332,정리결과!$J$6:$J$6005,0))="","",INDEX(원본명단!$C$3:$C$6002,MATCH("R"&amp;332,정리결과!$J$6:$J$6005,0))),""))</f>
        <v/>
      </c>
      <c r="D337" s="10" t="str">
        <f aca="false">IF($A337="","",IFERROR(IF(INDEX(원본명단!$D$3:$D$6002,MATCH("R"&amp;332,정리결과!$J$6:$J$6005,0))="","",INDEX(원본명단!$D$3:$D$6002,MATCH("R"&amp;332,정리결과!$J$6:$J$6005,0))),""))</f>
        <v/>
      </c>
      <c r="E337" s="10" t="str">
        <f aca="false">IF($A337="","",IFERROR(IF(INDEX(원본명단!$E$3:$E$6002,MATCH("R"&amp;332,정리결과!$J$6:$J$6005,0))="","",INDEX(원본명단!$E$3:$E$6002,MATCH("R"&amp;332,정리결과!$J$6:$J$6005,0))),""))</f>
        <v/>
      </c>
      <c r="F337" s="10" t="str">
        <f aca="false">IF($A337="","",IFERROR(IF(INDEX(원본명단!$F$3:$F$6002,MATCH("R"&amp;332,정리결과!$J$6:$J$6005,0))="","",INDEX(원본명단!$F$3:$F$6002,MATCH("R"&amp;332,정리결과!$J$6:$J$6005,0))),""))</f>
        <v/>
      </c>
      <c r="H337" s="14" t="b">
        <f aca="false">IF(중복검사!$A335="",FALSE(),중복검사!$J335="유지")</f>
        <v>0</v>
      </c>
      <c r="I337" s="5" t="str">
        <f aca="false">IF($H337=FALSE(),"",COUNTIF($H$6:$H337,TRUE()))</f>
        <v/>
      </c>
      <c r="J337" s="5" t="str">
        <f aca="false">IF($I337="","","R"&amp;$I337)</f>
        <v/>
      </c>
    </row>
    <row r="338" customFormat="false" ht="15" hidden="false" customHeight="true" outlineLevel="0" collapsed="false">
      <c r="A338" s="10" t="str">
        <f aca="false">IFERROR(IF(INDEX(원본명단!$A$3:$A$6002,MATCH("R"&amp;333,정리결과!$J$6:$J$6005,0))="","",INDEX(원본명단!$A$3:$A$6002,MATCH("R"&amp;333,정리결과!$J$6:$J$6005,0))),"")</f>
        <v/>
      </c>
      <c r="B338" s="10" t="str">
        <f aca="false">IF($A338="","",IFERROR(IF(INDEX(원본명단!$B$3:$B$6002,MATCH("R"&amp;333,정리결과!$J$6:$J$6005,0))="","",INDEX(원본명단!$B$3:$B$6002,MATCH("R"&amp;333,정리결과!$J$6:$J$6005,0))),""))</f>
        <v/>
      </c>
      <c r="C338" s="10" t="str">
        <f aca="false">IF($A338="","",IFERROR(IF(INDEX(원본명단!$C$3:$C$6002,MATCH("R"&amp;333,정리결과!$J$6:$J$6005,0))="","",INDEX(원본명단!$C$3:$C$6002,MATCH("R"&amp;333,정리결과!$J$6:$J$6005,0))),""))</f>
        <v/>
      </c>
      <c r="D338" s="10" t="str">
        <f aca="false">IF($A338="","",IFERROR(IF(INDEX(원본명단!$D$3:$D$6002,MATCH("R"&amp;333,정리결과!$J$6:$J$6005,0))="","",INDEX(원본명단!$D$3:$D$6002,MATCH("R"&amp;333,정리결과!$J$6:$J$6005,0))),""))</f>
        <v/>
      </c>
      <c r="E338" s="10" t="str">
        <f aca="false">IF($A338="","",IFERROR(IF(INDEX(원본명단!$E$3:$E$6002,MATCH("R"&amp;333,정리결과!$J$6:$J$6005,0))="","",INDEX(원본명단!$E$3:$E$6002,MATCH("R"&amp;333,정리결과!$J$6:$J$6005,0))),""))</f>
        <v/>
      </c>
      <c r="F338" s="10" t="str">
        <f aca="false">IF($A338="","",IFERROR(IF(INDEX(원본명단!$F$3:$F$6002,MATCH("R"&amp;333,정리결과!$J$6:$J$6005,0))="","",INDEX(원본명단!$F$3:$F$6002,MATCH("R"&amp;333,정리결과!$J$6:$J$6005,0))),""))</f>
        <v/>
      </c>
      <c r="H338" s="14" t="b">
        <f aca="false">IF(중복검사!$A336="",FALSE(),중복검사!$J336="유지")</f>
        <v>0</v>
      </c>
      <c r="I338" s="5" t="str">
        <f aca="false">IF($H338=FALSE(),"",COUNTIF($H$6:$H338,TRUE()))</f>
        <v/>
      </c>
      <c r="J338" s="5" t="str">
        <f aca="false">IF($I338="","","R"&amp;$I338)</f>
        <v/>
      </c>
    </row>
    <row r="339" customFormat="false" ht="15" hidden="false" customHeight="true" outlineLevel="0" collapsed="false">
      <c r="A339" s="10" t="str">
        <f aca="false">IFERROR(IF(INDEX(원본명단!$A$3:$A$6002,MATCH("R"&amp;334,정리결과!$J$6:$J$6005,0))="","",INDEX(원본명단!$A$3:$A$6002,MATCH("R"&amp;334,정리결과!$J$6:$J$6005,0))),"")</f>
        <v/>
      </c>
      <c r="B339" s="10" t="str">
        <f aca="false">IF($A339="","",IFERROR(IF(INDEX(원본명단!$B$3:$B$6002,MATCH("R"&amp;334,정리결과!$J$6:$J$6005,0))="","",INDEX(원본명단!$B$3:$B$6002,MATCH("R"&amp;334,정리결과!$J$6:$J$6005,0))),""))</f>
        <v/>
      </c>
      <c r="C339" s="10" t="str">
        <f aca="false">IF($A339="","",IFERROR(IF(INDEX(원본명단!$C$3:$C$6002,MATCH("R"&amp;334,정리결과!$J$6:$J$6005,0))="","",INDEX(원본명단!$C$3:$C$6002,MATCH("R"&amp;334,정리결과!$J$6:$J$6005,0))),""))</f>
        <v/>
      </c>
      <c r="D339" s="10" t="str">
        <f aca="false">IF($A339="","",IFERROR(IF(INDEX(원본명단!$D$3:$D$6002,MATCH("R"&amp;334,정리결과!$J$6:$J$6005,0))="","",INDEX(원본명단!$D$3:$D$6002,MATCH("R"&amp;334,정리결과!$J$6:$J$6005,0))),""))</f>
        <v/>
      </c>
      <c r="E339" s="10" t="str">
        <f aca="false">IF($A339="","",IFERROR(IF(INDEX(원본명단!$E$3:$E$6002,MATCH("R"&amp;334,정리결과!$J$6:$J$6005,0))="","",INDEX(원본명단!$E$3:$E$6002,MATCH("R"&amp;334,정리결과!$J$6:$J$6005,0))),""))</f>
        <v/>
      </c>
      <c r="F339" s="10" t="str">
        <f aca="false">IF($A339="","",IFERROR(IF(INDEX(원본명단!$F$3:$F$6002,MATCH("R"&amp;334,정리결과!$J$6:$J$6005,0))="","",INDEX(원본명단!$F$3:$F$6002,MATCH("R"&amp;334,정리결과!$J$6:$J$6005,0))),""))</f>
        <v/>
      </c>
      <c r="H339" s="14" t="b">
        <f aca="false">IF(중복검사!$A337="",FALSE(),중복검사!$J337="유지")</f>
        <v>0</v>
      </c>
      <c r="I339" s="5" t="str">
        <f aca="false">IF($H339=FALSE(),"",COUNTIF($H$6:$H339,TRUE()))</f>
        <v/>
      </c>
      <c r="J339" s="5" t="str">
        <f aca="false">IF($I339="","","R"&amp;$I339)</f>
        <v/>
      </c>
    </row>
    <row r="340" customFormat="false" ht="15" hidden="false" customHeight="true" outlineLevel="0" collapsed="false">
      <c r="A340" s="10" t="str">
        <f aca="false">IFERROR(IF(INDEX(원본명단!$A$3:$A$6002,MATCH("R"&amp;335,정리결과!$J$6:$J$6005,0))="","",INDEX(원본명단!$A$3:$A$6002,MATCH("R"&amp;335,정리결과!$J$6:$J$6005,0))),"")</f>
        <v/>
      </c>
      <c r="B340" s="10" t="str">
        <f aca="false">IF($A340="","",IFERROR(IF(INDEX(원본명단!$B$3:$B$6002,MATCH("R"&amp;335,정리결과!$J$6:$J$6005,0))="","",INDEX(원본명단!$B$3:$B$6002,MATCH("R"&amp;335,정리결과!$J$6:$J$6005,0))),""))</f>
        <v/>
      </c>
      <c r="C340" s="10" t="str">
        <f aca="false">IF($A340="","",IFERROR(IF(INDEX(원본명단!$C$3:$C$6002,MATCH("R"&amp;335,정리결과!$J$6:$J$6005,0))="","",INDEX(원본명단!$C$3:$C$6002,MATCH("R"&amp;335,정리결과!$J$6:$J$6005,0))),""))</f>
        <v/>
      </c>
      <c r="D340" s="10" t="str">
        <f aca="false">IF($A340="","",IFERROR(IF(INDEX(원본명단!$D$3:$D$6002,MATCH("R"&amp;335,정리결과!$J$6:$J$6005,0))="","",INDEX(원본명단!$D$3:$D$6002,MATCH("R"&amp;335,정리결과!$J$6:$J$6005,0))),""))</f>
        <v/>
      </c>
      <c r="E340" s="10" t="str">
        <f aca="false">IF($A340="","",IFERROR(IF(INDEX(원본명단!$E$3:$E$6002,MATCH("R"&amp;335,정리결과!$J$6:$J$6005,0))="","",INDEX(원본명단!$E$3:$E$6002,MATCH("R"&amp;335,정리결과!$J$6:$J$6005,0))),""))</f>
        <v/>
      </c>
      <c r="F340" s="10" t="str">
        <f aca="false">IF($A340="","",IFERROR(IF(INDEX(원본명단!$F$3:$F$6002,MATCH("R"&amp;335,정리결과!$J$6:$J$6005,0))="","",INDEX(원본명단!$F$3:$F$6002,MATCH("R"&amp;335,정리결과!$J$6:$J$6005,0))),""))</f>
        <v/>
      </c>
      <c r="H340" s="14" t="b">
        <f aca="false">IF(중복검사!$A338="",FALSE(),중복검사!$J338="유지")</f>
        <v>0</v>
      </c>
      <c r="I340" s="5" t="str">
        <f aca="false">IF($H340=FALSE(),"",COUNTIF($H$6:$H340,TRUE()))</f>
        <v/>
      </c>
      <c r="J340" s="5" t="str">
        <f aca="false">IF($I340="","","R"&amp;$I340)</f>
        <v/>
      </c>
    </row>
    <row r="341" customFormat="false" ht="15" hidden="false" customHeight="true" outlineLevel="0" collapsed="false">
      <c r="A341" s="10" t="str">
        <f aca="false">IFERROR(IF(INDEX(원본명단!$A$3:$A$6002,MATCH("R"&amp;336,정리결과!$J$6:$J$6005,0))="","",INDEX(원본명단!$A$3:$A$6002,MATCH("R"&amp;336,정리결과!$J$6:$J$6005,0))),"")</f>
        <v/>
      </c>
      <c r="B341" s="10" t="str">
        <f aca="false">IF($A341="","",IFERROR(IF(INDEX(원본명단!$B$3:$B$6002,MATCH("R"&amp;336,정리결과!$J$6:$J$6005,0))="","",INDEX(원본명단!$B$3:$B$6002,MATCH("R"&amp;336,정리결과!$J$6:$J$6005,0))),""))</f>
        <v/>
      </c>
      <c r="C341" s="10" t="str">
        <f aca="false">IF($A341="","",IFERROR(IF(INDEX(원본명단!$C$3:$C$6002,MATCH("R"&amp;336,정리결과!$J$6:$J$6005,0))="","",INDEX(원본명단!$C$3:$C$6002,MATCH("R"&amp;336,정리결과!$J$6:$J$6005,0))),""))</f>
        <v/>
      </c>
      <c r="D341" s="10" t="str">
        <f aca="false">IF($A341="","",IFERROR(IF(INDEX(원본명단!$D$3:$D$6002,MATCH("R"&amp;336,정리결과!$J$6:$J$6005,0))="","",INDEX(원본명단!$D$3:$D$6002,MATCH("R"&amp;336,정리결과!$J$6:$J$6005,0))),""))</f>
        <v/>
      </c>
      <c r="E341" s="10" t="str">
        <f aca="false">IF($A341="","",IFERROR(IF(INDEX(원본명단!$E$3:$E$6002,MATCH("R"&amp;336,정리결과!$J$6:$J$6005,0))="","",INDEX(원본명단!$E$3:$E$6002,MATCH("R"&amp;336,정리결과!$J$6:$J$6005,0))),""))</f>
        <v/>
      </c>
      <c r="F341" s="10" t="str">
        <f aca="false">IF($A341="","",IFERROR(IF(INDEX(원본명단!$F$3:$F$6002,MATCH("R"&amp;336,정리결과!$J$6:$J$6005,0))="","",INDEX(원본명단!$F$3:$F$6002,MATCH("R"&amp;336,정리결과!$J$6:$J$6005,0))),""))</f>
        <v/>
      </c>
      <c r="H341" s="14" t="b">
        <f aca="false">IF(중복검사!$A339="",FALSE(),중복검사!$J339="유지")</f>
        <v>0</v>
      </c>
      <c r="I341" s="5" t="str">
        <f aca="false">IF($H341=FALSE(),"",COUNTIF($H$6:$H341,TRUE()))</f>
        <v/>
      </c>
      <c r="J341" s="5" t="str">
        <f aca="false">IF($I341="","","R"&amp;$I341)</f>
        <v/>
      </c>
    </row>
    <row r="342" customFormat="false" ht="15" hidden="false" customHeight="true" outlineLevel="0" collapsed="false">
      <c r="A342" s="10" t="str">
        <f aca="false">IFERROR(IF(INDEX(원본명단!$A$3:$A$6002,MATCH("R"&amp;337,정리결과!$J$6:$J$6005,0))="","",INDEX(원본명단!$A$3:$A$6002,MATCH("R"&amp;337,정리결과!$J$6:$J$6005,0))),"")</f>
        <v/>
      </c>
      <c r="B342" s="10" t="str">
        <f aca="false">IF($A342="","",IFERROR(IF(INDEX(원본명단!$B$3:$B$6002,MATCH("R"&amp;337,정리결과!$J$6:$J$6005,0))="","",INDEX(원본명단!$B$3:$B$6002,MATCH("R"&amp;337,정리결과!$J$6:$J$6005,0))),""))</f>
        <v/>
      </c>
      <c r="C342" s="10" t="str">
        <f aca="false">IF($A342="","",IFERROR(IF(INDEX(원본명단!$C$3:$C$6002,MATCH("R"&amp;337,정리결과!$J$6:$J$6005,0))="","",INDEX(원본명단!$C$3:$C$6002,MATCH("R"&amp;337,정리결과!$J$6:$J$6005,0))),""))</f>
        <v/>
      </c>
      <c r="D342" s="10" t="str">
        <f aca="false">IF($A342="","",IFERROR(IF(INDEX(원본명단!$D$3:$D$6002,MATCH("R"&amp;337,정리결과!$J$6:$J$6005,0))="","",INDEX(원본명단!$D$3:$D$6002,MATCH("R"&amp;337,정리결과!$J$6:$J$6005,0))),""))</f>
        <v/>
      </c>
      <c r="E342" s="10" t="str">
        <f aca="false">IF($A342="","",IFERROR(IF(INDEX(원본명단!$E$3:$E$6002,MATCH("R"&amp;337,정리결과!$J$6:$J$6005,0))="","",INDEX(원본명단!$E$3:$E$6002,MATCH("R"&amp;337,정리결과!$J$6:$J$6005,0))),""))</f>
        <v/>
      </c>
      <c r="F342" s="10" t="str">
        <f aca="false">IF($A342="","",IFERROR(IF(INDEX(원본명단!$F$3:$F$6002,MATCH("R"&amp;337,정리결과!$J$6:$J$6005,0))="","",INDEX(원본명단!$F$3:$F$6002,MATCH("R"&amp;337,정리결과!$J$6:$J$6005,0))),""))</f>
        <v/>
      </c>
      <c r="H342" s="14" t="b">
        <f aca="false">IF(중복검사!$A340="",FALSE(),중복검사!$J340="유지")</f>
        <v>0</v>
      </c>
      <c r="I342" s="5" t="str">
        <f aca="false">IF($H342=FALSE(),"",COUNTIF($H$6:$H342,TRUE()))</f>
        <v/>
      </c>
      <c r="J342" s="5" t="str">
        <f aca="false">IF($I342="","","R"&amp;$I342)</f>
        <v/>
      </c>
    </row>
    <row r="343" customFormat="false" ht="15" hidden="false" customHeight="true" outlineLevel="0" collapsed="false">
      <c r="A343" s="10" t="str">
        <f aca="false">IFERROR(IF(INDEX(원본명단!$A$3:$A$6002,MATCH("R"&amp;338,정리결과!$J$6:$J$6005,0))="","",INDEX(원본명단!$A$3:$A$6002,MATCH("R"&amp;338,정리결과!$J$6:$J$6005,0))),"")</f>
        <v/>
      </c>
      <c r="B343" s="10" t="str">
        <f aca="false">IF($A343="","",IFERROR(IF(INDEX(원본명단!$B$3:$B$6002,MATCH("R"&amp;338,정리결과!$J$6:$J$6005,0))="","",INDEX(원본명단!$B$3:$B$6002,MATCH("R"&amp;338,정리결과!$J$6:$J$6005,0))),""))</f>
        <v/>
      </c>
      <c r="C343" s="10" t="str">
        <f aca="false">IF($A343="","",IFERROR(IF(INDEX(원본명단!$C$3:$C$6002,MATCH("R"&amp;338,정리결과!$J$6:$J$6005,0))="","",INDEX(원본명단!$C$3:$C$6002,MATCH("R"&amp;338,정리결과!$J$6:$J$6005,0))),""))</f>
        <v/>
      </c>
      <c r="D343" s="10" t="str">
        <f aca="false">IF($A343="","",IFERROR(IF(INDEX(원본명단!$D$3:$D$6002,MATCH("R"&amp;338,정리결과!$J$6:$J$6005,0))="","",INDEX(원본명단!$D$3:$D$6002,MATCH("R"&amp;338,정리결과!$J$6:$J$6005,0))),""))</f>
        <v/>
      </c>
      <c r="E343" s="10" t="str">
        <f aca="false">IF($A343="","",IFERROR(IF(INDEX(원본명단!$E$3:$E$6002,MATCH("R"&amp;338,정리결과!$J$6:$J$6005,0))="","",INDEX(원본명단!$E$3:$E$6002,MATCH("R"&amp;338,정리결과!$J$6:$J$6005,0))),""))</f>
        <v/>
      </c>
      <c r="F343" s="10" t="str">
        <f aca="false">IF($A343="","",IFERROR(IF(INDEX(원본명단!$F$3:$F$6002,MATCH("R"&amp;338,정리결과!$J$6:$J$6005,0))="","",INDEX(원본명단!$F$3:$F$6002,MATCH("R"&amp;338,정리결과!$J$6:$J$6005,0))),""))</f>
        <v/>
      </c>
      <c r="H343" s="14" t="b">
        <f aca="false">IF(중복검사!$A341="",FALSE(),중복검사!$J341="유지")</f>
        <v>0</v>
      </c>
      <c r="I343" s="5" t="str">
        <f aca="false">IF($H343=FALSE(),"",COUNTIF($H$6:$H343,TRUE()))</f>
        <v/>
      </c>
      <c r="J343" s="5" t="str">
        <f aca="false">IF($I343="","","R"&amp;$I343)</f>
        <v/>
      </c>
    </row>
    <row r="344" customFormat="false" ht="15" hidden="false" customHeight="true" outlineLevel="0" collapsed="false">
      <c r="A344" s="10" t="str">
        <f aca="false">IFERROR(IF(INDEX(원본명단!$A$3:$A$6002,MATCH("R"&amp;339,정리결과!$J$6:$J$6005,0))="","",INDEX(원본명단!$A$3:$A$6002,MATCH("R"&amp;339,정리결과!$J$6:$J$6005,0))),"")</f>
        <v/>
      </c>
      <c r="B344" s="10" t="str">
        <f aca="false">IF($A344="","",IFERROR(IF(INDEX(원본명단!$B$3:$B$6002,MATCH("R"&amp;339,정리결과!$J$6:$J$6005,0))="","",INDEX(원본명단!$B$3:$B$6002,MATCH("R"&amp;339,정리결과!$J$6:$J$6005,0))),""))</f>
        <v/>
      </c>
      <c r="C344" s="10" t="str">
        <f aca="false">IF($A344="","",IFERROR(IF(INDEX(원본명단!$C$3:$C$6002,MATCH("R"&amp;339,정리결과!$J$6:$J$6005,0))="","",INDEX(원본명단!$C$3:$C$6002,MATCH("R"&amp;339,정리결과!$J$6:$J$6005,0))),""))</f>
        <v/>
      </c>
      <c r="D344" s="10" t="str">
        <f aca="false">IF($A344="","",IFERROR(IF(INDEX(원본명단!$D$3:$D$6002,MATCH("R"&amp;339,정리결과!$J$6:$J$6005,0))="","",INDEX(원본명단!$D$3:$D$6002,MATCH("R"&amp;339,정리결과!$J$6:$J$6005,0))),""))</f>
        <v/>
      </c>
      <c r="E344" s="10" t="str">
        <f aca="false">IF($A344="","",IFERROR(IF(INDEX(원본명단!$E$3:$E$6002,MATCH("R"&amp;339,정리결과!$J$6:$J$6005,0))="","",INDEX(원본명단!$E$3:$E$6002,MATCH("R"&amp;339,정리결과!$J$6:$J$6005,0))),""))</f>
        <v/>
      </c>
      <c r="F344" s="10" t="str">
        <f aca="false">IF($A344="","",IFERROR(IF(INDEX(원본명단!$F$3:$F$6002,MATCH("R"&amp;339,정리결과!$J$6:$J$6005,0))="","",INDEX(원본명단!$F$3:$F$6002,MATCH("R"&amp;339,정리결과!$J$6:$J$6005,0))),""))</f>
        <v/>
      </c>
      <c r="H344" s="14" t="b">
        <f aca="false">IF(중복검사!$A342="",FALSE(),중복검사!$J342="유지")</f>
        <v>0</v>
      </c>
      <c r="I344" s="5" t="str">
        <f aca="false">IF($H344=FALSE(),"",COUNTIF($H$6:$H344,TRUE()))</f>
        <v/>
      </c>
      <c r="J344" s="5" t="str">
        <f aca="false">IF($I344="","","R"&amp;$I344)</f>
        <v/>
      </c>
    </row>
    <row r="345" customFormat="false" ht="15" hidden="false" customHeight="true" outlineLevel="0" collapsed="false">
      <c r="A345" s="10" t="str">
        <f aca="false">IFERROR(IF(INDEX(원본명단!$A$3:$A$6002,MATCH("R"&amp;340,정리결과!$J$6:$J$6005,0))="","",INDEX(원본명단!$A$3:$A$6002,MATCH("R"&amp;340,정리결과!$J$6:$J$6005,0))),"")</f>
        <v/>
      </c>
      <c r="B345" s="10" t="str">
        <f aca="false">IF($A345="","",IFERROR(IF(INDEX(원본명단!$B$3:$B$6002,MATCH("R"&amp;340,정리결과!$J$6:$J$6005,0))="","",INDEX(원본명단!$B$3:$B$6002,MATCH("R"&amp;340,정리결과!$J$6:$J$6005,0))),""))</f>
        <v/>
      </c>
      <c r="C345" s="10" t="str">
        <f aca="false">IF($A345="","",IFERROR(IF(INDEX(원본명단!$C$3:$C$6002,MATCH("R"&amp;340,정리결과!$J$6:$J$6005,0))="","",INDEX(원본명단!$C$3:$C$6002,MATCH("R"&amp;340,정리결과!$J$6:$J$6005,0))),""))</f>
        <v/>
      </c>
      <c r="D345" s="10" t="str">
        <f aca="false">IF($A345="","",IFERROR(IF(INDEX(원본명단!$D$3:$D$6002,MATCH("R"&amp;340,정리결과!$J$6:$J$6005,0))="","",INDEX(원본명단!$D$3:$D$6002,MATCH("R"&amp;340,정리결과!$J$6:$J$6005,0))),""))</f>
        <v/>
      </c>
      <c r="E345" s="10" t="str">
        <f aca="false">IF($A345="","",IFERROR(IF(INDEX(원본명단!$E$3:$E$6002,MATCH("R"&amp;340,정리결과!$J$6:$J$6005,0))="","",INDEX(원본명단!$E$3:$E$6002,MATCH("R"&amp;340,정리결과!$J$6:$J$6005,0))),""))</f>
        <v/>
      </c>
      <c r="F345" s="10" t="str">
        <f aca="false">IF($A345="","",IFERROR(IF(INDEX(원본명단!$F$3:$F$6002,MATCH("R"&amp;340,정리결과!$J$6:$J$6005,0))="","",INDEX(원본명단!$F$3:$F$6002,MATCH("R"&amp;340,정리결과!$J$6:$J$6005,0))),""))</f>
        <v/>
      </c>
      <c r="H345" s="14" t="b">
        <f aca="false">IF(중복검사!$A343="",FALSE(),중복검사!$J343="유지")</f>
        <v>0</v>
      </c>
      <c r="I345" s="5" t="str">
        <f aca="false">IF($H345=FALSE(),"",COUNTIF($H$6:$H345,TRUE()))</f>
        <v/>
      </c>
      <c r="J345" s="5" t="str">
        <f aca="false">IF($I345="","","R"&amp;$I345)</f>
        <v/>
      </c>
    </row>
    <row r="346" customFormat="false" ht="15" hidden="false" customHeight="true" outlineLevel="0" collapsed="false">
      <c r="A346" s="10" t="str">
        <f aca="false">IFERROR(IF(INDEX(원본명단!$A$3:$A$6002,MATCH("R"&amp;341,정리결과!$J$6:$J$6005,0))="","",INDEX(원본명단!$A$3:$A$6002,MATCH("R"&amp;341,정리결과!$J$6:$J$6005,0))),"")</f>
        <v/>
      </c>
      <c r="B346" s="10" t="str">
        <f aca="false">IF($A346="","",IFERROR(IF(INDEX(원본명단!$B$3:$B$6002,MATCH("R"&amp;341,정리결과!$J$6:$J$6005,0))="","",INDEX(원본명단!$B$3:$B$6002,MATCH("R"&amp;341,정리결과!$J$6:$J$6005,0))),""))</f>
        <v/>
      </c>
      <c r="C346" s="10" t="str">
        <f aca="false">IF($A346="","",IFERROR(IF(INDEX(원본명단!$C$3:$C$6002,MATCH("R"&amp;341,정리결과!$J$6:$J$6005,0))="","",INDEX(원본명단!$C$3:$C$6002,MATCH("R"&amp;341,정리결과!$J$6:$J$6005,0))),""))</f>
        <v/>
      </c>
      <c r="D346" s="10" t="str">
        <f aca="false">IF($A346="","",IFERROR(IF(INDEX(원본명단!$D$3:$D$6002,MATCH("R"&amp;341,정리결과!$J$6:$J$6005,0))="","",INDEX(원본명단!$D$3:$D$6002,MATCH("R"&amp;341,정리결과!$J$6:$J$6005,0))),""))</f>
        <v/>
      </c>
      <c r="E346" s="10" t="str">
        <f aca="false">IF($A346="","",IFERROR(IF(INDEX(원본명단!$E$3:$E$6002,MATCH("R"&amp;341,정리결과!$J$6:$J$6005,0))="","",INDEX(원본명단!$E$3:$E$6002,MATCH("R"&amp;341,정리결과!$J$6:$J$6005,0))),""))</f>
        <v/>
      </c>
      <c r="F346" s="10" t="str">
        <f aca="false">IF($A346="","",IFERROR(IF(INDEX(원본명단!$F$3:$F$6002,MATCH("R"&amp;341,정리결과!$J$6:$J$6005,0))="","",INDEX(원본명단!$F$3:$F$6002,MATCH("R"&amp;341,정리결과!$J$6:$J$6005,0))),""))</f>
        <v/>
      </c>
      <c r="H346" s="14" t="b">
        <f aca="false">IF(중복검사!$A344="",FALSE(),중복검사!$J344="유지")</f>
        <v>0</v>
      </c>
      <c r="I346" s="5" t="str">
        <f aca="false">IF($H346=FALSE(),"",COUNTIF($H$6:$H346,TRUE()))</f>
        <v/>
      </c>
      <c r="J346" s="5" t="str">
        <f aca="false">IF($I346="","","R"&amp;$I346)</f>
        <v/>
      </c>
    </row>
    <row r="347" customFormat="false" ht="15" hidden="false" customHeight="true" outlineLevel="0" collapsed="false">
      <c r="A347" s="10" t="str">
        <f aca="false">IFERROR(IF(INDEX(원본명단!$A$3:$A$6002,MATCH("R"&amp;342,정리결과!$J$6:$J$6005,0))="","",INDEX(원본명단!$A$3:$A$6002,MATCH("R"&amp;342,정리결과!$J$6:$J$6005,0))),"")</f>
        <v/>
      </c>
      <c r="B347" s="10" t="str">
        <f aca="false">IF($A347="","",IFERROR(IF(INDEX(원본명단!$B$3:$B$6002,MATCH("R"&amp;342,정리결과!$J$6:$J$6005,0))="","",INDEX(원본명단!$B$3:$B$6002,MATCH("R"&amp;342,정리결과!$J$6:$J$6005,0))),""))</f>
        <v/>
      </c>
      <c r="C347" s="10" t="str">
        <f aca="false">IF($A347="","",IFERROR(IF(INDEX(원본명단!$C$3:$C$6002,MATCH("R"&amp;342,정리결과!$J$6:$J$6005,0))="","",INDEX(원본명단!$C$3:$C$6002,MATCH("R"&amp;342,정리결과!$J$6:$J$6005,0))),""))</f>
        <v/>
      </c>
      <c r="D347" s="10" t="str">
        <f aca="false">IF($A347="","",IFERROR(IF(INDEX(원본명단!$D$3:$D$6002,MATCH("R"&amp;342,정리결과!$J$6:$J$6005,0))="","",INDEX(원본명단!$D$3:$D$6002,MATCH("R"&amp;342,정리결과!$J$6:$J$6005,0))),""))</f>
        <v/>
      </c>
      <c r="E347" s="10" t="str">
        <f aca="false">IF($A347="","",IFERROR(IF(INDEX(원본명단!$E$3:$E$6002,MATCH("R"&amp;342,정리결과!$J$6:$J$6005,0))="","",INDEX(원본명단!$E$3:$E$6002,MATCH("R"&amp;342,정리결과!$J$6:$J$6005,0))),""))</f>
        <v/>
      </c>
      <c r="F347" s="10" t="str">
        <f aca="false">IF($A347="","",IFERROR(IF(INDEX(원본명단!$F$3:$F$6002,MATCH("R"&amp;342,정리결과!$J$6:$J$6005,0))="","",INDEX(원본명단!$F$3:$F$6002,MATCH("R"&amp;342,정리결과!$J$6:$J$6005,0))),""))</f>
        <v/>
      </c>
      <c r="H347" s="14" t="b">
        <f aca="false">IF(중복검사!$A345="",FALSE(),중복검사!$J345="유지")</f>
        <v>0</v>
      </c>
      <c r="I347" s="5" t="str">
        <f aca="false">IF($H347=FALSE(),"",COUNTIF($H$6:$H347,TRUE()))</f>
        <v/>
      </c>
      <c r="J347" s="5" t="str">
        <f aca="false">IF($I347="","","R"&amp;$I347)</f>
        <v/>
      </c>
    </row>
    <row r="348" customFormat="false" ht="15" hidden="false" customHeight="true" outlineLevel="0" collapsed="false">
      <c r="A348" s="10" t="str">
        <f aca="false">IFERROR(IF(INDEX(원본명단!$A$3:$A$6002,MATCH("R"&amp;343,정리결과!$J$6:$J$6005,0))="","",INDEX(원본명단!$A$3:$A$6002,MATCH("R"&amp;343,정리결과!$J$6:$J$6005,0))),"")</f>
        <v/>
      </c>
      <c r="B348" s="10" t="str">
        <f aca="false">IF($A348="","",IFERROR(IF(INDEX(원본명단!$B$3:$B$6002,MATCH("R"&amp;343,정리결과!$J$6:$J$6005,0))="","",INDEX(원본명단!$B$3:$B$6002,MATCH("R"&amp;343,정리결과!$J$6:$J$6005,0))),""))</f>
        <v/>
      </c>
      <c r="C348" s="10" t="str">
        <f aca="false">IF($A348="","",IFERROR(IF(INDEX(원본명단!$C$3:$C$6002,MATCH("R"&amp;343,정리결과!$J$6:$J$6005,0))="","",INDEX(원본명단!$C$3:$C$6002,MATCH("R"&amp;343,정리결과!$J$6:$J$6005,0))),""))</f>
        <v/>
      </c>
      <c r="D348" s="10" t="str">
        <f aca="false">IF($A348="","",IFERROR(IF(INDEX(원본명단!$D$3:$D$6002,MATCH("R"&amp;343,정리결과!$J$6:$J$6005,0))="","",INDEX(원본명단!$D$3:$D$6002,MATCH("R"&amp;343,정리결과!$J$6:$J$6005,0))),""))</f>
        <v/>
      </c>
      <c r="E348" s="10" t="str">
        <f aca="false">IF($A348="","",IFERROR(IF(INDEX(원본명단!$E$3:$E$6002,MATCH("R"&amp;343,정리결과!$J$6:$J$6005,0))="","",INDEX(원본명단!$E$3:$E$6002,MATCH("R"&amp;343,정리결과!$J$6:$J$6005,0))),""))</f>
        <v/>
      </c>
      <c r="F348" s="10" t="str">
        <f aca="false">IF($A348="","",IFERROR(IF(INDEX(원본명단!$F$3:$F$6002,MATCH("R"&amp;343,정리결과!$J$6:$J$6005,0))="","",INDEX(원본명단!$F$3:$F$6002,MATCH("R"&amp;343,정리결과!$J$6:$J$6005,0))),""))</f>
        <v/>
      </c>
      <c r="H348" s="14" t="b">
        <f aca="false">IF(중복검사!$A346="",FALSE(),중복검사!$J346="유지")</f>
        <v>0</v>
      </c>
      <c r="I348" s="5" t="str">
        <f aca="false">IF($H348=FALSE(),"",COUNTIF($H$6:$H348,TRUE()))</f>
        <v/>
      </c>
      <c r="J348" s="5" t="str">
        <f aca="false">IF($I348="","","R"&amp;$I348)</f>
        <v/>
      </c>
    </row>
    <row r="349" customFormat="false" ht="15" hidden="false" customHeight="true" outlineLevel="0" collapsed="false">
      <c r="A349" s="10" t="str">
        <f aca="false">IFERROR(IF(INDEX(원본명단!$A$3:$A$6002,MATCH("R"&amp;344,정리결과!$J$6:$J$6005,0))="","",INDEX(원본명단!$A$3:$A$6002,MATCH("R"&amp;344,정리결과!$J$6:$J$6005,0))),"")</f>
        <v/>
      </c>
      <c r="B349" s="10" t="str">
        <f aca="false">IF($A349="","",IFERROR(IF(INDEX(원본명단!$B$3:$B$6002,MATCH("R"&amp;344,정리결과!$J$6:$J$6005,0))="","",INDEX(원본명단!$B$3:$B$6002,MATCH("R"&amp;344,정리결과!$J$6:$J$6005,0))),""))</f>
        <v/>
      </c>
      <c r="C349" s="10" t="str">
        <f aca="false">IF($A349="","",IFERROR(IF(INDEX(원본명단!$C$3:$C$6002,MATCH("R"&amp;344,정리결과!$J$6:$J$6005,0))="","",INDEX(원본명단!$C$3:$C$6002,MATCH("R"&amp;344,정리결과!$J$6:$J$6005,0))),""))</f>
        <v/>
      </c>
      <c r="D349" s="10" t="str">
        <f aca="false">IF($A349="","",IFERROR(IF(INDEX(원본명단!$D$3:$D$6002,MATCH("R"&amp;344,정리결과!$J$6:$J$6005,0))="","",INDEX(원본명단!$D$3:$D$6002,MATCH("R"&amp;344,정리결과!$J$6:$J$6005,0))),""))</f>
        <v/>
      </c>
      <c r="E349" s="10" t="str">
        <f aca="false">IF($A349="","",IFERROR(IF(INDEX(원본명단!$E$3:$E$6002,MATCH("R"&amp;344,정리결과!$J$6:$J$6005,0))="","",INDEX(원본명단!$E$3:$E$6002,MATCH("R"&amp;344,정리결과!$J$6:$J$6005,0))),""))</f>
        <v/>
      </c>
      <c r="F349" s="10" t="str">
        <f aca="false">IF($A349="","",IFERROR(IF(INDEX(원본명단!$F$3:$F$6002,MATCH("R"&amp;344,정리결과!$J$6:$J$6005,0))="","",INDEX(원본명단!$F$3:$F$6002,MATCH("R"&amp;344,정리결과!$J$6:$J$6005,0))),""))</f>
        <v/>
      </c>
      <c r="H349" s="14" t="b">
        <f aca="false">IF(중복검사!$A347="",FALSE(),중복검사!$J347="유지")</f>
        <v>0</v>
      </c>
      <c r="I349" s="5" t="str">
        <f aca="false">IF($H349=FALSE(),"",COUNTIF($H$6:$H349,TRUE()))</f>
        <v/>
      </c>
      <c r="J349" s="5" t="str">
        <f aca="false">IF($I349="","","R"&amp;$I349)</f>
        <v/>
      </c>
    </row>
    <row r="350" customFormat="false" ht="15" hidden="false" customHeight="true" outlineLevel="0" collapsed="false">
      <c r="A350" s="10" t="str">
        <f aca="false">IFERROR(IF(INDEX(원본명단!$A$3:$A$6002,MATCH("R"&amp;345,정리결과!$J$6:$J$6005,0))="","",INDEX(원본명단!$A$3:$A$6002,MATCH("R"&amp;345,정리결과!$J$6:$J$6005,0))),"")</f>
        <v/>
      </c>
      <c r="B350" s="10" t="str">
        <f aca="false">IF($A350="","",IFERROR(IF(INDEX(원본명단!$B$3:$B$6002,MATCH("R"&amp;345,정리결과!$J$6:$J$6005,0))="","",INDEX(원본명단!$B$3:$B$6002,MATCH("R"&amp;345,정리결과!$J$6:$J$6005,0))),""))</f>
        <v/>
      </c>
      <c r="C350" s="10" t="str">
        <f aca="false">IF($A350="","",IFERROR(IF(INDEX(원본명단!$C$3:$C$6002,MATCH("R"&amp;345,정리결과!$J$6:$J$6005,0))="","",INDEX(원본명단!$C$3:$C$6002,MATCH("R"&amp;345,정리결과!$J$6:$J$6005,0))),""))</f>
        <v/>
      </c>
      <c r="D350" s="10" t="str">
        <f aca="false">IF($A350="","",IFERROR(IF(INDEX(원본명단!$D$3:$D$6002,MATCH("R"&amp;345,정리결과!$J$6:$J$6005,0))="","",INDEX(원본명단!$D$3:$D$6002,MATCH("R"&amp;345,정리결과!$J$6:$J$6005,0))),""))</f>
        <v/>
      </c>
      <c r="E350" s="10" t="str">
        <f aca="false">IF($A350="","",IFERROR(IF(INDEX(원본명단!$E$3:$E$6002,MATCH("R"&amp;345,정리결과!$J$6:$J$6005,0))="","",INDEX(원본명단!$E$3:$E$6002,MATCH("R"&amp;345,정리결과!$J$6:$J$6005,0))),""))</f>
        <v/>
      </c>
      <c r="F350" s="10" t="str">
        <f aca="false">IF($A350="","",IFERROR(IF(INDEX(원본명단!$F$3:$F$6002,MATCH("R"&amp;345,정리결과!$J$6:$J$6005,0))="","",INDEX(원본명단!$F$3:$F$6002,MATCH("R"&amp;345,정리결과!$J$6:$J$6005,0))),""))</f>
        <v/>
      </c>
      <c r="H350" s="14" t="b">
        <f aca="false">IF(중복검사!$A348="",FALSE(),중복검사!$J348="유지")</f>
        <v>0</v>
      </c>
      <c r="I350" s="5" t="str">
        <f aca="false">IF($H350=FALSE(),"",COUNTIF($H$6:$H350,TRUE()))</f>
        <v/>
      </c>
      <c r="J350" s="5" t="str">
        <f aca="false">IF($I350="","","R"&amp;$I350)</f>
        <v/>
      </c>
    </row>
    <row r="351" customFormat="false" ht="15" hidden="false" customHeight="true" outlineLevel="0" collapsed="false">
      <c r="A351" s="10" t="str">
        <f aca="false">IFERROR(IF(INDEX(원본명단!$A$3:$A$6002,MATCH("R"&amp;346,정리결과!$J$6:$J$6005,0))="","",INDEX(원본명단!$A$3:$A$6002,MATCH("R"&amp;346,정리결과!$J$6:$J$6005,0))),"")</f>
        <v/>
      </c>
      <c r="B351" s="10" t="str">
        <f aca="false">IF($A351="","",IFERROR(IF(INDEX(원본명단!$B$3:$B$6002,MATCH("R"&amp;346,정리결과!$J$6:$J$6005,0))="","",INDEX(원본명단!$B$3:$B$6002,MATCH("R"&amp;346,정리결과!$J$6:$J$6005,0))),""))</f>
        <v/>
      </c>
      <c r="C351" s="10" t="str">
        <f aca="false">IF($A351="","",IFERROR(IF(INDEX(원본명단!$C$3:$C$6002,MATCH("R"&amp;346,정리결과!$J$6:$J$6005,0))="","",INDEX(원본명단!$C$3:$C$6002,MATCH("R"&amp;346,정리결과!$J$6:$J$6005,0))),""))</f>
        <v/>
      </c>
      <c r="D351" s="10" t="str">
        <f aca="false">IF($A351="","",IFERROR(IF(INDEX(원본명단!$D$3:$D$6002,MATCH("R"&amp;346,정리결과!$J$6:$J$6005,0))="","",INDEX(원본명단!$D$3:$D$6002,MATCH("R"&amp;346,정리결과!$J$6:$J$6005,0))),""))</f>
        <v/>
      </c>
      <c r="E351" s="10" t="str">
        <f aca="false">IF($A351="","",IFERROR(IF(INDEX(원본명단!$E$3:$E$6002,MATCH("R"&amp;346,정리결과!$J$6:$J$6005,0))="","",INDEX(원본명단!$E$3:$E$6002,MATCH("R"&amp;346,정리결과!$J$6:$J$6005,0))),""))</f>
        <v/>
      </c>
      <c r="F351" s="10" t="str">
        <f aca="false">IF($A351="","",IFERROR(IF(INDEX(원본명단!$F$3:$F$6002,MATCH("R"&amp;346,정리결과!$J$6:$J$6005,0))="","",INDEX(원본명단!$F$3:$F$6002,MATCH("R"&amp;346,정리결과!$J$6:$J$6005,0))),""))</f>
        <v/>
      </c>
      <c r="H351" s="14" t="b">
        <f aca="false">IF(중복검사!$A349="",FALSE(),중복검사!$J349="유지")</f>
        <v>0</v>
      </c>
      <c r="I351" s="5" t="str">
        <f aca="false">IF($H351=FALSE(),"",COUNTIF($H$6:$H351,TRUE()))</f>
        <v/>
      </c>
      <c r="J351" s="5" t="str">
        <f aca="false">IF($I351="","","R"&amp;$I351)</f>
        <v/>
      </c>
    </row>
    <row r="352" customFormat="false" ht="15" hidden="false" customHeight="true" outlineLevel="0" collapsed="false">
      <c r="A352" s="10" t="str">
        <f aca="false">IFERROR(IF(INDEX(원본명단!$A$3:$A$6002,MATCH("R"&amp;347,정리결과!$J$6:$J$6005,0))="","",INDEX(원본명단!$A$3:$A$6002,MATCH("R"&amp;347,정리결과!$J$6:$J$6005,0))),"")</f>
        <v/>
      </c>
      <c r="B352" s="10" t="str">
        <f aca="false">IF($A352="","",IFERROR(IF(INDEX(원본명단!$B$3:$B$6002,MATCH("R"&amp;347,정리결과!$J$6:$J$6005,0))="","",INDEX(원본명단!$B$3:$B$6002,MATCH("R"&amp;347,정리결과!$J$6:$J$6005,0))),""))</f>
        <v/>
      </c>
      <c r="C352" s="10" t="str">
        <f aca="false">IF($A352="","",IFERROR(IF(INDEX(원본명단!$C$3:$C$6002,MATCH("R"&amp;347,정리결과!$J$6:$J$6005,0))="","",INDEX(원본명단!$C$3:$C$6002,MATCH("R"&amp;347,정리결과!$J$6:$J$6005,0))),""))</f>
        <v/>
      </c>
      <c r="D352" s="10" t="str">
        <f aca="false">IF($A352="","",IFERROR(IF(INDEX(원본명단!$D$3:$D$6002,MATCH("R"&amp;347,정리결과!$J$6:$J$6005,0))="","",INDEX(원본명단!$D$3:$D$6002,MATCH("R"&amp;347,정리결과!$J$6:$J$6005,0))),""))</f>
        <v/>
      </c>
      <c r="E352" s="10" t="str">
        <f aca="false">IF($A352="","",IFERROR(IF(INDEX(원본명단!$E$3:$E$6002,MATCH("R"&amp;347,정리결과!$J$6:$J$6005,0))="","",INDEX(원본명단!$E$3:$E$6002,MATCH("R"&amp;347,정리결과!$J$6:$J$6005,0))),""))</f>
        <v/>
      </c>
      <c r="F352" s="10" t="str">
        <f aca="false">IF($A352="","",IFERROR(IF(INDEX(원본명단!$F$3:$F$6002,MATCH("R"&amp;347,정리결과!$J$6:$J$6005,0))="","",INDEX(원본명단!$F$3:$F$6002,MATCH("R"&amp;347,정리결과!$J$6:$J$6005,0))),""))</f>
        <v/>
      </c>
      <c r="H352" s="14" t="b">
        <f aca="false">IF(중복검사!$A350="",FALSE(),중복검사!$J350="유지")</f>
        <v>0</v>
      </c>
      <c r="I352" s="5" t="str">
        <f aca="false">IF($H352=FALSE(),"",COUNTIF($H$6:$H352,TRUE()))</f>
        <v/>
      </c>
      <c r="J352" s="5" t="str">
        <f aca="false">IF($I352="","","R"&amp;$I352)</f>
        <v/>
      </c>
    </row>
    <row r="353" customFormat="false" ht="15" hidden="false" customHeight="true" outlineLevel="0" collapsed="false">
      <c r="A353" s="10" t="str">
        <f aca="false">IFERROR(IF(INDEX(원본명단!$A$3:$A$6002,MATCH("R"&amp;348,정리결과!$J$6:$J$6005,0))="","",INDEX(원본명단!$A$3:$A$6002,MATCH("R"&amp;348,정리결과!$J$6:$J$6005,0))),"")</f>
        <v/>
      </c>
      <c r="B353" s="10" t="str">
        <f aca="false">IF($A353="","",IFERROR(IF(INDEX(원본명단!$B$3:$B$6002,MATCH("R"&amp;348,정리결과!$J$6:$J$6005,0))="","",INDEX(원본명단!$B$3:$B$6002,MATCH("R"&amp;348,정리결과!$J$6:$J$6005,0))),""))</f>
        <v/>
      </c>
      <c r="C353" s="10" t="str">
        <f aca="false">IF($A353="","",IFERROR(IF(INDEX(원본명단!$C$3:$C$6002,MATCH("R"&amp;348,정리결과!$J$6:$J$6005,0))="","",INDEX(원본명단!$C$3:$C$6002,MATCH("R"&amp;348,정리결과!$J$6:$J$6005,0))),""))</f>
        <v/>
      </c>
      <c r="D353" s="10" t="str">
        <f aca="false">IF($A353="","",IFERROR(IF(INDEX(원본명단!$D$3:$D$6002,MATCH("R"&amp;348,정리결과!$J$6:$J$6005,0))="","",INDEX(원본명단!$D$3:$D$6002,MATCH("R"&amp;348,정리결과!$J$6:$J$6005,0))),""))</f>
        <v/>
      </c>
      <c r="E353" s="10" t="str">
        <f aca="false">IF($A353="","",IFERROR(IF(INDEX(원본명단!$E$3:$E$6002,MATCH("R"&amp;348,정리결과!$J$6:$J$6005,0))="","",INDEX(원본명단!$E$3:$E$6002,MATCH("R"&amp;348,정리결과!$J$6:$J$6005,0))),""))</f>
        <v/>
      </c>
      <c r="F353" s="10" t="str">
        <f aca="false">IF($A353="","",IFERROR(IF(INDEX(원본명단!$F$3:$F$6002,MATCH("R"&amp;348,정리결과!$J$6:$J$6005,0))="","",INDEX(원본명단!$F$3:$F$6002,MATCH("R"&amp;348,정리결과!$J$6:$J$6005,0))),""))</f>
        <v/>
      </c>
      <c r="H353" s="14" t="b">
        <f aca="false">IF(중복검사!$A351="",FALSE(),중복검사!$J351="유지")</f>
        <v>0</v>
      </c>
      <c r="I353" s="5" t="str">
        <f aca="false">IF($H353=FALSE(),"",COUNTIF($H$6:$H353,TRUE()))</f>
        <v/>
      </c>
      <c r="J353" s="5" t="str">
        <f aca="false">IF($I353="","","R"&amp;$I353)</f>
        <v/>
      </c>
    </row>
    <row r="354" customFormat="false" ht="15" hidden="false" customHeight="true" outlineLevel="0" collapsed="false">
      <c r="A354" s="10" t="str">
        <f aca="false">IFERROR(IF(INDEX(원본명단!$A$3:$A$6002,MATCH("R"&amp;349,정리결과!$J$6:$J$6005,0))="","",INDEX(원본명단!$A$3:$A$6002,MATCH("R"&amp;349,정리결과!$J$6:$J$6005,0))),"")</f>
        <v/>
      </c>
      <c r="B354" s="10" t="str">
        <f aca="false">IF($A354="","",IFERROR(IF(INDEX(원본명단!$B$3:$B$6002,MATCH("R"&amp;349,정리결과!$J$6:$J$6005,0))="","",INDEX(원본명단!$B$3:$B$6002,MATCH("R"&amp;349,정리결과!$J$6:$J$6005,0))),""))</f>
        <v/>
      </c>
      <c r="C354" s="10" t="str">
        <f aca="false">IF($A354="","",IFERROR(IF(INDEX(원본명단!$C$3:$C$6002,MATCH("R"&amp;349,정리결과!$J$6:$J$6005,0))="","",INDEX(원본명단!$C$3:$C$6002,MATCH("R"&amp;349,정리결과!$J$6:$J$6005,0))),""))</f>
        <v/>
      </c>
      <c r="D354" s="10" t="str">
        <f aca="false">IF($A354="","",IFERROR(IF(INDEX(원본명단!$D$3:$D$6002,MATCH("R"&amp;349,정리결과!$J$6:$J$6005,0))="","",INDEX(원본명단!$D$3:$D$6002,MATCH("R"&amp;349,정리결과!$J$6:$J$6005,0))),""))</f>
        <v/>
      </c>
      <c r="E354" s="10" t="str">
        <f aca="false">IF($A354="","",IFERROR(IF(INDEX(원본명단!$E$3:$E$6002,MATCH("R"&amp;349,정리결과!$J$6:$J$6005,0))="","",INDEX(원본명단!$E$3:$E$6002,MATCH("R"&amp;349,정리결과!$J$6:$J$6005,0))),""))</f>
        <v/>
      </c>
      <c r="F354" s="10" t="str">
        <f aca="false">IF($A354="","",IFERROR(IF(INDEX(원본명단!$F$3:$F$6002,MATCH("R"&amp;349,정리결과!$J$6:$J$6005,0))="","",INDEX(원본명단!$F$3:$F$6002,MATCH("R"&amp;349,정리결과!$J$6:$J$6005,0))),""))</f>
        <v/>
      </c>
      <c r="H354" s="14" t="b">
        <f aca="false">IF(중복검사!$A352="",FALSE(),중복검사!$J352="유지")</f>
        <v>0</v>
      </c>
      <c r="I354" s="5" t="str">
        <f aca="false">IF($H354=FALSE(),"",COUNTIF($H$6:$H354,TRUE()))</f>
        <v/>
      </c>
      <c r="J354" s="5" t="str">
        <f aca="false">IF($I354="","","R"&amp;$I354)</f>
        <v/>
      </c>
    </row>
    <row r="355" customFormat="false" ht="15" hidden="false" customHeight="true" outlineLevel="0" collapsed="false">
      <c r="A355" s="10" t="str">
        <f aca="false">IFERROR(IF(INDEX(원본명단!$A$3:$A$6002,MATCH("R"&amp;350,정리결과!$J$6:$J$6005,0))="","",INDEX(원본명단!$A$3:$A$6002,MATCH("R"&amp;350,정리결과!$J$6:$J$6005,0))),"")</f>
        <v/>
      </c>
      <c r="B355" s="10" t="str">
        <f aca="false">IF($A355="","",IFERROR(IF(INDEX(원본명단!$B$3:$B$6002,MATCH("R"&amp;350,정리결과!$J$6:$J$6005,0))="","",INDEX(원본명단!$B$3:$B$6002,MATCH("R"&amp;350,정리결과!$J$6:$J$6005,0))),""))</f>
        <v/>
      </c>
      <c r="C355" s="10" t="str">
        <f aca="false">IF($A355="","",IFERROR(IF(INDEX(원본명단!$C$3:$C$6002,MATCH("R"&amp;350,정리결과!$J$6:$J$6005,0))="","",INDEX(원본명단!$C$3:$C$6002,MATCH("R"&amp;350,정리결과!$J$6:$J$6005,0))),""))</f>
        <v/>
      </c>
      <c r="D355" s="10" t="str">
        <f aca="false">IF($A355="","",IFERROR(IF(INDEX(원본명단!$D$3:$D$6002,MATCH("R"&amp;350,정리결과!$J$6:$J$6005,0))="","",INDEX(원본명단!$D$3:$D$6002,MATCH("R"&amp;350,정리결과!$J$6:$J$6005,0))),""))</f>
        <v/>
      </c>
      <c r="E355" s="10" t="str">
        <f aca="false">IF($A355="","",IFERROR(IF(INDEX(원본명단!$E$3:$E$6002,MATCH("R"&amp;350,정리결과!$J$6:$J$6005,0))="","",INDEX(원본명단!$E$3:$E$6002,MATCH("R"&amp;350,정리결과!$J$6:$J$6005,0))),""))</f>
        <v/>
      </c>
      <c r="F355" s="10" t="str">
        <f aca="false">IF($A355="","",IFERROR(IF(INDEX(원본명단!$F$3:$F$6002,MATCH("R"&amp;350,정리결과!$J$6:$J$6005,0))="","",INDEX(원본명단!$F$3:$F$6002,MATCH("R"&amp;350,정리결과!$J$6:$J$6005,0))),""))</f>
        <v/>
      </c>
      <c r="H355" s="14" t="b">
        <f aca="false">IF(중복검사!$A353="",FALSE(),중복검사!$J353="유지")</f>
        <v>0</v>
      </c>
      <c r="I355" s="5" t="str">
        <f aca="false">IF($H355=FALSE(),"",COUNTIF($H$6:$H355,TRUE()))</f>
        <v/>
      </c>
      <c r="J355" s="5" t="str">
        <f aca="false">IF($I355="","","R"&amp;$I355)</f>
        <v/>
      </c>
    </row>
    <row r="356" customFormat="false" ht="15" hidden="false" customHeight="true" outlineLevel="0" collapsed="false">
      <c r="A356" s="10" t="str">
        <f aca="false">IFERROR(IF(INDEX(원본명단!$A$3:$A$6002,MATCH("R"&amp;351,정리결과!$J$6:$J$6005,0))="","",INDEX(원본명단!$A$3:$A$6002,MATCH("R"&amp;351,정리결과!$J$6:$J$6005,0))),"")</f>
        <v/>
      </c>
      <c r="B356" s="10" t="str">
        <f aca="false">IF($A356="","",IFERROR(IF(INDEX(원본명단!$B$3:$B$6002,MATCH("R"&amp;351,정리결과!$J$6:$J$6005,0))="","",INDEX(원본명단!$B$3:$B$6002,MATCH("R"&amp;351,정리결과!$J$6:$J$6005,0))),""))</f>
        <v/>
      </c>
      <c r="C356" s="10" t="str">
        <f aca="false">IF($A356="","",IFERROR(IF(INDEX(원본명단!$C$3:$C$6002,MATCH("R"&amp;351,정리결과!$J$6:$J$6005,0))="","",INDEX(원본명단!$C$3:$C$6002,MATCH("R"&amp;351,정리결과!$J$6:$J$6005,0))),""))</f>
        <v/>
      </c>
      <c r="D356" s="10" t="str">
        <f aca="false">IF($A356="","",IFERROR(IF(INDEX(원본명단!$D$3:$D$6002,MATCH("R"&amp;351,정리결과!$J$6:$J$6005,0))="","",INDEX(원본명단!$D$3:$D$6002,MATCH("R"&amp;351,정리결과!$J$6:$J$6005,0))),""))</f>
        <v/>
      </c>
      <c r="E356" s="10" t="str">
        <f aca="false">IF($A356="","",IFERROR(IF(INDEX(원본명단!$E$3:$E$6002,MATCH("R"&amp;351,정리결과!$J$6:$J$6005,0))="","",INDEX(원본명단!$E$3:$E$6002,MATCH("R"&amp;351,정리결과!$J$6:$J$6005,0))),""))</f>
        <v/>
      </c>
      <c r="F356" s="10" t="str">
        <f aca="false">IF($A356="","",IFERROR(IF(INDEX(원본명단!$F$3:$F$6002,MATCH("R"&amp;351,정리결과!$J$6:$J$6005,0))="","",INDEX(원본명단!$F$3:$F$6002,MATCH("R"&amp;351,정리결과!$J$6:$J$6005,0))),""))</f>
        <v/>
      </c>
      <c r="H356" s="14" t="b">
        <f aca="false">IF(중복검사!$A354="",FALSE(),중복검사!$J354="유지")</f>
        <v>0</v>
      </c>
      <c r="I356" s="5" t="str">
        <f aca="false">IF($H356=FALSE(),"",COUNTIF($H$6:$H356,TRUE()))</f>
        <v/>
      </c>
      <c r="J356" s="5" t="str">
        <f aca="false">IF($I356="","","R"&amp;$I356)</f>
        <v/>
      </c>
    </row>
    <row r="357" customFormat="false" ht="15" hidden="false" customHeight="true" outlineLevel="0" collapsed="false">
      <c r="A357" s="10" t="str">
        <f aca="false">IFERROR(IF(INDEX(원본명단!$A$3:$A$6002,MATCH("R"&amp;352,정리결과!$J$6:$J$6005,0))="","",INDEX(원본명단!$A$3:$A$6002,MATCH("R"&amp;352,정리결과!$J$6:$J$6005,0))),"")</f>
        <v/>
      </c>
      <c r="B357" s="10" t="str">
        <f aca="false">IF($A357="","",IFERROR(IF(INDEX(원본명단!$B$3:$B$6002,MATCH("R"&amp;352,정리결과!$J$6:$J$6005,0))="","",INDEX(원본명단!$B$3:$B$6002,MATCH("R"&amp;352,정리결과!$J$6:$J$6005,0))),""))</f>
        <v/>
      </c>
      <c r="C357" s="10" t="str">
        <f aca="false">IF($A357="","",IFERROR(IF(INDEX(원본명단!$C$3:$C$6002,MATCH("R"&amp;352,정리결과!$J$6:$J$6005,0))="","",INDEX(원본명단!$C$3:$C$6002,MATCH("R"&amp;352,정리결과!$J$6:$J$6005,0))),""))</f>
        <v/>
      </c>
      <c r="D357" s="10" t="str">
        <f aca="false">IF($A357="","",IFERROR(IF(INDEX(원본명단!$D$3:$D$6002,MATCH("R"&amp;352,정리결과!$J$6:$J$6005,0))="","",INDEX(원본명단!$D$3:$D$6002,MATCH("R"&amp;352,정리결과!$J$6:$J$6005,0))),""))</f>
        <v/>
      </c>
      <c r="E357" s="10" t="str">
        <f aca="false">IF($A357="","",IFERROR(IF(INDEX(원본명단!$E$3:$E$6002,MATCH("R"&amp;352,정리결과!$J$6:$J$6005,0))="","",INDEX(원본명단!$E$3:$E$6002,MATCH("R"&amp;352,정리결과!$J$6:$J$6005,0))),""))</f>
        <v/>
      </c>
      <c r="F357" s="10" t="str">
        <f aca="false">IF($A357="","",IFERROR(IF(INDEX(원본명단!$F$3:$F$6002,MATCH("R"&amp;352,정리결과!$J$6:$J$6005,0))="","",INDEX(원본명단!$F$3:$F$6002,MATCH("R"&amp;352,정리결과!$J$6:$J$6005,0))),""))</f>
        <v/>
      </c>
      <c r="H357" s="14" t="b">
        <f aca="false">IF(중복검사!$A355="",FALSE(),중복검사!$J355="유지")</f>
        <v>0</v>
      </c>
      <c r="I357" s="5" t="str">
        <f aca="false">IF($H357=FALSE(),"",COUNTIF($H$6:$H357,TRUE()))</f>
        <v/>
      </c>
      <c r="J357" s="5" t="str">
        <f aca="false">IF($I357="","","R"&amp;$I357)</f>
        <v/>
      </c>
    </row>
    <row r="358" customFormat="false" ht="15" hidden="false" customHeight="true" outlineLevel="0" collapsed="false">
      <c r="A358" s="10" t="str">
        <f aca="false">IFERROR(IF(INDEX(원본명단!$A$3:$A$6002,MATCH("R"&amp;353,정리결과!$J$6:$J$6005,0))="","",INDEX(원본명단!$A$3:$A$6002,MATCH("R"&amp;353,정리결과!$J$6:$J$6005,0))),"")</f>
        <v/>
      </c>
      <c r="B358" s="10" t="str">
        <f aca="false">IF($A358="","",IFERROR(IF(INDEX(원본명단!$B$3:$B$6002,MATCH("R"&amp;353,정리결과!$J$6:$J$6005,0))="","",INDEX(원본명단!$B$3:$B$6002,MATCH("R"&amp;353,정리결과!$J$6:$J$6005,0))),""))</f>
        <v/>
      </c>
      <c r="C358" s="10" t="str">
        <f aca="false">IF($A358="","",IFERROR(IF(INDEX(원본명단!$C$3:$C$6002,MATCH("R"&amp;353,정리결과!$J$6:$J$6005,0))="","",INDEX(원본명단!$C$3:$C$6002,MATCH("R"&amp;353,정리결과!$J$6:$J$6005,0))),""))</f>
        <v/>
      </c>
      <c r="D358" s="10" t="str">
        <f aca="false">IF($A358="","",IFERROR(IF(INDEX(원본명단!$D$3:$D$6002,MATCH("R"&amp;353,정리결과!$J$6:$J$6005,0))="","",INDEX(원본명단!$D$3:$D$6002,MATCH("R"&amp;353,정리결과!$J$6:$J$6005,0))),""))</f>
        <v/>
      </c>
      <c r="E358" s="10" t="str">
        <f aca="false">IF($A358="","",IFERROR(IF(INDEX(원본명단!$E$3:$E$6002,MATCH("R"&amp;353,정리결과!$J$6:$J$6005,0))="","",INDEX(원본명단!$E$3:$E$6002,MATCH("R"&amp;353,정리결과!$J$6:$J$6005,0))),""))</f>
        <v/>
      </c>
      <c r="F358" s="10" t="str">
        <f aca="false">IF($A358="","",IFERROR(IF(INDEX(원본명단!$F$3:$F$6002,MATCH("R"&amp;353,정리결과!$J$6:$J$6005,0))="","",INDEX(원본명단!$F$3:$F$6002,MATCH("R"&amp;353,정리결과!$J$6:$J$6005,0))),""))</f>
        <v/>
      </c>
      <c r="H358" s="14" t="b">
        <f aca="false">IF(중복검사!$A356="",FALSE(),중복검사!$J356="유지")</f>
        <v>0</v>
      </c>
      <c r="I358" s="5" t="str">
        <f aca="false">IF($H358=FALSE(),"",COUNTIF($H$6:$H358,TRUE()))</f>
        <v/>
      </c>
      <c r="J358" s="5" t="str">
        <f aca="false">IF($I358="","","R"&amp;$I358)</f>
        <v/>
      </c>
    </row>
    <row r="359" customFormat="false" ht="15" hidden="false" customHeight="true" outlineLevel="0" collapsed="false">
      <c r="A359" s="10" t="str">
        <f aca="false">IFERROR(IF(INDEX(원본명단!$A$3:$A$6002,MATCH("R"&amp;354,정리결과!$J$6:$J$6005,0))="","",INDEX(원본명단!$A$3:$A$6002,MATCH("R"&amp;354,정리결과!$J$6:$J$6005,0))),"")</f>
        <v/>
      </c>
      <c r="B359" s="10" t="str">
        <f aca="false">IF($A359="","",IFERROR(IF(INDEX(원본명단!$B$3:$B$6002,MATCH("R"&amp;354,정리결과!$J$6:$J$6005,0))="","",INDEX(원본명단!$B$3:$B$6002,MATCH("R"&amp;354,정리결과!$J$6:$J$6005,0))),""))</f>
        <v/>
      </c>
      <c r="C359" s="10" t="str">
        <f aca="false">IF($A359="","",IFERROR(IF(INDEX(원본명단!$C$3:$C$6002,MATCH("R"&amp;354,정리결과!$J$6:$J$6005,0))="","",INDEX(원본명단!$C$3:$C$6002,MATCH("R"&amp;354,정리결과!$J$6:$J$6005,0))),""))</f>
        <v/>
      </c>
      <c r="D359" s="10" t="str">
        <f aca="false">IF($A359="","",IFERROR(IF(INDEX(원본명단!$D$3:$D$6002,MATCH("R"&amp;354,정리결과!$J$6:$J$6005,0))="","",INDEX(원본명단!$D$3:$D$6002,MATCH("R"&amp;354,정리결과!$J$6:$J$6005,0))),""))</f>
        <v/>
      </c>
      <c r="E359" s="10" t="str">
        <f aca="false">IF($A359="","",IFERROR(IF(INDEX(원본명단!$E$3:$E$6002,MATCH("R"&amp;354,정리결과!$J$6:$J$6005,0))="","",INDEX(원본명단!$E$3:$E$6002,MATCH("R"&amp;354,정리결과!$J$6:$J$6005,0))),""))</f>
        <v/>
      </c>
      <c r="F359" s="10" t="str">
        <f aca="false">IF($A359="","",IFERROR(IF(INDEX(원본명단!$F$3:$F$6002,MATCH("R"&amp;354,정리결과!$J$6:$J$6005,0))="","",INDEX(원본명단!$F$3:$F$6002,MATCH("R"&amp;354,정리결과!$J$6:$J$6005,0))),""))</f>
        <v/>
      </c>
      <c r="H359" s="14" t="b">
        <f aca="false">IF(중복검사!$A357="",FALSE(),중복검사!$J357="유지")</f>
        <v>0</v>
      </c>
      <c r="I359" s="5" t="str">
        <f aca="false">IF($H359=FALSE(),"",COUNTIF($H$6:$H359,TRUE()))</f>
        <v/>
      </c>
      <c r="J359" s="5" t="str">
        <f aca="false">IF($I359="","","R"&amp;$I359)</f>
        <v/>
      </c>
    </row>
    <row r="360" customFormat="false" ht="15" hidden="false" customHeight="true" outlineLevel="0" collapsed="false">
      <c r="A360" s="10" t="str">
        <f aca="false">IFERROR(IF(INDEX(원본명단!$A$3:$A$6002,MATCH("R"&amp;355,정리결과!$J$6:$J$6005,0))="","",INDEX(원본명단!$A$3:$A$6002,MATCH("R"&amp;355,정리결과!$J$6:$J$6005,0))),"")</f>
        <v/>
      </c>
      <c r="B360" s="10" t="str">
        <f aca="false">IF($A360="","",IFERROR(IF(INDEX(원본명단!$B$3:$B$6002,MATCH("R"&amp;355,정리결과!$J$6:$J$6005,0))="","",INDEX(원본명단!$B$3:$B$6002,MATCH("R"&amp;355,정리결과!$J$6:$J$6005,0))),""))</f>
        <v/>
      </c>
      <c r="C360" s="10" t="str">
        <f aca="false">IF($A360="","",IFERROR(IF(INDEX(원본명단!$C$3:$C$6002,MATCH("R"&amp;355,정리결과!$J$6:$J$6005,0))="","",INDEX(원본명단!$C$3:$C$6002,MATCH("R"&amp;355,정리결과!$J$6:$J$6005,0))),""))</f>
        <v/>
      </c>
      <c r="D360" s="10" t="str">
        <f aca="false">IF($A360="","",IFERROR(IF(INDEX(원본명단!$D$3:$D$6002,MATCH("R"&amp;355,정리결과!$J$6:$J$6005,0))="","",INDEX(원본명단!$D$3:$D$6002,MATCH("R"&amp;355,정리결과!$J$6:$J$6005,0))),""))</f>
        <v/>
      </c>
      <c r="E360" s="10" t="str">
        <f aca="false">IF($A360="","",IFERROR(IF(INDEX(원본명단!$E$3:$E$6002,MATCH("R"&amp;355,정리결과!$J$6:$J$6005,0))="","",INDEX(원본명단!$E$3:$E$6002,MATCH("R"&amp;355,정리결과!$J$6:$J$6005,0))),""))</f>
        <v/>
      </c>
      <c r="F360" s="10" t="str">
        <f aca="false">IF($A360="","",IFERROR(IF(INDEX(원본명단!$F$3:$F$6002,MATCH("R"&amp;355,정리결과!$J$6:$J$6005,0))="","",INDEX(원본명단!$F$3:$F$6002,MATCH("R"&amp;355,정리결과!$J$6:$J$6005,0))),""))</f>
        <v/>
      </c>
      <c r="H360" s="14" t="b">
        <f aca="false">IF(중복검사!$A358="",FALSE(),중복검사!$J358="유지")</f>
        <v>0</v>
      </c>
      <c r="I360" s="5" t="str">
        <f aca="false">IF($H360=FALSE(),"",COUNTIF($H$6:$H360,TRUE()))</f>
        <v/>
      </c>
      <c r="J360" s="5" t="str">
        <f aca="false">IF($I360="","","R"&amp;$I360)</f>
        <v/>
      </c>
    </row>
    <row r="361" customFormat="false" ht="15" hidden="false" customHeight="true" outlineLevel="0" collapsed="false">
      <c r="A361" s="10" t="str">
        <f aca="false">IFERROR(IF(INDEX(원본명단!$A$3:$A$6002,MATCH("R"&amp;356,정리결과!$J$6:$J$6005,0))="","",INDEX(원본명단!$A$3:$A$6002,MATCH("R"&amp;356,정리결과!$J$6:$J$6005,0))),"")</f>
        <v/>
      </c>
      <c r="B361" s="10" t="str">
        <f aca="false">IF($A361="","",IFERROR(IF(INDEX(원본명단!$B$3:$B$6002,MATCH("R"&amp;356,정리결과!$J$6:$J$6005,0))="","",INDEX(원본명단!$B$3:$B$6002,MATCH("R"&amp;356,정리결과!$J$6:$J$6005,0))),""))</f>
        <v/>
      </c>
      <c r="C361" s="10" t="str">
        <f aca="false">IF($A361="","",IFERROR(IF(INDEX(원본명단!$C$3:$C$6002,MATCH("R"&amp;356,정리결과!$J$6:$J$6005,0))="","",INDEX(원본명단!$C$3:$C$6002,MATCH("R"&amp;356,정리결과!$J$6:$J$6005,0))),""))</f>
        <v/>
      </c>
      <c r="D361" s="10" t="str">
        <f aca="false">IF($A361="","",IFERROR(IF(INDEX(원본명단!$D$3:$D$6002,MATCH("R"&amp;356,정리결과!$J$6:$J$6005,0))="","",INDEX(원본명단!$D$3:$D$6002,MATCH("R"&amp;356,정리결과!$J$6:$J$6005,0))),""))</f>
        <v/>
      </c>
      <c r="E361" s="10" t="str">
        <f aca="false">IF($A361="","",IFERROR(IF(INDEX(원본명단!$E$3:$E$6002,MATCH("R"&amp;356,정리결과!$J$6:$J$6005,0))="","",INDEX(원본명단!$E$3:$E$6002,MATCH("R"&amp;356,정리결과!$J$6:$J$6005,0))),""))</f>
        <v/>
      </c>
      <c r="F361" s="10" t="str">
        <f aca="false">IF($A361="","",IFERROR(IF(INDEX(원본명단!$F$3:$F$6002,MATCH("R"&amp;356,정리결과!$J$6:$J$6005,0))="","",INDEX(원본명단!$F$3:$F$6002,MATCH("R"&amp;356,정리결과!$J$6:$J$6005,0))),""))</f>
        <v/>
      </c>
      <c r="H361" s="14" t="b">
        <f aca="false">IF(중복검사!$A359="",FALSE(),중복검사!$J359="유지")</f>
        <v>0</v>
      </c>
      <c r="I361" s="5" t="str">
        <f aca="false">IF($H361=FALSE(),"",COUNTIF($H$6:$H361,TRUE()))</f>
        <v/>
      </c>
      <c r="J361" s="5" t="str">
        <f aca="false">IF($I361="","","R"&amp;$I361)</f>
        <v/>
      </c>
    </row>
    <row r="362" customFormat="false" ht="15" hidden="false" customHeight="true" outlineLevel="0" collapsed="false">
      <c r="A362" s="10" t="str">
        <f aca="false">IFERROR(IF(INDEX(원본명단!$A$3:$A$6002,MATCH("R"&amp;357,정리결과!$J$6:$J$6005,0))="","",INDEX(원본명단!$A$3:$A$6002,MATCH("R"&amp;357,정리결과!$J$6:$J$6005,0))),"")</f>
        <v/>
      </c>
      <c r="B362" s="10" t="str">
        <f aca="false">IF($A362="","",IFERROR(IF(INDEX(원본명단!$B$3:$B$6002,MATCH("R"&amp;357,정리결과!$J$6:$J$6005,0))="","",INDEX(원본명단!$B$3:$B$6002,MATCH("R"&amp;357,정리결과!$J$6:$J$6005,0))),""))</f>
        <v/>
      </c>
      <c r="C362" s="10" t="str">
        <f aca="false">IF($A362="","",IFERROR(IF(INDEX(원본명단!$C$3:$C$6002,MATCH("R"&amp;357,정리결과!$J$6:$J$6005,0))="","",INDEX(원본명단!$C$3:$C$6002,MATCH("R"&amp;357,정리결과!$J$6:$J$6005,0))),""))</f>
        <v/>
      </c>
      <c r="D362" s="10" t="str">
        <f aca="false">IF($A362="","",IFERROR(IF(INDEX(원본명단!$D$3:$D$6002,MATCH("R"&amp;357,정리결과!$J$6:$J$6005,0))="","",INDEX(원본명단!$D$3:$D$6002,MATCH("R"&amp;357,정리결과!$J$6:$J$6005,0))),""))</f>
        <v/>
      </c>
      <c r="E362" s="10" t="str">
        <f aca="false">IF($A362="","",IFERROR(IF(INDEX(원본명단!$E$3:$E$6002,MATCH("R"&amp;357,정리결과!$J$6:$J$6005,0))="","",INDEX(원본명단!$E$3:$E$6002,MATCH("R"&amp;357,정리결과!$J$6:$J$6005,0))),""))</f>
        <v/>
      </c>
      <c r="F362" s="10" t="str">
        <f aca="false">IF($A362="","",IFERROR(IF(INDEX(원본명단!$F$3:$F$6002,MATCH("R"&amp;357,정리결과!$J$6:$J$6005,0))="","",INDEX(원본명단!$F$3:$F$6002,MATCH("R"&amp;357,정리결과!$J$6:$J$6005,0))),""))</f>
        <v/>
      </c>
      <c r="H362" s="14" t="b">
        <f aca="false">IF(중복검사!$A360="",FALSE(),중복검사!$J360="유지")</f>
        <v>0</v>
      </c>
      <c r="I362" s="5" t="str">
        <f aca="false">IF($H362=FALSE(),"",COUNTIF($H$6:$H362,TRUE()))</f>
        <v/>
      </c>
      <c r="J362" s="5" t="str">
        <f aca="false">IF($I362="","","R"&amp;$I362)</f>
        <v/>
      </c>
    </row>
    <row r="363" customFormat="false" ht="15" hidden="false" customHeight="true" outlineLevel="0" collapsed="false">
      <c r="A363" s="10" t="str">
        <f aca="false">IFERROR(IF(INDEX(원본명단!$A$3:$A$6002,MATCH("R"&amp;358,정리결과!$J$6:$J$6005,0))="","",INDEX(원본명단!$A$3:$A$6002,MATCH("R"&amp;358,정리결과!$J$6:$J$6005,0))),"")</f>
        <v/>
      </c>
      <c r="B363" s="10" t="str">
        <f aca="false">IF($A363="","",IFERROR(IF(INDEX(원본명단!$B$3:$B$6002,MATCH("R"&amp;358,정리결과!$J$6:$J$6005,0))="","",INDEX(원본명단!$B$3:$B$6002,MATCH("R"&amp;358,정리결과!$J$6:$J$6005,0))),""))</f>
        <v/>
      </c>
      <c r="C363" s="10" t="str">
        <f aca="false">IF($A363="","",IFERROR(IF(INDEX(원본명단!$C$3:$C$6002,MATCH("R"&amp;358,정리결과!$J$6:$J$6005,0))="","",INDEX(원본명단!$C$3:$C$6002,MATCH("R"&amp;358,정리결과!$J$6:$J$6005,0))),""))</f>
        <v/>
      </c>
      <c r="D363" s="10" t="str">
        <f aca="false">IF($A363="","",IFERROR(IF(INDEX(원본명단!$D$3:$D$6002,MATCH("R"&amp;358,정리결과!$J$6:$J$6005,0))="","",INDEX(원본명단!$D$3:$D$6002,MATCH("R"&amp;358,정리결과!$J$6:$J$6005,0))),""))</f>
        <v/>
      </c>
      <c r="E363" s="10" t="str">
        <f aca="false">IF($A363="","",IFERROR(IF(INDEX(원본명단!$E$3:$E$6002,MATCH("R"&amp;358,정리결과!$J$6:$J$6005,0))="","",INDEX(원본명단!$E$3:$E$6002,MATCH("R"&amp;358,정리결과!$J$6:$J$6005,0))),""))</f>
        <v/>
      </c>
      <c r="F363" s="10" t="str">
        <f aca="false">IF($A363="","",IFERROR(IF(INDEX(원본명단!$F$3:$F$6002,MATCH("R"&amp;358,정리결과!$J$6:$J$6005,0))="","",INDEX(원본명단!$F$3:$F$6002,MATCH("R"&amp;358,정리결과!$J$6:$J$6005,0))),""))</f>
        <v/>
      </c>
      <c r="H363" s="14" t="b">
        <f aca="false">IF(중복검사!$A361="",FALSE(),중복검사!$J361="유지")</f>
        <v>0</v>
      </c>
      <c r="I363" s="5" t="str">
        <f aca="false">IF($H363=FALSE(),"",COUNTIF($H$6:$H363,TRUE()))</f>
        <v/>
      </c>
      <c r="J363" s="5" t="str">
        <f aca="false">IF($I363="","","R"&amp;$I363)</f>
        <v/>
      </c>
    </row>
    <row r="364" customFormat="false" ht="15" hidden="false" customHeight="true" outlineLevel="0" collapsed="false">
      <c r="A364" s="10" t="str">
        <f aca="false">IFERROR(IF(INDEX(원본명단!$A$3:$A$6002,MATCH("R"&amp;359,정리결과!$J$6:$J$6005,0))="","",INDEX(원본명단!$A$3:$A$6002,MATCH("R"&amp;359,정리결과!$J$6:$J$6005,0))),"")</f>
        <v/>
      </c>
      <c r="B364" s="10" t="str">
        <f aca="false">IF($A364="","",IFERROR(IF(INDEX(원본명단!$B$3:$B$6002,MATCH("R"&amp;359,정리결과!$J$6:$J$6005,0))="","",INDEX(원본명단!$B$3:$B$6002,MATCH("R"&amp;359,정리결과!$J$6:$J$6005,0))),""))</f>
        <v/>
      </c>
      <c r="C364" s="10" t="str">
        <f aca="false">IF($A364="","",IFERROR(IF(INDEX(원본명단!$C$3:$C$6002,MATCH("R"&amp;359,정리결과!$J$6:$J$6005,0))="","",INDEX(원본명단!$C$3:$C$6002,MATCH("R"&amp;359,정리결과!$J$6:$J$6005,0))),""))</f>
        <v/>
      </c>
      <c r="D364" s="10" t="str">
        <f aca="false">IF($A364="","",IFERROR(IF(INDEX(원본명단!$D$3:$D$6002,MATCH("R"&amp;359,정리결과!$J$6:$J$6005,0))="","",INDEX(원본명단!$D$3:$D$6002,MATCH("R"&amp;359,정리결과!$J$6:$J$6005,0))),""))</f>
        <v/>
      </c>
      <c r="E364" s="10" t="str">
        <f aca="false">IF($A364="","",IFERROR(IF(INDEX(원본명단!$E$3:$E$6002,MATCH("R"&amp;359,정리결과!$J$6:$J$6005,0))="","",INDEX(원본명단!$E$3:$E$6002,MATCH("R"&amp;359,정리결과!$J$6:$J$6005,0))),""))</f>
        <v/>
      </c>
      <c r="F364" s="10" t="str">
        <f aca="false">IF($A364="","",IFERROR(IF(INDEX(원본명단!$F$3:$F$6002,MATCH("R"&amp;359,정리결과!$J$6:$J$6005,0))="","",INDEX(원본명단!$F$3:$F$6002,MATCH("R"&amp;359,정리결과!$J$6:$J$6005,0))),""))</f>
        <v/>
      </c>
      <c r="H364" s="14" t="b">
        <f aca="false">IF(중복검사!$A362="",FALSE(),중복검사!$J362="유지")</f>
        <v>0</v>
      </c>
      <c r="I364" s="5" t="str">
        <f aca="false">IF($H364=FALSE(),"",COUNTIF($H$6:$H364,TRUE()))</f>
        <v/>
      </c>
      <c r="J364" s="5" t="str">
        <f aca="false">IF($I364="","","R"&amp;$I364)</f>
        <v/>
      </c>
    </row>
    <row r="365" customFormat="false" ht="15" hidden="false" customHeight="true" outlineLevel="0" collapsed="false">
      <c r="A365" s="10" t="str">
        <f aca="false">IFERROR(IF(INDEX(원본명단!$A$3:$A$6002,MATCH("R"&amp;360,정리결과!$J$6:$J$6005,0))="","",INDEX(원본명단!$A$3:$A$6002,MATCH("R"&amp;360,정리결과!$J$6:$J$6005,0))),"")</f>
        <v/>
      </c>
      <c r="B365" s="10" t="str">
        <f aca="false">IF($A365="","",IFERROR(IF(INDEX(원본명단!$B$3:$B$6002,MATCH("R"&amp;360,정리결과!$J$6:$J$6005,0))="","",INDEX(원본명단!$B$3:$B$6002,MATCH("R"&amp;360,정리결과!$J$6:$J$6005,0))),""))</f>
        <v/>
      </c>
      <c r="C365" s="10" t="str">
        <f aca="false">IF($A365="","",IFERROR(IF(INDEX(원본명단!$C$3:$C$6002,MATCH("R"&amp;360,정리결과!$J$6:$J$6005,0))="","",INDEX(원본명단!$C$3:$C$6002,MATCH("R"&amp;360,정리결과!$J$6:$J$6005,0))),""))</f>
        <v/>
      </c>
      <c r="D365" s="10" t="str">
        <f aca="false">IF($A365="","",IFERROR(IF(INDEX(원본명단!$D$3:$D$6002,MATCH("R"&amp;360,정리결과!$J$6:$J$6005,0))="","",INDEX(원본명단!$D$3:$D$6002,MATCH("R"&amp;360,정리결과!$J$6:$J$6005,0))),""))</f>
        <v/>
      </c>
      <c r="E365" s="10" t="str">
        <f aca="false">IF($A365="","",IFERROR(IF(INDEX(원본명단!$E$3:$E$6002,MATCH("R"&amp;360,정리결과!$J$6:$J$6005,0))="","",INDEX(원본명단!$E$3:$E$6002,MATCH("R"&amp;360,정리결과!$J$6:$J$6005,0))),""))</f>
        <v/>
      </c>
      <c r="F365" s="10" t="str">
        <f aca="false">IF($A365="","",IFERROR(IF(INDEX(원본명단!$F$3:$F$6002,MATCH("R"&amp;360,정리결과!$J$6:$J$6005,0))="","",INDEX(원본명단!$F$3:$F$6002,MATCH("R"&amp;360,정리결과!$J$6:$J$6005,0))),""))</f>
        <v/>
      </c>
      <c r="H365" s="14" t="b">
        <f aca="false">IF(중복검사!$A363="",FALSE(),중복검사!$J363="유지")</f>
        <v>0</v>
      </c>
      <c r="I365" s="5" t="str">
        <f aca="false">IF($H365=FALSE(),"",COUNTIF($H$6:$H365,TRUE()))</f>
        <v/>
      </c>
      <c r="J365" s="5" t="str">
        <f aca="false">IF($I365="","","R"&amp;$I365)</f>
        <v/>
      </c>
    </row>
    <row r="366" customFormat="false" ht="15" hidden="false" customHeight="true" outlineLevel="0" collapsed="false">
      <c r="A366" s="10" t="str">
        <f aca="false">IFERROR(IF(INDEX(원본명단!$A$3:$A$6002,MATCH("R"&amp;361,정리결과!$J$6:$J$6005,0))="","",INDEX(원본명단!$A$3:$A$6002,MATCH("R"&amp;361,정리결과!$J$6:$J$6005,0))),"")</f>
        <v/>
      </c>
      <c r="B366" s="10" t="str">
        <f aca="false">IF($A366="","",IFERROR(IF(INDEX(원본명단!$B$3:$B$6002,MATCH("R"&amp;361,정리결과!$J$6:$J$6005,0))="","",INDEX(원본명단!$B$3:$B$6002,MATCH("R"&amp;361,정리결과!$J$6:$J$6005,0))),""))</f>
        <v/>
      </c>
      <c r="C366" s="10" t="str">
        <f aca="false">IF($A366="","",IFERROR(IF(INDEX(원본명단!$C$3:$C$6002,MATCH("R"&amp;361,정리결과!$J$6:$J$6005,0))="","",INDEX(원본명단!$C$3:$C$6002,MATCH("R"&amp;361,정리결과!$J$6:$J$6005,0))),""))</f>
        <v/>
      </c>
      <c r="D366" s="10" t="str">
        <f aca="false">IF($A366="","",IFERROR(IF(INDEX(원본명단!$D$3:$D$6002,MATCH("R"&amp;361,정리결과!$J$6:$J$6005,0))="","",INDEX(원본명단!$D$3:$D$6002,MATCH("R"&amp;361,정리결과!$J$6:$J$6005,0))),""))</f>
        <v/>
      </c>
      <c r="E366" s="10" t="str">
        <f aca="false">IF($A366="","",IFERROR(IF(INDEX(원본명단!$E$3:$E$6002,MATCH("R"&amp;361,정리결과!$J$6:$J$6005,0))="","",INDEX(원본명단!$E$3:$E$6002,MATCH("R"&amp;361,정리결과!$J$6:$J$6005,0))),""))</f>
        <v/>
      </c>
      <c r="F366" s="10" t="str">
        <f aca="false">IF($A366="","",IFERROR(IF(INDEX(원본명단!$F$3:$F$6002,MATCH("R"&amp;361,정리결과!$J$6:$J$6005,0))="","",INDEX(원본명단!$F$3:$F$6002,MATCH("R"&amp;361,정리결과!$J$6:$J$6005,0))),""))</f>
        <v/>
      </c>
      <c r="H366" s="14" t="b">
        <f aca="false">IF(중복검사!$A364="",FALSE(),중복검사!$J364="유지")</f>
        <v>0</v>
      </c>
      <c r="I366" s="5" t="str">
        <f aca="false">IF($H366=FALSE(),"",COUNTIF($H$6:$H366,TRUE()))</f>
        <v/>
      </c>
      <c r="J366" s="5" t="str">
        <f aca="false">IF($I366="","","R"&amp;$I366)</f>
        <v/>
      </c>
    </row>
    <row r="367" customFormat="false" ht="15" hidden="false" customHeight="true" outlineLevel="0" collapsed="false">
      <c r="A367" s="10" t="str">
        <f aca="false">IFERROR(IF(INDEX(원본명단!$A$3:$A$6002,MATCH("R"&amp;362,정리결과!$J$6:$J$6005,0))="","",INDEX(원본명단!$A$3:$A$6002,MATCH("R"&amp;362,정리결과!$J$6:$J$6005,0))),"")</f>
        <v/>
      </c>
      <c r="B367" s="10" t="str">
        <f aca="false">IF($A367="","",IFERROR(IF(INDEX(원본명단!$B$3:$B$6002,MATCH("R"&amp;362,정리결과!$J$6:$J$6005,0))="","",INDEX(원본명단!$B$3:$B$6002,MATCH("R"&amp;362,정리결과!$J$6:$J$6005,0))),""))</f>
        <v/>
      </c>
      <c r="C367" s="10" t="str">
        <f aca="false">IF($A367="","",IFERROR(IF(INDEX(원본명단!$C$3:$C$6002,MATCH("R"&amp;362,정리결과!$J$6:$J$6005,0))="","",INDEX(원본명단!$C$3:$C$6002,MATCH("R"&amp;362,정리결과!$J$6:$J$6005,0))),""))</f>
        <v/>
      </c>
      <c r="D367" s="10" t="str">
        <f aca="false">IF($A367="","",IFERROR(IF(INDEX(원본명단!$D$3:$D$6002,MATCH("R"&amp;362,정리결과!$J$6:$J$6005,0))="","",INDEX(원본명단!$D$3:$D$6002,MATCH("R"&amp;362,정리결과!$J$6:$J$6005,0))),""))</f>
        <v/>
      </c>
      <c r="E367" s="10" t="str">
        <f aca="false">IF($A367="","",IFERROR(IF(INDEX(원본명단!$E$3:$E$6002,MATCH("R"&amp;362,정리결과!$J$6:$J$6005,0))="","",INDEX(원본명단!$E$3:$E$6002,MATCH("R"&amp;362,정리결과!$J$6:$J$6005,0))),""))</f>
        <v/>
      </c>
      <c r="F367" s="10" t="str">
        <f aca="false">IF($A367="","",IFERROR(IF(INDEX(원본명단!$F$3:$F$6002,MATCH("R"&amp;362,정리결과!$J$6:$J$6005,0))="","",INDEX(원본명단!$F$3:$F$6002,MATCH("R"&amp;362,정리결과!$J$6:$J$6005,0))),""))</f>
        <v/>
      </c>
      <c r="H367" s="14" t="b">
        <f aca="false">IF(중복검사!$A365="",FALSE(),중복검사!$J365="유지")</f>
        <v>0</v>
      </c>
      <c r="I367" s="5" t="str">
        <f aca="false">IF($H367=FALSE(),"",COUNTIF($H$6:$H367,TRUE()))</f>
        <v/>
      </c>
      <c r="J367" s="5" t="str">
        <f aca="false">IF($I367="","","R"&amp;$I367)</f>
        <v/>
      </c>
    </row>
    <row r="368" customFormat="false" ht="15" hidden="false" customHeight="true" outlineLevel="0" collapsed="false">
      <c r="A368" s="10" t="str">
        <f aca="false">IFERROR(IF(INDEX(원본명단!$A$3:$A$6002,MATCH("R"&amp;363,정리결과!$J$6:$J$6005,0))="","",INDEX(원본명단!$A$3:$A$6002,MATCH("R"&amp;363,정리결과!$J$6:$J$6005,0))),"")</f>
        <v/>
      </c>
      <c r="B368" s="10" t="str">
        <f aca="false">IF($A368="","",IFERROR(IF(INDEX(원본명단!$B$3:$B$6002,MATCH("R"&amp;363,정리결과!$J$6:$J$6005,0))="","",INDEX(원본명단!$B$3:$B$6002,MATCH("R"&amp;363,정리결과!$J$6:$J$6005,0))),""))</f>
        <v/>
      </c>
      <c r="C368" s="10" t="str">
        <f aca="false">IF($A368="","",IFERROR(IF(INDEX(원본명단!$C$3:$C$6002,MATCH("R"&amp;363,정리결과!$J$6:$J$6005,0))="","",INDEX(원본명단!$C$3:$C$6002,MATCH("R"&amp;363,정리결과!$J$6:$J$6005,0))),""))</f>
        <v/>
      </c>
      <c r="D368" s="10" t="str">
        <f aca="false">IF($A368="","",IFERROR(IF(INDEX(원본명단!$D$3:$D$6002,MATCH("R"&amp;363,정리결과!$J$6:$J$6005,0))="","",INDEX(원본명단!$D$3:$D$6002,MATCH("R"&amp;363,정리결과!$J$6:$J$6005,0))),""))</f>
        <v/>
      </c>
      <c r="E368" s="10" t="str">
        <f aca="false">IF($A368="","",IFERROR(IF(INDEX(원본명단!$E$3:$E$6002,MATCH("R"&amp;363,정리결과!$J$6:$J$6005,0))="","",INDEX(원본명단!$E$3:$E$6002,MATCH("R"&amp;363,정리결과!$J$6:$J$6005,0))),""))</f>
        <v/>
      </c>
      <c r="F368" s="10" t="str">
        <f aca="false">IF($A368="","",IFERROR(IF(INDEX(원본명단!$F$3:$F$6002,MATCH("R"&amp;363,정리결과!$J$6:$J$6005,0))="","",INDEX(원본명단!$F$3:$F$6002,MATCH("R"&amp;363,정리결과!$J$6:$J$6005,0))),""))</f>
        <v/>
      </c>
      <c r="H368" s="14" t="b">
        <f aca="false">IF(중복검사!$A366="",FALSE(),중복검사!$J366="유지")</f>
        <v>0</v>
      </c>
      <c r="I368" s="5" t="str">
        <f aca="false">IF($H368=FALSE(),"",COUNTIF($H$6:$H368,TRUE()))</f>
        <v/>
      </c>
      <c r="J368" s="5" t="str">
        <f aca="false">IF($I368="","","R"&amp;$I368)</f>
        <v/>
      </c>
    </row>
    <row r="369" customFormat="false" ht="15" hidden="false" customHeight="true" outlineLevel="0" collapsed="false">
      <c r="A369" s="10" t="str">
        <f aca="false">IFERROR(IF(INDEX(원본명단!$A$3:$A$6002,MATCH("R"&amp;364,정리결과!$J$6:$J$6005,0))="","",INDEX(원본명단!$A$3:$A$6002,MATCH("R"&amp;364,정리결과!$J$6:$J$6005,0))),"")</f>
        <v/>
      </c>
      <c r="B369" s="10" t="str">
        <f aca="false">IF($A369="","",IFERROR(IF(INDEX(원본명단!$B$3:$B$6002,MATCH("R"&amp;364,정리결과!$J$6:$J$6005,0))="","",INDEX(원본명단!$B$3:$B$6002,MATCH("R"&amp;364,정리결과!$J$6:$J$6005,0))),""))</f>
        <v/>
      </c>
      <c r="C369" s="10" t="str">
        <f aca="false">IF($A369="","",IFERROR(IF(INDEX(원본명단!$C$3:$C$6002,MATCH("R"&amp;364,정리결과!$J$6:$J$6005,0))="","",INDEX(원본명단!$C$3:$C$6002,MATCH("R"&amp;364,정리결과!$J$6:$J$6005,0))),""))</f>
        <v/>
      </c>
      <c r="D369" s="10" t="str">
        <f aca="false">IF($A369="","",IFERROR(IF(INDEX(원본명단!$D$3:$D$6002,MATCH("R"&amp;364,정리결과!$J$6:$J$6005,0))="","",INDEX(원본명단!$D$3:$D$6002,MATCH("R"&amp;364,정리결과!$J$6:$J$6005,0))),""))</f>
        <v/>
      </c>
      <c r="E369" s="10" t="str">
        <f aca="false">IF($A369="","",IFERROR(IF(INDEX(원본명단!$E$3:$E$6002,MATCH("R"&amp;364,정리결과!$J$6:$J$6005,0))="","",INDEX(원본명단!$E$3:$E$6002,MATCH("R"&amp;364,정리결과!$J$6:$J$6005,0))),""))</f>
        <v/>
      </c>
      <c r="F369" s="10" t="str">
        <f aca="false">IF($A369="","",IFERROR(IF(INDEX(원본명단!$F$3:$F$6002,MATCH("R"&amp;364,정리결과!$J$6:$J$6005,0))="","",INDEX(원본명단!$F$3:$F$6002,MATCH("R"&amp;364,정리결과!$J$6:$J$6005,0))),""))</f>
        <v/>
      </c>
      <c r="H369" s="14" t="b">
        <f aca="false">IF(중복검사!$A367="",FALSE(),중복검사!$J367="유지")</f>
        <v>0</v>
      </c>
      <c r="I369" s="5" t="str">
        <f aca="false">IF($H369=FALSE(),"",COUNTIF($H$6:$H369,TRUE()))</f>
        <v/>
      </c>
      <c r="J369" s="5" t="str">
        <f aca="false">IF($I369="","","R"&amp;$I369)</f>
        <v/>
      </c>
    </row>
    <row r="370" customFormat="false" ht="15" hidden="false" customHeight="true" outlineLevel="0" collapsed="false">
      <c r="A370" s="10" t="str">
        <f aca="false">IFERROR(IF(INDEX(원본명단!$A$3:$A$6002,MATCH("R"&amp;365,정리결과!$J$6:$J$6005,0))="","",INDEX(원본명단!$A$3:$A$6002,MATCH("R"&amp;365,정리결과!$J$6:$J$6005,0))),"")</f>
        <v/>
      </c>
      <c r="B370" s="10" t="str">
        <f aca="false">IF($A370="","",IFERROR(IF(INDEX(원본명단!$B$3:$B$6002,MATCH("R"&amp;365,정리결과!$J$6:$J$6005,0))="","",INDEX(원본명단!$B$3:$B$6002,MATCH("R"&amp;365,정리결과!$J$6:$J$6005,0))),""))</f>
        <v/>
      </c>
      <c r="C370" s="10" t="str">
        <f aca="false">IF($A370="","",IFERROR(IF(INDEX(원본명단!$C$3:$C$6002,MATCH("R"&amp;365,정리결과!$J$6:$J$6005,0))="","",INDEX(원본명단!$C$3:$C$6002,MATCH("R"&amp;365,정리결과!$J$6:$J$6005,0))),""))</f>
        <v/>
      </c>
      <c r="D370" s="10" t="str">
        <f aca="false">IF($A370="","",IFERROR(IF(INDEX(원본명단!$D$3:$D$6002,MATCH("R"&amp;365,정리결과!$J$6:$J$6005,0))="","",INDEX(원본명단!$D$3:$D$6002,MATCH("R"&amp;365,정리결과!$J$6:$J$6005,0))),""))</f>
        <v/>
      </c>
      <c r="E370" s="10" t="str">
        <f aca="false">IF($A370="","",IFERROR(IF(INDEX(원본명단!$E$3:$E$6002,MATCH("R"&amp;365,정리결과!$J$6:$J$6005,0))="","",INDEX(원본명단!$E$3:$E$6002,MATCH("R"&amp;365,정리결과!$J$6:$J$6005,0))),""))</f>
        <v/>
      </c>
      <c r="F370" s="10" t="str">
        <f aca="false">IF($A370="","",IFERROR(IF(INDEX(원본명단!$F$3:$F$6002,MATCH("R"&amp;365,정리결과!$J$6:$J$6005,0))="","",INDEX(원본명단!$F$3:$F$6002,MATCH("R"&amp;365,정리결과!$J$6:$J$6005,0))),""))</f>
        <v/>
      </c>
      <c r="H370" s="14" t="b">
        <f aca="false">IF(중복검사!$A368="",FALSE(),중복검사!$J368="유지")</f>
        <v>0</v>
      </c>
      <c r="I370" s="5" t="str">
        <f aca="false">IF($H370=FALSE(),"",COUNTIF($H$6:$H370,TRUE()))</f>
        <v/>
      </c>
      <c r="J370" s="5" t="str">
        <f aca="false">IF($I370="","","R"&amp;$I370)</f>
        <v/>
      </c>
    </row>
    <row r="371" customFormat="false" ht="15" hidden="false" customHeight="true" outlineLevel="0" collapsed="false">
      <c r="A371" s="10" t="str">
        <f aca="false">IFERROR(IF(INDEX(원본명단!$A$3:$A$6002,MATCH("R"&amp;366,정리결과!$J$6:$J$6005,0))="","",INDEX(원본명단!$A$3:$A$6002,MATCH("R"&amp;366,정리결과!$J$6:$J$6005,0))),"")</f>
        <v/>
      </c>
      <c r="B371" s="10" t="str">
        <f aca="false">IF($A371="","",IFERROR(IF(INDEX(원본명단!$B$3:$B$6002,MATCH("R"&amp;366,정리결과!$J$6:$J$6005,0))="","",INDEX(원본명단!$B$3:$B$6002,MATCH("R"&amp;366,정리결과!$J$6:$J$6005,0))),""))</f>
        <v/>
      </c>
      <c r="C371" s="10" t="str">
        <f aca="false">IF($A371="","",IFERROR(IF(INDEX(원본명단!$C$3:$C$6002,MATCH("R"&amp;366,정리결과!$J$6:$J$6005,0))="","",INDEX(원본명단!$C$3:$C$6002,MATCH("R"&amp;366,정리결과!$J$6:$J$6005,0))),""))</f>
        <v/>
      </c>
      <c r="D371" s="10" t="str">
        <f aca="false">IF($A371="","",IFERROR(IF(INDEX(원본명단!$D$3:$D$6002,MATCH("R"&amp;366,정리결과!$J$6:$J$6005,0))="","",INDEX(원본명단!$D$3:$D$6002,MATCH("R"&amp;366,정리결과!$J$6:$J$6005,0))),""))</f>
        <v/>
      </c>
      <c r="E371" s="10" t="str">
        <f aca="false">IF($A371="","",IFERROR(IF(INDEX(원본명단!$E$3:$E$6002,MATCH("R"&amp;366,정리결과!$J$6:$J$6005,0))="","",INDEX(원본명단!$E$3:$E$6002,MATCH("R"&amp;366,정리결과!$J$6:$J$6005,0))),""))</f>
        <v/>
      </c>
      <c r="F371" s="10" t="str">
        <f aca="false">IF($A371="","",IFERROR(IF(INDEX(원본명단!$F$3:$F$6002,MATCH("R"&amp;366,정리결과!$J$6:$J$6005,0))="","",INDEX(원본명단!$F$3:$F$6002,MATCH("R"&amp;366,정리결과!$J$6:$J$6005,0))),""))</f>
        <v/>
      </c>
      <c r="H371" s="14" t="b">
        <f aca="false">IF(중복검사!$A369="",FALSE(),중복검사!$J369="유지")</f>
        <v>0</v>
      </c>
      <c r="I371" s="5" t="str">
        <f aca="false">IF($H371=FALSE(),"",COUNTIF($H$6:$H371,TRUE()))</f>
        <v/>
      </c>
      <c r="J371" s="5" t="str">
        <f aca="false">IF($I371="","","R"&amp;$I371)</f>
        <v/>
      </c>
    </row>
    <row r="372" customFormat="false" ht="15" hidden="false" customHeight="true" outlineLevel="0" collapsed="false">
      <c r="A372" s="10" t="str">
        <f aca="false">IFERROR(IF(INDEX(원본명단!$A$3:$A$6002,MATCH("R"&amp;367,정리결과!$J$6:$J$6005,0))="","",INDEX(원본명단!$A$3:$A$6002,MATCH("R"&amp;367,정리결과!$J$6:$J$6005,0))),"")</f>
        <v/>
      </c>
      <c r="B372" s="10" t="str">
        <f aca="false">IF($A372="","",IFERROR(IF(INDEX(원본명단!$B$3:$B$6002,MATCH("R"&amp;367,정리결과!$J$6:$J$6005,0))="","",INDEX(원본명단!$B$3:$B$6002,MATCH("R"&amp;367,정리결과!$J$6:$J$6005,0))),""))</f>
        <v/>
      </c>
      <c r="C372" s="10" t="str">
        <f aca="false">IF($A372="","",IFERROR(IF(INDEX(원본명단!$C$3:$C$6002,MATCH("R"&amp;367,정리결과!$J$6:$J$6005,0))="","",INDEX(원본명단!$C$3:$C$6002,MATCH("R"&amp;367,정리결과!$J$6:$J$6005,0))),""))</f>
        <v/>
      </c>
      <c r="D372" s="10" t="str">
        <f aca="false">IF($A372="","",IFERROR(IF(INDEX(원본명단!$D$3:$D$6002,MATCH("R"&amp;367,정리결과!$J$6:$J$6005,0))="","",INDEX(원본명단!$D$3:$D$6002,MATCH("R"&amp;367,정리결과!$J$6:$J$6005,0))),""))</f>
        <v/>
      </c>
      <c r="E372" s="10" t="str">
        <f aca="false">IF($A372="","",IFERROR(IF(INDEX(원본명단!$E$3:$E$6002,MATCH("R"&amp;367,정리결과!$J$6:$J$6005,0))="","",INDEX(원본명단!$E$3:$E$6002,MATCH("R"&amp;367,정리결과!$J$6:$J$6005,0))),""))</f>
        <v/>
      </c>
      <c r="F372" s="10" t="str">
        <f aca="false">IF($A372="","",IFERROR(IF(INDEX(원본명단!$F$3:$F$6002,MATCH("R"&amp;367,정리결과!$J$6:$J$6005,0))="","",INDEX(원본명단!$F$3:$F$6002,MATCH("R"&amp;367,정리결과!$J$6:$J$6005,0))),""))</f>
        <v/>
      </c>
      <c r="H372" s="14" t="b">
        <f aca="false">IF(중복검사!$A370="",FALSE(),중복검사!$J370="유지")</f>
        <v>0</v>
      </c>
      <c r="I372" s="5" t="str">
        <f aca="false">IF($H372=FALSE(),"",COUNTIF($H$6:$H372,TRUE()))</f>
        <v/>
      </c>
      <c r="J372" s="5" t="str">
        <f aca="false">IF($I372="","","R"&amp;$I372)</f>
        <v/>
      </c>
    </row>
    <row r="373" customFormat="false" ht="15" hidden="false" customHeight="true" outlineLevel="0" collapsed="false">
      <c r="A373" s="10" t="str">
        <f aca="false">IFERROR(IF(INDEX(원본명단!$A$3:$A$6002,MATCH("R"&amp;368,정리결과!$J$6:$J$6005,0))="","",INDEX(원본명단!$A$3:$A$6002,MATCH("R"&amp;368,정리결과!$J$6:$J$6005,0))),"")</f>
        <v/>
      </c>
      <c r="B373" s="10" t="str">
        <f aca="false">IF($A373="","",IFERROR(IF(INDEX(원본명단!$B$3:$B$6002,MATCH("R"&amp;368,정리결과!$J$6:$J$6005,0))="","",INDEX(원본명단!$B$3:$B$6002,MATCH("R"&amp;368,정리결과!$J$6:$J$6005,0))),""))</f>
        <v/>
      </c>
      <c r="C373" s="10" t="str">
        <f aca="false">IF($A373="","",IFERROR(IF(INDEX(원본명단!$C$3:$C$6002,MATCH("R"&amp;368,정리결과!$J$6:$J$6005,0))="","",INDEX(원본명단!$C$3:$C$6002,MATCH("R"&amp;368,정리결과!$J$6:$J$6005,0))),""))</f>
        <v/>
      </c>
      <c r="D373" s="10" t="str">
        <f aca="false">IF($A373="","",IFERROR(IF(INDEX(원본명단!$D$3:$D$6002,MATCH("R"&amp;368,정리결과!$J$6:$J$6005,0))="","",INDEX(원본명단!$D$3:$D$6002,MATCH("R"&amp;368,정리결과!$J$6:$J$6005,0))),""))</f>
        <v/>
      </c>
      <c r="E373" s="10" t="str">
        <f aca="false">IF($A373="","",IFERROR(IF(INDEX(원본명단!$E$3:$E$6002,MATCH("R"&amp;368,정리결과!$J$6:$J$6005,0))="","",INDEX(원본명단!$E$3:$E$6002,MATCH("R"&amp;368,정리결과!$J$6:$J$6005,0))),""))</f>
        <v/>
      </c>
      <c r="F373" s="10" t="str">
        <f aca="false">IF($A373="","",IFERROR(IF(INDEX(원본명단!$F$3:$F$6002,MATCH("R"&amp;368,정리결과!$J$6:$J$6005,0))="","",INDEX(원본명단!$F$3:$F$6002,MATCH("R"&amp;368,정리결과!$J$6:$J$6005,0))),""))</f>
        <v/>
      </c>
      <c r="H373" s="14" t="b">
        <f aca="false">IF(중복검사!$A371="",FALSE(),중복검사!$J371="유지")</f>
        <v>0</v>
      </c>
      <c r="I373" s="5" t="str">
        <f aca="false">IF($H373=FALSE(),"",COUNTIF($H$6:$H373,TRUE()))</f>
        <v/>
      </c>
      <c r="J373" s="5" t="str">
        <f aca="false">IF($I373="","","R"&amp;$I373)</f>
        <v/>
      </c>
    </row>
    <row r="374" customFormat="false" ht="15" hidden="false" customHeight="true" outlineLevel="0" collapsed="false">
      <c r="A374" s="10" t="str">
        <f aca="false">IFERROR(IF(INDEX(원본명단!$A$3:$A$6002,MATCH("R"&amp;369,정리결과!$J$6:$J$6005,0))="","",INDEX(원본명단!$A$3:$A$6002,MATCH("R"&amp;369,정리결과!$J$6:$J$6005,0))),"")</f>
        <v/>
      </c>
      <c r="B374" s="10" t="str">
        <f aca="false">IF($A374="","",IFERROR(IF(INDEX(원본명단!$B$3:$B$6002,MATCH("R"&amp;369,정리결과!$J$6:$J$6005,0))="","",INDEX(원본명단!$B$3:$B$6002,MATCH("R"&amp;369,정리결과!$J$6:$J$6005,0))),""))</f>
        <v/>
      </c>
      <c r="C374" s="10" t="str">
        <f aca="false">IF($A374="","",IFERROR(IF(INDEX(원본명단!$C$3:$C$6002,MATCH("R"&amp;369,정리결과!$J$6:$J$6005,0))="","",INDEX(원본명단!$C$3:$C$6002,MATCH("R"&amp;369,정리결과!$J$6:$J$6005,0))),""))</f>
        <v/>
      </c>
      <c r="D374" s="10" t="str">
        <f aca="false">IF($A374="","",IFERROR(IF(INDEX(원본명단!$D$3:$D$6002,MATCH("R"&amp;369,정리결과!$J$6:$J$6005,0))="","",INDEX(원본명단!$D$3:$D$6002,MATCH("R"&amp;369,정리결과!$J$6:$J$6005,0))),""))</f>
        <v/>
      </c>
      <c r="E374" s="10" t="str">
        <f aca="false">IF($A374="","",IFERROR(IF(INDEX(원본명단!$E$3:$E$6002,MATCH("R"&amp;369,정리결과!$J$6:$J$6005,0))="","",INDEX(원본명단!$E$3:$E$6002,MATCH("R"&amp;369,정리결과!$J$6:$J$6005,0))),""))</f>
        <v/>
      </c>
      <c r="F374" s="10" t="str">
        <f aca="false">IF($A374="","",IFERROR(IF(INDEX(원본명단!$F$3:$F$6002,MATCH("R"&amp;369,정리결과!$J$6:$J$6005,0))="","",INDEX(원본명단!$F$3:$F$6002,MATCH("R"&amp;369,정리결과!$J$6:$J$6005,0))),""))</f>
        <v/>
      </c>
      <c r="H374" s="14" t="b">
        <f aca="false">IF(중복검사!$A372="",FALSE(),중복검사!$J372="유지")</f>
        <v>0</v>
      </c>
      <c r="I374" s="5" t="str">
        <f aca="false">IF($H374=FALSE(),"",COUNTIF($H$6:$H374,TRUE()))</f>
        <v/>
      </c>
      <c r="J374" s="5" t="str">
        <f aca="false">IF($I374="","","R"&amp;$I374)</f>
        <v/>
      </c>
    </row>
    <row r="375" customFormat="false" ht="15" hidden="false" customHeight="true" outlineLevel="0" collapsed="false">
      <c r="A375" s="10" t="str">
        <f aca="false">IFERROR(IF(INDEX(원본명단!$A$3:$A$6002,MATCH("R"&amp;370,정리결과!$J$6:$J$6005,0))="","",INDEX(원본명단!$A$3:$A$6002,MATCH("R"&amp;370,정리결과!$J$6:$J$6005,0))),"")</f>
        <v/>
      </c>
      <c r="B375" s="10" t="str">
        <f aca="false">IF($A375="","",IFERROR(IF(INDEX(원본명단!$B$3:$B$6002,MATCH("R"&amp;370,정리결과!$J$6:$J$6005,0))="","",INDEX(원본명단!$B$3:$B$6002,MATCH("R"&amp;370,정리결과!$J$6:$J$6005,0))),""))</f>
        <v/>
      </c>
      <c r="C375" s="10" t="str">
        <f aca="false">IF($A375="","",IFERROR(IF(INDEX(원본명단!$C$3:$C$6002,MATCH("R"&amp;370,정리결과!$J$6:$J$6005,0))="","",INDEX(원본명단!$C$3:$C$6002,MATCH("R"&amp;370,정리결과!$J$6:$J$6005,0))),""))</f>
        <v/>
      </c>
      <c r="D375" s="10" t="str">
        <f aca="false">IF($A375="","",IFERROR(IF(INDEX(원본명단!$D$3:$D$6002,MATCH("R"&amp;370,정리결과!$J$6:$J$6005,0))="","",INDEX(원본명단!$D$3:$D$6002,MATCH("R"&amp;370,정리결과!$J$6:$J$6005,0))),""))</f>
        <v/>
      </c>
      <c r="E375" s="10" t="str">
        <f aca="false">IF($A375="","",IFERROR(IF(INDEX(원본명단!$E$3:$E$6002,MATCH("R"&amp;370,정리결과!$J$6:$J$6005,0))="","",INDEX(원본명단!$E$3:$E$6002,MATCH("R"&amp;370,정리결과!$J$6:$J$6005,0))),""))</f>
        <v/>
      </c>
      <c r="F375" s="10" t="str">
        <f aca="false">IF($A375="","",IFERROR(IF(INDEX(원본명단!$F$3:$F$6002,MATCH("R"&amp;370,정리결과!$J$6:$J$6005,0))="","",INDEX(원본명단!$F$3:$F$6002,MATCH("R"&amp;370,정리결과!$J$6:$J$6005,0))),""))</f>
        <v/>
      </c>
      <c r="H375" s="14" t="b">
        <f aca="false">IF(중복검사!$A373="",FALSE(),중복검사!$J373="유지")</f>
        <v>0</v>
      </c>
      <c r="I375" s="5" t="str">
        <f aca="false">IF($H375=FALSE(),"",COUNTIF($H$6:$H375,TRUE()))</f>
        <v/>
      </c>
      <c r="J375" s="5" t="str">
        <f aca="false">IF($I375="","","R"&amp;$I375)</f>
        <v/>
      </c>
    </row>
    <row r="376" customFormat="false" ht="15" hidden="false" customHeight="true" outlineLevel="0" collapsed="false">
      <c r="A376" s="10" t="str">
        <f aca="false">IFERROR(IF(INDEX(원본명단!$A$3:$A$6002,MATCH("R"&amp;371,정리결과!$J$6:$J$6005,0))="","",INDEX(원본명단!$A$3:$A$6002,MATCH("R"&amp;371,정리결과!$J$6:$J$6005,0))),"")</f>
        <v/>
      </c>
      <c r="B376" s="10" t="str">
        <f aca="false">IF($A376="","",IFERROR(IF(INDEX(원본명단!$B$3:$B$6002,MATCH("R"&amp;371,정리결과!$J$6:$J$6005,0))="","",INDEX(원본명단!$B$3:$B$6002,MATCH("R"&amp;371,정리결과!$J$6:$J$6005,0))),""))</f>
        <v/>
      </c>
      <c r="C376" s="10" t="str">
        <f aca="false">IF($A376="","",IFERROR(IF(INDEX(원본명단!$C$3:$C$6002,MATCH("R"&amp;371,정리결과!$J$6:$J$6005,0))="","",INDEX(원본명단!$C$3:$C$6002,MATCH("R"&amp;371,정리결과!$J$6:$J$6005,0))),""))</f>
        <v/>
      </c>
      <c r="D376" s="10" t="str">
        <f aca="false">IF($A376="","",IFERROR(IF(INDEX(원본명단!$D$3:$D$6002,MATCH("R"&amp;371,정리결과!$J$6:$J$6005,0))="","",INDEX(원본명단!$D$3:$D$6002,MATCH("R"&amp;371,정리결과!$J$6:$J$6005,0))),""))</f>
        <v/>
      </c>
      <c r="E376" s="10" t="str">
        <f aca="false">IF($A376="","",IFERROR(IF(INDEX(원본명단!$E$3:$E$6002,MATCH("R"&amp;371,정리결과!$J$6:$J$6005,0))="","",INDEX(원본명단!$E$3:$E$6002,MATCH("R"&amp;371,정리결과!$J$6:$J$6005,0))),""))</f>
        <v/>
      </c>
      <c r="F376" s="10" t="str">
        <f aca="false">IF($A376="","",IFERROR(IF(INDEX(원본명단!$F$3:$F$6002,MATCH("R"&amp;371,정리결과!$J$6:$J$6005,0))="","",INDEX(원본명단!$F$3:$F$6002,MATCH("R"&amp;371,정리결과!$J$6:$J$6005,0))),""))</f>
        <v/>
      </c>
      <c r="H376" s="14" t="b">
        <f aca="false">IF(중복검사!$A374="",FALSE(),중복검사!$J374="유지")</f>
        <v>0</v>
      </c>
      <c r="I376" s="5" t="str">
        <f aca="false">IF($H376=FALSE(),"",COUNTIF($H$6:$H376,TRUE()))</f>
        <v/>
      </c>
      <c r="J376" s="5" t="str">
        <f aca="false">IF($I376="","","R"&amp;$I376)</f>
        <v/>
      </c>
    </row>
    <row r="377" customFormat="false" ht="15" hidden="false" customHeight="true" outlineLevel="0" collapsed="false">
      <c r="A377" s="10" t="str">
        <f aca="false">IFERROR(IF(INDEX(원본명단!$A$3:$A$6002,MATCH("R"&amp;372,정리결과!$J$6:$J$6005,0))="","",INDEX(원본명단!$A$3:$A$6002,MATCH("R"&amp;372,정리결과!$J$6:$J$6005,0))),"")</f>
        <v/>
      </c>
      <c r="B377" s="10" t="str">
        <f aca="false">IF($A377="","",IFERROR(IF(INDEX(원본명단!$B$3:$B$6002,MATCH("R"&amp;372,정리결과!$J$6:$J$6005,0))="","",INDEX(원본명단!$B$3:$B$6002,MATCH("R"&amp;372,정리결과!$J$6:$J$6005,0))),""))</f>
        <v/>
      </c>
      <c r="C377" s="10" t="str">
        <f aca="false">IF($A377="","",IFERROR(IF(INDEX(원본명단!$C$3:$C$6002,MATCH("R"&amp;372,정리결과!$J$6:$J$6005,0))="","",INDEX(원본명단!$C$3:$C$6002,MATCH("R"&amp;372,정리결과!$J$6:$J$6005,0))),""))</f>
        <v/>
      </c>
      <c r="D377" s="10" t="str">
        <f aca="false">IF($A377="","",IFERROR(IF(INDEX(원본명단!$D$3:$D$6002,MATCH("R"&amp;372,정리결과!$J$6:$J$6005,0))="","",INDEX(원본명단!$D$3:$D$6002,MATCH("R"&amp;372,정리결과!$J$6:$J$6005,0))),""))</f>
        <v/>
      </c>
      <c r="E377" s="10" t="str">
        <f aca="false">IF($A377="","",IFERROR(IF(INDEX(원본명단!$E$3:$E$6002,MATCH("R"&amp;372,정리결과!$J$6:$J$6005,0))="","",INDEX(원본명단!$E$3:$E$6002,MATCH("R"&amp;372,정리결과!$J$6:$J$6005,0))),""))</f>
        <v/>
      </c>
      <c r="F377" s="10" t="str">
        <f aca="false">IF($A377="","",IFERROR(IF(INDEX(원본명단!$F$3:$F$6002,MATCH("R"&amp;372,정리결과!$J$6:$J$6005,0))="","",INDEX(원본명단!$F$3:$F$6002,MATCH("R"&amp;372,정리결과!$J$6:$J$6005,0))),""))</f>
        <v/>
      </c>
      <c r="H377" s="14" t="b">
        <f aca="false">IF(중복검사!$A375="",FALSE(),중복검사!$J375="유지")</f>
        <v>0</v>
      </c>
      <c r="I377" s="5" t="str">
        <f aca="false">IF($H377=FALSE(),"",COUNTIF($H$6:$H377,TRUE()))</f>
        <v/>
      </c>
      <c r="J377" s="5" t="str">
        <f aca="false">IF($I377="","","R"&amp;$I377)</f>
        <v/>
      </c>
    </row>
    <row r="378" customFormat="false" ht="15" hidden="false" customHeight="true" outlineLevel="0" collapsed="false">
      <c r="A378" s="10" t="str">
        <f aca="false">IFERROR(IF(INDEX(원본명단!$A$3:$A$6002,MATCH("R"&amp;373,정리결과!$J$6:$J$6005,0))="","",INDEX(원본명단!$A$3:$A$6002,MATCH("R"&amp;373,정리결과!$J$6:$J$6005,0))),"")</f>
        <v/>
      </c>
      <c r="B378" s="10" t="str">
        <f aca="false">IF($A378="","",IFERROR(IF(INDEX(원본명단!$B$3:$B$6002,MATCH("R"&amp;373,정리결과!$J$6:$J$6005,0))="","",INDEX(원본명단!$B$3:$B$6002,MATCH("R"&amp;373,정리결과!$J$6:$J$6005,0))),""))</f>
        <v/>
      </c>
      <c r="C378" s="10" t="str">
        <f aca="false">IF($A378="","",IFERROR(IF(INDEX(원본명단!$C$3:$C$6002,MATCH("R"&amp;373,정리결과!$J$6:$J$6005,0))="","",INDEX(원본명단!$C$3:$C$6002,MATCH("R"&amp;373,정리결과!$J$6:$J$6005,0))),""))</f>
        <v/>
      </c>
      <c r="D378" s="10" t="str">
        <f aca="false">IF($A378="","",IFERROR(IF(INDEX(원본명단!$D$3:$D$6002,MATCH("R"&amp;373,정리결과!$J$6:$J$6005,0))="","",INDEX(원본명단!$D$3:$D$6002,MATCH("R"&amp;373,정리결과!$J$6:$J$6005,0))),""))</f>
        <v/>
      </c>
      <c r="E378" s="10" t="str">
        <f aca="false">IF($A378="","",IFERROR(IF(INDEX(원본명단!$E$3:$E$6002,MATCH("R"&amp;373,정리결과!$J$6:$J$6005,0))="","",INDEX(원본명단!$E$3:$E$6002,MATCH("R"&amp;373,정리결과!$J$6:$J$6005,0))),""))</f>
        <v/>
      </c>
      <c r="F378" s="10" t="str">
        <f aca="false">IF($A378="","",IFERROR(IF(INDEX(원본명단!$F$3:$F$6002,MATCH("R"&amp;373,정리결과!$J$6:$J$6005,0))="","",INDEX(원본명단!$F$3:$F$6002,MATCH("R"&amp;373,정리결과!$J$6:$J$6005,0))),""))</f>
        <v/>
      </c>
      <c r="H378" s="14" t="b">
        <f aca="false">IF(중복검사!$A376="",FALSE(),중복검사!$J376="유지")</f>
        <v>0</v>
      </c>
      <c r="I378" s="5" t="str">
        <f aca="false">IF($H378=FALSE(),"",COUNTIF($H$6:$H378,TRUE()))</f>
        <v/>
      </c>
      <c r="J378" s="5" t="str">
        <f aca="false">IF($I378="","","R"&amp;$I378)</f>
        <v/>
      </c>
    </row>
    <row r="379" customFormat="false" ht="15" hidden="false" customHeight="true" outlineLevel="0" collapsed="false">
      <c r="A379" s="10" t="str">
        <f aca="false">IFERROR(IF(INDEX(원본명단!$A$3:$A$6002,MATCH("R"&amp;374,정리결과!$J$6:$J$6005,0))="","",INDEX(원본명단!$A$3:$A$6002,MATCH("R"&amp;374,정리결과!$J$6:$J$6005,0))),"")</f>
        <v/>
      </c>
      <c r="B379" s="10" t="str">
        <f aca="false">IF($A379="","",IFERROR(IF(INDEX(원본명단!$B$3:$B$6002,MATCH("R"&amp;374,정리결과!$J$6:$J$6005,0))="","",INDEX(원본명단!$B$3:$B$6002,MATCH("R"&amp;374,정리결과!$J$6:$J$6005,0))),""))</f>
        <v/>
      </c>
      <c r="C379" s="10" t="str">
        <f aca="false">IF($A379="","",IFERROR(IF(INDEX(원본명단!$C$3:$C$6002,MATCH("R"&amp;374,정리결과!$J$6:$J$6005,0))="","",INDEX(원본명단!$C$3:$C$6002,MATCH("R"&amp;374,정리결과!$J$6:$J$6005,0))),""))</f>
        <v/>
      </c>
      <c r="D379" s="10" t="str">
        <f aca="false">IF($A379="","",IFERROR(IF(INDEX(원본명단!$D$3:$D$6002,MATCH("R"&amp;374,정리결과!$J$6:$J$6005,0))="","",INDEX(원본명단!$D$3:$D$6002,MATCH("R"&amp;374,정리결과!$J$6:$J$6005,0))),""))</f>
        <v/>
      </c>
      <c r="E379" s="10" t="str">
        <f aca="false">IF($A379="","",IFERROR(IF(INDEX(원본명단!$E$3:$E$6002,MATCH("R"&amp;374,정리결과!$J$6:$J$6005,0))="","",INDEX(원본명단!$E$3:$E$6002,MATCH("R"&amp;374,정리결과!$J$6:$J$6005,0))),""))</f>
        <v/>
      </c>
      <c r="F379" s="10" t="str">
        <f aca="false">IF($A379="","",IFERROR(IF(INDEX(원본명단!$F$3:$F$6002,MATCH("R"&amp;374,정리결과!$J$6:$J$6005,0))="","",INDEX(원본명단!$F$3:$F$6002,MATCH("R"&amp;374,정리결과!$J$6:$J$6005,0))),""))</f>
        <v/>
      </c>
      <c r="H379" s="14" t="b">
        <f aca="false">IF(중복검사!$A377="",FALSE(),중복검사!$J377="유지")</f>
        <v>0</v>
      </c>
      <c r="I379" s="5" t="str">
        <f aca="false">IF($H379=FALSE(),"",COUNTIF($H$6:$H379,TRUE()))</f>
        <v/>
      </c>
      <c r="J379" s="5" t="str">
        <f aca="false">IF($I379="","","R"&amp;$I379)</f>
        <v/>
      </c>
    </row>
    <row r="380" customFormat="false" ht="15" hidden="false" customHeight="true" outlineLevel="0" collapsed="false">
      <c r="A380" s="10" t="str">
        <f aca="false">IFERROR(IF(INDEX(원본명단!$A$3:$A$6002,MATCH("R"&amp;375,정리결과!$J$6:$J$6005,0))="","",INDEX(원본명단!$A$3:$A$6002,MATCH("R"&amp;375,정리결과!$J$6:$J$6005,0))),"")</f>
        <v/>
      </c>
      <c r="B380" s="10" t="str">
        <f aca="false">IF($A380="","",IFERROR(IF(INDEX(원본명단!$B$3:$B$6002,MATCH("R"&amp;375,정리결과!$J$6:$J$6005,0))="","",INDEX(원본명단!$B$3:$B$6002,MATCH("R"&amp;375,정리결과!$J$6:$J$6005,0))),""))</f>
        <v/>
      </c>
      <c r="C380" s="10" t="str">
        <f aca="false">IF($A380="","",IFERROR(IF(INDEX(원본명단!$C$3:$C$6002,MATCH("R"&amp;375,정리결과!$J$6:$J$6005,0))="","",INDEX(원본명단!$C$3:$C$6002,MATCH("R"&amp;375,정리결과!$J$6:$J$6005,0))),""))</f>
        <v/>
      </c>
      <c r="D380" s="10" t="str">
        <f aca="false">IF($A380="","",IFERROR(IF(INDEX(원본명단!$D$3:$D$6002,MATCH("R"&amp;375,정리결과!$J$6:$J$6005,0))="","",INDEX(원본명단!$D$3:$D$6002,MATCH("R"&amp;375,정리결과!$J$6:$J$6005,0))),""))</f>
        <v/>
      </c>
      <c r="E380" s="10" t="str">
        <f aca="false">IF($A380="","",IFERROR(IF(INDEX(원본명단!$E$3:$E$6002,MATCH("R"&amp;375,정리결과!$J$6:$J$6005,0))="","",INDEX(원본명단!$E$3:$E$6002,MATCH("R"&amp;375,정리결과!$J$6:$J$6005,0))),""))</f>
        <v/>
      </c>
      <c r="F380" s="10" t="str">
        <f aca="false">IF($A380="","",IFERROR(IF(INDEX(원본명단!$F$3:$F$6002,MATCH("R"&amp;375,정리결과!$J$6:$J$6005,0))="","",INDEX(원본명단!$F$3:$F$6002,MATCH("R"&amp;375,정리결과!$J$6:$J$6005,0))),""))</f>
        <v/>
      </c>
      <c r="H380" s="14" t="b">
        <f aca="false">IF(중복검사!$A378="",FALSE(),중복검사!$J378="유지")</f>
        <v>0</v>
      </c>
      <c r="I380" s="5" t="str">
        <f aca="false">IF($H380=FALSE(),"",COUNTIF($H$6:$H380,TRUE()))</f>
        <v/>
      </c>
      <c r="J380" s="5" t="str">
        <f aca="false">IF($I380="","","R"&amp;$I380)</f>
        <v/>
      </c>
    </row>
    <row r="381" customFormat="false" ht="15" hidden="false" customHeight="true" outlineLevel="0" collapsed="false">
      <c r="A381" s="10" t="str">
        <f aca="false">IFERROR(IF(INDEX(원본명단!$A$3:$A$6002,MATCH("R"&amp;376,정리결과!$J$6:$J$6005,0))="","",INDEX(원본명단!$A$3:$A$6002,MATCH("R"&amp;376,정리결과!$J$6:$J$6005,0))),"")</f>
        <v/>
      </c>
      <c r="B381" s="10" t="str">
        <f aca="false">IF($A381="","",IFERROR(IF(INDEX(원본명단!$B$3:$B$6002,MATCH("R"&amp;376,정리결과!$J$6:$J$6005,0))="","",INDEX(원본명단!$B$3:$B$6002,MATCH("R"&amp;376,정리결과!$J$6:$J$6005,0))),""))</f>
        <v/>
      </c>
      <c r="C381" s="10" t="str">
        <f aca="false">IF($A381="","",IFERROR(IF(INDEX(원본명단!$C$3:$C$6002,MATCH("R"&amp;376,정리결과!$J$6:$J$6005,0))="","",INDEX(원본명단!$C$3:$C$6002,MATCH("R"&amp;376,정리결과!$J$6:$J$6005,0))),""))</f>
        <v/>
      </c>
      <c r="D381" s="10" t="str">
        <f aca="false">IF($A381="","",IFERROR(IF(INDEX(원본명단!$D$3:$D$6002,MATCH("R"&amp;376,정리결과!$J$6:$J$6005,0))="","",INDEX(원본명단!$D$3:$D$6002,MATCH("R"&amp;376,정리결과!$J$6:$J$6005,0))),""))</f>
        <v/>
      </c>
      <c r="E381" s="10" t="str">
        <f aca="false">IF($A381="","",IFERROR(IF(INDEX(원본명단!$E$3:$E$6002,MATCH("R"&amp;376,정리결과!$J$6:$J$6005,0))="","",INDEX(원본명단!$E$3:$E$6002,MATCH("R"&amp;376,정리결과!$J$6:$J$6005,0))),""))</f>
        <v/>
      </c>
      <c r="F381" s="10" t="str">
        <f aca="false">IF($A381="","",IFERROR(IF(INDEX(원본명단!$F$3:$F$6002,MATCH("R"&amp;376,정리결과!$J$6:$J$6005,0))="","",INDEX(원본명단!$F$3:$F$6002,MATCH("R"&amp;376,정리결과!$J$6:$J$6005,0))),""))</f>
        <v/>
      </c>
      <c r="H381" s="14" t="b">
        <f aca="false">IF(중복검사!$A379="",FALSE(),중복검사!$J379="유지")</f>
        <v>0</v>
      </c>
      <c r="I381" s="5" t="str">
        <f aca="false">IF($H381=FALSE(),"",COUNTIF($H$6:$H381,TRUE()))</f>
        <v/>
      </c>
      <c r="J381" s="5" t="str">
        <f aca="false">IF($I381="","","R"&amp;$I381)</f>
        <v/>
      </c>
    </row>
    <row r="382" customFormat="false" ht="15" hidden="false" customHeight="true" outlineLevel="0" collapsed="false">
      <c r="A382" s="10" t="str">
        <f aca="false">IFERROR(IF(INDEX(원본명단!$A$3:$A$6002,MATCH("R"&amp;377,정리결과!$J$6:$J$6005,0))="","",INDEX(원본명단!$A$3:$A$6002,MATCH("R"&amp;377,정리결과!$J$6:$J$6005,0))),"")</f>
        <v/>
      </c>
      <c r="B382" s="10" t="str">
        <f aca="false">IF($A382="","",IFERROR(IF(INDEX(원본명단!$B$3:$B$6002,MATCH("R"&amp;377,정리결과!$J$6:$J$6005,0))="","",INDEX(원본명단!$B$3:$B$6002,MATCH("R"&amp;377,정리결과!$J$6:$J$6005,0))),""))</f>
        <v/>
      </c>
      <c r="C382" s="10" t="str">
        <f aca="false">IF($A382="","",IFERROR(IF(INDEX(원본명단!$C$3:$C$6002,MATCH("R"&amp;377,정리결과!$J$6:$J$6005,0))="","",INDEX(원본명단!$C$3:$C$6002,MATCH("R"&amp;377,정리결과!$J$6:$J$6005,0))),""))</f>
        <v/>
      </c>
      <c r="D382" s="10" t="str">
        <f aca="false">IF($A382="","",IFERROR(IF(INDEX(원본명단!$D$3:$D$6002,MATCH("R"&amp;377,정리결과!$J$6:$J$6005,0))="","",INDEX(원본명단!$D$3:$D$6002,MATCH("R"&amp;377,정리결과!$J$6:$J$6005,0))),""))</f>
        <v/>
      </c>
      <c r="E382" s="10" t="str">
        <f aca="false">IF($A382="","",IFERROR(IF(INDEX(원본명단!$E$3:$E$6002,MATCH("R"&amp;377,정리결과!$J$6:$J$6005,0))="","",INDEX(원본명단!$E$3:$E$6002,MATCH("R"&amp;377,정리결과!$J$6:$J$6005,0))),""))</f>
        <v/>
      </c>
      <c r="F382" s="10" t="str">
        <f aca="false">IF($A382="","",IFERROR(IF(INDEX(원본명단!$F$3:$F$6002,MATCH("R"&amp;377,정리결과!$J$6:$J$6005,0))="","",INDEX(원본명단!$F$3:$F$6002,MATCH("R"&amp;377,정리결과!$J$6:$J$6005,0))),""))</f>
        <v/>
      </c>
      <c r="H382" s="14" t="b">
        <f aca="false">IF(중복검사!$A380="",FALSE(),중복검사!$J380="유지")</f>
        <v>0</v>
      </c>
      <c r="I382" s="5" t="str">
        <f aca="false">IF($H382=FALSE(),"",COUNTIF($H$6:$H382,TRUE()))</f>
        <v/>
      </c>
      <c r="J382" s="5" t="str">
        <f aca="false">IF($I382="","","R"&amp;$I382)</f>
        <v/>
      </c>
    </row>
    <row r="383" customFormat="false" ht="15" hidden="false" customHeight="true" outlineLevel="0" collapsed="false">
      <c r="A383" s="10" t="str">
        <f aca="false">IFERROR(IF(INDEX(원본명단!$A$3:$A$6002,MATCH("R"&amp;378,정리결과!$J$6:$J$6005,0))="","",INDEX(원본명단!$A$3:$A$6002,MATCH("R"&amp;378,정리결과!$J$6:$J$6005,0))),"")</f>
        <v/>
      </c>
      <c r="B383" s="10" t="str">
        <f aca="false">IF($A383="","",IFERROR(IF(INDEX(원본명단!$B$3:$B$6002,MATCH("R"&amp;378,정리결과!$J$6:$J$6005,0))="","",INDEX(원본명단!$B$3:$B$6002,MATCH("R"&amp;378,정리결과!$J$6:$J$6005,0))),""))</f>
        <v/>
      </c>
      <c r="C383" s="10" t="str">
        <f aca="false">IF($A383="","",IFERROR(IF(INDEX(원본명단!$C$3:$C$6002,MATCH("R"&amp;378,정리결과!$J$6:$J$6005,0))="","",INDEX(원본명단!$C$3:$C$6002,MATCH("R"&amp;378,정리결과!$J$6:$J$6005,0))),""))</f>
        <v/>
      </c>
      <c r="D383" s="10" t="str">
        <f aca="false">IF($A383="","",IFERROR(IF(INDEX(원본명단!$D$3:$D$6002,MATCH("R"&amp;378,정리결과!$J$6:$J$6005,0))="","",INDEX(원본명단!$D$3:$D$6002,MATCH("R"&amp;378,정리결과!$J$6:$J$6005,0))),""))</f>
        <v/>
      </c>
      <c r="E383" s="10" t="str">
        <f aca="false">IF($A383="","",IFERROR(IF(INDEX(원본명단!$E$3:$E$6002,MATCH("R"&amp;378,정리결과!$J$6:$J$6005,0))="","",INDEX(원본명단!$E$3:$E$6002,MATCH("R"&amp;378,정리결과!$J$6:$J$6005,0))),""))</f>
        <v/>
      </c>
      <c r="F383" s="10" t="str">
        <f aca="false">IF($A383="","",IFERROR(IF(INDEX(원본명단!$F$3:$F$6002,MATCH("R"&amp;378,정리결과!$J$6:$J$6005,0))="","",INDEX(원본명단!$F$3:$F$6002,MATCH("R"&amp;378,정리결과!$J$6:$J$6005,0))),""))</f>
        <v/>
      </c>
      <c r="H383" s="14" t="b">
        <f aca="false">IF(중복검사!$A381="",FALSE(),중복검사!$J381="유지")</f>
        <v>0</v>
      </c>
      <c r="I383" s="5" t="str">
        <f aca="false">IF($H383=FALSE(),"",COUNTIF($H$6:$H383,TRUE()))</f>
        <v/>
      </c>
      <c r="J383" s="5" t="str">
        <f aca="false">IF($I383="","","R"&amp;$I383)</f>
        <v/>
      </c>
    </row>
    <row r="384" customFormat="false" ht="15" hidden="false" customHeight="true" outlineLevel="0" collapsed="false">
      <c r="A384" s="10" t="str">
        <f aca="false">IFERROR(IF(INDEX(원본명단!$A$3:$A$6002,MATCH("R"&amp;379,정리결과!$J$6:$J$6005,0))="","",INDEX(원본명단!$A$3:$A$6002,MATCH("R"&amp;379,정리결과!$J$6:$J$6005,0))),"")</f>
        <v/>
      </c>
      <c r="B384" s="10" t="str">
        <f aca="false">IF($A384="","",IFERROR(IF(INDEX(원본명단!$B$3:$B$6002,MATCH("R"&amp;379,정리결과!$J$6:$J$6005,0))="","",INDEX(원본명단!$B$3:$B$6002,MATCH("R"&amp;379,정리결과!$J$6:$J$6005,0))),""))</f>
        <v/>
      </c>
      <c r="C384" s="10" t="str">
        <f aca="false">IF($A384="","",IFERROR(IF(INDEX(원본명단!$C$3:$C$6002,MATCH("R"&amp;379,정리결과!$J$6:$J$6005,0))="","",INDEX(원본명단!$C$3:$C$6002,MATCH("R"&amp;379,정리결과!$J$6:$J$6005,0))),""))</f>
        <v/>
      </c>
      <c r="D384" s="10" t="str">
        <f aca="false">IF($A384="","",IFERROR(IF(INDEX(원본명단!$D$3:$D$6002,MATCH("R"&amp;379,정리결과!$J$6:$J$6005,0))="","",INDEX(원본명단!$D$3:$D$6002,MATCH("R"&amp;379,정리결과!$J$6:$J$6005,0))),""))</f>
        <v/>
      </c>
      <c r="E384" s="10" t="str">
        <f aca="false">IF($A384="","",IFERROR(IF(INDEX(원본명단!$E$3:$E$6002,MATCH("R"&amp;379,정리결과!$J$6:$J$6005,0))="","",INDEX(원본명단!$E$3:$E$6002,MATCH("R"&amp;379,정리결과!$J$6:$J$6005,0))),""))</f>
        <v/>
      </c>
      <c r="F384" s="10" t="str">
        <f aca="false">IF($A384="","",IFERROR(IF(INDEX(원본명단!$F$3:$F$6002,MATCH("R"&amp;379,정리결과!$J$6:$J$6005,0))="","",INDEX(원본명단!$F$3:$F$6002,MATCH("R"&amp;379,정리결과!$J$6:$J$6005,0))),""))</f>
        <v/>
      </c>
      <c r="H384" s="14" t="b">
        <f aca="false">IF(중복검사!$A382="",FALSE(),중복검사!$J382="유지")</f>
        <v>0</v>
      </c>
      <c r="I384" s="5" t="str">
        <f aca="false">IF($H384=FALSE(),"",COUNTIF($H$6:$H384,TRUE()))</f>
        <v/>
      </c>
      <c r="J384" s="5" t="str">
        <f aca="false">IF($I384="","","R"&amp;$I384)</f>
        <v/>
      </c>
    </row>
    <row r="385" customFormat="false" ht="15" hidden="false" customHeight="true" outlineLevel="0" collapsed="false">
      <c r="A385" s="10" t="str">
        <f aca="false">IFERROR(IF(INDEX(원본명단!$A$3:$A$6002,MATCH("R"&amp;380,정리결과!$J$6:$J$6005,0))="","",INDEX(원본명단!$A$3:$A$6002,MATCH("R"&amp;380,정리결과!$J$6:$J$6005,0))),"")</f>
        <v/>
      </c>
      <c r="B385" s="10" t="str">
        <f aca="false">IF($A385="","",IFERROR(IF(INDEX(원본명단!$B$3:$B$6002,MATCH("R"&amp;380,정리결과!$J$6:$J$6005,0))="","",INDEX(원본명단!$B$3:$B$6002,MATCH("R"&amp;380,정리결과!$J$6:$J$6005,0))),""))</f>
        <v/>
      </c>
      <c r="C385" s="10" t="str">
        <f aca="false">IF($A385="","",IFERROR(IF(INDEX(원본명단!$C$3:$C$6002,MATCH("R"&amp;380,정리결과!$J$6:$J$6005,0))="","",INDEX(원본명단!$C$3:$C$6002,MATCH("R"&amp;380,정리결과!$J$6:$J$6005,0))),""))</f>
        <v/>
      </c>
      <c r="D385" s="10" t="str">
        <f aca="false">IF($A385="","",IFERROR(IF(INDEX(원본명단!$D$3:$D$6002,MATCH("R"&amp;380,정리결과!$J$6:$J$6005,0))="","",INDEX(원본명단!$D$3:$D$6002,MATCH("R"&amp;380,정리결과!$J$6:$J$6005,0))),""))</f>
        <v/>
      </c>
      <c r="E385" s="10" t="str">
        <f aca="false">IF($A385="","",IFERROR(IF(INDEX(원본명단!$E$3:$E$6002,MATCH("R"&amp;380,정리결과!$J$6:$J$6005,0))="","",INDEX(원본명단!$E$3:$E$6002,MATCH("R"&amp;380,정리결과!$J$6:$J$6005,0))),""))</f>
        <v/>
      </c>
      <c r="F385" s="10" t="str">
        <f aca="false">IF($A385="","",IFERROR(IF(INDEX(원본명단!$F$3:$F$6002,MATCH("R"&amp;380,정리결과!$J$6:$J$6005,0))="","",INDEX(원본명단!$F$3:$F$6002,MATCH("R"&amp;380,정리결과!$J$6:$J$6005,0))),""))</f>
        <v/>
      </c>
      <c r="H385" s="14" t="b">
        <f aca="false">IF(중복검사!$A383="",FALSE(),중복검사!$J383="유지")</f>
        <v>0</v>
      </c>
      <c r="I385" s="5" t="str">
        <f aca="false">IF($H385=FALSE(),"",COUNTIF($H$6:$H385,TRUE()))</f>
        <v/>
      </c>
      <c r="J385" s="5" t="str">
        <f aca="false">IF($I385="","","R"&amp;$I385)</f>
        <v/>
      </c>
    </row>
    <row r="386" customFormat="false" ht="15" hidden="false" customHeight="true" outlineLevel="0" collapsed="false">
      <c r="A386" s="10" t="str">
        <f aca="false">IFERROR(IF(INDEX(원본명단!$A$3:$A$6002,MATCH("R"&amp;381,정리결과!$J$6:$J$6005,0))="","",INDEX(원본명단!$A$3:$A$6002,MATCH("R"&amp;381,정리결과!$J$6:$J$6005,0))),"")</f>
        <v/>
      </c>
      <c r="B386" s="10" t="str">
        <f aca="false">IF($A386="","",IFERROR(IF(INDEX(원본명단!$B$3:$B$6002,MATCH("R"&amp;381,정리결과!$J$6:$J$6005,0))="","",INDEX(원본명단!$B$3:$B$6002,MATCH("R"&amp;381,정리결과!$J$6:$J$6005,0))),""))</f>
        <v/>
      </c>
      <c r="C386" s="10" t="str">
        <f aca="false">IF($A386="","",IFERROR(IF(INDEX(원본명단!$C$3:$C$6002,MATCH("R"&amp;381,정리결과!$J$6:$J$6005,0))="","",INDEX(원본명단!$C$3:$C$6002,MATCH("R"&amp;381,정리결과!$J$6:$J$6005,0))),""))</f>
        <v/>
      </c>
      <c r="D386" s="10" t="str">
        <f aca="false">IF($A386="","",IFERROR(IF(INDEX(원본명단!$D$3:$D$6002,MATCH("R"&amp;381,정리결과!$J$6:$J$6005,0))="","",INDEX(원본명단!$D$3:$D$6002,MATCH("R"&amp;381,정리결과!$J$6:$J$6005,0))),""))</f>
        <v/>
      </c>
      <c r="E386" s="10" t="str">
        <f aca="false">IF($A386="","",IFERROR(IF(INDEX(원본명단!$E$3:$E$6002,MATCH("R"&amp;381,정리결과!$J$6:$J$6005,0))="","",INDEX(원본명단!$E$3:$E$6002,MATCH("R"&amp;381,정리결과!$J$6:$J$6005,0))),""))</f>
        <v/>
      </c>
      <c r="F386" s="10" t="str">
        <f aca="false">IF($A386="","",IFERROR(IF(INDEX(원본명단!$F$3:$F$6002,MATCH("R"&amp;381,정리결과!$J$6:$J$6005,0))="","",INDEX(원본명단!$F$3:$F$6002,MATCH("R"&amp;381,정리결과!$J$6:$J$6005,0))),""))</f>
        <v/>
      </c>
      <c r="H386" s="14" t="b">
        <f aca="false">IF(중복검사!$A384="",FALSE(),중복검사!$J384="유지")</f>
        <v>0</v>
      </c>
      <c r="I386" s="5" t="str">
        <f aca="false">IF($H386=FALSE(),"",COUNTIF($H$6:$H386,TRUE()))</f>
        <v/>
      </c>
      <c r="J386" s="5" t="str">
        <f aca="false">IF($I386="","","R"&amp;$I386)</f>
        <v/>
      </c>
    </row>
    <row r="387" customFormat="false" ht="15" hidden="false" customHeight="true" outlineLevel="0" collapsed="false">
      <c r="A387" s="10" t="str">
        <f aca="false">IFERROR(IF(INDEX(원본명단!$A$3:$A$6002,MATCH("R"&amp;382,정리결과!$J$6:$J$6005,0))="","",INDEX(원본명단!$A$3:$A$6002,MATCH("R"&amp;382,정리결과!$J$6:$J$6005,0))),"")</f>
        <v/>
      </c>
      <c r="B387" s="10" t="str">
        <f aca="false">IF($A387="","",IFERROR(IF(INDEX(원본명단!$B$3:$B$6002,MATCH("R"&amp;382,정리결과!$J$6:$J$6005,0))="","",INDEX(원본명단!$B$3:$B$6002,MATCH("R"&amp;382,정리결과!$J$6:$J$6005,0))),""))</f>
        <v/>
      </c>
      <c r="C387" s="10" t="str">
        <f aca="false">IF($A387="","",IFERROR(IF(INDEX(원본명단!$C$3:$C$6002,MATCH("R"&amp;382,정리결과!$J$6:$J$6005,0))="","",INDEX(원본명단!$C$3:$C$6002,MATCH("R"&amp;382,정리결과!$J$6:$J$6005,0))),""))</f>
        <v/>
      </c>
      <c r="D387" s="10" t="str">
        <f aca="false">IF($A387="","",IFERROR(IF(INDEX(원본명단!$D$3:$D$6002,MATCH("R"&amp;382,정리결과!$J$6:$J$6005,0))="","",INDEX(원본명단!$D$3:$D$6002,MATCH("R"&amp;382,정리결과!$J$6:$J$6005,0))),""))</f>
        <v/>
      </c>
      <c r="E387" s="10" t="str">
        <f aca="false">IF($A387="","",IFERROR(IF(INDEX(원본명단!$E$3:$E$6002,MATCH("R"&amp;382,정리결과!$J$6:$J$6005,0))="","",INDEX(원본명단!$E$3:$E$6002,MATCH("R"&amp;382,정리결과!$J$6:$J$6005,0))),""))</f>
        <v/>
      </c>
      <c r="F387" s="10" t="str">
        <f aca="false">IF($A387="","",IFERROR(IF(INDEX(원본명단!$F$3:$F$6002,MATCH("R"&amp;382,정리결과!$J$6:$J$6005,0))="","",INDEX(원본명단!$F$3:$F$6002,MATCH("R"&amp;382,정리결과!$J$6:$J$6005,0))),""))</f>
        <v/>
      </c>
      <c r="H387" s="14" t="b">
        <f aca="false">IF(중복검사!$A385="",FALSE(),중복검사!$J385="유지")</f>
        <v>0</v>
      </c>
      <c r="I387" s="5" t="str">
        <f aca="false">IF($H387=FALSE(),"",COUNTIF($H$6:$H387,TRUE()))</f>
        <v/>
      </c>
      <c r="J387" s="5" t="str">
        <f aca="false">IF($I387="","","R"&amp;$I387)</f>
        <v/>
      </c>
    </row>
    <row r="388" customFormat="false" ht="15" hidden="false" customHeight="true" outlineLevel="0" collapsed="false">
      <c r="A388" s="10" t="str">
        <f aca="false">IFERROR(IF(INDEX(원본명단!$A$3:$A$6002,MATCH("R"&amp;383,정리결과!$J$6:$J$6005,0))="","",INDEX(원본명단!$A$3:$A$6002,MATCH("R"&amp;383,정리결과!$J$6:$J$6005,0))),"")</f>
        <v/>
      </c>
      <c r="B388" s="10" t="str">
        <f aca="false">IF($A388="","",IFERROR(IF(INDEX(원본명단!$B$3:$B$6002,MATCH("R"&amp;383,정리결과!$J$6:$J$6005,0))="","",INDEX(원본명단!$B$3:$B$6002,MATCH("R"&amp;383,정리결과!$J$6:$J$6005,0))),""))</f>
        <v/>
      </c>
      <c r="C388" s="10" t="str">
        <f aca="false">IF($A388="","",IFERROR(IF(INDEX(원본명단!$C$3:$C$6002,MATCH("R"&amp;383,정리결과!$J$6:$J$6005,0))="","",INDEX(원본명단!$C$3:$C$6002,MATCH("R"&amp;383,정리결과!$J$6:$J$6005,0))),""))</f>
        <v/>
      </c>
      <c r="D388" s="10" t="str">
        <f aca="false">IF($A388="","",IFERROR(IF(INDEX(원본명단!$D$3:$D$6002,MATCH("R"&amp;383,정리결과!$J$6:$J$6005,0))="","",INDEX(원본명단!$D$3:$D$6002,MATCH("R"&amp;383,정리결과!$J$6:$J$6005,0))),""))</f>
        <v/>
      </c>
      <c r="E388" s="10" t="str">
        <f aca="false">IF($A388="","",IFERROR(IF(INDEX(원본명단!$E$3:$E$6002,MATCH("R"&amp;383,정리결과!$J$6:$J$6005,0))="","",INDEX(원본명단!$E$3:$E$6002,MATCH("R"&amp;383,정리결과!$J$6:$J$6005,0))),""))</f>
        <v/>
      </c>
      <c r="F388" s="10" t="str">
        <f aca="false">IF($A388="","",IFERROR(IF(INDEX(원본명단!$F$3:$F$6002,MATCH("R"&amp;383,정리결과!$J$6:$J$6005,0))="","",INDEX(원본명단!$F$3:$F$6002,MATCH("R"&amp;383,정리결과!$J$6:$J$6005,0))),""))</f>
        <v/>
      </c>
      <c r="H388" s="14" t="b">
        <f aca="false">IF(중복검사!$A386="",FALSE(),중복검사!$J386="유지")</f>
        <v>0</v>
      </c>
      <c r="I388" s="5" t="str">
        <f aca="false">IF($H388=FALSE(),"",COUNTIF($H$6:$H388,TRUE()))</f>
        <v/>
      </c>
      <c r="J388" s="5" t="str">
        <f aca="false">IF($I388="","","R"&amp;$I388)</f>
        <v/>
      </c>
    </row>
    <row r="389" customFormat="false" ht="15" hidden="false" customHeight="true" outlineLevel="0" collapsed="false">
      <c r="A389" s="10" t="str">
        <f aca="false">IFERROR(IF(INDEX(원본명단!$A$3:$A$6002,MATCH("R"&amp;384,정리결과!$J$6:$J$6005,0))="","",INDEX(원본명단!$A$3:$A$6002,MATCH("R"&amp;384,정리결과!$J$6:$J$6005,0))),"")</f>
        <v/>
      </c>
      <c r="B389" s="10" t="str">
        <f aca="false">IF($A389="","",IFERROR(IF(INDEX(원본명단!$B$3:$B$6002,MATCH("R"&amp;384,정리결과!$J$6:$J$6005,0))="","",INDEX(원본명단!$B$3:$B$6002,MATCH("R"&amp;384,정리결과!$J$6:$J$6005,0))),""))</f>
        <v/>
      </c>
      <c r="C389" s="10" t="str">
        <f aca="false">IF($A389="","",IFERROR(IF(INDEX(원본명단!$C$3:$C$6002,MATCH("R"&amp;384,정리결과!$J$6:$J$6005,0))="","",INDEX(원본명단!$C$3:$C$6002,MATCH("R"&amp;384,정리결과!$J$6:$J$6005,0))),""))</f>
        <v/>
      </c>
      <c r="D389" s="10" t="str">
        <f aca="false">IF($A389="","",IFERROR(IF(INDEX(원본명단!$D$3:$D$6002,MATCH("R"&amp;384,정리결과!$J$6:$J$6005,0))="","",INDEX(원본명단!$D$3:$D$6002,MATCH("R"&amp;384,정리결과!$J$6:$J$6005,0))),""))</f>
        <v/>
      </c>
      <c r="E389" s="10" t="str">
        <f aca="false">IF($A389="","",IFERROR(IF(INDEX(원본명단!$E$3:$E$6002,MATCH("R"&amp;384,정리결과!$J$6:$J$6005,0))="","",INDEX(원본명단!$E$3:$E$6002,MATCH("R"&amp;384,정리결과!$J$6:$J$6005,0))),""))</f>
        <v/>
      </c>
      <c r="F389" s="10" t="str">
        <f aca="false">IF($A389="","",IFERROR(IF(INDEX(원본명단!$F$3:$F$6002,MATCH("R"&amp;384,정리결과!$J$6:$J$6005,0))="","",INDEX(원본명단!$F$3:$F$6002,MATCH("R"&amp;384,정리결과!$J$6:$J$6005,0))),""))</f>
        <v/>
      </c>
      <c r="H389" s="14" t="b">
        <f aca="false">IF(중복검사!$A387="",FALSE(),중복검사!$J387="유지")</f>
        <v>0</v>
      </c>
      <c r="I389" s="5" t="str">
        <f aca="false">IF($H389=FALSE(),"",COUNTIF($H$6:$H389,TRUE()))</f>
        <v/>
      </c>
      <c r="J389" s="5" t="str">
        <f aca="false">IF($I389="","","R"&amp;$I389)</f>
        <v/>
      </c>
    </row>
    <row r="390" customFormat="false" ht="15" hidden="false" customHeight="true" outlineLevel="0" collapsed="false">
      <c r="A390" s="10" t="str">
        <f aca="false">IFERROR(IF(INDEX(원본명단!$A$3:$A$6002,MATCH("R"&amp;385,정리결과!$J$6:$J$6005,0))="","",INDEX(원본명단!$A$3:$A$6002,MATCH("R"&amp;385,정리결과!$J$6:$J$6005,0))),"")</f>
        <v/>
      </c>
      <c r="B390" s="10" t="str">
        <f aca="false">IF($A390="","",IFERROR(IF(INDEX(원본명단!$B$3:$B$6002,MATCH("R"&amp;385,정리결과!$J$6:$J$6005,0))="","",INDEX(원본명단!$B$3:$B$6002,MATCH("R"&amp;385,정리결과!$J$6:$J$6005,0))),""))</f>
        <v/>
      </c>
      <c r="C390" s="10" t="str">
        <f aca="false">IF($A390="","",IFERROR(IF(INDEX(원본명단!$C$3:$C$6002,MATCH("R"&amp;385,정리결과!$J$6:$J$6005,0))="","",INDEX(원본명단!$C$3:$C$6002,MATCH("R"&amp;385,정리결과!$J$6:$J$6005,0))),""))</f>
        <v/>
      </c>
      <c r="D390" s="10" t="str">
        <f aca="false">IF($A390="","",IFERROR(IF(INDEX(원본명단!$D$3:$D$6002,MATCH("R"&amp;385,정리결과!$J$6:$J$6005,0))="","",INDEX(원본명단!$D$3:$D$6002,MATCH("R"&amp;385,정리결과!$J$6:$J$6005,0))),""))</f>
        <v/>
      </c>
      <c r="E390" s="10" t="str">
        <f aca="false">IF($A390="","",IFERROR(IF(INDEX(원본명단!$E$3:$E$6002,MATCH("R"&amp;385,정리결과!$J$6:$J$6005,0))="","",INDEX(원본명단!$E$3:$E$6002,MATCH("R"&amp;385,정리결과!$J$6:$J$6005,0))),""))</f>
        <v/>
      </c>
      <c r="F390" s="10" t="str">
        <f aca="false">IF($A390="","",IFERROR(IF(INDEX(원본명단!$F$3:$F$6002,MATCH("R"&amp;385,정리결과!$J$6:$J$6005,0))="","",INDEX(원본명단!$F$3:$F$6002,MATCH("R"&amp;385,정리결과!$J$6:$J$6005,0))),""))</f>
        <v/>
      </c>
      <c r="H390" s="14" t="b">
        <f aca="false">IF(중복검사!$A388="",FALSE(),중복검사!$J388="유지")</f>
        <v>0</v>
      </c>
      <c r="I390" s="5" t="str">
        <f aca="false">IF($H390=FALSE(),"",COUNTIF($H$6:$H390,TRUE()))</f>
        <v/>
      </c>
      <c r="J390" s="5" t="str">
        <f aca="false">IF($I390="","","R"&amp;$I390)</f>
        <v/>
      </c>
    </row>
    <row r="391" customFormat="false" ht="15" hidden="false" customHeight="true" outlineLevel="0" collapsed="false">
      <c r="A391" s="10" t="str">
        <f aca="false">IFERROR(IF(INDEX(원본명단!$A$3:$A$6002,MATCH("R"&amp;386,정리결과!$J$6:$J$6005,0))="","",INDEX(원본명단!$A$3:$A$6002,MATCH("R"&amp;386,정리결과!$J$6:$J$6005,0))),"")</f>
        <v/>
      </c>
      <c r="B391" s="10" t="str">
        <f aca="false">IF($A391="","",IFERROR(IF(INDEX(원본명단!$B$3:$B$6002,MATCH("R"&amp;386,정리결과!$J$6:$J$6005,0))="","",INDEX(원본명단!$B$3:$B$6002,MATCH("R"&amp;386,정리결과!$J$6:$J$6005,0))),""))</f>
        <v/>
      </c>
      <c r="C391" s="10" t="str">
        <f aca="false">IF($A391="","",IFERROR(IF(INDEX(원본명단!$C$3:$C$6002,MATCH("R"&amp;386,정리결과!$J$6:$J$6005,0))="","",INDEX(원본명단!$C$3:$C$6002,MATCH("R"&amp;386,정리결과!$J$6:$J$6005,0))),""))</f>
        <v/>
      </c>
      <c r="D391" s="10" t="str">
        <f aca="false">IF($A391="","",IFERROR(IF(INDEX(원본명단!$D$3:$D$6002,MATCH("R"&amp;386,정리결과!$J$6:$J$6005,0))="","",INDEX(원본명단!$D$3:$D$6002,MATCH("R"&amp;386,정리결과!$J$6:$J$6005,0))),""))</f>
        <v/>
      </c>
      <c r="E391" s="10" t="str">
        <f aca="false">IF($A391="","",IFERROR(IF(INDEX(원본명단!$E$3:$E$6002,MATCH("R"&amp;386,정리결과!$J$6:$J$6005,0))="","",INDEX(원본명단!$E$3:$E$6002,MATCH("R"&amp;386,정리결과!$J$6:$J$6005,0))),""))</f>
        <v/>
      </c>
      <c r="F391" s="10" t="str">
        <f aca="false">IF($A391="","",IFERROR(IF(INDEX(원본명단!$F$3:$F$6002,MATCH("R"&amp;386,정리결과!$J$6:$J$6005,0))="","",INDEX(원본명단!$F$3:$F$6002,MATCH("R"&amp;386,정리결과!$J$6:$J$6005,0))),""))</f>
        <v/>
      </c>
      <c r="H391" s="14" t="b">
        <f aca="false">IF(중복검사!$A389="",FALSE(),중복검사!$J389="유지")</f>
        <v>0</v>
      </c>
      <c r="I391" s="5" t="str">
        <f aca="false">IF($H391=FALSE(),"",COUNTIF($H$6:$H391,TRUE()))</f>
        <v/>
      </c>
      <c r="J391" s="5" t="str">
        <f aca="false">IF($I391="","","R"&amp;$I391)</f>
        <v/>
      </c>
    </row>
    <row r="392" customFormat="false" ht="15" hidden="false" customHeight="true" outlineLevel="0" collapsed="false">
      <c r="A392" s="10" t="str">
        <f aca="false">IFERROR(IF(INDEX(원본명단!$A$3:$A$6002,MATCH("R"&amp;387,정리결과!$J$6:$J$6005,0))="","",INDEX(원본명단!$A$3:$A$6002,MATCH("R"&amp;387,정리결과!$J$6:$J$6005,0))),"")</f>
        <v/>
      </c>
      <c r="B392" s="10" t="str">
        <f aca="false">IF($A392="","",IFERROR(IF(INDEX(원본명단!$B$3:$B$6002,MATCH("R"&amp;387,정리결과!$J$6:$J$6005,0))="","",INDEX(원본명단!$B$3:$B$6002,MATCH("R"&amp;387,정리결과!$J$6:$J$6005,0))),""))</f>
        <v/>
      </c>
      <c r="C392" s="10" t="str">
        <f aca="false">IF($A392="","",IFERROR(IF(INDEX(원본명단!$C$3:$C$6002,MATCH("R"&amp;387,정리결과!$J$6:$J$6005,0))="","",INDEX(원본명단!$C$3:$C$6002,MATCH("R"&amp;387,정리결과!$J$6:$J$6005,0))),""))</f>
        <v/>
      </c>
      <c r="D392" s="10" t="str">
        <f aca="false">IF($A392="","",IFERROR(IF(INDEX(원본명단!$D$3:$D$6002,MATCH("R"&amp;387,정리결과!$J$6:$J$6005,0))="","",INDEX(원본명단!$D$3:$D$6002,MATCH("R"&amp;387,정리결과!$J$6:$J$6005,0))),""))</f>
        <v/>
      </c>
      <c r="E392" s="10" t="str">
        <f aca="false">IF($A392="","",IFERROR(IF(INDEX(원본명단!$E$3:$E$6002,MATCH("R"&amp;387,정리결과!$J$6:$J$6005,0))="","",INDEX(원본명단!$E$3:$E$6002,MATCH("R"&amp;387,정리결과!$J$6:$J$6005,0))),""))</f>
        <v/>
      </c>
      <c r="F392" s="10" t="str">
        <f aca="false">IF($A392="","",IFERROR(IF(INDEX(원본명단!$F$3:$F$6002,MATCH("R"&amp;387,정리결과!$J$6:$J$6005,0))="","",INDEX(원본명단!$F$3:$F$6002,MATCH("R"&amp;387,정리결과!$J$6:$J$6005,0))),""))</f>
        <v/>
      </c>
      <c r="H392" s="14" t="b">
        <f aca="false">IF(중복검사!$A390="",FALSE(),중복검사!$J390="유지")</f>
        <v>0</v>
      </c>
      <c r="I392" s="5" t="str">
        <f aca="false">IF($H392=FALSE(),"",COUNTIF($H$6:$H392,TRUE()))</f>
        <v/>
      </c>
      <c r="J392" s="5" t="str">
        <f aca="false">IF($I392="","","R"&amp;$I392)</f>
        <v/>
      </c>
    </row>
    <row r="393" customFormat="false" ht="15" hidden="false" customHeight="true" outlineLevel="0" collapsed="false">
      <c r="A393" s="10" t="str">
        <f aca="false">IFERROR(IF(INDEX(원본명단!$A$3:$A$6002,MATCH("R"&amp;388,정리결과!$J$6:$J$6005,0))="","",INDEX(원본명단!$A$3:$A$6002,MATCH("R"&amp;388,정리결과!$J$6:$J$6005,0))),"")</f>
        <v/>
      </c>
      <c r="B393" s="10" t="str">
        <f aca="false">IF($A393="","",IFERROR(IF(INDEX(원본명단!$B$3:$B$6002,MATCH("R"&amp;388,정리결과!$J$6:$J$6005,0))="","",INDEX(원본명단!$B$3:$B$6002,MATCH("R"&amp;388,정리결과!$J$6:$J$6005,0))),""))</f>
        <v/>
      </c>
      <c r="C393" s="10" t="str">
        <f aca="false">IF($A393="","",IFERROR(IF(INDEX(원본명단!$C$3:$C$6002,MATCH("R"&amp;388,정리결과!$J$6:$J$6005,0))="","",INDEX(원본명단!$C$3:$C$6002,MATCH("R"&amp;388,정리결과!$J$6:$J$6005,0))),""))</f>
        <v/>
      </c>
      <c r="D393" s="10" t="str">
        <f aca="false">IF($A393="","",IFERROR(IF(INDEX(원본명단!$D$3:$D$6002,MATCH("R"&amp;388,정리결과!$J$6:$J$6005,0))="","",INDEX(원본명단!$D$3:$D$6002,MATCH("R"&amp;388,정리결과!$J$6:$J$6005,0))),""))</f>
        <v/>
      </c>
      <c r="E393" s="10" t="str">
        <f aca="false">IF($A393="","",IFERROR(IF(INDEX(원본명단!$E$3:$E$6002,MATCH("R"&amp;388,정리결과!$J$6:$J$6005,0))="","",INDEX(원본명단!$E$3:$E$6002,MATCH("R"&amp;388,정리결과!$J$6:$J$6005,0))),""))</f>
        <v/>
      </c>
      <c r="F393" s="10" t="str">
        <f aca="false">IF($A393="","",IFERROR(IF(INDEX(원본명단!$F$3:$F$6002,MATCH("R"&amp;388,정리결과!$J$6:$J$6005,0))="","",INDEX(원본명단!$F$3:$F$6002,MATCH("R"&amp;388,정리결과!$J$6:$J$6005,0))),""))</f>
        <v/>
      </c>
      <c r="H393" s="14" t="b">
        <f aca="false">IF(중복검사!$A391="",FALSE(),중복검사!$J391="유지")</f>
        <v>0</v>
      </c>
      <c r="I393" s="5" t="str">
        <f aca="false">IF($H393=FALSE(),"",COUNTIF($H$6:$H393,TRUE()))</f>
        <v/>
      </c>
      <c r="J393" s="5" t="str">
        <f aca="false">IF($I393="","","R"&amp;$I393)</f>
        <v/>
      </c>
    </row>
    <row r="394" customFormat="false" ht="15" hidden="false" customHeight="true" outlineLevel="0" collapsed="false">
      <c r="A394" s="10" t="str">
        <f aca="false">IFERROR(IF(INDEX(원본명단!$A$3:$A$6002,MATCH("R"&amp;389,정리결과!$J$6:$J$6005,0))="","",INDEX(원본명단!$A$3:$A$6002,MATCH("R"&amp;389,정리결과!$J$6:$J$6005,0))),"")</f>
        <v/>
      </c>
      <c r="B394" s="10" t="str">
        <f aca="false">IF($A394="","",IFERROR(IF(INDEX(원본명단!$B$3:$B$6002,MATCH("R"&amp;389,정리결과!$J$6:$J$6005,0))="","",INDEX(원본명단!$B$3:$B$6002,MATCH("R"&amp;389,정리결과!$J$6:$J$6005,0))),""))</f>
        <v/>
      </c>
      <c r="C394" s="10" t="str">
        <f aca="false">IF($A394="","",IFERROR(IF(INDEX(원본명단!$C$3:$C$6002,MATCH("R"&amp;389,정리결과!$J$6:$J$6005,0))="","",INDEX(원본명단!$C$3:$C$6002,MATCH("R"&amp;389,정리결과!$J$6:$J$6005,0))),""))</f>
        <v/>
      </c>
      <c r="D394" s="10" t="str">
        <f aca="false">IF($A394="","",IFERROR(IF(INDEX(원본명단!$D$3:$D$6002,MATCH("R"&amp;389,정리결과!$J$6:$J$6005,0))="","",INDEX(원본명단!$D$3:$D$6002,MATCH("R"&amp;389,정리결과!$J$6:$J$6005,0))),""))</f>
        <v/>
      </c>
      <c r="E394" s="10" t="str">
        <f aca="false">IF($A394="","",IFERROR(IF(INDEX(원본명단!$E$3:$E$6002,MATCH("R"&amp;389,정리결과!$J$6:$J$6005,0))="","",INDEX(원본명단!$E$3:$E$6002,MATCH("R"&amp;389,정리결과!$J$6:$J$6005,0))),""))</f>
        <v/>
      </c>
      <c r="F394" s="10" t="str">
        <f aca="false">IF($A394="","",IFERROR(IF(INDEX(원본명단!$F$3:$F$6002,MATCH("R"&amp;389,정리결과!$J$6:$J$6005,0))="","",INDEX(원본명단!$F$3:$F$6002,MATCH("R"&amp;389,정리결과!$J$6:$J$6005,0))),""))</f>
        <v/>
      </c>
      <c r="H394" s="14" t="b">
        <f aca="false">IF(중복검사!$A392="",FALSE(),중복검사!$J392="유지")</f>
        <v>0</v>
      </c>
      <c r="I394" s="5" t="str">
        <f aca="false">IF($H394=FALSE(),"",COUNTIF($H$6:$H394,TRUE()))</f>
        <v/>
      </c>
      <c r="J394" s="5" t="str">
        <f aca="false">IF($I394="","","R"&amp;$I394)</f>
        <v/>
      </c>
    </row>
    <row r="395" customFormat="false" ht="15" hidden="false" customHeight="true" outlineLevel="0" collapsed="false">
      <c r="A395" s="10" t="str">
        <f aca="false">IFERROR(IF(INDEX(원본명단!$A$3:$A$6002,MATCH("R"&amp;390,정리결과!$J$6:$J$6005,0))="","",INDEX(원본명단!$A$3:$A$6002,MATCH("R"&amp;390,정리결과!$J$6:$J$6005,0))),"")</f>
        <v/>
      </c>
      <c r="B395" s="10" t="str">
        <f aca="false">IF($A395="","",IFERROR(IF(INDEX(원본명단!$B$3:$B$6002,MATCH("R"&amp;390,정리결과!$J$6:$J$6005,0))="","",INDEX(원본명단!$B$3:$B$6002,MATCH("R"&amp;390,정리결과!$J$6:$J$6005,0))),""))</f>
        <v/>
      </c>
      <c r="C395" s="10" t="str">
        <f aca="false">IF($A395="","",IFERROR(IF(INDEX(원본명단!$C$3:$C$6002,MATCH("R"&amp;390,정리결과!$J$6:$J$6005,0))="","",INDEX(원본명단!$C$3:$C$6002,MATCH("R"&amp;390,정리결과!$J$6:$J$6005,0))),""))</f>
        <v/>
      </c>
      <c r="D395" s="10" t="str">
        <f aca="false">IF($A395="","",IFERROR(IF(INDEX(원본명단!$D$3:$D$6002,MATCH("R"&amp;390,정리결과!$J$6:$J$6005,0))="","",INDEX(원본명단!$D$3:$D$6002,MATCH("R"&amp;390,정리결과!$J$6:$J$6005,0))),""))</f>
        <v/>
      </c>
      <c r="E395" s="10" t="str">
        <f aca="false">IF($A395="","",IFERROR(IF(INDEX(원본명단!$E$3:$E$6002,MATCH("R"&amp;390,정리결과!$J$6:$J$6005,0))="","",INDEX(원본명단!$E$3:$E$6002,MATCH("R"&amp;390,정리결과!$J$6:$J$6005,0))),""))</f>
        <v/>
      </c>
      <c r="F395" s="10" t="str">
        <f aca="false">IF($A395="","",IFERROR(IF(INDEX(원본명단!$F$3:$F$6002,MATCH("R"&amp;390,정리결과!$J$6:$J$6005,0))="","",INDEX(원본명단!$F$3:$F$6002,MATCH("R"&amp;390,정리결과!$J$6:$J$6005,0))),""))</f>
        <v/>
      </c>
      <c r="H395" s="14" t="b">
        <f aca="false">IF(중복검사!$A393="",FALSE(),중복검사!$J393="유지")</f>
        <v>0</v>
      </c>
      <c r="I395" s="5" t="str">
        <f aca="false">IF($H395=FALSE(),"",COUNTIF($H$6:$H395,TRUE()))</f>
        <v/>
      </c>
      <c r="J395" s="5" t="str">
        <f aca="false">IF($I395="","","R"&amp;$I395)</f>
        <v/>
      </c>
    </row>
    <row r="396" customFormat="false" ht="15" hidden="false" customHeight="true" outlineLevel="0" collapsed="false">
      <c r="A396" s="10" t="str">
        <f aca="false">IFERROR(IF(INDEX(원본명단!$A$3:$A$6002,MATCH("R"&amp;391,정리결과!$J$6:$J$6005,0))="","",INDEX(원본명단!$A$3:$A$6002,MATCH("R"&amp;391,정리결과!$J$6:$J$6005,0))),"")</f>
        <v/>
      </c>
      <c r="B396" s="10" t="str">
        <f aca="false">IF($A396="","",IFERROR(IF(INDEX(원본명단!$B$3:$B$6002,MATCH("R"&amp;391,정리결과!$J$6:$J$6005,0))="","",INDEX(원본명단!$B$3:$B$6002,MATCH("R"&amp;391,정리결과!$J$6:$J$6005,0))),""))</f>
        <v/>
      </c>
      <c r="C396" s="10" t="str">
        <f aca="false">IF($A396="","",IFERROR(IF(INDEX(원본명단!$C$3:$C$6002,MATCH("R"&amp;391,정리결과!$J$6:$J$6005,0))="","",INDEX(원본명단!$C$3:$C$6002,MATCH("R"&amp;391,정리결과!$J$6:$J$6005,0))),""))</f>
        <v/>
      </c>
      <c r="D396" s="10" t="str">
        <f aca="false">IF($A396="","",IFERROR(IF(INDEX(원본명단!$D$3:$D$6002,MATCH("R"&amp;391,정리결과!$J$6:$J$6005,0))="","",INDEX(원본명단!$D$3:$D$6002,MATCH("R"&amp;391,정리결과!$J$6:$J$6005,0))),""))</f>
        <v/>
      </c>
      <c r="E396" s="10" t="str">
        <f aca="false">IF($A396="","",IFERROR(IF(INDEX(원본명단!$E$3:$E$6002,MATCH("R"&amp;391,정리결과!$J$6:$J$6005,0))="","",INDEX(원본명단!$E$3:$E$6002,MATCH("R"&amp;391,정리결과!$J$6:$J$6005,0))),""))</f>
        <v/>
      </c>
      <c r="F396" s="10" t="str">
        <f aca="false">IF($A396="","",IFERROR(IF(INDEX(원본명단!$F$3:$F$6002,MATCH("R"&amp;391,정리결과!$J$6:$J$6005,0))="","",INDEX(원본명단!$F$3:$F$6002,MATCH("R"&amp;391,정리결과!$J$6:$J$6005,0))),""))</f>
        <v/>
      </c>
      <c r="H396" s="14" t="b">
        <f aca="false">IF(중복검사!$A394="",FALSE(),중복검사!$J394="유지")</f>
        <v>0</v>
      </c>
      <c r="I396" s="5" t="str">
        <f aca="false">IF($H396=FALSE(),"",COUNTIF($H$6:$H396,TRUE()))</f>
        <v/>
      </c>
      <c r="J396" s="5" t="str">
        <f aca="false">IF($I396="","","R"&amp;$I396)</f>
        <v/>
      </c>
    </row>
    <row r="397" customFormat="false" ht="15" hidden="false" customHeight="true" outlineLevel="0" collapsed="false">
      <c r="A397" s="10" t="str">
        <f aca="false">IFERROR(IF(INDEX(원본명단!$A$3:$A$6002,MATCH("R"&amp;392,정리결과!$J$6:$J$6005,0))="","",INDEX(원본명단!$A$3:$A$6002,MATCH("R"&amp;392,정리결과!$J$6:$J$6005,0))),"")</f>
        <v/>
      </c>
      <c r="B397" s="10" t="str">
        <f aca="false">IF($A397="","",IFERROR(IF(INDEX(원본명단!$B$3:$B$6002,MATCH("R"&amp;392,정리결과!$J$6:$J$6005,0))="","",INDEX(원본명단!$B$3:$B$6002,MATCH("R"&amp;392,정리결과!$J$6:$J$6005,0))),""))</f>
        <v/>
      </c>
      <c r="C397" s="10" t="str">
        <f aca="false">IF($A397="","",IFERROR(IF(INDEX(원본명단!$C$3:$C$6002,MATCH("R"&amp;392,정리결과!$J$6:$J$6005,0))="","",INDEX(원본명단!$C$3:$C$6002,MATCH("R"&amp;392,정리결과!$J$6:$J$6005,0))),""))</f>
        <v/>
      </c>
      <c r="D397" s="10" t="str">
        <f aca="false">IF($A397="","",IFERROR(IF(INDEX(원본명단!$D$3:$D$6002,MATCH("R"&amp;392,정리결과!$J$6:$J$6005,0))="","",INDEX(원본명단!$D$3:$D$6002,MATCH("R"&amp;392,정리결과!$J$6:$J$6005,0))),""))</f>
        <v/>
      </c>
      <c r="E397" s="10" t="str">
        <f aca="false">IF($A397="","",IFERROR(IF(INDEX(원본명단!$E$3:$E$6002,MATCH("R"&amp;392,정리결과!$J$6:$J$6005,0))="","",INDEX(원본명단!$E$3:$E$6002,MATCH("R"&amp;392,정리결과!$J$6:$J$6005,0))),""))</f>
        <v/>
      </c>
      <c r="F397" s="10" t="str">
        <f aca="false">IF($A397="","",IFERROR(IF(INDEX(원본명단!$F$3:$F$6002,MATCH("R"&amp;392,정리결과!$J$6:$J$6005,0))="","",INDEX(원본명단!$F$3:$F$6002,MATCH("R"&amp;392,정리결과!$J$6:$J$6005,0))),""))</f>
        <v/>
      </c>
      <c r="H397" s="14" t="b">
        <f aca="false">IF(중복검사!$A395="",FALSE(),중복검사!$J395="유지")</f>
        <v>0</v>
      </c>
      <c r="I397" s="5" t="str">
        <f aca="false">IF($H397=FALSE(),"",COUNTIF($H$6:$H397,TRUE()))</f>
        <v/>
      </c>
      <c r="J397" s="5" t="str">
        <f aca="false">IF($I397="","","R"&amp;$I397)</f>
        <v/>
      </c>
    </row>
    <row r="398" customFormat="false" ht="15" hidden="false" customHeight="true" outlineLevel="0" collapsed="false">
      <c r="A398" s="10" t="str">
        <f aca="false">IFERROR(IF(INDEX(원본명단!$A$3:$A$6002,MATCH("R"&amp;393,정리결과!$J$6:$J$6005,0))="","",INDEX(원본명단!$A$3:$A$6002,MATCH("R"&amp;393,정리결과!$J$6:$J$6005,0))),"")</f>
        <v/>
      </c>
      <c r="B398" s="10" t="str">
        <f aca="false">IF($A398="","",IFERROR(IF(INDEX(원본명단!$B$3:$B$6002,MATCH("R"&amp;393,정리결과!$J$6:$J$6005,0))="","",INDEX(원본명단!$B$3:$B$6002,MATCH("R"&amp;393,정리결과!$J$6:$J$6005,0))),""))</f>
        <v/>
      </c>
      <c r="C398" s="10" t="str">
        <f aca="false">IF($A398="","",IFERROR(IF(INDEX(원본명단!$C$3:$C$6002,MATCH("R"&amp;393,정리결과!$J$6:$J$6005,0))="","",INDEX(원본명단!$C$3:$C$6002,MATCH("R"&amp;393,정리결과!$J$6:$J$6005,0))),""))</f>
        <v/>
      </c>
      <c r="D398" s="10" t="str">
        <f aca="false">IF($A398="","",IFERROR(IF(INDEX(원본명단!$D$3:$D$6002,MATCH("R"&amp;393,정리결과!$J$6:$J$6005,0))="","",INDEX(원본명단!$D$3:$D$6002,MATCH("R"&amp;393,정리결과!$J$6:$J$6005,0))),""))</f>
        <v/>
      </c>
      <c r="E398" s="10" t="str">
        <f aca="false">IF($A398="","",IFERROR(IF(INDEX(원본명단!$E$3:$E$6002,MATCH("R"&amp;393,정리결과!$J$6:$J$6005,0))="","",INDEX(원본명단!$E$3:$E$6002,MATCH("R"&amp;393,정리결과!$J$6:$J$6005,0))),""))</f>
        <v/>
      </c>
      <c r="F398" s="10" t="str">
        <f aca="false">IF($A398="","",IFERROR(IF(INDEX(원본명단!$F$3:$F$6002,MATCH("R"&amp;393,정리결과!$J$6:$J$6005,0))="","",INDEX(원본명단!$F$3:$F$6002,MATCH("R"&amp;393,정리결과!$J$6:$J$6005,0))),""))</f>
        <v/>
      </c>
      <c r="H398" s="14" t="b">
        <f aca="false">IF(중복검사!$A396="",FALSE(),중복검사!$J396="유지")</f>
        <v>0</v>
      </c>
      <c r="I398" s="5" t="str">
        <f aca="false">IF($H398=FALSE(),"",COUNTIF($H$6:$H398,TRUE()))</f>
        <v/>
      </c>
      <c r="J398" s="5" t="str">
        <f aca="false">IF($I398="","","R"&amp;$I398)</f>
        <v/>
      </c>
    </row>
    <row r="399" customFormat="false" ht="15" hidden="false" customHeight="true" outlineLevel="0" collapsed="false">
      <c r="A399" s="10" t="str">
        <f aca="false">IFERROR(IF(INDEX(원본명단!$A$3:$A$6002,MATCH("R"&amp;394,정리결과!$J$6:$J$6005,0))="","",INDEX(원본명단!$A$3:$A$6002,MATCH("R"&amp;394,정리결과!$J$6:$J$6005,0))),"")</f>
        <v/>
      </c>
      <c r="B399" s="10" t="str">
        <f aca="false">IF($A399="","",IFERROR(IF(INDEX(원본명단!$B$3:$B$6002,MATCH("R"&amp;394,정리결과!$J$6:$J$6005,0))="","",INDEX(원본명단!$B$3:$B$6002,MATCH("R"&amp;394,정리결과!$J$6:$J$6005,0))),""))</f>
        <v/>
      </c>
      <c r="C399" s="10" t="str">
        <f aca="false">IF($A399="","",IFERROR(IF(INDEX(원본명단!$C$3:$C$6002,MATCH("R"&amp;394,정리결과!$J$6:$J$6005,0))="","",INDEX(원본명단!$C$3:$C$6002,MATCH("R"&amp;394,정리결과!$J$6:$J$6005,0))),""))</f>
        <v/>
      </c>
      <c r="D399" s="10" t="str">
        <f aca="false">IF($A399="","",IFERROR(IF(INDEX(원본명단!$D$3:$D$6002,MATCH("R"&amp;394,정리결과!$J$6:$J$6005,0))="","",INDEX(원본명단!$D$3:$D$6002,MATCH("R"&amp;394,정리결과!$J$6:$J$6005,0))),""))</f>
        <v/>
      </c>
      <c r="E399" s="10" t="str">
        <f aca="false">IF($A399="","",IFERROR(IF(INDEX(원본명단!$E$3:$E$6002,MATCH("R"&amp;394,정리결과!$J$6:$J$6005,0))="","",INDEX(원본명단!$E$3:$E$6002,MATCH("R"&amp;394,정리결과!$J$6:$J$6005,0))),""))</f>
        <v/>
      </c>
      <c r="F399" s="10" t="str">
        <f aca="false">IF($A399="","",IFERROR(IF(INDEX(원본명단!$F$3:$F$6002,MATCH("R"&amp;394,정리결과!$J$6:$J$6005,0))="","",INDEX(원본명단!$F$3:$F$6002,MATCH("R"&amp;394,정리결과!$J$6:$J$6005,0))),""))</f>
        <v/>
      </c>
      <c r="H399" s="14" t="b">
        <f aca="false">IF(중복검사!$A397="",FALSE(),중복검사!$J397="유지")</f>
        <v>0</v>
      </c>
      <c r="I399" s="5" t="str">
        <f aca="false">IF($H399=FALSE(),"",COUNTIF($H$6:$H399,TRUE()))</f>
        <v/>
      </c>
      <c r="J399" s="5" t="str">
        <f aca="false">IF($I399="","","R"&amp;$I399)</f>
        <v/>
      </c>
    </row>
    <row r="400" customFormat="false" ht="15" hidden="false" customHeight="true" outlineLevel="0" collapsed="false">
      <c r="A400" s="10" t="str">
        <f aca="false">IFERROR(IF(INDEX(원본명단!$A$3:$A$6002,MATCH("R"&amp;395,정리결과!$J$6:$J$6005,0))="","",INDEX(원본명단!$A$3:$A$6002,MATCH("R"&amp;395,정리결과!$J$6:$J$6005,0))),"")</f>
        <v/>
      </c>
      <c r="B400" s="10" t="str">
        <f aca="false">IF($A400="","",IFERROR(IF(INDEX(원본명단!$B$3:$B$6002,MATCH("R"&amp;395,정리결과!$J$6:$J$6005,0))="","",INDEX(원본명단!$B$3:$B$6002,MATCH("R"&amp;395,정리결과!$J$6:$J$6005,0))),""))</f>
        <v/>
      </c>
      <c r="C400" s="10" t="str">
        <f aca="false">IF($A400="","",IFERROR(IF(INDEX(원본명단!$C$3:$C$6002,MATCH("R"&amp;395,정리결과!$J$6:$J$6005,0))="","",INDEX(원본명단!$C$3:$C$6002,MATCH("R"&amp;395,정리결과!$J$6:$J$6005,0))),""))</f>
        <v/>
      </c>
      <c r="D400" s="10" t="str">
        <f aca="false">IF($A400="","",IFERROR(IF(INDEX(원본명단!$D$3:$D$6002,MATCH("R"&amp;395,정리결과!$J$6:$J$6005,0))="","",INDEX(원본명단!$D$3:$D$6002,MATCH("R"&amp;395,정리결과!$J$6:$J$6005,0))),""))</f>
        <v/>
      </c>
      <c r="E400" s="10" t="str">
        <f aca="false">IF($A400="","",IFERROR(IF(INDEX(원본명단!$E$3:$E$6002,MATCH("R"&amp;395,정리결과!$J$6:$J$6005,0))="","",INDEX(원본명단!$E$3:$E$6002,MATCH("R"&amp;395,정리결과!$J$6:$J$6005,0))),""))</f>
        <v/>
      </c>
      <c r="F400" s="10" t="str">
        <f aca="false">IF($A400="","",IFERROR(IF(INDEX(원본명단!$F$3:$F$6002,MATCH("R"&amp;395,정리결과!$J$6:$J$6005,0))="","",INDEX(원본명단!$F$3:$F$6002,MATCH("R"&amp;395,정리결과!$J$6:$J$6005,0))),""))</f>
        <v/>
      </c>
      <c r="H400" s="14" t="b">
        <f aca="false">IF(중복검사!$A398="",FALSE(),중복검사!$J398="유지")</f>
        <v>0</v>
      </c>
      <c r="I400" s="5" t="str">
        <f aca="false">IF($H400=FALSE(),"",COUNTIF($H$6:$H400,TRUE()))</f>
        <v/>
      </c>
      <c r="J400" s="5" t="str">
        <f aca="false">IF($I400="","","R"&amp;$I400)</f>
        <v/>
      </c>
    </row>
    <row r="401" customFormat="false" ht="15" hidden="false" customHeight="true" outlineLevel="0" collapsed="false">
      <c r="A401" s="10" t="str">
        <f aca="false">IFERROR(IF(INDEX(원본명단!$A$3:$A$6002,MATCH("R"&amp;396,정리결과!$J$6:$J$6005,0))="","",INDEX(원본명단!$A$3:$A$6002,MATCH("R"&amp;396,정리결과!$J$6:$J$6005,0))),"")</f>
        <v/>
      </c>
      <c r="B401" s="10" t="str">
        <f aca="false">IF($A401="","",IFERROR(IF(INDEX(원본명단!$B$3:$B$6002,MATCH("R"&amp;396,정리결과!$J$6:$J$6005,0))="","",INDEX(원본명단!$B$3:$B$6002,MATCH("R"&amp;396,정리결과!$J$6:$J$6005,0))),""))</f>
        <v/>
      </c>
      <c r="C401" s="10" t="str">
        <f aca="false">IF($A401="","",IFERROR(IF(INDEX(원본명단!$C$3:$C$6002,MATCH("R"&amp;396,정리결과!$J$6:$J$6005,0))="","",INDEX(원본명단!$C$3:$C$6002,MATCH("R"&amp;396,정리결과!$J$6:$J$6005,0))),""))</f>
        <v/>
      </c>
      <c r="D401" s="10" t="str">
        <f aca="false">IF($A401="","",IFERROR(IF(INDEX(원본명단!$D$3:$D$6002,MATCH("R"&amp;396,정리결과!$J$6:$J$6005,0))="","",INDEX(원본명단!$D$3:$D$6002,MATCH("R"&amp;396,정리결과!$J$6:$J$6005,0))),""))</f>
        <v/>
      </c>
      <c r="E401" s="10" t="str">
        <f aca="false">IF($A401="","",IFERROR(IF(INDEX(원본명단!$E$3:$E$6002,MATCH("R"&amp;396,정리결과!$J$6:$J$6005,0))="","",INDEX(원본명단!$E$3:$E$6002,MATCH("R"&amp;396,정리결과!$J$6:$J$6005,0))),""))</f>
        <v/>
      </c>
      <c r="F401" s="10" t="str">
        <f aca="false">IF($A401="","",IFERROR(IF(INDEX(원본명단!$F$3:$F$6002,MATCH("R"&amp;396,정리결과!$J$6:$J$6005,0))="","",INDEX(원본명단!$F$3:$F$6002,MATCH("R"&amp;396,정리결과!$J$6:$J$6005,0))),""))</f>
        <v/>
      </c>
      <c r="H401" s="14" t="b">
        <f aca="false">IF(중복검사!$A399="",FALSE(),중복검사!$J399="유지")</f>
        <v>0</v>
      </c>
      <c r="I401" s="5" t="str">
        <f aca="false">IF($H401=FALSE(),"",COUNTIF($H$6:$H401,TRUE()))</f>
        <v/>
      </c>
      <c r="J401" s="5" t="str">
        <f aca="false">IF($I401="","","R"&amp;$I401)</f>
        <v/>
      </c>
    </row>
    <row r="402" customFormat="false" ht="15" hidden="false" customHeight="true" outlineLevel="0" collapsed="false">
      <c r="A402" s="10" t="str">
        <f aca="false">IFERROR(IF(INDEX(원본명단!$A$3:$A$6002,MATCH("R"&amp;397,정리결과!$J$6:$J$6005,0))="","",INDEX(원본명단!$A$3:$A$6002,MATCH("R"&amp;397,정리결과!$J$6:$J$6005,0))),"")</f>
        <v/>
      </c>
      <c r="B402" s="10" t="str">
        <f aca="false">IF($A402="","",IFERROR(IF(INDEX(원본명단!$B$3:$B$6002,MATCH("R"&amp;397,정리결과!$J$6:$J$6005,0))="","",INDEX(원본명단!$B$3:$B$6002,MATCH("R"&amp;397,정리결과!$J$6:$J$6005,0))),""))</f>
        <v/>
      </c>
      <c r="C402" s="10" t="str">
        <f aca="false">IF($A402="","",IFERROR(IF(INDEX(원본명단!$C$3:$C$6002,MATCH("R"&amp;397,정리결과!$J$6:$J$6005,0))="","",INDEX(원본명단!$C$3:$C$6002,MATCH("R"&amp;397,정리결과!$J$6:$J$6005,0))),""))</f>
        <v/>
      </c>
      <c r="D402" s="10" t="str">
        <f aca="false">IF($A402="","",IFERROR(IF(INDEX(원본명단!$D$3:$D$6002,MATCH("R"&amp;397,정리결과!$J$6:$J$6005,0))="","",INDEX(원본명단!$D$3:$D$6002,MATCH("R"&amp;397,정리결과!$J$6:$J$6005,0))),""))</f>
        <v/>
      </c>
      <c r="E402" s="10" t="str">
        <f aca="false">IF($A402="","",IFERROR(IF(INDEX(원본명단!$E$3:$E$6002,MATCH("R"&amp;397,정리결과!$J$6:$J$6005,0))="","",INDEX(원본명단!$E$3:$E$6002,MATCH("R"&amp;397,정리결과!$J$6:$J$6005,0))),""))</f>
        <v/>
      </c>
      <c r="F402" s="10" t="str">
        <f aca="false">IF($A402="","",IFERROR(IF(INDEX(원본명단!$F$3:$F$6002,MATCH("R"&amp;397,정리결과!$J$6:$J$6005,0))="","",INDEX(원본명단!$F$3:$F$6002,MATCH("R"&amp;397,정리결과!$J$6:$J$6005,0))),""))</f>
        <v/>
      </c>
      <c r="H402" s="14" t="b">
        <f aca="false">IF(중복검사!$A400="",FALSE(),중복검사!$J400="유지")</f>
        <v>0</v>
      </c>
      <c r="I402" s="5" t="str">
        <f aca="false">IF($H402=FALSE(),"",COUNTIF($H$6:$H402,TRUE()))</f>
        <v/>
      </c>
      <c r="J402" s="5" t="str">
        <f aca="false">IF($I402="","","R"&amp;$I402)</f>
        <v/>
      </c>
    </row>
    <row r="403" customFormat="false" ht="15" hidden="false" customHeight="true" outlineLevel="0" collapsed="false">
      <c r="A403" s="10" t="str">
        <f aca="false">IFERROR(IF(INDEX(원본명단!$A$3:$A$6002,MATCH("R"&amp;398,정리결과!$J$6:$J$6005,0))="","",INDEX(원본명단!$A$3:$A$6002,MATCH("R"&amp;398,정리결과!$J$6:$J$6005,0))),"")</f>
        <v/>
      </c>
      <c r="B403" s="10" t="str">
        <f aca="false">IF($A403="","",IFERROR(IF(INDEX(원본명단!$B$3:$B$6002,MATCH("R"&amp;398,정리결과!$J$6:$J$6005,0))="","",INDEX(원본명단!$B$3:$B$6002,MATCH("R"&amp;398,정리결과!$J$6:$J$6005,0))),""))</f>
        <v/>
      </c>
      <c r="C403" s="10" t="str">
        <f aca="false">IF($A403="","",IFERROR(IF(INDEX(원본명단!$C$3:$C$6002,MATCH("R"&amp;398,정리결과!$J$6:$J$6005,0))="","",INDEX(원본명단!$C$3:$C$6002,MATCH("R"&amp;398,정리결과!$J$6:$J$6005,0))),""))</f>
        <v/>
      </c>
      <c r="D403" s="10" t="str">
        <f aca="false">IF($A403="","",IFERROR(IF(INDEX(원본명단!$D$3:$D$6002,MATCH("R"&amp;398,정리결과!$J$6:$J$6005,0))="","",INDEX(원본명단!$D$3:$D$6002,MATCH("R"&amp;398,정리결과!$J$6:$J$6005,0))),""))</f>
        <v/>
      </c>
      <c r="E403" s="10" t="str">
        <f aca="false">IF($A403="","",IFERROR(IF(INDEX(원본명단!$E$3:$E$6002,MATCH("R"&amp;398,정리결과!$J$6:$J$6005,0))="","",INDEX(원본명단!$E$3:$E$6002,MATCH("R"&amp;398,정리결과!$J$6:$J$6005,0))),""))</f>
        <v/>
      </c>
      <c r="F403" s="10" t="str">
        <f aca="false">IF($A403="","",IFERROR(IF(INDEX(원본명단!$F$3:$F$6002,MATCH("R"&amp;398,정리결과!$J$6:$J$6005,0))="","",INDEX(원본명단!$F$3:$F$6002,MATCH("R"&amp;398,정리결과!$J$6:$J$6005,0))),""))</f>
        <v/>
      </c>
      <c r="H403" s="14" t="b">
        <f aca="false">IF(중복검사!$A401="",FALSE(),중복검사!$J401="유지")</f>
        <v>0</v>
      </c>
      <c r="I403" s="5" t="str">
        <f aca="false">IF($H403=FALSE(),"",COUNTIF($H$6:$H403,TRUE()))</f>
        <v/>
      </c>
      <c r="J403" s="5" t="str">
        <f aca="false">IF($I403="","","R"&amp;$I403)</f>
        <v/>
      </c>
    </row>
    <row r="404" customFormat="false" ht="15" hidden="false" customHeight="true" outlineLevel="0" collapsed="false">
      <c r="A404" s="10" t="str">
        <f aca="false">IFERROR(IF(INDEX(원본명단!$A$3:$A$6002,MATCH("R"&amp;399,정리결과!$J$6:$J$6005,0))="","",INDEX(원본명단!$A$3:$A$6002,MATCH("R"&amp;399,정리결과!$J$6:$J$6005,0))),"")</f>
        <v/>
      </c>
      <c r="B404" s="10" t="str">
        <f aca="false">IF($A404="","",IFERROR(IF(INDEX(원본명단!$B$3:$B$6002,MATCH("R"&amp;399,정리결과!$J$6:$J$6005,0))="","",INDEX(원본명단!$B$3:$B$6002,MATCH("R"&amp;399,정리결과!$J$6:$J$6005,0))),""))</f>
        <v/>
      </c>
      <c r="C404" s="10" t="str">
        <f aca="false">IF($A404="","",IFERROR(IF(INDEX(원본명단!$C$3:$C$6002,MATCH("R"&amp;399,정리결과!$J$6:$J$6005,0))="","",INDEX(원본명단!$C$3:$C$6002,MATCH("R"&amp;399,정리결과!$J$6:$J$6005,0))),""))</f>
        <v/>
      </c>
      <c r="D404" s="10" t="str">
        <f aca="false">IF($A404="","",IFERROR(IF(INDEX(원본명단!$D$3:$D$6002,MATCH("R"&amp;399,정리결과!$J$6:$J$6005,0))="","",INDEX(원본명단!$D$3:$D$6002,MATCH("R"&amp;399,정리결과!$J$6:$J$6005,0))),""))</f>
        <v/>
      </c>
      <c r="E404" s="10" t="str">
        <f aca="false">IF($A404="","",IFERROR(IF(INDEX(원본명단!$E$3:$E$6002,MATCH("R"&amp;399,정리결과!$J$6:$J$6005,0))="","",INDEX(원본명단!$E$3:$E$6002,MATCH("R"&amp;399,정리결과!$J$6:$J$6005,0))),""))</f>
        <v/>
      </c>
      <c r="F404" s="10" t="str">
        <f aca="false">IF($A404="","",IFERROR(IF(INDEX(원본명단!$F$3:$F$6002,MATCH("R"&amp;399,정리결과!$J$6:$J$6005,0))="","",INDEX(원본명단!$F$3:$F$6002,MATCH("R"&amp;399,정리결과!$J$6:$J$6005,0))),""))</f>
        <v/>
      </c>
      <c r="H404" s="14" t="b">
        <f aca="false">IF(중복검사!$A402="",FALSE(),중복검사!$J402="유지")</f>
        <v>0</v>
      </c>
      <c r="I404" s="5" t="str">
        <f aca="false">IF($H404=FALSE(),"",COUNTIF($H$6:$H404,TRUE()))</f>
        <v/>
      </c>
      <c r="J404" s="5" t="str">
        <f aca="false">IF($I404="","","R"&amp;$I404)</f>
        <v/>
      </c>
    </row>
    <row r="405" customFormat="false" ht="15" hidden="false" customHeight="true" outlineLevel="0" collapsed="false">
      <c r="A405" s="10" t="str">
        <f aca="false">IFERROR(IF(INDEX(원본명단!$A$3:$A$6002,MATCH("R"&amp;400,정리결과!$J$6:$J$6005,0))="","",INDEX(원본명단!$A$3:$A$6002,MATCH("R"&amp;400,정리결과!$J$6:$J$6005,0))),"")</f>
        <v/>
      </c>
      <c r="B405" s="10" t="str">
        <f aca="false">IF($A405="","",IFERROR(IF(INDEX(원본명단!$B$3:$B$6002,MATCH("R"&amp;400,정리결과!$J$6:$J$6005,0))="","",INDEX(원본명단!$B$3:$B$6002,MATCH("R"&amp;400,정리결과!$J$6:$J$6005,0))),""))</f>
        <v/>
      </c>
      <c r="C405" s="10" t="str">
        <f aca="false">IF($A405="","",IFERROR(IF(INDEX(원본명단!$C$3:$C$6002,MATCH("R"&amp;400,정리결과!$J$6:$J$6005,0))="","",INDEX(원본명단!$C$3:$C$6002,MATCH("R"&amp;400,정리결과!$J$6:$J$6005,0))),""))</f>
        <v/>
      </c>
      <c r="D405" s="10" t="str">
        <f aca="false">IF($A405="","",IFERROR(IF(INDEX(원본명단!$D$3:$D$6002,MATCH("R"&amp;400,정리결과!$J$6:$J$6005,0))="","",INDEX(원본명단!$D$3:$D$6002,MATCH("R"&amp;400,정리결과!$J$6:$J$6005,0))),""))</f>
        <v/>
      </c>
      <c r="E405" s="10" t="str">
        <f aca="false">IF($A405="","",IFERROR(IF(INDEX(원본명단!$E$3:$E$6002,MATCH("R"&amp;400,정리결과!$J$6:$J$6005,0))="","",INDEX(원본명단!$E$3:$E$6002,MATCH("R"&amp;400,정리결과!$J$6:$J$6005,0))),""))</f>
        <v/>
      </c>
      <c r="F405" s="10" t="str">
        <f aca="false">IF($A405="","",IFERROR(IF(INDEX(원본명단!$F$3:$F$6002,MATCH("R"&amp;400,정리결과!$J$6:$J$6005,0))="","",INDEX(원본명단!$F$3:$F$6002,MATCH("R"&amp;400,정리결과!$J$6:$J$6005,0))),""))</f>
        <v/>
      </c>
      <c r="H405" s="14" t="b">
        <f aca="false">IF(중복검사!$A403="",FALSE(),중복검사!$J403="유지")</f>
        <v>0</v>
      </c>
      <c r="I405" s="5" t="str">
        <f aca="false">IF($H405=FALSE(),"",COUNTIF($H$6:$H405,TRUE()))</f>
        <v/>
      </c>
      <c r="J405" s="5" t="str">
        <f aca="false">IF($I405="","","R"&amp;$I405)</f>
        <v/>
      </c>
    </row>
    <row r="406" customFormat="false" ht="15" hidden="false" customHeight="true" outlineLevel="0" collapsed="false">
      <c r="A406" s="10" t="str">
        <f aca="false">IFERROR(IF(INDEX(원본명단!$A$3:$A$6002,MATCH("R"&amp;401,정리결과!$J$6:$J$6005,0))="","",INDEX(원본명단!$A$3:$A$6002,MATCH("R"&amp;401,정리결과!$J$6:$J$6005,0))),"")</f>
        <v/>
      </c>
      <c r="B406" s="10" t="str">
        <f aca="false">IF($A406="","",IFERROR(IF(INDEX(원본명단!$B$3:$B$6002,MATCH("R"&amp;401,정리결과!$J$6:$J$6005,0))="","",INDEX(원본명단!$B$3:$B$6002,MATCH("R"&amp;401,정리결과!$J$6:$J$6005,0))),""))</f>
        <v/>
      </c>
      <c r="C406" s="10" t="str">
        <f aca="false">IF($A406="","",IFERROR(IF(INDEX(원본명단!$C$3:$C$6002,MATCH("R"&amp;401,정리결과!$J$6:$J$6005,0))="","",INDEX(원본명단!$C$3:$C$6002,MATCH("R"&amp;401,정리결과!$J$6:$J$6005,0))),""))</f>
        <v/>
      </c>
      <c r="D406" s="10" t="str">
        <f aca="false">IF($A406="","",IFERROR(IF(INDEX(원본명단!$D$3:$D$6002,MATCH("R"&amp;401,정리결과!$J$6:$J$6005,0))="","",INDEX(원본명단!$D$3:$D$6002,MATCH("R"&amp;401,정리결과!$J$6:$J$6005,0))),""))</f>
        <v/>
      </c>
      <c r="E406" s="10" t="str">
        <f aca="false">IF($A406="","",IFERROR(IF(INDEX(원본명단!$E$3:$E$6002,MATCH("R"&amp;401,정리결과!$J$6:$J$6005,0))="","",INDEX(원본명단!$E$3:$E$6002,MATCH("R"&amp;401,정리결과!$J$6:$J$6005,0))),""))</f>
        <v/>
      </c>
      <c r="F406" s="10" t="str">
        <f aca="false">IF($A406="","",IFERROR(IF(INDEX(원본명단!$F$3:$F$6002,MATCH("R"&amp;401,정리결과!$J$6:$J$6005,0))="","",INDEX(원본명단!$F$3:$F$6002,MATCH("R"&amp;401,정리결과!$J$6:$J$6005,0))),""))</f>
        <v/>
      </c>
      <c r="H406" s="14" t="b">
        <f aca="false">IF(중복검사!$A404="",FALSE(),중복검사!$J404="유지")</f>
        <v>0</v>
      </c>
      <c r="I406" s="5" t="str">
        <f aca="false">IF($H406=FALSE(),"",COUNTIF($H$6:$H406,TRUE()))</f>
        <v/>
      </c>
      <c r="J406" s="5" t="str">
        <f aca="false">IF($I406="","","R"&amp;$I406)</f>
        <v/>
      </c>
    </row>
    <row r="407" customFormat="false" ht="15" hidden="false" customHeight="true" outlineLevel="0" collapsed="false">
      <c r="A407" s="10" t="str">
        <f aca="false">IFERROR(IF(INDEX(원본명단!$A$3:$A$6002,MATCH("R"&amp;402,정리결과!$J$6:$J$6005,0))="","",INDEX(원본명단!$A$3:$A$6002,MATCH("R"&amp;402,정리결과!$J$6:$J$6005,0))),"")</f>
        <v/>
      </c>
      <c r="B407" s="10" t="str">
        <f aca="false">IF($A407="","",IFERROR(IF(INDEX(원본명단!$B$3:$B$6002,MATCH("R"&amp;402,정리결과!$J$6:$J$6005,0))="","",INDEX(원본명단!$B$3:$B$6002,MATCH("R"&amp;402,정리결과!$J$6:$J$6005,0))),""))</f>
        <v/>
      </c>
      <c r="C407" s="10" t="str">
        <f aca="false">IF($A407="","",IFERROR(IF(INDEX(원본명단!$C$3:$C$6002,MATCH("R"&amp;402,정리결과!$J$6:$J$6005,0))="","",INDEX(원본명단!$C$3:$C$6002,MATCH("R"&amp;402,정리결과!$J$6:$J$6005,0))),""))</f>
        <v/>
      </c>
      <c r="D407" s="10" t="str">
        <f aca="false">IF($A407="","",IFERROR(IF(INDEX(원본명단!$D$3:$D$6002,MATCH("R"&amp;402,정리결과!$J$6:$J$6005,0))="","",INDEX(원본명단!$D$3:$D$6002,MATCH("R"&amp;402,정리결과!$J$6:$J$6005,0))),""))</f>
        <v/>
      </c>
      <c r="E407" s="10" t="str">
        <f aca="false">IF($A407="","",IFERROR(IF(INDEX(원본명단!$E$3:$E$6002,MATCH("R"&amp;402,정리결과!$J$6:$J$6005,0))="","",INDEX(원본명단!$E$3:$E$6002,MATCH("R"&amp;402,정리결과!$J$6:$J$6005,0))),""))</f>
        <v/>
      </c>
      <c r="F407" s="10" t="str">
        <f aca="false">IF($A407="","",IFERROR(IF(INDEX(원본명단!$F$3:$F$6002,MATCH("R"&amp;402,정리결과!$J$6:$J$6005,0))="","",INDEX(원본명단!$F$3:$F$6002,MATCH("R"&amp;402,정리결과!$J$6:$J$6005,0))),""))</f>
        <v/>
      </c>
      <c r="H407" s="14" t="b">
        <f aca="false">IF(중복검사!$A405="",FALSE(),중복검사!$J405="유지")</f>
        <v>0</v>
      </c>
      <c r="I407" s="5" t="str">
        <f aca="false">IF($H407=FALSE(),"",COUNTIF($H$6:$H407,TRUE()))</f>
        <v/>
      </c>
      <c r="J407" s="5" t="str">
        <f aca="false">IF($I407="","","R"&amp;$I407)</f>
        <v/>
      </c>
    </row>
    <row r="408" customFormat="false" ht="15" hidden="false" customHeight="true" outlineLevel="0" collapsed="false">
      <c r="A408" s="10" t="str">
        <f aca="false">IFERROR(IF(INDEX(원본명단!$A$3:$A$6002,MATCH("R"&amp;403,정리결과!$J$6:$J$6005,0))="","",INDEX(원본명단!$A$3:$A$6002,MATCH("R"&amp;403,정리결과!$J$6:$J$6005,0))),"")</f>
        <v/>
      </c>
      <c r="B408" s="10" t="str">
        <f aca="false">IF($A408="","",IFERROR(IF(INDEX(원본명단!$B$3:$B$6002,MATCH("R"&amp;403,정리결과!$J$6:$J$6005,0))="","",INDEX(원본명단!$B$3:$B$6002,MATCH("R"&amp;403,정리결과!$J$6:$J$6005,0))),""))</f>
        <v/>
      </c>
      <c r="C408" s="10" t="str">
        <f aca="false">IF($A408="","",IFERROR(IF(INDEX(원본명단!$C$3:$C$6002,MATCH("R"&amp;403,정리결과!$J$6:$J$6005,0))="","",INDEX(원본명단!$C$3:$C$6002,MATCH("R"&amp;403,정리결과!$J$6:$J$6005,0))),""))</f>
        <v/>
      </c>
      <c r="D408" s="10" t="str">
        <f aca="false">IF($A408="","",IFERROR(IF(INDEX(원본명단!$D$3:$D$6002,MATCH("R"&amp;403,정리결과!$J$6:$J$6005,0))="","",INDEX(원본명단!$D$3:$D$6002,MATCH("R"&amp;403,정리결과!$J$6:$J$6005,0))),""))</f>
        <v/>
      </c>
      <c r="E408" s="10" t="str">
        <f aca="false">IF($A408="","",IFERROR(IF(INDEX(원본명단!$E$3:$E$6002,MATCH("R"&amp;403,정리결과!$J$6:$J$6005,0))="","",INDEX(원본명단!$E$3:$E$6002,MATCH("R"&amp;403,정리결과!$J$6:$J$6005,0))),""))</f>
        <v/>
      </c>
      <c r="F408" s="10" t="str">
        <f aca="false">IF($A408="","",IFERROR(IF(INDEX(원본명단!$F$3:$F$6002,MATCH("R"&amp;403,정리결과!$J$6:$J$6005,0))="","",INDEX(원본명단!$F$3:$F$6002,MATCH("R"&amp;403,정리결과!$J$6:$J$6005,0))),""))</f>
        <v/>
      </c>
      <c r="H408" s="14" t="b">
        <f aca="false">IF(중복검사!$A406="",FALSE(),중복검사!$J406="유지")</f>
        <v>0</v>
      </c>
      <c r="I408" s="5" t="str">
        <f aca="false">IF($H408=FALSE(),"",COUNTIF($H$6:$H408,TRUE()))</f>
        <v/>
      </c>
      <c r="J408" s="5" t="str">
        <f aca="false">IF($I408="","","R"&amp;$I408)</f>
        <v/>
      </c>
    </row>
    <row r="409" customFormat="false" ht="15" hidden="false" customHeight="true" outlineLevel="0" collapsed="false">
      <c r="A409" s="10" t="str">
        <f aca="false">IFERROR(IF(INDEX(원본명단!$A$3:$A$6002,MATCH("R"&amp;404,정리결과!$J$6:$J$6005,0))="","",INDEX(원본명단!$A$3:$A$6002,MATCH("R"&amp;404,정리결과!$J$6:$J$6005,0))),"")</f>
        <v/>
      </c>
      <c r="B409" s="10" t="str">
        <f aca="false">IF($A409="","",IFERROR(IF(INDEX(원본명단!$B$3:$B$6002,MATCH("R"&amp;404,정리결과!$J$6:$J$6005,0))="","",INDEX(원본명단!$B$3:$B$6002,MATCH("R"&amp;404,정리결과!$J$6:$J$6005,0))),""))</f>
        <v/>
      </c>
      <c r="C409" s="10" t="str">
        <f aca="false">IF($A409="","",IFERROR(IF(INDEX(원본명단!$C$3:$C$6002,MATCH("R"&amp;404,정리결과!$J$6:$J$6005,0))="","",INDEX(원본명단!$C$3:$C$6002,MATCH("R"&amp;404,정리결과!$J$6:$J$6005,0))),""))</f>
        <v/>
      </c>
      <c r="D409" s="10" t="str">
        <f aca="false">IF($A409="","",IFERROR(IF(INDEX(원본명단!$D$3:$D$6002,MATCH("R"&amp;404,정리결과!$J$6:$J$6005,0))="","",INDEX(원본명단!$D$3:$D$6002,MATCH("R"&amp;404,정리결과!$J$6:$J$6005,0))),""))</f>
        <v/>
      </c>
      <c r="E409" s="10" t="str">
        <f aca="false">IF($A409="","",IFERROR(IF(INDEX(원본명단!$E$3:$E$6002,MATCH("R"&amp;404,정리결과!$J$6:$J$6005,0))="","",INDEX(원본명단!$E$3:$E$6002,MATCH("R"&amp;404,정리결과!$J$6:$J$6005,0))),""))</f>
        <v/>
      </c>
      <c r="F409" s="10" t="str">
        <f aca="false">IF($A409="","",IFERROR(IF(INDEX(원본명단!$F$3:$F$6002,MATCH("R"&amp;404,정리결과!$J$6:$J$6005,0))="","",INDEX(원본명단!$F$3:$F$6002,MATCH("R"&amp;404,정리결과!$J$6:$J$6005,0))),""))</f>
        <v/>
      </c>
      <c r="H409" s="14" t="b">
        <f aca="false">IF(중복검사!$A407="",FALSE(),중복검사!$J407="유지")</f>
        <v>0</v>
      </c>
      <c r="I409" s="5" t="str">
        <f aca="false">IF($H409=FALSE(),"",COUNTIF($H$6:$H409,TRUE()))</f>
        <v/>
      </c>
      <c r="J409" s="5" t="str">
        <f aca="false">IF($I409="","","R"&amp;$I409)</f>
        <v/>
      </c>
    </row>
    <row r="410" customFormat="false" ht="15" hidden="false" customHeight="true" outlineLevel="0" collapsed="false">
      <c r="A410" s="10" t="str">
        <f aca="false">IFERROR(IF(INDEX(원본명단!$A$3:$A$6002,MATCH("R"&amp;405,정리결과!$J$6:$J$6005,0))="","",INDEX(원본명단!$A$3:$A$6002,MATCH("R"&amp;405,정리결과!$J$6:$J$6005,0))),"")</f>
        <v/>
      </c>
      <c r="B410" s="10" t="str">
        <f aca="false">IF($A410="","",IFERROR(IF(INDEX(원본명단!$B$3:$B$6002,MATCH("R"&amp;405,정리결과!$J$6:$J$6005,0))="","",INDEX(원본명단!$B$3:$B$6002,MATCH("R"&amp;405,정리결과!$J$6:$J$6005,0))),""))</f>
        <v/>
      </c>
      <c r="C410" s="10" t="str">
        <f aca="false">IF($A410="","",IFERROR(IF(INDEX(원본명단!$C$3:$C$6002,MATCH("R"&amp;405,정리결과!$J$6:$J$6005,0))="","",INDEX(원본명단!$C$3:$C$6002,MATCH("R"&amp;405,정리결과!$J$6:$J$6005,0))),""))</f>
        <v/>
      </c>
      <c r="D410" s="10" t="str">
        <f aca="false">IF($A410="","",IFERROR(IF(INDEX(원본명단!$D$3:$D$6002,MATCH("R"&amp;405,정리결과!$J$6:$J$6005,0))="","",INDEX(원본명단!$D$3:$D$6002,MATCH("R"&amp;405,정리결과!$J$6:$J$6005,0))),""))</f>
        <v/>
      </c>
      <c r="E410" s="10" t="str">
        <f aca="false">IF($A410="","",IFERROR(IF(INDEX(원본명단!$E$3:$E$6002,MATCH("R"&amp;405,정리결과!$J$6:$J$6005,0))="","",INDEX(원본명단!$E$3:$E$6002,MATCH("R"&amp;405,정리결과!$J$6:$J$6005,0))),""))</f>
        <v/>
      </c>
      <c r="F410" s="10" t="str">
        <f aca="false">IF($A410="","",IFERROR(IF(INDEX(원본명단!$F$3:$F$6002,MATCH("R"&amp;405,정리결과!$J$6:$J$6005,0))="","",INDEX(원본명단!$F$3:$F$6002,MATCH("R"&amp;405,정리결과!$J$6:$J$6005,0))),""))</f>
        <v/>
      </c>
      <c r="H410" s="14" t="b">
        <f aca="false">IF(중복검사!$A408="",FALSE(),중복검사!$J408="유지")</f>
        <v>0</v>
      </c>
      <c r="I410" s="5" t="str">
        <f aca="false">IF($H410=FALSE(),"",COUNTIF($H$6:$H410,TRUE()))</f>
        <v/>
      </c>
      <c r="J410" s="5" t="str">
        <f aca="false">IF($I410="","","R"&amp;$I410)</f>
        <v/>
      </c>
    </row>
    <row r="411" customFormat="false" ht="15" hidden="false" customHeight="true" outlineLevel="0" collapsed="false">
      <c r="A411" s="10" t="str">
        <f aca="false">IFERROR(IF(INDEX(원본명단!$A$3:$A$6002,MATCH("R"&amp;406,정리결과!$J$6:$J$6005,0))="","",INDEX(원본명단!$A$3:$A$6002,MATCH("R"&amp;406,정리결과!$J$6:$J$6005,0))),"")</f>
        <v/>
      </c>
      <c r="B411" s="10" t="str">
        <f aca="false">IF($A411="","",IFERROR(IF(INDEX(원본명단!$B$3:$B$6002,MATCH("R"&amp;406,정리결과!$J$6:$J$6005,0))="","",INDEX(원본명단!$B$3:$B$6002,MATCH("R"&amp;406,정리결과!$J$6:$J$6005,0))),""))</f>
        <v/>
      </c>
      <c r="C411" s="10" t="str">
        <f aca="false">IF($A411="","",IFERROR(IF(INDEX(원본명단!$C$3:$C$6002,MATCH("R"&amp;406,정리결과!$J$6:$J$6005,0))="","",INDEX(원본명단!$C$3:$C$6002,MATCH("R"&amp;406,정리결과!$J$6:$J$6005,0))),""))</f>
        <v/>
      </c>
      <c r="D411" s="10" t="str">
        <f aca="false">IF($A411="","",IFERROR(IF(INDEX(원본명단!$D$3:$D$6002,MATCH("R"&amp;406,정리결과!$J$6:$J$6005,0))="","",INDEX(원본명단!$D$3:$D$6002,MATCH("R"&amp;406,정리결과!$J$6:$J$6005,0))),""))</f>
        <v/>
      </c>
      <c r="E411" s="10" t="str">
        <f aca="false">IF($A411="","",IFERROR(IF(INDEX(원본명단!$E$3:$E$6002,MATCH("R"&amp;406,정리결과!$J$6:$J$6005,0))="","",INDEX(원본명단!$E$3:$E$6002,MATCH("R"&amp;406,정리결과!$J$6:$J$6005,0))),""))</f>
        <v/>
      </c>
      <c r="F411" s="10" t="str">
        <f aca="false">IF($A411="","",IFERROR(IF(INDEX(원본명단!$F$3:$F$6002,MATCH("R"&amp;406,정리결과!$J$6:$J$6005,0))="","",INDEX(원본명단!$F$3:$F$6002,MATCH("R"&amp;406,정리결과!$J$6:$J$6005,0))),""))</f>
        <v/>
      </c>
      <c r="H411" s="14" t="b">
        <f aca="false">IF(중복검사!$A409="",FALSE(),중복검사!$J409="유지")</f>
        <v>0</v>
      </c>
      <c r="I411" s="5" t="str">
        <f aca="false">IF($H411=FALSE(),"",COUNTIF($H$6:$H411,TRUE()))</f>
        <v/>
      </c>
      <c r="J411" s="5" t="str">
        <f aca="false">IF($I411="","","R"&amp;$I411)</f>
        <v/>
      </c>
    </row>
    <row r="412" customFormat="false" ht="15" hidden="false" customHeight="true" outlineLevel="0" collapsed="false">
      <c r="A412" s="10" t="str">
        <f aca="false">IFERROR(IF(INDEX(원본명단!$A$3:$A$6002,MATCH("R"&amp;407,정리결과!$J$6:$J$6005,0))="","",INDEX(원본명단!$A$3:$A$6002,MATCH("R"&amp;407,정리결과!$J$6:$J$6005,0))),"")</f>
        <v/>
      </c>
      <c r="B412" s="10" t="str">
        <f aca="false">IF($A412="","",IFERROR(IF(INDEX(원본명단!$B$3:$B$6002,MATCH("R"&amp;407,정리결과!$J$6:$J$6005,0))="","",INDEX(원본명단!$B$3:$B$6002,MATCH("R"&amp;407,정리결과!$J$6:$J$6005,0))),""))</f>
        <v/>
      </c>
      <c r="C412" s="10" t="str">
        <f aca="false">IF($A412="","",IFERROR(IF(INDEX(원본명단!$C$3:$C$6002,MATCH("R"&amp;407,정리결과!$J$6:$J$6005,0))="","",INDEX(원본명단!$C$3:$C$6002,MATCH("R"&amp;407,정리결과!$J$6:$J$6005,0))),""))</f>
        <v/>
      </c>
      <c r="D412" s="10" t="str">
        <f aca="false">IF($A412="","",IFERROR(IF(INDEX(원본명단!$D$3:$D$6002,MATCH("R"&amp;407,정리결과!$J$6:$J$6005,0))="","",INDEX(원본명단!$D$3:$D$6002,MATCH("R"&amp;407,정리결과!$J$6:$J$6005,0))),""))</f>
        <v/>
      </c>
      <c r="E412" s="10" t="str">
        <f aca="false">IF($A412="","",IFERROR(IF(INDEX(원본명단!$E$3:$E$6002,MATCH("R"&amp;407,정리결과!$J$6:$J$6005,0))="","",INDEX(원본명단!$E$3:$E$6002,MATCH("R"&amp;407,정리결과!$J$6:$J$6005,0))),""))</f>
        <v/>
      </c>
      <c r="F412" s="10" t="str">
        <f aca="false">IF($A412="","",IFERROR(IF(INDEX(원본명단!$F$3:$F$6002,MATCH("R"&amp;407,정리결과!$J$6:$J$6005,0))="","",INDEX(원본명단!$F$3:$F$6002,MATCH("R"&amp;407,정리결과!$J$6:$J$6005,0))),""))</f>
        <v/>
      </c>
      <c r="H412" s="14" t="b">
        <f aca="false">IF(중복검사!$A410="",FALSE(),중복검사!$J410="유지")</f>
        <v>0</v>
      </c>
      <c r="I412" s="5" t="str">
        <f aca="false">IF($H412=FALSE(),"",COUNTIF($H$6:$H412,TRUE()))</f>
        <v/>
      </c>
      <c r="J412" s="5" t="str">
        <f aca="false">IF($I412="","","R"&amp;$I412)</f>
        <v/>
      </c>
    </row>
    <row r="413" customFormat="false" ht="15" hidden="false" customHeight="true" outlineLevel="0" collapsed="false">
      <c r="A413" s="10" t="str">
        <f aca="false">IFERROR(IF(INDEX(원본명단!$A$3:$A$6002,MATCH("R"&amp;408,정리결과!$J$6:$J$6005,0))="","",INDEX(원본명단!$A$3:$A$6002,MATCH("R"&amp;408,정리결과!$J$6:$J$6005,0))),"")</f>
        <v/>
      </c>
      <c r="B413" s="10" t="str">
        <f aca="false">IF($A413="","",IFERROR(IF(INDEX(원본명단!$B$3:$B$6002,MATCH("R"&amp;408,정리결과!$J$6:$J$6005,0))="","",INDEX(원본명단!$B$3:$B$6002,MATCH("R"&amp;408,정리결과!$J$6:$J$6005,0))),""))</f>
        <v/>
      </c>
      <c r="C413" s="10" t="str">
        <f aca="false">IF($A413="","",IFERROR(IF(INDEX(원본명단!$C$3:$C$6002,MATCH("R"&amp;408,정리결과!$J$6:$J$6005,0))="","",INDEX(원본명단!$C$3:$C$6002,MATCH("R"&amp;408,정리결과!$J$6:$J$6005,0))),""))</f>
        <v/>
      </c>
      <c r="D413" s="10" t="str">
        <f aca="false">IF($A413="","",IFERROR(IF(INDEX(원본명단!$D$3:$D$6002,MATCH("R"&amp;408,정리결과!$J$6:$J$6005,0))="","",INDEX(원본명단!$D$3:$D$6002,MATCH("R"&amp;408,정리결과!$J$6:$J$6005,0))),""))</f>
        <v/>
      </c>
      <c r="E413" s="10" t="str">
        <f aca="false">IF($A413="","",IFERROR(IF(INDEX(원본명단!$E$3:$E$6002,MATCH("R"&amp;408,정리결과!$J$6:$J$6005,0))="","",INDEX(원본명단!$E$3:$E$6002,MATCH("R"&amp;408,정리결과!$J$6:$J$6005,0))),""))</f>
        <v/>
      </c>
      <c r="F413" s="10" t="str">
        <f aca="false">IF($A413="","",IFERROR(IF(INDEX(원본명단!$F$3:$F$6002,MATCH("R"&amp;408,정리결과!$J$6:$J$6005,0))="","",INDEX(원본명단!$F$3:$F$6002,MATCH("R"&amp;408,정리결과!$J$6:$J$6005,0))),""))</f>
        <v/>
      </c>
      <c r="H413" s="14" t="b">
        <f aca="false">IF(중복검사!$A411="",FALSE(),중복검사!$J411="유지")</f>
        <v>0</v>
      </c>
      <c r="I413" s="5" t="str">
        <f aca="false">IF($H413=FALSE(),"",COUNTIF($H$6:$H413,TRUE()))</f>
        <v/>
      </c>
      <c r="J413" s="5" t="str">
        <f aca="false">IF($I413="","","R"&amp;$I413)</f>
        <v/>
      </c>
    </row>
    <row r="414" customFormat="false" ht="15" hidden="false" customHeight="true" outlineLevel="0" collapsed="false">
      <c r="A414" s="10" t="str">
        <f aca="false">IFERROR(IF(INDEX(원본명단!$A$3:$A$6002,MATCH("R"&amp;409,정리결과!$J$6:$J$6005,0))="","",INDEX(원본명단!$A$3:$A$6002,MATCH("R"&amp;409,정리결과!$J$6:$J$6005,0))),"")</f>
        <v/>
      </c>
      <c r="B414" s="10" t="str">
        <f aca="false">IF($A414="","",IFERROR(IF(INDEX(원본명단!$B$3:$B$6002,MATCH("R"&amp;409,정리결과!$J$6:$J$6005,0))="","",INDEX(원본명단!$B$3:$B$6002,MATCH("R"&amp;409,정리결과!$J$6:$J$6005,0))),""))</f>
        <v/>
      </c>
      <c r="C414" s="10" t="str">
        <f aca="false">IF($A414="","",IFERROR(IF(INDEX(원본명단!$C$3:$C$6002,MATCH("R"&amp;409,정리결과!$J$6:$J$6005,0))="","",INDEX(원본명단!$C$3:$C$6002,MATCH("R"&amp;409,정리결과!$J$6:$J$6005,0))),""))</f>
        <v/>
      </c>
      <c r="D414" s="10" t="str">
        <f aca="false">IF($A414="","",IFERROR(IF(INDEX(원본명단!$D$3:$D$6002,MATCH("R"&amp;409,정리결과!$J$6:$J$6005,0))="","",INDEX(원본명단!$D$3:$D$6002,MATCH("R"&amp;409,정리결과!$J$6:$J$6005,0))),""))</f>
        <v/>
      </c>
      <c r="E414" s="10" t="str">
        <f aca="false">IF($A414="","",IFERROR(IF(INDEX(원본명단!$E$3:$E$6002,MATCH("R"&amp;409,정리결과!$J$6:$J$6005,0))="","",INDEX(원본명단!$E$3:$E$6002,MATCH("R"&amp;409,정리결과!$J$6:$J$6005,0))),""))</f>
        <v/>
      </c>
      <c r="F414" s="10" t="str">
        <f aca="false">IF($A414="","",IFERROR(IF(INDEX(원본명단!$F$3:$F$6002,MATCH("R"&amp;409,정리결과!$J$6:$J$6005,0))="","",INDEX(원본명단!$F$3:$F$6002,MATCH("R"&amp;409,정리결과!$J$6:$J$6005,0))),""))</f>
        <v/>
      </c>
      <c r="H414" s="14" t="b">
        <f aca="false">IF(중복검사!$A412="",FALSE(),중복검사!$J412="유지")</f>
        <v>0</v>
      </c>
      <c r="I414" s="5" t="str">
        <f aca="false">IF($H414=FALSE(),"",COUNTIF($H$6:$H414,TRUE()))</f>
        <v/>
      </c>
      <c r="J414" s="5" t="str">
        <f aca="false">IF($I414="","","R"&amp;$I414)</f>
        <v/>
      </c>
    </row>
    <row r="415" customFormat="false" ht="15" hidden="false" customHeight="true" outlineLevel="0" collapsed="false">
      <c r="A415" s="10" t="str">
        <f aca="false">IFERROR(IF(INDEX(원본명단!$A$3:$A$6002,MATCH("R"&amp;410,정리결과!$J$6:$J$6005,0))="","",INDEX(원본명단!$A$3:$A$6002,MATCH("R"&amp;410,정리결과!$J$6:$J$6005,0))),"")</f>
        <v/>
      </c>
      <c r="B415" s="10" t="str">
        <f aca="false">IF($A415="","",IFERROR(IF(INDEX(원본명단!$B$3:$B$6002,MATCH("R"&amp;410,정리결과!$J$6:$J$6005,0))="","",INDEX(원본명단!$B$3:$B$6002,MATCH("R"&amp;410,정리결과!$J$6:$J$6005,0))),""))</f>
        <v/>
      </c>
      <c r="C415" s="10" t="str">
        <f aca="false">IF($A415="","",IFERROR(IF(INDEX(원본명단!$C$3:$C$6002,MATCH("R"&amp;410,정리결과!$J$6:$J$6005,0))="","",INDEX(원본명단!$C$3:$C$6002,MATCH("R"&amp;410,정리결과!$J$6:$J$6005,0))),""))</f>
        <v/>
      </c>
      <c r="D415" s="10" t="str">
        <f aca="false">IF($A415="","",IFERROR(IF(INDEX(원본명단!$D$3:$D$6002,MATCH("R"&amp;410,정리결과!$J$6:$J$6005,0))="","",INDEX(원본명단!$D$3:$D$6002,MATCH("R"&amp;410,정리결과!$J$6:$J$6005,0))),""))</f>
        <v/>
      </c>
      <c r="E415" s="10" t="str">
        <f aca="false">IF($A415="","",IFERROR(IF(INDEX(원본명단!$E$3:$E$6002,MATCH("R"&amp;410,정리결과!$J$6:$J$6005,0))="","",INDEX(원본명단!$E$3:$E$6002,MATCH("R"&amp;410,정리결과!$J$6:$J$6005,0))),""))</f>
        <v/>
      </c>
      <c r="F415" s="10" t="str">
        <f aca="false">IF($A415="","",IFERROR(IF(INDEX(원본명단!$F$3:$F$6002,MATCH("R"&amp;410,정리결과!$J$6:$J$6005,0))="","",INDEX(원본명단!$F$3:$F$6002,MATCH("R"&amp;410,정리결과!$J$6:$J$6005,0))),""))</f>
        <v/>
      </c>
      <c r="H415" s="14" t="b">
        <f aca="false">IF(중복검사!$A413="",FALSE(),중복검사!$J413="유지")</f>
        <v>0</v>
      </c>
      <c r="I415" s="5" t="str">
        <f aca="false">IF($H415=FALSE(),"",COUNTIF($H$6:$H415,TRUE()))</f>
        <v/>
      </c>
      <c r="J415" s="5" t="str">
        <f aca="false">IF($I415="","","R"&amp;$I415)</f>
        <v/>
      </c>
    </row>
    <row r="416" customFormat="false" ht="15" hidden="false" customHeight="true" outlineLevel="0" collapsed="false">
      <c r="A416" s="10" t="str">
        <f aca="false">IFERROR(IF(INDEX(원본명단!$A$3:$A$6002,MATCH("R"&amp;411,정리결과!$J$6:$J$6005,0))="","",INDEX(원본명단!$A$3:$A$6002,MATCH("R"&amp;411,정리결과!$J$6:$J$6005,0))),"")</f>
        <v/>
      </c>
      <c r="B416" s="10" t="str">
        <f aca="false">IF($A416="","",IFERROR(IF(INDEX(원본명단!$B$3:$B$6002,MATCH("R"&amp;411,정리결과!$J$6:$J$6005,0))="","",INDEX(원본명단!$B$3:$B$6002,MATCH("R"&amp;411,정리결과!$J$6:$J$6005,0))),""))</f>
        <v/>
      </c>
      <c r="C416" s="10" t="str">
        <f aca="false">IF($A416="","",IFERROR(IF(INDEX(원본명단!$C$3:$C$6002,MATCH("R"&amp;411,정리결과!$J$6:$J$6005,0))="","",INDEX(원본명단!$C$3:$C$6002,MATCH("R"&amp;411,정리결과!$J$6:$J$6005,0))),""))</f>
        <v/>
      </c>
      <c r="D416" s="10" t="str">
        <f aca="false">IF($A416="","",IFERROR(IF(INDEX(원본명단!$D$3:$D$6002,MATCH("R"&amp;411,정리결과!$J$6:$J$6005,0))="","",INDEX(원본명단!$D$3:$D$6002,MATCH("R"&amp;411,정리결과!$J$6:$J$6005,0))),""))</f>
        <v/>
      </c>
      <c r="E416" s="10" t="str">
        <f aca="false">IF($A416="","",IFERROR(IF(INDEX(원본명단!$E$3:$E$6002,MATCH("R"&amp;411,정리결과!$J$6:$J$6005,0))="","",INDEX(원본명단!$E$3:$E$6002,MATCH("R"&amp;411,정리결과!$J$6:$J$6005,0))),""))</f>
        <v/>
      </c>
      <c r="F416" s="10" t="str">
        <f aca="false">IF($A416="","",IFERROR(IF(INDEX(원본명단!$F$3:$F$6002,MATCH("R"&amp;411,정리결과!$J$6:$J$6005,0))="","",INDEX(원본명단!$F$3:$F$6002,MATCH("R"&amp;411,정리결과!$J$6:$J$6005,0))),""))</f>
        <v/>
      </c>
      <c r="H416" s="14" t="b">
        <f aca="false">IF(중복검사!$A414="",FALSE(),중복검사!$J414="유지")</f>
        <v>0</v>
      </c>
      <c r="I416" s="5" t="str">
        <f aca="false">IF($H416=FALSE(),"",COUNTIF($H$6:$H416,TRUE()))</f>
        <v/>
      </c>
      <c r="J416" s="5" t="str">
        <f aca="false">IF($I416="","","R"&amp;$I416)</f>
        <v/>
      </c>
    </row>
    <row r="417" customFormat="false" ht="15" hidden="false" customHeight="true" outlineLevel="0" collapsed="false">
      <c r="A417" s="10" t="str">
        <f aca="false">IFERROR(IF(INDEX(원본명단!$A$3:$A$6002,MATCH("R"&amp;412,정리결과!$J$6:$J$6005,0))="","",INDEX(원본명단!$A$3:$A$6002,MATCH("R"&amp;412,정리결과!$J$6:$J$6005,0))),"")</f>
        <v/>
      </c>
      <c r="B417" s="10" t="str">
        <f aca="false">IF($A417="","",IFERROR(IF(INDEX(원본명단!$B$3:$B$6002,MATCH("R"&amp;412,정리결과!$J$6:$J$6005,0))="","",INDEX(원본명단!$B$3:$B$6002,MATCH("R"&amp;412,정리결과!$J$6:$J$6005,0))),""))</f>
        <v/>
      </c>
      <c r="C417" s="10" t="str">
        <f aca="false">IF($A417="","",IFERROR(IF(INDEX(원본명단!$C$3:$C$6002,MATCH("R"&amp;412,정리결과!$J$6:$J$6005,0))="","",INDEX(원본명단!$C$3:$C$6002,MATCH("R"&amp;412,정리결과!$J$6:$J$6005,0))),""))</f>
        <v/>
      </c>
      <c r="D417" s="10" t="str">
        <f aca="false">IF($A417="","",IFERROR(IF(INDEX(원본명단!$D$3:$D$6002,MATCH("R"&amp;412,정리결과!$J$6:$J$6005,0))="","",INDEX(원본명단!$D$3:$D$6002,MATCH("R"&amp;412,정리결과!$J$6:$J$6005,0))),""))</f>
        <v/>
      </c>
      <c r="E417" s="10" t="str">
        <f aca="false">IF($A417="","",IFERROR(IF(INDEX(원본명단!$E$3:$E$6002,MATCH("R"&amp;412,정리결과!$J$6:$J$6005,0))="","",INDEX(원본명단!$E$3:$E$6002,MATCH("R"&amp;412,정리결과!$J$6:$J$6005,0))),""))</f>
        <v/>
      </c>
      <c r="F417" s="10" t="str">
        <f aca="false">IF($A417="","",IFERROR(IF(INDEX(원본명단!$F$3:$F$6002,MATCH("R"&amp;412,정리결과!$J$6:$J$6005,0))="","",INDEX(원본명단!$F$3:$F$6002,MATCH("R"&amp;412,정리결과!$J$6:$J$6005,0))),""))</f>
        <v/>
      </c>
      <c r="H417" s="14" t="b">
        <f aca="false">IF(중복검사!$A415="",FALSE(),중복검사!$J415="유지")</f>
        <v>0</v>
      </c>
      <c r="I417" s="5" t="str">
        <f aca="false">IF($H417=FALSE(),"",COUNTIF($H$6:$H417,TRUE()))</f>
        <v/>
      </c>
      <c r="J417" s="5" t="str">
        <f aca="false">IF($I417="","","R"&amp;$I417)</f>
        <v/>
      </c>
    </row>
    <row r="418" customFormat="false" ht="15" hidden="false" customHeight="true" outlineLevel="0" collapsed="false">
      <c r="A418" s="10" t="str">
        <f aca="false">IFERROR(IF(INDEX(원본명단!$A$3:$A$6002,MATCH("R"&amp;413,정리결과!$J$6:$J$6005,0))="","",INDEX(원본명단!$A$3:$A$6002,MATCH("R"&amp;413,정리결과!$J$6:$J$6005,0))),"")</f>
        <v/>
      </c>
      <c r="B418" s="10" t="str">
        <f aca="false">IF($A418="","",IFERROR(IF(INDEX(원본명단!$B$3:$B$6002,MATCH("R"&amp;413,정리결과!$J$6:$J$6005,0))="","",INDEX(원본명단!$B$3:$B$6002,MATCH("R"&amp;413,정리결과!$J$6:$J$6005,0))),""))</f>
        <v/>
      </c>
      <c r="C418" s="10" t="str">
        <f aca="false">IF($A418="","",IFERROR(IF(INDEX(원본명단!$C$3:$C$6002,MATCH("R"&amp;413,정리결과!$J$6:$J$6005,0))="","",INDEX(원본명단!$C$3:$C$6002,MATCH("R"&amp;413,정리결과!$J$6:$J$6005,0))),""))</f>
        <v/>
      </c>
      <c r="D418" s="10" t="str">
        <f aca="false">IF($A418="","",IFERROR(IF(INDEX(원본명단!$D$3:$D$6002,MATCH("R"&amp;413,정리결과!$J$6:$J$6005,0))="","",INDEX(원본명단!$D$3:$D$6002,MATCH("R"&amp;413,정리결과!$J$6:$J$6005,0))),""))</f>
        <v/>
      </c>
      <c r="E418" s="10" t="str">
        <f aca="false">IF($A418="","",IFERROR(IF(INDEX(원본명단!$E$3:$E$6002,MATCH("R"&amp;413,정리결과!$J$6:$J$6005,0))="","",INDEX(원본명단!$E$3:$E$6002,MATCH("R"&amp;413,정리결과!$J$6:$J$6005,0))),""))</f>
        <v/>
      </c>
      <c r="F418" s="10" t="str">
        <f aca="false">IF($A418="","",IFERROR(IF(INDEX(원본명단!$F$3:$F$6002,MATCH("R"&amp;413,정리결과!$J$6:$J$6005,0))="","",INDEX(원본명단!$F$3:$F$6002,MATCH("R"&amp;413,정리결과!$J$6:$J$6005,0))),""))</f>
        <v/>
      </c>
      <c r="H418" s="14" t="b">
        <f aca="false">IF(중복검사!$A416="",FALSE(),중복검사!$J416="유지")</f>
        <v>0</v>
      </c>
      <c r="I418" s="5" t="str">
        <f aca="false">IF($H418=FALSE(),"",COUNTIF($H$6:$H418,TRUE()))</f>
        <v/>
      </c>
      <c r="J418" s="5" t="str">
        <f aca="false">IF($I418="","","R"&amp;$I418)</f>
        <v/>
      </c>
    </row>
    <row r="419" customFormat="false" ht="15" hidden="false" customHeight="true" outlineLevel="0" collapsed="false">
      <c r="A419" s="10" t="str">
        <f aca="false">IFERROR(IF(INDEX(원본명단!$A$3:$A$6002,MATCH("R"&amp;414,정리결과!$J$6:$J$6005,0))="","",INDEX(원본명단!$A$3:$A$6002,MATCH("R"&amp;414,정리결과!$J$6:$J$6005,0))),"")</f>
        <v/>
      </c>
      <c r="B419" s="10" t="str">
        <f aca="false">IF($A419="","",IFERROR(IF(INDEX(원본명단!$B$3:$B$6002,MATCH("R"&amp;414,정리결과!$J$6:$J$6005,0))="","",INDEX(원본명단!$B$3:$B$6002,MATCH("R"&amp;414,정리결과!$J$6:$J$6005,0))),""))</f>
        <v/>
      </c>
      <c r="C419" s="10" t="str">
        <f aca="false">IF($A419="","",IFERROR(IF(INDEX(원본명단!$C$3:$C$6002,MATCH("R"&amp;414,정리결과!$J$6:$J$6005,0))="","",INDEX(원본명단!$C$3:$C$6002,MATCH("R"&amp;414,정리결과!$J$6:$J$6005,0))),""))</f>
        <v/>
      </c>
      <c r="D419" s="10" t="str">
        <f aca="false">IF($A419="","",IFERROR(IF(INDEX(원본명단!$D$3:$D$6002,MATCH("R"&amp;414,정리결과!$J$6:$J$6005,0))="","",INDEX(원본명단!$D$3:$D$6002,MATCH("R"&amp;414,정리결과!$J$6:$J$6005,0))),""))</f>
        <v/>
      </c>
      <c r="E419" s="10" t="str">
        <f aca="false">IF($A419="","",IFERROR(IF(INDEX(원본명단!$E$3:$E$6002,MATCH("R"&amp;414,정리결과!$J$6:$J$6005,0))="","",INDEX(원본명단!$E$3:$E$6002,MATCH("R"&amp;414,정리결과!$J$6:$J$6005,0))),""))</f>
        <v/>
      </c>
      <c r="F419" s="10" t="str">
        <f aca="false">IF($A419="","",IFERROR(IF(INDEX(원본명단!$F$3:$F$6002,MATCH("R"&amp;414,정리결과!$J$6:$J$6005,0))="","",INDEX(원본명단!$F$3:$F$6002,MATCH("R"&amp;414,정리결과!$J$6:$J$6005,0))),""))</f>
        <v/>
      </c>
      <c r="H419" s="14" t="b">
        <f aca="false">IF(중복검사!$A417="",FALSE(),중복검사!$J417="유지")</f>
        <v>0</v>
      </c>
      <c r="I419" s="5" t="str">
        <f aca="false">IF($H419=FALSE(),"",COUNTIF($H$6:$H419,TRUE()))</f>
        <v/>
      </c>
      <c r="J419" s="5" t="str">
        <f aca="false">IF($I419="","","R"&amp;$I419)</f>
        <v/>
      </c>
    </row>
    <row r="420" customFormat="false" ht="15" hidden="false" customHeight="true" outlineLevel="0" collapsed="false">
      <c r="A420" s="10" t="str">
        <f aca="false">IFERROR(IF(INDEX(원본명단!$A$3:$A$6002,MATCH("R"&amp;415,정리결과!$J$6:$J$6005,0))="","",INDEX(원본명단!$A$3:$A$6002,MATCH("R"&amp;415,정리결과!$J$6:$J$6005,0))),"")</f>
        <v/>
      </c>
      <c r="B420" s="10" t="str">
        <f aca="false">IF($A420="","",IFERROR(IF(INDEX(원본명단!$B$3:$B$6002,MATCH("R"&amp;415,정리결과!$J$6:$J$6005,0))="","",INDEX(원본명단!$B$3:$B$6002,MATCH("R"&amp;415,정리결과!$J$6:$J$6005,0))),""))</f>
        <v/>
      </c>
      <c r="C420" s="10" t="str">
        <f aca="false">IF($A420="","",IFERROR(IF(INDEX(원본명단!$C$3:$C$6002,MATCH("R"&amp;415,정리결과!$J$6:$J$6005,0))="","",INDEX(원본명단!$C$3:$C$6002,MATCH("R"&amp;415,정리결과!$J$6:$J$6005,0))),""))</f>
        <v/>
      </c>
      <c r="D420" s="10" t="str">
        <f aca="false">IF($A420="","",IFERROR(IF(INDEX(원본명단!$D$3:$D$6002,MATCH("R"&amp;415,정리결과!$J$6:$J$6005,0))="","",INDEX(원본명단!$D$3:$D$6002,MATCH("R"&amp;415,정리결과!$J$6:$J$6005,0))),""))</f>
        <v/>
      </c>
      <c r="E420" s="10" t="str">
        <f aca="false">IF($A420="","",IFERROR(IF(INDEX(원본명단!$E$3:$E$6002,MATCH("R"&amp;415,정리결과!$J$6:$J$6005,0))="","",INDEX(원본명단!$E$3:$E$6002,MATCH("R"&amp;415,정리결과!$J$6:$J$6005,0))),""))</f>
        <v/>
      </c>
      <c r="F420" s="10" t="str">
        <f aca="false">IF($A420="","",IFERROR(IF(INDEX(원본명단!$F$3:$F$6002,MATCH("R"&amp;415,정리결과!$J$6:$J$6005,0))="","",INDEX(원본명단!$F$3:$F$6002,MATCH("R"&amp;415,정리결과!$J$6:$J$6005,0))),""))</f>
        <v/>
      </c>
      <c r="H420" s="14" t="b">
        <f aca="false">IF(중복검사!$A418="",FALSE(),중복검사!$J418="유지")</f>
        <v>0</v>
      </c>
      <c r="I420" s="5" t="str">
        <f aca="false">IF($H420=FALSE(),"",COUNTIF($H$6:$H420,TRUE()))</f>
        <v/>
      </c>
      <c r="J420" s="5" t="str">
        <f aca="false">IF($I420="","","R"&amp;$I420)</f>
        <v/>
      </c>
    </row>
    <row r="421" customFormat="false" ht="15" hidden="false" customHeight="true" outlineLevel="0" collapsed="false">
      <c r="A421" s="10" t="str">
        <f aca="false">IFERROR(IF(INDEX(원본명단!$A$3:$A$6002,MATCH("R"&amp;416,정리결과!$J$6:$J$6005,0))="","",INDEX(원본명단!$A$3:$A$6002,MATCH("R"&amp;416,정리결과!$J$6:$J$6005,0))),"")</f>
        <v/>
      </c>
      <c r="B421" s="10" t="str">
        <f aca="false">IF($A421="","",IFERROR(IF(INDEX(원본명단!$B$3:$B$6002,MATCH("R"&amp;416,정리결과!$J$6:$J$6005,0))="","",INDEX(원본명단!$B$3:$B$6002,MATCH("R"&amp;416,정리결과!$J$6:$J$6005,0))),""))</f>
        <v/>
      </c>
      <c r="C421" s="10" t="str">
        <f aca="false">IF($A421="","",IFERROR(IF(INDEX(원본명단!$C$3:$C$6002,MATCH("R"&amp;416,정리결과!$J$6:$J$6005,0))="","",INDEX(원본명단!$C$3:$C$6002,MATCH("R"&amp;416,정리결과!$J$6:$J$6005,0))),""))</f>
        <v/>
      </c>
      <c r="D421" s="10" t="str">
        <f aca="false">IF($A421="","",IFERROR(IF(INDEX(원본명단!$D$3:$D$6002,MATCH("R"&amp;416,정리결과!$J$6:$J$6005,0))="","",INDEX(원본명단!$D$3:$D$6002,MATCH("R"&amp;416,정리결과!$J$6:$J$6005,0))),""))</f>
        <v/>
      </c>
      <c r="E421" s="10" t="str">
        <f aca="false">IF($A421="","",IFERROR(IF(INDEX(원본명단!$E$3:$E$6002,MATCH("R"&amp;416,정리결과!$J$6:$J$6005,0))="","",INDEX(원본명단!$E$3:$E$6002,MATCH("R"&amp;416,정리결과!$J$6:$J$6005,0))),""))</f>
        <v/>
      </c>
      <c r="F421" s="10" t="str">
        <f aca="false">IF($A421="","",IFERROR(IF(INDEX(원본명단!$F$3:$F$6002,MATCH("R"&amp;416,정리결과!$J$6:$J$6005,0))="","",INDEX(원본명단!$F$3:$F$6002,MATCH("R"&amp;416,정리결과!$J$6:$J$6005,0))),""))</f>
        <v/>
      </c>
      <c r="H421" s="14" t="b">
        <f aca="false">IF(중복검사!$A419="",FALSE(),중복검사!$J419="유지")</f>
        <v>0</v>
      </c>
      <c r="I421" s="5" t="str">
        <f aca="false">IF($H421=FALSE(),"",COUNTIF($H$6:$H421,TRUE()))</f>
        <v/>
      </c>
      <c r="J421" s="5" t="str">
        <f aca="false">IF($I421="","","R"&amp;$I421)</f>
        <v/>
      </c>
    </row>
    <row r="422" customFormat="false" ht="15" hidden="false" customHeight="true" outlineLevel="0" collapsed="false">
      <c r="A422" s="10" t="str">
        <f aca="false">IFERROR(IF(INDEX(원본명단!$A$3:$A$6002,MATCH("R"&amp;417,정리결과!$J$6:$J$6005,0))="","",INDEX(원본명단!$A$3:$A$6002,MATCH("R"&amp;417,정리결과!$J$6:$J$6005,0))),"")</f>
        <v/>
      </c>
      <c r="B422" s="10" t="str">
        <f aca="false">IF($A422="","",IFERROR(IF(INDEX(원본명단!$B$3:$B$6002,MATCH("R"&amp;417,정리결과!$J$6:$J$6005,0))="","",INDEX(원본명단!$B$3:$B$6002,MATCH("R"&amp;417,정리결과!$J$6:$J$6005,0))),""))</f>
        <v/>
      </c>
      <c r="C422" s="10" t="str">
        <f aca="false">IF($A422="","",IFERROR(IF(INDEX(원본명단!$C$3:$C$6002,MATCH("R"&amp;417,정리결과!$J$6:$J$6005,0))="","",INDEX(원본명단!$C$3:$C$6002,MATCH("R"&amp;417,정리결과!$J$6:$J$6005,0))),""))</f>
        <v/>
      </c>
      <c r="D422" s="10" t="str">
        <f aca="false">IF($A422="","",IFERROR(IF(INDEX(원본명단!$D$3:$D$6002,MATCH("R"&amp;417,정리결과!$J$6:$J$6005,0))="","",INDEX(원본명단!$D$3:$D$6002,MATCH("R"&amp;417,정리결과!$J$6:$J$6005,0))),""))</f>
        <v/>
      </c>
      <c r="E422" s="10" t="str">
        <f aca="false">IF($A422="","",IFERROR(IF(INDEX(원본명단!$E$3:$E$6002,MATCH("R"&amp;417,정리결과!$J$6:$J$6005,0))="","",INDEX(원본명단!$E$3:$E$6002,MATCH("R"&amp;417,정리결과!$J$6:$J$6005,0))),""))</f>
        <v/>
      </c>
      <c r="F422" s="10" t="str">
        <f aca="false">IF($A422="","",IFERROR(IF(INDEX(원본명단!$F$3:$F$6002,MATCH("R"&amp;417,정리결과!$J$6:$J$6005,0))="","",INDEX(원본명단!$F$3:$F$6002,MATCH("R"&amp;417,정리결과!$J$6:$J$6005,0))),""))</f>
        <v/>
      </c>
      <c r="H422" s="14" t="b">
        <f aca="false">IF(중복검사!$A420="",FALSE(),중복검사!$J420="유지")</f>
        <v>0</v>
      </c>
      <c r="I422" s="5" t="str">
        <f aca="false">IF($H422=FALSE(),"",COUNTIF($H$6:$H422,TRUE()))</f>
        <v/>
      </c>
      <c r="J422" s="5" t="str">
        <f aca="false">IF($I422="","","R"&amp;$I422)</f>
        <v/>
      </c>
    </row>
    <row r="423" customFormat="false" ht="15" hidden="false" customHeight="true" outlineLevel="0" collapsed="false">
      <c r="A423" s="10" t="str">
        <f aca="false">IFERROR(IF(INDEX(원본명단!$A$3:$A$6002,MATCH("R"&amp;418,정리결과!$J$6:$J$6005,0))="","",INDEX(원본명단!$A$3:$A$6002,MATCH("R"&amp;418,정리결과!$J$6:$J$6005,0))),"")</f>
        <v/>
      </c>
      <c r="B423" s="10" t="str">
        <f aca="false">IF($A423="","",IFERROR(IF(INDEX(원본명단!$B$3:$B$6002,MATCH("R"&amp;418,정리결과!$J$6:$J$6005,0))="","",INDEX(원본명단!$B$3:$B$6002,MATCH("R"&amp;418,정리결과!$J$6:$J$6005,0))),""))</f>
        <v/>
      </c>
      <c r="C423" s="10" t="str">
        <f aca="false">IF($A423="","",IFERROR(IF(INDEX(원본명단!$C$3:$C$6002,MATCH("R"&amp;418,정리결과!$J$6:$J$6005,0))="","",INDEX(원본명단!$C$3:$C$6002,MATCH("R"&amp;418,정리결과!$J$6:$J$6005,0))),""))</f>
        <v/>
      </c>
      <c r="D423" s="10" t="str">
        <f aca="false">IF($A423="","",IFERROR(IF(INDEX(원본명단!$D$3:$D$6002,MATCH("R"&amp;418,정리결과!$J$6:$J$6005,0))="","",INDEX(원본명단!$D$3:$D$6002,MATCH("R"&amp;418,정리결과!$J$6:$J$6005,0))),""))</f>
        <v/>
      </c>
      <c r="E423" s="10" t="str">
        <f aca="false">IF($A423="","",IFERROR(IF(INDEX(원본명단!$E$3:$E$6002,MATCH("R"&amp;418,정리결과!$J$6:$J$6005,0))="","",INDEX(원본명단!$E$3:$E$6002,MATCH("R"&amp;418,정리결과!$J$6:$J$6005,0))),""))</f>
        <v/>
      </c>
      <c r="F423" s="10" t="str">
        <f aca="false">IF($A423="","",IFERROR(IF(INDEX(원본명단!$F$3:$F$6002,MATCH("R"&amp;418,정리결과!$J$6:$J$6005,0))="","",INDEX(원본명단!$F$3:$F$6002,MATCH("R"&amp;418,정리결과!$J$6:$J$6005,0))),""))</f>
        <v/>
      </c>
      <c r="H423" s="14" t="b">
        <f aca="false">IF(중복검사!$A421="",FALSE(),중복검사!$J421="유지")</f>
        <v>0</v>
      </c>
      <c r="I423" s="5" t="str">
        <f aca="false">IF($H423=FALSE(),"",COUNTIF($H$6:$H423,TRUE()))</f>
        <v/>
      </c>
      <c r="J423" s="5" t="str">
        <f aca="false">IF($I423="","","R"&amp;$I423)</f>
        <v/>
      </c>
    </row>
    <row r="424" customFormat="false" ht="15" hidden="false" customHeight="true" outlineLevel="0" collapsed="false">
      <c r="A424" s="10" t="str">
        <f aca="false">IFERROR(IF(INDEX(원본명단!$A$3:$A$6002,MATCH("R"&amp;419,정리결과!$J$6:$J$6005,0))="","",INDEX(원본명단!$A$3:$A$6002,MATCH("R"&amp;419,정리결과!$J$6:$J$6005,0))),"")</f>
        <v/>
      </c>
      <c r="B424" s="10" t="str">
        <f aca="false">IF($A424="","",IFERROR(IF(INDEX(원본명단!$B$3:$B$6002,MATCH("R"&amp;419,정리결과!$J$6:$J$6005,0))="","",INDEX(원본명단!$B$3:$B$6002,MATCH("R"&amp;419,정리결과!$J$6:$J$6005,0))),""))</f>
        <v/>
      </c>
      <c r="C424" s="10" t="str">
        <f aca="false">IF($A424="","",IFERROR(IF(INDEX(원본명단!$C$3:$C$6002,MATCH("R"&amp;419,정리결과!$J$6:$J$6005,0))="","",INDEX(원본명단!$C$3:$C$6002,MATCH("R"&amp;419,정리결과!$J$6:$J$6005,0))),""))</f>
        <v/>
      </c>
      <c r="D424" s="10" t="str">
        <f aca="false">IF($A424="","",IFERROR(IF(INDEX(원본명단!$D$3:$D$6002,MATCH("R"&amp;419,정리결과!$J$6:$J$6005,0))="","",INDEX(원본명단!$D$3:$D$6002,MATCH("R"&amp;419,정리결과!$J$6:$J$6005,0))),""))</f>
        <v/>
      </c>
      <c r="E424" s="10" t="str">
        <f aca="false">IF($A424="","",IFERROR(IF(INDEX(원본명단!$E$3:$E$6002,MATCH("R"&amp;419,정리결과!$J$6:$J$6005,0))="","",INDEX(원본명단!$E$3:$E$6002,MATCH("R"&amp;419,정리결과!$J$6:$J$6005,0))),""))</f>
        <v/>
      </c>
      <c r="F424" s="10" t="str">
        <f aca="false">IF($A424="","",IFERROR(IF(INDEX(원본명단!$F$3:$F$6002,MATCH("R"&amp;419,정리결과!$J$6:$J$6005,0))="","",INDEX(원본명단!$F$3:$F$6002,MATCH("R"&amp;419,정리결과!$J$6:$J$6005,0))),""))</f>
        <v/>
      </c>
      <c r="H424" s="14" t="b">
        <f aca="false">IF(중복검사!$A422="",FALSE(),중복검사!$J422="유지")</f>
        <v>0</v>
      </c>
      <c r="I424" s="5" t="str">
        <f aca="false">IF($H424=FALSE(),"",COUNTIF($H$6:$H424,TRUE()))</f>
        <v/>
      </c>
      <c r="J424" s="5" t="str">
        <f aca="false">IF($I424="","","R"&amp;$I424)</f>
        <v/>
      </c>
    </row>
    <row r="425" customFormat="false" ht="15" hidden="false" customHeight="true" outlineLevel="0" collapsed="false">
      <c r="A425" s="10" t="str">
        <f aca="false">IFERROR(IF(INDEX(원본명단!$A$3:$A$6002,MATCH("R"&amp;420,정리결과!$J$6:$J$6005,0))="","",INDEX(원본명단!$A$3:$A$6002,MATCH("R"&amp;420,정리결과!$J$6:$J$6005,0))),"")</f>
        <v/>
      </c>
      <c r="B425" s="10" t="str">
        <f aca="false">IF($A425="","",IFERROR(IF(INDEX(원본명단!$B$3:$B$6002,MATCH("R"&amp;420,정리결과!$J$6:$J$6005,0))="","",INDEX(원본명단!$B$3:$B$6002,MATCH("R"&amp;420,정리결과!$J$6:$J$6005,0))),""))</f>
        <v/>
      </c>
      <c r="C425" s="10" t="str">
        <f aca="false">IF($A425="","",IFERROR(IF(INDEX(원본명단!$C$3:$C$6002,MATCH("R"&amp;420,정리결과!$J$6:$J$6005,0))="","",INDEX(원본명단!$C$3:$C$6002,MATCH("R"&amp;420,정리결과!$J$6:$J$6005,0))),""))</f>
        <v/>
      </c>
      <c r="D425" s="10" t="str">
        <f aca="false">IF($A425="","",IFERROR(IF(INDEX(원본명단!$D$3:$D$6002,MATCH("R"&amp;420,정리결과!$J$6:$J$6005,0))="","",INDEX(원본명단!$D$3:$D$6002,MATCH("R"&amp;420,정리결과!$J$6:$J$6005,0))),""))</f>
        <v/>
      </c>
      <c r="E425" s="10" t="str">
        <f aca="false">IF($A425="","",IFERROR(IF(INDEX(원본명단!$E$3:$E$6002,MATCH("R"&amp;420,정리결과!$J$6:$J$6005,0))="","",INDEX(원본명단!$E$3:$E$6002,MATCH("R"&amp;420,정리결과!$J$6:$J$6005,0))),""))</f>
        <v/>
      </c>
      <c r="F425" s="10" t="str">
        <f aca="false">IF($A425="","",IFERROR(IF(INDEX(원본명단!$F$3:$F$6002,MATCH("R"&amp;420,정리결과!$J$6:$J$6005,0))="","",INDEX(원본명단!$F$3:$F$6002,MATCH("R"&amp;420,정리결과!$J$6:$J$6005,0))),""))</f>
        <v/>
      </c>
      <c r="H425" s="14" t="b">
        <f aca="false">IF(중복검사!$A423="",FALSE(),중복검사!$J423="유지")</f>
        <v>0</v>
      </c>
      <c r="I425" s="5" t="str">
        <f aca="false">IF($H425=FALSE(),"",COUNTIF($H$6:$H425,TRUE()))</f>
        <v/>
      </c>
      <c r="J425" s="5" t="str">
        <f aca="false">IF($I425="","","R"&amp;$I425)</f>
        <v/>
      </c>
    </row>
    <row r="426" customFormat="false" ht="15" hidden="false" customHeight="true" outlineLevel="0" collapsed="false">
      <c r="A426" s="10" t="str">
        <f aca="false">IFERROR(IF(INDEX(원본명단!$A$3:$A$6002,MATCH("R"&amp;421,정리결과!$J$6:$J$6005,0))="","",INDEX(원본명단!$A$3:$A$6002,MATCH("R"&amp;421,정리결과!$J$6:$J$6005,0))),"")</f>
        <v/>
      </c>
      <c r="B426" s="10" t="str">
        <f aca="false">IF($A426="","",IFERROR(IF(INDEX(원본명단!$B$3:$B$6002,MATCH("R"&amp;421,정리결과!$J$6:$J$6005,0))="","",INDEX(원본명단!$B$3:$B$6002,MATCH("R"&amp;421,정리결과!$J$6:$J$6005,0))),""))</f>
        <v/>
      </c>
      <c r="C426" s="10" t="str">
        <f aca="false">IF($A426="","",IFERROR(IF(INDEX(원본명단!$C$3:$C$6002,MATCH("R"&amp;421,정리결과!$J$6:$J$6005,0))="","",INDEX(원본명단!$C$3:$C$6002,MATCH("R"&amp;421,정리결과!$J$6:$J$6005,0))),""))</f>
        <v/>
      </c>
      <c r="D426" s="10" t="str">
        <f aca="false">IF($A426="","",IFERROR(IF(INDEX(원본명단!$D$3:$D$6002,MATCH("R"&amp;421,정리결과!$J$6:$J$6005,0))="","",INDEX(원본명단!$D$3:$D$6002,MATCH("R"&amp;421,정리결과!$J$6:$J$6005,0))),""))</f>
        <v/>
      </c>
      <c r="E426" s="10" t="str">
        <f aca="false">IF($A426="","",IFERROR(IF(INDEX(원본명단!$E$3:$E$6002,MATCH("R"&amp;421,정리결과!$J$6:$J$6005,0))="","",INDEX(원본명단!$E$3:$E$6002,MATCH("R"&amp;421,정리결과!$J$6:$J$6005,0))),""))</f>
        <v/>
      </c>
      <c r="F426" s="10" t="str">
        <f aca="false">IF($A426="","",IFERROR(IF(INDEX(원본명단!$F$3:$F$6002,MATCH("R"&amp;421,정리결과!$J$6:$J$6005,0))="","",INDEX(원본명단!$F$3:$F$6002,MATCH("R"&amp;421,정리결과!$J$6:$J$6005,0))),""))</f>
        <v/>
      </c>
      <c r="H426" s="14" t="b">
        <f aca="false">IF(중복검사!$A424="",FALSE(),중복검사!$J424="유지")</f>
        <v>0</v>
      </c>
      <c r="I426" s="5" t="str">
        <f aca="false">IF($H426=FALSE(),"",COUNTIF($H$6:$H426,TRUE()))</f>
        <v/>
      </c>
      <c r="J426" s="5" t="str">
        <f aca="false">IF($I426="","","R"&amp;$I426)</f>
        <v/>
      </c>
    </row>
    <row r="427" customFormat="false" ht="15" hidden="false" customHeight="true" outlineLevel="0" collapsed="false">
      <c r="A427" s="10" t="str">
        <f aca="false">IFERROR(IF(INDEX(원본명단!$A$3:$A$6002,MATCH("R"&amp;422,정리결과!$J$6:$J$6005,0))="","",INDEX(원본명단!$A$3:$A$6002,MATCH("R"&amp;422,정리결과!$J$6:$J$6005,0))),"")</f>
        <v/>
      </c>
      <c r="B427" s="10" t="str">
        <f aca="false">IF($A427="","",IFERROR(IF(INDEX(원본명단!$B$3:$B$6002,MATCH("R"&amp;422,정리결과!$J$6:$J$6005,0))="","",INDEX(원본명단!$B$3:$B$6002,MATCH("R"&amp;422,정리결과!$J$6:$J$6005,0))),""))</f>
        <v/>
      </c>
      <c r="C427" s="10" t="str">
        <f aca="false">IF($A427="","",IFERROR(IF(INDEX(원본명단!$C$3:$C$6002,MATCH("R"&amp;422,정리결과!$J$6:$J$6005,0))="","",INDEX(원본명단!$C$3:$C$6002,MATCH("R"&amp;422,정리결과!$J$6:$J$6005,0))),""))</f>
        <v/>
      </c>
      <c r="D427" s="10" t="str">
        <f aca="false">IF($A427="","",IFERROR(IF(INDEX(원본명단!$D$3:$D$6002,MATCH("R"&amp;422,정리결과!$J$6:$J$6005,0))="","",INDEX(원본명단!$D$3:$D$6002,MATCH("R"&amp;422,정리결과!$J$6:$J$6005,0))),""))</f>
        <v/>
      </c>
      <c r="E427" s="10" t="str">
        <f aca="false">IF($A427="","",IFERROR(IF(INDEX(원본명단!$E$3:$E$6002,MATCH("R"&amp;422,정리결과!$J$6:$J$6005,0))="","",INDEX(원본명단!$E$3:$E$6002,MATCH("R"&amp;422,정리결과!$J$6:$J$6005,0))),""))</f>
        <v/>
      </c>
      <c r="F427" s="10" t="str">
        <f aca="false">IF($A427="","",IFERROR(IF(INDEX(원본명단!$F$3:$F$6002,MATCH("R"&amp;422,정리결과!$J$6:$J$6005,0))="","",INDEX(원본명단!$F$3:$F$6002,MATCH("R"&amp;422,정리결과!$J$6:$J$6005,0))),""))</f>
        <v/>
      </c>
      <c r="H427" s="14" t="b">
        <f aca="false">IF(중복검사!$A425="",FALSE(),중복검사!$J425="유지")</f>
        <v>0</v>
      </c>
      <c r="I427" s="5" t="str">
        <f aca="false">IF($H427=FALSE(),"",COUNTIF($H$6:$H427,TRUE()))</f>
        <v/>
      </c>
      <c r="J427" s="5" t="str">
        <f aca="false">IF($I427="","","R"&amp;$I427)</f>
        <v/>
      </c>
    </row>
    <row r="428" customFormat="false" ht="15" hidden="false" customHeight="true" outlineLevel="0" collapsed="false">
      <c r="A428" s="10" t="str">
        <f aca="false">IFERROR(IF(INDEX(원본명단!$A$3:$A$6002,MATCH("R"&amp;423,정리결과!$J$6:$J$6005,0))="","",INDEX(원본명단!$A$3:$A$6002,MATCH("R"&amp;423,정리결과!$J$6:$J$6005,0))),"")</f>
        <v/>
      </c>
      <c r="B428" s="10" t="str">
        <f aca="false">IF($A428="","",IFERROR(IF(INDEX(원본명단!$B$3:$B$6002,MATCH("R"&amp;423,정리결과!$J$6:$J$6005,0))="","",INDEX(원본명단!$B$3:$B$6002,MATCH("R"&amp;423,정리결과!$J$6:$J$6005,0))),""))</f>
        <v/>
      </c>
      <c r="C428" s="10" t="str">
        <f aca="false">IF($A428="","",IFERROR(IF(INDEX(원본명단!$C$3:$C$6002,MATCH("R"&amp;423,정리결과!$J$6:$J$6005,0))="","",INDEX(원본명단!$C$3:$C$6002,MATCH("R"&amp;423,정리결과!$J$6:$J$6005,0))),""))</f>
        <v/>
      </c>
      <c r="D428" s="10" t="str">
        <f aca="false">IF($A428="","",IFERROR(IF(INDEX(원본명단!$D$3:$D$6002,MATCH("R"&amp;423,정리결과!$J$6:$J$6005,0))="","",INDEX(원본명단!$D$3:$D$6002,MATCH("R"&amp;423,정리결과!$J$6:$J$6005,0))),""))</f>
        <v/>
      </c>
      <c r="E428" s="10" t="str">
        <f aca="false">IF($A428="","",IFERROR(IF(INDEX(원본명단!$E$3:$E$6002,MATCH("R"&amp;423,정리결과!$J$6:$J$6005,0))="","",INDEX(원본명단!$E$3:$E$6002,MATCH("R"&amp;423,정리결과!$J$6:$J$6005,0))),""))</f>
        <v/>
      </c>
      <c r="F428" s="10" t="str">
        <f aca="false">IF($A428="","",IFERROR(IF(INDEX(원본명단!$F$3:$F$6002,MATCH("R"&amp;423,정리결과!$J$6:$J$6005,0))="","",INDEX(원본명단!$F$3:$F$6002,MATCH("R"&amp;423,정리결과!$J$6:$J$6005,0))),""))</f>
        <v/>
      </c>
      <c r="H428" s="14" t="b">
        <f aca="false">IF(중복검사!$A426="",FALSE(),중복검사!$J426="유지")</f>
        <v>0</v>
      </c>
      <c r="I428" s="5" t="str">
        <f aca="false">IF($H428=FALSE(),"",COUNTIF($H$6:$H428,TRUE()))</f>
        <v/>
      </c>
      <c r="J428" s="5" t="str">
        <f aca="false">IF($I428="","","R"&amp;$I428)</f>
        <v/>
      </c>
    </row>
    <row r="429" customFormat="false" ht="15" hidden="false" customHeight="true" outlineLevel="0" collapsed="false">
      <c r="A429" s="10" t="str">
        <f aca="false">IFERROR(IF(INDEX(원본명단!$A$3:$A$6002,MATCH("R"&amp;424,정리결과!$J$6:$J$6005,0))="","",INDEX(원본명단!$A$3:$A$6002,MATCH("R"&amp;424,정리결과!$J$6:$J$6005,0))),"")</f>
        <v/>
      </c>
      <c r="B429" s="10" t="str">
        <f aca="false">IF($A429="","",IFERROR(IF(INDEX(원본명단!$B$3:$B$6002,MATCH("R"&amp;424,정리결과!$J$6:$J$6005,0))="","",INDEX(원본명단!$B$3:$B$6002,MATCH("R"&amp;424,정리결과!$J$6:$J$6005,0))),""))</f>
        <v/>
      </c>
      <c r="C429" s="10" t="str">
        <f aca="false">IF($A429="","",IFERROR(IF(INDEX(원본명단!$C$3:$C$6002,MATCH("R"&amp;424,정리결과!$J$6:$J$6005,0))="","",INDEX(원본명단!$C$3:$C$6002,MATCH("R"&amp;424,정리결과!$J$6:$J$6005,0))),""))</f>
        <v/>
      </c>
      <c r="D429" s="10" t="str">
        <f aca="false">IF($A429="","",IFERROR(IF(INDEX(원본명단!$D$3:$D$6002,MATCH("R"&amp;424,정리결과!$J$6:$J$6005,0))="","",INDEX(원본명단!$D$3:$D$6002,MATCH("R"&amp;424,정리결과!$J$6:$J$6005,0))),""))</f>
        <v/>
      </c>
      <c r="E429" s="10" t="str">
        <f aca="false">IF($A429="","",IFERROR(IF(INDEX(원본명단!$E$3:$E$6002,MATCH("R"&amp;424,정리결과!$J$6:$J$6005,0))="","",INDEX(원본명단!$E$3:$E$6002,MATCH("R"&amp;424,정리결과!$J$6:$J$6005,0))),""))</f>
        <v/>
      </c>
      <c r="F429" s="10" t="str">
        <f aca="false">IF($A429="","",IFERROR(IF(INDEX(원본명단!$F$3:$F$6002,MATCH("R"&amp;424,정리결과!$J$6:$J$6005,0))="","",INDEX(원본명단!$F$3:$F$6002,MATCH("R"&amp;424,정리결과!$J$6:$J$6005,0))),""))</f>
        <v/>
      </c>
      <c r="H429" s="14" t="b">
        <f aca="false">IF(중복검사!$A427="",FALSE(),중복검사!$J427="유지")</f>
        <v>0</v>
      </c>
      <c r="I429" s="5" t="str">
        <f aca="false">IF($H429=FALSE(),"",COUNTIF($H$6:$H429,TRUE()))</f>
        <v/>
      </c>
      <c r="J429" s="5" t="str">
        <f aca="false">IF($I429="","","R"&amp;$I429)</f>
        <v/>
      </c>
    </row>
    <row r="430" customFormat="false" ht="15" hidden="false" customHeight="true" outlineLevel="0" collapsed="false">
      <c r="A430" s="10" t="str">
        <f aca="false">IFERROR(IF(INDEX(원본명단!$A$3:$A$6002,MATCH("R"&amp;425,정리결과!$J$6:$J$6005,0))="","",INDEX(원본명단!$A$3:$A$6002,MATCH("R"&amp;425,정리결과!$J$6:$J$6005,0))),"")</f>
        <v/>
      </c>
      <c r="B430" s="10" t="str">
        <f aca="false">IF($A430="","",IFERROR(IF(INDEX(원본명단!$B$3:$B$6002,MATCH("R"&amp;425,정리결과!$J$6:$J$6005,0))="","",INDEX(원본명단!$B$3:$B$6002,MATCH("R"&amp;425,정리결과!$J$6:$J$6005,0))),""))</f>
        <v/>
      </c>
      <c r="C430" s="10" t="str">
        <f aca="false">IF($A430="","",IFERROR(IF(INDEX(원본명단!$C$3:$C$6002,MATCH("R"&amp;425,정리결과!$J$6:$J$6005,0))="","",INDEX(원본명단!$C$3:$C$6002,MATCH("R"&amp;425,정리결과!$J$6:$J$6005,0))),""))</f>
        <v/>
      </c>
      <c r="D430" s="10" t="str">
        <f aca="false">IF($A430="","",IFERROR(IF(INDEX(원본명단!$D$3:$D$6002,MATCH("R"&amp;425,정리결과!$J$6:$J$6005,0))="","",INDEX(원본명단!$D$3:$D$6002,MATCH("R"&amp;425,정리결과!$J$6:$J$6005,0))),""))</f>
        <v/>
      </c>
      <c r="E430" s="10" t="str">
        <f aca="false">IF($A430="","",IFERROR(IF(INDEX(원본명단!$E$3:$E$6002,MATCH("R"&amp;425,정리결과!$J$6:$J$6005,0))="","",INDEX(원본명단!$E$3:$E$6002,MATCH("R"&amp;425,정리결과!$J$6:$J$6005,0))),""))</f>
        <v/>
      </c>
      <c r="F430" s="10" t="str">
        <f aca="false">IF($A430="","",IFERROR(IF(INDEX(원본명단!$F$3:$F$6002,MATCH("R"&amp;425,정리결과!$J$6:$J$6005,0))="","",INDEX(원본명단!$F$3:$F$6002,MATCH("R"&amp;425,정리결과!$J$6:$J$6005,0))),""))</f>
        <v/>
      </c>
      <c r="H430" s="14" t="b">
        <f aca="false">IF(중복검사!$A428="",FALSE(),중복검사!$J428="유지")</f>
        <v>0</v>
      </c>
      <c r="I430" s="5" t="str">
        <f aca="false">IF($H430=FALSE(),"",COUNTIF($H$6:$H430,TRUE()))</f>
        <v/>
      </c>
      <c r="J430" s="5" t="str">
        <f aca="false">IF($I430="","","R"&amp;$I430)</f>
        <v/>
      </c>
    </row>
    <row r="431" customFormat="false" ht="15" hidden="false" customHeight="true" outlineLevel="0" collapsed="false">
      <c r="A431" s="10" t="str">
        <f aca="false">IFERROR(IF(INDEX(원본명단!$A$3:$A$6002,MATCH("R"&amp;426,정리결과!$J$6:$J$6005,0))="","",INDEX(원본명단!$A$3:$A$6002,MATCH("R"&amp;426,정리결과!$J$6:$J$6005,0))),"")</f>
        <v/>
      </c>
      <c r="B431" s="10" t="str">
        <f aca="false">IF($A431="","",IFERROR(IF(INDEX(원본명단!$B$3:$B$6002,MATCH("R"&amp;426,정리결과!$J$6:$J$6005,0))="","",INDEX(원본명단!$B$3:$B$6002,MATCH("R"&amp;426,정리결과!$J$6:$J$6005,0))),""))</f>
        <v/>
      </c>
      <c r="C431" s="10" t="str">
        <f aca="false">IF($A431="","",IFERROR(IF(INDEX(원본명단!$C$3:$C$6002,MATCH("R"&amp;426,정리결과!$J$6:$J$6005,0))="","",INDEX(원본명단!$C$3:$C$6002,MATCH("R"&amp;426,정리결과!$J$6:$J$6005,0))),""))</f>
        <v/>
      </c>
      <c r="D431" s="10" t="str">
        <f aca="false">IF($A431="","",IFERROR(IF(INDEX(원본명단!$D$3:$D$6002,MATCH("R"&amp;426,정리결과!$J$6:$J$6005,0))="","",INDEX(원본명단!$D$3:$D$6002,MATCH("R"&amp;426,정리결과!$J$6:$J$6005,0))),""))</f>
        <v/>
      </c>
      <c r="E431" s="10" t="str">
        <f aca="false">IF($A431="","",IFERROR(IF(INDEX(원본명단!$E$3:$E$6002,MATCH("R"&amp;426,정리결과!$J$6:$J$6005,0))="","",INDEX(원본명단!$E$3:$E$6002,MATCH("R"&amp;426,정리결과!$J$6:$J$6005,0))),""))</f>
        <v/>
      </c>
      <c r="F431" s="10" t="str">
        <f aca="false">IF($A431="","",IFERROR(IF(INDEX(원본명단!$F$3:$F$6002,MATCH("R"&amp;426,정리결과!$J$6:$J$6005,0))="","",INDEX(원본명단!$F$3:$F$6002,MATCH("R"&amp;426,정리결과!$J$6:$J$6005,0))),""))</f>
        <v/>
      </c>
      <c r="H431" s="14" t="b">
        <f aca="false">IF(중복검사!$A429="",FALSE(),중복검사!$J429="유지")</f>
        <v>0</v>
      </c>
      <c r="I431" s="5" t="str">
        <f aca="false">IF($H431=FALSE(),"",COUNTIF($H$6:$H431,TRUE()))</f>
        <v/>
      </c>
      <c r="J431" s="5" t="str">
        <f aca="false">IF($I431="","","R"&amp;$I431)</f>
        <v/>
      </c>
    </row>
    <row r="432" customFormat="false" ht="15" hidden="false" customHeight="true" outlineLevel="0" collapsed="false">
      <c r="A432" s="10" t="str">
        <f aca="false">IFERROR(IF(INDEX(원본명단!$A$3:$A$6002,MATCH("R"&amp;427,정리결과!$J$6:$J$6005,0))="","",INDEX(원본명단!$A$3:$A$6002,MATCH("R"&amp;427,정리결과!$J$6:$J$6005,0))),"")</f>
        <v/>
      </c>
      <c r="B432" s="10" t="str">
        <f aca="false">IF($A432="","",IFERROR(IF(INDEX(원본명단!$B$3:$B$6002,MATCH("R"&amp;427,정리결과!$J$6:$J$6005,0))="","",INDEX(원본명단!$B$3:$B$6002,MATCH("R"&amp;427,정리결과!$J$6:$J$6005,0))),""))</f>
        <v/>
      </c>
      <c r="C432" s="10" t="str">
        <f aca="false">IF($A432="","",IFERROR(IF(INDEX(원본명단!$C$3:$C$6002,MATCH("R"&amp;427,정리결과!$J$6:$J$6005,0))="","",INDEX(원본명단!$C$3:$C$6002,MATCH("R"&amp;427,정리결과!$J$6:$J$6005,0))),""))</f>
        <v/>
      </c>
      <c r="D432" s="10" t="str">
        <f aca="false">IF($A432="","",IFERROR(IF(INDEX(원본명단!$D$3:$D$6002,MATCH("R"&amp;427,정리결과!$J$6:$J$6005,0))="","",INDEX(원본명단!$D$3:$D$6002,MATCH("R"&amp;427,정리결과!$J$6:$J$6005,0))),""))</f>
        <v/>
      </c>
      <c r="E432" s="10" t="str">
        <f aca="false">IF($A432="","",IFERROR(IF(INDEX(원본명단!$E$3:$E$6002,MATCH("R"&amp;427,정리결과!$J$6:$J$6005,0))="","",INDEX(원본명단!$E$3:$E$6002,MATCH("R"&amp;427,정리결과!$J$6:$J$6005,0))),""))</f>
        <v/>
      </c>
      <c r="F432" s="10" t="str">
        <f aca="false">IF($A432="","",IFERROR(IF(INDEX(원본명단!$F$3:$F$6002,MATCH("R"&amp;427,정리결과!$J$6:$J$6005,0))="","",INDEX(원본명단!$F$3:$F$6002,MATCH("R"&amp;427,정리결과!$J$6:$J$6005,0))),""))</f>
        <v/>
      </c>
      <c r="H432" s="14" t="b">
        <f aca="false">IF(중복검사!$A430="",FALSE(),중복검사!$J430="유지")</f>
        <v>0</v>
      </c>
      <c r="I432" s="5" t="str">
        <f aca="false">IF($H432=FALSE(),"",COUNTIF($H$6:$H432,TRUE()))</f>
        <v/>
      </c>
      <c r="J432" s="5" t="str">
        <f aca="false">IF($I432="","","R"&amp;$I432)</f>
        <v/>
      </c>
    </row>
    <row r="433" customFormat="false" ht="15" hidden="false" customHeight="true" outlineLevel="0" collapsed="false">
      <c r="A433" s="10" t="str">
        <f aca="false">IFERROR(IF(INDEX(원본명단!$A$3:$A$6002,MATCH("R"&amp;428,정리결과!$J$6:$J$6005,0))="","",INDEX(원본명단!$A$3:$A$6002,MATCH("R"&amp;428,정리결과!$J$6:$J$6005,0))),"")</f>
        <v/>
      </c>
      <c r="B433" s="10" t="str">
        <f aca="false">IF($A433="","",IFERROR(IF(INDEX(원본명단!$B$3:$B$6002,MATCH("R"&amp;428,정리결과!$J$6:$J$6005,0))="","",INDEX(원본명단!$B$3:$B$6002,MATCH("R"&amp;428,정리결과!$J$6:$J$6005,0))),""))</f>
        <v/>
      </c>
      <c r="C433" s="10" t="str">
        <f aca="false">IF($A433="","",IFERROR(IF(INDEX(원본명단!$C$3:$C$6002,MATCH("R"&amp;428,정리결과!$J$6:$J$6005,0))="","",INDEX(원본명단!$C$3:$C$6002,MATCH("R"&amp;428,정리결과!$J$6:$J$6005,0))),""))</f>
        <v/>
      </c>
      <c r="D433" s="10" t="str">
        <f aca="false">IF($A433="","",IFERROR(IF(INDEX(원본명단!$D$3:$D$6002,MATCH("R"&amp;428,정리결과!$J$6:$J$6005,0))="","",INDEX(원본명단!$D$3:$D$6002,MATCH("R"&amp;428,정리결과!$J$6:$J$6005,0))),""))</f>
        <v/>
      </c>
      <c r="E433" s="10" t="str">
        <f aca="false">IF($A433="","",IFERROR(IF(INDEX(원본명단!$E$3:$E$6002,MATCH("R"&amp;428,정리결과!$J$6:$J$6005,0))="","",INDEX(원본명단!$E$3:$E$6002,MATCH("R"&amp;428,정리결과!$J$6:$J$6005,0))),""))</f>
        <v/>
      </c>
      <c r="F433" s="10" t="str">
        <f aca="false">IF($A433="","",IFERROR(IF(INDEX(원본명단!$F$3:$F$6002,MATCH("R"&amp;428,정리결과!$J$6:$J$6005,0))="","",INDEX(원본명단!$F$3:$F$6002,MATCH("R"&amp;428,정리결과!$J$6:$J$6005,0))),""))</f>
        <v/>
      </c>
      <c r="H433" s="14" t="b">
        <f aca="false">IF(중복검사!$A431="",FALSE(),중복검사!$J431="유지")</f>
        <v>0</v>
      </c>
      <c r="I433" s="5" t="str">
        <f aca="false">IF($H433=FALSE(),"",COUNTIF($H$6:$H433,TRUE()))</f>
        <v/>
      </c>
      <c r="J433" s="5" t="str">
        <f aca="false">IF($I433="","","R"&amp;$I433)</f>
        <v/>
      </c>
    </row>
    <row r="434" customFormat="false" ht="15" hidden="false" customHeight="true" outlineLevel="0" collapsed="false">
      <c r="A434" s="10" t="str">
        <f aca="false">IFERROR(IF(INDEX(원본명단!$A$3:$A$6002,MATCH("R"&amp;429,정리결과!$J$6:$J$6005,0))="","",INDEX(원본명단!$A$3:$A$6002,MATCH("R"&amp;429,정리결과!$J$6:$J$6005,0))),"")</f>
        <v/>
      </c>
      <c r="B434" s="10" t="str">
        <f aca="false">IF($A434="","",IFERROR(IF(INDEX(원본명단!$B$3:$B$6002,MATCH("R"&amp;429,정리결과!$J$6:$J$6005,0))="","",INDEX(원본명단!$B$3:$B$6002,MATCH("R"&amp;429,정리결과!$J$6:$J$6005,0))),""))</f>
        <v/>
      </c>
      <c r="C434" s="10" t="str">
        <f aca="false">IF($A434="","",IFERROR(IF(INDEX(원본명단!$C$3:$C$6002,MATCH("R"&amp;429,정리결과!$J$6:$J$6005,0))="","",INDEX(원본명단!$C$3:$C$6002,MATCH("R"&amp;429,정리결과!$J$6:$J$6005,0))),""))</f>
        <v/>
      </c>
      <c r="D434" s="10" t="str">
        <f aca="false">IF($A434="","",IFERROR(IF(INDEX(원본명단!$D$3:$D$6002,MATCH("R"&amp;429,정리결과!$J$6:$J$6005,0))="","",INDEX(원본명단!$D$3:$D$6002,MATCH("R"&amp;429,정리결과!$J$6:$J$6005,0))),""))</f>
        <v/>
      </c>
      <c r="E434" s="10" t="str">
        <f aca="false">IF($A434="","",IFERROR(IF(INDEX(원본명단!$E$3:$E$6002,MATCH("R"&amp;429,정리결과!$J$6:$J$6005,0))="","",INDEX(원본명단!$E$3:$E$6002,MATCH("R"&amp;429,정리결과!$J$6:$J$6005,0))),""))</f>
        <v/>
      </c>
      <c r="F434" s="10" t="str">
        <f aca="false">IF($A434="","",IFERROR(IF(INDEX(원본명단!$F$3:$F$6002,MATCH("R"&amp;429,정리결과!$J$6:$J$6005,0))="","",INDEX(원본명단!$F$3:$F$6002,MATCH("R"&amp;429,정리결과!$J$6:$J$6005,0))),""))</f>
        <v/>
      </c>
      <c r="H434" s="14" t="b">
        <f aca="false">IF(중복검사!$A432="",FALSE(),중복검사!$J432="유지")</f>
        <v>0</v>
      </c>
      <c r="I434" s="5" t="str">
        <f aca="false">IF($H434=FALSE(),"",COUNTIF($H$6:$H434,TRUE()))</f>
        <v/>
      </c>
      <c r="J434" s="5" t="str">
        <f aca="false">IF($I434="","","R"&amp;$I434)</f>
        <v/>
      </c>
    </row>
    <row r="435" customFormat="false" ht="15" hidden="false" customHeight="true" outlineLevel="0" collapsed="false">
      <c r="A435" s="10" t="str">
        <f aca="false">IFERROR(IF(INDEX(원본명단!$A$3:$A$6002,MATCH("R"&amp;430,정리결과!$J$6:$J$6005,0))="","",INDEX(원본명단!$A$3:$A$6002,MATCH("R"&amp;430,정리결과!$J$6:$J$6005,0))),"")</f>
        <v/>
      </c>
      <c r="B435" s="10" t="str">
        <f aca="false">IF($A435="","",IFERROR(IF(INDEX(원본명단!$B$3:$B$6002,MATCH("R"&amp;430,정리결과!$J$6:$J$6005,0))="","",INDEX(원본명단!$B$3:$B$6002,MATCH("R"&amp;430,정리결과!$J$6:$J$6005,0))),""))</f>
        <v/>
      </c>
      <c r="C435" s="10" t="str">
        <f aca="false">IF($A435="","",IFERROR(IF(INDEX(원본명단!$C$3:$C$6002,MATCH("R"&amp;430,정리결과!$J$6:$J$6005,0))="","",INDEX(원본명단!$C$3:$C$6002,MATCH("R"&amp;430,정리결과!$J$6:$J$6005,0))),""))</f>
        <v/>
      </c>
      <c r="D435" s="10" t="str">
        <f aca="false">IF($A435="","",IFERROR(IF(INDEX(원본명단!$D$3:$D$6002,MATCH("R"&amp;430,정리결과!$J$6:$J$6005,0))="","",INDEX(원본명단!$D$3:$D$6002,MATCH("R"&amp;430,정리결과!$J$6:$J$6005,0))),""))</f>
        <v/>
      </c>
      <c r="E435" s="10" t="str">
        <f aca="false">IF($A435="","",IFERROR(IF(INDEX(원본명단!$E$3:$E$6002,MATCH("R"&amp;430,정리결과!$J$6:$J$6005,0))="","",INDEX(원본명단!$E$3:$E$6002,MATCH("R"&amp;430,정리결과!$J$6:$J$6005,0))),""))</f>
        <v/>
      </c>
      <c r="F435" s="10" t="str">
        <f aca="false">IF($A435="","",IFERROR(IF(INDEX(원본명단!$F$3:$F$6002,MATCH("R"&amp;430,정리결과!$J$6:$J$6005,0))="","",INDEX(원본명단!$F$3:$F$6002,MATCH("R"&amp;430,정리결과!$J$6:$J$6005,0))),""))</f>
        <v/>
      </c>
      <c r="H435" s="14" t="b">
        <f aca="false">IF(중복검사!$A433="",FALSE(),중복검사!$J433="유지")</f>
        <v>0</v>
      </c>
      <c r="I435" s="5" t="str">
        <f aca="false">IF($H435=FALSE(),"",COUNTIF($H$6:$H435,TRUE()))</f>
        <v/>
      </c>
      <c r="J435" s="5" t="str">
        <f aca="false">IF($I435="","","R"&amp;$I435)</f>
        <v/>
      </c>
    </row>
    <row r="436" customFormat="false" ht="15" hidden="false" customHeight="true" outlineLevel="0" collapsed="false">
      <c r="A436" s="10" t="str">
        <f aca="false">IFERROR(IF(INDEX(원본명단!$A$3:$A$6002,MATCH("R"&amp;431,정리결과!$J$6:$J$6005,0))="","",INDEX(원본명단!$A$3:$A$6002,MATCH("R"&amp;431,정리결과!$J$6:$J$6005,0))),"")</f>
        <v/>
      </c>
      <c r="B436" s="10" t="str">
        <f aca="false">IF($A436="","",IFERROR(IF(INDEX(원본명단!$B$3:$B$6002,MATCH("R"&amp;431,정리결과!$J$6:$J$6005,0))="","",INDEX(원본명단!$B$3:$B$6002,MATCH("R"&amp;431,정리결과!$J$6:$J$6005,0))),""))</f>
        <v/>
      </c>
      <c r="C436" s="10" t="str">
        <f aca="false">IF($A436="","",IFERROR(IF(INDEX(원본명단!$C$3:$C$6002,MATCH("R"&amp;431,정리결과!$J$6:$J$6005,0))="","",INDEX(원본명단!$C$3:$C$6002,MATCH("R"&amp;431,정리결과!$J$6:$J$6005,0))),""))</f>
        <v/>
      </c>
      <c r="D436" s="10" t="str">
        <f aca="false">IF($A436="","",IFERROR(IF(INDEX(원본명단!$D$3:$D$6002,MATCH("R"&amp;431,정리결과!$J$6:$J$6005,0))="","",INDEX(원본명단!$D$3:$D$6002,MATCH("R"&amp;431,정리결과!$J$6:$J$6005,0))),""))</f>
        <v/>
      </c>
      <c r="E436" s="10" t="str">
        <f aca="false">IF($A436="","",IFERROR(IF(INDEX(원본명단!$E$3:$E$6002,MATCH("R"&amp;431,정리결과!$J$6:$J$6005,0))="","",INDEX(원본명단!$E$3:$E$6002,MATCH("R"&amp;431,정리결과!$J$6:$J$6005,0))),""))</f>
        <v/>
      </c>
      <c r="F436" s="10" t="str">
        <f aca="false">IF($A436="","",IFERROR(IF(INDEX(원본명단!$F$3:$F$6002,MATCH("R"&amp;431,정리결과!$J$6:$J$6005,0))="","",INDEX(원본명단!$F$3:$F$6002,MATCH("R"&amp;431,정리결과!$J$6:$J$6005,0))),""))</f>
        <v/>
      </c>
      <c r="H436" s="14" t="b">
        <f aca="false">IF(중복검사!$A434="",FALSE(),중복검사!$J434="유지")</f>
        <v>0</v>
      </c>
      <c r="I436" s="5" t="str">
        <f aca="false">IF($H436=FALSE(),"",COUNTIF($H$6:$H436,TRUE()))</f>
        <v/>
      </c>
      <c r="J436" s="5" t="str">
        <f aca="false">IF($I436="","","R"&amp;$I436)</f>
        <v/>
      </c>
    </row>
    <row r="437" customFormat="false" ht="15" hidden="false" customHeight="true" outlineLevel="0" collapsed="false">
      <c r="A437" s="10" t="str">
        <f aca="false">IFERROR(IF(INDEX(원본명단!$A$3:$A$6002,MATCH("R"&amp;432,정리결과!$J$6:$J$6005,0))="","",INDEX(원본명단!$A$3:$A$6002,MATCH("R"&amp;432,정리결과!$J$6:$J$6005,0))),"")</f>
        <v/>
      </c>
      <c r="B437" s="10" t="str">
        <f aca="false">IF($A437="","",IFERROR(IF(INDEX(원본명단!$B$3:$B$6002,MATCH("R"&amp;432,정리결과!$J$6:$J$6005,0))="","",INDEX(원본명단!$B$3:$B$6002,MATCH("R"&amp;432,정리결과!$J$6:$J$6005,0))),""))</f>
        <v/>
      </c>
      <c r="C437" s="10" t="str">
        <f aca="false">IF($A437="","",IFERROR(IF(INDEX(원본명단!$C$3:$C$6002,MATCH("R"&amp;432,정리결과!$J$6:$J$6005,0))="","",INDEX(원본명단!$C$3:$C$6002,MATCH("R"&amp;432,정리결과!$J$6:$J$6005,0))),""))</f>
        <v/>
      </c>
      <c r="D437" s="10" t="str">
        <f aca="false">IF($A437="","",IFERROR(IF(INDEX(원본명단!$D$3:$D$6002,MATCH("R"&amp;432,정리결과!$J$6:$J$6005,0))="","",INDEX(원본명단!$D$3:$D$6002,MATCH("R"&amp;432,정리결과!$J$6:$J$6005,0))),""))</f>
        <v/>
      </c>
      <c r="E437" s="10" t="str">
        <f aca="false">IF($A437="","",IFERROR(IF(INDEX(원본명단!$E$3:$E$6002,MATCH("R"&amp;432,정리결과!$J$6:$J$6005,0))="","",INDEX(원본명단!$E$3:$E$6002,MATCH("R"&amp;432,정리결과!$J$6:$J$6005,0))),""))</f>
        <v/>
      </c>
      <c r="F437" s="10" t="str">
        <f aca="false">IF($A437="","",IFERROR(IF(INDEX(원본명단!$F$3:$F$6002,MATCH("R"&amp;432,정리결과!$J$6:$J$6005,0))="","",INDEX(원본명단!$F$3:$F$6002,MATCH("R"&amp;432,정리결과!$J$6:$J$6005,0))),""))</f>
        <v/>
      </c>
      <c r="H437" s="14" t="b">
        <f aca="false">IF(중복검사!$A435="",FALSE(),중복검사!$J435="유지")</f>
        <v>0</v>
      </c>
      <c r="I437" s="5" t="str">
        <f aca="false">IF($H437=FALSE(),"",COUNTIF($H$6:$H437,TRUE()))</f>
        <v/>
      </c>
      <c r="J437" s="5" t="str">
        <f aca="false">IF($I437="","","R"&amp;$I437)</f>
        <v/>
      </c>
    </row>
    <row r="438" customFormat="false" ht="15" hidden="false" customHeight="true" outlineLevel="0" collapsed="false">
      <c r="A438" s="10" t="str">
        <f aca="false">IFERROR(IF(INDEX(원본명단!$A$3:$A$6002,MATCH("R"&amp;433,정리결과!$J$6:$J$6005,0))="","",INDEX(원본명단!$A$3:$A$6002,MATCH("R"&amp;433,정리결과!$J$6:$J$6005,0))),"")</f>
        <v/>
      </c>
      <c r="B438" s="10" t="str">
        <f aca="false">IF($A438="","",IFERROR(IF(INDEX(원본명단!$B$3:$B$6002,MATCH("R"&amp;433,정리결과!$J$6:$J$6005,0))="","",INDEX(원본명단!$B$3:$B$6002,MATCH("R"&amp;433,정리결과!$J$6:$J$6005,0))),""))</f>
        <v/>
      </c>
      <c r="C438" s="10" t="str">
        <f aca="false">IF($A438="","",IFERROR(IF(INDEX(원본명단!$C$3:$C$6002,MATCH("R"&amp;433,정리결과!$J$6:$J$6005,0))="","",INDEX(원본명단!$C$3:$C$6002,MATCH("R"&amp;433,정리결과!$J$6:$J$6005,0))),""))</f>
        <v/>
      </c>
      <c r="D438" s="10" t="str">
        <f aca="false">IF($A438="","",IFERROR(IF(INDEX(원본명단!$D$3:$D$6002,MATCH("R"&amp;433,정리결과!$J$6:$J$6005,0))="","",INDEX(원본명단!$D$3:$D$6002,MATCH("R"&amp;433,정리결과!$J$6:$J$6005,0))),""))</f>
        <v/>
      </c>
      <c r="E438" s="10" t="str">
        <f aca="false">IF($A438="","",IFERROR(IF(INDEX(원본명단!$E$3:$E$6002,MATCH("R"&amp;433,정리결과!$J$6:$J$6005,0))="","",INDEX(원본명단!$E$3:$E$6002,MATCH("R"&amp;433,정리결과!$J$6:$J$6005,0))),""))</f>
        <v/>
      </c>
      <c r="F438" s="10" t="str">
        <f aca="false">IF($A438="","",IFERROR(IF(INDEX(원본명단!$F$3:$F$6002,MATCH("R"&amp;433,정리결과!$J$6:$J$6005,0))="","",INDEX(원본명단!$F$3:$F$6002,MATCH("R"&amp;433,정리결과!$J$6:$J$6005,0))),""))</f>
        <v/>
      </c>
      <c r="H438" s="14" t="b">
        <f aca="false">IF(중복검사!$A436="",FALSE(),중복검사!$J436="유지")</f>
        <v>0</v>
      </c>
      <c r="I438" s="5" t="str">
        <f aca="false">IF($H438=FALSE(),"",COUNTIF($H$6:$H438,TRUE()))</f>
        <v/>
      </c>
      <c r="J438" s="5" t="str">
        <f aca="false">IF($I438="","","R"&amp;$I438)</f>
        <v/>
      </c>
    </row>
    <row r="439" customFormat="false" ht="15" hidden="false" customHeight="true" outlineLevel="0" collapsed="false">
      <c r="A439" s="10" t="str">
        <f aca="false">IFERROR(IF(INDEX(원본명단!$A$3:$A$6002,MATCH("R"&amp;434,정리결과!$J$6:$J$6005,0))="","",INDEX(원본명단!$A$3:$A$6002,MATCH("R"&amp;434,정리결과!$J$6:$J$6005,0))),"")</f>
        <v/>
      </c>
      <c r="B439" s="10" t="str">
        <f aca="false">IF($A439="","",IFERROR(IF(INDEX(원본명단!$B$3:$B$6002,MATCH("R"&amp;434,정리결과!$J$6:$J$6005,0))="","",INDEX(원본명단!$B$3:$B$6002,MATCH("R"&amp;434,정리결과!$J$6:$J$6005,0))),""))</f>
        <v/>
      </c>
      <c r="C439" s="10" t="str">
        <f aca="false">IF($A439="","",IFERROR(IF(INDEX(원본명단!$C$3:$C$6002,MATCH("R"&amp;434,정리결과!$J$6:$J$6005,0))="","",INDEX(원본명단!$C$3:$C$6002,MATCH("R"&amp;434,정리결과!$J$6:$J$6005,0))),""))</f>
        <v/>
      </c>
      <c r="D439" s="10" t="str">
        <f aca="false">IF($A439="","",IFERROR(IF(INDEX(원본명단!$D$3:$D$6002,MATCH("R"&amp;434,정리결과!$J$6:$J$6005,0))="","",INDEX(원본명단!$D$3:$D$6002,MATCH("R"&amp;434,정리결과!$J$6:$J$6005,0))),""))</f>
        <v/>
      </c>
      <c r="E439" s="10" t="str">
        <f aca="false">IF($A439="","",IFERROR(IF(INDEX(원본명단!$E$3:$E$6002,MATCH("R"&amp;434,정리결과!$J$6:$J$6005,0))="","",INDEX(원본명단!$E$3:$E$6002,MATCH("R"&amp;434,정리결과!$J$6:$J$6005,0))),""))</f>
        <v/>
      </c>
      <c r="F439" s="10" t="str">
        <f aca="false">IF($A439="","",IFERROR(IF(INDEX(원본명단!$F$3:$F$6002,MATCH("R"&amp;434,정리결과!$J$6:$J$6005,0))="","",INDEX(원본명단!$F$3:$F$6002,MATCH("R"&amp;434,정리결과!$J$6:$J$6005,0))),""))</f>
        <v/>
      </c>
      <c r="H439" s="14" t="b">
        <f aca="false">IF(중복검사!$A437="",FALSE(),중복검사!$J437="유지")</f>
        <v>0</v>
      </c>
      <c r="I439" s="5" t="str">
        <f aca="false">IF($H439=FALSE(),"",COUNTIF($H$6:$H439,TRUE()))</f>
        <v/>
      </c>
      <c r="J439" s="5" t="str">
        <f aca="false">IF($I439="","","R"&amp;$I439)</f>
        <v/>
      </c>
    </row>
    <row r="440" customFormat="false" ht="15" hidden="false" customHeight="true" outlineLevel="0" collapsed="false">
      <c r="A440" s="10" t="str">
        <f aca="false">IFERROR(IF(INDEX(원본명단!$A$3:$A$6002,MATCH("R"&amp;435,정리결과!$J$6:$J$6005,0))="","",INDEX(원본명단!$A$3:$A$6002,MATCH("R"&amp;435,정리결과!$J$6:$J$6005,0))),"")</f>
        <v/>
      </c>
      <c r="B440" s="10" t="str">
        <f aca="false">IF($A440="","",IFERROR(IF(INDEX(원본명단!$B$3:$B$6002,MATCH("R"&amp;435,정리결과!$J$6:$J$6005,0))="","",INDEX(원본명단!$B$3:$B$6002,MATCH("R"&amp;435,정리결과!$J$6:$J$6005,0))),""))</f>
        <v/>
      </c>
      <c r="C440" s="10" t="str">
        <f aca="false">IF($A440="","",IFERROR(IF(INDEX(원본명단!$C$3:$C$6002,MATCH("R"&amp;435,정리결과!$J$6:$J$6005,0))="","",INDEX(원본명단!$C$3:$C$6002,MATCH("R"&amp;435,정리결과!$J$6:$J$6005,0))),""))</f>
        <v/>
      </c>
      <c r="D440" s="10" t="str">
        <f aca="false">IF($A440="","",IFERROR(IF(INDEX(원본명단!$D$3:$D$6002,MATCH("R"&amp;435,정리결과!$J$6:$J$6005,0))="","",INDEX(원본명단!$D$3:$D$6002,MATCH("R"&amp;435,정리결과!$J$6:$J$6005,0))),""))</f>
        <v/>
      </c>
      <c r="E440" s="10" t="str">
        <f aca="false">IF($A440="","",IFERROR(IF(INDEX(원본명단!$E$3:$E$6002,MATCH("R"&amp;435,정리결과!$J$6:$J$6005,0))="","",INDEX(원본명단!$E$3:$E$6002,MATCH("R"&amp;435,정리결과!$J$6:$J$6005,0))),""))</f>
        <v/>
      </c>
      <c r="F440" s="10" t="str">
        <f aca="false">IF($A440="","",IFERROR(IF(INDEX(원본명단!$F$3:$F$6002,MATCH("R"&amp;435,정리결과!$J$6:$J$6005,0))="","",INDEX(원본명단!$F$3:$F$6002,MATCH("R"&amp;435,정리결과!$J$6:$J$6005,0))),""))</f>
        <v/>
      </c>
      <c r="H440" s="14" t="b">
        <f aca="false">IF(중복검사!$A438="",FALSE(),중복검사!$J438="유지")</f>
        <v>0</v>
      </c>
      <c r="I440" s="5" t="str">
        <f aca="false">IF($H440=FALSE(),"",COUNTIF($H$6:$H440,TRUE()))</f>
        <v/>
      </c>
      <c r="J440" s="5" t="str">
        <f aca="false">IF($I440="","","R"&amp;$I440)</f>
        <v/>
      </c>
    </row>
    <row r="441" customFormat="false" ht="15" hidden="false" customHeight="true" outlineLevel="0" collapsed="false">
      <c r="A441" s="10" t="str">
        <f aca="false">IFERROR(IF(INDEX(원본명단!$A$3:$A$6002,MATCH("R"&amp;436,정리결과!$J$6:$J$6005,0))="","",INDEX(원본명단!$A$3:$A$6002,MATCH("R"&amp;436,정리결과!$J$6:$J$6005,0))),"")</f>
        <v/>
      </c>
      <c r="B441" s="10" t="str">
        <f aca="false">IF($A441="","",IFERROR(IF(INDEX(원본명단!$B$3:$B$6002,MATCH("R"&amp;436,정리결과!$J$6:$J$6005,0))="","",INDEX(원본명단!$B$3:$B$6002,MATCH("R"&amp;436,정리결과!$J$6:$J$6005,0))),""))</f>
        <v/>
      </c>
      <c r="C441" s="10" t="str">
        <f aca="false">IF($A441="","",IFERROR(IF(INDEX(원본명단!$C$3:$C$6002,MATCH("R"&amp;436,정리결과!$J$6:$J$6005,0))="","",INDEX(원본명단!$C$3:$C$6002,MATCH("R"&amp;436,정리결과!$J$6:$J$6005,0))),""))</f>
        <v/>
      </c>
      <c r="D441" s="10" t="str">
        <f aca="false">IF($A441="","",IFERROR(IF(INDEX(원본명단!$D$3:$D$6002,MATCH("R"&amp;436,정리결과!$J$6:$J$6005,0))="","",INDEX(원본명단!$D$3:$D$6002,MATCH("R"&amp;436,정리결과!$J$6:$J$6005,0))),""))</f>
        <v/>
      </c>
      <c r="E441" s="10" t="str">
        <f aca="false">IF($A441="","",IFERROR(IF(INDEX(원본명단!$E$3:$E$6002,MATCH("R"&amp;436,정리결과!$J$6:$J$6005,0))="","",INDEX(원본명단!$E$3:$E$6002,MATCH("R"&amp;436,정리결과!$J$6:$J$6005,0))),""))</f>
        <v/>
      </c>
      <c r="F441" s="10" t="str">
        <f aca="false">IF($A441="","",IFERROR(IF(INDEX(원본명단!$F$3:$F$6002,MATCH("R"&amp;436,정리결과!$J$6:$J$6005,0))="","",INDEX(원본명단!$F$3:$F$6002,MATCH("R"&amp;436,정리결과!$J$6:$J$6005,0))),""))</f>
        <v/>
      </c>
      <c r="H441" s="14" t="b">
        <f aca="false">IF(중복검사!$A439="",FALSE(),중복검사!$J439="유지")</f>
        <v>0</v>
      </c>
      <c r="I441" s="5" t="str">
        <f aca="false">IF($H441=FALSE(),"",COUNTIF($H$6:$H441,TRUE()))</f>
        <v/>
      </c>
      <c r="J441" s="5" t="str">
        <f aca="false">IF($I441="","","R"&amp;$I441)</f>
        <v/>
      </c>
    </row>
    <row r="442" customFormat="false" ht="15" hidden="false" customHeight="true" outlineLevel="0" collapsed="false">
      <c r="A442" s="10" t="str">
        <f aca="false">IFERROR(IF(INDEX(원본명단!$A$3:$A$6002,MATCH("R"&amp;437,정리결과!$J$6:$J$6005,0))="","",INDEX(원본명단!$A$3:$A$6002,MATCH("R"&amp;437,정리결과!$J$6:$J$6005,0))),"")</f>
        <v/>
      </c>
      <c r="B442" s="10" t="str">
        <f aca="false">IF($A442="","",IFERROR(IF(INDEX(원본명단!$B$3:$B$6002,MATCH("R"&amp;437,정리결과!$J$6:$J$6005,0))="","",INDEX(원본명단!$B$3:$B$6002,MATCH("R"&amp;437,정리결과!$J$6:$J$6005,0))),""))</f>
        <v/>
      </c>
      <c r="C442" s="10" t="str">
        <f aca="false">IF($A442="","",IFERROR(IF(INDEX(원본명단!$C$3:$C$6002,MATCH("R"&amp;437,정리결과!$J$6:$J$6005,0))="","",INDEX(원본명단!$C$3:$C$6002,MATCH("R"&amp;437,정리결과!$J$6:$J$6005,0))),""))</f>
        <v/>
      </c>
      <c r="D442" s="10" t="str">
        <f aca="false">IF($A442="","",IFERROR(IF(INDEX(원본명단!$D$3:$D$6002,MATCH("R"&amp;437,정리결과!$J$6:$J$6005,0))="","",INDEX(원본명단!$D$3:$D$6002,MATCH("R"&amp;437,정리결과!$J$6:$J$6005,0))),""))</f>
        <v/>
      </c>
      <c r="E442" s="10" t="str">
        <f aca="false">IF($A442="","",IFERROR(IF(INDEX(원본명단!$E$3:$E$6002,MATCH("R"&amp;437,정리결과!$J$6:$J$6005,0))="","",INDEX(원본명단!$E$3:$E$6002,MATCH("R"&amp;437,정리결과!$J$6:$J$6005,0))),""))</f>
        <v/>
      </c>
      <c r="F442" s="10" t="str">
        <f aca="false">IF($A442="","",IFERROR(IF(INDEX(원본명단!$F$3:$F$6002,MATCH("R"&amp;437,정리결과!$J$6:$J$6005,0))="","",INDEX(원본명단!$F$3:$F$6002,MATCH("R"&amp;437,정리결과!$J$6:$J$6005,0))),""))</f>
        <v/>
      </c>
      <c r="H442" s="14" t="b">
        <f aca="false">IF(중복검사!$A440="",FALSE(),중복검사!$J440="유지")</f>
        <v>0</v>
      </c>
      <c r="I442" s="5" t="str">
        <f aca="false">IF($H442=FALSE(),"",COUNTIF($H$6:$H442,TRUE()))</f>
        <v/>
      </c>
      <c r="J442" s="5" t="str">
        <f aca="false">IF($I442="","","R"&amp;$I442)</f>
        <v/>
      </c>
    </row>
    <row r="443" customFormat="false" ht="15" hidden="false" customHeight="true" outlineLevel="0" collapsed="false">
      <c r="A443" s="10" t="str">
        <f aca="false">IFERROR(IF(INDEX(원본명단!$A$3:$A$6002,MATCH("R"&amp;438,정리결과!$J$6:$J$6005,0))="","",INDEX(원본명단!$A$3:$A$6002,MATCH("R"&amp;438,정리결과!$J$6:$J$6005,0))),"")</f>
        <v/>
      </c>
      <c r="B443" s="10" t="str">
        <f aca="false">IF($A443="","",IFERROR(IF(INDEX(원본명단!$B$3:$B$6002,MATCH("R"&amp;438,정리결과!$J$6:$J$6005,0))="","",INDEX(원본명단!$B$3:$B$6002,MATCH("R"&amp;438,정리결과!$J$6:$J$6005,0))),""))</f>
        <v/>
      </c>
      <c r="C443" s="10" t="str">
        <f aca="false">IF($A443="","",IFERROR(IF(INDEX(원본명단!$C$3:$C$6002,MATCH("R"&amp;438,정리결과!$J$6:$J$6005,0))="","",INDEX(원본명단!$C$3:$C$6002,MATCH("R"&amp;438,정리결과!$J$6:$J$6005,0))),""))</f>
        <v/>
      </c>
      <c r="D443" s="10" t="str">
        <f aca="false">IF($A443="","",IFERROR(IF(INDEX(원본명단!$D$3:$D$6002,MATCH("R"&amp;438,정리결과!$J$6:$J$6005,0))="","",INDEX(원본명단!$D$3:$D$6002,MATCH("R"&amp;438,정리결과!$J$6:$J$6005,0))),""))</f>
        <v/>
      </c>
      <c r="E443" s="10" t="str">
        <f aca="false">IF($A443="","",IFERROR(IF(INDEX(원본명단!$E$3:$E$6002,MATCH("R"&amp;438,정리결과!$J$6:$J$6005,0))="","",INDEX(원본명단!$E$3:$E$6002,MATCH("R"&amp;438,정리결과!$J$6:$J$6005,0))),""))</f>
        <v/>
      </c>
      <c r="F443" s="10" t="str">
        <f aca="false">IF($A443="","",IFERROR(IF(INDEX(원본명단!$F$3:$F$6002,MATCH("R"&amp;438,정리결과!$J$6:$J$6005,0))="","",INDEX(원본명단!$F$3:$F$6002,MATCH("R"&amp;438,정리결과!$J$6:$J$6005,0))),""))</f>
        <v/>
      </c>
      <c r="H443" s="14" t="b">
        <f aca="false">IF(중복검사!$A441="",FALSE(),중복검사!$J441="유지")</f>
        <v>0</v>
      </c>
      <c r="I443" s="5" t="str">
        <f aca="false">IF($H443=FALSE(),"",COUNTIF($H$6:$H443,TRUE()))</f>
        <v/>
      </c>
      <c r="J443" s="5" t="str">
        <f aca="false">IF($I443="","","R"&amp;$I443)</f>
        <v/>
      </c>
    </row>
    <row r="444" customFormat="false" ht="15" hidden="false" customHeight="true" outlineLevel="0" collapsed="false">
      <c r="A444" s="10" t="str">
        <f aca="false">IFERROR(IF(INDEX(원본명단!$A$3:$A$6002,MATCH("R"&amp;439,정리결과!$J$6:$J$6005,0))="","",INDEX(원본명단!$A$3:$A$6002,MATCH("R"&amp;439,정리결과!$J$6:$J$6005,0))),"")</f>
        <v/>
      </c>
      <c r="B444" s="10" t="str">
        <f aca="false">IF($A444="","",IFERROR(IF(INDEX(원본명단!$B$3:$B$6002,MATCH("R"&amp;439,정리결과!$J$6:$J$6005,0))="","",INDEX(원본명단!$B$3:$B$6002,MATCH("R"&amp;439,정리결과!$J$6:$J$6005,0))),""))</f>
        <v/>
      </c>
      <c r="C444" s="10" t="str">
        <f aca="false">IF($A444="","",IFERROR(IF(INDEX(원본명단!$C$3:$C$6002,MATCH("R"&amp;439,정리결과!$J$6:$J$6005,0))="","",INDEX(원본명단!$C$3:$C$6002,MATCH("R"&amp;439,정리결과!$J$6:$J$6005,0))),""))</f>
        <v/>
      </c>
      <c r="D444" s="10" t="str">
        <f aca="false">IF($A444="","",IFERROR(IF(INDEX(원본명단!$D$3:$D$6002,MATCH("R"&amp;439,정리결과!$J$6:$J$6005,0))="","",INDEX(원본명단!$D$3:$D$6002,MATCH("R"&amp;439,정리결과!$J$6:$J$6005,0))),""))</f>
        <v/>
      </c>
      <c r="E444" s="10" t="str">
        <f aca="false">IF($A444="","",IFERROR(IF(INDEX(원본명단!$E$3:$E$6002,MATCH("R"&amp;439,정리결과!$J$6:$J$6005,0))="","",INDEX(원본명단!$E$3:$E$6002,MATCH("R"&amp;439,정리결과!$J$6:$J$6005,0))),""))</f>
        <v/>
      </c>
      <c r="F444" s="10" t="str">
        <f aca="false">IF($A444="","",IFERROR(IF(INDEX(원본명단!$F$3:$F$6002,MATCH("R"&amp;439,정리결과!$J$6:$J$6005,0))="","",INDEX(원본명단!$F$3:$F$6002,MATCH("R"&amp;439,정리결과!$J$6:$J$6005,0))),""))</f>
        <v/>
      </c>
      <c r="H444" s="14" t="b">
        <f aca="false">IF(중복검사!$A442="",FALSE(),중복검사!$J442="유지")</f>
        <v>0</v>
      </c>
      <c r="I444" s="5" t="str">
        <f aca="false">IF($H444=FALSE(),"",COUNTIF($H$6:$H444,TRUE()))</f>
        <v/>
      </c>
      <c r="J444" s="5" t="str">
        <f aca="false">IF($I444="","","R"&amp;$I444)</f>
        <v/>
      </c>
    </row>
    <row r="445" customFormat="false" ht="15" hidden="false" customHeight="true" outlineLevel="0" collapsed="false">
      <c r="A445" s="10" t="str">
        <f aca="false">IFERROR(IF(INDEX(원본명단!$A$3:$A$6002,MATCH("R"&amp;440,정리결과!$J$6:$J$6005,0))="","",INDEX(원본명단!$A$3:$A$6002,MATCH("R"&amp;440,정리결과!$J$6:$J$6005,0))),"")</f>
        <v/>
      </c>
      <c r="B445" s="10" t="str">
        <f aca="false">IF($A445="","",IFERROR(IF(INDEX(원본명단!$B$3:$B$6002,MATCH("R"&amp;440,정리결과!$J$6:$J$6005,0))="","",INDEX(원본명단!$B$3:$B$6002,MATCH("R"&amp;440,정리결과!$J$6:$J$6005,0))),""))</f>
        <v/>
      </c>
      <c r="C445" s="10" t="str">
        <f aca="false">IF($A445="","",IFERROR(IF(INDEX(원본명단!$C$3:$C$6002,MATCH("R"&amp;440,정리결과!$J$6:$J$6005,0))="","",INDEX(원본명단!$C$3:$C$6002,MATCH("R"&amp;440,정리결과!$J$6:$J$6005,0))),""))</f>
        <v/>
      </c>
      <c r="D445" s="10" t="str">
        <f aca="false">IF($A445="","",IFERROR(IF(INDEX(원본명단!$D$3:$D$6002,MATCH("R"&amp;440,정리결과!$J$6:$J$6005,0))="","",INDEX(원본명단!$D$3:$D$6002,MATCH("R"&amp;440,정리결과!$J$6:$J$6005,0))),""))</f>
        <v/>
      </c>
      <c r="E445" s="10" t="str">
        <f aca="false">IF($A445="","",IFERROR(IF(INDEX(원본명단!$E$3:$E$6002,MATCH("R"&amp;440,정리결과!$J$6:$J$6005,0))="","",INDEX(원본명단!$E$3:$E$6002,MATCH("R"&amp;440,정리결과!$J$6:$J$6005,0))),""))</f>
        <v/>
      </c>
      <c r="F445" s="10" t="str">
        <f aca="false">IF($A445="","",IFERROR(IF(INDEX(원본명단!$F$3:$F$6002,MATCH("R"&amp;440,정리결과!$J$6:$J$6005,0))="","",INDEX(원본명단!$F$3:$F$6002,MATCH("R"&amp;440,정리결과!$J$6:$J$6005,0))),""))</f>
        <v/>
      </c>
      <c r="H445" s="14" t="b">
        <f aca="false">IF(중복검사!$A443="",FALSE(),중복검사!$J443="유지")</f>
        <v>0</v>
      </c>
      <c r="I445" s="5" t="str">
        <f aca="false">IF($H445=FALSE(),"",COUNTIF($H$6:$H445,TRUE()))</f>
        <v/>
      </c>
      <c r="J445" s="5" t="str">
        <f aca="false">IF($I445="","","R"&amp;$I445)</f>
        <v/>
      </c>
    </row>
    <row r="446" customFormat="false" ht="15" hidden="false" customHeight="true" outlineLevel="0" collapsed="false">
      <c r="A446" s="10" t="str">
        <f aca="false">IFERROR(IF(INDEX(원본명단!$A$3:$A$6002,MATCH("R"&amp;441,정리결과!$J$6:$J$6005,0))="","",INDEX(원본명단!$A$3:$A$6002,MATCH("R"&amp;441,정리결과!$J$6:$J$6005,0))),"")</f>
        <v/>
      </c>
      <c r="B446" s="10" t="str">
        <f aca="false">IF($A446="","",IFERROR(IF(INDEX(원본명단!$B$3:$B$6002,MATCH("R"&amp;441,정리결과!$J$6:$J$6005,0))="","",INDEX(원본명단!$B$3:$B$6002,MATCH("R"&amp;441,정리결과!$J$6:$J$6005,0))),""))</f>
        <v/>
      </c>
      <c r="C446" s="10" t="str">
        <f aca="false">IF($A446="","",IFERROR(IF(INDEX(원본명단!$C$3:$C$6002,MATCH("R"&amp;441,정리결과!$J$6:$J$6005,0))="","",INDEX(원본명단!$C$3:$C$6002,MATCH("R"&amp;441,정리결과!$J$6:$J$6005,0))),""))</f>
        <v/>
      </c>
      <c r="D446" s="10" t="str">
        <f aca="false">IF($A446="","",IFERROR(IF(INDEX(원본명단!$D$3:$D$6002,MATCH("R"&amp;441,정리결과!$J$6:$J$6005,0))="","",INDEX(원본명단!$D$3:$D$6002,MATCH("R"&amp;441,정리결과!$J$6:$J$6005,0))),""))</f>
        <v/>
      </c>
      <c r="E446" s="10" t="str">
        <f aca="false">IF($A446="","",IFERROR(IF(INDEX(원본명단!$E$3:$E$6002,MATCH("R"&amp;441,정리결과!$J$6:$J$6005,0))="","",INDEX(원본명단!$E$3:$E$6002,MATCH("R"&amp;441,정리결과!$J$6:$J$6005,0))),""))</f>
        <v/>
      </c>
      <c r="F446" s="10" t="str">
        <f aca="false">IF($A446="","",IFERROR(IF(INDEX(원본명단!$F$3:$F$6002,MATCH("R"&amp;441,정리결과!$J$6:$J$6005,0))="","",INDEX(원본명단!$F$3:$F$6002,MATCH("R"&amp;441,정리결과!$J$6:$J$6005,0))),""))</f>
        <v/>
      </c>
      <c r="H446" s="14" t="b">
        <f aca="false">IF(중복검사!$A444="",FALSE(),중복검사!$J444="유지")</f>
        <v>0</v>
      </c>
      <c r="I446" s="5" t="str">
        <f aca="false">IF($H446=FALSE(),"",COUNTIF($H$6:$H446,TRUE()))</f>
        <v/>
      </c>
      <c r="J446" s="5" t="str">
        <f aca="false">IF($I446="","","R"&amp;$I446)</f>
        <v/>
      </c>
    </row>
    <row r="447" customFormat="false" ht="15" hidden="false" customHeight="true" outlineLevel="0" collapsed="false">
      <c r="A447" s="10" t="str">
        <f aca="false">IFERROR(IF(INDEX(원본명단!$A$3:$A$6002,MATCH("R"&amp;442,정리결과!$J$6:$J$6005,0))="","",INDEX(원본명단!$A$3:$A$6002,MATCH("R"&amp;442,정리결과!$J$6:$J$6005,0))),"")</f>
        <v/>
      </c>
      <c r="B447" s="10" t="str">
        <f aca="false">IF($A447="","",IFERROR(IF(INDEX(원본명단!$B$3:$B$6002,MATCH("R"&amp;442,정리결과!$J$6:$J$6005,0))="","",INDEX(원본명단!$B$3:$B$6002,MATCH("R"&amp;442,정리결과!$J$6:$J$6005,0))),""))</f>
        <v/>
      </c>
      <c r="C447" s="10" t="str">
        <f aca="false">IF($A447="","",IFERROR(IF(INDEX(원본명단!$C$3:$C$6002,MATCH("R"&amp;442,정리결과!$J$6:$J$6005,0))="","",INDEX(원본명단!$C$3:$C$6002,MATCH("R"&amp;442,정리결과!$J$6:$J$6005,0))),""))</f>
        <v/>
      </c>
      <c r="D447" s="10" t="str">
        <f aca="false">IF($A447="","",IFERROR(IF(INDEX(원본명단!$D$3:$D$6002,MATCH("R"&amp;442,정리결과!$J$6:$J$6005,0))="","",INDEX(원본명단!$D$3:$D$6002,MATCH("R"&amp;442,정리결과!$J$6:$J$6005,0))),""))</f>
        <v/>
      </c>
      <c r="E447" s="10" t="str">
        <f aca="false">IF($A447="","",IFERROR(IF(INDEX(원본명단!$E$3:$E$6002,MATCH("R"&amp;442,정리결과!$J$6:$J$6005,0))="","",INDEX(원본명단!$E$3:$E$6002,MATCH("R"&amp;442,정리결과!$J$6:$J$6005,0))),""))</f>
        <v/>
      </c>
      <c r="F447" s="10" t="str">
        <f aca="false">IF($A447="","",IFERROR(IF(INDEX(원본명단!$F$3:$F$6002,MATCH("R"&amp;442,정리결과!$J$6:$J$6005,0))="","",INDEX(원본명단!$F$3:$F$6002,MATCH("R"&amp;442,정리결과!$J$6:$J$6005,0))),""))</f>
        <v/>
      </c>
      <c r="H447" s="14" t="b">
        <f aca="false">IF(중복검사!$A445="",FALSE(),중복검사!$J445="유지")</f>
        <v>0</v>
      </c>
      <c r="I447" s="5" t="str">
        <f aca="false">IF($H447=FALSE(),"",COUNTIF($H$6:$H447,TRUE()))</f>
        <v/>
      </c>
      <c r="J447" s="5" t="str">
        <f aca="false">IF($I447="","","R"&amp;$I447)</f>
        <v/>
      </c>
    </row>
    <row r="448" customFormat="false" ht="15" hidden="false" customHeight="true" outlineLevel="0" collapsed="false">
      <c r="A448" s="10" t="str">
        <f aca="false">IFERROR(IF(INDEX(원본명단!$A$3:$A$6002,MATCH("R"&amp;443,정리결과!$J$6:$J$6005,0))="","",INDEX(원본명단!$A$3:$A$6002,MATCH("R"&amp;443,정리결과!$J$6:$J$6005,0))),"")</f>
        <v/>
      </c>
      <c r="B448" s="10" t="str">
        <f aca="false">IF($A448="","",IFERROR(IF(INDEX(원본명단!$B$3:$B$6002,MATCH("R"&amp;443,정리결과!$J$6:$J$6005,0))="","",INDEX(원본명단!$B$3:$B$6002,MATCH("R"&amp;443,정리결과!$J$6:$J$6005,0))),""))</f>
        <v/>
      </c>
      <c r="C448" s="10" t="str">
        <f aca="false">IF($A448="","",IFERROR(IF(INDEX(원본명단!$C$3:$C$6002,MATCH("R"&amp;443,정리결과!$J$6:$J$6005,0))="","",INDEX(원본명단!$C$3:$C$6002,MATCH("R"&amp;443,정리결과!$J$6:$J$6005,0))),""))</f>
        <v/>
      </c>
      <c r="D448" s="10" t="str">
        <f aca="false">IF($A448="","",IFERROR(IF(INDEX(원본명단!$D$3:$D$6002,MATCH("R"&amp;443,정리결과!$J$6:$J$6005,0))="","",INDEX(원본명단!$D$3:$D$6002,MATCH("R"&amp;443,정리결과!$J$6:$J$6005,0))),""))</f>
        <v/>
      </c>
      <c r="E448" s="10" t="str">
        <f aca="false">IF($A448="","",IFERROR(IF(INDEX(원본명단!$E$3:$E$6002,MATCH("R"&amp;443,정리결과!$J$6:$J$6005,0))="","",INDEX(원본명단!$E$3:$E$6002,MATCH("R"&amp;443,정리결과!$J$6:$J$6005,0))),""))</f>
        <v/>
      </c>
      <c r="F448" s="10" t="str">
        <f aca="false">IF($A448="","",IFERROR(IF(INDEX(원본명단!$F$3:$F$6002,MATCH("R"&amp;443,정리결과!$J$6:$J$6005,0))="","",INDEX(원본명단!$F$3:$F$6002,MATCH("R"&amp;443,정리결과!$J$6:$J$6005,0))),""))</f>
        <v/>
      </c>
      <c r="H448" s="14" t="b">
        <f aca="false">IF(중복검사!$A446="",FALSE(),중복검사!$J446="유지")</f>
        <v>0</v>
      </c>
      <c r="I448" s="5" t="str">
        <f aca="false">IF($H448=FALSE(),"",COUNTIF($H$6:$H448,TRUE()))</f>
        <v/>
      </c>
      <c r="J448" s="5" t="str">
        <f aca="false">IF($I448="","","R"&amp;$I448)</f>
        <v/>
      </c>
    </row>
    <row r="449" customFormat="false" ht="15" hidden="false" customHeight="true" outlineLevel="0" collapsed="false">
      <c r="A449" s="10" t="str">
        <f aca="false">IFERROR(IF(INDEX(원본명단!$A$3:$A$6002,MATCH("R"&amp;444,정리결과!$J$6:$J$6005,0))="","",INDEX(원본명단!$A$3:$A$6002,MATCH("R"&amp;444,정리결과!$J$6:$J$6005,0))),"")</f>
        <v/>
      </c>
      <c r="B449" s="10" t="str">
        <f aca="false">IF($A449="","",IFERROR(IF(INDEX(원본명단!$B$3:$B$6002,MATCH("R"&amp;444,정리결과!$J$6:$J$6005,0))="","",INDEX(원본명단!$B$3:$B$6002,MATCH("R"&amp;444,정리결과!$J$6:$J$6005,0))),""))</f>
        <v/>
      </c>
      <c r="C449" s="10" t="str">
        <f aca="false">IF($A449="","",IFERROR(IF(INDEX(원본명단!$C$3:$C$6002,MATCH("R"&amp;444,정리결과!$J$6:$J$6005,0))="","",INDEX(원본명단!$C$3:$C$6002,MATCH("R"&amp;444,정리결과!$J$6:$J$6005,0))),""))</f>
        <v/>
      </c>
      <c r="D449" s="10" t="str">
        <f aca="false">IF($A449="","",IFERROR(IF(INDEX(원본명단!$D$3:$D$6002,MATCH("R"&amp;444,정리결과!$J$6:$J$6005,0))="","",INDEX(원본명단!$D$3:$D$6002,MATCH("R"&amp;444,정리결과!$J$6:$J$6005,0))),""))</f>
        <v/>
      </c>
      <c r="E449" s="10" t="str">
        <f aca="false">IF($A449="","",IFERROR(IF(INDEX(원본명단!$E$3:$E$6002,MATCH("R"&amp;444,정리결과!$J$6:$J$6005,0))="","",INDEX(원본명단!$E$3:$E$6002,MATCH("R"&amp;444,정리결과!$J$6:$J$6005,0))),""))</f>
        <v/>
      </c>
      <c r="F449" s="10" t="str">
        <f aca="false">IF($A449="","",IFERROR(IF(INDEX(원본명단!$F$3:$F$6002,MATCH("R"&amp;444,정리결과!$J$6:$J$6005,0))="","",INDEX(원본명단!$F$3:$F$6002,MATCH("R"&amp;444,정리결과!$J$6:$J$6005,0))),""))</f>
        <v/>
      </c>
      <c r="H449" s="14" t="b">
        <f aca="false">IF(중복검사!$A447="",FALSE(),중복검사!$J447="유지")</f>
        <v>0</v>
      </c>
      <c r="I449" s="5" t="str">
        <f aca="false">IF($H449=FALSE(),"",COUNTIF($H$6:$H449,TRUE()))</f>
        <v/>
      </c>
      <c r="J449" s="5" t="str">
        <f aca="false">IF($I449="","","R"&amp;$I449)</f>
        <v/>
      </c>
    </row>
    <row r="450" customFormat="false" ht="15" hidden="false" customHeight="true" outlineLevel="0" collapsed="false">
      <c r="A450" s="10" t="str">
        <f aca="false">IFERROR(IF(INDEX(원본명단!$A$3:$A$6002,MATCH("R"&amp;445,정리결과!$J$6:$J$6005,0))="","",INDEX(원본명단!$A$3:$A$6002,MATCH("R"&amp;445,정리결과!$J$6:$J$6005,0))),"")</f>
        <v/>
      </c>
      <c r="B450" s="10" t="str">
        <f aca="false">IF($A450="","",IFERROR(IF(INDEX(원본명단!$B$3:$B$6002,MATCH("R"&amp;445,정리결과!$J$6:$J$6005,0))="","",INDEX(원본명단!$B$3:$B$6002,MATCH("R"&amp;445,정리결과!$J$6:$J$6005,0))),""))</f>
        <v/>
      </c>
      <c r="C450" s="10" t="str">
        <f aca="false">IF($A450="","",IFERROR(IF(INDEX(원본명단!$C$3:$C$6002,MATCH("R"&amp;445,정리결과!$J$6:$J$6005,0))="","",INDEX(원본명단!$C$3:$C$6002,MATCH("R"&amp;445,정리결과!$J$6:$J$6005,0))),""))</f>
        <v/>
      </c>
      <c r="D450" s="10" t="str">
        <f aca="false">IF($A450="","",IFERROR(IF(INDEX(원본명단!$D$3:$D$6002,MATCH("R"&amp;445,정리결과!$J$6:$J$6005,0))="","",INDEX(원본명단!$D$3:$D$6002,MATCH("R"&amp;445,정리결과!$J$6:$J$6005,0))),""))</f>
        <v/>
      </c>
      <c r="E450" s="10" t="str">
        <f aca="false">IF($A450="","",IFERROR(IF(INDEX(원본명단!$E$3:$E$6002,MATCH("R"&amp;445,정리결과!$J$6:$J$6005,0))="","",INDEX(원본명단!$E$3:$E$6002,MATCH("R"&amp;445,정리결과!$J$6:$J$6005,0))),""))</f>
        <v/>
      </c>
      <c r="F450" s="10" t="str">
        <f aca="false">IF($A450="","",IFERROR(IF(INDEX(원본명단!$F$3:$F$6002,MATCH("R"&amp;445,정리결과!$J$6:$J$6005,0))="","",INDEX(원본명단!$F$3:$F$6002,MATCH("R"&amp;445,정리결과!$J$6:$J$6005,0))),""))</f>
        <v/>
      </c>
      <c r="H450" s="14" t="b">
        <f aca="false">IF(중복검사!$A448="",FALSE(),중복검사!$J448="유지")</f>
        <v>0</v>
      </c>
      <c r="I450" s="5" t="str">
        <f aca="false">IF($H450=FALSE(),"",COUNTIF($H$6:$H450,TRUE()))</f>
        <v/>
      </c>
      <c r="J450" s="5" t="str">
        <f aca="false">IF($I450="","","R"&amp;$I450)</f>
        <v/>
      </c>
    </row>
    <row r="451" customFormat="false" ht="15" hidden="false" customHeight="true" outlineLevel="0" collapsed="false">
      <c r="A451" s="10" t="str">
        <f aca="false">IFERROR(IF(INDEX(원본명단!$A$3:$A$6002,MATCH("R"&amp;446,정리결과!$J$6:$J$6005,0))="","",INDEX(원본명단!$A$3:$A$6002,MATCH("R"&amp;446,정리결과!$J$6:$J$6005,0))),"")</f>
        <v/>
      </c>
      <c r="B451" s="10" t="str">
        <f aca="false">IF($A451="","",IFERROR(IF(INDEX(원본명단!$B$3:$B$6002,MATCH("R"&amp;446,정리결과!$J$6:$J$6005,0))="","",INDEX(원본명단!$B$3:$B$6002,MATCH("R"&amp;446,정리결과!$J$6:$J$6005,0))),""))</f>
        <v/>
      </c>
      <c r="C451" s="10" t="str">
        <f aca="false">IF($A451="","",IFERROR(IF(INDEX(원본명단!$C$3:$C$6002,MATCH("R"&amp;446,정리결과!$J$6:$J$6005,0))="","",INDEX(원본명단!$C$3:$C$6002,MATCH("R"&amp;446,정리결과!$J$6:$J$6005,0))),""))</f>
        <v/>
      </c>
      <c r="D451" s="10" t="str">
        <f aca="false">IF($A451="","",IFERROR(IF(INDEX(원본명단!$D$3:$D$6002,MATCH("R"&amp;446,정리결과!$J$6:$J$6005,0))="","",INDEX(원본명단!$D$3:$D$6002,MATCH("R"&amp;446,정리결과!$J$6:$J$6005,0))),""))</f>
        <v/>
      </c>
      <c r="E451" s="10" t="str">
        <f aca="false">IF($A451="","",IFERROR(IF(INDEX(원본명단!$E$3:$E$6002,MATCH("R"&amp;446,정리결과!$J$6:$J$6005,0))="","",INDEX(원본명단!$E$3:$E$6002,MATCH("R"&amp;446,정리결과!$J$6:$J$6005,0))),""))</f>
        <v/>
      </c>
      <c r="F451" s="10" t="str">
        <f aca="false">IF($A451="","",IFERROR(IF(INDEX(원본명단!$F$3:$F$6002,MATCH("R"&amp;446,정리결과!$J$6:$J$6005,0))="","",INDEX(원본명단!$F$3:$F$6002,MATCH("R"&amp;446,정리결과!$J$6:$J$6005,0))),""))</f>
        <v/>
      </c>
      <c r="H451" s="14" t="b">
        <f aca="false">IF(중복검사!$A449="",FALSE(),중복검사!$J449="유지")</f>
        <v>0</v>
      </c>
      <c r="I451" s="5" t="str">
        <f aca="false">IF($H451=FALSE(),"",COUNTIF($H$6:$H451,TRUE()))</f>
        <v/>
      </c>
      <c r="J451" s="5" t="str">
        <f aca="false">IF($I451="","","R"&amp;$I451)</f>
        <v/>
      </c>
    </row>
    <row r="452" customFormat="false" ht="15" hidden="false" customHeight="true" outlineLevel="0" collapsed="false">
      <c r="A452" s="10" t="str">
        <f aca="false">IFERROR(IF(INDEX(원본명단!$A$3:$A$6002,MATCH("R"&amp;447,정리결과!$J$6:$J$6005,0))="","",INDEX(원본명단!$A$3:$A$6002,MATCH("R"&amp;447,정리결과!$J$6:$J$6005,0))),"")</f>
        <v/>
      </c>
      <c r="B452" s="10" t="str">
        <f aca="false">IF($A452="","",IFERROR(IF(INDEX(원본명단!$B$3:$B$6002,MATCH("R"&amp;447,정리결과!$J$6:$J$6005,0))="","",INDEX(원본명단!$B$3:$B$6002,MATCH("R"&amp;447,정리결과!$J$6:$J$6005,0))),""))</f>
        <v/>
      </c>
      <c r="C452" s="10" t="str">
        <f aca="false">IF($A452="","",IFERROR(IF(INDEX(원본명단!$C$3:$C$6002,MATCH("R"&amp;447,정리결과!$J$6:$J$6005,0))="","",INDEX(원본명단!$C$3:$C$6002,MATCH("R"&amp;447,정리결과!$J$6:$J$6005,0))),""))</f>
        <v/>
      </c>
      <c r="D452" s="10" t="str">
        <f aca="false">IF($A452="","",IFERROR(IF(INDEX(원본명단!$D$3:$D$6002,MATCH("R"&amp;447,정리결과!$J$6:$J$6005,0))="","",INDEX(원본명단!$D$3:$D$6002,MATCH("R"&amp;447,정리결과!$J$6:$J$6005,0))),""))</f>
        <v/>
      </c>
      <c r="E452" s="10" t="str">
        <f aca="false">IF($A452="","",IFERROR(IF(INDEX(원본명단!$E$3:$E$6002,MATCH("R"&amp;447,정리결과!$J$6:$J$6005,0))="","",INDEX(원본명단!$E$3:$E$6002,MATCH("R"&amp;447,정리결과!$J$6:$J$6005,0))),""))</f>
        <v/>
      </c>
      <c r="F452" s="10" t="str">
        <f aca="false">IF($A452="","",IFERROR(IF(INDEX(원본명단!$F$3:$F$6002,MATCH("R"&amp;447,정리결과!$J$6:$J$6005,0))="","",INDEX(원본명단!$F$3:$F$6002,MATCH("R"&amp;447,정리결과!$J$6:$J$6005,0))),""))</f>
        <v/>
      </c>
      <c r="H452" s="14" t="b">
        <f aca="false">IF(중복검사!$A450="",FALSE(),중복검사!$J450="유지")</f>
        <v>0</v>
      </c>
      <c r="I452" s="5" t="str">
        <f aca="false">IF($H452=FALSE(),"",COUNTIF($H$6:$H452,TRUE()))</f>
        <v/>
      </c>
      <c r="J452" s="5" t="str">
        <f aca="false">IF($I452="","","R"&amp;$I452)</f>
        <v/>
      </c>
    </row>
    <row r="453" customFormat="false" ht="15" hidden="false" customHeight="true" outlineLevel="0" collapsed="false">
      <c r="A453" s="10" t="str">
        <f aca="false">IFERROR(IF(INDEX(원본명단!$A$3:$A$6002,MATCH("R"&amp;448,정리결과!$J$6:$J$6005,0))="","",INDEX(원본명단!$A$3:$A$6002,MATCH("R"&amp;448,정리결과!$J$6:$J$6005,0))),"")</f>
        <v/>
      </c>
      <c r="B453" s="10" t="str">
        <f aca="false">IF($A453="","",IFERROR(IF(INDEX(원본명단!$B$3:$B$6002,MATCH("R"&amp;448,정리결과!$J$6:$J$6005,0))="","",INDEX(원본명단!$B$3:$B$6002,MATCH("R"&amp;448,정리결과!$J$6:$J$6005,0))),""))</f>
        <v/>
      </c>
      <c r="C453" s="10" t="str">
        <f aca="false">IF($A453="","",IFERROR(IF(INDEX(원본명단!$C$3:$C$6002,MATCH("R"&amp;448,정리결과!$J$6:$J$6005,0))="","",INDEX(원본명단!$C$3:$C$6002,MATCH("R"&amp;448,정리결과!$J$6:$J$6005,0))),""))</f>
        <v/>
      </c>
      <c r="D453" s="10" t="str">
        <f aca="false">IF($A453="","",IFERROR(IF(INDEX(원본명단!$D$3:$D$6002,MATCH("R"&amp;448,정리결과!$J$6:$J$6005,0))="","",INDEX(원본명단!$D$3:$D$6002,MATCH("R"&amp;448,정리결과!$J$6:$J$6005,0))),""))</f>
        <v/>
      </c>
      <c r="E453" s="10" t="str">
        <f aca="false">IF($A453="","",IFERROR(IF(INDEX(원본명단!$E$3:$E$6002,MATCH("R"&amp;448,정리결과!$J$6:$J$6005,0))="","",INDEX(원본명단!$E$3:$E$6002,MATCH("R"&amp;448,정리결과!$J$6:$J$6005,0))),""))</f>
        <v/>
      </c>
      <c r="F453" s="10" t="str">
        <f aca="false">IF($A453="","",IFERROR(IF(INDEX(원본명단!$F$3:$F$6002,MATCH("R"&amp;448,정리결과!$J$6:$J$6005,0))="","",INDEX(원본명단!$F$3:$F$6002,MATCH("R"&amp;448,정리결과!$J$6:$J$6005,0))),""))</f>
        <v/>
      </c>
      <c r="H453" s="14" t="b">
        <f aca="false">IF(중복검사!$A451="",FALSE(),중복검사!$J451="유지")</f>
        <v>0</v>
      </c>
      <c r="I453" s="5" t="str">
        <f aca="false">IF($H453=FALSE(),"",COUNTIF($H$6:$H453,TRUE()))</f>
        <v/>
      </c>
      <c r="J453" s="5" t="str">
        <f aca="false">IF($I453="","","R"&amp;$I453)</f>
        <v/>
      </c>
    </row>
    <row r="454" customFormat="false" ht="15" hidden="false" customHeight="true" outlineLevel="0" collapsed="false">
      <c r="A454" s="10" t="str">
        <f aca="false">IFERROR(IF(INDEX(원본명단!$A$3:$A$6002,MATCH("R"&amp;449,정리결과!$J$6:$J$6005,0))="","",INDEX(원본명단!$A$3:$A$6002,MATCH("R"&amp;449,정리결과!$J$6:$J$6005,0))),"")</f>
        <v/>
      </c>
      <c r="B454" s="10" t="str">
        <f aca="false">IF($A454="","",IFERROR(IF(INDEX(원본명단!$B$3:$B$6002,MATCH("R"&amp;449,정리결과!$J$6:$J$6005,0))="","",INDEX(원본명단!$B$3:$B$6002,MATCH("R"&amp;449,정리결과!$J$6:$J$6005,0))),""))</f>
        <v/>
      </c>
      <c r="C454" s="10" t="str">
        <f aca="false">IF($A454="","",IFERROR(IF(INDEX(원본명단!$C$3:$C$6002,MATCH("R"&amp;449,정리결과!$J$6:$J$6005,0))="","",INDEX(원본명단!$C$3:$C$6002,MATCH("R"&amp;449,정리결과!$J$6:$J$6005,0))),""))</f>
        <v/>
      </c>
      <c r="D454" s="10" t="str">
        <f aca="false">IF($A454="","",IFERROR(IF(INDEX(원본명단!$D$3:$D$6002,MATCH("R"&amp;449,정리결과!$J$6:$J$6005,0))="","",INDEX(원본명단!$D$3:$D$6002,MATCH("R"&amp;449,정리결과!$J$6:$J$6005,0))),""))</f>
        <v/>
      </c>
      <c r="E454" s="10" t="str">
        <f aca="false">IF($A454="","",IFERROR(IF(INDEX(원본명단!$E$3:$E$6002,MATCH("R"&amp;449,정리결과!$J$6:$J$6005,0))="","",INDEX(원본명단!$E$3:$E$6002,MATCH("R"&amp;449,정리결과!$J$6:$J$6005,0))),""))</f>
        <v/>
      </c>
      <c r="F454" s="10" t="str">
        <f aca="false">IF($A454="","",IFERROR(IF(INDEX(원본명단!$F$3:$F$6002,MATCH("R"&amp;449,정리결과!$J$6:$J$6005,0))="","",INDEX(원본명단!$F$3:$F$6002,MATCH("R"&amp;449,정리결과!$J$6:$J$6005,0))),""))</f>
        <v/>
      </c>
      <c r="H454" s="14" t="b">
        <f aca="false">IF(중복검사!$A452="",FALSE(),중복검사!$J452="유지")</f>
        <v>0</v>
      </c>
      <c r="I454" s="5" t="str">
        <f aca="false">IF($H454=FALSE(),"",COUNTIF($H$6:$H454,TRUE()))</f>
        <v/>
      </c>
      <c r="J454" s="5" t="str">
        <f aca="false">IF($I454="","","R"&amp;$I454)</f>
        <v/>
      </c>
    </row>
    <row r="455" customFormat="false" ht="15" hidden="false" customHeight="true" outlineLevel="0" collapsed="false">
      <c r="A455" s="10" t="str">
        <f aca="false">IFERROR(IF(INDEX(원본명단!$A$3:$A$6002,MATCH("R"&amp;450,정리결과!$J$6:$J$6005,0))="","",INDEX(원본명단!$A$3:$A$6002,MATCH("R"&amp;450,정리결과!$J$6:$J$6005,0))),"")</f>
        <v/>
      </c>
      <c r="B455" s="10" t="str">
        <f aca="false">IF($A455="","",IFERROR(IF(INDEX(원본명단!$B$3:$B$6002,MATCH("R"&amp;450,정리결과!$J$6:$J$6005,0))="","",INDEX(원본명단!$B$3:$B$6002,MATCH("R"&amp;450,정리결과!$J$6:$J$6005,0))),""))</f>
        <v/>
      </c>
      <c r="C455" s="10" t="str">
        <f aca="false">IF($A455="","",IFERROR(IF(INDEX(원본명단!$C$3:$C$6002,MATCH("R"&amp;450,정리결과!$J$6:$J$6005,0))="","",INDEX(원본명단!$C$3:$C$6002,MATCH("R"&amp;450,정리결과!$J$6:$J$6005,0))),""))</f>
        <v/>
      </c>
      <c r="D455" s="10" t="str">
        <f aca="false">IF($A455="","",IFERROR(IF(INDEX(원본명단!$D$3:$D$6002,MATCH("R"&amp;450,정리결과!$J$6:$J$6005,0))="","",INDEX(원본명단!$D$3:$D$6002,MATCH("R"&amp;450,정리결과!$J$6:$J$6005,0))),""))</f>
        <v/>
      </c>
      <c r="E455" s="10" t="str">
        <f aca="false">IF($A455="","",IFERROR(IF(INDEX(원본명단!$E$3:$E$6002,MATCH("R"&amp;450,정리결과!$J$6:$J$6005,0))="","",INDEX(원본명단!$E$3:$E$6002,MATCH("R"&amp;450,정리결과!$J$6:$J$6005,0))),""))</f>
        <v/>
      </c>
      <c r="F455" s="10" t="str">
        <f aca="false">IF($A455="","",IFERROR(IF(INDEX(원본명단!$F$3:$F$6002,MATCH("R"&amp;450,정리결과!$J$6:$J$6005,0))="","",INDEX(원본명단!$F$3:$F$6002,MATCH("R"&amp;450,정리결과!$J$6:$J$6005,0))),""))</f>
        <v/>
      </c>
      <c r="H455" s="14" t="b">
        <f aca="false">IF(중복검사!$A453="",FALSE(),중복검사!$J453="유지")</f>
        <v>0</v>
      </c>
      <c r="I455" s="5" t="str">
        <f aca="false">IF($H455=FALSE(),"",COUNTIF($H$6:$H455,TRUE()))</f>
        <v/>
      </c>
      <c r="J455" s="5" t="str">
        <f aca="false">IF($I455="","","R"&amp;$I455)</f>
        <v/>
      </c>
    </row>
    <row r="456" customFormat="false" ht="15" hidden="false" customHeight="true" outlineLevel="0" collapsed="false">
      <c r="A456" s="10" t="str">
        <f aca="false">IFERROR(IF(INDEX(원본명단!$A$3:$A$6002,MATCH("R"&amp;451,정리결과!$J$6:$J$6005,0))="","",INDEX(원본명단!$A$3:$A$6002,MATCH("R"&amp;451,정리결과!$J$6:$J$6005,0))),"")</f>
        <v/>
      </c>
      <c r="B456" s="10" t="str">
        <f aca="false">IF($A456="","",IFERROR(IF(INDEX(원본명단!$B$3:$B$6002,MATCH("R"&amp;451,정리결과!$J$6:$J$6005,0))="","",INDEX(원본명단!$B$3:$B$6002,MATCH("R"&amp;451,정리결과!$J$6:$J$6005,0))),""))</f>
        <v/>
      </c>
      <c r="C456" s="10" t="str">
        <f aca="false">IF($A456="","",IFERROR(IF(INDEX(원본명단!$C$3:$C$6002,MATCH("R"&amp;451,정리결과!$J$6:$J$6005,0))="","",INDEX(원본명단!$C$3:$C$6002,MATCH("R"&amp;451,정리결과!$J$6:$J$6005,0))),""))</f>
        <v/>
      </c>
      <c r="D456" s="10" t="str">
        <f aca="false">IF($A456="","",IFERROR(IF(INDEX(원본명단!$D$3:$D$6002,MATCH("R"&amp;451,정리결과!$J$6:$J$6005,0))="","",INDEX(원본명단!$D$3:$D$6002,MATCH("R"&amp;451,정리결과!$J$6:$J$6005,0))),""))</f>
        <v/>
      </c>
      <c r="E456" s="10" t="str">
        <f aca="false">IF($A456="","",IFERROR(IF(INDEX(원본명단!$E$3:$E$6002,MATCH("R"&amp;451,정리결과!$J$6:$J$6005,0))="","",INDEX(원본명단!$E$3:$E$6002,MATCH("R"&amp;451,정리결과!$J$6:$J$6005,0))),""))</f>
        <v/>
      </c>
      <c r="F456" s="10" t="str">
        <f aca="false">IF($A456="","",IFERROR(IF(INDEX(원본명단!$F$3:$F$6002,MATCH("R"&amp;451,정리결과!$J$6:$J$6005,0))="","",INDEX(원본명단!$F$3:$F$6002,MATCH("R"&amp;451,정리결과!$J$6:$J$6005,0))),""))</f>
        <v/>
      </c>
      <c r="H456" s="14" t="b">
        <f aca="false">IF(중복검사!$A454="",FALSE(),중복검사!$J454="유지")</f>
        <v>0</v>
      </c>
      <c r="I456" s="5" t="str">
        <f aca="false">IF($H456=FALSE(),"",COUNTIF($H$6:$H456,TRUE()))</f>
        <v/>
      </c>
      <c r="J456" s="5" t="str">
        <f aca="false">IF($I456="","","R"&amp;$I456)</f>
        <v/>
      </c>
    </row>
    <row r="457" customFormat="false" ht="15" hidden="false" customHeight="true" outlineLevel="0" collapsed="false">
      <c r="A457" s="10" t="str">
        <f aca="false">IFERROR(IF(INDEX(원본명단!$A$3:$A$6002,MATCH("R"&amp;452,정리결과!$J$6:$J$6005,0))="","",INDEX(원본명단!$A$3:$A$6002,MATCH("R"&amp;452,정리결과!$J$6:$J$6005,0))),"")</f>
        <v/>
      </c>
      <c r="B457" s="10" t="str">
        <f aca="false">IF($A457="","",IFERROR(IF(INDEX(원본명단!$B$3:$B$6002,MATCH("R"&amp;452,정리결과!$J$6:$J$6005,0))="","",INDEX(원본명단!$B$3:$B$6002,MATCH("R"&amp;452,정리결과!$J$6:$J$6005,0))),""))</f>
        <v/>
      </c>
      <c r="C457" s="10" t="str">
        <f aca="false">IF($A457="","",IFERROR(IF(INDEX(원본명단!$C$3:$C$6002,MATCH("R"&amp;452,정리결과!$J$6:$J$6005,0))="","",INDEX(원본명단!$C$3:$C$6002,MATCH("R"&amp;452,정리결과!$J$6:$J$6005,0))),""))</f>
        <v/>
      </c>
      <c r="D457" s="10" t="str">
        <f aca="false">IF($A457="","",IFERROR(IF(INDEX(원본명단!$D$3:$D$6002,MATCH("R"&amp;452,정리결과!$J$6:$J$6005,0))="","",INDEX(원본명단!$D$3:$D$6002,MATCH("R"&amp;452,정리결과!$J$6:$J$6005,0))),""))</f>
        <v/>
      </c>
      <c r="E457" s="10" t="str">
        <f aca="false">IF($A457="","",IFERROR(IF(INDEX(원본명단!$E$3:$E$6002,MATCH("R"&amp;452,정리결과!$J$6:$J$6005,0))="","",INDEX(원본명단!$E$3:$E$6002,MATCH("R"&amp;452,정리결과!$J$6:$J$6005,0))),""))</f>
        <v/>
      </c>
      <c r="F457" s="10" t="str">
        <f aca="false">IF($A457="","",IFERROR(IF(INDEX(원본명단!$F$3:$F$6002,MATCH("R"&amp;452,정리결과!$J$6:$J$6005,0))="","",INDEX(원본명단!$F$3:$F$6002,MATCH("R"&amp;452,정리결과!$J$6:$J$6005,0))),""))</f>
        <v/>
      </c>
      <c r="H457" s="14" t="b">
        <f aca="false">IF(중복검사!$A455="",FALSE(),중복검사!$J455="유지")</f>
        <v>0</v>
      </c>
      <c r="I457" s="5" t="str">
        <f aca="false">IF($H457=FALSE(),"",COUNTIF($H$6:$H457,TRUE()))</f>
        <v/>
      </c>
      <c r="J457" s="5" t="str">
        <f aca="false">IF($I457="","","R"&amp;$I457)</f>
        <v/>
      </c>
    </row>
    <row r="458" customFormat="false" ht="15" hidden="false" customHeight="true" outlineLevel="0" collapsed="false">
      <c r="A458" s="10" t="str">
        <f aca="false">IFERROR(IF(INDEX(원본명단!$A$3:$A$6002,MATCH("R"&amp;453,정리결과!$J$6:$J$6005,0))="","",INDEX(원본명단!$A$3:$A$6002,MATCH("R"&amp;453,정리결과!$J$6:$J$6005,0))),"")</f>
        <v/>
      </c>
      <c r="B458" s="10" t="str">
        <f aca="false">IF($A458="","",IFERROR(IF(INDEX(원본명단!$B$3:$B$6002,MATCH("R"&amp;453,정리결과!$J$6:$J$6005,0))="","",INDEX(원본명단!$B$3:$B$6002,MATCH("R"&amp;453,정리결과!$J$6:$J$6005,0))),""))</f>
        <v/>
      </c>
      <c r="C458" s="10" t="str">
        <f aca="false">IF($A458="","",IFERROR(IF(INDEX(원본명단!$C$3:$C$6002,MATCH("R"&amp;453,정리결과!$J$6:$J$6005,0))="","",INDEX(원본명단!$C$3:$C$6002,MATCH("R"&amp;453,정리결과!$J$6:$J$6005,0))),""))</f>
        <v/>
      </c>
      <c r="D458" s="10" t="str">
        <f aca="false">IF($A458="","",IFERROR(IF(INDEX(원본명단!$D$3:$D$6002,MATCH("R"&amp;453,정리결과!$J$6:$J$6005,0))="","",INDEX(원본명단!$D$3:$D$6002,MATCH("R"&amp;453,정리결과!$J$6:$J$6005,0))),""))</f>
        <v/>
      </c>
      <c r="E458" s="10" t="str">
        <f aca="false">IF($A458="","",IFERROR(IF(INDEX(원본명단!$E$3:$E$6002,MATCH("R"&amp;453,정리결과!$J$6:$J$6005,0))="","",INDEX(원본명단!$E$3:$E$6002,MATCH("R"&amp;453,정리결과!$J$6:$J$6005,0))),""))</f>
        <v/>
      </c>
      <c r="F458" s="10" t="str">
        <f aca="false">IF($A458="","",IFERROR(IF(INDEX(원본명단!$F$3:$F$6002,MATCH("R"&amp;453,정리결과!$J$6:$J$6005,0))="","",INDEX(원본명단!$F$3:$F$6002,MATCH("R"&amp;453,정리결과!$J$6:$J$6005,0))),""))</f>
        <v/>
      </c>
      <c r="H458" s="14" t="b">
        <f aca="false">IF(중복검사!$A456="",FALSE(),중복검사!$J456="유지")</f>
        <v>0</v>
      </c>
      <c r="I458" s="5" t="str">
        <f aca="false">IF($H458=FALSE(),"",COUNTIF($H$6:$H458,TRUE()))</f>
        <v/>
      </c>
      <c r="J458" s="5" t="str">
        <f aca="false">IF($I458="","","R"&amp;$I458)</f>
        <v/>
      </c>
    </row>
    <row r="459" customFormat="false" ht="15" hidden="false" customHeight="true" outlineLevel="0" collapsed="false">
      <c r="A459" s="10" t="str">
        <f aca="false">IFERROR(IF(INDEX(원본명단!$A$3:$A$6002,MATCH("R"&amp;454,정리결과!$J$6:$J$6005,0))="","",INDEX(원본명단!$A$3:$A$6002,MATCH("R"&amp;454,정리결과!$J$6:$J$6005,0))),"")</f>
        <v/>
      </c>
      <c r="B459" s="10" t="str">
        <f aca="false">IF($A459="","",IFERROR(IF(INDEX(원본명단!$B$3:$B$6002,MATCH("R"&amp;454,정리결과!$J$6:$J$6005,0))="","",INDEX(원본명단!$B$3:$B$6002,MATCH("R"&amp;454,정리결과!$J$6:$J$6005,0))),""))</f>
        <v/>
      </c>
      <c r="C459" s="10" t="str">
        <f aca="false">IF($A459="","",IFERROR(IF(INDEX(원본명단!$C$3:$C$6002,MATCH("R"&amp;454,정리결과!$J$6:$J$6005,0))="","",INDEX(원본명단!$C$3:$C$6002,MATCH("R"&amp;454,정리결과!$J$6:$J$6005,0))),""))</f>
        <v/>
      </c>
      <c r="D459" s="10" t="str">
        <f aca="false">IF($A459="","",IFERROR(IF(INDEX(원본명단!$D$3:$D$6002,MATCH("R"&amp;454,정리결과!$J$6:$J$6005,0))="","",INDEX(원본명단!$D$3:$D$6002,MATCH("R"&amp;454,정리결과!$J$6:$J$6005,0))),""))</f>
        <v/>
      </c>
      <c r="E459" s="10" t="str">
        <f aca="false">IF($A459="","",IFERROR(IF(INDEX(원본명단!$E$3:$E$6002,MATCH("R"&amp;454,정리결과!$J$6:$J$6005,0))="","",INDEX(원본명단!$E$3:$E$6002,MATCH("R"&amp;454,정리결과!$J$6:$J$6005,0))),""))</f>
        <v/>
      </c>
      <c r="F459" s="10" t="str">
        <f aca="false">IF($A459="","",IFERROR(IF(INDEX(원본명단!$F$3:$F$6002,MATCH("R"&amp;454,정리결과!$J$6:$J$6005,0))="","",INDEX(원본명단!$F$3:$F$6002,MATCH("R"&amp;454,정리결과!$J$6:$J$6005,0))),""))</f>
        <v/>
      </c>
      <c r="H459" s="14" t="b">
        <f aca="false">IF(중복검사!$A457="",FALSE(),중복검사!$J457="유지")</f>
        <v>0</v>
      </c>
      <c r="I459" s="5" t="str">
        <f aca="false">IF($H459=FALSE(),"",COUNTIF($H$6:$H459,TRUE()))</f>
        <v/>
      </c>
      <c r="J459" s="5" t="str">
        <f aca="false">IF($I459="","","R"&amp;$I459)</f>
        <v/>
      </c>
    </row>
    <row r="460" customFormat="false" ht="15" hidden="false" customHeight="true" outlineLevel="0" collapsed="false">
      <c r="A460" s="10" t="str">
        <f aca="false">IFERROR(IF(INDEX(원본명단!$A$3:$A$6002,MATCH("R"&amp;455,정리결과!$J$6:$J$6005,0))="","",INDEX(원본명단!$A$3:$A$6002,MATCH("R"&amp;455,정리결과!$J$6:$J$6005,0))),"")</f>
        <v/>
      </c>
      <c r="B460" s="10" t="str">
        <f aca="false">IF($A460="","",IFERROR(IF(INDEX(원본명단!$B$3:$B$6002,MATCH("R"&amp;455,정리결과!$J$6:$J$6005,0))="","",INDEX(원본명단!$B$3:$B$6002,MATCH("R"&amp;455,정리결과!$J$6:$J$6005,0))),""))</f>
        <v/>
      </c>
      <c r="C460" s="10" t="str">
        <f aca="false">IF($A460="","",IFERROR(IF(INDEX(원본명단!$C$3:$C$6002,MATCH("R"&amp;455,정리결과!$J$6:$J$6005,0))="","",INDEX(원본명단!$C$3:$C$6002,MATCH("R"&amp;455,정리결과!$J$6:$J$6005,0))),""))</f>
        <v/>
      </c>
      <c r="D460" s="10" t="str">
        <f aca="false">IF($A460="","",IFERROR(IF(INDEX(원본명단!$D$3:$D$6002,MATCH("R"&amp;455,정리결과!$J$6:$J$6005,0))="","",INDEX(원본명단!$D$3:$D$6002,MATCH("R"&amp;455,정리결과!$J$6:$J$6005,0))),""))</f>
        <v/>
      </c>
      <c r="E460" s="10" t="str">
        <f aca="false">IF($A460="","",IFERROR(IF(INDEX(원본명단!$E$3:$E$6002,MATCH("R"&amp;455,정리결과!$J$6:$J$6005,0))="","",INDEX(원본명단!$E$3:$E$6002,MATCH("R"&amp;455,정리결과!$J$6:$J$6005,0))),""))</f>
        <v/>
      </c>
      <c r="F460" s="10" t="str">
        <f aca="false">IF($A460="","",IFERROR(IF(INDEX(원본명단!$F$3:$F$6002,MATCH("R"&amp;455,정리결과!$J$6:$J$6005,0))="","",INDEX(원본명단!$F$3:$F$6002,MATCH("R"&amp;455,정리결과!$J$6:$J$6005,0))),""))</f>
        <v/>
      </c>
      <c r="H460" s="14" t="b">
        <f aca="false">IF(중복검사!$A458="",FALSE(),중복검사!$J458="유지")</f>
        <v>0</v>
      </c>
      <c r="I460" s="5" t="str">
        <f aca="false">IF($H460=FALSE(),"",COUNTIF($H$6:$H460,TRUE()))</f>
        <v/>
      </c>
      <c r="J460" s="5" t="str">
        <f aca="false">IF($I460="","","R"&amp;$I460)</f>
        <v/>
      </c>
    </row>
    <row r="461" customFormat="false" ht="15" hidden="false" customHeight="true" outlineLevel="0" collapsed="false">
      <c r="A461" s="10" t="str">
        <f aca="false">IFERROR(IF(INDEX(원본명단!$A$3:$A$6002,MATCH("R"&amp;456,정리결과!$J$6:$J$6005,0))="","",INDEX(원본명단!$A$3:$A$6002,MATCH("R"&amp;456,정리결과!$J$6:$J$6005,0))),"")</f>
        <v/>
      </c>
      <c r="B461" s="10" t="str">
        <f aca="false">IF($A461="","",IFERROR(IF(INDEX(원본명단!$B$3:$B$6002,MATCH("R"&amp;456,정리결과!$J$6:$J$6005,0))="","",INDEX(원본명단!$B$3:$B$6002,MATCH("R"&amp;456,정리결과!$J$6:$J$6005,0))),""))</f>
        <v/>
      </c>
      <c r="C461" s="10" t="str">
        <f aca="false">IF($A461="","",IFERROR(IF(INDEX(원본명단!$C$3:$C$6002,MATCH("R"&amp;456,정리결과!$J$6:$J$6005,0))="","",INDEX(원본명단!$C$3:$C$6002,MATCH("R"&amp;456,정리결과!$J$6:$J$6005,0))),""))</f>
        <v/>
      </c>
      <c r="D461" s="10" t="str">
        <f aca="false">IF($A461="","",IFERROR(IF(INDEX(원본명단!$D$3:$D$6002,MATCH("R"&amp;456,정리결과!$J$6:$J$6005,0))="","",INDEX(원본명단!$D$3:$D$6002,MATCH("R"&amp;456,정리결과!$J$6:$J$6005,0))),""))</f>
        <v/>
      </c>
      <c r="E461" s="10" t="str">
        <f aca="false">IF($A461="","",IFERROR(IF(INDEX(원본명단!$E$3:$E$6002,MATCH("R"&amp;456,정리결과!$J$6:$J$6005,0))="","",INDEX(원본명단!$E$3:$E$6002,MATCH("R"&amp;456,정리결과!$J$6:$J$6005,0))),""))</f>
        <v/>
      </c>
      <c r="F461" s="10" t="str">
        <f aca="false">IF($A461="","",IFERROR(IF(INDEX(원본명단!$F$3:$F$6002,MATCH("R"&amp;456,정리결과!$J$6:$J$6005,0))="","",INDEX(원본명단!$F$3:$F$6002,MATCH("R"&amp;456,정리결과!$J$6:$J$6005,0))),""))</f>
        <v/>
      </c>
      <c r="H461" s="14" t="b">
        <f aca="false">IF(중복검사!$A459="",FALSE(),중복검사!$J459="유지")</f>
        <v>0</v>
      </c>
      <c r="I461" s="5" t="str">
        <f aca="false">IF($H461=FALSE(),"",COUNTIF($H$6:$H461,TRUE()))</f>
        <v/>
      </c>
      <c r="J461" s="5" t="str">
        <f aca="false">IF($I461="","","R"&amp;$I461)</f>
        <v/>
      </c>
    </row>
    <row r="462" customFormat="false" ht="15" hidden="false" customHeight="true" outlineLevel="0" collapsed="false">
      <c r="A462" s="10" t="str">
        <f aca="false">IFERROR(IF(INDEX(원본명단!$A$3:$A$6002,MATCH("R"&amp;457,정리결과!$J$6:$J$6005,0))="","",INDEX(원본명단!$A$3:$A$6002,MATCH("R"&amp;457,정리결과!$J$6:$J$6005,0))),"")</f>
        <v/>
      </c>
      <c r="B462" s="10" t="str">
        <f aca="false">IF($A462="","",IFERROR(IF(INDEX(원본명단!$B$3:$B$6002,MATCH("R"&amp;457,정리결과!$J$6:$J$6005,0))="","",INDEX(원본명단!$B$3:$B$6002,MATCH("R"&amp;457,정리결과!$J$6:$J$6005,0))),""))</f>
        <v/>
      </c>
      <c r="C462" s="10" t="str">
        <f aca="false">IF($A462="","",IFERROR(IF(INDEX(원본명단!$C$3:$C$6002,MATCH("R"&amp;457,정리결과!$J$6:$J$6005,0))="","",INDEX(원본명단!$C$3:$C$6002,MATCH("R"&amp;457,정리결과!$J$6:$J$6005,0))),""))</f>
        <v/>
      </c>
      <c r="D462" s="10" t="str">
        <f aca="false">IF($A462="","",IFERROR(IF(INDEX(원본명단!$D$3:$D$6002,MATCH("R"&amp;457,정리결과!$J$6:$J$6005,0))="","",INDEX(원본명단!$D$3:$D$6002,MATCH("R"&amp;457,정리결과!$J$6:$J$6005,0))),""))</f>
        <v/>
      </c>
      <c r="E462" s="10" t="str">
        <f aca="false">IF($A462="","",IFERROR(IF(INDEX(원본명단!$E$3:$E$6002,MATCH("R"&amp;457,정리결과!$J$6:$J$6005,0))="","",INDEX(원본명단!$E$3:$E$6002,MATCH("R"&amp;457,정리결과!$J$6:$J$6005,0))),""))</f>
        <v/>
      </c>
      <c r="F462" s="10" t="str">
        <f aca="false">IF($A462="","",IFERROR(IF(INDEX(원본명단!$F$3:$F$6002,MATCH("R"&amp;457,정리결과!$J$6:$J$6005,0))="","",INDEX(원본명단!$F$3:$F$6002,MATCH("R"&amp;457,정리결과!$J$6:$J$6005,0))),""))</f>
        <v/>
      </c>
      <c r="H462" s="14" t="b">
        <f aca="false">IF(중복검사!$A460="",FALSE(),중복검사!$J460="유지")</f>
        <v>0</v>
      </c>
      <c r="I462" s="5" t="str">
        <f aca="false">IF($H462=FALSE(),"",COUNTIF($H$6:$H462,TRUE()))</f>
        <v/>
      </c>
      <c r="J462" s="5" t="str">
        <f aca="false">IF($I462="","","R"&amp;$I462)</f>
        <v/>
      </c>
    </row>
    <row r="463" customFormat="false" ht="15" hidden="false" customHeight="true" outlineLevel="0" collapsed="false">
      <c r="A463" s="10" t="str">
        <f aca="false">IFERROR(IF(INDEX(원본명단!$A$3:$A$6002,MATCH("R"&amp;458,정리결과!$J$6:$J$6005,0))="","",INDEX(원본명단!$A$3:$A$6002,MATCH("R"&amp;458,정리결과!$J$6:$J$6005,0))),"")</f>
        <v/>
      </c>
      <c r="B463" s="10" t="str">
        <f aca="false">IF($A463="","",IFERROR(IF(INDEX(원본명단!$B$3:$B$6002,MATCH("R"&amp;458,정리결과!$J$6:$J$6005,0))="","",INDEX(원본명단!$B$3:$B$6002,MATCH("R"&amp;458,정리결과!$J$6:$J$6005,0))),""))</f>
        <v/>
      </c>
      <c r="C463" s="10" t="str">
        <f aca="false">IF($A463="","",IFERROR(IF(INDEX(원본명단!$C$3:$C$6002,MATCH("R"&amp;458,정리결과!$J$6:$J$6005,0))="","",INDEX(원본명단!$C$3:$C$6002,MATCH("R"&amp;458,정리결과!$J$6:$J$6005,0))),""))</f>
        <v/>
      </c>
      <c r="D463" s="10" t="str">
        <f aca="false">IF($A463="","",IFERROR(IF(INDEX(원본명단!$D$3:$D$6002,MATCH("R"&amp;458,정리결과!$J$6:$J$6005,0))="","",INDEX(원본명단!$D$3:$D$6002,MATCH("R"&amp;458,정리결과!$J$6:$J$6005,0))),""))</f>
        <v/>
      </c>
      <c r="E463" s="10" t="str">
        <f aca="false">IF($A463="","",IFERROR(IF(INDEX(원본명단!$E$3:$E$6002,MATCH("R"&amp;458,정리결과!$J$6:$J$6005,0))="","",INDEX(원본명단!$E$3:$E$6002,MATCH("R"&amp;458,정리결과!$J$6:$J$6005,0))),""))</f>
        <v/>
      </c>
      <c r="F463" s="10" t="str">
        <f aca="false">IF($A463="","",IFERROR(IF(INDEX(원본명단!$F$3:$F$6002,MATCH("R"&amp;458,정리결과!$J$6:$J$6005,0))="","",INDEX(원본명단!$F$3:$F$6002,MATCH("R"&amp;458,정리결과!$J$6:$J$6005,0))),""))</f>
        <v/>
      </c>
      <c r="H463" s="14" t="b">
        <f aca="false">IF(중복검사!$A461="",FALSE(),중복검사!$J461="유지")</f>
        <v>0</v>
      </c>
      <c r="I463" s="5" t="str">
        <f aca="false">IF($H463=FALSE(),"",COUNTIF($H$6:$H463,TRUE()))</f>
        <v/>
      </c>
      <c r="J463" s="5" t="str">
        <f aca="false">IF($I463="","","R"&amp;$I463)</f>
        <v/>
      </c>
    </row>
    <row r="464" customFormat="false" ht="15" hidden="false" customHeight="true" outlineLevel="0" collapsed="false">
      <c r="A464" s="10" t="str">
        <f aca="false">IFERROR(IF(INDEX(원본명단!$A$3:$A$6002,MATCH("R"&amp;459,정리결과!$J$6:$J$6005,0))="","",INDEX(원본명단!$A$3:$A$6002,MATCH("R"&amp;459,정리결과!$J$6:$J$6005,0))),"")</f>
        <v/>
      </c>
      <c r="B464" s="10" t="str">
        <f aca="false">IF($A464="","",IFERROR(IF(INDEX(원본명단!$B$3:$B$6002,MATCH("R"&amp;459,정리결과!$J$6:$J$6005,0))="","",INDEX(원본명단!$B$3:$B$6002,MATCH("R"&amp;459,정리결과!$J$6:$J$6005,0))),""))</f>
        <v/>
      </c>
      <c r="C464" s="10" t="str">
        <f aca="false">IF($A464="","",IFERROR(IF(INDEX(원본명단!$C$3:$C$6002,MATCH("R"&amp;459,정리결과!$J$6:$J$6005,0))="","",INDEX(원본명단!$C$3:$C$6002,MATCH("R"&amp;459,정리결과!$J$6:$J$6005,0))),""))</f>
        <v/>
      </c>
      <c r="D464" s="10" t="str">
        <f aca="false">IF($A464="","",IFERROR(IF(INDEX(원본명단!$D$3:$D$6002,MATCH("R"&amp;459,정리결과!$J$6:$J$6005,0))="","",INDEX(원본명단!$D$3:$D$6002,MATCH("R"&amp;459,정리결과!$J$6:$J$6005,0))),""))</f>
        <v/>
      </c>
      <c r="E464" s="10" t="str">
        <f aca="false">IF($A464="","",IFERROR(IF(INDEX(원본명단!$E$3:$E$6002,MATCH("R"&amp;459,정리결과!$J$6:$J$6005,0))="","",INDEX(원본명단!$E$3:$E$6002,MATCH("R"&amp;459,정리결과!$J$6:$J$6005,0))),""))</f>
        <v/>
      </c>
      <c r="F464" s="10" t="str">
        <f aca="false">IF($A464="","",IFERROR(IF(INDEX(원본명단!$F$3:$F$6002,MATCH("R"&amp;459,정리결과!$J$6:$J$6005,0))="","",INDEX(원본명단!$F$3:$F$6002,MATCH("R"&amp;459,정리결과!$J$6:$J$6005,0))),""))</f>
        <v/>
      </c>
      <c r="H464" s="14" t="b">
        <f aca="false">IF(중복검사!$A462="",FALSE(),중복검사!$J462="유지")</f>
        <v>0</v>
      </c>
      <c r="I464" s="5" t="str">
        <f aca="false">IF($H464=FALSE(),"",COUNTIF($H$6:$H464,TRUE()))</f>
        <v/>
      </c>
      <c r="J464" s="5" t="str">
        <f aca="false">IF($I464="","","R"&amp;$I464)</f>
        <v/>
      </c>
    </row>
    <row r="465" customFormat="false" ht="15" hidden="false" customHeight="true" outlineLevel="0" collapsed="false">
      <c r="A465" s="10" t="str">
        <f aca="false">IFERROR(IF(INDEX(원본명단!$A$3:$A$6002,MATCH("R"&amp;460,정리결과!$J$6:$J$6005,0))="","",INDEX(원본명단!$A$3:$A$6002,MATCH("R"&amp;460,정리결과!$J$6:$J$6005,0))),"")</f>
        <v/>
      </c>
      <c r="B465" s="10" t="str">
        <f aca="false">IF($A465="","",IFERROR(IF(INDEX(원본명단!$B$3:$B$6002,MATCH("R"&amp;460,정리결과!$J$6:$J$6005,0))="","",INDEX(원본명단!$B$3:$B$6002,MATCH("R"&amp;460,정리결과!$J$6:$J$6005,0))),""))</f>
        <v/>
      </c>
      <c r="C465" s="10" t="str">
        <f aca="false">IF($A465="","",IFERROR(IF(INDEX(원본명단!$C$3:$C$6002,MATCH("R"&amp;460,정리결과!$J$6:$J$6005,0))="","",INDEX(원본명단!$C$3:$C$6002,MATCH("R"&amp;460,정리결과!$J$6:$J$6005,0))),""))</f>
        <v/>
      </c>
      <c r="D465" s="10" t="str">
        <f aca="false">IF($A465="","",IFERROR(IF(INDEX(원본명단!$D$3:$D$6002,MATCH("R"&amp;460,정리결과!$J$6:$J$6005,0))="","",INDEX(원본명단!$D$3:$D$6002,MATCH("R"&amp;460,정리결과!$J$6:$J$6005,0))),""))</f>
        <v/>
      </c>
      <c r="E465" s="10" t="str">
        <f aca="false">IF($A465="","",IFERROR(IF(INDEX(원본명단!$E$3:$E$6002,MATCH("R"&amp;460,정리결과!$J$6:$J$6005,0))="","",INDEX(원본명단!$E$3:$E$6002,MATCH("R"&amp;460,정리결과!$J$6:$J$6005,0))),""))</f>
        <v/>
      </c>
      <c r="F465" s="10" t="str">
        <f aca="false">IF($A465="","",IFERROR(IF(INDEX(원본명단!$F$3:$F$6002,MATCH("R"&amp;460,정리결과!$J$6:$J$6005,0))="","",INDEX(원본명단!$F$3:$F$6002,MATCH("R"&amp;460,정리결과!$J$6:$J$6005,0))),""))</f>
        <v/>
      </c>
      <c r="H465" s="14" t="b">
        <f aca="false">IF(중복검사!$A463="",FALSE(),중복검사!$J463="유지")</f>
        <v>0</v>
      </c>
      <c r="I465" s="5" t="str">
        <f aca="false">IF($H465=FALSE(),"",COUNTIF($H$6:$H465,TRUE()))</f>
        <v/>
      </c>
      <c r="J465" s="5" t="str">
        <f aca="false">IF($I465="","","R"&amp;$I465)</f>
        <v/>
      </c>
    </row>
    <row r="466" customFormat="false" ht="15" hidden="false" customHeight="true" outlineLevel="0" collapsed="false">
      <c r="A466" s="10" t="str">
        <f aca="false">IFERROR(IF(INDEX(원본명단!$A$3:$A$6002,MATCH("R"&amp;461,정리결과!$J$6:$J$6005,0))="","",INDEX(원본명단!$A$3:$A$6002,MATCH("R"&amp;461,정리결과!$J$6:$J$6005,0))),"")</f>
        <v/>
      </c>
      <c r="B466" s="10" t="str">
        <f aca="false">IF($A466="","",IFERROR(IF(INDEX(원본명단!$B$3:$B$6002,MATCH("R"&amp;461,정리결과!$J$6:$J$6005,0))="","",INDEX(원본명단!$B$3:$B$6002,MATCH("R"&amp;461,정리결과!$J$6:$J$6005,0))),""))</f>
        <v/>
      </c>
      <c r="C466" s="10" t="str">
        <f aca="false">IF($A466="","",IFERROR(IF(INDEX(원본명단!$C$3:$C$6002,MATCH("R"&amp;461,정리결과!$J$6:$J$6005,0))="","",INDEX(원본명단!$C$3:$C$6002,MATCH("R"&amp;461,정리결과!$J$6:$J$6005,0))),""))</f>
        <v/>
      </c>
      <c r="D466" s="10" t="str">
        <f aca="false">IF($A466="","",IFERROR(IF(INDEX(원본명단!$D$3:$D$6002,MATCH("R"&amp;461,정리결과!$J$6:$J$6005,0))="","",INDEX(원본명단!$D$3:$D$6002,MATCH("R"&amp;461,정리결과!$J$6:$J$6005,0))),""))</f>
        <v/>
      </c>
      <c r="E466" s="10" t="str">
        <f aca="false">IF($A466="","",IFERROR(IF(INDEX(원본명단!$E$3:$E$6002,MATCH("R"&amp;461,정리결과!$J$6:$J$6005,0))="","",INDEX(원본명단!$E$3:$E$6002,MATCH("R"&amp;461,정리결과!$J$6:$J$6005,0))),""))</f>
        <v/>
      </c>
      <c r="F466" s="10" t="str">
        <f aca="false">IF($A466="","",IFERROR(IF(INDEX(원본명단!$F$3:$F$6002,MATCH("R"&amp;461,정리결과!$J$6:$J$6005,0))="","",INDEX(원본명단!$F$3:$F$6002,MATCH("R"&amp;461,정리결과!$J$6:$J$6005,0))),""))</f>
        <v/>
      </c>
      <c r="H466" s="14" t="b">
        <f aca="false">IF(중복검사!$A464="",FALSE(),중복검사!$J464="유지")</f>
        <v>0</v>
      </c>
      <c r="I466" s="5" t="str">
        <f aca="false">IF($H466=FALSE(),"",COUNTIF($H$6:$H466,TRUE()))</f>
        <v/>
      </c>
      <c r="J466" s="5" t="str">
        <f aca="false">IF($I466="","","R"&amp;$I466)</f>
        <v/>
      </c>
    </row>
    <row r="467" customFormat="false" ht="15" hidden="false" customHeight="true" outlineLevel="0" collapsed="false">
      <c r="A467" s="10" t="str">
        <f aca="false">IFERROR(IF(INDEX(원본명단!$A$3:$A$6002,MATCH("R"&amp;462,정리결과!$J$6:$J$6005,0))="","",INDEX(원본명단!$A$3:$A$6002,MATCH("R"&amp;462,정리결과!$J$6:$J$6005,0))),"")</f>
        <v/>
      </c>
      <c r="B467" s="10" t="str">
        <f aca="false">IF($A467="","",IFERROR(IF(INDEX(원본명단!$B$3:$B$6002,MATCH("R"&amp;462,정리결과!$J$6:$J$6005,0))="","",INDEX(원본명단!$B$3:$B$6002,MATCH("R"&amp;462,정리결과!$J$6:$J$6005,0))),""))</f>
        <v/>
      </c>
      <c r="C467" s="10" t="str">
        <f aca="false">IF($A467="","",IFERROR(IF(INDEX(원본명단!$C$3:$C$6002,MATCH("R"&amp;462,정리결과!$J$6:$J$6005,0))="","",INDEX(원본명단!$C$3:$C$6002,MATCH("R"&amp;462,정리결과!$J$6:$J$6005,0))),""))</f>
        <v/>
      </c>
      <c r="D467" s="10" t="str">
        <f aca="false">IF($A467="","",IFERROR(IF(INDEX(원본명단!$D$3:$D$6002,MATCH("R"&amp;462,정리결과!$J$6:$J$6005,0))="","",INDEX(원본명단!$D$3:$D$6002,MATCH("R"&amp;462,정리결과!$J$6:$J$6005,0))),""))</f>
        <v/>
      </c>
      <c r="E467" s="10" t="str">
        <f aca="false">IF($A467="","",IFERROR(IF(INDEX(원본명단!$E$3:$E$6002,MATCH("R"&amp;462,정리결과!$J$6:$J$6005,0))="","",INDEX(원본명단!$E$3:$E$6002,MATCH("R"&amp;462,정리결과!$J$6:$J$6005,0))),""))</f>
        <v/>
      </c>
      <c r="F467" s="10" t="str">
        <f aca="false">IF($A467="","",IFERROR(IF(INDEX(원본명단!$F$3:$F$6002,MATCH("R"&amp;462,정리결과!$J$6:$J$6005,0))="","",INDEX(원본명단!$F$3:$F$6002,MATCH("R"&amp;462,정리결과!$J$6:$J$6005,0))),""))</f>
        <v/>
      </c>
      <c r="H467" s="14" t="b">
        <f aca="false">IF(중복검사!$A465="",FALSE(),중복검사!$J465="유지")</f>
        <v>0</v>
      </c>
      <c r="I467" s="5" t="str">
        <f aca="false">IF($H467=FALSE(),"",COUNTIF($H$6:$H467,TRUE()))</f>
        <v/>
      </c>
      <c r="J467" s="5" t="str">
        <f aca="false">IF($I467="","","R"&amp;$I467)</f>
        <v/>
      </c>
    </row>
    <row r="468" customFormat="false" ht="15" hidden="false" customHeight="true" outlineLevel="0" collapsed="false">
      <c r="A468" s="10" t="str">
        <f aca="false">IFERROR(IF(INDEX(원본명단!$A$3:$A$6002,MATCH("R"&amp;463,정리결과!$J$6:$J$6005,0))="","",INDEX(원본명단!$A$3:$A$6002,MATCH("R"&amp;463,정리결과!$J$6:$J$6005,0))),"")</f>
        <v/>
      </c>
      <c r="B468" s="10" t="str">
        <f aca="false">IF($A468="","",IFERROR(IF(INDEX(원본명단!$B$3:$B$6002,MATCH("R"&amp;463,정리결과!$J$6:$J$6005,0))="","",INDEX(원본명단!$B$3:$B$6002,MATCH("R"&amp;463,정리결과!$J$6:$J$6005,0))),""))</f>
        <v/>
      </c>
      <c r="C468" s="10" t="str">
        <f aca="false">IF($A468="","",IFERROR(IF(INDEX(원본명단!$C$3:$C$6002,MATCH("R"&amp;463,정리결과!$J$6:$J$6005,0))="","",INDEX(원본명단!$C$3:$C$6002,MATCH("R"&amp;463,정리결과!$J$6:$J$6005,0))),""))</f>
        <v/>
      </c>
      <c r="D468" s="10" t="str">
        <f aca="false">IF($A468="","",IFERROR(IF(INDEX(원본명단!$D$3:$D$6002,MATCH("R"&amp;463,정리결과!$J$6:$J$6005,0))="","",INDEX(원본명단!$D$3:$D$6002,MATCH("R"&amp;463,정리결과!$J$6:$J$6005,0))),""))</f>
        <v/>
      </c>
      <c r="E468" s="10" t="str">
        <f aca="false">IF($A468="","",IFERROR(IF(INDEX(원본명단!$E$3:$E$6002,MATCH("R"&amp;463,정리결과!$J$6:$J$6005,0))="","",INDEX(원본명단!$E$3:$E$6002,MATCH("R"&amp;463,정리결과!$J$6:$J$6005,0))),""))</f>
        <v/>
      </c>
      <c r="F468" s="10" t="str">
        <f aca="false">IF($A468="","",IFERROR(IF(INDEX(원본명단!$F$3:$F$6002,MATCH("R"&amp;463,정리결과!$J$6:$J$6005,0))="","",INDEX(원본명단!$F$3:$F$6002,MATCH("R"&amp;463,정리결과!$J$6:$J$6005,0))),""))</f>
        <v/>
      </c>
      <c r="H468" s="14" t="b">
        <f aca="false">IF(중복검사!$A466="",FALSE(),중복검사!$J466="유지")</f>
        <v>0</v>
      </c>
      <c r="I468" s="5" t="str">
        <f aca="false">IF($H468=FALSE(),"",COUNTIF($H$6:$H468,TRUE()))</f>
        <v/>
      </c>
      <c r="J468" s="5" t="str">
        <f aca="false">IF($I468="","","R"&amp;$I468)</f>
        <v/>
      </c>
    </row>
    <row r="469" customFormat="false" ht="15" hidden="false" customHeight="true" outlineLevel="0" collapsed="false">
      <c r="A469" s="10" t="str">
        <f aca="false">IFERROR(IF(INDEX(원본명단!$A$3:$A$6002,MATCH("R"&amp;464,정리결과!$J$6:$J$6005,0))="","",INDEX(원본명단!$A$3:$A$6002,MATCH("R"&amp;464,정리결과!$J$6:$J$6005,0))),"")</f>
        <v/>
      </c>
      <c r="B469" s="10" t="str">
        <f aca="false">IF($A469="","",IFERROR(IF(INDEX(원본명단!$B$3:$B$6002,MATCH("R"&amp;464,정리결과!$J$6:$J$6005,0))="","",INDEX(원본명단!$B$3:$B$6002,MATCH("R"&amp;464,정리결과!$J$6:$J$6005,0))),""))</f>
        <v/>
      </c>
      <c r="C469" s="10" t="str">
        <f aca="false">IF($A469="","",IFERROR(IF(INDEX(원본명단!$C$3:$C$6002,MATCH("R"&amp;464,정리결과!$J$6:$J$6005,0))="","",INDEX(원본명단!$C$3:$C$6002,MATCH("R"&amp;464,정리결과!$J$6:$J$6005,0))),""))</f>
        <v/>
      </c>
      <c r="D469" s="10" t="str">
        <f aca="false">IF($A469="","",IFERROR(IF(INDEX(원본명단!$D$3:$D$6002,MATCH("R"&amp;464,정리결과!$J$6:$J$6005,0))="","",INDEX(원본명단!$D$3:$D$6002,MATCH("R"&amp;464,정리결과!$J$6:$J$6005,0))),""))</f>
        <v/>
      </c>
      <c r="E469" s="10" t="str">
        <f aca="false">IF($A469="","",IFERROR(IF(INDEX(원본명단!$E$3:$E$6002,MATCH("R"&amp;464,정리결과!$J$6:$J$6005,0))="","",INDEX(원본명단!$E$3:$E$6002,MATCH("R"&amp;464,정리결과!$J$6:$J$6005,0))),""))</f>
        <v/>
      </c>
      <c r="F469" s="10" t="str">
        <f aca="false">IF($A469="","",IFERROR(IF(INDEX(원본명단!$F$3:$F$6002,MATCH("R"&amp;464,정리결과!$J$6:$J$6005,0))="","",INDEX(원본명단!$F$3:$F$6002,MATCH("R"&amp;464,정리결과!$J$6:$J$6005,0))),""))</f>
        <v/>
      </c>
      <c r="H469" s="14" t="b">
        <f aca="false">IF(중복검사!$A467="",FALSE(),중복검사!$J467="유지")</f>
        <v>0</v>
      </c>
      <c r="I469" s="5" t="str">
        <f aca="false">IF($H469=FALSE(),"",COUNTIF($H$6:$H469,TRUE()))</f>
        <v/>
      </c>
      <c r="J469" s="5" t="str">
        <f aca="false">IF($I469="","","R"&amp;$I469)</f>
        <v/>
      </c>
    </row>
    <row r="470" customFormat="false" ht="15" hidden="false" customHeight="true" outlineLevel="0" collapsed="false">
      <c r="A470" s="10" t="str">
        <f aca="false">IFERROR(IF(INDEX(원본명단!$A$3:$A$6002,MATCH("R"&amp;465,정리결과!$J$6:$J$6005,0))="","",INDEX(원본명단!$A$3:$A$6002,MATCH("R"&amp;465,정리결과!$J$6:$J$6005,0))),"")</f>
        <v/>
      </c>
      <c r="B470" s="10" t="str">
        <f aca="false">IF($A470="","",IFERROR(IF(INDEX(원본명단!$B$3:$B$6002,MATCH("R"&amp;465,정리결과!$J$6:$J$6005,0))="","",INDEX(원본명단!$B$3:$B$6002,MATCH("R"&amp;465,정리결과!$J$6:$J$6005,0))),""))</f>
        <v/>
      </c>
      <c r="C470" s="10" t="str">
        <f aca="false">IF($A470="","",IFERROR(IF(INDEX(원본명단!$C$3:$C$6002,MATCH("R"&amp;465,정리결과!$J$6:$J$6005,0))="","",INDEX(원본명단!$C$3:$C$6002,MATCH("R"&amp;465,정리결과!$J$6:$J$6005,0))),""))</f>
        <v/>
      </c>
      <c r="D470" s="10" t="str">
        <f aca="false">IF($A470="","",IFERROR(IF(INDEX(원본명단!$D$3:$D$6002,MATCH("R"&amp;465,정리결과!$J$6:$J$6005,0))="","",INDEX(원본명단!$D$3:$D$6002,MATCH("R"&amp;465,정리결과!$J$6:$J$6005,0))),""))</f>
        <v/>
      </c>
      <c r="E470" s="10" t="str">
        <f aca="false">IF($A470="","",IFERROR(IF(INDEX(원본명단!$E$3:$E$6002,MATCH("R"&amp;465,정리결과!$J$6:$J$6005,0))="","",INDEX(원본명단!$E$3:$E$6002,MATCH("R"&amp;465,정리결과!$J$6:$J$6005,0))),""))</f>
        <v/>
      </c>
      <c r="F470" s="10" t="str">
        <f aca="false">IF($A470="","",IFERROR(IF(INDEX(원본명단!$F$3:$F$6002,MATCH("R"&amp;465,정리결과!$J$6:$J$6005,0))="","",INDEX(원본명단!$F$3:$F$6002,MATCH("R"&amp;465,정리결과!$J$6:$J$6005,0))),""))</f>
        <v/>
      </c>
      <c r="H470" s="14" t="b">
        <f aca="false">IF(중복검사!$A468="",FALSE(),중복검사!$J468="유지")</f>
        <v>0</v>
      </c>
      <c r="I470" s="5" t="str">
        <f aca="false">IF($H470=FALSE(),"",COUNTIF($H$6:$H470,TRUE()))</f>
        <v/>
      </c>
      <c r="J470" s="5" t="str">
        <f aca="false">IF($I470="","","R"&amp;$I470)</f>
        <v/>
      </c>
    </row>
    <row r="471" customFormat="false" ht="15" hidden="false" customHeight="true" outlineLevel="0" collapsed="false">
      <c r="A471" s="10" t="str">
        <f aca="false">IFERROR(IF(INDEX(원본명단!$A$3:$A$6002,MATCH("R"&amp;466,정리결과!$J$6:$J$6005,0))="","",INDEX(원본명단!$A$3:$A$6002,MATCH("R"&amp;466,정리결과!$J$6:$J$6005,0))),"")</f>
        <v/>
      </c>
      <c r="B471" s="10" t="str">
        <f aca="false">IF($A471="","",IFERROR(IF(INDEX(원본명단!$B$3:$B$6002,MATCH("R"&amp;466,정리결과!$J$6:$J$6005,0))="","",INDEX(원본명단!$B$3:$B$6002,MATCH("R"&amp;466,정리결과!$J$6:$J$6005,0))),""))</f>
        <v/>
      </c>
      <c r="C471" s="10" t="str">
        <f aca="false">IF($A471="","",IFERROR(IF(INDEX(원본명단!$C$3:$C$6002,MATCH("R"&amp;466,정리결과!$J$6:$J$6005,0))="","",INDEX(원본명단!$C$3:$C$6002,MATCH("R"&amp;466,정리결과!$J$6:$J$6005,0))),""))</f>
        <v/>
      </c>
      <c r="D471" s="10" t="str">
        <f aca="false">IF($A471="","",IFERROR(IF(INDEX(원본명단!$D$3:$D$6002,MATCH("R"&amp;466,정리결과!$J$6:$J$6005,0))="","",INDEX(원본명단!$D$3:$D$6002,MATCH("R"&amp;466,정리결과!$J$6:$J$6005,0))),""))</f>
        <v/>
      </c>
      <c r="E471" s="10" t="str">
        <f aca="false">IF($A471="","",IFERROR(IF(INDEX(원본명단!$E$3:$E$6002,MATCH("R"&amp;466,정리결과!$J$6:$J$6005,0))="","",INDEX(원본명단!$E$3:$E$6002,MATCH("R"&amp;466,정리결과!$J$6:$J$6005,0))),""))</f>
        <v/>
      </c>
      <c r="F471" s="10" t="str">
        <f aca="false">IF($A471="","",IFERROR(IF(INDEX(원본명단!$F$3:$F$6002,MATCH("R"&amp;466,정리결과!$J$6:$J$6005,0))="","",INDEX(원본명단!$F$3:$F$6002,MATCH("R"&amp;466,정리결과!$J$6:$J$6005,0))),""))</f>
        <v/>
      </c>
      <c r="H471" s="14" t="b">
        <f aca="false">IF(중복검사!$A469="",FALSE(),중복검사!$J469="유지")</f>
        <v>0</v>
      </c>
      <c r="I471" s="5" t="str">
        <f aca="false">IF($H471=FALSE(),"",COUNTIF($H$6:$H471,TRUE()))</f>
        <v/>
      </c>
      <c r="J471" s="5" t="str">
        <f aca="false">IF($I471="","","R"&amp;$I471)</f>
        <v/>
      </c>
    </row>
    <row r="472" customFormat="false" ht="15" hidden="false" customHeight="true" outlineLevel="0" collapsed="false">
      <c r="A472" s="10" t="str">
        <f aca="false">IFERROR(IF(INDEX(원본명단!$A$3:$A$6002,MATCH("R"&amp;467,정리결과!$J$6:$J$6005,0))="","",INDEX(원본명단!$A$3:$A$6002,MATCH("R"&amp;467,정리결과!$J$6:$J$6005,0))),"")</f>
        <v/>
      </c>
      <c r="B472" s="10" t="str">
        <f aca="false">IF($A472="","",IFERROR(IF(INDEX(원본명단!$B$3:$B$6002,MATCH("R"&amp;467,정리결과!$J$6:$J$6005,0))="","",INDEX(원본명단!$B$3:$B$6002,MATCH("R"&amp;467,정리결과!$J$6:$J$6005,0))),""))</f>
        <v/>
      </c>
      <c r="C472" s="10" t="str">
        <f aca="false">IF($A472="","",IFERROR(IF(INDEX(원본명단!$C$3:$C$6002,MATCH("R"&amp;467,정리결과!$J$6:$J$6005,0))="","",INDEX(원본명단!$C$3:$C$6002,MATCH("R"&amp;467,정리결과!$J$6:$J$6005,0))),""))</f>
        <v/>
      </c>
      <c r="D472" s="10" t="str">
        <f aca="false">IF($A472="","",IFERROR(IF(INDEX(원본명단!$D$3:$D$6002,MATCH("R"&amp;467,정리결과!$J$6:$J$6005,0))="","",INDEX(원본명단!$D$3:$D$6002,MATCH("R"&amp;467,정리결과!$J$6:$J$6005,0))),""))</f>
        <v/>
      </c>
      <c r="E472" s="10" t="str">
        <f aca="false">IF($A472="","",IFERROR(IF(INDEX(원본명단!$E$3:$E$6002,MATCH("R"&amp;467,정리결과!$J$6:$J$6005,0))="","",INDEX(원본명단!$E$3:$E$6002,MATCH("R"&amp;467,정리결과!$J$6:$J$6005,0))),""))</f>
        <v/>
      </c>
      <c r="F472" s="10" t="str">
        <f aca="false">IF($A472="","",IFERROR(IF(INDEX(원본명단!$F$3:$F$6002,MATCH("R"&amp;467,정리결과!$J$6:$J$6005,0))="","",INDEX(원본명단!$F$3:$F$6002,MATCH("R"&amp;467,정리결과!$J$6:$J$6005,0))),""))</f>
        <v/>
      </c>
      <c r="H472" s="14" t="b">
        <f aca="false">IF(중복검사!$A470="",FALSE(),중복검사!$J470="유지")</f>
        <v>0</v>
      </c>
      <c r="I472" s="5" t="str">
        <f aca="false">IF($H472=FALSE(),"",COUNTIF($H$6:$H472,TRUE()))</f>
        <v/>
      </c>
      <c r="J472" s="5" t="str">
        <f aca="false">IF($I472="","","R"&amp;$I472)</f>
        <v/>
      </c>
    </row>
    <row r="473" customFormat="false" ht="15" hidden="false" customHeight="true" outlineLevel="0" collapsed="false">
      <c r="A473" s="10" t="str">
        <f aca="false">IFERROR(IF(INDEX(원본명단!$A$3:$A$6002,MATCH("R"&amp;468,정리결과!$J$6:$J$6005,0))="","",INDEX(원본명단!$A$3:$A$6002,MATCH("R"&amp;468,정리결과!$J$6:$J$6005,0))),"")</f>
        <v/>
      </c>
      <c r="B473" s="10" t="str">
        <f aca="false">IF($A473="","",IFERROR(IF(INDEX(원본명단!$B$3:$B$6002,MATCH("R"&amp;468,정리결과!$J$6:$J$6005,0))="","",INDEX(원본명단!$B$3:$B$6002,MATCH("R"&amp;468,정리결과!$J$6:$J$6005,0))),""))</f>
        <v/>
      </c>
      <c r="C473" s="10" t="str">
        <f aca="false">IF($A473="","",IFERROR(IF(INDEX(원본명단!$C$3:$C$6002,MATCH("R"&amp;468,정리결과!$J$6:$J$6005,0))="","",INDEX(원본명단!$C$3:$C$6002,MATCH("R"&amp;468,정리결과!$J$6:$J$6005,0))),""))</f>
        <v/>
      </c>
      <c r="D473" s="10" t="str">
        <f aca="false">IF($A473="","",IFERROR(IF(INDEX(원본명단!$D$3:$D$6002,MATCH("R"&amp;468,정리결과!$J$6:$J$6005,0))="","",INDEX(원본명단!$D$3:$D$6002,MATCH("R"&amp;468,정리결과!$J$6:$J$6005,0))),""))</f>
        <v/>
      </c>
      <c r="E473" s="10" t="str">
        <f aca="false">IF($A473="","",IFERROR(IF(INDEX(원본명단!$E$3:$E$6002,MATCH("R"&amp;468,정리결과!$J$6:$J$6005,0))="","",INDEX(원본명단!$E$3:$E$6002,MATCH("R"&amp;468,정리결과!$J$6:$J$6005,0))),""))</f>
        <v/>
      </c>
      <c r="F473" s="10" t="str">
        <f aca="false">IF($A473="","",IFERROR(IF(INDEX(원본명단!$F$3:$F$6002,MATCH("R"&amp;468,정리결과!$J$6:$J$6005,0))="","",INDEX(원본명단!$F$3:$F$6002,MATCH("R"&amp;468,정리결과!$J$6:$J$6005,0))),""))</f>
        <v/>
      </c>
      <c r="H473" s="14" t="b">
        <f aca="false">IF(중복검사!$A471="",FALSE(),중복검사!$J471="유지")</f>
        <v>0</v>
      </c>
      <c r="I473" s="5" t="str">
        <f aca="false">IF($H473=FALSE(),"",COUNTIF($H$6:$H473,TRUE()))</f>
        <v/>
      </c>
      <c r="J473" s="5" t="str">
        <f aca="false">IF($I473="","","R"&amp;$I473)</f>
        <v/>
      </c>
    </row>
    <row r="474" customFormat="false" ht="15" hidden="false" customHeight="true" outlineLevel="0" collapsed="false">
      <c r="A474" s="10" t="str">
        <f aca="false">IFERROR(IF(INDEX(원본명단!$A$3:$A$6002,MATCH("R"&amp;469,정리결과!$J$6:$J$6005,0))="","",INDEX(원본명단!$A$3:$A$6002,MATCH("R"&amp;469,정리결과!$J$6:$J$6005,0))),"")</f>
        <v/>
      </c>
      <c r="B474" s="10" t="str">
        <f aca="false">IF($A474="","",IFERROR(IF(INDEX(원본명단!$B$3:$B$6002,MATCH("R"&amp;469,정리결과!$J$6:$J$6005,0))="","",INDEX(원본명단!$B$3:$B$6002,MATCH("R"&amp;469,정리결과!$J$6:$J$6005,0))),""))</f>
        <v/>
      </c>
      <c r="C474" s="10" t="str">
        <f aca="false">IF($A474="","",IFERROR(IF(INDEX(원본명단!$C$3:$C$6002,MATCH("R"&amp;469,정리결과!$J$6:$J$6005,0))="","",INDEX(원본명단!$C$3:$C$6002,MATCH("R"&amp;469,정리결과!$J$6:$J$6005,0))),""))</f>
        <v/>
      </c>
      <c r="D474" s="10" t="str">
        <f aca="false">IF($A474="","",IFERROR(IF(INDEX(원본명단!$D$3:$D$6002,MATCH("R"&amp;469,정리결과!$J$6:$J$6005,0))="","",INDEX(원본명단!$D$3:$D$6002,MATCH("R"&amp;469,정리결과!$J$6:$J$6005,0))),""))</f>
        <v/>
      </c>
      <c r="E474" s="10" t="str">
        <f aca="false">IF($A474="","",IFERROR(IF(INDEX(원본명단!$E$3:$E$6002,MATCH("R"&amp;469,정리결과!$J$6:$J$6005,0))="","",INDEX(원본명단!$E$3:$E$6002,MATCH("R"&amp;469,정리결과!$J$6:$J$6005,0))),""))</f>
        <v/>
      </c>
      <c r="F474" s="10" t="str">
        <f aca="false">IF($A474="","",IFERROR(IF(INDEX(원본명단!$F$3:$F$6002,MATCH("R"&amp;469,정리결과!$J$6:$J$6005,0))="","",INDEX(원본명단!$F$3:$F$6002,MATCH("R"&amp;469,정리결과!$J$6:$J$6005,0))),""))</f>
        <v/>
      </c>
      <c r="H474" s="14" t="b">
        <f aca="false">IF(중복검사!$A472="",FALSE(),중복검사!$J472="유지")</f>
        <v>0</v>
      </c>
      <c r="I474" s="5" t="str">
        <f aca="false">IF($H474=FALSE(),"",COUNTIF($H$6:$H474,TRUE()))</f>
        <v/>
      </c>
      <c r="J474" s="5" t="str">
        <f aca="false">IF($I474="","","R"&amp;$I474)</f>
        <v/>
      </c>
    </row>
    <row r="475" customFormat="false" ht="15" hidden="false" customHeight="true" outlineLevel="0" collapsed="false">
      <c r="A475" s="10" t="str">
        <f aca="false">IFERROR(IF(INDEX(원본명단!$A$3:$A$6002,MATCH("R"&amp;470,정리결과!$J$6:$J$6005,0))="","",INDEX(원본명단!$A$3:$A$6002,MATCH("R"&amp;470,정리결과!$J$6:$J$6005,0))),"")</f>
        <v/>
      </c>
      <c r="B475" s="10" t="str">
        <f aca="false">IF($A475="","",IFERROR(IF(INDEX(원본명단!$B$3:$B$6002,MATCH("R"&amp;470,정리결과!$J$6:$J$6005,0))="","",INDEX(원본명단!$B$3:$B$6002,MATCH("R"&amp;470,정리결과!$J$6:$J$6005,0))),""))</f>
        <v/>
      </c>
      <c r="C475" s="10" t="str">
        <f aca="false">IF($A475="","",IFERROR(IF(INDEX(원본명단!$C$3:$C$6002,MATCH("R"&amp;470,정리결과!$J$6:$J$6005,0))="","",INDEX(원본명단!$C$3:$C$6002,MATCH("R"&amp;470,정리결과!$J$6:$J$6005,0))),""))</f>
        <v/>
      </c>
      <c r="D475" s="10" t="str">
        <f aca="false">IF($A475="","",IFERROR(IF(INDEX(원본명단!$D$3:$D$6002,MATCH("R"&amp;470,정리결과!$J$6:$J$6005,0))="","",INDEX(원본명단!$D$3:$D$6002,MATCH("R"&amp;470,정리결과!$J$6:$J$6005,0))),""))</f>
        <v/>
      </c>
      <c r="E475" s="10" t="str">
        <f aca="false">IF($A475="","",IFERROR(IF(INDEX(원본명단!$E$3:$E$6002,MATCH("R"&amp;470,정리결과!$J$6:$J$6005,0))="","",INDEX(원본명단!$E$3:$E$6002,MATCH("R"&amp;470,정리결과!$J$6:$J$6005,0))),""))</f>
        <v/>
      </c>
      <c r="F475" s="10" t="str">
        <f aca="false">IF($A475="","",IFERROR(IF(INDEX(원본명단!$F$3:$F$6002,MATCH("R"&amp;470,정리결과!$J$6:$J$6005,0))="","",INDEX(원본명단!$F$3:$F$6002,MATCH("R"&amp;470,정리결과!$J$6:$J$6005,0))),""))</f>
        <v/>
      </c>
      <c r="H475" s="14" t="b">
        <f aca="false">IF(중복검사!$A473="",FALSE(),중복검사!$J473="유지")</f>
        <v>0</v>
      </c>
      <c r="I475" s="5" t="str">
        <f aca="false">IF($H475=FALSE(),"",COUNTIF($H$6:$H475,TRUE()))</f>
        <v/>
      </c>
      <c r="J475" s="5" t="str">
        <f aca="false">IF($I475="","","R"&amp;$I475)</f>
        <v/>
      </c>
    </row>
    <row r="476" customFormat="false" ht="15" hidden="false" customHeight="true" outlineLevel="0" collapsed="false">
      <c r="A476" s="10" t="str">
        <f aca="false">IFERROR(IF(INDEX(원본명단!$A$3:$A$6002,MATCH("R"&amp;471,정리결과!$J$6:$J$6005,0))="","",INDEX(원본명단!$A$3:$A$6002,MATCH("R"&amp;471,정리결과!$J$6:$J$6005,0))),"")</f>
        <v/>
      </c>
      <c r="B476" s="10" t="str">
        <f aca="false">IF($A476="","",IFERROR(IF(INDEX(원본명단!$B$3:$B$6002,MATCH("R"&amp;471,정리결과!$J$6:$J$6005,0))="","",INDEX(원본명단!$B$3:$B$6002,MATCH("R"&amp;471,정리결과!$J$6:$J$6005,0))),""))</f>
        <v/>
      </c>
      <c r="C476" s="10" t="str">
        <f aca="false">IF($A476="","",IFERROR(IF(INDEX(원본명단!$C$3:$C$6002,MATCH("R"&amp;471,정리결과!$J$6:$J$6005,0))="","",INDEX(원본명단!$C$3:$C$6002,MATCH("R"&amp;471,정리결과!$J$6:$J$6005,0))),""))</f>
        <v/>
      </c>
      <c r="D476" s="10" t="str">
        <f aca="false">IF($A476="","",IFERROR(IF(INDEX(원본명단!$D$3:$D$6002,MATCH("R"&amp;471,정리결과!$J$6:$J$6005,0))="","",INDEX(원본명단!$D$3:$D$6002,MATCH("R"&amp;471,정리결과!$J$6:$J$6005,0))),""))</f>
        <v/>
      </c>
      <c r="E476" s="10" t="str">
        <f aca="false">IF($A476="","",IFERROR(IF(INDEX(원본명단!$E$3:$E$6002,MATCH("R"&amp;471,정리결과!$J$6:$J$6005,0))="","",INDEX(원본명단!$E$3:$E$6002,MATCH("R"&amp;471,정리결과!$J$6:$J$6005,0))),""))</f>
        <v/>
      </c>
      <c r="F476" s="10" t="str">
        <f aca="false">IF($A476="","",IFERROR(IF(INDEX(원본명단!$F$3:$F$6002,MATCH("R"&amp;471,정리결과!$J$6:$J$6005,0))="","",INDEX(원본명단!$F$3:$F$6002,MATCH("R"&amp;471,정리결과!$J$6:$J$6005,0))),""))</f>
        <v/>
      </c>
      <c r="H476" s="14" t="b">
        <f aca="false">IF(중복검사!$A474="",FALSE(),중복검사!$J474="유지")</f>
        <v>0</v>
      </c>
      <c r="I476" s="5" t="str">
        <f aca="false">IF($H476=FALSE(),"",COUNTIF($H$6:$H476,TRUE()))</f>
        <v/>
      </c>
      <c r="J476" s="5" t="str">
        <f aca="false">IF($I476="","","R"&amp;$I476)</f>
        <v/>
      </c>
    </row>
    <row r="477" customFormat="false" ht="15" hidden="false" customHeight="true" outlineLevel="0" collapsed="false">
      <c r="A477" s="10" t="str">
        <f aca="false">IFERROR(IF(INDEX(원본명단!$A$3:$A$6002,MATCH("R"&amp;472,정리결과!$J$6:$J$6005,0))="","",INDEX(원본명단!$A$3:$A$6002,MATCH("R"&amp;472,정리결과!$J$6:$J$6005,0))),"")</f>
        <v/>
      </c>
      <c r="B477" s="10" t="str">
        <f aca="false">IF($A477="","",IFERROR(IF(INDEX(원본명단!$B$3:$B$6002,MATCH("R"&amp;472,정리결과!$J$6:$J$6005,0))="","",INDEX(원본명단!$B$3:$B$6002,MATCH("R"&amp;472,정리결과!$J$6:$J$6005,0))),""))</f>
        <v/>
      </c>
      <c r="C477" s="10" t="str">
        <f aca="false">IF($A477="","",IFERROR(IF(INDEX(원본명단!$C$3:$C$6002,MATCH("R"&amp;472,정리결과!$J$6:$J$6005,0))="","",INDEX(원본명단!$C$3:$C$6002,MATCH("R"&amp;472,정리결과!$J$6:$J$6005,0))),""))</f>
        <v/>
      </c>
      <c r="D477" s="10" t="str">
        <f aca="false">IF($A477="","",IFERROR(IF(INDEX(원본명단!$D$3:$D$6002,MATCH("R"&amp;472,정리결과!$J$6:$J$6005,0))="","",INDEX(원본명단!$D$3:$D$6002,MATCH("R"&amp;472,정리결과!$J$6:$J$6005,0))),""))</f>
        <v/>
      </c>
      <c r="E477" s="10" t="str">
        <f aca="false">IF($A477="","",IFERROR(IF(INDEX(원본명단!$E$3:$E$6002,MATCH("R"&amp;472,정리결과!$J$6:$J$6005,0))="","",INDEX(원본명단!$E$3:$E$6002,MATCH("R"&amp;472,정리결과!$J$6:$J$6005,0))),""))</f>
        <v/>
      </c>
      <c r="F477" s="10" t="str">
        <f aca="false">IF($A477="","",IFERROR(IF(INDEX(원본명단!$F$3:$F$6002,MATCH("R"&amp;472,정리결과!$J$6:$J$6005,0))="","",INDEX(원본명단!$F$3:$F$6002,MATCH("R"&amp;472,정리결과!$J$6:$J$6005,0))),""))</f>
        <v/>
      </c>
      <c r="H477" s="14" t="b">
        <f aca="false">IF(중복검사!$A475="",FALSE(),중복검사!$J475="유지")</f>
        <v>0</v>
      </c>
      <c r="I477" s="5" t="str">
        <f aca="false">IF($H477=FALSE(),"",COUNTIF($H$6:$H477,TRUE()))</f>
        <v/>
      </c>
      <c r="J477" s="5" t="str">
        <f aca="false">IF($I477="","","R"&amp;$I477)</f>
        <v/>
      </c>
    </row>
    <row r="478" customFormat="false" ht="15" hidden="false" customHeight="true" outlineLevel="0" collapsed="false">
      <c r="A478" s="10" t="str">
        <f aca="false">IFERROR(IF(INDEX(원본명단!$A$3:$A$6002,MATCH("R"&amp;473,정리결과!$J$6:$J$6005,0))="","",INDEX(원본명단!$A$3:$A$6002,MATCH("R"&amp;473,정리결과!$J$6:$J$6005,0))),"")</f>
        <v/>
      </c>
      <c r="B478" s="10" t="str">
        <f aca="false">IF($A478="","",IFERROR(IF(INDEX(원본명단!$B$3:$B$6002,MATCH("R"&amp;473,정리결과!$J$6:$J$6005,0))="","",INDEX(원본명단!$B$3:$B$6002,MATCH("R"&amp;473,정리결과!$J$6:$J$6005,0))),""))</f>
        <v/>
      </c>
      <c r="C478" s="10" t="str">
        <f aca="false">IF($A478="","",IFERROR(IF(INDEX(원본명단!$C$3:$C$6002,MATCH("R"&amp;473,정리결과!$J$6:$J$6005,0))="","",INDEX(원본명단!$C$3:$C$6002,MATCH("R"&amp;473,정리결과!$J$6:$J$6005,0))),""))</f>
        <v/>
      </c>
      <c r="D478" s="10" t="str">
        <f aca="false">IF($A478="","",IFERROR(IF(INDEX(원본명단!$D$3:$D$6002,MATCH("R"&amp;473,정리결과!$J$6:$J$6005,0))="","",INDEX(원본명단!$D$3:$D$6002,MATCH("R"&amp;473,정리결과!$J$6:$J$6005,0))),""))</f>
        <v/>
      </c>
      <c r="E478" s="10" t="str">
        <f aca="false">IF($A478="","",IFERROR(IF(INDEX(원본명단!$E$3:$E$6002,MATCH("R"&amp;473,정리결과!$J$6:$J$6005,0))="","",INDEX(원본명단!$E$3:$E$6002,MATCH("R"&amp;473,정리결과!$J$6:$J$6005,0))),""))</f>
        <v/>
      </c>
      <c r="F478" s="10" t="str">
        <f aca="false">IF($A478="","",IFERROR(IF(INDEX(원본명단!$F$3:$F$6002,MATCH("R"&amp;473,정리결과!$J$6:$J$6005,0))="","",INDEX(원본명단!$F$3:$F$6002,MATCH("R"&amp;473,정리결과!$J$6:$J$6005,0))),""))</f>
        <v/>
      </c>
      <c r="H478" s="14" t="b">
        <f aca="false">IF(중복검사!$A476="",FALSE(),중복검사!$J476="유지")</f>
        <v>0</v>
      </c>
      <c r="I478" s="5" t="str">
        <f aca="false">IF($H478=FALSE(),"",COUNTIF($H$6:$H478,TRUE()))</f>
        <v/>
      </c>
      <c r="J478" s="5" t="str">
        <f aca="false">IF($I478="","","R"&amp;$I478)</f>
        <v/>
      </c>
    </row>
    <row r="479" customFormat="false" ht="15" hidden="false" customHeight="true" outlineLevel="0" collapsed="false">
      <c r="A479" s="10" t="str">
        <f aca="false">IFERROR(IF(INDEX(원본명단!$A$3:$A$6002,MATCH("R"&amp;474,정리결과!$J$6:$J$6005,0))="","",INDEX(원본명단!$A$3:$A$6002,MATCH("R"&amp;474,정리결과!$J$6:$J$6005,0))),"")</f>
        <v/>
      </c>
      <c r="B479" s="10" t="str">
        <f aca="false">IF($A479="","",IFERROR(IF(INDEX(원본명단!$B$3:$B$6002,MATCH("R"&amp;474,정리결과!$J$6:$J$6005,0))="","",INDEX(원본명단!$B$3:$B$6002,MATCH("R"&amp;474,정리결과!$J$6:$J$6005,0))),""))</f>
        <v/>
      </c>
      <c r="C479" s="10" t="str">
        <f aca="false">IF($A479="","",IFERROR(IF(INDEX(원본명단!$C$3:$C$6002,MATCH("R"&amp;474,정리결과!$J$6:$J$6005,0))="","",INDEX(원본명단!$C$3:$C$6002,MATCH("R"&amp;474,정리결과!$J$6:$J$6005,0))),""))</f>
        <v/>
      </c>
      <c r="D479" s="10" t="str">
        <f aca="false">IF($A479="","",IFERROR(IF(INDEX(원본명단!$D$3:$D$6002,MATCH("R"&amp;474,정리결과!$J$6:$J$6005,0))="","",INDEX(원본명단!$D$3:$D$6002,MATCH("R"&amp;474,정리결과!$J$6:$J$6005,0))),""))</f>
        <v/>
      </c>
      <c r="E479" s="10" t="str">
        <f aca="false">IF($A479="","",IFERROR(IF(INDEX(원본명단!$E$3:$E$6002,MATCH("R"&amp;474,정리결과!$J$6:$J$6005,0))="","",INDEX(원본명단!$E$3:$E$6002,MATCH("R"&amp;474,정리결과!$J$6:$J$6005,0))),""))</f>
        <v/>
      </c>
      <c r="F479" s="10" t="str">
        <f aca="false">IF($A479="","",IFERROR(IF(INDEX(원본명단!$F$3:$F$6002,MATCH("R"&amp;474,정리결과!$J$6:$J$6005,0))="","",INDEX(원본명단!$F$3:$F$6002,MATCH("R"&amp;474,정리결과!$J$6:$J$6005,0))),""))</f>
        <v/>
      </c>
      <c r="H479" s="14" t="b">
        <f aca="false">IF(중복검사!$A477="",FALSE(),중복검사!$J477="유지")</f>
        <v>0</v>
      </c>
      <c r="I479" s="5" t="str">
        <f aca="false">IF($H479=FALSE(),"",COUNTIF($H$6:$H479,TRUE()))</f>
        <v/>
      </c>
      <c r="J479" s="5" t="str">
        <f aca="false">IF($I479="","","R"&amp;$I479)</f>
        <v/>
      </c>
    </row>
    <row r="480" customFormat="false" ht="15" hidden="false" customHeight="true" outlineLevel="0" collapsed="false">
      <c r="A480" s="10" t="str">
        <f aca="false">IFERROR(IF(INDEX(원본명단!$A$3:$A$6002,MATCH("R"&amp;475,정리결과!$J$6:$J$6005,0))="","",INDEX(원본명단!$A$3:$A$6002,MATCH("R"&amp;475,정리결과!$J$6:$J$6005,0))),"")</f>
        <v/>
      </c>
      <c r="B480" s="10" t="str">
        <f aca="false">IF($A480="","",IFERROR(IF(INDEX(원본명단!$B$3:$B$6002,MATCH("R"&amp;475,정리결과!$J$6:$J$6005,0))="","",INDEX(원본명단!$B$3:$B$6002,MATCH("R"&amp;475,정리결과!$J$6:$J$6005,0))),""))</f>
        <v/>
      </c>
      <c r="C480" s="10" t="str">
        <f aca="false">IF($A480="","",IFERROR(IF(INDEX(원본명단!$C$3:$C$6002,MATCH("R"&amp;475,정리결과!$J$6:$J$6005,0))="","",INDEX(원본명단!$C$3:$C$6002,MATCH("R"&amp;475,정리결과!$J$6:$J$6005,0))),""))</f>
        <v/>
      </c>
      <c r="D480" s="10" t="str">
        <f aca="false">IF($A480="","",IFERROR(IF(INDEX(원본명단!$D$3:$D$6002,MATCH("R"&amp;475,정리결과!$J$6:$J$6005,0))="","",INDEX(원본명단!$D$3:$D$6002,MATCH("R"&amp;475,정리결과!$J$6:$J$6005,0))),""))</f>
        <v/>
      </c>
      <c r="E480" s="10" t="str">
        <f aca="false">IF($A480="","",IFERROR(IF(INDEX(원본명단!$E$3:$E$6002,MATCH("R"&amp;475,정리결과!$J$6:$J$6005,0))="","",INDEX(원본명단!$E$3:$E$6002,MATCH("R"&amp;475,정리결과!$J$6:$J$6005,0))),""))</f>
        <v/>
      </c>
      <c r="F480" s="10" t="str">
        <f aca="false">IF($A480="","",IFERROR(IF(INDEX(원본명단!$F$3:$F$6002,MATCH("R"&amp;475,정리결과!$J$6:$J$6005,0))="","",INDEX(원본명단!$F$3:$F$6002,MATCH("R"&amp;475,정리결과!$J$6:$J$6005,0))),""))</f>
        <v/>
      </c>
      <c r="H480" s="14" t="b">
        <f aca="false">IF(중복검사!$A478="",FALSE(),중복검사!$J478="유지")</f>
        <v>0</v>
      </c>
      <c r="I480" s="5" t="str">
        <f aca="false">IF($H480=FALSE(),"",COUNTIF($H$6:$H480,TRUE()))</f>
        <v/>
      </c>
      <c r="J480" s="5" t="str">
        <f aca="false">IF($I480="","","R"&amp;$I480)</f>
        <v/>
      </c>
    </row>
    <row r="481" customFormat="false" ht="15" hidden="false" customHeight="true" outlineLevel="0" collapsed="false">
      <c r="A481" s="10" t="str">
        <f aca="false">IFERROR(IF(INDEX(원본명단!$A$3:$A$6002,MATCH("R"&amp;476,정리결과!$J$6:$J$6005,0))="","",INDEX(원본명단!$A$3:$A$6002,MATCH("R"&amp;476,정리결과!$J$6:$J$6005,0))),"")</f>
        <v/>
      </c>
      <c r="B481" s="10" t="str">
        <f aca="false">IF($A481="","",IFERROR(IF(INDEX(원본명단!$B$3:$B$6002,MATCH("R"&amp;476,정리결과!$J$6:$J$6005,0))="","",INDEX(원본명단!$B$3:$B$6002,MATCH("R"&amp;476,정리결과!$J$6:$J$6005,0))),""))</f>
        <v/>
      </c>
      <c r="C481" s="10" t="str">
        <f aca="false">IF($A481="","",IFERROR(IF(INDEX(원본명단!$C$3:$C$6002,MATCH("R"&amp;476,정리결과!$J$6:$J$6005,0))="","",INDEX(원본명단!$C$3:$C$6002,MATCH("R"&amp;476,정리결과!$J$6:$J$6005,0))),""))</f>
        <v/>
      </c>
      <c r="D481" s="10" t="str">
        <f aca="false">IF($A481="","",IFERROR(IF(INDEX(원본명단!$D$3:$D$6002,MATCH("R"&amp;476,정리결과!$J$6:$J$6005,0))="","",INDEX(원본명단!$D$3:$D$6002,MATCH("R"&amp;476,정리결과!$J$6:$J$6005,0))),""))</f>
        <v/>
      </c>
      <c r="E481" s="10" t="str">
        <f aca="false">IF($A481="","",IFERROR(IF(INDEX(원본명단!$E$3:$E$6002,MATCH("R"&amp;476,정리결과!$J$6:$J$6005,0))="","",INDEX(원본명단!$E$3:$E$6002,MATCH("R"&amp;476,정리결과!$J$6:$J$6005,0))),""))</f>
        <v/>
      </c>
      <c r="F481" s="10" t="str">
        <f aca="false">IF($A481="","",IFERROR(IF(INDEX(원본명단!$F$3:$F$6002,MATCH("R"&amp;476,정리결과!$J$6:$J$6005,0))="","",INDEX(원본명단!$F$3:$F$6002,MATCH("R"&amp;476,정리결과!$J$6:$J$6005,0))),""))</f>
        <v/>
      </c>
      <c r="H481" s="14" t="b">
        <f aca="false">IF(중복검사!$A479="",FALSE(),중복검사!$J479="유지")</f>
        <v>0</v>
      </c>
      <c r="I481" s="5" t="str">
        <f aca="false">IF($H481=FALSE(),"",COUNTIF($H$6:$H481,TRUE()))</f>
        <v/>
      </c>
      <c r="J481" s="5" t="str">
        <f aca="false">IF($I481="","","R"&amp;$I481)</f>
        <v/>
      </c>
    </row>
    <row r="482" customFormat="false" ht="15" hidden="false" customHeight="true" outlineLevel="0" collapsed="false">
      <c r="A482" s="10" t="str">
        <f aca="false">IFERROR(IF(INDEX(원본명단!$A$3:$A$6002,MATCH("R"&amp;477,정리결과!$J$6:$J$6005,0))="","",INDEX(원본명단!$A$3:$A$6002,MATCH("R"&amp;477,정리결과!$J$6:$J$6005,0))),"")</f>
        <v/>
      </c>
      <c r="B482" s="10" t="str">
        <f aca="false">IF($A482="","",IFERROR(IF(INDEX(원본명단!$B$3:$B$6002,MATCH("R"&amp;477,정리결과!$J$6:$J$6005,0))="","",INDEX(원본명단!$B$3:$B$6002,MATCH("R"&amp;477,정리결과!$J$6:$J$6005,0))),""))</f>
        <v/>
      </c>
      <c r="C482" s="10" t="str">
        <f aca="false">IF($A482="","",IFERROR(IF(INDEX(원본명단!$C$3:$C$6002,MATCH("R"&amp;477,정리결과!$J$6:$J$6005,0))="","",INDEX(원본명단!$C$3:$C$6002,MATCH("R"&amp;477,정리결과!$J$6:$J$6005,0))),""))</f>
        <v/>
      </c>
      <c r="D482" s="10" t="str">
        <f aca="false">IF($A482="","",IFERROR(IF(INDEX(원본명단!$D$3:$D$6002,MATCH("R"&amp;477,정리결과!$J$6:$J$6005,0))="","",INDEX(원본명단!$D$3:$D$6002,MATCH("R"&amp;477,정리결과!$J$6:$J$6005,0))),""))</f>
        <v/>
      </c>
      <c r="E482" s="10" t="str">
        <f aca="false">IF($A482="","",IFERROR(IF(INDEX(원본명단!$E$3:$E$6002,MATCH("R"&amp;477,정리결과!$J$6:$J$6005,0))="","",INDEX(원본명단!$E$3:$E$6002,MATCH("R"&amp;477,정리결과!$J$6:$J$6005,0))),""))</f>
        <v/>
      </c>
      <c r="F482" s="10" t="str">
        <f aca="false">IF($A482="","",IFERROR(IF(INDEX(원본명단!$F$3:$F$6002,MATCH("R"&amp;477,정리결과!$J$6:$J$6005,0))="","",INDEX(원본명단!$F$3:$F$6002,MATCH("R"&amp;477,정리결과!$J$6:$J$6005,0))),""))</f>
        <v/>
      </c>
      <c r="H482" s="14" t="b">
        <f aca="false">IF(중복검사!$A480="",FALSE(),중복검사!$J480="유지")</f>
        <v>0</v>
      </c>
      <c r="I482" s="5" t="str">
        <f aca="false">IF($H482=FALSE(),"",COUNTIF($H$6:$H482,TRUE()))</f>
        <v/>
      </c>
      <c r="J482" s="5" t="str">
        <f aca="false">IF($I482="","","R"&amp;$I482)</f>
        <v/>
      </c>
    </row>
    <row r="483" customFormat="false" ht="15" hidden="false" customHeight="true" outlineLevel="0" collapsed="false">
      <c r="A483" s="10" t="str">
        <f aca="false">IFERROR(IF(INDEX(원본명단!$A$3:$A$6002,MATCH("R"&amp;478,정리결과!$J$6:$J$6005,0))="","",INDEX(원본명단!$A$3:$A$6002,MATCH("R"&amp;478,정리결과!$J$6:$J$6005,0))),"")</f>
        <v/>
      </c>
      <c r="B483" s="10" t="str">
        <f aca="false">IF($A483="","",IFERROR(IF(INDEX(원본명단!$B$3:$B$6002,MATCH("R"&amp;478,정리결과!$J$6:$J$6005,0))="","",INDEX(원본명단!$B$3:$B$6002,MATCH("R"&amp;478,정리결과!$J$6:$J$6005,0))),""))</f>
        <v/>
      </c>
      <c r="C483" s="10" t="str">
        <f aca="false">IF($A483="","",IFERROR(IF(INDEX(원본명단!$C$3:$C$6002,MATCH("R"&amp;478,정리결과!$J$6:$J$6005,0))="","",INDEX(원본명단!$C$3:$C$6002,MATCH("R"&amp;478,정리결과!$J$6:$J$6005,0))),""))</f>
        <v/>
      </c>
      <c r="D483" s="10" t="str">
        <f aca="false">IF($A483="","",IFERROR(IF(INDEX(원본명단!$D$3:$D$6002,MATCH("R"&amp;478,정리결과!$J$6:$J$6005,0))="","",INDEX(원본명단!$D$3:$D$6002,MATCH("R"&amp;478,정리결과!$J$6:$J$6005,0))),""))</f>
        <v/>
      </c>
      <c r="E483" s="10" t="str">
        <f aca="false">IF($A483="","",IFERROR(IF(INDEX(원본명단!$E$3:$E$6002,MATCH("R"&amp;478,정리결과!$J$6:$J$6005,0))="","",INDEX(원본명단!$E$3:$E$6002,MATCH("R"&amp;478,정리결과!$J$6:$J$6005,0))),""))</f>
        <v/>
      </c>
      <c r="F483" s="10" t="str">
        <f aca="false">IF($A483="","",IFERROR(IF(INDEX(원본명단!$F$3:$F$6002,MATCH("R"&amp;478,정리결과!$J$6:$J$6005,0))="","",INDEX(원본명단!$F$3:$F$6002,MATCH("R"&amp;478,정리결과!$J$6:$J$6005,0))),""))</f>
        <v/>
      </c>
      <c r="H483" s="14" t="b">
        <f aca="false">IF(중복검사!$A481="",FALSE(),중복검사!$J481="유지")</f>
        <v>0</v>
      </c>
      <c r="I483" s="5" t="str">
        <f aca="false">IF($H483=FALSE(),"",COUNTIF($H$6:$H483,TRUE()))</f>
        <v/>
      </c>
      <c r="J483" s="5" t="str">
        <f aca="false">IF($I483="","","R"&amp;$I483)</f>
        <v/>
      </c>
    </row>
    <row r="484" customFormat="false" ht="15" hidden="false" customHeight="true" outlineLevel="0" collapsed="false">
      <c r="A484" s="10" t="str">
        <f aca="false">IFERROR(IF(INDEX(원본명단!$A$3:$A$6002,MATCH("R"&amp;479,정리결과!$J$6:$J$6005,0))="","",INDEX(원본명단!$A$3:$A$6002,MATCH("R"&amp;479,정리결과!$J$6:$J$6005,0))),"")</f>
        <v/>
      </c>
      <c r="B484" s="10" t="str">
        <f aca="false">IF($A484="","",IFERROR(IF(INDEX(원본명단!$B$3:$B$6002,MATCH("R"&amp;479,정리결과!$J$6:$J$6005,0))="","",INDEX(원본명단!$B$3:$B$6002,MATCH("R"&amp;479,정리결과!$J$6:$J$6005,0))),""))</f>
        <v/>
      </c>
      <c r="C484" s="10" t="str">
        <f aca="false">IF($A484="","",IFERROR(IF(INDEX(원본명단!$C$3:$C$6002,MATCH("R"&amp;479,정리결과!$J$6:$J$6005,0))="","",INDEX(원본명단!$C$3:$C$6002,MATCH("R"&amp;479,정리결과!$J$6:$J$6005,0))),""))</f>
        <v/>
      </c>
      <c r="D484" s="10" t="str">
        <f aca="false">IF($A484="","",IFERROR(IF(INDEX(원본명단!$D$3:$D$6002,MATCH("R"&amp;479,정리결과!$J$6:$J$6005,0))="","",INDEX(원본명단!$D$3:$D$6002,MATCH("R"&amp;479,정리결과!$J$6:$J$6005,0))),""))</f>
        <v/>
      </c>
      <c r="E484" s="10" t="str">
        <f aca="false">IF($A484="","",IFERROR(IF(INDEX(원본명단!$E$3:$E$6002,MATCH("R"&amp;479,정리결과!$J$6:$J$6005,0))="","",INDEX(원본명단!$E$3:$E$6002,MATCH("R"&amp;479,정리결과!$J$6:$J$6005,0))),""))</f>
        <v/>
      </c>
      <c r="F484" s="10" t="str">
        <f aca="false">IF($A484="","",IFERROR(IF(INDEX(원본명단!$F$3:$F$6002,MATCH("R"&amp;479,정리결과!$J$6:$J$6005,0))="","",INDEX(원본명단!$F$3:$F$6002,MATCH("R"&amp;479,정리결과!$J$6:$J$6005,0))),""))</f>
        <v/>
      </c>
      <c r="H484" s="14" t="b">
        <f aca="false">IF(중복검사!$A482="",FALSE(),중복검사!$J482="유지")</f>
        <v>0</v>
      </c>
      <c r="I484" s="5" t="str">
        <f aca="false">IF($H484=FALSE(),"",COUNTIF($H$6:$H484,TRUE()))</f>
        <v/>
      </c>
      <c r="J484" s="5" t="str">
        <f aca="false">IF($I484="","","R"&amp;$I484)</f>
        <v/>
      </c>
    </row>
    <row r="485" customFormat="false" ht="15" hidden="false" customHeight="true" outlineLevel="0" collapsed="false">
      <c r="A485" s="10" t="str">
        <f aca="false">IFERROR(IF(INDEX(원본명단!$A$3:$A$6002,MATCH("R"&amp;480,정리결과!$J$6:$J$6005,0))="","",INDEX(원본명단!$A$3:$A$6002,MATCH("R"&amp;480,정리결과!$J$6:$J$6005,0))),"")</f>
        <v/>
      </c>
      <c r="B485" s="10" t="str">
        <f aca="false">IF($A485="","",IFERROR(IF(INDEX(원본명단!$B$3:$B$6002,MATCH("R"&amp;480,정리결과!$J$6:$J$6005,0))="","",INDEX(원본명단!$B$3:$B$6002,MATCH("R"&amp;480,정리결과!$J$6:$J$6005,0))),""))</f>
        <v/>
      </c>
      <c r="C485" s="10" t="str">
        <f aca="false">IF($A485="","",IFERROR(IF(INDEX(원본명단!$C$3:$C$6002,MATCH("R"&amp;480,정리결과!$J$6:$J$6005,0))="","",INDEX(원본명단!$C$3:$C$6002,MATCH("R"&amp;480,정리결과!$J$6:$J$6005,0))),""))</f>
        <v/>
      </c>
      <c r="D485" s="10" t="str">
        <f aca="false">IF($A485="","",IFERROR(IF(INDEX(원본명단!$D$3:$D$6002,MATCH("R"&amp;480,정리결과!$J$6:$J$6005,0))="","",INDEX(원본명단!$D$3:$D$6002,MATCH("R"&amp;480,정리결과!$J$6:$J$6005,0))),""))</f>
        <v/>
      </c>
      <c r="E485" s="10" t="str">
        <f aca="false">IF($A485="","",IFERROR(IF(INDEX(원본명단!$E$3:$E$6002,MATCH("R"&amp;480,정리결과!$J$6:$J$6005,0))="","",INDEX(원본명단!$E$3:$E$6002,MATCH("R"&amp;480,정리결과!$J$6:$J$6005,0))),""))</f>
        <v/>
      </c>
      <c r="F485" s="10" t="str">
        <f aca="false">IF($A485="","",IFERROR(IF(INDEX(원본명단!$F$3:$F$6002,MATCH("R"&amp;480,정리결과!$J$6:$J$6005,0))="","",INDEX(원본명단!$F$3:$F$6002,MATCH("R"&amp;480,정리결과!$J$6:$J$6005,0))),""))</f>
        <v/>
      </c>
      <c r="H485" s="14" t="b">
        <f aca="false">IF(중복검사!$A483="",FALSE(),중복검사!$J483="유지")</f>
        <v>0</v>
      </c>
      <c r="I485" s="5" t="str">
        <f aca="false">IF($H485=FALSE(),"",COUNTIF($H$6:$H485,TRUE()))</f>
        <v/>
      </c>
      <c r="J485" s="5" t="str">
        <f aca="false">IF($I485="","","R"&amp;$I485)</f>
        <v/>
      </c>
    </row>
    <row r="486" customFormat="false" ht="15" hidden="false" customHeight="true" outlineLevel="0" collapsed="false">
      <c r="A486" s="10" t="str">
        <f aca="false">IFERROR(IF(INDEX(원본명단!$A$3:$A$6002,MATCH("R"&amp;481,정리결과!$J$6:$J$6005,0))="","",INDEX(원본명단!$A$3:$A$6002,MATCH("R"&amp;481,정리결과!$J$6:$J$6005,0))),"")</f>
        <v/>
      </c>
      <c r="B486" s="10" t="str">
        <f aca="false">IF($A486="","",IFERROR(IF(INDEX(원본명단!$B$3:$B$6002,MATCH("R"&amp;481,정리결과!$J$6:$J$6005,0))="","",INDEX(원본명단!$B$3:$B$6002,MATCH("R"&amp;481,정리결과!$J$6:$J$6005,0))),""))</f>
        <v/>
      </c>
      <c r="C486" s="10" t="str">
        <f aca="false">IF($A486="","",IFERROR(IF(INDEX(원본명단!$C$3:$C$6002,MATCH("R"&amp;481,정리결과!$J$6:$J$6005,0))="","",INDEX(원본명단!$C$3:$C$6002,MATCH("R"&amp;481,정리결과!$J$6:$J$6005,0))),""))</f>
        <v/>
      </c>
      <c r="D486" s="10" t="str">
        <f aca="false">IF($A486="","",IFERROR(IF(INDEX(원본명단!$D$3:$D$6002,MATCH("R"&amp;481,정리결과!$J$6:$J$6005,0))="","",INDEX(원본명단!$D$3:$D$6002,MATCH("R"&amp;481,정리결과!$J$6:$J$6005,0))),""))</f>
        <v/>
      </c>
      <c r="E486" s="10" t="str">
        <f aca="false">IF($A486="","",IFERROR(IF(INDEX(원본명단!$E$3:$E$6002,MATCH("R"&amp;481,정리결과!$J$6:$J$6005,0))="","",INDEX(원본명단!$E$3:$E$6002,MATCH("R"&amp;481,정리결과!$J$6:$J$6005,0))),""))</f>
        <v/>
      </c>
      <c r="F486" s="10" t="str">
        <f aca="false">IF($A486="","",IFERROR(IF(INDEX(원본명단!$F$3:$F$6002,MATCH("R"&amp;481,정리결과!$J$6:$J$6005,0))="","",INDEX(원본명단!$F$3:$F$6002,MATCH("R"&amp;481,정리결과!$J$6:$J$6005,0))),""))</f>
        <v/>
      </c>
      <c r="H486" s="14" t="b">
        <f aca="false">IF(중복검사!$A484="",FALSE(),중복검사!$J484="유지")</f>
        <v>0</v>
      </c>
      <c r="I486" s="5" t="str">
        <f aca="false">IF($H486=FALSE(),"",COUNTIF($H$6:$H486,TRUE()))</f>
        <v/>
      </c>
      <c r="J486" s="5" t="str">
        <f aca="false">IF($I486="","","R"&amp;$I486)</f>
        <v/>
      </c>
    </row>
    <row r="487" customFormat="false" ht="15" hidden="false" customHeight="true" outlineLevel="0" collapsed="false">
      <c r="A487" s="10" t="str">
        <f aca="false">IFERROR(IF(INDEX(원본명단!$A$3:$A$6002,MATCH("R"&amp;482,정리결과!$J$6:$J$6005,0))="","",INDEX(원본명단!$A$3:$A$6002,MATCH("R"&amp;482,정리결과!$J$6:$J$6005,0))),"")</f>
        <v/>
      </c>
      <c r="B487" s="10" t="str">
        <f aca="false">IF($A487="","",IFERROR(IF(INDEX(원본명단!$B$3:$B$6002,MATCH("R"&amp;482,정리결과!$J$6:$J$6005,0))="","",INDEX(원본명단!$B$3:$B$6002,MATCH("R"&amp;482,정리결과!$J$6:$J$6005,0))),""))</f>
        <v/>
      </c>
      <c r="C487" s="10" t="str">
        <f aca="false">IF($A487="","",IFERROR(IF(INDEX(원본명단!$C$3:$C$6002,MATCH("R"&amp;482,정리결과!$J$6:$J$6005,0))="","",INDEX(원본명단!$C$3:$C$6002,MATCH("R"&amp;482,정리결과!$J$6:$J$6005,0))),""))</f>
        <v/>
      </c>
      <c r="D487" s="10" t="str">
        <f aca="false">IF($A487="","",IFERROR(IF(INDEX(원본명단!$D$3:$D$6002,MATCH("R"&amp;482,정리결과!$J$6:$J$6005,0))="","",INDEX(원본명단!$D$3:$D$6002,MATCH("R"&amp;482,정리결과!$J$6:$J$6005,0))),""))</f>
        <v/>
      </c>
      <c r="E487" s="10" t="str">
        <f aca="false">IF($A487="","",IFERROR(IF(INDEX(원본명단!$E$3:$E$6002,MATCH("R"&amp;482,정리결과!$J$6:$J$6005,0))="","",INDEX(원본명단!$E$3:$E$6002,MATCH("R"&amp;482,정리결과!$J$6:$J$6005,0))),""))</f>
        <v/>
      </c>
      <c r="F487" s="10" t="str">
        <f aca="false">IF($A487="","",IFERROR(IF(INDEX(원본명단!$F$3:$F$6002,MATCH("R"&amp;482,정리결과!$J$6:$J$6005,0))="","",INDEX(원본명단!$F$3:$F$6002,MATCH("R"&amp;482,정리결과!$J$6:$J$6005,0))),""))</f>
        <v/>
      </c>
      <c r="H487" s="14" t="b">
        <f aca="false">IF(중복검사!$A485="",FALSE(),중복검사!$J485="유지")</f>
        <v>0</v>
      </c>
      <c r="I487" s="5" t="str">
        <f aca="false">IF($H487=FALSE(),"",COUNTIF($H$6:$H487,TRUE()))</f>
        <v/>
      </c>
      <c r="J487" s="5" t="str">
        <f aca="false">IF($I487="","","R"&amp;$I487)</f>
        <v/>
      </c>
    </row>
    <row r="488" customFormat="false" ht="15" hidden="false" customHeight="true" outlineLevel="0" collapsed="false">
      <c r="A488" s="10" t="str">
        <f aca="false">IFERROR(IF(INDEX(원본명단!$A$3:$A$6002,MATCH("R"&amp;483,정리결과!$J$6:$J$6005,0))="","",INDEX(원본명단!$A$3:$A$6002,MATCH("R"&amp;483,정리결과!$J$6:$J$6005,0))),"")</f>
        <v/>
      </c>
      <c r="B488" s="10" t="str">
        <f aca="false">IF($A488="","",IFERROR(IF(INDEX(원본명단!$B$3:$B$6002,MATCH("R"&amp;483,정리결과!$J$6:$J$6005,0))="","",INDEX(원본명단!$B$3:$B$6002,MATCH("R"&amp;483,정리결과!$J$6:$J$6005,0))),""))</f>
        <v/>
      </c>
      <c r="C488" s="10" t="str">
        <f aca="false">IF($A488="","",IFERROR(IF(INDEX(원본명단!$C$3:$C$6002,MATCH("R"&amp;483,정리결과!$J$6:$J$6005,0))="","",INDEX(원본명단!$C$3:$C$6002,MATCH("R"&amp;483,정리결과!$J$6:$J$6005,0))),""))</f>
        <v/>
      </c>
      <c r="D488" s="10" t="str">
        <f aca="false">IF($A488="","",IFERROR(IF(INDEX(원본명단!$D$3:$D$6002,MATCH("R"&amp;483,정리결과!$J$6:$J$6005,0))="","",INDEX(원본명단!$D$3:$D$6002,MATCH("R"&amp;483,정리결과!$J$6:$J$6005,0))),""))</f>
        <v/>
      </c>
      <c r="E488" s="10" t="str">
        <f aca="false">IF($A488="","",IFERROR(IF(INDEX(원본명단!$E$3:$E$6002,MATCH("R"&amp;483,정리결과!$J$6:$J$6005,0))="","",INDEX(원본명단!$E$3:$E$6002,MATCH("R"&amp;483,정리결과!$J$6:$J$6005,0))),""))</f>
        <v/>
      </c>
      <c r="F488" s="10" t="str">
        <f aca="false">IF($A488="","",IFERROR(IF(INDEX(원본명단!$F$3:$F$6002,MATCH("R"&amp;483,정리결과!$J$6:$J$6005,0))="","",INDEX(원본명단!$F$3:$F$6002,MATCH("R"&amp;483,정리결과!$J$6:$J$6005,0))),""))</f>
        <v/>
      </c>
      <c r="H488" s="14" t="b">
        <f aca="false">IF(중복검사!$A486="",FALSE(),중복검사!$J486="유지")</f>
        <v>0</v>
      </c>
      <c r="I488" s="5" t="str">
        <f aca="false">IF($H488=FALSE(),"",COUNTIF($H$6:$H488,TRUE()))</f>
        <v/>
      </c>
      <c r="J488" s="5" t="str">
        <f aca="false">IF($I488="","","R"&amp;$I488)</f>
        <v/>
      </c>
    </row>
    <row r="489" customFormat="false" ht="15" hidden="false" customHeight="true" outlineLevel="0" collapsed="false">
      <c r="A489" s="10" t="str">
        <f aca="false">IFERROR(IF(INDEX(원본명단!$A$3:$A$6002,MATCH("R"&amp;484,정리결과!$J$6:$J$6005,0))="","",INDEX(원본명단!$A$3:$A$6002,MATCH("R"&amp;484,정리결과!$J$6:$J$6005,0))),"")</f>
        <v/>
      </c>
      <c r="B489" s="10" t="str">
        <f aca="false">IF($A489="","",IFERROR(IF(INDEX(원본명단!$B$3:$B$6002,MATCH("R"&amp;484,정리결과!$J$6:$J$6005,0))="","",INDEX(원본명단!$B$3:$B$6002,MATCH("R"&amp;484,정리결과!$J$6:$J$6005,0))),""))</f>
        <v/>
      </c>
      <c r="C489" s="10" t="str">
        <f aca="false">IF($A489="","",IFERROR(IF(INDEX(원본명단!$C$3:$C$6002,MATCH("R"&amp;484,정리결과!$J$6:$J$6005,0))="","",INDEX(원본명단!$C$3:$C$6002,MATCH("R"&amp;484,정리결과!$J$6:$J$6005,0))),""))</f>
        <v/>
      </c>
      <c r="D489" s="10" t="str">
        <f aca="false">IF($A489="","",IFERROR(IF(INDEX(원본명단!$D$3:$D$6002,MATCH("R"&amp;484,정리결과!$J$6:$J$6005,0))="","",INDEX(원본명단!$D$3:$D$6002,MATCH("R"&amp;484,정리결과!$J$6:$J$6005,0))),""))</f>
        <v/>
      </c>
      <c r="E489" s="10" t="str">
        <f aca="false">IF($A489="","",IFERROR(IF(INDEX(원본명단!$E$3:$E$6002,MATCH("R"&amp;484,정리결과!$J$6:$J$6005,0))="","",INDEX(원본명단!$E$3:$E$6002,MATCH("R"&amp;484,정리결과!$J$6:$J$6005,0))),""))</f>
        <v/>
      </c>
      <c r="F489" s="10" t="str">
        <f aca="false">IF($A489="","",IFERROR(IF(INDEX(원본명단!$F$3:$F$6002,MATCH("R"&amp;484,정리결과!$J$6:$J$6005,0))="","",INDEX(원본명단!$F$3:$F$6002,MATCH("R"&amp;484,정리결과!$J$6:$J$6005,0))),""))</f>
        <v/>
      </c>
      <c r="H489" s="14" t="b">
        <f aca="false">IF(중복검사!$A487="",FALSE(),중복검사!$J487="유지")</f>
        <v>0</v>
      </c>
      <c r="I489" s="5" t="str">
        <f aca="false">IF($H489=FALSE(),"",COUNTIF($H$6:$H489,TRUE()))</f>
        <v/>
      </c>
      <c r="J489" s="5" t="str">
        <f aca="false">IF($I489="","","R"&amp;$I489)</f>
        <v/>
      </c>
    </row>
    <row r="490" customFormat="false" ht="15" hidden="false" customHeight="true" outlineLevel="0" collapsed="false">
      <c r="A490" s="10" t="str">
        <f aca="false">IFERROR(IF(INDEX(원본명단!$A$3:$A$6002,MATCH("R"&amp;485,정리결과!$J$6:$J$6005,0))="","",INDEX(원본명단!$A$3:$A$6002,MATCH("R"&amp;485,정리결과!$J$6:$J$6005,0))),"")</f>
        <v/>
      </c>
      <c r="B490" s="10" t="str">
        <f aca="false">IF($A490="","",IFERROR(IF(INDEX(원본명단!$B$3:$B$6002,MATCH("R"&amp;485,정리결과!$J$6:$J$6005,0))="","",INDEX(원본명단!$B$3:$B$6002,MATCH("R"&amp;485,정리결과!$J$6:$J$6005,0))),""))</f>
        <v/>
      </c>
      <c r="C490" s="10" t="str">
        <f aca="false">IF($A490="","",IFERROR(IF(INDEX(원본명단!$C$3:$C$6002,MATCH("R"&amp;485,정리결과!$J$6:$J$6005,0))="","",INDEX(원본명단!$C$3:$C$6002,MATCH("R"&amp;485,정리결과!$J$6:$J$6005,0))),""))</f>
        <v/>
      </c>
      <c r="D490" s="10" t="str">
        <f aca="false">IF($A490="","",IFERROR(IF(INDEX(원본명단!$D$3:$D$6002,MATCH("R"&amp;485,정리결과!$J$6:$J$6005,0))="","",INDEX(원본명단!$D$3:$D$6002,MATCH("R"&amp;485,정리결과!$J$6:$J$6005,0))),""))</f>
        <v/>
      </c>
      <c r="E490" s="10" t="str">
        <f aca="false">IF($A490="","",IFERROR(IF(INDEX(원본명단!$E$3:$E$6002,MATCH("R"&amp;485,정리결과!$J$6:$J$6005,0))="","",INDEX(원본명단!$E$3:$E$6002,MATCH("R"&amp;485,정리결과!$J$6:$J$6005,0))),""))</f>
        <v/>
      </c>
      <c r="F490" s="10" t="str">
        <f aca="false">IF($A490="","",IFERROR(IF(INDEX(원본명단!$F$3:$F$6002,MATCH("R"&amp;485,정리결과!$J$6:$J$6005,0))="","",INDEX(원본명단!$F$3:$F$6002,MATCH("R"&amp;485,정리결과!$J$6:$J$6005,0))),""))</f>
        <v/>
      </c>
      <c r="H490" s="14" t="b">
        <f aca="false">IF(중복검사!$A488="",FALSE(),중복검사!$J488="유지")</f>
        <v>0</v>
      </c>
      <c r="I490" s="5" t="str">
        <f aca="false">IF($H490=FALSE(),"",COUNTIF($H$6:$H490,TRUE()))</f>
        <v/>
      </c>
      <c r="J490" s="5" t="str">
        <f aca="false">IF($I490="","","R"&amp;$I490)</f>
        <v/>
      </c>
    </row>
    <row r="491" customFormat="false" ht="15" hidden="false" customHeight="true" outlineLevel="0" collapsed="false">
      <c r="A491" s="10" t="str">
        <f aca="false">IFERROR(IF(INDEX(원본명단!$A$3:$A$6002,MATCH("R"&amp;486,정리결과!$J$6:$J$6005,0))="","",INDEX(원본명단!$A$3:$A$6002,MATCH("R"&amp;486,정리결과!$J$6:$J$6005,0))),"")</f>
        <v/>
      </c>
      <c r="B491" s="10" t="str">
        <f aca="false">IF($A491="","",IFERROR(IF(INDEX(원본명단!$B$3:$B$6002,MATCH("R"&amp;486,정리결과!$J$6:$J$6005,0))="","",INDEX(원본명단!$B$3:$B$6002,MATCH("R"&amp;486,정리결과!$J$6:$J$6005,0))),""))</f>
        <v/>
      </c>
      <c r="C491" s="10" t="str">
        <f aca="false">IF($A491="","",IFERROR(IF(INDEX(원본명단!$C$3:$C$6002,MATCH("R"&amp;486,정리결과!$J$6:$J$6005,0))="","",INDEX(원본명단!$C$3:$C$6002,MATCH("R"&amp;486,정리결과!$J$6:$J$6005,0))),""))</f>
        <v/>
      </c>
      <c r="D491" s="10" t="str">
        <f aca="false">IF($A491="","",IFERROR(IF(INDEX(원본명단!$D$3:$D$6002,MATCH("R"&amp;486,정리결과!$J$6:$J$6005,0))="","",INDEX(원본명단!$D$3:$D$6002,MATCH("R"&amp;486,정리결과!$J$6:$J$6005,0))),""))</f>
        <v/>
      </c>
      <c r="E491" s="10" t="str">
        <f aca="false">IF($A491="","",IFERROR(IF(INDEX(원본명단!$E$3:$E$6002,MATCH("R"&amp;486,정리결과!$J$6:$J$6005,0))="","",INDEX(원본명단!$E$3:$E$6002,MATCH("R"&amp;486,정리결과!$J$6:$J$6005,0))),""))</f>
        <v/>
      </c>
      <c r="F491" s="10" t="str">
        <f aca="false">IF($A491="","",IFERROR(IF(INDEX(원본명단!$F$3:$F$6002,MATCH("R"&amp;486,정리결과!$J$6:$J$6005,0))="","",INDEX(원본명단!$F$3:$F$6002,MATCH("R"&amp;486,정리결과!$J$6:$J$6005,0))),""))</f>
        <v/>
      </c>
      <c r="H491" s="14" t="b">
        <f aca="false">IF(중복검사!$A489="",FALSE(),중복검사!$J489="유지")</f>
        <v>0</v>
      </c>
      <c r="I491" s="5" t="str">
        <f aca="false">IF($H491=FALSE(),"",COUNTIF($H$6:$H491,TRUE()))</f>
        <v/>
      </c>
      <c r="J491" s="5" t="str">
        <f aca="false">IF($I491="","","R"&amp;$I491)</f>
        <v/>
      </c>
    </row>
    <row r="492" customFormat="false" ht="15" hidden="false" customHeight="true" outlineLevel="0" collapsed="false">
      <c r="A492" s="10" t="str">
        <f aca="false">IFERROR(IF(INDEX(원본명단!$A$3:$A$6002,MATCH("R"&amp;487,정리결과!$J$6:$J$6005,0))="","",INDEX(원본명단!$A$3:$A$6002,MATCH("R"&amp;487,정리결과!$J$6:$J$6005,0))),"")</f>
        <v/>
      </c>
      <c r="B492" s="10" t="str">
        <f aca="false">IF($A492="","",IFERROR(IF(INDEX(원본명단!$B$3:$B$6002,MATCH("R"&amp;487,정리결과!$J$6:$J$6005,0))="","",INDEX(원본명단!$B$3:$B$6002,MATCH("R"&amp;487,정리결과!$J$6:$J$6005,0))),""))</f>
        <v/>
      </c>
      <c r="C492" s="10" t="str">
        <f aca="false">IF($A492="","",IFERROR(IF(INDEX(원본명단!$C$3:$C$6002,MATCH("R"&amp;487,정리결과!$J$6:$J$6005,0))="","",INDEX(원본명단!$C$3:$C$6002,MATCH("R"&amp;487,정리결과!$J$6:$J$6005,0))),""))</f>
        <v/>
      </c>
      <c r="D492" s="10" t="str">
        <f aca="false">IF($A492="","",IFERROR(IF(INDEX(원본명단!$D$3:$D$6002,MATCH("R"&amp;487,정리결과!$J$6:$J$6005,0))="","",INDEX(원본명단!$D$3:$D$6002,MATCH("R"&amp;487,정리결과!$J$6:$J$6005,0))),""))</f>
        <v/>
      </c>
      <c r="E492" s="10" t="str">
        <f aca="false">IF($A492="","",IFERROR(IF(INDEX(원본명단!$E$3:$E$6002,MATCH("R"&amp;487,정리결과!$J$6:$J$6005,0))="","",INDEX(원본명단!$E$3:$E$6002,MATCH("R"&amp;487,정리결과!$J$6:$J$6005,0))),""))</f>
        <v/>
      </c>
      <c r="F492" s="10" t="str">
        <f aca="false">IF($A492="","",IFERROR(IF(INDEX(원본명단!$F$3:$F$6002,MATCH("R"&amp;487,정리결과!$J$6:$J$6005,0))="","",INDEX(원본명단!$F$3:$F$6002,MATCH("R"&amp;487,정리결과!$J$6:$J$6005,0))),""))</f>
        <v/>
      </c>
      <c r="H492" s="14" t="b">
        <f aca="false">IF(중복검사!$A490="",FALSE(),중복검사!$J490="유지")</f>
        <v>0</v>
      </c>
      <c r="I492" s="5" t="str">
        <f aca="false">IF($H492=FALSE(),"",COUNTIF($H$6:$H492,TRUE()))</f>
        <v/>
      </c>
      <c r="J492" s="5" t="str">
        <f aca="false">IF($I492="","","R"&amp;$I492)</f>
        <v/>
      </c>
    </row>
    <row r="493" customFormat="false" ht="15" hidden="false" customHeight="true" outlineLevel="0" collapsed="false">
      <c r="A493" s="10" t="str">
        <f aca="false">IFERROR(IF(INDEX(원본명단!$A$3:$A$6002,MATCH("R"&amp;488,정리결과!$J$6:$J$6005,0))="","",INDEX(원본명단!$A$3:$A$6002,MATCH("R"&amp;488,정리결과!$J$6:$J$6005,0))),"")</f>
        <v/>
      </c>
      <c r="B493" s="10" t="str">
        <f aca="false">IF($A493="","",IFERROR(IF(INDEX(원본명단!$B$3:$B$6002,MATCH("R"&amp;488,정리결과!$J$6:$J$6005,0))="","",INDEX(원본명단!$B$3:$B$6002,MATCH("R"&amp;488,정리결과!$J$6:$J$6005,0))),""))</f>
        <v/>
      </c>
      <c r="C493" s="10" t="str">
        <f aca="false">IF($A493="","",IFERROR(IF(INDEX(원본명단!$C$3:$C$6002,MATCH("R"&amp;488,정리결과!$J$6:$J$6005,0))="","",INDEX(원본명단!$C$3:$C$6002,MATCH("R"&amp;488,정리결과!$J$6:$J$6005,0))),""))</f>
        <v/>
      </c>
      <c r="D493" s="10" t="str">
        <f aca="false">IF($A493="","",IFERROR(IF(INDEX(원본명단!$D$3:$D$6002,MATCH("R"&amp;488,정리결과!$J$6:$J$6005,0))="","",INDEX(원본명단!$D$3:$D$6002,MATCH("R"&amp;488,정리결과!$J$6:$J$6005,0))),""))</f>
        <v/>
      </c>
      <c r="E493" s="10" t="str">
        <f aca="false">IF($A493="","",IFERROR(IF(INDEX(원본명단!$E$3:$E$6002,MATCH("R"&amp;488,정리결과!$J$6:$J$6005,0))="","",INDEX(원본명단!$E$3:$E$6002,MATCH("R"&amp;488,정리결과!$J$6:$J$6005,0))),""))</f>
        <v/>
      </c>
      <c r="F493" s="10" t="str">
        <f aca="false">IF($A493="","",IFERROR(IF(INDEX(원본명단!$F$3:$F$6002,MATCH("R"&amp;488,정리결과!$J$6:$J$6005,0))="","",INDEX(원본명단!$F$3:$F$6002,MATCH("R"&amp;488,정리결과!$J$6:$J$6005,0))),""))</f>
        <v/>
      </c>
      <c r="H493" s="14" t="b">
        <f aca="false">IF(중복검사!$A491="",FALSE(),중복검사!$J491="유지")</f>
        <v>0</v>
      </c>
      <c r="I493" s="5" t="str">
        <f aca="false">IF($H493=FALSE(),"",COUNTIF($H$6:$H493,TRUE()))</f>
        <v/>
      </c>
      <c r="J493" s="5" t="str">
        <f aca="false">IF($I493="","","R"&amp;$I493)</f>
        <v/>
      </c>
    </row>
    <row r="494" customFormat="false" ht="15" hidden="false" customHeight="true" outlineLevel="0" collapsed="false">
      <c r="A494" s="10" t="str">
        <f aca="false">IFERROR(IF(INDEX(원본명단!$A$3:$A$6002,MATCH("R"&amp;489,정리결과!$J$6:$J$6005,0))="","",INDEX(원본명단!$A$3:$A$6002,MATCH("R"&amp;489,정리결과!$J$6:$J$6005,0))),"")</f>
        <v/>
      </c>
      <c r="B494" s="10" t="str">
        <f aca="false">IF($A494="","",IFERROR(IF(INDEX(원본명단!$B$3:$B$6002,MATCH("R"&amp;489,정리결과!$J$6:$J$6005,0))="","",INDEX(원본명단!$B$3:$B$6002,MATCH("R"&amp;489,정리결과!$J$6:$J$6005,0))),""))</f>
        <v/>
      </c>
      <c r="C494" s="10" t="str">
        <f aca="false">IF($A494="","",IFERROR(IF(INDEX(원본명단!$C$3:$C$6002,MATCH("R"&amp;489,정리결과!$J$6:$J$6005,0))="","",INDEX(원본명단!$C$3:$C$6002,MATCH("R"&amp;489,정리결과!$J$6:$J$6005,0))),""))</f>
        <v/>
      </c>
      <c r="D494" s="10" t="str">
        <f aca="false">IF($A494="","",IFERROR(IF(INDEX(원본명단!$D$3:$D$6002,MATCH("R"&amp;489,정리결과!$J$6:$J$6005,0))="","",INDEX(원본명단!$D$3:$D$6002,MATCH("R"&amp;489,정리결과!$J$6:$J$6005,0))),""))</f>
        <v/>
      </c>
      <c r="E494" s="10" t="str">
        <f aca="false">IF($A494="","",IFERROR(IF(INDEX(원본명단!$E$3:$E$6002,MATCH("R"&amp;489,정리결과!$J$6:$J$6005,0))="","",INDEX(원본명단!$E$3:$E$6002,MATCH("R"&amp;489,정리결과!$J$6:$J$6005,0))),""))</f>
        <v/>
      </c>
      <c r="F494" s="10" t="str">
        <f aca="false">IF($A494="","",IFERROR(IF(INDEX(원본명단!$F$3:$F$6002,MATCH("R"&amp;489,정리결과!$J$6:$J$6005,0))="","",INDEX(원본명단!$F$3:$F$6002,MATCH("R"&amp;489,정리결과!$J$6:$J$6005,0))),""))</f>
        <v/>
      </c>
      <c r="H494" s="14" t="b">
        <f aca="false">IF(중복검사!$A492="",FALSE(),중복검사!$J492="유지")</f>
        <v>0</v>
      </c>
      <c r="I494" s="5" t="str">
        <f aca="false">IF($H494=FALSE(),"",COUNTIF($H$6:$H494,TRUE()))</f>
        <v/>
      </c>
      <c r="J494" s="5" t="str">
        <f aca="false">IF($I494="","","R"&amp;$I494)</f>
        <v/>
      </c>
    </row>
    <row r="495" customFormat="false" ht="15" hidden="false" customHeight="true" outlineLevel="0" collapsed="false">
      <c r="A495" s="10" t="str">
        <f aca="false">IFERROR(IF(INDEX(원본명단!$A$3:$A$6002,MATCH("R"&amp;490,정리결과!$J$6:$J$6005,0))="","",INDEX(원본명단!$A$3:$A$6002,MATCH("R"&amp;490,정리결과!$J$6:$J$6005,0))),"")</f>
        <v/>
      </c>
      <c r="B495" s="10" t="str">
        <f aca="false">IF($A495="","",IFERROR(IF(INDEX(원본명단!$B$3:$B$6002,MATCH("R"&amp;490,정리결과!$J$6:$J$6005,0))="","",INDEX(원본명단!$B$3:$B$6002,MATCH("R"&amp;490,정리결과!$J$6:$J$6005,0))),""))</f>
        <v/>
      </c>
      <c r="C495" s="10" t="str">
        <f aca="false">IF($A495="","",IFERROR(IF(INDEX(원본명단!$C$3:$C$6002,MATCH("R"&amp;490,정리결과!$J$6:$J$6005,0))="","",INDEX(원본명단!$C$3:$C$6002,MATCH("R"&amp;490,정리결과!$J$6:$J$6005,0))),""))</f>
        <v/>
      </c>
      <c r="D495" s="10" t="str">
        <f aca="false">IF($A495="","",IFERROR(IF(INDEX(원본명단!$D$3:$D$6002,MATCH("R"&amp;490,정리결과!$J$6:$J$6005,0))="","",INDEX(원본명단!$D$3:$D$6002,MATCH("R"&amp;490,정리결과!$J$6:$J$6005,0))),""))</f>
        <v/>
      </c>
      <c r="E495" s="10" t="str">
        <f aca="false">IF($A495="","",IFERROR(IF(INDEX(원본명단!$E$3:$E$6002,MATCH("R"&amp;490,정리결과!$J$6:$J$6005,0))="","",INDEX(원본명단!$E$3:$E$6002,MATCH("R"&amp;490,정리결과!$J$6:$J$6005,0))),""))</f>
        <v/>
      </c>
      <c r="F495" s="10" t="str">
        <f aca="false">IF($A495="","",IFERROR(IF(INDEX(원본명단!$F$3:$F$6002,MATCH("R"&amp;490,정리결과!$J$6:$J$6005,0))="","",INDEX(원본명단!$F$3:$F$6002,MATCH("R"&amp;490,정리결과!$J$6:$J$6005,0))),""))</f>
        <v/>
      </c>
      <c r="H495" s="14" t="b">
        <f aca="false">IF(중복검사!$A493="",FALSE(),중복검사!$J493="유지")</f>
        <v>0</v>
      </c>
      <c r="I495" s="5" t="str">
        <f aca="false">IF($H495=FALSE(),"",COUNTIF($H$6:$H495,TRUE()))</f>
        <v/>
      </c>
      <c r="J495" s="5" t="str">
        <f aca="false">IF($I495="","","R"&amp;$I495)</f>
        <v/>
      </c>
    </row>
    <row r="496" customFormat="false" ht="15" hidden="false" customHeight="true" outlineLevel="0" collapsed="false">
      <c r="A496" s="10" t="str">
        <f aca="false">IFERROR(IF(INDEX(원본명단!$A$3:$A$6002,MATCH("R"&amp;491,정리결과!$J$6:$J$6005,0))="","",INDEX(원본명단!$A$3:$A$6002,MATCH("R"&amp;491,정리결과!$J$6:$J$6005,0))),"")</f>
        <v/>
      </c>
      <c r="B496" s="10" t="str">
        <f aca="false">IF($A496="","",IFERROR(IF(INDEX(원본명단!$B$3:$B$6002,MATCH("R"&amp;491,정리결과!$J$6:$J$6005,0))="","",INDEX(원본명단!$B$3:$B$6002,MATCH("R"&amp;491,정리결과!$J$6:$J$6005,0))),""))</f>
        <v/>
      </c>
      <c r="C496" s="10" t="str">
        <f aca="false">IF($A496="","",IFERROR(IF(INDEX(원본명단!$C$3:$C$6002,MATCH("R"&amp;491,정리결과!$J$6:$J$6005,0))="","",INDEX(원본명단!$C$3:$C$6002,MATCH("R"&amp;491,정리결과!$J$6:$J$6005,0))),""))</f>
        <v/>
      </c>
      <c r="D496" s="10" t="str">
        <f aca="false">IF($A496="","",IFERROR(IF(INDEX(원본명단!$D$3:$D$6002,MATCH("R"&amp;491,정리결과!$J$6:$J$6005,0))="","",INDEX(원본명단!$D$3:$D$6002,MATCH("R"&amp;491,정리결과!$J$6:$J$6005,0))),""))</f>
        <v/>
      </c>
      <c r="E496" s="10" t="str">
        <f aca="false">IF($A496="","",IFERROR(IF(INDEX(원본명단!$E$3:$E$6002,MATCH("R"&amp;491,정리결과!$J$6:$J$6005,0))="","",INDEX(원본명단!$E$3:$E$6002,MATCH("R"&amp;491,정리결과!$J$6:$J$6005,0))),""))</f>
        <v/>
      </c>
      <c r="F496" s="10" t="str">
        <f aca="false">IF($A496="","",IFERROR(IF(INDEX(원본명단!$F$3:$F$6002,MATCH("R"&amp;491,정리결과!$J$6:$J$6005,0))="","",INDEX(원본명단!$F$3:$F$6002,MATCH("R"&amp;491,정리결과!$J$6:$J$6005,0))),""))</f>
        <v/>
      </c>
      <c r="H496" s="14" t="b">
        <f aca="false">IF(중복검사!$A494="",FALSE(),중복검사!$J494="유지")</f>
        <v>0</v>
      </c>
      <c r="I496" s="5" t="str">
        <f aca="false">IF($H496=FALSE(),"",COUNTIF($H$6:$H496,TRUE()))</f>
        <v/>
      </c>
      <c r="J496" s="5" t="str">
        <f aca="false">IF($I496="","","R"&amp;$I496)</f>
        <v/>
      </c>
    </row>
    <row r="497" customFormat="false" ht="15" hidden="false" customHeight="true" outlineLevel="0" collapsed="false">
      <c r="A497" s="10" t="str">
        <f aca="false">IFERROR(IF(INDEX(원본명단!$A$3:$A$6002,MATCH("R"&amp;492,정리결과!$J$6:$J$6005,0))="","",INDEX(원본명단!$A$3:$A$6002,MATCH("R"&amp;492,정리결과!$J$6:$J$6005,0))),"")</f>
        <v/>
      </c>
      <c r="B497" s="10" t="str">
        <f aca="false">IF($A497="","",IFERROR(IF(INDEX(원본명단!$B$3:$B$6002,MATCH("R"&amp;492,정리결과!$J$6:$J$6005,0))="","",INDEX(원본명단!$B$3:$B$6002,MATCH("R"&amp;492,정리결과!$J$6:$J$6005,0))),""))</f>
        <v/>
      </c>
      <c r="C497" s="10" t="str">
        <f aca="false">IF($A497="","",IFERROR(IF(INDEX(원본명단!$C$3:$C$6002,MATCH("R"&amp;492,정리결과!$J$6:$J$6005,0))="","",INDEX(원본명단!$C$3:$C$6002,MATCH("R"&amp;492,정리결과!$J$6:$J$6005,0))),""))</f>
        <v/>
      </c>
      <c r="D497" s="10" t="str">
        <f aca="false">IF($A497="","",IFERROR(IF(INDEX(원본명단!$D$3:$D$6002,MATCH("R"&amp;492,정리결과!$J$6:$J$6005,0))="","",INDEX(원본명단!$D$3:$D$6002,MATCH("R"&amp;492,정리결과!$J$6:$J$6005,0))),""))</f>
        <v/>
      </c>
      <c r="E497" s="10" t="str">
        <f aca="false">IF($A497="","",IFERROR(IF(INDEX(원본명단!$E$3:$E$6002,MATCH("R"&amp;492,정리결과!$J$6:$J$6005,0))="","",INDEX(원본명단!$E$3:$E$6002,MATCH("R"&amp;492,정리결과!$J$6:$J$6005,0))),""))</f>
        <v/>
      </c>
      <c r="F497" s="10" t="str">
        <f aca="false">IF($A497="","",IFERROR(IF(INDEX(원본명단!$F$3:$F$6002,MATCH("R"&amp;492,정리결과!$J$6:$J$6005,0))="","",INDEX(원본명단!$F$3:$F$6002,MATCH("R"&amp;492,정리결과!$J$6:$J$6005,0))),""))</f>
        <v/>
      </c>
      <c r="H497" s="14" t="b">
        <f aca="false">IF(중복검사!$A495="",FALSE(),중복검사!$J495="유지")</f>
        <v>0</v>
      </c>
      <c r="I497" s="5" t="str">
        <f aca="false">IF($H497=FALSE(),"",COUNTIF($H$6:$H497,TRUE()))</f>
        <v/>
      </c>
      <c r="J497" s="5" t="str">
        <f aca="false">IF($I497="","","R"&amp;$I497)</f>
        <v/>
      </c>
    </row>
    <row r="498" customFormat="false" ht="15" hidden="false" customHeight="true" outlineLevel="0" collapsed="false">
      <c r="A498" s="10" t="str">
        <f aca="false">IFERROR(IF(INDEX(원본명단!$A$3:$A$6002,MATCH("R"&amp;493,정리결과!$J$6:$J$6005,0))="","",INDEX(원본명단!$A$3:$A$6002,MATCH("R"&amp;493,정리결과!$J$6:$J$6005,0))),"")</f>
        <v/>
      </c>
      <c r="B498" s="10" t="str">
        <f aca="false">IF($A498="","",IFERROR(IF(INDEX(원본명단!$B$3:$B$6002,MATCH("R"&amp;493,정리결과!$J$6:$J$6005,0))="","",INDEX(원본명단!$B$3:$B$6002,MATCH("R"&amp;493,정리결과!$J$6:$J$6005,0))),""))</f>
        <v/>
      </c>
      <c r="C498" s="10" t="str">
        <f aca="false">IF($A498="","",IFERROR(IF(INDEX(원본명단!$C$3:$C$6002,MATCH("R"&amp;493,정리결과!$J$6:$J$6005,0))="","",INDEX(원본명단!$C$3:$C$6002,MATCH("R"&amp;493,정리결과!$J$6:$J$6005,0))),""))</f>
        <v/>
      </c>
      <c r="D498" s="10" t="str">
        <f aca="false">IF($A498="","",IFERROR(IF(INDEX(원본명단!$D$3:$D$6002,MATCH("R"&amp;493,정리결과!$J$6:$J$6005,0))="","",INDEX(원본명단!$D$3:$D$6002,MATCH("R"&amp;493,정리결과!$J$6:$J$6005,0))),""))</f>
        <v/>
      </c>
      <c r="E498" s="10" t="str">
        <f aca="false">IF($A498="","",IFERROR(IF(INDEX(원본명단!$E$3:$E$6002,MATCH("R"&amp;493,정리결과!$J$6:$J$6005,0))="","",INDEX(원본명단!$E$3:$E$6002,MATCH("R"&amp;493,정리결과!$J$6:$J$6005,0))),""))</f>
        <v/>
      </c>
      <c r="F498" s="10" t="str">
        <f aca="false">IF($A498="","",IFERROR(IF(INDEX(원본명단!$F$3:$F$6002,MATCH("R"&amp;493,정리결과!$J$6:$J$6005,0))="","",INDEX(원본명단!$F$3:$F$6002,MATCH("R"&amp;493,정리결과!$J$6:$J$6005,0))),""))</f>
        <v/>
      </c>
      <c r="H498" s="14" t="b">
        <f aca="false">IF(중복검사!$A496="",FALSE(),중복검사!$J496="유지")</f>
        <v>0</v>
      </c>
      <c r="I498" s="5" t="str">
        <f aca="false">IF($H498=FALSE(),"",COUNTIF($H$6:$H498,TRUE()))</f>
        <v/>
      </c>
      <c r="J498" s="5" t="str">
        <f aca="false">IF($I498="","","R"&amp;$I498)</f>
        <v/>
      </c>
    </row>
    <row r="499" customFormat="false" ht="15" hidden="false" customHeight="true" outlineLevel="0" collapsed="false">
      <c r="A499" s="10" t="str">
        <f aca="false">IFERROR(IF(INDEX(원본명단!$A$3:$A$6002,MATCH("R"&amp;494,정리결과!$J$6:$J$6005,0))="","",INDEX(원본명단!$A$3:$A$6002,MATCH("R"&amp;494,정리결과!$J$6:$J$6005,0))),"")</f>
        <v/>
      </c>
      <c r="B499" s="10" t="str">
        <f aca="false">IF($A499="","",IFERROR(IF(INDEX(원본명단!$B$3:$B$6002,MATCH("R"&amp;494,정리결과!$J$6:$J$6005,0))="","",INDEX(원본명단!$B$3:$B$6002,MATCH("R"&amp;494,정리결과!$J$6:$J$6005,0))),""))</f>
        <v/>
      </c>
      <c r="C499" s="10" t="str">
        <f aca="false">IF($A499="","",IFERROR(IF(INDEX(원본명단!$C$3:$C$6002,MATCH("R"&amp;494,정리결과!$J$6:$J$6005,0))="","",INDEX(원본명단!$C$3:$C$6002,MATCH("R"&amp;494,정리결과!$J$6:$J$6005,0))),""))</f>
        <v/>
      </c>
      <c r="D499" s="10" t="str">
        <f aca="false">IF($A499="","",IFERROR(IF(INDEX(원본명단!$D$3:$D$6002,MATCH("R"&amp;494,정리결과!$J$6:$J$6005,0))="","",INDEX(원본명단!$D$3:$D$6002,MATCH("R"&amp;494,정리결과!$J$6:$J$6005,0))),""))</f>
        <v/>
      </c>
      <c r="E499" s="10" t="str">
        <f aca="false">IF($A499="","",IFERROR(IF(INDEX(원본명단!$E$3:$E$6002,MATCH("R"&amp;494,정리결과!$J$6:$J$6005,0))="","",INDEX(원본명단!$E$3:$E$6002,MATCH("R"&amp;494,정리결과!$J$6:$J$6005,0))),""))</f>
        <v/>
      </c>
      <c r="F499" s="10" t="str">
        <f aca="false">IF($A499="","",IFERROR(IF(INDEX(원본명단!$F$3:$F$6002,MATCH("R"&amp;494,정리결과!$J$6:$J$6005,0))="","",INDEX(원본명단!$F$3:$F$6002,MATCH("R"&amp;494,정리결과!$J$6:$J$6005,0))),""))</f>
        <v/>
      </c>
      <c r="H499" s="14" t="b">
        <f aca="false">IF(중복검사!$A497="",FALSE(),중복검사!$J497="유지")</f>
        <v>0</v>
      </c>
      <c r="I499" s="5" t="str">
        <f aca="false">IF($H499=FALSE(),"",COUNTIF($H$6:$H499,TRUE()))</f>
        <v/>
      </c>
      <c r="J499" s="5" t="str">
        <f aca="false">IF($I499="","","R"&amp;$I499)</f>
        <v/>
      </c>
    </row>
    <row r="500" customFormat="false" ht="15" hidden="false" customHeight="true" outlineLevel="0" collapsed="false">
      <c r="A500" s="10" t="str">
        <f aca="false">IFERROR(IF(INDEX(원본명단!$A$3:$A$6002,MATCH("R"&amp;495,정리결과!$J$6:$J$6005,0))="","",INDEX(원본명단!$A$3:$A$6002,MATCH("R"&amp;495,정리결과!$J$6:$J$6005,0))),"")</f>
        <v/>
      </c>
      <c r="B500" s="10" t="str">
        <f aca="false">IF($A500="","",IFERROR(IF(INDEX(원본명단!$B$3:$B$6002,MATCH("R"&amp;495,정리결과!$J$6:$J$6005,0))="","",INDEX(원본명단!$B$3:$B$6002,MATCH("R"&amp;495,정리결과!$J$6:$J$6005,0))),""))</f>
        <v/>
      </c>
      <c r="C500" s="10" t="str">
        <f aca="false">IF($A500="","",IFERROR(IF(INDEX(원본명단!$C$3:$C$6002,MATCH("R"&amp;495,정리결과!$J$6:$J$6005,0))="","",INDEX(원본명단!$C$3:$C$6002,MATCH("R"&amp;495,정리결과!$J$6:$J$6005,0))),""))</f>
        <v/>
      </c>
      <c r="D500" s="10" t="str">
        <f aca="false">IF($A500="","",IFERROR(IF(INDEX(원본명단!$D$3:$D$6002,MATCH("R"&amp;495,정리결과!$J$6:$J$6005,0))="","",INDEX(원본명단!$D$3:$D$6002,MATCH("R"&amp;495,정리결과!$J$6:$J$6005,0))),""))</f>
        <v/>
      </c>
      <c r="E500" s="10" t="str">
        <f aca="false">IF($A500="","",IFERROR(IF(INDEX(원본명단!$E$3:$E$6002,MATCH("R"&amp;495,정리결과!$J$6:$J$6005,0))="","",INDEX(원본명단!$E$3:$E$6002,MATCH("R"&amp;495,정리결과!$J$6:$J$6005,0))),""))</f>
        <v/>
      </c>
      <c r="F500" s="10" t="str">
        <f aca="false">IF($A500="","",IFERROR(IF(INDEX(원본명단!$F$3:$F$6002,MATCH("R"&amp;495,정리결과!$J$6:$J$6005,0))="","",INDEX(원본명단!$F$3:$F$6002,MATCH("R"&amp;495,정리결과!$J$6:$J$6005,0))),""))</f>
        <v/>
      </c>
      <c r="H500" s="14" t="b">
        <f aca="false">IF(중복검사!$A498="",FALSE(),중복검사!$J498="유지")</f>
        <v>0</v>
      </c>
      <c r="I500" s="5" t="str">
        <f aca="false">IF($H500=FALSE(),"",COUNTIF($H$6:$H500,TRUE()))</f>
        <v/>
      </c>
      <c r="J500" s="5" t="str">
        <f aca="false">IF($I500="","","R"&amp;$I500)</f>
        <v/>
      </c>
    </row>
    <row r="501" customFormat="false" ht="15" hidden="false" customHeight="true" outlineLevel="0" collapsed="false">
      <c r="A501" s="10" t="str">
        <f aca="false">IFERROR(IF(INDEX(원본명단!$A$3:$A$6002,MATCH("R"&amp;496,정리결과!$J$6:$J$6005,0))="","",INDEX(원본명단!$A$3:$A$6002,MATCH("R"&amp;496,정리결과!$J$6:$J$6005,0))),"")</f>
        <v/>
      </c>
      <c r="B501" s="10" t="str">
        <f aca="false">IF($A501="","",IFERROR(IF(INDEX(원본명단!$B$3:$B$6002,MATCH("R"&amp;496,정리결과!$J$6:$J$6005,0))="","",INDEX(원본명단!$B$3:$B$6002,MATCH("R"&amp;496,정리결과!$J$6:$J$6005,0))),""))</f>
        <v/>
      </c>
      <c r="C501" s="10" t="str">
        <f aca="false">IF($A501="","",IFERROR(IF(INDEX(원본명단!$C$3:$C$6002,MATCH("R"&amp;496,정리결과!$J$6:$J$6005,0))="","",INDEX(원본명단!$C$3:$C$6002,MATCH("R"&amp;496,정리결과!$J$6:$J$6005,0))),""))</f>
        <v/>
      </c>
      <c r="D501" s="10" t="str">
        <f aca="false">IF($A501="","",IFERROR(IF(INDEX(원본명단!$D$3:$D$6002,MATCH("R"&amp;496,정리결과!$J$6:$J$6005,0))="","",INDEX(원본명단!$D$3:$D$6002,MATCH("R"&amp;496,정리결과!$J$6:$J$6005,0))),""))</f>
        <v/>
      </c>
      <c r="E501" s="10" t="str">
        <f aca="false">IF($A501="","",IFERROR(IF(INDEX(원본명단!$E$3:$E$6002,MATCH("R"&amp;496,정리결과!$J$6:$J$6005,0))="","",INDEX(원본명단!$E$3:$E$6002,MATCH("R"&amp;496,정리결과!$J$6:$J$6005,0))),""))</f>
        <v/>
      </c>
      <c r="F501" s="10" t="str">
        <f aca="false">IF($A501="","",IFERROR(IF(INDEX(원본명단!$F$3:$F$6002,MATCH("R"&amp;496,정리결과!$J$6:$J$6005,0))="","",INDEX(원본명단!$F$3:$F$6002,MATCH("R"&amp;496,정리결과!$J$6:$J$6005,0))),""))</f>
        <v/>
      </c>
      <c r="H501" s="14" t="b">
        <f aca="false">IF(중복검사!$A499="",FALSE(),중복검사!$J499="유지")</f>
        <v>0</v>
      </c>
      <c r="I501" s="5" t="str">
        <f aca="false">IF($H501=FALSE(),"",COUNTIF($H$6:$H501,TRUE()))</f>
        <v/>
      </c>
      <c r="J501" s="5" t="str">
        <f aca="false">IF($I501="","","R"&amp;$I501)</f>
        <v/>
      </c>
    </row>
    <row r="502" customFormat="false" ht="15" hidden="false" customHeight="true" outlineLevel="0" collapsed="false">
      <c r="A502" s="10" t="str">
        <f aca="false">IFERROR(IF(INDEX(원본명단!$A$3:$A$6002,MATCH("R"&amp;497,정리결과!$J$6:$J$6005,0))="","",INDEX(원본명단!$A$3:$A$6002,MATCH("R"&amp;497,정리결과!$J$6:$J$6005,0))),"")</f>
        <v/>
      </c>
      <c r="B502" s="10" t="str">
        <f aca="false">IF($A502="","",IFERROR(IF(INDEX(원본명단!$B$3:$B$6002,MATCH("R"&amp;497,정리결과!$J$6:$J$6005,0))="","",INDEX(원본명단!$B$3:$B$6002,MATCH("R"&amp;497,정리결과!$J$6:$J$6005,0))),""))</f>
        <v/>
      </c>
      <c r="C502" s="10" t="str">
        <f aca="false">IF($A502="","",IFERROR(IF(INDEX(원본명단!$C$3:$C$6002,MATCH("R"&amp;497,정리결과!$J$6:$J$6005,0))="","",INDEX(원본명단!$C$3:$C$6002,MATCH("R"&amp;497,정리결과!$J$6:$J$6005,0))),""))</f>
        <v/>
      </c>
      <c r="D502" s="10" t="str">
        <f aca="false">IF($A502="","",IFERROR(IF(INDEX(원본명단!$D$3:$D$6002,MATCH("R"&amp;497,정리결과!$J$6:$J$6005,0))="","",INDEX(원본명단!$D$3:$D$6002,MATCH("R"&amp;497,정리결과!$J$6:$J$6005,0))),""))</f>
        <v/>
      </c>
      <c r="E502" s="10" t="str">
        <f aca="false">IF($A502="","",IFERROR(IF(INDEX(원본명단!$E$3:$E$6002,MATCH("R"&amp;497,정리결과!$J$6:$J$6005,0))="","",INDEX(원본명단!$E$3:$E$6002,MATCH("R"&amp;497,정리결과!$J$6:$J$6005,0))),""))</f>
        <v/>
      </c>
      <c r="F502" s="10" t="str">
        <f aca="false">IF($A502="","",IFERROR(IF(INDEX(원본명단!$F$3:$F$6002,MATCH("R"&amp;497,정리결과!$J$6:$J$6005,0))="","",INDEX(원본명단!$F$3:$F$6002,MATCH("R"&amp;497,정리결과!$J$6:$J$6005,0))),""))</f>
        <v/>
      </c>
      <c r="H502" s="14" t="b">
        <f aca="false">IF(중복검사!$A500="",FALSE(),중복검사!$J500="유지")</f>
        <v>0</v>
      </c>
      <c r="I502" s="5" t="str">
        <f aca="false">IF($H502=FALSE(),"",COUNTIF($H$6:$H502,TRUE()))</f>
        <v/>
      </c>
      <c r="J502" s="5" t="str">
        <f aca="false">IF($I502="","","R"&amp;$I502)</f>
        <v/>
      </c>
    </row>
    <row r="503" customFormat="false" ht="15" hidden="false" customHeight="true" outlineLevel="0" collapsed="false">
      <c r="A503" s="10" t="str">
        <f aca="false">IFERROR(IF(INDEX(원본명단!$A$3:$A$6002,MATCH("R"&amp;498,정리결과!$J$6:$J$6005,0))="","",INDEX(원본명단!$A$3:$A$6002,MATCH("R"&amp;498,정리결과!$J$6:$J$6005,0))),"")</f>
        <v/>
      </c>
      <c r="B503" s="10" t="str">
        <f aca="false">IF($A503="","",IFERROR(IF(INDEX(원본명단!$B$3:$B$6002,MATCH("R"&amp;498,정리결과!$J$6:$J$6005,0))="","",INDEX(원본명단!$B$3:$B$6002,MATCH("R"&amp;498,정리결과!$J$6:$J$6005,0))),""))</f>
        <v/>
      </c>
      <c r="C503" s="10" t="str">
        <f aca="false">IF($A503="","",IFERROR(IF(INDEX(원본명단!$C$3:$C$6002,MATCH("R"&amp;498,정리결과!$J$6:$J$6005,0))="","",INDEX(원본명단!$C$3:$C$6002,MATCH("R"&amp;498,정리결과!$J$6:$J$6005,0))),""))</f>
        <v/>
      </c>
      <c r="D503" s="10" t="str">
        <f aca="false">IF($A503="","",IFERROR(IF(INDEX(원본명단!$D$3:$D$6002,MATCH("R"&amp;498,정리결과!$J$6:$J$6005,0))="","",INDEX(원본명단!$D$3:$D$6002,MATCH("R"&amp;498,정리결과!$J$6:$J$6005,0))),""))</f>
        <v/>
      </c>
      <c r="E503" s="10" t="str">
        <f aca="false">IF($A503="","",IFERROR(IF(INDEX(원본명단!$E$3:$E$6002,MATCH("R"&amp;498,정리결과!$J$6:$J$6005,0))="","",INDEX(원본명단!$E$3:$E$6002,MATCH("R"&amp;498,정리결과!$J$6:$J$6005,0))),""))</f>
        <v/>
      </c>
      <c r="F503" s="10" t="str">
        <f aca="false">IF($A503="","",IFERROR(IF(INDEX(원본명단!$F$3:$F$6002,MATCH("R"&amp;498,정리결과!$J$6:$J$6005,0))="","",INDEX(원본명단!$F$3:$F$6002,MATCH("R"&amp;498,정리결과!$J$6:$J$6005,0))),""))</f>
        <v/>
      </c>
      <c r="H503" s="14" t="b">
        <f aca="false">IF(중복검사!$A501="",FALSE(),중복검사!$J501="유지")</f>
        <v>0</v>
      </c>
      <c r="I503" s="5" t="str">
        <f aca="false">IF($H503=FALSE(),"",COUNTIF($H$6:$H503,TRUE()))</f>
        <v/>
      </c>
      <c r="J503" s="5" t="str">
        <f aca="false">IF($I503="","","R"&amp;$I503)</f>
        <v/>
      </c>
    </row>
    <row r="504" customFormat="false" ht="15" hidden="false" customHeight="true" outlineLevel="0" collapsed="false">
      <c r="A504" s="10" t="str">
        <f aca="false">IFERROR(IF(INDEX(원본명단!$A$3:$A$6002,MATCH("R"&amp;499,정리결과!$J$6:$J$6005,0))="","",INDEX(원본명단!$A$3:$A$6002,MATCH("R"&amp;499,정리결과!$J$6:$J$6005,0))),"")</f>
        <v/>
      </c>
      <c r="B504" s="10" t="str">
        <f aca="false">IF($A504="","",IFERROR(IF(INDEX(원본명단!$B$3:$B$6002,MATCH("R"&amp;499,정리결과!$J$6:$J$6005,0))="","",INDEX(원본명단!$B$3:$B$6002,MATCH("R"&amp;499,정리결과!$J$6:$J$6005,0))),""))</f>
        <v/>
      </c>
      <c r="C504" s="10" t="str">
        <f aca="false">IF($A504="","",IFERROR(IF(INDEX(원본명단!$C$3:$C$6002,MATCH("R"&amp;499,정리결과!$J$6:$J$6005,0))="","",INDEX(원본명단!$C$3:$C$6002,MATCH("R"&amp;499,정리결과!$J$6:$J$6005,0))),""))</f>
        <v/>
      </c>
      <c r="D504" s="10" t="str">
        <f aca="false">IF($A504="","",IFERROR(IF(INDEX(원본명단!$D$3:$D$6002,MATCH("R"&amp;499,정리결과!$J$6:$J$6005,0))="","",INDEX(원본명단!$D$3:$D$6002,MATCH("R"&amp;499,정리결과!$J$6:$J$6005,0))),""))</f>
        <v/>
      </c>
      <c r="E504" s="10" t="str">
        <f aca="false">IF($A504="","",IFERROR(IF(INDEX(원본명단!$E$3:$E$6002,MATCH("R"&amp;499,정리결과!$J$6:$J$6005,0))="","",INDEX(원본명단!$E$3:$E$6002,MATCH("R"&amp;499,정리결과!$J$6:$J$6005,0))),""))</f>
        <v/>
      </c>
      <c r="F504" s="10" t="str">
        <f aca="false">IF($A504="","",IFERROR(IF(INDEX(원본명단!$F$3:$F$6002,MATCH("R"&amp;499,정리결과!$J$6:$J$6005,0))="","",INDEX(원본명단!$F$3:$F$6002,MATCH("R"&amp;499,정리결과!$J$6:$J$6005,0))),""))</f>
        <v/>
      </c>
      <c r="H504" s="14" t="b">
        <f aca="false">IF(중복검사!$A502="",FALSE(),중복검사!$J502="유지")</f>
        <v>0</v>
      </c>
      <c r="I504" s="5" t="str">
        <f aca="false">IF($H504=FALSE(),"",COUNTIF($H$6:$H504,TRUE()))</f>
        <v/>
      </c>
      <c r="J504" s="5" t="str">
        <f aca="false">IF($I504="","","R"&amp;$I504)</f>
        <v/>
      </c>
    </row>
    <row r="505" customFormat="false" ht="15" hidden="false" customHeight="true" outlineLevel="0" collapsed="false">
      <c r="A505" s="10" t="str">
        <f aca="false">IFERROR(IF(INDEX(원본명단!$A$3:$A$6002,MATCH("R"&amp;500,정리결과!$J$6:$J$6005,0))="","",INDEX(원본명단!$A$3:$A$6002,MATCH("R"&amp;500,정리결과!$J$6:$J$6005,0))),"")</f>
        <v/>
      </c>
      <c r="B505" s="10" t="str">
        <f aca="false">IF($A505="","",IFERROR(IF(INDEX(원본명단!$B$3:$B$6002,MATCH("R"&amp;500,정리결과!$J$6:$J$6005,0))="","",INDEX(원본명단!$B$3:$B$6002,MATCH("R"&amp;500,정리결과!$J$6:$J$6005,0))),""))</f>
        <v/>
      </c>
      <c r="C505" s="10" t="str">
        <f aca="false">IF($A505="","",IFERROR(IF(INDEX(원본명단!$C$3:$C$6002,MATCH("R"&amp;500,정리결과!$J$6:$J$6005,0))="","",INDEX(원본명단!$C$3:$C$6002,MATCH("R"&amp;500,정리결과!$J$6:$J$6005,0))),""))</f>
        <v/>
      </c>
      <c r="D505" s="10" t="str">
        <f aca="false">IF($A505="","",IFERROR(IF(INDEX(원본명단!$D$3:$D$6002,MATCH("R"&amp;500,정리결과!$J$6:$J$6005,0))="","",INDEX(원본명단!$D$3:$D$6002,MATCH("R"&amp;500,정리결과!$J$6:$J$6005,0))),""))</f>
        <v/>
      </c>
      <c r="E505" s="10" t="str">
        <f aca="false">IF($A505="","",IFERROR(IF(INDEX(원본명단!$E$3:$E$6002,MATCH("R"&amp;500,정리결과!$J$6:$J$6005,0))="","",INDEX(원본명단!$E$3:$E$6002,MATCH("R"&amp;500,정리결과!$J$6:$J$6005,0))),""))</f>
        <v/>
      </c>
      <c r="F505" s="10" t="str">
        <f aca="false">IF($A505="","",IFERROR(IF(INDEX(원본명단!$F$3:$F$6002,MATCH("R"&amp;500,정리결과!$J$6:$J$6005,0))="","",INDEX(원본명단!$F$3:$F$6002,MATCH("R"&amp;500,정리결과!$J$6:$J$6005,0))),""))</f>
        <v/>
      </c>
      <c r="H505" s="14" t="b">
        <f aca="false">IF(중복검사!$A503="",FALSE(),중복검사!$J503="유지")</f>
        <v>0</v>
      </c>
      <c r="I505" s="5" t="str">
        <f aca="false">IF($H505=FALSE(),"",COUNTIF($H$6:$H505,TRUE()))</f>
        <v/>
      </c>
      <c r="J505" s="5" t="str">
        <f aca="false">IF($I505="","","R"&amp;$I505)</f>
        <v/>
      </c>
    </row>
    <row r="506" customFormat="false" ht="15" hidden="false" customHeight="true" outlineLevel="0" collapsed="false">
      <c r="A506" s="10" t="str">
        <f aca="false">IFERROR(IF(INDEX(원본명단!$A$3:$A$6002,MATCH("R"&amp;501,정리결과!$J$6:$J$6005,0))="","",INDEX(원본명단!$A$3:$A$6002,MATCH("R"&amp;501,정리결과!$J$6:$J$6005,0))),"")</f>
        <v/>
      </c>
      <c r="B506" s="10" t="str">
        <f aca="false">IF($A506="","",IFERROR(IF(INDEX(원본명단!$B$3:$B$6002,MATCH("R"&amp;501,정리결과!$J$6:$J$6005,0))="","",INDEX(원본명단!$B$3:$B$6002,MATCH("R"&amp;501,정리결과!$J$6:$J$6005,0))),""))</f>
        <v/>
      </c>
      <c r="C506" s="10" t="str">
        <f aca="false">IF($A506="","",IFERROR(IF(INDEX(원본명단!$C$3:$C$6002,MATCH("R"&amp;501,정리결과!$J$6:$J$6005,0))="","",INDEX(원본명단!$C$3:$C$6002,MATCH("R"&amp;501,정리결과!$J$6:$J$6005,0))),""))</f>
        <v/>
      </c>
      <c r="D506" s="10" t="str">
        <f aca="false">IF($A506="","",IFERROR(IF(INDEX(원본명단!$D$3:$D$6002,MATCH("R"&amp;501,정리결과!$J$6:$J$6005,0))="","",INDEX(원본명단!$D$3:$D$6002,MATCH("R"&amp;501,정리결과!$J$6:$J$6005,0))),""))</f>
        <v/>
      </c>
      <c r="E506" s="10" t="str">
        <f aca="false">IF($A506="","",IFERROR(IF(INDEX(원본명단!$E$3:$E$6002,MATCH("R"&amp;501,정리결과!$J$6:$J$6005,0))="","",INDEX(원본명단!$E$3:$E$6002,MATCH("R"&amp;501,정리결과!$J$6:$J$6005,0))),""))</f>
        <v/>
      </c>
      <c r="F506" s="10" t="str">
        <f aca="false">IF($A506="","",IFERROR(IF(INDEX(원본명단!$F$3:$F$6002,MATCH("R"&amp;501,정리결과!$J$6:$J$6005,0))="","",INDEX(원본명단!$F$3:$F$6002,MATCH("R"&amp;501,정리결과!$J$6:$J$6005,0))),""))</f>
        <v/>
      </c>
      <c r="H506" s="14" t="b">
        <f aca="false">IF(중복검사!$A504="",FALSE(),중복검사!$J504="유지")</f>
        <v>0</v>
      </c>
      <c r="I506" s="5" t="str">
        <f aca="false">IF($H506=FALSE(),"",COUNTIF($H$6:$H506,TRUE()))</f>
        <v/>
      </c>
      <c r="J506" s="5" t="str">
        <f aca="false">IF($I506="","","R"&amp;$I506)</f>
        <v/>
      </c>
    </row>
    <row r="507" customFormat="false" ht="15" hidden="false" customHeight="true" outlineLevel="0" collapsed="false">
      <c r="A507" s="10" t="str">
        <f aca="false">IFERROR(IF(INDEX(원본명단!$A$3:$A$6002,MATCH("R"&amp;502,정리결과!$J$6:$J$6005,0))="","",INDEX(원본명단!$A$3:$A$6002,MATCH("R"&amp;502,정리결과!$J$6:$J$6005,0))),"")</f>
        <v/>
      </c>
      <c r="B507" s="10" t="str">
        <f aca="false">IF($A507="","",IFERROR(IF(INDEX(원본명단!$B$3:$B$6002,MATCH("R"&amp;502,정리결과!$J$6:$J$6005,0))="","",INDEX(원본명단!$B$3:$B$6002,MATCH("R"&amp;502,정리결과!$J$6:$J$6005,0))),""))</f>
        <v/>
      </c>
      <c r="C507" s="10" t="str">
        <f aca="false">IF($A507="","",IFERROR(IF(INDEX(원본명단!$C$3:$C$6002,MATCH("R"&amp;502,정리결과!$J$6:$J$6005,0))="","",INDEX(원본명단!$C$3:$C$6002,MATCH("R"&amp;502,정리결과!$J$6:$J$6005,0))),""))</f>
        <v/>
      </c>
      <c r="D507" s="10" t="str">
        <f aca="false">IF($A507="","",IFERROR(IF(INDEX(원본명단!$D$3:$D$6002,MATCH("R"&amp;502,정리결과!$J$6:$J$6005,0))="","",INDEX(원본명단!$D$3:$D$6002,MATCH("R"&amp;502,정리결과!$J$6:$J$6005,0))),""))</f>
        <v/>
      </c>
      <c r="E507" s="10" t="str">
        <f aca="false">IF($A507="","",IFERROR(IF(INDEX(원본명단!$E$3:$E$6002,MATCH("R"&amp;502,정리결과!$J$6:$J$6005,0))="","",INDEX(원본명단!$E$3:$E$6002,MATCH("R"&amp;502,정리결과!$J$6:$J$6005,0))),""))</f>
        <v/>
      </c>
      <c r="F507" s="10" t="str">
        <f aca="false">IF($A507="","",IFERROR(IF(INDEX(원본명단!$F$3:$F$6002,MATCH("R"&amp;502,정리결과!$J$6:$J$6005,0))="","",INDEX(원본명단!$F$3:$F$6002,MATCH("R"&amp;502,정리결과!$J$6:$J$6005,0))),""))</f>
        <v/>
      </c>
      <c r="H507" s="14" t="b">
        <f aca="false">IF(중복검사!$A505="",FALSE(),중복검사!$J505="유지")</f>
        <v>0</v>
      </c>
      <c r="I507" s="5" t="str">
        <f aca="false">IF($H507=FALSE(),"",COUNTIF($H$6:$H507,TRUE()))</f>
        <v/>
      </c>
      <c r="J507" s="5" t="str">
        <f aca="false">IF($I507="","","R"&amp;$I507)</f>
        <v/>
      </c>
    </row>
    <row r="508" customFormat="false" ht="15" hidden="false" customHeight="true" outlineLevel="0" collapsed="false">
      <c r="A508" s="10" t="str">
        <f aca="false">IFERROR(IF(INDEX(원본명단!$A$3:$A$6002,MATCH("R"&amp;503,정리결과!$J$6:$J$6005,0))="","",INDEX(원본명단!$A$3:$A$6002,MATCH("R"&amp;503,정리결과!$J$6:$J$6005,0))),"")</f>
        <v/>
      </c>
      <c r="B508" s="10" t="str">
        <f aca="false">IF($A508="","",IFERROR(IF(INDEX(원본명단!$B$3:$B$6002,MATCH("R"&amp;503,정리결과!$J$6:$J$6005,0))="","",INDEX(원본명단!$B$3:$B$6002,MATCH("R"&amp;503,정리결과!$J$6:$J$6005,0))),""))</f>
        <v/>
      </c>
      <c r="C508" s="10" t="str">
        <f aca="false">IF($A508="","",IFERROR(IF(INDEX(원본명단!$C$3:$C$6002,MATCH("R"&amp;503,정리결과!$J$6:$J$6005,0))="","",INDEX(원본명단!$C$3:$C$6002,MATCH("R"&amp;503,정리결과!$J$6:$J$6005,0))),""))</f>
        <v/>
      </c>
      <c r="D508" s="10" t="str">
        <f aca="false">IF($A508="","",IFERROR(IF(INDEX(원본명단!$D$3:$D$6002,MATCH("R"&amp;503,정리결과!$J$6:$J$6005,0))="","",INDEX(원본명단!$D$3:$D$6002,MATCH("R"&amp;503,정리결과!$J$6:$J$6005,0))),""))</f>
        <v/>
      </c>
      <c r="E508" s="10" t="str">
        <f aca="false">IF($A508="","",IFERROR(IF(INDEX(원본명단!$E$3:$E$6002,MATCH("R"&amp;503,정리결과!$J$6:$J$6005,0))="","",INDEX(원본명단!$E$3:$E$6002,MATCH("R"&amp;503,정리결과!$J$6:$J$6005,0))),""))</f>
        <v/>
      </c>
      <c r="F508" s="10" t="str">
        <f aca="false">IF($A508="","",IFERROR(IF(INDEX(원본명단!$F$3:$F$6002,MATCH("R"&amp;503,정리결과!$J$6:$J$6005,0))="","",INDEX(원본명단!$F$3:$F$6002,MATCH("R"&amp;503,정리결과!$J$6:$J$6005,0))),""))</f>
        <v/>
      </c>
      <c r="H508" s="14" t="b">
        <f aca="false">IF(중복검사!$A506="",FALSE(),중복검사!$J506="유지")</f>
        <v>0</v>
      </c>
      <c r="I508" s="5" t="str">
        <f aca="false">IF($H508=FALSE(),"",COUNTIF($H$6:$H508,TRUE()))</f>
        <v/>
      </c>
      <c r="J508" s="5" t="str">
        <f aca="false">IF($I508="","","R"&amp;$I508)</f>
        <v/>
      </c>
    </row>
    <row r="509" customFormat="false" ht="15" hidden="false" customHeight="true" outlineLevel="0" collapsed="false">
      <c r="A509" s="10" t="str">
        <f aca="false">IFERROR(IF(INDEX(원본명단!$A$3:$A$6002,MATCH("R"&amp;504,정리결과!$J$6:$J$6005,0))="","",INDEX(원본명단!$A$3:$A$6002,MATCH("R"&amp;504,정리결과!$J$6:$J$6005,0))),"")</f>
        <v/>
      </c>
      <c r="B509" s="10" t="str">
        <f aca="false">IF($A509="","",IFERROR(IF(INDEX(원본명단!$B$3:$B$6002,MATCH("R"&amp;504,정리결과!$J$6:$J$6005,0))="","",INDEX(원본명단!$B$3:$B$6002,MATCH("R"&amp;504,정리결과!$J$6:$J$6005,0))),""))</f>
        <v/>
      </c>
      <c r="C509" s="10" t="str">
        <f aca="false">IF($A509="","",IFERROR(IF(INDEX(원본명단!$C$3:$C$6002,MATCH("R"&amp;504,정리결과!$J$6:$J$6005,0))="","",INDEX(원본명단!$C$3:$C$6002,MATCH("R"&amp;504,정리결과!$J$6:$J$6005,0))),""))</f>
        <v/>
      </c>
      <c r="D509" s="10" t="str">
        <f aca="false">IF($A509="","",IFERROR(IF(INDEX(원본명단!$D$3:$D$6002,MATCH("R"&amp;504,정리결과!$J$6:$J$6005,0))="","",INDEX(원본명단!$D$3:$D$6002,MATCH("R"&amp;504,정리결과!$J$6:$J$6005,0))),""))</f>
        <v/>
      </c>
      <c r="E509" s="10" t="str">
        <f aca="false">IF($A509="","",IFERROR(IF(INDEX(원본명단!$E$3:$E$6002,MATCH("R"&amp;504,정리결과!$J$6:$J$6005,0))="","",INDEX(원본명단!$E$3:$E$6002,MATCH("R"&amp;504,정리결과!$J$6:$J$6005,0))),""))</f>
        <v/>
      </c>
      <c r="F509" s="10" t="str">
        <f aca="false">IF($A509="","",IFERROR(IF(INDEX(원본명단!$F$3:$F$6002,MATCH("R"&amp;504,정리결과!$J$6:$J$6005,0))="","",INDEX(원본명단!$F$3:$F$6002,MATCH("R"&amp;504,정리결과!$J$6:$J$6005,0))),""))</f>
        <v/>
      </c>
      <c r="H509" s="14" t="b">
        <f aca="false">IF(중복검사!$A507="",FALSE(),중복검사!$J507="유지")</f>
        <v>0</v>
      </c>
      <c r="I509" s="5" t="str">
        <f aca="false">IF($H509=FALSE(),"",COUNTIF($H$6:$H509,TRUE()))</f>
        <v/>
      </c>
      <c r="J509" s="5" t="str">
        <f aca="false">IF($I509="","","R"&amp;$I509)</f>
        <v/>
      </c>
    </row>
    <row r="510" customFormat="false" ht="15" hidden="false" customHeight="true" outlineLevel="0" collapsed="false">
      <c r="A510" s="10" t="str">
        <f aca="false">IFERROR(IF(INDEX(원본명단!$A$3:$A$6002,MATCH("R"&amp;505,정리결과!$J$6:$J$6005,0))="","",INDEX(원본명단!$A$3:$A$6002,MATCH("R"&amp;505,정리결과!$J$6:$J$6005,0))),"")</f>
        <v/>
      </c>
      <c r="B510" s="10" t="str">
        <f aca="false">IF($A510="","",IFERROR(IF(INDEX(원본명단!$B$3:$B$6002,MATCH("R"&amp;505,정리결과!$J$6:$J$6005,0))="","",INDEX(원본명단!$B$3:$B$6002,MATCH("R"&amp;505,정리결과!$J$6:$J$6005,0))),""))</f>
        <v/>
      </c>
      <c r="C510" s="10" t="str">
        <f aca="false">IF($A510="","",IFERROR(IF(INDEX(원본명단!$C$3:$C$6002,MATCH("R"&amp;505,정리결과!$J$6:$J$6005,0))="","",INDEX(원본명단!$C$3:$C$6002,MATCH("R"&amp;505,정리결과!$J$6:$J$6005,0))),""))</f>
        <v/>
      </c>
      <c r="D510" s="10" t="str">
        <f aca="false">IF($A510="","",IFERROR(IF(INDEX(원본명단!$D$3:$D$6002,MATCH("R"&amp;505,정리결과!$J$6:$J$6005,0))="","",INDEX(원본명단!$D$3:$D$6002,MATCH("R"&amp;505,정리결과!$J$6:$J$6005,0))),""))</f>
        <v/>
      </c>
      <c r="E510" s="10" t="str">
        <f aca="false">IF($A510="","",IFERROR(IF(INDEX(원본명단!$E$3:$E$6002,MATCH("R"&amp;505,정리결과!$J$6:$J$6005,0))="","",INDEX(원본명단!$E$3:$E$6002,MATCH("R"&amp;505,정리결과!$J$6:$J$6005,0))),""))</f>
        <v/>
      </c>
      <c r="F510" s="10" t="str">
        <f aca="false">IF($A510="","",IFERROR(IF(INDEX(원본명단!$F$3:$F$6002,MATCH("R"&amp;505,정리결과!$J$6:$J$6005,0))="","",INDEX(원본명단!$F$3:$F$6002,MATCH("R"&amp;505,정리결과!$J$6:$J$6005,0))),""))</f>
        <v/>
      </c>
      <c r="H510" s="14" t="b">
        <f aca="false">IF(중복검사!$A508="",FALSE(),중복검사!$J508="유지")</f>
        <v>0</v>
      </c>
      <c r="I510" s="5" t="str">
        <f aca="false">IF($H510=FALSE(),"",COUNTIF($H$6:$H510,TRUE()))</f>
        <v/>
      </c>
      <c r="J510" s="5" t="str">
        <f aca="false">IF($I510="","","R"&amp;$I510)</f>
        <v/>
      </c>
    </row>
    <row r="511" customFormat="false" ht="15" hidden="false" customHeight="true" outlineLevel="0" collapsed="false">
      <c r="A511" s="10" t="str">
        <f aca="false">IFERROR(IF(INDEX(원본명단!$A$3:$A$6002,MATCH("R"&amp;506,정리결과!$J$6:$J$6005,0))="","",INDEX(원본명단!$A$3:$A$6002,MATCH("R"&amp;506,정리결과!$J$6:$J$6005,0))),"")</f>
        <v/>
      </c>
      <c r="B511" s="10" t="str">
        <f aca="false">IF($A511="","",IFERROR(IF(INDEX(원본명단!$B$3:$B$6002,MATCH("R"&amp;506,정리결과!$J$6:$J$6005,0))="","",INDEX(원본명단!$B$3:$B$6002,MATCH("R"&amp;506,정리결과!$J$6:$J$6005,0))),""))</f>
        <v/>
      </c>
      <c r="C511" s="10" t="str">
        <f aca="false">IF($A511="","",IFERROR(IF(INDEX(원본명단!$C$3:$C$6002,MATCH("R"&amp;506,정리결과!$J$6:$J$6005,0))="","",INDEX(원본명단!$C$3:$C$6002,MATCH("R"&amp;506,정리결과!$J$6:$J$6005,0))),""))</f>
        <v/>
      </c>
      <c r="D511" s="10" t="str">
        <f aca="false">IF($A511="","",IFERROR(IF(INDEX(원본명단!$D$3:$D$6002,MATCH("R"&amp;506,정리결과!$J$6:$J$6005,0))="","",INDEX(원본명단!$D$3:$D$6002,MATCH("R"&amp;506,정리결과!$J$6:$J$6005,0))),""))</f>
        <v/>
      </c>
      <c r="E511" s="10" t="str">
        <f aca="false">IF($A511="","",IFERROR(IF(INDEX(원본명단!$E$3:$E$6002,MATCH("R"&amp;506,정리결과!$J$6:$J$6005,0))="","",INDEX(원본명단!$E$3:$E$6002,MATCH("R"&amp;506,정리결과!$J$6:$J$6005,0))),""))</f>
        <v/>
      </c>
      <c r="F511" s="10" t="str">
        <f aca="false">IF($A511="","",IFERROR(IF(INDEX(원본명단!$F$3:$F$6002,MATCH("R"&amp;506,정리결과!$J$6:$J$6005,0))="","",INDEX(원본명단!$F$3:$F$6002,MATCH("R"&amp;506,정리결과!$J$6:$J$6005,0))),""))</f>
        <v/>
      </c>
      <c r="H511" s="14" t="b">
        <f aca="false">IF(중복검사!$A509="",FALSE(),중복검사!$J509="유지")</f>
        <v>0</v>
      </c>
      <c r="I511" s="5" t="str">
        <f aca="false">IF($H511=FALSE(),"",COUNTIF($H$6:$H511,TRUE()))</f>
        <v/>
      </c>
      <c r="J511" s="5" t="str">
        <f aca="false">IF($I511="","","R"&amp;$I511)</f>
        <v/>
      </c>
    </row>
    <row r="512" customFormat="false" ht="15" hidden="false" customHeight="true" outlineLevel="0" collapsed="false">
      <c r="A512" s="10" t="str">
        <f aca="false">IFERROR(IF(INDEX(원본명단!$A$3:$A$6002,MATCH("R"&amp;507,정리결과!$J$6:$J$6005,0))="","",INDEX(원본명단!$A$3:$A$6002,MATCH("R"&amp;507,정리결과!$J$6:$J$6005,0))),"")</f>
        <v/>
      </c>
      <c r="B512" s="10" t="str">
        <f aca="false">IF($A512="","",IFERROR(IF(INDEX(원본명단!$B$3:$B$6002,MATCH("R"&amp;507,정리결과!$J$6:$J$6005,0))="","",INDEX(원본명단!$B$3:$B$6002,MATCH("R"&amp;507,정리결과!$J$6:$J$6005,0))),""))</f>
        <v/>
      </c>
      <c r="C512" s="10" t="str">
        <f aca="false">IF($A512="","",IFERROR(IF(INDEX(원본명단!$C$3:$C$6002,MATCH("R"&amp;507,정리결과!$J$6:$J$6005,0))="","",INDEX(원본명단!$C$3:$C$6002,MATCH("R"&amp;507,정리결과!$J$6:$J$6005,0))),""))</f>
        <v/>
      </c>
      <c r="D512" s="10" t="str">
        <f aca="false">IF($A512="","",IFERROR(IF(INDEX(원본명단!$D$3:$D$6002,MATCH("R"&amp;507,정리결과!$J$6:$J$6005,0))="","",INDEX(원본명단!$D$3:$D$6002,MATCH("R"&amp;507,정리결과!$J$6:$J$6005,0))),""))</f>
        <v/>
      </c>
      <c r="E512" s="10" t="str">
        <f aca="false">IF($A512="","",IFERROR(IF(INDEX(원본명단!$E$3:$E$6002,MATCH("R"&amp;507,정리결과!$J$6:$J$6005,0))="","",INDEX(원본명단!$E$3:$E$6002,MATCH("R"&amp;507,정리결과!$J$6:$J$6005,0))),""))</f>
        <v/>
      </c>
      <c r="F512" s="10" t="str">
        <f aca="false">IF($A512="","",IFERROR(IF(INDEX(원본명단!$F$3:$F$6002,MATCH("R"&amp;507,정리결과!$J$6:$J$6005,0))="","",INDEX(원본명단!$F$3:$F$6002,MATCH("R"&amp;507,정리결과!$J$6:$J$6005,0))),""))</f>
        <v/>
      </c>
      <c r="H512" s="14" t="b">
        <f aca="false">IF(중복검사!$A510="",FALSE(),중복검사!$J510="유지")</f>
        <v>0</v>
      </c>
      <c r="I512" s="5" t="str">
        <f aca="false">IF($H512=FALSE(),"",COUNTIF($H$6:$H512,TRUE()))</f>
        <v/>
      </c>
      <c r="J512" s="5" t="str">
        <f aca="false">IF($I512="","","R"&amp;$I512)</f>
        <v/>
      </c>
    </row>
    <row r="513" customFormat="false" ht="15" hidden="false" customHeight="true" outlineLevel="0" collapsed="false">
      <c r="A513" s="10" t="str">
        <f aca="false">IFERROR(IF(INDEX(원본명단!$A$3:$A$6002,MATCH("R"&amp;508,정리결과!$J$6:$J$6005,0))="","",INDEX(원본명단!$A$3:$A$6002,MATCH("R"&amp;508,정리결과!$J$6:$J$6005,0))),"")</f>
        <v/>
      </c>
      <c r="B513" s="10" t="str">
        <f aca="false">IF($A513="","",IFERROR(IF(INDEX(원본명단!$B$3:$B$6002,MATCH("R"&amp;508,정리결과!$J$6:$J$6005,0))="","",INDEX(원본명단!$B$3:$B$6002,MATCH("R"&amp;508,정리결과!$J$6:$J$6005,0))),""))</f>
        <v/>
      </c>
      <c r="C513" s="10" t="str">
        <f aca="false">IF($A513="","",IFERROR(IF(INDEX(원본명단!$C$3:$C$6002,MATCH("R"&amp;508,정리결과!$J$6:$J$6005,0))="","",INDEX(원본명단!$C$3:$C$6002,MATCH("R"&amp;508,정리결과!$J$6:$J$6005,0))),""))</f>
        <v/>
      </c>
      <c r="D513" s="10" t="str">
        <f aca="false">IF($A513="","",IFERROR(IF(INDEX(원본명단!$D$3:$D$6002,MATCH("R"&amp;508,정리결과!$J$6:$J$6005,0))="","",INDEX(원본명단!$D$3:$D$6002,MATCH("R"&amp;508,정리결과!$J$6:$J$6005,0))),""))</f>
        <v/>
      </c>
      <c r="E513" s="10" t="str">
        <f aca="false">IF($A513="","",IFERROR(IF(INDEX(원본명단!$E$3:$E$6002,MATCH("R"&amp;508,정리결과!$J$6:$J$6005,0))="","",INDEX(원본명단!$E$3:$E$6002,MATCH("R"&amp;508,정리결과!$J$6:$J$6005,0))),""))</f>
        <v/>
      </c>
      <c r="F513" s="10" t="str">
        <f aca="false">IF($A513="","",IFERROR(IF(INDEX(원본명단!$F$3:$F$6002,MATCH("R"&amp;508,정리결과!$J$6:$J$6005,0))="","",INDEX(원본명단!$F$3:$F$6002,MATCH("R"&amp;508,정리결과!$J$6:$J$6005,0))),""))</f>
        <v/>
      </c>
      <c r="H513" s="14" t="b">
        <f aca="false">IF(중복검사!$A511="",FALSE(),중복검사!$J511="유지")</f>
        <v>0</v>
      </c>
      <c r="I513" s="5" t="str">
        <f aca="false">IF($H513=FALSE(),"",COUNTIF($H$6:$H513,TRUE()))</f>
        <v/>
      </c>
      <c r="J513" s="5" t="str">
        <f aca="false">IF($I513="","","R"&amp;$I513)</f>
        <v/>
      </c>
    </row>
    <row r="514" customFormat="false" ht="15" hidden="false" customHeight="true" outlineLevel="0" collapsed="false">
      <c r="A514" s="10" t="str">
        <f aca="false">IFERROR(IF(INDEX(원본명단!$A$3:$A$6002,MATCH("R"&amp;509,정리결과!$J$6:$J$6005,0))="","",INDEX(원본명단!$A$3:$A$6002,MATCH("R"&amp;509,정리결과!$J$6:$J$6005,0))),"")</f>
        <v/>
      </c>
      <c r="B514" s="10" t="str">
        <f aca="false">IF($A514="","",IFERROR(IF(INDEX(원본명단!$B$3:$B$6002,MATCH("R"&amp;509,정리결과!$J$6:$J$6005,0))="","",INDEX(원본명단!$B$3:$B$6002,MATCH("R"&amp;509,정리결과!$J$6:$J$6005,0))),""))</f>
        <v/>
      </c>
      <c r="C514" s="10" t="str">
        <f aca="false">IF($A514="","",IFERROR(IF(INDEX(원본명단!$C$3:$C$6002,MATCH("R"&amp;509,정리결과!$J$6:$J$6005,0))="","",INDEX(원본명단!$C$3:$C$6002,MATCH("R"&amp;509,정리결과!$J$6:$J$6005,0))),""))</f>
        <v/>
      </c>
      <c r="D514" s="10" t="str">
        <f aca="false">IF($A514="","",IFERROR(IF(INDEX(원본명단!$D$3:$D$6002,MATCH("R"&amp;509,정리결과!$J$6:$J$6005,0))="","",INDEX(원본명단!$D$3:$D$6002,MATCH("R"&amp;509,정리결과!$J$6:$J$6005,0))),""))</f>
        <v/>
      </c>
      <c r="E514" s="10" t="str">
        <f aca="false">IF($A514="","",IFERROR(IF(INDEX(원본명단!$E$3:$E$6002,MATCH("R"&amp;509,정리결과!$J$6:$J$6005,0))="","",INDEX(원본명단!$E$3:$E$6002,MATCH("R"&amp;509,정리결과!$J$6:$J$6005,0))),""))</f>
        <v/>
      </c>
      <c r="F514" s="10" t="str">
        <f aca="false">IF($A514="","",IFERROR(IF(INDEX(원본명단!$F$3:$F$6002,MATCH("R"&amp;509,정리결과!$J$6:$J$6005,0))="","",INDEX(원본명단!$F$3:$F$6002,MATCH("R"&amp;509,정리결과!$J$6:$J$6005,0))),""))</f>
        <v/>
      </c>
      <c r="H514" s="14" t="b">
        <f aca="false">IF(중복검사!$A512="",FALSE(),중복검사!$J512="유지")</f>
        <v>0</v>
      </c>
      <c r="I514" s="5" t="str">
        <f aca="false">IF($H514=FALSE(),"",COUNTIF($H$6:$H514,TRUE()))</f>
        <v/>
      </c>
      <c r="J514" s="5" t="str">
        <f aca="false">IF($I514="","","R"&amp;$I514)</f>
        <v/>
      </c>
    </row>
    <row r="515" customFormat="false" ht="15" hidden="false" customHeight="true" outlineLevel="0" collapsed="false">
      <c r="A515" s="10" t="str">
        <f aca="false">IFERROR(IF(INDEX(원본명단!$A$3:$A$6002,MATCH("R"&amp;510,정리결과!$J$6:$J$6005,0))="","",INDEX(원본명단!$A$3:$A$6002,MATCH("R"&amp;510,정리결과!$J$6:$J$6005,0))),"")</f>
        <v/>
      </c>
      <c r="B515" s="10" t="str">
        <f aca="false">IF($A515="","",IFERROR(IF(INDEX(원본명단!$B$3:$B$6002,MATCH("R"&amp;510,정리결과!$J$6:$J$6005,0))="","",INDEX(원본명단!$B$3:$B$6002,MATCH("R"&amp;510,정리결과!$J$6:$J$6005,0))),""))</f>
        <v/>
      </c>
      <c r="C515" s="10" t="str">
        <f aca="false">IF($A515="","",IFERROR(IF(INDEX(원본명단!$C$3:$C$6002,MATCH("R"&amp;510,정리결과!$J$6:$J$6005,0))="","",INDEX(원본명단!$C$3:$C$6002,MATCH("R"&amp;510,정리결과!$J$6:$J$6005,0))),""))</f>
        <v/>
      </c>
      <c r="D515" s="10" t="str">
        <f aca="false">IF($A515="","",IFERROR(IF(INDEX(원본명단!$D$3:$D$6002,MATCH("R"&amp;510,정리결과!$J$6:$J$6005,0))="","",INDEX(원본명단!$D$3:$D$6002,MATCH("R"&amp;510,정리결과!$J$6:$J$6005,0))),""))</f>
        <v/>
      </c>
      <c r="E515" s="10" t="str">
        <f aca="false">IF($A515="","",IFERROR(IF(INDEX(원본명단!$E$3:$E$6002,MATCH("R"&amp;510,정리결과!$J$6:$J$6005,0))="","",INDEX(원본명단!$E$3:$E$6002,MATCH("R"&amp;510,정리결과!$J$6:$J$6005,0))),""))</f>
        <v/>
      </c>
      <c r="F515" s="10" t="str">
        <f aca="false">IF($A515="","",IFERROR(IF(INDEX(원본명단!$F$3:$F$6002,MATCH("R"&amp;510,정리결과!$J$6:$J$6005,0))="","",INDEX(원본명단!$F$3:$F$6002,MATCH("R"&amp;510,정리결과!$J$6:$J$6005,0))),""))</f>
        <v/>
      </c>
      <c r="H515" s="14" t="b">
        <f aca="false">IF(중복검사!$A513="",FALSE(),중복검사!$J513="유지")</f>
        <v>0</v>
      </c>
      <c r="I515" s="5" t="str">
        <f aca="false">IF($H515=FALSE(),"",COUNTIF($H$6:$H515,TRUE()))</f>
        <v/>
      </c>
      <c r="J515" s="5" t="str">
        <f aca="false">IF($I515="","","R"&amp;$I515)</f>
        <v/>
      </c>
    </row>
    <row r="516" customFormat="false" ht="15" hidden="false" customHeight="true" outlineLevel="0" collapsed="false">
      <c r="A516" s="10" t="str">
        <f aca="false">IFERROR(IF(INDEX(원본명단!$A$3:$A$6002,MATCH("R"&amp;511,정리결과!$J$6:$J$6005,0))="","",INDEX(원본명단!$A$3:$A$6002,MATCH("R"&amp;511,정리결과!$J$6:$J$6005,0))),"")</f>
        <v/>
      </c>
      <c r="B516" s="10" t="str">
        <f aca="false">IF($A516="","",IFERROR(IF(INDEX(원본명단!$B$3:$B$6002,MATCH("R"&amp;511,정리결과!$J$6:$J$6005,0))="","",INDEX(원본명단!$B$3:$B$6002,MATCH("R"&amp;511,정리결과!$J$6:$J$6005,0))),""))</f>
        <v/>
      </c>
      <c r="C516" s="10" t="str">
        <f aca="false">IF($A516="","",IFERROR(IF(INDEX(원본명단!$C$3:$C$6002,MATCH("R"&amp;511,정리결과!$J$6:$J$6005,0))="","",INDEX(원본명단!$C$3:$C$6002,MATCH("R"&amp;511,정리결과!$J$6:$J$6005,0))),""))</f>
        <v/>
      </c>
      <c r="D516" s="10" t="str">
        <f aca="false">IF($A516="","",IFERROR(IF(INDEX(원본명단!$D$3:$D$6002,MATCH("R"&amp;511,정리결과!$J$6:$J$6005,0))="","",INDEX(원본명단!$D$3:$D$6002,MATCH("R"&amp;511,정리결과!$J$6:$J$6005,0))),""))</f>
        <v/>
      </c>
      <c r="E516" s="10" t="str">
        <f aca="false">IF($A516="","",IFERROR(IF(INDEX(원본명단!$E$3:$E$6002,MATCH("R"&amp;511,정리결과!$J$6:$J$6005,0))="","",INDEX(원본명단!$E$3:$E$6002,MATCH("R"&amp;511,정리결과!$J$6:$J$6005,0))),""))</f>
        <v/>
      </c>
      <c r="F516" s="10" t="str">
        <f aca="false">IF($A516="","",IFERROR(IF(INDEX(원본명단!$F$3:$F$6002,MATCH("R"&amp;511,정리결과!$J$6:$J$6005,0))="","",INDEX(원본명단!$F$3:$F$6002,MATCH("R"&amp;511,정리결과!$J$6:$J$6005,0))),""))</f>
        <v/>
      </c>
      <c r="H516" s="14" t="b">
        <f aca="false">IF(중복검사!$A514="",FALSE(),중복검사!$J514="유지")</f>
        <v>0</v>
      </c>
      <c r="I516" s="5" t="str">
        <f aca="false">IF($H516=FALSE(),"",COUNTIF($H$6:$H516,TRUE()))</f>
        <v/>
      </c>
      <c r="J516" s="5" t="str">
        <f aca="false">IF($I516="","","R"&amp;$I516)</f>
        <v/>
      </c>
    </row>
    <row r="517" customFormat="false" ht="15" hidden="false" customHeight="true" outlineLevel="0" collapsed="false">
      <c r="A517" s="10" t="str">
        <f aca="false">IFERROR(IF(INDEX(원본명단!$A$3:$A$6002,MATCH("R"&amp;512,정리결과!$J$6:$J$6005,0))="","",INDEX(원본명단!$A$3:$A$6002,MATCH("R"&amp;512,정리결과!$J$6:$J$6005,0))),"")</f>
        <v/>
      </c>
      <c r="B517" s="10" t="str">
        <f aca="false">IF($A517="","",IFERROR(IF(INDEX(원본명단!$B$3:$B$6002,MATCH("R"&amp;512,정리결과!$J$6:$J$6005,0))="","",INDEX(원본명단!$B$3:$B$6002,MATCH("R"&amp;512,정리결과!$J$6:$J$6005,0))),""))</f>
        <v/>
      </c>
      <c r="C517" s="10" t="str">
        <f aca="false">IF($A517="","",IFERROR(IF(INDEX(원본명단!$C$3:$C$6002,MATCH("R"&amp;512,정리결과!$J$6:$J$6005,0))="","",INDEX(원본명단!$C$3:$C$6002,MATCH("R"&amp;512,정리결과!$J$6:$J$6005,0))),""))</f>
        <v/>
      </c>
      <c r="D517" s="10" t="str">
        <f aca="false">IF($A517="","",IFERROR(IF(INDEX(원본명단!$D$3:$D$6002,MATCH("R"&amp;512,정리결과!$J$6:$J$6005,0))="","",INDEX(원본명단!$D$3:$D$6002,MATCH("R"&amp;512,정리결과!$J$6:$J$6005,0))),""))</f>
        <v/>
      </c>
      <c r="E517" s="10" t="str">
        <f aca="false">IF($A517="","",IFERROR(IF(INDEX(원본명단!$E$3:$E$6002,MATCH("R"&amp;512,정리결과!$J$6:$J$6005,0))="","",INDEX(원본명단!$E$3:$E$6002,MATCH("R"&amp;512,정리결과!$J$6:$J$6005,0))),""))</f>
        <v/>
      </c>
      <c r="F517" s="10" t="str">
        <f aca="false">IF($A517="","",IFERROR(IF(INDEX(원본명단!$F$3:$F$6002,MATCH("R"&amp;512,정리결과!$J$6:$J$6005,0))="","",INDEX(원본명단!$F$3:$F$6002,MATCH("R"&amp;512,정리결과!$J$6:$J$6005,0))),""))</f>
        <v/>
      </c>
      <c r="H517" s="14" t="b">
        <f aca="false">IF(중복검사!$A515="",FALSE(),중복검사!$J515="유지")</f>
        <v>0</v>
      </c>
      <c r="I517" s="5" t="str">
        <f aca="false">IF($H517=FALSE(),"",COUNTIF($H$6:$H517,TRUE()))</f>
        <v/>
      </c>
      <c r="J517" s="5" t="str">
        <f aca="false">IF($I517="","","R"&amp;$I517)</f>
        <v/>
      </c>
    </row>
    <row r="518" customFormat="false" ht="15" hidden="false" customHeight="true" outlineLevel="0" collapsed="false">
      <c r="A518" s="10" t="str">
        <f aca="false">IFERROR(IF(INDEX(원본명단!$A$3:$A$6002,MATCH("R"&amp;513,정리결과!$J$6:$J$6005,0))="","",INDEX(원본명단!$A$3:$A$6002,MATCH("R"&amp;513,정리결과!$J$6:$J$6005,0))),"")</f>
        <v/>
      </c>
      <c r="B518" s="10" t="str">
        <f aca="false">IF($A518="","",IFERROR(IF(INDEX(원본명단!$B$3:$B$6002,MATCH("R"&amp;513,정리결과!$J$6:$J$6005,0))="","",INDEX(원본명단!$B$3:$B$6002,MATCH("R"&amp;513,정리결과!$J$6:$J$6005,0))),""))</f>
        <v/>
      </c>
      <c r="C518" s="10" t="str">
        <f aca="false">IF($A518="","",IFERROR(IF(INDEX(원본명단!$C$3:$C$6002,MATCH("R"&amp;513,정리결과!$J$6:$J$6005,0))="","",INDEX(원본명단!$C$3:$C$6002,MATCH("R"&amp;513,정리결과!$J$6:$J$6005,0))),""))</f>
        <v/>
      </c>
      <c r="D518" s="10" t="str">
        <f aca="false">IF($A518="","",IFERROR(IF(INDEX(원본명단!$D$3:$D$6002,MATCH("R"&amp;513,정리결과!$J$6:$J$6005,0))="","",INDEX(원본명단!$D$3:$D$6002,MATCH("R"&amp;513,정리결과!$J$6:$J$6005,0))),""))</f>
        <v/>
      </c>
      <c r="E518" s="10" t="str">
        <f aca="false">IF($A518="","",IFERROR(IF(INDEX(원본명단!$E$3:$E$6002,MATCH("R"&amp;513,정리결과!$J$6:$J$6005,0))="","",INDEX(원본명단!$E$3:$E$6002,MATCH("R"&amp;513,정리결과!$J$6:$J$6005,0))),""))</f>
        <v/>
      </c>
      <c r="F518" s="10" t="str">
        <f aca="false">IF($A518="","",IFERROR(IF(INDEX(원본명단!$F$3:$F$6002,MATCH("R"&amp;513,정리결과!$J$6:$J$6005,0))="","",INDEX(원본명단!$F$3:$F$6002,MATCH("R"&amp;513,정리결과!$J$6:$J$6005,0))),""))</f>
        <v/>
      </c>
      <c r="H518" s="14" t="b">
        <f aca="false">IF(중복검사!$A516="",FALSE(),중복검사!$J516="유지")</f>
        <v>0</v>
      </c>
      <c r="I518" s="5" t="str">
        <f aca="false">IF($H518=FALSE(),"",COUNTIF($H$6:$H518,TRUE()))</f>
        <v/>
      </c>
      <c r="J518" s="5" t="str">
        <f aca="false">IF($I518="","","R"&amp;$I518)</f>
        <v/>
      </c>
    </row>
    <row r="519" customFormat="false" ht="15" hidden="false" customHeight="true" outlineLevel="0" collapsed="false">
      <c r="A519" s="10" t="str">
        <f aca="false">IFERROR(IF(INDEX(원본명단!$A$3:$A$6002,MATCH("R"&amp;514,정리결과!$J$6:$J$6005,0))="","",INDEX(원본명단!$A$3:$A$6002,MATCH("R"&amp;514,정리결과!$J$6:$J$6005,0))),"")</f>
        <v/>
      </c>
      <c r="B519" s="10" t="str">
        <f aca="false">IF($A519="","",IFERROR(IF(INDEX(원본명단!$B$3:$B$6002,MATCH("R"&amp;514,정리결과!$J$6:$J$6005,0))="","",INDEX(원본명단!$B$3:$B$6002,MATCH("R"&amp;514,정리결과!$J$6:$J$6005,0))),""))</f>
        <v/>
      </c>
      <c r="C519" s="10" t="str">
        <f aca="false">IF($A519="","",IFERROR(IF(INDEX(원본명단!$C$3:$C$6002,MATCH("R"&amp;514,정리결과!$J$6:$J$6005,0))="","",INDEX(원본명단!$C$3:$C$6002,MATCH("R"&amp;514,정리결과!$J$6:$J$6005,0))),""))</f>
        <v/>
      </c>
      <c r="D519" s="10" t="str">
        <f aca="false">IF($A519="","",IFERROR(IF(INDEX(원본명단!$D$3:$D$6002,MATCH("R"&amp;514,정리결과!$J$6:$J$6005,0))="","",INDEX(원본명단!$D$3:$D$6002,MATCH("R"&amp;514,정리결과!$J$6:$J$6005,0))),""))</f>
        <v/>
      </c>
      <c r="E519" s="10" t="str">
        <f aca="false">IF($A519="","",IFERROR(IF(INDEX(원본명단!$E$3:$E$6002,MATCH("R"&amp;514,정리결과!$J$6:$J$6005,0))="","",INDEX(원본명단!$E$3:$E$6002,MATCH("R"&amp;514,정리결과!$J$6:$J$6005,0))),""))</f>
        <v/>
      </c>
      <c r="F519" s="10" t="str">
        <f aca="false">IF($A519="","",IFERROR(IF(INDEX(원본명단!$F$3:$F$6002,MATCH("R"&amp;514,정리결과!$J$6:$J$6005,0))="","",INDEX(원본명단!$F$3:$F$6002,MATCH("R"&amp;514,정리결과!$J$6:$J$6005,0))),""))</f>
        <v/>
      </c>
      <c r="H519" s="14" t="b">
        <f aca="false">IF(중복검사!$A517="",FALSE(),중복검사!$J517="유지")</f>
        <v>0</v>
      </c>
      <c r="I519" s="5" t="str">
        <f aca="false">IF($H519=FALSE(),"",COUNTIF($H$6:$H519,TRUE()))</f>
        <v/>
      </c>
      <c r="J519" s="5" t="str">
        <f aca="false">IF($I519="","","R"&amp;$I519)</f>
        <v/>
      </c>
    </row>
    <row r="520" customFormat="false" ht="15" hidden="false" customHeight="true" outlineLevel="0" collapsed="false">
      <c r="A520" s="10" t="str">
        <f aca="false">IFERROR(IF(INDEX(원본명단!$A$3:$A$6002,MATCH("R"&amp;515,정리결과!$J$6:$J$6005,0))="","",INDEX(원본명단!$A$3:$A$6002,MATCH("R"&amp;515,정리결과!$J$6:$J$6005,0))),"")</f>
        <v/>
      </c>
      <c r="B520" s="10" t="str">
        <f aca="false">IF($A520="","",IFERROR(IF(INDEX(원본명단!$B$3:$B$6002,MATCH("R"&amp;515,정리결과!$J$6:$J$6005,0))="","",INDEX(원본명단!$B$3:$B$6002,MATCH("R"&amp;515,정리결과!$J$6:$J$6005,0))),""))</f>
        <v/>
      </c>
      <c r="C520" s="10" t="str">
        <f aca="false">IF($A520="","",IFERROR(IF(INDEX(원본명단!$C$3:$C$6002,MATCH("R"&amp;515,정리결과!$J$6:$J$6005,0))="","",INDEX(원본명단!$C$3:$C$6002,MATCH("R"&amp;515,정리결과!$J$6:$J$6005,0))),""))</f>
        <v/>
      </c>
      <c r="D520" s="10" t="str">
        <f aca="false">IF($A520="","",IFERROR(IF(INDEX(원본명단!$D$3:$D$6002,MATCH("R"&amp;515,정리결과!$J$6:$J$6005,0))="","",INDEX(원본명단!$D$3:$D$6002,MATCH("R"&amp;515,정리결과!$J$6:$J$6005,0))),""))</f>
        <v/>
      </c>
      <c r="E520" s="10" t="str">
        <f aca="false">IF($A520="","",IFERROR(IF(INDEX(원본명단!$E$3:$E$6002,MATCH("R"&amp;515,정리결과!$J$6:$J$6005,0))="","",INDEX(원본명단!$E$3:$E$6002,MATCH("R"&amp;515,정리결과!$J$6:$J$6005,0))),""))</f>
        <v/>
      </c>
      <c r="F520" s="10" t="str">
        <f aca="false">IF($A520="","",IFERROR(IF(INDEX(원본명단!$F$3:$F$6002,MATCH("R"&amp;515,정리결과!$J$6:$J$6005,0))="","",INDEX(원본명단!$F$3:$F$6002,MATCH("R"&amp;515,정리결과!$J$6:$J$6005,0))),""))</f>
        <v/>
      </c>
      <c r="H520" s="14" t="b">
        <f aca="false">IF(중복검사!$A518="",FALSE(),중복검사!$J518="유지")</f>
        <v>0</v>
      </c>
      <c r="I520" s="5" t="str">
        <f aca="false">IF($H520=FALSE(),"",COUNTIF($H$6:$H520,TRUE()))</f>
        <v/>
      </c>
      <c r="J520" s="5" t="str">
        <f aca="false">IF($I520="","","R"&amp;$I520)</f>
        <v/>
      </c>
    </row>
    <row r="521" customFormat="false" ht="15" hidden="false" customHeight="true" outlineLevel="0" collapsed="false">
      <c r="A521" s="10" t="str">
        <f aca="false">IFERROR(IF(INDEX(원본명단!$A$3:$A$6002,MATCH("R"&amp;516,정리결과!$J$6:$J$6005,0))="","",INDEX(원본명단!$A$3:$A$6002,MATCH("R"&amp;516,정리결과!$J$6:$J$6005,0))),"")</f>
        <v/>
      </c>
      <c r="B521" s="10" t="str">
        <f aca="false">IF($A521="","",IFERROR(IF(INDEX(원본명단!$B$3:$B$6002,MATCH("R"&amp;516,정리결과!$J$6:$J$6005,0))="","",INDEX(원본명단!$B$3:$B$6002,MATCH("R"&amp;516,정리결과!$J$6:$J$6005,0))),""))</f>
        <v/>
      </c>
      <c r="C521" s="10" t="str">
        <f aca="false">IF($A521="","",IFERROR(IF(INDEX(원본명단!$C$3:$C$6002,MATCH("R"&amp;516,정리결과!$J$6:$J$6005,0))="","",INDEX(원본명단!$C$3:$C$6002,MATCH("R"&amp;516,정리결과!$J$6:$J$6005,0))),""))</f>
        <v/>
      </c>
      <c r="D521" s="10" t="str">
        <f aca="false">IF($A521="","",IFERROR(IF(INDEX(원본명단!$D$3:$D$6002,MATCH("R"&amp;516,정리결과!$J$6:$J$6005,0))="","",INDEX(원본명단!$D$3:$D$6002,MATCH("R"&amp;516,정리결과!$J$6:$J$6005,0))),""))</f>
        <v/>
      </c>
      <c r="E521" s="10" t="str">
        <f aca="false">IF($A521="","",IFERROR(IF(INDEX(원본명단!$E$3:$E$6002,MATCH("R"&amp;516,정리결과!$J$6:$J$6005,0))="","",INDEX(원본명단!$E$3:$E$6002,MATCH("R"&amp;516,정리결과!$J$6:$J$6005,0))),""))</f>
        <v/>
      </c>
      <c r="F521" s="10" t="str">
        <f aca="false">IF($A521="","",IFERROR(IF(INDEX(원본명단!$F$3:$F$6002,MATCH("R"&amp;516,정리결과!$J$6:$J$6005,0))="","",INDEX(원본명단!$F$3:$F$6002,MATCH("R"&amp;516,정리결과!$J$6:$J$6005,0))),""))</f>
        <v/>
      </c>
      <c r="H521" s="14" t="b">
        <f aca="false">IF(중복검사!$A519="",FALSE(),중복검사!$J519="유지")</f>
        <v>0</v>
      </c>
      <c r="I521" s="5" t="str">
        <f aca="false">IF($H521=FALSE(),"",COUNTIF($H$6:$H521,TRUE()))</f>
        <v/>
      </c>
      <c r="J521" s="5" t="str">
        <f aca="false">IF($I521="","","R"&amp;$I521)</f>
        <v/>
      </c>
    </row>
    <row r="522" customFormat="false" ht="15" hidden="false" customHeight="true" outlineLevel="0" collapsed="false">
      <c r="A522" s="10" t="str">
        <f aca="false">IFERROR(IF(INDEX(원본명단!$A$3:$A$6002,MATCH("R"&amp;517,정리결과!$J$6:$J$6005,0))="","",INDEX(원본명단!$A$3:$A$6002,MATCH("R"&amp;517,정리결과!$J$6:$J$6005,0))),"")</f>
        <v/>
      </c>
      <c r="B522" s="10" t="str">
        <f aca="false">IF($A522="","",IFERROR(IF(INDEX(원본명단!$B$3:$B$6002,MATCH("R"&amp;517,정리결과!$J$6:$J$6005,0))="","",INDEX(원본명단!$B$3:$B$6002,MATCH("R"&amp;517,정리결과!$J$6:$J$6005,0))),""))</f>
        <v/>
      </c>
      <c r="C522" s="10" t="str">
        <f aca="false">IF($A522="","",IFERROR(IF(INDEX(원본명단!$C$3:$C$6002,MATCH("R"&amp;517,정리결과!$J$6:$J$6005,0))="","",INDEX(원본명단!$C$3:$C$6002,MATCH("R"&amp;517,정리결과!$J$6:$J$6005,0))),""))</f>
        <v/>
      </c>
      <c r="D522" s="10" t="str">
        <f aca="false">IF($A522="","",IFERROR(IF(INDEX(원본명단!$D$3:$D$6002,MATCH("R"&amp;517,정리결과!$J$6:$J$6005,0))="","",INDEX(원본명단!$D$3:$D$6002,MATCH("R"&amp;517,정리결과!$J$6:$J$6005,0))),""))</f>
        <v/>
      </c>
      <c r="E522" s="10" t="str">
        <f aca="false">IF($A522="","",IFERROR(IF(INDEX(원본명단!$E$3:$E$6002,MATCH("R"&amp;517,정리결과!$J$6:$J$6005,0))="","",INDEX(원본명단!$E$3:$E$6002,MATCH("R"&amp;517,정리결과!$J$6:$J$6005,0))),""))</f>
        <v/>
      </c>
      <c r="F522" s="10" t="str">
        <f aca="false">IF($A522="","",IFERROR(IF(INDEX(원본명단!$F$3:$F$6002,MATCH("R"&amp;517,정리결과!$J$6:$J$6005,0))="","",INDEX(원본명단!$F$3:$F$6002,MATCH("R"&amp;517,정리결과!$J$6:$J$6005,0))),""))</f>
        <v/>
      </c>
      <c r="H522" s="14" t="b">
        <f aca="false">IF(중복검사!$A520="",FALSE(),중복검사!$J520="유지")</f>
        <v>0</v>
      </c>
      <c r="I522" s="5" t="str">
        <f aca="false">IF($H522=FALSE(),"",COUNTIF($H$6:$H522,TRUE()))</f>
        <v/>
      </c>
      <c r="J522" s="5" t="str">
        <f aca="false">IF($I522="","","R"&amp;$I522)</f>
        <v/>
      </c>
    </row>
    <row r="523" customFormat="false" ht="15" hidden="false" customHeight="true" outlineLevel="0" collapsed="false">
      <c r="A523" s="10" t="str">
        <f aca="false">IFERROR(IF(INDEX(원본명단!$A$3:$A$6002,MATCH("R"&amp;518,정리결과!$J$6:$J$6005,0))="","",INDEX(원본명단!$A$3:$A$6002,MATCH("R"&amp;518,정리결과!$J$6:$J$6005,0))),"")</f>
        <v/>
      </c>
      <c r="B523" s="10" t="str">
        <f aca="false">IF($A523="","",IFERROR(IF(INDEX(원본명단!$B$3:$B$6002,MATCH("R"&amp;518,정리결과!$J$6:$J$6005,0))="","",INDEX(원본명단!$B$3:$B$6002,MATCH("R"&amp;518,정리결과!$J$6:$J$6005,0))),""))</f>
        <v/>
      </c>
      <c r="C523" s="10" t="str">
        <f aca="false">IF($A523="","",IFERROR(IF(INDEX(원본명단!$C$3:$C$6002,MATCH("R"&amp;518,정리결과!$J$6:$J$6005,0))="","",INDEX(원본명단!$C$3:$C$6002,MATCH("R"&amp;518,정리결과!$J$6:$J$6005,0))),""))</f>
        <v/>
      </c>
      <c r="D523" s="10" t="str">
        <f aca="false">IF($A523="","",IFERROR(IF(INDEX(원본명단!$D$3:$D$6002,MATCH("R"&amp;518,정리결과!$J$6:$J$6005,0))="","",INDEX(원본명단!$D$3:$D$6002,MATCH("R"&amp;518,정리결과!$J$6:$J$6005,0))),""))</f>
        <v/>
      </c>
      <c r="E523" s="10" t="str">
        <f aca="false">IF($A523="","",IFERROR(IF(INDEX(원본명단!$E$3:$E$6002,MATCH("R"&amp;518,정리결과!$J$6:$J$6005,0))="","",INDEX(원본명단!$E$3:$E$6002,MATCH("R"&amp;518,정리결과!$J$6:$J$6005,0))),""))</f>
        <v/>
      </c>
      <c r="F523" s="10" t="str">
        <f aca="false">IF($A523="","",IFERROR(IF(INDEX(원본명단!$F$3:$F$6002,MATCH("R"&amp;518,정리결과!$J$6:$J$6005,0))="","",INDEX(원본명단!$F$3:$F$6002,MATCH("R"&amp;518,정리결과!$J$6:$J$6005,0))),""))</f>
        <v/>
      </c>
      <c r="H523" s="14" t="b">
        <f aca="false">IF(중복검사!$A521="",FALSE(),중복검사!$J521="유지")</f>
        <v>0</v>
      </c>
      <c r="I523" s="5" t="str">
        <f aca="false">IF($H523=FALSE(),"",COUNTIF($H$6:$H523,TRUE()))</f>
        <v/>
      </c>
      <c r="J523" s="5" t="str">
        <f aca="false">IF($I523="","","R"&amp;$I523)</f>
        <v/>
      </c>
    </row>
    <row r="524" customFormat="false" ht="15" hidden="false" customHeight="true" outlineLevel="0" collapsed="false">
      <c r="A524" s="10" t="str">
        <f aca="false">IFERROR(IF(INDEX(원본명단!$A$3:$A$6002,MATCH("R"&amp;519,정리결과!$J$6:$J$6005,0))="","",INDEX(원본명단!$A$3:$A$6002,MATCH("R"&amp;519,정리결과!$J$6:$J$6005,0))),"")</f>
        <v/>
      </c>
      <c r="B524" s="10" t="str">
        <f aca="false">IF($A524="","",IFERROR(IF(INDEX(원본명단!$B$3:$B$6002,MATCH("R"&amp;519,정리결과!$J$6:$J$6005,0))="","",INDEX(원본명단!$B$3:$B$6002,MATCH("R"&amp;519,정리결과!$J$6:$J$6005,0))),""))</f>
        <v/>
      </c>
      <c r="C524" s="10" t="str">
        <f aca="false">IF($A524="","",IFERROR(IF(INDEX(원본명단!$C$3:$C$6002,MATCH("R"&amp;519,정리결과!$J$6:$J$6005,0))="","",INDEX(원본명단!$C$3:$C$6002,MATCH("R"&amp;519,정리결과!$J$6:$J$6005,0))),""))</f>
        <v/>
      </c>
      <c r="D524" s="10" t="str">
        <f aca="false">IF($A524="","",IFERROR(IF(INDEX(원본명단!$D$3:$D$6002,MATCH("R"&amp;519,정리결과!$J$6:$J$6005,0))="","",INDEX(원본명단!$D$3:$D$6002,MATCH("R"&amp;519,정리결과!$J$6:$J$6005,0))),""))</f>
        <v/>
      </c>
      <c r="E524" s="10" t="str">
        <f aca="false">IF($A524="","",IFERROR(IF(INDEX(원본명단!$E$3:$E$6002,MATCH("R"&amp;519,정리결과!$J$6:$J$6005,0))="","",INDEX(원본명단!$E$3:$E$6002,MATCH("R"&amp;519,정리결과!$J$6:$J$6005,0))),""))</f>
        <v/>
      </c>
      <c r="F524" s="10" t="str">
        <f aca="false">IF($A524="","",IFERROR(IF(INDEX(원본명단!$F$3:$F$6002,MATCH("R"&amp;519,정리결과!$J$6:$J$6005,0))="","",INDEX(원본명단!$F$3:$F$6002,MATCH("R"&amp;519,정리결과!$J$6:$J$6005,0))),""))</f>
        <v/>
      </c>
      <c r="H524" s="14" t="b">
        <f aca="false">IF(중복검사!$A522="",FALSE(),중복검사!$J522="유지")</f>
        <v>0</v>
      </c>
      <c r="I524" s="5" t="str">
        <f aca="false">IF($H524=FALSE(),"",COUNTIF($H$6:$H524,TRUE()))</f>
        <v/>
      </c>
      <c r="J524" s="5" t="str">
        <f aca="false">IF($I524="","","R"&amp;$I524)</f>
        <v/>
      </c>
    </row>
    <row r="525" customFormat="false" ht="15" hidden="false" customHeight="true" outlineLevel="0" collapsed="false">
      <c r="A525" s="10" t="str">
        <f aca="false">IFERROR(IF(INDEX(원본명단!$A$3:$A$6002,MATCH("R"&amp;520,정리결과!$J$6:$J$6005,0))="","",INDEX(원본명단!$A$3:$A$6002,MATCH("R"&amp;520,정리결과!$J$6:$J$6005,0))),"")</f>
        <v/>
      </c>
      <c r="B525" s="10" t="str">
        <f aca="false">IF($A525="","",IFERROR(IF(INDEX(원본명단!$B$3:$B$6002,MATCH("R"&amp;520,정리결과!$J$6:$J$6005,0))="","",INDEX(원본명단!$B$3:$B$6002,MATCH("R"&amp;520,정리결과!$J$6:$J$6005,0))),""))</f>
        <v/>
      </c>
      <c r="C525" s="10" t="str">
        <f aca="false">IF($A525="","",IFERROR(IF(INDEX(원본명단!$C$3:$C$6002,MATCH("R"&amp;520,정리결과!$J$6:$J$6005,0))="","",INDEX(원본명단!$C$3:$C$6002,MATCH("R"&amp;520,정리결과!$J$6:$J$6005,0))),""))</f>
        <v/>
      </c>
      <c r="D525" s="10" t="str">
        <f aca="false">IF($A525="","",IFERROR(IF(INDEX(원본명단!$D$3:$D$6002,MATCH("R"&amp;520,정리결과!$J$6:$J$6005,0))="","",INDEX(원본명단!$D$3:$D$6002,MATCH("R"&amp;520,정리결과!$J$6:$J$6005,0))),""))</f>
        <v/>
      </c>
      <c r="E525" s="10" t="str">
        <f aca="false">IF($A525="","",IFERROR(IF(INDEX(원본명단!$E$3:$E$6002,MATCH("R"&amp;520,정리결과!$J$6:$J$6005,0))="","",INDEX(원본명단!$E$3:$E$6002,MATCH("R"&amp;520,정리결과!$J$6:$J$6005,0))),""))</f>
        <v/>
      </c>
      <c r="F525" s="10" t="str">
        <f aca="false">IF($A525="","",IFERROR(IF(INDEX(원본명단!$F$3:$F$6002,MATCH("R"&amp;520,정리결과!$J$6:$J$6005,0))="","",INDEX(원본명단!$F$3:$F$6002,MATCH("R"&amp;520,정리결과!$J$6:$J$6005,0))),""))</f>
        <v/>
      </c>
      <c r="H525" s="14" t="b">
        <f aca="false">IF(중복검사!$A523="",FALSE(),중복검사!$J523="유지")</f>
        <v>0</v>
      </c>
      <c r="I525" s="5" t="str">
        <f aca="false">IF($H525=FALSE(),"",COUNTIF($H$6:$H525,TRUE()))</f>
        <v/>
      </c>
      <c r="J525" s="5" t="str">
        <f aca="false">IF($I525="","","R"&amp;$I525)</f>
        <v/>
      </c>
    </row>
    <row r="526" customFormat="false" ht="15" hidden="false" customHeight="true" outlineLevel="0" collapsed="false">
      <c r="A526" s="10" t="str">
        <f aca="false">IFERROR(IF(INDEX(원본명단!$A$3:$A$6002,MATCH("R"&amp;521,정리결과!$J$6:$J$6005,0))="","",INDEX(원본명단!$A$3:$A$6002,MATCH("R"&amp;521,정리결과!$J$6:$J$6005,0))),"")</f>
        <v/>
      </c>
      <c r="B526" s="10" t="str">
        <f aca="false">IF($A526="","",IFERROR(IF(INDEX(원본명단!$B$3:$B$6002,MATCH("R"&amp;521,정리결과!$J$6:$J$6005,0))="","",INDEX(원본명단!$B$3:$B$6002,MATCH("R"&amp;521,정리결과!$J$6:$J$6005,0))),""))</f>
        <v/>
      </c>
      <c r="C526" s="10" t="str">
        <f aca="false">IF($A526="","",IFERROR(IF(INDEX(원본명단!$C$3:$C$6002,MATCH("R"&amp;521,정리결과!$J$6:$J$6005,0))="","",INDEX(원본명단!$C$3:$C$6002,MATCH("R"&amp;521,정리결과!$J$6:$J$6005,0))),""))</f>
        <v/>
      </c>
      <c r="D526" s="10" t="str">
        <f aca="false">IF($A526="","",IFERROR(IF(INDEX(원본명단!$D$3:$D$6002,MATCH("R"&amp;521,정리결과!$J$6:$J$6005,0))="","",INDEX(원본명단!$D$3:$D$6002,MATCH("R"&amp;521,정리결과!$J$6:$J$6005,0))),""))</f>
        <v/>
      </c>
      <c r="E526" s="10" t="str">
        <f aca="false">IF($A526="","",IFERROR(IF(INDEX(원본명단!$E$3:$E$6002,MATCH("R"&amp;521,정리결과!$J$6:$J$6005,0))="","",INDEX(원본명단!$E$3:$E$6002,MATCH("R"&amp;521,정리결과!$J$6:$J$6005,0))),""))</f>
        <v/>
      </c>
      <c r="F526" s="10" t="str">
        <f aca="false">IF($A526="","",IFERROR(IF(INDEX(원본명단!$F$3:$F$6002,MATCH("R"&amp;521,정리결과!$J$6:$J$6005,0))="","",INDEX(원본명단!$F$3:$F$6002,MATCH("R"&amp;521,정리결과!$J$6:$J$6005,0))),""))</f>
        <v/>
      </c>
      <c r="H526" s="14" t="b">
        <f aca="false">IF(중복검사!$A524="",FALSE(),중복검사!$J524="유지")</f>
        <v>0</v>
      </c>
      <c r="I526" s="5" t="str">
        <f aca="false">IF($H526=FALSE(),"",COUNTIF($H$6:$H526,TRUE()))</f>
        <v/>
      </c>
      <c r="J526" s="5" t="str">
        <f aca="false">IF($I526="","","R"&amp;$I526)</f>
        <v/>
      </c>
    </row>
    <row r="527" customFormat="false" ht="15" hidden="false" customHeight="true" outlineLevel="0" collapsed="false">
      <c r="A527" s="10" t="str">
        <f aca="false">IFERROR(IF(INDEX(원본명단!$A$3:$A$6002,MATCH("R"&amp;522,정리결과!$J$6:$J$6005,0))="","",INDEX(원본명단!$A$3:$A$6002,MATCH("R"&amp;522,정리결과!$J$6:$J$6005,0))),"")</f>
        <v/>
      </c>
      <c r="B527" s="10" t="str">
        <f aca="false">IF($A527="","",IFERROR(IF(INDEX(원본명단!$B$3:$B$6002,MATCH("R"&amp;522,정리결과!$J$6:$J$6005,0))="","",INDEX(원본명단!$B$3:$B$6002,MATCH("R"&amp;522,정리결과!$J$6:$J$6005,0))),""))</f>
        <v/>
      </c>
      <c r="C527" s="10" t="str">
        <f aca="false">IF($A527="","",IFERROR(IF(INDEX(원본명단!$C$3:$C$6002,MATCH("R"&amp;522,정리결과!$J$6:$J$6005,0))="","",INDEX(원본명단!$C$3:$C$6002,MATCH("R"&amp;522,정리결과!$J$6:$J$6005,0))),""))</f>
        <v/>
      </c>
      <c r="D527" s="10" t="str">
        <f aca="false">IF($A527="","",IFERROR(IF(INDEX(원본명단!$D$3:$D$6002,MATCH("R"&amp;522,정리결과!$J$6:$J$6005,0))="","",INDEX(원본명단!$D$3:$D$6002,MATCH("R"&amp;522,정리결과!$J$6:$J$6005,0))),""))</f>
        <v/>
      </c>
      <c r="E527" s="10" t="str">
        <f aca="false">IF($A527="","",IFERROR(IF(INDEX(원본명단!$E$3:$E$6002,MATCH("R"&amp;522,정리결과!$J$6:$J$6005,0))="","",INDEX(원본명단!$E$3:$E$6002,MATCH("R"&amp;522,정리결과!$J$6:$J$6005,0))),""))</f>
        <v/>
      </c>
      <c r="F527" s="10" t="str">
        <f aca="false">IF($A527="","",IFERROR(IF(INDEX(원본명단!$F$3:$F$6002,MATCH("R"&amp;522,정리결과!$J$6:$J$6005,0))="","",INDEX(원본명단!$F$3:$F$6002,MATCH("R"&amp;522,정리결과!$J$6:$J$6005,0))),""))</f>
        <v/>
      </c>
      <c r="H527" s="14" t="b">
        <f aca="false">IF(중복검사!$A525="",FALSE(),중복검사!$J525="유지")</f>
        <v>0</v>
      </c>
      <c r="I527" s="5" t="str">
        <f aca="false">IF($H527=FALSE(),"",COUNTIF($H$6:$H527,TRUE()))</f>
        <v/>
      </c>
      <c r="J527" s="5" t="str">
        <f aca="false">IF($I527="","","R"&amp;$I527)</f>
        <v/>
      </c>
    </row>
    <row r="528" customFormat="false" ht="15" hidden="false" customHeight="true" outlineLevel="0" collapsed="false">
      <c r="A528" s="10" t="str">
        <f aca="false">IFERROR(IF(INDEX(원본명단!$A$3:$A$6002,MATCH("R"&amp;523,정리결과!$J$6:$J$6005,0))="","",INDEX(원본명단!$A$3:$A$6002,MATCH("R"&amp;523,정리결과!$J$6:$J$6005,0))),"")</f>
        <v/>
      </c>
      <c r="B528" s="10" t="str">
        <f aca="false">IF($A528="","",IFERROR(IF(INDEX(원본명단!$B$3:$B$6002,MATCH("R"&amp;523,정리결과!$J$6:$J$6005,0))="","",INDEX(원본명단!$B$3:$B$6002,MATCH("R"&amp;523,정리결과!$J$6:$J$6005,0))),""))</f>
        <v/>
      </c>
      <c r="C528" s="10" t="str">
        <f aca="false">IF($A528="","",IFERROR(IF(INDEX(원본명단!$C$3:$C$6002,MATCH("R"&amp;523,정리결과!$J$6:$J$6005,0))="","",INDEX(원본명단!$C$3:$C$6002,MATCH("R"&amp;523,정리결과!$J$6:$J$6005,0))),""))</f>
        <v/>
      </c>
      <c r="D528" s="10" t="str">
        <f aca="false">IF($A528="","",IFERROR(IF(INDEX(원본명단!$D$3:$D$6002,MATCH("R"&amp;523,정리결과!$J$6:$J$6005,0))="","",INDEX(원본명단!$D$3:$D$6002,MATCH("R"&amp;523,정리결과!$J$6:$J$6005,0))),""))</f>
        <v/>
      </c>
      <c r="E528" s="10" t="str">
        <f aca="false">IF($A528="","",IFERROR(IF(INDEX(원본명단!$E$3:$E$6002,MATCH("R"&amp;523,정리결과!$J$6:$J$6005,0))="","",INDEX(원본명단!$E$3:$E$6002,MATCH("R"&amp;523,정리결과!$J$6:$J$6005,0))),""))</f>
        <v/>
      </c>
      <c r="F528" s="10" t="str">
        <f aca="false">IF($A528="","",IFERROR(IF(INDEX(원본명단!$F$3:$F$6002,MATCH("R"&amp;523,정리결과!$J$6:$J$6005,0))="","",INDEX(원본명단!$F$3:$F$6002,MATCH("R"&amp;523,정리결과!$J$6:$J$6005,0))),""))</f>
        <v/>
      </c>
      <c r="H528" s="14" t="b">
        <f aca="false">IF(중복검사!$A526="",FALSE(),중복검사!$J526="유지")</f>
        <v>0</v>
      </c>
      <c r="I528" s="5" t="str">
        <f aca="false">IF($H528=FALSE(),"",COUNTIF($H$6:$H528,TRUE()))</f>
        <v/>
      </c>
      <c r="J528" s="5" t="str">
        <f aca="false">IF($I528="","","R"&amp;$I528)</f>
        <v/>
      </c>
    </row>
    <row r="529" customFormat="false" ht="15" hidden="false" customHeight="true" outlineLevel="0" collapsed="false">
      <c r="A529" s="10" t="str">
        <f aca="false">IFERROR(IF(INDEX(원본명단!$A$3:$A$6002,MATCH("R"&amp;524,정리결과!$J$6:$J$6005,0))="","",INDEX(원본명단!$A$3:$A$6002,MATCH("R"&amp;524,정리결과!$J$6:$J$6005,0))),"")</f>
        <v/>
      </c>
      <c r="B529" s="10" t="str">
        <f aca="false">IF($A529="","",IFERROR(IF(INDEX(원본명단!$B$3:$B$6002,MATCH("R"&amp;524,정리결과!$J$6:$J$6005,0))="","",INDEX(원본명단!$B$3:$B$6002,MATCH("R"&amp;524,정리결과!$J$6:$J$6005,0))),""))</f>
        <v/>
      </c>
      <c r="C529" s="10" t="str">
        <f aca="false">IF($A529="","",IFERROR(IF(INDEX(원본명단!$C$3:$C$6002,MATCH("R"&amp;524,정리결과!$J$6:$J$6005,0))="","",INDEX(원본명단!$C$3:$C$6002,MATCH("R"&amp;524,정리결과!$J$6:$J$6005,0))),""))</f>
        <v/>
      </c>
      <c r="D529" s="10" t="str">
        <f aca="false">IF($A529="","",IFERROR(IF(INDEX(원본명단!$D$3:$D$6002,MATCH("R"&amp;524,정리결과!$J$6:$J$6005,0))="","",INDEX(원본명단!$D$3:$D$6002,MATCH("R"&amp;524,정리결과!$J$6:$J$6005,0))),""))</f>
        <v/>
      </c>
      <c r="E529" s="10" t="str">
        <f aca="false">IF($A529="","",IFERROR(IF(INDEX(원본명단!$E$3:$E$6002,MATCH("R"&amp;524,정리결과!$J$6:$J$6005,0))="","",INDEX(원본명단!$E$3:$E$6002,MATCH("R"&amp;524,정리결과!$J$6:$J$6005,0))),""))</f>
        <v/>
      </c>
      <c r="F529" s="10" t="str">
        <f aca="false">IF($A529="","",IFERROR(IF(INDEX(원본명단!$F$3:$F$6002,MATCH("R"&amp;524,정리결과!$J$6:$J$6005,0))="","",INDEX(원본명단!$F$3:$F$6002,MATCH("R"&amp;524,정리결과!$J$6:$J$6005,0))),""))</f>
        <v/>
      </c>
      <c r="H529" s="14" t="b">
        <f aca="false">IF(중복검사!$A527="",FALSE(),중복검사!$J527="유지")</f>
        <v>0</v>
      </c>
      <c r="I529" s="5" t="str">
        <f aca="false">IF($H529=FALSE(),"",COUNTIF($H$6:$H529,TRUE()))</f>
        <v/>
      </c>
      <c r="J529" s="5" t="str">
        <f aca="false">IF($I529="","","R"&amp;$I529)</f>
        <v/>
      </c>
    </row>
    <row r="530" customFormat="false" ht="15" hidden="false" customHeight="true" outlineLevel="0" collapsed="false">
      <c r="A530" s="10" t="str">
        <f aca="false">IFERROR(IF(INDEX(원본명단!$A$3:$A$6002,MATCH("R"&amp;525,정리결과!$J$6:$J$6005,0))="","",INDEX(원본명단!$A$3:$A$6002,MATCH("R"&amp;525,정리결과!$J$6:$J$6005,0))),"")</f>
        <v/>
      </c>
      <c r="B530" s="10" t="str">
        <f aca="false">IF($A530="","",IFERROR(IF(INDEX(원본명단!$B$3:$B$6002,MATCH("R"&amp;525,정리결과!$J$6:$J$6005,0))="","",INDEX(원본명단!$B$3:$B$6002,MATCH("R"&amp;525,정리결과!$J$6:$J$6005,0))),""))</f>
        <v/>
      </c>
      <c r="C530" s="10" t="str">
        <f aca="false">IF($A530="","",IFERROR(IF(INDEX(원본명단!$C$3:$C$6002,MATCH("R"&amp;525,정리결과!$J$6:$J$6005,0))="","",INDEX(원본명단!$C$3:$C$6002,MATCH("R"&amp;525,정리결과!$J$6:$J$6005,0))),""))</f>
        <v/>
      </c>
      <c r="D530" s="10" t="str">
        <f aca="false">IF($A530="","",IFERROR(IF(INDEX(원본명단!$D$3:$D$6002,MATCH("R"&amp;525,정리결과!$J$6:$J$6005,0))="","",INDEX(원본명단!$D$3:$D$6002,MATCH("R"&amp;525,정리결과!$J$6:$J$6005,0))),""))</f>
        <v/>
      </c>
      <c r="E530" s="10" t="str">
        <f aca="false">IF($A530="","",IFERROR(IF(INDEX(원본명단!$E$3:$E$6002,MATCH("R"&amp;525,정리결과!$J$6:$J$6005,0))="","",INDEX(원본명단!$E$3:$E$6002,MATCH("R"&amp;525,정리결과!$J$6:$J$6005,0))),""))</f>
        <v/>
      </c>
      <c r="F530" s="10" t="str">
        <f aca="false">IF($A530="","",IFERROR(IF(INDEX(원본명단!$F$3:$F$6002,MATCH("R"&amp;525,정리결과!$J$6:$J$6005,0))="","",INDEX(원본명단!$F$3:$F$6002,MATCH("R"&amp;525,정리결과!$J$6:$J$6005,0))),""))</f>
        <v/>
      </c>
      <c r="H530" s="14" t="b">
        <f aca="false">IF(중복검사!$A528="",FALSE(),중복검사!$J528="유지")</f>
        <v>0</v>
      </c>
      <c r="I530" s="5" t="str">
        <f aca="false">IF($H530=FALSE(),"",COUNTIF($H$6:$H530,TRUE()))</f>
        <v/>
      </c>
      <c r="J530" s="5" t="str">
        <f aca="false">IF($I530="","","R"&amp;$I530)</f>
        <v/>
      </c>
    </row>
    <row r="531" customFormat="false" ht="15" hidden="false" customHeight="true" outlineLevel="0" collapsed="false">
      <c r="A531" s="10" t="str">
        <f aca="false">IFERROR(IF(INDEX(원본명단!$A$3:$A$6002,MATCH("R"&amp;526,정리결과!$J$6:$J$6005,0))="","",INDEX(원본명단!$A$3:$A$6002,MATCH("R"&amp;526,정리결과!$J$6:$J$6005,0))),"")</f>
        <v/>
      </c>
      <c r="B531" s="10" t="str">
        <f aca="false">IF($A531="","",IFERROR(IF(INDEX(원본명단!$B$3:$B$6002,MATCH("R"&amp;526,정리결과!$J$6:$J$6005,0))="","",INDEX(원본명단!$B$3:$B$6002,MATCH("R"&amp;526,정리결과!$J$6:$J$6005,0))),""))</f>
        <v/>
      </c>
      <c r="C531" s="10" t="str">
        <f aca="false">IF($A531="","",IFERROR(IF(INDEX(원본명단!$C$3:$C$6002,MATCH("R"&amp;526,정리결과!$J$6:$J$6005,0))="","",INDEX(원본명단!$C$3:$C$6002,MATCH("R"&amp;526,정리결과!$J$6:$J$6005,0))),""))</f>
        <v/>
      </c>
      <c r="D531" s="10" t="str">
        <f aca="false">IF($A531="","",IFERROR(IF(INDEX(원본명단!$D$3:$D$6002,MATCH("R"&amp;526,정리결과!$J$6:$J$6005,0))="","",INDEX(원본명단!$D$3:$D$6002,MATCH("R"&amp;526,정리결과!$J$6:$J$6005,0))),""))</f>
        <v/>
      </c>
      <c r="E531" s="10" t="str">
        <f aca="false">IF($A531="","",IFERROR(IF(INDEX(원본명단!$E$3:$E$6002,MATCH("R"&amp;526,정리결과!$J$6:$J$6005,0))="","",INDEX(원본명단!$E$3:$E$6002,MATCH("R"&amp;526,정리결과!$J$6:$J$6005,0))),""))</f>
        <v/>
      </c>
      <c r="F531" s="10" t="str">
        <f aca="false">IF($A531="","",IFERROR(IF(INDEX(원본명단!$F$3:$F$6002,MATCH("R"&amp;526,정리결과!$J$6:$J$6005,0))="","",INDEX(원본명단!$F$3:$F$6002,MATCH("R"&amp;526,정리결과!$J$6:$J$6005,0))),""))</f>
        <v/>
      </c>
      <c r="H531" s="14" t="b">
        <f aca="false">IF(중복검사!$A529="",FALSE(),중복검사!$J529="유지")</f>
        <v>0</v>
      </c>
      <c r="I531" s="5" t="str">
        <f aca="false">IF($H531=FALSE(),"",COUNTIF($H$6:$H531,TRUE()))</f>
        <v/>
      </c>
      <c r="J531" s="5" t="str">
        <f aca="false">IF($I531="","","R"&amp;$I531)</f>
        <v/>
      </c>
    </row>
    <row r="532" customFormat="false" ht="15" hidden="false" customHeight="true" outlineLevel="0" collapsed="false">
      <c r="A532" s="10" t="str">
        <f aca="false">IFERROR(IF(INDEX(원본명단!$A$3:$A$6002,MATCH("R"&amp;527,정리결과!$J$6:$J$6005,0))="","",INDEX(원본명단!$A$3:$A$6002,MATCH("R"&amp;527,정리결과!$J$6:$J$6005,0))),"")</f>
        <v/>
      </c>
      <c r="B532" s="10" t="str">
        <f aca="false">IF($A532="","",IFERROR(IF(INDEX(원본명단!$B$3:$B$6002,MATCH("R"&amp;527,정리결과!$J$6:$J$6005,0))="","",INDEX(원본명단!$B$3:$B$6002,MATCH("R"&amp;527,정리결과!$J$6:$J$6005,0))),""))</f>
        <v/>
      </c>
      <c r="C532" s="10" t="str">
        <f aca="false">IF($A532="","",IFERROR(IF(INDEX(원본명단!$C$3:$C$6002,MATCH("R"&amp;527,정리결과!$J$6:$J$6005,0))="","",INDEX(원본명단!$C$3:$C$6002,MATCH("R"&amp;527,정리결과!$J$6:$J$6005,0))),""))</f>
        <v/>
      </c>
      <c r="D532" s="10" t="str">
        <f aca="false">IF($A532="","",IFERROR(IF(INDEX(원본명단!$D$3:$D$6002,MATCH("R"&amp;527,정리결과!$J$6:$J$6005,0))="","",INDEX(원본명단!$D$3:$D$6002,MATCH("R"&amp;527,정리결과!$J$6:$J$6005,0))),""))</f>
        <v/>
      </c>
      <c r="E532" s="10" t="str">
        <f aca="false">IF($A532="","",IFERROR(IF(INDEX(원본명단!$E$3:$E$6002,MATCH("R"&amp;527,정리결과!$J$6:$J$6005,0))="","",INDEX(원본명단!$E$3:$E$6002,MATCH("R"&amp;527,정리결과!$J$6:$J$6005,0))),""))</f>
        <v/>
      </c>
      <c r="F532" s="10" t="str">
        <f aca="false">IF($A532="","",IFERROR(IF(INDEX(원본명단!$F$3:$F$6002,MATCH("R"&amp;527,정리결과!$J$6:$J$6005,0))="","",INDEX(원본명단!$F$3:$F$6002,MATCH("R"&amp;527,정리결과!$J$6:$J$6005,0))),""))</f>
        <v/>
      </c>
      <c r="H532" s="14" t="b">
        <f aca="false">IF(중복검사!$A530="",FALSE(),중복검사!$J530="유지")</f>
        <v>0</v>
      </c>
      <c r="I532" s="5" t="str">
        <f aca="false">IF($H532=FALSE(),"",COUNTIF($H$6:$H532,TRUE()))</f>
        <v/>
      </c>
      <c r="J532" s="5" t="str">
        <f aca="false">IF($I532="","","R"&amp;$I532)</f>
        <v/>
      </c>
    </row>
    <row r="533" customFormat="false" ht="15" hidden="false" customHeight="true" outlineLevel="0" collapsed="false">
      <c r="A533" s="10" t="str">
        <f aca="false">IFERROR(IF(INDEX(원본명단!$A$3:$A$6002,MATCH("R"&amp;528,정리결과!$J$6:$J$6005,0))="","",INDEX(원본명단!$A$3:$A$6002,MATCH("R"&amp;528,정리결과!$J$6:$J$6005,0))),"")</f>
        <v/>
      </c>
      <c r="B533" s="10" t="str">
        <f aca="false">IF($A533="","",IFERROR(IF(INDEX(원본명단!$B$3:$B$6002,MATCH("R"&amp;528,정리결과!$J$6:$J$6005,0))="","",INDEX(원본명단!$B$3:$B$6002,MATCH("R"&amp;528,정리결과!$J$6:$J$6005,0))),""))</f>
        <v/>
      </c>
      <c r="C533" s="10" t="str">
        <f aca="false">IF($A533="","",IFERROR(IF(INDEX(원본명단!$C$3:$C$6002,MATCH("R"&amp;528,정리결과!$J$6:$J$6005,0))="","",INDEX(원본명단!$C$3:$C$6002,MATCH("R"&amp;528,정리결과!$J$6:$J$6005,0))),""))</f>
        <v/>
      </c>
      <c r="D533" s="10" t="str">
        <f aca="false">IF($A533="","",IFERROR(IF(INDEX(원본명단!$D$3:$D$6002,MATCH("R"&amp;528,정리결과!$J$6:$J$6005,0))="","",INDEX(원본명단!$D$3:$D$6002,MATCH("R"&amp;528,정리결과!$J$6:$J$6005,0))),""))</f>
        <v/>
      </c>
      <c r="E533" s="10" t="str">
        <f aca="false">IF($A533="","",IFERROR(IF(INDEX(원본명단!$E$3:$E$6002,MATCH("R"&amp;528,정리결과!$J$6:$J$6005,0))="","",INDEX(원본명단!$E$3:$E$6002,MATCH("R"&amp;528,정리결과!$J$6:$J$6005,0))),""))</f>
        <v/>
      </c>
      <c r="F533" s="10" t="str">
        <f aca="false">IF($A533="","",IFERROR(IF(INDEX(원본명단!$F$3:$F$6002,MATCH("R"&amp;528,정리결과!$J$6:$J$6005,0))="","",INDEX(원본명단!$F$3:$F$6002,MATCH("R"&amp;528,정리결과!$J$6:$J$6005,0))),""))</f>
        <v/>
      </c>
      <c r="H533" s="14" t="b">
        <f aca="false">IF(중복검사!$A531="",FALSE(),중복검사!$J531="유지")</f>
        <v>0</v>
      </c>
      <c r="I533" s="5" t="str">
        <f aca="false">IF($H533=FALSE(),"",COUNTIF($H$6:$H533,TRUE()))</f>
        <v/>
      </c>
      <c r="J533" s="5" t="str">
        <f aca="false">IF($I533="","","R"&amp;$I533)</f>
        <v/>
      </c>
    </row>
    <row r="534" customFormat="false" ht="15" hidden="false" customHeight="true" outlineLevel="0" collapsed="false">
      <c r="A534" s="10" t="str">
        <f aca="false">IFERROR(IF(INDEX(원본명단!$A$3:$A$6002,MATCH("R"&amp;529,정리결과!$J$6:$J$6005,0))="","",INDEX(원본명단!$A$3:$A$6002,MATCH("R"&amp;529,정리결과!$J$6:$J$6005,0))),"")</f>
        <v/>
      </c>
      <c r="B534" s="10" t="str">
        <f aca="false">IF($A534="","",IFERROR(IF(INDEX(원본명단!$B$3:$B$6002,MATCH("R"&amp;529,정리결과!$J$6:$J$6005,0))="","",INDEX(원본명단!$B$3:$B$6002,MATCH("R"&amp;529,정리결과!$J$6:$J$6005,0))),""))</f>
        <v/>
      </c>
      <c r="C534" s="10" t="str">
        <f aca="false">IF($A534="","",IFERROR(IF(INDEX(원본명단!$C$3:$C$6002,MATCH("R"&amp;529,정리결과!$J$6:$J$6005,0))="","",INDEX(원본명단!$C$3:$C$6002,MATCH("R"&amp;529,정리결과!$J$6:$J$6005,0))),""))</f>
        <v/>
      </c>
      <c r="D534" s="10" t="str">
        <f aca="false">IF($A534="","",IFERROR(IF(INDEX(원본명단!$D$3:$D$6002,MATCH("R"&amp;529,정리결과!$J$6:$J$6005,0))="","",INDEX(원본명단!$D$3:$D$6002,MATCH("R"&amp;529,정리결과!$J$6:$J$6005,0))),""))</f>
        <v/>
      </c>
      <c r="E534" s="10" t="str">
        <f aca="false">IF($A534="","",IFERROR(IF(INDEX(원본명단!$E$3:$E$6002,MATCH("R"&amp;529,정리결과!$J$6:$J$6005,0))="","",INDEX(원본명단!$E$3:$E$6002,MATCH("R"&amp;529,정리결과!$J$6:$J$6005,0))),""))</f>
        <v/>
      </c>
      <c r="F534" s="10" t="str">
        <f aca="false">IF($A534="","",IFERROR(IF(INDEX(원본명단!$F$3:$F$6002,MATCH("R"&amp;529,정리결과!$J$6:$J$6005,0))="","",INDEX(원본명단!$F$3:$F$6002,MATCH("R"&amp;529,정리결과!$J$6:$J$6005,0))),""))</f>
        <v/>
      </c>
      <c r="H534" s="14" t="b">
        <f aca="false">IF(중복검사!$A532="",FALSE(),중복검사!$J532="유지")</f>
        <v>0</v>
      </c>
      <c r="I534" s="5" t="str">
        <f aca="false">IF($H534=FALSE(),"",COUNTIF($H$6:$H534,TRUE()))</f>
        <v/>
      </c>
      <c r="J534" s="5" t="str">
        <f aca="false">IF($I534="","","R"&amp;$I534)</f>
        <v/>
      </c>
    </row>
    <row r="535" customFormat="false" ht="15" hidden="false" customHeight="true" outlineLevel="0" collapsed="false">
      <c r="A535" s="10" t="str">
        <f aca="false">IFERROR(IF(INDEX(원본명단!$A$3:$A$6002,MATCH("R"&amp;530,정리결과!$J$6:$J$6005,0))="","",INDEX(원본명단!$A$3:$A$6002,MATCH("R"&amp;530,정리결과!$J$6:$J$6005,0))),"")</f>
        <v/>
      </c>
      <c r="B535" s="10" t="str">
        <f aca="false">IF($A535="","",IFERROR(IF(INDEX(원본명단!$B$3:$B$6002,MATCH("R"&amp;530,정리결과!$J$6:$J$6005,0))="","",INDEX(원본명단!$B$3:$B$6002,MATCH("R"&amp;530,정리결과!$J$6:$J$6005,0))),""))</f>
        <v/>
      </c>
      <c r="C535" s="10" t="str">
        <f aca="false">IF($A535="","",IFERROR(IF(INDEX(원본명단!$C$3:$C$6002,MATCH("R"&amp;530,정리결과!$J$6:$J$6005,0))="","",INDEX(원본명단!$C$3:$C$6002,MATCH("R"&amp;530,정리결과!$J$6:$J$6005,0))),""))</f>
        <v/>
      </c>
      <c r="D535" s="10" t="str">
        <f aca="false">IF($A535="","",IFERROR(IF(INDEX(원본명단!$D$3:$D$6002,MATCH("R"&amp;530,정리결과!$J$6:$J$6005,0))="","",INDEX(원본명단!$D$3:$D$6002,MATCH("R"&amp;530,정리결과!$J$6:$J$6005,0))),""))</f>
        <v/>
      </c>
      <c r="E535" s="10" t="str">
        <f aca="false">IF($A535="","",IFERROR(IF(INDEX(원본명단!$E$3:$E$6002,MATCH("R"&amp;530,정리결과!$J$6:$J$6005,0))="","",INDEX(원본명단!$E$3:$E$6002,MATCH("R"&amp;530,정리결과!$J$6:$J$6005,0))),""))</f>
        <v/>
      </c>
      <c r="F535" s="10" t="str">
        <f aca="false">IF($A535="","",IFERROR(IF(INDEX(원본명단!$F$3:$F$6002,MATCH("R"&amp;530,정리결과!$J$6:$J$6005,0))="","",INDEX(원본명단!$F$3:$F$6002,MATCH("R"&amp;530,정리결과!$J$6:$J$6005,0))),""))</f>
        <v/>
      </c>
      <c r="H535" s="14" t="b">
        <f aca="false">IF(중복검사!$A533="",FALSE(),중복검사!$J533="유지")</f>
        <v>0</v>
      </c>
      <c r="I535" s="5" t="str">
        <f aca="false">IF($H535=FALSE(),"",COUNTIF($H$6:$H535,TRUE()))</f>
        <v/>
      </c>
      <c r="J535" s="5" t="str">
        <f aca="false">IF($I535="","","R"&amp;$I535)</f>
        <v/>
      </c>
    </row>
    <row r="536" customFormat="false" ht="15" hidden="false" customHeight="true" outlineLevel="0" collapsed="false">
      <c r="A536" s="10" t="str">
        <f aca="false">IFERROR(IF(INDEX(원본명단!$A$3:$A$6002,MATCH("R"&amp;531,정리결과!$J$6:$J$6005,0))="","",INDEX(원본명단!$A$3:$A$6002,MATCH("R"&amp;531,정리결과!$J$6:$J$6005,0))),"")</f>
        <v/>
      </c>
      <c r="B536" s="10" t="str">
        <f aca="false">IF($A536="","",IFERROR(IF(INDEX(원본명단!$B$3:$B$6002,MATCH("R"&amp;531,정리결과!$J$6:$J$6005,0))="","",INDEX(원본명단!$B$3:$B$6002,MATCH("R"&amp;531,정리결과!$J$6:$J$6005,0))),""))</f>
        <v/>
      </c>
      <c r="C536" s="10" t="str">
        <f aca="false">IF($A536="","",IFERROR(IF(INDEX(원본명단!$C$3:$C$6002,MATCH("R"&amp;531,정리결과!$J$6:$J$6005,0))="","",INDEX(원본명단!$C$3:$C$6002,MATCH("R"&amp;531,정리결과!$J$6:$J$6005,0))),""))</f>
        <v/>
      </c>
      <c r="D536" s="10" t="str">
        <f aca="false">IF($A536="","",IFERROR(IF(INDEX(원본명단!$D$3:$D$6002,MATCH("R"&amp;531,정리결과!$J$6:$J$6005,0))="","",INDEX(원본명단!$D$3:$D$6002,MATCH("R"&amp;531,정리결과!$J$6:$J$6005,0))),""))</f>
        <v/>
      </c>
      <c r="E536" s="10" t="str">
        <f aca="false">IF($A536="","",IFERROR(IF(INDEX(원본명단!$E$3:$E$6002,MATCH("R"&amp;531,정리결과!$J$6:$J$6005,0))="","",INDEX(원본명단!$E$3:$E$6002,MATCH("R"&amp;531,정리결과!$J$6:$J$6005,0))),""))</f>
        <v/>
      </c>
      <c r="F536" s="10" t="str">
        <f aca="false">IF($A536="","",IFERROR(IF(INDEX(원본명단!$F$3:$F$6002,MATCH("R"&amp;531,정리결과!$J$6:$J$6005,0))="","",INDEX(원본명단!$F$3:$F$6002,MATCH("R"&amp;531,정리결과!$J$6:$J$6005,0))),""))</f>
        <v/>
      </c>
      <c r="H536" s="14" t="b">
        <f aca="false">IF(중복검사!$A534="",FALSE(),중복검사!$J534="유지")</f>
        <v>0</v>
      </c>
      <c r="I536" s="5" t="str">
        <f aca="false">IF($H536=FALSE(),"",COUNTIF($H$6:$H536,TRUE()))</f>
        <v/>
      </c>
      <c r="J536" s="5" t="str">
        <f aca="false">IF($I536="","","R"&amp;$I536)</f>
        <v/>
      </c>
    </row>
    <row r="537" customFormat="false" ht="15" hidden="false" customHeight="true" outlineLevel="0" collapsed="false">
      <c r="A537" s="10" t="str">
        <f aca="false">IFERROR(IF(INDEX(원본명단!$A$3:$A$6002,MATCH("R"&amp;532,정리결과!$J$6:$J$6005,0))="","",INDEX(원본명단!$A$3:$A$6002,MATCH("R"&amp;532,정리결과!$J$6:$J$6005,0))),"")</f>
        <v/>
      </c>
      <c r="B537" s="10" t="str">
        <f aca="false">IF($A537="","",IFERROR(IF(INDEX(원본명단!$B$3:$B$6002,MATCH("R"&amp;532,정리결과!$J$6:$J$6005,0))="","",INDEX(원본명단!$B$3:$B$6002,MATCH("R"&amp;532,정리결과!$J$6:$J$6005,0))),""))</f>
        <v/>
      </c>
      <c r="C537" s="10" t="str">
        <f aca="false">IF($A537="","",IFERROR(IF(INDEX(원본명단!$C$3:$C$6002,MATCH("R"&amp;532,정리결과!$J$6:$J$6005,0))="","",INDEX(원본명단!$C$3:$C$6002,MATCH("R"&amp;532,정리결과!$J$6:$J$6005,0))),""))</f>
        <v/>
      </c>
      <c r="D537" s="10" t="str">
        <f aca="false">IF($A537="","",IFERROR(IF(INDEX(원본명단!$D$3:$D$6002,MATCH("R"&amp;532,정리결과!$J$6:$J$6005,0))="","",INDEX(원본명단!$D$3:$D$6002,MATCH("R"&amp;532,정리결과!$J$6:$J$6005,0))),""))</f>
        <v/>
      </c>
      <c r="E537" s="10" t="str">
        <f aca="false">IF($A537="","",IFERROR(IF(INDEX(원본명단!$E$3:$E$6002,MATCH("R"&amp;532,정리결과!$J$6:$J$6005,0))="","",INDEX(원본명단!$E$3:$E$6002,MATCH("R"&amp;532,정리결과!$J$6:$J$6005,0))),""))</f>
        <v/>
      </c>
      <c r="F537" s="10" t="str">
        <f aca="false">IF($A537="","",IFERROR(IF(INDEX(원본명단!$F$3:$F$6002,MATCH("R"&amp;532,정리결과!$J$6:$J$6005,0))="","",INDEX(원본명단!$F$3:$F$6002,MATCH("R"&amp;532,정리결과!$J$6:$J$6005,0))),""))</f>
        <v/>
      </c>
      <c r="H537" s="14" t="b">
        <f aca="false">IF(중복검사!$A535="",FALSE(),중복검사!$J535="유지")</f>
        <v>0</v>
      </c>
      <c r="I537" s="5" t="str">
        <f aca="false">IF($H537=FALSE(),"",COUNTIF($H$6:$H537,TRUE()))</f>
        <v/>
      </c>
      <c r="J537" s="5" t="str">
        <f aca="false">IF($I537="","","R"&amp;$I537)</f>
        <v/>
      </c>
    </row>
    <row r="538" customFormat="false" ht="15" hidden="false" customHeight="true" outlineLevel="0" collapsed="false">
      <c r="A538" s="10" t="str">
        <f aca="false">IFERROR(IF(INDEX(원본명단!$A$3:$A$6002,MATCH("R"&amp;533,정리결과!$J$6:$J$6005,0))="","",INDEX(원본명단!$A$3:$A$6002,MATCH("R"&amp;533,정리결과!$J$6:$J$6005,0))),"")</f>
        <v/>
      </c>
      <c r="B538" s="10" t="str">
        <f aca="false">IF($A538="","",IFERROR(IF(INDEX(원본명단!$B$3:$B$6002,MATCH("R"&amp;533,정리결과!$J$6:$J$6005,0))="","",INDEX(원본명단!$B$3:$B$6002,MATCH("R"&amp;533,정리결과!$J$6:$J$6005,0))),""))</f>
        <v/>
      </c>
      <c r="C538" s="10" t="str">
        <f aca="false">IF($A538="","",IFERROR(IF(INDEX(원본명단!$C$3:$C$6002,MATCH("R"&amp;533,정리결과!$J$6:$J$6005,0))="","",INDEX(원본명단!$C$3:$C$6002,MATCH("R"&amp;533,정리결과!$J$6:$J$6005,0))),""))</f>
        <v/>
      </c>
      <c r="D538" s="10" t="str">
        <f aca="false">IF($A538="","",IFERROR(IF(INDEX(원본명단!$D$3:$D$6002,MATCH("R"&amp;533,정리결과!$J$6:$J$6005,0))="","",INDEX(원본명단!$D$3:$D$6002,MATCH("R"&amp;533,정리결과!$J$6:$J$6005,0))),""))</f>
        <v/>
      </c>
      <c r="E538" s="10" t="str">
        <f aca="false">IF($A538="","",IFERROR(IF(INDEX(원본명단!$E$3:$E$6002,MATCH("R"&amp;533,정리결과!$J$6:$J$6005,0))="","",INDEX(원본명단!$E$3:$E$6002,MATCH("R"&amp;533,정리결과!$J$6:$J$6005,0))),""))</f>
        <v/>
      </c>
      <c r="F538" s="10" t="str">
        <f aca="false">IF($A538="","",IFERROR(IF(INDEX(원본명단!$F$3:$F$6002,MATCH("R"&amp;533,정리결과!$J$6:$J$6005,0))="","",INDEX(원본명단!$F$3:$F$6002,MATCH("R"&amp;533,정리결과!$J$6:$J$6005,0))),""))</f>
        <v/>
      </c>
      <c r="H538" s="14" t="b">
        <f aca="false">IF(중복검사!$A536="",FALSE(),중복검사!$J536="유지")</f>
        <v>0</v>
      </c>
      <c r="I538" s="5" t="str">
        <f aca="false">IF($H538=FALSE(),"",COUNTIF($H$6:$H538,TRUE()))</f>
        <v/>
      </c>
      <c r="J538" s="5" t="str">
        <f aca="false">IF($I538="","","R"&amp;$I538)</f>
        <v/>
      </c>
    </row>
    <row r="539" customFormat="false" ht="15" hidden="false" customHeight="true" outlineLevel="0" collapsed="false">
      <c r="A539" s="10" t="str">
        <f aca="false">IFERROR(IF(INDEX(원본명단!$A$3:$A$6002,MATCH("R"&amp;534,정리결과!$J$6:$J$6005,0))="","",INDEX(원본명단!$A$3:$A$6002,MATCH("R"&amp;534,정리결과!$J$6:$J$6005,0))),"")</f>
        <v/>
      </c>
      <c r="B539" s="10" t="str">
        <f aca="false">IF($A539="","",IFERROR(IF(INDEX(원본명단!$B$3:$B$6002,MATCH("R"&amp;534,정리결과!$J$6:$J$6005,0))="","",INDEX(원본명단!$B$3:$B$6002,MATCH("R"&amp;534,정리결과!$J$6:$J$6005,0))),""))</f>
        <v/>
      </c>
      <c r="C539" s="10" t="str">
        <f aca="false">IF($A539="","",IFERROR(IF(INDEX(원본명단!$C$3:$C$6002,MATCH("R"&amp;534,정리결과!$J$6:$J$6005,0))="","",INDEX(원본명단!$C$3:$C$6002,MATCH("R"&amp;534,정리결과!$J$6:$J$6005,0))),""))</f>
        <v/>
      </c>
      <c r="D539" s="10" t="str">
        <f aca="false">IF($A539="","",IFERROR(IF(INDEX(원본명단!$D$3:$D$6002,MATCH("R"&amp;534,정리결과!$J$6:$J$6005,0))="","",INDEX(원본명단!$D$3:$D$6002,MATCH("R"&amp;534,정리결과!$J$6:$J$6005,0))),""))</f>
        <v/>
      </c>
      <c r="E539" s="10" t="str">
        <f aca="false">IF($A539="","",IFERROR(IF(INDEX(원본명단!$E$3:$E$6002,MATCH("R"&amp;534,정리결과!$J$6:$J$6005,0))="","",INDEX(원본명단!$E$3:$E$6002,MATCH("R"&amp;534,정리결과!$J$6:$J$6005,0))),""))</f>
        <v/>
      </c>
      <c r="F539" s="10" t="str">
        <f aca="false">IF($A539="","",IFERROR(IF(INDEX(원본명단!$F$3:$F$6002,MATCH("R"&amp;534,정리결과!$J$6:$J$6005,0))="","",INDEX(원본명단!$F$3:$F$6002,MATCH("R"&amp;534,정리결과!$J$6:$J$6005,0))),""))</f>
        <v/>
      </c>
      <c r="H539" s="14" t="b">
        <f aca="false">IF(중복검사!$A537="",FALSE(),중복검사!$J537="유지")</f>
        <v>0</v>
      </c>
      <c r="I539" s="5" t="str">
        <f aca="false">IF($H539=FALSE(),"",COUNTIF($H$6:$H539,TRUE()))</f>
        <v/>
      </c>
      <c r="J539" s="5" t="str">
        <f aca="false">IF($I539="","","R"&amp;$I539)</f>
        <v/>
      </c>
    </row>
    <row r="540" customFormat="false" ht="15" hidden="false" customHeight="true" outlineLevel="0" collapsed="false">
      <c r="A540" s="10" t="str">
        <f aca="false">IFERROR(IF(INDEX(원본명단!$A$3:$A$6002,MATCH("R"&amp;535,정리결과!$J$6:$J$6005,0))="","",INDEX(원본명단!$A$3:$A$6002,MATCH("R"&amp;535,정리결과!$J$6:$J$6005,0))),"")</f>
        <v/>
      </c>
      <c r="B540" s="10" t="str">
        <f aca="false">IF($A540="","",IFERROR(IF(INDEX(원본명단!$B$3:$B$6002,MATCH("R"&amp;535,정리결과!$J$6:$J$6005,0))="","",INDEX(원본명단!$B$3:$B$6002,MATCH("R"&amp;535,정리결과!$J$6:$J$6005,0))),""))</f>
        <v/>
      </c>
      <c r="C540" s="10" t="str">
        <f aca="false">IF($A540="","",IFERROR(IF(INDEX(원본명단!$C$3:$C$6002,MATCH("R"&amp;535,정리결과!$J$6:$J$6005,0))="","",INDEX(원본명단!$C$3:$C$6002,MATCH("R"&amp;535,정리결과!$J$6:$J$6005,0))),""))</f>
        <v/>
      </c>
      <c r="D540" s="10" t="str">
        <f aca="false">IF($A540="","",IFERROR(IF(INDEX(원본명단!$D$3:$D$6002,MATCH("R"&amp;535,정리결과!$J$6:$J$6005,0))="","",INDEX(원본명단!$D$3:$D$6002,MATCH("R"&amp;535,정리결과!$J$6:$J$6005,0))),""))</f>
        <v/>
      </c>
      <c r="E540" s="10" t="str">
        <f aca="false">IF($A540="","",IFERROR(IF(INDEX(원본명단!$E$3:$E$6002,MATCH("R"&amp;535,정리결과!$J$6:$J$6005,0))="","",INDEX(원본명단!$E$3:$E$6002,MATCH("R"&amp;535,정리결과!$J$6:$J$6005,0))),""))</f>
        <v/>
      </c>
      <c r="F540" s="10" t="str">
        <f aca="false">IF($A540="","",IFERROR(IF(INDEX(원본명단!$F$3:$F$6002,MATCH("R"&amp;535,정리결과!$J$6:$J$6005,0))="","",INDEX(원본명단!$F$3:$F$6002,MATCH("R"&amp;535,정리결과!$J$6:$J$6005,0))),""))</f>
        <v/>
      </c>
      <c r="H540" s="14" t="b">
        <f aca="false">IF(중복검사!$A538="",FALSE(),중복검사!$J538="유지")</f>
        <v>0</v>
      </c>
      <c r="I540" s="5" t="str">
        <f aca="false">IF($H540=FALSE(),"",COUNTIF($H$6:$H540,TRUE()))</f>
        <v/>
      </c>
      <c r="J540" s="5" t="str">
        <f aca="false">IF($I540="","","R"&amp;$I540)</f>
        <v/>
      </c>
    </row>
    <row r="541" customFormat="false" ht="15" hidden="false" customHeight="true" outlineLevel="0" collapsed="false">
      <c r="A541" s="10" t="str">
        <f aca="false">IFERROR(IF(INDEX(원본명단!$A$3:$A$6002,MATCH("R"&amp;536,정리결과!$J$6:$J$6005,0))="","",INDEX(원본명단!$A$3:$A$6002,MATCH("R"&amp;536,정리결과!$J$6:$J$6005,0))),"")</f>
        <v/>
      </c>
      <c r="B541" s="10" t="str">
        <f aca="false">IF($A541="","",IFERROR(IF(INDEX(원본명단!$B$3:$B$6002,MATCH("R"&amp;536,정리결과!$J$6:$J$6005,0))="","",INDEX(원본명단!$B$3:$B$6002,MATCH("R"&amp;536,정리결과!$J$6:$J$6005,0))),""))</f>
        <v/>
      </c>
      <c r="C541" s="10" t="str">
        <f aca="false">IF($A541="","",IFERROR(IF(INDEX(원본명단!$C$3:$C$6002,MATCH("R"&amp;536,정리결과!$J$6:$J$6005,0))="","",INDEX(원본명단!$C$3:$C$6002,MATCH("R"&amp;536,정리결과!$J$6:$J$6005,0))),""))</f>
        <v/>
      </c>
      <c r="D541" s="10" t="str">
        <f aca="false">IF($A541="","",IFERROR(IF(INDEX(원본명단!$D$3:$D$6002,MATCH("R"&amp;536,정리결과!$J$6:$J$6005,0))="","",INDEX(원본명단!$D$3:$D$6002,MATCH("R"&amp;536,정리결과!$J$6:$J$6005,0))),""))</f>
        <v/>
      </c>
      <c r="E541" s="10" t="str">
        <f aca="false">IF($A541="","",IFERROR(IF(INDEX(원본명단!$E$3:$E$6002,MATCH("R"&amp;536,정리결과!$J$6:$J$6005,0))="","",INDEX(원본명단!$E$3:$E$6002,MATCH("R"&amp;536,정리결과!$J$6:$J$6005,0))),""))</f>
        <v/>
      </c>
      <c r="F541" s="10" t="str">
        <f aca="false">IF($A541="","",IFERROR(IF(INDEX(원본명단!$F$3:$F$6002,MATCH("R"&amp;536,정리결과!$J$6:$J$6005,0))="","",INDEX(원본명단!$F$3:$F$6002,MATCH("R"&amp;536,정리결과!$J$6:$J$6005,0))),""))</f>
        <v/>
      </c>
      <c r="H541" s="14" t="b">
        <f aca="false">IF(중복검사!$A539="",FALSE(),중복검사!$J539="유지")</f>
        <v>0</v>
      </c>
      <c r="I541" s="5" t="str">
        <f aca="false">IF($H541=FALSE(),"",COUNTIF($H$6:$H541,TRUE()))</f>
        <v/>
      </c>
      <c r="J541" s="5" t="str">
        <f aca="false">IF($I541="","","R"&amp;$I541)</f>
        <v/>
      </c>
    </row>
    <row r="542" customFormat="false" ht="15" hidden="false" customHeight="true" outlineLevel="0" collapsed="false">
      <c r="A542" s="10" t="str">
        <f aca="false">IFERROR(IF(INDEX(원본명단!$A$3:$A$6002,MATCH("R"&amp;537,정리결과!$J$6:$J$6005,0))="","",INDEX(원본명단!$A$3:$A$6002,MATCH("R"&amp;537,정리결과!$J$6:$J$6005,0))),"")</f>
        <v/>
      </c>
      <c r="B542" s="10" t="str">
        <f aca="false">IF($A542="","",IFERROR(IF(INDEX(원본명단!$B$3:$B$6002,MATCH("R"&amp;537,정리결과!$J$6:$J$6005,0))="","",INDEX(원본명단!$B$3:$B$6002,MATCH("R"&amp;537,정리결과!$J$6:$J$6005,0))),""))</f>
        <v/>
      </c>
      <c r="C542" s="10" t="str">
        <f aca="false">IF($A542="","",IFERROR(IF(INDEX(원본명단!$C$3:$C$6002,MATCH("R"&amp;537,정리결과!$J$6:$J$6005,0))="","",INDEX(원본명단!$C$3:$C$6002,MATCH("R"&amp;537,정리결과!$J$6:$J$6005,0))),""))</f>
        <v/>
      </c>
      <c r="D542" s="10" t="str">
        <f aca="false">IF($A542="","",IFERROR(IF(INDEX(원본명단!$D$3:$D$6002,MATCH("R"&amp;537,정리결과!$J$6:$J$6005,0))="","",INDEX(원본명단!$D$3:$D$6002,MATCH("R"&amp;537,정리결과!$J$6:$J$6005,0))),""))</f>
        <v/>
      </c>
      <c r="E542" s="10" t="str">
        <f aca="false">IF($A542="","",IFERROR(IF(INDEX(원본명단!$E$3:$E$6002,MATCH("R"&amp;537,정리결과!$J$6:$J$6005,0))="","",INDEX(원본명단!$E$3:$E$6002,MATCH("R"&amp;537,정리결과!$J$6:$J$6005,0))),""))</f>
        <v/>
      </c>
      <c r="F542" s="10" t="str">
        <f aca="false">IF($A542="","",IFERROR(IF(INDEX(원본명단!$F$3:$F$6002,MATCH("R"&amp;537,정리결과!$J$6:$J$6005,0))="","",INDEX(원본명단!$F$3:$F$6002,MATCH("R"&amp;537,정리결과!$J$6:$J$6005,0))),""))</f>
        <v/>
      </c>
      <c r="H542" s="14" t="b">
        <f aca="false">IF(중복검사!$A540="",FALSE(),중복검사!$J540="유지")</f>
        <v>0</v>
      </c>
      <c r="I542" s="5" t="str">
        <f aca="false">IF($H542=FALSE(),"",COUNTIF($H$6:$H542,TRUE()))</f>
        <v/>
      </c>
      <c r="J542" s="5" t="str">
        <f aca="false">IF($I542="","","R"&amp;$I542)</f>
        <v/>
      </c>
    </row>
    <row r="543" customFormat="false" ht="15" hidden="false" customHeight="true" outlineLevel="0" collapsed="false">
      <c r="A543" s="10" t="str">
        <f aca="false">IFERROR(IF(INDEX(원본명단!$A$3:$A$6002,MATCH("R"&amp;538,정리결과!$J$6:$J$6005,0))="","",INDEX(원본명단!$A$3:$A$6002,MATCH("R"&amp;538,정리결과!$J$6:$J$6005,0))),"")</f>
        <v/>
      </c>
      <c r="B543" s="10" t="str">
        <f aca="false">IF($A543="","",IFERROR(IF(INDEX(원본명단!$B$3:$B$6002,MATCH("R"&amp;538,정리결과!$J$6:$J$6005,0))="","",INDEX(원본명단!$B$3:$B$6002,MATCH("R"&amp;538,정리결과!$J$6:$J$6005,0))),""))</f>
        <v/>
      </c>
      <c r="C543" s="10" t="str">
        <f aca="false">IF($A543="","",IFERROR(IF(INDEX(원본명단!$C$3:$C$6002,MATCH("R"&amp;538,정리결과!$J$6:$J$6005,0))="","",INDEX(원본명단!$C$3:$C$6002,MATCH("R"&amp;538,정리결과!$J$6:$J$6005,0))),""))</f>
        <v/>
      </c>
      <c r="D543" s="10" t="str">
        <f aca="false">IF($A543="","",IFERROR(IF(INDEX(원본명단!$D$3:$D$6002,MATCH("R"&amp;538,정리결과!$J$6:$J$6005,0))="","",INDEX(원본명단!$D$3:$D$6002,MATCH("R"&amp;538,정리결과!$J$6:$J$6005,0))),""))</f>
        <v/>
      </c>
      <c r="E543" s="10" t="str">
        <f aca="false">IF($A543="","",IFERROR(IF(INDEX(원본명단!$E$3:$E$6002,MATCH("R"&amp;538,정리결과!$J$6:$J$6005,0))="","",INDEX(원본명단!$E$3:$E$6002,MATCH("R"&amp;538,정리결과!$J$6:$J$6005,0))),""))</f>
        <v/>
      </c>
      <c r="F543" s="10" t="str">
        <f aca="false">IF($A543="","",IFERROR(IF(INDEX(원본명단!$F$3:$F$6002,MATCH("R"&amp;538,정리결과!$J$6:$J$6005,0))="","",INDEX(원본명단!$F$3:$F$6002,MATCH("R"&amp;538,정리결과!$J$6:$J$6005,0))),""))</f>
        <v/>
      </c>
      <c r="H543" s="14" t="b">
        <f aca="false">IF(중복검사!$A541="",FALSE(),중복검사!$J541="유지")</f>
        <v>0</v>
      </c>
      <c r="I543" s="5" t="str">
        <f aca="false">IF($H543=FALSE(),"",COUNTIF($H$6:$H543,TRUE()))</f>
        <v/>
      </c>
      <c r="J543" s="5" t="str">
        <f aca="false">IF($I543="","","R"&amp;$I543)</f>
        <v/>
      </c>
    </row>
    <row r="544" customFormat="false" ht="15" hidden="false" customHeight="true" outlineLevel="0" collapsed="false">
      <c r="A544" s="10" t="str">
        <f aca="false">IFERROR(IF(INDEX(원본명단!$A$3:$A$6002,MATCH("R"&amp;539,정리결과!$J$6:$J$6005,0))="","",INDEX(원본명단!$A$3:$A$6002,MATCH("R"&amp;539,정리결과!$J$6:$J$6005,0))),"")</f>
        <v/>
      </c>
      <c r="B544" s="10" t="str">
        <f aca="false">IF($A544="","",IFERROR(IF(INDEX(원본명단!$B$3:$B$6002,MATCH("R"&amp;539,정리결과!$J$6:$J$6005,0))="","",INDEX(원본명단!$B$3:$B$6002,MATCH("R"&amp;539,정리결과!$J$6:$J$6005,0))),""))</f>
        <v/>
      </c>
      <c r="C544" s="10" t="str">
        <f aca="false">IF($A544="","",IFERROR(IF(INDEX(원본명단!$C$3:$C$6002,MATCH("R"&amp;539,정리결과!$J$6:$J$6005,0))="","",INDEX(원본명단!$C$3:$C$6002,MATCH("R"&amp;539,정리결과!$J$6:$J$6005,0))),""))</f>
        <v/>
      </c>
      <c r="D544" s="10" t="str">
        <f aca="false">IF($A544="","",IFERROR(IF(INDEX(원본명단!$D$3:$D$6002,MATCH("R"&amp;539,정리결과!$J$6:$J$6005,0))="","",INDEX(원본명단!$D$3:$D$6002,MATCH("R"&amp;539,정리결과!$J$6:$J$6005,0))),""))</f>
        <v/>
      </c>
      <c r="E544" s="10" t="str">
        <f aca="false">IF($A544="","",IFERROR(IF(INDEX(원본명단!$E$3:$E$6002,MATCH("R"&amp;539,정리결과!$J$6:$J$6005,0))="","",INDEX(원본명단!$E$3:$E$6002,MATCH("R"&amp;539,정리결과!$J$6:$J$6005,0))),""))</f>
        <v/>
      </c>
      <c r="F544" s="10" t="str">
        <f aca="false">IF($A544="","",IFERROR(IF(INDEX(원본명단!$F$3:$F$6002,MATCH("R"&amp;539,정리결과!$J$6:$J$6005,0))="","",INDEX(원본명단!$F$3:$F$6002,MATCH("R"&amp;539,정리결과!$J$6:$J$6005,0))),""))</f>
        <v/>
      </c>
      <c r="H544" s="14" t="b">
        <f aca="false">IF(중복검사!$A542="",FALSE(),중복검사!$J542="유지")</f>
        <v>0</v>
      </c>
      <c r="I544" s="5" t="str">
        <f aca="false">IF($H544=FALSE(),"",COUNTIF($H$6:$H544,TRUE()))</f>
        <v/>
      </c>
      <c r="J544" s="5" t="str">
        <f aca="false">IF($I544="","","R"&amp;$I544)</f>
        <v/>
      </c>
    </row>
    <row r="545" customFormat="false" ht="15" hidden="false" customHeight="true" outlineLevel="0" collapsed="false">
      <c r="A545" s="10" t="str">
        <f aca="false">IFERROR(IF(INDEX(원본명단!$A$3:$A$6002,MATCH("R"&amp;540,정리결과!$J$6:$J$6005,0))="","",INDEX(원본명단!$A$3:$A$6002,MATCH("R"&amp;540,정리결과!$J$6:$J$6005,0))),"")</f>
        <v/>
      </c>
      <c r="B545" s="10" t="str">
        <f aca="false">IF($A545="","",IFERROR(IF(INDEX(원본명단!$B$3:$B$6002,MATCH("R"&amp;540,정리결과!$J$6:$J$6005,0))="","",INDEX(원본명단!$B$3:$B$6002,MATCH("R"&amp;540,정리결과!$J$6:$J$6005,0))),""))</f>
        <v/>
      </c>
      <c r="C545" s="10" t="str">
        <f aca="false">IF($A545="","",IFERROR(IF(INDEX(원본명단!$C$3:$C$6002,MATCH("R"&amp;540,정리결과!$J$6:$J$6005,0))="","",INDEX(원본명단!$C$3:$C$6002,MATCH("R"&amp;540,정리결과!$J$6:$J$6005,0))),""))</f>
        <v/>
      </c>
      <c r="D545" s="10" t="str">
        <f aca="false">IF($A545="","",IFERROR(IF(INDEX(원본명단!$D$3:$D$6002,MATCH("R"&amp;540,정리결과!$J$6:$J$6005,0))="","",INDEX(원본명단!$D$3:$D$6002,MATCH("R"&amp;540,정리결과!$J$6:$J$6005,0))),""))</f>
        <v/>
      </c>
      <c r="E545" s="10" t="str">
        <f aca="false">IF($A545="","",IFERROR(IF(INDEX(원본명단!$E$3:$E$6002,MATCH("R"&amp;540,정리결과!$J$6:$J$6005,0))="","",INDEX(원본명단!$E$3:$E$6002,MATCH("R"&amp;540,정리결과!$J$6:$J$6005,0))),""))</f>
        <v/>
      </c>
      <c r="F545" s="10" t="str">
        <f aca="false">IF($A545="","",IFERROR(IF(INDEX(원본명단!$F$3:$F$6002,MATCH("R"&amp;540,정리결과!$J$6:$J$6005,0))="","",INDEX(원본명단!$F$3:$F$6002,MATCH("R"&amp;540,정리결과!$J$6:$J$6005,0))),""))</f>
        <v/>
      </c>
      <c r="H545" s="14" t="b">
        <f aca="false">IF(중복검사!$A543="",FALSE(),중복검사!$J543="유지")</f>
        <v>0</v>
      </c>
      <c r="I545" s="5" t="str">
        <f aca="false">IF($H545=FALSE(),"",COUNTIF($H$6:$H545,TRUE()))</f>
        <v/>
      </c>
      <c r="J545" s="5" t="str">
        <f aca="false">IF($I545="","","R"&amp;$I545)</f>
        <v/>
      </c>
    </row>
    <row r="546" customFormat="false" ht="15" hidden="false" customHeight="true" outlineLevel="0" collapsed="false">
      <c r="A546" s="10" t="str">
        <f aca="false">IFERROR(IF(INDEX(원본명단!$A$3:$A$6002,MATCH("R"&amp;541,정리결과!$J$6:$J$6005,0))="","",INDEX(원본명단!$A$3:$A$6002,MATCH("R"&amp;541,정리결과!$J$6:$J$6005,0))),"")</f>
        <v/>
      </c>
      <c r="B546" s="10" t="str">
        <f aca="false">IF($A546="","",IFERROR(IF(INDEX(원본명단!$B$3:$B$6002,MATCH("R"&amp;541,정리결과!$J$6:$J$6005,0))="","",INDEX(원본명단!$B$3:$B$6002,MATCH("R"&amp;541,정리결과!$J$6:$J$6005,0))),""))</f>
        <v/>
      </c>
      <c r="C546" s="10" t="str">
        <f aca="false">IF($A546="","",IFERROR(IF(INDEX(원본명단!$C$3:$C$6002,MATCH("R"&amp;541,정리결과!$J$6:$J$6005,0))="","",INDEX(원본명단!$C$3:$C$6002,MATCH("R"&amp;541,정리결과!$J$6:$J$6005,0))),""))</f>
        <v/>
      </c>
      <c r="D546" s="10" t="str">
        <f aca="false">IF($A546="","",IFERROR(IF(INDEX(원본명단!$D$3:$D$6002,MATCH("R"&amp;541,정리결과!$J$6:$J$6005,0))="","",INDEX(원본명단!$D$3:$D$6002,MATCH("R"&amp;541,정리결과!$J$6:$J$6005,0))),""))</f>
        <v/>
      </c>
      <c r="E546" s="10" t="str">
        <f aca="false">IF($A546="","",IFERROR(IF(INDEX(원본명단!$E$3:$E$6002,MATCH("R"&amp;541,정리결과!$J$6:$J$6005,0))="","",INDEX(원본명단!$E$3:$E$6002,MATCH("R"&amp;541,정리결과!$J$6:$J$6005,0))),""))</f>
        <v/>
      </c>
      <c r="F546" s="10" t="str">
        <f aca="false">IF($A546="","",IFERROR(IF(INDEX(원본명단!$F$3:$F$6002,MATCH("R"&amp;541,정리결과!$J$6:$J$6005,0))="","",INDEX(원본명단!$F$3:$F$6002,MATCH("R"&amp;541,정리결과!$J$6:$J$6005,0))),""))</f>
        <v/>
      </c>
      <c r="H546" s="14" t="b">
        <f aca="false">IF(중복검사!$A544="",FALSE(),중복검사!$J544="유지")</f>
        <v>0</v>
      </c>
      <c r="I546" s="5" t="str">
        <f aca="false">IF($H546=FALSE(),"",COUNTIF($H$6:$H546,TRUE()))</f>
        <v/>
      </c>
      <c r="J546" s="5" t="str">
        <f aca="false">IF($I546="","","R"&amp;$I546)</f>
        <v/>
      </c>
    </row>
    <row r="547" customFormat="false" ht="15" hidden="false" customHeight="true" outlineLevel="0" collapsed="false">
      <c r="A547" s="10" t="str">
        <f aca="false">IFERROR(IF(INDEX(원본명단!$A$3:$A$6002,MATCH("R"&amp;542,정리결과!$J$6:$J$6005,0))="","",INDEX(원본명단!$A$3:$A$6002,MATCH("R"&amp;542,정리결과!$J$6:$J$6005,0))),"")</f>
        <v/>
      </c>
      <c r="B547" s="10" t="str">
        <f aca="false">IF($A547="","",IFERROR(IF(INDEX(원본명단!$B$3:$B$6002,MATCH("R"&amp;542,정리결과!$J$6:$J$6005,0))="","",INDEX(원본명단!$B$3:$B$6002,MATCH("R"&amp;542,정리결과!$J$6:$J$6005,0))),""))</f>
        <v/>
      </c>
      <c r="C547" s="10" t="str">
        <f aca="false">IF($A547="","",IFERROR(IF(INDEX(원본명단!$C$3:$C$6002,MATCH("R"&amp;542,정리결과!$J$6:$J$6005,0))="","",INDEX(원본명단!$C$3:$C$6002,MATCH("R"&amp;542,정리결과!$J$6:$J$6005,0))),""))</f>
        <v/>
      </c>
      <c r="D547" s="10" t="str">
        <f aca="false">IF($A547="","",IFERROR(IF(INDEX(원본명단!$D$3:$D$6002,MATCH("R"&amp;542,정리결과!$J$6:$J$6005,0))="","",INDEX(원본명단!$D$3:$D$6002,MATCH("R"&amp;542,정리결과!$J$6:$J$6005,0))),""))</f>
        <v/>
      </c>
      <c r="E547" s="10" t="str">
        <f aca="false">IF($A547="","",IFERROR(IF(INDEX(원본명단!$E$3:$E$6002,MATCH("R"&amp;542,정리결과!$J$6:$J$6005,0))="","",INDEX(원본명단!$E$3:$E$6002,MATCH("R"&amp;542,정리결과!$J$6:$J$6005,0))),""))</f>
        <v/>
      </c>
      <c r="F547" s="10" t="str">
        <f aca="false">IF($A547="","",IFERROR(IF(INDEX(원본명단!$F$3:$F$6002,MATCH("R"&amp;542,정리결과!$J$6:$J$6005,0))="","",INDEX(원본명단!$F$3:$F$6002,MATCH("R"&amp;542,정리결과!$J$6:$J$6005,0))),""))</f>
        <v/>
      </c>
      <c r="H547" s="14" t="b">
        <f aca="false">IF(중복검사!$A545="",FALSE(),중복검사!$J545="유지")</f>
        <v>0</v>
      </c>
      <c r="I547" s="5" t="str">
        <f aca="false">IF($H547=FALSE(),"",COUNTIF($H$6:$H547,TRUE()))</f>
        <v/>
      </c>
      <c r="J547" s="5" t="str">
        <f aca="false">IF($I547="","","R"&amp;$I547)</f>
        <v/>
      </c>
    </row>
    <row r="548" customFormat="false" ht="15" hidden="false" customHeight="true" outlineLevel="0" collapsed="false">
      <c r="A548" s="10" t="str">
        <f aca="false">IFERROR(IF(INDEX(원본명단!$A$3:$A$6002,MATCH("R"&amp;543,정리결과!$J$6:$J$6005,0))="","",INDEX(원본명단!$A$3:$A$6002,MATCH("R"&amp;543,정리결과!$J$6:$J$6005,0))),"")</f>
        <v/>
      </c>
      <c r="B548" s="10" t="str">
        <f aca="false">IF($A548="","",IFERROR(IF(INDEX(원본명단!$B$3:$B$6002,MATCH("R"&amp;543,정리결과!$J$6:$J$6005,0))="","",INDEX(원본명단!$B$3:$B$6002,MATCH("R"&amp;543,정리결과!$J$6:$J$6005,0))),""))</f>
        <v/>
      </c>
      <c r="C548" s="10" t="str">
        <f aca="false">IF($A548="","",IFERROR(IF(INDEX(원본명단!$C$3:$C$6002,MATCH("R"&amp;543,정리결과!$J$6:$J$6005,0))="","",INDEX(원본명단!$C$3:$C$6002,MATCH("R"&amp;543,정리결과!$J$6:$J$6005,0))),""))</f>
        <v/>
      </c>
      <c r="D548" s="10" t="str">
        <f aca="false">IF($A548="","",IFERROR(IF(INDEX(원본명단!$D$3:$D$6002,MATCH("R"&amp;543,정리결과!$J$6:$J$6005,0))="","",INDEX(원본명단!$D$3:$D$6002,MATCH("R"&amp;543,정리결과!$J$6:$J$6005,0))),""))</f>
        <v/>
      </c>
      <c r="E548" s="10" t="str">
        <f aca="false">IF($A548="","",IFERROR(IF(INDEX(원본명단!$E$3:$E$6002,MATCH("R"&amp;543,정리결과!$J$6:$J$6005,0))="","",INDEX(원본명단!$E$3:$E$6002,MATCH("R"&amp;543,정리결과!$J$6:$J$6005,0))),""))</f>
        <v/>
      </c>
      <c r="F548" s="10" t="str">
        <f aca="false">IF($A548="","",IFERROR(IF(INDEX(원본명단!$F$3:$F$6002,MATCH("R"&amp;543,정리결과!$J$6:$J$6005,0))="","",INDEX(원본명단!$F$3:$F$6002,MATCH("R"&amp;543,정리결과!$J$6:$J$6005,0))),""))</f>
        <v/>
      </c>
      <c r="H548" s="14" t="b">
        <f aca="false">IF(중복검사!$A546="",FALSE(),중복검사!$J546="유지")</f>
        <v>0</v>
      </c>
      <c r="I548" s="5" t="str">
        <f aca="false">IF($H548=FALSE(),"",COUNTIF($H$6:$H548,TRUE()))</f>
        <v/>
      </c>
      <c r="J548" s="5" t="str">
        <f aca="false">IF($I548="","","R"&amp;$I548)</f>
        <v/>
      </c>
    </row>
    <row r="549" customFormat="false" ht="15" hidden="false" customHeight="true" outlineLevel="0" collapsed="false">
      <c r="A549" s="10" t="str">
        <f aca="false">IFERROR(IF(INDEX(원본명단!$A$3:$A$6002,MATCH("R"&amp;544,정리결과!$J$6:$J$6005,0))="","",INDEX(원본명단!$A$3:$A$6002,MATCH("R"&amp;544,정리결과!$J$6:$J$6005,0))),"")</f>
        <v/>
      </c>
      <c r="B549" s="10" t="str">
        <f aca="false">IF($A549="","",IFERROR(IF(INDEX(원본명단!$B$3:$B$6002,MATCH("R"&amp;544,정리결과!$J$6:$J$6005,0))="","",INDEX(원본명단!$B$3:$B$6002,MATCH("R"&amp;544,정리결과!$J$6:$J$6005,0))),""))</f>
        <v/>
      </c>
      <c r="C549" s="10" t="str">
        <f aca="false">IF($A549="","",IFERROR(IF(INDEX(원본명단!$C$3:$C$6002,MATCH("R"&amp;544,정리결과!$J$6:$J$6005,0))="","",INDEX(원본명단!$C$3:$C$6002,MATCH("R"&amp;544,정리결과!$J$6:$J$6005,0))),""))</f>
        <v/>
      </c>
      <c r="D549" s="10" t="str">
        <f aca="false">IF($A549="","",IFERROR(IF(INDEX(원본명단!$D$3:$D$6002,MATCH("R"&amp;544,정리결과!$J$6:$J$6005,0))="","",INDEX(원본명단!$D$3:$D$6002,MATCH("R"&amp;544,정리결과!$J$6:$J$6005,0))),""))</f>
        <v/>
      </c>
      <c r="E549" s="10" t="str">
        <f aca="false">IF($A549="","",IFERROR(IF(INDEX(원본명단!$E$3:$E$6002,MATCH("R"&amp;544,정리결과!$J$6:$J$6005,0))="","",INDEX(원본명단!$E$3:$E$6002,MATCH("R"&amp;544,정리결과!$J$6:$J$6005,0))),""))</f>
        <v/>
      </c>
      <c r="F549" s="10" t="str">
        <f aca="false">IF($A549="","",IFERROR(IF(INDEX(원본명단!$F$3:$F$6002,MATCH("R"&amp;544,정리결과!$J$6:$J$6005,0))="","",INDEX(원본명단!$F$3:$F$6002,MATCH("R"&amp;544,정리결과!$J$6:$J$6005,0))),""))</f>
        <v/>
      </c>
      <c r="H549" s="14" t="b">
        <f aca="false">IF(중복검사!$A547="",FALSE(),중복검사!$J547="유지")</f>
        <v>0</v>
      </c>
      <c r="I549" s="5" t="str">
        <f aca="false">IF($H549=FALSE(),"",COUNTIF($H$6:$H549,TRUE()))</f>
        <v/>
      </c>
      <c r="J549" s="5" t="str">
        <f aca="false">IF($I549="","","R"&amp;$I549)</f>
        <v/>
      </c>
    </row>
    <row r="550" customFormat="false" ht="15" hidden="false" customHeight="true" outlineLevel="0" collapsed="false">
      <c r="A550" s="10" t="str">
        <f aca="false">IFERROR(IF(INDEX(원본명단!$A$3:$A$6002,MATCH("R"&amp;545,정리결과!$J$6:$J$6005,0))="","",INDEX(원본명단!$A$3:$A$6002,MATCH("R"&amp;545,정리결과!$J$6:$J$6005,0))),"")</f>
        <v/>
      </c>
      <c r="B550" s="10" t="str">
        <f aca="false">IF($A550="","",IFERROR(IF(INDEX(원본명단!$B$3:$B$6002,MATCH("R"&amp;545,정리결과!$J$6:$J$6005,0))="","",INDEX(원본명단!$B$3:$B$6002,MATCH("R"&amp;545,정리결과!$J$6:$J$6005,0))),""))</f>
        <v/>
      </c>
      <c r="C550" s="10" t="str">
        <f aca="false">IF($A550="","",IFERROR(IF(INDEX(원본명단!$C$3:$C$6002,MATCH("R"&amp;545,정리결과!$J$6:$J$6005,0))="","",INDEX(원본명단!$C$3:$C$6002,MATCH("R"&amp;545,정리결과!$J$6:$J$6005,0))),""))</f>
        <v/>
      </c>
      <c r="D550" s="10" t="str">
        <f aca="false">IF($A550="","",IFERROR(IF(INDEX(원본명단!$D$3:$D$6002,MATCH("R"&amp;545,정리결과!$J$6:$J$6005,0))="","",INDEX(원본명단!$D$3:$D$6002,MATCH("R"&amp;545,정리결과!$J$6:$J$6005,0))),""))</f>
        <v/>
      </c>
      <c r="E550" s="10" t="str">
        <f aca="false">IF($A550="","",IFERROR(IF(INDEX(원본명단!$E$3:$E$6002,MATCH("R"&amp;545,정리결과!$J$6:$J$6005,0))="","",INDEX(원본명단!$E$3:$E$6002,MATCH("R"&amp;545,정리결과!$J$6:$J$6005,0))),""))</f>
        <v/>
      </c>
      <c r="F550" s="10" t="str">
        <f aca="false">IF($A550="","",IFERROR(IF(INDEX(원본명단!$F$3:$F$6002,MATCH("R"&amp;545,정리결과!$J$6:$J$6005,0))="","",INDEX(원본명단!$F$3:$F$6002,MATCH("R"&amp;545,정리결과!$J$6:$J$6005,0))),""))</f>
        <v/>
      </c>
      <c r="H550" s="14" t="b">
        <f aca="false">IF(중복검사!$A548="",FALSE(),중복검사!$J548="유지")</f>
        <v>0</v>
      </c>
      <c r="I550" s="5" t="str">
        <f aca="false">IF($H550=FALSE(),"",COUNTIF($H$6:$H550,TRUE()))</f>
        <v/>
      </c>
      <c r="J550" s="5" t="str">
        <f aca="false">IF($I550="","","R"&amp;$I550)</f>
        <v/>
      </c>
    </row>
    <row r="551" customFormat="false" ht="15" hidden="false" customHeight="true" outlineLevel="0" collapsed="false">
      <c r="A551" s="10" t="str">
        <f aca="false">IFERROR(IF(INDEX(원본명단!$A$3:$A$6002,MATCH("R"&amp;546,정리결과!$J$6:$J$6005,0))="","",INDEX(원본명단!$A$3:$A$6002,MATCH("R"&amp;546,정리결과!$J$6:$J$6005,0))),"")</f>
        <v/>
      </c>
      <c r="B551" s="10" t="str">
        <f aca="false">IF($A551="","",IFERROR(IF(INDEX(원본명단!$B$3:$B$6002,MATCH("R"&amp;546,정리결과!$J$6:$J$6005,0))="","",INDEX(원본명단!$B$3:$B$6002,MATCH("R"&amp;546,정리결과!$J$6:$J$6005,0))),""))</f>
        <v/>
      </c>
      <c r="C551" s="10" t="str">
        <f aca="false">IF($A551="","",IFERROR(IF(INDEX(원본명단!$C$3:$C$6002,MATCH("R"&amp;546,정리결과!$J$6:$J$6005,0))="","",INDEX(원본명단!$C$3:$C$6002,MATCH("R"&amp;546,정리결과!$J$6:$J$6005,0))),""))</f>
        <v/>
      </c>
      <c r="D551" s="10" t="str">
        <f aca="false">IF($A551="","",IFERROR(IF(INDEX(원본명단!$D$3:$D$6002,MATCH("R"&amp;546,정리결과!$J$6:$J$6005,0))="","",INDEX(원본명단!$D$3:$D$6002,MATCH("R"&amp;546,정리결과!$J$6:$J$6005,0))),""))</f>
        <v/>
      </c>
      <c r="E551" s="10" t="str">
        <f aca="false">IF($A551="","",IFERROR(IF(INDEX(원본명단!$E$3:$E$6002,MATCH("R"&amp;546,정리결과!$J$6:$J$6005,0))="","",INDEX(원본명단!$E$3:$E$6002,MATCH("R"&amp;546,정리결과!$J$6:$J$6005,0))),""))</f>
        <v/>
      </c>
      <c r="F551" s="10" t="str">
        <f aca="false">IF($A551="","",IFERROR(IF(INDEX(원본명단!$F$3:$F$6002,MATCH("R"&amp;546,정리결과!$J$6:$J$6005,0))="","",INDEX(원본명단!$F$3:$F$6002,MATCH("R"&amp;546,정리결과!$J$6:$J$6005,0))),""))</f>
        <v/>
      </c>
      <c r="H551" s="14" t="b">
        <f aca="false">IF(중복검사!$A549="",FALSE(),중복검사!$J549="유지")</f>
        <v>0</v>
      </c>
      <c r="I551" s="5" t="str">
        <f aca="false">IF($H551=FALSE(),"",COUNTIF($H$6:$H551,TRUE()))</f>
        <v/>
      </c>
      <c r="J551" s="5" t="str">
        <f aca="false">IF($I551="","","R"&amp;$I551)</f>
        <v/>
      </c>
    </row>
    <row r="552" customFormat="false" ht="15" hidden="false" customHeight="true" outlineLevel="0" collapsed="false">
      <c r="A552" s="10" t="str">
        <f aca="false">IFERROR(IF(INDEX(원본명단!$A$3:$A$6002,MATCH("R"&amp;547,정리결과!$J$6:$J$6005,0))="","",INDEX(원본명단!$A$3:$A$6002,MATCH("R"&amp;547,정리결과!$J$6:$J$6005,0))),"")</f>
        <v/>
      </c>
      <c r="B552" s="10" t="str">
        <f aca="false">IF($A552="","",IFERROR(IF(INDEX(원본명단!$B$3:$B$6002,MATCH("R"&amp;547,정리결과!$J$6:$J$6005,0))="","",INDEX(원본명단!$B$3:$B$6002,MATCH("R"&amp;547,정리결과!$J$6:$J$6005,0))),""))</f>
        <v/>
      </c>
      <c r="C552" s="10" t="str">
        <f aca="false">IF($A552="","",IFERROR(IF(INDEX(원본명단!$C$3:$C$6002,MATCH("R"&amp;547,정리결과!$J$6:$J$6005,0))="","",INDEX(원본명단!$C$3:$C$6002,MATCH("R"&amp;547,정리결과!$J$6:$J$6005,0))),""))</f>
        <v/>
      </c>
      <c r="D552" s="10" t="str">
        <f aca="false">IF($A552="","",IFERROR(IF(INDEX(원본명단!$D$3:$D$6002,MATCH("R"&amp;547,정리결과!$J$6:$J$6005,0))="","",INDEX(원본명단!$D$3:$D$6002,MATCH("R"&amp;547,정리결과!$J$6:$J$6005,0))),""))</f>
        <v/>
      </c>
      <c r="E552" s="10" t="str">
        <f aca="false">IF($A552="","",IFERROR(IF(INDEX(원본명단!$E$3:$E$6002,MATCH("R"&amp;547,정리결과!$J$6:$J$6005,0))="","",INDEX(원본명단!$E$3:$E$6002,MATCH("R"&amp;547,정리결과!$J$6:$J$6005,0))),""))</f>
        <v/>
      </c>
      <c r="F552" s="10" t="str">
        <f aca="false">IF($A552="","",IFERROR(IF(INDEX(원본명단!$F$3:$F$6002,MATCH("R"&amp;547,정리결과!$J$6:$J$6005,0))="","",INDEX(원본명단!$F$3:$F$6002,MATCH("R"&amp;547,정리결과!$J$6:$J$6005,0))),""))</f>
        <v/>
      </c>
      <c r="H552" s="14" t="b">
        <f aca="false">IF(중복검사!$A550="",FALSE(),중복검사!$J550="유지")</f>
        <v>0</v>
      </c>
      <c r="I552" s="5" t="str">
        <f aca="false">IF($H552=FALSE(),"",COUNTIF($H$6:$H552,TRUE()))</f>
        <v/>
      </c>
      <c r="J552" s="5" t="str">
        <f aca="false">IF($I552="","","R"&amp;$I552)</f>
        <v/>
      </c>
    </row>
    <row r="553" customFormat="false" ht="15" hidden="false" customHeight="true" outlineLevel="0" collapsed="false">
      <c r="A553" s="10" t="str">
        <f aca="false">IFERROR(IF(INDEX(원본명단!$A$3:$A$6002,MATCH("R"&amp;548,정리결과!$J$6:$J$6005,0))="","",INDEX(원본명단!$A$3:$A$6002,MATCH("R"&amp;548,정리결과!$J$6:$J$6005,0))),"")</f>
        <v/>
      </c>
      <c r="B553" s="10" t="str">
        <f aca="false">IF($A553="","",IFERROR(IF(INDEX(원본명단!$B$3:$B$6002,MATCH("R"&amp;548,정리결과!$J$6:$J$6005,0))="","",INDEX(원본명단!$B$3:$B$6002,MATCH("R"&amp;548,정리결과!$J$6:$J$6005,0))),""))</f>
        <v/>
      </c>
      <c r="C553" s="10" t="str">
        <f aca="false">IF($A553="","",IFERROR(IF(INDEX(원본명단!$C$3:$C$6002,MATCH("R"&amp;548,정리결과!$J$6:$J$6005,0))="","",INDEX(원본명단!$C$3:$C$6002,MATCH("R"&amp;548,정리결과!$J$6:$J$6005,0))),""))</f>
        <v/>
      </c>
      <c r="D553" s="10" t="str">
        <f aca="false">IF($A553="","",IFERROR(IF(INDEX(원본명단!$D$3:$D$6002,MATCH("R"&amp;548,정리결과!$J$6:$J$6005,0))="","",INDEX(원본명단!$D$3:$D$6002,MATCH("R"&amp;548,정리결과!$J$6:$J$6005,0))),""))</f>
        <v/>
      </c>
      <c r="E553" s="10" t="str">
        <f aca="false">IF($A553="","",IFERROR(IF(INDEX(원본명단!$E$3:$E$6002,MATCH("R"&amp;548,정리결과!$J$6:$J$6005,0))="","",INDEX(원본명단!$E$3:$E$6002,MATCH("R"&amp;548,정리결과!$J$6:$J$6005,0))),""))</f>
        <v/>
      </c>
      <c r="F553" s="10" t="str">
        <f aca="false">IF($A553="","",IFERROR(IF(INDEX(원본명단!$F$3:$F$6002,MATCH("R"&amp;548,정리결과!$J$6:$J$6005,0))="","",INDEX(원본명단!$F$3:$F$6002,MATCH("R"&amp;548,정리결과!$J$6:$J$6005,0))),""))</f>
        <v/>
      </c>
      <c r="H553" s="14" t="b">
        <f aca="false">IF(중복검사!$A551="",FALSE(),중복검사!$J551="유지")</f>
        <v>0</v>
      </c>
      <c r="I553" s="5" t="str">
        <f aca="false">IF($H553=FALSE(),"",COUNTIF($H$6:$H553,TRUE()))</f>
        <v/>
      </c>
      <c r="J553" s="5" t="str">
        <f aca="false">IF($I553="","","R"&amp;$I553)</f>
        <v/>
      </c>
    </row>
    <row r="554" customFormat="false" ht="15" hidden="false" customHeight="true" outlineLevel="0" collapsed="false">
      <c r="A554" s="10" t="str">
        <f aca="false">IFERROR(IF(INDEX(원본명단!$A$3:$A$6002,MATCH("R"&amp;549,정리결과!$J$6:$J$6005,0))="","",INDEX(원본명단!$A$3:$A$6002,MATCH("R"&amp;549,정리결과!$J$6:$J$6005,0))),"")</f>
        <v/>
      </c>
      <c r="B554" s="10" t="str">
        <f aca="false">IF($A554="","",IFERROR(IF(INDEX(원본명단!$B$3:$B$6002,MATCH("R"&amp;549,정리결과!$J$6:$J$6005,0))="","",INDEX(원본명단!$B$3:$B$6002,MATCH("R"&amp;549,정리결과!$J$6:$J$6005,0))),""))</f>
        <v/>
      </c>
      <c r="C554" s="10" t="str">
        <f aca="false">IF($A554="","",IFERROR(IF(INDEX(원본명단!$C$3:$C$6002,MATCH("R"&amp;549,정리결과!$J$6:$J$6005,0))="","",INDEX(원본명단!$C$3:$C$6002,MATCH("R"&amp;549,정리결과!$J$6:$J$6005,0))),""))</f>
        <v/>
      </c>
      <c r="D554" s="10" t="str">
        <f aca="false">IF($A554="","",IFERROR(IF(INDEX(원본명단!$D$3:$D$6002,MATCH("R"&amp;549,정리결과!$J$6:$J$6005,0))="","",INDEX(원본명단!$D$3:$D$6002,MATCH("R"&amp;549,정리결과!$J$6:$J$6005,0))),""))</f>
        <v/>
      </c>
      <c r="E554" s="10" t="str">
        <f aca="false">IF($A554="","",IFERROR(IF(INDEX(원본명단!$E$3:$E$6002,MATCH("R"&amp;549,정리결과!$J$6:$J$6005,0))="","",INDEX(원본명단!$E$3:$E$6002,MATCH("R"&amp;549,정리결과!$J$6:$J$6005,0))),""))</f>
        <v/>
      </c>
      <c r="F554" s="10" t="str">
        <f aca="false">IF($A554="","",IFERROR(IF(INDEX(원본명단!$F$3:$F$6002,MATCH("R"&amp;549,정리결과!$J$6:$J$6005,0))="","",INDEX(원본명단!$F$3:$F$6002,MATCH("R"&amp;549,정리결과!$J$6:$J$6005,0))),""))</f>
        <v/>
      </c>
      <c r="H554" s="14" t="b">
        <f aca="false">IF(중복검사!$A552="",FALSE(),중복검사!$J552="유지")</f>
        <v>0</v>
      </c>
      <c r="I554" s="5" t="str">
        <f aca="false">IF($H554=FALSE(),"",COUNTIF($H$6:$H554,TRUE()))</f>
        <v/>
      </c>
      <c r="J554" s="5" t="str">
        <f aca="false">IF($I554="","","R"&amp;$I554)</f>
        <v/>
      </c>
    </row>
    <row r="555" customFormat="false" ht="15" hidden="false" customHeight="true" outlineLevel="0" collapsed="false">
      <c r="A555" s="10" t="str">
        <f aca="false">IFERROR(IF(INDEX(원본명단!$A$3:$A$6002,MATCH("R"&amp;550,정리결과!$J$6:$J$6005,0))="","",INDEX(원본명단!$A$3:$A$6002,MATCH("R"&amp;550,정리결과!$J$6:$J$6005,0))),"")</f>
        <v/>
      </c>
      <c r="B555" s="10" t="str">
        <f aca="false">IF($A555="","",IFERROR(IF(INDEX(원본명단!$B$3:$B$6002,MATCH("R"&amp;550,정리결과!$J$6:$J$6005,0))="","",INDEX(원본명단!$B$3:$B$6002,MATCH("R"&amp;550,정리결과!$J$6:$J$6005,0))),""))</f>
        <v/>
      </c>
      <c r="C555" s="10" t="str">
        <f aca="false">IF($A555="","",IFERROR(IF(INDEX(원본명단!$C$3:$C$6002,MATCH("R"&amp;550,정리결과!$J$6:$J$6005,0))="","",INDEX(원본명단!$C$3:$C$6002,MATCH("R"&amp;550,정리결과!$J$6:$J$6005,0))),""))</f>
        <v/>
      </c>
      <c r="D555" s="10" t="str">
        <f aca="false">IF($A555="","",IFERROR(IF(INDEX(원본명단!$D$3:$D$6002,MATCH("R"&amp;550,정리결과!$J$6:$J$6005,0))="","",INDEX(원본명단!$D$3:$D$6002,MATCH("R"&amp;550,정리결과!$J$6:$J$6005,0))),""))</f>
        <v/>
      </c>
      <c r="E555" s="10" t="str">
        <f aca="false">IF($A555="","",IFERROR(IF(INDEX(원본명단!$E$3:$E$6002,MATCH("R"&amp;550,정리결과!$J$6:$J$6005,0))="","",INDEX(원본명단!$E$3:$E$6002,MATCH("R"&amp;550,정리결과!$J$6:$J$6005,0))),""))</f>
        <v/>
      </c>
      <c r="F555" s="10" t="str">
        <f aca="false">IF($A555="","",IFERROR(IF(INDEX(원본명단!$F$3:$F$6002,MATCH("R"&amp;550,정리결과!$J$6:$J$6005,0))="","",INDEX(원본명단!$F$3:$F$6002,MATCH("R"&amp;550,정리결과!$J$6:$J$6005,0))),""))</f>
        <v/>
      </c>
      <c r="H555" s="14" t="b">
        <f aca="false">IF(중복검사!$A553="",FALSE(),중복검사!$J553="유지")</f>
        <v>0</v>
      </c>
      <c r="I555" s="5" t="str">
        <f aca="false">IF($H555=FALSE(),"",COUNTIF($H$6:$H555,TRUE()))</f>
        <v/>
      </c>
      <c r="J555" s="5" t="str">
        <f aca="false">IF($I555="","","R"&amp;$I555)</f>
        <v/>
      </c>
    </row>
    <row r="556" customFormat="false" ht="15" hidden="false" customHeight="true" outlineLevel="0" collapsed="false">
      <c r="A556" s="10" t="str">
        <f aca="false">IFERROR(IF(INDEX(원본명단!$A$3:$A$6002,MATCH("R"&amp;551,정리결과!$J$6:$J$6005,0))="","",INDEX(원본명단!$A$3:$A$6002,MATCH("R"&amp;551,정리결과!$J$6:$J$6005,0))),"")</f>
        <v/>
      </c>
      <c r="B556" s="10" t="str">
        <f aca="false">IF($A556="","",IFERROR(IF(INDEX(원본명단!$B$3:$B$6002,MATCH("R"&amp;551,정리결과!$J$6:$J$6005,0))="","",INDEX(원본명단!$B$3:$B$6002,MATCH("R"&amp;551,정리결과!$J$6:$J$6005,0))),""))</f>
        <v/>
      </c>
      <c r="C556" s="10" t="str">
        <f aca="false">IF($A556="","",IFERROR(IF(INDEX(원본명단!$C$3:$C$6002,MATCH("R"&amp;551,정리결과!$J$6:$J$6005,0))="","",INDEX(원본명단!$C$3:$C$6002,MATCH("R"&amp;551,정리결과!$J$6:$J$6005,0))),""))</f>
        <v/>
      </c>
      <c r="D556" s="10" t="str">
        <f aca="false">IF($A556="","",IFERROR(IF(INDEX(원본명단!$D$3:$D$6002,MATCH("R"&amp;551,정리결과!$J$6:$J$6005,0))="","",INDEX(원본명단!$D$3:$D$6002,MATCH("R"&amp;551,정리결과!$J$6:$J$6005,0))),""))</f>
        <v/>
      </c>
      <c r="E556" s="10" t="str">
        <f aca="false">IF($A556="","",IFERROR(IF(INDEX(원본명단!$E$3:$E$6002,MATCH("R"&amp;551,정리결과!$J$6:$J$6005,0))="","",INDEX(원본명단!$E$3:$E$6002,MATCH("R"&amp;551,정리결과!$J$6:$J$6005,0))),""))</f>
        <v/>
      </c>
      <c r="F556" s="10" t="str">
        <f aca="false">IF($A556="","",IFERROR(IF(INDEX(원본명단!$F$3:$F$6002,MATCH("R"&amp;551,정리결과!$J$6:$J$6005,0))="","",INDEX(원본명단!$F$3:$F$6002,MATCH("R"&amp;551,정리결과!$J$6:$J$6005,0))),""))</f>
        <v/>
      </c>
      <c r="H556" s="14" t="b">
        <f aca="false">IF(중복검사!$A554="",FALSE(),중복검사!$J554="유지")</f>
        <v>0</v>
      </c>
      <c r="I556" s="5" t="str">
        <f aca="false">IF($H556=FALSE(),"",COUNTIF($H$6:$H556,TRUE()))</f>
        <v/>
      </c>
      <c r="J556" s="5" t="str">
        <f aca="false">IF($I556="","","R"&amp;$I556)</f>
        <v/>
      </c>
    </row>
    <row r="557" customFormat="false" ht="15" hidden="false" customHeight="true" outlineLevel="0" collapsed="false">
      <c r="A557" s="10" t="str">
        <f aca="false">IFERROR(IF(INDEX(원본명단!$A$3:$A$6002,MATCH("R"&amp;552,정리결과!$J$6:$J$6005,0))="","",INDEX(원본명단!$A$3:$A$6002,MATCH("R"&amp;552,정리결과!$J$6:$J$6005,0))),"")</f>
        <v/>
      </c>
      <c r="B557" s="10" t="str">
        <f aca="false">IF($A557="","",IFERROR(IF(INDEX(원본명단!$B$3:$B$6002,MATCH("R"&amp;552,정리결과!$J$6:$J$6005,0))="","",INDEX(원본명단!$B$3:$B$6002,MATCH("R"&amp;552,정리결과!$J$6:$J$6005,0))),""))</f>
        <v/>
      </c>
      <c r="C557" s="10" t="str">
        <f aca="false">IF($A557="","",IFERROR(IF(INDEX(원본명단!$C$3:$C$6002,MATCH("R"&amp;552,정리결과!$J$6:$J$6005,0))="","",INDEX(원본명단!$C$3:$C$6002,MATCH("R"&amp;552,정리결과!$J$6:$J$6005,0))),""))</f>
        <v/>
      </c>
      <c r="D557" s="10" t="str">
        <f aca="false">IF($A557="","",IFERROR(IF(INDEX(원본명단!$D$3:$D$6002,MATCH("R"&amp;552,정리결과!$J$6:$J$6005,0))="","",INDEX(원본명단!$D$3:$D$6002,MATCH("R"&amp;552,정리결과!$J$6:$J$6005,0))),""))</f>
        <v/>
      </c>
      <c r="E557" s="10" t="str">
        <f aca="false">IF($A557="","",IFERROR(IF(INDEX(원본명단!$E$3:$E$6002,MATCH("R"&amp;552,정리결과!$J$6:$J$6005,0))="","",INDEX(원본명단!$E$3:$E$6002,MATCH("R"&amp;552,정리결과!$J$6:$J$6005,0))),""))</f>
        <v/>
      </c>
      <c r="F557" s="10" t="str">
        <f aca="false">IF($A557="","",IFERROR(IF(INDEX(원본명단!$F$3:$F$6002,MATCH("R"&amp;552,정리결과!$J$6:$J$6005,0))="","",INDEX(원본명단!$F$3:$F$6002,MATCH("R"&amp;552,정리결과!$J$6:$J$6005,0))),""))</f>
        <v/>
      </c>
      <c r="H557" s="14" t="b">
        <f aca="false">IF(중복검사!$A555="",FALSE(),중복검사!$J555="유지")</f>
        <v>0</v>
      </c>
      <c r="I557" s="5" t="str">
        <f aca="false">IF($H557=FALSE(),"",COUNTIF($H$6:$H557,TRUE()))</f>
        <v/>
      </c>
      <c r="J557" s="5" t="str">
        <f aca="false">IF($I557="","","R"&amp;$I557)</f>
        <v/>
      </c>
    </row>
    <row r="558" customFormat="false" ht="15" hidden="false" customHeight="true" outlineLevel="0" collapsed="false">
      <c r="A558" s="10" t="str">
        <f aca="false">IFERROR(IF(INDEX(원본명단!$A$3:$A$6002,MATCH("R"&amp;553,정리결과!$J$6:$J$6005,0))="","",INDEX(원본명단!$A$3:$A$6002,MATCH("R"&amp;553,정리결과!$J$6:$J$6005,0))),"")</f>
        <v/>
      </c>
      <c r="B558" s="10" t="str">
        <f aca="false">IF($A558="","",IFERROR(IF(INDEX(원본명단!$B$3:$B$6002,MATCH("R"&amp;553,정리결과!$J$6:$J$6005,0))="","",INDEX(원본명단!$B$3:$B$6002,MATCH("R"&amp;553,정리결과!$J$6:$J$6005,0))),""))</f>
        <v/>
      </c>
      <c r="C558" s="10" t="str">
        <f aca="false">IF($A558="","",IFERROR(IF(INDEX(원본명단!$C$3:$C$6002,MATCH("R"&amp;553,정리결과!$J$6:$J$6005,0))="","",INDEX(원본명단!$C$3:$C$6002,MATCH("R"&amp;553,정리결과!$J$6:$J$6005,0))),""))</f>
        <v/>
      </c>
      <c r="D558" s="10" t="str">
        <f aca="false">IF($A558="","",IFERROR(IF(INDEX(원본명단!$D$3:$D$6002,MATCH("R"&amp;553,정리결과!$J$6:$J$6005,0))="","",INDEX(원본명단!$D$3:$D$6002,MATCH("R"&amp;553,정리결과!$J$6:$J$6005,0))),""))</f>
        <v/>
      </c>
      <c r="E558" s="10" t="str">
        <f aca="false">IF($A558="","",IFERROR(IF(INDEX(원본명단!$E$3:$E$6002,MATCH("R"&amp;553,정리결과!$J$6:$J$6005,0))="","",INDEX(원본명단!$E$3:$E$6002,MATCH("R"&amp;553,정리결과!$J$6:$J$6005,0))),""))</f>
        <v/>
      </c>
      <c r="F558" s="10" t="str">
        <f aca="false">IF($A558="","",IFERROR(IF(INDEX(원본명단!$F$3:$F$6002,MATCH("R"&amp;553,정리결과!$J$6:$J$6005,0))="","",INDEX(원본명단!$F$3:$F$6002,MATCH("R"&amp;553,정리결과!$J$6:$J$6005,0))),""))</f>
        <v/>
      </c>
      <c r="H558" s="14" t="b">
        <f aca="false">IF(중복검사!$A556="",FALSE(),중복검사!$J556="유지")</f>
        <v>0</v>
      </c>
      <c r="I558" s="5" t="str">
        <f aca="false">IF($H558=FALSE(),"",COUNTIF($H$6:$H558,TRUE()))</f>
        <v/>
      </c>
      <c r="J558" s="5" t="str">
        <f aca="false">IF($I558="","","R"&amp;$I558)</f>
        <v/>
      </c>
    </row>
    <row r="559" customFormat="false" ht="15" hidden="false" customHeight="true" outlineLevel="0" collapsed="false">
      <c r="A559" s="10" t="str">
        <f aca="false">IFERROR(IF(INDEX(원본명단!$A$3:$A$6002,MATCH("R"&amp;554,정리결과!$J$6:$J$6005,0))="","",INDEX(원본명단!$A$3:$A$6002,MATCH("R"&amp;554,정리결과!$J$6:$J$6005,0))),"")</f>
        <v/>
      </c>
      <c r="B559" s="10" t="str">
        <f aca="false">IF($A559="","",IFERROR(IF(INDEX(원본명단!$B$3:$B$6002,MATCH("R"&amp;554,정리결과!$J$6:$J$6005,0))="","",INDEX(원본명단!$B$3:$B$6002,MATCH("R"&amp;554,정리결과!$J$6:$J$6005,0))),""))</f>
        <v/>
      </c>
      <c r="C559" s="10" t="str">
        <f aca="false">IF($A559="","",IFERROR(IF(INDEX(원본명단!$C$3:$C$6002,MATCH("R"&amp;554,정리결과!$J$6:$J$6005,0))="","",INDEX(원본명단!$C$3:$C$6002,MATCH("R"&amp;554,정리결과!$J$6:$J$6005,0))),""))</f>
        <v/>
      </c>
      <c r="D559" s="10" t="str">
        <f aca="false">IF($A559="","",IFERROR(IF(INDEX(원본명단!$D$3:$D$6002,MATCH("R"&amp;554,정리결과!$J$6:$J$6005,0))="","",INDEX(원본명단!$D$3:$D$6002,MATCH("R"&amp;554,정리결과!$J$6:$J$6005,0))),""))</f>
        <v/>
      </c>
      <c r="E559" s="10" t="str">
        <f aca="false">IF($A559="","",IFERROR(IF(INDEX(원본명단!$E$3:$E$6002,MATCH("R"&amp;554,정리결과!$J$6:$J$6005,0))="","",INDEX(원본명단!$E$3:$E$6002,MATCH("R"&amp;554,정리결과!$J$6:$J$6005,0))),""))</f>
        <v/>
      </c>
      <c r="F559" s="10" t="str">
        <f aca="false">IF($A559="","",IFERROR(IF(INDEX(원본명단!$F$3:$F$6002,MATCH("R"&amp;554,정리결과!$J$6:$J$6005,0))="","",INDEX(원본명단!$F$3:$F$6002,MATCH("R"&amp;554,정리결과!$J$6:$J$6005,0))),""))</f>
        <v/>
      </c>
      <c r="H559" s="14" t="b">
        <f aca="false">IF(중복검사!$A557="",FALSE(),중복검사!$J557="유지")</f>
        <v>0</v>
      </c>
      <c r="I559" s="5" t="str">
        <f aca="false">IF($H559=FALSE(),"",COUNTIF($H$6:$H559,TRUE()))</f>
        <v/>
      </c>
      <c r="J559" s="5" t="str">
        <f aca="false">IF($I559="","","R"&amp;$I559)</f>
        <v/>
      </c>
    </row>
    <row r="560" customFormat="false" ht="15" hidden="false" customHeight="true" outlineLevel="0" collapsed="false">
      <c r="A560" s="10" t="str">
        <f aca="false">IFERROR(IF(INDEX(원본명단!$A$3:$A$6002,MATCH("R"&amp;555,정리결과!$J$6:$J$6005,0))="","",INDEX(원본명단!$A$3:$A$6002,MATCH("R"&amp;555,정리결과!$J$6:$J$6005,0))),"")</f>
        <v/>
      </c>
      <c r="B560" s="10" t="str">
        <f aca="false">IF($A560="","",IFERROR(IF(INDEX(원본명단!$B$3:$B$6002,MATCH("R"&amp;555,정리결과!$J$6:$J$6005,0))="","",INDEX(원본명단!$B$3:$B$6002,MATCH("R"&amp;555,정리결과!$J$6:$J$6005,0))),""))</f>
        <v/>
      </c>
      <c r="C560" s="10" t="str">
        <f aca="false">IF($A560="","",IFERROR(IF(INDEX(원본명단!$C$3:$C$6002,MATCH("R"&amp;555,정리결과!$J$6:$J$6005,0))="","",INDEX(원본명단!$C$3:$C$6002,MATCH("R"&amp;555,정리결과!$J$6:$J$6005,0))),""))</f>
        <v/>
      </c>
      <c r="D560" s="10" t="str">
        <f aca="false">IF($A560="","",IFERROR(IF(INDEX(원본명단!$D$3:$D$6002,MATCH("R"&amp;555,정리결과!$J$6:$J$6005,0))="","",INDEX(원본명단!$D$3:$D$6002,MATCH("R"&amp;555,정리결과!$J$6:$J$6005,0))),""))</f>
        <v/>
      </c>
      <c r="E560" s="10" t="str">
        <f aca="false">IF($A560="","",IFERROR(IF(INDEX(원본명단!$E$3:$E$6002,MATCH("R"&amp;555,정리결과!$J$6:$J$6005,0))="","",INDEX(원본명단!$E$3:$E$6002,MATCH("R"&amp;555,정리결과!$J$6:$J$6005,0))),""))</f>
        <v/>
      </c>
      <c r="F560" s="10" t="str">
        <f aca="false">IF($A560="","",IFERROR(IF(INDEX(원본명단!$F$3:$F$6002,MATCH("R"&amp;555,정리결과!$J$6:$J$6005,0))="","",INDEX(원본명단!$F$3:$F$6002,MATCH("R"&amp;555,정리결과!$J$6:$J$6005,0))),""))</f>
        <v/>
      </c>
      <c r="H560" s="14" t="b">
        <f aca="false">IF(중복검사!$A558="",FALSE(),중복검사!$J558="유지")</f>
        <v>0</v>
      </c>
      <c r="I560" s="5" t="str">
        <f aca="false">IF($H560=FALSE(),"",COUNTIF($H$6:$H560,TRUE()))</f>
        <v/>
      </c>
      <c r="J560" s="5" t="str">
        <f aca="false">IF($I560="","","R"&amp;$I560)</f>
        <v/>
      </c>
    </row>
    <row r="561" customFormat="false" ht="15" hidden="false" customHeight="true" outlineLevel="0" collapsed="false">
      <c r="A561" s="10" t="str">
        <f aca="false">IFERROR(IF(INDEX(원본명단!$A$3:$A$6002,MATCH("R"&amp;556,정리결과!$J$6:$J$6005,0))="","",INDEX(원본명단!$A$3:$A$6002,MATCH("R"&amp;556,정리결과!$J$6:$J$6005,0))),"")</f>
        <v/>
      </c>
      <c r="B561" s="10" t="str">
        <f aca="false">IF($A561="","",IFERROR(IF(INDEX(원본명단!$B$3:$B$6002,MATCH("R"&amp;556,정리결과!$J$6:$J$6005,0))="","",INDEX(원본명단!$B$3:$B$6002,MATCH("R"&amp;556,정리결과!$J$6:$J$6005,0))),""))</f>
        <v/>
      </c>
      <c r="C561" s="10" t="str">
        <f aca="false">IF($A561="","",IFERROR(IF(INDEX(원본명단!$C$3:$C$6002,MATCH("R"&amp;556,정리결과!$J$6:$J$6005,0))="","",INDEX(원본명단!$C$3:$C$6002,MATCH("R"&amp;556,정리결과!$J$6:$J$6005,0))),""))</f>
        <v/>
      </c>
      <c r="D561" s="10" t="str">
        <f aca="false">IF($A561="","",IFERROR(IF(INDEX(원본명단!$D$3:$D$6002,MATCH("R"&amp;556,정리결과!$J$6:$J$6005,0))="","",INDEX(원본명단!$D$3:$D$6002,MATCH("R"&amp;556,정리결과!$J$6:$J$6005,0))),""))</f>
        <v/>
      </c>
      <c r="E561" s="10" t="str">
        <f aca="false">IF($A561="","",IFERROR(IF(INDEX(원본명단!$E$3:$E$6002,MATCH("R"&amp;556,정리결과!$J$6:$J$6005,0))="","",INDEX(원본명단!$E$3:$E$6002,MATCH("R"&amp;556,정리결과!$J$6:$J$6005,0))),""))</f>
        <v/>
      </c>
      <c r="F561" s="10" t="str">
        <f aca="false">IF($A561="","",IFERROR(IF(INDEX(원본명단!$F$3:$F$6002,MATCH("R"&amp;556,정리결과!$J$6:$J$6005,0))="","",INDEX(원본명단!$F$3:$F$6002,MATCH("R"&amp;556,정리결과!$J$6:$J$6005,0))),""))</f>
        <v/>
      </c>
      <c r="H561" s="14" t="b">
        <f aca="false">IF(중복검사!$A559="",FALSE(),중복검사!$J559="유지")</f>
        <v>0</v>
      </c>
      <c r="I561" s="5" t="str">
        <f aca="false">IF($H561=FALSE(),"",COUNTIF($H$6:$H561,TRUE()))</f>
        <v/>
      </c>
      <c r="J561" s="5" t="str">
        <f aca="false">IF($I561="","","R"&amp;$I561)</f>
        <v/>
      </c>
    </row>
    <row r="562" customFormat="false" ht="15" hidden="false" customHeight="true" outlineLevel="0" collapsed="false">
      <c r="A562" s="10" t="str">
        <f aca="false">IFERROR(IF(INDEX(원본명단!$A$3:$A$6002,MATCH("R"&amp;557,정리결과!$J$6:$J$6005,0))="","",INDEX(원본명단!$A$3:$A$6002,MATCH("R"&amp;557,정리결과!$J$6:$J$6005,0))),"")</f>
        <v/>
      </c>
      <c r="B562" s="10" t="str">
        <f aca="false">IF($A562="","",IFERROR(IF(INDEX(원본명단!$B$3:$B$6002,MATCH("R"&amp;557,정리결과!$J$6:$J$6005,0))="","",INDEX(원본명단!$B$3:$B$6002,MATCH("R"&amp;557,정리결과!$J$6:$J$6005,0))),""))</f>
        <v/>
      </c>
      <c r="C562" s="10" t="str">
        <f aca="false">IF($A562="","",IFERROR(IF(INDEX(원본명단!$C$3:$C$6002,MATCH("R"&amp;557,정리결과!$J$6:$J$6005,0))="","",INDEX(원본명단!$C$3:$C$6002,MATCH("R"&amp;557,정리결과!$J$6:$J$6005,0))),""))</f>
        <v/>
      </c>
      <c r="D562" s="10" t="str">
        <f aca="false">IF($A562="","",IFERROR(IF(INDEX(원본명단!$D$3:$D$6002,MATCH("R"&amp;557,정리결과!$J$6:$J$6005,0))="","",INDEX(원본명단!$D$3:$D$6002,MATCH("R"&amp;557,정리결과!$J$6:$J$6005,0))),""))</f>
        <v/>
      </c>
      <c r="E562" s="10" t="str">
        <f aca="false">IF($A562="","",IFERROR(IF(INDEX(원본명단!$E$3:$E$6002,MATCH("R"&amp;557,정리결과!$J$6:$J$6005,0))="","",INDEX(원본명단!$E$3:$E$6002,MATCH("R"&amp;557,정리결과!$J$6:$J$6005,0))),""))</f>
        <v/>
      </c>
      <c r="F562" s="10" t="str">
        <f aca="false">IF($A562="","",IFERROR(IF(INDEX(원본명단!$F$3:$F$6002,MATCH("R"&amp;557,정리결과!$J$6:$J$6005,0))="","",INDEX(원본명단!$F$3:$F$6002,MATCH("R"&amp;557,정리결과!$J$6:$J$6005,0))),""))</f>
        <v/>
      </c>
      <c r="H562" s="14" t="b">
        <f aca="false">IF(중복검사!$A560="",FALSE(),중복검사!$J560="유지")</f>
        <v>0</v>
      </c>
      <c r="I562" s="5" t="str">
        <f aca="false">IF($H562=FALSE(),"",COUNTIF($H$6:$H562,TRUE()))</f>
        <v/>
      </c>
      <c r="J562" s="5" t="str">
        <f aca="false">IF($I562="","","R"&amp;$I562)</f>
        <v/>
      </c>
    </row>
    <row r="563" customFormat="false" ht="15" hidden="false" customHeight="true" outlineLevel="0" collapsed="false">
      <c r="A563" s="10" t="str">
        <f aca="false">IFERROR(IF(INDEX(원본명단!$A$3:$A$6002,MATCH("R"&amp;558,정리결과!$J$6:$J$6005,0))="","",INDEX(원본명단!$A$3:$A$6002,MATCH("R"&amp;558,정리결과!$J$6:$J$6005,0))),"")</f>
        <v/>
      </c>
      <c r="B563" s="10" t="str">
        <f aca="false">IF($A563="","",IFERROR(IF(INDEX(원본명단!$B$3:$B$6002,MATCH("R"&amp;558,정리결과!$J$6:$J$6005,0))="","",INDEX(원본명단!$B$3:$B$6002,MATCH("R"&amp;558,정리결과!$J$6:$J$6005,0))),""))</f>
        <v/>
      </c>
      <c r="C563" s="10" t="str">
        <f aca="false">IF($A563="","",IFERROR(IF(INDEX(원본명단!$C$3:$C$6002,MATCH("R"&amp;558,정리결과!$J$6:$J$6005,0))="","",INDEX(원본명단!$C$3:$C$6002,MATCH("R"&amp;558,정리결과!$J$6:$J$6005,0))),""))</f>
        <v/>
      </c>
      <c r="D563" s="10" t="str">
        <f aca="false">IF($A563="","",IFERROR(IF(INDEX(원본명단!$D$3:$D$6002,MATCH("R"&amp;558,정리결과!$J$6:$J$6005,0))="","",INDEX(원본명단!$D$3:$D$6002,MATCH("R"&amp;558,정리결과!$J$6:$J$6005,0))),""))</f>
        <v/>
      </c>
      <c r="E563" s="10" t="str">
        <f aca="false">IF($A563="","",IFERROR(IF(INDEX(원본명단!$E$3:$E$6002,MATCH("R"&amp;558,정리결과!$J$6:$J$6005,0))="","",INDEX(원본명단!$E$3:$E$6002,MATCH("R"&amp;558,정리결과!$J$6:$J$6005,0))),""))</f>
        <v/>
      </c>
      <c r="F563" s="10" t="str">
        <f aca="false">IF($A563="","",IFERROR(IF(INDEX(원본명단!$F$3:$F$6002,MATCH("R"&amp;558,정리결과!$J$6:$J$6005,0))="","",INDEX(원본명단!$F$3:$F$6002,MATCH("R"&amp;558,정리결과!$J$6:$J$6005,0))),""))</f>
        <v/>
      </c>
      <c r="H563" s="14" t="b">
        <f aca="false">IF(중복검사!$A561="",FALSE(),중복검사!$J561="유지")</f>
        <v>0</v>
      </c>
      <c r="I563" s="5" t="str">
        <f aca="false">IF($H563=FALSE(),"",COUNTIF($H$6:$H563,TRUE()))</f>
        <v/>
      </c>
      <c r="J563" s="5" t="str">
        <f aca="false">IF($I563="","","R"&amp;$I563)</f>
        <v/>
      </c>
    </row>
    <row r="564" customFormat="false" ht="15" hidden="false" customHeight="true" outlineLevel="0" collapsed="false">
      <c r="A564" s="10" t="str">
        <f aca="false">IFERROR(IF(INDEX(원본명단!$A$3:$A$6002,MATCH("R"&amp;559,정리결과!$J$6:$J$6005,0))="","",INDEX(원본명단!$A$3:$A$6002,MATCH("R"&amp;559,정리결과!$J$6:$J$6005,0))),"")</f>
        <v/>
      </c>
      <c r="B564" s="10" t="str">
        <f aca="false">IF($A564="","",IFERROR(IF(INDEX(원본명단!$B$3:$B$6002,MATCH("R"&amp;559,정리결과!$J$6:$J$6005,0))="","",INDEX(원본명단!$B$3:$B$6002,MATCH("R"&amp;559,정리결과!$J$6:$J$6005,0))),""))</f>
        <v/>
      </c>
      <c r="C564" s="10" t="str">
        <f aca="false">IF($A564="","",IFERROR(IF(INDEX(원본명단!$C$3:$C$6002,MATCH("R"&amp;559,정리결과!$J$6:$J$6005,0))="","",INDEX(원본명단!$C$3:$C$6002,MATCH("R"&amp;559,정리결과!$J$6:$J$6005,0))),""))</f>
        <v/>
      </c>
      <c r="D564" s="10" t="str">
        <f aca="false">IF($A564="","",IFERROR(IF(INDEX(원본명단!$D$3:$D$6002,MATCH("R"&amp;559,정리결과!$J$6:$J$6005,0))="","",INDEX(원본명단!$D$3:$D$6002,MATCH("R"&amp;559,정리결과!$J$6:$J$6005,0))),""))</f>
        <v/>
      </c>
      <c r="E564" s="10" t="str">
        <f aca="false">IF($A564="","",IFERROR(IF(INDEX(원본명단!$E$3:$E$6002,MATCH("R"&amp;559,정리결과!$J$6:$J$6005,0))="","",INDEX(원본명단!$E$3:$E$6002,MATCH("R"&amp;559,정리결과!$J$6:$J$6005,0))),""))</f>
        <v/>
      </c>
      <c r="F564" s="10" t="str">
        <f aca="false">IF($A564="","",IFERROR(IF(INDEX(원본명단!$F$3:$F$6002,MATCH("R"&amp;559,정리결과!$J$6:$J$6005,0))="","",INDEX(원본명단!$F$3:$F$6002,MATCH("R"&amp;559,정리결과!$J$6:$J$6005,0))),""))</f>
        <v/>
      </c>
      <c r="H564" s="14" t="b">
        <f aca="false">IF(중복검사!$A562="",FALSE(),중복검사!$J562="유지")</f>
        <v>0</v>
      </c>
      <c r="I564" s="5" t="str">
        <f aca="false">IF($H564=FALSE(),"",COUNTIF($H$6:$H564,TRUE()))</f>
        <v/>
      </c>
      <c r="J564" s="5" t="str">
        <f aca="false">IF($I564="","","R"&amp;$I564)</f>
        <v/>
      </c>
    </row>
    <row r="565" customFormat="false" ht="15" hidden="false" customHeight="true" outlineLevel="0" collapsed="false">
      <c r="A565" s="10" t="str">
        <f aca="false">IFERROR(IF(INDEX(원본명단!$A$3:$A$6002,MATCH("R"&amp;560,정리결과!$J$6:$J$6005,0))="","",INDEX(원본명단!$A$3:$A$6002,MATCH("R"&amp;560,정리결과!$J$6:$J$6005,0))),"")</f>
        <v/>
      </c>
      <c r="B565" s="10" t="str">
        <f aca="false">IF($A565="","",IFERROR(IF(INDEX(원본명단!$B$3:$B$6002,MATCH("R"&amp;560,정리결과!$J$6:$J$6005,0))="","",INDEX(원본명단!$B$3:$B$6002,MATCH("R"&amp;560,정리결과!$J$6:$J$6005,0))),""))</f>
        <v/>
      </c>
      <c r="C565" s="10" t="str">
        <f aca="false">IF($A565="","",IFERROR(IF(INDEX(원본명단!$C$3:$C$6002,MATCH("R"&amp;560,정리결과!$J$6:$J$6005,0))="","",INDEX(원본명단!$C$3:$C$6002,MATCH("R"&amp;560,정리결과!$J$6:$J$6005,0))),""))</f>
        <v/>
      </c>
      <c r="D565" s="10" t="str">
        <f aca="false">IF($A565="","",IFERROR(IF(INDEX(원본명단!$D$3:$D$6002,MATCH("R"&amp;560,정리결과!$J$6:$J$6005,0))="","",INDEX(원본명단!$D$3:$D$6002,MATCH("R"&amp;560,정리결과!$J$6:$J$6005,0))),""))</f>
        <v/>
      </c>
      <c r="E565" s="10" t="str">
        <f aca="false">IF($A565="","",IFERROR(IF(INDEX(원본명단!$E$3:$E$6002,MATCH("R"&amp;560,정리결과!$J$6:$J$6005,0))="","",INDEX(원본명단!$E$3:$E$6002,MATCH("R"&amp;560,정리결과!$J$6:$J$6005,0))),""))</f>
        <v/>
      </c>
      <c r="F565" s="10" t="str">
        <f aca="false">IF($A565="","",IFERROR(IF(INDEX(원본명단!$F$3:$F$6002,MATCH("R"&amp;560,정리결과!$J$6:$J$6005,0))="","",INDEX(원본명단!$F$3:$F$6002,MATCH("R"&amp;560,정리결과!$J$6:$J$6005,0))),""))</f>
        <v/>
      </c>
      <c r="H565" s="14" t="b">
        <f aca="false">IF(중복검사!$A563="",FALSE(),중복검사!$J563="유지")</f>
        <v>0</v>
      </c>
      <c r="I565" s="5" t="str">
        <f aca="false">IF($H565=FALSE(),"",COUNTIF($H$6:$H565,TRUE()))</f>
        <v/>
      </c>
      <c r="J565" s="5" t="str">
        <f aca="false">IF($I565="","","R"&amp;$I565)</f>
        <v/>
      </c>
    </row>
    <row r="566" customFormat="false" ht="15" hidden="false" customHeight="true" outlineLevel="0" collapsed="false">
      <c r="A566" s="10" t="str">
        <f aca="false">IFERROR(IF(INDEX(원본명단!$A$3:$A$6002,MATCH("R"&amp;561,정리결과!$J$6:$J$6005,0))="","",INDEX(원본명단!$A$3:$A$6002,MATCH("R"&amp;561,정리결과!$J$6:$J$6005,0))),"")</f>
        <v/>
      </c>
      <c r="B566" s="10" t="str">
        <f aca="false">IF($A566="","",IFERROR(IF(INDEX(원본명단!$B$3:$B$6002,MATCH("R"&amp;561,정리결과!$J$6:$J$6005,0))="","",INDEX(원본명단!$B$3:$B$6002,MATCH("R"&amp;561,정리결과!$J$6:$J$6005,0))),""))</f>
        <v/>
      </c>
      <c r="C566" s="10" t="str">
        <f aca="false">IF($A566="","",IFERROR(IF(INDEX(원본명단!$C$3:$C$6002,MATCH("R"&amp;561,정리결과!$J$6:$J$6005,0))="","",INDEX(원본명단!$C$3:$C$6002,MATCH("R"&amp;561,정리결과!$J$6:$J$6005,0))),""))</f>
        <v/>
      </c>
      <c r="D566" s="10" t="str">
        <f aca="false">IF($A566="","",IFERROR(IF(INDEX(원본명단!$D$3:$D$6002,MATCH("R"&amp;561,정리결과!$J$6:$J$6005,0))="","",INDEX(원본명단!$D$3:$D$6002,MATCH("R"&amp;561,정리결과!$J$6:$J$6005,0))),""))</f>
        <v/>
      </c>
      <c r="E566" s="10" t="str">
        <f aca="false">IF($A566="","",IFERROR(IF(INDEX(원본명단!$E$3:$E$6002,MATCH("R"&amp;561,정리결과!$J$6:$J$6005,0))="","",INDEX(원본명단!$E$3:$E$6002,MATCH("R"&amp;561,정리결과!$J$6:$J$6005,0))),""))</f>
        <v/>
      </c>
      <c r="F566" s="10" t="str">
        <f aca="false">IF($A566="","",IFERROR(IF(INDEX(원본명단!$F$3:$F$6002,MATCH("R"&amp;561,정리결과!$J$6:$J$6005,0))="","",INDEX(원본명단!$F$3:$F$6002,MATCH("R"&amp;561,정리결과!$J$6:$J$6005,0))),""))</f>
        <v/>
      </c>
      <c r="H566" s="14" t="b">
        <f aca="false">IF(중복검사!$A564="",FALSE(),중복검사!$J564="유지")</f>
        <v>0</v>
      </c>
      <c r="I566" s="5" t="str">
        <f aca="false">IF($H566=FALSE(),"",COUNTIF($H$6:$H566,TRUE()))</f>
        <v/>
      </c>
      <c r="J566" s="5" t="str">
        <f aca="false">IF($I566="","","R"&amp;$I566)</f>
        <v/>
      </c>
    </row>
    <row r="567" customFormat="false" ht="15" hidden="false" customHeight="true" outlineLevel="0" collapsed="false">
      <c r="A567" s="10" t="str">
        <f aca="false">IFERROR(IF(INDEX(원본명단!$A$3:$A$6002,MATCH("R"&amp;562,정리결과!$J$6:$J$6005,0))="","",INDEX(원본명단!$A$3:$A$6002,MATCH("R"&amp;562,정리결과!$J$6:$J$6005,0))),"")</f>
        <v/>
      </c>
      <c r="B567" s="10" t="str">
        <f aca="false">IF($A567="","",IFERROR(IF(INDEX(원본명단!$B$3:$B$6002,MATCH("R"&amp;562,정리결과!$J$6:$J$6005,0))="","",INDEX(원본명단!$B$3:$B$6002,MATCH("R"&amp;562,정리결과!$J$6:$J$6005,0))),""))</f>
        <v/>
      </c>
      <c r="C567" s="10" t="str">
        <f aca="false">IF($A567="","",IFERROR(IF(INDEX(원본명단!$C$3:$C$6002,MATCH("R"&amp;562,정리결과!$J$6:$J$6005,0))="","",INDEX(원본명단!$C$3:$C$6002,MATCH("R"&amp;562,정리결과!$J$6:$J$6005,0))),""))</f>
        <v/>
      </c>
      <c r="D567" s="10" t="str">
        <f aca="false">IF($A567="","",IFERROR(IF(INDEX(원본명단!$D$3:$D$6002,MATCH("R"&amp;562,정리결과!$J$6:$J$6005,0))="","",INDEX(원본명단!$D$3:$D$6002,MATCH("R"&amp;562,정리결과!$J$6:$J$6005,0))),""))</f>
        <v/>
      </c>
      <c r="E567" s="10" t="str">
        <f aca="false">IF($A567="","",IFERROR(IF(INDEX(원본명단!$E$3:$E$6002,MATCH("R"&amp;562,정리결과!$J$6:$J$6005,0))="","",INDEX(원본명단!$E$3:$E$6002,MATCH("R"&amp;562,정리결과!$J$6:$J$6005,0))),""))</f>
        <v/>
      </c>
      <c r="F567" s="10" t="str">
        <f aca="false">IF($A567="","",IFERROR(IF(INDEX(원본명단!$F$3:$F$6002,MATCH("R"&amp;562,정리결과!$J$6:$J$6005,0))="","",INDEX(원본명단!$F$3:$F$6002,MATCH("R"&amp;562,정리결과!$J$6:$J$6005,0))),""))</f>
        <v/>
      </c>
      <c r="H567" s="14" t="b">
        <f aca="false">IF(중복검사!$A565="",FALSE(),중복검사!$J565="유지")</f>
        <v>0</v>
      </c>
      <c r="I567" s="5" t="str">
        <f aca="false">IF($H567=FALSE(),"",COUNTIF($H$6:$H567,TRUE()))</f>
        <v/>
      </c>
      <c r="J567" s="5" t="str">
        <f aca="false">IF($I567="","","R"&amp;$I567)</f>
        <v/>
      </c>
    </row>
    <row r="568" customFormat="false" ht="15" hidden="false" customHeight="true" outlineLevel="0" collapsed="false">
      <c r="A568" s="10" t="str">
        <f aca="false">IFERROR(IF(INDEX(원본명단!$A$3:$A$6002,MATCH("R"&amp;563,정리결과!$J$6:$J$6005,0))="","",INDEX(원본명단!$A$3:$A$6002,MATCH("R"&amp;563,정리결과!$J$6:$J$6005,0))),"")</f>
        <v/>
      </c>
      <c r="B568" s="10" t="str">
        <f aca="false">IF($A568="","",IFERROR(IF(INDEX(원본명단!$B$3:$B$6002,MATCH("R"&amp;563,정리결과!$J$6:$J$6005,0))="","",INDEX(원본명단!$B$3:$B$6002,MATCH("R"&amp;563,정리결과!$J$6:$J$6005,0))),""))</f>
        <v/>
      </c>
      <c r="C568" s="10" t="str">
        <f aca="false">IF($A568="","",IFERROR(IF(INDEX(원본명단!$C$3:$C$6002,MATCH("R"&amp;563,정리결과!$J$6:$J$6005,0))="","",INDEX(원본명단!$C$3:$C$6002,MATCH("R"&amp;563,정리결과!$J$6:$J$6005,0))),""))</f>
        <v/>
      </c>
      <c r="D568" s="10" t="str">
        <f aca="false">IF($A568="","",IFERROR(IF(INDEX(원본명단!$D$3:$D$6002,MATCH("R"&amp;563,정리결과!$J$6:$J$6005,0))="","",INDEX(원본명단!$D$3:$D$6002,MATCH("R"&amp;563,정리결과!$J$6:$J$6005,0))),""))</f>
        <v/>
      </c>
      <c r="E568" s="10" t="str">
        <f aca="false">IF($A568="","",IFERROR(IF(INDEX(원본명단!$E$3:$E$6002,MATCH("R"&amp;563,정리결과!$J$6:$J$6005,0))="","",INDEX(원본명단!$E$3:$E$6002,MATCH("R"&amp;563,정리결과!$J$6:$J$6005,0))),""))</f>
        <v/>
      </c>
      <c r="F568" s="10" t="str">
        <f aca="false">IF($A568="","",IFERROR(IF(INDEX(원본명단!$F$3:$F$6002,MATCH("R"&amp;563,정리결과!$J$6:$J$6005,0))="","",INDEX(원본명단!$F$3:$F$6002,MATCH("R"&amp;563,정리결과!$J$6:$J$6005,0))),""))</f>
        <v/>
      </c>
      <c r="H568" s="14" t="b">
        <f aca="false">IF(중복검사!$A566="",FALSE(),중복검사!$J566="유지")</f>
        <v>0</v>
      </c>
      <c r="I568" s="5" t="str">
        <f aca="false">IF($H568=FALSE(),"",COUNTIF($H$6:$H568,TRUE()))</f>
        <v/>
      </c>
      <c r="J568" s="5" t="str">
        <f aca="false">IF($I568="","","R"&amp;$I568)</f>
        <v/>
      </c>
    </row>
    <row r="569" customFormat="false" ht="15" hidden="false" customHeight="true" outlineLevel="0" collapsed="false">
      <c r="A569" s="10" t="str">
        <f aca="false">IFERROR(IF(INDEX(원본명단!$A$3:$A$6002,MATCH("R"&amp;564,정리결과!$J$6:$J$6005,0))="","",INDEX(원본명단!$A$3:$A$6002,MATCH("R"&amp;564,정리결과!$J$6:$J$6005,0))),"")</f>
        <v/>
      </c>
      <c r="B569" s="10" t="str">
        <f aca="false">IF($A569="","",IFERROR(IF(INDEX(원본명단!$B$3:$B$6002,MATCH("R"&amp;564,정리결과!$J$6:$J$6005,0))="","",INDEX(원본명단!$B$3:$B$6002,MATCH("R"&amp;564,정리결과!$J$6:$J$6005,0))),""))</f>
        <v/>
      </c>
      <c r="C569" s="10" t="str">
        <f aca="false">IF($A569="","",IFERROR(IF(INDEX(원본명단!$C$3:$C$6002,MATCH("R"&amp;564,정리결과!$J$6:$J$6005,0))="","",INDEX(원본명단!$C$3:$C$6002,MATCH("R"&amp;564,정리결과!$J$6:$J$6005,0))),""))</f>
        <v/>
      </c>
      <c r="D569" s="10" t="str">
        <f aca="false">IF($A569="","",IFERROR(IF(INDEX(원본명단!$D$3:$D$6002,MATCH("R"&amp;564,정리결과!$J$6:$J$6005,0))="","",INDEX(원본명단!$D$3:$D$6002,MATCH("R"&amp;564,정리결과!$J$6:$J$6005,0))),""))</f>
        <v/>
      </c>
      <c r="E569" s="10" t="str">
        <f aca="false">IF($A569="","",IFERROR(IF(INDEX(원본명단!$E$3:$E$6002,MATCH("R"&amp;564,정리결과!$J$6:$J$6005,0))="","",INDEX(원본명단!$E$3:$E$6002,MATCH("R"&amp;564,정리결과!$J$6:$J$6005,0))),""))</f>
        <v/>
      </c>
      <c r="F569" s="10" t="str">
        <f aca="false">IF($A569="","",IFERROR(IF(INDEX(원본명단!$F$3:$F$6002,MATCH("R"&amp;564,정리결과!$J$6:$J$6005,0))="","",INDEX(원본명단!$F$3:$F$6002,MATCH("R"&amp;564,정리결과!$J$6:$J$6005,0))),""))</f>
        <v/>
      </c>
      <c r="H569" s="14" t="b">
        <f aca="false">IF(중복검사!$A567="",FALSE(),중복검사!$J567="유지")</f>
        <v>0</v>
      </c>
      <c r="I569" s="5" t="str">
        <f aca="false">IF($H569=FALSE(),"",COUNTIF($H$6:$H569,TRUE()))</f>
        <v/>
      </c>
      <c r="J569" s="5" t="str">
        <f aca="false">IF($I569="","","R"&amp;$I569)</f>
        <v/>
      </c>
    </row>
    <row r="570" customFormat="false" ht="15" hidden="false" customHeight="true" outlineLevel="0" collapsed="false">
      <c r="A570" s="10" t="str">
        <f aca="false">IFERROR(IF(INDEX(원본명단!$A$3:$A$6002,MATCH("R"&amp;565,정리결과!$J$6:$J$6005,0))="","",INDEX(원본명단!$A$3:$A$6002,MATCH("R"&amp;565,정리결과!$J$6:$J$6005,0))),"")</f>
        <v/>
      </c>
      <c r="B570" s="10" t="str">
        <f aca="false">IF($A570="","",IFERROR(IF(INDEX(원본명단!$B$3:$B$6002,MATCH("R"&amp;565,정리결과!$J$6:$J$6005,0))="","",INDEX(원본명단!$B$3:$B$6002,MATCH("R"&amp;565,정리결과!$J$6:$J$6005,0))),""))</f>
        <v/>
      </c>
      <c r="C570" s="10" t="str">
        <f aca="false">IF($A570="","",IFERROR(IF(INDEX(원본명단!$C$3:$C$6002,MATCH("R"&amp;565,정리결과!$J$6:$J$6005,0))="","",INDEX(원본명단!$C$3:$C$6002,MATCH("R"&amp;565,정리결과!$J$6:$J$6005,0))),""))</f>
        <v/>
      </c>
      <c r="D570" s="10" t="str">
        <f aca="false">IF($A570="","",IFERROR(IF(INDEX(원본명단!$D$3:$D$6002,MATCH("R"&amp;565,정리결과!$J$6:$J$6005,0))="","",INDEX(원본명단!$D$3:$D$6002,MATCH("R"&amp;565,정리결과!$J$6:$J$6005,0))),""))</f>
        <v/>
      </c>
      <c r="E570" s="10" t="str">
        <f aca="false">IF($A570="","",IFERROR(IF(INDEX(원본명단!$E$3:$E$6002,MATCH("R"&amp;565,정리결과!$J$6:$J$6005,0))="","",INDEX(원본명단!$E$3:$E$6002,MATCH("R"&amp;565,정리결과!$J$6:$J$6005,0))),""))</f>
        <v/>
      </c>
      <c r="F570" s="10" t="str">
        <f aca="false">IF($A570="","",IFERROR(IF(INDEX(원본명단!$F$3:$F$6002,MATCH("R"&amp;565,정리결과!$J$6:$J$6005,0))="","",INDEX(원본명단!$F$3:$F$6002,MATCH("R"&amp;565,정리결과!$J$6:$J$6005,0))),""))</f>
        <v/>
      </c>
      <c r="H570" s="14" t="b">
        <f aca="false">IF(중복검사!$A568="",FALSE(),중복검사!$J568="유지")</f>
        <v>0</v>
      </c>
      <c r="I570" s="5" t="str">
        <f aca="false">IF($H570=FALSE(),"",COUNTIF($H$6:$H570,TRUE()))</f>
        <v/>
      </c>
      <c r="J570" s="5" t="str">
        <f aca="false">IF($I570="","","R"&amp;$I570)</f>
        <v/>
      </c>
    </row>
    <row r="571" customFormat="false" ht="15" hidden="false" customHeight="true" outlineLevel="0" collapsed="false">
      <c r="A571" s="10" t="str">
        <f aca="false">IFERROR(IF(INDEX(원본명단!$A$3:$A$6002,MATCH("R"&amp;566,정리결과!$J$6:$J$6005,0))="","",INDEX(원본명단!$A$3:$A$6002,MATCH("R"&amp;566,정리결과!$J$6:$J$6005,0))),"")</f>
        <v/>
      </c>
      <c r="B571" s="10" t="str">
        <f aca="false">IF($A571="","",IFERROR(IF(INDEX(원본명단!$B$3:$B$6002,MATCH("R"&amp;566,정리결과!$J$6:$J$6005,0))="","",INDEX(원본명단!$B$3:$B$6002,MATCH("R"&amp;566,정리결과!$J$6:$J$6005,0))),""))</f>
        <v/>
      </c>
      <c r="C571" s="10" t="str">
        <f aca="false">IF($A571="","",IFERROR(IF(INDEX(원본명단!$C$3:$C$6002,MATCH("R"&amp;566,정리결과!$J$6:$J$6005,0))="","",INDEX(원본명단!$C$3:$C$6002,MATCH("R"&amp;566,정리결과!$J$6:$J$6005,0))),""))</f>
        <v/>
      </c>
      <c r="D571" s="10" t="str">
        <f aca="false">IF($A571="","",IFERROR(IF(INDEX(원본명단!$D$3:$D$6002,MATCH("R"&amp;566,정리결과!$J$6:$J$6005,0))="","",INDEX(원본명단!$D$3:$D$6002,MATCH("R"&amp;566,정리결과!$J$6:$J$6005,0))),""))</f>
        <v/>
      </c>
      <c r="E571" s="10" t="str">
        <f aca="false">IF($A571="","",IFERROR(IF(INDEX(원본명단!$E$3:$E$6002,MATCH("R"&amp;566,정리결과!$J$6:$J$6005,0))="","",INDEX(원본명단!$E$3:$E$6002,MATCH("R"&amp;566,정리결과!$J$6:$J$6005,0))),""))</f>
        <v/>
      </c>
      <c r="F571" s="10" t="str">
        <f aca="false">IF($A571="","",IFERROR(IF(INDEX(원본명단!$F$3:$F$6002,MATCH("R"&amp;566,정리결과!$J$6:$J$6005,0))="","",INDEX(원본명단!$F$3:$F$6002,MATCH("R"&amp;566,정리결과!$J$6:$J$6005,0))),""))</f>
        <v/>
      </c>
      <c r="H571" s="14" t="b">
        <f aca="false">IF(중복검사!$A569="",FALSE(),중복검사!$J569="유지")</f>
        <v>0</v>
      </c>
      <c r="I571" s="5" t="str">
        <f aca="false">IF($H571=FALSE(),"",COUNTIF($H$6:$H571,TRUE()))</f>
        <v/>
      </c>
      <c r="J571" s="5" t="str">
        <f aca="false">IF($I571="","","R"&amp;$I571)</f>
        <v/>
      </c>
    </row>
    <row r="572" customFormat="false" ht="15" hidden="false" customHeight="true" outlineLevel="0" collapsed="false">
      <c r="A572" s="10" t="str">
        <f aca="false">IFERROR(IF(INDEX(원본명단!$A$3:$A$6002,MATCH("R"&amp;567,정리결과!$J$6:$J$6005,0))="","",INDEX(원본명단!$A$3:$A$6002,MATCH("R"&amp;567,정리결과!$J$6:$J$6005,0))),"")</f>
        <v/>
      </c>
      <c r="B572" s="10" t="str">
        <f aca="false">IF($A572="","",IFERROR(IF(INDEX(원본명단!$B$3:$B$6002,MATCH("R"&amp;567,정리결과!$J$6:$J$6005,0))="","",INDEX(원본명단!$B$3:$B$6002,MATCH("R"&amp;567,정리결과!$J$6:$J$6005,0))),""))</f>
        <v/>
      </c>
      <c r="C572" s="10" t="str">
        <f aca="false">IF($A572="","",IFERROR(IF(INDEX(원본명단!$C$3:$C$6002,MATCH("R"&amp;567,정리결과!$J$6:$J$6005,0))="","",INDEX(원본명단!$C$3:$C$6002,MATCH("R"&amp;567,정리결과!$J$6:$J$6005,0))),""))</f>
        <v/>
      </c>
      <c r="D572" s="10" t="str">
        <f aca="false">IF($A572="","",IFERROR(IF(INDEX(원본명단!$D$3:$D$6002,MATCH("R"&amp;567,정리결과!$J$6:$J$6005,0))="","",INDEX(원본명단!$D$3:$D$6002,MATCH("R"&amp;567,정리결과!$J$6:$J$6005,0))),""))</f>
        <v/>
      </c>
      <c r="E572" s="10" t="str">
        <f aca="false">IF($A572="","",IFERROR(IF(INDEX(원본명단!$E$3:$E$6002,MATCH("R"&amp;567,정리결과!$J$6:$J$6005,0))="","",INDEX(원본명단!$E$3:$E$6002,MATCH("R"&amp;567,정리결과!$J$6:$J$6005,0))),""))</f>
        <v/>
      </c>
      <c r="F572" s="10" t="str">
        <f aca="false">IF($A572="","",IFERROR(IF(INDEX(원본명단!$F$3:$F$6002,MATCH("R"&amp;567,정리결과!$J$6:$J$6005,0))="","",INDEX(원본명단!$F$3:$F$6002,MATCH("R"&amp;567,정리결과!$J$6:$J$6005,0))),""))</f>
        <v/>
      </c>
      <c r="H572" s="14" t="b">
        <f aca="false">IF(중복검사!$A570="",FALSE(),중복검사!$J570="유지")</f>
        <v>0</v>
      </c>
      <c r="I572" s="5" t="str">
        <f aca="false">IF($H572=FALSE(),"",COUNTIF($H$6:$H572,TRUE()))</f>
        <v/>
      </c>
      <c r="J572" s="5" t="str">
        <f aca="false">IF($I572="","","R"&amp;$I572)</f>
        <v/>
      </c>
    </row>
    <row r="573" customFormat="false" ht="15" hidden="false" customHeight="true" outlineLevel="0" collapsed="false">
      <c r="A573" s="10" t="str">
        <f aca="false">IFERROR(IF(INDEX(원본명단!$A$3:$A$6002,MATCH("R"&amp;568,정리결과!$J$6:$J$6005,0))="","",INDEX(원본명단!$A$3:$A$6002,MATCH("R"&amp;568,정리결과!$J$6:$J$6005,0))),"")</f>
        <v/>
      </c>
      <c r="B573" s="10" t="str">
        <f aca="false">IF($A573="","",IFERROR(IF(INDEX(원본명단!$B$3:$B$6002,MATCH("R"&amp;568,정리결과!$J$6:$J$6005,0))="","",INDEX(원본명단!$B$3:$B$6002,MATCH("R"&amp;568,정리결과!$J$6:$J$6005,0))),""))</f>
        <v/>
      </c>
      <c r="C573" s="10" t="str">
        <f aca="false">IF($A573="","",IFERROR(IF(INDEX(원본명단!$C$3:$C$6002,MATCH("R"&amp;568,정리결과!$J$6:$J$6005,0))="","",INDEX(원본명단!$C$3:$C$6002,MATCH("R"&amp;568,정리결과!$J$6:$J$6005,0))),""))</f>
        <v/>
      </c>
      <c r="D573" s="10" t="str">
        <f aca="false">IF($A573="","",IFERROR(IF(INDEX(원본명단!$D$3:$D$6002,MATCH("R"&amp;568,정리결과!$J$6:$J$6005,0))="","",INDEX(원본명단!$D$3:$D$6002,MATCH("R"&amp;568,정리결과!$J$6:$J$6005,0))),""))</f>
        <v/>
      </c>
      <c r="E573" s="10" t="str">
        <f aca="false">IF($A573="","",IFERROR(IF(INDEX(원본명단!$E$3:$E$6002,MATCH("R"&amp;568,정리결과!$J$6:$J$6005,0))="","",INDEX(원본명단!$E$3:$E$6002,MATCH("R"&amp;568,정리결과!$J$6:$J$6005,0))),""))</f>
        <v/>
      </c>
      <c r="F573" s="10" t="str">
        <f aca="false">IF($A573="","",IFERROR(IF(INDEX(원본명단!$F$3:$F$6002,MATCH("R"&amp;568,정리결과!$J$6:$J$6005,0))="","",INDEX(원본명단!$F$3:$F$6002,MATCH("R"&amp;568,정리결과!$J$6:$J$6005,0))),""))</f>
        <v/>
      </c>
      <c r="H573" s="14" t="b">
        <f aca="false">IF(중복검사!$A571="",FALSE(),중복검사!$J571="유지")</f>
        <v>0</v>
      </c>
      <c r="I573" s="5" t="str">
        <f aca="false">IF($H573=FALSE(),"",COUNTIF($H$6:$H573,TRUE()))</f>
        <v/>
      </c>
      <c r="J573" s="5" t="str">
        <f aca="false">IF($I573="","","R"&amp;$I573)</f>
        <v/>
      </c>
    </row>
    <row r="574" customFormat="false" ht="15" hidden="false" customHeight="true" outlineLevel="0" collapsed="false">
      <c r="A574" s="10" t="str">
        <f aca="false">IFERROR(IF(INDEX(원본명단!$A$3:$A$6002,MATCH("R"&amp;569,정리결과!$J$6:$J$6005,0))="","",INDEX(원본명단!$A$3:$A$6002,MATCH("R"&amp;569,정리결과!$J$6:$J$6005,0))),"")</f>
        <v/>
      </c>
      <c r="B574" s="10" t="str">
        <f aca="false">IF($A574="","",IFERROR(IF(INDEX(원본명단!$B$3:$B$6002,MATCH("R"&amp;569,정리결과!$J$6:$J$6005,0))="","",INDEX(원본명단!$B$3:$B$6002,MATCH("R"&amp;569,정리결과!$J$6:$J$6005,0))),""))</f>
        <v/>
      </c>
      <c r="C574" s="10" t="str">
        <f aca="false">IF($A574="","",IFERROR(IF(INDEX(원본명단!$C$3:$C$6002,MATCH("R"&amp;569,정리결과!$J$6:$J$6005,0))="","",INDEX(원본명단!$C$3:$C$6002,MATCH("R"&amp;569,정리결과!$J$6:$J$6005,0))),""))</f>
        <v/>
      </c>
      <c r="D574" s="10" t="str">
        <f aca="false">IF($A574="","",IFERROR(IF(INDEX(원본명단!$D$3:$D$6002,MATCH("R"&amp;569,정리결과!$J$6:$J$6005,0))="","",INDEX(원본명단!$D$3:$D$6002,MATCH("R"&amp;569,정리결과!$J$6:$J$6005,0))),""))</f>
        <v/>
      </c>
      <c r="E574" s="10" t="str">
        <f aca="false">IF($A574="","",IFERROR(IF(INDEX(원본명단!$E$3:$E$6002,MATCH("R"&amp;569,정리결과!$J$6:$J$6005,0))="","",INDEX(원본명단!$E$3:$E$6002,MATCH("R"&amp;569,정리결과!$J$6:$J$6005,0))),""))</f>
        <v/>
      </c>
      <c r="F574" s="10" t="str">
        <f aca="false">IF($A574="","",IFERROR(IF(INDEX(원본명단!$F$3:$F$6002,MATCH("R"&amp;569,정리결과!$J$6:$J$6005,0))="","",INDEX(원본명단!$F$3:$F$6002,MATCH("R"&amp;569,정리결과!$J$6:$J$6005,0))),""))</f>
        <v/>
      </c>
      <c r="H574" s="14" t="b">
        <f aca="false">IF(중복검사!$A572="",FALSE(),중복검사!$J572="유지")</f>
        <v>0</v>
      </c>
      <c r="I574" s="5" t="str">
        <f aca="false">IF($H574=FALSE(),"",COUNTIF($H$6:$H574,TRUE()))</f>
        <v/>
      </c>
      <c r="J574" s="5" t="str">
        <f aca="false">IF($I574="","","R"&amp;$I574)</f>
        <v/>
      </c>
    </row>
    <row r="575" customFormat="false" ht="15" hidden="false" customHeight="true" outlineLevel="0" collapsed="false">
      <c r="A575" s="10" t="str">
        <f aca="false">IFERROR(IF(INDEX(원본명단!$A$3:$A$6002,MATCH("R"&amp;570,정리결과!$J$6:$J$6005,0))="","",INDEX(원본명단!$A$3:$A$6002,MATCH("R"&amp;570,정리결과!$J$6:$J$6005,0))),"")</f>
        <v/>
      </c>
      <c r="B575" s="10" t="str">
        <f aca="false">IF($A575="","",IFERROR(IF(INDEX(원본명단!$B$3:$B$6002,MATCH("R"&amp;570,정리결과!$J$6:$J$6005,0))="","",INDEX(원본명단!$B$3:$B$6002,MATCH("R"&amp;570,정리결과!$J$6:$J$6005,0))),""))</f>
        <v/>
      </c>
      <c r="C575" s="10" t="str">
        <f aca="false">IF($A575="","",IFERROR(IF(INDEX(원본명단!$C$3:$C$6002,MATCH("R"&amp;570,정리결과!$J$6:$J$6005,0))="","",INDEX(원본명단!$C$3:$C$6002,MATCH("R"&amp;570,정리결과!$J$6:$J$6005,0))),""))</f>
        <v/>
      </c>
      <c r="D575" s="10" t="str">
        <f aca="false">IF($A575="","",IFERROR(IF(INDEX(원본명단!$D$3:$D$6002,MATCH("R"&amp;570,정리결과!$J$6:$J$6005,0))="","",INDEX(원본명단!$D$3:$D$6002,MATCH("R"&amp;570,정리결과!$J$6:$J$6005,0))),""))</f>
        <v/>
      </c>
      <c r="E575" s="10" t="str">
        <f aca="false">IF($A575="","",IFERROR(IF(INDEX(원본명단!$E$3:$E$6002,MATCH("R"&amp;570,정리결과!$J$6:$J$6005,0))="","",INDEX(원본명단!$E$3:$E$6002,MATCH("R"&amp;570,정리결과!$J$6:$J$6005,0))),""))</f>
        <v/>
      </c>
      <c r="F575" s="10" t="str">
        <f aca="false">IF($A575="","",IFERROR(IF(INDEX(원본명단!$F$3:$F$6002,MATCH("R"&amp;570,정리결과!$J$6:$J$6005,0))="","",INDEX(원본명단!$F$3:$F$6002,MATCH("R"&amp;570,정리결과!$J$6:$J$6005,0))),""))</f>
        <v/>
      </c>
      <c r="H575" s="14" t="b">
        <f aca="false">IF(중복검사!$A573="",FALSE(),중복검사!$J573="유지")</f>
        <v>0</v>
      </c>
      <c r="I575" s="5" t="str">
        <f aca="false">IF($H575=FALSE(),"",COUNTIF($H$6:$H575,TRUE()))</f>
        <v/>
      </c>
      <c r="J575" s="5" t="str">
        <f aca="false">IF($I575="","","R"&amp;$I575)</f>
        <v/>
      </c>
    </row>
    <row r="576" customFormat="false" ht="15" hidden="false" customHeight="true" outlineLevel="0" collapsed="false">
      <c r="A576" s="10" t="str">
        <f aca="false">IFERROR(IF(INDEX(원본명단!$A$3:$A$6002,MATCH("R"&amp;571,정리결과!$J$6:$J$6005,0))="","",INDEX(원본명단!$A$3:$A$6002,MATCH("R"&amp;571,정리결과!$J$6:$J$6005,0))),"")</f>
        <v/>
      </c>
      <c r="B576" s="10" t="str">
        <f aca="false">IF($A576="","",IFERROR(IF(INDEX(원본명단!$B$3:$B$6002,MATCH("R"&amp;571,정리결과!$J$6:$J$6005,0))="","",INDEX(원본명단!$B$3:$B$6002,MATCH("R"&amp;571,정리결과!$J$6:$J$6005,0))),""))</f>
        <v/>
      </c>
      <c r="C576" s="10" t="str">
        <f aca="false">IF($A576="","",IFERROR(IF(INDEX(원본명단!$C$3:$C$6002,MATCH("R"&amp;571,정리결과!$J$6:$J$6005,0))="","",INDEX(원본명단!$C$3:$C$6002,MATCH("R"&amp;571,정리결과!$J$6:$J$6005,0))),""))</f>
        <v/>
      </c>
      <c r="D576" s="10" t="str">
        <f aca="false">IF($A576="","",IFERROR(IF(INDEX(원본명단!$D$3:$D$6002,MATCH("R"&amp;571,정리결과!$J$6:$J$6005,0))="","",INDEX(원본명단!$D$3:$D$6002,MATCH("R"&amp;571,정리결과!$J$6:$J$6005,0))),""))</f>
        <v/>
      </c>
      <c r="E576" s="10" t="str">
        <f aca="false">IF($A576="","",IFERROR(IF(INDEX(원본명단!$E$3:$E$6002,MATCH("R"&amp;571,정리결과!$J$6:$J$6005,0))="","",INDEX(원본명단!$E$3:$E$6002,MATCH("R"&amp;571,정리결과!$J$6:$J$6005,0))),""))</f>
        <v/>
      </c>
      <c r="F576" s="10" t="str">
        <f aca="false">IF($A576="","",IFERROR(IF(INDEX(원본명단!$F$3:$F$6002,MATCH("R"&amp;571,정리결과!$J$6:$J$6005,0))="","",INDEX(원본명단!$F$3:$F$6002,MATCH("R"&amp;571,정리결과!$J$6:$J$6005,0))),""))</f>
        <v/>
      </c>
      <c r="H576" s="14" t="b">
        <f aca="false">IF(중복검사!$A574="",FALSE(),중복검사!$J574="유지")</f>
        <v>0</v>
      </c>
      <c r="I576" s="5" t="str">
        <f aca="false">IF($H576=FALSE(),"",COUNTIF($H$6:$H576,TRUE()))</f>
        <v/>
      </c>
      <c r="J576" s="5" t="str">
        <f aca="false">IF($I576="","","R"&amp;$I576)</f>
        <v/>
      </c>
    </row>
    <row r="577" customFormat="false" ht="15" hidden="false" customHeight="true" outlineLevel="0" collapsed="false">
      <c r="A577" s="10" t="str">
        <f aca="false">IFERROR(IF(INDEX(원본명단!$A$3:$A$6002,MATCH("R"&amp;572,정리결과!$J$6:$J$6005,0))="","",INDEX(원본명단!$A$3:$A$6002,MATCH("R"&amp;572,정리결과!$J$6:$J$6005,0))),"")</f>
        <v/>
      </c>
      <c r="B577" s="10" t="str">
        <f aca="false">IF($A577="","",IFERROR(IF(INDEX(원본명단!$B$3:$B$6002,MATCH("R"&amp;572,정리결과!$J$6:$J$6005,0))="","",INDEX(원본명단!$B$3:$B$6002,MATCH("R"&amp;572,정리결과!$J$6:$J$6005,0))),""))</f>
        <v/>
      </c>
      <c r="C577" s="10" t="str">
        <f aca="false">IF($A577="","",IFERROR(IF(INDEX(원본명단!$C$3:$C$6002,MATCH("R"&amp;572,정리결과!$J$6:$J$6005,0))="","",INDEX(원본명단!$C$3:$C$6002,MATCH("R"&amp;572,정리결과!$J$6:$J$6005,0))),""))</f>
        <v/>
      </c>
      <c r="D577" s="10" t="str">
        <f aca="false">IF($A577="","",IFERROR(IF(INDEX(원본명단!$D$3:$D$6002,MATCH("R"&amp;572,정리결과!$J$6:$J$6005,0))="","",INDEX(원본명단!$D$3:$D$6002,MATCH("R"&amp;572,정리결과!$J$6:$J$6005,0))),""))</f>
        <v/>
      </c>
      <c r="E577" s="10" t="str">
        <f aca="false">IF($A577="","",IFERROR(IF(INDEX(원본명단!$E$3:$E$6002,MATCH("R"&amp;572,정리결과!$J$6:$J$6005,0))="","",INDEX(원본명단!$E$3:$E$6002,MATCH("R"&amp;572,정리결과!$J$6:$J$6005,0))),""))</f>
        <v/>
      </c>
      <c r="F577" s="10" t="str">
        <f aca="false">IF($A577="","",IFERROR(IF(INDEX(원본명단!$F$3:$F$6002,MATCH("R"&amp;572,정리결과!$J$6:$J$6005,0))="","",INDEX(원본명단!$F$3:$F$6002,MATCH("R"&amp;572,정리결과!$J$6:$J$6005,0))),""))</f>
        <v/>
      </c>
      <c r="H577" s="14" t="b">
        <f aca="false">IF(중복검사!$A575="",FALSE(),중복검사!$J575="유지")</f>
        <v>0</v>
      </c>
      <c r="I577" s="5" t="str">
        <f aca="false">IF($H577=FALSE(),"",COUNTIF($H$6:$H577,TRUE()))</f>
        <v/>
      </c>
      <c r="J577" s="5" t="str">
        <f aca="false">IF($I577="","","R"&amp;$I577)</f>
        <v/>
      </c>
    </row>
    <row r="578" customFormat="false" ht="15" hidden="false" customHeight="true" outlineLevel="0" collapsed="false">
      <c r="A578" s="10" t="str">
        <f aca="false">IFERROR(IF(INDEX(원본명단!$A$3:$A$6002,MATCH("R"&amp;573,정리결과!$J$6:$J$6005,0))="","",INDEX(원본명단!$A$3:$A$6002,MATCH("R"&amp;573,정리결과!$J$6:$J$6005,0))),"")</f>
        <v/>
      </c>
      <c r="B578" s="10" t="str">
        <f aca="false">IF($A578="","",IFERROR(IF(INDEX(원본명단!$B$3:$B$6002,MATCH("R"&amp;573,정리결과!$J$6:$J$6005,0))="","",INDEX(원본명단!$B$3:$B$6002,MATCH("R"&amp;573,정리결과!$J$6:$J$6005,0))),""))</f>
        <v/>
      </c>
      <c r="C578" s="10" t="str">
        <f aca="false">IF($A578="","",IFERROR(IF(INDEX(원본명단!$C$3:$C$6002,MATCH("R"&amp;573,정리결과!$J$6:$J$6005,0))="","",INDEX(원본명단!$C$3:$C$6002,MATCH("R"&amp;573,정리결과!$J$6:$J$6005,0))),""))</f>
        <v/>
      </c>
      <c r="D578" s="10" t="str">
        <f aca="false">IF($A578="","",IFERROR(IF(INDEX(원본명단!$D$3:$D$6002,MATCH("R"&amp;573,정리결과!$J$6:$J$6005,0))="","",INDEX(원본명단!$D$3:$D$6002,MATCH("R"&amp;573,정리결과!$J$6:$J$6005,0))),""))</f>
        <v/>
      </c>
      <c r="E578" s="10" t="str">
        <f aca="false">IF($A578="","",IFERROR(IF(INDEX(원본명단!$E$3:$E$6002,MATCH("R"&amp;573,정리결과!$J$6:$J$6005,0))="","",INDEX(원본명단!$E$3:$E$6002,MATCH("R"&amp;573,정리결과!$J$6:$J$6005,0))),""))</f>
        <v/>
      </c>
      <c r="F578" s="10" t="str">
        <f aca="false">IF($A578="","",IFERROR(IF(INDEX(원본명단!$F$3:$F$6002,MATCH("R"&amp;573,정리결과!$J$6:$J$6005,0))="","",INDEX(원본명단!$F$3:$F$6002,MATCH("R"&amp;573,정리결과!$J$6:$J$6005,0))),""))</f>
        <v/>
      </c>
      <c r="H578" s="14" t="b">
        <f aca="false">IF(중복검사!$A576="",FALSE(),중복검사!$J576="유지")</f>
        <v>0</v>
      </c>
      <c r="I578" s="5" t="str">
        <f aca="false">IF($H578=FALSE(),"",COUNTIF($H$6:$H578,TRUE()))</f>
        <v/>
      </c>
      <c r="J578" s="5" t="str">
        <f aca="false">IF($I578="","","R"&amp;$I578)</f>
        <v/>
      </c>
    </row>
    <row r="579" customFormat="false" ht="15" hidden="false" customHeight="true" outlineLevel="0" collapsed="false">
      <c r="A579" s="10" t="str">
        <f aca="false">IFERROR(IF(INDEX(원본명단!$A$3:$A$6002,MATCH("R"&amp;574,정리결과!$J$6:$J$6005,0))="","",INDEX(원본명단!$A$3:$A$6002,MATCH("R"&amp;574,정리결과!$J$6:$J$6005,0))),"")</f>
        <v/>
      </c>
      <c r="B579" s="10" t="str">
        <f aca="false">IF($A579="","",IFERROR(IF(INDEX(원본명단!$B$3:$B$6002,MATCH("R"&amp;574,정리결과!$J$6:$J$6005,0))="","",INDEX(원본명단!$B$3:$B$6002,MATCH("R"&amp;574,정리결과!$J$6:$J$6005,0))),""))</f>
        <v/>
      </c>
      <c r="C579" s="10" t="str">
        <f aca="false">IF($A579="","",IFERROR(IF(INDEX(원본명단!$C$3:$C$6002,MATCH("R"&amp;574,정리결과!$J$6:$J$6005,0))="","",INDEX(원본명단!$C$3:$C$6002,MATCH("R"&amp;574,정리결과!$J$6:$J$6005,0))),""))</f>
        <v/>
      </c>
      <c r="D579" s="10" t="str">
        <f aca="false">IF($A579="","",IFERROR(IF(INDEX(원본명단!$D$3:$D$6002,MATCH("R"&amp;574,정리결과!$J$6:$J$6005,0))="","",INDEX(원본명단!$D$3:$D$6002,MATCH("R"&amp;574,정리결과!$J$6:$J$6005,0))),""))</f>
        <v/>
      </c>
      <c r="E579" s="10" t="str">
        <f aca="false">IF($A579="","",IFERROR(IF(INDEX(원본명단!$E$3:$E$6002,MATCH("R"&amp;574,정리결과!$J$6:$J$6005,0))="","",INDEX(원본명단!$E$3:$E$6002,MATCH("R"&amp;574,정리결과!$J$6:$J$6005,0))),""))</f>
        <v/>
      </c>
      <c r="F579" s="10" t="str">
        <f aca="false">IF($A579="","",IFERROR(IF(INDEX(원본명단!$F$3:$F$6002,MATCH("R"&amp;574,정리결과!$J$6:$J$6005,0))="","",INDEX(원본명단!$F$3:$F$6002,MATCH("R"&amp;574,정리결과!$J$6:$J$6005,0))),""))</f>
        <v/>
      </c>
      <c r="H579" s="14" t="b">
        <f aca="false">IF(중복검사!$A577="",FALSE(),중복검사!$J577="유지")</f>
        <v>0</v>
      </c>
      <c r="I579" s="5" t="str">
        <f aca="false">IF($H579=FALSE(),"",COUNTIF($H$6:$H579,TRUE()))</f>
        <v/>
      </c>
      <c r="J579" s="5" t="str">
        <f aca="false">IF($I579="","","R"&amp;$I579)</f>
        <v/>
      </c>
    </row>
    <row r="580" customFormat="false" ht="15" hidden="false" customHeight="true" outlineLevel="0" collapsed="false">
      <c r="A580" s="10" t="str">
        <f aca="false">IFERROR(IF(INDEX(원본명단!$A$3:$A$6002,MATCH("R"&amp;575,정리결과!$J$6:$J$6005,0))="","",INDEX(원본명단!$A$3:$A$6002,MATCH("R"&amp;575,정리결과!$J$6:$J$6005,0))),"")</f>
        <v/>
      </c>
      <c r="B580" s="10" t="str">
        <f aca="false">IF($A580="","",IFERROR(IF(INDEX(원본명단!$B$3:$B$6002,MATCH("R"&amp;575,정리결과!$J$6:$J$6005,0))="","",INDEX(원본명단!$B$3:$B$6002,MATCH("R"&amp;575,정리결과!$J$6:$J$6005,0))),""))</f>
        <v/>
      </c>
      <c r="C580" s="10" t="str">
        <f aca="false">IF($A580="","",IFERROR(IF(INDEX(원본명단!$C$3:$C$6002,MATCH("R"&amp;575,정리결과!$J$6:$J$6005,0))="","",INDEX(원본명단!$C$3:$C$6002,MATCH("R"&amp;575,정리결과!$J$6:$J$6005,0))),""))</f>
        <v/>
      </c>
      <c r="D580" s="10" t="str">
        <f aca="false">IF($A580="","",IFERROR(IF(INDEX(원본명단!$D$3:$D$6002,MATCH("R"&amp;575,정리결과!$J$6:$J$6005,0))="","",INDEX(원본명단!$D$3:$D$6002,MATCH("R"&amp;575,정리결과!$J$6:$J$6005,0))),""))</f>
        <v/>
      </c>
      <c r="E580" s="10" t="str">
        <f aca="false">IF($A580="","",IFERROR(IF(INDEX(원본명단!$E$3:$E$6002,MATCH("R"&amp;575,정리결과!$J$6:$J$6005,0))="","",INDEX(원본명단!$E$3:$E$6002,MATCH("R"&amp;575,정리결과!$J$6:$J$6005,0))),""))</f>
        <v/>
      </c>
      <c r="F580" s="10" t="str">
        <f aca="false">IF($A580="","",IFERROR(IF(INDEX(원본명단!$F$3:$F$6002,MATCH("R"&amp;575,정리결과!$J$6:$J$6005,0))="","",INDEX(원본명단!$F$3:$F$6002,MATCH("R"&amp;575,정리결과!$J$6:$J$6005,0))),""))</f>
        <v/>
      </c>
      <c r="H580" s="14" t="b">
        <f aca="false">IF(중복검사!$A578="",FALSE(),중복검사!$J578="유지")</f>
        <v>0</v>
      </c>
      <c r="I580" s="5" t="str">
        <f aca="false">IF($H580=FALSE(),"",COUNTIF($H$6:$H580,TRUE()))</f>
        <v/>
      </c>
      <c r="J580" s="5" t="str">
        <f aca="false">IF($I580="","","R"&amp;$I580)</f>
        <v/>
      </c>
    </row>
    <row r="581" customFormat="false" ht="15" hidden="false" customHeight="true" outlineLevel="0" collapsed="false">
      <c r="A581" s="10" t="str">
        <f aca="false">IFERROR(IF(INDEX(원본명단!$A$3:$A$6002,MATCH("R"&amp;576,정리결과!$J$6:$J$6005,0))="","",INDEX(원본명단!$A$3:$A$6002,MATCH("R"&amp;576,정리결과!$J$6:$J$6005,0))),"")</f>
        <v/>
      </c>
      <c r="B581" s="10" t="str">
        <f aca="false">IF($A581="","",IFERROR(IF(INDEX(원본명단!$B$3:$B$6002,MATCH("R"&amp;576,정리결과!$J$6:$J$6005,0))="","",INDEX(원본명단!$B$3:$B$6002,MATCH("R"&amp;576,정리결과!$J$6:$J$6005,0))),""))</f>
        <v/>
      </c>
      <c r="C581" s="10" t="str">
        <f aca="false">IF($A581="","",IFERROR(IF(INDEX(원본명단!$C$3:$C$6002,MATCH("R"&amp;576,정리결과!$J$6:$J$6005,0))="","",INDEX(원본명단!$C$3:$C$6002,MATCH("R"&amp;576,정리결과!$J$6:$J$6005,0))),""))</f>
        <v/>
      </c>
      <c r="D581" s="10" t="str">
        <f aca="false">IF($A581="","",IFERROR(IF(INDEX(원본명단!$D$3:$D$6002,MATCH("R"&amp;576,정리결과!$J$6:$J$6005,0))="","",INDEX(원본명단!$D$3:$D$6002,MATCH("R"&amp;576,정리결과!$J$6:$J$6005,0))),""))</f>
        <v/>
      </c>
      <c r="E581" s="10" t="str">
        <f aca="false">IF($A581="","",IFERROR(IF(INDEX(원본명단!$E$3:$E$6002,MATCH("R"&amp;576,정리결과!$J$6:$J$6005,0))="","",INDEX(원본명단!$E$3:$E$6002,MATCH("R"&amp;576,정리결과!$J$6:$J$6005,0))),""))</f>
        <v/>
      </c>
      <c r="F581" s="10" t="str">
        <f aca="false">IF($A581="","",IFERROR(IF(INDEX(원본명단!$F$3:$F$6002,MATCH("R"&amp;576,정리결과!$J$6:$J$6005,0))="","",INDEX(원본명단!$F$3:$F$6002,MATCH("R"&amp;576,정리결과!$J$6:$J$6005,0))),""))</f>
        <v/>
      </c>
      <c r="H581" s="14" t="b">
        <f aca="false">IF(중복검사!$A579="",FALSE(),중복검사!$J579="유지")</f>
        <v>0</v>
      </c>
      <c r="I581" s="5" t="str">
        <f aca="false">IF($H581=FALSE(),"",COUNTIF($H$6:$H581,TRUE()))</f>
        <v/>
      </c>
      <c r="J581" s="5" t="str">
        <f aca="false">IF($I581="","","R"&amp;$I581)</f>
        <v/>
      </c>
    </row>
    <row r="582" customFormat="false" ht="15" hidden="false" customHeight="true" outlineLevel="0" collapsed="false">
      <c r="A582" s="10" t="str">
        <f aca="false">IFERROR(IF(INDEX(원본명단!$A$3:$A$6002,MATCH("R"&amp;577,정리결과!$J$6:$J$6005,0))="","",INDEX(원본명단!$A$3:$A$6002,MATCH("R"&amp;577,정리결과!$J$6:$J$6005,0))),"")</f>
        <v/>
      </c>
      <c r="B582" s="10" t="str">
        <f aca="false">IF($A582="","",IFERROR(IF(INDEX(원본명단!$B$3:$B$6002,MATCH("R"&amp;577,정리결과!$J$6:$J$6005,0))="","",INDEX(원본명단!$B$3:$B$6002,MATCH("R"&amp;577,정리결과!$J$6:$J$6005,0))),""))</f>
        <v/>
      </c>
      <c r="C582" s="10" t="str">
        <f aca="false">IF($A582="","",IFERROR(IF(INDEX(원본명단!$C$3:$C$6002,MATCH("R"&amp;577,정리결과!$J$6:$J$6005,0))="","",INDEX(원본명단!$C$3:$C$6002,MATCH("R"&amp;577,정리결과!$J$6:$J$6005,0))),""))</f>
        <v/>
      </c>
      <c r="D582" s="10" t="str">
        <f aca="false">IF($A582="","",IFERROR(IF(INDEX(원본명단!$D$3:$D$6002,MATCH("R"&amp;577,정리결과!$J$6:$J$6005,0))="","",INDEX(원본명단!$D$3:$D$6002,MATCH("R"&amp;577,정리결과!$J$6:$J$6005,0))),""))</f>
        <v/>
      </c>
      <c r="E582" s="10" t="str">
        <f aca="false">IF($A582="","",IFERROR(IF(INDEX(원본명단!$E$3:$E$6002,MATCH("R"&amp;577,정리결과!$J$6:$J$6005,0))="","",INDEX(원본명단!$E$3:$E$6002,MATCH("R"&amp;577,정리결과!$J$6:$J$6005,0))),""))</f>
        <v/>
      </c>
      <c r="F582" s="10" t="str">
        <f aca="false">IF($A582="","",IFERROR(IF(INDEX(원본명단!$F$3:$F$6002,MATCH("R"&amp;577,정리결과!$J$6:$J$6005,0))="","",INDEX(원본명단!$F$3:$F$6002,MATCH("R"&amp;577,정리결과!$J$6:$J$6005,0))),""))</f>
        <v/>
      </c>
      <c r="H582" s="14" t="b">
        <f aca="false">IF(중복검사!$A580="",FALSE(),중복검사!$J580="유지")</f>
        <v>0</v>
      </c>
      <c r="I582" s="5" t="str">
        <f aca="false">IF($H582=FALSE(),"",COUNTIF($H$6:$H582,TRUE()))</f>
        <v/>
      </c>
      <c r="J582" s="5" t="str">
        <f aca="false">IF($I582="","","R"&amp;$I582)</f>
        <v/>
      </c>
    </row>
    <row r="583" customFormat="false" ht="15" hidden="false" customHeight="true" outlineLevel="0" collapsed="false">
      <c r="A583" s="10" t="str">
        <f aca="false">IFERROR(IF(INDEX(원본명단!$A$3:$A$6002,MATCH("R"&amp;578,정리결과!$J$6:$J$6005,0))="","",INDEX(원본명단!$A$3:$A$6002,MATCH("R"&amp;578,정리결과!$J$6:$J$6005,0))),"")</f>
        <v/>
      </c>
      <c r="B583" s="10" t="str">
        <f aca="false">IF($A583="","",IFERROR(IF(INDEX(원본명단!$B$3:$B$6002,MATCH("R"&amp;578,정리결과!$J$6:$J$6005,0))="","",INDEX(원본명단!$B$3:$B$6002,MATCH("R"&amp;578,정리결과!$J$6:$J$6005,0))),""))</f>
        <v/>
      </c>
      <c r="C583" s="10" t="str">
        <f aca="false">IF($A583="","",IFERROR(IF(INDEX(원본명단!$C$3:$C$6002,MATCH("R"&amp;578,정리결과!$J$6:$J$6005,0))="","",INDEX(원본명단!$C$3:$C$6002,MATCH("R"&amp;578,정리결과!$J$6:$J$6005,0))),""))</f>
        <v/>
      </c>
      <c r="D583" s="10" t="str">
        <f aca="false">IF($A583="","",IFERROR(IF(INDEX(원본명단!$D$3:$D$6002,MATCH("R"&amp;578,정리결과!$J$6:$J$6005,0))="","",INDEX(원본명단!$D$3:$D$6002,MATCH("R"&amp;578,정리결과!$J$6:$J$6005,0))),""))</f>
        <v/>
      </c>
      <c r="E583" s="10" t="str">
        <f aca="false">IF($A583="","",IFERROR(IF(INDEX(원본명단!$E$3:$E$6002,MATCH("R"&amp;578,정리결과!$J$6:$J$6005,0))="","",INDEX(원본명단!$E$3:$E$6002,MATCH("R"&amp;578,정리결과!$J$6:$J$6005,0))),""))</f>
        <v/>
      </c>
      <c r="F583" s="10" t="str">
        <f aca="false">IF($A583="","",IFERROR(IF(INDEX(원본명단!$F$3:$F$6002,MATCH("R"&amp;578,정리결과!$J$6:$J$6005,0))="","",INDEX(원본명단!$F$3:$F$6002,MATCH("R"&amp;578,정리결과!$J$6:$J$6005,0))),""))</f>
        <v/>
      </c>
      <c r="H583" s="14" t="b">
        <f aca="false">IF(중복검사!$A581="",FALSE(),중복검사!$J581="유지")</f>
        <v>0</v>
      </c>
      <c r="I583" s="5" t="str">
        <f aca="false">IF($H583=FALSE(),"",COUNTIF($H$6:$H583,TRUE()))</f>
        <v/>
      </c>
      <c r="J583" s="5" t="str">
        <f aca="false">IF($I583="","","R"&amp;$I583)</f>
        <v/>
      </c>
    </row>
    <row r="584" customFormat="false" ht="15" hidden="false" customHeight="true" outlineLevel="0" collapsed="false">
      <c r="A584" s="10" t="str">
        <f aca="false">IFERROR(IF(INDEX(원본명단!$A$3:$A$6002,MATCH("R"&amp;579,정리결과!$J$6:$J$6005,0))="","",INDEX(원본명단!$A$3:$A$6002,MATCH("R"&amp;579,정리결과!$J$6:$J$6005,0))),"")</f>
        <v/>
      </c>
      <c r="B584" s="10" t="str">
        <f aca="false">IF($A584="","",IFERROR(IF(INDEX(원본명단!$B$3:$B$6002,MATCH("R"&amp;579,정리결과!$J$6:$J$6005,0))="","",INDEX(원본명단!$B$3:$B$6002,MATCH("R"&amp;579,정리결과!$J$6:$J$6005,0))),""))</f>
        <v/>
      </c>
      <c r="C584" s="10" t="str">
        <f aca="false">IF($A584="","",IFERROR(IF(INDEX(원본명단!$C$3:$C$6002,MATCH("R"&amp;579,정리결과!$J$6:$J$6005,0))="","",INDEX(원본명단!$C$3:$C$6002,MATCH("R"&amp;579,정리결과!$J$6:$J$6005,0))),""))</f>
        <v/>
      </c>
      <c r="D584" s="10" t="str">
        <f aca="false">IF($A584="","",IFERROR(IF(INDEX(원본명단!$D$3:$D$6002,MATCH("R"&amp;579,정리결과!$J$6:$J$6005,0))="","",INDEX(원본명단!$D$3:$D$6002,MATCH("R"&amp;579,정리결과!$J$6:$J$6005,0))),""))</f>
        <v/>
      </c>
      <c r="E584" s="10" t="str">
        <f aca="false">IF($A584="","",IFERROR(IF(INDEX(원본명단!$E$3:$E$6002,MATCH("R"&amp;579,정리결과!$J$6:$J$6005,0))="","",INDEX(원본명단!$E$3:$E$6002,MATCH("R"&amp;579,정리결과!$J$6:$J$6005,0))),""))</f>
        <v/>
      </c>
      <c r="F584" s="10" t="str">
        <f aca="false">IF($A584="","",IFERROR(IF(INDEX(원본명단!$F$3:$F$6002,MATCH("R"&amp;579,정리결과!$J$6:$J$6005,0))="","",INDEX(원본명단!$F$3:$F$6002,MATCH("R"&amp;579,정리결과!$J$6:$J$6005,0))),""))</f>
        <v/>
      </c>
      <c r="H584" s="14" t="b">
        <f aca="false">IF(중복검사!$A582="",FALSE(),중복검사!$J582="유지")</f>
        <v>0</v>
      </c>
      <c r="I584" s="5" t="str">
        <f aca="false">IF($H584=FALSE(),"",COUNTIF($H$6:$H584,TRUE()))</f>
        <v/>
      </c>
      <c r="J584" s="5" t="str">
        <f aca="false">IF($I584="","","R"&amp;$I584)</f>
        <v/>
      </c>
    </row>
    <row r="585" customFormat="false" ht="15" hidden="false" customHeight="true" outlineLevel="0" collapsed="false">
      <c r="A585" s="10" t="str">
        <f aca="false">IFERROR(IF(INDEX(원본명단!$A$3:$A$6002,MATCH("R"&amp;580,정리결과!$J$6:$J$6005,0))="","",INDEX(원본명단!$A$3:$A$6002,MATCH("R"&amp;580,정리결과!$J$6:$J$6005,0))),"")</f>
        <v/>
      </c>
      <c r="B585" s="10" t="str">
        <f aca="false">IF($A585="","",IFERROR(IF(INDEX(원본명단!$B$3:$B$6002,MATCH("R"&amp;580,정리결과!$J$6:$J$6005,0))="","",INDEX(원본명단!$B$3:$B$6002,MATCH("R"&amp;580,정리결과!$J$6:$J$6005,0))),""))</f>
        <v/>
      </c>
      <c r="C585" s="10" t="str">
        <f aca="false">IF($A585="","",IFERROR(IF(INDEX(원본명단!$C$3:$C$6002,MATCH("R"&amp;580,정리결과!$J$6:$J$6005,0))="","",INDEX(원본명단!$C$3:$C$6002,MATCH("R"&amp;580,정리결과!$J$6:$J$6005,0))),""))</f>
        <v/>
      </c>
      <c r="D585" s="10" t="str">
        <f aca="false">IF($A585="","",IFERROR(IF(INDEX(원본명단!$D$3:$D$6002,MATCH("R"&amp;580,정리결과!$J$6:$J$6005,0))="","",INDEX(원본명단!$D$3:$D$6002,MATCH("R"&amp;580,정리결과!$J$6:$J$6005,0))),""))</f>
        <v/>
      </c>
      <c r="E585" s="10" t="str">
        <f aca="false">IF($A585="","",IFERROR(IF(INDEX(원본명단!$E$3:$E$6002,MATCH("R"&amp;580,정리결과!$J$6:$J$6005,0))="","",INDEX(원본명단!$E$3:$E$6002,MATCH("R"&amp;580,정리결과!$J$6:$J$6005,0))),""))</f>
        <v/>
      </c>
      <c r="F585" s="10" t="str">
        <f aca="false">IF($A585="","",IFERROR(IF(INDEX(원본명단!$F$3:$F$6002,MATCH("R"&amp;580,정리결과!$J$6:$J$6005,0))="","",INDEX(원본명단!$F$3:$F$6002,MATCH("R"&amp;580,정리결과!$J$6:$J$6005,0))),""))</f>
        <v/>
      </c>
      <c r="H585" s="14" t="b">
        <f aca="false">IF(중복검사!$A583="",FALSE(),중복검사!$J583="유지")</f>
        <v>0</v>
      </c>
      <c r="I585" s="5" t="str">
        <f aca="false">IF($H585=FALSE(),"",COUNTIF($H$6:$H585,TRUE()))</f>
        <v/>
      </c>
      <c r="J585" s="5" t="str">
        <f aca="false">IF($I585="","","R"&amp;$I585)</f>
        <v/>
      </c>
    </row>
    <row r="586" customFormat="false" ht="15" hidden="false" customHeight="true" outlineLevel="0" collapsed="false">
      <c r="A586" s="10" t="str">
        <f aca="false">IFERROR(IF(INDEX(원본명단!$A$3:$A$6002,MATCH("R"&amp;581,정리결과!$J$6:$J$6005,0))="","",INDEX(원본명단!$A$3:$A$6002,MATCH("R"&amp;581,정리결과!$J$6:$J$6005,0))),"")</f>
        <v/>
      </c>
      <c r="B586" s="10" t="str">
        <f aca="false">IF($A586="","",IFERROR(IF(INDEX(원본명단!$B$3:$B$6002,MATCH("R"&amp;581,정리결과!$J$6:$J$6005,0))="","",INDEX(원본명단!$B$3:$B$6002,MATCH("R"&amp;581,정리결과!$J$6:$J$6005,0))),""))</f>
        <v/>
      </c>
      <c r="C586" s="10" t="str">
        <f aca="false">IF($A586="","",IFERROR(IF(INDEX(원본명단!$C$3:$C$6002,MATCH("R"&amp;581,정리결과!$J$6:$J$6005,0))="","",INDEX(원본명단!$C$3:$C$6002,MATCH("R"&amp;581,정리결과!$J$6:$J$6005,0))),""))</f>
        <v/>
      </c>
      <c r="D586" s="10" t="str">
        <f aca="false">IF($A586="","",IFERROR(IF(INDEX(원본명단!$D$3:$D$6002,MATCH("R"&amp;581,정리결과!$J$6:$J$6005,0))="","",INDEX(원본명단!$D$3:$D$6002,MATCH("R"&amp;581,정리결과!$J$6:$J$6005,0))),""))</f>
        <v/>
      </c>
      <c r="E586" s="10" t="str">
        <f aca="false">IF($A586="","",IFERROR(IF(INDEX(원본명단!$E$3:$E$6002,MATCH("R"&amp;581,정리결과!$J$6:$J$6005,0))="","",INDEX(원본명단!$E$3:$E$6002,MATCH("R"&amp;581,정리결과!$J$6:$J$6005,0))),""))</f>
        <v/>
      </c>
      <c r="F586" s="10" t="str">
        <f aca="false">IF($A586="","",IFERROR(IF(INDEX(원본명단!$F$3:$F$6002,MATCH("R"&amp;581,정리결과!$J$6:$J$6005,0))="","",INDEX(원본명단!$F$3:$F$6002,MATCH("R"&amp;581,정리결과!$J$6:$J$6005,0))),""))</f>
        <v/>
      </c>
      <c r="H586" s="14" t="b">
        <f aca="false">IF(중복검사!$A584="",FALSE(),중복검사!$J584="유지")</f>
        <v>0</v>
      </c>
      <c r="I586" s="5" t="str">
        <f aca="false">IF($H586=FALSE(),"",COUNTIF($H$6:$H586,TRUE()))</f>
        <v/>
      </c>
      <c r="J586" s="5" t="str">
        <f aca="false">IF($I586="","","R"&amp;$I586)</f>
        <v/>
      </c>
    </row>
    <row r="587" customFormat="false" ht="15" hidden="false" customHeight="true" outlineLevel="0" collapsed="false">
      <c r="A587" s="10" t="str">
        <f aca="false">IFERROR(IF(INDEX(원본명단!$A$3:$A$6002,MATCH("R"&amp;582,정리결과!$J$6:$J$6005,0))="","",INDEX(원본명단!$A$3:$A$6002,MATCH("R"&amp;582,정리결과!$J$6:$J$6005,0))),"")</f>
        <v/>
      </c>
      <c r="B587" s="10" t="str">
        <f aca="false">IF($A587="","",IFERROR(IF(INDEX(원본명단!$B$3:$B$6002,MATCH("R"&amp;582,정리결과!$J$6:$J$6005,0))="","",INDEX(원본명단!$B$3:$B$6002,MATCH("R"&amp;582,정리결과!$J$6:$J$6005,0))),""))</f>
        <v/>
      </c>
      <c r="C587" s="10" t="str">
        <f aca="false">IF($A587="","",IFERROR(IF(INDEX(원본명단!$C$3:$C$6002,MATCH("R"&amp;582,정리결과!$J$6:$J$6005,0))="","",INDEX(원본명단!$C$3:$C$6002,MATCH("R"&amp;582,정리결과!$J$6:$J$6005,0))),""))</f>
        <v/>
      </c>
      <c r="D587" s="10" t="str">
        <f aca="false">IF($A587="","",IFERROR(IF(INDEX(원본명단!$D$3:$D$6002,MATCH("R"&amp;582,정리결과!$J$6:$J$6005,0))="","",INDEX(원본명단!$D$3:$D$6002,MATCH("R"&amp;582,정리결과!$J$6:$J$6005,0))),""))</f>
        <v/>
      </c>
      <c r="E587" s="10" t="str">
        <f aca="false">IF($A587="","",IFERROR(IF(INDEX(원본명단!$E$3:$E$6002,MATCH("R"&amp;582,정리결과!$J$6:$J$6005,0))="","",INDEX(원본명단!$E$3:$E$6002,MATCH("R"&amp;582,정리결과!$J$6:$J$6005,0))),""))</f>
        <v/>
      </c>
      <c r="F587" s="10" t="str">
        <f aca="false">IF($A587="","",IFERROR(IF(INDEX(원본명단!$F$3:$F$6002,MATCH("R"&amp;582,정리결과!$J$6:$J$6005,0))="","",INDEX(원본명단!$F$3:$F$6002,MATCH("R"&amp;582,정리결과!$J$6:$J$6005,0))),""))</f>
        <v/>
      </c>
      <c r="H587" s="14" t="b">
        <f aca="false">IF(중복검사!$A585="",FALSE(),중복검사!$J585="유지")</f>
        <v>0</v>
      </c>
      <c r="I587" s="5" t="str">
        <f aca="false">IF($H587=FALSE(),"",COUNTIF($H$6:$H587,TRUE()))</f>
        <v/>
      </c>
      <c r="J587" s="5" t="str">
        <f aca="false">IF($I587="","","R"&amp;$I587)</f>
        <v/>
      </c>
    </row>
    <row r="588" customFormat="false" ht="15" hidden="false" customHeight="true" outlineLevel="0" collapsed="false">
      <c r="A588" s="10" t="str">
        <f aca="false">IFERROR(IF(INDEX(원본명단!$A$3:$A$6002,MATCH("R"&amp;583,정리결과!$J$6:$J$6005,0))="","",INDEX(원본명단!$A$3:$A$6002,MATCH("R"&amp;583,정리결과!$J$6:$J$6005,0))),"")</f>
        <v/>
      </c>
      <c r="B588" s="10" t="str">
        <f aca="false">IF($A588="","",IFERROR(IF(INDEX(원본명단!$B$3:$B$6002,MATCH("R"&amp;583,정리결과!$J$6:$J$6005,0))="","",INDEX(원본명단!$B$3:$B$6002,MATCH("R"&amp;583,정리결과!$J$6:$J$6005,0))),""))</f>
        <v/>
      </c>
      <c r="C588" s="10" t="str">
        <f aca="false">IF($A588="","",IFERROR(IF(INDEX(원본명단!$C$3:$C$6002,MATCH("R"&amp;583,정리결과!$J$6:$J$6005,0))="","",INDEX(원본명단!$C$3:$C$6002,MATCH("R"&amp;583,정리결과!$J$6:$J$6005,0))),""))</f>
        <v/>
      </c>
      <c r="D588" s="10" t="str">
        <f aca="false">IF($A588="","",IFERROR(IF(INDEX(원본명단!$D$3:$D$6002,MATCH("R"&amp;583,정리결과!$J$6:$J$6005,0))="","",INDEX(원본명단!$D$3:$D$6002,MATCH("R"&amp;583,정리결과!$J$6:$J$6005,0))),""))</f>
        <v/>
      </c>
      <c r="E588" s="10" t="str">
        <f aca="false">IF($A588="","",IFERROR(IF(INDEX(원본명단!$E$3:$E$6002,MATCH("R"&amp;583,정리결과!$J$6:$J$6005,0))="","",INDEX(원본명단!$E$3:$E$6002,MATCH("R"&amp;583,정리결과!$J$6:$J$6005,0))),""))</f>
        <v/>
      </c>
      <c r="F588" s="10" t="str">
        <f aca="false">IF($A588="","",IFERROR(IF(INDEX(원본명단!$F$3:$F$6002,MATCH("R"&amp;583,정리결과!$J$6:$J$6005,0))="","",INDEX(원본명단!$F$3:$F$6002,MATCH("R"&amp;583,정리결과!$J$6:$J$6005,0))),""))</f>
        <v/>
      </c>
      <c r="H588" s="14" t="b">
        <f aca="false">IF(중복검사!$A586="",FALSE(),중복검사!$J586="유지")</f>
        <v>0</v>
      </c>
      <c r="I588" s="5" t="str">
        <f aca="false">IF($H588=FALSE(),"",COUNTIF($H$6:$H588,TRUE()))</f>
        <v/>
      </c>
      <c r="J588" s="5" t="str">
        <f aca="false">IF($I588="","","R"&amp;$I588)</f>
        <v/>
      </c>
    </row>
    <row r="589" customFormat="false" ht="15" hidden="false" customHeight="true" outlineLevel="0" collapsed="false">
      <c r="A589" s="10" t="str">
        <f aca="false">IFERROR(IF(INDEX(원본명단!$A$3:$A$6002,MATCH("R"&amp;584,정리결과!$J$6:$J$6005,0))="","",INDEX(원본명단!$A$3:$A$6002,MATCH("R"&amp;584,정리결과!$J$6:$J$6005,0))),"")</f>
        <v/>
      </c>
      <c r="B589" s="10" t="str">
        <f aca="false">IF($A589="","",IFERROR(IF(INDEX(원본명단!$B$3:$B$6002,MATCH("R"&amp;584,정리결과!$J$6:$J$6005,0))="","",INDEX(원본명단!$B$3:$B$6002,MATCH("R"&amp;584,정리결과!$J$6:$J$6005,0))),""))</f>
        <v/>
      </c>
      <c r="C589" s="10" t="str">
        <f aca="false">IF($A589="","",IFERROR(IF(INDEX(원본명단!$C$3:$C$6002,MATCH("R"&amp;584,정리결과!$J$6:$J$6005,0))="","",INDEX(원본명단!$C$3:$C$6002,MATCH("R"&amp;584,정리결과!$J$6:$J$6005,0))),""))</f>
        <v/>
      </c>
      <c r="D589" s="10" t="str">
        <f aca="false">IF($A589="","",IFERROR(IF(INDEX(원본명단!$D$3:$D$6002,MATCH("R"&amp;584,정리결과!$J$6:$J$6005,0))="","",INDEX(원본명단!$D$3:$D$6002,MATCH("R"&amp;584,정리결과!$J$6:$J$6005,0))),""))</f>
        <v/>
      </c>
      <c r="E589" s="10" t="str">
        <f aca="false">IF($A589="","",IFERROR(IF(INDEX(원본명단!$E$3:$E$6002,MATCH("R"&amp;584,정리결과!$J$6:$J$6005,0))="","",INDEX(원본명단!$E$3:$E$6002,MATCH("R"&amp;584,정리결과!$J$6:$J$6005,0))),""))</f>
        <v/>
      </c>
      <c r="F589" s="10" t="str">
        <f aca="false">IF($A589="","",IFERROR(IF(INDEX(원본명단!$F$3:$F$6002,MATCH("R"&amp;584,정리결과!$J$6:$J$6005,0))="","",INDEX(원본명단!$F$3:$F$6002,MATCH("R"&amp;584,정리결과!$J$6:$J$6005,0))),""))</f>
        <v/>
      </c>
      <c r="H589" s="14" t="b">
        <f aca="false">IF(중복검사!$A587="",FALSE(),중복검사!$J587="유지")</f>
        <v>0</v>
      </c>
      <c r="I589" s="5" t="str">
        <f aca="false">IF($H589=FALSE(),"",COUNTIF($H$6:$H589,TRUE()))</f>
        <v/>
      </c>
      <c r="J589" s="5" t="str">
        <f aca="false">IF($I589="","","R"&amp;$I589)</f>
        <v/>
      </c>
    </row>
    <row r="590" customFormat="false" ht="15" hidden="false" customHeight="true" outlineLevel="0" collapsed="false">
      <c r="A590" s="10" t="str">
        <f aca="false">IFERROR(IF(INDEX(원본명단!$A$3:$A$6002,MATCH("R"&amp;585,정리결과!$J$6:$J$6005,0))="","",INDEX(원본명단!$A$3:$A$6002,MATCH("R"&amp;585,정리결과!$J$6:$J$6005,0))),"")</f>
        <v/>
      </c>
      <c r="B590" s="10" t="str">
        <f aca="false">IF($A590="","",IFERROR(IF(INDEX(원본명단!$B$3:$B$6002,MATCH("R"&amp;585,정리결과!$J$6:$J$6005,0))="","",INDEX(원본명단!$B$3:$B$6002,MATCH("R"&amp;585,정리결과!$J$6:$J$6005,0))),""))</f>
        <v/>
      </c>
      <c r="C590" s="10" t="str">
        <f aca="false">IF($A590="","",IFERROR(IF(INDEX(원본명단!$C$3:$C$6002,MATCH("R"&amp;585,정리결과!$J$6:$J$6005,0))="","",INDEX(원본명단!$C$3:$C$6002,MATCH("R"&amp;585,정리결과!$J$6:$J$6005,0))),""))</f>
        <v/>
      </c>
      <c r="D590" s="10" t="str">
        <f aca="false">IF($A590="","",IFERROR(IF(INDEX(원본명단!$D$3:$D$6002,MATCH("R"&amp;585,정리결과!$J$6:$J$6005,0))="","",INDEX(원본명단!$D$3:$D$6002,MATCH("R"&amp;585,정리결과!$J$6:$J$6005,0))),""))</f>
        <v/>
      </c>
      <c r="E590" s="10" t="str">
        <f aca="false">IF($A590="","",IFERROR(IF(INDEX(원본명단!$E$3:$E$6002,MATCH("R"&amp;585,정리결과!$J$6:$J$6005,0))="","",INDEX(원본명단!$E$3:$E$6002,MATCH("R"&amp;585,정리결과!$J$6:$J$6005,0))),""))</f>
        <v/>
      </c>
      <c r="F590" s="10" t="str">
        <f aca="false">IF($A590="","",IFERROR(IF(INDEX(원본명단!$F$3:$F$6002,MATCH("R"&amp;585,정리결과!$J$6:$J$6005,0))="","",INDEX(원본명단!$F$3:$F$6002,MATCH("R"&amp;585,정리결과!$J$6:$J$6005,0))),""))</f>
        <v/>
      </c>
      <c r="H590" s="14" t="b">
        <f aca="false">IF(중복검사!$A588="",FALSE(),중복검사!$J588="유지")</f>
        <v>0</v>
      </c>
      <c r="I590" s="5" t="str">
        <f aca="false">IF($H590=FALSE(),"",COUNTIF($H$6:$H590,TRUE()))</f>
        <v/>
      </c>
      <c r="J590" s="5" t="str">
        <f aca="false">IF($I590="","","R"&amp;$I590)</f>
        <v/>
      </c>
    </row>
    <row r="591" customFormat="false" ht="15" hidden="false" customHeight="true" outlineLevel="0" collapsed="false">
      <c r="A591" s="10" t="str">
        <f aca="false">IFERROR(IF(INDEX(원본명단!$A$3:$A$6002,MATCH("R"&amp;586,정리결과!$J$6:$J$6005,0))="","",INDEX(원본명단!$A$3:$A$6002,MATCH("R"&amp;586,정리결과!$J$6:$J$6005,0))),"")</f>
        <v/>
      </c>
      <c r="B591" s="10" t="str">
        <f aca="false">IF($A591="","",IFERROR(IF(INDEX(원본명단!$B$3:$B$6002,MATCH("R"&amp;586,정리결과!$J$6:$J$6005,0))="","",INDEX(원본명단!$B$3:$B$6002,MATCH("R"&amp;586,정리결과!$J$6:$J$6005,0))),""))</f>
        <v/>
      </c>
      <c r="C591" s="10" t="str">
        <f aca="false">IF($A591="","",IFERROR(IF(INDEX(원본명단!$C$3:$C$6002,MATCH("R"&amp;586,정리결과!$J$6:$J$6005,0))="","",INDEX(원본명단!$C$3:$C$6002,MATCH("R"&amp;586,정리결과!$J$6:$J$6005,0))),""))</f>
        <v/>
      </c>
      <c r="D591" s="10" t="str">
        <f aca="false">IF($A591="","",IFERROR(IF(INDEX(원본명단!$D$3:$D$6002,MATCH("R"&amp;586,정리결과!$J$6:$J$6005,0))="","",INDEX(원본명단!$D$3:$D$6002,MATCH("R"&amp;586,정리결과!$J$6:$J$6005,0))),""))</f>
        <v/>
      </c>
      <c r="E591" s="10" t="str">
        <f aca="false">IF($A591="","",IFERROR(IF(INDEX(원본명단!$E$3:$E$6002,MATCH("R"&amp;586,정리결과!$J$6:$J$6005,0))="","",INDEX(원본명단!$E$3:$E$6002,MATCH("R"&amp;586,정리결과!$J$6:$J$6005,0))),""))</f>
        <v/>
      </c>
      <c r="F591" s="10" t="str">
        <f aca="false">IF($A591="","",IFERROR(IF(INDEX(원본명단!$F$3:$F$6002,MATCH("R"&amp;586,정리결과!$J$6:$J$6005,0))="","",INDEX(원본명단!$F$3:$F$6002,MATCH("R"&amp;586,정리결과!$J$6:$J$6005,0))),""))</f>
        <v/>
      </c>
      <c r="H591" s="14" t="b">
        <f aca="false">IF(중복검사!$A589="",FALSE(),중복검사!$J589="유지")</f>
        <v>0</v>
      </c>
      <c r="I591" s="5" t="str">
        <f aca="false">IF($H591=FALSE(),"",COUNTIF($H$6:$H591,TRUE()))</f>
        <v/>
      </c>
      <c r="J591" s="5" t="str">
        <f aca="false">IF($I591="","","R"&amp;$I591)</f>
        <v/>
      </c>
    </row>
    <row r="592" customFormat="false" ht="15" hidden="false" customHeight="true" outlineLevel="0" collapsed="false">
      <c r="A592" s="10" t="str">
        <f aca="false">IFERROR(IF(INDEX(원본명단!$A$3:$A$6002,MATCH("R"&amp;587,정리결과!$J$6:$J$6005,0))="","",INDEX(원본명단!$A$3:$A$6002,MATCH("R"&amp;587,정리결과!$J$6:$J$6005,0))),"")</f>
        <v/>
      </c>
      <c r="B592" s="10" t="str">
        <f aca="false">IF($A592="","",IFERROR(IF(INDEX(원본명단!$B$3:$B$6002,MATCH("R"&amp;587,정리결과!$J$6:$J$6005,0))="","",INDEX(원본명단!$B$3:$B$6002,MATCH("R"&amp;587,정리결과!$J$6:$J$6005,0))),""))</f>
        <v/>
      </c>
      <c r="C592" s="10" t="str">
        <f aca="false">IF($A592="","",IFERROR(IF(INDEX(원본명단!$C$3:$C$6002,MATCH("R"&amp;587,정리결과!$J$6:$J$6005,0))="","",INDEX(원본명단!$C$3:$C$6002,MATCH("R"&amp;587,정리결과!$J$6:$J$6005,0))),""))</f>
        <v/>
      </c>
      <c r="D592" s="10" t="str">
        <f aca="false">IF($A592="","",IFERROR(IF(INDEX(원본명단!$D$3:$D$6002,MATCH("R"&amp;587,정리결과!$J$6:$J$6005,0))="","",INDEX(원본명단!$D$3:$D$6002,MATCH("R"&amp;587,정리결과!$J$6:$J$6005,0))),""))</f>
        <v/>
      </c>
      <c r="E592" s="10" t="str">
        <f aca="false">IF($A592="","",IFERROR(IF(INDEX(원본명단!$E$3:$E$6002,MATCH("R"&amp;587,정리결과!$J$6:$J$6005,0))="","",INDEX(원본명단!$E$3:$E$6002,MATCH("R"&amp;587,정리결과!$J$6:$J$6005,0))),""))</f>
        <v/>
      </c>
      <c r="F592" s="10" t="str">
        <f aca="false">IF($A592="","",IFERROR(IF(INDEX(원본명단!$F$3:$F$6002,MATCH("R"&amp;587,정리결과!$J$6:$J$6005,0))="","",INDEX(원본명단!$F$3:$F$6002,MATCH("R"&amp;587,정리결과!$J$6:$J$6005,0))),""))</f>
        <v/>
      </c>
      <c r="H592" s="14" t="b">
        <f aca="false">IF(중복검사!$A590="",FALSE(),중복검사!$J590="유지")</f>
        <v>0</v>
      </c>
      <c r="I592" s="5" t="str">
        <f aca="false">IF($H592=FALSE(),"",COUNTIF($H$6:$H592,TRUE()))</f>
        <v/>
      </c>
      <c r="J592" s="5" t="str">
        <f aca="false">IF($I592="","","R"&amp;$I592)</f>
        <v/>
      </c>
    </row>
    <row r="593" customFormat="false" ht="15" hidden="false" customHeight="true" outlineLevel="0" collapsed="false">
      <c r="A593" s="10" t="str">
        <f aca="false">IFERROR(IF(INDEX(원본명단!$A$3:$A$6002,MATCH("R"&amp;588,정리결과!$J$6:$J$6005,0))="","",INDEX(원본명단!$A$3:$A$6002,MATCH("R"&amp;588,정리결과!$J$6:$J$6005,0))),"")</f>
        <v/>
      </c>
      <c r="B593" s="10" t="str">
        <f aca="false">IF($A593="","",IFERROR(IF(INDEX(원본명단!$B$3:$B$6002,MATCH("R"&amp;588,정리결과!$J$6:$J$6005,0))="","",INDEX(원본명단!$B$3:$B$6002,MATCH("R"&amp;588,정리결과!$J$6:$J$6005,0))),""))</f>
        <v/>
      </c>
      <c r="C593" s="10" t="str">
        <f aca="false">IF($A593="","",IFERROR(IF(INDEX(원본명단!$C$3:$C$6002,MATCH("R"&amp;588,정리결과!$J$6:$J$6005,0))="","",INDEX(원본명단!$C$3:$C$6002,MATCH("R"&amp;588,정리결과!$J$6:$J$6005,0))),""))</f>
        <v/>
      </c>
      <c r="D593" s="10" t="str">
        <f aca="false">IF($A593="","",IFERROR(IF(INDEX(원본명단!$D$3:$D$6002,MATCH("R"&amp;588,정리결과!$J$6:$J$6005,0))="","",INDEX(원본명단!$D$3:$D$6002,MATCH("R"&amp;588,정리결과!$J$6:$J$6005,0))),""))</f>
        <v/>
      </c>
      <c r="E593" s="10" t="str">
        <f aca="false">IF($A593="","",IFERROR(IF(INDEX(원본명단!$E$3:$E$6002,MATCH("R"&amp;588,정리결과!$J$6:$J$6005,0))="","",INDEX(원본명단!$E$3:$E$6002,MATCH("R"&amp;588,정리결과!$J$6:$J$6005,0))),""))</f>
        <v/>
      </c>
      <c r="F593" s="10" t="str">
        <f aca="false">IF($A593="","",IFERROR(IF(INDEX(원본명단!$F$3:$F$6002,MATCH("R"&amp;588,정리결과!$J$6:$J$6005,0))="","",INDEX(원본명단!$F$3:$F$6002,MATCH("R"&amp;588,정리결과!$J$6:$J$6005,0))),""))</f>
        <v/>
      </c>
      <c r="H593" s="14" t="b">
        <f aca="false">IF(중복검사!$A591="",FALSE(),중복검사!$J591="유지")</f>
        <v>0</v>
      </c>
      <c r="I593" s="5" t="str">
        <f aca="false">IF($H593=FALSE(),"",COUNTIF($H$6:$H593,TRUE()))</f>
        <v/>
      </c>
      <c r="J593" s="5" t="str">
        <f aca="false">IF($I593="","","R"&amp;$I593)</f>
        <v/>
      </c>
    </row>
    <row r="594" customFormat="false" ht="15" hidden="false" customHeight="true" outlineLevel="0" collapsed="false">
      <c r="A594" s="10" t="str">
        <f aca="false">IFERROR(IF(INDEX(원본명단!$A$3:$A$6002,MATCH("R"&amp;589,정리결과!$J$6:$J$6005,0))="","",INDEX(원본명단!$A$3:$A$6002,MATCH("R"&amp;589,정리결과!$J$6:$J$6005,0))),"")</f>
        <v/>
      </c>
      <c r="B594" s="10" t="str">
        <f aca="false">IF($A594="","",IFERROR(IF(INDEX(원본명단!$B$3:$B$6002,MATCH("R"&amp;589,정리결과!$J$6:$J$6005,0))="","",INDEX(원본명단!$B$3:$B$6002,MATCH("R"&amp;589,정리결과!$J$6:$J$6005,0))),""))</f>
        <v/>
      </c>
      <c r="C594" s="10" t="str">
        <f aca="false">IF($A594="","",IFERROR(IF(INDEX(원본명단!$C$3:$C$6002,MATCH("R"&amp;589,정리결과!$J$6:$J$6005,0))="","",INDEX(원본명단!$C$3:$C$6002,MATCH("R"&amp;589,정리결과!$J$6:$J$6005,0))),""))</f>
        <v/>
      </c>
      <c r="D594" s="10" t="str">
        <f aca="false">IF($A594="","",IFERROR(IF(INDEX(원본명단!$D$3:$D$6002,MATCH("R"&amp;589,정리결과!$J$6:$J$6005,0))="","",INDEX(원본명단!$D$3:$D$6002,MATCH("R"&amp;589,정리결과!$J$6:$J$6005,0))),""))</f>
        <v/>
      </c>
      <c r="E594" s="10" t="str">
        <f aca="false">IF($A594="","",IFERROR(IF(INDEX(원본명단!$E$3:$E$6002,MATCH("R"&amp;589,정리결과!$J$6:$J$6005,0))="","",INDEX(원본명단!$E$3:$E$6002,MATCH("R"&amp;589,정리결과!$J$6:$J$6005,0))),""))</f>
        <v/>
      </c>
      <c r="F594" s="10" t="str">
        <f aca="false">IF($A594="","",IFERROR(IF(INDEX(원본명단!$F$3:$F$6002,MATCH("R"&amp;589,정리결과!$J$6:$J$6005,0))="","",INDEX(원본명단!$F$3:$F$6002,MATCH("R"&amp;589,정리결과!$J$6:$J$6005,0))),""))</f>
        <v/>
      </c>
      <c r="H594" s="14" t="b">
        <f aca="false">IF(중복검사!$A592="",FALSE(),중복검사!$J592="유지")</f>
        <v>0</v>
      </c>
      <c r="I594" s="5" t="str">
        <f aca="false">IF($H594=FALSE(),"",COUNTIF($H$6:$H594,TRUE()))</f>
        <v/>
      </c>
      <c r="J594" s="5" t="str">
        <f aca="false">IF($I594="","","R"&amp;$I594)</f>
        <v/>
      </c>
    </row>
    <row r="595" customFormat="false" ht="15" hidden="false" customHeight="true" outlineLevel="0" collapsed="false">
      <c r="A595" s="10" t="str">
        <f aca="false">IFERROR(IF(INDEX(원본명단!$A$3:$A$6002,MATCH("R"&amp;590,정리결과!$J$6:$J$6005,0))="","",INDEX(원본명단!$A$3:$A$6002,MATCH("R"&amp;590,정리결과!$J$6:$J$6005,0))),"")</f>
        <v/>
      </c>
      <c r="B595" s="10" t="str">
        <f aca="false">IF($A595="","",IFERROR(IF(INDEX(원본명단!$B$3:$B$6002,MATCH("R"&amp;590,정리결과!$J$6:$J$6005,0))="","",INDEX(원본명단!$B$3:$B$6002,MATCH("R"&amp;590,정리결과!$J$6:$J$6005,0))),""))</f>
        <v/>
      </c>
      <c r="C595" s="10" t="str">
        <f aca="false">IF($A595="","",IFERROR(IF(INDEX(원본명단!$C$3:$C$6002,MATCH("R"&amp;590,정리결과!$J$6:$J$6005,0))="","",INDEX(원본명단!$C$3:$C$6002,MATCH("R"&amp;590,정리결과!$J$6:$J$6005,0))),""))</f>
        <v/>
      </c>
      <c r="D595" s="10" t="str">
        <f aca="false">IF($A595="","",IFERROR(IF(INDEX(원본명단!$D$3:$D$6002,MATCH("R"&amp;590,정리결과!$J$6:$J$6005,0))="","",INDEX(원본명단!$D$3:$D$6002,MATCH("R"&amp;590,정리결과!$J$6:$J$6005,0))),""))</f>
        <v/>
      </c>
      <c r="E595" s="10" t="str">
        <f aca="false">IF($A595="","",IFERROR(IF(INDEX(원본명단!$E$3:$E$6002,MATCH("R"&amp;590,정리결과!$J$6:$J$6005,0))="","",INDEX(원본명단!$E$3:$E$6002,MATCH("R"&amp;590,정리결과!$J$6:$J$6005,0))),""))</f>
        <v/>
      </c>
      <c r="F595" s="10" t="str">
        <f aca="false">IF($A595="","",IFERROR(IF(INDEX(원본명단!$F$3:$F$6002,MATCH("R"&amp;590,정리결과!$J$6:$J$6005,0))="","",INDEX(원본명단!$F$3:$F$6002,MATCH("R"&amp;590,정리결과!$J$6:$J$6005,0))),""))</f>
        <v/>
      </c>
      <c r="H595" s="14" t="b">
        <f aca="false">IF(중복검사!$A593="",FALSE(),중복검사!$J593="유지")</f>
        <v>0</v>
      </c>
      <c r="I595" s="5" t="str">
        <f aca="false">IF($H595=FALSE(),"",COUNTIF($H$6:$H595,TRUE()))</f>
        <v/>
      </c>
      <c r="J595" s="5" t="str">
        <f aca="false">IF($I595="","","R"&amp;$I595)</f>
        <v/>
      </c>
    </row>
    <row r="596" customFormat="false" ht="15" hidden="false" customHeight="true" outlineLevel="0" collapsed="false">
      <c r="A596" s="10" t="str">
        <f aca="false">IFERROR(IF(INDEX(원본명단!$A$3:$A$6002,MATCH("R"&amp;591,정리결과!$J$6:$J$6005,0))="","",INDEX(원본명단!$A$3:$A$6002,MATCH("R"&amp;591,정리결과!$J$6:$J$6005,0))),"")</f>
        <v/>
      </c>
      <c r="B596" s="10" t="str">
        <f aca="false">IF($A596="","",IFERROR(IF(INDEX(원본명단!$B$3:$B$6002,MATCH("R"&amp;591,정리결과!$J$6:$J$6005,0))="","",INDEX(원본명단!$B$3:$B$6002,MATCH("R"&amp;591,정리결과!$J$6:$J$6005,0))),""))</f>
        <v/>
      </c>
      <c r="C596" s="10" t="str">
        <f aca="false">IF($A596="","",IFERROR(IF(INDEX(원본명단!$C$3:$C$6002,MATCH("R"&amp;591,정리결과!$J$6:$J$6005,0))="","",INDEX(원본명단!$C$3:$C$6002,MATCH("R"&amp;591,정리결과!$J$6:$J$6005,0))),""))</f>
        <v/>
      </c>
      <c r="D596" s="10" t="str">
        <f aca="false">IF($A596="","",IFERROR(IF(INDEX(원본명단!$D$3:$D$6002,MATCH("R"&amp;591,정리결과!$J$6:$J$6005,0))="","",INDEX(원본명단!$D$3:$D$6002,MATCH("R"&amp;591,정리결과!$J$6:$J$6005,0))),""))</f>
        <v/>
      </c>
      <c r="E596" s="10" t="str">
        <f aca="false">IF($A596="","",IFERROR(IF(INDEX(원본명단!$E$3:$E$6002,MATCH("R"&amp;591,정리결과!$J$6:$J$6005,0))="","",INDEX(원본명단!$E$3:$E$6002,MATCH("R"&amp;591,정리결과!$J$6:$J$6005,0))),""))</f>
        <v/>
      </c>
      <c r="F596" s="10" t="str">
        <f aca="false">IF($A596="","",IFERROR(IF(INDEX(원본명단!$F$3:$F$6002,MATCH("R"&amp;591,정리결과!$J$6:$J$6005,0))="","",INDEX(원본명단!$F$3:$F$6002,MATCH("R"&amp;591,정리결과!$J$6:$J$6005,0))),""))</f>
        <v/>
      </c>
      <c r="H596" s="14" t="b">
        <f aca="false">IF(중복검사!$A594="",FALSE(),중복검사!$J594="유지")</f>
        <v>0</v>
      </c>
      <c r="I596" s="5" t="str">
        <f aca="false">IF($H596=FALSE(),"",COUNTIF($H$6:$H596,TRUE()))</f>
        <v/>
      </c>
      <c r="J596" s="5" t="str">
        <f aca="false">IF($I596="","","R"&amp;$I596)</f>
        <v/>
      </c>
    </row>
    <row r="597" customFormat="false" ht="15" hidden="false" customHeight="true" outlineLevel="0" collapsed="false">
      <c r="A597" s="10" t="str">
        <f aca="false">IFERROR(IF(INDEX(원본명단!$A$3:$A$6002,MATCH("R"&amp;592,정리결과!$J$6:$J$6005,0))="","",INDEX(원본명단!$A$3:$A$6002,MATCH("R"&amp;592,정리결과!$J$6:$J$6005,0))),"")</f>
        <v/>
      </c>
      <c r="B597" s="10" t="str">
        <f aca="false">IF($A597="","",IFERROR(IF(INDEX(원본명단!$B$3:$B$6002,MATCH("R"&amp;592,정리결과!$J$6:$J$6005,0))="","",INDEX(원본명단!$B$3:$B$6002,MATCH("R"&amp;592,정리결과!$J$6:$J$6005,0))),""))</f>
        <v/>
      </c>
      <c r="C597" s="10" t="str">
        <f aca="false">IF($A597="","",IFERROR(IF(INDEX(원본명단!$C$3:$C$6002,MATCH("R"&amp;592,정리결과!$J$6:$J$6005,0))="","",INDEX(원본명단!$C$3:$C$6002,MATCH("R"&amp;592,정리결과!$J$6:$J$6005,0))),""))</f>
        <v/>
      </c>
      <c r="D597" s="10" t="str">
        <f aca="false">IF($A597="","",IFERROR(IF(INDEX(원본명단!$D$3:$D$6002,MATCH("R"&amp;592,정리결과!$J$6:$J$6005,0))="","",INDEX(원본명단!$D$3:$D$6002,MATCH("R"&amp;592,정리결과!$J$6:$J$6005,0))),""))</f>
        <v/>
      </c>
      <c r="E597" s="10" t="str">
        <f aca="false">IF($A597="","",IFERROR(IF(INDEX(원본명단!$E$3:$E$6002,MATCH("R"&amp;592,정리결과!$J$6:$J$6005,0))="","",INDEX(원본명단!$E$3:$E$6002,MATCH("R"&amp;592,정리결과!$J$6:$J$6005,0))),""))</f>
        <v/>
      </c>
      <c r="F597" s="10" t="str">
        <f aca="false">IF($A597="","",IFERROR(IF(INDEX(원본명단!$F$3:$F$6002,MATCH("R"&amp;592,정리결과!$J$6:$J$6005,0))="","",INDEX(원본명단!$F$3:$F$6002,MATCH("R"&amp;592,정리결과!$J$6:$J$6005,0))),""))</f>
        <v/>
      </c>
      <c r="H597" s="14" t="b">
        <f aca="false">IF(중복검사!$A595="",FALSE(),중복검사!$J595="유지")</f>
        <v>0</v>
      </c>
      <c r="I597" s="5" t="str">
        <f aca="false">IF($H597=FALSE(),"",COUNTIF($H$6:$H597,TRUE()))</f>
        <v/>
      </c>
      <c r="J597" s="5" t="str">
        <f aca="false">IF($I597="","","R"&amp;$I597)</f>
        <v/>
      </c>
    </row>
    <row r="598" customFormat="false" ht="15" hidden="false" customHeight="true" outlineLevel="0" collapsed="false">
      <c r="A598" s="10" t="str">
        <f aca="false">IFERROR(IF(INDEX(원본명단!$A$3:$A$6002,MATCH("R"&amp;593,정리결과!$J$6:$J$6005,0))="","",INDEX(원본명단!$A$3:$A$6002,MATCH("R"&amp;593,정리결과!$J$6:$J$6005,0))),"")</f>
        <v/>
      </c>
      <c r="B598" s="10" t="str">
        <f aca="false">IF($A598="","",IFERROR(IF(INDEX(원본명단!$B$3:$B$6002,MATCH("R"&amp;593,정리결과!$J$6:$J$6005,0))="","",INDEX(원본명단!$B$3:$B$6002,MATCH("R"&amp;593,정리결과!$J$6:$J$6005,0))),""))</f>
        <v/>
      </c>
      <c r="C598" s="10" t="str">
        <f aca="false">IF($A598="","",IFERROR(IF(INDEX(원본명단!$C$3:$C$6002,MATCH("R"&amp;593,정리결과!$J$6:$J$6005,0))="","",INDEX(원본명단!$C$3:$C$6002,MATCH("R"&amp;593,정리결과!$J$6:$J$6005,0))),""))</f>
        <v/>
      </c>
      <c r="D598" s="10" t="str">
        <f aca="false">IF($A598="","",IFERROR(IF(INDEX(원본명단!$D$3:$D$6002,MATCH("R"&amp;593,정리결과!$J$6:$J$6005,0))="","",INDEX(원본명단!$D$3:$D$6002,MATCH("R"&amp;593,정리결과!$J$6:$J$6005,0))),""))</f>
        <v/>
      </c>
      <c r="E598" s="10" t="str">
        <f aca="false">IF($A598="","",IFERROR(IF(INDEX(원본명단!$E$3:$E$6002,MATCH("R"&amp;593,정리결과!$J$6:$J$6005,0))="","",INDEX(원본명단!$E$3:$E$6002,MATCH("R"&amp;593,정리결과!$J$6:$J$6005,0))),""))</f>
        <v/>
      </c>
      <c r="F598" s="10" t="str">
        <f aca="false">IF($A598="","",IFERROR(IF(INDEX(원본명단!$F$3:$F$6002,MATCH("R"&amp;593,정리결과!$J$6:$J$6005,0))="","",INDEX(원본명단!$F$3:$F$6002,MATCH("R"&amp;593,정리결과!$J$6:$J$6005,0))),""))</f>
        <v/>
      </c>
      <c r="H598" s="14" t="b">
        <f aca="false">IF(중복검사!$A596="",FALSE(),중복검사!$J596="유지")</f>
        <v>0</v>
      </c>
      <c r="I598" s="5" t="str">
        <f aca="false">IF($H598=FALSE(),"",COUNTIF($H$6:$H598,TRUE()))</f>
        <v/>
      </c>
      <c r="J598" s="5" t="str">
        <f aca="false">IF($I598="","","R"&amp;$I598)</f>
        <v/>
      </c>
    </row>
    <row r="599" customFormat="false" ht="15" hidden="false" customHeight="true" outlineLevel="0" collapsed="false">
      <c r="A599" s="10" t="str">
        <f aca="false">IFERROR(IF(INDEX(원본명단!$A$3:$A$6002,MATCH("R"&amp;594,정리결과!$J$6:$J$6005,0))="","",INDEX(원본명단!$A$3:$A$6002,MATCH("R"&amp;594,정리결과!$J$6:$J$6005,0))),"")</f>
        <v/>
      </c>
      <c r="B599" s="10" t="str">
        <f aca="false">IF($A599="","",IFERROR(IF(INDEX(원본명단!$B$3:$B$6002,MATCH("R"&amp;594,정리결과!$J$6:$J$6005,0))="","",INDEX(원본명단!$B$3:$B$6002,MATCH("R"&amp;594,정리결과!$J$6:$J$6005,0))),""))</f>
        <v/>
      </c>
      <c r="C599" s="10" t="str">
        <f aca="false">IF($A599="","",IFERROR(IF(INDEX(원본명단!$C$3:$C$6002,MATCH("R"&amp;594,정리결과!$J$6:$J$6005,0))="","",INDEX(원본명단!$C$3:$C$6002,MATCH("R"&amp;594,정리결과!$J$6:$J$6005,0))),""))</f>
        <v/>
      </c>
      <c r="D599" s="10" t="str">
        <f aca="false">IF($A599="","",IFERROR(IF(INDEX(원본명단!$D$3:$D$6002,MATCH("R"&amp;594,정리결과!$J$6:$J$6005,0))="","",INDEX(원본명단!$D$3:$D$6002,MATCH("R"&amp;594,정리결과!$J$6:$J$6005,0))),""))</f>
        <v/>
      </c>
      <c r="E599" s="10" t="str">
        <f aca="false">IF($A599="","",IFERROR(IF(INDEX(원본명단!$E$3:$E$6002,MATCH("R"&amp;594,정리결과!$J$6:$J$6005,0))="","",INDEX(원본명단!$E$3:$E$6002,MATCH("R"&amp;594,정리결과!$J$6:$J$6005,0))),""))</f>
        <v/>
      </c>
      <c r="F599" s="10" t="str">
        <f aca="false">IF($A599="","",IFERROR(IF(INDEX(원본명단!$F$3:$F$6002,MATCH("R"&amp;594,정리결과!$J$6:$J$6005,0))="","",INDEX(원본명단!$F$3:$F$6002,MATCH("R"&amp;594,정리결과!$J$6:$J$6005,0))),""))</f>
        <v/>
      </c>
      <c r="H599" s="14" t="b">
        <f aca="false">IF(중복검사!$A597="",FALSE(),중복검사!$J597="유지")</f>
        <v>0</v>
      </c>
      <c r="I599" s="5" t="str">
        <f aca="false">IF($H599=FALSE(),"",COUNTIF($H$6:$H599,TRUE()))</f>
        <v/>
      </c>
      <c r="J599" s="5" t="str">
        <f aca="false">IF($I599="","","R"&amp;$I599)</f>
        <v/>
      </c>
    </row>
    <row r="600" customFormat="false" ht="15" hidden="false" customHeight="true" outlineLevel="0" collapsed="false">
      <c r="A600" s="10" t="str">
        <f aca="false">IFERROR(IF(INDEX(원본명단!$A$3:$A$6002,MATCH("R"&amp;595,정리결과!$J$6:$J$6005,0))="","",INDEX(원본명단!$A$3:$A$6002,MATCH("R"&amp;595,정리결과!$J$6:$J$6005,0))),"")</f>
        <v/>
      </c>
      <c r="B600" s="10" t="str">
        <f aca="false">IF($A600="","",IFERROR(IF(INDEX(원본명단!$B$3:$B$6002,MATCH("R"&amp;595,정리결과!$J$6:$J$6005,0))="","",INDEX(원본명단!$B$3:$B$6002,MATCH("R"&amp;595,정리결과!$J$6:$J$6005,0))),""))</f>
        <v/>
      </c>
      <c r="C600" s="10" t="str">
        <f aca="false">IF($A600="","",IFERROR(IF(INDEX(원본명단!$C$3:$C$6002,MATCH("R"&amp;595,정리결과!$J$6:$J$6005,0))="","",INDEX(원본명단!$C$3:$C$6002,MATCH("R"&amp;595,정리결과!$J$6:$J$6005,0))),""))</f>
        <v/>
      </c>
      <c r="D600" s="10" t="str">
        <f aca="false">IF($A600="","",IFERROR(IF(INDEX(원본명단!$D$3:$D$6002,MATCH("R"&amp;595,정리결과!$J$6:$J$6005,0))="","",INDEX(원본명단!$D$3:$D$6002,MATCH("R"&amp;595,정리결과!$J$6:$J$6005,0))),""))</f>
        <v/>
      </c>
      <c r="E600" s="10" t="str">
        <f aca="false">IF($A600="","",IFERROR(IF(INDEX(원본명단!$E$3:$E$6002,MATCH("R"&amp;595,정리결과!$J$6:$J$6005,0))="","",INDEX(원본명단!$E$3:$E$6002,MATCH("R"&amp;595,정리결과!$J$6:$J$6005,0))),""))</f>
        <v/>
      </c>
      <c r="F600" s="10" t="str">
        <f aca="false">IF($A600="","",IFERROR(IF(INDEX(원본명단!$F$3:$F$6002,MATCH("R"&amp;595,정리결과!$J$6:$J$6005,0))="","",INDEX(원본명단!$F$3:$F$6002,MATCH("R"&amp;595,정리결과!$J$6:$J$6005,0))),""))</f>
        <v/>
      </c>
      <c r="H600" s="14" t="b">
        <f aca="false">IF(중복검사!$A598="",FALSE(),중복검사!$J598="유지")</f>
        <v>0</v>
      </c>
      <c r="I600" s="5" t="str">
        <f aca="false">IF($H600=FALSE(),"",COUNTIF($H$6:$H600,TRUE()))</f>
        <v/>
      </c>
      <c r="J600" s="5" t="str">
        <f aca="false">IF($I600="","","R"&amp;$I600)</f>
        <v/>
      </c>
    </row>
    <row r="601" customFormat="false" ht="15" hidden="false" customHeight="true" outlineLevel="0" collapsed="false">
      <c r="A601" s="10" t="str">
        <f aca="false">IFERROR(IF(INDEX(원본명단!$A$3:$A$6002,MATCH("R"&amp;596,정리결과!$J$6:$J$6005,0))="","",INDEX(원본명단!$A$3:$A$6002,MATCH("R"&amp;596,정리결과!$J$6:$J$6005,0))),"")</f>
        <v/>
      </c>
      <c r="B601" s="10" t="str">
        <f aca="false">IF($A601="","",IFERROR(IF(INDEX(원본명단!$B$3:$B$6002,MATCH("R"&amp;596,정리결과!$J$6:$J$6005,0))="","",INDEX(원본명단!$B$3:$B$6002,MATCH("R"&amp;596,정리결과!$J$6:$J$6005,0))),""))</f>
        <v/>
      </c>
      <c r="C601" s="10" t="str">
        <f aca="false">IF($A601="","",IFERROR(IF(INDEX(원본명단!$C$3:$C$6002,MATCH("R"&amp;596,정리결과!$J$6:$J$6005,0))="","",INDEX(원본명단!$C$3:$C$6002,MATCH("R"&amp;596,정리결과!$J$6:$J$6005,0))),""))</f>
        <v/>
      </c>
      <c r="D601" s="10" t="str">
        <f aca="false">IF($A601="","",IFERROR(IF(INDEX(원본명단!$D$3:$D$6002,MATCH("R"&amp;596,정리결과!$J$6:$J$6005,0))="","",INDEX(원본명단!$D$3:$D$6002,MATCH("R"&amp;596,정리결과!$J$6:$J$6005,0))),""))</f>
        <v/>
      </c>
      <c r="E601" s="10" t="str">
        <f aca="false">IF($A601="","",IFERROR(IF(INDEX(원본명단!$E$3:$E$6002,MATCH("R"&amp;596,정리결과!$J$6:$J$6005,0))="","",INDEX(원본명단!$E$3:$E$6002,MATCH("R"&amp;596,정리결과!$J$6:$J$6005,0))),""))</f>
        <v/>
      </c>
      <c r="F601" s="10" t="str">
        <f aca="false">IF($A601="","",IFERROR(IF(INDEX(원본명단!$F$3:$F$6002,MATCH("R"&amp;596,정리결과!$J$6:$J$6005,0))="","",INDEX(원본명단!$F$3:$F$6002,MATCH("R"&amp;596,정리결과!$J$6:$J$6005,0))),""))</f>
        <v/>
      </c>
      <c r="H601" s="14" t="b">
        <f aca="false">IF(중복검사!$A599="",FALSE(),중복검사!$J599="유지")</f>
        <v>0</v>
      </c>
      <c r="I601" s="5" t="str">
        <f aca="false">IF($H601=FALSE(),"",COUNTIF($H$6:$H601,TRUE()))</f>
        <v/>
      </c>
      <c r="J601" s="5" t="str">
        <f aca="false">IF($I601="","","R"&amp;$I601)</f>
        <v/>
      </c>
    </row>
    <row r="602" customFormat="false" ht="15" hidden="false" customHeight="true" outlineLevel="0" collapsed="false">
      <c r="A602" s="10" t="str">
        <f aca="false">IFERROR(IF(INDEX(원본명단!$A$3:$A$6002,MATCH("R"&amp;597,정리결과!$J$6:$J$6005,0))="","",INDEX(원본명단!$A$3:$A$6002,MATCH("R"&amp;597,정리결과!$J$6:$J$6005,0))),"")</f>
        <v/>
      </c>
      <c r="B602" s="10" t="str">
        <f aca="false">IF($A602="","",IFERROR(IF(INDEX(원본명단!$B$3:$B$6002,MATCH("R"&amp;597,정리결과!$J$6:$J$6005,0))="","",INDEX(원본명단!$B$3:$B$6002,MATCH("R"&amp;597,정리결과!$J$6:$J$6005,0))),""))</f>
        <v/>
      </c>
      <c r="C602" s="10" t="str">
        <f aca="false">IF($A602="","",IFERROR(IF(INDEX(원본명단!$C$3:$C$6002,MATCH("R"&amp;597,정리결과!$J$6:$J$6005,0))="","",INDEX(원본명단!$C$3:$C$6002,MATCH("R"&amp;597,정리결과!$J$6:$J$6005,0))),""))</f>
        <v/>
      </c>
      <c r="D602" s="10" t="str">
        <f aca="false">IF($A602="","",IFERROR(IF(INDEX(원본명단!$D$3:$D$6002,MATCH("R"&amp;597,정리결과!$J$6:$J$6005,0))="","",INDEX(원본명단!$D$3:$D$6002,MATCH("R"&amp;597,정리결과!$J$6:$J$6005,0))),""))</f>
        <v/>
      </c>
      <c r="E602" s="10" t="str">
        <f aca="false">IF($A602="","",IFERROR(IF(INDEX(원본명단!$E$3:$E$6002,MATCH("R"&amp;597,정리결과!$J$6:$J$6005,0))="","",INDEX(원본명단!$E$3:$E$6002,MATCH("R"&amp;597,정리결과!$J$6:$J$6005,0))),""))</f>
        <v/>
      </c>
      <c r="F602" s="10" t="str">
        <f aca="false">IF($A602="","",IFERROR(IF(INDEX(원본명단!$F$3:$F$6002,MATCH("R"&amp;597,정리결과!$J$6:$J$6005,0))="","",INDEX(원본명단!$F$3:$F$6002,MATCH("R"&amp;597,정리결과!$J$6:$J$6005,0))),""))</f>
        <v/>
      </c>
      <c r="H602" s="14" t="b">
        <f aca="false">IF(중복검사!$A600="",FALSE(),중복검사!$J600="유지")</f>
        <v>0</v>
      </c>
      <c r="I602" s="5" t="str">
        <f aca="false">IF($H602=FALSE(),"",COUNTIF($H$6:$H602,TRUE()))</f>
        <v/>
      </c>
      <c r="J602" s="5" t="str">
        <f aca="false">IF($I602="","","R"&amp;$I602)</f>
        <v/>
      </c>
    </row>
    <row r="603" customFormat="false" ht="15" hidden="false" customHeight="true" outlineLevel="0" collapsed="false">
      <c r="A603" s="10" t="str">
        <f aca="false">IFERROR(IF(INDEX(원본명단!$A$3:$A$6002,MATCH("R"&amp;598,정리결과!$J$6:$J$6005,0))="","",INDEX(원본명단!$A$3:$A$6002,MATCH("R"&amp;598,정리결과!$J$6:$J$6005,0))),"")</f>
        <v/>
      </c>
      <c r="B603" s="10" t="str">
        <f aca="false">IF($A603="","",IFERROR(IF(INDEX(원본명단!$B$3:$B$6002,MATCH("R"&amp;598,정리결과!$J$6:$J$6005,0))="","",INDEX(원본명단!$B$3:$B$6002,MATCH("R"&amp;598,정리결과!$J$6:$J$6005,0))),""))</f>
        <v/>
      </c>
      <c r="C603" s="10" t="str">
        <f aca="false">IF($A603="","",IFERROR(IF(INDEX(원본명단!$C$3:$C$6002,MATCH("R"&amp;598,정리결과!$J$6:$J$6005,0))="","",INDEX(원본명단!$C$3:$C$6002,MATCH("R"&amp;598,정리결과!$J$6:$J$6005,0))),""))</f>
        <v/>
      </c>
      <c r="D603" s="10" t="str">
        <f aca="false">IF($A603="","",IFERROR(IF(INDEX(원본명단!$D$3:$D$6002,MATCH("R"&amp;598,정리결과!$J$6:$J$6005,0))="","",INDEX(원본명단!$D$3:$D$6002,MATCH("R"&amp;598,정리결과!$J$6:$J$6005,0))),""))</f>
        <v/>
      </c>
      <c r="E603" s="10" t="str">
        <f aca="false">IF($A603="","",IFERROR(IF(INDEX(원본명단!$E$3:$E$6002,MATCH("R"&amp;598,정리결과!$J$6:$J$6005,0))="","",INDEX(원본명단!$E$3:$E$6002,MATCH("R"&amp;598,정리결과!$J$6:$J$6005,0))),""))</f>
        <v/>
      </c>
      <c r="F603" s="10" t="str">
        <f aca="false">IF($A603="","",IFERROR(IF(INDEX(원본명단!$F$3:$F$6002,MATCH("R"&amp;598,정리결과!$J$6:$J$6005,0))="","",INDEX(원본명단!$F$3:$F$6002,MATCH("R"&amp;598,정리결과!$J$6:$J$6005,0))),""))</f>
        <v/>
      </c>
      <c r="H603" s="14" t="b">
        <f aca="false">IF(중복검사!$A601="",FALSE(),중복검사!$J601="유지")</f>
        <v>0</v>
      </c>
      <c r="I603" s="5" t="str">
        <f aca="false">IF($H603=FALSE(),"",COUNTIF($H$6:$H603,TRUE()))</f>
        <v/>
      </c>
      <c r="J603" s="5" t="str">
        <f aca="false">IF($I603="","","R"&amp;$I603)</f>
        <v/>
      </c>
    </row>
    <row r="604" customFormat="false" ht="15" hidden="false" customHeight="true" outlineLevel="0" collapsed="false">
      <c r="A604" s="10" t="str">
        <f aca="false">IFERROR(IF(INDEX(원본명단!$A$3:$A$6002,MATCH("R"&amp;599,정리결과!$J$6:$J$6005,0))="","",INDEX(원본명단!$A$3:$A$6002,MATCH("R"&amp;599,정리결과!$J$6:$J$6005,0))),"")</f>
        <v/>
      </c>
      <c r="B604" s="10" t="str">
        <f aca="false">IF($A604="","",IFERROR(IF(INDEX(원본명단!$B$3:$B$6002,MATCH("R"&amp;599,정리결과!$J$6:$J$6005,0))="","",INDEX(원본명단!$B$3:$B$6002,MATCH("R"&amp;599,정리결과!$J$6:$J$6005,0))),""))</f>
        <v/>
      </c>
      <c r="C604" s="10" t="str">
        <f aca="false">IF($A604="","",IFERROR(IF(INDEX(원본명단!$C$3:$C$6002,MATCH("R"&amp;599,정리결과!$J$6:$J$6005,0))="","",INDEX(원본명단!$C$3:$C$6002,MATCH("R"&amp;599,정리결과!$J$6:$J$6005,0))),""))</f>
        <v/>
      </c>
      <c r="D604" s="10" t="str">
        <f aca="false">IF($A604="","",IFERROR(IF(INDEX(원본명단!$D$3:$D$6002,MATCH("R"&amp;599,정리결과!$J$6:$J$6005,0))="","",INDEX(원본명단!$D$3:$D$6002,MATCH("R"&amp;599,정리결과!$J$6:$J$6005,0))),""))</f>
        <v/>
      </c>
      <c r="E604" s="10" t="str">
        <f aca="false">IF($A604="","",IFERROR(IF(INDEX(원본명단!$E$3:$E$6002,MATCH("R"&amp;599,정리결과!$J$6:$J$6005,0))="","",INDEX(원본명단!$E$3:$E$6002,MATCH("R"&amp;599,정리결과!$J$6:$J$6005,0))),""))</f>
        <v/>
      </c>
      <c r="F604" s="10" t="str">
        <f aca="false">IF($A604="","",IFERROR(IF(INDEX(원본명단!$F$3:$F$6002,MATCH("R"&amp;599,정리결과!$J$6:$J$6005,0))="","",INDEX(원본명단!$F$3:$F$6002,MATCH("R"&amp;599,정리결과!$J$6:$J$6005,0))),""))</f>
        <v/>
      </c>
      <c r="H604" s="14" t="b">
        <f aca="false">IF(중복검사!$A602="",FALSE(),중복검사!$J602="유지")</f>
        <v>0</v>
      </c>
      <c r="I604" s="5" t="str">
        <f aca="false">IF($H604=FALSE(),"",COUNTIF($H$6:$H604,TRUE()))</f>
        <v/>
      </c>
      <c r="J604" s="5" t="str">
        <f aca="false">IF($I604="","","R"&amp;$I604)</f>
        <v/>
      </c>
    </row>
    <row r="605" customFormat="false" ht="15" hidden="false" customHeight="true" outlineLevel="0" collapsed="false">
      <c r="A605" s="10" t="str">
        <f aca="false">IFERROR(IF(INDEX(원본명단!$A$3:$A$6002,MATCH("R"&amp;600,정리결과!$J$6:$J$6005,0))="","",INDEX(원본명단!$A$3:$A$6002,MATCH("R"&amp;600,정리결과!$J$6:$J$6005,0))),"")</f>
        <v/>
      </c>
      <c r="B605" s="10" t="str">
        <f aca="false">IF($A605="","",IFERROR(IF(INDEX(원본명단!$B$3:$B$6002,MATCH("R"&amp;600,정리결과!$J$6:$J$6005,0))="","",INDEX(원본명단!$B$3:$B$6002,MATCH("R"&amp;600,정리결과!$J$6:$J$6005,0))),""))</f>
        <v/>
      </c>
      <c r="C605" s="10" t="str">
        <f aca="false">IF($A605="","",IFERROR(IF(INDEX(원본명단!$C$3:$C$6002,MATCH("R"&amp;600,정리결과!$J$6:$J$6005,0))="","",INDEX(원본명단!$C$3:$C$6002,MATCH("R"&amp;600,정리결과!$J$6:$J$6005,0))),""))</f>
        <v/>
      </c>
      <c r="D605" s="10" t="str">
        <f aca="false">IF($A605="","",IFERROR(IF(INDEX(원본명단!$D$3:$D$6002,MATCH("R"&amp;600,정리결과!$J$6:$J$6005,0))="","",INDEX(원본명단!$D$3:$D$6002,MATCH("R"&amp;600,정리결과!$J$6:$J$6005,0))),""))</f>
        <v/>
      </c>
      <c r="E605" s="10" t="str">
        <f aca="false">IF($A605="","",IFERROR(IF(INDEX(원본명단!$E$3:$E$6002,MATCH("R"&amp;600,정리결과!$J$6:$J$6005,0))="","",INDEX(원본명단!$E$3:$E$6002,MATCH("R"&amp;600,정리결과!$J$6:$J$6005,0))),""))</f>
        <v/>
      </c>
      <c r="F605" s="10" t="str">
        <f aca="false">IF($A605="","",IFERROR(IF(INDEX(원본명단!$F$3:$F$6002,MATCH("R"&amp;600,정리결과!$J$6:$J$6005,0))="","",INDEX(원본명단!$F$3:$F$6002,MATCH("R"&amp;600,정리결과!$J$6:$J$6005,0))),""))</f>
        <v/>
      </c>
      <c r="H605" s="14" t="b">
        <f aca="false">IF(중복검사!$A603="",FALSE(),중복검사!$J603="유지")</f>
        <v>0</v>
      </c>
      <c r="I605" s="5" t="str">
        <f aca="false">IF($H605=FALSE(),"",COUNTIF($H$6:$H605,TRUE()))</f>
        <v/>
      </c>
      <c r="J605" s="5" t="str">
        <f aca="false">IF($I605="","","R"&amp;$I605)</f>
        <v/>
      </c>
    </row>
    <row r="606" customFormat="false" ht="15" hidden="false" customHeight="true" outlineLevel="0" collapsed="false">
      <c r="H606" s="14" t="b">
        <f aca="false">IF(중복검사!$A604="",FALSE(),중복검사!$J604="유지")</f>
        <v>0</v>
      </c>
      <c r="I606" s="5" t="str">
        <f aca="false">IF($H606=FALSE(),"",COUNTIF($H$6:$H606,TRUE()))</f>
        <v/>
      </c>
      <c r="J606" s="5" t="str">
        <f aca="false">IF($I606="","","R"&amp;$I606)</f>
        <v/>
      </c>
    </row>
    <row r="607" customFormat="false" ht="15" hidden="false" customHeight="true" outlineLevel="0" collapsed="false">
      <c r="A607" s="15" t="s">
        <v>78</v>
      </c>
      <c r="H607" s="14" t="b">
        <f aca="false">IF(중복검사!$A605="",FALSE(),중복검사!$J605="유지")</f>
        <v>0</v>
      </c>
      <c r="I607" s="5" t="str">
        <f aca="false">IF($H607=FALSE(),"",COUNTIF($H$6:$H607,TRUE()))</f>
        <v/>
      </c>
      <c r="J607" s="5" t="str">
        <f aca="false">IF($I607="","","R"&amp;$I607)</f>
        <v/>
      </c>
    </row>
    <row r="608" customFormat="false" ht="15" hidden="false" customHeight="true" outlineLevel="0" collapsed="false">
      <c r="H608" s="14" t="b">
        <f aca="false">IF(중복검사!$A606="",FALSE(),중복검사!$J606="유지")</f>
        <v>0</v>
      </c>
      <c r="I608" s="5" t="str">
        <f aca="false">IF($H608=FALSE(),"",COUNTIF($H$6:$H608,TRUE()))</f>
        <v/>
      </c>
      <c r="J608" s="5" t="str">
        <f aca="false">IF($I608="","","R"&amp;$I608)</f>
        <v/>
      </c>
    </row>
    <row r="609" customFormat="false" ht="15" hidden="false" customHeight="true" outlineLevel="0" collapsed="false">
      <c r="H609" s="14" t="b">
        <f aca="false">IF(중복검사!$A607="",FALSE(),중복검사!$J607="유지")</f>
        <v>0</v>
      </c>
      <c r="I609" s="5" t="str">
        <f aca="false">IF($H609=FALSE(),"",COUNTIF($H$6:$H609,TRUE()))</f>
        <v/>
      </c>
      <c r="J609" s="5" t="str">
        <f aca="false">IF($I609="","","R"&amp;$I609)</f>
        <v/>
      </c>
    </row>
    <row r="610" customFormat="false" ht="15" hidden="false" customHeight="true" outlineLevel="0" collapsed="false">
      <c r="H610" s="14" t="b">
        <f aca="false">IF(중복검사!$A608="",FALSE(),중복검사!$J608="유지")</f>
        <v>0</v>
      </c>
      <c r="I610" s="5" t="str">
        <f aca="false">IF($H610=FALSE(),"",COUNTIF($H$6:$H610,TRUE()))</f>
        <v/>
      </c>
      <c r="J610" s="5" t="str">
        <f aca="false">IF($I610="","","R"&amp;$I610)</f>
        <v/>
      </c>
    </row>
    <row r="611" customFormat="false" ht="15" hidden="false" customHeight="true" outlineLevel="0" collapsed="false">
      <c r="H611" s="14" t="b">
        <f aca="false">IF(중복검사!$A609="",FALSE(),중복검사!$J609="유지")</f>
        <v>0</v>
      </c>
      <c r="I611" s="5" t="str">
        <f aca="false">IF($H611=FALSE(),"",COUNTIF($H$6:$H611,TRUE()))</f>
        <v/>
      </c>
      <c r="J611" s="5" t="str">
        <f aca="false">IF($I611="","","R"&amp;$I611)</f>
        <v/>
      </c>
    </row>
    <row r="612" customFormat="false" ht="15" hidden="false" customHeight="true" outlineLevel="0" collapsed="false">
      <c r="H612" s="14" t="b">
        <f aca="false">IF(중복검사!$A610="",FALSE(),중복검사!$J610="유지")</f>
        <v>0</v>
      </c>
      <c r="I612" s="5" t="str">
        <f aca="false">IF($H612=FALSE(),"",COUNTIF($H$6:$H612,TRUE()))</f>
        <v/>
      </c>
      <c r="J612" s="5" t="str">
        <f aca="false">IF($I612="","","R"&amp;$I612)</f>
        <v/>
      </c>
    </row>
    <row r="613" customFormat="false" ht="15" hidden="false" customHeight="true" outlineLevel="0" collapsed="false">
      <c r="H613" s="14" t="b">
        <f aca="false">IF(중복검사!$A611="",FALSE(),중복검사!$J611="유지")</f>
        <v>0</v>
      </c>
      <c r="I613" s="5" t="str">
        <f aca="false">IF($H613=FALSE(),"",COUNTIF($H$6:$H613,TRUE()))</f>
        <v/>
      </c>
      <c r="J613" s="5" t="str">
        <f aca="false">IF($I613="","","R"&amp;$I613)</f>
        <v/>
      </c>
    </row>
    <row r="614" customFormat="false" ht="15" hidden="false" customHeight="true" outlineLevel="0" collapsed="false">
      <c r="H614" s="14" t="b">
        <f aca="false">IF(중복검사!$A612="",FALSE(),중복검사!$J612="유지")</f>
        <v>0</v>
      </c>
      <c r="I614" s="5" t="str">
        <f aca="false">IF($H614=FALSE(),"",COUNTIF($H$6:$H614,TRUE()))</f>
        <v/>
      </c>
      <c r="J614" s="5" t="str">
        <f aca="false">IF($I614="","","R"&amp;$I614)</f>
        <v/>
      </c>
    </row>
    <row r="615" customFormat="false" ht="15" hidden="false" customHeight="true" outlineLevel="0" collapsed="false">
      <c r="H615" s="14" t="b">
        <f aca="false">IF(중복검사!$A613="",FALSE(),중복검사!$J613="유지")</f>
        <v>0</v>
      </c>
      <c r="I615" s="5" t="str">
        <f aca="false">IF($H615=FALSE(),"",COUNTIF($H$6:$H615,TRUE()))</f>
        <v/>
      </c>
      <c r="J615" s="5" t="str">
        <f aca="false">IF($I615="","","R"&amp;$I615)</f>
        <v/>
      </c>
    </row>
    <row r="616" customFormat="false" ht="15" hidden="false" customHeight="true" outlineLevel="0" collapsed="false">
      <c r="H616" s="14" t="b">
        <f aca="false">IF(중복검사!$A614="",FALSE(),중복검사!$J614="유지")</f>
        <v>0</v>
      </c>
      <c r="I616" s="5" t="str">
        <f aca="false">IF($H616=FALSE(),"",COUNTIF($H$6:$H616,TRUE()))</f>
        <v/>
      </c>
      <c r="J616" s="5" t="str">
        <f aca="false">IF($I616="","","R"&amp;$I616)</f>
        <v/>
      </c>
    </row>
    <row r="617" customFormat="false" ht="15" hidden="false" customHeight="true" outlineLevel="0" collapsed="false">
      <c r="H617" s="14" t="b">
        <f aca="false">IF(중복검사!$A615="",FALSE(),중복검사!$J615="유지")</f>
        <v>0</v>
      </c>
      <c r="I617" s="5" t="str">
        <f aca="false">IF($H617=FALSE(),"",COUNTIF($H$6:$H617,TRUE()))</f>
        <v/>
      </c>
      <c r="J617" s="5" t="str">
        <f aca="false">IF($I617="","","R"&amp;$I617)</f>
        <v/>
      </c>
    </row>
    <row r="618" customFormat="false" ht="15" hidden="false" customHeight="true" outlineLevel="0" collapsed="false">
      <c r="H618" s="14" t="b">
        <f aca="false">IF(중복검사!$A616="",FALSE(),중복검사!$J616="유지")</f>
        <v>0</v>
      </c>
      <c r="I618" s="5" t="str">
        <f aca="false">IF($H618=FALSE(),"",COUNTIF($H$6:$H618,TRUE()))</f>
        <v/>
      </c>
      <c r="J618" s="5" t="str">
        <f aca="false">IF($I618="","","R"&amp;$I618)</f>
        <v/>
      </c>
    </row>
    <row r="619" customFormat="false" ht="15" hidden="false" customHeight="true" outlineLevel="0" collapsed="false">
      <c r="H619" s="14" t="b">
        <f aca="false">IF(중복검사!$A617="",FALSE(),중복검사!$J617="유지")</f>
        <v>0</v>
      </c>
      <c r="I619" s="5" t="str">
        <f aca="false">IF($H619=FALSE(),"",COUNTIF($H$6:$H619,TRUE()))</f>
        <v/>
      </c>
      <c r="J619" s="5" t="str">
        <f aca="false">IF($I619="","","R"&amp;$I619)</f>
        <v/>
      </c>
    </row>
    <row r="620" customFormat="false" ht="15" hidden="false" customHeight="true" outlineLevel="0" collapsed="false">
      <c r="H620" s="14" t="b">
        <f aca="false">IF(중복검사!$A618="",FALSE(),중복검사!$J618="유지")</f>
        <v>0</v>
      </c>
      <c r="I620" s="5" t="str">
        <f aca="false">IF($H620=FALSE(),"",COUNTIF($H$6:$H620,TRUE()))</f>
        <v/>
      </c>
      <c r="J620" s="5" t="str">
        <f aca="false">IF($I620="","","R"&amp;$I620)</f>
        <v/>
      </c>
    </row>
    <row r="621" customFormat="false" ht="15" hidden="false" customHeight="true" outlineLevel="0" collapsed="false">
      <c r="H621" s="14" t="b">
        <f aca="false">IF(중복검사!$A619="",FALSE(),중복검사!$J619="유지")</f>
        <v>0</v>
      </c>
      <c r="I621" s="5" t="str">
        <f aca="false">IF($H621=FALSE(),"",COUNTIF($H$6:$H621,TRUE()))</f>
        <v/>
      </c>
      <c r="J621" s="5" t="str">
        <f aca="false">IF($I621="","","R"&amp;$I621)</f>
        <v/>
      </c>
    </row>
    <row r="622" customFormat="false" ht="15" hidden="false" customHeight="true" outlineLevel="0" collapsed="false">
      <c r="H622" s="14" t="b">
        <f aca="false">IF(중복검사!$A620="",FALSE(),중복검사!$J620="유지")</f>
        <v>0</v>
      </c>
      <c r="I622" s="5" t="str">
        <f aca="false">IF($H622=FALSE(),"",COUNTIF($H$6:$H622,TRUE()))</f>
        <v/>
      </c>
      <c r="J622" s="5" t="str">
        <f aca="false">IF($I622="","","R"&amp;$I622)</f>
        <v/>
      </c>
    </row>
    <row r="623" customFormat="false" ht="15" hidden="false" customHeight="true" outlineLevel="0" collapsed="false">
      <c r="H623" s="14" t="b">
        <f aca="false">IF(중복검사!$A621="",FALSE(),중복검사!$J621="유지")</f>
        <v>0</v>
      </c>
      <c r="I623" s="5" t="str">
        <f aca="false">IF($H623=FALSE(),"",COUNTIF($H$6:$H623,TRUE()))</f>
        <v/>
      </c>
      <c r="J623" s="5" t="str">
        <f aca="false">IF($I623="","","R"&amp;$I623)</f>
        <v/>
      </c>
    </row>
    <row r="624" customFormat="false" ht="15" hidden="false" customHeight="true" outlineLevel="0" collapsed="false">
      <c r="H624" s="14" t="b">
        <f aca="false">IF(중복검사!$A622="",FALSE(),중복검사!$J622="유지")</f>
        <v>0</v>
      </c>
      <c r="I624" s="5" t="str">
        <f aca="false">IF($H624=FALSE(),"",COUNTIF($H$6:$H624,TRUE()))</f>
        <v/>
      </c>
      <c r="J624" s="5" t="str">
        <f aca="false">IF($I624="","","R"&amp;$I624)</f>
        <v/>
      </c>
    </row>
    <row r="625" customFormat="false" ht="15" hidden="false" customHeight="true" outlineLevel="0" collapsed="false">
      <c r="H625" s="14" t="b">
        <f aca="false">IF(중복검사!$A623="",FALSE(),중복검사!$J623="유지")</f>
        <v>0</v>
      </c>
      <c r="I625" s="5" t="str">
        <f aca="false">IF($H625=FALSE(),"",COUNTIF($H$6:$H625,TRUE()))</f>
        <v/>
      </c>
      <c r="J625" s="5" t="str">
        <f aca="false">IF($I625="","","R"&amp;$I625)</f>
        <v/>
      </c>
    </row>
    <row r="626" customFormat="false" ht="15" hidden="false" customHeight="true" outlineLevel="0" collapsed="false">
      <c r="H626" s="14" t="b">
        <f aca="false">IF(중복검사!$A624="",FALSE(),중복검사!$J624="유지")</f>
        <v>0</v>
      </c>
      <c r="I626" s="5" t="str">
        <f aca="false">IF($H626=FALSE(),"",COUNTIF($H$6:$H626,TRUE()))</f>
        <v/>
      </c>
      <c r="J626" s="5" t="str">
        <f aca="false">IF($I626="","","R"&amp;$I626)</f>
        <v/>
      </c>
    </row>
    <row r="627" customFormat="false" ht="15" hidden="false" customHeight="true" outlineLevel="0" collapsed="false">
      <c r="H627" s="14" t="b">
        <f aca="false">IF(중복검사!$A625="",FALSE(),중복검사!$J625="유지")</f>
        <v>0</v>
      </c>
      <c r="I627" s="5" t="str">
        <f aca="false">IF($H627=FALSE(),"",COUNTIF($H$6:$H627,TRUE()))</f>
        <v/>
      </c>
      <c r="J627" s="5" t="str">
        <f aca="false">IF($I627="","","R"&amp;$I627)</f>
        <v/>
      </c>
    </row>
    <row r="628" customFormat="false" ht="15" hidden="false" customHeight="true" outlineLevel="0" collapsed="false">
      <c r="H628" s="14" t="b">
        <f aca="false">IF(중복검사!$A626="",FALSE(),중복검사!$J626="유지")</f>
        <v>0</v>
      </c>
      <c r="I628" s="5" t="str">
        <f aca="false">IF($H628=FALSE(),"",COUNTIF($H$6:$H628,TRUE()))</f>
        <v/>
      </c>
      <c r="J628" s="5" t="str">
        <f aca="false">IF($I628="","","R"&amp;$I628)</f>
        <v/>
      </c>
    </row>
    <row r="629" customFormat="false" ht="15" hidden="false" customHeight="true" outlineLevel="0" collapsed="false">
      <c r="H629" s="14" t="b">
        <f aca="false">IF(중복검사!$A627="",FALSE(),중복검사!$J627="유지")</f>
        <v>0</v>
      </c>
      <c r="I629" s="5" t="str">
        <f aca="false">IF($H629=FALSE(),"",COUNTIF($H$6:$H629,TRUE()))</f>
        <v/>
      </c>
      <c r="J629" s="5" t="str">
        <f aca="false">IF($I629="","","R"&amp;$I629)</f>
        <v/>
      </c>
    </row>
    <row r="630" customFormat="false" ht="15" hidden="false" customHeight="true" outlineLevel="0" collapsed="false">
      <c r="H630" s="14" t="b">
        <f aca="false">IF(중복검사!$A628="",FALSE(),중복검사!$J628="유지")</f>
        <v>0</v>
      </c>
      <c r="I630" s="5" t="str">
        <f aca="false">IF($H630=FALSE(),"",COUNTIF($H$6:$H630,TRUE()))</f>
        <v/>
      </c>
      <c r="J630" s="5" t="str">
        <f aca="false">IF($I630="","","R"&amp;$I630)</f>
        <v/>
      </c>
    </row>
    <row r="631" customFormat="false" ht="15" hidden="false" customHeight="true" outlineLevel="0" collapsed="false">
      <c r="H631" s="14" t="b">
        <f aca="false">IF(중복검사!$A629="",FALSE(),중복검사!$J629="유지")</f>
        <v>0</v>
      </c>
      <c r="I631" s="5" t="str">
        <f aca="false">IF($H631=FALSE(),"",COUNTIF($H$6:$H631,TRUE()))</f>
        <v/>
      </c>
      <c r="J631" s="5" t="str">
        <f aca="false">IF($I631="","","R"&amp;$I631)</f>
        <v/>
      </c>
    </row>
    <row r="632" customFormat="false" ht="15" hidden="false" customHeight="true" outlineLevel="0" collapsed="false">
      <c r="H632" s="14" t="b">
        <f aca="false">IF(중복검사!$A630="",FALSE(),중복검사!$J630="유지")</f>
        <v>0</v>
      </c>
      <c r="I632" s="5" t="str">
        <f aca="false">IF($H632=FALSE(),"",COUNTIF($H$6:$H632,TRUE()))</f>
        <v/>
      </c>
      <c r="J632" s="5" t="str">
        <f aca="false">IF($I632="","","R"&amp;$I632)</f>
        <v/>
      </c>
    </row>
    <row r="633" customFormat="false" ht="15" hidden="false" customHeight="true" outlineLevel="0" collapsed="false">
      <c r="H633" s="14" t="b">
        <f aca="false">IF(중복검사!$A631="",FALSE(),중복검사!$J631="유지")</f>
        <v>0</v>
      </c>
      <c r="I633" s="5" t="str">
        <f aca="false">IF($H633=FALSE(),"",COUNTIF($H$6:$H633,TRUE()))</f>
        <v/>
      </c>
      <c r="J633" s="5" t="str">
        <f aca="false">IF($I633="","","R"&amp;$I633)</f>
        <v/>
      </c>
    </row>
    <row r="634" customFormat="false" ht="15" hidden="false" customHeight="true" outlineLevel="0" collapsed="false">
      <c r="H634" s="14" t="b">
        <f aca="false">IF(중복검사!$A632="",FALSE(),중복검사!$J632="유지")</f>
        <v>0</v>
      </c>
      <c r="I634" s="5" t="str">
        <f aca="false">IF($H634=FALSE(),"",COUNTIF($H$6:$H634,TRUE()))</f>
        <v/>
      </c>
      <c r="J634" s="5" t="str">
        <f aca="false">IF($I634="","","R"&amp;$I634)</f>
        <v/>
      </c>
    </row>
    <row r="635" customFormat="false" ht="15" hidden="false" customHeight="true" outlineLevel="0" collapsed="false">
      <c r="H635" s="14" t="b">
        <f aca="false">IF(중복검사!$A633="",FALSE(),중복검사!$J633="유지")</f>
        <v>0</v>
      </c>
      <c r="I635" s="5" t="str">
        <f aca="false">IF($H635=FALSE(),"",COUNTIF($H$6:$H635,TRUE()))</f>
        <v/>
      </c>
      <c r="J635" s="5" t="str">
        <f aca="false">IF($I635="","","R"&amp;$I635)</f>
        <v/>
      </c>
    </row>
    <row r="636" customFormat="false" ht="15" hidden="false" customHeight="true" outlineLevel="0" collapsed="false">
      <c r="H636" s="14" t="b">
        <f aca="false">IF(중복검사!$A634="",FALSE(),중복검사!$J634="유지")</f>
        <v>0</v>
      </c>
      <c r="I636" s="5" t="str">
        <f aca="false">IF($H636=FALSE(),"",COUNTIF($H$6:$H636,TRUE()))</f>
        <v/>
      </c>
      <c r="J636" s="5" t="str">
        <f aca="false">IF($I636="","","R"&amp;$I636)</f>
        <v/>
      </c>
    </row>
    <row r="637" customFormat="false" ht="15" hidden="false" customHeight="true" outlineLevel="0" collapsed="false">
      <c r="H637" s="14" t="b">
        <f aca="false">IF(중복검사!$A635="",FALSE(),중복검사!$J635="유지")</f>
        <v>0</v>
      </c>
      <c r="I637" s="5" t="str">
        <f aca="false">IF($H637=FALSE(),"",COUNTIF($H$6:$H637,TRUE()))</f>
        <v/>
      </c>
      <c r="J637" s="5" t="str">
        <f aca="false">IF($I637="","","R"&amp;$I637)</f>
        <v/>
      </c>
    </row>
    <row r="638" customFormat="false" ht="15" hidden="false" customHeight="true" outlineLevel="0" collapsed="false">
      <c r="H638" s="14" t="b">
        <f aca="false">IF(중복검사!$A636="",FALSE(),중복검사!$J636="유지")</f>
        <v>0</v>
      </c>
      <c r="I638" s="5" t="str">
        <f aca="false">IF($H638=FALSE(),"",COUNTIF($H$6:$H638,TRUE()))</f>
        <v/>
      </c>
      <c r="J638" s="5" t="str">
        <f aca="false">IF($I638="","","R"&amp;$I638)</f>
        <v/>
      </c>
    </row>
    <row r="639" customFormat="false" ht="15" hidden="false" customHeight="true" outlineLevel="0" collapsed="false">
      <c r="H639" s="14" t="b">
        <f aca="false">IF(중복검사!$A637="",FALSE(),중복검사!$J637="유지")</f>
        <v>0</v>
      </c>
      <c r="I639" s="5" t="str">
        <f aca="false">IF($H639=FALSE(),"",COUNTIF($H$6:$H639,TRUE()))</f>
        <v/>
      </c>
      <c r="J639" s="5" t="str">
        <f aca="false">IF($I639="","","R"&amp;$I639)</f>
        <v/>
      </c>
    </row>
    <row r="640" customFormat="false" ht="15" hidden="false" customHeight="true" outlineLevel="0" collapsed="false">
      <c r="H640" s="14" t="b">
        <f aca="false">IF(중복검사!$A638="",FALSE(),중복검사!$J638="유지")</f>
        <v>0</v>
      </c>
      <c r="I640" s="5" t="str">
        <f aca="false">IF($H640=FALSE(),"",COUNTIF($H$6:$H640,TRUE()))</f>
        <v/>
      </c>
      <c r="J640" s="5" t="str">
        <f aca="false">IF($I640="","","R"&amp;$I640)</f>
        <v/>
      </c>
    </row>
    <row r="641" customFormat="false" ht="15" hidden="false" customHeight="true" outlineLevel="0" collapsed="false">
      <c r="H641" s="14" t="b">
        <f aca="false">IF(중복검사!$A639="",FALSE(),중복검사!$J639="유지")</f>
        <v>0</v>
      </c>
      <c r="I641" s="5" t="str">
        <f aca="false">IF($H641=FALSE(),"",COUNTIF($H$6:$H641,TRUE()))</f>
        <v/>
      </c>
      <c r="J641" s="5" t="str">
        <f aca="false">IF($I641="","","R"&amp;$I641)</f>
        <v/>
      </c>
    </row>
    <row r="642" customFormat="false" ht="15" hidden="false" customHeight="true" outlineLevel="0" collapsed="false">
      <c r="H642" s="14" t="b">
        <f aca="false">IF(중복검사!$A640="",FALSE(),중복검사!$J640="유지")</f>
        <v>0</v>
      </c>
      <c r="I642" s="5" t="str">
        <f aca="false">IF($H642=FALSE(),"",COUNTIF($H$6:$H642,TRUE()))</f>
        <v/>
      </c>
      <c r="J642" s="5" t="str">
        <f aca="false">IF($I642="","","R"&amp;$I642)</f>
        <v/>
      </c>
    </row>
    <row r="643" customFormat="false" ht="15" hidden="false" customHeight="true" outlineLevel="0" collapsed="false">
      <c r="H643" s="14" t="b">
        <f aca="false">IF(중복검사!$A641="",FALSE(),중복검사!$J641="유지")</f>
        <v>0</v>
      </c>
      <c r="I643" s="5" t="str">
        <f aca="false">IF($H643=FALSE(),"",COUNTIF($H$6:$H643,TRUE()))</f>
        <v/>
      </c>
      <c r="J643" s="5" t="str">
        <f aca="false">IF($I643="","","R"&amp;$I643)</f>
        <v/>
      </c>
    </row>
    <row r="644" customFormat="false" ht="15" hidden="false" customHeight="true" outlineLevel="0" collapsed="false">
      <c r="H644" s="14" t="b">
        <f aca="false">IF(중복검사!$A642="",FALSE(),중복검사!$J642="유지")</f>
        <v>0</v>
      </c>
      <c r="I644" s="5" t="str">
        <f aca="false">IF($H644=FALSE(),"",COUNTIF($H$6:$H644,TRUE()))</f>
        <v/>
      </c>
      <c r="J644" s="5" t="str">
        <f aca="false">IF($I644="","","R"&amp;$I644)</f>
        <v/>
      </c>
    </row>
    <row r="645" customFormat="false" ht="15" hidden="false" customHeight="true" outlineLevel="0" collapsed="false">
      <c r="H645" s="14" t="b">
        <f aca="false">IF(중복검사!$A643="",FALSE(),중복검사!$J643="유지")</f>
        <v>0</v>
      </c>
      <c r="I645" s="5" t="str">
        <f aca="false">IF($H645=FALSE(),"",COUNTIF($H$6:$H645,TRUE()))</f>
        <v/>
      </c>
      <c r="J645" s="5" t="str">
        <f aca="false">IF($I645="","","R"&amp;$I645)</f>
        <v/>
      </c>
    </row>
    <row r="646" customFormat="false" ht="15" hidden="false" customHeight="true" outlineLevel="0" collapsed="false">
      <c r="H646" s="14" t="b">
        <f aca="false">IF(중복검사!$A644="",FALSE(),중복검사!$J644="유지")</f>
        <v>0</v>
      </c>
      <c r="I646" s="5" t="str">
        <f aca="false">IF($H646=FALSE(),"",COUNTIF($H$6:$H646,TRUE()))</f>
        <v/>
      </c>
      <c r="J646" s="5" t="str">
        <f aca="false">IF($I646="","","R"&amp;$I646)</f>
        <v/>
      </c>
    </row>
    <row r="647" customFormat="false" ht="15" hidden="false" customHeight="true" outlineLevel="0" collapsed="false">
      <c r="H647" s="14" t="b">
        <f aca="false">IF(중복검사!$A645="",FALSE(),중복검사!$J645="유지")</f>
        <v>0</v>
      </c>
      <c r="I647" s="5" t="str">
        <f aca="false">IF($H647=FALSE(),"",COUNTIF($H$6:$H647,TRUE()))</f>
        <v/>
      </c>
      <c r="J647" s="5" t="str">
        <f aca="false">IF($I647="","","R"&amp;$I647)</f>
        <v/>
      </c>
    </row>
    <row r="648" customFormat="false" ht="15" hidden="false" customHeight="true" outlineLevel="0" collapsed="false">
      <c r="H648" s="14" t="b">
        <f aca="false">IF(중복검사!$A646="",FALSE(),중복검사!$J646="유지")</f>
        <v>0</v>
      </c>
      <c r="I648" s="5" t="str">
        <f aca="false">IF($H648=FALSE(),"",COUNTIF($H$6:$H648,TRUE()))</f>
        <v/>
      </c>
      <c r="J648" s="5" t="str">
        <f aca="false">IF($I648="","","R"&amp;$I648)</f>
        <v/>
      </c>
    </row>
    <row r="649" customFormat="false" ht="15" hidden="false" customHeight="true" outlineLevel="0" collapsed="false">
      <c r="H649" s="14" t="b">
        <f aca="false">IF(중복검사!$A647="",FALSE(),중복검사!$J647="유지")</f>
        <v>0</v>
      </c>
      <c r="I649" s="5" t="str">
        <f aca="false">IF($H649=FALSE(),"",COUNTIF($H$6:$H649,TRUE()))</f>
        <v/>
      </c>
      <c r="J649" s="5" t="str">
        <f aca="false">IF($I649="","","R"&amp;$I649)</f>
        <v/>
      </c>
    </row>
    <row r="650" customFormat="false" ht="15" hidden="false" customHeight="true" outlineLevel="0" collapsed="false">
      <c r="H650" s="14" t="b">
        <f aca="false">IF(중복검사!$A648="",FALSE(),중복검사!$J648="유지")</f>
        <v>0</v>
      </c>
      <c r="I650" s="5" t="str">
        <f aca="false">IF($H650=FALSE(),"",COUNTIF($H$6:$H650,TRUE()))</f>
        <v/>
      </c>
      <c r="J650" s="5" t="str">
        <f aca="false">IF($I650="","","R"&amp;$I650)</f>
        <v/>
      </c>
    </row>
    <row r="651" customFormat="false" ht="15" hidden="false" customHeight="true" outlineLevel="0" collapsed="false">
      <c r="H651" s="14" t="b">
        <f aca="false">IF(중복검사!$A649="",FALSE(),중복검사!$J649="유지")</f>
        <v>0</v>
      </c>
      <c r="I651" s="5" t="str">
        <f aca="false">IF($H651=FALSE(),"",COUNTIF($H$6:$H651,TRUE()))</f>
        <v/>
      </c>
      <c r="J651" s="5" t="str">
        <f aca="false">IF($I651="","","R"&amp;$I651)</f>
        <v/>
      </c>
    </row>
    <row r="652" customFormat="false" ht="15" hidden="false" customHeight="true" outlineLevel="0" collapsed="false">
      <c r="H652" s="14" t="b">
        <f aca="false">IF(중복검사!$A650="",FALSE(),중복검사!$J650="유지")</f>
        <v>0</v>
      </c>
      <c r="I652" s="5" t="str">
        <f aca="false">IF($H652=FALSE(),"",COUNTIF($H$6:$H652,TRUE()))</f>
        <v/>
      </c>
      <c r="J652" s="5" t="str">
        <f aca="false">IF($I652="","","R"&amp;$I652)</f>
        <v/>
      </c>
    </row>
    <row r="653" customFormat="false" ht="15" hidden="false" customHeight="true" outlineLevel="0" collapsed="false">
      <c r="H653" s="14" t="b">
        <f aca="false">IF(중복검사!$A651="",FALSE(),중복검사!$J651="유지")</f>
        <v>0</v>
      </c>
      <c r="I653" s="5" t="str">
        <f aca="false">IF($H653=FALSE(),"",COUNTIF($H$6:$H653,TRUE()))</f>
        <v/>
      </c>
      <c r="J653" s="5" t="str">
        <f aca="false">IF($I653="","","R"&amp;$I653)</f>
        <v/>
      </c>
    </row>
    <row r="654" customFormat="false" ht="15" hidden="false" customHeight="true" outlineLevel="0" collapsed="false">
      <c r="H654" s="14" t="b">
        <f aca="false">IF(중복검사!$A652="",FALSE(),중복검사!$J652="유지")</f>
        <v>0</v>
      </c>
      <c r="I654" s="5" t="str">
        <f aca="false">IF($H654=FALSE(),"",COUNTIF($H$6:$H654,TRUE()))</f>
        <v/>
      </c>
      <c r="J654" s="5" t="str">
        <f aca="false">IF($I654="","","R"&amp;$I654)</f>
        <v/>
      </c>
    </row>
    <row r="655" customFormat="false" ht="15" hidden="false" customHeight="true" outlineLevel="0" collapsed="false">
      <c r="H655" s="14" t="b">
        <f aca="false">IF(중복검사!$A653="",FALSE(),중복검사!$J653="유지")</f>
        <v>0</v>
      </c>
      <c r="I655" s="5" t="str">
        <f aca="false">IF($H655=FALSE(),"",COUNTIF($H$6:$H655,TRUE()))</f>
        <v/>
      </c>
      <c r="J655" s="5" t="str">
        <f aca="false">IF($I655="","","R"&amp;$I655)</f>
        <v/>
      </c>
    </row>
    <row r="656" customFormat="false" ht="15" hidden="false" customHeight="true" outlineLevel="0" collapsed="false">
      <c r="H656" s="14" t="b">
        <f aca="false">IF(중복검사!$A654="",FALSE(),중복검사!$J654="유지")</f>
        <v>0</v>
      </c>
      <c r="I656" s="5" t="str">
        <f aca="false">IF($H656=FALSE(),"",COUNTIF($H$6:$H656,TRUE()))</f>
        <v/>
      </c>
      <c r="J656" s="5" t="str">
        <f aca="false">IF($I656="","","R"&amp;$I656)</f>
        <v/>
      </c>
    </row>
    <row r="657" customFormat="false" ht="15" hidden="false" customHeight="true" outlineLevel="0" collapsed="false">
      <c r="H657" s="14" t="b">
        <f aca="false">IF(중복검사!$A655="",FALSE(),중복검사!$J655="유지")</f>
        <v>0</v>
      </c>
      <c r="I657" s="5" t="str">
        <f aca="false">IF($H657=FALSE(),"",COUNTIF($H$6:$H657,TRUE()))</f>
        <v/>
      </c>
      <c r="J657" s="5" t="str">
        <f aca="false">IF($I657="","","R"&amp;$I657)</f>
        <v/>
      </c>
    </row>
    <row r="658" customFormat="false" ht="15" hidden="false" customHeight="true" outlineLevel="0" collapsed="false">
      <c r="H658" s="14" t="b">
        <f aca="false">IF(중복검사!$A656="",FALSE(),중복검사!$J656="유지")</f>
        <v>0</v>
      </c>
      <c r="I658" s="5" t="str">
        <f aca="false">IF($H658=FALSE(),"",COUNTIF($H$6:$H658,TRUE()))</f>
        <v/>
      </c>
      <c r="J658" s="5" t="str">
        <f aca="false">IF($I658="","","R"&amp;$I658)</f>
        <v/>
      </c>
    </row>
    <row r="659" customFormat="false" ht="15" hidden="false" customHeight="true" outlineLevel="0" collapsed="false">
      <c r="H659" s="14" t="b">
        <f aca="false">IF(중복검사!$A657="",FALSE(),중복검사!$J657="유지")</f>
        <v>0</v>
      </c>
      <c r="I659" s="5" t="str">
        <f aca="false">IF($H659=FALSE(),"",COUNTIF($H$6:$H659,TRUE()))</f>
        <v/>
      </c>
      <c r="J659" s="5" t="str">
        <f aca="false">IF($I659="","","R"&amp;$I659)</f>
        <v/>
      </c>
    </row>
    <row r="660" customFormat="false" ht="15" hidden="false" customHeight="true" outlineLevel="0" collapsed="false">
      <c r="H660" s="14" t="b">
        <f aca="false">IF(중복검사!$A658="",FALSE(),중복검사!$J658="유지")</f>
        <v>0</v>
      </c>
      <c r="I660" s="5" t="str">
        <f aca="false">IF($H660=FALSE(),"",COUNTIF($H$6:$H660,TRUE()))</f>
        <v/>
      </c>
      <c r="J660" s="5" t="str">
        <f aca="false">IF($I660="","","R"&amp;$I660)</f>
        <v/>
      </c>
    </row>
    <row r="661" customFormat="false" ht="15" hidden="false" customHeight="true" outlineLevel="0" collapsed="false">
      <c r="H661" s="14" t="b">
        <f aca="false">IF(중복검사!$A659="",FALSE(),중복검사!$J659="유지")</f>
        <v>0</v>
      </c>
      <c r="I661" s="5" t="str">
        <f aca="false">IF($H661=FALSE(),"",COUNTIF($H$6:$H661,TRUE()))</f>
        <v/>
      </c>
      <c r="J661" s="5" t="str">
        <f aca="false">IF($I661="","","R"&amp;$I661)</f>
        <v/>
      </c>
    </row>
    <row r="662" customFormat="false" ht="15" hidden="false" customHeight="true" outlineLevel="0" collapsed="false">
      <c r="H662" s="14" t="b">
        <f aca="false">IF(중복검사!$A660="",FALSE(),중복검사!$J660="유지")</f>
        <v>0</v>
      </c>
      <c r="I662" s="5" t="str">
        <f aca="false">IF($H662=FALSE(),"",COUNTIF($H$6:$H662,TRUE()))</f>
        <v/>
      </c>
      <c r="J662" s="5" t="str">
        <f aca="false">IF($I662="","","R"&amp;$I662)</f>
        <v/>
      </c>
    </row>
    <row r="663" customFormat="false" ht="15" hidden="false" customHeight="true" outlineLevel="0" collapsed="false">
      <c r="H663" s="14" t="b">
        <f aca="false">IF(중복검사!$A661="",FALSE(),중복검사!$J661="유지")</f>
        <v>0</v>
      </c>
      <c r="I663" s="5" t="str">
        <f aca="false">IF($H663=FALSE(),"",COUNTIF($H$6:$H663,TRUE()))</f>
        <v/>
      </c>
      <c r="J663" s="5" t="str">
        <f aca="false">IF($I663="","","R"&amp;$I663)</f>
        <v/>
      </c>
    </row>
    <row r="664" customFormat="false" ht="15" hidden="false" customHeight="true" outlineLevel="0" collapsed="false">
      <c r="H664" s="14" t="b">
        <f aca="false">IF(중복검사!$A662="",FALSE(),중복검사!$J662="유지")</f>
        <v>0</v>
      </c>
      <c r="I664" s="5" t="str">
        <f aca="false">IF($H664=FALSE(),"",COUNTIF($H$6:$H664,TRUE()))</f>
        <v/>
      </c>
      <c r="J664" s="5" t="str">
        <f aca="false">IF($I664="","","R"&amp;$I664)</f>
        <v/>
      </c>
    </row>
    <row r="665" customFormat="false" ht="15" hidden="false" customHeight="true" outlineLevel="0" collapsed="false">
      <c r="H665" s="14" t="b">
        <f aca="false">IF(중복검사!$A663="",FALSE(),중복검사!$J663="유지")</f>
        <v>0</v>
      </c>
      <c r="I665" s="5" t="str">
        <f aca="false">IF($H665=FALSE(),"",COUNTIF($H$6:$H665,TRUE()))</f>
        <v/>
      </c>
      <c r="J665" s="5" t="str">
        <f aca="false">IF($I665="","","R"&amp;$I665)</f>
        <v/>
      </c>
    </row>
    <row r="666" customFormat="false" ht="15" hidden="false" customHeight="true" outlineLevel="0" collapsed="false">
      <c r="H666" s="14" t="b">
        <f aca="false">IF(중복검사!$A664="",FALSE(),중복검사!$J664="유지")</f>
        <v>0</v>
      </c>
      <c r="I666" s="5" t="str">
        <f aca="false">IF($H666=FALSE(),"",COUNTIF($H$6:$H666,TRUE()))</f>
        <v/>
      </c>
      <c r="J666" s="5" t="str">
        <f aca="false">IF($I666="","","R"&amp;$I666)</f>
        <v/>
      </c>
    </row>
    <row r="667" customFormat="false" ht="15" hidden="false" customHeight="true" outlineLevel="0" collapsed="false">
      <c r="H667" s="14" t="b">
        <f aca="false">IF(중복검사!$A665="",FALSE(),중복검사!$J665="유지")</f>
        <v>0</v>
      </c>
      <c r="I667" s="5" t="str">
        <f aca="false">IF($H667=FALSE(),"",COUNTIF($H$6:$H667,TRUE()))</f>
        <v/>
      </c>
      <c r="J667" s="5" t="str">
        <f aca="false">IF($I667="","","R"&amp;$I667)</f>
        <v/>
      </c>
    </row>
    <row r="668" customFormat="false" ht="15" hidden="false" customHeight="true" outlineLevel="0" collapsed="false">
      <c r="H668" s="14" t="b">
        <f aca="false">IF(중복검사!$A666="",FALSE(),중복검사!$J666="유지")</f>
        <v>0</v>
      </c>
      <c r="I668" s="5" t="str">
        <f aca="false">IF($H668=FALSE(),"",COUNTIF($H$6:$H668,TRUE()))</f>
        <v/>
      </c>
      <c r="J668" s="5" t="str">
        <f aca="false">IF($I668="","","R"&amp;$I668)</f>
        <v/>
      </c>
    </row>
    <row r="669" customFormat="false" ht="15" hidden="false" customHeight="true" outlineLevel="0" collapsed="false">
      <c r="H669" s="14" t="b">
        <f aca="false">IF(중복검사!$A667="",FALSE(),중복검사!$J667="유지")</f>
        <v>0</v>
      </c>
      <c r="I669" s="5" t="str">
        <f aca="false">IF($H669=FALSE(),"",COUNTIF($H$6:$H669,TRUE()))</f>
        <v/>
      </c>
      <c r="J669" s="5" t="str">
        <f aca="false">IF($I669="","","R"&amp;$I669)</f>
        <v/>
      </c>
    </row>
    <row r="670" customFormat="false" ht="15" hidden="false" customHeight="true" outlineLevel="0" collapsed="false">
      <c r="H670" s="14" t="b">
        <f aca="false">IF(중복검사!$A668="",FALSE(),중복검사!$J668="유지")</f>
        <v>0</v>
      </c>
      <c r="I670" s="5" t="str">
        <f aca="false">IF($H670=FALSE(),"",COUNTIF($H$6:$H670,TRUE()))</f>
        <v/>
      </c>
      <c r="J670" s="5" t="str">
        <f aca="false">IF($I670="","","R"&amp;$I670)</f>
        <v/>
      </c>
    </row>
    <row r="671" customFormat="false" ht="15" hidden="false" customHeight="true" outlineLevel="0" collapsed="false">
      <c r="H671" s="14" t="b">
        <f aca="false">IF(중복검사!$A669="",FALSE(),중복검사!$J669="유지")</f>
        <v>0</v>
      </c>
      <c r="I671" s="5" t="str">
        <f aca="false">IF($H671=FALSE(),"",COUNTIF($H$6:$H671,TRUE()))</f>
        <v/>
      </c>
      <c r="J671" s="5" t="str">
        <f aca="false">IF($I671="","","R"&amp;$I671)</f>
        <v/>
      </c>
    </row>
    <row r="672" customFormat="false" ht="15" hidden="false" customHeight="true" outlineLevel="0" collapsed="false">
      <c r="H672" s="14" t="b">
        <f aca="false">IF(중복검사!$A670="",FALSE(),중복검사!$J670="유지")</f>
        <v>0</v>
      </c>
      <c r="I672" s="5" t="str">
        <f aca="false">IF($H672=FALSE(),"",COUNTIF($H$6:$H672,TRUE()))</f>
        <v/>
      </c>
      <c r="J672" s="5" t="str">
        <f aca="false">IF($I672="","","R"&amp;$I672)</f>
        <v/>
      </c>
    </row>
    <row r="673" customFormat="false" ht="15" hidden="false" customHeight="true" outlineLevel="0" collapsed="false">
      <c r="H673" s="14" t="b">
        <f aca="false">IF(중복검사!$A671="",FALSE(),중복검사!$J671="유지")</f>
        <v>0</v>
      </c>
      <c r="I673" s="5" t="str">
        <f aca="false">IF($H673=FALSE(),"",COUNTIF($H$6:$H673,TRUE()))</f>
        <v/>
      </c>
      <c r="J673" s="5" t="str">
        <f aca="false">IF($I673="","","R"&amp;$I673)</f>
        <v/>
      </c>
    </row>
    <row r="674" customFormat="false" ht="15" hidden="false" customHeight="true" outlineLevel="0" collapsed="false">
      <c r="H674" s="14" t="b">
        <f aca="false">IF(중복검사!$A672="",FALSE(),중복검사!$J672="유지")</f>
        <v>0</v>
      </c>
      <c r="I674" s="5" t="str">
        <f aca="false">IF($H674=FALSE(),"",COUNTIF($H$6:$H674,TRUE()))</f>
        <v/>
      </c>
      <c r="J674" s="5" t="str">
        <f aca="false">IF($I674="","","R"&amp;$I674)</f>
        <v/>
      </c>
    </row>
    <row r="675" customFormat="false" ht="15" hidden="false" customHeight="true" outlineLevel="0" collapsed="false">
      <c r="H675" s="14" t="b">
        <f aca="false">IF(중복검사!$A673="",FALSE(),중복검사!$J673="유지")</f>
        <v>0</v>
      </c>
      <c r="I675" s="5" t="str">
        <f aca="false">IF($H675=FALSE(),"",COUNTIF($H$6:$H675,TRUE()))</f>
        <v/>
      </c>
      <c r="J675" s="5" t="str">
        <f aca="false">IF($I675="","","R"&amp;$I675)</f>
        <v/>
      </c>
    </row>
    <row r="676" customFormat="false" ht="15" hidden="false" customHeight="true" outlineLevel="0" collapsed="false">
      <c r="H676" s="14" t="b">
        <f aca="false">IF(중복검사!$A674="",FALSE(),중복검사!$J674="유지")</f>
        <v>0</v>
      </c>
      <c r="I676" s="5" t="str">
        <f aca="false">IF($H676=FALSE(),"",COUNTIF($H$6:$H676,TRUE()))</f>
        <v/>
      </c>
      <c r="J676" s="5" t="str">
        <f aca="false">IF($I676="","","R"&amp;$I676)</f>
        <v/>
      </c>
    </row>
    <row r="677" customFormat="false" ht="15" hidden="false" customHeight="true" outlineLevel="0" collapsed="false">
      <c r="H677" s="14" t="b">
        <f aca="false">IF(중복검사!$A675="",FALSE(),중복검사!$J675="유지")</f>
        <v>0</v>
      </c>
      <c r="I677" s="5" t="str">
        <f aca="false">IF($H677=FALSE(),"",COUNTIF($H$6:$H677,TRUE()))</f>
        <v/>
      </c>
      <c r="J677" s="5" t="str">
        <f aca="false">IF($I677="","","R"&amp;$I677)</f>
        <v/>
      </c>
    </row>
    <row r="678" customFormat="false" ht="15" hidden="false" customHeight="true" outlineLevel="0" collapsed="false">
      <c r="H678" s="14" t="b">
        <f aca="false">IF(중복검사!$A676="",FALSE(),중복검사!$J676="유지")</f>
        <v>0</v>
      </c>
      <c r="I678" s="5" t="str">
        <f aca="false">IF($H678=FALSE(),"",COUNTIF($H$6:$H678,TRUE()))</f>
        <v/>
      </c>
      <c r="J678" s="5" t="str">
        <f aca="false">IF($I678="","","R"&amp;$I678)</f>
        <v/>
      </c>
    </row>
    <row r="679" customFormat="false" ht="15" hidden="false" customHeight="true" outlineLevel="0" collapsed="false">
      <c r="H679" s="14" t="b">
        <f aca="false">IF(중복검사!$A677="",FALSE(),중복검사!$J677="유지")</f>
        <v>0</v>
      </c>
      <c r="I679" s="5" t="str">
        <f aca="false">IF($H679=FALSE(),"",COUNTIF($H$6:$H679,TRUE()))</f>
        <v/>
      </c>
      <c r="J679" s="5" t="str">
        <f aca="false">IF($I679="","","R"&amp;$I679)</f>
        <v/>
      </c>
    </row>
    <row r="680" customFormat="false" ht="15" hidden="false" customHeight="true" outlineLevel="0" collapsed="false">
      <c r="H680" s="14" t="b">
        <f aca="false">IF(중복검사!$A678="",FALSE(),중복검사!$J678="유지")</f>
        <v>0</v>
      </c>
      <c r="I680" s="5" t="str">
        <f aca="false">IF($H680=FALSE(),"",COUNTIF($H$6:$H680,TRUE()))</f>
        <v/>
      </c>
      <c r="J680" s="5" t="str">
        <f aca="false">IF($I680="","","R"&amp;$I680)</f>
        <v/>
      </c>
    </row>
    <row r="681" customFormat="false" ht="15" hidden="false" customHeight="true" outlineLevel="0" collapsed="false">
      <c r="H681" s="14" t="b">
        <f aca="false">IF(중복검사!$A679="",FALSE(),중복검사!$J679="유지")</f>
        <v>0</v>
      </c>
      <c r="I681" s="5" t="str">
        <f aca="false">IF($H681=FALSE(),"",COUNTIF($H$6:$H681,TRUE()))</f>
        <v/>
      </c>
      <c r="J681" s="5" t="str">
        <f aca="false">IF($I681="","","R"&amp;$I681)</f>
        <v/>
      </c>
    </row>
    <row r="682" customFormat="false" ht="15" hidden="false" customHeight="true" outlineLevel="0" collapsed="false">
      <c r="H682" s="14" t="b">
        <f aca="false">IF(중복검사!$A680="",FALSE(),중복검사!$J680="유지")</f>
        <v>0</v>
      </c>
      <c r="I682" s="5" t="str">
        <f aca="false">IF($H682=FALSE(),"",COUNTIF($H$6:$H682,TRUE()))</f>
        <v/>
      </c>
      <c r="J682" s="5" t="str">
        <f aca="false">IF($I682="","","R"&amp;$I682)</f>
        <v/>
      </c>
    </row>
    <row r="683" customFormat="false" ht="15" hidden="false" customHeight="true" outlineLevel="0" collapsed="false">
      <c r="H683" s="14" t="b">
        <f aca="false">IF(중복검사!$A681="",FALSE(),중복검사!$J681="유지")</f>
        <v>0</v>
      </c>
      <c r="I683" s="5" t="str">
        <f aca="false">IF($H683=FALSE(),"",COUNTIF($H$6:$H683,TRUE()))</f>
        <v/>
      </c>
      <c r="J683" s="5" t="str">
        <f aca="false">IF($I683="","","R"&amp;$I683)</f>
        <v/>
      </c>
    </row>
    <row r="684" customFormat="false" ht="15" hidden="false" customHeight="true" outlineLevel="0" collapsed="false">
      <c r="H684" s="14" t="b">
        <f aca="false">IF(중복검사!$A682="",FALSE(),중복검사!$J682="유지")</f>
        <v>0</v>
      </c>
      <c r="I684" s="5" t="str">
        <f aca="false">IF($H684=FALSE(),"",COUNTIF($H$6:$H684,TRUE()))</f>
        <v/>
      </c>
      <c r="J684" s="5" t="str">
        <f aca="false">IF($I684="","","R"&amp;$I684)</f>
        <v/>
      </c>
    </row>
    <row r="685" customFormat="false" ht="15" hidden="false" customHeight="true" outlineLevel="0" collapsed="false">
      <c r="H685" s="14" t="b">
        <f aca="false">IF(중복검사!$A683="",FALSE(),중복검사!$J683="유지")</f>
        <v>0</v>
      </c>
      <c r="I685" s="5" t="str">
        <f aca="false">IF($H685=FALSE(),"",COUNTIF($H$6:$H685,TRUE()))</f>
        <v/>
      </c>
      <c r="J685" s="5" t="str">
        <f aca="false">IF($I685="","","R"&amp;$I685)</f>
        <v/>
      </c>
    </row>
    <row r="686" customFormat="false" ht="15" hidden="false" customHeight="true" outlineLevel="0" collapsed="false">
      <c r="H686" s="14" t="b">
        <f aca="false">IF(중복검사!$A684="",FALSE(),중복검사!$J684="유지")</f>
        <v>0</v>
      </c>
      <c r="I686" s="5" t="str">
        <f aca="false">IF($H686=FALSE(),"",COUNTIF($H$6:$H686,TRUE()))</f>
        <v/>
      </c>
      <c r="J686" s="5" t="str">
        <f aca="false">IF($I686="","","R"&amp;$I686)</f>
        <v/>
      </c>
    </row>
    <row r="687" customFormat="false" ht="15" hidden="false" customHeight="true" outlineLevel="0" collapsed="false">
      <c r="H687" s="14" t="b">
        <f aca="false">IF(중복검사!$A685="",FALSE(),중복검사!$J685="유지")</f>
        <v>0</v>
      </c>
      <c r="I687" s="5" t="str">
        <f aca="false">IF($H687=FALSE(),"",COUNTIF($H$6:$H687,TRUE()))</f>
        <v/>
      </c>
      <c r="J687" s="5" t="str">
        <f aca="false">IF($I687="","","R"&amp;$I687)</f>
        <v/>
      </c>
    </row>
    <row r="688" customFormat="false" ht="15" hidden="false" customHeight="true" outlineLevel="0" collapsed="false">
      <c r="H688" s="14" t="b">
        <f aca="false">IF(중복검사!$A686="",FALSE(),중복검사!$J686="유지")</f>
        <v>0</v>
      </c>
      <c r="I688" s="5" t="str">
        <f aca="false">IF($H688=FALSE(),"",COUNTIF($H$6:$H688,TRUE()))</f>
        <v/>
      </c>
      <c r="J688" s="5" t="str">
        <f aca="false">IF($I688="","","R"&amp;$I688)</f>
        <v/>
      </c>
    </row>
    <row r="689" customFormat="false" ht="15" hidden="false" customHeight="true" outlineLevel="0" collapsed="false">
      <c r="H689" s="14" t="b">
        <f aca="false">IF(중복검사!$A687="",FALSE(),중복검사!$J687="유지")</f>
        <v>0</v>
      </c>
      <c r="I689" s="5" t="str">
        <f aca="false">IF($H689=FALSE(),"",COUNTIF($H$6:$H689,TRUE()))</f>
        <v/>
      </c>
      <c r="J689" s="5" t="str">
        <f aca="false">IF($I689="","","R"&amp;$I689)</f>
        <v/>
      </c>
    </row>
    <row r="690" customFormat="false" ht="15" hidden="false" customHeight="true" outlineLevel="0" collapsed="false">
      <c r="H690" s="14" t="b">
        <f aca="false">IF(중복검사!$A688="",FALSE(),중복검사!$J688="유지")</f>
        <v>0</v>
      </c>
      <c r="I690" s="5" t="str">
        <f aca="false">IF($H690=FALSE(),"",COUNTIF($H$6:$H690,TRUE()))</f>
        <v/>
      </c>
      <c r="J690" s="5" t="str">
        <f aca="false">IF($I690="","","R"&amp;$I690)</f>
        <v/>
      </c>
    </row>
    <row r="691" customFormat="false" ht="15" hidden="false" customHeight="true" outlineLevel="0" collapsed="false">
      <c r="H691" s="14" t="b">
        <f aca="false">IF(중복검사!$A689="",FALSE(),중복검사!$J689="유지")</f>
        <v>0</v>
      </c>
      <c r="I691" s="5" t="str">
        <f aca="false">IF($H691=FALSE(),"",COUNTIF($H$6:$H691,TRUE()))</f>
        <v/>
      </c>
      <c r="J691" s="5" t="str">
        <f aca="false">IF($I691="","","R"&amp;$I691)</f>
        <v/>
      </c>
    </row>
    <row r="692" customFormat="false" ht="15" hidden="false" customHeight="true" outlineLevel="0" collapsed="false">
      <c r="H692" s="14" t="b">
        <f aca="false">IF(중복검사!$A690="",FALSE(),중복검사!$J690="유지")</f>
        <v>0</v>
      </c>
      <c r="I692" s="5" t="str">
        <f aca="false">IF($H692=FALSE(),"",COUNTIF($H$6:$H692,TRUE()))</f>
        <v/>
      </c>
      <c r="J692" s="5" t="str">
        <f aca="false">IF($I692="","","R"&amp;$I692)</f>
        <v/>
      </c>
    </row>
    <row r="693" customFormat="false" ht="15" hidden="false" customHeight="true" outlineLevel="0" collapsed="false">
      <c r="H693" s="14" t="b">
        <f aca="false">IF(중복검사!$A691="",FALSE(),중복검사!$J691="유지")</f>
        <v>0</v>
      </c>
      <c r="I693" s="5" t="str">
        <f aca="false">IF($H693=FALSE(),"",COUNTIF($H$6:$H693,TRUE()))</f>
        <v/>
      </c>
      <c r="J693" s="5" t="str">
        <f aca="false">IF($I693="","","R"&amp;$I693)</f>
        <v/>
      </c>
    </row>
    <row r="694" customFormat="false" ht="15" hidden="false" customHeight="true" outlineLevel="0" collapsed="false">
      <c r="H694" s="14" t="b">
        <f aca="false">IF(중복검사!$A692="",FALSE(),중복검사!$J692="유지")</f>
        <v>0</v>
      </c>
      <c r="I694" s="5" t="str">
        <f aca="false">IF($H694=FALSE(),"",COUNTIF($H$6:$H694,TRUE()))</f>
        <v/>
      </c>
      <c r="J694" s="5" t="str">
        <f aca="false">IF($I694="","","R"&amp;$I694)</f>
        <v/>
      </c>
    </row>
    <row r="695" customFormat="false" ht="15" hidden="false" customHeight="true" outlineLevel="0" collapsed="false">
      <c r="H695" s="14" t="b">
        <f aca="false">IF(중복검사!$A693="",FALSE(),중복검사!$J693="유지")</f>
        <v>0</v>
      </c>
      <c r="I695" s="5" t="str">
        <f aca="false">IF($H695=FALSE(),"",COUNTIF($H$6:$H695,TRUE()))</f>
        <v/>
      </c>
      <c r="J695" s="5" t="str">
        <f aca="false">IF($I695="","","R"&amp;$I695)</f>
        <v/>
      </c>
    </row>
    <row r="696" customFormat="false" ht="15" hidden="false" customHeight="true" outlineLevel="0" collapsed="false">
      <c r="H696" s="14" t="b">
        <f aca="false">IF(중복검사!$A694="",FALSE(),중복검사!$J694="유지")</f>
        <v>0</v>
      </c>
      <c r="I696" s="5" t="str">
        <f aca="false">IF($H696=FALSE(),"",COUNTIF($H$6:$H696,TRUE()))</f>
        <v/>
      </c>
      <c r="J696" s="5" t="str">
        <f aca="false">IF($I696="","","R"&amp;$I696)</f>
        <v/>
      </c>
    </row>
    <row r="697" customFormat="false" ht="15" hidden="false" customHeight="true" outlineLevel="0" collapsed="false">
      <c r="H697" s="14" t="b">
        <f aca="false">IF(중복검사!$A695="",FALSE(),중복검사!$J695="유지")</f>
        <v>0</v>
      </c>
      <c r="I697" s="5" t="str">
        <f aca="false">IF($H697=FALSE(),"",COUNTIF($H$6:$H697,TRUE()))</f>
        <v/>
      </c>
      <c r="J697" s="5" t="str">
        <f aca="false">IF($I697="","","R"&amp;$I697)</f>
        <v/>
      </c>
    </row>
    <row r="698" customFormat="false" ht="15" hidden="false" customHeight="true" outlineLevel="0" collapsed="false">
      <c r="H698" s="14" t="b">
        <f aca="false">IF(중복검사!$A696="",FALSE(),중복검사!$J696="유지")</f>
        <v>0</v>
      </c>
      <c r="I698" s="5" t="str">
        <f aca="false">IF($H698=FALSE(),"",COUNTIF($H$6:$H698,TRUE()))</f>
        <v/>
      </c>
      <c r="J698" s="5" t="str">
        <f aca="false">IF($I698="","","R"&amp;$I698)</f>
        <v/>
      </c>
    </row>
    <row r="699" customFormat="false" ht="15" hidden="false" customHeight="true" outlineLevel="0" collapsed="false">
      <c r="H699" s="14" t="b">
        <f aca="false">IF(중복검사!$A697="",FALSE(),중복검사!$J697="유지")</f>
        <v>0</v>
      </c>
      <c r="I699" s="5" t="str">
        <f aca="false">IF($H699=FALSE(),"",COUNTIF($H$6:$H699,TRUE()))</f>
        <v/>
      </c>
      <c r="J699" s="5" t="str">
        <f aca="false">IF($I699="","","R"&amp;$I699)</f>
        <v/>
      </c>
    </row>
    <row r="700" customFormat="false" ht="15" hidden="false" customHeight="true" outlineLevel="0" collapsed="false">
      <c r="H700" s="14" t="b">
        <f aca="false">IF(중복검사!$A698="",FALSE(),중복검사!$J698="유지")</f>
        <v>0</v>
      </c>
      <c r="I700" s="5" t="str">
        <f aca="false">IF($H700=FALSE(),"",COUNTIF($H$6:$H700,TRUE()))</f>
        <v/>
      </c>
      <c r="J700" s="5" t="str">
        <f aca="false">IF($I700="","","R"&amp;$I700)</f>
        <v/>
      </c>
    </row>
    <row r="701" customFormat="false" ht="15" hidden="false" customHeight="true" outlineLevel="0" collapsed="false">
      <c r="H701" s="14" t="b">
        <f aca="false">IF(중복검사!$A699="",FALSE(),중복검사!$J699="유지")</f>
        <v>0</v>
      </c>
      <c r="I701" s="5" t="str">
        <f aca="false">IF($H701=FALSE(),"",COUNTIF($H$6:$H701,TRUE()))</f>
        <v/>
      </c>
      <c r="J701" s="5" t="str">
        <f aca="false">IF($I701="","","R"&amp;$I701)</f>
        <v/>
      </c>
    </row>
    <row r="702" customFormat="false" ht="15" hidden="false" customHeight="true" outlineLevel="0" collapsed="false">
      <c r="H702" s="14" t="b">
        <f aca="false">IF(중복검사!$A700="",FALSE(),중복검사!$J700="유지")</f>
        <v>0</v>
      </c>
      <c r="I702" s="5" t="str">
        <f aca="false">IF($H702=FALSE(),"",COUNTIF($H$6:$H702,TRUE()))</f>
        <v/>
      </c>
      <c r="J702" s="5" t="str">
        <f aca="false">IF($I702="","","R"&amp;$I702)</f>
        <v/>
      </c>
    </row>
    <row r="703" customFormat="false" ht="15" hidden="false" customHeight="true" outlineLevel="0" collapsed="false">
      <c r="H703" s="14" t="b">
        <f aca="false">IF(중복검사!$A701="",FALSE(),중복검사!$J701="유지")</f>
        <v>0</v>
      </c>
      <c r="I703" s="5" t="str">
        <f aca="false">IF($H703=FALSE(),"",COUNTIF($H$6:$H703,TRUE()))</f>
        <v/>
      </c>
      <c r="J703" s="5" t="str">
        <f aca="false">IF($I703="","","R"&amp;$I703)</f>
        <v/>
      </c>
    </row>
    <row r="704" customFormat="false" ht="15" hidden="false" customHeight="true" outlineLevel="0" collapsed="false">
      <c r="H704" s="14" t="b">
        <f aca="false">IF(중복검사!$A702="",FALSE(),중복검사!$J702="유지")</f>
        <v>0</v>
      </c>
      <c r="I704" s="5" t="str">
        <f aca="false">IF($H704=FALSE(),"",COUNTIF($H$6:$H704,TRUE()))</f>
        <v/>
      </c>
      <c r="J704" s="5" t="str">
        <f aca="false">IF($I704="","","R"&amp;$I704)</f>
        <v/>
      </c>
    </row>
    <row r="705" customFormat="false" ht="15" hidden="false" customHeight="true" outlineLevel="0" collapsed="false">
      <c r="H705" s="14" t="b">
        <f aca="false">IF(중복검사!$A703="",FALSE(),중복검사!$J703="유지")</f>
        <v>0</v>
      </c>
      <c r="I705" s="5" t="str">
        <f aca="false">IF($H705=FALSE(),"",COUNTIF($H$6:$H705,TRUE()))</f>
        <v/>
      </c>
      <c r="J705" s="5" t="str">
        <f aca="false">IF($I705="","","R"&amp;$I705)</f>
        <v/>
      </c>
    </row>
    <row r="706" customFormat="false" ht="15" hidden="false" customHeight="true" outlineLevel="0" collapsed="false">
      <c r="H706" s="14" t="b">
        <f aca="false">IF(중복검사!$A704="",FALSE(),중복검사!$J704="유지")</f>
        <v>0</v>
      </c>
      <c r="I706" s="5" t="str">
        <f aca="false">IF($H706=FALSE(),"",COUNTIF($H$6:$H706,TRUE()))</f>
        <v/>
      </c>
      <c r="J706" s="5" t="str">
        <f aca="false">IF($I706="","","R"&amp;$I706)</f>
        <v/>
      </c>
    </row>
    <row r="707" customFormat="false" ht="15" hidden="false" customHeight="true" outlineLevel="0" collapsed="false">
      <c r="H707" s="14" t="b">
        <f aca="false">IF(중복검사!$A705="",FALSE(),중복검사!$J705="유지")</f>
        <v>0</v>
      </c>
      <c r="I707" s="5" t="str">
        <f aca="false">IF($H707=FALSE(),"",COUNTIF($H$6:$H707,TRUE()))</f>
        <v/>
      </c>
      <c r="J707" s="5" t="str">
        <f aca="false">IF($I707="","","R"&amp;$I707)</f>
        <v/>
      </c>
    </row>
    <row r="708" customFormat="false" ht="15" hidden="false" customHeight="true" outlineLevel="0" collapsed="false">
      <c r="H708" s="14" t="b">
        <f aca="false">IF(중복검사!$A706="",FALSE(),중복검사!$J706="유지")</f>
        <v>0</v>
      </c>
      <c r="I708" s="5" t="str">
        <f aca="false">IF($H708=FALSE(),"",COUNTIF($H$6:$H708,TRUE()))</f>
        <v/>
      </c>
      <c r="J708" s="5" t="str">
        <f aca="false">IF($I708="","","R"&amp;$I708)</f>
        <v/>
      </c>
    </row>
    <row r="709" customFormat="false" ht="15" hidden="false" customHeight="true" outlineLevel="0" collapsed="false">
      <c r="H709" s="14" t="b">
        <f aca="false">IF(중복검사!$A707="",FALSE(),중복검사!$J707="유지")</f>
        <v>0</v>
      </c>
      <c r="I709" s="5" t="str">
        <f aca="false">IF($H709=FALSE(),"",COUNTIF($H$6:$H709,TRUE()))</f>
        <v/>
      </c>
      <c r="J709" s="5" t="str">
        <f aca="false">IF($I709="","","R"&amp;$I709)</f>
        <v/>
      </c>
    </row>
    <row r="710" customFormat="false" ht="15" hidden="false" customHeight="true" outlineLevel="0" collapsed="false">
      <c r="H710" s="14" t="b">
        <f aca="false">IF(중복검사!$A708="",FALSE(),중복검사!$J708="유지")</f>
        <v>0</v>
      </c>
      <c r="I710" s="5" t="str">
        <f aca="false">IF($H710=FALSE(),"",COUNTIF($H$6:$H710,TRUE()))</f>
        <v/>
      </c>
      <c r="J710" s="5" t="str">
        <f aca="false">IF($I710="","","R"&amp;$I710)</f>
        <v/>
      </c>
    </row>
    <row r="711" customFormat="false" ht="15" hidden="false" customHeight="true" outlineLevel="0" collapsed="false">
      <c r="H711" s="14" t="b">
        <f aca="false">IF(중복검사!$A709="",FALSE(),중복검사!$J709="유지")</f>
        <v>0</v>
      </c>
      <c r="I711" s="5" t="str">
        <f aca="false">IF($H711=FALSE(),"",COUNTIF($H$6:$H711,TRUE()))</f>
        <v/>
      </c>
      <c r="J711" s="5" t="str">
        <f aca="false">IF($I711="","","R"&amp;$I711)</f>
        <v/>
      </c>
    </row>
    <row r="712" customFormat="false" ht="15" hidden="false" customHeight="true" outlineLevel="0" collapsed="false">
      <c r="H712" s="14" t="b">
        <f aca="false">IF(중복검사!$A710="",FALSE(),중복검사!$J710="유지")</f>
        <v>0</v>
      </c>
      <c r="I712" s="5" t="str">
        <f aca="false">IF($H712=FALSE(),"",COUNTIF($H$6:$H712,TRUE()))</f>
        <v/>
      </c>
      <c r="J712" s="5" t="str">
        <f aca="false">IF($I712="","","R"&amp;$I712)</f>
        <v/>
      </c>
    </row>
    <row r="713" customFormat="false" ht="15" hidden="false" customHeight="true" outlineLevel="0" collapsed="false">
      <c r="H713" s="14" t="b">
        <f aca="false">IF(중복검사!$A711="",FALSE(),중복검사!$J711="유지")</f>
        <v>0</v>
      </c>
      <c r="I713" s="5" t="str">
        <f aca="false">IF($H713=FALSE(),"",COUNTIF($H$6:$H713,TRUE()))</f>
        <v/>
      </c>
      <c r="J713" s="5" t="str">
        <f aca="false">IF($I713="","","R"&amp;$I713)</f>
        <v/>
      </c>
    </row>
    <row r="714" customFormat="false" ht="15" hidden="false" customHeight="true" outlineLevel="0" collapsed="false">
      <c r="H714" s="14" t="b">
        <f aca="false">IF(중복검사!$A712="",FALSE(),중복검사!$J712="유지")</f>
        <v>0</v>
      </c>
      <c r="I714" s="5" t="str">
        <f aca="false">IF($H714=FALSE(),"",COUNTIF($H$6:$H714,TRUE()))</f>
        <v/>
      </c>
      <c r="J714" s="5" t="str">
        <f aca="false">IF($I714="","","R"&amp;$I714)</f>
        <v/>
      </c>
    </row>
    <row r="715" customFormat="false" ht="15" hidden="false" customHeight="true" outlineLevel="0" collapsed="false">
      <c r="H715" s="14" t="b">
        <f aca="false">IF(중복검사!$A713="",FALSE(),중복검사!$J713="유지")</f>
        <v>0</v>
      </c>
      <c r="I715" s="5" t="str">
        <f aca="false">IF($H715=FALSE(),"",COUNTIF($H$6:$H715,TRUE()))</f>
        <v/>
      </c>
      <c r="J715" s="5" t="str">
        <f aca="false">IF($I715="","","R"&amp;$I715)</f>
        <v/>
      </c>
    </row>
    <row r="716" customFormat="false" ht="15" hidden="false" customHeight="true" outlineLevel="0" collapsed="false">
      <c r="H716" s="14" t="b">
        <f aca="false">IF(중복검사!$A714="",FALSE(),중복검사!$J714="유지")</f>
        <v>0</v>
      </c>
      <c r="I716" s="5" t="str">
        <f aca="false">IF($H716=FALSE(),"",COUNTIF($H$6:$H716,TRUE()))</f>
        <v/>
      </c>
      <c r="J716" s="5" t="str">
        <f aca="false">IF($I716="","","R"&amp;$I716)</f>
        <v/>
      </c>
    </row>
    <row r="717" customFormat="false" ht="15" hidden="false" customHeight="true" outlineLevel="0" collapsed="false">
      <c r="H717" s="14" t="b">
        <f aca="false">IF(중복검사!$A715="",FALSE(),중복검사!$J715="유지")</f>
        <v>0</v>
      </c>
      <c r="I717" s="5" t="str">
        <f aca="false">IF($H717=FALSE(),"",COUNTIF($H$6:$H717,TRUE()))</f>
        <v/>
      </c>
      <c r="J717" s="5" t="str">
        <f aca="false">IF($I717="","","R"&amp;$I717)</f>
        <v/>
      </c>
    </row>
    <row r="718" customFormat="false" ht="15" hidden="false" customHeight="true" outlineLevel="0" collapsed="false">
      <c r="H718" s="14" t="b">
        <f aca="false">IF(중복검사!$A716="",FALSE(),중복검사!$J716="유지")</f>
        <v>0</v>
      </c>
      <c r="I718" s="5" t="str">
        <f aca="false">IF($H718=FALSE(),"",COUNTIF($H$6:$H718,TRUE()))</f>
        <v/>
      </c>
      <c r="J718" s="5" t="str">
        <f aca="false">IF($I718="","","R"&amp;$I718)</f>
        <v/>
      </c>
    </row>
    <row r="719" customFormat="false" ht="15" hidden="false" customHeight="true" outlineLevel="0" collapsed="false">
      <c r="H719" s="14" t="b">
        <f aca="false">IF(중복검사!$A717="",FALSE(),중복검사!$J717="유지")</f>
        <v>0</v>
      </c>
      <c r="I719" s="5" t="str">
        <f aca="false">IF($H719=FALSE(),"",COUNTIF($H$6:$H719,TRUE()))</f>
        <v/>
      </c>
      <c r="J719" s="5" t="str">
        <f aca="false">IF($I719="","","R"&amp;$I719)</f>
        <v/>
      </c>
    </row>
    <row r="720" customFormat="false" ht="15" hidden="false" customHeight="true" outlineLevel="0" collapsed="false">
      <c r="H720" s="14" t="b">
        <f aca="false">IF(중복검사!$A718="",FALSE(),중복검사!$J718="유지")</f>
        <v>0</v>
      </c>
      <c r="I720" s="5" t="str">
        <f aca="false">IF($H720=FALSE(),"",COUNTIF($H$6:$H720,TRUE()))</f>
        <v/>
      </c>
      <c r="J720" s="5" t="str">
        <f aca="false">IF($I720="","","R"&amp;$I720)</f>
        <v/>
      </c>
    </row>
    <row r="721" customFormat="false" ht="15" hidden="false" customHeight="true" outlineLevel="0" collapsed="false">
      <c r="H721" s="14" t="b">
        <f aca="false">IF(중복검사!$A719="",FALSE(),중복검사!$J719="유지")</f>
        <v>0</v>
      </c>
      <c r="I721" s="5" t="str">
        <f aca="false">IF($H721=FALSE(),"",COUNTIF($H$6:$H721,TRUE()))</f>
        <v/>
      </c>
      <c r="J721" s="5" t="str">
        <f aca="false">IF($I721="","","R"&amp;$I721)</f>
        <v/>
      </c>
    </row>
    <row r="722" customFormat="false" ht="15" hidden="false" customHeight="true" outlineLevel="0" collapsed="false">
      <c r="H722" s="14" t="b">
        <f aca="false">IF(중복검사!$A720="",FALSE(),중복검사!$J720="유지")</f>
        <v>0</v>
      </c>
      <c r="I722" s="5" t="str">
        <f aca="false">IF($H722=FALSE(),"",COUNTIF($H$6:$H722,TRUE()))</f>
        <v/>
      </c>
      <c r="J722" s="5" t="str">
        <f aca="false">IF($I722="","","R"&amp;$I722)</f>
        <v/>
      </c>
    </row>
    <row r="723" customFormat="false" ht="15" hidden="false" customHeight="true" outlineLevel="0" collapsed="false">
      <c r="H723" s="14" t="b">
        <f aca="false">IF(중복검사!$A721="",FALSE(),중복검사!$J721="유지")</f>
        <v>0</v>
      </c>
      <c r="I723" s="5" t="str">
        <f aca="false">IF($H723=FALSE(),"",COUNTIF($H$6:$H723,TRUE()))</f>
        <v/>
      </c>
      <c r="J723" s="5" t="str">
        <f aca="false">IF($I723="","","R"&amp;$I723)</f>
        <v/>
      </c>
    </row>
    <row r="724" customFormat="false" ht="15" hidden="false" customHeight="true" outlineLevel="0" collapsed="false">
      <c r="H724" s="14" t="b">
        <f aca="false">IF(중복검사!$A722="",FALSE(),중복검사!$J722="유지")</f>
        <v>0</v>
      </c>
      <c r="I724" s="5" t="str">
        <f aca="false">IF($H724=FALSE(),"",COUNTIF($H$6:$H724,TRUE()))</f>
        <v/>
      </c>
      <c r="J724" s="5" t="str">
        <f aca="false">IF($I724="","","R"&amp;$I724)</f>
        <v/>
      </c>
    </row>
    <row r="725" customFormat="false" ht="15" hidden="false" customHeight="true" outlineLevel="0" collapsed="false">
      <c r="H725" s="14" t="b">
        <f aca="false">IF(중복검사!$A723="",FALSE(),중복검사!$J723="유지")</f>
        <v>0</v>
      </c>
      <c r="I725" s="5" t="str">
        <f aca="false">IF($H725=FALSE(),"",COUNTIF($H$6:$H725,TRUE()))</f>
        <v/>
      </c>
      <c r="J725" s="5" t="str">
        <f aca="false">IF($I725="","","R"&amp;$I725)</f>
        <v/>
      </c>
    </row>
    <row r="726" customFormat="false" ht="15" hidden="false" customHeight="true" outlineLevel="0" collapsed="false">
      <c r="H726" s="14" t="b">
        <f aca="false">IF(중복검사!$A724="",FALSE(),중복검사!$J724="유지")</f>
        <v>0</v>
      </c>
      <c r="I726" s="5" t="str">
        <f aca="false">IF($H726=FALSE(),"",COUNTIF($H$6:$H726,TRUE()))</f>
        <v/>
      </c>
      <c r="J726" s="5" t="str">
        <f aca="false">IF($I726="","","R"&amp;$I726)</f>
        <v/>
      </c>
    </row>
    <row r="727" customFormat="false" ht="15" hidden="false" customHeight="true" outlineLevel="0" collapsed="false">
      <c r="H727" s="14" t="b">
        <f aca="false">IF(중복검사!$A725="",FALSE(),중복검사!$J725="유지")</f>
        <v>0</v>
      </c>
      <c r="I727" s="5" t="str">
        <f aca="false">IF($H727=FALSE(),"",COUNTIF($H$6:$H727,TRUE()))</f>
        <v/>
      </c>
      <c r="J727" s="5" t="str">
        <f aca="false">IF($I727="","","R"&amp;$I727)</f>
        <v/>
      </c>
    </row>
    <row r="728" customFormat="false" ht="15" hidden="false" customHeight="true" outlineLevel="0" collapsed="false">
      <c r="H728" s="14" t="b">
        <f aca="false">IF(중복검사!$A726="",FALSE(),중복검사!$J726="유지")</f>
        <v>0</v>
      </c>
      <c r="I728" s="5" t="str">
        <f aca="false">IF($H728=FALSE(),"",COUNTIF($H$6:$H728,TRUE()))</f>
        <v/>
      </c>
      <c r="J728" s="5" t="str">
        <f aca="false">IF($I728="","","R"&amp;$I728)</f>
        <v/>
      </c>
    </row>
    <row r="729" customFormat="false" ht="15" hidden="false" customHeight="true" outlineLevel="0" collapsed="false">
      <c r="H729" s="14" t="b">
        <f aca="false">IF(중복검사!$A727="",FALSE(),중복검사!$J727="유지")</f>
        <v>0</v>
      </c>
      <c r="I729" s="5" t="str">
        <f aca="false">IF($H729=FALSE(),"",COUNTIF($H$6:$H729,TRUE()))</f>
        <v/>
      </c>
      <c r="J729" s="5" t="str">
        <f aca="false">IF($I729="","","R"&amp;$I729)</f>
        <v/>
      </c>
    </row>
    <row r="730" customFormat="false" ht="15" hidden="false" customHeight="true" outlineLevel="0" collapsed="false">
      <c r="H730" s="14" t="b">
        <f aca="false">IF(중복검사!$A728="",FALSE(),중복검사!$J728="유지")</f>
        <v>0</v>
      </c>
      <c r="I730" s="5" t="str">
        <f aca="false">IF($H730=FALSE(),"",COUNTIF($H$6:$H730,TRUE()))</f>
        <v/>
      </c>
      <c r="J730" s="5" t="str">
        <f aca="false">IF($I730="","","R"&amp;$I730)</f>
        <v/>
      </c>
    </row>
    <row r="731" customFormat="false" ht="15" hidden="false" customHeight="true" outlineLevel="0" collapsed="false">
      <c r="H731" s="14" t="b">
        <f aca="false">IF(중복검사!$A729="",FALSE(),중복검사!$J729="유지")</f>
        <v>0</v>
      </c>
      <c r="I731" s="5" t="str">
        <f aca="false">IF($H731=FALSE(),"",COUNTIF($H$6:$H731,TRUE()))</f>
        <v/>
      </c>
      <c r="J731" s="5" t="str">
        <f aca="false">IF($I731="","","R"&amp;$I731)</f>
        <v/>
      </c>
    </row>
    <row r="732" customFormat="false" ht="15" hidden="false" customHeight="true" outlineLevel="0" collapsed="false">
      <c r="H732" s="14" t="b">
        <f aca="false">IF(중복검사!$A730="",FALSE(),중복검사!$J730="유지")</f>
        <v>0</v>
      </c>
      <c r="I732" s="5" t="str">
        <f aca="false">IF($H732=FALSE(),"",COUNTIF($H$6:$H732,TRUE()))</f>
        <v/>
      </c>
      <c r="J732" s="5" t="str">
        <f aca="false">IF($I732="","","R"&amp;$I732)</f>
        <v/>
      </c>
    </row>
    <row r="733" customFormat="false" ht="15" hidden="false" customHeight="true" outlineLevel="0" collapsed="false">
      <c r="H733" s="14" t="b">
        <f aca="false">IF(중복검사!$A731="",FALSE(),중복검사!$J731="유지")</f>
        <v>0</v>
      </c>
      <c r="I733" s="5" t="str">
        <f aca="false">IF($H733=FALSE(),"",COUNTIF($H$6:$H733,TRUE()))</f>
        <v/>
      </c>
      <c r="J733" s="5" t="str">
        <f aca="false">IF($I733="","","R"&amp;$I733)</f>
        <v/>
      </c>
    </row>
    <row r="734" customFormat="false" ht="15" hidden="false" customHeight="true" outlineLevel="0" collapsed="false">
      <c r="H734" s="14" t="b">
        <f aca="false">IF(중복검사!$A732="",FALSE(),중복검사!$J732="유지")</f>
        <v>0</v>
      </c>
      <c r="I734" s="5" t="str">
        <f aca="false">IF($H734=FALSE(),"",COUNTIF($H$6:$H734,TRUE()))</f>
        <v/>
      </c>
      <c r="J734" s="5" t="str">
        <f aca="false">IF($I734="","","R"&amp;$I734)</f>
        <v/>
      </c>
    </row>
    <row r="735" customFormat="false" ht="15" hidden="false" customHeight="true" outlineLevel="0" collapsed="false">
      <c r="H735" s="14" t="b">
        <f aca="false">IF(중복검사!$A733="",FALSE(),중복검사!$J733="유지")</f>
        <v>0</v>
      </c>
      <c r="I735" s="5" t="str">
        <f aca="false">IF($H735=FALSE(),"",COUNTIF($H$6:$H735,TRUE()))</f>
        <v/>
      </c>
      <c r="J735" s="5" t="str">
        <f aca="false">IF($I735="","","R"&amp;$I735)</f>
        <v/>
      </c>
    </row>
    <row r="736" customFormat="false" ht="15" hidden="false" customHeight="true" outlineLevel="0" collapsed="false">
      <c r="H736" s="14" t="b">
        <f aca="false">IF(중복검사!$A734="",FALSE(),중복검사!$J734="유지")</f>
        <v>0</v>
      </c>
      <c r="I736" s="5" t="str">
        <f aca="false">IF($H736=FALSE(),"",COUNTIF($H$6:$H736,TRUE()))</f>
        <v/>
      </c>
      <c r="J736" s="5" t="str">
        <f aca="false">IF($I736="","","R"&amp;$I736)</f>
        <v/>
      </c>
    </row>
    <row r="737" customFormat="false" ht="15" hidden="false" customHeight="true" outlineLevel="0" collapsed="false">
      <c r="H737" s="14" t="b">
        <f aca="false">IF(중복검사!$A735="",FALSE(),중복검사!$J735="유지")</f>
        <v>0</v>
      </c>
      <c r="I737" s="5" t="str">
        <f aca="false">IF($H737=FALSE(),"",COUNTIF($H$6:$H737,TRUE()))</f>
        <v/>
      </c>
      <c r="J737" s="5" t="str">
        <f aca="false">IF($I737="","","R"&amp;$I737)</f>
        <v/>
      </c>
    </row>
    <row r="738" customFormat="false" ht="15" hidden="false" customHeight="true" outlineLevel="0" collapsed="false">
      <c r="H738" s="14" t="b">
        <f aca="false">IF(중복검사!$A736="",FALSE(),중복검사!$J736="유지")</f>
        <v>0</v>
      </c>
      <c r="I738" s="5" t="str">
        <f aca="false">IF($H738=FALSE(),"",COUNTIF($H$6:$H738,TRUE()))</f>
        <v/>
      </c>
      <c r="J738" s="5" t="str">
        <f aca="false">IF($I738="","","R"&amp;$I738)</f>
        <v/>
      </c>
    </row>
    <row r="739" customFormat="false" ht="15" hidden="false" customHeight="true" outlineLevel="0" collapsed="false">
      <c r="H739" s="14" t="b">
        <f aca="false">IF(중복검사!$A737="",FALSE(),중복검사!$J737="유지")</f>
        <v>0</v>
      </c>
      <c r="I739" s="5" t="str">
        <f aca="false">IF($H739=FALSE(),"",COUNTIF($H$6:$H739,TRUE()))</f>
        <v/>
      </c>
      <c r="J739" s="5" t="str">
        <f aca="false">IF($I739="","","R"&amp;$I739)</f>
        <v/>
      </c>
    </row>
    <row r="740" customFormat="false" ht="15" hidden="false" customHeight="true" outlineLevel="0" collapsed="false">
      <c r="H740" s="14" t="b">
        <f aca="false">IF(중복검사!$A738="",FALSE(),중복검사!$J738="유지")</f>
        <v>0</v>
      </c>
      <c r="I740" s="5" t="str">
        <f aca="false">IF($H740=FALSE(),"",COUNTIF($H$6:$H740,TRUE()))</f>
        <v/>
      </c>
      <c r="J740" s="5" t="str">
        <f aca="false">IF($I740="","","R"&amp;$I740)</f>
        <v/>
      </c>
    </row>
    <row r="741" customFormat="false" ht="15" hidden="false" customHeight="true" outlineLevel="0" collapsed="false">
      <c r="H741" s="14" t="b">
        <f aca="false">IF(중복검사!$A739="",FALSE(),중복검사!$J739="유지")</f>
        <v>0</v>
      </c>
      <c r="I741" s="5" t="str">
        <f aca="false">IF($H741=FALSE(),"",COUNTIF($H$6:$H741,TRUE()))</f>
        <v/>
      </c>
      <c r="J741" s="5" t="str">
        <f aca="false">IF($I741="","","R"&amp;$I741)</f>
        <v/>
      </c>
    </row>
    <row r="742" customFormat="false" ht="15" hidden="false" customHeight="true" outlineLevel="0" collapsed="false">
      <c r="H742" s="14" t="b">
        <f aca="false">IF(중복검사!$A740="",FALSE(),중복검사!$J740="유지")</f>
        <v>0</v>
      </c>
      <c r="I742" s="5" t="str">
        <f aca="false">IF($H742=FALSE(),"",COUNTIF($H$6:$H742,TRUE()))</f>
        <v/>
      </c>
      <c r="J742" s="5" t="str">
        <f aca="false">IF($I742="","","R"&amp;$I742)</f>
        <v/>
      </c>
    </row>
    <row r="743" customFormat="false" ht="15" hidden="false" customHeight="true" outlineLevel="0" collapsed="false">
      <c r="H743" s="14" t="b">
        <f aca="false">IF(중복검사!$A741="",FALSE(),중복검사!$J741="유지")</f>
        <v>0</v>
      </c>
      <c r="I743" s="5" t="str">
        <f aca="false">IF($H743=FALSE(),"",COUNTIF($H$6:$H743,TRUE()))</f>
        <v/>
      </c>
      <c r="J743" s="5" t="str">
        <f aca="false">IF($I743="","","R"&amp;$I743)</f>
        <v/>
      </c>
    </row>
    <row r="744" customFormat="false" ht="15" hidden="false" customHeight="true" outlineLevel="0" collapsed="false">
      <c r="H744" s="14" t="b">
        <f aca="false">IF(중복검사!$A742="",FALSE(),중복검사!$J742="유지")</f>
        <v>0</v>
      </c>
      <c r="I744" s="5" t="str">
        <f aca="false">IF($H744=FALSE(),"",COUNTIF($H$6:$H744,TRUE()))</f>
        <v/>
      </c>
      <c r="J744" s="5" t="str">
        <f aca="false">IF($I744="","","R"&amp;$I744)</f>
        <v/>
      </c>
    </row>
    <row r="745" customFormat="false" ht="15" hidden="false" customHeight="true" outlineLevel="0" collapsed="false">
      <c r="H745" s="14" t="b">
        <f aca="false">IF(중복검사!$A743="",FALSE(),중복검사!$J743="유지")</f>
        <v>0</v>
      </c>
      <c r="I745" s="5" t="str">
        <f aca="false">IF($H745=FALSE(),"",COUNTIF($H$6:$H745,TRUE()))</f>
        <v/>
      </c>
      <c r="J745" s="5" t="str">
        <f aca="false">IF($I745="","","R"&amp;$I745)</f>
        <v/>
      </c>
    </row>
    <row r="746" customFormat="false" ht="15" hidden="false" customHeight="true" outlineLevel="0" collapsed="false">
      <c r="H746" s="14" t="b">
        <f aca="false">IF(중복검사!$A744="",FALSE(),중복검사!$J744="유지")</f>
        <v>0</v>
      </c>
      <c r="I746" s="5" t="str">
        <f aca="false">IF($H746=FALSE(),"",COUNTIF($H$6:$H746,TRUE()))</f>
        <v/>
      </c>
      <c r="J746" s="5" t="str">
        <f aca="false">IF($I746="","","R"&amp;$I746)</f>
        <v/>
      </c>
    </row>
    <row r="747" customFormat="false" ht="15" hidden="false" customHeight="true" outlineLevel="0" collapsed="false">
      <c r="H747" s="14" t="b">
        <f aca="false">IF(중복검사!$A745="",FALSE(),중복검사!$J745="유지")</f>
        <v>0</v>
      </c>
      <c r="I747" s="5" t="str">
        <f aca="false">IF($H747=FALSE(),"",COUNTIF($H$6:$H747,TRUE()))</f>
        <v/>
      </c>
      <c r="J747" s="5" t="str">
        <f aca="false">IF($I747="","","R"&amp;$I747)</f>
        <v/>
      </c>
    </row>
    <row r="748" customFormat="false" ht="15" hidden="false" customHeight="true" outlineLevel="0" collapsed="false">
      <c r="H748" s="14" t="b">
        <f aca="false">IF(중복검사!$A746="",FALSE(),중복검사!$J746="유지")</f>
        <v>0</v>
      </c>
      <c r="I748" s="5" t="str">
        <f aca="false">IF($H748=FALSE(),"",COUNTIF($H$6:$H748,TRUE()))</f>
        <v/>
      </c>
      <c r="J748" s="5" t="str">
        <f aca="false">IF($I748="","","R"&amp;$I748)</f>
        <v/>
      </c>
    </row>
    <row r="749" customFormat="false" ht="15" hidden="false" customHeight="true" outlineLevel="0" collapsed="false">
      <c r="H749" s="14" t="b">
        <f aca="false">IF(중복검사!$A747="",FALSE(),중복검사!$J747="유지")</f>
        <v>0</v>
      </c>
      <c r="I749" s="5" t="str">
        <f aca="false">IF($H749=FALSE(),"",COUNTIF($H$6:$H749,TRUE()))</f>
        <v/>
      </c>
      <c r="J749" s="5" t="str">
        <f aca="false">IF($I749="","","R"&amp;$I749)</f>
        <v/>
      </c>
    </row>
    <row r="750" customFormat="false" ht="15" hidden="false" customHeight="true" outlineLevel="0" collapsed="false">
      <c r="H750" s="14" t="b">
        <f aca="false">IF(중복검사!$A748="",FALSE(),중복검사!$J748="유지")</f>
        <v>0</v>
      </c>
      <c r="I750" s="5" t="str">
        <f aca="false">IF($H750=FALSE(),"",COUNTIF($H$6:$H750,TRUE()))</f>
        <v/>
      </c>
      <c r="J750" s="5" t="str">
        <f aca="false">IF($I750="","","R"&amp;$I750)</f>
        <v/>
      </c>
    </row>
    <row r="751" customFormat="false" ht="15" hidden="false" customHeight="true" outlineLevel="0" collapsed="false">
      <c r="H751" s="14" t="b">
        <f aca="false">IF(중복검사!$A749="",FALSE(),중복검사!$J749="유지")</f>
        <v>0</v>
      </c>
      <c r="I751" s="5" t="str">
        <f aca="false">IF($H751=FALSE(),"",COUNTIF($H$6:$H751,TRUE()))</f>
        <v/>
      </c>
      <c r="J751" s="5" t="str">
        <f aca="false">IF($I751="","","R"&amp;$I751)</f>
        <v/>
      </c>
    </row>
    <row r="752" customFormat="false" ht="15" hidden="false" customHeight="true" outlineLevel="0" collapsed="false">
      <c r="H752" s="14" t="b">
        <f aca="false">IF(중복검사!$A750="",FALSE(),중복검사!$J750="유지")</f>
        <v>0</v>
      </c>
      <c r="I752" s="5" t="str">
        <f aca="false">IF($H752=FALSE(),"",COUNTIF($H$6:$H752,TRUE()))</f>
        <v/>
      </c>
      <c r="J752" s="5" t="str">
        <f aca="false">IF($I752="","","R"&amp;$I752)</f>
        <v/>
      </c>
    </row>
    <row r="753" customFormat="false" ht="15" hidden="false" customHeight="true" outlineLevel="0" collapsed="false">
      <c r="H753" s="14" t="b">
        <f aca="false">IF(중복검사!$A751="",FALSE(),중복검사!$J751="유지")</f>
        <v>0</v>
      </c>
      <c r="I753" s="5" t="str">
        <f aca="false">IF($H753=FALSE(),"",COUNTIF($H$6:$H753,TRUE()))</f>
        <v/>
      </c>
      <c r="J753" s="5" t="str">
        <f aca="false">IF($I753="","","R"&amp;$I753)</f>
        <v/>
      </c>
    </row>
    <row r="754" customFormat="false" ht="15" hidden="false" customHeight="true" outlineLevel="0" collapsed="false">
      <c r="H754" s="14" t="b">
        <f aca="false">IF(중복검사!$A752="",FALSE(),중복검사!$J752="유지")</f>
        <v>0</v>
      </c>
      <c r="I754" s="5" t="str">
        <f aca="false">IF($H754=FALSE(),"",COUNTIF($H$6:$H754,TRUE()))</f>
        <v/>
      </c>
      <c r="J754" s="5" t="str">
        <f aca="false">IF($I754="","","R"&amp;$I754)</f>
        <v/>
      </c>
    </row>
    <row r="755" customFormat="false" ht="15" hidden="false" customHeight="true" outlineLevel="0" collapsed="false">
      <c r="H755" s="14" t="b">
        <f aca="false">IF(중복검사!$A753="",FALSE(),중복검사!$J753="유지")</f>
        <v>0</v>
      </c>
      <c r="I755" s="5" t="str">
        <f aca="false">IF($H755=FALSE(),"",COUNTIF($H$6:$H755,TRUE()))</f>
        <v/>
      </c>
      <c r="J755" s="5" t="str">
        <f aca="false">IF($I755="","","R"&amp;$I755)</f>
        <v/>
      </c>
    </row>
    <row r="756" customFormat="false" ht="15" hidden="false" customHeight="true" outlineLevel="0" collapsed="false">
      <c r="H756" s="14" t="b">
        <f aca="false">IF(중복검사!$A754="",FALSE(),중복검사!$J754="유지")</f>
        <v>0</v>
      </c>
      <c r="I756" s="5" t="str">
        <f aca="false">IF($H756=FALSE(),"",COUNTIF($H$6:$H756,TRUE()))</f>
        <v/>
      </c>
      <c r="J756" s="5" t="str">
        <f aca="false">IF($I756="","","R"&amp;$I756)</f>
        <v/>
      </c>
    </row>
    <row r="757" customFormat="false" ht="15" hidden="false" customHeight="true" outlineLevel="0" collapsed="false">
      <c r="H757" s="14" t="b">
        <f aca="false">IF(중복검사!$A755="",FALSE(),중복검사!$J755="유지")</f>
        <v>0</v>
      </c>
      <c r="I757" s="5" t="str">
        <f aca="false">IF($H757=FALSE(),"",COUNTIF($H$6:$H757,TRUE()))</f>
        <v/>
      </c>
      <c r="J757" s="5" t="str">
        <f aca="false">IF($I757="","","R"&amp;$I757)</f>
        <v/>
      </c>
    </row>
    <row r="758" customFormat="false" ht="15" hidden="false" customHeight="true" outlineLevel="0" collapsed="false">
      <c r="H758" s="14" t="b">
        <f aca="false">IF(중복검사!$A756="",FALSE(),중복검사!$J756="유지")</f>
        <v>0</v>
      </c>
      <c r="I758" s="5" t="str">
        <f aca="false">IF($H758=FALSE(),"",COUNTIF($H$6:$H758,TRUE()))</f>
        <v/>
      </c>
      <c r="J758" s="5" t="str">
        <f aca="false">IF($I758="","","R"&amp;$I758)</f>
        <v/>
      </c>
    </row>
    <row r="759" customFormat="false" ht="15" hidden="false" customHeight="true" outlineLevel="0" collapsed="false">
      <c r="H759" s="14" t="b">
        <f aca="false">IF(중복검사!$A757="",FALSE(),중복검사!$J757="유지")</f>
        <v>0</v>
      </c>
      <c r="I759" s="5" t="str">
        <f aca="false">IF($H759=FALSE(),"",COUNTIF($H$6:$H759,TRUE()))</f>
        <v/>
      </c>
      <c r="J759" s="5" t="str">
        <f aca="false">IF($I759="","","R"&amp;$I759)</f>
        <v/>
      </c>
    </row>
    <row r="760" customFormat="false" ht="15" hidden="false" customHeight="true" outlineLevel="0" collapsed="false">
      <c r="H760" s="14" t="b">
        <f aca="false">IF(중복검사!$A758="",FALSE(),중복검사!$J758="유지")</f>
        <v>0</v>
      </c>
      <c r="I760" s="5" t="str">
        <f aca="false">IF($H760=FALSE(),"",COUNTIF($H$6:$H760,TRUE()))</f>
        <v/>
      </c>
      <c r="J760" s="5" t="str">
        <f aca="false">IF($I760="","","R"&amp;$I760)</f>
        <v/>
      </c>
    </row>
    <row r="761" customFormat="false" ht="15" hidden="false" customHeight="true" outlineLevel="0" collapsed="false">
      <c r="H761" s="14" t="b">
        <f aca="false">IF(중복검사!$A759="",FALSE(),중복검사!$J759="유지")</f>
        <v>0</v>
      </c>
      <c r="I761" s="5" t="str">
        <f aca="false">IF($H761=FALSE(),"",COUNTIF($H$6:$H761,TRUE()))</f>
        <v/>
      </c>
      <c r="J761" s="5" t="str">
        <f aca="false">IF($I761="","","R"&amp;$I761)</f>
        <v/>
      </c>
    </row>
    <row r="762" customFormat="false" ht="15" hidden="false" customHeight="true" outlineLevel="0" collapsed="false">
      <c r="H762" s="14" t="b">
        <f aca="false">IF(중복검사!$A760="",FALSE(),중복검사!$J760="유지")</f>
        <v>0</v>
      </c>
      <c r="I762" s="5" t="str">
        <f aca="false">IF($H762=FALSE(),"",COUNTIF($H$6:$H762,TRUE()))</f>
        <v/>
      </c>
      <c r="J762" s="5" t="str">
        <f aca="false">IF($I762="","","R"&amp;$I762)</f>
        <v/>
      </c>
    </row>
    <row r="763" customFormat="false" ht="15" hidden="false" customHeight="true" outlineLevel="0" collapsed="false">
      <c r="H763" s="14" t="b">
        <f aca="false">IF(중복검사!$A761="",FALSE(),중복검사!$J761="유지")</f>
        <v>0</v>
      </c>
      <c r="I763" s="5" t="str">
        <f aca="false">IF($H763=FALSE(),"",COUNTIF($H$6:$H763,TRUE()))</f>
        <v/>
      </c>
      <c r="J763" s="5" t="str">
        <f aca="false">IF($I763="","","R"&amp;$I763)</f>
        <v/>
      </c>
    </row>
    <row r="764" customFormat="false" ht="15" hidden="false" customHeight="true" outlineLevel="0" collapsed="false">
      <c r="H764" s="14" t="b">
        <f aca="false">IF(중복검사!$A762="",FALSE(),중복검사!$J762="유지")</f>
        <v>0</v>
      </c>
      <c r="I764" s="5" t="str">
        <f aca="false">IF($H764=FALSE(),"",COUNTIF($H$6:$H764,TRUE()))</f>
        <v/>
      </c>
      <c r="J764" s="5" t="str">
        <f aca="false">IF($I764="","","R"&amp;$I764)</f>
        <v/>
      </c>
    </row>
    <row r="765" customFormat="false" ht="15" hidden="false" customHeight="true" outlineLevel="0" collapsed="false">
      <c r="H765" s="14" t="b">
        <f aca="false">IF(중복검사!$A763="",FALSE(),중복검사!$J763="유지")</f>
        <v>0</v>
      </c>
      <c r="I765" s="5" t="str">
        <f aca="false">IF($H765=FALSE(),"",COUNTIF($H$6:$H765,TRUE()))</f>
        <v/>
      </c>
      <c r="J765" s="5" t="str">
        <f aca="false">IF($I765="","","R"&amp;$I765)</f>
        <v/>
      </c>
    </row>
    <row r="766" customFormat="false" ht="15" hidden="false" customHeight="true" outlineLevel="0" collapsed="false">
      <c r="H766" s="14" t="b">
        <f aca="false">IF(중복검사!$A764="",FALSE(),중복검사!$J764="유지")</f>
        <v>0</v>
      </c>
      <c r="I766" s="5" t="str">
        <f aca="false">IF($H766=FALSE(),"",COUNTIF($H$6:$H766,TRUE()))</f>
        <v/>
      </c>
      <c r="J766" s="5" t="str">
        <f aca="false">IF($I766="","","R"&amp;$I766)</f>
        <v/>
      </c>
    </row>
    <row r="767" customFormat="false" ht="15" hidden="false" customHeight="true" outlineLevel="0" collapsed="false">
      <c r="H767" s="14" t="b">
        <f aca="false">IF(중복검사!$A765="",FALSE(),중복검사!$J765="유지")</f>
        <v>0</v>
      </c>
      <c r="I767" s="5" t="str">
        <f aca="false">IF($H767=FALSE(),"",COUNTIF($H$6:$H767,TRUE()))</f>
        <v/>
      </c>
      <c r="J767" s="5" t="str">
        <f aca="false">IF($I767="","","R"&amp;$I767)</f>
        <v/>
      </c>
    </row>
    <row r="768" customFormat="false" ht="15" hidden="false" customHeight="true" outlineLevel="0" collapsed="false">
      <c r="H768" s="14" t="b">
        <f aca="false">IF(중복검사!$A766="",FALSE(),중복검사!$J766="유지")</f>
        <v>0</v>
      </c>
      <c r="I768" s="5" t="str">
        <f aca="false">IF($H768=FALSE(),"",COUNTIF($H$6:$H768,TRUE()))</f>
        <v/>
      </c>
      <c r="J768" s="5" t="str">
        <f aca="false">IF($I768="","","R"&amp;$I768)</f>
        <v/>
      </c>
    </row>
    <row r="769" customFormat="false" ht="15" hidden="false" customHeight="true" outlineLevel="0" collapsed="false">
      <c r="H769" s="14" t="b">
        <f aca="false">IF(중복검사!$A767="",FALSE(),중복검사!$J767="유지")</f>
        <v>0</v>
      </c>
      <c r="I769" s="5" t="str">
        <f aca="false">IF($H769=FALSE(),"",COUNTIF($H$6:$H769,TRUE()))</f>
        <v/>
      </c>
      <c r="J769" s="5" t="str">
        <f aca="false">IF($I769="","","R"&amp;$I769)</f>
        <v/>
      </c>
    </row>
    <row r="770" customFormat="false" ht="15" hidden="false" customHeight="true" outlineLevel="0" collapsed="false">
      <c r="H770" s="14" t="b">
        <f aca="false">IF(중복검사!$A768="",FALSE(),중복검사!$J768="유지")</f>
        <v>0</v>
      </c>
      <c r="I770" s="5" t="str">
        <f aca="false">IF($H770=FALSE(),"",COUNTIF($H$6:$H770,TRUE()))</f>
        <v/>
      </c>
      <c r="J770" s="5" t="str">
        <f aca="false">IF($I770="","","R"&amp;$I770)</f>
        <v/>
      </c>
    </row>
    <row r="771" customFormat="false" ht="15" hidden="false" customHeight="true" outlineLevel="0" collapsed="false">
      <c r="H771" s="14" t="b">
        <f aca="false">IF(중복검사!$A769="",FALSE(),중복검사!$J769="유지")</f>
        <v>0</v>
      </c>
      <c r="I771" s="5" t="str">
        <f aca="false">IF($H771=FALSE(),"",COUNTIF($H$6:$H771,TRUE()))</f>
        <v/>
      </c>
      <c r="J771" s="5" t="str">
        <f aca="false">IF($I771="","","R"&amp;$I771)</f>
        <v/>
      </c>
    </row>
    <row r="772" customFormat="false" ht="15" hidden="false" customHeight="true" outlineLevel="0" collapsed="false">
      <c r="H772" s="14" t="b">
        <f aca="false">IF(중복검사!$A770="",FALSE(),중복검사!$J770="유지")</f>
        <v>0</v>
      </c>
      <c r="I772" s="5" t="str">
        <f aca="false">IF($H772=FALSE(),"",COUNTIF($H$6:$H772,TRUE()))</f>
        <v/>
      </c>
      <c r="J772" s="5" t="str">
        <f aca="false">IF($I772="","","R"&amp;$I772)</f>
        <v/>
      </c>
    </row>
    <row r="773" customFormat="false" ht="15" hidden="false" customHeight="true" outlineLevel="0" collapsed="false">
      <c r="H773" s="14" t="b">
        <f aca="false">IF(중복검사!$A771="",FALSE(),중복검사!$J771="유지")</f>
        <v>0</v>
      </c>
      <c r="I773" s="5" t="str">
        <f aca="false">IF($H773=FALSE(),"",COUNTIF($H$6:$H773,TRUE()))</f>
        <v/>
      </c>
      <c r="J773" s="5" t="str">
        <f aca="false">IF($I773="","","R"&amp;$I773)</f>
        <v/>
      </c>
    </row>
    <row r="774" customFormat="false" ht="15" hidden="false" customHeight="true" outlineLevel="0" collapsed="false">
      <c r="H774" s="14" t="b">
        <f aca="false">IF(중복검사!$A772="",FALSE(),중복검사!$J772="유지")</f>
        <v>0</v>
      </c>
      <c r="I774" s="5" t="str">
        <f aca="false">IF($H774=FALSE(),"",COUNTIF($H$6:$H774,TRUE()))</f>
        <v/>
      </c>
      <c r="J774" s="5" t="str">
        <f aca="false">IF($I774="","","R"&amp;$I774)</f>
        <v/>
      </c>
    </row>
    <row r="775" customFormat="false" ht="15" hidden="false" customHeight="true" outlineLevel="0" collapsed="false">
      <c r="H775" s="14" t="b">
        <f aca="false">IF(중복검사!$A773="",FALSE(),중복검사!$J773="유지")</f>
        <v>0</v>
      </c>
      <c r="I775" s="5" t="str">
        <f aca="false">IF($H775=FALSE(),"",COUNTIF($H$6:$H775,TRUE()))</f>
        <v/>
      </c>
      <c r="J775" s="5" t="str">
        <f aca="false">IF($I775="","","R"&amp;$I775)</f>
        <v/>
      </c>
    </row>
    <row r="776" customFormat="false" ht="15" hidden="false" customHeight="true" outlineLevel="0" collapsed="false">
      <c r="H776" s="14" t="b">
        <f aca="false">IF(중복검사!$A774="",FALSE(),중복검사!$J774="유지")</f>
        <v>0</v>
      </c>
      <c r="I776" s="5" t="str">
        <f aca="false">IF($H776=FALSE(),"",COUNTIF($H$6:$H776,TRUE()))</f>
        <v/>
      </c>
      <c r="J776" s="5" t="str">
        <f aca="false">IF($I776="","","R"&amp;$I776)</f>
        <v/>
      </c>
    </row>
    <row r="777" customFormat="false" ht="15" hidden="false" customHeight="true" outlineLevel="0" collapsed="false">
      <c r="H777" s="14" t="b">
        <f aca="false">IF(중복검사!$A775="",FALSE(),중복검사!$J775="유지")</f>
        <v>0</v>
      </c>
      <c r="I777" s="5" t="str">
        <f aca="false">IF($H777=FALSE(),"",COUNTIF($H$6:$H777,TRUE()))</f>
        <v/>
      </c>
      <c r="J777" s="5" t="str">
        <f aca="false">IF($I777="","","R"&amp;$I777)</f>
        <v/>
      </c>
    </row>
    <row r="778" customFormat="false" ht="15" hidden="false" customHeight="true" outlineLevel="0" collapsed="false">
      <c r="H778" s="14" t="b">
        <f aca="false">IF(중복검사!$A776="",FALSE(),중복검사!$J776="유지")</f>
        <v>0</v>
      </c>
      <c r="I778" s="5" t="str">
        <f aca="false">IF($H778=FALSE(),"",COUNTIF($H$6:$H778,TRUE()))</f>
        <v/>
      </c>
      <c r="J778" s="5" t="str">
        <f aca="false">IF($I778="","","R"&amp;$I778)</f>
        <v/>
      </c>
    </row>
    <row r="779" customFormat="false" ht="15" hidden="false" customHeight="true" outlineLevel="0" collapsed="false">
      <c r="H779" s="14" t="b">
        <f aca="false">IF(중복검사!$A777="",FALSE(),중복검사!$J777="유지")</f>
        <v>0</v>
      </c>
      <c r="I779" s="5" t="str">
        <f aca="false">IF($H779=FALSE(),"",COUNTIF($H$6:$H779,TRUE()))</f>
        <v/>
      </c>
      <c r="J779" s="5" t="str">
        <f aca="false">IF($I779="","","R"&amp;$I779)</f>
        <v/>
      </c>
    </row>
    <row r="780" customFormat="false" ht="15" hidden="false" customHeight="true" outlineLevel="0" collapsed="false">
      <c r="H780" s="14" t="b">
        <f aca="false">IF(중복검사!$A778="",FALSE(),중복검사!$J778="유지")</f>
        <v>0</v>
      </c>
      <c r="I780" s="5" t="str">
        <f aca="false">IF($H780=FALSE(),"",COUNTIF($H$6:$H780,TRUE()))</f>
        <v/>
      </c>
      <c r="J780" s="5" t="str">
        <f aca="false">IF($I780="","","R"&amp;$I780)</f>
        <v/>
      </c>
    </row>
    <row r="781" customFormat="false" ht="15" hidden="false" customHeight="true" outlineLevel="0" collapsed="false">
      <c r="H781" s="14" t="b">
        <f aca="false">IF(중복검사!$A779="",FALSE(),중복검사!$J779="유지")</f>
        <v>0</v>
      </c>
      <c r="I781" s="5" t="str">
        <f aca="false">IF($H781=FALSE(),"",COUNTIF($H$6:$H781,TRUE()))</f>
        <v/>
      </c>
      <c r="J781" s="5" t="str">
        <f aca="false">IF($I781="","","R"&amp;$I781)</f>
        <v/>
      </c>
    </row>
    <row r="782" customFormat="false" ht="15" hidden="false" customHeight="true" outlineLevel="0" collapsed="false">
      <c r="H782" s="14" t="b">
        <f aca="false">IF(중복검사!$A780="",FALSE(),중복검사!$J780="유지")</f>
        <v>0</v>
      </c>
      <c r="I782" s="5" t="str">
        <f aca="false">IF($H782=FALSE(),"",COUNTIF($H$6:$H782,TRUE()))</f>
        <v/>
      </c>
      <c r="J782" s="5" t="str">
        <f aca="false">IF($I782="","","R"&amp;$I782)</f>
        <v/>
      </c>
    </row>
    <row r="783" customFormat="false" ht="15" hidden="false" customHeight="true" outlineLevel="0" collapsed="false">
      <c r="H783" s="14" t="b">
        <f aca="false">IF(중복검사!$A781="",FALSE(),중복검사!$J781="유지")</f>
        <v>0</v>
      </c>
      <c r="I783" s="5" t="str">
        <f aca="false">IF($H783=FALSE(),"",COUNTIF($H$6:$H783,TRUE()))</f>
        <v/>
      </c>
      <c r="J783" s="5" t="str">
        <f aca="false">IF($I783="","","R"&amp;$I783)</f>
        <v/>
      </c>
    </row>
    <row r="784" customFormat="false" ht="15" hidden="false" customHeight="true" outlineLevel="0" collapsed="false">
      <c r="H784" s="14" t="b">
        <f aca="false">IF(중복검사!$A782="",FALSE(),중복검사!$J782="유지")</f>
        <v>0</v>
      </c>
      <c r="I784" s="5" t="str">
        <f aca="false">IF($H784=FALSE(),"",COUNTIF($H$6:$H784,TRUE()))</f>
        <v/>
      </c>
      <c r="J784" s="5" t="str">
        <f aca="false">IF($I784="","","R"&amp;$I784)</f>
        <v/>
      </c>
    </row>
    <row r="785" customFormat="false" ht="15" hidden="false" customHeight="true" outlineLevel="0" collapsed="false">
      <c r="H785" s="14" t="b">
        <f aca="false">IF(중복검사!$A783="",FALSE(),중복검사!$J783="유지")</f>
        <v>0</v>
      </c>
      <c r="I785" s="5" t="str">
        <f aca="false">IF($H785=FALSE(),"",COUNTIF($H$6:$H785,TRUE()))</f>
        <v/>
      </c>
      <c r="J785" s="5" t="str">
        <f aca="false">IF($I785="","","R"&amp;$I785)</f>
        <v/>
      </c>
    </row>
    <row r="786" customFormat="false" ht="15" hidden="false" customHeight="true" outlineLevel="0" collapsed="false">
      <c r="H786" s="14" t="b">
        <f aca="false">IF(중복검사!$A784="",FALSE(),중복검사!$J784="유지")</f>
        <v>0</v>
      </c>
      <c r="I786" s="5" t="str">
        <f aca="false">IF($H786=FALSE(),"",COUNTIF($H$6:$H786,TRUE()))</f>
        <v/>
      </c>
      <c r="J786" s="5" t="str">
        <f aca="false">IF($I786="","","R"&amp;$I786)</f>
        <v/>
      </c>
    </row>
    <row r="787" customFormat="false" ht="15" hidden="false" customHeight="true" outlineLevel="0" collapsed="false">
      <c r="H787" s="14" t="b">
        <f aca="false">IF(중복검사!$A785="",FALSE(),중복검사!$J785="유지")</f>
        <v>0</v>
      </c>
      <c r="I787" s="5" t="str">
        <f aca="false">IF($H787=FALSE(),"",COUNTIF($H$6:$H787,TRUE()))</f>
        <v/>
      </c>
      <c r="J787" s="5" t="str">
        <f aca="false">IF($I787="","","R"&amp;$I787)</f>
        <v/>
      </c>
    </row>
    <row r="788" customFormat="false" ht="15" hidden="false" customHeight="true" outlineLevel="0" collapsed="false">
      <c r="H788" s="14" t="b">
        <f aca="false">IF(중복검사!$A786="",FALSE(),중복검사!$J786="유지")</f>
        <v>0</v>
      </c>
      <c r="I788" s="5" t="str">
        <f aca="false">IF($H788=FALSE(),"",COUNTIF($H$6:$H788,TRUE()))</f>
        <v/>
      </c>
      <c r="J788" s="5" t="str">
        <f aca="false">IF($I788="","","R"&amp;$I788)</f>
        <v/>
      </c>
    </row>
    <row r="789" customFormat="false" ht="15" hidden="false" customHeight="true" outlineLevel="0" collapsed="false">
      <c r="H789" s="14" t="b">
        <f aca="false">IF(중복검사!$A787="",FALSE(),중복검사!$J787="유지")</f>
        <v>0</v>
      </c>
      <c r="I789" s="5" t="str">
        <f aca="false">IF($H789=FALSE(),"",COUNTIF($H$6:$H789,TRUE()))</f>
        <v/>
      </c>
      <c r="J789" s="5" t="str">
        <f aca="false">IF($I789="","","R"&amp;$I789)</f>
        <v/>
      </c>
    </row>
    <row r="790" customFormat="false" ht="15" hidden="false" customHeight="true" outlineLevel="0" collapsed="false">
      <c r="H790" s="14" t="b">
        <f aca="false">IF(중복검사!$A788="",FALSE(),중복검사!$J788="유지")</f>
        <v>0</v>
      </c>
      <c r="I790" s="5" t="str">
        <f aca="false">IF($H790=FALSE(),"",COUNTIF($H$6:$H790,TRUE()))</f>
        <v/>
      </c>
      <c r="J790" s="5" t="str">
        <f aca="false">IF($I790="","","R"&amp;$I790)</f>
        <v/>
      </c>
    </row>
    <row r="791" customFormat="false" ht="15" hidden="false" customHeight="true" outlineLevel="0" collapsed="false">
      <c r="H791" s="14" t="b">
        <f aca="false">IF(중복검사!$A789="",FALSE(),중복검사!$J789="유지")</f>
        <v>0</v>
      </c>
      <c r="I791" s="5" t="str">
        <f aca="false">IF($H791=FALSE(),"",COUNTIF($H$6:$H791,TRUE()))</f>
        <v/>
      </c>
      <c r="J791" s="5" t="str">
        <f aca="false">IF($I791="","","R"&amp;$I791)</f>
        <v/>
      </c>
    </row>
    <row r="792" customFormat="false" ht="15" hidden="false" customHeight="true" outlineLevel="0" collapsed="false">
      <c r="H792" s="14" t="b">
        <f aca="false">IF(중복검사!$A790="",FALSE(),중복검사!$J790="유지")</f>
        <v>0</v>
      </c>
      <c r="I792" s="5" t="str">
        <f aca="false">IF($H792=FALSE(),"",COUNTIF($H$6:$H792,TRUE()))</f>
        <v/>
      </c>
      <c r="J792" s="5" t="str">
        <f aca="false">IF($I792="","","R"&amp;$I792)</f>
        <v/>
      </c>
    </row>
    <row r="793" customFormat="false" ht="15" hidden="false" customHeight="true" outlineLevel="0" collapsed="false">
      <c r="H793" s="14" t="b">
        <f aca="false">IF(중복검사!$A791="",FALSE(),중복검사!$J791="유지")</f>
        <v>0</v>
      </c>
      <c r="I793" s="5" t="str">
        <f aca="false">IF($H793=FALSE(),"",COUNTIF($H$6:$H793,TRUE()))</f>
        <v/>
      </c>
      <c r="J793" s="5" t="str">
        <f aca="false">IF($I793="","","R"&amp;$I793)</f>
        <v/>
      </c>
    </row>
    <row r="794" customFormat="false" ht="15" hidden="false" customHeight="true" outlineLevel="0" collapsed="false">
      <c r="H794" s="14" t="b">
        <f aca="false">IF(중복검사!$A792="",FALSE(),중복검사!$J792="유지")</f>
        <v>0</v>
      </c>
      <c r="I794" s="5" t="str">
        <f aca="false">IF($H794=FALSE(),"",COUNTIF($H$6:$H794,TRUE()))</f>
        <v/>
      </c>
      <c r="J794" s="5" t="str">
        <f aca="false">IF($I794="","","R"&amp;$I794)</f>
        <v/>
      </c>
    </row>
    <row r="795" customFormat="false" ht="15" hidden="false" customHeight="true" outlineLevel="0" collapsed="false">
      <c r="H795" s="14" t="b">
        <f aca="false">IF(중복검사!$A793="",FALSE(),중복검사!$J793="유지")</f>
        <v>0</v>
      </c>
      <c r="I795" s="5" t="str">
        <f aca="false">IF($H795=FALSE(),"",COUNTIF($H$6:$H795,TRUE()))</f>
        <v/>
      </c>
      <c r="J795" s="5" t="str">
        <f aca="false">IF($I795="","","R"&amp;$I795)</f>
        <v/>
      </c>
    </row>
    <row r="796" customFormat="false" ht="15" hidden="false" customHeight="true" outlineLevel="0" collapsed="false">
      <c r="H796" s="14" t="b">
        <f aca="false">IF(중복검사!$A794="",FALSE(),중복검사!$J794="유지")</f>
        <v>0</v>
      </c>
      <c r="I796" s="5" t="str">
        <f aca="false">IF($H796=FALSE(),"",COUNTIF($H$6:$H796,TRUE()))</f>
        <v/>
      </c>
      <c r="J796" s="5" t="str">
        <f aca="false">IF($I796="","","R"&amp;$I796)</f>
        <v/>
      </c>
    </row>
    <row r="797" customFormat="false" ht="15" hidden="false" customHeight="true" outlineLevel="0" collapsed="false">
      <c r="H797" s="14" t="b">
        <f aca="false">IF(중복검사!$A795="",FALSE(),중복검사!$J795="유지")</f>
        <v>0</v>
      </c>
      <c r="I797" s="5" t="str">
        <f aca="false">IF($H797=FALSE(),"",COUNTIF($H$6:$H797,TRUE()))</f>
        <v/>
      </c>
      <c r="J797" s="5" t="str">
        <f aca="false">IF($I797="","","R"&amp;$I797)</f>
        <v/>
      </c>
    </row>
    <row r="798" customFormat="false" ht="15" hidden="false" customHeight="true" outlineLevel="0" collapsed="false">
      <c r="H798" s="14" t="b">
        <f aca="false">IF(중복검사!$A796="",FALSE(),중복검사!$J796="유지")</f>
        <v>0</v>
      </c>
      <c r="I798" s="5" t="str">
        <f aca="false">IF($H798=FALSE(),"",COUNTIF($H$6:$H798,TRUE()))</f>
        <v/>
      </c>
      <c r="J798" s="5" t="str">
        <f aca="false">IF($I798="","","R"&amp;$I798)</f>
        <v/>
      </c>
    </row>
    <row r="799" customFormat="false" ht="15" hidden="false" customHeight="true" outlineLevel="0" collapsed="false">
      <c r="H799" s="14" t="b">
        <f aca="false">IF(중복검사!$A797="",FALSE(),중복검사!$J797="유지")</f>
        <v>0</v>
      </c>
      <c r="I799" s="5" t="str">
        <f aca="false">IF($H799=FALSE(),"",COUNTIF($H$6:$H799,TRUE()))</f>
        <v/>
      </c>
      <c r="J799" s="5" t="str">
        <f aca="false">IF($I799="","","R"&amp;$I799)</f>
        <v/>
      </c>
    </row>
    <row r="800" customFormat="false" ht="15" hidden="false" customHeight="true" outlineLevel="0" collapsed="false">
      <c r="H800" s="14" t="b">
        <f aca="false">IF(중복검사!$A798="",FALSE(),중복검사!$J798="유지")</f>
        <v>0</v>
      </c>
      <c r="I800" s="5" t="str">
        <f aca="false">IF($H800=FALSE(),"",COUNTIF($H$6:$H800,TRUE()))</f>
        <v/>
      </c>
      <c r="J800" s="5" t="str">
        <f aca="false">IF($I800="","","R"&amp;$I800)</f>
        <v/>
      </c>
    </row>
    <row r="801" customFormat="false" ht="15" hidden="false" customHeight="true" outlineLevel="0" collapsed="false">
      <c r="H801" s="14" t="b">
        <f aca="false">IF(중복검사!$A799="",FALSE(),중복검사!$J799="유지")</f>
        <v>0</v>
      </c>
      <c r="I801" s="5" t="str">
        <f aca="false">IF($H801=FALSE(),"",COUNTIF($H$6:$H801,TRUE()))</f>
        <v/>
      </c>
      <c r="J801" s="5" t="str">
        <f aca="false">IF($I801="","","R"&amp;$I801)</f>
        <v/>
      </c>
    </row>
    <row r="802" customFormat="false" ht="15" hidden="false" customHeight="true" outlineLevel="0" collapsed="false">
      <c r="H802" s="14" t="b">
        <f aca="false">IF(중복검사!$A800="",FALSE(),중복검사!$J800="유지")</f>
        <v>0</v>
      </c>
      <c r="I802" s="5" t="str">
        <f aca="false">IF($H802=FALSE(),"",COUNTIF($H$6:$H802,TRUE()))</f>
        <v/>
      </c>
      <c r="J802" s="5" t="str">
        <f aca="false">IF($I802="","","R"&amp;$I802)</f>
        <v/>
      </c>
    </row>
    <row r="803" customFormat="false" ht="15" hidden="false" customHeight="true" outlineLevel="0" collapsed="false">
      <c r="H803" s="14" t="b">
        <f aca="false">IF(중복검사!$A801="",FALSE(),중복검사!$J801="유지")</f>
        <v>0</v>
      </c>
      <c r="I803" s="5" t="str">
        <f aca="false">IF($H803=FALSE(),"",COUNTIF($H$6:$H803,TRUE()))</f>
        <v/>
      </c>
      <c r="J803" s="5" t="str">
        <f aca="false">IF($I803="","","R"&amp;$I803)</f>
        <v/>
      </c>
    </row>
    <row r="804" customFormat="false" ht="15" hidden="false" customHeight="true" outlineLevel="0" collapsed="false">
      <c r="H804" s="14" t="b">
        <f aca="false">IF(중복검사!$A802="",FALSE(),중복검사!$J802="유지")</f>
        <v>0</v>
      </c>
      <c r="I804" s="5" t="str">
        <f aca="false">IF($H804=FALSE(),"",COUNTIF($H$6:$H804,TRUE()))</f>
        <v/>
      </c>
      <c r="J804" s="5" t="str">
        <f aca="false">IF($I804="","","R"&amp;$I804)</f>
        <v/>
      </c>
    </row>
    <row r="805" customFormat="false" ht="15" hidden="false" customHeight="true" outlineLevel="0" collapsed="false">
      <c r="H805" s="14" t="b">
        <f aca="false">IF(중복검사!$A803="",FALSE(),중복검사!$J803="유지")</f>
        <v>0</v>
      </c>
      <c r="I805" s="5" t="str">
        <f aca="false">IF($H805=FALSE(),"",COUNTIF($H$6:$H805,TRUE()))</f>
        <v/>
      </c>
      <c r="J805" s="5" t="str">
        <f aca="false">IF($I805="","","R"&amp;$I805)</f>
        <v/>
      </c>
    </row>
    <row r="806" customFormat="false" ht="15" hidden="false" customHeight="true" outlineLevel="0" collapsed="false">
      <c r="H806" s="14" t="b">
        <f aca="false">IF(중복검사!$A804="",FALSE(),중복검사!$J804="유지")</f>
        <v>0</v>
      </c>
      <c r="I806" s="5" t="str">
        <f aca="false">IF($H806=FALSE(),"",COUNTIF($H$6:$H806,TRUE()))</f>
        <v/>
      </c>
      <c r="J806" s="5" t="str">
        <f aca="false">IF($I806="","","R"&amp;$I806)</f>
        <v/>
      </c>
    </row>
    <row r="807" customFormat="false" ht="15" hidden="false" customHeight="true" outlineLevel="0" collapsed="false">
      <c r="H807" s="14" t="b">
        <f aca="false">IF(중복검사!$A805="",FALSE(),중복검사!$J805="유지")</f>
        <v>0</v>
      </c>
      <c r="I807" s="5" t="str">
        <f aca="false">IF($H807=FALSE(),"",COUNTIF($H$6:$H807,TRUE()))</f>
        <v/>
      </c>
      <c r="J807" s="5" t="str">
        <f aca="false">IF($I807="","","R"&amp;$I807)</f>
        <v/>
      </c>
    </row>
    <row r="808" customFormat="false" ht="15" hidden="false" customHeight="true" outlineLevel="0" collapsed="false">
      <c r="H808" s="14" t="b">
        <f aca="false">IF(중복검사!$A806="",FALSE(),중복검사!$J806="유지")</f>
        <v>0</v>
      </c>
      <c r="I808" s="5" t="str">
        <f aca="false">IF($H808=FALSE(),"",COUNTIF($H$6:$H808,TRUE()))</f>
        <v/>
      </c>
      <c r="J808" s="5" t="str">
        <f aca="false">IF($I808="","","R"&amp;$I808)</f>
        <v/>
      </c>
    </row>
    <row r="809" customFormat="false" ht="15" hidden="false" customHeight="true" outlineLevel="0" collapsed="false">
      <c r="H809" s="14" t="b">
        <f aca="false">IF(중복검사!$A807="",FALSE(),중복검사!$J807="유지")</f>
        <v>0</v>
      </c>
      <c r="I809" s="5" t="str">
        <f aca="false">IF($H809=FALSE(),"",COUNTIF($H$6:$H809,TRUE()))</f>
        <v/>
      </c>
      <c r="J809" s="5" t="str">
        <f aca="false">IF($I809="","","R"&amp;$I809)</f>
        <v/>
      </c>
    </row>
    <row r="810" customFormat="false" ht="15" hidden="false" customHeight="true" outlineLevel="0" collapsed="false">
      <c r="H810" s="14" t="b">
        <f aca="false">IF(중복검사!$A808="",FALSE(),중복검사!$J808="유지")</f>
        <v>0</v>
      </c>
      <c r="I810" s="5" t="str">
        <f aca="false">IF($H810=FALSE(),"",COUNTIF($H$6:$H810,TRUE()))</f>
        <v/>
      </c>
      <c r="J810" s="5" t="str">
        <f aca="false">IF($I810="","","R"&amp;$I810)</f>
        <v/>
      </c>
    </row>
    <row r="811" customFormat="false" ht="15" hidden="false" customHeight="true" outlineLevel="0" collapsed="false">
      <c r="H811" s="14" t="b">
        <f aca="false">IF(중복검사!$A809="",FALSE(),중복검사!$J809="유지")</f>
        <v>0</v>
      </c>
      <c r="I811" s="5" t="str">
        <f aca="false">IF($H811=FALSE(),"",COUNTIF($H$6:$H811,TRUE()))</f>
        <v/>
      </c>
      <c r="J811" s="5" t="str">
        <f aca="false">IF($I811="","","R"&amp;$I811)</f>
        <v/>
      </c>
    </row>
    <row r="812" customFormat="false" ht="15" hidden="false" customHeight="true" outlineLevel="0" collapsed="false">
      <c r="H812" s="14" t="b">
        <f aca="false">IF(중복검사!$A810="",FALSE(),중복검사!$J810="유지")</f>
        <v>0</v>
      </c>
      <c r="I812" s="5" t="str">
        <f aca="false">IF($H812=FALSE(),"",COUNTIF($H$6:$H812,TRUE()))</f>
        <v/>
      </c>
      <c r="J812" s="5" t="str">
        <f aca="false">IF($I812="","","R"&amp;$I812)</f>
        <v/>
      </c>
    </row>
    <row r="813" customFormat="false" ht="15" hidden="false" customHeight="true" outlineLevel="0" collapsed="false">
      <c r="H813" s="14" t="b">
        <f aca="false">IF(중복검사!$A811="",FALSE(),중복검사!$J811="유지")</f>
        <v>0</v>
      </c>
      <c r="I813" s="5" t="str">
        <f aca="false">IF($H813=FALSE(),"",COUNTIF($H$6:$H813,TRUE()))</f>
        <v/>
      </c>
      <c r="J813" s="5" t="str">
        <f aca="false">IF($I813="","","R"&amp;$I813)</f>
        <v/>
      </c>
    </row>
    <row r="814" customFormat="false" ht="15" hidden="false" customHeight="true" outlineLevel="0" collapsed="false">
      <c r="H814" s="14" t="b">
        <f aca="false">IF(중복검사!$A812="",FALSE(),중복검사!$J812="유지")</f>
        <v>0</v>
      </c>
      <c r="I814" s="5" t="str">
        <f aca="false">IF($H814=FALSE(),"",COUNTIF($H$6:$H814,TRUE()))</f>
        <v/>
      </c>
      <c r="J814" s="5" t="str">
        <f aca="false">IF($I814="","","R"&amp;$I814)</f>
        <v/>
      </c>
    </row>
    <row r="815" customFormat="false" ht="15" hidden="false" customHeight="true" outlineLevel="0" collapsed="false">
      <c r="H815" s="14" t="b">
        <f aca="false">IF(중복검사!$A813="",FALSE(),중복검사!$J813="유지")</f>
        <v>0</v>
      </c>
      <c r="I815" s="5" t="str">
        <f aca="false">IF($H815=FALSE(),"",COUNTIF($H$6:$H815,TRUE()))</f>
        <v/>
      </c>
      <c r="J815" s="5" t="str">
        <f aca="false">IF($I815="","","R"&amp;$I815)</f>
        <v/>
      </c>
    </row>
    <row r="816" customFormat="false" ht="15" hidden="false" customHeight="true" outlineLevel="0" collapsed="false">
      <c r="H816" s="14" t="b">
        <f aca="false">IF(중복검사!$A814="",FALSE(),중복검사!$J814="유지")</f>
        <v>0</v>
      </c>
      <c r="I816" s="5" t="str">
        <f aca="false">IF($H816=FALSE(),"",COUNTIF($H$6:$H816,TRUE()))</f>
        <v/>
      </c>
      <c r="J816" s="5" t="str">
        <f aca="false">IF($I816="","","R"&amp;$I816)</f>
        <v/>
      </c>
    </row>
    <row r="817" customFormat="false" ht="15" hidden="false" customHeight="true" outlineLevel="0" collapsed="false">
      <c r="H817" s="14" t="b">
        <f aca="false">IF(중복검사!$A815="",FALSE(),중복검사!$J815="유지")</f>
        <v>0</v>
      </c>
      <c r="I817" s="5" t="str">
        <f aca="false">IF($H817=FALSE(),"",COUNTIF($H$6:$H817,TRUE()))</f>
        <v/>
      </c>
      <c r="J817" s="5" t="str">
        <f aca="false">IF($I817="","","R"&amp;$I817)</f>
        <v/>
      </c>
    </row>
    <row r="818" customFormat="false" ht="15" hidden="false" customHeight="true" outlineLevel="0" collapsed="false">
      <c r="H818" s="14" t="b">
        <f aca="false">IF(중복검사!$A816="",FALSE(),중복검사!$J816="유지")</f>
        <v>0</v>
      </c>
      <c r="I818" s="5" t="str">
        <f aca="false">IF($H818=FALSE(),"",COUNTIF($H$6:$H818,TRUE()))</f>
        <v/>
      </c>
      <c r="J818" s="5" t="str">
        <f aca="false">IF($I818="","","R"&amp;$I818)</f>
        <v/>
      </c>
    </row>
    <row r="819" customFormat="false" ht="15" hidden="false" customHeight="true" outlineLevel="0" collapsed="false">
      <c r="H819" s="14" t="b">
        <f aca="false">IF(중복검사!$A817="",FALSE(),중복검사!$J817="유지")</f>
        <v>0</v>
      </c>
      <c r="I819" s="5" t="str">
        <f aca="false">IF($H819=FALSE(),"",COUNTIF($H$6:$H819,TRUE()))</f>
        <v/>
      </c>
      <c r="J819" s="5" t="str">
        <f aca="false">IF($I819="","","R"&amp;$I819)</f>
        <v/>
      </c>
    </row>
    <row r="820" customFormat="false" ht="15" hidden="false" customHeight="true" outlineLevel="0" collapsed="false">
      <c r="H820" s="14" t="b">
        <f aca="false">IF(중복검사!$A818="",FALSE(),중복검사!$J818="유지")</f>
        <v>0</v>
      </c>
      <c r="I820" s="5" t="str">
        <f aca="false">IF($H820=FALSE(),"",COUNTIF($H$6:$H820,TRUE()))</f>
        <v/>
      </c>
      <c r="J820" s="5" t="str">
        <f aca="false">IF($I820="","","R"&amp;$I820)</f>
        <v/>
      </c>
    </row>
    <row r="821" customFormat="false" ht="15" hidden="false" customHeight="true" outlineLevel="0" collapsed="false">
      <c r="H821" s="14" t="b">
        <f aca="false">IF(중복검사!$A819="",FALSE(),중복검사!$J819="유지")</f>
        <v>0</v>
      </c>
      <c r="I821" s="5" t="str">
        <f aca="false">IF($H821=FALSE(),"",COUNTIF($H$6:$H821,TRUE()))</f>
        <v/>
      </c>
      <c r="J821" s="5" t="str">
        <f aca="false">IF($I821="","","R"&amp;$I821)</f>
        <v/>
      </c>
    </row>
    <row r="822" customFormat="false" ht="15" hidden="false" customHeight="true" outlineLevel="0" collapsed="false">
      <c r="H822" s="14" t="b">
        <f aca="false">IF(중복검사!$A820="",FALSE(),중복검사!$J820="유지")</f>
        <v>0</v>
      </c>
      <c r="I822" s="5" t="str">
        <f aca="false">IF($H822=FALSE(),"",COUNTIF($H$6:$H822,TRUE()))</f>
        <v/>
      </c>
      <c r="J822" s="5" t="str">
        <f aca="false">IF($I822="","","R"&amp;$I822)</f>
        <v/>
      </c>
    </row>
    <row r="823" customFormat="false" ht="15" hidden="false" customHeight="true" outlineLevel="0" collapsed="false">
      <c r="H823" s="14" t="b">
        <f aca="false">IF(중복검사!$A821="",FALSE(),중복검사!$J821="유지")</f>
        <v>0</v>
      </c>
      <c r="I823" s="5" t="str">
        <f aca="false">IF($H823=FALSE(),"",COUNTIF($H$6:$H823,TRUE()))</f>
        <v/>
      </c>
      <c r="J823" s="5" t="str">
        <f aca="false">IF($I823="","","R"&amp;$I823)</f>
        <v/>
      </c>
    </row>
    <row r="824" customFormat="false" ht="15" hidden="false" customHeight="true" outlineLevel="0" collapsed="false">
      <c r="H824" s="14" t="b">
        <f aca="false">IF(중복검사!$A822="",FALSE(),중복검사!$J822="유지")</f>
        <v>0</v>
      </c>
      <c r="I824" s="5" t="str">
        <f aca="false">IF($H824=FALSE(),"",COUNTIF($H$6:$H824,TRUE()))</f>
        <v/>
      </c>
      <c r="J824" s="5" t="str">
        <f aca="false">IF($I824="","","R"&amp;$I824)</f>
        <v/>
      </c>
    </row>
    <row r="825" customFormat="false" ht="15" hidden="false" customHeight="true" outlineLevel="0" collapsed="false">
      <c r="H825" s="14" t="b">
        <f aca="false">IF(중복검사!$A823="",FALSE(),중복검사!$J823="유지")</f>
        <v>0</v>
      </c>
      <c r="I825" s="5" t="str">
        <f aca="false">IF($H825=FALSE(),"",COUNTIF($H$6:$H825,TRUE()))</f>
        <v/>
      </c>
      <c r="J825" s="5" t="str">
        <f aca="false">IF($I825="","","R"&amp;$I825)</f>
        <v/>
      </c>
    </row>
    <row r="826" customFormat="false" ht="15" hidden="false" customHeight="true" outlineLevel="0" collapsed="false">
      <c r="H826" s="14" t="b">
        <f aca="false">IF(중복검사!$A824="",FALSE(),중복검사!$J824="유지")</f>
        <v>0</v>
      </c>
      <c r="I826" s="5" t="str">
        <f aca="false">IF($H826=FALSE(),"",COUNTIF($H$6:$H826,TRUE()))</f>
        <v/>
      </c>
      <c r="J826" s="5" t="str">
        <f aca="false">IF($I826="","","R"&amp;$I826)</f>
        <v/>
      </c>
    </row>
    <row r="827" customFormat="false" ht="15" hidden="false" customHeight="true" outlineLevel="0" collapsed="false">
      <c r="H827" s="14" t="b">
        <f aca="false">IF(중복검사!$A825="",FALSE(),중복검사!$J825="유지")</f>
        <v>0</v>
      </c>
      <c r="I827" s="5" t="str">
        <f aca="false">IF($H827=FALSE(),"",COUNTIF($H$6:$H827,TRUE()))</f>
        <v/>
      </c>
      <c r="J827" s="5" t="str">
        <f aca="false">IF($I827="","","R"&amp;$I827)</f>
        <v/>
      </c>
    </row>
    <row r="828" customFormat="false" ht="15" hidden="false" customHeight="true" outlineLevel="0" collapsed="false">
      <c r="H828" s="14" t="b">
        <f aca="false">IF(중복검사!$A826="",FALSE(),중복검사!$J826="유지")</f>
        <v>0</v>
      </c>
      <c r="I828" s="5" t="str">
        <f aca="false">IF($H828=FALSE(),"",COUNTIF($H$6:$H828,TRUE()))</f>
        <v/>
      </c>
      <c r="J828" s="5" t="str">
        <f aca="false">IF($I828="","","R"&amp;$I828)</f>
        <v/>
      </c>
    </row>
    <row r="829" customFormat="false" ht="15" hidden="false" customHeight="true" outlineLevel="0" collapsed="false">
      <c r="H829" s="14" t="b">
        <f aca="false">IF(중복검사!$A827="",FALSE(),중복검사!$J827="유지")</f>
        <v>0</v>
      </c>
      <c r="I829" s="5" t="str">
        <f aca="false">IF($H829=FALSE(),"",COUNTIF($H$6:$H829,TRUE()))</f>
        <v/>
      </c>
      <c r="J829" s="5" t="str">
        <f aca="false">IF($I829="","","R"&amp;$I829)</f>
        <v/>
      </c>
    </row>
    <row r="830" customFormat="false" ht="15" hidden="false" customHeight="true" outlineLevel="0" collapsed="false">
      <c r="H830" s="14" t="b">
        <f aca="false">IF(중복검사!$A828="",FALSE(),중복검사!$J828="유지")</f>
        <v>0</v>
      </c>
      <c r="I830" s="5" t="str">
        <f aca="false">IF($H830=FALSE(),"",COUNTIF($H$6:$H830,TRUE()))</f>
        <v/>
      </c>
      <c r="J830" s="5" t="str">
        <f aca="false">IF($I830="","","R"&amp;$I830)</f>
        <v/>
      </c>
    </row>
    <row r="831" customFormat="false" ht="15" hidden="false" customHeight="true" outlineLevel="0" collapsed="false">
      <c r="H831" s="14" t="b">
        <f aca="false">IF(중복검사!$A829="",FALSE(),중복검사!$J829="유지")</f>
        <v>0</v>
      </c>
      <c r="I831" s="5" t="str">
        <f aca="false">IF($H831=FALSE(),"",COUNTIF($H$6:$H831,TRUE()))</f>
        <v/>
      </c>
      <c r="J831" s="5" t="str">
        <f aca="false">IF($I831="","","R"&amp;$I831)</f>
        <v/>
      </c>
    </row>
    <row r="832" customFormat="false" ht="15" hidden="false" customHeight="true" outlineLevel="0" collapsed="false">
      <c r="H832" s="14" t="b">
        <f aca="false">IF(중복검사!$A830="",FALSE(),중복검사!$J830="유지")</f>
        <v>0</v>
      </c>
      <c r="I832" s="5" t="str">
        <f aca="false">IF($H832=FALSE(),"",COUNTIF($H$6:$H832,TRUE()))</f>
        <v/>
      </c>
      <c r="J832" s="5" t="str">
        <f aca="false">IF($I832="","","R"&amp;$I832)</f>
        <v/>
      </c>
    </row>
    <row r="833" customFormat="false" ht="15" hidden="false" customHeight="true" outlineLevel="0" collapsed="false">
      <c r="H833" s="14" t="b">
        <f aca="false">IF(중복검사!$A831="",FALSE(),중복검사!$J831="유지")</f>
        <v>0</v>
      </c>
      <c r="I833" s="5" t="str">
        <f aca="false">IF($H833=FALSE(),"",COUNTIF($H$6:$H833,TRUE()))</f>
        <v/>
      </c>
      <c r="J833" s="5" t="str">
        <f aca="false">IF($I833="","","R"&amp;$I833)</f>
        <v/>
      </c>
    </row>
    <row r="834" customFormat="false" ht="15" hidden="false" customHeight="true" outlineLevel="0" collapsed="false">
      <c r="H834" s="14" t="b">
        <f aca="false">IF(중복검사!$A832="",FALSE(),중복검사!$J832="유지")</f>
        <v>0</v>
      </c>
      <c r="I834" s="5" t="str">
        <f aca="false">IF($H834=FALSE(),"",COUNTIF($H$6:$H834,TRUE()))</f>
        <v/>
      </c>
      <c r="J834" s="5" t="str">
        <f aca="false">IF($I834="","","R"&amp;$I834)</f>
        <v/>
      </c>
    </row>
    <row r="835" customFormat="false" ht="15" hidden="false" customHeight="true" outlineLevel="0" collapsed="false">
      <c r="H835" s="14" t="b">
        <f aca="false">IF(중복검사!$A833="",FALSE(),중복검사!$J833="유지")</f>
        <v>0</v>
      </c>
      <c r="I835" s="5" t="str">
        <f aca="false">IF($H835=FALSE(),"",COUNTIF($H$6:$H835,TRUE()))</f>
        <v/>
      </c>
      <c r="J835" s="5" t="str">
        <f aca="false">IF($I835="","","R"&amp;$I835)</f>
        <v/>
      </c>
    </row>
    <row r="836" customFormat="false" ht="15" hidden="false" customHeight="true" outlineLevel="0" collapsed="false">
      <c r="H836" s="14" t="b">
        <f aca="false">IF(중복검사!$A834="",FALSE(),중복검사!$J834="유지")</f>
        <v>0</v>
      </c>
      <c r="I836" s="5" t="str">
        <f aca="false">IF($H836=FALSE(),"",COUNTIF($H$6:$H836,TRUE()))</f>
        <v/>
      </c>
      <c r="J836" s="5" t="str">
        <f aca="false">IF($I836="","","R"&amp;$I836)</f>
        <v/>
      </c>
    </row>
    <row r="837" customFormat="false" ht="15" hidden="false" customHeight="true" outlineLevel="0" collapsed="false">
      <c r="H837" s="14" t="b">
        <f aca="false">IF(중복검사!$A835="",FALSE(),중복검사!$J835="유지")</f>
        <v>0</v>
      </c>
      <c r="I837" s="5" t="str">
        <f aca="false">IF($H837=FALSE(),"",COUNTIF($H$6:$H837,TRUE()))</f>
        <v/>
      </c>
      <c r="J837" s="5" t="str">
        <f aca="false">IF($I837="","","R"&amp;$I837)</f>
        <v/>
      </c>
    </row>
    <row r="838" customFormat="false" ht="15" hidden="false" customHeight="true" outlineLevel="0" collapsed="false">
      <c r="H838" s="14" t="b">
        <f aca="false">IF(중복검사!$A836="",FALSE(),중복검사!$J836="유지")</f>
        <v>0</v>
      </c>
      <c r="I838" s="5" t="str">
        <f aca="false">IF($H838=FALSE(),"",COUNTIF($H$6:$H838,TRUE()))</f>
        <v/>
      </c>
      <c r="J838" s="5" t="str">
        <f aca="false">IF($I838="","","R"&amp;$I838)</f>
        <v/>
      </c>
    </row>
    <row r="839" customFormat="false" ht="15" hidden="false" customHeight="true" outlineLevel="0" collapsed="false">
      <c r="H839" s="14" t="b">
        <f aca="false">IF(중복검사!$A837="",FALSE(),중복검사!$J837="유지")</f>
        <v>0</v>
      </c>
      <c r="I839" s="5" t="str">
        <f aca="false">IF($H839=FALSE(),"",COUNTIF($H$6:$H839,TRUE()))</f>
        <v/>
      </c>
      <c r="J839" s="5" t="str">
        <f aca="false">IF($I839="","","R"&amp;$I839)</f>
        <v/>
      </c>
    </row>
    <row r="840" customFormat="false" ht="15" hidden="false" customHeight="true" outlineLevel="0" collapsed="false">
      <c r="H840" s="14" t="b">
        <f aca="false">IF(중복검사!$A838="",FALSE(),중복검사!$J838="유지")</f>
        <v>0</v>
      </c>
      <c r="I840" s="5" t="str">
        <f aca="false">IF($H840=FALSE(),"",COUNTIF($H$6:$H840,TRUE()))</f>
        <v/>
      </c>
      <c r="J840" s="5" t="str">
        <f aca="false">IF($I840="","","R"&amp;$I840)</f>
        <v/>
      </c>
    </row>
    <row r="841" customFormat="false" ht="15" hidden="false" customHeight="true" outlineLevel="0" collapsed="false">
      <c r="H841" s="14" t="b">
        <f aca="false">IF(중복검사!$A839="",FALSE(),중복검사!$J839="유지")</f>
        <v>0</v>
      </c>
      <c r="I841" s="5" t="str">
        <f aca="false">IF($H841=FALSE(),"",COUNTIF($H$6:$H841,TRUE()))</f>
        <v/>
      </c>
      <c r="J841" s="5" t="str">
        <f aca="false">IF($I841="","","R"&amp;$I841)</f>
        <v/>
      </c>
    </row>
    <row r="842" customFormat="false" ht="15" hidden="false" customHeight="true" outlineLevel="0" collapsed="false">
      <c r="H842" s="14" t="b">
        <f aca="false">IF(중복검사!$A840="",FALSE(),중복검사!$J840="유지")</f>
        <v>0</v>
      </c>
      <c r="I842" s="5" t="str">
        <f aca="false">IF($H842=FALSE(),"",COUNTIF($H$6:$H842,TRUE()))</f>
        <v/>
      </c>
      <c r="J842" s="5" t="str">
        <f aca="false">IF($I842="","","R"&amp;$I842)</f>
        <v/>
      </c>
    </row>
    <row r="843" customFormat="false" ht="15" hidden="false" customHeight="true" outlineLevel="0" collapsed="false">
      <c r="H843" s="14" t="b">
        <f aca="false">IF(중복검사!$A841="",FALSE(),중복검사!$J841="유지")</f>
        <v>0</v>
      </c>
      <c r="I843" s="5" t="str">
        <f aca="false">IF($H843=FALSE(),"",COUNTIF($H$6:$H843,TRUE()))</f>
        <v/>
      </c>
      <c r="J843" s="5" t="str">
        <f aca="false">IF($I843="","","R"&amp;$I843)</f>
        <v/>
      </c>
    </row>
    <row r="844" customFormat="false" ht="15" hidden="false" customHeight="true" outlineLevel="0" collapsed="false">
      <c r="H844" s="14" t="b">
        <f aca="false">IF(중복검사!$A842="",FALSE(),중복검사!$J842="유지")</f>
        <v>0</v>
      </c>
      <c r="I844" s="5" t="str">
        <f aca="false">IF($H844=FALSE(),"",COUNTIF($H$6:$H844,TRUE()))</f>
        <v/>
      </c>
      <c r="J844" s="5" t="str">
        <f aca="false">IF($I844="","","R"&amp;$I844)</f>
        <v/>
      </c>
    </row>
    <row r="845" customFormat="false" ht="15" hidden="false" customHeight="true" outlineLevel="0" collapsed="false">
      <c r="H845" s="14" t="b">
        <f aca="false">IF(중복검사!$A843="",FALSE(),중복검사!$J843="유지")</f>
        <v>0</v>
      </c>
      <c r="I845" s="5" t="str">
        <f aca="false">IF($H845=FALSE(),"",COUNTIF($H$6:$H845,TRUE()))</f>
        <v/>
      </c>
      <c r="J845" s="5" t="str">
        <f aca="false">IF($I845="","","R"&amp;$I845)</f>
        <v/>
      </c>
    </row>
    <row r="846" customFormat="false" ht="15" hidden="false" customHeight="true" outlineLevel="0" collapsed="false">
      <c r="H846" s="14" t="b">
        <f aca="false">IF(중복검사!$A844="",FALSE(),중복검사!$J844="유지")</f>
        <v>0</v>
      </c>
      <c r="I846" s="5" t="str">
        <f aca="false">IF($H846=FALSE(),"",COUNTIF($H$6:$H846,TRUE()))</f>
        <v/>
      </c>
      <c r="J846" s="5" t="str">
        <f aca="false">IF($I846="","","R"&amp;$I846)</f>
        <v/>
      </c>
    </row>
    <row r="847" customFormat="false" ht="15" hidden="false" customHeight="true" outlineLevel="0" collapsed="false">
      <c r="H847" s="14" t="b">
        <f aca="false">IF(중복검사!$A845="",FALSE(),중복검사!$J845="유지")</f>
        <v>0</v>
      </c>
      <c r="I847" s="5" t="str">
        <f aca="false">IF($H847=FALSE(),"",COUNTIF($H$6:$H847,TRUE()))</f>
        <v/>
      </c>
      <c r="J847" s="5" t="str">
        <f aca="false">IF($I847="","","R"&amp;$I847)</f>
        <v/>
      </c>
    </row>
    <row r="848" customFormat="false" ht="15" hidden="false" customHeight="true" outlineLevel="0" collapsed="false">
      <c r="H848" s="14" t="b">
        <f aca="false">IF(중복검사!$A846="",FALSE(),중복검사!$J846="유지")</f>
        <v>0</v>
      </c>
      <c r="I848" s="5" t="str">
        <f aca="false">IF($H848=FALSE(),"",COUNTIF($H$6:$H848,TRUE()))</f>
        <v/>
      </c>
      <c r="J848" s="5" t="str">
        <f aca="false">IF($I848="","","R"&amp;$I848)</f>
        <v/>
      </c>
    </row>
    <row r="849" customFormat="false" ht="15" hidden="false" customHeight="true" outlineLevel="0" collapsed="false">
      <c r="H849" s="14" t="b">
        <f aca="false">IF(중복검사!$A847="",FALSE(),중복검사!$J847="유지")</f>
        <v>0</v>
      </c>
      <c r="I849" s="5" t="str">
        <f aca="false">IF($H849=FALSE(),"",COUNTIF($H$6:$H849,TRUE()))</f>
        <v/>
      </c>
      <c r="J849" s="5" t="str">
        <f aca="false">IF($I849="","","R"&amp;$I849)</f>
        <v/>
      </c>
    </row>
    <row r="850" customFormat="false" ht="15" hidden="false" customHeight="true" outlineLevel="0" collapsed="false">
      <c r="H850" s="14" t="b">
        <f aca="false">IF(중복검사!$A848="",FALSE(),중복검사!$J848="유지")</f>
        <v>0</v>
      </c>
      <c r="I850" s="5" t="str">
        <f aca="false">IF($H850=FALSE(),"",COUNTIF($H$6:$H850,TRUE()))</f>
        <v/>
      </c>
      <c r="J850" s="5" t="str">
        <f aca="false">IF($I850="","","R"&amp;$I850)</f>
        <v/>
      </c>
    </row>
    <row r="851" customFormat="false" ht="15" hidden="false" customHeight="true" outlineLevel="0" collapsed="false">
      <c r="H851" s="14" t="b">
        <f aca="false">IF(중복검사!$A849="",FALSE(),중복검사!$J849="유지")</f>
        <v>0</v>
      </c>
      <c r="I851" s="5" t="str">
        <f aca="false">IF($H851=FALSE(),"",COUNTIF($H$6:$H851,TRUE()))</f>
        <v/>
      </c>
      <c r="J851" s="5" t="str">
        <f aca="false">IF($I851="","","R"&amp;$I851)</f>
        <v/>
      </c>
    </row>
    <row r="852" customFormat="false" ht="15" hidden="false" customHeight="true" outlineLevel="0" collapsed="false">
      <c r="H852" s="14" t="b">
        <f aca="false">IF(중복검사!$A850="",FALSE(),중복검사!$J850="유지")</f>
        <v>0</v>
      </c>
      <c r="I852" s="5" t="str">
        <f aca="false">IF($H852=FALSE(),"",COUNTIF($H$6:$H852,TRUE()))</f>
        <v/>
      </c>
      <c r="J852" s="5" t="str">
        <f aca="false">IF($I852="","","R"&amp;$I852)</f>
        <v/>
      </c>
    </row>
    <row r="853" customFormat="false" ht="15" hidden="false" customHeight="true" outlineLevel="0" collapsed="false">
      <c r="H853" s="14" t="b">
        <f aca="false">IF(중복검사!$A851="",FALSE(),중복검사!$J851="유지")</f>
        <v>0</v>
      </c>
      <c r="I853" s="5" t="str">
        <f aca="false">IF($H853=FALSE(),"",COUNTIF($H$6:$H853,TRUE()))</f>
        <v/>
      </c>
      <c r="J853" s="5" t="str">
        <f aca="false">IF($I853="","","R"&amp;$I853)</f>
        <v/>
      </c>
    </row>
    <row r="854" customFormat="false" ht="15" hidden="false" customHeight="true" outlineLevel="0" collapsed="false">
      <c r="H854" s="14" t="b">
        <f aca="false">IF(중복검사!$A852="",FALSE(),중복검사!$J852="유지")</f>
        <v>0</v>
      </c>
      <c r="I854" s="5" t="str">
        <f aca="false">IF($H854=FALSE(),"",COUNTIF($H$6:$H854,TRUE()))</f>
        <v/>
      </c>
      <c r="J854" s="5" t="str">
        <f aca="false">IF($I854="","","R"&amp;$I854)</f>
        <v/>
      </c>
    </row>
    <row r="855" customFormat="false" ht="15" hidden="false" customHeight="true" outlineLevel="0" collapsed="false">
      <c r="H855" s="14" t="b">
        <f aca="false">IF(중복검사!$A853="",FALSE(),중복검사!$J853="유지")</f>
        <v>0</v>
      </c>
      <c r="I855" s="5" t="str">
        <f aca="false">IF($H855=FALSE(),"",COUNTIF($H$6:$H855,TRUE()))</f>
        <v/>
      </c>
      <c r="J855" s="5" t="str">
        <f aca="false">IF($I855="","","R"&amp;$I855)</f>
        <v/>
      </c>
    </row>
    <row r="856" customFormat="false" ht="15" hidden="false" customHeight="true" outlineLevel="0" collapsed="false">
      <c r="H856" s="14" t="b">
        <f aca="false">IF(중복검사!$A854="",FALSE(),중복검사!$J854="유지")</f>
        <v>0</v>
      </c>
      <c r="I856" s="5" t="str">
        <f aca="false">IF($H856=FALSE(),"",COUNTIF($H$6:$H856,TRUE()))</f>
        <v/>
      </c>
      <c r="J856" s="5" t="str">
        <f aca="false">IF($I856="","","R"&amp;$I856)</f>
        <v/>
      </c>
    </row>
    <row r="857" customFormat="false" ht="15" hidden="false" customHeight="true" outlineLevel="0" collapsed="false">
      <c r="H857" s="14" t="b">
        <f aca="false">IF(중복검사!$A855="",FALSE(),중복검사!$J855="유지")</f>
        <v>0</v>
      </c>
      <c r="I857" s="5" t="str">
        <f aca="false">IF($H857=FALSE(),"",COUNTIF($H$6:$H857,TRUE()))</f>
        <v/>
      </c>
      <c r="J857" s="5" t="str">
        <f aca="false">IF($I857="","","R"&amp;$I857)</f>
        <v/>
      </c>
    </row>
    <row r="858" customFormat="false" ht="15" hidden="false" customHeight="true" outlineLevel="0" collapsed="false">
      <c r="H858" s="14" t="b">
        <f aca="false">IF(중복검사!$A856="",FALSE(),중복검사!$J856="유지")</f>
        <v>0</v>
      </c>
      <c r="I858" s="5" t="str">
        <f aca="false">IF($H858=FALSE(),"",COUNTIF($H$6:$H858,TRUE()))</f>
        <v/>
      </c>
      <c r="J858" s="5" t="str">
        <f aca="false">IF($I858="","","R"&amp;$I858)</f>
        <v/>
      </c>
    </row>
    <row r="859" customFormat="false" ht="15" hidden="false" customHeight="true" outlineLevel="0" collapsed="false">
      <c r="H859" s="14" t="b">
        <f aca="false">IF(중복검사!$A857="",FALSE(),중복검사!$J857="유지")</f>
        <v>0</v>
      </c>
      <c r="I859" s="5" t="str">
        <f aca="false">IF($H859=FALSE(),"",COUNTIF($H$6:$H859,TRUE()))</f>
        <v/>
      </c>
      <c r="J859" s="5" t="str">
        <f aca="false">IF($I859="","","R"&amp;$I859)</f>
        <v/>
      </c>
    </row>
    <row r="860" customFormat="false" ht="15" hidden="false" customHeight="true" outlineLevel="0" collapsed="false">
      <c r="H860" s="14" t="b">
        <f aca="false">IF(중복검사!$A858="",FALSE(),중복검사!$J858="유지")</f>
        <v>0</v>
      </c>
      <c r="I860" s="5" t="str">
        <f aca="false">IF($H860=FALSE(),"",COUNTIF($H$6:$H860,TRUE()))</f>
        <v/>
      </c>
      <c r="J860" s="5" t="str">
        <f aca="false">IF($I860="","","R"&amp;$I860)</f>
        <v/>
      </c>
    </row>
    <row r="861" customFormat="false" ht="15" hidden="false" customHeight="true" outlineLevel="0" collapsed="false">
      <c r="H861" s="14" t="b">
        <f aca="false">IF(중복검사!$A859="",FALSE(),중복검사!$J859="유지")</f>
        <v>0</v>
      </c>
      <c r="I861" s="5" t="str">
        <f aca="false">IF($H861=FALSE(),"",COUNTIF($H$6:$H861,TRUE()))</f>
        <v/>
      </c>
      <c r="J861" s="5" t="str">
        <f aca="false">IF($I861="","","R"&amp;$I861)</f>
        <v/>
      </c>
    </row>
    <row r="862" customFormat="false" ht="15" hidden="false" customHeight="true" outlineLevel="0" collapsed="false">
      <c r="H862" s="14" t="b">
        <f aca="false">IF(중복검사!$A860="",FALSE(),중복검사!$J860="유지")</f>
        <v>0</v>
      </c>
      <c r="I862" s="5" t="str">
        <f aca="false">IF($H862=FALSE(),"",COUNTIF($H$6:$H862,TRUE()))</f>
        <v/>
      </c>
      <c r="J862" s="5" t="str">
        <f aca="false">IF($I862="","","R"&amp;$I862)</f>
        <v/>
      </c>
    </row>
    <row r="863" customFormat="false" ht="15" hidden="false" customHeight="true" outlineLevel="0" collapsed="false">
      <c r="H863" s="14" t="b">
        <f aca="false">IF(중복검사!$A861="",FALSE(),중복검사!$J861="유지")</f>
        <v>0</v>
      </c>
      <c r="I863" s="5" t="str">
        <f aca="false">IF($H863=FALSE(),"",COUNTIF($H$6:$H863,TRUE()))</f>
        <v/>
      </c>
      <c r="J863" s="5" t="str">
        <f aca="false">IF($I863="","","R"&amp;$I863)</f>
        <v/>
      </c>
    </row>
    <row r="864" customFormat="false" ht="15" hidden="false" customHeight="true" outlineLevel="0" collapsed="false">
      <c r="H864" s="14" t="b">
        <f aca="false">IF(중복검사!$A862="",FALSE(),중복검사!$J862="유지")</f>
        <v>0</v>
      </c>
      <c r="I864" s="5" t="str">
        <f aca="false">IF($H864=FALSE(),"",COUNTIF($H$6:$H864,TRUE()))</f>
        <v/>
      </c>
      <c r="J864" s="5" t="str">
        <f aca="false">IF($I864="","","R"&amp;$I864)</f>
        <v/>
      </c>
    </row>
    <row r="865" customFormat="false" ht="15" hidden="false" customHeight="true" outlineLevel="0" collapsed="false">
      <c r="H865" s="14" t="b">
        <f aca="false">IF(중복검사!$A863="",FALSE(),중복검사!$J863="유지")</f>
        <v>0</v>
      </c>
      <c r="I865" s="5" t="str">
        <f aca="false">IF($H865=FALSE(),"",COUNTIF($H$6:$H865,TRUE()))</f>
        <v/>
      </c>
      <c r="J865" s="5" t="str">
        <f aca="false">IF($I865="","","R"&amp;$I865)</f>
        <v/>
      </c>
    </row>
    <row r="866" customFormat="false" ht="15" hidden="false" customHeight="true" outlineLevel="0" collapsed="false">
      <c r="H866" s="14" t="b">
        <f aca="false">IF(중복검사!$A864="",FALSE(),중복검사!$J864="유지")</f>
        <v>0</v>
      </c>
      <c r="I866" s="5" t="str">
        <f aca="false">IF($H866=FALSE(),"",COUNTIF($H$6:$H866,TRUE()))</f>
        <v/>
      </c>
      <c r="J866" s="5" t="str">
        <f aca="false">IF($I866="","","R"&amp;$I866)</f>
        <v/>
      </c>
    </row>
    <row r="867" customFormat="false" ht="15" hidden="false" customHeight="true" outlineLevel="0" collapsed="false">
      <c r="H867" s="14" t="b">
        <f aca="false">IF(중복검사!$A865="",FALSE(),중복검사!$J865="유지")</f>
        <v>0</v>
      </c>
      <c r="I867" s="5" t="str">
        <f aca="false">IF($H867=FALSE(),"",COUNTIF($H$6:$H867,TRUE()))</f>
        <v/>
      </c>
      <c r="J867" s="5" t="str">
        <f aca="false">IF($I867="","","R"&amp;$I867)</f>
        <v/>
      </c>
    </row>
    <row r="868" customFormat="false" ht="15" hidden="false" customHeight="true" outlineLevel="0" collapsed="false">
      <c r="H868" s="14" t="b">
        <f aca="false">IF(중복검사!$A866="",FALSE(),중복검사!$J866="유지")</f>
        <v>0</v>
      </c>
      <c r="I868" s="5" t="str">
        <f aca="false">IF($H868=FALSE(),"",COUNTIF($H$6:$H868,TRUE()))</f>
        <v/>
      </c>
      <c r="J868" s="5" t="str">
        <f aca="false">IF($I868="","","R"&amp;$I868)</f>
        <v/>
      </c>
    </row>
    <row r="869" customFormat="false" ht="15" hidden="false" customHeight="true" outlineLevel="0" collapsed="false">
      <c r="H869" s="14" t="b">
        <f aca="false">IF(중복검사!$A867="",FALSE(),중복검사!$J867="유지")</f>
        <v>0</v>
      </c>
      <c r="I869" s="5" t="str">
        <f aca="false">IF($H869=FALSE(),"",COUNTIF($H$6:$H869,TRUE()))</f>
        <v/>
      </c>
      <c r="J869" s="5" t="str">
        <f aca="false">IF($I869="","","R"&amp;$I869)</f>
        <v/>
      </c>
    </row>
    <row r="870" customFormat="false" ht="15" hidden="false" customHeight="true" outlineLevel="0" collapsed="false">
      <c r="H870" s="14" t="b">
        <f aca="false">IF(중복검사!$A868="",FALSE(),중복검사!$J868="유지")</f>
        <v>0</v>
      </c>
      <c r="I870" s="5" t="str">
        <f aca="false">IF($H870=FALSE(),"",COUNTIF($H$6:$H870,TRUE()))</f>
        <v/>
      </c>
      <c r="J870" s="5" t="str">
        <f aca="false">IF($I870="","","R"&amp;$I870)</f>
        <v/>
      </c>
    </row>
    <row r="871" customFormat="false" ht="15" hidden="false" customHeight="true" outlineLevel="0" collapsed="false">
      <c r="H871" s="14" t="b">
        <f aca="false">IF(중복검사!$A869="",FALSE(),중복검사!$J869="유지")</f>
        <v>0</v>
      </c>
      <c r="I871" s="5" t="str">
        <f aca="false">IF($H871=FALSE(),"",COUNTIF($H$6:$H871,TRUE()))</f>
        <v/>
      </c>
      <c r="J871" s="5" t="str">
        <f aca="false">IF($I871="","","R"&amp;$I871)</f>
        <v/>
      </c>
    </row>
    <row r="872" customFormat="false" ht="15" hidden="false" customHeight="true" outlineLevel="0" collapsed="false">
      <c r="H872" s="14" t="b">
        <f aca="false">IF(중복검사!$A870="",FALSE(),중복검사!$J870="유지")</f>
        <v>0</v>
      </c>
      <c r="I872" s="5" t="str">
        <f aca="false">IF($H872=FALSE(),"",COUNTIF($H$6:$H872,TRUE()))</f>
        <v/>
      </c>
      <c r="J872" s="5" t="str">
        <f aca="false">IF($I872="","","R"&amp;$I872)</f>
        <v/>
      </c>
    </row>
    <row r="873" customFormat="false" ht="15" hidden="false" customHeight="true" outlineLevel="0" collapsed="false">
      <c r="H873" s="14" t="b">
        <f aca="false">IF(중복검사!$A871="",FALSE(),중복검사!$J871="유지")</f>
        <v>0</v>
      </c>
      <c r="I873" s="5" t="str">
        <f aca="false">IF($H873=FALSE(),"",COUNTIF($H$6:$H873,TRUE()))</f>
        <v/>
      </c>
      <c r="J873" s="5" t="str">
        <f aca="false">IF($I873="","","R"&amp;$I873)</f>
        <v/>
      </c>
    </row>
    <row r="874" customFormat="false" ht="15" hidden="false" customHeight="true" outlineLevel="0" collapsed="false">
      <c r="H874" s="14" t="b">
        <f aca="false">IF(중복검사!$A872="",FALSE(),중복검사!$J872="유지")</f>
        <v>0</v>
      </c>
      <c r="I874" s="5" t="str">
        <f aca="false">IF($H874=FALSE(),"",COUNTIF($H$6:$H874,TRUE()))</f>
        <v/>
      </c>
      <c r="J874" s="5" t="str">
        <f aca="false">IF($I874="","","R"&amp;$I874)</f>
        <v/>
      </c>
    </row>
    <row r="875" customFormat="false" ht="15" hidden="false" customHeight="true" outlineLevel="0" collapsed="false">
      <c r="H875" s="14" t="b">
        <f aca="false">IF(중복검사!$A873="",FALSE(),중복검사!$J873="유지")</f>
        <v>0</v>
      </c>
      <c r="I875" s="5" t="str">
        <f aca="false">IF($H875=FALSE(),"",COUNTIF($H$6:$H875,TRUE()))</f>
        <v/>
      </c>
      <c r="J875" s="5" t="str">
        <f aca="false">IF($I875="","","R"&amp;$I875)</f>
        <v/>
      </c>
    </row>
    <row r="876" customFormat="false" ht="15" hidden="false" customHeight="true" outlineLevel="0" collapsed="false">
      <c r="H876" s="14" t="b">
        <f aca="false">IF(중복검사!$A874="",FALSE(),중복검사!$J874="유지")</f>
        <v>0</v>
      </c>
      <c r="I876" s="5" t="str">
        <f aca="false">IF($H876=FALSE(),"",COUNTIF($H$6:$H876,TRUE()))</f>
        <v/>
      </c>
      <c r="J876" s="5" t="str">
        <f aca="false">IF($I876="","","R"&amp;$I876)</f>
        <v/>
      </c>
    </row>
    <row r="877" customFormat="false" ht="15" hidden="false" customHeight="true" outlineLevel="0" collapsed="false">
      <c r="H877" s="14" t="b">
        <f aca="false">IF(중복검사!$A875="",FALSE(),중복검사!$J875="유지")</f>
        <v>0</v>
      </c>
      <c r="I877" s="5" t="str">
        <f aca="false">IF($H877=FALSE(),"",COUNTIF($H$6:$H877,TRUE()))</f>
        <v/>
      </c>
      <c r="J877" s="5" t="str">
        <f aca="false">IF($I877="","","R"&amp;$I877)</f>
        <v/>
      </c>
    </row>
    <row r="878" customFormat="false" ht="15" hidden="false" customHeight="true" outlineLevel="0" collapsed="false">
      <c r="H878" s="14" t="b">
        <f aca="false">IF(중복검사!$A876="",FALSE(),중복검사!$J876="유지")</f>
        <v>0</v>
      </c>
      <c r="I878" s="5" t="str">
        <f aca="false">IF($H878=FALSE(),"",COUNTIF($H$6:$H878,TRUE()))</f>
        <v/>
      </c>
      <c r="J878" s="5" t="str">
        <f aca="false">IF($I878="","","R"&amp;$I878)</f>
        <v/>
      </c>
    </row>
    <row r="879" customFormat="false" ht="15" hidden="false" customHeight="true" outlineLevel="0" collapsed="false">
      <c r="H879" s="14" t="b">
        <f aca="false">IF(중복검사!$A877="",FALSE(),중복검사!$J877="유지")</f>
        <v>0</v>
      </c>
      <c r="I879" s="5" t="str">
        <f aca="false">IF($H879=FALSE(),"",COUNTIF($H$6:$H879,TRUE()))</f>
        <v/>
      </c>
      <c r="J879" s="5" t="str">
        <f aca="false">IF($I879="","","R"&amp;$I879)</f>
        <v/>
      </c>
    </row>
    <row r="880" customFormat="false" ht="15" hidden="false" customHeight="true" outlineLevel="0" collapsed="false">
      <c r="H880" s="14" t="b">
        <f aca="false">IF(중복검사!$A878="",FALSE(),중복검사!$J878="유지")</f>
        <v>0</v>
      </c>
      <c r="I880" s="5" t="str">
        <f aca="false">IF($H880=FALSE(),"",COUNTIF($H$6:$H880,TRUE()))</f>
        <v/>
      </c>
      <c r="J880" s="5" t="str">
        <f aca="false">IF($I880="","","R"&amp;$I880)</f>
        <v/>
      </c>
    </row>
    <row r="881" customFormat="false" ht="15" hidden="false" customHeight="true" outlineLevel="0" collapsed="false">
      <c r="H881" s="14" t="b">
        <f aca="false">IF(중복검사!$A879="",FALSE(),중복검사!$J879="유지")</f>
        <v>0</v>
      </c>
      <c r="I881" s="5" t="str">
        <f aca="false">IF($H881=FALSE(),"",COUNTIF($H$6:$H881,TRUE()))</f>
        <v/>
      </c>
      <c r="J881" s="5" t="str">
        <f aca="false">IF($I881="","","R"&amp;$I881)</f>
        <v/>
      </c>
    </row>
    <row r="882" customFormat="false" ht="15" hidden="false" customHeight="true" outlineLevel="0" collapsed="false">
      <c r="H882" s="14" t="b">
        <f aca="false">IF(중복검사!$A880="",FALSE(),중복검사!$J880="유지")</f>
        <v>0</v>
      </c>
      <c r="I882" s="5" t="str">
        <f aca="false">IF($H882=FALSE(),"",COUNTIF($H$6:$H882,TRUE()))</f>
        <v/>
      </c>
      <c r="J882" s="5" t="str">
        <f aca="false">IF($I882="","","R"&amp;$I882)</f>
        <v/>
      </c>
    </row>
    <row r="883" customFormat="false" ht="15" hidden="false" customHeight="true" outlineLevel="0" collapsed="false">
      <c r="H883" s="14" t="b">
        <f aca="false">IF(중복검사!$A881="",FALSE(),중복검사!$J881="유지")</f>
        <v>0</v>
      </c>
      <c r="I883" s="5" t="str">
        <f aca="false">IF($H883=FALSE(),"",COUNTIF($H$6:$H883,TRUE()))</f>
        <v/>
      </c>
      <c r="J883" s="5" t="str">
        <f aca="false">IF($I883="","","R"&amp;$I883)</f>
        <v/>
      </c>
    </row>
    <row r="884" customFormat="false" ht="15" hidden="false" customHeight="true" outlineLevel="0" collapsed="false">
      <c r="H884" s="14" t="b">
        <f aca="false">IF(중복검사!$A882="",FALSE(),중복검사!$J882="유지")</f>
        <v>0</v>
      </c>
      <c r="I884" s="5" t="str">
        <f aca="false">IF($H884=FALSE(),"",COUNTIF($H$6:$H884,TRUE()))</f>
        <v/>
      </c>
      <c r="J884" s="5" t="str">
        <f aca="false">IF($I884="","","R"&amp;$I884)</f>
        <v/>
      </c>
    </row>
    <row r="885" customFormat="false" ht="15" hidden="false" customHeight="true" outlineLevel="0" collapsed="false">
      <c r="H885" s="14" t="b">
        <f aca="false">IF(중복검사!$A883="",FALSE(),중복검사!$J883="유지")</f>
        <v>0</v>
      </c>
      <c r="I885" s="5" t="str">
        <f aca="false">IF($H885=FALSE(),"",COUNTIF($H$6:$H885,TRUE()))</f>
        <v/>
      </c>
      <c r="J885" s="5" t="str">
        <f aca="false">IF($I885="","","R"&amp;$I885)</f>
        <v/>
      </c>
    </row>
    <row r="886" customFormat="false" ht="15" hidden="false" customHeight="true" outlineLevel="0" collapsed="false">
      <c r="H886" s="14" t="b">
        <f aca="false">IF(중복검사!$A884="",FALSE(),중복검사!$J884="유지")</f>
        <v>0</v>
      </c>
      <c r="I886" s="5" t="str">
        <f aca="false">IF($H886=FALSE(),"",COUNTIF($H$6:$H886,TRUE()))</f>
        <v/>
      </c>
      <c r="J886" s="5" t="str">
        <f aca="false">IF($I886="","","R"&amp;$I886)</f>
        <v/>
      </c>
    </row>
    <row r="887" customFormat="false" ht="15" hidden="false" customHeight="true" outlineLevel="0" collapsed="false">
      <c r="H887" s="14" t="b">
        <f aca="false">IF(중복검사!$A885="",FALSE(),중복검사!$J885="유지")</f>
        <v>0</v>
      </c>
      <c r="I887" s="5" t="str">
        <f aca="false">IF($H887=FALSE(),"",COUNTIF($H$6:$H887,TRUE()))</f>
        <v/>
      </c>
      <c r="J887" s="5" t="str">
        <f aca="false">IF($I887="","","R"&amp;$I887)</f>
        <v/>
      </c>
    </row>
    <row r="888" customFormat="false" ht="15" hidden="false" customHeight="true" outlineLevel="0" collapsed="false">
      <c r="H888" s="14" t="b">
        <f aca="false">IF(중복검사!$A886="",FALSE(),중복검사!$J886="유지")</f>
        <v>0</v>
      </c>
      <c r="I888" s="5" t="str">
        <f aca="false">IF($H888=FALSE(),"",COUNTIF($H$6:$H888,TRUE()))</f>
        <v/>
      </c>
      <c r="J888" s="5" t="str">
        <f aca="false">IF($I888="","","R"&amp;$I888)</f>
        <v/>
      </c>
    </row>
    <row r="889" customFormat="false" ht="15" hidden="false" customHeight="true" outlineLevel="0" collapsed="false">
      <c r="H889" s="14" t="b">
        <f aca="false">IF(중복검사!$A887="",FALSE(),중복검사!$J887="유지")</f>
        <v>0</v>
      </c>
      <c r="I889" s="5" t="str">
        <f aca="false">IF($H889=FALSE(),"",COUNTIF($H$6:$H889,TRUE()))</f>
        <v/>
      </c>
      <c r="J889" s="5" t="str">
        <f aca="false">IF($I889="","","R"&amp;$I889)</f>
        <v/>
      </c>
    </row>
    <row r="890" customFormat="false" ht="15" hidden="false" customHeight="true" outlineLevel="0" collapsed="false">
      <c r="H890" s="14" t="b">
        <f aca="false">IF(중복검사!$A888="",FALSE(),중복검사!$J888="유지")</f>
        <v>0</v>
      </c>
      <c r="I890" s="5" t="str">
        <f aca="false">IF($H890=FALSE(),"",COUNTIF($H$6:$H890,TRUE()))</f>
        <v/>
      </c>
      <c r="J890" s="5" t="str">
        <f aca="false">IF($I890="","","R"&amp;$I890)</f>
        <v/>
      </c>
    </row>
    <row r="891" customFormat="false" ht="15" hidden="false" customHeight="true" outlineLevel="0" collapsed="false">
      <c r="H891" s="14" t="b">
        <f aca="false">IF(중복검사!$A889="",FALSE(),중복검사!$J889="유지")</f>
        <v>0</v>
      </c>
      <c r="I891" s="5" t="str">
        <f aca="false">IF($H891=FALSE(),"",COUNTIF($H$6:$H891,TRUE()))</f>
        <v/>
      </c>
      <c r="J891" s="5" t="str">
        <f aca="false">IF($I891="","","R"&amp;$I891)</f>
        <v/>
      </c>
    </row>
    <row r="892" customFormat="false" ht="15" hidden="false" customHeight="true" outlineLevel="0" collapsed="false">
      <c r="H892" s="14" t="b">
        <f aca="false">IF(중복검사!$A890="",FALSE(),중복검사!$J890="유지")</f>
        <v>0</v>
      </c>
      <c r="I892" s="5" t="str">
        <f aca="false">IF($H892=FALSE(),"",COUNTIF($H$6:$H892,TRUE()))</f>
        <v/>
      </c>
      <c r="J892" s="5" t="str">
        <f aca="false">IF($I892="","","R"&amp;$I892)</f>
        <v/>
      </c>
    </row>
    <row r="893" customFormat="false" ht="15" hidden="false" customHeight="true" outlineLevel="0" collapsed="false">
      <c r="H893" s="14" t="b">
        <f aca="false">IF(중복검사!$A891="",FALSE(),중복검사!$J891="유지")</f>
        <v>0</v>
      </c>
      <c r="I893" s="5" t="str">
        <f aca="false">IF($H893=FALSE(),"",COUNTIF($H$6:$H893,TRUE()))</f>
        <v/>
      </c>
      <c r="J893" s="5" t="str">
        <f aca="false">IF($I893="","","R"&amp;$I893)</f>
        <v/>
      </c>
    </row>
    <row r="894" customFormat="false" ht="15" hidden="false" customHeight="true" outlineLevel="0" collapsed="false">
      <c r="H894" s="14" t="b">
        <f aca="false">IF(중복검사!$A892="",FALSE(),중복검사!$J892="유지")</f>
        <v>0</v>
      </c>
      <c r="I894" s="5" t="str">
        <f aca="false">IF($H894=FALSE(),"",COUNTIF($H$6:$H894,TRUE()))</f>
        <v/>
      </c>
      <c r="J894" s="5" t="str">
        <f aca="false">IF($I894="","","R"&amp;$I894)</f>
        <v/>
      </c>
    </row>
    <row r="895" customFormat="false" ht="15" hidden="false" customHeight="true" outlineLevel="0" collapsed="false">
      <c r="H895" s="14" t="b">
        <f aca="false">IF(중복검사!$A893="",FALSE(),중복검사!$J893="유지")</f>
        <v>0</v>
      </c>
      <c r="I895" s="5" t="str">
        <f aca="false">IF($H895=FALSE(),"",COUNTIF($H$6:$H895,TRUE()))</f>
        <v/>
      </c>
      <c r="J895" s="5" t="str">
        <f aca="false">IF($I895="","","R"&amp;$I895)</f>
        <v/>
      </c>
    </row>
    <row r="896" customFormat="false" ht="15" hidden="false" customHeight="true" outlineLevel="0" collapsed="false">
      <c r="H896" s="14" t="b">
        <f aca="false">IF(중복검사!$A894="",FALSE(),중복검사!$J894="유지")</f>
        <v>0</v>
      </c>
      <c r="I896" s="5" t="str">
        <f aca="false">IF($H896=FALSE(),"",COUNTIF($H$6:$H896,TRUE()))</f>
        <v/>
      </c>
      <c r="J896" s="5" t="str">
        <f aca="false">IF($I896="","","R"&amp;$I896)</f>
        <v/>
      </c>
    </row>
    <row r="897" customFormat="false" ht="15" hidden="false" customHeight="true" outlineLevel="0" collapsed="false">
      <c r="H897" s="14" t="b">
        <f aca="false">IF(중복검사!$A895="",FALSE(),중복검사!$J895="유지")</f>
        <v>0</v>
      </c>
      <c r="I897" s="5" t="str">
        <f aca="false">IF($H897=FALSE(),"",COUNTIF($H$6:$H897,TRUE()))</f>
        <v/>
      </c>
      <c r="J897" s="5" t="str">
        <f aca="false">IF($I897="","","R"&amp;$I897)</f>
        <v/>
      </c>
    </row>
    <row r="898" customFormat="false" ht="15" hidden="false" customHeight="true" outlineLevel="0" collapsed="false">
      <c r="H898" s="14" t="b">
        <f aca="false">IF(중복검사!$A896="",FALSE(),중복검사!$J896="유지")</f>
        <v>0</v>
      </c>
      <c r="I898" s="5" t="str">
        <f aca="false">IF($H898=FALSE(),"",COUNTIF($H$6:$H898,TRUE()))</f>
        <v/>
      </c>
      <c r="J898" s="5" t="str">
        <f aca="false">IF($I898="","","R"&amp;$I898)</f>
        <v/>
      </c>
    </row>
    <row r="899" customFormat="false" ht="15" hidden="false" customHeight="true" outlineLevel="0" collapsed="false">
      <c r="H899" s="14" t="b">
        <f aca="false">IF(중복검사!$A897="",FALSE(),중복검사!$J897="유지")</f>
        <v>0</v>
      </c>
      <c r="I899" s="5" t="str">
        <f aca="false">IF($H899=FALSE(),"",COUNTIF($H$6:$H899,TRUE()))</f>
        <v/>
      </c>
      <c r="J899" s="5" t="str">
        <f aca="false">IF($I899="","","R"&amp;$I899)</f>
        <v/>
      </c>
    </row>
    <row r="900" customFormat="false" ht="15" hidden="false" customHeight="true" outlineLevel="0" collapsed="false">
      <c r="H900" s="14" t="b">
        <f aca="false">IF(중복검사!$A898="",FALSE(),중복검사!$J898="유지")</f>
        <v>0</v>
      </c>
      <c r="I900" s="5" t="str">
        <f aca="false">IF($H900=FALSE(),"",COUNTIF($H$6:$H900,TRUE()))</f>
        <v/>
      </c>
      <c r="J900" s="5" t="str">
        <f aca="false">IF($I900="","","R"&amp;$I900)</f>
        <v/>
      </c>
    </row>
    <row r="901" customFormat="false" ht="15" hidden="false" customHeight="true" outlineLevel="0" collapsed="false">
      <c r="H901" s="14" t="b">
        <f aca="false">IF(중복검사!$A899="",FALSE(),중복검사!$J899="유지")</f>
        <v>0</v>
      </c>
      <c r="I901" s="5" t="str">
        <f aca="false">IF($H901=FALSE(),"",COUNTIF($H$6:$H901,TRUE()))</f>
        <v/>
      </c>
      <c r="J901" s="5" t="str">
        <f aca="false">IF($I901="","","R"&amp;$I901)</f>
        <v/>
      </c>
    </row>
    <row r="902" customFormat="false" ht="15" hidden="false" customHeight="true" outlineLevel="0" collapsed="false">
      <c r="H902" s="14" t="b">
        <f aca="false">IF(중복검사!$A900="",FALSE(),중복검사!$J900="유지")</f>
        <v>0</v>
      </c>
      <c r="I902" s="5" t="str">
        <f aca="false">IF($H902=FALSE(),"",COUNTIF($H$6:$H902,TRUE()))</f>
        <v/>
      </c>
      <c r="J902" s="5" t="str">
        <f aca="false">IF($I902="","","R"&amp;$I902)</f>
        <v/>
      </c>
    </row>
    <row r="903" customFormat="false" ht="15" hidden="false" customHeight="true" outlineLevel="0" collapsed="false">
      <c r="H903" s="14" t="b">
        <f aca="false">IF(중복검사!$A901="",FALSE(),중복검사!$J901="유지")</f>
        <v>0</v>
      </c>
      <c r="I903" s="5" t="str">
        <f aca="false">IF($H903=FALSE(),"",COUNTIF($H$6:$H903,TRUE()))</f>
        <v/>
      </c>
      <c r="J903" s="5" t="str">
        <f aca="false">IF($I903="","","R"&amp;$I903)</f>
        <v/>
      </c>
    </row>
    <row r="904" customFormat="false" ht="15" hidden="false" customHeight="true" outlineLevel="0" collapsed="false">
      <c r="H904" s="14" t="b">
        <f aca="false">IF(중복검사!$A902="",FALSE(),중복검사!$J902="유지")</f>
        <v>0</v>
      </c>
      <c r="I904" s="5" t="str">
        <f aca="false">IF($H904=FALSE(),"",COUNTIF($H$6:$H904,TRUE()))</f>
        <v/>
      </c>
      <c r="J904" s="5" t="str">
        <f aca="false">IF($I904="","","R"&amp;$I904)</f>
        <v/>
      </c>
    </row>
    <row r="905" customFormat="false" ht="15" hidden="false" customHeight="true" outlineLevel="0" collapsed="false">
      <c r="H905" s="14" t="b">
        <f aca="false">IF(중복검사!$A903="",FALSE(),중복검사!$J903="유지")</f>
        <v>0</v>
      </c>
      <c r="I905" s="5" t="str">
        <f aca="false">IF($H905=FALSE(),"",COUNTIF($H$6:$H905,TRUE()))</f>
        <v/>
      </c>
      <c r="J905" s="5" t="str">
        <f aca="false">IF($I905="","","R"&amp;$I905)</f>
        <v/>
      </c>
    </row>
    <row r="906" customFormat="false" ht="15" hidden="false" customHeight="true" outlineLevel="0" collapsed="false">
      <c r="H906" s="14" t="b">
        <f aca="false">IF(중복검사!$A904="",FALSE(),중복검사!$J904="유지")</f>
        <v>0</v>
      </c>
      <c r="I906" s="5" t="str">
        <f aca="false">IF($H906=FALSE(),"",COUNTIF($H$6:$H906,TRUE()))</f>
        <v/>
      </c>
      <c r="J906" s="5" t="str">
        <f aca="false">IF($I906="","","R"&amp;$I906)</f>
        <v/>
      </c>
    </row>
    <row r="907" customFormat="false" ht="15" hidden="false" customHeight="true" outlineLevel="0" collapsed="false">
      <c r="H907" s="14" t="b">
        <f aca="false">IF(중복검사!$A905="",FALSE(),중복검사!$J905="유지")</f>
        <v>0</v>
      </c>
      <c r="I907" s="5" t="str">
        <f aca="false">IF($H907=FALSE(),"",COUNTIF($H$6:$H907,TRUE()))</f>
        <v/>
      </c>
      <c r="J907" s="5" t="str">
        <f aca="false">IF($I907="","","R"&amp;$I907)</f>
        <v/>
      </c>
    </row>
    <row r="908" customFormat="false" ht="15" hidden="false" customHeight="true" outlineLevel="0" collapsed="false">
      <c r="H908" s="14" t="b">
        <f aca="false">IF(중복검사!$A906="",FALSE(),중복검사!$J906="유지")</f>
        <v>0</v>
      </c>
      <c r="I908" s="5" t="str">
        <f aca="false">IF($H908=FALSE(),"",COUNTIF($H$6:$H908,TRUE()))</f>
        <v/>
      </c>
      <c r="J908" s="5" t="str">
        <f aca="false">IF($I908="","","R"&amp;$I908)</f>
        <v/>
      </c>
    </row>
    <row r="909" customFormat="false" ht="15" hidden="false" customHeight="true" outlineLevel="0" collapsed="false">
      <c r="H909" s="14" t="b">
        <f aca="false">IF(중복검사!$A907="",FALSE(),중복검사!$J907="유지")</f>
        <v>0</v>
      </c>
      <c r="I909" s="5" t="str">
        <f aca="false">IF($H909=FALSE(),"",COUNTIF($H$6:$H909,TRUE()))</f>
        <v/>
      </c>
      <c r="J909" s="5" t="str">
        <f aca="false">IF($I909="","","R"&amp;$I909)</f>
        <v/>
      </c>
    </row>
    <row r="910" customFormat="false" ht="15" hidden="false" customHeight="true" outlineLevel="0" collapsed="false">
      <c r="H910" s="14" t="b">
        <f aca="false">IF(중복검사!$A908="",FALSE(),중복검사!$J908="유지")</f>
        <v>0</v>
      </c>
      <c r="I910" s="5" t="str">
        <f aca="false">IF($H910=FALSE(),"",COUNTIF($H$6:$H910,TRUE()))</f>
        <v/>
      </c>
      <c r="J910" s="5" t="str">
        <f aca="false">IF($I910="","","R"&amp;$I910)</f>
        <v/>
      </c>
    </row>
    <row r="911" customFormat="false" ht="15" hidden="false" customHeight="true" outlineLevel="0" collapsed="false">
      <c r="H911" s="14" t="b">
        <f aca="false">IF(중복검사!$A909="",FALSE(),중복검사!$J909="유지")</f>
        <v>0</v>
      </c>
      <c r="I911" s="5" t="str">
        <f aca="false">IF($H911=FALSE(),"",COUNTIF($H$6:$H911,TRUE()))</f>
        <v/>
      </c>
      <c r="J911" s="5" t="str">
        <f aca="false">IF($I911="","","R"&amp;$I911)</f>
        <v/>
      </c>
    </row>
    <row r="912" customFormat="false" ht="15" hidden="false" customHeight="true" outlineLevel="0" collapsed="false">
      <c r="H912" s="14" t="b">
        <f aca="false">IF(중복검사!$A910="",FALSE(),중복검사!$J910="유지")</f>
        <v>0</v>
      </c>
      <c r="I912" s="5" t="str">
        <f aca="false">IF($H912=FALSE(),"",COUNTIF($H$6:$H912,TRUE()))</f>
        <v/>
      </c>
      <c r="J912" s="5" t="str">
        <f aca="false">IF($I912="","","R"&amp;$I912)</f>
        <v/>
      </c>
    </row>
    <row r="913" customFormat="false" ht="15" hidden="false" customHeight="true" outlineLevel="0" collapsed="false">
      <c r="H913" s="14" t="b">
        <f aca="false">IF(중복검사!$A911="",FALSE(),중복검사!$J911="유지")</f>
        <v>0</v>
      </c>
      <c r="I913" s="5" t="str">
        <f aca="false">IF($H913=FALSE(),"",COUNTIF($H$6:$H913,TRUE()))</f>
        <v/>
      </c>
      <c r="J913" s="5" t="str">
        <f aca="false">IF($I913="","","R"&amp;$I913)</f>
        <v/>
      </c>
    </row>
    <row r="914" customFormat="false" ht="15" hidden="false" customHeight="true" outlineLevel="0" collapsed="false">
      <c r="H914" s="14" t="b">
        <f aca="false">IF(중복검사!$A912="",FALSE(),중복검사!$J912="유지")</f>
        <v>0</v>
      </c>
      <c r="I914" s="5" t="str">
        <f aca="false">IF($H914=FALSE(),"",COUNTIF($H$6:$H914,TRUE()))</f>
        <v/>
      </c>
      <c r="J914" s="5" t="str">
        <f aca="false">IF($I914="","","R"&amp;$I914)</f>
        <v/>
      </c>
    </row>
    <row r="915" customFormat="false" ht="15" hidden="false" customHeight="true" outlineLevel="0" collapsed="false">
      <c r="H915" s="14" t="b">
        <f aca="false">IF(중복검사!$A913="",FALSE(),중복검사!$J913="유지")</f>
        <v>0</v>
      </c>
      <c r="I915" s="5" t="str">
        <f aca="false">IF($H915=FALSE(),"",COUNTIF($H$6:$H915,TRUE()))</f>
        <v/>
      </c>
      <c r="J915" s="5" t="str">
        <f aca="false">IF($I915="","","R"&amp;$I915)</f>
        <v/>
      </c>
    </row>
    <row r="916" customFormat="false" ht="15" hidden="false" customHeight="true" outlineLevel="0" collapsed="false">
      <c r="H916" s="14" t="b">
        <f aca="false">IF(중복검사!$A914="",FALSE(),중복검사!$J914="유지")</f>
        <v>0</v>
      </c>
      <c r="I916" s="5" t="str">
        <f aca="false">IF($H916=FALSE(),"",COUNTIF($H$6:$H916,TRUE()))</f>
        <v/>
      </c>
      <c r="J916" s="5" t="str">
        <f aca="false">IF($I916="","","R"&amp;$I916)</f>
        <v/>
      </c>
    </row>
    <row r="917" customFormat="false" ht="15" hidden="false" customHeight="true" outlineLevel="0" collapsed="false">
      <c r="H917" s="14" t="b">
        <f aca="false">IF(중복검사!$A915="",FALSE(),중복검사!$J915="유지")</f>
        <v>0</v>
      </c>
      <c r="I917" s="5" t="str">
        <f aca="false">IF($H917=FALSE(),"",COUNTIF($H$6:$H917,TRUE()))</f>
        <v/>
      </c>
      <c r="J917" s="5" t="str">
        <f aca="false">IF($I917="","","R"&amp;$I917)</f>
        <v/>
      </c>
    </row>
    <row r="918" customFormat="false" ht="15" hidden="false" customHeight="true" outlineLevel="0" collapsed="false">
      <c r="H918" s="14" t="b">
        <f aca="false">IF(중복검사!$A916="",FALSE(),중복검사!$J916="유지")</f>
        <v>0</v>
      </c>
      <c r="I918" s="5" t="str">
        <f aca="false">IF($H918=FALSE(),"",COUNTIF($H$6:$H918,TRUE()))</f>
        <v/>
      </c>
      <c r="J918" s="5" t="str">
        <f aca="false">IF($I918="","","R"&amp;$I918)</f>
        <v/>
      </c>
    </row>
    <row r="919" customFormat="false" ht="15" hidden="false" customHeight="true" outlineLevel="0" collapsed="false">
      <c r="H919" s="14" t="b">
        <f aca="false">IF(중복검사!$A917="",FALSE(),중복검사!$J917="유지")</f>
        <v>0</v>
      </c>
      <c r="I919" s="5" t="str">
        <f aca="false">IF($H919=FALSE(),"",COUNTIF($H$6:$H919,TRUE()))</f>
        <v/>
      </c>
      <c r="J919" s="5" t="str">
        <f aca="false">IF($I919="","","R"&amp;$I919)</f>
        <v/>
      </c>
    </row>
    <row r="920" customFormat="false" ht="15" hidden="false" customHeight="true" outlineLevel="0" collapsed="false">
      <c r="H920" s="14" t="b">
        <f aca="false">IF(중복검사!$A918="",FALSE(),중복검사!$J918="유지")</f>
        <v>0</v>
      </c>
      <c r="I920" s="5" t="str">
        <f aca="false">IF($H920=FALSE(),"",COUNTIF($H$6:$H920,TRUE()))</f>
        <v/>
      </c>
      <c r="J920" s="5" t="str">
        <f aca="false">IF($I920="","","R"&amp;$I920)</f>
        <v/>
      </c>
    </row>
    <row r="921" customFormat="false" ht="15" hidden="false" customHeight="true" outlineLevel="0" collapsed="false">
      <c r="H921" s="14" t="b">
        <f aca="false">IF(중복검사!$A919="",FALSE(),중복검사!$J919="유지")</f>
        <v>0</v>
      </c>
      <c r="I921" s="5" t="str">
        <f aca="false">IF($H921=FALSE(),"",COUNTIF($H$6:$H921,TRUE()))</f>
        <v/>
      </c>
      <c r="J921" s="5" t="str">
        <f aca="false">IF($I921="","","R"&amp;$I921)</f>
        <v/>
      </c>
    </row>
    <row r="922" customFormat="false" ht="15" hidden="false" customHeight="true" outlineLevel="0" collapsed="false">
      <c r="H922" s="14" t="b">
        <f aca="false">IF(중복검사!$A920="",FALSE(),중복검사!$J920="유지")</f>
        <v>0</v>
      </c>
      <c r="I922" s="5" t="str">
        <f aca="false">IF($H922=FALSE(),"",COUNTIF($H$6:$H922,TRUE()))</f>
        <v/>
      </c>
      <c r="J922" s="5" t="str">
        <f aca="false">IF($I922="","","R"&amp;$I922)</f>
        <v/>
      </c>
    </row>
    <row r="923" customFormat="false" ht="15" hidden="false" customHeight="true" outlineLevel="0" collapsed="false">
      <c r="H923" s="14" t="b">
        <f aca="false">IF(중복검사!$A921="",FALSE(),중복검사!$J921="유지")</f>
        <v>0</v>
      </c>
      <c r="I923" s="5" t="str">
        <f aca="false">IF($H923=FALSE(),"",COUNTIF($H$6:$H923,TRUE()))</f>
        <v/>
      </c>
      <c r="J923" s="5" t="str">
        <f aca="false">IF($I923="","","R"&amp;$I923)</f>
        <v/>
      </c>
    </row>
    <row r="924" customFormat="false" ht="15" hidden="false" customHeight="true" outlineLevel="0" collapsed="false">
      <c r="H924" s="14" t="b">
        <f aca="false">IF(중복검사!$A922="",FALSE(),중복검사!$J922="유지")</f>
        <v>0</v>
      </c>
      <c r="I924" s="5" t="str">
        <f aca="false">IF($H924=FALSE(),"",COUNTIF($H$6:$H924,TRUE()))</f>
        <v/>
      </c>
      <c r="J924" s="5" t="str">
        <f aca="false">IF($I924="","","R"&amp;$I924)</f>
        <v/>
      </c>
    </row>
    <row r="925" customFormat="false" ht="15" hidden="false" customHeight="true" outlineLevel="0" collapsed="false">
      <c r="H925" s="14" t="b">
        <f aca="false">IF(중복검사!$A923="",FALSE(),중복검사!$J923="유지")</f>
        <v>0</v>
      </c>
      <c r="I925" s="5" t="str">
        <f aca="false">IF($H925=FALSE(),"",COUNTIF($H$6:$H925,TRUE()))</f>
        <v/>
      </c>
      <c r="J925" s="5" t="str">
        <f aca="false">IF($I925="","","R"&amp;$I925)</f>
        <v/>
      </c>
    </row>
    <row r="926" customFormat="false" ht="15" hidden="false" customHeight="true" outlineLevel="0" collapsed="false">
      <c r="H926" s="14" t="b">
        <f aca="false">IF(중복검사!$A924="",FALSE(),중복검사!$J924="유지")</f>
        <v>0</v>
      </c>
      <c r="I926" s="5" t="str">
        <f aca="false">IF($H926=FALSE(),"",COUNTIF($H$6:$H926,TRUE()))</f>
        <v/>
      </c>
      <c r="J926" s="5" t="str">
        <f aca="false">IF($I926="","","R"&amp;$I926)</f>
        <v/>
      </c>
    </row>
    <row r="927" customFormat="false" ht="15" hidden="false" customHeight="true" outlineLevel="0" collapsed="false">
      <c r="H927" s="14" t="b">
        <f aca="false">IF(중복검사!$A925="",FALSE(),중복검사!$J925="유지")</f>
        <v>0</v>
      </c>
      <c r="I927" s="5" t="str">
        <f aca="false">IF($H927=FALSE(),"",COUNTIF($H$6:$H927,TRUE()))</f>
        <v/>
      </c>
      <c r="J927" s="5" t="str">
        <f aca="false">IF($I927="","","R"&amp;$I927)</f>
        <v/>
      </c>
    </row>
    <row r="928" customFormat="false" ht="15" hidden="false" customHeight="true" outlineLevel="0" collapsed="false">
      <c r="H928" s="14" t="b">
        <f aca="false">IF(중복검사!$A926="",FALSE(),중복검사!$J926="유지")</f>
        <v>0</v>
      </c>
      <c r="I928" s="5" t="str">
        <f aca="false">IF($H928=FALSE(),"",COUNTIF($H$6:$H928,TRUE()))</f>
        <v/>
      </c>
      <c r="J928" s="5" t="str">
        <f aca="false">IF($I928="","","R"&amp;$I928)</f>
        <v/>
      </c>
    </row>
    <row r="929" customFormat="false" ht="15" hidden="false" customHeight="true" outlineLevel="0" collapsed="false">
      <c r="H929" s="14" t="b">
        <f aca="false">IF(중복검사!$A927="",FALSE(),중복검사!$J927="유지")</f>
        <v>0</v>
      </c>
      <c r="I929" s="5" t="str">
        <f aca="false">IF($H929=FALSE(),"",COUNTIF($H$6:$H929,TRUE()))</f>
        <v/>
      </c>
      <c r="J929" s="5" t="str">
        <f aca="false">IF($I929="","","R"&amp;$I929)</f>
        <v/>
      </c>
    </row>
    <row r="930" customFormat="false" ht="15" hidden="false" customHeight="true" outlineLevel="0" collapsed="false">
      <c r="H930" s="14" t="b">
        <f aca="false">IF(중복검사!$A928="",FALSE(),중복검사!$J928="유지")</f>
        <v>0</v>
      </c>
      <c r="I930" s="5" t="str">
        <f aca="false">IF($H930=FALSE(),"",COUNTIF($H$6:$H930,TRUE()))</f>
        <v/>
      </c>
      <c r="J930" s="5" t="str">
        <f aca="false">IF($I930="","","R"&amp;$I930)</f>
        <v/>
      </c>
    </row>
    <row r="931" customFormat="false" ht="15" hidden="false" customHeight="true" outlineLevel="0" collapsed="false">
      <c r="H931" s="14" t="b">
        <f aca="false">IF(중복검사!$A929="",FALSE(),중복검사!$J929="유지")</f>
        <v>0</v>
      </c>
      <c r="I931" s="5" t="str">
        <f aca="false">IF($H931=FALSE(),"",COUNTIF($H$6:$H931,TRUE()))</f>
        <v/>
      </c>
      <c r="J931" s="5" t="str">
        <f aca="false">IF($I931="","","R"&amp;$I931)</f>
        <v/>
      </c>
    </row>
    <row r="932" customFormat="false" ht="15" hidden="false" customHeight="true" outlineLevel="0" collapsed="false">
      <c r="H932" s="14" t="b">
        <f aca="false">IF(중복검사!$A930="",FALSE(),중복검사!$J930="유지")</f>
        <v>0</v>
      </c>
      <c r="I932" s="5" t="str">
        <f aca="false">IF($H932=FALSE(),"",COUNTIF($H$6:$H932,TRUE()))</f>
        <v/>
      </c>
      <c r="J932" s="5" t="str">
        <f aca="false">IF($I932="","","R"&amp;$I932)</f>
        <v/>
      </c>
    </row>
    <row r="933" customFormat="false" ht="15" hidden="false" customHeight="true" outlineLevel="0" collapsed="false">
      <c r="H933" s="14" t="b">
        <f aca="false">IF(중복검사!$A931="",FALSE(),중복검사!$J931="유지")</f>
        <v>0</v>
      </c>
      <c r="I933" s="5" t="str">
        <f aca="false">IF($H933=FALSE(),"",COUNTIF($H$6:$H933,TRUE()))</f>
        <v/>
      </c>
      <c r="J933" s="5" t="str">
        <f aca="false">IF($I933="","","R"&amp;$I933)</f>
        <v/>
      </c>
    </row>
    <row r="934" customFormat="false" ht="15" hidden="false" customHeight="true" outlineLevel="0" collapsed="false">
      <c r="H934" s="14" t="b">
        <f aca="false">IF(중복검사!$A932="",FALSE(),중복검사!$J932="유지")</f>
        <v>0</v>
      </c>
      <c r="I934" s="5" t="str">
        <f aca="false">IF($H934=FALSE(),"",COUNTIF($H$6:$H934,TRUE()))</f>
        <v/>
      </c>
      <c r="J934" s="5" t="str">
        <f aca="false">IF($I934="","","R"&amp;$I934)</f>
        <v/>
      </c>
    </row>
    <row r="935" customFormat="false" ht="15" hidden="false" customHeight="true" outlineLevel="0" collapsed="false">
      <c r="H935" s="14" t="b">
        <f aca="false">IF(중복검사!$A933="",FALSE(),중복검사!$J933="유지")</f>
        <v>0</v>
      </c>
      <c r="I935" s="5" t="str">
        <f aca="false">IF($H935=FALSE(),"",COUNTIF($H$6:$H935,TRUE()))</f>
        <v/>
      </c>
      <c r="J935" s="5" t="str">
        <f aca="false">IF($I935="","","R"&amp;$I935)</f>
        <v/>
      </c>
    </row>
    <row r="936" customFormat="false" ht="15" hidden="false" customHeight="true" outlineLevel="0" collapsed="false">
      <c r="H936" s="14" t="b">
        <f aca="false">IF(중복검사!$A934="",FALSE(),중복검사!$J934="유지")</f>
        <v>0</v>
      </c>
      <c r="I936" s="5" t="str">
        <f aca="false">IF($H936=FALSE(),"",COUNTIF($H$6:$H936,TRUE()))</f>
        <v/>
      </c>
      <c r="J936" s="5" t="str">
        <f aca="false">IF($I936="","","R"&amp;$I936)</f>
        <v/>
      </c>
    </row>
    <row r="937" customFormat="false" ht="15" hidden="false" customHeight="true" outlineLevel="0" collapsed="false">
      <c r="H937" s="14" t="b">
        <f aca="false">IF(중복검사!$A935="",FALSE(),중복검사!$J935="유지")</f>
        <v>0</v>
      </c>
      <c r="I937" s="5" t="str">
        <f aca="false">IF($H937=FALSE(),"",COUNTIF($H$6:$H937,TRUE()))</f>
        <v/>
      </c>
      <c r="J937" s="5" t="str">
        <f aca="false">IF($I937="","","R"&amp;$I937)</f>
        <v/>
      </c>
    </row>
    <row r="938" customFormat="false" ht="15" hidden="false" customHeight="true" outlineLevel="0" collapsed="false">
      <c r="H938" s="14" t="b">
        <f aca="false">IF(중복검사!$A936="",FALSE(),중복검사!$J936="유지")</f>
        <v>0</v>
      </c>
      <c r="I938" s="5" t="str">
        <f aca="false">IF($H938=FALSE(),"",COUNTIF($H$6:$H938,TRUE()))</f>
        <v/>
      </c>
      <c r="J938" s="5" t="str">
        <f aca="false">IF($I938="","","R"&amp;$I938)</f>
        <v/>
      </c>
    </row>
    <row r="939" customFormat="false" ht="15" hidden="false" customHeight="true" outlineLevel="0" collapsed="false">
      <c r="H939" s="14" t="b">
        <f aca="false">IF(중복검사!$A937="",FALSE(),중복검사!$J937="유지")</f>
        <v>0</v>
      </c>
      <c r="I939" s="5" t="str">
        <f aca="false">IF($H939=FALSE(),"",COUNTIF($H$6:$H939,TRUE()))</f>
        <v/>
      </c>
      <c r="J939" s="5" t="str">
        <f aca="false">IF($I939="","","R"&amp;$I939)</f>
        <v/>
      </c>
    </row>
    <row r="940" customFormat="false" ht="15" hidden="false" customHeight="true" outlineLevel="0" collapsed="false">
      <c r="H940" s="14" t="b">
        <f aca="false">IF(중복검사!$A938="",FALSE(),중복검사!$J938="유지")</f>
        <v>0</v>
      </c>
      <c r="I940" s="5" t="str">
        <f aca="false">IF($H940=FALSE(),"",COUNTIF($H$6:$H940,TRUE()))</f>
        <v/>
      </c>
      <c r="J940" s="5" t="str">
        <f aca="false">IF($I940="","","R"&amp;$I940)</f>
        <v/>
      </c>
    </row>
    <row r="941" customFormat="false" ht="15" hidden="false" customHeight="true" outlineLevel="0" collapsed="false">
      <c r="H941" s="14" t="b">
        <f aca="false">IF(중복검사!$A939="",FALSE(),중복검사!$J939="유지")</f>
        <v>0</v>
      </c>
      <c r="I941" s="5" t="str">
        <f aca="false">IF($H941=FALSE(),"",COUNTIF($H$6:$H941,TRUE()))</f>
        <v/>
      </c>
      <c r="J941" s="5" t="str">
        <f aca="false">IF($I941="","","R"&amp;$I941)</f>
        <v/>
      </c>
    </row>
    <row r="942" customFormat="false" ht="15" hidden="false" customHeight="true" outlineLevel="0" collapsed="false">
      <c r="H942" s="14" t="b">
        <f aca="false">IF(중복검사!$A940="",FALSE(),중복검사!$J940="유지")</f>
        <v>0</v>
      </c>
      <c r="I942" s="5" t="str">
        <f aca="false">IF($H942=FALSE(),"",COUNTIF($H$6:$H942,TRUE()))</f>
        <v/>
      </c>
      <c r="J942" s="5" t="str">
        <f aca="false">IF($I942="","","R"&amp;$I942)</f>
        <v/>
      </c>
    </row>
    <row r="943" customFormat="false" ht="15" hidden="false" customHeight="true" outlineLevel="0" collapsed="false">
      <c r="H943" s="14" t="b">
        <f aca="false">IF(중복검사!$A941="",FALSE(),중복검사!$J941="유지")</f>
        <v>0</v>
      </c>
      <c r="I943" s="5" t="str">
        <f aca="false">IF($H943=FALSE(),"",COUNTIF($H$6:$H943,TRUE()))</f>
        <v/>
      </c>
      <c r="J943" s="5" t="str">
        <f aca="false">IF($I943="","","R"&amp;$I943)</f>
        <v/>
      </c>
    </row>
    <row r="944" customFormat="false" ht="15" hidden="false" customHeight="true" outlineLevel="0" collapsed="false">
      <c r="H944" s="14" t="b">
        <f aca="false">IF(중복검사!$A942="",FALSE(),중복검사!$J942="유지")</f>
        <v>0</v>
      </c>
      <c r="I944" s="5" t="str">
        <f aca="false">IF($H944=FALSE(),"",COUNTIF($H$6:$H944,TRUE()))</f>
        <v/>
      </c>
      <c r="J944" s="5" t="str">
        <f aca="false">IF($I944="","","R"&amp;$I944)</f>
        <v/>
      </c>
    </row>
    <row r="945" customFormat="false" ht="15" hidden="false" customHeight="true" outlineLevel="0" collapsed="false">
      <c r="H945" s="14" t="b">
        <f aca="false">IF(중복검사!$A943="",FALSE(),중복검사!$J943="유지")</f>
        <v>0</v>
      </c>
      <c r="I945" s="5" t="str">
        <f aca="false">IF($H945=FALSE(),"",COUNTIF($H$6:$H945,TRUE()))</f>
        <v/>
      </c>
      <c r="J945" s="5" t="str">
        <f aca="false">IF($I945="","","R"&amp;$I945)</f>
        <v/>
      </c>
    </row>
    <row r="946" customFormat="false" ht="15" hidden="false" customHeight="true" outlineLevel="0" collapsed="false">
      <c r="H946" s="14" t="b">
        <f aca="false">IF(중복검사!$A944="",FALSE(),중복검사!$J944="유지")</f>
        <v>0</v>
      </c>
      <c r="I946" s="5" t="str">
        <f aca="false">IF($H946=FALSE(),"",COUNTIF($H$6:$H946,TRUE()))</f>
        <v/>
      </c>
      <c r="J946" s="5" t="str">
        <f aca="false">IF($I946="","","R"&amp;$I946)</f>
        <v/>
      </c>
    </row>
    <row r="947" customFormat="false" ht="15" hidden="false" customHeight="true" outlineLevel="0" collapsed="false">
      <c r="H947" s="14" t="b">
        <f aca="false">IF(중복검사!$A945="",FALSE(),중복검사!$J945="유지")</f>
        <v>0</v>
      </c>
      <c r="I947" s="5" t="str">
        <f aca="false">IF($H947=FALSE(),"",COUNTIF($H$6:$H947,TRUE()))</f>
        <v/>
      </c>
      <c r="J947" s="5" t="str">
        <f aca="false">IF($I947="","","R"&amp;$I947)</f>
        <v/>
      </c>
    </row>
    <row r="948" customFormat="false" ht="15" hidden="false" customHeight="true" outlineLevel="0" collapsed="false">
      <c r="H948" s="14" t="b">
        <f aca="false">IF(중복검사!$A946="",FALSE(),중복검사!$J946="유지")</f>
        <v>0</v>
      </c>
      <c r="I948" s="5" t="str">
        <f aca="false">IF($H948=FALSE(),"",COUNTIF($H$6:$H948,TRUE()))</f>
        <v/>
      </c>
      <c r="J948" s="5" t="str">
        <f aca="false">IF($I948="","","R"&amp;$I948)</f>
        <v/>
      </c>
    </row>
    <row r="949" customFormat="false" ht="15" hidden="false" customHeight="true" outlineLevel="0" collapsed="false">
      <c r="H949" s="14" t="b">
        <f aca="false">IF(중복검사!$A947="",FALSE(),중복검사!$J947="유지")</f>
        <v>0</v>
      </c>
      <c r="I949" s="5" t="str">
        <f aca="false">IF($H949=FALSE(),"",COUNTIF($H$6:$H949,TRUE()))</f>
        <v/>
      </c>
      <c r="J949" s="5" t="str">
        <f aca="false">IF($I949="","","R"&amp;$I949)</f>
        <v/>
      </c>
    </row>
    <row r="950" customFormat="false" ht="15" hidden="false" customHeight="true" outlineLevel="0" collapsed="false">
      <c r="H950" s="14" t="b">
        <f aca="false">IF(중복검사!$A948="",FALSE(),중복검사!$J948="유지")</f>
        <v>0</v>
      </c>
      <c r="I950" s="5" t="str">
        <f aca="false">IF($H950=FALSE(),"",COUNTIF($H$6:$H950,TRUE()))</f>
        <v/>
      </c>
      <c r="J950" s="5" t="str">
        <f aca="false">IF($I950="","","R"&amp;$I950)</f>
        <v/>
      </c>
    </row>
    <row r="951" customFormat="false" ht="15" hidden="false" customHeight="true" outlineLevel="0" collapsed="false">
      <c r="H951" s="14" t="b">
        <f aca="false">IF(중복검사!$A949="",FALSE(),중복검사!$J949="유지")</f>
        <v>0</v>
      </c>
      <c r="I951" s="5" t="str">
        <f aca="false">IF($H951=FALSE(),"",COUNTIF($H$6:$H951,TRUE()))</f>
        <v/>
      </c>
      <c r="J951" s="5" t="str">
        <f aca="false">IF($I951="","","R"&amp;$I951)</f>
        <v/>
      </c>
    </row>
    <row r="952" customFormat="false" ht="15" hidden="false" customHeight="true" outlineLevel="0" collapsed="false">
      <c r="H952" s="14" t="b">
        <f aca="false">IF(중복검사!$A950="",FALSE(),중복검사!$J950="유지")</f>
        <v>0</v>
      </c>
      <c r="I952" s="5" t="str">
        <f aca="false">IF($H952=FALSE(),"",COUNTIF($H$6:$H952,TRUE()))</f>
        <v/>
      </c>
      <c r="J952" s="5" t="str">
        <f aca="false">IF($I952="","","R"&amp;$I952)</f>
        <v/>
      </c>
    </row>
    <row r="953" customFormat="false" ht="15" hidden="false" customHeight="true" outlineLevel="0" collapsed="false">
      <c r="H953" s="14" t="b">
        <f aca="false">IF(중복검사!$A951="",FALSE(),중복검사!$J951="유지")</f>
        <v>0</v>
      </c>
      <c r="I953" s="5" t="str">
        <f aca="false">IF($H953=FALSE(),"",COUNTIF($H$6:$H953,TRUE()))</f>
        <v/>
      </c>
      <c r="J953" s="5" t="str">
        <f aca="false">IF($I953="","","R"&amp;$I953)</f>
        <v/>
      </c>
    </row>
    <row r="954" customFormat="false" ht="15" hidden="false" customHeight="true" outlineLevel="0" collapsed="false">
      <c r="H954" s="14" t="b">
        <f aca="false">IF(중복검사!$A952="",FALSE(),중복검사!$J952="유지")</f>
        <v>0</v>
      </c>
      <c r="I954" s="5" t="str">
        <f aca="false">IF($H954=FALSE(),"",COUNTIF($H$6:$H954,TRUE()))</f>
        <v/>
      </c>
      <c r="J954" s="5" t="str">
        <f aca="false">IF($I954="","","R"&amp;$I954)</f>
        <v/>
      </c>
    </row>
    <row r="955" customFormat="false" ht="15" hidden="false" customHeight="true" outlineLevel="0" collapsed="false">
      <c r="H955" s="14" t="b">
        <f aca="false">IF(중복검사!$A953="",FALSE(),중복검사!$J953="유지")</f>
        <v>0</v>
      </c>
      <c r="I955" s="5" t="str">
        <f aca="false">IF($H955=FALSE(),"",COUNTIF($H$6:$H955,TRUE()))</f>
        <v/>
      </c>
      <c r="J955" s="5" t="str">
        <f aca="false">IF($I955="","","R"&amp;$I955)</f>
        <v/>
      </c>
    </row>
    <row r="956" customFormat="false" ht="15" hidden="false" customHeight="true" outlineLevel="0" collapsed="false">
      <c r="H956" s="14" t="b">
        <f aca="false">IF(중복검사!$A954="",FALSE(),중복검사!$J954="유지")</f>
        <v>0</v>
      </c>
      <c r="I956" s="5" t="str">
        <f aca="false">IF($H956=FALSE(),"",COUNTIF($H$6:$H956,TRUE()))</f>
        <v/>
      </c>
      <c r="J956" s="5" t="str">
        <f aca="false">IF($I956="","","R"&amp;$I956)</f>
        <v/>
      </c>
    </row>
    <row r="957" customFormat="false" ht="15" hidden="false" customHeight="true" outlineLevel="0" collapsed="false">
      <c r="H957" s="14" t="b">
        <f aca="false">IF(중복검사!$A955="",FALSE(),중복검사!$J955="유지")</f>
        <v>0</v>
      </c>
      <c r="I957" s="5" t="str">
        <f aca="false">IF($H957=FALSE(),"",COUNTIF($H$6:$H957,TRUE()))</f>
        <v/>
      </c>
      <c r="J957" s="5" t="str">
        <f aca="false">IF($I957="","","R"&amp;$I957)</f>
        <v/>
      </c>
    </row>
    <row r="958" customFormat="false" ht="15" hidden="false" customHeight="true" outlineLevel="0" collapsed="false">
      <c r="H958" s="14" t="b">
        <f aca="false">IF(중복검사!$A956="",FALSE(),중복검사!$J956="유지")</f>
        <v>0</v>
      </c>
      <c r="I958" s="5" t="str">
        <f aca="false">IF($H958=FALSE(),"",COUNTIF($H$6:$H958,TRUE()))</f>
        <v/>
      </c>
      <c r="J958" s="5" t="str">
        <f aca="false">IF($I958="","","R"&amp;$I958)</f>
        <v/>
      </c>
    </row>
    <row r="959" customFormat="false" ht="15" hidden="false" customHeight="true" outlineLevel="0" collapsed="false">
      <c r="H959" s="14" t="b">
        <f aca="false">IF(중복검사!$A957="",FALSE(),중복검사!$J957="유지")</f>
        <v>0</v>
      </c>
      <c r="I959" s="5" t="str">
        <f aca="false">IF($H959=FALSE(),"",COUNTIF($H$6:$H959,TRUE()))</f>
        <v/>
      </c>
      <c r="J959" s="5" t="str">
        <f aca="false">IF($I959="","","R"&amp;$I959)</f>
        <v/>
      </c>
    </row>
    <row r="960" customFormat="false" ht="15" hidden="false" customHeight="true" outlineLevel="0" collapsed="false">
      <c r="H960" s="14" t="b">
        <f aca="false">IF(중복검사!$A958="",FALSE(),중복검사!$J958="유지")</f>
        <v>0</v>
      </c>
      <c r="I960" s="5" t="str">
        <f aca="false">IF($H960=FALSE(),"",COUNTIF($H$6:$H960,TRUE()))</f>
        <v/>
      </c>
      <c r="J960" s="5" t="str">
        <f aca="false">IF($I960="","","R"&amp;$I960)</f>
        <v/>
      </c>
    </row>
    <row r="961" customFormat="false" ht="15" hidden="false" customHeight="true" outlineLevel="0" collapsed="false">
      <c r="H961" s="14" t="b">
        <f aca="false">IF(중복검사!$A959="",FALSE(),중복검사!$J959="유지")</f>
        <v>0</v>
      </c>
      <c r="I961" s="5" t="str">
        <f aca="false">IF($H961=FALSE(),"",COUNTIF($H$6:$H961,TRUE()))</f>
        <v/>
      </c>
      <c r="J961" s="5" t="str">
        <f aca="false">IF($I961="","","R"&amp;$I961)</f>
        <v/>
      </c>
    </row>
    <row r="962" customFormat="false" ht="15" hidden="false" customHeight="true" outlineLevel="0" collapsed="false">
      <c r="H962" s="14" t="b">
        <f aca="false">IF(중복검사!$A960="",FALSE(),중복검사!$J960="유지")</f>
        <v>0</v>
      </c>
      <c r="I962" s="5" t="str">
        <f aca="false">IF($H962=FALSE(),"",COUNTIF($H$6:$H962,TRUE()))</f>
        <v/>
      </c>
      <c r="J962" s="5" t="str">
        <f aca="false">IF($I962="","","R"&amp;$I962)</f>
        <v/>
      </c>
    </row>
    <row r="963" customFormat="false" ht="15" hidden="false" customHeight="true" outlineLevel="0" collapsed="false">
      <c r="H963" s="14" t="b">
        <f aca="false">IF(중복검사!$A961="",FALSE(),중복검사!$J961="유지")</f>
        <v>0</v>
      </c>
      <c r="I963" s="5" t="str">
        <f aca="false">IF($H963=FALSE(),"",COUNTIF($H$6:$H963,TRUE()))</f>
        <v/>
      </c>
      <c r="J963" s="5" t="str">
        <f aca="false">IF($I963="","","R"&amp;$I963)</f>
        <v/>
      </c>
    </row>
    <row r="964" customFormat="false" ht="15" hidden="false" customHeight="true" outlineLevel="0" collapsed="false">
      <c r="H964" s="14" t="b">
        <f aca="false">IF(중복검사!$A962="",FALSE(),중복검사!$J962="유지")</f>
        <v>0</v>
      </c>
      <c r="I964" s="5" t="str">
        <f aca="false">IF($H964=FALSE(),"",COUNTIF($H$6:$H964,TRUE()))</f>
        <v/>
      </c>
      <c r="J964" s="5" t="str">
        <f aca="false">IF($I964="","","R"&amp;$I964)</f>
        <v/>
      </c>
    </row>
    <row r="965" customFormat="false" ht="15" hidden="false" customHeight="true" outlineLevel="0" collapsed="false">
      <c r="H965" s="14" t="b">
        <f aca="false">IF(중복검사!$A963="",FALSE(),중복검사!$J963="유지")</f>
        <v>0</v>
      </c>
      <c r="I965" s="5" t="str">
        <f aca="false">IF($H965=FALSE(),"",COUNTIF($H$6:$H965,TRUE()))</f>
        <v/>
      </c>
      <c r="J965" s="5" t="str">
        <f aca="false">IF($I965="","","R"&amp;$I965)</f>
        <v/>
      </c>
    </row>
    <row r="966" customFormat="false" ht="15" hidden="false" customHeight="true" outlineLevel="0" collapsed="false">
      <c r="H966" s="14" t="b">
        <f aca="false">IF(중복검사!$A964="",FALSE(),중복검사!$J964="유지")</f>
        <v>0</v>
      </c>
      <c r="I966" s="5" t="str">
        <f aca="false">IF($H966=FALSE(),"",COUNTIF($H$6:$H966,TRUE()))</f>
        <v/>
      </c>
      <c r="J966" s="5" t="str">
        <f aca="false">IF($I966="","","R"&amp;$I966)</f>
        <v/>
      </c>
    </row>
    <row r="967" customFormat="false" ht="15" hidden="false" customHeight="true" outlineLevel="0" collapsed="false">
      <c r="H967" s="14" t="b">
        <f aca="false">IF(중복검사!$A965="",FALSE(),중복검사!$J965="유지")</f>
        <v>0</v>
      </c>
      <c r="I967" s="5" t="str">
        <f aca="false">IF($H967=FALSE(),"",COUNTIF($H$6:$H967,TRUE()))</f>
        <v/>
      </c>
      <c r="J967" s="5" t="str">
        <f aca="false">IF($I967="","","R"&amp;$I967)</f>
        <v/>
      </c>
    </row>
    <row r="968" customFormat="false" ht="15" hidden="false" customHeight="true" outlineLevel="0" collapsed="false">
      <c r="H968" s="14" t="b">
        <f aca="false">IF(중복검사!$A966="",FALSE(),중복검사!$J966="유지")</f>
        <v>0</v>
      </c>
      <c r="I968" s="5" t="str">
        <f aca="false">IF($H968=FALSE(),"",COUNTIF($H$6:$H968,TRUE()))</f>
        <v/>
      </c>
      <c r="J968" s="5" t="str">
        <f aca="false">IF($I968="","","R"&amp;$I968)</f>
        <v/>
      </c>
    </row>
    <row r="969" customFormat="false" ht="15" hidden="false" customHeight="true" outlineLevel="0" collapsed="false">
      <c r="H969" s="14" t="b">
        <f aca="false">IF(중복검사!$A967="",FALSE(),중복검사!$J967="유지")</f>
        <v>0</v>
      </c>
      <c r="I969" s="5" t="str">
        <f aca="false">IF($H969=FALSE(),"",COUNTIF($H$6:$H969,TRUE()))</f>
        <v/>
      </c>
      <c r="J969" s="5" t="str">
        <f aca="false">IF($I969="","","R"&amp;$I969)</f>
        <v/>
      </c>
    </row>
    <row r="970" customFormat="false" ht="15" hidden="false" customHeight="true" outlineLevel="0" collapsed="false">
      <c r="H970" s="14" t="b">
        <f aca="false">IF(중복검사!$A968="",FALSE(),중복검사!$J968="유지")</f>
        <v>0</v>
      </c>
      <c r="I970" s="5" t="str">
        <f aca="false">IF($H970=FALSE(),"",COUNTIF($H$6:$H970,TRUE()))</f>
        <v/>
      </c>
      <c r="J970" s="5" t="str">
        <f aca="false">IF($I970="","","R"&amp;$I970)</f>
        <v/>
      </c>
    </row>
    <row r="971" customFormat="false" ht="15" hidden="false" customHeight="true" outlineLevel="0" collapsed="false">
      <c r="H971" s="14" t="b">
        <f aca="false">IF(중복검사!$A969="",FALSE(),중복검사!$J969="유지")</f>
        <v>0</v>
      </c>
      <c r="I971" s="5" t="str">
        <f aca="false">IF($H971=FALSE(),"",COUNTIF($H$6:$H971,TRUE()))</f>
        <v/>
      </c>
      <c r="J971" s="5" t="str">
        <f aca="false">IF($I971="","","R"&amp;$I971)</f>
        <v/>
      </c>
    </row>
    <row r="972" customFormat="false" ht="15" hidden="false" customHeight="true" outlineLevel="0" collapsed="false">
      <c r="H972" s="14" t="b">
        <f aca="false">IF(중복검사!$A970="",FALSE(),중복검사!$J970="유지")</f>
        <v>0</v>
      </c>
      <c r="I972" s="5" t="str">
        <f aca="false">IF($H972=FALSE(),"",COUNTIF($H$6:$H972,TRUE()))</f>
        <v/>
      </c>
      <c r="J972" s="5" t="str">
        <f aca="false">IF($I972="","","R"&amp;$I972)</f>
        <v/>
      </c>
    </row>
    <row r="973" customFormat="false" ht="15" hidden="false" customHeight="true" outlineLevel="0" collapsed="false">
      <c r="H973" s="14" t="b">
        <f aca="false">IF(중복검사!$A971="",FALSE(),중복검사!$J971="유지")</f>
        <v>0</v>
      </c>
      <c r="I973" s="5" t="str">
        <f aca="false">IF($H973=FALSE(),"",COUNTIF($H$6:$H973,TRUE()))</f>
        <v/>
      </c>
      <c r="J973" s="5" t="str">
        <f aca="false">IF($I973="","","R"&amp;$I973)</f>
        <v/>
      </c>
    </row>
    <row r="974" customFormat="false" ht="15" hidden="false" customHeight="true" outlineLevel="0" collapsed="false">
      <c r="H974" s="14" t="b">
        <f aca="false">IF(중복검사!$A972="",FALSE(),중복검사!$J972="유지")</f>
        <v>0</v>
      </c>
      <c r="I974" s="5" t="str">
        <f aca="false">IF($H974=FALSE(),"",COUNTIF($H$6:$H974,TRUE()))</f>
        <v/>
      </c>
      <c r="J974" s="5" t="str">
        <f aca="false">IF($I974="","","R"&amp;$I974)</f>
        <v/>
      </c>
    </row>
    <row r="975" customFormat="false" ht="15" hidden="false" customHeight="true" outlineLevel="0" collapsed="false">
      <c r="H975" s="14" t="b">
        <f aca="false">IF(중복검사!$A973="",FALSE(),중복검사!$J973="유지")</f>
        <v>0</v>
      </c>
      <c r="I975" s="5" t="str">
        <f aca="false">IF($H975=FALSE(),"",COUNTIF($H$6:$H975,TRUE()))</f>
        <v/>
      </c>
      <c r="J975" s="5" t="str">
        <f aca="false">IF($I975="","","R"&amp;$I975)</f>
        <v/>
      </c>
    </row>
    <row r="976" customFormat="false" ht="15" hidden="false" customHeight="true" outlineLevel="0" collapsed="false">
      <c r="H976" s="14" t="b">
        <f aca="false">IF(중복검사!$A974="",FALSE(),중복검사!$J974="유지")</f>
        <v>0</v>
      </c>
      <c r="I976" s="5" t="str">
        <f aca="false">IF($H976=FALSE(),"",COUNTIF($H$6:$H976,TRUE()))</f>
        <v/>
      </c>
      <c r="J976" s="5" t="str">
        <f aca="false">IF($I976="","","R"&amp;$I976)</f>
        <v/>
      </c>
    </row>
    <row r="977" customFormat="false" ht="15" hidden="false" customHeight="true" outlineLevel="0" collapsed="false">
      <c r="H977" s="14" t="b">
        <f aca="false">IF(중복검사!$A975="",FALSE(),중복검사!$J975="유지")</f>
        <v>0</v>
      </c>
      <c r="I977" s="5" t="str">
        <f aca="false">IF($H977=FALSE(),"",COUNTIF($H$6:$H977,TRUE()))</f>
        <v/>
      </c>
      <c r="J977" s="5" t="str">
        <f aca="false">IF($I977="","","R"&amp;$I977)</f>
        <v/>
      </c>
    </row>
    <row r="978" customFormat="false" ht="15" hidden="false" customHeight="true" outlineLevel="0" collapsed="false">
      <c r="H978" s="14" t="b">
        <f aca="false">IF(중복검사!$A976="",FALSE(),중복검사!$J976="유지")</f>
        <v>0</v>
      </c>
      <c r="I978" s="5" t="str">
        <f aca="false">IF($H978=FALSE(),"",COUNTIF($H$6:$H978,TRUE()))</f>
        <v/>
      </c>
      <c r="J978" s="5" t="str">
        <f aca="false">IF($I978="","","R"&amp;$I978)</f>
        <v/>
      </c>
    </row>
    <row r="979" customFormat="false" ht="15" hidden="false" customHeight="true" outlineLevel="0" collapsed="false">
      <c r="H979" s="14" t="b">
        <f aca="false">IF(중복검사!$A977="",FALSE(),중복검사!$J977="유지")</f>
        <v>0</v>
      </c>
      <c r="I979" s="5" t="str">
        <f aca="false">IF($H979=FALSE(),"",COUNTIF($H$6:$H979,TRUE()))</f>
        <v/>
      </c>
      <c r="J979" s="5" t="str">
        <f aca="false">IF($I979="","","R"&amp;$I979)</f>
        <v/>
      </c>
    </row>
    <row r="980" customFormat="false" ht="15" hidden="false" customHeight="true" outlineLevel="0" collapsed="false">
      <c r="H980" s="14" t="b">
        <f aca="false">IF(중복검사!$A978="",FALSE(),중복검사!$J978="유지")</f>
        <v>0</v>
      </c>
      <c r="I980" s="5" t="str">
        <f aca="false">IF($H980=FALSE(),"",COUNTIF($H$6:$H980,TRUE()))</f>
        <v/>
      </c>
      <c r="J980" s="5" t="str">
        <f aca="false">IF($I980="","","R"&amp;$I980)</f>
        <v/>
      </c>
    </row>
    <row r="981" customFormat="false" ht="15" hidden="false" customHeight="true" outlineLevel="0" collapsed="false">
      <c r="H981" s="14" t="b">
        <f aca="false">IF(중복검사!$A979="",FALSE(),중복검사!$J979="유지")</f>
        <v>0</v>
      </c>
      <c r="I981" s="5" t="str">
        <f aca="false">IF($H981=FALSE(),"",COUNTIF($H$6:$H981,TRUE()))</f>
        <v/>
      </c>
      <c r="J981" s="5" t="str">
        <f aca="false">IF($I981="","","R"&amp;$I981)</f>
        <v/>
      </c>
    </row>
    <row r="982" customFormat="false" ht="15" hidden="false" customHeight="true" outlineLevel="0" collapsed="false">
      <c r="H982" s="14" t="b">
        <f aca="false">IF(중복검사!$A980="",FALSE(),중복검사!$J980="유지")</f>
        <v>0</v>
      </c>
      <c r="I982" s="5" t="str">
        <f aca="false">IF($H982=FALSE(),"",COUNTIF($H$6:$H982,TRUE()))</f>
        <v/>
      </c>
      <c r="J982" s="5" t="str">
        <f aca="false">IF($I982="","","R"&amp;$I982)</f>
        <v/>
      </c>
    </row>
    <row r="983" customFormat="false" ht="15" hidden="false" customHeight="true" outlineLevel="0" collapsed="false">
      <c r="H983" s="14" t="b">
        <f aca="false">IF(중복검사!$A981="",FALSE(),중복검사!$J981="유지")</f>
        <v>0</v>
      </c>
      <c r="I983" s="5" t="str">
        <f aca="false">IF($H983=FALSE(),"",COUNTIF($H$6:$H983,TRUE()))</f>
        <v/>
      </c>
      <c r="J983" s="5" t="str">
        <f aca="false">IF($I983="","","R"&amp;$I983)</f>
        <v/>
      </c>
    </row>
    <row r="984" customFormat="false" ht="15" hidden="false" customHeight="true" outlineLevel="0" collapsed="false">
      <c r="H984" s="14" t="b">
        <f aca="false">IF(중복검사!$A982="",FALSE(),중복검사!$J982="유지")</f>
        <v>0</v>
      </c>
      <c r="I984" s="5" t="str">
        <f aca="false">IF($H984=FALSE(),"",COUNTIF($H$6:$H984,TRUE()))</f>
        <v/>
      </c>
      <c r="J984" s="5" t="str">
        <f aca="false">IF($I984="","","R"&amp;$I984)</f>
        <v/>
      </c>
    </row>
    <row r="985" customFormat="false" ht="15" hidden="false" customHeight="true" outlineLevel="0" collapsed="false">
      <c r="H985" s="14" t="b">
        <f aca="false">IF(중복검사!$A983="",FALSE(),중복검사!$J983="유지")</f>
        <v>0</v>
      </c>
      <c r="I985" s="5" t="str">
        <f aca="false">IF($H985=FALSE(),"",COUNTIF($H$6:$H985,TRUE()))</f>
        <v/>
      </c>
      <c r="J985" s="5" t="str">
        <f aca="false">IF($I985="","","R"&amp;$I985)</f>
        <v/>
      </c>
    </row>
    <row r="986" customFormat="false" ht="15" hidden="false" customHeight="true" outlineLevel="0" collapsed="false">
      <c r="H986" s="14" t="b">
        <f aca="false">IF(중복검사!$A984="",FALSE(),중복검사!$J984="유지")</f>
        <v>0</v>
      </c>
      <c r="I986" s="5" t="str">
        <f aca="false">IF($H986=FALSE(),"",COUNTIF($H$6:$H986,TRUE()))</f>
        <v/>
      </c>
      <c r="J986" s="5" t="str">
        <f aca="false">IF($I986="","","R"&amp;$I986)</f>
        <v/>
      </c>
    </row>
    <row r="987" customFormat="false" ht="15" hidden="false" customHeight="true" outlineLevel="0" collapsed="false">
      <c r="H987" s="14" t="b">
        <f aca="false">IF(중복검사!$A985="",FALSE(),중복검사!$J985="유지")</f>
        <v>0</v>
      </c>
      <c r="I987" s="5" t="str">
        <f aca="false">IF($H987=FALSE(),"",COUNTIF($H$6:$H987,TRUE()))</f>
        <v/>
      </c>
      <c r="J987" s="5" t="str">
        <f aca="false">IF($I987="","","R"&amp;$I987)</f>
        <v/>
      </c>
    </row>
    <row r="988" customFormat="false" ht="15" hidden="false" customHeight="true" outlineLevel="0" collapsed="false">
      <c r="H988" s="14" t="b">
        <f aca="false">IF(중복검사!$A986="",FALSE(),중복검사!$J986="유지")</f>
        <v>0</v>
      </c>
      <c r="I988" s="5" t="str">
        <f aca="false">IF($H988=FALSE(),"",COUNTIF($H$6:$H988,TRUE()))</f>
        <v/>
      </c>
      <c r="J988" s="5" t="str">
        <f aca="false">IF($I988="","","R"&amp;$I988)</f>
        <v/>
      </c>
    </row>
    <row r="989" customFormat="false" ht="15" hidden="false" customHeight="true" outlineLevel="0" collapsed="false">
      <c r="H989" s="14" t="b">
        <f aca="false">IF(중복검사!$A987="",FALSE(),중복검사!$J987="유지")</f>
        <v>0</v>
      </c>
      <c r="I989" s="5" t="str">
        <f aca="false">IF($H989=FALSE(),"",COUNTIF($H$6:$H989,TRUE()))</f>
        <v/>
      </c>
      <c r="J989" s="5" t="str">
        <f aca="false">IF($I989="","","R"&amp;$I989)</f>
        <v/>
      </c>
    </row>
    <row r="990" customFormat="false" ht="15" hidden="false" customHeight="true" outlineLevel="0" collapsed="false">
      <c r="H990" s="14" t="b">
        <f aca="false">IF(중복검사!$A988="",FALSE(),중복검사!$J988="유지")</f>
        <v>0</v>
      </c>
      <c r="I990" s="5" t="str">
        <f aca="false">IF($H990=FALSE(),"",COUNTIF($H$6:$H990,TRUE()))</f>
        <v/>
      </c>
      <c r="J990" s="5" t="str">
        <f aca="false">IF($I990="","","R"&amp;$I990)</f>
        <v/>
      </c>
    </row>
    <row r="991" customFormat="false" ht="15" hidden="false" customHeight="true" outlineLevel="0" collapsed="false">
      <c r="H991" s="14" t="b">
        <f aca="false">IF(중복검사!$A989="",FALSE(),중복검사!$J989="유지")</f>
        <v>0</v>
      </c>
      <c r="I991" s="5" t="str">
        <f aca="false">IF($H991=FALSE(),"",COUNTIF($H$6:$H991,TRUE()))</f>
        <v/>
      </c>
      <c r="J991" s="5" t="str">
        <f aca="false">IF($I991="","","R"&amp;$I991)</f>
        <v/>
      </c>
    </row>
    <row r="992" customFormat="false" ht="15" hidden="false" customHeight="true" outlineLevel="0" collapsed="false">
      <c r="H992" s="14" t="b">
        <f aca="false">IF(중복검사!$A990="",FALSE(),중복검사!$J990="유지")</f>
        <v>0</v>
      </c>
      <c r="I992" s="5" t="str">
        <f aca="false">IF($H992=FALSE(),"",COUNTIF($H$6:$H992,TRUE()))</f>
        <v/>
      </c>
      <c r="J992" s="5" t="str">
        <f aca="false">IF($I992="","","R"&amp;$I992)</f>
        <v/>
      </c>
    </row>
    <row r="993" customFormat="false" ht="15" hidden="false" customHeight="true" outlineLevel="0" collapsed="false">
      <c r="H993" s="14" t="b">
        <f aca="false">IF(중복검사!$A991="",FALSE(),중복검사!$J991="유지")</f>
        <v>0</v>
      </c>
      <c r="I993" s="5" t="str">
        <f aca="false">IF($H993=FALSE(),"",COUNTIF($H$6:$H993,TRUE()))</f>
        <v/>
      </c>
      <c r="J993" s="5" t="str">
        <f aca="false">IF($I993="","","R"&amp;$I993)</f>
        <v/>
      </c>
    </row>
    <row r="994" customFormat="false" ht="15" hidden="false" customHeight="true" outlineLevel="0" collapsed="false">
      <c r="H994" s="14" t="b">
        <f aca="false">IF(중복검사!$A992="",FALSE(),중복검사!$J992="유지")</f>
        <v>0</v>
      </c>
      <c r="I994" s="5" t="str">
        <f aca="false">IF($H994=FALSE(),"",COUNTIF($H$6:$H994,TRUE()))</f>
        <v/>
      </c>
      <c r="J994" s="5" t="str">
        <f aca="false">IF($I994="","","R"&amp;$I994)</f>
        <v/>
      </c>
    </row>
    <row r="995" customFormat="false" ht="15" hidden="false" customHeight="true" outlineLevel="0" collapsed="false">
      <c r="H995" s="14" t="b">
        <f aca="false">IF(중복검사!$A993="",FALSE(),중복검사!$J993="유지")</f>
        <v>0</v>
      </c>
      <c r="I995" s="5" t="str">
        <f aca="false">IF($H995=FALSE(),"",COUNTIF($H$6:$H995,TRUE()))</f>
        <v/>
      </c>
      <c r="J995" s="5" t="str">
        <f aca="false">IF($I995="","","R"&amp;$I995)</f>
        <v/>
      </c>
    </row>
    <row r="996" customFormat="false" ht="15" hidden="false" customHeight="true" outlineLevel="0" collapsed="false">
      <c r="H996" s="14" t="b">
        <f aca="false">IF(중복검사!$A994="",FALSE(),중복검사!$J994="유지")</f>
        <v>0</v>
      </c>
      <c r="I996" s="5" t="str">
        <f aca="false">IF($H996=FALSE(),"",COUNTIF($H$6:$H996,TRUE()))</f>
        <v/>
      </c>
      <c r="J996" s="5" t="str">
        <f aca="false">IF($I996="","","R"&amp;$I996)</f>
        <v/>
      </c>
    </row>
    <row r="997" customFormat="false" ht="15" hidden="false" customHeight="true" outlineLevel="0" collapsed="false">
      <c r="H997" s="14" t="b">
        <f aca="false">IF(중복검사!$A995="",FALSE(),중복검사!$J995="유지")</f>
        <v>0</v>
      </c>
      <c r="I997" s="5" t="str">
        <f aca="false">IF($H997=FALSE(),"",COUNTIF($H$6:$H997,TRUE()))</f>
        <v/>
      </c>
      <c r="J997" s="5" t="str">
        <f aca="false">IF($I997="","","R"&amp;$I997)</f>
        <v/>
      </c>
    </row>
    <row r="998" customFormat="false" ht="15" hidden="false" customHeight="true" outlineLevel="0" collapsed="false">
      <c r="H998" s="14" t="b">
        <f aca="false">IF(중복검사!$A996="",FALSE(),중복검사!$J996="유지")</f>
        <v>0</v>
      </c>
      <c r="I998" s="5" t="str">
        <f aca="false">IF($H998=FALSE(),"",COUNTIF($H$6:$H998,TRUE()))</f>
        <v/>
      </c>
      <c r="J998" s="5" t="str">
        <f aca="false">IF($I998="","","R"&amp;$I998)</f>
        <v/>
      </c>
    </row>
    <row r="999" customFormat="false" ht="15" hidden="false" customHeight="true" outlineLevel="0" collapsed="false">
      <c r="H999" s="14" t="b">
        <f aca="false">IF(중복검사!$A997="",FALSE(),중복검사!$J997="유지")</f>
        <v>0</v>
      </c>
      <c r="I999" s="5" t="str">
        <f aca="false">IF($H999=FALSE(),"",COUNTIF($H$6:$H999,TRUE()))</f>
        <v/>
      </c>
      <c r="J999" s="5" t="str">
        <f aca="false">IF($I999="","","R"&amp;$I999)</f>
        <v/>
      </c>
    </row>
    <row r="1000" customFormat="false" ht="15" hidden="false" customHeight="true" outlineLevel="0" collapsed="false">
      <c r="H1000" s="14" t="b">
        <f aca="false">IF(중복검사!$A998="",FALSE(),중복검사!$J998="유지")</f>
        <v>0</v>
      </c>
      <c r="I1000" s="5" t="str">
        <f aca="false">IF($H1000=FALSE(),"",COUNTIF($H$6:$H1000,TRUE()))</f>
        <v/>
      </c>
      <c r="J1000" s="5" t="str">
        <f aca="false">IF($I1000="","","R"&amp;$I1000)</f>
        <v/>
      </c>
    </row>
    <row r="1001" customFormat="false" ht="15" hidden="false" customHeight="true" outlineLevel="0" collapsed="false">
      <c r="H1001" s="14" t="b">
        <f aca="false">IF(중복검사!$A999="",FALSE(),중복검사!$J999="유지")</f>
        <v>0</v>
      </c>
      <c r="I1001" s="5" t="str">
        <f aca="false">IF($H1001=FALSE(),"",COUNTIF($H$6:$H1001,TRUE()))</f>
        <v/>
      </c>
      <c r="J1001" s="5" t="str">
        <f aca="false">IF($I1001="","","R"&amp;$I1001)</f>
        <v/>
      </c>
    </row>
    <row r="1002" customFormat="false" ht="15" hidden="false" customHeight="true" outlineLevel="0" collapsed="false">
      <c r="H1002" s="14" t="b">
        <f aca="false">IF(중복검사!$A1000="",FALSE(),중복검사!$J1000="유지")</f>
        <v>0</v>
      </c>
      <c r="I1002" s="5" t="str">
        <f aca="false">IF($H1002=FALSE(),"",COUNTIF($H$6:$H1002,TRUE()))</f>
        <v/>
      </c>
      <c r="J1002" s="5" t="str">
        <f aca="false">IF($I1002="","","R"&amp;$I1002)</f>
        <v/>
      </c>
    </row>
    <row r="1003" customFormat="false" ht="15" hidden="false" customHeight="true" outlineLevel="0" collapsed="false">
      <c r="H1003" s="14" t="b">
        <f aca="false">IF(중복검사!$A1001="",FALSE(),중복검사!$J1001="유지")</f>
        <v>0</v>
      </c>
      <c r="I1003" s="5" t="str">
        <f aca="false">IF($H1003=FALSE(),"",COUNTIF($H$6:$H1003,TRUE()))</f>
        <v/>
      </c>
      <c r="J1003" s="5" t="str">
        <f aca="false">IF($I1003="","","R"&amp;$I1003)</f>
        <v/>
      </c>
    </row>
    <row r="1004" customFormat="false" ht="15" hidden="false" customHeight="true" outlineLevel="0" collapsed="false">
      <c r="H1004" s="14" t="b">
        <f aca="false">IF(중복검사!$A1002="",FALSE(),중복검사!$J1002="유지")</f>
        <v>0</v>
      </c>
      <c r="I1004" s="5" t="str">
        <f aca="false">IF($H1004=FALSE(),"",COUNTIF($H$6:$H1004,TRUE()))</f>
        <v/>
      </c>
      <c r="J1004" s="5" t="str">
        <f aca="false">IF($I1004="","","R"&amp;$I1004)</f>
        <v/>
      </c>
    </row>
    <row r="1005" customFormat="false" ht="15" hidden="false" customHeight="true" outlineLevel="0" collapsed="false">
      <c r="H1005" s="14" t="b">
        <f aca="false">IF(중복검사!$A1003="",FALSE(),중복검사!$J1003="유지")</f>
        <v>0</v>
      </c>
      <c r="I1005" s="5" t="str">
        <f aca="false">IF($H1005=FALSE(),"",COUNTIF($H$6:$H1005,TRUE()))</f>
        <v/>
      </c>
      <c r="J1005" s="5" t="str">
        <f aca="false">IF($I1005="","","R"&amp;$I1005)</f>
        <v/>
      </c>
    </row>
    <row r="1006" customFormat="false" ht="15" hidden="false" customHeight="true" outlineLevel="0" collapsed="false">
      <c r="H1006" s="14" t="b">
        <f aca="false">IF(중복검사!$A1004="",FALSE(),중복검사!$J1004="유지")</f>
        <v>0</v>
      </c>
      <c r="I1006" s="5" t="str">
        <f aca="false">IF($H1006=FALSE(),"",COUNTIF($H$6:$H1006,TRUE()))</f>
        <v/>
      </c>
      <c r="J1006" s="5" t="str">
        <f aca="false">IF($I1006="","","R"&amp;$I1006)</f>
        <v/>
      </c>
    </row>
    <row r="1007" customFormat="false" ht="15" hidden="false" customHeight="true" outlineLevel="0" collapsed="false">
      <c r="H1007" s="14" t="b">
        <f aca="false">IF(중복검사!$A1005="",FALSE(),중복검사!$J1005="유지")</f>
        <v>0</v>
      </c>
      <c r="I1007" s="5" t="str">
        <f aca="false">IF($H1007=FALSE(),"",COUNTIF($H$6:$H1007,TRUE()))</f>
        <v/>
      </c>
      <c r="J1007" s="5" t="str">
        <f aca="false">IF($I1007="","","R"&amp;$I1007)</f>
        <v/>
      </c>
    </row>
    <row r="1008" customFormat="false" ht="15" hidden="false" customHeight="true" outlineLevel="0" collapsed="false">
      <c r="H1008" s="14" t="b">
        <f aca="false">IF(중복검사!$A1006="",FALSE(),중복검사!$J1006="유지")</f>
        <v>0</v>
      </c>
      <c r="I1008" s="5" t="str">
        <f aca="false">IF($H1008=FALSE(),"",COUNTIF($H$6:$H1008,TRUE()))</f>
        <v/>
      </c>
      <c r="J1008" s="5" t="str">
        <f aca="false">IF($I1008="","","R"&amp;$I1008)</f>
        <v/>
      </c>
    </row>
    <row r="1009" customFormat="false" ht="15" hidden="false" customHeight="true" outlineLevel="0" collapsed="false">
      <c r="H1009" s="14" t="b">
        <f aca="false">IF(중복검사!$A1007="",FALSE(),중복검사!$J1007="유지")</f>
        <v>0</v>
      </c>
      <c r="I1009" s="5" t="str">
        <f aca="false">IF($H1009=FALSE(),"",COUNTIF($H$6:$H1009,TRUE()))</f>
        <v/>
      </c>
      <c r="J1009" s="5" t="str">
        <f aca="false">IF($I1009="","","R"&amp;$I1009)</f>
        <v/>
      </c>
    </row>
    <row r="1010" customFormat="false" ht="15" hidden="false" customHeight="true" outlineLevel="0" collapsed="false">
      <c r="H1010" s="14" t="b">
        <f aca="false">IF(중복검사!$A1008="",FALSE(),중복검사!$J1008="유지")</f>
        <v>0</v>
      </c>
      <c r="I1010" s="5" t="str">
        <f aca="false">IF($H1010=FALSE(),"",COUNTIF($H$6:$H1010,TRUE()))</f>
        <v/>
      </c>
      <c r="J1010" s="5" t="str">
        <f aca="false">IF($I1010="","","R"&amp;$I1010)</f>
        <v/>
      </c>
    </row>
    <row r="1011" customFormat="false" ht="15" hidden="false" customHeight="true" outlineLevel="0" collapsed="false">
      <c r="H1011" s="14" t="b">
        <f aca="false">IF(중복검사!$A1009="",FALSE(),중복검사!$J1009="유지")</f>
        <v>0</v>
      </c>
      <c r="I1011" s="5" t="str">
        <f aca="false">IF($H1011=FALSE(),"",COUNTIF($H$6:$H1011,TRUE()))</f>
        <v/>
      </c>
      <c r="J1011" s="5" t="str">
        <f aca="false">IF($I1011="","","R"&amp;$I1011)</f>
        <v/>
      </c>
    </row>
    <row r="1012" customFormat="false" ht="15" hidden="false" customHeight="true" outlineLevel="0" collapsed="false">
      <c r="H1012" s="14" t="b">
        <f aca="false">IF(중복검사!$A1010="",FALSE(),중복검사!$J1010="유지")</f>
        <v>0</v>
      </c>
      <c r="I1012" s="5" t="str">
        <f aca="false">IF($H1012=FALSE(),"",COUNTIF($H$6:$H1012,TRUE()))</f>
        <v/>
      </c>
      <c r="J1012" s="5" t="str">
        <f aca="false">IF($I1012="","","R"&amp;$I1012)</f>
        <v/>
      </c>
    </row>
    <row r="1013" customFormat="false" ht="15" hidden="false" customHeight="true" outlineLevel="0" collapsed="false">
      <c r="H1013" s="14" t="b">
        <f aca="false">IF(중복검사!$A1011="",FALSE(),중복검사!$J1011="유지")</f>
        <v>0</v>
      </c>
      <c r="I1013" s="5" t="str">
        <f aca="false">IF($H1013=FALSE(),"",COUNTIF($H$6:$H1013,TRUE()))</f>
        <v/>
      </c>
      <c r="J1013" s="5" t="str">
        <f aca="false">IF($I1013="","","R"&amp;$I1013)</f>
        <v/>
      </c>
    </row>
    <row r="1014" customFormat="false" ht="15" hidden="false" customHeight="true" outlineLevel="0" collapsed="false">
      <c r="H1014" s="14" t="b">
        <f aca="false">IF(중복검사!$A1012="",FALSE(),중복검사!$J1012="유지")</f>
        <v>0</v>
      </c>
      <c r="I1014" s="5" t="str">
        <f aca="false">IF($H1014=FALSE(),"",COUNTIF($H$6:$H1014,TRUE()))</f>
        <v/>
      </c>
      <c r="J1014" s="5" t="str">
        <f aca="false">IF($I1014="","","R"&amp;$I1014)</f>
        <v/>
      </c>
    </row>
    <row r="1015" customFormat="false" ht="15" hidden="false" customHeight="true" outlineLevel="0" collapsed="false">
      <c r="H1015" s="14" t="b">
        <f aca="false">IF(중복검사!$A1013="",FALSE(),중복검사!$J1013="유지")</f>
        <v>0</v>
      </c>
      <c r="I1015" s="5" t="str">
        <f aca="false">IF($H1015=FALSE(),"",COUNTIF($H$6:$H1015,TRUE()))</f>
        <v/>
      </c>
      <c r="J1015" s="5" t="str">
        <f aca="false">IF($I1015="","","R"&amp;$I1015)</f>
        <v/>
      </c>
    </row>
    <row r="1016" customFormat="false" ht="15" hidden="false" customHeight="true" outlineLevel="0" collapsed="false">
      <c r="H1016" s="14" t="b">
        <f aca="false">IF(중복검사!$A1014="",FALSE(),중복검사!$J1014="유지")</f>
        <v>0</v>
      </c>
      <c r="I1016" s="5" t="str">
        <f aca="false">IF($H1016=FALSE(),"",COUNTIF($H$6:$H1016,TRUE()))</f>
        <v/>
      </c>
      <c r="J1016" s="5" t="str">
        <f aca="false">IF($I1016="","","R"&amp;$I1016)</f>
        <v/>
      </c>
    </row>
    <row r="1017" customFormat="false" ht="15" hidden="false" customHeight="true" outlineLevel="0" collapsed="false">
      <c r="H1017" s="14" t="b">
        <f aca="false">IF(중복검사!$A1015="",FALSE(),중복검사!$J1015="유지")</f>
        <v>0</v>
      </c>
      <c r="I1017" s="5" t="str">
        <f aca="false">IF($H1017=FALSE(),"",COUNTIF($H$6:$H1017,TRUE()))</f>
        <v/>
      </c>
      <c r="J1017" s="5" t="str">
        <f aca="false">IF($I1017="","","R"&amp;$I1017)</f>
        <v/>
      </c>
    </row>
    <row r="1018" customFormat="false" ht="15" hidden="false" customHeight="true" outlineLevel="0" collapsed="false">
      <c r="H1018" s="14" t="b">
        <f aca="false">IF(중복검사!$A1016="",FALSE(),중복검사!$J1016="유지")</f>
        <v>0</v>
      </c>
      <c r="I1018" s="5" t="str">
        <f aca="false">IF($H1018=FALSE(),"",COUNTIF($H$6:$H1018,TRUE()))</f>
        <v/>
      </c>
      <c r="J1018" s="5" t="str">
        <f aca="false">IF($I1018="","","R"&amp;$I1018)</f>
        <v/>
      </c>
    </row>
    <row r="1019" customFormat="false" ht="15" hidden="false" customHeight="true" outlineLevel="0" collapsed="false">
      <c r="H1019" s="14" t="b">
        <f aca="false">IF(중복검사!$A1017="",FALSE(),중복검사!$J1017="유지")</f>
        <v>0</v>
      </c>
      <c r="I1019" s="5" t="str">
        <f aca="false">IF($H1019=FALSE(),"",COUNTIF($H$6:$H1019,TRUE()))</f>
        <v/>
      </c>
      <c r="J1019" s="5" t="str">
        <f aca="false">IF($I1019="","","R"&amp;$I1019)</f>
        <v/>
      </c>
    </row>
    <row r="1020" customFormat="false" ht="15" hidden="false" customHeight="true" outlineLevel="0" collapsed="false">
      <c r="H1020" s="14" t="b">
        <f aca="false">IF(중복검사!$A1018="",FALSE(),중복검사!$J1018="유지")</f>
        <v>0</v>
      </c>
      <c r="I1020" s="5" t="str">
        <f aca="false">IF($H1020=FALSE(),"",COUNTIF($H$6:$H1020,TRUE()))</f>
        <v/>
      </c>
      <c r="J1020" s="5" t="str">
        <f aca="false">IF($I1020="","","R"&amp;$I1020)</f>
        <v/>
      </c>
    </row>
    <row r="1021" customFormat="false" ht="15" hidden="false" customHeight="true" outlineLevel="0" collapsed="false">
      <c r="H1021" s="14" t="b">
        <f aca="false">IF(중복검사!$A1019="",FALSE(),중복검사!$J1019="유지")</f>
        <v>0</v>
      </c>
      <c r="I1021" s="5" t="str">
        <f aca="false">IF($H1021=FALSE(),"",COUNTIF($H$6:$H1021,TRUE()))</f>
        <v/>
      </c>
      <c r="J1021" s="5" t="str">
        <f aca="false">IF($I1021="","","R"&amp;$I1021)</f>
        <v/>
      </c>
    </row>
    <row r="1022" customFormat="false" ht="15" hidden="false" customHeight="true" outlineLevel="0" collapsed="false">
      <c r="H1022" s="14" t="b">
        <f aca="false">IF(중복검사!$A1020="",FALSE(),중복검사!$J1020="유지")</f>
        <v>0</v>
      </c>
      <c r="I1022" s="5" t="str">
        <f aca="false">IF($H1022=FALSE(),"",COUNTIF($H$6:$H1022,TRUE()))</f>
        <v/>
      </c>
      <c r="J1022" s="5" t="str">
        <f aca="false">IF($I1022="","","R"&amp;$I1022)</f>
        <v/>
      </c>
    </row>
    <row r="1023" customFormat="false" ht="15" hidden="false" customHeight="true" outlineLevel="0" collapsed="false">
      <c r="H1023" s="14" t="b">
        <f aca="false">IF(중복검사!$A1021="",FALSE(),중복검사!$J1021="유지")</f>
        <v>0</v>
      </c>
      <c r="I1023" s="5" t="str">
        <f aca="false">IF($H1023=FALSE(),"",COUNTIF($H$6:$H1023,TRUE()))</f>
        <v/>
      </c>
      <c r="J1023" s="5" t="str">
        <f aca="false">IF($I1023="","","R"&amp;$I1023)</f>
        <v/>
      </c>
    </row>
    <row r="1024" customFormat="false" ht="15" hidden="false" customHeight="true" outlineLevel="0" collapsed="false">
      <c r="H1024" s="14" t="b">
        <f aca="false">IF(중복검사!$A1022="",FALSE(),중복검사!$J1022="유지")</f>
        <v>0</v>
      </c>
      <c r="I1024" s="5" t="str">
        <f aca="false">IF($H1024=FALSE(),"",COUNTIF($H$6:$H1024,TRUE()))</f>
        <v/>
      </c>
      <c r="J1024" s="5" t="str">
        <f aca="false">IF($I1024="","","R"&amp;$I1024)</f>
        <v/>
      </c>
    </row>
    <row r="1025" customFormat="false" ht="15" hidden="false" customHeight="true" outlineLevel="0" collapsed="false">
      <c r="H1025" s="14" t="b">
        <f aca="false">IF(중복검사!$A1023="",FALSE(),중복검사!$J1023="유지")</f>
        <v>0</v>
      </c>
      <c r="I1025" s="5" t="str">
        <f aca="false">IF($H1025=FALSE(),"",COUNTIF($H$6:$H1025,TRUE()))</f>
        <v/>
      </c>
      <c r="J1025" s="5" t="str">
        <f aca="false">IF($I1025="","","R"&amp;$I1025)</f>
        <v/>
      </c>
    </row>
    <row r="1026" customFormat="false" ht="15" hidden="false" customHeight="true" outlineLevel="0" collapsed="false">
      <c r="H1026" s="14" t="b">
        <f aca="false">IF(중복검사!$A1024="",FALSE(),중복검사!$J1024="유지")</f>
        <v>0</v>
      </c>
      <c r="I1026" s="5" t="str">
        <f aca="false">IF($H1026=FALSE(),"",COUNTIF($H$6:$H1026,TRUE()))</f>
        <v/>
      </c>
      <c r="J1026" s="5" t="str">
        <f aca="false">IF($I1026="","","R"&amp;$I1026)</f>
        <v/>
      </c>
    </row>
    <row r="1027" customFormat="false" ht="15" hidden="false" customHeight="true" outlineLevel="0" collapsed="false">
      <c r="H1027" s="14" t="b">
        <f aca="false">IF(중복검사!$A1025="",FALSE(),중복검사!$J1025="유지")</f>
        <v>0</v>
      </c>
      <c r="I1027" s="5" t="str">
        <f aca="false">IF($H1027=FALSE(),"",COUNTIF($H$6:$H1027,TRUE()))</f>
        <v/>
      </c>
      <c r="J1027" s="5" t="str">
        <f aca="false">IF($I1027="","","R"&amp;$I1027)</f>
        <v/>
      </c>
    </row>
    <row r="1028" customFormat="false" ht="15" hidden="false" customHeight="true" outlineLevel="0" collapsed="false">
      <c r="H1028" s="14" t="b">
        <f aca="false">IF(중복검사!$A1026="",FALSE(),중복검사!$J1026="유지")</f>
        <v>0</v>
      </c>
      <c r="I1028" s="5" t="str">
        <f aca="false">IF($H1028=FALSE(),"",COUNTIF($H$6:$H1028,TRUE()))</f>
        <v/>
      </c>
      <c r="J1028" s="5" t="str">
        <f aca="false">IF($I1028="","","R"&amp;$I1028)</f>
        <v/>
      </c>
    </row>
    <row r="1029" customFormat="false" ht="15" hidden="false" customHeight="true" outlineLevel="0" collapsed="false">
      <c r="H1029" s="14" t="b">
        <f aca="false">IF(중복검사!$A1027="",FALSE(),중복검사!$J1027="유지")</f>
        <v>0</v>
      </c>
      <c r="I1029" s="5" t="str">
        <f aca="false">IF($H1029=FALSE(),"",COUNTIF($H$6:$H1029,TRUE()))</f>
        <v/>
      </c>
      <c r="J1029" s="5" t="str">
        <f aca="false">IF($I1029="","","R"&amp;$I1029)</f>
        <v/>
      </c>
    </row>
    <row r="1030" customFormat="false" ht="15" hidden="false" customHeight="true" outlineLevel="0" collapsed="false">
      <c r="H1030" s="14" t="b">
        <f aca="false">IF(중복검사!$A1028="",FALSE(),중복검사!$J1028="유지")</f>
        <v>0</v>
      </c>
      <c r="I1030" s="5" t="str">
        <f aca="false">IF($H1030=FALSE(),"",COUNTIF($H$6:$H1030,TRUE()))</f>
        <v/>
      </c>
      <c r="J1030" s="5" t="str">
        <f aca="false">IF($I1030="","","R"&amp;$I1030)</f>
        <v/>
      </c>
    </row>
    <row r="1031" customFormat="false" ht="15" hidden="false" customHeight="true" outlineLevel="0" collapsed="false">
      <c r="H1031" s="14" t="b">
        <f aca="false">IF(중복검사!$A1029="",FALSE(),중복검사!$J1029="유지")</f>
        <v>0</v>
      </c>
      <c r="I1031" s="5" t="str">
        <f aca="false">IF($H1031=FALSE(),"",COUNTIF($H$6:$H1031,TRUE()))</f>
        <v/>
      </c>
      <c r="J1031" s="5" t="str">
        <f aca="false">IF($I1031="","","R"&amp;$I1031)</f>
        <v/>
      </c>
    </row>
    <row r="1032" customFormat="false" ht="15" hidden="false" customHeight="true" outlineLevel="0" collapsed="false">
      <c r="H1032" s="14" t="b">
        <f aca="false">IF(중복검사!$A1030="",FALSE(),중복검사!$J1030="유지")</f>
        <v>0</v>
      </c>
      <c r="I1032" s="5" t="str">
        <f aca="false">IF($H1032=FALSE(),"",COUNTIF($H$6:$H1032,TRUE()))</f>
        <v/>
      </c>
      <c r="J1032" s="5" t="str">
        <f aca="false">IF($I1032="","","R"&amp;$I1032)</f>
        <v/>
      </c>
    </row>
    <row r="1033" customFormat="false" ht="15" hidden="false" customHeight="true" outlineLevel="0" collapsed="false">
      <c r="H1033" s="14" t="b">
        <f aca="false">IF(중복검사!$A1031="",FALSE(),중복검사!$J1031="유지")</f>
        <v>0</v>
      </c>
      <c r="I1033" s="5" t="str">
        <f aca="false">IF($H1033=FALSE(),"",COUNTIF($H$6:$H1033,TRUE()))</f>
        <v/>
      </c>
      <c r="J1033" s="5" t="str">
        <f aca="false">IF($I1033="","","R"&amp;$I1033)</f>
        <v/>
      </c>
    </row>
    <row r="1034" customFormat="false" ht="15" hidden="false" customHeight="true" outlineLevel="0" collapsed="false">
      <c r="H1034" s="14" t="b">
        <f aca="false">IF(중복검사!$A1032="",FALSE(),중복검사!$J1032="유지")</f>
        <v>0</v>
      </c>
      <c r="I1034" s="5" t="str">
        <f aca="false">IF($H1034=FALSE(),"",COUNTIF($H$6:$H1034,TRUE()))</f>
        <v/>
      </c>
      <c r="J1034" s="5" t="str">
        <f aca="false">IF($I1034="","","R"&amp;$I1034)</f>
        <v/>
      </c>
    </row>
    <row r="1035" customFormat="false" ht="15" hidden="false" customHeight="true" outlineLevel="0" collapsed="false">
      <c r="H1035" s="14" t="b">
        <f aca="false">IF(중복검사!$A1033="",FALSE(),중복검사!$J1033="유지")</f>
        <v>0</v>
      </c>
      <c r="I1035" s="5" t="str">
        <f aca="false">IF($H1035=FALSE(),"",COUNTIF($H$6:$H1035,TRUE()))</f>
        <v/>
      </c>
      <c r="J1035" s="5" t="str">
        <f aca="false">IF($I1035="","","R"&amp;$I1035)</f>
        <v/>
      </c>
    </row>
    <row r="1036" customFormat="false" ht="15" hidden="false" customHeight="true" outlineLevel="0" collapsed="false">
      <c r="H1036" s="14" t="b">
        <f aca="false">IF(중복검사!$A1034="",FALSE(),중복검사!$J1034="유지")</f>
        <v>0</v>
      </c>
      <c r="I1036" s="5" t="str">
        <f aca="false">IF($H1036=FALSE(),"",COUNTIF($H$6:$H1036,TRUE()))</f>
        <v/>
      </c>
      <c r="J1036" s="5" t="str">
        <f aca="false">IF($I1036="","","R"&amp;$I1036)</f>
        <v/>
      </c>
    </row>
    <row r="1037" customFormat="false" ht="15" hidden="false" customHeight="true" outlineLevel="0" collapsed="false">
      <c r="H1037" s="14" t="b">
        <f aca="false">IF(중복검사!$A1035="",FALSE(),중복검사!$J1035="유지")</f>
        <v>0</v>
      </c>
      <c r="I1037" s="5" t="str">
        <f aca="false">IF($H1037=FALSE(),"",COUNTIF($H$6:$H1037,TRUE()))</f>
        <v/>
      </c>
      <c r="J1037" s="5" t="str">
        <f aca="false">IF($I1037="","","R"&amp;$I1037)</f>
        <v/>
      </c>
    </row>
    <row r="1038" customFormat="false" ht="15" hidden="false" customHeight="true" outlineLevel="0" collapsed="false">
      <c r="H1038" s="14" t="b">
        <f aca="false">IF(중복검사!$A1036="",FALSE(),중복검사!$J1036="유지")</f>
        <v>0</v>
      </c>
      <c r="I1038" s="5" t="str">
        <f aca="false">IF($H1038=FALSE(),"",COUNTIF($H$6:$H1038,TRUE()))</f>
        <v/>
      </c>
      <c r="J1038" s="5" t="str">
        <f aca="false">IF($I1038="","","R"&amp;$I1038)</f>
        <v/>
      </c>
    </row>
    <row r="1039" customFormat="false" ht="15" hidden="false" customHeight="true" outlineLevel="0" collapsed="false">
      <c r="H1039" s="14" t="b">
        <f aca="false">IF(중복검사!$A1037="",FALSE(),중복검사!$J1037="유지")</f>
        <v>0</v>
      </c>
      <c r="I1039" s="5" t="str">
        <f aca="false">IF($H1039=FALSE(),"",COUNTIF($H$6:$H1039,TRUE()))</f>
        <v/>
      </c>
      <c r="J1039" s="5" t="str">
        <f aca="false">IF($I1039="","","R"&amp;$I1039)</f>
        <v/>
      </c>
    </row>
    <row r="1040" customFormat="false" ht="15" hidden="false" customHeight="true" outlineLevel="0" collapsed="false">
      <c r="H1040" s="14" t="b">
        <f aca="false">IF(중복검사!$A1038="",FALSE(),중복검사!$J1038="유지")</f>
        <v>0</v>
      </c>
      <c r="I1040" s="5" t="str">
        <f aca="false">IF($H1040=FALSE(),"",COUNTIF($H$6:$H1040,TRUE()))</f>
        <v/>
      </c>
      <c r="J1040" s="5" t="str">
        <f aca="false">IF($I1040="","","R"&amp;$I1040)</f>
        <v/>
      </c>
    </row>
    <row r="1041" customFormat="false" ht="15" hidden="false" customHeight="true" outlineLevel="0" collapsed="false">
      <c r="H1041" s="14" t="b">
        <f aca="false">IF(중복검사!$A1039="",FALSE(),중복검사!$J1039="유지")</f>
        <v>0</v>
      </c>
      <c r="I1041" s="5" t="str">
        <f aca="false">IF($H1041=FALSE(),"",COUNTIF($H$6:$H1041,TRUE()))</f>
        <v/>
      </c>
      <c r="J1041" s="5" t="str">
        <f aca="false">IF($I1041="","","R"&amp;$I1041)</f>
        <v/>
      </c>
    </row>
    <row r="1042" customFormat="false" ht="15" hidden="false" customHeight="true" outlineLevel="0" collapsed="false">
      <c r="H1042" s="14" t="b">
        <f aca="false">IF(중복검사!$A1040="",FALSE(),중복검사!$J1040="유지")</f>
        <v>0</v>
      </c>
      <c r="I1042" s="5" t="str">
        <f aca="false">IF($H1042=FALSE(),"",COUNTIF($H$6:$H1042,TRUE()))</f>
        <v/>
      </c>
      <c r="J1042" s="5" t="str">
        <f aca="false">IF($I1042="","","R"&amp;$I1042)</f>
        <v/>
      </c>
    </row>
    <row r="1043" customFormat="false" ht="15" hidden="false" customHeight="true" outlineLevel="0" collapsed="false">
      <c r="H1043" s="14" t="b">
        <f aca="false">IF(중복검사!$A1041="",FALSE(),중복검사!$J1041="유지")</f>
        <v>0</v>
      </c>
      <c r="I1043" s="5" t="str">
        <f aca="false">IF($H1043=FALSE(),"",COUNTIF($H$6:$H1043,TRUE()))</f>
        <v/>
      </c>
      <c r="J1043" s="5" t="str">
        <f aca="false">IF($I1043="","","R"&amp;$I1043)</f>
        <v/>
      </c>
    </row>
    <row r="1044" customFormat="false" ht="15" hidden="false" customHeight="true" outlineLevel="0" collapsed="false">
      <c r="H1044" s="14" t="b">
        <f aca="false">IF(중복검사!$A1042="",FALSE(),중복검사!$J1042="유지")</f>
        <v>0</v>
      </c>
      <c r="I1044" s="5" t="str">
        <f aca="false">IF($H1044=FALSE(),"",COUNTIF($H$6:$H1044,TRUE()))</f>
        <v/>
      </c>
      <c r="J1044" s="5" t="str">
        <f aca="false">IF($I1044="","","R"&amp;$I1044)</f>
        <v/>
      </c>
    </row>
    <row r="1045" customFormat="false" ht="15" hidden="false" customHeight="true" outlineLevel="0" collapsed="false">
      <c r="H1045" s="14" t="b">
        <f aca="false">IF(중복검사!$A1043="",FALSE(),중복검사!$J1043="유지")</f>
        <v>0</v>
      </c>
      <c r="I1045" s="5" t="str">
        <f aca="false">IF($H1045=FALSE(),"",COUNTIF($H$6:$H1045,TRUE()))</f>
        <v/>
      </c>
      <c r="J1045" s="5" t="str">
        <f aca="false">IF($I1045="","","R"&amp;$I1045)</f>
        <v/>
      </c>
    </row>
    <row r="1046" customFormat="false" ht="15" hidden="false" customHeight="true" outlineLevel="0" collapsed="false">
      <c r="H1046" s="14" t="b">
        <f aca="false">IF(중복검사!$A1044="",FALSE(),중복검사!$J1044="유지")</f>
        <v>0</v>
      </c>
      <c r="I1046" s="5" t="str">
        <f aca="false">IF($H1046=FALSE(),"",COUNTIF($H$6:$H1046,TRUE()))</f>
        <v/>
      </c>
      <c r="J1046" s="5" t="str">
        <f aca="false">IF($I1046="","","R"&amp;$I1046)</f>
        <v/>
      </c>
    </row>
    <row r="1047" customFormat="false" ht="15" hidden="false" customHeight="true" outlineLevel="0" collapsed="false">
      <c r="H1047" s="14" t="b">
        <f aca="false">IF(중복검사!$A1045="",FALSE(),중복검사!$J1045="유지")</f>
        <v>0</v>
      </c>
      <c r="I1047" s="5" t="str">
        <f aca="false">IF($H1047=FALSE(),"",COUNTIF($H$6:$H1047,TRUE()))</f>
        <v/>
      </c>
      <c r="J1047" s="5" t="str">
        <f aca="false">IF($I1047="","","R"&amp;$I1047)</f>
        <v/>
      </c>
    </row>
    <row r="1048" customFormat="false" ht="15" hidden="false" customHeight="true" outlineLevel="0" collapsed="false">
      <c r="H1048" s="14" t="b">
        <f aca="false">IF(중복검사!$A1046="",FALSE(),중복검사!$J1046="유지")</f>
        <v>0</v>
      </c>
      <c r="I1048" s="5" t="str">
        <f aca="false">IF($H1048=FALSE(),"",COUNTIF($H$6:$H1048,TRUE()))</f>
        <v/>
      </c>
      <c r="J1048" s="5" t="str">
        <f aca="false">IF($I1048="","","R"&amp;$I1048)</f>
        <v/>
      </c>
    </row>
    <row r="1049" customFormat="false" ht="15" hidden="false" customHeight="true" outlineLevel="0" collapsed="false">
      <c r="H1049" s="14" t="b">
        <f aca="false">IF(중복검사!$A1047="",FALSE(),중복검사!$J1047="유지")</f>
        <v>0</v>
      </c>
      <c r="I1049" s="5" t="str">
        <f aca="false">IF($H1049=FALSE(),"",COUNTIF($H$6:$H1049,TRUE()))</f>
        <v/>
      </c>
      <c r="J1049" s="5" t="str">
        <f aca="false">IF($I1049="","","R"&amp;$I1049)</f>
        <v/>
      </c>
    </row>
    <row r="1050" customFormat="false" ht="15" hidden="false" customHeight="true" outlineLevel="0" collapsed="false">
      <c r="H1050" s="14" t="b">
        <f aca="false">IF(중복검사!$A1048="",FALSE(),중복검사!$J1048="유지")</f>
        <v>0</v>
      </c>
      <c r="I1050" s="5" t="str">
        <f aca="false">IF($H1050=FALSE(),"",COUNTIF($H$6:$H1050,TRUE()))</f>
        <v/>
      </c>
      <c r="J1050" s="5" t="str">
        <f aca="false">IF($I1050="","","R"&amp;$I1050)</f>
        <v/>
      </c>
    </row>
    <row r="1051" customFormat="false" ht="15" hidden="false" customHeight="true" outlineLevel="0" collapsed="false">
      <c r="H1051" s="14" t="b">
        <f aca="false">IF(중복검사!$A1049="",FALSE(),중복검사!$J1049="유지")</f>
        <v>0</v>
      </c>
      <c r="I1051" s="5" t="str">
        <f aca="false">IF($H1051=FALSE(),"",COUNTIF($H$6:$H1051,TRUE()))</f>
        <v/>
      </c>
      <c r="J1051" s="5" t="str">
        <f aca="false">IF($I1051="","","R"&amp;$I1051)</f>
        <v/>
      </c>
    </row>
    <row r="1052" customFormat="false" ht="15" hidden="false" customHeight="true" outlineLevel="0" collapsed="false">
      <c r="H1052" s="14" t="b">
        <f aca="false">IF(중복검사!$A1050="",FALSE(),중복검사!$J1050="유지")</f>
        <v>0</v>
      </c>
      <c r="I1052" s="5" t="str">
        <f aca="false">IF($H1052=FALSE(),"",COUNTIF($H$6:$H1052,TRUE()))</f>
        <v/>
      </c>
      <c r="J1052" s="5" t="str">
        <f aca="false">IF($I1052="","","R"&amp;$I1052)</f>
        <v/>
      </c>
    </row>
    <row r="1053" customFormat="false" ht="15" hidden="false" customHeight="true" outlineLevel="0" collapsed="false">
      <c r="H1053" s="14" t="b">
        <f aca="false">IF(중복검사!$A1051="",FALSE(),중복검사!$J1051="유지")</f>
        <v>0</v>
      </c>
      <c r="I1053" s="5" t="str">
        <f aca="false">IF($H1053=FALSE(),"",COUNTIF($H$6:$H1053,TRUE()))</f>
        <v/>
      </c>
      <c r="J1053" s="5" t="str">
        <f aca="false">IF($I1053="","","R"&amp;$I1053)</f>
        <v/>
      </c>
    </row>
    <row r="1054" customFormat="false" ht="15" hidden="false" customHeight="true" outlineLevel="0" collapsed="false">
      <c r="H1054" s="14" t="b">
        <f aca="false">IF(중복검사!$A1052="",FALSE(),중복검사!$J1052="유지")</f>
        <v>0</v>
      </c>
      <c r="I1054" s="5" t="str">
        <f aca="false">IF($H1054=FALSE(),"",COUNTIF($H$6:$H1054,TRUE()))</f>
        <v/>
      </c>
      <c r="J1054" s="5" t="str">
        <f aca="false">IF($I1054="","","R"&amp;$I1054)</f>
        <v/>
      </c>
    </row>
    <row r="1055" customFormat="false" ht="15" hidden="false" customHeight="true" outlineLevel="0" collapsed="false">
      <c r="H1055" s="14" t="b">
        <f aca="false">IF(중복검사!$A1053="",FALSE(),중복검사!$J1053="유지")</f>
        <v>0</v>
      </c>
      <c r="I1055" s="5" t="str">
        <f aca="false">IF($H1055=FALSE(),"",COUNTIF($H$6:$H1055,TRUE()))</f>
        <v/>
      </c>
      <c r="J1055" s="5" t="str">
        <f aca="false">IF($I1055="","","R"&amp;$I1055)</f>
        <v/>
      </c>
    </row>
    <row r="1056" customFormat="false" ht="15" hidden="false" customHeight="true" outlineLevel="0" collapsed="false">
      <c r="H1056" s="14" t="b">
        <f aca="false">IF(중복검사!$A1054="",FALSE(),중복검사!$J1054="유지")</f>
        <v>0</v>
      </c>
      <c r="I1056" s="5" t="str">
        <f aca="false">IF($H1056=FALSE(),"",COUNTIF($H$6:$H1056,TRUE()))</f>
        <v/>
      </c>
      <c r="J1056" s="5" t="str">
        <f aca="false">IF($I1056="","","R"&amp;$I1056)</f>
        <v/>
      </c>
    </row>
    <row r="1057" customFormat="false" ht="15" hidden="false" customHeight="true" outlineLevel="0" collapsed="false">
      <c r="H1057" s="14" t="b">
        <f aca="false">IF(중복검사!$A1055="",FALSE(),중복검사!$J1055="유지")</f>
        <v>0</v>
      </c>
      <c r="I1057" s="5" t="str">
        <f aca="false">IF($H1057=FALSE(),"",COUNTIF($H$6:$H1057,TRUE()))</f>
        <v/>
      </c>
      <c r="J1057" s="5" t="str">
        <f aca="false">IF($I1057="","","R"&amp;$I1057)</f>
        <v/>
      </c>
    </row>
    <row r="1058" customFormat="false" ht="15" hidden="false" customHeight="true" outlineLevel="0" collapsed="false">
      <c r="H1058" s="14" t="b">
        <f aca="false">IF(중복검사!$A1056="",FALSE(),중복검사!$J1056="유지")</f>
        <v>0</v>
      </c>
      <c r="I1058" s="5" t="str">
        <f aca="false">IF($H1058=FALSE(),"",COUNTIF($H$6:$H1058,TRUE()))</f>
        <v/>
      </c>
      <c r="J1058" s="5" t="str">
        <f aca="false">IF($I1058="","","R"&amp;$I1058)</f>
        <v/>
      </c>
    </row>
    <row r="1059" customFormat="false" ht="15" hidden="false" customHeight="true" outlineLevel="0" collapsed="false">
      <c r="H1059" s="14" t="b">
        <f aca="false">IF(중복검사!$A1057="",FALSE(),중복검사!$J1057="유지")</f>
        <v>0</v>
      </c>
      <c r="I1059" s="5" t="str">
        <f aca="false">IF($H1059=FALSE(),"",COUNTIF($H$6:$H1059,TRUE()))</f>
        <v/>
      </c>
      <c r="J1059" s="5" t="str">
        <f aca="false">IF($I1059="","","R"&amp;$I1059)</f>
        <v/>
      </c>
    </row>
    <row r="1060" customFormat="false" ht="15" hidden="false" customHeight="true" outlineLevel="0" collapsed="false">
      <c r="H1060" s="14" t="b">
        <f aca="false">IF(중복검사!$A1058="",FALSE(),중복검사!$J1058="유지")</f>
        <v>0</v>
      </c>
      <c r="I1060" s="5" t="str">
        <f aca="false">IF($H1060=FALSE(),"",COUNTIF($H$6:$H1060,TRUE()))</f>
        <v/>
      </c>
      <c r="J1060" s="5" t="str">
        <f aca="false">IF($I1060="","","R"&amp;$I1060)</f>
        <v/>
      </c>
    </row>
    <row r="1061" customFormat="false" ht="15" hidden="false" customHeight="true" outlineLevel="0" collapsed="false">
      <c r="H1061" s="14" t="b">
        <f aca="false">IF(중복검사!$A1059="",FALSE(),중복검사!$J1059="유지")</f>
        <v>0</v>
      </c>
      <c r="I1061" s="5" t="str">
        <f aca="false">IF($H1061=FALSE(),"",COUNTIF($H$6:$H1061,TRUE()))</f>
        <v/>
      </c>
      <c r="J1061" s="5" t="str">
        <f aca="false">IF($I1061="","","R"&amp;$I1061)</f>
        <v/>
      </c>
    </row>
    <row r="1062" customFormat="false" ht="15" hidden="false" customHeight="true" outlineLevel="0" collapsed="false">
      <c r="H1062" s="14" t="b">
        <f aca="false">IF(중복검사!$A1060="",FALSE(),중복검사!$J1060="유지")</f>
        <v>0</v>
      </c>
      <c r="I1062" s="5" t="str">
        <f aca="false">IF($H1062=FALSE(),"",COUNTIF($H$6:$H1062,TRUE()))</f>
        <v/>
      </c>
      <c r="J1062" s="5" t="str">
        <f aca="false">IF($I1062="","","R"&amp;$I1062)</f>
        <v/>
      </c>
    </row>
    <row r="1063" customFormat="false" ht="15" hidden="false" customHeight="true" outlineLevel="0" collapsed="false">
      <c r="H1063" s="14" t="b">
        <f aca="false">IF(중복검사!$A1061="",FALSE(),중복검사!$J1061="유지")</f>
        <v>0</v>
      </c>
      <c r="I1063" s="5" t="str">
        <f aca="false">IF($H1063=FALSE(),"",COUNTIF($H$6:$H1063,TRUE()))</f>
        <v/>
      </c>
      <c r="J1063" s="5" t="str">
        <f aca="false">IF($I1063="","","R"&amp;$I1063)</f>
        <v/>
      </c>
    </row>
    <row r="1064" customFormat="false" ht="15" hidden="false" customHeight="true" outlineLevel="0" collapsed="false">
      <c r="H1064" s="14" t="b">
        <f aca="false">IF(중복검사!$A1062="",FALSE(),중복검사!$J1062="유지")</f>
        <v>0</v>
      </c>
      <c r="I1064" s="5" t="str">
        <f aca="false">IF($H1064=FALSE(),"",COUNTIF($H$6:$H1064,TRUE()))</f>
        <v/>
      </c>
      <c r="J1064" s="5" t="str">
        <f aca="false">IF($I1064="","","R"&amp;$I1064)</f>
        <v/>
      </c>
    </row>
    <row r="1065" customFormat="false" ht="15" hidden="false" customHeight="true" outlineLevel="0" collapsed="false">
      <c r="H1065" s="14" t="b">
        <f aca="false">IF(중복검사!$A1063="",FALSE(),중복검사!$J1063="유지")</f>
        <v>0</v>
      </c>
      <c r="I1065" s="5" t="str">
        <f aca="false">IF($H1065=FALSE(),"",COUNTIF($H$6:$H1065,TRUE()))</f>
        <v/>
      </c>
      <c r="J1065" s="5" t="str">
        <f aca="false">IF($I1065="","","R"&amp;$I1065)</f>
        <v/>
      </c>
    </row>
    <row r="1066" customFormat="false" ht="15" hidden="false" customHeight="true" outlineLevel="0" collapsed="false">
      <c r="H1066" s="14" t="b">
        <f aca="false">IF(중복검사!$A1064="",FALSE(),중복검사!$J1064="유지")</f>
        <v>0</v>
      </c>
      <c r="I1066" s="5" t="str">
        <f aca="false">IF($H1066=FALSE(),"",COUNTIF($H$6:$H1066,TRUE()))</f>
        <v/>
      </c>
      <c r="J1066" s="5" t="str">
        <f aca="false">IF($I1066="","","R"&amp;$I1066)</f>
        <v/>
      </c>
    </row>
    <row r="1067" customFormat="false" ht="15" hidden="false" customHeight="true" outlineLevel="0" collapsed="false">
      <c r="H1067" s="14" t="b">
        <f aca="false">IF(중복검사!$A1065="",FALSE(),중복검사!$J1065="유지")</f>
        <v>0</v>
      </c>
      <c r="I1067" s="5" t="str">
        <f aca="false">IF($H1067=FALSE(),"",COUNTIF($H$6:$H1067,TRUE()))</f>
        <v/>
      </c>
      <c r="J1067" s="5" t="str">
        <f aca="false">IF($I1067="","","R"&amp;$I1067)</f>
        <v/>
      </c>
    </row>
    <row r="1068" customFormat="false" ht="15" hidden="false" customHeight="true" outlineLevel="0" collapsed="false">
      <c r="H1068" s="14" t="b">
        <f aca="false">IF(중복검사!$A1066="",FALSE(),중복검사!$J1066="유지")</f>
        <v>0</v>
      </c>
      <c r="I1068" s="5" t="str">
        <f aca="false">IF($H1068=FALSE(),"",COUNTIF($H$6:$H1068,TRUE()))</f>
        <v/>
      </c>
      <c r="J1068" s="5" t="str">
        <f aca="false">IF($I1068="","","R"&amp;$I1068)</f>
        <v/>
      </c>
    </row>
    <row r="1069" customFormat="false" ht="15" hidden="false" customHeight="true" outlineLevel="0" collapsed="false">
      <c r="H1069" s="14" t="b">
        <f aca="false">IF(중복검사!$A1067="",FALSE(),중복검사!$J1067="유지")</f>
        <v>0</v>
      </c>
      <c r="I1069" s="5" t="str">
        <f aca="false">IF($H1069=FALSE(),"",COUNTIF($H$6:$H1069,TRUE()))</f>
        <v/>
      </c>
      <c r="J1069" s="5" t="str">
        <f aca="false">IF($I1069="","","R"&amp;$I1069)</f>
        <v/>
      </c>
    </row>
    <row r="1070" customFormat="false" ht="15" hidden="false" customHeight="true" outlineLevel="0" collapsed="false">
      <c r="H1070" s="14" t="b">
        <f aca="false">IF(중복검사!$A1068="",FALSE(),중복검사!$J1068="유지")</f>
        <v>0</v>
      </c>
      <c r="I1070" s="5" t="str">
        <f aca="false">IF($H1070=FALSE(),"",COUNTIF($H$6:$H1070,TRUE()))</f>
        <v/>
      </c>
      <c r="J1070" s="5" t="str">
        <f aca="false">IF($I1070="","","R"&amp;$I1070)</f>
        <v/>
      </c>
    </row>
    <row r="1071" customFormat="false" ht="15" hidden="false" customHeight="true" outlineLevel="0" collapsed="false">
      <c r="H1071" s="14" t="b">
        <f aca="false">IF(중복검사!$A1069="",FALSE(),중복검사!$J1069="유지")</f>
        <v>0</v>
      </c>
      <c r="I1071" s="5" t="str">
        <f aca="false">IF($H1071=FALSE(),"",COUNTIF($H$6:$H1071,TRUE()))</f>
        <v/>
      </c>
      <c r="J1071" s="5" t="str">
        <f aca="false">IF($I1071="","","R"&amp;$I1071)</f>
        <v/>
      </c>
    </row>
    <row r="1072" customFormat="false" ht="15" hidden="false" customHeight="true" outlineLevel="0" collapsed="false">
      <c r="H1072" s="14" t="b">
        <f aca="false">IF(중복검사!$A1070="",FALSE(),중복검사!$J1070="유지")</f>
        <v>0</v>
      </c>
      <c r="I1072" s="5" t="str">
        <f aca="false">IF($H1072=FALSE(),"",COUNTIF($H$6:$H1072,TRUE()))</f>
        <v/>
      </c>
      <c r="J1072" s="5" t="str">
        <f aca="false">IF($I1072="","","R"&amp;$I1072)</f>
        <v/>
      </c>
    </row>
    <row r="1073" customFormat="false" ht="15" hidden="false" customHeight="true" outlineLevel="0" collapsed="false">
      <c r="H1073" s="14" t="b">
        <f aca="false">IF(중복검사!$A1071="",FALSE(),중복검사!$J1071="유지")</f>
        <v>0</v>
      </c>
      <c r="I1073" s="5" t="str">
        <f aca="false">IF($H1073=FALSE(),"",COUNTIF($H$6:$H1073,TRUE()))</f>
        <v/>
      </c>
      <c r="J1073" s="5" t="str">
        <f aca="false">IF($I1073="","","R"&amp;$I1073)</f>
        <v/>
      </c>
    </row>
    <row r="1074" customFormat="false" ht="15" hidden="false" customHeight="true" outlineLevel="0" collapsed="false">
      <c r="H1074" s="14" t="b">
        <f aca="false">IF(중복검사!$A1072="",FALSE(),중복검사!$J1072="유지")</f>
        <v>0</v>
      </c>
      <c r="I1074" s="5" t="str">
        <f aca="false">IF($H1074=FALSE(),"",COUNTIF($H$6:$H1074,TRUE()))</f>
        <v/>
      </c>
      <c r="J1074" s="5" t="str">
        <f aca="false">IF($I1074="","","R"&amp;$I1074)</f>
        <v/>
      </c>
    </row>
    <row r="1075" customFormat="false" ht="15" hidden="false" customHeight="true" outlineLevel="0" collapsed="false">
      <c r="H1075" s="14" t="b">
        <f aca="false">IF(중복검사!$A1073="",FALSE(),중복검사!$J1073="유지")</f>
        <v>0</v>
      </c>
      <c r="I1075" s="5" t="str">
        <f aca="false">IF($H1075=FALSE(),"",COUNTIF($H$6:$H1075,TRUE()))</f>
        <v/>
      </c>
      <c r="J1075" s="5" t="str">
        <f aca="false">IF($I1075="","","R"&amp;$I1075)</f>
        <v/>
      </c>
    </row>
    <row r="1076" customFormat="false" ht="15" hidden="false" customHeight="true" outlineLevel="0" collapsed="false">
      <c r="H1076" s="14" t="b">
        <f aca="false">IF(중복검사!$A1074="",FALSE(),중복검사!$J1074="유지")</f>
        <v>0</v>
      </c>
      <c r="I1076" s="5" t="str">
        <f aca="false">IF($H1076=FALSE(),"",COUNTIF($H$6:$H1076,TRUE()))</f>
        <v/>
      </c>
      <c r="J1076" s="5" t="str">
        <f aca="false">IF($I1076="","","R"&amp;$I1076)</f>
        <v/>
      </c>
    </row>
    <row r="1077" customFormat="false" ht="15" hidden="false" customHeight="true" outlineLevel="0" collapsed="false">
      <c r="H1077" s="14" t="b">
        <f aca="false">IF(중복검사!$A1075="",FALSE(),중복검사!$J1075="유지")</f>
        <v>0</v>
      </c>
      <c r="I1077" s="5" t="str">
        <f aca="false">IF($H1077=FALSE(),"",COUNTIF($H$6:$H1077,TRUE()))</f>
        <v/>
      </c>
      <c r="J1077" s="5" t="str">
        <f aca="false">IF($I1077="","","R"&amp;$I1077)</f>
        <v/>
      </c>
    </row>
    <row r="1078" customFormat="false" ht="15" hidden="false" customHeight="true" outlineLevel="0" collapsed="false">
      <c r="H1078" s="14" t="b">
        <f aca="false">IF(중복검사!$A1076="",FALSE(),중복검사!$J1076="유지")</f>
        <v>0</v>
      </c>
      <c r="I1078" s="5" t="str">
        <f aca="false">IF($H1078=FALSE(),"",COUNTIF($H$6:$H1078,TRUE()))</f>
        <v/>
      </c>
      <c r="J1078" s="5" t="str">
        <f aca="false">IF($I1078="","","R"&amp;$I1078)</f>
        <v/>
      </c>
    </row>
    <row r="1079" customFormat="false" ht="15" hidden="false" customHeight="true" outlineLevel="0" collapsed="false">
      <c r="H1079" s="14" t="b">
        <f aca="false">IF(중복검사!$A1077="",FALSE(),중복검사!$J1077="유지")</f>
        <v>0</v>
      </c>
      <c r="I1079" s="5" t="str">
        <f aca="false">IF($H1079=FALSE(),"",COUNTIF($H$6:$H1079,TRUE()))</f>
        <v/>
      </c>
      <c r="J1079" s="5" t="str">
        <f aca="false">IF($I1079="","","R"&amp;$I1079)</f>
        <v/>
      </c>
    </row>
    <row r="1080" customFormat="false" ht="15" hidden="false" customHeight="true" outlineLevel="0" collapsed="false">
      <c r="H1080" s="14" t="b">
        <f aca="false">IF(중복검사!$A1078="",FALSE(),중복검사!$J1078="유지")</f>
        <v>0</v>
      </c>
      <c r="I1080" s="5" t="str">
        <f aca="false">IF($H1080=FALSE(),"",COUNTIF($H$6:$H1080,TRUE()))</f>
        <v/>
      </c>
      <c r="J1080" s="5" t="str">
        <f aca="false">IF($I1080="","","R"&amp;$I1080)</f>
        <v/>
      </c>
    </row>
    <row r="1081" customFormat="false" ht="15" hidden="false" customHeight="true" outlineLevel="0" collapsed="false">
      <c r="H1081" s="14" t="b">
        <f aca="false">IF(중복검사!$A1079="",FALSE(),중복검사!$J1079="유지")</f>
        <v>0</v>
      </c>
      <c r="I1081" s="5" t="str">
        <f aca="false">IF($H1081=FALSE(),"",COUNTIF($H$6:$H1081,TRUE()))</f>
        <v/>
      </c>
      <c r="J1081" s="5" t="str">
        <f aca="false">IF($I1081="","","R"&amp;$I1081)</f>
        <v/>
      </c>
    </row>
    <row r="1082" customFormat="false" ht="15" hidden="false" customHeight="true" outlineLevel="0" collapsed="false">
      <c r="H1082" s="14" t="b">
        <f aca="false">IF(중복검사!$A1080="",FALSE(),중복검사!$J1080="유지")</f>
        <v>0</v>
      </c>
      <c r="I1082" s="5" t="str">
        <f aca="false">IF($H1082=FALSE(),"",COUNTIF($H$6:$H1082,TRUE()))</f>
        <v/>
      </c>
      <c r="J1082" s="5" t="str">
        <f aca="false">IF($I1082="","","R"&amp;$I1082)</f>
        <v/>
      </c>
    </row>
    <row r="1083" customFormat="false" ht="15" hidden="false" customHeight="true" outlineLevel="0" collapsed="false">
      <c r="H1083" s="14" t="b">
        <f aca="false">IF(중복검사!$A1081="",FALSE(),중복검사!$J1081="유지")</f>
        <v>0</v>
      </c>
      <c r="I1083" s="5" t="str">
        <f aca="false">IF($H1083=FALSE(),"",COUNTIF($H$6:$H1083,TRUE()))</f>
        <v/>
      </c>
      <c r="J1083" s="5" t="str">
        <f aca="false">IF($I1083="","","R"&amp;$I1083)</f>
        <v/>
      </c>
    </row>
    <row r="1084" customFormat="false" ht="15" hidden="false" customHeight="true" outlineLevel="0" collapsed="false">
      <c r="H1084" s="14" t="b">
        <f aca="false">IF(중복검사!$A1082="",FALSE(),중복검사!$J1082="유지")</f>
        <v>0</v>
      </c>
      <c r="I1084" s="5" t="str">
        <f aca="false">IF($H1084=FALSE(),"",COUNTIF($H$6:$H1084,TRUE()))</f>
        <v/>
      </c>
      <c r="J1084" s="5" t="str">
        <f aca="false">IF($I1084="","","R"&amp;$I1084)</f>
        <v/>
      </c>
    </row>
    <row r="1085" customFormat="false" ht="15" hidden="false" customHeight="true" outlineLevel="0" collapsed="false">
      <c r="H1085" s="14" t="b">
        <f aca="false">IF(중복검사!$A1083="",FALSE(),중복검사!$J1083="유지")</f>
        <v>0</v>
      </c>
      <c r="I1085" s="5" t="str">
        <f aca="false">IF($H1085=FALSE(),"",COUNTIF($H$6:$H1085,TRUE()))</f>
        <v/>
      </c>
      <c r="J1085" s="5" t="str">
        <f aca="false">IF($I1085="","","R"&amp;$I1085)</f>
        <v/>
      </c>
    </row>
    <row r="1086" customFormat="false" ht="15" hidden="false" customHeight="true" outlineLevel="0" collapsed="false">
      <c r="H1086" s="14" t="b">
        <f aca="false">IF(중복검사!$A1084="",FALSE(),중복검사!$J1084="유지")</f>
        <v>0</v>
      </c>
      <c r="I1086" s="5" t="str">
        <f aca="false">IF($H1086=FALSE(),"",COUNTIF($H$6:$H1086,TRUE()))</f>
        <v/>
      </c>
      <c r="J1086" s="5" t="str">
        <f aca="false">IF($I1086="","","R"&amp;$I1086)</f>
        <v/>
      </c>
    </row>
    <row r="1087" customFormat="false" ht="15" hidden="false" customHeight="true" outlineLevel="0" collapsed="false">
      <c r="H1087" s="14" t="b">
        <f aca="false">IF(중복검사!$A1085="",FALSE(),중복검사!$J1085="유지")</f>
        <v>0</v>
      </c>
      <c r="I1087" s="5" t="str">
        <f aca="false">IF($H1087=FALSE(),"",COUNTIF($H$6:$H1087,TRUE()))</f>
        <v/>
      </c>
      <c r="J1087" s="5" t="str">
        <f aca="false">IF($I1087="","","R"&amp;$I1087)</f>
        <v/>
      </c>
    </row>
    <row r="1088" customFormat="false" ht="15" hidden="false" customHeight="true" outlineLevel="0" collapsed="false">
      <c r="H1088" s="14" t="b">
        <f aca="false">IF(중복검사!$A1086="",FALSE(),중복검사!$J1086="유지")</f>
        <v>0</v>
      </c>
      <c r="I1088" s="5" t="str">
        <f aca="false">IF($H1088=FALSE(),"",COUNTIF($H$6:$H1088,TRUE()))</f>
        <v/>
      </c>
      <c r="J1088" s="5" t="str">
        <f aca="false">IF($I1088="","","R"&amp;$I1088)</f>
        <v/>
      </c>
    </row>
    <row r="1089" customFormat="false" ht="15" hidden="false" customHeight="true" outlineLevel="0" collapsed="false">
      <c r="H1089" s="14" t="b">
        <f aca="false">IF(중복검사!$A1087="",FALSE(),중복검사!$J1087="유지")</f>
        <v>0</v>
      </c>
      <c r="I1089" s="5" t="str">
        <f aca="false">IF($H1089=FALSE(),"",COUNTIF($H$6:$H1089,TRUE()))</f>
        <v/>
      </c>
      <c r="J1089" s="5" t="str">
        <f aca="false">IF($I1089="","","R"&amp;$I1089)</f>
        <v/>
      </c>
    </row>
    <row r="1090" customFormat="false" ht="15" hidden="false" customHeight="true" outlineLevel="0" collapsed="false">
      <c r="H1090" s="14" t="b">
        <f aca="false">IF(중복검사!$A1088="",FALSE(),중복검사!$J1088="유지")</f>
        <v>0</v>
      </c>
      <c r="I1090" s="5" t="str">
        <f aca="false">IF($H1090=FALSE(),"",COUNTIF($H$6:$H1090,TRUE()))</f>
        <v/>
      </c>
      <c r="J1090" s="5" t="str">
        <f aca="false">IF($I1090="","","R"&amp;$I1090)</f>
        <v/>
      </c>
    </row>
    <row r="1091" customFormat="false" ht="15" hidden="false" customHeight="true" outlineLevel="0" collapsed="false">
      <c r="H1091" s="14" t="b">
        <f aca="false">IF(중복검사!$A1089="",FALSE(),중복검사!$J1089="유지")</f>
        <v>0</v>
      </c>
      <c r="I1091" s="5" t="str">
        <f aca="false">IF($H1091=FALSE(),"",COUNTIF($H$6:$H1091,TRUE()))</f>
        <v/>
      </c>
      <c r="J1091" s="5" t="str">
        <f aca="false">IF($I1091="","","R"&amp;$I1091)</f>
        <v/>
      </c>
    </row>
    <row r="1092" customFormat="false" ht="15" hidden="false" customHeight="true" outlineLevel="0" collapsed="false">
      <c r="H1092" s="14" t="b">
        <f aca="false">IF(중복검사!$A1090="",FALSE(),중복검사!$J1090="유지")</f>
        <v>0</v>
      </c>
      <c r="I1092" s="5" t="str">
        <f aca="false">IF($H1092=FALSE(),"",COUNTIF($H$6:$H1092,TRUE()))</f>
        <v/>
      </c>
      <c r="J1092" s="5" t="str">
        <f aca="false">IF($I1092="","","R"&amp;$I1092)</f>
        <v/>
      </c>
    </row>
    <row r="1093" customFormat="false" ht="15" hidden="false" customHeight="true" outlineLevel="0" collapsed="false">
      <c r="H1093" s="14" t="b">
        <f aca="false">IF(중복검사!$A1091="",FALSE(),중복검사!$J1091="유지")</f>
        <v>0</v>
      </c>
      <c r="I1093" s="5" t="str">
        <f aca="false">IF($H1093=FALSE(),"",COUNTIF($H$6:$H1093,TRUE()))</f>
        <v/>
      </c>
      <c r="J1093" s="5" t="str">
        <f aca="false">IF($I1093="","","R"&amp;$I1093)</f>
        <v/>
      </c>
    </row>
    <row r="1094" customFormat="false" ht="15" hidden="false" customHeight="true" outlineLevel="0" collapsed="false">
      <c r="H1094" s="14" t="b">
        <f aca="false">IF(중복검사!$A1092="",FALSE(),중복검사!$J1092="유지")</f>
        <v>0</v>
      </c>
      <c r="I1094" s="5" t="str">
        <f aca="false">IF($H1094=FALSE(),"",COUNTIF($H$6:$H1094,TRUE()))</f>
        <v/>
      </c>
      <c r="J1094" s="5" t="str">
        <f aca="false">IF($I1094="","","R"&amp;$I1094)</f>
        <v/>
      </c>
    </row>
    <row r="1095" customFormat="false" ht="15" hidden="false" customHeight="true" outlineLevel="0" collapsed="false">
      <c r="H1095" s="14" t="b">
        <f aca="false">IF(중복검사!$A1093="",FALSE(),중복검사!$J1093="유지")</f>
        <v>0</v>
      </c>
      <c r="I1095" s="5" t="str">
        <f aca="false">IF($H1095=FALSE(),"",COUNTIF($H$6:$H1095,TRUE()))</f>
        <v/>
      </c>
      <c r="J1095" s="5" t="str">
        <f aca="false">IF($I1095="","","R"&amp;$I1095)</f>
        <v/>
      </c>
    </row>
    <row r="1096" customFormat="false" ht="15" hidden="false" customHeight="true" outlineLevel="0" collapsed="false">
      <c r="H1096" s="14" t="b">
        <f aca="false">IF(중복검사!$A1094="",FALSE(),중복검사!$J1094="유지")</f>
        <v>0</v>
      </c>
      <c r="I1096" s="5" t="str">
        <f aca="false">IF($H1096=FALSE(),"",COUNTIF($H$6:$H1096,TRUE()))</f>
        <v/>
      </c>
      <c r="J1096" s="5" t="str">
        <f aca="false">IF($I1096="","","R"&amp;$I1096)</f>
        <v/>
      </c>
    </row>
    <row r="1097" customFormat="false" ht="15" hidden="false" customHeight="true" outlineLevel="0" collapsed="false">
      <c r="H1097" s="14" t="b">
        <f aca="false">IF(중복검사!$A1095="",FALSE(),중복검사!$J1095="유지")</f>
        <v>0</v>
      </c>
      <c r="I1097" s="5" t="str">
        <f aca="false">IF($H1097=FALSE(),"",COUNTIF($H$6:$H1097,TRUE()))</f>
        <v/>
      </c>
      <c r="J1097" s="5" t="str">
        <f aca="false">IF($I1097="","","R"&amp;$I1097)</f>
        <v/>
      </c>
    </row>
    <row r="1098" customFormat="false" ht="15" hidden="false" customHeight="true" outlineLevel="0" collapsed="false">
      <c r="H1098" s="14" t="b">
        <f aca="false">IF(중복검사!$A1096="",FALSE(),중복검사!$J1096="유지")</f>
        <v>0</v>
      </c>
      <c r="I1098" s="5" t="str">
        <f aca="false">IF($H1098=FALSE(),"",COUNTIF($H$6:$H1098,TRUE()))</f>
        <v/>
      </c>
      <c r="J1098" s="5" t="str">
        <f aca="false">IF($I1098="","","R"&amp;$I1098)</f>
        <v/>
      </c>
    </row>
    <row r="1099" customFormat="false" ht="15" hidden="false" customHeight="true" outlineLevel="0" collapsed="false">
      <c r="H1099" s="14" t="b">
        <f aca="false">IF(중복검사!$A1097="",FALSE(),중복검사!$J1097="유지")</f>
        <v>0</v>
      </c>
      <c r="I1099" s="5" t="str">
        <f aca="false">IF($H1099=FALSE(),"",COUNTIF($H$6:$H1099,TRUE()))</f>
        <v/>
      </c>
      <c r="J1099" s="5" t="str">
        <f aca="false">IF($I1099="","","R"&amp;$I1099)</f>
        <v/>
      </c>
    </row>
    <row r="1100" customFormat="false" ht="15" hidden="false" customHeight="true" outlineLevel="0" collapsed="false">
      <c r="H1100" s="14" t="b">
        <f aca="false">IF(중복검사!$A1098="",FALSE(),중복검사!$J1098="유지")</f>
        <v>0</v>
      </c>
      <c r="I1100" s="5" t="str">
        <f aca="false">IF($H1100=FALSE(),"",COUNTIF($H$6:$H1100,TRUE()))</f>
        <v/>
      </c>
      <c r="J1100" s="5" t="str">
        <f aca="false">IF($I1100="","","R"&amp;$I1100)</f>
        <v/>
      </c>
    </row>
    <row r="1101" customFormat="false" ht="15" hidden="false" customHeight="true" outlineLevel="0" collapsed="false">
      <c r="H1101" s="14" t="b">
        <f aca="false">IF(중복검사!$A1099="",FALSE(),중복검사!$J1099="유지")</f>
        <v>0</v>
      </c>
      <c r="I1101" s="5" t="str">
        <f aca="false">IF($H1101=FALSE(),"",COUNTIF($H$6:$H1101,TRUE()))</f>
        <v/>
      </c>
      <c r="J1101" s="5" t="str">
        <f aca="false">IF($I1101="","","R"&amp;$I1101)</f>
        <v/>
      </c>
    </row>
    <row r="1102" customFormat="false" ht="15" hidden="false" customHeight="true" outlineLevel="0" collapsed="false">
      <c r="H1102" s="14" t="b">
        <f aca="false">IF(중복검사!$A1100="",FALSE(),중복검사!$J1100="유지")</f>
        <v>0</v>
      </c>
      <c r="I1102" s="5" t="str">
        <f aca="false">IF($H1102=FALSE(),"",COUNTIF($H$6:$H1102,TRUE()))</f>
        <v/>
      </c>
      <c r="J1102" s="5" t="str">
        <f aca="false">IF($I1102="","","R"&amp;$I1102)</f>
        <v/>
      </c>
    </row>
    <row r="1103" customFormat="false" ht="15" hidden="false" customHeight="true" outlineLevel="0" collapsed="false">
      <c r="H1103" s="14" t="b">
        <f aca="false">IF(중복검사!$A1101="",FALSE(),중복검사!$J1101="유지")</f>
        <v>0</v>
      </c>
      <c r="I1103" s="5" t="str">
        <f aca="false">IF($H1103=FALSE(),"",COUNTIF($H$6:$H1103,TRUE()))</f>
        <v/>
      </c>
      <c r="J1103" s="5" t="str">
        <f aca="false">IF($I1103="","","R"&amp;$I1103)</f>
        <v/>
      </c>
    </row>
    <row r="1104" customFormat="false" ht="15" hidden="false" customHeight="true" outlineLevel="0" collapsed="false">
      <c r="H1104" s="14" t="b">
        <f aca="false">IF(중복검사!$A1102="",FALSE(),중복검사!$J1102="유지")</f>
        <v>0</v>
      </c>
      <c r="I1104" s="5" t="str">
        <f aca="false">IF($H1104=FALSE(),"",COUNTIF($H$6:$H1104,TRUE()))</f>
        <v/>
      </c>
      <c r="J1104" s="5" t="str">
        <f aca="false">IF($I1104="","","R"&amp;$I1104)</f>
        <v/>
      </c>
    </row>
    <row r="1105" customFormat="false" ht="15" hidden="false" customHeight="true" outlineLevel="0" collapsed="false">
      <c r="H1105" s="14" t="b">
        <f aca="false">IF(중복검사!$A1103="",FALSE(),중복검사!$J1103="유지")</f>
        <v>0</v>
      </c>
      <c r="I1105" s="5" t="str">
        <f aca="false">IF($H1105=FALSE(),"",COUNTIF($H$6:$H1105,TRUE()))</f>
        <v/>
      </c>
      <c r="J1105" s="5" t="str">
        <f aca="false">IF($I1105="","","R"&amp;$I1105)</f>
        <v/>
      </c>
    </row>
    <row r="1106" customFormat="false" ht="15" hidden="false" customHeight="true" outlineLevel="0" collapsed="false">
      <c r="H1106" s="14" t="b">
        <f aca="false">IF(중복검사!$A1104="",FALSE(),중복검사!$J1104="유지")</f>
        <v>0</v>
      </c>
      <c r="I1106" s="5" t="str">
        <f aca="false">IF($H1106=FALSE(),"",COUNTIF($H$6:$H1106,TRUE()))</f>
        <v/>
      </c>
      <c r="J1106" s="5" t="str">
        <f aca="false">IF($I1106="","","R"&amp;$I1106)</f>
        <v/>
      </c>
    </row>
    <row r="1107" customFormat="false" ht="15" hidden="false" customHeight="true" outlineLevel="0" collapsed="false">
      <c r="H1107" s="14" t="b">
        <f aca="false">IF(중복검사!$A1105="",FALSE(),중복검사!$J1105="유지")</f>
        <v>0</v>
      </c>
      <c r="I1107" s="5" t="str">
        <f aca="false">IF($H1107=FALSE(),"",COUNTIF($H$6:$H1107,TRUE()))</f>
        <v/>
      </c>
      <c r="J1107" s="5" t="str">
        <f aca="false">IF($I1107="","","R"&amp;$I1107)</f>
        <v/>
      </c>
    </row>
    <row r="1108" customFormat="false" ht="15" hidden="false" customHeight="true" outlineLevel="0" collapsed="false">
      <c r="H1108" s="14" t="b">
        <f aca="false">IF(중복검사!$A1106="",FALSE(),중복검사!$J1106="유지")</f>
        <v>0</v>
      </c>
      <c r="I1108" s="5" t="str">
        <f aca="false">IF($H1108=FALSE(),"",COUNTIF($H$6:$H1108,TRUE()))</f>
        <v/>
      </c>
      <c r="J1108" s="5" t="str">
        <f aca="false">IF($I1108="","","R"&amp;$I1108)</f>
        <v/>
      </c>
    </row>
    <row r="1109" customFormat="false" ht="15" hidden="false" customHeight="true" outlineLevel="0" collapsed="false">
      <c r="H1109" s="14" t="b">
        <f aca="false">IF(중복검사!$A1107="",FALSE(),중복검사!$J1107="유지")</f>
        <v>0</v>
      </c>
      <c r="I1109" s="5" t="str">
        <f aca="false">IF($H1109=FALSE(),"",COUNTIF($H$6:$H1109,TRUE()))</f>
        <v/>
      </c>
      <c r="J1109" s="5" t="str">
        <f aca="false">IF($I1109="","","R"&amp;$I1109)</f>
        <v/>
      </c>
    </row>
    <row r="1110" customFormat="false" ht="15" hidden="false" customHeight="true" outlineLevel="0" collapsed="false">
      <c r="H1110" s="14" t="b">
        <f aca="false">IF(중복검사!$A1108="",FALSE(),중복검사!$J1108="유지")</f>
        <v>0</v>
      </c>
      <c r="I1110" s="5" t="str">
        <f aca="false">IF($H1110=FALSE(),"",COUNTIF($H$6:$H1110,TRUE()))</f>
        <v/>
      </c>
      <c r="J1110" s="5" t="str">
        <f aca="false">IF($I1110="","","R"&amp;$I1110)</f>
        <v/>
      </c>
    </row>
    <row r="1111" customFormat="false" ht="15" hidden="false" customHeight="true" outlineLevel="0" collapsed="false">
      <c r="H1111" s="14" t="b">
        <f aca="false">IF(중복검사!$A1109="",FALSE(),중복검사!$J1109="유지")</f>
        <v>0</v>
      </c>
      <c r="I1111" s="5" t="str">
        <f aca="false">IF($H1111=FALSE(),"",COUNTIF($H$6:$H1111,TRUE()))</f>
        <v/>
      </c>
      <c r="J1111" s="5" t="str">
        <f aca="false">IF($I1111="","","R"&amp;$I1111)</f>
        <v/>
      </c>
    </row>
    <row r="1112" customFormat="false" ht="15" hidden="false" customHeight="true" outlineLevel="0" collapsed="false">
      <c r="H1112" s="14" t="b">
        <f aca="false">IF(중복검사!$A1110="",FALSE(),중복검사!$J1110="유지")</f>
        <v>0</v>
      </c>
      <c r="I1112" s="5" t="str">
        <f aca="false">IF($H1112=FALSE(),"",COUNTIF($H$6:$H1112,TRUE()))</f>
        <v/>
      </c>
      <c r="J1112" s="5" t="str">
        <f aca="false">IF($I1112="","","R"&amp;$I1112)</f>
        <v/>
      </c>
    </row>
    <row r="1113" customFormat="false" ht="15" hidden="false" customHeight="true" outlineLevel="0" collapsed="false">
      <c r="H1113" s="14" t="b">
        <f aca="false">IF(중복검사!$A1111="",FALSE(),중복검사!$J1111="유지")</f>
        <v>0</v>
      </c>
      <c r="I1113" s="5" t="str">
        <f aca="false">IF($H1113=FALSE(),"",COUNTIF($H$6:$H1113,TRUE()))</f>
        <v/>
      </c>
      <c r="J1113" s="5" t="str">
        <f aca="false">IF($I1113="","","R"&amp;$I1113)</f>
        <v/>
      </c>
    </row>
    <row r="1114" customFormat="false" ht="15" hidden="false" customHeight="true" outlineLevel="0" collapsed="false">
      <c r="H1114" s="14" t="b">
        <f aca="false">IF(중복검사!$A1112="",FALSE(),중복검사!$J1112="유지")</f>
        <v>0</v>
      </c>
      <c r="I1114" s="5" t="str">
        <f aca="false">IF($H1114=FALSE(),"",COUNTIF($H$6:$H1114,TRUE()))</f>
        <v/>
      </c>
      <c r="J1114" s="5" t="str">
        <f aca="false">IF($I1114="","","R"&amp;$I1114)</f>
        <v/>
      </c>
    </row>
    <row r="1115" customFormat="false" ht="15" hidden="false" customHeight="true" outlineLevel="0" collapsed="false">
      <c r="H1115" s="14" t="b">
        <f aca="false">IF(중복검사!$A1113="",FALSE(),중복검사!$J1113="유지")</f>
        <v>0</v>
      </c>
      <c r="I1115" s="5" t="str">
        <f aca="false">IF($H1115=FALSE(),"",COUNTIF($H$6:$H1115,TRUE()))</f>
        <v/>
      </c>
      <c r="J1115" s="5" t="str">
        <f aca="false">IF($I1115="","","R"&amp;$I1115)</f>
        <v/>
      </c>
    </row>
    <row r="1116" customFormat="false" ht="15" hidden="false" customHeight="true" outlineLevel="0" collapsed="false">
      <c r="H1116" s="14" t="b">
        <f aca="false">IF(중복검사!$A1114="",FALSE(),중복검사!$J1114="유지")</f>
        <v>0</v>
      </c>
      <c r="I1116" s="5" t="str">
        <f aca="false">IF($H1116=FALSE(),"",COUNTIF($H$6:$H1116,TRUE()))</f>
        <v/>
      </c>
      <c r="J1116" s="5" t="str">
        <f aca="false">IF($I1116="","","R"&amp;$I1116)</f>
        <v/>
      </c>
    </row>
    <row r="1117" customFormat="false" ht="15" hidden="false" customHeight="true" outlineLevel="0" collapsed="false">
      <c r="H1117" s="14" t="b">
        <f aca="false">IF(중복검사!$A1115="",FALSE(),중복검사!$J1115="유지")</f>
        <v>0</v>
      </c>
      <c r="I1117" s="5" t="str">
        <f aca="false">IF($H1117=FALSE(),"",COUNTIF($H$6:$H1117,TRUE()))</f>
        <v/>
      </c>
      <c r="J1117" s="5" t="str">
        <f aca="false">IF($I1117="","","R"&amp;$I1117)</f>
        <v/>
      </c>
    </row>
    <row r="1118" customFormat="false" ht="15" hidden="false" customHeight="true" outlineLevel="0" collapsed="false">
      <c r="H1118" s="14" t="b">
        <f aca="false">IF(중복검사!$A1116="",FALSE(),중복검사!$J1116="유지")</f>
        <v>0</v>
      </c>
      <c r="I1118" s="5" t="str">
        <f aca="false">IF($H1118=FALSE(),"",COUNTIF($H$6:$H1118,TRUE()))</f>
        <v/>
      </c>
      <c r="J1118" s="5" t="str">
        <f aca="false">IF($I1118="","","R"&amp;$I1118)</f>
        <v/>
      </c>
    </row>
    <row r="1119" customFormat="false" ht="15" hidden="false" customHeight="true" outlineLevel="0" collapsed="false">
      <c r="H1119" s="14" t="b">
        <f aca="false">IF(중복검사!$A1117="",FALSE(),중복검사!$J1117="유지")</f>
        <v>0</v>
      </c>
      <c r="I1119" s="5" t="str">
        <f aca="false">IF($H1119=FALSE(),"",COUNTIF($H$6:$H1119,TRUE()))</f>
        <v/>
      </c>
      <c r="J1119" s="5" t="str">
        <f aca="false">IF($I1119="","","R"&amp;$I1119)</f>
        <v/>
      </c>
    </row>
    <row r="1120" customFormat="false" ht="15" hidden="false" customHeight="true" outlineLevel="0" collapsed="false">
      <c r="H1120" s="14" t="b">
        <f aca="false">IF(중복검사!$A1118="",FALSE(),중복검사!$J1118="유지")</f>
        <v>0</v>
      </c>
      <c r="I1120" s="5" t="str">
        <f aca="false">IF($H1120=FALSE(),"",COUNTIF($H$6:$H1120,TRUE()))</f>
        <v/>
      </c>
      <c r="J1120" s="5" t="str">
        <f aca="false">IF($I1120="","","R"&amp;$I1120)</f>
        <v/>
      </c>
    </row>
    <row r="1121" customFormat="false" ht="15" hidden="false" customHeight="true" outlineLevel="0" collapsed="false">
      <c r="H1121" s="14" t="b">
        <f aca="false">IF(중복검사!$A1119="",FALSE(),중복검사!$J1119="유지")</f>
        <v>0</v>
      </c>
      <c r="I1121" s="5" t="str">
        <f aca="false">IF($H1121=FALSE(),"",COUNTIF($H$6:$H1121,TRUE()))</f>
        <v/>
      </c>
      <c r="J1121" s="5" t="str">
        <f aca="false">IF($I1121="","","R"&amp;$I1121)</f>
        <v/>
      </c>
    </row>
    <row r="1122" customFormat="false" ht="15" hidden="false" customHeight="true" outlineLevel="0" collapsed="false">
      <c r="H1122" s="14" t="b">
        <f aca="false">IF(중복검사!$A1120="",FALSE(),중복검사!$J1120="유지")</f>
        <v>0</v>
      </c>
      <c r="I1122" s="5" t="str">
        <f aca="false">IF($H1122=FALSE(),"",COUNTIF($H$6:$H1122,TRUE()))</f>
        <v/>
      </c>
      <c r="J1122" s="5" t="str">
        <f aca="false">IF($I1122="","","R"&amp;$I1122)</f>
        <v/>
      </c>
    </row>
    <row r="1123" customFormat="false" ht="15" hidden="false" customHeight="true" outlineLevel="0" collapsed="false">
      <c r="H1123" s="14" t="b">
        <f aca="false">IF(중복검사!$A1121="",FALSE(),중복검사!$J1121="유지")</f>
        <v>0</v>
      </c>
      <c r="I1123" s="5" t="str">
        <f aca="false">IF($H1123=FALSE(),"",COUNTIF($H$6:$H1123,TRUE()))</f>
        <v/>
      </c>
      <c r="J1123" s="5" t="str">
        <f aca="false">IF($I1123="","","R"&amp;$I1123)</f>
        <v/>
      </c>
    </row>
    <row r="1124" customFormat="false" ht="15" hidden="false" customHeight="true" outlineLevel="0" collapsed="false">
      <c r="H1124" s="14" t="b">
        <f aca="false">IF(중복검사!$A1122="",FALSE(),중복검사!$J1122="유지")</f>
        <v>0</v>
      </c>
      <c r="I1124" s="5" t="str">
        <f aca="false">IF($H1124=FALSE(),"",COUNTIF($H$6:$H1124,TRUE()))</f>
        <v/>
      </c>
      <c r="J1124" s="5" t="str">
        <f aca="false">IF($I1124="","","R"&amp;$I1124)</f>
        <v/>
      </c>
    </row>
    <row r="1125" customFormat="false" ht="15" hidden="false" customHeight="true" outlineLevel="0" collapsed="false">
      <c r="H1125" s="14" t="b">
        <f aca="false">IF(중복검사!$A1123="",FALSE(),중복검사!$J1123="유지")</f>
        <v>0</v>
      </c>
      <c r="I1125" s="5" t="str">
        <f aca="false">IF($H1125=FALSE(),"",COUNTIF($H$6:$H1125,TRUE()))</f>
        <v/>
      </c>
      <c r="J1125" s="5" t="str">
        <f aca="false">IF($I1125="","","R"&amp;$I1125)</f>
        <v/>
      </c>
    </row>
    <row r="1126" customFormat="false" ht="15" hidden="false" customHeight="true" outlineLevel="0" collapsed="false">
      <c r="H1126" s="14" t="b">
        <f aca="false">IF(중복검사!$A1124="",FALSE(),중복검사!$J1124="유지")</f>
        <v>0</v>
      </c>
      <c r="I1126" s="5" t="str">
        <f aca="false">IF($H1126=FALSE(),"",COUNTIF($H$6:$H1126,TRUE()))</f>
        <v/>
      </c>
      <c r="J1126" s="5" t="str">
        <f aca="false">IF($I1126="","","R"&amp;$I1126)</f>
        <v/>
      </c>
    </row>
    <row r="1127" customFormat="false" ht="15" hidden="false" customHeight="true" outlineLevel="0" collapsed="false">
      <c r="H1127" s="14" t="b">
        <f aca="false">IF(중복검사!$A1125="",FALSE(),중복검사!$J1125="유지")</f>
        <v>0</v>
      </c>
      <c r="I1127" s="5" t="str">
        <f aca="false">IF($H1127=FALSE(),"",COUNTIF($H$6:$H1127,TRUE()))</f>
        <v/>
      </c>
      <c r="J1127" s="5" t="str">
        <f aca="false">IF($I1127="","","R"&amp;$I1127)</f>
        <v/>
      </c>
    </row>
    <row r="1128" customFormat="false" ht="15" hidden="false" customHeight="true" outlineLevel="0" collapsed="false">
      <c r="H1128" s="14" t="b">
        <f aca="false">IF(중복검사!$A1126="",FALSE(),중복검사!$J1126="유지")</f>
        <v>0</v>
      </c>
      <c r="I1128" s="5" t="str">
        <f aca="false">IF($H1128=FALSE(),"",COUNTIF($H$6:$H1128,TRUE()))</f>
        <v/>
      </c>
      <c r="J1128" s="5" t="str">
        <f aca="false">IF($I1128="","","R"&amp;$I1128)</f>
        <v/>
      </c>
    </row>
    <row r="1129" customFormat="false" ht="15" hidden="false" customHeight="true" outlineLevel="0" collapsed="false">
      <c r="H1129" s="14" t="b">
        <f aca="false">IF(중복검사!$A1127="",FALSE(),중복검사!$J1127="유지")</f>
        <v>0</v>
      </c>
      <c r="I1129" s="5" t="str">
        <f aca="false">IF($H1129=FALSE(),"",COUNTIF($H$6:$H1129,TRUE()))</f>
        <v/>
      </c>
      <c r="J1129" s="5" t="str">
        <f aca="false">IF($I1129="","","R"&amp;$I1129)</f>
        <v/>
      </c>
    </row>
    <row r="1130" customFormat="false" ht="15" hidden="false" customHeight="true" outlineLevel="0" collapsed="false">
      <c r="H1130" s="14" t="b">
        <f aca="false">IF(중복검사!$A1128="",FALSE(),중복검사!$J1128="유지")</f>
        <v>0</v>
      </c>
      <c r="I1130" s="5" t="str">
        <f aca="false">IF($H1130=FALSE(),"",COUNTIF($H$6:$H1130,TRUE()))</f>
        <v/>
      </c>
      <c r="J1130" s="5" t="str">
        <f aca="false">IF($I1130="","","R"&amp;$I1130)</f>
        <v/>
      </c>
    </row>
    <row r="1131" customFormat="false" ht="15" hidden="false" customHeight="true" outlineLevel="0" collapsed="false">
      <c r="H1131" s="14" t="b">
        <f aca="false">IF(중복검사!$A1129="",FALSE(),중복검사!$J1129="유지")</f>
        <v>0</v>
      </c>
      <c r="I1131" s="5" t="str">
        <f aca="false">IF($H1131=FALSE(),"",COUNTIF($H$6:$H1131,TRUE()))</f>
        <v/>
      </c>
      <c r="J1131" s="5" t="str">
        <f aca="false">IF($I1131="","","R"&amp;$I1131)</f>
        <v/>
      </c>
    </row>
    <row r="1132" customFormat="false" ht="15" hidden="false" customHeight="true" outlineLevel="0" collapsed="false">
      <c r="H1132" s="14" t="b">
        <f aca="false">IF(중복검사!$A1130="",FALSE(),중복검사!$J1130="유지")</f>
        <v>0</v>
      </c>
      <c r="I1132" s="5" t="str">
        <f aca="false">IF($H1132=FALSE(),"",COUNTIF($H$6:$H1132,TRUE()))</f>
        <v/>
      </c>
      <c r="J1132" s="5" t="str">
        <f aca="false">IF($I1132="","","R"&amp;$I1132)</f>
        <v/>
      </c>
    </row>
    <row r="1133" customFormat="false" ht="15" hidden="false" customHeight="true" outlineLevel="0" collapsed="false">
      <c r="H1133" s="14" t="b">
        <f aca="false">IF(중복검사!$A1131="",FALSE(),중복검사!$J1131="유지")</f>
        <v>0</v>
      </c>
      <c r="I1133" s="5" t="str">
        <f aca="false">IF($H1133=FALSE(),"",COUNTIF($H$6:$H1133,TRUE()))</f>
        <v/>
      </c>
      <c r="J1133" s="5" t="str">
        <f aca="false">IF($I1133="","","R"&amp;$I1133)</f>
        <v/>
      </c>
    </row>
    <row r="1134" customFormat="false" ht="15" hidden="false" customHeight="true" outlineLevel="0" collapsed="false">
      <c r="H1134" s="14" t="b">
        <f aca="false">IF(중복검사!$A1132="",FALSE(),중복검사!$J1132="유지")</f>
        <v>0</v>
      </c>
      <c r="I1134" s="5" t="str">
        <f aca="false">IF($H1134=FALSE(),"",COUNTIF($H$6:$H1134,TRUE()))</f>
        <v/>
      </c>
      <c r="J1134" s="5" t="str">
        <f aca="false">IF($I1134="","","R"&amp;$I1134)</f>
        <v/>
      </c>
    </row>
    <row r="1135" customFormat="false" ht="15" hidden="false" customHeight="true" outlineLevel="0" collapsed="false">
      <c r="H1135" s="14" t="b">
        <f aca="false">IF(중복검사!$A1133="",FALSE(),중복검사!$J1133="유지")</f>
        <v>0</v>
      </c>
      <c r="I1135" s="5" t="str">
        <f aca="false">IF($H1135=FALSE(),"",COUNTIF($H$6:$H1135,TRUE()))</f>
        <v/>
      </c>
      <c r="J1135" s="5" t="str">
        <f aca="false">IF($I1135="","","R"&amp;$I1135)</f>
        <v/>
      </c>
    </row>
    <row r="1136" customFormat="false" ht="15" hidden="false" customHeight="true" outlineLevel="0" collapsed="false">
      <c r="H1136" s="14" t="b">
        <f aca="false">IF(중복검사!$A1134="",FALSE(),중복검사!$J1134="유지")</f>
        <v>0</v>
      </c>
      <c r="I1136" s="5" t="str">
        <f aca="false">IF($H1136=FALSE(),"",COUNTIF($H$6:$H1136,TRUE()))</f>
        <v/>
      </c>
      <c r="J1136" s="5" t="str">
        <f aca="false">IF($I1136="","","R"&amp;$I1136)</f>
        <v/>
      </c>
    </row>
    <row r="1137" customFormat="false" ht="15" hidden="false" customHeight="true" outlineLevel="0" collapsed="false">
      <c r="H1137" s="14" t="b">
        <f aca="false">IF(중복검사!$A1135="",FALSE(),중복검사!$J1135="유지")</f>
        <v>0</v>
      </c>
      <c r="I1137" s="5" t="str">
        <f aca="false">IF($H1137=FALSE(),"",COUNTIF($H$6:$H1137,TRUE()))</f>
        <v/>
      </c>
      <c r="J1137" s="5" t="str">
        <f aca="false">IF($I1137="","","R"&amp;$I1137)</f>
        <v/>
      </c>
    </row>
    <row r="1138" customFormat="false" ht="15" hidden="false" customHeight="true" outlineLevel="0" collapsed="false">
      <c r="H1138" s="14" t="b">
        <f aca="false">IF(중복검사!$A1136="",FALSE(),중복검사!$J1136="유지")</f>
        <v>0</v>
      </c>
      <c r="I1138" s="5" t="str">
        <f aca="false">IF($H1138=FALSE(),"",COUNTIF($H$6:$H1138,TRUE()))</f>
        <v/>
      </c>
      <c r="J1138" s="5" t="str">
        <f aca="false">IF($I1138="","","R"&amp;$I1138)</f>
        <v/>
      </c>
    </row>
    <row r="1139" customFormat="false" ht="15" hidden="false" customHeight="true" outlineLevel="0" collapsed="false">
      <c r="H1139" s="14" t="b">
        <f aca="false">IF(중복검사!$A1137="",FALSE(),중복검사!$J1137="유지")</f>
        <v>0</v>
      </c>
      <c r="I1139" s="5" t="str">
        <f aca="false">IF($H1139=FALSE(),"",COUNTIF($H$6:$H1139,TRUE()))</f>
        <v/>
      </c>
      <c r="J1139" s="5" t="str">
        <f aca="false">IF($I1139="","","R"&amp;$I1139)</f>
        <v/>
      </c>
    </row>
    <row r="1140" customFormat="false" ht="15" hidden="false" customHeight="true" outlineLevel="0" collapsed="false">
      <c r="H1140" s="14" t="b">
        <f aca="false">IF(중복검사!$A1138="",FALSE(),중복검사!$J1138="유지")</f>
        <v>0</v>
      </c>
      <c r="I1140" s="5" t="str">
        <f aca="false">IF($H1140=FALSE(),"",COUNTIF($H$6:$H1140,TRUE()))</f>
        <v/>
      </c>
      <c r="J1140" s="5" t="str">
        <f aca="false">IF($I1140="","","R"&amp;$I1140)</f>
        <v/>
      </c>
    </row>
    <row r="1141" customFormat="false" ht="15" hidden="false" customHeight="true" outlineLevel="0" collapsed="false">
      <c r="H1141" s="14" t="b">
        <f aca="false">IF(중복검사!$A1139="",FALSE(),중복검사!$J1139="유지")</f>
        <v>0</v>
      </c>
      <c r="I1141" s="5" t="str">
        <f aca="false">IF($H1141=FALSE(),"",COUNTIF($H$6:$H1141,TRUE()))</f>
        <v/>
      </c>
      <c r="J1141" s="5" t="str">
        <f aca="false">IF($I1141="","","R"&amp;$I1141)</f>
        <v/>
      </c>
    </row>
    <row r="1142" customFormat="false" ht="15" hidden="false" customHeight="true" outlineLevel="0" collapsed="false">
      <c r="H1142" s="14" t="b">
        <f aca="false">IF(중복검사!$A1140="",FALSE(),중복검사!$J1140="유지")</f>
        <v>0</v>
      </c>
      <c r="I1142" s="5" t="str">
        <f aca="false">IF($H1142=FALSE(),"",COUNTIF($H$6:$H1142,TRUE()))</f>
        <v/>
      </c>
      <c r="J1142" s="5" t="str">
        <f aca="false">IF($I1142="","","R"&amp;$I1142)</f>
        <v/>
      </c>
    </row>
    <row r="1143" customFormat="false" ht="15" hidden="false" customHeight="true" outlineLevel="0" collapsed="false">
      <c r="H1143" s="14" t="b">
        <f aca="false">IF(중복검사!$A1141="",FALSE(),중복검사!$J1141="유지")</f>
        <v>0</v>
      </c>
      <c r="I1143" s="5" t="str">
        <f aca="false">IF($H1143=FALSE(),"",COUNTIF($H$6:$H1143,TRUE()))</f>
        <v/>
      </c>
      <c r="J1143" s="5" t="str">
        <f aca="false">IF($I1143="","","R"&amp;$I1143)</f>
        <v/>
      </c>
    </row>
    <row r="1144" customFormat="false" ht="15" hidden="false" customHeight="true" outlineLevel="0" collapsed="false">
      <c r="H1144" s="14" t="b">
        <f aca="false">IF(중복검사!$A1142="",FALSE(),중복검사!$J1142="유지")</f>
        <v>0</v>
      </c>
      <c r="I1144" s="5" t="str">
        <f aca="false">IF($H1144=FALSE(),"",COUNTIF($H$6:$H1144,TRUE()))</f>
        <v/>
      </c>
      <c r="J1144" s="5" t="str">
        <f aca="false">IF($I1144="","","R"&amp;$I1144)</f>
        <v/>
      </c>
    </row>
    <row r="1145" customFormat="false" ht="15" hidden="false" customHeight="true" outlineLevel="0" collapsed="false">
      <c r="H1145" s="14" t="b">
        <f aca="false">IF(중복검사!$A1143="",FALSE(),중복검사!$J1143="유지")</f>
        <v>0</v>
      </c>
      <c r="I1145" s="5" t="str">
        <f aca="false">IF($H1145=FALSE(),"",COUNTIF($H$6:$H1145,TRUE()))</f>
        <v/>
      </c>
      <c r="J1145" s="5" t="str">
        <f aca="false">IF($I1145="","","R"&amp;$I1145)</f>
        <v/>
      </c>
    </row>
    <row r="1146" customFormat="false" ht="15" hidden="false" customHeight="true" outlineLevel="0" collapsed="false">
      <c r="H1146" s="14" t="b">
        <f aca="false">IF(중복검사!$A1144="",FALSE(),중복검사!$J1144="유지")</f>
        <v>0</v>
      </c>
      <c r="I1146" s="5" t="str">
        <f aca="false">IF($H1146=FALSE(),"",COUNTIF($H$6:$H1146,TRUE()))</f>
        <v/>
      </c>
      <c r="J1146" s="5" t="str">
        <f aca="false">IF($I1146="","","R"&amp;$I1146)</f>
        <v/>
      </c>
    </row>
    <row r="1147" customFormat="false" ht="15" hidden="false" customHeight="true" outlineLevel="0" collapsed="false">
      <c r="H1147" s="14" t="b">
        <f aca="false">IF(중복검사!$A1145="",FALSE(),중복검사!$J1145="유지")</f>
        <v>0</v>
      </c>
      <c r="I1147" s="5" t="str">
        <f aca="false">IF($H1147=FALSE(),"",COUNTIF($H$6:$H1147,TRUE()))</f>
        <v/>
      </c>
      <c r="J1147" s="5" t="str">
        <f aca="false">IF($I1147="","","R"&amp;$I1147)</f>
        <v/>
      </c>
    </row>
    <row r="1148" customFormat="false" ht="15" hidden="false" customHeight="true" outlineLevel="0" collapsed="false">
      <c r="H1148" s="14" t="b">
        <f aca="false">IF(중복검사!$A1146="",FALSE(),중복검사!$J1146="유지")</f>
        <v>0</v>
      </c>
      <c r="I1148" s="5" t="str">
        <f aca="false">IF($H1148=FALSE(),"",COUNTIF($H$6:$H1148,TRUE()))</f>
        <v/>
      </c>
      <c r="J1148" s="5" t="str">
        <f aca="false">IF($I1148="","","R"&amp;$I1148)</f>
        <v/>
      </c>
    </row>
    <row r="1149" customFormat="false" ht="15" hidden="false" customHeight="true" outlineLevel="0" collapsed="false">
      <c r="H1149" s="14" t="b">
        <f aca="false">IF(중복검사!$A1147="",FALSE(),중복검사!$J1147="유지")</f>
        <v>0</v>
      </c>
      <c r="I1149" s="5" t="str">
        <f aca="false">IF($H1149=FALSE(),"",COUNTIF($H$6:$H1149,TRUE()))</f>
        <v/>
      </c>
      <c r="J1149" s="5" t="str">
        <f aca="false">IF($I1149="","","R"&amp;$I1149)</f>
        <v/>
      </c>
    </row>
    <row r="1150" customFormat="false" ht="15" hidden="false" customHeight="true" outlineLevel="0" collapsed="false">
      <c r="H1150" s="14" t="b">
        <f aca="false">IF(중복검사!$A1148="",FALSE(),중복검사!$J1148="유지")</f>
        <v>0</v>
      </c>
      <c r="I1150" s="5" t="str">
        <f aca="false">IF($H1150=FALSE(),"",COUNTIF($H$6:$H1150,TRUE()))</f>
        <v/>
      </c>
      <c r="J1150" s="5" t="str">
        <f aca="false">IF($I1150="","","R"&amp;$I1150)</f>
        <v/>
      </c>
    </row>
    <row r="1151" customFormat="false" ht="15" hidden="false" customHeight="true" outlineLevel="0" collapsed="false">
      <c r="H1151" s="14" t="b">
        <f aca="false">IF(중복검사!$A1149="",FALSE(),중복검사!$J1149="유지")</f>
        <v>0</v>
      </c>
      <c r="I1151" s="5" t="str">
        <f aca="false">IF($H1151=FALSE(),"",COUNTIF($H$6:$H1151,TRUE()))</f>
        <v/>
      </c>
      <c r="J1151" s="5" t="str">
        <f aca="false">IF($I1151="","","R"&amp;$I1151)</f>
        <v/>
      </c>
    </row>
    <row r="1152" customFormat="false" ht="15" hidden="false" customHeight="true" outlineLevel="0" collapsed="false">
      <c r="H1152" s="14" t="b">
        <f aca="false">IF(중복검사!$A1150="",FALSE(),중복검사!$J1150="유지")</f>
        <v>0</v>
      </c>
      <c r="I1152" s="5" t="str">
        <f aca="false">IF($H1152=FALSE(),"",COUNTIF($H$6:$H1152,TRUE()))</f>
        <v/>
      </c>
      <c r="J1152" s="5" t="str">
        <f aca="false">IF($I1152="","","R"&amp;$I1152)</f>
        <v/>
      </c>
    </row>
    <row r="1153" customFormat="false" ht="15" hidden="false" customHeight="true" outlineLevel="0" collapsed="false">
      <c r="H1153" s="14" t="b">
        <f aca="false">IF(중복검사!$A1151="",FALSE(),중복검사!$J1151="유지")</f>
        <v>0</v>
      </c>
      <c r="I1153" s="5" t="str">
        <f aca="false">IF($H1153=FALSE(),"",COUNTIF($H$6:$H1153,TRUE()))</f>
        <v/>
      </c>
      <c r="J1153" s="5" t="str">
        <f aca="false">IF($I1153="","","R"&amp;$I1153)</f>
        <v/>
      </c>
    </row>
    <row r="1154" customFormat="false" ht="15" hidden="false" customHeight="true" outlineLevel="0" collapsed="false">
      <c r="H1154" s="14" t="b">
        <f aca="false">IF(중복검사!$A1152="",FALSE(),중복검사!$J1152="유지")</f>
        <v>0</v>
      </c>
      <c r="I1154" s="5" t="str">
        <f aca="false">IF($H1154=FALSE(),"",COUNTIF($H$6:$H1154,TRUE()))</f>
        <v/>
      </c>
      <c r="J1154" s="5" t="str">
        <f aca="false">IF($I1154="","","R"&amp;$I1154)</f>
        <v/>
      </c>
    </row>
    <row r="1155" customFormat="false" ht="15" hidden="false" customHeight="true" outlineLevel="0" collapsed="false">
      <c r="H1155" s="14" t="b">
        <f aca="false">IF(중복검사!$A1153="",FALSE(),중복검사!$J1153="유지")</f>
        <v>0</v>
      </c>
      <c r="I1155" s="5" t="str">
        <f aca="false">IF($H1155=FALSE(),"",COUNTIF($H$6:$H1155,TRUE()))</f>
        <v/>
      </c>
      <c r="J1155" s="5" t="str">
        <f aca="false">IF($I1155="","","R"&amp;$I1155)</f>
        <v/>
      </c>
    </row>
    <row r="1156" customFormat="false" ht="15" hidden="false" customHeight="true" outlineLevel="0" collapsed="false">
      <c r="H1156" s="14" t="b">
        <f aca="false">IF(중복검사!$A1154="",FALSE(),중복검사!$J1154="유지")</f>
        <v>0</v>
      </c>
      <c r="I1156" s="5" t="str">
        <f aca="false">IF($H1156=FALSE(),"",COUNTIF($H$6:$H1156,TRUE()))</f>
        <v/>
      </c>
      <c r="J1156" s="5" t="str">
        <f aca="false">IF($I1156="","","R"&amp;$I1156)</f>
        <v/>
      </c>
    </row>
    <row r="1157" customFormat="false" ht="15" hidden="false" customHeight="true" outlineLevel="0" collapsed="false">
      <c r="H1157" s="14" t="b">
        <f aca="false">IF(중복검사!$A1155="",FALSE(),중복검사!$J1155="유지")</f>
        <v>0</v>
      </c>
      <c r="I1157" s="5" t="str">
        <f aca="false">IF($H1157=FALSE(),"",COUNTIF($H$6:$H1157,TRUE()))</f>
        <v/>
      </c>
      <c r="J1157" s="5" t="str">
        <f aca="false">IF($I1157="","","R"&amp;$I1157)</f>
        <v/>
      </c>
    </row>
    <row r="1158" customFormat="false" ht="15" hidden="false" customHeight="true" outlineLevel="0" collapsed="false">
      <c r="H1158" s="14" t="b">
        <f aca="false">IF(중복검사!$A1156="",FALSE(),중복검사!$J1156="유지")</f>
        <v>0</v>
      </c>
      <c r="I1158" s="5" t="str">
        <f aca="false">IF($H1158=FALSE(),"",COUNTIF($H$6:$H1158,TRUE()))</f>
        <v/>
      </c>
      <c r="J1158" s="5" t="str">
        <f aca="false">IF($I1158="","","R"&amp;$I1158)</f>
        <v/>
      </c>
    </row>
    <row r="1159" customFormat="false" ht="15" hidden="false" customHeight="true" outlineLevel="0" collapsed="false">
      <c r="H1159" s="14" t="b">
        <f aca="false">IF(중복검사!$A1157="",FALSE(),중복검사!$J1157="유지")</f>
        <v>0</v>
      </c>
      <c r="I1159" s="5" t="str">
        <f aca="false">IF($H1159=FALSE(),"",COUNTIF($H$6:$H1159,TRUE()))</f>
        <v/>
      </c>
      <c r="J1159" s="5" t="str">
        <f aca="false">IF($I1159="","","R"&amp;$I1159)</f>
        <v/>
      </c>
    </row>
    <row r="1160" customFormat="false" ht="15" hidden="false" customHeight="true" outlineLevel="0" collapsed="false">
      <c r="H1160" s="14" t="b">
        <f aca="false">IF(중복검사!$A1158="",FALSE(),중복검사!$J1158="유지")</f>
        <v>0</v>
      </c>
      <c r="I1160" s="5" t="str">
        <f aca="false">IF($H1160=FALSE(),"",COUNTIF($H$6:$H1160,TRUE()))</f>
        <v/>
      </c>
      <c r="J1160" s="5" t="str">
        <f aca="false">IF($I1160="","","R"&amp;$I1160)</f>
        <v/>
      </c>
    </row>
    <row r="1161" customFormat="false" ht="15" hidden="false" customHeight="true" outlineLevel="0" collapsed="false">
      <c r="H1161" s="14" t="b">
        <f aca="false">IF(중복검사!$A1159="",FALSE(),중복검사!$J1159="유지")</f>
        <v>0</v>
      </c>
      <c r="I1161" s="5" t="str">
        <f aca="false">IF($H1161=FALSE(),"",COUNTIF($H$6:$H1161,TRUE()))</f>
        <v/>
      </c>
      <c r="J1161" s="5" t="str">
        <f aca="false">IF($I1161="","","R"&amp;$I1161)</f>
        <v/>
      </c>
    </row>
    <row r="1162" customFormat="false" ht="15" hidden="false" customHeight="true" outlineLevel="0" collapsed="false">
      <c r="H1162" s="14" t="b">
        <f aca="false">IF(중복검사!$A1160="",FALSE(),중복검사!$J1160="유지")</f>
        <v>0</v>
      </c>
      <c r="I1162" s="5" t="str">
        <f aca="false">IF($H1162=FALSE(),"",COUNTIF($H$6:$H1162,TRUE()))</f>
        <v/>
      </c>
      <c r="J1162" s="5" t="str">
        <f aca="false">IF($I1162="","","R"&amp;$I1162)</f>
        <v/>
      </c>
    </row>
    <row r="1163" customFormat="false" ht="15" hidden="false" customHeight="true" outlineLevel="0" collapsed="false">
      <c r="H1163" s="14" t="b">
        <f aca="false">IF(중복검사!$A1161="",FALSE(),중복검사!$J1161="유지")</f>
        <v>0</v>
      </c>
      <c r="I1163" s="5" t="str">
        <f aca="false">IF($H1163=FALSE(),"",COUNTIF($H$6:$H1163,TRUE()))</f>
        <v/>
      </c>
      <c r="J1163" s="5" t="str">
        <f aca="false">IF($I1163="","","R"&amp;$I1163)</f>
        <v/>
      </c>
    </row>
    <row r="1164" customFormat="false" ht="15" hidden="false" customHeight="true" outlineLevel="0" collapsed="false">
      <c r="H1164" s="14" t="b">
        <f aca="false">IF(중복검사!$A1162="",FALSE(),중복검사!$J1162="유지")</f>
        <v>0</v>
      </c>
      <c r="I1164" s="5" t="str">
        <f aca="false">IF($H1164=FALSE(),"",COUNTIF($H$6:$H1164,TRUE()))</f>
        <v/>
      </c>
      <c r="J1164" s="5" t="str">
        <f aca="false">IF($I1164="","","R"&amp;$I1164)</f>
        <v/>
      </c>
    </row>
    <row r="1165" customFormat="false" ht="15" hidden="false" customHeight="true" outlineLevel="0" collapsed="false">
      <c r="H1165" s="14" t="b">
        <f aca="false">IF(중복검사!$A1163="",FALSE(),중복검사!$J1163="유지")</f>
        <v>0</v>
      </c>
      <c r="I1165" s="5" t="str">
        <f aca="false">IF($H1165=FALSE(),"",COUNTIF($H$6:$H1165,TRUE()))</f>
        <v/>
      </c>
      <c r="J1165" s="5" t="str">
        <f aca="false">IF($I1165="","","R"&amp;$I1165)</f>
        <v/>
      </c>
    </row>
    <row r="1166" customFormat="false" ht="15" hidden="false" customHeight="true" outlineLevel="0" collapsed="false">
      <c r="H1166" s="14" t="b">
        <f aca="false">IF(중복검사!$A1164="",FALSE(),중복검사!$J1164="유지")</f>
        <v>0</v>
      </c>
      <c r="I1166" s="5" t="str">
        <f aca="false">IF($H1166=FALSE(),"",COUNTIF($H$6:$H1166,TRUE()))</f>
        <v/>
      </c>
      <c r="J1166" s="5" t="str">
        <f aca="false">IF($I1166="","","R"&amp;$I1166)</f>
        <v/>
      </c>
    </row>
    <row r="1167" customFormat="false" ht="15" hidden="false" customHeight="true" outlineLevel="0" collapsed="false">
      <c r="H1167" s="14" t="b">
        <f aca="false">IF(중복검사!$A1165="",FALSE(),중복검사!$J1165="유지")</f>
        <v>0</v>
      </c>
      <c r="I1167" s="5" t="str">
        <f aca="false">IF($H1167=FALSE(),"",COUNTIF($H$6:$H1167,TRUE()))</f>
        <v/>
      </c>
      <c r="J1167" s="5" t="str">
        <f aca="false">IF($I1167="","","R"&amp;$I1167)</f>
        <v/>
      </c>
    </row>
    <row r="1168" customFormat="false" ht="15" hidden="false" customHeight="true" outlineLevel="0" collapsed="false">
      <c r="H1168" s="14" t="b">
        <f aca="false">IF(중복검사!$A1166="",FALSE(),중복검사!$J1166="유지")</f>
        <v>0</v>
      </c>
      <c r="I1168" s="5" t="str">
        <f aca="false">IF($H1168=FALSE(),"",COUNTIF($H$6:$H1168,TRUE()))</f>
        <v/>
      </c>
      <c r="J1168" s="5" t="str">
        <f aca="false">IF($I1168="","","R"&amp;$I1168)</f>
        <v/>
      </c>
    </row>
    <row r="1169" customFormat="false" ht="15" hidden="false" customHeight="true" outlineLevel="0" collapsed="false">
      <c r="H1169" s="14" t="b">
        <f aca="false">IF(중복검사!$A1167="",FALSE(),중복검사!$J1167="유지")</f>
        <v>0</v>
      </c>
      <c r="I1169" s="5" t="str">
        <f aca="false">IF($H1169=FALSE(),"",COUNTIF($H$6:$H1169,TRUE()))</f>
        <v/>
      </c>
      <c r="J1169" s="5" t="str">
        <f aca="false">IF($I1169="","","R"&amp;$I1169)</f>
        <v/>
      </c>
    </row>
    <row r="1170" customFormat="false" ht="15" hidden="false" customHeight="true" outlineLevel="0" collapsed="false">
      <c r="H1170" s="14" t="b">
        <f aca="false">IF(중복검사!$A1168="",FALSE(),중복검사!$J1168="유지")</f>
        <v>0</v>
      </c>
      <c r="I1170" s="5" t="str">
        <f aca="false">IF($H1170=FALSE(),"",COUNTIF($H$6:$H1170,TRUE()))</f>
        <v/>
      </c>
      <c r="J1170" s="5" t="str">
        <f aca="false">IF($I1170="","","R"&amp;$I1170)</f>
        <v/>
      </c>
    </row>
    <row r="1171" customFormat="false" ht="15" hidden="false" customHeight="true" outlineLevel="0" collapsed="false">
      <c r="H1171" s="14" t="b">
        <f aca="false">IF(중복검사!$A1169="",FALSE(),중복검사!$J1169="유지")</f>
        <v>0</v>
      </c>
      <c r="I1171" s="5" t="str">
        <f aca="false">IF($H1171=FALSE(),"",COUNTIF($H$6:$H1171,TRUE()))</f>
        <v/>
      </c>
      <c r="J1171" s="5" t="str">
        <f aca="false">IF($I1171="","","R"&amp;$I1171)</f>
        <v/>
      </c>
    </row>
    <row r="1172" customFormat="false" ht="15" hidden="false" customHeight="true" outlineLevel="0" collapsed="false">
      <c r="H1172" s="14" t="b">
        <f aca="false">IF(중복검사!$A1170="",FALSE(),중복검사!$J1170="유지")</f>
        <v>0</v>
      </c>
      <c r="I1172" s="5" t="str">
        <f aca="false">IF($H1172=FALSE(),"",COUNTIF($H$6:$H1172,TRUE()))</f>
        <v/>
      </c>
      <c r="J1172" s="5" t="str">
        <f aca="false">IF($I1172="","","R"&amp;$I1172)</f>
        <v/>
      </c>
    </row>
    <row r="1173" customFormat="false" ht="15" hidden="false" customHeight="true" outlineLevel="0" collapsed="false">
      <c r="H1173" s="14" t="b">
        <f aca="false">IF(중복검사!$A1171="",FALSE(),중복검사!$J1171="유지")</f>
        <v>0</v>
      </c>
      <c r="I1173" s="5" t="str">
        <f aca="false">IF($H1173=FALSE(),"",COUNTIF($H$6:$H1173,TRUE()))</f>
        <v/>
      </c>
      <c r="J1173" s="5" t="str">
        <f aca="false">IF($I1173="","","R"&amp;$I1173)</f>
        <v/>
      </c>
    </row>
    <row r="1174" customFormat="false" ht="15" hidden="false" customHeight="true" outlineLevel="0" collapsed="false">
      <c r="H1174" s="14" t="b">
        <f aca="false">IF(중복검사!$A1172="",FALSE(),중복검사!$J1172="유지")</f>
        <v>0</v>
      </c>
      <c r="I1174" s="5" t="str">
        <f aca="false">IF($H1174=FALSE(),"",COUNTIF($H$6:$H1174,TRUE()))</f>
        <v/>
      </c>
      <c r="J1174" s="5" t="str">
        <f aca="false">IF($I1174="","","R"&amp;$I1174)</f>
        <v/>
      </c>
    </row>
    <row r="1175" customFormat="false" ht="15" hidden="false" customHeight="true" outlineLevel="0" collapsed="false">
      <c r="H1175" s="14" t="b">
        <f aca="false">IF(중복검사!$A1173="",FALSE(),중복검사!$J1173="유지")</f>
        <v>0</v>
      </c>
      <c r="I1175" s="5" t="str">
        <f aca="false">IF($H1175=FALSE(),"",COUNTIF($H$6:$H1175,TRUE()))</f>
        <v/>
      </c>
      <c r="J1175" s="5" t="str">
        <f aca="false">IF($I1175="","","R"&amp;$I1175)</f>
        <v/>
      </c>
    </row>
    <row r="1176" customFormat="false" ht="15" hidden="false" customHeight="true" outlineLevel="0" collapsed="false">
      <c r="H1176" s="14" t="b">
        <f aca="false">IF(중복검사!$A1174="",FALSE(),중복검사!$J1174="유지")</f>
        <v>0</v>
      </c>
      <c r="I1176" s="5" t="str">
        <f aca="false">IF($H1176=FALSE(),"",COUNTIF($H$6:$H1176,TRUE()))</f>
        <v/>
      </c>
      <c r="J1176" s="5" t="str">
        <f aca="false">IF($I1176="","","R"&amp;$I1176)</f>
        <v/>
      </c>
    </row>
    <row r="1177" customFormat="false" ht="15" hidden="false" customHeight="true" outlineLevel="0" collapsed="false">
      <c r="H1177" s="14" t="b">
        <f aca="false">IF(중복검사!$A1175="",FALSE(),중복검사!$J1175="유지")</f>
        <v>0</v>
      </c>
      <c r="I1177" s="5" t="str">
        <f aca="false">IF($H1177=FALSE(),"",COUNTIF($H$6:$H1177,TRUE()))</f>
        <v/>
      </c>
      <c r="J1177" s="5" t="str">
        <f aca="false">IF($I1177="","","R"&amp;$I1177)</f>
        <v/>
      </c>
    </row>
    <row r="1178" customFormat="false" ht="15" hidden="false" customHeight="true" outlineLevel="0" collapsed="false">
      <c r="H1178" s="14" t="b">
        <f aca="false">IF(중복검사!$A1176="",FALSE(),중복검사!$J1176="유지")</f>
        <v>0</v>
      </c>
      <c r="I1178" s="5" t="str">
        <f aca="false">IF($H1178=FALSE(),"",COUNTIF($H$6:$H1178,TRUE()))</f>
        <v/>
      </c>
      <c r="J1178" s="5" t="str">
        <f aca="false">IF($I1178="","","R"&amp;$I1178)</f>
        <v/>
      </c>
    </row>
    <row r="1179" customFormat="false" ht="15" hidden="false" customHeight="true" outlineLevel="0" collapsed="false">
      <c r="H1179" s="14" t="b">
        <f aca="false">IF(중복검사!$A1177="",FALSE(),중복검사!$J1177="유지")</f>
        <v>0</v>
      </c>
      <c r="I1179" s="5" t="str">
        <f aca="false">IF($H1179=FALSE(),"",COUNTIF($H$6:$H1179,TRUE()))</f>
        <v/>
      </c>
      <c r="J1179" s="5" t="str">
        <f aca="false">IF($I1179="","","R"&amp;$I1179)</f>
        <v/>
      </c>
    </row>
    <row r="1180" customFormat="false" ht="15" hidden="false" customHeight="true" outlineLevel="0" collapsed="false">
      <c r="H1180" s="14" t="b">
        <f aca="false">IF(중복검사!$A1178="",FALSE(),중복검사!$J1178="유지")</f>
        <v>0</v>
      </c>
      <c r="I1180" s="5" t="str">
        <f aca="false">IF($H1180=FALSE(),"",COUNTIF($H$6:$H1180,TRUE()))</f>
        <v/>
      </c>
      <c r="J1180" s="5" t="str">
        <f aca="false">IF($I1180="","","R"&amp;$I1180)</f>
        <v/>
      </c>
    </row>
    <row r="1181" customFormat="false" ht="15" hidden="false" customHeight="true" outlineLevel="0" collapsed="false">
      <c r="H1181" s="14" t="b">
        <f aca="false">IF(중복검사!$A1179="",FALSE(),중복검사!$J1179="유지")</f>
        <v>0</v>
      </c>
      <c r="I1181" s="5" t="str">
        <f aca="false">IF($H1181=FALSE(),"",COUNTIF($H$6:$H1181,TRUE()))</f>
        <v/>
      </c>
      <c r="J1181" s="5" t="str">
        <f aca="false">IF($I1181="","","R"&amp;$I1181)</f>
        <v/>
      </c>
    </row>
    <row r="1182" customFormat="false" ht="15" hidden="false" customHeight="true" outlineLevel="0" collapsed="false">
      <c r="H1182" s="14" t="b">
        <f aca="false">IF(중복검사!$A1180="",FALSE(),중복검사!$J1180="유지")</f>
        <v>0</v>
      </c>
      <c r="I1182" s="5" t="str">
        <f aca="false">IF($H1182=FALSE(),"",COUNTIF($H$6:$H1182,TRUE()))</f>
        <v/>
      </c>
      <c r="J1182" s="5" t="str">
        <f aca="false">IF($I1182="","","R"&amp;$I1182)</f>
        <v/>
      </c>
    </row>
    <row r="1183" customFormat="false" ht="15" hidden="false" customHeight="true" outlineLevel="0" collapsed="false">
      <c r="H1183" s="14" t="b">
        <f aca="false">IF(중복검사!$A1181="",FALSE(),중복검사!$J1181="유지")</f>
        <v>0</v>
      </c>
      <c r="I1183" s="5" t="str">
        <f aca="false">IF($H1183=FALSE(),"",COUNTIF($H$6:$H1183,TRUE()))</f>
        <v/>
      </c>
      <c r="J1183" s="5" t="str">
        <f aca="false">IF($I1183="","","R"&amp;$I1183)</f>
        <v/>
      </c>
    </row>
    <row r="1184" customFormat="false" ht="15" hidden="false" customHeight="true" outlineLevel="0" collapsed="false">
      <c r="H1184" s="14" t="b">
        <f aca="false">IF(중복검사!$A1182="",FALSE(),중복검사!$J1182="유지")</f>
        <v>0</v>
      </c>
      <c r="I1184" s="5" t="str">
        <f aca="false">IF($H1184=FALSE(),"",COUNTIF($H$6:$H1184,TRUE()))</f>
        <v/>
      </c>
      <c r="J1184" s="5" t="str">
        <f aca="false">IF($I1184="","","R"&amp;$I1184)</f>
        <v/>
      </c>
    </row>
    <row r="1185" customFormat="false" ht="15" hidden="false" customHeight="true" outlineLevel="0" collapsed="false">
      <c r="H1185" s="14" t="b">
        <f aca="false">IF(중복검사!$A1183="",FALSE(),중복검사!$J1183="유지")</f>
        <v>0</v>
      </c>
      <c r="I1185" s="5" t="str">
        <f aca="false">IF($H1185=FALSE(),"",COUNTIF($H$6:$H1185,TRUE()))</f>
        <v/>
      </c>
      <c r="J1185" s="5" t="str">
        <f aca="false">IF($I1185="","","R"&amp;$I1185)</f>
        <v/>
      </c>
    </row>
    <row r="1186" customFormat="false" ht="15" hidden="false" customHeight="true" outlineLevel="0" collapsed="false">
      <c r="H1186" s="14" t="b">
        <f aca="false">IF(중복검사!$A1184="",FALSE(),중복검사!$J1184="유지")</f>
        <v>0</v>
      </c>
      <c r="I1186" s="5" t="str">
        <f aca="false">IF($H1186=FALSE(),"",COUNTIF($H$6:$H1186,TRUE()))</f>
        <v/>
      </c>
      <c r="J1186" s="5" t="str">
        <f aca="false">IF($I1186="","","R"&amp;$I1186)</f>
        <v/>
      </c>
    </row>
    <row r="1187" customFormat="false" ht="15" hidden="false" customHeight="true" outlineLevel="0" collapsed="false">
      <c r="H1187" s="14" t="b">
        <f aca="false">IF(중복검사!$A1185="",FALSE(),중복검사!$J1185="유지")</f>
        <v>0</v>
      </c>
      <c r="I1187" s="5" t="str">
        <f aca="false">IF($H1187=FALSE(),"",COUNTIF($H$6:$H1187,TRUE()))</f>
        <v/>
      </c>
      <c r="J1187" s="5" t="str">
        <f aca="false">IF($I1187="","","R"&amp;$I1187)</f>
        <v/>
      </c>
    </row>
    <row r="1188" customFormat="false" ht="15" hidden="false" customHeight="true" outlineLevel="0" collapsed="false">
      <c r="H1188" s="14" t="b">
        <f aca="false">IF(중복검사!$A1186="",FALSE(),중복검사!$J1186="유지")</f>
        <v>0</v>
      </c>
      <c r="I1188" s="5" t="str">
        <f aca="false">IF($H1188=FALSE(),"",COUNTIF($H$6:$H1188,TRUE()))</f>
        <v/>
      </c>
      <c r="J1188" s="5" t="str">
        <f aca="false">IF($I1188="","","R"&amp;$I1188)</f>
        <v/>
      </c>
    </row>
    <row r="1189" customFormat="false" ht="15" hidden="false" customHeight="true" outlineLevel="0" collapsed="false">
      <c r="H1189" s="14" t="b">
        <f aca="false">IF(중복검사!$A1187="",FALSE(),중복검사!$J1187="유지")</f>
        <v>0</v>
      </c>
      <c r="I1189" s="5" t="str">
        <f aca="false">IF($H1189=FALSE(),"",COUNTIF($H$6:$H1189,TRUE()))</f>
        <v/>
      </c>
      <c r="J1189" s="5" t="str">
        <f aca="false">IF($I1189="","","R"&amp;$I1189)</f>
        <v/>
      </c>
    </row>
    <row r="1190" customFormat="false" ht="15" hidden="false" customHeight="true" outlineLevel="0" collapsed="false">
      <c r="H1190" s="14" t="b">
        <f aca="false">IF(중복검사!$A1188="",FALSE(),중복검사!$J1188="유지")</f>
        <v>0</v>
      </c>
      <c r="I1190" s="5" t="str">
        <f aca="false">IF($H1190=FALSE(),"",COUNTIF($H$6:$H1190,TRUE()))</f>
        <v/>
      </c>
      <c r="J1190" s="5" t="str">
        <f aca="false">IF($I1190="","","R"&amp;$I1190)</f>
        <v/>
      </c>
    </row>
    <row r="1191" customFormat="false" ht="15" hidden="false" customHeight="true" outlineLevel="0" collapsed="false">
      <c r="H1191" s="14" t="b">
        <f aca="false">IF(중복검사!$A1189="",FALSE(),중복검사!$J1189="유지")</f>
        <v>0</v>
      </c>
      <c r="I1191" s="5" t="str">
        <f aca="false">IF($H1191=FALSE(),"",COUNTIF($H$6:$H1191,TRUE()))</f>
        <v/>
      </c>
      <c r="J1191" s="5" t="str">
        <f aca="false">IF($I1191="","","R"&amp;$I1191)</f>
        <v/>
      </c>
    </row>
    <row r="1192" customFormat="false" ht="15" hidden="false" customHeight="true" outlineLevel="0" collapsed="false">
      <c r="H1192" s="14" t="b">
        <f aca="false">IF(중복검사!$A1190="",FALSE(),중복검사!$J1190="유지")</f>
        <v>0</v>
      </c>
      <c r="I1192" s="5" t="str">
        <f aca="false">IF($H1192=FALSE(),"",COUNTIF($H$6:$H1192,TRUE()))</f>
        <v/>
      </c>
      <c r="J1192" s="5" t="str">
        <f aca="false">IF($I1192="","","R"&amp;$I1192)</f>
        <v/>
      </c>
    </row>
    <row r="1193" customFormat="false" ht="15" hidden="false" customHeight="true" outlineLevel="0" collapsed="false">
      <c r="H1193" s="14" t="b">
        <f aca="false">IF(중복검사!$A1191="",FALSE(),중복검사!$J1191="유지")</f>
        <v>0</v>
      </c>
      <c r="I1193" s="5" t="str">
        <f aca="false">IF($H1193=FALSE(),"",COUNTIF($H$6:$H1193,TRUE()))</f>
        <v/>
      </c>
      <c r="J1193" s="5" t="str">
        <f aca="false">IF($I1193="","","R"&amp;$I1193)</f>
        <v/>
      </c>
    </row>
    <row r="1194" customFormat="false" ht="15" hidden="false" customHeight="true" outlineLevel="0" collapsed="false">
      <c r="H1194" s="14" t="b">
        <f aca="false">IF(중복검사!$A1192="",FALSE(),중복검사!$J1192="유지")</f>
        <v>0</v>
      </c>
      <c r="I1194" s="5" t="str">
        <f aca="false">IF($H1194=FALSE(),"",COUNTIF($H$6:$H1194,TRUE()))</f>
        <v/>
      </c>
      <c r="J1194" s="5" t="str">
        <f aca="false">IF($I1194="","","R"&amp;$I1194)</f>
        <v/>
      </c>
    </row>
    <row r="1195" customFormat="false" ht="15" hidden="false" customHeight="true" outlineLevel="0" collapsed="false">
      <c r="H1195" s="14" t="b">
        <f aca="false">IF(중복검사!$A1193="",FALSE(),중복검사!$J1193="유지")</f>
        <v>0</v>
      </c>
      <c r="I1195" s="5" t="str">
        <f aca="false">IF($H1195=FALSE(),"",COUNTIF($H$6:$H1195,TRUE()))</f>
        <v/>
      </c>
      <c r="J1195" s="5" t="str">
        <f aca="false">IF($I1195="","","R"&amp;$I1195)</f>
        <v/>
      </c>
    </row>
    <row r="1196" customFormat="false" ht="15" hidden="false" customHeight="true" outlineLevel="0" collapsed="false">
      <c r="H1196" s="14" t="b">
        <f aca="false">IF(중복검사!$A1194="",FALSE(),중복검사!$J1194="유지")</f>
        <v>0</v>
      </c>
      <c r="I1196" s="5" t="str">
        <f aca="false">IF($H1196=FALSE(),"",COUNTIF($H$6:$H1196,TRUE()))</f>
        <v/>
      </c>
      <c r="J1196" s="5" t="str">
        <f aca="false">IF($I1196="","","R"&amp;$I1196)</f>
        <v/>
      </c>
    </row>
    <row r="1197" customFormat="false" ht="15" hidden="false" customHeight="true" outlineLevel="0" collapsed="false">
      <c r="H1197" s="14" t="b">
        <f aca="false">IF(중복검사!$A1195="",FALSE(),중복검사!$J1195="유지")</f>
        <v>0</v>
      </c>
      <c r="I1197" s="5" t="str">
        <f aca="false">IF($H1197=FALSE(),"",COUNTIF($H$6:$H1197,TRUE()))</f>
        <v/>
      </c>
      <c r="J1197" s="5" t="str">
        <f aca="false">IF($I1197="","","R"&amp;$I1197)</f>
        <v/>
      </c>
    </row>
    <row r="1198" customFormat="false" ht="15" hidden="false" customHeight="true" outlineLevel="0" collapsed="false">
      <c r="H1198" s="14" t="b">
        <f aca="false">IF(중복검사!$A1196="",FALSE(),중복검사!$J1196="유지")</f>
        <v>0</v>
      </c>
      <c r="I1198" s="5" t="str">
        <f aca="false">IF($H1198=FALSE(),"",COUNTIF($H$6:$H1198,TRUE()))</f>
        <v/>
      </c>
      <c r="J1198" s="5" t="str">
        <f aca="false">IF($I1198="","","R"&amp;$I1198)</f>
        <v/>
      </c>
    </row>
    <row r="1199" customFormat="false" ht="15" hidden="false" customHeight="true" outlineLevel="0" collapsed="false">
      <c r="H1199" s="14" t="b">
        <f aca="false">IF(중복검사!$A1197="",FALSE(),중복검사!$J1197="유지")</f>
        <v>0</v>
      </c>
      <c r="I1199" s="5" t="str">
        <f aca="false">IF($H1199=FALSE(),"",COUNTIF($H$6:$H1199,TRUE()))</f>
        <v/>
      </c>
      <c r="J1199" s="5" t="str">
        <f aca="false">IF($I1199="","","R"&amp;$I1199)</f>
        <v/>
      </c>
    </row>
    <row r="1200" customFormat="false" ht="15" hidden="false" customHeight="true" outlineLevel="0" collapsed="false">
      <c r="H1200" s="14" t="b">
        <f aca="false">IF(중복검사!$A1198="",FALSE(),중복검사!$J1198="유지")</f>
        <v>0</v>
      </c>
      <c r="I1200" s="5" t="str">
        <f aca="false">IF($H1200=FALSE(),"",COUNTIF($H$6:$H1200,TRUE()))</f>
        <v/>
      </c>
      <c r="J1200" s="5" t="str">
        <f aca="false">IF($I1200="","","R"&amp;$I1200)</f>
        <v/>
      </c>
    </row>
    <row r="1201" customFormat="false" ht="15" hidden="false" customHeight="true" outlineLevel="0" collapsed="false">
      <c r="H1201" s="14" t="b">
        <f aca="false">IF(중복검사!$A1199="",FALSE(),중복검사!$J1199="유지")</f>
        <v>0</v>
      </c>
      <c r="I1201" s="5" t="str">
        <f aca="false">IF($H1201=FALSE(),"",COUNTIF($H$6:$H1201,TRUE()))</f>
        <v/>
      </c>
      <c r="J1201" s="5" t="str">
        <f aca="false">IF($I1201="","","R"&amp;$I1201)</f>
        <v/>
      </c>
    </row>
    <row r="1202" customFormat="false" ht="15" hidden="false" customHeight="true" outlineLevel="0" collapsed="false">
      <c r="H1202" s="14" t="b">
        <f aca="false">IF(중복검사!$A1200="",FALSE(),중복검사!$J1200="유지")</f>
        <v>0</v>
      </c>
      <c r="I1202" s="5" t="str">
        <f aca="false">IF($H1202=FALSE(),"",COUNTIF($H$6:$H1202,TRUE()))</f>
        <v/>
      </c>
      <c r="J1202" s="5" t="str">
        <f aca="false">IF($I1202="","","R"&amp;$I1202)</f>
        <v/>
      </c>
    </row>
    <row r="1203" customFormat="false" ht="15" hidden="false" customHeight="true" outlineLevel="0" collapsed="false">
      <c r="H1203" s="14" t="b">
        <f aca="false">IF(중복검사!$A1201="",FALSE(),중복검사!$J1201="유지")</f>
        <v>0</v>
      </c>
      <c r="I1203" s="5" t="str">
        <f aca="false">IF($H1203=FALSE(),"",COUNTIF($H$6:$H1203,TRUE()))</f>
        <v/>
      </c>
      <c r="J1203" s="5" t="str">
        <f aca="false">IF($I1203="","","R"&amp;$I1203)</f>
        <v/>
      </c>
    </row>
    <row r="1204" customFormat="false" ht="15" hidden="false" customHeight="true" outlineLevel="0" collapsed="false">
      <c r="H1204" s="14" t="b">
        <f aca="false">IF(중복검사!$A1202="",FALSE(),중복검사!$J1202="유지")</f>
        <v>0</v>
      </c>
      <c r="I1204" s="5" t="str">
        <f aca="false">IF($H1204=FALSE(),"",COUNTIF($H$6:$H1204,TRUE()))</f>
        <v/>
      </c>
      <c r="J1204" s="5" t="str">
        <f aca="false">IF($I1204="","","R"&amp;$I1204)</f>
        <v/>
      </c>
    </row>
    <row r="1205" customFormat="false" ht="15" hidden="false" customHeight="true" outlineLevel="0" collapsed="false">
      <c r="H1205" s="14" t="b">
        <f aca="false">IF(중복검사!$A1203="",FALSE(),중복검사!$J1203="유지")</f>
        <v>0</v>
      </c>
      <c r="I1205" s="5" t="str">
        <f aca="false">IF($H1205=FALSE(),"",COUNTIF($H$6:$H1205,TRUE()))</f>
        <v/>
      </c>
      <c r="J1205" s="5" t="str">
        <f aca="false">IF($I1205="","","R"&amp;$I1205)</f>
        <v/>
      </c>
    </row>
    <row r="1206" customFormat="false" ht="15" hidden="false" customHeight="true" outlineLevel="0" collapsed="false">
      <c r="H1206" s="14" t="b">
        <f aca="false">IF(중복검사!$A1204="",FALSE(),중복검사!$J1204="유지")</f>
        <v>0</v>
      </c>
      <c r="I1206" s="5" t="str">
        <f aca="false">IF($H1206=FALSE(),"",COUNTIF($H$6:$H1206,TRUE()))</f>
        <v/>
      </c>
      <c r="J1206" s="5" t="str">
        <f aca="false">IF($I1206="","","R"&amp;$I1206)</f>
        <v/>
      </c>
    </row>
    <row r="1207" customFormat="false" ht="15" hidden="false" customHeight="true" outlineLevel="0" collapsed="false">
      <c r="H1207" s="14" t="b">
        <f aca="false">IF(중복검사!$A1205="",FALSE(),중복검사!$J1205="유지")</f>
        <v>0</v>
      </c>
      <c r="I1207" s="5" t="str">
        <f aca="false">IF($H1207=FALSE(),"",COUNTIF($H$6:$H1207,TRUE()))</f>
        <v/>
      </c>
      <c r="J1207" s="5" t="str">
        <f aca="false">IF($I1207="","","R"&amp;$I1207)</f>
        <v/>
      </c>
    </row>
    <row r="1208" customFormat="false" ht="15" hidden="false" customHeight="true" outlineLevel="0" collapsed="false">
      <c r="H1208" s="14" t="b">
        <f aca="false">IF(중복검사!$A1206="",FALSE(),중복검사!$J1206="유지")</f>
        <v>0</v>
      </c>
      <c r="I1208" s="5" t="str">
        <f aca="false">IF($H1208=FALSE(),"",COUNTIF($H$6:$H1208,TRUE()))</f>
        <v/>
      </c>
      <c r="J1208" s="5" t="str">
        <f aca="false">IF($I1208="","","R"&amp;$I1208)</f>
        <v/>
      </c>
    </row>
    <row r="1209" customFormat="false" ht="15" hidden="false" customHeight="true" outlineLevel="0" collapsed="false">
      <c r="H1209" s="14" t="b">
        <f aca="false">IF(중복검사!$A1207="",FALSE(),중복검사!$J1207="유지")</f>
        <v>0</v>
      </c>
      <c r="I1209" s="5" t="str">
        <f aca="false">IF($H1209=FALSE(),"",COUNTIF($H$6:$H1209,TRUE()))</f>
        <v/>
      </c>
      <c r="J1209" s="5" t="str">
        <f aca="false">IF($I1209="","","R"&amp;$I1209)</f>
        <v/>
      </c>
    </row>
    <row r="1210" customFormat="false" ht="15" hidden="false" customHeight="true" outlineLevel="0" collapsed="false">
      <c r="H1210" s="14" t="b">
        <f aca="false">IF(중복검사!$A1208="",FALSE(),중복검사!$J1208="유지")</f>
        <v>0</v>
      </c>
      <c r="I1210" s="5" t="str">
        <f aca="false">IF($H1210=FALSE(),"",COUNTIF($H$6:$H1210,TRUE()))</f>
        <v/>
      </c>
      <c r="J1210" s="5" t="str">
        <f aca="false">IF($I1210="","","R"&amp;$I1210)</f>
        <v/>
      </c>
    </row>
    <row r="1211" customFormat="false" ht="15" hidden="false" customHeight="true" outlineLevel="0" collapsed="false">
      <c r="H1211" s="14" t="b">
        <f aca="false">IF(중복검사!$A1209="",FALSE(),중복검사!$J1209="유지")</f>
        <v>0</v>
      </c>
      <c r="I1211" s="5" t="str">
        <f aca="false">IF($H1211=FALSE(),"",COUNTIF($H$6:$H1211,TRUE()))</f>
        <v/>
      </c>
      <c r="J1211" s="5" t="str">
        <f aca="false">IF($I1211="","","R"&amp;$I1211)</f>
        <v/>
      </c>
    </row>
    <row r="1212" customFormat="false" ht="15" hidden="false" customHeight="true" outlineLevel="0" collapsed="false">
      <c r="H1212" s="14" t="b">
        <f aca="false">IF(중복검사!$A1210="",FALSE(),중복검사!$J1210="유지")</f>
        <v>0</v>
      </c>
      <c r="I1212" s="5" t="str">
        <f aca="false">IF($H1212=FALSE(),"",COUNTIF($H$6:$H1212,TRUE()))</f>
        <v/>
      </c>
      <c r="J1212" s="5" t="str">
        <f aca="false">IF($I1212="","","R"&amp;$I1212)</f>
        <v/>
      </c>
    </row>
    <row r="1213" customFormat="false" ht="15" hidden="false" customHeight="true" outlineLevel="0" collapsed="false">
      <c r="H1213" s="14" t="b">
        <f aca="false">IF(중복검사!$A1211="",FALSE(),중복검사!$J1211="유지")</f>
        <v>0</v>
      </c>
      <c r="I1213" s="5" t="str">
        <f aca="false">IF($H1213=FALSE(),"",COUNTIF($H$6:$H1213,TRUE()))</f>
        <v/>
      </c>
      <c r="J1213" s="5" t="str">
        <f aca="false">IF($I1213="","","R"&amp;$I1213)</f>
        <v/>
      </c>
    </row>
    <row r="1214" customFormat="false" ht="15" hidden="false" customHeight="true" outlineLevel="0" collapsed="false">
      <c r="H1214" s="14" t="b">
        <f aca="false">IF(중복검사!$A1212="",FALSE(),중복검사!$J1212="유지")</f>
        <v>0</v>
      </c>
      <c r="I1214" s="5" t="str">
        <f aca="false">IF($H1214=FALSE(),"",COUNTIF($H$6:$H1214,TRUE()))</f>
        <v/>
      </c>
      <c r="J1214" s="5" t="str">
        <f aca="false">IF($I1214="","","R"&amp;$I1214)</f>
        <v/>
      </c>
    </row>
    <row r="1215" customFormat="false" ht="15" hidden="false" customHeight="true" outlineLevel="0" collapsed="false">
      <c r="H1215" s="14" t="b">
        <f aca="false">IF(중복검사!$A1213="",FALSE(),중복검사!$J1213="유지")</f>
        <v>0</v>
      </c>
      <c r="I1215" s="5" t="str">
        <f aca="false">IF($H1215=FALSE(),"",COUNTIF($H$6:$H1215,TRUE()))</f>
        <v/>
      </c>
      <c r="J1215" s="5" t="str">
        <f aca="false">IF($I1215="","","R"&amp;$I1215)</f>
        <v/>
      </c>
    </row>
    <row r="1216" customFormat="false" ht="15" hidden="false" customHeight="true" outlineLevel="0" collapsed="false">
      <c r="H1216" s="14" t="b">
        <f aca="false">IF(중복검사!$A1214="",FALSE(),중복검사!$J1214="유지")</f>
        <v>0</v>
      </c>
      <c r="I1216" s="5" t="str">
        <f aca="false">IF($H1216=FALSE(),"",COUNTIF($H$6:$H1216,TRUE()))</f>
        <v/>
      </c>
      <c r="J1216" s="5" t="str">
        <f aca="false">IF($I1216="","","R"&amp;$I1216)</f>
        <v/>
      </c>
    </row>
    <row r="1217" customFormat="false" ht="15" hidden="false" customHeight="true" outlineLevel="0" collapsed="false">
      <c r="H1217" s="14" t="b">
        <f aca="false">IF(중복검사!$A1215="",FALSE(),중복검사!$J1215="유지")</f>
        <v>0</v>
      </c>
      <c r="I1217" s="5" t="str">
        <f aca="false">IF($H1217=FALSE(),"",COUNTIF($H$6:$H1217,TRUE()))</f>
        <v/>
      </c>
      <c r="J1217" s="5" t="str">
        <f aca="false">IF($I1217="","","R"&amp;$I1217)</f>
        <v/>
      </c>
    </row>
    <row r="1218" customFormat="false" ht="15" hidden="false" customHeight="true" outlineLevel="0" collapsed="false">
      <c r="H1218" s="14" t="b">
        <f aca="false">IF(중복검사!$A1216="",FALSE(),중복검사!$J1216="유지")</f>
        <v>0</v>
      </c>
      <c r="I1218" s="5" t="str">
        <f aca="false">IF($H1218=FALSE(),"",COUNTIF($H$6:$H1218,TRUE()))</f>
        <v/>
      </c>
      <c r="J1218" s="5" t="str">
        <f aca="false">IF($I1218="","","R"&amp;$I1218)</f>
        <v/>
      </c>
    </row>
    <row r="1219" customFormat="false" ht="15" hidden="false" customHeight="true" outlineLevel="0" collapsed="false">
      <c r="H1219" s="14" t="b">
        <f aca="false">IF(중복검사!$A1217="",FALSE(),중복검사!$J1217="유지")</f>
        <v>0</v>
      </c>
      <c r="I1219" s="5" t="str">
        <f aca="false">IF($H1219=FALSE(),"",COUNTIF($H$6:$H1219,TRUE()))</f>
        <v/>
      </c>
      <c r="J1219" s="5" t="str">
        <f aca="false">IF($I1219="","","R"&amp;$I1219)</f>
        <v/>
      </c>
    </row>
    <row r="1220" customFormat="false" ht="15" hidden="false" customHeight="true" outlineLevel="0" collapsed="false">
      <c r="H1220" s="14" t="b">
        <f aca="false">IF(중복검사!$A1218="",FALSE(),중복검사!$J1218="유지")</f>
        <v>0</v>
      </c>
      <c r="I1220" s="5" t="str">
        <f aca="false">IF($H1220=FALSE(),"",COUNTIF($H$6:$H1220,TRUE()))</f>
        <v/>
      </c>
      <c r="J1220" s="5" t="str">
        <f aca="false">IF($I1220="","","R"&amp;$I1220)</f>
        <v/>
      </c>
    </row>
    <row r="1221" customFormat="false" ht="15" hidden="false" customHeight="true" outlineLevel="0" collapsed="false">
      <c r="H1221" s="14" t="b">
        <f aca="false">IF(중복검사!$A1219="",FALSE(),중복검사!$J1219="유지")</f>
        <v>0</v>
      </c>
      <c r="I1221" s="5" t="str">
        <f aca="false">IF($H1221=FALSE(),"",COUNTIF($H$6:$H1221,TRUE()))</f>
        <v/>
      </c>
      <c r="J1221" s="5" t="str">
        <f aca="false">IF($I1221="","","R"&amp;$I1221)</f>
        <v/>
      </c>
    </row>
    <row r="1222" customFormat="false" ht="15" hidden="false" customHeight="true" outlineLevel="0" collapsed="false">
      <c r="H1222" s="14" t="b">
        <f aca="false">IF(중복검사!$A1220="",FALSE(),중복검사!$J1220="유지")</f>
        <v>0</v>
      </c>
      <c r="I1222" s="5" t="str">
        <f aca="false">IF($H1222=FALSE(),"",COUNTIF($H$6:$H1222,TRUE()))</f>
        <v/>
      </c>
      <c r="J1222" s="5" t="str">
        <f aca="false">IF($I1222="","","R"&amp;$I1222)</f>
        <v/>
      </c>
    </row>
    <row r="1223" customFormat="false" ht="15" hidden="false" customHeight="true" outlineLevel="0" collapsed="false">
      <c r="H1223" s="14" t="b">
        <f aca="false">IF(중복검사!$A1221="",FALSE(),중복검사!$J1221="유지")</f>
        <v>0</v>
      </c>
      <c r="I1223" s="5" t="str">
        <f aca="false">IF($H1223=FALSE(),"",COUNTIF($H$6:$H1223,TRUE()))</f>
        <v/>
      </c>
      <c r="J1223" s="5" t="str">
        <f aca="false">IF($I1223="","","R"&amp;$I1223)</f>
        <v/>
      </c>
    </row>
    <row r="1224" customFormat="false" ht="15" hidden="false" customHeight="true" outlineLevel="0" collapsed="false">
      <c r="H1224" s="14" t="b">
        <f aca="false">IF(중복검사!$A1222="",FALSE(),중복검사!$J1222="유지")</f>
        <v>0</v>
      </c>
      <c r="I1224" s="5" t="str">
        <f aca="false">IF($H1224=FALSE(),"",COUNTIF($H$6:$H1224,TRUE()))</f>
        <v/>
      </c>
      <c r="J1224" s="5" t="str">
        <f aca="false">IF($I1224="","","R"&amp;$I1224)</f>
        <v/>
      </c>
    </row>
    <row r="1225" customFormat="false" ht="15" hidden="false" customHeight="true" outlineLevel="0" collapsed="false">
      <c r="H1225" s="14" t="b">
        <f aca="false">IF(중복검사!$A1223="",FALSE(),중복검사!$J1223="유지")</f>
        <v>0</v>
      </c>
      <c r="I1225" s="5" t="str">
        <f aca="false">IF($H1225=FALSE(),"",COUNTIF($H$6:$H1225,TRUE()))</f>
        <v/>
      </c>
      <c r="J1225" s="5" t="str">
        <f aca="false">IF($I1225="","","R"&amp;$I1225)</f>
        <v/>
      </c>
    </row>
    <row r="1226" customFormat="false" ht="15" hidden="false" customHeight="true" outlineLevel="0" collapsed="false">
      <c r="H1226" s="14" t="b">
        <f aca="false">IF(중복검사!$A1224="",FALSE(),중복검사!$J1224="유지")</f>
        <v>0</v>
      </c>
      <c r="I1226" s="5" t="str">
        <f aca="false">IF($H1226=FALSE(),"",COUNTIF($H$6:$H1226,TRUE()))</f>
        <v/>
      </c>
      <c r="J1226" s="5" t="str">
        <f aca="false">IF($I1226="","","R"&amp;$I1226)</f>
        <v/>
      </c>
    </row>
    <row r="1227" customFormat="false" ht="15" hidden="false" customHeight="true" outlineLevel="0" collapsed="false">
      <c r="H1227" s="14" t="b">
        <f aca="false">IF(중복검사!$A1225="",FALSE(),중복검사!$J1225="유지")</f>
        <v>0</v>
      </c>
      <c r="I1227" s="5" t="str">
        <f aca="false">IF($H1227=FALSE(),"",COUNTIF($H$6:$H1227,TRUE()))</f>
        <v/>
      </c>
      <c r="J1227" s="5" t="str">
        <f aca="false">IF($I1227="","","R"&amp;$I1227)</f>
        <v/>
      </c>
    </row>
    <row r="1228" customFormat="false" ht="15" hidden="false" customHeight="true" outlineLevel="0" collapsed="false">
      <c r="H1228" s="14" t="b">
        <f aca="false">IF(중복검사!$A1226="",FALSE(),중복검사!$J1226="유지")</f>
        <v>0</v>
      </c>
      <c r="I1228" s="5" t="str">
        <f aca="false">IF($H1228=FALSE(),"",COUNTIF($H$6:$H1228,TRUE()))</f>
        <v/>
      </c>
      <c r="J1228" s="5" t="str">
        <f aca="false">IF($I1228="","","R"&amp;$I1228)</f>
        <v/>
      </c>
    </row>
    <row r="1229" customFormat="false" ht="15" hidden="false" customHeight="true" outlineLevel="0" collapsed="false">
      <c r="H1229" s="14" t="b">
        <f aca="false">IF(중복검사!$A1227="",FALSE(),중복검사!$J1227="유지")</f>
        <v>0</v>
      </c>
      <c r="I1229" s="5" t="str">
        <f aca="false">IF($H1229=FALSE(),"",COUNTIF($H$6:$H1229,TRUE()))</f>
        <v/>
      </c>
      <c r="J1229" s="5" t="str">
        <f aca="false">IF($I1229="","","R"&amp;$I1229)</f>
        <v/>
      </c>
    </row>
    <row r="1230" customFormat="false" ht="15" hidden="false" customHeight="true" outlineLevel="0" collapsed="false">
      <c r="H1230" s="14" t="b">
        <f aca="false">IF(중복검사!$A1228="",FALSE(),중복검사!$J1228="유지")</f>
        <v>0</v>
      </c>
      <c r="I1230" s="5" t="str">
        <f aca="false">IF($H1230=FALSE(),"",COUNTIF($H$6:$H1230,TRUE()))</f>
        <v/>
      </c>
      <c r="J1230" s="5" t="str">
        <f aca="false">IF($I1230="","","R"&amp;$I1230)</f>
        <v/>
      </c>
    </row>
    <row r="1231" customFormat="false" ht="15" hidden="false" customHeight="true" outlineLevel="0" collapsed="false">
      <c r="H1231" s="14" t="b">
        <f aca="false">IF(중복검사!$A1229="",FALSE(),중복검사!$J1229="유지")</f>
        <v>0</v>
      </c>
      <c r="I1231" s="5" t="str">
        <f aca="false">IF($H1231=FALSE(),"",COUNTIF($H$6:$H1231,TRUE()))</f>
        <v/>
      </c>
      <c r="J1231" s="5" t="str">
        <f aca="false">IF($I1231="","","R"&amp;$I1231)</f>
        <v/>
      </c>
    </row>
    <row r="1232" customFormat="false" ht="15" hidden="false" customHeight="true" outlineLevel="0" collapsed="false">
      <c r="H1232" s="14" t="b">
        <f aca="false">IF(중복검사!$A1230="",FALSE(),중복검사!$J1230="유지")</f>
        <v>0</v>
      </c>
      <c r="I1232" s="5" t="str">
        <f aca="false">IF($H1232=FALSE(),"",COUNTIF($H$6:$H1232,TRUE()))</f>
        <v/>
      </c>
      <c r="J1232" s="5" t="str">
        <f aca="false">IF($I1232="","","R"&amp;$I1232)</f>
        <v/>
      </c>
    </row>
    <row r="1233" customFormat="false" ht="15" hidden="false" customHeight="true" outlineLevel="0" collapsed="false">
      <c r="H1233" s="14" t="b">
        <f aca="false">IF(중복검사!$A1231="",FALSE(),중복검사!$J1231="유지")</f>
        <v>0</v>
      </c>
      <c r="I1233" s="5" t="str">
        <f aca="false">IF($H1233=FALSE(),"",COUNTIF($H$6:$H1233,TRUE()))</f>
        <v/>
      </c>
      <c r="J1233" s="5" t="str">
        <f aca="false">IF($I1233="","","R"&amp;$I1233)</f>
        <v/>
      </c>
    </row>
    <row r="1234" customFormat="false" ht="15" hidden="false" customHeight="true" outlineLevel="0" collapsed="false">
      <c r="H1234" s="14" t="b">
        <f aca="false">IF(중복검사!$A1232="",FALSE(),중복검사!$J1232="유지")</f>
        <v>0</v>
      </c>
      <c r="I1234" s="5" t="str">
        <f aca="false">IF($H1234=FALSE(),"",COUNTIF($H$6:$H1234,TRUE()))</f>
        <v/>
      </c>
      <c r="J1234" s="5" t="str">
        <f aca="false">IF($I1234="","","R"&amp;$I1234)</f>
        <v/>
      </c>
    </row>
    <row r="1235" customFormat="false" ht="15" hidden="false" customHeight="true" outlineLevel="0" collapsed="false">
      <c r="H1235" s="14" t="b">
        <f aca="false">IF(중복검사!$A1233="",FALSE(),중복검사!$J1233="유지")</f>
        <v>0</v>
      </c>
      <c r="I1235" s="5" t="str">
        <f aca="false">IF($H1235=FALSE(),"",COUNTIF($H$6:$H1235,TRUE()))</f>
        <v/>
      </c>
      <c r="J1235" s="5" t="str">
        <f aca="false">IF($I1235="","","R"&amp;$I1235)</f>
        <v/>
      </c>
    </row>
    <row r="1236" customFormat="false" ht="15" hidden="false" customHeight="true" outlineLevel="0" collapsed="false">
      <c r="H1236" s="14" t="b">
        <f aca="false">IF(중복검사!$A1234="",FALSE(),중복검사!$J1234="유지")</f>
        <v>0</v>
      </c>
      <c r="I1236" s="5" t="str">
        <f aca="false">IF($H1236=FALSE(),"",COUNTIF($H$6:$H1236,TRUE()))</f>
        <v/>
      </c>
      <c r="J1236" s="5" t="str">
        <f aca="false">IF($I1236="","","R"&amp;$I1236)</f>
        <v/>
      </c>
    </row>
    <row r="1237" customFormat="false" ht="15" hidden="false" customHeight="true" outlineLevel="0" collapsed="false">
      <c r="H1237" s="14" t="b">
        <f aca="false">IF(중복검사!$A1235="",FALSE(),중복검사!$J1235="유지")</f>
        <v>0</v>
      </c>
      <c r="I1237" s="5" t="str">
        <f aca="false">IF($H1237=FALSE(),"",COUNTIF($H$6:$H1237,TRUE()))</f>
        <v/>
      </c>
      <c r="J1237" s="5" t="str">
        <f aca="false">IF($I1237="","","R"&amp;$I1237)</f>
        <v/>
      </c>
    </row>
    <row r="1238" customFormat="false" ht="15" hidden="false" customHeight="true" outlineLevel="0" collapsed="false">
      <c r="H1238" s="14" t="b">
        <f aca="false">IF(중복검사!$A1236="",FALSE(),중복검사!$J1236="유지")</f>
        <v>0</v>
      </c>
      <c r="I1238" s="5" t="str">
        <f aca="false">IF($H1238=FALSE(),"",COUNTIF($H$6:$H1238,TRUE()))</f>
        <v/>
      </c>
      <c r="J1238" s="5" t="str">
        <f aca="false">IF($I1238="","","R"&amp;$I1238)</f>
        <v/>
      </c>
    </row>
    <row r="1239" customFormat="false" ht="15" hidden="false" customHeight="true" outlineLevel="0" collapsed="false">
      <c r="H1239" s="14" t="b">
        <f aca="false">IF(중복검사!$A1237="",FALSE(),중복검사!$J1237="유지")</f>
        <v>0</v>
      </c>
      <c r="I1239" s="5" t="str">
        <f aca="false">IF($H1239=FALSE(),"",COUNTIF($H$6:$H1239,TRUE()))</f>
        <v/>
      </c>
      <c r="J1239" s="5" t="str">
        <f aca="false">IF($I1239="","","R"&amp;$I1239)</f>
        <v/>
      </c>
    </row>
    <row r="1240" customFormat="false" ht="15" hidden="false" customHeight="true" outlineLevel="0" collapsed="false">
      <c r="H1240" s="14" t="b">
        <f aca="false">IF(중복검사!$A1238="",FALSE(),중복검사!$J1238="유지")</f>
        <v>0</v>
      </c>
      <c r="I1240" s="5" t="str">
        <f aca="false">IF($H1240=FALSE(),"",COUNTIF($H$6:$H1240,TRUE()))</f>
        <v/>
      </c>
      <c r="J1240" s="5" t="str">
        <f aca="false">IF($I1240="","","R"&amp;$I1240)</f>
        <v/>
      </c>
    </row>
    <row r="1241" customFormat="false" ht="15" hidden="false" customHeight="true" outlineLevel="0" collapsed="false">
      <c r="H1241" s="14" t="b">
        <f aca="false">IF(중복검사!$A1239="",FALSE(),중복검사!$J1239="유지")</f>
        <v>0</v>
      </c>
      <c r="I1241" s="5" t="str">
        <f aca="false">IF($H1241=FALSE(),"",COUNTIF($H$6:$H1241,TRUE()))</f>
        <v/>
      </c>
      <c r="J1241" s="5" t="str">
        <f aca="false">IF($I1241="","","R"&amp;$I1241)</f>
        <v/>
      </c>
    </row>
    <row r="1242" customFormat="false" ht="15" hidden="false" customHeight="true" outlineLevel="0" collapsed="false">
      <c r="H1242" s="14" t="b">
        <f aca="false">IF(중복검사!$A1240="",FALSE(),중복검사!$J1240="유지")</f>
        <v>0</v>
      </c>
      <c r="I1242" s="5" t="str">
        <f aca="false">IF($H1242=FALSE(),"",COUNTIF($H$6:$H1242,TRUE()))</f>
        <v/>
      </c>
      <c r="J1242" s="5" t="str">
        <f aca="false">IF($I1242="","","R"&amp;$I1242)</f>
        <v/>
      </c>
    </row>
    <row r="1243" customFormat="false" ht="15" hidden="false" customHeight="true" outlineLevel="0" collapsed="false">
      <c r="H1243" s="14" t="b">
        <f aca="false">IF(중복검사!$A1241="",FALSE(),중복검사!$J1241="유지")</f>
        <v>0</v>
      </c>
      <c r="I1243" s="5" t="str">
        <f aca="false">IF($H1243=FALSE(),"",COUNTIF($H$6:$H1243,TRUE()))</f>
        <v/>
      </c>
      <c r="J1243" s="5" t="str">
        <f aca="false">IF($I1243="","","R"&amp;$I1243)</f>
        <v/>
      </c>
    </row>
    <row r="1244" customFormat="false" ht="15" hidden="false" customHeight="true" outlineLevel="0" collapsed="false">
      <c r="H1244" s="14" t="b">
        <f aca="false">IF(중복검사!$A1242="",FALSE(),중복검사!$J1242="유지")</f>
        <v>0</v>
      </c>
      <c r="I1244" s="5" t="str">
        <f aca="false">IF($H1244=FALSE(),"",COUNTIF($H$6:$H1244,TRUE()))</f>
        <v/>
      </c>
      <c r="J1244" s="5" t="str">
        <f aca="false">IF($I1244="","","R"&amp;$I1244)</f>
        <v/>
      </c>
    </row>
    <row r="1245" customFormat="false" ht="15" hidden="false" customHeight="true" outlineLevel="0" collapsed="false">
      <c r="H1245" s="14" t="b">
        <f aca="false">IF(중복검사!$A1243="",FALSE(),중복검사!$J1243="유지")</f>
        <v>0</v>
      </c>
      <c r="I1245" s="5" t="str">
        <f aca="false">IF($H1245=FALSE(),"",COUNTIF($H$6:$H1245,TRUE()))</f>
        <v/>
      </c>
      <c r="J1245" s="5" t="str">
        <f aca="false">IF($I1245="","","R"&amp;$I1245)</f>
        <v/>
      </c>
    </row>
    <row r="1246" customFormat="false" ht="15" hidden="false" customHeight="true" outlineLevel="0" collapsed="false">
      <c r="H1246" s="14" t="b">
        <f aca="false">IF(중복검사!$A1244="",FALSE(),중복검사!$J1244="유지")</f>
        <v>0</v>
      </c>
      <c r="I1246" s="5" t="str">
        <f aca="false">IF($H1246=FALSE(),"",COUNTIF($H$6:$H1246,TRUE()))</f>
        <v/>
      </c>
      <c r="J1246" s="5" t="str">
        <f aca="false">IF($I1246="","","R"&amp;$I1246)</f>
        <v/>
      </c>
    </row>
    <row r="1247" customFormat="false" ht="15" hidden="false" customHeight="true" outlineLevel="0" collapsed="false">
      <c r="H1247" s="14" t="b">
        <f aca="false">IF(중복검사!$A1245="",FALSE(),중복검사!$J1245="유지")</f>
        <v>0</v>
      </c>
      <c r="I1247" s="5" t="str">
        <f aca="false">IF($H1247=FALSE(),"",COUNTIF($H$6:$H1247,TRUE()))</f>
        <v/>
      </c>
      <c r="J1247" s="5" t="str">
        <f aca="false">IF($I1247="","","R"&amp;$I1247)</f>
        <v/>
      </c>
    </row>
    <row r="1248" customFormat="false" ht="15" hidden="false" customHeight="true" outlineLevel="0" collapsed="false">
      <c r="H1248" s="14" t="b">
        <f aca="false">IF(중복검사!$A1246="",FALSE(),중복검사!$J1246="유지")</f>
        <v>0</v>
      </c>
      <c r="I1248" s="5" t="str">
        <f aca="false">IF($H1248=FALSE(),"",COUNTIF($H$6:$H1248,TRUE()))</f>
        <v/>
      </c>
      <c r="J1248" s="5" t="str">
        <f aca="false">IF($I1248="","","R"&amp;$I1248)</f>
        <v/>
      </c>
    </row>
    <row r="1249" customFormat="false" ht="15" hidden="false" customHeight="true" outlineLevel="0" collapsed="false">
      <c r="H1249" s="14" t="b">
        <f aca="false">IF(중복검사!$A1247="",FALSE(),중복검사!$J1247="유지")</f>
        <v>0</v>
      </c>
      <c r="I1249" s="5" t="str">
        <f aca="false">IF($H1249=FALSE(),"",COUNTIF($H$6:$H1249,TRUE()))</f>
        <v/>
      </c>
      <c r="J1249" s="5" t="str">
        <f aca="false">IF($I1249="","","R"&amp;$I1249)</f>
        <v/>
      </c>
    </row>
    <row r="1250" customFormat="false" ht="15" hidden="false" customHeight="true" outlineLevel="0" collapsed="false">
      <c r="H1250" s="14" t="b">
        <f aca="false">IF(중복검사!$A1248="",FALSE(),중복검사!$J1248="유지")</f>
        <v>0</v>
      </c>
      <c r="I1250" s="5" t="str">
        <f aca="false">IF($H1250=FALSE(),"",COUNTIF($H$6:$H1250,TRUE()))</f>
        <v/>
      </c>
      <c r="J1250" s="5" t="str">
        <f aca="false">IF($I1250="","","R"&amp;$I1250)</f>
        <v/>
      </c>
    </row>
    <row r="1251" customFormat="false" ht="15" hidden="false" customHeight="true" outlineLevel="0" collapsed="false">
      <c r="H1251" s="14" t="b">
        <f aca="false">IF(중복검사!$A1249="",FALSE(),중복검사!$J1249="유지")</f>
        <v>0</v>
      </c>
      <c r="I1251" s="5" t="str">
        <f aca="false">IF($H1251=FALSE(),"",COUNTIF($H$6:$H1251,TRUE()))</f>
        <v/>
      </c>
      <c r="J1251" s="5" t="str">
        <f aca="false">IF($I1251="","","R"&amp;$I1251)</f>
        <v/>
      </c>
    </row>
    <row r="1252" customFormat="false" ht="15" hidden="false" customHeight="true" outlineLevel="0" collapsed="false">
      <c r="H1252" s="14" t="b">
        <f aca="false">IF(중복검사!$A1250="",FALSE(),중복검사!$J1250="유지")</f>
        <v>0</v>
      </c>
      <c r="I1252" s="5" t="str">
        <f aca="false">IF($H1252=FALSE(),"",COUNTIF($H$6:$H1252,TRUE()))</f>
        <v/>
      </c>
      <c r="J1252" s="5" t="str">
        <f aca="false">IF($I1252="","","R"&amp;$I1252)</f>
        <v/>
      </c>
    </row>
    <row r="1253" customFormat="false" ht="15" hidden="false" customHeight="true" outlineLevel="0" collapsed="false">
      <c r="H1253" s="14" t="b">
        <f aca="false">IF(중복검사!$A1251="",FALSE(),중복검사!$J1251="유지")</f>
        <v>0</v>
      </c>
      <c r="I1253" s="5" t="str">
        <f aca="false">IF($H1253=FALSE(),"",COUNTIF($H$6:$H1253,TRUE()))</f>
        <v/>
      </c>
      <c r="J1253" s="5" t="str">
        <f aca="false">IF($I1253="","","R"&amp;$I1253)</f>
        <v/>
      </c>
    </row>
    <row r="1254" customFormat="false" ht="15" hidden="false" customHeight="true" outlineLevel="0" collapsed="false">
      <c r="H1254" s="14" t="b">
        <f aca="false">IF(중복검사!$A1252="",FALSE(),중복검사!$J1252="유지")</f>
        <v>0</v>
      </c>
      <c r="I1254" s="5" t="str">
        <f aca="false">IF($H1254=FALSE(),"",COUNTIF($H$6:$H1254,TRUE()))</f>
        <v/>
      </c>
      <c r="J1254" s="5" t="str">
        <f aca="false">IF($I1254="","","R"&amp;$I1254)</f>
        <v/>
      </c>
    </row>
    <row r="1255" customFormat="false" ht="15" hidden="false" customHeight="true" outlineLevel="0" collapsed="false">
      <c r="H1255" s="14" t="b">
        <f aca="false">IF(중복검사!$A1253="",FALSE(),중복검사!$J1253="유지")</f>
        <v>0</v>
      </c>
      <c r="I1255" s="5" t="str">
        <f aca="false">IF($H1255=FALSE(),"",COUNTIF($H$6:$H1255,TRUE()))</f>
        <v/>
      </c>
      <c r="J1255" s="5" t="str">
        <f aca="false">IF($I1255="","","R"&amp;$I1255)</f>
        <v/>
      </c>
    </row>
    <row r="1256" customFormat="false" ht="15" hidden="false" customHeight="true" outlineLevel="0" collapsed="false">
      <c r="H1256" s="14" t="b">
        <f aca="false">IF(중복검사!$A1254="",FALSE(),중복검사!$J1254="유지")</f>
        <v>0</v>
      </c>
      <c r="I1256" s="5" t="str">
        <f aca="false">IF($H1256=FALSE(),"",COUNTIF($H$6:$H1256,TRUE()))</f>
        <v/>
      </c>
      <c r="J1256" s="5" t="str">
        <f aca="false">IF($I1256="","","R"&amp;$I1256)</f>
        <v/>
      </c>
    </row>
    <row r="1257" customFormat="false" ht="15" hidden="false" customHeight="true" outlineLevel="0" collapsed="false">
      <c r="H1257" s="14" t="b">
        <f aca="false">IF(중복검사!$A1255="",FALSE(),중복검사!$J1255="유지")</f>
        <v>0</v>
      </c>
      <c r="I1257" s="5" t="str">
        <f aca="false">IF($H1257=FALSE(),"",COUNTIF($H$6:$H1257,TRUE()))</f>
        <v/>
      </c>
      <c r="J1257" s="5" t="str">
        <f aca="false">IF($I1257="","","R"&amp;$I1257)</f>
        <v/>
      </c>
    </row>
    <row r="1258" customFormat="false" ht="15" hidden="false" customHeight="true" outlineLevel="0" collapsed="false">
      <c r="H1258" s="14" t="b">
        <f aca="false">IF(중복검사!$A1256="",FALSE(),중복검사!$J1256="유지")</f>
        <v>0</v>
      </c>
      <c r="I1258" s="5" t="str">
        <f aca="false">IF($H1258=FALSE(),"",COUNTIF($H$6:$H1258,TRUE()))</f>
        <v/>
      </c>
      <c r="J1258" s="5" t="str">
        <f aca="false">IF($I1258="","","R"&amp;$I1258)</f>
        <v/>
      </c>
    </row>
    <row r="1259" customFormat="false" ht="15" hidden="false" customHeight="true" outlineLevel="0" collapsed="false">
      <c r="H1259" s="14" t="b">
        <f aca="false">IF(중복검사!$A1257="",FALSE(),중복검사!$J1257="유지")</f>
        <v>0</v>
      </c>
      <c r="I1259" s="5" t="str">
        <f aca="false">IF($H1259=FALSE(),"",COUNTIF($H$6:$H1259,TRUE()))</f>
        <v/>
      </c>
      <c r="J1259" s="5" t="str">
        <f aca="false">IF($I1259="","","R"&amp;$I1259)</f>
        <v/>
      </c>
    </row>
    <row r="1260" customFormat="false" ht="15" hidden="false" customHeight="true" outlineLevel="0" collapsed="false">
      <c r="H1260" s="14" t="b">
        <f aca="false">IF(중복검사!$A1258="",FALSE(),중복검사!$J1258="유지")</f>
        <v>0</v>
      </c>
      <c r="I1260" s="5" t="str">
        <f aca="false">IF($H1260=FALSE(),"",COUNTIF($H$6:$H1260,TRUE()))</f>
        <v/>
      </c>
      <c r="J1260" s="5" t="str">
        <f aca="false">IF($I1260="","","R"&amp;$I1260)</f>
        <v/>
      </c>
    </row>
    <row r="1261" customFormat="false" ht="15" hidden="false" customHeight="true" outlineLevel="0" collapsed="false">
      <c r="H1261" s="14" t="b">
        <f aca="false">IF(중복검사!$A1259="",FALSE(),중복검사!$J1259="유지")</f>
        <v>0</v>
      </c>
      <c r="I1261" s="5" t="str">
        <f aca="false">IF($H1261=FALSE(),"",COUNTIF($H$6:$H1261,TRUE()))</f>
        <v/>
      </c>
      <c r="J1261" s="5" t="str">
        <f aca="false">IF($I1261="","","R"&amp;$I1261)</f>
        <v/>
      </c>
    </row>
    <row r="1262" customFormat="false" ht="15" hidden="false" customHeight="true" outlineLevel="0" collapsed="false">
      <c r="H1262" s="14" t="b">
        <f aca="false">IF(중복검사!$A1260="",FALSE(),중복검사!$J1260="유지")</f>
        <v>0</v>
      </c>
      <c r="I1262" s="5" t="str">
        <f aca="false">IF($H1262=FALSE(),"",COUNTIF($H$6:$H1262,TRUE()))</f>
        <v/>
      </c>
      <c r="J1262" s="5" t="str">
        <f aca="false">IF($I1262="","","R"&amp;$I1262)</f>
        <v/>
      </c>
    </row>
    <row r="1263" customFormat="false" ht="15" hidden="false" customHeight="true" outlineLevel="0" collapsed="false">
      <c r="H1263" s="14" t="b">
        <f aca="false">IF(중복검사!$A1261="",FALSE(),중복검사!$J1261="유지")</f>
        <v>0</v>
      </c>
      <c r="I1263" s="5" t="str">
        <f aca="false">IF($H1263=FALSE(),"",COUNTIF($H$6:$H1263,TRUE()))</f>
        <v/>
      </c>
      <c r="J1263" s="5" t="str">
        <f aca="false">IF($I1263="","","R"&amp;$I1263)</f>
        <v/>
      </c>
    </row>
    <row r="1264" customFormat="false" ht="15" hidden="false" customHeight="true" outlineLevel="0" collapsed="false">
      <c r="H1264" s="14" t="b">
        <f aca="false">IF(중복검사!$A1262="",FALSE(),중복검사!$J1262="유지")</f>
        <v>0</v>
      </c>
      <c r="I1264" s="5" t="str">
        <f aca="false">IF($H1264=FALSE(),"",COUNTIF($H$6:$H1264,TRUE()))</f>
        <v/>
      </c>
      <c r="J1264" s="5" t="str">
        <f aca="false">IF($I1264="","","R"&amp;$I1264)</f>
        <v/>
      </c>
    </row>
    <row r="1265" customFormat="false" ht="15" hidden="false" customHeight="true" outlineLevel="0" collapsed="false">
      <c r="H1265" s="14" t="b">
        <f aca="false">IF(중복검사!$A1263="",FALSE(),중복검사!$J1263="유지")</f>
        <v>0</v>
      </c>
      <c r="I1265" s="5" t="str">
        <f aca="false">IF($H1265=FALSE(),"",COUNTIF($H$6:$H1265,TRUE()))</f>
        <v/>
      </c>
      <c r="J1265" s="5" t="str">
        <f aca="false">IF($I1265="","","R"&amp;$I1265)</f>
        <v/>
      </c>
    </row>
    <row r="1266" customFormat="false" ht="15" hidden="false" customHeight="true" outlineLevel="0" collapsed="false">
      <c r="H1266" s="14" t="b">
        <f aca="false">IF(중복검사!$A1264="",FALSE(),중복검사!$J1264="유지")</f>
        <v>0</v>
      </c>
      <c r="I1266" s="5" t="str">
        <f aca="false">IF($H1266=FALSE(),"",COUNTIF($H$6:$H1266,TRUE()))</f>
        <v/>
      </c>
      <c r="J1266" s="5" t="str">
        <f aca="false">IF($I1266="","","R"&amp;$I1266)</f>
        <v/>
      </c>
    </row>
    <row r="1267" customFormat="false" ht="15" hidden="false" customHeight="true" outlineLevel="0" collapsed="false">
      <c r="H1267" s="14" t="b">
        <f aca="false">IF(중복검사!$A1265="",FALSE(),중복검사!$J1265="유지")</f>
        <v>0</v>
      </c>
      <c r="I1267" s="5" t="str">
        <f aca="false">IF($H1267=FALSE(),"",COUNTIF($H$6:$H1267,TRUE()))</f>
        <v/>
      </c>
      <c r="J1267" s="5" t="str">
        <f aca="false">IF($I1267="","","R"&amp;$I1267)</f>
        <v/>
      </c>
    </row>
    <row r="1268" customFormat="false" ht="15" hidden="false" customHeight="true" outlineLevel="0" collapsed="false">
      <c r="H1268" s="14" t="b">
        <f aca="false">IF(중복검사!$A1266="",FALSE(),중복검사!$J1266="유지")</f>
        <v>0</v>
      </c>
      <c r="I1268" s="5" t="str">
        <f aca="false">IF($H1268=FALSE(),"",COUNTIF($H$6:$H1268,TRUE()))</f>
        <v/>
      </c>
      <c r="J1268" s="5" t="str">
        <f aca="false">IF($I1268="","","R"&amp;$I1268)</f>
        <v/>
      </c>
    </row>
    <row r="1269" customFormat="false" ht="15" hidden="false" customHeight="true" outlineLevel="0" collapsed="false">
      <c r="H1269" s="14" t="b">
        <f aca="false">IF(중복검사!$A1267="",FALSE(),중복검사!$J1267="유지")</f>
        <v>0</v>
      </c>
      <c r="I1269" s="5" t="str">
        <f aca="false">IF($H1269=FALSE(),"",COUNTIF($H$6:$H1269,TRUE()))</f>
        <v/>
      </c>
      <c r="J1269" s="5" t="str">
        <f aca="false">IF($I1269="","","R"&amp;$I1269)</f>
        <v/>
      </c>
    </row>
    <row r="1270" customFormat="false" ht="15" hidden="false" customHeight="true" outlineLevel="0" collapsed="false">
      <c r="H1270" s="14" t="b">
        <f aca="false">IF(중복검사!$A1268="",FALSE(),중복검사!$J1268="유지")</f>
        <v>0</v>
      </c>
      <c r="I1270" s="5" t="str">
        <f aca="false">IF($H1270=FALSE(),"",COUNTIF($H$6:$H1270,TRUE()))</f>
        <v/>
      </c>
      <c r="J1270" s="5" t="str">
        <f aca="false">IF($I1270="","","R"&amp;$I1270)</f>
        <v/>
      </c>
    </row>
    <row r="1271" customFormat="false" ht="15" hidden="false" customHeight="true" outlineLevel="0" collapsed="false">
      <c r="H1271" s="14" t="b">
        <f aca="false">IF(중복검사!$A1269="",FALSE(),중복검사!$J1269="유지")</f>
        <v>0</v>
      </c>
      <c r="I1271" s="5" t="str">
        <f aca="false">IF($H1271=FALSE(),"",COUNTIF($H$6:$H1271,TRUE()))</f>
        <v/>
      </c>
      <c r="J1271" s="5" t="str">
        <f aca="false">IF($I1271="","","R"&amp;$I1271)</f>
        <v/>
      </c>
    </row>
    <row r="1272" customFormat="false" ht="15" hidden="false" customHeight="true" outlineLevel="0" collapsed="false">
      <c r="H1272" s="14" t="b">
        <f aca="false">IF(중복검사!$A1270="",FALSE(),중복검사!$J1270="유지")</f>
        <v>0</v>
      </c>
      <c r="I1272" s="5" t="str">
        <f aca="false">IF($H1272=FALSE(),"",COUNTIF($H$6:$H1272,TRUE()))</f>
        <v/>
      </c>
      <c r="J1272" s="5" t="str">
        <f aca="false">IF($I1272="","","R"&amp;$I1272)</f>
        <v/>
      </c>
    </row>
    <row r="1273" customFormat="false" ht="15" hidden="false" customHeight="true" outlineLevel="0" collapsed="false">
      <c r="H1273" s="14" t="b">
        <f aca="false">IF(중복검사!$A1271="",FALSE(),중복검사!$J1271="유지")</f>
        <v>0</v>
      </c>
      <c r="I1273" s="5" t="str">
        <f aca="false">IF($H1273=FALSE(),"",COUNTIF($H$6:$H1273,TRUE()))</f>
        <v/>
      </c>
      <c r="J1273" s="5" t="str">
        <f aca="false">IF($I1273="","","R"&amp;$I1273)</f>
        <v/>
      </c>
    </row>
    <row r="1274" customFormat="false" ht="15" hidden="false" customHeight="true" outlineLevel="0" collapsed="false">
      <c r="H1274" s="14" t="b">
        <f aca="false">IF(중복검사!$A1272="",FALSE(),중복검사!$J1272="유지")</f>
        <v>0</v>
      </c>
      <c r="I1274" s="5" t="str">
        <f aca="false">IF($H1274=FALSE(),"",COUNTIF($H$6:$H1274,TRUE()))</f>
        <v/>
      </c>
      <c r="J1274" s="5" t="str">
        <f aca="false">IF($I1274="","","R"&amp;$I1274)</f>
        <v/>
      </c>
    </row>
    <row r="1275" customFormat="false" ht="15" hidden="false" customHeight="true" outlineLevel="0" collapsed="false">
      <c r="H1275" s="14" t="b">
        <f aca="false">IF(중복검사!$A1273="",FALSE(),중복검사!$J1273="유지")</f>
        <v>0</v>
      </c>
      <c r="I1275" s="5" t="str">
        <f aca="false">IF($H1275=FALSE(),"",COUNTIF($H$6:$H1275,TRUE()))</f>
        <v/>
      </c>
      <c r="J1275" s="5" t="str">
        <f aca="false">IF($I1275="","","R"&amp;$I1275)</f>
        <v/>
      </c>
    </row>
    <row r="1276" customFormat="false" ht="15" hidden="false" customHeight="true" outlineLevel="0" collapsed="false">
      <c r="H1276" s="14" t="b">
        <f aca="false">IF(중복검사!$A1274="",FALSE(),중복검사!$J1274="유지")</f>
        <v>0</v>
      </c>
      <c r="I1276" s="5" t="str">
        <f aca="false">IF($H1276=FALSE(),"",COUNTIF($H$6:$H1276,TRUE()))</f>
        <v/>
      </c>
      <c r="J1276" s="5" t="str">
        <f aca="false">IF($I1276="","","R"&amp;$I1276)</f>
        <v/>
      </c>
    </row>
    <row r="1277" customFormat="false" ht="15" hidden="false" customHeight="true" outlineLevel="0" collapsed="false">
      <c r="H1277" s="14" t="b">
        <f aca="false">IF(중복검사!$A1275="",FALSE(),중복검사!$J1275="유지")</f>
        <v>0</v>
      </c>
      <c r="I1277" s="5" t="str">
        <f aca="false">IF($H1277=FALSE(),"",COUNTIF($H$6:$H1277,TRUE()))</f>
        <v/>
      </c>
      <c r="J1277" s="5" t="str">
        <f aca="false">IF($I1277="","","R"&amp;$I1277)</f>
        <v/>
      </c>
    </row>
    <row r="1278" customFormat="false" ht="15" hidden="false" customHeight="true" outlineLevel="0" collapsed="false">
      <c r="H1278" s="14" t="b">
        <f aca="false">IF(중복검사!$A1276="",FALSE(),중복검사!$J1276="유지")</f>
        <v>0</v>
      </c>
      <c r="I1278" s="5" t="str">
        <f aca="false">IF($H1278=FALSE(),"",COUNTIF($H$6:$H1278,TRUE()))</f>
        <v/>
      </c>
      <c r="J1278" s="5" t="str">
        <f aca="false">IF($I1278="","","R"&amp;$I1278)</f>
        <v/>
      </c>
    </row>
    <row r="1279" customFormat="false" ht="15" hidden="false" customHeight="true" outlineLevel="0" collapsed="false">
      <c r="H1279" s="14" t="b">
        <f aca="false">IF(중복검사!$A1277="",FALSE(),중복검사!$J1277="유지")</f>
        <v>0</v>
      </c>
      <c r="I1279" s="5" t="str">
        <f aca="false">IF($H1279=FALSE(),"",COUNTIF($H$6:$H1279,TRUE()))</f>
        <v/>
      </c>
      <c r="J1279" s="5" t="str">
        <f aca="false">IF($I1279="","","R"&amp;$I1279)</f>
        <v/>
      </c>
    </row>
    <row r="1280" customFormat="false" ht="15" hidden="false" customHeight="true" outlineLevel="0" collapsed="false">
      <c r="H1280" s="14" t="b">
        <f aca="false">IF(중복검사!$A1278="",FALSE(),중복검사!$J1278="유지")</f>
        <v>0</v>
      </c>
      <c r="I1280" s="5" t="str">
        <f aca="false">IF($H1280=FALSE(),"",COUNTIF($H$6:$H1280,TRUE()))</f>
        <v/>
      </c>
      <c r="J1280" s="5" t="str">
        <f aca="false">IF($I1280="","","R"&amp;$I1280)</f>
        <v/>
      </c>
    </row>
    <row r="1281" customFormat="false" ht="15" hidden="false" customHeight="true" outlineLevel="0" collapsed="false">
      <c r="H1281" s="14" t="b">
        <f aca="false">IF(중복검사!$A1279="",FALSE(),중복검사!$J1279="유지")</f>
        <v>0</v>
      </c>
      <c r="I1281" s="5" t="str">
        <f aca="false">IF($H1281=FALSE(),"",COUNTIF($H$6:$H1281,TRUE()))</f>
        <v/>
      </c>
      <c r="J1281" s="5" t="str">
        <f aca="false">IF($I1281="","","R"&amp;$I1281)</f>
        <v/>
      </c>
    </row>
    <row r="1282" customFormat="false" ht="15" hidden="false" customHeight="true" outlineLevel="0" collapsed="false">
      <c r="H1282" s="14" t="b">
        <f aca="false">IF(중복검사!$A1280="",FALSE(),중복검사!$J1280="유지")</f>
        <v>0</v>
      </c>
      <c r="I1282" s="5" t="str">
        <f aca="false">IF($H1282=FALSE(),"",COUNTIF($H$6:$H1282,TRUE()))</f>
        <v/>
      </c>
      <c r="J1282" s="5" t="str">
        <f aca="false">IF($I1282="","","R"&amp;$I1282)</f>
        <v/>
      </c>
    </row>
    <row r="1283" customFormat="false" ht="15" hidden="false" customHeight="true" outlineLevel="0" collapsed="false">
      <c r="H1283" s="14" t="b">
        <f aca="false">IF(중복검사!$A1281="",FALSE(),중복검사!$J1281="유지")</f>
        <v>0</v>
      </c>
      <c r="I1283" s="5" t="str">
        <f aca="false">IF($H1283=FALSE(),"",COUNTIF($H$6:$H1283,TRUE()))</f>
        <v/>
      </c>
      <c r="J1283" s="5" t="str">
        <f aca="false">IF($I1283="","","R"&amp;$I1283)</f>
        <v/>
      </c>
    </row>
    <row r="1284" customFormat="false" ht="15" hidden="false" customHeight="true" outlineLevel="0" collapsed="false">
      <c r="H1284" s="14" t="b">
        <f aca="false">IF(중복검사!$A1282="",FALSE(),중복검사!$J1282="유지")</f>
        <v>0</v>
      </c>
      <c r="I1284" s="5" t="str">
        <f aca="false">IF($H1284=FALSE(),"",COUNTIF($H$6:$H1284,TRUE()))</f>
        <v/>
      </c>
      <c r="J1284" s="5" t="str">
        <f aca="false">IF($I1284="","","R"&amp;$I1284)</f>
        <v/>
      </c>
    </row>
    <row r="1285" customFormat="false" ht="15" hidden="false" customHeight="true" outlineLevel="0" collapsed="false">
      <c r="H1285" s="14" t="b">
        <f aca="false">IF(중복검사!$A1283="",FALSE(),중복검사!$J1283="유지")</f>
        <v>0</v>
      </c>
      <c r="I1285" s="5" t="str">
        <f aca="false">IF($H1285=FALSE(),"",COUNTIF($H$6:$H1285,TRUE()))</f>
        <v/>
      </c>
      <c r="J1285" s="5" t="str">
        <f aca="false">IF($I1285="","","R"&amp;$I1285)</f>
        <v/>
      </c>
    </row>
    <row r="1286" customFormat="false" ht="15" hidden="false" customHeight="true" outlineLevel="0" collapsed="false">
      <c r="H1286" s="14" t="b">
        <f aca="false">IF(중복검사!$A1284="",FALSE(),중복검사!$J1284="유지")</f>
        <v>0</v>
      </c>
      <c r="I1286" s="5" t="str">
        <f aca="false">IF($H1286=FALSE(),"",COUNTIF($H$6:$H1286,TRUE()))</f>
        <v/>
      </c>
      <c r="J1286" s="5" t="str">
        <f aca="false">IF($I1286="","","R"&amp;$I1286)</f>
        <v/>
      </c>
    </row>
    <row r="1287" customFormat="false" ht="15" hidden="false" customHeight="true" outlineLevel="0" collapsed="false">
      <c r="H1287" s="14" t="b">
        <f aca="false">IF(중복검사!$A1285="",FALSE(),중복검사!$J1285="유지")</f>
        <v>0</v>
      </c>
      <c r="I1287" s="5" t="str">
        <f aca="false">IF($H1287=FALSE(),"",COUNTIF($H$6:$H1287,TRUE()))</f>
        <v/>
      </c>
      <c r="J1287" s="5" t="str">
        <f aca="false">IF($I1287="","","R"&amp;$I1287)</f>
        <v/>
      </c>
    </row>
    <row r="1288" customFormat="false" ht="15" hidden="false" customHeight="true" outlineLevel="0" collapsed="false">
      <c r="H1288" s="14" t="b">
        <f aca="false">IF(중복검사!$A1286="",FALSE(),중복검사!$J1286="유지")</f>
        <v>0</v>
      </c>
      <c r="I1288" s="5" t="str">
        <f aca="false">IF($H1288=FALSE(),"",COUNTIF($H$6:$H1288,TRUE()))</f>
        <v/>
      </c>
      <c r="J1288" s="5" t="str">
        <f aca="false">IF($I1288="","","R"&amp;$I1288)</f>
        <v/>
      </c>
    </row>
    <row r="1289" customFormat="false" ht="15" hidden="false" customHeight="true" outlineLevel="0" collapsed="false">
      <c r="H1289" s="14" t="b">
        <f aca="false">IF(중복검사!$A1287="",FALSE(),중복검사!$J1287="유지")</f>
        <v>0</v>
      </c>
      <c r="I1289" s="5" t="str">
        <f aca="false">IF($H1289=FALSE(),"",COUNTIF($H$6:$H1289,TRUE()))</f>
        <v/>
      </c>
      <c r="J1289" s="5" t="str">
        <f aca="false">IF($I1289="","","R"&amp;$I1289)</f>
        <v/>
      </c>
    </row>
    <row r="1290" customFormat="false" ht="15" hidden="false" customHeight="true" outlineLevel="0" collapsed="false">
      <c r="H1290" s="14" t="b">
        <f aca="false">IF(중복검사!$A1288="",FALSE(),중복검사!$J1288="유지")</f>
        <v>0</v>
      </c>
      <c r="I1290" s="5" t="str">
        <f aca="false">IF($H1290=FALSE(),"",COUNTIF($H$6:$H1290,TRUE()))</f>
        <v/>
      </c>
      <c r="J1290" s="5" t="str">
        <f aca="false">IF($I1290="","","R"&amp;$I1290)</f>
        <v/>
      </c>
    </row>
    <row r="1291" customFormat="false" ht="15" hidden="false" customHeight="true" outlineLevel="0" collapsed="false">
      <c r="H1291" s="14" t="b">
        <f aca="false">IF(중복검사!$A1289="",FALSE(),중복검사!$J1289="유지")</f>
        <v>0</v>
      </c>
      <c r="I1291" s="5" t="str">
        <f aca="false">IF($H1291=FALSE(),"",COUNTIF($H$6:$H1291,TRUE()))</f>
        <v/>
      </c>
      <c r="J1291" s="5" t="str">
        <f aca="false">IF($I1291="","","R"&amp;$I1291)</f>
        <v/>
      </c>
    </row>
    <row r="1292" customFormat="false" ht="15" hidden="false" customHeight="true" outlineLevel="0" collapsed="false">
      <c r="H1292" s="14" t="b">
        <f aca="false">IF(중복검사!$A1290="",FALSE(),중복검사!$J1290="유지")</f>
        <v>0</v>
      </c>
      <c r="I1292" s="5" t="str">
        <f aca="false">IF($H1292=FALSE(),"",COUNTIF($H$6:$H1292,TRUE()))</f>
        <v/>
      </c>
      <c r="J1292" s="5" t="str">
        <f aca="false">IF($I1292="","","R"&amp;$I1292)</f>
        <v/>
      </c>
    </row>
    <row r="1293" customFormat="false" ht="15" hidden="false" customHeight="true" outlineLevel="0" collapsed="false">
      <c r="H1293" s="14" t="b">
        <f aca="false">IF(중복검사!$A1291="",FALSE(),중복검사!$J1291="유지")</f>
        <v>0</v>
      </c>
      <c r="I1293" s="5" t="str">
        <f aca="false">IF($H1293=FALSE(),"",COUNTIF($H$6:$H1293,TRUE()))</f>
        <v/>
      </c>
      <c r="J1293" s="5" t="str">
        <f aca="false">IF($I1293="","","R"&amp;$I1293)</f>
        <v/>
      </c>
    </row>
    <row r="1294" customFormat="false" ht="15" hidden="false" customHeight="true" outlineLevel="0" collapsed="false">
      <c r="H1294" s="14" t="b">
        <f aca="false">IF(중복검사!$A1292="",FALSE(),중복검사!$J1292="유지")</f>
        <v>0</v>
      </c>
      <c r="I1294" s="5" t="str">
        <f aca="false">IF($H1294=FALSE(),"",COUNTIF($H$6:$H1294,TRUE()))</f>
        <v/>
      </c>
      <c r="J1294" s="5" t="str">
        <f aca="false">IF($I1294="","","R"&amp;$I1294)</f>
        <v/>
      </c>
    </row>
    <row r="1295" customFormat="false" ht="15" hidden="false" customHeight="true" outlineLevel="0" collapsed="false">
      <c r="H1295" s="14" t="b">
        <f aca="false">IF(중복검사!$A1293="",FALSE(),중복검사!$J1293="유지")</f>
        <v>0</v>
      </c>
      <c r="I1295" s="5" t="str">
        <f aca="false">IF($H1295=FALSE(),"",COUNTIF($H$6:$H1295,TRUE()))</f>
        <v/>
      </c>
      <c r="J1295" s="5" t="str">
        <f aca="false">IF($I1295="","","R"&amp;$I1295)</f>
        <v/>
      </c>
    </row>
    <row r="1296" customFormat="false" ht="15" hidden="false" customHeight="true" outlineLevel="0" collapsed="false">
      <c r="H1296" s="14" t="b">
        <f aca="false">IF(중복검사!$A1294="",FALSE(),중복검사!$J1294="유지")</f>
        <v>0</v>
      </c>
      <c r="I1296" s="5" t="str">
        <f aca="false">IF($H1296=FALSE(),"",COUNTIF($H$6:$H1296,TRUE()))</f>
        <v/>
      </c>
      <c r="J1296" s="5" t="str">
        <f aca="false">IF($I1296="","","R"&amp;$I1296)</f>
        <v/>
      </c>
    </row>
    <row r="1297" customFormat="false" ht="15" hidden="false" customHeight="true" outlineLevel="0" collapsed="false">
      <c r="H1297" s="14" t="b">
        <f aca="false">IF(중복검사!$A1295="",FALSE(),중복검사!$J1295="유지")</f>
        <v>0</v>
      </c>
      <c r="I1297" s="5" t="str">
        <f aca="false">IF($H1297=FALSE(),"",COUNTIF($H$6:$H1297,TRUE()))</f>
        <v/>
      </c>
      <c r="J1297" s="5" t="str">
        <f aca="false">IF($I1297="","","R"&amp;$I1297)</f>
        <v/>
      </c>
    </row>
    <row r="1298" customFormat="false" ht="15" hidden="false" customHeight="true" outlineLevel="0" collapsed="false">
      <c r="H1298" s="14" t="b">
        <f aca="false">IF(중복검사!$A1296="",FALSE(),중복검사!$J1296="유지")</f>
        <v>0</v>
      </c>
      <c r="I1298" s="5" t="str">
        <f aca="false">IF($H1298=FALSE(),"",COUNTIF($H$6:$H1298,TRUE()))</f>
        <v/>
      </c>
      <c r="J1298" s="5" t="str">
        <f aca="false">IF($I1298="","","R"&amp;$I1298)</f>
        <v/>
      </c>
    </row>
    <row r="1299" customFormat="false" ht="15" hidden="false" customHeight="true" outlineLevel="0" collapsed="false">
      <c r="H1299" s="14" t="b">
        <f aca="false">IF(중복검사!$A1297="",FALSE(),중복검사!$J1297="유지")</f>
        <v>0</v>
      </c>
      <c r="I1299" s="5" t="str">
        <f aca="false">IF($H1299=FALSE(),"",COUNTIF($H$6:$H1299,TRUE()))</f>
        <v/>
      </c>
      <c r="J1299" s="5" t="str">
        <f aca="false">IF($I1299="","","R"&amp;$I1299)</f>
        <v/>
      </c>
    </row>
    <row r="1300" customFormat="false" ht="15" hidden="false" customHeight="true" outlineLevel="0" collapsed="false">
      <c r="H1300" s="14" t="b">
        <f aca="false">IF(중복검사!$A1298="",FALSE(),중복검사!$J1298="유지")</f>
        <v>0</v>
      </c>
      <c r="I1300" s="5" t="str">
        <f aca="false">IF($H1300=FALSE(),"",COUNTIF($H$6:$H1300,TRUE()))</f>
        <v/>
      </c>
      <c r="J1300" s="5" t="str">
        <f aca="false">IF($I1300="","","R"&amp;$I1300)</f>
        <v/>
      </c>
    </row>
    <row r="1301" customFormat="false" ht="15" hidden="false" customHeight="true" outlineLevel="0" collapsed="false">
      <c r="H1301" s="14" t="b">
        <f aca="false">IF(중복검사!$A1299="",FALSE(),중복검사!$J1299="유지")</f>
        <v>0</v>
      </c>
      <c r="I1301" s="5" t="str">
        <f aca="false">IF($H1301=FALSE(),"",COUNTIF($H$6:$H1301,TRUE()))</f>
        <v/>
      </c>
      <c r="J1301" s="5" t="str">
        <f aca="false">IF($I1301="","","R"&amp;$I1301)</f>
        <v/>
      </c>
    </row>
    <row r="1302" customFormat="false" ht="15" hidden="false" customHeight="true" outlineLevel="0" collapsed="false">
      <c r="H1302" s="14" t="b">
        <f aca="false">IF(중복검사!$A1300="",FALSE(),중복검사!$J1300="유지")</f>
        <v>0</v>
      </c>
      <c r="I1302" s="5" t="str">
        <f aca="false">IF($H1302=FALSE(),"",COUNTIF($H$6:$H1302,TRUE()))</f>
        <v/>
      </c>
      <c r="J1302" s="5" t="str">
        <f aca="false">IF($I1302="","","R"&amp;$I1302)</f>
        <v/>
      </c>
    </row>
    <row r="1303" customFormat="false" ht="15" hidden="false" customHeight="true" outlineLevel="0" collapsed="false">
      <c r="H1303" s="14" t="b">
        <f aca="false">IF(중복검사!$A1301="",FALSE(),중복검사!$J1301="유지")</f>
        <v>0</v>
      </c>
      <c r="I1303" s="5" t="str">
        <f aca="false">IF($H1303=FALSE(),"",COUNTIF($H$6:$H1303,TRUE()))</f>
        <v/>
      </c>
      <c r="J1303" s="5" t="str">
        <f aca="false">IF($I1303="","","R"&amp;$I1303)</f>
        <v/>
      </c>
    </row>
    <row r="1304" customFormat="false" ht="15" hidden="false" customHeight="true" outlineLevel="0" collapsed="false">
      <c r="H1304" s="14" t="b">
        <f aca="false">IF(중복검사!$A1302="",FALSE(),중복검사!$J1302="유지")</f>
        <v>0</v>
      </c>
      <c r="I1304" s="5" t="str">
        <f aca="false">IF($H1304=FALSE(),"",COUNTIF($H$6:$H1304,TRUE()))</f>
        <v/>
      </c>
      <c r="J1304" s="5" t="str">
        <f aca="false">IF($I1304="","","R"&amp;$I1304)</f>
        <v/>
      </c>
    </row>
    <row r="1305" customFormat="false" ht="15" hidden="false" customHeight="true" outlineLevel="0" collapsed="false">
      <c r="H1305" s="14" t="b">
        <f aca="false">IF(중복검사!$A1303="",FALSE(),중복검사!$J1303="유지")</f>
        <v>0</v>
      </c>
      <c r="I1305" s="5" t="str">
        <f aca="false">IF($H1305=FALSE(),"",COUNTIF($H$6:$H1305,TRUE()))</f>
        <v/>
      </c>
      <c r="J1305" s="5" t="str">
        <f aca="false">IF($I1305="","","R"&amp;$I1305)</f>
        <v/>
      </c>
    </row>
    <row r="1306" customFormat="false" ht="15" hidden="false" customHeight="true" outlineLevel="0" collapsed="false">
      <c r="H1306" s="14" t="b">
        <f aca="false">IF(중복검사!$A1304="",FALSE(),중복검사!$J1304="유지")</f>
        <v>0</v>
      </c>
      <c r="I1306" s="5" t="str">
        <f aca="false">IF($H1306=FALSE(),"",COUNTIF($H$6:$H1306,TRUE()))</f>
        <v/>
      </c>
      <c r="J1306" s="5" t="str">
        <f aca="false">IF($I1306="","","R"&amp;$I1306)</f>
        <v/>
      </c>
    </row>
    <row r="1307" customFormat="false" ht="15" hidden="false" customHeight="true" outlineLevel="0" collapsed="false">
      <c r="H1307" s="14" t="b">
        <f aca="false">IF(중복검사!$A1305="",FALSE(),중복검사!$J1305="유지")</f>
        <v>0</v>
      </c>
      <c r="I1307" s="5" t="str">
        <f aca="false">IF($H1307=FALSE(),"",COUNTIF($H$6:$H1307,TRUE()))</f>
        <v/>
      </c>
      <c r="J1307" s="5" t="str">
        <f aca="false">IF($I1307="","","R"&amp;$I1307)</f>
        <v/>
      </c>
    </row>
    <row r="1308" customFormat="false" ht="15" hidden="false" customHeight="true" outlineLevel="0" collapsed="false">
      <c r="H1308" s="14" t="b">
        <f aca="false">IF(중복검사!$A1306="",FALSE(),중복검사!$J1306="유지")</f>
        <v>0</v>
      </c>
      <c r="I1308" s="5" t="str">
        <f aca="false">IF($H1308=FALSE(),"",COUNTIF($H$6:$H1308,TRUE()))</f>
        <v/>
      </c>
      <c r="J1308" s="5" t="str">
        <f aca="false">IF($I1308="","","R"&amp;$I1308)</f>
        <v/>
      </c>
    </row>
    <row r="1309" customFormat="false" ht="15" hidden="false" customHeight="true" outlineLevel="0" collapsed="false">
      <c r="H1309" s="14" t="b">
        <f aca="false">IF(중복검사!$A1307="",FALSE(),중복검사!$J1307="유지")</f>
        <v>0</v>
      </c>
      <c r="I1309" s="5" t="str">
        <f aca="false">IF($H1309=FALSE(),"",COUNTIF($H$6:$H1309,TRUE()))</f>
        <v/>
      </c>
      <c r="J1309" s="5" t="str">
        <f aca="false">IF($I1309="","","R"&amp;$I1309)</f>
        <v/>
      </c>
    </row>
    <row r="1310" customFormat="false" ht="15" hidden="false" customHeight="true" outlineLevel="0" collapsed="false">
      <c r="H1310" s="14" t="b">
        <f aca="false">IF(중복검사!$A1308="",FALSE(),중복검사!$J1308="유지")</f>
        <v>0</v>
      </c>
      <c r="I1310" s="5" t="str">
        <f aca="false">IF($H1310=FALSE(),"",COUNTIF($H$6:$H1310,TRUE()))</f>
        <v/>
      </c>
      <c r="J1310" s="5" t="str">
        <f aca="false">IF($I1310="","","R"&amp;$I1310)</f>
        <v/>
      </c>
    </row>
    <row r="1311" customFormat="false" ht="15" hidden="false" customHeight="true" outlineLevel="0" collapsed="false">
      <c r="H1311" s="14" t="b">
        <f aca="false">IF(중복검사!$A1309="",FALSE(),중복검사!$J1309="유지")</f>
        <v>0</v>
      </c>
      <c r="I1311" s="5" t="str">
        <f aca="false">IF($H1311=FALSE(),"",COUNTIF($H$6:$H1311,TRUE()))</f>
        <v/>
      </c>
      <c r="J1311" s="5" t="str">
        <f aca="false">IF($I1311="","","R"&amp;$I1311)</f>
        <v/>
      </c>
    </row>
    <row r="1312" customFormat="false" ht="15" hidden="false" customHeight="true" outlineLevel="0" collapsed="false">
      <c r="H1312" s="14" t="b">
        <f aca="false">IF(중복검사!$A1310="",FALSE(),중복검사!$J1310="유지")</f>
        <v>0</v>
      </c>
      <c r="I1312" s="5" t="str">
        <f aca="false">IF($H1312=FALSE(),"",COUNTIF($H$6:$H1312,TRUE()))</f>
        <v/>
      </c>
      <c r="J1312" s="5" t="str">
        <f aca="false">IF($I1312="","","R"&amp;$I1312)</f>
        <v/>
      </c>
    </row>
    <row r="1313" customFormat="false" ht="15" hidden="false" customHeight="true" outlineLevel="0" collapsed="false">
      <c r="H1313" s="14" t="b">
        <f aca="false">IF(중복검사!$A1311="",FALSE(),중복검사!$J1311="유지")</f>
        <v>0</v>
      </c>
      <c r="I1313" s="5" t="str">
        <f aca="false">IF($H1313=FALSE(),"",COUNTIF($H$6:$H1313,TRUE()))</f>
        <v/>
      </c>
      <c r="J1313" s="5" t="str">
        <f aca="false">IF($I1313="","","R"&amp;$I1313)</f>
        <v/>
      </c>
    </row>
    <row r="1314" customFormat="false" ht="15" hidden="false" customHeight="true" outlineLevel="0" collapsed="false">
      <c r="H1314" s="14" t="b">
        <f aca="false">IF(중복검사!$A1312="",FALSE(),중복검사!$J1312="유지")</f>
        <v>0</v>
      </c>
      <c r="I1314" s="5" t="str">
        <f aca="false">IF($H1314=FALSE(),"",COUNTIF($H$6:$H1314,TRUE()))</f>
        <v/>
      </c>
      <c r="J1314" s="5" t="str">
        <f aca="false">IF($I1314="","","R"&amp;$I1314)</f>
        <v/>
      </c>
    </row>
    <row r="1315" customFormat="false" ht="15" hidden="false" customHeight="true" outlineLevel="0" collapsed="false">
      <c r="H1315" s="14" t="b">
        <f aca="false">IF(중복검사!$A1313="",FALSE(),중복검사!$J1313="유지")</f>
        <v>0</v>
      </c>
      <c r="I1315" s="5" t="str">
        <f aca="false">IF($H1315=FALSE(),"",COUNTIF($H$6:$H1315,TRUE()))</f>
        <v/>
      </c>
      <c r="J1315" s="5" t="str">
        <f aca="false">IF($I1315="","","R"&amp;$I1315)</f>
        <v/>
      </c>
    </row>
    <row r="1316" customFormat="false" ht="15" hidden="false" customHeight="true" outlineLevel="0" collapsed="false">
      <c r="H1316" s="14" t="b">
        <f aca="false">IF(중복검사!$A1314="",FALSE(),중복검사!$J1314="유지")</f>
        <v>0</v>
      </c>
      <c r="I1316" s="5" t="str">
        <f aca="false">IF($H1316=FALSE(),"",COUNTIF($H$6:$H1316,TRUE()))</f>
        <v/>
      </c>
      <c r="J1316" s="5" t="str">
        <f aca="false">IF($I1316="","","R"&amp;$I1316)</f>
        <v/>
      </c>
    </row>
    <row r="1317" customFormat="false" ht="15" hidden="false" customHeight="true" outlineLevel="0" collapsed="false">
      <c r="H1317" s="14" t="b">
        <f aca="false">IF(중복검사!$A1315="",FALSE(),중복검사!$J1315="유지")</f>
        <v>0</v>
      </c>
      <c r="I1317" s="5" t="str">
        <f aca="false">IF($H1317=FALSE(),"",COUNTIF($H$6:$H1317,TRUE()))</f>
        <v/>
      </c>
      <c r="J1317" s="5" t="str">
        <f aca="false">IF($I1317="","","R"&amp;$I1317)</f>
        <v/>
      </c>
    </row>
    <row r="1318" customFormat="false" ht="15" hidden="false" customHeight="true" outlineLevel="0" collapsed="false">
      <c r="H1318" s="14" t="b">
        <f aca="false">IF(중복검사!$A1316="",FALSE(),중복검사!$J1316="유지")</f>
        <v>0</v>
      </c>
      <c r="I1318" s="5" t="str">
        <f aca="false">IF($H1318=FALSE(),"",COUNTIF($H$6:$H1318,TRUE()))</f>
        <v/>
      </c>
      <c r="J1318" s="5" t="str">
        <f aca="false">IF($I1318="","","R"&amp;$I1318)</f>
        <v/>
      </c>
    </row>
    <row r="1319" customFormat="false" ht="15" hidden="false" customHeight="true" outlineLevel="0" collapsed="false">
      <c r="H1319" s="14" t="b">
        <f aca="false">IF(중복검사!$A1317="",FALSE(),중복검사!$J1317="유지")</f>
        <v>0</v>
      </c>
      <c r="I1319" s="5" t="str">
        <f aca="false">IF($H1319=FALSE(),"",COUNTIF($H$6:$H1319,TRUE()))</f>
        <v/>
      </c>
      <c r="J1319" s="5" t="str">
        <f aca="false">IF($I1319="","","R"&amp;$I1319)</f>
        <v/>
      </c>
    </row>
    <row r="1320" customFormat="false" ht="15" hidden="false" customHeight="true" outlineLevel="0" collapsed="false">
      <c r="H1320" s="14" t="b">
        <f aca="false">IF(중복검사!$A1318="",FALSE(),중복검사!$J1318="유지")</f>
        <v>0</v>
      </c>
      <c r="I1320" s="5" t="str">
        <f aca="false">IF($H1320=FALSE(),"",COUNTIF($H$6:$H1320,TRUE()))</f>
        <v/>
      </c>
      <c r="J1320" s="5" t="str">
        <f aca="false">IF($I1320="","","R"&amp;$I1320)</f>
        <v/>
      </c>
    </row>
    <row r="1321" customFormat="false" ht="15" hidden="false" customHeight="true" outlineLevel="0" collapsed="false">
      <c r="H1321" s="14" t="b">
        <f aca="false">IF(중복검사!$A1319="",FALSE(),중복검사!$J1319="유지")</f>
        <v>0</v>
      </c>
      <c r="I1321" s="5" t="str">
        <f aca="false">IF($H1321=FALSE(),"",COUNTIF($H$6:$H1321,TRUE()))</f>
        <v/>
      </c>
      <c r="J1321" s="5" t="str">
        <f aca="false">IF($I1321="","","R"&amp;$I1321)</f>
        <v/>
      </c>
    </row>
    <row r="1322" customFormat="false" ht="15" hidden="false" customHeight="true" outlineLevel="0" collapsed="false">
      <c r="H1322" s="14" t="b">
        <f aca="false">IF(중복검사!$A1320="",FALSE(),중복검사!$J1320="유지")</f>
        <v>0</v>
      </c>
      <c r="I1322" s="5" t="str">
        <f aca="false">IF($H1322=FALSE(),"",COUNTIF($H$6:$H1322,TRUE()))</f>
        <v/>
      </c>
      <c r="J1322" s="5" t="str">
        <f aca="false">IF($I1322="","","R"&amp;$I1322)</f>
        <v/>
      </c>
    </row>
    <row r="1323" customFormat="false" ht="15" hidden="false" customHeight="true" outlineLevel="0" collapsed="false">
      <c r="H1323" s="14" t="b">
        <f aca="false">IF(중복검사!$A1321="",FALSE(),중복검사!$J1321="유지")</f>
        <v>0</v>
      </c>
      <c r="I1323" s="5" t="str">
        <f aca="false">IF($H1323=FALSE(),"",COUNTIF($H$6:$H1323,TRUE()))</f>
        <v/>
      </c>
      <c r="J1323" s="5" t="str">
        <f aca="false">IF($I1323="","","R"&amp;$I1323)</f>
        <v/>
      </c>
    </row>
    <row r="1324" customFormat="false" ht="15" hidden="false" customHeight="true" outlineLevel="0" collapsed="false">
      <c r="H1324" s="14" t="b">
        <f aca="false">IF(중복검사!$A1322="",FALSE(),중복검사!$J1322="유지")</f>
        <v>0</v>
      </c>
      <c r="I1324" s="5" t="str">
        <f aca="false">IF($H1324=FALSE(),"",COUNTIF($H$6:$H1324,TRUE()))</f>
        <v/>
      </c>
      <c r="J1324" s="5" t="str">
        <f aca="false">IF($I1324="","","R"&amp;$I1324)</f>
        <v/>
      </c>
    </row>
    <row r="1325" customFormat="false" ht="15" hidden="false" customHeight="true" outlineLevel="0" collapsed="false">
      <c r="H1325" s="14" t="b">
        <f aca="false">IF(중복검사!$A1323="",FALSE(),중복검사!$J1323="유지")</f>
        <v>0</v>
      </c>
      <c r="I1325" s="5" t="str">
        <f aca="false">IF($H1325=FALSE(),"",COUNTIF($H$6:$H1325,TRUE()))</f>
        <v/>
      </c>
      <c r="J1325" s="5" t="str">
        <f aca="false">IF($I1325="","","R"&amp;$I1325)</f>
        <v/>
      </c>
    </row>
    <row r="1326" customFormat="false" ht="15" hidden="false" customHeight="true" outlineLevel="0" collapsed="false">
      <c r="H1326" s="14" t="b">
        <f aca="false">IF(중복검사!$A1324="",FALSE(),중복검사!$J1324="유지")</f>
        <v>0</v>
      </c>
      <c r="I1326" s="5" t="str">
        <f aca="false">IF($H1326=FALSE(),"",COUNTIF($H$6:$H1326,TRUE()))</f>
        <v/>
      </c>
      <c r="J1326" s="5" t="str">
        <f aca="false">IF($I1326="","","R"&amp;$I1326)</f>
        <v/>
      </c>
    </row>
    <row r="1327" customFormat="false" ht="15" hidden="false" customHeight="true" outlineLevel="0" collapsed="false">
      <c r="H1327" s="14" t="b">
        <f aca="false">IF(중복검사!$A1325="",FALSE(),중복검사!$J1325="유지")</f>
        <v>0</v>
      </c>
      <c r="I1327" s="5" t="str">
        <f aca="false">IF($H1327=FALSE(),"",COUNTIF($H$6:$H1327,TRUE()))</f>
        <v/>
      </c>
      <c r="J1327" s="5" t="str">
        <f aca="false">IF($I1327="","","R"&amp;$I1327)</f>
        <v/>
      </c>
    </row>
    <row r="1328" customFormat="false" ht="15" hidden="false" customHeight="true" outlineLevel="0" collapsed="false">
      <c r="H1328" s="14" t="b">
        <f aca="false">IF(중복검사!$A1326="",FALSE(),중복검사!$J1326="유지")</f>
        <v>0</v>
      </c>
      <c r="I1328" s="5" t="str">
        <f aca="false">IF($H1328=FALSE(),"",COUNTIF($H$6:$H1328,TRUE()))</f>
        <v/>
      </c>
      <c r="J1328" s="5" t="str">
        <f aca="false">IF($I1328="","","R"&amp;$I1328)</f>
        <v/>
      </c>
    </row>
    <row r="1329" customFormat="false" ht="15" hidden="false" customHeight="true" outlineLevel="0" collapsed="false">
      <c r="H1329" s="14" t="b">
        <f aca="false">IF(중복검사!$A1327="",FALSE(),중복검사!$J1327="유지")</f>
        <v>0</v>
      </c>
      <c r="I1329" s="5" t="str">
        <f aca="false">IF($H1329=FALSE(),"",COUNTIF($H$6:$H1329,TRUE()))</f>
        <v/>
      </c>
      <c r="J1329" s="5" t="str">
        <f aca="false">IF($I1329="","","R"&amp;$I1329)</f>
        <v/>
      </c>
    </row>
    <row r="1330" customFormat="false" ht="15" hidden="false" customHeight="true" outlineLevel="0" collapsed="false">
      <c r="H1330" s="14" t="b">
        <f aca="false">IF(중복검사!$A1328="",FALSE(),중복검사!$J1328="유지")</f>
        <v>0</v>
      </c>
      <c r="I1330" s="5" t="str">
        <f aca="false">IF($H1330=FALSE(),"",COUNTIF($H$6:$H1330,TRUE()))</f>
        <v/>
      </c>
      <c r="J1330" s="5" t="str">
        <f aca="false">IF($I1330="","","R"&amp;$I1330)</f>
        <v/>
      </c>
    </row>
    <row r="1331" customFormat="false" ht="15" hidden="false" customHeight="true" outlineLevel="0" collapsed="false">
      <c r="H1331" s="14" t="b">
        <f aca="false">IF(중복검사!$A1329="",FALSE(),중복검사!$J1329="유지")</f>
        <v>0</v>
      </c>
      <c r="I1331" s="5" t="str">
        <f aca="false">IF($H1331=FALSE(),"",COUNTIF($H$6:$H1331,TRUE()))</f>
        <v/>
      </c>
      <c r="J1331" s="5" t="str">
        <f aca="false">IF($I1331="","","R"&amp;$I1331)</f>
        <v/>
      </c>
    </row>
    <row r="1332" customFormat="false" ht="15" hidden="false" customHeight="true" outlineLevel="0" collapsed="false">
      <c r="H1332" s="14" t="b">
        <f aca="false">IF(중복검사!$A1330="",FALSE(),중복검사!$J1330="유지")</f>
        <v>0</v>
      </c>
      <c r="I1332" s="5" t="str">
        <f aca="false">IF($H1332=FALSE(),"",COUNTIF($H$6:$H1332,TRUE()))</f>
        <v/>
      </c>
      <c r="J1332" s="5" t="str">
        <f aca="false">IF($I1332="","","R"&amp;$I1332)</f>
        <v/>
      </c>
    </row>
    <row r="1333" customFormat="false" ht="15" hidden="false" customHeight="true" outlineLevel="0" collapsed="false">
      <c r="H1333" s="14" t="b">
        <f aca="false">IF(중복검사!$A1331="",FALSE(),중복검사!$J1331="유지")</f>
        <v>0</v>
      </c>
      <c r="I1333" s="5" t="str">
        <f aca="false">IF($H1333=FALSE(),"",COUNTIF($H$6:$H1333,TRUE()))</f>
        <v/>
      </c>
      <c r="J1333" s="5" t="str">
        <f aca="false">IF($I1333="","","R"&amp;$I1333)</f>
        <v/>
      </c>
    </row>
    <row r="1334" customFormat="false" ht="15" hidden="false" customHeight="true" outlineLevel="0" collapsed="false">
      <c r="H1334" s="14" t="b">
        <f aca="false">IF(중복검사!$A1332="",FALSE(),중복검사!$J1332="유지")</f>
        <v>0</v>
      </c>
      <c r="I1334" s="5" t="str">
        <f aca="false">IF($H1334=FALSE(),"",COUNTIF($H$6:$H1334,TRUE()))</f>
        <v/>
      </c>
      <c r="J1334" s="5" t="str">
        <f aca="false">IF($I1334="","","R"&amp;$I1334)</f>
        <v/>
      </c>
    </row>
    <row r="1335" customFormat="false" ht="15" hidden="false" customHeight="true" outlineLevel="0" collapsed="false">
      <c r="H1335" s="14" t="b">
        <f aca="false">IF(중복검사!$A1333="",FALSE(),중복검사!$J1333="유지")</f>
        <v>0</v>
      </c>
      <c r="I1335" s="5" t="str">
        <f aca="false">IF($H1335=FALSE(),"",COUNTIF($H$6:$H1335,TRUE()))</f>
        <v/>
      </c>
      <c r="J1335" s="5" t="str">
        <f aca="false">IF($I1335="","","R"&amp;$I1335)</f>
        <v/>
      </c>
    </row>
    <row r="1336" customFormat="false" ht="15" hidden="false" customHeight="true" outlineLevel="0" collapsed="false">
      <c r="H1336" s="14" t="b">
        <f aca="false">IF(중복검사!$A1334="",FALSE(),중복검사!$J1334="유지")</f>
        <v>0</v>
      </c>
      <c r="I1336" s="5" t="str">
        <f aca="false">IF($H1336=FALSE(),"",COUNTIF($H$6:$H1336,TRUE()))</f>
        <v/>
      </c>
      <c r="J1336" s="5" t="str">
        <f aca="false">IF($I1336="","","R"&amp;$I1336)</f>
        <v/>
      </c>
    </row>
    <row r="1337" customFormat="false" ht="15" hidden="false" customHeight="true" outlineLevel="0" collapsed="false">
      <c r="H1337" s="14" t="b">
        <f aca="false">IF(중복검사!$A1335="",FALSE(),중복검사!$J1335="유지")</f>
        <v>0</v>
      </c>
      <c r="I1337" s="5" t="str">
        <f aca="false">IF($H1337=FALSE(),"",COUNTIF($H$6:$H1337,TRUE()))</f>
        <v/>
      </c>
      <c r="J1337" s="5" t="str">
        <f aca="false">IF($I1337="","","R"&amp;$I1337)</f>
        <v/>
      </c>
    </row>
    <row r="1338" customFormat="false" ht="15" hidden="false" customHeight="true" outlineLevel="0" collapsed="false">
      <c r="H1338" s="14" t="b">
        <f aca="false">IF(중복검사!$A1336="",FALSE(),중복검사!$J1336="유지")</f>
        <v>0</v>
      </c>
      <c r="I1338" s="5" t="str">
        <f aca="false">IF($H1338=FALSE(),"",COUNTIF($H$6:$H1338,TRUE()))</f>
        <v/>
      </c>
      <c r="J1338" s="5" t="str">
        <f aca="false">IF($I1338="","","R"&amp;$I1338)</f>
        <v/>
      </c>
    </row>
    <row r="1339" customFormat="false" ht="15" hidden="false" customHeight="true" outlineLevel="0" collapsed="false">
      <c r="H1339" s="14" t="b">
        <f aca="false">IF(중복검사!$A1337="",FALSE(),중복검사!$J1337="유지")</f>
        <v>0</v>
      </c>
      <c r="I1339" s="5" t="str">
        <f aca="false">IF($H1339=FALSE(),"",COUNTIF($H$6:$H1339,TRUE()))</f>
        <v/>
      </c>
      <c r="J1339" s="5" t="str">
        <f aca="false">IF($I1339="","","R"&amp;$I1339)</f>
        <v/>
      </c>
    </row>
    <row r="1340" customFormat="false" ht="15" hidden="false" customHeight="true" outlineLevel="0" collapsed="false">
      <c r="H1340" s="14" t="b">
        <f aca="false">IF(중복검사!$A1338="",FALSE(),중복검사!$J1338="유지")</f>
        <v>0</v>
      </c>
      <c r="I1340" s="5" t="str">
        <f aca="false">IF($H1340=FALSE(),"",COUNTIF($H$6:$H1340,TRUE()))</f>
        <v/>
      </c>
      <c r="J1340" s="5" t="str">
        <f aca="false">IF($I1340="","","R"&amp;$I1340)</f>
        <v/>
      </c>
    </row>
    <row r="1341" customFormat="false" ht="15" hidden="false" customHeight="true" outlineLevel="0" collapsed="false">
      <c r="H1341" s="14" t="b">
        <f aca="false">IF(중복검사!$A1339="",FALSE(),중복검사!$J1339="유지")</f>
        <v>0</v>
      </c>
      <c r="I1341" s="5" t="str">
        <f aca="false">IF($H1341=FALSE(),"",COUNTIF($H$6:$H1341,TRUE()))</f>
        <v/>
      </c>
      <c r="J1341" s="5" t="str">
        <f aca="false">IF($I1341="","","R"&amp;$I1341)</f>
        <v/>
      </c>
    </row>
    <row r="1342" customFormat="false" ht="15" hidden="false" customHeight="true" outlineLevel="0" collapsed="false">
      <c r="H1342" s="14" t="b">
        <f aca="false">IF(중복검사!$A1340="",FALSE(),중복검사!$J1340="유지")</f>
        <v>0</v>
      </c>
      <c r="I1342" s="5" t="str">
        <f aca="false">IF($H1342=FALSE(),"",COUNTIF($H$6:$H1342,TRUE()))</f>
        <v/>
      </c>
      <c r="J1342" s="5" t="str">
        <f aca="false">IF($I1342="","","R"&amp;$I1342)</f>
        <v/>
      </c>
    </row>
    <row r="1343" customFormat="false" ht="15" hidden="false" customHeight="true" outlineLevel="0" collapsed="false">
      <c r="H1343" s="14" t="b">
        <f aca="false">IF(중복검사!$A1341="",FALSE(),중복검사!$J1341="유지")</f>
        <v>0</v>
      </c>
      <c r="I1343" s="5" t="str">
        <f aca="false">IF($H1343=FALSE(),"",COUNTIF($H$6:$H1343,TRUE()))</f>
        <v/>
      </c>
      <c r="J1343" s="5" t="str">
        <f aca="false">IF($I1343="","","R"&amp;$I1343)</f>
        <v/>
      </c>
    </row>
    <row r="1344" customFormat="false" ht="15" hidden="false" customHeight="true" outlineLevel="0" collapsed="false">
      <c r="H1344" s="14" t="b">
        <f aca="false">IF(중복검사!$A1342="",FALSE(),중복검사!$J1342="유지")</f>
        <v>0</v>
      </c>
      <c r="I1344" s="5" t="str">
        <f aca="false">IF($H1344=FALSE(),"",COUNTIF($H$6:$H1344,TRUE()))</f>
        <v/>
      </c>
      <c r="J1344" s="5" t="str">
        <f aca="false">IF($I1344="","","R"&amp;$I1344)</f>
        <v/>
      </c>
    </row>
    <row r="1345" customFormat="false" ht="15" hidden="false" customHeight="true" outlineLevel="0" collapsed="false">
      <c r="H1345" s="14" t="b">
        <f aca="false">IF(중복검사!$A1343="",FALSE(),중복검사!$J1343="유지")</f>
        <v>0</v>
      </c>
      <c r="I1345" s="5" t="str">
        <f aca="false">IF($H1345=FALSE(),"",COUNTIF($H$6:$H1345,TRUE()))</f>
        <v/>
      </c>
      <c r="J1345" s="5" t="str">
        <f aca="false">IF($I1345="","","R"&amp;$I1345)</f>
        <v/>
      </c>
    </row>
    <row r="1346" customFormat="false" ht="15" hidden="false" customHeight="true" outlineLevel="0" collapsed="false">
      <c r="H1346" s="14" t="b">
        <f aca="false">IF(중복검사!$A1344="",FALSE(),중복검사!$J1344="유지")</f>
        <v>0</v>
      </c>
      <c r="I1346" s="5" t="str">
        <f aca="false">IF($H1346=FALSE(),"",COUNTIF($H$6:$H1346,TRUE()))</f>
        <v/>
      </c>
      <c r="J1346" s="5" t="str">
        <f aca="false">IF($I1346="","","R"&amp;$I1346)</f>
        <v/>
      </c>
    </row>
    <row r="1347" customFormat="false" ht="15" hidden="false" customHeight="true" outlineLevel="0" collapsed="false">
      <c r="H1347" s="14" t="b">
        <f aca="false">IF(중복검사!$A1345="",FALSE(),중복검사!$J1345="유지")</f>
        <v>0</v>
      </c>
      <c r="I1347" s="5" t="str">
        <f aca="false">IF($H1347=FALSE(),"",COUNTIF($H$6:$H1347,TRUE()))</f>
        <v/>
      </c>
      <c r="J1347" s="5" t="str">
        <f aca="false">IF($I1347="","","R"&amp;$I1347)</f>
        <v/>
      </c>
    </row>
    <row r="1348" customFormat="false" ht="15" hidden="false" customHeight="true" outlineLevel="0" collapsed="false">
      <c r="H1348" s="14" t="b">
        <f aca="false">IF(중복검사!$A1346="",FALSE(),중복검사!$J1346="유지")</f>
        <v>0</v>
      </c>
      <c r="I1348" s="5" t="str">
        <f aca="false">IF($H1348=FALSE(),"",COUNTIF($H$6:$H1348,TRUE()))</f>
        <v/>
      </c>
      <c r="J1348" s="5" t="str">
        <f aca="false">IF($I1348="","","R"&amp;$I1348)</f>
        <v/>
      </c>
    </row>
    <row r="1349" customFormat="false" ht="15" hidden="false" customHeight="true" outlineLevel="0" collapsed="false">
      <c r="H1349" s="14" t="b">
        <f aca="false">IF(중복검사!$A1347="",FALSE(),중복검사!$J1347="유지")</f>
        <v>0</v>
      </c>
      <c r="I1349" s="5" t="str">
        <f aca="false">IF($H1349=FALSE(),"",COUNTIF($H$6:$H1349,TRUE()))</f>
        <v/>
      </c>
      <c r="J1349" s="5" t="str">
        <f aca="false">IF($I1349="","","R"&amp;$I1349)</f>
        <v/>
      </c>
    </row>
    <row r="1350" customFormat="false" ht="15" hidden="false" customHeight="true" outlineLevel="0" collapsed="false">
      <c r="H1350" s="14" t="b">
        <f aca="false">IF(중복검사!$A1348="",FALSE(),중복검사!$J1348="유지")</f>
        <v>0</v>
      </c>
      <c r="I1350" s="5" t="str">
        <f aca="false">IF($H1350=FALSE(),"",COUNTIF($H$6:$H1350,TRUE()))</f>
        <v/>
      </c>
      <c r="J1350" s="5" t="str">
        <f aca="false">IF($I1350="","","R"&amp;$I1350)</f>
        <v/>
      </c>
    </row>
    <row r="1351" customFormat="false" ht="15" hidden="false" customHeight="true" outlineLevel="0" collapsed="false">
      <c r="H1351" s="14" t="b">
        <f aca="false">IF(중복검사!$A1349="",FALSE(),중복검사!$J1349="유지")</f>
        <v>0</v>
      </c>
      <c r="I1351" s="5" t="str">
        <f aca="false">IF($H1351=FALSE(),"",COUNTIF($H$6:$H1351,TRUE()))</f>
        <v/>
      </c>
      <c r="J1351" s="5" t="str">
        <f aca="false">IF($I1351="","","R"&amp;$I1351)</f>
        <v/>
      </c>
    </row>
    <row r="1352" customFormat="false" ht="15" hidden="false" customHeight="true" outlineLevel="0" collapsed="false">
      <c r="H1352" s="14" t="b">
        <f aca="false">IF(중복검사!$A1350="",FALSE(),중복검사!$J1350="유지")</f>
        <v>0</v>
      </c>
      <c r="I1352" s="5" t="str">
        <f aca="false">IF($H1352=FALSE(),"",COUNTIF($H$6:$H1352,TRUE()))</f>
        <v/>
      </c>
      <c r="J1352" s="5" t="str">
        <f aca="false">IF($I1352="","","R"&amp;$I1352)</f>
        <v/>
      </c>
    </row>
    <row r="1353" customFormat="false" ht="15" hidden="false" customHeight="true" outlineLevel="0" collapsed="false">
      <c r="H1353" s="14" t="b">
        <f aca="false">IF(중복검사!$A1351="",FALSE(),중복검사!$J1351="유지")</f>
        <v>0</v>
      </c>
      <c r="I1353" s="5" t="str">
        <f aca="false">IF($H1353=FALSE(),"",COUNTIF($H$6:$H1353,TRUE()))</f>
        <v/>
      </c>
      <c r="J1353" s="5" t="str">
        <f aca="false">IF($I1353="","","R"&amp;$I1353)</f>
        <v/>
      </c>
    </row>
    <row r="1354" customFormat="false" ht="15" hidden="false" customHeight="true" outlineLevel="0" collapsed="false">
      <c r="H1354" s="14" t="b">
        <f aca="false">IF(중복검사!$A1352="",FALSE(),중복검사!$J1352="유지")</f>
        <v>0</v>
      </c>
      <c r="I1354" s="5" t="str">
        <f aca="false">IF($H1354=FALSE(),"",COUNTIF($H$6:$H1354,TRUE()))</f>
        <v/>
      </c>
      <c r="J1354" s="5" t="str">
        <f aca="false">IF($I1354="","","R"&amp;$I1354)</f>
        <v/>
      </c>
    </row>
    <row r="1355" customFormat="false" ht="15" hidden="false" customHeight="true" outlineLevel="0" collapsed="false">
      <c r="H1355" s="14" t="b">
        <f aca="false">IF(중복검사!$A1353="",FALSE(),중복검사!$J1353="유지")</f>
        <v>0</v>
      </c>
      <c r="I1355" s="5" t="str">
        <f aca="false">IF($H1355=FALSE(),"",COUNTIF($H$6:$H1355,TRUE()))</f>
        <v/>
      </c>
      <c r="J1355" s="5" t="str">
        <f aca="false">IF($I1355="","","R"&amp;$I1355)</f>
        <v/>
      </c>
    </row>
    <row r="1356" customFormat="false" ht="15" hidden="false" customHeight="true" outlineLevel="0" collapsed="false">
      <c r="H1356" s="14" t="b">
        <f aca="false">IF(중복검사!$A1354="",FALSE(),중복검사!$J1354="유지")</f>
        <v>0</v>
      </c>
      <c r="I1356" s="5" t="str">
        <f aca="false">IF($H1356=FALSE(),"",COUNTIF($H$6:$H1356,TRUE()))</f>
        <v/>
      </c>
      <c r="J1356" s="5" t="str">
        <f aca="false">IF($I1356="","","R"&amp;$I1356)</f>
        <v/>
      </c>
    </row>
    <row r="1357" customFormat="false" ht="15" hidden="false" customHeight="true" outlineLevel="0" collapsed="false">
      <c r="H1357" s="14" t="b">
        <f aca="false">IF(중복검사!$A1355="",FALSE(),중복검사!$J1355="유지")</f>
        <v>0</v>
      </c>
      <c r="I1357" s="5" t="str">
        <f aca="false">IF($H1357=FALSE(),"",COUNTIF($H$6:$H1357,TRUE()))</f>
        <v/>
      </c>
      <c r="J1357" s="5" t="str">
        <f aca="false">IF($I1357="","","R"&amp;$I1357)</f>
        <v/>
      </c>
    </row>
    <row r="1358" customFormat="false" ht="15" hidden="false" customHeight="true" outlineLevel="0" collapsed="false">
      <c r="H1358" s="14" t="b">
        <f aca="false">IF(중복검사!$A1356="",FALSE(),중복검사!$J1356="유지")</f>
        <v>0</v>
      </c>
      <c r="I1358" s="5" t="str">
        <f aca="false">IF($H1358=FALSE(),"",COUNTIF($H$6:$H1358,TRUE()))</f>
        <v/>
      </c>
      <c r="J1358" s="5" t="str">
        <f aca="false">IF($I1358="","","R"&amp;$I1358)</f>
        <v/>
      </c>
    </row>
    <row r="1359" customFormat="false" ht="15" hidden="false" customHeight="true" outlineLevel="0" collapsed="false">
      <c r="H1359" s="14" t="b">
        <f aca="false">IF(중복검사!$A1357="",FALSE(),중복검사!$J1357="유지")</f>
        <v>0</v>
      </c>
      <c r="I1359" s="5" t="str">
        <f aca="false">IF($H1359=FALSE(),"",COUNTIF($H$6:$H1359,TRUE()))</f>
        <v/>
      </c>
      <c r="J1359" s="5" t="str">
        <f aca="false">IF($I1359="","","R"&amp;$I1359)</f>
        <v/>
      </c>
    </row>
    <row r="1360" customFormat="false" ht="15" hidden="false" customHeight="true" outlineLevel="0" collapsed="false">
      <c r="H1360" s="14" t="b">
        <f aca="false">IF(중복검사!$A1358="",FALSE(),중복검사!$J1358="유지")</f>
        <v>0</v>
      </c>
      <c r="I1360" s="5" t="str">
        <f aca="false">IF($H1360=FALSE(),"",COUNTIF($H$6:$H1360,TRUE()))</f>
        <v/>
      </c>
      <c r="J1360" s="5" t="str">
        <f aca="false">IF($I1360="","","R"&amp;$I1360)</f>
        <v/>
      </c>
    </row>
    <row r="1361" customFormat="false" ht="15" hidden="false" customHeight="true" outlineLevel="0" collapsed="false">
      <c r="H1361" s="14" t="b">
        <f aca="false">IF(중복검사!$A1359="",FALSE(),중복검사!$J1359="유지")</f>
        <v>0</v>
      </c>
      <c r="I1361" s="5" t="str">
        <f aca="false">IF($H1361=FALSE(),"",COUNTIF($H$6:$H1361,TRUE()))</f>
        <v/>
      </c>
      <c r="J1361" s="5" t="str">
        <f aca="false">IF($I1361="","","R"&amp;$I1361)</f>
        <v/>
      </c>
    </row>
    <row r="1362" customFormat="false" ht="15" hidden="false" customHeight="true" outlineLevel="0" collapsed="false">
      <c r="H1362" s="14" t="b">
        <f aca="false">IF(중복검사!$A1360="",FALSE(),중복검사!$J1360="유지")</f>
        <v>0</v>
      </c>
      <c r="I1362" s="5" t="str">
        <f aca="false">IF($H1362=FALSE(),"",COUNTIF($H$6:$H1362,TRUE()))</f>
        <v/>
      </c>
      <c r="J1362" s="5" t="str">
        <f aca="false">IF($I1362="","","R"&amp;$I1362)</f>
        <v/>
      </c>
    </row>
    <row r="1363" customFormat="false" ht="15" hidden="false" customHeight="true" outlineLevel="0" collapsed="false">
      <c r="H1363" s="14" t="b">
        <f aca="false">IF(중복검사!$A1361="",FALSE(),중복검사!$J1361="유지")</f>
        <v>0</v>
      </c>
      <c r="I1363" s="5" t="str">
        <f aca="false">IF($H1363=FALSE(),"",COUNTIF($H$6:$H1363,TRUE()))</f>
        <v/>
      </c>
      <c r="J1363" s="5" t="str">
        <f aca="false">IF($I1363="","","R"&amp;$I1363)</f>
        <v/>
      </c>
    </row>
    <row r="1364" customFormat="false" ht="15" hidden="false" customHeight="true" outlineLevel="0" collapsed="false">
      <c r="H1364" s="14" t="b">
        <f aca="false">IF(중복검사!$A1362="",FALSE(),중복검사!$J1362="유지")</f>
        <v>0</v>
      </c>
      <c r="I1364" s="5" t="str">
        <f aca="false">IF($H1364=FALSE(),"",COUNTIF($H$6:$H1364,TRUE()))</f>
        <v/>
      </c>
      <c r="J1364" s="5" t="str">
        <f aca="false">IF($I1364="","","R"&amp;$I1364)</f>
        <v/>
      </c>
    </row>
    <row r="1365" customFormat="false" ht="15" hidden="false" customHeight="true" outlineLevel="0" collapsed="false">
      <c r="H1365" s="14" t="b">
        <f aca="false">IF(중복검사!$A1363="",FALSE(),중복검사!$J1363="유지")</f>
        <v>0</v>
      </c>
      <c r="I1365" s="5" t="str">
        <f aca="false">IF($H1365=FALSE(),"",COUNTIF($H$6:$H1365,TRUE()))</f>
        <v/>
      </c>
      <c r="J1365" s="5" t="str">
        <f aca="false">IF($I1365="","","R"&amp;$I1365)</f>
        <v/>
      </c>
    </row>
    <row r="1366" customFormat="false" ht="15" hidden="false" customHeight="true" outlineLevel="0" collapsed="false">
      <c r="H1366" s="14" t="b">
        <f aca="false">IF(중복검사!$A1364="",FALSE(),중복검사!$J1364="유지")</f>
        <v>0</v>
      </c>
      <c r="I1366" s="5" t="str">
        <f aca="false">IF($H1366=FALSE(),"",COUNTIF($H$6:$H1366,TRUE()))</f>
        <v/>
      </c>
      <c r="J1366" s="5" t="str">
        <f aca="false">IF($I1366="","","R"&amp;$I1366)</f>
        <v/>
      </c>
    </row>
    <row r="1367" customFormat="false" ht="15" hidden="false" customHeight="true" outlineLevel="0" collapsed="false">
      <c r="H1367" s="14" t="b">
        <f aca="false">IF(중복검사!$A1365="",FALSE(),중복검사!$J1365="유지")</f>
        <v>0</v>
      </c>
      <c r="I1367" s="5" t="str">
        <f aca="false">IF($H1367=FALSE(),"",COUNTIF($H$6:$H1367,TRUE()))</f>
        <v/>
      </c>
      <c r="J1367" s="5" t="str">
        <f aca="false">IF($I1367="","","R"&amp;$I1367)</f>
        <v/>
      </c>
    </row>
    <row r="1368" customFormat="false" ht="15" hidden="false" customHeight="true" outlineLevel="0" collapsed="false">
      <c r="H1368" s="14" t="b">
        <f aca="false">IF(중복검사!$A1366="",FALSE(),중복검사!$J1366="유지")</f>
        <v>0</v>
      </c>
      <c r="I1368" s="5" t="str">
        <f aca="false">IF($H1368=FALSE(),"",COUNTIF($H$6:$H1368,TRUE()))</f>
        <v/>
      </c>
      <c r="J1368" s="5" t="str">
        <f aca="false">IF($I1368="","","R"&amp;$I1368)</f>
        <v/>
      </c>
    </row>
    <row r="1369" customFormat="false" ht="15" hidden="false" customHeight="true" outlineLevel="0" collapsed="false">
      <c r="H1369" s="14" t="b">
        <f aca="false">IF(중복검사!$A1367="",FALSE(),중복검사!$J1367="유지")</f>
        <v>0</v>
      </c>
      <c r="I1369" s="5" t="str">
        <f aca="false">IF($H1369=FALSE(),"",COUNTIF($H$6:$H1369,TRUE()))</f>
        <v/>
      </c>
      <c r="J1369" s="5" t="str">
        <f aca="false">IF($I1369="","","R"&amp;$I1369)</f>
        <v/>
      </c>
    </row>
    <row r="1370" customFormat="false" ht="15" hidden="false" customHeight="true" outlineLevel="0" collapsed="false">
      <c r="H1370" s="14" t="b">
        <f aca="false">IF(중복검사!$A1368="",FALSE(),중복검사!$J1368="유지")</f>
        <v>0</v>
      </c>
      <c r="I1370" s="5" t="str">
        <f aca="false">IF($H1370=FALSE(),"",COUNTIF($H$6:$H1370,TRUE()))</f>
        <v/>
      </c>
      <c r="J1370" s="5" t="str">
        <f aca="false">IF($I1370="","","R"&amp;$I1370)</f>
        <v/>
      </c>
    </row>
    <row r="1371" customFormat="false" ht="15" hidden="false" customHeight="true" outlineLevel="0" collapsed="false">
      <c r="H1371" s="14" t="b">
        <f aca="false">IF(중복검사!$A1369="",FALSE(),중복검사!$J1369="유지")</f>
        <v>0</v>
      </c>
      <c r="I1371" s="5" t="str">
        <f aca="false">IF($H1371=FALSE(),"",COUNTIF($H$6:$H1371,TRUE()))</f>
        <v/>
      </c>
      <c r="J1371" s="5" t="str">
        <f aca="false">IF($I1371="","","R"&amp;$I1371)</f>
        <v/>
      </c>
    </row>
    <row r="1372" customFormat="false" ht="15" hidden="false" customHeight="true" outlineLevel="0" collapsed="false">
      <c r="H1372" s="14" t="b">
        <f aca="false">IF(중복검사!$A1370="",FALSE(),중복검사!$J1370="유지")</f>
        <v>0</v>
      </c>
      <c r="I1372" s="5" t="str">
        <f aca="false">IF($H1372=FALSE(),"",COUNTIF($H$6:$H1372,TRUE()))</f>
        <v/>
      </c>
      <c r="J1372" s="5" t="str">
        <f aca="false">IF($I1372="","","R"&amp;$I1372)</f>
        <v/>
      </c>
    </row>
    <row r="1373" customFormat="false" ht="15" hidden="false" customHeight="true" outlineLevel="0" collapsed="false">
      <c r="H1373" s="14" t="b">
        <f aca="false">IF(중복검사!$A1371="",FALSE(),중복검사!$J1371="유지")</f>
        <v>0</v>
      </c>
      <c r="I1373" s="5" t="str">
        <f aca="false">IF($H1373=FALSE(),"",COUNTIF($H$6:$H1373,TRUE()))</f>
        <v/>
      </c>
      <c r="J1373" s="5" t="str">
        <f aca="false">IF($I1373="","","R"&amp;$I1373)</f>
        <v/>
      </c>
    </row>
    <row r="1374" customFormat="false" ht="15" hidden="false" customHeight="true" outlineLevel="0" collapsed="false">
      <c r="H1374" s="14" t="b">
        <f aca="false">IF(중복검사!$A1372="",FALSE(),중복검사!$J1372="유지")</f>
        <v>0</v>
      </c>
      <c r="I1374" s="5" t="str">
        <f aca="false">IF($H1374=FALSE(),"",COUNTIF($H$6:$H1374,TRUE()))</f>
        <v/>
      </c>
      <c r="J1374" s="5" t="str">
        <f aca="false">IF($I1374="","","R"&amp;$I1374)</f>
        <v/>
      </c>
    </row>
    <row r="1375" customFormat="false" ht="15" hidden="false" customHeight="true" outlineLevel="0" collapsed="false">
      <c r="H1375" s="14" t="b">
        <f aca="false">IF(중복검사!$A1373="",FALSE(),중복검사!$J1373="유지")</f>
        <v>0</v>
      </c>
      <c r="I1375" s="5" t="str">
        <f aca="false">IF($H1375=FALSE(),"",COUNTIF($H$6:$H1375,TRUE()))</f>
        <v/>
      </c>
      <c r="J1375" s="5" t="str">
        <f aca="false">IF($I1375="","","R"&amp;$I1375)</f>
        <v/>
      </c>
    </row>
    <row r="1376" customFormat="false" ht="15" hidden="false" customHeight="true" outlineLevel="0" collapsed="false">
      <c r="H1376" s="14" t="b">
        <f aca="false">IF(중복검사!$A1374="",FALSE(),중복검사!$J1374="유지")</f>
        <v>0</v>
      </c>
      <c r="I1376" s="5" t="str">
        <f aca="false">IF($H1376=FALSE(),"",COUNTIF($H$6:$H1376,TRUE()))</f>
        <v/>
      </c>
      <c r="J1376" s="5" t="str">
        <f aca="false">IF($I1376="","","R"&amp;$I1376)</f>
        <v/>
      </c>
    </row>
    <row r="1377" customFormat="false" ht="15" hidden="false" customHeight="true" outlineLevel="0" collapsed="false">
      <c r="H1377" s="14" t="b">
        <f aca="false">IF(중복검사!$A1375="",FALSE(),중복검사!$J1375="유지")</f>
        <v>0</v>
      </c>
      <c r="I1377" s="5" t="str">
        <f aca="false">IF($H1377=FALSE(),"",COUNTIF($H$6:$H1377,TRUE()))</f>
        <v/>
      </c>
      <c r="J1377" s="5" t="str">
        <f aca="false">IF($I1377="","","R"&amp;$I1377)</f>
        <v/>
      </c>
    </row>
    <row r="1378" customFormat="false" ht="15" hidden="false" customHeight="true" outlineLevel="0" collapsed="false">
      <c r="H1378" s="14" t="b">
        <f aca="false">IF(중복검사!$A1376="",FALSE(),중복검사!$J1376="유지")</f>
        <v>0</v>
      </c>
      <c r="I1378" s="5" t="str">
        <f aca="false">IF($H1378=FALSE(),"",COUNTIF($H$6:$H1378,TRUE()))</f>
        <v/>
      </c>
      <c r="J1378" s="5" t="str">
        <f aca="false">IF($I1378="","","R"&amp;$I1378)</f>
        <v/>
      </c>
    </row>
    <row r="1379" customFormat="false" ht="15" hidden="false" customHeight="true" outlineLevel="0" collapsed="false">
      <c r="H1379" s="14" t="b">
        <f aca="false">IF(중복검사!$A1377="",FALSE(),중복검사!$J1377="유지")</f>
        <v>0</v>
      </c>
      <c r="I1379" s="5" t="str">
        <f aca="false">IF($H1379=FALSE(),"",COUNTIF($H$6:$H1379,TRUE()))</f>
        <v/>
      </c>
      <c r="J1379" s="5" t="str">
        <f aca="false">IF($I1379="","","R"&amp;$I1379)</f>
        <v/>
      </c>
    </row>
    <row r="1380" customFormat="false" ht="15" hidden="false" customHeight="true" outlineLevel="0" collapsed="false">
      <c r="H1380" s="14" t="b">
        <f aca="false">IF(중복검사!$A1378="",FALSE(),중복검사!$J1378="유지")</f>
        <v>0</v>
      </c>
      <c r="I1380" s="5" t="str">
        <f aca="false">IF($H1380=FALSE(),"",COUNTIF($H$6:$H1380,TRUE()))</f>
        <v/>
      </c>
      <c r="J1380" s="5" t="str">
        <f aca="false">IF($I1380="","","R"&amp;$I1380)</f>
        <v/>
      </c>
    </row>
    <row r="1381" customFormat="false" ht="15" hidden="false" customHeight="true" outlineLevel="0" collapsed="false">
      <c r="H1381" s="14" t="b">
        <f aca="false">IF(중복검사!$A1379="",FALSE(),중복검사!$J1379="유지")</f>
        <v>0</v>
      </c>
      <c r="I1381" s="5" t="str">
        <f aca="false">IF($H1381=FALSE(),"",COUNTIF($H$6:$H1381,TRUE()))</f>
        <v/>
      </c>
      <c r="J1381" s="5" t="str">
        <f aca="false">IF($I1381="","","R"&amp;$I1381)</f>
        <v/>
      </c>
    </row>
    <row r="1382" customFormat="false" ht="15" hidden="false" customHeight="true" outlineLevel="0" collapsed="false">
      <c r="H1382" s="14" t="b">
        <f aca="false">IF(중복검사!$A1380="",FALSE(),중복검사!$J1380="유지")</f>
        <v>0</v>
      </c>
      <c r="I1382" s="5" t="str">
        <f aca="false">IF($H1382=FALSE(),"",COUNTIF($H$6:$H1382,TRUE()))</f>
        <v/>
      </c>
      <c r="J1382" s="5" t="str">
        <f aca="false">IF($I1382="","","R"&amp;$I1382)</f>
        <v/>
      </c>
    </row>
    <row r="1383" customFormat="false" ht="15" hidden="false" customHeight="true" outlineLevel="0" collapsed="false">
      <c r="H1383" s="14" t="b">
        <f aca="false">IF(중복검사!$A1381="",FALSE(),중복검사!$J1381="유지")</f>
        <v>0</v>
      </c>
      <c r="I1383" s="5" t="str">
        <f aca="false">IF($H1383=FALSE(),"",COUNTIF($H$6:$H1383,TRUE()))</f>
        <v/>
      </c>
      <c r="J1383" s="5" t="str">
        <f aca="false">IF($I1383="","","R"&amp;$I1383)</f>
        <v/>
      </c>
    </row>
    <row r="1384" customFormat="false" ht="15" hidden="false" customHeight="true" outlineLevel="0" collapsed="false">
      <c r="H1384" s="14" t="b">
        <f aca="false">IF(중복검사!$A1382="",FALSE(),중복검사!$J1382="유지")</f>
        <v>0</v>
      </c>
      <c r="I1384" s="5" t="str">
        <f aca="false">IF($H1384=FALSE(),"",COUNTIF($H$6:$H1384,TRUE()))</f>
        <v/>
      </c>
      <c r="J1384" s="5" t="str">
        <f aca="false">IF($I1384="","","R"&amp;$I1384)</f>
        <v/>
      </c>
    </row>
    <row r="1385" customFormat="false" ht="15" hidden="false" customHeight="true" outlineLevel="0" collapsed="false">
      <c r="H1385" s="14" t="b">
        <f aca="false">IF(중복검사!$A1383="",FALSE(),중복검사!$J1383="유지")</f>
        <v>0</v>
      </c>
      <c r="I1385" s="5" t="str">
        <f aca="false">IF($H1385=FALSE(),"",COUNTIF($H$6:$H1385,TRUE()))</f>
        <v/>
      </c>
      <c r="J1385" s="5" t="str">
        <f aca="false">IF($I1385="","","R"&amp;$I1385)</f>
        <v/>
      </c>
    </row>
    <row r="1386" customFormat="false" ht="15" hidden="false" customHeight="true" outlineLevel="0" collapsed="false">
      <c r="H1386" s="14" t="b">
        <f aca="false">IF(중복검사!$A1384="",FALSE(),중복검사!$J1384="유지")</f>
        <v>0</v>
      </c>
      <c r="I1386" s="5" t="str">
        <f aca="false">IF($H1386=FALSE(),"",COUNTIF($H$6:$H1386,TRUE()))</f>
        <v/>
      </c>
      <c r="J1386" s="5" t="str">
        <f aca="false">IF($I1386="","","R"&amp;$I1386)</f>
        <v/>
      </c>
    </row>
    <row r="1387" customFormat="false" ht="15" hidden="false" customHeight="true" outlineLevel="0" collapsed="false">
      <c r="H1387" s="14" t="b">
        <f aca="false">IF(중복검사!$A1385="",FALSE(),중복검사!$J1385="유지")</f>
        <v>0</v>
      </c>
      <c r="I1387" s="5" t="str">
        <f aca="false">IF($H1387=FALSE(),"",COUNTIF($H$6:$H1387,TRUE()))</f>
        <v/>
      </c>
      <c r="J1387" s="5" t="str">
        <f aca="false">IF($I1387="","","R"&amp;$I1387)</f>
        <v/>
      </c>
    </row>
    <row r="1388" customFormat="false" ht="15" hidden="false" customHeight="true" outlineLevel="0" collapsed="false">
      <c r="H1388" s="14" t="b">
        <f aca="false">IF(중복검사!$A1386="",FALSE(),중복검사!$J1386="유지")</f>
        <v>0</v>
      </c>
      <c r="I1388" s="5" t="str">
        <f aca="false">IF($H1388=FALSE(),"",COUNTIF($H$6:$H1388,TRUE()))</f>
        <v/>
      </c>
      <c r="J1388" s="5" t="str">
        <f aca="false">IF($I1388="","","R"&amp;$I1388)</f>
        <v/>
      </c>
    </row>
    <row r="1389" customFormat="false" ht="15" hidden="false" customHeight="true" outlineLevel="0" collapsed="false">
      <c r="H1389" s="14" t="b">
        <f aca="false">IF(중복검사!$A1387="",FALSE(),중복검사!$J1387="유지")</f>
        <v>0</v>
      </c>
      <c r="I1389" s="5" t="str">
        <f aca="false">IF($H1389=FALSE(),"",COUNTIF($H$6:$H1389,TRUE()))</f>
        <v/>
      </c>
      <c r="J1389" s="5" t="str">
        <f aca="false">IF($I1389="","","R"&amp;$I1389)</f>
        <v/>
      </c>
    </row>
    <row r="1390" customFormat="false" ht="15" hidden="false" customHeight="true" outlineLevel="0" collapsed="false">
      <c r="H1390" s="14" t="b">
        <f aca="false">IF(중복검사!$A1388="",FALSE(),중복검사!$J1388="유지")</f>
        <v>0</v>
      </c>
      <c r="I1390" s="5" t="str">
        <f aca="false">IF($H1390=FALSE(),"",COUNTIF($H$6:$H1390,TRUE()))</f>
        <v/>
      </c>
      <c r="J1390" s="5" t="str">
        <f aca="false">IF($I1390="","","R"&amp;$I1390)</f>
        <v/>
      </c>
    </row>
    <row r="1391" customFormat="false" ht="15" hidden="false" customHeight="true" outlineLevel="0" collapsed="false">
      <c r="H1391" s="14" t="b">
        <f aca="false">IF(중복검사!$A1389="",FALSE(),중복검사!$J1389="유지")</f>
        <v>0</v>
      </c>
      <c r="I1391" s="5" t="str">
        <f aca="false">IF($H1391=FALSE(),"",COUNTIF($H$6:$H1391,TRUE()))</f>
        <v/>
      </c>
      <c r="J1391" s="5" t="str">
        <f aca="false">IF($I1391="","","R"&amp;$I1391)</f>
        <v/>
      </c>
    </row>
    <row r="1392" customFormat="false" ht="15" hidden="false" customHeight="true" outlineLevel="0" collapsed="false">
      <c r="H1392" s="14" t="b">
        <f aca="false">IF(중복검사!$A1390="",FALSE(),중복검사!$J1390="유지")</f>
        <v>0</v>
      </c>
      <c r="I1392" s="5" t="str">
        <f aca="false">IF($H1392=FALSE(),"",COUNTIF($H$6:$H1392,TRUE()))</f>
        <v/>
      </c>
      <c r="J1392" s="5" t="str">
        <f aca="false">IF($I1392="","","R"&amp;$I1392)</f>
        <v/>
      </c>
    </row>
    <row r="1393" customFormat="false" ht="15" hidden="false" customHeight="true" outlineLevel="0" collapsed="false">
      <c r="H1393" s="14" t="b">
        <f aca="false">IF(중복검사!$A1391="",FALSE(),중복검사!$J1391="유지")</f>
        <v>0</v>
      </c>
      <c r="I1393" s="5" t="str">
        <f aca="false">IF($H1393=FALSE(),"",COUNTIF($H$6:$H1393,TRUE()))</f>
        <v/>
      </c>
      <c r="J1393" s="5" t="str">
        <f aca="false">IF($I1393="","","R"&amp;$I1393)</f>
        <v/>
      </c>
    </row>
    <row r="1394" customFormat="false" ht="15" hidden="false" customHeight="true" outlineLevel="0" collapsed="false">
      <c r="H1394" s="14" t="b">
        <f aca="false">IF(중복검사!$A1392="",FALSE(),중복검사!$J1392="유지")</f>
        <v>0</v>
      </c>
      <c r="I1394" s="5" t="str">
        <f aca="false">IF($H1394=FALSE(),"",COUNTIF($H$6:$H1394,TRUE()))</f>
        <v/>
      </c>
      <c r="J1394" s="5" t="str">
        <f aca="false">IF($I1394="","","R"&amp;$I1394)</f>
        <v/>
      </c>
    </row>
    <row r="1395" customFormat="false" ht="15" hidden="false" customHeight="true" outlineLevel="0" collapsed="false">
      <c r="H1395" s="14" t="b">
        <f aca="false">IF(중복검사!$A1393="",FALSE(),중복검사!$J1393="유지")</f>
        <v>0</v>
      </c>
      <c r="I1395" s="5" t="str">
        <f aca="false">IF($H1395=FALSE(),"",COUNTIF($H$6:$H1395,TRUE()))</f>
        <v/>
      </c>
      <c r="J1395" s="5" t="str">
        <f aca="false">IF($I1395="","","R"&amp;$I1395)</f>
        <v/>
      </c>
    </row>
    <row r="1396" customFormat="false" ht="15" hidden="false" customHeight="true" outlineLevel="0" collapsed="false">
      <c r="H1396" s="14" t="b">
        <f aca="false">IF(중복검사!$A1394="",FALSE(),중복검사!$J1394="유지")</f>
        <v>0</v>
      </c>
      <c r="I1396" s="5" t="str">
        <f aca="false">IF($H1396=FALSE(),"",COUNTIF($H$6:$H1396,TRUE()))</f>
        <v/>
      </c>
      <c r="J1396" s="5" t="str">
        <f aca="false">IF($I1396="","","R"&amp;$I1396)</f>
        <v/>
      </c>
    </row>
    <row r="1397" customFormat="false" ht="15" hidden="false" customHeight="true" outlineLevel="0" collapsed="false">
      <c r="H1397" s="14" t="b">
        <f aca="false">IF(중복검사!$A1395="",FALSE(),중복검사!$J1395="유지")</f>
        <v>0</v>
      </c>
      <c r="I1397" s="5" t="str">
        <f aca="false">IF($H1397=FALSE(),"",COUNTIF($H$6:$H1397,TRUE()))</f>
        <v/>
      </c>
      <c r="J1397" s="5" t="str">
        <f aca="false">IF($I1397="","","R"&amp;$I1397)</f>
        <v/>
      </c>
    </row>
    <row r="1398" customFormat="false" ht="15" hidden="false" customHeight="true" outlineLevel="0" collapsed="false">
      <c r="H1398" s="14" t="b">
        <f aca="false">IF(중복검사!$A1396="",FALSE(),중복검사!$J1396="유지")</f>
        <v>0</v>
      </c>
      <c r="I1398" s="5" t="str">
        <f aca="false">IF($H1398=FALSE(),"",COUNTIF($H$6:$H1398,TRUE()))</f>
        <v/>
      </c>
      <c r="J1398" s="5" t="str">
        <f aca="false">IF($I1398="","","R"&amp;$I1398)</f>
        <v/>
      </c>
    </row>
    <row r="1399" customFormat="false" ht="15" hidden="false" customHeight="true" outlineLevel="0" collapsed="false">
      <c r="H1399" s="14" t="b">
        <f aca="false">IF(중복검사!$A1397="",FALSE(),중복검사!$J1397="유지")</f>
        <v>0</v>
      </c>
      <c r="I1399" s="5" t="str">
        <f aca="false">IF($H1399=FALSE(),"",COUNTIF($H$6:$H1399,TRUE()))</f>
        <v/>
      </c>
      <c r="J1399" s="5" t="str">
        <f aca="false">IF($I1399="","","R"&amp;$I1399)</f>
        <v/>
      </c>
    </row>
    <row r="1400" customFormat="false" ht="15" hidden="false" customHeight="true" outlineLevel="0" collapsed="false">
      <c r="H1400" s="14" t="b">
        <f aca="false">IF(중복검사!$A1398="",FALSE(),중복검사!$J1398="유지")</f>
        <v>0</v>
      </c>
      <c r="I1400" s="5" t="str">
        <f aca="false">IF($H1400=FALSE(),"",COUNTIF($H$6:$H1400,TRUE()))</f>
        <v/>
      </c>
      <c r="J1400" s="5" t="str">
        <f aca="false">IF($I1400="","","R"&amp;$I1400)</f>
        <v/>
      </c>
    </row>
    <row r="1401" customFormat="false" ht="15" hidden="false" customHeight="true" outlineLevel="0" collapsed="false">
      <c r="H1401" s="14" t="b">
        <f aca="false">IF(중복검사!$A1399="",FALSE(),중복검사!$J1399="유지")</f>
        <v>0</v>
      </c>
      <c r="I1401" s="5" t="str">
        <f aca="false">IF($H1401=FALSE(),"",COUNTIF($H$6:$H1401,TRUE()))</f>
        <v/>
      </c>
      <c r="J1401" s="5" t="str">
        <f aca="false">IF($I1401="","","R"&amp;$I1401)</f>
        <v/>
      </c>
    </row>
    <row r="1402" customFormat="false" ht="15" hidden="false" customHeight="true" outlineLevel="0" collapsed="false">
      <c r="H1402" s="14" t="b">
        <f aca="false">IF(중복검사!$A1400="",FALSE(),중복검사!$J1400="유지")</f>
        <v>0</v>
      </c>
      <c r="I1402" s="5" t="str">
        <f aca="false">IF($H1402=FALSE(),"",COUNTIF($H$6:$H1402,TRUE()))</f>
        <v/>
      </c>
      <c r="J1402" s="5" t="str">
        <f aca="false">IF($I1402="","","R"&amp;$I1402)</f>
        <v/>
      </c>
    </row>
    <row r="1403" customFormat="false" ht="15" hidden="false" customHeight="true" outlineLevel="0" collapsed="false">
      <c r="H1403" s="14" t="b">
        <f aca="false">IF(중복검사!$A1401="",FALSE(),중복검사!$J1401="유지")</f>
        <v>0</v>
      </c>
      <c r="I1403" s="5" t="str">
        <f aca="false">IF($H1403=FALSE(),"",COUNTIF($H$6:$H1403,TRUE()))</f>
        <v/>
      </c>
      <c r="J1403" s="5" t="str">
        <f aca="false">IF($I1403="","","R"&amp;$I1403)</f>
        <v/>
      </c>
    </row>
    <row r="1404" customFormat="false" ht="15" hidden="false" customHeight="true" outlineLevel="0" collapsed="false">
      <c r="H1404" s="14" t="b">
        <f aca="false">IF(중복검사!$A1402="",FALSE(),중복검사!$J1402="유지")</f>
        <v>0</v>
      </c>
      <c r="I1404" s="5" t="str">
        <f aca="false">IF($H1404=FALSE(),"",COUNTIF($H$6:$H1404,TRUE()))</f>
        <v/>
      </c>
      <c r="J1404" s="5" t="str">
        <f aca="false">IF($I1404="","","R"&amp;$I1404)</f>
        <v/>
      </c>
    </row>
    <row r="1405" customFormat="false" ht="15" hidden="false" customHeight="true" outlineLevel="0" collapsed="false">
      <c r="H1405" s="14" t="b">
        <f aca="false">IF(중복검사!$A1403="",FALSE(),중복검사!$J1403="유지")</f>
        <v>0</v>
      </c>
      <c r="I1405" s="5" t="str">
        <f aca="false">IF($H1405=FALSE(),"",COUNTIF($H$6:$H1405,TRUE()))</f>
        <v/>
      </c>
      <c r="J1405" s="5" t="str">
        <f aca="false">IF($I1405="","","R"&amp;$I1405)</f>
        <v/>
      </c>
    </row>
    <row r="1406" customFormat="false" ht="15" hidden="false" customHeight="true" outlineLevel="0" collapsed="false">
      <c r="H1406" s="14" t="b">
        <f aca="false">IF(중복검사!$A1404="",FALSE(),중복검사!$J1404="유지")</f>
        <v>0</v>
      </c>
      <c r="I1406" s="5" t="str">
        <f aca="false">IF($H1406=FALSE(),"",COUNTIF($H$6:$H1406,TRUE()))</f>
        <v/>
      </c>
      <c r="J1406" s="5" t="str">
        <f aca="false">IF($I1406="","","R"&amp;$I1406)</f>
        <v/>
      </c>
    </row>
    <row r="1407" customFormat="false" ht="15" hidden="false" customHeight="true" outlineLevel="0" collapsed="false">
      <c r="H1407" s="14" t="b">
        <f aca="false">IF(중복검사!$A1405="",FALSE(),중복검사!$J1405="유지")</f>
        <v>0</v>
      </c>
      <c r="I1407" s="5" t="str">
        <f aca="false">IF($H1407=FALSE(),"",COUNTIF($H$6:$H1407,TRUE()))</f>
        <v/>
      </c>
      <c r="J1407" s="5" t="str">
        <f aca="false">IF($I1407="","","R"&amp;$I1407)</f>
        <v/>
      </c>
    </row>
    <row r="1408" customFormat="false" ht="15" hidden="false" customHeight="true" outlineLevel="0" collapsed="false">
      <c r="H1408" s="14" t="b">
        <f aca="false">IF(중복검사!$A1406="",FALSE(),중복검사!$J1406="유지")</f>
        <v>0</v>
      </c>
      <c r="I1408" s="5" t="str">
        <f aca="false">IF($H1408=FALSE(),"",COUNTIF($H$6:$H1408,TRUE()))</f>
        <v/>
      </c>
      <c r="J1408" s="5" t="str">
        <f aca="false">IF($I1408="","","R"&amp;$I1408)</f>
        <v/>
      </c>
    </row>
    <row r="1409" customFormat="false" ht="15" hidden="false" customHeight="true" outlineLevel="0" collapsed="false">
      <c r="H1409" s="14" t="b">
        <f aca="false">IF(중복검사!$A1407="",FALSE(),중복검사!$J1407="유지")</f>
        <v>0</v>
      </c>
      <c r="I1409" s="5" t="str">
        <f aca="false">IF($H1409=FALSE(),"",COUNTIF($H$6:$H1409,TRUE()))</f>
        <v/>
      </c>
      <c r="J1409" s="5" t="str">
        <f aca="false">IF($I1409="","","R"&amp;$I1409)</f>
        <v/>
      </c>
    </row>
    <row r="1410" customFormat="false" ht="15" hidden="false" customHeight="true" outlineLevel="0" collapsed="false">
      <c r="H1410" s="14" t="b">
        <f aca="false">IF(중복검사!$A1408="",FALSE(),중복검사!$J1408="유지")</f>
        <v>0</v>
      </c>
      <c r="I1410" s="5" t="str">
        <f aca="false">IF($H1410=FALSE(),"",COUNTIF($H$6:$H1410,TRUE()))</f>
        <v/>
      </c>
      <c r="J1410" s="5" t="str">
        <f aca="false">IF($I1410="","","R"&amp;$I1410)</f>
        <v/>
      </c>
    </row>
    <row r="1411" customFormat="false" ht="15" hidden="false" customHeight="true" outlineLevel="0" collapsed="false">
      <c r="H1411" s="14" t="b">
        <f aca="false">IF(중복검사!$A1409="",FALSE(),중복검사!$J1409="유지")</f>
        <v>0</v>
      </c>
      <c r="I1411" s="5" t="str">
        <f aca="false">IF($H1411=FALSE(),"",COUNTIF($H$6:$H1411,TRUE()))</f>
        <v/>
      </c>
      <c r="J1411" s="5" t="str">
        <f aca="false">IF($I1411="","","R"&amp;$I1411)</f>
        <v/>
      </c>
    </row>
    <row r="1412" customFormat="false" ht="15" hidden="false" customHeight="true" outlineLevel="0" collapsed="false">
      <c r="H1412" s="14" t="b">
        <f aca="false">IF(중복검사!$A1410="",FALSE(),중복검사!$J1410="유지")</f>
        <v>0</v>
      </c>
      <c r="I1412" s="5" t="str">
        <f aca="false">IF($H1412=FALSE(),"",COUNTIF($H$6:$H1412,TRUE()))</f>
        <v/>
      </c>
      <c r="J1412" s="5" t="str">
        <f aca="false">IF($I1412="","","R"&amp;$I1412)</f>
        <v/>
      </c>
    </row>
    <row r="1413" customFormat="false" ht="15" hidden="false" customHeight="true" outlineLevel="0" collapsed="false">
      <c r="H1413" s="14" t="b">
        <f aca="false">IF(중복검사!$A1411="",FALSE(),중복검사!$J1411="유지")</f>
        <v>0</v>
      </c>
      <c r="I1413" s="5" t="str">
        <f aca="false">IF($H1413=FALSE(),"",COUNTIF($H$6:$H1413,TRUE()))</f>
        <v/>
      </c>
      <c r="J1413" s="5" t="str">
        <f aca="false">IF($I1413="","","R"&amp;$I1413)</f>
        <v/>
      </c>
    </row>
    <row r="1414" customFormat="false" ht="15" hidden="false" customHeight="true" outlineLevel="0" collapsed="false">
      <c r="H1414" s="14" t="b">
        <f aca="false">IF(중복검사!$A1412="",FALSE(),중복검사!$J1412="유지")</f>
        <v>0</v>
      </c>
      <c r="I1414" s="5" t="str">
        <f aca="false">IF($H1414=FALSE(),"",COUNTIF($H$6:$H1414,TRUE()))</f>
        <v/>
      </c>
      <c r="J1414" s="5" t="str">
        <f aca="false">IF($I1414="","","R"&amp;$I1414)</f>
        <v/>
      </c>
    </row>
    <row r="1415" customFormat="false" ht="15" hidden="false" customHeight="true" outlineLevel="0" collapsed="false">
      <c r="H1415" s="14" t="b">
        <f aca="false">IF(중복검사!$A1413="",FALSE(),중복검사!$J1413="유지")</f>
        <v>0</v>
      </c>
      <c r="I1415" s="5" t="str">
        <f aca="false">IF($H1415=FALSE(),"",COUNTIF($H$6:$H1415,TRUE()))</f>
        <v/>
      </c>
      <c r="J1415" s="5" t="str">
        <f aca="false">IF($I1415="","","R"&amp;$I1415)</f>
        <v/>
      </c>
    </row>
    <row r="1416" customFormat="false" ht="15" hidden="false" customHeight="true" outlineLevel="0" collapsed="false">
      <c r="H1416" s="14" t="b">
        <f aca="false">IF(중복검사!$A1414="",FALSE(),중복검사!$J1414="유지")</f>
        <v>0</v>
      </c>
      <c r="I1416" s="5" t="str">
        <f aca="false">IF($H1416=FALSE(),"",COUNTIF($H$6:$H1416,TRUE()))</f>
        <v/>
      </c>
      <c r="J1416" s="5" t="str">
        <f aca="false">IF($I1416="","","R"&amp;$I1416)</f>
        <v/>
      </c>
    </row>
    <row r="1417" customFormat="false" ht="15" hidden="false" customHeight="true" outlineLevel="0" collapsed="false">
      <c r="H1417" s="14" t="b">
        <f aca="false">IF(중복검사!$A1415="",FALSE(),중복검사!$J1415="유지")</f>
        <v>0</v>
      </c>
      <c r="I1417" s="5" t="str">
        <f aca="false">IF($H1417=FALSE(),"",COUNTIF($H$6:$H1417,TRUE()))</f>
        <v/>
      </c>
      <c r="J1417" s="5" t="str">
        <f aca="false">IF($I1417="","","R"&amp;$I1417)</f>
        <v/>
      </c>
    </row>
    <row r="1418" customFormat="false" ht="15" hidden="false" customHeight="true" outlineLevel="0" collapsed="false">
      <c r="H1418" s="14" t="b">
        <f aca="false">IF(중복검사!$A1416="",FALSE(),중복검사!$J1416="유지")</f>
        <v>0</v>
      </c>
      <c r="I1418" s="5" t="str">
        <f aca="false">IF($H1418=FALSE(),"",COUNTIF($H$6:$H1418,TRUE()))</f>
        <v/>
      </c>
      <c r="J1418" s="5" t="str">
        <f aca="false">IF($I1418="","","R"&amp;$I1418)</f>
        <v/>
      </c>
    </row>
    <row r="1419" customFormat="false" ht="15" hidden="false" customHeight="true" outlineLevel="0" collapsed="false">
      <c r="H1419" s="14" t="b">
        <f aca="false">IF(중복검사!$A1417="",FALSE(),중복검사!$J1417="유지")</f>
        <v>0</v>
      </c>
      <c r="I1419" s="5" t="str">
        <f aca="false">IF($H1419=FALSE(),"",COUNTIF($H$6:$H1419,TRUE()))</f>
        <v/>
      </c>
      <c r="J1419" s="5" t="str">
        <f aca="false">IF($I1419="","","R"&amp;$I1419)</f>
        <v/>
      </c>
    </row>
    <row r="1420" customFormat="false" ht="15" hidden="false" customHeight="true" outlineLevel="0" collapsed="false">
      <c r="H1420" s="14" t="b">
        <f aca="false">IF(중복검사!$A1418="",FALSE(),중복검사!$J1418="유지")</f>
        <v>0</v>
      </c>
      <c r="I1420" s="5" t="str">
        <f aca="false">IF($H1420=FALSE(),"",COUNTIF($H$6:$H1420,TRUE()))</f>
        <v/>
      </c>
      <c r="J1420" s="5" t="str">
        <f aca="false">IF($I1420="","","R"&amp;$I1420)</f>
        <v/>
      </c>
    </row>
    <row r="1421" customFormat="false" ht="15" hidden="false" customHeight="true" outlineLevel="0" collapsed="false">
      <c r="H1421" s="14" t="b">
        <f aca="false">IF(중복검사!$A1419="",FALSE(),중복검사!$J1419="유지")</f>
        <v>0</v>
      </c>
      <c r="I1421" s="5" t="str">
        <f aca="false">IF($H1421=FALSE(),"",COUNTIF($H$6:$H1421,TRUE()))</f>
        <v/>
      </c>
      <c r="J1421" s="5" t="str">
        <f aca="false">IF($I1421="","","R"&amp;$I1421)</f>
        <v/>
      </c>
    </row>
    <row r="1422" customFormat="false" ht="15" hidden="false" customHeight="true" outlineLevel="0" collapsed="false">
      <c r="H1422" s="14" t="b">
        <f aca="false">IF(중복검사!$A1420="",FALSE(),중복검사!$J1420="유지")</f>
        <v>0</v>
      </c>
      <c r="I1422" s="5" t="str">
        <f aca="false">IF($H1422=FALSE(),"",COUNTIF($H$6:$H1422,TRUE()))</f>
        <v/>
      </c>
      <c r="J1422" s="5" t="str">
        <f aca="false">IF($I1422="","","R"&amp;$I1422)</f>
        <v/>
      </c>
    </row>
    <row r="1423" customFormat="false" ht="15" hidden="false" customHeight="true" outlineLevel="0" collapsed="false">
      <c r="H1423" s="14" t="b">
        <f aca="false">IF(중복검사!$A1421="",FALSE(),중복검사!$J1421="유지")</f>
        <v>0</v>
      </c>
      <c r="I1423" s="5" t="str">
        <f aca="false">IF($H1423=FALSE(),"",COUNTIF($H$6:$H1423,TRUE()))</f>
        <v/>
      </c>
      <c r="J1423" s="5" t="str">
        <f aca="false">IF($I1423="","","R"&amp;$I1423)</f>
        <v/>
      </c>
    </row>
    <row r="1424" customFormat="false" ht="15" hidden="false" customHeight="true" outlineLevel="0" collapsed="false">
      <c r="H1424" s="14" t="b">
        <f aca="false">IF(중복검사!$A1422="",FALSE(),중복검사!$J1422="유지")</f>
        <v>0</v>
      </c>
      <c r="I1424" s="5" t="str">
        <f aca="false">IF($H1424=FALSE(),"",COUNTIF($H$6:$H1424,TRUE()))</f>
        <v/>
      </c>
      <c r="J1424" s="5" t="str">
        <f aca="false">IF($I1424="","","R"&amp;$I1424)</f>
        <v/>
      </c>
    </row>
    <row r="1425" customFormat="false" ht="15" hidden="false" customHeight="true" outlineLevel="0" collapsed="false">
      <c r="H1425" s="14" t="b">
        <f aca="false">IF(중복검사!$A1423="",FALSE(),중복검사!$J1423="유지")</f>
        <v>0</v>
      </c>
      <c r="I1425" s="5" t="str">
        <f aca="false">IF($H1425=FALSE(),"",COUNTIF($H$6:$H1425,TRUE()))</f>
        <v/>
      </c>
      <c r="J1425" s="5" t="str">
        <f aca="false">IF($I1425="","","R"&amp;$I1425)</f>
        <v/>
      </c>
    </row>
    <row r="1426" customFormat="false" ht="15" hidden="false" customHeight="true" outlineLevel="0" collapsed="false">
      <c r="H1426" s="14" t="b">
        <f aca="false">IF(중복검사!$A1424="",FALSE(),중복검사!$J1424="유지")</f>
        <v>0</v>
      </c>
      <c r="I1426" s="5" t="str">
        <f aca="false">IF($H1426=FALSE(),"",COUNTIF($H$6:$H1426,TRUE()))</f>
        <v/>
      </c>
      <c r="J1426" s="5" t="str">
        <f aca="false">IF($I1426="","","R"&amp;$I1426)</f>
        <v/>
      </c>
    </row>
    <row r="1427" customFormat="false" ht="15" hidden="false" customHeight="true" outlineLevel="0" collapsed="false">
      <c r="H1427" s="14" t="b">
        <f aca="false">IF(중복검사!$A1425="",FALSE(),중복검사!$J1425="유지")</f>
        <v>0</v>
      </c>
      <c r="I1427" s="5" t="str">
        <f aca="false">IF($H1427=FALSE(),"",COUNTIF($H$6:$H1427,TRUE()))</f>
        <v/>
      </c>
      <c r="J1427" s="5" t="str">
        <f aca="false">IF($I1427="","","R"&amp;$I1427)</f>
        <v/>
      </c>
    </row>
    <row r="1428" customFormat="false" ht="15" hidden="false" customHeight="true" outlineLevel="0" collapsed="false">
      <c r="H1428" s="14" t="b">
        <f aca="false">IF(중복검사!$A1426="",FALSE(),중복검사!$J1426="유지")</f>
        <v>0</v>
      </c>
      <c r="I1428" s="5" t="str">
        <f aca="false">IF($H1428=FALSE(),"",COUNTIF($H$6:$H1428,TRUE()))</f>
        <v/>
      </c>
      <c r="J1428" s="5" t="str">
        <f aca="false">IF($I1428="","","R"&amp;$I1428)</f>
        <v/>
      </c>
    </row>
    <row r="1429" customFormat="false" ht="15" hidden="false" customHeight="true" outlineLevel="0" collapsed="false">
      <c r="H1429" s="14" t="b">
        <f aca="false">IF(중복검사!$A1427="",FALSE(),중복검사!$J1427="유지")</f>
        <v>0</v>
      </c>
      <c r="I1429" s="5" t="str">
        <f aca="false">IF($H1429=FALSE(),"",COUNTIF($H$6:$H1429,TRUE()))</f>
        <v/>
      </c>
      <c r="J1429" s="5" t="str">
        <f aca="false">IF($I1429="","","R"&amp;$I1429)</f>
        <v/>
      </c>
    </row>
    <row r="1430" customFormat="false" ht="15" hidden="false" customHeight="true" outlineLevel="0" collapsed="false">
      <c r="H1430" s="14" t="b">
        <f aca="false">IF(중복검사!$A1428="",FALSE(),중복검사!$J1428="유지")</f>
        <v>0</v>
      </c>
      <c r="I1430" s="5" t="str">
        <f aca="false">IF($H1430=FALSE(),"",COUNTIF($H$6:$H1430,TRUE()))</f>
        <v/>
      </c>
      <c r="J1430" s="5" t="str">
        <f aca="false">IF($I1430="","","R"&amp;$I1430)</f>
        <v/>
      </c>
    </row>
    <row r="1431" customFormat="false" ht="15" hidden="false" customHeight="true" outlineLevel="0" collapsed="false">
      <c r="H1431" s="14" t="b">
        <f aca="false">IF(중복검사!$A1429="",FALSE(),중복검사!$J1429="유지")</f>
        <v>0</v>
      </c>
      <c r="I1431" s="5" t="str">
        <f aca="false">IF($H1431=FALSE(),"",COUNTIF($H$6:$H1431,TRUE()))</f>
        <v/>
      </c>
      <c r="J1431" s="5" t="str">
        <f aca="false">IF($I1431="","","R"&amp;$I1431)</f>
        <v/>
      </c>
    </row>
    <row r="1432" customFormat="false" ht="15" hidden="false" customHeight="true" outlineLevel="0" collapsed="false">
      <c r="H1432" s="14" t="b">
        <f aca="false">IF(중복검사!$A1430="",FALSE(),중복검사!$J1430="유지")</f>
        <v>0</v>
      </c>
      <c r="I1432" s="5" t="str">
        <f aca="false">IF($H1432=FALSE(),"",COUNTIF($H$6:$H1432,TRUE()))</f>
        <v/>
      </c>
      <c r="J1432" s="5" t="str">
        <f aca="false">IF($I1432="","","R"&amp;$I1432)</f>
        <v/>
      </c>
    </row>
    <row r="1433" customFormat="false" ht="15" hidden="false" customHeight="true" outlineLevel="0" collapsed="false">
      <c r="H1433" s="14" t="b">
        <f aca="false">IF(중복검사!$A1431="",FALSE(),중복검사!$J1431="유지")</f>
        <v>0</v>
      </c>
      <c r="I1433" s="5" t="str">
        <f aca="false">IF($H1433=FALSE(),"",COUNTIF($H$6:$H1433,TRUE()))</f>
        <v/>
      </c>
      <c r="J1433" s="5" t="str">
        <f aca="false">IF($I1433="","","R"&amp;$I1433)</f>
        <v/>
      </c>
    </row>
    <row r="1434" customFormat="false" ht="15" hidden="false" customHeight="true" outlineLevel="0" collapsed="false">
      <c r="H1434" s="14" t="b">
        <f aca="false">IF(중복검사!$A1432="",FALSE(),중복검사!$J1432="유지")</f>
        <v>0</v>
      </c>
      <c r="I1434" s="5" t="str">
        <f aca="false">IF($H1434=FALSE(),"",COUNTIF($H$6:$H1434,TRUE()))</f>
        <v/>
      </c>
      <c r="J1434" s="5" t="str">
        <f aca="false">IF($I1434="","","R"&amp;$I1434)</f>
        <v/>
      </c>
    </row>
    <row r="1435" customFormat="false" ht="15" hidden="false" customHeight="true" outlineLevel="0" collapsed="false">
      <c r="H1435" s="14" t="b">
        <f aca="false">IF(중복검사!$A1433="",FALSE(),중복검사!$J1433="유지")</f>
        <v>0</v>
      </c>
      <c r="I1435" s="5" t="str">
        <f aca="false">IF($H1435=FALSE(),"",COUNTIF($H$6:$H1435,TRUE()))</f>
        <v/>
      </c>
      <c r="J1435" s="5" t="str">
        <f aca="false">IF($I1435="","","R"&amp;$I1435)</f>
        <v/>
      </c>
    </row>
    <row r="1436" customFormat="false" ht="15" hidden="false" customHeight="true" outlineLevel="0" collapsed="false">
      <c r="H1436" s="14" t="b">
        <f aca="false">IF(중복검사!$A1434="",FALSE(),중복검사!$J1434="유지")</f>
        <v>0</v>
      </c>
      <c r="I1436" s="5" t="str">
        <f aca="false">IF($H1436=FALSE(),"",COUNTIF($H$6:$H1436,TRUE()))</f>
        <v/>
      </c>
      <c r="J1436" s="5" t="str">
        <f aca="false">IF($I1436="","","R"&amp;$I1436)</f>
        <v/>
      </c>
    </row>
    <row r="1437" customFormat="false" ht="15" hidden="false" customHeight="true" outlineLevel="0" collapsed="false">
      <c r="H1437" s="14" t="b">
        <f aca="false">IF(중복검사!$A1435="",FALSE(),중복검사!$J1435="유지")</f>
        <v>0</v>
      </c>
      <c r="I1437" s="5" t="str">
        <f aca="false">IF($H1437=FALSE(),"",COUNTIF($H$6:$H1437,TRUE()))</f>
        <v/>
      </c>
      <c r="J1437" s="5" t="str">
        <f aca="false">IF($I1437="","","R"&amp;$I1437)</f>
        <v/>
      </c>
    </row>
    <row r="1438" customFormat="false" ht="15" hidden="false" customHeight="true" outlineLevel="0" collapsed="false">
      <c r="H1438" s="14" t="b">
        <f aca="false">IF(중복검사!$A1436="",FALSE(),중복검사!$J1436="유지")</f>
        <v>0</v>
      </c>
      <c r="I1438" s="5" t="str">
        <f aca="false">IF($H1438=FALSE(),"",COUNTIF($H$6:$H1438,TRUE()))</f>
        <v/>
      </c>
      <c r="J1438" s="5" t="str">
        <f aca="false">IF($I1438="","","R"&amp;$I1438)</f>
        <v/>
      </c>
    </row>
    <row r="1439" customFormat="false" ht="15" hidden="false" customHeight="true" outlineLevel="0" collapsed="false">
      <c r="H1439" s="14" t="b">
        <f aca="false">IF(중복검사!$A1437="",FALSE(),중복검사!$J1437="유지")</f>
        <v>0</v>
      </c>
      <c r="I1439" s="5" t="str">
        <f aca="false">IF($H1439=FALSE(),"",COUNTIF($H$6:$H1439,TRUE()))</f>
        <v/>
      </c>
      <c r="J1439" s="5" t="str">
        <f aca="false">IF($I1439="","","R"&amp;$I1439)</f>
        <v/>
      </c>
    </row>
    <row r="1440" customFormat="false" ht="15" hidden="false" customHeight="true" outlineLevel="0" collapsed="false">
      <c r="H1440" s="14" t="b">
        <f aca="false">IF(중복검사!$A1438="",FALSE(),중복검사!$J1438="유지")</f>
        <v>0</v>
      </c>
      <c r="I1440" s="5" t="str">
        <f aca="false">IF($H1440=FALSE(),"",COUNTIF($H$6:$H1440,TRUE()))</f>
        <v/>
      </c>
      <c r="J1440" s="5" t="str">
        <f aca="false">IF($I1440="","","R"&amp;$I1440)</f>
        <v/>
      </c>
    </row>
    <row r="1441" customFormat="false" ht="15" hidden="false" customHeight="true" outlineLevel="0" collapsed="false">
      <c r="H1441" s="14" t="b">
        <f aca="false">IF(중복검사!$A1439="",FALSE(),중복검사!$J1439="유지")</f>
        <v>0</v>
      </c>
      <c r="I1441" s="5" t="str">
        <f aca="false">IF($H1441=FALSE(),"",COUNTIF($H$6:$H1441,TRUE()))</f>
        <v/>
      </c>
      <c r="J1441" s="5" t="str">
        <f aca="false">IF($I1441="","","R"&amp;$I1441)</f>
        <v/>
      </c>
    </row>
    <row r="1442" customFormat="false" ht="15" hidden="false" customHeight="true" outlineLevel="0" collapsed="false">
      <c r="H1442" s="14" t="b">
        <f aca="false">IF(중복검사!$A1440="",FALSE(),중복검사!$J1440="유지")</f>
        <v>0</v>
      </c>
      <c r="I1442" s="5" t="str">
        <f aca="false">IF($H1442=FALSE(),"",COUNTIF($H$6:$H1442,TRUE()))</f>
        <v/>
      </c>
      <c r="J1442" s="5" t="str">
        <f aca="false">IF($I1442="","","R"&amp;$I1442)</f>
        <v/>
      </c>
    </row>
    <row r="1443" customFormat="false" ht="15" hidden="false" customHeight="true" outlineLevel="0" collapsed="false">
      <c r="H1443" s="14" t="b">
        <f aca="false">IF(중복검사!$A1441="",FALSE(),중복검사!$J1441="유지")</f>
        <v>0</v>
      </c>
      <c r="I1443" s="5" t="str">
        <f aca="false">IF($H1443=FALSE(),"",COUNTIF($H$6:$H1443,TRUE()))</f>
        <v/>
      </c>
      <c r="J1443" s="5" t="str">
        <f aca="false">IF($I1443="","","R"&amp;$I1443)</f>
        <v/>
      </c>
    </row>
    <row r="1444" customFormat="false" ht="15" hidden="false" customHeight="true" outlineLevel="0" collapsed="false">
      <c r="H1444" s="14" t="b">
        <f aca="false">IF(중복검사!$A1442="",FALSE(),중복검사!$J1442="유지")</f>
        <v>0</v>
      </c>
      <c r="I1444" s="5" t="str">
        <f aca="false">IF($H1444=FALSE(),"",COUNTIF($H$6:$H1444,TRUE()))</f>
        <v/>
      </c>
      <c r="J1444" s="5" t="str">
        <f aca="false">IF($I1444="","","R"&amp;$I1444)</f>
        <v/>
      </c>
    </row>
    <row r="1445" customFormat="false" ht="15" hidden="false" customHeight="true" outlineLevel="0" collapsed="false">
      <c r="H1445" s="14" t="b">
        <f aca="false">IF(중복검사!$A1443="",FALSE(),중복검사!$J1443="유지")</f>
        <v>0</v>
      </c>
      <c r="I1445" s="5" t="str">
        <f aca="false">IF($H1445=FALSE(),"",COUNTIF($H$6:$H1445,TRUE()))</f>
        <v/>
      </c>
      <c r="J1445" s="5" t="str">
        <f aca="false">IF($I1445="","","R"&amp;$I1445)</f>
        <v/>
      </c>
    </row>
    <row r="1446" customFormat="false" ht="15" hidden="false" customHeight="true" outlineLevel="0" collapsed="false">
      <c r="H1446" s="14" t="b">
        <f aca="false">IF(중복검사!$A1444="",FALSE(),중복검사!$J1444="유지")</f>
        <v>0</v>
      </c>
      <c r="I1446" s="5" t="str">
        <f aca="false">IF($H1446=FALSE(),"",COUNTIF($H$6:$H1446,TRUE()))</f>
        <v/>
      </c>
      <c r="J1446" s="5" t="str">
        <f aca="false">IF($I1446="","","R"&amp;$I1446)</f>
        <v/>
      </c>
    </row>
    <row r="1447" customFormat="false" ht="15" hidden="false" customHeight="true" outlineLevel="0" collapsed="false">
      <c r="H1447" s="14" t="b">
        <f aca="false">IF(중복검사!$A1445="",FALSE(),중복검사!$J1445="유지")</f>
        <v>0</v>
      </c>
      <c r="I1447" s="5" t="str">
        <f aca="false">IF($H1447=FALSE(),"",COUNTIF($H$6:$H1447,TRUE()))</f>
        <v/>
      </c>
      <c r="J1447" s="5" t="str">
        <f aca="false">IF($I1447="","","R"&amp;$I1447)</f>
        <v/>
      </c>
    </row>
    <row r="1448" customFormat="false" ht="15" hidden="false" customHeight="true" outlineLevel="0" collapsed="false">
      <c r="H1448" s="14" t="b">
        <f aca="false">IF(중복검사!$A1446="",FALSE(),중복검사!$J1446="유지")</f>
        <v>0</v>
      </c>
      <c r="I1448" s="5" t="str">
        <f aca="false">IF($H1448=FALSE(),"",COUNTIF($H$6:$H1448,TRUE()))</f>
        <v/>
      </c>
      <c r="J1448" s="5" t="str">
        <f aca="false">IF($I1448="","","R"&amp;$I1448)</f>
        <v/>
      </c>
    </row>
    <row r="1449" customFormat="false" ht="15" hidden="false" customHeight="true" outlineLevel="0" collapsed="false">
      <c r="H1449" s="14" t="b">
        <f aca="false">IF(중복검사!$A1447="",FALSE(),중복검사!$J1447="유지")</f>
        <v>0</v>
      </c>
      <c r="I1449" s="5" t="str">
        <f aca="false">IF($H1449=FALSE(),"",COUNTIF($H$6:$H1449,TRUE()))</f>
        <v/>
      </c>
      <c r="J1449" s="5" t="str">
        <f aca="false">IF($I1449="","","R"&amp;$I1449)</f>
        <v/>
      </c>
    </row>
    <row r="1450" customFormat="false" ht="15" hidden="false" customHeight="true" outlineLevel="0" collapsed="false">
      <c r="H1450" s="14" t="b">
        <f aca="false">IF(중복검사!$A1448="",FALSE(),중복검사!$J1448="유지")</f>
        <v>0</v>
      </c>
      <c r="I1450" s="5" t="str">
        <f aca="false">IF($H1450=FALSE(),"",COUNTIF($H$6:$H1450,TRUE()))</f>
        <v/>
      </c>
      <c r="J1450" s="5" t="str">
        <f aca="false">IF($I1450="","","R"&amp;$I1450)</f>
        <v/>
      </c>
    </row>
    <row r="1451" customFormat="false" ht="15" hidden="false" customHeight="true" outlineLevel="0" collapsed="false">
      <c r="H1451" s="14" t="b">
        <f aca="false">IF(중복검사!$A1449="",FALSE(),중복검사!$J1449="유지")</f>
        <v>0</v>
      </c>
      <c r="I1451" s="5" t="str">
        <f aca="false">IF($H1451=FALSE(),"",COUNTIF($H$6:$H1451,TRUE()))</f>
        <v/>
      </c>
      <c r="J1451" s="5" t="str">
        <f aca="false">IF($I1451="","","R"&amp;$I1451)</f>
        <v/>
      </c>
    </row>
    <row r="1452" customFormat="false" ht="15" hidden="false" customHeight="true" outlineLevel="0" collapsed="false">
      <c r="H1452" s="14" t="b">
        <f aca="false">IF(중복검사!$A1450="",FALSE(),중복검사!$J1450="유지")</f>
        <v>0</v>
      </c>
      <c r="I1452" s="5" t="str">
        <f aca="false">IF($H1452=FALSE(),"",COUNTIF($H$6:$H1452,TRUE()))</f>
        <v/>
      </c>
      <c r="J1452" s="5" t="str">
        <f aca="false">IF($I1452="","","R"&amp;$I1452)</f>
        <v/>
      </c>
    </row>
    <row r="1453" customFormat="false" ht="15" hidden="false" customHeight="true" outlineLevel="0" collapsed="false">
      <c r="H1453" s="14" t="b">
        <f aca="false">IF(중복검사!$A1451="",FALSE(),중복검사!$J1451="유지")</f>
        <v>0</v>
      </c>
      <c r="I1453" s="5" t="str">
        <f aca="false">IF($H1453=FALSE(),"",COUNTIF($H$6:$H1453,TRUE()))</f>
        <v/>
      </c>
      <c r="J1453" s="5" t="str">
        <f aca="false">IF($I1453="","","R"&amp;$I1453)</f>
        <v/>
      </c>
    </row>
    <row r="1454" customFormat="false" ht="15" hidden="false" customHeight="true" outlineLevel="0" collapsed="false">
      <c r="H1454" s="14" t="b">
        <f aca="false">IF(중복검사!$A1452="",FALSE(),중복검사!$J1452="유지")</f>
        <v>0</v>
      </c>
      <c r="I1454" s="5" t="str">
        <f aca="false">IF($H1454=FALSE(),"",COUNTIF($H$6:$H1454,TRUE()))</f>
        <v/>
      </c>
      <c r="J1454" s="5" t="str">
        <f aca="false">IF($I1454="","","R"&amp;$I1454)</f>
        <v/>
      </c>
    </row>
    <row r="1455" customFormat="false" ht="15" hidden="false" customHeight="true" outlineLevel="0" collapsed="false">
      <c r="H1455" s="14" t="b">
        <f aca="false">IF(중복검사!$A1453="",FALSE(),중복검사!$J1453="유지")</f>
        <v>0</v>
      </c>
      <c r="I1455" s="5" t="str">
        <f aca="false">IF($H1455=FALSE(),"",COUNTIF($H$6:$H1455,TRUE()))</f>
        <v/>
      </c>
      <c r="J1455" s="5" t="str">
        <f aca="false">IF($I1455="","","R"&amp;$I1455)</f>
        <v/>
      </c>
    </row>
    <row r="1456" customFormat="false" ht="15" hidden="false" customHeight="true" outlineLevel="0" collapsed="false">
      <c r="H1456" s="14" t="b">
        <f aca="false">IF(중복검사!$A1454="",FALSE(),중복검사!$J1454="유지")</f>
        <v>0</v>
      </c>
      <c r="I1456" s="5" t="str">
        <f aca="false">IF($H1456=FALSE(),"",COUNTIF($H$6:$H1456,TRUE()))</f>
        <v/>
      </c>
      <c r="J1456" s="5" t="str">
        <f aca="false">IF($I1456="","","R"&amp;$I1456)</f>
        <v/>
      </c>
    </row>
    <row r="1457" customFormat="false" ht="15" hidden="false" customHeight="true" outlineLevel="0" collapsed="false">
      <c r="H1457" s="14" t="b">
        <f aca="false">IF(중복검사!$A1455="",FALSE(),중복검사!$J1455="유지")</f>
        <v>0</v>
      </c>
      <c r="I1457" s="5" t="str">
        <f aca="false">IF($H1457=FALSE(),"",COUNTIF($H$6:$H1457,TRUE()))</f>
        <v/>
      </c>
      <c r="J1457" s="5" t="str">
        <f aca="false">IF($I1457="","","R"&amp;$I1457)</f>
        <v/>
      </c>
    </row>
    <row r="1458" customFormat="false" ht="15" hidden="false" customHeight="true" outlineLevel="0" collapsed="false">
      <c r="H1458" s="14" t="b">
        <f aca="false">IF(중복검사!$A1456="",FALSE(),중복검사!$J1456="유지")</f>
        <v>0</v>
      </c>
      <c r="I1458" s="5" t="str">
        <f aca="false">IF($H1458=FALSE(),"",COUNTIF($H$6:$H1458,TRUE()))</f>
        <v/>
      </c>
      <c r="J1458" s="5" t="str">
        <f aca="false">IF($I1458="","","R"&amp;$I1458)</f>
        <v/>
      </c>
    </row>
    <row r="1459" customFormat="false" ht="15" hidden="false" customHeight="true" outlineLevel="0" collapsed="false">
      <c r="H1459" s="14" t="b">
        <f aca="false">IF(중복검사!$A1457="",FALSE(),중복검사!$J1457="유지")</f>
        <v>0</v>
      </c>
      <c r="I1459" s="5" t="str">
        <f aca="false">IF($H1459=FALSE(),"",COUNTIF($H$6:$H1459,TRUE()))</f>
        <v/>
      </c>
      <c r="J1459" s="5" t="str">
        <f aca="false">IF($I1459="","","R"&amp;$I1459)</f>
        <v/>
      </c>
    </row>
    <row r="1460" customFormat="false" ht="15" hidden="false" customHeight="true" outlineLevel="0" collapsed="false">
      <c r="H1460" s="14" t="b">
        <f aca="false">IF(중복검사!$A1458="",FALSE(),중복검사!$J1458="유지")</f>
        <v>0</v>
      </c>
      <c r="I1460" s="5" t="str">
        <f aca="false">IF($H1460=FALSE(),"",COUNTIF($H$6:$H1460,TRUE()))</f>
        <v/>
      </c>
      <c r="J1460" s="5" t="str">
        <f aca="false">IF($I1460="","","R"&amp;$I1460)</f>
        <v/>
      </c>
    </row>
    <row r="1461" customFormat="false" ht="15" hidden="false" customHeight="true" outlineLevel="0" collapsed="false">
      <c r="H1461" s="14" t="b">
        <f aca="false">IF(중복검사!$A1459="",FALSE(),중복검사!$J1459="유지")</f>
        <v>0</v>
      </c>
      <c r="I1461" s="5" t="str">
        <f aca="false">IF($H1461=FALSE(),"",COUNTIF($H$6:$H1461,TRUE()))</f>
        <v/>
      </c>
      <c r="J1461" s="5" t="str">
        <f aca="false">IF($I1461="","","R"&amp;$I1461)</f>
        <v/>
      </c>
    </row>
    <row r="1462" customFormat="false" ht="15" hidden="false" customHeight="true" outlineLevel="0" collapsed="false">
      <c r="H1462" s="14" t="b">
        <f aca="false">IF(중복검사!$A1460="",FALSE(),중복검사!$J1460="유지")</f>
        <v>0</v>
      </c>
      <c r="I1462" s="5" t="str">
        <f aca="false">IF($H1462=FALSE(),"",COUNTIF($H$6:$H1462,TRUE()))</f>
        <v/>
      </c>
      <c r="J1462" s="5" t="str">
        <f aca="false">IF($I1462="","","R"&amp;$I1462)</f>
        <v/>
      </c>
    </row>
    <row r="1463" customFormat="false" ht="15" hidden="false" customHeight="true" outlineLevel="0" collapsed="false">
      <c r="H1463" s="14" t="b">
        <f aca="false">IF(중복검사!$A1461="",FALSE(),중복검사!$J1461="유지")</f>
        <v>0</v>
      </c>
      <c r="I1463" s="5" t="str">
        <f aca="false">IF($H1463=FALSE(),"",COUNTIF($H$6:$H1463,TRUE()))</f>
        <v/>
      </c>
      <c r="J1463" s="5" t="str">
        <f aca="false">IF($I1463="","","R"&amp;$I1463)</f>
        <v/>
      </c>
    </row>
    <row r="1464" customFormat="false" ht="15" hidden="false" customHeight="true" outlineLevel="0" collapsed="false">
      <c r="H1464" s="14" t="b">
        <f aca="false">IF(중복검사!$A1462="",FALSE(),중복검사!$J1462="유지")</f>
        <v>0</v>
      </c>
      <c r="I1464" s="5" t="str">
        <f aca="false">IF($H1464=FALSE(),"",COUNTIF($H$6:$H1464,TRUE()))</f>
        <v/>
      </c>
      <c r="J1464" s="5" t="str">
        <f aca="false">IF($I1464="","","R"&amp;$I1464)</f>
        <v/>
      </c>
    </row>
    <row r="1465" customFormat="false" ht="15" hidden="false" customHeight="true" outlineLevel="0" collapsed="false">
      <c r="H1465" s="14" t="b">
        <f aca="false">IF(중복검사!$A1463="",FALSE(),중복검사!$J1463="유지")</f>
        <v>0</v>
      </c>
      <c r="I1465" s="5" t="str">
        <f aca="false">IF($H1465=FALSE(),"",COUNTIF($H$6:$H1465,TRUE()))</f>
        <v/>
      </c>
      <c r="J1465" s="5" t="str">
        <f aca="false">IF($I1465="","","R"&amp;$I1465)</f>
        <v/>
      </c>
    </row>
    <row r="1466" customFormat="false" ht="15" hidden="false" customHeight="true" outlineLevel="0" collapsed="false">
      <c r="H1466" s="14" t="b">
        <f aca="false">IF(중복검사!$A1464="",FALSE(),중복검사!$J1464="유지")</f>
        <v>0</v>
      </c>
      <c r="I1466" s="5" t="str">
        <f aca="false">IF($H1466=FALSE(),"",COUNTIF($H$6:$H1466,TRUE()))</f>
        <v/>
      </c>
      <c r="J1466" s="5" t="str">
        <f aca="false">IF($I1466="","","R"&amp;$I1466)</f>
        <v/>
      </c>
    </row>
    <row r="1467" customFormat="false" ht="15" hidden="false" customHeight="true" outlineLevel="0" collapsed="false">
      <c r="H1467" s="14" t="b">
        <f aca="false">IF(중복검사!$A1465="",FALSE(),중복검사!$J1465="유지")</f>
        <v>0</v>
      </c>
      <c r="I1467" s="5" t="str">
        <f aca="false">IF($H1467=FALSE(),"",COUNTIF($H$6:$H1467,TRUE()))</f>
        <v/>
      </c>
      <c r="J1467" s="5" t="str">
        <f aca="false">IF($I1467="","","R"&amp;$I1467)</f>
        <v/>
      </c>
    </row>
    <row r="1468" customFormat="false" ht="15" hidden="false" customHeight="true" outlineLevel="0" collapsed="false">
      <c r="H1468" s="14" t="b">
        <f aca="false">IF(중복검사!$A1466="",FALSE(),중복검사!$J1466="유지")</f>
        <v>0</v>
      </c>
      <c r="I1468" s="5" t="str">
        <f aca="false">IF($H1468=FALSE(),"",COUNTIF($H$6:$H1468,TRUE()))</f>
        <v/>
      </c>
      <c r="J1468" s="5" t="str">
        <f aca="false">IF($I1468="","","R"&amp;$I1468)</f>
        <v/>
      </c>
    </row>
    <row r="1469" customFormat="false" ht="15" hidden="false" customHeight="true" outlineLevel="0" collapsed="false">
      <c r="H1469" s="14" t="b">
        <f aca="false">IF(중복검사!$A1467="",FALSE(),중복검사!$J1467="유지")</f>
        <v>0</v>
      </c>
      <c r="I1469" s="5" t="str">
        <f aca="false">IF($H1469=FALSE(),"",COUNTIF($H$6:$H1469,TRUE()))</f>
        <v/>
      </c>
      <c r="J1469" s="5" t="str">
        <f aca="false">IF($I1469="","","R"&amp;$I1469)</f>
        <v/>
      </c>
    </row>
    <row r="1470" customFormat="false" ht="15" hidden="false" customHeight="true" outlineLevel="0" collapsed="false">
      <c r="H1470" s="14" t="b">
        <f aca="false">IF(중복검사!$A1468="",FALSE(),중복검사!$J1468="유지")</f>
        <v>0</v>
      </c>
      <c r="I1470" s="5" t="str">
        <f aca="false">IF($H1470=FALSE(),"",COUNTIF($H$6:$H1470,TRUE()))</f>
        <v/>
      </c>
      <c r="J1470" s="5" t="str">
        <f aca="false">IF($I1470="","","R"&amp;$I1470)</f>
        <v/>
      </c>
    </row>
    <row r="1471" customFormat="false" ht="15" hidden="false" customHeight="true" outlineLevel="0" collapsed="false">
      <c r="H1471" s="14" t="b">
        <f aca="false">IF(중복검사!$A1469="",FALSE(),중복검사!$J1469="유지")</f>
        <v>0</v>
      </c>
      <c r="I1471" s="5" t="str">
        <f aca="false">IF($H1471=FALSE(),"",COUNTIF($H$6:$H1471,TRUE()))</f>
        <v/>
      </c>
      <c r="J1471" s="5" t="str">
        <f aca="false">IF($I1471="","","R"&amp;$I1471)</f>
        <v/>
      </c>
    </row>
    <row r="1472" customFormat="false" ht="15" hidden="false" customHeight="true" outlineLevel="0" collapsed="false">
      <c r="H1472" s="14" t="b">
        <f aca="false">IF(중복검사!$A1470="",FALSE(),중복검사!$J1470="유지")</f>
        <v>0</v>
      </c>
      <c r="I1472" s="5" t="str">
        <f aca="false">IF($H1472=FALSE(),"",COUNTIF($H$6:$H1472,TRUE()))</f>
        <v/>
      </c>
      <c r="J1472" s="5" t="str">
        <f aca="false">IF($I1472="","","R"&amp;$I1472)</f>
        <v/>
      </c>
    </row>
    <row r="1473" customFormat="false" ht="15" hidden="false" customHeight="true" outlineLevel="0" collapsed="false">
      <c r="H1473" s="14" t="b">
        <f aca="false">IF(중복검사!$A1471="",FALSE(),중복검사!$J1471="유지")</f>
        <v>0</v>
      </c>
      <c r="I1473" s="5" t="str">
        <f aca="false">IF($H1473=FALSE(),"",COUNTIF($H$6:$H1473,TRUE()))</f>
        <v/>
      </c>
      <c r="J1473" s="5" t="str">
        <f aca="false">IF($I1473="","","R"&amp;$I1473)</f>
        <v/>
      </c>
    </row>
    <row r="1474" customFormat="false" ht="15" hidden="false" customHeight="true" outlineLevel="0" collapsed="false">
      <c r="H1474" s="14" t="b">
        <f aca="false">IF(중복검사!$A1472="",FALSE(),중복검사!$J1472="유지")</f>
        <v>0</v>
      </c>
      <c r="I1474" s="5" t="str">
        <f aca="false">IF($H1474=FALSE(),"",COUNTIF($H$6:$H1474,TRUE()))</f>
        <v/>
      </c>
      <c r="J1474" s="5" t="str">
        <f aca="false">IF($I1474="","","R"&amp;$I1474)</f>
        <v/>
      </c>
    </row>
    <row r="1475" customFormat="false" ht="15" hidden="false" customHeight="true" outlineLevel="0" collapsed="false">
      <c r="H1475" s="14" t="b">
        <f aca="false">IF(중복검사!$A1473="",FALSE(),중복검사!$J1473="유지")</f>
        <v>0</v>
      </c>
      <c r="I1475" s="5" t="str">
        <f aca="false">IF($H1475=FALSE(),"",COUNTIF($H$6:$H1475,TRUE()))</f>
        <v/>
      </c>
      <c r="J1475" s="5" t="str">
        <f aca="false">IF($I1475="","","R"&amp;$I1475)</f>
        <v/>
      </c>
    </row>
    <row r="1476" customFormat="false" ht="15" hidden="false" customHeight="true" outlineLevel="0" collapsed="false">
      <c r="H1476" s="14" t="b">
        <f aca="false">IF(중복검사!$A1474="",FALSE(),중복검사!$J1474="유지")</f>
        <v>0</v>
      </c>
      <c r="I1476" s="5" t="str">
        <f aca="false">IF($H1476=FALSE(),"",COUNTIF($H$6:$H1476,TRUE()))</f>
        <v/>
      </c>
      <c r="J1476" s="5" t="str">
        <f aca="false">IF($I1476="","","R"&amp;$I1476)</f>
        <v/>
      </c>
    </row>
    <row r="1477" customFormat="false" ht="15" hidden="false" customHeight="true" outlineLevel="0" collapsed="false">
      <c r="H1477" s="14" t="b">
        <f aca="false">IF(중복검사!$A1475="",FALSE(),중복검사!$J1475="유지")</f>
        <v>0</v>
      </c>
      <c r="I1477" s="5" t="str">
        <f aca="false">IF($H1477=FALSE(),"",COUNTIF($H$6:$H1477,TRUE()))</f>
        <v/>
      </c>
      <c r="J1477" s="5" t="str">
        <f aca="false">IF($I1477="","","R"&amp;$I1477)</f>
        <v/>
      </c>
    </row>
    <row r="1478" customFormat="false" ht="15" hidden="false" customHeight="true" outlineLevel="0" collapsed="false">
      <c r="H1478" s="14" t="b">
        <f aca="false">IF(중복검사!$A1476="",FALSE(),중복검사!$J1476="유지")</f>
        <v>0</v>
      </c>
      <c r="I1478" s="5" t="str">
        <f aca="false">IF($H1478=FALSE(),"",COUNTIF($H$6:$H1478,TRUE()))</f>
        <v/>
      </c>
      <c r="J1478" s="5" t="str">
        <f aca="false">IF($I1478="","","R"&amp;$I1478)</f>
        <v/>
      </c>
    </row>
    <row r="1479" customFormat="false" ht="15" hidden="false" customHeight="true" outlineLevel="0" collapsed="false">
      <c r="H1479" s="14" t="b">
        <f aca="false">IF(중복검사!$A1477="",FALSE(),중복검사!$J1477="유지")</f>
        <v>0</v>
      </c>
      <c r="I1479" s="5" t="str">
        <f aca="false">IF($H1479=FALSE(),"",COUNTIF($H$6:$H1479,TRUE()))</f>
        <v/>
      </c>
      <c r="J1479" s="5" t="str">
        <f aca="false">IF($I1479="","","R"&amp;$I1479)</f>
        <v/>
      </c>
    </row>
    <row r="1480" customFormat="false" ht="15" hidden="false" customHeight="true" outlineLevel="0" collapsed="false">
      <c r="H1480" s="14" t="b">
        <f aca="false">IF(중복검사!$A1478="",FALSE(),중복검사!$J1478="유지")</f>
        <v>0</v>
      </c>
      <c r="I1480" s="5" t="str">
        <f aca="false">IF($H1480=FALSE(),"",COUNTIF($H$6:$H1480,TRUE()))</f>
        <v/>
      </c>
      <c r="J1480" s="5" t="str">
        <f aca="false">IF($I1480="","","R"&amp;$I1480)</f>
        <v/>
      </c>
    </row>
    <row r="1481" customFormat="false" ht="15" hidden="false" customHeight="true" outlineLevel="0" collapsed="false">
      <c r="H1481" s="14" t="b">
        <f aca="false">IF(중복검사!$A1479="",FALSE(),중복검사!$J1479="유지")</f>
        <v>0</v>
      </c>
      <c r="I1481" s="5" t="str">
        <f aca="false">IF($H1481=FALSE(),"",COUNTIF($H$6:$H1481,TRUE()))</f>
        <v/>
      </c>
      <c r="J1481" s="5" t="str">
        <f aca="false">IF($I1481="","","R"&amp;$I1481)</f>
        <v/>
      </c>
    </row>
    <row r="1482" customFormat="false" ht="15" hidden="false" customHeight="true" outlineLevel="0" collapsed="false">
      <c r="H1482" s="14" t="b">
        <f aca="false">IF(중복검사!$A1480="",FALSE(),중복검사!$J1480="유지")</f>
        <v>0</v>
      </c>
      <c r="I1482" s="5" t="str">
        <f aca="false">IF($H1482=FALSE(),"",COUNTIF($H$6:$H1482,TRUE()))</f>
        <v/>
      </c>
      <c r="J1482" s="5" t="str">
        <f aca="false">IF($I1482="","","R"&amp;$I1482)</f>
        <v/>
      </c>
    </row>
    <row r="1483" customFormat="false" ht="15" hidden="false" customHeight="true" outlineLevel="0" collapsed="false">
      <c r="H1483" s="14" t="b">
        <f aca="false">IF(중복검사!$A1481="",FALSE(),중복검사!$J1481="유지")</f>
        <v>0</v>
      </c>
      <c r="I1483" s="5" t="str">
        <f aca="false">IF($H1483=FALSE(),"",COUNTIF($H$6:$H1483,TRUE()))</f>
        <v/>
      </c>
      <c r="J1483" s="5" t="str">
        <f aca="false">IF($I1483="","","R"&amp;$I1483)</f>
        <v/>
      </c>
    </row>
    <row r="1484" customFormat="false" ht="15" hidden="false" customHeight="true" outlineLevel="0" collapsed="false">
      <c r="H1484" s="14" t="b">
        <f aca="false">IF(중복검사!$A1482="",FALSE(),중복검사!$J1482="유지")</f>
        <v>0</v>
      </c>
      <c r="I1484" s="5" t="str">
        <f aca="false">IF($H1484=FALSE(),"",COUNTIF($H$6:$H1484,TRUE()))</f>
        <v/>
      </c>
      <c r="J1484" s="5" t="str">
        <f aca="false">IF($I1484="","","R"&amp;$I1484)</f>
        <v/>
      </c>
    </row>
    <row r="1485" customFormat="false" ht="15" hidden="false" customHeight="true" outlineLevel="0" collapsed="false">
      <c r="H1485" s="14" t="b">
        <f aca="false">IF(중복검사!$A1483="",FALSE(),중복검사!$J1483="유지")</f>
        <v>0</v>
      </c>
      <c r="I1485" s="5" t="str">
        <f aca="false">IF($H1485=FALSE(),"",COUNTIF($H$6:$H1485,TRUE()))</f>
        <v/>
      </c>
      <c r="J1485" s="5" t="str">
        <f aca="false">IF($I1485="","","R"&amp;$I1485)</f>
        <v/>
      </c>
    </row>
    <row r="1486" customFormat="false" ht="15" hidden="false" customHeight="true" outlineLevel="0" collapsed="false">
      <c r="H1486" s="14" t="b">
        <f aca="false">IF(중복검사!$A1484="",FALSE(),중복검사!$J1484="유지")</f>
        <v>0</v>
      </c>
      <c r="I1486" s="5" t="str">
        <f aca="false">IF($H1486=FALSE(),"",COUNTIF($H$6:$H1486,TRUE()))</f>
        <v/>
      </c>
      <c r="J1486" s="5" t="str">
        <f aca="false">IF($I1486="","","R"&amp;$I1486)</f>
        <v/>
      </c>
    </row>
    <row r="1487" customFormat="false" ht="15" hidden="false" customHeight="true" outlineLevel="0" collapsed="false">
      <c r="H1487" s="14" t="b">
        <f aca="false">IF(중복검사!$A1485="",FALSE(),중복검사!$J1485="유지")</f>
        <v>0</v>
      </c>
      <c r="I1487" s="5" t="str">
        <f aca="false">IF($H1487=FALSE(),"",COUNTIF($H$6:$H1487,TRUE()))</f>
        <v/>
      </c>
      <c r="J1487" s="5" t="str">
        <f aca="false">IF($I1487="","","R"&amp;$I1487)</f>
        <v/>
      </c>
    </row>
    <row r="1488" customFormat="false" ht="15" hidden="false" customHeight="true" outlineLevel="0" collapsed="false">
      <c r="H1488" s="14" t="b">
        <f aca="false">IF(중복검사!$A1486="",FALSE(),중복검사!$J1486="유지")</f>
        <v>0</v>
      </c>
      <c r="I1488" s="5" t="str">
        <f aca="false">IF($H1488=FALSE(),"",COUNTIF($H$6:$H1488,TRUE()))</f>
        <v/>
      </c>
      <c r="J1488" s="5" t="str">
        <f aca="false">IF($I1488="","","R"&amp;$I1488)</f>
        <v/>
      </c>
    </row>
    <row r="1489" customFormat="false" ht="15" hidden="false" customHeight="true" outlineLevel="0" collapsed="false">
      <c r="H1489" s="14" t="b">
        <f aca="false">IF(중복검사!$A1487="",FALSE(),중복검사!$J1487="유지")</f>
        <v>0</v>
      </c>
      <c r="I1489" s="5" t="str">
        <f aca="false">IF($H1489=FALSE(),"",COUNTIF($H$6:$H1489,TRUE()))</f>
        <v/>
      </c>
      <c r="J1489" s="5" t="str">
        <f aca="false">IF($I1489="","","R"&amp;$I1489)</f>
        <v/>
      </c>
    </row>
    <row r="1490" customFormat="false" ht="15" hidden="false" customHeight="true" outlineLevel="0" collapsed="false">
      <c r="H1490" s="14" t="b">
        <f aca="false">IF(중복검사!$A1488="",FALSE(),중복검사!$J1488="유지")</f>
        <v>0</v>
      </c>
      <c r="I1490" s="5" t="str">
        <f aca="false">IF($H1490=FALSE(),"",COUNTIF($H$6:$H1490,TRUE()))</f>
        <v/>
      </c>
      <c r="J1490" s="5" t="str">
        <f aca="false">IF($I1490="","","R"&amp;$I1490)</f>
        <v/>
      </c>
    </row>
    <row r="1491" customFormat="false" ht="15" hidden="false" customHeight="true" outlineLevel="0" collapsed="false">
      <c r="H1491" s="14" t="b">
        <f aca="false">IF(중복검사!$A1489="",FALSE(),중복검사!$J1489="유지")</f>
        <v>0</v>
      </c>
      <c r="I1491" s="5" t="str">
        <f aca="false">IF($H1491=FALSE(),"",COUNTIF($H$6:$H1491,TRUE()))</f>
        <v/>
      </c>
      <c r="J1491" s="5" t="str">
        <f aca="false">IF($I1491="","","R"&amp;$I1491)</f>
        <v/>
      </c>
    </row>
    <row r="1492" customFormat="false" ht="15" hidden="false" customHeight="true" outlineLevel="0" collapsed="false">
      <c r="H1492" s="14" t="b">
        <f aca="false">IF(중복검사!$A1490="",FALSE(),중복검사!$J1490="유지")</f>
        <v>0</v>
      </c>
      <c r="I1492" s="5" t="str">
        <f aca="false">IF($H1492=FALSE(),"",COUNTIF($H$6:$H1492,TRUE()))</f>
        <v/>
      </c>
      <c r="J1492" s="5" t="str">
        <f aca="false">IF($I1492="","","R"&amp;$I1492)</f>
        <v/>
      </c>
    </row>
    <row r="1493" customFormat="false" ht="15" hidden="false" customHeight="true" outlineLevel="0" collapsed="false">
      <c r="H1493" s="14" t="b">
        <f aca="false">IF(중복검사!$A1491="",FALSE(),중복검사!$J1491="유지")</f>
        <v>0</v>
      </c>
      <c r="I1493" s="5" t="str">
        <f aca="false">IF($H1493=FALSE(),"",COUNTIF($H$6:$H1493,TRUE()))</f>
        <v/>
      </c>
      <c r="J1493" s="5" t="str">
        <f aca="false">IF($I1493="","","R"&amp;$I1493)</f>
        <v/>
      </c>
    </row>
    <row r="1494" customFormat="false" ht="15" hidden="false" customHeight="true" outlineLevel="0" collapsed="false">
      <c r="H1494" s="14" t="b">
        <f aca="false">IF(중복검사!$A1492="",FALSE(),중복검사!$J1492="유지")</f>
        <v>0</v>
      </c>
      <c r="I1494" s="5" t="str">
        <f aca="false">IF($H1494=FALSE(),"",COUNTIF($H$6:$H1494,TRUE()))</f>
        <v/>
      </c>
      <c r="J1494" s="5" t="str">
        <f aca="false">IF($I1494="","","R"&amp;$I1494)</f>
        <v/>
      </c>
    </row>
    <row r="1495" customFormat="false" ht="15" hidden="false" customHeight="true" outlineLevel="0" collapsed="false">
      <c r="H1495" s="14" t="b">
        <f aca="false">IF(중복검사!$A1493="",FALSE(),중복검사!$J1493="유지")</f>
        <v>0</v>
      </c>
      <c r="I1495" s="5" t="str">
        <f aca="false">IF($H1495=FALSE(),"",COUNTIF($H$6:$H1495,TRUE()))</f>
        <v/>
      </c>
      <c r="J1495" s="5" t="str">
        <f aca="false">IF($I1495="","","R"&amp;$I1495)</f>
        <v/>
      </c>
    </row>
    <row r="1496" customFormat="false" ht="15" hidden="false" customHeight="true" outlineLevel="0" collapsed="false">
      <c r="H1496" s="14" t="b">
        <f aca="false">IF(중복검사!$A1494="",FALSE(),중복검사!$J1494="유지")</f>
        <v>0</v>
      </c>
      <c r="I1496" s="5" t="str">
        <f aca="false">IF($H1496=FALSE(),"",COUNTIF($H$6:$H1496,TRUE()))</f>
        <v/>
      </c>
      <c r="J1496" s="5" t="str">
        <f aca="false">IF($I1496="","","R"&amp;$I1496)</f>
        <v/>
      </c>
    </row>
    <row r="1497" customFormat="false" ht="15" hidden="false" customHeight="true" outlineLevel="0" collapsed="false">
      <c r="H1497" s="14" t="b">
        <f aca="false">IF(중복검사!$A1495="",FALSE(),중복검사!$J1495="유지")</f>
        <v>0</v>
      </c>
      <c r="I1497" s="5" t="str">
        <f aca="false">IF($H1497=FALSE(),"",COUNTIF($H$6:$H1497,TRUE()))</f>
        <v/>
      </c>
      <c r="J1497" s="5" t="str">
        <f aca="false">IF($I1497="","","R"&amp;$I1497)</f>
        <v/>
      </c>
    </row>
    <row r="1498" customFormat="false" ht="15" hidden="false" customHeight="true" outlineLevel="0" collapsed="false">
      <c r="H1498" s="14" t="b">
        <f aca="false">IF(중복검사!$A1496="",FALSE(),중복검사!$J1496="유지")</f>
        <v>0</v>
      </c>
      <c r="I1498" s="5" t="str">
        <f aca="false">IF($H1498=FALSE(),"",COUNTIF($H$6:$H1498,TRUE()))</f>
        <v/>
      </c>
      <c r="J1498" s="5" t="str">
        <f aca="false">IF($I1498="","","R"&amp;$I1498)</f>
        <v/>
      </c>
    </row>
    <row r="1499" customFormat="false" ht="15" hidden="false" customHeight="true" outlineLevel="0" collapsed="false">
      <c r="H1499" s="14" t="b">
        <f aca="false">IF(중복검사!$A1497="",FALSE(),중복검사!$J1497="유지")</f>
        <v>0</v>
      </c>
      <c r="I1499" s="5" t="str">
        <f aca="false">IF($H1499=FALSE(),"",COUNTIF($H$6:$H1499,TRUE()))</f>
        <v/>
      </c>
      <c r="J1499" s="5" t="str">
        <f aca="false">IF($I1499="","","R"&amp;$I1499)</f>
        <v/>
      </c>
    </row>
    <row r="1500" customFormat="false" ht="15" hidden="false" customHeight="true" outlineLevel="0" collapsed="false">
      <c r="H1500" s="14" t="b">
        <f aca="false">IF(중복검사!$A1498="",FALSE(),중복검사!$J1498="유지")</f>
        <v>0</v>
      </c>
      <c r="I1500" s="5" t="str">
        <f aca="false">IF($H1500=FALSE(),"",COUNTIF($H$6:$H1500,TRUE()))</f>
        <v/>
      </c>
      <c r="J1500" s="5" t="str">
        <f aca="false">IF($I1500="","","R"&amp;$I1500)</f>
        <v/>
      </c>
    </row>
    <row r="1501" customFormat="false" ht="15" hidden="false" customHeight="true" outlineLevel="0" collapsed="false">
      <c r="H1501" s="14" t="b">
        <f aca="false">IF(중복검사!$A1499="",FALSE(),중복검사!$J1499="유지")</f>
        <v>0</v>
      </c>
      <c r="I1501" s="5" t="str">
        <f aca="false">IF($H1501=FALSE(),"",COUNTIF($H$6:$H1501,TRUE()))</f>
        <v/>
      </c>
      <c r="J1501" s="5" t="str">
        <f aca="false">IF($I1501="","","R"&amp;$I1501)</f>
        <v/>
      </c>
    </row>
    <row r="1502" customFormat="false" ht="15" hidden="false" customHeight="true" outlineLevel="0" collapsed="false">
      <c r="H1502" s="14" t="b">
        <f aca="false">IF(중복검사!$A1500="",FALSE(),중복검사!$J1500="유지")</f>
        <v>0</v>
      </c>
      <c r="I1502" s="5" t="str">
        <f aca="false">IF($H1502=FALSE(),"",COUNTIF($H$6:$H1502,TRUE()))</f>
        <v/>
      </c>
      <c r="J1502" s="5" t="str">
        <f aca="false">IF($I1502="","","R"&amp;$I1502)</f>
        <v/>
      </c>
    </row>
    <row r="1503" customFormat="false" ht="15" hidden="false" customHeight="true" outlineLevel="0" collapsed="false">
      <c r="H1503" s="14" t="b">
        <f aca="false">IF(중복검사!$A1501="",FALSE(),중복검사!$J1501="유지")</f>
        <v>0</v>
      </c>
      <c r="I1503" s="5" t="str">
        <f aca="false">IF($H1503=FALSE(),"",COUNTIF($H$6:$H1503,TRUE()))</f>
        <v/>
      </c>
      <c r="J1503" s="5" t="str">
        <f aca="false">IF($I1503="","","R"&amp;$I1503)</f>
        <v/>
      </c>
    </row>
    <row r="1504" customFormat="false" ht="15" hidden="false" customHeight="true" outlineLevel="0" collapsed="false">
      <c r="H1504" s="14" t="b">
        <f aca="false">IF(중복검사!$A1502="",FALSE(),중복검사!$J1502="유지")</f>
        <v>0</v>
      </c>
      <c r="I1504" s="5" t="str">
        <f aca="false">IF($H1504=FALSE(),"",COUNTIF($H$6:$H1504,TRUE()))</f>
        <v/>
      </c>
      <c r="J1504" s="5" t="str">
        <f aca="false">IF($I1504="","","R"&amp;$I1504)</f>
        <v/>
      </c>
    </row>
    <row r="1505" customFormat="false" ht="15" hidden="false" customHeight="true" outlineLevel="0" collapsed="false">
      <c r="H1505" s="14" t="b">
        <f aca="false">IF(중복검사!$A1503="",FALSE(),중복검사!$J1503="유지")</f>
        <v>0</v>
      </c>
      <c r="I1505" s="5" t="str">
        <f aca="false">IF($H1505=FALSE(),"",COUNTIF($H$6:$H1505,TRUE()))</f>
        <v/>
      </c>
      <c r="J1505" s="5" t="str">
        <f aca="false">IF($I1505="","","R"&amp;$I1505)</f>
        <v/>
      </c>
    </row>
    <row r="1506" customFormat="false" ht="15" hidden="false" customHeight="true" outlineLevel="0" collapsed="false">
      <c r="H1506" s="14" t="b">
        <f aca="false">IF(중복검사!$A1504="",FALSE(),중복검사!$J1504="유지")</f>
        <v>0</v>
      </c>
      <c r="I1506" s="5" t="str">
        <f aca="false">IF($H1506=FALSE(),"",COUNTIF($H$6:$H1506,TRUE()))</f>
        <v/>
      </c>
      <c r="J1506" s="5" t="str">
        <f aca="false">IF($I1506="","","R"&amp;$I1506)</f>
        <v/>
      </c>
    </row>
    <row r="1507" customFormat="false" ht="15" hidden="false" customHeight="true" outlineLevel="0" collapsed="false">
      <c r="H1507" s="14" t="b">
        <f aca="false">IF(중복검사!$A1505="",FALSE(),중복검사!$J1505="유지")</f>
        <v>0</v>
      </c>
      <c r="I1507" s="5" t="str">
        <f aca="false">IF($H1507=FALSE(),"",COUNTIF($H$6:$H1507,TRUE()))</f>
        <v/>
      </c>
      <c r="J1507" s="5" t="str">
        <f aca="false">IF($I1507="","","R"&amp;$I1507)</f>
        <v/>
      </c>
    </row>
    <row r="1508" customFormat="false" ht="15" hidden="false" customHeight="true" outlineLevel="0" collapsed="false">
      <c r="H1508" s="14" t="b">
        <f aca="false">IF(중복검사!$A1506="",FALSE(),중복검사!$J1506="유지")</f>
        <v>0</v>
      </c>
      <c r="I1508" s="5" t="str">
        <f aca="false">IF($H1508=FALSE(),"",COUNTIF($H$6:$H1508,TRUE()))</f>
        <v/>
      </c>
      <c r="J1508" s="5" t="str">
        <f aca="false">IF($I1508="","","R"&amp;$I1508)</f>
        <v/>
      </c>
    </row>
    <row r="1509" customFormat="false" ht="15" hidden="false" customHeight="true" outlineLevel="0" collapsed="false">
      <c r="H1509" s="14" t="b">
        <f aca="false">IF(중복검사!$A1507="",FALSE(),중복검사!$J1507="유지")</f>
        <v>0</v>
      </c>
      <c r="I1509" s="5" t="str">
        <f aca="false">IF($H1509=FALSE(),"",COUNTIF($H$6:$H1509,TRUE()))</f>
        <v/>
      </c>
      <c r="J1509" s="5" t="str">
        <f aca="false">IF($I1509="","","R"&amp;$I1509)</f>
        <v/>
      </c>
    </row>
    <row r="1510" customFormat="false" ht="15" hidden="false" customHeight="true" outlineLevel="0" collapsed="false">
      <c r="H1510" s="14" t="b">
        <f aca="false">IF(중복검사!$A1508="",FALSE(),중복검사!$J1508="유지")</f>
        <v>0</v>
      </c>
      <c r="I1510" s="5" t="str">
        <f aca="false">IF($H1510=FALSE(),"",COUNTIF($H$6:$H1510,TRUE()))</f>
        <v/>
      </c>
      <c r="J1510" s="5" t="str">
        <f aca="false">IF($I1510="","","R"&amp;$I1510)</f>
        <v/>
      </c>
    </row>
    <row r="1511" customFormat="false" ht="15" hidden="false" customHeight="true" outlineLevel="0" collapsed="false">
      <c r="H1511" s="14" t="b">
        <f aca="false">IF(중복검사!$A1509="",FALSE(),중복검사!$J1509="유지")</f>
        <v>0</v>
      </c>
      <c r="I1511" s="5" t="str">
        <f aca="false">IF($H1511=FALSE(),"",COUNTIF($H$6:$H1511,TRUE()))</f>
        <v/>
      </c>
      <c r="J1511" s="5" t="str">
        <f aca="false">IF($I1511="","","R"&amp;$I1511)</f>
        <v/>
      </c>
    </row>
    <row r="1512" customFormat="false" ht="15" hidden="false" customHeight="true" outlineLevel="0" collapsed="false">
      <c r="H1512" s="14" t="b">
        <f aca="false">IF(중복검사!$A1510="",FALSE(),중복검사!$J1510="유지")</f>
        <v>0</v>
      </c>
      <c r="I1512" s="5" t="str">
        <f aca="false">IF($H1512=FALSE(),"",COUNTIF($H$6:$H1512,TRUE()))</f>
        <v/>
      </c>
      <c r="J1512" s="5" t="str">
        <f aca="false">IF($I1512="","","R"&amp;$I1512)</f>
        <v/>
      </c>
    </row>
    <row r="1513" customFormat="false" ht="15" hidden="false" customHeight="true" outlineLevel="0" collapsed="false">
      <c r="H1513" s="14" t="b">
        <f aca="false">IF(중복검사!$A1511="",FALSE(),중복검사!$J1511="유지")</f>
        <v>0</v>
      </c>
      <c r="I1513" s="5" t="str">
        <f aca="false">IF($H1513=FALSE(),"",COUNTIF($H$6:$H1513,TRUE()))</f>
        <v/>
      </c>
      <c r="J1513" s="5" t="str">
        <f aca="false">IF($I1513="","","R"&amp;$I1513)</f>
        <v/>
      </c>
    </row>
    <row r="1514" customFormat="false" ht="15" hidden="false" customHeight="true" outlineLevel="0" collapsed="false">
      <c r="H1514" s="14" t="b">
        <f aca="false">IF(중복검사!$A1512="",FALSE(),중복검사!$J1512="유지")</f>
        <v>0</v>
      </c>
      <c r="I1514" s="5" t="str">
        <f aca="false">IF($H1514=FALSE(),"",COUNTIF($H$6:$H1514,TRUE()))</f>
        <v/>
      </c>
      <c r="J1514" s="5" t="str">
        <f aca="false">IF($I1514="","","R"&amp;$I1514)</f>
        <v/>
      </c>
    </row>
    <row r="1515" customFormat="false" ht="15" hidden="false" customHeight="true" outlineLevel="0" collapsed="false">
      <c r="H1515" s="14" t="b">
        <f aca="false">IF(중복검사!$A1513="",FALSE(),중복검사!$J1513="유지")</f>
        <v>0</v>
      </c>
      <c r="I1515" s="5" t="str">
        <f aca="false">IF($H1515=FALSE(),"",COUNTIF($H$6:$H1515,TRUE()))</f>
        <v/>
      </c>
      <c r="J1515" s="5" t="str">
        <f aca="false">IF($I1515="","","R"&amp;$I1515)</f>
        <v/>
      </c>
    </row>
    <row r="1516" customFormat="false" ht="15" hidden="false" customHeight="true" outlineLevel="0" collapsed="false">
      <c r="H1516" s="14" t="b">
        <f aca="false">IF(중복검사!$A1514="",FALSE(),중복검사!$J1514="유지")</f>
        <v>0</v>
      </c>
      <c r="I1516" s="5" t="str">
        <f aca="false">IF($H1516=FALSE(),"",COUNTIF($H$6:$H1516,TRUE()))</f>
        <v/>
      </c>
      <c r="J1516" s="5" t="str">
        <f aca="false">IF($I1516="","","R"&amp;$I1516)</f>
        <v/>
      </c>
    </row>
    <row r="1517" customFormat="false" ht="15" hidden="false" customHeight="true" outlineLevel="0" collapsed="false">
      <c r="H1517" s="14" t="b">
        <f aca="false">IF(중복검사!$A1515="",FALSE(),중복검사!$J1515="유지")</f>
        <v>0</v>
      </c>
      <c r="I1517" s="5" t="str">
        <f aca="false">IF($H1517=FALSE(),"",COUNTIF($H$6:$H1517,TRUE()))</f>
        <v/>
      </c>
      <c r="J1517" s="5" t="str">
        <f aca="false">IF($I1517="","","R"&amp;$I1517)</f>
        <v/>
      </c>
    </row>
    <row r="1518" customFormat="false" ht="15" hidden="false" customHeight="true" outlineLevel="0" collapsed="false">
      <c r="H1518" s="14" t="b">
        <f aca="false">IF(중복검사!$A1516="",FALSE(),중복검사!$J1516="유지")</f>
        <v>0</v>
      </c>
      <c r="I1518" s="5" t="str">
        <f aca="false">IF($H1518=FALSE(),"",COUNTIF($H$6:$H1518,TRUE()))</f>
        <v/>
      </c>
      <c r="J1518" s="5" t="str">
        <f aca="false">IF($I1518="","","R"&amp;$I1518)</f>
        <v/>
      </c>
    </row>
    <row r="1519" customFormat="false" ht="15" hidden="false" customHeight="true" outlineLevel="0" collapsed="false">
      <c r="H1519" s="14" t="b">
        <f aca="false">IF(중복검사!$A1517="",FALSE(),중복검사!$J1517="유지")</f>
        <v>0</v>
      </c>
      <c r="I1519" s="5" t="str">
        <f aca="false">IF($H1519=FALSE(),"",COUNTIF($H$6:$H1519,TRUE()))</f>
        <v/>
      </c>
      <c r="J1519" s="5" t="str">
        <f aca="false">IF($I1519="","","R"&amp;$I1519)</f>
        <v/>
      </c>
    </row>
    <row r="1520" customFormat="false" ht="15" hidden="false" customHeight="true" outlineLevel="0" collapsed="false">
      <c r="H1520" s="14" t="b">
        <f aca="false">IF(중복검사!$A1518="",FALSE(),중복검사!$J1518="유지")</f>
        <v>0</v>
      </c>
      <c r="I1520" s="5" t="str">
        <f aca="false">IF($H1520=FALSE(),"",COUNTIF($H$6:$H1520,TRUE()))</f>
        <v/>
      </c>
      <c r="J1520" s="5" t="str">
        <f aca="false">IF($I1520="","","R"&amp;$I1520)</f>
        <v/>
      </c>
    </row>
    <row r="1521" customFormat="false" ht="15" hidden="false" customHeight="true" outlineLevel="0" collapsed="false">
      <c r="H1521" s="14" t="b">
        <f aca="false">IF(중복검사!$A1519="",FALSE(),중복검사!$J1519="유지")</f>
        <v>0</v>
      </c>
      <c r="I1521" s="5" t="str">
        <f aca="false">IF($H1521=FALSE(),"",COUNTIF($H$6:$H1521,TRUE()))</f>
        <v/>
      </c>
      <c r="J1521" s="5" t="str">
        <f aca="false">IF($I1521="","","R"&amp;$I1521)</f>
        <v/>
      </c>
    </row>
    <row r="1522" customFormat="false" ht="15" hidden="false" customHeight="true" outlineLevel="0" collapsed="false">
      <c r="H1522" s="14" t="b">
        <f aca="false">IF(중복검사!$A1520="",FALSE(),중복검사!$J1520="유지")</f>
        <v>0</v>
      </c>
      <c r="I1522" s="5" t="str">
        <f aca="false">IF($H1522=FALSE(),"",COUNTIF($H$6:$H1522,TRUE()))</f>
        <v/>
      </c>
      <c r="J1522" s="5" t="str">
        <f aca="false">IF($I1522="","","R"&amp;$I1522)</f>
        <v/>
      </c>
    </row>
    <row r="1523" customFormat="false" ht="15" hidden="false" customHeight="true" outlineLevel="0" collapsed="false">
      <c r="H1523" s="14" t="b">
        <f aca="false">IF(중복검사!$A1521="",FALSE(),중복검사!$J1521="유지")</f>
        <v>0</v>
      </c>
      <c r="I1523" s="5" t="str">
        <f aca="false">IF($H1523=FALSE(),"",COUNTIF($H$6:$H1523,TRUE()))</f>
        <v/>
      </c>
      <c r="J1523" s="5" t="str">
        <f aca="false">IF($I1523="","","R"&amp;$I1523)</f>
        <v/>
      </c>
    </row>
    <row r="1524" customFormat="false" ht="15" hidden="false" customHeight="true" outlineLevel="0" collapsed="false">
      <c r="H1524" s="14" t="b">
        <f aca="false">IF(중복검사!$A1522="",FALSE(),중복검사!$J1522="유지")</f>
        <v>0</v>
      </c>
      <c r="I1524" s="5" t="str">
        <f aca="false">IF($H1524=FALSE(),"",COUNTIF($H$6:$H1524,TRUE()))</f>
        <v/>
      </c>
      <c r="J1524" s="5" t="str">
        <f aca="false">IF($I1524="","","R"&amp;$I1524)</f>
        <v/>
      </c>
    </row>
    <row r="1525" customFormat="false" ht="15" hidden="false" customHeight="true" outlineLevel="0" collapsed="false">
      <c r="H1525" s="14" t="b">
        <f aca="false">IF(중복검사!$A1523="",FALSE(),중복검사!$J1523="유지")</f>
        <v>0</v>
      </c>
      <c r="I1525" s="5" t="str">
        <f aca="false">IF($H1525=FALSE(),"",COUNTIF($H$6:$H1525,TRUE()))</f>
        <v/>
      </c>
      <c r="J1525" s="5" t="str">
        <f aca="false">IF($I1525="","","R"&amp;$I1525)</f>
        <v/>
      </c>
    </row>
    <row r="1526" customFormat="false" ht="15" hidden="false" customHeight="true" outlineLevel="0" collapsed="false">
      <c r="H1526" s="14" t="b">
        <f aca="false">IF(중복검사!$A1524="",FALSE(),중복검사!$J1524="유지")</f>
        <v>0</v>
      </c>
      <c r="I1526" s="5" t="str">
        <f aca="false">IF($H1526=FALSE(),"",COUNTIF($H$6:$H1526,TRUE()))</f>
        <v/>
      </c>
      <c r="J1526" s="5" t="str">
        <f aca="false">IF($I1526="","","R"&amp;$I1526)</f>
        <v/>
      </c>
    </row>
    <row r="1527" customFormat="false" ht="15" hidden="false" customHeight="true" outlineLevel="0" collapsed="false">
      <c r="H1527" s="14" t="b">
        <f aca="false">IF(중복검사!$A1525="",FALSE(),중복검사!$J1525="유지")</f>
        <v>0</v>
      </c>
      <c r="I1527" s="5" t="str">
        <f aca="false">IF($H1527=FALSE(),"",COUNTIF($H$6:$H1527,TRUE()))</f>
        <v/>
      </c>
      <c r="J1527" s="5" t="str">
        <f aca="false">IF($I1527="","","R"&amp;$I1527)</f>
        <v/>
      </c>
    </row>
    <row r="1528" customFormat="false" ht="15" hidden="false" customHeight="true" outlineLevel="0" collapsed="false">
      <c r="H1528" s="14" t="b">
        <f aca="false">IF(중복검사!$A1526="",FALSE(),중복검사!$J1526="유지")</f>
        <v>0</v>
      </c>
      <c r="I1528" s="5" t="str">
        <f aca="false">IF($H1528=FALSE(),"",COUNTIF($H$6:$H1528,TRUE()))</f>
        <v/>
      </c>
      <c r="J1528" s="5" t="str">
        <f aca="false">IF($I1528="","","R"&amp;$I1528)</f>
        <v/>
      </c>
    </row>
    <row r="1529" customFormat="false" ht="15" hidden="false" customHeight="true" outlineLevel="0" collapsed="false">
      <c r="H1529" s="14" t="b">
        <f aca="false">IF(중복검사!$A1527="",FALSE(),중복검사!$J1527="유지")</f>
        <v>0</v>
      </c>
      <c r="I1529" s="5" t="str">
        <f aca="false">IF($H1529=FALSE(),"",COUNTIF($H$6:$H1529,TRUE()))</f>
        <v/>
      </c>
      <c r="J1529" s="5" t="str">
        <f aca="false">IF($I1529="","","R"&amp;$I1529)</f>
        <v/>
      </c>
    </row>
    <row r="1530" customFormat="false" ht="15" hidden="false" customHeight="true" outlineLevel="0" collapsed="false">
      <c r="H1530" s="14" t="b">
        <f aca="false">IF(중복검사!$A1528="",FALSE(),중복검사!$J1528="유지")</f>
        <v>0</v>
      </c>
      <c r="I1530" s="5" t="str">
        <f aca="false">IF($H1530=FALSE(),"",COUNTIF($H$6:$H1530,TRUE()))</f>
        <v/>
      </c>
      <c r="J1530" s="5" t="str">
        <f aca="false">IF($I1530="","","R"&amp;$I1530)</f>
        <v/>
      </c>
    </row>
    <row r="1531" customFormat="false" ht="15" hidden="false" customHeight="true" outlineLevel="0" collapsed="false">
      <c r="H1531" s="14" t="b">
        <f aca="false">IF(중복검사!$A1529="",FALSE(),중복검사!$J1529="유지")</f>
        <v>0</v>
      </c>
      <c r="I1531" s="5" t="str">
        <f aca="false">IF($H1531=FALSE(),"",COUNTIF($H$6:$H1531,TRUE()))</f>
        <v/>
      </c>
      <c r="J1531" s="5" t="str">
        <f aca="false">IF($I1531="","","R"&amp;$I1531)</f>
        <v/>
      </c>
    </row>
    <row r="1532" customFormat="false" ht="15" hidden="false" customHeight="true" outlineLevel="0" collapsed="false">
      <c r="H1532" s="14" t="b">
        <f aca="false">IF(중복검사!$A1530="",FALSE(),중복검사!$J1530="유지")</f>
        <v>0</v>
      </c>
      <c r="I1532" s="5" t="str">
        <f aca="false">IF($H1532=FALSE(),"",COUNTIF($H$6:$H1532,TRUE()))</f>
        <v/>
      </c>
      <c r="J1532" s="5" t="str">
        <f aca="false">IF($I1532="","","R"&amp;$I1532)</f>
        <v/>
      </c>
    </row>
    <row r="1533" customFormat="false" ht="15" hidden="false" customHeight="true" outlineLevel="0" collapsed="false">
      <c r="H1533" s="14" t="b">
        <f aca="false">IF(중복검사!$A1531="",FALSE(),중복검사!$J1531="유지")</f>
        <v>0</v>
      </c>
      <c r="I1533" s="5" t="str">
        <f aca="false">IF($H1533=FALSE(),"",COUNTIF($H$6:$H1533,TRUE()))</f>
        <v/>
      </c>
      <c r="J1533" s="5" t="str">
        <f aca="false">IF($I1533="","","R"&amp;$I1533)</f>
        <v/>
      </c>
    </row>
    <row r="1534" customFormat="false" ht="15" hidden="false" customHeight="true" outlineLevel="0" collapsed="false">
      <c r="H1534" s="14" t="b">
        <f aca="false">IF(중복검사!$A1532="",FALSE(),중복검사!$J1532="유지")</f>
        <v>0</v>
      </c>
      <c r="I1534" s="5" t="str">
        <f aca="false">IF($H1534=FALSE(),"",COUNTIF($H$6:$H1534,TRUE()))</f>
        <v/>
      </c>
      <c r="J1534" s="5" t="str">
        <f aca="false">IF($I1534="","","R"&amp;$I1534)</f>
        <v/>
      </c>
    </row>
    <row r="1535" customFormat="false" ht="15" hidden="false" customHeight="true" outlineLevel="0" collapsed="false">
      <c r="H1535" s="14" t="b">
        <f aca="false">IF(중복검사!$A1533="",FALSE(),중복검사!$J1533="유지")</f>
        <v>0</v>
      </c>
      <c r="I1535" s="5" t="str">
        <f aca="false">IF($H1535=FALSE(),"",COUNTIF($H$6:$H1535,TRUE()))</f>
        <v/>
      </c>
      <c r="J1535" s="5" t="str">
        <f aca="false">IF($I1535="","","R"&amp;$I1535)</f>
        <v/>
      </c>
    </row>
    <row r="1536" customFormat="false" ht="15" hidden="false" customHeight="true" outlineLevel="0" collapsed="false">
      <c r="H1536" s="14" t="b">
        <f aca="false">IF(중복검사!$A1534="",FALSE(),중복검사!$J1534="유지")</f>
        <v>0</v>
      </c>
      <c r="I1536" s="5" t="str">
        <f aca="false">IF($H1536=FALSE(),"",COUNTIF($H$6:$H1536,TRUE()))</f>
        <v/>
      </c>
      <c r="J1536" s="5" t="str">
        <f aca="false">IF($I1536="","","R"&amp;$I1536)</f>
        <v/>
      </c>
    </row>
    <row r="1537" customFormat="false" ht="15" hidden="false" customHeight="true" outlineLevel="0" collapsed="false">
      <c r="H1537" s="14" t="b">
        <f aca="false">IF(중복검사!$A1535="",FALSE(),중복검사!$J1535="유지")</f>
        <v>0</v>
      </c>
      <c r="I1537" s="5" t="str">
        <f aca="false">IF($H1537=FALSE(),"",COUNTIF($H$6:$H1537,TRUE()))</f>
        <v/>
      </c>
      <c r="J1537" s="5" t="str">
        <f aca="false">IF($I1537="","","R"&amp;$I1537)</f>
        <v/>
      </c>
    </row>
    <row r="1538" customFormat="false" ht="15" hidden="false" customHeight="true" outlineLevel="0" collapsed="false">
      <c r="H1538" s="14" t="b">
        <f aca="false">IF(중복검사!$A1536="",FALSE(),중복검사!$J1536="유지")</f>
        <v>0</v>
      </c>
      <c r="I1538" s="5" t="str">
        <f aca="false">IF($H1538=FALSE(),"",COUNTIF($H$6:$H1538,TRUE()))</f>
        <v/>
      </c>
      <c r="J1538" s="5" t="str">
        <f aca="false">IF($I1538="","","R"&amp;$I1538)</f>
        <v/>
      </c>
    </row>
    <row r="1539" customFormat="false" ht="15" hidden="false" customHeight="true" outlineLevel="0" collapsed="false">
      <c r="H1539" s="14" t="b">
        <f aca="false">IF(중복검사!$A1537="",FALSE(),중복검사!$J1537="유지")</f>
        <v>0</v>
      </c>
      <c r="I1539" s="5" t="str">
        <f aca="false">IF($H1539=FALSE(),"",COUNTIF($H$6:$H1539,TRUE()))</f>
        <v/>
      </c>
      <c r="J1539" s="5" t="str">
        <f aca="false">IF($I1539="","","R"&amp;$I1539)</f>
        <v/>
      </c>
    </row>
    <row r="1540" customFormat="false" ht="15" hidden="false" customHeight="true" outlineLevel="0" collapsed="false">
      <c r="H1540" s="14" t="b">
        <f aca="false">IF(중복검사!$A1538="",FALSE(),중복검사!$J1538="유지")</f>
        <v>0</v>
      </c>
      <c r="I1540" s="5" t="str">
        <f aca="false">IF($H1540=FALSE(),"",COUNTIF($H$6:$H1540,TRUE()))</f>
        <v/>
      </c>
      <c r="J1540" s="5" t="str">
        <f aca="false">IF($I1540="","","R"&amp;$I1540)</f>
        <v/>
      </c>
    </row>
    <row r="1541" customFormat="false" ht="15" hidden="false" customHeight="true" outlineLevel="0" collapsed="false">
      <c r="H1541" s="14" t="b">
        <f aca="false">IF(중복검사!$A1539="",FALSE(),중복검사!$J1539="유지")</f>
        <v>0</v>
      </c>
      <c r="I1541" s="5" t="str">
        <f aca="false">IF($H1541=FALSE(),"",COUNTIF($H$6:$H1541,TRUE()))</f>
        <v/>
      </c>
      <c r="J1541" s="5" t="str">
        <f aca="false">IF($I1541="","","R"&amp;$I1541)</f>
        <v/>
      </c>
    </row>
    <row r="1542" customFormat="false" ht="15" hidden="false" customHeight="true" outlineLevel="0" collapsed="false">
      <c r="H1542" s="14" t="b">
        <f aca="false">IF(중복검사!$A1540="",FALSE(),중복검사!$J1540="유지")</f>
        <v>0</v>
      </c>
      <c r="I1542" s="5" t="str">
        <f aca="false">IF($H1542=FALSE(),"",COUNTIF($H$6:$H1542,TRUE()))</f>
        <v/>
      </c>
      <c r="J1542" s="5" t="str">
        <f aca="false">IF($I1542="","","R"&amp;$I1542)</f>
        <v/>
      </c>
    </row>
    <row r="1543" customFormat="false" ht="15" hidden="false" customHeight="true" outlineLevel="0" collapsed="false">
      <c r="H1543" s="14" t="b">
        <f aca="false">IF(중복검사!$A1541="",FALSE(),중복검사!$J1541="유지")</f>
        <v>0</v>
      </c>
      <c r="I1543" s="5" t="str">
        <f aca="false">IF($H1543=FALSE(),"",COUNTIF($H$6:$H1543,TRUE()))</f>
        <v/>
      </c>
      <c r="J1543" s="5" t="str">
        <f aca="false">IF($I1543="","","R"&amp;$I1543)</f>
        <v/>
      </c>
    </row>
    <row r="1544" customFormat="false" ht="15" hidden="false" customHeight="true" outlineLevel="0" collapsed="false">
      <c r="H1544" s="14" t="b">
        <f aca="false">IF(중복검사!$A1542="",FALSE(),중복검사!$J1542="유지")</f>
        <v>0</v>
      </c>
      <c r="I1544" s="5" t="str">
        <f aca="false">IF($H1544=FALSE(),"",COUNTIF($H$6:$H1544,TRUE()))</f>
        <v/>
      </c>
      <c r="J1544" s="5" t="str">
        <f aca="false">IF($I1544="","","R"&amp;$I1544)</f>
        <v/>
      </c>
    </row>
    <row r="1545" customFormat="false" ht="15" hidden="false" customHeight="true" outlineLevel="0" collapsed="false">
      <c r="H1545" s="14" t="b">
        <f aca="false">IF(중복검사!$A1543="",FALSE(),중복검사!$J1543="유지")</f>
        <v>0</v>
      </c>
      <c r="I1545" s="5" t="str">
        <f aca="false">IF($H1545=FALSE(),"",COUNTIF($H$6:$H1545,TRUE()))</f>
        <v/>
      </c>
      <c r="J1545" s="5" t="str">
        <f aca="false">IF($I1545="","","R"&amp;$I1545)</f>
        <v/>
      </c>
    </row>
    <row r="1546" customFormat="false" ht="15" hidden="false" customHeight="true" outlineLevel="0" collapsed="false">
      <c r="H1546" s="14" t="b">
        <f aca="false">IF(중복검사!$A1544="",FALSE(),중복검사!$J1544="유지")</f>
        <v>0</v>
      </c>
      <c r="I1546" s="5" t="str">
        <f aca="false">IF($H1546=FALSE(),"",COUNTIF($H$6:$H1546,TRUE()))</f>
        <v/>
      </c>
      <c r="J1546" s="5" t="str">
        <f aca="false">IF($I1546="","","R"&amp;$I1546)</f>
        <v/>
      </c>
    </row>
    <row r="1547" customFormat="false" ht="15" hidden="false" customHeight="true" outlineLevel="0" collapsed="false">
      <c r="H1547" s="14" t="b">
        <f aca="false">IF(중복검사!$A1545="",FALSE(),중복검사!$J1545="유지")</f>
        <v>0</v>
      </c>
      <c r="I1547" s="5" t="str">
        <f aca="false">IF($H1547=FALSE(),"",COUNTIF($H$6:$H1547,TRUE()))</f>
        <v/>
      </c>
      <c r="J1547" s="5" t="str">
        <f aca="false">IF($I1547="","","R"&amp;$I1547)</f>
        <v/>
      </c>
    </row>
    <row r="1548" customFormat="false" ht="15" hidden="false" customHeight="true" outlineLevel="0" collapsed="false">
      <c r="H1548" s="14" t="b">
        <f aca="false">IF(중복검사!$A1546="",FALSE(),중복검사!$J1546="유지")</f>
        <v>0</v>
      </c>
      <c r="I1548" s="5" t="str">
        <f aca="false">IF($H1548=FALSE(),"",COUNTIF($H$6:$H1548,TRUE()))</f>
        <v/>
      </c>
      <c r="J1548" s="5" t="str">
        <f aca="false">IF($I1548="","","R"&amp;$I1548)</f>
        <v/>
      </c>
    </row>
    <row r="1549" customFormat="false" ht="15" hidden="false" customHeight="true" outlineLevel="0" collapsed="false">
      <c r="H1549" s="14" t="b">
        <f aca="false">IF(중복검사!$A1547="",FALSE(),중복검사!$J1547="유지")</f>
        <v>0</v>
      </c>
      <c r="I1549" s="5" t="str">
        <f aca="false">IF($H1549=FALSE(),"",COUNTIF($H$6:$H1549,TRUE()))</f>
        <v/>
      </c>
      <c r="J1549" s="5" t="str">
        <f aca="false">IF($I1549="","","R"&amp;$I1549)</f>
        <v/>
      </c>
    </row>
    <row r="1550" customFormat="false" ht="15" hidden="false" customHeight="true" outlineLevel="0" collapsed="false">
      <c r="H1550" s="14" t="b">
        <f aca="false">IF(중복검사!$A1548="",FALSE(),중복검사!$J1548="유지")</f>
        <v>0</v>
      </c>
      <c r="I1550" s="5" t="str">
        <f aca="false">IF($H1550=FALSE(),"",COUNTIF($H$6:$H1550,TRUE()))</f>
        <v/>
      </c>
      <c r="J1550" s="5" t="str">
        <f aca="false">IF($I1550="","","R"&amp;$I1550)</f>
        <v/>
      </c>
    </row>
    <row r="1551" customFormat="false" ht="15" hidden="false" customHeight="true" outlineLevel="0" collapsed="false">
      <c r="H1551" s="14" t="b">
        <f aca="false">IF(중복검사!$A1549="",FALSE(),중복검사!$J1549="유지")</f>
        <v>0</v>
      </c>
      <c r="I1551" s="5" t="str">
        <f aca="false">IF($H1551=FALSE(),"",COUNTIF($H$6:$H1551,TRUE()))</f>
        <v/>
      </c>
      <c r="J1551" s="5" t="str">
        <f aca="false">IF($I1551="","","R"&amp;$I1551)</f>
        <v/>
      </c>
    </row>
    <row r="1552" customFormat="false" ht="15" hidden="false" customHeight="true" outlineLevel="0" collapsed="false">
      <c r="H1552" s="14" t="b">
        <f aca="false">IF(중복검사!$A1550="",FALSE(),중복검사!$J1550="유지")</f>
        <v>0</v>
      </c>
      <c r="I1552" s="5" t="str">
        <f aca="false">IF($H1552=FALSE(),"",COUNTIF($H$6:$H1552,TRUE()))</f>
        <v/>
      </c>
      <c r="J1552" s="5" t="str">
        <f aca="false">IF($I1552="","","R"&amp;$I1552)</f>
        <v/>
      </c>
    </row>
    <row r="1553" customFormat="false" ht="15" hidden="false" customHeight="true" outlineLevel="0" collapsed="false">
      <c r="H1553" s="14" t="b">
        <f aca="false">IF(중복검사!$A1551="",FALSE(),중복검사!$J1551="유지")</f>
        <v>0</v>
      </c>
      <c r="I1553" s="5" t="str">
        <f aca="false">IF($H1553=FALSE(),"",COUNTIF($H$6:$H1553,TRUE()))</f>
        <v/>
      </c>
      <c r="J1553" s="5" t="str">
        <f aca="false">IF($I1553="","","R"&amp;$I1553)</f>
        <v/>
      </c>
    </row>
    <row r="1554" customFormat="false" ht="15" hidden="false" customHeight="true" outlineLevel="0" collapsed="false">
      <c r="H1554" s="14" t="b">
        <f aca="false">IF(중복검사!$A1552="",FALSE(),중복검사!$J1552="유지")</f>
        <v>0</v>
      </c>
      <c r="I1554" s="5" t="str">
        <f aca="false">IF($H1554=FALSE(),"",COUNTIF($H$6:$H1554,TRUE()))</f>
        <v/>
      </c>
      <c r="J1554" s="5" t="str">
        <f aca="false">IF($I1554="","","R"&amp;$I1554)</f>
        <v/>
      </c>
    </row>
    <row r="1555" customFormat="false" ht="15" hidden="false" customHeight="true" outlineLevel="0" collapsed="false">
      <c r="H1555" s="14" t="b">
        <f aca="false">IF(중복검사!$A1553="",FALSE(),중복검사!$J1553="유지")</f>
        <v>0</v>
      </c>
      <c r="I1555" s="5" t="str">
        <f aca="false">IF($H1555=FALSE(),"",COUNTIF($H$6:$H1555,TRUE()))</f>
        <v/>
      </c>
      <c r="J1555" s="5" t="str">
        <f aca="false">IF($I1555="","","R"&amp;$I1555)</f>
        <v/>
      </c>
    </row>
    <row r="1556" customFormat="false" ht="15" hidden="false" customHeight="true" outlineLevel="0" collapsed="false">
      <c r="H1556" s="14" t="b">
        <f aca="false">IF(중복검사!$A1554="",FALSE(),중복검사!$J1554="유지")</f>
        <v>0</v>
      </c>
      <c r="I1556" s="5" t="str">
        <f aca="false">IF($H1556=FALSE(),"",COUNTIF($H$6:$H1556,TRUE()))</f>
        <v/>
      </c>
      <c r="J1556" s="5" t="str">
        <f aca="false">IF($I1556="","","R"&amp;$I1556)</f>
        <v/>
      </c>
    </row>
    <row r="1557" customFormat="false" ht="15" hidden="false" customHeight="true" outlineLevel="0" collapsed="false">
      <c r="H1557" s="14" t="b">
        <f aca="false">IF(중복검사!$A1555="",FALSE(),중복검사!$J1555="유지")</f>
        <v>0</v>
      </c>
      <c r="I1557" s="5" t="str">
        <f aca="false">IF($H1557=FALSE(),"",COUNTIF($H$6:$H1557,TRUE()))</f>
        <v/>
      </c>
      <c r="J1557" s="5" t="str">
        <f aca="false">IF($I1557="","","R"&amp;$I1557)</f>
        <v/>
      </c>
    </row>
    <row r="1558" customFormat="false" ht="15" hidden="false" customHeight="true" outlineLevel="0" collapsed="false">
      <c r="H1558" s="14" t="b">
        <f aca="false">IF(중복검사!$A1556="",FALSE(),중복검사!$J1556="유지")</f>
        <v>0</v>
      </c>
      <c r="I1558" s="5" t="str">
        <f aca="false">IF($H1558=FALSE(),"",COUNTIF($H$6:$H1558,TRUE()))</f>
        <v/>
      </c>
      <c r="J1558" s="5" t="str">
        <f aca="false">IF($I1558="","","R"&amp;$I1558)</f>
        <v/>
      </c>
    </row>
    <row r="1559" customFormat="false" ht="15" hidden="false" customHeight="true" outlineLevel="0" collapsed="false">
      <c r="H1559" s="14" t="b">
        <f aca="false">IF(중복검사!$A1557="",FALSE(),중복검사!$J1557="유지")</f>
        <v>0</v>
      </c>
      <c r="I1559" s="5" t="str">
        <f aca="false">IF($H1559=FALSE(),"",COUNTIF($H$6:$H1559,TRUE()))</f>
        <v/>
      </c>
      <c r="J1559" s="5" t="str">
        <f aca="false">IF($I1559="","","R"&amp;$I1559)</f>
        <v/>
      </c>
    </row>
    <row r="1560" customFormat="false" ht="15" hidden="false" customHeight="true" outlineLevel="0" collapsed="false">
      <c r="H1560" s="14" t="b">
        <f aca="false">IF(중복검사!$A1558="",FALSE(),중복검사!$J1558="유지")</f>
        <v>0</v>
      </c>
      <c r="I1560" s="5" t="str">
        <f aca="false">IF($H1560=FALSE(),"",COUNTIF($H$6:$H1560,TRUE()))</f>
        <v/>
      </c>
      <c r="J1560" s="5" t="str">
        <f aca="false">IF($I1560="","","R"&amp;$I1560)</f>
        <v/>
      </c>
    </row>
    <row r="1561" customFormat="false" ht="15" hidden="false" customHeight="true" outlineLevel="0" collapsed="false">
      <c r="H1561" s="14" t="b">
        <f aca="false">IF(중복검사!$A1559="",FALSE(),중복검사!$J1559="유지")</f>
        <v>0</v>
      </c>
      <c r="I1561" s="5" t="str">
        <f aca="false">IF($H1561=FALSE(),"",COUNTIF($H$6:$H1561,TRUE()))</f>
        <v/>
      </c>
      <c r="J1561" s="5" t="str">
        <f aca="false">IF($I1561="","","R"&amp;$I1561)</f>
        <v/>
      </c>
    </row>
    <row r="1562" customFormat="false" ht="15" hidden="false" customHeight="true" outlineLevel="0" collapsed="false">
      <c r="H1562" s="14" t="b">
        <f aca="false">IF(중복검사!$A1560="",FALSE(),중복검사!$J1560="유지")</f>
        <v>0</v>
      </c>
      <c r="I1562" s="5" t="str">
        <f aca="false">IF($H1562=FALSE(),"",COUNTIF($H$6:$H1562,TRUE()))</f>
        <v/>
      </c>
      <c r="J1562" s="5" t="str">
        <f aca="false">IF($I1562="","","R"&amp;$I1562)</f>
        <v/>
      </c>
    </row>
    <row r="1563" customFormat="false" ht="15" hidden="false" customHeight="true" outlineLevel="0" collapsed="false">
      <c r="H1563" s="14" t="b">
        <f aca="false">IF(중복검사!$A1561="",FALSE(),중복검사!$J1561="유지")</f>
        <v>0</v>
      </c>
      <c r="I1563" s="5" t="str">
        <f aca="false">IF($H1563=FALSE(),"",COUNTIF($H$6:$H1563,TRUE()))</f>
        <v/>
      </c>
      <c r="J1563" s="5" t="str">
        <f aca="false">IF($I1563="","","R"&amp;$I1563)</f>
        <v/>
      </c>
    </row>
    <row r="1564" customFormat="false" ht="15" hidden="false" customHeight="true" outlineLevel="0" collapsed="false">
      <c r="H1564" s="14" t="b">
        <f aca="false">IF(중복검사!$A1562="",FALSE(),중복검사!$J1562="유지")</f>
        <v>0</v>
      </c>
      <c r="I1564" s="5" t="str">
        <f aca="false">IF($H1564=FALSE(),"",COUNTIF($H$6:$H1564,TRUE()))</f>
        <v/>
      </c>
      <c r="J1564" s="5" t="str">
        <f aca="false">IF($I1564="","","R"&amp;$I1564)</f>
        <v/>
      </c>
    </row>
    <row r="1565" customFormat="false" ht="15" hidden="false" customHeight="true" outlineLevel="0" collapsed="false">
      <c r="H1565" s="14" t="b">
        <f aca="false">IF(중복검사!$A1563="",FALSE(),중복검사!$J1563="유지")</f>
        <v>0</v>
      </c>
      <c r="I1565" s="5" t="str">
        <f aca="false">IF($H1565=FALSE(),"",COUNTIF($H$6:$H1565,TRUE()))</f>
        <v/>
      </c>
      <c r="J1565" s="5" t="str">
        <f aca="false">IF($I1565="","","R"&amp;$I1565)</f>
        <v/>
      </c>
    </row>
    <row r="1566" customFormat="false" ht="15" hidden="false" customHeight="true" outlineLevel="0" collapsed="false">
      <c r="H1566" s="14" t="b">
        <f aca="false">IF(중복검사!$A1564="",FALSE(),중복검사!$J1564="유지")</f>
        <v>0</v>
      </c>
      <c r="I1566" s="5" t="str">
        <f aca="false">IF($H1566=FALSE(),"",COUNTIF($H$6:$H1566,TRUE()))</f>
        <v/>
      </c>
      <c r="J1566" s="5" t="str">
        <f aca="false">IF($I1566="","","R"&amp;$I1566)</f>
        <v/>
      </c>
    </row>
    <row r="1567" customFormat="false" ht="15" hidden="false" customHeight="true" outlineLevel="0" collapsed="false">
      <c r="H1567" s="14" t="b">
        <f aca="false">IF(중복검사!$A1565="",FALSE(),중복검사!$J1565="유지")</f>
        <v>0</v>
      </c>
      <c r="I1567" s="5" t="str">
        <f aca="false">IF($H1567=FALSE(),"",COUNTIF($H$6:$H1567,TRUE()))</f>
        <v/>
      </c>
      <c r="J1567" s="5" t="str">
        <f aca="false">IF($I1567="","","R"&amp;$I1567)</f>
        <v/>
      </c>
    </row>
    <row r="1568" customFormat="false" ht="15" hidden="false" customHeight="true" outlineLevel="0" collapsed="false">
      <c r="H1568" s="14" t="b">
        <f aca="false">IF(중복검사!$A1566="",FALSE(),중복검사!$J1566="유지")</f>
        <v>0</v>
      </c>
      <c r="I1568" s="5" t="str">
        <f aca="false">IF($H1568=FALSE(),"",COUNTIF($H$6:$H1568,TRUE()))</f>
        <v/>
      </c>
      <c r="J1568" s="5" t="str">
        <f aca="false">IF($I1568="","","R"&amp;$I1568)</f>
        <v/>
      </c>
    </row>
    <row r="1569" customFormat="false" ht="15" hidden="false" customHeight="true" outlineLevel="0" collapsed="false">
      <c r="H1569" s="14" t="b">
        <f aca="false">IF(중복검사!$A1567="",FALSE(),중복검사!$J1567="유지")</f>
        <v>0</v>
      </c>
      <c r="I1569" s="5" t="str">
        <f aca="false">IF($H1569=FALSE(),"",COUNTIF($H$6:$H1569,TRUE()))</f>
        <v/>
      </c>
      <c r="J1569" s="5" t="str">
        <f aca="false">IF($I1569="","","R"&amp;$I1569)</f>
        <v/>
      </c>
    </row>
    <row r="1570" customFormat="false" ht="15" hidden="false" customHeight="true" outlineLevel="0" collapsed="false">
      <c r="H1570" s="14" t="b">
        <f aca="false">IF(중복검사!$A1568="",FALSE(),중복검사!$J1568="유지")</f>
        <v>0</v>
      </c>
      <c r="I1570" s="5" t="str">
        <f aca="false">IF($H1570=FALSE(),"",COUNTIF($H$6:$H1570,TRUE()))</f>
        <v/>
      </c>
      <c r="J1570" s="5" t="str">
        <f aca="false">IF($I1570="","","R"&amp;$I1570)</f>
        <v/>
      </c>
    </row>
    <row r="1571" customFormat="false" ht="15" hidden="false" customHeight="true" outlineLevel="0" collapsed="false">
      <c r="H1571" s="14" t="b">
        <f aca="false">IF(중복검사!$A1569="",FALSE(),중복검사!$J1569="유지")</f>
        <v>0</v>
      </c>
      <c r="I1571" s="5" t="str">
        <f aca="false">IF($H1571=FALSE(),"",COUNTIF($H$6:$H1571,TRUE()))</f>
        <v/>
      </c>
      <c r="J1571" s="5" t="str">
        <f aca="false">IF($I1571="","","R"&amp;$I1571)</f>
        <v/>
      </c>
    </row>
    <row r="1572" customFormat="false" ht="15" hidden="false" customHeight="true" outlineLevel="0" collapsed="false">
      <c r="H1572" s="14" t="b">
        <f aca="false">IF(중복검사!$A1570="",FALSE(),중복검사!$J1570="유지")</f>
        <v>0</v>
      </c>
      <c r="I1572" s="5" t="str">
        <f aca="false">IF($H1572=FALSE(),"",COUNTIF($H$6:$H1572,TRUE()))</f>
        <v/>
      </c>
      <c r="J1572" s="5" t="str">
        <f aca="false">IF($I1572="","","R"&amp;$I1572)</f>
        <v/>
      </c>
    </row>
    <row r="1573" customFormat="false" ht="15" hidden="false" customHeight="true" outlineLevel="0" collapsed="false">
      <c r="H1573" s="14" t="b">
        <f aca="false">IF(중복검사!$A1571="",FALSE(),중복검사!$J1571="유지")</f>
        <v>0</v>
      </c>
      <c r="I1573" s="5" t="str">
        <f aca="false">IF($H1573=FALSE(),"",COUNTIF($H$6:$H1573,TRUE()))</f>
        <v/>
      </c>
      <c r="J1573" s="5" t="str">
        <f aca="false">IF($I1573="","","R"&amp;$I1573)</f>
        <v/>
      </c>
    </row>
    <row r="1574" customFormat="false" ht="15" hidden="false" customHeight="true" outlineLevel="0" collapsed="false">
      <c r="H1574" s="14" t="b">
        <f aca="false">IF(중복검사!$A1572="",FALSE(),중복검사!$J1572="유지")</f>
        <v>0</v>
      </c>
      <c r="I1574" s="5" t="str">
        <f aca="false">IF($H1574=FALSE(),"",COUNTIF($H$6:$H1574,TRUE()))</f>
        <v/>
      </c>
      <c r="J1574" s="5" t="str">
        <f aca="false">IF($I1574="","","R"&amp;$I1574)</f>
        <v/>
      </c>
    </row>
    <row r="1575" customFormat="false" ht="15" hidden="false" customHeight="true" outlineLevel="0" collapsed="false">
      <c r="H1575" s="14" t="b">
        <f aca="false">IF(중복검사!$A1573="",FALSE(),중복검사!$J1573="유지")</f>
        <v>0</v>
      </c>
      <c r="I1575" s="5" t="str">
        <f aca="false">IF($H1575=FALSE(),"",COUNTIF($H$6:$H1575,TRUE()))</f>
        <v/>
      </c>
      <c r="J1575" s="5" t="str">
        <f aca="false">IF($I1575="","","R"&amp;$I1575)</f>
        <v/>
      </c>
    </row>
    <row r="1576" customFormat="false" ht="15" hidden="false" customHeight="true" outlineLevel="0" collapsed="false">
      <c r="H1576" s="14" t="b">
        <f aca="false">IF(중복검사!$A1574="",FALSE(),중복검사!$J1574="유지")</f>
        <v>0</v>
      </c>
      <c r="I1576" s="5" t="str">
        <f aca="false">IF($H1576=FALSE(),"",COUNTIF($H$6:$H1576,TRUE()))</f>
        <v/>
      </c>
      <c r="J1576" s="5" t="str">
        <f aca="false">IF($I1576="","","R"&amp;$I1576)</f>
        <v/>
      </c>
    </row>
    <row r="1577" customFormat="false" ht="15" hidden="false" customHeight="true" outlineLevel="0" collapsed="false">
      <c r="H1577" s="14" t="b">
        <f aca="false">IF(중복검사!$A1575="",FALSE(),중복검사!$J1575="유지")</f>
        <v>0</v>
      </c>
      <c r="I1577" s="5" t="str">
        <f aca="false">IF($H1577=FALSE(),"",COUNTIF($H$6:$H1577,TRUE()))</f>
        <v/>
      </c>
      <c r="J1577" s="5" t="str">
        <f aca="false">IF($I1577="","","R"&amp;$I1577)</f>
        <v/>
      </c>
    </row>
    <row r="1578" customFormat="false" ht="15" hidden="false" customHeight="true" outlineLevel="0" collapsed="false">
      <c r="H1578" s="14" t="b">
        <f aca="false">IF(중복검사!$A1576="",FALSE(),중복검사!$J1576="유지")</f>
        <v>0</v>
      </c>
      <c r="I1578" s="5" t="str">
        <f aca="false">IF($H1578=FALSE(),"",COUNTIF($H$6:$H1578,TRUE()))</f>
        <v/>
      </c>
      <c r="J1578" s="5" t="str">
        <f aca="false">IF($I1578="","","R"&amp;$I1578)</f>
        <v/>
      </c>
    </row>
    <row r="1579" customFormat="false" ht="15" hidden="false" customHeight="true" outlineLevel="0" collapsed="false">
      <c r="H1579" s="14" t="b">
        <f aca="false">IF(중복검사!$A1577="",FALSE(),중복검사!$J1577="유지")</f>
        <v>0</v>
      </c>
      <c r="I1579" s="5" t="str">
        <f aca="false">IF($H1579=FALSE(),"",COUNTIF($H$6:$H1579,TRUE()))</f>
        <v/>
      </c>
      <c r="J1579" s="5" t="str">
        <f aca="false">IF($I1579="","","R"&amp;$I1579)</f>
        <v/>
      </c>
    </row>
    <row r="1580" customFormat="false" ht="15" hidden="false" customHeight="true" outlineLevel="0" collapsed="false">
      <c r="H1580" s="14" t="b">
        <f aca="false">IF(중복검사!$A1578="",FALSE(),중복검사!$J1578="유지")</f>
        <v>0</v>
      </c>
      <c r="I1580" s="5" t="str">
        <f aca="false">IF($H1580=FALSE(),"",COUNTIF($H$6:$H1580,TRUE()))</f>
        <v/>
      </c>
      <c r="J1580" s="5" t="str">
        <f aca="false">IF($I1580="","","R"&amp;$I1580)</f>
        <v/>
      </c>
    </row>
    <row r="1581" customFormat="false" ht="15" hidden="false" customHeight="true" outlineLevel="0" collapsed="false">
      <c r="H1581" s="14" t="b">
        <f aca="false">IF(중복검사!$A1579="",FALSE(),중복검사!$J1579="유지")</f>
        <v>0</v>
      </c>
      <c r="I1581" s="5" t="str">
        <f aca="false">IF($H1581=FALSE(),"",COUNTIF($H$6:$H1581,TRUE()))</f>
        <v/>
      </c>
      <c r="J1581" s="5" t="str">
        <f aca="false">IF($I1581="","","R"&amp;$I1581)</f>
        <v/>
      </c>
    </row>
    <row r="1582" customFormat="false" ht="15" hidden="false" customHeight="true" outlineLevel="0" collapsed="false">
      <c r="H1582" s="14" t="b">
        <f aca="false">IF(중복검사!$A1580="",FALSE(),중복검사!$J1580="유지")</f>
        <v>0</v>
      </c>
      <c r="I1582" s="5" t="str">
        <f aca="false">IF($H1582=FALSE(),"",COUNTIF($H$6:$H1582,TRUE()))</f>
        <v/>
      </c>
      <c r="J1582" s="5" t="str">
        <f aca="false">IF($I1582="","","R"&amp;$I1582)</f>
        <v/>
      </c>
    </row>
    <row r="1583" customFormat="false" ht="15" hidden="false" customHeight="true" outlineLevel="0" collapsed="false">
      <c r="H1583" s="14" t="b">
        <f aca="false">IF(중복검사!$A1581="",FALSE(),중복검사!$J1581="유지")</f>
        <v>0</v>
      </c>
      <c r="I1583" s="5" t="str">
        <f aca="false">IF($H1583=FALSE(),"",COUNTIF($H$6:$H1583,TRUE()))</f>
        <v/>
      </c>
      <c r="J1583" s="5" t="str">
        <f aca="false">IF($I1583="","","R"&amp;$I1583)</f>
        <v/>
      </c>
    </row>
    <row r="1584" customFormat="false" ht="15" hidden="false" customHeight="true" outlineLevel="0" collapsed="false">
      <c r="H1584" s="14" t="b">
        <f aca="false">IF(중복검사!$A1582="",FALSE(),중복검사!$J1582="유지")</f>
        <v>0</v>
      </c>
      <c r="I1584" s="5" t="str">
        <f aca="false">IF($H1584=FALSE(),"",COUNTIF($H$6:$H1584,TRUE()))</f>
        <v/>
      </c>
      <c r="J1584" s="5" t="str">
        <f aca="false">IF($I1584="","","R"&amp;$I1584)</f>
        <v/>
      </c>
    </row>
    <row r="1585" customFormat="false" ht="15" hidden="false" customHeight="true" outlineLevel="0" collapsed="false">
      <c r="H1585" s="14" t="b">
        <f aca="false">IF(중복검사!$A1583="",FALSE(),중복검사!$J1583="유지")</f>
        <v>0</v>
      </c>
      <c r="I1585" s="5" t="str">
        <f aca="false">IF($H1585=FALSE(),"",COUNTIF($H$6:$H1585,TRUE()))</f>
        <v/>
      </c>
      <c r="J1585" s="5" t="str">
        <f aca="false">IF($I1585="","","R"&amp;$I1585)</f>
        <v/>
      </c>
    </row>
    <row r="1586" customFormat="false" ht="15" hidden="false" customHeight="true" outlineLevel="0" collapsed="false">
      <c r="H1586" s="14" t="b">
        <f aca="false">IF(중복검사!$A1584="",FALSE(),중복검사!$J1584="유지")</f>
        <v>0</v>
      </c>
      <c r="I1586" s="5" t="str">
        <f aca="false">IF($H1586=FALSE(),"",COUNTIF($H$6:$H1586,TRUE()))</f>
        <v/>
      </c>
      <c r="J1586" s="5" t="str">
        <f aca="false">IF($I1586="","","R"&amp;$I1586)</f>
        <v/>
      </c>
    </row>
    <row r="1587" customFormat="false" ht="15" hidden="false" customHeight="true" outlineLevel="0" collapsed="false">
      <c r="H1587" s="14" t="b">
        <f aca="false">IF(중복검사!$A1585="",FALSE(),중복검사!$J1585="유지")</f>
        <v>0</v>
      </c>
      <c r="I1587" s="5" t="str">
        <f aca="false">IF($H1587=FALSE(),"",COUNTIF($H$6:$H1587,TRUE()))</f>
        <v/>
      </c>
      <c r="J1587" s="5" t="str">
        <f aca="false">IF($I1587="","","R"&amp;$I1587)</f>
        <v/>
      </c>
    </row>
    <row r="1588" customFormat="false" ht="15" hidden="false" customHeight="true" outlineLevel="0" collapsed="false">
      <c r="H1588" s="14" t="b">
        <f aca="false">IF(중복검사!$A1586="",FALSE(),중복검사!$J1586="유지")</f>
        <v>0</v>
      </c>
      <c r="I1588" s="5" t="str">
        <f aca="false">IF($H1588=FALSE(),"",COUNTIF($H$6:$H1588,TRUE()))</f>
        <v/>
      </c>
      <c r="J1588" s="5" t="str">
        <f aca="false">IF($I1588="","","R"&amp;$I1588)</f>
        <v/>
      </c>
    </row>
    <row r="1589" customFormat="false" ht="15" hidden="false" customHeight="true" outlineLevel="0" collapsed="false">
      <c r="H1589" s="14" t="b">
        <f aca="false">IF(중복검사!$A1587="",FALSE(),중복검사!$J1587="유지")</f>
        <v>0</v>
      </c>
      <c r="I1589" s="5" t="str">
        <f aca="false">IF($H1589=FALSE(),"",COUNTIF($H$6:$H1589,TRUE()))</f>
        <v/>
      </c>
      <c r="J1589" s="5" t="str">
        <f aca="false">IF($I1589="","","R"&amp;$I1589)</f>
        <v/>
      </c>
    </row>
    <row r="1590" customFormat="false" ht="15" hidden="false" customHeight="true" outlineLevel="0" collapsed="false">
      <c r="H1590" s="14" t="b">
        <f aca="false">IF(중복검사!$A1588="",FALSE(),중복검사!$J1588="유지")</f>
        <v>0</v>
      </c>
      <c r="I1590" s="5" t="str">
        <f aca="false">IF($H1590=FALSE(),"",COUNTIF($H$6:$H1590,TRUE()))</f>
        <v/>
      </c>
      <c r="J1590" s="5" t="str">
        <f aca="false">IF($I1590="","","R"&amp;$I1590)</f>
        <v/>
      </c>
    </row>
    <row r="1591" customFormat="false" ht="15" hidden="false" customHeight="true" outlineLevel="0" collapsed="false">
      <c r="H1591" s="14" t="b">
        <f aca="false">IF(중복검사!$A1589="",FALSE(),중복검사!$J1589="유지")</f>
        <v>0</v>
      </c>
      <c r="I1591" s="5" t="str">
        <f aca="false">IF($H1591=FALSE(),"",COUNTIF($H$6:$H1591,TRUE()))</f>
        <v/>
      </c>
      <c r="J1591" s="5" t="str">
        <f aca="false">IF($I1591="","","R"&amp;$I1591)</f>
        <v/>
      </c>
    </row>
    <row r="1592" customFormat="false" ht="15" hidden="false" customHeight="true" outlineLevel="0" collapsed="false">
      <c r="H1592" s="14" t="b">
        <f aca="false">IF(중복검사!$A1590="",FALSE(),중복검사!$J1590="유지")</f>
        <v>0</v>
      </c>
      <c r="I1592" s="5" t="str">
        <f aca="false">IF($H1592=FALSE(),"",COUNTIF($H$6:$H1592,TRUE()))</f>
        <v/>
      </c>
      <c r="J1592" s="5" t="str">
        <f aca="false">IF($I1592="","","R"&amp;$I1592)</f>
        <v/>
      </c>
    </row>
    <row r="1593" customFormat="false" ht="15" hidden="false" customHeight="true" outlineLevel="0" collapsed="false">
      <c r="H1593" s="14" t="b">
        <f aca="false">IF(중복검사!$A1591="",FALSE(),중복검사!$J1591="유지")</f>
        <v>0</v>
      </c>
      <c r="I1593" s="5" t="str">
        <f aca="false">IF($H1593=FALSE(),"",COUNTIF($H$6:$H1593,TRUE()))</f>
        <v/>
      </c>
      <c r="J1593" s="5" t="str">
        <f aca="false">IF($I1593="","","R"&amp;$I1593)</f>
        <v/>
      </c>
    </row>
    <row r="1594" customFormat="false" ht="15" hidden="false" customHeight="true" outlineLevel="0" collapsed="false">
      <c r="H1594" s="14" t="b">
        <f aca="false">IF(중복검사!$A1592="",FALSE(),중복검사!$J1592="유지")</f>
        <v>0</v>
      </c>
      <c r="I1594" s="5" t="str">
        <f aca="false">IF($H1594=FALSE(),"",COUNTIF($H$6:$H1594,TRUE()))</f>
        <v/>
      </c>
      <c r="J1594" s="5" t="str">
        <f aca="false">IF($I1594="","","R"&amp;$I1594)</f>
        <v/>
      </c>
    </row>
    <row r="1595" customFormat="false" ht="15" hidden="false" customHeight="true" outlineLevel="0" collapsed="false">
      <c r="H1595" s="14" t="b">
        <f aca="false">IF(중복검사!$A1593="",FALSE(),중복검사!$J1593="유지")</f>
        <v>0</v>
      </c>
      <c r="I1595" s="5" t="str">
        <f aca="false">IF($H1595=FALSE(),"",COUNTIF($H$6:$H1595,TRUE()))</f>
        <v/>
      </c>
      <c r="J1595" s="5" t="str">
        <f aca="false">IF($I1595="","","R"&amp;$I1595)</f>
        <v/>
      </c>
    </row>
    <row r="1596" customFormat="false" ht="15" hidden="false" customHeight="true" outlineLevel="0" collapsed="false">
      <c r="H1596" s="14" t="b">
        <f aca="false">IF(중복검사!$A1594="",FALSE(),중복검사!$J1594="유지")</f>
        <v>0</v>
      </c>
      <c r="I1596" s="5" t="str">
        <f aca="false">IF($H1596=FALSE(),"",COUNTIF($H$6:$H1596,TRUE()))</f>
        <v/>
      </c>
      <c r="J1596" s="5" t="str">
        <f aca="false">IF($I1596="","","R"&amp;$I1596)</f>
        <v/>
      </c>
    </row>
    <row r="1597" customFormat="false" ht="15" hidden="false" customHeight="true" outlineLevel="0" collapsed="false">
      <c r="H1597" s="14" t="b">
        <f aca="false">IF(중복검사!$A1595="",FALSE(),중복검사!$J1595="유지")</f>
        <v>0</v>
      </c>
      <c r="I1597" s="5" t="str">
        <f aca="false">IF($H1597=FALSE(),"",COUNTIF($H$6:$H1597,TRUE()))</f>
        <v/>
      </c>
      <c r="J1597" s="5" t="str">
        <f aca="false">IF($I1597="","","R"&amp;$I1597)</f>
        <v/>
      </c>
    </row>
    <row r="1598" customFormat="false" ht="15" hidden="false" customHeight="true" outlineLevel="0" collapsed="false">
      <c r="H1598" s="14" t="b">
        <f aca="false">IF(중복검사!$A1596="",FALSE(),중복검사!$J1596="유지")</f>
        <v>0</v>
      </c>
      <c r="I1598" s="5" t="str">
        <f aca="false">IF($H1598=FALSE(),"",COUNTIF($H$6:$H1598,TRUE()))</f>
        <v/>
      </c>
      <c r="J1598" s="5" t="str">
        <f aca="false">IF($I1598="","","R"&amp;$I1598)</f>
        <v/>
      </c>
    </row>
    <row r="1599" customFormat="false" ht="15" hidden="false" customHeight="true" outlineLevel="0" collapsed="false">
      <c r="H1599" s="14" t="b">
        <f aca="false">IF(중복검사!$A1597="",FALSE(),중복검사!$J1597="유지")</f>
        <v>0</v>
      </c>
      <c r="I1599" s="5" t="str">
        <f aca="false">IF($H1599=FALSE(),"",COUNTIF($H$6:$H1599,TRUE()))</f>
        <v/>
      </c>
      <c r="J1599" s="5" t="str">
        <f aca="false">IF($I1599="","","R"&amp;$I1599)</f>
        <v/>
      </c>
    </row>
    <row r="1600" customFormat="false" ht="15" hidden="false" customHeight="true" outlineLevel="0" collapsed="false">
      <c r="H1600" s="14" t="b">
        <f aca="false">IF(중복검사!$A1598="",FALSE(),중복검사!$J1598="유지")</f>
        <v>0</v>
      </c>
      <c r="I1600" s="5" t="str">
        <f aca="false">IF($H1600=FALSE(),"",COUNTIF($H$6:$H1600,TRUE()))</f>
        <v/>
      </c>
      <c r="J1600" s="5" t="str">
        <f aca="false">IF($I1600="","","R"&amp;$I1600)</f>
        <v/>
      </c>
    </row>
    <row r="1601" customFormat="false" ht="15" hidden="false" customHeight="true" outlineLevel="0" collapsed="false">
      <c r="H1601" s="14" t="b">
        <f aca="false">IF(중복검사!$A1599="",FALSE(),중복검사!$J1599="유지")</f>
        <v>0</v>
      </c>
      <c r="I1601" s="5" t="str">
        <f aca="false">IF($H1601=FALSE(),"",COUNTIF($H$6:$H1601,TRUE()))</f>
        <v/>
      </c>
      <c r="J1601" s="5" t="str">
        <f aca="false">IF($I1601="","","R"&amp;$I1601)</f>
        <v/>
      </c>
    </row>
    <row r="1602" customFormat="false" ht="15" hidden="false" customHeight="true" outlineLevel="0" collapsed="false">
      <c r="H1602" s="14" t="b">
        <f aca="false">IF(중복검사!$A1600="",FALSE(),중복검사!$J1600="유지")</f>
        <v>0</v>
      </c>
      <c r="I1602" s="5" t="str">
        <f aca="false">IF($H1602=FALSE(),"",COUNTIF($H$6:$H1602,TRUE()))</f>
        <v/>
      </c>
      <c r="J1602" s="5" t="str">
        <f aca="false">IF($I1602="","","R"&amp;$I1602)</f>
        <v/>
      </c>
    </row>
    <row r="1603" customFormat="false" ht="15" hidden="false" customHeight="true" outlineLevel="0" collapsed="false">
      <c r="H1603" s="14" t="b">
        <f aca="false">IF(중복검사!$A1601="",FALSE(),중복검사!$J1601="유지")</f>
        <v>0</v>
      </c>
      <c r="I1603" s="5" t="str">
        <f aca="false">IF($H1603=FALSE(),"",COUNTIF($H$6:$H1603,TRUE()))</f>
        <v/>
      </c>
      <c r="J1603" s="5" t="str">
        <f aca="false">IF($I1603="","","R"&amp;$I1603)</f>
        <v/>
      </c>
    </row>
    <row r="1604" customFormat="false" ht="15" hidden="false" customHeight="true" outlineLevel="0" collapsed="false">
      <c r="H1604" s="14" t="b">
        <f aca="false">IF(중복검사!$A1602="",FALSE(),중복검사!$J1602="유지")</f>
        <v>0</v>
      </c>
      <c r="I1604" s="5" t="str">
        <f aca="false">IF($H1604=FALSE(),"",COUNTIF($H$6:$H1604,TRUE()))</f>
        <v/>
      </c>
      <c r="J1604" s="5" t="str">
        <f aca="false">IF($I1604="","","R"&amp;$I1604)</f>
        <v/>
      </c>
    </row>
    <row r="1605" customFormat="false" ht="15" hidden="false" customHeight="true" outlineLevel="0" collapsed="false">
      <c r="H1605" s="14" t="b">
        <f aca="false">IF(중복검사!$A1603="",FALSE(),중복검사!$J1603="유지")</f>
        <v>0</v>
      </c>
      <c r="I1605" s="5" t="str">
        <f aca="false">IF($H1605=FALSE(),"",COUNTIF($H$6:$H1605,TRUE()))</f>
        <v/>
      </c>
      <c r="J1605" s="5" t="str">
        <f aca="false">IF($I1605="","","R"&amp;$I1605)</f>
        <v/>
      </c>
    </row>
    <row r="1606" customFormat="false" ht="15" hidden="false" customHeight="true" outlineLevel="0" collapsed="false">
      <c r="H1606" s="14" t="b">
        <f aca="false">IF(중복검사!$A1604="",FALSE(),중복검사!$J1604="유지")</f>
        <v>0</v>
      </c>
      <c r="I1606" s="5" t="str">
        <f aca="false">IF($H1606=FALSE(),"",COUNTIF($H$6:$H1606,TRUE()))</f>
        <v/>
      </c>
      <c r="J1606" s="5" t="str">
        <f aca="false">IF($I1606="","","R"&amp;$I1606)</f>
        <v/>
      </c>
    </row>
    <row r="1607" customFormat="false" ht="15" hidden="false" customHeight="true" outlineLevel="0" collapsed="false">
      <c r="H1607" s="14" t="b">
        <f aca="false">IF(중복검사!$A1605="",FALSE(),중복검사!$J1605="유지")</f>
        <v>0</v>
      </c>
      <c r="I1607" s="5" t="str">
        <f aca="false">IF($H1607=FALSE(),"",COUNTIF($H$6:$H1607,TRUE()))</f>
        <v/>
      </c>
      <c r="J1607" s="5" t="str">
        <f aca="false">IF($I1607="","","R"&amp;$I1607)</f>
        <v/>
      </c>
    </row>
    <row r="1608" customFormat="false" ht="15" hidden="false" customHeight="true" outlineLevel="0" collapsed="false">
      <c r="H1608" s="14" t="b">
        <f aca="false">IF(중복검사!$A1606="",FALSE(),중복검사!$J1606="유지")</f>
        <v>0</v>
      </c>
      <c r="I1608" s="5" t="str">
        <f aca="false">IF($H1608=FALSE(),"",COUNTIF($H$6:$H1608,TRUE()))</f>
        <v/>
      </c>
      <c r="J1608" s="5" t="str">
        <f aca="false">IF($I1608="","","R"&amp;$I1608)</f>
        <v/>
      </c>
    </row>
    <row r="1609" customFormat="false" ht="15" hidden="false" customHeight="true" outlineLevel="0" collapsed="false">
      <c r="H1609" s="14" t="b">
        <f aca="false">IF(중복검사!$A1607="",FALSE(),중복검사!$J1607="유지")</f>
        <v>0</v>
      </c>
      <c r="I1609" s="5" t="str">
        <f aca="false">IF($H1609=FALSE(),"",COUNTIF($H$6:$H1609,TRUE()))</f>
        <v/>
      </c>
      <c r="J1609" s="5" t="str">
        <f aca="false">IF($I1609="","","R"&amp;$I1609)</f>
        <v/>
      </c>
    </row>
    <row r="1610" customFormat="false" ht="15" hidden="false" customHeight="true" outlineLevel="0" collapsed="false">
      <c r="H1610" s="14" t="b">
        <f aca="false">IF(중복검사!$A1608="",FALSE(),중복검사!$J1608="유지")</f>
        <v>0</v>
      </c>
      <c r="I1610" s="5" t="str">
        <f aca="false">IF($H1610=FALSE(),"",COUNTIF($H$6:$H1610,TRUE()))</f>
        <v/>
      </c>
      <c r="J1610" s="5" t="str">
        <f aca="false">IF($I1610="","","R"&amp;$I1610)</f>
        <v/>
      </c>
    </row>
    <row r="1611" customFormat="false" ht="15" hidden="false" customHeight="true" outlineLevel="0" collapsed="false">
      <c r="H1611" s="14" t="b">
        <f aca="false">IF(중복검사!$A1609="",FALSE(),중복검사!$J1609="유지")</f>
        <v>0</v>
      </c>
      <c r="I1611" s="5" t="str">
        <f aca="false">IF($H1611=FALSE(),"",COUNTIF($H$6:$H1611,TRUE()))</f>
        <v/>
      </c>
      <c r="J1611" s="5" t="str">
        <f aca="false">IF($I1611="","","R"&amp;$I1611)</f>
        <v/>
      </c>
    </row>
    <row r="1612" customFormat="false" ht="15" hidden="false" customHeight="true" outlineLevel="0" collapsed="false">
      <c r="H1612" s="14" t="b">
        <f aca="false">IF(중복검사!$A1610="",FALSE(),중복검사!$J1610="유지")</f>
        <v>0</v>
      </c>
      <c r="I1612" s="5" t="str">
        <f aca="false">IF($H1612=FALSE(),"",COUNTIF($H$6:$H1612,TRUE()))</f>
        <v/>
      </c>
      <c r="J1612" s="5" t="str">
        <f aca="false">IF($I1612="","","R"&amp;$I1612)</f>
        <v/>
      </c>
    </row>
    <row r="1613" customFormat="false" ht="15" hidden="false" customHeight="true" outlineLevel="0" collapsed="false">
      <c r="H1613" s="14" t="b">
        <f aca="false">IF(중복검사!$A1611="",FALSE(),중복검사!$J1611="유지")</f>
        <v>0</v>
      </c>
      <c r="I1613" s="5" t="str">
        <f aca="false">IF($H1613=FALSE(),"",COUNTIF($H$6:$H1613,TRUE()))</f>
        <v/>
      </c>
      <c r="J1613" s="5" t="str">
        <f aca="false">IF($I1613="","","R"&amp;$I1613)</f>
        <v/>
      </c>
    </row>
    <row r="1614" customFormat="false" ht="15" hidden="false" customHeight="true" outlineLevel="0" collapsed="false">
      <c r="H1614" s="14" t="b">
        <f aca="false">IF(중복검사!$A1612="",FALSE(),중복검사!$J1612="유지")</f>
        <v>0</v>
      </c>
      <c r="I1614" s="5" t="str">
        <f aca="false">IF($H1614=FALSE(),"",COUNTIF($H$6:$H1614,TRUE()))</f>
        <v/>
      </c>
      <c r="J1614" s="5" t="str">
        <f aca="false">IF($I1614="","","R"&amp;$I1614)</f>
        <v/>
      </c>
    </row>
    <row r="1615" customFormat="false" ht="15" hidden="false" customHeight="true" outlineLevel="0" collapsed="false">
      <c r="H1615" s="14" t="b">
        <f aca="false">IF(중복검사!$A1613="",FALSE(),중복검사!$J1613="유지")</f>
        <v>0</v>
      </c>
      <c r="I1615" s="5" t="str">
        <f aca="false">IF($H1615=FALSE(),"",COUNTIF($H$6:$H1615,TRUE()))</f>
        <v/>
      </c>
      <c r="J1615" s="5" t="str">
        <f aca="false">IF($I1615="","","R"&amp;$I1615)</f>
        <v/>
      </c>
    </row>
    <row r="1616" customFormat="false" ht="15" hidden="false" customHeight="true" outlineLevel="0" collapsed="false">
      <c r="H1616" s="14" t="b">
        <f aca="false">IF(중복검사!$A1614="",FALSE(),중복검사!$J1614="유지")</f>
        <v>0</v>
      </c>
      <c r="I1616" s="5" t="str">
        <f aca="false">IF($H1616=FALSE(),"",COUNTIF($H$6:$H1616,TRUE()))</f>
        <v/>
      </c>
      <c r="J1616" s="5" t="str">
        <f aca="false">IF($I1616="","","R"&amp;$I1616)</f>
        <v/>
      </c>
    </row>
    <row r="1617" customFormat="false" ht="15" hidden="false" customHeight="true" outlineLevel="0" collapsed="false">
      <c r="H1617" s="14" t="b">
        <f aca="false">IF(중복검사!$A1615="",FALSE(),중복검사!$J1615="유지")</f>
        <v>0</v>
      </c>
      <c r="I1617" s="5" t="str">
        <f aca="false">IF($H1617=FALSE(),"",COUNTIF($H$6:$H1617,TRUE()))</f>
        <v/>
      </c>
      <c r="J1617" s="5" t="str">
        <f aca="false">IF($I1617="","","R"&amp;$I1617)</f>
        <v/>
      </c>
    </row>
    <row r="1618" customFormat="false" ht="15" hidden="false" customHeight="true" outlineLevel="0" collapsed="false">
      <c r="H1618" s="14" t="b">
        <f aca="false">IF(중복검사!$A1616="",FALSE(),중복검사!$J1616="유지")</f>
        <v>0</v>
      </c>
      <c r="I1618" s="5" t="str">
        <f aca="false">IF($H1618=FALSE(),"",COUNTIF($H$6:$H1618,TRUE()))</f>
        <v/>
      </c>
      <c r="J1618" s="5" t="str">
        <f aca="false">IF($I1618="","","R"&amp;$I1618)</f>
        <v/>
      </c>
    </row>
    <row r="1619" customFormat="false" ht="15" hidden="false" customHeight="true" outlineLevel="0" collapsed="false">
      <c r="H1619" s="14" t="b">
        <f aca="false">IF(중복검사!$A1617="",FALSE(),중복검사!$J1617="유지")</f>
        <v>0</v>
      </c>
      <c r="I1619" s="5" t="str">
        <f aca="false">IF($H1619=FALSE(),"",COUNTIF($H$6:$H1619,TRUE()))</f>
        <v/>
      </c>
      <c r="J1619" s="5" t="str">
        <f aca="false">IF($I1619="","","R"&amp;$I1619)</f>
        <v/>
      </c>
    </row>
    <row r="1620" customFormat="false" ht="15" hidden="false" customHeight="true" outlineLevel="0" collapsed="false">
      <c r="H1620" s="14" t="b">
        <f aca="false">IF(중복검사!$A1618="",FALSE(),중복검사!$J1618="유지")</f>
        <v>0</v>
      </c>
      <c r="I1620" s="5" t="str">
        <f aca="false">IF($H1620=FALSE(),"",COUNTIF($H$6:$H1620,TRUE()))</f>
        <v/>
      </c>
      <c r="J1620" s="5" t="str">
        <f aca="false">IF($I1620="","","R"&amp;$I1620)</f>
        <v/>
      </c>
    </row>
    <row r="1621" customFormat="false" ht="15" hidden="false" customHeight="true" outlineLevel="0" collapsed="false">
      <c r="H1621" s="14" t="b">
        <f aca="false">IF(중복검사!$A1619="",FALSE(),중복검사!$J1619="유지")</f>
        <v>0</v>
      </c>
      <c r="I1621" s="5" t="str">
        <f aca="false">IF($H1621=FALSE(),"",COUNTIF($H$6:$H1621,TRUE()))</f>
        <v/>
      </c>
      <c r="J1621" s="5" t="str">
        <f aca="false">IF($I1621="","","R"&amp;$I1621)</f>
        <v/>
      </c>
    </row>
    <row r="1622" customFormat="false" ht="15" hidden="false" customHeight="true" outlineLevel="0" collapsed="false">
      <c r="H1622" s="14" t="b">
        <f aca="false">IF(중복검사!$A1620="",FALSE(),중복검사!$J1620="유지")</f>
        <v>0</v>
      </c>
      <c r="I1622" s="5" t="str">
        <f aca="false">IF($H1622=FALSE(),"",COUNTIF($H$6:$H1622,TRUE()))</f>
        <v/>
      </c>
      <c r="J1622" s="5" t="str">
        <f aca="false">IF($I1622="","","R"&amp;$I1622)</f>
        <v/>
      </c>
    </row>
    <row r="1623" customFormat="false" ht="15" hidden="false" customHeight="true" outlineLevel="0" collapsed="false">
      <c r="H1623" s="14" t="b">
        <f aca="false">IF(중복검사!$A1621="",FALSE(),중복검사!$J1621="유지")</f>
        <v>0</v>
      </c>
      <c r="I1623" s="5" t="str">
        <f aca="false">IF($H1623=FALSE(),"",COUNTIF($H$6:$H1623,TRUE()))</f>
        <v/>
      </c>
      <c r="J1623" s="5" t="str">
        <f aca="false">IF($I1623="","","R"&amp;$I1623)</f>
        <v/>
      </c>
    </row>
    <row r="1624" customFormat="false" ht="15" hidden="false" customHeight="true" outlineLevel="0" collapsed="false">
      <c r="H1624" s="14" t="b">
        <f aca="false">IF(중복검사!$A1622="",FALSE(),중복검사!$J1622="유지")</f>
        <v>0</v>
      </c>
      <c r="I1624" s="5" t="str">
        <f aca="false">IF($H1624=FALSE(),"",COUNTIF($H$6:$H1624,TRUE()))</f>
        <v/>
      </c>
      <c r="J1624" s="5" t="str">
        <f aca="false">IF($I1624="","","R"&amp;$I1624)</f>
        <v/>
      </c>
    </row>
    <row r="1625" customFormat="false" ht="15" hidden="false" customHeight="true" outlineLevel="0" collapsed="false">
      <c r="H1625" s="14" t="b">
        <f aca="false">IF(중복검사!$A1623="",FALSE(),중복검사!$J1623="유지")</f>
        <v>0</v>
      </c>
      <c r="I1625" s="5" t="str">
        <f aca="false">IF($H1625=FALSE(),"",COUNTIF($H$6:$H1625,TRUE()))</f>
        <v/>
      </c>
      <c r="J1625" s="5" t="str">
        <f aca="false">IF($I1625="","","R"&amp;$I1625)</f>
        <v/>
      </c>
    </row>
    <row r="1626" customFormat="false" ht="15" hidden="false" customHeight="true" outlineLevel="0" collapsed="false">
      <c r="H1626" s="14" t="b">
        <f aca="false">IF(중복검사!$A1624="",FALSE(),중복검사!$J1624="유지")</f>
        <v>0</v>
      </c>
      <c r="I1626" s="5" t="str">
        <f aca="false">IF($H1626=FALSE(),"",COUNTIF($H$6:$H1626,TRUE()))</f>
        <v/>
      </c>
      <c r="J1626" s="5" t="str">
        <f aca="false">IF($I1626="","","R"&amp;$I1626)</f>
        <v/>
      </c>
    </row>
    <row r="1627" customFormat="false" ht="15" hidden="false" customHeight="true" outlineLevel="0" collapsed="false">
      <c r="H1627" s="14" t="b">
        <f aca="false">IF(중복검사!$A1625="",FALSE(),중복검사!$J1625="유지")</f>
        <v>0</v>
      </c>
      <c r="I1627" s="5" t="str">
        <f aca="false">IF($H1627=FALSE(),"",COUNTIF($H$6:$H1627,TRUE()))</f>
        <v/>
      </c>
      <c r="J1627" s="5" t="str">
        <f aca="false">IF($I1627="","","R"&amp;$I1627)</f>
        <v/>
      </c>
    </row>
    <row r="1628" customFormat="false" ht="15" hidden="false" customHeight="true" outlineLevel="0" collapsed="false">
      <c r="H1628" s="14" t="b">
        <f aca="false">IF(중복검사!$A1626="",FALSE(),중복검사!$J1626="유지")</f>
        <v>0</v>
      </c>
      <c r="I1628" s="5" t="str">
        <f aca="false">IF($H1628=FALSE(),"",COUNTIF($H$6:$H1628,TRUE()))</f>
        <v/>
      </c>
      <c r="J1628" s="5" t="str">
        <f aca="false">IF($I1628="","","R"&amp;$I1628)</f>
        <v/>
      </c>
    </row>
    <row r="1629" customFormat="false" ht="15" hidden="false" customHeight="true" outlineLevel="0" collapsed="false">
      <c r="H1629" s="14" t="b">
        <f aca="false">IF(중복검사!$A1627="",FALSE(),중복검사!$J1627="유지")</f>
        <v>0</v>
      </c>
      <c r="I1629" s="5" t="str">
        <f aca="false">IF($H1629=FALSE(),"",COUNTIF($H$6:$H1629,TRUE()))</f>
        <v/>
      </c>
      <c r="J1629" s="5" t="str">
        <f aca="false">IF($I1629="","","R"&amp;$I1629)</f>
        <v/>
      </c>
    </row>
    <row r="1630" customFormat="false" ht="15" hidden="false" customHeight="true" outlineLevel="0" collapsed="false">
      <c r="H1630" s="14" t="b">
        <f aca="false">IF(중복검사!$A1628="",FALSE(),중복검사!$J1628="유지")</f>
        <v>0</v>
      </c>
      <c r="I1630" s="5" t="str">
        <f aca="false">IF($H1630=FALSE(),"",COUNTIF($H$6:$H1630,TRUE()))</f>
        <v/>
      </c>
      <c r="J1630" s="5" t="str">
        <f aca="false">IF($I1630="","","R"&amp;$I1630)</f>
        <v/>
      </c>
    </row>
    <row r="1631" customFormat="false" ht="15" hidden="false" customHeight="true" outlineLevel="0" collapsed="false">
      <c r="H1631" s="14" t="b">
        <f aca="false">IF(중복검사!$A1629="",FALSE(),중복검사!$J1629="유지")</f>
        <v>0</v>
      </c>
      <c r="I1631" s="5" t="str">
        <f aca="false">IF($H1631=FALSE(),"",COUNTIF($H$6:$H1631,TRUE()))</f>
        <v/>
      </c>
      <c r="J1631" s="5" t="str">
        <f aca="false">IF($I1631="","","R"&amp;$I1631)</f>
        <v/>
      </c>
    </row>
    <row r="1632" customFormat="false" ht="15" hidden="false" customHeight="true" outlineLevel="0" collapsed="false">
      <c r="H1632" s="14" t="b">
        <f aca="false">IF(중복검사!$A1630="",FALSE(),중복검사!$J1630="유지")</f>
        <v>0</v>
      </c>
      <c r="I1632" s="5" t="str">
        <f aca="false">IF($H1632=FALSE(),"",COUNTIF($H$6:$H1632,TRUE()))</f>
        <v/>
      </c>
      <c r="J1632" s="5" t="str">
        <f aca="false">IF($I1632="","","R"&amp;$I1632)</f>
        <v/>
      </c>
    </row>
    <row r="1633" customFormat="false" ht="15" hidden="false" customHeight="true" outlineLevel="0" collapsed="false">
      <c r="H1633" s="14" t="b">
        <f aca="false">IF(중복검사!$A1631="",FALSE(),중복검사!$J1631="유지")</f>
        <v>0</v>
      </c>
      <c r="I1633" s="5" t="str">
        <f aca="false">IF($H1633=FALSE(),"",COUNTIF($H$6:$H1633,TRUE()))</f>
        <v/>
      </c>
      <c r="J1633" s="5" t="str">
        <f aca="false">IF($I1633="","","R"&amp;$I1633)</f>
        <v/>
      </c>
    </row>
    <row r="1634" customFormat="false" ht="15" hidden="false" customHeight="true" outlineLevel="0" collapsed="false">
      <c r="H1634" s="14" t="b">
        <f aca="false">IF(중복검사!$A1632="",FALSE(),중복검사!$J1632="유지")</f>
        <v>0</v>
      </c>
      <c r="I1634" s="5" t="str">
        <f aca="false">IF($H1634=FALSE(),"",COUNTIF($H$6:$H1634,TRUE()))</f>
        <v/>
      </c>
      <c r="J1634" s="5" t="str">
        <f aca="false">IF($I1634="","","R"&amp;$I1634)</f>
        <v/>
      </c>
    </row>
    <row r="1635" customFormat="false" ht="15" hidden="false" customHeight="true" outlineLevel="0" collapsed="false">
      <c r="H1635" s="14" t="b">
        <f aca="false">IF(중복검사!$A1633="",FALSE(),중복검사!$J1633="유지")</f>
        <v>0</v>
      </c>
      <c r="I1635" s="5" t="str">
        <f aca="false">IF($H1635=FALSE(),"",COUNTIF($H$6:$H1635,TRUE()))</f>
        <v/>
      </c>
      <c r="J1635" s="5" t="str">
        <f aca="false">IF($I1635="","","R"&amp;$I1635)</f>
        <v/>
      </c>
    </row>
    <row r="1636" customFormat="false" ht="15" hidden="false" customHeight="true" outlineLevel="0" collapsed="false">
      <c r="H1636" s="14" t="b">
        <f aca="false">IF(중복검사!$A1634="",FALSE(),중복검사!$J1634="유지")</f>
        <v>0</v>
      </c>
      <c r="I1636" s="5" t="str">
        <f aca="false">IF($H1636=FALSE(),"",COUNTIF($H$6:$H1636,TRUE()))</f>
        <v/>
      </c>
      <c r="J1636" s="5" t="str">
        <f aca="false">IF($I1636="","","R"&amp;$I1636)</f>
        <v/>
      </c>
    </row>
    <row r="1637" customFormat="false" ht="15" hidden="false" customHeight="true" outlineLevel="0" collapsed="false">
      <c r="H1637" s="14" t="b">
        <f aca="false">IF(중복검사!$A1635="",FALSE(),중복검사!$J1635="유지")</f>
        <v>0</v>
      </c>
      <c r="I1637" s="5" t="str">
        <f aca="false">IF($H1637=FALSE(),"",COUNTIF($H$6:$H1637,TRUE()))</f>
        <v/>
      </c>
      <c r="J1637" s="5" t="str">
        <f aca="false">IF($I1637="","","R"&amp;$I1637)</f>
        <v/>
      </c>
    </row>
    <row r="1638" customFormat="false" ht="15" hidden="false" customHeight="true" outlineLevel="0" collapsed="false">
      <c r="H1638" s="14" t="b">
        <f aca="false">IF(중복검사!$A1636="",FALSE(),중복검사!$J1636="유지")</f>
        <v>0</v>
      </c>
      <c r="I1638" s="5" t="str">
        <f aca="false">IF($H1638=FALSE(),"",COUNTIF($H$6:$H1638,TRUE()))</f>
        <v/>
      </c>
      <c r="J1638" s="5" t="str">
        <f aca="false">IF($I1638="","","R"&amp;$I1638)</f>
        <v/>
      </c>
    </row>
    <row r="1639" customFormat="false" ht="15" hidden="false" customHeight="true" outlineLevel="0" collapsed="false">
      <c r="H1639" s="14" t="b">
        <f aca="false">IF(중복검사!$A1637="",FALSE(),중복검사!$J1637="유지")</f>
        <v>0</v>
      </c>
      <c r="I1639" s="5" t="str">
        <f aca="false">IF($H1639=FALSE(),"",COUNTIF($H$6:$H1639,TRUE()))</f>
        <v/>
      </c>
      <c r="J1639" s="5" t="str">
        <f aca="false">IF($I1639="","","R"&amp;$I1639)</f>
        <v/>
      </c>
    </row>
    <row r="1640" customFormat="false" ht="15" hidden="false" customHeight="true" outlineLevel="0" collapsed="false">
      <c r="H1640" s="14" t="b">
        <f aca="false">IF(중복검사!$A1638="",FALSE(),중복검사!$J1638="유지")</f>
        <v>0</v>
      </c>
      <c r="I1640" s="5" t="str">
        <f aca="false">IF($H1640=FALSE(),"",COUNTIF($H$6:$H1640,TRUE()))</f>
        <v/>
      </c>
      <c r="J1640" s="5" t="str">
        <f aca="false">IF($I1640="","","R"&amp;$I1640)</f>
        <v/>
      </c>
    </row>
    <row r="1641" customFormat="false" ht="15" hidden="false" customHeight="true" outlineLevel="0" collapsed="false">
      <c r="H1641" s="14" t="b">
        <f aca="false">IF(중복검사!$A1639="",FALSE(),중복검사!$J1639="유지")</f>
        <v>0</v>
      </c>
      <c r="I1641" s="5" t="str">
        <f aca="false">IF($H1641=FALSE(),"",COUNTIF($H$6:$H1641,TRUE()))</f>
        <v/>
      </c>
      <c r="J1641" s="5" t="str">
        <f aca="false">IF($I1641="","","R"&amp;$I1641)</f>
        <v/>
      </c>
    </row>
    <row r="1642" customFormat="false" ht="15" hidden="false" customHeight="true" outlineLevel="0" collapsed="false">
      <c r="H1642" s="14" t="b">
        <f aca="false">IF(중복검사!$A1640="",FALSE(),중복검사!$J1640="유지")</f>
        <v>0</v>
      </c>
      <c r="I1642" s="5" t="str">
        <f aca="false">IF($H1642=FALSE(),"",COUNTIF($H$6:$H1642,TRUE()))</f>
        <v/>
      </c>
      <c r="J1642" s="5" t="str">
        <f aca="false">IF($I1642="","","R"&amp;$I1642)</f>
        <v/>
      </c>
    </row>
    <row r="1643" customFormat="false" ht="15" hidden="false" customHeight="true" outlineLevel="0" collapsed="false">
      <c r="H1643" s="14" t="b">
        <f aca="false">IF(중복검사!$A1641="",FALSE(),중복검사!$J1641="유지")</f>
        <v>0</v>
      </c>
      <c r="I1643" s="5" t="str">
        <f aca="false">IF($H1643=FALSE(),"",COUNTIF($H$6:$H1643,TRUE()))</f>
        <v/>
      </c>
      <c r="J1643" s="5" t="str">
        <f aca="false">IF($I1643="","","R"&amp;$I1643)</f>
        <v/>
      </c>
    </row>
    <row r="1644" customFormat="false" ht="15" hidden="false" customHeight="true" outlineLevel="0" collapsed="false">
      <c r="H1644" s="14" t="b">
        <f aca="false">IF(중복검사!$A1642="",FALSE(),중복검사!$J1642="유지")</f>
        <v>0</v>
      </c>
      <c r="I1644" s="5" t="str">
        <f aca="false">IF($H1644=FALSE(),"",COUNTIF($H$6:$H1644,TRUE()))</f>
        <v/>
      </c>
      <c r="J1644" s="5" t="str">
        <f aca="false">IF($I1644="","","R"&amp;$I1644)</f>
        <v/>
      </c>
    </row>
    <row r="1645" customFormat="false" ht="15" hidden="false" customHeight="true" outlineLevel="0" collapsed="false">
      <c r="H1645" s="14" t="b">
        <f aca="false">IF(중복검사!$A1643="",FALSE(),중복검사!$J1643="유지")</f>
        <v>0</v>
      </c>
      <c r="I1645" s="5" t="str">
        <f aca="false">IF($H1645=FALSE(),"",COUNTIF($H$6:$H1645,TRUE()))</f>
        <v/>
      </c>
      <c r="J1645" s="5" t="str">
        <f aca="false">IF($I1645="","","R"&amp;$I1645)</f>
        <v/>
      </c>
    </row>
    <row r="1646" customFormat="false" ht="15" hidden="false" customHeight="true" outlineLevel="0" collapsed="false">
      <c r="H1646" s="14" t="b">
        <f aca="false">IF(중복검사!$A1644="",FALSE(),중복검사!$J1644="유지")</f>
        <v>0</v>
      </c>
      <c r="I1646" s="5" t="str">
        <f aca="false">IF($H1646=FALSE(),"",COUNTIF($H$6:$H1646,TRUE()))</f>
        <v/>
      </c>
      <c r="J1646" s="5" t="str">
        <f aca="false">IF($I1646="","","R"&amp;$I1646)</f>
        <v/>
      </c>
    </row>
    <row r="1647" customFormat="false" ht="15" hidden="false" customHeight="true" outlineLevel="0" collapsed="false">
      <c r="H1647" s="14" t="b">
        <f aca="false">IF(중복검사!$A1645="",FALSE(),중복검사!$J1645="유지")</f>
        <v>0</v>
      </c>
      <c r="I1647" s="5" t="str">
        <f aca="false">IF($H1647=FALSE(),"",COUNTIF($H$6:$H1647,TRUE()))</f>
        <v/>
      </c>
      <c r="J1647" s="5" t="str">
        <f aca="false">IF($I1647="","","R"&amp;$I1647)</f>
        <v/>
      </c>
    </row>
    <row r="1648" customFormat="false" ht="15" hidden="false" customHeight="true" outlineLevel="0" collapsed="false">
      <c r="H1648" s="14" t="b">
        <f aca="false">IF(중복검사!$A1646="",FALSE(),중복검사!$J1646="유지")</f>
        <v>0</v>
      </c>
      <c r="I1648" s="5" t="str">
        <f aca="false">IF($H1648=FALSE(),"",COUNTIF($H$6:$H1648,TRUE()))</f>
        <v/>
      </c>
      <c r="J1648" s="5" t="str">
        <f aca="false">IF($I1648="","","R"&amp;$I1648)</f>
        <v/>
      </c>
    </row>
    <row r="1649" customFormat="false" ht="15" hidden="false" customHeight="true" outlineLevel="0" collapsed="false">
      <c r="H1649" s="14" t="b">
        <f aca="false">IF(중복검사!$A1647="",FALSE(),중복검사!$J1647="유지")</f>
        <v>0</v>
      </c>
      <c r="I1649" s="5" t="str">
        <f aca="false">IF($H1649=FALSE(),"",COUNTIF($H$6:$H1649,TRUE()))</f>
        <v/>
      </c>
      <c r="J1649" s="5" t="str">
        <f aca="false">IF($I1649="","","R"&amp;$I1649)</f>
        <v/>
      </c>
    </row>
    <row r="1650" customFormat="false" ht="15" hidden="false" customHeight="true" outlineLevel="0" collapsed="false">
      <c r="H1650" s="14" t="b">
        <f aca="false">IF(중복검사!$A1648="",FALSE(),중복검사!$J1648="유지")</f>
        <v>0</v>
      </c>
      <c r="I1650" s="5" t="str">
        <f aca="false">IF($H1650=FALSE(),"",COUNTIF($H$6:$H1650,TRUE()))</f>
        <v/>
      </c>
      <c r="J1650" s="5" t="str">
        <f aca="false">IF($I1650="","","R"&amp;$I1650)</f>
        <v/>
      </c>
    </row>
    <row r="1651" customFormat="false" ht="15" hidden="false" customHeight="true" outlineLevel="0" collapsed="false">
      <c r="H1651" s="14" t="b">
        <f aca="false">IF(중복검사!$A1649="",FALSE(),중복검사!$J1649="유지")</f>
        <v>0</v>
      </c>
      <c r="I1651" s="5" t="str">
        <f aca="false">IF($H1651=FALSE(),"",COUNTIF($H$6:$H1651,TRUE()))</f>
        <v/>
      </c>
      <c r="J1651" s="5" t="str">
        <f aca="false">IF($I1651="","","R"&amp;$I1651)</f>
        <v/>
      </c>
    </row>
    <row r="1652" customFormat="false" ht="15" hidden="false" customHeight="true" outlineLevel="0" collapsed="false">
      <c r="H1652" s="14" t="b">
        <f aca="false">IF(중복검사!$A1650="",FALSE(),중복검사!$J1650="유지")</f>
        <v>0</v>
      </c>
      <c r="I1652" s="5" t="str">
        <f aca="false">IF($H1652=FALSE(),"",COUNTIF($H$6:$H1652,TRUE()))</f>
        <v/>
      </c>
      <c r="J1652" s="5" t="str">
        <f aca="false">IF($I1652="","","R"&amp;$I1652)</f>
        <v/>
      </c>
    </row>
    <row r="1653" customFormat="false" ht="15" hidden="false" customHeight="true" outlineLevel="0" collapsed="false">
      <c r="H1653" s="14" t="b">
        <f aca="false">IF(중복검사!$A1651="",FALSE(),중복검사!$J1651="유지")</f>
        <v>0</v>
      </c>
      <c r="I1653" s="5" t="str">
        <f aca="false">IF($H1653=FALSE(),"",COUNTIF($H$6:$H1653,TRUE()))</f>
        <v/>
      </c>
      <c r="J1653" s="5" t="str">
        <f aca="false">IF($I1653="","","R"&amp;$I1653)</f>
        <v/>
      </c>
    </row>
    <row r="1654" customFormat="false" ht="15" hidden="false" customHeight="true" outlineLevel="0" collapsed="false">
      <c r="H1654" s="14" t="b">
        <f aca="false">IF(중복검사!$A1652="",FALSE(),중복검사!$J1652="유지")</f>
        <v>0</v>
      </c>
      <c r="I1654" s="5" t="str">
        <f aca="false">IF($H1654=FALSE(),"",COUNTIF($H$6:$H1654,TRUE()))</f>
        <v/>
      </c>
      <c r="J1654" s="5" t="str">
        <f aca="false">IF($I1654="","","R"&amp;$I1654)</f>
        <v/>
      </c>
    </row>
    <row r="1655" customFormat="false" ht="15" hidden="false" customHeight="true" outlineLevel="0" collapsed="false">
      <c r="H1655" s="14" t="b">
        <f aca="false">IF(중복검사!$A1653="",FALSE(),중복검사!$J1653="유지")</f>
        <v>0</v>
      </c>
      <c r="I1655" s="5" t="str">
        <f aca="false">IF($H1655=FALSE(),"",COUNTIF($H$6:$H1655,TRUE()))</f>
        <v/>
      </c>
      <c r="J1655" s="5" t="str">
        <f aca="false">IF($I1655="","","R"&amp;$I1655)</f>
        <v/>
      </c>
    </row>
    <row r="1656" customFormat="false" ht="15" hidden="false" customHeight="true" outlineLevel="0" collapsed="false">
      <c r="H1656" s="14" t="b">
        <f aca="false">IF(중복검사!$A1654="",FALSE(),중복검사!$J1654="유지")</f>
        <v>0</v>
      </c>
      <c r="I1656" s="5" t="str">
        <f aca="false">IF($H1656=FALSE(),"",COUNTIF($H$6:$H1656,TRUE()))</f>
        <v/>
      </c>
      <c r="J1656" s="5" t="str">
        <f aca="false">IF($I1656="","","R"&amp;$I1656)</f>
        <v/>
      </c>
    </row>
    <row r="1657" customFormat="false" ht="15" hidden="false" customHeight="true" outlineLevel="0" collapsed="false">
      <c r="H1657" s="14" t="b">
        <f aca="false">IF(중복검사!$A1655="",FALSE(),중복검사!$J1655="유지")</f>
        <v>0</v>
      </c>
      <c r="I1657" s="5" t="str">
        <f aca="false">IF($H1657=FALSE(),"",COUNTIF($H$6:$H1657,TRUE()))</f>
        <v/>
      </c>
      <c r="J1657" s="5" t="str">
        <f aca="false">IF($I1657="","","R"&amp;$I1657)</f>
        <v/>
      </c>
    </row>
    <row r="1658" customFormat="false" ht="15" hidden="false" customHeight="true" outlineLevel="0" collapsed="false">
      <c r="H1658" s="14" t="b">
        <f aca="false">IF(중복검사!$A1656="",FALSE(),중복검사!$J1656="유지")</f>
        <v>0</v>
      </c>
      <c r="I1658" s="5" t="str">
        <f aca="false">IF($H1658=FALSE(),"",COUNTIF($H$6:$H1658,TRUE()))</f>
        <v/>
      </c>
      <c r="J1658" s="5" t="str">
        <f aca="false">IF($I1658="","","R"&amp;$I1658)</f>
        <v/>
      </c>
    </row>
    <row r="1659" customFormat="false" ht="15" hidden="false" customHeight="true" outlineLevel="0" collapsed="false">
      <c r="H1659" s="14" t="b">
        <f aca="false">IF(중복검사!$A1657="",FALSE(),중복검사!$J1657="유지")</f>
        <v>0</v>
      </c>
      <c r="I1659" s="5" t="str">
        <f aca="false">IF($H1659=FALSE(),"",COUNTIF($H$6:$H1659,TRUE()))</f>
        <v/>
      </c>
      <c r="J1659" s="5" t="str">
        <f aca="false">IF($I1659="","","R"&amp;$I1659)</f>
        <v/>
      </c>
    </row>
    <row r="1660" customFormat="false" ht="15" hidden="false" customHeight="true" outlineLevel="0" collapsed="false">
      <c r="H1660" s="14" t="b">
        <f aca="false">IF(중복검사!$A1658="",FALSE(),중복검사!$J1658="유지")</f>
        <v>0</v>
      </c>
      <c r="I1660" s="5" t="str">
        <f aca="false">IF($H1660=FALSE(),"",COUNTIF($H$6:$H1660,TRUE()))</f>
        <v/>
      </c>
      <c r="J1660" s="5" t="str">
        <f aca="false">IF($I1660="","","R"&amp;$I1660)</f>
        <v/>
      </c>
    </row>
    <row r="1661" customFormat="false" ht="15" hidden="false" customHeight="true" outlineLevel="0" collapsed="false">
      <c r="H1661" s="14" t="b">
        <f aca="false">IF(중복검사!$A1659="",FALSE(),중복검사!$J1659="유지")</f>
        <v>0</v>
      </c>
      <c r="I1661" s="5" t="str">
        <f aca="false">IF($H1661=FALSE(),"",COUNTIF($H$6:$H1661,TRUE()))</f>
        <v/>
      </c>
      <c r="J1661" s="5" t="str">
        <f aca="false">IF($I1661="","","R"&amp;$I1661)</f>
        <v/>
      </c>
    </row>
    <row r="1662" customFormat="false" ht="15" hidden="false" customHeight="true" outlineLevel="0" collapsed="false">
      <c r="H1662" s="14" t="b">
        <f aca="false">IF(중복검사!$A1660="",FALSE(),중복검사!$J1660="유지")</f>
        <v>0</v>
      </c>
      <c r="I1662" s="5" t="str">
        <f aca="false">IF($H1662=FALSE(),"",COUNTIF($H$6:$H1662,TRUE()))</f>
        <v/>
      </c>
      <c r="J1662" s="5" t="str">
        <f aca="false">IF($I1662="","","R"&amp;$I1662)</f>
        <v/>
      </c>
    </row>
    <row r="1663" customFormat="false" ht="15" hidden="false" customHeight="true" outlineLevel="0" collapsed="false">
      <c r="H1663" s="14" t="b">
        <f aca="false">IF(중복검사!$A1661="",FALSE(),중복검사!$J1661="유지")</f>
        <v>0</v>
      </c>
      <c r="I1663" s="5" t="str">
        <f aca="false">IF($H1663=FALSE(),"",COUNTIF($H$6:$H1663,TRUE()))</f>
        <v/>
      </c>
      <c r="J1663" s="5" t="str">
        <f aca="false">IF($I1663="","","R"&amp;$I1663)</f>
        <v/>
      </c>
    </row>
    <row r="1664" customFormat="false" ht="15" hidden="false" customHeight="true" outlineLevel="0" collapsed="false">
      <c r="H1664" s="14" t="b">
        <f aca="false">IF(중복검사!$A1662="",FALSE(),중복검사!$J1662="유지")</f>
        <v>0</v>
      </c>
      <c r="I1664" s="5" t="str">
        <f aca="false">IF($H1664=FALSE(),"",COUNTIF($H$6:$H1664,TRUE()))</f>
        <v/>
      </c>
      <c r="J1664" s="5" t="str">
        <f aca="false">IF($I1664="","","R"&amp;$I1664)</f>
        <v/>
      </c>
    </row>
    <row r="1665" customFormat="false" ht="15" hidden="false" customHeight="true" outlineLevel="0" collapsed="false">
      <c r="H1665" s="14" t="b">
        <f aca="false">IF(중복검사!$A1663="",FALSE(),중복검사!$J1663="유지")</f>
        <v>0</v>
      </c>
      <c r="I1665" s="5" t="str">
        <f aca="false">IF($H1665=FALSE(),"",COUNTIF($H$6:$H1665,TRUE()))</f>
        <v/>
      </c>
      <c r="J1665" s="5" t="str">
        <f aca="false">IF($I1665="","","R"&amp;$I1665)</f>
        <v/>
      </c>
    </row>
    <row r="1666" customFormat="false" ht="15" hidden="false" customHeight="true" outlineLevel="0" collapsed="false">
      <c r="H1666" s="14" t="b">
        <f aca="false">IF(중복검사!$A1664="",FALSE(),중복검사!$J1664="유지")</f>
        <v>0</v>
      </c>
      <c r="I1666" s="5" t="str">
        <f aca="false">IF($H1666=FALSE(),"",COUNTIF($H$6:$H1666,TRUE()))</f>
        <v/>
      </c>
      <c r="J1666" s="5" t="str">
        <f aca="false">IF($I1666="","","R"&amp;$I1666)</f>
        <v/>
      </c>
    </row>
    <row r="1667" customFormat="false" ht="15" hidden="false" customHeight="true" outlineLevel="0" collapsed="false">
      <c r="H1667" s="14" t="b">
        <f aca="false">IF(중복검사!$A1665="",FALSE(),중복검사!$J1665="유지")</f>
        <v>0</v>
      </c>
      <c r="I1667" s="5" t="str">
        <f aca="false">IF($H1667=FALSE(),"",COUNTIF($H$6:$H1667,TRUE()))</f>
        <v/>
      </c>
      <c r="J1667" s="5" t="str">
        <f aca="false">IF($I1667="","","R"&amp;$I1667)</f>
        <v/>
      </c>
    </row>
    <row r="1668" customFormat="false" ht="15" hidden="false" customHeight="true" outlineLevel="0" collapsed="false">
      <c r="H1668" s="14" t="b">
        <f aca="false">IF(중복검사!$A1666="",FALSE(),중복검사!$J1666="유지")</f>
        <v>0</v>
      </c>
      <c r="I1668" s="5" t="str">
        <f aca="false">IF($H1668=FALSE(),"",COUNTIF($H$6:$H1668,TRUE()))</f>
        <v/>
      </c>
      <c r="J1668" s="5" t="str">
        <f aca="false">IF($I1668="","","R"&amp;$I1668)</f>
        <v/>
      </c>
    </row>
    <row r="1669" customFormat="false" ht="15" hidden="false" customHeight="true" outlineLevel="0" collapsed="false">
      <c r="H1669" s="14" t="b">
        <f aca="false">IF(중복검사!$A1667="",FALSE(),중복검사!$J1667="유지")</f>
        <v>0</v>
      </c>
      <c r="I1669" s="5" t="str">
        <f aca="false">IF($H1669=FALSE(),"",COUNTIF($H$6:$H1669,TRUE()))</f>
        <v/>
      </c>
      <c r="J1669" s="5" t="str">
        <f aca="false">IF($I1669="","","R"&amp;$I1669)</f>
        <v/>
      </c>
    </row>
    <row r="1670" customFormat="false" ht="15" hidden="false" customHeight="true" outlineLevel="0" collapsed="false">
      <c r="H1670" s="14" t="b">
        <f aca="false">IF(중복검사!$A1668="",FALSE(),중복검사!$J1668="유지")</f>
        <v>0</v>
      </c>
      <c r="I1670" s="5" t="str">
        <f aca="false">IF($H1670=FALSE(),"",COUNTIF($H$6:$H1670,TRUE()))</f>
        <v/>
      </c>
      <c r="J1670" s="5" t="str">
        <f aca="false">IF($I1670="","","R"&amp;$I1670)</f>
        <v/>
      </c>
    </row>
    <row r="1671" customFormat="false" ht="15" hidden="false" customHeight="true" outlineLevel="0" collapsed="false">
      <c r="H1671" s="14" t="b">
        <f aca="false">IF(중복검사!$A1669="",FALSE(),중복검사!$J1669="유지")</f>
        <v>0</v>
      </c>
      <c r="I1671" s="5" t="str">
        <f aca="false">IF($H1671=FALSE(),"",COUNTIF($H$6:$H1671,TRUE()))</f>
        <v/>
      </c>
      <c r="J1671" s="5" t="str">
        <f aca="false">IF($I1671="","","R"&amp;$I1671)</f>
        <v/>
      </c>
    </row>
    <row r="1672" customFormat="false" ht="15" hidden="false" customHeight="true" outlineLevel="0" collapsed="false">
      <c r="H1672" s="14" t="b">
        <f aca="false">IF(중복검사!$A1670="",FALSE(),중복검사!$J1670="유지")</f>
        <v>0</v>
      </c>
      <c r="I1672" s="5" t="str">
        <f aca="false">IF($H1672=FALSE(),"",COUNTIF($H$6:$H1672,TRUE()))</f>
        <v/>
      </c>
      <c r="J1672" s="5" t="str">
        <f aca="false">IF($I1672="","","R"&amp;$I1672)</f>
        <v/>
      </c>
    </row>
    <row r="1673" customFormat="false" ht="15" hidden="false" customHeight="true" outlineLevel="0" collapsed="false">
      <c r="H1673" s="14" t="b">
        <f aca="false">IF(중복검사!$A1671="",FALSE(),중복검사!$J1671="유지")</f>
        <v>0</v>
      </c>
      <c r="I1673" s="5" t="str">
        <f aca="false">IF($H1673=FALSE(),"",COUNTIF($H$6:$H1673,TRUE()))</f>
        <v/>
      </c>
      <c r="J1673" s="5" t="str">
        <f aca="false">IF($I1673="","","R"&amp;$I1673)</f>
        <v/>
      </c>
    </row>
    <row r="1674" customFormat="false" ht="15" hidden="false" customHeight="true" outlineLevel="0" collapsed="false">
      <c r="H1674" s="14" t="b">
        <f aca="false">IF(중복검사!$A1672="",FALSE(),중복검사!$J1672="유지")</f>
        <v>0</v>
      </c>
      <c r="I1674" s="5" t="str">
        <f aca="false">IF($H1674=FALSE(),"",COUNTIF($H$6:$H1674,TRUE()))</f>
        <v/>
      </c>
      <c r="J1674" s="5" t="str">
        <f aca="false">IF($I1674="","","R"&amp;$I1674)</f>
        <v/>
      </c>
    </row>
    <row r="1675" customFormat="false" ht="15" hidden="false" customHeight="true" outlineLevel="0" collapsed="false">
      <c r="H1675" s="14" t="b">
        <f aca="false">IF(중복검사!$A1673="",FALSE(),중복검사!$J1673="유지")</f>
        <v>0</v>
      </c>
      <c r="I1675" s="5" t="str">
        <f aca="false">IF($H1675=FALSE(),"",COUNTIF($H$6:$H1675,TRUE()))</f>
        <v/>
      </c>
      <c r="J1675" s="5" t="str">
        <f aca="false">IF($I1675="","","R"&amp;$I1675)</f>
        <v/>
      </c>
    </row>
    <row r="1676" customFormat="false" ht="15" hidden="false" customHeight="true" outlineLevel="0" collapsed="false">
      <c r="H1676" s="14" t="b">
        <f aca="false">IF(중복검사!$A1674="",FALSE(),중복검사!$J1674="유지")</f>
        <v>0</v>
      </c>
      <c r="I1676" s="5" t="str">
        <f aca="false">IF($H1676=FALSE(),"",COUNTIF($H$6:$H1676,TRUE()))</f>
        <v/>
      </c>
      <c r="J1676" s="5" t="str">
        <f aca="false">IF($I1676="","","R"&amp;$I1676)</f>
        <v/>
      </c>
    </row>
    <row r="1677" customFormat="false" ht="15" hidden="false" customHeight="true" outlineLevel="0" collapsed="false">
      <c r="H1677" s="14" t="b">
        <f aca="false">IF(중복검사!$A1675="",FALSE(),중복검사!$J1675="유지")</f>
        <v>0</v>
      </c>
      <c r="I1677" s="5" t="str">
        <f aca="false">IF($H1677=FALSE(),"",COUNTIF($H$6:$H1677,TRUE()))</f>
        <v/>
      </c>
      <c r="J1677" s="5" t="str">
        <f aca="false">IF($I1677="","","R"&amp;$I1677)</f>
        <v/>
      </c>
    </row>
    <row r="1678" customFormat="false" ht="15" hidden="false" customHeight="true" outlineLevel="0" collapsed="false">
      <c r="H1678" s="14" t="b">
        <f aca="false">IF(중복검사!$A1676="",FALSE(),중복검사!$J1676="유지")</f>
        <v>0</v>
      </c>
      <c r="I1678" s="5" t="str">
        <f aca="false">IF($H1678=FALSE(),"",COUNTIF($H$6:$H1678,TRUE()))</f>
        <v/>
      </c>
      <c r="J1678" s="5" t="str">
        <f aca="false">IF($I1678="","","R"&amp;$I1678)</f>
        <v/>
      </c>
    </row>
    <row r="1679" customFormat="false" ht="15" hidden="false" customHeight="true" outlineLevel="0" collapsed="false">
      <c r="H1679" s="14" t="b">
        <f aca="false">IF(중복검사!$A1677="",FALSE(),중복검사!$J1677="유지")</f>
        <v>0</v>
      </c>
      <c r="I1679" s="5" t="str">
        <f aca="false">IF($H1679=FALSE(),"",COUNTIF($H$6:$H1679,TRUE()))</f>
        <v/>
      </c>
      <c r="J1679" s="5" t="str">
        <f aca="false">IF($I1679="","","R"&amp;$I1679)</f>
        <v/>
      </c>
    </row>
    <row r="1680" customFormat="false" ht="15" hidden="false" customHeight="true" outlineLevel="0" collapsed="false">
      <c r="H1680" s="14" t="b">
        <f aca="false">IF(중복검사!$A1678="",FALSE(),중복검사!$J1678="유지")</f>
        <v>0</v>
      </c>
      <c r="I1680" s="5" t="str">
        <f aca="false">IF($H1680=FALSE(),"",COUNTIF($H$6:$H1680,TRUE()))</f>
        <v/>
      </c>
      <c r="J1680" s="5" t="str">
        <f aca="false">IF($I1680="","","R"&amp;$I1680)</f>
        <v/>
      </c>
    </row>
    <row r="1681" customFormat="false" ht="15" hidden="false" customHeight="true" outlineLevel="0" collapsed="false">
      <c r="H1681" s="14" t="b">
        <f aca="false">IF(중복검사!$A1679="",FALSE(),중복검사!$J1679="유지")</f>
        <v>0</v>
      </c>
      <c r="I1681" s="5" t="str">
        <f aca="false">IF($H1681=FALSE(),"",COUNTIF($H$6:$H1681,TRUE()))</f>
        <v/>
      </c>
      <c r="J1681" s="5" t="str">
        <f aca="false">IF($I1681="","","R"&amp;$I1681)</f>
        <v/>
      </c>
    </row>
    <row r="1682" customFormat="false" ht="15" hidden="false" customHeight="true" outlineLevel="0" collapsed="false">
      <c r="H1682" s="14" t="b">
        <f aca="false">IF(중복검사!$A1680="",FALSE(),중복검사!$J1680="유지")</f>
        <v>0</v>
      </c>
      <c r="I1682" s="5" t="str">
        <f aca="false">IF($H1682=FALSE(),"",COUNTIF($H$6:$H1682,TRUE()))</f>
        <v/>
      </c>
      <c r="J1682" s="5" t="str">
        <f aca="false">IF($I1682="","","R"&amp;$I1682)</f>
        <v/>
      </c>
    </row>
    <row r="1683" customFormat="false" ht="15" hidden="false" customHeight="true" outlineLevel="0" collapsed="false">
      <c r="H1683" s="14" t="b">
        <f aca="false">IF(중복검사!$A1681="",FALSE(),중복검사!$J1681="유지")</f>
        <v>0</v>
      </c>
      <c r="I1683" s="5" t="str">
        <f aca="false">IF($H1683=FALSE(),"",COUNTIF($H$6:$H1683,TRUE()))</f>
        <v/>
      </c>
      <c r="J1683" s="5" t="str">
        <f aca="false">IF($I1683="","","R"&amp;$I1683)</f>
        <v/>
      </c>
    </row>
    <row r="1684" customFormat="false" ht="15" hidden="false" customHeight="true" outlineLevel="0" collapsed="false">
      <c r="H1684" s="14" t="b">
        <f aca="false">IF(중복검사!$A1682="",FALSE(),중복검사!$J1682="유지")</f>
        <v>0</v>
      </c>
      <c r="I1684" s="5" t="str">
        <f aca="false">IF($H1684=FALSE(),"",COUNTIF($H$6:$H1684,TRUE()))</f>
        <v/>
      </c>
      <c r="J1684" s="5" t="str">
        <f aca="false">IF($I1684="","","R"&amp;$I1684)</f>
        <v/>
      </c>
    </row>
    <row r="1685" customFormat="false" ht="15" hidden="false" customHeight="true" outlineLevel="0" collapsed="false">
      <c r="H1685" s="14" t="b">
        <f aca="false">IF(중복검사!$A1683="",FALSE(),중복검사!$J1683="유지")</f>
        <v>0</v>
      </c>
      <c r="I1685" s="5" t="str">
        <f aca="false">IF($H1685=FALSE(),"",COUNTIF($H$6:$H1685,TRUE()))</f>
        <v/>
      </c>
      <c r="J1685" s="5" t="str">
        <f aca="false">IF($I1685="","","R"&amp;$I1685)</f>
        <v/>
      </c>
    </row>
    <row r="1686" customFormat="false" ht="15" hidden="false" customHeight="true" outlineLevel="0" collapsed="false">
      <c r="H1686" s="14" t="b">
        <f aca="false">IF(중복검사!$A1684="",FALSE(),중복검사!$J1684="유지")</f>
        <v>0</v>
      </c>
      <c r="I1686" s="5" t="str">
        <f aca="false">IF($H1686=FALSE(),"",COUNTIF($H$6:$H1686,TRUE()))</f>
        <v/>
      </c>
      <c r="J1686" s="5" t="str">
        <f aca="false">IF($I1686="","","R"&amp;$I1686)</f>
        <v/>
      </c>
    </row>
    <row r="1687" customFormat="false" ht="15" hidden="false" customHeight="true" outlineLevel="0" collapsed="false">
      <c r="H1687" s="14" t="b">
        <f aca="false">IF(중복검사!$A1685="",FALSE(),중복검사!$J1685="유지")</f>
        <v>0</v>
      </c>
      <c r="I1687" s="5" t="str">
        <f aca="false">IF($H1687=FALSE(),"",COUNTIF($H$6:$H1687,TRUE()))</f>
        <v/>
      </c>
      <c r="J1687" s="5" t="str">
        <f aca="false">IF($I1687="","","R"&amp;$I1687)</f>
        <v/>
      </c>
    </row>
    <row r="1688" customFormat="false" ht="15" hidden="false" customHeight="true" outlineLevel="0" collapsed="false">
      <c r="H1688" s="14" t="b">
        <f aca="false">IF(중복검사!$A1686="",FALSE(),중복검사!$J1686="유지")</f>
        <v>0</v>
      </c>
      <c r="I1688" s="5" t="str">
        <f aca="false">IF($H1688=FALSE(),"",COUNTIF($H$6:$H1688,TRUE()))</f>
        <v/>
      </c>
      <c r="J1688" s="5" t="str">
        <f aca="false">IF($I1688="","","R"&amp;$I1688)</f>
        <v/>
      </c>
    </row>
    <row r="1689" customFormat="false" ht="15" hidden="false" customHeight="true" outlineLevel="0" collapsed="false">
      <c r="H1689" s="14" t="b">
        <f aca="false">IF(중복검사!$A1687="",FALSE(),중복검사!$J1687="유지")</f>
        <v>0</v>
      </c>
      <c r="I1689" s="5" t="str">
        <f aca="false">IF($H1689=FALSE(),"",COUNTIF($H$6:$H1689,TRUE()))</f>
        <v/>
      </c>
      <c r="J1689" s="5" t="str">
        <f aca="false">IF($I1689="","","R"&amp;$I1689)</f>
        <v/>
      </c>
    </row>
    <row r="1690" customFormat="false" ht="15" hidden="false" customHeight="true" outlineLevel="0" collapsed="false">
      <c r="H1690" s="14" t="b">
        <f aca="false">IF(중복검사!$A1688="",FALSE(),중복검사!$J1688="유지")</f>
        <v>0</v>
      </c>
      <c r="I1690" s="5" t="str">
        <f aca="false">IF($H1690=FALSE(),"",COUNTIF($H$6:$H1690,TRUE()))</f>
        <v/>
      </c>
      <c r="J1690" s="5" t="str">
        <f aca="false">IF($I1690="","","R"&amp;$I1690)</f>
        <v/>
      </c>
    </row>
    <row r="1691" customFormat="false" ht="15" hidden="false" customHeight="true" outlineLevel="0" collapsed="false">
      <c r="H1691" s="14" t="b">
        <f aca="false">IF(중복검사!$A1689="",FALSE(),중복검사!$J1689="유지")</f>
        <v>0</v>
      </c>
      <c r="I1691" s="5" t="str">
        <f aca="false">IF($H1691=FALSE(),"",COUNTIF($H$6:$H1691,TRUE()))</f>
        <v/>
      </c>
      <c r="J1691" s="5" t="str">
        <f aca="false">IF($I1691="","","R"&amp;$I1691)</f>
        <v/>
      </c>
    </row>
    <row r="1692" customFormat="false" ht="15" hidden="false" customHeight="true" outlineLevel="0" collapsed="false">
      <c r="H1692" s="14" t="b">
        <f aca="false">IF(중복검사!$A1690="",FALSE(),중복검사!$J1690="유지")</f>
        <v>0</v>
      </c>
      <c r="I1692" s="5" t="str">
        <f aca="false">IF($H1692=FALSE(),"",COUNTIF($H$6:$H1692,TRUE()))</f>
        <v/>
      </c>
      <c r="J1692" s="5" t="str">
        <f aca="false">IF($I1692="","","R"&amp;$I1692)</f>
        <v/>
      </c>
    </row>
    <row r="1693" customFormat="false" ht="15" hidden="false" customHeight="true" outlineLevel="0" collapsed="false">
      <c r="H1693" s="14" t="b">
        <f aca="false">IF(중복검사!$A1691="",FALSE(),중복검사!$J1691="유지")</f>
        <v>0</v>
      </c>
      <c r="I1693" s="5" t="str">
        <f aca="false">IF($H1693=FALSE(),"",COUNTIF($H$6:$H1693,TRUE()))</f>
        <v/>
      </c>
      <c r="J1693" s="5" t="str">
        <f aca="false">IF($I1693="","","R"&amp;$I1693)</f>
        <v/>
      </c>
    </row>
    <row r="1694" customFormat="false" ht="15" hidden="false" customHeight="true" outlineLevel="0" collapsed="false">
      <c r="H1694" s="14" t="b">
        <f aca="false">IF(중복검사!$A1692="",FALSE(),중복검사!$J1692="유지")</f>
        <v>0</v>
      </c>
      <c r="I1694" s="5" t="str">
        <f aca="false">IF($H1694=FALSE(),"",COUNTIF($H$6:$H1694,TRUE()))</f>
        <v/>
      </c>
      <c r="J1694" s="5" t="str">
        <f aca="false">IF($I1694="","","R"&amp;$I1694)</f>
        <v/>
      </c>
    </row>
    <row r="1695" customFormat="false" ht="15" hidden="false" customHeight="true" outlineLevel="0" collapsed="false">
      <c r="H1695" s="14" t="b">
        <f aca="false">IF(중복검사!$A1693="",FALSE(),중복검사!$J1693="유지")</f>
        <v>0</v>
      </c>
      <c r="I1695" s="5" t="str">
        <f aca="false">IF($H1695=FALSE(),"",COUNTIF($H$6:$H1695,TRUE()))</f>
        <v/>
      </c>
      <c r="J1695" s="5" t="str">
        <f aca="false">IF($I1695="","","R"&amp;$I1695)</f>
        <v/>
      </c>
    </row>
    <row r="1696" customFormat="false" ht="15" hidden="false" customHeight="true" outlineLevel="0" collapsed="false">
      <c r="H1696" s="14" t="b">
        <f aca="false">IF(중복검사!$A1694="",FALSE(),중복검사!$J1694="유지")</f>
        <v>0</v>
      </c>
      <c r="I1696" s="5" t="str">
        <f aca="false">IF($H1696=FALSE(),"",COUNTIF($H$6:$H1696,TRUE()))</f>
        <v/>
      </c>
      <c r="J1696" s="5" t="str">
        <f aca="false">IF($I1696="","","R"&amp;$I1696)</f>
        <v/>
      </c>
    </row>
    <row r="1697" customFormat="false" ht="15" hidden="false" customHeight="true" outlineLevel="0" collapsed="false">
      <c r="H1697" s="14" t="b">
        <f aca="false">IF(중복검사!$A1695="",FALSE(),중복검사!$J1695="유지")</f>
        <v>0</v>
      </c>
      <c r="I1697" s="5" t="str">
        <f aca="false">IF($H1697=FALSE(),"",COUNTIF($H$6:$H1697,TRUE()))</f>
        <v/>
      </c>
      <c r="J1697" s="5" t="str">
        <f aca="false">IF($I1697="","","R"&amp;$I1697)</f>
        <v/>
      </c>
    </row>
    <row r="1698" customFormat="false" ht="15" hidden="false" customHeight="true" outlineLevel="0" collapsed="false">
      <c r="H1698" s="14" t="b">
        <f aca="false">IF(중복검사!$A1696="",FALSE(),중복검사!$J1696="유지")</f>
        <v>0</v>
      </c>
      <c r="I1698" s="5" t="str">
        <f aca="false">IF($H1698=FALSE(),"",COUNTIF($H$6:$H1698,TRUE()))</f>
        <v/>
      </c>
      <c r="J1698" s="5" t="str">
        <f aca="false">IF($I1698="","","R"&amp;$I1698)</f>
        <v/>
      </c>
    </row>
    <row r="1699" customFormat="false" ht="15" hidden="false" customHeight="true" outlineLevel="0" collapsed="false">
      <c r="H1699" s="14" t="b">
        <f aca="false">IF(중복검사!$A1697="",FALSE(),중복검사!$J1697="유지")</f>
        <v>0</v>
      </c>
      <c r="I1699" s="5" t="str">
        <f aca="false">IF($H1699=FALSE(),"",COUNTIF($H$6:$H1699,TRUE()))</f>
        <v/>
      </c>
      <c r="J1699" s="5" t="str">
        <f aca="false">IF($I1699="","","R"&amp;$I1699)</f>
        <v/>
      </c>
    </row>
    <row r="1700" customFormat="false" ht="15" hidden="false" customHeight="true" outlineLevel="0" collapsed="false">
      <c r="H1700" s="14" t="b">
        <f aca="false">IF(중복검사!$A1698="",FALSE(),중복검사!$J1698="유지")</f>
        <v>0</v>
      </c>
      <c r="I1700" s="5" t="str">
        <f aca="false">IF($H1700=FALSE(),"",COUNTIF($H$6:$H1700,TRUE()))</f>
        <v/>
      </c>
      <c r="J1700" s="5" t="str">
        <f aca="false">IF($I1700="","","R"&amp;$I1700)</f>
        <v/>
      </c>
    </row>
    <row r="1701" customFormat="false" ht="15" hidden="false" customHeight="true" outlineLevel="0" collapsed="false">
      <c r="H1701" s="14" t="b">
        <f aca="false">IF(중복검사!$A1699="",FALSE(),중복검사!$J1699="유지")</f>
        <v>0</v>
      </c>
      <c r="I1701" s="5" t="str">
        <f aca="false">IF($H1701=FALSE(),"",COUNTIF($H$6:$H1701,TRUE()))</f>
        <v/>
      </c>
      <c r="J1701" s="5" t="str">
        <f aca="false">IF($I1701="","","R"&amp;$I1701)</f>
        <v/>
      </c>
    </row>
    <row r="1702" customFormat="false" ht="15" hidden="false" customHeight="true" outlineLevel="0" collapsed="false">
      <c r="H1702" s="14" t="b">
        <f aca="false">IF(중복검사!$A1700="",FALSE(),중복검사!$J1700="유지")</f>
        <v>0</v>
      </c>
      <c r="I1702" s="5" t="str">
        <f aca="false">IF($H1702=FALSE(),"",COUNTIF($H$6:$H1702,TRUE()))</f>
        <v/>
      </c>
      <c r="J1702" s="5" t="str">
        <f aca="false">IF($I1702="","","R"&amp;$I1702)</f>
        <v/>
      </c>
    </row>
    <row r="1703" customFormat="false" ht="15" hidden="false" customHeight="true" outlineLevel="0" collapsed="false">
      <c r="H1703" s="14" t="b">
        <f aca="false">IF(중복검사!$A1701="",FALSE(),중복검사!$J1701="유지")</f>
        <v>0</v>
      </c>
      <c r="I1703" s="5" t="str">
        <f aca="false">IF($H1703=FALSE(),"",COUNTIF($H$6:$H1703,TRUE()))</f>
        <v/>
      </c>
      <c r="J1703" s="5" t="str">
        <f aca="false">IF($I1703="","","R"&amp;$I1703)</f>
        <v/>
      </c>
    </row>
    <row r="1704" customFormat="false" ht="15" hidden="false" customHeight="true" outlineLevel="0" collapsed="false">
      <c r="H1704" s="14" t="b">
        <f aca="false">IF(중복검사!$A1702="",FALSE(),중복검사!$J1702="유지")</f>
        <v>0</v>
      </c>
      <c r="I1704" s="5" t="str">
        <f aca="false">IF($H1704=FALSE(),"",COUNTIF($H$6:$H1704,TRUE()))</f>
        <v/>
      </c>
      <c r="J1704" s="5" t="str">
        <f aca="false">IF($I1704="","","R"&amp;$I1704)</f>
        <v/>
      </c>
    </row>
    <row r="1705" customFormat="false" ht="15" hidden="false" customHeight="true" outlineLevel="0" collapsed="false">
      <c r="H1705" s="14" t="b">
        <f aca="false">IF(중복검사!$A1703="",FALSE(),중복검사!$J1703="유지")</f>
        <v>0</v>
      </c>
      <c r="I1705" s="5" t="str">
        <f aca="false">IF($H1705=FALSE(),"",COUNTIF($H$6:$H1705,TRUE()))</f>
        <v/>
      </c>
      <c r="J1705" s="5" t="str">
        <f aca="false">IF($I1705="","","R"&amp;$I1705)</f>
        <v/>
      </c>
    </row>
    <row r="1706" customFormat="false" ht="15" hidden="false" customHeight="true" outlineLevel="0" collapsed="false">
      <c r="H1706" s="14" t="b">
        <f aca="false">IF(중복검사!$A1704="",FALSE(),중복검사!$J1704="유지")</f>
        <v>0</v>
      </c>
      <c r="I1706" s="5" t="str">
        <f aca="false">IF($H1706=FALSE(),"",COUNTIF($H$6:$H1706,TRUE()))</f>
        <v/>
      </c>
      <c r="J1706" s="5" t="str">
        <f aca="false">IF($I1706="","","R"&amp;$I1706)</f>
        <v/>
      </c>
    </row>
    <row r="1707" customFormat="false" ht="15" hidden="false" customHeight="true" outlineLevel="0" collapsed="false">
      <c r="H1707" s="14" t="b">
        <f aca="false">IF(중복검사!$A1705="",FALSE(),중복검사!$J1705="유지")</f>
        <v>0</v>
      </c>
      <c r="I1707" s="5" t="str">
        <f aca="false">IF($H1707=FALSE(),"",COUNTIF($H$6:$H1707,TRUE()))</f>
        <v/>
      </c>
      <c r="J1707" s="5" t="str">
        <f aca="false">IF($I1707="","","R"&amp;$I1707)</f>
        <v/>
      </c>
    </row>
    <row r="1708" customFormat="false" ht="15" hidden="false" customHeight="true" outlineLevel="0" collapsed="false">
      <c r="H1708" s="14" t="b">
        <f aca="false">IF(중복검사!$A1706="",FALSE(),중복검사!$J1706="유지")</f>
        <v>0</v>
      </c>
      <c r="I1708" s="5" t="str">
        <f aca="false">IF($H1708=FALSE(),"",COUNTIF($H$6:$H1708,TRUE()))</f>
        <v/>
      </c>
      <c r="J1708" s="5" t="str">
        <f aca="false">IF($I1708="","","R"&amp;$I1708)</f>
        <v/>
      </c>
    </row>
    <row r="1709" customFormat="false" ht="15" hidden="false" customHeight="true" outlineLevel="0" collapsed="false">
      <c r="H1709" s="14" t="b">
        <f aca="false">IF(중복검사!$A1707="",FALSE(),중복검사!$J1707="유지")</f>
        <v>0</v>
      </c>
      <c r="I1709" s="5" t="str">
        <f aca="false">IF($H1709=FALSE(),"",COUNTIF($H$6:$H1709,TRUE()))</f>
        <v/>
      </c>
      <c r="J1709" s="5" t="str">
        <f aca="false">IF($I1709="","","R"&amp;$I1709)</f>
        <v/>
      </c>
    </row>
    <row r="1710" customFormat="false" ht="15" hidden="false" customHeight="true" outlineLevel="0" collapsed="false">
      <c r="H1710" s="14" t="b">
        <f aca="false">IF(중복검사!$A1708="",FALSE(),중복검사!$J1708="유지")</f>
        <v>0</v>
      </c>
      <c r="I1710" s="5" t="str">
        <f aca="false">IF($H1710=FALSE(),"",COUNTIF($H$6:$H1710,TRUE()))</f>
        <v/>
      </c>
      <c r="J1710" s="5" t="str">
        <f aca="false">IF($I1710="","","R"&amp;$I1710)</f>
        <v/>
      </c>
    </row>
    <row r="1711" customFormat="false" ht="15" hidden="false" customHeight="true" outlineLevel="0" collapsed="false">
      <c r="H1711" s="14" t="b">
        <f aca="false">IF(중복검사!$A1709="",FALSE(),중복검사!$J1709="유지")</f>
        <v>0</v>
      </c>
      <c r="I1711" s="5" t="str">
        <f aca="false">IF($H1711=FALSE(),"",COUNTIF($H$6:$H1711,TRUE()))</f>
        <v/>
      </c>
      <c r="J1711" s="5" t="str">
        <f aca="false">IF($I1711="","","R"&amp;$I1711)</f>
        <v/>
      </c>
    </row>
    <row r="1712" customFormat="false" ht="15" hidden="false" customHeight="true" outlineLevel="0" collapsed="false">
      <c r="H1712" s="14" t="b">
        <f aca="false">IF(중복검사!$A1710="",FALSE(),중복검사!$J1710="유지")</f>
        <v>0</v>
      </c>
      <c r="I1712" s="5" t="str">
        <f aca="false">IF($H1712=FALSE(),"",COUNTIF($H$6:$H1712,TRUE()))</f>
        <v/>
      </c>
      <c r="J1712" s="5" t="str">
        <f aca="false">IF($I1712="","","R"&amp;$I1712)</f>
        <v/>
      </c>
    </row>
    <row r="1713" customFormat="false" ht="15" hidden="false" customHeight="true" outlineLevel="0" collapsed="false">
      <c r="H1713" s="14" t="b">
        <f aca="false">IF(중복검사!$A1711="",FALSE(),중복검사!$J1711="유지")</f>
        <v>0</v>
      </c>
      <c r="I1713" s="5" t="str">
        <f aca="false">IF($H1713=FALSE(),"",COUNTIF($H$6:$H1713,TRUE()))</f>
        <v/>
      </c>
      <c r="J1713" s="5" t="str">
        <f aca="false">IF($I1713="","","R"&amp;$I1713)</f>
        <v/>
      </c>
    </row>
    <row r="1714" customFormat="false" ht="15" hidden="false" customHeight="true" outlineLevel="0" collapsed="false">
      <c r="H1714" s="14" t="b">
        <f aca="false">IF(중복검사!$A1712="",FALSE(),중복검사!$J1712="유지")</f>
        <v>0</v>
      </c>
      <c r="I1714" s="5" t="str">
        <f aca="false">IF($H1714=FALSE(),"",COUNTIF($H$6:$H1714,TRUE()))</f>
        <v/>
      </c>
      <c r="J1714" s="5" t="str">
        <f aca="false">IF($I1714="","","R"&amp;$I1714)</f>
        <v/>
      </c>
    </row>
    <row r="1715" customFormat="false" ht="15" hidden="false" customHeight="true" outlineLevel="0" collapsed="false">
      <c r="H1715" s="14" t="b">
        <f aca="false">IF(중복검사!$A1713="",FALSE(),중복검사!$J1713="유지")</f>
        <v>0</v>
      </c>
      <c r="I1715" s="5" t="str">
        <f aca="false">IF($H1715=FALSE(),"",COUNTIF($H$6:$H1715,TRUE()))</f>
        <v/>
      </c>
      <c r="J1715" s="5" t="str">
        <f aca="false">IF($I1715="","","R"&amp;$I1715)</f>
        <v/>
      </c>
    </row>
    <row r="1716" customFormat="false" ht="15" hidden="false" customHeight="true" outlineLevel="0" collapsed="false">
      <c r="H1716" s="14" t="b">
        <f aca="false">IF(중복검사!$A1714="",FALSE(),중복검사!$J1714="유지")</f>
        <v>0</v>
      </c>
      <c r="I1716" s="5" t="str">
        <f aca="false">IF($H1716=FALSE(),"",COUNTIF($H$6:$H1716,TRUE()))</f>
        <v/>
      </c>
      <c r="J1716" s="5" t="str">
        <f aca="false">IF($I1716="","","R"&amp;$I1716)</f>
        <v/>
      </c>
    </row>
    <row r="1717" customFormat="false" ht="15" hidden="false" customHeight="true" outlineLevel="0" collapsed="false">
      <c r="H1717" s="14" t="b">
        <f aca="false">IF(중복검사!$A1715="",FALSE(),중복검사!$J1715="유지")</f>
        <v>0</v>
      </c>
      <c r="I1717" s="5" t="str">
        <f aca="false">IF($H1717=FALSE(),"",COUNTIF($H$6:$H1717,TRUE()))</f>
        <v/>
      </c>
      <c r="J1717" s="5" t="str">
        <f aca="false">IF($I1717="","","R"&amp;$I1717)</f>
        <v/>
      </c>
    </row>
    <row r="1718" customFormat="false" ht="15" hidden="false" customHeight="true" outlineLevel="0" collapsed="false">
      <c r="H1718" s="14" t="b">
        <f aca="false">IF(중복검사!$A1716="",FALSE(),중복검사!$J1716="유지")</f>
        <v>0</v>
      </c>
      <c r="I1718" s="5" t="str">
        <f aca="false">IF($H1718=FALSE(),"",COUNTIF($H$6:$H1718,TRUE()))</f>
        <v/>
      </c>
      <c r="J1718" s="5" t="str">
        <f aca="false">IF($I1718="","","R"&amp;$I1718)</f>
        <v/>
      </c>
    </row>
    <row r="1719" customFormat="false" ht="15" hidden="false" customHeight="true" outlineLevel="0" collapsed="false">
      <c r="H1719" s="14" t="b">
        <f aca="false">IF(중복검사!$A1717="",FALSE(),중복검사!$J1717="유지")</f>
        <v>0</v>
      </c>
      <c r="I1719" s="5" t="str">
        <f aca="false">IF($H1719=FALSE(),"",COUNTIF($H$6:$H1719,TRUE()))</f>
        <v/>
      </c>
      <c r="J1719" s="5" t="str">
        <f aca="false">IF($I1719="","","R"&amp;$I1719)</f>
        <v/>
      </c>
    </row>
    <row r="1720" customFormat="false" ht="15" hidden="false" customHeight="true" outlineLevel="0" collapsed="false">
      <c r="H1720" s="14" t="b">
        <f aca="false">IF(중복검사!$A1718="",FALSE(),중복검사!$J1718="유지")</f>
        <v>0</v>
      </c>
      <c r="I1720" s="5" t="str">
        <f aca="false">IF($H1720=FALSE(),"",COUNTIF($H$6:$H1720,TRUE()))</f>
        <v/>
      </c>
      <c r="J1720" s="5" t="str">
        <f aca="false">IF($I1720="","","R"&amp;$I1720)</f>
        <v/>
      </c>
    </row>
    <row r="1721" customFormat="false" ht="15" hidden="false" customHeight="true" outlineLevel="0" collapsed="false">
      <c r="H1721" s="14" t="b">
        <f aca="false">IF(중복검사!$A1719="",FALSE(),중복검사!$J1719="유지")</f>
        <v>0</v>
      </c>
      <c r="I1721" s="5" t="str">
        <f aca="false">IF($H1721=FALSE(),"",COUNTIF($H$6:$H1721,TRUE()))</f>
        <v/>
      </c>
      <c r="J1721" s="5" t="str">
        <f aca="false">IF($I1721="","","R"&amp;$I1721)</f>
        <v/>
      </c>
    </row>
    <row r="1722" customFormat="false" ht="15" hidden="false" customHeight="true" outlineLevel="0" collapsed="false">
      <c r="H1722" s="14" t="b">
        <f aca="false">IF(중복검사!$A1720="",FALSE(),중복검사!$J1720="유지")</f>
        <v>0</v>
      </c>
      <c r="I1722" s="5" t="str">
        <f aca="false">IF($H1722=FALSE(),"",COUNTIF($H$6:$H1722,TRUE()))</f>
        <v/>
      </c>
      <c r="J1722" s="5" t="str">
        <f aca="false">IF($I1722="","","R"&amp;$I1722)</f>
        <v/>
      </c>
    </row>
    <row r="1723" customFormat="false" ht="15" hidden="false" customHeight="true" outlineLevel="0" collapsed="false">
      <c r="H1723" s="14" t="b">
        <f aca="false">IF(중복검사!$A1721="",FALSE(),중복검사!$J1721="유지")</f>
        <v>0</v>
      </c>
      <c r="I1723" s="5" t="str">
        <f aca="false">IF($H1723=FALSE(),"",COUNTIF($H$6:$H1723,TRUE()))</f>
        <v/>
      </c>
      <c r="J1723" s="5" t="str">
        <f aca="false">IF($I1723="","","R"&amp;$I1723)</f>
        <v/>
      </c>
    </row>
    <row r="1724" customFormat="false" ht="15" hidden="false" customHeight="true" outlineLevel="0" collapsed="false">
      <c r="H1724" s="14" t="b">
        <f aca="false">IF(중복검사!$A1722="",FALSE(),중복검사!$J1722="유지")</f>
        <v>0</v>
      </c>
      <c r="I1724" s="5" t="str">
        <f aca="false">IF($H1724=FALSE(),"",COUNTIF($H$6:$H1724,TRUE()))</f>
        <v/>
      </c>
      <c r="J1724" s="5" t="str">
        <f aca="false">IF($I1724="","","R"&amp;$I1724)</f>
        <v/>
      </c>
    </row>
    <row r="1725" customFormat="false" ht="15" hidden="false" customHeight="true" outlineLevel="0" collapsed="false">
      <c r="H1725" s="14" t="b">
        <f aca="false">IF(중복검사!$A1723="",FALSE(),중복검사!$J1723="유지")</f>
        <v>0</v>
      </c>
      <c r="I1725" s="5" t="str">
        <f aca="false">IF($H1725=FALSE(),"",COUNTIF($H$6:$H1725,TRUE()))</f>
        <v/>
      </c>
      <c r="J1725" s="5" t="str">
        <f aca="false">IF($I1725="","","R"&amp;$I1725)</f>
        <v/>
      </c>
    </row>
    <row r="1726" customFormat="false" ht="15" hidden="false" customHeight="true" outlineLevel="0" collapsed="false">
      <c r="H1726" s="14" t="b">
        <f aca="false">IF(중복검사!$A1724="",FALSE(),중복검사!$J1724="유지")</f>
        <v>0</v>
      </c>
      <c r="I1726" s="5" t="str">
        <f aca="false">IF($H1726=FALSE(),"",COUNTIF($H$6:$H1726,TRUE()))</f>
        <v/>
      </c>
      <c r="J1726" s="5" t="str">
        <f aca="false">IF($I1726="","","R"&amp;$I1726)</f>
        <v/>
      </c>
    </row>
    <row r="1727" customFormat="false" ht="15" hidden="false" customHeight="true" outlineLevel="0" collapsed="false">
      <c r="H1727" s="14" t="b">
        <f aca="false">IF(중복검사!$A1725="",FALSE(),중복검사!$J1725="유지")</f>
        <v>0</v>
      </c>
      <c r="I1727" s="5" t="str">
        <f aca="false">IF($H1727=FALSE(),"",COUNTIF($H$6:$H1727,TRUE()))</f>
        <v/>
      </c>
      <c r="J1727" s="5" t="str">
        <f aca="false">IF($I1727="","","R"&amp;$I1727)</f>
        <v/>
      </c>
    </row>
    <row r="1728" customFormat="false" ht="15" hidden="false" customHeight="true" outlineLevel="0" collapsed="false">
      <c r="H1728" s="14" t="b">
        <f aca="false">IF(중복검사!$A1726="",FALSE(),중복검사!$J1726="유지")</f>
        <v>0</v>
      </c>
      <c r="I1728" s="5" t="str">
        <f aca="false">IF($H1728=FALSE(),"",COUNTIF($H$6:$H1728,TRUE()))</f>
        <v/>
      </c>
      <c r="J1728" s="5" t="str">
        <f aca="false">IF($I1728="","","R"&amp;$I1728)</f>
        <v/>
      </c>
    </row>
    <row r="1729" customFormat="false" ht="15" hidden="false" customHeight="true" outlineLevel="0" collapsed="false">
      <c r="H1729" s="14" t="b">
        <f aca="false">IF(중복검사!$A1727="",FALSE(),중복검사!$J1727="유지")</f>
        <v>0</v>
      </c>
      <c r="I1729" s="5" t="str">
        <f aca="false">IF($H1729=FALSE(),"",COUNTIF($H$6:$H1729,TRUE()))</f>
        <v/>
      </c>
      <c r="J1729" s="5" t="str">
        <f aca="false">IF($I1729="","","R"&amp;$I1729)</f>
        <v/>
      </c>
    </row>
    <row r="1730" customFormat="false" ht="15" hidden="false" customHeight="true" outlineLevel="0" collapsed="false">
      <c r="H1730" s="14" t="b">
        <f aca="false">IF(중복검사!$A1728="",FALSE(),중복검사!$J1728="유지")</f>
        <v>0</v>
      </c>
      <c r="I1730" s="5" t="str">
        <f aca="false">IF($H1730=FALSE(),"",COUNTIF($H$6:$H1730,TRUE()))</f>
        <v/>
      </c>
      <c r="J1730" s="5" t="str">
        <f aca="false">IF($I1730="","","R"&amp;$I1730)</f>
        <v/>
      </c>
    </row>
    <row r="1731" customFormat="false" ht="15" hidden="false" customHeight="true" outlineLevel="0" collapsed="false">
      <c r="H1731" s="14" t="b">
        <f aca="false">IF(중복검사!$A1729="",FALSE(),중복검사!$J1729="유지")</f>
        <v>0</v>
      </c>
      <c r="I1731" s="5" t="str">
        <f aca="false">IF($H1731=FALSE(),"",COUNTIF($H$6:$H1731,TRUE()))</f>
        <v/>
      </c>
      <c r="J1731" s="5" t="str">
        <f aca="false">IF($I1731="","","R"&amp;$I1731)</f>
        <v/>
      </c>
    </row>
    <row r="1732" customFormat="false" ht="15" hidden="false" customHeight="true" outlineLevel="0" collapsed="false">
      <c r="H1732" s="14" t="b">
        <f aca="false">IF(중복검사!$A1730="",FALSE(),중복검사!$J1730="유지")</f>
        <v>0</v>
      </c>
      <c r="I1732" s="5" t="str">
        <f aca="false">IF($H1732=FALSE(),"",COUNTIF($H$6:$H1732,TRUE()))</f>
        <v/>
      </c>
      <c r="J1732" s="5" t="str">
        <f aca="false">IF($I1732="","","R"&amp;$I1732)</f>
        <v/>
      </c>
    </row>
    <row r="1733" customFormat="false" ht="15" hidden="false" customHeight="true" outlineLevel="0" collapsed="false">
      <c r="H1733" s="14" t="b">
        <f aca="false">IF(중복검사!$A1731="",FALSE(),중복검사!$J1731="유지")</f>
        <v>0</v>
      </c>
      <c r="I1733" s="5" t="str">
        <f aca="false">IF($H1733=FALSE(),"",COUNTIF($H$6:$H1733,TRUE()))</f>
        <v/>
      </c>
      <c r="J1733" s="5" t="str">
        <f aca="false">IF($I1733="","","R"&amp;$I1733)</f>
        <v/>
      </c>
    </row>
    <row r="1734" customFormat="false" ht="15" hidden="false" customHeight="true" outlineLevel="0" collapsed="false">
      <c r="H1734" s="14" t="b">
        <f aca="false">IF(중복검사!$A1732="",FALSE(),중복검사!$J1732="유지")</f>
        <v>0</v>
      </c>
      <c r="I1734" s="5" t="str">
        <f aca="false">IF($H1734=FALSE(),"",COUNTIF($H$6:$H1734,TRUE()))</f>
        <v/>
      </c>
      <c r="J1734" s="5" t="str">
        <f aca="false">IF($I1734="","","R"&amp;$I1734)</f>
        <v/>
      </c>
    </row>
    <row r="1735" customFormat="false" ht="15" hidden="false" customHeight="true" outlineLevel="0" collapsed="false">
      <c r="H1735" s="14" t="b">
        <f aca="false">IF(중복검사!$A1733="",FALSE(),중복검사!$J1733="유지")</f>
        <v>0</v>
      </c>
      <c r="I1735" s="5" t="str">
        <f aca="false">IF($H1735=FALSE(),"",COUNTIF($H$6:$H1735,TRUE()))</f>
        <v/>
      </c>
      <c r="J1735" s="5" t="str">
        <f aca="false">IF($I1735="","","R"&amp;$I1735)</f>
        <v/>
      </c>
    </row>
    <row r="1736" customFormat="false" ht="15" hidden="false" customHeight="true" outlineLevel="0" collapsed="false">
      <c r="H1736" s="14" t="b">
        <f aca="false">IF(중복검사!$A1734="",FALSE(),중복검사!$J1734="유지")</f>
        <v>0</v>
      </c>
      <c r="I1736" s="5" t="str">
        <f aca="false">IF($H1736=FALSE(),"",COUNTIF($H$6:$H1736,TRUE()))</f>
        <v/>
      </c>
      <c r="J1736" s="5" t="str">
        <f aca="false">IF($I1736="","","R"&amp;$I1736)</f>
        <v/>
      </c>
    </row>
    <row r="1737" customFormat="false" ht="15" hidden="false" customHeight="true" outlineLevel="0" collapsed="false">
      <c r="H1737" s="14" t="b">
        <f aca="false">IF(중복검사!$A1735="",FALSE(),중복검사!$J1735="유지")</f>
        <v>0</v>
      </c>
      <c r="I1737" s="5" t="str">
        <f aca="false">IF($H1737=FALSE(),"",COUNTIF($H$6:$H1737,TRUE()))</f>
        <v/>
      </c>
      <c r="J1737" s="5" t="str">
        <f aca="false">IF($I1737="","","R"&amp;$I1737)</f>
        <v/>
      </c>
    </row>
    <row r="1738" customFormat="false" ht="15" hidden="false" customHeight="true" outlineLevel="0" collapsed="false">
      <c r="H1738" s="14" t="b">
        <f aca="false">IF(중복검사!$A1736="",FALSE(),중복검사!$J1736="유지")</f>
        <v>0</v>
      </c>
      <c r="I1738" s="5" t="str">
        <f aca="false">IF($H1738=FALSE(),"",COUNTIF($H$6:$H1738,TRUE()))</f>
        <v/>
      </c>
      <c r="J1738" s="5" t="str">
        <f aca="false">IF($I1738="","","R"&amp;$I1738)</f>
        <v/>
      </c>
    </row>
    <row r="1739" customFormat="false" ht="15" hidden="false" customHeight="true" outlineLevel="0" collapsed="false">
      <c r="H1739" s="14" t="b">
        <f aca="false">IF(중복검사!$A1737="",FALSE(),중복검사!$J1737="유지")</f>
        <v>0</v>
      </c>
      <c r="I1739" s="5" t="str">
        <f aca="false">IF($H1739=FALSE(),"",COUNTIF($H$6:$H1739,TRUE()))</f>
        <v/>
      </c>
      <c r="J1739" s="5" t="str">
        <f aca="false">IF($I1739="","","R"&amp;$I1739)</f>
        <v/>
      </c>
    </row>
    <row r="1740" customFormat="false" ht="15" hidden="false" customHeight="true" outlineLevel="0" collapsed="false">
      <c r="H1740" s="14" t="b">
        <f aca="false">IF(중복검사!$A1738="",FALSE(),중복검사!$J1738="유지")</f>
        <v>0</v>
      </c>
      <c r="I1740" s="5" t="str">
        <f aca="false">IF($H1740=FALSE(),"",COUNTIF($H$6:$H1740,TRUE()))</f>
        <v/>
      </c>
      <c r="J1740" s="5" t="str">
        <f aca="false">IF($I1740="","","R"&amp;$I1740)</f>
        <v/>
      </c>
    </row>
    <row r="1741" customFormat="false" ht="15" hidden="false" customHeight="true" outlineLevel="0" collapsed="false">
      <c r="H1741" s="14" t="b">
        <f aca="false">IF(중복검사!$A1739="",FALSE(),중복검사!$J1739="유지")</f>
        <v>0</v>
      </c>
      <c r="I1741" s="5" t="str">
        <f aca="false">IF($H1741=FALSE(),"",COUNTIF($H$6:$H1741,TRUE()))</f>
        <v/>
      </c>
      <c r="J1741" s="5" t="str">
        <f aca="false">IF($I1741="","","R"&amp;$I1741)</f>
        <v/>
      </c>
    </row>
    <row r="1742" customFormat="false" ht="15" hidden="false" customHeight="true" outlineLevel="0" collapsed="false">
      <c r="H1742" s="14" t="b">
        <f aca="false">IF(중복검사!$A1740="",FALSE(),중복검사!$J1740="유지")</f>
        <v>0</v>
      </c>
      <c r="I1742" s="5" t="str">
        <f aca="false">IF($H1742=FALSE(),"",COUNTIF($H$6:$H1742,TRUE()))</f>
        <v/>
      </c>
      <c r="J1742" s="5" t="str">
        <f aca="false">IF($I1742="","","R"&amp;$I1742)</f>
        <v/>
      </c>
    </row>
    <row r="1743" customFormat="false" ht="15" hidden="false" customHeight="true" outlineLevel="0" collapsed="false">
      <c r="H1743" s="14" t="b">
        <f aca="false">IF(중복검사!$A1741="",FALSE(),중복검사!$J1741="유지")</f>
        <v>0</v>
      </c>
      <c r="I1743" s="5" t="str">
        <f aca="false">IF($H1743=FALSE(),"",COUNTIF($H$6:$H1743,TRUE()))</f>
        <v/>
      </c>
      <c r="J1743" s="5" t="str">
        <f aca="false">IF($I1743="","","R"&amp;$I1743)</f>
        <v/>
      </c>
    </row>
    <row r="1744" customFormat="false" ht="15" hidden="false" customHeight="true" outlineLevel="0" collapsed="false">
      <c r="H1744" s="14" t="b">
        <f aca="false">IF(중복검사!$A1742="",FALSE(),중복검사!$J1742="유지")</f>
        <v>0</v>
      </c>
      <c r="I1744" s="5" t="str">
        <f aca="false">IF($H1744=FALSE(),"",COUNTIF($H$6:$H1744,TRUE()))</f>
        <v/>
      </c>
      <c r="J1744" s="5" t="str">
        <f aca="false">IF($I1744="","","R"&amp;$I1744)</f>
        <v/>
      </c>
    </row>
    <row r="1745" customFormat="false" ht="15" hidden="false" customHeight="true" outlineLevel="0" collapsed="false">
      <c r="H1745" s="14" t="b">
        <f aca="false">IF(중복검사!$A1743="",FALSE(),중복검사!$J1743="유지")</f>
        <v>0</v>
      </c>
      <c r="I1745" s="5" t="str">
        <f aca="false">IF($H1745=FALSE(),"",COUNTIF($H$6:$H1745,TRUE()))</f>
        <v/>
      </c>
      <c r="J1745" s="5" t="str">
        <f aca="false">IF($I1745="","","R"&amp;$I1745)</f>
        <v/>
      </c>
    </row>
    <row r="1746" customFormat="false" ht="15" hidden="false" customHeight="true" outlineLevel="0" collapsed="false">
      <c r="H1746" s="14" t="b">
        <f aca="false">IF(중복검사!$A1744="",FALSE(),중복검사!$J1744="유지")</f>
        <v>0</v>
      </c>
      <c r="I1746" s="5" t="str">
        <f aca="false">IF($H1746=FALSE(),"",COUNTIF($H$6:$H1746,TRUE()))</f>
        <v/>
      </c>
      <c r="J1746" s="5" t="str">
        <f aca="false">IF($I1746="","","R"&amp;$I1746)</f>
        <v/>
      </c>
    </row>
    <row r="1747" customFormat="false" ht="15" hidden="false" customHeight="true" outlineLevel="0" collapsed="false">
      <c r="H1747" s="14" t="b">
        <f aca="false">IF(중복검사!$A1745="",FALSE(),중복검사!$J1745="유지")</f>
        <v>0</v>
      </c>
      <c r="I1747" s="5" t="str">
        <f aca="false">IF($H1747=FALSE(),"",COUNTIF($H$6:$H1747,TRUE()))</f>
        <v/>
      </c>
      <c r="J1747" s="5" t="str">
        <f aca="false">IF($I1747="","","R"&amp;$I1747)</f>
        <v/>
      </c>
    </row>
    <row r="1748" customFormat="false" ht="15" hidden="false" customHeight="true" outlineLevel="0" collapsed="false">
      <c r="H1748" s="14" t="b">
        <f aca="false">IF(중복검사!$A1746="",FALSE(),중복검사!$J1746="유지")</f>
        <v>0</v>
      </c>
      <c r="I1748" s="5" t="str">
        <f aca="false">IF($H1748=FALSE(),"",COUNTIF($H$6:$H1748,TRUE()))</f>
        <v/>
      </c>
      <c r="J1748" s="5" t="str">
        <f aca="false">IF($I1748="","","R"&amp;$I1748)</f>
        <v/>
      </c>
    </row>
    <row r="1749" customFormat="false" ht="15" hidden="false" customHeight="true" outlineLevel="0" collapsed="false">
      <c r="H1749" s="14" t="b">
        <f aca="false">IF(중복검사!$A1747="",FALSE(),중복검사!$J1747="유지")</f>
        <v>0</v>
      </c>
      <c r="I1749" s="5" t="str">
        <f aca="false">IF($H1749=FALSE(),"",COUNTIF($H$6:$H1749,TRUE()))</f>
        <v/>
      </c>
      <c r="J1749" s="5" t="str">
        <f aca="false">IF($I1749="","","R"&amp;$I1749)</f>
        <v/>
      </c>
    </row>
    <row r="1750" customFormat="false" ht="15" hidden="false" customHeight="true" outlineLevel="0" collapsed="false">
      <c r="H1750" s="14" t="b">
        <f aca="false">IF(중복검사!$A1748="",FALSE(),중복검사!$J1748="유지")</f>
        <v>0</v>
      </c>
      <c r="I1750" s="5" t="str">
        <f aca="false">IF($H1750=FALSE(),"",COUNTIF($H$6:$H1750,TRUE()))</f>
        <v/>
      </c>
      <c r="J1750" s="5" t="str">
        <f aca="false">IF($I1750="","","R"&amp;$I1750)</f>
        <v/>
      </c>
    </row>
    <row r="1751" customFormat="false" ht="15" hidden="false" customHeight="true" outlineLevel="0" collapsed="false">
      <c r="H1751" s="14" t="b">
        <f aca="false">IF(중복검사!$A1749="",FALSE(),중복검사!$J1749="유지")</f>
        <v>0</v>
      </c>
      <c r="I1751" s="5" t="str">
        <f aca="false">IF($H1751=FALSE(),"",COUNTIF($H$6:$H1751,TRUE()))</f>
        <v/>
      </c>
      <c r="J1751" s="5" t="str">
        <f aca="false">IF($I1751="","","R"&amp;$I1751)</f>
        <v/>
      </c>
    </row>
    <row r="1752" customFormat="false" ht="15" hidden="false" customHeight="true" outlineLevel="0" collapsed="false">
      <c r="H1752" s="14" t="b">
        <f aca="false">IF(중복검사!$A1750="",FALSE(),중복검사!$J1750="유지")</f>
        <v>0</v>
      </c>
      <c r="I1752" s="5" t="str">
        <f aca="false">IF($H1752=FALSE(),"",COUNTIF($H$6:$H1752,TRUE()))</f>
        <v/>
      </c>
      <c r="J1752" s="5" t="str">
        <f aca="false">IF($I1752="","","R"&amp;$I1752)</f>
        <v/>
      </c>
    </row>
    <row r="1753" customFormat="false" ht="15" hidden="false" customHeight="true" outlineLevel="0" collapsed="false">
      <c r="H1753" s="14" t="b">
        <f aca="false">IF(중복검사!$A1751="",FALSE(),중복검사!$J1751="유지")</f>
        <v>0</v>
      </c>
      <c r="I1753" s="5" t="str">
        <f aca="false">IF($H1753=FALSE(),"",COUNTIF($H$6:$H1753,TRUE()))</f>
        <v/>
      </c>
      <c r="J1753" s="5" t="str">
        <f aca="false">IF($I1753="","","R"&amp;$I1753)</f>
        <v/>
      </c>
    </row>
    <row r="1754" customFormat="false" ht="15" hidden="false" customHeight="true" outlineLevel="0" collapsed="false">
      <c r="H1754" s="14" t="b">
        <f aca="false">IF(중복검사!$A1752="",FALSE(),중복검사!$J1752="유지")</f>
        <v>0</v>
      </c>
      <c r="I1754" s="5" t="str">
        <f aca="false">IF($H1754=FALSE(),"",COUNTIF($H$6:$H1754,TRUE()))</f>
        <v/>
      </c>
      <c r="J1754" s="5" t="str">
        <f aca="false">IF($I1754="","","R"&amp;$I1754)</f>
        <v/>
      </c>
    </row>
    <row r="1755" customFormat="false" ht="15" hidden="false" customHeight="true" outlineLevel="0" collapsed="false">
      <c r="H1755" s="14" t="b">
        <f aca="false">IF(중복검사!$A1753="",FALSE(),중복검사!$J1753="유지")</f>
        <v>0</v>
      </c>
      <c r="I1755" s="5" t="str">
        <f aca="false">IF($H1755=FALSE(),"",COUNTIF($H$6:$H1755,TRUE()))</f>
        <v/>
      </c>
      <c r="J1755" s="5" t="str">
        <f aca="false">IF($I1755="","","R"&amp;$I1755)</f>
        <v/>
      </c>
    </row>
    <row r="1756" customFormat="false" ht="15" hidden="false" customHeight="true" outlineLevel="0" collapsed="false">
      <c r="H1756" s="14" t="b">
        <f aca="false">IF(중복검사!$A1754="",FALSE(),중복검사!$J1754="유지")</f>
        <v>0</v>
      </c>
      <c r="I1756" s="5" t="str">
        <f aca="false">IF($H1756=FALSE(),"",COUNTIF($H$6:$H1756,TRUE()))</f>
        <v/>
      </c>
      <c r="J1756" s="5" t="str">
        <f aca="false">IF($I1756="","","R"&amp;$I1756)</f>
        <v/>
      </c>
    </row>
    <row r="1757" customFormat="false" ht="15" hidden="false" customHeight="true" outlineLevel="0" collapsed="false">
      <c r="H1757" s="14" t="b">
        <f aca="false">IF(중복검사!$A1755="",FALSE(),중복검사!$J1755="유지")</f>
        <v>0</v>
      </c>
      <c r="I1757" s="5" t="str">
        <f aca="false">IF($H1757=FALSE(),"",COUNTIF($H$6:$H1757,TRUE()))</f>
        <v/>
      </c>
      <c r="J1757" s="5" t="str">
        <f aca="false">IF($I1757="","","R"&amp;$I1757)</f>
        <v/>
      </c>
    </row>
    <row r="1758" customFormat="false" ht="15" hidden="false" customHeight="true" outlineLevel="0" collapsed="false">
      <c r="H1758" s="14" t="b">
        <f aca="false">IF(중복검사!$A1756="",FALSE(),중복검사!$J1756="유지")</f>
        <v>0</v>
      </c>
      <c r="I1758" s="5" t="str">
        <f aca="false">IF($H1758=FALSE(),"",COUNTIF($H$6:$H1758,TRUE()))</f>
        <v/>
      </c>
      <c r="J1758" s="5" t="str">
        <f aca="false">IF($I1758="","","R"&amp;$I1758)</f>
        <v/>
      </c>
    </row>
    <row r="1759" customFormat="false" ht="15" hidden="false" customHeight="true" outlineLevel="0" collapsed="false">
      <c r="H1759" s="14" t="b">
        <f aca="false">IF(중복검사!$A1757="",FALSE(),중복검사!$J1757="유지")</f>
        <v>0</v>
      </c>
      <c r="I1759" s="5" t="str">
        <f aca="false">IF($H1759=FALSE(),"",COUNTIF($H$6:$H1759,TRUE()))</f>
        <v/>
      </c>
      <c r="J1759" s="5" t="str">
        <f aca="false">IF($I1759="","","R"&amp;$I1759)</f>
        <v/>
      </c>
    </row>
    <row r="1760" customFormat="false" ht="15" hidden="false" customHeight="true" outlineLevel="0" collapsed="false">
      <c r="H1760" s="14" t="b">
        <f aca="false">IF(중복검사!$A1758="",FALSE(),중복검사!$J1758="유지")</f>
        <v>0</v>
      </c>
      <c r="I1760" s="5" t="str">
        <f aca="false">IF($H1760=FALSE(),"",COUNTIF($H$6:$H1760,TRUE()))</f>
        <v/>
      </c>
      <c r="J1760" s="5" t="str">
        <f aca="false">IF($I1760="","","R"&amp;$I1760)</f>
        <v/>
      </c>
    </row>
    <row r="1761" customFormat="false" ht="15" hidden="false" customHeight="true" outlineLevel="0" collapsed="false">
      <c r="H1761" s="14" t="b">
        <f aca="false">IF(중복검사!$A1759="",FALSE(),중복검사!$J1759="유지")</f>
        <v>0</v>
      </c>
      <c r="I1761" s="5" t="str">
        <f aca="false">IF($H1761=FALSE(),"",COUNTIF($H$6:$H1761,TRUE()))</f>
        <v/>
      </c>
      <c r="J1761" s="5" t="str">
        <f aca="false">IF($I1761="","","R"&amp;$I1761)</f>
        <v/>
      </c>
    </row>
    <row r="1762" customFormat="false" ht="15" hidden="false" customHeight="true" outlineLevel="0" collapsed="false">
      <c r="H1762" s="14" t="b">
        <f aca="false">IF(중복검사!$A1760="",FALSE(),중복검사!$J1760="유지")</f>
        <v>0</v>
      </c>
      <c r="I1762" s="5" t="str">
        <f aca="false">IF($H1762=FALSE(),"",COUNTIF($H$6:$H1762,TRUE()))</f>
        <v/>
      </c>
      <c r="J1762" s="5" t="str">
        <f aca="false">IF($I1762="","","R"&amp;$I1762)</f>
        <v/>
      </c>
    </row>
    <row r="1763" customFormat="false" ht="15" hidden="false" customHeight="true" outlineLevel="0" collapsed="false">
      <c r="H1763" s="14" t="b">
        <f aca="false">IF(중복검사!$A1761="",FALSE(),중복검사!$J1761="유지")</f>
        <v>0</v>
      </c>
      <c r="I1763" s="5" t="str">
        <f aca="false">IF($H1763=FALSE(),"",COUNTIF($H$6:$H1763,TRUE()))</f>
        <v/>
      </c>
      <c r="J1763" s="5" t="str">
        <f aca="false">IF($I1763="","","R"&amp;$I1763)</f>
        <v/>
      </c>
    </row>
    <row r="1764" customFormat="false" ht="15" hidden="false" customHeight="true" outlineLevel="0" collapsed="false">
      <c r="H1764" s="14" t="b">
        <f aca="false">IF(중복검사!$A1762="",FALSE(),중복검사!$J1762="유지")</f>
        <v>0</v>
      </c>
      <c r="I1764" s="5" t="str">
        <f aca="false">IF($H1764=FALSE(),"",COUNTIF($H$6:$H1764,TRUE()))</f>
        <v/>
      </c>
      <c r="J1764" s="5" t="str">
        <f aca="false">IF($I1764="","","R"&amp;$I1764)</f>
        <v/>
      </c>
    </row>
    <row r="1765" customFormat="false" ht="15" hidden="false" customHeight="true" outlineLevel="0" collapsed="false">
      <c r="H1765" s="14" t="b">
        <f aca="false">IF(중복검사!$A1763="",FALSE(),중복검사!$J1763="유지")</f>
        <v>0</v>
      </c>
      <c r="I1765" s="5" t="str">
        <f aca="false">IF($H1765=FALSE(),"",COUNTIF($H$6:$H1765,TRUE()))</f>
        <v/>
      </c>
      <c r="J1765" s="5" t="str">
        <f aca="false">IF($I1765="","","R"&amp;$I1765)</f>
        <v/>
      </c>
    </row>
    <row r="1766" customFormat="false" ht="15" hidden="false" customHeight="true" outlineLevel="0" collapsed="false">
      <c r="H1766" s="14" t="b">
        <f aca="false">IF(중복검사!$A1764="",FALSE(),중복검사!$J1764="유지")</f>
        <v>0</v>
      </c>
      <c r="I1766" s="5" t="str">
        <f aca="false">IF($H1766=FALSE(),"",COUNTIF($H$6:$H1766,TRUE()))</f>
        <v/>
      </c>
      <c r="J1766" s="5" t="str">
        <f aca="false">IF($I1766="","","R"&amp;$I1766)</f>
        <v/>
      </c>
    </row>
    <row r="1767" customFormat="false" ht="15" hidden="false" customHeight="true" outlineLevel="0" collapsed="false">
      <c r="H1767" s="14" t="b">
        <f aca="false">IF(중복검사!$A1765="",FALSE(),중복검사!$J1765="유지")</f>
        <v>0</v>
      </c>
      <c r="I1767" s="5" t="str">
        <f aca="false">IF($H1767=FALSE(),"",COUNTIF($H$6:$H1767,TRUE()))</f>
        <v/>
      </c>
      <c r="J1767" s="5" t="str">
        <f aca="false">IF($I1767="","","R"&amp;$I1767)</f>
        <v/>
      </c>
    </row>
    <row r="1768" customFormat="false" ht="15" hidden="false" customHeight="true" outlineLevel="0" collapsed="false">
      <c r="H1768" s="14" t="b">
        <f aca="false">IF(중복검사!$A1766="",FALSE(),중복검사!$J1766="유지")</f>
        <v>0</v>
      </c>
      <c r="I1768" s="5" t="str">
        <f aca="false">IF($H1768=FALSE(),"",COUNTIF($H$6:$H1768,TRUE()))</f>
        <v/>
      </c>
      <c r="J1768" s="5" t="str">
        <f aca="false">IF($I1768="","","R"&amp;$I1768)</f>
        <v/>
      </c>
    </row>
    <row r="1769" customFormat="false" ht="15" hidden="false" customHeight="true" outlineLevel="0" collapsed="false">
      <c r="H1769" s="14" t="b">
        <f aca="false">IF(중복검사!$A1767="",FALSE(),중복검사!$J1767="유지")</f>
        <v>0</v>
      </c>
      <c r="I1769" s="5" t="str">
        <f aca="false">IF($H1769=FALSE(),"",COUNTIF($H$6:$H1769,TRUE()))</f>
        <v/>
      </c>
      <c r="J1769" s="5" t="str">
        <f aca="false">IF($I1769="","","R"&amp;$I1769)</f>
        <v/>
      </c>
    </row>
    <row r="1770" customFormat="false" ht="15" hidden="false" customHeight="true" outlineLevel="0" collapsed="false">
      <c r="H1770" s="14" t="b">
        <f aca="false">IF(중복검사!$A1768="",FALSE(),중복검사!$J1768="유지")</f>
        <v>0</v>
      </c>
      <c r="I1770" s="5" t="str">
        <f aca="false">IF($H1770=FALSE(),"",COUNTIF($H$6:$H1770,TRUE()))</f>
        <v/>
      </c>
      <c r="J1770" s="5" t="str">
        <f aca="false">IF($I1770="","","R"&amp;$I1770)</f>
        <v/>
      </c>
    </row>
    <row r="1771" customFormat="false" ht="15" hidden="false" customHeight="true" outlineLevel="0" collapsed="false">
      <c r="H1771" s="14" t="b">
        <f aca="false">IF(중복검사!$A1769="",FALSE(),중복검사!$J1769="유지")</f>
        <v>0</v>
      </c>
      <c r="I1771" s="5" t="str">
        <f aca="false">IF($H1771=FALSE(),"",COUNTIF($H$6:$H1771,TRUE()))</f>
        <v/>
      </c>
      <c r="J1771" s="5" t="str">
        <f aca="false">IF($I1771="","","R"&amp;$I1771)</f>
        <v/>
      </c>
    </row>
    <row r="1772" customFormat="false" ht="15" hidden="false" customHeight="true" outlineLevel="0" collapsed="false">
      <c r="H1772" s="14" t="b">
        <f aca="false">IF(중복검사!$A1770="",FALSE(),중복검사!$J1770="유지")</f>
        <v>0</v>
      </c>
      <c r="I1772" s="5" t="str">
        <f aca="false">IF($H1772=FALSE(),"",COUNTIF($H$6:$H1772,TRUE()))</f>
        <v/>
      </c>
      <c r="J1772" s="5" t="str">
        <f aca="false">IF($I1772="","","R"&amp;$I1772)</f>
        <v/>
      </c>
    </row>
    <row r="1773" customFormat="false" ht="15" hidden="false" customHeight="true" outlineLevel="0" collapsed="false">
      <c r="H1773" s="14" t="b">
        <f aca="false">IF(중복검사!$A1771="",FALSE(),중복검사!$J1771="유지")</f>
        <v>0</v>
      </c>
      <c r="I1773" s="5" t="str">
        <f aca="false">IF($H1773=FALSE(),"",COUNTIF($H$6:$H1773,TRUE()))</f>
        <v/>
      </c>
      <c r="J1773" s="5" t="str">
        <f aca="false">IF($I1773="","","R"&amp;$I1773)</f>
        <v/>
      </c>
    </row>
    <row r="1774" customFormat="false" ht="15" hidden="false" customHeight="true" outlineLevel="0" collapsed="false">
      <c r="H1774" s="14" t="b">
        <f aca="false">IF(중복검사!$A1772="",FALSE(),중복검사!$J1772="유지")</f>
        <v>0</v>
      </c>
      <c r="I1774" s="5" t="str">
        <f aca="false">IF($H1774=FALSE(),"",COUNTIF($H$6:$H1774,TRUE()))</f>
        <v/>
      </c>
      <c r="J1774" s="5" t="str">
        <f aca="false">IF($I1774="","","R"&amp;$I1774)</f>
        <v/>
      </c>
    </row>
    <row r="1775" customFormat="false" ht="15" hidden="false" customHeight="true" outlineLevel="0" collapsed="false">
      <c r="H1775" s="14" t="b">
        <f aca="false">IF(중복검사!$A1773="",FALSE(),중복검사!$J1773="유지")</f>
        <v>0</v>
      </c>
      <c r="I1775" s="5" t="str">
        <f aca="false">IF($H1775=FALSE(),"",COUNTIF($H$6:$H1775,TRUE()))</f>
        <v/>
      </c>
      <c r="J1775" s="5" t="str">
        <f aca="false">IF($I1775="","","R"&amp;$I1775)</f>
        <v/>
      </c>
    </row>
    <row r="1776" customFormat="false" ht="15" hidden="false" customHeight="true" outlineLevel="0" collapsed="false">
      <c r="H1776" s="14" t="b">
        <f aca="false">IF(중복검사!$A1774="",FALSE(),중복검사!$J1774="유지")</f>
        <v>0</v>
      </c>
      <c r="I1776" s="5" t="str">
        <f aca="false">IF($H1776=FALSE(),"",COUNTIF($H$6:$H1776,TRUE()))</f>
        <v/>
      </c>
      <c r="J1776" s="5" t="str">
        <f aca="false">IF($I1776="","","R"&amp;$I1776)</f>
        <v/>
      </c>
    </row>
    <row r="1777" customFormat="false" ht="15" hidden="false" customHeight="true" outlineLevel="0" collapsed="false">
      <c r="H1777" s="14" t="b">
        <f aca="false">IF(중복검사!$A1775="",FALSE(),중복검사!$J1775="유지")</f>
        <v>0</v>
      </c>
      <c r="I1777" s="5" t="str">
        <f aca="false">IF($H1777=FALSE(),"",COUNTIF($H$6:$H1777,TRUE()))</f>
        <v/>
      </c>
      <c r="J1777" s="5" t="str">
        <f aca="false">IF($I1777="","","R"&amp;$I1777)</f>
        <v/>
      </c>
    </row>
    <row r="1778" customFormat="false" ht="15" hidden="false" customHeight="true" outlineLevel="0" collapsed="false">
      <c r="H1778" s="14" t="b">
        <f aca="false">IF(중복검사!$A1776="",FALSE(),중복검사!$J1776="유지")</f>
        <v>0</v>
      </c>
      <c r="I1778" s="5" t="str">
        <f aca="false">IF($H1778=FALSE(),"",COUNTIF($H$6:$H1778,TRUE()))</f>
        <v/>
      </c>
      <c r="J1778" s="5" t="str">
        <f aca="false">IF($I1778="","","R"&amp;$I1778)</f>
        <v/>
      </c>
    </row>
    <row r="1779" customFormat="false" ht="15" hidden="false" customHeight="true" outlineLevel="0" collapsed="false">
      <c r="H1779" s="14" t="b">
        <f aca="false">IF(중복검사!$A1777="",FALSE(),중복검사!$J1777="유지")</f>
        <v>0</v>
      </c>
      <c r="I1779" s="5" t="str">
        <f aca="false">IF($H1779=FALSE(),"",COUNTIF($H$6:$H1779,TRUE()))</f>
        <v/>
      </c>
      <c r="J1779" s="5" t="str">
        <f aca="false">IF($I1779="","","R"&amp;$I1779)</f>
        <v/>
      </c>
    </row>
    <row r="1780" customFormat="false" ht="15" hidden="false" customHeight="true" outlineLevel="0" collapsed="false">
      <c r="H1780" s="14" t="b">
        <f aca="false">IF(중복검사!$A1778="",FALSE(),중복검사!$J1778="유지")</f>
        <v>0</v>
      </c>
      <c r="I1780" s="5" t="str">
        <f aca="false">IF($H1780=FALSE(),"",COUNTIF($H$6:$H1780,TRUE()))</f>
        <v/>
      </c>
      <c r="J1780" s="5" t="str">
        <f aca="false">IF($I1780="","","R"&amp;$I1780)</f>
        <v/>
      </c>
    </row>
    <row r="1781" customFormat="false" ht="15" hidden="false" customHeight="true" outlineLevel="0" collapsed="false">
      <c r="H1781" s="14" t="b">
        <f aca="false">IF(중복검사!$A1779="",FALSE(),중복검사!$J1779="유지")</f>
        <v>0</v>
      </c>
      <c r="I1781" s="5" t="str">
        <f aca="false">IF($H1781=FALSE(),"",COUNTIF($H$6:$H1781,TRUE()))</f>
        <v/>
      </c>
      <c r="J1781" s="5" t="str">
        <f aca="false">IF($I1781="","","R"&amp;$I1781)</f>
        <v/>
      </c>
    </row>
    <row r="1782" customFormat="false" ht="15" hidden="false" customHeight="true" outlineLevel="0" collapsed="false">
      <c r="H1782" s="14" t="b">
        <f aca="false">IF(중복검사!$A1780="",FALSE(),중복검사!$J1780="유지")</f>
        <v>0</v>
      </c>
      <c r="I1782" s="5" t="str">
        <f aca="false">IF($H1782=FALSE(),"",COUNTIF($H$6:$H1782,TRUE()))</f>
        <v/>
      </c>
      <c r="J1782" s="5" t="str">
        <f aca="false">IF($I1782="","","R"&amp;$I1782)</f>
        <v/>
      </c>
    </row>
    <row r="1783" customFormat="false" ht="15" hidden="false" customHeight="true" outlineLevel="0" collapsed="false">
      <c r="H1783" s="14" t="b">
        <f aca="false">IF(중복검사!$A1781="",FALSE(),중복검사!$J1781="유지")</f>
        <v>0</v>
      </c>
      <c r="I1783" s="5" t="str">
        <f aca="false">IF($H1783=FALSE(),"",COUNTIF($H$6:$H1783,TRUE()))</f>
        <v/>
      </c>
      <c r="J1783" s="5" t="str">
        <f aca="false">IF($I1783="","","R"&amp;$I1783)</f>
        <v/>
      </c>
    </row>
    <row r="1784" customFormat="false" ht="15" hidden="false" customHeight="true" outlineLevel="0" collapsed="false">
      <c r="H1784" s="14" t="b">
        <f aca="false">IF(중복검사!$A1782="",FALSE(),중복검사!$J1782="유지")</f>
        <v>0</v>
      </c>
      <c r="I1784" s="5" t="str">
        <f aca="false">IF($H1784=FALSE(),"",COUNTIF($H$6:$H1784,TRUE()))</f>
        <v/>
      </c>
      <c r="J1784" s="5" t="str">
        <f aca="false">IF($I1784="","","R"&amp;$I1784)</f>
        <v/>
      </c>
    </row>
    <row r="1785" customFormat="false" ht="15" hidden="false" customHeight="true" outlineLevel="0" collapsed="false">
      <c r="H1785" s="14" t="b">
        <f aca="false">IF(중복검사!$A1783="",FALSE(),중복검사!$J1783="유지")</f>
        <v>0</v>
      </c>
      <c r="I1785" s="5" t="str">
        <f aca="false">IF($H1785=FALSE(),"",COUNTIF($H$6:$H1785,TRUE()))</f>
        <v/>
      </c>
      <c r="J1785" s="5" t="str">
        <f aca="false">IF($I1785="","","R"&amp;$I1785)</f>
        <v/>
      </c>
    </row>
    <row r="1786" customFormat="false" ht="15" hidden="false" customHeight="true" outlineLevel="0" collapsed="false">
      <c r="H1786" s="14" t="b">
        <f aca="false">IF(중복검사!$A1784="",FALSE(),중복검사!$J1784="유지")</f>
        <v>0</v>
      </c>
      <c r="I1786" s="5" t="str">
        <f aca="false">IF($H1786=FALSE(),"",COUNTIF($H$6:$H1786,TRUE()))</f>
        <v/>
      </c>
      <c r="J1786" s="5" t="str">
        <f aca="false">IF($I1786="","","R"&amp;$I1786)</f>
        <v/>
      </c>
    </row>
    <row r="1787" customFormat="false" ht="15" hidden="false" customHeight="true" outlineLevel="0" collapsed="false">
      <c r="H1787" s="14" t="b">
        <f aca="false">IF(중복검사!$A1785="",FALSE(),중복검사!$J1785="유지")</f>
        <v>0</v>
      </c>
      <c r="I1787" s="5" t="str">
        <f aca="false">IF($H1787=FALSE(),"",COUNTIF($H$6:$H1787,TRUE()))</f>
        <v/>
      </c>
      <c r="J1787" s="5" t="str">
        <f aca="false">IF($I1787="","","R"&amp;$I1787)</f>
        <v/>
      </c>
    </row>
    <row r="1788" customFormat="false" ht="15" hidden="false" customHeight="true" outlineLevel="0" collapsed="false">
      <c r="H1788" s="14" t="b">
        <f aca="false">IF(중복검사!$A1786="",FALSE(),중복검사!$J1786="유지")</f>
        <v>0</v>
      </c>
      <c r="I1788" s="5" t="str">
        <f aca="false">IF($H1788=FALSE(),"",COUNTIF($H$6:$H1788,TRUE()))</f>
        <v/>
      </c>
      <c r="J1788" s="5" t="str">
        <f aca="false">IF($I1788="","","R"&amp;$I1788)</f>
        <v/>
      </c>
    </row>
    <row r="1789" customFormat="false" ht="15" hidden="false" customHeight="true" outlineLevel="0" collapsed="false">
      <c r="H1789" s="14" t="b">
        <f aca="false">IF(중복검사!$A1787="",FALSE(),중복검사!$J1787="유지")</f>
        <v>0</v>
      </c>
      <c r="I1789" s="5" t="str">
        <f aca="false">IF($H1789=FALSE(),"",COUNTIF($H$6:$H1789,TRUE()))</f>
        <v/>
      </c>
      <c r="J1789" s="5" t="str">
        <f aca="false">IF($I1789="","","R"&amp;$I1789)</f>
        <v/>
      </c>
    </row>
    <row r="1790" customFormat="false" ht="15" hidden="false" customHeight="true" outlineLevel="0" collapsed="false">
      <c r="H1790" s="14" t="b">
        <f aca="false">IF(중복검사!$A1788="",FALSE(),중복검사!$J1788="유지")</f>
        <v>0</v>
      </c>
      <c r="I1790" s="5" t="str">
        <f aca="false">IF($H1790=FALSE(),"",COUNTIF($H$6:$H1790,TRUE()))</f>
        <v/>
      </c>
      <c r="J1790" s="5" t="str">
        <f aca="false">IF($I1790="","","R"&amp;$I1790)</f>
        <v/>
      </c>
    </row>
    <row r="1791" customFormat="false" ht="15" hidden="false" customHeight="true" outlineLevel="0" collapsed="false">
      <c r="H1791" s="14" t="b">
        <f aca="false">IF(중복검사!$A1789="",FALSE(),중복검사!$J1789="유지")</f>
        <v>0</v>
      </c>
      <c r="I1791" s="5" t="str">
        <f aca="false">IF($H1791=FALSE(),"",COUNTIF($H$6:$H1791,TRUE()))</f>
        <v/>
      </c>
      <c r="J1791" s="5" t="str">
        <f aca="false">IF($I1791="","","R"&amp;$I1791)</f>
        <v/>
      </c>
    </row>
    <row r="1792" customFormat="false" ht="15" hidden="false" customHeight="true" outlineLevel="0" collapsed="false">
      <c r="H1792" s="14" t="b">
        <f aca="false">IF(중복검사!$A1790="",FALSE(),중복검사!$J1790="유지")</f>
        <v>0</v>
      </c>
      <c r="I1792" s="5" t="str">
        <f aca="false">IF($H1792=FALSE(),"",COUNTIF($H$6:$H1792,TRUE()))</f>
        <v/>
      </c>
      <c r="J1792" s="5" t="str">
        <f aca="false">IF($I1792="","","R"&amp;$I1792)</f>
        <v/>
      </c>
    </row>
    <row r="1793" customFormat="false" ht="15" hidden="false" customHeight="true" outlineLevel="0" collapsed="false">
      <c r="H1793" s="14" t="b">
        <f aca="false">IF(중복검사!$A1791="",FALSE(),중복검사!$J1791="유지")</f>
        <v>0</v>
      </c>
      <c r="I1793" s="5" t="str">
        <f aca="false">IF($H1793=FALSE(),"",COUNTIF($H$6:$H1793,TRUE()))</f>
        <v/>
      </c>
      <c r="J1793" s="5" t="str">
        <f aca="false">IF($I1793="","","R"&amp;$I1793)</f>
        <v/>
      </c>
    </row>
    <row r="1794" customFormat="false" ht="15" hidden="false" customHeight="true" outlineLevel="0" collapsed="false">
      <c r="H1794" s="14" t="b">
        <f aca="false">IF(중복검사!$A1792="",FALSE(),중복검사!$J1792="유지")</f>
        <v>0</v>
      </c>
      <c r="I1794" s="5" t="str">
        <f aca="false">IF($H1794=FALSE(),"",COUNTIF($H$6:$H1794,TRUE()))</f>
        <v/>
      </c>
      <c r="J1794" s="5" t="str">
        <f aca="false">IF($I1794="","","R"&amp;$I1794)</f>
        <v/>
      </c>
    </row>
    <row r="1795" customFormat="false" ht="15" hidden="false" customHeight="true" outlineLevel="0" collapsed="false">
      <c r="H1795" s="14" t="b">
        <f aca="false">IF(중복검사!$A1793="",FALSE(),중복검사!$J1793="유지")</f>
        <v>0</v>
      </c>
      <c r="I1795" s="5" t="str">
        <f aca="false">IF($H1795=FALSE(),"",COUNTIF($H$6:$H1795,TRUE()))</f>
        <v/>
      </c>
      <c r="J1795" s="5" t="str">
        <f aca="false">IF($I1795="","","R"&amp;$I1795)</f>
        <v/>
      </c>
    </row>
    <row r="1796" customFormat="false" ht="15" hidden="false" customHeight="true" outlineLevel="0" collapsed="false">
      <c r="H1796" s="14" t="b">
        <f aca="false">IF(중복검사!$A1794="",FALSE(),중복검사!$J1794="유지")</f>
        <v>0</v>
      </c>
      <c r="I1796" s="5" t="str">
        <f aca="false">IF($H1796=FALSE(),"",COUNTIF($H$6:$H1796,TRUE()))</f>
        <v/>
      </c>
      <c r="J1796" s="5" t="str">
        <f aca="false">IF($I1796="","","R"&amp;$I1796)</f>
        <v/>
      </c>
    </row>
    <row r="1797" customFormat="false" ht="15" hidden="false" customHeight="true" outlineLevel="0" collapsed="false">
      <c r="H1797" s="14" t="b">
        <f aca="false">IF(중복검사!$A1795="",FALSE(),중복검사!$J1795="유지")</f>
        <v>0</v>
      </c>
      <c r="I1797" s="5" t="str">
        <f aca="false">IF($H1797=FALSE(),"",COUNTIF($H$6:$H1797,TRUE()))</f>
        <v/>
      </c>
      <c r="J1797" s="5" t="str">
        <f aca="false">IF($I1797="","","R"&amp;$I1797)</f>
        <v/>
      </c>
    </row>
    <row r="1798" customFormat="false" ht="15" hidden="false" customHeight="true" outlineLevel="0" collapsed="false">
      <c r="H1798" s="14" t="b">
        <f aca="false">IF(중복검사!$A1796="",FALSE(),중복검사!$J1796="유지")</f>
        <v>0</v>
      </c>
      <c r="I1798" s="5" t="str">
        <f aca="false">IF($H1798=FALSE(),"",COUNTIF($H$6:$H1798,TRUE()))</f>
        <v/>
      </c>
      <c r="J1798" s="5" t="str">
        <f aca="false">IF($I1798="","","R"&amp;$I1798)</f>
        <v/>
      </c>
    </row>
    <row r="1799" customFormat="false" ht="15" hidden="false" customHeight="true" outlineLevel="0" collapsed="false">
      <c r="H1799" s="14" t="b">
        <f aca="false">IF(중복검사!$A1797="",FALSE(),중복검사!$J1797="유지")</f>
        <v>0</v>
      </c>
      <c r="I1799" s="5" t="str">
        <f aca="false">IF($H1799=FALSE(),"",COUNTIF($H$6:$H1799,TRUE()))</f>
        <v/>
      </c>
      <c r="J1799" s="5" t="str">
        <f aca="false">IF($I1799="","","R"&amp;$I1799)</f>
        <v/>
      </c>
    </row>
    <row r="1800" customFormat="false" ht="15" hidden="false" customHeight="true" outlineLevel="0" collapsed="false">
      <c r="H1800" s="14" t="b">
        <f aca="false">IF(중복검사!$A1798="",FALSE(),중복검사!$J1798="유지")</f>
        <v>0</v>
      </c>
      <c r="I1800" s="5" t="str">
        <f aca="false">IF($H1800=FALSE(),"",COUNTIF($H$6:$H1800,TRUE()))</f>
        <v/>
      </c>
      <c r="J1800" s="5" t="str">
        <f aca="false">IF($I1800="","","R"&amp;$I1800)</f>
        <v/>
      </c>
    </row>
    <row r="1801" customFormat="false" ht="15" hidden="false" customHeight="true" outlineLevel="0" collapsed="false">
      <c r="H1801" s="14" t="b">
        <f aca="false">IF(중복검사!$A1799="",FALSE(),중복검사!$J1799="유지")</f>
        <v>0</v>
      </c>
      <c r="I1801" s="5" t="str">
        <f aca="false">IF($H1801=FALSE(),"",COUNTIF($H$6:$H1801,TRUE()))</f>
        <v/>
      </c>
      <c r="J1801" s="5" t="str">
        <f aca="false">IF($I1801="","","R"&amp;$I1801)</f>
        <v/>
      </c>
    </row>
    <row r="1802" customFormat="false" ht="15" hidden="false" customHeight="true" outlineLevel="0" collapsed="false">
      <c r="H1802" s="14" t="b">
        <f aca="false">IF(중복검사!$A1800="",FALSE(),중복검사!$J1800="유지")</f>
        <v>0</v>
      </c>
      <c r="I1802" s="5" t="str">
        <f aca="false">IF($H1802=FALSE(),"",COUNTIF($H$6:$H1802,TRUE()))</f>
        <v/>
      </c>
      <c r="J1802" s="5" t="str">
        <f aca="false">IF($I1802="","","R"&amp;$I1802)</f>
        <v/>
      </c>
    </row>
    <row r="1803" customFormat="false" ht="15" hidden="false" customHeight="true" outlineLevel="0" collapsed="false">
      <c r="H1803" s="14" t="b">
        <f aca="false">IF(중복검사!$A1801="",FALSE(),중복검사!$J1801="유지")</f>
        <v>0</v>
      </c>
      <c r="I1803" s="5" t="str">
        <f aca="false">IF($H1803=FALSE(),"",COUNTIF($H$6:$H1803,TRUE()))</f>
        <v/>
      </c>
      <c r="J1803" s="5" t="str">
        <f aca="false">IF($I1803="","","R"&amp;$I1803)</f>
        <v/>
      </c>
    </row>
    <row r="1804" customFormat="false" ht="15" hidden="false" customHeight="true" outlineLevel="0" collapsed="false">
      <c r="H1804" s="14" t="b">
        <f aca="false">IF(중복검사!$A1802="",FALSE(),중복검사!$J1802="유지")</f>
        <v>0</v>
      </c>
      <c r="I1804" s="5" t="str">
        <f aca="false">IF($H1804=FALSE(),"",COUNTIF($H$6:$H1804,TRUE()))</f>
        <v/>
      </c>
      <c r="J1804" s="5" t="str">
        <f aca="false">IF($I1804="","","R"&amp;$I1804)</f>
        <v/>
      </c>
    </row>
    <row r="1805" customFormat="false" ht="15" hidden="false" customHeight="true" outlineLevel="0" collapsed="false">
      <c r="H1805" s="14" t="b">
        <f aca="false">IF(중복검사!$A1803="",FALSE(),중복검사!$J1803="유지")</f>
        <v>0</v>
      </c>
      <c r="I1805" s="5" t="str">
        <f aca="false">IF($H1805=FALSE(),"",COUNTIF($H$6:$H1805,TRUE()))</f>
        <v/>
      </c>
      <c r="J1805" s="5" t="str">
        <f aca="false">IF($I1805="","","R"&amp;$I1805)</f>
        <v/>
      </c>
    </row>
    <row r="1806" customFormat="false" ht="15" hidden="false" customHeight="true" outlineLevel="0" collapsed="false">
      <c r="H1806" s="14" t="b">
        <f aca="false">IF(중복검사!$A1804="",FALSE(),중복검사!$J1804="유지")</f>
        <v>0</v>
      </c>
      <c r="I1806" s="5" t="str">
        <f aca="false">IF($H1806=FALSE(),"",COUNTIF($H$6:$H1806,TRUE()))</f>
        <v/>
      </c>
      <c r="J1806" s="5" t="str">
        <f aca="false">IF($I1806="","","R"&amp;$I1806)</f>
        <v/>
      </c>
    </row>
    <row r="1807" customFormat="false" ht="15" hidden="false" customHeight="true" outlineLevel="0" collapsed="false">
      <c r="H1807" s="14" t="b">
        <f aca="false">IF(중복검사!$A1805="",FALSE(),중복검사!$J1805="유지")</f>
        <v>0</v>
      </c>
      <c r="I1807" s="5" t="str">
        <f aca="false">IF($H1807=FALSE(),"",COUNTIF($H$6:$H1807,TRUE()))</f>
        <v/>
      </c>
      <c r="J1807" s="5" t="str">
        <f aca="false">IF($I1807="","","R"&amp;$I1807)</f>
        <v/>
      </c>
    </row>
    <row r="1808" customFormat="false" ht="15" hidden="false" customHeight="true" outlineLevel="0" collapsed="false">
      <c r="H1808" s="14" t="b">
        <f aca="false">IF(중복검사!$A1806="",FALSE(),중복검사!$J1806="유지")</f>
        <v>0</v>
      </c>
      <c r="I1808" s="5" t="str">
        <f aca="false">IF($H1808=FALSE(),"",COUNTIF($H$6:$H1808,TRUE()))</f>
        <v/>
      </c>
      <c r="J1808" s="5" t="str">
        <f aca="false">IF($I1808="","","R"&amp;$I1808)</f>
        <v/>
      </c>
    </row>
    <row r="1809" customFormat="false" ht="15" hidden="false" customHeight="true" outlineLevel="0" collapsed="false">
      <c r="H1809" s="14" t="b">
        <f aca="false">IF(중복검사!$A1807="",FALSE(),중복검사!$J1807="유지")</f>
        <v>0</v>
      </c>
      <c r="I1809" s="5" t="str">
        <f aca="false">IF($H1809=FALSE(),"",COUNTIF($H$6:$H1809,TRUE()))</f>
        <v/>
      </c>
      <c r="J1809" s="5" t="str">
        <f aca="false">IF($I1809="","","R"&amp;$I1809)</f>
        <v/>
      </c>
    </row>
    <row r="1810" customFormat="false" ht="15" hidden="false" customHeight="true" outlineLevel="0" collapsed="false">
      <c r="H1810" s="14" t="b">
        <f aca="false">IF(중복검사!$A1808="",FALSE(),중복검사!$J1808="유지")</f>
        <v>0</v>
      </c>
      <c r="I1810" s="5" t="str">
        <f aca="false">IF($H1810=FALSE(),"",COUNTIF($H$6:$H1810,TRUE()))</f>
        <v/>
      </c>
      <c r="J1810" s="5" t="str">
        <f aca="false">IF($I1810="","","R"&amp;$I1810)</f>
        <v/>
      </c>
    </row>
    <row r="1811" customFormat="false" ht="15" hidden="false" customHeight="true" outlineLevel="0" collapsed="false">
      <c r="H1811" s="14" t="b">
        <f aca="false">IF(중복검사!$A1809="",FALSE(),중복검사!$J1809="유지")</f>
        <v>0</v>
      </c>
      <c r="I1811" s="5" t="str">
        <f aca="false">IF($H1811=FALSE(),"",COUNTIF($H$6:$H1811,TRUE()))</f>
        <v/>
      </c>
      <c r="J1811" s="5" t="str">
        <f aca="false">IF($I1811="","","R"&amp;$I1811)</f>
        <v/>
      </c>
    </row>
    <row r="1812" customFormat="false" ht="15" hidden="false" customHeight="true" outlineLevel="0" collapsed="false">
      <c r="H1812" s="14" t="b">
        <f aca="false">IF(중복검사!$A1810="",FALSE(),중복검사!$J1810="유지")</f>
        <v>0</v>
      </c>
      <c r="I1812" s="5" t="str">
        <f aca="false">IF($H1812=FALSE(),"",COUNTIF($H$6:$H1812,TRUE()))</f>
        <v/>
      </c>
      <c r="J1812" s="5" t="str">
        <f aca="false">IF($I1812="","","R"&amp;$I1812)</f>
        <v/>
      </c>
    </row>
    <row r="1813" customFormat="false" ht="15" hidden="false" customHeight="true" outlineLevel="0" collapsed="false">
      <c r="H1813" s="14" t="b">
        <f aca="false">IF(중복검사!$A1811="",FALSE(),중복검사!$J1811="유지")</f>
        <v>0</v>
      </c>
      <c r="I1813" s="5" t="str">
        <f aca="false">IF($H1813=FALSE(),"",COUNTIF($H$6:$H1813,TRUE()))</f>
        <v/>
      </c>
      <c r="J1813" s="5" t="str">
        <f aca="false">IF($I1813="","","R"&amp;$I1813)</f>
        <v/>
      </c>
    </row>
    <row r="1814" customFormat="false" ht="15" hidden="false" customHeight="true" outlineLevel="0" collapsed="false">
      <c r="H1814" s="14" t="b">
        <f aca="false">IF(중복검사!$A1812="",FALSE(),중복검사!$J1812="유지")</f>
        <v>0</v>
      </c>
      <c r="I1814" s="5" t="str">
        <f aca="false">IF($H1814=FALSE(),"",COUNTIF($H$6:$H1814,TRUE()))</f>
        <v/>
      </c>
      <c r="J1814" s="5" t="str">
        <f aca="false">IF($I1814="","","R"&amp;$I1814)</f>
        <v/>
      </c>
    </row>
    <row r="1815" customFormat="false" ht="15" hidden="false" customHeight="true" outlineLevel="0" collapsed="false">
      <c r="H1815" s="14" t="b">
        <f aca="false">IF(중복검사!$A1813="",FALSE(),중복검사!$J1813="유지")</f>
        <v>0</v>
      </c>
      <c r="I1815" s="5" t="str">
        <f aca="false">IF($H1815=FALSE(),"",COUNTIF($H$6:$H1815,TRUE()))</f>
        <v/>
      </c>
      <c r="J1815" s="5" t="str">
        <f aca="false">IF($I1815="","","R"&amp;$I1815)</f>
        <v/>
      </c>
    </row>
    <row r="1816" customFormat="false" ht="15" hidden="false" customHeight="true" outlineLevel="0" collapsed="false">
      <c r="H1816" s="14" t="b">
        <f aca="false">IF(중복검사!$A1814="",FALSE(),중복검사!$J1814="유지")</f>
        <v>0</v>
      </c>
      <c r="I1816" s="5" t="str">
        <f aca="false">IF($H1816=FALSE(),"",COUNTIF($H$6:$H1816,TRUE()))</f>
        <v/>
      </c>
      <c r="J1816" s="5" t="str">
        <f aca="false">IF($I1816="","","R"&amp;$I1816)</f>
        <v/>
      </c>
    </row>
    <row r="1817" customFormat="false" ht="15" hidden="false" customHeight="true" outlineLevel="0" collapsed="false">
      <c r="H1817" s="14" t="b">
        <f aca="false">IF(중복검사!$A1815="",FALSE(),중복검사!$J1815="유지")</f>
        <v>0</v>
      </c>
      <c r="I1817" s="5" t="str">
        <f aca="false">IF($H1817=FALSE(),"",COUNTIF($H$6:$H1817,TRUE()))</f>
        <v/>
      </c>
      <c r="J1817" s="5" t="str">
        <f aca="false">IF($I1817="","","R"&amp;$I1817)</f>
        <v/>
      </c>
    </row>
    <row r="1818" customFormat="false" ht="15" hidden="false" customHeight="true" outlineLevel="0" collapsed="false">
      <c r="H1818" s="14" t="b">
        <f aca="false">IF(중복검사!$A1816="",FALSE(),중복검사!$J1816="유지")</f>
        <v>0</v>
      </c>
      <c r="I1818" s="5" t="str">
        <f aca="false">IF($H1818=FALSE(),"",COUNTIF($H$6:$H1818,TRUE()))</f>
        <v/>
      </c>
      <c r="J1818" s="5" t="str">
        <f aca="false">IF($I1818="","","R"&amp;$I1818)</f>
        <v/>
      </c>
    </row>
    <row r="1819" customFormat="false" ht="15" hidden="false" customHeight="true" outlineLevel="0" collapsed="false">
      <c r="H1819" s="14" t="b">
        <f aca="false">IF(중복검사!$A1817="",FALSE(),중복검사!$J1817="유지")</f>
        <v>0</v>
      </c>
      <c r="I1819" s="5" t="str">
        <f aca="false">IF($H1819=FALSE(),"",COUNTIF($H$6:$H1819,TRUE()))</f>
        <v/>
      </c>
      <c r="J1819" s="5" t="str">
        <f aca="false">IF($I1819="","","R"&amp;$I1819)</f>
        <v/>
      </c>
    </row>
    <row r="1820" customFormat="false" ht="15" hidden="false" customHeight="true" outlineLevel="0" collapsed="false">
      <c r="H1820" s="14" t="b">
        <f aca="false">IF(중복검사!$A1818="",FALSE(),중복검사!$J1818="유지")</f>
        <v>0</v>
      </c>
      <c r="I1820" s="5" t="str">
        <f aca="false">IF($H1820=FALSE(),"",COUNTIF($H$6:$H1820,TRUE()))</f>
        <v/>
      </c>
      <c r="J1820" s="5" t="str">
        <f aca="false">IF($I1820="","","R"&amp;$I1820)</f>
        <v/>
      </c>
    </row>
    <row r="1821" customFormat="false" ht="15" hidden="false" customHeight="true" outlineLevel="0" collapsed="false">
      <c r="H1821" s="14" t="b">
        <f aca="false">IF(중복검사!$A1819="",FALSE(),중복검사!$J1819="유지")</f>
        <v>0</v>
      </c>
      <c r="I1821" s="5" t="str">
        <f aca="false">IF($H1821=FALSE(),"",COUNTIF($H$6:$H1821,TRUE()))</f>
        <v/>
      </c>
      <c r="J1821" s="5" t="str">
        <f aca="false">IF($I1821="","","R"&amp;$I1821)</f>
        <v/>
      </c>
    </row>
    <row r="1822" customFormat="false" ht="15" hidden="false" customHeight="true" outlineLevel="0" collapsed="false">
      <c r="H1822" s="14" t="b">
        <f aca="false">IF(중복검사!$A1820="",FALSE(),중복검사!$J1820="유지")</f>
        <v>0</v>
      </c>
      <c r="I1822" s="5" t="str">
        <f aca="false">IF($H1822=FALSE(),"",COUNTIF($H$6:$H1822,TRUE()))</f>
        <v/>
      </c>
      <c r="J1822" s="5" t="str">
        <f aca="false">IF($I1822="","","R"&amp;$I1822)</f>
        <v/>
      </c>
    </row>
    <row r="1823" customFormat="false" ht="15" hidden="false" customHeight="true" outlineLevel="0" collapsed="false">
      <c r="H1823" s="14" t="b">
        <f aca="false">IF(중복검사!$A1821="",FALSE(),중복검사!$J1821="유지")</f>
        <v>0</v>
      </c>
      <c r="I1823" s="5" t="str">
        <f aca="false">IF($H1823=FALSE(),"",COUNTIF($H$6:$H1823,TRUE()))</f>
        <v/>
      </c>
      <c r="J1823" s="5" t="str">
        <f aca="false">IF($I1823="","","R"&amp;$I1823)</f>
        <v/>
      </c>
    </row>
    <row r="1824" customFormat="false" ht="15" hidden="false" customHeight="true" outlineLevel="0" collapsed="false">
      <c r="H1824" s="14" t="b">
        <f aca="false">IF(중복검사!$A1822="",FALSE(),중복검사!$J1822="유지")</f>
        <v>0</v>
      </c>
      <c r="I1824" s="5" t="str">
        <f aca="false">IF($H1824=FALSE(),"",COUNTIF($H$6:$H1824,TRUE()))</f>
        <v/>
      </c>
      <c r="J1824" s="5" t="str">
        <f aca="false">IF($I1824="","","R"&amp;$I1824)</f>
        <v/>
      </c>
    </row>
    <row r="1825" customFormat="false" ht="15" hidden="false" customHeight="true" outlineLevel="0" collapsed="false">
      <c r="H1825" s="14" t="b">
        <f aca="false">IF(중복검사!$A1823="",FALSE(),중복검사!$J1823="유지")</f>
        <v>0</v>
      </c>
      <c r="I1825" s="5" t="str">
        <f aca="false">IF($H1825=FALSE(),"",COUNTIF($H$6:$H1825,TRUE()))</f>
        <v/>
      </c>
      <c r="J1825" s="5" t="str">
        <f aca="false">IF($I1825="","","R"&amp;$I1825)</f>
        <v/>
      </c>
    </row>
    <row r="1826" customFormat="false" ht="15" hidden="false" customHeight="true" outlineLevel="0" collapsed="false">
      <c r="H1826" s="14" t="b">
        <f aca="false">IF(중복검사!$A1824="",FALSE(),중복검사!$J1824="유지")</f>
        <v>0</v>
      </c>
      <c r="I1826" s="5" t="str">
        <f aca="false">IF($H1826=FALSE(),"",COUNTIF($H$6:$H1826,TRUE()))</f>
        <v/>
      </c>
      <c r="J1826" s="5" t="str">
        <f aca="false">IF($I1826="","","R"&amp;$I1826)</f>
        <v/>
      </c>
    </row>
    <row r="1827" customFormat="false" ht="15" hidden="false" customHeight="true" outlineLevel="0" collapsed="false">
      <c r="H1827" s="14" t="b">
        <f aca="false">IF(중복검사!$A1825="",FALSE(),중복검사!$J1825="유지")</f>
        <v>0</v>
      </c>
      <c r="I1827" s="5" t="str">
        <f aca="false">IF($H1827=FALSE(),"",COUNTIF($H$6:$H1827,TRUE()))</f>
        <v/>
      </c>
      <c r="J1827" s="5" t="str">
        <f aca="false">IF($I1827="","","R"&amp;$I1827)</f>
        <v/>
      </c>
    </row>
    <row r="1828" customFormat="false" ht="15" hidden="false" customHeight="true" outlineLevel="0" collapsed="false">
      <c r="H1828" s="14" t="b">
        <f aca="false">IF(중복검사!$A1826="",FALSE(),중복검사!$J1826="유지")</f>
        <v>0</v>
      </c>
      <c r="I1828" s="5" t="str">
        <f aca="false">IF($H1828=FALSE(),"",COUNTIF($H$6:$H1828,TRUE()))</f>
        <v/>
      </c>
      <c r="J1828" s="5" t="str">
        <f aca="false">IF($I1828="","","R"&amp;$I1828)</f>
        <v/>
      </c>
    </row>
    <row r="1829" customFormat="false" ht="15" hidden="false" customHeight="true" outlineLevel="0" collapsed="false">
      <c r="H1829" s="14" t="b">
        <f aca="false">IF(중복검사!$A1827="",FALSE(),중복검사!$J1827="유지")</f>
        <v>0</v>
      </c>
      <c r="I1829" s="5" t="str">
        <f aca="false">IF($H1829=FALSE(),"",COUNTIF($H$6:$H1829,TRUE()))</f>
        <v/>
      </c>
      <c r="J1829" s="5" t="str">
        <f aca="false">IF($I1829="","","R"&amp;$I1829)</f>
        <v/>
      </c>
    </row>
    <row r="1830" customFormat="false" ht="15" hidden="false" customHeight="true" outlineLevel="0" collapsed="false">
      <c r="H1830" s="14" t="b">
        <f aca="false">IF(중복검사!$A1828="",FALSE(),중복검사!$J1828="유지")</f>
        <v>0</v>
      </c>
      <c r="I1830" s="5" t="str">
        <f aca="false">IF($H1830=FALSE(),"",COUNTIF($H$6:$H1830,TRUE()))</f>
        <v/>
      </c>
      <c r="J1830" s="5" t="str">
        <f aca="false">IF($I1830="","","R"&amp;$I1830)</f>
        <v/>
      </c>
    </row>
    <row r="1831" customFormat="false" ht="15" hidden="false" customHeight="true" outlineLevel="0" collapsed="false">
      <c r="H1831" s="14" t="b">
        <f aca="false">IF(중복검사!$A1829="",FALSE(),중복검사!$J1829="유지")</f>
        <v>0</v>
      </c>
      <c r="I1831" s="5" t="str">
        <f aca="false">IF($H1831=FALSE(),"",COUNTIF($H$6:$H1831,TRUE()))</f>
        <v/>
      </c>
      <c r="J1831" s="5" t="str">
        <f aca="false">IF($I1831="","","R"&amp;$I1831)</f>
        <v/>
      </c>
    </row>
    <row r="1832" customFormat="false" ht="15" hidden="false" customHeight="true" outlineLevel="0" collapsed="false">
      <c r="H1832" s="14" t="b">
        <f aca="false">IF(중복검사!$A1830="",FALSE(),중복검사!$J1830="유지")</f>
        <v>0</v>
      </c>
      <c r="I1832" s="5" t="str">
        <f aca="false">IF($H1832=FALSE(),"",COUNTIF($H$6:$H1832,TRUE()))</f>
        <v/>
      </c>
      <c r="J1832" s="5" t="str">
        <f aca="false">IF($I1832="","","R"&amp;$I1832)</f>
        <v/>
      </c>
    </row>
    <row r="1833" customFormat="false" ht="15" hidden="false" customHeight="true" outlineLevel="0" collapsed="false">
      <c r="H1833" s="14" t="b">
        <f aca="false">IF(중복검사!$A1831="",FALSE(),중복검사!$J1831="유지")</f>
        <v>0</v>
      </c>
      <c r="I1833" s="5" t="str">
        <f aca="false">IF($H1833=FALSE(),"",COUNTIF($H$6:$H1833,TRUE()))</f>
        <v/>
      </c>
      <c r="J1833" s="5" t="str">
        <f aca="false">IF($I1833="","","R"&amp;$I1833)</f>
        <v/>
      </c>
    </row>
    <row r="1834" customFormat="false" ht="15" hidden="false" customHeight="true" outlineLevel="0" collapsed="false">
      <c r="H1834" s="14" t="b">
        <f aca="false">IF(중복검사!$A1832="",FALSE(),중복검사!$J1832="유지")</f>
        <v>0</v>
      </c>
      <c r="I1834" s="5" t="str">
        <f aca="false">IF($H1834=FALSE(),"",COUNTIF($H$6:$H1834,TRUE()))</f>
        <v/>
      </c>
      <c r="J1834" s="5" t="str">
        <f aca="false">IF($I1834="","","R"&amp;$I1834)</f>
        <v/>
      </c>
    </row>
    <row r="1835" customFormat="false" ht="15" hidden="false" customHeight="true" outlineLevel="0" collapsed="false">
      <c r="H1835" s="14" t="b">
        <f aca="false">IF(중복검사!$A1833="",FALSE(),중복검사!$J1833="유지")</f>
        <v>0</v>
      </c>
      <c r="I1835" s="5" t="str">
        <f aca="false">IF($H1835=FALSE(),"",COUNTIF($H$6:$H1835,TRUE()))</f>
        <v/>
      </c>
      <c r="J1835" s="5" t="str">
        <f aca="false">IF($I1835="","","R"&amp;$I1835)</f>
        <v/>
      </c>
    </row>
    <row r="1836" customFormat="false" ht="15" hidden="false" customHeight="true" outlineLevel="0" collapsed="false">
      <c r="H1836" s="14" t="b">
        <f aca="false">IF(중복검사!$A1834="",FALSE(),중복검사!$J1834="유지")</f>
        <v>0</v>
      </c>
      <c r="I1836" s="5" t="str">
        <f aca="false">IF($H1836=FALSE(),"",COUNTIF($H$6:$H1836,TRUE()))</f>
        <v/>
      </c>
      <c r="J1836" s="5" t="str">
        <f aca="false">IF($I1836="","","R"&amp;$I1836)</f>
        <v/>
      </c>
    </row>
    <row r="1837" customFormat="false" ht="15" hidden="false" customHeight="true" outlineLevel="0" collapsed="false">
      <c r="H1837" s="14" t="b">
        <f aca="false">IF(중복검사!$A1835="",FALSE(),중복검사!$J1835="유지")</f>
        <v>0</v>
      </c>
      <c r="I1837" s="5" t="str">
        <f aca="false">IF($H1837=FALSE(),"",COUNTIF($H$6:$H1837,TRUE()))</f>
        <v/>
      </c>
      <c r="J1837" s="5" t="str">
        <f aca="false">IF($I1837="","","R"&amp;$I1837)</f>
        <v/>
      </c>
    </row>
    <row r="1838" customFormat="false" ht="15" hidden="false" customHeight="true" outlineLevel="0" collapsed="false">
      <c r="H1838" s="14" t="b">
        <f aca="false">IF(중복검사!$A1836="",FALSE(),중복검사!$J1836="유지")</f>
        <v>0</v>
      </c>
      <c r="I1838" s="5" t="str">
        <f aca="false">IF($H1838=FALSE(),"",COUNTIF($H$6:$H1838,TRUE()))</f>
        <v/>
      </c>
      <c r="J1838" s="5" t="str">
        <f aca="false">IF($I1838="","","R"&amp;$I1838)</f>
        <v/>
      </c>
    </row>
    <row r="1839" customFormat="false" ht="15" hidden="false" customHeight="true" outlineLevel="0" collapsed="false">
      <c r="H1839" s="14" t="b">
        <f aca="false">IF(중복검사!$A1837="",FALSE(),중복검사!$J1837="유지")</f>
        <v>0</v>
      </c>
      <c r="I1839" s="5" t="str">
        <f aca="false">IF($H1839=FALSE(),"",COUNTIF($H$6:$H1839,TRUE()))</f>
        <v/>
      </c>
      <c r="J1839" s="5" t="str">
        <f aca="false">IF($I1839="","","R"&amp;$I1839)</f>
        <v/>
      </c>
    </row>
    <row r="1840" customFormat="false" ht="15" hidden="false" customHeight="true" outlineLevel="0" collapsed="false">
      <c r="H1840" s="14" t="b">
        <f aca="false">IF(중복검사!$A1838="",FALSE(),중복검사!$J1838="유지")</f>
        <v>0</v>
      </c>
      <c r="I1840" s="5" t="str">
        <f aca="false">IF($H1840=FALSE(),"",COUNTIF($H$6:$H1840,TRUE()))</f>
        <v/>
      </c>
      <c r="J1840" s="5" t="str">
        <f aca="false">IF($I1840="","","R"&amp;$I1840)</f>
        <v/>
      </c>
    </row>
    <row r="1841" customFormat="false" ht="15" hidden="false" customHeight="true" outlineLevel="0" collapsed="false">
      <c r="H1841" s="14" t="b">
        <f aca="false">IF(중복검사!$A1839="",FALSE(),중복검사!$J1839="유지")</f>
        <v>0</v>
      </c>
      <c r="I1841" s="5" t="str">
        <f aca="false">IF($H1841=FALSE(),"",COUNTIF($H$6:$H1841,TRUE()))</f>
        <v/>
      </c>
      <c r="J1841" s="5" t="str">
        <f aca="false">IF($I1841="","","R"&amp;$I1841)</f>
        <v/>
      </c>
    </row>
    <row r="1842" customFormat="false" ht="15" hidden="false" customHeight="true" outlineLevel="0" collapsed="false">
      <c r="H1842" s="14" t="b">
        <f aca="false">IF(중복검사!$A1840="",FALSE(),중복검사!$J1840="유지")</f>
        <v>0</v>
      </c>
      <c r="I1842" s="5" t="str">
        <f aca="false">IF($H1842=FALSE(),"",COUNTIF($H$6:$H1842,TRUE()))</f>
        <v/>
      </c>
      <c r="J1842" s="5" t="str">
        <f aca="false">IF($I1842="","","R"&amp;$I1842)</f>
        <v/>
      </c>
    </row>
    <row r="1843" customFormat="false" ht="15" hidden="false" customHeight="true" outlineLevel="0" collapsed="false">
      <c r="H1843" s="14" t="b">
        <f aca="false">IF(중복검사!$A1841="",FALSE(),중복검사!$J1841="유지")</f>
        <v>0</v>
      </c>
      <c r="I1843" s="5" t="str">
        <f aca="false">IF($H1843=FALSE(),"",COUNTIF($H$6:$H1843,TRUE()))</f>
        <v/>
      </c>
      <c r="J1843" s="5" t="str">
        <f aca="false">IF($I1843="","","R"&amp;$I1843)</f>
        <v/>
      </c>
    </row>
    <row r="1844" customFormat="false" ht="15" hidden="false" customHeight="true" outlineLevel="0" collapsed="false">
      <c r="H1844" s="14" t="b">
        <f aca="false">IF(중복검사!$A1842="",FALSE(),중복검사!$J1842="유지")</f>
        <v>0</v>
      </c>
      <c r="I1844" s="5" t="str">
        <f aca="false">IF($H1844=FALSE(),"",COUNTIF($H$6:$H1844,TRUE()))</f>
        <v/>
      </c>
      <c r="J1844" s="5" t="str">
        <f aca="false">IF($I1844="","","R"&amp;$I1844)</f>
        <v/>
      </c>
    </row>
    <row r="1845" customFormat="false" ht="15" hidden="false" customHeight="true" outlineLevel="0" collapsed="false">
      <c r="H1845" s="14" t="b">
        <f aca="false">IF(중복검사!$A1843="",FALSE(),중복검사!$J1843="유지")</f>
        <v>0</v>
      </c>
      <c r="I1845" s="5" t="str">
        <f aca="false">IF($H1845=FALSE(),"",COUNTIF($H$6:$H1845,TRUE()))</f>
        <v/>
      </c>
      <c r="J1845" s="5" t="str">
        <f aca="false">IF($I1845="","","R"&amp;$I1845)</f>
        <v/>
      </c>
    </row>
    <row r="1846" customFormat="false" ht="15" hidden="false" customHeight="true" outlineLevel="0" collapsed="false">
      <c r="H1846" s="14" t="b">
        <f aca="false">IF(중복검사!$A1844="",FALSE(),중복검사!$J1844="유지")</f>
        <v>0</v>
      </c>
      <c r="I1846" s="5" t="str">
        <f aca="false">IF($H1846=FALSE(),"",COUNTIF($H$6:$H1846,TRUE()))</f>
        <v/>
      </c>
      <c r="J1846" s="5" t="str">
        <f aca="false">IF($I1846="","","R"&amp;$I1846)</f>
        <v/>
      </c>
    </row>
    <row r="1847" customFormat="false" ht="15" hidden="false" customHeight="true" outlineLevel="0" collapsed="false">
      <c r="H1847" s="14" t="b">
        <f aca="false">IF(중복검사!$A1845="",FALSE(),중복검사!$J1845="유지")</f>
        <v>0</v>
      </c>
      <c r="I1847" s="5" t="str">
        <f aca="false">IF($H1847=FALSE(),"",COUNTIF($H$6:$H1847,TRUE()))</f>
        <v/>
      </c>
      <c r="J1847" s="5" t="str">
        <f aca="false">IF($I1847="","","R"&amp;$I1847)</f>
        <v/>
      </c>
    </row>
    <row r="1848" customFormat="false" ht="15" hidden="false" customHeight="true" outlineLevel="0" collapsed="false">
      <c r="H1848" s="14" t="b">
        <f aca="false">IF(중복검사!$A1846="",FALSE(),중복검사!$J1846="유지")</f>
        <v>0</v>
      </c>
      <c r="I1848" s="5" t="str">
        <f aca="false">IF($H1848=FALSE(),"",COUNTIF($H$6:$H1848,TRUE()))</f>
        <v/>
      </c>
      <c r="J1848" s="5" t="str">
        <f aca="false">IF($I1848="","","R"&amp;$I1848)</f>
        <v/>
      </c>
    </row>
    <row r="1849" customFormat="false" ht="15" hidden="false" customHeight="true" outlineLevel="0" collapsed="false">
      <c r="H1849" s="14" t="b">
        <f aca="false">IF(중복검사!$A1847="",FALSE(),중복검사!$J1847="유지")</f>
        <v>0</v>
      </c>
      <c r="I1849" s="5" t="str">
        <f aca="false">IF($H1849=FALSE(),"",COUNTIF($H$6:$H1849,TRUE()))</f>
        <v/>
      </c>
      <c r="J1849" s="5" t="str">
        <f aca="false">IF($I1849="","","R"&amp;$I1849)</f>
        <v/>
      </c>
    </row>
    <row r="1850" customFormat="false" ht="15" hidden="false" customHeight="true" outlineLevel="0" collapsed="false">
      <c r="H1850" s="14" t="b">
        <f aca="false">IF(중복검사!$A1848="",FALSE(),중복검사!$J1848="유지")</f>
        <v>0</v>
      </c>
      <c r="I1850" s="5" t="str">
        <f aca="false">IF($H1850=FALSE(),"",COUNTIF($H$6:$H1850,TRUE()))</f>
        <v/>
      </c>
      <c r="J1850" s="5" t="str">
        <f aca="false">IF($I1850="","","R"&amp;$I1850)</f>
        <v/>
      </c>
    </row>
    <row r="1851" customFormat="false" ht="15" hidden="false" customHeight="true" outlineLevel="0" collapsed="false">
      <c r="H1851" s="14" t="b">
        <f aca="false">IF(중복검사!$A1849="",FALSE(),중복검사!$J1849="유지")</f>
        <v>0</v>
      </c>
      <c r="I1851" s="5" t="str">
        <f aca="false">IF($H1851=FALSE(),"",COUNTIF($H$6:$H1851,TRUE()))</f>
        <v/>
      </c>
      <c r="J1851" s="5" t="str">
        <f aca="false">IF($I1851="","","R"&amp;$I1851)</f>
        <v/>
      </c>
    </row>
    <row r="1852" customFormat="false" ht="15" hidden="false" customHeight="true" outlineLevel="0" collapsed="false">
      <c r="H1852" s="14" t="b">
        <f aca="false">IF(중복검사!$A1850="",FALSE(),중복검사!$J1850="유지")</f>
        <v>0</v>
      </c>
      <c r="I1852" s="5" t="str">
        <f aca="false">IF($H1852=FALSE(),"",COUNTIF($H$6:$H1852,TRUE()))</f>
        <v/>
      </c>
      <c r="J1852" s="5" t="str">
        <f aca="false">IF($I1852="","","R"&amp;$I1852)</f>
        <v/>
      </c>
    </row>
    <row r="1853" customFormat="false" ht="15" hidden="false" customHeight="true" outlineLevel="0" collapsed="false">
      <c r="H1853" s="14" t="b">
        <f aca="false">IF(중복검사!$A1851="",FALSE(),중복검사!$J1851="유지")</f>
        <v>0</v>
      </c>
      <c r="I1853" s="5" t="str">
        <f aca="false">IF($H1853=FALSE(),"",COUNTIF($H$6:$H1853,TRUE()))</f>
        <v/>
      </c>
      <c r="J1853" s="5" t="str">
        <f aca="false">IF($I1853="","","R"&amp;$I1853)</f>
        <v/>
      </c>
    </row>
    <row r="1854" customFormat="false" ht="15" hidden="false" customHeight="true" outlineLevel="0" collapsed="false">
      <c r="H1854" s="14" t="b">
        <f aca="false">IF(중복검사!$A1852="",FALSE(),중복검사!$J1852="유지")</f>
        <v>0</v>
      </c>
      <c r="I1854" s="5" t="str">
        <f aca="false">IF($H1854=FALSE(),"",COUNTIF($H$6:$H1854,TRUE()))</f>
        <v/>
      </c>
      <c r="J1854" s="5" t="str">
        <f aca="false">IF($I1854="","","R"&amp;$I1854)</f>
        <v/>
      </c>
    </row>
    <row r="1855" customFormat="false" ht="15" hidden="false" customHeight="true" outlineLevel="0" collapsed="false">
      <c r="H1855" s="14" t="b">
        <f aca="false">IF(중복검사!$A1853="",FALSE(),중복검사!$J1853="유지")</f>
        <v>0</v>
      </c>
      <c r="I1855" s="5" t="str">
        <f aca="false">IF($H1855=FALSE(),"",COUNTIF($H$6:$H1855,TRUE()))</f>
        <v/>
      </c>
      <c r="J1855" s="5" t="str">
        <f aca="false">IF($I1855="","","R"&amp;$I1855)</f>
        <v/>
      </c>
    </row>
    <row r="1856" customFormat="false" ht="15" hidden="false" customHeight="true" outlineLevel="0" collapsed="false">
      <c r="H1856" s="14" t="b">
        <f aca="false">IF(중복검사!$A1854="",FALSE(),중복검사!$J1854="유지")</f>
        <v>0</v>
      </c>
      <c r="I1856" s="5" t="str">
        <f aca="false">IF($H1856=FALSE(),"",COUNTIF($H$6:$H1856,TRUE()))</f>
        <v/>
      </c>
      <c r="J1856" s="5" t="str">
        <f aca="false">IF($I1856="","","R"&amp;$I1856)</f>
        <v/>
      </c>
    </row>
    <row r="1857" customFormat="false" ht="15" hidden="false" customHeight="true" outlineLevel="0" collapsed="false">
      <c r="H1857" s="14" t="b">
        <f aca="false">IF(중복검사!$A1855="",FALSE(),중복검사!$J1855="유지")</f>
        <v>0</v>
      </c>
      <c r="I1857" s="5" t="str">
        <f aca="false">IF($H1857=FALSE(),"",COUNTIF($H$6:$H1857,TRUE()))</f>
        <v/>
      </c>
      <c r="J1857" s="5" t="str">
        <f aca="false">IF($I1857="","","R"&amp;$I1857)</f>
        <v/>
      </c>
    </row>
    <row r="1858" customFormat="false" ht="15" hidden="false" customHeight="true" outlineLevel="0" collapsed="false">
      <c r="H1858" s="14" t="b">
        <f aca="false">IF(중복검사!$A1856="",FALSE(),중복검사!$J1856="유지")</f>
        <v>0</v>
      </c>
      <c r="I1858" s="5" t="str">
        <f aca="false">IF($H1858=FALSE(),"",COUNTIF($H$6:$H1858,TRUE()))</f>
        <v/>
      </c>
      <c r="J1858" s="5" t="str">
        <f aca="false">IF($I1858="","","R"&amp;$I1858)</f>
        <v/>
      </c>
    </row>
    <row r="1859" customFormat="false" ht="15" hidden="false" customHeight="true" outlineLevel="0" collapsed="false">
      <c r="H1859" s="14" t="b">
        <f aca="false">IF(중복검사!$A1857="",FALSE(),중복검사!$J1857="유지")</f>
        <v>0</v>
      </c>
      <c r="I1859" s="5" t="str">
        <f aca="false">IF($H1859=FALSE(),"",COUNTIF($H$6:$H1859,TRUE()))</f>
        <v/>
      </c>
      <c r="J1859" s="5" t="str">
        <f aca="false">IF($I1859="","","R"&amp;$I1859)</f>
        <v/>
      </c>
    </row>
    <row r="1860" customFormat="false" ht="15" hidden="false" customHeight="true" outlineLevel="0" collapsed="false">
      <c r="H1860" s="14" t="b">
        <f aca="false">IF(중복검사!$A1858="",FALSE(),중복검사!$J1858="유지")</f>
        <v>0</v>
      </c>
      <c r="I1860" s="5" t="str">
        <f aca="false">IF($H1860=FALSE(),"",COUNTIF($H$6:$H1860,TRUE()))</f>
        <v/>
      </c>
      <c r="J1860" s="5" t="str">
        <f aca="false">IF($I1860="","","R"&amp;$I1860)</f>
        <v/>
      </c>
    </row>
    <row r="1861" customFormat="false" ht="15" hidden="false" customHeight="true" outlineLevel="0" collapsed="false">
      <c r="H1861" s="14" t="b">
        <f aca="false">IF(중복검사!$A1859="",FALSE(),중복검사!$J1859="유지")</f>
        <v>0</v>
      </c>
      <c r="I1861" s="5" t="str">
        <f aca="false">IF($H1861=FALSE(),"",COUNTIF($H$6:$H1861,TRUE()))</f>
        <v/>
      </c>
      <c r="J1861" s="5" t="str">
        <f aca="false">IF($I1861="","","R"&amp;$I1861)</f>
        <v/>
      </c>
    </row>
    <row r="1862" customFormat="false" ht="15" hidden="false" customHeight="true" outlineLevel="0" collapsed="false">
      <c r="H1862" s="14" t="b">
        <f aca="false">IF(중복검사!$A1860="",FALSE(),중복검사!$J1860="유지")</f>
        <v>0</v>
      </c>
      <c r="I1862" s="5" t="str">
        <f aca="false">IF($H1862=FALSE(),"",COUNTIF($H$6:$H1862,TRUE()))</f>
        <v/>
      </c>
      <c r="J1862" s="5" t="str">
        <f aca="false">IF($I1862="","","R"&amp;$I1862)</f>
        <v/>
      </c>
    </row>
    <row r="1863" customFormat="false" ht="15" hidden="false" customHeight="true" outlineLevel="0" collapsed="false">
      <c r="H1863" s="14" t="b">
        <f aca="false">IF(중복검사!$A1861="",FALSE(),중복검사!$J1861="유지")</f>
        <v>0</v>
      </c>
      <c r="I1863" s="5" t="str">
        <f aca="false">IF($H1863=FALSE(),"",COUNTIF($H$6:$H1863,TRUE()))</f>
        <v/>
      </c>
      <c r="J1863" s="5" t="str">
        <f aca="false">IF($I1863="","","R"&amp;$I1863)</f>
        <v/>
      </c>
    </row>
    <row r="1864" customFormat="false" ht="15" hidden="false" customHeight="true" outlineLevel="0" collapsed="false">
      <c r="H1864" s="14" t="b">
        <f aca="false">IF(중복검사!$A1862="",FALSE(),중복검사!$J1862="유지")</f>
        <v>0</v>
      </c>
      <c r="I1864" s="5" t="str">
        <f aca="false">IF($H1864=FALSE(),"",COUNTIF($H$6:$H1864,TRUE()))</f>
        <v/>
      </c>
      <c r="J1864" s="5" t="str">
        <f aca="false">IF($I1864="","","R"&amp;$I1864)</f>
        <v/>
      </c>
    </row>
    <row r="1865" customFormat="false" ht="15" hidden="false" customHeight="true" outlineLevel="0" collapsed="false">
      <c r="H1865" s="14" t="b">
        <f aca="false">IF(중복검사!$A1863="",FALSE(),중복검사!$J1863="유지")</f>
        <v>0</v>
      </c>
      <c r="I1865" s="5" t="str">
        <f aca="false">IF($H1865=FALSE(),"",COUNTIF($H$6:$H1865,TRUE()))</f>
        <v/>
      </c>
      <c r="J1865" s="5" t="str">
        <f aca="false">IF($I1865="","","R"&amp;$I1865)</f>
        <v/>
      </c>
    </row>
    <row r="1866" customFormat="false" ht="15" hidden="false" customHeight="true" outlineLevel="0" collapsed="false">
      <c r="H1866" s="14" t="b">
        <f aca="false">IF(중복검사!$A1864="",FALSE(),중복검사!$J1864="유지")</f>
        <v>0</v>
      </c>
      <c r="I1866" s="5" t="str">
        <f aca="false">IF($H1866=FALSE(),"",COUNTIF($H$6:$H1866,TRUE()))</f>
        <v/>
      </c>
      <c r="J1866" s="5" t="str">
        <f aca="false">IF($I1866="","","R"&amp;$I1866)</f>
        <v/>
      </c>
    </row>
    <row r="1867" customFormat="false" ht="15" hidden="false" customHeight="true" outlineLevel="0" collapsed="false">
      <c r="H1867" s="14" t="b">
        <f aca="false">IF(중복검사!$A1865="",FALSE(),중복검사!$J1865="유지")</f>
        <v>0</v>
      </c>
      <c r="I1867" s="5" t="str">
        <f aca="false">IF($H1867=FALSE(),"",COUNTIF($H$6:$H1867,TRUE()))</f>
        <v/>
      </c>
      <c r="J1867" s="5" t="str">
        <f aca="false">IF($I1867="","","R"&amp;$I1867)</f>
        <v/>
      </c>
    </row>
    <row r="1868" customFormat="false" ht="15" hidden="false" customHeight="true" outlineLevel="0" collapsed="false">
      <c r="H1868" s="14" t="b">
        <f aca="false">IF(중복검사!$A1866="",FALSE(),중복검사!$J1866="유지")</f>
        <v>0</v>
      </c>
      <c r="I1868" s="5" t="str">
        <f aca="false">IF($H1868=FALSE(),"",COUNTIF($H$6:$H1868,TRUE()))</f>
        <v/>
      </c>
      <c r="J1868" s="5" t="str">
        <f aca="false">IF($I1868="","","R"&amp;$I1868)</f>
        <v/>
      </c>
    </row>
    <row r="1869" customFormat="false" ht="15" hidden="false" customHeight="true" outlineLevel="0" collapsed="false">
      <c r="H1869" s="14" t="b">
        <f aca="false">IF(중복검사!$A1867="",FALSE(),중복검사!$J1867="유지")</f>
        <v>0</v>
      </c>
      <c r="I1869" s="5" t="str">
        <f aca="false">IF($H1869=FALSE(),"",COUNTIF($H$6:$H1869,TRUE()))</f>
        <v/>
      </c>
      <c r="J1869" s="5" t="str">
        <f aca="false">IF($I1869="","","R"&amp;$I1869)</f>
        <v/>
      </c>
    </row>
    <row r="1870" customFormat="false" ht="15" hidden="false" customHeight="true" outlineLevel="0" collapsed="false">
      <c r="H1870" s="14" t="b">
        <f aca="false">IF(중복검사!$A1868="",FALSE(),중복검사!$J1868="유지")</f>
        <v>0</v>
      </c>
      <c r="I1870" s="5" t="str">
        <f aca="false">IF($H1870=FALSE(),"",COUNTIF($H$6:$H1870,TRUE()))</f>
        <v/>
      </c>
      <c r="J1870" s="5" t="str">
        <f aca="false">IF($I1870="","","R"&amp;$I1870)</f>
        <v/>
      </c>
    </row>
    <row r="1871" customFormat="false" ht="15" hidden="false" customHeight="true" outlineLevel="0" collapsed="false">
      <c r="H1871" s="14" t="b">
        <f aca="false">IF(중복검사!$A1869="",FALSE(),중복검사!$J1869="유지")</f>
        <v>0</v>
      </c>
      <c r="I1871" s="5" t="str">
        <f aca="false">IF($H1871=FALSE(),"",COUNTIF($H$6:$H1871,TRUE()))</f>
        <v/>
      </c>
      <c r="J1871" s="5" t="str">
        <f aca="false">IF($I1871="","","R"&amp;$I1871)</f>
        <v/>
      </c>
    </row>
    <row r="1872" customFormat="false" ht="15" hidden="false" customHeight="true" outlineLevel="0" collapsed="false">
      <c r="H1872" s="14" t="b">
        <f aca="false">IF(중복검사!$A1870="",FALSE(),중복검사!$J1870="유지")</f>
        <v>0</v>
      </c>
      <c r="I1872" s="5" t="str">
        <f aca="false">IF($H1872=FALSE(),"",COUNTIF($H$6:$H1872,TRUE()))</f>
        <v/>
      </c>
      <c r="J1872" s="5" t="str">
        <f aca="false">IF($I1872="","","R"&amp;$I1872)</f>
        <v/>
      </c>
    </row>
    <row r="1873" customFormat="false" ht="15" hidden="false" customHeight="true" outlineLevel="0" collapsed="false">
      <c r="H1873" s="14" t="b">
        <f aca="false">IF(중복검사!$A1871="",FALSE(),중복검사!$J1871="유지")</f>
        <v>0</v>
      </c>
      <c r="I1873" s="5" t="str">
        <f aca="false">IF($H1873=FALSE(),"",COUNTIF($H$6:$H1873,TRUE()))</f>
        <v/>
      </c>
      <c r="J1873" s="5" t="str">
        <f aca="false">IF($I1873="","","R"&amp;$I1873)</f>
        <v/>
      </c>
    </row>
    <row r="1874" customFormat="false" ht="15" hidden="false" customHeight="true" outlineLevel="0" collapsed="false">
      <c r="H1874" s="14" t="b">
        <f aca="false">IF(중복검사!$A1872="",FALSE(),중복검사!$J1872="유지")</f>
        <v>0</v>
      </c>
      <c r="I1874" s="5" t="str">
        <f aca="false">IF($H1874=FALSE(),"",COUNTIF($H$6:$H1874,TRUE()))</f>
        <v/>
      </c>
      <c r="J1874" s="5" t="str">
        <f aca="false">IF($I1874="","","R"&amp;$I1874)</f>
        <v/>
      </c>
    </row>
    <row r="1875" customFormat="false" ht="15" hidden="false" customHeight="true" outlineLevel="0" collapsed="false">
      <c r="H1875" s="14" t="b">
        <f aca="false">IF(중복검사!$A1873="",FALSE(),중복검사!$J1873="유지")</f>
        <v>0</v>
      </c>
      <c r="I1875" s="5" t="str">
        <f aca="false">IF($H1875=FALSE(),"",COUNTIF($H$6:$H1875,TRUE()))</f>
        <v/>
      </c>
      <c r="J1875" s="5" t="str">
        <f aca="false">IF($I1875="","","R"&amp;$I1875)</f>
        <v/>
      </c>
    </row>
    <row r="1876" customFormat="false" ht="15" hidden="false" customHeight="true" outlineLevel="0" collapsed="false">
      <c r="H1876" s="14" t="b">
        <f aca="false">IF(중복검사!$A1874="",FALSE(),중복검사!$J1874="유지")</f>
        <v>0</v>
      </c>
      <c r="I1876" s="5" t="str">
        <f aca="false">IF($H1876=FALSE(),"",COUNTIF($H$6:$H1876,TRUE()))</f>
        <v/>
      </c>
      <c r="J1876" s="5" t="str">
        <f aca="false">IF($I1876="","","R"&amp;$I1876)</f>
        <v/>
      </c>
    </row>
    <row r="1877" customFormat="false" ht="15" hidden="false" customHeight="true" outlineLevel="0" collapsed="false">
      <c r="H1877" s="14" t="b">
        <f aca="false">IF(중복검사!$A1875="",FALSE(),중복검사!$J1875="유지")</f>
        <v>0</v>
      </c>
      <c r="I1877" s="5" t="str">
        <f aca="false">IF($H1877=FALSE(),"",COUNTIF($H$6:$H1877,TRUE()))</f>
        <v/>
      </c>
      <c r="J1877" s="5" t="str">
        <f aca="false">IF($I1877="","","R"&amp;$I1877)</f>
        <v/>
      </c>
    </row>
    <row r="1878" customFormat="false" ht="15" hidden="false" customHeight="true" outlineLevel="0" collapsed="false">
      <c r="H1878" s="14" t="b">
        <f aca="false">IF(중복검사!$A1876="",FALSE(),중복검사!$J1876="유지")</f>
        <v>0</v>
      </c>
      <c r="I1878" s="5" t="str">
        <f aca="false">IF($H1878=FALSE(),"",COUNTIF($H$6:$H1878,TRUE()))</f>
        <v/>
      </c>
      <c r="J1878" s="5" t="str">
        <f aca="false">IF($I1878="","","R"&amp;$I1878)</f>
        <v/>
      </c>
    </row>
    <row r="1879" customFormat="false" ht="15" hidden="false" customHeight="true" outlineLevel="0" collapsed="false">
      <c r="H1879" s="14" t="b">
        <f aca="false">IF(중복검사!$A1877="",FALSE(),중복검사!$J1877="유지")</f>
        <v>0</v>
      </c>
      <c r="I1879" s="5" t="str">
        <f aca="false">IF($H1879=FALSE(),"",COUNTIF($H$6:$H1879,TRUE()))</f>
        <v/>
      </c>
      <c r="J1879" s="5" t="str">
        <f aca="false">IF($I1879="","","R"&amp;$I1879)</f>
        <v/>
      </c>
    </row>
    <row r="1880" customFormat="false" ht="15" hidden="false" customHeight="true" outlineLevel="0" collapsed="false">
      <c r="H1880" s="14" t="b">
        <f aca="false">IF(중복검사!$A1878="",FALSE(),중복검사!$J1878="유지")</f>
        <v>0</v>
      </c>
      <c r="I1880" s="5" t="str">
        <f aca="false">IF($H1880=FALSE(),"",COUNTIF($H$6:$H1880,TRUE()))</f>
        <v/>
      </c>
      <c r="J1880" s="5" t="str">
        <f aca="false">IF($I1880="","","R"&amp;$I1880)</f>
        <v/>
      </c>
    </row>
    <row r="1881" customFormat="false" ht="15" hidden="false" customHeight="true" outlineLevel="0" collapsed="false">
      <c r="H1881" s="14" t="b">
        <f aca="false">IF(중복검사!$A1879="",FALSE(),중복검사!$J1879="유지")</f>
        <v>0</v>
      </c>
      <c r="I1881" s="5" t="str">
        <f aca="false">IF($H1881=FALSE(),"",COUNTIF($H$6:$H1881,TRUE()))</f>
        <v/>
      </c>
      <c r="J1881" s="5" t="str">
        <f aca="false">IF($I1881="","","R"&amp;$I1881)</f>
        <v/>
      </c>
    </row>
    <row r="1882" customFormat="false" ht="15" hidden="false" customHeight="true" outlineLevel="0" collapsed="false">
      <c r="H1882" s="14" t="b">
        <f aca="false">IF(중복검사!$A1880="",FALSE(),중복검사!$J1880="유지")</f>
        <v>0</v>
      </c>
      <c r="I1882" s="5" t="str">
        <f aca="false">IF($H1882=FALSE(),"",COUNTIF($H$6:$H1882,TRUE()))</f>
        <v/>
      </c>
      <c r="J1882" s="5" t="str">
        <f aca="false">IF($I1882="","","R"&amp;$I1882)</f>
        <v/>
      </c>
    </row>
    <row r="1883" customFormat="false" ht="15" hidden="false" customHeight="true" outlineLevel="0" collapsed="false">
      <c r="H1883" s="14" t="b">
        <f aca="false">IF(중복검사!$A1881="",FALSE(),중복검사!$J1881="유지")</f>
        <v>0</v>
      </c>
      <c r="I1883" s="5" t="str">
        <f aca="false">IF($H1883=FALSE(),"",COUNTIF($H$6:$H1883,TRUE()))</f>
        <v/>
      </c>
      <c r="J1883" s="5" t="str">
        <f aca="false">IF($I1883="","","R"&amp;$I1883)</f>
        <v/>
      </c>
    </row>
    <row r="1884" customFormat="false" ht="15" hidden="false" customHeight="true" outlineLevel="0" collapsed="false">
      <c r="H1884" s="14" t="b">
        <f aca="false">IF(중복검사!$A1882="",FALSE(),중복검사!$J1882="유지")</f>
        <v>0</v>
      </c>
      <c r="I1884" s="5" t="str">
        <f aca="false">IF($H1884=FALSE(),"",COUNTIF($H$6:$H1884,TRUE()))</f>
        <v/>
      </c>
      <c r="J1884" s="5" t="str">
        <f aca="false">IF($I1884="","","R"&amp;$I1884)</f>
        <v/>
      </c>
    </row>
    <row r="1885" customFormat="false" ht="15" hidden="false" customHeight="true" outlineLevel="0" collapsed="false">
      <c r="H1885" s="14" t="b">
        <f aca="false">IF(중복검사!$A1883="",FALSE(),중복검사!$J1883="유지")</f>
        <v>0</v>
      </c>
      <c r="I1885" s="5" t="str">
        <f aca="false">IF($H1885=FALSE(),"",COUNTIF($H$6:$H1885,TRUE()))</f>
        <v/>
      </c>
      <c r="J1885" s="5" t="str">
        <f aca="false">IF($I1885="","","R"&amp;$I1885)</f>
        <v/>
      </c>
    </row>
    <row r="1886" customFormat="false" ht="15" hidden="false" customHeight="true" outlineLevel="0" collapsed="false">
      <c r="H1886" s="14" t="b">
        <f aca="false">IF(중복검사!$A1884="",FALSE(),중복검사!$J1884="유지")</f>
        <v>0</v>
      </c>
      <c r="I1886" s="5" t="str">
        <f aca="false">IF($H1886=FALSE(),"",COUNTIF($H$6:$H1886,TRUE()))</f>
        <v/>
      </c>
      <c r="J1886" s="5" t="str">
        <f aca="false">IF($I1886="","","R"&amp;$I1886)</f>
        <v/>
      </c>
    </row>
    <row r="1887" customFormat="false" ht="15" hidden="false" customHeight="true" outlineLevel="0" collapsed="false">
      <c r="H1887" s="14" t="b">
        <f aca="false">IF(중복검사!$A1885="",FALSE(),중복검사!$J1885="유지")</f>
        <v>0</v>
      </c>
      <c r="I1887" s="5" t="str">
        <f aca="false">IF($H1887=FALSE(),"",COUNTIF($H$6:$H1887,TRUE()))</f>
        <v/>
      </c>
      <c r="J1887" s="5" t="str">
        <f aca="false">IF($I1887="","","R"&amp;$I1887)</f>
        <v/>
      </c>
    </row>
    <row r="1888" customFormat="false" ht="15" hidden="false" customHeight="true" outlineLevel="0" collapsed="false">
      <c r="H1888" s="14" t="b">
        <f aca="false">IF(중복검사!$A1886="",FALSE(),중복검사!$J1886="유지")</f>
        <v>0</v>
      </c>
      <c r="I1888" s="5" t="str">
        <f aca="false">IF($H1888=FALSE(),"",COUNTIF($H$6:$H1888,TRUE()))</f>
        <v/>
      </c>
      <c r="J1888" s="5" t="str">
        <f aca="false">IF($I1888="","","R"&amp;$I1888)</f>
        <v/>
      </c>
    </row>
    <row r="1889" customFormat="false" ht="15" hidden="false" customHeight="true" outlineLevel="0" collapsed="false">
      <c r="H1889" s="14" t="b">
        <f aca="false">IF(중복검사!$A1887="",FALSE(),중복검사!$J1887="유지")</f>
        <v>0</v>
      </c>
      <c r="I1889" s="5" t="str">
        <f aca="false">IF($H1889=FALSE(),"",COUNTIF($H$6:$H1889,TRUE()))</f>
        <v/>
      </c>
      <c r="J1889" s="5" t="str">
        <f aca="false">IF($I1889="","","R"&amp;$I1889)</f>
        <v/>
      </c>
    </row>
    <row r="1890" customFormat="false" ht="15" hidden="false" customHeight="true" outlineLevel="0" collapsed="false">
      <c r="H1890" s="14" t="b">
        <f aca="false">IF(중복검사!$A1888="",FALSE(),중복검사!$J1888="유지")</f>
        <v>0</v>
      </c>
      <c r="I1890" s="5" t="str">
        <f aca="false">IF($H1890=FALSE(),"",COUNTIF($H$6:$H1890,TRUE()))</f>
        <v/>
      </c>
      <c r="J1890" s="5" t="str">
        <f aca="false">IF($I1890="","","R"&amp;$I1890)</f>
        <v/>
      </c>
    </row>
    <row r="1891" customFormat="false" ht="15" hidden="false" customHeight="true" outlineLevel="0" collapsed="false">
      <c r="H1891" s="14" t="b">
        <f aca="false">IF(중복검사!$A1889="",FALSE(),중복검사!$J1889="유지")</f>
        <v>0</v>
      </c>
      <c r="I1891" s="5" t="str">
        <f aca="false">IF($H1891=FALSE(),"",COUNTIF($H$6:$H1891,TRUE()))</f>
        <v/>
      </c>
      <c r="J1891" s="5" t="str">
        <f aca="false">IF($I1891="","","R"&amp;$I1891)</f>
        <v/>
      </c>
    </row>
    <row r="1892" customFormat="false" ht="15" hidden="false" customHeight="true" outlineLevel="0" collapsed="false">
      <c r="H1892" s="14" t="b">
        <f aca="false">IF(중복검사!$A1890="",FALSE(),중복검사!$J1890="유지")</f>
        <v>0</v>
      </c>
      <c r="I1892" s="5" t="str">
        <f aca="false">IF($H1892=FALSE(),"",COUNTIF($H$6:$H1892,TRUE()))</f>
        <v/>
      </c>
      <c r="J1892" s="5" t="str">
        <f aca="false">IF($I1892="","","R"&amp;$I1892)</f>
        <v/>
      </c>
    </row>
    <row r="1893" customFormat="false" ht="15" hidden="false" customHeight="true" outlineLevel="0" collapsed="false">
      <c r="H1893" s="14" t="b">
        <f aca="false">IF(중복검사!$A1891="",FALSE(),중복검사!$J1891="유지")</f>
        <v>0</v>
      </c>
      <c r="I1893" s="5" t="str">
        <f aca="false">IF($H1893=FALSE(),"",COUNTIF($H$6:$H1893,TRUE()))</f>
        <v/>
      </c>
      <c r="J1893" s="5" t="str">
        <f aca="false">IF($I1893="","","R"&amp;$I1893)</f>
        <v/>
      </c>
    </row>
    <row r="1894" customFormat="false" ht="15" hidden="false" customHeight="true" outlineLevel="0" collapsed="false">
      <c r="H1894" s="14" t="b">
        <f aca="false">IF(중복검사!$A1892="",FALSE(),중복검사!$J1892="유지")</f>
        <v>0</v>
      </c>
      <c r="I1894" s="5" t="str">
        <f aca="false">IF($H1894=FALSE(),"",COUNTIF($H$6:$H1894,TRUE()))</f>
        <v/>
      </c>
      <c r="J1894" s="5" t="str">
        <f aca="false">IF($I1894="","","R"&amp;$I1894)</f>
        <v/>
      </c>
    </row>
    <row r="1895" customFormat="false" ht="15" hidden="false" customHeight="true" outlineLevel="0" collapsed="false">
      <c r="H1895" s="14" t="b">
        <f aca="false">IF(중복검사!$A1893="",FALSE(),중복검사!$J1893="유지")</f>
        <v>0</v>
      </c>
      <c r="I1895" s="5" t="str">
        <f aca="false">IF($H1895=FALSE(),"",COUNTIF($H$6:$H1895,TRUE()))</f>
        <v/>
      </c>
      <c r="J1895" s="5" t="str">
        <f aca="false">IF($I1895="","","R"&amp;$I1895)</f>
        <v/>
      </c>
    </row>
    <row r="1896" customFormat="false" ht="15" hidden="false" customHeight="true" outlineLevel="0" collapsed="false">
      <c r="H1896" s="14" t="b">
        <f aca="false">IF(중복검사!$A1894="",FALSE(),중복검사!$J1894="유지")</f>
        <v>0</v>
      </c>
      <c r="I1896" s="5" t="str">
        <f aca="false">IF($H1896=FALSE(),"",COUNTIF($H$6:$H1896,TRUE()))</f>
        <v/>
      </c>
      <c r="J1896" s="5" t="str">
        <f aca="false">IF($I1896="","","R"&amp;$I1896)</f>
        <v/>
      </c>
    </row>
    <row r="1897" customFormat="false" ht="15" hidden="false" customHeight="true" outlineLevel="0" collapsed="false">
      <c r="H1897" s="14" t="b">
        <f aca="false">IF(중복검사!$A1895="",FALSE(),중복검사!$J1895="유지")</f>
        <v>0</v>
      </c>
      <c r="I1897" s="5" t="str">
        <f aca="false">IF($H1897=FALSE(),"",COUNTIF($H$6:$H1897,TRUE()))</f>
        <v/>
      </c>
      <c r="J1897" s="5" t="str">
        <f aca="false">IF($I1897="","","R"&amp;$I1897)</f>
        <v/>
      </c>
    </row>
    <row r="1898" customFormat="false" ht="15" hidden="false" customHeight="true" outlineLevel="0" collapsed="false">
      <c r="H1898" s="14" t="b">
        <f aca="false">IF(중복검사!$A1896="",FALSE(),중복검사!$J1896="유지")</f>
        <v>0</v>
      </c>
      <c r="I1898" s="5" t="str">
        <f aca="false">IF($H1898=FALSE(),"",COUNTIF($H$6:$H1898,TRUE()))</f>
        <v/>
      </c>
      <c r="J1898" s="5" t="str">
        <f aca="false">IF($I1898="","","R"&amp;$I1898)</f>
        <v/>
      </c>
    </row>
    <row r="1899" customFormat="false" ht="15" hidden="false" customHeight="true" outlineLevel="0" collapsed="false">
      <c r="H1899" s="14" t="b">
        <f aca="false">IF(중복검사!$A1897="",FALSE(),중복검사!$J1897="유지")</f>
        <v>0</v>
      </c>
      <c r="I1899" s="5" t="str">
        <f aca="false">IF($H1899=FALSE(),"",COUNTIF($H$6:$H1899,TRUE()))</f>
        <v/>
      </c>
      <c r="J1899" s="5" t="str">
        <f aca="false">IF($I1899="","","R"&amp;$I1899)</f>
        <v/>
      </c>
    </row>
    <row r="1900" customFormat="false" ht="15" hidden="false" customHeight="true" outlineLevel="0" collapsed="false">
      <c r="H1900" s="14" t="b">
        <f aca="false">IF(중복검사!$A1898="",FALSE(),중복검사!$J1898="유지")</f>
        <v>0</v>
      </c>
      <c r="I1900" s="5" t="str">
        <f aca="false">IF($H1900=FALSE(),"",COUNTIF($H$6:$H1900,TRUE()))</f>
        <v/>
      </c>
      <c r="J1900" s="5" t="str">
        <f aca="false">IF($I1900="","","R"&amp;$I1900)</f>
        <v/>
      </c>
    </row>
    <row r="1901" customFormat="false" ht="15" hidden="false" customHeight="true" outlineLevel="0" collapsed="false">
      <c r="H1901" s="14" t="b">
        <f aca="false">IF(중복검사!$A1899="",FALSE(),중복검사!$J1899="유지")</f>
        <v>0</v>
      </c>
      <c r="I1901" s="5" t="str">
        <f aca="false">IF($H1901=FALSE(),"",COUNTIF($H$6:$H1901,TRUE()))</f>
        <v/>
      </c>
      <c r="J1901" s="5" t="str">
        <f aca="false">IF($I1901="","","R"&amp;$I1901)</f>
        <v/>
      </c>
    </row>
    <row r="1902" customFormat="false" ht="15" hidden="false" customHeight="true" outlineLevel="0" collapsed="false">
      <c r="H1902" s="14" t="b">
        <f aca="false">IF(중복검사!$A1900="",FALSE(),중복검사!$J1900="유지")</f>
        <v>0</v>
      </c>
      <c r="I1902" s="5" t="str">
        <f aca="false">IF($H1902=FALSE(),"",COUNTIF($H$6:$H1902,TRUE()))</f>
        <v/>
      </c>
      <c r="J1902" s="5" t="str">
        <f aca="false">IF($I1902="","","R"&amp;$I1902)</f>
        <v/>
      </c>
    </row>
    <row r="1903" customFormat="false" ht="15" hidden="false" customHeight="true" outlineLevel="0" collapsed="false">
      <c r="H1903" s="14" t="b">
        <f aca="false">IF(중복검사!$A1901="",FALSE(),중복검사!$J1901="유지")</f>
        <v>0</v>
      </c>
      <c r="I1903" s="5" t="str">
        <f aca="false">IF($H1903=FALSE(),"",COUNTIF($H$6:$H1903,TRUE()))</f>
        <v/>
      </c>
      <c r="J1903" s="5" t="str">
        <f aca="false">IF($I1903="","","R"&amp;$I1903)</f>
        <v/>
      </c>
    </row>
    <row r="1904" customFormat="false" ht="15" hidden="false" customHeight="true" outlineLevel="0" collapsed="false">
      <c r="H1904" s="14" t="b">
        <f aca="false">IF(중복검사!$A1902="",FALSE(),중복검사!$J1902="유지")</f>
        <v>0</v>
      </c>
      <c r="I1904" s="5" t="str">
        <f aca="false">IF($H1904=FALSE(),"",COUNTIF($H$6:$H1904,TRUE()))</f>
        <v/>
      </c>
      <c r="J1904" s="5" t="str">
        <f aca="false">IF($I1904="","","R"&amp;$I1904)</f>
        <v/>
      </c>
    </row>
    <row r="1905" customFormat="false" ht="15" hidden="false" customHeight="true" outlineLevel="0" collapsed="false">
      <c r="H1905" s="14" t="b">
        <f aca="false">IF(중복검사!$A1903="",FALSE(),중복검사!$J1903="유지")</f>
        <v>0</v>
      </c>
      <c r="I1905" s="5" t="str">
        <f aca="false">IF($H1905=FALSE(),"",COUNTIF($H$6:$H1905,TRUE()))</f>
        <v/>
      </c>
      <c r="J1905" s="5" t="str">
        <f aca="false">IF($I1905="","","R"&amp;$I1905)</f>
        <v/>
      </c>
    </row>
    <row r="1906" customFormat="false" ht="15" hidden="false" customHeight="true" outlineLevel="0" collapsed="false">
      <c r="H1906" s="14" t="b">
        <f aca="false">IF(중복검사!$A1904="",FALSE(),중복검사!$J1904="유지")</f>
        <v>0</v>
      </c>
      <c r="I1906" s="5" t="str">
        <f aca="false">IF($H1906=FALSE(),"",COUNTIF($H$6:$H1906,TRUE()))</f>
        <v/>
      </c>
      <c r="J1906" s="5" t="str">
        <f aca="false">IF($I1906="","","R"&amp;$I1906)</f>
        <v/>
      </c>
    </row>
    <row r="1907" customFormat="false" ht="15" hidden="false" customHeight="true" outlineLevel="0" collapsed="false">
      <c r="H1907" s="14" t="b">
        <f aca="false">IF(중복검사!$A1905="",FALSE(),중복검사!$J1905="유지")</f>
        <v>0</v>
      </c>
      <c r="I1907" s="5" t="str">
        <f aca="false">IF($H1907=FALSE(),"",COUNTIF($H$6:$H1907,TRUE()))</f>
        <v/>
      </c>
      <c r="J1907" s="5" t="str">
        <f aca="false">IF($I1907="","","R"&amp;$I1907)</f>
        <v/>
      </c>
    </row>
    <row r="1908" customFormat="false" ht="15" hidden="false" customHeight="true" outlineLevel="0" collapsed="false">
      <c r="H1908" s="14" t="b">
        <f aca="false">IF(중복검사!$A1906="",FALSE(),중복검사!$J1906="유지")</f>
        <v>0</v>
      </c>
      <c r="I1908" s="5" t="str">
        <f aca="false">IF($H1908=FALSE(),"",COUNTIF($H$6:$H1908,TRUE()))</f>
        <v/>
      </c>
      <c r="J1908" s="5" t="str">
        <f aca="false">IF($I1908="","","R"&amp;$I1908)</f>
        <v/>
      </c>
    </row>
    <row r="1909" customFormat="false" ht="15" hidden="false" customHeight="true" outlineLevel="0" collapsed="false">
      <c r="H1909" s="14" t="b">
        <f aca="false">IF(중복검사!$A1907="",FALSE(),중복검사!$J1907="유지")</f>
        <v>0</v>
      </c>
      <c r="I1909" s="5" t="str">
        <f aca="false">IF($H1909=FALSE(),"",COUNTIF($H$6:$H1909,TRUE()))</f>
        <v/>
      </c>
      <c r="J1909" s="5" t="str">
        <f aca="false">IF($I1909="","","R"&amp;$I1909)</f>
        <v/>
      </c>
    </row>
    <row r="1910" customFormat="false" ht="15" hidden="false" customHeight="true" outlineLevel="0" collapsed="false">
      <c r="H1910" s="14" t="b">
        <f aca="false">IF(중복검사!$A1908="",FALSE(),중복검사!$J1908="유지")</f>
        <v>0</v>
      </c>
      <c r="I1910" s="5" t="str">
        <f aca="false">IF($H1910=FALSE(),"",COUNTIF($H$6:$H1910,TRUE()))</f>
        <v/>
      </c>
      <c r="J1910" s="5" t="str">
        <f aca="false">IF($I1910="","","R"&amp;$I1910)</f>
        <v/>
      </c>
    </row>
    <row r="1911" customFormat="false" ht="15" hidden="false" customHeight="true" outlineLevel="0" collapsed="false">
      <c r="H1911" s="14" t="b">
        <f aca="false">IF(중복검사!$A1909="",FALSE(),중복검사!$J1909="유지")</f>
        <v>0</v>
      </c>
      <c r="I1911" s="5" t="str">
        <f aca="false">IF($H1911=FALSE(),"",COUNTIF($H$6:$H1911,TRUE()))</f>
        <v/>
      </c>
      <c r="J1911" s="5" t="str">
        <f aca="false">IF($I1911="","","R"&amp;$I1911)</f>
        <v/>
      </c>
    </row>
    <row r="1912" customFormat="false" ht="15" hidden="false" customHeight="true" outlineLevel="0" collapsed="false">
      <c r="H1912" s="14" t="b">
        <f aca="false">IF(중복검사!$A1910="",FALSE(),중복검사!$J1910="유지")</f>
        <v>0</v>
      </c>
      <c r="I1912" s="5" t="str">
        <f aca="false">IF($H1912=FALSE(),"",COUNTIF($H$6:$H1912,TRUE()))</f>
        <v/>
      </c>
      <c r="J1912" s="5" t="str">
        <f aca="false">IF($I1912="","","R"&amp;$I1912)</f>
        <v/>
      </c>
    </row>
    <row r="1913" customFormat="false" ht="15" hidden="false" customHeight="true" outlineLevel="0" collapsed="false">
      <c r="H1913" s="14" t="b">
        <f aca="false">IF(중복검사!$A1911="",FALSE(),중복검사!$J1911="유지")</f>
        <v>0</v>
      </c>
      <c r="I1913" s="5" t="str">
        <f aca="false">IF($H1913=FALSE(),"",COUNTIF($H$6:$H1913,TRUE()))</f>
        <v/>
      </c>
      <c r="J1913" s="5" t="str">
        <f aca="false">IF($I1913="","","R"&amp;$I1913)</f>
        <v/>
      </c>
    </row>
    <row r="1914" customFormat="false" ht="15" hidden="false" customHeight="true" outlineLevel="0" collapsed="false">
      <c r="H1914" s="14" t="b">
        <f aca="false">IF(중복검사!$A1912="",FALSE(),중복검사!$J1912="유지")</f>
        <v>0</v>
      </c>
      <c r="I1914" s="5" t="str">
        <f aca="false">IF($H1914=FALSE(),"",COUNTIF($H$6:$H1914,TRUE()))</f>
        <v/>
      </c>
      <c r="J1914" s="5" t="str">
        <f aca="false">IF($I1914="","","R"&amp;$I1914)</f>
        <v/>
      </c>
    </row>
    <row r="1915" customFormat="false" ht="15" hidden="false" customHeight="true" outlineLevel="0" collapsed="false">
      <c r="H1915" s="14" t="b">
        <f aca="false">IF(중복검사!$A1913="",FALSE(),중복검사!$J1913="유지")</f>
        <v>0</v>
      </c>
      <c r="I1915" s="5" t="str">
        <f aca="false">IF($H1915=FALSE(),"",COUNTIF($H$6:$H1915,TRUE()))</f>
        <v/>
      </c>
      <c r="J1915" s="5" t="str">
        <f aca="false">IF($I1915="","","R"&amp;$I1915)</f>
        <v/>
      </c>
    </row>
    <row r="1916" customFormat="false" ht="15" hidden="false" customHeight="true" outlineLevel="0" collapsed="false">
      <c r="H1916" s="14" t="b">
        <f aca="false">IF(중복검사!$A1914="",FALSE(),중복검사!$J1914="유지")</f>
        <v>0</v>
      </c>
      <c r="I1916" s="5" t="str">
        <f aca="false">IF($H1916=FALSE(),"",COUNTIF($H$6:$H1916,TRUE()))</f>
        <v/>
      </c>
      <c r="J1916" s="5" t="str">
        <f aca="false">IF($I1916="","","R"&amp;$I1916)</f>
        <v/>
      </c>
    </row>
    <row r="1917" customFormat="false" ht="15" hidden="false" customHeight="true" outlineLevel="0" collapsed="false">
      <c r="H1917" s="14" t="b">
        <f aca="false">IF(중복검사!$A1915="",FALSE(),중복검사!$J1915="유지")</f>
        <v>0</v>
      </c>
      <c r="I1917" s="5" t="str">
        <f aca="false">IF($H1917=FALSE(),"",COUNTIF($H$6:$H1917,TRUE()))</f>
        <v/>
      </c>
      <c r="J1917" s="5" t="str">
        <f aca="false">IF($I1917="","","R"&amp;$I1917)</f>
        <v/>
      </c>
    </row>
    <row r="1918" customFormat="false" ht="15" hidden="false" customHeight="true" outlineLevel="0" collapsed="false">
      <c r="H1918" s="14" t="b">
        <f aca="false">IF(중복검사!$A1916="",FALSE(),중복검사!$J1916="유지")</f>
        <v>0</v>
      </c>
      <c r="I1918" s="5" t="str">
        <f aca="false">IF($H1918=FALSE(),"",COUNTIF($H$6:$H1918,TRUE()))</f>
        <v/>
      </c>
      <c r="J1918" s="5" t="str">
        <f aca="false">IF($I1918="","","R"&amp;$I1918)</f>
        <v/>
      </c>
    </row>
    <row r="1919" customFormat="false" ht="15" hidden="false" customHeight="true" outlineLevel="0" collapsed="false">
      <c r="H1919" s="14" t="b">
        <f aca="false">IF(중복검사!$A1917="",FALSE(),중복검사!$J1917="유지")</f>
        <v>0</v>
      </c>
      <c r="I1919" s="5" t="str">
        <f aca="false">IF($H1919=FALSE(),"",COUNTIF($H$6:$H1919,TRUE()))</f>
        <v/>
      </c>
      <c r="J1919" s="5" t="str">
        <f aca="false">IF($I1919="","","R"&amp;$I1919)</f>
        <v/>
      </c>
    </row>
    <row r="1920" customFormat="false" ht="15" hidden="false" customHeight="true" outlineLevel="0" collapsed="false">
      <c r="H1920" s="14" t="b">
        <f aca="false">IF(중복검사!$A1918="",FALSE(),중복검사!$J1918="유지")</f>
        <v>0</v>
      </c>
      <c r="I1920" s="5" t="str">
        <f aca="false">IF($H1920=FALSE(),"",COUNTIF($H$6:$H1920,TRUE()))</f>
        <v/>
      </c>
      <c r="J1920" s="5" t="str">
        <f aca="false">IF($I1920="","","R"&amp;$I1920)</f>
        <v/>
      </c>
    </row>
    <row r="1921" customFormat="false" ht="15" hidden="false" customHeight="true" outlineLevel="0" collapsed="false">
      <c r="H1921" s="14" t="b">
        <f aca="false">IF(중복검사!$A1919="",FALSE(),중복검사!$J1919="유지")</f>
        <v>0</v>
      </c>
      <c r="I1921" s="5" t="str">
        <f aca="false">IF($H1921=FALSE(),"",COUNTIF($H$6:$H1921,TRUE()))</f>
        <v/>
      </c>
      <c r="J1921" s="5" t="str">
        <f aca="false">IF($I1921="","","R"&amp;$I1921)</f>
        <v/>
      </c>
    </row>
    <row r="1922" customFormat="false" ht="15" hidden="false" customHeight="true" outlineLevel="0" collapsed="false">
      <c r="H1922" s="14" t="b">
        <f aca="false">IF(중복검사!$A1920="",FALSE(),중복검사!$J1920="유지")</f>
        <v>0</v>
      </c>
      <c r="I1922" s="5" t="str">
        <f aca="false">IF($H1922=FALSE(),"",COUNTIF($H$6:$H1922,TRUE()))</f>
        <v/>
      </c>
      <c r="J1922" s="5" t="str">
        <f aca="false">IF($I1922="","","R"&amp;$I1922)</f>
        <v/>
      </c>
    </row>
    <row r="1923" customFormat="false" ht="15" hidden="false" customHeight="true" outlineLevel="0" collapsed="false">
      <c r="H1923" s="14" t="b">
        <f aca="false">IF(중복검사!$A1921="",FALSE(),중복검사!$J1921="유지")</f>
        <v>0</v>
      </c>
      <c r="I1923" s="5" t="str">
        <f aca="false">IF($H1923=FALSE(),"",COUNTIF($H$6:$H1923,TRUE()))</f>
        <v/>
      </c>
      <c r="J1923" s="5" t="str">
        <f aca="false">IF($I1923="","","R"&amp;$I1923)</f>
        <v/>
      </c>
    </row>
    <row r="1924" customFormat="false" ht="15" hidden="false" customHeight="true" outlineLevel="0" collapsed="false">
      <c r="H1924" s="14" t="b">
        <f aca="false">IF(중복검사!$A1922="",FALSE(),중복검사!$J1922="유지")</f>
        <v>0</v>
      </c>
      <c r="I1924" s="5" t="str">
        <f aca="false">IF($H1924=FALSE(),"",COUNTIF($H$6:$H1924,TRUE()))</f>
        <v/>
      </c>
      <c r="J1924" s="5" t="str">
        <f aca="false">IF($I1924="","","R"&amp;$I1924)</f>
        <v/>
      </c>
    </row>
    <row r="1925" customFormat="false" ht="15" hidden="false" customHeight="true" outlineLevel="0" collapsed="false">
      <c r="H1925" s="14" t="b">
        <f aca="false">IF(중복검사!$A1923="",FALSE(),중복검사!$J1923="유지")</f>
        <v>0</v>
      </c>
      <c r="I1925" s="5" t="str">
        <f aca="false">IF($H1925=FALSE(),"",COUNTIF($H$6:$H1925,TRUE()))</f>
        <v/>
      </c>
      <c r="J1925" s="5" t="str">
        <f aca="false">IF($I1925="","","R"&amp;$I1925)</f>
        <v/>
      </c>
    </row>
    <row r="1926" customFormat="false" ht="15" hidden="false" customHeight="true" outlineLevel="0" collapsed="false">
      <c r="H1926" s="14" t="b">
        <f aca="false">IF(중복검사!$A1924="",FALSE(),중복검사!$J1924="유지")</f>
        <v>0</v>
      </c>
      <c r="I1926" s="5" t="str">
        <f aca="false">IF($H1926=FALSE(),"",COUNTIF($H$6:$H1926,TRUE()))</f>
        <v/>
      </c>
      <c r="J1926" s="5" t="str">
        <f aca="false">IF($I1926="","","R"&amp;$I1926)</f>
        <v/>
      </c>
    </row>
    <row r="1927" customFormat="false" ht="15" hidden="false" customHeight="true" outlineLevel="0" collapsed="false">
      <c r="H1927" s="14" t="b">
        <f aca="false">IF(중복검사!$A1925="",FALSE(),중복검사!$J1925="유지")</f>
        <v>0</v>
      </c>
      <c r="I1927" s="5" t="str">
        <f aca="false">IF($H1927=FALSE(),"",COUNTIF($H$6:$H1927,TRUE()))</f>
        <v/>
      </c>
      <c r="J1927" s="5" t="str">
        <f aca="false">IF($I1927="","","R"&amp;$I1927)</f>
        <v/>
      </c>
    </row>
    <row r="1928" customFormat="false" ht="15" hidden="false" customHeight="true" outlineLevel="0" collapsed="false">
      <c r="H1928" s="14" t="b">
        <f aca="false">IF(중복검사!$A1926="",FALSE(),중복검사!$J1926="유지")</f>
        <v>0</v>
      </c>
      <c r="I1928" s="5" t="str">
        <f aca="false">IF($H1928=FALSE(),"",COUNTIF($H$6:$H1928,TRUE()))</f>
        <v/>
      </c>
      <c r="J1928" s="5" t="str">
        <f aca="false">IF($I1928="","","R"&amp;$I1928)</f>
        <v/>
      </c>
    </row>
    <row r="1929" customFormat="false" ht="15" hidden="false" customHeight="true" outlineLevel="0" collapsed="false">
      <c r="H1929" s="14" t="b">
        <f aca="false">IF(중복검사!$A1927="",FALSE(),중복검사!$J1927="유지")</f>
        <v>0</v>
      </c>
      <c r="I1929" s="5" t="str">
        <f aca="false">IF($H1929=FALSE(),"",COUNTIF($H$6:$H1929,TRUE()))</f>
        <v/>
      </c>
      <c r="J1929" s="5" t="str">
        <f aca="false">IF($I1929="","","R"&amp;$I1929)</f>
        <v/>
      </c>
    </row>
    <row r="1930" customFormat="false" ht="15" hidden="false" customHeight="true" outlineLevel="0" collapsed="false">
      <c r="H1930" s="14" t="b">
        <f aca="false">IF(중복검사!$A1928="",FALSE(),중복검사!$J1928="유지")</f>
        <v>0</v>
      </c>
      <c r="I1930" s="5" t="str">
        <f aca="false">IF($H1930=FALSE(),"",COUNTIF($H$6:$H1930,TRUE()))</f>
        <v/>
      </c>
      <c r="J1930" s="5" t="str">
        <f aca="false">IF($I1930="","","R"&amp;$I1930)</f>
        <v/>
      </c>
    </row>
    <row r="1931" customFormat="false" ht="15" hidden="false" customHeight="true" outlineLevel="0" collapsed="false">
      <c r="H1931" s="14" t="b">
        <f aca="false">IF(중복검사!$A1929="",FALSE(),중복검사!$J1929="유지")</f>
        <v>0</v>
      </c>
      <c r="I1931" s="5" t="str">
        <f aca="false">IF($H1931=FALSE(),"",COUNTIF($H$6:$H1931,TRUE()))</f>
        <v/>
      </c>
      <c r="J1931" s="5" t="str">
        <f aca="false">IF($I1931="","","R"&amp;$I1931)</f>
        <v/>
      </c>
    </row>
    <row r="1932" customFormat="false" ht="15" hidden="false" customHeight="true" outlineLevel="0" collapsed="false">
      <c r="H1932" s="14" t="b">
        <f aca="false">IF(중복검사!$A1930="",FALSE(),중복검사!$J1930="유지")</f>
        <v>0</v>
      </c>
      <c r="I1932" s="5" t="str">
        <f aca="false">IF($H1932=FALSE(),"",COUNTIF($H$6:$H1932,TRUE()))</f>
        <v/>
      </c>
      <c r="J1932" s="5" t="str">
        <f aca="false">IF($I1932="","","R"&amp;$I1932)</f>
        <v/>
      </c>
    </row>
    <row r="1933" customFormat="false" ht="15" hidden="false" customHeight="true" outlineLevel="0" collapsed="false">
      <c r="H1933" s="14" t="b">
        <f aca="false">IF(중복검사!$A1931="",FALSE(),중복검사!$J1931="유지")</f>
        <v>0</v>
      </c>
      <c r="I1933" s="5" t="str">
        <f aca="false">IF($H1933=FALSE(),"",COUNTIF($H$6:$H1933,TRUE()))</f>
        <v/>
      </c>
      <c r="J1933" s="5" t="str">
        <f aca="false">IF($I1933="","","R"&amp;$I1933)</f>
        <v/>
      </c>
    </row>
    <row r="1934" customFormat="false" ht="15" hidden="false" customHeight="true" outlineLevel="0" collapsed="false">
      <c r="H1934" s="14" t="b">
        <f aca="false">IF(중복검사!$A1932="",FALSE(),중복검사!$J1932="유지")</f>
        <v>0</v>
      </c>
      <c r="I1934" s="5" t="str">
        <f aca="false">IF($H1934=FALSE(),"",COUNTIF($H$6:$H1934,TRUE()))</f>
        <v/>
      </c>
      <c r="J1934" s="5" t="str">
        <f aca="false">IF($I1934="","","R"&amp;$I1934)</f>
        <v/>
      </c>
    </row>
    <row r="1935" customFormat="false" ht="15" hidden="false" customHeight="true" outlineLevel="0" collapsed="false">
      <c r="H1935" s="14" t="b">
        <f aca="false">IF(중복검사!$A1933="",FALSE(),중복검사!$J1933="유지")</f>
        <v>0</v>
      </c>
      <c r="I1935" s="5" t="str">
        <f aca="false">IF($H1935=FALSE(),"",COUNTIF($H$6:$H1935,TRUE()))</f>
        <v/>
      </c>
      <c r="J1935" s="5" t="str">
        <f aca="false">IF($I1935="","","R"&amp;$I1935)</f>
        <v/>
      </c>
    </row>
    <row r="1936" customFormat="false" ht="15" hidden="false" customHeight="true" outlineLevel="0" collapsed="false">
      <c r="H1936" s="14" t="b">
        <f aca="false">IF(중복검사!$A1934="",FALSE(),중복검사!$J1934="유지")</f>
        <v>0</v>
      </c>
      <c r="I1936" s="5" t="str">
        <f aca="false">IF($H1936=FALSE(),"",COUNTIF($H$6:$H1936,TRUE()))</f>
        <v/>
      </c>
      <c r="J1936" s="5" t="str">
        <f aca="false">IF($I1936="","","R"&amp;$I1936)</f>
        <v/>
      </c>
    </row>
    <row r="1937" customFormat="false" ht="15" hidden="false" customHeight="true" outlineLevel="0" collapsed="false">
      <c r="H1937" s="14" t="b">
        <f aca="false">IF(중복검사!$A1935="",FALSE(),중복검사!$J1935="유지")</f>
        <v>0</v>
      </c>
      <c r="I1937" s="5" t="str">
        <f aca="false">IF($H1937=FALSE(),"",COUNTIF($H$6:$H1937,TRUE()))</f>
        <v/>
      </c>
      <c r="J1937" s="5" t="str">
        <f aca="false">IF($I1937="","","R"&amp;$I1937)</f>
        <v/>
      </c>
    </row>
    <row r="1938" customFormat="false" ht="15" hidden="false" customHeight="true" outlineLevel="0" collapsed="false">
      <c r="H1938" s="14" t="b">
        <f aca="false">IF(중복검사!$A1936="",FALSE(),중복검사!$J1936="유지")</f>
        <v>0</v>
      </c>
      <c r="I1938" s="5" t="str">
        <f aca="false">IF($H1938=FALSE(),"",COUNTIF($H$6:$H1938,TRUE()))</f>
        <v/>
      </c>
      <c r="J1938" s="5" t="str">
        <f aca="false">IF($I1938="","","R"&amp;$I1938)</f>
        <v/>
      </c>
    </row>
    <row r="1939" customFormat="false" ht="15" hidden="false" customHeight="true" outlineLevel="0" collapsed="false">
      <c r="H1939" s="14" t="b">
        <f aca="false">IF(중복검사!$A1937="",FALSE(),중복검사!$J1937="유지")</f>
        <v>0</v>
      </c>
      <c r="I1939" s="5" t="str">
        <f aca="false">IF($H1939=FALSE(),"",COUNTIF($H$6:$H1939,TRUE()))</f>
        <v/>
      </c>
      <c r="J1939" s="5" t="str">
        <f aca="false">IF($I1939="","","R"&amp;$I1939)</f>
        <v/>
      </c>
    </row>
    <row r="1940" customFormat="false" ht="15" hidden="false" customHeight="true" outlineLevel="0" collapsed="false">
      <c r="H1940" s="14" t="b">
        <f aca="false">IF(중복검사!$A1938="",FALSE(),중복검사!$J1938="유지")</f>
        <v>0</v>
      </c>
      <c r="I1940" s="5" t="str">
        <f aca="false">IF($H1940=FALSE(),"",COUNTIF($H$6:$H1940,TRUE()))</f>
        <v/>
      </c>
      <c r="J1940" s="5" t="str">
        <f aca="false">IF($I1940="","","R"&amp;$I1940)</f>
        <v/>
      </c>
    </row>
    <row r="1941" customFormat="false" ht="15" hidden="false" customHeight="true" outlineLevel="0" collapsed="false">
      <c r="H1941" s="14" t="b">
        <f aca="false">IF(중복검사!$A1939="",FALSE(),중복검사!$J1939="유지")</f>
        <v>0</v>
      </c>
      <c r="I1941" s="5" t="str">
        <f aca="false">IF($H1941=FALSE(),"",COUNTIF($H$6:$H1941,TRUE()))</f>
        <v/>
      </c>
      <c r="J1941" s="5" t="str">
        <f aca="false">IF($I1941="","","R"&amp;$I1941)</f>
        <v/>
      </c>
    </row>
    <row r="1942" customFormat="false" ht="15" hidden="false" customHeight="true" outlineLevel="0" collapsed="false">
      <c r="H1942" s="14" t="b">
        <f aca="false">IF(중복검사!$A1940="",FALSE(),중복검사!$J1940="유지")</f>
        <v>0</v>
      </c>
      <c r="I1942" s="5" t="str">
        <f aca="false">IF($H1942=FALSE(),"",COUNTIF($H$6:$H1942,TRUE()))</f>
        <v/>
      </c>
      <c r="J1942" s="5" t="str">
        <f aca="false">IF($I1942="","","R"&amp;$I1942)</f>
        <v/>
      </c>
    </row>
    <row r="1943" customFormat="false" ht="15" hidden="false" customHeight="true" outlineLevel="0" collapsed="false">
      <c r="H1943" s="14" t="b">
        <f aca="false">IF(중복검사!$A1941="",FALSE(),중복검사!$J1941="유지")</f>
        <v>0</v>
      </c>
      <c r="I1943" s="5" t="str">
        <f aca="false">IF($H1943=FALSE(),"",COUNTIF($H$6:$H1943,TRUE()))</f>
        <v/>
      </c>
      <c r="J1943" s="5" t="str">
        <f aca="false">IF($I1943="","","R"&amp;$I1943)</f>
        <v/>
      </c>
    </row>
    <row r="1944" customFormat="false" ht="15" hidden="false" customHeight="true" outlineLevel="0" collapsed="false">
      <c r="H1944" s="14" t="b">
        <f aca="false">IF(중복검사!$A1942="",FALSE(),중복검사!$J1942="유지")</f>
        <v>0</v>
      </c>
      <c r="I1944" s="5" t="str">
        <f aca="false">IF($H1944=FALSE(),"",COUNTIF($H$6:$H1944,TRUE()))</f>
        <v/>
      </c>
      <c r="J1944" s="5" t="str">
        <f aca="false">IF($I1944="","","R"&amp;$I1944)</f>
        <v/>
      </c>
    </row>
    <row r="1945" customFormat="false" ht="15" hidden="false" customHeight="true" outlineLevel="0" collapsed="false">
      <c r="H1945" s="14" t="b">
        <f aca="false">IF(중복검사!$A1943="",FALSE(),중복검사!$J1943="유지")</f>
        <v>0</v>
      </c>
      <c r="I1945" s="5" t="str">
        <f aca="false">IF($H1945=FALSE(),"",COUNTIF($H$6:$H1945,TRUE()))</f>
        <v/>
      </c>
      <c r="J1945" s="5" t="str">
        <f aca="false">IF($I1945="","","R"&amp;$I1945)</f>
        <v/>
      </c>
    </row>
    <row r="1946" customFormat="false" ht="15" hidden="false" customHeight="true" outlineLevel="0" collapsed="false">
      <c r="H1946" s="14" t="b">
        <f aca="false">IF(중복검사!$A1944="",FALSE(),중복검사!$J1944="유지")</f>
        <v>0</v>
      </c>
      <c r="I1946" s="5" t="str">
        <f aca="false">IF($H1946=FALSE(),"",COUNTIF($H$6:$H1946,TRUE()))</f>
        <v/>
      </c>
      <c r="J1946" s="5" t="str">
        <f aca="false">IF($I1946="","","R"&amp;$I1946)</f>
        <v/>
      </c>
    </row>
    <row r="1947" customFormat="false" ht="15" hidden="false" customHeight="true" outlineLevel="0" collapsed="false">
      <c r="H1947" s="14" t="b">
        <f aca="false">IF(중복검사!$A1945="",FALSE(),중복검사!$J1945="유지")</f>
        <v>0</v>
      </c>
      <c r="I1947" s="5" t="str">
        <f aca="false">IF($H1947=FALSE(),"",COUNTIF($H$6:$H1947,TRUE()))</f>
        <v/>
      </c>
      <c r="J1947" s="5" t="str">
        <f aca="false">IF($I1947="","","R"&amp;$I1947)</f>
        <v/>
      </c>
    </row>
    <row r="1948" customFormat="false" ht="15" hidden="false" customHeight="true" outlineLevel="0" collapsed="false">
      <c r="H1948" s="14" t="b">
        <f aca="false">IF(중복검사!$A1946="",FALSE(),중복검사!$J1946="유지")</f>
        <v>0</v>
      </c>
      <c r="I1948" s="5" t="str">
        <f aca="false">IF($H1948=FALSE(),"",COUNTIF($H$6:$H1948,TRUE()))</f>
        <v/>
      </c>
      <c r="J1948" s="5" t="str">
        <f aca="false">IF($I1948="","","R"&amp;$I1948)</f>
        <v/>
      </c>
    </row>
    <row r="1949" customFormat="false" ht="15" hidden="false" customHeight="true" outlineLevel="0" collapsed="false">
      <c r="H1949" s="14" t="b">
        <f aca="false">IF(중복검사!$A1947="",FALSE(),중복검사!$J1947="유지")</f>
        <v>0</v>
      </c>
      <c r="I1949" s="5" t="str">
        <f aca="false">IF($H1949=FALSE(),"",COUNTIF($H$6:$H1949,TRUE()))</f>
        <v/>
      </c>
      <c r="J1949" s="5" t="str">
        <f aca="false">IF($I1949="","","R"&amp;$I1949)</f>
        <v/>
      </c>
    </row>
    <row r="1950" customFormat="false" ht="15" hidden="false" customHeight="true" outlineLevel="0" collapsed="false">
      <c r="H1950" s="14" t="b">
        <f aca="false">IF(중복검사!$A1948="",FALSE(),중복검사!$J1948="유지")</f>
        <v>0</v>
      </c>
      <c r="I1950" s="5" t="str">
        <f aca="false">IF($H1950=FALSE(),"",COUNTIF($H$6:$H1950,TRUE()))</f>
        <v/>
      </c>
      <c r="J1950" s="5" t="str">
        <f aca="false">IF($I1950="","","R"&amp;$I1950)</f>
        <v/>
      </c>
    </row>
    <row r="1951" customFormat="false" ht="15" hidden="false" customHeight="true" outlineLevel="0" collapsed="false">
      <c r="H1951" s="14" t="b">
        <f aca="false">IF(중복검사!$A1949="",FALSE(),중복검사!$J1949="유지")</f>
        <v>0</v>
      </c>
      <c r="I1951" s="5" t="str">
        <f aca="false">IF($H1951=FALSE(),"",COUNTIF($H$6:$H1951,TRUE()))</f>
        <v/>
      </c>
      <c r="J1951" s="5" t="str">
        <f aca="false">IF($I1951="","","R"&amp;$I1951)</f>
        <v/>
      </c>
    </row>
    <row r="1952" customFormat="false" ht="15" hidden="false" customHeight="true" outlineLevel="0" collapsed="false">
      <c r="H1952" s="14" t="b">
        <f aca="false">IF(중복검사!$A1950="",FALSE(),중복검사!$J1950="유지")</f>
        <v>0</v>
      </c>
      <c r="I1952" s="5" t="str">
        <f aca="false">IF($H1952=FALSE(),"",COUNTIF($H$6:$H1952,TRUE()))</f>
        <v/>
      </c>
      <c r="J1952" s="5" t="str">
        <f aca="false">IF($I1952="","","R"&amp;$I1952)</f>
        <v/>
      </c>
    </row>
    <row r="1953" customFormat="false" ht="15" hidden="false" customHeight="true" outlineLevel="0" collapsed="false">
      <c r="H1953" s="14" t="b">
        <f aca="false">IF(중복검사!$A1951="",FALSE(),중복검사!$J1951="유지")</f>
        <v>0</v>
      </c>
      <c r="I1953" s="5" t="str">
        <f aca="false">IF($H1953=FALSE(),"",COUNTIF($H$6:$H1953,TRUE()))</f>
        <v/>
      </c>
      <c r="J1953" s="5" t="str">
        <f aca="false">IF($I1953="","","R"&amp;$I1953)</f>
        <v/>
      </c>
    </row>
    <row r="1954" customFormat="false" ht="15" hidden="false" customHeight="true" outlineLevel="0" collapsed="false">
      <c r="H1954" s="14" t="b">
        <f aca="false">IF(중복검사!$A1952="",FALSE(),중복검사!$J1952="유지")</f>
        <v>0</v>
      </c>
      <c r="I1954" s="5" t="str">
        <f aca="false">IF($H1954=FALSE(),"",COUNTIF($H$6:$H1954,TRUE()))</f>
        <v/>
      </c>
      <c r="J1954" s="5" t="str">
        <f aca="false">IF($I1954="","","R"&amp;$I1954)</f>
        <v/>
      </c>
    </row>
    <row r="1955" customFormat="false" ht="15" hidden="false" customHeight="true" outlineLevel="0" collapsed="false">
      <c r="H1955" s="14" t="b">
        <f aca="false">IF(중복검사!$A1953="",FALSE(),중복검사!$J1953="유지")</f>
        <v>0</v>
      </c>
      <c r="I1955" s="5" t="str">
        <f aca="false">IF($H1955=FALSE(),"",COUNTIF($H$6:$H1955,TRUE()))</f>
        <v/>
      </c>
      <c r="J1955" s="5" t="str">
        <f aca="false">IF($I1955="","","R"&amp;$I1955)</f>
        <v/>
      </c>
    </row>
    <row r="1956" customFormat="false" ht="15" hidden="false" customHeight="true" outlineLevel="0" collapsed="false">
      <c r="H1956" s="14" t="b">
        <f aca="false">IF(중복검사!$A1954="",FALSE(),중복검사!$J1954="유지")</f>
        <v>0</v>
      </c>
      <c r="I1956" s="5" t="str">
        <f aca="false">IF($H1956=FALSE(),"",COUNTIF($H$6:$H1956,TRUE()))</f>
        <v/>
      </c>
      <c r="J1956" s="5" t="str">
        <f aca="false">IF($I1956="","","R"&amp;$I1956)</f>
        <v/>
      </c>
    </row>
    <row r="1957" customFormat="false" ht="15" hidden="false" customHeight="true" outlineLevel="0" collapsed="false">
      <c r="H1957" s="14" t="b">
        <f aca="false">IF(중복검사!$A1955="",FALSE(),중복검사!$J1955="유지")</f>
        <v>0</v>
      </c>
      <c r="I1957" s="5" t="str">
        <f aca="false">IF($H1957=FALSE(),"",COUNTIF($H$6:$H1957,TRUE()))</f>
        <v/>
      </c>
      <c r="J1957" s="5" t="str">
        <f aca="false">IF($I1957="","","R"&amp;$I1957)</f>
        <v/>
      </c>
    </row>
    <row r="1958" customFormat="false" ht="15" hidden="false" customHeight="true" outlineLevel="0" collapsed="false">
      <c r="H1958" s="14" t="b">
        <f aca="false">IF(중복검사!$A1956="",FALSE(),중복검사!$J1956="유지")</f>
        <v>0</v>
      </c>
      <c r="I1958" s="5" t="str">
        <f aca="false">IF($H1958=FALSE(),"",COUNTIF($H$6:$H1958,TRUE()))</f>
        <v/>
      </c>
      <c r="J1958" s="5" t="str">
        <f aca="false">IF($I1958="","","R"&amp;$I1958)</f>
        <v/>
      </c>
    </row>
    <row r="1959" customFormat="false" ht="15" hidden="false" customHeight="true" outlineLevel="0" collapsed="false">
      <c r="H1959" s="14" t="b">
        <f aca="false">IF(중복검사!$A1957="",FALSE(),중복검사!$J1957="유지")</f>
        <v>0</v>
      </c>
      <c r="I1959" s="5" t="str">
        <f aca="false">IF($H1959=FALSE(),"",COUNTIF($H$6:$H1959,TRUE()))</f>
        <v/>
      </c>
      <c r="J1959" s="5" t="str">
        <f aca="false">IF($I1959="","","R"&amp;$I1959)</f>
        <v/>
      </c>
    </row>
    <row r="1960" customFormat="false" ht="15" hidden="false" customHeight="true" outlineLevel="0" collapsed="false">
      <c r="H1960" s="14" t="b">
        <f aca="false">IF(중복검사!$A1958="",FALSE(),중복검사!$J1958="유지")</f>
        <v>0</v>
      </c>
      <c r="I1960" s="5" t="str">
        <f aca="false">IF($H1960=FALSE(),"",COUNTIF($H$6:$H1960,TRUE()))</f>
        <v/>
      </c>
      <c r="J1960" s="5" t="str">
        <f aca="false">IF($I1960="","","R"&amp;$I1960)</f>
        <v/>
      </c>
    </row>
    <row r="1961" customFormat="false" ht="15" hidden="false" customHeight="true" outlineLevel="0" collapsed="false">
      <c r="H1961" s="14" t="b">
        <f aca="false">IF(중복검사!$A1959="",FALSE(),중복검사!$J1959="유지")</f>
        <v>0</v>
      </c>
      <c r="I1961" s="5" t="str">
        <f aca="false">IF($H1961=FALSE(),"",COUNTIF($H$6:$H1961,TRUE()))</f>
        <v/>
      </c>
      <c r="J1961" s="5" t="str">
        <f aca="false">IF($I1961="","","R"&amp;$I1961)</f>
        <v/>
      </c>
    </row>
    <row r="1962" customFormat="false" ht="15" hidden="false" customHeight="true" outlineLevel="0" collapsed="false">
      <c r="H1962" s="14" t="b">
        <f aca="false">IF(중복검사!$A1960="",FALSE(),중복검사!$J1960="유지")</f>
        <v>0</v>
      </c>
      <c r="I1962" s="5" t="str">
        <f aca="false">IF($H1962=FALSE(),"",COUNTIF($H$6:$H1962,TRUE()))</f>
        <v/>
      </c>
      <c r="J1962" s="5" t="str">
        <f aca="false">IF($I1962="","","R"&amp;$I1962)</f>
        <v/>
      </c>
    </row>
    <row r="1963" customFormat="false" ht="15" hidden="false" customHeight="true" outlineLevel="0" collapsed="false">
      <c r="H1963" s="14" t="b">
        <f aca="false">IF(중복검사!$A1961="",FALSE(),중복검사!$J1961="유지")</f>
        <v>0</v>
      </c>
      <c r="I1963" s="5" t="str">
        <f aca="false">IF($H1963=FALSE(),"",COUNTIF($H$6:$H1963,TRUE()))</f>
        <v/>
      </c>
      <c r="J1963" s="5" t="str">
        <f aca="false">IF($I1963="","","R"&amp;$I1963)</f>
        <v/>
      </c>
    </row>
    <row r="1964" customFormat="false" ht="15" hidden="false" customHeight="true" outlineLevel="0" collapsed="false">
      <c r="H1964" s="14" t="b">
        <f aca="false">IF(중복검사!$A1962="",FALSE(),중복검사!$J1962="유지")</f>
        <v>0</v>
      </c>
      <c r="I1964" s="5" t="str">
        <f aca="false">IF($H1964=FALSE(),"",COUNTIF($H$6:$H1964,TRUE()))</f>
        <v/>
      </c>
      <c r="J1964" s="5" t="str">
        <f aca="false">IF($I1964="","","R"&amp;$I1964)</f>
        <v/>
      </c>
    </row>
    <row r="1965" customFormat="false" ht="15" hidden="false" customHeight="true" outlineLevel="0" collapsed="false">
      <c r="H1965" s="14" t="b">
        <f aca="false">IF(중복검사!$A1963="",FALSE(),중복검사!$J1963="유지")</f>
        <v>0</v>
      </c>
      <c r="I1965" s="5" t="str">
        <f aca="false">IF($H1965=FALSE(),"",COUNTIF($H$6:$H1965,TRUE()))</f>
        <v/>
      </c>
      <c r="J1965" s="5" t="str">
        <f aca="false">IF($I1965="","","R"&amp;$I1965)</f>
        <v/>
      </c>
    </row>
    <row r="1966" customFormat="false" ht="15" hidden="false" customHeight="true" outlineLevel="0" collapsed="false">
      <c r="H1966" s="14" t="b">
        <f aca="false">IF(중복검사!$A1964="",FALSE(),중복검사!$J1964="유지")</f>
        <v>0</v>
      </c>
      <c r="I1966" s="5" t="str">
        <f aca="false">IF($H1966=FALSE(),"",COUNTIF($H$6:$H1966,TRUE()))</f>
        <v/>
      </c>
      <c r="J1966" s="5" t="str">
        <f aca="false">IF($I1966="","","R"&amp;$I1966)</f>
        <v/>
      </c>
    </row>
    <row r="1967" customFormat="false" ht="15" hidden="false" customHeight="true" outlineLevel="0" collapsed="false">
      <c r="H1967" s="14" t="b">
        <f aca="false">IF(중복검사!$A1965="",FALSE(),중복검사!$J1965="유지")</f>
        <v>0</v>
      </c>
      <c r="I1967" s="5" t="str">
        <f aca="false">IF($H1967=FALSE(),"",COUNTIF($H$6:$H1967,TRUE()))</f>
        <v/>
      </c>
      <c r="J1967" s="5" t="str">
        <f aca="false">IF($I1967="","","R"&amp;$I1967)</f>
        <v/>
      </c>
    </row>
    <row r="1968" customFormat="false" ht="15" hidden="false" customHeight="true" outlineLevel="0" collapsed="false">
      <c r="H1968" s="14" t="b">
        <f aca="false">IF(중복검사!$A1966="",FALSE(),중복검사!$J1966="유지")</f>
        <v>0</v>
      </c>
      <c r="I1968" s="5" t="str">
        <f aca="false">IF($H1968=FALSE(),"",COUNTIF($H$6:$H1968,TRUE()))</f>
        <v/>
      </c>
      <c r="J1968" s="5" t="str">
        <f aca="false">IF($I1968="","","R"&amp;$I1968)</f>
        <v/>
      </c>
    </row>
    <row r="1969" customFormat="false" ht="15" hidden="false" customHeight="true" outlineLevel="0" collapsed="false">
      <c r="H1969" s="14" t="b">
        <f aca="false">IF(중복검사!$A1967="",FALSE(),중복검사!$J1967="유지")</f>
        <v>0</v>
      </c>
      <c r="I1969" s="5" t="str">
        <f aca="false">IF($H1969=FALSE(),"",COUNTIF($H$6:$H1969,TRUE()))</f>
        <v/>
      </c>
      <c r="J1969" s="5" t="str">
        <f aca="false">IF($I1969="","","R"&amp;$I1969)</f>
        <v/>
      </c>
    </row>
    <row r="1970" customFormat="false" ht="15" hidden="false" customHeight="true" outlineLevel="0" collapsed="false">
      <c r="H1970" s="14" t="b">
        <f aca="false">IF(중복검사!$A1968="",FALSE(),중복검사!$J1968="유지")</f>
        <v>0</v>
      </c>
      <c r="I1970" s="5" t="str">
        <f aca="false">IF($H1970=FALSE(),"",COUNTIF($H$6:$H1970,TRUE()))</f>
        <v/>
      </c>
      <c r="J1970" s="5" t="str">
        <f aca="false">IF($I1970="","","R"&amp;$I1970)</f>
        <v/>
      </c>
    </row>
    <row r="1971" customFormat="false" ht="15" hidden="false" customHeight="true" outlineLevel="0" collapsed="false">
      <c r="H1971" s="14" t="b">
        <f aca="false">IF(중복검사!$A1969="",FALSE(),중복검사!$J1969="유지")</f>
        <v>0</v>
      </c>
      <c r="I1971" s="5" t="str">
        <f aca="false">IF($H1971=FALSE(),"",COUNTIF($H$6:$H1971,TRUE()))</f>
        <v/>
      </c>
      <c r="J1971" s="5" t="str">
        <f aca="false">IF($I1971="","","R"&amp;$I1971)</f>
        <v/>
      </c>
    </row>
    <row r="1972" customFormat="false" ht="15" hidden="false" customHeight="true" outlineLevel="0" collapsed="false">
      <c r="H1972" s="14" t="b">
        <f aca="false">IF(중복검사!$A1970="",FALSE(),중복검사!$J1970="유지")</f>
        <v>0</v>
      </c>
      <c r="I1972" s="5" t="str">
        <f aca="false">IF($H1972=FALSE(),"",COUNTIF($H$6:$H1972,TRUE()))</f>
        <v/>
      </c>
      <c r="J1972" s="5" t="str">
        <f aca="false">IF($I1972="","","R"&amp;$I1972)</f>
        <v/>
      </c>
    </row>
    <row r="1973" customFormat="false" ht="15" hidden="false" customHeight="true" outlineLevel="0" collapsed="false">
      <c r="H1973" s="14" t="b">
        <f aca="false">IF(중복검사!$A1971="",FALSE(),중복검사!$J1971="유지")</f>
        <v>0</v>
      </c>
      <c r="I1973" s="5" t="str">
        <f aca="false">IF($H1973=FALSE(),"",COUNTIF($H$6:$H1973,TRUE()))</f>
        <v/>
      </c>
      <c r="J1973" s="5" t="str">
        <f aca="false">IF($I1973="","","R"&amp;$I1973)</f>
        <v/>
      </c>
    </row>
    <row r="1974" customFormat="false" ht="15" hidden="false" customHeight="true" outlineLevel="0" collapsed="false">
      <c r="H1974" s="14" t="b">
        <f aca="false">IF(중복검사!$A1972="",FALSE(),중복검사!$J1972="유지")</f>
        <v>0</v>
      </c>
      <c r="I1974" s="5" t="str">
        <f aca="false">IF($H1974=FALSE(),"",COUNTIF($H$6:$H1974,TRUE()))</f>
        <v/>
      </c>
      <c r="J1974" s="5" t="str">
        <f aca="false">IF($I1974="","","R"&amp;$I1974)</f>
        <v/>
      </c>
    </row>
    <row r="1975" customFormat="false" ht="15" hidden="false" customHeight="true" outlineLevel="0" collapsed="false">
      <c r="H1975" s="14" t="b">
        <f aca="false">IF(중복검사!$A1973="",FALSE(),중복검사!$J1973="유지")</f>
        <v>0</v>
      </c>
      <c r="I1975" s="5" t="str">
        <f aca="false">IF($H1975=FALSE(),"",COUNTIF($H$6:$H1975,TRUE()))</f>
        <v/>
      </c>
      <c r="J1975" s="5" t="str">
        <f aca="false">IF($I1975="","","R"&amp;$I1975)</f>
        <v/>
      </c>
    </row>
    <row r="1976" customFormat="false" ht="15" hidden="false" customHeight="true" outlineLevel="0" collapsed="false">
      <c r="H1976" s="14" t="b">
        <f aca="false">IF(중복검사!$A1974="",FALSE(),중복검사!$J1974="유지")</f>
        <v>0</v>
      </c>
      <c r="I1976" s="5" t="str">
        <f aca="false">IF($H1976=FALSE(),"",COUNTIF($H$6:$H1976,TRUE()))</f>
        <v/>
      </c>
      <c r="J1976" s="5" t="str">
        <f aca="false">IF($I1976="","","R"&amp;$I1976)</f>
        <v/>
      </c>
    </row>
    <row r="1977" customFormat="false" ht="15" hidden="false" customHeight="true" outlineLevel="0" collapsed="false">
      <c r="H1977" s="14" t="b">
        <f aca="false">IF(중복검사!$A1975="",FALSE(),중복검사!$J1975="유지")</f>
        <v>0</v>
      </c>
      <c r="I1977" s="5" t="str">
        <f aca="false">IF($H1977=FALSE(),"",COUNTIF($H$6:$H1977,TRUE()))</f>
        <v/>
      </c>
      <c r="J1977" s="5" t="str">
        <f aca="false">IF($I1977="","","R"&amp;$I1977)</f>
        <v/>
      </c>
    </row>
    <row r="1978" customFormat="false" ht="15" hidden="false" customHeight="true" outlineLevel="0" collapsed="false">
      <c r="H1978" s="14" t="b">
        <f aca="false">IF(중복검사!$A1976="",FALSE(),중복검사!$J1976="유지")</f>
        <v>0</v>
      </c>
      <c r="I1978" s="5" t="str">
        <f aca="false">IF($H1978=FALSE(),"",COUNTIF($H$6:$H1978,TRUE()))</f>
        <v/>
      </c>
      <c r="J1978" s="5" t="str">
        <f aca="false">IF($I1978="","","R"&amp;$I1978)</f>
        <v/>
      </c>
    </row>
    <row r="1979" customFormat="false" ht="15" hidden="false" customHeight="true" outlineLevel="0" collapsed="false">
      <c r="H1979" s="14" t="b">
        <f aca="false">IF(중복검사!$A1977="",FALSE(),중복검사!$J1977="유지")</f>
        <v>0</v>
      </c>
      <c r="I1979" s="5" t="str">
        <f aca="false">IF($H1979=FALSE(),"",COUNTIF($H$6:$H1979,TRUE()))</f>
        <v/>
      </c>
      <c r="J1979" s="5" t="str">
        <f aca="false">IF($I1979="","","R"&amp;$I1979)</f>
        <v/>
      </c>
    </row>
    <row r="1980" customFormat="false" ht="15" hidden="false" customHeight="true" outlineLevel="0" collapsed="false">
      <c r="H1980" s="14" t="b">
        <f aca="false">IF(중복검사!$A1978="",FALSE(),중복검사!$J1978="유지")</f>
        <v>0</v>
      </c>
      <c r="I1980" s="5" t="str">
        <f aca="false">IF($H1980=FALSE(),"",COUNTIF($H$6:$H1980,TRUE()))</f>
        <v/>
      </c>
      <c r="J1980" s="5" t="str">
        <f aca="false">IF($I1980="","","R"&amp;$I1980)</f>
        <v/>
      </c>
    </row>
    <row r="1981" customFormat="false" ht="15" hidden="false" customHeight="true" outlineLevel="0" collapsed="false">
      <c r="H1981" s="14" t="b">
        <f aca="false">IF(중복검사!$A1979="",FALSE(),중복검사!$J1979="유지")</f>
        <v>0</v>
      </c>
      <c r="I1981" s="5" t="str">
        <f aca="false">IF($H1981=FALSE(),"",COUNTIF($H$6:$H1981,TRUE()))</f>
        <v/>
      </c>
      <c r="J1981" s="5" t="str">
        <f aca="false">IF($I1981="","","R"&amp;$I1981)</f>
        <v/>
      </c>
    </row>
    <row r="1982" customFormat="false" ht="15" hidden="false" customHeight="true" outlineLevel="0" collapsed="false">
      <c r="H1982" s="14" t="b">
        <f aca="false">IF(중복검사!$A1980="",FALSE(),중복검사!$J1980="유지")</f>
        <v>0</v>
      </c>
      <c r="I1982" s="5" t="str">
        <f aca="false">IF($H1982=FALSE(),"",COUNTIF($H$6:$H1982,TRUE()))</f>
        <v/>
      </c>
      <c r="J1982" s="5" t="str">
        <f aca="false">IF($I1982="","","R"&amp;$I1982)</f>
        <v/>
      </c>
    </row>
    <row r="1983" customFormat="false" ht="15" hidden="false" customHeight="true" outlineLevel="0" collapsed="false">
      <c r="H1983" s="14" t="b">
        <f aca="false">IF(중복검사!$A1981="",FALSE(),중복검사!$J1981="유지")</f>
        <v>0</v>
      </c>
      <c r="I1983" s="5" t="str">
        <f aca="false">IF($H1983=FALSE(),"",COUNTIF($H$6:$H1983,TRUE()))</f>
        <v/>
      </c>
      <c r="J1983" s="5" t="str">
        <f aca="false">IF($I1983="","","R"&amp;$I1983)</f>
        <v/>
      </c>
    </row>
    <row r="1984" customFormat="false" ht="15" hidden="false" customHeight="true" outlineLevel="0" collapsed="false">
      <c r="H1984" s="14" t="b">
        <f aca="false">IF(중복검사!$A1982="",FALSE(),중복검사!$J1982="유지")</f>
        <v>0</v>
      </c>
      <c r="I1984" s="5" t="str">
        <f aca="false">IF($H1984=FALSE(),"",COUNTIF($H$6:$H1984,TRUE()))</f>
        <v/>
      </c>
      <c r="J1984" s="5" t="str">
        <f aca="false">IF($I1984="","","R"&amp;$I1984)</f>
        <v/>
      </c>
    </row>
    <row r="1985" customFormat="false" ht="15" hidden="false" customHeight="true" outlineLevel="0" collapsed="false">
      <c r="H1985" s="14" t="b">
        <f aca="false">IF(중복검사!$A1983="",FALSE(),중복검사!$J1983="유지")</f>
        <v>0</v>
      </c>
      <c r="I1985" s="5" t="str">
        <f aca="false">IF($H1985=FALSE(),"",COUNTIF($H$6:$H1985,TRUE()))</f>
        <v/>
      </c>
      <c r="J1985" s="5" t="str">
        <f aca="false">IF($I1985="","","R"&amp;$I1985)</f>
        <v/>
      </c>
    </row>
    <row r="1986" customFormat="false" ht="15" hidden="false" customHeight="true" outlineLevel="0" collapsed="false">
      <c r="H1986" s="14" t="b">
        <f aca="false">IF(중복검사!$A1984="",FALSE(),중복검사!$J1984="유지")</f>
        <v>0</v>
      </c>
      <c r="I1986" s="5" t="str">
        <f aca="false">IF($H1986=FALSE(),"",COUNTIF($H$6:$H1986,TRUE()))</f>
        <v/>
      </c>
      <c r="J1986" s="5" t="str">
        <f aca="false">IF($I1986="","","R"&amp;$I1986)</f>
        <v/>
      </c>
    </row>
    <row r="1987" customFormat="false" ht="15" hidden="false" customHeight="true" outlineLevel="0" collapsed="false">
      <c r="H1987" s="14" t="b">
        <f aca="false">IF(중복검사!$A1985="",FALSE(),중복검사!$J1985="유지")</f>
        <v>0</v>
      </c>
      <c r="I1987" s="5" t="str">
        <f aca="false">IF($H1987=FALSE(),"",COUNTIF($H$6:$H1987,TRUE()))</f>
        <v/>
      </c>
      <c r="J1987" s="5" t="str">
        <f aca="false">IF($I1987="","","R"&amp;$I1987)</f>
        <v/>
      </c>
    </row>
    <row r="1988" customFormat="false" ht="15" hidden="false" customHeight="true" outlineLevel="0" collapsed="false">
      <c r="H1988" s="14" t="b">
        <f aca="false">IF(중복검사!$A1986="",FALSE(),중복검사!$J1986="유지")</f>
        <v>0</v>
      </c>
      <c r="I1988" s="5" t="str">
        <f aca="false">IF($H1988=FALSE(),"",COUNTIF($H$6:$H1988,TRUE()))</f>
        <v/>
      </c>
      <c r="J1988" s="5" t="str">
        <f aca="false">IF($I1988="","","R"&amp;$I1988)</f>
        <v/>
      </c>
    </row>
    <row r="1989" customFormat="false" ht="15" hidden="false" customHeight="true" outlineLevel="0" collapsed="false">
      <c r="H1989" s="14" t="b">
        <f aca="false">IF(중복검사!$A1987="",FALSE(),중복검사!$J1987="유지")</f>
        <v>0</v>
      </c>
      <c r="I1989" s="5" t="str">
        <f aca="false">IF($H1989=FALSE(),"",COUNTIF($H$6:$H1989,TRUE()))</f>
        <v/>
      </c>
      <c r="J1989" s="5" t="str">
        <f aca="false">IF($I1989="","","R"&amp;$I1989)</f>
        <v/>
      </c>
    </row>
    <row r="1990" customFormat="false" ht="15" hidden="false" customHeight="true" outlineLevel="0" collapsed="false">
      <c r="H1990" s="14" t="b">
        <f aca="false">IF(중복검사!$A1988="",FALSE(),중복검사!$J1988="유지")</f>
        <v>0</v>
      </c>
      <c r="I1990" s="5" t="str">
        <f aca="false">IF($H1990=FALSE(),"",COUNTIF($H$6:$H1990,TRUE()))</f>
        <v/>
      </c>
      <c r="J1990" s="5" t="str">
        <f aca="false">IF($I1990="","","R"&amp;$I1990)</f>
        <v/>
      </c>
    </row>
    <row r="1991" customFormat="false" ht="15" hidden="false" customHeight="true" outlineLevel="0" collapsed="false">
      <c r="H1991" s="14" t="b">
        <f aca="false">IF(중복검사!$A1989="",FALSE(),중복검사!$J1989="유지")</f>
        <v>0</v>
      </c>
      <c r="I1991" s="5" t="str">
        <f aca="false">IF($H1991=FALSE(),"",COUNTIF($H$6:$H1991,TRUE()))</f>
        <v/>
      </c>
      <c r="J1991" s="5" t="str">
        <f aca="false">IF($I1991="","","R"&amp;$I1991)</f>
        <v/>
      </c>
    </row>
    <row r="1992" customFormat="false" ht="15" hidden="false" customHeight="true" outlineLevel="0" collapsed="false">
      <c r="H1992" s="14" t="b">
        <f aca="false">IF(중복검사!$A1990="",FALSE(),중복검사!$J1990="유지")</f>
        <v>0</v>
      </c>
      <c r="I1992" s="5" t="str">
        <f aca="false">IF($H1992=FALSE(),"",COUNTIF($H$6:$H1992,TRUE()))</f>
        <v/>
      </c>
      <c r="J1992" s="5" t="str">
        <f aca="false">IF($I1992="","","R"&amp;$I1992)</f>
        <v/>
      </c>
    </row>
    <row r="1993" customFormat="false" ht="15" hidden="false" customHeight="true" outlineLevel="0" collapsed="false">
      <c r="H1993" s="14" t="b">
        <f aca="false">IF(중복검사!$A1991="",FALSE(),중복검사!$J1991="유지")</f>
        <v>0</v>
      </c>
      <c r="I1993" s="5" t="str">
        <f aca="false">IF($H1993=FALSE(),"",COUNTIF($H$6:$H1993,TRUE()))</f>
        <v/>
      </c>
      <c r="J1993" s="5" t="str">
        <f aca="false">IF($I1993="","","R"&amp;$I1993)</f>
        <v/>
      </c>
    </row>
    <row r="1994" customFormat="false" ht="15" hidden="false" customHeight="true" outlineLevel="0" collapsed="false">
      <c r="H1994" s="14" t="b">
        <f aca="false">IF(중복검사!$A1992="",FALSE(),중복검사!$J1992="유지")</f>
        <v>0</v>
      </c>
      <c r="I1994" s="5" t="str">
        <f aca="false">IF($H1994=FALSE(),"",COUNTIF($H$6:$H1994,TRUE()))</f>
        <v/>
      </c>
      <c r="J1994" s="5" t="str">
        <f aca="false">IF($I1994="","","R"&amp;$I1994)</f>
        <v/>
      </c>
    </row>
    <row r="1995" customFormat="false" ht="15" hidden="false" customHeight="true" outlineLevel="0" collapsed="false">
      <c r="H1995" s="14" t="b">
        <f aca="false">IF(중복검사!$A1993="",FALSE(),중복검사!$J1993="유지")</f>
        <v>0</v>
      </c>
      <c r="I1995" s="5" t="str">
        <f aca="false">IF($H1995=FALSE(),"",COUNTIF($H$6:$H1995,TRUE()))</f>
        <v/>
      </c>
      <c r="J1995" s="5" t="str">
        <f aca="false">IF($I1995="","","R"&amp;$I1995)</f>
        <v/>
      </c>
    </row>
    <row r="1996" customFormat="false" ht="15" hidden="false" customHeight="true" outlineLevel="0" collapsed="false">
      <c r="H1996" s="14" t="b">
        <f aca="false">IF(중복검사!$A1994="",FALSE(),중복검사!$J1994="유지")</f>
        <v>0</v>
      </c>
      <c r="I1996" s="5" t="str">
        <f aca="false">IF($H1996=FALSE(),"",COUNTIF($H$6:$H1996,TRUE()))</f>
        <v/>
      </c>
      <c r="J1996" s="5" t="str">
        <f aca="false">IF($I1996="","","R"&amp;$I1996)</f>
        <v/>
      </c>
    </row>
    <row r="1997" customFormat="false" ht="15" hidden="false" customHeight="true" outlineLevel="0" collapsed="false">
      <c r="H1997" s="14" t="b">
        <f aca="false">IF(중복검사!$A1995="",FALSE(),중복검사!$J1995="유지")</f>
        <v>0</v>
      </c>
      <c r="I1997" s="5" t="str">
        <f aca="false">IF($H1997=FALSE(),"",COUNTIF($H$6:$H1997,TRUE()))</f>
        <v/>
      </c>
      <c r="J1997" s="5" t="str">
        <f aca="false">IF($I1997="","","R"&amp;$I1997)</f>
        <v/>
      </c>
    </row>
    <row r="1998" customFormat="false" ht="15" hidden="false" customHeight="true" outlineLevel="0" collapsed="false">
      <c r="H1998" s="14" t="b">
        <f aca="false">IF(중복검사!$A1996="",FALSE(),중복검사!$J1996="유지")</f>
        <v>0</v>
      </c>
      <c r="I1998" s="5" t="str">
        <f aca="false">IF($H1998=FALSE(),"",COUNTIF($H$6:$H1998,TRUE()))</f>
        <v/>
      </c>
      <c r="J1998" s="5" t="str">
        <f aca="false">IF($I1998="","","R"&amp;$I1998)</f>
        <v/>
      </c>
    </row>
    <row r="1999" customFormat="false" ht="15" hidden="false" customHeight="true" outlineLevel="0" collapsed="false">
      <c r="H1999" s="14" t="b">
        <f aca="false">IF(중복검사!$A1997="",FALSE(),중복검사!$J1997="유지")</f>
        <v>0</v>
      </c>
      <c r="I1999" s="5" t="str">
        <f aca="false">IF($H1999=FALSE(),"",COUNTIF($H$6:$H1999,TRUE()))</f>
        <v/>
      </c>
      <c r="J1999" s="5" t="str">
        <f aca="false">IF($I1999="","","R"&amp;$I1999)</f>
        <v/>
      </c>
    </row>
    <row r="2000" customFormat="false" ht="15" hidden="false" customHeight="true" outlineLevel="0" collapsed="false">
      <c r="H2000" s="14" t="b">
        <f aca="false">IF(중복검사!$A1998="",FALSE(),중복검사!$J1998="유지")</f>
        <v>0</v>
      </c>
      <c r="I2000" s="5" t="str">
        <f aca="false">IF($H2000=FALSE(),"",COUNTIF($H$6:$H2000,TRUE()))</f>
        <v/>
      </c>
      <c r="J2000" s="5" t="str">
        <f aca="false">IF($I2000="","","R"&amp;$I2000)</f>
        <v/>
      </c>
    </row>
    <row r="2001" customFormat="false" ht="15" hidden="false" customHeight="true" outlineLevel="0" collapsed="false">
      <c r="H2001" s="14" t="b">
        <f aca="false">IF(중복검사!$A1999="",FALSE(),중복검사!$J1999="유지")</f>
        <v>0</v>
      </c>
      <c r="I2001" s="5" t="str">
        <f aca="false">IF($H2001=FALSE(),"",COUNTIF($H$6:$H2001,TRUE()))</f>
        <v/>
      </c>
      <c r="J2001" s="5" t="str">
        <f aca="false">IF($I2001="","","R"&amp;$I2001)</f>
        <v/>
      </c>
    </row>
    <row r="2002" customFormat="false" ht="15" hidden="false" customHeight="true" outlineLevel="0" collapsed="false">
      <c r="H2002" s="14" t="b">
        <f aca="false">IF(중복검사!$A2000="",FALSE(),중복검사!$J2000="유지")</f>
        <v>0</v>
      </c>
      <c r="I2002" s="5" t="str">
        <f aca="false">IF($H2002=FALSE(),"",COUNTIF($H$6:$H2002,TRUE()))</f>
        <v/>
      </c>
      <c r="J2002" s="5" t="str">
        <f aca="false">IF($I2002="","","R"&amp;$I2002)</f>
        <v/>
      </c>
    </row>
    <row r="2003" customFormat="false" ht="15" hidden="false" customHeight="true" outlineLevel="0" collapsed="false">
      <c r="H2003" s="14" t="b">
        <f aca="false">IF(중복검사!$A2001="",FALSE(),중복검사!$J2001="유지")</f>
        <v>0</v>
      </c>
      <c r="I2003" s="5" t="str">
        <f aca="false">IF($H2003=FALSE(),"",COUNTIF($H$6:$H2003,TRUE()))</f>
        <v/>
      </c>
      <c r="J2003" s="5" t="str">
        <f aca="false">IF($I2003="","","R"&amp;$I2003)</f>
        <v/>
      </c>
    </row>
    <row r="2004" customFormat="false" ht="15" hidden="false" customHeight="true" outlineLevel="0" collapsed="false">
      <c r="H2004" s="14" t="b">
        <f aca="false">IF(중복검사!$A2002="",FALSE(),중복검사!$J2002="유지")</f>
        <v>0</v>
      </c>
      <c r="I2004" s="5" t="str">
        <f aca="false">IF($H2004=FALSE(),"",COUNTIF($H$6:$H2004,TRUE()))</f>
        <v/>
      </c>
      <c r="J2004" s="5" t="str">
        <f aca="false">IF($I2004="","","R"&amp;$I2004)</f>
        <v/>
      </c>
    </row>
    <row r="2005" customFormat="false" ht="15" hidden="false" customHeight="true" outlineLevel="0" collapsed="false">
      <c r="H2005" s="14" t="b">
        <f aca="false">IF(중복검사!$A2003="",FALSE(),중복검사!$J2003="유지")</f>
        <v>0</v>
      </c>
      <c r="I2005" s="5" t="str">
        <f aca="false">IF($H2005=FALSE(),"",COUNTIF($H$6:$H2005,TRUE()))</f>
        <v/>
      </c>
      <c r="J2005" s="5" t="str">
        <f aca="false">IF($I2005="","","R"&amp;$I2005)</f>
        <v/>
      </c>
    </row>
    <row r="2006" customFormat="false" ht="15" hidden="false" customHeight="true" outlineLevel="0" collapsed="false">
      <c r="H2006" s="14" t="b">
        <f aca="false">IF(중복검사!$A2004="",FALSE(),중복검사!$J2004="유지")</f>
        <v>0</v>
      </c>
      <c r="I2006" s="5" t="str">
        <f aca="false">IF($H2006=FALSE(),"",COUNTIF($H$6:$H2006,TRUE()))</f>
        <v/>
      </c>
      <c r="J2006" s="5" t="str">
        <f aca="false">IF($I2006="","","R"&amp;$I2006)</f>
        <v/>
      </c>
    </row>
    <row r="2007" customFormat="false" ht="15" hidden="false" customHeight="true" outlineLevel="0" collapsed="false">
      <c r="H2007" s="14" t="b">
        <f aca="false">IF(중복검사!$A2005="",FALSE(),중복검사!$J2005="유지")</f>
        <v>0</v>
      </c>
      <c r="I2007" s="5" t="str">
        <f aca="false">IF($H2007=FALSE(),"",COUNTIF($H$6:$H2007,TRUE()))</f>
        <v/>
      </c>
      <c r="J2007" s="5" t="str">
        <f aca="false">IF($I2007="","","R"&amp;$I2007)</f>
        <v/>
      </c>
    </row>
    <row r="2008" customFormat="false" ht="15" hidden="false" customHeight="true" outlineLevel="0" collapsed="false">
      <c r="H2008" s="14" t="b">
        <f aca="false">IF(중복검사!$A2006="",FALSE(),중복검사!$J2006="유지")</f>
        <v>0</v>
      </c>
      <c r="I2008" s="5" t="str">
        <f aca="false">IF($H2008=FALSE(),"",COUNTIF($H$6:$H2008,TRUE()))</f>
        <v/>
      </c>
      <c r="J2008" s="5" t="str">
        <f aca="false">IF($I2008="","","R"&amp;$I2008)</f>
        <v/>
      </c>
    </row>
    <row r="2009" customFormat="false" ht="15" hidden="false" customHeight="true" outlineLevel="0" collapsed="false">
      <c r="H2009" s="14" t="b">
        <f aca="false">IF(중복검사!$A2007="",FALSE(),중복검사!$J2007="유지")</f>
        <v>0</v>
      </c>
      <c r="I2009" s="5" t="str">
        <f aca="false">IF($H2009=FALSE(),"",COUNTIF($H$6:$H2009,TRUE()))</f>
        <v/>
      </c>
      <c r="J2009" s="5" t="str">
        <f aca="false">IF($I2009="","","R"&amp;$I2009)</f>
        <v/>
      </c>
    </row>
    <row r="2010" customFormat="false" ht="15" hidden="false" customHeight="true" outlineLevel="0" collapsed="false">
      <c r="H2010" s="14" t="b">
        <f aca="false">IF(중복검사!$A2008="",FALSE(),중복검사!$J2008="유지")</f>
        <v>0</v>
      </c>
      <c r="I2010" s="5" t="str">
        <f aca="false">IF($H2010=FALSE(),"",COUNTIF($H$6:$H2010,TRUE()))</f>
        <v/>
      </c>
      <c r="J2010" s="5" t="str">
        <f aca="false">IF($I2010="","","R"&amp;$I2010)</f>
        <v/>
      </c>
    </row>
    <row r="2011" customFormat="false" ht="15" hidden="false" customHeight="true" outlineLevel="0" collapsed="false">
      <c r="H2011" s="14" t="b">
        <f aca="false">IF(중복검사!$A2009="",FALSE(),중복검사!$J2009="유지")</f>
        <v>0</v>
      </c>
      <c r="I2011" s="5" t="str">
        <f aca="false">IF($H2011=FALSE(),"",COUNTIF($H$6:$H2011,TRUE()))</f>
        <v/>
      </c>
      <c r="J2011" s="5" t="str">
        <f aca="false">IF($I2011="","","R"&amp;$I2011)</f>
        <v/>
      </c>
    </row>
    <row r="2012" customFormat="false" ht="15" hidden="false" customHeight="true" outlineLevel="0" collapsed="false">
      <c r="H2012" s="14" t="b">
        <f aca="false">IF(중복검사!$A2010="",FALSE(),중복검사!$J2010="유지")</f>
        <v>0</v>
      </c>
      <c r="I2012" s="5" t="str">
        <f aca="false">IF($H2012=FALSE(),"",COUNTIF($H$6:$H2012,TRUE()))</f>
        <v/>
      </c>
      <c r="J2012" s="5" t="str">
        <f aca="false">IF($I2012="","","R"&amp;$I2012)</f>
        <v/>
      </c>
    </row>
    <row r="2013" customFormat="false" ht="15" hidden="false" customHeight="true" outlineLevel="0" collapsed="false">
      <c r="H2013" s="14" t="b">
        <f aca="false">IF(중복검사!$A2011="",FALSE(),중복검사!$J2011="유지")</f>
        <v>0</v>
      </c>
      <c r="I2013" s="5" t="str">
        <f aca="false">IF($H2013=FALSE(),"",COUNTIF($H$6:$H2013,TRUE()))</f>
        <v/>
      </c>
      <c r="J2013" s="5" t="str">
        <f aca="false">IF($I2013="","","R"&amp;$I2013)</f>
        <v/>
      </c>
    </row>
    <row r="2014" customFormat="false" ht="15" hidden="false" customHeight="true" outlineLevel="0" collapsed="false">
      <c r="H2014" s="14" t="b">
        <f aca="false">IF(중복검사!$A2012="",FALSE(),중복검사!$J2012="유지")</f>
        <v>0</v>
      </c>
      <c r="I2014" s="5" t="str">
        <f aca="false">IF($H2014=FALSE(),"",COUNTIF($H$6:$H2014,TRUE()))</f>
        <v/>
      </c>
      <c r="J2014" s="5" t="str">
        <f aca="false">IF($I2014="","","R"&amp;$I2014)</f>
        <v/>
      </c>
    </row>
    <row r="2015" customFormat="false" ht="15" hidden="false" customHeight="true" outlineLevel="0" collapsed="false">
      <c r="H2015" s="14" t="b">
        <f aca="false">IF(중복검사!$A2013="",FALSE(),중복검사!$J2013="유지")</f>
        <v>0</v>
      </c>
      <c r="I2015" s="5" t="str">
        <f aca="false">IF($H2015=FALSE(),"",COUNTIF($H$6:$H2015,TRUE()))</f>
        <v/>
      </c>
      <c r="J2015" s="5" t="str">
        <f aca="false">IF($I2015="","","R"&amp;$I2015)</f>
        <v/>
      </c>
    </row>
    <row r="2016" customFormat="false" ht="15" hidden="false" customHeight="true" outlineLevel="0" collapsed="false">
      <c r="H2016" s="14" t="b">
        <f aca="false">IF(중복검사!$A2014="",FALSE(),중복검사!$J2014="유지")</f>
        <v>0</v>
      </c>
      <c r="I2016" s="5" t="str">
        <f aca="false">IF($H2016=FALSE(),"",COUNTIF($H$6:$H2016,TRUE()))</f>
        <v/>
      </c>
      <c r="J2016" s="5" t="str">
        <f aca="false">IF($I2016="","","R"&amp;$I2016)</f>
        <v/>
      </c>
    </row>
    <row r="2017" customFormat="false" ht="15" hidden="false" customHeight="true" outlineLevel="0" collapsed="false">
      <c r="H2017" s="14" t="b">
        <f aca="false">IF(중복검사!$A2015="",FALSE(),중복검사!$J2015="유지")</f>
        <v>0</v>
      </c>
      <c r="I2017" s="5" t="str">
        <f aca="false">IF($H2017=FALSE(),"",COUNTIF($H$6:$H2017,TRUE()))</f>
        <v/>
      </c>
      <c r="J2017" s="5" t="str">
        <f aca="false">IF($I2017="","","R"&amp;$I2017)</f>
        <v/>
      </c>
    </row>
    <row r="2018" customFormat="false" ht="15" hidden="false" customHeight="true" outlineLevel="0" collapsed="false">
      <c r="H2018" s="14" t="b">
        <f aca="false">IF(중복검사!$A2016="",FALSE(),중복검사!$J2016="유지")</f>
        <v>0</v>
      </c>
      <c r="I2018" s="5" t="str">
        <f aca="false">IF($H2018=FALSE(),"",COUNTIF($H$6:$H2018,TRUE()))</f>
        <v/>
      </c>
      <c r="J2018" s="5" t="str">
        <f aca="false">IF($I2018="","","R"&amp;$I2018)</f>
        <v/>
      </c>
    </row>
    <row r="2019" customFormat="false" ht="15" hidden="false" customHeight="true" outlineLevel="0" collapsed="false">
      <c r="H2019" s="14" t="b">
        <f aca="false">IF(중복검사!$A2017="",FALSE(),중복검사!$J2017="유지")</f>
        <v>0</v>
      </c>
      <c r="I2019" s="5" t="str">
        <f aca="false">IF($H2019=FALSE(),"",COUNTIF($H$6:$H2019,TRUE()))</f>
        <v/>
      </c>
      <c r="J2019" s="5" t="str">
        <f aca="false">IF($I2019="","","R"&amp;$I2019)</f>
        <v/>
      </c>
    </row>
    <row r="2020" customFormat="false" ht="15" hidden="false" customHeight="true" outlineLevel="0" collapsed="false">
      <c r="H2020" s="14" t="b">
        <f aca="false">IF(중복검사!$A2018="",FALSE(),중복검사!$J2018="유지")</f>
        <v>0</v>
      </c>
      <c r="I2020" s="5" t="str">
        <f aca="false">IF($H2020=FALSE(),"",COUNTIF($H$6:$H2020,TRUE()))</f>
        <v/>
      </c>
      <c r="J2020" s="5" t="str">
        <f aca="false">IF($I2020="","","R"&amp;$I2020)</f>
        <v/>
      </c>
    </row>
    <row r="2021" customFormat="false" ht="15" hidden="false" customHeight="true" outlineLevel="0" collapsed="false">
      <c r="H2021" s="14" t="b">
        <f aca="false">IF(중복검사!$A2019="",FALSE(),중복검사!$J2019="유지")</f>
        <v>0</v>
      </c>
      <c r="I2021" s="5" t="str">
        <f aca="false">IF($H2021=FALSE(),"",COUNTIF($H$6:$H2021,TRUE()))</f>
        <v/>
      </c>
      <c r="J2021" s="5" t="str">
        <f aca="false">IF($I2021="","","R"&amp;$I2021)</f>
        <v/>
      </c>
    </row>
    <row r="2022" customFormat="false" ht="15" hidden="false" customHeight="true" outlineLevel="0" collapsed="false">
      <c r="H2022" s="14" t="b">
        <f aca="false">IF(중복검사!$A2020="",FALSE(),중복검사!$J2020="유지")</f>
        <v>0</v>
      </c>
      <c r="I2022" s="5" t="str">
        <f aca="false">IF($H2022=FALSE(),"",COUNTIF($H$6:$H2022,TRUE()))</f>
        <v/>
      </c>
      <c r="J2022" s="5" t="str">
        <f aca="false">IF($I2022="","","R"&amp;$I2022)</f>
        <v/>
      </c>
    </row>
    <row r="2023" customFormat="false" ht="15" hidden="false" customHeight="true" outlineLevel="0" collapsed="false">
      <c r="H2023" s="14" t="b">
        <f aca="false">IF(중복검사!$A2021="",FALSE(),중복검사!$J2021="유지")</f>
        <v>0</v>
      </c>
      <c r="I2023" s="5" t="str">
        <f aca="false">IF($H2023=FALSE(),"",COUNTIF($H$6:$H2023,TRUE()))</f>
        <v/>
      </c>
      <c r="J2023" s="5" t="str">
        <f aca="false">IF($I2023="","","R"&amp;$I2023)</f>
        <v/>
      </c>
    </row>
    <row r="2024" customFormat="false" ht="15" hidden="false" customHeight="true" outlineLevel="0" collapsed="false">
      <c r="H2024" s="14" t="b">
        <f aca="false">IF(중복검사!$A2022="",FALSE(),중복검사!$J2022="유지")</f>
        <v>0</v>
      </c>
      <c r="I2024" s="5" t="str">
        <f aca="false">IF($H2024=FALSE(),"",COUNTIF($H$6:$H2024,TRUE()))</f>
        <v/>
      </c>
      <c r="J2024" s="5" t="str">
        <f aca="false">IF($I2024="","","R"&amp;$I2024)</f>
        <v/>
      </c>
    </row>
    <row r="2025" customFormat="false" ht="15" hidden="false" customHeight="true" outlineLevel="0" collapsed="false">
      <c r="H2025" s="14" t="b">
        <f aca="false">IF(중복검사!$A2023="",FALSE(),중복검사!$J2023="유지")</f>
        <v>0</v>
      </c>
      <c r="I2025" s="5" t="str">
        <f aca="false">IF($H2025=FALSE(),"",COUNTIF($H$6:$H2025,TRUE()))</f>
        <v/>
      </c>
      <c r="J2025" s="5" t="str">
        <f aca="false">IF($I2025="","","R"&amp;$I2025)</f>
        <v/>
      </c>
    </row>
    <row r="2026" customFormat="false" ht="15" hidden="false" customHeight="true" outlineLevel="0" collapsed="false">
      <c r="H2026" s="14" t="b">
        <f aca="false">IF(중복검사!$A2024="",FALSE(),중복검사!$J2024="유지")</f>
        <v>0</v>
      </c>
      <c r="I2026" s="5" t="str">
        <f aca="false">IF($H2026=FALSE(),"",COUNTIF($H$6:$H2026,TRUE()))</f>
        <v/>
      </c>
      <c r="J2026" s="5" t="str">
        <f aca="false">IF($I2026="","","R"&amp;$I2026)</f>
        <v/>
      </c>
    </row>
    <row r="2027" customFormat="false" ht="15" hidden="false" customHeight="true" outlineLevel="0" collapsed="false">
      <c r="H2027" s="14" t="b">
        <f aca="false">IF(중복검사!$A2025="",FALSE(),중복검사!$J2025="유지")</f>
        <v>0</v>
      </c>
      <c r="I2027" s="5" t="str">
        <f aca="false">IF($H2027=FALSE(),"",COUNTIF($H$6:$H2027,TRUE()))</f>
        <v/>
      </c>
      <c r="J2027" s="5" t="str">
        <f aca="false">IF($I2027="","","R"&amp;$I2027)</f>
        <v/>
      </c>
    </row>
    <row r="2028" customFormat="false" ht="15" hidden="false" customHeight="true" outlineLevel="0" collapsed="false">
      <c r="H2028" s="14" t="b">
        <f aca="false">IF(중복검사!$A2026="",FALSE(),중복검사!$J2026="유지")</f>
        <v>0</v>
      </c>
      <c r="I2028" s="5" t="str">
        <f aca="false">IF($H2028=FALSE(),"",COUNTIF($H$6:$H2028,TRUE()))</f>
        <v/>
      </c>
      <c r="J2028" s="5" t="str">
        <f aca="false">IF($I2028="","","R"&amp;$I2028)</f>
        <v/>
      </c>
    </row>
    <row r="2029" customFormat="false" ht="15" hidden="false" customHeight="true" outlineLevel="0" collapsed="false">
      <c r="H2029" s="14" t="b">
        <f aca="false">IF(중복검사!$A2027="",FALSE(),중복검사!$J2027="유지")</f>
        <v>0</v>
      </c>
      <c r="I2029" s="5" t="str">
        <f aca="false">IF($H2029=FALSE(),"",COUNTIF($H$6:$H2029,TRUE()))</f>
        <v/>
      </c>
      <c r="J2029" s="5" t="str">
        <f aca="false">IF($I2029="","","R"&amp;$I2029)</f>
        <v/>
      </c>
    </row>
    <row r="2030" customFormat="false" ht="15" hidden="false" customHeight="true" outlineLevel="0" collapsed="false">
      <c r="H2030" s="14" t="b">
        <f aca="false">IF(중복검사!$A2028="",FALSE(),중복검사!$J2028="유지")</f>
        <v>0</v>
      </c>
      <c r="I2030" s="5" t="str">
        <f aca="false">IF($H2030=FALSE(),"",COUNTIF($H$6:$H2030,TRUE()))</f>
        <v/>
      </c>
      <c r="J2030" s="5" t="str">
        <f aca="false">IF($I2030="","","R"&amp;$I2030)</f>
        <v/>
      </c>
    </row>
    <row r="2031" customFormat="false" ht="15" hidden="false" customHeight="true" outlineLevel="0" collapsed="false">
      <c r="H2031" s="14" t="b">
        <f aca="false">IF(중복검사!$A2029="",FALSE(),중복검사!$J2029="유지")</f>
        <v>0</v>
      </c>
      <c r="I2031" s="5" t="str">
        <f aca="false">IF($H2031=FALSE(),"",COUNTIF($H$6:$H2031,TRUE()))</f>
        <v/>
      </c>
      <c r="J2031" s="5" t="str">
        <f aca="false">IF($I2031="","","R"&amp;$I2031)</f>
        <v/>
      </c>
    </row>
    <row r="2032" customFormat="false" ht="15" hidden="false" customHeight="true" outlineLevel="0" collapsed="false">
      <c r="H2032" s="14" t="b">
        <f aca="false">IF(중복검사!$A2030="",FALSE(),중복검사!$J2030="유지")</f>
        <v>0</v>
      </c>
      <c r="I2032" s="5" t="str">
        <f aca="false">IF($H2032=FALSE(),"",COUNTIF($H$6:$H2032,TRUE()))</f>
        <v/>
      </c>
      <c r="J2032" s="5" t="str">
        <f aca="false">IF($I2032="","","R"&amp;$I2032)</f>
        <v/>
      </c>
    </row>
    <row r="2033" customFormat="false" ht="15" hidden="false" customHeight="true" outlineLevel="0" collapsed="false">
      <c r="H2033" s="14" t="b">
        <f aca="false">IF(중복검사!$A2031="",FALSE(),중복검사!$J2031="유지")</f>
        <v>0</v>
      </c>
      <c r="I2033" s="5" t="str">
        <f aca="false">IF($H2033=FALSE(),"",COUNTIF($H$6:$H2033,TRUE()))</f>
        <v/>
      </c>
      <c r="J2033" s="5" t="str">
        <f aca="false">IF($I2033="","","R"&amp;$I2033)</f>
        <v/>
      </c>
    </row>
    <row r="2034" customFormat="false" ht="15" hidden="false" customHeight="true" outlineLevel="0" collapsed="false">
      <c r="H2034" s="14" t="b">
        <f aca="false">IF(중복검사!$A2032="",FALSE(),중복검사!$J2032="유지")</f>
        <v>0</v>
      </c>
      <c r="I2034" s="5" t="str">
        <f aca="false">IF($H2034=FALSE(),"",COUNTIF($H$6:$H2034,TRUE()))</f>
        <v/>
      </c>
      <c r="J2034" s="5" t="str">
        <f aca="false">IF($I2034="","","R"&amp;$I2034)</f>
        <v/>
      </c>
    </row>
    <row r="2035" customFormat="false" ht="15" hidden="false" customHeight="true" outlineLevel="0" collapsed="false">
      <c r="H2035" s="14" t="b">
        <f aca="false">IF(중복검사!$A2033="",FALSE(),중복검사!$J2033="유지")</f>
        <v>0</v>
      </c>
      <c r="I2035" s="5" t="str">
        <f aca="false">IF($H2035=FALSE(),"",COUNTIF($H$6:$H2035,TRUE()))</f>
        <v/>
      </c>
      <c r="J2035" s="5" t="str">
        <f aca="false">IF($I2035="","","R"&amp;$I2035)</f>
        <v/>
      </c>
    </row>
    <row r="2036" customFormat="false" ht="15" hidden="false" customHeight="true" outlineLevel="0" collapsed="false">
      <c r="H2036" s="14" t="b">
        <f aca="false">IF(중복검사!$A2034="",FALSE(),중복검사!$J2034="유지")</f>
        <v>0</v>
      </c>
      <c r="I2036" s="5" t="str">
        <f aca="false">IF($H2036=FALSE(),"",COUNTIF($H$6:$H2036,TRUE()))</f>
        <v/>
      </c>
      <c r="J2036" s="5" t="str">
        <f aca="false">IF($I2036="","","R"&amp;$I2036)</f>
        <v/>
      </c>
    </row>
    <row r="2037" customFormat="false" ht="15" hidden="false" customHeight="true" outlineLevel="0" collapsed="false">
      <c r="H2037" s="14" t="b">
        <f aca="false">IF(중복검사!$A2035="",FALSE(),중복검사!$J2035="유지")</f>
        <v>0</v>
      </c>
      <c r="I2037" s="5" t="str">
        <f aca="false">IF($H2037=FALSE(),"",COUNTIF($H$6:$H2037,TRUE()))</f>
        <v/>
      </c>
      <c r="J2037" s="5" t="str">
        <f aca="false">IF($I2037="","","R"&amp;$I2037)</f>
        <v/>
      </c>
    </row>
    <row r="2038" customFormat="false" ht="15" hidden="false" customHeight="true" outlineLevel="0" collapsed="false">
      <c r="H2038" s="14" t="b">
        <f aca="false">IF(중복검사!$A2036="",FALSE(),중복검사!$J2036="유지")</f>
        <v>0</v>
      </c>
      <c r="I2038" s="5" t="str">
        <f aca="false">IF($H2038=FALSE(),"",COUNTIF($H$6:$H2038,TRUE()))</f>
        <v/>
      </c>
      <c r="J2038" s="5" t="str">
        <f aca="false">IF($I2038="","","R"&amp;$I2038)</f>
        <v/>
      </c>
    </row>
    <row r="2039" customFormat="false" ht="15" hidden="false" customHeight="true" outlineLevel="0" collapsed="false">
      <c r="H2039" s="14" t="b">
        <f aca="false">IF(중복검사!$A2037="",FALSE(),중복검사!$J2037="유지")</f>
        <v>0</v>
      </c>
      <c r="I2039" s="5" t="str">
        <f aca="false">IF($H2039=FALSE(),"",COUNTIF($H$6:$H2039,TRUE()))</f>
        <v/>
      </c>
      <c r="J2039" s="5" t="str">
        <f aca="false">IF($I2039="","","R"&amp;$I2039)</f>
        <v/>
      </c>
    </row>
    <row r="2040" customFormat="false" ht="15" hidden="false" customHeight="true" outlineLevel="0" collapsed="false">
      <c r="H2040" s="14" t="b">
        <f aca="false">IF(중복검사!$A2038="",FALSE(),중복검사!$J2038="유지")</f>
        <v>0</v>
      </c>
      <c r="I2040" s="5" t="str">
        <f aca="false">IF($H2040=FALSE(),"",COUNTIF($H$6:$H2040,TRUE()))</f>
        <v/>
      </c>
      <c r="J2040" s="5" t="str">
        <f aca="false">IF($I2040="","","R"&amp;$I2040)</f>
        <v/>
      </c>
    </row>
    <row r="2041" customFormat="false" ht="15" hidden="false" customHeight="true" outlineLevel="0" collapsed="false">
      <c r="H2041" s="14" t="b">
        <f aca="false">IF(중복검사!$A2039="",FALSE(),중복검사!$J2039="유지")</f>
        <v>0</v>
      </c>
      <c r="I2041" s="5" t="str">
        <f aca="false">IF($H2041=FALSE(),"",COUNTIF($H$6:$H2041,TRUE()))</f>
        <v/>
      </c>
      <c r="J2041" s="5" t="str">
        <f aca="false">IF($I2041="","","R"&amp;$I2041)</f>
        <v/>
      </c>
    </row>
    <row r="2042" customFormat="false" ht="15" hidden="false" customHeight="true" outlineLevel="0" collapsed="false">
      <c r="H2042" s="14" t="b">
        <f aca="false">IF(중복검사!$A2040="",FALSE(),중복검사!$J2040="유지")</f>
        <v>0</v>
      </c>
      <c r="I2042" s="5" t="str">
        <f aca="false">IF($H2042=FALSE(),"",COUNTIF($H$6:$H2042,TRUE()))</f>
        <v/>
      </c>
      <c r="J2042" s="5" t="str">
        <f aca="false">IF($I2042="","","R"&amp;$I2042)</f>
        <v/>
      </c>
    </row>
    <row r="2043" customFormat="false" ht="15" hidden="false" customHeight="true" outlineLevel="0" collapsed="false">
      <c r="H2043" s="14" t="b">
        <f aca="false">IF(중복검사!$A2041="",FALSE(),중복검사!$J2041="유지")</f>
        <v>0</v>
      </c>
      <c r="I2043" s="5" t="str">
        <f aca="false">IF($H2043=FALSE(),"",COUNTIF($H$6:$H2043,TRUE()))</f>
        <v/>
      </c>
      <c r="J2043" s="5" t="str">
        <f aca="false">IF($I2043="","","R"&amp;$I2043)</f>
        <v/>
      </c>
    </row>
    <row r="2044" customFormat="false" ht="15" hidden="false" customHeight="true" outlineLevel="0" collapsed="false">
      <c r="H2044" s="14" t="b">
        <f aca="false">IF(중복검사!$A2042="",FALSE(),중복검사!$J2042="유지")</f>
        <v>0</v>
      </c>
      <c r="I2044" s="5" t="str">
        <f aca="false">IF($H2044=FALSE(),"",COUNTIF($H$6:$H2044,TRUE()))</f>
        <v/>
      </c>
      <c r="J2044" s="5" t="str">
        <f aca="false">IF($I2044="","","R"&amp;$I2044)</f>
        <v/>
      </c>
    </row>
    <row r="2045" customFormat="false" ht="15" hidden="false" customHeight="true" outlineLevel="0" collapsed="false">
      <c r="H2045" s="14" t="b">
        <f aca="false">IF(중복검사!$A2043="",FALSE(),중복검사!$J2043="유지")</f>
        <v>0</v>
      </c>
      <c r="I2045" s="5" t="str">
        <f aca="false">IF($H2045=FALSE(),"",COUNTIF($H$6:$H2045,TRUE()))</f>
        <v/>
      </c>
      <c r="J2045" s="5" t="str">
        <f aca="false">IF($I2045="","","R"&amp;$I2045)</f>
        <v/>
      </c>
    </row>
    <row r="2046" customFormat="false" ht="15" hidden="false" customHeight="true" outlineLevel="0" collapsed="false">
      <c r="H2046" s="14" t="b">
        <f aca="false">IF(중복검사!$A2044="",FALSE(),중복검사!$J2044="유지")</f>
        <v>0</v>
      </c>
      <c r="I2046" s="5" t="str">
        <f aca="false">IF($H2046=FALSE(),"",COUNTIF($H$6:$H2046,TRUE()))</f>
        <v/>
      </c>
      <c r="J2046" s="5" t="str">
        <f aca="false">IF($I2046="","","R"&amp;$I2046)</f>
        <v/>
      </c>
    </row>
    <row r="2047" customFormat="false" ht="15" hidden="false" customHeight="true" outlineLevel="0" collapsed="false">
      <c r="H2047" s="14" t="b">
        <f aca="false">IF(중복검사!$A2045="",FALSE(),중복검사!$J2045="유지")</f>
        <v>0</v>
      </c>
      <c r="I2047" s="5" t="str">
        <f aca="false">IF($H2047=FALSE(),"",COUNTIF($H$6:$H2047,TRUE()))</f>
        <v/>
      </c>
      <c r="J2047" s="5" t="str">
        <f aca="false">IF($I2047="","","R"&amp;$I2047)</f>
        <v/>
      </c>
    </row>
    <row r="2048" customFormat="false" ht="15" hidden="false" customHeight="true" outlineLevel="0" collapsed="false">
      <c r="H2048" s="14" t="b">
        <f aca="false">IF(중복검사!$A2046="",FALSE(),중복검사!$J2046="유지")</f>
        <v>0</v>
      </c>
      <c r="I2048" s="5" t="str">
        <f aca="false">IF($H2048=FALSE(),"",COUNTIF($H$6:$H2048,TRUE()))</f>
        <v/>
      </c>
      <c r="J2048" s="5" t="str">
        <f aca="false">IF($I2048="","","R"&amp;$I2048)</f>
        <v/>
      </c>
    </row>
    <row r="2049" customFormat="false" ht="15" hidden="false" customHeight="true" outlineLevel="0" collapsed="false">
      <c r="H2049" s="14" t="b">
        <f aca="false">IF(중복검사!$A2047="",FALSE(),중복검사!$J2047="유지")</f>
        <v>0</v>
      </c>
      <c r="I2049" s="5" t="str">
        <f aca="false">IF($H2049=FALSE(),"",COUNTIF($H$6:$H2049,TRUE()))</f>
        <v/>
      </c>
      <c r="J2049" s="5" t="str">
        <f aca="false">IF($I2049="","","R"&amp;$I2049)</f>
        <v/>
      </c>
    </row>
    <row r="2050" customFormat="false" ht="15" hidden="false" customHeight="true" outlineLevel="0" collapsed="false">
      <c r="H2050" s="14" t="b">
        <f aca="false">IF(중복검사!$A2048="",FALSE(),중복검사!$J2048="유지")</f>
        <v>0</v>
      </c>
      <c r="I2050" s="5" t="str">
        <f aca="false">IF($H2050=FALSE(),"",COUNTIF($H$6:$H2050,TRUE()))</f>
        <v/>
      </c>
      <c r="J2050" s="5" t="str">
        <f aca="false">IF($I2050="","","R"&amp;$I2050)</f>
        <v/>
      </c>
    </row>
    <row r="2051" customFormat="false" ht="15" hidden="false" customHeight="true" outlineLevel="0" collapsed="false">
      <c r="H2051" s="14" t="b">
        <f aca="false">IF(중복검사!$A2049="",FALSE(),중복검사!$J2049="유지")</f>
        <v>0</v>
      </c>
      <c r="I2051" s="5" t="str">
        <f aca="false">IF($H2051=FALSE(),"",COUNTIF($H$6:$H2051,TRUE()))</f>
        <v/>
      </c>
      <c r="J2051" s="5" t="str">
        <f aca="false">IF($I2051="","","R"&amp;$I2051)</f>
        <v/>
      </c>
    </row>
    <row r="2052" customFormat="false" ht="15" hidden="false" customHeight="true" outlineLevel="0" collapsed="false">
      <c r="H2052" s="14" t="b">
        <f aca="false">IF(중복검사!$A2050="",FALSE(),중복검사!$J2050="유지")</f>
        <v>0</v>
      </c>
      <c r="I2052" s="5" t="str">
        <f aca="false">IF($H2052=FALSE(),"",COUNTIF($H$6:$H2052,TRUE()))</f>
        <v/>
      </c>
      <c r="J2052" s="5" t="str">
        <f aca="false">IF($I2052="","","R"&amp;$I2052)</f>
        <v/>
      </c>
    </row>
    <row r="2053" customFormat="false" ht="15" hidden="false" customHeight="true" outlineLevel="0" collapsed="false">
      <c r="H2053" s="14" t="b">
        <f aca="false">IF(중복검사!$A2051="",FALSE(),중복검사!$J2051="유지")</f>
        <v>0</v>
      </c>
      <c r="I2053" s="5" t="str">
        <f aca="false">IF($H2053=FALSE(),"",COUNTIF($H$6:$H2053,TRUE()))</f>
        <v/>
      </c>
      <c r="J2053" s="5" t="str">
        <f aca="false">IF($I2053="","","R"&amp;$I2053)</f>
        <v/>
      </c>
    </row>
    <row r="2054" customFormat="false" ht="15" hidden="false" customHeight="true" outlineLevel="0" collapsed="false">
      <c r="H2054" s="14" t="b">
        <f aca="false">IF(중복검사!$A2052="",FALSE(),중복검사!$J2052="유지")</f>
        <v>0</v>
      </c>
      <c r="I2054" s="5" t="str">
        <f aca="false">IF($H2054=FALSE(),"",COUNTIF($H$6:$H2054,TRUE()))</f>
        <v/>
      </c>
      <c r="J2054" s="5" t="str">
        <f aca="false">IF($I2054="","","R"&amp;$I2054)</f>
        <v/>
      </c>
    </row>
    <row r="2055" customFormat="false" ht="15" hidden="false" customHeight="true" outlineLevel="0" collapsed="false">
      <c r="H2055" s="14" t="b">
        <f aca="false">IF(중복검사!$A2053="",FALSE(),중복검사!$J2053="유지")</f>
        <v>0</v>
      </c>
      <c r="I2055" s="5" t="str">
        <f aca="false">IF($H2055=FALSE(),"",COUNTIF($H$6:$H2055,TRUE()))</f>
        <v/>
      </c>
      <c r="J2055" s="5" t="str">
        <f aca="false">IF($I2055="","","R"&amp;$I2055)</f>
        <v/>
      </c>
    </row>
    <row r="2056" customFormat="false" ht="15" hidden="false" customHeight="true" outlineLevel="0" collapsed="false">
      <c r="H2056" s="14" t="b">
        <f aca="false">IF(중복검사!$A2054="",FALSE(),중복검사!$J2054="유지")</f>
        <v>0</v>
      </c>
      <c r="I2056" s="5" t="str">
        <f aca="false">IF($H2056=FALSE(),"",COUNTIF($H$6:$H2056,TRUE()))</f>
        <v/>
      </c>
      <c r="J2056" s="5" t="str">
        <f aca="false">IF($I2056="","","R"&amp;$I2056)</f>
        <v/>
      </c>
    </row>
    <row r="2057" customFormat="false" ht="15" hidden="false" customHeight="true" outlineLevel="0" collapsed="false">
      <c r="H2057" s="14" t="b">
        <f aca="false">IF(중복검사!$A2055="",FALSE(),중복검사!$J2055="유지")</f>
        <v>0</v>
      </c>
      <c r="I2057" s="5" t="str">
        <f aca="false">IF($H2057=FALSE(),"",COUNTIF($H$6:$H2057,TRUE()))</f>
        <v/>
      </c>
      <c r="J2057" s="5" t="str">
        <f aca="false">IF($I2057="","","R"&amp;$I2057)</f>
        <v/>
      </c>
    </row>
    <row r="2058" customFormat="false" ht="15" hidden="false" customHeight="true" outlineLevel="0" collapsed="false">
      <c r="H2058" s="14" t="b">
        <f aca="false">IF(중복검사!$A2056="",FALSE(),중복검사!$J2056="유지")</f>
        <v>0</v>
      </c>
      <c r="I2058" s="5" t="str">
        <f aca="false">IF($H2058=FALSE(),"",COUNTIF($H$6:$H2058,TRUE()))</f>
        <v/>
      </c>
      <c r="J2058" s="5" t="str">
        <f aca="false">IF($I2058="","","R"&amp;$I2058)</f>
        <v/>
      </c>
    </row>
    <row r="2059" customFormat="false" ht="15" hidden="false" customHeight="true" outlineLevel="0" collapsed="false">
      <c r="H2059" s="14" t="b">
        <f aca="false">IF(중복검사!$A2057="",FALSE(),중복검사!$J2057="유지")</f>
        <v>0</v>
      </c>
      <c r="I2059" s="5" t="str">
        <f aca="false">IF($H2059=FALSE(),"",COUNTIF($H$6:$H2059,TRUE()))</f>
        <v/>
      </c>
      <c r="J2059" s="5" t="str">
        <f aca="false">IF($I2059="","","R"&amp;$I2059)</f>
        <v/>
      </c>
    </row>
    <row r="2060" customFormat="false" ht="15" hidden="false" customHeight="true" outlineLevel="0" collapsed="false">
      <c r="H2060" s="14" t="b">
        <f aca="false">IF(중복검사!$A2058="",FALSE(),중복검사!$J2058="유지")</f>
        <v>0</v>
      </c>
      <c r="I2060" s="5" t="str">
        <f aca="false">IF($H2060=FALSE(),"",COUNTIF($H$6:$H2060,TRUE()))</f>
        <v/>
      </c>
      <c r="J2060" s="5" t="str">
        <f aca="false">IF($I2060="","","R"&amp;$I2060)</f>
        <v/>
      </c>
    </row>
    <row r="2061" customFormat="false" ht="15" hidden="false" customHeight="true" outlineLevel="0" collapsed="false">
      <c r="H2061" s="14" t="b">
        <f aca="false">IF(중복검사!$A2059="",FALSE(),중복검사!$J2059="유지")</f>
        <v>0</v>
      </c>
      <c r="I2061" s="5" t="str">
        <f aca="false">IF($H2061=FALSE(),"",COUNTIF($H$6:$H2061,TRUE()))</f>
        <v/>
      </c>
      <c r="J2061" s="5" t="str">
        <f aca="false">IF($I2061="","","R"&amp;$I2061)</f>
        <v/>
      </c>
    </row>
    <row r="2062" customFormat="false" ht="15" hidden="false" customHeight="true" outlineLevel="0" collapsed="false">
      <c r="H2062" s="14" t="b">
        <f aca="false">IF(중복검사!$A2060="",FALSE(),중복검사!$J2060="유지")</f>
        <v>0</v>
      </c>
      <c r="I2062" s="5" t="str">
        <f aca="false">IF($H2062=FALSE(),"",COUNTIF($H$6:$H2062,TRUE()))</f>
        <v/>
      </c>
      <c r="J2062" s="5" t="str">
        <f aca="false">IF($I2062="","","R"&amp;$I2062)</f>
        <v/>
      </c>
    </row>
    <row r="2063" customFormat="false" ht="15" hidden="false" customHeight="true" outlineLevel="0" collapsed="false">
      <c r="H2063" s="14" t="b">
        <f aca="false">IF(중복검사!$A2061="",FALSE(),중복검사!$J2061="유지")</f>
        <v>0</v>
      </c>
      <c r="I2063" s="5" t="str">
        <f aca="false">IF($H2063=FALSE(),"",COUNTIF($H$6:$H2063,TRUE()))</f>
        <v/>
      </c>
      <c r="J2063" s="5" t="str">
        <f aca="false">IF($I2063="","","R"&amp;$I2063)</f>
        <v/>
      </c>
    </row>
    <row r="2064" customFormat="false" ht="15" hidden="false" customHeight="true" outlineLevel="0" collapsed="false">
      <c r="H2064" s="14" t="b">
        <f aca="false">IF(중복검사!$A2062="",FALSE(),중복검사!$J2062="유지")</f>
        <v>0</v>
      </c>
      <c r="I2064" s="5" t="str">
        <f aca="false">IF($H2064=FALSE(),"",COUNTIF($H$6:$H2064,TRUE()))</f>
        <v/>
      </c>
      <c r="J2064" s="5" t="str">
        <f aca="false">IF($I2064="","","R"&amp;$I2064)</f>
        <v/>
      </c>
    </row>
    <row r="2065" customFormat="false" ht="15" hidden="false" customHeight="true" outlineLevel="0" collapsed="false">
      <c r="H2065" s="14" t="b">
        <f aca="false">IF(중복검사!$A2063="",FALSE(),중복검사!$J2063="유지")</f>
        <v>0</v>
      </c>
      <c r="I2065" s="5" t="str">
        <f aca="false">IF($H2065=FALSE(),"",COUNTIF($H$6:$H2065,TRUE()))</f>
        <v/>
      </c>
      <c r="J2065" s="5" t="str">
        <f aca="false">IF($I2065="","","R"&amp;$I2065)</f>
        <v/>
      </c>
    </row>
    <row r="2066" customFormat="false" ht="15" hidden="false" customHeight="true" outlineLevel="0" collapsed="false">
      <c r="H2066" s="14" t="b">
        <f aca="false">IF(중복검사!$A2064="",FALSE(),중복검사!$J2064="유지")</f>
        <v>0</v>
      </c>
      <c r="I2066" s="5" t="str">
        <f aca="false">IF($H2066=FALSE(),"",COUNTIF($H$6:$H2066,TRUE()))</f>
        <v/>
      </c>
      <c r="J2066" s="5" t="str">
        <f aca="false">IF($I2066="","","R"&amp;$I2066)</f>
        <v/>
      </c>
    </row>
    <row r="2067" customFormat="false" ht="15" hidden="false" customHeight="true" outlineLevel="0" collapsed="false">
      <c r="H2067" s="14" t="b">
        <f aca="false">IF(중복검사!$A2065="",FALSE(),중복검사!$J2065="유지")</f>
        <v>0</v>
      </c>
      <c r="I2067" s="5" t="str">
        <f aca="false">IF($H2067=FALSE(),"",COUNTIF($H$6:$H2067,TRUE()))</f>
        <v/>
      </c>
      <c r="J2067" s="5" t="str">
        <f aca="false">IF($I2067="","","R"&amp;$I2067)</f>
        <v/>
      </c>
    </row>
    <row r="2068" customFormat="false" ht="15" hidden="false" customHeight="true" outlineLevel="0" collapsed="false">
      <c r="H2068" s="14" t="b">
        <f aca="false">IF(중복검사!$A2066="",FALSE(),중복검사!$J2066="유지")</f>
        <v>0</v>
      </c>
      <c r="I2068" s="5" t="str">
        <f aca="false">IF($H2068=FALSE(),"",COUNTIF($H$6:$H2068,TRUE()))</f>
        <v/>
      </c>
      <c r="J2068" s="5" t="str">
        <f aca="false">IF($I2068="","","R"&amp;$I2068)</f>
        <v/>
      </c>
    </row>
    <row r="2069" customFormat="false" ht="15" hidden="false" customHeight="true" outlineLevel="0" collapsed="false">
      <c r="H2069" s="14" t="b">
        <f aca="false">IF(중복검사!$A2067="",FALSE(),중복검사!$J2067="유지")</f>
        <v>0</v>
      </c>
      <c r="I2069" s="5" t="str">
        <f aca="false">IF($H2069=FALSE(),"",COUNTIF($H$6:$H2069,TRUE()))</f>
        <v/>
      </c>
      <c r="J2069" s="5" t="str">
        <f aca="false">IF($I2069="","","R"&amp;$I2069)</f>
        <v/>
      </c>
    </row>
    <row r="2070" customFormat="false" ht="15" hidden="false" customHeight="true" outlineLevel="0" collapsed="false">
      <c r="H2070" s="14" t="b">
        <f aca="false">IF(중복검사!$A2068="",FALSE(),중복검사!$J2068="유지")</f>
        <v>0</v>
      </c>
      <c r="I2070" s="5" t="str">
        <f aca="false">IF($H2070=FALSE(),"",COUNTIF($H$6:$H2070,TRUE()))</f>
        <v/>
      </c>
      <c r="J2070" s="5" t="str">
        <f aca="false">IF($I2070="","","R"&amp;$I2070)</f>
        <v/>
      </c>
    </row>
    <row r="2071" customFormat="false" ht="15" hidden="false" customHeight="true" outlineLevel="0" collapsed="false">
      <c r="H2071" s="14" t="b">
        <f aca="false">IF(중복검사!$A2069="",FALSE(),중복검사!$J2069="유지")</f>
        <v>0</v>
      </c>
      <c r="I2071" s="5" t="str">
        <f aca="false">IF($H2071=FALSE(),"",COUNTIF($H$6:$H2071,TRUE()))</f>
        <v/>
      </c>
      <c r="J2071" s="5" t="str">
        <f aca="false">IF($I2071="","","R"&amp;$I2071)</f>
        <v/>
      </c>
    </row>
    <row r="2072" customFormat="false" ht="15" hidden="false" customHeight="true" outlineLevel="0" collapsed="false">
      <c r="H2072" s="14" t="b">
        <f aca="false">IF(중복검사!$A2070="",FALSE(),중복검사!$J2070="유지")</f>
        <v>0</v>
      </c>
      <c r="I2072" s="5" t="str">
        <f aca="false">IF($H2072=FALSE(),"",COUNTIF($H$6:$H2072,TRUE()))</f>
        <v/>
      </c>
      <c r="J2072" s="5" t="str">
        <f aca="false">IF($I2072="","","R"&amp;$I2072)</f>
        <v/>
      </c>
    </row>
    <row r="2073" customFormat="false" ht="15" hidden="false" customHeight="true" outlineLevel="0" collapsed="false">
      <c r="H2073" s="14" t="b">
        <f aca="false">IF(중복검사!$A2071="",FALSE(),중복검사!$J2071="유지")</f>
        <v>0</v>
      </c>
      <c r="I2073" s="5" t="str">
        <f aca="false">IF($H2073=FALSE(),"",COUNTIF($H$6:$H2073,TRUE()))</f>
        <v/>
      </c>
      <c r="J2073" s="5" t="str">
        <f aca="false">IF($I2073="","","R"&amp;$I2073)</f>
        <v/>
      </c>
    </row>
    <row r="2074" customFormat="false" ht="15" hidden="false" customHeight="true" outlineLevel="0" collapsed="false">
      <c r="H2074" s="14" t="b">
        <f aca="false">IF(중복검사!$A2072="",FALSE(),중복검사!$J2072="유지")</f>
        <v>0</v>
      </c>
      <c r="I2074" s="5" t="str">
        <f aca="false">IF($H2074=FALSE(),"",COUNTIF($H$6:$H2074,TRUE()))</f>
        <v/>
      </c>
      <c r="J2074" s="5" t="str">
        <f aca="false">IF($I2074="","","R"&amp;$I2074)</f>
        <v/>
      </c>
    </row>
    <row r="2075" customFormat="false" ht="15" hidden="false" customHeight="true" outlineLevel="0" collapsed="false">
      <c r="H2075" s="14" t="b">
        <f aca="false">IF(중복검사!$A2073="",FALSE(),중복검사!$J2073="유지")</f>
        <v>0</v>
      </c>
      <c r="I2075" s="5" t="str">
        <f aca="false">IF($H2075=FALSE(),"",COUNTIF($H$6:$H2075,TRUE()))</f>
        <v/>
      </c>
      <c r="J2075" s="5" t="str">
        <f aca="false">IF($I2075="","","R"&amp;$I2075)</f>
        <v/>
      </c>
    </row>
    <row r="2076" customFormat="false" ht="15" hidden="false" customHeight="true" outlineLevel="0" collapsed="false">
      <c r="H2076" s="14" t="b">
        <f aca="false">IF(중복검사!$A2074="",FALSE(),중복검사!$J2074="유지")</f>
        <v>0</v>
      </c>
      <c r="I2076" s="5" t="str">
        <f aca="false">IF($H2076=FALSE(),"",COUNTIF($H$6:$H2076,TRUE()))</f>
        <v/>
      </c>
      <c r="J2076" s="5" t="str">
        <f aca="false">IF($I2076="","","R"&amp;$I2076)</f>
        <v/>
      </c>
    </row>
    <row r="2077" customFormat="false" ht="15" hidden="false" customHeight="true" outlineLevel="0" collapsed="false">
      <c r="H2077" s="14" t="b">
        <f aca="false">IF(중복검사!$A2075="",FALSE(),중복검사!$J2075="유지")</f>
        <v>0</v>
      </c>
      <c r="I2077" s="5" t="str">
        <f aca="false">IF($H2077=FALSE(),"",COUNTIF($H$6:$H2077,TRUE()))</f>
        <v/>
      </c>
      <c r="J2077" s="5" t="str">
        <f aca="false">IF($I2077="","","R"&amp;$I2077)</f>
        <v/>
      </c>
    </row>
    <row r="2078" customFormat="false" ht="15" hidden="false" customHeight="true" outlineLevel="0" collapsed="false">
      <c r="H2078" s="14" t="b">
        <f aca="false">IF(중복검사!$A2076="",FALSE(),중복검사!$J2076="유지")</f>
        <v>0</v>
      </c>
      <c r="I2078" s="5" t="str">
        <f aca="false">IF($H2078=FALSE(),"",COUNTIF($H$6:$H2078,TRUE()))</f>
        <v/>
      </c>
      <c r="J2078" s="5" t="str">
        <f aca="false">IF($I2078="","","R"&amp;$I2078)</f>
        <v/>
      </c>
    </row>
    <row r="2079" customFormat="false" ht="15" hidden="false" customHeight="true" outlineLevel="0" collapsed="false">
      <c r="H2079" s="14" t="b">
        <f aca="false">IF(중복검사!$A2077="",FALSE(),중복검사!$J2077="유지")</f>
        <v>0</v>
      </c>
      <c r="I2079" s="5" t="str">
        <f aca="false">IF($H2079=FALSE(),"",COUNTIF($H$6:$H2079,TRUE()))</f>
        <v/>
      </c>
      <c r="J2079" s="5" t="str">
        <f aca="false">IF($I2079="","","R"&amp;$I2079)</f>
        <v/>
      </c>
    </row>
    <row r="2080" customFormat="false" ht="15" hidden="false" customHeight="true" outlineLevel="0" collapsed="false">
      <c r="H2080" s="14" t="b">
        <f aca="false">IF(중복검사!$A2078="",FALSE(),중복검사!$J2078="유지")</f>
        <v>0</v>
      </c>
      <c r="I2080" s="5" t="str">
        <f aca="false">IF($H2080=FALSE(),"",COUNTIF($H$6:$H2080,TRUE()))</f>
        <v/>
      </c>
      <c r="J2080" s="5" t="str">
        <f aca="false">IF($I2080="","","R"&amp;$I2080)</f>
        <v/>
      </c>
    </row>
    <row r="2081" customFormat="false" ht="15" hidden="false" customHeight="true" outlineLevel="0" collapsed="false">
      <c r="H2081" s="14" t="b">
        <f aca="false">IF(중복검사!$A2079="",FALSE(),중복검사!$J2079="유지")</f>
        <v>0</v>
      </c>
      <c r="I2081" s="5" t="str">
        <f aca="false">IF($H2081=FALSE(),"",COUNTIF($H$6:$H2081,TRUE()))</f>
        <v/>
      </c>
      <c r="J2081" s="5" t="str">
        <f aca="false">IF($I2081="","","R"&amp;$I2081)</f>
        <v/>
      </c>
    </row>
    <row r="2082" customFormat="false" ht="15" hidden="false" customHeight="true" outlineLevel="0" collapsed="false">
      <c r="H2082" s="14" t="b">
        <f aca="false">IF(중복검사!$A2080="",FALSE(),중복검사!$J2080="유지")</f>
        <v>0</v>
      </c>
      <c r="I2082" s="5" t="str">
        <f aca="false">IF($H2082=FALSE(),"",COUNTIF($H$6:$H2082,TRUE()))</f>
        <v/>
      </c>
      <c r="J2082" s="5" t="str">
        <f aca="false">IF($I2082="","","R"&amp;$I2082)</f>
        <v/>
      </c>
    </row>
    <row r="2083" customFormat="false" ht="15" hidden="false" customHeight="true" outlineLevel="0" collapsed="false">
      <c r="H2083" s="14" t="b">
        <f aca="false">IF(중복검사!$A2081="",FALSE(),중복검사!$J2081="유지")</f>
        <v>0</v>
      </c>
      <c r="I2083" s="5" t="str">
        <f aca="false">IF($H2083=FALSE(),"",COUNTIF($H$6:$H2083,TRUE()))</f>
        <v/>
      </c>
      <c r="J2083" s="5" t="str">
        <f aca="false">IF($I2083="","","R"&amp;$I2083)</f>
        <v/>
      </c>
    </row>
    <row r="2084" customFormat="false" ht="15" hidden="false" customHeight="true" outlineLevel="0" collapsed="false">
      <c r="H2084" s="14" t="b">
        <f aca="false">IF(중복검사!$A2082="",FALSE(),중복검사!$J2082="유지")</f>
        <v>0</v>
      </c>
      <c r="I2084" s="5" t="str">
        <f aca="false">IF($H2084=FALSE(),"",COUNTIF($H$6:$H2084,TRUE()))</f>
        <v/>
      </c>
      <c r="J2084" s="5" t="str">
        <f aca="false">IF($I2084="","","R"&amp;$I2084)</f>
        <v/>
      </c>
    </row>
    <row r="2085" customFormat="false" ht="15" hidden="false" customHeight="true" outlineLevel="0" collapsed="false">
      <c r="H2085" s="14" t="b">
        <f aca="false">IF(중복검사!$A2083="",FALSE(),중복검사!$J2083="유지")</f>
        <v>0</v>
      </c>
      <c r="I2085" s="5" t="str">
        <f aca="false">IF($H2085=FALSE(),"",COUNTIF($H$6:$H2085,TRUE()))</f>
        <v/>
      </c>
      <c r="J2085" s="5" t="str">
        <f aca="false">IF($I2085="","","R"&amp;$I2085)</f>
        <v/>
      </c>
    </row>
    <row r="2086" customFormat="false" ht="15" hidden="false" customHeight="true" outlineLevel="0" collapsed="false">
      <c r="H2086" s="14" t="b">
        <f aca="false">IF(중복검사!$A2084="",FALSE(),중복검사!$J2084="유지")</f>
        <v>0</v>
      </c>
      <c r="I2086" s="5" t="str">
        <f aca="false">IF($H2086=FALSE(),"",COUNTIF($H$6:$H2086,TRUE()))</f>
        <v/>
      </c>
      <c r="J2086" s="5" t="str">
        <f aca="false">IF($I2086="","","R"&amp;$I2086)</f>
        <v/>
      </c>
    </row>
    <row r="2087" customFormat="false" ht="15" hidden="false" customHeight="true" outlineLevel="0" collapsed="false">
      <c r="H2087" s="14" t="b">
        <f aca="false">IF(중복검사!$A2085="",FALSE(),중복검사!$J2085="유지")</f>
        <v>0</v>
      </c>
      <c r="I2087" s="5" t="str">
        <f aca="false">IF($H2087=FALSE(),"",COUNTIF($H$6:$H2087,TRUE()))</f>
        <v/>
      </c>
      <c r="J2087" s="5" t="str">
        <f aca="false">IF($I2087="","","R"&amp;$I2087)</f>
        <v/>
      </c>
    </row>
    <row r="2088" customFormat="false" ht="15" hidden="false" customHeight="true" outlineLevel="0" collapsed="false">
      <c r="H2088" s="14" t="b">
        <f aca="false">IF(중복검사!$A2086="",FALSE(),중복검사!$J2086="유지")</f>
        <v>0</v>
      </c>
      <c r="I2088" s="5" t="str">
        <f aca="false">IF($H2088=FALSE(),"",COUNTIF($H$6:$H2088,TRUE()))</f>
        <v/>
      </c>
      <c r="J2088" s="5" t="str">
        <f aca="false">IF($I2088="","","R"&amp;$I2088)</f>
        <v/>
      </c>
    </row>
    <row r="2089" customFormat="false" ht="15" hidden="false" customHeight="true" outlineLevel="0" collapsed="false">
      <c r="H2089" s="14" t="b">
        <f aca="false">IF(중복검사!$A2087="",FALSE(),중복검사!$J2087="유지")</f>
        <v>0</v>
      </c>
      <c r="I2089" s="5" t="str">
        <f aca="false">IF($H2089=FALSE(),"",COUNTIF($H$6:$H2089,TRUE()))</f>
        <v/>
      </c>
      <c r="J2089" s="5" t="str">
        <f aca="false">IF($I2089="","","R"&amp;$I2089)</f>
        <v/>
      </c>
    </row>
    <row r="2090" customFormat="false" ht="15" hidden="false" customHeight="true" outlineLevel="0" collapsed="false">
      <c r="H2090" s="14" t="b">
        <f aca="false">IF(중복검사!$A2088="",FALSE(),중복검사!$J2088="유지")</f>
        <v>0</v>
      </c>
      <c r="I2090" s="5" t="str">
        <f aca="false">IF($H2090=FALSE(),"",COUNTIF($H$6:$H2090,TRUE()))</f>
        <v/>
      </c>
      <c r="J2090" s="5" t="str">
        <f aca="false">IF($I2090="","","R"&amp;$I2090)</f>
        <v/>
      </c>
    </row>
    <row r="2091" customFormat="false" ht="15" hidden="false" customHeight="true" outlineLevel="0" collapsed="false">
      <c r="H2091" s="14" t="b">
        <f aca="false">IF(중복검사!$A2089="",FALSE(),중복검사!$J2089="유지")</f>
        <v>0</v>
      </c>
      <c r="I2091" s="5" t="str">
        <f aca="false">IF($H2091=FALSE(),"",COUNTIF($H$6:$H2091,TRUE()))</f>
        <v/>
      </c>
      <c r="J2091" s="5" t="str">
        <f aca="false">IF($I2091="","","R"&amp;$I2091)</f>
        <v/>
      </c>
    </row>
    <row r="2092" customFormat="false" ht="15" hidden="false" customHeight="true" outlineLevel="0" collapsed="false">
      <c r="H2092" s="14" t="b">
        <f aca="false">IF(중복검사!$A2090="",FALSE(),중복검사!$J2090="유지")</f>
        <v>0</v>
      </c>
      <c r="I2092" s="5" t="str">
        <f aca="false">IF($H2092=FALSE(),"",COUNTIF($H$6:$H2092,TRUE()))</f>
        <v/>
      </c>
      <c r="J2092" s="5" t="str">
        <f aca="false">IF($I2092="","","R"&amp;$I2092)</f>
        <v/>
      </c>
    </row>
    <row r="2093" customFormat="false" ht="15" hidden="false" customHeight="true" outlineLevel="0" collapsed="false">
      <c r="H2093" s="14" t="b">
        <f aca="false">IF(중복검사!$A2091="",FALSE(),중복검사!$J2091="유지")</f>
        <v>0</v>
      </c>
      <c r="I2093" s="5" t="str">
        <f aca="false">IF($H2093=FALSE(),"",COUNTIF($H$6:$H2093,TRUE()))</f>
        <v/>
      </c>
      <c r="J2093" s="5" t="str">
        <f aca="false">IF($I2093="","","R"&amp;$I2093)</f>
        <v/>
      </c>
    </row>
    <row r="2094" customFormat="false" ht="15" hidden="false" customHeight="true" outlineLevel="0" collapsed="false">
      <c r="H2094" s="14" t="b">
        <f aca="false">IF(중복검사!$A2092="",FALSE(),중복검사!$J2092="유지")</f>
        <v>0</v>
      </c>
      <c r="I2094" s="5" t="str">
        <f aca="false">IF($H2094=FALSE(),"",COUNTIF($H$6:$H2094,TRUE()))</f>
        <v/>
      </c>
      <c r="J2094" s="5" t="str">
        <f aca="false">IF($I2094="","","R"&amp;$I2094)</f>
        <v/>
      </c>
    </row>
    <row r="2095" customFormat="false" ht="15" hidden="false" customHeight="true" outlineLevel="0" collapsed="false">
      <c r="H2095" s="14" t="b">
        <f aca="false">IF(중복검사!$A2093="",FALSE(),중복검사!$J2093="유지")</f>
        <v>0</v>
      </c>
      <c r="I2095" s="5" t="str">
        <f aca="false">IF($H2095=FALSE(),"",COUNTIF($H$6:$H2095,TRUE()))</f>
        <v/>
      </c>
      <c r="J2095" s="5" t="str">
        <f aca="false">IF($I2095="","","R"&amp;$I2095)</f>
        <v/>
      </c>
    </row>
    <row r="2096" customFormat="false" ht="15" hidden="false" customHeight="true" outlineLevel="0" collapsed="false">
      <c r="H2096" s="14" t="b">
        <f aca="false">IF(중복검사!$A2094="",FALSE(),중복검사!$J2094="유지")</f>
        <v>0</v>
      </c>
      <c r="I2096" s="5" t="str">
        <f aca="false">IF($H2096=FALSE(),"",COUNTIF($H$6:$H2096,TRUE()))</f>
        <v/>
      </c>
      <c r="J2096" s="5" t="str">
        <f aca="false">IF($I2096="","","R"&amp;$I2096)</f>
        <v/>
      </c>
    </row>
    <row r="2097" customFormat="false" ht="15" hidden="false" customHeight="true" outlineLevel="0" collapsed="false">
      <c r="H2097" s="14" t="b">
        <f aca="false">IF(중복검사!$A2095="",FALSE(),중복검사!$J2095="유지")</f>
        <v>0</v>
      </c>
      <c r="I2097" s="5" t="str">
        <f aca="false">IF($H2097=FALSE(),"",COUNTIF($H$6:$H2097,TRUE()))</f>
        <v/>
      </c>
      <c r="J2097" s="5" t="str">
        <f aca="false">IF($I2097="","","R"&amp;$I2097)</f>
        <v/>
      </c>
    </row>
    <row r="2098" customFormat="false" ht="15" hidden="false" customHeight="true" outlineLevel="0" collapsed="false">
      <c r="H2098" s="14" t="b">
        <f aca="false">IF(중복검사!$A2096="",FALSE(),중복검사!$J2096="유지")</f>
        <v>0</v>
      </c>
      <c r="I2098" s="5" t="str">
        <f aca="false">IF($H2098=FALSE(),"",COUNTIF($H$6:$H2098,TRUE()))</f>
        <v/>
      </c>
      <c r="J2098" s="5" t="str">
        <f aca="false">IF($I2098="","","R"&amp;$I2098)</f>
        <v/>
      </c>
    </row>
    <row r="2099" customFormat="false" ht="15" hidden="false" customHeight="true" outlineLevel="0" collapsed="false">
      <c r="H2099" s="14" t="b">
        <f aca="false">IF(중복검사!$A2097="",FALSE(),중복검사!$J2097="유지")</f>
        <v>0</v>
      </c>
      <c r="I2099" s="5" t="str">
        <f aca="false">IF($H2099=FALSE(),"",COUNTIF($H$6:$H2099,TRUE()))</f>
        <v/>
      </c>
      <c r="J2099" s="5" t="str">
        <f aca="false">IF($I2099="","","R"&amp;$I2099)</f>
        <v/>
      </c>
    </row>
    <row r="2100" customFormat="false" ht="15" hidden="false" customHeight="true" outlineLevel="0" collapsed="false">
      <c r="H2100" s="14" t="b">
        <f aca="false">IF(중복검사!$A2098="",FALSE(),중복검사!$J2098="유지")</f>
        <v>0</v>
      </c>
      <c r="I2100" s="5" t="str">
        <f aca="false">IF($H2100=FALSE(),"",COUNTIF($H$6:$H2100,TRUE()))</f>
        <v/>
      </c>
      <c r="J2100" s="5" t="str">
        <f aca="false">IF($I2100="","","R"&amp;$I2100)</f>
        <v/>
      </c>
    </row>
    <row r="2101" customFormat="false" ht="15" hidden="false" customHeight="true" outlineLevel="0" collapsed="false">
      <c r="H2101" s="14" t="b">
        <f aca="false">IF(중복검사!$A2099="",FALSE(),중복검사!$J2099="유지")</f>
        <v>0</v>
      </c>
      <c r="I2101" s="5" t="str">
        <f aca="false">IF($H2101=FALSE(),"",COUNTIF($H$6:$H2101,TRUE()))</f>
        <v/>
      </c>
      <c r="J2101" s="5" t="str">
        <f aca="false">IF($I2101="","","R"&amp;$I2101)</f>
        <v/>
      </c>
    </row>
    <row r="2102" customFormat="false" ht="15" hidden="false" customHeight="true" outlineLevel="0" collapsed="false">
      <c r="H2102" s="14" t="b">
        <f aca="false">IF(중복검사!$A2100="",FALSE(),중복검사!$J2100="유지")</f>
        <v>0</v>
      </c>
      <c r="I2102" s="5" t="str">
        <f aca="false">IF($H2102=FALSE(),"",COUNTIF($H$6:$H2102,TRUE()))</f>
        <v/>
      </c>
      <c r="J2102" s="5" t="str">
        <f aca="false">IF($I2102="","","R"&amp;$I2102)</f>
        <v/>
      </c>
    </row>
    <row r="2103" customFormat="false" ht="15" hidden="false" customHeight="true" outlineLevel="0" collapsed="false">
      <c r="H2103" s="14" t="b">
        <f aca="false">IF(중복검사!$A2101="",FALSE(),중복검사!$J2101="유지")</f>
        <v>0</v>
      </c>
      <c r="I2103" s="5" t="str">
        <f aca="false">IF($H2103=FALSE(),"",COUNTIF($H$6:$H2103,TRUE()))</f>
        <v/>
      </c>
      <c r="J2103" s="5" t="str">
        <f aca="false">IF($I2103="","","R"&amp;$I2103)</f>
        <v/>
      </c>
    </row>
    <row r="2104" customFormat="false" ht="15" hidden="false" customHeight="true" outlineLevel="0" collapsed="false">
      <c r="H2104" s="14" t="b">
        <f aca="false">IF(중복검사!$A2102="",FALSE(),중복검사!$J2102="유지")</f>
        <v>0</v>
      </c>
      <c r="I2104" s="5" t="str">
        <f aca="false">IF($H2104=FALSE(),"",COUNTIF($H$6:$H2104,TRUE()))</f>
        <v/>
      </c>
      <c r="J2104" s="5" t="str">
        <f aca="false">IF($I2104="","","R"&amp;$I2104)</f>
        <v/>
      </c>
    </row>
    <row r="2105" customFormat="false" ht="15" hidden="false" customHeight="true" outlineLevel="0" collapsed="false">
      <c r="H2105" s="14" t="b">
        <f aca="false">IF(중복검사!$A2103="",FALSE(),중복검사!$J2103="유지")</f>
        <v>0</v>
      </c>
      <c r="I2105" s="5" t="str">
        <f aca="false">IF($H2105=FALSE(),"",COUNTIF($H$6:$H2105,TRUE()))</f>
        <v/>
      </c>
      <c r="J2105" s="5" t="str">
        <f aca="false">IF($I2105="","","R"&amp;$I2105)</f>
        <v/>
      </c>
    </row>
    <row r="2106" customFormat="false" ht="15" hidden="false" customHeight="true" outlineLevel="0" collapsed="false">
      <c r="H2106" s="14" t="b">
        <f aca="false">IF(중복검사!$A2104="",FALSE(),중복검사!$J2104="유지")</f>
        <v>0</v>
      </c>
      <c r="I2106" s="5" t="str">
        <f aca="false">IF($H2106=FALSE(),"",COUNTIF($H$6:$H2106,TRUE()))</f>
        <v/>
      </c>
      <c r="J2106" s="5" t="str">
        <f aca="false">IF($I2106="","","R"&amp;$I2106)</f>
        <v/>
      </c>
    </row>
    <row r="2107" customFormat="false" ht="15" hidden="false" customHeight="true" outlineLevel="0" collapsed="false">
      <c r="H2107" s="14" t="b">
        <f aca="false">IF(중복검사!$A2105="",FALSE(),중복검사!$J2105="유지")</f>
        <v>0</v>
      </c>
      <c r="I2107" s="5" t="str">
        <f aca="false">IF($H2107=FALSE(),"",COUNTIF($H$6:$H2107,TRUE()))</f>
        <v/>
      </c>
      <c r="J2107" s="5" t="str">
        <f aca="false">IF($I2107="","","R"&amp;$I2107)</f>
        <v/>
      </c>
    </row>
    <row r="2108" customFormat="false" ht="15" hidden="false" customHeight="true" outlineLevel="0" collapsed="false">
      <c r="H2108" s="14" t="b">
        <f aca="false">IF(중복검사!$A2106="",FALSE(),중복검사!$J2106="유지")</f>
        <v>0</v>
      </c>
      <c r="I2108" s="5" t="str">
        <f aca="false">IF($H2108=FALSE(),"",COUNTIF($H$6:$H2108,TRUE()))</f>
        <v/>
      </c>
      <c r="J2108" s="5" t="str">
        <f aca="false">IF($I2108="","","R"&amp;$I2108)</f>
        <v/>
      </c>
    </row>
    <row r="2109" customFormat="false" ht="15" hidden="false" customHeight="true" outlineLevel="0" collapsed="false">
      <c r="H2109" s="14" t="b">
        <f aca="false">IF(중복검사!$A2107="",FALSE(),중복검사!$J2107="유지")</f>
        <v>0</v>
      </c>
      <c r="I2109" s="5" t="str">
        <f aca="false">IF($H2109=FALSE(),"",COUNTIF($H$6:$H2109,TRUE()))</f>
        <v/>
      </c>
      <c r="J2109" s="5" t="str">
        <f aca="false">IF($I2109="","","R"&amp;$I2109)</f>
        <v/>
      </c>
    </row>
    <row r="2110" customFormat="false" ht="15" hidden="false" customHeight="true" outlineLevel="0" collapsed="false">
      <c r="H2110" s="14" t="b">
        <f aca="false">IF(중복검사!$A2108="",FALSE(),중복검사!$J2108="유지")</f>
        <v>0</v>
      </c>
      <c r="I2110" s="5" t="str">
        <f aca="false">IF($H2110=FALSE(),"",COUNTIF($H$6:$H2110,TRUE()))</f>
        <v/>
      </c>
      <c r="J2110" s="5" t="str">
        <f aca="false">IF($I2110="","","R"&amp;$I2110)</f>
        <v/>
      </c>
    </row>
    <row r="2111" customFormat="false" ht="15" hidden="false" customHeight="true" outlineLevel="0" collapsed="false">
      <c r="H2111" s="14" t="b">
        <f aca="false">IF(중복검사!$A2109="",FALSE(),중복검사!$J2109="유지")</f>
        <v>0</v>
      </c>
      <c r="I2111" s="5" t="str">
        <f aca="false">IF($H2111=FALSE(),"",COUNTIF($H$6:$H2111,TRUE()))</f>
        <v/>
      </c>
      <c r="J2111" s="5" t="str">
        <f aca="false">IF($I2111="","","R"&amp;$I2111)</f>
        <v/>
      </c>
    </row>
    <row r="2112" customFormat="false" ht="15" hidden="false" customHeight="true" outlineLevel="0" collapsed="false">
      <c r="H2112" s="14" t="b">
        <f aca="false">IF(중복검사!$A2110="",FALSE(),중복검사!$J2110="유지")</f>
        <v>0</v>
      </c>
      <c r="I2112" s="5" t="str">
        <f aca="false">IF($H2112=FALSE(),"",COUNTIF($H$6:$H2112,TRUE()))</f>
        <v/>
      </c>
      <c r="J2112" s="5" t="str">
        <f aca="false">IF($I2112="","","R"&amp;$I2112)</f>
        <v/>
      </c>
    </row>
    <row r="2113" customFormat="false" ht="15" hidden="false" customHeight="true" outlineLevel="0" collapsed="false">
      <c r="H2113" s="14" t="b">
        <f aca="false">IF(중복검사!$A2111="",FALSE(),중복검사!$J2111="유지")</f>
        <v>0</v>
      </c>
      <c r="I2113" s="5" t="str">
        <f aca="false">IF($H2113=FALSE(),"",COUNTIF($H$6:$H2113,TRUE()))</f>
        <v/>
      </c>
      <c r="J2113" s="5" t="str">
        <f aca="false">IF($I2113="","","R"&amp;$I2113)</f>
        <v/>
      </c>
    </row>
    <row r="2114" customFormat="false" ht="15" hidden="false" customHeight="true" outlineLevel="0" collapsed="false">
      <c r="H2114" s="14" t="b">
        <f aca="false">IF(중복검사!$A2112="",FALSE(),중복검사!$J2112="유지")</f>
        <v>0</v>
      </c>
      <c r="I2114" s="5" t="str">
        <f aca="false">IF($H2114=FALSE(),"",COUNTIF($H$6:$H2114,TRUE()))</f>
        <v/>
      </c>
      <c r="J2114" s="5" t="str">
        <f aca="false">IF($I2114="","","R"&amp;$I2114)</f>
        <v/>
      </c>
    </row>
    <row r="2115" customFormat="false" ht="15" hidden="false" customHeight="true" outlineLevel="0" collapsed="false">
      <c r="H2115" s="14" t="b">
        <f aca="false">IF(중복검사!$A2113="",FALSE(),중복검사!$J2113="유지")</f>
        <v>0</v>
      </c>
      <c r="I2115" s="5" t="str">
        <f aca="false">IF($H2115=FALSE(),"",COUNTIF($H$6:$H2115,TRUE()))</f>
        <v/>
      </c>
      <c r="J2115" s="5" t="str">
        <f aca="false">IF($I2115="","","R"&amp;$I2115)</f>
        <v/>
      </c>
    </row>
    <row r="2116" customFormat="false" ht="15" hidden="false" customHeight="true" outlineLevel="0" collapsed="false">
      <c r="H2116" s="14" t="b">
        <f aca="false">IF(중복검사!$A2114="",FALSE(),중복검사!$J2114="유지")</f>
        <v>0</v>
      </c>
      <c r="I2116" s="5" t="str">
        <f aca="false">IF($H2116=FALSE(),"",COUNTIF($H$6:$H2116,TRUE()))</f>
        <v/>
      </c>
      <c r="J2116" s="5" t="str">
        <f aca="false">IF($I2116="","","R"&amp;$I2116)</f>
        <v/>
      </c>
    </row>
    <row r="2117" customFormat="false" ht="15" hidden="false" customHeight="true" outlineLevel="0" collapsed="false">
      <c r="H2117" s="14" t="b">
        <f aca="false">IF(중복검사!$A2115="",FALSE(),중복검사!$J2115="유지")</f>
        <v>0</v>
      </c>
      <c r="I2117" s="5" t="str">
        <f aca="false">IF($H2117=FALSE(),"",COUNTIF($H$6:$H2117,TRUE()))</f>
        <v/>
      </c>
      <c r="J2117" s="5" t="str">
        <f aca="false">IF($I2117="","","R"&amp;$I2117)</f>
        <v/>
      </c>
    </row>
    <row r="2118" customFormat="false" ht="15" hidden="false" customHeight="true" outlineLevel="0" collapsed="false">
      <c r="H2118" s="14" t="b">
        <f aca="false">IF(중복검사!$A2116="",FALSE(),중복검사!$J2116="유지")</f>
        <v>0</v>
      </c>
      <c r="I2118" s="5" t="str">
        <f aca="false">IF($H2118=FALSE(),"",COUNTIF($H$6:$H2118,TRUE()))</f>
        <v/>
      </c>
      <c r="J2118" s="5" t="str">
        <f aca="false">IF($I2118="","","R"&amp;$I2118)</f>
        <v/>
      </c>
    </row>
    <row r="2119" customFormat="false" ht="15" hidden="false" customHeight="true" outlineLevel="0" collapsed="false">
      <c r="H2119" s="14" t="b">
        <f aca="false">IF(중복검사!$A2117="",FALSE(),중복검사!$J2117="유지")</f>
        <v>0</v>
      </c>
      <c r="I2119" s="5" t="str">
        <f aca="false">IF($H2119=FALSE(),"",COUNTIF($H$6:$H2119,TRUE()))</f>
        <v/>
      </c>
      <c r="J2119" s="5" t="str">
        <f aca="false">IF($I2119="","","R"&amp;$I2119)</f>
        <v/>
      </c>
    </row>
    <row r="2120" customFormat="false" ht="15" hidden="false" customHeight="true" outlineLevel="0" collapsed="false">
      <c r="H2120" s="14" t="b">
        <f aca="false">IF(중복검사!$A2118="",FALSE(),중복검사!$J2118="유지")</f>
        <v>0</v>
      </c>
      <c r="I2120" s="5" t="str">
        <f aca="false">IF($H2120=FALSE(),"",COUNTIF($H$6:$H2120,TRUE()))</f>
        <v/>
      </c>
      <c r="J2120" s="5" t="str">
        <f aca="false">IF($I2120="","","R"&amp;$I2120)</f>
        <v/>
      </c>
    </row>
    <row r="2121" customFormat="false" ht="15" hidden="false" customHeight="true" outlineLevel="0" collapsed="false">
      <c r="H2121" s="14" t="b">
        <f aca="false">IF(중복검사!$A2119="",FALSE(),중복검사!$J2119="유지")</f>
        <v>0</v>
      </c>
      <c r="I2121" s="5" t="str">
        <f aca="false">IF($H2121=FALSE(),"",COUNTIF($H$6:$H2121,TRUE()))</f>
        <v/>
      </c>
      <c r="J2121" s="5" t="str">
        <f aca="false">IF($I2121="","","R"&amp;$I2121)</f>
        <v/>
      </c>
    </row>
    <row r="2122" customFormat="false" ht="15" hidden="false" customHeight="true" outlineLevel="0" collapsed="false">
      <c r="H2122" s="14" t="b">
        <f aca="false">IF(중복검사!$A2120="",FALSE(),중복검사!$J2120="유지")</f>
        <v>0</v>
      </c>
      <c r="I2122" s="5" t="str">
        <f aca="false">IF($H2122=FALSE(),"",COUNTIF($H$6:$H2122,TRUE()))</f>
        <v/>
      </c>
      <c r="J2122" s="5" t="str">
        <f aca="false">IF($I2122="","","R"&amp;$I2122)</f>
        <v/>
      </c>
    </row>
    <row r="2123" customFormat="false" ht="15" hidden="false" customHeight="true" outlineLevel="0" collapsed="false">
      <c r="H2123" s="14" t="b">
        <f aca="false">IF(중복검사!$A2121="",FALSE(),중복검사!$J2121="유지")</f>
        <v>0</v>
      </c>
      <c r="I2123" s="5" t="str">
        <f aca="false">IF($H2123=FALSE(),"",COUNTIF($H$6:$H2123,TRUE()))</f>
        <v/>
      </c>
      <c r="J2123" s="5" t="str">
        <f aca="false">IF($I2123="","","R"&amp;$I2123)</f>
        <v/>
      </c>
    </row>
    <row r="2124" customFormat="false" ht="15" hidden="false" customHeight="true" outlineLevel="0" collapsed="false">
      <c r="H2124" s="14" t="b">
        <f aca="false">IF(중복검사!$A2122="",FALSE(),중복검사!$J2122="유지")</f>
        <v>0</v>
      </c>
      <c r="I2124" s="5" t="str">
        <f aca="false">IF($H2124=FALSE(),"",COUNTIF($H$6:$H2124,TRUE()))</f>
        <v/>
      </c>
      <c r="J2124" s="5" t="str">
        <f aca="false">IF($I2124="","","R"&amp;$I2124)</f>
        <v/>
      </c>
    </row>
    <row r="2125" customFormat="false" ht="15" hidden="false" customHeight="true" outlineLevel="0" collapsed="false">
      <c r="H2125" s="14" t="b">
        <f aca="false">IF(중복검사!$A2123="",FALSE(),중복검사!$J2123="유지")</f>
        <v>0</v>
      </c>
      <c r="I2125" s="5" t="str">
        <f aca="false">IF($H2125=FALSE(),"",COUNTIF($H$6:$H2125,TRUE()))</f>
        <v/>
      </c>
      <c r="J2125" s="5" t="str">
        <f aca="false">IF($I2125="","","R"&amp;$I2125)</f>
        <v/>
      </c>
    </row>
    <row r="2126" customFormat="false" ht="15" hidden="false" customHeight="true" outlineLevel="0" collapsed="false">
      <c r="H2126" s="14" t="b">
        <f aca="false">IF(중복검사!$A2124="",FALSE(),중복검사!$J2124="유지")</f>
        <v>0</v>
      </c>
      <c r="I2126" s="5" t="str">
        <f aca="false">IF($H2126=FALSE(),"",COUNTIF($H$6:$H2126,TRUE()))</f>
        <v/>
      </c>
      <c r="J2126" s="5" t="str">
        <f aca="false">IF($I2126="","","R"&amp;$I2126)</f>
        <v/>
      </c>
    </row>
    <row r="2127" customFormat="false" ht="15" hidden="false" customHeight="true" outlineLevel="0" collapsed="false">
      <c r="H2127" s="14" t="b">
        <f aca="false">IF(중복검사!$A2125="",FALSE(),중복검사!$J2125="유지")</f>
        <v>0</v>
      </c>
      <c r="I2127" s="5" t="str">
        <f aca="false">IF($H2127=FALSE(),"",COUNTIF($H$6:$H2127,TRUE()))</f>
        <v/>
      </c>
      <c r="J2127" s="5" t="str">
        <f aca="false">IF($I2127="","","R"&amp;$I2127)</f>
        <v/>
      </c>
    </row>
    <row r="2128" customFormat="false" ht="15" hidden="false" customHeight="true" outlineLevel="0" collapsed="false">
      <c r="H2128" s="14" t="b">
        <f aca="false">IF(중복검사!$A2126="",FALSE(),중복검사!$J2126="유지")</f>
        <v>0</v>
      </c>
      <c r="I2128" s="5" t="str">
        <f aca="false">IF($H2128=FALSE(),"",COUNTIF($H$6:$H2128,TRUE()))</f>
        <v/>
      </c>
      <c r="J2128" s="5" t="str">
        <f aca="false">IF($I2128="","","R"&amp;$I2128)</f>
        <v/>
      </c>
    </row>
    <row r="2129" customFormat="false" ht="15" hidden="false" customHeight="true" outlineLevel="0" collapsed="false">
      <c r="H2129" s="14" t="b">
        <f aca="false">IF(중복검사!$A2127="",FALSE(),중복검사!$J2127="유지")</f>
        <v>0</v>
      </c>
      <c r="I2129" s="5" t="str">
        <f aca="false">IF($H2129=FALSE(),"",COUNTIF($H$6:$H2129,TRUE()))</f>
        <v/>
      </c>
      <c r="J2129" s="5" t="str">
        <f aca="false">IF($I2129="","","R"&amp;$I2129)</f>
        <v/>
      </c>
    </row>
    <row r="2130" customFormat="false" ht="15" hidden="false" customHeight="true" outlineLevel="0" collapsed="false">
      <c r="H2130" s="14" t="b">
        <f aca="false">IF(중복검사!$A2128="",FALSE(),중복검사!$J2128="유지")</f>
        <v>0</v>
      </c>
      <c r="I2130" s="5" t="str">
        <f aca="false">IF($H2130=FALSE(),"",COUNTIF($H$6:$H2130,TRUE()))</f>
        <v/>
      </c>
      <c r="J2130" s="5" t="str">
        <f aca="false">IF($I2130="","","R"&amp;$I2130)</f>
        <v/>
      </c>
    </row>
    <row r="2131" customFormat="false" ht="15" hidden="false" customHeight="true" outlineLevel="0" collapsed="false">
      <c r="H2131" s="14" t="b">
        <f aca="false">IF(중복검사!$A2129="",FALSE(),중복검사!$J2129="유지")</f>
        <v>0</v>
      </c>
      <c r="I2131" s="5" t="str">
        <f aca="false">IF($H2131=FALSE(),"",COUNTIF($H$6:$H2131,TRUE()))</f>
        <v/>
      </c>
      <c r="J2131" s="5" t="str">
        <f aca="false">IF($I2131="","","R"&amp;$I2131)</f>
        <v/>
      </c>
    </row>
    <row r="2132" customFormat="false" ht="15" hidden="false" customHeight="true" outlineLevel="0" collapsed="false">
      <c r="H2132" s="14" t="b">
        <f aca="false">IF(중복검사!$A2130="",FALSE(),중복검사!$J2130="유지")</f>
        <v>0</v>
      </c>
      <c r="I2132" s="5" t="str">
        <f aca="false">IF($H2132=FALSE(),"",COUNTIF($H$6:$H2132,TRUE()))</f>
        <v/>
      </c>
      <c r="J2132" s="5" t="str">
        <f aca="false">IF($I2132="","","R"&amp;$I2132)</f>
        <v/>
      </c>
    </row>
    <row r="2133" customFormat="false" ht="15" hidden="false" customHeight="true" outlineLevel="0" collapsed="false">
      <c r="H2133" s="14" t="b">
        <f aca="false">IF(중복검사!$A2131="",FALSE(),중복검사!$J2131="유지")</f>
        <v>0</v>
      </c>
      <c r="I2133" s="5" t="str">
        <f aca="false">IF($H2133=FALSE(),"",COUNTIF($H$6:$H2133,TRUE()))</f>
        <v/>
      </c>
      <c r="J2133" s="5" t="str">
        <f aca="false">IF($I2133="","","R"&amp;$I2133)</f>
        <v/>
      </c>
    </row>
    <row r="2134" customFormat="false" ht="15" hidden="false" customHeight="true" outlineLevel="0" collapsed="false">
      <c r="H2134" s="14" t="b">
        <f aca="false">IF(중복검사!$A2132="",FALSE(),중복검사!$J2132="유지")</f>
        <v>0</v>
      </c>
      <c r="I2134" s="5" t="str">
        <f aca="false">IF($H2134=FALSE(),"",COUNTIF($H$6:$H2134,TRUE()))</f>
        <v/>
      </c>
      <c r="J2134" s="5" t="str">
        <f aca="false">IF($I2134="","","R"&amp;$I2134)</f>
        <v/>
      </c>
    </row>
    <row r="2135" customFormat="false" ht="15" hidden="false" customHeight="true" outlineLevel="0" collapsed="false">
      <c r="H2135" s="14" t="b">
        <f aca="false">IF(중복검사!$A2133="",FALSE(),중복검사!$J2133="유지")</f>
        <v>0</v>
      </c>
      <c r="I2135" s="5" t="str">
        <f aca="false">IF($H2135=FALSE(),"",COUNTIF($H$6:$H2135,TRUE()))</f>
        <v/>
      </c>
      <c r="J2135" s="5" t="str">
        <f aca="false">IF($I2135="","","R"&amp;$I2135)</f>
        <v/>
      </c>
    </row>
    <row r="2136" customFormat="false" ht="15" hidden="false" customHeight="true" outlineLevel="0" collapsed="false">
      <c r="H2136" s="14" t="b">
        <f aca="false">IF(중복검사!$A2134="",FALSE(),중복검사!$J2134="유지")</f>
        <v>0</v>
      </c>
      <c r="I2136" s="5" t="str">
        <f aca="false">IF($H2136=FALSE(),"",COUNTIF($H$6:$H2136,TRUE()))</f>
        <v/>
      </c>
      <c r="J2136" s="5" t="str">
        <f aca="false">IF($I2136="","","R"&amp;$I2136)</f>
        <v/>
      </c>
    </row>
    <row r="2137" customFormat="false" ht="15" hidden="false" customHeight="true" outlineLevel="0" collapsed="false">
      <c r="H2137" s="14" t="b">
        <f aca="false">IF(중복검사!$A2135="",FALSE(),중복검사!$J2135="유지")</f>
        <v>0</v>
      </c>
      <c r="I2137" s="5" t="str">
        <f aca="false">IF($H2137=FALSE(),"",COUNTIF($H$6:$H2137,TRUE()))</f>
        <v/>
      </c>
      <c r="J2137" s="5" t="str">
        <f aca="false">IF($I2137="","","R"&amp;$I2137)</f>
        <v/>
      </c>
    </row>
    <row r="2138" customFormat="false" ht="15" hidden="false" customHeight="true" outlineLevel="0" collapsed="false">
      <c r="H2138" s="14" t="b">
        <f aca="false">IF(중복검사!$A2136="",FALSE(),중복검사!$J2136="유지")</f>
        <v>0</v>
      </c>
      <c r="I2138" s="5" t="str">
        <f aca="false">IF($H2138=FALSE(),"",COUNTIF($H$6:$H2138,TRUE()))</f>
        <v/>
      </c>
      <c r="J2138" s="5" t="str">
        <f aca="false">IF($I2138="","","R"&amp;$I2138)</f>
        <v/>
      </c>
    </row>
    <row r="2139" customFormat="false" ht="15" hidden="false" customHeight="true" outlineLevel="0" collapsed="false">
      <c r="H2139" s="14" t="b">
        <f aca="false">IF(중복검사!$A2137="",FALSE(),중복검사!$J2137="유지")</f>
        <v>0</v>
      </c>
      <c r="I2139" s="5" t="str">
        <f aca="false">IF($H2139=FALSE(),"",COUNTIF($H$6:$H2139,TRUE()))</f>
        <v/>
      </c>
      <c r="J2139" s="5" t="str">
        <f aca="false">IF($I2139="","","R"&amp;$I2139)</f>
        <v/>
      </c>
    </row>
    <row r="2140" customFormat="false" ht="15" hidden="false" customHeight="true" outlineLevel="0" collapsed="false">
      <c r="H2140" s="14" t="b">
        <f aca="false">IF(중복검사!$A2138="",FALSE(),중복검사!$J2138="유지")</f>
        <v>0</v>
      </c>
      <c r="I2140" s="5" t="str">
        <f aca="false">IF($H2140=FALSE(),"",COUNTIF($H$6:$H2140,TRUE()))</f>
        <v/>
      </c>
      <c r="J2140" s="5" t="str">
        <f aca="false">IF($I2140="","","R"&amp;$I2140)</f>
        <v/>
      </c>
    </row>
    <row r="2141" customFormat="false" ht="15" hidden="false" customHeight="true" outlineLevel="0" collapsed="false">
      <c r="H2141" s="14" t="b">
        <f aca="false">IF(중복검사!$A2139="",FALSE(),중복검사!$J2139="유지")</f>
        <v>0</v>
      </c>
      <c r="I2141" s="5" t="str">
        <f aca="false">IF($H2141=FALSE(),"",COUNTIF($H$6:$H2141,TRUE()))</f>
        <v/>
      </c>
      <c r="J2141" s="5" t="str">
        <f aca="false">IF($I2141="","","R"&amp;$I2141)</f>
        <v/>
      </c>
    </row>
    <row r="2142" customFormat="false" ht="15" hidden="false" customHeight="true" outlineLevel="0" collapsed="false">
      <c r="H2142" s="14" t="b">
        <f aca="false">IF(중복검사!$A2140="",FALSE(),중복검사!$J2140="유지")</f>
        <v>0</v>
      </c>
      <c r="I2142" s="5" t="str">
        <f aca="false">IF($H2142=FALSE(),"",COUNTIF($H$6:$H2142,TRUE()))</f>
        <v/>
      </c>
      <c r="J2142" s="5" t="str">
        <f aca="false">IF($I2142="","","R"&amp;$I2142)</f>
        <v/>
      </c>
    </row>
    <row r="2143" customFormat="false" ht="15" hidden="false" customHeight="true" outlineLevel="0" collapsed="false">
      <c r="H2143" s="14" t="b">
        <f aca="false">IF(중복검사!$A2141="",FALSE(),중복검사!$J2141="유지")</f>
        <v>0</v>
      </c>
      <c r="I2143" s="5" t="str">
        <f aca="false">IF($H2143=FALSE(),"",COUNTIF($H$6:$H2143,TRUE()))</f>
        <v/>
      </c>
      <c r="J2143" s="5" t="str">
        <f aca="false">IF($I2143="","","R"&amp;$I2143)</f>
        <v/>
      </c>
    </row>
    <row r="2144" customFormat="false" ht="15" hidden="false" customHeight="true" outlineLevel="0" collapsed="false">
      <c r="H2144" s="14" t="b">
        <f aca="false">IF(중복검사!$A2142="",FALSE(),중복검사!$J2142="유지")</f>
        <v>0</v>
      </c>
      <c r="I2144" s="5" t="str">
        <f aca="false">IF($H2144=FALSE(),"",COUNTIF($H$6:$H2144,TRUE()))</f>
        <v/>
      </c>
      <c r="J2144" s="5" t="str">
        <f aca="false">IF($I2144="","","R"&amp;$I2144)</f>
        <v/>
      </c>
    </row>
    <row r="2145" customFormat="false" ht="15" hidden="false" customHeight="true" outlineLevel="0" collapsed="false">
      <c r="H2145" s="14" t="b">
        <f aca="false">IF(중복검사!$A2143="",FALSE(),중복검사!$J2143="유지")</f>
        <v>0</v>
      </c>
      <c r="I2145" s="5" t="str">
        <f aca="false">IF($H2145=FALSE(),"",COUNTIF($H$6:$H2145,TRUE()))</f>
        <v/>
      </c>
      <c r="J2145" s="5" t="str">
        <f aca="false">IF($I2145="","","R"&amp;$I2145)</f>
        <v/>
      </c>
    </row>
    <row r="2146" customFormat="false" ht="15" hidden="false" customHeight="true" outlineLevel="0" collapsed="false">
      <c r="H2146" s="14" t="b">
        <f aca="false">IF(중복검사!$A2144="",FALSE(),중복검사!$J2144="유지")</f>
        <v>0</v>
      </c>
      <c r="I2146" s="5" t="str">
        <f aca="false">IF($H2146=FALSE(),"",COUNTIF($H$6:$H2146,TRUE()))</f>
        <v/>
      </c>
      <c r="J2146" s="5" t="str">
        <f aca="false">IF($I2146="","","R"&amp;$I2146)</f>
        <v/>
      </c>
    </row>
    <row r="2147" customFormat="false" ht="15" hidden="false" customHeight="true" outlineLevel="0" collapsed="false">
      <c r="H2147" s="14" t="b">
        <f aca="false">IF(중복검사!$A2145="",FALSE(),중복검사!$J2145="유지")</f>
        <v>0</v>
      </c>
      <c r="I2147" s="5" t="str">
        <f aca="false">IF($H2147=FALSE(),"",COUNTIF($H$6:$H2147,TRUE()))</f>
        <v/>
      </c>
      <c r="J2147" s="5" t="str">
        <f aca="false">IF($I2147="","","R"&amp;$I2147)</f>
        <v/>
      </c>
    </row>
    <row r="2148" customFormat="false" ht="15" hidden="false" customHeight="true" outlineLevel="0" collapsed="false">
      <c r="H2148" s="14" t="b">
        <f aca="false">IF(중복검사!$A2146="",FALSE(),중복검사!$J2146="유지")</f>
        <v>0</v>
      </c>
      <c r="I2148" s="5" t="str">
        <f aca="false">IF($H2148=FALSE(),"",COUNTIF($H$6:$H2148,TRUE()))</f>
        <v/>
      </c>
      <c r="J2148" s="5" t="str">
        <f aca="false">IF($I2148="","","R"&amp;$I2148)</f>
        <v/>
      </c>
    </row>
    <row r="2149" customFormat="false" ht="15" hidden="false" customHeight="true" outlineLevel="0" collapsed="false">
      <c r="H2149" s="14" t="b">
        <f aca="false">IF(중복검사!$A2147="",FALSE(),중복검사!$J2147="유지")</f>
        <v>0</v>
      </c>
      <c r="I2149" s="5" t="str">
        <f aca="false">IF($H2149=FALSE(),"",COUNTIF($H$6:$H2149,TRUE()))</f>
        <v/>
      </c>
      <c r="J2149" s="5" t="str">
        <f aca="false">IF($I2149="","","R"&amp;$I2149)</f>
        <v/>
      </c>
    </row>
    <row r="2150" customFormat="false" ht="15" hidden="false" customHeight="true" outlineLevel="0" collapsed="false">
      <c r="H2150" s="14" t="b">
        <f aca="false">IF(중복검사!$A2148="",FALSE(),중복검사!$J2148="유지")</f>
        <v>0</v>
      </c>
      <c r="I2150" s="5" t="str">
        <f aca="false">IF($H2150=FALSE(),"",COUNTIF($H$6:$H2150,TRUE()))</f>
        <v/>
      </c>
      <c r="J2150" s="5" t="str">
        <f aca="false">IF($I2150="","","R"&amp;$I2150)</f>
        <v/>
      </c>
    </row>
    <row r="2151" customFormat="false" ht="15" hidden="false" customHeight="true" outlineLevel="0" collapsed="false">
      <c r="H2151" s="14" t="b">
        <f aca="false">IF(중복검사!$A2149="",FALSE(),중복검사!$J2149="유지")</f>
        <v>0</v>
      </c>
      <c r="I2151" s="5" t="str">
        <f aca="false">IF($H2151=FALSE(),"",COUNTIF($H$6:$H2151,TRUE()))</f>
        <v/>
      </c>
      <c r="J2151" s="5" t="str">
        <f aca="false">IF($I2151="","","R"&amp;$I2151)</f>
        <v/>
      </c>
    </row>
    <row r="2152" customFormat="false" ht="15" hidden="false" customHeight="true" outlineLevel="0" collapsed="false">
      <c r="H2152" s="14" t="b">
        <f aca="false">IF(중복검사!$A2150="",FALSE(),중복검사!$J2150="유지")</f>
        <v>0</v>
      </c>
      <c r="I2152" s="5" t="str">
        <f aca="false">IF($H2152=FALSE(),"",COUNTIF($H$6:$H2152,TRUE()))</f>
        <v/>
      </c>
      <c r="J2152" s="5" t="str">
        <f aca="false">IF($I2152="","","R"&amp;$I2152)</f>
        <v/>
      </c>
    </row>
    <row r="2153" customFormat="false" ht="15" hidden="false" customHeight="true" outlineLevel="0" collapsed="false">
      <c r="H2153" s="14" t="b">
        <f aca="false">IF(중복검사!$A2151="",FALSE(),중복검사!$J2151="유지")</f>
        <v>0</v>
      </c>
      <c r="I2153" s="5" t="str">
        <f aca="false">IF($H2153=FALSE(),"",COUNTIF($H$6:$H2153,TRUE()))</f>
        <v/>
      </c>
      <c r="J2153" s="5" t="str">
        <f aca="false">IF($I2153="","","R"&amp;$I2153)</f>
        <v/>
      </c>
    </row>
    <row r="2154" customFormat="false" ht="15" hidden="false" customHeight="true" outlineLevel="0" collapsed="false">
      <c r="H2154" s="14" t="b">
        <f aca="false">IF(중복검사!$A2152="",FALSE(),중복검사!$J2152="유지")</f>
        <v>0</v>
      </c>
      <c r="I2154" s="5" t="str">
        <f aca="false">IF($H2154=FALSE(),"",COUNTIF($H$6:$H2154,TRUE()))</f>
        <v/>
      </c>
      <c r="J2154" s="5" t="str">
        <f aca="false">IF($I2154="","","R"&amp;$I2154)</f>
        <v/>
      </c>
    </row>
    <row r="2155" customFormat="false" ht="15" hidden="false" customHeight="true" outlineLevel="0" collapsed="false">
      <c r="H2155" s="14" t="b">
        <f aca="false">IF(중복검사!$A2153="",FALSE(),중복검사!$J2153="유지")</f>
        <v>0</v>
      </c>
      <c r="I2155" s="5" t="str">
        <f aca="false">IF($H2155=FALSE(),"",COUNTIF($H$6:$H2155,TRUE()))</f>
        <v/>
      </c>
      <c r="J2155" s="5" t="str">
        <f aca="false">IF($I2155="","","R"&amp;$I2155)</f>
        <v/>
      </c>
    </row>
    <row r="2156" customFormat="false" ht="15" hidden="false" customHeight="true" outlineLevel="0" collapsed="false">
      <c r="H2156" s="14" t="b">
        <f aca="false">IF(중복검사!$A2154="",FALSE(),중복검사!$J2154="유지")</f>
        <v>0</v>
      </c>
      <c r="I2156" s="5" t="str">
        <f aca="false">IF($H2156=FALSE(),"",COUNTIF($H$6:$H2156,TRUE()))</f>
        <v/>
      </c>
      <c r="J2156" s="5" t="str">
        <f aca="false">IF($I2156="","","R"&amp;$I2156)</f>
        <v/>
      </c>
    </row>
    <row r="2157" customFormat="false" ht="15" hidden="false" customHeight="true" outlineLevel="0" collapsed="false">
      <c r="H2157" s="14" t="b">
        <f aca="false">IF(중복검사!$A2155="",FALSE(),중복검사!$J2155="유지")</f>
        <v>0</v>
      </c>
      <c r="I2157" s="5" t="str">
        <f aca="false">IF($H2157=FALSE(),"",COUNTIF($H$6:$H2157,TRUE()))</f>
        <v/>
      </c>
      <c r="J2157" s="5" t="str">
        <f aca="false">IF($I2157="","","R"&amp;$I2157)</f>
        <v/>
      </c>
    </row>
    <row r="2158" customFormat="false" ht="15" hidden="false" customHeight="true" outlineLevel="0" collapsed="false">
      <c r="H2158" s="14" t="b">
        <f aca="false">IF(중복검사!$A2156="",FALSE(),중복검사!$J2156="유지")</f>
        <v>0</v>
      </c>
      <c r="I2158" s="5" t="str">
        <f aca="false">IF($H2158=FALSE(),"",COUNTIF($H$6:$H2158,TRUE()))</f>
        <v/>
      </c>
      <c r="J2158" s="5" t="str">
        <f aca="false">IF($I2158="","","R"&amp;$I2158)</f>
        <v/>
      </c>
    </row>
    <row r="2159" customFormat="false" ht="15" hidden="false" customHeight="true" outlineLevel="0" collapsed="false">
      <c r="H2159" s="14" t="b">
        <f aca="false">IF(중복검사!$A2157="",FALSE(),중복검사!$J2157="유지")</f>
        <v>0</v>
      </c>
      <c r="I2159" s="5" t="str">
        <f aca="false">IF($H2159=FALSE(),"",COUNTIF($H$6:$H2159,TRUE()))</f>
        <v/>
      </c>
      <c r="J2159" s="5" t="str">
        <f aca="false">IF($I2159="","","R"&amp;$I2159)</f>
        <v/>
      </c>
    </row>
    <row r="2160" customFormat="false" ht="15" hidden="false" customHeight="true" outlineLevel="0" collapsed="false">
      <c r="H2160" s="14" t="b">
        <f aca="false">IF(중복검사!$A2158="",FALSE(),중복검사!$J2158="유지")</f>
        <v>0</v>
      </c>
      <c r="I2160" s="5" t="str">
        <f aca="false">IF($H2160=FALSE(),"",COUNTIF($H$6:$H2160,TRUE()))</f>
        <v/>
      </c>
      <c r="J2160" s="5" t="str">
        <f aca="false">IF($I2160="","","R"&amp;$I2160)</f>
        <v/>
      </c>
    </row>
    <row r="2161" customFormat="false" ht="15" hidden="false" customHeight="true" outlineLevel="0" collapsed="false">
      <c r="H2161" s="14" t="b">
        <f aca="false">IF(중복검사!$A2159="",FALSE(),중복검사!$J2159="유지")</f>
        <v>0</v>
      </c>
      <c r="I2161" s="5" t="str">
        <f aca="false">IF($H2161=FALSE(),"",COUNTIF($H$6:$H2161,TRUE()))</f>
        <v/>
      </c>
      <c r="J2161" s="5" t="str">
        <f aca="false">IF($I2161="","","R"&amp;$I2161)</f>
        <v/>
      </c>
    </row>
    <row r="2162" customFormat="false" ht="15" hidden="false" customHeight="true" outlineLevel="0" collapsed="false">
      <c r="H2162" s="14" t="b">
        <f aca="false">IF(중복검사!$A2160="",FALSE(),중복검사!$J2160="유지")</f>
        <v>0</v>
      </c>
      <c r="I2162" s="5" t="str">
        <f aca="false">IF($H2162=FALSE(),"",COUNTIF($H$6:$H2162,TRUE()))</f>
        <v/>
      </c>
      <c r="J2162" s="5" t="str">
        <f aca="false">IF($I2162="","","R"&amp;$I2162)</f>
        <v/>
      </c>
    </row>
    <row r="2163" customFormat="false" ht="15" hidden="false" customHeight="true" outlineLevel="0" collapsed="false">
      <c r="H2163" s="14" t="b">
        <f aca="false">IF(중복검사!$A2161="",FALSE(),중복검사!$J2161="유지")</f>
        <v>0</v>
      </c>
      <c r="I2163" s="5" t="str">
        <f aca="false">IF($H2163=FALSE(),"",COUNTIF($H$6:$H2163,TRUE()))</f>
        <v/>
      </c>
      <c r="J2163" s="5" t="str">
        <f aca="false">IF($I2163="","","R"&amp;$I2163)</f>
        <v/>
      </c>
    </row>
    <row r="2164" customFormat="false" ht="15" hidden="false" customHeight="true" outlineLevel="0" collapsed="false">
      <c r="H2164" s="14" t="b">
        <f aca="false">IF(중복검사!$A2162="",FALSE(),중복검사!$J2162="유지")</f>
        <v>0</v>
      </c>
      <c r="I2164" s="5" t="str">
        <f aca="false">IF($H2164=FALSE(),"",COUNTIF($H$6:$H2164,TRUE()))</f>
        <v/>
      </c>
      <c r="J2164" s="5" t="str">
        <f aca="false">IF($I2164="","","R"&amp;$I2164)</f>
        <v/>
      </c>
    </row>
    <row r="2165" customFormat="false" ht="15" hidden="false" customHeight="true" outlineLevel="0" collapsed="false">
      <c r="H2165" s="14" t="b">
        <f aca="false">IF(중복검사!$A2163="",FALSE(),중복검사!$J2163="유지")</f>
        <v>0</v>
      </c>
      <c r="I2165" s="5" t="str">
        <f aca="false">IF($H2165=FALSE(),"",COUNTIF($H$6:$H2165,TRUE()))</f>
        <v/>
      </c>
      <c r="J2165" s="5" t="str">
        <f aca="false">IF($I2165="","","R"&amp;$I2165)</f>
        <v/>
      </c>
    </row>
    <row r="2166" customFormat="false" ht="15" hidden="false" customHeight="true" outlineLevel="0" collapsed="false">
      <c r="H2166" s="14" t="b">
        <f aca="false">IF(중복검사!$A2164="",FALSE(),중복검사!$J2164="유지")</f>
        <v>0</v>
      </c>
      <c r="I2166" s="5" t="str">
        <f aca="false">IF($H2166=FALSE(),"",COUNTIF($H$6:$H2166,TRUE()))</f>
        <v/>
      </c>
      <c r="J2166" s="5" t="str">
        <f aca="false">IF($I2166="","","R"&amp;$I2166)</f>
        <v/>
      </c>
    </row>
    <row r="2167" customFormat="false" ht="15" hidden="false" customHeight="true" outlineLevel="0" collapsed="false">
      <c r="H2167" s="14" t="b">
        <f aca="false">IF(중복검사!$A2165="",FALSE(),중복검사!$J2165="유지")</f>
        <v>0</v>
      </c>
      <c r="I2167" s="5" t="str">
        <f aca="false">IF($H2167=FALSE(),"",COUNTIF($H$6:$H2167,TRUE()))</f>
        <v/>
      </c>
      <c r="J2167" s="5" t="str">
        <f aca="false">IF($I2167="","","R"&amp;$I2167)</f>
        <v/>
      </c>
    </row>
    <row r="2168" customFormat="false" ht="15" hidden="false" customHeight="true" outlineLevel="0" collapsed="false">
      <c r="H2168" s="14" t="b">
        <f aca="false">IF(중복검사!$A2166="",FALSE(),중복검사!$J2166="유지")</f>
        <v>0</v>
      </c>
      <c r="I2168" s="5" t="str">
        <f aca="false">IF($H2168=FALSE(),"",COUNTIF($H$6:$H2168,TRUE()))</f>
        <v/>
      </c>
      <c r="J2168" s="5" t="str">
        <f aca="false">IF($I2168="","","R"&amp;$I2168)</f>
        <v/>
      </c>
    </row>
    <row r="2169" customFormat="false" ht="15" hidden="false" customHeight="true" outlineLevel="0" collapsed="false">
      <c r="H2169" s="14" t="b">
        <f aca="false">IF(중복검사!$A2167="",FALSE(),중복검사!$J2167="유지")</f>
        <v>0</v>
      </c>
      <c r="I2169" s="5" t="str">
        <f aca="false">IF($H2169=FALSE(),"",COUNTIF($H$6:$H2169,TRUE()))</f>
        <v/>
      </c>
      <c r="J2169" s="5" t="str">
        <f aca="false">IF($I2169="","","R"&amp;$I2169)</f>
        <v/>
      </c>
    </row>
    <row r="2170" customFormat="false" ht="15" hidden="false" customHeight="true" outlineLevel="0" collapsed="false">
      <c r="H2170" s="14" t="b">
        <f aca="false">IF(중복검사!$A2168="",FALSE(),중복검사!$J2168="유지")</f>
        <v>0</v>
      </c>
      <c r="I2170" s="5" t="str">
        <f aca="false">IF($H2170=FALSE(),"",COUNTIF($H$6:$H2170,TRUE()))</f>
        <v/>
      </c>
      <c r="J2170" s="5" t="str">
        <f aca="false">IF($I2170="","","R"&amp;$I2170)</f>
        <v/>
      </c>
    </row>
    <row r="2171" customFormat="false" ht="15" hidden="false" customHeight="true" outlineLevel="0" collapsed="false">
      <c r="H2171" s="14" t="b">
        <f aca="false">IF(중복검사!$A2169="",FALSE(),중복검사!$J2169="유지")</f>
        <v>0</v>
      </c>
      <c r="I2171" s="5" t="str">
        <f aca="false">IF($H2171=FALSE(),"",COUNTIF($H$6:$H2171,TRUE()))</f>
        <v/>
      </c>
      <c r="J2171" s="5" t="str">
        <f aca="false">IF($I2171="","","R"&amp;$I2171)</f>
        <v/>
      </c>
    </row>
    <row r="2172" customFormat="false" ht="15" hidden="false" customHeight="true" outlineLevel="0" collapsed="false">
      <c r="H2172" s="14" t="b">
        <f aca="false">IF(중복검사!$A2170="",FALSE(),중복검사!$J2170="유지")</f>
        <v>0</v>
      </c>
      <c r="I2172" s="5" t="str">
        <f aca="false">IF($H2172=FALSE(),"",COUNTIF($H$6:$H2172,TRUE()))</f>
        <v/>
      </c>
      <c r="J2172" s="5" t="str">
        <f aca="false">IF($I2172="","","R"&amp;$I2172)</f>
        <v/>
      </c>
    </row>
    <row r="2173" customFormat="false" ht="15" hidden="false" customHeight="true" outlineLevel="0" collapsed="false">
      <c r="H2173" s="14" t="b">
        <f aca="false">IF(중복검사!$A2171="",FALSE(),중복검사!$J2171="유지")</f>
        <v>0</v>
      </c>
      <c r="I2173" s="5" t="str">
        <f aca="false">IF($H2173=FALSE(),"",COUNTIF($H$6:$H2173,TRUE()))</f>
        <v/>
      </c>
      <c r="J2173" s="5" t="str">
        <f aca="false">IF($I2173="","","R"&amp;$I2173)</f>
        <v/>
      </c>
    </row>
    <row r="2174" customFormat="false" ht="15" hidden="false" customHeight="true" outlineLevel="0" collapsed="false">
      <c r="H2174" s="14" t="b">
        <f aca="false">IF(중복검사!$A2172="",FALSE(),중복검사!$J2172="유지")</f>
        <v>0</v>
      </c>
      <c r="I2174" s="5" t="str">
        <f aca="false">IF($H2174=FALSE(),"",COUNTIF($H$6:$H2174,TRUE()))</f>
        <v/>
      </c>
      <c r="J2174" s="5" t="str">
        <f aca="false">IF($I2174="","","R"&amp;$I2174)</f>
        <v/>
      </c>
    </row>
    <row r="2175" customFormat="false" ht="15" hidden="false" customHeight="true" outlineLevel="0" collapsed="false">
      <c r="H2175" s="14" t="b">
        <f aca="false">IF(중복검사!$A2173="",FALSE(),중복검사!$J2173="유지")</f>
        <v>0</v>
      </c>
      <c r="I2175" s="5" t="str">
        <f aca="false">IF($H2175=FALSE(),"",COUNTIF($H$6:$H2175,TRUE()))</f>
        <v/>
      </c>
      <c r="J2175" s="5" t="str">
        <f aca="false">IF($I2175="","","R"&amp;$I2175)</f>
        <v/>
      </c>
    </row>
    <row r="2176" customFormat="false" ht="15" hidden="false" customHeight="true" outlineLevel="0" collapsed="false">
      <c r="H2176" s="14" t="b">
        <f aca="false">IF(중복검사!$A2174="",FALSE(),중복검사!$J2174="유지")</f>
        <v>0</v>
      </c>
      <c r="I2176" s="5" t="str">
        <f aca="false">IF($H2176=FALSE(),"",COUNTIF($H$6:$H2176,TRUE()))</f>
        <v/>
      </c>
      <c r="J2176" s="5" t="str">
        <f aca="false">IF($I2176="","","R"&amp;$I2176)</f>
        <v/>
      </c>
    </row>
    <row r="2177" customFormat="false" ht="15" hidden="false" customHeight="true" outlineLevel="0" collapsed="false">
      <c r="H2177" s="14" t="b">
        <f aca="false">IF(중복검사!$A2175="",FALSE(),중복검사!$J2175="유지")</f>
        <v>0</v>
      </c>
      <c r="I2177" s="5" t="str">
        <f aca="false">IF($H2177=FALSE(),"",COUNTIF($H$6:$H2177,TRUE()))</f>
        <v/>
      </c>
      <c r="J2177" s="5" t="str">
        <f aca="false">IF($I2177="","","R"&amp;$I2177)</f>
        <v/>
      </c>
    </row>
    <row r="2178" customFormat="false" ht="15" hidden="false" customHeight="true" outlineLevel="0" collapsed="false">
      <c r="H2178" s="14" t="b">
        <f aca="false">IF(중복검사!$A2176="",FALSE(),중복검사!$J2176="유지")</f>
        <v>0</v>
      </c>
      <c r="I2178" s="5" t="str">
        <f aca="false">IF($H2178=FALSE(),"",COUNTIF($H$6:$H2178,TRUE()))</f>
        <v/>
      </c>
      <c r="J2178" s="5" t="str">
        <f aca="false">IF($I2178="","","R"&amp;$I2178)</f>
        <v/>
      </c>
    </row>
    <row r="2179" customFormat="false" ht="15" hidden="false" customHeight="true" outlineLevel="0" collapsed="false">
      <c r="H2179" s="14" t="b">
        <f aca="false">IF(중복검사!$A2177="",FALSE(),중복검사!$J2177="유지")</f>
        <v>0</v>
      </c>
      <c r="I2179" s="5" t="str">
        <f aca="false">IF($H2179=FALSE(),"",COUNTIF($H$6:$H2179,TRUE()))</f>
        <v/>
      </c>
      <c r="J2179" s="5" t="str">
        <f aca="false">IF($I2179="","","R"&amp;$I2179)</f>
        <v/>
      </c>
    </row>
    <row r="2180" customFormat="false" ht="15" hidden="false" customHeight="true" outlineLevel="0" collapsed="false">
      <c r="H2180" s="14" t="b">
        <f aca="false">IF(중복검사!$A2178="",FALSE(),중복검사!$J2178="유지")</f>
        <v>0</v>
      </c>
      <c r="I2180" s="5" t="str">
        <f aca="false">IF($H2180=FALSE(),"",COUNTIF($H$6:$H2180,TRUE()))</f>
        <v/>
      </c>
      <c r="J2180" s="5" t="str">
        <f aca="false">IF($I2180="","","R"&amp;$I2180)</f>
        <v/>
      </c>
    </row>
    <row r="2181" customFormat="false" ht="15" hidden="false" customHeight="true" outlineLevel="0" collapsed="false">
      <c r="H2181" s="14" t="b">
        <f aca="false">IF(중복검사!$A2179="",FALSE(),중복검사!$J2179="유지")</f>
        <v>0</v>
      </c>
      <c r="I2181" s="5" t="str">
        <f aca="false">IF($H2181=FALSE(),"",COUNTIF($H$6:$H2181,TRUE()))</f>
        <v/>
      </c>
      <c r="J2181" s="5" t="str">
        <f aca="false">IF($I2181="","","R"&amp;$I2181)</f>
        <v/>
      </c>
    </row>
    <row r="2182" customFormat="false" ht="15" hidden="false" customHeight="true" outlineLevel="0" collapsed="false">
      <c r="H2182" s="14" t="b">
        <f aca="false">IF(중복검사!$A2180="",FALSE(),중복검사!$J2180="유지")</f>
        <v>0</v>
      </c>
      <c r="I2182" s="5" t="str">
        <f aca="false">IF($H2182=FALSE(),"",COUNTIF($H$6:$H2182,TRUE()))</f>
        <v/>
      </c>
      <c r="J2182" s="5" t="str">
        <f aca="false">IF($I2182="","","R"&amp;$I2182)</f>
        <v/>
      </c>
    </row>
    <row r="2183" customFormat="false" ht="15" hidden="false" customHeight="true" outlineLevel="0" collapsed="false">
      <c r="H2183" s="14" t="b">
        <f aca="false">IF(중복검사!$A2181="",FALSE(),중복검사!$J2181="유지")</f>
        <v>0</v>
      </c>
      <c r="I2183" s="5" t="str">
        <f aca="false">IF($H2183=FALSE(),"",COUNTIF($H$6:$H2183,TRUE()))</f>
        <v/>
      </c>
      <c r="J2183" s="5" t="str">
        <f aca="false">IF($I2183="","","R"&amp;$I2183)</f>
        <v/>
      </c>
    </row>
    <row r="2184" customFormat="false" ht="15" hidden="false" customHeight="true" outlineLevel="0" collapsed="false">
      <c r="H2184" s="14" t="b">
        <f aca="false">IF(중복검사!$A2182="",FALSE(),중복검사!$J2182="유지")</f>
        <v>0</v>
      </c>
      <c r="I2184" s="5" t="str">
        <f aca="false">IF($H2184=FALSE(),"",COUNTIF($H$6:$H2184,TRUE()))</f>
        <v/>
      </c>
      <c r="J2184" s="5" t="str">
        <f aca="false">IF($I2184="","","R"&amp;$I2184)</f>
        <v/>
      </c>
    </row>
    <row r="2185" customFormat="false" ht="15" hidden="false" customHeight="true" outlineLevel="0" collapsed="false">
      <c r="H2185" s="14" t="b">
        <f aca="false">IF(중복검사!$A2183="",FALSE(),중복검사!$J2183="유지")</f>
        <v>0</v>
      </c>
      <c r="I2185" s="5" t="str">
        <f aca="false">IF($H2185=FALSE(),"",COUNTIF($H$6:$H2185,TRUE()))</f>
        <v/>
      </c>
      <c r="J2185" s="5" t="str">
        <f aca="false">IF($I2185="","","R"&amp;$I2185)</f>
        <v/>
      </c>
    </row>
    <row r="2186" customFormat="false" ht="15" hidden="false" customHeight="true" outlineLevel="0" collapsed="false">
      <c r="H2186" s="14" t="b">
        <f aca="false">IF(중복검사!$A2184="",FALSE(),중복검사!$J2184="유지")</f>
        <v>0</v>
      </c>
      <c r="I2186" s="5" t="str">
        <f aca="false">IF($H2186=FALSE(),"",COUNTIF($H$6:$H2186,TRUE()))</f>
        <v/>
      </c>
      <c r="J2186" s="5" t="str">
        <f aca="false">IF($I2186="","","R"&amp;$I2186)</f>
        <v/>
      </c>
    </row>
    <row r="2187" customFormat="false" ht="15" hidden="false" customHeight="true" outlineLevel="0" collapsed="false">
      <c r="H2187" s="14" t="b">
        <f aca="false">IF(중복검사!$A2185="",FALSE(),중복검사!$J2185="유지")</f>
        <v>0</v>
      </c>
      <c r="I2187" s="5" t="str">
        <f aca="false">IF($H2187=FALSE(),"",COUNTIF($H$6:$H2187,TRUE()))</f>
        <v/>
      </c>
      <c r="J2187" s="5" t="str">
        <f aca="false">IF($I2187="","","R"&amp;$I2187)</f>
        <v/>
      </c>
    </row>
    <row r="2188" customFormat="false" ht="15" hidden="false" customHeight="true" outlineLevel="0" collapsed="false">
      <c r="H2188" s="14" t="b">
        <f aca="false">IF(중복검사!$A2186="",FALSE(),중복검사!$J2186="유지")</f>
        <v>0</v>
      </c>
      <c r="I2188" s="5" t="str">
        <f aca="false">IF($H2188=FALSE(),"",COUNTIF($H$6:$H2188,TRUE()))</f>
        <v/>
      </c>
      <c r="J2188" s="5" t="str">
        <f aca="false">IF($I2188="","","R"&amp;$I2188)</f>
        <v/>
      </c>
    </row>
    <row r="2189" customFormat="false" ht="15" hidden="false" customHeight="true" outlineLevel="0" collapsed="false">
      <c r="H2189" s="14" t="b">
        <f aca="false">IF(중복검사!$A2187="",FALSE(),중복검사!$J2187="유지")</f>
        <v>0</v>
      </c>
      <c r="I2189" s="5" t="str">
        <f aca="false">IF($H2189=FALSE(),"",COUNTIF($H$6:$H2189,TRUE()))</f>
        <v/>
      </c>
      <c r="J2189" s="5" t="str">
        <f aca="false">IF($I2189="","","R"&amp;$I2189)</f>
        <v/>
      </c>
    </row>
    <row r="2190" customFormat="false" ht="15" hidden="false" customHeight="true" outlineLevel="0" collapsed="false">
      <c r="H2190" s="14" t="b">
        <f aca="false">IF(중복검사!$A2188="",FALSE(),중복검사!$J2188="유지")</f>
        <v>0</v>
      </c>
      <c r="I2190" s="5" t="str">
        <f aca="false">IF($H2190=FALSE(),"",COUNTIF($H$6:$H2190,TRUE()))</f>
        <v/>
      </c>
      <c r="J2190" s="5" t="str">
        <f aca="false">IF($I2190="","","R"&amp;$I2190)</f>
        <v/>
      </c>
    </row>
    <row r="2191" customFormat="false" ht="15" hidden="false" customHeight="true" outlineLevel="0" collapsed="false">
      <c r="H2191" s="14" t="b">
        <f aca="false">IF(중복검사!$A2189="",FALSE(),중복검사!$J2189="유지")</f>
        <v>0</v>
      </c>
      <c r="I2191" s="5" t="str">
        <f aca="false">IF($H2191=FALSE(),"",COUNTIF($H$6:$H2191,TRUE()))</f>
        <v/>
      </c>
      <c r="J2191" s="5" t="str">
        <f aca="false">IF($I2191="","","R"&amp;$I2191)</f>
        <v/>
      </c>
    </row>
    <row r="2192" customFormat="false" ht="15" hidden="false" customHeight="true" outlineLevel="0" collapsed="false">
      <c r="H2192" s="14" t="b">
        <f aca="false">IF(중복검사!$A2190="",FALSE(),중복검사!$J2190="유지")</f>
        <v>0</v>
      </c>
      <c r="I2192" s="5" t="str">
        <f aca="false">IF($H2192=FALSE(),"",COUNTIF($H$6:$H2192,TRUE()))</f>
        <v/>
      </c>
      <c r="J2192" s="5" t="str">
        <f aca="false">IF($I2192="","","R"&amp;$I2192)</f>
        <v/>
      </c>
    </row>
    <row r="2193" customFormat="false" ht="15" hidden="false" customHeight="true" outlineLevel="0" collapsed="false">
      <c r="H2193" s="14" t="b">
        <f aca="false">IF(중복검사!$A2191="",FALSE(),중복검사!$J2191="유지")</f>
        <v>0</v>
      </c>
      <c r="I2193" s="5" t="str">
        <f aca="false">IF($H2193=FALSE(),"",COUNTIF($H$6:$H2193,TRUE()))</f>
        <v/>
      </c>
      <c r="J2193" s="5" t="str">
        <f aca="false">IF($I2193="","","R"&amp;$I2193)</f>
        <v/>
      </c>
    </row>
    <row r="2194" customFormat="false" ht="15" hidden="false" customHeight="true" outlineLevel="0" collapsed="false">
      <c r="H2194" s="14" t="b">
        <f aca="false">IF(중복검사!$A2192="",FALSE(),중복검사!$J2192="유지")</f>
        <v>0</v>
      </c>
      <c r="I2194" s="5" t="str">
        <f aca="false">IF($H2194=FALSE(),"",COUNTIF($H$6:$H2194,TRUE()))</f>
        <v/>
      </c>
      <c r="J2194" s="5" t="str">
        <f aca="false">IF($I2194="","","R"&amp;$I2194)</f>
        <v/>
      </c>
    </row>
    <row r="2195" customFormat="false" ht="15" hidden="false" customHeight="true" outlineLevel="0" collapsed="false">
      <c r="H2195" s="14" t="b">
        <f aca="false">IF(중복검사!$A2193="",FALSE(),중복검사!$J2193="유지")</f>
        <v>0</v>
      </c>
      <c r="I2195" s="5" t="str">
        <f aca="false">IF($H2195=FALSE(),"",COUNTIF($H$6:$H2195,TRUE()))</f>
        <v/>
      </c>
      <c r="J2195" s="5" t="str">
        <f aca="false">IF($I2195="","","R"&amp;$I2195)</f>
        <v/>
      </c>
    </row>
    <row r="2196" customFormat="false" ht="15" hidden="false" customHeight="true" outlineLevel="0" collapsed="false">
      <c r="H2196" s="14" t="b">
        <f aca="false">IF(중복검사!$A2194="",FALSE(),중복검사!$J2194="유지")</f>
        <v>0</v>
      </c>
      <c r="I2196" s="5" t="str">
        <f aca="false">IF($H2196=FALSE(),"",COUNTIF($H$6:$H2196,TRUE()))</f>
        <v/>
      </c>
      <c r="J2196" s="5" t="str">
        <f aca="false">IF($I2196="","","R"&amp;$I2196)</f>
        <v/>
      </c>
    </row>
    <row r="2197" customFormat="false" ht="15" hidden="false" customHeight="true" outlineLevel="0" collapsed="false">
      <c r="H2197" s="14" t="b">
        <f aca="false">IF(중복검사!$A2195="",FALSE(),중복검사!$J2195="유지")</f>
        <v>0</v>
      </c>
      <c r="I2197" s="5" t="str">
        <f aca="false">IF($H2197=FALSE(),"",COUNTIF($H$6:$H2197,TRUE()))</f>
        <v/>
      </c>
      <c r="J2197" s="5" t="str">
        <f aca="false">IF($I2197="","","R"&amp;$I2197)</f>
        <v/>
      </c>
    </row>
    <row r="2198" customFormat="false" ht="15" hidden="false" customHeight="true" outlineLevel="0" collapsed="false">
      <c r="H2198" s="14" t="b">
        <f aca="false">IF(중복검사!$A2196="",FALSE(),중복검사!$J2196="유지")</f>
        <v>0</v>
      </c>
      <c r="I2198" s="5" t="str">
        <f aca="false">IF($H2198=FALSE(),"",COUNTIF($H$6:$H2198,TRUE()))</f>
        <v/>
      </c>
      <c r="J2198" s="5" t="str">
        <f aca="false">IF($I2198="","","R"&amp;$I2198)</f>
        <v/>
      </c>
    </row>
    <row r="2199" customFormat="false" ht="15" hidden="false" customHeight="true" outlineLevel="0" collapsed="false">
      <c r="H2199" s="14" t="b">
        <f aca="false">IF(중복검사!$A2197="",FALSE(),중복검사!$J2197="유지")</f>
        <v>0</v>
      </c>
      <c r="I2199" s="5" t="str">
        <f aca="false">IF($H2199=FALSE(),"",COUNTIF($H$6:$H2199,TRUE()))</f>
        <v/>
      </c>
      <c r="J2199" s="5" t="str">
        <f aca="false">IF($I2199="","","R"&amp;$I2199)</f>
        <v/>
      </c>
    </row>
    <row r="2200" customFormat="false" ht="15" hidden="false" customHeight="true" outlineLevel="0" collapsed="false">
      <c r="H2200" s="14" t="b">
        <f aca="false">IF(중복검사!$A2198="",FALSE(),중복검사!$J2198="유지")</f>
        <v>0</v>
      </c>
      <c r="I2200" s="5" t="str">
        <f aca="false">IF($H2200=FALSE(),"",COUNTIF($H$6:$H2200,TRUE()))</f>
        <v/>
      </c>
      <c r="J2200" s="5" t="str">
        <f aca="false">IF($I2200="","","R"&amp;$I2200)</f>
        <v/>
      </c>
    </row>
    <row r="2201" customFormat="false" ht="15" hidden="false" customHeight="true" outlineLevel="0" collapsed="false">
      <c r="H2201" s="14" t="b">
        <f aca="false">IF(중복검사!$A2199="",FALSE(),중복검사!$J2199="유지")</f>
        <v>0</v>
      </c>
      <c r="I2201" s="5" t="str">
        <f aca="false">IF($H2201=FALSE(),"",COUNTIF($H$6:$H2201,TRUE()))</f>
        <v/>
      </c>
      <c r="J2201" s="5" t="str">
        <f aca="false">IF($I2201="","","R"&amp;$I2201)</f>
        <v/>
      </c>
    </row>
    <row r="2202" customFormat="false" ht="15" hidden="false" customHeight="true" outlineLevel="0" collapsed="false">
      <c r="H2202" s="14" t="b">
        <f aca="false">IF(중복검사!$A2200="",FALSE(),중복검사!$J2200="유지")</f>
        <v>0</v>
      </c>
      <c r="I2202" s="5" t="str">
        <f aca="false">IF($H2202=FALSE(),"",COUNTIF($H$6:$H2202,TRUE()))</f>
        <v/>
      </c>
      <c r="J2202" s="5" t="str">
        <f aca="false">IF($I2202="","","R"&amp;$I2202)</f>
        <v/>
      </c>
    </row>
    <row r="2203" customFormat="false" ht="15" hidden="false" customHeight="true" outlineLevel="0" collapsed="false">
      <c r="H2203" s="14" t="b">
        <f aca="false">IF(중복검사!$A2201="",FALSE(),중복검사!$J2201="유지")</f>
        <v>0</v>
      </c>
      <c r="I2203" s="5" t="str">
        <f aca="false">IF($H2203=FALSE(),"",COUNTIF($H$6:$H2203,TRUE()))</f>
        <v/>
      </c>
      <c r="J2203" s="5" t="str">
        <f aca="false">IF($I2203="","","R"&amp;$I2203)</f>
        <v/>
      </c>
    </row>
    <row r="2204" customFormat="false" ht="15" hidden="false" customHeight="true" outlineLevel="0" collapsed="false">
      <c r="H2204" s="14" t="b">
        <f aca="false">IF(중복검사!$A2202="",FALSE(),중복검사!$J2202="유지")</f>
        <v>0</v>
      </c>
      <c r="I2204" s="5" t="str">
        <f aca="false">IF($H2204=FALSE(),"",COUNTIF($H$6:$H2204,TRUE()))</f>
        <v/>
      </c>
      <c r="J2204" s="5" t="str">
        <f aca="false">IF($I2204="","","R"&amp;$I2204)</f>
        <v/>
      </c>
    </row>
    <row r="2205" customFormat="false" ht="15" hidden="false" customHeight="true" outlineLevel="0" collapsed="false">
      <c r="H2205" s="14" t="b">
        <f aca="false">IF(중복검사!$A2203="",FALSE(),중복검사!$J2203="유지")</f>
        <v>0</v>
      </c>
      <c r="I2205" s="5" t="str">
        <f aca="false">IF($H2205=FALSE(),"",COUNTIF($H$6:$H2205,TRUE()))</f>
        <v/>
      </c>
      <c r="J2205" s="5" t="str">
        <f aca="false">IF($I2205="","","R"&amp;$I2205)</f>
        <v/>
      </c>
    </row>
    <row r="2206" customFormat="false" ht="15" hidden="false" customHeight="true" outlineLevel="0" collapsed="false">
      <c r="H2206" s="14" t="b">
        <f aca="false">IF(중복검사!$A2204="",FALSE(),중복검사!$J2204="유지")</f>
        <v>0</v>
      </c>
      <c r="I2206" s="5" t="str">
        <f aca="false">IF($H2206=FALSE(),"",COUNTIF($H$6:$H2206,TRUE()))</f>
        <v/>
      </c>
      <c r="J2206" s="5" t="str">
        <f aca="false">IF($I2206="","","R"&amp;$I2206)</f>
        <v/>
      </c>
    </row>
    <row r="2207" customFormat="false" ht="15" hidden="false" customHeight="true" outlineLevel="0" collapsed="false">
      <c r="H2207" s="14" t="b">
        <f aca="false">IF(중복검사!$A2205="",FALSE(),중복검사!$J2205="유지")</f>
        <v>0</v>
      </c>
      <c r="I2207" s="5" t="str">
        <f aca="false">IF($H2207=FALSE(),"",COUNTIF($H$6:$H2207,TRUE()))</f>
        <v/>
      </c>
      <c r="J2207" s="5" t="str">
        <f aca="false">IF($I2207="","","R"&amp;$I2207)</f>
        <v/>
      </c>
    </row>
    <row r="2208" customFormat="false" ht="15" hidden="false" customHeight="true" outlineLevel="0" collapsed="false">
      <c r="H2208" s="14" t="b">
        <f aca="false">IF(중복검사!$A2206="",FALSE(),중복검사!$J2206="유지")</f>
        <v>0</v>
      </c>
      <c r="I2208" s="5" t="str">
        <f aca="false">IF($H2208=FALSE(),"",COUNTIF($H$6:$H2208,TRUE()))</f>
        <v/>
      </c>
      <c r="J2208" s="5" t="str">
        <f aca="false">IF($I2208="","","R"&amp;$I2208)</f>
        <v/>
      </c>
    </row>
    <row r="2209" customFormat="false" ht="15" hidden="false" customHeight="true" outlineLevel="0" collapsed="false">
      <c r="H2209" s="14" t="b">
        <f aca="false">IF(중복검사!$A2207="",FALSE(),중복검사!$J2207="유지")</f>
        <v>0</v>
      </c>
      <c r="I2209" s="5" t="str">
        <f aca="false">IF($H2209=FALSE(),"",COUNTIF($H$6:$H2209,TRUE()))</f>
        <v/>
      </c>
      <c r="J2209" s="5" t="str">
        <f aca="false">IF($I2209="","","R"&amp;$I2209)</f>
        <v/>
      </c>
    </row>
    <row r="2210" customFormat="false" ht="15" hidden="false" customHeight="true" outlineLevel="0" collapsed="false">
      <c r="H2210" s="14" t="b">
        <f aca="false">IF(중복검사!$A2208="",FALSE(),중복검사!$J2208="유지")</f>
        <v>0</v>
      </c>
      <c r="I2210" s="5" t="str">
        <f aca="false">IF($H2210=FALSE(),"",COUNTIF($H$6:$H2210,TRUE()))</f>
        <v/>
      </c>
      <c r="J2210" s="5" t="str">
        <f aca="false">IF($I2210="","","R"&amp;$I2210)</f>
        <v/>
      </c>
    </row>
    <row r="2211" customFormat="false" ht="15" hidden="false" customHeight="true" outlineLevel="0" collapsed="false">
      <c r="H2211" s="14" t="b">
        <f aca="false">IF(중복검사!$A2209="",FALSE(),중복검사!$J2209="유지")</f>
        <v>0</v>
      </c>
      <c r="I2211" s="5" t="str">
        <f aca="false">IF($H2211=FALSE(),"",COUNTIF($H$6:$H2211,TRUE()))</f>
        <v/>
      </c>
      <c r="J2211" s="5" t="str">
        <f aca="false">IF($I2211="","","R"&amp;$I2211)</f>
        <v/>
      </c>
    </row>
    <row r="2212" customFormat="false" ht="15" hidden="false" customHeight="true" outlineLevel="0" collapsed="false">
      <c r="H2212" s="14" t="b">
        <f aca="false">IF(중복검사!$A2210="",FALSE(),중복검사!$J2210="유지")</f>
        <v>0</v>
      </c>
      <c r="I2212" s="5" t="str">
        <f aca="false">IF($H2212=FALSE(),"",COUNTIF($H$6:$H2212,TRUE()))</f>
        <v/>
      </c>
      <c r="J2212" s="5" t="str">
        <f aca="false">IF($I2212="","","R"&amp;$I2212)</f>
        <v/>
      </c>
    </row>
    <row r="2213" customFormat="false" ht="15" hidden="false" customHeight="true" outlineLevel="0" collapsed="false">
      <c r="H2213" s="14" t="b">
        <f aca="false">IF(중복검사!$A2211="",FALSE(),중복검사!$J2211="유지")</f>
        <v>0</v>
      </c>
      <c r="I2213" s="5" t="str">
        <f aca="false">IF($H2213=FALSE(),"",COUNTIF($H$6:$H2213,TRUE()))</f>
        <v/>
      </c>
      <c r="J2213" s="5" t="str">
        <f aca="false">IF($I2213="","","R"&amp;$I2213)</f>
        <v/>
      </c>
    </row>
    <row r="2214" customFormat="false" ht="15" hidden="false" customHeight="true" outlineLevel="0" collapsed="false">
      <c r="H2214" s="14" t="b">
        <f aca="false">IF(중복검사!$A2212="",FALSE(),중복검사!$J2212="유지")</f>
        <v>0</v>
      </c>
      <c r="I2214" s="5" t="str">
        <f aca="false">IF($H2214=FALSE(),"",COUNTIF($H$6:$H2214,TRUE()))</f>
        <v/>
      </c>
      <c r="J2214" s="5" t="str">
        <f aca="false">IF($I2214="","","R"&amp;$I2214)</f>
        <v/>
      </c>
    </row>
    <row r="2215" customFormat="false" ht="15" hidden="false" customHeight="true" outlineLevel="0" collapsed="false">
      <c r="H2215" s="14" t="b">
        <f aca="false">IF(중복검사!$A2213="",FALSE(),중복검사!$J2213="유지")</f>
        <v>0</v>
      </c>
      <c r="I2215" s="5" t="str">
        <f aca="false">IF($H2215=FALSE(),"",COUNTIF($H$6:$H2215,TRUE()))</f>
        <v/>
      </c>
      <c r="J2215" s="5" t="str">
        <f aca="false">IF($I2215="","","R"&amp;$I2215)</f>
        <v/>
      </c>
    </row>
    <row r="2216" customFormat="false" ht="15" hidden="false" customHeight="true" outlineLevel="0" collapsed="false">
      <c r="H2216" s="14" t="b">
        <f aca="false">IF(중복검사!$A2214="",FALSE(),중복검사!$J2214="유지")</f>
        <v>0</v>
      </c>
      <c r="I2216" s="5" t="str">
        <f aca="false">IF($H2216=FALSE(),"",COUNTIF($H$6:$H2216,TRUE()))</f>
        <v/>
      </c>
      <c r="J2216" s="5" t="str">
        <f aca="false">IF($I2216="","","R"&amp;$I2216)</f>
        <v/>
      </c>
    </row>
    <row r="2217" customFormat="false" ht="15" hidden="false" customHeight="true" outlineLevel="0" collapsed="false">
      <c r="H2217" s="14" t="b">
        <f aca="false">IF(중복검사!$A2215="",FALSE(),중복검사!$J2215="유지")</f>
        <v>0</v>
      </c>
      <c r="I2217" s="5" t="str">
        <f aca="false">IF($H2217=FALSE(),"",COUNTIF($H$6:$H2217,TRUE()))</f>
        <v/>
      </c>
      <c r="J2217" s="5" t="str">
        <f aca="false">IF($I2217="","","R"&amp;$I2217)</f>
        <v/>
      </c>
    </row>
    <row r="2218" customFormat="false" ht="15" hidden="false" customHeight="true" outlineLevel="0" collapsed="false">
      <c r="H2218" s="14" t="b">
        <f aca="false">IF(중복검사!$A2216="",FALSE(),중복검사!$J2216="유지")</f>
        <v>0</v>
      </c>
      <c r="I2218" s="5" t="str">
        <f aca="false">IF($H2218=FALSE(),"",COUNTIF($H$6:$H2218,TRUE()))</f>
        <v/>
      </c>
      <c r="J2218" s="5" t="str">
        <f aca="false">IF($I2218="","","R"&amp;$I2218)</f>
        <v/>
      </c>
    </row>
    <row r="2219" customFormat="false" ht="15" hidden="false" customHeight="true" outlineLevel="0" collapsed="false">
      <c r="H2219" s="14" t="b">
        <f aca="false">IF(중복검사!$A2217="",FALSE(),중복검사!$J2217="유지")</f>
        <v>0</v>
      </c>
      <c r="I2219" s="5" t="str">
        <f aca="false">IF($H2219=FALSE(),"",COUNTIF($H$6:$H2219,TRUE()))</f>
        <v/>
      </c>
      <c r="J2219" s="5" t="str">
        <f aca="false">IF($I2219="","","R"&amp;$I2219)</f>
        <v/>
      </c>
    </row>
    <row r="2220" customFormat="false" ht="15" hidden="false" customHeight="true" outlineLevel="0" collapsed="false">
      <c r="H2220" s="14" t="b">
        <f aca="false">IF(중복검사!$A2218="",FALSE(),중복검사!$J2218="유지")</f>
        <v>0</v>
      </c>
      <c r="I2220" s="5" t="str">
        <f aca="false">IF($H2220=FALSE(),"",COUNTIF($H$6:$H2220,TRUE()))</f>
        <v/>
      </c>
      <c r="J2220" s="5" t="str">
        <f aca="false">IF($I2220="","","R"&amp;$I2220)</f>
        <v/>
      </c>
    </row>
    <row r="2221" customFormat="false" ht="15" hidden="false" customHeight="true" outlineLevel="0" collapsed="false">
      <c r="H2221" s="14" t="b">
        <f aca="false">IF(중복검사!$A2219="",FALSE(),중복검사!$J2219="유지")</f>
        <v>0</v>
      </c>
      <c r="I2221" s="5" t="str">
        <f aca="false">IF($H2221=FALSE(),"",COUNTIF($H$6:$H2221,TRUE()))</f>
        <v/>
      </c>
      <c r="J2221" s="5" t="str">
        <f aca="false">IF($I2221="","","R"&amp;$I2221)</f>
        <v/>
      </c>
    </row>
    <row r="2222" customFormat="false" ht="15" hidden="false" customHeight="true" outlineLevel="0" collapsed="false">
      <c r="H2222" s="14" t="b">
        <f aca="false">IF(중복검사!$A2220="",FALSE(),중복검사!$J2220="유지")</f>
        <v>0</v>
      </c>
      <c r="I2222" s="5" t="str">
        <f aca="false">IF($H2222=FALSE(),"",COUNTIF($H$6:$H2222,TRUE()))</f>
        <v/>
      </c>
      <c r="J2222" s="5" t="str">
        <f aca="false">IF($I2222="","","R"&amp;$I2222)</f>
        <v/>
      </c>
    </row>
    <row r="2223" customFormat="false" ht="15" hidden="false" customHeight="true" outlineLevel="0" collapsed="false">
      <c r="H2223" s="14" t="b">
        <f aca="false">IF(중복검사!$A2221="",FALSE(),중복검사!$J2221="유지")</f>
        <v>0</v>
      </c>
      <c r="I2223" s="5" t="str">
        <f aca="false">IF($H2223=FALSE(),"",COUNTIF($H$6:$H2223,TRUE()))</f>
        <v/>
      </c>
      <c r="J2223" s="5" t="str">
        <f aca="false">IF($I2223="","","R"&amp;$I2223)</f>
        <v/>
      </c>
    </row>
    <row r="2224" customFormat="false" ht="15" hidden="false" customHeight="true" outlineLevel="0" collapsed="false">
      <c r="H2224" s="14" t="b">
        <f aca="false">IF(중복검사!$A2222="",FALSE(),중복검사!$J2222="유지")</f>
        <v>0</v>
      </c>
      <c r="I2224" s="5" t="str">
        <f aca="false">IF($H2224=FALSE(),"",COUNTIF($H$6:$H2224,TRUE()))</f>
        <v/>
      </c>
      <c r="J2224" s="5" t="str">
        <f aca="false">IF($I2224="","","R"&amp;$I2224)</f>
        <v/>
      </c>
    </row>
    <row r="2225" customFormat="false" ht="15" hidden="false" customHeight="true" outlineLevel="0" collapsed="false">
      <c r="H2225" s="14" t="b">
        <f aca="false">IF(중복검사!$A2223="",FALSE(),중복검사!$J2223="유지")</f>
        <v>0</v>
      </c>
      <c r="I2225" s="5" t="str">
        <f aca="false">IF($H2225=FALSE(),"",COUNTIF($H$6:$H2225,TRUE()))</f>
        <v/>
      </c>
      <c r="J2225" s="5" t="str">
        <f aca="false">IF($I2225="","","R"&amp;$I2225)</f>
        <v/>
      </c>
    </row>
    <row r="2226" customFormat="false" ht="15" hidden="false" customHeight="true" outlineLevel="0" collapsed="false">
      <c r="H2226" s="14" t="b">
        <f aca="false">IF(중복검사!$A2224="",FALSE(),중복검사!$J2224="유지")</f>
        <v>0</v>
      </c>
      <c r="I2226" s="5" t="str">
        <f aca="false">IF($H2226=FALSE(),"",COUNTIF($H$6:$H2226,TRUE()))</f>
        <v/>
      </c>
      <c r="J2226" s="5" t="str">
        <f aca="false">IF($I2226="","","R"&amp;$I2226)</f>
        <v/>
      </c>
    </row>
    <row r="2227" customFormat="false" ht="15" hidden="false" customHeight="true" outlineLevel="0" collapsed="false">
      <c r="H2227" s="14" t="b">
        <f aca="false">IF(중복검사!$A2225="",FALSE(),중복검사!$J2225="유지")</f>
        <v>0</v>
      </c>
      <c r="I2227" s="5" t="str">
        <f aca="false">IF($H2227=FALSE(),"",COUNTIF($H$6:$H2227,TRUE()))</f>
        <v/>
      </c>
      <c r="J2227" s="5" t="str">
        <f aca="false">IF($I2227="","","R"&amp;$I2227)</f>
        <v/>
      </c>
    </row>
    <row r="2228" customFormat="false" ht="15" hidden="false" customHeight="true" outlineLevel="0" collapsed="false">
      <c r="H2228" s="14" t="b">
        <f aca="false">IF(중복검사!$A2226="",FALSE(),중복검사!$J2226="유지")</f>
        <v>0</v>
      </c>
      <c r="I2228" s="5" t="str">
        <f aca="false">IF($H2228=FALSE(),"",COUNTIF($H$6:$H2228,TRUE()))</f>
        <v/>
      </c>
      <c r="J2228" s="5" t="str">
        <f aca="false">IF($I2228="","","R"&amp;$I2228)</f>
        <v/>
      </c>
    </row>
    <row r="2229" customFormat="false" ht="15" hidden="false" customHeight="true" outlineLevel="0" collapsed="false">
      <c r="H2229" s="14" t="b">
        <f aca="false">IF(중복검사!$A2227="",FALSE(),중복검사!$J2227="유지")</f>
        <v>0</v>
      </c>
      <c r="I2229" s="5" t="str">
        <f aca="false">IF($H2229=FALSE(),"",COUNTIF($H$6:$H2229,TRUE()))</f>
        <v/>
      </c>
      <c r="J2229" s="5" t="str">
        <f aca="false">IF($I2229="","","R"&amp;$I2229)</f>
        <v/>
      </c>
    </row>
    <row r="2230" customFormat="false" ht="15" hidden="false" customHeight="true" outlineLevel="0" collapsed="false">
      <c r="H2230" s="14" t="b">
        <f aca="false">IF(중복검사!$A2228="",FALSE(),중복검사!$J2228="유지")</f>
        <v>0</v>
      </c>
      <c r="I2230" s="5" t="str">
        <f aca="false">IF($H2230=FALSE(),"",COUNTIF($H$6:$H2230,TRUE()))</f>
        <v/>
      </c>
      <c r="J2230" s="5" t="str">
        <f aca="false">IF($I2230="","","R"&amp;$I2230)</f>
        <v/>
      </c>
    </row>
    <row r="2231" customFormat="false" ht="15" hidden="false" customHeight="true" outlineLevel="0" collapsed="false">
      <c r="H2231" s="14" t="b">
        <f aca="false">IF(중복검사!$A2229="",FALSE(),중복검사!$J2229="유지")</f>
        <v>0</v>
      </c>
      <c r="I2231" s="5" t="str">
        <f aca="false">IF($H2231=FALSE(),"",COUNTIF($H$6:$H2231,TRUE()))</f>
        <v/>
      </c>
      <c r="J2231" s="5" t="str">
        <f aca="false">IF($I2231="","","R"&amp;$I2231)</f>
        <v/>
      </c>
    </row>
    <row r="2232" customFormat="false" ht="15" hidden="false" customHeight="true" outlineLevel="0" collapsed="false">
      <c r="H2232" s="14" t="b">
        <f aca="false">IF(중복검사!$A2230="",FALSE(),중복검사!$J2230="유지")</f>
        <v>0</v>
      </c>
      <c r="I2232" s="5" t="str">
        <f aca="false">IF($H2232=FALSE(),"",COUNTIF($H$6:$H2232,TRUE()))</f>
        <v/>
      </c>
      <c r="J2232" s="5" t="str">
        <f aca="false">IF($I2232="","","R"&amp;$I2232)</f>
        <v/>
      </c>
    </row>
    <row r="2233" customFormat="false" ht="15" hidden="false" customHeight="true" outlineLevel="0" collapsed="false">
      <c r="H2233" s="14" t="b">
        <f aca="false">IF(중복검사!$A2231="",FALSE(),중복검사!$J2231="유지")</f>
        <v>0</v>
      </c>
      <c r="I2233" s="5" t="str">
        <f aca="false">IF($H2233=FALSE(),"",COUNTIF($H$6:$H2233,TRUE()))</f>
        <v/>
      </c>
      <c r="J2233" s="5" t="str">
        <f aca="false">IF($I2233="","","R"&amp;$I2233)</f>
        <v/>
      </c>
    </row>
    <row r="2234" customFormat="false" ht="15" hidden="false" customHeight="true" outlineLevel="0" collapsed="false">
      <c r="H2234" s="14" t="b">
        <f aca="false">IF(중복검사!$A2232="",FALSE(),중복검사!$J2232="유지")</f>
        <v>0</v>
      </c>
      <c r="I2234" s="5" t="str">
        <f aca="false">IF($H2234=FALSE(),"",COUNTIF($H$6:$H2234,TRUE()))</f>
        <v/>
      </c>
      <c r="J2234" s="5" t="str">
        <f aca="false">IF($I2234="","","R"&amp;$I2234)</f>
        <v/>
      </c>
    </row>
    <row r="2235" customFormat="false" ht="15" hidden="false" customHeight="true" outlineLevel="0" collapsed="false">
      <c r="H2235" s="14" t="b">
        <f aca="false">IF(중복검사!$A2233="",FALSE(),중복검사!$J2233="유지")</f>
        <v>0</v>
      </c>
      <c r="I2235" s="5" t="str">
        <f aca="false">IF($H2235=FALSE(),"",COUNTIF($H$6:$H2235,TRUE()))</f>
        <v/>
      </c>
      <c r="J2235" s="5" t="str">
        <f aca="false">IF($I2235="","","R"&amp;$I2235)</f>
        <v/>
      </c>
    </row>
    <row r="2236" customFormat="false" ht="15" hidden="false" customHeight="true" outlineLevel="0" collapsed="false">
      <c r="H2236" s="14" t="b">
        <f aca="false">IF(중복검사!$A2234="",FALSE(),중복검사!$J2234="유지")</f>
        <v>0</v>
      </c>
      <c r="I2236" s="5" t="str">
        <f aca="false">IF($H2236=FALSE(),"",COUNTIF($H$6:$H2236,TRUE()))</f>
        <v/>
      </c>
      <c r="J2236" s="5" t="str">
        <f aca="false">IF($I2236="","","R"&amp;$I2236)</f>
        <v/>
      </c>
    </row>
    <row r="2237" customFormat="false" ht="15" hidden="false" customHeight="true" outlineLevel="0" collapsed="false">
      <c r="H2237" s="14" t="b">
        <f aca="false">IF(중복검사!$A2235="",FALSE(),중복검사!$J2235="유지")</f>
        <v>0</v>
      </c>
      <c r="I2237" s="5" t="str">
        <f aca="false">IF($H2237=FALSE(),"",COUNTIF($H$6:$H2237,TRUE()))</f>
        <v/>
      </c>
      <c r="J2237" s="5" t="str">
        <f aca="false">IF($I2237="","","R"&amp;$I2237)</f>
        <v/>
      </c>
    </row>
    <row r="2238" customFormat="false" ht="15" hidden="false" customHeight="true" outlineLevel="0" collapsed="false">
      <c r="H2238" s="14" t="b">
        <f aca="false">IF(중복검사!$A2236="",FALSE(),중복검사!$J2236="유지")</f>
        <v>0</v>
      </c>
      <c r="I2238" s="5" t="str">
        <f aca="false">IF($H2238=FALSE(),"",COUNTIF($H$6:$H2238,TRUE()))</f>
        <v/>
      </c>
      <c r="J2238" s="5" t="str">
        <f aca="false">IF($I2238="","","R"&amp;$I2238)</f>
        <v/>
      </c>
    </row>
    <row r="2239" customFormat="false" ht="15" hidden="false" customHeight="true" outlineLevel="0" collapsed="false">
      <c r="H2239" s="14" t="b">
        <f aca="false">IF(중복검사!$A2237="",FALSE(),중복검사!$J2237="유지")</f>
        <v>0</v>
      </c>
      <c r="I2239" s="5" t="str">
        <f aca="false">IF($H2239=FALSE(),"",COUNTIF($H$6:$H2239,TRUE()))</f>
        <v/>
      </c>
      <c r="J2239" s="5" t="str">
        <f aca="false">IF($I2239="","","R"&amp;$I2239)</f>
        <v/>
      </c>
    </row>
    <row r="2240" customFormat="false" ht="15" hidden="false" customHeight="true" outlineLevel="0" collapsed="false">
      <c r="H2240" s="14" t="b">
        <f aca="false">IF(중복검사!$A2238="",FALSE(),중복검사!$J2238="유지")</f>
        <v>0</v>
      </c>
      <c r="I2240" s="5" t="str">
        <f aca="false">IF($H2240=FALSE(),"",COUNTIF($H$6:$H2240,TRUE()))</f>
        <v/>
      </c>
      <c r="J2240" s="5" t="str">
        <f aca="false">IF($I2240="","","R"&amp;$I2240)</f>
        <v/>
      </c>
    </row>
    <row r="2241" customFormat="false" ht="15" hidden="false" customHeight="true" outlineLevel="0" collapsed="false">
      <c r="H2241" s="14" t="b">
        <f aca="false">IF(중복검사!$A2239="",FALSE(),중복검사!$J2239="유지")</f>
        <v>0</v>
      </c>
      <c r="I2241" s="5" t="str">
        <f aca="false">IF($H2241=FALSE(),"",COUNTIF($H$6:$H2241,TRUE()))</f>
        <v/>
      </c>
      <c r="J2241" s="5" t="str">
        <f aca="false">IF($I2241="","","R"&amp;$I2241)</f>
        <v/>
      </c>
    </row>
    <row r="2242" customFormat="false" ht="15" hidden="false" customHeight="true" outlineLevel="0" collapsed="false">
      <c r="H2242" s="14" t="b">
        <f aca="false">IF(중복검사!$A2240="",FALSE(),중복검사!$J2240="유지")</f>
        <v>0</v>
      </c>
      <c r="I2242" s="5" t="str">
        <f aca="false">IF($H2242=FALSE(),"",COUNTIF($H$6:$H2242,TRUE()))</f>
        <v/>
      </c>
      <c r="J2242" s="5" t="str">
        <f aca="false">IF($I2242="","","R"&amp;$I2242)</f>
        <v/>
      </c>
    </row>
    <row r="2243" customFormat="false" ht="15" hidden="false" customHeight="true" outlineLevel="0" collapsed="false">
      <c r="H2243" s="14" t="b">
        <f aca="false">IF(중복검사!$A2241="",FALSE(),중복검사!$J2241="유지")</f>
        <v>0</v>
      </c>
      <c r="I2243" s="5" t="str">
        <f aca="false">IF($H2243=FALSE(),"",COUNTIF($H$6:$H2243,TRUE()))</f>
        <v/>
      </c>
      <c r="J2243" s="5" t="str">
        <f aca="false">IF($I2243="","","R"&amp;$I2243)</f>
        <v/>
      </c>
    </row>
    <row r="2244" customFormat="false" ht="15" hidden="false" customHeight="true" outlineLevel="0" collapsed="false">
      <c r="H2244" s="14" t="b">
        <f aca="false">IF(중복검사!$A2242="",FALSE(),중복검사!$J2242="유지")</f>
        <v>0</v>
      </c>
      <c r="I2244" s="5" t="str">
        <f aca="false">IF($H2244=FALSE(),"",COUNTIF($H$6:$H2244,TRUE()))</f>
        <v/>
      </c>
      <c r="J2244" s="5" t="str">
        <f aca="false">IF($I2244="","","R"&amp;$I2244)</f>
        <v/>
      </c>
    </row>
    <row r="2245" customFormat="false" ht="15" hidden="false" customHeight="true" outlineLevel="0" collapsed="false">
      <c r="H2245" s="14" t="b">
        <f aca="false">IF(중복검사!$A2243="",FALSE(),중복검사!$J2243="유지")</f>
        <v>0</v>
      </c>
      <c r="I2245" s="5" t="str">
        <f aca="false">IF($H2245=FALSE(),"",COUNTIF($H$6:$H2245,TRUE()))</f>
        <v/>
      </c>
      <c r="J2245" s="5" t="str">
        <f aca="false">IF($I2245="","","R"&amp;$I2245)</f>
        <v/>
      </c>
    </row>
    <row r="2246" customFormat="false" ht="15" hidden="false" customHeight="true" outlineLevel="0" collapsed="false">
      <c r="H2246" s="14" t="b">
        <f aca="false">IF(중복검사!$A2244="",FALSE(),중복검사!$J2244="유지")</f>
        <v>0</v>
      </c>
      <c r="I2246" s="5" t="str">
        <f aca="false">IF($H2246=FALSE(),"",COUNTIF($H$6:$H2246,TRUE()))</f>
        <v/>
      </c>
      <c r="J2246" s="5" t="str">
        <f aca="false">IF($I2246="","","R"&amp;$I2246)</f>
        <v/>
      </c>
    </row>
    <row r="2247" customFormat="false" ht="15" hidden="false" customHeight="true" outlineLevel="0" collapsed="false">
      <c r="H2247" s="14" t="b">
        <f aca="false">IF(중복검사!$A2245="",FALSE(),중복검사!$J2245="유지")</f>
        <v>0</v>
      </c>
      <c r="I2247" s="5" t="str">
        <f aca="false">IF($H2247=FALSE(),"",COUNTIF($H$6:$H2247,TRUE()))</f>
        <v/>
      </c>
      <c r="J2247" s="5" t="str">
        <f aca="false">IF($I2247="","","R"&amp;$I2247)</f>
        <v/>
      </c>
    </row>
    <row r="2248" customFormat="false" ht="15" hidden="false" customHeight="true" outlineLevel="0" collapsed="false">
      <c r="H2248" s="14" t="b">
        <f aca="false">IF(중복검사!$A2246="",FALSE(),중복검사!$J2246="유지")</f>
        <v>0</v>
      </c>
      <c r="I2248" s="5" t="str">
        <f aca="false">IF($H2248=FALSE(),"",COUNTIF($H$6:$H2248,TRUE()))</f>
        <v/>
      </c>
      <c r="J2248" s="5" t="str">
        <f aca="false">IF($I2248="","","R"&amp;$I2248)</f>
        <v/>
      </c>
    </row>
    <row r="2249" customFormat="false" ht="15" hidden="false" customHeight="true" outlineLevel="0" collapsed="false">
      <c r="H2249" s="14" t="b">
        <f aca="false">IF(중복검사!$A2247="",FALSE(),중복검사!$J2247="유지")</f>
        <v>0</v>
      </c>
      <c r="I2249" s="5" t="str">
        <f aca="false">IF($H2249=FALSE(),"",COUNTIF($H$6:$H2249,TRUE()))</f>
        <v/>
      </c>
      <c r="J2249" s="5" t="str">
        <f aca="false">IF($I2249="","","R"&amp;$I2249)</f>
        <v/>
      </c>
    </row>
    <row r="2250" customFormat="false" ht="15" hidden="false" customHeight="true" outlineLevel="0" collapsed="false">
      <c r="H2250" s="14" t="b">
        <f aca="false">IF(중복검사!$A2248="",FALSE(),중복검사!$J2248="유지")</f>
        <v>0</v>
      </c>
      <c r="I2250" s="5" t="str">
        <f aca="false">IF($H2250=FALSE(),"",COUNTIF($H$6:$H2250,TRUE()))</f>
        <v/>
      </c>
      <c r="J2250" s="5" t="str">
        <f aca="false">IF($I2250="","","R"&amp;$I2250)</f>
        <v/>
      </c>
    </row>
    <row r="2251" customFormat="false" ht="15" hidden="false" customHeight="true" outlineLevel="0" collapsed="false">
      <c r="H2251" s="14" t="b">
        <f aca="false">IF(중복검사!$A2249="",FALSE(),중복검사!$J2249="유지")</f>
        <v>0</v>
      </c>
      <c r="I2251" s="5" t="str">
        <f aca="false">IF($H2251=FALSE(),"",COUNTIF($H$6:$H2251,TRUE()))</f>
        <v/>
      </c>
      <c r="J2251" s="5" t="str">
        <f aca="false">IF($I2251="","","R"&amp;$I2251)</f>
        <v/>
      </c>
    </row>
    <row r="2252" customFormat="false" ht="15" hidden="false" customHeight="true" outlineLevel="0" collapsed="false">
      <c r="H2252" s="14" t="b">
        <f aca="false">IF(중복검사!$A2250="",FALSE(),중복검사!$J2250="유지")</f>
        <v>0</v>
      </c>
      <c r="I2252" s="5" t="str">
        <f aca="false">IF($H2252=FALSE(),"",COUNTIF($H$6:$H2252,TRUE()))</f>
        <v/>
      </c>
      <c r="J2252" s="5" t="str">
        <f aca="false">IF($I2252="","","R"&amp;$I2252)</f>
        <v/>
      </c>
    </row>
    <row r="2253" customFormat="false" ht="15" hidden="false" customHeight="true" outlineLevel="0" collapsed="false">
      <c r="H2253" s="14" t="b">
        <f aca="false">IF(중복검사!$A2251="",FALSE(),중복검사!$J2251="유지")</f>
        <v>0</v>
      </c>
      <c r="I2253" s="5" t="str">
        <f aca="false">IF($H2253=FALSE(),"",COUNTIF($H$6:$H2253,TRUE()))</f>
        <v/>
      </c>
      <c r="J2253" s="5" t="str">
        <f aca="false">IF($I2253="","","R"&amp;$I2253)</f>
        <v/>
      </c>
    </row>
    <row r="2254" customFormat="false" ht="15" hidden="false" customHeight="true" outlineLevel="0" collapsed="false">
      <c r="H2254" s="14" t="b">
        <f aca="false">IF(중복검사!$A2252="",FALSE(),중복검사!$J2252="유지")</f>
        <v>0</v>
      </c>
      <c r="I2254" s="5" t="str">
        <f aca="false">IF($H2254=FALSE(),"",COUNTIF($H$6:$H2254,TRUE()))</f>
        <v/>
      </c>
      <c r="J2254" s="5" t="str">
        <f aca="false">IF($I2254="","","R"&amp;$I2254)</f>
        <v/>
      </c>
    </row>
    <row r="2255" customFormat="false" ht="15" hidden="false" customHeight="true" outlineLevel="0" collapsed="false">
      <c r="H2255" s="14" t="b">
        <f aca="false">IF(중복검사!$A2253="",FALSE(),중복검사!$J2253="유지")</f>
        <v>0</v>
      </c>
      <c r="I2255" s="5" t="str">
        <f aca="false">IF($H2255=FALSE(),"",COUNTIF($H$6:$H2255,TRUE()))</f>
        <v/>
      </c>
      <c r="J2255" s="5" t="str">
        <f aca="false">IF($I2255="","","R"&amp;$I2255)</f>
        <v/>
      </c>
    </row>
    <row r="2256" customFormat="false" ht="15" hidden="false" customHeight="true" outlineLevel="0" collapsed="false">
      <c r="H2256" s="14" t="b">
        <f aca="false">IF(중복검사!$A2254="",FALSE(),중복검사!$J2254="유지")</f>
        <v>0</v>
      </c>
      <c r="I2256" s="5" t="str">
        <f aca="false">IF($H2256=FALSE(),"",COUNTIF($H$6:$H2256,TRUE()))</f>
        <v/>
      </c>
      <c r="J2256" s="5" t="str">
        <f aca="false">IF($I2256="","","R"&amp;$I2256)</f>
        <v/>
      </c>
    </row>
    <row r="2257" customFormat="false" ht="15" hidden="false" customHeight="true" outlineLevel="0" collapsed="false">
      <c r="H2257" s="14" t="b">
        <f aca="false">IF(중복검사!$A2255="",FALSE(),중복검사!$J2255="유지")</f>
        <v>0</v>
      </c>
      <c r="I2257" s="5" t="str">
        <f aca="false">IF($H2257=FALSE(),"",COUNTIF($H$6:$H2257,TRUE()))</f>
        <v/>
      </c>
      <c r="J2257" s="5" t="str">
        <f aca="false">IF($I2257="","","R"&amp;$I2257)</f>
        <v/>
      </c>
    </row>
    <row r="2258" customFormat="false" ht="15" hidden="false" customHeight="true" outlineLevel="0" collapsed="false">
      <c r="H2258" s="14" t="b">
        <f aca="false">IF(중복검사!$A2256="",FALSE(),중복검사!$J2256="유지")</f>
        <v>0</v>
      </c>
      <c r="I2258" s="5" t="str">
        <f aca="false">IF($H2258=FALSE(),"",COUNTIF($H$6:$H2258,TRUE()))</f>
        <v/>
      </c>
      <c r="J2258" s="5" t="str">
        <f aca="false">IF($I2258="","","R"&amp;$I2258)</f>
        <v/>
      </c>
    </row>
    <row r="2259" customFormat="false" ht="15" hidden="false" customHeight="true" outlineLevel="0" collapsed="false">
      <c r="H2259" s="14" t="b">
        <f aca="false">IF(중복검사!$A2257="",FALSE(),중복검사!$J2257="유지")</f>
        <v>0</v>
      </c>
      <c r="I2259" s="5" t="str">
        <f aca="false">IF($H2259=FALSE(),"",COUNTIF($H$6:$H2259,TRUE()))</f>
        <v/>
      </c>
      <c r="J2259" s="5" t="str">
        <f aca="false">IF($I2259="","","R"&amp;$I2259)</f>
        <v/>
      </c>
    </row>
    <row r="2260" customFormat="false" ht="15" hidden="false" customHeight="true" outlineLevel="0" collapsed="false">
      <c r="H2260" s="14" t="b">
        <f aca="false">IF(중복검사!$A2258="",FALSE(),중복검사!$J2258="유지")</f>
        <v>0</v>
      </c>
      <c r="I2260" s="5" t="str">
        <f aca="false">IF($H2260=FALSE(),"",COUNTIF($H$6:$H2260,TRUE()))</f>
        <v/>
      </c>
      <c r="J2260" s="5" t="str">
        <f aca="false">IF($I2260="","","R"&amp;$I2260)</f>
        <v/>
      </c>
    </row>
    <row r="2261" customFormat="false" ht="15" hidden="false" customHeight="true" outlineLevel="0" collapsed="false">
      <c r="H2261" s="14" t="b">
        <f aca="false">IF(중복검사!$A2259="",FALSE(),중복검사!$J2259="유지")</f>
        <v>0</v>
      </c>
      <c r="I2261" s="5" t="str">
        <f aca="false">IF($H2261=FALSE(),"",COUNTIF($H$6:$H2261,TRUE()))</f>
        <v/>
      </c>
      <c r="J2261" s="5" t="str">
        <f aca="false">IF($I2261="","","R"&amp;$I2261)</f>
        <v/>
      </c>
    </row>
    <row r="2262" customFormat="false" ht="15" hidden="false" customHeight="true" outlineLevel="0" collapsed="false">
      <c r="H2262" s="14" t="b">
        <f aca="false">IF(중복검사!$A2260="",FALSE(),중복검사!$J2260="유지")</f>
        <v>0</v>
      </c>
      <c r="I2262" s="5" t="str">
        <f aca="false">IF($H2262=FALSE(),"",COUNTIF($H$6:$H2262,TRUE()))</f>
        <v/>
      </c>
      <c r="J2262" s="5" t="str">
        <f aca="false">IF($I2262="","","R"&amp;$I2262)</f>
        <v/>
      </c>
    </row>
    <row r="2263" customFormat="false" ht="15" hidden="false" customHeight="true" outlineLevel="0" collapsed="false">
      <c r="H2263" s="14" t="b">
        <f aca="false">IF(중복검사!$A2261="",FALSE(),중복검사!$J2261="유지")</f>
        <v>0</v>
      </c>
      <c r="I2263" s="5" t="str">
        <f aca="false">IF($H2263=FALSE(),"",COUNTIF($H$6:$H2263,TRUE()))</f>
        <v/>
      </c>
      <c r="J2263" s="5" t="str">
        <f aca="false">IF($I2263="","","R"&amp;$I2263)</f>
        <v/>
      </c>
    </row>
    <row r="2264" customFormat="false" ht="15" hidden="false" customHeight="true" outlineLevel="0" collapsed="false">
      <c r="H2264" s="14" t="b">
        <f aca="false">IF(중복검사!$A2262="",FALSE(),중복검사!$J2262="유지")</f>
        <v>0</v>
      </c>
      <c r="I2264" s="5" t="str">
        <f aca="false">IF($H2264=FALSE(),"",COUNTIF($H$6:$H2264,TRUE()))</f>
        <v/>
      </c>
      <c r="J2264" s="5" t="str">
        <f aca="false">IF($I2264="","","R"&amp;$I2264)</f>
        <v/>
      </c>
    </row>
    <row r="2265" customFormat="false" ht="15" hidden="false" customHeight="true" outlineLevel="0" collapsed="false">
      <c r="H2265" s="14" t="b">
        <f aca="false">IF(중복검사!$A2263="",FALSE(),중복검사!$J2263="유지")</f>
        <v>0</v>
      </c>
      <c r="I2265" s="5" t="str">
        <f aca="false">IF($H2265=FALSE(),"",COUNTIF($H$6:$H2265,TRUE()))</f>
        <v/>
      </c>
      <c r="J2265" s="5" t="str">
        <f aca="false">IF($I2265="","","R"&amp;$I2265)</f>
        <v/>
      </c>
    </row>
    <row r="2266" customFormat="false" ht="15" hidden="false" customHeight="true" outlineLevel="0" collapsed="false">
      <c r="H2266" s="14" t="b">
        <f aca="false">IF(중복검사!$A2264="",FALSE(),중복검사!$J2264="유지")</f>
        <v>0</v>
      </c>
      <c r="I2266" s="5" t="str">
        <f aca="false">IF($H2266=FALSE(),"",COUNTIF($H$6:$H2266,TRUE()))</f>
        <v/>
      </c>
      <c r="J2266" s="5" t="str">
        <f aca="false">IF($I2266="","","R"&amp;$I2266)</f>
        <v/>
      </c>
    </row>
    <row r="2267" customFormat="false" ht="15" hidden="false" customHeight="true" outlineLevel="0" collapsed="false">
      <c r="H2267" s="14" t="b">
        <f aca="false">IF(중복검사!$A2265="",FALSE(),중복검사!$J2265="유지")</f>
        <v>0</v>
      </c>
      <c r="I2267" s="5" t="str">
        <f aca="false">IF($H2267=FALSE(),"",COUNTIF($H$6:$H2267,TRUE()))</f>
        <v/>
      </c>
      <c r="J2267" s="5" t="str">
        <f aca="false">IF($I2267="","","R"&amp;$I2267)</f>
        <v/>
      </c>
    </row>
    <row r="2268" customFormat="false" ht="15" hidden="false" customHeight="true" outlineLevel="0" collapsed="false">
      <c r="H2268" s="14" t="b">
        <f aca="false">IF(중복검사!$A2266="",FALSE(),중복검사!$J2266="유지")</f>
        <v>0</v>
      </c>
      <c r="I2268" s="5" t="str">
        <f aca="false">IF($H2268=FALSE(),"",COUNTIF($H$6:$H2268,TRUE()))</f>
        <v/>
      </c>
      <c r="J2268" s="5" t="str">
        <f aca="false">IF($I2268="","","R"&amp;$I2268)</f>
        <v/>
      </c>
    </row>
    <row r="2269" customFormat="false" ht="15" hidden="false" customHeight="true" outlineLevel="0" collapsed="false">
      <c r="H2269" s="14" t="b">
        <f aca="false">IF(중복검사!$A2267="",FALSE(),중복검사!$J2267="유지")</f>
        <v>0</v>
      </c>
      <c r="I2269" s="5" t="str">
        <f aca="false">IF($H2269=FALSE(),"",COUNTIF($H$6:$H2269,TRUE()))</f>
        <v/>
      </c>
      <c r="J2269" s="5" t="str">
        <f aca="false">IF($I2269="","","R"&amp;$I2269)</f>
        <v/>
      </c>
    </row>
    <row r="2270" customFormat="false" ht="15" hidden="false" customHeight="true" outlineLevel="0" collapsed="false">
      <c r="H2270" s="14" t="b">
        <f aca="false">IF(중복검사!$A2268="",FALSE(),중복검사!$J2268="유지")</f>
        <v>0</v>
      </c>
      <c r="I2270" s="5" t="str">
        <f aca="false">IF($H2270=FALSE(),"",COUNTIF($H$6:$H2270,TRUE()))</f>
        <v/>
      </c>
      <c r="J2270" s="5" t="str">
        <f aca="false">IF($I2270="","","R"&amp;$I2270)</f>
        <v/>
      </c>
    </row>
    <row r="2271" customFormat="false" ht="15" hidden="false" customHeight="true" outlineLevel="0" collapsed="false">
      <c r="H2271" s="14" t="b">
        <f aca="false">IF(중복검사!$A2269="",FALSE(),중복검사!$J2269="유지")</f>
        <v>0</v>
      </c>
      <c r="I2271" s="5" t="str">
        <f aca="false">IF($H2271=FALSE(),"",COUNTIF($H$6:$H2271,TRUE()))</f>
        <v/>
      </c>
      <c r="J2271" s="5" t="str">
        <f aca="false">IF($I2271="","","R"&amp;$I2271)</f>
        <v/>
      </c>
    </row>
    <row r="2272" customFormat="false" ht="15" hidden="false" customHeight="true" outlineLevel="0" collapsed="false">
      <c r="H2272" s="14" t="b">
        <f aca="false">IF(중복검사!$A2270="",FALSE(),중복검사!$J2270="유지")</f>
        <v>0</v>
      </c>
      <c r="I2272" s="5" t="str">
        <f aca="false">IF($H2272=FALSE(),"",COUNTIF($H$6:$H2272,TRUE()))</f>
        <v/>
      </c>
      <c r="J2272" s="5" t="str">
        <f aca="false">IF($I2272="","","R"&amp;$I2272)</f>
        <v/>
      </c>
    </row>
    <row r="2273" customFormat="false" ht="15" hidden="false" customHeight="true" outlineLevel="0" collapsed="false">
      <c r="H2273" s="14" t="b">
        <f aca="false">IF(중복검사!$A2271="",FALSE(),중복검사!$J2271="유지")</f>
        <v>0</v>
      </c>
      <c r="I2273" s="5" t="str">
        <f aca="false">IF($H2273=FALSE(),"",COUNTIF($H$6:$H2273,TRUE()))</f>
        <v/>
      </c>
      <c r="J2273" s="5" t="str">
        <f aca="false">IF($I2273="","","R"&amp;$I2273)</f>
        <v/>
      </c>
    </row>
    <row r="2274" customFormat="false" ht="15" hidden="false" customHeight="true" outlineLevel="0" collapsed="false">
      <c r="H2274" s="14" t="b">
        <f aca="false">IF(중복검사!$A2272="",FALSE(),중복검사!$J2272="유지")</f>
        <v>0</v>
      </c>
      <c r="I2274" s="5" t="str">
        <f aca="false">IF($H2274=FALSE(),"",COUNTIF($H$6:$H2274,TRUE()))</f>
        <v/>
      </c>
      <c r="J2274" s="5" t="str">
        <f aca="false">IF($I2274="","","R"&amp;$I2274)</f>
        <v/>
      </c>
    </row>
    <row r="2275" customFormat="false" ht="15" hidden="false" customHeight="true" outlineLevel="0" collapsed="false">
      <c r="H2275" s="14" t="b">
        <f aca="false">IF(중복검사!$A2273="",FALSE(),중복검사!$J2273="유지")</f>
        <v>0</v>
      </c>
      <c r="I2275" s="5" t="str">
        <f aca="false">IF($H2275=FALSE(),"",COUNTIF($H$6:$H2275,TRUE()))</f>
        <v/>
      </c>
      <c r="J2275" s="5" t="str">
        <f aca="false">IF($I2275="","","R"&amp;$I2275)</f>
        <v/>
      </c>
    </row>
    <row r="2276" customFormat="false" ht="15" hidden="false" customHeight="true" outlineLevel="0" collapsed="false">
      <c r="H2276" s="14" t="b">
        <f aca="false">IF(중복검사!$A2274="",FALSE(),중복검사!$J2274="유지")</f>
        <v>0</v>
      </c>
      <c r="I2276" s="5" t="str">
        <f aca="false">IF($H2276=FALSE(),"",COUNTIF($H$6:$H2276,TRUE()))</f>
        <v/>
      </c>
      <c r="J2276" s="5" t="str">
        <f aca="false">IF($I2276="","","R"&amp;$I2276)</f>
        <v/>
      </c>
    </row>
    <row r="2277" customFormat="false" ht="15" hidden="false" customHeight="true" outlineLevel="0" collapsed="false">
      <c r="H2277" s="14" t="b">
        <f aca="false">IF(중복검사!$A2275="",FALSE(),중복검사!$J2275="유지")</f>
        <v>0</v>
      </c>
      <c r="I2277" s="5" t="str">
        <f aca="false">IF($H2277=FALSE(),"",COUNTIF($H$6:$H2277,TRUE()))</f>
        <v/>
      </c>
      <c r="J2277" s="5" t="str">
        <f aca="false">IF($I2277="","","R"&amp;$I2277)</f>
        <v/>
      </c>
    </row>
    <row r="2278" customFormat="false" ht="15" hidden="false" customHeight="true" outlineLevel="0" collapsed="false">
      <c r="H2278" s="14" t="b">
        <f aca="false">IF(중복검사!$A2276="",FALSE(),중복검사!$J2276="유지")</f>
        <v>0</v>
      </c>
      <c r="I2278" s="5" t="str">
        <f aca="false">IF($H2278=FALSE(),"",COUNTIF($H$6:$H2278,TRUE()))</f>
        <v/>
      </c>
      <c r="J2278" s="5" t="str">
        <f aca="false">IF($I2278="","","R"&amp;$I2278)</f>
        <v/>
      </c>
    </row>
    <row r="2279" customFormat="false" ht="15" hidden="false" customHeight="true" outlineLevel="0" collapsed="false">
      <c r="H2279" s="14" t="b">
        <f aca="false">IF(중복검사!$A2277="",FALSE(),중복검사!$J2277="유지")</f>
        <v>0</v>
      </c>
      <c r="I2279" s="5" t="str">
        <f aca="false">IF($H2279=FALSE(),"",COUNTIF($H$6:$H2279,TRUE()))</f>
        <v/>
      </c>
      <c r="J2279" s="5" t="str">
        <f aca="false">IF($I2279="","","R"&amp;$I2279)</f>
        <v/>
      </c>
    </row>
    <row r="2280" customFormat="false" ht="15" hidden="false" customHeight="true" outlineLevel="0" collapsed="false">
      <c r="H2280" s="14" t="b">
        <f aca="false">IF(중복검사!$A2278="",FALSE(),중복검사!$J2278="유지")</f>
        <v>0</v>
      </c>
      <c r="I2280" s="5" t="str">
        <f aca="false">IF($H2280=FALSE(),"",COUNTIF($H$6:$H2280,TRUE()))</f>
        <v/>
      </c>
      <c r="J2280" s="5" t="str">
        <f aca="false">IF($I2280="","","R"&amp;$I2280)</f>
        <v/>
      </c>
    </row>
    <row r="2281" customFormat="false" ht="15" hidden="false" customHeight="true" outlineLevel="0" collapsed="false">
      <c r="H2281" s="14" t="b">
        <f aca="false">IF(중복검사!$A2279="",FALSE(),중복검사!$J2279="유지")</f>
        <v>0</v>
      </c>
      <c r="I2281" s="5" t="str">
        <f aca="false">IF($H2281=FALSE(),"",COUNTIF($H$6:$H2281,TRUE()))</f>
        <v/>
      </c>
      <c r="J2281" s="5" t="str">
        <f aca="false">IF($I2281="","","R"&amp;$I2281)</f>
        <v/>
      </c>
    </row>
    <row r="2282" customFormat="false" ht="15" hidden="false" customHeight="true" outlineLevel="0" collapsed="false">
      <c r="H2282" s="14" t="b">
        <f aca="false">IF(중복검사!$A2280="",FALSE(),중복검사!$J2280="유지")</f>
        <v>0</v>
      </c>
      <c r="I2282" s="5" t="str">
        <f aca="false">IF($H2282=FALSE(),"",COUNTIF($H$6:$H2282,TRUE()))</f>
        <v/>
      </c>
      <c r="J2282" s="5" t="str">
        <f aca="false">IF($I2282="","","R"&amp;$I2282)</f>
        <v/>
      </c>
    </row>
    <row r="2283" customFormat="false" ht="15" hidden="false" customHeight="true" outlineLevel="0" collapsed="false">
      <c r="H2283" s="14" t="b">
        <f aca="false">IF(중복검사!$A2281="",FALSE(),중복검사!$J2281="유지")</f>
        <v>0</v>
      </c>
      <c r="I2283" s="5" t="str">
        <f aca="false">IF($H2283=FALSE(),"",COUNTIF($H$6:$H2283,TRUE()))</f>
        <v/>
      </c>
      <c r="J2283" s="5" t="str">
        <f aca="false">IF($I2283="","","R"&amp;$I2283)</f>
        <v/>
      </c>
    </row>
    <row r="2284" customFormat="false" ht="15" hidden="false" customHeight="true" outlineLevel="0" collapsed="false">
      <c r="H2284" s="14" t="b">
        <f aca="false">IF(중복검사!$A2282="",FALSE(),중복검사!$J2282="유지")</f>
        <v>0</v>
      </c>
      <c r="I2284" s="5" t="str">
        <f aca="false">IF($H2284=FALSE(),"",COUNTIF($H$6:$H2284,TRUE()))</f>
        <v/>
      </c>
      <c r="J2284" s="5" t="str">
        <f aca="false">IF($I2284="","","R"&amp;$I2284)</f>
        <v/>
      </c>
    </row>
    <row r="2285" customFormat="false" ht="15" hidden="false" customHeight="true" outlineLevel="0" collapsed="false">
      <c r="H2285" s="14" t="b">
        <f aca="false">IF(중복검사!$A2283="",FALSE(),중복검사!$J2283="유지")</f>
        <v>0</v>
      </c>
      <c r="I2285" s="5" t="str">
        <f aca="false">IF($H2285=FALSE(),"",COUNTIF($H$6:$H2285,TRUE()))</f>
        <v/>
      </c>
      <c r="J2285" s="5" t="str">
        <f aca="false">IF($I2285="","","R"&amp;$I2285)</f>
        <v/>
      </c>
    </row>
    <row r="2286" customFormat="false" ht="15" hidden="false" customHeight="true" outlineLevel="0" collapsed="false">
      <c r="H2286" s="14" t="b">
        <f aca="false">IF(중복검사!$A2284="",FALSE(),중복검사!$J2284="유지")</f>
        <v>0</v>
      </c>
      <c r="I2286" s="5" t="str">
        <f aca="false">IF($H2286=FALSE(),"",COUNTIF($H$6:$H2286,TRUE()))</f>
        <v/>
      </c>
      <c r="J2286" s="5" t="str">
        <f aca="false">IF($I2286="","","R"&amp;$I2286)</f>
        <v/>
      </c>
    </row>
    <row r="2287" customFormat="false" ht="15" hidden="false" customHeight="true" outlineLevel="0" collapsed="false">
      <c r="H2287" s="14" t="b">
        <f aca="false">IF(중복검사!$A2285="",FALSE(),중복검사!$J2285="유지")</f>
        <v>0</v>
      </c>
      <c r="I2287" s="5" t="str">
        <f aca="false">IF($H2287=FALSE(),"",COUNTIF($H$6:$H2287,TRUE()))</f>
        <v/>
      </c>
      <c r="J2287" s="5" t="str">
        <f aca="false">IF($I2287="","","R"&amp;$I2287)</f>
        <v/>
      </c>
    </row>
    <row r="2288" customFormat="false" ht="15" hidden="false" customHeight="true" outlineLevel="0" collapsed="false">
      <c r="H2288" s="14" t="b">
        <f aca="false">IF(중복검사!$A2286="",FALSE(),중복검사!$J2286="유지")</f>
        <v>0</v>
      </c>
      <c r="I2288" s="5" t="str">
        <f aca="false">IF($H2288=FALSE(),"",COUNTIF($H$6:$H2288,TRUE()))</f>
        <v/>
      </c>
      <c r="J2288" s="5" t="str">
        <f aca="false">IF($I2288="","","R"&amp;$I2288)</f>
        <v/>
      </c>
    </row>
    <row r="2289" customFormat="false" ht="15" hidden="false" customHeight="true" outlineLevel="0" collapsed="false">
      <c r="H2289" s="14" t="b">
        <f aca="false">IF(중복검사!$A2287="",FALSE(),중복검사!$J2287="유지")</f>
        <v>0</v>
      </c>
      <c r="I2289" s="5" t="str">
        <f aca="false">IF($H2289=FALSE(),"",COUNTIF($H$6:$H2289,TRUE()))</f>
        <v/>
      </c>
      <c r="J2289" s="5" t="str">
        <f aca="false">IF($I2289="","","R"&amp;$I2289)</f>
        <v/>
      </c>
    </row>
    <row r="2290" customFormat="false" ht="15" hidden="false" customHeight="true" outlineLevel="0" collapsed="false">
      <c r="H2290" s="14" t="b">
        <f aca="false">IF(중복검사!$A2288="",FALSE(),중복검사!$J2288="유지")</f>
        <v>0</v>
      </c>
      <c r="I2290" s="5" t="str">
        <f aca="false">IF($H2290=FALSE(),"",COUNTIF($H$6:$H2290,TRUE()))</f>
        <v/>
      </c>
      <c r="J2290" s="5" t="str">
        <f aca="false">IF($I2290="","","R"&amp;$I2290)</f>
        <v/>
      </c>
    </row>
    <row r="2291" customFormat="false" ht="15" hidden="false" customHeight="true" outlineLevel="0" collapsed="false">
      <c r="H2291" s="14" t="b">
        <f aca="false">IF(중복검사!$A2289="",FALSE(),중복검사!$J2289="유지")</f>
        <v>0</v>
      </c>
      <c r="I2291" s="5" t="str">
        <f aca="false">IF($H2291=FALSE(),"",COUNTIF($H$6:$H2291,TRUE()))</f>
        <v/>
      </c>
      <c r="J2291" s="5" t="str">
        <f aca="false">IF($I2291="","","R"&amp;$I2291)</f>
        <v/>
      </c>
    </row>
    <row r="2292" customFormat="false" ht="15" hidden="false" customHeight="true" outlineLevel="0" collapsed="false">
      <c r="H2292" s="14" t="b">
        <f aca="false">IF(중복검사!$A2290="",FALSE(),중복검사!$J2290="유지")</f>
        <v>0</v>
      </c>
      <c r="I2292" s="5" t="str">
        <f aca="false">IF($H2292=FALSE(),"",COUNTIF($H$6:$H2292,TRUE()))</f>
        <v/>
      </c>
      <c r="J2292" s="5" t="str">
        <f aca="false">IF($I2292="","","R"&amp;$I2292)</f>
        <v/>
      </c>
    </row>
    <row r="2293" customFormat="false" ht="15" hidden="false" customHeight="true" outlineLevel="0" collapsed="false">
      <c r="H2293" s="14" t="b">
        <f aca="false">IF(중복검사!$A2291="",FALSE(),중복검사!$J2291="유지")</f>
        <v>0</v>
      </c>
      <c r="I2293" s="5" t="str">
        <f aca="false">IF($H2293=FALSE(),"",COUNTIF($H$6:$H2293,TRUE()))</f>
        <v/>
      </c>
      <c r="J2293" s="5" t="str">
        <f aca="false">IF($I2293="","","R"&amp;$I2293)</f>
        <v/>
      </c>
    </row>
    <row r="2294" customFormat="false" ht="15" hidden="false" customHeight="true" outlineLevel="0" collapsed="false">
      <c r="H2294" s="14" t="b">
        <f aca="false">IF(중복검사!$A2292="",FALSE(),중복검사!$J2292="유지")</f>
        <v>0</v>
      </c>
      <c r="I2294" s="5" t="str">
        <f aca="false">IF($H2294=FALSE(),"",COUNTIF($H$6:$H2294,TRUE()))</f>
        <v/>
      </c>
      <c r="J2294" s="5" t="str">
        <f aca="false">IF($I2294="","","R"&amp;$I2294)</f>
        <v/>
      </c>
    </row>
    <row r="2295" customFormat="false" ht="15" hidden="false" customHeight="true" outlineLevel="0" collapsed="false">
      <c r="H2295" s="14" t="b">
        <f aca="false">IF(중복검사!$A2293="",FALSE(),중복검사!$J2293="유지")</f>
        <v>0</v>
      </c>
      <c r="I2295" s="5" t="str">
        <f aca="false">IF($H2295=FALSE(),"",COUNTIF($H$6:$H2295,TRUE()))</f>
        <v/>
      </c>
      <c r="J2295" s="5" t="str">
        <f aca="false">IF($I2295="","","R"&amp;$I2295)</f>
        <v/>
      </c>
    </row>
    <row r="2296" customFormat="false" ht="15" hidden="false" customHeight="true" outlineLevel="0" collapsed="false">
      <c r="H2296" s="14" t="b">
        <f aca="false">IF(중복검사!$A2294="",FALSE(),중복검사!$J2294="유지")</f>
        <v>0</v>
      </c>
      <c r="I2296" s="5" t="str">
        <f aca="false">IF($H2296=FALSE(),"",COUNTIF($H$6:$H2296,TRUE()))</f>
        <v/>
      </c>
      <c r="J2296" s="5" t="str">
        <f aca="false">IF($I2296="","","R"&amp;$I2296)</f>
        <v/>
      </c>
    </row>
    <row r="2297" customFormat="false" ht="15" hidden="false" customHeight="true" outlineLevel="0" collapsed="false">
      <c r="H2297" s="14" t="b">
        <f aca="false">IF(중복검사!$A2295="",FALSE(),중복검사!$J2295="유지")</f>
        <v>0</v>
      </c>
      <c r="I2297" s="5" t="str">
        <f aca="false">IF($H2297=FALSE(),"",COUNTIF($H$6:$H2297,TRUE()))</f>
        <v/>
      </c>
      <c r="J2297" s="5" t="str">
        <f aca="false">IF($I2297="","","R"&amp;$I2297)</f>
        <v/>
      </c>
    </row>
    <row r="2298" customFormat="false" ht="15" hidden="false" customHeight="true" outlineLevel="0" collapsed="false">
      <c r="H2298" s="14" t="b">
        <f aca="false">IF(중복검사!$A2296="",FALSE(),중복검사!$J2296="유지")</f>
        <v>0</v>
      </c>
      <c r="I2298" s="5" t="str">
        <f aca="false">IF($H2298=FALSE(),"",COUNTIF($H$6:$H2298,TRUE()))</f>
        <v/>
      </c>
      <c r="J2298" s="5" t="str">
        <f aca="false">IF($I2298="","","R"&amp;$I2298)</f>
        <v/>
      </c>
    </row>
    <row r="2299" customFormat="false" ht="15" hidden="false" customHeight="true" outlineLevel="0" collapsed="false">
      <c r="H2299" s="14" t="b">
        <f aca="false">IF(중복검사!$A2297="",FALSE(),중복검사!$J2297="유지")</f>
        <v>0</v>
      </c>
      <c r="I2299" s="5" t="str">
        <f aca="false">IF($H2299=FALSE(),"",COUNTIF($H$6:$H2299,TRUE()))</f>
        <v/>
      </c>
      <c r="J2299" s="5" t="str">
        <f aca="false">IF($I2299="","","R"&amp;$I2299)</f>
        <v/>
      </c>
    </row>
    <row r="2300" customFormat="false" ht="15" hidden="false" customHeight="true" outlineLevel="0" collapsed="false">
      <c r="H2300" s="14" t="b">
        <f aca="false">IF(중복검사!$A2298="",FALSE(),중복검사!$J2298="유지")</f>
        <v>0</v>
      </c>
      <c r="I2300" s="5" t="str">
        <f aca="false">IF($H2300=FALSE(),"",COUNTIF($H$6:$H2300,TRUE()))</f>
        <v/>
      </c>
      <c r="J2300" s="5" t="str">
        <f aca="false">IF($I2300="","","R"&amp;$I2300)</f>
        <v/>
      </c>
    </row>
    <row r="2301" customFormat="false" ht="15" hidden="false" customHeight="true" outlineLevel="0" collapsed="false">
      <c r="H2301" s="14" t="b">
        <f aca="false">IF(중복검사!$A2299="",FALSE(),중복검사!$J2299="유지")</f>
        <v>0</v>
      </c>
      <c r="I2301" s="5" t="str">
        <f aca="false">IF($H2301=FALSE(),"",COUNTIF($H$6:$H2301,TRUE()))</f>
        <v/>
      </c>
      <c r="J2301" s="5" t="str">
        <f aca="false">IF($I2301="","","R"&amp;$I2301)</f>
        <v/>
      </c>
    </row>
    <row r="2302" customFormat="false" ht="15" hidden="false" customHeight="true" outlineLevel="0" collapsed="false">
      <c r="H2302" s="14" t="b">
        <f aca="false">IF(중복검사!$A2300="",FALSE(),중복검사!$J2300="유지")</f>
        <v>0</v>
      </c>
      <c r="I2302" s="5" t="str">
        <f aca="false">IF($H2302=FALSE(),"",COUNTIF($H$6:$H2302,TRUE()))</f>
        <v/>
      </c>
      <c r="J2302" s="5" t="str">
        <f aca="false">IF($I2302="","","R"&amp;$I2302)</f>
        <v/>
      </c>
    </row>
    <row r="2303" customFormat="false" ht="15" hidden="false" customHeight="true" outlineLevel="0" collapsed="false">
      <c r="H2303" s="14" t="b">
        <f aca="false">IF(중복검사!$A2301="",FALSE(),중복검사!$J2301="유지")</f>
        <v>0</v>
      </c>
      <c r="I2303" s="5" t="str">
        <f aca="false">IF($H2303=FALSE(),"",COUNTIF($H$6:$H2303,TRUE()))</f>
        <v/>
      </c>
      <c r="J2303" s="5" t="str">
        <f aca="false">IF($I2303="","","R"&amp;$I2303)</f>
        <v/>
      </c>
    </row>
    <row r="2304" customFormat="false" ht="15" hidden="false" customHeight="true" outlineLevel="0" collapsed="false">
      <c r="H2304" s="14" t="b">
        <f aca="false">IF(중복검사!$A2302="",FALSE(),중복검사!$J2302="유지")</f>
        <v>0</v>
      </c>
      <c r="I2304" s="5" t="str">
        <f aca="false">IF($H2304=FALSE(),"",COUNTIF($H$6:$H2304,TRUE()))</f>
        <v/>
      </c>
      <c r="J2304" s="5" t="str">
        <f aca="false">IF($I2304="","","R"&amp;$I2304)</f>
        <v/>
      </c>
    </row>
    <row r="2305" customFormat="false" ht="15" hidden="false" customHeight="true" outlineLevel="0" collapsed="false">
      <c r="H2305" s="14" t="b">
        <f aca="false">IF(중복검사!$A2303="",FALSE(),중복검사!$J2303="유지")</f>
        <v>0</v>
      </c>
      <c r="I2305" s="5" t="str">
        <f aca="false">IF($H2305=FALSE(),"",COUNTIF($H$6:$H2305,TRUE()))</f>
        <v/>
      </c>
      <c r="J2305" s="5" t="str">
        <f aca="false">IF($I2305="","","R"&amp;$I2305)</f>
        <v/>
      </c>
    </row>
    <row r="2306" customFormat="false" ht="15" hidden="false" customHeight="true" outlineLevel="0" collapsed="false">
      <c r="H2306" s="14" t="b">
        <f aca="false">IF(중복검사!$A2304="",FALSE(),중복검사!$J2304="유지")</f>
        <v>0</v>
      </c>
      <c r="I2306" s="5" t="str">
        <f aca="false">IF($H2306=FALSE(),"",COUNTIF($H$6:$H2306,TRUE()))</f>
        <v/>
      </c>
      <c r="J2306" s="5" t="str">
        <f aca="false">IF($I2306="","","R"&amp;$I2306)</f>
        <v/>
      </c>
    </row>
    <row r="2307" customFormat="false" ht="15" hidden="false" customHeight="true" outlineLevel="0" collapsed="false">
      <c r="H2307" s="14" t="b">
        <f aca="false">IF(중복검사!$A2305="",FALSE(),중복검사!$J2305="유지")</f>
        <v>0</v>
      </c>
      <c r="I2307" s="5" t="str">
        <f aca="false">IF($H2307=FALSE(),"",COUNTIF($H$6:$H2307,TRUE()))</f>
        <v/>
      </c>
      <c r="J2307" s="5" t="str">
        <f aca="false">IF($I2307="","","R"&amp;$I2307)</f>
        <v/>
      </c>
    </row>
    <row r="2308" customFormat="false" ht="15" hidden="false" customHeight="true" outlineLevel="0" collapsed="false">
      <c r="H2308" s="14" t="b">
        <f aca="false">IF(중복검사!$A2306="",FALSE(),중복검사!$J2306="유지")</f>
        <v>0</v>
      </c>
      <c r="I2308" s="5" t="str">
        <f aca="false">IF($H2308=FALSE(),"",COUNTIF($H$6:$H2308,TRUE()))</f>
        <v/>
      </c>
      <c r="J2308" s="5" t="str">
        <f aca="false">IF($I2308="","","R"&amp;$I2308)</f>
        <v/>
      </c>
    </row>
    <row r="2309" customFormat="false" ht="15" hidden="false" customHeight="true" outlineLevel="0" collapsed="false">
      <c r="H2309" s="14" t="b">
        <f aca="false">IF(중복검사!$A2307="",FALSE(),중복검사!$J2307="유지")</f>
        <v>0</v>
      </c>
      <c r="I2309" s="5" t="str">
        <f aca="false">IF($H2309=FALSE(),"",COUNTIF($H$6:$H2309,TRUE()))</f>
        <v/>
      </c>
      <c r="J2309" s="5" t="str">
        <f aca="false">IF($I2309="","","R"&amp;$I2309)</f>
        <v/>
      </c>
    </row>
    <row r="2310" customFormat="false" ht="15" hidden="false" customHeight="true" outlineLevel="0" collapsed="false">
      <c r="H2310" s="14" t="b">
        <f aca="false">IF(중복검사!$A2308="",FALSE(),중복검사!$J2308="유지")</f>
        <v>0</v>
      </c>
      <c r="I2310" s="5" t="str">
        <f aca="false">IF($H2310=FALSE(),"",COUNTIF($H$6:$H2310,TRUE()))</f>
        <v/>
      </c>
      <c r="J2310" s="5" t="str">
        <f aca="false">IF($I2310="","","R"&amp;$I2310)</f>
        <v/>
      </c>
    </row>
    <row r="2311" customFormat="false" ht="15" hidden="false" customHeight="true" outlineLevel="0" collapsed="false">
      <c r="H2311" s="14" t="b">
        <f aca="false">IF(중복검사!$A2309="",FALSE(),중복검사!$J2309="유지")</f>
        <v>0</v>
      </c>
      <c r="I2311" s="5" t="str">
        <f aca="false">IF($H2311=FALSE(),"",COUNTIF($H$6:$H2311,TRUE()))</f>
        <v/>
      </c>
      <c r="J2311" s="5" t="str">
        <f aca="false">IF($I2311="","","R"&amp;$I2311)</f>
        <v/>
      </c>
    </row>
    <row r="2312" customFormat="false" ht="15" hidden="false" customHeight="true" outlineLevel="0" collapsed="false">
      <c r="H2312" s="14" t="b">
        <f aca="false">IF(중복검사!$A2310="",FALSE(),중복검사!$J2310="유지")</f>
        <v>0</v>
      </c>
      <c r="I2312" s="5" t="str">
        <f aca="false">IF($H2312=FALSE(),"",COUNTIF($H$6:$H2312,TRUE()))</f>
        <v/>
      </c>
      <c r="J2312" s="5" t="str">
        <f aca="false">IF($I2312="","","R"&amp;$I2312)</f>
        <v/>
      </c>
    </row>
    <row r="2313" customFormat="false" ht="15" hidden="false" customHeight="true" outlineLevel="0" collapsed="false">
      <c r="H2313" s="14" t="b">
        <f aca="false">IF(중복검사!$A2311="",FALSE(),중복검사!$J2311="유지")</f>
        <v>0</v>
      </c>
      <c r="I2313" s="5" t="str">
        <f aca="false">IF($H2313=FALSE(),"",COUNTIF($H$6:$H2313,TRUE()))</f>
        <v/>
      </c>
      <c r="J2313" s="5" t="str">
        <f aca="false">IF($I2313="","","R"&amp;$I2313)</f>
        <v/>
      </c>
    </row>
    <row r="2314" customFormat="false" ht="15" hidden="false" customHeight="true" outlineLevel="0" collapsed="false">
      <c r="H2314" s="14" t="b">
        <f aca="false">IF(중복검사!$A2312="",FALSE(),중복검사!$J2312="유지")</f>
        <v>0</v>
      </c>
      <c r="I2314" s="5" t="str">
        <f aca="false">IF($H2314=FALSE(),"",COUNTIF($H$6:$H2314,TRUE()))</f>
        <v/>
      </c>
      <c r="J2314" s="5" t="str">
        <f aca="false">IF($I2314="","","R"&amp;$I2314)</f>
        <v/>
      </c>
    </row>
    <row r="2315" customFormat="false" ht="15" hidden="false" customHeight="true" outlineLevel="0" collapsed="false">
      <c r="H2315" s="14" t="b">
        <f aca="false">IF(중복검사!$A2313="",FALSE(),중복검사!$J2313="유지")</f>
        <v>0</v>
      </c>
      <c r="I2315" s="5" t="str">
        <f aca="false">IF($H2315=FALSE(),"",COUNTIF($H$6:$H2315,TRUE()))</f>
        <v/>
      </c>
      <c r="J2315" s="5" t="str">
        <f aca="false">IF($I2315="","","R"&amp;$I2315)</f>
        <v/>
      </c>
    </row>
    <row r="2316" customFormat="false" ht="15" hidden="false" customHeight="true" outlineLevel="0" collapsed="false">
      <c r="H2316" s="14" t="b">
        <f aca="false">IF(중복검사!$A2314="",FALSE(),중복검사!$J2314="유지")</f>
        <v>0</v>
      </c>
      <c r="I2316" s="5" t="str">
        <f aca="false">IF($H2316=FALSE(),"",COUNTIF($H$6:$H2316,TRUE()))</f>
        <v/>
      </c>
      <c r="J2316" s="5" t="str">
        <f aca="false">IF($I2316="","","R"&amp;$I2316)</f>
        <v/>
      </c>
    </row>
    <row r="2317" customFormat="false" ht="15" hidden="false" customHeight="true" outlineLevel="0" collapsed="false">
      <c r="H2317" s="14" t="b">
        <f aca="false">IF(중복검사!$A2315="",FALSE(),중복검사!$J2315="유지")</f>
        <v>0</v>
      </c>
      <c r="I2317" s="5" t="str">
        <f aca="false">IF($H2317=FALSE(),"",COUNTIF($H$6:$H2317,TRUE()))</f>
        <v/>
      </c>
      <c r="J2317" s="5" t="str">
        <f aca="false">IF($I2317="","","R"&amp;$I2317)</f>
        <v/>
      </c>
    </row>
    <row r="2318" customFormat="false" ht="15" hidden="false" customHeight="true" outlineLevel="0" collapsed="false">
      <c r="H2318" s="14" t="b">
        <f aca="false">IF(중복검사!$A2316="",FALSE(),중복검사!$J2316="유지")</f>
        <v>0</v>
      </c>
      <c r="I2318" s="5" t="str">
        <f aca="false">IF($H2318=FALSE(),"",COUNTIF($H$6:$H2318,TRUE()))</f>
        <v/>
      </c>
      <c r="J2318" s="5" t="str">
        <f aca="false">IF($I2318="","","R"&amp;$I2318)</f>
        <v/>
      </c>
    </row>
    <row r="2319" customFormat="false" ht="15" hidden="false" customHeight="true" outlineLevel="0" collapsed="false">
      <c r="H2319" s="14" t="b">
        <f aca="false">IF(중복검사!$A2317="",FALSE(),중복검사!$J2317="유지")</f>
        <v>0</v>
      </c>
      <c r="I2319" s="5" t="str">
        <f aca="false">IF($H2319=FALSE(),"",COUNTIF($H$6:$H2319,TRUE()))</f>
        <v/>
      </c>
      <c r="J2319" s="5" t="str">
        <f aca="false">IF($I2319="","","R"&amp;$I2319)</f>
        <v/>
      </c>
    </row>
    <row r="2320" customFormat="false" ht="15" hidden="false" customHeight="true" outlineLevel="0" collapsed="false">
      <c r="H2320" s="14" t="b">
        <f aca="false">IF(중복검사!$A2318="",FALSE(),중복검사!$J2318="유지")</f>
        <v>0</v>
      </c>
      <c r="I2320" s="5" t="str">
        <f aca="false">IF($H2320=FALSE(),"",COUNTIF($H$6:$H2320,TRUE()))</f>
        <v/>
      </c>
      <c r="J2320" s="5" t="str">
        <f aca="false">IF($I2320="","","R"&amp;$I2320)</f>
        <v/>
      </c>
    </row>
    <row r="2321" customFormat="false" ht="15" hidden="false" customHeight="true" outlineLevel="0" collapsed="false">
      <c r="H2321" s="14" t="b">
        <f aca="false">IF(중복검사!$A2319="",FALSE(),중복검사!$J2319="유지")</f>
        <v>0</v>
      </c>
      <c r="I2321" s="5" t="str">
        <f aca="false">IF($H2321=FALSE(),"",COUNTIF($H$6:$H2321,TRUE()))</f>
        <v/>
      </c>
      <c r="J2321" s="5" t="str">
        <f aca="false">IF($I2321="","","R"&amp;$I2321)</f>
        <v/>
      </c>
    </row>
    <row r="2322" customFormat="false" ht="15" hidden="false" customHeight="true" outlineLevel="0" collapsed="false">
      <c r="H2322" s="14" t="b">
        <f aca="false">IF(중복검사!$A2320="",FALSE(),중복검사!$J2320="유지")</f>
        <v>0</v>
      </c>
      <c r="I2322" s="5" t="str">
        <f aca="false">IF($H2322=FALSE(),"",COUNTIF($H$6:$H2322,TRUE()))</f>
        <v/>
      </c>
      <c r="J2322" s="5" t="str">
        <f aca="false">IF($I2322="","","R"&amp;$I2322)</f>
        <v/>
      </c>
    </row>
    <row r="2323" customFormat="false" ht="15" hidden="false" customHeight="true" outlineLevel="0" collapsed="false">
      <c r="H2323" s="14" t="b">
        <f aca="false">IF(중복검사!$A2321="",FALSE(),중복검사!$J2321="유지")</f>
        <v>0</v>
      </c>
      <c r="I2323" s="5" t="str">
        <f aca="false">IF($H2323=FALSE(),"",COUNTIF($H$6:$H2323,TRUE()))</f>
        <v/>
      </c>
      <c r="J2323" s="5" t="str">
        <f aca="false">IF($I2323="","","R"&amp;$I2323)</f>
        <v/>
      </c>
    </row>
    <row r="2324" customFormat="false" ht="15" hidden="false" customHeight="true" outlineLevel="0" collapsed="false">
      <c r="H2324" s="14" t="b">
        <f aca="false">IF(중복검사!$A2322="",FALSE(),중복검사!$J2322="유지")</f>
        <v>0</v>
      </c>
      <c r="I2324" s="5" t="str">
        <f aca="false">IF($H2324=FALSE(),"",COUNTIF($H$6:$H2324,TRUE()))</f>
        <v/>
      </c>
      <c r="J2324" s="5" t="str">
        <f aca="false">IF($I2324="","","R"&amp;$I2324)</f>
        <v/>
      </c>
    </row>
    <row r="2325" customFormat="false" ht="15" hidden="false" customHeight="true" outlineLevel="0" collapsed="false">
      <c r="H2325" s="14" t="b">
        <f aca="false">IF(중복검사!$A2323="",FALSE(),중복검사!$J2323="유지")</f>
        <v>0</v>
      </c>
      <c r="I2325" s="5" t="str">
        <f aca="false">IF($H2325=FALSE(),"",COUNTIF($H$6:$H2325,TRUE()))</f>
        <v/>
      </c>
      <c r="J2325" s="5" t="str">
        <f aca="false">IF($I2325="","","R"&amp;$I2325)</f>
        <v/>
      </c>
    </row>
    <row r="2326" customFormat="false" ht="15" hidden="false" customHeight="true" outlineLevel="0" collapsed="false">
      <c r="H2326" s="14" t="b">
        <f aca="false">IF(중복검사!$A2324="",FALSE(),중복검사!$J2324="유지")</f>
        <v>0</v>
      </c>
      <c r="I2326" s="5" t="str">
        <f aca="false">IF($H2326=FALSE(),"",COUNTIF($H$6:$H2326,TRUE()))</f>
        <v/>
      </c>
      <c r="J2326" s="5" t="str">
        <f aca="false">IF($I2326="","","R"&amp;$I2326)</f>
        <v/>
      </c>
    </row>
    <row r="2327" customFormat="false" ht="15" hidden="false" customHeight="true" outlineLevel="0" collapsed="false">
      <c r="H2327" s="14" t="b">
        <f aca="false">IF(중복검사!$A2325="",FALSE(),중복검사!$J2325="유지")</f>
        <v>0</v>
      </c>
      <c r="I2327" s="5" t="str">
        <f aca="false">IF($H2327=FALSE(),"",COUNTIF($H$6:$H2327,TRUE()))</f>
        <v/>
      </c>
      <c r="J2327" s="5" t="str">
        <f aca="false">IF($I2327="","","R"&amp;$I2327)</f>
        <v/>
      </c>
    </row>
    <row r="2328" customFormat="false" ht="15" hidden="false" customHeight="true" outlineLevel="0" collapsed="false">
      <c r="H2328" s="14" t="b">
        <f aca="false">IF(중복검사!$A2326="",FALSE(),중복검사!$J2326="유지")</f>
        <v>0</v>
      </c>
      <c r="I2328" s="5" t="str">
        <f aca="false">IF($H2328=FALSE(),"",COUNTIF($H$6:$H2328,TRUE()))</f>
        <v/>
      </c>
      <c r="J2328" s="5" t="str">
        <f aca="false">IF($I2328="","","R"&amp;$I2328)</f>
        <v/>
      </c>
    </row>
    <row r="2329" customFormat="false" ht="15" hidden="false" customHeight="true" outlineLevel="0" collapsed="false">
      <c r="H2329" s="14" t="b">
        <f aca="false">IF(중복검사!$A2327="",FALSE(),중복검사!$J2327="유지")</f>
        <v>0</v>
      </c>
      <c r="I2329" s="5" t="str">
        <f aca="false">IF($H2329=FALSE(),"",COUNTIF($H$6:$H2329,TRUE()))</f>
        <v/>
      </c>
      <c r="J2329" s="5" t="str">
        <f aca="false">IF($I2329="","","R"&amp;$I2329)</f>
        <v/>
      </c>
    </row>
    <row r="2330" customFormat="false" ht="15" hidden="false" customHeight="true" outlineLevel="0" collapsed="false">
      <c r="H2330" s="14" t="b">
        <f aca="false">IF(중복검사!$A2328="",FALSE(),중복검사!$J2328="유지")</f>
        <v>0</v>
      </c>
      <c r="I2330" s="5" t="str">
        <f aca="false">IF($H2330=FALSE(),"",COUNTIF($H$6:$H2330,TRUE()))</f>
        <v/>
      </c>
      <c r="J2330" s="5" t="str">
        <f aca="false">IF($I2330="","","R"&amp;$I2330)</f>
        <v/>
      </c>
    </row>
    <row r="2331" customFormat="false" ht="15" hidden="false" customHeight="true" outlineLevel="0" collapsed="false">
      <c r="H2331" s="14" t="b">
        <f aca="false">IF(중복검사!$A2329="",FALSE(),중복검사!$J2329="유지")</f>
        <v>0</v>
      </c>
      <c r="I2331" s="5" t="str">
        <f aca="false">IF($H2331=FALSE(),"",COUNTIF($H$6:$H2331,TRUE()))</f>
        <v/>
      </c>
      <c r="J2331" s="5" t="str">
        <f aca="false">IF($I2331="","","R"&amp;$I2331)</f>
        <v/>
      </c>
    </row>
    <row r="2332" customFormat="false" ht="15" hidden="false" customHeight="true" outlineLevel="0" collapsed="false">
      <c r="H2332" s="14" t="b">
        <f aca="false">IF(중복검사!$A2330="",FALSE(),중복검사!$J2330="유지")</f>
        <v>0</v>
      </c>
      <c r="I2332" s="5" t="str">
        <f aca="false">IF($H2332=FALSE(),"",COUNTIF($H$6:$H2332,TRUE()))</f>
        <v/>
      </c>
      <c r="J2332" s="5" t="str">
        <f aca="false">IF($I2332="","","R"&amp;$I2332)</f>
        <v/>
      </c>
    </row>
    <row r="2333" customFormat="false" ht="15" hidden="false" customHeight="true" outlineLevel="0" collapsed="false">
      <c r="H2333" s="14" t="b">
        <f aca="false">IF(중복검사!$A2331="",FALSE(),중복검사!$J2331="유지")</f>
        <v>0</v>
      </c>
      <c r="I2333" s="5" t="str">
        <f aca="false">IF($H2333=FALSE(),"",COUNTIF($H$6:$H2333,TRUE()))</f>
        <v/>
      </c>
      <c r="J2333" s="5" t="str">
        <f aca="false">IF($I2333="","","R"&amp;$I2333)</f>
        <v/>
      </c>
    </row>
    <row r="2334" customFormat="false" ht="15" hidden="false" customHeight="true" outlineLevel="0" collapsed="false">
      <c r="H2334" s="14" t="b">
        <f aca="false">IF(중복검사!$A2332="",FALSE(),중복검사!$J2332="유지")</f>
        <v>0</v>
      </c>
      <c r="I2334" s="5" t="str">
        <f aca="false">IF($H2334=FALSE(),"",COUNTIF($H$6:$H2334,TRUE()))</f>
        <v/>
      </c>
      <c r="J2334" s="5" t="str">
        <f aca="false">IF($I2334="","","R"&amp;$I2334)</f>
        <v/>
      </c>
    </row>
    <row r="2335" customFormat="false" ht="15" hidden="false" customHeight="true" outlineLevel="0" collapsed="false">
      <c r="H2335" s="14" t="b">
        <f aca="false">IF(중복검사!$A2333="",FALSE(),중복검사!$J2333="유지")</f>
        <v>0</v>
      </c>
      <c r="I2335" s="5" t="str">
        <f aca="false">IF($H2335=FALSE(),"",COUNTIF($H$6:$H2335,TRUE()))</f>
        <v/>
      </c>
      <c r="J2335" s="5" t="str">
        <f aca="false">IF($I2335="","","R"&amp;$I2335)</f>
        <v/>
      </c>
    </row>
    <row r="2336" customFormat="false" ht="15" hidden="false" customHeight="true" outlineLevel="0" collapsed="false">
      <c r="H2336" s="14" t="b">
        <f aca="false">IF(중복검사!$A2334="",FALSE(),중복검사!$J2334="유지")</f>
        <v>0</v>
      </c>
      <c r="I2336" s="5" t="str">
        <f aca="false">IF($H2336=FALSE(),"",COUNTIF($H$6:$H2336,TRUE()))</f>
        <v/>
      </c>
      <c r="J2336" s="5" t="str">
        <f aca="false">IF($I2336="","","R"&amp;$I2336)</f>
        <v/>
      </c>
    </row>
    <row r="2337" customFormat="false" ht="15" hidden="false" customHeight="true" outlineLevel="0" collapsed="false">
      <c r="H2337" s="14" t="b">
        <f aca="false">IF(중복검사!$A2335="",FALSE(),중복검사!$J2335="유지")</f>
        <v>0</v>
      </c>
      <c r="I2337" s="5" t="str">
        <f aca="false">IF($H2337=FALSE(),"",COUNTIF($H$6:$H2337,TRUE()))</f>
        <v/>
      </c>
      <c r="J2337" s="5" t="str">
        <f aca="false">IF($I2337="","","R"&amp;$I2337)</f>
        <v/>
      </c>
    </row>
    <row r="2338" customFormat="false" ht="15" hidden="false" customHeight="true" outlineLevel="0" collapsed="false">
      <c r="H2338" s="14" t="b">
        <f aca="false">IF(중복검사!$A2336="",FALSE(),중복검사!$J2336="유지")</f>
        <v>0</v>
      </c>
      <c r="I2338" s="5" t="str">
        <f aca="false">IF($H2338=FALSE(),"",COUNTIF($H$6:$H2338,TRUE()))</f>
        <v/>
      </c>
      <c r="J2338" s="5" t="str">
        <f aca="false">IF($I2338="","","R"&amp;$I2338)</f>
        <v/>
      </c>
    </row>
    <row r="2339" customFormat="false" ht="15" hidden="false" customHeight="true" outlineLevel="0" collapsed="false">
      <c r="H2339" s="14" t="b">
        <f aca="false">IF(중복검사!$A2337="",FALSE(),중복검사!$J2337="유지")</f>
        <v>0</v>
      </c>
      <c r="I2339" s="5" t="str">
        <f aca="false">IF($H2339=FALSE(),"",COUNTIF($H$6:$H2339,TRUE()))</f>
        <v/>
      </c>
      <c r="J2339" s="5" t="str">
        <f aca="false">IF($I2339="","","R"&amp;$I2339)</f>
        <v/>
      </c>
    </row>
    <row r="2340" customFormat="false" ht="15" hidden="false" customHeight="true" outlineLevel="0" collapsed="false">
      <c r="H2340" s="14" t="b">
        <f aca="false">IF(중복검사!$A2338="",FALSE(),중복검사!$J2338="유지")</f>
        <v>0</v>
      </c>
      <c r="I2340" s="5" t="str">
        <f aca="false">IF($H2340=FALSE(),"",COUNTIF($H$6:$H2340,TRUE()))</f>
        <v/>
      </c>
      <c r="J2340" s="5" t="str">
        <f aca="false">IF($I2340="","","R"&amp;$I2340)</f>
        <v/>
      </c>
    </row>
    <row r="2341" customFormat="false" ht="15" hidden="false" customHeight="true" outlineLevel="0" collapsed="false">
      <c r="H2341" s="14" t="b">
        <f aca="false">IF(중복검사!$A2339="",FALSE(),중복검사!$J2339="유지")</f>
        <v>0</v>
      </c>
      <c r="I2341" s="5" t="str">
        <f aca="false">IF($H2341=FALSE(),"",COUNTIF($H$6:$H2341,TRUE()))</f>
        <v/>
      </c>
      <c r="J2341" s="5" t="str">
        <f aca="false">IF($I2341="","","R"&amp;$I2341)</f>
        <v/>
      </c>
    </row>
    <row r="2342" customFormat="false" ht="15" hidden="false" customHeight="true" outlineLevel="0" collapsed="false">
      <c r="H2342" s="14" t="b">
        <f aca="false">IF(중복검사!$A2340="",FALSE(),중복검사!$J2340="유지")</f>
        <v>0</v>
      </c>
      <c r="I2342" s="5" t="str">
        <f aca="false">IF($H2342=FALSE(),"",COUNTIF($H$6:$H2342,TRUE()))</f>
        <v/>
      </c>
      <c r="J2342" s="5" t="str">
        <f aca="false">IF($I2342="","","R"&amp;$I2342)</f>
        <v/>
      </c>
    </row>
    <row r="2343" customFormat="false" ht="15" hidden="false" customHeight="true" outlineLevel="0" collapsed="false">
      <c r="H2343" s="14" t="b">
        <f aca="false">IF(중복검사!$A2341="",FALSE(),중복검사!$J2341="유지")</f>
        <v>0</v>
      </c>
      <c r="I2343" s="5" t="str">
        <f aca="false">IF($H2343=FALSE(),"",COUNTIF($H$6:$H2343,TRUE()))</f>
        <v/>
      </c>
      <c r="J2343" s="5" t="str">
        <f aca="false">IF($I2343="","","R"&amp;$I2343)</f>
        <v/>
      </c>
    </row>
    <row r="2344" customFormat="false" ht="15" hidden="false" customHeight="true" outlineLevel="0" collapsed="false">
      <c r="H2344" s="14" t="b">
        <f aca="false">IF(중복검사!$A2342="",FALSE(),중복검사!$J2342="유지")</f>
        <v>0</v>
      </c>
      <c r="I2344" s="5" t="str">
        <f aca="false">IF($H2344=FALSE(),"",COUNTIF($H$6:$H2344,TRUE()))</f>
        <v/>
      </c>
      <c r="J2344" s="5" t="str">
        <f aca="false">IF($I2344="","","R"&amp;$I2344)</f>
        <v/>
      </c>
    </row>
    <row r="2345" customFormat="false" ht="15" hidden="false" customHeight="true" outlineLevel="0" collapsed="false">
      <c r="H2345" s="14" t="b">
        <f aca="false">IF(중복검사!$A2343="",FALSE(),중복검사!$J2343="유지")</f>
        <v>0</v>
      </c>
      <c r="I2345" s="5" t="str">
        <f aca="false">IF($H2345=FALSE(),"",COUNTIF($H$6:$H2345,TRUE()))</f>
        <v/>
      </c>
      <c r="J2345" s="5" t="str">
        <f aca="false">IF($I2345="","","R"&amp;$I2345)</f>
        <v/>
      </c>
    </row>
    <row r="2346" customFormat="false" ht="15" hidden="false" customHeight="true" outlineLevel="0" collapsed="false">
      <c r="H2346" s="14" t="b">
        <f aca="false">IF(중복검사!$A2344="",FALSE(),중복검사!$J2344="유지")</f>
        <v>0</v>
      </c>
      <c r="I2346" s="5" t="str">
        <f aca="false">IF($H2346=FALSE(),"",COUNTIF($H$6:$H2346,TRUE()))</f>
        <v/>
      </c>
      <c r="J2346" s="5" t="str">
        <f aca="false">IF($I2346="","","R"&amp;$I2346)</f>
        <v/>
      </c>
    </row>
    <row r="2347" customFormat="false" ht="15" hidden="false" customHeight="true" outlineLevel="0" collapsed="false">
      <c r="H2347" s="14" t="b">
        <f aca="false">IF(중복검사!$A2345="",FALSE(),중복검사!$J2345="유지")</f>
        <v>0</v>
      </c>
      <c r="I2347" s="5" t="str">
        <f aca="false">IF($H2347=FALSE(),"",COUNTIF($H$6:$H2347,TRUE()))</f>
        <v/>
      </c>
      <c r="J2347" s="5" t="str">
        <f aca="false">IF($I2347="","","R"&amp;$I2347)</f>
        <v/>
      </c>
    </row>
    <row r="2348" customFormat="false" ht="15" hidden="false" customHeight="true" outlineLevel="0" collapsed="false">
      <c r="H2348" s="14" t="b">
        <f aca="false">IF(중복검사!$A2346="",FALSE(),중복검사!$J2346="유지")</f>
        <v>0</v>
      </c>
      <c r="I2348" s="5" t="str">
        <f aca="false">IF($H2348=FALSE(),"",COUNTIF($H$6:$H2348,TRUE()))</f>
        <v/>
      </c>
      <c r="J2348" s="5" t="str">
        <f aca="false">IF($I2348="","","R"&amp;$I2348)</f>
        <v/>
      </c>
    </row>
    <row r="2349" customFormat="false" ht="15" hidden="false" customHeight="true" outlineLevel="0" collapsed="false">
      <c r="H2349" s="14" t="b">
        <f aca="false">IF(중복검사!$A2347="",FALSE(),중복검사!$J2347="유지")</f>
        <v>0</v>
      </c>
      <c r="I2349" s="5" t="str">
        <f aca="false">IF($H2349=FALSE(),"",COUNTIF($H$6:$H2349,TRUE()))</f>
        <v/>
      </c>
      <c r="J2349" s="5" t="str">
        <f aca="false">IF($I2349="","","R"&amp;$I2349)</f>
        <v/>
      </c>
    </row>
    <row r="2350" customFormat="false" ht="15" hidden="false" customHeight="true" outlineLevel="0" collapsed="false">
      <c r="H2350" s="14" t="b">
        <f aca="false">IF(중복검사!$A2348="",FALSE(),중복검사!$J2348="유지")</f>
        <v>0</v>
      </c>
      <c r="I2350" s="5" t="str">
        <f aca="false">IF($H2350=FALSE(),"",COUNTIF($H$6:$H2350,TRUE()))</f>
        <v/>
      </c>
      <c r="J2350" s="5" t="str">
        <f aca="false">IF($I2350="","","R"&amp;$I2350)</f>
        <v/>
      </c>
    </row>
    <row r="2351" customFormat="false" ht="15" hidden="false" customHeight="true" outlineLevel="0" collapsed="false">
      <c r="H2351" s="14" t="b">
        <f aca="false">IF(중복검사!$A2349="",FALSE(),중복검사!$J2349="유지")</f>
        <v>0</v>
      </c>
      <c r="I2351" s="5" t="str">
        <f aca="false">IF($H2351=FALSE(),"",COUNTIF($H$6:$H2351,TRUE()))</f>
        <v/>
      </c>
      <c r="J2351" s="5" t="str">
        <f aca="false">IF($I2351="","","R"&amp;$I2351)</f>
        <v/>
      </c>
    </row>
    <row r="2352" customFormat="false" ht="15" hidden="false" customHeight="true" outlineLevel="0" collapsed="false">
      <c r="H2352" s="14" t="b">
        <f aca="false">IF(중복검사!$A2350="",FALSE(),중복검사!$J2350="유지")</f>
        <v>0</v>
      </c>
      <c r="I2352" s="5" t="str">
        <f aca="false">IF($H2352=FALSE(),"",COUNTIF($H$6:$H2352,TRUE()))</f>
        <v/>
      </c>
      <c r="J2352" s="5" t="str">
        <f aca="false">IF($I2352="","","R"&amp;$I2352)</f>
        <v/>
      </c>
    </row>
    <row r="2353" customFormat="false" ht="15" hidden="false" customHeight="true" outlineLevel="0" collapsed="false">
      <c r="H2353" s="14" t="b">
        <f aca="false">IF(중복검사!$A2351="",FALSE(),중복검사!$J2351="유지")</f>
        <v>0</v>
      </c>
      <c r="I2353" s="5" t="str">
        <f aca="false">IF($H2353=FALSE(),"",COUNTIF($H$6:$H2353,TRUE()))</f>
        <v/>
      </c>
      <c r="J2353" s="5" t="str">
        <f aca="false">IF($I2353="","","R"&amp;$I2353)</f>
        <v/>
      </c>
    </row>
    <row r="2354" customFormat="false" ht="15" hidden="false" customHeight="true" outlineLevel="0" collapsed="false">
      <c r="H2354" s="14" t="b">
        <f aca="false">IF(중복검사!$A2352="",FALSE(),중복검사!$J2352="유지")</f>
        <v>0</v>
      </c>
      <c r="I2354" s="5" t="str">
        <f aca="false">IF($H2354=FALSE(),"",COUNTIF($H$6:$H2354,TRUE()))</f>
        <v/>
      </c>
      <c r="J2354" s="5" t="str">
        <f aca="false">IF($I2354="","","R"&amp;$I2354)</f>
        <v/>
      </c>
    </row>
    <row r="2355" customFormat="false" ht="15" hidden="false" customHeight="true" outlineLevel="0" collapsed="false">
      <c r="H2355" s="14" t="b">
        <f aca="false">IF(중복검사!$A2353="",FALSE(),중복검사!$J2353="유지")</f>
        <v>0</v>
      </c>
      <c r="I2355" s="5" t="str">
        <f aca="false">IF($H2355=FALSE(),"",COUNTIF($H$6:$H2355,TRUE()))</f>
        <v/>
      </c>
      <c r="J2355" s="5" t="str">
        <f aca="false">IF($I2355="","","R"&amp;$I2355)</f>
        <v/>
      </c>
    </row>
    <row r="2356" customFormat="false" ht="15" hidden="false" customHeight="true" outlineLevel="0" collapsed="false">
      <c r="H2356" s="14" t="b">
        <f aca="false">IF(중복검사!$A2354="",FALSE(),중복검사!$J2354="유지")</f>
        <v>0</v>
      </c>
      <c r="I2356" s="5" t="str">
        <f aca="false">IF($H2356=FALSE(),"",COUNTIF($H$6:$H2356,TRUE()))</f>
        <v/>
      </c>
      <c r="J2356" s="5" t="str">
        <f aca="false">IF($I2356="","","R"&amp;$I2356)</f>
        <v/>
      </c>
    </row>
    <row r="2357" customFormat="false" ht="15" hidden="false" customHeight="true" outlineLevel="0" collapsed="false">
      <c r="H2357" s="14" t="b">
        <f aca="false">IF(중복검사!$A2355="",FALSE(),중복검사!$J2355="유지")</f>
        <v>0</v>
      </c>
      <c r="I2357" s="5" t="str">
        <f aca="false">IF($H2357=FALSE(),"",COUNTIF($H$6:$H2357,TRUE()))</f>
        <v/>
      </c>
      <c r="J2357" s="5" t="str">
        <f aca="false">IF($I2357="","","R"&amp;$I2357)</f>
        <v/>
      </c>
    </row>
    <row r="2358" customFormat="false" ht="15" hidden="false" customHeight="true" outlineLevel="0" collapsed="false">
      <c r="H2358" s="14" t="b">
        <f aca="false">IF(중복검사!$A2356="",FALSE(),중복검사!$J2356="유지")</f>
        <v>0</v>
      </c>
      <c r="I2358" s="5" t="str">
        <f aca="false">IF($H2358=FALSE(),"",COUNTIF($H$6:$H2358,TRUE()))</f>
        <v/>
      </c>
      <c r="J2358" s="5" t="str">
        <f aca="false">IF($I2358="","","R"&amp;$I2358)</f>
        <v/>
      </c>
    </row>
    <row r="2359" customFormat="false" ht="15" hidden="false" customHeight="true" outlineLevel="0" collapsed="false">
      <c r="H2359" s="14" t="b">
        <f aca="false">IF(중복검사!$A2357="",FALSE(),중복검사!$J2357="유지")</f>
        <v>0</v>
      </c>
      <c r="I2359" s="5" t="str">
        <f aca="false">IF($H2359=FALSE(),"",COUNTIF($H$6:$H2359,TRUE()))</f>
        <v/>
      </c>
      <c r="J2359" s="5" t="str">
        <f aca="false">IF($I2359="","","R"&amp;$I2359)</f>
        <v/>
      </c>
    </row>
    <row r="2360" customFormat="false" ht="15" hidden="false" customHeight="true" outlineLevel="0" collapsed="false">
      <c r="H2360" s="14" t="b">
        <f aca="false">IF(중복검사!$A2358="",FALSE(),중복검사!$J2358="유지")</f>
        <v>0</v>
      </c>
      <c r="I2360" s="5" t="str">
        <f aca="false">IF($H2360=FALSE(),"",COUNTIF($H$6:$H2360,TRUE()))</f>
        <v/>
      </c>
      <c r="J2360" s="5" t="str">
        <f aca="false">IF($I2360="","","R"&amp;$I2360)</f>
        <v/>
      </c>
    </row>
    <row r="2361" customFormat="false" ht="15" hidden="false" customHeight="true" outlineLevel="0" collapsed="false">
      <c r="H2361" s="14" t="b">
        <f aca="false">IF(중복검사!$A2359="",FALSE(),중복검사!$J2359="유지")</f>
        <v>0</v>
      </c>
      <c r="I2361" s="5" t="str">
        <f aca="false">IF($H2361=FALSE(),"",COUNTIF($H$6:$H2361,TRUE()))</f>
        <v/>
      </c>
      <c r="J2361" s="5" t="str">
        <f aca="false">IF($I2361="","","R"&amp;$I2361)</f>
        <v/>
      </c>
    </row>
    <row r="2362" customFormat="false" ht="15" hidden="false" customHeight="true" outlineLevel="0" collapsed="false">
      <c r="H2362" s="14" t="b">
        <f aca="false">IF(중복검사!$A2360="",FALSE(),중복검사!$J2360="유지")</f>
        <v>0</v>
      </c>
      <c r="I2362" s="5" t="str">
        <f aca="false">IF($H2362=FALSE(),"",COUNTIF($H$6:$H2362,TRUE()))</f>
        <v/>
      </c>
      <c r="J2362" s="5" t="str">
        <f aca="false">IF($I2362="","","R"&amp;$I2362)</f>
        <v/>
      </c>
    </row>
    <row r="2363" customFormat="false" ht="15" hidden="false" customHeight="true" outlineLevel="0" collapsed="false">
      <c r="H2363" s="14" t="b">
        <f aca="false">IF(중복검사!$A2361="",FALSE(),중복검사!$J2361="유지")</f>
        <v>0</v>
      </c>
      <c r="I2363" s="5" t="str">
        <f aca="false">IF($H2363=FALSE(),"",COUNTIF($H$6:$H2363,TRUE()))</f>
        <v/>
      </c>
      <c r="J2363" s="5" t="str">
        <f aca="false">IF($I2363="","","R"&amp;$I2363)</f>
        <v/>
      </c>
    </row>
    <row r="2364" customFormat="false" ht="15" hidden="false" customHeight="true" outlineLevel="0" collapsed="false">
      <c r="H2364" s="14" t="b">
        <f aca="false">IF(중복검사!$A2362="",FALSE(),중복검사!$J2362="유지")</f>
        <v>0</v>
      </c>
      <c r="I2364" s="5" t="str">
        <f aca="false">IF($H2364=FALSE(),"",COUNTIF($H$6:$H2364,TRUE()))</f>
        <v/>
      </c>
      <c r="J2364" s="5" t="str">
        <f aca="false">IF($I2364="","","R"&amp;$I2364)</f>
        <v/>
      </c>
    </row>
    <row r="2365" customFormat="false" ht="15" hidden="false" customHeight="true" outlineLevel="0" collapsed="false">
      <c r="H2365" s="14" t="b">
        <f aca="false">IF(중복검사!$A2363="",FALSE(),중복검사!$J2363="유지")</f>
        <v>0</v>
      </c>
      <c r="I2365" s="5" t="str">
        <f aca="false">IF($H2365=FALSE(),"",COUNTIF($H$6:$H2365,TRUE()))</f>
        <v/>
      </c>
      <c r="J2365" s="5" t="str">
        <f aca="false">IF($I2365="","","R"&amp;$I2365)</f>
        <v/>
      </c>
    </row>
    <row r="2366" customFormat="false" ht="15" hidden="false" customHeight="true" outlineLevel="0" collapsed="false">
      <c r="H2366" s="14" t="b">
        <f aca="false">IF(중복검사!$A2364="",FALSE(),중복검사!$J2364="유지")</f>
        <v>0</v>
      </c>
      <c r="I2366" s="5" t="str">
        <f aca="false">IF($H2366=FALSE(),"",COUNTIF($H$6:$H2366,TRUE()))</f>
        <v/>
      </c>
      <c r="J2366" s="5" t="str">
        <f aca="false">IF($I2366="","","R"&amp;$I2366)</f>
        <v/>
      </c>
    </row>
    <row r="2367" customFormat="false" ht="15" hidden="false" customHeight="true" outlineLevel="0" collapsed="false">
      <c r="H2367" s="14" t="b">
        <f aca="false">IF(중복검사!$A2365="",FALSE(),중복검사!$J2365="유지")</f>
        <v>0</v>
      </c>
      <c r="I2367" s="5" t="str">
        <f aca="false">IF($H2367=FALSE(),"",COUNTIF($H$6:$H2367,TRUE()))</f>
        <v/>
      </c>
      <c r="J2367" s="5" t="str">
        <f aca="false">IF($I2367="","","R"&amp;$I2367)</f>
        <v/>
      </c>
    </row>
    <row r="2368" customFormat="false" ht="15" hidden="false" customHeight="true" outlineLevel="0" collapsed="false">
      <c r="H2368" s="14" t="b">
        <f aca="false">IF(중복검사!$A2366="",FALSE(),중복검사!$J2366="유지")</f>
        <v>0</v>
      </c>
      <c r="I2368" s="5" t="str">
        <f aca="false">IF($H2368=FALSE(),"",COUNTIF($H$6:$H2368,TRUE()))</f>
        <v/>
      </c>
      <c r="J2368" s="5" t="str">
        <f aca="false">IF($I2368="","","R"&amp;$I2368)</f>
        <v/>
      </c>
    </row>
    <row r="2369" customFormat="false" ht="15" hidden="false" customHeight="true" outlineLevel="0" collapsed="false">
      <c r="H2369" s="14" t="b">
        <f aca="false">IF(중복검사!$A2367="",FALSE(),중복검사!$J2367="유지")</f>
        <v>0</v>
      </c>
      <c r="I2369" s="5" t="str">
        <f aca="false">IF($H2369=FALSE(),"",COUNTIF($H$6:$H2369,TRUE()))</f>
        <v/>
      </c>
      <c r="J2369" s="5" t="str">
        <f aca="false">IF($I2369="","","R"&amp;$I2369)</f>
        <v/>
      </c>
    </row>
    <row r="2370" customFormat="false" ht="15" hidden="false" customHeight="true" outlineLevel="0" collapsed="false">
      <c r="H2370" s="14" t="b">
        <f aca="false">IF(중복검사!$A2368="",FALSE(),중복검사!$J2368="유지")</f>
        <v>0</v>
      </c>
      <c r="I2370" s="5" t="str">
        <f aca="false">IF($H2370=FALSE(),"",COUNTIF($H$6:$H2370,TRUE()))</f>
        <v/>
      </c>
      <c r="J2370" s="5" t="str">
        <f aca="false">IF($I2370="","","R"&amp;$I2370)</f>
        <v/>
      </c>
    </row>
    <row r="2371" customFormat="false" ht="15" hidden="false" customHeight="true" outlineLevel="0" collapsed="false">
      <c r="H2371" s="14" t="b">
        <f aca="false">IF(중복검사!$A2369="",FALSE(),중복검사!$J2369="유지")</f>
        <v>0</v>
      </c>
      <c r="I2371" s="5" t="str">
        <f aca="false">IF($H2371=FALSE(),"",COUNTIF($H$6:$H2371,TRUE()))</f>
        <v/>
      </c>
      <c r="J2371" s="5" t="str">
        <f aca="false">IF($I2371="","","R"&amp;$I2371)</f>
        <v/>
      </c>
    </row>
    <row r="2372" customFormat="false" ht="15" hidden="false" customHeight="true" outlineLevel="0" collapsed="false">
      <c r="H2372" s="14" t="b">
        <f aca="false">IF(중복검사!$A2370="",FALSE(),중복검사!$J2370="유지")</f>
        <v>0</v>
      </c>
      <c r="I2372" s="5" t="str">
        <f aca="false">IF($H2372=FALSE(),"",COUNTIF($H$6:$H2372,TRUE()))</f>
        <v/>
      </c>
      <c r="J2372" s="5" t="str">
        <f aca="false">IF($I2372="","","R"&amp;$I2372)</f>
        <v/>
      </c>
    </row>
    <row r="2373" customFormat="false" ht="15" hidden="false" customHeight="true" outlineLevel="0" collapsed="false">
      <c r="H2373" s="14" t="b">
        <f aca="false">IF(중복검사!$A2371="",FALSE(),중복검사!$J2371="유지")</f>
        <v>0</v>
      </c>
      <c r="I2373" s="5" t="str">
        <f aca="false">IF($H2373=FALSE(),"",COUNTIF($H$6:$H2373,TRUE()))</f>
        <v/>
      </c>
      <c r="J2373" s="5" t="str">
        <f aca="false">IF($I2373="","","R"&amp;$I2373)</f>
        <v/>
      </c>
    </row>
    <row r="2374" customFormat="false" ht="15" hidden="false" customHeight="true" outlineLevel="0" collapsed="false">
      <c r="H2374" s="14" t="b">
        <f aca="false">IF(중복검사!$A2372="",FALSE(),중복검사!$J2372="유지")</f>
        <v>0</v>
      </c>
      <c r="I2374" s="5" t="str">
        <f aca="false">IF($H2374=FALSE(),"",COUNTIF($H$6:$H2374,TRUE()))</f>
        <v/>
      </c>
      <c r="J2374" s="5" t="str">
        <f aca="false">IF($I2374="","","R"&amp;$I2374)</f>
        <v/>
      </c>
    </row>
    <row r="2375" customFormat="false" ht="15" hidden="false" customHeight="true" outlineLevel="0" collapsed="false">
      <c r="H2375" s="14" t="b">
        <f aca="false">IF(중복검사!$A2373="",FALSE(),중복검사!$J2373="유지")</f>
        <v>0</v>
      </c>
      <c r="I2375" s="5" t="str">
        <f aca="false">IF($H2375=FALSE(),"",COUNTIF($H$6:$H2375,TRUE()))</f>
        <v/>
      </c>
      <c r="J2375" s="5" t="str">
        <f aca="false">IF($I2375="","","R"&amp;$I2375)</f>
        <v/>
      </c>
    </row>
    <row r="2376" customFormat="false" ht="15" hidden="false" customHeight="true" outlineLevel="0" collapsed="false">
      <c r="H2376" s="14" t="b">
        <f aca="false">IF(중복검사!$A2374="",FALSE(),중복검사!$J2374="유지")</f>
        <v>0</v>
      </c>
      <c r="I2376" s="5" t="str">
        <f aca="false">IF($H2376=FALSE(),"",COUNTIF($H$6:$H2376,TRUE()))</f>
        <v/>
      </c>
      <c r="J2376" s="5" t="str">
        <f aca="false">IF($I2376="","","R"&amp;$I2376)</f>
        <v/>
      </c>
    </row>
    <row r="2377" customFormat="false" ht="15" hidden="false" customHeight="true" outlineLevel="0" collapsed="false">
      <c r="H2377" s="14" t="b">
        <f aca="false">IF(중복검사!$A2375="",FALSE(),중복검사!$J2375="유지")</f>
        <v>0</v>
      </c>
      <c r="I2377" s="5" t="str">
        <f aca="false">IF($H2377=FALSE(),"",COUNTIF($H$6:$H2377,TRUE()))</f>
        <v/>
      </c>
      <c r="J2377" s="5" t="str">
        <f aca="false">IF($I2377="","","R"&amp;$I2377)</f>
        <v/>
      </c>
    </row>
    <row r="2378" customFormat="false" ht="15" hidden="false" customHeight="true" outlineLevel="0" collapsed="false">
      <c r="H2378" s="14" t="b">
        <f aca="false">IF(중복검사!$A2376="",FALSE(),중복검사!$J2376="유지")</f>
        <v>0</v>
      </c>
      <c r="I2378" s="5" t="str">
        <f aca="false">IF($H2378=FALSE(),"",COUNTIF($H$6:$H2378,TRUE()))</f>
        <v/>
      </c>
      <c r="J2378" s="5" t="str">
        <f aca="false">IF($I2378="","","R"&amp;$I2378)</f>
        <v/>
      </c>
    </row>
    <row r="2379" customFormat="false" ht="15" hidden="false" customHeight="true" outlineLevel="0" collapsed="false">
      <c r="H2379" s="14" t="b">
        <f aca="false">IF(중복검사!$A2377="",FALSE(),중복검사!$J2377="유지")</f>
        <v>0</v>
      </c>
      <c r="I2379" s="5" t="str">
        <f aca="false">IF($H2379=FALSE(),"",COUNTIF($H$6:$H2379,TRUE()))</f>
        <v/>
      </c>
      <c r="J2379" s="5" t="str">
        <f aca="false">IF($I2379="","","R"&amp;$I2379)</f>
        <v/>
      </c>
    </row>
    <row r="2380" customFormat="false" ht="15" hidden="false" customHeight="true" outlineLevel="0" collapsed="false">
      <c r="H2380" s="14" t="b">
        <f aca="false">IF(중복검사!$A2378="",FALSE(),중복검사!$J2378="유지")</f>
        <v>0</v>
      </c>
      <c r="I2380" s="5" t="str">
        <f aca="false">IF($H2380=FALSE(),"",COUNTIF($H$6:$H2380,TRUE()))</f>
        <v/>
      </c>
      <c r="J2380" s="5" t="str">
        <f aca="false">IF($I2380="","","R"&amp;$I2380)</f>
        <v/>
      </c>
    </row>
    <row r="2381" customFormat="false" ht="15" hidden="false" customHeight="true" outlineLevel="0" collapsed="false">
      <c r="H2381" s="14" t="b">
        <f aca="false">IF(중복검사!$A2379="",FALSE(),중복검사!$J2379="유지")</f>
        <v>0</v>
      </c>
      <c r="I2381" s="5" t="str">
        <f aca="false">IF($H2381=FALSE(),"",COUNTIF($H$6:$H2381,TRUE()))</f>
        <v/>
      </c>
      <c r="J2381" s="5" t="str">
        <f aca="false">IF($I2381="","","R"&amp;$I2381)</f>
        <v/>
      </c>
    </row>
    <row r="2382" customFormat="false" ht="15" hidden="false" customHeight="true" outlineLevel="0" collapsed="false">
      <c r="H2382" s="14" t="b">
        <f aca="false">IF(중복검사!$A2380="",FALSE(),중복검사!$J2380="유지")</f>
        <v>0</v>
      </c>
      <c r="I2382" s="5" t="str">
        <f aca="false">IF($H2382=FALSE(),"",COUNTIF($H$6:$H2382,TRUE()))</f>
        <v/>
      </c>
      <c r="J2382" s="5" t="str">
        <f aca="false">IF($I2382="","","R"&amp;$I2382)</f>
        <v/>
      </c>
    </row>
    <row r="2383" customFormat="false" ht="15" hidden="false" customHeight="true" outlineLevel="0" collapsed="false">
      <c r="H2383" s="14" t="b">
        <f aca="false">IF(중복검사!$A2381="",FALSE(),중복검사!$J2381="유지")</f>
        <v>0</v>
      </c>
      <c r="I2383" s="5" t="str">
        <f aca="false">IF($H2383=FALSE(),"",COUNTIF($H$6:$H2383,TRUE()))</f>
        <v/>
      </c>
      <c r="J2383" s="5" t="str">
        <f aca="false">IF($I2383="","","R"&amp;$I2383)</f>
        <v/>
      </c>
    </row>
    <row r="2384" customFormat="false" ht="15" hidden="false" customHeight="true" outlineLevel="0" collapsed="false">
      <c r="H2384" s="14" t="b">
        <f aca="false">IF(중복검사!$A2382="",FALSE(),중복검사!$J2382="유지")</f>
        <v>0</v>
      </c>
      <c r="I2384" s="5" t="str">
        <f aca="false">IF($H2384=FALSE(),"",COUNTIF($H$6:$H2384,TRUE()))</f>
        <v/>
      </c>
      <c r="J2384" s="5" t="str">
        <f aca="false">IF($I2384="","","R"&amp;$I2384)</f>
        <v/>
      </c>
    </row>
    <row r="2385" customFormat="false" ht="15" hidden="false" customHeight="true" outlineLevel="0" collapsed="false">
      <c r="H2385" s="14" t="b">
        <f aca="false">IF(중복검사!$A2383="",FALSE(),중복검사!$J2383="유지")</f>
        <v>0</v>
      </c>
      <c r="I2385" s="5" t="str">
        <f aca="false">IF($H2385=FALSE(),"",COUNTIF($H$6:$H2385,TRUE()))</f>
        <v/>
      </c>
      <c r="J2385" s="5" t="str">
        <f aca="false">IF($I2385="","","R"&amp;$I2385)</f>
        <v/>
      </c>
    </row>
    <row r="2386" customFormat="false" ht="15" hidden="false" customHeight="true" outlineLevel="0" collapsed="false">
      <c r="H2386" s="14" t="b">
        <f aca="false">IF(중복검사!$A2384="",FALSE(),중복검사!$J2384="유지")</f>
        <v>0</v>
      </c>
      <c r="I2386" s="5" t="str">
        <f aca="false">IF($H2386=FALSE(),"",COUNTIF($H$6:$H2386,TRUE()))</f>
        <v/>
      </c>
      <c r="J2386" s="5" t="str">
        <f aca="false">IF($I2386="","","R"&amp;$I2386)</f>
        <v/>
      </c>
    </row>
    <row r="2387" customFormat="false" ht="15" hidden="false" customHeight="true" outlineLevel="0" collapsed="false">
      <c r="H2387" s="14" t="b">
        <f aca="false">IF(중복검사!$A2385="",FALSE(),중복검사!$J2385="유지")</f>
        <v>0</v>
      </c>
      <c r="I2387" s="5" t="str">
        <f aca="false">IF($H2387=FALSE(),"",COUNTIF($H$6:$H2387,TRUE()))</f>
        <v/>
      </c>
      <c r="J2387" s="5" t="str">
        <f aca="false">IF($I2387="","","R"&amp;$I2387)</f>
        <v/>
      </c>
    </row>
    <row r="2388" customFormat="false" ht="15" hidden="false" customHeight="true" outlineLevel="0" collapsed="false">
      <c r="H2388" s="14" t="b">
        <f aca="false">IF(중복검사!$A2386="",FALSE(),중복검사!$J2386="유지")</f>
        <v>0</v>
      </c>
      <c r="I2388" s="5" t="str">
        <f aca="false">IF($H2388=FALSE(),"",COUNTIF($H$6:$H2388,TRUE()))</f>
        <v/>
      </c>
      <c r="J2388" s="5" t="str">
        <f aca="false">IF($I2388="","","R"&amp;$I2388)</f>
        <v/>
      </c>
    </row>
    <row r="2389" customFormat="false" ht="15" hidden="false" customHeight="true" outlineLevel="0" collapsed="false">
      <c r="H2389" s="14" t="b">
        <f aca="false">IF(중복검사!$A2387="",FALSE(),중복검사!$J2387="유지")</f>
        <v>0</v>
      </c>
      <c r="I2389" s="5" t="str">
        <f aca="false">IF($H2389=FALSE(),"",COUNTIF($H$6:$H2389,TRUE()))</f>
        <v/>
      </c>
      <c r="J2389" s="5" t="str">
        <f aca="false">IF($I2389="","","R"&amp;$I2389)</f>
        <v/>
      </c>
    </row>
    <row r="2390" customFormat="false" ht="15" hidden="false" customHeight="true" outlineLevel="0" collapsed="false">
      <c r="H2390" s="14" t="b">
        <f aca="false">IF(중복검사!$A2388="",FALSE(),중복검사!$J2388="유지")</f>
        <v>0</v>
      </c>
      <c r="I2390" s="5" t="str">
        <f aca="false">IF($H2390=FALSE(),"",COUNTIF($H$6:$H2390,TRUE()))</f>
        <v/>
      </c>
      <c r="J2390" s="5" t="str">
        <f aca="false">IF($I2390="","","R"&amp;$I2390)</f>
        <v/>
      </c>
    </row>
    <row r="2391" customFormat="false" ht="15" hidden="false" customHeight="true" outlineLevel="0" collapsed="false">
      <c r="H2391" s="14" t="b">
        <f aca="false">IF(중복검사!$A2389="",FALSE(),중복검사!$J2389="유지")</f>
        <v>0</v>
      </c>
      <c r="I2391" s="5" t="str">
        <f aca="false">IF($H2391=FALSE(),"",COUNTIF($H$6:$H2391,TRUE()))</f>
        <v/>
      </c>
      <c r="J2391" s="5" t="str">
        <f aca="false">IF($I2391="","","R"&amp;$I2391)</f>
        <v/>
      </c>
    </row>
    <row r="2392" customFormat="false" ht="15" hidden="false" customHeight="true" outlineLevel="0" collapsed="false">
      <c r="H2392" s="14" t="b">
        <f aca="false">IF(중복검사!$A2390="",FALSE(),중복검사!$J2390="유지")</f>
        <v>0</v>
      </c>
      <c r="I2392" s="5" t="str">
        <f aca="false">IF($H2392=FALSE(),"",COUNTIF($H$6:$H2392,TRUE()))</f>
        <v/>
      </c>
      <c r="J2392" s="5" t="str">
        <f aca="false">IF($I2392="","","R"&amp;$I2392)</f>
        <v/>
      </c>
    </row>
    <row r="2393" customFormat="false" ht="15" hidden="false" customHeight="true" outlineLevel="0" collapsed="false">
      <c r="H2393" s="14" t="b">
        <f aca="false">IF(중복검사!$A2391="",FALSE(),중복검사!$J2391="유지")</f>
        <v>0</v>
      </c>
      <c r="I2393" s="5" t="str">
        <f aca="false">IF($H2393=FALSE(),"",COUNTIF($H$6:$H2393,TRUE()))</f>
        <v/>
      </c>
      <c r="J2393" s="5" t="str">
        <f aca="false">IF($I2393="","","R"&amp;$I2393)</f>
        <v/>
      </c>
    </row>
    <row r="2394" customFormat="false" ht="15" hidden="false" customHeight="true" outlineLevel="0" collapsed="false">
      <c r="H2394" s="14" t="b">
        <f aca="false">IF(중복검사!$A2392="",FALSE(),중복검사!$J2392="유지")</f>
        <v>0</v>
      </c>
      <c r="I2394" s="5" t="str">
        <f aca="false">IF($H2394=FALSE(),"",COUNTIF($H$6:$H2394,TRUE()))</f>
        <v/>
      </c>
      <c r="J2394" s="5" t="str">
        <f aca="false">IF($I2394="","","R"&amp;$I2394)</f>
        <v/>
      </c>
    </row>
    <row r="2395" customFormat="false" ht="15" hidden="false" customHeight="true" outlineLevel="0" collapsed="false">
      <c r="H2395" s="14" t="b">
        <f aca="false">IF(중복검사!$A2393="",FALSE(),중복검사!$J2393="유지")</f>
        <v>0</v>
      </c>
      <c r="I2395" s="5" t="str">
        <f aca="false">IF($H2395=FALSE(),"",COUNTIF($H$6:$H2395,TRUE()))</f>
        <v/>
      </c>
      <c r="J2395" s="5" t="str">
        <f aca="false">IF($I2395="","","R"&amp;$I2395)</f>
        <v/>
      </c>
    </row>
    <row r="2396" customFormat="false" ht="15" hidden="false" customHeight="true" outlineLevel="0" collapsed="false">
      <c r="H2396" s="14" t="b">
        <f aca="false">IF(중복검사!$A2394="",FALSE(),중복검사!$J2394="유지")</f>
        <v>0</v>
      </c>
      <c r="I2396" s="5" t="str">
        <f aca="false">IF($H2396=FALSE(),"",COUNTIF($H$6:$H2396,TRUE()))</f>
        <v/>
      </c>
      <c r="J2396" s="5" t="str">
        <f aca="false">IF($I2396="","","R"&amp;$I2396)</f>
        <v/>
      </c>
    </row>
    <row r="2397" customFormat="false" ht="15" hidden="false" customHeight="true" outlineLevel="0" collapsed="false">
      <c r="H2397" s="14" t="b">
        <f aca="false">IF(중복검사!$A2395="",FALSE(),중복검사!$J2395="유지")</f>
        <v>0</v>
      </c>
      <c r="I2397" s="5" t="str">
        <f aca="false">IF($H2397=FALSE(),"",COUNTIF($H$6:$H2397,TRUE()))</f>
        <v/>
      </c>
      <c r="J2397" s="5" t="str">
        <f aca="false">IF($I2397="","","R"&amp;$I2397)</f>
        <v/>
      </c>
    </row>
    <row r="2398" customFormat="false" ht="15" hidden="false" customHeight="true" outlineLevel="0" collapsed="false">
      <c r="H2398" s="14" t="b">
        <f aca="false">IF(중복검사!$A2396="",FALSE(),중복검사!$J2396="유지")</f>
        <v>0</v>
      </c>
      <c r="I2398" s="5" t="str">
        <f aca="false">IF($H2398=FALSE(),"",COUNTIF($H$6:$H2398,TRUE()))</f>
        <v/>
      </c>
      <c r="J2398" s="5" t="str">
        <f aca="false">IF($I2398="","","R"&amp;$I2398)</f>
        <v/>
      </c>
    </row>
    <row r="2399" customFormat="false" ht="15" hidden="false" customHeight="true" outlineLevel="0" collapsed="false">
      <c r="H2399" s="14" t="b">
        <f aca="false">IF(중복검사!$A2397="",FALSE(),중복검사!$J2397="유지")</f>
        <v>0</v>
      </c>
      <c r="I2399" s="5" t="str">
        <f aca="false">IF($H2399=FALSE(),"",COUNTIF($H$6:$H2399,TRUE()))</f>
        <v/>
      </c>
      <c r="J2399" s="5" t="str">
        <f aca="false">IF($I2399="","","R"&amp;$I2399)</f>
        <v/>
      </c>
    </row>
    <row r="2400" customFormat="false" ht="15" hidden="false" customHeight="true" outlineLevel="0" collapsed="false">
      <c r="H2400" s="14" t="b">
        <f aca="false">IF(중복검사!$A2398="",FALSE(),중복검사!$J2398="유지")</f>
        <v>0</v>
      </c>
      <c r="I2400" s="5" t="str">
        <f aca="false">IF($H2400=FALSE(),"",COUNTIF($H$6:$H2400,TRUE()))</f>
        <v/>
      </c>
      <c r="J2400" s="5" t="str">
        <f aca="false">IF($I2400="","","R"&amp;$I2400)</f>
        <v/>
      </c>
    </row>
    <row r="2401" customFormat="false" ht="15" hidden="false" customHeight="true" outlineLevel="0" collapsed="false">
      <c r="H2401" s="14" t="b">
        <f aca="false">IF(중복검사!$A2399="",FALSE(),중복검사!$J2399="유지")</f>
        <v>0</v>
      </c>
      <c r="I2401" s="5" t="str">
        <f aca="false">IF($H2401=FALSE(),"",COUNTIF($H$6:$H2401,TRUE()))</f>
        <v/>
      </c>
      <c r="J2401" s="5" t="str">
        <f aca="false">IF($I2401="","","R"&amp;$I2401)</f>
        <v/>
      </c>
    </row>
    <row r="2402" customFormat="false" ht="15" hidden="false" customHeight="true" outlineLevel="0" collapsed="false">
      <c r="H2402" s="14" t="b">
        <f aca="false">IF(중복검사!$A2400="",FALSE(),중복검사!$J2400="유지")</f>
        <v>0</v>
      </c>
      <c r="I2402" s="5" t="str">
        <f aca="false">IF($H2402=FALSE(),"",COUNTIF($H$6:$H2402,TRUE()))</f>
        <v/>
      </c>
      <c r="J2402" s="5" t="str">
        <f aca="false">IF($I2402="","","R"&amp;$I2402)</f>
        <v/>
      </c>
    </row>
    <row r="2403" customFormat="false" ht="15" hidden="false" customHeight="true" outlineLevel="0" collapsed="false">
      <c r="H2403" s="14" t="b">
        <f aca="false">IF(중복검사!$A2401="",FALSE(),중복검사!$J2401="유지")</f>
        <v>0</v>
      </c>
      <c r="I2403" s="5" t="str">
        <f aca="false">IF($H2403=FALSE(),"",COUNTIF($H$6:$H2403,TRUE()))</f>
        <v/>
      </c>
      <c r="J2403" s="5" t="str">
        <f aca="false">IF($I2403="","","R"&amp;$I2403)</f>
        <v/>
      </c>
    </row>
    <row r="2404" customFormat="false" ht="15" hidden="false" customHeight="true" outlineLevel="0" collapsed="false">
      <c r="H2404" s="14" t="b">
        <f aca="false">IF(중복검사!$A2402="",FALSE(),중복검사!$J2402="유지")</f>
        <v>0</v>
      </c>
      <c r="I2404" s="5" t="str">
        <f aca="false">IF($H2404=FALSE(),"",COUNTIF($H$6:$H2404,TRUE()))</f>
        <v/>
      </c>
      <c r="J2404" s="5" t="str">
        <f aca="false">IF($I2404="","","R"&amp;$I2404)</f>
        <v/>
      </c>
    </row>
    <row r="2405" customFormat="false" ht="15" hidden="false" customHeight="true" outlineLevel="0" collapsed="false">
      <c r="H2405" s="14" t="b">
        <f aca="false">IF(중복검사!$A2403="",FALSE(),중복검사!$J2403="유지")</f>
        <v>0</v>
      </c>
      <c r="I2405" s="5" t="str">
        <f aca="false">IF($H2405=FALSE(),"",COUNTIF($H$6:$H2405,TRUE()))</f>
        <v/>
      </c>
      <c r="J2405" s="5" t="str">
        <f aca="false">IF($I2405="","","R"&amp;$I2405)</f>
        <v/>
      </c>
    </row>
    <row r="2406" customFormat="false" ht="15" hidden="false" customHeight="true" outlineLevel="0" collapsed="false">
      <c r="H2406" s="14" t="b">
        <f aca="false">IF(중복검사!$A2404="",FALSE(),중복검사!$J2404="유지")</f>
        <v>0</v>
      </c>
      <c r="I2406" s="5" t="str">
        <f aca="false">IF($H2406=FALSE(),"",COUNTIF($H$6:$H2406,TRUE()))</f>
        <v/>
      </c>
      <c r="J2406" s="5" t="str">
        <f aca="false">IF($I2406="","","R"&amp;$I2406)</f>
        <v/>
      </c>
    </row>
    <row r="2407" customFormat="false" ht="15" hidden="false" customHeight="true" outlineLevel="0" collapsed="false">
      <c r="H2407" s="14" t="b">
        <f aca="false">IF(중복검사!$A2405="",FALSE(),중복검사!$J2405="유지")</f>
        <v>0</v>
      </c>
      <c r="I2407" s="5" t="str">
        <f aca="false">IF($H2407=FALSE(),"",COUNTIF($H$6:$H2407,TRUE()))</f>
        <v/>
      </c>
      <c r="J2407" s="5" t="str">
        <f aca="false">IF($I2407="","","R"&amp;$I2407)</f>
        <v/>
      </c>
    </row>
    <row r="2408" customFormat="false" ht="15" hidden="false" customHeight="true" outlineLevel="0" collapsed="false">
      <c r="H2408" s="14" t="b">
        <f aca="false">IF(중복검사!$A2406="",FALSE(),중복검사!$J2406="유지")</f>
        <v>0</v>
      </c>
      <c r="I2408" s="5" t="str">
        <f aca="false">IF($H2408=FALSE(),"",COUNTIF($H$6:$H2408,TRUE()))</f>
        <v/>
      </c>
      <c r="J2408" s="5" t="str">
        <f aca="false">IF($I2408="","","R"&amp;$I2408)</f>
        <v/>
      </c>
    </row>
    <row r="2409" customFormat="false" ht="15" hidden="false" customHeight="true" outlineLevel="0" collapsed="false">
      <c r="H2409" s="14" t="b">
        <f aca="false">IF(중복검사!$A2407="",FALSE(),중복검사!$J2407="유지")</f>
        <v>0</v>
      </c>
      <c r="I2409" s="5" t="str">
        <f aca="false">IF($H2409=FALSE(),"",COUNTIF($H$6:$H2409,TRUE()))</f>
        <v/>
      </c>
      <c r="J2409" s="5" t="str">
        <f aca="false">IF($I2409="","","R"&amp;$I2409)</f>
        <v/>
      </c>
    </row>
    <row r="2410" customFormat="false" ht="15" hidden="false" customHeight="true" outlineLevel="0" collapsed="false">
      <c r="H2410" s="14" t="b">
        <f aca="false">IF(중복검사!$A2408="",FALSE(),중복검사!$J2408="유지")</f>
        <v>0</v>
      </c>
      <c r="I2410" s="5" t="str">
        <f aca="false">IF($H2410=FALSE(),"",COUNTIF($H$6:$H2410,TRUE()))</f>
        <v/>
      </c>
      <c r="J2410" s="5" t="str">
        <f aca="false">IF($I2410="","","R"&amp;$I2410)</f>
        <v/>
      </c>
    </row>
    <row r="2411" customFormat="false" ht="15" hidden="false" customHeight="true" outlineLevel="0" collapsed="false">
      <c r="H2411" s="14" t="b">
        <f aca="false">IF(중복검사!$A2409="",FALSE(),중복검사!$J2409="유지")</f>
        <v>0</v>
      </c>
      <c r="I2411" s="5" t="str">
        <f aca="false">IF($H2411=FALSE(),"",COUNTIF($H$6:$H2411,TRUE()))</f>
        <v/>
      </c>
      <c r="J2411" s="5" t="str">
        <f aca="false">IF($I2411="","","R"&amp;$I2411)</f>
        <v/>
      </c>
    </row>
    <row r="2412" customFormat="false" ht="15" hidden="false" customHeight="true" outlineLevel="0" collapsed="false">
      <c r="H2412" s="14" t="b">
        <f aca="false">IF(중복검사!$A2410="",FALSE(),중복검사!$J2410="유지")</f>
        <v>0</v>
      </c>
      <c r="I2412" s="5" t="str">
        <f aca="false">IF($H2412=FALSE(),"",COUNTIF($H$6:$H2412,TRUE()))</f>
        <v/>
      </c>
      <c r="J2412" s="5" t="str">
        <f aca="false">IF($I2412="","","R"&amp;$I2412)</f>
        <v/>
      </c>
    </row>
    <row r="2413" customFormat="false" ht="15" hidden="false" customHeight="true" outlineLevel="0" collapsed="false">
      <c r="H2413" s="14" t="b">
        <f aca="false">IF(중복검사!$A2411="",FALSE(),중복검사!$J2411="유지")</f>
        <v>0</v>
      </c>
      <c r="I2413" s="5" t="str">
        <f aca="false">IF($H2413=FALSE(),"",COUNTIF($H$6:$H2413,TRUE()))</f>
        <v/>
      </c>
      <c r="J2413" s="5" t="str">
        <f aca="false">IF($I2413="","","R"&amp;$I2413)</f>
        <v/>
      </c>
    </row>
    <row r="2414" customFormat="false" ht="15" hidden="false" customHeight="true" outlineLevel="0" collapsed="false">
      <c r="H2414" s="14" t="b">
        <f aca="false">IF(중복검사!$A2412="",FALSE(),중복검사!$J2412="유지")</f>
        <v>0</v>
      </c>
      <c r="I2414" s="5" t="str">
        <f aca="false">IF($H2414=FALSE(),"",COUNTIF($H$6:$H2414,TRUE()))</f>
        <v/>
      </c>
      <c r="J2414" s="5" t="str">
        <f aca="false">IF($I2414="","","R"&amp;$I2414)</f>
        <v/>
      </c>
    </row>
    <row r="2415" customFormat="false" ht="15" hidden="false" customHeight="true" outlineLevel="0" collapsed="false">
      <c r="H2415" s="14" t="b">
        <f aca="false">IF(중복검사!$A2413="",FALSE(),중복검사!$J2413="유지")</f>
        <v>0</v>
      </c>
      <c r="I2415" s="5" t="str">
        <f aca="false">IF($H2415=FALSE(),"",COUNTIF($H$6:$H2415,TRUE()))</f>
        <v/>
      </c>
      <c r="J2415" s="5" t="str">
        <f aca="false">IF($I2415="","","R"&amp;$I2415)</f>
        <v/>
      </c>
    </row>
    <row r="2416" customFormat="false" ht="15" hidden="false" customHeight="true" outlineLevel="0" collapsed="false">
      <c r="H2416" s="14" t="b">
        <f aca="false">IF(중복검사!$A2414="",FALSE(),중복검사!$J2414="유지")</f>
        <v>0</v>
      </c>
      <c r="I2416" s="5" t="str">
        <f aca="false">IF($H2416=FALSE(),"",COUNTIF($H$6:$H2416,TRUE()))</f>
        <v/>
      </c>
      <c r="J2416" s="5" t="str">
        <f aca="false">IF($I2416="","","R"&amp;$I2416)</f>
        <v/>
      </c>
    </row>
    <row r="2417" customFormat="false" ht="15" hidden="false" customHeight="true" outlineLevel="0" collapsed="false">
      <c r="H2417" s="14" t="b">
        <f aca="false">IF(중복검사!$A2415="",FALSE(),중복검사!$J2415="유지")</f>
        <v>0</v>
      </c>
      <c r="I2417" s="5" t="str">
        <f aca="false">IF($H2417=FALSE(),"",COUNTIF($H$6:$H2417,TRUE()))</f>
        <v/>
      </c>
      <c r="J2417" s="5" t="str">
        <f aca="false">IF($I2417="","","R"&amp;$I2417)</f>
        <v/>
      </c>
    </row>
    <row r="2418" customFormat="false" ht="15" hidden="false" customHeight="true" outlineLevel="0" collapsed="false">
      <c r="H2418" s="14" t="b">
        <f aca="false">IF(중복검사!$A2416="",FALSE(),중복검사!$J2416="유지")</f>
        <v>0</v>
      </c>
      <c r="I2418" s="5" t="str">
        <f aca="false">IF($H2418=FALSE(),"",COUNTIF($H$6:$H2418,TRUE()))</f>
        <v/>
      </c>
      <c r="J2418" s="5" t="str">
        <f aca="false">IF($I2418="","","R"&amp;$I2418)</f>
        <v/>
      </c>
    </row>
    <row r="2419" customFormat="false" ht="15" hidden="false" customHeight="true" outlineLevel="0" collapsed="false">
      <c r="H2419" s="14" t="b">
        <f aca="false">IF(중복검사!$A2417="",FALSE(),중복검사!$J2417="유지")</f>
        <v>0</v>
      </c>
      <c r="I2419" s="5" t="str">
        <f aca="false">IF($H2419=FALSE(),"",COUNTIF($H$6:$H2419,TRUE()))</f>
        <v/>
      </c>
      <c r="J2419" s="5" t="str">
        <f aca="false">IF($I2419="","","R"&amp;$I2419)</f>
        <v/>
      </c>
    </row>
    <row r="2420" customFormat="false" ht="15" hidden="false" customHeight="true" outlineLevel="0" collapsed="false">
      <c r="H2420" s="14" t="b">
        <f aca="false">IF(중복검사!$A2418="",FALSE(),중복검사!$J2418="유지")</f>
        <v>0</v>
      </c>
      <c r="I2420" s="5" t="str">
        <f aca="false">IF($H2420=FALSE(),"",COUNTIF($H$6:$H2420,TRUE()))</f>
        <v/>
      </c>
      <c r="J2420" s="5" t="str">
        <f aca="false">IF($I2420="","","R"&amp;$I2420)</f>
        <v/>
      </c>
    </row>
    <row r="2421" customFormat="false" ht="15" hidden="false" customHeight="true" outlineLevel="0" collapsed="false">
      <c r="H2421" s="14" t="b">
        <f aca="false">IF(중복검사!$A2419="",FALSE(),중복검사!$J2419="유지")</f>
        <v>0</v>
      </c>
      <c r="I2421" s="5" t="str">
        <f aca="false">IF($H2421=FALSE(),"",COUNTIF($H$6:$H2421,TRUE()))</f>
        <v/>
      </c>
      <c r="J2421" s="5" t="str">
        <f aca="false">IF($I2421="","","R"&amp;$I2421)</f>
        <v/>
      </c>
    </row>
    <row r="2422" customFormat="false" ht="15" hidden="false" customHeight="true" outlineLevel="0" collapsed="false">
      <c r="H2422" s="14" t="b">
        <f aca="false">IF(중복검사!$A2420="",FALSE(),중복검사!$J2420="유지")</f>
        <v>0</v>
      </c>
      <c r="I2422" s="5" t="str">
        <f aca="false">IF($H2422=FALSE(),"",COUNTIF($H$6:$H2422,TRUE()))</f>
        <v/>
      </c>
      <c r="J2422" s="5" t="str">
        <f aca="false">IF($I2422="","","R"&amp;$I2422)</f>
        <v/>
      </c>
    </row>
    <row r="2423" customFormat="false" ht="15" hidden="false" customHeight="true" outlineLevel="0" collapsed="false">
      <c r="H2423" s="14" t="b">
        <f aca="false">IF(중복검사!$A2421="",FALSE(),중복검사!$J2421="유지")</f>
        <v>0</v>
      </c>
      <c r="I2423" s="5" t="str">
        <f aca="false">IF($H2423=FALSE(),"",COUNTIF($H$6:$H2423,TRUE()))</f>
        <v/>
      </c>
      <c r="J2423" s="5" t="str">
        <f aca="false">IF($I2423="","","R"&amp;$I2423)</f>
        <v/>
      </c>
    </row>
    <row r="2424" customFormat="false" ht="15" hidden="false" customHeight="true" outlineLevel="0" collapsed="false">
      <c r="H2424" s="14" t="b">
        <f aca="false">IF(중복검사!$A2422="",FALSE(),중복검사!$J2422="유지")</f>
        <v>0</v>
      </c>
      <c r="I2424" s="5" t="str">
        <f aca="false">IF($H2424=FALSE(),"",COUNTIF($H$6:$H2424,TRUE()))</f>
        <v/>
      </c>
      <c r="J2424" s="5" t="str">
        <f aca="false">IF($I2424="","","R"&amp;$I2424)</f>
        <v/>
      </c>
    </row>
    <row r="2425" customFormat="false" ht="15" hidden="false" customHeight="true" outlineLevel="0" collapsed="false">
      <c r="H2425" s="14" t="b">
        <f aca="false">IF(중복검사!$A2423="",FALSE(),중복검사!$J2423="유지")</f>
        <v>0</v>
      </c>
      <c r="I2425" s="5" t="str">
        <f aca="false">IF($H2425=FALSE(),"",COUNTIF($H$6:$H2425,TRUE()))</f>
        <v/>
      </c>
      <c r="J2425" s="5" t="str">
        <f aca="false">IF($I2425="","","R"&amp;$I2425)</f>
        <v/>
      </c>
    </row>
    <row r="2426" customFormat="false" ht="15" hidden="false" customHeight="true" outlineLevel="0" collapsed="false">
      <c r="H2426" s="14" t="b">
        <f aca="false">IF(중복검사!$A2424="",FALSE(),중복검사!$J2424="유지")</f>
        <v>0</v>
      </c>
      <c r="I2426" s="5" t="str">
        <f aca="false">IF($H2426=FALSE(),"",COUNTIF($H$6:$H2426,TRUE()))</f>
        <v/>
      </c>
      <c r="J2426" s="5" t="str">
        <f aca="false">IF($I2426="","","R"&amp;$I2426)</f>
        <v/>
      </c>
    </row>
    <row r="2427" customFormat="false" ht="15" hidden="false" customHeight="true" outlineLevel="0" collapsed="false">
      <c r="H2427" s="14" t="b">
        <f aca="false">IF(중복검사!$A2425="",FALSE(),중복검사!$J2425="유지")</f>
        <v>0</v>
      </c>
      <c r="I2427" s="5" t="str">
        <f aca="false">IF($H2427=FALSE(),"",COUNTIF($H$6:$H2427,TRUE()))</f>
        <v/>
      </c>
      <c r="J2427" s="5" t="str">
        <f aca="false">IF($I2427="","","R"&amp;$I2427)</f>
        <v/>
      </c>
    </row>
    <row r="2428" customFormat="false" ht="15" hidden="false" customHeight="true" outlineLevel="0" collapsed="false">
      <c r="H2428" s="14" t="b">
        <f aca="false">IF(중복검사!$A2426="",FALSE(),중복검사!$J2426="유지")</f>
        <v>0</v>
      </c>
      <c r="I2428" s="5" t="str">
        <f aca="false">IF($H2428=FALSE(),"",COUNTIF($H$6:$H2428,TRUE()))</f>
        <v/>
      </c>
      <c r="J2428" s="5" t="str">
        <f aca="false">IF($I2428="","","R"&amp;$I2428)</f>
        <v/>
      </c>
    </row>
    <row r="2429" customFormat="false" ht="15" hidden="false" customHeight="true" outlineLevel="0" collapsed="false">
      <c r="H2429" s="14" t="b">
        <f aca="false">IF(중복검사!$A2427="",FALSE(),중복검사!$J2427="유지")</f>
        <v>0</v>
      </c>
      <c r="I2429" s="5" t="str">
        <f aca="false">IF($H2429=FALSE(),"",COUNTIF($H$6:$H2429,TRUE()))</f>
        <v/>
      </c>
      <c r="J2429" s="5" t="str">
        <f aca="false">IF($I2429="","","R"&amp;$I2429)</f>
        <v/>
      </c>
    </row>
    <row r="2430" customFormat="false" ht="15" hidden="false" customHeight="true" outlineLevel="0" collapsed="false">
      <c r="H2430" s="14" t="b">
        <f aca="false">IF(중복검사!$A2428="",FALSE(),중복검사!$J2428="유지")</f>
        <v>0</v>
      </c>
      <c r="I2430" s="5" t="str">
        <f aca="false">IF($H2430=FALSE(),"",COUNTIF($H$6:$H2430,TRUE()))</f>
        <v/>
      </c>
      <c r="J2430" s="5" t="str">
        <f aca="false">IF($I2430="","","R"&amp;$I2430)</f>
        <v/>
      </c>
    </row>
    <row r="2431" customFormat="false" ht="15" hidden="false" customHeight="true" outlineLevel="0" collapsed="false">
      <c r="H2431" s="14" t="b">
        <f aca="false">IF(중복검사!$A2429="",FALSE(),중복검사!$J2429="유지")</f>
        <v>0</v>
      </c>
      <c r="I2431" s="5" t="str">
        <f aca="false">IF($H2431=FALSE(),"",COUNTIF($H$6:$H2431,TRUE()))</f>
        <v/>
      </c>
      <c r="J2431" s="5" t="str">
        <f aca="false">IF($I2431="","","R"&amp;$I2431)</f>
        <v/>
      </c>
    </row>
    <row r="2432" customFormat="false" ht="15" hidden="false" customHeight="true" outlineLevel="0" collapsed="false">
      <c r="H2432" s="14" t="b">
        <f aca="false">IF(중복검사!$A2430="",FALSE(),중복검사!$J2430="유지")</f>
        <v>0</v>
      </c>
      <c r="I2432" s="5" t="str">
        <f aca="false">IF($H2432=FALSE(),"",COUNTIF($H$6:$H2432,TRUE()))</f>
        <v/>
      </c>
      <c r="J2432" s="5" t="str">
        <f aca="false">IF($I2432="","","R"&amp;$I2432)</f>
        <v/>
      </c>
    </row>
    <row r="2433" customFormat="false" ht="15" hidden="false" customHeight="true" outlineLevel="0" collapsed="false">
      <c r="H2433" s="14" t="b">
        <f aca="false">IF(중복검사!$A2431="",FALSE(),중복검사!$J2431="유지")</f>
        <v>0</v>
      </c>
      <c r="I2433" s="5" t="str">
        <f aca="false">IF($H2433=FALSE(),"",COUNTIF($H$6:$H2433,TRUE()))</f>
        <v/>
      </c>
      <c r="J2433" s="5" t="str">
        <f aca="false">IF($I2433="","","R"&amp;$I2433)</f>
        <v/>
      </c>
    </row>
    <row r="2434" customFormat="false" ht="15" hidden="false" customHeight="true" outlineLevel="0" collapsed="false">
      <c r="H2434" s="14" t="b">
        <f aca="false">IF(중복검사!$A2432="",FALSE(),중복검사!$J2432="유지")</f>
        <v>0</v>
      </c>
      <c r="I2434" s="5" t="str">
        <f aca="false">IF($H2434=FALSE(),"",COUNTIF($H$6:$H2434,TRUE()))</f>
        <v/>
      </c>
      <c r="J2434" s="5" t="str">
        <f aca="false">IF($I2434="","","R"&amp;$I2434)</f>
        <v/>
      </c>
    </row>
    <row r="2435" customFormat="false" ht="15" hidden="false" customHeight="true" outlineLevel="0" collapsed="false">
      <c r="H2435" s="14" t="b">
        <f aca="false">IF(중복검사!$A2433="",FALSE(),중복검사!$J2433="유지")</f>
        <v>0</v>
      </c>
      <c r="I2435" s="5" t="str">
        <f aca="false">IF($H2435=FALSE(),"",COUNTIF($H$6:$H2435,TRUE()))</f>
        <v/>
      </c>
      <c r="J2435" s="5" t="str">
        <f aca="false">IF($I2435="","","R"&amp;$I2435)</f>
        <v/>
      </c>
    </row>
    <row r="2436" customFormat="false" ht="15" hidden="false" customHeight="true" outlineLevel="0" collapsed="false">
      <c r="H2436" s="14" t="b">
        <f aca="false">IF(중복검사!$A2434="",FALSE(),중복검사!$J2434="유지")</f>
        <v>0</v>
      </c>
      <c r="I2436" s="5" t="str">
        <f aca="false">IF($H2436=FALSE(),"",COUNTIF($H$6:$H2436,TRUE()))</f>
        <v/>
      </c>
      <c r="J2436" s="5" t="str">
        <f aca="false">IF($I2436="","","R"&amp;$I2436)</f>
        <v/>
      </c>
    </row>
    <row r="2437" customFormat="false" ht="15" hidden="false" customHeight="true" outlineLevel="0" collapsed="false">
      <c r="H2437" s="14" t="b">
        <f aca="false">IF(중복검사!$A2435="",FALSE(),중복검사!$J2435="유지")</f>
        <v>0</v>
      </c>
      <c r="I2437" s="5" t="str">
        <f aca="false">IF($H2437=FALSE(),"",COUNTIF($H$6:$H2437,TRUE()))</f>
        <v/>
      </c>
      <c r="J2437" s="5" t="str">
        <f aca="false">IF($I2437="","","R"&amp;$I2437)</f>
        <v/>
      </c>
    </row>
    <row r="2438" customFormat="false" ht="15" hidden="false" customHeight="true" outlineLevel="0" collapsed="false">
      <c r="H2438" s="14" t="b">
        <f aca="false">IF(중복검사!$A2436="",FALSE(),중복검사!$J2436="유지")</f>
        <v>0</v>
      </c>
      <c r="I2438" s="5" t="str">
        <f aca="false">IF($H2438=FALSE(),"",COUNTIF($H$6:$H2438,TRUE()))</f>
        <v/>
      </c>
      <c r="J2438" s="5" t="str">
        <f aca="false">IF($I2438="","","R"&amp;$I2438)</f>
        <v/>
      </c>
    </row>
    <row r="2439" customFormat="false" ht="15" hidden="false" customHeight="true" outlineLevel="0" collapsed="false">
      <c r="H2439" s="14" t="b">
        <f aca="false">IF(중복검사!$A2437="",FALSE(),중복검사!$J2437="유지")</f>
        <v>0</v>
      </c>
      <c r="I2439" s="5" t="str">
        <f aca="false">IF($H2439=FALSE(),"",COUNTIF($H$6:$H2439,TRUE()))</f>
        <v/>
      </c>
      <c r="J2439" s="5" t="str">
        <f aca="false">IF($I2439="","","R"&amp;$I2439)</f>
        <v/>
      </c>
    </row>
    <row r="2440" customFormat="false" ht="15" hidden="false" customHeight="true" outlineLevel="0" collapsed="false">
      <c r="H2440" s="14" t="b">
        <f aca="false">IF(중복검사!$A2438="",FALSE(),중복검사!$J2438="유지")</f>
        <v>0</v>
      </c>
      <c r="I2440" s="5" t="str">
        <f aca="false">IF($H2440=FALSE(),"",COUNTIF($H$6:$H2440,TRUE()))</f>
        <v/>
      </c>
      <c r="J2440" s="5" t="str">
        <f aca="false">IF($I2440="","","R"&amp;$I2440)</f>
        <v/>
      </c>
    </row>
    <row r="2441" customFormat="false" ht="15" hidden="false" customHeight="true" outlineLevel="0" collapsed="false">
      <c r="H2441" s="14" t="b">
        <f aca="false">IF(중복검사!$A2439="",FALSE(),중복검사!$J2439="유지")</f>
        <v>0</v>
      </c>
      <c r="I2441" s="5" t="str">
        <f aca="false">IF($H2441=FALSE(),"",COUNTIF($H$6:$H2441,TRUE()))</f>
        <v/>
      </c>
      <c r="J2441" s="5" t="str">
        <f aca="false">IF($I2441="","","R"&amp;$I2441)</f>
        <v/>
      </c>
    </row>
    <row r="2442" customFormat="false" ht="15" hidden="false" customHeight="true" outlineLevel="0" collapsed="false">
      <c r="H2442" s="14" t="b">
        <f aca="false">IF(중복검사!$A2440="",FALSE(),중복검사!$J2440="유지")</f>
        <v>0</v>
      </c>
      <c r="I2442" s="5" t="str">
        <f aca="false">IF($H2442=FALSE(),"",COUNTIF($H$6:$H2442,TRUE()))</f>
        <v/>
      </c>
      <c r="J2442" s="5" t="str">
        <f aca="false">IF($I2442="","","R"&amp;$I2442)</f>
        <v/>
      </c>
    </row>
    <row r="2443" customFormat="false" ht="15" hidden="false" customHeight="true" outlineLevel="0" collapsed="false">
      <c r="H2443" s="14" t="b">
        <f aca="false">IF(중복검사!$A2441="",FALSE(),중복검사!$J2441="유지")</f>
        <v>0</v>
      </c>
      <c r="I2443" s="5" t="str">
        <f aca="false">IF($H2443=FALSE(),"",COUNTIF($H$6:$H2443,TRUE()))</f>
        <v/>
      </c>
      <c r="J2443" s="5" t="str">
        <f aca="false">IF($I2443="","","R"&amp;$I2443)</f>
        <v/>
      </c>
    </row>
    <row r="2444" customFormat="false" ht="15" hidden="false" customHeight="true" outlineLevel="0" collapsed="false">
      <c r="H2444" s="14" t="b">
        <f aca="false">IF(중복검사!$A2442="",FALSE(),중복검사!$J2442="유지")</f>
        <v>0</v>
      </c>
      <c r="I2444" s="5" t="str">
        <f aca="false">IF($H2444=FALSE(),"",COUNTIF($H$6:$H2444,TRUE()))</f>
        <v/>
      </c>
      <c r="J2444" s="5" t="str">
        <f aca="false">IF($I2444="","","R"&amp;$I2444)</f>
        <v/>
      </c>
    </row>
    <row r="2445" customFormat="false" ht="15" hidden="false" customHeight="true" outlineLevel="0" collapsed="false">
      <c r="H2445" s="14" t="b">
        <f aca="false">IF(중복검사!$A2443="",FALSE(),중복검사!$J2443="유지")</f>
        <v>0</v>
      </c>
      <c r="I2445" s="5" t="str">
        <f aca="false">IF($H2445=FALSE(),"",COUNTIF($H$6:$H2445,TRUE()))</f>
        <v/>
      </c>
      <c r="J2445" s="5" t="str">
        <f aca="false">IF($I2445="","","R"&amp;$I2445)</f>
        <v/>
      </c>
    </row>
    <row r="2446" customFormat="false" ht="15" hidden="false" customHeight="true" outlineLevel="0" collapsed="false">
      <c r="H2446" s="14" t="b">
        <f aca="false">IF(중복검사!$A2444="",FALSE(),중복검사!$J2444="유지")</f>
        <v>0</v>
      </c>
      <c r="I2446" s="5" t="str">
        <f aca="false">IF($H2446=FALSE(),"",COUNTIF($H$6:$H2446,TRUE()))</f>
        <v/>
      </c>
      <c r="J2446" s="5" t="str">
        <f aca="false">IF($I2446="","","R"&amp;$I2446)</f>
        <v/>
      </c>
    </row>
    <row r="2447" customFormat="false" ht="15" hidden="false" customHeight="true" outlineLevel="0" collapsed="false">
      <c r="H2447" s="14" t="b">
        <f aca="false">IF(중복검사!$A2445="",FALSE(),중복검사!$J2445="유지")</f>
        <v>0</v>
      </c>
      <c r="I2447" s="5" t="str">
        <f aca="false">IF($H2447=FALSE(),"",COUNTIF($H$6:$H2447,TRUE()))</f>
        <v/>
      </c>
      <c r="J2447" s="5" t="str">
        <f aca="false">IF($I2447="","","R"&amp;$I2447)</f>
        <v/>
      </c>
    </row>
    <row r="2448" customFormat="false" ht="15" hidden="false" customHeight="true" outlineLevel="0" collapsed="false">
      <c r="H2448" s="14" t="b">
        <f aca="false">IF(중복검사!$A2446="",FALSE(),중복검사!$J2446="유지")</f>
        <v>0</v>
      </c>
      <c r="I2448" s="5" t="str">
        <f aca="false">IF($H2448=FALSE(),"",COUNTIF($H$6:$H2448,TRUE()))</f>
        <v/>
      </c>
      <c r="J2448" s="5" t="str">
        <f aca="false">IF($I2448="","","R"&amp;$I2448)</f>
        <v/>
      </c>
    </row>
    <row r="2449" customFormat="false" ht="15" hidden="false" customHeight="true" outlineLevel="0" collapsed="false">
      <c r="H2449" s="14" t="b">
        <f aca="false">IF(중복검사!$A2447="",FALSE(),중복검사!$J2447="유지")</f>
        <v>0</v>
      </c>
      <c r="I2449" s="5" t="str">
        <f aca="false">IF($H2449=FALSE(),"",COUNTIF($H$6:$H2449,TRUE()))</f>
        <v/>
      </c>
      <c r="J2449" s="5" t="str">
        <f aca="false">IF($I2449="","","R"&amp;$I2449)</f>
        <v/>
      </c>
    </row>
    <row r="2450" customFormat="false" ht="15" hidden="false" customHeight="true" outlineLevel="0" collapsed="false">
      <c r="H2450" s="14" t="b">
        <f aca="false">IF(중복검사!$A2448="",FALSE(),중복검사!$J2448="유지")</f>
        <v>0</v>
      </c>
      <c r="I2450" s="5" t="str">
        <f aca="false">IF($H2450=FALSE(),"",COUNTIF($H$6:$H2450,TRUE()))</f>
        <v/>
      </c>
      <c r="J2450" s="5" t="str">
        <f aca="false">IF($I2450="","","R"&amp;$I2450)</f>
        <v/>
      </c>
    </row>
    <row r="2451" customFormat="false" ht="15" hidden="false" customHeight="true" outlineLevel="0" collapsed="false">
      <c r="H2451" s="14" t="b">
        <f aca="false">IF(중복검사!$A2449="",FALSE(),중복검사!$J2449="유지")</f>
        <v>0</v>
      </c>
      <c r="I2451" s="5" t="str">
        <f aca="false">IF($H2451=FALSE(),"",COUNTIF($H$6:$H2451,TRUE()))</f>
        <v/>
      </c>
      <c r="J2451" s="5" t="str">
        <f aca="false">IF($I2451="","","R"&amp;$I2451)</f>
        <v/>
      </c>
    </row>
    <row r="2452" customFormat="false" ht="15" hidden="false" customHeight="true" outlineLevel="0" collapsed="false">
      <c r="H2452" s="14" t="b">
        <f aca="false">IF(중복검사!$A2450="",FALSE(),중복검사!$J2450="유지")</f>
        <v>0</v>
      </c>
      <c r="I2452" s="5" t="str">
        <f aca="false">IF($H2452=FALSE(),"",COUNTIF($H$6:$H2452,TRUE()))</f>
        <v/>
      </c>
      <c r="J2452" s="5" t="str">
        <f aca="false">IF($I2452="","","R"&amp;$I2452)</f>
        <v/>
      </c>
    </row>
    <row r="2453" customFormat="false" ht="15" hidden="false" customHeight="true" outlineLevel="0" collapsed="false">
      <c r="H2453" s="14" t="b">
        <f aca="false">IF(중복검사!$A2451="",FALSE(),중복검사!$J2451="유지")</f>
        <v>0</v>
      </c>
      <c r="I2453" s="5" t="str">
        <f aca="false">IF($H2453=FALSE(),"",COUNTIF($H$6:$H2453,TRUE()))</f>
        <v/>
      </c>
      <c r="J2453" s="5" t="str">
        <f aca="false">IF($I2453="","","R"&amp;$I2453)</f>
        <v/>
      </c>
    </row>
    <row r="2454" customFormat="false" ht="15" hidden="false" customHeight="true" outlineLevel="0" collapsed="false">
      <c r="H2454" s="14" t="b">
        <f aca="false">IF(중복검사!$A2452="",FALSE(),중복검사!$J2452="유지")</f>
        <v>0</v>
      </c>
      <c r="I2454" s="5" t="str">
        <f aca="false">IF($H2454=FALSE(),"",COUNTIF($H$6:$H2454,TRUE()))</f>
        <v/>
      </c>
      <c r="J2454" s="5" t="str">
        <f aca="false">IF($I2454="","","R"&amp;$I2454)</f>
        <v/>
      </c>
    </row>
    <row r="2455" customFormat="false" ht="15" hidden="false" customHeight="true" outlineLevel="0" collapsed="false">
      <c r="H2455" s="14" t="b">
        <f aca="false">IF(중복검사!$A2453="",FALSE(),중복검사!$J2453="유지")</f>
        <v>0</v>
      </c>
      <c r="I2455" s="5" t="str">
        <f aca="false">IF($H2455=FALSE(),"",COUNTIF($H$6:$H2455,TRUE()))</f>
        <v/>
      </c>
      <c r="J2455" s="5" t="str">
        <f aca="false">IF($I2455="","","R"&amp;$I2455)</f>
        <v/>
      </c>
    </row>
    <row r="2456" customFormat="false" ht="15" hidden="false" customHeight="true" outlineLevel="0" collapsed="false">
      <c r="H2456" s="14" t="b">
        <f aca="false">IF(중복검사!$A2454="",FALSE(),중복검사!$J2454="유지")</f>
        <v>0</v>
      </c>
      <c r="I2456" s="5" t="str">
        <f aca="false">IF($H2456=FALSE(),"",COUNTIF($H$6:$H2456,TRUE()))</f>
        <v/>
      </c>
      <c r="J2456" s="5" t="str">
        <f aca="false">IF($I2456="","","R"&amp;$I2456)</f>
        <v/>
      </c>
    </row>
    <row r="2457" customFormat="false" ht="15" hidden="false" customHeight="true" outlineLevel="0" collapsed="false">
      <c r="H2457" s="14" t="b">
        <f aca="false">IF(중복검사!$A2455="",FALSE(),중복검사!$J2455="유지")</f>
        <v>0</v>
      </c>
      <c r="I2457" s="5" t="str">
        <f aca="false">IF($H2457=FALSE(),"",COUNTIF($H$6:$H2457,TRUE()))</f>
        <v/>
      </c>
      <c r="J2457" s="5" t="str">
        <f aca="false">IF($I2457="","","R"&amp;$I2457)</f>
        <v/>
      </c>
    </row>
    <row r="2458" customFormat="false" ht="15" hidden="false" customHeight="true" outlineLevel="0" collapsed="false">
      <c r="H2458" s="14" t="b">
        <f aca="false">IF(중복검사!$A2456="",FALSE(),중복검사!$J2456="유지")</f>
        <v>0</v>
      </c>
      <c r="I2458" s="5" t="str">
        <f aca="false">IF($H2458=FALSE(),"",COUNTIF($H$6:$H2458,TRUE()))</f>
        <v/>
      </c>
      <c r="J2458" s="5" t="str">
        <f aca="false">IF($I2458="","","R"&amp;$I2458)</f>
        <v/>
      </c>
    </row>
    <row r="2459" customFormat="false" ht="15" hidden="false" customHeight="true" outlineLevel="0" collapsed="false">
      <c r="H2459" s="14" t="b">
        <f aca="false">IF(중복검사!$A2457="",FALSE(),중복검사!$J2457="유지")</f>
        <v>0</v>
      </c>
      <c r="I2459" s="5" t="str">
        <f aca="false">IF($H2459=FALSE(),"",COUNTIF($H$6:$H2459,TRUE()))</f>
        <v/>
      </c>
      <c r="J2459" s="5" t="str">
        <f aca="false">IF($I2459="","","R"&amp;$I2459)</f>
        <v/>
      </c>
    </row>
    <row r="2460" customFormat="false" ht="15" hidden="false" customHeight="true" outlineLevel="0" collapsed="false">
      <c r="H2460" s="14" t="b">
        <f aca="false">IF(중복검사!$A2458="",FALSE(),중복검사!$J2458="유지")</f>
        <v>0</v>
      </c>
      <c r="I2460" s="5" t="str">
        <f aca="false">IF($H2460=FALSE(),"",COUNTIF($H$6:$H2460,TRUE()))</f>
        <v/>
      </c>
      <c r="J2460" s="5" t="str">
        <f aca="false">IF($I2460="","","R"&amp;$I2460)</f>
        <v/>
      </c>
    </row>
    <row r="2461" customFormat="false" ht="15" hidden="false" customHeight="true" outlineLevel="0" collapsed="false">
      <c r="H2461" s="14" t="b">
        <f aca="false">IF(중복검사!$A2459="",FALSE(),중복검사!$J2459="유지")</f>
        <v>0</v>
      </c>
      <c r="I2461" s="5" t="str">
        <f aca="false">IF($H2461=FALSE(),"",COUNTIF($H$6:$H2461,TRUE()))</f>
        <v/>
      </c>
      <c r="J2461" s="5" t="str">
        <f aca="false">IF($I2461="","","R"&amp;$I2461)</f>
        <v/>
      </c>
    </row>
    <row r="2462" customFormat="false" ht="15" hidden="false" customHeight="true" outlineLevel="0" collapsed="false">
      <c r="H2462" s="14" t="b">
        <f aca="false">IF(중복검사!$A2460="",FALSE(),중복검사!$J2460="유지")</f>
        <v>0</v>
      </c>
      <c r="I2462" s="5" t="str">
        <f aca="false">IF($H2462=FALSE(),"",COUNTIF($H$6:$H2462,TRUE()))</f>
        <v/>
      </c>
      <c r="J2462" s="5" t="str">
        <f aca="false">IF($I2462="","","R"&amp;$I2462)</f>
        <v/>
      </c>
    </row>
    <row r="2463" customFormat="false" ht="15" hidden="false" customHeight="true" outlineLevel="0" collapsed="false">
      <c r="H2463" s="14" t="b">
        <f aca="false">IF(중복검사!$A2461="",FALSE(),중복검사!$J2461="유지")</f>
        <v>0</v>
      </c>
      <c r="I2463" s="5" t="str">
        <f aca="false">IF($H2463=FALSE(),"",COUNTIF($H$6:$H2463,TRUE()))</f>
        <v/>
      </c>
      <c r="J2463" s="5" t="str">
        <f aca="false">IF($I2463="","","R"&amp;$I2463)</f>
        <v/>
      </c>
    </row>
    <row r="2464" customFormat="false" ht="15" hidden="false" customHeight="true" outlineLevel="0" collapsed="false">
      <c r="H2464" s="14" t="b">
        <f aca="false">IF(중복검사!$A2462="",FALSE(),중복검사!$J2462="유지")</f>
        <v>0</v>
      </c>
      <c r="I2464" s="5" t="str">
        <f aca="false">IF($H2464=FALSE(),"",COUNTIF($H$6:$H2464,TRUE()))</f>
        <v/>
      </c>
      <c r="J2464" s="5" t="str">
        <f aca="false">IF($I2464="","","R"&amp;$I2464)</f>
        <v/>
      </c>
    </row>
    <row r="2465" customFormat="false" ht="15" hidden="false" customHeight="true" outlineLevel="0" collapsed="false">
      <c r="H2465" s="14" t="b">
        <f aca="false">IF(중복검사!$A2463="",FALSE(),중복검사!$J2463="유지")</f>
        <v>0</v>
      </c>
      <c r="I2465" s="5" t="str">
        <f aca="false">IF($H2465=FALSE(),"",COUNTIF($H$6:$H2465,TRUE()))</f>
        <v/>
      </c>
      <c r="J2465" s="5" t="str">
        <f aca="false">IF($I2465="","","R"&amp;$I2465)</f>
        <v/>
      </c>
    </row>
    <row r="2466" customFormat="false" ht="15" hidden="false" customHeight="true" outlineLevel="0" collapsed="false">
      <c r="H2466" s="14" t="b">
        <f aca="false">IF(중복검사!$A2464="",FALSE(),중복검사!$J2464="유지")</f>
        <v>0</v>
      </c>
      <c r="I2466" s="5" t="str">
        <f aca="false">IF($H2466=FALSE(),"",COUNTIF($H$6:$H2466,TRUE()))</f>
        <v/>
      </c>
      <c r="J2466" s="5" t="str">
        <f aca="false">IF($I2466="","","R"&amp;$I2466)</f>
        <v/>
      </c>
    </row>
    <row r="2467" customFormat="false" ht="15" hidden="false" customHeight="true" outlineLevel="0" collapsed="false">
      <c r="H2467" s="14" t="b">
        <f aca="false">IF(중복검사!$A2465="",FALSE(),중복검사!$J2465="유지")</f>
        <v>0</v>
      </c>
      <c r="I2467" s="5" t="str">
        <f aca="false">IF($H2467=FALSE(),"",COUNTIF($H$6:$H2467,TRUE()))</f>
        <v/>
      </c>
      <c r="J2467" s="5" t="str">
        <f aca="false">IF($I2467="","","R"&amp;$I2467)</f>
        <v/>
      </c>
    </row>
    <row r="2468" customFormat="false" ht="15" hidden="false" customHeight="true" outlineLevel="0" collapsed="false">
      <c r="H2468" s="14" t="b">
        <f aca="false">IF(중복검사!$A2466="",FALSE(),중복검사!$J2466="유지")</f>
        <v>0</v>
      </c>
      <c r="I2468" s="5" t="str">
        <f aca="false">IF($H2468=FALSE(),"",COUNTIF($H$6:$H2468,TRUE()))</f>
        <v/>
      </c>
      <c r="J2468" s="5" t="str">
        <f aca="false">IF($I2468="","","R"&amp;$I2468)</f>
        <v/>
      </c>
    </row>
    <row r="2469" customFormat="false" ht="15" hidden="false" customHeight="true" outlineLevel="0" collapsed="false">
      <c r="H2469" s="14" t="b">
        <f aca="false">IF(중복검사!$A2467="",FALSE(),중복검사!$J2467="유지")</f>
        <v>0</v>
      </c>
      <c r="I2469" s="5" t="str">
        <f aca="false">IF($H2469=FALSE(),"",COUNTIF($H$6:$H2469,TRUE()))</f>
        <v/>
      </c>
      <c r="J2469" s="5" t="str">
        <f aca="false">IF($I2469="","","R"&amp;$I2469)</f>
        <v/>
      </c>
    </row>
    <row r="2470" customFormat="false" ht="15" hidden="false" customHeight="true" outlineLevel="0" collapsed="false">
      <c r="H2470" s="14" t="b">
        <f aca="false">IF(중복검사!$A2468="",FALSE(),중복검사!$J2468="유지")</f>
        <v>0</v>
      </c>
      <c r="I2470" s="5" t="str">
        <f aca="false">IF($H2470=FALSE(),"",COUNTIF($H$6:$H2470,TRUE()))</f>
        <v/>
      </c>
      <c r="J2470" s="5" t="str">
        <f aca="false">IF($I2470="","","R"&amp;$I2470)</f>
        <v/>
      </c>
    </row>
    <row r="2471" customFormat="false" ht="15" hidden="false" customHeight="true" outlineLevel="0" collapsed="false">
      <c r="H2471" s="14" t="b">
        <f aca="false">IF(중복검사!$A2469="",FALSE(),중복검사!$J2469="유지")</f>
        <v>0</v>
      </c>
      <c r="I2471" s="5" t="str">
        <f aca="false">IF($H2471=FALSE(),"",COUNTIF($H$6:$H2471,TRUE()))</f>
        <v/>
      </c>
      <c r="J2471" s="5" t="str">
        <f aca="false">IF($I2471="","","R"&amp;$I2471)</f>
        <v/>
      </c>
    </row>
    <row r="2472" customFormat="false" ht="15" hidden="false" customHeight="true" outlineLevel="0" collapsed="false">
      <c r="H2472" s="14" t="b">
        <f aca="false">IF(중복검사!$A2470="",FALSE(),중복검사!$J2470="유지")</f>
        <v>0</v>
      </c>
      <c r="I2472" s="5" t="str">
        <f aca="false">IF($H2472=FALSE(),"",COUNTIF($H$6:$H2472,TRUE()))</f>
        <v/>
      </c>
      <c r="J2472" s="5" t="str">
        <f aca="false">IF($I2472="","","R"&amp;$I2472)</f>
        <v/>
      </c>
    </row>
    <row r="2473" customFormat="false" ht="15" hidden="false" customHeight="true" outlineLevel="0" collapsed="false">
      <c r="H2473" s="14" t="b">
        <f aca="false">IF(중복검사!$A2471="",FALSE(),중복검사!$J2471="유지")</f>
        <v>0</v>
      </c>
      <c r="I2473" s="5" t="str">
        <f aca="false">IF($H2473=FALSE(),"",COUNTIF($H$6:$H2473,TRUE()))</f>
        <v/>
      </c>
      <c r="J2473" s="5" t="str">
        <f aca="false">IF($I2473="","","R"&amp;$I2473)</f>
        <v/>
      </c>
    </row>
    <row r="2474" customFormat="false" ht="15" hidden="false" customHeight="true" outlineLevel="0" collapsed="false">
      <c r="H2474" s="14" t="b">
        <f aca="false">IF(중복검사!$A2472="",FALSE(),중복검사!$J2472="유지")</f>
        <v>0</v>
      </c>
      <c r="I2474" s="5" t="str">
        <f aca="false">IF($H2474=FALSE(),"",COUNTIF($H$6:$H2474,TRUE()))</f>
        <v/>
      </c>
      <c r="J2474" s="5" t="str">
        <f aca="false">IF($I2474="","","R"&amp;$I2474)</f>
        <v/>
      </c>
    </row>
    <row r="2475" customFormat="false" ht="15" hidden="false" customHeight="true" outlineLevel="0" collapsed="false">
      <c r="H2475" s="14" t="b">
        <f aca="false">IF(중복검사!$A2473="",FALSE(),중복검사!$J2473="유지")</f>
        <v>0</v>
      </c>
      <c r="I2475" s="5" t="str">
        <f aca="false">IF($H2475=FALSE(),"",COUNTIF($H$6:$H2475,TRUE()))</f>
        <v/>
      </c>
      <c r="J2475" s="5" t="str">
        <f aca="false">IF($I2475="","","R"&amp;$I2475)</f>
        <v/>
      </c>
    </row>
    <row r="2476" customFormat="false" ht="15" hidden="false" customHeight="true" outlineLevel="0" collapsed="false">
      <c r="H2476" s="14" t="b">
        <f aca="false">IF(중복검사!$A2474="",FALSE(),중복검사!$J2474="유지")</f>
        <v>0</v>
      </c>
      <c r="I2476" s="5" t="str">
        <f aca="false">IF($H2476=FALSE(),"",COUNTIF($H$6:$H2476,TRUE()))</f>
        <v/>
      </c>
      <c r="J2476" s="5" t="str">
        <f aca="false">IF($I2476="","","R"&amp;$I2476)</f>
        <v/>
      </c>
    </row>
    <row r="2477" customFormat="false" ht="15" hidden="false" customHeight="true" outlineLevel="0" collapsed="false">
      <c r="H2477" s="14" t="b">
        <f aca="false">IF(중복검사!$A2475="",FALSE(),중복검사!$J2475="유지")</f>
        <v>0</v>
      </c>
      <c r="I2477" s="5" t="str">
        <f aca="false">IF($H2477=FALSE(),"",COUNTIF($H$6:$H2477,TRUE()))</f>
        <v/>
      </c>
      <c r="J2477" s="5" t="str">
        <f aca="false">IF($I2477="","","R"&amp;$I2477)</f>
        <v/>
      </c>
    </row>
    <row r="2478" customFormat="false" ht="15" hidden="false" customHeight="true" outlineLevel="0" collapsed="false">
      <c r="H2478" s="14" t="b">
        <f aca="false">IF(중복검사!$A2476="",FALSE(),중복검사!$J2476="유지")</f>
        <v>0</v>
      </c>
      <c r="I2478" s="5" t="str">
        <f aca="false">IF($H2478=FALSE(),"",COUNTIF($H$6:$H2478,TRUE()))</f>
        <v/>
      </c>
      <c r="J2478" s="5" t="str">
        <f aca="false">IF($I2478="","","R"&amp;$I2478)</f>
        <v/>
      </c>
    </row>
    <row r="2479" customFormat="false" ht="15" hidden="false" customHeight="true" outlineLevel="0" collapsed="false">
      <c r="H2479" s="14" t="b">
        <f aca="false">IF(중복검사!$A2477="",FALSE(),중복검사!$J2477="유지")</f>
        <v>0</v>
      </c>
      <c r="I2479" s="5" t="str">
        <f aca="false">IF($H2479=FALSE(),"",COUNTIF($H$6:$H2479,TRUE()))</f>
        <v/>
      </c>
      <c r="J2479" s="5" t="str">
        <f aca="false">IF($I2479="","","R"&amp;$I2479)</f>
        <v/>
      </c>
    </row>
    <row r="2480" customFormat="false" ht="15" hidden="false" customHeight="true" outlineLevel="0" collapsed="false">
      <c r="H2480" s="14" t="b">
        <f aca="false">IF(중복검사!$A2478="",FALSE(),중복검사!$J2478="유지")</f>
        <v>0</v>
      </c>
      <c r="I2480" s="5" t="str">
        <f aca="false">IF($H2480=FALSE(),"",COUNTIF($H$6:$H2480,TRUE()))</f>
        <v/>
      </c>
      <c r="J2480" s="5" t="str">
        <f aca="false">IF($I2480="","","R"&amp;$I2480)</f>
        <v/>
      </c>
    </row>
    <row r="2481" customFormat="false" ht="15" hidden="false" customHeight="true" outlineLevel="0" collapsed="false">
      <c r="H2481" s="14" t="b">
        <f aca="false">IF(중복검사!$A2479="",FALSE(),중복검사!$J2479="유지")</f>
        <v>0</v>
      </c>
      <c r="I2481" s="5" t="str">
        <f aca="false">IF($H2481=FALSE(),"",COUNTIF($H$6:$H2481,TRUE()))</f>
        <v/>
      </c>
      <c r="J2481" s="5" t="str">
        <f aca="false">IF($I2481="","","R"&amp;$I2481)</f>
        <v/>
      </c>
    </row>
    <row r="2482" customFormat="false" ht="15" hidden="false" customHeight="true" outlineLevel="0" collapsed="false">
      <c r="H2482" s="14" t="b">
        <f aca="false">IF(중복검사!$A2480="",FALSE(),중복검사!$J2480="유지")</f>
        <v>0</v>
      </c>
      <c r="I2482" s="5" t="str">
        <f aca="false">IF($H2482=FALSE(),"",COUNTIF($H$6:$H2482,TRUE()))</f>
        <v/>
      </c>
      <c r="J2482" s="5" t="str">
        <f aca="false">IF($I2482="","","R"&amp;$I2482)</f>
        <v/>
      </c>
    </row>
    <row r="2483" customFormat="false" ht="15" hidden="false" customHeight="true" outlineLevel="0" collapsed="false">
      <c r="H2483" s="14" t="b">
        <f aca="false">IF(중복검사!$A2481="",FALSE(),중복검사!$J2481="유지")</f>
        <v>0</v>
      </c>
      <c r="I2483" s="5" t="str">
        <f aca="false">IF($H2483=FALSE(),"",COUNTIF($H$6:$H2483,TRUE()))</f>
        <v/>
      </c>
      <c r="J2483" s="5" t="str">
        <f aca="false">IF($I2483="","","R"&amp;$I2483)</f>
        <v/>
      </c>
    </row>
    <row r="2484" customFormat="false" ht="15" hidden="false" customHeight="true" outlineLevel="0" collapsed="false">
      <c r="H2484" s="14" t="b">
        <f aca="false">IF(중복검사!$A2482="",FALSE(),중복검사!$J2482="유지")</f>
        <v>0</v>
      </c>
      <c r="I2484" s="5" t="str">
        <f aca="false">IF($H2484=FALSE(),"",COUNTIF($H$6:$H2484,TRUE()))</f>
        <v/>
      </c>
      <c r="J2484" s="5" t="str">
        <f aca="false">IF($I2484="","","R"&amp;$I2484)</f>
        <v/>
      </c>
    </row>
    <row r="2485" customFormat="false" ht="15" hidden="false" customHeight="true" outlineLevel="0" collapsed="false">
      <c r="H2485" s="14" t="b">
        <f aca="false">IF(중복검사!$A2483="",FALSE(),중복검사!$J2483="유지")</f>
        <v>0</v>
      </c>
      <c r="I2485" s="5" t="str">
        <f aca="false">IF($H2485=FALSE(),"",COUNTIF($H$6:$H2485,TRUE()))</f>
        <v/>
      </c>
      <c r="J2485" s="5" t="str">
        <f aca="false">IF($I2485="","","R"&amp;$I2485)</f>
        <v/>
      </c>
    </row>
    <row r="2486" customFormat="false" ht="15" hidden="false" customHeight="true" outlineLevel="0" collapsed="false">
      <c r="H2486" s="14" t="b">
        <f aca="false">IF(중복검사!$A2484="",FALSE(),중복검사!$J2484="유지")</f>
        <v>0</v>
      </c>
      <c r="I2486" s="5" t="str">
        <f aca="false">IF($H2486=FALSE(),"",COUNTIF($H$6:$H2486,TRUE()))</f>
        <v/>
      </c>
      <c r="J2486" s="5" t="str">
        <f aca="false">IF($I2486="","","R"&amp;$I2486)</f>
        <v/>
      </c>
    </row>
    <row r="2487" customFormat="false" ht="15" hidden="false" customHeight="true" outlineLevel="0" collapsed="false">
      <c r="H2487" s="14" t="b">
        <f aca="false">IF(중복검사!$A2485="",FALSE(),중복검사!$J2485="유지")</f>
        <v>0</v>
      </c>
      <c r="I2487" s="5" t="str">
        <f aca="false">IF($H2487=FALSE(),"",COUNTIF($H$6:$H2487,TRUE()))</f>
        <v/>
      </c>
      <c r="J2487" s="5" t="str">
        <f aca="false">IF($I2487="","","R"&amp;$I2487)</f>
        <v/>
      </c>
    </row>
    <row r="2488" customFormat="false" ht="15" hidden="false" customHeight="true" outlineLevel="0" collapsed="false">
      <c r="H2488" s="14" t="b">
        <f aca="false">IF(중복검사!$A2486="",FALSE(),중복검사!$J2486="유지")</f>
        <v>0</v>
      </c>
      <c r="I2488" s="5" t="str">
        <f aca="false">IF($H2488=FALSE(),"",COUNTIF($H$6:$H2488,TRUE()))</f>
        <v/>
      </c>
      <c r="J2488" s="5" t="str">
        <f aca="false">IF($I2488="","","R"&amp;$I2488)</f>
        <v/>
      </c>
    </row>
    <row r="2489" customFormat="false" ht="15" hidden="false" customHeight="true" outlineLevel="0" collapsed="false">
      <c r="H2489" s="14" t="b">
        <f aca="false">IF(중복검사!$A2487="",FALSE(),중복검사!$J2487="유지")</f>
        <v>0</v>
      </c>
      <c r="I2489" s="5" t="str">
        <f aca="false">IF($H2489=FALSE(),"",COUNTIF($H$6:$H2489,TRUE()))</f>
        <v/>
      </c>
      <c r="J2489" s="5" t="str">
        <f aca="false">IF($I2489="","","R"&amp;$I2489)</f>
        <v/>
      </c>
    </row>
    <row r="2490" customFormat="false" ht="15" hidden="false" customHeight="true" outlineLevel="0" collapsed="false">
      <c r="H2490" s="14" t="b">
        <f aca="false">IF(중복검사!$A2488="",FALSE(),중복검사!$J2488="유지")</f>
        <v>0</v>
      </c>
      <c r="I2490" s="5" t="str">
        <f aca="false">IF($H2490=FALSE(),"",COUNTIF($H$6:$H2490,TRUE()))</f>
        <v/>
      </c>
      <c r="J2490" s="5" t="str">
        <f aca="false">IF($I2490="","","R"&amp;$I2490)</f>
        <v/>
      </c>
    </row>
    <row r="2491" customFormat="false" ht="15" hidden="false" customHeight="true" outlineLevel="0" collapsed="false">
      <c r="H2491" s="14" t="b">
        <f aca="false">IF(중복검사!$A2489="",FALSE(),중복검사!$J2489="유지")</f>
        <v>0</v>
      </c>
      <c r="I2491" s="5" t="str">
        <f aca="false">IF($H2491=FALSE(),"",COUNTIF($H$6:$H2491,TRUE()))</f>
        <v/>
      </c>
      <c r="J2491" s="5" t="str">
        <f aca="false">IF($I2491="","","R"&amp;$I2491)</f>
        <v/>
      </c>
    </row>
    <row r="2492" customFormat="false" ht="15" hidden="false" customHeight="true" outlineLevel="0" collapsed="false">
      <c r="H2492" s="14" t="b">
        <f aca="false">IF(중복검사!$A2490="",FALSE(),중복검사!$J2490="유지")</f>
        <v>0</v>
      </c>
      <c r="I2492" s="5" t="str">
        <f aca="false">IF($H2492=FALSE(),"",COUNTIF($H$6:$H2492,TRUE()))</f>
        <v/>
      </c>
      <c r="J2492" s="5" t="str">
        <f aca="false">IF($I2492="","","R"&amp;$I2492)</f>
        <v/>
      </c>
    </row>
    <row r="2493" customFormat="false" ht="15" hidden="false" customHeight="true" outlineLevel="0" collapsed="false">
      <c r="H2493" s="14" t="b">
        <f aca="false">IF(중복검사!$A2491="",FALSE(),중복검사!$J2491="유지")</f>
        <v>0</v>
      </c>
      <c r="I2493" s="5" t="str">
        <f aca="false">IF($H2493=FALSE(),"",COUNTIF($H$6:$H2493,TRUE()))</f>
        <v/>
      </c>
      <c r="J2493" s="5" t="str">
        <f aca="false">IF($I2493="","","R"&amp;$I2493)</f>
        <v/>
      </c>
    </row>
    <row r="2494" customFormat="false" ht="15" hidden="false" customHeight="true" outlineLevel="0" collapsed="false">
      <c r="H2494" s="14" t="b">
        <f aca="false">IF(중복검사!$A2492="",FALSE(),중복검사!$J2492="유지")</f>
        <v>0</v>
      </c>
      <c r="I2494" s="5" t="str">
        <f aca="false">IF($H2494=FALSE(),"",COUNTIF($H$6:$H2494,TRUE()))</f>
        <v/>
      </c>
      <c r="J2494" s="5" t="str">
        <f aca="false">IF($I2494="","","R"&amp;$I2494)</f>
        <v/>
      </c>
    </row>
    <row r="2495" customFormat="false" ht="15" hidden="false" customHeight="true" outlineLevel="0" collapsed="false">
      <c r="H2495" s="14" t="b">
        <f aca="false">IF(중복검사!$A2493="",FALSE(),중복검사!$J2493="유지")</f>
        <v>0</v>
      </c>
      <c r="I2495" s="5" t="str">
        <f aca="false">IF($H2495=FALSE(),"",COUNTIF($H$6:$H2495,TRUE()))</f>
        <v/>
      </c>
      <c r="J2495" s="5" t="str">
        <f aca="false">IF($I2495="","","R"&amp;$I2495)</f>
        <v/>
      </c>
    </row>
    <row r="2496" customFormat="false" ht="15" hidden="false" customHeight="true" outlineLevel="0" collapsed="false">
      <c r="H2496" s="14" t="b">
        <f aca="false">IF(중복검사!$A2494="",FALSE(),중복검사!$J2494="유지")</f>
        <v>0</v>
      </c>
      <c r="I2496" s="5" t="str">
        <f aca="false">IF($H2496=FALSE(),"",COUNTIF($H$6:$H2496,TRUE()))</f>
        <v/>
      </c>
      <c r="J2496" s="5" t="str">
        <f aca="false">IF($I2496="","","R"&amp;$I2496)</f>
        <v/>
      </c>
    </row>
    <row r="2497" customFormat="false" ht="15" hidden="false" customHeight="true" outlineLevel="0" collapsed="false">
      <c r="H2497" s="14" t="b">
        <f aca="false">IF(중복검사!$A2495="",FALSE(),중복검사!$J2495="유지")</f>
        <v>0</v>
      </c>
      <c r="I2497" s="5" t="str">
        <f aca="false">IF($H2497=FALSE(),"",COUNTIF($H$6:$H2497,TRUE()))</f>
        <v/>
      </c>
      <c r="J2497" s="5" t="str">
        <f aca="false">IF($I2497="","","R"&amp;$I2497)</f>
        <v/>
      </c>
    </row>
    <row r="2498" customFormat="false" ht="15" hidden="false" customHeight="true" outlineLevel="0" collapsed="false">
      <c r="H2498" s="14" t="b">
        <f aca="false">IF(중복검사!$A2496="",FALSE(),중복검사!$J2496="유지")</f>
        <v>0</v>
      </c>
      <c r="I2498" s="5" t="str">
        <f aca="false">IF($H2498=FALSE(),"",COUNTIF($H$6:$H2498,TRUE()))</f>
        <v/>
      </c>
      <c r="J2498" s="5" t="str">
        <f aca="false">IF($I2498="","","R"&amp;$I2498)</f>
        <v/>
      </c>
    </row>
    <row r="2499" customFormat="false" ht="15" hidden="false" customHeight="true" outlineLevel="0" collapsed="false">
      <c r="H2499" s="14" t="b">
        <f aca="false">IF(중복검사!$A2497="",FALSE(),중복검사!$J2497="유지")</f>
        <v>0</v>
      </c>
      <c r="I2499" s="5" t="str">
        <f aca="false">IF($H2499=FALSE(),"",COUNTIF($H$6:$H2499,TRUE()))</f>
        <v/>
      </c>
      <c r="J2499" s="5" t="str">
        <f aca="false">IF($I2499="","","R"&amp;$I2499)</f>
        <v/>
      </c>
    </row>
    <row r="2500" customFormat="false" ht="15" hidden="false" customHeight="true" outlineLevel="0" collapsed="false">
      <c r="H2500" s="14" t="b">
        <f aca="false">IF(중복검사!$A2498="",FALSE(),중복검사!$J2498="유지")</f>
        <v>0</v>
      </c>
      <c r="I2500" s="5" t="str">
        <f aca="false">IF($H2500=FALSE(),"",COUNTIF($H$6:$H2500,TRUE()))</f>
        <v/>
      </c>
      <c r="J2500" s="5" t="str">
        <f aca="false">IF($I2500="","","R"&amp;$I2500)</f>
        <v/>
      </c>
    </row>
    <row r="2501" customFormat="false" ht="15" hidden="false" customHeight="true" outlineLevel="0" collapsed="false">
      <c r="H2501" s="14" t="b">
        <f aca="false">IF(중복검사!$A2499="",FALSE(),중복검사!$J2499="유지")</f>
        <v>0</v>
      </c>
      <c r="I2501" s="5" t="str">
        <f aca="false">IF($H2501=FALSE(),"",COUNTIF($H$6:$H2501,TRUE()))</f>
        <v/>
      </c>
      <c r="J2501" s="5" t="str">
        <f aca="false">IF($I2501="","","R"&amp;$I2501)</f>
        <v/>
      </c>
    </row>
    <row r="2502" customFormat="false" ht="15" hidden="false" customHeight="true" outlineLevel="0" collapsed="false">
      <c r="H2502" s="14" t="b">
        <f aca="false">IF(중복검사!$A2500="",FALSE(),중복검사!$J2500="유지")</f>
        <v>0</v>
      </c>
      <c r="I2502" s="5" t="str">
        <f aca="false">IF($H2502=FALSE(),"",COUNTIF($H$6:$H2502,TRUE()))</f>
        <v/>
      </c>
      <c r="J2502" s="5" t="str">
        <f aca="false">IF($I2502="","","R"&amp;$I2502)</f>
        <v/>
      </c>
    </row>
    <row r="2503" customFormat="false" ht="15" hidden="false" customHeight="true" outlineLevel="0" collapsed="false">
      <c r="H2503" s="14" t="b">
        <f aca="false">IF(중복검사!$A2501="",FALSE(),중복검사!$J2501="유지")</f>
        <v>0</v>
      </c>
      <c r="I2503" s="5" t="str">
        <f aca="false">IF($H2503=FALSE(),"",COUNTIF($H$6:$H2503,TRUE()))</f>
        <v/>
      </c>
      <c r="J2503" s="5" t="str">
        <f aca="false">IF($I2503="","","R"&amp;$I2503)</f>
        <v/>
      </c>
    </row>
    <row r="2504" customFormat="false" ht="15" hidden="false" customHeight="true" outlineLevel="0" collapsed="false">
      <c r="H2504" s="14" t="b">
        <f aca="false">IF(중복검사!$A2502="",FALSE(),중복검사!$J2502="유지")</f>
        <v>0</v>
      </c>
      <c r="I2504" s="5" t="str">
        <f aca="false">IF($H2504=FALSE(),"",COUNTIF($H$6:$H2504,TRUE()))</f>
        <v/>
      </c>
      <c r="J2504" s="5" t="str">
        <f aca="false">IF($I2504="","","R"&amp;$I2504)</f>
        <v/>
      </c>
    </row>
    <row r="2505" customFormat="false" ht="15" hidden="false" customHeight="true" outlineLevel="0" collapsed="false">
      <c r="H2505" s="14" t="b">
        <f aca="false">IF(중복검사!$A2503="",FALSE(),중복검사!$J2503="유지")</f>
        <v>0</v>
      </c>
      <c r="I2505" s="5" t="str">
        <f aca="false">IF($H2505=FALSE(),"",COUNTIF($H$6:$H2505,TRUE()))</f>
        <v/>
      </c>
      <c r="J2505" s="5" t="str">
        <f aca="false">IF($I2505="","","R"&amp;$I2505)</f>
        <v/>
      </c>
    </row>
    <row r="2506" customFormat="false" ht="15" hidden="false" customHeight="true" outlineLevel="0" collapsed="false">
      <c r="H2506" s="14" t="b">
        <f aca="false">IF(중복검사!$A2504="",FALSE(),중복검사!$J2504="유지")</f>
        <v>0</v>
      </c>
      <c r="I2506" s="5" t="str">
        <f aca="false">IF($H2506=FALSE(),"",COUNTIF($H$6:$H2506,TRUE()))</f>
        <v/>
      </c>
      <c r="J2506" s="5" t="str">
        <f aca="false">IF($I2506="","","R"&amp;$I2506)</f>
        <v/>
      </c>
    </row>
    <row r="2507" customFormat="false" ht="15" hidden="false" customHeight="true" outlineLevel="0" collapsed="false">
      <c r="H2507" s="14" t="b">
        <f aca="false">IF(중복검사!$A2505="",FALSE(),중복검사!$J2505="유지")</f>
        <v>0</v>
      </c>
      <c r="I2507" s="5" t="str">
        <f aca="false">IF($H2507=FALSE(),"",COUNTIF($H$6:$H2507,TRUE()))</f>
        <v/>
      </c>
      <c r="J2507" s="5" t="str">
        <f aca="false">IF($I2507="","","R"&amp;$I2507)</f>
        <v/>
      </c>
    </row>
    <row r="2508" customFormat="false" ht="15" hidden="false" customHeight="true" outlineLevel="0" collapsed="false">
      <c r="H2508" s="14" t="b">
        <f aca="false">IF(중복검사!$A2506="",FALSE(),중복검사!$J2506="유지")</f>
        <v>0</v>
      </c>
      <c r="I2508" s="5" t="str">
        <f aca="false">IF($H2508=FALSE(),"",COUNTIF($H$6:$H2508,TRUE()))</f>
        <v/>
      </c>
      <c r="J2508" s="5" t="str">
        <f aca="false">IF($I2508="","","R"&amp;$I2508)</f>
        <v/>
      </c>
    </row>
    <row r="2509" customFormat="false" ht="15" hidden="false" customHeight="true" outlineLevel="0" collapsed="false">
      <c r="H2509" s="14" t="b">
        <f aca="false">IF(중복검사!$A2507="",FALSE(),중복검사!$J2507="유지")</f>
        <v>0</v>
      </c>
      <c r="I2509" s="5" t="str">
        <f aca="false">IF($H2509=FALSE(),"",COUNTIF($H$6:$H2509,TRUE()))</f>
        <v/>
      </c>
      <c r="J2509" s="5" t="str">
        <f aca="false">IF($I2509="","","R"&amp;$I2509)</f>
        <v/>
      </c>
    </row>
    <row r="2510" customFormat="false" ht="15" hidden="false" customHeight="true" outlineLevel="0" collapsed="false">
      <c r="H2510" s="14" t="b">
        <f aca="false">IF(중복검사!$A2508="",FALSE(),중복검사!$J2508="유지")</f>
        <v>0</v>
      </c>
      <c r="I2510" s="5" t="str">
        <f aca="false">IF($H2510=FALSE(),"",COUNTIF($H$6:$H2510,TRUE()))</f>
        <v/>
      </c>
      <c r="J2510" s="5" t="str">
        <f aca="false">IF($I2510="","","R"&amp;$I2510)</f>
        <v/>
      </c>
    </row>
    <row r="2511" customFormat="false" ht="15" hidden="false" customHeight="true" outlineLevel="0" collapsed="false">
      <c r="H2511" s="14" t="b">
        <f aca="false">IF(중복검사!$A2509="",FALSE(),중복검사!$J2509="유지")</f>
        <v>0</v>
      </c>
      <c r="I2511" s="5" t="str">
        <f aca="false">IF($H2511=FALSE(),"",COUNTIF($H$6:$H2511,TRUE()))</f>
        <v/>
      </c>
      <c r="J2511" s="5" t="str">
        <f aca="false">IF($I2511="","","R"&amp;$I2511)</f>
        <v/>
      </c>
    </row>
    <row r="2512" customFormat="false" ht="15" hidden="false" customHeight="true" outlineLevel="0" collapsed="false">
      <c r="H2512" s="14" t="b">
        <f aca="false">IF(중복검사!$A2510="",FALSE(),중복검사!$J2510="유지")</f>
        <v>0</v>
      </c>
      <c r="I2512" s="5" t="str">
        <f aca="false">IF($H2512=FALSE(),"",COUNTIF($H$6:$H2512,TRUE()))</f>
        <v/>
      </c>
      <c r="J2512" s="5" t="str">
        <f aca="false">IF($I2512="","","R"&amp;$I2512)</f>
        <v/>
      </c>
    </row>
    <row r="2513" customFormat="false" ht="15" hidden="false" customHeight="true" outlineLevel="0" collapsed="false">
      <c r="H2513" s="14" t="b">
        <f aca="false">IF(중복검사!$A2511="",FALSE(),중복검사!$J2511="유지")</f>
        <v>0</v>
      </c>
      <c r="I2513" s="5" t="str">
        <f aca="false">IF($H2513=FALSE(),"",COUNTIF($H$6:$H2513,TRUE()))</f>
        <v/>
      </c>
      <c r="J2513" s="5" t="str">
        <f aca="false">IF($I2513="","","R"&amp;$I2513)</f>
        <v/>
      </c>
    </row>
    <row r="2514" customFormat="false" ht="15" hidden="false" customHeight="true" outlineLevel="0" collapsed="false">
      <c r="H2514" s="14" t="b">
        <f aca="false">IF(중복검사!$A2512="",FALSE(),중복검사!$J2512="유지")</f>
        <v>0</v>
      </c>
      <c r="I2514" s="5" t="str">
        <f aca="false">IF($H2514=FALSE(),"",COUNTIF($H$6:$H2514,TRUE()))</f>
        <v/>
      </c>
      <c r="J2514" s="5" t="str">
        <f aca="false">IF($I2514="","","R"&amp;$I2514)</f>
        <v/>
      </c>
    </row>
    <row r="2515" customFormat="false" ht="15" hidden="false" customHeight="true" outlineLevel="0" collapsed="false">
      <c r="H2515" s="14" t="b">
        <f aca="false">IF(중복검사!$A2513="",FALSE(),중복검사!$J2513="유지")</f>
        <v>0</v>
      </c>
      <c r="I2515" s="5" t="str">
        <f aca="false">IF($H2515=FALSE(),"",COUNTIF($H$6:$H2515,TRUE()))</f>
        <v/>
      </c>
      <c r="J2515" s="5" t="str">
        <f aca="false">IF($I2515="","","R"&amp;$I2515)</f>
        <v/>
      </c>
    </row>
    <row r="2516" customFormat="false" ht="15" hidden="false" customHeight="true" outlineLevel="0" collapsed="false">
      <c r="H2516" s="14" t="b">
        <f aca="false">IF(중복검사!$A2514="",FALSE(),중복검사!$J2514="유지")</f>
        <v>0</v>
      </c>
      <c r="I2516" s="5" t="str">
        <f aca="false">IF($H2516=FALSE(),"",COUNTIF($H$6:$H2516,TRUE()))</f>
        <v/>
      </c>
      <c r="J2516" s="5" t="str">
        <f aca="false">IF($I2516="","","R"&amp;$I2516)</f>
        <v/>
      </c>
    </row>
    <row r="2517" customFormat="false" ht="15" hidden="false" customHeight="true" outlineLevel="0" collapsed="false">
      <c r="H2517" s="14" t="b">
        <f aca="false">IF(중복검사!$A2515="",FALSE(),중복검사!$J2515="유지")</f>
        <v>0</v>
      </c>
      <c r="I2517" s="5" t="str">
        <f aca="false">IF($H2517=FALSE(),"",COUNTIF($H$6:$H2517,TRUE()))</f>
        <v/>
      </c>
      <c r="J2517" s="5" t="str">
        <f aca="false">IF($I2517="","","R"&amp;$I2517)</f>
        <v/>
      </c>
    </row>
    <row r="2518" customFormat="false" ht="15" hidden="false" customHeight="true" outlineLevel="0" collapsed="false">
      <c r="H2518" s="14" t="b">
        <f aca="false">IF(중복검사!$A2516="",FALSE(),중복검사!$J2516="유지")</f>
        <v>0</v>
      </c>
      <c r="I2518" s="5" t="str">
        <f aca="false">IF($H2518=FALSE(),"",COUNTIF($H$6:$H2518,TRUE()))</f>
        <v/>
      </c>
      <c r="J2518" s="5" t="str">
        <f aca="false">IF($I2518="","","R"&amp;$I2518)</f>
        <v/>
      </c>
    </row>
    <row r="2519" customFormat="false" ht="15" hidden="false" customHeight="true" outlineLevel="0" collapsed="false">
      <c r="H2519" s="14" t="b">
        <f aca="false">IF(중복검사!$A2517="",FALSE(),중복검사!$J2517="유지")</f>
        <v>0</v>
      </c>
      <c r="I2519" s="5" t="str">
        <f aca="false">IF($H2519=FALSE(),"",COUNTIF($H$6:$H2519,TRUE()))</f>
        <v/>
      </c>
      <c r="J2519" s="5" t="str">
        <f aca="false">IF($I2519="","","R"&amp;$I2519)</f>
        <v/>
      </c>
    </row>
    <row r="2520" customFormat="false" ht="15" hidden="false" customHeight="true" outlineLevel="0" collapsed="false">
      <c r="H2520" s="14" t="b">
        <f aca="false">IF(중복검사!$A2518="",FALSE(),중복검사!$J2518="유지")</f>
        <v>0</v>
      </c>
      <c r="I2520" s="5" t="str">
        <f aca="false">IF($H2520=FALSE(),"",COUNTIF($H$6:$H2520,TRUE()))</f>
        <v/>
      </c>
      <c r="J2520" s="5" t="str">
        <f aca="false">IF($I2520="","","R"&amp;$I2520)</f>
        <v/>
      </c>
    </row>
    <row r="2521" customFormat="false" ht="15" hidden="false" customHeight="true" outlineLevel="0" collapsed="false">
      <c r="H2521" s="14" t="b">
        <f aca="false">IF(중복검사!$A2519="",FALSE(),중복검사!$J2519="유지")</f>
        <v>0</v>
      </c>
      <c r="I2521" s="5" t="str">
        <f aca="false">IF($H2521=FALSE(),"",COUNTIF($H$6:$H2521,TRUE()))</f>
        <v/>
      </c>
      <c r="J2521" s="5" t="str">
        <f aca="false">IF($I2521="","","R"&amp;$I2521)</f>
        <v/>
      </c>
    </row>
    <row r="2522" customFormat="false" ht="15" hidden="false" customHeight="true" outlineLevel="0" collapsed="false">
      <c r="H2522" s="14" t="b">
        <f aca="false">IF(중복검사!$A2520="",FALSE(),중복검사!$J2520="유지")</f>
        <v>0</v>
      </c>
      <c r="I2522" s="5" t="str">
        <f aca="false">IF($H2522=FALSE(),"",COUNTIF($H$6:$H2522,TRUE()))</f>
        <v/>
      </c>
      <c r="J2522" s="5" t="str">
        <f aca="false">IF($I2522="","","R"&amp;$I2522)</f>
        <v/>
      </c>
    </row>
    <row r="2523" customFormat="false" ht="15" hidden="false" customHeight="true" outlineLevel="0" collapsed="false">
      <c r="H2523" s="14" t="b">
        <f aca="false">IF(중복검사!$A2521="",FALSE(),중복검사!$J2521="유지")</f>
        <v>0</v>
      </c>
      <c r="I2523" s="5" t="str">
        <f aca="false">IF($H2523=FALSE(),"",COUNTIF($H$6:$H2523,TRUE()))</f>
        <v/>
      </c>
      <c r="J2523" s="5" t="str">
        <f aca="false">IF($I2523="","","R"&amp;$I2523)</f>
        <v/>
      </c>
    </row>
    <row r="2524" customFormat="false" ht="15" hidden="false" customHeight="true" outlineLevel="0" collapsed="false">
      <c r="H2524" s="14" t="b">
        <f aca="false">IF(중복검사!$A2522="",FALSE(),중복검사!$J2522="유지")</f>
        <v>0</v>
      </c>
      <c r="I2524" s="5" t="str">
        <f aca="false">IF($H2524=FALSE(),"",COUNTIF($H$6:$H2524,TRUE()))</f>
        <v/>
      </c>
      <c r="J2524" s="5" t="str">
        <f aca="false">IF($I2524="","","R"&amp;$I2524)</f>
        <v/>
      </c>
    </row>
    <row r="2525" customFormat="false" ht="15" hidden="false" customHeight="true" outlineLevel="0" collapsed="false">
      <c r="H2525" s="14" t="b">
        <f aca="false">IF(중복검사!$A2523="",FALSE(),중복검사!$J2523="유지")</f>
        <v>0</v>
      </c>
      <c r="I2525" s="5" t="str">
        <f aca="false">IF($H2525=FALSE(),"",COUNTIF($H$6:$H2525,TRUE()))</f>
        <v/>
      </c>
      <c r="J2525" s="5" t="str">
        <f aca="false">IF($I2525="","","R"&amp;$I2525)</f>
        <v/>
      </c>
    </row>
    <row r="2526" customFormat="false" ht="15" hidden="false" customHeight="true" outlineLevel="0" collapsed="false">
      <c r="H2526" s="14" t="b">
        <f aca="false">IF(중복검사!$A2524="",FALSE(),중복검사!$J2524="유지")</f>
        <v>0</v>
      </c>
      <c r="I2526" s="5" t="str">
        <f aca="false">IF($H2526=FALSE(),"",COUNTIF($H$6:$H2526,TRUE()))</f>
        <v/>
      </c>
      <c r="J2526" s="5" t="str">
        <f aca="false">IF($I2526="","","R"&amp;$I2526)</f>
        <v/>
      </c>
    </row>
    <row r="2527" customFormat="false" ht="15" hidden="false" customHeight="true" outlineLevel="0" collapsed="false">
      <c r="H2527" s="14" t="b">
        <f aca="false">IF(중복검사!$A2525="",FALSE(),중복검사!$J2525="유지")</f>
        <v>0</v>
      </c>
      <c r="I2527" s="5" t="str">
        <f aca="false">IF($H2527=FALSE(),"",COUNTIF($H$6:$H2527,TRUE()))</f>
        <v/>
      </c>
      <c r="J2527" s="5" t="str">
        <f aca="false">IF($I2527="","","R"&amp;$I2527)</f>
        <v/>
      </c>
    </row>
    <row r="2528" customFormat="false" ht="15" hidden="false" customHeight="true" outlineLevel="0" collapsed="false">
      <c r="H2528" s="14" t="b">
        <f aca="false">IF(중복검사!$A2526="",FALSE(),중복검사!$J2526="유지")</f>
        <v>0</v>
      </c>
      <c r="I2528" s="5" t="str">
        <f aca="false">IF($H2528=FALSE(),"",COUNTIF($H$6:$H2528,TRUE()))</f>
        <v/>
      </c>
      <c r="J2528" s="5" t="str">
        <f aca="false">IF($I2528="","","R"&amp;$I2528)</f>
        <v/>
      </c>
    </row>
    <row r="2529" customFormat="false" ht="15" hidden="false" customHeight="true" outlineLevel="0" collapsed="false">
      <c r="H2529" s="14" t="b">
        <f aca="false">IF(중복검사!$A2527="",FALSE(),중복검사!$J2527="유지")</f>
        <v>0</v>
      </c>
      <c r="I2529" s="5" t="str">
        <f aca="false">IF($H2529=FALSE(),"",COUNTIF($H$6:$H2529,TRUE()))</f>
        <v/>
      </c>
      <c r="J2529" s="5" t="str">
        <f aca="false">IF($I2529="","","R"&amp;$I2529)</f>
        <v/>
      </c>
    </row>
    <row r="2530" customFormat="false" ht="15" hidden="false" customHeight="true" outlineLevel="0" collapsed="false">
      <c r="H2530" s="14" t="b">
        <f aca="false">IF(중복검사!$A2528="",FALSE(),중복검사!$J2528="유지")</f>
        <v>0</v>
      </c>
      <c r="I2530" s="5" t="str">
        <f aca="false">IF($H2530=FALSE(),"",COUNTIF($H$6:$H2530,TRUE()))</f>
        <v/>
      </c>
      <c r="J2530" s="5" t="str">
        <f aca="false">IF($I2530="","","R"&amp;$I2530)</f>
        <v/>
      </c>
    </row>
    <row r="2531" customFormat="false" ht="15" hidden="false" customHeight="true" outlineLevel="0" collapsed="false">
      <c r="H2531" s="14" t="b">
        <f aca="false">IF(중복검사!$A2529="",FALSE(),중복검사!$J2529="유지")</f>
        <v>0</v>
      </c>
      <c r="I2531" s="5" t="str">
        <f aca="false">IF($H2531=FALSE(),"",COUNTIF($H$6:$H2531,TRUE()))</f>
        <v/>
      </c>
      <c r="J2531" s="5" t="str">
        <f aca="false">IF($I2531="","","R"&amp;$I2531)</f>
        <v/>
      </c>
    </row>
    <row r="2532" customFormat="false" ht="15" hidden="false" customHeight="true" outlineLevel="0" collapsed="false">
      <c r="H2532" s="14" t="b">
        <f aca="false">IF(중복검사!$A2530="",FALSE(),중복검사!$J2530="유지")</f>
        <v>0</v>
      </c>
      <c r="I2532" s="5" t="str">
        <f aca="false">IF($H2532=FALSE(),"",COUNTIF($H$6:$H2532,TRUE()))</f>
        <v/>
      </c>
      <c r="J2532" s="5" t="str">
        <f aca="false">IF($I2532="","","R"&amp;$I2532)</f>
        <v/>
      </c>
    </row>
    <row r="2533" customFormat="false" ht="15" hidden="false" customHeight="true" outlineLevel="0" collapsed="false">
      <c r="H2533" s="14" t="b">
        <f aca="false">IF(중복검사!$A2531="",FALSE(),중복검사!$J2531="유지")</f>
        <v>0</v>
      </c>
      <c r="I2533" s="5" t="str">
        <f aca="false">IF($H2533=FALSE(),"",COUNTIF($H$6:$H2533,TRUE()))</f>
        <v/>
      </c>
      <c r="J2533" s="5" t="str">
        <f aca="false">IF($I2533="","","R"&amp;$I2533)</f>
        <v/>
      </c>
    </row>
    <row r="2534" customFormat="false" ht="15" hidden="false" customHeight="true" outlineLevel="0" collapsed="false">
      <c r="H2534" s="14" t="b">
        <f aca="false">IF(중복검사!$A2532="",FALSE(),중복검사!$J2532="유지")</f>
        <v>0</v>
      </c>
      <c r="I2534" s="5" t="str">
        <f aca="false">IF($H2534=FALSE(),"",COUNTIF($H$6:$H2534,TRUE()))</f>
        <v/>
      </c>
      <c r="J2534" s="5" t="str">
        <f aca="false">IF($I2534="","","R"&amp;$I2534)</f>
        <v/>
      </c>
    </row>
    <row r="2535" customFormat="false" ht="15" hidden="false" customHeight="true" outlineLevel="0" collapsed="false">
      <c r="H2535" s="14" t="b">
        <f aca="false">IF(중복검사!$A2533="",FALSE(),중복검사!$J2533="유지")</f>
        <v>0</v>
      </c>
      <c r="I2535" s="5" t="str">
        <f aca="false">IF($H2535=FALSE(),"",COUNTIF($H$6:$H2535,TRUE()))</f>
        <v/>
      </c>
      <c r="J2535" s="5" t="str">
        <f aca="false">IF($I2535="","","R"&amp;$I2535)</f>
        <v/>
      </c>
    </row>
    <row r="2536" customFormat="false" ht="15" hidden="false" customHeight="true" outlineLevel="0" collapsed="false">
      <c r="H2536" s="14" t="b">
        <f aca="false">IF(중복검사!$A2534="",FALSE(),중복검사!$J2534="유지")</f>
        <v>0</v>
      </c>
      <c r="I2536" s="5" t="str">
        <f aca="false">IF($H2536=FALSE(),"",COUNTIF($H$6:$H2536,TRUE()))</f>
        <v/>
      </c>
      <c r="J2536" s="5" t="str">
        <f aca="false">IF($I2536="","","R"&amp;$I2536)</f>
        <v/>
      </c>
    </row>
    <row r="2537" customFormat="false" ht="15" hidden="false" customHeight="true" outlineLevel="0" collapsed="false">
      <c r="H2537" s="14" t="b">
        <f aca="false">IF(중복검사!$A2535="",FALSE(),중복검사!$J2535="유지")</f>
        <v>0</v>
      </c>
      <c r="I2537" s="5" t="str">
        <f aca="false">IF($H2537=FALSE(),"",COUNTIF($H$6:$H2537,TRUE()))</f>
        <v/>
      </c>
      <c r="J2537" s="5" t="str">
        <f aca="false">IF($I2537="","","R"&amp;$I2537)</f>
        <v/>
      </c>
    </row>
    <row r="2538" customFormat="false" ht="15" hidden="false" customHeight="true" outlineLevel="0" collapsed="false">
      <c r="H2538" s="14" t="b">
        <f aca="false">IF(중복검사!$A2536="",FALSE(),중복검사!$J2536="유지")</f>
        <v>0</v>
      </c>
      <c r="I2538" s="5" t="str">
        <f aca="false">IF($H2538=FALSE(),"",COUNTIF($H$6:$H2538,TRUE()))</f>
        <v/>
      </c>
      <c r="J2538" s="5" t="str">
        <f aca="false">IF($I2538="","","R"&amp;$I2538)</f>
        <v/>
      </c>
    </row>
    <row r="2539" customFormat="false" ht="15" hidden="false" customHeight="true" outlineLevel="0" collapsed="false">
      <c r="H2539" s="14" t="b">
        <f aca="false">IF(중복검사!$A2537="",FALSE(),중복검사!$J2537="유지")</f>
        <v>0</v>
      </c>
      <c r="I2539" s="5" t="str">
        <f aca="false">IF($H2539=FALSE(),"",COUNTIF($H$6:$H2539,TRUE()))</f>
        <v/>
      </c>
      <c r="J2539" s="5" t="str">
        <f aca="false">IF($I2539="","","R"&amp;$I2539)</f>
        <v/>
      </c>
    </row>
    <row r="2540" customFormat="false" ht="15" hidden="false" customHeight="true" outlineLevel="0" collapsed="false">
      <c r="H2540" s="14" t="b">
        <f aca="false">IF(중복검사!$A2538="",FALSE(),중복검사!$J2538="유지")</f>
        <v>0</v>
      </c>
      <c r="I2540" s="5" t="str">
        <f aca="false">IF($H2540=FALSE(),"",COUNTIF($H$6:$H2540,TRUE()))</f>
        <v/>
      </c>
      <c r="J2540" s="5" t="str">
        <f aca="false">IF($I2540="","","R"&amp;$I2540)</f>
        <v/>
      </c>
    </row>
    <row r="2541" customFormat="false" ht="15" hidden="false" customHeight="true" outlineLevel="0" collapsed="false">
      <c r="H2541" s="14" t="b">
        <f aca="false">IF(중복검사!$A2539="",FALSE(),중복검사!$J2539="유지")</f>
        <v>0</v>
      </c>
      <c r="I2541" s="5" t="str">
        <f aca="false">IF($H2541=FALSE(),"",COUNTIF($H$6:$H2541,TRUE()))</f>
        <v/>
      </c>
      <c r="J2541" s="5" t="str">
        <f aca="false">IF($I2541="","","R"&amp;$I2541)</f>
        <v/>
      </c>
    </row>
    <row r="2542" customFormat="false" ht="15" hidden="false" customHeight="true" outlineLevel="0" collapsed="false">
      <c r="H2542" s="14" t="b">
        <f aca="false">IF(중복검사!$A2540="",FALSE(),중복검사!$J2540="유지")</f>
        <v>0</v>
      </c>
      <c r="I2542" s="5" t="str">
        <f aca="false">IF($H2542=FALSE(),"",COUNTIF($H$6:$H2542,TRUE()))</f>
        <v/>
      </c>
      <c r="J2542" s="5" t="str">
        <f aca="false">IF($I2542="","","R"&amp;$I2542)</f>
        <v/>
      </c>
    </row>
    <row r="2543" customFormat="false" ht="15" hidden="false" customHeight="true" outlineLevel="0" collapsed="false">
      <c r="H2543" s="14" t="b">
        <f aca="false">IF(중복검사!$A2541="",FALSE(),중복검사!$J2541="유지")</f>
        <v>0</v>
      </c>
      <c r="I2543" s="5" t="str">
        <f aca="false">IF($H2543=FALSE(),"",COUNTIF($H$6:$H2543,TRUE()))</f>
        <v/>
      </c>
      <c r="J2543" s="5" t="str">
        <f aca="false">IF($I2543="","","R"&amp;$I2543)</f>
        <v/>
      </c>
    </row>
    <row r="2544" customFormat="false" ht="15" hidden="false" customHeight="true" outlineLevel="0" collapsed="false">
      <c r="H2544" s="14" t="b">
        <f aca="false">IF(중복검사!$A2542="",FALSE(),중복검사!$J2542="유지")</f>
        <v>0</v>
      </c>
      <c r="I2544" s="5" t="str">
        <f aca="false">IF($H2544=FALSE(),"",COUNTIF($H$6:$H2544,TRUE()))</f>
        <v/>
      </c>
      <c r="J2544" s="5" t="str">
        <f aca="false">IF($I2544="","","R"&amp;$I2544)</f>
        <v/>
      </c>
    </row>
    <row r="2545" customFormat="false" ht="15" hidden="false" customHeight="true" outlineLevel="0" collapsed="false">
      <c r="H2545" s="14" t="b">
        <f aca="false">IF(중복검사!$A2543="",FALSE(),중복검사!$J2543="유지")</f>
        <v>0</v>
      </c>
      <c r="I2545" s="5" t="str">
        <f aca="false">IF($H2545=FALSE(),"",COUNTIF($H$6:$H2545,TRUE()))</f>
        <v/>
      </c>
      <c r="J2545" s="5" t="str">
        <f aca="false">IF($I2545="","","R"&amp;$I2545)</f>
        <v/>
      </c>
    </row>
    <row r="2546" customFormat="false" ht="15" hidden="false" customHeight="true" outlineLevel="0" collapsed="false">
      <c r="H2546" s="14" t="b">
        <f aca="false">IF(중복검사!$A2544="",FALSE(),중복검사!$J2544="유지")</f>
        <v>0</v>
      </c>
      <c r="I2546" s="5" t="str">
        <f aca="false">IF($H2546=FALSE(),"",COUNTIF($H$6:$H2546,TRUE()))</f>
        <v/>
      </c>
      <c r="J2546" s="5" t="str">
        <f aca="false">IF($I2546="","","R"&amp;$I2546)</f>
        <v/>
      </c>
    </row>
    <row r="2547" customFormat="false" ht="15" hidden="false" customHeight="true" outlineLevel="0" collapsed="false">
      <c r="H2547" s="14" t="b">
        <f aca="false">IF(중복검사!$A2545="",FALSE(),중복검사!$J2545="유지")</f>
        <v>0</v>
      </c>
      <c r="I2547" s="5" t="str">
        <f aca="false">IF($H2547=FALSE(),"",COUNTIF($H$6:$H2547,TRUE()))</f>
        <v/>
      </c>
      <c r="J2547" s="5" t="str">
        <f aca="false">IF($I2547="","","R"&amp;$I2547)</f>
        <v/>
      </c>
    </row>
    <row r="2548" customFormat="false" ht="15" hidden="false" customHeight="true" outlineLevel="0" collapsed="false">
      <c r="H2548" s="14" t="b">
        <f aca="false">IF(중복검사!$A2546="",FALSE(),중복검사!$J2546="유지")</f>
        <v>0</v>
      </c>
      <c r="I2548" s="5" t="str">
        <f aca="false">IF($H2548=FALSE(),"",COUNTIF($H$6:$H2548,TRUE()))</f>
        <v/>
      </c>
      <c r="J2548" s="5" t="str">
        <f aca="false">IF($I2548="","","R"&amp;$I2548)</f>
        <v/>
      </c>
    </row>
    <row r="2549" customFormat="false" ht="15" hidden="false" customHeight="true" outlineLevel="0" collapsed="false">
      <c r="H2549" s="14" t="b">
        <f aca="false">IF(중복검사!$A2547="",FALSE(),중복검사!$J2547="유지")</f>
        <v>0</v>
      </c>
      <c r="I2549" s="5" t="str">
        <f aca="false">IF($H2549=FALSE(),"",COUNTIF($H$6:$H2549,TRUE()))</f>
        <v/>
      </c>
      <c r="J2549" s="5" t="str">
        <f aca="false">IF($I2549="","","R"&amp;$I2549)</f>
        <v/>
      </c>
    </row>
    <row r="2550" customFormat="false" ht="15" hidden="false" customHeight="true" outlineLevel="0" collapsed="false">
      <c r="H2550" s="14" t="b">
        <f aca="false">IF(중복검사!$A2548="",FALSE(),중복검사!$J2548="유지")</f>
        <v>0</v>
      </c>
      <c r="I2550" s="5" t="str">
        <f aca="false">IF($H2550=FALSE(),"",COUNTIF($H$6:$H2550,TRUE()))</f>
        <v/>
      </c>
      <c r="J2550" s="5" t="str">
        <f aca="false">IF($I2550="","","R"&amp;$I2550)</f>
        <v/>
      </c>
    </row>
    <row r="2551" customFormat="false" ht="15" hidden="false" customHeight="true" outlineLevel="0" collapsed="false">
      <c r="H2551" s="14" t="b">
        <f aca="false">IF(중복검사!$A2549="",FALSE(),중복검사!$J2549="유지")</f>
        <v>0</v>
      </c>
      <c r="I2551" s="5" t="str">
        <f aca="false">IF($H2551=FALSE(),"",COUNTIF($H$6:$H2551,TRUE()))</f>
        <v/>
      </c>
      <c r="J2551" s="5" t="str">
        <f aca="false">IF($I2551="","","R"&amp;$I2551)</f>
        <v/>
      </c>
    </row>
    <row r="2552" customFormat="false" ht="15" hidden="false" customHeight="true" outlineLevel="0" collapsed="false">
      <c r="H2552" s="14" t="b">
        <f aca="false">IF(중복검사!$A2550="",FALSE(),중복검사!$J2550="유지")</f>
        <v>0</v>
      </c>
      <c r="I2552" s="5" t="str">
        <f aca="false">IF($H2552=FALSE(),"",COUNTIF($H$6:$H2552,TRUE()))</f>
        <v/>
      </c>
      <c r="J2552" s="5" t="str">
        <f aca="false">IF($I2552="","","R"&amp;$I2552)</f>
        <v/>
      </c>
    </row>
    <row r="2553" customFormat="false" ht="15" hidden="false" customHeight="true" outlineLevel="0" collapsed="false">
      <c r="H2553" s="14" t="b">
        <f aca="false">IF(중복검사!$A2551="",FALSE(),중복검사!$J2551="유지")</f>
        <v>0</v>
      </c>
      <c r="I2553" s="5" t="str">
        <f aca="false">IF($H2553=FALSE(),"",COUNTIF($H$6:$H2553,TRUE()))</f>
        <v/>
      </c>
      <c r="J2553" s="5" t="str">
        <f aca="false">IF($I2553="","","R"&amp;$I2553)</f>
        <v/>
      </c>
    </row>
    <row r="2554" customFormat="false" ht="15" hidden="false" customHeight="true" outlineLevel="0" collapsed="false">
      <c r="H2554" s="14" t="b">
        <f aca="false">IF(중복검사!$A2552="",FALSE(),중복검사!$J2552="유지")</f>
        <v>0</v>
      </c>
      <c r="I2554" s="5" t="str">
        <f aca="false">IF($H2554=FALSE(),"",COUNTIF($H$6:$H2554,TRUE()))</f>
        <v/>
      </c>
      <c r="J2554" s="5" t="str">
        <f aca="false">IF($I2554="","","R"&amp;$I2554)</f>
        <v/>
      </c>
    </row>
    <row r="2555" customFormat="false" ht="15" hidden="false" customHeight="true" outlineLevel="0" collapsed="false">
      <c r="H2555" s="14" t="b">
        <f aca="false">IF(중복검사!$A2553="",FALSE(),중복검사!$J2553="유지")</f>
        <v>0</v>
      </c>
      <c r="I2555" s="5" t="str">
        <f aca="false">IF($H2555=FALSE(),"",COUNTIF($H$6:$H2555,TRUE()))</f>
        <v/>
      </c>
      <c r="J2555" s="5" t="str">
        <f aca="false">IF($I2555="","","R"&amp;$I2555)</f>
        <v/>
      </c>
    </row>
    <row r="2556" customFormat="false" ht="15" hidden="false" customHeight="true" outlineLevel="0" collapsed="false">
      <c r="H2556" s="14" t="b">
        <f aca="false">IF(중복검사!$A2554="",FALSE(),중복검사!$J2554="유지")</f>
        <v>0</v>
      </c>
      <c r="I2556" s="5" t="str">
        <f aca="false">IF($H2556=FALSE(),"",COUNTIF($H$6:$H2556,TRUE()))</f>
        <v/>
      </c>
      <c r="J2556" s="5" t="str">
        <f aca="false">IF($I2556="","","R"&amp;$I2556)</f>
        <v/>
      </c>
    </row>
    <row r="2557" customFormat="false" ht="15" hidden="false" customHeight="true" outlineLevel="0" collapsed="false">
      <c r="H2557" s="14" t="b">
        <f aca="false">IF(중복검사!$A2555="",FALSE(),중복검사!$J2555="유지")</f>
        <v>0</v>
      </c>
      <c r="I2557" s="5" t="str">
        <f aca="false">IF($H2557=FALSE(),"",COUNTIF($H$6:$H2557,TRUE()))</f>
        <v/>
      </c>
      <c r="J2557" s="5" t="str">
        <f aca="false">IF($I2557="","","R"&amp;$I2557)</f>
        <v/>
      </c>
    </row>
    <row r="2558" customFormat="false" ht="15" hidden="false" customHeight="true" outlineLevel="0" collapsed="false">
      <c r="H2558" s="14" t="b">
        <f aca="false">IF(중복검사!$A2556="",FALSE(),중복검사!$J2556="유지")</f>
        <v>0</v>
      </c>
      <c r="I2558" s="5" t="str">
        <f aca="false">IF($H2558=FALSE(),"",COUNTIF($H$6:$H2558,TRUE()))</f>
        <v/>
      </c>
      <c r="J2558" s="5" t="str">
        <f aca="false">IF($I2558="","","R"&amp;$I2558)</f>
        <v/>
      </c>
    </row>
    <row r="2559" customFormat="false" ht="15" hidden="false" customHeight="true" outlineLevel="0" collapsed="false">
      <c r="H2559" s="14" t="b">
        <f aca="false">IF(중복검사!$A2557="",FALSE(),중복검사!$J2557="유지")</f>
        <v>0</v>
      </c>
      <c r="I2559" s="5" t="str">
        <f aca="false">IF($H2559=FALSE(),"",COUNTIF($H$6:$H2559,TRUE()))</f>
        <v/>
      </c>
      <c r="J2559" s="5" t="str">
        <f aca="false">IF($I2559="","","R"&amp;$I2559)</f>
        <v/>
      </c>
    </row>
    <row r="2560" customFormat="false" ht="15" hidden="false" customHeight="true" outlineLevel="0" collapsed="false">
      <c r="H2560" s="14" t="b">
        <f aca="false">IF(중복검사!$A2558="",FALSE(),중복검사!$J2558="유지")</f>
        <v>0</v>
      </c>
      <c r="I2560" s="5" t="str">
        <f aca="false">IF($H2560=FALSE(),"",COUNTIF($H$6:$H2560,TRUE()))</f>
        <v/>
      </c>
      <c r="J2560" s="5" t="str">
        <f aca="false">IF($I2560="","","R"&amp;$I2560)</f>
        <v/>
      </c>
    </row>
    <row r="2561" customFormat="false" ht="15" hidden="false" customHeight="true" outlineLevel="0" collapsed="false">
      <c r="H2561" s="14" t="b">
        <f aca="false">IF(중복검사!$A2559="",FALSE(),중복검사!$J2559="유지")</f>
        <v>0</v>
      </c>
      <c r="I2561" s="5" t="str">
        <f aca="false">IF($H2561=FALSE(),"",COUNTIF($H$6:$H2561,TRUE()))</f>
        <v/>
      </c>
      <c r="J2561" s="5" t="str">
        <f aca="false">IF($I2561="","","R"&amp;$I2561)</f>
        <v/>
      </c>
    </row>
    <row r="2562" customFormat="false" ht="15" hidden="false" customHeight="true" outlineLevel="0" collapsed="false">
      <c r="H2562" s="14" t="b">
        <f aca="false">IF(중복검사!$A2560="",FALSE(),중복검사!$J2560="유지")</f>
        <v>0</v>
      </c>
      <c r="I2562" s="5" t="str">
        <f aca="false">IF($H2562=FALSE(),"",COUNTIF($H$6:$H2562,TRUE()))</f>
        <v/>
      </c>
      <c r="J2562" s="5" t="str">
        <f aca="false">IF($I2562="","","R"&amp;$I2562)</f>
        <v/>
      </c>
    </row>
    <row r="2563" customFormat="false" ht="15" hidden="false" customHeight="true" outlineLevel="0" collapsed="false">
      <c r="H2563" s="14" t="b">
        <f aca="false">IF(중복검사!$A2561="",FALSE(),중복검사!$J2561="유지")</f>
        <v>0</v>
      </c>
      <c r="I2563" s="5" t="str">
        <f aca="false">IF($H2563=FALSE(),"",COUNTIF($H$6:$H2563,TRUE()))</f>
        <v/>
      </c>
      <c r="J2563" s="5" t="str">
        <f aca="false">IF($I2563="","","R"&amp;$I2563)</f>
        <v/>
      </c>
    </row>
    <row r="2564" customFormat="false" ht="15" hidden="false" customHeight="true" outlineLevel="0" collapsed="false">
      <c r="H2564" s="14" t="b">
        <f aca="false">IF(중복검사!$A2562="",FALSE(),중복검사!$J2562="유지")</f>
        <v>0</v>
      </c>
      <c r="I2564" s="5" t="str">
        <f aca="false">IF($H2564=FALSE(),"",COUNTIF($H$6:$H2564,TRUE()))</f>
        <v/>
      </c>
      <c r="J2564" s="5" t="str">
        <f aca="false">IF($I2564="","","R"&amp;$I2564)</f>
        <v/>
      </c>
    </row>
    <row r="2565" customFormat="false" ht="15" hidden="false" customHeight="true" outlineLevel="0" collapsed="false">
      <c r="H2565" s="14" t="b">
        <f aca="false">IF(중복검사!$A2563="",FALSE(),중복검사!$J2563="유지")</f>
        <v>0</v>
      </c>
      <c r="I2565" s="5" t="str">
        <f aca="false">IF($H2565=FALSE(),"",COUNTIF($H$6:$H2565,TRUE()))</f>
        <v/>
      </c>
      <c r="J2565" s="5" t="str">
        <f aca="false">IF($I2565="","","R"&amp;$I2565)</f>
        <v/>
      </c>
    </row>
    <row r="2566" customFormat="false" ht="15" hidden="false" customHeight="true" outlineLevel="0" collapsed="false">
      <c r="H2566" s="14" t="b">
        <f aca="false">IF(중복검사!$A2564="",FALSE(),중복검사!$J2564="유지")</f>
        <v>0</v>
      </c>
      <c r="I2566" s="5" t="str">
        <f aca="false">IF($H2566=FALSE(),"",COUNTIF($H$6:$H2566,TRUE()))</f>
        <v/>
      </c>
      <c r="J2566" s="5" t="str">
        <f aca="false">IF($I2566="","","R"&amp;$I2566)</f>
        <v/>
      </c>
    </row>
    <row r="2567" customFormat="false" ht="15" hidden="false" customHeight="true" outlineLevel="0" collapsed="false">
      <c r="H2567" s="14" t="b">
        <f aca="false">IF(중복검사!$A2565="",FALSE(),중복검사!$J2565="유지")</f>
        <v>0</v>
      </c>
      <c r="I2567" s="5" t="str">
        <f aca="false">IF($H2567=FALSE(),"",COUNTIF($H$6:$H2567,TRUE()))</f>
        <v/>
      </c>
      <c r="J2567" s="5" t="str">
        <f aca="false">IF($I2567="","","R"&amp;$I2567)</f>
        <v/>
      </c>
    </row>
    <row r="2568" customFormat="false" ht="15" hidden="false" customHeight="true" outlineLevel="0" collapsed="false">
      <c r="H2568" s="14" t="b">
        <f aca="false">IF(중복검사!$A2566="",FALSE(),중복검사!$J2566="유지")</f>
        <v>0</v>
      </c>
      <c r="I2568" s="5" t="str">
        <f aca="false">IF($H2568=FALSE(),"",COUNTIF($H$6:$H2568,TRUE()))</f>
        <v/>
      </c>
      <c r="J2568" s="5" t="str">
        <f aca="false">IF($I2568="","","R"&amp;$I2568)</f>
        <v/>
      </c>
    </row>
    <row r="2569" customFormat="false" ht="15" hidden="false" customHeight="true" outlineLevel="0" collapsed="false">
      <c r="H2569" s="14" t="b">
        <f aca="false">IF(중복검사!$A2567="",FALSE(),중복검사!$J2567="유지")</f>
        <v>0</v>
      </c>
      <c r="I2569" s="5" t="str">
        <f aca="false">IF($H2569=FALSE(),"",COUNTIF($H$6:$H2569,TRUE()))</f>
        <v/>
      </c>
      <c r="J2569" s="5" t="str">
        <f aca="false">IF($I2569="","","R"&amp;$I2569)</f>
        <v/>
      </c>
    </row>
    <row r="2570" customFormat="false" ht="15" hidden="false" customHeight="true" outlineLevel="0" collapsed="false">
      <c r="H2570" s="14" t="b">
        <f aca="false">IF(중복검사!$A2568="",FALSE(),중복검사!$J2568="유지")</f>
        <v>0</v>
      </c>
      <c r="I2570" s="5" t="str">
        <f aca="false">IF($H2570=FALSE(),"",COUNTIF($H$6:$H2570,TRUE()))</f>
        <v/>
      </c>
      <c r="J2570" s="5" t="str">
        <f aca="false">IF($I2570="","","R"&amp;$I2570)</f>
        <v/>
      </c>
    </row>
    <row r="2571" customFormat="false" ht="15" hidden="false" customHeight="true" outlineLevel="0" collapsed="false">
      <c r="H2571" s="14" t="b">
        <f aca="false">IF(중복검사!$A2569="",FALSE(),중복검사!$J2569="유지")</f>
        <v>0</v>
      </c>
      <c r="I2571" s="5" t="str">
        <f aca="false">IF($H2571=FALSE(),"",COUNTIF($H$6:$H2571,TRUE()))</f>
        <v/>
      </c>
      <c r="J2571" s="5" t="str">
        <f aca="false">IF($I2571="","","R"&amp;$I2571)</f>
        <v/>
      </c>
    </row>
    <row r="2572" customFormat="false" ht="15" hidden="false" customHeight="true" outlineLevel="0" collapsed="false">
      <c r="H2572" s="14" t="b">
        <f aca="false">IF(중복검사!$A2570="",FALSE(),중복검사!$J2570="유지")</f>
        <v>0</v>
      </c>
      <c r="I2572" s="5" t="str">
        <f aca="false">IF($H2572=FALSE(),"",COUNTIF($H$6:$H2572,TRUE()))</f>
        <v/>
      </c>
      <c r="J2572" s="5" t="str">
        <f aca="false">IF($I2572="","","R"&amp;$I2572)</f>
        <v/>
      </c>
    </row>
    <row r="2573" customFormat="false" ht="15" hidden="false" customHeight="true" outlineLevel="0" collapsed="false">
      <c r="H2573" s="14" t="b">
        <f aca="false">IF(중복검사!$A2571="",FALSE(),중복검사!$J2571="유지")</f>
        <v>0</v>
      </c>
      <c r="I2573" s="5" t="str">
        <f aca="false">IF($H2573=FALSE(),"",COUNTIF($H$6:$H2573,TRUE()))</f>
        <v/>
      </c>
      <c r="J2573" s="5" t="str">
        <f aca="false">IF($I2573="","","R"&amp;$I2573)</f>
        <v/>
      </c>
    </row>
    <row r="2574" customFormat="false" ht="15" hidden="false" customHeight="true" outlineLevel="0" collapsed="false">
      <c r="H2574" s="14" t="b">
        <f aca="false">IF(중복검사!$A2572="",FALSE(),중복검사!$J2572="유지")</f>
        <v>0</v>
      </c>
      <c r="I2574" s="5" t="str">
        <f aca="false">IF($H2574=FALSE(),"",COUNTIF($H$6:$H2574,TRUE()))</f>
        <v/>
      </c>
      <c r="J2574" s="5" t="str">
        <f aca="false">IF($I2574="","","R"&amp;$I2574)</f>
        <v/>
      </c>
    </row>
    <row r="2575" customFormat="false" ht="15" hidden="false" customHeight="true" outlineLevel="0" collapsed="false">
      <c r="H2575" s="14" t="b">
        <f aca="false">IF(중복검사!$A2573="",FALSE(),중복검사!$J2573="유지")</f>
        <v>0</v>
      </c>
      <c r="I2575" s="5" t="str">
        <f aca="false">IF($H2575=FALSE(),"",COUNTIF($H$6:$H2575,TRUE()))</f>
        <v/>
      </c>
      <c r="J2575" s="5" t="str">
        <f aca="false">IF($I2575="","","R"&amp;$I2575)</f>
        <v/>
      </c>
    </row>
    <row r="2576" customFormat="false" ht="15" hidden="false" customHeight="true" outlineLevel="0" collapsed="false">
      <c r="H2576" s="14" t="b">
        <f aca="false">IF(중복검사!$A2574="",FALSE(),중복검사!$J2574="유지")</f>
        <v>0</v>
      </c>
      <c r="I2576" s="5" t="str">
        <f aca="false">IF($H2576=FALSE(),"",COUNTIF($H$6:$H2576,TRUE()))</f>
        <v/>
      </c>
      <c r="J2576" s="5" t="str">
        <f aca="false">IF($I2576="","","R"&amp;$I2576)</f>
        <v/>
      </c>
    </row>
    <row r="2577" customFormat="false" ht="15" hidden="false" customHeight="true" outlineLevel="0" collapsed="false">
      <c r="H2577" s="14" t="b">
        <f aca="false">IF(중복검사!$A2575="",FALSE(),중복검사!$J2575="유지")</f>
        <v>0</v>
      </c>
      <c r="I2577" s="5" t="str">
        <f aca="false">IF($H2577=FALSE(),"",COUNTIF($H$6:$H2577,TRUE()))</f>
        <v/>
      </c>
      <c r="J2577" s="5" t="str">
        <f aca="false">IF($I2577="","","R"&amp;$I2577)</f>
        <v/>
      </c>
    </row>
    <row r="2578" customFormat="false" ht="15" hidden="false" customHeight="true" outlineLevel="0" collapsed="false">
      <c r="H2578" s="14" t="b">
        <f aca="false">IF(중복검사!$A2576="",FALSE(),중복검사!$J2576="유지")</f>
        <v>0</v>
      </c>
      <c r="I2578" s="5" t="str">
        <f aca="false">IF($H2578=FALSE(),"",COUNTIF($H$6:$H2578,TRUE()))</f>
        <v/>
      </c>
      <c r="J2578" s="5" t="str">
        <f aca="false">IF($I2578="","","R"&amp;$I2578)</f>
        <v/>
      </c>
    </row>
    <row r="2579" customFormat="false" ht="15" hidden="false" customHeight="true" outlineLevel="0" collapsed="false">
      <c r="H2579" s="14" t="b">
        <f aca="false">IF(중복검사!$A2577="",FALSE(),중복검사!$J2577="유지")</f>
        <v>0</v>
      </c>
      <c r="I2579" s="5" t="str">
        <f aca="false">IF($H2579=FALSE(),"",COUNTIF($H$6:$H2579,TRUE()))</f>
        <v/>
      </c>
      <c r="J2579" s="5" t="str">
        <f aca="false">IF($I2579="","","R"&amp;$I2579)</f>
        <v/>
      </c>
    </row>
    <row r="2580" customFormat="false" ht="15" hidden="false" customHeight="true" outlineLevel="0" collapsed="false">
      <c r="H2580" s="14" t="b">
        <f aca="false">IF(중복검사!$A2578="",FALSE(),중복검사!$J2578="유지")</f>
        <v>0</v>
      </c>
      <c r="I2580" s="5" t="str">
        <f aca="false">IF($H2580=FALSE(),"",COUNTIF($H$6:$H2580,TRUE()))</f>
        <v/>
      </c>
      <c r="J2580" s="5" t="str">
        <f aca="false">IF($I2580="","","R"&amp;$I2580)</f>
        <v/>
      </c>
    </row>
    <row r="2581" customFormat="false" ht="15" hidden="false" customHeight="true" outlineLevel="0" collapsed="false">
      <c r="H2581" s="14" t="b">
        <f aca="false">IF(중복검사!$A2579="",FALSE(),중복검사!$J2579="유지")</f>
        <v>0</v>
      </c>
      <c r="I2581" s="5" t="str">
        <f aca="false">IF($H2581=FALSE(),"",COUNTIF($H$6:$H2581,TRUE()))</f>
        <v/>
      </c>
      <c r="J2581" s="5" t="str">
        <f aca="false">IF($I2581="","","R"&amp;$I2581)</f>
        <v/>
      </c>
    </row>
    <row r="2582" customFormat="false" ht="15" hidden="false" customHeight="true" outlineLevel="0" collapsed="false">
      <c r="H2582" s="14" t="b">
        <f aca="false">IF(중복검사!$A2580="",FALSE(),중복검사!$J2580="유지")</f>
        <v>0</v>
      </c>
      <c r="I2582" s="5" t="str">
        <f aca="false">IF($H2582=FALSE(),"",COUNTIF($H$6:$H2582,TRUE()))</f>
        <v/>
      </c>
      <c r="J2582" s="5" t="str">
        <f aca="false">IF($I2582="","","R"&amp;$I2582)</f>
        <v/>
      </c>
    </row>
    <row r="2583" customFormat="false" ht="15" hidden="false" customHeight="true" outlineLevel="0" collapsed="false">
      <c r="H2583" s="14" t="b">
        <f aca="false">IF(중복검사!$A2581="",FALSE(),중복검사!$J2581="유지")</f>
        <v>0</v>
      </c>
      <c r="I2583" s="5" t="str">
        <f aca="false">IF($H2583=FALSE(),"",COUNTIF($H$6:$H2583,TRUE()))</f>
        <v/>
      </c>
      <c r="J2583" s="5" t="str">
        <f aca="false">IF($I2583="","","R"&amp;$I2583)</f>
        <v/>
      </c>
    </row>
    <row r="2584" customFormat="false" ht="15" hidden="false" customHeight="true" outlineLevel="0" collapsed="false">
      <c r="H2584" s="14" t="b">
        <f aca="false">IF(중복검사!$A2582="",FALSE(),중복검사!$J2582="유지")</f>
        <v>0</v>
      </c>
      <c r="I2584" s="5" t="str">
        <f aca="false">IF($H2584=FALSE(),"",COUNTIF($H$6:$H2584,TRUE()))</f>
        <v/>
      </c>
      <c r="J2584" s="5" t="str">
        <f aca="false">IF($I2584="","","R"&amp;$I2584)</f>
        <v/>
      </c>
    </row>
    <row r="2585" customFormat="false" ht="15" hidden="false" customHeight="true" outlineLevel="0" collapsed="false">
      <c r="H2585" s="14" t="b">
        <f aca="false">IF(중복검사!$A2583="",FALSE(),중복검사!$J2583="유지")</f>
        <v>0</v>
      </c>
      <c r="I2585" s="5" t="str">
        <f aca="false">IF($H2585=FALSE(),"",COUNTIF($H$6:$H2585,TRUE()))</f>
        <v/>
      </c>
      <c r="J2585" s="5" t="str">
        <f aca="false">IF($I2585="","","R"&amp;$I2585)</f>
        <v/>
      </c>
    </row>
    <row r="2586" customFormat="false" ht="15" hidden="false" customHeight="true" outlineLevel="0" collapsed="false">
      <c r="H2586" s="14" t="b">
        <f aca="false">IF(중복검사!$A2584="",FALSE(),중복검사!$J2584="유지")</f>
        <v>0</v>
      </c>
      <c r="I2586" s="5" t="str">
        <f aca="false">IF($H2586=FALSE(),"",COUNTIF($H$6:$H2586,TRUE()))</f>
        <v/>
      </c>
      <c r="J2586" s="5" t="str">
        <f aca="false">IF($I2586="","","R"&amp;$I2586)</f>
        <v/>
      </c>
    </row>
    <row r="2587" customFormat="false" ht="15" hidden="false" customHeight="true" outlineLevel="0" collapsed="false">
      <c r="H2587" s="14" t="b">
        <f aca="false">IF(중복검사!$A2585="",FALSE(),중복검사!$J2585="유지")</f>
        <v>0</v>
      </c>
      <c r="I2587" s="5" t="str">
        <f aca="false">IF($H2587=FALSE(),"",COUNTIF($H$6:$H2587,TRUE()))</f>
        <v/>
      </c>
      <c r="J2587" s="5" t="str">
        <f aca="false">IF($I2587="","","R"&amp;$I2587)</f>
        <v/>
      </c>
    </row>
    <row r="2588" customFormat="false" ht="15" hidden="false" customHeight="true" outlineLevel="0" collapsed="false">
      <c r="H2588" s="14" t="b">
        <f aca="false">IF(중복검사!$A2586="",FALSE(),중복검사!$J2586="유지")</f>
        <v>0</v>
      </c>
      <c r="I2588" s="5" t="str">
        <f aca="false">IF($H2588=FALSE(),"",COUNTIF($H$6:$H2588,TRUE()))</f>
        <v/>
      </c>
      <c r="J2588" s="5" t="str">
        <f aca="false">IF($I2588="","","R"&amp;$I2588)</f>
        <v/>
      </c>
    </row>
    <row r="2589" customFormat="false" ht="15" hidden="false" customHeight="true" outlineLevel="0" collapsed="false">
      <c r="H2589" s="14" t="b">
        <f aca="false">IF(중복검사!$A2587="",FALSE(),중복검사!$J2587="유지")</f>
        <v>0</v>
      </c>
      <c r="I2589" s="5" t="str">
        <f aca="false">IF($H2589=FALSE(),"",COUNTIF($H$6:$H2589,TRUE()))</f>
        <v/>
      </c>
      <c r="J2589" s="5" t="str">
        <f aca="false">IF($I2589="","","R"&amp;$I2589)</f>
        <v/>
      </c>
    </row>
    <row r="2590" customFormat="false" ht="15" hidden="false" customHeight="true" outlineLevel="0" collapsed="false">
      <c r="H2590" s="14" t="b">
        <f aca="false">IF(중복검사!$A2588="",FALSE(),중복검사!$J2588="유지")</f>
        <v>0</v>
      </c>
      <c r="I2590" s="5" t="str">
        <f aca="false">IF($H2590=FALSE(),"",COUNTIF($H$6:$H2590,TRUE()))</f>
        <v/>
      </c>
      <c r="J2590" s="5" t="str">
        <f aca="false">IF($I2590="","","R"&amp;$I2590)</f>
        <v/>
      </c>
    </row>
    <row r="2591" customFormat="false" ht="15" hidden="false" customHeight="true" outlineLevel="0" collapsed="false">
      <c r="H2591" s="14" t="b">
        <f aca="false">IF(중복검사!$A2589="",FALSE(),중복검사!$J2589="유지")</f>
        <v>0</v>
      </c>
      <c r="I2591" s="5" t="str">
        <f aca="false">IF($H2591=FALSE(),"",COUNTIF($H$6:$H2591,TRUE()))</f>
        <v/>
      </c>
      <c r="J2591" s="5" t="str">
        <f aca="false">IF($I2591="","","R"&amp;$I2591)</f>
        <v/>
      </c>
    </row>
    <row r="2592" customFormat="false" ht="15" hidden="false" customHeight="true" outlineLevel="0" collapsed="false">
      <c r="H2592" s="14" t="b">
        <f aca="false">IF(중복검사!$A2590="",FALSE(),중복검사!$J2590="유지")</f>
        <v>0</v>
      </c>
      <c r="I2592" s="5" t="str">
        <f aca="false">IF($H2592=FALSE(),"",COUNTIF($H$6:$H2592,TRUE()))</f>
        <v/>
      </c>
      <c r="J2592" s="5" t="str">
        <f aca="false">IF($I2592="","","R"&amp;$I2592)</f>
        <v/>
      </c>
    </row>
    <row r="2593" customFormat="false" ht="15" hidden="false" customHeight="true" outlineLevel="0" collapsed="false">
      <c r="H2593" s="14" t="b">
        <f aca="false">IF(중복검사!$A2591="",FALSE(),중복검사!$J2591="유지")</f>
        <v>0</v>
      </c>
      <c r="I2593" s="5" t="str">
        <f aca="false">IF($H2593=FALSE(),"",COUNTIF($H$6:$H2593,TRUE()))</f>
        <v/>
      </c>
      <c r="J2593" s="5" t="str">
        <f aca="false">IF($I2593="","","R"&amp;$I2593)</f>
        <v/>
      </c>
    </row>
    <row r="2594" customFormat="false" ht="15" hidden="false" customHeight="true" outlineLevel="0" collapsed="false">
      <c r="H2594" s="14" t="b">
        <f aca="false">IF(중복검사!$A2592="",FALSE(),중복검사!$J2592="유지")</f>
        <v>0</v>
      </c>
      <c r="I2594" s="5" t="str">
        <f aca="false">IF($H2594=FALSE(),"",COUNTIF($H$6:$H2594,TRUE()))</f>
        <v/>
      </c>
      <c r="J2594" s="5" t="str">
        <f aca="false">IF($I2594="","","R"&amp;$I2594)</f>
        <v/>
      </c>
    </row>
    <row r="2595" customFormat="false" ht="15" hidden="false" customHeight="true" outlineLevel="0" collapsed="false">
      <c r="H2595" s="14" t="b">
        <f aca="false">IF(중복검사!$A2593="",FALSE(),중복검사!$J2593="유지")</f>
        <v>0</v>
      </c>
      <c r="I2595" s="5" t="str">
        <f aca="false">IF($H2595=FALSE(),"",COUNTIF($H$6:$H2595,TRUE()))</f>
        <v/>
      </c>
      <c r="J2595" s="5" t="str">
        <f aca="false">IF($I2595="","","R"&amp;$I2595)</f>
        <v/>
      </c>
    </row>
    <row r="2596" customFormat="false" ht="15" hidden="false" customHeight="true" outlineLevel="0" collapsed="false">
      <c r="H2596" s="14" t="b">
        <f aca="false">IF(중복검사!$A2594="",FALSE(),중복검사!$J2594="유지")</f>
        <v>0</v>
      </c>
      <c r="I2596" s="5" t="str">
        <f aca="false">IF($H2596=FALSE(),"",COUNTIF($H$6:$H2596,TRUE()))</f>
        <v/>
      </c>
      <c r="J2596" s="5" t="str">
        <f aca="false">IF($I2596="","","R"&amp;$I2596)</f>
        <v/>
      </c>
    </row>
    <row r="2597" customFormat="false" ht="15" hidden="false" customHeight="true" outlineLevel="0" collapsed="false">
      <c r="H2597" s="14" t="b">
        <f aca="false">IF(중복검사!$A2595="",FALSE(),중복검사!$J2595="유지")</f>
        <v>0</v>
      </c>
      <c r="I2597" s="5" t="str">
        <f aca="false">IF($H2597=FALSE(),"",COUNTIF($H$6:$H2597,TRUE()))</f>
        <v/>
      </c>
      <c r="J2597" s="5" t="str">
        <f aca="false">IF($I2597="","","R"&amp;$I2597)</f>
        <v/>
      </c>
    </row>
    <row r="2598" customFormat="false" ht="15" hidden="false" customHeight="true" outlineLevel="0" collapsed="false">
      <c r="H2598" s="14" t="b">
        <f aca="false">IF(중복검사!$A2596="",FALSE(),중복검사!$J2596="유지")</f>
        <v>0</v>
      </c>
      <c r="I2598" s="5" t="str">
        <f aca="false">IF($H2598=FALSE(),"",COUNTIF($H$6:$H2598,TRUE()))</f>
        <v/>
      </c>
      <c r="J2598" s="5" t="str">
        <f aca="false">IF($I2598="","","R"&amp;$I2598)</f>
        <v/>
      </c>
    </row>
    <row r="2599" customFormat="false" ht="15" hidden="false" customHeight="true" outlineLevel="0" collapsed="false">
      <c r="H2599" s="14" t="b">
        <f aca="false">IF(중복검사!$A2597="",FALSE(),중복검사!$J2597="유지")</f>
        <v>0</v>
      </c>
      <c r="I2599" s="5" t="str">
        <f aca="false">IF($H2599=FALSE(),"",COUNTIF($H$6:$H2599,TRUE()))</f>
        <v/>
      </c>
      <c r="J2599" s="5" t="str">
        <f aca="false">IF($I2599="","","R"&amp;$I2599)</f>
        <v/>
      </c>
    </row>
    <row r="2600" customFormat="false" ht="15" hidden="false" customHeight="true" outlineLevel="0" collapsed="false">
      <c r="H2600" s="14" t="b">
        <f aca="false">IF(중복검사!$A2598="",FALSE(),중복검사!$J2598="유지")</f>
        <v>0</v>
      </c>
      <c r="I2600" s="5" t="str">
        <f aca="false">IF($H2600=FALSE(),"",COUNTIF($H$6:$H2600,TRUE()))</f>
        <v/>
      </c>
      <c r="J2600" s="5" t="str">
        <f aca="false">IF($I2600="","","R"&amp;$I2600)</f>
        <v/>
      </c>
    </row>
    <row r="2601" customFormat="false" ht="15" hidden="false" customHeight="true" outlineLevel="0" collapsed="false">
      <c r="H2601" s="14" t="b">
        <f aca="false">IF(중복검사!$A2599="",FALSE(),중복검사!$J2599="유지")</f>
        <v>0</v>
      </c>
      <c r="I2601" s="5" t="str">
        <f aca="false">IF($H2601=FALSE(),"",COUNTIF($H$6:$H2601,TRUE()))</f>
        <v/>
      </c>
      <c r="J2601" s="5" t="str">
        <f aca="false">IF($I2601="","","R"&amp;$I2601)</f>
        <v/>
      </c>
    </row>
    <row r="2602" customFormat="false" ht="15" hidden="false" customHeight="true" outlineLevel="0" collapsed="false">
      <c r="H2602" s="14" t="b">
        <f aca="false">IF(중복검사!$A2600="",FALSE(),중복검사!$J2600="유지")</f>
        <v>0</v>
      </c>
      <c r="I2602" s="5" t="str">
        <f aca="false">IF($H2602=FALSE(),"",COUNTIF($H$6:$H2602,TRUE()))</f>
        <v/>
      </c>
      <c r="J2602" s="5" t="str">
        <f aca="false">IF($I2602="","","R"&amp;$I2602)</f>
        <v/>
      </c>
    </row>
    <row r="2603" customFormat="false" ht="15" hidden="false" customHeight="true" outlineLevel="0" collapsed="false">
      <c r="H2603" s="14" t="b">
        <f aca="false">IF(중복검사!$A2601="",FALSE(),중복검사!$J2601="유지")</f>
        <v>0</v>
      </c>
      <c r="I2603" s="5" t="str">
        <f aca="false">IF($H2603=FALSE(),"",COUNTIF($H$6:$H2603,TRUE()))</f>
        <v/>
      </c>
      <c r="J2603" s="5" t="str">
        <f aca="false">IF($I2603="","","R"&amp;$I2603)</f>
        <v/>
      </c>
    </row>
    <row r="2604" customFormat="false" ht="15" hidden="false" customHeight="true" outlineLevel="0" collapsed="false">
      <c r="H2604" s="14" t="b">
        <f aca="false">IF(중복검사!$A2602="",FALSE(),중복검사!$J2602="유지")</f>
        <v>0</v>
      </c>
      <c r="I2604" s="5" t="str">
        <f aca="false">IF($H2604=FALSE(),"",COUNTIF($H$6:$H2604,TRUE()))</f>
        <v/>
      </c>
      <c r="J2604" s="5" t="str">
        <f aca="false">IF($I2604="","","R"&amp;$I2604)</f>
        <v/>
      </c>
    </row>
    <row r="2605" customFormat="false" ht="15" hidden="false" customHeight="true" outlineLevel="0" collapsed="false">
      <c r="H2605" s="14" t="b">
        <f aca="false">IF(중복검사!$A2603="",FALSE(),중복검사!$J2603="유지")</f>
        <v>0</v>
      </c>
      <c r="I2605" s="5" t="str">
        <f aca="false">IF($H2605=FALSE(),"",COUNTIF($H$6:$H2605,TRUE()))</f>
        <v/>
      </c>
      <c r="J2605" s="5" t="str">
        <f aca="false">IF($I2605="","","R"&amp;$I2605)</f>
        <v/>
      </c>
    </row>
    <row r="2606" customFormat="false" ht="15" hidden="false" customHeight="true" outlineLevel="0" collapsed="false">
      <c r="H2606" s="14" t="b">
        <f aca="false">IF(중복검사!$A2604="",FALSE(),중복검사!$J2604="유지")</f>
        <v>0</v>
      </c>
      <c r="I2606" s="5" t="str">
        <f aca="false">IF($H2606=FALSE(),"",COUNTIF($H$6:$H2606,TRUE()))</f>
        <v/>
      </c>
      <c r="J2606" s="5" t="str">
        <f aca="false">IF($I2606="","","R"&amp;$I2606)</f>
        <v/>
      </c>
    </row>
    <row r="2607" customFormat="false" ht="15" hidden="false" customHeight="true" outlineLevel="0" collapsed="false">
      <c r="H2607" s="14" t="b">
        <f aca="false">IF(중복검사!$A2605="",FALSE(),중복검사!$J2605="유지")</f>
        <v>0</v>
      </c>
      <c r="I2607" s="5" t="str">
        <f aca="false">IF($H2607=FALSE(),"",COUNTIF($H$6:$H2607,TRUE()))</f>
        <v/>
      </c>
      <c r="J2607" s="5" t="str">
        <f aca="false">IF($I2607="","","R"&amp;$I2607)</f>
        <v/>
      </c>
    </row>
    <row r="2608" customFormat="false" ht="15" hidden="false" customHeight="true" outlineLevel="0" collapsed="false">
      <c r="H2608" s="14" t="b">
        <f aca="false">IF(중복검사!$A2606="",FALSE(),중복검사!$J2606="유지")</f>
        <v>0</v>
      </c>
      <c r="I2608" s="5" t="str">
        <f aca="false">IF($H2608=FALSE(),"",COUNTIF($H$6:$H2608,TRUE()))</f>
        <v/>
      </c>
      <c r="J2608" s="5" t="str">
        <f aca="false">IF($I2608="","","R"&amp;$I2608)</f>
        <v/>
      </c>
    </row>
    <row r="2609" customFormat="false" ht="15" hidden="false" customHeight="true" outlineLevel="0" collapsed="false">
      <c r="H2609" s="14" t="b">
        <f aca="false">IF(중복검사!$A2607="",FALSE(),중복검사!$J2607="유지")</f>
        <v>0</v>
      </c>
      <c r="I2609" s="5" t="str">
        <f aca="false">IF($H2609=FALSE(),"",COUNTIF($H$6:$H2609,TRUE()))</f>
        <v/>
      </c>
      <c r="J2609" s="5" t="str">
        <f aca="false">IF($I2609="","","R"&amp;$I2609)</f>
        <v/>
      </c>
    </row>
    <row r="2610" customFormat="false" ht="15" hidden="false" customHeight="true" outlineLevel="0" collapsed="false">
      <c r="H2610" s="14" t="b">
        <f aca="false">IF(중복검사!$A2608="",FALSE(),중복검사!$J2608="유지")</f>
        <v>0</v>
      </c>
      <c r="I2610" s="5" t="str">
        <f aca="false">IF($H2610=FALSE(),"",COUNTIF($H$6:$H2610,TRUE()))</f>
        <v/>
      </c>
      <c r="J2610" s="5" t="str">
        <f aca="false">IF($I2610="","","R"&amp;$I2610)</f>
        <v/>
      </c>
    </row>
    <row r="2611" customFormat="false" ht="15" hidden="false" customHeight="true" outlineLevel="0" collapsed="false">
      <c r="H2611" s="14" t="b">
        <f aca="false">IF(중복검사!$A2609="",FALSE(),중복검사!$J2609="유지")</f>
        <v>0</v>
      </c>
      <c r="I2611" s="5" t="str">
        <f aca="false">IF($H2611=FALSE(),"",COUNTIF($H$6:$H2611,TRUE()))</f>
        <v/>
      </c>
      <c r="J2611" s="5" t="str">
        <f aca="false">IF($I2611="","","R"&amp;$I2611)</f>
        <v/>
      </c>
    </row>
    <row r="2612" customFormat="false" ht="15" hidden="false" customHeight="true" outlineLevel="0" collapsed="false">
      <c r="H2612" s="14" t="b">
        <f aca="false">IF(중복검사!$A2610="",FALSE(),중복검사!$J2610="유지")</f>
        <v>0</v>
      </c>
      <c r="I2612" s="5" t="str">
        <f aca="false">IF($H2612=FALSE(),"",COUNTIF($H$6:$H2612,TRUE()))</f>
        <v/>
      </c>
      <c r="J2612" s="5" t="str">
        <f aca="false">IF($I2612="","","R"&amp;$I2612)</f>
        <v/>
      </c>
    </row>
    <row r="2613" customFormat="false" ht="15" hidden="false" customHeight="true" outlineLevel="0" collapsed="false">
      <c r="H2613" s="14" t="b">
        <f aca="false">IF(중복검사!$A2611="",FALSE(),중복검사!$J2611="유지")</f>
        <v>0</v>
      </c>
      <c r="I2613" s="5" t="str">
        <f aca="false">IF($H2613=FALSE(),"",COUNTIF($H$6:$H2613,TRUE()))</f>
        <v/>
      </c>
      <c r="J2613" s="5" t="str">
        <f aca="false">IF($I2613="","","R"&amp;$I2613)</f>
        <v/>
      </c>
    </row>
    <row r="2614" customFormat="false" ht="15" hidden="false" customHeight="true" outlineLevel="0" collapsed="false">
      <c r="H2614" s="14" t="b">
        <f aca="false">IF(중복검사!$A2612="",FALSE(),중복검사!$J2612="유지")</f>
        <v>0</v>
      </c>
      <c r="I2614" s="5" t="str">
        <f aca="false">IF($H2614=FALSE(),"",COUNTIF($H$6:$H2614,TRUE()))</f>
        <v/>
      </c>
      <c r="J2614" s="5" t="str">
        <f aca="false">IF($I2614="","","R"&amp;$I2614)</f>
        <v/>
      </c>
    </row>
    <row r="2615" customFormat="false" ht="15" hidden="false" customHeight="true" outlineLevel="0" collapsed="false">
      <c r="H2615" s="14" t="b">
        <f aca="false">IF(중복검사!$A2613="",FALSE(),중복검사!$J2613="유지")</f>
        <v>0</v>
      </c>
      <c r="I2615" s="5" t="str">
        <f aca="false">IF($H2615=FALSE(),"",COUNTIF($H$6:$H2615,TRUE()))</f>
        <v/>
      </c>
      <c r="J2615" s="5" t="str">
        <f aca="false">IF($I2615="","","R"&amp;$I2615)</f>
        <v/>
      </c>
    </row>
    <row r="2616" customFormat="false" ht="15" hidden="false" customHeight="true" outlineLevel="0" collapsed="false">
      <c r="H2616" s="14" t="b">
        <f aca="false">IF(중복검사!$A2614="",FALSE(),중복검사!$J2614="유지")</f>
        <v>0</v>
      </c>
      <c r="I2616" s="5" t="str">
        <f aca="false">IF($H2616=FALSE(),"",COUNTIF($H$6:$H2616,TRUE()))</f>
        <v/>
      </c>
      <c r="J2616" s="5" t="str">
        <f aca="false">IF($I2616="","","R"&amp;$I2616)</f>
        <v/>
      </c>
    </row>
    <row r="2617" customFormat="false" ht="15" hidden="false" customHeight="true" outlineLevel="0" collapsed="false">
      <c r="H2617" s="14" t="b">
        <f aca="false">IF(중복검사!$A2615="",FALSE(),중복검사!$J2615="유지")</f>
        <v>0</v>
      </c>
      <c r="I2617" s="5" t="str">
        <f aca="false">IF($H2617=FALSE(),"",COUNTIF($H$6:$H2617,TRUE()))</f>
        <v/>
      </c>
      <c r="J2617" s="5" t="str">
        <f aca="false">IF($I2617="","","R"&amp;$I2617)</f>
        <v/>
      </c>
    </row>
    <row r="2618" customFormat="false" ht="15" hidden="false" customHeight="true" outlineLevel="0" collapsed="false">
      <c r="H2618" s="14" t="b">
        <f aca="false">IF(중복검사!$A2616="",FALSE(),중복검사!$J2616="유지")</f>
        <v>0</v>
      </c>
      <c r="I2618" s="5" t="str">
        <f aca="false">IF($H2618=FALSE(),"",COUNTIF($H$6:$H2618,TRUE()))</f>
        <v/>
      </c>
      <c r="J2618" s="5" t="str">
        <f aca="false">IF($I2618="","","R"&amp;$I2618)</f>
        <v/>
      </c>
    </row>
    <row r="2619" customFormat="false" ht="15" hidden="false" customHeight="true" outlineLevel="0" collapsed="false">
      <c r="H2619" s="14" t="b">
        <f aca="false">IF(중복검사!$A2617="",FALSE(),중복검사!$J2617="유지")</f>
        <v>0</v>
      </c>
      <c r="I2619" s="5" t="str">
        <f aca="false">IF($H2619=FALSE(),"",COUNTIF($H$6:$H2619,TRUE()))</f>
        <v/>
      </c>
      <c r="J2619" s="5" t="str">
        <f aca="false">IF($I2619="","","R"&amp;$I2619)</f>
        <v/>
      </c>
    </row>
    <row r="2620" customFormat="false" ht="15" hidden="false" customHeight="true" outlineLevel="0" collapsed="false">
      <c r="H2620" s="14" t="b">
        <f aca="false">IF(중복검사!$A2618="",FALSE(),중복검사!$J2618="유지")</f>
        <v>0</v>
      </c>
      <c r="I2620" s="5" t="str">
        <f aca="false">IF($H2620=FALSE(),"",COUNTIF($H$6:$H2620,TRUE()))</f>
        <v/>
      </c>
      <c r="J2620" s="5" t="str">
        <f aca="false">IF($I2620="","","R"&amp;$I2620)</f>
        <v/>
      </c>
    </row>
    <row r="2621" customFormat="false" ht="15" hidden="false" customHeight="true" outlineLevel="0" collapsed="false">
      <c r="H2621" s="14" t="b">
        <f aca="false">IF(중복검사!$A2619="",FALSE(),중복검사!$J2619="유지")</f>
        <v>0</v>
      </c>
      <c r="I2621" s="5" t="str">
        <f aca="false">IF($H2621=FALSE(),"",COUNTIF($H$6:$H2621,TRUE()))</f>
        <v/>
      </c>
      <c r="J2621" s="5" t="str">
        <f aca="false">IF($I2621="","","R"&amp;$I2621)</f>
        <v/>
      </c>
    </row>
    <row r="2622" customFormat="false" ht="15" hidden="false" customHeight="true" outlineLevel="0" collapsed="false">
      <c r="H2622" s="14" t="b">
        <f aca="false">IF(중복검사!$A2620="",FALSE(),중복검사!$J2620="유지")</f>
        <v>0</v>
      </c>
      <c r="I2622" s="5" t="str">
        <f aca="false">IF($H2622=FALSE(),"",COUNTIF($H$6:$H2622,TRUE()))</f>
        <v/>
      </c>
      <c r="J2622" s="5" t="str">
        <f aca="false">IF($I2622="","","R"&amp;$I2622)</f>
        <v/>
      </c>
    </row>
    <row r="2623" customFormat="false" ht="15" hidden="false" customHeight="true" outlineLevel="0" collapsed="false">
      <c r="H2623" s="14" t="b">
        <f aca="false">IF(중복검사!$A2621="",FALSE(),중복검사!$J2621="유지")</f>
        <v>0</v>
      </c>
      <c r="I2623" s="5" t="str">
        <f aca="false">IF($H2623=FALSE(),"",COUNTIF($H$6:$H2623,TRUE()))</f>
        <v/>
      </c>
      <c r="J2623" s="5" t="str">
        <f aca="false">IF($I2623="","","R"&amp;$I2623)</f>
        <v/>
      </c>
    </row>
    <row r="2624" customFormat="false" ht="15" hidden="false" customHeight="true" outlineLevel="0" collapsed="false">
      <c r="H2624" s="14" t="b">
        <f aca="false">IF(중복검사!$A2622="",FALSE(),중복검사!$J2622="유지")</f>
        <v>0</v>
      </c>
      <c r="I2624" s="5" t="str">
        <f aca="false">IF($H2624=FALSE(),"",COUNTIF($H$6:$H2624,TRUE()))</f>
        <v/>
      </c>
      <c r="J2624" s="5" t="str">
        <f aca="false">IF($I2624="","","R"&amp;$I2624)</f>
        <v/>
      </c>
    </row>
    <row r="2625" customFormat="false" ht="15" hidden="false" customHeight="true" outlineLevel="0" collapsed="false">
      <c r="H2625" s="14" t="b">
        <f aca="false">IF(중복검사!$A2623="",FALSE(),중복검사!$J2623="유지")</f>
        <v>0</v>
      </c>
      <c r="I2625" s="5" t="str">
        <f aca="false">IF($H2625=FALSE(),"",COUNTIF($H$6:$H2625,TRUE()))</f>
        <v/>
      </c>
      <c r="J2625" s="5" t="str">
        <f aca="false">IF($I2625="","","R"&amp;$I2625)</f>
        <v/>
      </c>
    </row>
    <row r="2626" customFormat="false" ht="15" hidden="false" customHeight="true" outlineLevel="0" collapsed="false">
      <c r="H2626" s="14" t="b">
        <f aca="false">IF(중복검사!$A2624="",FALSE(),중복검사!$J2624="유지")</f>
        <v>0</v>
      </c>
      <c r="I2626" s="5" t="str">
        <f aca="false">IF($H2626=FALSE(),"",COUNTIF($H$6:$H2626,TRUE()))</f>
        <v/>
      </c>
      <c r="J2626" s="5" t="str">
        <f aca="false">IF($I2626="","","R"&amp;$I2626)</f>
        <v/>
      </c>
    </row>
    <row r="2627" customFormat="false" ht="15" hidden="false" customHeight="true" outlineLevel="0" collapsed="false">
      <c r="H2627" s="14" t="b">
        <f aca="false">IF(중복검사!$A2625="",FALSE(),중복검사!$J2625="유지")</f>
        <v>0</v>
      </c>
      <c r="I2627" s="5" t="str">
        <f aca="false">IF($H2627=FALSE(),"",COUNTIF($H$6:$H2627,TRUE()))</f>
        <v/>
      </c>
      <c r="J2627" s="5" t="str">
        <f aca="false">IF($I2627="","","R"&amp;$I2627)</f>
        <v/>
      </c>
    </row>
    <row r="2628" customFormat="false" ht="15" hidden="false" customHeight="true" outlineLevel="0" collapsed="false">
      <c r="H2628" s="14" t="b">
        <f aca="false">IF(중복검사!$A2626="",FALSE(),중복검사!$J2626="유지")</f>
        <v>0</v>
      </c>
      <c r="I2628" s="5" t="str">
        <f aca="false">IF($H2628=FALSE(),"",COUNTIF($H$6:$H2628,TRUE()))</f>
        <v/>
      </c>
      <c r="J2628" s="5" t="str">
        <f aca="false">IF($I2628="","","R"&amp;$I2628)</f>
        <v/>
      </c>
    </row>
    <row r="2629" customFormat="false" ht="15" hidden="false" customHeight="true" outlineLevel="0" collapsed="false">
      <c r="H2629" s="14" t="b">
        <f aca="false">IF(중복검사!$A2627="",FALSE(),중복검사!$J2627="유지")</f>
        <v>0</v>
      </c>
      <c r="I2629" s="5" t="str">
        <f aca="false">IF($H2629=FALSE(),"",COUNTIF($H$6:$H2629,TRUE()))</f>
        <v/>
      </c>
      <c r="J2629" s="5" t="str">
        <f aca="false">IF($I2629="","","R"&amp;$I2629)</f>
        <v/>
      </c>
    </row>
    <row r="2630" customFormat="false" ht="15" hidden="false" customHeight="true" outlineLevel="0" collapsed="false">
      <c r="H2630" s="14" t="b">
        <f aca="false">IF(중복검사!$A2628="",FALSE(),중복검사!$J2628="유지")</f>
        <v>0</v>
      </c>
      <c r="I2630" s="5" t="str">
        <f aca="false">IF($H2630=FALSE(),"",COUNTIF($H$6:$H2630,TRUE()))</f>
        <v/>
      </c>
      <c r="J2630" s="5" t="str">
        <f aca="false">IF($I2630="","","R"&amp;$I2630)</f>
        <v/>
      </c>
    </row>
    <row r="2631" customFormat="false" ht="15" hidden="false" customHeight="true" outlineLevel="0" collapsed="false">
      <c r="H2631" s="14" t="b">
        <f aca="false">IF(중복검사!$A2629="",FALSE(),중복검사!$J2629="유지")</f>
        <v>0</v>
      </c>
      <c r="I2631" s="5" t="str">
        <f aca="false">IF($H2631=FALSE(),"",COUNTIF($H$6:$H2631,TRUE()))</f>
        <v/>
      </c>
      <c r="J2631" s="5" t="str">
        <f aca="false">IF($I2631="","","R"&amp;$I2631)</f>
        <v/>
      </c>
    </row>
    <row r="2632" customFormat="false" ht="15" hidden="false" customHeight="true" outlineLevel="0" collapsed="false">
      <c r="H2632" s="14" t="b">
        <f aca="false">IF(중복검사!$A2630="",FALSE(),중복검사!$J2630="유지")</f>
        <v>0</v>
      </c>
      <c r="I2632" s="5" t="str">
        <f aca="false">IF($H2632=FALSE(),"",COUNTIF($H$6:$H2632,TRUE()))</f>
        <v/>
      </c>
      <c r="J2632" s="5" t="str">
        <f aca="false">IF($I2632="","","R"&amp;$I2632)</f>
        <v/>
      </c>
    </row>
    <row r="2633" customFormat="false" ht="15" hidden="false" customHeight="true" outlineLevel="0" collapsed="false">
      <c r="H2633" s="14" t="b">
        <f aca="false">IF(중복검사!$A2631="",FALSE(),중복검사!$J2631="유지")</f>
        <v>0</v>
      </c>
      <c r="I2633" s="5" t="str">
        <f aca="false">IF($H2633=FALSE(),"",COUNTIF($H$6:$H2633,TRUE()))</f>
        <v/>
      </c>
      <c r="J2633" s="5" t="str">
        <f aca="false">IF($I2633="","","R"&amp;$I2633)</f>
        <v/>
      </c>
    </row>
    <row r="2634" customFormat="false" ht="15" hidden="false" customHeight="true" outlineLevel="0" collapsed="false">
      <c r="H2634" s="14" t="b">
        <f aca="false">IF(중복검사!$A2632="",FALSE(),중복검사!$J2632="유지")</f>
        <v>0</v>
      </c>
      <c r="I2634" s="5" t="str">
        <f aca="false">IF($H2634=FALSE(),"",COUNTIF($H$6:$H2634,TRUE()))</f>
        <v/>
      </c>
      <c r="J2634" s="5" t="str">
        <f aca="false">IF($I2634="","","R"&amp;$I2634)</f>
        <v/>
      </c>
    </row>
    <row r="2635" customFormat="false" ht="15" hidden="false" customHeight="true" outlineLevel="0" collapsed="false">
      <c r="H2635" s="14" t="b">
        <f aca="false">IF(중복검사!$A2633="",FALSE(),중복검사!$J2633="유지")</f>
        <v>0</v>
      </c>
      <c r="I2635" s="5" t="str">
        <f aca="false">IF($H2635=FALSE(),"",COUNTIF($H$6:$H2635,TRUE()))</f>
        <v/>
      </c>
      <c r="J2635" s="5" t="str">
        <f aca="false">IF($I2635="","","R"&amp;$I2635)</f>
        <v/>
      </c>
    </row>
    <row r="2636" customFormat="false" ht="15" hidden="false" customHeight="true" outlineLevel="0" collapsed="false">
      <c r="H2636" s="14" t="b">
        <f aca="false">IF(중복검사!$A2634="",FALSE(),중복검사!$J2634="유지")</f>
        <v>0</v>
      </c>
      <c r="I2636" s="5" t="str">
        <f aca="false">IF($H2636=FALSE(),"",COUNTIF($H$6:$H2636,TRUE()))</f>
        <v/>
      </c>
      <c r="J2636" s="5" t="str">
        <f aca="false">IF($I2636="","","R"&amp;$I2636)</f>
        <v/>
      </c>
    </row>
    <row r="2637" customFormat="false" ht="15" hidden="false" customHeight="true" outlineLevel="0" collapsed="false">
      <c r="H2637" s="14" t="b">
        <f aca="false">IF(중복검사!$A2635="",FALSE(),중복검사!$J2635="유지")</f>
        <v>0</v>
      </c>
      <c r="I2637" s="5" t="str">
        <f aca="false">IF($H2637=FALSE(),"",COUNTIF($H$6:$H2637,TRUE()))</f>
        <v/>
      </c>
      <c r="J2637" s="5" t="str">
        <f aca="false">IF($I2637="","","R"&amp;$I2637)</f>
        <v/>
      </c>
    </row>
    <row r="2638" customFormat="false" ht="15" hidden="false" customHeight="true" outlineLevel="0" collapsed="false">
      <c r="H2638" s="14" t="b">
        <f aca="false">IF(중복검사!$A2636="",FALSE(),중복검사!$J2636="유지")</f>
        <v>0</v>
      </c>
      <c r="I2638" s="5" t="str">
        <f aca="false">IF($H2638=FALSE(),"",COUNTIF($H$6:$H2638,TRUE()))</f>
        <v/>
      </c>
      <c r="J2638" s="5" t="str">
        <f aca="false">IF($I2638="","","R"&amp;$I2638)</f>
        <v/>
      </c>
    </row>
    <row r="2639" customFormat="false" ht="15" hidden="false" customHeight="true" outlineLevel="0" collapsed="false">
      <c r="H2639" s="14" t="b">
        <f aca="false">IF(중복검사!$A2637="",FALSE(),중복검사!$J2637="유지")</f>
        <v>0</v>
      </c>
      <c r="I2639" s="5" t="str">
        <f aca="false">IF($H2639=FALSE(),"",COUNTIF($H$6:$H2639,TRUE()))</f>
        <v/>
      </c>
      <c r="J2639" s="5" t="str">
        <f aca="false">IF($I2639="","","R"&amp;$I2639)</f>
        <v/>
      </c>
    </row>
    <row r="2640" customFormat="false" ht="15" hidden="false" customHeight="true" outlineLevel="0" collapsed="false">
      <c r="H2640" s="14" t="b">
        <f aca="false">IF(중복검사!$A2638="",FALSE(),중복검사!$J2638="유지")</f>
        <v>0</v>
      </c>
      <c r="I2640" s="5" t="str">
        <f aca="false">IF($H2640=FALSE(),"",COUNTIF($H$6:$H2640,TRUE()))</f>
        <v/>
      </c>
      <c r="J2640" s="5" t="str">
        <f aca="false">IF($I2640="","","R"&amp;$I2640)</f>
        <v/>
      </c>
    </row>
    <row r="2641" customFormat="false" ht="15" hidden="false" customHeight="true" outlineLevel="0" collapsed="false">
      <c r="H2641" s="14" t="b">
        <f aca="false">IF(중복검사!$A2639="",FALSE(),중복검사!$J2639="유지")</f>
        <v>0</v>
      </c>
      <c r="I2641" s="5" t="str">
        <f aca="false">IF($H2641=FALSE(),"",COUNTIF($H$6:$H2641,TRUE()))</f>
        <v/>
      </c>
      <c r="J2641" s="5" t="str">
        <f aca="false">IF($I2641="","","R"&amp;$I2641)</f>
        <v/>
      </c>
    </row>
    <row r="2642" customFormat="false" ht="15" hidden="false" customHeight="true" outlineLevel="0" collapsed="false">
      <c r="H2642" s="14" t="b">
        <f aca="false">IF(중복검사!$A2640="",FALSE(),중복검사!$J2640="유지")</f>
        <v>0</v>
      </c>
      <c r="I2642" s="5" t="str">
        <f aca="false">IF($H2642=FALSE(),"",COUNTIF($H$6:$H2642,TRUE()))</f>
        <v/>
      </c>
      <c r="J2642" s="5" t="str">
        <f aca="false">IF($I2642="","","R"&amp;$I2642)</f>
        <v/>
      </c>
    </row>
    <row r="2643" customFormat="false" ht="15" hidden="false" customHeight="true" outlineLevel="0" collapsed="false">
      <c r="H2643" s="14" t="b">
        <f aca="false">IF(중복검사!$A2641="",FALSE(),중복검사!$J2641="유지")</f>
        <v>0</v>
      </c>
      <c r="I2643" s="5" t="str">
        <f aca="false">IF($H2643=FALSE(),"",COUNTIF($H$6:$H2643,TRUE()))</f>
        <v/>
      </c>
      <c r="J2643" s="5" t="str">
        <f aca="false">IF($I2643="","","R"&amp;$I2643)</f>
        <v/>
      </c>
    </row>
    <row r="2644" customFormat="false" ht="15" hidden="false" customHeight="true" outlineLevel="0" collapsed="false">
      <c r="H2644" s="14" t="b">
        <f aca="false">IF(중복검사!$A2642="",FALSE(),중복검사!$J2642="유지")</f>
        <v>0</v>
      </c>
      <c r="I2644" s="5" t="str">
        <f aca="false">IF($H2644=FALSE(),"",COUNTIF($H$6:$H2644,TRUE()))</f>
        <v/>
      </c>
      <c r="J2644" s="5" t="str">
        <f aca="false">IF($I2644="","","R"&amp;$I2644)</f>
        <v/>
      </c>
    </row>
    <row r="2645" customFormat="false" ht="15" hidden="false" customHeight="true" outlineLevel="0" collapsed="false">
      <c r="H2645" s="14" t="b">
        <f aca="false">IF(중복검사!$A2643="",FALSE(),중복검사!$J2643="유지")</f>
        <v>0</v>
      </c>
      <c r="I2645" s="5" t="str">
        <f aca="false">IF($H2645=FALSE(),"",COUNTIF($H$6:$H2645,TRUE()))</f>
        <v/>
      </c>
      <c r="J2645" s="5" t="str">
        <f aca="false">IF($I2645="","","R"&amp;$I2645)</f>
        <v/>
      </c>
    </row>
    <row r="2646" customFormat="false" ht="15" hidden="false" customHeight="true" outlineLevel="0" collapsed="false">
      <c r="H2646" s="14" t="b">
        <f aca="false">IF(중복검사!$A2644="",FALSE(),중복검사!$J2644="유지")</f>
        <v>0</v>
      </c>
      <c r="I2646" s="5" t="str">
        <f aca="false">IF($H2646=FALSE(),"",COUNTIF($H$6:$H2646,TRUE()))</f>
        <v/>
      </c>
      <c r="J2646" s="5" t="str">
        <f aca="false">IF($I2646="","","R"&amp;$I2646)</f>
        <v/>
      </c>
    </row>
    <row r="2647" customFormat="false" ht="15" hidden="false" customHeight="true" outlineLevel="0" collapsed="false">
      <c r="H2647" s="14" t="b">
        <f aca="false">IF(중복검사!$A2645="",FALSE(),중복검사!$J2645="유지")</f>
        <v>0</v>
      </c>
      <c r="I2647" s="5" t="str">
        <f aca="false">IF($H2647=FALSE(),"",COUNTIF($H$6:$H2647,TRUE()))</f>
        <v/>
      </c>
      <c r="J2647" s="5" t="str">
        <f aca="false">IF($I2647="","","R"&amp;$I2647)</f>
        <v/>
      </c>
    </row>
    <row r="2648" customFormat="false" ht="15" hidden="false" customHeight="true" outlineLevel="0" collapsed="false">
      <c r="H2648" s="14" t="b">
        <f aca="false">IF(중복검사!$A2646="",FALSE(),중복검사!$J2646="유지")</f>
        <v>0</v>
      </c>
      <c r="I2648" s="5" t="str">
        <f aca="false">IF($H2648=FALSE(),"",COUNTIF($H$6:$H2648,TRUE()))</f>
        <v/>
      </c>
      <c r="J2648" s="5" t="str">
        <f aca="false">IF($I2648="","","R"&amp;$I2648)</f>
        <v/>
      </c>
    </row>
    <row r="2649" customFormat="false" ht="15" hidden="false" customHeight="true" outlineLevel="0" collapsed="false">
      <c r="H2649" s="14" t="b">
        <f aca="false">IF(중복검사!$A2647="",FALSE(),중복검사!$J2647="유지")</f>
        <v>0</v>
      </c>
      <c r="I2649" s="5" t="str">
        <f aca="false">IF($H2649=FALSE(),"",COUNTIF($H$6:$H2649,TRUE()))</f>
        <v/>
      </c>
      <c r="J2649" s="5" t="str">
        <f aca="false">IF($I2649="","","R"&amp;$I2649)</f>
        <v/>
      </c>
    </row>
    <row r="2650" customFormat="false" ht="15" hidden="false" customHeight="true" outlineLevel="0" collapsed="false">
      <c r="H2650" s="14" t="b">
        <f aca="false">IF(중복검사!$A2648="",FALSE(),중복검사!$J2648="유지")</f>
        <v>0</v>
      </c>
      <c r="I2650" s="5" t="str">
        <f aca="false">IF($H2650=FALSE(),"",COUNTIF($H$6:$H2650,TRUE()))</f>
        <v/>
      </c>
      <c r="J2650" s="5" t="str">
        <f aca="false">IF($I2650="","","R"&amp;$I2650)</f>
        <v/>
      </c>
    </row>
    <row r="2651" customFormat="false" ht="15" hidden="false" customHeight="true" outlineLevel="0" collapsed="false">
      <c r="H2651" s="14" t="b">
        <f aca="false">IF(중복검사!$A2649="",FALSE(),중복검사!$J2649="유지")</f>
        <v>0</v>
      </c>
      <c r="I2651" s="5" t="str">
        <f aca="false">IF($H2651=FALSE(),"",COUNTIF($H$6:$H2651,TRUE()))</f>
        <v/>
      </c>
      <c r="J2651" s="5" t="str">
        <f aca="false">IF($I2651="","","R"&amp;$I2651)</f>
        <v/>
      </c>
    </row>
    <row r="2652" customFormat="false" ht="15" hidden="false" customHeight="true" outlineLevel="0" collapsed="false">
      <c r="H2652" s="14" t="b">
        <f aca="false">IF(중복검사!$A2650="",FALSE(),중복검사!$J2650="유지")</f>
        <v>0</v>
      </c>
      <c r="I2652" s="5" t="str">
        <f aca="false">IF($H2652=FALSE(),"",COUNTIF($H$6:$H2652,TRUE()))</f>
        <v/>
      </c>
      <c r="J2652" s="5" t="str">
        <f aca="false">IF($I2652="","","R"&amp;$I2652)</f>
        <v/>
      </c>
    </row>
    <row r="2653" customFormat="false" ht="15" hidden="false" customHeight="true" outlineLevel="0" collapsed="false">
      <c r="H2653" s="14" t="b">
        <f aca="false">IF(중복검사!$A2651="",FALSE(),중복검사!$J2651="유지")</f>
        <v>0</v>
      </c>
      <c r="I2653" s="5" t="str">
        <f aca="false">IF($H2653=FALSE(),"",COUNTIF($H$6:$H2653,TRUE()))</f>
        <v/>
      </c>
      <c r="J2653" s="5" t="str">
        <f aca="false">IF($I2653="","","R"&amp;$I2653)</f>
        <v/>
      </c>
    </row>
    <row r="2654" customFormat="false" ht="15" hidden="false" customHeight="true" outlineLevel="0" collapsed="false">
      <c r="H2654" s="14" t="b">
        <f aca="false">IF(중복검사!$A2652="",FALSE(),중복검사!$J2652="유지")</f>
        <v>0</v>
      </c>
      <c r="I2654" s="5" t="str">
        <f aca="false">IF($H2654=FALSE(),"",COUNTIF($H$6:$H2654,TRUE()))</f>
        <v/>
      </c>
      <c r="J2654" s="5" t="str">
        <f aca="false">IF($I2654="","","R"&amp;$I2654)</f>
        <v/>
      </c>
    </row>
    <row r="2655" customFormat="false" ht="15" hidden="false" customHeight="true" outlineLevel="0" collapsed="false">
      <c r="H2655" s="14" t="b">
        <f aca="false">IF(중복검사!$A2653="",FALSE(),중복검사!$J2653="유지")</f>
        <v>0</v>
      </c>
      <c r="I2655" s="5" t="str">
        <f aca="false">IF($H2655=FALSE(),"",COUNTIF($H$6:$H2655,TRUE()))</f>
        <v/>
      </c>
      <c r="J2655" s="5" t="str">
        <f aca="false">IF($I2655="","","R"&amp;$I2655)</f>
        <v/>
      </c>
    </row>
    <row r="2656" customFormat="false" ht="15" hidden="false" customHeight="true" outlineLevel="0" collapsed="false">
      <c r="H2656" s="14" t="b">
        <f aca="false">IF(중복검사!$A2654="",FALSE(),중복검사!$J2654="유지")</f>
        <v>0</v>
      </c>
      <c r="I2656" s="5" t="str">
        <f aca="false">IF($H2656=FALSE(),"",COUNTIF($H$6:$H2656,TRUE()))</f>
        <v/>
      </c>
      <c r="J2656" s="5" t="str">
        <f aca="false">IF($I2656="","","R"&amp;$I2656)</f>
        <v/>
      </c>
    </row>
    <row r="2657" customFormat="false" ht="15" hidden="false" customHeight="true" outlineLevel="0" collapsed="false">
      <c r="H2657" s="14" t="b">
        <f aca="false">IF(중복검사!$A2655="",FALSE(),중복검사!$J2655="유지")</f>
        <v>0</v>
      </c>
      <c r="I2657" s="5" t="str">
        <f aca="false">IF($H2657=FALSE(),"",COUNTIF($H$6:$H2657,TRUE()))</f>
        <v/>
      </c>
      <c r="J2657" s="5" t="str">
        <f aca="false">IF($I2657="","","R"&amp;$I2657)</f>
        <v/>
      </c>
    </row>
    <row r="2658" customFormat="false" ht="15" hidden="false" customHeight="true" outlineLevel="0" collapsed="false">
      <c r="H2658" s="14" t="b">
        <f aca="false">IF(중복검사!$A2656="",FALSE(),중복검사!$J2656="유지")</f>
        <v>0</v>
      </c>
      <c r="I2658" s="5" t="str">
        <f aca="false">IF($H2658=FALSE(),"",COUNTIF($H$6:$H2658,TRUE()))</f>
        <v/>
      </c>
      <c r="J2658" s="5" t="str">
        <f aca="false">IF($I2658="","","R"&amp;$I2658)</f>
        <v/>
      </c>
    </row>
    <row r="2659" customFormat="false" ht="15" hidden="false" customHeight="true" outlineLevel="0" collapsed="false">
      <c r="H2659" s="14" t="b">
        <f aca="false">IF(중복검사!$A2657="",FALSE(),중복검사!$J2657="유지")</f>
        <v>0</v>
      </c>
      <c r="I2659" s="5" t="str">
        <f aca="false">IF($H2659=FALSE(),"",COUNTIF($H$6:$H2659,TRUE()))</f>
        <v/>
      </c>
      <c r="J2659" s="5" t="str">
        <f aca="false">IF($I2659="","","R"&amp;$I2659)</f>
        <v/>
      </c>
    </row>
    <row r="2660" customFormat="false" ht="15" hidden="false" customHeight="true" outlineLevel="0" collapsed="false">
      <c r="H2660" s="14" t="b">
        <f aca="false">IF(중복검사!$A2658="",FALSE(),중복검사!$J2658="유지")</f>
        <v>0</v>
      </c>
      <c r="I2660" s="5" t="str">
        <f aca="false">IF($H2660=FALSE(),"",COUNTIF($H$6:$H2660,TRUE()))</f>
        <v/>
      </c>
      <c r="J2660" s="5" t="str">
        <f aca="false">IF($I2660="","","R"&amp;$I2660)</f>
        <v/>
      </c>
    </row>
    <row r="2661" customFormat="false" ht="15" hidden="false" customHeight="true" outlineLevel="0" collapsed="false">
      <c r="H2661" s="14" t="b">
        <f aca="false">IF(중복검사!$A2659="",FALSE(),중복검사!$J2659="유지")</f>
        <v>0</v>
      </c>
      <c r="I2661" s="5" t="str">
        <f aca="false">IF($H2661=FALSE(),"",COUNTIF($H$6:$H2661,TRUE()))</f>
        <v/>
      </c>
      <c r="J2661" s="5" t="str">
        <f aca="false">IF($I2661="","","R"&amp;$I2661)</f>
        <v/>
      </c>
    </row>
    <row r="2662" customFormat="false" ht="15" hidden="false" customHeight="true" outlineLevel="0" collapsed="false">
      <c r="H2662" s="14" t="b">
        <f aca="false">IF(중복검사!$A2660="",FALSE(),중복검사!$J2660="유지")</f>
        <v>0</v>
      </c>
      <c r="I2662" s="5" t="str">
        <f aca="false">IF($H2662=FALSE(),"",COUNTIF($H$6:$H2662,TRUE()))</f>
        <v/>
      </c>
      <c r="J2662" s="5" t="str">
        <f aca="false">IF($I2662="","","R"&amp;$I2662)</f>
        <v/>
      </c>
    </row>
    <row r="2663" customFormat="false" ht="15" hidden="false" customHeight="true" outlineLevel="0" collapsed="false">
      <c r="H2663" s="14" t="b">
        <f aca="false">IF(중복검사!$A2661="",FALSE(),중복검사!$J2661="유지")</f>
        <v>0</v>
      </c>
      <c r="I2663" s="5" t="str">
        <f aca="false">IF($H2663=FALSE(),"",COUNTIF($H$6:$H2663,TRUE()))</f>
        <v/>
      </c>
      <c r="J2663" s="5" t="str">
        <f aca="false">IF($I2663="","","R"&amp;$I2663)</f>
        <v/>
      </c>
    </row>
    <row r="2664" customFormat="false" ht="15" hidden="false" customHeight="true" outlineLevel="0" collapsed="false">
      <c r="H2664" s="14" t="b">
        <f aca="false">IF(중복검사!$A2662="",FALSE(),중복검사!$J2662="유지")</f>
        <v>0</v>
      </c>
      <c r="I2664" s="5" t="str">
        <f aca="false">IF($H2664=FALSE(),"",COUNTIF($H$6:$H2664,TRUE()))</f>
        <v/>
      </c>
      <c r="J2664" s="5" t="str">
        <f aca="false">IF($I2664="","","R"&amp;$I2664)</f>
        <v/>
      </c>
    </row>
    <row r="2665" customFormat="false" ht="15" hidden="false" customHeight="true" outlineLevel="0" collapsed="false">
      <c r="H2665" s="14" t="b">
        <f aca="false">IF(중복검사!$A2663="",FALSE(),중복검사!$J2663="유지")</f>
        <v>0</v>
      </c>
      <c r="I2665" s="5" t="str">
        <f aca="false">IF($H2665=FALSE(),"",COUNTIF($H$6:$H2665,TRUE()))</f>
        <v/>
      </c>
      <c r="J2665" s="5" t="str">
        <f aca="false">IF($I2665="","","R"&amp;$I2665)</f>
        <v/>
      </c>
    </row>
    <row r="2666" customFormat="false" ht="15" hidden="false" customHeight="true" outlineLevel="0" collapsed="false">
      <c r="H2666" s="14" t="b">
        <f aca="false">IF(중복검사!$A2664="",FALSE(),중복검사!$J2664="유지")</f>
        <v>0</v>
      </c>
      <c r="I2666" s="5" t="str">
        <f aca="false">IF($H2666=FALSE(),"",COUNTIF($H$6:$H2666,TRUE()))</f>
        <v/>
      </c>
      <c r="J2666" s="5" t="str">
        <f aca="false">IF($I2666="","","R"&amp;$I2666)</f>
        <v/>
      </c>
    </row>
    <row r="2667" customFormat="false" ht="15" hidden="false" customHeight="true" outlineLevel="0" collapsed="false">
      <c r="H2667" s="14" t="b">
        <f aca="false">IF(중복검사!$A2665="",FALSE(),중복검사!$J2665="유지")</f>
        <v>0</v>
      </c>
      <c r="I2667" s="5" t="str">
        <f aca="false">IF($H2667=FALSE(),"",COUNTIF($H$6:$H2667,TRUE()))</f>
        <v/>
      </c>
      <c r="J2667" s="5" t="str">
        <f aca="false">IF($I2667="","","R"&amp;$I2667)</f>
        <v/>
      </c>
    </row>
    <row r="2668" customFormat="false" ht="15" hidden="false" customHeight="true" outlineLevel="0" collapsed="false">
      <c r="H2668" s="14" t="b">
        <f aca="false">IF(중복검사!$A2666="",FALSE(),중복검사!$J2666="유지")</f>
        <v>0</v>
      </c>
      <c r="I2668" s="5" t="str">
        <f aca="false">IF($H2668=FALSE(),"",COUNTIF($H$6:$H2668,TRUE()))</f>
        <v/>
      </c>
      <c r="J2668" s="5" t="str">
        <f aca="false">IF($I2668="","","R"&amp;$I2668)</f>
        <v/>
      </c>
    </row>
    <row r="2669" customFormat="false" ht="15" hidden="false" customHeight="true" outlineLevel="0" collapsed="false">
      <c r="H2669" s="14" t="b">
        <f aca="false">IF(중복검사!$A2667="",FALSE(),중복검사!$J2667="유지")</f>
        <v>0</v>
      </c>
      <c r="I2669" s="5" t="str">
        <f aca="false">IF($H2669=FALSE(),"",COUNTIF($H$6:$H2669,TRUE()))</f>
        <v/>
      </c>
      <c r="J2669" s="5" t="str">
        <f aca="false">IF($I2669="","","R"&amp;$I2669)</f>
        <v/>
      </c>
    </row>
    <row r="2670" customFormat="false" ht="15" hidden="false" customHeight="true" outlineLevel="0" collapsed="false">
      <c r="H2670" s="14" t="b">
        <f aca="false">IF(중복검사!$A2668="",FALSE(),중복검사!$J2668="유지")</f>
        <v>0</v>
      </c>
      <c r="I2670" s="5" t="str">
        <f aca="false">IF($H2670=FALSE(),"",COUNTIF($H$6:$H2670,TRUE()))</f>
        <v/>
      </c>
      <c r="J2670" s="5" t="str">
        <f aca="false">IF($I2670="","","R"&amp;$I2670)</f>
        <v/>
      </c>
    </row>
    <row r="2671" customFormat="false" ht="15" hidden="false" customHeight="true" outlineLevel="0" collapsed="false">
      <c r="H2671" s="14" t="b">
        <f aca="false">IF(중복검사!$A2669="",FALSE(),중복검사!$J2669="유지")</f>
        <v>0</v>
      </c>
      <c r="I2671" s="5" t="str">
        <f aca="false">IF($H2671=FALSE(),"",COUNTIF($H$6:$H2671,TRUE()))</f>
        <v/>
      </c>
      <c r="J2671" s="5" t="str">
        <f aca="false">IF($I2671="","","R"&amp;$I2671)</f>
        <v/>
      </c>
    </row>
    <row r="2672" customFormat="false" ht="15" hidden="false" customHeight="true" outlineLevel="0" collapsed="false">
      <c r="H2672" s="14" t="b">
        <f aca="false">IF(중복검사!$A2670="",FALSE(),중복검사!$J2670="유지")</f>
        <v>0</v>
      </c>
      <c r="I2672" s="5" t="str">
        <f aca="false">IF($H2672=FALSE(),"",COUNTIF($H$6:$H2672,TRUE()))</f>
        <v/>
      </c>
      <c r="J2672" s="5" t="str">
        <f aca="false">IF($I2672="","","R"&amp;$I2672)</f>
        <v/>
      </c>
    </row>
    <row r="2673" customFormat="false" ht="15" hidden="false" customHeight="true" outlineLevel="0" collapsed="false">
      <c r="H2673" s="14" t="b">
        <f aca="false">IF(중복검사!$A2671="",FALSE(),중복검사!$J2671="유지")</f>
        <v>0</v>
      </c>
      <c r="I2673" s="5" t="str">
        <f aca="false">IF($H2673=FALSE(),"",COUNTIF($H$6:$H2673,TRUE()))</f>
        <v/>
      </c>
      <c r="J2673" s="5" t="str">
        <f aca="false">IF($I2673="","","R"&amp;$I2673)</f>
        <v/>
      </c>
    </row>
    <row r="2674" customFormat="false" ht="15" hidden="false" customHeight="true" outlineLevel="0" collapsed="false">
      <c r="H2674" s="14" t="b">
        <f aca="false">IF(중복검사!$A2672="",FALSE(),중복검사!$J2672="유지")</f>
        <v>0</v>
      </c>
      <c r="I2674" s="5" t="str">
        <f aca="false">IF($H2674=FALSE(),"",COUNTIF($H$6:$H2674,TRUE()))</f>
        <v/>
      </c>
      <c r="J2674" s="5" t="str">
        <f aca="false">IF($I2674="","","R"&amp;$I2674)</f>
        <v/>
      </c>
    </row>
    <row r="2675" customFormat="false" ht="15" hidden="false" customHeight="true" outlineLevel="0" collapsed="false">
      <c r="H2675" s="14" t="b">
        <f aca="false">IF(중복검사!$A2673="",FALSE(),중복검사!$J2673="유지")</f>
        <v>0</v>
      </c>
      <c r="I2675" s="5" t="str">
        <f aca="false">IF($H2675=FALSE(),"",COUNTIF($H$6:$H2675,TRUE()))</f>
        <v/>
      </c>
      <c r="J2675" s="5" t="str">
        <f aca="false">IF($I2675="","","R"&amp;$I2675)</f>
        <v/>
      </c>
    </row>
    <row r="2676" customFormat="false" ht="15" hidden="false" customHeight="true" outlineLevel="0" collapsed="false">
      <c r="H2676" s="14" t="b">
        <f aca="false">IF(중복검사!$A2674="",FALSE(),중복검사!$J2674="유지")</f>
        <v>0</v>
      </c>
      <c r="I2676" s="5" t="str">
        <f aca="false">IF($H2676=FALSE(),"",COUNTIF($H$6:$H2676,TRUE()))</f>
        <v/>
      </c>
      <c r="J2676" s="5" t="str">
        <f aca="false">IF($I2676="","","R"&amp;$I2676)</f>
        <v/>
      </c>
    </row>
    <row r="2677" customFormat="false" ht="15" hidden="false" customHeight="true" outlineLevel="0" collapsed="false">
      <c r="H2677" s="14" t="b">
        <f aca="false">IF(중복검사!$A2675="",FALSE(),중복검사!$J2675="유지")</f>
        <v>0</v>
      </c>
      <c r="I2677" s="5" t="str">
        <f aca="false">IF($H2677=FALSE(),"",COUNTIF($H$6:$H2677,TRUE()))</f>
        <v/>
      </c>
      <c r="J2677" s="5" t="str">
        <f aca="false">IF($I2677="","","R"&amp;$I2677)</f>
        <v/>
      </c>
    </row>
    <row r="2678" customFormat="false" ht="15" hidden="false" customHeight="true" outlineLevel="0" collapsed="false">
      <c r="H2678" s="14" t="b">
        <f aca="false">IF(중복검사!$A2676="",FALSE(),중복검사!$J2676="유지")</f>
        <v>0</v>
      </c>
      <c r="I2678" s="5" t="str">
        <f aca="false">IF($H2678=FALSE(),"",COUNTIF($H$6:$H2678,TRUE()))</f>
        <v/>
      </c>
      <c r="J2678" s="5" t="str">
        <f aca="false">IF($I2678="","","R"&amp;$I2678)</f>
        <v/>
      </c>
    </row>
    <row r="2679" customFormat="false" ht="15" hidden="false" customHeight="true" outlineLevel="0" collapsed="false">
      <c r="H2679" s="14" t="b">
        <f aca="false">IF(중복검사!$A2677="",FALSE(),중복검사!$J2677="유지")</f>
        <v>0</v>
      </c>
      <c r="I2679" s="5" t="str">
        <f aca="false">IF($H2679=FALSE(),"",COUNTIF($H$6:$H2679,TRUE()))</f>
        <v/>
      </c>
      <c r="J2679" s="5" t="str">
        <f aca="false">IF($I2679="","","R"&amp;$I2679)</f>
        <v/>
      </c>
    </row>
    <row r="2680" customFormat="false" ht="15" hidden="false" customHeight="true" outlineLevel="0" collapsed="false">
      <c r="H2680" s="14" t="b">
        <f aca="false">IF(중복검사!$A2678="",FALSE(),중복검사!$J2678="유지")</f>
        <v>0</v>
      </c>
      <c r="I2680" s="5" t="str">
        <f aca="false">IF($H2680=FALSE(),"",COUNTIF($H$6:$H2680,TRUE()))</f>
        <v/>
      </c>
      <c r="J2680" s="5" t="str">
        <f aca="false">IF($I2680="","","R"&amp;$I2680)</f>
        <v/>
      </c>
    </row>
    <row r="2681" customFormat="false" ht="15" hidden="false" customHeight="true" outlineLevel="0" collapsed="false">
      <c r="H2681" s="14" t="b">
        <f aca="false">IF(중복검사!$A2679="",FALSE(),중복검사!$J2679="유지")</f>
        <v>0</v>
      </c>
      <c r="I2681" s="5" t="str">
        <f aca="false">IF($H2681=FALSE(),"",COUNTIF($H$6:$H2681,TRUE()))</f>
        <v/>
      </c>
      <c r="J2681" s="5" t="str">
        <f aca="false">IF($I2681="","","R"&amp;$I2681)</f>
        <v/>
      </c>
    </row>
    <row r="2682" customFormat="false" ht="15" hidden="false" customHeight="true" outlineLevel="0" collapsed="false">
      <c r="H2682" s="14" t="b">
        <f aca="false">IF(중복검사!$A2680="",FALSE(),중복검사!$J2680="유지")</f>
        <v>0</v>
      </c>
      <c r="I2682" s="5" t="str">
        <f aca="false">IF($H2682=FALSE(),"",COUNTIF($H$6:$H2682,TRUE()))</f>
        <v/>
      </c>
      <c r="J2682" s="5" t="str">
        <f aca="false">IF($I2682="","","R"&amp;$I2682)</f>
        <v/>
      </c>
    </row>
    <row r="2683" customFormat="false" ht="15" hidden="false" customHeight="true" outlineLevel="0" collapsed="false">
      <c r="H2683" s="14" t="b">
        <f aca="false">IF(중복검사!$A2681="",FALSE(),중복검사!$J2681="유지")</f>
        <v>0</v>
      </c>
      <c r="I2683" s="5" t="str">
        <f aca="false">IF($H2683=FALSE(),"",COUNTIF($H$6:$H2683,TRUE()))</f>
        <v/>
      </c>
      <c r="J2683" s="5" t="str">
        <f aca="false">IF($I2683="","","R"&amp;$I2683)</f>
        <v/>
      </c>
    </row>
    <row r="2684" customFormat="false" ht="15" hidden="false" customHeight="true" outlineLevel="0" collapsed="false">
      <c r="H2684" s="14" t="b">
        <f aca="false">IF(중복검사!$A2682="",FALSE(),중복검사!$J2682="유지")</f>
        <v>0</v>
      </c>
      <c r="I2684" s="5" t="str">
        <f aca="false">IF($H2684=FALSE(),"",COUNTIF($H$6:$H2684,TRUE()))</f>
        <v/>
      </c>
      <c r="J2684" s="5" t="str">
        <f aca="false">IF($I2684="","","R"&amp;$I2684)</f>
        <v/>
      </c>
    </row>
    <row r="2685" customFormat="false" ht="15" hidden="false" customHeight="true" outlineLevel="0" collapsed="false">
      <c r="H2685" s="14" t="b">
        <f aca="false">IF(중복검사!$A2683="",FALSE(),중복검사!$J2683="유지")</f>
        <v>0</v>
      </c>
      <c r="I2685" s="5" t="str">
        <f aca="false">IF($H2685=FALSE(),"",COUNTIF($H$6:$H2685,TRUE()))</f>
        <v/>
      </c>
      <c r="J2685" s="5" t="str">
        <f aca="false">IF($I2685="","","R"&amp;$I2685)</f>
        <v/>
      </c>
    </row>
    <row r="2686" customFormat="false" ht="15" hidden="false" customHeight="true" outlineLevel="0" collapsed="false">
      <c r="H2686" s="14" t="b">
        <f aca="false">IF(중복검사!$A2684="",FALSE(),중복검사!$J2684="유지")</f>
        <v>0</v>
      </c>
      <c r="I2686" s="5" t="str">
        <f aca="false">IF($H2686=FALSE(),"",COUNTIF($H$6:$H2686,TRUE()))</f>
        <v/>
      </c>
      <c r="J2686" s="5" t="str">
        <f aca="false">IF($I2686="","","R"&amp;$I2686)</f>
        <v/>
      </c>
    </row>
    <row r="2687" customFormat="false" ht="15" hidden="false" customHeight="true" outlineLevel="0" collapsed="false">
      <c r="H2687" s="14" t="b">
        <f aca="false">IF(중복검사!$A2685="",FALSE(),중복검사!$J2685="유지")</f>
        <v>0</v>
      </c>
      <c r="I2687" s="5" t="str">
        <f aca="false">IF($H2687=FALSE(),"",COUNTIF($H$6:$H2687,TRUE()))</f>
        <v/>
      </c>
      <c r="J2687" s="5" t="str">
        <f aca="false">IF($I2687="","","R"&amp;$I2687)</f>
        <v/>
      </c>
    </row>
    <row r="2688" customFormat="false" ht="15" hidden="false" customHeight="true" outlineLevel="0" collapsed="false">
      <c r="H2688" s="14" t="b">
        <f aca="false">IF(중복검사!$A2686="",FALSE(),중복검사!$J2686="유지")</f>
        <v>0</v>
      </c>
      <c r="I2688" s="5" t="str">
        <f aca="false">IF($H2688=FALSE(),"",COUNTIF($H$6:$H2688,TRUE()))</f>
        <v/>
      </c>
      <c r="J2688" s="5" t="str">
        <f aca="false">IF($I2688="","","R"&amp;$I2688)</f>
        <v/>
      </c>
    </row>
    <row r="2689" customFormat="false" ht="15" hidden="false" customHeight="true" outlineLevel="0" collapsed="false">
      <c r="H2689" s="14" t="b">
        <f aca="false">IF(중복검사!$A2687="",FALSE(),중복검사!$J2687="유지")</f>
        <v>0</v>
      </c>
      <c r="I2689" s="5" t="str">
        <f aca="false">IF($H2689=FALSE(),"",COUNTIF($H$6:$H2689,TRUE()))</f>
        <v/>
      </c>
      <c r="J2689" s="5" t="str">
        <f aca="false">IF($I2689="","","R"&amp;$I2689)</f>
        <v/>
      </c>
    </row>
    <row r="2690" customFormat="false" ht="15" hidden="false" customHeight="true" outlineLevel="0" collapsed="false">
      <c r="H2690" s="14" t="b">
        <f aca="false">IF(중복검사!$A2688="",FALSE(),중복검사!$J2688="유지")</f>
        <v>0</v>
      </c>
      <c r="I2690" s="5" t="str">
        <f aca="false">IF($H2690=FALSE(),"",COUNTIF($H$6:$H2690,TRUE()))</f>
        <v/>
      </c>
      <c r="J2690" s="5" t="str">
        <f aca="false">IF($I2690="","","R"&amp;$I2690)</f>
        <v/>
      </c>
    </row>
    <row r="2691" customFormat="false" ht="15" hidden="false" customHeight="true" outlineLevel="0" collapsed="false">
      <c r="H2691" s="14" t="b">
        <f aca="false">IF(중복검사!$A2689="",FALSE(),중복검사!$J2689="유지")</f>
        <v>0</v>
      </c>
      <c r="I2691" s="5" t="str">
        <f aca="false">IF($H2691=FALSE(),"",COUNTIF($H$6:$H2691,TRUE()))</f>
        <v/>
      </c>
      <c r="J2691" s="5" t="str">
        <f aca="false">IF($I2691="","","R"&amp;$I2691)</f>
        <v/>
      </c>
    </row>
    <row r="2692" customFormat="false" ht="15" hidden="false" customHeight="true" outlineLevel="0" collapsed="false">
      <c r="H2692" s="14" t="b">
        <f aca="false">IF(중복검사!$A2690="",FALSE(),중복검사!$J2690="유지")</f>
        <v>0</v>
      </c>
      <c r="I2692" s="5" t="str">
        <f aca="false">IF($H2692=FALSE(),"",COUNTIF($H$6:$H2692,TRUE()))</f>
        <v/>
      </c>
      <c r="J2692" s="5" t="str">
        <f aca="false">IF($I2692="","","R"&amp;$I2692)</f>
        <v/>
      </c>
    </row>
    <row r="2693" customFormat="false" ht="15" hidden="false" customHeight="true" outlineLevel="0" collapsed="false">
      <c r="H2693" s="14" t="b">
        <f aca="false">IF(중복검사!$A2691="",FALSE(),중복검사!$J2691="유지")</f>
        <v>0</v>
      </c>
      <c r="I2693" s="5" t="str">
        <f aca="false">IF($H2693=FALSE(),"",COUNTIF($H$6:$H2693,TRUE()))</f>
        <v/>
      </c>
      <c r="J2693" s="5" t="str">
        <f aca="false">IF($I2693="","","R"&amp;$I2693)</f>
        <v/>
      </c>
    </row>
    <row r="2694" customFormat="false" ht="15" hidden="false" customHeight="true" outlineLevel="0" collapsed="false">
      <c r="H2694" s="14" t="b">
        <f aca="false">IF(중복검사!$A2692="",FALSE(),중복검사!$J2692="유지")</f>
        <v>0</v>
      </c>
      <c r="I2694" s="5" t="str">
        <f aca="false">IF($H2694=FALSE(),"",COUNTIF($H$6:$H2694,TRUE()))</f>
        <v/>
      </c>
      <c r="J2694" s="5" t="str">
        <f aca="false">IF($I2694="","","R"&amp;$I2694)</f>
        <v/>
      </c>
    </row>
    <row r="2695" customFormat="false" ht="15" hidden="false" customHeight="true" outlineLevel="0" collapsed="false">
      <c r="H2695" s="14" t="b">
        <f aca="false">IF(중복검사!$A2693="",FALSE(),중복검사!$J2693="유지")</f>
        <v>0</v>
      </c>
      <c r="I2695" s="5" t="str">
        <f aca="false">IF($H2695=FALSE(),"",COUNTIF($H$6:$H2695,TRUE()))</f>
        <v/>
      </c>
      <c r="J2695" s="5" t="str">
        <f aca="false">IF($I2695="","","R"&amp;$I2695)</f>
        <v/>
      </c>
    </row>
    <row r="2696" customFormat="false" ht="15" hidden="false" customHeight="true" outlineLevel="0" collapsed="false">
      <c r="H2696" s="14" t="b">
        <f aca="false">IF(중복검사!$A2694="",FALSE(),중복검사!$J2694="유지")</f>
        <v>0</v>
      </c>
      <c r="I2696" s="5" t="str">
        <f aca="false">IF($H2696=FALSE(),"",COUNTIF($H$6:$H2696,TRUE()))</f>
        <v/>
      </c>
      <c r="J2696" s="5" t="str">
        <f aca="false">IF($I2696="","","R"&amp;$I2696)</f>
        <v/>
      </c>
    </row>
    <row r="2697" customFormat="false" ht="15" hidden="false" customHeight="true" outlineLevel="0" collapsed="false">
      <c r="H2697" s="14" t="b">
        <f aca="false">IF(중복검사!$A2695="",FALSE(),중복검사!$J2695="유지")</f>
        <v>0</v>
      </c>
      <c r="I2697" s="5" t="str">
        <f aca="false">IF($H2697=FALSE(),"",COUNTIF($H$6:$H2697,TRUE()))</f>
        <v/>
      </c>
      <c r="J2697" s="5" t="str">
        <f aca="false">IF($I2697="","","R"&amp;$I2697)</f>
        <v/>
      </c>
    </row>
    <row r="2698" customFormat="false" ht="15" hidden="false" customHeight="true" outlineLevel="0" collapsed="false">
      <c r="H2698" s="14" t="b">
        <f aca="false">IF(중복검사!$A2696="",FALSE(),중복검사!$J2696="유지")</f>
        <v>0</v>
      </c>
      <c r="I2698" s="5" t="str">
        <f aca="false">IF($H2698=FALSE(),"",COUNTIF($H$6:$H2698,TRUE()))</f>
        <v/>
      </c>
      <c r="J2698" s="5" t="str">
        <f aca="false">IF($I2698="","","R"&amp;$I2698)</f>
        <v/>
      </c>
    </row>
    <row r="2699" customFormat="false" ht="15" hidden="false" customHeight="true" outlineLevel="0" collapsed="false">
      <c r="H2699" s="14" t="b">
        <f aca="false">IF(중복검사!$A2697="",FALSE(),중복검사!$J2697="유지")</f>
        <v>0</v>
      </c>
      <c r="I2699" s="5" t="str">
        <f aca="false">IF($H2699=FALSE(),"",COUNTIF($H$6:$H2699,TRUE()))</f>
        <v/>
      </c>
      <c r="J2699" s="5" t="str">
        <f aca="false">IF($I2699="","","R"&amp;$I2699)</f>
        <v/>
      </c>
    </row>
    <row r="2700" customFormat="false" ht="15" hidden="false" customHeight="true" outlineLevel="0" collapsed="false">
      <c r="H2700" s="14" t="b">
        <f aca="false">IF(중복검사!$A2698="",FALSE(),중복검사!$J2698="유지")</f>
        <v>0</v>
      </c>
      <c r="I2700" s="5" t="str">
        <f aca="false">IF($H2700=FALSE(),"",COUNTIF($H$6:$H2700,TRUE()))</f>
        <v/>
      </c>
      <c r="J2700" s="5" t="str">
        <f aca="false">IF($I2700="","","R"&amp;$I2700)</f>
        <v/>
      </c>
    </row>
    <row r="2701" customFormat="false" ht="15" hidden="false" customHeight="true" outlineLevel="0" collapsed="false">
      <c r="H2701" s="14" t="b">
        <f aca="false">IF(중복검사!$A2699="",FALSE(),중복검사!$J2699="유지")</f>
        <v>0</v>
      </c>
      <c r="I2701" s="5" t="str">
        <f aca="false">IF($H2701=FALSE(),"",COUNTIF($H$6:$H2701,TRUE()))</f>
        <v/>
      </c>
      <c r="J2701" s="5" t="str">
        <f aca="false">IF($I2701="","","R"&amp;$I2701)</f>
        <v/>
      </c>
    </row>
    <row r="2702" customFormat="false" ht="15" hidden="false" customHeight="true" outlineLevel="0" collapsed="false">
      <c r="H2702" s="14" t="b">
        <f aca="false">IF(중복검사!$A2700="",FALSE(),중복검사!$J2700="유지")</f>
        <v>0</v>
      </c>
      <c r="I2702" s="5" t="str">
        <f aca="false">IF($H2702=FALSE(),"",COUNTIF($H$6:$H2702,TRUE()))</f>
        <v/>
      </c>
      <c r="J2702" s="5" t="str">
        <f aca="false">IF($I2702="","","R"&amp;$I2702)</f>
        <v/>
      </c>
    </row>
    <row r="2703" customFormat="false" ht="15" hidden="false" customHeight="true" outlineLevel="0" collapsed="false">
      <c r="H2703" s="14" t="b">
        <f aca="false">IF(중복검사!$A2701="",FALSE(),중복검사!$J2701="유지")</f>
        <v>0</v>
      </c>
      <c r="I2703" s="5" t="str">
        <f aca="false">IF($H2703=FALSE(),"",COUNTIF($H$6:$H2703,TRUE()))</f>
        <v/>
      </c>
      <c r="J2703" s="5" t="str">
        <f aca="false">IF($I2703="","","R"&amp;$I2703)</f>
        <v/>
      </c>
    </row>
    <row r="2704" customFormat="false" ht="15" hidden="false" customHeight="true" outlineLevel="0" collapsed="false">
      <c r="H2704" s="14" t="b">
        <f aca="false">IF(중복검사!$A2702="",FALSE(),중복검사!$J2702="유지")</f>
        <v>0</v>
      </c>
      <c r="I2704" s="5" t="str">
        <f aca="false">IF($H2704=FALSE(),"",COUNTIF($H$6:$H2704,TRUE()))</f>
        <v/>
      </c>
      <c r="J2704" s="5" t="str">
        <f aca="false">IF($I2704="","","R"&amp;$I2704)</f>
        <v/>
      </c>
    </row>
    <row r="2705" customFormat="false" ht="15" hidden="false" customHeight="true" outlineLevel="0" collapsed="false">
      <c r="H2705" s="14" t="b">
        <f aca="false">IF(중복검사!$A2703="",FALSE(),중복검사!$J2703="유지")</f>
        <v>0</v>
      </c>
      <c r="I2705" s="5" t="str">
        <f aca="false">IF($H2705=FALSE(),"",COUNTIF($H$6:$H2705,TRUE()))</f>
        <v/>
      </c>
      <c r="J2705" s="5" t="str">
        <f aca="false">IF($I2705="","","R"&amp;$I2705)</f>
        <v/>
      </c>
    </row>
    <row r="2706" customFormat="false" ht="15" hidden="false" customHeight="true" outlineLevel="0" collapsed="false">
      <c r="H2706" s="14" t="b">
        <f aca="false">IF(중복검사!$A2704="",FALSE(),중복검사!$J2704="유지")</f>
        <v>0</v>
      </c>
      <c r="I2706" s="5" t="str">
        <f aca="false">IF($H2706=FALSE(),"",COUNTIF($H$6:$H2706,TRUE()))</f>
        <v/>
      </c>
      <c r="J2706" s="5" t="str">
        <f aca="false">IF($I2706="","","R"&amp;$I2706)</f>
        <v/>
      </c>
    </row>
    <row r="2707" customFormat="false" ht="15" hidden="false" customHeight="true" outlineLevel="0" collapsed="false">
      <c r="H2707" s="14" t="b">
        <f aca="false">IF(중복검사!$A2705="",FALSE(),중복검사!$J2705="유지")</f>
        <v>0</v>
      </c>
      <c r="I2707" s="5" t="str">
        <f aca="false">IF($H2707=FALSE(),"",COUNTIF($H$6:$H2707,TRUE()))</f>
        <v/>
      </c>
      <c r="J2707" s="5" t="str">
        <f aca="false">IF($I2707="","","R"&amp;$I2707)</f>
        <v/>
      </c>
    </row>
    <row r="2708" customFormat="false" ht="15" hidden="false" customHeight="true" outlineLevel="0" collapsed="false">
      <c r="H2708" s="14" t="b">
        <f aca="false">IF(중복검사!$A2706="",FALSE(),중복검사!$J2706="유지")</f>
        <v>0</v>
      </c>
      <c r="I2708" s="5" t="str">
        <f aca="false">IF($H2708=FALSE(),"",COUNTIF($H$6:$H2708,TRUE()))</f>
        <v/>
      </c>
      <c r="J2708" s="5" t="str">
        <f aca="false">IF($I2708="","","R"&amp;$I2708)</f>
        <v/>
      </c>
    </row>
    <row r="2709" customFormat="false" ht="15" hidden="false" customHeight="true" outlineLevel="0" collapsed="false">
      <c r="H2709" s="14" t="b">
        <f aca="false">IF(중복검사!$A2707="",FALSE(),중복검사!$J2707="유지")</f>
        <v>0</v>
      </c>
      <c r="I2709" s="5" t="str">
        <f aca="false">IF($H2709=FALSE(),"",COUNTIF($H$6:$H2709,TRUE()))</f>
        <v/>
      </c>
      <c r="J2709" s="5" t="str">
        <f aca="false">IF($I2709="","","R"&amp;$I2709)</f>
        <v/>
      </c>
    </row>
    <row r="2710" customFormat="false" ht="15" hidden="false" customHeight="true" outlineLevel="0" collapsed="false">
      <c r="H2710" s="14" t="b">
        <f aca="false">IF(중복검사!$A2708="",FALSE(),중복검사!$J2708="유지")</f>
        <v>0</v>
      </c>
      <c r="I2710" s="5" t="str">
        <f aca="false">IF($H2710=FALSE(),"",COUNTIF($H$6:$H2710,TRUE()))</f>
        <v/>
      </c>
      <c r="J2710" s="5" t="str">
        <f aca="false">IF($I2710="","","R"&amp;$I2710)</f>
        <v/>
      </c>
    </row>
    <row r="2711" customFormat="false" ht="15" hidden="false" customHeight="true" outlineLevel="0" collapsed="false">
      <c r="H2711" s="14" t="b">
        <f aca="false">IF(중복검사!$A2709="",FALSE(),중복검사!$J2709="유지")</f>
        <v>0</v>
      </c>
      <c r="I2711" s="5" t="str">
        <f aca="false">IF($H2711=FALSE(),"",COUNTIF($H$6:$H2711,TRUE()))</f>
        <v/>
      </c>
      <c r="J2711" s="5" t="str">
        <f aca="false">IF($I2711="","","R"&amp;$I2711)</f>
        <v/>
      </c>
    </row>
    <row r="2712" customFormat="false" ht="15" hidden="false" customHeight="true" outlineLevel="0" collapsed="false">
      <c r="H2712" s="14" t="b">
        <f aca="false">IF(중복검사!$A2710="",FALSE(),중복검사!$J2710="유지")</f>
        <v>0</v>
      </c>
      <c r="I2712" s="5" t="str">
        <f aca="false">IF($H2712=FALSE(),"",COUNTIF($H$6:$H2712,TRUE()))</f>
        <v/>
      </c>
      <c r="J2712" s="5" t="str">
        <f aca="false">IF($I2712="","","R"&amp;$I2712)</f>
        <v/>
      </c>
    </row>
    <row r="2713" customFormat="false" ht="15" hidden="false" customHeight="true" outlineLevel="0" collapsed="false">
      <c r="H2713" s="14" t="b">
        <f aca="false">IF(중복검사!$A2711="",FALSE(),중복검사!$J2711="유지")</f>
        <v>0</v>
      </c>
      <c r="I2713" s="5" t="str">
        <f aca="false">IF($H2713=FALSE(),"",COUNTIF($H$6:$H2713,TRUE()))</f>
        <v/>
      </c>
      <c r="J2713" s="5" t="str">
        <f aca="false">IF($I2713="","","R"&amp;$I2713)</f>
        <v/>
      </c>
    </row>
    <row r="2714" customFormat="false" ht="15" hidden="false" customHeight="true" outlineLevel="0" collapsed="false">
      <c r="H2714" s="14" t="b">
        <f aca="false">IF(중복검사!$A2712="",FALSE(),중복검사!$J2712="유지")</f>
        <v>0</v>
      </c>
      <c r="I2714" s="5" t="str">
        <f aca="false">IF($H2714=FALSE(),"",COUNTIF($H$6:$H2714,TRUE()))</f>
        <v/>
      </c>
      <c r="J2714" s="5" t="str">
        <f aca="false">IF($I2714="","","R"&amp;$I2714)</f>
        <v/>
      </c>
    </row>
    <row r="2715" customFormat="false" ht="15" hidden="false" customHeight="true" outlineLevel="0" collapsed="false">
      <c r="H2715" s="14" t="b">
        <f aca="false">IF(중복검사!$A2713="",FALSE(),중복검사!$J2713="유지")</f>
        <v>0</v>
      </c>
      <c r="I2715" s="5" t="str">
        <f aca="false">IF($H2715=FALSE(),"",COUNTIF($H$6:$H2715,TRUE()))</f>
        <v/>
      </c>
      <c r="J2715" s="5" t="str">
        <f aca="false">IF($I2715="","","R"&amp;$I2715)</f>
        <v/>
      </c>
    </row>
    <row r="2716" customFormat="false" ht="15" hidden="false" customHeight="true" outlineLevel="0" collapsed="false">
      <c r="H2716" s="14" t="b">
        <f aca="false">IF(중복검사!$A2714="",FALSE(),중복검사!$J2714="유지")</f>
        <v>0</v>
      </c>
      <c r="I2716" s="5" t="str">
        <f aca="false">IF($H2716=FALSE(),"",COUNTIF($H$6:$H2716,TRUE()))</f>
        <v/>
      </c>
      <c r="J2716" s="5" t="str">
        <f aca="false">IF($I2716="","","R"&amp;$I2716)</f>
        <v/>
      </c>
    </row>
    <row r="2717" customFormat="false" ht="15" hidden="false" customHeight="true" outlineLevel="0" collapsed="false">
      <c r="H2717" s="14" t="b">
        <f aca="false">IF(중복검사!$A2715="",FALSE(),중복검사!$J2715="유지")</f>
        <v>0</v>
      </c>
      <c r="I2717" s="5" t="str">
        <f aca="false">IF($H2717=FALSE(),"",COUNTIF($H$6:$H2717,TRUE()))</f>
        <v/>
      </c>
      <c r="J2717" s="5" t="str">
        <f aca="false">IF($I2717="","","R"&amp;$I2717)</f>
        <v/>
      </c>
    </row>
    <row r="2718" customFormat="false" ht="15" hidden="false" customHeight="true" outlineLevel="0" collapsed="false">
      <c r="H2718" s="14" t="b">
        <f aca="false">IF(중복검사!$A2716="",FALSE(),중복검사!$J2716="유지")</f>
        <v>0</v>
      </c>
      <c r="I2718" s="5" t="str">
        <f aca="false">IF($H2718=FALSE(),"",COUNTIF($H$6:$H2718,TRUE()))</f>
        <v/>
      </c>
      <c r="J2718" s="5" t="str">
        <f aca="false">IF($I2718="","","R"&amp;$I2718)</f>
        <v/>
      </c>
    </row>
    <row r="2719" customFormat="false" ht="15" hidden="false" customHeight="true" outlineLevel="0" collapsed="false">
      <c r="H2719" s="14" t="b">
        <f aca="false">IF(중복검사!$A2717="",FALSE(),중복검사!$J2717="유지")</f>
        <v>0</v>
      </c>
      <c r="I2719" s="5" t="str">
        <f aca="false">IF($H2719=FALSE(),"",COUNTIF($H$6:$H2719,TRUE()))</f>
        <v/>
      </c>
      <c r="J2719" s="5" t="str">
        <f aca="false">IF($I2719="","","R"&amp;$I2719)</f>
        <v/>
      </c>
    </row>
    <row r="2720" customFormat="false" ht="15" hidden="false" customHeight="true" outlineLevel="0" collapsed="false">
      <c r="H2720" s="14" t="b">
        <f aca="false">IF(중복검사!$A2718="",FALSE(),중복검사!$J2718="유지")</f>
        <v>0</v>
      </c>
      <c r="I2720" s="5" t="str">
        <f aca="false">IF($H2720=FALSE(),"",COUNTIF($H$6:$H2720,TRUE()))</f>
        <v/>
      </c>
      <c r="J2720" s="5" t="str">
        <f aca="false">IF($I2720="","","R"&amp;$I2720)</f>
        <v/>
      </c>
    </row>
    <row r="2721" customFormat="false" ht="15" hidden="false" customHeight="true" outlineLevel="0" collapsed="false">
      <c r="H2721" s="14" t="b">
        <f aca="false">IF(중복검사!$A2719="",FALSE(),중복검사!$J2719="유지")</f>
        <v>0</v>
      </c>
      <c r="I2721" s="5" t="str">
        <f aca="false">IF($H2721=FALSE(),"",COUNTIF($H$6:$H2721,TRUE()))</f>
        <v/>
      </c>
      <c r="J2721" s="5" t="str">
        <f aca="false">IF($I2721="","","R"&amp;$I2721)</f>
        <v/>
      </c>
    </row>
    <row r="2722" customFormat="false" ht="15" hidden="false" customHeight="true" outlineLevel="0" collapsed="false">
      <c r="H2722" s="14" t="b">
        <f aca="false">IF(중복검사!$A2720="",FALSE(),중복검사!$J2720="유지")</f>
        <v>0</v>
      </c>
      <c r="I2722" s="5" t="str">
        <f aca="false">IF($H2722=FALSE(),"",COUNTIF($H$6:$H2722,TRUE()))</f>
        <v/>
      </c>
      <c r="J2722" s="5" t="str">
        <f aca="false">IF($I2722="","","R"&amp;$I2722)</f>
        <v/>
      </c>
    </row>
    <row r="2723" customFormat="false" ht="15" hidden="false" customHeight="true" outlineLevel="0" collapsed="false">
      <c r="H2723" s="14" t="b">
        <f aca="false">IF(중복검사!$A2721="",FALSE(),중복검사!$J2721="유지")</f>
        <v>0</v>
      </c>
      <c r="I2723" s="5" t="str">
        <f aca="false">IF($H2723=FALSE(),"",COUNTIF($H$6:$H2723,TRUE()))</f>
        <v/>
      </c>
      <c r="J2723" s="5" t="str">
        <f aca="false">IF($I2723="","","R"&amp;$I2723)</f>
        <v/>
      </c>
    </row>
    <row r="2724" customFormat="false" ht="15" hidden="false" customHeight="true" outlineLevel="0" collapsed="false">
      <c r="H2724" s="14" t="b">
        <f aca="false">IF(중복검사!$A2722="",FALSE(),중복검사!$J2722="유지")</f>
        <v>0</v>
      </c>
      <c r="I2724" s="5" t="str">
        <f aca="false">IF($H2724=FALSE(),"",COUNTIF($H$6:$H2724,TRUE()))</f>
        <v/>
      </c>
      <c r="J2724" s="5" t="str">
        <f aca="false">IF($I2724="","","R"&amp;$I2724)</f>
        <v/>
      </c>
    </row>
    <row r="2725" customFormat="false" ht="15" hidden="false" customHeight="true" outlineLevel="0" collapsed="false">
      <c r="H2725" s="14" t="b">
        <f aca="false">IF(중복검사!$A2723="",FALSE(),중복검사!$J2723="유지")</f>
        <v>0</v>
      </c>
      <c r="I2725" s="5" t="str">
        <f aca="false">IF($H2725=FALSE(),"",COUNTIF($H$6:$H2725,TRUE()))</f>
        <v/>
      </c>
      <c r="J2725" s="5" t="str">
        <f aca="false">IF($I2725="","","R"&amp;$I2725)</f>
        <v/>
      </c>
    </row>
    <row r="2726" customFormat="false" ht="15" hidden="false" customHeight="true" outlineLevel="0" collapsed="false">
      <c r="H2726" s="14" t="b">
        <f aca="false">IF(중복검사!$A2724="",FALSE(),중복검사!$J2724="유지")</f>
        <v>0</v>
      </c>
      <c r="I2726" s="5" t="str">
        <f aca="false">IF($H2726=FALSE(),"",COUNTIF($H$6:$H2726,TRUE()))</f>
        <v/>
      </c>
      <c r="J2726" s="5" t="str">
        <f aca="false">IF($I2726="","","R"&amp;$I2726)</f>
        <v/>
      </c>
    </row>
    <row r="2727" customFormat="false" ht="15" hidden="false" customHeight="true" outlineLevel="0" collapsed="false">
      <c r="H2727" s="14" t="b">
        <f aca="false">IF(중복검사!$A2725="",FALSE(),중복검사!$J2725="유지")</f>
        <v>0</v>
      </c>
      <c r="I2727" s="5" t="str">
        <f aca="false">IF($H2727=FALSE(),"",COUNTIF($H$6:$H2727,TRUE()))</f>
        <v/>
      </c>
      <c r="J2727" s="5" t="str">
        <f aca="false">IF($I2727="","","R"&amp;$I2727)</f>
        <v/>
      </c>
    </row>
    <row r="2728" customFormat="false" ht="15" hidden="false" customHeight="true" outlineLevel="0" collapsed="false">
      <c r="H2728" s="14" t="b">
        <f aca="false">IF(중복검사!$A2726="",FALSE(),중복검사!$J2726="유지")</f>
        <v>0</v>
      </c>
      <c r="I2728" s="5" t="str">
        <f aca="false">IF($H2728=FALSE(),"",COUNTIF($H$6:$H2728,TRUE()))</f>
        <v/>
      </c>
      <c r="J2728" s="5" t="str">
        <f aca="false">IF($I2728="","","R"&amp;$I2728)</f>
        <v/>
      </c>
    </row>
    <row r="2729" customFormat="false" ht="15" hidden="false" customHeight="true" outlineLevel="0" collapsed="false">
      <c r="H2729" s="14" t="b">
        <f aca="false">IF(중복검사!$A2727="",FALSE(),중복검사!$J2727="유지")</f>
        <v>0</v>
      </c>
      <c r="I2729" s="5" t="str">
        <f aca="false">IF($H2729=FALSE(),"",COUNTIF($H$6:$H2729,TRUE()))</f>
        <v/>
      </c>
      <c r="J2729" s="5" t="str">
        <f aca="false">IF($I2729="","","R"&amp;$I2729)</f>
        <v/>
      </c>
    </row>
    <row r="2730" customFormat="false" ht="15" hidden="false" customHeight="true" outlineLevel="0" collapsed="false">
      <c r="H2730" s="14" t="b">
        <f aca="false">IF(중복검사!$A2728="",FALSE(),중복검사!$J2728="유지")</f>
        <v>0</v>
      </c>
      <c r="I2730" s="5" t="str">
        <f aca="false">IF($H2730=FALSE(),"",COUNTIF($H$6:$H2730,TRUE()))</f>
        <v/>
      </c>
      <c r="J2730" s="5" t="str">
        <f aca="false">IF($I2730="","","R"&amp;$I2730)</f>
        <v/>
      </c>
    </row>
    <row r="2731" customFormat="false" ht="15" hidden="false" customHeight="true" outlineLevel="0" collapsed="false">
      <c r="H2731" s="14" t="b">
        <f aca="false">IF(중복검사!$A2729="",FALSE(),중복검사!$J2729="유지")</f>
        <v>0</v>
      </c>
      <c r="I2731" s="5" t="str">
        <f aca="false">IF($H2731=FALSE(),"",COUNTIF($H$6:$H2731,TRUE()))</f>
        <v/>
      </c>
      <c r="J2731" s="5" t="str">
        <f aca="false">IF($I2731="","","R"&amp;$I2731)</f>
        <v/>
      </c>
    </row>
    <row r="2732" customFormat="false" ht="15" hidden="false" customHeight="true" outlineLevel="0" collapsed="false">
      <c r="H2732" s="14" t="b">
        <f aca="false">IF(중복검사!$A2730="",FALSE(),중복검사!$J2730="유지")</f>
        <v>0</v>
      </c>
      <c r="I2732" s="5" t="str">
        <f aca="false">IF($H2732=FALSE(),"",COUNTIF($H$6:$H2732,TRUE()))</f>
        <v/>
      </c>
      <c r="J2732" s="5" t="str">
        <f aca="false">IF($I2732="","","R"&amp;$I2732)</f>
        <v/>
      </c>
    </row>
    <row r="2733" customFormat="false" ht="15" hidden="false" customHeight="true" outlineLevel="0" collapsed="false">
      <c r="H2733" s="14" t="b">
        <f aca="false">IF(중복검사!$A2731="",FALSE(),중복검사!$J2731="유지")</f>
        <v>0</v>
      </c>
      <c r="I2733" s="5" t="str">
        <f aca="false">IF($H2733=FALSE(),"",COUNTIF($H$6:$H2733,TRUE()))</f>
        <v/>
      </c>
      <c r="J2733" s="5" t="str">
        <f aca="false">IF($I2733="","","R"&amp;$I2733)</f>
        <v/>
      </c>
    </row>
    <row r="2734" customFormat="false" ht="15" hidden="false" customHeight="true" outlineLevel="0" collapsed="false">
      <c r="H2734" s="14" t="b">
        <f aca="false">IF(중복검사!$A2732="",FALSE(),중복검사!$J2732="유지")</f>
        <v>0</v>
      </c>
      <c r="I2734" s="5" t="str">
        <f aca="false">IF($H2734=FALSE(),"",COUNTIF($H$6:$H2734,TRUE()))</f>
        <v/>
      </c>
      <c r="J2734" s="5" t="str">
        <f aca="false">IF($I2734="","","R"&amp;$I2734)</f>
        <v/>
      </c>
    </row>
    <row r="2735" customFormat="false" ht="15" hidden="false" customHeight="true" outlineLevel="0" collapsed="false">
      <c r="H2735" s="14" t="b">
        <f aca="false">IF(중복검사!$A2733="",FALSE(),중복검사!$J2733="유지")</f>
        <v>0</v>
      </c>
      <c r="I2735" s="5" t="str">
        <f aca="false">IF($H2735=FALSE(),"",COUNTIF($H$6:$H2735,TRUE()))</f>
        <v/>
      </c>
      <c r="J2735" s="5" t="str">
        <f aca="false">IF($I2735="","","R"&amp;$I2735)</f>
        <v/>
      </c>
    </row>
    <row r="2736" customFormat="false" ht="15" hidden="false" customHeight="true" outlineLevel="0" collapsed="false">
      <c r="H2736" s="14" t="b">
        <f aca="false">IF(중복검사!$A2734="",FALSE(),중복검사!$J2734="유지")</f>
        <v>0</v>
      </c>
      <c r="I2736" s="5" t="str">
        <f aca="false">IF($H2736=FALSE(),"",COUNTIF($H$6:$H2736,TRUE()))</f>
        <v/>
      </c>
      <c r="J2736" s="5" t="str">
        <f aca="false">IF($I2736="","","R"&amp;$I2736)</f>
        <v/>
      </c>
    </row>
    <row r="2737" customFormat="false" ht="15" hidden="false" customHeight="true" outlineLevel="0" collapsed="false">
      <c r="H2737" s="14" t="b">
        <f aca="false">IF(중복검사!$A2735="",FALSE(),중복검사!$J2735="유지")</f>
        <v>0</v>
      </c>
      <c r="I2737" s="5" t="str">
        <f aca="false">IF($H2737=FALSE(),"",COUNTIF($H$6:$H2737,TRUE()))</f>
        <v/>
      </c>
      <c r="J2737" s="5" t="str">
        <f aca="false">IF($I2737="","","R"&amp;$I2737)</f>
        <v/>
      </c>
    </row>
    <row r="2738" customFormat="false" ht="15" hidden="false" customHeight="true" outlineLevel="0" collapsed="false">
      <c r="H2738" s="14" t="b">
        <f aca="false">IF(중복검사!$A2736="",FALSE(),중복검사!$J2736="유지")</f>
        <v>0</v>
      </c>
      <c r="I2738" s="5" t="str">
        <f aca="false">IF($H2738=FALSE(),"",COUNTIF($H$6:$H2738,TRUE()))</f>
        <v/>
      </c>
      <c r="J2738" s="5" t="str">
        <f aca="false">IF($I2738="","","R"&amp;$I2738)</f>
        <v/>
      </c>
    </row>
    <row r="2739" customFormat="false" ht="15" hidden="false" customHeight="true" outlineLevel="0" collapsed="false">
      <c r="H2739" s="14" t="b">
        <f aca="false">IF(중복검사!$A2737="",FALSE(),중복검사!$J2737="유지")</f>
        <v>0</v>
      </c>
      <c r="I2739" s="5" t="str">
        <f aca="false">IF($H2739=FALSE(),"",COUNTIF($H$6:$H2739,TRUE()))</f>
        <v/>
      </c>
      <c r="J2739" s="5" t="str">
        <f aca="false">IF($I2739="","","R"&amp;$I2739)</f>
        <v/>
      </c>
    </row>
    <row r="2740" customFormat="false" ht="15" hidden="false" customHeight="true" outlineLevel="0" collapsed="false">
      <c r="H2740" s="14" t="b">
        <f aca="false">IF(중복검사!$A2738="",FALSE(),중복검사!$J2738="유지")</f>
        <v>0</v>
      </c>
      <c r="I2740" s="5" t="str">
        <f aca="false">IF($H2740=FALSE(),"",COUNTIF($H$6:$H2740,TRUE()))</f>
        <v/>
      </c>
      <c r="J2740" s="5" t="str">
        <f aca="false">IF($I2740="","","R"&amp;$I2740)</f>
        <v/>
      </c>
    </row>
    <row r="2741" customFormat="false" ht="15" hidden="false" customHeight="true" outlineLevel="0" collapsed="false">
      <c r="H2741" s="14" t="b">
        <f aca="false">IF(중복검사!$A2739="",FALSE(),중복검사!$J2739="유지")</f>
        <v>0</v>
      </c>
      <c r="I2741" s="5" t="str">
        <f aca="false">IF($H2741=FALSE(),"",COUNTIF($H$6:$H2741,TRUE()))</f>
        <v/>
      </c>
      <c r="J2741" s="5" t="str">
        <f aca="false">IF($I2741="","","R"&amp;$I2741)</f>
        <v/>
      </c>
    </row>
    <row r="2742" customFormat="false" ht="15" hidden="false" customHeight="true" outlineLevel="0" collapsed="false">
      <c r="H2742" s="14" t="b">
        <f aca="false">IF(중복검사!$A2740="",FALSE(),중복검사!$J2740="유지")</f>
        <v>0</v>
      </c>
      <c r="I2742" s="5" t="str">
        <f aca="false">IF($H2742=FALSE(),"",COUNTIF($H$6:$H2742,TRUE()))</f>
        <v/>
      </c>
      <c r="J2742" s="5" t="str">
        <f aca="false">IF($I2742="","","R"&amp;$I2742)</f>
        <v/>
      </c>
    </row>
    <row r="2743" customFormat="false" ht="15" hidden="false" customHeight="true" outlineLevel="0" collapsed="false">
      <c r="H2743" s="14" t="b">
        <f aca="false">IF(중복검사!$A2741="",FALSE(),중복검사!$J2741="유지")</f>
        <v>0</v>
      </c>
      <c r="I2743" s="5" t="str">
        <f aca="false">IF($H2743=FALSE(),"",COUNTIF($H$6:$H2743,TRUE()))</f>
        <v/>
      </c>
      <c r="J2743" s="5" t="str">
        <f aca="false">IF($I2743="","","R"&amp;$I2743)</f>
        <v/>
      </c>
    </row>
    <row r="2744" customFormat="false" ht="15" hidden="false" customHeight="true" outlineLevel="0" collapsed="false">
      <c r="H2744" s="14" t="b">
        <f aca="false">IF(중복검사!$A2742="",FALSE(),중복검사!$J2742="유지")</f>
        <v>0</v>
      </c>
      <c r="I2744" s="5" t="str">
        <f aca="false">IF($H2744=FALSE(),"",COUNTIF($H$6:$H2744,TRUE()))</f>
        <v/>
      </c>
      <c r="J2744" s="5" t="str">
        <f aca="false">IF($I2744="","","R"&amp;$I2744)</f>
        <v/>
      </c>
    </row>
    <row r="2745" customFormat="false" ht="15" hidden="false" customHeight="true" outlineLevel="0" collapsed="false">
      <c r="H2745" s="14" t="b">
        <f aca="false">IF(중복검사!$A2743="",FALSE(),중복검사!$J2743="유지")</f>
        <v>0</v>
      </c>
      <c r="I2745" s="5" t="str">
        <f aca="false">IF($H2745=FALSE(),"",COUNTIF($H$6:$H2745,TRUE()))</f>
        <v/>
      </c>
      <c r="J2745" s="5" t="str">
        <f aca="false">IF($I2745="","","R"&amp;$I2745)</f>
        <v/>
      </c>
    </row>
    <row r="2746" customFormat="false" ht="15" hidden="false" customHeight="true" outlineLevel="0" collapsed="false">
      <c r="H2746" s="14" t="b">
        <f aca="false">IF(중복검사!$A2744="",FALSE(),중복검사!$J2744="유지")</f>
        <v>0</v>
      </c>
      <c r="I2746" s="5" t="str">
        <f aca="false">IF($H2746=FALSE(),"",COUNTIF($H$6:$H2746,TRUE()))</f>
        <v/>
      </c>
      <c r="J2746" s="5" t="str">
        <f aca="false">IF($I2746="","","R"&amp;$I2746)</f>
        <v/>
      </c>
    </row>
    <row r="2747" customFormat="false" ht="15" hidden="false" customHeight="true" outlineLevel="0" collapsed="false">
      <c r="H2747" s="14" t="b">
        <f aca="false">IF(중복검사!$A2745="",FALSE(),중복검사!$J2745="유지")</f>
        <v>0</v>
      </c>
      <c r="I2747" s="5" t="str">
        <f aca="false">IF($H2747=FALSE(),"",COUNTIF($H$6:$H2747,TRUE()))</f>
        <v/>
      </c>
      <c r="J2747" s="5" t="str">
        <f aca="false">IF($I2747="","","R"&amp;$I2747)</f>
        <v/>
      </c>
    </row>
    <row r="2748" customFormat="false" ht="15" hidden="false" customHeight="true" outlineLevel="0" collapsed="false">
      <c r="H2748" s="14" t="b">
        <f aca="false">IF(중복검사!$A2746="",FALSE(),중복검사!$J2746="유지")</f>
        <v>0</v>
      </c>
      <c r="I2748" s="5" t="str">
        <f aca="false">IF($H2748=FALSE(),"",COUNTIF($H$6:$H2748,TRUE()))</f>
        <v/>
      </c>
      <c r="J2748" s="5" t="str">
        <f aca="false">IF($I2748="","","R"&amp;$I2748)</f>
        <v/>
      </c>
    </row>
    <row r="2749" customFormat="false" ht="15" hidden="false" customHeight="true" outlineLevel="0" collapsed="false">
      <c r="H2749" s="14" t="b">
        <f aca="false">IF(중복검사!$A2747="",FALSE(),중복검사!$J2747="유지")</f>
        <v>0</v>
      </c>
      <c r="I2749" s="5" t="str">
        <f aca="false">IF($H2749=FALSE(),"",COUNTIF($H$6:$H2749,TRUE()))</f>
        <v/>
      </c>
      <c r="J2749" s="5" t="str">
        <f aca="false">IF($I2749="","","R"&amp;$I2749)</f>
        <v/>
      </c>
    </row>
    <row r="2750" customFormat="false" ht="15" hidden="false" customHeight="true" outlineLevel="0" collapsed="false">
      <c r="H2750" s="14" t="b">
        <f aca="false">IF(중복검사!$A2748="",FALSE(),중복검사!$J2748="유지")</f>
        <v>0</v>
      </c>
      <c r="I2750" s="5" t="str">
        <f aca="false">IF($H2750=FALSE(),"",COUNTIF($H$6:$H2750,TRUE()))</f>
        <v/>
      </c>
      <c r="J2750" s="5" t="str">
        <f aca="false">IF($I2750="","","R"&amp;$I2750)</f>
        <v/>
      </c>
    </row>
    <row r="2751" customFormat="false" ht="15" hidden="false" customHeight="true" outlineLevel="0" collapsed="false">
      <c r="H2751" s="14" t="b">
        <f aca="false">IF(중복검사!$A2749="",FALSE(),중복검사!$J2749="유지")</f>
        <v>0</v>
      </c>
      <c r="I2751" s="5" t="str">
        <f aca="false">IF($H2751=FALSE(),"",COUNTIF($H$6:$H2751,TRUE()))</f>
        <v/>
      </c>
      <c r="J2751" s="5" t="str">
        <f aca="false">IF($I2751="","","R"&amp;$I2751)</f>
        <v/>
      </c>
    </row>
    <row r="2752" customFormat="false" ht="15" hidden="false" customHeight="true" outlineLevel="0" collapsed="false">
      <c r="H2752" s="14" t="b">
        <f aca="false">IF(중복검사!$A2750="",FALSE(),중복검사!$J2750="유지")</f>
        <v>0</v>
      </c>
      <c r="I2752" s="5" t="str">
        <f aca="false">IF($H2752=FALSE(),"",COUNTIF($H$6:$H2752,TRUE()))</f>
        <v/>
      </c>
      <c r="J2752" s="5" t="str">
        <f aca="false">IF($I2752="","","R"&amp;$I2752)</f>
        <v/>
      </c>
    </row>
    <row r="2753" customFormat="false" ht="15" hidden="false" customHeight="true" outlineLevel="0" collapsed="false">
      <c r="H2753" s="14" t="b">
        <f aca="false">IF(중복검사!$A2751="",FALSE(),중복검사!$J2751="유지")</f>
        <v>0</v>
      </c>
      <c r="I2753" s="5" t="str">
        <f aca="false">IF($H2753=FALSE(),"",COUNTIF($H$6:$H2753,TRUE()))</f>
        <v/>
      </c>
      <c r="J2753" s="5" t="str">
        <f aca="false">IF($I2753="","","R"&amp;$I2753)</f>
        <v/>
      </c>
    </row>
    <row r="2754" customFormat="false" ht="15" hidden="false" customHeight="true" outlineLevel="0" collapsed="false">
      <c r="H2754" s="14" t="b">
        <f aca="false">IF(중복검사!$A2752="",FALSE(),중복검사!$J2752="유지")</f>
        <v>0</v>
      </c>
      <c r="I2754" s="5" t="str">
        <f aca="false">IF($H2754=FALSE(),"",COUNTIF($H$6:$H2754,TRUE()))</f>
        <v/>
      </c>
      <c r="J2754" s="5" t="str">
        <f aca="false">IF($I2754="","","R"&amp;$I2754)</f>
        <v/>
      </c>
    </row>
    <row r="2755" customFormat="false" ht="15" hidden="false" customHeight="true" outlineLevel="0" collapsed="false">
      <c r="H2755" s="14" t="b">
        <f aca="false">IF(중복검사!$A2753="",FALSE(),중복검사!$J2753="유지")</f>
        <v>0</v>
      </c>
      <c r="I2755" s="5" t="str">
        <f aca="false">IF($H2755=FALSE(),"",COUNTIF($H$6:$H2755,TRUE()))</f>
        <v/>
      </c>
      <c r="J2755" s="5" t="str">
        <f aca="false">IF($I2755="","","R"&amp;$I2755)</f>
        <v/>
      </c>
    </row>
    <row r="2756" customFormat="false" ht="15" hidden="false" customHeight="true" outlineLevel="0" collapsed="false">
      <c r="H2756" s="14" t="b">
        <f aca="false">IF(중복검사!$A2754="",FALSE(),중복검사!$J2754="유지")</f>
        <v>0</v>
      </c>
      <c r="I2756" s="5" t="str">
        <f aca="false">IF($H2756=FALSE(),"",COUNTIF($H$6:$H2756,TRUE()))</f>
        <v/>
      </c>
      <c r="J2756" s="5" t="str">
        <f aca="false">IF($I2756="","","R"&amp;$I2756)</f>
        <v/>
      </c>
    </row>
    <row r="2757" customFormat="false" ht="15" hidden="false" customHeight="true" outlineLevel="0" collapsed="false">
      <c r="H2757" s="14" t="b">
        <f aca="false">IF(중복검사!$A2755="",FALSE(),중복검사!$J2755="유지")</f>
        <v>0</v>
      </c>
      <c r="I2757" s="5" t="str">
        <f aca="false">IF($H2757=FALSE(),"",COUNTIF($H$6:$H2757,TRUE()))</f>
        <v/>
      </c>
      <c r="J2757" s="5" t="str">
        <f aca="false">IF($I2757="","","R"&amp;$I2757)</f>
        <v/>
      </c>
    </row>
    <row r="2758" customFormat="false" ht="15" hidden="false" customHeight="true" outlineLevel="0" collapsed="false">
      <c r="H2758" s="14" t="b">
        <f aca="false">IF(중복검사!$A2756="",FALSE(),중복검사!$J2756="유지")</f>
        <v>0</v>
      </c>
      <c r="I2758" s="5" t="str">
        <f aca="false">IF($H2758=FALSE(),"",COUNTIF($H$6:$H2758,TRUE()))</f>
        <v/>
      </c>
      <c r="J2758" s="5" t="str">
        <f aca="false">IF($I2758="","","R"&amp;$I2758)</f>
        <v/>
      </c>
    </row>
    <row r="2759" customFormat="false" ht="15" hidden="false" customHeight="true" outlineLevel="0" collapsed="false">
      <c r="H2759" s="14" t="b">
        <f aca="false">IF(중복검사!$A2757="",FALSE(),중복검사!$J2757="유지")</f>
        <v>0</v>
      </c>
      <c r="I2759" s="5" t="str">
        <f aca="false">IF($H2759=FALSE(),"",COUNTIF($H$6:$H2759,TRUE()))</f>
        <v/>
      </c>
      <c r="J2759" s="5" t="str">
        <f aca="false">IF($I2759="","","R"&amp;$I2759)</f>
        <v/>
      </c>
    </row>
    <row r="2760" customFormat="false" ht="15" hidden="false" customHeight="true" outlineLevel="0" collapsed="false">
      <c r="H2760" s="14" t="b">
        <f aca="false">IF(중복검사!$A2758="",FALSE(),중복검사!$J2758="유지")</f>
        <v>0</v>
      </c>
      <c r="I2760" s="5" t="str">
        <f aca="false">IF($H2760=FALSE(),"",COUNTIF($H$6:$H2760,TRUE()))</f>
        <v/>
      </c>
      <c r="J2760" s="5" t="str">
        <f aca="false">IF($I2760="","","R"&amp;$I2760)</f>
        <v/>
      </c>
    </row>
    <row r="2761" customFormat="false" ht="15" hidden="false" customHeight="true" outlineLevel="0" collapsed="false">
      <c r="H2761" s="14" t="b">
        <f aca="false">IF(중복검사!$A2759="",FALSE(),중복검사!$J2759="유지")</f>
        <v>0</v>
      </c>
      <c r="I2761" s="5" t="str">
        <f aca="false">IF($H2761=FALSE(),"",COUNTIF($H$6:$H2761,TRUE()))</f>
        <v/>
      </c>
      <c r="J2761" s="5" t="str">
        <f aca="false">IF($I2761="","","R"&amp;$I2761)</f>
        <v/>
      </c>
    </row>
    <row r="2762" customFormat="false" ht="15" hidden="false" customHeight="true" outlineLevel="0" collapsed="false">
      <c r="H2762" s="14" t="b">
        <f aca="false">IF(중복검사!$A2760="",FALSE(),중복검사!$J2760="유지")</f>
        <v>0</v>
      </c>
      <c r="I2762" s="5" t="str">
        <f aca="false">IF($H2762=FALSE(),"",COUNTIF($H$6:$H2762,TRUE()))</f>
        <v/>
      </c>
      <c r="J2762" s="5" t="str">
        <f aca="false">IF($I2762="","","R"&amp;$I2762)</f>
        <v/>
      </c>
    </row>
    <row r="2763" customFormat="false" ht="15" hidden="false" customHeight="true" outlineLevel="0" collapsed="false">
      <c r="H2763" s="14" t="b">
        <f aca="false">IF(중복검사!$A2761="",FALSE(),중복검사!$J2761="유지")</f>
        <v>0</v>
      </c>
      <c r="I2763" s="5" t="str">
        <f aca="false">IF($H2763=FALSE(),"",COUNTIF($H$6:$H2763,TRUE()))</f>
        <v/>
      </c>
      <c r="J2763" s="5" t="str">
        <f aca="false">IF($I2763="","","R"&amp;$I2763)</f>
        <v/>
      </c>
    </row>
    <row r="2764" customFormat="false" ht="15" hidden="false" customHeight="true" outlineLevel="0" collapsed="false">
      <c r="H2764" s="14" t="b">
        <f aca="false">IF(중복검사!$A2762="",FALSE(),중복검사!$J2762="유지")</f>
        <v>0</v>
      </c>
      <c r="I2764" s="5" t="str">
        <f aca="false">IF($H2764=FALSE(),"",COUNTIF($H$6:$H2764,TRUE()))</f>
        <v/>
      </c>
      <c r="J2764" s="5" t="str">
        <f aca="false">IF($I2764="","","R"&amp;$I2764)</f>
        <v/>
      </c>
    </row>
    <row r="2765" customFormat="false" ht="15" hidden="false" customHeight="true" outlineLevel="0" collapsed="false">
      <c r="H2765" s="14" t="b">
        <f aca="false">IF(중복검사!$A2763="",FALSE(),중복검사!$J2763="유지")</f>
        <v>0</v>
      </c>
      <c r="I2765" s="5" t="str">
        <f aca="false">IF($H2765=FALSE(),"",COUNTIF($H$6:$H2765,TRUE()))</f>
        <v/>
      </c>
      <c r="J2765" s="5" t="str">
        <f aca="false">IF($I2765="","","R"&amp;$I2765)</f>
        <v/>
      </c>
    </row>
    <row r="2766" customFormat="false" ht="15" hidden="false" customHeight="true" outlineLevel="0" collapsed="false">
      <c r="H2766" s="14" t="b">
        <f aca="false">IF(중복검사!$A2764="",FALSE(),중복검사!$J2764="유지")</f>
        <v>0</v>
      </c>
      <c r="I2766" s="5" t="str">
        <f aca="false">IF($H2766=FALSE(),"",COUNTIF($H$6:$H2766,TRUE()))</f>
        <v/>
      </c>
      <c r="J2766" s="5" t="str">
        <f aca="false">IF($I2766="","","R"&amp;$I2766)</f>
        <v/>
      </c>
    </row>
    <row r="2767" customFormat="false" ht="15" hidden="false" customHeight="true" outlineLevel="0" collapsed="false">
      <c r="H2767" s="14" t="b">
        <f aca="false">IF(중복검사!$A2765="",FALSE(),중복검사!$J2765="유지")</f>
        <v>0</v>
      </c>
      <c r="I2767" s="5" t="str">
        <f aca="false">IF($H2767=FALSE(),"",COUNTIF($H$6:$H2767,TRUE()))</f>
        <v/>
      </c>
      <c r="J2767" s="5" t="str">
        <f aca="false">IF($I2767="","","R"&amp;$I2767)</f>
        <v/>
      </c>
    </row>
    <row r="2768" customFormat="false" ht="15" hidden="false" customHeight="true" outlineLevel="0" collapsed="false">
      <c r="H2768" s="14" t="b">
        <f aca="false">IF(중복검사!$A2766="",FALSE(),중복검사!$J2766="유지")</f>
        <v>0</v>
      </c>
      <c r="I2768" s="5" t="str">
        <f aca="false">IF($H2768=FALSE(),"",COUNTIF($H$6:$H2768,TRUE()))</f>
        <v/>
      </c>
      <c r="J2768" s="5" t="str">
        <f aca="false">IF($I2768="","","R"&amp;$I2768)</f>
        <v/>
      </c>
    </row>
    <row r="2769" customFormat="false" ht="15" hidden="false" customHeight="true" outlineLevel="0" collapsed="false">
      <c r="H2769" s="14" t="b">
        <f aca="false">IF(중복검사!$A2767="",FALSE(),중복검사!$J2767="유지")</f>
        <v>0</v>
      </c>
      <c r="I2769" s="5" t="str">
        <f aca="false">IF($H2769=FALSE(),"",COUNTIF($H$6:$H2769,TRUE()))</f>
        <v/>
      </c>
      <c r="J2769" s="5" t="str">
        <f aca="false">IF($I2769="","","R"&amp;$I2769)</f>
        <v/>
      </c>
    </row>
    <row r="2770" customFormat="false" ht="15" hidden="false" customHeight="true" outlineLevel="0" collapsed="false">
      <c r="H2770" s="14" t="b">
        <f aca="false">IF(중복검사!$A2768="",FALSE(),중복검사!$J2768="유지")</f>
        <v>0</v>
      </c>
      <c r="I2770" s="5" t="str">
        <f aca="false">IF($H2770=FALSE(),"",COUNTIF($H$6:$H2770,TRUE()))</f>
        <v/>
      </c>
      <c r="J2770" s="5" t="str">
        <f aca="false">IF($I2770="","","R"&amp;$I2770)</f>
        <v/>
      </c>
    </row>
    <row r="2771" customFormat="false" ht="15" hidden="false" customHeight="true" outlineLevel="0" collapsed="false">
      <c r="H2771" s="14" t="b">
        <f aca="false">IF(중복검사!$A2769="",FALSE(),중복검사!$J2769="유지")</f>
        <v>0</v>
      </c>
      <c r="I2771" s="5" t="str">
        <f aca="false">IF($H2771=FALSE(),"",COUNTIF($H$6:$H2771,TRUE()))</f>
        <v/>
      </c>
      <c r="J2771" s="5" t="str">
        <f aca="false">IF($I2771="","","R"&amp;$I2771)</f>
        <v/>
      </c>
    </row>
    <row r="2772" customFormat="false" ht="15" hidden="false" customHeight="true" outlineLevel="0" collapsed="false">
      <c r="H2772" s="14" t="b">
        <f aca="false">IF(중복검사!$A2770="",FALSE(),중복검사!$J2770="유지")</f>
        <v>0</v>
      </c>
      <c r="I2772" s="5" t="str">
        <f aca="false">IF($H2772=FALSE(),"",COUNTIF($H$6:$H2772,TRUE()))</f>
        <v/>
      </c>
      <c r="J2772" s="5" t="str">
        <f aca="false">IF($I2772="","","R"&amp;$I2772)</f>
        <v/>
      </c>
    </row>
    <row r="2773" customFormat="false" ht="15" hidden="false" customHeight="true" outlineLevel="0" collapsed="false">
      <c r="H2773" s="14" t="b">
        <f aca="false">IF(중복검사!$A2771="",FALSE(),중복검사!$J2771="유지")</f>
        <v>0</v>
      </c>
      <c r="I2773" s="5" t="str">
        <f aca="false">IF($H2773=FALSE(),"",COUNTIF($H$6:$H2773,TRUE()))</f>
        <v/>
      </c>
      <c r="J2773" s="5" t="str">
        <f aca="false">IF($I2773="","","R"&amp;$I2773)</f>
        <v/>
      </c>
    </row>
    <row r="2774" customFormat="false" ht="15" hidden="false" customHeight="true" outlineLevel="0" collapsed="false">
      <c r="H2774" s="14" t="b">
        <f aca="false">IF(중복검사!$A2772="",FALSE(),중복검사!$J2772="유지")</f>
        <v>0</v>
      </c>
      <c r="I2774" s="5" t="str">
        <f aca="false">IF($H2774=FALSE(),"",COUNTIF($H$6:$H2774,TRUE()))</f>
        <v/>
      </c>
      <c r="J2774" s="5" t="str">
        <f aca="false">IF($I2774="","","R"&amp;$I2774)</f>
        <v/>
      </c>
    </row>
    <row r="2775" customFormat="false" ht="15" hidden="false" customHeight="true" outlineLevel="0" collapsed="false">
      <c r="H2775" s="14" t="b">
        <f aca="false">IF(중복검사!$A2773="",FALSE(),중복검사!$J2773="유지")</f>
        <v>0</v>
      </c>
      <c r="I2775" s="5" t="str">
        <f aca="false">IF($H2775=FALSE(),"",COUNTIF($H$6:$H2775,TRUE()))</f>
        <v/>
      </c>
      <c r="J2775" s="5" t="str">
        <f aca="false">IF($I2775="","","R"&amp;$I2775)</f>
        <v/>
      </c>
    </row>
    <row r="2776" customFormat="false" ht="15" hidden="false" customHeight="true" outlineLevel="0" collapsed="false">
      <c r="H2776" s="14" t="b">
        <f aca="false">IF(중복검사!$A2774="",FALSE(),중복검사!$J2774="유지")</f>
        <v>0</v>
      </c>
      <c r="I2776" s="5" t="str">
        <f aca="false">IF($H2776=FALSE(),"",COUNTIF($H$6:$H2776,TRUE()))</f>
        <v/>
      </c>
      <c r="J2776" s="5" t="str">
        <f aca="false">IF($I2776="","","R"&amp;$I2776)</f>
        <v/>
      </c>
    </row>
    <row r="2777" customFormat="false" ht="15" hidden="false" customHeight="true" outlineLevel="0" collapsed="false">
      <c r="H2777" s="14" t="b">
        <f aca="false">IF(중복검사!$A2775="",FALSE(),중복검사!$J2775="유지")</f>
        <v>0</v>
      </c>
      <c r="I2777" s="5" t="str">
        <f aca="false">IF($H2777=FALSE(),"",COUNTIF($H$6:$H2777,TRUE()))</f>
        <v/>
      </c>
      <c r="J2777" s="5" t="str">
        <f aca="false">IF($I2777="","","R"&amp;$I2777)</f>
        <v/>
      </c>
    </row>
    <row r="2778" customFormat="false" ht="15" hidden="false" customHeight="true" outlineLevel="0" collapsed="false">
      <c r="H2778" s="14" t="b">
        <f aca="false">IF(중복검사!$A2776="",FALSE(),중복검사!$J2776="유지")</f>
        <v>0</v>
      </c>
      <c r="I2778" s="5" t="str">
        <f aca="false">IF($H2778=FALSE(),"",COUNTIF($H$6:$H2778,TRUE()))</f>
        <v/>
      </c>
      <c r="J2778" s="5" t="str">
        <f aca="false">IF($I2778="","","R"&amp;$I2778)</f>
        <v/>
      </c>
    </row>
    <row r="2779" customFormat="false" ht="15" hidden="false" customHeight="true" outlineLevel="0" collapsed="false">
      <c r="H2779" s="14" t="b">
        <f aca="false">IF(중복검사!$A2777="",FALSE(),중복검사!$J2777="유지")</f>
        <v>0</v>
      </c>
      <c r="I2779" s="5" t="str">
        <f aca="false">IF($H2779=FALSE(),"",COUNTIF($H$6:$H2779,TRUE()))</f>
        <v/>
      </c>
      <c r="J2779" s="5" t="str">
        <f aca="false">IF($I2779="","","R"&amp;$I2779)</f>
        <v/>
      </c>
    </row>
    <row r="2780" customFormat="false" ht="15" hidden="false" customHeight="true" outlineLevel="0" collapsed="false">
      <c r="H2780" s="14" t="b">
        <f aca="false">IF(중복검사!$A2778="",FALSE(),중복검사!$J2778="유지")</f>
        <v>0</v>
      </c>
      <c r="I2780" s="5" t="str">
        <f aca="false">IF($H2780=FALSE(),"",COUNTIF($H$6:$H2780,TRUE()))</f>
        <v/>
      </c>
      <c r="J2780" s="5" t="str">
        <f aca="false">IF($I2780="","","R"&amp;$I2780)</f>
        <v/>
      </c>
    </row>
    <row r="2781" customFormat="false" ht="15" hidden="false" customHeight="true" outlineLevel="0" collapsed="false">
      <c r="H2781" s="14" t="b">
        <f aca="false">IF(중복검사!$A2779="",FALSE(),중복검사!$J2779="유지")</f>
        <v>0</v>
      </c>
      <c r="I2781" s="5" t="str">
        <f aca="false">IF($H2781=FALSE(),"",COUNTIF($H$6:$H2781,TRUE()))</f>
        <v/>
      </c>
      <c r="J2781" s="5" t="str">
        <f aca="false">IF($I2781="","","R"&amp;$I2781)</f>
        <v/>
      </c>
    </row>
    <row r="2782" customFormat="false" ht="15" hidden="false" customHeight="true" outlineLevel="0" collapsed="false">
      <c r="H2782" s="14" t="b">
        <f aca="false">IF(중복검사!$A2780="",FALSE(),중복검사!$J2780="유지")</f>
        <v>0</v>
      </c>
      <c r="I2782" s="5" t="str">
        <f aca="false">IF($H2782=FALSE(),"",COUNTIF($H$6:$H2782,TRUE()))</f>
        <v/>
      </c>
      <c r="J2782" s="5" t="str">
        <f aca="false">IF($I2782="","","R"&amp;$I2782)</f>
        <v/>
      </c>
    </row>
    <row r="2783" customFormat="false" ht="15" hidden="false" customHeight="true" outlineLevel="0" collapsed="false">
      <c r="H2783" s="14" t="b">
        <f aca="false">IF(중복검사!$A2781="",FALSE(),중복검사!$J2781="유지")</f>
        <v>0</v>
      </c>
      <c r="I2783" s="5" t="str">
        <f aca="false">IF($H2783=FALSE(),"",COUNTIF($H$6:$H2783,TRUE()))</f>
        <v/>
      </c>
      <c r="J2783" s="5" t="str">
        <f aca="false">IF($I2783="","","R"&amp;$I2783)</f>
        <v/>
      </c>
    </row>
    <row r="2784" customFormat="false" ht="15" hidden="false" customHeight="true" outlineLevel="0" collapsed="false">
      <c r="H2784" s="14" t="b">
        <f aca="false">IF(중복검사!$A2782="",FALSE(),중복검사!$J2782="유지")</f>
        <v>0</v>
      </c>
      <c r="I2784" s="5" t="str">
        <f aca="false">IF($H2784=FALSE(),"",COUNTIF($H$6:$H2784,TRUE()))</f>
        <v/>
      </c>
      <c r="J2784" s="5" t="str">
        <f aca="false">IF($I2784="","","R"&amp;$I2784)</f>
        <v/>
      </c>
    </row>
    <row r="2785" customFormat="false" ht="15" hidden="false" customHeight="true" outlineLevel="0" collapsed="false">
      <c r="H2785" s="14" t="b">
        <f aca="false">IF(중복검사!$A2783="",FALSE(),중복검사!$J2783="유지")</f>
        <v>0</v>
      </c>
      <c r="I2785" s="5" t="str">
        <f aca="false">IF($H2785=FALSE(),"",COUNTIF($H$6:$H2785,TRUE()))</f>
        <v/>
      </c>
      <c r="J2785" s="5" t="str">
        <f aca="false">IF($I2785="","","R"&amp;$I2785)</f>
        <v/>
      </c>
    </row>
    <row r="2786" customFormat="false" ht="15" hidden="false" customHeight="true" outlineLevel="0" collapsed="false">
      <c r="H2786" s="14" t="b">
        <f aca="false">IF(중복검사!$A2784="",FALSE(),중복검사!$J2784="유지")</f>
        <v>0</v>
      </c>
      <c r="I2786" s="5" t="str">
        <f aca="false">IF($H2786=FALSE(),"",COUNTIF($H$6:$H2786,TRUE()))</f>
        <v/>
      </c>
      <c r="J2786" s="5" t="str">
        <f aca="false">IF($I2786="","","R"&amp;$I2786)</f>
        <v/>
      </c>
    </row>
    <row r="2787" customFormat="false" ht="15" hidden="false" customHeight="true" outlineLevel="0" collapsed="false">
      <c r="H2787" s="14" t="b">
        <f aca="false">IF(중복검사!$A2785="",FALSE(),중복검사!$J2785="유지")</f>
        <v>0</v>
      </c>
      <c r="I2787" s="5" t="str">
        <f aca="false">IF($H2787=FALSE(),"",COUNTIF($H$6:$H2787,TRUE()))</f>
        <v/>
      </c>
      <c r="J2787" s="5" t="str">
        <f aca="false">IF($I2787="","","R"&amp;$I2787)</f>
        <v/>
      </c>
    </row>
    <row r="2788" customFormat="false" ht="15" hidden="false" customHeight="true" outlineLevel="0" collapsed="false">
      <c r="H2788" s="14" t="b">
        <f aca="false">IF(중복검사!$A2786="",FALSE(),중복검사!$J2786="유지")</f>
        <v>0</v>
      </c>
      <c r="I2788" s="5" t="str">
        <f aca="false">IF($H2788=FALSE(),"",COUNTIF($H$6:$H2788,TRUE()))</f>
        <v/>
      </c>
      <c r="J2788" s="5" t="str">
        <f aca="false">IF($I2788="","","R"&amp;$I2788)</f>
        <v/>
      </c>
    </row>
    <row r="2789" customFormat="false" ht="15" hidden="false" customHeight="true" outlineLevel="0" collapsed="false">
      <c r="H2789" s="14" t="b">
        <f aca="false">IF(중복검사!$A2787="",FALSE(),중복검사!$J2787="유지")</f>
        <v>0</v>
      </c>
      <c r="I2789" s="5" t="str">
        <f aca="false">IF($H2789=FALSE(),"",COUNTIF($H$6:$H2789,TRUE()))</f>
        <v/>
      </c>
      <c r="J2789" s="5" t="str">
        <f aca="false">IF($I2789="","","R"&amp;$I2789)</f>
        <v/>
      </c>
    </row>
    <row r="2790" customFormat="false" ht="15" hidden="false" customHeight="true" outlineLevel="0" collapsed="false">
      <c r="H2790" s="14" t="b">
        <f aca="false">IF(중복검사!$A2788="",FALSE(),중복검사!$J2788="유지")</f>
        <v>0</v>
      </c>
      <c r="I2790" s="5" t="str">
        <f aca="false">IF($H2790=FALSE(),"",COUNTIF($H$6:$H2790,TRUE()))</f>
        <v/>
      </c>
      <c r="J2790" s="5" t="str">
        <f aca="false">IF($I2790="","","R"&amp;$I2790)</f>
        <v/>
      </c>
    </row>
    <row r="2791" customFormat="false" ht="15" hidden="false" customHeight="true" outlineLevel="0" collapsed="false">
      <c r="H2791" s="14" t="b">
        <f aca="false">IF(중복검사!$A2789="",FALSE(),중복검사!$J2789="유지")</f>
        <v>0</v>
      </c>
      <c r="I2791" s="5" t="str">
        <f aca="false">IF($H2791=FALSE(),"",COUNTIF($H$6:$H2791,TRUE()))</f>
        <v/>
      </c>
      <c r="J2791" s="5" t="str">
        <f aca="false">IF($I2791="","","R"&amp;$I2791)</f>
        <v/>
      </c>
    </row>
    <row r="2792" customFormat="false" ht="15" hidden="false" customHeight="true" outlineLevel="0" collapsed="false">
      <c r="H2792" s="14" t="b">
        <f aca="false">IF(중복검사!$A2790="",FALSE(),중복검사!$J2790="유지")</f>
        <v>0</v>
      </c>
      <c r="I2792" s="5" t="str">
        <f aca="false">IF($H2792=FALSE(),"",COUNTIF($H$6:$H2792,TRUE()))</f>
        <v/>
      </c>
      <c r="J2792" s="5" t="str">
        <f aca="false">IF($I2792="","","R"&amp;$I2792)</f>
        <v/>
      </c>
    </row>
    <row r="2793" customFormat="false" ht="15" hidden="false" customHeight="true" outlineLevel="0" collapsed="false">
      <c r="H2793" s="14" t="b">
        <f aca="false">IF(중복검사!$A2791="",FALSE(),중복검사!$J2791="유지")</f>
        <v>0</v>
      </c>
      <c r="I2793" s="5" t="str">
        <f aca="false">IF($H2793=FALSE(),"",COUNTIF($H$6:$H2793,TRUE()))</f>
        <v/>
      </c>
      <c r="J2793" s="5" t="str">
        <f aca="false">IF($I2793="","","R"&amp;$I2793)</f>
        <v/>
      </c>
    </row>
    <row r="2794" customFormat="false" ht="15" hidden="false" customHeight="true" outlineLevel="0" collapsed="false">
      <c r="H2794" s="14" t="b">
        <f aca="false">IF(중복검사!$A2792="",FALSE(),중복검사!$J2792="유지")</f>
        <v>0</v>
      </c>
      <c r="I2794" s="5" t="str">
        <f aca="false">IF($H2794=FALSE(),"",COUNTIF($H$6:$H2794,TRUE()))</f>
        <v/>
      </c>
      <c r="J2794" s="5" t="str">
        <f aca="false">IF($I2794="","","R"&amp;$I2794)</f>
        <v/>
      </c>
    </row>
    <row r="2795" customFormat="false" ht="15" hidden="false" customHeight="true" outlineLevel="0" collapsed="false">
      <c r="H2795" s="14" t="b">
        <f aca="false">IF(중복검사!$A2793="",FALSE(),중복검사!$J2793="유지")</f>
        <v>0</v>
      </c>
      <c r="I2795" s="5" t="str">
        <f aca="false">IF($H2795=FALSE(),"",COUNTIF($H$6:$H2795,TRUE()))</f>
        <v/>
      </c>
      <c r="J2795" s="5" t="str">
        <f aca="false">IF($I2795="","","R"&amp;$I2795)</f>
        <v/>
      </c>
    </row>
    <row r="2796" customFormat="false" ht="15" hidden="false" customHeight="true" outlineLevel="0" collapsed="false">
      <c r="H2796" s="14" t="b">
        <f aca="false">IF(중복검사!$A2794="",FALSE(),중복검사!$J2794="유지")</f>
        <v>0</v>
      </c>
      <c r="I2796" s="5" t="str">
        <f aca="false">IF($H2796=FALSE(),"",COUNTIF($H$6:$H2796,TRUE()))</f>
        <v/>
      </c>
      <c r="J2796" s="5" t="str">
        <f aca="false">IF($I2796="","","R"&amp;$I2796)</f>
        <v/>
      </c>
    </row>
    <row r="2797" customFormat="false" ht="15" hidden="false" customHeight="true" outlineLevel="0" collapsed="false">
      <c r="H2797" s="14" t="b">
        <f aca="false">IF(중복검사!$A2795="",FALSE(),중복검사!$J2795="유지")</f>
        <v>0</v>
      </c>
      <c r="I2797" s="5" t="str">
        <f aca="false">IF($H2797=FALSE(),"",COUNTIF($H$6:$H2797,TRUE()))</f>
        <v/>
      </c>
      <c r="J2797" s="5" t="str">
        <f aca="false">IF($I2797="","","R"&amp;$I2797)</f>
        <v/>
      </c>
    </row>
    <row r="2798" customFormat="false" ht="15" hidden="false" customHeight="true" outlineLevel="0" collapsed="false">
      <c r="H2798" s="14" t="b">
        <f aca="false">IF(중복검사!$A2796="",FALSE(),중복검사!$J2796="유지")</f>
        <v>0</v>
      </c>
      <c r="I2798" s="5" t="str">
        <f aca="false">IF($H2798=FALSE(),"",COUNTIF($H$6:$H2798,TRUE()))</f>
        <v/>
      </c>
      <c r="J2798" s="5" t="str">
        <f aca="false">IF($I2798="","","R"&amp;$I2798)</f>
        <v/>
      </c>
    </row>
    <row r="2799" customFormat="false" ht="15" hidden="false" customHeight="true" outlineLevel="0" collapsed="false">
      <c r="H2799" s="14" t="b">
        <f aca="false">IF(중복검사!$A2797="",FALSE(),중복검사!$J2797="유지")</f>
        <v>0</v>
      </c>
      <c r="I2799" s="5" t="str">
        <f aca="false">IF($H2799=FALSE(),"",COUNTIF($H$6:$H2799,TRUE()))</f>
        <v/>
      </c>
      <c r="J2799" s="5" t="str">
        <f aca="false">IF($I2799="","","R"&amp;$I2799)</f>
        <v/>
      </c>
    </row>
    <row r="2800" customFormat="false" ht="15" hidden="false" customHeight="true" outlineLevel="0" collapsed="false">
      <c r="H2800" s="14" t="b">
        <f aca="false">IF(중복검사!$A2798="",FALSE(),중복검사!$J2798="유지")</f>
        <v>0</v>
      </c>
      <c r="I2800" s="5" t="str">
        <f aca="false">IF($H2800=FALSE(),"",COUNTIF($H$6:$H2800,TRUE()))</f>
        <v/>
      </c>
      <c r="J2800" s="5" t="str">
        <f aca="false">IF($I2800="","","R"&amp;$I2800)</f>
        <v/>
      </c>
    </row>
    <row r="2801" customFormat="false" ht="15" hidden="false" customHeight="true" outlineLevel="0" collapsed="false">
      <c r="H2801" s="14" t="b">
        <f aca="false">IF(중복검사!$A2799="",FALSE(),중복검사!$J2799="유지")</f>
        <v>0</v>
      </c>
      <c r="I2801" s="5" t="str">
        <f aca="false">IF($H2801=FALSE(),"",COUNTIF($H$6:$H2801,TRUE()))</f>
        <v/>
      </c>
      <c r="J2801" s="5" t="str">
        <f aca="false">IF($I2801="","","R"&amp;$I2801)</f>
        <v/>
      </c>
    </row>
    <row r="2802" customFormat="false" ht="15" hidden="false" customHeight="true" outlineLevel="0" collapsed="false">
      <c r="H2802" s="14" t="b">
        <f aca="false">IF(중복검사!$A2800="",FALSE(),중복검사!$J2800="유지")</f>
        <v>0</v>
      </c>
      <c r="I2802" s="5" t="str">
        <f aca="false">IF($H2802=FALSE(),"",COUNTIF($H$6:$H2802,TRUE()))</f>
        <v/>
      </c>
      <c r="J2802" s="5" t="str">
        <f aca="false">IF($I2802="","","R"&amp;$I2802)</f>
        <v/>
      </c>
    </row>
    <row r="2803" customFormat="false" ht="15" hidden="false" customHeight="true" outlineLevel="0" collapsed="false">
      <c r="H2803" s="14" t="b">
        <f aca="false">IF(중복검사!$A2801="",FALSE(),중복검사!$J2801="유지")</f>
        <v>0</v>
      </c>
      <c r="I2803" s="5" t="str">
        <f aca="false">IF($H2803=FALSE(),"",COUNTIF($H$6:$H2803,TRUE()))</f>
        <v/>
      </c>
      <c r="J2803" s="5" t="str">
        <f aca="false">IF($I2803="","","R"&amp;$I2803)</f>
        <v/>
      </c>
    </row>
    <row r="2804" customFormat="false" ht="15" hidden="false" customHeight="true" outlineLevel="0" collapsed="false">
      <c r="H2804" s="14" t="b">
        <f aca="false">IF(중복검사!$A2802="",FALSE(),중복검사!$J2802="유지")</f>
        <v>0</v>
      </c>
      <c r="I2804" s="5" t="str">
        <f aca="false">IF($H2804=FALSE(),"",COUNTIF($H$6:$H2804,TRUE()))</f>
        <v/>
      </c>
      <c r="J2804" s="5" t="str">
        <f aca="false">IF($I2804="","","R"&amp;$I2804)</f>
        <v/>
      </c>
    </row>
    <row r="2805" customFormat="false" ht="15" hidden="false" customHeight="true" outlineLevel="0" collapsed="false">
      <c r="H2805" s="14" t="b">
        <f aca="false">IF(중복검사!$A2803="",FALSE(),중복검사!$J2803="유지")</f>
        <v>0</v>
      </c>
      <c r="I2805" s="5" t="str">
        <f aca="false">IF($H2805=FALSE(),"",COUNTIF($H$6:$H2805,TRUE()))</f>
        <v/>
      </c>
      <c r="J2805" s="5" t="str">
        <f aca="false">IF($I2805="","","R"&amp;$I2805)</f>
        <v/>
      </c>
    </row>
    <row r="2806" customFormat="false" ht="15" hidden="false" customHeight="true" outlineLevel="0" collapsed="false">
      <c r="H2806" s="14" t="b">
        <f aca="false">IF(중복검사!$A2804="",FALSE(),중복검사!$J2804="유지")</f>
        <v>0</v>
      </c>
      <c r="I2806" s="5" t="str">
        <f aca="false">IF($H2806=FALSE(),"",COUNTIF($H$6:$H2806,TRUE()))</f>
        <v/>
      </c>
      <c r="J2806" s="5" t="str">
        <f aca="false">IF($I2806="","","R"&amp;$I2806)</f>
        <v/>
      </c>
    </row>
    <row r="2807" customFormat="false" ht="15" hidden="false" customHeight="true" outlineLevel="0" collapsed="false">
      <c r="H2807" s="14" t="b">
        <f aca="false">IF(중복검사!$A2805="",FALSE(),중복검사!$J2805="유지")</f>
        <v>0</v>
      </c>
      <c r="I2807" s="5" t="str">
        <f aca="false">IF($H2807=FALSE(),"",COUNTIF($H$6:$H2807,TRUE()))</f>
        <v/>
      </c>
      <c r="J2807" s="5" t="str">
        <f aca="false">IF($I2807="","","R"&amp;$I2807)</f>
        <v/>
      </c>
    </row>
    <row r="2808" customFormat="false" ht="15" hidden="false" customHeight="true" outlineLevel="0" collapsed="false">
      <c r="H2808" s="14" t="b">
        <f aca="false">IF(중복검사!$A2806="",FALSE(),중복검사!$J2806="유지")</f>
        <v>0</v>
      </c>
      <c r="I2808" s="5" t="str">
        <f aca="false">IF($H2808=FALSE(),"",COUNTIF($H$6:$H2808,TRUE()))</f>
        <v/>
      </c>
      <c r="J2808" s="5" t="str">
        <f aca="false">IF($I2808="","","R"&amp;$I2808)</f>
        <v/>
      </c>
    </row>
    <row r="2809" customFormat="false" ht="15" hidden="false" customHeight="true" outlineLevel="0" collapsed="false">
      <c r="H2809" s="14" t="b">
        <f aca="false">IF(중복검사!$A2807="",FALSE(),중복검사!$J2807="유지")</f>
        <v>0</v>
      </c>
      <c r="I2809" s="5" t="str">
        <f aca="false">IF($H2809=FALSE(),"",COUNTIF($H$6:$H2809,TRUE()))</f>
        <v/>
      </c>
      <c r="J2809" s="5" t="str">
        <f aca="false">IF($I2809="","","R"&amp;$I2809)</f>
        <v/>
      </c>
    </row>
    <row r="2810" customFormat="false" ht="15" hidden="false" customHeight="true" outlineLevel="0" collapsed="false">
      <c r="H2810" s="14" t="b">
        <f aca="false">IF(중복검사!$A2808="",FALSE(),중복검사!$J2808="유지")</f>
        <v>0</v>
      </c>
      <c r="I2810" s="5" t="str">
        <f aca="false">IF($H2810=FALSE(),"",COUNTIF($H$6:$H2810,TRUE()))</f>
        <v/>
      </c>
      <c r="J2810" s="5" t="str">
        <f aca="false">IF($I2810="","","R"&amp;$I2810)</f>
        <v/>
      </c>
    </row>
    <row r="2811" customFormat="false" ht="15" hidden="false" customHeight="true" outlineLevel="0" collapsed="false">
      <c r="H2811" s="14" t="b">
        <f aca="false">IF(중복검사!$A2809="",FALSE(),중복검사!$J2809="유지")</f>
        <v>0</v>
      </c>
      <c r="I2811" s="5" t="str">
        <f aca="false">IF($H2811=FALSE(),"",COUNTIF($H$6:$H2811,TRUE()))</f>
        <v/>
      </c>
      <c r="J2811" s="5" t="str">
        <f aca="false">IF($I2811="","","R"&amp;$I2811)</f>
        <v/>
      </c>
    </row>
    <row r="2812" customFormat="false" ht="15" hidden="false" customHeight="true" outlineLevel="0" collapsed="false">
      <c r="H2812" s="14" t="b">
        <f aca="false">IF(중복검사!$A2810="",FALSE(),중복검사!$J2810="유지")</f>
        <v>0</v>
      </c>
      <c r="I2812" s="5" t="str">
        <f aca="false">IF($H2812=FALSE(),"",COUNTIF($H$6:$H2812,TRUE()))</f>
        <v/>
      </c>
      <c r="J2812" s="5" t="str">
        <f aca="false">IF($I2812="","","R"&amp;$I2812)</f>
        <v/>
      </c>
    </row>
    <row r="2813" customFormat="false" ht="15" hidden="false" customHeight="true" outlineLevel="0" collapsed="false">
      <c r="H2813" s="14" t="b">
        <f aca="false">IF(중복검사!$A2811="",FALSE(),중복검사!$J2811="유지")</f>
        <v>0</v>
      </c>
      <c r="I2813" s="5" t="str">
        <f aca="false">IF($H2813=FALSE(),"",COUNTIF($H$6:$H2813,TRUE()))</f>
        <v/>
      </c>
      <c r="J2813" s="5" t="str">
        <f aca="false">IF($I2813="","","R"&amp;$I2813)</f>
        <v/>
      </c>
    </row>
    <row r="2814" customFormat="false" ht="15" hidden="false" customHeight="true" outlineLevel="0" collapsed="false">
      <c r="H2814" s="14" t="b">
        <f aca="false">IF(중복검사!$A2812="",FALSE(),중복검사!$J2812="유지")</f>
        <v>0</v>
      </c>
      <c r="I2814" s="5" t="str">
        <f aca="false">IF($H2814=FALSE(),"",COUNTIF($H$6:$H2814,TRUE()))</f>
        <v/>
      </c>
      <c r="J2814" s="5" t="str">
        <f aca="false">IF($I2814="","","R"&amp;$I2814)</f>
        <v/>
      </c>
    </row>
    <row r="2815" customFormat="false" ht="15" hidden="false" customHeight="true" outlineLevel="0" collapsed="false">
      <c r="H2815" s="14" t="b">
        <f aca="false">IF(중복검사!$A2813="",FALSE(),중복검사!$J2813="유지")</f>
        <v>0</v>
      </c>
      <c r="I2815" s="5" t="str">
        <f aca="false">IF($H2815=FALSE(),"",COUNTIF($H$6:$H2815,TRUE()))</f>
        <v/>
      </c>
      <c r="J2815" s="5" t="str">
        <f aca="false">IF($I2815="","","R"&amp;$I2815)</f>
        <v/>
      </c>
    </row>
    <row r="2816" customFormat="false" ht="15" hidden="false" customHeight="true" outlineLevel="0" collapsed="false">
      <c r="H2816" s="14" t="b">
        <f aca="false">IF(중복검사!$A2814="",FALSE(),중복검사!$J2814="유지")</f>
        <v>0</v>
      </c>
      <c r="I2816" s="5" t="str">
        <f aca="false">IF($H2816=FALSE(),"",COUNTIF($H$6:$H2816,TRUE()))</f>
        <v/>
      </c>
      <c r="J2816" s="5" t="str">
        <f aca="false">IF($I2816="","","R"&amp;$I2816)</f>
        <v/>
      </c>
    </row>
    <row r="2817" customFormat="false" ht="15" hidden="false" customHeight="true" outlineLevel="0" collapsed="false">
      <c r="H2817" s="14" t="b">
        <f aca="false">IF(중복검사!$A2815="",FALSE(),중복검사!$J2815="유지")</f>
        <v>0</v>
      </c>
      <c r="I2817" s="5" t="str">
        <f aca="false">IF($H2817=FALSE(),"",COUNTIF($H$6:$H2817,TRUE()))</f>
        <v/>
      </c>
      <c r="J2817" s="5" t="str">
        <f aca="false">IF($I2817="","","R"&amp;$I2817)</f>
        <v/>
      </c>
    </row>
    <row r="2818" customFormat="false" ht="15" hidden="false" customHeight="true" outlineLevel="0" collapsed="false">
      <c r="H2818" s="14" t="b">
        <f aca="false">IF(중복검사!$A2816="",FALSE(),중복검사!$J2816="유지")</f>
        <v>0</v>
      </c>
      <c r="I2818" s="5" t="str">
        <f aca="false">IF($H2818=FALSE(),"",COUNTIF($H$6:$H2818,TRUE()))</f>
        <v/>
      </c>
      <c r="J2818" s="5" t="str">
        <f aca="false">IF($I2818="","","R"&amp;$I2818)</f>
        <v/>
      </c>
    </row>
    <row r="2819" customFormat="false" ht="15" hidden="false" customHeight="true" outlineLevel="0" collapsed="false">
      <c r="H2819" s="14" t="b">
        <f aca="false">IF(중복검사!$A2817="",FALSE(),중복검사!$J2817="유지")</f>
        <v>0</v>
      </c>
      <c r="I2819" s="5" t="str">
        <f aca="false">IF($H2819=FALSE(),"",COUNTIF($H$6:$H2819,TRUE()))</f>
        <v/>
      </c>
      <c r="J2819" s="5" t="str">
        <f aca="false">IF($I2819="","","R"&amp;$I2819)</f>
        <v/>
      </c>
    </row>
    <row r="2820" customFormat="false" ht="15" hidden="false" customHeight="true" outlineLevel="0" collapsed="false">
      <c r="H2820" s="14" t="b">
        <f aca="false">IF(중복검사!$A2818="",FALSE(),중복검사!$J2818="유지")</f>
        <v>0</v>
      </c>
      <c r="I2820" s="5" t="str">
        <f aca="false">IF($H2820=FALSE(),"",COUNTIF($H$6:$H2820,TRUE()))</f>
        <v/>
      </c>
      <c r="J2820" s="5" t="str">
        <f aca="false">IF($I2820="","","R"&amp;$I2820)</f>
        <v/>
      </c>
    </row>
    <row r="2821" customFormat="false" ht="15" hidden="false" customHeight="true" outlineLevel="0" collapsed="false">
      <c r="H2821" s="14" t="b">
        <f aca="false">IF(중복검사!$A2819="",FALSE(),중복검사!$J2819="유지")</f>
        <v>0</v>
      </c>
      <c r="I2821" s="5" t="str">
        <f aca="false">IF($H2821=FALSE(),"",COUNTIF($H$6:$H2821,TRUE()))</f>
        <v/>
      </c>
      <c r="J2821" s="5" t="str">
        <f aca="false">IF($I2821="","","R"&amp;$I2821)</f>
        <v/>
      </c>
    </row>
    <row r="2822" customFormat="false" ht="15" hidden="false" customHeight="true" outlineLevel="0" collapsed="false">
      <c r="H2822" s="14" t="b">
        <f aca="false">IF(중복검사!$A2820="",FALSE(),중복검사!$J2820="유지")</f>
        <v>0</v>
      </c>
      <c r="I2822" s="5" t="str">
        <f aca="false">IF($H2822=FALSE(),"",COUNTIF($H$6:$H2822,TRUE()))</f>
        <v/>
      </c>
      <c r="J2822" s="5" t="str">
        <f aca="false">IF($I2822="","","R"&amp;$I2822)</f>
        <v/>
      </c>
    </row>
    <row r="2823" customFormat="false" ht="15" hidden="false" customHeight="true" outlineLevel="0" collapsed="false">
      <c r="H2823" s="14" t="b">
        <f aca="false">IF(중복검사!$A2821="",FALSE(),중복검사!$J2821="유지")</f>
        <v>0</v>
      </c>
      <c r="I2823" s="5" t="str">
        <f aca="false">IF($H2823=FALSE(),"",COUNTIF($H$6:$H2823,TRUE()))</f>
        <v/>
      </c>
      <c r="J2823" s="5" t="str">
        <f aca="false">IF($I2823="","","R"&amp;$I2823)</f>
        <v/>
      </c>
    </row>
    <row r="2824" customFormat="false" ht="15" hidden="false" customHeight="true" outlineLevel="0" collapsed="false">
      <c r="H2824" s="14" t="b">
        <f aca="false">IF(중복검사!$A2822="",FALSE(),중복검사!$J2822="유지")</f>
        <v>0</v>
      </c>
      <c r="I2824" s="5" t="str">
        <f aca="false">IF($H2824=FALSE(),"",COUNTIF($H$6:$H2824,TRUE()))</f>
        <v/>
      </c>
      <c r="J2824" s="5" t="str">
        <f aca="false">IF($I2824="","","R"&amp;$I2824)</f>
        <v/>
      </c>
    </row>
    <row r="2825" customFormat="false" ht="15" hidden="false" customHeight="true" outlineLevel="0" collapsed="false">
      <c r="H2825" s="14" t="b">
        <f aca="false">IF(중복검사!$A2823="",FALSE(),중복검사!$J2823="유지")</f>
        <v>0</v>
      </c>
      <c r="I2825" s="5" t="str">
        <f aca="false">IF($H2825=FALSE(),"",COUNTIF($H$6:$H2825,TRUE()))</f>
        <v/>
      </c>
      <c r="J2825" s="5" t="str">
        <f aca="false">IF($I2825="","","R"&amp;$I2825)</f>
        <v/>
      </c>
    </row>
    <row r="2826" customFormat="false" ht="15" hidden="false" customHeight="true" outlineLevel="0" collapsed="false">
      <c r="H2826" s="14" t="b">
        <f aca="false">IF(중복검사!$A2824="",FALSE(),중복검사!$J2824="유지")</f>
        <v>0</v>
      </c>
      <c r="I2826" s="5" t="str">
        <f aca="false">IF($H2826=FALSE(),"",COUNTIF($H$6:$H2826,TRUE()))</f>
        <v/>
      </c>
      <c r="J2826" s="5" t="str">
        <f aca="false">IF($I2826="","","R"&amp;$I2826)</f>
        <v/>
      </c>
    </row>
    <row r="2827" customFormat="false" ht="15" hidden="false" customHeight="true" outlineLevel="0" collapsed="false">
      <c r="H2827" s="14" t="b">
        <f aca="false">IF(중복검사!$A2825="",FALSE(),중복검사!$J2825="유지")</f>
        <v>0</v>
      </c>
      <c r="I2827" s="5" t="str">
        <f aca="false">IF($H2827=FALSE(),"",COUNTIF($H$6:$H2827,TRUE()))</f>
        <v/>
      </c>
      <c r="J2827" s="5" t="str">
        <f aca="false">IF($I2827="","","R"&amp;$I2827)</f>
        <v/>
      </c>
    </row>
    <row r="2828" customFormat="false" ht="15" hidden="false" customHeight="true" outlineLevel="0" collapsed="false">
      <c r="H2828" s="14" t="b">
        <f aca="false">IF(중복검사!$A2826="",FALSE(),중복검사!$J2826="유지")</f>
        <v>0</v>
      </c>
      <c r="I2828" s="5" t="str">
        <f aca="false">IF($H2828=FALSE(),"",COUNTIF($H$6:$H2828,TRUE()))</f>
        <v/>
      </c>
      <c r="J2828" s="5" t="str">
        <f aca="false">IF($I2828="","","R"&amp;$I2828)</f>
        <v/>
      </c>
    </row>
    <row r="2829" customFormat="false" ht="15" hidden="false" customHeight="true" outlineLevel="0" collapsed="false">
      <c r="H2829" s="14" t="b">
        <f aca="false">IF(중복검사!$A2827="",FALSE(),중복검사!$J2827="유지")</f>
        <v>0</v>
      </c>
      <c r="I2829" s="5" t="str">
        <f aca="false">IF($H2829=FALSE(),"",COUNTIF($H$6:$H2829,TRUE()))</f>
        <v/>
      </c>
      <c r="J2829" s="5" t="str">
        <f aca="false">IF($I2829="","","R"&amp;$I2829)</f>
        <v/>
      </c>
    </row>
    <row r="2830" customFormat="false" ht="15" hidden="false" customHeight="true" outlineLevel="0" collapsed="false">
      <c r="H2830" s="14" t="b">
        <f aca="false">IF(중복검사!$A2828="",FALSE(),중복검사!$J2828="유지")</f>
        <v>0</v>
      </c>
      <c r="I2830" s="5" t="str">
        <f aca="false">IF($H2830=FALSE(),"",COUNTIF($H$6:$H2830,TRUE()))</f>
        <v/>
      </c>
      <c r="J2830" s="5" t="str">
        <f aca="false">IF($I2830="","","R"&amp;$I2830)</f>
        <v/>
      </c>
    </row>
    <row r="2831" customFormat="false" ht="15" hidden="false" customHeight="true" outlineLevel="0" collapsed="false">
      <c r="H2831" s="14" t="b">
        <f aca="false">IF(중복검사!$A2829="",FALSE(),중복검사!$J2829="유지")</f>
        <v>0</v>
      </c>
      <c r="I2831" s="5" t="str">
        <f aca="false">IF($H2831=FALSE(),"",COUNTIF($H$6:$H2831,TRUE()))</f>
        <v/>
      </c>
      <c r="J2831" s="5" t="str">
        <f aca="false">IF($I2831="","","R"&amp;$I2831)</f>
        <v/>
      </c>
    </row>
    <row r="2832" customFormat="false" ht="15" hidden="false" customHeight="true" outlineLevel="0" collapsed="false">
      <c r="H2832" s="14" t="b">
        <f aca="false">IF(중복검사!$A2830="",FALSE(),중복검사!$J2830="유지")</f>
        <v>0</v>
      </c>
      <c r="I2832" s="5" t="str">
        <f aca="false">IF($H2832=FALSE(),"",COUNTIF($H$6:$H2832,TRUE()))</f>
        <v/>
      </c>
      <c r="J2832" s="5" t="str">
        <f aca="false">IF($I2832="","","R"&amp;$I2832)</f>
        <v/>
      </c>
    </row>
    <row r="2833" customFormat="false" ht="15" hidden="false" customHeight="true" outlineLevel="0" collapsed="false">
      <c r="H2833" s="14" t="b">
        <f aca="false">IF(중복검사!$A2831="",FALSE(),중복검사!$J2831="유지")</f>
        <v>0</v>
      </c>
      <c r="I2833" s="5" t="str">
        <f aca="false">IF($H2833=FALSE(),"",COUNTIF($H$6:$H2833,TRUE()))</f>
        <v/>
      </c>
      <c r="J2833" s="5" t="str">
        <f aca="false">IF($I2833="","","R"&amp;$I2833)</f>
        <v/>
      </c>
    </row>
    <row r="2834" customFormat="false" ht="15" hidden="false" customHeight="true" outlineLevel="0" collapsed="false">
      <c r="H2834" s="14" t="b">
        <f aca="false">IF(중복검사!$A2832="",FALSE(),중복검사!$J2832="유지")</f>
        <v>0</v>
      </c>
      <c r="I2834" s="5" t="str">
        <f aca="false">IF($H2834=FALSE(),"",COUNTIF($H$6:$H2834,TRUE()))</f>
        <v/>
      </c>
      <c r="J2834" s="5" t="str">
        <f aca="false">IF($I2834="","","R"&amp;$I2834)</f>
        <v/>
      </c>
    </row>
    <row r="2835" customFormat="false" ht="15" hidden="false" customHeight="true" outlineLevel="0" collapsed="false">
      <c r="H2835" s="14" t="b">
        <f aca="false">IF(중복검사!$A2833="",FALSE(),중복검사!$J2833="유지")</f>
        <v>0</v>
      </c>
      <c r="I2835" s="5" t="str">
        <f aca="false">IF($H2835=FALSE(),"",COUNTIF($H$6:$H2835,TRUE()))</f>
        <v/>
      </c>
      <c r="J2835" s="5" t="str">
        <f aca="false">IF($I2835="","","R"&amp;$I2835)</f>
        <v/>
      </c>
    </row>
    <row r="2836" customFormat="false" ht="15" hidden="false" customHeight="true" outlineLevel="0" collapsed="false">
      <c r="H2836" s="14" t="b">
        <f aca="false">IF(중복검사!$A2834="",FALSE(),중복검사!$J2834="유지")</f>
        <v>0</v>
      </c>
      <c r="I2836" s="5" t="str">
        <f aca="false">IF($H2836=FALSE(),"",COUNTIF($H$6:$H2836,TRUE()))</f>
        <v/>
      </c>
      <c r="J2836" s="5" t="str">
        <f aca="false">IF($I2836="","","R"&amp;$I2836)</f>
        <v/>
      </c>
    </row>
    <row r="2837" customFormat="false" ht="15" hidden="false" customHeight="true" outlineLevel="0" collapsed="false">
      <c r="H2837" s="14" t="b">
        <f aca="false">IF(중복검사!$A2835="",FALSE(),중복검사!$J2835="유지")</f>
        <v>0</v>
      </c>
      <c r="I2837" s="5" t="str">
        <f aca="false">IF($H2837=FALSE(),"",COUNTIF($H$6:$H2837,TRUE()))</f>
        <v/>
      </c>
      <c r="J2837" s="5" t="str">
        <f aca="false">IF($I2837="","","R"&amp;$I2837)</f>
        <v/>
      </c>
    </row>
    <row r="2838" customFormat="false" ht="15" hidden="false" customHeight="true" outlineLevel="0" collapsed="false">
      <c r="H2838" s="14" t="b">
        <f aca="false">IF(중복검사!$A2836="",FALSE(),중복검사!$J2836="유지")</f>
        <v>0</v>
      </c>
      <c r="I2838" s="5" t="str">
        <f aca="false">IF($H2838=FALSE(),"",COUNTIF($H$6:$H2838,TRUE()))</f>
        <v/>
      </c>
      <c r="J2838" s="5" t="str">
        <f aca="false">IF($I2838="","","R"&amp;$I2838)</f>
        <v/>
      </c>
    </row>
    <row r="2839" customFormat="false" ht="15" hidden="false" customHeight="true" outlineLevel="0" collapsed="false">
      <c r="H2839" s="14" t="b">
        <f aca="false">IF(중복검사!$A2837="",FALSE(),중복검사!$J2837="유지")</f>
        <v>0</v>
      </c>
      <c r="I2839" s="5" t="str">
        <f aca="false">IF($H2839=FALSE(),"",COUNTIF($H$6:$H2839,TRUE()))</f>
        <v/>
      </c>
      <c r="J2839" s="5" t="str">
        <f aca="false">IF($I2839="","","R"&amp;$I2839)</f>
        <v/>
      </c>
    </row>
    <row r="2840" customFormat="false" ht="15" hidden="false" customHeight="true" outlineLevel="0" collapsed="false">
      <c r="H2840" s="14" t="b">
        <f aca="false">IF(중복검사!$A2838="",FALSE(),중복검사!$J2838="유지")</f>
        <v>0</v>
      </c>
      <c r="I2840" s="5" t="str">
        <f aca="false">IF($H2840=FALSE(),"",COUNTIF($H$6:$H2840,TRUE()))</f>
        <v/>
      </c>
      <c r="J2840" s="5" t="str">
        <f aca="false">IF($I2840="","","R"&amp;$I2840)</f>
        <v/>
      </c>
    </row>
    <row r="2841" customFormat="false" ht="15" hidden="false" customHeight="true" outlineLevel="0" collapsed="false">
      <c r="H2841" s="14" t="b">
        <f aca="false">IF(중복검사!$A2839="",FALSE(),중복검사!$J2839="유지")</f>
        <v>0</v>
      </c>
      <c r="I2841" s="5" t="str">
        <f aca="false">IF($H2841=FALSE(),"",COUNTIF($H$6:$H2841,TRUE()))</f>
        <v/>
      </c>
      <c r="J2841" s="5" t="str">
        <f aca="false">IF($I2841="","","R"&amp;$I2841)</f>
        <v/>
      </c>
    </row>
    <row r="2842" customFormat="false" ht="15" hidden="false" customHeight="true" outlineLevel="0" collapsed="false">
      <c r="H2842" s="14" t="b">
        <f aca="false">IF(중복검사!$A2840="",FALSE(),중복검사!$J2840="유지")</f>
        <v>0</v>
      </c>
      <c r="I2842" s="5" t="str">
        <f aca="false">IF($H2842=FALSE(),"",COUNTIF($H$6:$H2842,TRUE()))</f>
        <v/>
      </c>
      <c r="J2842" s="5" t="str">
        <f aca="false">IF($I2842="","","R"&amp;$I2842)</f>
        <v/>
      </c>
    </row>
    <row r="2843" customFormat="false" ht="15" hidden="false" customHeight="true" outlineLevel="0" collapsed="false">
      <c r="H2843" s="14" t="b">
        <f aca="false">IF(중복검사!$A2841="",FALSE(),중복검사!$J2841="유지")</f>
        <v>0</v>
      </c>
      <c r="I2843" s="5" t="str">
        <f aca="false">IF($H2843=FALSE(),"",COUNTIF($H$6:$H2843,TRUE()))</f>
        <v/>
      </c>
      <c r="J2843" s="5" t="str">
        <f aca="false">IF($I2843="","","R"&amp;$I2843)</f>
        <v/>
      </c>
    </row>
    <row r="2844" customFormat="false" ht="15" hidden="false" customHeight="true" outlineLevel="0" collapsed="false">
      <c r="H2844" s="14" t="b">
        <f aca="false">IF(중복검사!$A2842="",FALSE(),중복검사!$J2842="유지")</f>
        <v>0</v>
      </c>
      <c r="I2844" s="5" t="str">
        <f aca="false">IF($H2844=FALSE(),"",COUNTIF($H$6:$H2844,TRUE()))</f>
        <v/>
      </c>
      <c r="J2844" s="5" t="str">
        <f aca="false">IF($I2844="","","R"&amp;$I2844)</f>
        <v/>
      </c>
    </row>
    <row r="2845" customFormat="false" ht="15" hidden="false" customHeight="true" outlineLevel="0" collapsed="false">
      <c r="H2845" s="14" t="b">
        <f aca="false">IF(중복검사!$A2843="",FALSE(),중복검사!$J2843="유지")</f>
        <v>0</v>
      </c>
      <c r="I2845" s="5" t="str">
        <f aca="false">IF($H2845=FALSE(),"",COUNTIF($H$6:$H2845,TRUE()))</f>
        <v/>
      </c>
      <c r="J2845" s="5" t="str">
        <f aca="false">IF($I2845="","","R"&amp;$I2845)</f>
        <v/>
      </c>
    </row>
    <row r="2846" customFormat="false" ht="15" hidden="false" customHeight="true" outlineLevel="0" collapsed="false">
      <c r="H2846" s="14" t="b">
        <f aca="false">IF(중복검사!$A2844="",FALSE(),중복검사!$J2844="유지")</f>
        <v>0</v>
      </c>
      <c r="I2846" s="5" t="str">
        <f aca="false">IF($H2846=FALSE(),"",COUNTIF($H$6:$H2846,TRUE()))</f>
        <v/>
      </c>
      <c r="J2846" s="5" t="str">
        <f aca="false">IF($I2846="","","R"&amp;$I2846)</f>
        <v/>
      </c>
    </row>
    <row r="2847" customFormat="false" ht="15" hidden="false" customHeight="true" outlineLevel="0" collapsed="false">
      <c r="H2847" s="14" t="b">
        <f aca="false">IF(중복검사!$A2845="",FALSE(),중복검사!$J2845="유지")</f>
        <v>0</v>
      </c>
      <c r="I2847" s="5" t="str">
        <f aca="false">IF($H2847=FALSE(),"",COUNTIF($H$6:$H2847,TRUE()))</f>
        <v/>
      </c>
      <c r="J2847" s="5" t="str">
        <f aca="false">IF($I2847="","","R"&amp;$I2847)</f>
        <v/>
      </c>
    </row>
    <row r="2848" customFormat="false" ht="15" hidden="false" customHeight="true" outlineLevel="0" collapsed="false">
      <c r="H2848" s="14" t="b">
        <f aca="false">IF(중복검사!$A2846="",FALSE(),중복검사!$J2846="유지")</f>
        <v>0</v>
      </c>
      <c r="I2848" s="5" t="str">
        <f aca="false">IF($H2848=FALSE(),"",COUNTIF($H$6:$H2848,TRUE()))</f>
        <v/>
      </c>
      <c r="J2848" s="5" t="str">
        <f aca="false">IF($I2848="","","R"&amp;$I2848)</f>
        <v/>
      </c>
    </row>
    <row r="2849" customFormat="false" ht="15" hidden="false" customHeight="true" outlineLevel="0" collapsed="false">
      <c r="H2849" s="14" t="b">
        <f aca="false">IF(중복검사!$A2847="",FALSE(),중복검사!$J2847="유지")</f>
        <v>0</v>
      </c>
      <c r="I2849" s="5" t="str">
        <f aca="false">IF($H2849=FALSE(),"",COUNTIF($H$6:$H2849,TRUE()))</f>
        <v/>
      </c>
      <c r="J2849" s="5" t="str">
        <f aca="false">IF($I2849="","","R"&amp;$I2849)</f>
        <v/>
      </c>
    </row>
    <row r="2850" customFormat="false" ht="15" hidden="false" customHeight="true" outlineLevel="0" collapsed="false">
      <c r="H2850" s="14" t="b">
        <f aca="false">IF(중복검사!$A2848="",FALSE(),중복검사!$J2848="유지")</f>
        <v>0</v>
      </c>
      <c r="I2850" s="5" t="str">
        <f aca="false">IF($H2850=FALSE(),"",COUNTIF($H$6:$H2850,TRUE()))</f>
        <v/>
      </c>
      <c r="J2850" s="5" t="str">
        <f aca="false">IF($I2850="","","R"&amp;$I2850)</f>
        <v/>
      </c>
    </row>
    <row r="2851" customFormat="false" ht="15" hidden="false" customHeight="true" outlineLevel="0" collapsed="false">
      <c r="H2851" s="14" t="b">
        <f aca="false">IF(중복검사!$A2849="",FALSE(),중복검사!$J2849="유지")</f>
        <v>0</v>
      </c>
      <c r="I2851" s="5" t="str">
        <f aca="false">IF($H2851=FALSE(),"",COUNTIF($H$6:$H2851,TRUE()))</f>
        <v/>
      </c>
      <c r="J2851" s="5" t="str">
        <f aca="false">IF($I2851="","","R"&amp;$I2851)</f>
        <v/>
      </c>
    </row>
    <row r="2852" customFormat="false" ht="15" hidden="false" customHeight="true" outlineLevel="0" collapsed="false">
      <c r="H2852" s="14" t="b">
        <f aca="false">IF(중복검사!$A2850="",FALSE(),중복검사!$J2850="유지")</f>
        <v>0</v>
      </c>
      <c r="I2852" s="5" t="str">
        <f aca="false">IF($H2852=FALSE(),"",COUNTIF($H$6:$H2852,TRUE()))</f>
        <v/>
      </c>
      <c r="J2852" s="5" t="str">
        <f aca="false">IF($I2852="","","R"&amp;$I2852)</f>
        <v/>
      </c>
    </row>
    <row r="2853" customFormat="false" ht="15" hidden="false" customHeight="true" outlineLevel="0" collapsed="false">
      <c r="H2853" s="14" t="b">
        <f aca="false">IF(중복검사!$A2851="",FALSE(),중복검사!$J2851="유지")</f>
        <v>0</v>
      </c>
      <c r="I2853" s="5" t="str">
        <f aca="false">IF($H2853=FALSE(),"",COUNTIF($H$6:$H2853,TRUE()))</f>
        <v/>
      </c>
      <c r="J2853" s="5" t="str">
        <f aca="false">IF($I2853="","","R"&amp;$I2853)</f>
        <v/>
      </c>
    </row>
    <row r="2854" customFormat="false" ht="15" hidden="false" customHeight="true" outlineLevel="0" collapsed="false">
      <c r="H2854" s="14" t="b">
        <f aca="false">IF(중복검사!$A2852="",FALSE(),중복검사!$J2852="유지")</f>
        <v>0</v>
      </c>
      <c r="I2854" s="5" t="str">
        <f aca="false">IF($H2854=FALSE(),"",COUNTIF($H$6:$H2854,TRUE()))</f>
        <v/>
      </c>
      <c r="J2854" s="5" t="str">
        <f aca="false">IF($I2854="","","R"&amp;$I2854)</f>
        <v/>
      </c>
    </row>
    <row r="2855" customFormat="false" ht="15" hidden="false" customHeight="true" outlineLevel="0" collapsed="false">
      <c r="H2855" s="14" t="b">
        <f aca="false">IF(중복검사!$A2853="",FALSE(),중복검사!$J2853="유지")</f>
        <v>0</v>
      </c>
      <c r="I2855" s="5" t="str">
        <f aca="false">IF($H2855=FALSE(),"",COUNTIF($H$6:$H2855,TRUE()))</f>
        <v/>
      </c>
      <c r="J2855" s="5" t="str">
        <f aca="false">IF($I2855="","","R"&amp;$I2855)</f>
        <v/>
      </c>
    </row>
    <row r="2856" customFormat="false" ht="15" hidden="false" customHeight="true" outlineLevel="0" collapsed="false">
      <c r="H2856" s="14" t="b">
        <f aca="false">IF(중복검사!$A2854="",FALSE(),중복검사!$J2854="유지")</f>
        <v>0</v>
      </c>
      <c r="I2856" s="5" t="str">
        <f aca="false">IF($H2856=FALSE(),"",COUNTIF($H$6:$H2856,TRUE()))</f>
        <v/>
      </c>
      <c r="J2856" s="5" t="str">
        <f aca="false">IF($I2856="","","R"&amp;$I2856)</f>
        <v/>
      </c>
    </row>
    <row r="2857" customFormat="false" ht="15" hidden="false" customHeight="true" outlineLevel="0" collapsed="false">
      <c r="H2857" s="14" t="b">
        <f aca="false">IF(중복검사!$A2855="",FALSE(),중복검사!$J2855="유지")</f>
        <v>0</v>
      </c>
      <c r="I2857" s="5" t="str">
        <f aca="false">IF($H2857=FALSE(),"",COUNTIF($H$6:$H2857,TRUE()))</f>
        <v/>
      </c>
      <c r="J2857" s="5" t="str">
        <f aca="false">IF($I2857="","","R"&amp;$I2857)</f>
        <v/>
      </c>
    </row>
    <row r="2858" customFormat="false" ht="15" hidden="false" customHeight="true" outlineLevel="0" collapsed="false">
      <c r="H2858" s="14" t="b">
        <f aca="false">IF(중복검사!$A2856="",FALSE(),중복검사!$J2856="유지")</f>
        <v>0</v>
      </c>
      <c r="I2858" s="5" t="str">
        <f aca="false">IF($H2858=FALSE(),"",COUNTIF($H$6:$H2858,TRUE()))</f>
        <v/>
      </c>
      <c r="J2858" s="5" t="str">
        <f aca="false">IF($I2858="","","R"&amp;$I2858)</f>
        <v/>
      </c>
    </row>
    <row r="2859" customFormat="false" ht="15" hidden="false" customHeight="true" outlineLevel="0" collapsed="false">
      <c r="H2859" s="14" t="b">
        <f aca="false">IF(중복검사!$A2857="",FALSE(),중복검사!$J2857="유지")</f>
        <v>0</v>
      </c>
      <c r="I2859" s="5" t="str">
        <f aca="false">IF($H2859=FALSE(),"",COUNTIF($H$6:$H2859,TRUE()))</f>
        <v/>
      </c>
      <c r="J2859" s="5" t="str">
        <f aca="false">IF($I2859="","","R"&amp;$I2859)</f>
        <v/>
      </c>
    </row>
    <row r="2860" customFormat="false" ht="15" hidden="false" customHeight="true" outlineLevel="0" collapsed="false">
      <c r="H2860" s="14" t="b">
        <f aca="false">IF(중복검사!$A2858="",FALSE(),중복검사!$J2858="유지")</f>
        <v>0</v>
      </c>
      <c r="I2860" s="5" t="str">
        <f aca="false">IF($H2860=FALSE(),"",COUNTIF($H$6:$H2860,TRUE()))</f>
        <v/>
      </c>
      <c r="J2860" s="5" t="str">
        <f aca="false">IF($I2860="","","R"&amp;$I2860)</f>
        <v/>
      </c>
    </row>
    <row r="2861" customFormat="false" ht="15" hidden="false" customHeight="true" outlineLevel="0" collapsed="false">
      <c r="H2861" s="14" t="b">
        <f aca="false">IF(중복검사!$A2859="",FALSE(),중복검사!$J2859="유지")</f>
        <v>0</v>
      </c>
      <c r="I2861" s="5" t="str">
        <f aca="false">IF($H2861=FALSE(),"",COUNTIF($H$6:$H2861,TRUE()))</f>
        <v/>
      </c>
      <c r="J2861" s="5" t="str">
        <f aca="false">IF($I2861="","","R"&amp;$I2861)</f>
        <v/>
      </c>
    </row>
    <row r="2862" customFormat="false" ht="15" hidden="false" customHeight="true" outlineLevel="0" collapsed="false">
      <c r="H2862" s="14" t="b">
        <f aca="false">IF(중복검사!$A2860="",FALSE(),중복검사!$J2860="유지")</f>
        <v>0</v>
      </c>
      <c r="I2862" s="5" t="str">
        <f aca="false">IF($H2862=FALSE(),"",COUNTIF($H$6:$H2862,TRUE()))</f>
        <v/>
      </c>
      <c r="J2862" s="5" t="str">
        <f aca="false">IF($I2862="","","R"&amp;$I2862)</f>
        <v/>
      </c>
    </row>
    <row r="2863" customFormat="false" ht="15" hidden="false" customHeight="true" outlineLevel="0" collapsed="false">
      <c r="H2863" s="14" t="b">
        <f aca="false">IF(중복검사!$A2861="",FALSE(),중복검사!$J2861="유지")</f>
        <v>0</v>
      </c>
      <c r="I2863" s="5" t="str">
        <f aca="false">IF($H2863=FALSE(),"",COUNTIF($H$6:$H2863,TRUE()))</f>
        <v/>
      </c>
      <c r="J2863" s="5" t="str">
        <f aca="false">IF($I2863="","","R"&amp;$I2863)</f>
        <v/>
      </c>
    </row>
    <row r="2864" customFormat="false" ht="15" hidden="false" customHeight="true" outlineLevel="0" collapsed="false">
      <c r="H2864" s="14" t="b">
        <f aca="false">IF(중복검사!$A2862="",FALSE(),중복검사!$J2862="유지")</f>
        <v>0</v>
      </c>
      <c r="I2864" s="5" t="str">
        <f aca="false">IF($H2864=FALSE(),"",COUNTIF($H$6:$H2864,TRUE()))</f>
        <v/>
      </c>
      <c r="J2864" s="5" t="str">
        <f aca="false">IF($I2864="","","R"&amp;$I2864)</f>
        <v/>
      </c>
    </row>
    <row r="2865" customFormat="false" ht="15" hidden="false" customHeight="true" outlineLevel="0" collapsed="false">
      <c r="H2865" s="14" t="b">
        <f aca="false">IF(중복검사!$A2863="",FALSE(),중복검사!$J2863="유지")</f>
        <v>0</v>
      </c>
      <c r="I2865" s="5" t="str">
        <f aca="false">IF($H2865=FALSE(),"",COUNTIF($H$6:$H2865,TRUE()))</f>
        <v/>
      </c>
      <c r="J2865" s="5" t="str">
        <f aca="false">IF($I2865="","","R"&amp;$I2865)</f>
        <v/>
      </c>
    </row>
    <row r="2866" customFormat="false" ht="15" hidden="false" customHeight="true" outlineLevel="0" collapsed="false">
      <c r="H2866" s="14" t="b">
        <f aca="false">IF(중복검사!$A2864="",FALSE(),중복검사!$J2864="유지")</f>
        <v>0</v>
      </c>
      <c r="I2866" s="5" t="str">
        <f aca="false">IF($H2866=FALSE(),"",COUNTIF($H$6:$H2866,TRUE()))</f>
        <v/>
      </c>
      <c r="J2866" s="5" t="str">
        <f aca="false">IF($I2866="","","R"&amp;$I2866)</f>
        <v/>
      </c>
    </row>
    <row r="2867" customFormat="false" ht="15" hidden="false" customHeight="true" outlineLevel="0" collapsed="false">
      <c r="H2867" s="14" t="b">
        <f aca="false">IF(중복검사!$A2865="",FALSE(),중복검사!$J2865="유지")</f>
        <v>0</v>
      </c>
      <c r="I2867" s="5" t="str">
        <f aca="false">IF($H2867=FALSE(),"",COUNTIF($H$6:$H2867,TRUE()))</f>
        <v/>
      </c>
      <c r="J2867" s="5" t="str">
        <f aca="false">IF($I2867="","","R"&amp;$I2867)</f>
        <v/>
      </c>
    </row>
    <row r="2868" customFormat="false" ht="15" hidden="false" customHeight="true" outlineLevel="0" collapsed="false">
      <c r="H2868" s="14" t="b">
        <f aca="false">IF(중복검사!$A2866="",FALSE(),중복검사!$J2866="유지")</f>
        <v>0</v>
      </c>
      <c r="I2868" s="5" t="str">
        <f aca="false">IF($H2868=FALSE(),"",COUNTIF($H$6:$H2868,TRUE()))</f>
        <v/>
      </c>
      <c r="J2868" s="5" t="str">
        <f aca="false">IF($I2868="","","R"&amp;$I2868)</f>
        <v/>
      </c>
    </row>
    <row r="2869" customFormat="false" ht="15" hidden="false" customHeight="true" outlineLevel="0" collapsed="false">
      <c r="H2869" s="14" t="b">
        <f aca="false">IF(중복검사!$A2867="",FALSE(),중복검사!$J2867="유지")</f>
        <v>0</v>
      </c>
      <c r="I2869" s="5" t="str">
        <f aca="false">IF($H2869=FALSE(),"",COUNTIF($H$6:$H2869,TRUE()))</f>
        <v/>
      </c>
      <c r="J2869" s="5" t="str">
        <f aca="false">IF($I2869="","","R"&amp;$I2869)</f>
        <v/>
      </c>
    </row>
    <row r="2870" customFormat="false" ht="15" hidden="false" customHeight="true" outlineLevel="0" collapsed="false">
      <c r="H2870" s="14" t="b">
        <f aca="false">IF(중복검사!$A2868="",FALSE(),중복검사!$J2868="유지")</f>
        <v>0</v>
      </c>
      <c r="I2870" s="5" t="str">
        <f aca="false">IF($H2870=FALSE(),"",COUNTIF($H$6:$H2870,TRUE()))</f>
        <v/>
      </c>
      <c r="J2870" s="5" t="str">
        <f aca="false">IF($I2870="","","R"&amp;$I2870)</f>
        <v/>
      </c>
    </row>
    <row r="2871" customFormat="false" ht="15" hidden="false" customHeight="true" outlineLevel="0" collapsed="false">
      <c r="H2871" s="14" t="b">
        <f aca="false">IF(중복검사!$A2869="",FALSE(),중복검사!$J2869="유지")</f>
        <v>0</v>
      </c>
      <c r="I2871" s="5" t="str">
        <f aca="false">IF($H2871=FALSE(),"",COUNTIF($H$6:$H2871,TRUE()))</f>
        <v/>
      </c>
      <c r="J2871" s="5" t="str">
        <f aca="false">IF($I2871="","","R"&amp;$I2871)</f>
        <v/>
      </c>
    </row>
    <row r="2872" customFormat="false" ht="15" hidden="false" customHeight="true" outlineLevel="0" collapsed="false">
      <c r="H2872" s="14" t="b">
        <f aca="false">IF(중복검사!$A2870="",FALSE(),중복검사!$J2870="유지")</f>
        <v>0</v>
      </c>
      <c r="I2872" s="5" t="str">
        <f aca="false">IF($H2872=FALSE(),"",COUNTIF($H$6:$H2872,TRUE()))</f>
        <v/>
      </c>
      <c r="J2872" s="5" t="str">
        <f aca="false">IF($I2872="","","R"&amp;$I2872)</f>
        <v/>
      </c>
    </row>
    <row r="2873" customFormat="false" ht="15" hidden="false" customHeight="true" outlineLevel="0" collapsed="false">
      <c r="H2873" s="14" t="b">
        <f aca="false">IF(중복검사!$A2871="",FALSE(),중복검사!$J2871="유지")</f>
        <v>0</v>
      </c>
      <c r="I2873" s="5" t="str">
        <f aca="false">IF($H2873=FALSE(),"",COUNTIF($H$6:$H2873,TRUE()))</f>
        <v/>
      </c>
      <c r="J2873" s="5" t="str">
        <f aca="false">IF($I2873="","","R"&amp;$I2873)</f>
        <v/>
      </c>
    </row>
    <row r="2874" customFormat="false" ht="15" hidden="false" customHeight="true" outlineLevel="0" collapsed="false">
      <c r="H2874" s="14" t="b">
        <f aca="false">IF(중복검사!$A2872="",FALSE(),중복검사!$J2872="유지")</f>
        <v>0</v>
      </c>
      <c r="I2874" s="5" t="str">
        <f aca="false">IF($H2874=FALSE(),"",COUNTIF($H$6:$H2874,TRUE()))</f>
        <v/>
      </c>
      <c r="J2874" s="5" t="str">
        <f aca="false">IF($I2874="","","R"&amp;$I2874)</f>
        <v/>
      </c>
    </row>
    <row r="2875" customFormat="false" ht="15" hidden="false" customHeight="true" outlineLevel="0" collapsed="false">
      <c r="H2875" s="14" t="b">
        <f aca="false">IF(중복검사!$A2873="",FALSE(),중복검사!$J2873="유지")</f>
        <v>0</v>
      </c>
      <c r="I2875" s="5" t="str">
        <f aca="false">IF($H2875=FALSE(),"",COUNTIF($H$6:$H2875,TRUE()))</f>
        <v/>
      </c>
      <c r="J2875" s="5" t="str">
        <f aca="false">IF($I2875="","","R"&amp;$I2875)</f>
        <v/>
      </c>
    </row>
    <row r="2876" customFormat="false" ht="15" hidden="false" customHeight="true" outlineLevel="0" collapsed="false">
      <c r="H2876" s="14" t="b">
        <f aca="false">IF(중복검사!$A2874="",FALSE(),중복검사!$J2874="유지")</f>
        <v>0</v>
      </c>
      <c r="I2876" s="5" t="str">
        <f aca="false">IF($H2876=FALSE(),"",COUNTIF($H$6:$H2876,TRUE()))</f>
        <v/>
      </c>
      <c r="J2876" s="5" t="str">
        <f aca="false">IF($I2876="","","R"&amp;$I2876)</f>
        <v/>
      </c>
    </row>
    <row r="2877" customFormat="false" ht="15" hidden="false" customHeight="true" outlineLevel="0" collapsed="false">
      <c r="H2877" s="14" t="b">
        <f aca="false">IF(중복검사!$A2875="",FALSE(),중복검사!$J2875="유지")</f>
        <v>0</v>
      </c>
      <c r="I2877" s="5" t="str">
        <f aca="false">IF($H2877=FALSE(),"",COUNTIF($H$6:$H2877,TRUE()))</f>
        <v/>
      </c>
      <c r="J2877" s="5" t="str">
        <f aca="false">IF($I2877="","","R"&amp;$I2877)</f>
        <v/>
      </c>
    </row>
    <row r="2878" customFormat="false" ht="15" hidden="false" customHeight="true" outlineLevel="0" collapsed="false">
      <c r="H2878" s="14" t="b">
        <f aca="false">IF(중복검사!$A2876="",FALSE(),중복검사!$J2876="유지")</f>
        <v>0</v>
      </c>
      <c r="I2878" s="5" t="str">
        <f aca="false">IF($H2878=FALSE(),"",COUNTIF($H$6:$H2878,TRUE()))</f>
        <v/>
      </c>
      <c r="J2878" s="5" t="str">
        <f aca="false">IF($I2878="","","R"&amp;$I2878)</f>
        <v/>
      </c>
    </row>
    <row r="2879" customFormat="false" ht="15" hidden="false" customHeight="true" outlineLevel="0" collapsed="false">
      <c r="H2879" s="14" t="b">
        <f aca="false">IF(중복검사!$A2877="",FALSE(),중복검사!$J2877="유지")</f>
        <v>0</v>
      </c>
      <c r="I2879" s="5" t="str">
        <f aca="false">IF($H2879=FALSE(),"",COUNTIF($H$6:$H2879,TRUE()))</f>
        <v/>
      </c>
      <c r="J2879" s="5" t="str">
        <f aca="false">IF($I2879="","","R"&amp;$I2879)</f>
        <v/>
      </c>
    </row>
    <row r="2880" customFormat="false" ht="15" hidden="false" customHeight="true" outlineLevel="0" collapsed="false">
      <c r="H2880" s="14" t="b">
        <f aca="false">IF(중복검사!$A2878="",FALSE(),중복검사!$J2878="유지")</f>
        <v>0</v>
      </c>
      <c r="I2880" s="5" t="str">
        <f aca="false">IF($H2880=FALSE(),"",COUNTIF($H$6:$H2880,TRUE()))</f>
        <v/>
      </c>
      <c r="J2880" s="5" t="str">
        <f aca="false">IF($I2880="","","R"&amp;$I2880)</f>
        <v/>
      </c>
    </row>
    <row r="2881" customFormat="false" ht="15" hidden="false" customHeight="true" outlineLevel="0" collapsed="false">
      <c r="H2881" s="14" t="b">
        <f aca="false">IF(중복검사!$A2879="",FALSE(),중복검사!$J2879="유지")</f>
        <v>0</v>
      </c>
      <c r="I2881" s="5" t="str">
        <f aca="false">IF($H2881=FALSE(),"",COUNTIF($H$6:$H2881,TRUE()))</f>
        <v/>
      </c>
      <c r="J2881" s="5" t="str">
        <f aca="false">IF($I2881="","","R"&amp;$I2881)</f>
        <v/>
      </c>
    </row>
    <row r="2882" customFormat="false" ht="15" hidden="false" customHeight="true" outlineLevel="0" collapsed="false">
      <c r="H2882" s="14" t="b">
        <f aca="false">IF(중복검사!$A2880="",FALSE(),중복검사!$J2880="유지")</f>
        <v>0</v>
      </c>
      <c r="I2882" s="5" t="str">
        <f aca="false">IF($H2882=FALSE(),"",COUNTIF($H$6:$H2882,TRUE()))</f>
        <v/>
      </c>
      <c r="J2882" s="5" t="str">
        <f aca="false">IF($I2882="","","R"&amp;$I2882)</f>
        <v/>
      </c>
    </row>
    <row r="2883" customFormat="false" ht="15" hidden="false" customHeight="true" outlineLevel="0" collapsed="false">
      <c r="H2883" s="14" t="b">
        <f aca="false">IF(중복검사!$A2881="",FALSE(),중복검사!$J2881="유지")</f>
        <v>0</v>
      </c>
      <c r="I2883" s="5" t="str">
        <f aca="false">IF($H2883=FALSE(),"",COUNTIF($H$6:$H2883,TRUE()))</f>
        <v/>
      </c>
      <c r="J2883" s="5" t="str">
        <f aca="false">IF($I2883="","","R"&amp;$I2883)</f>
        <v/>
      </c>
    </row>
    <row r="2884" customFormat="false" ht="15" hidden="false" customHeight="true" outlineLevel="0" collapsed="false">
      <c r="H2884" s="14" t="b">
        <f aca="false">IF(중복검사!$A2882="",FALSE(),중복검사!$J2882="유지")</f>
        <v>0</v>
      </c>
      <c r="I2884" s="5" t="str">
        <f aca="false">IF($H2884=FALSE(),"",COUNTIF($H$6:$H2884,TRUE()))</f>
        <v/>
      </c>
      <c r="J2884" s="5" t="str">
        <f aca="false">IF($I2884="","","R"&amp;$I2884)</f>
        <v/>
      </c>
    </row>
    <row r="2885" customFormat="false" ht="15" hidden="false" customHeight="true" outlineLevel="0" collapsed="false">
      <c r="H2885" s="14" t="b">
        <f aca="false">IF(중복검사!$A2883="",FALSE(),중복검사!$J2883="유지")</f>
        <v>0</v>
      </c>
      <c r="I2885" s="5" t="str">
        <f aca="false">IF($H2885=FALSE(),"",COUNTIF($H$6:$H2885,TRUE()))</f>
        <v/>
      </c>
      <c r="J2885" s="5" t="str">
        <f aca="false">IF($I2885="","","R"&amp;$I2885)</f>
        <v/>
      </c>
    </row>
    <row r="2886" customFormat="false" ht="15" hidden="false" customHeight="true" outlineLevel="0" collapsed="false">
      <c r="H2886" s="14" t="b">
        <f aca="false">IF(중복검사!$A2884="",FALSE(),중복검사!$J2884="유지")</f>
        <v>0</v>
      </c>
      <c r="I2886" s="5" t="str">
        <f aca="false">IF($H2886=FALSE(),"",COUNTIF($H$6:$H2886,TRUE()))</f>
        <v/>
      </c>
      <c r="J2886" s="5" t="str">
        <f aca="false">IF($I2886="","","R"&amp;$I2886)</f>
        <v/>
      </c>
    </row>
    <row r="2887" customFormat="false" ht="15" hidden="false" customHeight="true" outlineLevel="0" collapsed="false">
      <c r="H2887" s="14" t="b">
        <f aca="false">IF(중복검사!$A2885="",FALSE(),중복검사!$J2885="유지")</f>
        <v>0</v>
      </c>
      <c r="I2887" s="5" t="str">
        <f aca="false">IF($H2887=FALSE(),"",COUNTIF($H$6:$H2887,TRUE()))</f>
        <v/>
      </c>
      <c r="J2887" s="5" t="str">
        <f aca="false">IF($I2887="","","R"&amp;$I2887)</f>
        <v/>
      </c>
    </row>
    <row r="2888" customFormat="false" ht="15" hidden="false" customHeight="true" outlineLevel="0" collapsed="false">
      <c r="H2888" s="14" t="b">
        <f aca="false">IF(중복검사!$A2886="",FALSE(),중복검사!$J2886="유지")</f>
        <v>0</v>
      </c>
      <c r="I2888" s="5" t="str">
        <f aca="false">IF($H2888=FALSE(),"",COUNTIF($H$6:$H2888,TRUE()))</f>
        <v/>
      </c>
      <c r="J2888" s="5" t="str">
        <f aca="false">IF($I2888="","","R"&amp;$I2888)</f>
        <v/>
      </c>
    </row>
    <row r="2889" customFormat="false" ht="15" hidden="false" customHeight="true" outlineLevel="0" collapsed="false">
      <c r="H2889" s="14" t="b">
        <f aca="false">IF(중복검사!$A2887="",FALSE(),중복검사!$J2887="유지")</f>
        <v>0</v>
      </c>
      <c r="I2889" s="5" t="str">
        <f aca="false">IF($H2889=FALSE(),"",COUNTIF($H$6:$H2889,TRUE()))</f>
        <v/>
      </c>
      <c r="J2889" s="5" t="str">
        <f aca="false">IF($I2889="","","R"&amp;$I2889)</f>
        <v/>
      </c>
    </row>
    <row r="2890" customFormat="false" ht="15" hidden="false" customHeight="true" outlineLevel="0" collapsed="false">
      <c r="H2890" s="14" t="b">
        <f aca="false">IF(중복검사!$A2888="",FALSE(),중복검사!$J2888="유지")</f>
        <v>0</v>
      </c>
      <c r="I2890" s="5" t="str">
        <f aca="false">IF($H2890=FALSE(),"",COUNTIF($H$6:$H2890,TRUE()))</f>
        <v/>
      </c>
      <c r="J2890" s="5" t="str">
        <f aca="false">IF($I2890="","","R"&amp;$I2890)</f>
        <v/>
      </c>
    </row>
    <row r="2891" customFormat="false" ht="15" hidden="false" customHeight="true" outlineLevel="0" collapsed="false">
      <c r="H2891" s="14" t="b">
        <f aca="false">IF(중복검사!$A2889="",FALSE(),중복검사!$J2889="유지")</f>
        <v>0</v>
      </c>
      <c r="I2891" s="5" t="str">
        <f aca="false">IF($H2891=FALSE(),"",COUNTIF($H$6:$H2891,TRUE()))</f>
        <v/>
      </c>
      <c r="J2891" s="5" t="str">
        <f aca="false">IF($I2891="","","R"&amp;$I2891)</f>
        <v/>
      </c>
    </row>
    <row r="2892" customFormat="false" ht="15" hidden="false" customHeight="true" outlineLevel="0" collapsed="false">
      <c r="H2892" s="14" t="b">
        <f aca="false">IF(중복검사!$A2890="",FALSE(),중복검사!$J2890="유지")</f>
        <v>0</v>
      </c>
      <c r="I2892" s="5" t="str">
        <f aca="false">IF($H2892=FALSE(),"",COUNTIF($H$6:$H2892,TRUE()))</f>
        <v/>
      </c>
      <c r="J2892" s="5" t="str">
        <f aca="false">IF($I2892="","","R"&amp;$I2892)</f>
        <v/>
      </c>
    </row>
    <row r="2893" customFormat="false" ht="15" hidden="false" customHeight="true" outlineLevel="0" collapsed="false">
      <c r="H2893" s="14" t="b">
        <f aca="false">IF(중복검사!$A2891="",FALSE(),중복검사!$J2891="유지")</f>
        <v>0</v>
      </c>
      <c r="I2893" s="5" t="str">
        <f aca="false">IF($H2893=FALSE(),"",COUNTIF($H$6:$H2893,TRUE()))</f>
        <v/>
      </c>
      <c r="J2893" s="5" t="str">
        <f aca="false">IF($I2893="","","R"&amp;$I2893)</f>
        <v/>
      </c>
    </row>
    <row r="2894" customFormat="false" ht="15" hidden="false" customHeight="true" outlineLevel="0" collapsed="false">
      <c r="H2894" s="14" t="b">
        <f aca="false">IF(중복검사!$A2892="",FALSE(),중복검사!$J2892="유지")</f>
        <v>0</v>
      </c>
      <c r="I2894" s="5" t="str">
        <f aca="false">IF($H2894=FALSE(),"",COUNTIF($H$6:$H2894,TRUE()))</f>
        <v/>
      </c>
      <c r="J2894" s="5" t="str">
        <f aca="false">IF($I2894="","","R"&amp;$I2894)</f>
        <v/>
      </c>
    </row>
    <row r="2895" customFormat="false" ht="15" hidden="false" customHeight="true" outlineLevel="0" collapsed="false">
      <c r="H2895" s="14" t="b">
        <f aca="false">IF(중복검사!$A2893="",FALSE(),중복검사!$J2893="유지")</f>
        <v>0</v>
      </c>
      <c r="I2895" s="5" t="str">
        <f aca="false">IF($H2895=FALSE(),"",COUNTIF($H$6:$H2895,TRUE()))</f>
        <v/>
      </c>
      <c r="J2895" s="5" t="str">
        <f aca="false">IF($I2895="","","R"&amp;$I2895)</f>
        <v/>
      </c>
    </row>
    <row r="2896" customFormat="false" ht="15" hidden="false" customHeight="true" outlineLevel="0" collapsed="false">
      <c r="H2896" s="14" t="b">
        <f aca="false">IF(중복검사!$A2894="",FALSE(),중복검사!$J2894="유지")</f>
        <v>0</v>
      </c>
      <c r="I2896" s="5" t="str">
        <f aca="false">IF($H2896=FALSE(),"",COUNTIF($H$6:$H2896,TRUE()))</f>
        <v/>
      </c>
      <c r="J2896" s="5" t="str">
        <f aca="false">IF($I2896="","","R"&amp;$I2896)</f>
        <v/>
      </c>
    </row>
    <row r="2897" customFormat="false" ht="15" hidden="false" customHeight="true" outlineLevel="0" collapsed="false">
      <c r="H2897" s="14" t="b">
        <f aca="false">IF(중복검사!$A2895="",FALSE(),중복검사!$J2895="유지")</f>
        <v>0</v>
      </c>
      <c r="I2897" s="5" t="str">
        <f aca="false">IF($H2897=FALSE(),"",COUNTIF($H$6:$H2897,TRUE()))</f>
        <v/>
      </c>
      <c r="J2897" s="5" t="str">
        <f aca="false">IF($I2897="","","R"&amp;$I2897)</f>
        <v/>
      </c>
    </row>
    <row r="2898" customFormat="false" ht="15" hidden="false" customHeight="true" outlineLevel="0" collapsed="false">
      <c r="H2898" s="14" t="b">
        <f aca="false">IF(중복검사!$A2896="",FALSE(),중복검사!$J2896="유지")</f>
        <v>0</v>
      </c>
      <c r="I2898" s="5" t="str">
        <f aca="false">IF($H2898=FALSE(),"",COUNTIF($H$6:$H2898,TRUE()))</f>
        <v/>
      </c>
      <c r="J2898" s="5" t="str">
        <f aca="false">IF($I2898="","","R"&amp;$I2898)</f>
        <v/>
      </c>
    </row>
    <row r="2899" customFormat="false" ht="15" hidden="false" customHeight="true" outlineLevel="0" collapsed="false">
      <c r="H2899" s="14" t="b">
        <f aca="false">IF(중복검사!$A2897="",FALSE(),중복검사!$J2897="유지")</f>
        <v>0</v>
      </c>
      <c r="I2899" s="5" t="str">
        <f aca="false">IF($H2899=FALSE(),"",COUNTIF($H$6:$H2899,TRUE()))</f>
        <v/>
      </c>
      <c r="J2899" s="5" t="str">
        <f aca="false">IF($I2899="","","R"&amp;$I2899)</f>
        <v/>
      </c>
    </row>
    <row r="2900" customFormat="false" ht="15" hidden="false" customHeight="true" outlineLevel="0" collapsed="false">
      <c r="H2900" s="14" t="b">
        <f aca="false">IF(중복검사!$A2898="",FALSE(),중복검사!$J2898="유지")</f>
        <v>0</v>
      </c>
      <c r="I2900" s="5" t="str">
        <f aca="false">IF($H2900=FALSE(),"",COUNTIF($H$6:$H2900,TRUE()))</f>
        <v/>
      </c>
      <c r="J2900" s="5" t="str">
        <f aca="false">IF($I2900="","","R"&amp;$I2900)</f>
        <v/>
      </c>
    </row>
    <row r="2901" customFormat="false" ht="15" hidden="false" customHeight="true" outlineLevel="0" collapsed="false">
      <c r="H2901" s="14" t="b">
        <f aca="false">IF(중복검사!$A2899="",FALSE(),중복검사!$J2899="유지")</f>
        <v>0</v>
      </c>
      <c r="I2901" s="5" t="str">
        <f aca="false">IF($H2901=FALSE(),"",COUNTIF($H$6:$H2901,TRUE()))</f>
        <v/>
      </c>
      <c r="J2901" s="5" t="str">
        <f aca="false">IF($I2901="","","R"&amp;$I2901)</f>
        <v/>
      </c>
    </row>
    <row r="2902" customFormat="false" ht="15" hidden="false" customHeight="true" outlineLevel="0" collapsed="false">
      <c r="H2902" s="14" t="b">
        <f aca="false">IF(중복검사!$A2900="",FALSE(),중복검사!$J2900="유지")</f>
        <v>0</v>
      </c>
      <c r="I2902" s="5" t="str">
        <f aca="false">IF($H2902=FALSE(),"",COUNTIF($H$6:$H2902,TRUE()))</f>
        <v/>
      </c>
      <c r="J2902" s="5" t="str">
        <f aca="false">IF($I2902="","","R"&amp;$I2902)</f>
        <v/>
      </c>
    </row>
    <row r="2903" customFormat="false" ht="15" hidden="false" customHeight="true" outlineLevel="0" collapsed="false">
      <c r="H2903" s="14" t="b">
        <f aca="false">IF(중복검사!$A2901="",FALSE(),중복검사!$J2901="유지")</f>
        <v>0</v>
      </c>
      <c r="I2903" s="5" t="str">
        <f aca="false">IF($H2903=FALSE(),"",COUNTIF($H$6:$H2903,TRUE()))</f>
        <v/>
      </c>
      <c r="J2903" s="5" t="str">
        <f aca="false">IF($I2903="","","R"&amp;$I2903)</f>
        <v/>
      </c>
    </row>
    <row r="2904" customFormat="false" ht="15" hidden="false" customHeight="true" outlineLevel="0" collapsed="false">
      <c r="H2904" s="14" t="b">
        <f aca="false">IF(중복검사!$A2902="",FALSE(),중복검사!$J2902="유지")</f>
        <v>0</v>
      </c>
      <c r="I2904" s="5" t="str">
        <f aca="false">IF($H2904=FALSE(),"",COUNTIF($H$6:$H2904,TRUE()))</f>
        <v/>
      </c>
      <c r="J2904" s="5" t="str">
        <f aca="false">IF($I2904="","","R"&amp;$I2904)</f>
        <v/>
      </c>
    </row>
    <row r="2905" customFormat="false" ht="15" hidden="false" customHeight="true" outlineLevel="0" collapsed="false">
      <c r="H2905" s="14" t="b">
        <f aca="false">IF(중복검사!$A2903="",FALSE(),중복검사!$J2903="유지")</f>
        <v>0</v>
      </c>
      <c r="I2905" s="5" t="str">
        <f aca="false">IF($H2905=FALSE(),"",COUNTIF($H$6:$H2905,TRUE()))</f>
        <v/>
      </c>
      <c r="J2905" s="5" t="str">
        <f aca="false">IF($I2905="","","R"&amp;$I2905)</f>
        <v/>
      </c>
    </row>
    <row r="2906" customFormat="false" ht="15" hidden="false" customHeight="true" outlineLevel="0" collapsed="false">
      <c r="H2906" s="14" t="b">
        <f aca="false">IF(중복검사!$A2904="",FALSE(),중복검사!$J2904="유지")</f>
        <v>0</v>
      </c>
      <c r="I2906" s="5" t="str">
        <f aca="false">IF($H2906=FALSE(),"",COUNTIF($H$6:$H2906,TRUE()))</f>
        <v/>
      </c>
      <c r="J2906" s="5" t="str">
        <f aca="false">IF($I2906="","","R"&amp;$I2906)</f>
        <v/>
      </c>
    </row>
    <row r="2907" customFormat="false" ht="15" hidden="false" customHeight="true" outlineLevel="0" collapsed="false">
      <c r="H2907" s="14" t="b">
        <f aca="false">IF(중복검사!$A2905="",FALSE(),중복검사!$J2905="유지")</f>
        <v>0</v>
      </c>
      <c r="I2907" s="5" t="str">
        <f aca="false">IF($H2907=FALSE(),"",COUNTIF($H$6:$H2907,TRUE()))</f>
        <v/>
      </c>
      <c r="J2907" s="5" t="str">
        <f aca="false">IF($I2907="","","R"&amp;$I2907)</f>
        <v/>
      </c>
    </row>
    <row r="2908" customFormat="false" ht="15" hidden="false" customHeight="true" outlineLevel="0" collapsed="false">
      <c r="H2908" s="14" t="b">
        <f aca="false">IF(중복검사!$A2906="",FALSE(),중복검사!$J2906="유지")</f>
        <v>0</v>
      </c>
      <c r="I2908" s="5" t="str">
        <f aca="false">IF($H2908=FALSE(),"",COUNTIF($H$6:$H2908,TRUE()))</f>
        <v/>
      </c>
      <c r="J2908" s="5" t="str">
        <f aca="false">IF($I2908="","","R"&amp;$I2908)</f>
        <v/>
      </c>
    </row>
    <row r="2909" customFormat="false" ht="15" hidden="false" customHeight="true" outlineLevel="0" collapsed="false">
      <c r="H2909" s="14" t="b">
        <f aca="false">IF(중복검사!$A2907="",FALSE(),중복검사!$J2907="유지")</f>
        <v>0</v>
      </c>
      <c r="I2909" s="5" t="str">
        <f aca="false">IF($H2909=FALSE(),"",COUNTIF($H$6:$H2909,TRUE()))</f>
        <v/>
      </c>
      <c r="J2909" s="5" t="str">
        <f aca="false">IF($I2909="","","R"&amp;$I2909)</f>
        <v/>
      </c>
    </row>
    <row r="2910" customFormat="false" ht="15" hidden="false" customHeight="true" outlineLevel="0" collapsed="false">
      <c r="H2910" s="14" t="b">
        <f aca="false">IF(중복검사!$A2908="",FALSE(),중복검사!$J2908="유지")</f>
        <v>0</v>
      </c>
      <c r="I2910" s="5" t="str">
        <f aca="false">IF($H2910=FALSE(),"",COUNTIF($H$6:$H2910,TRUE()))</f>
        <v/>
      </c>
      <c r="J2910" s="5" t="str">
        <f aca="false">IF($I2910="","","R"&amp;$I2910)</f>
        <v/>
      </c>
    </row>
    <row r="2911" customFormat="false" ht="15" hidden="false" customHeight="true" outlineLevel="0" collapsed="false">
      <c r="H2911" s="14" t="b">
        <f aca="false">IF(중복검사!$A2909="",FALSE(),중복검사!$J2909="유지")</f>
        <v>0</v>
      </c>
      <c r="I2911" s="5" t="str">
        <f aca="false">IF($H2911=FALSE(),"",COUNTIF($H$6:$H2911,TRUE()))</f>
        <v/>
      </c>
      <c r="J2911" s="5" t="str">
        <f aca="false">IF($I2911="","","R"&amp;$I2911)</f>
        <v/>
      </c>
    </row>
    <row r="2912" customFormat="false" ht="15" hidden="false" customHeight="true" outlineLevel="0" collapsed="false">
      <c r="H2912" s="14" t="b">
        <f aca="false">IF(중복검사!$A2910="",FALSE(),중복검사!$J2910="유지")</f>
        <v>0</v>
      </c>
      <c r="I2912" s="5" t="str">
        <f aca="false">IF($H2912=FALSE(),"",COUNTIF($H$6:$H2912,TRUE()))</f>
        <v/>
      </c>
      <c r="J2912" s="5" t="str">
        <f aca="false">IF($I2912="","","R"&amp;$I2912)</f>
        <v/>
      </c>
    </row>
    <row r="2913" customFormat="false" ht="15" hidden="false" customHeight="true" outlineLevel="0" collapsed="false">
      <c r="H2913" s="14" t="b">
        <f aca="false">IF(중복검사!$A2911="",FALSE(),중복검사!$J2911="유지")</f>
        <v>0</v>
      </c>
      <c r="I2913" s="5" t="str">
        <f aca="false">IF($H2913=FALSE(),"",COUNTIF($H$6:$H2913,TRUE()))</f>
        <v/>
      </c>
      <c r="J2913" s="5" t="str">
        <f aca="false">IF($I2913="","","R"&amp;$I2913)</f>
        <v/>
      </c>
    </row>
    <row r="2914" customFormat="false" ht="15" hidden="false" customHeight="true" outlineLevel="0" collapsed="false">
      <c r="H2914" s="14" t="b">
        <f aca="false">IF(중복검사!$A2912="",FALSE(),중복검사!$J2912="유지")</f>
        <v>0</v>
      </c>
      <c r="I2914" s="5" t="str">
        <f aca="false">IF($H2914=FALSE(),"",COUNTIF($H$6:$H2914,TRUE()))</f>
        <v/>
      </c>
      <c r="J2914" s="5" t="str">
        <f aca="false">IF($I2914="","","R"&amp;$I2914)</f>
        <v/>
      </c>
    </row>
    <row r="2915" customFormat="false" ht="15" hidden="false" customHeight="true" outlineLevel="0" collapsed="false">
      <c r="H2915" s="14" t="b">
        <f aca="false">IF(중복검사!$A2913="",FALSE(),중복검사!$J2913="유지")</f>
        <v>0</v>
      </c>
      <c r="I2915" s="5" t="str">
        <f aca="false">IF($H2915=FALSE(),"",COUNTIF($H$6:$H2915,TRUE()))</f>
        <v/>
      </c>
      <c r="J2915" s="5" t="str">
        <f aca="false">IF($I2915="","","R"&amp;$I2915)</f>
        <v/>
      </c>
    </row>
    <row r="2916" customFormat="false" ht="15" hidden="false" customHeight="true" outlineLevel="0" collapsed="false">
      <c r="H2916" s="14" t="b">
        <f aca="false">IF(중복검사!$A2914="",FALSE(),중복검사!$J2914="유지")</f>
        <v>0</v>
      </c>
      <c r="I2916" s="5" t="str">
        <f aca="false">IF($H2916=FALSE(),"",COUNTIF($H$6:$H2916,TRUE()))</f>
        <v/>
      </c>
      <c r="J2916" s="5" t="str">
        <f aca="false">IF($I2916="","","R"&amp;$I2916)</f>
        <v/>
      </c>
    </row>
    <row r="2917" customFormat="false" ht="15" hidden="false" customHeight="true" outlineLevel="0" collapsed="false">
      <c r="H2917" s="14" t="b">
        <f aca="false">IF(중복검사!$A2915="",FALSE(),중복검사!$J2915="유지")</f>
        <v>0</v>
      </c>
      <c r="I2917" s="5" t="str">
        <f aca="false">IF($H2917=FALSE(),"",COUNTIF($H$6:$H2917,TRUE()))</f>
        <v/>
      </c>
      <c r="J2917" s="5" t="str">
        <f aca="false">IF($I2917="","","R"&amp;$I2917)</f>
        <v/>
      </c>
    </row>
    <row r="2918" customFormat="false" ht="15" hidden="false" customHeight="true" outlineLevel="0" collapsed="false">
      <c r="H2918" s="14" t="b">
        <f aca="false">IF(중복검사!$A2916="",FALSE(),중복검사!$J2916="유지")</f>
        <v>0</v>
      </c>
      <c r="I2918" s="5" t="str">
        <f aca="false">IF($H2918=FALSE(),"",COUNTIF($H$6:$H2918,TRUE()))</f>
        <v/>
      </c>
      <c r="J2918" s="5" t="str">
        <f aca="false">IF($I2918="","","R"&amp;$I2918)</f>
        <v/>
      </c>
    </row>
    <row r="2919" customFormat="false" ht="15" hidden="false" customHeight="true" outlineLevel="0" collapsed="false">
      <c r="H2919" s="14" t="b">
        <f aca="false">IF(중복검사!$A2917="",FALSE(),중복검사!$J2917="유지")</f>
        <v>0</v>
      </c>
      <c r="I2919" s="5" t="str">
        <f aca="false">IF($H2919=FALSE(),"",COUNTIF($H$6:$H2919,TRUE()))</f>
        <v/>
      </c>
      <c r="J2919" s="5" t="str">
        <f aca="false">IF($I2919="","","R"&amp;$I2919)</f>
        <v/>
      </c>
    </row>
    <row r="2920" customFormat="false" ht="15" hidden="false" customHeight="true" outlineLevel="0" collapsed="false">
      <c r="H2920" s="14" t="b">
        <f aca="false">IF(중복검사!$A2918="",FALSE(),중복검사!$J2918="유지")</f>
        <v>0</v>
      </c>
      <c r="I2920" s="5" t="str">
        <f aca="false">IF($H2920=FALSE(),"",COUNTIF($H$6:$H2920,TRUE()))</f>
        <v/>
      </c>
      <c r="J2920" s="5" t="str">
        <f aca="false">IF($I2920="","","R"&amp;$I2920)</f>
        <v/>
      </c>
    </row>
    <row r="2921" customFormat="false" ht="15" hidden="false" customHeight="true" outlineLevel="0" collapsed="false">
      <c r="H2921" s="14" t="b">
        <f aca="false">IF(중복검사!$A2919="",FALSE(),중복검사!$J2919="유지")</f>
        <v>0</v>
      </c>
      <c r="I2921" s="5" t="str">
        <f aca="false">IF($H2921=FALSE(),"",COUNTIF($H$6:$H2921,TRUE()))</f>
        <v/>
      </c>
      <c r="J2921" s="5" t="str">
        <f aca="false">IF($I2921="","","R"&amp;$I2921)</f>
        <v/>
      </c>
    </row>
    <row r="2922" customFormat="false" ht="15" hidden="false" customHeight="true" outlineLevel="0" collapsed="false">
      <c r="H2922" s="14" t="b">
        <f aca="false">IF(중복검사!$A2920="",FALSE(),중복검사!$J2920="유지")</f>
        <v>0</v>
      </c>
      <c r="I2922" s="5" t="str">
        <f aca="false">IF($H2922=FALSE(),"",COUNTIF($H$6:$H2922,TRUE()))</f>
        <v/>
      </c>
      <c r="J2922" s="5" t="str">
        <f aca="false">IF($I2922="","","R"&amp;$I2922)</f>
        <v/>
      </c>
    </row>
    <row r="2923" customFormat="false" ht="15" hidden="false" customHeight="true" outlineLevel="0" collapsed="false">
      <c r="H2923" s="14" t="b">
        <f aca="false">IF(중복검사!$A2921="",FALSE(),중복검사!$J2921="유지")</f>
        <v>0</v>
      </c>
      <c r="I2923" s="5" t="str">
        <f aca="false">IF($H2923=FALSE(),"",COUNTIF($H$6:$H2923,TRUE()))</f>
        <v/>
      </c>
      <c r="J2923" s="5" t="str">
        <f aca="false">IF($I2923="","","R"&amp;$I2923)</f>
        <v/>
      </c>
    </row>
    <row r="2924" customFormat="false" ht="15" hidden="false" customHeight="true" outlineLevel="0" collapsed="false">
      <c r="H2924" s="14" t="b">
        <f aca="false">IF(중복검사!$A2922="",FALSE(),중복검사!$J2922="유지")</f>
        <v>0</v>
      </c>
      <c r="I2924" s="5" t="str">
        <f aca="false">IF($H2924=FALSE(),"",COUNTIF($H$6:$H2924,TRUE()))</f>
        <v/>
      </c>
      <c r="J2924" s="5" t="str">
        <f aca="false">IF($I2924="","","R"&amp;$I2924)</f>
        <v/>
      </c>
    </row>
    <row r="2925" customFormat="false" ht="15" hidden="false" customHeight="true" outlineLevel="0" collapsed="false">
      <c r="H2925" s="14" t="b">
        <f aca="false">IF(중복검사!$A2923="",FALSE(),중복검사!$J2923="유지")</f>
        <v>0</v>
      </c>
      <c r="I2925" s="5" t="str">
        <f aca="false">IF($H2925=FALSE(),"",COUNTIF($H$6:$H2925,TRUE()))</f>
        <v/>
      </c>
      <c r="J2925" s="5" t="str">
        <f aca="false">IF($I2925="","","R"&amp;$I2925)</f>
        <v/>
      </c>
    </row>
    <row r="2926" customFormat="false" ht="15" hidden="false" customHeight="true" outlineLevel="0" collapsed="false">
      <c r="H2926" s="14" t="b">
        <f aca="false">IF(중복검사!$A2924="",FALSE(),중복검사!$J2924="유지")</f>
        <v>0</v>
      </c>
      <c r="I2926" s="5" t="str">
        <f aca="false">IF($H2926=FALSE(),"",COUNTIF($H$6:$H2926,TRUE()))</f>
        <v/>
      </c>
      <c r="J2926" s="5" t="str">
        <f aca="false">IF($I2926="","","R"&amp;$I2926)</f>
        <v/>
      </c>
    </row>
    <row r="2927" customFormat="false" ht="15" hidden="false" customHeight="true" outlineLevel="0" collapsed="false">
      <c r="H2927" s="14" t="b">
        <f aca="false">IF(중복검사!$A2925="",FALSE(),중복검사!$J2925="유지")</f>
        <v>0</v>
      </c>
      <c r="I2927" s="5" t="str">
        <f aca="false">IF($H2927=FALSE(),"",COUNTIF($H$6:$H2927,TRUE()))</f>
        <v/>
      </c>
      <c r="J2927" s="5" t="str">
        <f aca="false">IF($I2927="","","R"&amp;$I2927)</f>
        <v/>
      </c>
    </row>
    <row r="2928" customFormat="false" ht="15" hidden="false" customHeight="true" outlineLevel="0" collapsed="false">
      <c r="H2928" s="14" t="b">
        <f aca="false">IF(중복검사!$A2926="",FALSE(),중복검사!$J2926="유지")</f>
        <v>0</v>
      </c>
      <c r="I2928" s="5" t="str">
        <f aca="false">IF($H2928=FALSE(),"",COUNTIF($H$6:$H2928,TRUE()))</f>
        <v/>
      </c>
      <c r="J2928" s="5" t="str">
        <f aca="false">IF($I2928="","","R"&amp;$I2928)</f>
        <v/>
      </c>
    </row>
    <row r="2929" customFormat="false" ht="15" hidden="false" customHeight="true" outlineLevel="0" collapsed="false">
      <c r="H2929" s="14" t="b">
        <f aca="false">IF(중복검사!$A2927="",FALSE(),중복검사!$J2927="유지")</f>
        <v>0</v>
      </c>
      <c r="I2929" s="5" t="str">
        <f aca="false">IF($H2929=FALSE(),"",COUNTIF($H$6:$H2929,TRUE()))</f>
        <v/>
      </c>
      <c r="J2929" s="5" t="str">
        <f aca="false">IF($I2929="","","R"&amp;$I2929)</f>
        <v/>
      </c>
    </row>
    <row r="2930" customFormat="false" ht="15" hidden="false" customHeight="true" outlineLevel="0" collapsed="false">
      <c r="H2930" s="14" t="b">
        <f aca="false">IF(중복검사!$A2928="",FALSE(),중복검사!$J2928="유지")</f>
        <v>0</v>
      </c>
      <c r="I2930" s="5" t="str">
        <f aca="false">IF($H2930=FALSE(),"",COUNTIF($H$6:$H2930,TRUE()))</f>
        <v/>
      </c>
      <c r="J2930" s="5" t="str">
        <f aca="false">IF($I2930="","","R"&amp;$I2930)</f>
        <v/>
      </c>
    </row>
    <row r="2931" customFormat="false" ht="15" hidden="false" customHeight="true" outlineLevel="0" collapsed="false">
      <c r="H2931" s="14" t="b">
        <f aca="false">IF(중복검사!$A2929="",FALSE(),중복검사!$J2929="유지")</f>
        <v>0</v>
      </c>
      <c r="I2931" s="5" t="str">
        <f aca="false">IF($H2931=FALSE(),"",COUNTIF($H$6:$H2931,TRUE()))</f>
        <v/>
      </c>
      <c r="J2931" s="5" t="str">
        <f aca="false">IF($I2931="","","R"&amp;$I2931)</f>
        <v/>
      </c>
    </row>
    <row r="2932" customFormat="false" ht="15" hidden="false" customHeight="true" outlineLevel="0" collapsed="false">
      <c r="H2932" s="14" t="b">
        <f aca="false">IF(중복검사!$A2930="",FALSE(),중복검사!$J2930="유지")</f>
        <v>0</v>
      </c>
      <c r="I2932" s="5" t="str">
        <f aca="false">IF($H2932=FALSE(),"",COUNTIF($H$6:$H2932,TRUE()))</f>
        <v/>
      </c>
      <c r="J2932" s="5" t="str">
        <f aca="false">IF($I2932="","","R"&amp;$I2932)</f>
        <v/>
      </c>
    </row>
    <row r="2933" customFormat="false" ht="15" hidden="false" customHeight="true" outlineLevel="0" collapsed="false">
      <c r="H2933" s="14" t="b">
        <f aca="false">IF(중복검사!$A2931="",FALSE(),중복검사!$J2931="유지")</f>
        <v>0</v>
      </c>
      <c r="I2933" s="5" t="str">
        <f aca="false">IF($H2933=FALSE(),"",COUNTIF($H$6:$H2933,TRUE()))</f>
        <v/>
      </c>
      <c r="J2933" s="5" t="str">
        <f aca="false">IF($I2933="","","R"&amp;$I2933)</f>
        <v/>
      </c>
    </row>
    <row r="2934" customFormat="false" ht="15" hidden="false" customHeight="true" outlineLevel="0" collapsed="false">
      <c r="H2934" s="14" t="b">
        <f aca="false">IF(중복검사!$A2932="",FALSE(),중복검사!$J2932="유지")</f>
        <v>0</v>
      </c>
      <c r="I2934" s="5" t="str">
        <f aca="false">IF($H2934=FALSE(),"",COUNTIF($H$6:$H2934,TRUE()))</f>
        <v/>
      </c>
      <c r="J2934" s="5" t="str">
        <f aca="false">IF($I2934="","","R"&amp;$I2934)</f>
        <v/>
      </c>
    </row>
    <row r="2935" customFormat="false" ht="15" hidden="false" customHeight="true" outlineLevel="0" collapsed="false">
      <c r="H2935" s="14" t="b">
        <f aca="false">IF(중복검사!$A2933="",FALSE(),중복검사!$J2933="유지")</f>
        <v>0</v>
      </c>
      <c r="I2935" s="5" t="str">
        <f aca="false">IF($H2935=FALSE(),"",COUNTIF($H$6:$H2935,TRUE()))</f>
        <v/>
      </c>
      <c r="J2935" s="5" t="str">
        <f aca="false">IF($I2935="","","R"&amp;$I2935)</f>
        <v/>
      </c>
    </row>
    <row r="2936" customFormat="false" ht="15" hidden="false" customHeight="true" outlineLevel="0" collapsed="false">
      <c r="H2936" s="14" t="b">
        <f aca="false">IF(중복검사!$A2934="",FALSE(),중복검사!$J2934="유지")</f>
        <v>0</v>
      </c>
      <c r="I2936" s="5" t="str">
        <f aca="false">IF($H2936=FALSE(),"",COUNTIF($H$6:$H2936,TRUE()))</f>
        <v/>
      </c>
      <c r="J2936" s="5" t="str">
        <f aca="false">IF($I2936="","","R"&amp;$I2936)</f>
        <v/>
      </c>
    </row>
    <row r="2937" customFormat="false" ht="15" hidden="false" customHeight="true" outlineLevel="0" collapsed="false">
      <c r="H2937" s="14" t="b">
        <f aca="false">IF(중복검사!$A2935="",FALSE(),중복검사!$J2935="유지")</f>
        <v>0</v>
      </c>
      <c r="I2937" s="5" t="str">
        <f aca="false">IF($H2937=FALSE(),"",COUNTIF($H$6:$H2937,TRUE()))</f>
        <v/>
      </c>
      <c r="J2937" s="5" t="str">
        <f aca="false">IF($I2937="","","R"&amp;$I2937)</f>
        <v/>
      </c>
    </row>
    <row r="2938" customFormat="false" ht="15" hidden="false" customHeight="true" outlineLevel="0" collapsed="false">
      <c r="H2938" s="14" t="b">
        <f aca="false">IF(중복검사!$A2936="",FALSE(),중복검사!$J2936="유지")</f>
        <v>0</v>
      </c>
      <c r="I2938" s="5" t="str">
        <f aca="false">IF($H2938=FALSE(),"",COUNTIF($H$6:$H2938,TRUE()))</f>
        <v/>
      </c>
      <c r="J2938" s="5" t="str">
        <f aca="false">IF($I2938="","","R"&amp;$I2938)</f>
        <v/>
      </c>
    </row>
    <row r="2939" customFormat="false" ht="15" hidden="false" customHeight="true" outlineLevel="0" collapsed="false">
      <c r="H2939" s="14" t="b">
        <f aca="false">IF(중복검사!$A2937="",FALSE(),중복검사!$J2937="유지")</f>
        <v>0</v>
      </c>
      <c r="I2939" s="5" t="str">
        <f aca="false">IF($H2939=FALSE(),"",COUNTIF($H$6:$H2939,TRUE()))</f>
        <v/>
      </c>
      <c r="J2939" s="5" t="str">
        <f aca="false">IF($I2939="","","R"&amp;$I2939)</f>
        <v/>
      </c>
    </row>
    <row r="2940" customFormat="false" ht="15" hidden="false" customHeight="true" outlineLevel="0" collapsed="false">
      <c r="H2940" s="14" t="b">
        <f aca="false">IF(중복검사!$A2938="",FALSE(),중복검사!$J2938="유지")</f>
        <v>0</v>
      </c>
      <c r="I2940" s="5" t="str">
        <f aca="false">IF($H2940=FALSE(),"",COUNTIF($H$6:$H2940,TRUE()))</f>
        <v/>
      </c>
      <c r="J2940" s="5" t="str">
        <f aca="false">IF($I2940="","","R"&amp;$I2940)</f>
        <v/>
      </c>
    </row>
    <row r="2941" customFormat="false" ht="15" hidden="false" customHeight="true" outlineLevel="0" collapsed="false">
      <c r="H2941" s="14" t="b">
        <f aca="false">IF(중복검사!$A2939="",FALSE(),중복검사!$J2939="유지")</f>
        <v>0</v>
      </c>
      <c r="I2941" s="5" t="str">
        <f aca="false">IF($H2941=FALSE(),"",COUNTIF($H$6:$H2941,TRUE()))</f>
        <v/>
      </c>
      <c r="J2941" s="5" t="str">
        <f aca="false">IF($I2941="","","R"&amp;$I2941)</f>
        <v/>
      </c>
    </row>
    <row r="2942" customFormat="false" ht="15" hidden="false" customHeight="true" outlineLevel="0" collapsed="false">
      <c r="H2942" s="14" t="b">
        <f aca="false">IF(중복검사!$A2940="",FALSE(),중복검사!$J2940="유지")</f>
        <v>0</v>
      </c>
      <c r="I2942" s="5" t="str">
        <f aca="false">IF($H2942=FALSE(),"",COUNTIF($H$6:$H2942,TRUE()))</f>
        <v/>
      </c>
      <c r="J2942" s="5" t="str">
        <f aca="false">IF($I2942="","","R"&amp;$I2942)</f>
        <v/>
      </c>
    </row>
    <row r="2943" customFormat="false" ht="15" hidden="false" customHeight="true" outlineLevel="0" collapsed="false">
      <c r="H2943" s="14" t="b">
        <f aca="false">IF(중복검사!$A2941="",FALSE(),중복검사!$J2941="유지")</f>
        <v>0</v>
      </c>
      <c r="I2943" s="5" t="str">
        <f aca="false">IF($H2943=FALSE(),"",COUNTIF($H$6:$H2943,TRUE()))</f>
        <v/>
      </c>
      <c r="J2943" s="5" t="str">
        <f aca="false">IF($I2943="","","R"&amp;$I2943)</f>
        <v/>
      </c>
    </row>
    <row r="2944" customFormat="false" ht="15" hidden="false" customHeight="true" outlineLevel="0" collapsed="false">
      <c r="H2944" s="14" t="b">
        <f aca="false">IF(중복검사!$A2942="",FALSE(),중복검사!$J2942="유지")</f>
        <v>0</v>
      </c>
      <c r="I2944" s="5" t="str">
        <f aca="false">IF($H2944=FALSE(),"",COUNTIF($H$6:$H2944,TRUE()))</f>
        <v/>
      </c>
      <c r="J2944" s="5" t="str">
        <f aca="false">IF($I2944="","","R"&amp;$I2944)</f>
        <v/>
      </c>
    </row>
    <row r="2945" customFormat="false" ht="15" hidden="false" customHeight="true" outlineLevel="0" collapsed="false">
      <c r="H2945" s="14" t="b">
        <f aca="false">IF(중복검사!$A2943="",FALSE(),중복검사!$J2943="유지")</f>
        <v>0</v>
      </c>
      <c r="I2945" s="5" t="str">
        <f aca="false">IF($H2945=FALSE(),"",COUNTIF($H$6:$H2945,TRUE()))</f>
        <v/>
      </c>
      <c r="J2945" s="5" t="str">
        <f aca="false">IF($I2945="","","R"&amp;$I2945)</f>
        <v/>
      </c>
    </row>
    <row r="2946" customFormat="false" ht="15" hidden="false" customHeight="true" outlineLevel="0" collapsed="false">
      <c r="H2946" s="14" t="b">
        <f aca="false">IF(중복검사!$A2944="",FALSE(),중복검사!$J2944="유지")</f>
        <v>0</v>
      </c>
      <c r="I2946" s="5" t="str">
        <f aca="false">IF($H2946=FALSE(),"",COUNTIF($H$6:$H2946,TRUE()))</f>
        <v/>
      </c>
      <c r="J2946" s="5" t="str">
        <f aca="false">IF($I2946="","","R"&amp;$I2946)</f>
        <v/>
      </c>
    </row>
    <row r="2947" customFormat="false" ht="15" hidden="false" customHeight="true" outlineLevel="0" collapsed="false">
      <c r="H2947" s="14" t="b">
        <f aca="false">IF(중복검사!$A2945="",FALSE(),중복검사!$J2945="유지")</f>
        <v>0</v>
      </c>
      <c r="I2947" s="5" t="str">
        <f aca="false">IF($H2947=FALSE(),"",COUNTIF($H$6:$H2947,TRUE()))</f>
        <v/>
      </c>
      <c r="J2947" s="5" t="str">
        <f aca="false">IF($I2947="","","R"&amp;$I2947)</f>
        <v/>
      </c>
    </row>
    <row r="2948" customFormat="false" ht="15" hidden="false" customHeight="true" outlineLevel="0" collapsed="false">
      <c r="H2948" s="14" t="b">
        <f aca="false">IF(중복검사!$A2946="",FALSE(),중복검사!$J2946="유지")</f>
        <v>0</v>
      </c>
      <c r="I2948" s="5" t="str">
        <f aca="false">IF($H2948=FALSE(),"",COUNTIF($H$6:$H2948,TRUE()))</f>
        <v/>
      </c>
      <c r="J2948" s="5" t="str">
        <f aca="false">IF($I2948="","","R"&amp;$I2948)</f>
        <v/>
      </c>
    </row>
    <row r="2949" customFormat="false" ht="15" hidden="false" customHeight="true" outlineLevel="0" collapsed="false">
      <c r="H2949" s="14" t="b">
        <f aca="false">IF(중복검사!$A2947="",FALSE(),중복검사!$J2947="유지")</f>
        <v>0</v>
      </c>
      <c r="I2949" s="5" t="str">
        <f aca="false">IF($H2949=FALSE(),"",COUNTIF($H$6:$H2949,TRUE()))</f>
        <v/>
      </c>
      <c r="J2949" s="5" t="str">
        <f aca="false">IF($I2949="","","R"&amp;$I2949)</f>
        <v/>
      </c>
    </row>
    <row r="2950" customFormat="false" ht="15" hidden="false" customHeight="true" outlineLevel="0" collapsed="false">
      <c r="H2950" s="14" t="b">
        <f aca="false">IF(중복검사!$A2948="",FALSE(),중복검사!$J2948="유지")</f>
        <v>0</v>
      </c>
      <c r="I2950" s="5" t="str">
        <f aca="false">IF($H2950=FALSE(),"",COUNTIF($H$6:$H2950,TRUE()))</f>
        <v/>
      </c>
      <c r="J2950" s="5" t="str">
        <f aca="false">IF($I2950="","","R"&amp;$I2950)</f>
        <v/>
      </c>
    </row>
    <row r="2951" customFormat="false" ht="15" hidden="false" customHeight="true" outlineLevel="0" collapsed="false">
      <c r="H2951" s="14" t="b">
        <f aca="false">IF(중복검사!$A2949="",FALSE(),중복검사!$J2949="유지")</f>
        <v>0</v>
      </c>
      <c r="I2951" s="5" t="str">
        <f aca="false">IF($H2951=FALSE(),"",COUNTIF($H$6:$H2951,TRUE()))</f>
        <v/>
      </c>
      <c r="J2951" s="5" t="str">
        <f aca="false">IF($I2951="","","R"&amp;$I2951)</f>
        <v/>
      </c>
    </row>
    <row r="2952" customFormat="false" ht="15" hidden="false" customHeight="true" outlineLevel="0" collapsed="false">
      <c r="H2952" s="14" t="b">
        <f aca="false">IF(중복검사!$A2950="",FALSE(),중복검사!$J2950="유지")</f>
        <v>0</v>
      </c>
      <c r="I2952" s="5" t="str">
        <f aca="false">IF($H2952=FALSE(),"",COUNTIF($H$6:$H2952,TRUE()))</f>
        <v/>
      </c>
      <c r="J2952" s="5" t="str">
        <f aca="false">IF($I2952="","","R"&amp;$I2952)</f>
        <v/>
      </c>
    </row>
    <row r="2953" customFormat="false" ht="15" hidden="false" customHeight="true" outlineLevel="0" collapsed="false">
      <c r="H2953" s="14" t="b">
        <f aca="false">IF(중복검사!$A2951="",FALSE(),중복검사!$J2951="유지")</f>
        <v>0</v>
      </c>
      <c r="I2953" s="5" t="str">
        <f aca="false">IF($H2953=FALSE(),"",COUNTIF($H$6:$H2953,TRUE()))</f>
        <v/>
      </c>
      <c r="J2953" s="5" t="str">
        <f aca="false">IF($I2953="","","R"&amp;$I2953)</f>
        <v/>
      </c>
    </row>
    <row r="2954" customFormat="false" ht="15" hidden="false" customHeight="true" outlineLevel="0" collapsed="false">
      <c r="H2954" s="14" t="b">
        <f aca="false">IF(중복검사!$A2952="",FALSE(),중복검사!$J2952="유지")</f>
        <v>0</v>
      </c>
      <c r="I2954" s="5" t="str">
        <f aca="false">IF($H2954=FALSE(),"",COUNTIF($H$6:$H2954,TRUE()))</f>
        <v/>
      </c>
      <c r="J2954" s="5" t="str">
        <f aca="false">IF($I2954="","","R"&amp;$I2954)</f>
        <v/>
      </c>
    </row>
    <row r="2955" customFormat="false" ht="15" hidden="false" customHeight="true" outlineLevel="0" collapsed="false">
      <c r="H2955" s="14" t="b">
        <f aca="false">IF(중복검사!$A2953="",FALSE(),중복검사!$J2953="유지")</f>
        <v>0</v>
      </c>
      <c r="I2955" s="5" t="str">
        <f aca="false">IF($H2955=FALSE(),"",COUNTIF($H$6:$H2955,TRUE()))</f>
        <v/>
      </c>
      <c r="J2955" s="5" t="str">
        <f aca="false">IF($I2955="","","R"&amp;$I2955)</f>
        <v/>
      </c>
    </row>
    <row r="2956" customFormat="false" ht="15" hidden="false" customHeight="true" outlineLevel="0" collapsed="false">
      <c r="H2956" s="14" t="b">
        <f aca="false">IF(중복검사!$A2954="",FALSE(),중복검사!$J2954="유지")</f>
        <v>0</v>
      </c>
      <c r="I2956" s="5" t="str">
        <f aca="false">IF($H2956=FALSE(),"",COUNTIF($H$6:$H2956,TRUE()))</f>
        <v/>
      </c>
      <c r="J2956" s="5" t="str">
        <f aca="false">IF($I2956="","","R"&amp;$I2956)</f>
        <v/>
      </c>
    </row>
    <row r="2957" customFormat="false" ht="15" hidden="false" customHeight="true" outlineLevel="0" collapsed="false">
      <c r="H2957" s="14" t="b">
        <f aca="false">IF(중복검사!$A2955="",FALSE(),중복검사!$J2955="유지")</f>
        <v>0</v>
      </c>
      <c r="I2957" s="5" t="str">
        <f aca="false">IF($H2957=FALSE(),"",COUNTIF($H$6:$H2957,TRUE()))</f>
        <v/>
      </c>
      <c r="J2957" s="5" t="str">
        <f aca="false">IF($I2957="","","R"&amp;$I2957)</f>
        <v/>
      </c>
    </row>
    <row r="2958" customFormat="false" ht="15" hidden="false" customHeight="true" outlineLevel="0" collapsed="false">
      <c r="H2958" s="14" t="b">
        <f aca="false">IF(중복검사!$A2956="",FALSE(),중복검사!$J2956="유지")</f>
        <v>0</v>
      </c>
      <c r="I2958" s="5" t="str">
        <f aca="false">IF($H2958=FALSE(),"",COUNTIF($H$6:$H2958,TRUE()))</f>
        <v/>
      </c>
      <c r="J2958" s="5" t="str">
        <f aca="false">IF($I2958="","","R"&amp;$I2958)</f>
        <v/>
      </c>
    </row>
    <row r="2959" customFormat="false" ht="15" hidden="false" customHeight="true" outlineLevel="0" collapsed="false">
      <c r="H2959" s="14" t="b">
        <f aca="false">IF(중복검사!$A2957="",FALSE(),중복검사!$J2957="유지")</f>
        <v>0</v>
      </c>
      <c r="I2959" s="5" t="str">
        <f aca="false">IF($H2959=FALSE(),"",COUNTIF($H$6:$H2959,TRUE()))</f>
        <v/>
      </c>
      <c r="J2959" s="5" t="str">
        <f aca="false">IF($I2959="","","R"&amp;$I2959)</f>
        <v/>
      </c>
    </row>
    <row r="2960" customFormat="false" ht="15" hidden="false" customHeight="true" outlineLevel="0" collapsed="false">
      <c r="H2960" s="14" t="b">
        <f aca="false">IF(중복검사!$A2958="",FALSE(),중복검사!$J2958="유지")</f>
        <v>0</v>
      </c>
      <c r="I2960" s="5" t="str">
        <f aca="false">IF($H2960=FALSE(),"",COUNTIF($H$6:$H2960,TRUE()))</f>
        <v/>
      </c>
      <c r="J2960" s="5" t="str">
        <f aca="false">IF($I2960="","","R"&amp;$I2960)</f>
        <v/>
      </c>
    </row>
    <row r="2961" customFormat="false" ht="15" hidden="false" customHeight="true" outlineLevel="0" collapsed="false">
      <c r="H2961" s="14" t="b">
        <f aca="false">IF(중복검사!$A2959="",FALSE(),중복검사!$J2959="유지")</f>
        <v>0</v>
      </c>
      <c r="I2961" s="5" t="str">
        <f aca="false">IF($H2961=FALSE(),"",COUNTIF($H$6:$H2961,TRUE()))</f>
        <v/>
      </c>
      <c r="J2961" s="5" t="str">
        <f aca="false">IF($I2961="","","R"&amp;$I2961)</f>
        <v/>
      </c>
    </row>
    <row r="2962" customFormat="false" ht="15" hidden="false" customHeight="true" outlineLevel="0" collapsed="false">
      <c r="H2962" s="14" t="b">
        <f aca="false">IF(중복검사!$A2960="",FALSE(),중복검사!$J2960="유지")</f>
        <v>0</v>
      </c>
      <c r="I2962" s="5" t="str">
        <f aca="false">IF($H2962=FALSE(),"",COUNTIF($H$6:$H2962,TRUE()))</f>
        <v/>
      </c>
      <c r="J2962" s="5" t="str">
        <f aca="false">IF($I2962="","","R"&amp;$I2962)</f>
        <v/>
      </c>
    </row>
    <row r="2963" customFormat="false" ht="15" hidden="false" customHeight="true" outlineLevel="0" collapsed="false">
      <c r="H2963" s="14" t="b">
        <f aca="false">IF(중복검사!$A2961="",FALSE(),중복검사!$J2961="유지")</f>
        <v>0</v>
      </c>
      <c r="I2963" s="5" t="str">
        <f aca="false">IF($H2963=FALSE(),"",COUNTIF($H$6:$H2963,TRUE()))</f>
        <v/>
      </c>
      <c r="J2963" s="5" t="str">
        <f aca="false">IF($I2963="","","R"&amp;$I2963)</f>
        <v/>
      </c>
    </row>
    <row r="2964" customFormat="false" ht="15" hidden="false" customHeight="true" outlineLevel="0" collapsed="false">
      <c r="H2964" s="14" t="b">
        <f aca="false">IF(중복검사!$A2962="",FALSE(),중복검사!$J2962="유지")</f>
        <v>0</v>
      </c>
      <c r="I2964" s="5" t="str">
        <f aca="false">IF($H2964=FALSE(),"",COUNTIF($H$6:$H2964,TRUE()))</f>
        <v/>
      </c>
      <c r="J2964" s="5" t="str">
        <f aca="false">IF($I2964="","","R"&amp;$I2964)</f>
        <v/>
      </c>
    </row>
    <row r="2965" customFormat="false" ht="15" hidden="false" customHeight="true" outlineLevel="0" collapsed="false">
      <c r="H2965" s="14" t="b">
        <f aca="false">IF(중복검사!$A2963="",FALSE(),중복검사!$J2963="유지")</f>
        <v>0</v>
      </c>
      <c r="I2965" s="5" t="str">
        <f aca="false">IF($H2965=FALSE(),"",COUNTIF($H$6:$H2965,TRUE()))</f>
        <v/>
      </c>
      <c r="J2965" s="5" t="str">
        <f aca="false">IF($I2965="","","R"&amp;$I2965)</f>
        <v/>
      </c>
    </row>
    <row r="2966" customFormat="false" ht="15" hidden="false" customHeight="true" outlineLevel="0" collapsed="false">
      <c r="H2966" s="14" t="b">
        <f aca="false">IF(중복검사!$A2964="",FALSE(),중복검사!$J2964="유지")</f>
        <v>0</v>
      </c>
      <c r="I2966" s="5" t="str">
        <f aca="false">IF($H2966=FALSE(),"",COUNTIF($H$6:$H2966,TRUE()))</f>
        <v/>
      </c>
      <c r="J2966" s="5" t="str">
        <f aca="false">IF($I2966="","","R"&amp;$I2966)</f>
        <v/>
      </c>
    </row>
    <row r="2967" customFormat="false" ht="15" hidden="false" customHeight="true" outlineLevel="0" collapsed="false">
      <c r="H2967" s="14" t="b">
        <f aca="false">IF(중복검사!$A2965="",FALSE(),중복검사!$J2965="유지")</f>
        <v>0</v>
      </c>
      <c r="I2967" s="5" t="str">
        <f aca="false">IF($H2967=FALSE(),"",COUNTIF($H$6:$H2967,TRUE()))</f>
        <v/>
      </c>
      <c r="J2967" s="5" t="str">
        <f aca="false">IF($I2967="","","R"&amp;$I2967)</f>
        <v/>
      </c>
    </row>
    <row r="2968" customFormat="false" ht="15" hidden="false" customHeight="true" outlineLevel="0" collapsed="false">
      <c r="H2968" s="14" t="b">
        <f aca="false">IF(중복검사!$A2966="",FALSE(),중복검사!$J2966="유지")</f>
        <v>0</v>
      </c>
      <c r="I2968" s="5" t="str">
        <f aca="false">IF($H2968=FALSE(),"",COUNTIF($H$6:$H2968,TRUE()))</f>
        <v/>
      </c>
      <c r="J2968" s="5" t="str">
        <f aca="false">IF($I2968="","","R"&amp;$I2968)</f>
        <v/>
      </c>
    </row>
    <row r="2969" customFormat="false" ht="15" hidden="false" customHeight="true" outlineLevel="0" collapsed="false">
      <c r="H2969" s="14" t="b">
        <f aca="false">IF(중복검사!$A2967="",FALSE(),중복검사!$J2967="유지")</f>
        <v>0</v>
      </c>
      <c r="I2969" s="5" t="str">
        <f aca="false">IF($H2969=FALSE(),"",COUNTIF($H$6:$H2969,TRUE()))</f>
        <v/>
      </c>
      <c r="J2969" s="5" t="str">
        <f aca="false">IF($I2969="","","R"&amp;$I2969)</f>
        <v/>
      </c>
    </row>
    <row r="2970" customFormat="false" ht="15" hidden="false" customHeight="true" outlineLevel="0" collapsed="false">
      <c r="H2970" s="14" t="b">
        <f aca="false">IF(중복검사!$A2968="",FALSE(),중복검사!$J2968="유지")</f>
        <v>0</v>
      </c>
      <c r="I2970" s="5" t="str">
        <f aca="false">IF($H2970=FALSE(),"",COUNTIF($H$6:$H2970,TRUE()))</f>
        <v/>
      </c>
      <c r="J2970" s="5" t="str">
        <f aca="false">IF($I2970="","","R"&amp;$I2970)</f>
        <v/>
      </c>
    </row>
    <row r="2971" customFormat="false" ht="15" hidden="false" customHeight="true" outlineLevel="0" collapsed="false">
      <c r="H2971" s="14" t="b">
        <f aca="false">IF(중복검사!$A2969="",FALSE(),중복검사!$J2969="유지")</f>
        <v>0</v>
      </c>
      <c r="I2971" s="5" t="str">
        <f aca="false">IF($H2971=FALSE(),"",COUNTIF($H$6:$H2971,TRUE()))</f>
        <v/>
      </c>
      <c r="J2971" s="5" t="str">
        <f aca="false">IF($I2971="","","R"&amp;$I2971)</f>
        <v/>
      </c>
    </row>
    <row r="2972" customFormat="false" ht="15" hidden="false" customHeight="true" outlineLevel="0" collapsed="false">
      <c r="H2972" s="14" t="b">
        <f aca="false">IF(중복검사!$A2970="",FALSE(),중복검사!$J2970="유지")</f>
        <v>0</v>
      </c>
      <c r="I2972" s="5" t="str">
        <f aca="false">IF($H2972=FALSE(),"",COUNTIF($H$6:$H2972,TRUE()))</f>
        <v/>
      </c>
      <c r="J2972" s="5" t="str">
        <f aca="false">IF($I2972="","","R"&amp;$I2972)</f>
        <v/>
      </c>
    </row>
    <row r="2973" customFormat="false" ht="15" hidden="false" customHeight="true" outlineLevel="0" collapsed="false">
      <c r="H2973" s="14" t="b">
        <f aca="false">IF(중복검사!$A2971="",FALSE(),중복검사!$J2971="유지")</f>
        <v>0</v>
      </c>
      <c r="I2973" s="5" t="str">
        <f aca="false">IF($H2973=FALSE(),"",COUNTIF($H$6:$H2973,TRUE()))</f>
        <v/>
      </c>
      <c r="J2973" s="5" t="str">
        <f aca="false">IF($I2973="","","R"&amp;$I2973)</f>
        <v/>
      </c>
    </row>
    <row r="2974" customFormat="false" ht="15" hidden="false" customHeight="true" outlineLevel="0" collapsed="false">
      <c r="H2974" s="14" t="b">
        <f aca="false">IF(중복검사!$A2972="",FALSE(),중복검사!$J2972="유지")</f>
        <v>0</v>
      </c>
      <c r="I2974" s="5" t="str">
        <f aca="false">IF($H2974=FALSE(),"",COUNTIF($H$6:$H2974,TRUE()))</f>
        <v/>
      </c>
      <c r="J2974" s="5" t="str">
        <f aca="false">IF($I2974="","","R"&amp;$I2974)</f>
        <v/>
      </c>
    </row>
    <row r="2975" customFormat="false" ht="15" hidden="false" customHeight="true" outlineLevel="0" collapsed="false">
      <c r="H2975" s="14" t="b">
        <f aca="false">IF(중복검사!$A2973="",FALSE(),중복검사!$J2973="유지")</f>
        <v>0</v>
      </c>
      <c r="I2975" s="5" t="str">
        <f aca="false">IF($H2975=FALSE(),"",COUNTIF($H$6:$H2975,TRUE()))</f>
        <v/>
      </c>
      <c r="J2975" s="5" t="str">
        <f aca="false">IF($I2975="","","R"&amp;$I2975)</f>
        <v/>
      </c>
    </row>
    <row r="2976" customFormat="false" ht="15" hidden="false" customHeight="true" outlineLevel="0" collapsed="false">
      <c r="H2976" s="14" t="b">
        <f aca="false">IF(중복검사!$A2974="",FALSE(),중복검사!$J2974="유지")</f>
        <v>0</v>
      </c>
      <c r="I2976" s="5" t="str">
        <f aca="false">IF($H2976=FALSE(),"",COUNTIF($H$6:$H2976,TRUE()))</f>
        <v/>
      </c>
      <c r="J2976" s="5" t="str">
        <f aca="false">IF($I2976="","","R"&amp;$I2976)</f>
        <v/>
      </c>
    </row>
    <row r="2977" customFormat="false" ht="15" hidden="false" customHeight="true" outlineLevel="0" collapsed="false">
      <c r="H2977" s="14" t="b">
        <f aca="false">IF(중복검사!$A2975="",FALSE(),중복검사!$J2975="유지")</f>
        <v>0</v>
      </c>
      <c r="I2977" s="5" t="str">
        <f aca="false">IF($H2977=FALSE(),"",COUNTIF($H$6:$H2977,TRUE()))</f>
        <v/>
      </c>
      <c r="J2977" s="5" t="str">
        <f aca="false">IF($I2977="","","R"&amp;$I2977)</f>
        <v/>
      </c>
    </row>
    <row r="2978" customFormat="false" ht="15" hidden="false" customHeight="true" outlineLevel="0" collapsed="false">
      <c r="H2978" s="14" t="b">
        <f aca="false">IF(중복검사!$A2976="",FALSE(),중복검사!$J2976="유지")</f>
        <v>0</v>
      </c>
      <c r="I2978" s="5" t="str">
        <f aca="false">IF($H2978=FALSE(),"",COUNTIF($H$6:$H2978,TRUE()))</f>
        <v/>
      </c>
      <c r="J2978" s="5" t="str">
        <f aca="false">IF($I2978="","","R"&amp;$I2978)</f>
        <v/>
      </c>
    </row>
    <row r="2979" customFormat="false" ht="15" hidden="false" customHeight="true" outlineLevel="0" collapsed="false">
      <c r="H2979" s="14" t="b">
        <f aca="false">IF(중복검사!$A2977="",FALSE(),중복검사!$J2977="유지")</f>
        <v>0</v>
      </c>
      <c r="I2979" s="5" t="str">
        <f aca="false">IF($H2979=FALSE(),"",COUNTIF($H$6:$H2979,TRUE()))</f>
        <v/>
      </c>
      <c r="J2979" s="5" t="str">
        <f aca="false">IF($I2979="","","R"&amp;$I2979)</f>
        <v/>
      </c>
    </row>
    <row r="2980" customFormat="false" ht="15" hidden="false" customHeight="true" outlineLevel="0" collapsed="false">
      <c r="H2980" s="14" t="b">
        <f aca="false">IF(중복검사!$A2978="",FALSE(),중복검사!$J2978="유지")</f>
        <v>0</v>
      </c>
      <c r="I2980" s="5" t="str">
        <f aca="false">IF($H2980=FALSE(),"",COUNTIF($H$6:$H2980,TRUE()))</f>
        <v/>
      </c>
      <c r="J2980" s="5" t="str">
        <f aca="false">IF($I2980="","","R"&amp;$I2980)</f>
        <v/>
      </c>
    </row>
    <row r="2981" customFormat="false" ht="15" hidden="false" customHeight="true" outlineLevel="0" collapsed="false">
      <c r="H2981" s="14" t="b">
        <f aca="false">IF(중복검사!$A2979="",FALSE(),중복검사!$J2979="유지")</f>
        <v>0</v>
      </c>
      <c r="I2981" s="5" t="str">
        <f aca="false">IF($H2981=FALSE(),"",COUNTIF($H$6:$H2981,TRUE()))</f>
        <v/>
      </c>
      <c r="J2981" s="5" t="str">
        <f aca="false">IF($I2981="","","R"&amp;$I2981)</f>
        <v/>
      </c>
    </row>
    <row r="2982" customFormat="false" ht="15" hidden="false" customHeight="true" outlineLevel="0" collapsed="false">
      <c r="H2982" s="14" t="b">
        <f aca="false">IF(중복검사!$A2980="",FALSE(),중복검사!$J2980="유지")</f>
        <v>0</v>
      </c>
      <c r="I2982" s="5" t="str">
        <f aca="false">IF($H2982=FALSE(),"",COUNTIF($H$6:$H2982,TRUE()))</f>
        <v/>
      </c>
      <c r="J2982" s="5" t="str">
        <f aca="false">IF($I2982="","","R"&amp;$I2982)</f>
        <v/>
      </c>
    </row>
    <row r="2983" customFormat="false" ht="15" hidden="false" customHeight="true" outlineLevel="0" collapsed="false">
      <c r="H2983" s="14" t="b">
        <f aca="false">IF(중복검사!$A2981="",FALSE(),중복검사!$J2981="유지")</f>
        <v>0</v>
      </c>
      <c r="I2983" s="5" t="str">
        <f aca="false">IF($H2983=FALSE(),"",COUNTIF($H$6:$H2983,TRUE()))</f>
        <v/>
      </c>
      <c r="J2983" s="5" t="str">
        <f aca="false">IF($I2983="","","R"&amp;$I2983)</f>
        <v/>
      </c>
    </row>
    <row r="2984" customFormat="false" ht="15" hidden="false" customHeight="true" outlineLevel="0" collapsed="false">
      <c r="H2984" s="14" t="b">
        <f aca="false">IF(중복검사!$A2982="",FALSE(),중복검사!$J2982="유지")</f>
        <v>0</v>
      </c>
      <c r="I2984" s="5" t="str">
        <f aca="false">IF($H2984=FALSE(),"",COUNTIF($H$6:$H2984,TRUE()))</f>
        <v/>
      </c>
      <c r="J2984" s="5" t="str">
        <f aca="false">IF($I2984="","","R"&amp;$I2984)</f>
        <v/>
      </c>
    </row>
    <row r="2985" customFormat="false" ht="15" hidden="false" customHeight="true" outlineLevel="0" collapsed="false">
      <c r="H2985" s="14" t="b">
        <f aca="false">IF(중복검사!$A2983="",FALSE(),중복검사!$J2983="유지")</f>
        <v>0</v>
      </c>
      <c r="I2985" s="5" t="str">
        <f aca="false">IF($H2985=FALSE(),"",COUNTIF($H$6:$H2985,TRUE()))</f>
        <v/>
      </c>
      <c r="J2985" s="5" t="str">
        <f aca="false">IF($I2985="","","R"&amp;$I2985)</f>
        <v/>
      </c>
    </row>
    <row r="2986" customFormat="false" ht="15" hidden="false" customHeight="true" outlineLevel="0" collapsed="false">
      <c r="H2986" s="14" t="b">
        <f aca="false">IF(중복검사!$A2984="",FALSE(),중복검사!$J2984="유지")</f>
        <v>0</v>
      </c>
      <c r="I2986" s="5" t="str">
        <f aca="false">IF($H2986=FALSE(),"",COUNTIF($H$6:$H2986,TRUE()))</f>
        <v/>
      </c>
      <c r="J2986" s="5" t="str">
        <f aca="false">IF($I2986="","","R"&amp;$I2986)</f>
        <v/>
      </c>
    </row>
    <row r="2987" customFormat="false" ht="15" hidden="false" customHeight="true" outlineLevel="0" collapsed="false">
      <c r="H2987" s="14" t="b">
        <f aca="false">IF(중복검사!$A2985="",FALSE(),중복검사!$J2985="유지")</f>
        <v>0</v>
      </c>
      <c r="I2987" s="5" t="str">
        <f aca="false">IF($H2987=FALSE(),"",COUNTIF($H$6:$H2987,TRUE()))</f>
        <v/>
      </c>
      <c r="J2987" s="5" t="str">
        <f aca="false">IF($I2987="","","R"&amp;$I2987)</f>
        <v/>
      </c>
    </row>
    <row r="2988" customFormat="false" ht="15" hidden="false" customHeight="true" outlineLevel="0" collapsed="false">
      <c r="H2988" s="14" t="b">
        <f aca="false">IF(중복검사!$A2986="",FALSE(),중복검사!$J2986="유지")</f>
        <v>0</v>
      </c>
      <c r="I2988" s="5" t="str">
        <f aca="false">IF($H2988=FALSE(),"",COUNTIF($H$6:$H2988,TRUE()))</f>
        <v/>
      </c>
      <c r="J2988" s="5" t="str">
        <f aca="false">IF($I2988="","","R"&amp;$I2988)</f>
        <v/>
      </c>
    </row>
    <row r="2989" customFormat="false" ht="15" hidden="false" customHeight="true" outlineLevel="0" collapsed="false">
      <c r="H2989" s="14" t="b">
        <f aca="false">IF(중복검사!$A2987="",FALSE(),중복검사!$J2987="유지")</f>
        <v>0</v>
      </c>
      <c r="I2989" s="5" t="str">
        <f aca="false">IF($H2989=FALSE(),"",COUNTIF($H$6:$H2989,TRUE()))</f>
        <v/>
      </c>
      <c r="J2989" s="5" t="str">
        <f aca="false">IF($I2989="","","R"&amp;$I2989)</f>
        <v/>
      </c>
    </row>
    <row r="2990" customFormat="false" ht="15" hidden="false" customHeight="true" outlineLevel="0" collapsed="false">
      <c r="H2990" s="14" t="b">
        <f aca="false">IF(중복검사!$A2988="",FALSE(),중복검사!$J2988="유지")</f>
        <v>0</v>
      </c>
      <c r="I2990" s="5" t="str">
        <f aca="false">IF($H2990=FALSE(),"",COUNTIF($H$6:$H2990,TRUE()))</f>
        <v/>
      </c>
      <c r="J2990" s="5" t="str">
        <f aca="false">IF($I2990="","","R"&amp;$I2990)</f>
        <v/>
      </c>
    </row>
    <row r="2991" customFormat="false" ht="15" hidden="false" customHeight="true" outlineLevel="0" collapsed="false">
      <c r="H2991" s="14" t="b">
        <f aca="false">IF(중복검사!$A2989="",FALSE(),중복검사!$J2989="유지")</f>
        <v>0</v>
      </c>
      <c r="I2991" s="5" t="str">
        <f aca="false">IF($H2991=FALSE(),"",COUNTIF($H$6:$H2991,TRUE()))</f>
        <v/>
      </c>
      <c r="J2991" s="5" t="str">
        <f aca="false">IF($I2991="","","R"&amp;$I2991)</f>
        <v/>
      </c>
    </row>
    <row r="2992" customFormat="false" ht="15" hidden="false" customHeight="true" outlineLevel="0" collapsed="false">
      <c r="H2992" s="14" t="b">
        <f aca="false">IF(중복검사!$A2990="",FALSE(),중복검사!$J2990="유지")</f>
        <v>0</v>
      </c>
      <c r="I2992" s="5" t="str">
        <f aca="false">IF($H2992=FALSE(),"",COUNTIF($H$6:$H2992,TRUE()))</f>
        <v/>
      </c>
      <c r="J2992" s="5" t="str">
        <f aca="false">IF($I2992="","","R"&amp;$I2992)</f>
        <v/>
      </c>
    </row>
    <row r="2993" customFormat="false" ht="15" hidden="false" customHeight="true" outlineLevel="0" collapsed="false">
      <c r="H2993" s="14" t="b">
        <f aca="false">IF(중복검사!$A2991="",FALSE(),중복검사!$J2991="유지")</f>
        <v>0</v>
      </c>
      <c r="I2993" s="5" t="str">
        <f aca="false">IF($H2993=FALSE(),"",COUNTIF($H$6:$H2993,TRUE()))</f>
        <v/>
      </c>
      <c r="J2993" s="5" t="str">
        <f aca="false">IF($I2993="","","R"&amp;$I2993)</f>
        <v/>
      </c>
    </row>
    <row r="2994" customFormat="false" ht="15" hidden="false" customHeight="true" outlineLevel="0" collapsed="false">
      <c r="H2994" s="14" t="b">
        <f aca="false">IF(중복검사!$A2992="",FALSE(),중복검사!$J2992="유지")</f>
        <v>0</v>
      </c>
      <c r="I2994" s="5" t="str">
        <f aca="false">IF($H2994=FALSE(),"",COUNTIF($H$6:$H2994,TRUE()))</f>
        <v/>
      </c>
      <c r="J2994" s="5" t="str">
        <f aca="false">IF($I2994="","","R"&amp;$I2994)</f>
        <v/>
      </c>
    </row>
    <row r="2995" customFormat="false" ht="15" hidden="false" customHeight="true" outlineLevel="0" collapsed="false">
      <c r="H2995" s="14" t="b">
        <f aca="false">IF(중복검사!$A2993="",FALSE(),중복검사!$J2993="유지")</f>
        <v>0</v>
      </c>
      <c r="I2995" s="5" t="str">
        <f aca="false">IF($H2995=FALSE(),"",COUNTIF($H$6:$H2995,TRUE()))</f>
        <v/>
      </c>
      <c r="J2995" s="5" t="str">
        <f aca="false">IF($I2995="","","R"&amp;$I2995)</f>
        <v/>
      </c>
    </row>
    <row r="2996" customFormat="false" ht="15" hidden="false" customHeight="true" outlineLevel="0" collapsed="false">
      <c r="H2996" s="14" t="b">
        <f aca="false">IF(중복검사!$A2994="",FALSE(),중복검사!$J2994="유지")</f>
        <v>0</v>
      </c>
      <c r="I2996" s="5" t="str">
        <f aca="false">IF($H2996=FALSE(),"",COUNTIF($H$6:$H2996,TRUE()))</f>
        <v/>
      </c>
      <c r="J2996" s="5" t="str">
        <f aca="false">IF($I2996="","","R"&amp;$I2996)</f>
        <v/>
      </c>
    </row>
    <row r="2997" customFormat="false" ht="15" hidden="false" customHeight="true" outlineLevel="0" collapsed="false">
      <c r="H2997" s="14" t="b">
        <f aca="false">IF(중복검사!$A2995="",FALSE(),중복검사!$J2995="유지")</f>
        <v>0</v>
      </c>
      <c r="I2997" s="5" t="str">
        <f aca="false">IF($H2997=FALSE(),"",COUNTIF($H$6:$H2997,TRUE()))</f>
        <v/>
      </c>
      <c r="J2997" s="5" t="str">
        <f aca="false">IF($I2997="","","R"&amp;$I2997)</f>
        <v/>
      </c>
    </row>
    <row r="2998" customFormat="false" ht="15" hidden="false" customHeight="true" outlineLevel="0" collapsed="false">
      <c r="H2998" s="14" t="b">
        <f aca="false">IF(중복검사!$A2996="",FALSE(),중복검사!$J2996="유지")</f>
        <v>0</v>
      </c>
      <c r="I2998" s="5" t="str">
        <f aca="false">IF($H2998=FALSE(),"",COUNTIF($H$6:$H2998,TRUE()))</f>
        <v/>
      </c>
      <c r="J2998" s="5" t="str">
        <f aca="false">IF($I2998="","","R"&amp;$I2998)</f>
        <v/>
      </c>
    </row>
    <row r="2999" customFormat="false" ht="15" hidden="false" customHeight="true" outlineLevel="0" collapsed="false">
      <c r="H2999" s="14" t="b">
        <f aca="false">IF(중복검사!$A2997="",FALSE(),중복검사!$J2997="유지")</f>
        <v>0</v>
      </c>
      <c r="I2999" s="5" t="str">
        <f aca="false">IF($H2999=FALSE(),"",COUNTIF($H$6:$H2999,TRUE()))</f>
        <v/>
      </c>
      <c r="J2999" s="5" t="str">
        <f aca="false">IF($I2999="","","R"&amp;$I2999)</f>
        <v/>
      </c>
    </row>
    <row r="3000" customFormat="false" ht="15" hidden="false" customHeight="true" outlineLevel="0" collapsed="false">
      <c r="H3000" s="14" t="b">
        <f aca="false">IF(중복검사!$A2998="",FALSE(),중복검사!$J2998="유지")</f>
        <v>0</v>
      </c>
      <c r="I3000" s="5" t="str">
        <f aca="false">IF($H3000=FALSE(),"",COUNTIF($H$6:$H3000,TRUE()))</f>
        <v/>
      </c>
      <c r="J3000" s="5" t="str">
        <f aca="false">IF($I3000="","","R"&amp;$I3000)</f>
        <v/>
      </c>
    </row>
    <row r="3001" customFormat="false" ht="15" hidden="false" customHeight="true" outlineLevel="0" collapsed="false">
      <c r="H3001" s="14" t="b">
        <f aca="false">IF(중복검사!$A2999="",FALSE(),중복검사!$J2999="유지")</f>
        <v>0</v>
      </c>
      <c r="I3001" s="5" t="str">
        <f aca="false">IF($H3001=FALSE(),"",COUNTIF($H$6:$H3001,TRUE()))</f>
        <v/>
      </c>
      <c r="J3001" s="5" t="str">
        <f aca="false">IF($I3001="","","R"&amp;$I3001)</f>
        <v/>
      </c>
    </row>
    <row r="3002" customFormat="false" ht="15" hidden="false" customHeight="true" outlineLevel="0" collapsed="false">
      <c r="H3002" s="14" t="b">
        <f aca="false">IF(중복검사!$A3000="",FALSE(),중복검사!$J3000="유지")</f>
        <v>0</v>
      </c>
      <c r="I3002" s="5" t="str">
        <f aca="false">IF($H3002=FALSE(),"",COUNTIF($H$6:$H3002,TRUE()))</f>
        <v/>
      </c>
      <c r="J3002" s="5" t="str">
        <f aca="false">IF($I3002="","","R"&amp;$I3002)</f>
        <v/>
      </c>
    </row>
    <row r="3003" customFormat="false" ht="15" hidden="false" customHeight="true" outlineLevel="0" collapsed="false">
      <c r="H3003" s="14" t="b">
        <f aca="false">IF(중복검사!$A3001="",FALSE(),중복검사!$J3001="유지")</f>
        <v>0</v>
      </c>
      <c r="I3003" s="5" t="str">
        <f aca="false">IF($H3003=FALSE(),"",COUNTIF($H$6:$H3003,TRUE()))</f>
        <v/>
      </c>
      <c r="J3003" s="5" t="str">
        <f aca="false">IF($I3003="","","R"&amp;$I3003)</f>
        <v/>
      </c>
    </row>
    <row r="3004" customFormat="false" ht="15" hidden="false" customHeight="true" outlineLevel="0" collapsed="false">
      <c r="H3004" s="14" t="b">
        <f aca="false">IF(중복검사!$A3002="",FALSE(),중복검사!$J3002="유지")</f>
        <v>0</v>
      </c>
      <c r="I3004" s="5" t="str">
        <f aca="false">IF($H3004=FALSE(),"",COUNTIF($H$6:$H3004,TRUE()))</f>
        <v/>
      </c>
      <c r="J3004" s="5" t="str">
        <f aca="false">IF($I3004="","","R"&amp;$I3004)</f>
        <v/>
      </c>
    </row>
    <row r="3005" customFormat="false" ht="15" hidden="false" customHeight="true" outlineLevel="0" collapsed="false">
      <c r="H3005" s="14" t="b">
        <f aca="false">IF(중복검사!$A3003="",FALSE(),중복검사!$J3003="유지")</f>
        <v>0</v>
      </c>
      <c r="I3005" s="5" t="str">
        <f aca="false">IF($H3005=FALSE(),"",COUNTIF($H$6:$H3005,TRUE()))</f>
        <v/>
      </c>
      <c r="J3005" s="5" t="str">
        <f aca="false">IF($I3005="","","R"&amp;$I3005)</f>
        <v/>
      </c>
    </row>
    <row r="3006" customFormat="false" ht="15" hidden="false" customHeight="true" outlineLevel="0" collapsed="false">
      <c r="H3006" s="14" t="b">
        <f aca="false">IF(중복검사!$A3004="",FALSE(),중복검사!$J3004="유지")</f>
        <v>0</v>
      </c>
      <c r="I3006" s="5" t="str">
        <f aca="false">IF($H3006=FALSE(),"",COUNTIF($H$6:$H3006,TRUE()))</f>
        <v/>
      </c>
      <c r="J3006" s="5" t="str">
        <f aca="false">IF($I3006="","","R"&amp;$I3006)</f>
        <v/>
      </c>
    </row>
    <row r="3007" customFormat="false" ht="15" hidden="false" customHeight="true" outlineLevel="0" collapsed="false">
      <c r="H3007" s="14" t="b">
        <f aca="false">IF(중복검사!$A3005="",FALSE(),중복검사!$J3005="유지")</f>
        <v>0</v>
      </c>
      <c r="I3007" s="5" t="str">
        <f aca="false">IF($H3007=FALSE(),"",COUNTIF($H$6:$H3007,TRUE()))</f>
        <v/>
      </c>
      <c r="J3007" s="5" t="str">
        <f aca="false">IF($I3007="","","R"&amp;$I3007)</f>
        <v/>
      </c>
    </row>
    <row r="3008" customFormat="false" ht="15" hidden="false" customHeight="true" outlineLevel="0" collapsed="false">
      <c r="H3008" s="14" t="b">
        <f aca="false">IF(중복검사!$A3006="",FALSE(),중복검사!$J3006="유지")</f>
        <v>0</v>
      </c>
      <c r="I3008" s="5" t="str">
        <f aca="false">IF($H3008=FALSE(),"",COUNTIF($H$6:$H3008,TRUE()))</f>
        <v/>
      </c>
      <c r="J3008" s="5" t="str">
        <f aca="false">IF($I3008="","","R"&amp;$I3008)</f>
        <v/>
      </c>
    </row>
    <row r="3009" customFormat="false" ht="15" hidden="false" customHeight="true" outlineLevel="0" collapsed="false">
      <c r="H3009" s="14" t="b">
        <f aca="false">IF(중복검사!$A3007="",FALSE(),중복검사!$J3007="유지")</f>
        <v>0</v>
      </c>
      <c r="I3009" s="5" t="str">
        <f aca="false">IF($H3009=FALSE(),"",COUNTIF($H$6:$H3009,TRUE()))</f>
        <v/>
      </c>
      <c r="J3009" s="5" t="str">
        <f aca="false">IF($I3009="","","R"&amp;$I3009)</f>
        <v/>
      </c>
    </row>
    <row r="3010" customFormat="false" ht="15" hidden="false" customHeight="true" outlineLevel="0" collapsed="false">
      <c r="H3010" s="14" t="b">
        <f aca="false">IF(중복검사!$A3008="",FALSE(),중복검사!$J3008="유지")</f>
        <v>0</v>
      </c>
      <c r="I3010" s="5" t="str">
        <f aca="false">IF($H3010=FALSE(),"",COUNTIF($H$6:$H3010,TRUE()))</f>
        <v/>
      </c>
      <c r="J3010" s="5" t="str">
        <f aca="false">IF($I3010="","","R"&amp;$I3010)</f>
        <v/>
      </c>
    </row>
    <row r="3011" customFormat="false" ht="15" hidden="false" customHeight="true" outlineLevel="0" collapsed="false">
      <c r="H3011" s="14" t="b">
        <f aca="false">IF(중복검사!$A3009="",FALSE(),중복검사!$J3009="유지")</f>
        <v>0</v>
      </c>
      <c r="I3011" s="5" t="str">
        <f aca="false">IF($H3011=FALSE(),"",COUNTIF($H$6:$H3011,TRUE()))</f>
        <v/>
      </c>
      <c r="J3011" s="5" t="str">
        <f aca="false">IF($I3011="","","R"&amp;$I3011)</f>
        <v/>
      </c>
    </row>
    <row r="3012" customFormat="false" ht="15" hidden="false" customHeight="true" outlineLevel="0" collapsed="false">
      <c r="H3012" s="14" t="b">
        <f aca="false">IF(중복검사!$A3010="",FALSE(),중복검사!$J3010="유지")</f>
        <v>0</v>
      </c>
      <c r="I3012" s="5" t="str">
        <f aca="false">IF($H3012=FALSE(),"",COUNTIF($H$6:$H3012,TRUE()))</f>
        <v/>
      </c>
      <c r="J3012" s="5" t="str">
        <f aca="false">IF($I3012="","","R"&amp;$I3012)</f>
        <v/>
      </c>
    </row>
    <row r="3013" customFormat="false" ht="15" hidden="false" customHeight="true" outlineLevel="0" collapsed="false">
      <c r="H3013" s="14" t="b">
        <f aca="false">IF(중복검사!$A3011="",FALSE(),중복검사!$J3011="유지")</f>
        <v>0</v>
      </c>
      <c r="I3013" s="5" t="str">
        <f aca="false">IF($H3013=FALSE(),"",COUNTIF($H$6:$H3013,TRUE()))</f>
        <v/>
      </c>
      <c r="J3013" s="5" t="str">
        <f aca="false">IF($I3013="","","R"&amp;$I3013)</f>
        <v/>
      </c>
    </row>
    <row r="3014" customFormat="false" ht="15" hidden="false" customHeight="true" outlineLevel="0" collapsed="false">
      <c r="H3014" s="14" t="b">
        <f aca="false">IF(중복검사!$A3012="",FALSE(),중복검사!$J3012="유지")</f>
        <v>0</v>
      </c>
      <c r="I3014" s="5" t="str">
        <f aca="false">IF($H3014=FALSE(),"",COUNTIF($H$6:$H3014,TRUE()))</f>
        <v/>
      </c>
      <c r="J3014" s="5" t="str">
        <f aca="false">IF($I3014="","","R"&amp;$I3014)</f>
        <v/>
      </c>
    </row>
    <row r="3015" customFormat="false" ht="15" hidden="false" customHeight="true" outlineLevel="0" collapsed="false">
      <c r="H3015" s="14" t="b">
        <f aca="false">IF(중복검사!$A3013="",FALSE(),중복검사!$J3013="유지")</f>
        <v>0</v>
      </c>
      <c r="I3015" s="5" t="str">
        <f aca="false">IF($H3015=FALSE(),"",COUNTIF($H$6:$H3015,TRUE()))</f>
        <v/>
      </c>
      <c r="J3015" s="5" t="str">
        <f aca="false">IF($I3015="","","R"&amp;$I3015)</f>
        <v/>
      </c>
    </row>
    <row r="3016" customFormat="false" ht="15" hidden="false" customHeight="true" outlineLevel="0" collapsed="false">
      <c r="H3016" s="14" t="b">
        <f aca="false">IF(중복검사!$A3014="",FALSE(),중복검사!$J3014="유지")</f>
        <v>0</v>
      </c>
      <c r="I3016" s="5" t="str">
        <f aca="false">IF($H3016=FALSE(),"",COUNTIF($H$6:$H3016,TRUE()))</f>
        <v/>
      </c>
      <c r="J3016" s="5" t="str">
        <f aca="false">IF($I3016="","","R"&amp;$I3016)</f>
        <v/>
      </c>
    </row>
    <row r="3017" customFormat="false" ht="15" hidden="false" customHeight="true" outlineLevel="0" collapsed="false">
      <c r="H3017" s="14" t="b">
        <f aca="false">IF(중복검사!$A3015="",FALSE(),중복검사!$J3015="유지")</f>
        <v>0</v>
      </c>
      <c r="I3017" s="5" t="str">
        <f aca="false">IF($H3017=FALSE(),"",COUNTIF($H$6:$H3017,TRUE()))</f>
        <v/>
      </c>
      <c r="J3017" s="5" t="str">
        <f aca="false">IF($I3017="","","R"&amp;$I3017)</f>
        <v/>
      </c>
    </row>
    <row r="3018" customFormat="false" ht="15" hidden="false" customHeight="true" outlineLevel="0" collapsed="false">
      <c r="H3018" s="14" t="b">
        <f aca="false">IF(중복검사!$A3016="",FALSE(),중복검사!$J3016="유지")</f>
        <v>0</v>
      </c>
      <c r="I3018" s="5" t="str">
        <f aca="false">IF($H3018=FALSE(),"",COUNTIF($H$6:$H3018,TRUE()))</f>
        <v/>
      </c>
      <c r="J3018" s="5" t="str">
        <f aca="false">IF($I3018="","","R"&amp;$I3018)</f>
        <v/>
      </c>
    </row>
    <row r="3019" customFormat="false" ht="15" hidden="false" customHeight="true" outlineLevel="0" collapsed="false">
      <c r="H3019" s="14" t="b">
        <f aca="false">IF(중복검사!$A3017="",FALSE(),중복검사!$J3017="유지")</f>
        <v>0</v>
      </c>
      <c r="I3019" s="5" t="str">
        <f aca="false">IF($H3019=FALSE(),"",COUNTIF($H$6:$H3019,TRUE()))</f>
        <v/>
      </c>
      <c r="J3019" s="5" t="str">
        <f aca="false">IF($I3019="","","R"&amp;$I3019)</f>
        <v/>
      </c>
    </row>
    <row r="3020" customFormat="false" ht="15" hidden="false" customHeight="true" outlineLevel="0" collapsed="false">
      <c r="H3020" s="14" t="b">
        <f aca="false">IF(중복검사!$A3018="",FALSE(),중복검사!$J3018="유지")</f>
        <v>0</v>
      </c>
      <c r="I3020" s="5" t="str">
        <f aca="false">IF($H3020=FALSE(),"",COUNTIF($H$6:$H3020,TRUE()))</f>
        <v/>
      </c>
      <c r="J3020" s="5" t="str">
        <f aca="false">IF($I3020="","","R"&amp;$I3020)</f>
        <v/>
      </c>
    </row>
    <row r="3021" customFormat="false" ht="15" hidden="false" customHeight="true" outlineLevel="0" collapsed="false">
      <c r="H3021" s="14" t="b">
        <f aca="false">IF(중복검사!$A3019="",FALSE(),중복검사!$J3019="유지")</f>
        <v>0</v>
      </c>
      <c r="I3021" s="5" t="str">
        <f aca="false">IF($H3021=FALSE(),"",COUNTIF($H$6:$H3021,TRUE()))</f>
        <v/>
      </c>
      <c r="J3021" s="5" t="str">
        <f aca="false">IF($I3021="","","R"&amp;$I3021)</f>
        <v/>
      </c>
    </row>
    <row r="3022" customFormat="false" ht="15" hidden="false" customHeight="true" outlineLevel="0" collapsed="false">
      <c r="H3022" s="14" t="b">
        <f aca="false">IF(중복검사!$A3020="",FALSE(),중복검사!$J3020="유지")</f>
        <v>0</v>
      </c>
      <c r="I3022" s="5" t="str">
        <f aca="false">IF($H3022=FALSE(),"",COUNTIF($H$6:$H3022,TRUE()))</f>
        <v/>
      </c>
      <c r="J3022" s="5" t="str">
        <f aca="false">IF($I3022="","","R"&amp;$I3022)</f>
        <v/>
      </c>
    </row>
    <row r="3023" customFormat="false" ht="15" hidden="false" customHeight="true" outlineLevel="0" collapsed="false">
      <c r="H3023" s="14" t="b">
        <f aca="false">IF(중복검사!$A3021="",FALSE(),중복검사!$J3021="유지")</f>
        <v>0</v>
      </c>
      <c r="I3023" s="5" t="str">
        <f aca="false">IF($H3023=FALSE(),"",COUNTIF($H$6:$H3023,TRUE()))</f>
        <v/>
      </c>
      <c r="J3023" s="5" t="str">
        <f aca="false">IF($I3023="","","R"&amp;$I3023)</f>
        <v/>
      </c>
    </row>
    <row r="3024" customFormat="false" ht="15" hidden="false" customHeight="true" outlineLevel="0" collapsed="false">
      <c r="H3024" s="14" t="b">
        <f aca="false">IF(중복검사!$A3022="",FALSE(),중복검사!$J3022="유지")</f>
        <v>0</v>
      </c>
      <c r="I3024" s="5" t="str">
        <f aca="false">IF($H3024=FALSE(),"",COUNTIF($H$6:$H3024,TRUE()))</f>
        <v/>
      </c>
      <c r="J3024" s="5" t="str">
        <f aca="false">IF($I3024="","","R"&amp;$I3024)</f>
        <v/>
      </c>
    </row>
    <row r="3025" customFormat="false" ht="15" hidden="false" customHeight="true" outlineLevel="0" collapsed="false">
      <c r="H3025" s="14" t="b">
        <f aca="false">IF(중복검사!$A3023="",FALSE(),중복검사!$J3023="유지")</f>
        <v>0</v>
      </c>
      <c r="I3025" s="5" t="str">
        <f aca="false">IF($H3025=FALSE(),"",COUNTIF($H$6:$H3025,TRUE()))</f>
        <v/>
      </c>
      <c r="J3025" s="5" t="str">
        <f aca="false">IF($I3025="","","R"&amp;$I3025)</f>
        <v/>
      </c>
    </row>
    <row r="3026" customFormat="false" ht="15" hidden="false" customHeight="true" outlineLevel="0" collapsed="false">
      <c r="H3026" s="14" t="b">
        <f aca="false">IF(중복검사!$A3024="",FALSE(),중복검사!$J3024="유지")</f>
        <v>0</v>
      </c>
      <c r="I3026" s="5" t="str">
        <f aca="false">IF($H3026=FALSE(),"",COUNTIF($H$6:$H3026,TRUE()))</f>
        <v/>
      </c>
      <c r="J3026" s="5" t="str">
        <f aca="false">IF($I3026="","","R"&amp;$I3026)</f>
        <v/>
      </c>
    </row>
    <row r="3027" customFormat="false" ht="15" hidden="false" customHeight="true" outlineLevel="0" collapsed="false">
      <c r="H3027" s="14" t="b">
        <f aca="false">IF(중복검사!$A3025="",FALSE(),중복검사!$J3025="유지")</f>
        <v>0</v>
      </c>
      <c r="I3027" s="5" t="str">
        <f aca="false">IF($H3027=FALSE(),"",COUNTIF($H$6:$H3027,TRUE()))</f>
        <v/>
      </c>
      <c r="J3027" s="5" t="str">
        <f aca="false">IF($I3027="","","R"&amp;$I3027)</f>
        <v/>
      </c>
    </row>
    <row r="3028" customFormat="false" ht="15" hidden="false" customHeight="true" outlineLevel="0" collapsed="false">
      <c r="H3028" s="14" t="b">
        <f aca="false">IF(중복검사!$A3026="",FALSE(),중복검사!$J3026="유지")</f>
        <v>0</v>
      </c>
      <c r="I3028" s="5" t="str">
        <f aca="false">IF($H3028=FALSE(),"",COUNTIF($H$6:$H3028,TRUE()))</f>
        <v/>
      </c>
      <c r="J3028" s="5" t="str">
        <f aca="false">IF($I3028="","","R"&amp;$I3028)</f>
        <v/>
      </c>
    </row>
    <row r="3029" customFormat="false" ht="15" hidden="false" customHeight="true" outlineLevel="0" collapsed="false">
      <c r="H3029" s="14" t="b">
        <f aca="false">IF(중복검사!$A3027="",FALSE(),중복검사!$J3027="유지")</f>
        <v>0</v>
      </c>
      <c r="I3029" s="5" t="str">
        <f aca="false">IF($H3029=FALSE(),"",COUNTIF($H$6:$H3029,TRUE()))</f>
        <v/>
      </c>
      <c r="J3029" s="5" t="str">
        <f aca="false">IF($I3029="","","R"&amp;$I3029)</f>
        <v/>
      </c>
    </row>
    <row r="3030" customFormat="false" ht="15" hidden="false" customHeight="true" outlineLevel="0" collapsed="false">
      <c r="H3030" s="14" t="b">
        <f aca="false">IF(중복검사!$A3028="",FALSE(),중복검사!$J3028="유지")</f>
        <v>0</v>
      </c>
      <c r="I3030" s="5" t="str">
        <f aca="false">IF($H3030=FALSE(),"",COUNTIF($H$6:$H3030,TRUE()))</f>
        <v/>
      </c>
      <c r="J3030" s="5" t="str">
        <f aca="false">IF($I3030="","","R"&amp;$I3030)</f>
        <v/>
      </c>
    </row>
    <row r="3031" customFormat="false" ht="15" hidden="false" customHeight="true" outlineLevel="0" collapsed="false">
      <c r="H3031" s="14" t="b">
        <f aca="false">IF(중복검사!$A3029="",FALSE(),중복검사!$J3029="유지")</f>
        <v>0</v>
      </c>
      <c r="I3031" s="5" t="str">
        <f aca="false">IF($H3031=FALSE(),"",COUNTIF($H$6:$H3031,TRUE()))</f>
        <v/>
      </c>
      <c r="J3031" s="5" t="str">
        <f aca="false">IF($I3031="","","R"&amp;$I3031)</f>
        <v/>
      </c>
    </row>
    <row r="3032" customFormat="false" ht="15" hidden="false" customHeight="true" outlineLevel="0" collapsed="false">
      <c r="H3032" s="14" t="b">
        <f aca="false">IF(중복검사!$A3030="",FALSE(),중복검사!$J3030="유지")</f>
        <v>0</v>
      </c>
      <c r="I3032" s="5" t="str">
        <f aca="false">IF($H3032=FALSE(),"",COUNTIF($H$6:$H3032,TRUE()))</f>
        <v/>
      </c>
      <c r="J3032" s="5" t="str">
        <f aca="false">IF($I3032="","","R"&amp;$I3032)</f>
        <v/>
      </c>
    </row>
    <row r="3033" customFormat="false" ht="15" hidden="false" customHeight="true" outlineLevel="0" collapsed="false">
      <c r="H3033" s="14" t="b">
        <f aca="false">IF(중복검사!$A3031="",FALSE(),중복검사!$J3031="유지")</f>
        <v>0</v>
      </c>
      <c r="I3033" s="5" t="str">
        <f aca="false">IF($H3033=FALSE(),"",COUNTIF($H$6:$H3033,TRUE()))</f>
        <v/>
      </c>
      <c r="J3033" s="5" t="str">
        <f aca="false">IF($I3033="","","R"&amp;$I3033)</f>
        <v/>
      </c>
    </row>
    <row r="3034" customFormat="false" ht="15" hidden="false" customHeight="true" outlineLevel="0" collapsed="false">
      <c r="H3034" s="14" t="b">
        <f aca="false">IF(중복검사!$A3032="",FALSE(),중복검사!$J3032="유지")</f>
        <v>0</v>
      </c>
      <c r="I3034" s="5" t="str">
        <f aca="false">IF($H3034=FALSE(),"",COUNTIF($H$6:$H3034,TRUE()))</f>
        <v/>
      </c>
      <c r="J3034" s="5" t="str">
        <f aca="false">IF($I3034="","","R"&amp;$I3034)</f>
        <v/>
      </c>
    </row>
    <row r="3035" customFormat="false" ht="15" hidden="false" customHeight="true" outlineLevel="0" collapsed="false">
      <c r="H3035" s="14" t="b">
        <f aca="false">IF(중복검사!$A3033="",FALSE(),중복검사!$J3033="유지")</f>
        <v>0</v>
      </c>
      <c r="I3035" s="5" t="str">
        <f aca="false">IF($H3035=FALSE(),"",COUNTIF($H$6:$H3035,TRUE()))</f>
        <v/>
      </c>
      <c r="J3035" s="5" t="str">
        <f aca="false">IF($I3035="","","R"&amp;$I3035)</f>
        <v/>
      </c>
    </row>
    <row r="3036" customFormat="false" ht="15" hidden="false" customHeight="true" outlineLevel="0" collapsed="false">
      <c r="H3036" s="14" t="b">
        <f aca="false">IF(중복검사!$A3034="",FALSE(),중복검사!$J3034="유지")</f>
        <v>0</v>
      </c>
      <c r="I3036" s="5" t="str">
        <f aca="false">IF($H3036=FALSE(),"",COUNTIF($H$6:$H3036,TRUE()))</f>
        <v/>
      </c>
      <c r="J3036" s="5" t="str">
        <f aca="false">IF($I3036="","","R"&amp;$I3036)</f>
        <v/>
      </c>
    </row>
    <row r="3037" customFormat="false" ht="15" hidden="false" customHeight="true" outlineLevel="0" collapsed="false">
      <c r="H3037" s="14" t="b">
        <f aca="false">IF(중복검사!$A3035="",FALSE(),중복검사!$J3035="유지")</f>
        <v>0</v>
      </c>
      <c r="I3037" s="5" t="str">
        <f aca="false">IF($H3037=FALSE(),"",COUNTIF($H$6:$H3037,TRUE()))</f>
        <v/>
      </c>
      <c r="J3037" s="5" t="str">
        <f aca="false">IF($I3037="","","R"&amp;$I3037)</f>
        <v/>
      </c>
    </row>
    <row r="3038" customFormat="false" ht="15" hidden="false" customHeight="true" outlineLevel="0" collapsed="false">
      <c r="H3038" s="14" t="b">
        <f aca="false">IF(중복검사!$A3036="",FALSE(),중복검사!$J3036="유지")</f>
        <v>0</v>
      </c>
      <c r="I3038" s="5" t="str">
        <f aca="false">IF($H3038=FALSE(),"",COUNTIF($H$6:$H3038,TRUE()))</f>
        <v/>
      </c>
      <c r="J3038" s="5" t="str">
        <f aca="false">IF($I3038="","","R"&amp;$I3038)</f>
        <v/>
      </c>
    </row>
    <row r="3039" customFormat="false" ht="15" hidden="false" customHeight="true" outlineLevel="0" collapsed="false">
      <c r="H3039" s="14" t="b">
        <f aca="false">IF(중복검사!$A3037="",FALSE(),중복검사!$J3037="유지")</f>
        <v>0</v>
      </c>
      <c r="I3039" s="5" t="str">
        <f aca="false">IF($H3039=FALSE(),"",COUNTIF($H$6:$H3039,TRUE()))</f>
        <v/>
      </c>
      <c r="J3039" s="5" t="str">
        <f aca="false">IF($I3039="","","R"&amp;$I3039)</f>
        <v/>
      </c>
    </row>
    <row r="3040" customFormat="false" ht="15" hidden="false" customHeight="true" outlineLevel="0" collapsed="false">
      <c r="H3040" s="14" t="b">
        <f aca="false">IF(중복검사!$A3038="",FALSE(),중복검사!$J3038="유지")</f>
        <v>0</v>
      </c>
      <c r="I3040" s="5" t="str">
        <f aca="false">IF($H3040=FALSE(),"",COUNTIF($H$6:$H3040,TRUE()))</f>
        <v/>
      </c>
      <c r="J3040" s="5" t="str">
        <f aca="false">IF($I3040="","","R"&amp;$I3040)</f>
        <v/>
      </c>
    </row>
    <row r="3041" customFormat="false" ht="15" hidden="false" customHeight="true" outlineLevel="0" collapsed="false">
      <c r="H3041" s="14" t="b">
        <f aca="false">IF(중복검사!$A3039="",FALSE(),중복검사!$J3039="유지")</f>
        <v>0</v>
      </c>
      <c r="I3041" s="5" t="str">
        <f aca="false">IF($H3041=FALSE(),"",COUNTIF($H$6:$H3041,TRUE()))</f>
        <v/>
      </c>
      <c r="J3041" s="5" t="str">
        <f aca="false">IF($I3041="","","R"&amp;$I3041)</f>
        <v/>
      </c>
    </row>
    <row r="3042" customFormat="false" ht="15" hidden="false" customHeight="true" outlineLevel="0" collapsed="false">
      <c r="H3042" s="14" t="b">
        <f aca="false">IF(중복검사!$A3040="",FALSE(),중복검사!$J3040="유지")</f>
        <v>0</v>
      </c>
      <c r="I3042" s="5" t="str">
        <f aca="false">IF($H3042=FALSE(),"",COUNTIF($H$6:$H3042,TRUE()))</f>
        <v/>
      </c>
      <c r="J3042" s="5" t="str">
        <f aca="false">IF($I3042="","","R"&amp;$I3042)</f>
        <v/>
      </c>
    </row>
    <row r="3043" customFormat="false" ht="15" hidden="false" customHeight="true" outlineLevel="0" collapsed="false">
      <c r="H3043" s="14" t="b">
        <f aca="false">IF(중복검사!$A3041="",FALSE(),중복검사!$J3041="유지")</f>
        <v>0</v>
      </c>
      <c r="I3043" s="5" t="str">
        <f aca="false">IF($H3043=FALSE(),"",COUNTIF($H$6:$H3043,TRUE()))</f>
        <v/>
      </c>
      <c r="J3043" s="5" t="str">
        <f aca="false">IF($I3043="","","R"&amp;$I3043)</f>
        <v/>
      </c>
    </row>
    <row r="3044" customFormat="false" ht="15" hidden="false" customHeight="true" outlineLevel="0" collapsed="false">
      <c r="H3044" s="14" t="b">
        <f aca="false">IF(중복검사!$A3042="",FALSE(),중복검사!$J3042="유지")</f>
        <v>0</v>
      </c>
      <c r="I3044" s="5" t="str">
        <f aca="false">IF($H3044=FALSE(),"",COUNTIF($H$6:$H3044,TRUE()))</f>
        <v/>
      </c>
      <c r="J3044" s="5" t="str">
        <f aca="false">IF($I3044="","","R"&amp;$I3044)</f>
        <v/>
      </c>
    </row>
    <row r="3045" customFormat="false" ht="15" hidden="false" customHeight="true" outlineLevel="0" collapsed="false">
      <c r="H3045" s="14" t="b">
        <f aca="false">IF(중복검사!$A3043="",FALSE(),중복검사!$J3043="유지")</f>
        <v>0</v>
      </c>
      <c r="I3045" s="5" t="str">
        <f aca="false">IF($H3045=FALSE(),"",COUNTIF($H$6:$H3045,TRUE()))</f>
        <v/>
      </c>
      <c r="J3045" s="5" t="str">
        <f aca="false">IF($I3045="","","R"&amp;$I3045)</f>
        <v/>
      </c>
    </row>
    <row r="3046" customFormat="false" ht="15" hidden="false" customHeight="true" outlineLevel="0" collapsed="false">
      <c r="H3046" s="14" t="b">
        <f aca="false">IF(중복검사!$A3044="",FALSE(),중복검사!$J3044="유지")</f>
        <v>0</v>
      </c>
      <c r="I3046" s="5" t="str">
        <f aca="false">IF($H3046=FALSE(),"",COUNTIF($H$6:$H3046,TRUE()))</f>
        <v/>
      </c>
      <c r="J3046" s="5" t="str">
        <f aca="false">IF($I3046="","","R"&amp;$I3046)</f>
        <v/>
      </c>
    </row>
    <row r="3047" customFormat="false" ht="15" hidden="false" customHeight="true" outlineLevel="0" collapsed="false">
      <c r="H3047" s="14" t="b">
        <f aca="false">IF(중복검사!$A3045="",FALSE(),중복검사!$J3045="유지")</f>
        <v>0</v>
      </c>
      <c r="I3047" s="5" t="str">
        <f aca="false">IF($H3047=FALSE(),"",COUNTIF($H$6:$H3047,TRUE()))</f>
        <v/>
      </c>
      <c r="J3047" s="5" t="str">
        <f aca="false">IF($I3047="","","R"&amp;$I3047)</f>
        <v/>
      </c>
    </row>
    <row r="3048" customFormat="false" ht="15" hidden="false" customHeight="true" outlineLevel="0" collapsed="false">
      <c r="H3048" s="14" t="b">
        <f aca="false">IF(중복검사!$A3046="",FALSE(),중복검사!$J3046="유지")</f>
        <v>0</v>
      </c>
      <c r="I3048" s="5" t="str">
        <f aca="false">IF($H3048=FALSE(),"",COUNTIF($H$6:$H3048,TRUE()))</f>
        <v/>
      </c>
      <c r="J3048" s="5" t="str">
        <f aca="false">IF($I3048="","","R"&amp;$I3048)</f>
        <v/>
      </c>
    </row>
    <row r="3049" customFormat="false" ht="15" hidden="false" customHeight="true" outlineLevel="0" collapsed="false">
      <c r="H3049" s="14" t="b">
        <f aca="false">IF(중복검사!$A3047="",FALSE(),중복검사!$J3047="유지")</f>
        <v>0</v>
      </c>
      <c r="I3049" s="5" t="str">
        <f aca="false">IF($H3049=FALSE(),"",COUNTIF($H$6:$H3049,TRUE()))</f>
        <v/>
      </c>
      <c r="J3049" s="5" t="str">
        <f aca="false">IF($I3049="","","R"&amp;$I3049)</f>
        <v/>
      </c>
    </row>
    <row r="3050" customFormat="false" ht="15" hidden="false" customHeight="true" outlineLevel="0" collapsed="false">
      <c r="H3050" s="14" t="b">
        <f aca="false">IF(중복검사!$A3048="",FALSE(),중복검사!$J3048="유지")</f>
        <v>0</v>
      </c>
      <c r="I3050" s="5" t="str">
        <f aca="false">IF($H3050=FALSE(),"",COUNTIF($H$6:$H3050,TRUE()))</f>
        <v/>
      </c>
      <c r="J3050" s="5" t="str">
        <f aca="false">IF($I3050="","","R"&amp;$I3050)</f>
        <v/>
      </c>
    </row>
    <row r="3051" customFormat="false" ht="15" hidden="false" customHeight="true" outlineLevel="0" collapsed="false">
      <c r="H3051" s="14" t="b">
        <f aca="false">IF(중복검사!$A3049="",FALSE(),중복검사!$J3049="유지")</f>
        <v>0</v>
      </c>
      <c r="I3051" s="5" t="str">
        <f aca="false">IF($H3051=FALSE(),"",COUNTIF($H$6:$H3051,TRUE()))</f>
        <v/>
      </c>
      <c r="J3051" s="5" t="str">
        <f aca="false">IF($I3051="","","R"&amp;$I3051)</f>
        <v/>
      </c>
    </row>
    <row r="3052" customFormat="false" ht="15" hidden="false" customHeight="true" outlineLevel="0" collapsed="false">
      <c r="H3052" s="14" t="b">
        <f aca="false">IF(중복검사!$A3050="",FALSE(),중복검사!$J3050="유지")</f>
        <v>0</v>
      </c>
      <c r="I3052" s="5" t="str">
        <f aca="false">IF($H3052=FALSE(),"",COUNTIF($H$6:$H3052,TRUE()))</f>
        <v/>
      </c>
      <c r="J3052" s="5" t="str">
        <f aca="false">IF($I3052="","","R"&amp;$I3052)</f>
        <v/>
      </c>
    </row>
    <row r="3053" customFormat="false" ht="15" hidden="false" customHeight="true" outlineLevel="0" collapsed="false">
      <c r="H3053" s="14" t="b">
        <f aca="false">IF(중복검사!$A3051="",FALSE(),중복검사!$J3051="유지")</f>
        <v>0</v>
      </c>
      <c r="I3053" s="5" t="str">
        <f aca="false">IF($H3053=FALSE(),"",COUNTIF($H$6:$H3053,TRUE()))</f>
        <v/>
      </c>
      <c r="J3053" s="5" t="str">
        <f aca="false">IF($I3053="","","R"&amp;$I3053)</f>
        <v/>
      </c>
    </row>
    <row r="3054" customFormat="false" ht="15" hidden="false" customHeight="true" outlineLevel="0" collapsed="false">
      <c r="H3054" s="14" t="b">
        <f aca="false">IF(중복검사!$A3052="",FALSE(),중복검사!$J3052="유지")</f>
        <v>0</v>
      </c>
      <c r="I3054" s="5" t="str">
        <f aca="false">IF($H3054=FALSE(),"",COUNTIF($H$6:$H3054,TRUE()))</f>
        <v/>
      </c>
      <c r="J3054" s="5" t="str">
        <f aca="false">IF($I3054="","","R"&amp;$I3054)</f>
        <v/>
      </c>
    </row>
    <row r="3055" customFormat="false" ht="15" hidden="false" customHeight="true" outlineLevel="0" collapsed="false">
      <c r="H3055" s="14" t="b">
        <f aca="false">IF(중복검사!$A3053="",FALSE(),중복검사!$J3053="유지")</f>
        <v>0</v>
      </c>
      <c r="I3055" s="5" t="str">
        <f aca="false">IF($H3055=FALSE(),"",COUNTIF($H$6:$H3055,TRUE()))</f>
        <v/>
      </c>
      <c r="J3055" s="5" t="str">
        <f aca="false">IF($I3055="","","R"&amp;$I3055)</f>
        <v/>
      </c>
    </row>
    <row r="3056" customFormat="false" ht="15" hidden="false" customHeight="true" outlineLevel="0" collapsed="false">
      <c r="H3056" s="14" t="b">
        <f aca="false">IF(중복검사!$A3054="",FALSE(),중복검사!$J3054="유지")</f>
        <v>0</v>
      </c>
      <c r="I3056" s="5" t="str">
        <f aca="false">IF($H3056=FALSE(),"",COUNTIF($H$6:$H3056,TRUE()))</f>
        <v/>
      </c>
      <c r="J3056" s="5" t="str">
        <f aca="false">IF($I3056="","","R"&amp;$I3056)</f>
        <v/>
      </c>
    </row>
    <row r="3057" customFormat="false" ht="15" hidden="false" customHeight="true" outlineLevel="0" collapsed="false">
      <c r="H3057" s="14" t="b">
        <f aca="false">IF(중복검사!$A3055="",FALSE(),중복검사!$J3055="유지")</f>
        <v>0</v>
      </c>
      <c r="I3057" s="5" t="str">
        <f aca="false">IF($H3057=FALSE(),"",COUNTIF($H$6:$H3057,TRUE()))</f>
        <v/>
      </c>
      <c r="J3057" s="5" t="str">
        <f aca="false">IF($I3057="","","R"&amp;$I3057)</f>
        <v/>
      </c>
    </row>
    <row r="3058" customFormat="false" ht="15" hidden="false" customHeight="true" outlineLevel="0" collapsed="false">
      <c r="H3058" s="14" t="b">
        <f aca="false">IF(중복검사!$A3056="",FALSE(),중복검사!$J3056="유지")</f>
        <v>0</v>
      </c>
      <c r="I3058" s="5" t="str">
        <f aca="false">IF($H3058=FALSE(),"",COUNTIF($H$6:$H3058,TRUE()))</f>
        <v/>
      </c>
      <c r="J3058" s="5" t="str">
        <f aca="false">IF($I3058="","","R"&amp;$I3058)</f>
        <v/>
      </c>
    </row>
    <row r="3059" customFormat="false" ht="15" hidden="false" customHeight="true" outlineLevel="0" collapsed="false">
      <c r="H3059" s="14" t="b">
        <f aca="false">IF(중복검사!$A3057="",FALSE(),중복검사!$J3057="유지")</f>
        <v>0</v>
      </c>
      <c r="I3059" s="5" t="str">
        <f aca="false">IF($H3059=FALSE(),"",COUNTIF($H$6:$H3059,TRUE()))</f>
        <v/>
      </c>
      <c r="J3059" s="5" t="str">
        <f aca="false">IF($I3059="","","R"&amp;$I3059)</f>
        <v/>
      </c>
    </row>
    <row r="3060" customFormat="false" ht="15" hidden="false" customHeight="true" outlineLevel="0" collapsed="false">
      <c r="H3060" s="14" t="b">
        <f aca="false">IF(중복검사!$A3058="",FALSE(),중복검사!$J3058="유지")</f>
        <v>0</v>
      </c>
      <c r="I3060" s="5" t="str">
        <f aca="false">IF($H3060=FALSE(),"",COUNTIF($H$6:$H3060,TRUE()))</f>
        <v/>
      </c>
      <c r="J3060" s="5" t="str">
        <f aca="false">IF($I3060="","","R"&amp;$I3060)</f>
        <v/>
      </c>
    </row>
    <row r="3061" customFormat="false" ht="15" hidden="false" customHeight="true" outlineLevel="0" collapsed="false">
      <c r="H3061" s="14" t="b">
        <f aca="false">IF(중복검사!$A3059="",FALSE(),중복검사!$J3059="유지")</f>
        <v>0</v>
      </c>
      <c r="I3061" s="5" t="str">
        <f aca="false">IF($H3061=FALSE(),"",COUNTIF($H$6:$H3061,TRUE()))</f>
        <v/>
      </c>
      <c r="J3061" s="5" t="str">
        <f aca="false">IF($I3061="","","R"&amp;$I3061)</f>
        <v/>
      </c>
    </row>
    <row r="3062" customFormat="false" ht="15" hidden="false" customHeight="true" outlineLevel="0" collapsed="false">
      <c r="H3062" s="14" t="b">
        <f aca="false">IF(중복검사!$A3060="",FALSE(),중복검사!$J3060="유지")</f>
        <v>0</v>
      </c>
      <c r="I3062" s="5" t="str">
        <f aca="false">IF($H3062=FALSE(),"",COUNTIF($H$6:$H3062,TRUE()))</f>
        <v/>
      </c>
      <c r="J3062" s="5" t="str">
        <f aca="false">IF($I3062="","","R"&amp;$I3062)</f>
        <v/>
      </c>
    </row>
    <row r="3063" customFormat="false" ht="15" hidden="false" customHeight="true" outlineLevel="0" collapsed="false">
      <c r="H3063" s="14" t="b">
        <f aca="false">IF(중복검사!$A3061="",FALSE(),중복검사!$J3061="유지")</f>
        <v>0</v>
      </c>
      <c r="I3063" s="5" t="str">
        <f aca="false">IF($H3063=FALSE(),"",COUNTIF($H$6:$H3063,TRUE()))</f>
        <v/>
      </c>
      <c r="J3063" s="5" t="str">
        <f aca="false">IF($I3063="","","R"&amp;$I3063)</f>
        <v/>
      </c>
    </row>
    <row r="3064" customFormat="false" ht="15" hidden="false" customHeight="true" outlineLevel="0" collapsed="false">
      <c r="H3064" s="14" t="b">
        <f aca="false">IF(중복검사!$A3062="",FALSE(),중복검사!$J3062="유지")</f>
        <v>0</v>
      </c>
      <c r="I3064" s="5" t="str">
        <f aca="false">IF($H3064=FALSE(),"",COUNTIF($H$6:$H3064,TRUE()))</f>
        <v/>
      </c>
      <c r="J3064" s="5" t="str">
        <f aca="false">IF($I3064="","","R"&amp;$I3064)</f>
        <v/>
      </c>
    </row>
    <row r="3065" customFormat="false" ht="15" hidden="false" customHeight="true" outlineLevel="0" collapsed="false">
      <c r="H3065" s="14" t="b">
        <f aca="false">IF(중복검사!$A3063="",FALSE(),중복검사!$J3063="유지")</f>
        <v>0</v>
      </c>
      <c r="I3065" s="5" t="str">
        <f aca="false">IF($H3065=FALSE(),"",COUNTIF($H$6:$H3065,TRUE()))</f>
        <v/>
      </c>
      <c r="J3065" s="5" t="str">
        <f aca="false">IF($I3065="","","R"&amp;$I3065)</f>
        <v/>
      </c>
    </row>
    <row r="3066" customFormat="false" ht="15" hidden="false" customHeight="true" outlineLevel="0" collapsed="false">
      <c r="H3066" s="14" t="b">
        <f aca="false">IF(중복검사!$A3064="",FALSE(),중복검사!$J3064="유지")</f>
        <v>0</v>
      </c>
      <c r="I3066" s="5" t="str">
        <f aca="false">IF($H3066=FALSE(),"",COUNTIF($H$6:$H3066,TRUE()))</f>
        <v/>
      </c>
      <c r="J3066" s="5" t="str">
        <f aca="false">IF($I3066="","","R"&amp;$I3066)</f>
        <v/>
      </c>
    </row>
    <row r="3067" customFormat="false" ht="15" hidden="false" customHeight="true" outlineLevel="0" collapsed="false">
      <c r="H3067" s="14" t="b">
        <f aca="false">IF(중복검사!$A3065="",FALSE(),중복검사!$J3065="유지")</f>
        <v>0</v>
      </c>
      <c r="I3067" s="5" t="str">
        <f aca="false">IF($H3067=FALSE(),"",COUNTIF($H$6:$H3067,TRUE()))</f>
        <v/>
      </c>
      <c r="J3067" s="5" t="str">
        <f aca="false">IF($I3067="","","R"&amp;$I3067)</f>
        <v/>
      </c>
    </row>
    <row r="3068" customFormat="false" ht="15" hidden="false" customHeight="true" outlineLevel="0" collapsed="false">
      <c r="H3068" s="14" t="b">
        <f aca="false">IF(중복검사!$A3066="",FALSE(),중복검사!$J3066="유지")</f>
        <v>0</v>
      </c>
      <c r="I3068" s="5" t="str">
        <f aca="false">IF($H3068=FALSE(),"",COUNTIF($H$6:$H3068,TRUE()))</f>
        <v/>
      </c>
      <c r="J3068" s="5" t="str">
        <f aca="false">IF($I3068="","","R"&amp;$I3068)</f>
        <v/>
      </c>
    </row>
    <row r="3069" customFormat="false" ht="15" hidden="false" customHeight="true" outlineLevel="0" collapsed="false">
      <c r="H3069" s="14" t="b">
        <f aca="false">IF(중복검사!$A3067="",FALSE(),중복검사!$J3067="유지")</f>
        <v>0</v>
      </c>
      <c r="I3069" s="5" t="str">
        <f aca="false">IF($H3069=FALSE(),"",COUNTIF($H$6:$H3069,TRUE()))</f>
        <v/>
      </c>
      <c r="J3069" s="5" t="str">
        <f aca="false">IF($I3069="","","R"&amp;$I3069)</f>
        <v/>
      </c>
    </row>
    <row r="3070" customFormat="false" ht="15" hidden="false" customHeight="true" outlineLevel="0" collapsed="false">
      <c r="H3070" s="14" t="b">
        <f aca="false">IF(중복검사!$A3068="",FALSE(),중복검사!$J3068="유지")</f>
        <v>0</v>
      </c>
      <c r="I3070" s="5" t="str">
        <f aca="false">IF($H3070=FALSE(),"",COUNTIF($H$6:$H3070,TRUE()))</f>
        <v/>
      </c>
      <c r="J3070" s="5" t="str">
        <f aca="false">IF($I3070="","","R"&amp;$I3070)</f>
        <v/>
      </c>
    </row>
    <row r="3071" customFormat="false" ht="15" hidden="false" customHeight="true" outlineLevel="0" collapsed="false">
      <c r="H3071" s="14" t="b">
        <f aca="false">IF(중복검사!$A3069="",FALSE(),중복검사!$J3069="유지")</f>
        <v>0</v>
      </c>
      <c r="I3071" s="5" t="str">
        <f aca="false">IF($H3071=FALSE(),"",COUNTIF($H$6:$H3071,TRUE()))</f>
        <v/>
      </c>
      <c r="J3071" s="5" t="str">
        <f aca="false">IF($I3071="","","R"&amp;$I3071)</f>
        <v/>
      </c>
    </row>
    <row r="3072" customFormat="false" ht="15" hidden="false" customHeight="true" outlineLevel="0" collapsed="false">
      <c r="H3072" s="14" t="b">
        <f aca="false">IF(중복검사!$A3070="",FALSE(),중복검사!$J3070="유지")</f>
        <v>0</v>
      </c>
      <c r="I3072" s="5" t="str">
        <f aca="false">IF($H3072=FALSE(),"",COUNTIF($H$6:$H3072,TRUE()))</f>
        <v/>
      </c>
      <c r="J3072" s="5" t="str">
        <f aca="false">IF($I3072="","","R"&amp;$I3072)</f>
        <v/>
      </c>
    </row>
    <row r="3073" customFormat="false" ht="15" hidden="false" customHeight="true" outlineLevel="0" collapsed="false">
      <c r="H3073" s="14" t="b">
        <f aca="false">IF(중복검사!$A3071="",FALSE(),중복검사!$J3071="유지")</f>
        <v>0</v>
      </c>
      <c r="I3073" s="5" t="str">
        <f aca="false">IF($H3073=FALSE(),"",COUNTIF($H$6:$H3073,TRUE()))</f>
        <v/>
      </c>
      <c r="J3073" s="5" t="str">
        <f aca="false">IF($I3073="","","R"&amp;$I3073)</f>
        <v/>
      </c>
    </row>
    <row r="3074" customFormat="false" ht="15" hidden="false" customHeight="true" outlineLevel="0" collapsed="false">
      <c r="H3074" s="14" t="b">
        <f aca="false">IF(중복검사!$A3072="",FALSE(),중복검사!$J3072="유지")</f>
        <v>0</v>
      </c>
      <c r="I3074" s="5" t="str">
        <f aca="false">IF($H3074=FALSE(),"",COUNTIF($H$6:$H3074,TRUE()))</f>
        <v/>
      </c>
      <c r="J3074" s="5" t="str">
        <f aca="false">IF($I3074="","","R"&amp;$I3074)</f>
        <v/>
      </c>
    </row>
    <row r="3075" customFormat="false" ht="15" hidden="false" customHeight="true" outlineLevel="0" collapsed="false">
      <c r="H3075" s="14" t="b">
        <f aca="false">IF(중복검사!$A3073="",FALSE(),중복검사!$J3073="유지")</f>
        <v>0</v>
      </c>
      <c r="I3075" s="5" t="str">
        <f aca="false">IF($H3075=FALSE(),"",COUNTIF($H$6:$H3075,TRUE()))</f>
        <v/>
      </c>
      <c r="J3075" s="5" t="str">
        <f aca="false">IF($I3075="","","R"&amp;$I3075)</f>
        <v/>
      </c>
    </row>
    <row r="3076" customFormat="false" ht="15" hidden="false" customHeight="true" outlineLevel="0" collapsed="false">
      <c r="H3076" s="14" t="b">
        <f aca="false">IF(중복검사!$A3074="",FALSE(),중복검사!$J3074="유지")</f>
        <v>0</v>
      </c>
      <c r="I3076" s="5" t="str">
        <f aca="false">IF($H3076=FALSE(),"",COUNTIF($H$6:$H3076,TRUE()))</f>
        <v/>
      </c>
      <c r="J3076" s="5" t="str">
        <f aca="false">IF($I3076="","","R"&amp;$I3076)</f>
        <v/>
      </c>
    </row>
    <row r="3077" customFormat="false" ht="15" hidden="false" customHeight="true" outlineLevel="0" collapsed="false">
      <c r="H3077" s="14" t="b">
        <f aca="false">IF(중복검사!$A3075="",FALSE(),중복검사!$J3075="유지")</f>
        <v>0</v>
      </c>
      <c r="I3077" s="5" t="str">
        <f aca="false">IF($H3077=FALSE(),"",COUNTIF($H$6:$H3077,TRUE()))</f>
        <v/>
      </c>
      <c r="J3077" s="5" t="str">
        <f aca="false">IF($I3077="","","R"&amp;$I3077)</f>
        <v/>
      </c>
    </row>
    <row r="3078" customFormat="false" ht="15" hidden="false" customHeight="true" outlineLevel="0" collapsed="false">
      <c r="H3078" s="14" t="b">
        <f aca="false">IF(중복검사!$A3076="",FALSE(),중복검사!$J3076="유지")</f>
        <v>0</v>
      </c>
      <c r="I3078" s="5" t="str">
        <f aca="false">IF($H3078=FALSE(),"",COUNTIF($H$6:$H3078,TRUE()))</f>
        <v/>
      </c>
      <c r="J3078" s="5" t="str">
        <f aca="false">IF($I3078="","","R"&amp;$I3078)</f>
        <v/>
      </c>
    </row>
    <row r="3079" customFormat="false" ht="15" hidden="false" customHeight="true" outlineLevel="0" collapsed="false">
      <c r="H3079" s="14" t="b">
        <f aca="false">IF(중복검사!$A3077="",FALSE(),중복검사!$J3077="유지")</f>
        <v>0</v>
      </c>
      <c r="I3079" s="5" t="str">
        <f aca="false">IF($H3079=FALSE(),"",COUNTIF($H$6:$H3079,TRUE()))</f>
        <v/>
      </c>
      <c r="J3079" s="5" t="str">
        <f aca="false">IF($I3079="","","R"&amp;$I3079)</f>
        <v/>
      </c>
    </row>
    <row r="3080" customFormat="false" ht="15" hidden="false" customHeight="true" outlineLevel="0" collapsed="false">
      <c r="H3080" s="14" t="b">
        <f aca="false">IF(중복검사!$A3078="",FALSE(),중복검사!$J3078="유지")</f>
        <v>0</v>
      </c>
      <c r="I3080" s="5" t="str">
        <f aca="false">IF($H3080=FALSE(),"",COUNTIF($H$6:$H3080,TRUE()))</f>
        <v/>
      </c>
      <c r="J3080" s="5" t="str">
        <f aca="false">IF($I3080="","","R"&amp;$I3080)</f>
        <v/>
      </c>
    </row>
    <row r="3081" customFormat="false" ht="15" hidden="false" customHeight="true" outlineLevel="0" collapsed="false">
      <c r="H3081" s="14" t="b">
        <f aca="false">IF(중복검사!$A3079="",FALSE(),중복검사!$J3079="유지")</f>
        <v>0</v>
      </c>
      <c r="I3081" s="5" t="str">
        <f aca="false">IF($H3081=FALSE(),"",COUNTIF($H$6:$H3081,TRUE()))</f>
        <v/>
      </c>
      <c r="J3081" s="5" t="str">
        <f aca="false">IF($I3081="","","R"&amp;$I3081)</f>
        <v/>
      </c>
    </row>
    <row r="3082" customFormat="false" ht="15" hidden="false" customHeight="true" outlineLevel="0" collapsed="false">
      <c r="H3082" s="14" t="b">
        <f aca="false">IF(중복검사!$A3080="",FALSE(),중복검사!$J3080="유지")</f>
        <v>0</v>
      </c>
      <c r="I3082" s="5" t="str">
        <f aca="false">IF($H3082=FALSE(),"",COUNTIF($H$6:$H3082,TRUE()))</f>
        <v/>
      </c>
      <c r="J3082" s="5" t="str">
        <f aca="false">IF($I3082="","","R"&amp;$I3082)</f>
        <v/>
      </c>
    </row>
    <row r="3083" customFormat="false" ht="15" hidden="false" customHeight="true" outlineLevel="0" collapsed="false">
      <c r="H3083" s="14" t="b">
        <f aca="false">IF(중복검사!$A3081="",FALSE(),중복검사!$J3081="유지")</f>
        <v>0</v>
      </c>
      <c r="I3083" s="5" t="str">
        <f aca="false">IF($H3083=FALSE(),"",COUNTIF($H$6:$H3083,TRUE()))</f>
        <v/>
      </c>
      <c r="J3083" s="5" t="str">
        <f aca="false">IF($I3083="","","R"&amp;$I3083)</f>
        <v/>
      </c>
    </row>
    <row r="3084" customFormat="false" ht="15" hidden="false" customHeight="true" outlineLevel="0" collapsed="false">
      <c r="H3084" s="14" t="b">
        <f aca="false">IF(중복검사!$A3082="",FALSE(),중복검사!$J3082="유지")</f>
        <v>0</v>
      </c>
      <c r="I3084" s="5" t="str">
        <f aca="false">IF($H3084=FALSE(),"",COUNTIF($H$6:$H3084,TRUE()))</f>
        <v/>
      </c>
      <c r="J3084" s="5" t="str">
        <f aca="false">IF($I3084="","","R"&amp;$I3084)</f>
        <v/>
      </c>
    </row>
    <row r="3085" customFormat="false" ht="15" hidden="false" customHeight="true" outlineLevel="0" collapsed="false">
      <c r="H3085" s="14" t="b">
        <f aca="false">IF(중복검사!$A3083="",FALSE(),중복검사!$J3083="유지")</f>
        <v>0</v>
      </c>
      <c r="I3085" s="5" t="str">
        <f aca="false">IF($H3085=FALSE(),"",COUNTIF($H$6:$H3085,TRUE()))</f>
        <v/>
      </c>
      <c r="J3085" s="5" t="str">
        <f aca="false">IF($I3085="","","R"&amp;$I3085)</f>
        <v/>
      </c>
    </row>
    <row r="3086" customFormat="false" ht="15" hidden="false" customHeight="true" outlineLevel="0" collapsed="false">
      <c r="H3086" s="14" t="b">
        <f aca="false">IF(중복검사!$A3084="",FALSE(),중복검사!$J3084="유지")</f>
        <v>0</v>
      </c>
      <c r="I3086" s="5" t="str">
        <f aca="false">IF($H3086=FALSE(),"",COUNTIF($H$6:$H3086,TRUE()))</f>
        <v/>
      </c>
      <c r="J3086" s="5" t="str">
        <f aca="false">IF($I3086="","","R"&amp;$I3086)</f>
        <v/>
      </c>
    </row>
    <row r="3087" customFormat="false" ht="15" hidden="false" customHeight="true" outlineLevel="0" collapsed="false">
      <c r="H3087" s="14" t="b">
        <f aca="false">IF(중복검사!$A3085="",FALSE(),중복검사!$J3085="유지")</f>
        <v>0</v>
      </c>
      <c r="I3087" s="5" t="str">
        <f aca="false">IF($H3087=FALSE(),"",COUNTIF($H$6:$H3087,TRUE()))</f>
        <v/>
      </c>
      <c r="J3087" s="5" t="str">
        <f aca="false">IF($I3087="","","R"&amp;$I3087)</f>
        <v/>
      </c>
    </row>
    <row r="3088" customFormat="false" ht="15" hidden="false" customHeight="true" outlineLevel="0" collapsed="false">
      <c r="H3088" s="14" t="b">
        <f aca="false">IF(중복검사!$A3086="",FALSE(),중복검사!$J3086="유지")</f>
        <v>0</v>
      </c>
      <c r="I3088" s="5" t="str">
        <f aca="false">IF($H3088=FALSE(),"",COUNTIF($H$6:$H3088,TRUE()))</f>
        <v/>
      </c>
      <c r="J3088" s="5" t="str">
        <f aca="false">IF($I3088="","","R"&amp;$I3088)</f>
        <v/>
      </c>
    </row>
    <row r="3089" customFormat="false" ht="15" hidden="false" customHeight="true" outlineLevel="0" collapsed="false">
      <c r="H3089" s="14" t="b">
        <f aca="false">IF(중복검사!$A3087="",FALSE(),중복검사!$J3087="유지")</f>
        <v>0</v>
      </c>
      <c r="I3089" s="5" t="str">
        <f aca="false">IF($H3089=FALSE(),"",COUNTIF($H$6:$H3089,TRUE()))</f>
        <v/>
      </c>
      <c r="J3089" s="5" t="str">
        <f aca="false">IF($I3089="","","R"&amp;$I3089)</f>
        <v/>
      </c>
    </row>
    <row r="3090" customFormat="false" ht="15" hidden="false" customHeight="true" outlineLevel="0" collapsed="false">
      <c r="H3090" s="14" t="b">
        <f aca="false">IF(중복검사!$A3088="",FALSE(),중복검사!$J3088="유지")</f>
        <v>0</v>
      </c>
      <c r="I3090" s="5" t="str">
        <f aca="false">IF($H3090=FALSE(),"",COUNTIF($H$6:$H3090,TRUE()))</f>
        <v/>
      </c>
      <c r="J3090" s="5" t="str">
        <f aca="false">IF($I3090="","","R"&amp;$I3090)</f>
        <v/>
      </c>
    </row>
    <row r="3091" customFormat="false" ht="15" hidden="false" customHeight="true" outlineLevel="0" collapsed="false">
      <c r="H3091" s="14" t="b">
        <f aca="false">IF(중복검사!$A3089="",FALSE(),중복검사!$J3089="유지")</f>
        <v>0</v>
      </c>
      <c r="I3091" s="5" t="str">
        <f aca="false">IF($H3091=FALSE(),"",COUNTIF($H$6:$H3091,TRUE()))</f>
        <v/>
      </c>
      <c r="J3091" s="5" t="str">
        <f aca="false">IF($I3091="","","R"&amp;$I3091)</f>
        <v/>
      </c>
    </row>
    <row r="3092" customFormat="false" ht="15" hidden="false" customHeight="true" outlineLevel="0" collapsed="false">
      <c r="H3092" s="14" t="b">
        <f aca="false">IF(중복검사!$A3090="",FALSE(),중복검사!$J3090="유지")</f>
        <v>0</v>
      </c>
      <c r="I3092" s="5" t="str">
        <f aca="false">IF($H3092=FALSE(),"",COUNTIF($H$6:$H3092,TRUE()))</f>
        <v/>
      </c>
      <c r="J3092" s="5" t="str">
        <f aca="false">IF($I3092="","","R"&amp;$I3092)</f>
        <v/>
      </c>
    </row>
    <row r="3093" customFormat="false" ht="15" hidden="false" customHeight="true" outlineLevel="0" collapsed="false">
      <c r="H3093" s="14" t="b">
        <f aca="false">IF(중복검사!$A3091="",FALSE(),중복검사!$J3091="유지")</f>
        <v>0</v>
      </c>
      <c r="I3093" s="5" t="str">
        <f aca="false">IF($H3093=FALSE(),"",COUNTIF($H$6:$H3093,TRUE()))</f>
        <v/>
      </c>
      <c r="J3093" s="5" t="str">
        <f aca="false">IF($I3093="","","R"&amp;$I3093)</f>
        <v/>
      </c>
    </row>
    <row r="3094" customFormat="false" ht="15" hidden="false" customHeight="true" outlineLevel="0" collapsed="false">
      <c r="H3094" s="14" t="b">
        <f aca="false">IF(중복검사!$A3092="",FALSE(),중복검사!$J3092="유지")</f>
        <v>0</v>
      </c>
      <c r="I3094" s="5" t="str">
        <f aca="false">IF($H3094=FALSE(),"",COUNTIF($H$6:$H3094,TRUE()))</f>
        <v/>
      </c>
      <c r="J3094" s="5" t="str">
        <f aca="false">IF($I3094="","","R"&amp;$I3094)</f>
        <v/>
      </c>
    </row>
    <row r="3095" customFormat="false" ht="15" hidden="false" customHeight="true" outlineLevel="0" collapsed="false">
      <c r="H3095" s="14" t="b">
        <f aca="false">IF(중복검사!$A3093="",FALSE(),중복검사!$J3093="유지")</f>
        <v>0</v>
      </c>
      <c r="I3095" s="5" t="str">
        <f aca="false">IF($H3095=FALSE(),"",COUNTIF($H$6:$H3095,TRUE()))</f>
        <v/>
      </c>
      <c r="J3095" s="5" t="str">
        <f aca="false">IF($I3095="","","R"&amp;$I3095)</f>
        <v/>
      </c>
    </row>
    <row r="3096" customFormat="false" ht="15" hidden="false" customHeight="true" outlineLevel="0" collapsed="false">
      <c r="H3096" s="14" t="b">
        <f aca="false">IF(중복검사!$A3094="",FALSE(),중복검사!$J3094="유지")</f>
        <v>0</v>
      </c>
      <c r="I3096" s="5" t="str">
        <f aca="false">IF($H3096=FALSE(),"",COUNTIF($H$6:$H3096,TRUE()))</f>
        <v/>
      </c>
      <c r="J3096" s="5" t="str">
        <f aca="false">IF($I3096="","","R"&amp;$I3096)</f>
        <v/>
      </c>
    </row>
    <row r="3097" customFormat="false" ht="15" hidden="false" customHeight="true" outlineLevel="0" collapsed="false">
      <c r="H3097" s="14" t="b">
        <f aca="false">IF(중복검사!$A3095="",FALSE(),중복검사!$J3095="유지")</f>
        <v>0</v>
      </c>
      <c r="I3097" s="5" t="str">
        <f aca="false">IF($H3097=FALSE(),"",COUNTIF($H$6:$H3097,TRUE()))</f>
        <v/>
      </c>
      <c r="J3097" s="5" t="str">
        <f aca="false">IF($I3097="","","R"&amp;$I3097)</f>
        <v/>
      </c>
    </row>
    <row r="3098" customFormat="false" ht="15" hidden="false" customHeight="true" outlineLevel="0" collapsed="false">
      <c r="H3098" s="14" t="b">
        <f aca="false">IF(중복검사!$A3096="",FALSE(),중복검사!$J3096="유지")</f>
        <v>0</v>
      </c>
      <c r="I3098" s="5" t="str">
        <f aca="false">IF($H3098=FALSE(),"",COUNTIF($H$6:$H3098,TRUE()))</f>
        <v/>
      </c>
      <c r="J3098" s="5" t="str">
        <f aca="false">IF($I3098="","","R"&amp;$I3098)</f>
        <v/>
      </c>
    </row>
    <row r="3099" customFormat="false" ht="15" hidden="false" customHeight="true" outlineLevel="0" collapsed="false">
      <c r="H3099" s="14" t="b">
        <f aca="false">IF(중복검사!$A3097="",FALSE(),중복검사!$J3097="유지")</f>
        <v>0</v>
      </c>
      <c r="I3099" s="5" t="str">
        <f aca="false">IF($H3099=FALSE(),"",COUNTIF($H$6:$H3099,TRUE()))</f>
        <v/>
      </c>
      <c r="J3099" s="5" t="str">
        <f aca="false">IF($I3099="","","R"&amp;$I3099)</f>
        <v/>
      </c>
    </row>
    <row r="3100" customFormat="false" ht="15" hidden="false" customHeight="true" outlineLevel="0" collapsed="false">
      <c r="H3100" s="14" t="b">
        <f aca="false">IF(중복검사!$A3098="",FALSE(),중복검사!$J3098="유지")</f>
        <v>0</v>
      </c>
      <c r="I3100" s="5" t="str">
        <f aca="false">IF($H3100=FALSE(),"",COUNTIF($H$6:$H3100,TRUE()))</f>
        <v/>
      </c>
      <c r="J3100" s="5" t="str">
        <f aca="false">IF($I3100="","","R"&amp;$I3100)</f>
        <v/>
      </c>
    </row>
    <row r="3101" customFormat="false" ht="15" hidden="false" customHeight="true" outlineLevel="0" collapsed="false">
      <c r="H3101" s="14" t="b">
        <f aca="false">IF(중복검사!$A3099="",FALSE(),중복검사!$J3099="유지")</f>
        <v>0</v>
      </c>
      <c r="I3101" s="5" t="str">
        <f aca="false">IF($H3101=FALSE(),"",COUNTIF($H$6:$H3101,TRUE()))</f>
        <v/>
      </c>
      <c r="J3101" s="5" t="str">
        <f aca="false">IF($I3101="","","R"&amp;$I3101)</f>
        <v/>
      </c>
    </row>
    <row r="3102" customFormat="false" ht="15" hidden="false" customHeight="true" outlineLevel="0" collapsed="false">
      <c r="H3102" s="14" t="b">
        <f aca="false">IF(중복검사!$A3100="",FALSE(),중복검사!$J3100="유지")</f>
        <v>0</v>
      </c>
      <c r="I3102" s="5" t="str">
        <f aca="false">IF($H3102=FALSE(),"",COUNTIF($H$6:$H3102,TRUE()))</f>
        <v/>
      </c>
      <c r="J3102" s="5" t="str">
        <f aca="false">IF($I3102="","","R"&amp;$I3102)</f>
        <v/>
      </c>
    </row>
    <row r="3103" customFormat="false" ht="15" hidden="false" customHeight="true" outlineLevel="0" collapsed="false">
      <c r="H3103" s="14" t="b">
        <f aca="false">IF(중복검사!$A3101="",FALSE(),중복검사!$J3101="유지")</f>
        <v>0</v>
      </c>
      <c r="I3103" s="5" t="str">
        <f aca="false">IF($H3103=FALSE(),"",COUNTIF($H$6:$H3103,TRUE()))</f>
        <v/>
      </c>
      <c r="J3103" s="5" t="str">
        <f aca="false">IF($I3103="","","R"&amp;$I3103)</f>
        <v/>
      </c>
    </row>
    <row r="3104" customFormat="false" ht="15" hidden="false" customHeight="true" outlineLevel="0" collapsed="false">
      <c r="H3104" s="14" t="b">
        <f aca="false">IF(중복검사!$A3102="",FALSE(),중복검사!$J3102="유지")</f>
        <v>0</v>
      </c>
      <c r="I3104" s="5" t="str">
        <f aca="false">IF($H3104=FALSE(),"",COUNTIF($H$6:$H3104,TRUE()))</f>
        <v/>
      </c>
      <c r="J3104" s="5" t="str">
        <f aca="false">IF($I3104="","","R"&amp;$I3104)</f>
        <v/>
      </c>
    </row>
    <row r="3105" customFormat="false" ht="15" hidden="false" customHeight="true" outlineLevel="0" collapsed="false">
      <c r="H3105" s="14" t="b">
        <f aca="false">IF(중복검사!$A3103="",FALSE(),중복검사!$J3103="유지")</f>
        <v>0</v>
      </c>
      <c r="I3105" s="5" t="str">
        <f aca="false">IF($H3105=FALSE(),"",COUNTIF($H$6:$H3105,TRUE()))</f>
        <v/>
      </c>
      <c r="J3105" s="5" t="str">
        <f aca="false">IF($I3105="","","R"&amp;$I3105)</f>
        <v/>
      </c>
    </row>
    <row r="3106" customFormat="false" ht="15" hidden="false" customHeight="true" outlineLevel="0" collapsed="false">
      <c r="H3106" s="14" t="b">
        <f aca="false">IF(중복검사!$A3104="",FALSE(),중복검사!$J3104="유지")</f>
        <v>0</v>
      </c>
      <c r="I3106" s="5" t="str">
        <f aca="false">IF($H3106=FALSE(),"",COUNTIF($H$6:$H3106,TRUE()))</f>
        <v/>
      </c>
      <c r="J3106" s="5" t="str">
        <f aca="false">IF($I3106="","","R"&amp;$I3106)</f>
        <v/>
      </c>
    </row>
    <row r="3107" customFormat="false" ht="15" hidden="false" customHeight="true" outlineLevel="0" collapsed="false">
      <c r="H3107" s="14" t="b">
        <f aca="false">IF(중복검사!$A3105="",FALSE(),중복검사!$J3105="유지")</f>
        <v>0</v>
      </c>
      <c r="I3107" s="5" t="str">
        <f aca="false">IF($H3107=FALSE(),"",COUNTIF($H$6:$H3107,TRUE()))</f>
        <v/>
      </c>
      <c r="J3107" s="5" t="str">
        <f aca="false">IF($I3107="","","R"&amp;$I3107)</f>
        <v/>
      </c>
    </row>
    <row r="3108" customFormat="false" ht="15" hidden="false" customHeight="true" outlineLevel="0" collapsed="false">
      <c r="H3108" s="14" t="b">
        <f aca="false">IF(중복검사!$A3106="",FALSE(),중복검사!$J3106="유지")</f>
        <v>0</v>
      </c>
      <c r="I3108" s="5" t="str">
        <f aca="false">IF($H3108=FALSE(),"",COUNTIF($H$6:$H3108,TRUE()))</f>
        <v/>
      </c>
      <c r="J3108" s="5" t="str">
        <f aca="false">IF($I3108="","","R"&amp;$I3108)</f>
        <v/>
      </c>
    </row>
    <row r="3109" customFormat="false" ht="15" hidden="false" customHeight="true" outlineLevel="0" collapsed="false">
      <c r="H3109" s="14" t="b">
        <f aca="false">IF(중복검사!$A3107="",FALSE(),중복검사!$J3107="유지")</f>
        <v>0</v>
      </c>
      <c r="I3109" s="5" t="str">
        <f aca="false">IF($H3109=FALSE(),"",COUNTIF($H$6:$H3109,TRUE()))</f>
        <v/>
      </c>
      <c r="J3109" s="5" t="str">
        <f aca="false">IF($I3109="","","R"&amp;$I3109)</f>
        <v/>
      </c>
    </row>
    <row r="3110" customFormat="false" ht="15" hidden="false" customHeight="true" outlineLevel="0" collapsed="false">
      <c r="H3110" s="14" t="b">
        <f aca="false">IF(중복검사!$A3108="",FALSE(),중복검사!$J3108="유지")</f>
        <v>0</v>
      </c>
      <c r="I3110" s="5" t="str">
        <f aca="false">IF($H3110=FALSE(),"",COUNTIF($H$6:$H3110,TRUE()))</f>
        <v/>
      </c>
      <c r="J3110" s="5" t="str">
        <f aca="false">IF($I3110="","","R"&amp;$I3110)</f>
        <v/>
      </c>
    </row>
    <row r="3111" customFormat="false" ht="15" hidden="false" customHeight="true" outlineLevel="0" collapsed="false">
      <c r="H3111" s="14" t="b">
        <f aca="false">IF(중복검사!$A3109="",FALSE(),중복검사!$J3109="유지")</f>
        <v>0</v>
      </c>
      <c r="I3111" s="5" t="str">
        <f aca="false">IF($H3111=FALSE(),"",COUNTIF($H$6:$H3111,TRUE()))</f>
        <v/>
      </c>
      <c r="J3111" s="5" t="str">
        <f aca="false">IF($I3111="","","R"&amp;$I3111)</f>
        <v/>
      </c>
    </row>
    <row r="3112" customFormat="false" ht="15" hidden="false" customHeight="true" outlineLevel="0" collapsed="false">
      <c r="H3112" s="14" t="b">
        <f aca="false">IF(중복검사!$A3110="",FALSE(),중복검사!$J3110="유지")</f>
        <v>0</v>
      </c>
      <c r="I3112" s="5" t="str">
        <f aca="false">IF($H3112=FALSE(),"",COUNTIF($H$6:$H3112,TRUE()))</f>
        <v/>
      </c>
      <c r="J3112" s="5" t="str">
        <f aca="false">IF($I3112="","","R"&amp;$I3112)</f>
        <v/>
      </c>
    </row>
    <row r="3113" customFormat="false" ht="15" hidden="false" customHeight="true" outlineLevel="0" collapsed="false">
      <c r="H3113" s="14" t="b">
        <f aca="false">IF(중복검사!$A3111="",FALSE(),중복검사!$J3111="유지")</f>
        <v>0</v>
      </c>
      <c r="I3113" s="5" t="str">
        <f aca="false">IF($H3113=FALSE(),"",COUNTIF($H$6:$H3113,TRUE()))</f>
        <v/>
      </c>
      <c r="J3113" s="5" t="str">
        <f aca="false">IF($I3113="","","R"&amp;$I3113)</f>
        <v/>
      </c>
    </row>
    <row r="3114" customFormat="false" ht="15" hidden="false" customHeight="true" outlineLevel="0" collapsed="false">
      <c r="H3114" s="14" t="b">
        <f aca="false">IF(중복검사!$A3112="",FALSE(),중복검사!$J3112="유지")</f>
        <v>0</v>
      </c>
      <c r="I3114" s="5" t="str">
        <f aca="false">IF($H3114=FALSE(),"",COUNTIF($H$6:$H3114,TRUE()))</f>
        <v/>
      </c>
      <c r="J3114" s="5" t="str">
        <f aca="false">IF($I3114="","","R"&amp;$I3114)</f>
        <v/>
      </c>
    </row>
    <row r="3115" customFormat="false" ht="15" hidden="false" customHeight="true" outlineLevel="0" collapsed="false">
      <c r="H3115" s="14" t="b">
        <f aca="false">IF(중복검사!$A3113="",FALSE(),중복검사!$J3113="유지")</f>
        <v>0</v>
      </c>
      <c r="I3115" s="5" t="str">
        <f aca="false">IF($H3115=FALSE(),"",COUNTIF($H$6:$H3115,TRUE()))</f>
        <v/>
      </c>
      <c r="J3115" s="5" t="str">
        <f aca="false">IF($I3115="","","R"&amp;$I3115)</f>
        <v/>
      </c>
    </row>
    <row r="3116" customFormat="false" ht="15" hidden="false" customHeight="true" outlineLevel="0" collapsed="false">
      <c r="H3116" s="14" t="b">
        <f aca="false">IF(중복검사!$A3114="",FALSE(),중복검사!$J3114="유지")</f>
        <v>0</v>
      </c>
      <c r="I3116" s="5" t="str">
        <f aca="false">IF($H3116=FALSE(),"",COUNTIF($H$6:$H3116,TRUE()))</f>
        <v/>
      </c>
      <c r="J3116" s="5" t="str">
        <f aca="false">IF($I3116="","","R"&amp;$I3116)</f>
        <v/>
      </c>
    </row>
    <row r="3117" customFormat="false" ht="15" hidden="false" customHeight="true" outlineLevel="0" collapsed="false">
      <c r="H3117" s="14" t="b">
        <f aca="false">IF(중복검사!$A3115="",FALSE(),중복검사!$J3115="유지")</f>
        <v>0</v>
      </c>
      <c r="I3117" s="5" t="str">
        <f aca="false">IF($H3117=FALSE(),"",COUNTIF($H$6:$H3117,TRUE()))</f>
        <v/>
      </c>
      <c r="J3117" s="5" t="str">
        <f aca="false">IF($I3117="","","R"&amp;$I3117)</f>
        <v/>
      </c>
    </row>
    <row r="3118" customFormat="false" ht="15" hidden="false" customHeight="true" outlineLevel="0" collapsed="false">
      <c r="H3118" s="14" t="b">
        <f aca="false">IF(중복검사!$A3116="",FALSE(),중복검사!$J3116="유지")</f>
        <v>0</v>
      </c>
      <c r="I3118" s="5" t="str">
        <f aca="false">IF($H3118=FALSE(),"",COUNTIF($H$6:$H3118,TRUE()))</f>
        <v/>
      </c>
      <c r="J3118" s="5" t="str">
        <f aca="false">IF($I3118="","","R"&amp;$I3118)</f>
        <v/>
      </c>
    </row>
    <row r="3119" customFormat="false" ht="15" hidden="false" customHeight="true" outlineLevel="0" collapsed="false">
      <c r="H3119" s="14" t="b">
        <f aca="false">IF(중복검사!$A3117="",FALSE(),중복검사!$J3117="유지")</f>
        <v>0</v>
      </c>
      <c r="I3119" s="5" t="str">
        <f aca="false">IF($H3119=FALSE(),"",COUNTIF($H$6:$H3119,TRUE()))</f>
        <v/>
      </c>
      <c r="J3119" s="5" t="str">
        <f aca="false">IF($I3119="","","R"&amp;$I3119)</f>
        <v/>
      </c>
    </row>
    <row r="3120" customFormat="false" ht="15" hidden="false" customHeight="true" outlineLevel="0" collapsed="false">
      <c r="H3120" s="14" t="b">
        <f aca="false">IF(중복검사!$A3118="",FALSE(),중복검사!$J3118="유지")</f>
        <v>0</v>
      </c>
      <c r="I3120" s="5" t="str">
        <f aca="false">IF($H3120=FALSE(),"",COUNTIF($H$6:$H3120,TRUE()))</f>
        <v/>
      </c>
      <c r="J3120" s="5" t="str">
        <f aca="false">IF($I3120="","","R"&amp;$I3120)</f>
        <v/>
      </c>
    </row>
    <row r="3121" customFormat="false" ht="15" hidden="false" customHeight="true" outlineLevel="0" collapsed="false">
      <c r="H3121" s="14" t="b">
        <f aca="false">IF(중복검사!$A3119="",FALSE(),중복검사!$J3119="유지")</f>
        <v>0</v>
      </c>
      <c r="I3121" s="5" t="str">
        <f aca="false">IF($H3121=FALSE(),"",COUNTIF($H$6:$H3121,TRUE()))</f>
        <v/>
      </c>
      <c r="J3121" s="5" t="str">
        <f aca="false">IF($I3121="","","R"&amp;$I3121)</f>
        <v/>
      </c>
    </row>
    <row r="3122" customFormat="false" ht="15" hidden="false" customHeight="true" outlineLevel="0" collapsed="false">
      <c r="H3122" s="14" t="b">
        <f aca="false">IF(중복검사!$A3120="",FALSE(),중복검사!$J3120="유지")</f>
        <v>0</v>
      </c>
      <c r="I3122" s="5" t="str">
        <f aca="false">IF($H3122=FALSE(),"",COUNTIF($H$6:$H3122,TRUE()))</f>
        <v/>
      </c>
      <c r="J3122" s="5" t="str">
        <f aca="false">IF($I3122="","","R"&amp;$I3122)</f>
        <v/>
      </c>
    </row>
    <row r="3123" customFormat="false" ht="15" hidden="false" customHeight="true" outlineLevel="0" collapsed="false">
      <c r="H3123" s="14" t="b">
        <f aca="false">IF(중복검사!$A3121="",FALSE(),중복검사!$J3121="유지")</f>
        <v>0</v>
      </c>
      <c r="I3123" s="5" t="str">
        <f aca="false">IF($H3123=FALSE(),"",COUNTIF($H$6:$H3123,TRUE()))</f>
        <v/>
      </c>
      <c r="J3123" s="5" t="str">
        <f aca="false">IF($I3123="","","R"&amp;$I3123)</f>
        <v/>
      </c>
    </row>
    <row r="3124" customFormat="false" ht="15" hidden="false" customHeight="true" outlineLevel="0" collapsed="false">
      <c r="H3124" s="14" t="b">
        <f aca="false">IF(중복검사!$A3122="",FALSE(),중복검사!$J3122="유지")</f>
        <v>0</v>
      </c>
      <c r="I3124" s="5" t="str">
        <f aca="false">IF($H3124=FALSE(),"",COUNTIF($H$6:$H3124,TRUE()))</f>
        <v/>
      </c>
      <c r="J3124" s="5" t="str">
        <f aca="false">IF($I3124="","","R"&amp;$I3124)</f>
        <v/>
      </c>
    </row>
    <row r="3125" customFormat="false" ht="15" hidden="false" customHeight="true" outlineLevel="0" collapsed="false">
      <c r="H3125" s="14" t="b">
        <f aca="false">IF(중복검사!$A3123="",FALSE(),중복검사!$J3123="유지")</f>
        <v>0</v>
      </c>
      <c r="I3125" s="5" t="str">
        <f aca="false">IF($H3125=FALSE(),"",COUNTIF($H$6:$H3125,TRUE()))</f>
        <v/>
      </c>
      <c r="J3125" s="5" t="str">
        <f aca="false">IF($I3125="","","R"&amp;$I3125)</f>
        <v/>
      </c>
    </row>
    <row r="3126" customFormat="false" ht="15" hidden="false" customHeight="true" outlineLevel="0" collapsed="false">
      <c r="H3126" s="14" t="b">
        <f aca="false">IF(중복검사!$A3124="",FALSE(),중복검사!$J3124="유지")</f>
        <v>0</v>
      </c>
      <c r="I3126" s="5" t="str">
        <f aca="false">IF($H3126=FALSE(),"",COUNTIF($H$6:$H3126,TRUE()))</f>
        <v/>
      </c>
      <c r="J3126" s="5" t="str">
        <f aca="false">IF($I3126="","","R"&amp;$I3126)</f>
        <v/>
      </c>
    </row>
    <row r="3127" customFormat="false" ht="15" hidden="false" customHeight="true" outlineLevel="0" collapsed="false">
      <c r="H3127" s="14" t="b">
        <f aca="false">IF(중복검사!$A3125="",FALSE(),중복검사!$J3125="유지")</f>
        <v>0</v>
      </c>
      <c r="I3127" s="5" t="str">
        <f aca="false">IF($H3127=FALSE(),"",COUNTIF($H$6:$H3127,TRUE()))</f>
        <v/>
      </c>
      <c r="J3127" s="5" t="str">
        <f aca="false">IF($I3127="","","R"&amp;$I3127)</f>
        <v/>
      </c>
    </row>
    <row r="3128" customFormat="false" ht="15" hidden="false" customHeight="true" outlineLevel="0" collapsed="false">
      <c r="H3128" s="14" t="b">
        <f aca="false">IF(중복검사!$A3126="",FALSE(),중복검사!$J3126="유지")</f>
        <v>0</v>
      </c>
      <c r="I3128" s="5" t="str">
        <f aca="false">IF($H3128=FALSE(),"",COUNTIF($H$6:$H3128,TRUE()))</f>
        <v/>
      </c>
      <c r="J3128" s="5" t="str">
        <f aca="false">IF($I3128="","","R"&amp;$I3128)</f>
        <v/>
      </c>
    </row>
    <row r="3129" customFormat="false" ht="15" hidden="false" customHeight="true" outlineLevel="0" collapsed="false">
      <c r="H3129" s="14" t="b">
        <f aca="false">IF(중복검사!$A3127="",FALSE(),중복검사!$J3127="유지")</f>
        <v>0</v>
      </c>
      <c r="I3129" s="5" t="str">
        <f aca="false">IF($H3129=FALSE(),"",COUNTIF($H$6:$H3129,TRUE()))</f>
        <v/>
      </c>
      <c r="J3129" s="5" t="str">
        <f aca="false">IF($I3129="","","R"&amp;$I3129)</f>
        <v/>
      </c>
    </row>
    <row r="3130" customFormat="false" ht="15" hidden="false" customHeight="true" outlineLevel="0" collapsed="false">
      <c r="H3130" s="14" t="b">
        <f aca="false">IF(중복검사!$A3128="",FALSE(),중복검사!$J3128="유지")</f>
        <v>0</v>
      </c>
      <c r="I3130" s="5" t="str">
        <f aca="false">IF($H3130=FALSE(),"",COUNTIF($H$6:$H3130,TRUE()))</f>
        <v/>
      </c>
      <c r="J3130" s="5" t="str">
        <f aca="false">IF($I3130="","","R"&amp;$I3130)</f>
        <v/>
      </c>
    </row>
    <row r="3131" customFormat="false" ht="15" hidden="false" customHeight="true" outlineLevel="0" collapsed="false">
      <c r="H3131" s="14" t="b">
        <f aca="false">IF(중복검사!$A3129="",FALSE(),중복검사!$J3129="유지")</f>
        <v>0</v>
      </c>
      <c r="I3131" s="5" t="str">
        <f aca="false">IF($H3131=FALSE(),"",COUNTIF($H$6:$H3131,TRUE()))</f>
        <v/>
      </c>
      <c r="J3131" s="5" t="str">
        <f aca="false">IF($I3131="","","R"&amp;$I3131)</f>
        <v/>
      </c>
    </row>
    <row r="3132" customFormat="false" ht="15" hidden="false" customHeight="true" outlineLevel="0" collapsed="false">
      <c r="H3132" s="14" t="b">
        <f aca="false">IF(중복검사!$A3130="",FALSE(),중복검사!$J3130="유지")</f>
        <v>0</v>
      </c>
      <c r="I3132" s="5" t="str">
        <f aca="false">IF($H3132=FALSE(),"",COUNTIF($H$6:$H3132,TRUE()))</f>
        <v/>
      </c>
      <c r="J3132" s="5" t="str">
        <f aca="false">IF($I3132="","","R"&amp;$I3132)</f>
        <v/>
      </c>
    </row>
    <row r="3133" customFormat="false" ht="15" hidden="false" customHeight="true" outlineLevel="0" collapsed="false">
      <c r="H3133" s="14" t="b">
        <f aca="false">IF(중복검사!$A3131="",FALSE(),중복검사!$J3131="유지")</f>
        <v>0</v>
      </c>
      <c r="I3133" s="5" t="str">
        <f aca="false">IF($H3133=FALSE(),"",COUNTIF($H$6:$H3133,TRUE()))</f>
        <v/>
      </c>
      <c r="J3133" s="5" t="str">
        <f aca="false">IF($I3133="","","R"&amp;$I3133)</f>
        <v/>
      </c>
    </row>
    <row r="3134" customFormat="false" ht="15" hidden="false" customHeight="true" outlineLevel="0" collapsed="false">
      <c r="H3134" s="14" t="b">
        <f aca="false">IF(중복검사!$A3132="",FALSE(),중복검사!$J3132="유지")</f>
        <v>0</v>
      </c>
      <c r="I3134" s="5" t="str">
        <f aca="false">IF($H3134=FALSE(),"",COUNTIF($H$6:$H3134,TRUE()))</f>
        <v/>
      </c>
      <c r="J3134" s="5" t="str">
        <f aca="false">IF($I3134="","","R"&amp;$I3134)</f>
        <v/>
      </c>
    </row>
    <row r="3135" customFormat="false" ht="15" hidden="false" customHeight="true" outlineLevel="0" collapsed="false">
      <c r="H3135" s="14" t="b">
        <f aca="false">IF(중복검사!$A3133="",FALSE(),중복검사!$J3133="유지")</f>
        <v>0</v>
      </c>
      <c r="I3135" s="5" t="str">
        <f aca="false">IF($H3135=FALSE(),"",COUNTIF($H$6:$H3135,TRUE()))</f>
        <v/>
      </c>
      <c r="J3135" s="5" t="str">
        <f aca="false">IF($I3135="","","R"&amp;$I3135)</f>
        <v/>
      </c>
    </row>
    <row r="3136" customFormat="false" ht="15" hidden="false" customHeight="true" outlineLevel="0" collapsed="false">
      <c r="H3136" s="14" t="b">
        <f aca="false">IF(중복검사!$A3134="",FALSE(),중복검사!$J3134="유지")</f>
        <v>0</v>
      </c>
      <c r="I3136" s="5" t="str">
        <f aca="false">IF($H3136=FALSE(),"",COUNTIF($H$6:$H3136,TRUE()))</f>
        <v/>
      </c>
      <c r="J3136" s="5" t="str">
        <f aca="false">IF($I3136="","","R"&amp;$I3136)</f>
        <v/>
      </c>
    </row>
    <row r="3137" customFormat="false" ht="15" hidden="false" customHeight="true" outlineLevel="0" collapsed="false">
      <c r="H3137" s="14" t="b">
        <f aca="false">IF(중복검사!$A3135="",FALSE(),중복검사!$J3135="유지")</f>
        <v>0</v>
      </c>
      <c r="I3137" s="5" t="str">
        <f aca="false">IF($H3137=FALSE(),"",COUNTIF($H$6:$H3137,TRUE()))</f>
        <v/>
      </c>
      <c r="J3137" s="5" t="str">
        <f aca="false">IF($I3137="","","R"&amp;$I3137)</f>
        <v/>
      </c>
    </row>
    <row r="3138" customFormat="false" ht="15" hidden="false" customHeight="true" outlineLevel="0" collapsed="false">
      <c r="H3138" s="14" t="b">
        <f aca="false">IF(중복검사!$A3136="",FALSE(),중복검사!$J3136="유지")</f>
        <v>0</v>
      </c>
      <c r="I3138" s="5" t="str">
        <f aca="false">IF($H3138=FALSE(),"",COUNTIF($H$6:$H3138,TRUE()))</f>
        <v/>
      </c>
      <c r="J3138" s="5" t="str">
        <f aca="false">IF($I3138="","","R"&amp;$I3138)</f>
        <v/>
      </c>
    </row>
    <row r="3139" customFormat="false" ht="15" hidden="false" customHeight="true" outlineLevel="0" collapsed="false">
      <c r="H3139" s="14" t="b">
        <f aca="false">IF(중복검사!$A3137="",FALSE(),중복검사!$J3137="유지")</f>
        <v>0</v>
      </c>
      <c r="I3139" s="5" t="str">
        <f aca="false">IF($H3139=FALSE(),"",COUNTIF($H$6:$H3139,TRUE()))</f>
        <v/>
      </c>
      <c r="J3139" s="5" t="str">
        <f aca="false">IF($I3139="","","R"&amp;$I3139)</f>
        <v/>
      </c>
    </row>
    <row r="3140" customFormat="false" ht="15" hidden="false" customHeight="true" outlineLevel="0" collapsed="false">
      <c r="H3140" s="14" t="b">
        <f aca="false">IF(중복검사!$A3138="",FALSE(),중복검사!$J3138="유지")</f>
        <v>0</v>
      </c>
      <c r="I3140" s="5" t="str">
        <f aca="false">IF($H3140=FALSE(),"",COUNTIF($H$6:$H3140,TRUE()))</f>
        <v/>
      </c>
      <c r="J3140" s="5" t="str">
        <f aca="false">IF($I3140="","","R"&amp;$I3140)</f>
        <v/>
      </c>
    </row>
    <row r="3141" customFormat="false" ht="15" hidden="false" customHeight="true" outlineLevel="0" collapsed="false">
      <c r="H3141" s="14" t="b">
        <f aca="false">IF(중복검사!$A3139="",FALSE(),중복검사!$J3139="유지")</f>
        <v>0</v>
      </c>
      <c r="I3141" s="5" t="str">
        <f aca="false">IF($H3141=FALSE(),"",COUNTIF($H$6:$H3141,TRUE()))</f>
        <v/>
      </c>
      <c r="J3141" s="5" t="str">
        <f aca="false">IF($I3141="","","R"&amp;$I3141)</f>
        <v/>
      </c>
    </row>
    <row r="3142" customFormat="false" ht="15" hidden="false" customHeight="true" outlineLevel="0" collapsed="false">
      <c r="H3142" s="14" t="b">
        <f aca="false">IF(중복검사!$A3140="",FALSE(),중복검사!$J3140="유지")</f>
        <v>0</v>
      </c>
      <c r="I3142" s="5" t="str">
        <f aca="false">IF($H3142=FALSE(),"",COUNTIF($H$6:$H3142,TRUE()))</f>
        <v/>
      </c>
      <c r="J3142" s="5" t="str">
        <f aca="false">IF($I3142="","","R"&amp;$I3142)</f>
        <v/>
      </c>
    </row>
    <row r="3143" customFormat="false" ht="15" hidden="false" customHeight="true" outlineLevel="0" collapsed="false">
      <c r="H3143" s="14" t="b">
        <f aca="false">IF(중복검사!$A3141="",FALSE(),중복검사!$J3141="유지")</f>
        <v>0</v>
      </c>
      <c r="I3143" s="5" t="str">
        <f aca="false">IF($H3143=FALSE(),"",COUNTIF($H$6:$H3143,TRUE()))</f>
        <v/>
      </c>
      <c r="J3143" s="5" t="str">
        <f aca="false">IF($I3143="","","R"&amp;$I3143)</f>
        <v/>
      </c>
    </row>
    <row r="3144" customFormat="false" ht="15" hidden="false" customHeight="true" outlineLevel="0" collapsed="false">
      <c r="H3144" s="14" t="b">
        <f aca="false">IF(중복검사!$A3142="",FALSE(),중복검사!$J3142="유지")</f>
        <v>0</v>
      </c>
      <c r="I3144" s="5" t="str">
        <f aca="false">IF($H3144=FALSE(),"",COUNTIF($H$6:$H3144,TRUE()))</f>
        <v/>
      </c>
      <c r="J3144" s="5" t="str">
        <f aca="false">IF($I3144="","","R"&amp;$I3144)</f>
        <v/>
      </c>
    </row>
    <row r="3145" customFormat="false" ht="15" hidden="false" customHeight="true" outlineLevel="0" collapsed="false">
      <c r="H3145" s="14" t="b">
        <f aca="false">IF(중복검사!$A3143="",FALSE(),중복검사!$J3143="유지")</f>
        <v>0</v>
      </c>
      <c r="I3145" s="5" t="str">
        <f aca="false">IF($H3145=FALSE(),"",COUNTIF($H$6:$H3145,TRUE()))</f>
        <v/>
      </c>
      <c r="J3145" s="5" t="str">
        <f aca="false">IF($I3145="","","R"&amp;$I3145)</f>
        <v/>
      </c>
    </row>
    <row r="3146" customFormat="false" ht="15" hidden="false" customHeight="true" outlineLevel="0" collapsed="false">
      <c r="H3146" s="14" t="b">
        <f aca="false">IF(중복검사!$A3144="",FALSE(),중복검사!$J3144="유지")</f>
        <v>0</v>
      </c>
      <c r="I3146" s="5" t="str">
        <f aca="false">IF($H3146=FALSE(),"",COUNTIF($H$6:$H3146,TRUE()))</f>
        <v/>
      </c>
      <c r="J3146" s="5" t="str">
        <f aca="false">IF($I3146="","","R"&amp;$I3146)</f>
        <v/>
      </c>
    </row>
    <row r="3147" customFormat="false" ht="15" hidden="false" customHeight="true" outlineLevel="0" collapsed="false">
      <c r="H3147" s="14" t="b">
        <f aca="false">IF(중복검사!$A3145="",FALSE(),중복검사!$J3145="유지")</f>
        <v>0</v>
      </c>
      <c r="I3147" s="5" t="str">
        <f aca="false">IF($H3147=FALSE(),"",COUNTIF($H$6:$H3147,TRUE()))</f>
        <v/>
      </c>
      <c r="J3147" s="5" t="str">
        <f aca="false">IF($I3147="","","R"&amp;$I3147)</f>
        <v/>
      </c>
    </row>
    <row r="3148" customFormat="false" ht="15" hidden="false" customHeight="true" outlineLevel="0" collapsed="false">
      <c r="H3148" s="14" t="b">
        <f aca="false">IF(중복검사!$A3146="",FALSE(),중복검사!$J3146="유지")</f>
        <v>0</v>
      </c>
      <c r="I3148" s="5" t="str">
        <f aca="false">IF($H3148=FALSE(),"",COUNTIF($H$6:$H3148,TRUE()))</f>
        <v/>
      </c>
      <c r="J3148" s="5" t="str">
        <f aca="false">IF($I3148="","","R"&amp;$I3148)</f>
        <v/>
      </c>
    </row>
    <row r="3149" customFormat="false" ht="15" hidden="false" customHeight="true" outlineLevel="0" collapsed="false">
      <c r="H3149" s="14" t="b">
        <f aca="false">IF(중복검사!$A3147="",FALSE(),중복검사!$J3147="유지")</f>
        <v>0</v>
      </c>
      <c r="I3149" s="5" t="str">
        <f aca="false">IF($H3149=FALSE(),"",COUNTIF($H$6:$H3149,TRUE()))</f>
        <v/>
      </c>
      <c r="J3149" s="5" t="str">
        <f aca="false">IF($I3149="","","R"&amp;$I3149)</f>
        <v/>
      </c>
    </row>
    <row r="3150" customFormat="false" ht="15" hidden="false" customHeight="true" outlineLevel="0" collapsed="false">
      <c r="H3150" s="14" t="b">
        <f aca="false">IF(중복검사!$A3148="",FALSE(),중복검사!$J3148="유지")</f>
        <v>0</v>
      </c>
      <c r="I3150" s="5" t="str">
        <f aca="false">IF($H3150=FALSE(),"",COUNTIF($H$6:$H3150,TRUE()))</f>
        <v/>
      </c>
      <c r="J3150" s="5" t="str">
        <f aca="false">IF($I3150="","","R"&amp;$I3150)</f>
        <v/>
      </c>
    </row>
    <row r="3151" customFormat="false" ht="15" hidden="false" customHeight="true" outlineLevel="0" collapsed="false">
      <c r="H3151" s="14" t="b">
        <f aca="false">IF(중복검사!$A3149="",FALSE(),중복검사!$J3149="유지")</f>
        <v>0</v>
      </c>
      <c r="I3151" s="5" t="str">
        <f aca="false">IF($H3151=FALSE(),"",COUNTIF($H$6:$H3151,TRUE()))</f>
        <v/>
      </c>
      <c r="J3151" s="5" t="str">
        <f aca="false">IF($I3151="","","R"&amp;$I3151)</f>
        <v/>
      </c>
    </row>
    <row r="3152" customFormat="false" ht="15" hidden="false" customHeight="true" outlineLevel="0" collapsed="false">
      <c r="H3152" s="14" t="b">
        <f aca="false">IF(중복검사!$A3150="",FALSE(),중복검사!$J3150="유지")</f>
        <v>0</v>
      </c>
      <c r="I3152" s="5" t="str">
        <f aca="false">IF($H3152=FALSE(),"",COUNTIF($H$6:$H3152,TRUE()))</f>
        <v/>
      </c>
      <c r="J3152" s="5" t="str">
        <f aca="false">IF($I3152="","","R"&amp;$I3152)</f>
        <v/>
      </c>
    </row>
    <row r="3153" customFormat="false" ht="15" hidden="false" customHeight="true" outlineLevel="0" collapsed="false">
      <c r="H3153" s="14" t="b">
        <f aca="false">IF(중복검사!$A3151="",FALSE(),중복검사!$J3151="유지")</f>
        <v>0</v>
      </c>
      <c r="I3153" s="5" t="str">
        <f aca="false">IF($H3153=FALSE(),"",COUNTIF($H$6:$H3153,TRUE()))</f>
        <v/>
      </c>
      <c r="J3153" s="5" t="str">
        <f aca="false">IF($I3153="","","R"&amp;$I3153)</f>
        <v/>
      </c>
    </row>
    <row r="3154" customFormat="false" ht="15" hidden="false" customHeight="true" outlineLevel="0" collapsed="false">
      <c r="H3154" s="14" t="b">
        <f aca="false">IF(중복검사!$A3152="",FALSE(),중복검사!$J3152="유지")</f>
        <v>0</v>
      </c>
      <c r="I3154" s="5" t="str">
        <f aca="false">IF($H3154=FALSE(),"",COUNTIF($H$6:$H3154,TRUE()))</f>
        <v/>
      </c>
      <c r="J3154" s="5" t="str">
        <f aca="false">IF($I3154="","","R"&amp;$I3154)</f>
        <v/>
      </c>
    </row>
    <row r="3155" customFormat="false" ht="15" hidden="false" customHeight="true" outlineLevel="0" collapsed="false">
      <c r="H3155" s="14" t="b">
        <f aca="false">IF(중복검사!$A3153="",FALSE(),중복검사!$J3153="유지")</f>
        <v>0</v>
      </c>
      <c r="I3155" s="5" t="str">
        <f aca="false">IF($H3155=FALSE(),"",COUNTIF($H$6:$H3155,TRUE()))</f>
        <v/>
      </c>
      <c r="J3155" s="5" t="str">
        <f aca="false">IF($I3155="","","R"&amp;$I3155)</f>
        <v/>
      </c>
    </row>
    <row r="3156" customFormat="false" ht="15" hidden="false" customHeight="true" outlineLevel="0" collapsed="false">
      <c r="H3156" s="14" t="b">
        <f aca="false">IF(중복검사!$A3154="",FALSE(),중복검사!$J3154="유지")</f>
        <v>0</v>
      </c>
      <c r="I3156" s="5" t="str">
        <f aca="false">IF($H3156=FALSE(),"",COUNTIF($H$6:$H3156,TRUE()))</f>
        <v/>
      </c>
      <c r="J3156" s="5" t="str">
        <f aca="false">IF($I3156="","","R"&amp;$I3156)</f>
        <v/>
      </c>
    </row>
    <row r="3157" customFormat="false" ht="15" hidden="false" customHeight="true" outlineLevel="0" collapsed="false">
      <c r="H3157" s="14" t="b">
        <f aca="false">IF(중복검사!$A3155="",FALSE(),중복검사!$J3155="유지")</f>
        <v>0</v>
      </c>
      <c r="I3157" s="5" t="str">
        <f aca="false">IF($H3157=FALSE(),"",COUNTIF($H$6:$H3157,TRUE()))</f>
        <v/>
      </c>
      <c r="J3157" s="5" t="str">
        <f aca="false">IF($I3157="","","R"&amp;$I3157)</f>
        <v/>
      </c>
    </row>
    <row r="3158" customFormat="false" ht="15" hidden="false" customHeight="true" outlineLevel="0" collapsed="false">
      <c r="H3158" s="14" t="b">
        <f aca="false">IF(중복검사!$A3156="",FALSE(),중복검사!$J3156="유지")</f>
        <v>0</v>
      </c>
      <c r="I3158" s="5" t="str">
        <f aca="false">IF($H3158=FALSE(),"",COUNTIF($H$6:$H3158,TRUE()))</f>
        <v/>
      </c>
      <c r="J3158" s="5" t="str">
        <f aca="false">IF($I3158="","","R"&amp;$I3158)</f>
        <v/>
      </c>
    </row>
    <row r="3159" customFormat="false" ht="15" hidden="false" customHeight="true" outlineLevel="0" collapsed="false">
      <c r="H3159" s="14" t="b">
        <f aca="false">IF(중복검사!$A3157="",FALSE(),중복검사!$J3157="유지")</f>
        <v>0</v>
      </c>
      <c r="I3159" s="5" t="str">
        <f aca="false">IF($H3159=FALSE(),"",COUNTIF($H$6:$H3159,TRUE()))</f>
        <v/>
      </c>
      <c r="J3159" s="5" t="str">
        <f aca="false">IF($I3159="","","R"&amp;$I3159)</f>
        <v/>
      </c>
    </row>
    <row r="3160" customFormat="false" ht="15" hidden="false" customHeight="true" outlineLevel="0" collapsed="false">
      <c r="H3160" s="14" t="b">
        <f aca="false">IF(중복검사!$A3158="",FALSE(),중복검사!$J3158="유지")</f>
        <v>0</v>
      </c>
      <c r="I3160" s="5" t="str">
        <f aca="false">IF($H3160=FALSE(),"",COUNTIF($H$6:$H3160,TRUE()))</f>
        <v/>
      </c>
      <c r="J3160" s="5" t="str">
        <f aca="false">IF($I3160="","","R"&amp;$I3160)</f>
        <v/>
      </c>
    </row>
    <row r="3161" customFormat="false" ht="15" hidden="false" customHeight="true" outlineLevel="0" collapsed="false">
      <c r="H3161" s="14" t="b">
        <f aca="false">IF(중복검사!$A3159="",FALSE(),중복검사!$J3159="유지")</f>
        <v>0</v>
      </c>
      <c r="I3161" s="5" t="str">
        <f aca="false">IF($H3161=FALSE(),"",COUNTIF($H$6:$H3161,TRUE()))</f>
        <v/>
      </c>
      <c r="J3161" s="5" t="str">
        <f aca="false">IF($I3161="","","R"&amp;$I3161)</f>
        <v/>
      </c>
    </row>
    <row r="3162" customFormat="false" ht="15" hidden="false" customHeight="true" outlineLevel="0" collapsed="false">
      <c r="H3162" s="14" t="b">
        <f aca="false">IF(중복검사!$A3160="",FALSE(),중복검사!$J3160="유지")</f>
        <v>0</v>
      </c>
      <c r="I3162" s="5" t="str">
        <f aca="false">IF($H3162=FALSE(),"",COUNTIF($H$6:$H3162,TRUE()))</f>
        <v/>
      </c>
      <c r="J3162" s="5" t="str">
        <f aca="false">IF($I3162="","","R"&amp;$I3162)</f>
        <v/>
      </c>
    </row>
    <row r="3163" customFormat="false" ht="15" hidden="false" customHeight="true" outlineLevel="0" collapsed="false">
      <c r="H3163" s="14" t="b">
        <f aca="false">IF(중복검사!$A3161="",FALSE(),중복검사!$J3161="유지")</f>
        <v>0</v>
      </c>
      <c r="I3163" s="5" t="str">
        <f aca="false">IF($H3163=FALSE(),"",COUNTIF($H$6:$H3163,TRUE()))</f>
        <v/>
      </c>
      <c r="J3163" s="5" t="str">
        <f aca="false">IF($I3163="","","R"&amp;$I3163)</f>
        <v/>
      </c>
    </row>
    <row r="3164" customFormat="false" ht="15" hidden="false" customHeight="true" outlineLevel="0" collapsed="false">
      <c r="H3164" s="14" t="b">
        <f aca="false">IF(중복검사!$A3162="",FALSE(),중복검사!$J3162="유지")</f>
        <v>0</v>
      </c>
      <c r="I3164" s="5" t="str">
        <f aca="false">IF($H3164=FALSE(),"",COUNTIF($H$6:$H3164,TRUE()))</f>
        <v/>
      </c>
      <c r="J3164" s="5" t="str">
        <f aca="false">IF($I3164="","","R"&amp;$I3164)</f>
        <v/>
      </c>
    </row>
    <row r="3165" customFormat="false" ht="15" hidden="false" customHeight="true" outlineLevel="0" collapsed="false">
      <c r="H3165" s="14" t="b">
        <f aca="false">IF(중복검사!$A3163="",FALSE(),중복검사!$J3163="유지")</f>
        <v>0</v>
      </c>
      <c r="I3165" s="5" t="str">
        <f aca="false">IF($H3165=FALSE(),"",COUNTIF($H$6:$H3165,TRUE()))</f>
        <v/>
      </c>
      <c r="J3165" s="5" t="str">
        <f aca="false">IF($I3165="","","R"&amp;$I3165)</f>
        <v/>
      </c>
    </row>
    <row r="3166" customFormat="false" ht="15" hidden="false" customHeight="true" outlineLevel="0" collapsed="false">
      <c r="H3166" s="14" t="b">
        <f aca="false">IF(중복검사!$A3164="",FALSE(),중복검사!$J3164="유지")</f>
        <v>0</v>
      </c>
      <c r="I3166" s="5" t="str">
        <f aca="false">IF($H3166=FALSE(),"",COUNTIF($H$6:$H3166,TRUE()))</f>
        <v/>
      </c>
      <c r="J3166" s="5" t="str">
        <f aca="false">IF($I3166="","","R"&amp;$I3166)</f>
        <v/>
      </c>
    </row>
    <row r="3167" customFormat="false" ht="15" hidden="false" customHeight="true" outlineLevel="0" collapsed="false">
      <c r="H3167" s="14" t="b">
        <f aca="false">IF(중복검사!$A3165="",FALSE(),중복검사!$J3165="유지")</f>
        <v>0</v>
      </c>
      <c r="I3167" s="5" t="str">
        <f aca="false">IF($H3167=FALSE(),"",COUNTIF($H$6:$H3167,TRUE()))</f>
        <v/>
      </c>
      <c r="J3167" s="5" t="str">
        <f aca="false">IF($I3167="","","R"&amp;$I3167)</f>
        <v/>
      </c>
    </row>
    <row r="3168" customFormat="false" ht="15" hidden="false" customHeight="true" outlineLevel="0" collapsed="false">
      <c r="H3168" s="14" t="b">
        <f aca="false">IF(중복검사!$A3166="",FALSE(),중복검사!$J3166="유지")</f>
        <v>0</v>
      </c>
      <c r="I3168" s="5" t="str">
        <f aca="false">IF($H3168=FALSE(),"",COUNTIF($H$6:$H3168,TRUE()))</f>
        <v/>
      </c>
      <c r="J3168" s="5" t="str">
        <f aca="false">IF($I3168="","","R"&amp;$I3168)</f>
        <v/>
      </c>
    </row>
    <row r="3169" customFormat="false" ht="15" hidden="false" customHeight="true" outlineLevel="0" collapsed="false">
      <c r="H3169" s="14" t="b">
        <f aca="false">IF(중복검사!$A3167="",FALSE(),중복검사!$J3167="유지")</f>
        <v>0</v>
      </c>
      <c r="I3169" s="5" t="str">
        <f aca="false">IF($H3169=FALSE(),"",COUNTIF($H$6:$H3169,TRUE()))</f>
        <v/>
      </c>
      <c r="J3169" s="5" t="str">
        <f aca="false">IF($I3169="","","R"&amp;$I3169)</f>
        <v/>
      </c>
    </row>
    <row r="3170" customFormat="false" ht="15" hidden="false" customHeight="true" outlineLevel="0" collapsed="false">
      <c r="H3170" s="14" t="b">
        <f aca="false">IF(중복검사!$A3168="",FALSE(),중복검사!$J3168="유지")</f>
        <v>0</v>
      </c>
      <c r="I3170" s="5" t="str">
        <f aca="false">IF($H3170=FALSE(),"",COUNTIF($H$6:$H3170,TRUE()))</f>
        <v/>
      </c>
      <c r="J3170" s="5" t="str">
        <f aca="false">IF($I3170="","","R"&amp;$I3170)</f>
        <v/>
      </c>
    </row>
    <row r="3171" customFormat="false" ht="15" hidden="false" customHeight="true" outlineLevel="0" collapsed="false">
      <c r="H3171" s="14" t="b">
        <f aca="false">IF(중복검사!$A3169="",FALSE(),중복검사!$J3169="유지")</f>
        <v>0</v>
      </c>
      <c r="I3171" s="5" t="str">
        <f aca="false">IF($H3171=FALSE(),"",COUNTIF($H$6:$H3171,TRUE()))</f>
        <v/>
      </c>
      <c r="J3171" s="5" t="str">
        <f aca="false">IF($I3171="","","R"&amp;$I3171)</f>
        <v/>
      </c>
    </row>
    <row r="3172" customFormat="false" ht="15" hidden="false" customHeight="true" outlineLevel="0" collapsed="false">
      <c r="H3172" s="14" t="b">
        <f aca="false">IF(중복검사!$A3170="",FALSE(),중복검사!$J3170="유지")</f>
        <v>0</v>
      </c>
      <c r="I3172" s="5" t="str">
        <f aca="false">IF($H3172=FALSE(),"",COUNTIF($H$6:$H3172,TRUE()))</f>
        <v/>
      </c>
      <c r="J3172" s="5" t="str">
        <f aca="false">IF($I3172="","","R"&amp;$I3172)</f>
        <v/>
      </c>
    </row>
    <row r="3173" customFormat="false" ht="15" hidden="false" customHeight="true" outlineLevel="0" collapsed="false">
      <c r="H3173" s="14" t="b">
        <f aca="false">IF(중복검사!$A3171="",FALSE(),중복검사!$J3171="유지")</f>
        <v>0</v>
      </c>
      <c r="I3173" s="5" t="str">
        <f aca="false">IF($H3173=FALSE(),"",COUNTIF($H$6:$H3173,TRUE()))</f>
        <v/>
      </c>
      <c r="J3173" s="5" t="str">
        <f aca="false">IF($I3173="","","R"&amp;$I3173)</f>
        <v/>
      </c>
    </row>
    <row r="3174" customFormat="false" ht="15" hidden="false" customHeight="true" outlineLevel="0" collapsed="false">
      <c r="H3174" s="14" t="b">
        <f aca="false">IF(중복검사!$A3172="",FALSE(),중복검사!$J3172="유지")</f>
        <v>0</v>
      </c>
      <c r="I3174" s="5" t="str">
        <f aca="false">IF($H3174=FALSE(),"",COUNTIF($H$6:$H3174,TRUE()))</f>
        <v/>
      </c>
      <c r="J3174" s="5" t="str">
        <f aca="false">IF($I3174="","","R"&amp;$I3174)</f>
        <v/>
      </c>
    </row>
    <row r="3175" customFormat="false" ht="15" hidden="false" customHeight="true" outlineLevel="0" collapsed="false">
      <c r="H3175" s="14" t="b">
        <f aca="false">IF(중복검사!$A3173="",FALSE(),중복검사!$J3173="유지")</f>
        <v>0</v>
      </c>
      <c r="I3175" s="5" t="str">
        <f aca="false">IF($H3175=FALSE(),"",COUNTIF($H$6:$H3175,TRUE()))</f>
        <v/>
      </c>
      <c r="J3175" s="5" t="str">
        <f aca="false">IF($I3175="","","R"&amp;$I3175)</f>
        <v/>
      </c>
    </row>
    <row r="3176" customFormat="false" ht="15" hidden="false" customHeight="true" outlineLevel="0" collapsed="false">
      <c r="H3176" s="14" t="b">
        <f aca="false">IF(중복검사!$A3174="",FALSE(),중복검사!$J3174="유지")</f>
        <v>0</v>
      </c>
      <c r="I3176" s="5" t="str">
        <f aca="false">IF($H3176=FALSE(),"",COUNTIF($H$6:$H3176,TRUE()))</f>
        <v/>
      </c>
      <c r="J3176" s="5" t="str">
        <f aca="false">IF($I3176="","","R"&amp;$I3176)</f>
        <v/>
      </c>
    </row>
    <row r="3177" customFormat="false" ht="15" hidden="false" customHeight="true" outlineLevel="0" collapsed="false">
      <c r="H3177" s="14" t="b">
        <f aca="false">IF(중복검사!$A3175="",FALSE(),중복검사!$J3175="유지")</f>
        <v>0</v>
      </c>
      <c r="I3177" s="5" t="str">
        <f aca="false">IF($H3177=FALSE(),"",COUNTIF($H$6:$H3177,TRUE()))</f>
        <v/>
      </c>
      <c r="J3177" s="5" t="str">
        <f aca="false">IF($I3177="","","R"&amp;$I3177)</f>
        <v/>
      </c>
    </row>
    <row r="3178" customFormat="false" ht="15" hidden="false" customHeight="true" outlineLevel="0" collapsed="false">
      <c r="H3178" s="14" t="b">
        <f aca="false">IF(중복검사!$A3176="",FALSE(),중복검사!$J3176="유지")</f>
        <v>0</v>
      </c>
      <c r="I3178" s="5" t="str">
        <f aca="false">IF($H3178=FALSE(),"",COUNTIF($H$6:$H3178,TRUE()))</f>
        <v/>
      </c>
      <c r="J3178" s="5" t="str">
        <f aca="false">IF($I3178="","","R"&amp;$I3178)</f>
        <v/>
      </c>
    </row>
    <row r="3179" customFormat="false" ht="15" hidden="false" customHeight="true" outlineLevel="0" collapsed="false">
      <c r="H3179" s="14" t="b">
        <f aca="false">IF(중복검사!$A3177="",FALSE(),중복검사!$J3177="유지")</f>
        <v>0</v>
      </c>
      <c r="I3179" s="5" t="str">
        <f aca="false">IF($H3179=FALSE(),"",COUNTIF($H$6:$H3179,TRUE()))</f>
        <v/>
      </c>
      <c r="J3179" s="5" t="str">
        <f aca="false">IF($I3179="","","R"&amp;$I3179)</f>
        <v/>
      </c>
    </row>
    <row r="3180" customFormat="false" ht="15" hidden="false" customHeight="true" outlineLevel="0" collapsed="false">
      <c r="H3180" s="14" t="b">
        <f aca="false">IF(중복검사!$A3178="",FALSE(),중복검사!$J3178="유지")</f>
        <v>0</v>
      </c>
      <c r="I3180" s="5" t="str">
        <f aca="false">IF($H3180=FALSE(),"",COUNTIF($H$6:$H3180,TRUE()))</f>
        <v/>
      </c>
      <c r="J3180" s="5" t="str">
        <f aca="false">IF($I3180="","","R"&amp;$I3180)</f>
        <v/>
      </c>
    </row>
    <row r="3181" customFormat="false" ht="15" hidden="false" customHeight="true" outlineLevel="0" collapsed="false">
      <c r="H3181" s="14" t="b">
        <f aca="false">IF(중복검사!$A3179="",FALSE(),중복검사!$J3179="유지")</f>
        <v>0</v>
      </c>
      <c r="I3181" s="5" t="str">
        <f aca="false">IF($H3181=FALSE(),"",COUNTIF($H$6:$H3181,TRUE()))</f>
        <v/>
      </c>
      <c r="J3181" s="5" t="str">
        <f aca="false">IF($I3181="","","R"&amp;$I3181)</f>
        <v/>
      </c>
    </row>
    <row r="3182" customFormat="false" ht="15" hidden="false" customHeight="true" outlineLevel="0" collapsed="false">
      <c r="H3182" s="14" t="b">
        <f aca="false">IF(중복검사!$A3180="",FALSE(),중복검사!$J3180="유지")</f>
        <v>0</v>
      </c>
      <c r="I3182" s="5" t="str">
        <f aca="false">IF($H3182=FALSE(),"",COUNTIF($H$6:$H3182,TRUE()))</f>
        <v/>
      </c>
      <c r="J3182" s="5" t="str">
        <f aca="false">IF($I3182="","","R"&amp;$I3182)</f>
        <v/>
      </c>
    </row>
    <row r="3183" customFormat="false" ht="15" hidden="false" customHeight="true" outlineLevel="0" collapsed="false">
      <c r="H3183" s="14" t="b">
        <f aca="false">IF(중복검사!$A3181="",FALSE(),중복검사!$J3181="유지")</f>
        <v>0</v>
      </c>
      <c r="I3183" s="5" t="str">
        <f aca="false">IF($H3183=FALSE(),"",COUNTIF($H$6:$H3183,TRUE()))</f>
        <v/>
      </c>
      <c r="J3183" s="5" t="str">
        <f aca="false">IF($I3183="","","R"&amp;$I3183)</f>
        <v/>
      </c>
    </row>
    <row r="3184" customFormat="false" ht="15" hidden="false" customHeight="true" outlineLevel="0" collapsed="false">
      <c r="H3184" s="14" t="b">
        <f aca="false">IF(중복검사!$A3182="",FALSE(),중복검사!$J3182="유지")</f>
        <v>0</v>
      </c>
      <c r="I3184" s="5" t="str">
        <f aca="false">IF($H3184=FALSE(),"",COUNTIF($H$6:$H3184,TRUE()))</f>
        <v/>
      </c>
      <c r="J3184" s="5" t="str">
        <f aca="false">IF($I3184="","","R"&amp;$I3184)</f>
        <v/>
      </c>
    </row>
    <row r="3185" customFormat="false" ht="15" hidden="false" customHeight="true" outlineLevel="0" collapsed="false">
      <c r="H3185" s="14" t="b">
        <f aca="false">IF(중복검사!$A3183="",FALSE(),중복검사!$J3183="유지")</f>
        <v>0</v>
      </c>
      <c r="I3185" s="5" t="str">
        <f aca="false">IF($H3185=FALSE(),"",COUNTIF($H$6:$H3185,TRUE()))</f>
        <v/>
      </c>
      <c r="J3185" s="5" t="str">
        <f aca="false">IF($I3185="","","R"&amp;$I3185)</f>
        <v/>
      </c>
    </row>
    <row r="3186" customFormat="false" ht="15" hidden="false" customHeight="true" outlineLevel="0" collapsed="false">
      <c r="H3186" s="14" t="b">
        <f aca="false">IF(중복검사!$A3184="",FALSE(),중복검사!$J3184="유지")</f>
        <v>0</v>
      </c>
      <c r="I3186" s="5" t="str">
        <f aca="false">IF($H3186=FALSE(),"",COUNTIF($H$6:$H3186,TRUE()))</f>
        <v/>
      </c>
      <c r="J3186" s="5" t="str">
        <f aca="false">IF($I3186="","","R"&amp;$I3186)</f>
        <v/>
      </c>
    </row>
    <row r="3187" customFormat="false" ht="15" hidden="false" customHeight="true" outlineLevel="0" collapsed="false">
      <c r="H3187" s="14" t="b">
        <f aca="false">IF(중복검사!$A3185="",FALSE(),중복검사!$J3185="유지")</f>
        <v>0</v>
      </c>
      <c r="I3187" s="5" t="str">
        <f aca="false">IF($H3187=FALSE(),"",COUNTIF($H$6:$H3187,TRUE()))</f>
        <v/>
      </c>
      <c r="J3187" s="5" t="str">
        <f aca="false">IF($I3187="","","R"&amp;$I3187)</f>
        <v/>
      </c>
    </row>
    <row r="3188" customFormat="false" ht="15" hidden="false" customHeight="true" outlineLevel="0" collapsed="false">
      <c r="H3188" s="14" t="b">
        <f aca="false">IF(중복검사!$A3186="",FALSE(),중복검사!$J3186="유지")</f>
        <v>0</v>
      </c>
      <c r="I3188" s="5" t="str">
        <f aca="false">IF($H3188=FALSE(),"",COUNTIF($H$6:$H3188,TRUE()))</f>
        <v/>
      </c>
      <c r="J3188" s="5" t="str">
        <f aca="false">IF($I3188="","","R"&amp;$I3188)</f>
        <v/>
      </c>
    </row>
    <row r="3189" customFormat="false" ht="15" hidden="false" customHeight="true" outlineLevel="0" collapsed="false">
      <c r="H3189" s="14" t="b">
        <f aca="false">IF(중복검사!$A3187="",FALSE(),중복검사!$J3187="유지")</f>
        <v>0</v>
      </c>
      <c r="I3189" s="5" t="str">
        <f aca="false">IF($H3189=FALSE(),"",COUNTIF($H$6:$H3189,TRUE()))</f>
        <v/>
      </c>
      <c r="J3189" s="5" t="str">
        <f aca="false">IF($I3189="","","R"&amp;$I3189)</f>
        <v/>
      </c>
    </row>
    <row r="3190" customFormat="false" ht="15" hidden="false" customHeight="true" outlineLevel="0" collapsed="false">
      <c r="H3190" s="14" t="b">
        <f aca="false">IF(중복검사!$A3188="",FALSE(),중복검사!$J3188="유지")</f>
        <v>0</v>
      </c>
      <c r="I3190" s="5" t="str">
        <f aca="false">IF($H3190=FALSE(),"",COUNTIF($H$6:$H3190,TRUE()))</f>
        <v/>
      </c>
      <c r="J3190" s="5" t="str">
        <f aca="false">IF($I3190="","","R"&amp;$I3190)</f>
        <v/>
      </c>
    </row>
    <row r="3191" customFormat="false" ht="15" hidden="false" customHeight="true" outlineLevel="0" collapsed="false">
      <c r="H3191" s="14" t="b">
        <f aca="false">IF(중복검사!$A3189="",FALSE(),중복검사!$J3189="유지")</f>
        <v>0</v>
      </c>
      <c r="I3191" s="5" t="str">
        <f aca="false">IF($H3191=FALSE(),"",COUNTIF($H$6:$H3191,TRUE()))</f>
        <v/>
      </c>
      <c r="J3191" s="5" t="str">
        <f aca="false">IF($I3191="","","R"&amp;$I3191)</f>
        <v/>
      </c>
    </row>
    <row r="3192" customFormat="false" ht="15" hidden="false" customHeight="true" outlineLevel="0" collapsed="false">
      <c r="H3192" s="14" t="b">
        <f aca="false">IF(중복검사!$A3190="",FALSE(),중복검사!$J3190="유지")</f>
        <v>0</v>
      </c>
      <c r="I3192" s="5" t="str">
        <f aca="false">IF($H3192=FALSE(),"",COUNTIF($H$6:$H3192,TRUE()))</f>
        <v/>
      </c>
      <c r="J3192" s="5" t="str">
        <f aca="false">IF($I3192="","","R"&amp;$I3192)</f>
        <v/>
      </c>
    </row>
    <row r="3193" customFormat="false" ht="15" hidden="false" customHeight="true" outlineLevel="0" collapsed="false">
      <c r="H3193" s="14" t="b">
        <f aca="false">IF(중복검사!$A3191="",FALSE(),중복검사!$J3191="유지")</f>
        <v>0</v>
      </c>
      <c r="I3193" s="5" t="str">
        <f aca="false">IF($H3193=FALSE(),"",COUNTIF($H$6:$H3193,TRUE()))</f>
        <v/>
      </c>
      <c r="J3193" s="5" t="str">
        <f aca="false">IF($I3193="","","R"&amp;$I3193)</f>
        <v/>
      </c>
    </row>
    <row r="3194" customFormat="false" ht="15" hidden="false" customHeight="true" outlineLevel="0" collapsed="false">
      <c r="H3194" s="14" t="b">
        <f aca="false">IF(중복검사!$A3192="",FALSE(),중복검사!$J3192="유지")</f>
        <v>0</v>
      </c>
      <c r="I3194" s="5" t="str">
        <f aca="false">IF($H3194=FALSE(),"",COUNTIF($H$6:$H3194,TRUE()))</f>
        <v/>
      </c>
      <c r="J3194" s="5" t="str">
        <f aca="false">IF($I3194="","","R"&amp;$I3194)</f>
        <v/>
      </c>
    </row>
    <row r="3195" customFormat="false" ht="15" hidden="false" customHeight="true" outlineLevel="0" collapsed="false">
      <c r="H3195" s="14" t="b">
        <f aca="false">IF(중복검사!$A3193="",FALSE(),중복검사!$J3193="유지")</f>
        <v>0</v>
      </c>
      <c r="I3195" s="5" t="str">
        <f aca="false">IF($H3195=FALSE(),"",COUNTIF($H$6:$H3195,TRUE()))</f>
        <v/>
      </c>
      <c r="J3195" s="5" t="str">
        <f aca="false">IF($I3195="","","R"&amp;$I3195)</f>
        <v/>
      </c>
    </row>
    <row r="3196" customFormat="false" ht="15" hidden="false" customHeight="true" outlineLevel="0" collapsed="false">
      <c r="H3196" s="14" t="b">
        <f aca="false">IF(중복검사!$A3194="",FALSE(),중복검사!$J3194="유지")</f>
        <v>0</v>
      </c>
      <c r="I3196" s="5" t="str">
        <f aca="false">IF($H3196=FALSE(),"",COUNTIF($H$6:$H3196,TRUE()))</f>
        <v/>
      </c>
      <c r="J3196" s="5" t="str">
        <f aca="false">IF($I3196="","","R"&amp;$I3196)</f>
        <v/>
      </c>
    </row>
    <row r="3197" customFormat="false" ht="15" hidden="false" customHeight="true" outlineLevel="0" collapsed="false">
      <c r="H3197" s="14" t="b">
        <f aca="false">IF(중복검사!$A3195="",FALSE(),중복검사!$J3195="유지")</f>
        <v>0</v>
      </c>
      <c r="I3197" s="5" t="str">
        <f aca="false">IF($H3197=FALSE(),"",COUNTIF($H$6:$H3197,TRUE()))</f>
        <v/>
      </c>
      <c r="J3197" s="5" t="str">
        <f aca="false">IF($I3197="","","R"&amp;$I3197)</f>
        <v/>
      </c>
    </row>
    <row r="3198" customFormat="false" ht="15" hidden="false" customHeight="true" outlineLevel="0" collapsed="false">
      <c r="H3198" s="14" t="b">
        <f aca="false">IF(중복검사!$A3196="",FALSE(),중복검사!$J3196="유지")</f>
        <v>0</v>
      </c>
      <c r="I3198" s="5" t="str">
        <f aca="false">IF($H3198=FALSE(),"",COUNTIF($H$6:$H3198,TRUE()))</f>
        <v/>
      </c>
      <c r="J3198" s="5" t="str">
        <f aca="false">IF($I3198="","","R"&amp;$I3198)</f>
        <v/>
      </c>
    </row>
    <row r="3199" customFormat="false" ht="15" hidden="false" customHeight="true" outlineLevel="0" collapsed="false">
      <c r="H3199" s="14" t="b">
        <f aca="false">IF(중복검사!$A3197="",FALSE(),중복검사!$J3197="유지")</f>
        <v>0</v>
      </c>
      <c r="I3199" s="5" t="str">
        <f aca="false">IF($H3199=FALSE(),"",COUNTIF($H$6:$H3199,TRUE()))</f>
        <v/>
      </c>
      <c r="J3199" s="5" t="str">
        <f aca="false">IF($I3199="","","R"&amp;$I3199)</f>
        <v/>
      </c>
    </row>
    <row r="3200" customFormat="false" ht="15" hidden="false" customHeight="true" outlineLevel="0" collapsed="false">
      <c r="H3200" s="14" t="b">
        <f aca="false">IF(중복검사!$A3198="",FALSE(),중복검사!$J3198="유지")</f>
        <v>0</v>
      </c>
      <c r="I3200" s="5" t="str">
        <f aca="false">IF($H3200=FALSE(),"",COUNTIF($H$6:$H3200,TRUE()))</f>
        <v/>
      </c>
      <c r="J3200" s="5" t="str">
        <f aca="false">IF($I3200="","","R"&amp;$I3200)</f>
        <v/>
      </c>
    </row>
    <row r="3201" customFormat="false" ht="15" hidden="false" customHeight="true" outlineLevel="0" collapsed="false">
      <c r="H3201" s="14" t="b">
        <f aca="false">IF(중복검사!$A3199="",FALSE(),중복검사!$J3199="유지")</f>
        <v>0</v>
      </c>
      <c r="I3201" s="5" t="str">
        <f aca="false">IF($H3201=FALSE(),"",COUNTIF($H$6:$H3201,TRUE()))</f>
        <v/>
      </c>
      <c r="J3201" s="5" t="str">
        <f aca="false">IF($I3201="","","R"&amp;$I3201)</f>
        <v/>
      </c>
    </row>
    <row r="3202" customFormat="false" ht="15" hidden="false" customHeight="true" outlineLevel="0" collapsed="false">
      <c r="H3202" s="14" t="b">
        <f aca="false">IF(중복검사!$A3200="",FALSE(),중복검사!$J3200="유지")</f>
        <v>0</v>
      </c>
      <c r="I3202" s="5" t="str">
        <f aca="false">IF($H3202=FALSE(),"",COUNTIF($H$6:$H3202,TRUE()))</f>
        <v/>
      </c>
      <c r="J3202" s="5" t="str">
        <f aca="false">IF($I3202="","","R"&amp;$I3202)</f>
        <v/>
      </c>
    </row>
    <row r="3203" customFormat="false" ht="15" hidden="false" customHeight="true" outlineLevel="0" collapsed="false">
      <c r="H3203" s="14" t="b">
        <f aca="false">IF(중복검사!$A3201="",FALSE(),중복검사!$J3201="유지")</f>
        <v>0</v>
      </c>
      <c r="I3203" s="5" t="str">
        <f aca="false">IF($H3203=FALSE(),"",COUNTIF($H$6:$H3203,TRUE()))</f>
        <v/>
      </c>
      <c r="J3203" s="5" t="str">
        <f aca="false">IF($I3203="","","R"&amp;$I3203)</f>
        <v/>
      </c>
    </row>
    <row r="3204" customFormat="false" ht="15" hidden="false" customHeight="true" outlineLevel="0" collapsed="false">
      <c r="H3204" s="14" t="b">
        <f aca="false">IF(중복검사!$A3202="",FALSE(),중복검사!$J3202="유지")</f>
        <v>0</v>
      </c>
      <c r="I3204" s="5" t="str">
        <f aca="false">IF($H3204=FALSE(),"",COUNTIF($H$6:$H3204,TRUE()))</f>
        <v/>
      </c>
      <c r="J3204" s="5" t="str">
        <f aca="false">IF($I3204="","","R"&amp;$I3204)</f>
        <v/>
      </c>
    </row>
    <row r="3205" customFormat="false" ht="15" hidden="false" customHeight="true" outlineLevel="0" collapsed="false">
      <c r="H3205" s="14" t="b">
        <f aca="false">IF(중복검사!$A3203="",FALSE(),중복검사!$J3203="유지")</f>
        <v>0</v>
      </c>
      <c r="I3205" s="5" t="str">
        <f aca="false">IF($H3205=FALSE(),"",COUNTIF($H$6:$H3205,TRUE()))</f>
        <v/>
      </c>
      <c r="J3205" s="5" t="str">
        <f aca="false">IF($I3205="","","R"&amp;$I3205)</f>
        <v/>
      </c>
    </row>
    <row r="3206" customFormat="false" ht="15" hidden="false" customHeight="true" outlineLevel="0" collapsed="false">
      <c r="H3206" s="14" t="b">
        <f aca="false">IF(중복검사!$A3204="",FALSE(),중복검사!$J3204="유지")</f>
        <v>0</v>
      </c>
      <c r="I3206" s="5" t="str">
        <f aca="false">IF($H3206=FALSE(),"",COUNTIF($H$6:$H3206,TRUE()))</f>
        <v/>
      </c>
      <c r="J3206" s="5" t="str">
        <f aca="false">IF($I3206="","","R"&amp;$I3206)</f>
        <v/>
      </c>
    </row>
    <row r="3207" customFormat="false" ht="15" hidden="false" customHeight="true" outlineLevel="0" collapsed="false">
      <c r="H3207" s="14" t="b">
        <f aca="false">IF(중복검사!$A3205="",FALSE(),중복검사!$J3205="유지")</f>
        <v>0</v>
      </c>
      <c r="I3207" s="5" t="str">
        <f aca="false">IF($H3207=FALSE(),"",COUNTIF($H$6:$H3207,TRUE()))</f>
        <v/>
      </c>
      <c r="J3207" s="5" t="str">
        <f aca="false">IF($I3207="","","R"&amp;$I3207)</f>
        <v/>
      </c>
    </row>
    <row r="3208" customFormat="false" ht="15" hidden="false" customHeight="true" outlineLevel="0" collapsed="false">
      <c r="H3208" s="14" t="b">
        <f aca="false">IF(중복검사!$A3206="",FALSE(),중복검사!$J3206="유지")</f>
        <v>0</v>
      </c>
      <c r="I3208" s="5" t="str">
        <f aca="false">IF($H3208=FALSE(),"",COUNTIF($H$6:$H3208,TRUE()))</f>
        <v/>
      </c>
      <c r="J3208" s="5" t="str">
        <f aca="false">IF($I3208="","","R"&amp;$I3208)</f>
        <v/>
      </c>
    </row>
    <row r="3209" customFormat="false" ht="15" hidden="false" customHeight="true" outlineLevel="0" collapsed="false">
      <c r="H3209" s="14" t="b">
        <f aca="false">IF(중복검사!$A3207="",FALSE(),중복검사!$J3207="유지")</f>
        <v>0</v>
      </c>
      <c r="I3209" s="5" t="str">
        <f aca="false">IF($H3209=FALSE(),"",COUNTIF($H$6:$H3209,TRUE()))</f>
        <v/>
      </c>
      <c r="J3209" s="5" t="str">
        <f aca="false">IF($I3209="","","R"&amp;$I3209)</f>
        <v/>
      </c>
    </row>
    <row r="3210" customFormat="false" ht="15" hidden="false" customHeight="true" outlineLevel="0" collapsed="false">
      <c r="H3210" s="14" t="b">
        <f aca="false">IF(중복검사!$A3208="",FALSE(),중복검사!$J3208="유지")</f>
        <v>0</v>
      </c>
      <c r="I3210" s="5" t="str">
        <f aca="false">IF($H3210=FALSE(),"",COUNTIF($H$6:$H3210,TRUE()))</f>
        <v/>
      </c>
      <c r="J3210" s="5" t="str">
        <f aca="false">IF($I3210="","","R"&amp;$I3210)</f>
        <v/>
      </c>
    </row>
    <row r="3211" customFormat="false" ht="15" hidden="false" customHeight="true" outlineLevel="0" collapsed="false">
      <c r="H3211" s="14" t="b">
        <f aca="false">IF(중복검사!$A3209="",FALSE(),중복검사!$J3209="유지")</f>
        <v>0</v>
      </c>
      <c r="I3211" s="5" t="str">
        <f aca="false">IF($H3211=FALSE(),"",COUNTIF($H$6:$H3211,TRUE()))</f>
        <v/>
      </c>
      <c r="J3211" s="5" t="str">
        <f aca="false">IF($I3211="","","R"&amp;$I3211)</f>
        <v/>
      </c>
    </row>
    <row r="3212" customFormat="false" ht="15" hidden="false" customHeight="true" outlineLevel="0" collapsed="false">
      <c r="H3212" s="14" t="b">
        <f aca="false">IF(중복검사!$A3210="",FALSE(),중복검사!$J3210="유지")</f>
        <v>0</v>
      </c>
      <c r="I3212" s="5" t="str">
        <f aca="false">IF($H3212=FALSE(),"",COUNTIF($H$6:$H3212,TRUE()))</f>
        <v/>
      </c>
      <c r="J3212" s="5" t="str">
        <f aca="false">IF($I3212="","","R"&amp;$I3212)</f>
        <v/>
      </c>
    </row>
    <row r="3213" customFormat="false" ht="15" hidden="false" customHeight="true" outlineLevel="0" collapsed="false">
      <c r="H3213" s="14" t="b">
        <f aca="false">IF(중복검사!$A3211="",FALSE(),중복검사!$J3211="유지")</f>
        <v>0</v>
      </c>
      <c r="I3213" s="5" t="str">
        <f aca="false">IF($H3213=FALSE(),"",COUNTIF($H$6:$H3213,TRUE()))</f>
        <v/>
      </c>
      <c r="J3213" s="5" t="str">
        <f aca="false">IF($I3213="","","R"&amp;$I3213)</f>
        <v/>
      </c>
    </row>
    <row r="3214" customFormat="false" ht="15" hidden="false" customHeight="true" outlineLevel="0" collapsed="false">
      <c r="H3214" s="14" t="b">
        <f aca="false">IF(중복검사!$A3212="",FALSE(),중복검사!$J3212="유지")</f>
        <v>0</v>
      </c>
      <c r="I3214" s="5" t="str">
        <f aca="false">IF($H3214=FALSE(),"",COUNTIF($H$6:$H3214,TRUE()))</f>
        <v/>
      </c>
      <c r="J3214" s="5" t="str">
        <f aca="false">IF($I3214="","","R"&amp;$I3214)</f>
        <v/>
      </c>
    </row>
    <row r="3215" customFormat="false" ht="15" hidden="false" customHeight="true" outlineLevel="0" collapsed="false">
      <c r="H3215" s="14" t="b">
        <f aca="false">IF(중복검사!$A3213="",FALSE(),중복검사!$J3213="유지")</f>
        <v>0</v>
      </c>
      <c r="I3215" s="5" t="str">
        <f aca="false">IF($H3215=FALSE(),"",COUNTIF($H$6:$H3215,TRUE()))</f>
        <v/>
      </c>
      <c r="J3215" s="5" t="str">
        <f aca="false">IF($I3215="","","R"&amp;$I3215)</f>
        <v/>
      </c>
    </row>
    <row r="3216" customFormat="false" ht="15" hidden="false" customHeight="true" outlineLevel="0" collapsed="false">
      <c r="H3216" s="14" t="b">
        <f aca="false">IF(중복검사!$A3214="",FALSE(),중복검사!$J3214="유지")</f>
        <v>0</v>
      </c>
      <c r="I3216" s="5" t="str">
        <f aca="false">IF($H3216=FALSE(),"",COUNTIF($H$6:$H3216,TRUE()))</f>
        <v/>
      </c>
      <c r="J3216" s="5" t="str">
        <f aca="false">IF($I3216="","","R"&amp;$I3216)</f>
        <v/>
      </c>
    </row>
    <row r="3217" customFormat="false" ht="15" hidden="false" customHeight="true" outlineLevel="0" collapsed="false">
      <c r="H3217" s="14" t="b">
        <f aca="false">IF(중복검사!$A3215="",FALSE(),중복검사!$J3215="유지")</f>
        <v>0</v>
      </c>
      <c r="I3217" s="5" t="str">
        <f aca="false">IF($H3217=FALSE(),"",COUNTIF($H$6:$H3217,TRUE()))</f>
        <v/>
      </c>
      <c r="J3217" s="5" t="str">
        <f aca="false">IF($I3217="","","R"&amp;$I3217)</f>
        <v/>
      </c>
    </row>
    <row r="3218" customFormat="false" ht="15" hidden="false" customHeight="true" outlineLevel="0" collapsed="false">
      <c r="H3218" s="14" t="b">
        <f aca="false">IF(중복검사!$A3216="",FALSE(),중복검사!$J3216="유지")</f>
        <v>0</v>
      </c>
      <c r="I3218" s="5" t="str">
        <f aca="false">IF($H3218=FALSE(),"",COUNTIF($H$6:$H3218,TRUE()))</f>
        <v/>
      </c>
      <c r="J3218" s="5" t="str">
        <f aca="false">IF($I3218="","","R"&amp;$I3218)</f>
        <v/>
      </c>
    </row>
    <row r="3219" customFormat="false" ht="15" hidden="false" customHeight="true" outlineLevel="0" collapsed="false">
      <c r="H3219" s="14" t="b">
        <f aca="false">IF(중복검사!$A3217="",FALSE(),중복검사!$J3217="유지")</f>
        <v>0</v>
      </c>
      <c r="I3219" s="5" t="str">
        <f aca="false">IF($H3219=FALSE(),"",COUNTIF($H$6:$H3219,TRUE()))</f>
        <v/>
      </c>
      <c r="J3219" s="5" t="str">
        <f aca="false">IF($I3219="","","R"&amp;$I3219)</f>
        <v/>
      </c>
    </row>
    <row r="3220" customFormat="false" ht="15" hidden="false" customHeight="true" outlineLevel="0" collapsed="false">
      <c r="H3220" s="14" t="b">
        <f aca="false">IF(중복검사!$A3218="",FALSE(),중복검사!$J3218="유지")</f>
        <v>0</v>
      </c>
      <c r="I3220" s="5" t="str">
        <f aca="false">IF($H3220=FALSE(),"",COUNTIF($H$6:$H3220,TRUE()))</f>
        <v/>
      </c>
      <c r="J3220" s="5" t="str">
        <f aca="false">IF($I3220="","","R"&amp;$I3220)</f>
        <v/>
      </c>
    </row>
    <row r="3221" customFormat="false" ht="15" hidden="false" customHeight="true" outlineLevel="0" collapsed="false">
      <c r="H3221" s="14" t="b">
        <f aca="false">IF(중복검사!$A3219="",FALSE(),중복검사!$J3219="유지")</f>
        <v>0</v>
      </c>
      <c r="I3221" s="5" t="str">
        <f aca="false">IF($H3221=FALSE(),"",COUNTIF($H$6:$H3221,TRUE()))</f>
        <v/>
      </c>
      <c r="J3221" s="5" t="str">
        <f aca="false">IF($I3221="","","R"&amp;$I3221)</f>
        <v/>
      </c>
    </row>
    <row r="3222" customFormat="false" ht="15" hidden="false" customHeight="true" outlineLevel="0" collapsed="false">
      <c r="H3222" s="14" t="b">
        <f aca="false">IF(중복검사!$A3220="",FALSE(),중복검사!$J3220="유지")</f>
        <v>0</v>
      </c>
      <c r="I3222" s="5" t="str">
        <f aca="false">IF($H3222=FALSE(),"",COUNTIF($H$6:$H3222,TRUE()))</f>
        <v/>
      </c>
      <c r="J3222" s="5" t="str">
        <f aca="false">IF($I3222="","","R"&amp;$I3222)</f>
        <v/>
      </c>
    </row>
    <row r="3223" customFormat="false" ht="15" hidden="false" customHeight="true" outlineLevel="0" collapsed="false">
      <c r="H3223" s="14" t="b">
        <f aca="false">IF(중복검사!$A3221="",FALSE(),중복검사!$J3221="유지")</f>
        <v>0</v>
      </c>
      <c r="I3223" s="5" t="str">
        <f aca="false">IF($H3223=FALSE(),"",COUNTIF($H$6:$H3223,TRUE()))</f>
        <v/>
      </c>
      <c r="J3223" s="5" t="str">
        <f aca="false">IF($I3223="","","R"&amp;$I3223)</f>
        <v/>
      </c>
    </row>
    <row r="3224" customFormat="false" ht="15" hidden="false" customHeight="true" outlineLevel="0" collapsed="false">
      <c r="H3224" s="14" t="b">
        <f aca="false">IF(중복검사!$A3222="",FALSE(),중복검사!$J3222="유지")</f>
        <v>0</v>
      </c>
      <c r="I3224" s="5" t="str">
        <f aca="false">IF($H3224=FALSE(),"",COUNTIF($H$6:$H3224,TRUE()))</f>
        <v/>
      </c>
      <c r="J3224" s="5" t="str">
        <f aca="false">IF($I3224="","","R"&amp;$I3224)</f>
        <v/>
      </c>
    </row>
    <row r="3225" customFormat="false" ht="15" hidden="false" customHeight="true" outlineLevel="0" collapsed="false">
      <c r="H3225" s="14" t="b">
        <f aca="false">IF(중복검사!$A3223="",FALSE(),중복검사!$J3223="유지")</f>
        <v>0</v>
      </c>
      <c r="I3225" s="5" t="str">
        <f aca="false">IF($H3225=FALSE(),"",COUNTIF($H$6:$H3225,TRUE()))</f>
        <v/>
      </c>
      <c r="J3225" s="5" t="str">
        <f aca="false">IF($I3225="","","R"&amp;$I3225)</f>
        <v/>
      </c>
    </row>
    <row r="3226" customFormat="false" ht="15" hidden="false" customHeight="true" outlineLevel="0" collapsed="false">
      <c r="H3226" s="14" t="b">
        <f aca="false">IF(중복검사!$A3224="",FALSE(),중복검사!$J3224="유지")</f>
        <v>0</v>
      </c>
      <c r="I3226" s="5" t="str">
        <f aca="false">IF($H3226=FALSE(),"",COUNTIF($H$6:$H3226,TRUE()))</f>
        <v/>
      </c>
      <c r="J3226" s="5" t="str">
        <f aca="false">IF($I3226="","","R"&amp;$I3226)</f>
        <v/>
      </c>
    </row>
    <row r="3227" customFormat="false" ht="15" hidden="false" customHeight="true" outlineLevel="0" collapsed="false">
      <c r="H3227" s="14" t="b">
        <f aca="false">IF(중복검사!$A3225="",FALSE(),중복검사!$J3225="유지")</f>
        <v>0</v>
      </c>
      <c r="I3227" s="5" t="str">
        <f aca="false">IF($H3227=FALSE(),"",COUNTIF($H$6:$H3227,TRUE()))</f>
        <v/>
      </c>
      <c r="J3227" s="5" t="str">
        <f aca="false">IF($I3227="","","R"&amp;$I3227)</f>
        <v/>
      </c>
    </row>
    <row r="3228" customFormat="false" ht="15" hidden="false" customHeight="true" outlineLevel="0" collapsed="false">
      <c r="H3228" s="14" t="b">
        <f aca="false">IF(중복검사!$A3226="",FALSE(),중복검사!$J3226="유지")</f>
        <v>0</v>
      </c>
      <c r="I3228" s="5" t="str">
        <f aca="false">IF($H3228=FALSE(),"",COUNTIF($H$6:$H3228,TRUE()))</f>
        <v/>
      </c>
      <c r="J3228" s="5" t="str">
        <f aca="false">IF($I3228="","","R"&amp;$I3228)</f>
        <v/>
      </c>
    </row>
    <row r="3229" customFormat="false" ht="15" hidden="false" customHeight="true" outlineLevel="0" collapsed="false">
      <c r="H3229" s="14" t="b">
        <f aca="false">IF(중복검사!$A3227="",FALSE(),중복검사!$J3227="유지")</f>
        <v>0</v>
      </c>
      <c r="I3229" s="5" t="str">
        <f aca="false">IF($H3229=FALSE(),"",COUNTIF($H$6:$H3229,TRUE()))</f>
        <v/>
      </c>
      <c r="J3229" s="5" t="str">
        <f aca="false">IF($I3229="","","R"&amp;$I3229)</f>
        <v/>
      </c>
    </row>
    <row r="3230" customFormat="false" ht="15" hidden="false" customHeight="true" outlineLevel="0" collapsed="false">
      <c r="H3230" s="14" t="b">
        <f aca="false">IF(중복검사!$A3228="",FALSE(),중복검사!$J3228="유지")</f>
        <v>0</v>
      </c>
      <c r="I3230" s="5" t="str">
        <f aca="false">IF($H3230=FALSE(),"",COUNTIF($H$6:$H3230,TRUE()))</f>
        <v/>
      </c>
      <c r="J3230" s="5" t="str">
        <f aca="false">IF($I3230="","","R"&amp;$I3230)</f>
        <v/>
      </c>
    </row>
    <row r="3231" customFormat="false" ht="15" hidden="false" customHeight="true" outlineLevel="0" collapsed="false">
      <c r="H3231" s="14" t="b">
        <f aca="false">IF(중복검사!$A3229="",FALSE(),중복검사!$J3229="유지")</f>
        <v>0</v>
      </c>
      <c r="I3231" s="5" t="str">
        <f aca="false">IF($H3231=FALSE(),"",COUNTIF($H$6:$H3231,TRUE()))</f>
        <v/>
      </c>
      <c r="J3231" s="5" t="str">
        <f aca="false">IF($I3231="","","R"&amp;$I3231)</f>
        <v/>
      </c>
    </row>
    <row r="3232" customFormat="false" ht="15" hidden="false" customHeight="true" outlineLevel="0" collapsed="false">
      <c r="H3232" s="14" t="b">
        <f aca="false">IF(중복검사!$A3230="",FALSE(),중복검사!$J3230="유지")</f>
        <v>0</v>
      </c>
      <c r="I3232" s="5" t="str">
        <f aca="false">IF($H3232=FALSE(),"",COUNTIF($H$6:$H3232,TRUE()))</f>
        <v/>
      </c>
      <c r="J3232" s="5" t="str">
        <f aca="false">IF($I3232="","","R"&amp;$I3232)</f>
        <v/>
      </c>
    </row>
    <row r="3233" customFormat="false" ht="15" hidden="false" customHeight="true" outlineLevel="0" collapsed="false">
      <c r="H3233" s="14" t="b">
        <f aca="false">IF(중복검사!$A3231="",FALSE(),중복검사!$J3231="유지")</f>
        <v>0</v>
      </c>
      <c r="I3233" s="5" t="str">
        <f aca="false">IF($H3233=FALSE(),"",COUNTIF($H$6:$H3233,TRUE()))</f>
        <v/>
      </c>
      <c r="J3233" s="5" t="str">
        <f aca="false">IF($I3233="","","R"&amp;$I3233)</f>
        <v/>
      </c>
    </row>
    <row r="3234" customFormat="false" ht="15" hidden="false" customHeight="true" outlineLevel="0" collapsed="false">
      <c r="H3234" s="14" t="b">
        <f aca="false">IF(중복검사!$A3232="",FALSE(),중복검사!$J3232="유지")</f>
        <v>0</v>
      </c>
      <c r="I3234" s="5" t="str">
        <f aca="false">IF($H3234=FALSE(),"",COUNTIF($H$6:$H3234,TRUE()))</f>
        <v/>
      </c>
      <c r="J3234" s="5" t="str">
        <f aca="false">IF($I3234="","","R"&amp;$I3234)</f>
        <v/>
      </c>
    </row>
    <row r="3235" customFormat="false" ht="15" hidden="false" customHeight="true" outlineLevel="0" collapsed="false">
      <c r="H3235" s="14" t="b">
        <f aca="false">IF(중복검사!$A3233="",FALSE(),중복검사!$J3233="유지")</f>
        <v>0</v>
      </c>
      <c r="I3235" s="5" t="str">
        <f aca="false">IF($H3235=FALSE(),"",COUNTIF($H$6:$H3235,TRUE()))</f>
        <v/>
      </c>
      <c r="J3235" s="5" t="str">
        <f aca="false">IF($I3235="","","R"&amp;$I3235)</f>
        <v/>
      </c>
    </row>
    <row r="3236" customFormat="false" ht="15" hidden="false" customHeight="true" outlineLevel="0" collapsed="false">
      <c r="H3236" s="14" t="b">
        <f aca="false">IF(중복검사!$A3234="",FALSE(),중복검사!$J3234="유지")</f>
        <v>0</v>
      </c>
      <c r="I3236" s="5" t="str">
        <f aca="false">IF($H3236=FALSE(),"",COUNTIF($H$6:$H3236,TRUE()))</f>
        <v/>
      </c>
      <c r="J3236" s="5" t="str">
        <f aca="false">IF($I3236="","","R"&amp;$I3236)</f>
        <v/>
      </c>
    </row>
    <row r="3237" customFormat="false" ht="15" hidden="false" customHeight="true" outlineLevel="0" collapsed="false">
      <c r="H3237" s="14" t="b">
        <f aca="false">IF(중복검사!$A3235="",FALSE(),중복검사!$J3235="유지")</f>
        <v>0</v>
      </c>
      <c r="I3237" s="5" t="str">
        <f aca="false">IF($H3237=FALSE(),"",COUNTIF($H$6:$H3237,TRUE()))</f>
        <v/>
      </c>
      <c r="J3237" s="5" t="str">
        <f aca="false">IF($I3237="","","R"&amp;$I3237)</f>
        <v/>
      </c>
    </row>
    <row r="3238" customFormat="false" ht="15" hidden="false" customHeight="true" outlineLevel="0" collapsed="false">
      <c r="H3238" s="14" t="b">
        <f aca="false">IF(중복검사!$A3236="",FALSE(),중복검사!$J3236="유지")</f>
        <v>0</v>
      </c>
      <c r="I3238" s="5" t="str">
        <f aca="false">IF($H3238=FALSE(),"",COUNTIF($H$6:$H3238,TRUE()))</f>
        <v/>
      </c>
      <c r="J3238" s="5" t="str">
        <f aca="false">IF($I3238="","","R"&amp;$I3238)</f>
        <v/>
      </c>
    </row>
    <row r="3239" customFormat="false" ht="15" hidden="false" customHeight="true" outlineLevel="0" collapsed="false">
      <c r="H3239" s="14" t="b">
        <f aca="false">IF(중복검사!$A3237="",FALSE(),중복검사!$J3237="유지")</f>
        <v>0</v>
      </c>
      <c r="I3239" s="5" t="str">
        <f aca="false">IF($H3239=FALSE(),"",COUNTIF($H$6:$H3239,TRUE()))</f>
        <v/>
      </c>
      <c r="J3239" s="5" t="str">
        <f aca="false">IF($I3239="","","R"&amp;$I3239)</f>
        <v/>
      </c>
    </row>
    <row r="3240" customFormat="false" ht="15" hidden="false" customHeight="true" outlineLevel="0" collapsed="false">
      <c r="H3240" s="14" t="b">
        <f aca="false">IF(중복검사!$A3238="",FALSE(),중복검사!$J3238="유지")</f>
        <v>0</v>
      </c>
      <c r="I3240" s="5" t="str">
        <f aca="false">IF($H3240=FALSE(),"",COUNTIF($H$6:$H3240,TRUE()))</f>
        <v/>
      </c>
      <c r="J3240" s="5" t="str">
        <f aca="false">IF($I3240="","","R"&amp;$I3240)</f>
        <v/>
      </c>
    </row>
    <row r="3241" customFormat="false" ht="15" hidden="false" customHeight="true" outlineLevel="0" collapsed="false">
      <c r="H3241" s="14" t="b">
        <f aca="false">IF(중복검사!$A3239="",FALSE(),중복검사!$J3239="유지")</f>
        <v>0</v>
      </c>
      <c r="I3241" s="5" t="str">
        <f aca="false">IF($H3241=FALSE(),"",COUNTIF($H$6:$H3241,TRUE()))</f>
        <v/>
      </c>
      <c r="J3241" s="5" t="str">
        <f aca="false">IF($I3241="","","R"&amp;$I3241)</f>
        <v/>
      </c>
    </row>
    <row r="3242" customFormat="false" ht="15" hidden="false" customHeight="true" outlineLevel="0" collapsed="false">
      <c r="H3242" s="14" t="b">
        <f aca="false">IF(중복검사!$A3240="",FALSE(),중복검사!$J3240="유지")</f>
        <v>0</v>
      </c>
      <c r="I3242" s="5" t="str">
        <f aca="false">IF($H3242=FALSE(),"",COUNTIF($H$6:$H3242,TRUE()))</f>
        <v/>
      </c>
      <c r="J3242" s="5" t="str">
        <f aca="false">IF($I3242="","","R"&amp;$I3242)</f>
        <v/>
      </c>
    </row>
    <row r="3243" customFormat="false" ht="15" hidden="false" customHeight="true" outlineLevel="0" collapsed="false">
      <c r="H3243" s="14" t="b">
        <f aca="false">IF(중복검사!$A3241="",FALSE(),중복검사!$J3241="유지")</f>
        <v>0</v>
      </c>
      <c r="I3243" s="5" t="str">
        <f aca="false">IF($H3243=FALSE(),"",COUNTIF($H$6:$H3243,TRUE()))</f>
        <v/>
      </c>
      <c r="J3243" s="5" t="str">
        <f aca="false">IF($I3243="","","R"&amp;$I3243)</f>
        <v/>
      </c>
    </row>
    <row r="3244" customFormat="false" ht="15" hidden="false" customHeight="true" outlineLevel="0" collapsed="false">
      <c r="H3244" s="14" t="b">
        <f aca="false">IF(중복검사!$A3242="",FALSE(),중복검사!$J3242="유지")</f>
        <v>0</v>
      </c>
      <c r="I3244" s="5" t="str">
        <f aca="false">IF($H3244=FALSE(),"",COUNTIF($H$6:$H3244,TRUE()))</f>
        <v/>
      </c>
      <c r="J3244" s="5" t="str">
        <f aca="false">IF($I3244="","","R"&amp;$I3244)</f>
        <v/>
      </c>
    </row>
    <row r="3245" customFormat="false" ht="15" hidden="false" customHeight="true" outlineLevel="0" collapsed="false">
      <c r="H3245" s="14" t="b">
        <f aca="false">IF(중복검사!$A3243="",FALSE(),중복검사!$J3243="유지")</f>
        <v>0</v>
      </c>
      <c r="I3245" s="5" t="str">
        <f aca="false">IF($H3245=FALSE(),"",COUNTIF($H$6:$H3245,TRUE()))</f>
        <v/>
      </c>
      <c r="J3245" s="5" t="str">
        <f aca="false">IF($I3245="","","R"&amp;$I3245)</f>
        <v/>
      </c>
    </row>
    <row r="3246" customFormat="false" ht="15" hidden="false" customHeight="true" outlineLevel="0" collapsed="false">
      <c r="H3246" s="14" t="b">
        <f aca="false">IF(중복검사!$A3244="",FALSE(),중복검사!$J3244="유지")</f>
        <v>0</v>
      </c>
      <c r="I3246" s="5" t="str">
        <f aca="false">IF($H3246=FALSE(),"",COUNTIF($H$6:$H3246,TRUE()))</f>
        <v/>
      </c>
      <c r="J3246" s="5" t="str">
        <f aca="false">IF($I3246="","","R"&amp;$I3246)</f>
        <v/>
      </c>
    </row>
    <row r="3247" customFormat="false" ht="15" hidden="false" customHeight="true" outlineLevel="0" collapsed="false">
      <c r="H3247" s="14" t="b">
        <f aca="false">IF(중복검사!$A3245="",FALSE(),중복검사!$J3245="유지")</f>
        <v>0</v>
      </c>
      <c r="I3247" s="5" t="str">
        <f aca="false">IF($H3247=FALSE(),"",COUNTIF($H$6:$H3247,TRUE()))</f>
        <v/>
      </c>
      <c r="J3247" s="5" t="str">
        <f aca="false">IF($I3247="","","R"&amp;$I3247)</f>
        <v/>
      </c>
    </row>
    <row r="3248" customFormat="false" ht="15" hidden="false" customHeight="true" outlineLevel="0" collapsed="false">
      <c r="H3248" s="14" t="b">
        <f aca="false">IF(중복검사!$A3246="",FALSE(),중복검사!$J3246="유지")</f>
        <v>0</v>
      </c>
      <c r="I3248" s="5" t="str">
        <f aca="false">IF($H3248=FALSE(),"",COUNTIF($H$6:$H3248,TRUE()))</f>
        <v/>
      </c>
      <c r="J3248" s="5" t="str">
        <f aca="false">IF($I3248="","","R"&amp;$I3248)</f>
        <v/>
      </c>
    </row>
    <row r="3249" customFormat="false" ht="15" hidden="false" customHeight="true" outlineLevel="0" collapsed="false">
      <c r="H3249" s="14" t="b">
        <f aca="false">IF(중복검사!$A3247="",FALSE(),중복검사!$J3247="유지")</f>
        <v>0</v>
      </c>
      <c r="I3249" s="5" t="str">
        <f aca="false">IF($H3249=FALSE(),"",COUNTIF($H$6:$H3249,TRUE()))</f>
        <v/>
      </c>
      <c r="J3249" s="5" t="str">
        <f aca="false">IF($I3249="","","R"&amp;$I3249)</f>
        <v/>
      </c>
    </row>
    <row r="3250" customFormat="false" ht="15" hidden="false" customHeight="true" outlineLevel="0" collapsed="false">
      <c r="H3250" s="14" t="b">
        <f aca="false">IF(중복검사!$A3248="",FALSE(),중복검사!$J3248="유지")</f>
        <v>0</v>
      </c>
      <c r="I3250" s="5" t="str">
        <f aca="false">IF($H3250=FALSE(),"",COUNTIF($H$6:$H3250,TRUE()))</f>
        <v/>
      </c>
      <c r="J3250" s="5" t="str">
        <f aca="false">IF($I3250="","","R"&amp;$I3250)</f>
        <v/>
      </c>
    </row>
    <row r="3251" customFormat="false" ht="15" hidden="false" customHeight="true" outlineLevel="0" collapsed="false">
      <c r="H3251" s="14" t="b">
        <f aca="false">IF(중복검사!$A3249="",FALSE(),중복검사!$J3249="유지")</f>
        <v>0</v>
      </c>
      <c r="I3251" s="5" t="str">
        <f aca="false">IF($H3251=FALSE(),"",COUNTIF($H$6:$H3251,TRUE()))</f>
        <v/>
      </c>
      <c r="J3251" s="5" t="str">
        <f aca="false">IF($I3251="","","R"&amp;$I3251)</f>
        <v/>
      </c>
    </row>
    <row r="3252" customFormat="false" ht="15" hidden="false" customHeight="true" outlineLevel="0" collapsed="false">
      <c r="H3252" s="14" t="b">
        <f aca="false">IF(중복검사!$A3250="",FALSE(),중복검사!$J3250="유지")</f>
        <v>0</v>
      </c>
      <c r="I3252" s="5" t="str">
        <f aca="false">IF($H3252=FALSE(),"",COUNTIF($H$6:$H3252,TRUE()))</f>
        <v/>
      </c>
      <c r="J3252" s="5" t="str">
        <f aca="false">IF($I3252="","","R"&amp;$I3252)</f>
        <v/>
      </c>
    </row>
    <row r="3253" customFormat="false" ht="15" hidden="false" customHeight="true" outlineLevel="0" collapsed="false">
      <c r="H3253" s="14" t="b">
        <f aca="false">IF(중복검사!$A3251="",FALSE(),중복검사!$J3251="유지")</f>
        <v>0</v>
      </c>
      <c r="I3253" s="5" t="str">
        <f aca="false">IF($H3253=FALSE(),"",COUNTIF($H$6:$H3253,TRUE()))</f>
        <v/>
      </c>
      <c r="J3253" s="5" t="str">
        <f aca="false">IF($I3253="","","R"&amp;$I3253)</f>
        <v/>
      </c>
    </row>
    <row r="3254" customFormat="false" ht="15" hidden="false" customHeight="true" outlineLevel="0" collapsed="false">
      <c r="H3254" s="14" t="b">
        <f aca="false">IF(중복검사!$A3252="",FALSE(),중복검사!$J3252="유지")</f>
        <v>0</v>
      </c>
      <c r="I3254" s="5" t="str">
        <f aca="false">IF($H3254=FALSE(),"",COUNTIF($H$6:$H3254,TRUE()))</f>
        <v/>
      </c>
      <c r="J3254" s="5" t="str">
        <f aca="false">IF($I3254="","","R"&amp;$I3254)</f>
        <v/>
      </c>
    </row>
    <row r="3255" customFormat="false" ht="15" hidden="false" customHeight="true" outlineLevel="0" collapsed="false">
      <c r="H3255" s="14" t="b">
        <f aca="false">IF(중복검사!$A3253="",FALSE(),중복검사!$J3253="유지")</f>
        <v>0</v>
      </c>
      <c r="I3255" s="5" t="str">
        <f aca="false">IF($H3255=FALSE(),"",COUNTIF($H$6:$H3255,TRUE()))</f>
        <v/>
      </c>
      <c r="J3255" s="5" t="str">
        <f aca="false">IF($I3255="","","R"&amp;$I3255)</f>
        <v/>
      </c>
    </row>
    <row r="3256" customFormat="false" ht="15" hidden="false" customHeight="true" outlineLevel="0" collapsed="false">
      <c r="H3256" s="14" t="b">
        <f aca="false">IF(중복검사!$A3254="",FALSE(),중복검사!$J3254="유지")</f>
        <v>0</v>
      </c>
      <c r="I3256" s="5" t="str">
        <f aca="false">IF($H3256=FALSE(),"",COUNTIF($H$6:$H3256,TRUE()))</f>
        <v/>
      </c>
      <c r="J3256" s="5" t="str">
        <f aca="false">IF($I3256="","","R"&amp;$I3256)</f>
        <v/>
      </c>
    </row>
    <row r="3257" customFormat="false" ht="15" hidden="false" customHeight="true" outlineLevel="0" collapsed="false">
      <c r="H3257" s="14" t="b">
        <f aca="false">IF(중복검사!$A3255="",FALSE(),중복검사!$J3255="유지")</f>
        <v>0</v>
      </c>
      <c r="I3257" s="5" t="str">
        <f aca="false">IF($H3257=FALSE(),"",COUNTIF($H$6:$H3257,TRUE()))</f>
        <v/>
      </c>
      <c r="J3257" s="5" t="str">
        <f aca="false">IF($I3257="","","R"&amp;$I3257)</f>
        <v/>
      </c>
    </row>
    <row r="3258" customFormat="false" ht="15" hidden="false" customHeight="true" outlineLevel="0" collapsed="false">
      <c r="H3258" s="14" t="b">
        <f aca="false">IF(중복검사!$A3256="",FALSE(),중복검사!$J3256="유지")</f>
        <v>0</v>
      </c>
      <c r="I3258" s="5" t="str">
        <f aca="false">IF($H3258=FALSE(),"",COUNTIF($H$6:$H3258,TRUE()))</f>
        <v/>
      </c>
      <c r="J3258" s="5" t="str">
        <f aca="false">IF($I3258="","","R"&amp;$I3258)</f>
        <v/>
      </c>
    </row>
    <row r="3259" customFormat="false" ht="15" hidden="false" customHeight="true" outlineLevel="0" collapsed="false">
      <c r="H3259" s="14" t="b">
        <f aca="false">IF(중복검사!$A3257="",FALSE(),중복검사!$J3257="유지")</f>
        <v>0</v>
      </c>
      <c r="I3259" s="5" t="str">
        <f aca="false">IF($H3259=FALSE(),"",COUNTIF($H$6:$H3259,TRUE()))</f>
        <v/>
      </c>
      <c r="J3259" s="5" t="str">
        <f aca="false">IF($I3259="","","R"&amp;$I3259)</f>
        <v/>
      </c>
    </row>
    <row r="3260" customFormat="false" ht="15" hidden="false" customHeight="true" outlineLevel="0" collapsed="false">
      <c r="H3260" s="14" t="b">
        <f aca="false">IF(중복검사!$A3258="",FALSE(),중복검사!$J3258="유지")</f>
        <v>0</v>
      </c>
      <c r="I3260" s="5" t="str">
        <f aca="false">IF($H3260=FALSE(),"",COUNTIF($H$6:$H3260,TRUE()))</f>
        <v/>
      </c>
      <c r="J3260" s="5" t="str">
        <f aca="false">IF($I3260="","","R"&amp;$I3260)</f>
        <v/>
      </c>
    </row>
    <row r="3261" customFormat="false" ht="15" hidden="false" customHeight="true" outlineLevel="0" collapsed="false">
      <c r="H3261" s="14" t="b">
        <f aca="false">IF(중복검사!$A3259="",FALSE(),중복검사!$J3259="유지")</f>
        <v>0</v>
      </c>
      <c r="I3261" s="5" t="str">
        <f aca="false">IF($H3261=FALSE(),"",COUNTIF($H$6:$H3261,TRUE()))</f>
        <v/>
      </c>
      <c r="J3261" s="5" t="str">
        <f aca="false">IF($I3261="","","R"&amp;$I3261)</f>
        <v/>
      </c>
    </row>
    <row r="3262" customFormat="false" ht="15" hidden="false" customHeight="true" outlineLevel="0" collapsed="false">
      <c r="H3262" s="14" t="b">
        <f aca="false">IF(중복검사!$A3260="",FALSE(),중복검사!$J3260="유지")</f>
        <v>0</v>
      </c>
      <c r="I3262" s="5" t="str">
        <f aca="false">IF($H3262=FALSE(),"",COUNTIF($H$6:$H3262,TRUE()))</f>
        <v/>
      </c>
      <c r="J3262" s="5" t="str">
        <f aca="false">IF($I3262="","","R"&amp;$I3262)</f>
        <v/>
      </c>
    </row>
    <row r="3263" customFormat="false" ht="15" hidden="false" customHeight="true" outlineLevel="0" collapsed="false">
      <c r="H3263" s="14" t="b">
        <f aca="false">IF(중복검사!$A3261="",FALSE(),중복검사!$J3261="유지")</f>
        <v>0</v>
      </c>
      <c r="I3263" s="5" t="str">
        <f aca="false">IF($H3263=FALSE(),"",COUNTIF($H$6:$H3263,TRUE()))</f>
        <v/>
      </c>
      <c r="J3263" s="5" t="str">
        <f aca="false">IF($I3263="","","R"&amp;$I3263)</f>
        <v/>
      </c>
    </row>
    <row r="3264" customFormat="false" ht="15" hidden="false" customHeight="true" outlineLevel="0" collapsed="false">
      <c r="H3264" s="14" t="b">
        <f aca="false">IF(중복검사!$A3262="",FALSE(),중복검사!$J3262="유지")</f>
        <v>0</v>
      </c>
      <c r="I3264" s="5" t="str">
        <f aca="false">IF($H3264=FALSE(),"",COUNTIF($H$6:$H3264,TRUE()))</f>
        <v/>
      </c>
      <c r="J3264" s="5" t="str">
        <f aca="false">IF($I3264="","","R"&amp;$I3264)</f>
        <v/>
      </c>
    </row>
    <row r="3265" customFormat="false" ht="15" hidden="false" customHeight="true" outlineLevel="0" collapsed="false">
      <c r="H3265" s="14" t="b">
        <f aca="false">IF(중복검사!$A3263="",FALSE(),중복검사!$J3263="유지")</f>
        <v>0</v>
      </c>
      <c r="I3265" s="5" t="str">
        <f aca="false">IF($H3265=FALSE(),"",COUNTIF($H$6:$H3265,TRUE()))</f>
        <v/>
      </c>
      <c r="J3265" s="5" t="str">
        <f aca="false">IF($I3265="","","R"&amp;$I3265)</f>
        <v/>
      </c>
    </row>
    <row r="3266" customFormat="false" ht="15" hidden="false" customHeight="true" outlineLevel="0" collapsed="false">
      <c r="H3266" s="14" t="b">
        <f aca="false">IF(중복검사!$A3264="",FALSE(),중복검사!$J3264="유지")</f>
        <v>0</v>
      </c>
      <c r="I3266" s="5" t="str">
        <f aca="false">IF($H3266=FALSE(),"",COUNTIF($H$6:$H3266,TRUE()))</f>
        <v/>
      </c>
      <c r="J3266" s="5" t="str">
        <f aca="false">IF($I3266="","","R"&amp;$I3266)</f>
        <v/>
      </c>
    </row>
    <row r="3267" customFormat="false" ht="15" hidden="false" customHeight="true" outlineLevel="0" collapsed="false">
      <c r="H3267" s="14" t="b">
        <f aca="false">IF(중복검사!$A3265="",FALSE(),중복검사!$J3265="유지")</f>
        <v>0</v>
      </c>
      <c r="I3267" s="5" t="str">
        <f aca="false">IF($H3267=FALSE(),"",COUNTIF($H$6:$H3267,TRUE()))</f>
        <v/>
      </c>
      <c r="J3267" s="5" t="str">
        <f aca="false">IF($I3267="","","R"&amp;$I3267)</f>
        <v/>
      </c>
    </row>
    <row r="3268" customFormat="false" ht="15" hidden="false" customHeight="true" outlineLevel="0" collapsed="false">
      <c r="H3268" s="14" t="b">
        <f aca="false">IF(중복검사!$A3266="",FALSE(),중복검사!$J3266="유지")</f>
        <v>0</v>
      </c>
      <c r="I3268" s="5" t="str">
        <f aca="false">IF($H3268=FALSE(),"",COUNTIF($H$6:$H3268,TRUE()))</f>
        <v/>
      </c>
      <c r="J3268" s="5" t="str">
        <f aca="false">IF($I3268="","","R"&amp;$I3268)</f>
        <v/>
      </c>
    </row>
    <row r="3269" customFormat="false" ht="15" hidden="false" customHeight="true" outlineLevel="0" collapsed="false">
      <c r="H3269" s="14" t="b">
        <f aca="false">IF(중복검사!$A3267="",FALSE(),중복검사!$J3267="유지")</f>
        <v>0</v>
      </c>
      <c r="I3269" s="5" t="str">
        <f aca="false">IF($H3269=FALSE(),"",COUNTIF($H$6:$H3269,TRUE()))</f>
        <v/>
      </c>
      <c r="J3269" s="5" t="str">
        <f aca="false">IF($I3269="","","R"&amp;$I3269)</f>
        <v/>
      </c>
    </row>
    <row r="3270" customFormat="false" ht="15" hidden="false" customHeight="true" outlineLevel="0" collapsed="false">
      <c r="H3270" s="14" t="b">
        <f aca="false">IF(중복검사!$A3268="",FALSE(),중복검사!$J3268="유지")</f>
        <v>0</v>
      </c>
      <c r="I3270" s="5" t="str">
        <f aca="false">IF($H3270=FALSE(),"",COUNTIF($H$6:$H3270,TRUE()))</f>
        <v/>
      </c>
      <c r="J3270" s="5" t="str">
        <f aca="false">IF($I3270="","","R"&amp;$I3270)</f>
        <v/>
      </c>
    </row>
    <row r="3271" customFormat="false" ht="15" hidden="false" customHeight="true" outlineLevel="0" collapsed="false">
      <c r="H3271" s="14" t="b">
        <f aca="false">IF(중복검사!$A3269="",FALSE(),중복검사!$J3269="유지")</f>
        <v>0</v>
      </c>
      <c r="I3271" s="5" t="str">
        <f aca="false">IF($H3271=FALSE(),"",COUNTIF($H$6:$H3271,TRUE()))</f>
        <v/>
      </c>
      <c r="J3271" s="5" t="str">
        <f aca="false">IF($I3271="","","R"&amp;$I3271)</f>
        <v/>
      </c>
    </row>
    <row r="3272" customFormat="false" ht="15" hidden="false" customHeight="true" outlineLevel="0" collapsed="false">
      <c r="H3272" s="14" t="b">
        <f aca="false">IF(중복검사!$A3270="",FALSE(),중복검사!$J3270="유지")</f>
        <v>0</v>
      </c>
      <c r="I3272" s="5" t="str">
        <f aca="false">IF($H3272=FALSE(),"",COUNTIF($H$6:$H3272,TRUE()))</f>
        <v/>
      </c>
      <c r="J3272" s="5" t="str">
        <f aca="false">IF($I3272="","","R"&amp;$I3272)</f>
        <v/>
      </c>
    </row>
    <row r="3273" customFormat="false" ht="15" hidden="false" customHeight="true" outlineLevel="0" collapsed="false">
      <c r="H3273" s="14" t="b">
        <f aca="false">IF(중복검사!$A3271="",FALSE(),중복검사!$J3271="유지")</f>
        <v>0</v>
      </c>
      <c r="I3273" s="5" t="str">
        <f aca="false">IF($H3273=FALSE(),"",COUNTIF($H$6:$H3273,TRUE()))</f>
        <v/>
      </c>
      <c r="J3273" s="5" t="str">
        <f aca="false">IF($I3273="","","R"&amp;$I3273)</f>
        <v/>
      </c>
    </row>
    <row r="3274" customFormat="false" ht="15" hidden="false" customHeight="true" outlineLevel="0" collapsed="false">
      <c r="H3274" s="14" t="b">
        <f aca="false">IF(중복검사!$A3272="",FALSE(),중복검사!$J3272="유지")</f>
        <v>0</v>
      </c>
      <c r="I3274" s="5" t="str">
        <f aca="false">IF($H3274=FALSE(),"",COUNTIF($H$6:$H3274,TRUE()))</f>
        <v/>
      </c>
      <c r="J3274" s="5" t="str">
        <f aca="false">IF($I3274="","","R"&amp;$I3274)</f>
        <v/>
      </c>
    </row>
    <row r="3275" customFormat="false" ht="15" hidden="false" customHeight="true" outlineLevel="0" collapsed="false">
      <c r="H3275" s="14" t="b">
        <f aca="false">IF(중복검사!$A3273="",FALSE(),중복검사!$J3273="유지")</f>
        <v>0</v>
      </c>
      <c r="I3275" s="5" t="str">
        <f aca="false">IF($H3275=FALSE(),"",COUNTIF($H$6:$H3275,TRUE()))</f>
        <v/>
      </c>
      <c r="J3275" s="5" t="str">
        <f aca="false">IF($I3275="","","R"&amp;$I3275)</f>
        <v/>
      </c>
    </row>
    <row r="3276" customFormat="false" ht="15" hidden="false" customHeight="true" outlineLevel="0" collapsed="false">
      <c r="H3276" s="14" t="b">
        <f aca="false">IF(중복검사!$A3274="",FALSE(),중복검사!$J3274="유지")</f>
        <v>0</v>
      </c>
      <c r="I3276" s="5" t="str">
        <f aca="false">IF($H3276=FALSE(),"",COUNTIF($H$6:$H3276,TRUE()))</f>
        <v/>
      </c>
      <c r="J3276" s="5" t="str">
        <f aca="false">IF($I3276="","","R"&amp;$I3276)</f>
        <v/>
      </c>
    </row>
    <row r="3277" customFormat="false" ht="15" hidden="false" customHeight="true" outlineLevel="0" collapsed="false">
      <c r="H3277" s="14" t="b">
        <f aca="false">IF(중복검사!$A3275="",FALSE(),중복검사!$J3275="유지")</f>
        <v>0</v>
      </c>
      <c r="I3277" s="5" t="str">
        <f aca="false">IF($H3277=FALSE(),"",COUNTIF($H$6:$H3277,TRUE()))</f>
        <v/>
      </c>
      <c r="J3277" s="5" t="str">
        <f aca="false">IF($I3277="","","R"&amp;$I3277)</f>
        <v/>
      </c>
    </row>
    <row r="3278" customFormat="false" ht="15" hidden="false" customHeight="true" outlineLevel="0" collapsed="false">
      <c r="H3278" s="14" t="b">
        <f aca="false">IF(중복검사!$A3276="",FALSE(),중복검사!$J3276="유지")</f>
        <v>0</v>
      </c>
      <c r="I3278" s="5" t="str">
        <f aca="false">IF($H3278=FALSE(),"",COUNTIF($H$6:$H3278,TRUE()))</f>
        <v/>
      </c>
      <c r="J3278" s="5" t="str">
        <f aca="false">IF($I3278="","","R"&amp;$I3278)</f>
        <v/>
      </c>
    </row>
    <row r="3279" customFormat="false" ht="15" hidden="false" customHeight="true" outlineLevel="0" collapsed="false">
      <c r="H3279" s="14" t="b">
        <f aca="false">IF(중복검사!$A3277="",FALSE(),중복검사!$J3277="유지")</f>
        <v>0</v>
      </c>
      <c r="I3279" s="5" t="str">
        <f aca="false">IF($H3279=FALSE(),"",COUNTIF($H$6:$H3279,TRUE()))</f>
        <v/>
      </c>
      <c r="J3279" s="5" t="str">
        <f aca="false">IF($I3279="","","R"&amp;$I3279)</f>
        <v/>
      </c>
    </row>
    <row r="3280" customFormat="false" ht="15" hidden="false" customHeight="true" outlineLevel="0" collapsed="false">
      <c r="H3280" s="14" t="b">
        <f aca="false">IF(중복검사!$A3278="",FALSE(),중복검사!$J3278="유지")</f>
        <v>0</v>
      </c>
      <c r="I3280" s="5" t="str">
        <f aca="false">IF($H3280=FALSE(),"",COUNTIF($H$6:$H3280,TRUE()))</f>
        <v/>
      </c>
      <c r="J3280" s="5" t="str">
        <f aca="false">IF($I3280="","","R"&amp;$I3280)</f>
        <v/>
      </c>
    </row>
    <row r="3281" customFormat="false" ht="15" hidden="false" customHeight="true" outlineLevel="0" collapsed="false">
      <c r="H3281" s="14" t="b">
        <f aca="false">IF(중복검사!$A3279="",FALSE(),중복검사!$J3279="유지")</f>
        <v>0</v>
      </c>
      <c r="I3281" s="5" t="str">
        <f aca="false">IF($H3281=FALSE(),"",COUNTIF($H$6:$H3281,TRUE()))</f>
        <v/>
      </c>
      <c r="J3281" s="5" t="str">
        <f aca="false">IF($I3281="","","R"&amp;$I3281)</f>
        <v/>
      </c>
    </row>
    <row r="3282" customFormat="false" ht="15" hidden="false" customHeight="true" outlineLevel="0" collapsed="false">
      <c r="H3282" s="14" t="b">
        <f aca="false">IF(중복검사!$A3280="",FALSE(),중복검사!$J3280="유지")</f>
        <v>0</v>
      </c>
      <c r="I3282" s="5" t="str">
        <f aca="false">IF($H3282=FALSE(),"",COUNTIF($H$6:$H3282,TRUE()))</f>
        <v/>
      </c>
      <c r="J3282" s="5" t="str">
        <f aca="false">IF($I3282="","","R"&amp;$I3282)</f>
        <v/>
      </c>
    </row>
    <row r="3283" customFormat="false" ht="15" hidden="false" customHeight="true" outlineLevel="0" collapsed="false">
      <c r="H3283" s="14" t="b">
        <f aca="false">IF(중복검사!$A3281="",FALSE(),중복검사!$J3281="유지")</f>
        <v>0</v>
      </c>
      <c r="I3283" s="5" t="str">
        <f aca="false">IF($H3283=FALSE(),"",COUNTIF($H$6:$H3283,TRUE()))</f>
        <v/>
      </c>
      <c r="J3283" s="5" t="str">
        <f aca="false">IF($I3283="","","R"&amp;$I3283)</f>
        <v/>
      </c>
    </row>
    <row r="3284" customFormat="false" ht="15" hidden="false" customHeight="true" outlineLevel="0" collapsed="false">
      <c r="H3284" s="14" t="b">
        <f aca="false">IF(중복검사!$A3282="",FALSE(),중복검사!$J3282="유지")</f>
        <v>0</v>
      </c>
      <c r="I3284" s="5" t="str">
        <f aca="false">IF($H3284=FALSE(),"",COUNTIF($H$6:$H3284,TRUE()))</f>
        <v/>
      </c>
      <c r="J3284" s="5" t="str">
        <f aca="false">IF($I3284="","","R"&amp;$I3284)</f>
        <v/>
      </c>
    </row>
    <row r="3285" customFormat="false" ht="15" hidden="false" customHeight="true" outlineLevel="0" collapsed="false">
      <c r="H3285" s="14" t="b">
        <f aca="false">IF(중복검사!$A3283="",FALSE(),중복검사!$J3283="유지")</f>
        <v>0</v>
      </c>
      <c r="I3285" s="5" t="str">
        <f aca="false">IF($H3285=FALSE(),"",COUNTIF($H$6:$H3285,TRUE()))</f>
        <v/>
      </c>
      <c r="J3285" s="5" t="str">
        <f aca="false">IF($I3285="","","R"&amp;$I3285)</f>
        <v/>
      </c>
    </row>
    <row r="3286" customFormat="false" ht="15" hidden="false" customHeight="true" outlineLevel="0" collapsed="false">
      <c r="H3286" s="14" t="b">
        <f aca="false">IF(중복검사!$A3284="",FALSE(),중복검사!$J3284="유지")</f>
        <v>0</v>
      </c>
      <c r="I3286" s="5" t="str">
        <f aca="false">IF($H3286=FALSE(),"",COUNTIF($H$6:$H3286,TRUE()))</f>
        <v/>
      </c>
      <c r="J3286" s="5" t="str">
        <f aca="false">IF($I3286="","","R"&amp;$I3286)</f>
        <v/>
      </c>
    </row>
    <row r="3287" customFormat="false" ht="15" hidden="false" customHeight="true" outlineLevel="0" collapsed="false">
      <c r="H3287" s="14" t="b">
        <f aca="false">IF(중복검사!$A3285="",FALSE(),중복검사!$J3285="유지")</f>
        <v>0</v>
      </c>
      <c r="I3287" s="5" t="str">
        <f aca="false">IF($H3287=FALSE(),"",COUNTIF($H$6:$H3287,TRUE()))</f>
        <v/>
      </c>
      <c r="J3287" s="5" t="str">
        <f aca="false">IF($I3287="","","R"&amp;$I3287)</f>
        <v/>
      </c>
    </row>
    <row r="3288" customFormat="false" ht="15" hidden="false" customHeight="true" outlineLevel="0" collapsed="false">
      <c r="H3288" s="14" t="b">
        <f aca="false">IF(중복검사!$A3286="",FALSE(),중복검사!$J3286="유지")</f>
        <v>0</v>
      </c>
      <c r="I3288" s="5" t="str">
        <f aca="false">IF($H3288=FALSE(),"",COUNTIF($H$6:$H3288,TRUE()))</f>
        <v/>
      </c>
      <c r="J3288" s="5" t="str">
        <f aca="false">IF($I3288="","","R"&amp;$I3288)</f>
        <v/>
      </c>
    </row>
    <row r="3289" customFormat="false" ht="15" hidden="false" customHeight="true" outlineLevel="0" collapsed="false">
      <c r="H3289" s="14" t="b">
        <f aca="false">IF(중복검사!$A3287="",FALSE(),중복검사!$J3287="유지")</f>
        <v>0</v>
      </c>
      <c r="I3289" s="5" t="str">
        <f aca="false">IF($H3289=FALSE(),"",COUNTIF($H$6:$H3289,TRUE()))</f>
        <v/>
      </c>
      <c r="J3289" s="5" t="str">
        <f aca="false">IF($I3289="","","R"&amp;$I3289)</f>
        <v/>
      </c>
    </row>
    <row r="3290" customFormat="false" ht="15" hidden="false" customHeight="true" outlineLevel="0" collapsed="false">
      <c r="H3290" s="14" t="b">
        <f aca="false">IF(중복검사!$A3288="",FALSE(),중복검사!$J3288="유지")</f>
        <v>0</v>
      </c>
      <c r="I3290" s="5" t="str">
        <f aca="false">IF($H3290=FALSE(),"",COUNTIF($H$6:$H3290,TRUE()))</f>
        <v/>
      </c>
      <c r="J3290" s="5" t="str">
        <f aca="false">IF($I3290="","","R"&amp;$I3290)</f>
        <v/>
      </c>
    </row>
    <row r="3291" customFormat="false" ht="15" hidden="false" customHeight="true" outlineLevel="0" collapsed="false">
      <c r="H3291" s="14" t="b">
        <f aca="false">IF(중복검사!$A3289="",FALSE(),중복검사!$J3289="유지")</f>
        <v>0</v>
      </c>
      <c r="I3291" s="5" t="str">
        <f aca="false">IF($H3291=FALSE(),"",COUNTIF($H$6:$H3291,TRUE()))</f>
        <v/>
      </c>
      <c r="J3291" s="5" t="str">
        <f aca="false">IF($I3291="","","R"&amp;$I3291)</f>
        <v/>
      </c>
    </row>
    <row r="3292" customFormat="false" ht="15" hidden="false" customHeight="true" outlineLevel="0" collapsed="false">
      <c r="H3292" s="14" t="b">
        <f aca="false">IF(중복검사!$A3290="",FALSE(),중복검사!$J3290="유지")</f>
        <v>0</v>
      </c>
      <c r="I3292" s="5" t="str">
        <f aca="false">IF($H3292=FALSE(),"",COUNTIF($H$6:$H3292,TRUE()))</f>
        <v/>
      </c>
      <c r="J3292" s="5" t="str">
        <f aca="false">IF($I3292="","","R"&amp;$I3292)</f>
        <v/>
      </c>
    </row>
    <row r="3293" customFormat="false" ht="15" hidden="false" customHeight="true" outlineLevel="0" collapsed="false">
      <c r="H3293" s="14" t="b">
        <f aca="false">IF(중복검사!$A3291="",FALSE(),중복검사!$J3291="유지")</f>
        <v>0</v>
      </c>
      <c r="I3293" s="5" t="str">
        <f aca="false">IF($H3293=FALSE(),"",COUNTIF($H$6:$H3293,TRUE()))</f>
        <v/>
      </c>
      <c r="J3293" s="5" t="str">
        <f aca="false">IF($I3293="","","R"&amp;$I3293)</f>
        <v/>
      </c>
    </row>
    <row r="3294" customFormat="false" ht="15" hidden="false" customHeight="true" outlineLevel="0" collapsed="false">
      <c r="H3294" s="14" t="b">
        <f aca="false">IF(중복검사!$A3292="",FALSE(),중복검사!$J3292="유지")</f>
        <v>0</v>
      </c>
      <c r="I3294" s="5" t="str">
        <f aca="false">IF($H3294=FALSE(),"",COUNTIF($H$6:$H3294,TRUE()))</f>
        <v/>
      </c>
      <c r="J3294" s="5" t="str">
        <f aca="false">IF($I3294="","","R"&amp;$I3294)</f>
        <v/>
      </c>
    </row>
    <row r="3295" customFormat="false" ht="15" hidden="false" customHeight="true" outlineLevel="0" collapsed="false">
      <c r="H3295" s="14" t="b">
        <f aca="false">IF(중복검사!$A3293="",FALSE(),중복검사!$J3293="유지")</f>
        <v>0</v>
      </c>
      <c r="I3295" s="5" t="str">
        <f aca="false">IF($H3295=FALSE(),"",COUNTIF($H$6:$H3295,TRUE()))</f>
        <v/>
      </c>
      <c r="J3295" s="5" t="str">
        <f aca="false">IF($I3295="","","R"&amp;$I3295)</f>
        <v/>
      </c>
    </row>
    <row r="3296" customFormat="false" ht="15" hidden="false" customHeight="true" outlineLevel="0" collapsed="false">
      <c r="H3296" s="14" t="b">
        <f aca="false">IF(중복검사!$A3294="",FALSE(),중복검사!$J3294="유지")</f>
        <v>0</v>
      </c>
      <c r="I3296" s="5" t="str">
        <f aca="false">IF($H3296=FALSE(),"",COUNTIF($H$6:$H3296,TRUE()))</f>
        <v/>
      </c>
      <c r="J3296" s="5" t="str">
        <f aca="false">IF($I3296="","","R"&amp;$I3296)</f>
        <v/>
      </c>
    </row>
    <row r="3297" customFormat="false" ht="15" hidden="false" customHeight="true" outlineLevel="0" collapsed="false">
      <c r="H3297" s="14" t="b">
        <f aca="false">IF(중복검사!$A3295="",FALSE(),중복검사!$J3295="유지")</f>
        <v>0</v>
      </c>
      <c r="I3297" s="5" t="str">
        <f aca="false">IF($H3297=FALSE(),"",COUNTIF($H$6:$H3297,TRUE()))</f>
        <v/>
      </c>
      <c r="J3297" s="5" t="str">
        <f aca="false">IF($I3297="","","R"&amp;$I3297)</f>
        <v/>
      </c>
    </row>
    <row r="3298" customFormat="false" ht="15" hidden="false" customHeight="true" outlineLevel="0" collapsed="false">
      <c r="H3298" s="14" t="b">
        <f aca="false">IF(중복검사!$A3296="",FALSE(),중복검사!$J3296="유지")</f>
        <v>0</v>
      </c>
      <c r="I3298" s="5" t="str">
        <f aca="false">IF($H3298=FALSE(),"",COUNTIF($H$6:$H3298,TRUE()))</f>
        <v/>
      </c>
      <c r="J3298" s="5" t="str">
        <f aca="false">IF($I3298="","","R"&amp;$I3298)</f>
        <v/>
      </c>
    </row>
    <row r="3299" customFormat="false" ht="15" hidden="false" customHeight="true" outlineLevel="0" collapsed="false">
      <c r="H3299" s="14" t="b">
        <f aca="false">IF(중복검사!$A3297="",FALSE(),중복검사!$J3297="유지")</f>
        <v>0</v>
      </c>
      <c r="I3299" s="5" t="str">
        <f aca="false">IF($H3299=FALSE(),"",COUNTIF($H$6:$H3299,TRUE()))</f>
        <v/>
      </c>
      <c r="J3299" s="5" t="str">
        <f aca="false">IF($I3299="","","R"&amp;$I3299)</f>
        <v/>
      </c>
    </row>
    <row r="3300" customFormat="false" ht="15" hidden="false" customHeight="true" outlineLevel="0" collapsed="false">
      <c r="H3300" s="14" t="b">
        <f aca="false">IF(중복검사!$A3298="",FALSE(),중복검사!$J3298="유지")</f>
        <v>0</v>
      </c>
      <c r="I3300" s="5" t="str">
        <f aca="false">IF($H3300=FALSE(),"",COUNTIF($H$6:$H3300,TRUE()))</f>
        <v/>
      </c>
      <c r="J3300" s="5" t="str">
        <f aca="false">IF($I3300="","","R"&amp;$I3300)</f>
        <v/>
      </c>
    </row>
    <row r="3301" customFormat="false" ht="15" hidden="false" customHeight="true" outlineLevel="0" collapsed="false">
      <c r="H3301" s="14" t="b">
        <f aca="false">IF(중복검사!$A3299="",FALSE(),중복검사!$J3299="유지")</f>
        <v>0</v>
      </c>
      <c r="I3301" s="5" t="str">
        <f aca="false">IF($H3301=FALSE(),"",COUNTIF($H$6:$H3301,TRUE()))</f>
        <v/>
      </c>
      <c r="J3301" s="5" t="str">
        <f aca="false">IF($I3301="","","R"&amp;$I3301)</f>
        <v/>
      </c>
    </row>
    <row r="3302" customFormat="false" ht="15" hidden="false" customHeight="true" outlineLevel="0" collapsed="false">
      <c r="H3302" s="14" t="b">
        <f aca="false">IF(중복검사!$A3300="",FALSE(),중복검사!$J3300="유지")</f>
        <v>0</v>
      </c>
      <c r="I3302" s="5" t="str">
        <f aca="false">IF($H3302=FALSE(),"",COUNTIF($H$6:$H3302,TRUE()))</f>
        <v/>
      </c>
      <c r="J3302" s="5" t="str">
        <f aca="false">IF($I3302="","","R"&amp;$I3302)</f>
        <v/>
      </c>
    </row>
    <row r="3303" customFormat="false" ht="15" hidden="false" customHeight="true" outlineLevel="0" collapsed="false">
      <c r="H3303" s="14" t="b">
        <f aca="false">IF(중복검사!$A3301="",FALSE(),중복검사!$J3301="유지")</f>
        <v>0</v>
      </c>
      <c r="I3303" s="5" t="str">
        <f aca="false">IF($H3303=FALSE(),"",COUNTIF($H$6:$H3303,TRUE()))</f>
        <v/>
      </c>
      <c r="J3303" s="5" t="str">
        <f aca="false">IF($I3303="","","R"&amp;$I3303)</f>
        <v/>
      </c>
    </row>
    <row r="3304" customFormat="false" ht="15" hidden="false" customHeight="true" outlineLevel="0" collapsed="false">
      <c r="H3304" s="14" t="b">
        <f aca="false">IF(중복검사!$A3302="",FALSE(),중복검사!$J3302="유지")</f>
        <v>0</v>
      </c>
      <c r="I3304" s="5" t="str">
        <f aca="false">IF($H3304=FALSE(),"",COUNTIF($H$6:$H3304,TRUE()))</f>
        <v/>
      </c>
      <c r="J3304" s="5" t="str">
        <f aca="false">IF($I3304="","","R"&amp;$I3304)</f>
        <v/>
      </c>
    </row>
    <row r="3305" customFormat="false" ht="15" hidden="false" customHeight="true" outlineLevel="0" collapsed="false">
      <c r="H3305" s="14" t="b">
        <f aca="false">IF(중복검사!$A3303="",FALSE(),중복검사!$J3303="유지")</f>
        <v>0</v>
      </c>
      <c r="I3305" s="5" t="str">
        <f aca="false">IF($H3305=FALSE(),"",COUNTIF($H$6:$H3305,TRUE()))</f>
        <v/>
      </c>
      <c r="J3305" s="5" t="str">
        <f aca="false">IF($I3305="","","R"&amp;$I3305)</f>
        <v/>
      </c>
    </row>
    <row r="3306" customFormat="false" ht="15" hidden="false" customHeight="true" outlineLevel="0" collapsed="false">
      <c r="H3306" s="14" t="b">
        <f aca="false">IF(중복검사!$A3304="",FALSE(),중복검사!$J3304="유지")</f>
        <v>0</v>
      </c>
      <c r="I3306" s="5" t="str">
        <f aca="false">IF($H3306=FALSE(),"",COUNTIF($H$6:$H3306,TRUE()))</f>
        <v/>
      </c>
      <c r="J3306" s="5" t="str">
        <f aca="false">IF($I3306="","","R"&amp;$I3306)</f>
        <v/>
      </c>
    </row>
    <row r="3307" customFormat="false" ht="15" hidden="false" customHeight="true" outlineLevel="0" collapsed="false">
      <c r="H3307" s="14" t="b">
        <f aca="false">IF(중복검사!$A3305="",FALSE(),중복검사!$J3305="유지")</f>
        <v>0</v>
      </c>
      <c r="I3307" s="5" t="str">
        <f aca="false">IF($H3307=FALSE(),"",COUNTIF($H$6:$H3307,TRUE()))</f>
        <v/>
      </c>
      <c r="J3307" s="5" t="str">
        <f aca="false">IF($I3307="","","R"&amp;$I3307)</f>
        <v/>
      </c>
    </row>
    <row r="3308" customFormat="false" ht="15" hidden="false" customHeight="true" outlineLevel="0" collapsed="false">
      <c r="H3308" s="14" t="b">
        <f aca="false">IF(중복검사!$A3306="",FALSE(),중복검사!$J3306="유지")</f>
        <v>0</v>
      </c>
      <c r="I3308" s="5" t="str">
        <f aca="false">IF($H3308=FALSE(),"",COUNTIF($H$6:$H3308,TRUE()))</f>
        <v/>
      </c>
      <c r="J3308" s="5" t="str">
        <f aca="false">IF($I3308="","","R"&amp;$I3308)</f>
        <v/>
      </c>
    </row>
    <row r="3309" customFormat="false" ht="15" hidden="false" customHeight="true" outlineLevel="0" collapsed="false">
      <c r="H3309" s="14" t="b">
        <f aca="false">IF(중복검사!$A3307="",FALSE(),중복검사!$J3307="유지")</f>
        <v>0</v>
      </c>
      <c r="I3309" s="5" t="str">
        <f aca="false">IF($H3309=FALSE(),"",COUNTIF($H$6:$H3309,TRUE()))</f>
        <v/>
      </c>
      <c r="J3309" s="5" t="str">
        <f aca="false">IF($I3309="","","R"&amp;$I3309)</f>
        <v/>
      </c>
    </row>
    <row r="3310" customFormat="false" ht="15" hidden="false" customHeight="true" outlineLevel="0" collapsed="false">
      <c r="H3310" s="14" t="b">
        <f aca="false">IF(중복검사!$A3308="",FALSE(),중복검사!$J3308="유지")</f>
        <v>0</v>
      </c>
      <c r="I3310" s="5" t="str">
        <f aca="false">IF($H3310=FALSE(),"",COUNTIF($H$6:$H3310,TRUE()))</f>
        <v/>
      </c>
      <c r="J3310" s="5" t="str">
        <f aca="false">IF($I3310="","","R"&amp;$I3310)</f>
        <v/>
      </c>
    </row>
    <row r="3311" customFormat="false" ht="15" hidden="false" customHeight="true" outlineLevel="0" collapsed="false">
      <c r="H3311" s="14" t="b">
        <f aca="false">IF(중복검사!$A3309="",FALSE(),중복검사!$J3309="유지")</f>
        <v>0</v>
      </c>
      <c r="I3311" s="5" t="str">
        <f aca="false">IF($H3311=FALSE(),"",COUNTIF($H$6:$H3311,TRUE()))</f>
        <v/>
      </c>
      <c r="J3311" s="5" t="str">
        <f aca="false">IF($I3311="","","R"&amp;$I3311)</f>
        <v/>
      </c>
    </row>
    <row r="3312" customFormat="false" ht="15" hidden="false" customHeight="true" outlineLevel="0" collapsed="false">
      <c r="H3312" s="14" t="b">
        <f aca="false">IF(중복검사!$A3310="",FALSE(),중복검사!$J3310="유지")</f>
        <v>0</v>
      </c>
      <c r="I3312" s="5" t="str">
        <f aca="false">IF($H3312=FALSE(),"",COUNTIF($H$6:$H3312,TRUE()))</f>
        <v/>
      </c>
      <c r="J3312" s="5" t="str">
        <f aca="false">IF($I3312="","","R"&amp;$I3312)</f>
        <v/>
      </c>
    </row>
    <row r="3313" customFormat="false" ht="15" hidden="false" customHeight="true" outlineLevel="0" collapsed="false">
      <c r="H3313" s="14" t="b">
        <f aca="false">IF(중복검사!$A3311="",FALSE(),중복검사!$J3311="유지")</f>
        <v>0</v>
      </c>
      <c r="I3313" s="5" t="str">
        <f aca="false">IF($H3313=FALSE(),"",COUNTIF($H$6:$H3313,TRUE()))</f>
        <v/>
      </c>
      <c r="J3313" s="5" t="str">
        <f aca="false">IF($I3313="","","R"&amp;$I3313)</f>
        <v/>
      </c>
    </row>
    <row r="3314" customFormat="false" ht="15" hidden="false" customHeight="true" outlineLevel="0" collapsed="false">
      <c r="H3314" s="14" t="b">
        <f aca="false">IF(중복검사!$A3312="",FALSE(),중복검사!$J3312="유지")</f>
        <v>0</v>
      </c>
      <c r="I3314" s="5" t="str">
        <f aca="false">IF($H3314=FALSE(),"",COUNTIF($H$6:$H3314,TRUE()))</f>
        <v/>
      </c>
      <c r="J3314" s="5" t="str">
        <f aca="false">IF($I3314="","","R"&amp;$I3314)</f>
        <v/>
      </c>
    </row>
    <row r="3315" customFormat="false" ht="15" hidden="false" customHeight="true" outlineLevel="0" collapsed="false">
      <c r="H3315" s="14" t="b">
        <f aca="false">IF(중복검사!$A3313="",FALSE(),중복검사!$J3313="유지")</f>
        <v>0</v>
      </c>
      <c r="I3315" s="5" t="str">
        <f aca="false">IF($H3315=FALSE(),"",COUNTIF($H$6:$H3315,TRUE()))</f>
        <v/>
      </c>
      <c r="J3315" s="5" t="str">
        <f aca="false">IF($I3315="","","R"&amp;$I3315)</f>
        <v/>
      </c>
    </row>
    <row r="3316" customFormat="false" ht="15" hidden="false" customHeight="true" outlineLevel="0" collapsed="false">
      <c r="H3316" s="14" t="b">
        <f aca="false">IF(중복검사!$A3314="",FALSE(),중복검사!$J3314="유지")</f>
        <v>0</v>
      </c>
      <c r="I3316" s="5" t="str">
        <f aca="false">IF($H3316=FALSE(),"",COUNTIF($H$6:$H3316,TRUE()))</f>
        <v/>
      </c>
      <c r="J3316" s="5" t="str">
        <f aca="false">IF($I3316="","","R"&amp;$I3316)</f>
        <v/>
      </c>
    </row>
    <row r="3317" customFormat="false" ht="15" hidden="false" customHeight="true" outlineLevel="0" collapsed="false">
      <c r="H3317" s="14" t="b">
        <f aca="false">IF(중복검사!$A3315="",FALSE(),중복검사!$J3315="유지")</f>
        <v>0</v>
      </c>
      <c r="I3317" s="5" t="str">
        <f aca="false">IF($H3317=FALSE(),"",COUNTIF($H$6:$H3317,TRUE()))</f>
        <v/>
      </c>
      <c r="J3317" s="5" t="str">
        <f aca="false">IF($I3317="","","R"&amp;$I3317)</f>
        <v/>
      </c>
    </row>
    <row r="3318" customFormat="false" ht="15" hidden="false" customHeight="true" outlineLevel="0" collapsed="false">
      <c r="H3318" s="14" t="b">
        <f aca="false">IF(중복검사!$A3316="",FALSE(),중복검사!$J3316="유지")</f>
        <v>0</v>
      </c>
      <c r="I3318" s="5" t="str">
        <f aca="false">IF($H3318=FALSE(),"",COUNTIF($H$6:$H3318,TRUE()))</f>
        <v/>
      </c>
      <c r="J3318" s="5" t="str">
        <f aca="false">IF($I3318="","","R"&amp;$I3318)</f>
        <v/>
      </c>
    </row>
    <row r="3319" customFormat="false" ht="15" hidden="false" customHeight="true" outlineLevel="0" collapsed="false">
      <c r="H3319" s="14" t="b">
        <f aca="false">IF(중복검사!$A3317="",FALSE(),중복검사!$J3317="유지")</f>
        <v>0</v>
      </c>
      <c r="I3319" s="5" t="str">
        <f aca="false">IF($H3319=FALSE(),"",COUNTIF($H$6:$H3319,TRUE()))</f>
        <v/>
      </c>
      <c r="J3319" s="5" t="str">
        <f aca="false">IF($I3319="","","R"&amp;$I3319)</f>
        <v/>
      </c>
    </row>
    <row r="3320" customFormat="false" ht="15" hidden="false" customHeight="true" outlineLevel="0" collapsed="false">
      <c r="H3320" s="14" t="b">
        <f aca="false">IF(중복검사!$A3318="",FALSE(),중복검사!$J3318="유지")</f>
        <v>0</v>
      </c>
      <c r="I3320" s="5" t="str">
        <f aca="false">IF($H3320=FALSE(),"",COUNTIF($H$6:$H3320,TRUE()))</f>
        <v/>
      </c>
      <c r="J3320" s="5" t="str">
        <f aca="false">IF($I3320="","","R"&amp;$I3320)</f>
        <v/>
      </c>
    </row>
    <row r="3321" customFormat="false" ht="15" hidden="false" customHeight="true" outlineLevel="0" collapsed="false">
      <c r="H3321" s="14" t="b">
        <f aca="false">IF(중복검사!$A3319="",FALSE(),중복검사!$J3319="유지")</f>
        <v>0</v>
      </c>
      <c r="I3321" s="5" t="str">
        <f aca="false">IF($H3321=FALSE(),"",COUNTIF($H$6:$H3321,TRUE()))</f>
        <v/>
      </c>
      <c r="J3321" s="5" t="str">
        <f aca="false">IF($I3321="","","R"&amp;$I3321)</f>
        <v/>
      </c>
    </row>
    <row r="3322" customFormat="false" ht="15" hidden="false" customHeight="true" outlineLevel="0" collapsed="false">
      <c r="H3322" s="14" t="b">
        <f aca="false">IF(중복검사!$A3320="",FALSE(),중복검사!$J3320="유지")</f>
        <v>0</v>
      </c>
      <c r="I3322" s="5" t="str">
        <f aca="false">IF($H3322=FALSE(),"",COUNTIF($H$6:$H3322,TRUE()))</f>
        <v/>
      </c>
      <c r="J3322" s="5" t="str">
        <f aca="false">IF($I3322="","","R"&amp;$I3322)</f>
        <v/>
      </c>
    </row>
    <row r="3323" customFormat="false" ht="15" hidden="false" customHeight="true" outlineLevel="0" collapsed="false">
      <c r="H3323" s="14" t="b">
        <f aca="false">IF(중복검사!$A3321="",FALSE(),중복검사!$J3321="유지")</f>
        <v>0</v>
      </c>
      <c r="I3323" s="5" t="str">
        <f aca="false">IF($H3323=FALSE(),"",COUNTIF($H$6:$H3323,TRUE()))</f>
        <v/>
      </c>
      <c r="J3323" s="5" t="str">
        <f aca="false">IF($I3323="","","R"&amp;$I3323)</f>
        <v/>
      </c>
    </row>
    <row r="3324" customFormat="false" ht="15" hidden="false" customHeight="true" outlineLevel="0" collapsed="false">
      <c r="H3324" s="14" t="b">
        <f aca="false">IF(중복검사!$A3322="",FALSE(),중복검사!$J3322="유지")</f>
        <v>0</v>
      </c>
      <c r="I3324" s="5" t="str">
        <f aca="false">IF($H3324=FALSE(),"",COUNTIF($H$6:$H3324,TRUE()))</f>
        <v/>
      </c>
      <c r="J3324" s="5" t="str">
        <f aca="false">IF($I3324="","","R"&amp;$I3324)</f>
        <v/>
      </c>
    </row>
    <row r="3325" customFormat="false" ht="15" hidden="false" customHeight="true" outlineLevel="0" collapsed="false">
      <c r="H3325" s="14" t="b">
        <f aca="false">IF(중복검사!$A3323="",FALSE(),중복검사!$J3323="유지")</f>
        <v>0</v>
      </c>
      <c r="I3325" s="5" t="str">
        <f aca="false">IF($H3325=FALSE(),"",COUNTIF($H$6:$H3325,TRUE()))</f>
        <v/>
      </c>
      <c r="J3325" s="5" t="str">
        <f aca="false">IF($I3325="","","R"&amp;$I3325)</f>
        <v/>
      </c>
    </row>
    <row r="3326" customFormat="false" ht="15" hidden="false" customHeight="true" outlineLevel="0" collapsed="false">
      <c r="H3326" s="14" t="b">
        <f aca="false">IF(중복검사!$A3324="",FALSE(),중복검사!$J3324="유지")</f>
        <v>0</v>
      </c>
      <c r="I3326" s="5" t="str">
        <f aca="false">IF($H3326=FALSE(),"",COUNTIF($H$6:$H3326,TRUE()))</f>
        <v/>
      </c>
      <c r="J3326" s="5" t="str">
        <f aca="false">IF($I3326="","","R"&amp;$I3326)</f>
        <v/>
      </c>
    </row>
    <row r="3327" customFormat="false" ht="15" hidden="false" customHeight="true" outlineLevel="0" collapsed="false">
      <c r="H3327" s="14" t="b">
        <f aca="false">IF(중복검사!$A3325="",FALSE(),중복검사!$J3325="유지")</f>
        <v>0</v>
      </c>
      <c r="I3327" s="5" t="str">
        <f aca="false">IF($H3327=FALSE(),"",COUNTIF($H$6:$H3327,TRUE()))</f>
        <v/>
      </c>
      <c r="J3327" s="5" t="str">
        <f aca="false">IF($I3327="","","R"&amp;$I3327)</f>
        <v/>
      </c>
    </row>
    <row r="3328" customFormat="false" ht="15" hidden="false" customHeight="true" outlineLevel="0" collapsed="false">
      <c r="H3328" s="14" t="b">
        <f aca="false">IF(중복검사!$A3326="",FALSE(),중복검사!$J3326="유지")</f>
        <v>0</v>
      </c>
      <c r="I3328" s="5" t="str">
        <f aca="false">IF($H3328=FALSE(),"",COUNTIF($H$6:$H3328,TRUE()))</f>
        <v/>
      </c>
      <c r="J3328" s="5" t="str">
        <f aca="false">IF($I3328="","","R"&amp;$I3328)</f>
        <v/>
      </c>
    </row>
    <row r="3329" customFormat="false" ht="15" hidden="false" customHeight="true" outlineLevel="0" collapsed="false">
      <c r="H3329" s="14" t="b">
        <f aca="false">IF(중복검사!$A3327="",FALSE(),중복검사!$J3327="유지")</f>
        <v>0</v>
      </c>
      <c r="I3329" s="5" t="str">
        <f aca="false">IF($H3329=FALSE(),"",COUNTIF($H$6:$H3329,TRUE()))</f>
        <v/>
      </c>
      <c r="J3329" s="5" t="str">
        <f aca="false">IF($I3329="","","R"&amp;$I3329)</f>
        <v/>
      </c>
    </row>
    <row r="3330" customFormat="false" ht="15" hidden="false" customHeight="true" outlineLevel="0" collapsed="false">
      <c r="H3330" s="14" t="b">
        <f aca="false">IF(중복검사!$A3328="",FALSE(),중복검사!$J3328="유지")</f>
        <v>0</v>
      </c>
      <c r="I3330" s="5" t="str">
        <f aca="false">IF($H3330=FALSE(),"",COUNTIF($H$6:$H3330,TRUE()))</f>
        <v/>
      </c>
      <c r="J3330" s="5" t="str">
        <f aca="false">IF($I3330="","","R"&amp;$I3330)</f>
        <v/>
      </c>
    </row>
    <row r="3331" customFormat="false" ht="15" hidden="false" customHeight="true" outlineLevel="0" collapsed="false">
      <c r="H3331" s="14" t="b">
        <f aca="false">IF(중복검사!$A3329="",FALSE(),중복검사!$J3329="유지")</f>
        <v>0</v>
      </c>
      <c r="I3331" s="5" t="str">
        <f aca="false">IF($H3331=FALSE(),"",COUNTIF($H$6:$H3331,TRUE()))</f>
        <v/>
      </c>
      <c r="J3331" s="5" t="str">
        <f aca="false">IF($I3331="","","R"&amp;$I3331)</f>
        <v/>
      </c>
    </row>
    <row r="3332" customFormat="false" ht="15" hidden="false" customHeight="true" outlineLevel="0" collapsed="false">
      <c r="H3332" s="14" t="b">
        <f aca="false">IF(중복검사!$A3330="",FALSE(),중복검사!$J3330="유지")</f>
        <v>0</v>
      </c>
      <c r="I3332" s="5" t="str">
        <f aca="false">IF($H3332=FALSE(),"",COUNTIF($H$6:$H3332,TRUE()))</f>
        <v/>
      </c>
      <c r="J3332" s="5" t="str">
        <f aca="false">IF($I3332="","","R"&amp;$I3332)</f>
        <v/>
      </c>
    </row>
    <row r="3333" customFormat="false" ht="15" hidden="false" customHeight="true" outlineLevel="0" collapsed="false">
      <c r="H3333" s="14" t="b">
        <f aca="false">IF(중복검사!$A3331="",FALSE(),중복검사!$J3331="유지")</f>
        <v>0</v>
      </c>
      <c r="I3333" s="5" t="str">
        <f aca="false">IF($H3333=FALSE(),"",COUNTIF($H$6:$H3333,TRUE()))</f>
        <v/>
      </c>
      <c r="J3333" s="5" t="str">
        <f aca="false">IF($I3333="","","R"&amp;$I3333)</f>
        <v/>
      </c>
    </row>
    <row r="3334" customFormat="false" ht="15" hidden="false" customHeight="true" outlineLevel="0" collapsed="false">
      <c r="H3334" s="14" t="b">
        <f aca="false">IF(중복검사!$A3332="",FALSE(),중복검사!$J3332="유지")</f>
        <v>0</v>
      </c>
      <c r="I3334" s="5" t="str">
        <f aca="false">IF($H3334=FALSE(),"",COUNTIF($H$6:$H3334,TRUE()))</f>
        <v/>
      </c>
      <c r="J3334" s="5" t="str">
        <f aca="false">IF($I3334="","","R"&amp;$I3334)</f>
        <v/>
      </c>
    </row>
    <row r="3335" customFormat="false" ht="15" hidden="false" customHeight="true" outlineLevel="0" collapsed="false">
      <c r="H3335" s="14" t="b">
        <f aca="false">IF(중복검사!$A3333="",FALSE(),중복검사!$J3333="유지")</f>
        <v>0</v>
      </c>
      <c r="I3335" s="5" t="str">
        <f aca="false">IF($H3335=FALSE(),"",COUNTIF($H$6:$H3335,TRUE()))</f>
        <v/>
      </c>
      <c r="J3335" s="5" t="str">
        <f aca="false">IF($I3335="","","R"&amp;$I3335)</f>
        <v/>
      </c>
    </row>
    <row r="3336" customFormat="false" ht="15" hidden="false" customHeight="true" outlineLevel="0" collapsed="false">
      <c r="H3336" s="14" t="b">
        <f aca="false">IF(중복검사!$A3334="",FALSE(),중복검사!$J3334="유지")</f>
        <v>0</v>
      </c>
      <c r="I3336" s="5" t="str">
        <f aca="false">IF($H3336=FALSE(),"",COUNTIF($H$6:$H3336,TRUE()))</f>
        <v/>
      </c>
      <c r="J3336" s="5" t="str">
        <f aca="false">IF($I3336="","","R"&amp;$I3336)</f>
        <v/>
      </c>
    </row>
    <row r="3337" customFormat="false" ht="15" hidden="false" customHeight="true" outlineLevel="0" collapsed="false">
      <c r="H3337" s="14" t="b">
        <f aca="false">IF(중복검사!$A3335="",FALSE(),중복검사!$J3335="유지")</f>
        <v>0</v>
      </c>
      <c r="I3337" s="5" t="str">
        <f aca="false">IF($H3337=FALSE(),"",COUNTIF($H$6:$H3337,TRUE()))</f>
        <v/>
      </c>
      <c r="J3337" s="5" t="str">
        <f aca="false">IF($I3337="","","R"&amp;$I3337)</f>
        <v/>
      </c>
    </row>
    <row r="3338" customFormat="false" ht="15" hidden="false" customHeight="true" outlineLevel="0" collapsed="false">
      <c r="H3338" s="14" t="b">
        <f aca="false">IF(중복검사!$A3336="",FALSE(),중복검사!$J3336="유지")</f>
        <v>0</v>
      </c>
      <c r="I3338" s="5" t="str">
        <f aca="false">IF($H3338=FALSE(),"",COUNTIF($H$6:$H3338,TRUE()))</f>
        <v/>
      </c>
      <c r="J3338" s="5" t="str">
        <f aca="false">IF($I3338="","","R"&amp;$I3338)</f>
        <v/>
      </c>
    </row>
    <row r="3339" customFormat="false" ht="15" hidden="false" customHeight="true" outlineLevel="0" collapsed="false">
      <c r="H3339" s="14" t="b">
        <f aca="false">IF(중복검사!$A3337="",FALSE(),중복검사!$J3337="유지")</f>
        <v>0</v>
      </c>
      <c r="I3339" s="5" t="str">
        <f aca="false">IF($H3339=FALSE(),"",COUNTIF($H$6:$H3339,TRUE()))</f>
        <v/>
      </c>
      <c r="J3339" s="5" t="str">
        <f aca="false">IF($I3339="","","R"&amp;$I3339)</f>
        <v/>
      </c>
    </row>
    <row r="3340" customFormat="false" ht="15" hidden="false" customHeight="true" outlineLevel="0" collapsed="false">
      <c r="H3340" s="14" t="b">
        <f aca="false">IF(중복검사!$A3338="",FALSE(),중복검사!$J3338="유지")</f>
        <v>0</v>
      </c>
      <c r="I3340" s="5" t="str">
        <f aca="false">IF($H3340=FALSE(),"",COUNTIF($H$6:$H3340,TRUE()))</f>
        <v/>
      </c>
      <c r="J3340" s="5" t="str">
        <f aca="false">IF($I3340="","","R"&amp;$I3340)</f>
        <v/>
      </c>
    </row>
    <row r="3341" customFormat="false" ht="15" hidden="false" customHeight="true" outlineLevel="0" collapsed="false">
      <c r="H3341" s="14" t="b">
        <f aca="false">IF(중복검사!$A3339="",FALSE(),중복검사!$J3339="유지")</f>
        <v>0</v>
      </c>
      <c r="I3341" s="5" t="str">
        <f aca="false">IF($H3341=FALSE(),"",COUNTIF($H$6:$H3341,TRUE()))</f>
        <v/>
      </c>
      <c r="J3341" s="5" t="str">
        <f aca="false">IF($I3341="","","R"&amp;$I3341)</f>
        <v/>
      </c>
    </row>
    <row r="3342" customFormat="false" ht="15" hidden="false" customHeight="true" outlineLevel="0" collapsed="false">
      <c r="H3342" s="14" t="b">
        <f aca="false">IF(중복검사!$A3340="",FALSE(),중복검사!$J3340="유지")</f>
        <v>0</v>
      </c>
      <c r="I3342" s="5" t="str">
        <f aca="false">IF($H3342=FALSE(),"",COUNTIF($H$6:$H3342,TRUE()))</f>
        <v/>
      </c>
      <c r="J3342" s="5" t="str">
        <f aca="false">IF($I3342="","","R"&amp;$I3342)</f>
        <v/>
      </c>
    </row>
    <row r="3343" customFormat="false" ht="15" hidden="false" customHeight="true" outlineLevel="0" collapsed="false">
      <c r="H3343" s="14" t="b">
        <f aca="false">IF(중복검사!$A3341="",FALSE(),중복검사!$J3341="유지")</f>
        <v>0</v>
      </c>
      <c r="I3343" s="5" t="str">
        <f aca="false">IF($H3343=FALSE(),"",COUNTIF($H$6:$H3343,TRUE()))</f>
        <v/>
      </c>
      <c r="J3343" s="5" t="str">
        <f aca="false">IF($I3343="","","R"&amp;$I3343)</f>
        <v/>
      </c>
    </row>
    <row r="3344" customFormat="false" ht="15" hidden="false" customHeight="true" outlineLevel="0" collapsed="false">
      <c r="H3344" s="14" t="b">
        <f aca="false">IF(중복검사!$A3342="",FALSE(),중복검사!$J3342="유지")</f>
        <v>0</v>
      </c>
      <c r="I3344" s="5" t="str">
        <f aca="false">IF($H3344=FALSE(),"",COUNTIF($H$6:$H3344,TRUE()))</f>
        <v/>
      </c>
      <c r="J3344" s="5" t="str">
        <f aca="false">IF($I3344="","","R"&amp;$I3344)</f>
        <v/>
      </c>
    </row>
    <row r="3345" customFormat="false" ht="15" hidden="false" customHeight="true" outlineLevel="0" collapsed="false">
      <c r="H3345" s="14" t="b">
        <f aca="false">IF(중복검사!$A3343="",FALSE(),중복검사!$J3343="유지")</f>
        <v>0</v>
      </c>
      <c r="I3345" s="5" t="str">
        <f aca="false">IF($H3345=FALSE(),"",COUNTIF($H$6:$H3345,TRUE()))</f>
        <v/>
      </c>
      <c r="J3345" s="5" t="str">
        <f aca="false">IF($I3345="","","R"&amp;$I3345)</f>
        <v/>
      </c>
    </row>
    <row r="3346" customFormat="false" ht="15" hidden="false" customHeight="true" outlineLevel="0" collapsed="false">
      <c r="H3346" s="14" t="b">
        <f aca="false">IF(중복검사!$A3344="",FALSE(),중복검사!$J3344="유지")</f>
        <v>0</v>
      </c>
      <c r="I3346" s="5" t="str">
        <f aca="false">IF($H3346=FALSE(),"",COUNTIF($H$6:$H3346,TRUE()))</f>
        <v/>
      </c>
      <c r="J3346" s="5" t="str">
        <f aca="false">IF($I3346="","","R"&amp;$I3346)</f>
        <v/>
      </c>
    </row>
    <row r="3347" customFormat="false" ht="15" hidden="false" customHeight="true" outlineLevel="0" collapsed="false">
      <c r="H3347" s="14" t="b">
        <f aca="false">IF(중복검사!$A3345="",FALSE(),중복검사!$J3345="유지")</f>
        <v>0</v>
      </c>
      <c r="I3347" s="5" t="str">
        <f aca="false">IF($H3347=FALSE(),"",COUNTIF($H$6:$H3347,TRUE()))</f>
        <v/>
      </c>
      <c r="J3347" s="5" t="str">
        <f aca="false">IF($I3347="","","R"&amp;$I3347)</f>
        <v/>
      </c>
    </row>
    <row r="3348" customFormat="false" ht="15" hidden="false" customHeight="true" outlineLevel="0" collapsed="false">
      <c r="H3348" s="14" t="b">
        <f aca="false">IF(중복검사!$A3346="",FALSE(),중복검사!$J3346="유지")</f>
        <v>0</v>
      </c>
      <c r="I3348" s="5" t="str">
        <f aca="false">IF($H3348=FALSE(),"",COUNTIF($H$6:$H3348,TRUE()))</f>
        <v/>
      </c>
      <c r="J3348" s="5" t="str">
        <f aca="false">IF($I3348="","","R"&amp;$I3348)</f>
        <v/>
      </c>
    </row>
    <row r="3349" customFormat="false" ht="15" hidden="false" customHeight="true" outlineLevel="0" collapsed="false">
      <c r="H3349" s="14" t="b">
        <f aca="false">IF(중복검사!$A3347="",FALSE(),중복검사!$J3347="유지")</f>
        <v>0</v>
      </c>
      <c r="I3349" s="5" t="str">
        <f aca="false">IF($H3349=FALSE(),"",COUNTIF($H$6:$H3349,TRUE()))</f>
        <v/>
      </c>
      <c r="J3349" s="5" t="str">
        <f aca="false">IF($I3349="","","R"&amp;$I3349)</f>
        <v/>
      </c>
    </row>
    <row r="3350" customFormat="false" ht="15" hidden="false" customHeight="true" outlineLevel="0" collapsed="false">
      <c r="H3350" s="14" t="b">
        <f aca="false">IF(중복검사!$A3348="",FALSE(),중복검사!$J3348="유지")</f>
        <v>0</v>
      </c>
      <c r="I3350" s="5" t="str">
        <f aca="false">IF($H3350=FALSE(),"",COUNTIF($H$6:$H3350,TRUE()))</f>
        <v/>
      </c>
      <c r="J3350" s="5" t="str">
        <f aca="false">IF($I3350="","","R"&amp;$I3350)</f>
        <v/>
      </c>
    </row>
    <row r="3351" customFormat="false" ht="15" hidden="false" customHeight="true" outlineLevel="0" collapsed="false">
      <c r="H3351" s="14" t="b">
        <f aca="false">IF(중복검사!$A3349="",FALSE(),중복검사!$J3349="유지")</f>
        <v>0</v>
      </c>
      <c r="I3351" s="5" t="str">
        <f aca="false">IF($H3351=FALSE(),"",COUNTIF($H$6:$H3351,TRUE()))</f>
        <v/>
      </c>
      <c r="J3351" s="5" t="str">
        <f aca="false">IF($I3351="","","R"&amp;$I3351)</f>
        <v/>
      </c>
    </row>
    <row r="3352" customFormat="false" ht="15" hidden="false" customHeight="true" outlineLevel="0" collapsed="false">
      <c r="H3352" s="14" t="b">
        <f aca="false">IF(중복검사!$A3350="",FALSE(),중복검사!$J3350="유지")</f>
        <v>0</v>
      </c>
      <c r="I3352" s="5" t="str">
        <f aca="false">IF($H3352=FALSE(),"",COUNTIF($H$6:$H3352,TRUE()))</f>
        <v/>
      </c>
      <c r="J3352" s="5" t="str">
        <f aca="false">IF($I3352="","","R"&amp;$I3352)</f>
        <v/>
      </c>
    </row>
    <row r="3353" customFormat="false" ht="15" hidden="false" customHeight="true" outlineLevel="0" collapsed="false">
      <c r="H3353" s="14" t="b">
        <f aca="false">IF(중복검사!$A3351="",FALSE(),중복검사!$J3351="유지")</f>
        <v>0</v>
      </c>
      <c r="I3353" s="5" t="str">
        <f aca="false">IF($H3353=FALSE(),"",COUNTIF($H$6:$H3353,TRUE()))</f>
        <v/>
      </c>
      <c r="J3353" s="5" t="str">
        <f aca="false">IF($I3353="","","R"&amp;$I3353)</f>
        <v/>
      </c>
    </row>
    <row r="3354" customFormat="false" ht="15" hidden="false" customHeight="true" outlineLevel="0" collapsed="false">
      <c r="H3354" s="14" t="b">
        <f aca="false">IF(중복검사!$A3352="",FALSE(),중복검사!$J3352="유지")</f>
        <v>0</v>
      </c>
      <c r="I3354" s="5" t="str">
        <f aca="false">IF($H3354=FALSE(),"",COUNTIF($H$6:$H3354,TRUE()))</f>
        <v/>
      </c>
      <c r="J3354" s="5" t="str">
        <f aca="false">IF($I3354="","","R"&amp;$I3354)</f>
        <v/>
      </c>
    </row>
    <row r="3355" customFormat="false" ht="15" hidden="false" customHeight="true" outlineLevel="0" collapsed="false">
      <c r="H3355" s="14" t="b">
        <f aca="false">IF(중복검사!$A3353="",FALSE(),중복검사!$J3353="유지")</f>
        <v>0</v>
      </c>
      <c r="I3355" s="5" t="str">
        <f aca="false">IF($H3355=FALSE(),"",COUNTIF($H$6:$H3355,TRUE()))</f>
        <v/>
      </c>
      <c r="J3355" s="5" t="str">
        <f aca="false">IF($I3355="","","R"&amp;$I3355)</f>
        <v/>
      </c>
    </row>
    <row r="3356" customFormat="false" ht="15" hidden="false" customHeight="true" outlineLevel="0" collapsed="false">
      <c r="H3356" s="14" t="b">
        <f aca="false">IF(중복검사!$A3354="",FALSE(),중복검사!$J3354="유지")</f>
        <v>0</v>
      </c>
      <c r="I3356" s="5" t="str">
        <f aca="false">IF($H3356=FALSE(),"",COUNTIF($H$6:$H3356,TRUE()))</f>
        <v/>
      </c>
      <c r="J3356" s="5" t="str">
        <f aca="false">IF($I3356="","","R"&amp;$I3356)</f>
        <v/>
      </c>
    </row>
    <row r="3357" customFormat="false" ht="15" hidden="false" customHeight="true" outlineLevel="0" collapsed="false">
      <c r="H3357" s="14" t="b">
        <f aca="false">IF(중복검사!$A3355="",FALSE(),중복검사!$J3355="유지")</f>
        <v>0</v>
      </c>
      <c r="I3357" s="5" t="str">
        <f aca="false">IF($H3357=FALSE(),"",COUNTIF($H$6:$H3357,TRUE()))</f>
        <v/>
      </c>
      <c r="J3357" s="5" t="str">
        <f aca="false">IF($I3357="","","R"&amp;$I3357)</f>
        <v/>
      </c>
    </row>
    <row r="3358" customFormat="false" ht="15" hidden="false" customHeight="true" outlineLevel="0" collapsed="false">
      <c r="H3358" s="14" t="b">
        <f aca="false">IF(중복검사!$A3356="",FALSE(),중복검사!$J3356="유지")</f>
        <v>0</v>
      </c>
      <c r="I3358" s="5" t="str">
        <f aca="false">IF($H3358=FALSE(),"",COUNTIF($H$6:$H3358,TRUE()))</f>
        <v/>
      </c>
      <c r="J3358" s="5" t="str">
        <f aca="false">IF($I3358="","","R"&amp;$I3358)</f>
        <v/>
      </c>
    </row>
    <row r="3359" customFormat="false" ht="15" hidden="false" customHeight="true" outlineLevel="0" collapsed="false">
      <c r="H3359" s="14" t="b">
        <f aca="false">IF(중복검사!$A3357="",FALSE(),중복검사!$J3357="유지")</f>
        <v>0</v>
      </c>
      <c r="I3359" s="5" t="str">
        <f aca="false">IF($H3359=FALSE(),"",COUNTIF($H$6:$H3359,TRUE()))</f>
        <v/>
      </c>
      <c r="J3359" s="5" t="str">
        <f aca="false">IF($I3359="","","R"&amp;$I3359)</f>
        <v/>
      </c>
    </row>
    <row r="3360" customFormat="false" ht="15" hidden="false" customHeight="true" outlineLevel="0" collapsed="false">
      <c r="H3360" s="14" t="b">
        <f aca="false">IF(중복검사!$A3358="",FALSE(),중복검사!$J3358="유지")</f>
        <v>0</v>
      </c>
      <c r="I3360" s="5" t="str">
        <f aca="false">IF($H3360=FALSE(),"",COUNTIF($H$6:$H3360,TRUE()))</f>
        <v/>
      </c>
      <c r="J3360" s="5" t="str">
        <f aca="false">IF($I3360="","","R"&amp;$I3360)</f>
        <v/>
      </c>
    </row>
    <row r="3361" customFormat="false" ht="15" hidden="false" customHeight="true" outlineLevel="0" collapsed="false">
      <c r="H3361" s="14" t="b">
        <f aca="false">IF(중복검사!$A3359="",FALSE(),중복검사!$J3359="유지")</f>
        <v>0</v>
      </c>
      <c r="I3361" s="5" t="str">
        <f aca="false">IF($H3361=FALSE(),"",COUNTIF($H$6:$H3361,TRUE()))</f>
        <v/>
      </c>
      <c r="J3361" s="5" t="str">
        <f aca="false">IF($I3361="","","R"&amp;$I3361)</f>
        <v/>
      </c>
    </row>
    <row r="3362" customFormat="false" ht="15" hidden="false" customHeight="true" outlineLevel="0" collapsed="false">
      <c r="H3362" s="14" t="b">
        <f aca="false">IF(중복검사!$A3360="",FALSE(),중복검사!$J3360="유지")</f>
        <v>0</v>
      </c>
      <c r="I3362" s="5" t="str">
        <f aca="false">IF($H3362=FALSE(),"",COUNTIF($H$6:$H3362,TRUE()))</f>
        <v/>
      </c>
      <c r="J3362" s="5" t="str">
        <f aca="false">IF($I3362="","","R"&amp;$I3362)</f>
        <v/>
      </c>
    </row>
    <row r="3363" customFormat="false" ht="15" hidden="false" customHeight="true" outlineLevel="0" collapsed="false">
      <c r="H3363" s="14" t="b">
        <f aca="false">IF(중복검사!$A3361="",FALSE(),중복검사!$J3361="유지")</f>
        <v>0</v>
      </c>
      <c r="I3363" s="5" t="str">
        <f aca="false">IF($H3363=FALSE(),"",COUNTIF($H$6:$H3363,TRUE()))</f>
        <v/>
      </c>
      <c r="J3363" s="5" t="str">
        <f aca="false">IF($I3363="","","R"&amp;$I3363)</f>
        <v/>
      </c>
    </row>
    <row r="3364" customFormat="false" ht="15" hidden="false" customHeight="true" outlineLevel="0" collapsed="false">
      <c r="H3364" s="14" t="b">
        <f aca="false">IF(중복검사!$A3362="",FALSE(),중복검사!$J3362="유지")</f>
        <v>0</v>
      </c>
      <c r="I3364" s="5" t="str">
        <f aca="false">IF($H3364=FALSE(),"",COUNTIF($H$6:$H3364,TRUE()))</f>
        <v/>
      </c>
      <c r="J3364" s="5" t="str">
        <f aca="false">IF($I3364="","","R"&amp;$I3364)</f>
        <v/>
      </c>
    </row>
    <row r="3365" customFormat="false" ht="15" hidden="false" customHeight="true" outlineLevel="0" collapsed="false">
      <c r="H3365" s="14" t="b">
        <f aca="false">IF(중복검사!$A3363="",FALSE(),중복검사!$J3363="유지")</f>
        <v>0</v>
      </c>
      <c r="I3365" s="5" t="str">
        <f aca="false">IF($H3365=FALSE(),"",COUNTIF($H$6:$H3365,TRUE()))</f>
        <v/>
      </c>
      <c r="J3365" s="5" t="str">
        <f aca="false">IF($I3365="","","R"&amp;$I3365)</f>
        <v/>
      </c>
    </row>
    <row r="3366" customFormat="false" ht="15" hidden="false" customHeight="true" outlineLevel="0" collapsed="false">
      <c r="H3366" s="14" t="b">
        <f aca="false">IF(중복검사!$A3364="",FALSE(),중복검사!$J3364="유지")</f>
        <v>0</v>
      </c>
      <c r="I3366" s="5" t="str">
        <f aca="false">IF($H3366=FALSE(),"",COUNTIF($H$6:$H3366,TRUE()))</f>
        <v/>
      </c>
      <c r="J3366" s="5" t="str">
        <f aca="false">IF($I3366="","","R"&amp;$I3366)</f>
        <v/>
      </c>
    </row>
    <row r="3367" customFormat="false" ht="15" hidden="false" customHeight="true" outlineLevel="0" collapsed="false">
      <c r="H3367" s="14" t="b">
        <f aca="false">IF(중복검사!$A3365="",FALSE(),중복검사!$J3365="유지")</f>
        <v>0</v>
      </c>
      <c r="I3367" s="5" t="str">
        <f aca="false">IF($H3367=FALSE(),"",COUNTIF($H$6:$H3367,TRUE()))</f>
        <v/>
      </c>
      <c r="J3367" s="5" t="str">
        <f aca="false">IF($I3367="","","R"&amp;$I3367)</f>
        <v/>
      </c>
    </row>
    <row r="3368" customFormat="false" ht="15" hidden="false" customHeight="true" outlineLevel="0" collapsed="false">
      <c r="H3368" s="14" t="b">
        <f aca="false">IF(중복검사!$A3366="",FALSE(),중복검사!$J3366="유지")</f>
        <v>0</v>
      </c>
      <c r="I3368" s="5" t="str">
        <f aca="false">IF($H3368=FALSE(),"",COUNTIF($H$6:$H3368,TRUE()))</f>
        <v/>
      </c>
      <c r="J3368" s="5" t="str">
        <f aca="false">IF($I3368="","","R"&amp;$I3368)</f>
        <v/>
      </c>
    </row>
    <row r="3369" customFormat="false" ht="15" hidden="false" customHeight="true" outlineLevel="0" collapsed="false">
      <c r="H3369" s="14" t="b">
        <f aca="false">IF(중복검사!$A3367="",FALSE(),중복검사!$J3367="유지")</f>
        <v>0</v>
      </c>
      <c r="I3369" s="5" t="str">
        <f aca="false">IF($H3369=FALSE(),"",COUNTIF($H$6:$H3369,TRUE()))</f>
        <v/>
      </c>
      <c r="J3369" s="5" t="str">
        <f aca="false">IF($I3369="","","R"&amp;$I3369)</f>
        <v/>
      </c>
    </row>
    <row r="3370" customFormat="false" ht="15" hidden="false" customHeight="true" outlineLevel="0" collapsed="false">
      <c r="H3370" s="14" t="b">
        <f aca="false">IF(중복검사!$A3368="",FALSE(),중복검사!$J3368="유지")</f>
        <v>0</v>
      </c>
      <c r="I3370" s="5" t="str">
        <f aca="false">IF($H3370=FALSE(),"",COUNTIF($H$6:$H3370,TRUE()))</f>
        <v/>
      </c>
      <c r="J3370" s="5" t="str">
        <f aca="false">IF($I3370="","","R"&amp;$I3370)</f>
        <v/>
      </c>
    </row>
    <row r="3371" customFormat="false" ht="15" hidden="false" customHeight="true" outlineLevel="0" collapsed="false">
      <c r="H3371" s="14" t="b">
        <f aca="false">IF(중복검사!$A3369="",FALSE(),중복검사!$J3369="유지")</f>
        <v>0</v>
      </c>
      <c r="I3371" s="5" t="str">
        <f aca="false">IF($H3371=FALSE(),"",COUNTIF($H$6:$H3371,TRUE()))</f>
        <v/>
      </c>
      <c r="J3371" s="5" t="str">
        <f aca="false">IF($I3371="","","R"&amp;$I3371)</f>
        <v/>
      </c>
    </row>
    <row r="3372" customFormat="false" ht="15" hidden="false" customHeight="true" outlineLevel="0" collapsed="false">
      <c r="H3372" s="14" t="b">
        <f aca="false">IF(중복검사!$A3370="",FALSE(),중복검사!$J3370="유지")</f>
        <v>0</v>
      </c>
      <c r="I3372" s="5" t="str">
        <f aca="false">IF($H3372=FALSE(),"",COUNTIF($H$6:$H3372,TRUE()))</f>
        <v/>
      </c>
      <c r="J3372" s="5" t="str">
        <f aca="false">IF($I3372="","","R"&amp;$I3372)</f>
        <v/>
      </c>
    </row>
    <row r="3373" customFormat="false" ht="15" hidden="false" customHeight="true" outlineLevel="0" collapsed="false">
      <c r="H3373" s="14" t="b">
        <f aca="false">IF(중복검사!$A3371="",FALSE(),중복검사!$J3371="유지")</f>
        <v>0</v>
      </c>
      <c r="I3373" s="5" t="str">
        <f aca="false">IF($H3373=FALSE(),"",COUNTIF($H$6:$H3373,TRUE()))</f>
        <v/>
      </c>
      <c r="J3373" s="5" t="str">
        <f aca="false">IF($I3373="","","R"&amp;$I3373)</f>
        <v/>
      </c>
    </row>
    <row r="3374" customFormat="false" ht="15" hidden="false" customHeight="true" outlineLevel="0" collapsed="false">
      <c r="H3374" s="14" t="b">
        <f aca="false">IF(중복검사!$A3372="",FALSE(),중복검사!$J3372="유지")</f>
        <v>0</v>
      </c>
      <c r="I3374" s="5" t="str">
        <f aca="false">IF($H3374=FALSE(),"",COUNTIF($H$6:$H3374,TRUE()))</f>
        <v/>
      </c>
      <c r="J3374" s="5" t="str">
        <f aca="false">IF($I3374="","","R"&amp;$I3374)</f>
        <v/>
      </c>
    </row>
    <row r="3375" customFormat="false" ht="15" hidden="false" customHeight="true" outlineLevel="0" collapsed="false">
      <c r="H3375" s="14" t="b">
        <f aca="false">IF(중복검사!$A3373="",FALSE(),중복검사!$J3373="유지")</f>
        <v>0</v>
      </c>
      <c r="I3375" s="5" t="str">
        <f aca="false">IF($H3375=FALSE(),"",COUNTIF($H$6:$H3375,TRUE()))</f>
        <v/>
      </c>
      <c r="J3375" s="5" t="str">
        <f aca="false">IF($I3375="","","R"&amp;$I3375)</f>
        <v/>
      </c>
    </row>
    <row r="3376" customFormat="false" ht="15" hidden="false" customHeight="true" outlineLevel="0" collapsed="false">
      <c r="H3376" s="14" t="b">
        <f aca="false">IF(중복검사!$A3374="",FALSE(),중복검사!$J3374="유지")</f>
        <v>0</v>
      </c>
      <c r="I3376" s="5" t="str">
        <f aca="false">IF($H3376=FALSE(),"",COUNTIF($H$6:$H3376,TRUE()))</f>
        <v/>
      </c>
      <c r="J3376" s="5" t="str">
        <f aca="false">IF($I3376="","","R"&amp;$I3376)</f>
        <v/>
      </c>
    </row>
    <row r="3377" customFormat="false" ht="15" hidden="false" customHeight="true" outlineLevel="0" collapsed="false">
      <c r="H3377" s="14" t="b">
        <f aca="false">IF(중복검사!$A3375="",FALSE(),중복검사!$J3375="유지")</f>
        <v>0</v>
      </c>
      <c r="I3377" s="5" t="str">
        <f aca="false">IF($H3377=FALSE(),"",COUNTIF($H$6:$H3377,TRUE()))</f>
        <v/>
      </c>
      <c r="J3377" s="5" t="str">
        <f aca="false">IF($I3377="","","R"&amp;$I3377)</f>
        <v/>
      </c>
    </row>
    <row r="3378" customFormat="false" ht="15" hidden="false" customHeight="true" outlineLevel="0" collapsed="false">
      <c r="H3378" s="14" t="b">
        <f aca="false">IF(중복검사!$A3376="",FALSE(),중복검사!$J3376="유지")</f>
        <v>0</v>
      </c>
      <c r="I3378" s="5" t="str">
        <f aca="false">IF($H3378=FALSE(),"",COUNTIF($H$6:$H3378,TRUE()))</f>
        <v/>
      </c>
      <c r="J3378" s="5" t="str">
        <f aca="false">IF($I3378="","","R"&amp;$I3378)</f>
        <v/>
      </c>
    </row>
    <row r="3379" customFormat="false" ht="15" hidden="false" customHeight="true" outlineLevel="0" collapsed="false">
      <c r="H3379" s="14" t="b">
        <f aca="false">IF(중복검사!$A3377="",FALSE(),중복검사!$J3377="유지")</f>
        <v>0</v>
      </c>
      <c r="I3379" s="5" t="str">
        <f aca="false">IF($H3379=FALSE(),"",COUNTIF($H$6:$H3379,TRUE()))</f>
        <v/>
      </c>
      <c r="J3379" s="5" t="str">
        <f aca="false">IF($I3379="","","R"&amp;$I3379)</f>
        <v/>
      </c>
    </row>
    <row r="3380" customFormat="false" ht="15" hidden="false" customHeight="true" outlineLevel="0" collapsed="false">
      <c r="H3380" s="14" t="b">
        <f aca="false">IF(중복검사!$A3378="",FALSE(),중복검사!$J3378="유지")</f>
        <v>0</v>
      </c>
      <c r="I3380" s="5" t="str">
        <f aca="false">IF($H3380=FALSE(),"",COUNTIF($H$6:$H3380,TRUE()))</f>
        <v/>
      </c>
      <c r="J3380" s="5" t="str">
        <f aca="false">IF($I3380="","","R"&amp;$I3380)</f>
        <v/>
      </c>
    </row>
    <row r="3381" customFormat="false" ht="15" hidden="false" customHeight="true" outlineLevel="0" collapsed="false">
      <c r="H3381" s="14" t="b">
        <f aca="false">IF(중복검사!$A3379="",FALSE(),중복검사!$J3379="유지")</f>
        <v>0</v>
      </c>
      <c r="I3381" s="5" t="str">
        <f aca="false">IF($H3381=FALSE(),"",COUNTIF($H$6:$H3381,TRUE()))</f>
        <v/>
      </c>
      <c r="J3381" s="5" t="str">
        <f aca="false">IF($I3381="","","R"&amp;$I3381)</f>
        <v/>
      </c>
    </row>
    <row r="3382" customFormat="false" ht="15" hidden="false" customHeight="true" outlineLevel="0" collapsed="false">
      <c r="H3382" s="14" t="b">
        <f aca="false">IF(중복검사!$A3380="",FALSE(),중복검사!$J3380="유지")</f>
        <v>0</v>
      </c>
      <c r="I3382" s="5" t="str">
        <f aca="false">IF($H3382=FALSE(),"",COUNTIF($H$6:$H3382,TRUE()))</f>
        <v/>
      </c>
      <c r="J3382" s="5" t="str">
        <f aca="false">IF($I3382="","","R"&amp;$I3382)</f>
        <v/>
      </c>
    </row>
    <row r="3383" customFormat="false" ht="15" hidden="false" customHeight="true" outlineLevel="0" collapsed="false">
      <c r="H3383" s="14" t="b">
        <f aca="false">IF(중복검사!$A3381="",FALSE(),중복검사!$J3381="유지")</f>
        <v>0</v>
      </c>
      <c r="I3383" s="5" t="str">
        <f aca="false">IF($H3383=FALSE(),"",COUNTIF($H$6:$H3383,TRUE()))</f>
        <v/>
      </c>
      <c r="J3383" s="5" t="str">
        <f aca="false">IF($I3383="","","R"&amp;$I3383)</f>
        <v/>
      </c>
    </row>
    <row r="3384" customFormat="false" ht="15" hidden="false" customHeight="true" outlineLevel="0" collapsed="false">
      <c r="H3384" s="14" t="b">
        <f aca="false">IF(중복검사!$A3382="",FALSE(),중복검사!$J3382="유지")</f>
        <v>0</v>
      </c>
      <c r="I3384" s="5" t="str">
        <f aca="false">IF($H3384=FALSE(),"",COUNTIF($H$6:$H3384,TRUE()))</f>
        <v/>
      </c>
      <c r="J3384" s="5" t="str">
        <f aca="false">IF($I3384="","","R"&amp;$I3384)</f>
        <v/>
      </c>
    </row>
    <row r="3385" customFormat="false" ht="15" hidden="false" customHeight="true" outlineLevel="0" collapsed="false">
      <c r="H3385" s="14" t="b">
        <f aca="false">IF(중복검사!$A3383="",FALSE(),중복검사!$J3383="유지")</f>
        <v>0</v>
      </c>
      <c r="I3385" s="5" t="str">
        <f aca="false">IF($H3385=FALSE(),"",COUNTIF($H$6:$H3385,TRUE()))</f>
        <v/>
      </c>
      <c r="J3385" s="5" t="str">
        <f aca="false">IF($I3385="","","R"&amp;$I3385)</f>
        <v/>
      </c>
    </row>
    <row r="3386" customFormat="false" ht="15" hidden="false" customHeight="true" outlineLevel="0" collapsed="false">
      <c r="H3386" s="14" t="b">
        <f aca="false">IF(중복검사!$A3384="",FALSE(),중복검사!$J3384="유지")</f>
        <v>0</v>
      </c>
      <c r="I3386" s="5" t="str">
        <f aca="false">IF($H3386=FALSE(),"",COUNTIF($H$6:$H3386,TRUE()))</f>
        <v/>
      </c>
      <c r="J3386" s="5" t="str">
        <f aca="false">IF($I3386="","","R"&amp;$I3386)</f>
        <v/>
      </c>
    </row>
    <row r="3387" customFormat="false" ht="15" hidden="false" customHeight="true" outlineLevel="0" collapsed="false">
      <c r="H3387" s="14" t="b">
        <f aca="false">IF(중복검사!$A3385="",FALSE(),중복검사!$J3385="유지")</f>
        <v>0</v>
      </c>
      <c r="I3387" s="5" t="str">
        <f aca="false">IF($H3387=FALSE(),"",COUNTIF($H$6:$H3387,TRUE()))</f>
        <v/>
      </c>
      <c r="J3387" s="5" t="str">
        <f aca="false">IF($I3387="","","R"&amp;$I3387)</f>
        <v/>
      </c>
    </row>
    <row r="3388" customFormat="false" ht="15" hidden="false" customHeight="true" outlineLevel="0" collapsed="false">
      <c r="H3388" s="14" t="b">
        <f aca="false">IF(중복검사!$A3386="",FALSE(),중복검사!$J3386="유지")</f>
        <v>0</v>
      </c>
      <c r="I3388" s="5" t="str">
        <f aca="false">IF($H3388=FALSE(),"",COUNTIF($H$6:$H3388,TRUE()))</f>
        <v/>
      </c>
      <c r="J3388" s="5" t="str">
        <f aca="false">IF($I3388="","","R"&amp;$I3388)</f>
        <v/>
      </c>
    </row>
    <row r="3389" customFormat="false" ht="15" hidden="false" customHeight="true" outlineLevel="0" collapsed="false">
      <c r="H3389" s="14" t="b">
        <f aca="false">IF(중복검사!$A3387="",FALSE(),중복검사!$J3387="유지")</f>
        <v>0</v>
      </c>
      <c r="I3389" s="5" t="str">
        <f aca="false">IF($H3389=FALSE(),"",COUNTIF($H$6:$H3389,TRUE()))</f>
        <v/>
      </c>
      <c r="J3389" s="5" t="str">
        <f aca="false">IF($I3389="","","R"&amp;$I3389)</f>
        <v/>
      </c>
    </row>
    <row r="3390" customFormat="false" ht="15" hidden="false" customHeight="true" outlineLevel="0" collapsed="false">
      <c r="H3390" s="14" t="b">
        <f aca="false">IF(중복검사!$A3388="",FALSE(),중복검사!$J3388="유지")</f>
        <v>0</v>
      </c>
      <c r="I3390" s="5" t="str">
        <f aca="false">IF($H3390=FALSE(),"",COUNTIF($H$6:$H3390,TRUE()))</f>
        <v/>
      </c>
      <c r="J3390" s="5" t="str">
        <f aca="false">IF($I3390="","","R"&amp;$I3390)</f>
        <v/>
      </c>
    </row>
    <row r="3391" customFormat="false" ht="15" hidden="false" customHeight="true" outlineLevel="0" collapsed="false">
      <c r="H3391" s="14" t="b">
        <f aca="false">IF(중복검사!$A3389="",FALSE(),중복검사!$J3389="유지")</f>
        <v>0</v>
      </c>
      <c r="I3391" s="5" t="str">
        <f aca="false">IF($H3391=FALSE(),"",COUNTIF($H$6:$H3391,TRUE()))</f>
        <v/>
      </c>
      <c r="J3391" s="5" t="str">
        <f aca="false">IF($I3391="","","R"&amp;$I3391)</f>
        <v/>
      </c>
    </row>
    <row r="3392" customFormat="false" ht="15" hidden="false" customHeight="true" outlineLevel="0" collapsed="false">
      <c r="H3392" s="14" t="b">
        <f aca="false">IF(중복검사!$A3390="",FALSE(),중복검사!$J3390="유지")</f>
        <v>0</v>
      </c>
      <c r="I3392" s="5" t="str">
        <f aca="false">IF($H3392=FALSE(),"",COUNTIF($H$6:$H3392,TRUE()))</f>
        <v/>
      </c>
      <c r="J3392" s="5" t="str">
        <f aca="false">IF($I3392="","","R"&amp;$I3392)</f>
        <v/>
      </c>
    </row>
    <row r="3393" customFormat="false" ht="15" hidden="false" customHeight="true" outlineLevel="0" collapsed="false">
      <c r="H3393" s="14" t="b">
        <f aca="false">IF(중복검사!$A3391="",FALSE(),중복검사!$J3391="유지")</f>
        <v>0</v>
      </c>
      <c r="I3393" s="5" t="str">
        <f aca="false">IF($H3393=FALSE(),"",COUNTIF($H$6:$H3393,TRUE()))</f>
        <v/>
      </c>
      <c r="J3393" s="5" t="str">
        <f aca="false">IF($I3393="","","R"&amp;$I3393)</f>
        <v/>
      </c>
    </row>
    <row r="3394" customFormat="false" ht="15" hidden="false" customHeight="true" outlineLevel="0" collapsed="false">
      <c r="H3394" s="14" t="b">
        <f aca="false">IF(중복검사!$A3392="",FALSE(),중복검사!$J3392="유지")</f>
        <v>0</v>
      </c>
      <c r="I3394" s="5" t="str">
        <f aca="false">IF($H3394=FALSE(),"",COUNTIF($H$6:$H3394,TRUE()))</f>
        <v/>
      </c>
      <c r="J3394" s="5" t="str">
        <f aca="false">IF($I3394="","","R"&amp;$I3394)</f>
        <v/>
      </c>
    </row>
    <row r="3395" customFormat="false" ht="15" hidden="false" customHeight="true" outlineLevel="0" collapsed="false">
      <c r="H3395" s="14" t="b">
        <f aca="false">IF(중복검사!$A3393="",FALSE(),중복검사!$J3393="유지")</f>
        <v>0</v>
      </c>
      <c r="I3395" s="5" t="str">
        <f aca="false">IF($H3395=FALSE(),"",COUNTIF($H$6:$H3395,TRUE()))</f>
        <v/>
      </c>
      <c r="J3395" s="5" t="str">
        <f aca="false">IF($I3395="","","R"&amp;$I3395)</f>
        <v/>
      </c>
    </row>
    <row r="3396" customFormat="false" ht="15" hidden="false" customHeight="true" outlineLevel="0" collapsed="false">
      <c r="H3396" s="14" t="b">
        <f aca="false">IF(중복검사!$A3394="",FALSE(),중복검사!$J3394="유지")</f>
        <v>0</v>
      </c>
      <c r="I3396" s="5" t="str">
        <f aca="false">IF($H3396=FALSE(),"",COUNTIF($H$6:$H3396,TRUE()))</f>
        <v/>
      </c>
      <c r="J3396" s="5" t="str">
        <f aca="false">IF($I3396="","","R"&amp;$I3396)</f>
        <v/>
      </c>
    </row>
    <row r="3397" customFormat="false" ht="15" hidden="false" customHeight="true" outlineLevel="0" collapsed="false">
      <c r="H3397" s="14" t="b">
        <f aca="false">IF(중복검사!$A3395="",FALSE(),중복검사!$J3395="유지")</f>
        <v>0</v>
      </c>
      <c r="I3397" s="5" t="str">
        <f aca="false">IF($H3397=FALSE(),"",COUNTIF($H$6:$H3397,TRUE()))</f>
        <v/>
      </c>
      <c r="J3397" s="5" t="str">
        <f aca="false">IF($I3397="","","R"&amp;$I3397)</f>
        <v/>
      </c>
    </row>
    <row r="3398" customFormat="false" ht="15" hidden="false" customHeight="true" outlineLevel="0" collapsed="false">
      <c r="H3398" s="14" t="b">
        <f aca="false">IF(중복검사!$A3396="",FALSE(),중복검사!$J3396="유지")</f>
        <v>0</v>
      </c>
      <c r="I3398" s="5" t="str">
        <f aca="false">IF($H3398=FALSE(),"",COUNTIF($H$6:$H3398,TRUE()))</f>
        <v/>
      </c>
      <c r="J3398" s="5" t="str">
        <f aca="false">IF($I3398="","","R"&amp;$I3398)</f>
        <v/>
      </c>
    </row>
    <row r="3399" customFormat="false" ht="15" hidden="false" customHeight="true" outlineLevel="0" collapsed="false">
      <c r="H3399" s="14" t="b">
        <f aca="false">IF(중복검사!$A3397="",FALSE(),중복검사!$J3397="유지")</f>
        <v>0</v>
      </c>
      <c r="I3399" s="5" t="str">
        <f aca="false">IF($H3399=FALSE(),"",COUNTIF($H$6:$H3399,TRUE()))</f>
        <v/>
      </c>
      <c r="J3399" s="5" t="str">
        <f aca="false">IF($I3399="","","R"&amp;$I3399)</f>
        <v/>
      </c>
    </row>
    <row r="3400" customFormat="false" ht="15" hidden="false" customHeight="true" outlineLevel="0" collapsed="false">
      <c r="H3400" s="14" t="b">
        <f aca="false">IF(중복검사!$A3398="",FALSE(),중복검사!$J3398="유지")</f>
        <v>0</v>
      </c>
      <c r="I3400" s="5" t="str">
        <f aca="false">IF($H3400=FALSE(),"",COUNTIF($H$6:$H3400,TRUE()))</f>
        <v/>
      </c>
      <c r="J3400" s="5" t="str">
        <f aca="false">IF($I3400="","","R"&amp;$I3400)</f>
        <v/>
      </c>
    </row>
    <row r="3401" customFormat="false" ht="15" hidden="false" customHeight="true" outlineLevel="0" collapsed="false">
      <c r="H3401" s="14" t="b">
        <f aca="false">IF(중복검사!$A3399="",FALSE(),중복검사!$J3399="유지")</f>
        <v>0</v>
      </c>
      <c r="I3401" s="5" t="str">
        <f aca="false">IF($H3401=FALSE(),"",COUNTIF($H$6:$H3401,TRUE()))</f>
        <v/>
      </c>
      <c r="J3401" s="5" t="str">
        <f aca="false">IF($I3401="","","R"&amp;$I3401)</f>
        <v/>
      </c>
    </row>
    <row r="3402" customFormat="false" ht="15" hidden="false" customHeight="true" outlineLevel="0" collapsed="false">
      <c r="H3402" s="14" t="b">
        <f aca="false">IF(중복검사!$A3400="",FALSE(),중복검사!$J3400="유지")</f>
        <v>0</v>
      </c>
      <c r="I3402" s="5" t="str">
        <f aca="false">IF($H3402=FALSE(),"",COUNTIF($H$6:$H3402,TRUE()))</f>
        <v/>
      </c>
      <c r="J3402" s="5" t="str">
        <f aca="false">IF($I3402="","","R"&amp;$I3402)</f>
        <v/>
      </c>
    </row>
    <row r="3403" customFormat="false" ht="15" hidden="false" customHeight="true" outlineLevel="0" collapsed="false">
      <c r="H3403" s="14" t="b">
        <f aca="false">IF(중복검사!$A3401="",FALSE(),중복검사!$J3401="유지")</f>
        <v>0</v>
      </c>
      <c r="I3403" s="5" t="str">
        <f aca="false">IF($H3403=FALSE(),"",COUNTIF($H$6:$H3403,TRUE()))</f>
        <v/>
      </c>
      <c r="J3403" s="5" t="str">
        <f aca="false">IF($I3403="","","R"&amp;$I3403)</f>
        <v/>
      </c>
    </row>
    <row r="3404" customFormat="false" ht="15" hidden="false" customHeight="true" outlineLevel="0" collapsed="false">
      <c r="H3404" s="14" t="b">
        <f aca="false">IF(중복검사!$A3402="",FALSE(),중복검사!$J3402="유지")</f>
        <v>0</v>
      </c>
      <c r="I3404" s="5" t="str">
        <f aca="false">IF($H3404=FALSE(),"",COUNTIF($H$6:$H3404,TRUE()))</f>
        <v/>
      </c>
      <c r="J3404" s="5" t="str">
        <f aca="false">IF($I3404="","","R"&amp;$I3404)</f>
        <v/>
      </c>
    </row>
    <row r="3405" customFormat="false" ht="15" hidden="false" customHeight="true" outlineLevel="0" collapsed="false">
      <c r="H3405" s="14" t="b">
        <f aca="false">IF(중복검사!$A3403="",FALSE(),중복검사!$J3403="유지")</f>
        <v>0</v>
      </c>
      <c r="I3405" s="5" t="str">
        <f aca="false">IF($H3405=FALSE(),"",COUNTIF($H$6:$H3405,TRUE()))</f>
        <v/>
      </c>
      <c r="J3405" s="5" t="str">
        <f aca="false">IF($I3405="","","R"&amp;$I3405)</f>
        <v/>
      </c>
    </row>
    <row r="3406" customFormat="false" ht="15" hidden="false" customHeight="true" outlineLevel="0" collapsed="false">
      <c r="H3406" s="14" t="b">
        <f aca="false">IF(중복검사!$A3404="",FALSE(),중복검사!$J3404="유지")</f>
        <v>0</v>
      </c>
      <c r="I3406" s="5" t="str">
        <f aca="false">IF($H3406=FALSE(),"",COUNTIF($H$6:$H3406,TRUE()))</f>
        <v/>
      </c>
      <c r="J3406" s="5" t="str">
        <f aca="false">IF($I3406="","","R"&amp;$I3406)</f>
        <v/>
      </c>
    </row>
    <row r="3407" customFormat="false" ht="15" hidden="false" customHeight="true" outlineLevel="0" collapsed="false">
      <c r="H3407" s="14" t="b">
        <f aca="false">IF(중복검사!$A3405="",FALSE(),중복검사!$J3405="유지")</f>
        <v>0</v>
      </c>
      <c r="I3407" s="5" t="str">
        <f aca="false">IF($H3407=FALSE(),"",COUNTIF($H$6:$H3407,TRUE()))</f>
        <v/>
      </c>
      <c r="J3407" s="5" t="str">
        <f aca="false">IF($I3407="","","R"&amp;$I3407)</f>
        <v/>
      </c>
    </row>
    <row r="3408" customFormat="false" ht="15" hidden="false" customHeight="true" outlineLevel="0" collapsed="false">
      <c r="H3408" s="14" t="b">
        <f aca="false">IF(중복검사!$A3406="",FALSE(),중복검사!$J3406="유지")</f>
        <v>0</v>
      </c>
      <c r="I3408" s="5" t="str">
        <f aca="false">IF($H3408=FALSE(),"",COUNTIF($H$6:$H3408,TRUE()))</f>
        <v/>
      </c>
      <c r="J3408" s="5" t="str">
        <f aca="false">IF($I3408="","","R"&amp;$I3408)</f>
        <v/>
      </c>
    </row>
    <row r="3409" customFormat="false" ht="15" hidden="false" customHeight="true" outlineLevel="0" collapsed="false">
      <c r="H3409" s="14" t="b">
        <f aca="false">IF(중복검사!$A3407="",FALSE(),중복검사!$J3407="유지")</f>
        <v>0</v>
      </c>
      <c r="I3409" s="5" t="str">
        <f aca="false">IF($H3409=FALSE(),"",COUNTIF($H$6:$H3409,TRUE()))</f>
        <v/>
      </c>
      <c r="J3409" s="5" t="str">
        <f aca="false">IF($I3409="","","R"&amp;$I3409)</f>
        <v/>
      </c>
    </row>
    <row r="3410" customFormat="false" ht="15" hidden="false" customHeight="true" outlineLevel="0" collapsed="false">
      <c r="H3410" s="14" t="b">
        <f aca="false">IF(중복검사!$A3408="",FALSE(),중복검사!$J3408="유지")</f>
        <v>0</v>
      </c>
      <c r="I3410" s="5" t="str">
        <f aca="false">IF($H3410=FALSE(),"",COUNTIF($H$6:$H3410,TRUE()))</f>
        <v/>
      </c>
      <c r="J3410" s="5" t="str">
        <f aca="false">IF($I3410="","","R"&amp;$I3410)</f>
        <v/>
      </c>
    </row>
    <row r="3411" customFormat="false" ht="15" hidden="false" customHeight="true" outlineLevel="0" collapsed="false">
      <c r="H3411" s="14" t="b">
        <f aca="false">IF(중복검사!$A3409="",FALSE(),중복검사!$J3409="유지")</f>
        <v>0</v>
      </c>
      <c r="I3411" s="5" t="str">
        <f aca="false">IF($H3411=FALSE(),"",COUNTIF($H$6:$H3411,TRUE()))</f>
        <v/>
      </c>
      <c r="J3411" s="5" t="str">
        <f aca="false">IF($I3411="","","R"&amp;$I3411)</f>
        <v/>
      </c>
    </row>
    <row r="3412" customFormat="false" ht="15" hidden="false" customHeight="true" outlineLevel="0" collapsed="false">
      <c r="H3412" s="14" t="b">
        <f aca="false">IF(중복검사!$A3410="",FALSE(),중복검사!$J3410="유지")</f>
        <v>0</v>
      </c>
      <c r="I3412" s="5" t="str">
        <f aca="false">IF($H3412=FALSE(),"",COUNTIF($H$6:$H3412,TRUE()))</f>
        <v/>
      </c>
      <c r="J3412" s="5" t="str">
        <f aca="false">IF($I3412="","","R"&amp;$I3412)</f>
        <v/>
      </c>
    </row>
    <row r="3413" customFormat="false" ht="15" hidden="false" customHeight="true" outlineLevel="0" collapsed="false">
      <c r="H3413" s="14" t="b">
        <f aca="false">IF(중복검사!$A3411="",FALSE(),중복검사!$J3411="유지")</f>
        <v>0</v>
      </c>
      <c r="I3413" s="5" t="str">
        <f aca="false">IF($H3413=FALSE(),"",COUNTIF($H$6:$H3413,TRUE()))</f>
        <v/>
      </c>
      <c r="J3413" s="5" t="str">
        <f aca="false">IF($I3413="","","R"&amp;$I3413)</f>
        <v/>
      </c>
    </row>
    <row r="3414" customFormat="false" ht="15" hidden="false" customHeight="true" outlineLevel="0" collapsed="false">
      <c r="H3414" s="14" t="b">
        <f aca="false">IF(중복검사!$A3412="",FALSE(),중복검사!$J3412="유지")</f>
        <v>0</v>
      </c>
      <c r="I3414" s="5" t="str">
        <f aca="false">IF($H3414=FALSE(),"",COUNTIF($H$6:$H3414,TRUE()))</f>
        <v/>
      </c>
      <c r="J3414" s="5" t="str">
        <f aca="false">IF($I3414="","","R"&amp;$I3414)</f>
        <v/>
      </c>
    </row>
    <row r="3415" customFormat="false" ht="15" hidden="false" customHeight="true" outlineLevel="0" collapsed="false">
      <c r="H3415" s="14" t="b">
        <f aca="false">IF(중복검사!$A3413="",FALSE(),중복검사!$J3413="유지")</f>
        <v>0</v>
      </c>
      <c r="I3415" s="5" t="str">
        <f aca="false">IF($H3415=FALSE(),"",COUNTIF($H$6:$H3415,TRUE()))</f>
        <v/>
      </c>
      <c r="J3415" s="5" t="str">
        <f aca="false">IF($I3415="","","R"&amp;$I3415)</f>
        <v/>
      </c>
    </row>
    <row r="3416" customFormat="false" ht="15" hidden="false" customHeight="true" outlineLevel="0" collapsed="false">
      <c r="H3416" s="14" t="b">
        <f aca="false">IF(중복검사!$A3414="",FALSE(),중복검사!$J3414="유지")</f>
        <v>0</v>
      </c>
      <c r="I3416" s="5" t="str">
        <f aca="false">IF($H3416=FALSE(),"",COUNTIF($H$6:$H3416,TRUE()))</f>
        <v/>
      </c>
      <c r="J3416" s="5" t="str">
        <f aca="false">IF($I3416="","","R"&amp;$I3416)</f>
        <v/>
      </c>
    </row>
    <row r="3417" customFormat="false" ht="15" hidden="false" customHeight="true" outlineLevel="0" collapsed="false">
      <c r="H3417" s="14" t="b">
        <f aca="false">IF(중복검사!$A3415="",FALSE(),중복검사!$J3415="유지")</f>
        <v>0</v>
      </c>
      <c r="I3417" s="5" t="str">
        <f aca="false">IF($H3417=FALSE(),"",COUNTIF($H$6:$H3417,TRUE()))</f>
        <v/>
      </c>
      <c r="J3417" s="5" t="str">
        <f aca="false">IF($I3417="","","R"&amp;$I3417)</f>
        <v/>
      </c>
    </row>
    <row r="3418" customFormat="false" ht="15" hidden="false" customHeight="true" outlineLevel="0" collapsed="false">
      <c r="H3418" s="14" t="b">
        <f aca="false">IF(중복검사!$A3416="",FALSE(),중복검사!$J3416="유지")</f>
        <v>0</v>
      </c>
      <c r="I3418" s="5" t="str">
        <f aca="false">IF($H3418=FALSE(),"",COUNTIF($H$6:$H3418,TRUE()))</f>
        <v/>
      </c>
      <c r="J3418" s="5" t="str">
        <f aca="false">IF($I3418="","","R"&amp;$I3418)</f>
        <v/>
      </c>
    </row>
    <row r="3419" customFormat="false" ht="15" hidden="false" customHeight="true" outlineLevel="0" collapsed="false">
      <c r="H3419" s="14" t="b">
        <f aca="false">IF(중복검사!$A3417="",FALSE(),중복검사!$J3417="유지")</f>
        <v>0</v>
      </c>
      <c r="I3419" s="5" t="str">
        <f aca="false">IF($H3419=FALSE(),"",COUNTIF($H$6:$H3419,TRUE()))</f>
        <v/>
      </c>
      <c r="J3419" s="5" t="str">
        <f aca="false">IF($I3419="","","R"&amp;$I3419)</f>
        <v/>
      </c>
    </row>
    <row r="3420" customFormat="false" ht="15" hidden="false" customHeight="true" outlineLevel="0" collapsed="false">
      <c r="H3420" s="14" t="b">
        <f aca="false">IF(중복검사!$A3418="",FALSE(),중복검사!$J3418="유지")</f>
        <v>0</v>
      </c>
      <c r="I3420" s="5" t="str">
        <f aca="false">IF($H3420=FALSE(),"",COUNTIF($H$6:$H3420,TRUE()))</f>
        <v/>
      </c>
      <c r="J3420" s="5" t="str">
        <f aca="false">IF($I3420="","","R"&amp;$I3420)</f>
        <v/>
      </c>
    </row>
    <row r="3421" customFormat="false" ht="15" hidden="false" customHeight="true" outlineLevel="0" collapsed="false">
      <c r="H3421" s="14" t="b">
        <f aca="false">IF(중복검사!$A3419="",FALSE(),중복검사!$J3419="유지")</f>
        <v>0</v>
      </c>
      <c r="I3421" s="5" t="str">
        <f aca="false">IF($H3421=FALSE(),"",COUNTIF($H$6:$H3421,TRUE()))</f>
        <v/>
      </c>
      <c r="J3421" s="5" t="str">
        <f aca="false">IF($I3421="","","R"&amp;$I3421)</f>
        <v/>
      </c>
    </row>
    <row r="3422" customFormat="false" ht="15" hidden="false" customHeight="true" outlineLevel="0" collapsed="false">
      <c r="H3422" s="14" t="b">
        <f aca="false">IF(중복검사!$A3420="",FALSE(),중복검사!$J3420="유지")</f>
        <v>0</v>
      </c>
      <c r="I3422" s="5" t="str">
        <f aca="false">IF($H3422=FALSE(),"",COUNTIF($H$6:$H3422,TRUE()))</f>
        <v/>
      </c>
      <c r="J3422" s="5" t="str">
        <f aca="false">IF($I3422="","","R"&amp;$I3422)</f>
        <v/>
      </c>
    </row>
    <row r="3423" customFormat="false" ht="15" hidden="false" customHeight="true" outlineLevel="0" collapsed="false">
      <c r="H3423" s="14" t="b">
        <f aca="false">IF(중복검사!$A3421="",FALSE(),중복검사!$J3421="유지")</f>
        <v>0</v>
      </c>
      <c r="I3423" s="5" t="str">
        <f aca="false">IF($H3423=FALSE(),"",COUNTIF($H$6:$H3423,TRUE()))</f>
        <v/>
      </c>
      <c r="J3423" s="5" t="str">
        <f aca="false">IF($I3423="","","R"&amp;$I3423)</f>
        <v/>
      </c>
    </row>
    <row r="3424" customFormat="false" ht="15" hidden="false" customHeight="true" outlineLevel="0" collapsed="false">
      <c r="H3424" s="14" t="b">
        <f aca="false">IF(중복검사!$A3422="",FALSE(),중복검사!$J3422="유지")</f>
        <v>0</v>
      </c>
      <c r="I3424" s="5" t="str">
        <f aca="false">IF($H3424=FALSE(),"",COUNTIF($H$6:$H3424,TRUE()))</f>
        <v/>
      </c>
      <c r="J3424" s="5" t="str">
        <f aca="false">IF($I3424="","","R"&amp;$I3424)</f>
        <v/>
      </c>
    </row>
    <row r="3425" customFormat="false" ht="15" hidden="false" customHeight="true" outlineLevel="0" collapsed="false">
      <c r="H3425" s="14" t="b">
        <f aca="false">IF(중복검사!$A3423="",FALSE(),중복검사!$J3423="유지")</f>
        <v>0</v>
      </c>
      <c r="I3425" s="5" t="str">
        <f aca="false">IF($H3425=FALSE(),"",COUNTIF($H$6:$H3425,TRUE()))</f>
        <v/>
      </c>
      <c r="J3425" s="5" t="str">
        <f aca="false">IF($I3425="","","R"&amp;$I3425)</f>
        <v/>
      </c>
    </row>
    <row r="3426" customFormat="false" ht="15" hidden="false" customHeight="true" outlineLevel="0" collapsed="false">
      <c r="H3426" s="14" t="b">
        <f aca="false">IF(중복검사!$A3424="",FALSE(),중복검사!$J3424="유지")</f>
        <v>0</v>
      </c>
      <c r="I3426" s="5" t="str">
        <f aca="false">IF($H3426=FALSE(),"",COUNTIF($H$6:$H3426,TRUE()))</f>
        <v/>
      </c>
      <c r="J3426" s="5" t="str">
        <f aca="false">IF($I3426="","","R"&amp;$I3426)</f>
        <v/>
      </c>
    </row>
    <row r="3427" customFormat="false" ht="15" hidden="false" customHeight="true" outlineLevel="0" collapsed="false">
      <c r="H3427" s="14" t="b">
        <f aca="false">IF(중복검사!$A3425="",FALSE(),중복검사!$J3425="유지")</f>
        <v>0</v>
      </c>
      <c r="I3427" s="5" t="str">
        <f aca="false">IF($H3427=FALSE(),"",COUNTIF($H$6:$H3427,TRUE()))</f>
        <v/>
      </c>
      <c r="J3427" s="5" t="str">
        <f aca="false">IF($I3427="","","R"&amp;$I3427)</f>
        <v/>
      </c>
    </row>
    <row r="3428" customFormat="false" ht="15" hidden="false" customHeight="true" outlineLevel="0" collapsed="false">
      <c r="H3428" s="14" t="b">
        <f aca="false">IF(중복검사!$A3426="",FALSE(),중복검사!$J3426="유지")</f>
        <v>0</v>
      </c>
      <c r="I3428" s="5" t="str">
        <f aca="false">IF($H3428=FALSE(),"",COUNTIF($H$6:$H3428,TRUE()))</f>
        <v/>
      </c>
      <c r="J3428" s="5" t="str">
        <f aca="false">IF($I3428="","","R"&amp;$I3428)</f>
        <v/>
      </c>
    </row>
    <row r="3429" customFormat="false" ht="15" hidden="false" customHeight="true" outlineLevel="0" collapsed="false">
      <c r="H3429" s="14" t="b">
        <f aca="false">IF(중복검사!$A3427="",FALSE(),중복검사!$J3427="유지")</f>
        <v>0</v>
      </c>
      <c r="I3429" s="5" t="str">
        <f aca="false">IF($H3429=FALSE(),"",COUNTIF($H$6:$H3429,TRUE()))</f>
        <v/>
      </c>
      <c r="J3429" s="5" t="str">
        <f aca="false">IF($I3429="","","R"&amp;$I3429)</f>
        <v/>
      </c>
    </row>
    <row r="3430" customFormat="false" ht="15" hidden="false" customHeight="true" outlineLevel="0" collapsed="false">
      <c r="H3430" s="14" t="b">
        <f aca="false">IF(중복검사!$A3428="",FALSE(),중복검사!$J3428="유지")</f>
        <v>0</v>
      </c>
      <c r="I3430" s="5" t="str">
        <f aca="false">IF($H3430=FALSE(),"",COUNTIF($H$6:$H3430,TRUE()))</f>
        <v/>
      </c>
      <c r="J3430" s="5" t="str">
        <f aca="false">IF($I3430="","","R"&amp;$I3430)</f>
        <v/>
      </c>
    </row>
    <row r="3431" customFormat="false" ht="15" hidden="false" customHeight="true" outlineLevel="0" collapsed="false">
      <c r="H3431" s="14" t="b">
        <f aca="false">IF(중복검사!$A3429="",FALSE(),중복검사!$J3429="유지")</f>
        <v>0</v>
      </c>
      <c r="I3431" s="5" t="str">
        <f aca="false">IF($H3431=FALSE(),"",COUNTIF($H$6:$H3431,TRUE()))</f>
        <v/>
      </c>
      <c r="J3431" s="5" t="str">
        <f aca="false">IF($I3431="","","R"&amp;$I3431)</f>
        <v/>
      </c>
    </row>
    <row r="3432" customFormat="false" ht="15" hidden="false" customHeight="true" outlineLevel="0" collapsed="false">
      <c r="H3432" s="14" t="b">
        <f aca="false">IF(중복검사!$A3430="",FALSE(),중복검사!$J3430="유지")</f>
        <v>0</v>
      </c>
      <c r="I3432" s="5" t="str">
        <f aca="false">IF($H3432=FALSE(),"",COUNTIF($H$6:$H3432,TRUE()))</f>
        <v/>
      </c>
      <c r="J3432" s="5" t="str">
        <f aca="false">IF($I3432="","","R"&amp;$I3432)</f>
        <v/>
      </c>
    </row>
    <row r="3433" customFormat="false" ht="15" hidden="false" customHeight="true" outlineLevel="0" collapsed="false">
      <c r="H3433" s="14" t="b">
        <f aca="false">IF(중복검사!$A3431="",FALSE(),중복검사!$J3431="유지")</f>
        <v>0</v>
      </c>
      <c r="I3433" s="5" t="str">
        <f aca="false">IF($H3433=FALSE(),"",COUNTIF($H$6:$H3433,TRUE()))</f>
        <v/>
      </c>
      <c r="J3433" s="5" t="str">
        <f aca="false">IF($I3433="","","R"&amp;$I3433)</f>
        <v/>
      </c>
    </row>
    <row r="3434" customFormat="false" ht="15" hidden="false" customHeight="true" outlineLevel="0" collapsed="false">
      <c r="H3434" s="14" t="b">
        <f aca="false">IF(중복검사!$A3432="",FALSE(),중복검사!$J3432="유지")</f>
        <v>0</v>
      </c>
      <c r="I3434" s="5" t="str">
        <f aca="false">IF($H3434=FALSE(),"",COUNTIF($H$6:$H3434,TRUE()))</f>
        <v/>
      </c>
      <c r="J3434" s="5" t="str">
        <f aca="false">IF($I3434="","","R"&amp;$I3434)</f>
        <v/>
      </c>
    </row>
    <row r="3435" customFormat="false" ht="15" hidden="false" customHeight="true" outlineLevel="0" collapsed="false">
      <c r="H3435" s="14" t="b">
        <f aca="false">IF(중복검사!$A3433="",FALSE(),중복검사!$J3433="유지")</f>
        <v>0</v>
      </c>
      <c r="I3435" s="5" t="str">
        <f aca="false">IF($H3435=FALSE(),"",COUNTIF($H$6:$H3435,TRUE()))</f>
        <v/>
      </c>
      <c r="J3435" s="5" t="str">
        <f aca="false">IF($I3435="","","R"&amp;$I3435)</f>
        <v/>
      </c>
    </row>
    <row r="3436" customFormat="false" ht="15" hidden="false" customHeight="true" outlineLevel="0" collapsed="false">
      <c r="H3436" s="14" t="b">
        <f aca="false">IF(중복검사!$A3434="",FALSE(),중복검사!$J3434="유지")</f>
        <v>0</v>
      </c>
      <c r="I3436" s="5" t="str">
        <f aca="false">IF($H3436=FALSE(),"",COUNTIF($H$6:$H3436,TRUE()))</f>
        <v/>
      </c>
      <c r="J3436" s="5" t="str">
        <f aca="false">IF($I3436="","","R"&amp;$I3436)</f>
        <v/>
      </c>
    </row>
    <row r="3437" customFormat="false" ht="15" hidden="false" customHeight="true" outlineLevel="0" collapsed="false">
      <c r="H3437" s="14" t="b">
        <f aca="false">IF(중복검사!$A3435="",FALSE(),중복검사!$J3435="유지")</f>
        <v>0</v>
      </c>
      <c r="I3437" s="5" t="str">
        <f aca="false">IF($H3437=FALSE(),"",COUNTIF($H$6:$H3437,TRUE()))</f>
        <v/>
      </c>
      <c r="J3437" s="5" t="str">
        <f aca="false">IF($I3437="","","R"&amp;$I3437)</f>
        <v/>
      </c>
    </row>
    <row r="3438" customFormat="false" ht="15" hidden="false" customHeight="true" outlineLevel="0" collapsed="false">
      <c r="H3438" s="14" t="b">
        <f aca="false">IF(중복검사!$A3436="",FALSE(),중복검사!$J3436="유지")</f>
        <v>0</v>
      </c>
      <c r="I3438" s="5" t="str">
        <f aca="false">IF($H3438=FALSE(),"",COUNTIF($H$6:$H3438,TRUE()))</f>
        <v/>
      </c>
      <c r="J3438" s="5" t="str">
        <f aca="false">IF($I3438="","","R"&amp;$I3438)</f>
        <v/>
      </c>
    </row>
    <row r="3439" customFormat="false" ht="15" hidden="false" customHeight="true" outlineLevel="0" collapsed="false">
      <c r="H3439" s="14" t="b">
        <f aca="false">IF(중복검사!$A3437="",FALSE(),중복검사!$J3437="유지")</f>
        <v>0</v>
      </c>
      <c r="I3439" s="5" t="str">
        <f aca="false">IF($H3439=FALSE(),"",COUNTIF($H$6:$H3439,TRUE()))</f>
        <v/>
      </c>
      <c r="J3439" s="5" t="str">
        <f aca="false">IF($I3439="","","R"&amp;$I3439)</f>
        <v/>
      </c>
    </row>
    <row r="3440" customFormat="false" ht="15" hidden="false" customHeight="true" outlineLevel="0" collapsed="false">
      <c r="H3440" s="14" t="b">
        <f aca="false">IF(중복검사!$A3438="",FALSE(),중복검사!$J3438="유지")</f>
        <v>0</v>
      </c>
      <c r="I3440" s="5" t="str">
        <f aca="false">IF($H3440=FALSE(),"",COUNTIF($H$6:$H3440,TRUE()))</f>
        <v/>
      </c>
      <c r="J3440" s="5" t="str">
        <f aca="false">IF($I3440="","","R"&amp;$I3440)</f>
        <v/>
      </c>
    </row>
    <row r="3441" customFormat="false" ht="15" hidden="false" customHeight="true" outlineLevel="0" collapsed="false">
      <c r="H3441" s="14" t="b">
        <f aca="false">IF(중복검사!$A3439="",FALSE(),중복검사!$J3439="유지")</f>
        <v>0</v>
      </c>
      <c r="I3441" s="5" t="str">
        <f aca="false">IF($H3441=FALSE(),"",COUNTIF($H$6:$H3441,TRUE()))</f>
        <v/>
      </c>
      <c r="J3441" s="5" t="str">
        <f aca="false">IF($I3441="","","R"&amp;$I3441)</f>
        <v/>
      </c>
    </row>
    <row r="3442" customFormat="false" ht="15" hidden="false" customHeight="true" outlineLevel="0" collapsed="false">
      <c r="H3442" s="14" t="b">
        <f aca="false">IF(중복검사!$A3440="",FALSE(),중복검사!$J3440="유지")</f>
        <v>0</v>
      </c>
      <c r="I3442" s="5" t="str">
        <f aca="false">IF($H3442=FALSE(),"",COUNTIF($H$6:$H3442,TRUE()))</f>
        <v/>
      </c>
      <c r="J3442" s="5" t="str">
        <f aca="false">IF($I3442="","","R"&amp;$I3442)</f>
        <v/>
      </c>
    </row>
    <row r="3443" customFormat="false" ht="15" hidden="false" customHeight="true" outlineLevel="0" collapsed="false">
      <c r="H3443" s="14" t="b">
        <f aca="false">IF(중복검사!$A3441="",FALSE(),중복검사!$J3441="유지")</f>
        <v>0</v>
      </c>
      <c r="I3443" s="5" t="str">
        <f aca="false">IF($H3443=FALSE(),"",COUNTIF($H$6:$H3443,TRUE()))</f>
        <v/>
      </c>
      <c r="J3443" s="5" t="str">
        <f aca="false">IF($I3443="","","R"&amp;$I3443)</f>
        <v/>
      </c>
    </row>
    <row r="3444" customFormat="false" ht="15" hidden="false" customHeight="true" outlineLevel="0" collapsed="false">
      <c r="H3444" s="14" t="b">
        <f aca="false">IF(중복검사!$A3442="",FALSE(),중복검사!$J3442="유지")</f>
        <v>0</v>
      </c>
      <c r="I3444" s="5" t="str">
        <f aca="false">IF($H3444=FALSE(),"",COUNTIF($H$6:$H3444,TRUE()))</f>
        <v/>
      </c>
      <c r="J3444" s="5" t="str">
        <f aca="false">IF($I3444="","","R"&amp;$I3444)</f>
        <v/>
      </c>
    </row>
    <row r="3445" customFormat="false" ht="15" hidden="false" customHeight="true" outlineLevel="0" collapsed="false">
      <c r="H3445" s="14" t="b">
        <f aca="false">IF(중복검사!$A3443="",FALSE(),중복검사!$J3443="유지")</f>
        <v>0</v>
      </c>
      <c r="I3445" s="5" t="str">
        <f aca="false">IF($H3445=FALSE(),"",COUNTIF($H$6:$H3445,TRUE()))</f>
        <v/>
      </c>
      <c r="J3445" s="5" t="str">
        <f aca="false">IF($I3445="","","R"&amp;$I3445)</f>
        <v/>
      </c>
    </row>
    <row r="3446" customFormat="false" ht="15" hidden="false" customHeight="true" outlineLevel="0" collapsed="false">
      <c r="H3446" s="14" t="b">
        <f aca="false">IF(중복검사!$A3444="",FALSE(),중복검사!$J3444="유지")</f>
        <v>0</v>
      </c>
      <c r="I3446" s="5" t="str">
        <f aca="false">IF($H3446=FALSE(),"",COUNTIF($H$6:$H3446,TRUE()))</f>
        <v/>
      </c>
      <c r="J3446" s="5" t="str">
        <f aca="false">IF($I3446="","","R"&amp;$I3446)</f>
        <v/>
      </c>
    </row>
    <row r="3447" customFormat="false" ht="15" hidden="false" customHeight="true" outlineLevel="0" collapsed="false">
      <c r="H3447" s="14" t="b">
        <f aca="false">IF(중복검사!$A3445="",FALSE(),중복검사!$J3445="유지")</f>
        <v>0</v>
      </c>
      <c r="I3447" s="5" t="str">
        <f aca="false">IF($H3447=FALSE(),"",COUNTIF($H$6:$H3447,TRUE()))</f>
        <v/>
      </c>
      <c r="J3447" s="5" t="str">
        <f aca="false">IF($I3447="","","R"&amp;$I3447)</f>
        <v/>
      </c>
    </row>
    <row r="3448" customFormat="false" ht="15" hidden="false" customHeight="true" outlineLevel="0" collapsed="false">
      <c r="H3448" s="14" t="b">
        <f aca="false">IF(중복검사!$A3446="",FALSE(),중복검사!$J3446="유지")</f>
        <v>0</v>
      </c>
      <c r="I3448" s="5" t="str">
        <f aca="false">IF($H3448=FALSE(),"",COUNTIF($H$6:$H3448,TRUE()))</f>
        <v/>
      </c>
      <c r="J3448" s="5" t="str">
        <f aca="false">IF($I3448="","","R"&amp;$I3448)</f>
        <v/>
      </c>
    </row>
    <row r="3449" customFormat="false" ht="15" hidden="false" customHeight="true" outlineLevel="0" collapsed="false">
      <c r="H3449" s="14" t="b">
        <f aca="false">IF(중복검사!$A3447="",FALSE(),중복검사!$J3447="유지")</f>
        <v>0</v>
      </c>
      <c r="I3449" s="5" t="str">
        <f aca="false">IF($H3449=FALSE(),"",COUNTIF($H$6:$H3449,TRUE()))</f>
        <v/>
      </c>
      <c r="J3449" s="5" t="str">
        <f aca="false">IF($I3449="","","R"&amp;$I3449)</f>
        <v/>
      </c>
    </row>
    <row r="3450" customFormat="false" ht="15" hidden="false" customHeight="true" outlineLevel="0" collapsed="false">
      <c r="H3450" s="14" t="b">
        <f aca="false">IF(중복검사!$A3448="",FALSE(),중복검사!$J3448="유지")</f>
        <v>0</v>
      </c>
      <c r="I3450" s="5" t="str">
        <f aca="false">IF($H3450=FALSE(),"",COUNTIF($H$6:$H3450,TRUE()))</f>
        <v/>
      </c>
      <c r="J3450" s="5" t="str">
        <f aca="false">IF($I3450="","","R"&amp;$I3450)</f>
        <v/>
      </c>
    </row>
    <row r="3451" customFormat="false" ht="15" hidden="false" customHeight="true" outlineLevel="0" collapsed="false">
      <c r="H3451" s="14" t="b">
        <f aca="false">IF(중복검사!$A3449="",FALSE(),중복검사!$J3449="유지")</f>
        <v>0</v>
      </c>
      <c r="I3451" s="5" t="str">
        <f aca="false">IF($H3451=FALSE(),"",COUNTIF($H$6:$H3451,TRUE()))</f>
        <v/>
      </c>
      <c r="J3451" s="5" t="str">
        <f aca="false">IF($I3451="","","R"&amp;$I3451)</f>
        <v/>
      </c>
    </row>
    <row r="3452" customFormat="false" ht="15" hidden="false" customHeight="true" outlineLevel="0" collapsed="false">
      <c r="H3452" s="14" t="b">
        <f aca="false">IF(중복검사!$A3450="",FALSE(),중복검사!$J3450="유지")</f>
        <v>0</v>
      </c>
      <c r="I3452" s="5" t="str">
        <f aca="false">IF($H3452=FALSE(),"",COUNTIF($H$6:$H3452,TRUE()))</f>
        <v/>
      </c>
      <c r="J3452" s="5" t="str">
        <f aca="false">IF($I3452="","","R"&amp;$I3452)</f>
        <v/>
      </c>
    </row>
    <row r="3453" customFormat="false" ht="15" hidden="false" customHeight="true" outlineLevel="0" collapsed="false">
      <c r="H3453" s="14" t="b">
        <f aca="false">IF(중복검사!$A3451="",FALSE(),중복검사!$J3451="유지")</f>
        <v>0</v>
      </c>
      <c r="I3453" s="5" t="str">
        <f aca="false">IF($H3453=FALSE(),"",COUNTIF($H$6:$H3453,TRUE()))</f>
        <v/>
      </c>
      <c r="J3453" s="5" t="str">
        <f aca="false">IF($I3453="","","R"&amp;$I3453)</f>
        <v/>
      </c>
    </row>
    <row r="3454" customFormat="false" ht="15" hidden="false" customHeight="true" outlineLevel="0" collapsed="false">
      <c r="H3454" s="14" t="b">
        <f aca="false">IF(중복검사!$A3452="",FALSE(),중복검사!$J3452="유지")</f>
        <v>0</v>
      </c>
      <c r="I3454" s="5" t="str">
        <f aca="false">IF($H3454=FALSE(),"",COUNTIF($H$6:$H3454,TRUE()))</f>
        <v/>
      </c>
      <c r="J3454" s="5" t="str">
        <f aca="false">IF($I3454="","","R"&amp;$I3454)</f>
        <v/>
      </c>
    </row>
    <row r="3455" customFormat="false" ht="15" hidden="false" customHeight="true" outlineLevel="0" collapsed="false">
      <c r="H3455" s="14" t="b">
        <f aca="false">IF(중복검사!$A3453="",FALSE(),중복검사!$J3453="유지")</f>
        <v>0</v>
      </c>
      <c r="I3455" s="5" t="str">
        <f aca="false">IF($H3455=FALSE(),"",COUNTIF($H$6:$H3455,TRUE()))</f>
        <v/>
      </c>
      <c r="J3455" s="5" t="str">
        <f aca="false">IF($I3455="","","R"&amp;$I3455)</f>
        <v/>
      </c>
    </row>
    <row r="3456" customFormat="false" ht="15" hidden="false" customHeight="true" outlineLevel="0" collapsed="false">
      <c r="H3456" s="14" t="b">
        <f aca="false">IF(중복검사!$A3454="",FALSE(),중복검사!$J3454="유지")</f>
        <v>0</v>
      </c>
      <c r="I3456" s="5" t="str">
        <f aca="false">IF($H3456=FALSE(),"",COUNTIF($H$6:$H3456,TRUE()))</f>
        <v/>
      </c>
      <c r="J3456" s="5" t="str">
        <f aca="false">IF($I3456="","","R"&amp;$I3456)</f>
        <v/>
      </c>
    </row>
    <row r="3457" customFormat="false" ht="15" hidden="false" customHeight="true" outlineLevel="0" collapsed="false">
      <c r="H3457" s="14" t="b">
        <f aca="false">IF(중복검사!$A3455="",FALSE(),중복검사!$J3455="유지")</f>
        <v>0</v>
      </c>
      <c r="I3457" s="5" t="str">
        <f aca="false">IF($H3457=FALSE(),"",COUNTIF($H$6:$H3457,TRUE()))</f>
        <v/>
      </c>
      <c r="J3457" s="5" t="str">
        <f aca="false">IF($I3457="","","R"&amp;$I3457)</f>
        <v/>
      </c>
    </row>
    <row r="3458" customFormat="false" ht="15" hidden="false" customHeight="true" outlineLevel="0" collapsed="false">
      <c r="H3458" s="14" t="b">
        <f aca="false">IF(중복검사!$A3456="",FALSE(),중복검사!$J3456="유지")</f>
        <v>0</v>
      </c>
      <c r="I3458" s="5" t="str">
        <f aca="false">IF($H3458=FALSE(),"",COUNTIF($H$6:$H3458,TRUE()))</f>
        <v/>
      </c>
      <c r="J3458" s="5" t="str">
        <f aca="false">IF($I3458="","","R"&amp;$I3458)</f>
        <v/>
      </c>
    </row>
    <row r="3459" customFormat="false" ht="15" hidden="false" customHeight="true" outlineLevel="0" collapsed="false">
      <c r="H3459" s="14" t="b">
        <f aca="false">IF(중복검사!$A3457="",FALSE(),중복검사!$J3457="유지")</f>
        <v>0</v>
      </c>
      <c r="I3459" s="5" t="str">
        <f aca="false">IF($H3459=FALSE(),"",COUNTIF($H$6:$H3459,TRUE()))</f>
        <v/>
      </c>
      <c r="J3459" s="5" t="str">
        <f aca="false">IF($I3459="","","R"&amp;$I3459)</f>
        <v/>
      </c>
    </row>
    <row r="3460" customFormat="false" ht="15" hidden="false" customHeight="true" outlineLevel="0" collapsed="false">
      <c r="H3460" s="14" t="b">
        <f aca="false">IF(중복검사!$A3458="",FALSE(),중복검사!$J3458="유지")</f>
        <v>0</v>
      </c>
      <c r="I3460" s="5" t="str">
        <f aca="false">IF($H3460=FALSE(),"",COUNTIF($H$6:$H3460,TRUE()))</f>
        <v/>
      </c>
      <c r="J3460" s="5" t="str">
        <f aca="false">IF($I3460="","","R"&amp;$I3460)</f>
        <v/>
      </c>
    </row>
    <row r="3461" customFormat="false" ht="15" hidden="false" customHeight="true" outlineLevel="0" collapsed="false">
      <c r="H3461" s="14" t="b">
        <f aca="false">IF(중복검사!$A3459="",FALSE(),중복검사!$J3459="유지")</f>
        <v>0</v>
      </c>
      <c r="I3461" s="5" t="str">
        <f aca="false">IF($H3461=FALSE(),"",COUNTIF($H$6:$H3461,TRUE()))</f>
        <v/>
      </c>
      <c r="J3461" s="5" t="str">
        <f aca="false">IF($I3461="","","R"&amp;$I3461)</f>
        <v/>
      </c>
    </row>
    <row r="3462" customFormat="false" ht="15" hidden="false" customHeight="true" outlineLevel="0" collapsed="false">
      <c r="H3462" s="14" t="b">
        <f aca="false">IF(중복검사!$A3460="",FALSE(),중복검사!$J3460="유지")</f>
        <v>0</v>
      </c>
      <c r="I3462" s="5" t="str">
        <f aca="false">IF($H3462=FALSE(),"",COUNTIF($H$6:$H3462,TRUE()))</f>
        <v/>
      </c>
      <c r="J3462" s="5" t="str">
        <f aca="false">IF($I3462="","","R"&amp;$I3462)</f>
        <v/>
      </c>
    </row>
    <row r="3463" customFormat="false" ht="15" hidden="false" customHeight="true" outlineLevel="0" collapsed="false">
      <c r="H3463" s="14" t="b">
        <f aca="false">IF(중복검사!$A3461="",FALSE(),중복검사!$J3461="유지")</f>
        <v>0</v>
      </c>
      <c r="I3463" s="5" t="str">
        <f aca="false">IF($H3463=FALSE(),"",COUNTIF($H$6:$H3463,TRUE()))</f>
        <v/>
      </c>
      <c r="J3463" s="5" t="str">
        <f aca="false">IF($I3463="","","R"&amp;$I3463)</f>
        <v/>
      </c>
    </row>
    <row r="3464" customFormat="false" ht="15" hidden="false" customHeight="true" outlineLevel="0" collapsed="false">
      <c r="H3464" s="14" t="b">
        <f aca="false">IF(중복검사!$A3462="",FALSE(),중복검사!$J3462="유지")</f>
        <v>0</v>
      </c>
      <c r="I3464" s="5" t="str">
        <f aca="false">IF($H3464=FALSE(),"",COUNTIF($H$6:$H3464,TRUE()))</f>
        <v/>
      </c>
      <c r="J3464" s="5" t="str">
        <f aca="false">IF($I3464="","","R"&amp;$I3464)</f>
        <v/>
      </c>
    </row>
    <row r="3465" customFormat="false" ht="15" hidden="false" customHeight="true" outlineLevel="0" collapsed="false">
      <c r="H3465" s="14" t="b">
        <f aca="false">IF(중복검사!$A3463="",FALSE(),중복검사!$J3463="유지")</f>
        <v>0</v>
      </c>
      <c r="I3465" s="5" t="str">
        <f aca="false">IF($H3465=FALSE(),"",COUNTIF($H$6:$H3465,TRUE()))</f>
        <v/>
      </c>
      <c r="J3465" s="5" t="str">
        <f aca="false">IF($I3465="","","R"&amp;$I3465)</f>
        <v/>
      </c>
    </row>
    <row r="3466" customFormat="false" ht="15" hidden="false" customHeight="true" outlineLevel="0" collapsed="false">
      <c r="H3466" s="14" t="b">
        <f aca="false">IF(중복검사!$A3464="",FALSE(),중복검사!$J3464="유지")</f>
        <v>0</v>
      </c>
      <c r="I3466" s="5" t="str">
        <f aca="false">IF($H3466=FALSE(),"",COUNTIF($H$6:$H3466,TRUE()))</f>
        <v/>
      </c>
      <c r="J3466" s="5" t="str">
        <f aca="false">IF($I3466="","","R"&amp;$I3466)</f>
        <v/>
      </c>
    </row>
    <row r="3467" customFormat="false" ht="15" hidden="false" customHeight="true" outlineLevel="0" collapsed="false">
      <c r="H3467" s="14" t="b">
        <f aca="false">IF(중복검사!$A3465="",FALSE(),중복검사!$J3465="유지")</f>
        <v>0</v>
      </c>
      <c r="I3467" s="5" t="str">
        <f aca="false">IF($H3467=FALSE(),"",COUNTIF($H$6:$H3467,TRUE()))</f>
        <v/>
      </c>
      <c r="J3467" s="5" t="str">
        <f aca="false">IF($I3467="","","R"&amp;$I3467)</f>
        <v/>
      </c>
    </row>
    <row r="3468" customFormat="false" ht="15" hidden="false" customHeight="true" outlineLevel="0" collapsed="false">
      <c r="H3468" s="14" t="b">
        <f aca="false">IF(중복검사!$A3466="",FALSE(),중복검사!$J3466="유지")</f>
        <v>0</v>
      </c>
      <c r="I3468" s="5" t="str">
        <f aca="false">IF($H3468=FALSE(),"",COUNTIF($H$6:$H3468,TRUE()))</f>
        <v/>
      </c>
      <c r="J3468" s="5" t="str">
        <f aca="false">IF($I3468="","","R"&amp;$I3468)</f>
        <v/>
      </c>
    </row>
    <row r="3469" customFormat="false" ht="15" hidden="false" customHeight="true" outlineLevel="0" collapsed="false">
      <c r="H3469" s="14" t="b">
        <f aca="false">IF(중복검사!$A3467="",FALSE(),중복검사!$J3467="유지")</f>
        <v>0</v>
      </c>
      <c r="I3469" s="5" t="str">
        <f aca="false">IF($H3469=FALSE(),"",COUNTIF($H$6:$H3469,TRUE()))</f>
        <v/>
      </c>
      <c r="J3469" s="5" t="str">
        <f aca="false">IF($I3469="","","R"&amp;$I3469)</f>
        <v/>
      </c>
    </row>
    <row r="3470" customFormat="false" ht="15" hidden="false" customHeight="true" outlineLevel="0" collapsed="false">
      <c r="H3470" s="14" t="b">
        <f aca="false">IF(중복검사!$A3468="",FALSE(),중복검사!$J3468="유지")</f>
        <v>0</v>
      </c>
      <c r="I3470" s="5" t="str">
        <f aca="false">IF($H3470=FALSE(),"",COUNTIF($H$6:$H3470,TRUE()))</f>
        <v/>
      </c>
      <c r="J3470" s="5" t="str">
        <f aca="false">IF($I3470="","","R"&amp;$I3470)</f>
        <v/>
      </c>
    </row>
    <row r="3471" customFormat="false" ht="15" hidden="false" customHeight="true" outlineLevel="0" collapsed="false">
      <c r="H3471" s="14" t="b">
        <f aca="false">IF(중복검사!$A3469="",FALSE(),중복검사!$J3469="유지")</f>
        <v>0</v>
      </c>
      <c r="I3471" s="5" t="str">
        <f aca="false">IF($H3471=FALSE(),"",COUNTIF($H$6:$H3471,TRUE()))</f>
        <v/>
      </c>
      <c r="J3471" s="5" t="str">
        <f aca="false">IF($I3471="","","R"&amp;$I3471)</f>
        <v/>
      </c>
    </row>
    <row r="3472" customFormat="false" ht="15" hidden="false" customHeight="true" outlineLevel="0" collapsed="false">
      <c r="H3472" s="14" t="b">
        <f aca="false">IF(중복검사!$A3470="",FALSE(),중복검사!$J3470="유지")</f>
        <v>0</v>
      </c>
      <c r="I3472" s="5" t="str">
        <f aca="false">IF($H3472=FALSE(),"",COUNTIF($H$6:$H3472,TRUE()))</f>
        <v/>
      </c>
      <c r="J3472" s="5" t="str">
        <f aca="false">IF($I3472="","","R"&amp;$I3472)</f>
        <v/>
      </c>
    </row>
    <row r="3473" customFormat="false" ht="15" hidden="false" customHeight="true" outlineLevel="0" collapsed="false">
      <c r="H3473" s="14" t="b">
        <f aca="false">IF(중복검사!$A3471="",FALSE(),중복검사!$J3471="유지")</f>
        <v>0</v>
      </c>
      <c r="I3473" s="5" t="str">
        <f aca="false">IF($H3473=FALSE(),"",COUNTIF($H$6:$H3473,TRUE()))</f>
        <v/>
      </c>
      <c r="J3473" s="5" t="str">
        <f aca="false">IF($I3473="","","R"&amp;$I3473)</f>
        <v/>
      </c>
    </row>
    <row r="3474" customFormat="false" ht="15" hidden="false" customHeight="true" outlineLevel="0" collapsed="false">
      <c r="H3474" s="14" t="b">
        <f aca="false">IF(중복검사!$A3472="",FALSE(),중복검사!$J3472="유지")</f>
        <v>0</v>
      </c>
      <c r="I3474" s="5" t="str">
        <f aca="false">IF($H3474=FALSE(),"",COUNTIF($H$6:$H3474,TRUE()))</f>
        <v/>
      </c>
      <c r="J3474" s="5" t="str">
        <f aca="false">IF($I3474="","","R"&amp;$I3474)</f>
        <v/>
      </c>
    </row>
    <row r="3475" customFormat="false" ht="15" hidden="false" customHeight="true" outlineLevel="0" collapsed="false">
      <c r="H3475" s="14" t="b">
        <f aca="false">IF(중복검사!$A3473="",FALSE(),중복검사!$J3473="유지")</f>
        <v>0</v>
      </c>
      <c r="I3475" s="5" t="str">
        <f aca="false">IF($H3475=FALSE(),"",COUNTIF($H$6:$H3475,TRUE()))</f>
        <v/>
      </c>
      <c r="J3475" s="5" t="str">
        <f aca="false">IF($I3475="","","R"&amp;$I3475)</f>
        <v/>
      </c>
    </row>
    <row r="3476" customFormat="false" ht="15" hidden="false" customHeight="true" outlineLevel="0" collapsed="false">
      <c r="H3476" s="14" t="b">
        <f aca="false">IF(중복검사!$A3474="",FALSE(),중복검사!$J3474="유지")</f>
        <v>0</v>
      </c>
      <c r="I3476" s="5" t="str">
        <f aca="false">IF($H3476=FALSE(),"",COUNTIF($H$6:$H3476,TRUE()))</f>
        <v/>
      </c>
      <c r="J3476" s="5" t="str">
        <f aca="false">IF($I3476="","","R"&amp;$I3476)</f>
        <v/>
      </c>
    </row>
    <row r="3477" customFormat="false" ht="15" hidden="false" customHeight="true" outlineLevel="0" collapsed="false">
      <c r="H3477" s="14" t="b">
        <f aca="false">IF(중복검사!$A3475="",FALSE(),중복검사!$J3475="유지")</f>
        <v>0</v>
      </c>
      <c r="I3477" s="5" t="str">
        <f aca="false">IF($H3477=FALSE(),"",COUNTIF($H$6:$H3477,TRUE()))</f>
        <v/>
      </c>
      <c r="J3477" s="5" t="str">
        <f aca="false">IF($I3477="","","R"&amp;$I3477)</f>
        <v/>
      </c>
    </row>
    <row r="3478" customFormat="false" ht="15" hidden="false" customHeight="true" outlineLevel="0" collapsed="false">
      <c r="H3478" s="14" t="b">
        <f aca="false">IF(중복검사!$A3476="",FALSE(),중복검사!$J3476="유지")</f>
        <v>0</v>
      </c>
      <c r="I3478" s="5" t="str">
        <f aca="false">IF($H3478=FALSE(),"",COUNTIF($H$6:$H3478,TRUE()))</f>
        <v/>
      </c>
      <c r="J3478" s="5" t="str">
        <f aca="false">IF($I3478="","","R"&amp;$I3478)</f>
        <v/>
      </c>
    </row>
    <row r="3479" customFormat="false" ht="15" hidden="false" customHeight="true" outlineLevel="0" collapsed="false">
      <c r="H3479" s="14" t="b">
        <f aca="false">IF(중복검사!$A3477="",FALSE(),중복검사!$J3477="유지")</f>
        <v>0</v>
      </c>
      <c r="I3479" s="5" t="str">
        <f aca="false">IF($H3479=FALSE(),"",COUNTIF($H$6:$H3479,TRUE()))</f>
        <v/>
      </c>
      <c r="J3479" s="5" t="str">
        <f aca="false">IF($I3479="","","R"&amp;$I3479)</f>
        <v/>
      </c>
    </row>
    <row r="3480" customFormat="false" ht="15" hidden="false" customHeight="true" outlineLevel="0" collapsed="false">
      <c r="H3480" s="14" t="b">
        <f aca="false">IF(중복검사!$A3478="",FALSE(),중복검사!$J3478="유지")</f>
        <v>0</v>
      </c>
      <c r="I3480" s="5" t="str">
        <f aca="false">IF($H3480=FALSE(),"",COUNTIF($H$6:$H3480,TRUE()))</f>
        <v/>
      </c>
      <c r="J3480" s="5" t="str">
        <f aca="false">IF($I3480="","","R"&amp;$I3480)</f>
        <v/>
      </c>
    </row>
    <row r="3481" customFormat="false" ht="15" hidden="false" customHeight="true" outlineLevel="0" collapsed="false">
      <c r="H3481" s="14" t="b">
        <f aca="false">IF(중복검사!$A3479="",FALSE(),중복검사!$J3479="유지")</f>
        <v>0</v>
      </c>
      <c r="I3481" s="5" t="str">
        <f aca="false">IF($H3481=FALSE(),"",COUNTIF($H$6:$H3481,TRUE()))</f>
        <v/>
      </c>
      <c r="J3481" s="5" t="str">
        <f aca="false">IF($I3481="","","R"&amp;$I3481)</f>
        <v/>
      </c>
    </row>
    <row r="3482" customFormat="false" ht="15" hidden="false" customHeight="true" outlineLevel="0" collapsed="false">
      <c r="H3482" s="14" t="b">
        <f aca="false">IF(중복검사!$A3480="",FALSE(),중복검사!$J3480="유지")</f>
        <v>0</v>
      </c>
      <c r="I3482" s="5" t="str">
        <f aca="false">IF($H3482=FALSE(),"",COUNTIF($H$6:$H3482,TRUE()))</f>
        <v/>
      </c>
      <c r="J3482" s="5" t="str">
        <f aca="false">IF($I3482="","","R"&amp;$I3482)</f>
        <v/>
      </c>
    </row>
    <row r="3483" customFormat="false" ht="15" hidden="false" customHeight="true" outlineLevel="0" collapsed="false">
      <c r="H3483" s="14" t="b">
        <f aca="false">IF(중복검사!$A3481="",FALSE(),중복검사!$J3481="유지")</f>
        <v>0</v>
      </c>
      <c r="I3483" s="5" t="str">
        <f aca="false">IF($H3483=FALSE(),"",COUNTIF($H$6:$H3483,TRUE()))</f>
        <v/>
      </c>
      <c r="J3483" s="5" t="str">
        <f aca="false">IF($I3483="","","R"&amp;$I3483)</f>
        <v/>
      </c>
    </row>
    <row r="3484" customFormat="false" ht="15" hidden="false" customHeight="true" outlineLevel="0" collapsed="false">
      <c r="H3484" s="14" t="b">
        <f aca="false">IF(중복검사!$A3482="",FALSE(),중복검사!$J3482="유지")</f>
        <v>0</v>
      </c>
      <c r="I3484" s="5" t="str">
        <f aca="false">IF($H3484=FALSE(),"",COUNTIF($H$6:$H3484,TRUE()))</f>
        <v/>
      </c>
      <c r="J3484" s="5" t="str">
        <f aca="false">IF($I3484="","","R"&amp;$I3484)</f>
        <v/>
      </c>
    </row>
    <row r="3485" customFormat="false" ht="15" hidden="false" customHeight="true" outlineLevel="0" collapsed="false">
      <c r="H3485" s="14" t="b">
        <f aca="false">IF(중복검사!$A3483="",FALSE(),중복검사!$J3483="유지")</f>
        <v>0</v>
      </c>
      <c r="I3485" s="5" t="str">
        <f aca="false">IF($H3485=FALSE(),"",COUNTIF($H$6:$H3485,TRUE()))</f>
        <v/>
      </c>
      <c r="J3485" s="5" t="str">
        <f aca="false">IF($I3485="","","R"&amp;$I3485)</f>
        <v/>
      </c>
    </row>
    <row r="3486" customFormat="false" ht="15" hidden="false" customHeight="true" outlineLevel="0" collapsed="false">
      <c r="H3486" s="14" t="b">
        <f aca="false">IF(중복검사!$A3484="",FALSE(),중복검사!$J3484="유지")</f>
        <v>0</v>
      </c>
      <c r="I3486" s="5" t="str">
        <f aca="false">IF($H3486=FALSE(),"",COUNTIF($H$6:$H3486,TRUE()))</f>
        <v/>
      </c>
      <c r="J3486" s="5" t="str">
        <f aca="false">IF($I3486="","","R"&amp;$I3486)</f>
        <v/>
      </c>
    </row>
    <row r="3487" customFormat="false" ht="15" hidden="false" customHeight="true" outlineLevel="0" collapsed="false">
      <c r="H3487" s="14" t="b">
        <f aca="false">IF(중복검사!$A3485="",FALSE(),중복검사!$J3485="유지")</f>
        <v>0</v>
      </c>
      <c r="I3487" s="5" t="str">
        <f aca="false">IF($H3487=FALSE(),"",COUNTIF($H$6:$H3487,TRUE()))</f>
        <v/>
      </c>
      <c r="J3487" s="5" t="str">
        <f aca="false">IF($I3487="","","R"&amp;$I3487)</f>
        <v/>
      </c>
    </row>
    <row r="3488" customFormat="false" ht="15" hidden="false" customHeight="true" outlineLevel="0" collapsed="false">
      <c r="H3488" s="14" t="b">
        <f aca="false">IF(중복검사!$A3486="",FALSE(),중복검사!$J3486="유지")</f>
        <v>0</v>
      </c>
      <c r="I3488" s="5" t="str">
        <f aca="false">IF($H3488=FALSE(),"",COUNTIF($H$6:$H3488,TRUE()))</f>
        <v/>
      </c>
      <c r="J3488" s="5" t="str">
        <f aca="false">IF($I3488="","","R"&amp;$I3488)</f>
        <v/>
      </c>
    </row>
    <row r="3489" customFormat="false" ht="15" hidden="false" customHeight="true" outlineLevel="0" collapsed="false">
      <c r="H3489" s="14" t="b">
        <f aca="false">IF(중복검사!$A3487="",FALSE(),중복검사!$J3487="유지")</f>
        <v>0</v>
      </c>
      <c r="I3489" s="5" t="str">
        <f aca="false">IF($H3489=FALSE(),"",COUNTIF($H$6:$H3489,TRUE()))</f>
        <v/>
      </c>
      <c r="J3489" s="5" t="str">
        <f aca="false">IF($I3489="","","R"&amp;$I3489)</f>
        <v/>
      </c>
    </row>
    <row r="3490" customFormat="false" ht="15" hidden="false" customHeight="true" outlineLevel="0" collapsed="false">
      <c r="H3490" s="14" t="b">
        <f aca="false">IF(중복검사!$A3488="",FALSE(),중복검사!$J3488="유지")</f>
        <v>0</v>
      </c>
      <c r="I3490" s="5" t="str">
        <f aca="false">IF($H3490=FALSE(),"",COUNTIF($H$6:$H3490,TRUE()))</f>
        <v/>
      </c>
      <c r="J3490" s="5" t="str">
        <f aca="false">IF($I3490="","","R"&amp;$I3490)</f>
        <v/>
      </c>
    </row>
    <row r="3491" customFormat="false" ht="15" hidden="false" customHeight="true" outlineLevel="0" collapsed="false">
      <c r="H3491" s="14" t="b">
        <f aca="false">IF(중복검사!$A3489="",FALSE(),중복검사!$J3489="유지")</f>
        <v>0</v>
      </c>
      <c r="I3491" s="5" t="str">
        <f aca="false">IF($H3491=FALSE(),"",COUNTIF($H$6:$H3491,TRUE()))</f>
        <v/>
      </c>
      <c r="J3491" s="5" t="str">
        <f aca="false">IF($I3491="","","R"&amp;$I3491)</f>
        <v/>
      </c>
    </row>
    <row r="3492" customFormat="false" ht="15" hidden="false" customHeight="true" outlineLevel="0" collapsed="false">
      <c r="H3492" s="14" t="b">
        <f aca="false">IF(중복검사!$A3490="",FALSE(),중복검사!$J3490="유지")</f>
        <v>0</v>
      </c>
      <c r="I3492" s="5" t="str">
        <f aca="false">IF($H3492=FALSE(),"",COUNTIF($H$6:$H3492,TRUE()))</f>
        <v/>
      </c>
      <c r="J3492" s="5" t="str">
        <f aca="false">IF($I3492="","","R"&amp;$I3492)</f>
        <v/>
      </c>
    </row>
    <row r="3493" customFormat="false" ht="15" hidden="false" customHeight="true" outlineLevel="0" collapsed="false">
      <c r="H3493" s="14" t="b">
        <f aca="false">IF(중복검사!$A3491="",FALSE(),중복검사!$J3491="유지")</f>
        <v>0</v>
      </c>
      <c r="I3493" s="5" t="str">
        <f aca="false">IF($H3493=FALSE(),"",COUNTIF($H$6:$H3493,TRUE()))</f>
        <v/>
      </c>
      <c r="J3493" s="5" t="str">
        <f aca="false">IF($I3493="","","R"&amp;$I3493)</f>
        <v/>
      </c>
    </row>
    <row r="3494" customFormat="false" ht="15" hidden="false" customHeight="true" outlineLevel="0" collapsed="false">
      <c r="H3494" s="14" t="b">
        <f aca="false">IF(중복검사!$A3492="",FALSE(),중복검사!$J3492="유지")</f>
        <v>0</v>
      </c>
      <c r="I3494" s="5" t="str">
        <f aca="false">IF($H3494=FALSE(),"",COUNTIF($H$6:$H3494,TRUE()))</f>
        <v/>
      </c>
      <c r="J3494" s="5" t="str">
        <f aca="false">IF($I3494="","","R"&amp;$I3494)</f>
        <v/>
      </c>
    </row>
    <row r="3495" customFormat="false" ht="15" hidden="false" customHeight="true" outlineLevel="0" collapsed="false">
      <c r="H3495" s="14" t="b">
        <f aca="false">IF(중복검사!$A3493="",FALSE(),중복검사!$J3493="유지")</f>
        <v>0</v>
      </c>
      <c r="I3495" s="5" t="str">
        <f aca="false">IF($H3495=FALSE(),"",COUNTIF($H$6:$H3495,TRUE()))</f>
        <v/>
      </c>
      <c r="J3495" s="5" t="str">
        <f aca="false">IF($I3495="","","R"&amp;$I3495)</f>
        <v/>
      </c>
    </row>
    <row r="3496" customFormat="false" ht="15" hidden="false" customHeight="true" outlineLevel="0" collapsed="false">
      <c r="H3496" s="14" t="b">
        <f aca="false">IF(중복검사!$A3494="",FALSE(),중복검사!$J3494="유지")</f>
        <v>0</v>
      </c>
      <c r="I3496" s="5" t="str">
        <f aca="false">IF($H3496=FALSE(),"",COUNTIF($H$6:$H3496,TRUE()))</f>
        <v/>
      </c>
      <c r="J3496" s="5" t="str">
        <f aca="false">IF($I3496="","","R"&amp;$I3496)</f>
        <v/>
      </c>
    </row>
    <row r="3497" customFormat="false" ht="15" hidden="false" customHeight="true" outlineLevel="0" collapsed="false">
      <c r="H3497" s="14" t="b">
        <f aca="false">IF(중복검사!$A3495="",FALSE(),중복검사!$J3495="유지")</f>
        <v>0</v>
      </c>
      <c r="I3497" s="5" t="str">
        <f aca="false">IF($H3497=FALSE(),"",COUNTIF($H$6:$H3497,TRUE()))</f>
        <v/>
      </c>
      <c r="J3497" s="5" t="str">
        <f aca="false">IF($I3497="","","R"&amp;$I3497)</f>
        <v/>
      </c>
    </row>
    <row r="3498" customFormat="false" ht="15" hidden="false" customHeight="true" outlineLevel="0" collapsed="false">
      <c r="H3498" s="14" t="b">
        <f aca="false">IF(중복검사!$A3496="",FALSE(),중복검사!$J3496="유지")</f>
        <v>0</v>
      </c>
      <c r="I3498" s="5" t="str">
        <f aca="false">IF($H3498=FALSE(),"",COUNTIF($H$6:$H3498,TRUE()))</f>
        <v/>
      </c>
      <c r="J3498" s="5" t="str">
        <f aca="false">IF($I3498="","","R"&amp;$I3498)</f>
        <v/>
      </c>
    </row>
    <row r="3499" customFormat="false" ht="15" hidden="false" customHeight="true" outlineLevel="0" collapsed="false">
      <c r="H3499" s="14" t="b">
        <f aca="false">IF(중복검사!$A3497="",FALSE(),중복검사!$J3497="유지")</f>
        <v>0</v>
      </c>
      <c r="I3499" s="5" t="str">
        <f aca="false">IF($H3499=FALSE(),"",COUNTIF($H$6:$H3499,TRUE()))</f>
        <v/>
      </c>
      <c r="J3499" s="5" t="str">
        <f aca="false">IF($I3499="","","R"&amp;$I3499)</f>
        <v/>
      </c>
    </row>
    <row r="3500" customFormat="false" ht="15" hidden="false" customHeight="true" outlineLevel="0" collapsed="false">
      <c r="H3500" s="14" t="b">
        <f aca="false">IF(중복검사!$A3498="",FALSE(),중복검사!$J3498="유지")</f>
        <v>0</v>
      </c>
      <c r="I3500" s="5" t="str">
        <f aca="false">IF($H3500=FALSE(),"",COUNTIF($H$6:$H3500,TRUE()))</f>
        <v/>
      </c>
      <c r="J3500" s="5" t="str">
        <f aca="false">IF($I3500="","","R"&amp;$I3500)</f>
        <v/>
      </c>
    </row>
    <row r="3501" customFormat="false" ht="15" hidden="false" customHeight="true" outlineLevel="0" collapsed="false">
      <c r="H3501" s="14" t="b">
        <f aca="false">IF(중복검사!$A3499="",FALSE(),중복검사!$J3499="유지")</f>
        <v>0</v>
      </c>
      <c r="I3501" s="5" t="str">
        <f aca="false">IF($H3501=FALSE(),"",COUNTIF($H$6:$H3501,TRUE()))</f>
        <v/>
      </c>
      <c r="J3501" s="5" t="str">
        <f aca="false">IF($I3501="","","R"&amp;$I3501)</f>
        <v/>
      </c>
    </row>
    <row r="3502" customFormat="false" ht="15" hidden="false" customHeight="true" outlineLevel="0" collapsed="false">
      <c r="H3502" s="14" t="b">
        <f aca="false">IF(중복검사!$A3500="",FALSE(),중복검사!$J3500="유지")</f>
        <v>0</v>
      </c>
      <c r="I3502" s="5" t="str">
        <f aca="false">IF($H3502=FALSE(),"",COUNTIF($H$6:$H3502,TRUE()))</f>
        <v/>
      </c>
      <c r="J3502" s="5" t="str">
        <f aca="false">IF($I3502="","","R"&amp;$I3502)</f>
        <v/>
      </c>
    </row>
    <row r="3503" customFormat="false" ht="15" hidden="false" customHeight="true" outlineLevel="0" collapsed="false">
      <c r="H3503" s="14" t="b">
        <f aca="false">IF(중복검사!$A3501="",FALSE(),중복검사!$J3501="유지")</f>
        <v>0</v>
      </c>
      <c r="I3503" s="5" t="str">
        <f aca="false">IF($H3503=FALSE(),"",COUNTIF($H$6:$H3503,TRUE()))</f>
        <v/>
      </c>
      <c r="J3503" s="5" t="str">
        <f aca="false">IF($I3503="","","R"&amp;$I3503)</f>
        <v/>
      </c>
    </row>
    <row r="3504" customFormat="false" ht="15" hidden="false" customHeight="true" outlineLevel="0" collapsed="false">
      <c r="H3504" s="14" t="b">
        <f aca="false">IF(중복검사!$A3502="",FALSE(),중복검사!$J3502="유지")</f>
        <v>0</v>
      </c>
      <c r="I3504" s="5" t="str">
        <f aca="false">IF($H3504=FALSE(),"",COUNTIF($H$6:$H3504,TRUE()))</f>
        <v/>
      </c>
      <c r="J3504" s="5" t="str">
        <f aca="false">IF($I3504="","","R"&amp;$I3504)</f>
        <v/>
      </c>
    </row>
    <row r="3505" customFormat="false" ht="15" hidden="false" customHeight="true" outlineLevel="0" collapsed="false">
      <c r="H3505" s="14" t="b">
        <f aca="false">IF(중복검사!$A3503="",FALSE(),중복검사!$J3503="유지")</f>
        <v>0</v>
      </c>
      <c r="I3505" s="5" t="str">
        <f aca="false">IF($H3505=FALSE(),"",COUNTIF($H$6:$H3505,TRUE()))</f>
        <v/>
      </c>
      <c r="J3505" s="5" t="str">
        <f aca="false">IF($I3505="","","R"&amp;$I3505)</f>
        <v/>
      </c>
    </row>
    <row r="3506" customFormat="false" ht="15" hidden="false" customHeight="true" outlineLevel="0" collapsed="false">
      <c r="H3506" s="14" t="b">
        <f aca="false">IF(중복검사!$A3504="",FALSE(),중복검사!$J3504="유지")</f>
        <v>0</v>
      </c>
      <c r="I3506" s="5" t="str">
        <f aca="false">IF($H3506=FALSE(),"",COUNTIF($H$6:$H3506,TRUE()))</f>
        <v/>
      </c>
      <c r="J3506" s="5" t="str">
        <f aca="false">IF($I3506="","","R"&amp;$I3506)</f>
        <v/>
      </c>
    </row>
    <row r="3507" customFormat="false" ht="15" hidden="false" customHeight="true" outlineLevel="0" collapsed="false">
      <c r="H3507" s="14" t="b">
        <f aca="false">IF(중복검사!$A3505="",FALSE(),중복검사!$J3505="유지")</f>
        <v>0</v>
      </c>
      <c r="I3507" s="5" t="str">
        <f aca="false">IF($H3507=FALSE(),"",COUNTIF($H$6:$H3507,TRUE()))</f>
        <v/>
      </c>
      <c r="J3507" s="5" t="str">
        <f aca="false">IF($I3507="","","R"&amp;$I3507)</f>
        <v/>
      </c>
    </row>
    <row r="3508" customFormat="false" ht="15" hidden="false" customHeight="true" outlineLevel="0" collapsed="false">
      <c r="H3508" s="14" t="b">
        <f aca="false">IF(중복검사!$A3506="",FALSE(),중복검사!$J3506="유지")</f>
        <v>0</v>
      </c>
      <c r="I3508" s="5" t="str">
        <f aca="false">IF($H3508=FALSE(),"",COUNTIF($H$6:$H3508,TRUE()))</f>
        <v/>
      </c>
      <c r="J3508" s="5" t="str">
        <f aca="false">IF($I3508="","","R"&amp;$I3508)</f>
        <v/>
      </c>
    </row>
    <row r="3509" customFormat="false" ht="15" hidden="false" customHeight="true" outlineLevel="0" collapsed="false">
      <c r="H3509" s="14" t="b">
        <f aca="false">IF(중복검사!$A3507="",FALSE(),중복검사!$J3507="유지")</f>
        <v>0</v>
      </c>
      <c r="I3509" s="5" t="str">
        <f aca="false">IF($H3509=FALSE(),"",COUNTIF($H$6:$H3509,TRUE()))</f>
        <v/>
      </c>
      <c r="J3509" s="5" t="str">
        <f aca="false">IF($I3509="","","R"&amp;$I3509)</f>
        <v/>
      </c>
    </row>
    <row r="3510" customFormat="false" ht="15" hidden="false" customHeight="true" outlineLevel="0" collapsed="false">
      <c r="H3510" s="14" t="b">
        <f aca="false">IF(중복검사!$A3508="",FALSE(),중복검사!$J3508="유지")</f>
        <v>0</v>
      </c>
      <c r="I3510" s="5" t="str">
        <f aca="false">IF($H3510=FALSE(),"",COUNTIF($H$6:$H3510,TRUE()))</f>
        <v/>
      </c>
      <c r="J3510" s="5" t="str">
        <f aca="false">IF($I3510="","","R"&amp;$I3510)</f>
        <v/>
      </c>
    </row>
    <row r="3511" customFormat="false" ht="15" hidden="false" customHeight="true" outlineLevel="0" collapsed="false">
      <c r="H3511" s="14" t="b">
        <f aca="false">IF(중복검사!$A3509="",FALSE(),중복검사!$J3509="유지")</f>
        <v>0</v>
      </c>
      <c r="I3511" s="5" t="str">
        <f aca="false">IF($H3511=FALSE(),"",COUNTIF($H$6:$H3511,TRUE()))</f>
        <v/>
      </c>
      <c r="J3511" s="5" t="str">
        <f aca="false">IF($I3511="","","R"&amp;$I3511)</f>
        <v/>
      </c>
    </row>
    <row r="3512" customFormat="false" ht="15" hidden="false" customHeight="true" outlineLevel="0" collapsed="false">
      <c r="H3512" s="14" t="b">
        <f aca="false">IF(중복검사!$A3510="",FALSE(),중복검사!$J3510="유지")</f>
        <v>0</v>
      </c>
      <c r="I3512" s="5" t="str">
        <f aca="false">IF($H3512=FALSE(),"",COUNTIF($H$6:$H3512,TRUE()))</f>
        <v/>
      </c>
      <c r="J3512" s="5" t="str">
        <f aca="false">IF($I3512="","","R"&amp;$I3512)</f>
        <v/>
      </c>
    </row>
    <row r="3513" customFormat="false" ht="15" hidden="false" customHeight="true" outlineLevel="0" collapsed="false">
      <c r="H3513" s="14" t="b">
        <f aca="false">IF(중복검사!$A3511="",FALSE(),중복검사!$J3511="유지")</f>
        <v>0</v>
      </c>
      <c r="I3513" s="5" t="str">
        <f aca="false">IF($H3513=FALSE(),"",COUNTIF($H$6:$H3513,TRUE()))</f>
        <v/>
      </c>
      <c r="J3513" s="5" t="str">
        <f aca="false">IF($I3513="","","R"&amp;$I3513)</f>
        <v/>
      </c>
    </row>
    <row r="3514" customFormat="false" ht="15" hidden="false" customHeight="true" outlineLevel="0" collapsed="false">
      <c r="H3514" s="14" t="b">
        <f aca="false">IF(중복검사!$A3512="",FALSE(),중복검사!$J3512="유지")</f>
        <v>0</v>
      </c>
      <c r="I3514" s="5" t="str">
        <f aca="false">IF($H3514=FALSE(),"",COUNTIF($H$6:$H3514,TRUE()))</f>
        <v/>
      </c>
      <c r="J3514" s="5" t="str">
        <f aca="false">IF($I3514="","","R"&amp;$I3514)</f>
        <v/>
      </c>
    </row>
    <row r="3515" customFormat="false" ht="15" hidden="false" customHeight="true" outlineLevel="0" collapsed="false">
      <c r="H3515" s="14" t="b">
        <f aca="false">IF(중복검사!$A3513="",FALSE(),중복검사!$J3513="유지")</f>
        <v>0</v>
      </c>
      <c r="I3515" s="5" t="str">
        <f aca="false">IF($H3515=FALSE(),"",COUNTIF($H$6:$H3515,TRUE()))</f>
        <v/>
      </c>
      <c r="J3515" s="5" t="str">
        <f aca="false">IF($I3515="","","R"&amp;$I3515)</f>
        <v/>
      </c>
    </row>
    <row r="3516" customFormat="false" ht="15" hidden="false" customHeight="true" outlineLevel="0" collapsed="false">
      <c r="H3516" s="14" t="b">
        <f aca="false">IF(중복검사!$A3514="",FALSE(),중복검사!$J3514="유지")</f>
        <v>0</v>
      </c>
      <c r="I3516" s="5" t="str">
        <f aca="false">IF($H3516=FALSE(),"",COUNTIF($H$6:$H3516,TRUE()))</f>
        <v/>
      </c>
      <c r="J3516" s="5" t="str">
        <f aca="false">IF($I3516="","","R"&amp;$I3516)</f>
        <v/>
      </c>
    </row>
    <row r="3517" customFormat="false" ht="15" hidden="false" customHeight="true" outlineLevel="0" collapsed="false">
      <c r="H3517" s="14" t="b">
        <f aca="false">IF(중복검사!$A3515="",FALSE(),중복검사!$J3515="유지")</f>
        <v>0</v>
      </c>
      <c r="I3517" s="5" t="str">
        <f aca="false">IF($H3517=FALSE(),"",COUNTIF($H$6:$H3517,TRUE()))</f>
        <v/>
      </c>
      <c r="J3517" s="5" t="str">
        <f aca="false">IF($I3517="","","R"&amp;$I3517)</f>
        <v/>
      </c>
    </row>
    <row r="3518" customFormat="false" ht="15" hidden="false" customHeight="true" outlineLevel="0" collapsed="false">
      <c r="H3518" s="14" t="b">
        <f aca="false">IF(중복검사!$A3516="",FALSE(),중복검사!$J3516="유지")</f>
        <v>0</v>
      </c>
      <c r="I3518" s="5" t="str">
        <f aca="false">IF($H3518=FALSE(),"",COUNTIF($H$6:$H3518,TRUE()))</f>
        <v/>
      </c>
      <c r="J3518" s="5" t="str">
        <f aca="false">IF($I3518="","","R"&amp;$I3518)</f>
        <v/>
      </c>
    </row>
    <row r="3519" customFormat="false" ht="15" hidden="false" customHeight="true" outlineLevel="0" collapsed="false">
      <c r="H3519" s="14" t="b">
        <f aca="false">IF(중복검사!$A3517="",FALSE(),중복검사!$J3517="유지")</f>
        <v>0</v>
      </c>
      <c r="I3519" s="5" t="str">
        <f aca="false">IF($H3519=FALSE(),"",COUNTIF($H$6:$H3519,TRUE()))</f>
        <v/>
      </c>
      <c r="J3519" s="5" t="str">
        <f aca="false">IF($I3519="","","R"&amp;$I3519)</f>
        <v/>
      </c>
    </row>
    <row r="3520" customFormat="false" ht="15" hidden="false" customHeight="true" outlineLevel="0" collapsed="false">
      <c r="H3520" s="14" t="b">
        <f aca="false">IF(중복검사!$A3518="",FALSE(),중복검사!$J3518="유지")</f>
        <v>0</v>
      </c>
      <c r="I3520" s="5" t="str">
        <f aca="false">IF($H3520=FALSE(),"",COUNTIF($H$6:$H3520,TRUE()))</f>
        <v/>
      </c>
      <c r="J3520" s="5" t="str">
        <f aca="false">IF($I3520="","","R"&amp;$I3520)</f>
        <v/>
      </c>
    </row>
    <row r="3521" customFormat="false" ht="15" hidden="false" customHeight="true" outlineLevel="0" collapsed="false">
      <c r="H3521" s="14" t="b">
        <f aca="false">IF(중복검사!$A3519="",FALSE(),중복검사!$J3519="유지")</f>
        <v>0</v>
      </c>
      <c r="I3521" s="5" t="str">
        <f aca="false">IF($H3521=FALSE(),"",COUNTIF($H$6:$H3521,TRUE()))</f>
        <v/>
      </c>
      <c r="J3521" s="5" t="str">
        <f aca="false">IF($I3521="","","R"&amp;$I3521)</f>
        <v/>
      </c>
    </row>
    <row r="3522" customFormat="false" ht="15" hidden="false" customHeight="true" outlineLevel="0" collapsed="false">
      <c r="H3522" s="14" t="b">
        <f aca="false">IF(중복검사!$A3520="",FALSE(),중복검사!$J3520="유지")</f>
        <v>0</v>
      </c>
      <c r="I3522" s="5" t="str">
        <f aca="false">IF($H3522=FALSE(),"",COUNTIF($H$6:$H3522,TRUE()))</f>
        <v/>
      </c>
      <c r="J3522" s="5" t="str">
        <f aca="false">IF($I3522="","","R"&amp;$I3522)</f>
        <v/>
      </c>
    </row>
    <row r="3523" customFormat="false" ht="15" hidden="false" customHeight="true" outlineLevel="0" collapsed="false">
      <c r="H3523" s="14" t="b">
        <f aca="false">IF(중복검사!$A3521="",FALSE(),중복검사!$J3521="유지")</f>
        <v>0</v>
      </c>
      <c r="I3523" s="5" t="str">
        <f aca="false">IF($H3523=FALSE(),"",COUNTIF($H$6:$H3523,TRUE()))</f>
        <v/>
      </c>
      <c r="J3523" s="5" t="str">
        <f aca="false">IF($I3523="","","R"&amp;$I3523)</f>
        <v/>
      </c>
    </row>
    <row r="3524" customFormat="false" ht="15" hidden="false" customHeight="true" outlineLevel="0" collapsed="false">
      <c r="H3524" s="14" t="b">
        <f aca="false">IF(중복검사!$A3522="",FALSE(),중복검사!$J3522="유지")</f>
        <v>0</v>
      </c>
      <c r="I3524" s="5" t="str">
        <f aca="false">IF($H3524=FALSE(),"",COUNTIF($H$6:$H3524,TRUE()))</f>
        <v/>
      </c>
      <c r="J3524" s="5" t="str">
        <f aca="false">IF($I3524="","","R"&amp;$I3524)</f>
        <v/>
      </c>
    </row>
    <row r="3525" customFormat="false" ht="15" hidden="false" customHeight="true" outlineLevel="0" collapsed="false">
      <c r="H3525" s="14" t="b">
        <f aca="false">IF(중복검사!$A3523="",FALSE(),중복검사!$J3523="유지")</f>
        <v>0</v>
      </c>
      <c r="I3525" s="5" t="str">
        <f aca="false">IF($H3525=FALSE(),"",COUNTIF($H$6:$H3525,TRUE()))</f>
        <v/>
      </c>
      <c r="J3525" s="5" t="str">
        <f aca="false">IF($I3525="","","R"&amp;$I3525)</f>
        <v/>
      </c>
    </row>
    <row r="3526" customFormat="false" ht="15" hidden="false" customHeight="true" outlineLevel="0" collapsed="false">
      <c r="H3526" s="14" t="b">
        <f aca="false">IF(중복검사!$A3524="",FALSE(),중복검사!$J3524="유지")</f>
        <v>0</v>
      </c>
      <c r="I3526" s="5" t="str">
        <f aca="false">IF($H3526=FALSE(),"",COUNTIF($H$6:$H3526,TRUE()))</f>
        <v/>
      </c>
      <c r="J3526" s="5" t="str">
        <f aca="false">IF($I3526="","","R"&amp;$I3526)</f>
        <v/>
      </c>
    </row>
    <row r="3527" customFormat="false" ht="15" hidden="false" customHeight="true" outlineLevel="0" collapsed="false">
      <c r="H3527" s="14" t="b">
        <f aca="false">IF(중복검사!$A3525="",FALSE(),중복검사!$J3525="유지")</f>
        <v>0</v>
      </c>
      <c r="I3527" s="5" t="str">
        <f aca="false">IF($H3527=FALSE(),"",COUNTIF($H$6:$H3527,TRUE()))</f>
        <v/>
      </c>
      <c r="J3527" s="5" t="str">
        <f aca="false">IF($I3527="","","R"&amp;$I3527)</f>
        <v/>
      </c>
    </row>
    <row r="3528" customFormat="false" ht="15" hidden="false" customHeight="true" outlineLevel="0" collapsed="false">
      <c r="H3528" s="14" t="b">
        <f aca="false">IF(중복검사!$A3526="",FALSE(),중복검사!$J3526="유지")</f>
        <v>0</v>
      </c>
      <c r="I3528" s="5" t="str">
        <f aca="false">IF($H3528=FALSE(),"",COUNTIF($H$6:$H3528,TRUE()))</f>
        <v/>
      </c>
      <c r="J3528" s="5" t="str">
        <f aca="false">IF($I3528="","","R"&amp;$I3528)</f>
        <v/>
      </c>
    </row>
    <row r="3529" customFormat="false" ht="15" hidden="false" customHeight="true" outlineLevel="0" collapsed="false">
      <c r="H3529" s="14" t="b">
        <f aca="false">IF(중복검사!$A3527="",FALSE(),중복검사!$J3527="유지")</f>
        <v>0</v>
      </c>
      <c r="I3529" s="5" t="str">
        <f aca="false">IF($H3529=FALSE(),"",COUNTIF($H$6:$H3529,TRUE()))</f>
        <v/>
      </c>
      <c r="J3529" s="5" t="str">
        <f aca="false">IF($I3529="","","R"&amp;$I3529)</f>
        <v/>
      </c>
    </row>
    <row r="3530" customFormat="false" ht="15" hidden="false" customHeight="true" outlineLevel="0" collapsed="false">
      <c r="H3530" s="14" t="b">
        <f aca="false">IF(중복검사!$A3528="",FALSE(),중복검사!$J3528="유지")</f>
        <v>0</v>
      </c>
      <c r="I3530" s="5" t="str">
        <f aca="false">IF($H3530=FALSE(),"",COUNTIF($H$6:$H3530,TRUE()))</f>
        <v/>
      </c>
      <c r="J3530" s="5" t="str">
        <f aca="false">IF($I3530="","","R"&amp;$I3530)</f>
        <v/>
      </c>
    </row>
    <row r="3531" customFormat="false" ht="15" hidden="false" customHeight="true" outlineLevel="0" collapsed="false">
      <c r="H3531" s="14" t="b">
        <f aca="false">IF(중복검사!$A3529="",FALSE(),중복검사!$J3529="유지")</f>
        <v>0</v>
      </c>
      <c r="I3531" s="5" t="str">
        <f aca="false">IF($H3531=FALSE(),"",COUNTIF($H$6:$H3531,TRUE()))</f>
        <v/>
      </c>
      <c r="J3531" s="5" t="str">
        <f aca="false">IF($I3531="","","R"&amp;$I3531)</f>
        <v/>
      </c>
    </row>
    <row r="3532" customFormat="false" ht="15" hidden="false" customHeight="true" outlineLevel="0" collapsed="false">
      <c r="H3532" s="14" t="b">
        <f aca="false">IF(중복검사!$A3530="",FALSE(),중복검사!$J3530="유지")</f>
        <v>0</v>
      </c>
      <c r="I3532" s="5" t="str">
        <f aca="false">IF($H3532=FALSE(),"",COUNTIF($H$6:$H3532,TRUE()))</f>
        <v/>
      </c>
      <c r="J3532" s="5" t="str">
        <f aca="false">IF($I3532="","","R"&amp;$I3532)</f>
        <v/>
      </c>
    </row>
    <row r="3533" customFormat="false" ht="15" hidden="false" customHeight="true" outlineLevel="0" collapsed="false">
      <c r="H3533" s="14" t="b">
        <f aca="false">IF(중복검사!$A3531="",FALSE(),중복검사!$J3531="유지")</f>
        <v>0</v>
      </c>
      <c r="I3533" s="5" t="str">
        <f aca="false">IF($H3533=FALSE(),"",COUNTIF($H$6:$H3533,TRUE()))</f>
        <v/>
      </c>
      <c r="J3533" s="5" t="str">
        <f aca="false">IF($I3533="","","R"&amp;$I3533)</f>
        <v/>
      </c>
    </row>
    <row r="3534" customFormat="false" ht="15" hidden="false" customHeight="true" outlineLevel="0" collapsed="false">
      <c r="H3534" s="14" t="b">
        <f aca="false">IF(중복검사!$A3532="",FALSE(),중복검사!$J3532="유지")</f>
        <v>0</v>
      </c>
      <c r="I3534" s="5" t="str">
        <f aca="false">IF($H3534=FALSE(),"",COUNTIF($H$6:$H3534,TRUE()))</f>
        <v/>
      </c>
      <c r="J3534" s="5" t="str">
        <f aca="false">IF($I3534="","","R"&amp;$I3534)</f>
        <v/>
      </c>
    </row>
    <row r="3535" customFormat="false" ht="15" hidden="false" customHeight="true" outlineLevel="0" collapsed="false">
      <c r="H3535" s="14" t="b">
        <f aca="false">IF(중복검사!$A3533="",FALSE(),중복검사!$J3533="유지")</f>
        <v>0</v>
      </c>
      <c r="I3535" s="5" t="str">
        <f aca="false">IF($H3535=FALSE(),"",COUNTIF($H$6:$H3535,TRUE()))</f>
        <v/>
      </c>
      <c r="J3535" s="5" t="str">
        <f aca="false">IF($I3535="","","R"&amp;$I3535)</f>
        <v/>
      </c>
    </row>
    <row r="3536" customFormat="false" ht="15" hidden="false" customHeight="true" outlineLevel="0" collapsed="false">
      <c r="H3536" s="14" t="b">
        <f aca="false">IF(중복검사!$A3534="",FALSE(),중복검사!$J3534="유지")</f>
        <v>0</v>
      </c>
      <c r="I3536" s="5" t="str">
        <f aca="false">IF($H3536=FALSE(),"",COUNTIF($H$6:$H3536,TRUE()))</f>
        <v/>
      </c>
      <c r="J3536" s="5" t="str">
        <f aca="false">IF($I3536="","","R"&amp;$I3536)</f>
        <v/>
      </c>
    </row>
    <row r="3537" customFormat="false" ht="15" hidden="false" customHeight="true" outlineLevel="0" collapsed="false">
      <c r="H3537" s="14" t="b">
        <f aca="false">IF(중복검사!$A3535="",FALSE(),중복검사!$J3535="유지")</f>
        <v>0</v>
      </c>
      <c r="I3537" s="5" t="str">
        <f aca="false">IF($H3537=FALSE(),"",COUNTIF($H$6:$H3537,TRUE()))</f>
        <v/>
      </c>
      <c r="J3537" s="5" t="str">
        <f aca="false">IF($I3537="","","R"&amp;$I3537)</f>
        <v/>
      </c>
    </row>
    <row r="3538" customFormat="false" ht="15" hidden="false" customHeight="true" outlineLevel="0" collapsed="false">
      <c r="H3538" s="14" t="b">
        <f aca="false">IF(중복검사!$A3536="",FALSE(),중복검사!$J3536="유지")</f>
        <v>0</v>
      </c>
      <c r="I3538" s="5" t="str">
        <f aca="false">IF($H3538=FALSE(),"",COUNTIF($H$6:$H3538,TRUE()))</f>
        <v/>
      </c>
      <c r="J3538" s="5" t="str">
        <f aca="false">IF($I3538="","","R"&amp;$I3538)</f>
        <v/>
      </c>
    </row>
    <row r="3539" customFormat="false" ht="15" hidden="false" customHeight="true" outlineLevel="0" collapsed="false">
      <c r="H3539" s="14" t="b">
        <f aca="false">IF(중복검사!$A3537="",FALSE(),중복검사!$J3537="유지")</f>
        <v>0</v>
      </c>
      <c r="I3539" s="5" t="str">
        <f aca="false">IF($H3539=FALSE(),"",COUNTIF($H$6:$H3539,TRUE()))</f>
        <v/>
      </c>
      <c r="J3539" s="5" t="str">
        <f aca="false">IF($I3539="","","R"&amp;$I3539)</f>
        <v/>
      </c>
    </row>
    <row r="3540" customFormat="false" ht="15" hidden="false" customHeight="true" outlineLevel="0" collapsed="false">
      <c r="H3540" s="14" t="b">
        <f aca="false">IF(중복검사!$A3538="",FALSE(),중복검사!$J3538="유지")</f>
        <v>0</v>
      </c>
      <c r="I3540" s="5" t="str">
        <f aca="false">IF($H3540=FALSE(),"",COUNTIF($H$6:$H3540,TRUE()))</f>
        <v/>
      </c>
      <c r="J3540" s="5" t="str">
        <f aca="false">IF($I3540="","","R"&amp;$I3540)</f>
        <v/>
      </c>
    </row>
    <row r="3541" customFormat="false" ht="15" hidden="false" customHeight="true" outlineLevel="0" collapsed="false">
      <c r="H3541" s="14" t="b">
        <f aca="false">IF(중복검사!$A3539="",FALSE(),중복검사!$J3539="유지")</f>
        <v>0</v>
      </c>
      <c r="I3541" s="5" t="str">
        <f aca="false">IF($H3541=FALSE(),"",COUNTIF($H$6:$H3541,TRUE()))</f>
        <v/>
      </c>
      <c r="J3541" s="5" t="str">
        <f aca="false">IF($I3541="","","R"&amp;$I3541)</f>
        <v/>
      </c>
    </row>
    <row r="3542" customFormat="false" ht="15" hidden="false" customHeight="true" outlineLevel="0" collapsed="false">
      <c r="H3542" s="14" t="b">
        <f aca="false">IF(중복검사!$A3540="",FALSE(),중복검사!$J3540="유지")</f>
        <v>0</v>
      </c>
      <c r="I3542" s="5" t="str">
        <f aca="false">IF($H3542=FALSE(),"",COUNTIF($H$6:$H3542,TRUE()))</f>
        <v/>
      </c>
      <c r="J3542" s="5" t="str">
        <f aca="false">IF($I3542="","","R"&amp;$I3542)</f>
        <v/>
      </c>
    </row>
    <row r="3543" customFormat="false" ht="15" hidden="false" customHeight="true" outlineLevel="0" collapsed="false">
      <c r="H3543" s="14" t="b">
        <f aca="false">IF(중복검사!$A3541="",FALSE(),중복검사!$J3541="유지")</f>
        <v>0</v>
      </c>
      <c r="I3543" s="5" t="str">
        <f aca="false">IF($H3543=FALSE(),"",COUNTIF($H$6:$H3543,TRUE()))</f>
        <v/>
      </c>
      <c r="J3543" s="5" t="str">
        <f aca="false">IF($I3543="","","R"&amp;$I3543)</f>
        <v/>
      </c>
    </row>
    <row r="3544" customFormat="false" ht="15" hidden="false" customHeight="true" outlineLevel="0" collapsed="false">
      <c r="H3544" s="14" t="b">
        <f aca="false">IF(중복검사!$A3542="",FALSE(),중복검사!$J3542="유지")</f>
        <v>0</v>
      </c>
      <c r="I3544" s="5" t="str">
        <f aca="false">IF($H3544=FALSE(),"",COUNTIF($H$6:$H3544,TRUE()))</f>
        <v/>
      </c>
      <c r="J3544" s="5" t="str">
        <f aca="false">IF($I3544="","","R"&amp;$I3544)</f>
        <v/>
      </c>
    </row>
    <row r="3545" customFormat="false" ht="15" hidden="false" customHeight="true" outlineLevel="0" collapsed="false">
      <c r="H3545" s="14" t="b">
        <f aca="false">IF(중복검사!$A3543="",FALSE(),중복검사!$J3543="유지")</f>
        <v>0</v>
      </c>
      <c r="I3545" s="5" t="str">
        <f aca="false">IF($H3545=FALSE(),"",COUNTIF($H$6:$H3545,TRUE()))</f>
        <v/>
      </c>
      <c r="J3545" s="5" t="str">
        <f aca="false">IF($I3545="","","R"&amp;$I3545)</f>
        <v/>
      </c>
    </row>
    <row r="3546" customFormat="false" ht="15" hidden="false" customHeight="true" outlineLevel="0" collapsed="false">
      <c r="H3546" s="14" t="b">
        <f aca="false">IF(중복검사!$A3544="",FALSE(),중복검사!$J3544="유지")</f>
        <v>0</v>
      </c>
      <c r="I3546" s="5" t="str">
        <f aca="false">IF($H3546=FALSE(),"",COUNTIF($H$6:$H3546,TRUE()))</f>
        <v/>
      </c>
      <c r="J3546" s="5" t="str">
        <f aca="false">IF($I3546="","","R"&amp;$I3546)</f>
        <v/>
      </c>
    </row>
    <row r="3547" customFormat="false" ht="15" hidden="false" customHeight="true" outlineLevel="0" collapsed="false">
      <c r="H3547" s="14" t="b">
        <f aca="false">IF(중복검사!$A3545="",FALSE(),중복검사!$J3545="유지")</f>
        <v>0</v>
      </c>
      <c r="I3547" s="5" t="str">
        <f aca="false">IF($H3547=FALSE(),"",COUNTIF($H$6:$H3547,TRUE()))</f>
        <v/>
      </c>
      <c r="J3547" s="5" t="str">
        <f aca="false">IF($I3547="","","R"&amp;$I3547)</f>
        <v/>
      </c>
    </row>
    <row r="3548" customFormat="false" ht="15" hidden="false" customHeight="true" outlineLevel="0" collapsed="false">
      <c r="H3548" s="14" t="b">
        <f aca="false">IF(중복검사!$A3546="",FALSE(),중복검사!$J3546="유지")</f>
        <v>0</v>
      </c>
      <c r="I3548" s="5" t="str">
        <f aca="false">IF($H3548=FALSE(),"",COUNTIF($H$6:$H3548,TRUE()))</f>
        <v/>
      </c>
      <c r="J3548" s="5" t="str">
        <f aca="false">IF($I3548="","","R"&amp;$I3548)</f>
        <v/>
      </c>
    </row>
    <row r="3549" customFormat="false" ht="15" hidden="false" customHeight="true" outlineLevel="0" collapsed="false">
      <c r="H3549" s="14" t="b">
        <f aca="false">IF(중복검사!$A3547="",FALSE(),중복검사!$J3547="유지")</f>
        <v>0</v>
      </c>
      <c r="I3549" s="5" t="str">
        <f aca="false">IF($H3549=FALSE(),"",COUNTIF($H$6:$H3549,TRUE()))</f>
        <v/>
      </c>
      <c r="J3549" s="5" t="str">
        <f aca="false">IF($I3549="","","R"&amp;$I3549)</f>
        <v/>
      </c>
    </row>
    <row r="3550" customFormat="false" ht="15" hidden="false" customHeight="true" outlineLevel="0" collapsed="false">
      <c r="H3550" s="14" t="b">
        <f aca="false">IF(중복검사!$A3548="",FALSE(),중복검사!$J3548="유지")</f>
        <v>0</v>
      </c>
      <c r="I3550" s="5" t="str">
        <f aca="false">IF($H3550=FALSE(),"",COUNTIF($H$6:$H3550,TRUE()))</f>
        <v/>
      </c>
      <c r="J3550" s="5" t="str">
        <f aca="false">IF($I3550="","","R"&amp;$I3550)</f>
        <v/>
      </c>
    </row>
    <row r="3551" customFormat="false" ht="15" hidden="false" customHeight="true" outlineLevel="0" collapsed="false">
      <c r="H3551" s="14" t="b">
        <f aca="false">IF(중복검사!$A3549="",FALSE(),중복검사!$J3549="유지")</f>
        <v>0</v>
      </c>
      <c r="I3551" s="5" t="str">
        <f aca="false">IF($H3551=FALSE(),"",COUNTIF($H$6:$H3551,TRUE()))</f>
        <v/>
      </c>
      <c r="J3551" s="5" t="str">
        <f aca="false">IF($I3551="","","R"&amp;$I3551)</f>
        <v/>
      </c>
    </row>
    <row r="3552" customFormat="false" ht="15" hidden="false" customHeight="true" outlineLevel="0" collapsed="false">
      <c r="H3552" s="14" t="b">
        <f aca="false">IF(중복검사!$A3550="",FALSE(),중복검사!$J3550="유지")</f>
        <v>0</v>
      </c>
      <c r="I3552" s="5" t="str">
        <f aca="false">IF($H3552=FALSE(),"",COUNTIF($H$6:$H3552,TRUE()))</f>
        <v/>
      </c>
      <c r="J3552" s="5" t="str">
        <f aca="false">IF($I3552="","","R"&amp;$I3552)</f>
        <v/>
      </c>
    </row>
    <row r="3553" customFormat="false" ht="15" hidden="false" customHeight="true" outlineLevel="0" collapsed="false">
      <c r="H3553" s="14" t="b">
        <f aca="false">IF(중복검사!$A3551="",FALSE(),중복검사!$J3551="유지")</f>
        <v>0</v>
      </c>
      <c r="I3553" s="5" t="str">
        <f aca="false">IF($H3553=FALSE(),"",COUNTIF($H$6:$H3553,TRUE()))</f>
        <v/>
      </c>
      <c r="J3553" s="5" t="str">
        <f aca="false">IF($I3553="","","R"&amp;$I3553)</f>
        <v/>
      </c>
    </row>
    <row r="3554" customFormat="false" ht="15" hidden="false" customHeight="true" outlineLevel="0" collapsed="false">
      <c r="H3554" s="14" t="b">
        <f aca="false">IF(중복검사!$A3552="",FALSE(),중복검사!$J3552="유지")</f>
        <v>0</v>
      </c>
      <c r="I3554" s="5" t="str">
        <f aca="false">IF($H3554=FALSE(),"",COUNTIF($H$6:$H3554,TRUE()))</f>
        <v/>
      </c>
      <c r="J3554" s="5" t="str">
        <f aca="false">IF($I3554="","","R"&amp;$I3554)</f>
        <v/>
      </c>
    </row>
    <row r="3555" customFormat="false" ht="15" hidden="false" customHeight="true" outlineLevel="0" collapsed="false">
      <c r="H3555" s="14" t="b">
        <f aca="false">IF(중복검사!$A3553="",FALSE(),중복검사!$J3553="유지")</f>
        <v>0</v>
      </c>
      <c r="I3555" s="5" t="str">
        <f aca="false">IF($H3555=FALSE(),"",COUNTIF($H$6:$H3555,TRUE()))</f>
        <v/>
      </c>
      <c r="J3555" s="5" t="str">
        <f aca="false">IF($I3555="","","R"&amp;$I3555)</f>
        <v/>
      </c>
    </row>
    <row r="3556" customFormat="false" ht="15" hidden="false" customHeight="true" outlineLevel="0" collapsed="false">
      <c r="H3556" s="14" t="b">
        <f aca="false">IF(중복검사!$A3554="",FALSE(),중복검사!$J3554="유지")</f>
        <v>0</v>
      </c>
      <c r="I3556" s="5" t="str">
        <f aca="false">IF($H3556=FALSE(),"",COUNTIF($H$6:$H3556,TRUE()))</f>
        <v/>
      </c>
      <c r="J3556" s="5" t="str">
        <f aca="false">IF($I3556="","","R"&amp;$I3556)</f>
        <v/>
      </c>
    </row>
    <row r="3557" customFormat="false" ht="15" hidden="false" customHeight="true" outlineLevel="0" collapsed="false">
      <c r="H3557" s="14" t="b">
        <f aca="false">IF(중복검사!$A3555="",FALSE(),중복검사!$J3555="유지")</f>
        <v>0</v>
      </c>
      <c r="I3557" s="5" t="str">
        <f aca="false">IF($H3557=FALSE(),"",COUNTIF($H$6:$H3557,TRUE()))</f>
        <v/>
      </c>
      <c r="J3557" s="5" t="str">
        <f aca="false">IF($I3557="","","R"&amp;$I3557)</f>
        <v/>
      </c>
    </row>
    <row r="3558" customFormat="false" ht="15" hidden="false" customHeight="true" outlineLevel="0" collapsed="false">
      <c r="H3558" s="14" t="b">
        <f aca="false">IF(중복검사!$A3556="",FALSE(),중복검사!$J3556="유지")</f>
        <v>0</v>
      </c>
      <c r="I3558" s="5" t="str">
        <f aca="false">IF($H3558=FALSE(),"",COUNTIF($H$6:$H3558,TRUE()))</f>
        <v/>
      </c>
      <c r="J3558" s="5" t="str">
        <f aca="false">IF($I3558="","","R"&amp;$I3558)</f>
        <v/>
      </c>
    </row>
    <row r="3559" customFormat="false" ht="15" hidden="false" customHeight="true" outlineLevel="0" collapsed="false">
      <c r="H3559" s="14" t="b">
        <f aca="false">IF(중복검사!$A3557="",FALSE(),중복검사!$J3557="유지")</f>
        <v>0</v>
      </c>
      <c r="I3559" s="5" t="str">
        <f aca="false">IF($H3559=FALSE(),"",COUNTIF($H$6:$H3559,TRUE()))</f>
        <v/>
      </c>
      <c r="J3559" s="5" t="str">
        <f aca="false">IF($I3559="","","R"&amp;$I3559)</f>
        <v/>
      </c>
    </row>
    <row r="3560" customFormat="false" ht="15" hidden="false" customHeight="true" outlineLevel="0" collapsed="false">
      <c r="H3560" s="14" t="b">
        <f aca="false">IF(중복검사!$A3558="",FALSE(),중복검사!$J3558="유지")</f>
        <v>0</v>
      </c>
      <c r="I3560" s="5" t="str">
        <f aca="false">IF($H3560=FALSE(),"",COUNTIF($H$6:$H3560,TRUE()))</f>
        <v/>
      </c>
      <c r="J3560" s="5" t="str">
        <f aca="false">IF($I3560="","","R"&amp;$I3560)</f>
        <v/>
      </c>
    </row>
    <row r="3561" customFormat="false" ht="15" hidden="false" customHeight="true" outlineLevel="0" collapsed="false">
      <c r="H3561" s="14" t="b">
        <f aca="false">IF(중복검사!$A3559="",FALSE(),중복검사!$J3559="유지")</f>
        <v>0</v>
      </c>
      <c r="I3561" s="5" t="str">
        <f aca="false">IF($H3561=FALSE(),"",COUNTIF($H$6:$H3561,TRUE()))</f>
        <v/>
      </c>
      <c r="J3561" s="5" t="str">
        <f aca="false">IF($I3561="","","R"&amp;$I3561)</f>
        <v/>
      </c>
    </row>
    <row r="3562" customFormat="false" ht="15" hidden="false" customHeight="true" outlineLevel="0" collapsed="false">
      <c r="H3562" s="14" t="b">
        <f aca="false">IF(중복검사!$A3560="",FALSE(),중복검사!$J3560="유지")</f>
        <v>0</v>
      </c>
      <c r="I3562" s="5" t="str">
        <f aca="false">IF($H3562=FALSE(),"",COUNTIF($H$6:$H3562,TRUE()))</f>
        <v/>
      </c>
      <c r="J3562" s="5" t="str">
        <f aca="false">IF($I3562="","","R"&amp;$I3562)</f>
        <v/>
      </c>
    </row>
    <row r="3563" customFormat="false" ht="15" hidden="false" customHeight="true" outlineLevel="0" collapsed="false">
      <c r="H3563" s="14" t="b">
        <f aca="false">IF(중복검사!$A3561="",FALSE(),중복검사!$J3561="유지")</f>
        <v>0</v>
      </c>
      <c r="I3563" s="5" t="str">
        <f aca="false">IF($H3563=FALSE(),"",COUNTIF($H$6:$H3563,TRUE()))</f>
        <v/>
      </c>
      <c r="J3563" s="5" t="str">
        <f aca="false">IF($I3563="","","R"&amp;$I3563)</f>
        <v/>
      </c>
    </row>
    <row r="3564" customFormat="false" ht="15" hidden="false" customHeight="true" outlineLevel="0" collapsed="false">
      <c r="H3564" s="14" t="b">
        <f aca="false">IF(중복검사!$A3562="",FALSE(),중복검사!$J3562="유지")</f>
        <v>0</v>
      </c>
      <c r="I3564" s="5" t="str">
        <f aca="false">IF($H3564=FALSE(),"",COUNTIF($H$6:$H3564,TRUE()))</f>
        <v/>
      </c>
      <c r="J3564" s="5" t="str">
        <f aca="false">IF($I3564="","","R"&amp;$I3564)</f>
        <v/>
      </c>
    </row>
    <row r="3565" customFormat="false" ht="15" hidden="false" customHeight="true" outlineLevel="0" collapsed="false">
      <c r="H3565" s="14" t="b">
        <f aca="false">IF(중복검사!$A3563="",FALSE(),중복검사!$J3563="유지")</f>
        <v>0</v>
      </c>
      <c r="I3565" s="5" t="str">
        <f aca="false">IF($H3565=FALSE(),"",COUNTIF($H$6:$H3565,TRUE()))</f>
        <v/>
      </c>
      <c r="J3565" s="5" t="str">
        <f aca="false">IF($I3565="","","R"&amp;$I3565)</f>
        <v/>
      </c>
    </row>
    <row r="3566" customFormat="false" ht="15" hidden="false" customHeight="true" outlineLevel="0" collapsed="false">
      <c r="H3566" s="14" t="b">
        <f aca="false">IF(중복검사!$A3564="",FALSE(),중복검사!$J3564="유지")</f>
        <v>0</v>
      </c>
      <c r="I3566" s="5" t="str">
        <f aca="false">IF($H3566=FALSE(),"",COUNTIF($H$6:$H3566,TRUE()))</f>
        <v/>
      </c>
      <c r="J3566" s="5" t="str">
        <f aca="false">IF($I3566="","","R"&amp;$I3566)</f>
        <v/>
      </c>
    </row>
    <row r="3567" customFormat="false" ht="15" hidden="false" customHeight="true" outlineLevel="0" collapsed="false">
      <c r="H3567" s="14" t="b">
        <f aca="false">IF(중복검사!$A3565="",FALSE(),중복검사!$J3565="유지")</f>
        <v>0</v>
      </c>
      <c r="I3567" s="5" t="str">
        <f aca="false">IF($H3567=FALSE(),"",COUNTIF($H$6:$H3567,TRUE()))</f>
        <v/>
      </c>
      <c r="J3567" s="5" t="str">
        <f aca="false">IF($I3567="","","R"&amp;$I3567)</f>
        <v/>
      </c>
    </row>
    <row r="3568" customFormat="false" ht="15" hidden="false" customHeight="true" outlineLevel="0" collapsed="false">
      <c r="H3568" s="14" t="b">
        <f aca="false">IF(중복검사!$A3566="",FALSE(),중복검사!$J3566="유지")</f>
        <v>0</v>
      </c>
      <c r="I3568" s="5" t="str">
        <f aca="false">IF($H3568=FALSE(),"",COUNTIF($H$6:$H3568,TRUE()))</f>
        <v/>
      </c>
      <c r="J3568" s="5" t="str">
        <f aca="false">IF($I3568="","","R"&amp;$I3568)</f>
        <v/>
      </c>
    </row>
    <row r="3569" customFormat="false" ht="15" hidden="false" customHeight="true" outlineLevel="0" collapsed="false">
      <c r="H3569" s="14" t="b">
        <f aca="false">IF(중복검사!$A3567="",FALSE(),중복검사!$J3567="유지")</f>
        <v>0</v>
      </c>
      <c r="I3569" s="5" t="str">
        <f aca="false">IF($H3569=FALSE(),"",COUNTIF($H$6:$H3569,TRUE()))</f>
        <v/>
      </c>
      <c r="J3569" s="5" t="str">
        <f aca="false">IF($I3569="","","R"&amp;$I3569)</f>
        <v/>
      </c>
    </row>
    <row r="3570" customFormat="false" ht="15" hidden="false" customHeight="true" outlineLevel="0" collapsed="false">
      <c r="H3570" s="14" t="b">
        <f aca="false">IF(중복검사!$A3568="",FALSE(),중복검사!$J3568="유지")</f>
        <v>0</v>
      </c>
      <c r="I3570" s="5" t="str">
        <f aca="false">IF($H3570=FALSE(),"",COUNTIF($H$6:$H3570,TRUE()))</f>
        <v/>
      </c>
      <c r="J3570" s="5" t="str">
        <f aca="false">IF($I3570="","","R"&amp;$I3570)</f>
        <v/>
      </c>
    </row>
    <row r="3571" customFormat="false" ht="15" hidden="false" customHeight="true" outlineLevel="0" collapsed="false">
      <c r="H3571" s="14" t="b">
        <f aca="false">IF(중복검사!$A3569="",FALSE(),중복검사!$J3569="유지")</f>
        <v>0</v>
      </c>
      <c r="I3571" s="5" t="str">
        <f aca="false">IF($H3571=FALSE(),"",COUNTIF($H$6:$H3571,TRUE()))</f>
        <v/>
      </c>
      <c r="J3571" s="5" t="str">
        <f aca="false">IF($I3571="","","R"&amp;$I3571)</f>
        <v/>
      </c>
    </row>
    <row r="3572" customFormat="false" ht="15" hidden="false" customHeight="true" outlineLevel="0" collapsed="false">
      <c r="H3572" s="14" t="b">
        <f aca="false">IF(중복검사!$A3570="",FALSE(),중복검사!$J3570="유지")</f>
        <v>0</v>
      </c>
      <c r="I3572" s="5" t="str">
        <f aca="false">IF($H3572=FALSE(),"",COUNTIF($H$6:$H3572,TRUE()))</f>
        <v/>
      </c>
      <c r="J3572" s="5" t="str">
        <f aca="false">IF($I3572="","","R"&amp;$I3572)</f>
        <v/>
      </c>
    </row>
    <row r="3573" customFormat="false" ht="15" hidden="false" customHeight="true" outlineLevel="0" collapsed="false">
      <c r="H3573" s="14" t="b">
        <f aca="false">IF(중복검사!$A3571="",FALSE(),중복검사!$J3571="유지")</f>
        <v>0</v>
      </c>
      <c r="I3573" s="5" t="str">
        <f aca="false">IF($H3573=FALSE(),"",COUNTIF($H$6:$H3573,TRUE()))</f>
        <v/>
      </c>
      <c r="J3573" s="5" t="str">
        <f aca="false">IF($I3573="","","R"&amp;$I3573)</f>
        <v/>
      </c>
    </row>
    <row r="3574" customFormat="false" ht="15" hidden="false" customHeight="true" outlineLevel="0" collapsed="false">
      <c r="H3574" s="14" t="b">
        <f aca="false">IF(중복검사!$A3572="",FALSE(),중복검사!$J3572="유지")</f>
        <v>0</v>
      </c>
      <c r="I3574" s="5" t="str">
        <f aca="false">IF($H3574=FALSE(),"",COUNTIF($H$6:$H3574,TRUE()))</f>
        <v/>
      </c>
      <c r="J3574" s="5" t="str">
        <f aca="false">IF($I3574="","","R"&amp;$I3574)</f>
        <v/>
      </c>
    </row>
    <row r="3575" customFormat="false" ht="15" hidden="false" customHeight="true" outlineLevel="0" collapsed="false">
      <c r="H3575" s="14" t="b">
        <f aca="false">IF(중복검사!$A3573="",FALSE(),중복검사!$J3573="유지")</f>
        <v>0</v>
      </c>
      <c r="I3575" s="5" t="str">
        <f aca="false">IF($H3575=FALSE(),"",COUNTIF($H$6:$H3575,TRUE()))</f>
        <v/>
      </c>
      <c r="J3575" s="5" t="str">
        <f aca="false">IF($I3575="","","R"&amp;$I3575)</f>
        <v/>
      </c>
    </row>
    <row r="3576" customFormat="false" ht="15" hidden="false" customHeight="true" outlineLevel="0" collapsed="false">
      <c r="H3576" s="14" t="b">
        <f aca="false">IF(중복검사!$A3574="",FALSE(),중복검사!$J3574="유지")</f>
        <v>0</v>
      </c>
      <c r="I3576" s="5" t="str">
        <f aca="false">IF($H3576=FALSE(),"",COUNTIF($H$6:$H3576,TRUE()))</f>
        <v/>
      </c>
      <c r="J3576" s="5" t="str">
        <f aca="false">IF($I3576="","","R"&amp;$I3576)</f>
        <v/>
      </c>
    </row>
    <row r="3577" customFormat="false" ht="15" hidden="false" customHeight="true" outlineLevel="0" collapsed="false">
      <c r="H3577" s="14" t="b">
        <f aca="false">IF(중복검사!$A3575="",FALSE(),중복검사!$J3575="유지")</f>
        <v>0</v>
      </c>
      <c r="I3577" s="5" t="str">
        <f aca="false">IF($H3577=FALSE(),"",COUNTIF($H$6:$H3577,TRUE()))</f>
        <v/>
      </c>
      <c r="J3577" s="5" t="str">
        <f aca="false">IF($I3577="","","R"&amp;$I3577)</f>
        <v/>
      </c>
    </row>
    <row r="3578" customFormat="false" ht="15" hidden="false" customHeight="true" outlineLevel="0" collapsed="false">
      <c r="H3578" s="14" t="b">
        <f aca="false">IF(중복검사!$A3576="",FALSE(),중복검사!$J3576="유지")</f>
        <v>0</v>
      </c>
      <c r="I3578" s="5" t="str">
        <f aca="false">IF($H3578=FALSE(),"",COUNTIF($H$6:$H3578,TRUE()))</f>
        <v/>
      </c>
      <c r="J3578" s="5" t="str">
        <f aca="false">IF($I3578="","","R"&amp;$I3578)</f>
        <v/>
      </c>
    </row>
    <row r="3579" customFormat="false" ht="15" hidden="false" customHeight="true" outlineLevel="0" collapsed="false">
      <c r="H3579" s="14" t="b">
        <f aca="false">IF(중복검사!$A3577="",FALSE(),중복검사!$J3577="유지")</f>
        <v>0</v>
      </c>
      <c r="I3579" s="5" t="str">
        <f aca="false">IF($H3579=FALSE(),"",COUNTIF($H$6:$H3579,TRUE()))</f>
        <v/>
      </c>
      <c r="J3579" s="5" t="str">
        <f aca="false">IF($I3579="","","R"&amp;$I3579)</f>
        <v/>
      </c>
    </row>
    <row r="3580" customFormat="false" ht="15" hidden="false" customHeight="true" outlineLevel="0" collapsed="false">
      <c r="H3580" s="14" t="b">
        <f aca="false">IF(중복검사!$A3578="",FALSE(),중복검사!$J3578="유지")</f>
        <v>0</v>
      </c>
      <c r="I3580" s="5" t="str">
        <f aca="false">IF($H3580=FALSE(),"",COUNTIF($H$6:$H3580,TRUE()))</f>
        <v/>
      </c>
      <c r="J3580" s="5" t="str">
        <f aca="false">IF($I3580="","","R"&amp;$I3580)</f>
        <v/>
      </c>
    </row>
    <row r="3581" customFormat="false" ht="15" hidden="false" customHeight="true" outlineLevel="0" collapsed="false">
      <c r="H3581" s="14" t="b">
        <f aca="false">IF(중복검사!$A3579="",FALSE(),중복검사!$J3579="유지")</f>
        <v>0</v>
      </c>
      <c r="I3581" s="5" t="str">
        <f aca="false">IF($H3581=FALSE(),"",COUNTIF($H$6:$H3581,TRUE()))</f>
        <v/>
      </c>
      <c r="J3581" s="5" t="str">
        <f aca="false">IF($I3581="","","R"&amp;$I3581)</f>
        <v/>
      </c>
    </row>
    <row r="3582" customFormat="false" ht="15" hidden="false" customHeight="true" outlineLevel="0" collapsed="false">
      <c r="H3582" s="14" t="b">
        <f aca="false">IF(중복검사!$A3580="",FALSE(),중복검사!$J3580="유지")</f>
        <v>0</v>
      </c>
      <c r="I3582" s="5" t="str">
        <f aca="false">IF($H3582=FALSE(),"",COUNTIF($H$6:$H3582,TRUE()))</f>
        <v/>
      </c>
      <c r="J3582" s="5" t="str">
        <f aca="false">IF($I3582="","","R"&amp;$I3582)</f>
        <v/>
      </c>
    </row>
    <row r="3583" customFormat="false" ht="15" hidden="false" customHeight="true" outlineLevel="0" collapsed="false">
      <c r="H3583" s="14" t="b">
        <f aca="false">IF(중복검사!$A3581="",FALSE(),중복검사!$J3581="유지")</f>
        <v>0</v>
      </c>
      <c r="I3583" s="5" t="str">
        <f aca="false">IF($H3583=FALSE(),"",COUNTIF($H$6:$H3583,TRUE()))</f>
        <v/>
      </c>
      <c r="J3583" s="5" t="str">
        <f aca="false">IF($I3583="","","R"&amp;$I3583)</f>
        <v/>
      </c>
    </row>
    <row r="3584" customFormat="false" ht="15" hidden="false" customHeight="true" outlineLevel="0" collapsed="false">
      <c r="H3584" s="14" t="b">
        <f aca="false">IF(중복검사!$A3582="",FALSE(),중복검사!$J3582="유지")</f>
        <v>0</v>
      </c>
      <c r="I3584" s="5" t="str">
        <f aca="false">IF($H3584=FALSE(),"",COUNTIF($H$6:$H3584,TRUE()))</f>
        <v/>
      </c>
      <c r="J3584" s="5" t="str">
        <f aca="false">IF($I3584="","","R"&amp;$I3584)</f>
        <v/>
      </c>
    </row>
    <row r="3585" customFormat="false" ht="15" hidden="false" customHeight="true" outlineLevel="0" collapsed="false">
      <c r="H3585" s="14" t="b">
        <f aca="false">IF(중복검사!$A3583="",FALSE(),중복검사!$J3583="유지")</f>
        <v>0</v>
      </c>
      <c r="I3585" s="5" t="str">
        <f aca="false">IF($H3585=FALSE(),"",COUNTIF($H$6:$H3585,TRUE()))</f>
        <v/>
      </c>
      <c r="J3585" s="5" t="str">
        <f aca="false">IF($I3585="","","R"&amp;$I3585)</f>
        <v/>
      </c>
    </row>
    <row r="3586" customFormat="false" ht="15" hidden="false" customHeight="true" outlineLevel="0" collapsed="false">
      <c r="H3586" s="14" t="b">
        <f aca="false">IF(중복검사!$A3584="",FALSE(),중복검사!$J3584="유지")</f>
        <v>0</v>
      </c>
      <c r="I3586" s="5" t="str">
        <f aca="false">IF($H3586=FALSE(),"",COUNTIF($H$6:$H3586,TRUE()))</f>
        <v/>
      </c>
      <c r="J3586" s="5" t="str">
        <f aca="false">IF($I3586="","","R"&amp;$I3586)</f>
        <v/>
      </c>
    </row>
    <row r="3587" customFormat="false" ht="15" hidden="false" customHeight="true" outlineLevel="0" collapsed="false">
      <c r="H3587" s="14" t="b">
        <f aca="false">IF(중복검사!$A3585="",FALSE(),중복검사!$J3585="유지")</f>
        <v>0</v>
      </c>
      <c r="I3587" s="5" t="str">
        <f aca="false">IF($H3587=FALSE(),"",COUNTIF($H$6:$H3587,TRUE()))</f>
        <v/>
      </c>
      <c r="J3587" s="5" t="str">
        <f aca="false">IF($I3587="","","R"&amp;$I3587)</f>
        <v/>
      </c>
    </row>
    <row r="3588" customFormat="false" ht="15" hidden="false" customHeight="true" outlineLevel="0" collapsed="false">
      <c r="H3588" s="14" t="b">
        <f aca="false">IF(중복검사!$A3586="",FALSE(),중복검사!$J3586="유지")</f>
        <v>0</v>
      </c>
      <c r="I3588" s="5" t="str">
        <f aca="false">IF($H3588=FALSE(),"",COUNTIF($H$6:$H3588,TRUE()))</f>
        <v/>
      </c>
      <c r="J3588" s="5" t="str">
        <f aca="false">IF($I3588="","","R"&amp;$I3588)</f>
        <v/>
      </c>
    </row>
    <row r="3589" customFormat="false" ht="15" hidden="false" customHeight="true" outlineLevel="0" collapsed="false">
      <c r="H3589" s="14" t="b">
        <f aca="false">IF(중복검사!$A3587="",FALSE(),중복검사!$J3587="유지")</f>
        <v>0</v>
      </c>
      <c r="I3589" s="5" t="str">
        <f aca="false">IF($H3589=FALSE(),"",COUNTIF($H$6:$H3589,TRUE()))</f>
        <v/>
      </c>
      <c r="J3589" s="5" t="str">
        <f aca="false">IF($I3589="","","R"&amp;$I3589)</f>
        <v/>
      </c>
    </row>
    <row r="3590" customFormat="false" ht="15" hidden="false" customHeight="true" outlineLevel="0" collapsed="false">
      <c r="H3590" s="14" t="b">
        <f aca="false">IF(중복검사!$A3588="",FALSE(),중복검사!$J3588="유지")</f>
        <v>0</v>
      </c>
      <c r="I3590" s="5" t="str">
        <f aca="false">IF($H3590=FALSE(),"",COUNTIF($H$6:$H3590,TRUE()))</f>
        <v/>
      </c>
      <c r="J3590" s="5" t="str">
        <f aca="false">IF($I3590="","","R"&amp;$I3590)</f>
        <v/>
      </c>
    </row>
    <row r="3591" customFormat="false" ht="15" hidden="false" customHeight="true" outlineLevel="0" collapsed="false">
      <c r="H3591" s="14" t="b">
        <f aca="false">IF(중복검사!$A3589="",FALSE(),중복검사!$J3589="유지")</f>
        <v>0</v>
      </c>
      <c r="I3591" s="5" t="str">
        <f aca="false">IF($H3591=FALSE(),"",COUNTIF($H$6:$H3591,TRUE()))</f>
        <v/>
      </c>
      <c r="J3591" s="5" t="str">
        <f aca="false">IF($I3591="","","R"&amp;$I3591)</f>
        <v/>
      </c>
    </row>
    <row r="3592" customFormat="false" ht="15" hidden="false" customHeight="true" outlineLevel="0" collapsed="false">
      <c r="H3592" s="14" t="b">
        <f aca="false">IF(중복검사!$A3590="",FALSE(),중복검사!$J3590="유지")</f>
        <v>0</v>
      </c>
      <c r="I3592" s="5" t="str">
        <f aca="false">IF($H3592=FALSE(),"",COUNTIF($H$6:$H3592,TRUE()))</f>
        <v/>
      </c>
      <c r="J3592" s="5" t="str">
        <f aca="false">IF($I3592="","","R"&amp;$I3592)</f>
        <v/>
      </c>
    </row>
    <row r="3593" customFormat="false" ht="15" hidden="false" customHeight="true" outlineLevel="0" collapsed="false">
      <c r="H3593" s="14" t="b">
        <f aca="false">IF(중복검사!$A3591="",FALSE(),중복검사!$J3591="유지")</f>
        <v>0</v>
      </c>
      <c r="I3593" s="5" t="str">
        <f aca="false">IF($H3593=FALSE(),"",COUNTIF($H$6:$H3593,TRUE()))</f>
        <v/>
      </c>
      <c r="J3593" s="5" t="str">
        <f aca="false">IF($I3593="","","R"&amp;$I3593)</f>
        <v/>
      </c>
    </row>
    <row r="3594" customFormat="false" ht="15" hidden="false" customHeight="true" outlineLevel="0" collapsed="false">
      <c r="H3594" s="14" t="b">
        <f aca="false">IF(중복검사!$A3592="",FALSE(),중복검사!$J3592="유지")</f>
        <v>0</v>
      </c>
      <c r="I3594" s="5" t="str">
        <f aca="false">IF($H3594=FALSE(),"",COUNTIF($H$6:$H3594,TRUE()))</f>
        <v/>
      </c>
      <c r="J3594" s="5" t="str">
        <f aca="false">IF($I3594="","","R"&amp;$I3594)</f>
        <v/>
      </c>
    </row>
    <row r="3595" customFormat="false" ht="15" hidden="false" customHeight="true" outlineLevel="0" collapsed="false">
      <c r="H3595" s="14" t="b">
        <f aca="false">IF(중복검사!$A3593="",FALSE(),중복검사!$J3593="유지")</f>
        <v>0</v>
      </c>
      <c r="I3595" s="5" t="str">
        <f aca="false">IF($H3595=FALSE(),"",COUNTIF($H$6:$H3595,TRUE()))</f>
        <v/>
      </c>
      <c r="J3595" s="5" t="str">
        <f aca="false">IF($I3595="","","R"&amp;$I3595)</f>
        <v/>
      </c>
    </row>
    <row r="3596" customFormat="false" ht="15" hidden="false" customHeight="true" outlineLevel="0" collapsed="false">
      <c r="H3596" s="14" t="b">
        <f aca="false">IF(중복검사!$A3594="",FALSE(),중복검사!$J3594="유지")</f>
        <v>0</v>
      </c>
      <c r="I3596" s="5" t="str">
        <f aca="false">IF($H3596=FALSE(),"",COUNTIF($H$6:$H3596,TRUE()))</f>
        <v/>
      </c>
      <c r="J3596" s="5" t="str">
        <f aca="false">IF($I3596="","","R"&amp;$I3596)</f>
        <v/>
      </c>
    </row>
    <row r="3597" customFormat="false" ht="15" hidden="false" customHeight="true" outlineLevel="0" collapsed="false">
      <c r="H3597" s="14" t="b">
        <f aca="false">IF(중복검사!$A3595="",FALSE(),중복검사!$J3595="유지")</f>
        <v>0</v>
      </c>
      <c r="I3597" s="5" t="str">
        <f aca="false">IF($H3597=FALSE(),"",COUNTIF($H$6:$H3597,TRUE()))</f>
        <v/>
      </c>
      <c r="J3597" s="5" t="str">
        <f aca="false">IF($I3597="","","R"&amp;$I3597)</f>
        <v/>
      </c>
    </row>
    <row r="3598" customFormat="false" ht="15" hidden="false" customHeight="true" outlineLevel="0" collapsed="false">
      <c r="H3598" s="14" t="b">
        <f aca="false">IF(중복검사!$A3596="",FALSE(),중복검사!$J3596="유지")</f>
        <v>0</v>
      </c>
      <c r="I3598" s="5" t="str">
        <f aca="false">IF($H3598=FALSE(),"",COUNTIF($H$6:$H3598,TRUE()))</f>
        <v/>
      </c>
      <c r="J3598" s="5" t="str">
        <f aca="false">IF($I3598="","","R"&amp;$I3598)</f>
        <v/>
      </c>
    </row>
    <row r="3599" customFormat="false" ht="15" hidden="false" customHeight="true" outlineLevel="0" collapsed="false">
      <c r="H3599" s="14" t="b">
        <f aca="false">IF(중복검사!$A3597="",FALSE(),중복검사!$J3597="유지")</f>
        <v>0</v>
      </c>
      <c r="I3599" s="5" t="str">
        <f aca="false">IF($H3599=FALSE(),"",COUNTIF($H$6:$H3599,TRUE()))</f>
        <v/>
      </c>
      <c r="J3599" s="5" t="str">
        <f aca="false">IF($I3599="","","R"&amp;$I3599)</f>
        <v/>
      </c>
    </row>
    <row r="3600" customFormat="false" ht="15" hidden="false" customHeight="true" outlineLevel="0" collapsed="false">
      <c r="H3600" s="14" t="b">
        <f aca="false">IF(중복검사!$A3598="",FALSE(),중복검사!$J3598="유지")</f>
        <v>0</v>
      </c>
      <c r="I3600" s="5" t="str">
        <f aca="false">IF($H3600=FALSE(),"",COUNTIF($H$6:$H3600,TRUE()))</f>
        <v/>
      </c>
      <c r="J3600" s="5" t="str">
        <f aca="false">IF($I3600="","","R"&amp;$I3600)</f>
        <v/>
      </c>
    </row>
    <row r="3601" customFormat="false" ht="15" hidden="false" customHeight="true" outlineLevel="0" collapsed="false">
      <c r="H3601" s="14" t="b">
        <f aca="false">IF(중복검사!$A3599="",FALSE(),중복검사!$J3599="유지")</f>
        <v>0</v>
      </c>
      <c r="I3601" s="5" t="str">
        <f aca="false">IF($H3601=FALSE(),"",COUNTIF($H$6:$H3601,TRUE()))</f>
        <v/>
      </c>
      <c r="J3601" s="5" t="str">
        <f aca="false">IF($I3601="","","R"&amp;$I3601)</f>
        <v/>
      </c>
    </row>
    <row r="3602" customFormat="false" ht="15" hidden="false" customHeight="true" outlineLevel="0" collapsed="false">
      <c r="H3602" s="14" t="b">
        <f aca="false">IF(중복검사!$A3600="",FALSE(),중복검사!$J3600="유지")</f>
        <v>0</v>
      </c>
      <c r="I3602" s="5" t="str">
        <f aca="false">IF($H3602=FALSE(),"",COUNTIF($H$6:$H3602,TRUE()))</f>
        <v/>
      </c>
      <c r="J3602" s="5" t="str">
        <f aca="false">IF($I3602="","","R"&amp;$I3602)</f>
        <v/>
      </c>
    </row>
    <row r="3603" customFormat="false" ht="15" hidden="false" customHeight="true" outlineLevel="0" collapsed="false">
      <c r="H3603" s="14" t="b">
        <f aca="false">IF(중복검사!$A3601="",FALSE(),중복검사!$J3601="유지")</f>
        <v>0</v>
      </c>
      <c r="I3603" s="5" t="str">
        <f aca="false">IF($H3603=FALSE(),"",COUNTIF($H$6:$H3603,TRUE()))</f>
        <v/>
      </c>
      <c r="J3603" s="5" t="str">
        <f aca="false">IF($I3603="","","R"&amp;$I3603)</f>
        <v/>
      </c>
    </row>
    <row r="3604" customFormat="false" ht="15" hidden="false" customHeight="true" outlineLevel="0" collapsed="false">
      <c r="H3604" s="14" t="b">
        <f aca="false">IF(중복검사!$A3602="",FALSE(),중복검사!$J3602="유지")</f>
        <v>0</v>
      </c>
      <c r="I3604" s="5" t="str">
        <f aca="false">IF($H3604=FALSE(),"",COUNTIF($H$6:$H3604,TRUE()))</f>
        <v/>
      </c>
      <c r="J3604" s="5" t="str">
        <f aca="false">IF($I3604="","","R"&amp;$I3604)</f>
        <v/>
      </c>
    </row>
    <row r="3605" customFormat="false" ht="15" hidden="false" customHeight="true" outlineLevel="0" collapsed="false">
      <c r="H3605" s="14" t="b">
        <f aca="false">IF(중복검사!$A3603="",FALSE(),중복검사!$J3603="유지")</f>
        <v>0</v>
      </c>
      <c r="I3605" s="5" t="str">
        <f aca="false">IF($H3605=FALSE(),"",COUNTIF($H$6:$H3605,TRUE()))</f>
        <v/>
      </c>
      <c r="J3605" s="5" t="str">
        <f aca="false">IF($I3605="","","R"&amp;$I3605)</f>
        <v/>
      </c>
    </row>
    <row r="3606" customFormat="false" ht="15" hidden="false" customHeight="true" outlineLevel="0" collapsed="false">
      <c r="H3606" s="14" t="b">
        <f aca="false">IF(중복검사!$A3604="",FALSE(),중복검사!$J3604="유지")</f>
        <v>0</v>
      </c>
      <c r="I3606" s="5" t="str">
        <f aca="false">IF($H3606=FALSE(),"",COUNTIF($H$6:$H3606,TRUE()))</f>
        <v/>
      </c>
      <c r="J3606" s="5" t="str">
        <f aca="false">IF($I3606="","","R"&amp;$I3606)</f>
        <v/>
      </c>
    </row>
    <row r="3607" customFormat="false" ht="15" hidden="false" customHeight="true" outlineLevel="0" collapsed="false">
      <c r="H3607" s="14" t="b">
        <f aca="false">IF(중복검사!$A3605="",FALSE(),중복검사!$J3605="유지")</f>
        <v>0</v>
      </c>
      <c r="I3607" s="5" t="str">
        <f aca="false">IF($H3607=FALSE(),"",COUNTIF($H$6:$H3607,TRUE()))</f>
        <v/>
      </c>
      <c r="J3607" s="5" t="str">
        <f aca="false">IF($I3607="","","R"&amp;$I3607)</f>
        <v/>
      </c>
    </row>
    <row r="3608" customFormat="false" ht="15" hidden="false" customHeight="true" outlineLevel="0" collapsed="false">
      <c r="H3608" s="14" t="b">
        <f aca="false">IF(중복검사!$A3606="",FALSE(),중복검사!$J3606="유지")</f>
        <v>0</v>
      </c>
      <c r="I3608" s="5" t="str">
        <f aca="false">IF($H3608=FALSE(),"",COUNTIF($H$6:$H3608,TRUE()))</f>
        <v/>
      </c>
      <c r="J3608" s="5" t="str">
        <f aca="false">IF($I3608="","","R"&amp;$I3608)</f>
        <v/>
      </c>
    </row>
    <row r="3609" customFormat="false" ht="15" hidden="false" customHeight="true" outlineLevel="0" collapsed="false">
      <c r="H3609" s="14" t="b">
        <f aca="false">IF(중복검사!$A3607="",FALSE(),중복검사!$J3607="유지")</f>
        <v>0</v>
      </c>
      <c r="I3609" s="5" t="str">
        <f aca="false">IF($H3609=FALSE(),"",COUNTIF($H$6:$H3609,TRUE()))</f>
        <v/>
      </c>
      <c r="J3609" s="5" t="str">
        <f aca="false">IF($I3609="","","R"&amp;$I3609)</f>
        <v/>
      </c>
    </row>
    <row r="3610" customFormat="false" ht="15" hidden="false" customHeight="true" outlineLevel="0" collapsed="false">
      <c r="H3610" s="14" t="b">
        <f aca="false">IF(중복검사!$A3608="",FALSE(),중복검사!$J3608="유지")</f>
        <v>0</v>
      </c>
      <c r="I3610" s="5" t="str">
        <f aca="false">IF($H3610=FALSE(),"",COUNTIF($H$6:$H3610,TRUE()))</f>
        <v/>
      </c>
      <c r="J3610" s="5" t="str">
        <f aca="false">IF($I3610="","","R"&amp;$I3610)</f>
        <v/>
      </c>
    </row>
    <row r="3611" customFormat="false" ht="15" hidden="false" customHeight="true" outlineLevel="0" collapsed="false">
      <c r="H3611" s="14" t="b">
        <f aca="false">IF(중복검사!$A3609="",FALSE(),중복검사!$J3609="유지")</f>
        <v>0</v>
      </c>
      <c r="I3611" s="5" t="str">
        <f aca="false">IF($H3611=FALSE(),"",COUNTIF($H$6:$H3611,TRUE()))</f>
        <v/>
      </c>
      <c r="J3611" s="5" t="str">
        <f aca="false">IF($I3611="","","R"&amp;$I3611)</f>
        <v/>
      </c>
    </row>
    <row r="3612" customFormat="false" ht="15" hidden="false" customHeight="true" outlineLevel="0" collapsed="false">
      <c r="H3612" s="14" t="b">
        <f aca="false">IF(중복검사!$A3610="",FALSE(),중복검사!$J3610="유지")</f>
        <v>0</v>
      </c>
      <c r="I3612" s="5" t="str">
        <f aca="false">IF($H3612=FALSE(),"",COUNTIF($H$6:$H3612,TRUE()))</f>
        <v/>
      </c>
      <c r="J3612" s="5" t="str">
        <f aca="false">IF($I3612="","","R"&amp;$I3612)</f>
        <v/>
      </c>
    </row>
    <row r="3613" customFormat="false" ht="15" hidden="false" customHeight="true" outlineLevel="0" collapsed="false">
      <c r="H3613" s="14" t="b">
        <f aca="false">IF(중복검사!$A3611="",FALSE(),중복검사!$J3611="유지")</f>
        <v>0</v>
      </c>
      <c r="I3613" s="5" t="str">
        <f aca="false">IF($H3613=FALSE(),"",COUNTIF($H$6:$H3613,TRUE()))</f>
        <v/>
      </c>
      <c r="J3613" s="5" t="str">
        <f aca="false">IF($I3613="","","R"&amp;$I3613)</f>
        <v/>
      </c>
    </row>
    <row r="3614" customFormat="false" ht="15" hidden="false" customHeight="true" outlineLevel="0" collapsed="false">
      <c r="H3614" s="14" t="b">
        <f aca="false">IF(중복검사!$A3612="",FALSE(),중복검사!$J3612="유지")</f>
        <v>0</v>
      </c>
      <c r="I3614" s="5" t="str">
        <f aca="false">IF($H3614=FALSE(),"",COUNTIF($H$6:$H3614,TRUE()))</f>
        <v/>
      </c>
      <c r="J3614" s="5" t="str">
        <f aca="false">IF($I3614="","","R"&amp;$I3614)</f>
        <v/>
      </c>
    </row>
    <row r="3615" customFormat="false" ht="15" hidden="false" customHeight="true" outlineLevel="0" collapsed="false">
      <c r="H3615" s="14" t="b">
        <f aca="false">IF(중복검사!$A3613="",FALSE(),중복검사!$J3613="유지")</f>
        <v>0</v>
      </c>
      <c r="I3615" s="5" t="str">
        <f aca="false">IF($H3615=FALSE(),"",COUNTIF($H$6:$H3615,TRUE()))</f>
        <v/>
      </c>
      <c r="J3615" s="5" t="str">
        <f aca="false">IF($I3615="","","R"&amp;$I3615)</f>
        <v/>
      </c>
    </row>
    <row r="3616" customFormat="false" ht="15" hidden="false" customHeight="true" outlineLevel="0" collapsed="false">
      <c r="H3616" s="14" t="b">
        <f aca="false">IF(중복검사!$A3614="",FALSE(),중복검사!$J3614="유지")</f>
        <v>0</v>
      </c>
      <c r="I3616" s="5" t="str">
        <f aca="false">IF($H3616=FALSE(),"",COUNTIF($H$6:$H3616,TRUE()))</f>
        <v/>
      </c>
      <c r="J3616" s="5" t="str">
        <f aca="false">IF($I3616="","","R"&amp;$I3616)</f>
        <v/>
      </c>
    </row>
    <row r="3617" customFormat="false" ht="15" hidden="false" customHeight="true" outlineLevel="0" collapsed="false">
      <c r="H3617" s="14" t="b">
        <f aca="false">IF(중복검사!$A3615="",FALSE(),중복검사!$J3615="유지")</f>
        <v>0</v>
      </c>
      <c r="I3617" s="5" t="str">
        <f aca="false">IF($H3617=FALSE(),"",COUNTIF($H$6:$H3617,TRUE()))</f>
        <v/>
      </c>
      <c r="J3617" s="5" t="str">
        <f aca="false">IF($I3617="","","R"&amp;$I3617)</f>
        <v/>
      </c>
    </row>
    <row r="3618" customFormat="false" ht="15" hidden="false" customHeight="true" outlineLevel="0" collapsed="false">
      <c r="H3618" s="14" t="b">
        <f aca="false">IF(중복검사!$A3616="",FALSE(),중복검사!$J3616="유지")</f>
        <v>0</v>
      </c>
      <c r="I3618" s="5" t="str">
        <f aca="false">IF($H3618=FALSE(),"",COUNTIF($H$6:$H3618,TRUE()))</f>
        <v/>
      </c>
      <c r="J3618" s="5" t="str">
        <f aca="false">IF($I3618="","","R"&amp;$I3618)</f>
        <v/>
      </c>
    </row>
    <row r="3619" customFormat="false" ht="15" hidden="false" customHeight="true" outlineLevel="0" collapsed="false">
      <c r="H3619" s="14" t="b">
        <f aca="false">IF(중복검사!$A3617="",FALSE(),중복검사!$J3617="유지")</f>
        <v>0</v>
      </c>
      <c r="I3619" s="5" t="str">
        <f aca="false">IF($H3619=FALSE(),"",COUNTIF($H$6:$H3619,TRUE()))</f>
        <v/>
      </c>
      <c r="J3619" s="5" t="str">
        <f aca="false">IF($I3619="","","R"&amp;$I3619)</f>
        <v/>
      </c>
    </row>
    <row r="3620" customFormat="false" ht="15" hidden="false" customHeight="true" outlineLevel="0" collapsed="false">
      <c r="H3620" s="14" t="b">
        <f aca="false">IF(중복검사!$A3618="",FALSE(),중복검사!$J3618="유지")</f>
        <v>0</v>
      </c>
      <c r="I3620" s="5" t="str">
        <f aca="false">IF($H3620=FALSE(),"",COUNTIF($H$6:$H3620,TRUE()))</f>
        <v/>
      </c>
      <c r="J3620" s="5" t="str">
        <f aca="false">IF($I3620="","","R"&amp;$I3620)</f>
        <v/>
      </c>
    </row>
    <row r="3621" customFormat="false" ht="15" hidden="false" customHeight="true" outlineLevel="0" collapsed="false">
      <c r="H3621" s="14" t="b">
        <f aca="false">IF(중복검사!$A3619="",FALSE(),중복검사!$J3619="유지")</f>
        <v>0</v>
      </c>
      <c r="I3621" s="5" t="str">
        <f aca="false">IF($H3621=FALSE(),"",COUNTIF($H$6:$H3621,TRUE()))</f>
        <v/>
      </c>
      <c r="J3621" s="5" t="str">
        <f aca="false">IF($I3621="","","R"&amp;$I3621)</f>
        <v/>
      </c>
    </row>
    <row r="3622" customFormat="false" ht="15" hidden="false" customHeight="true" outlineLevel="0" collapsed="false">
      <c r="H3622" s="14" t="b">
        <f aca="false">IF(중복검사!$A3620="",FALSE(),중복검사!$J3620="유지")</f>
        <v>0</v>
      </c>
      <c r="I3622" s="5" t="str">
        <f aca="false">IF($H3622=FALSE(),"",COUNTIF($H$6:$H3622,TRUE()))</f>
        <v/>
      </c>
      <c r="J3622" s="5" t="str">
        <f aca="false">IF($I3622="","","R"&amp;$I3622)</f>
        <v/>
      </c>
    </row>
    <row r="3623" customFormat="false" ht="15" hidden="false" customHeight="true" outlineLevel="0" collapsed="false">
      <c r="H3623" s="14" t="b">
        <f aca="false">IF(중복검사!$A3621="",FALSE(),중복검사!$J3621="유지")</f>
        <v>0</v>
      </c>
      <c r="I3623" s="5" t="str">
        <f aca="false">IF($H3623=FALSE(),"",COUNTIF($H$6:$H3623,TRUE()))</f>
        <v/>
      </c>
      <c r="J3623" s="5" t="str">
        <f aca="false">IF($I3623="","","R"&amp;$I3623)</f>
        <v/>
      </c>
    </row>
    <row r="3624" customFormat="false" ht="15" hidden="false" customHeight="true" outlineLevel="0" collapsed="false">
      <c r="H3624" s="14" t="b">
        <f aca="false">IF(중복검사!$A3622="",FALSE(),중복검사!$J3622="유지")</f>
        <v>0</v>
      </c>
      <c r="I3624" s="5" t="str">
        <f aca="false">IF($H3624=FALSE(),"",COUNTIF($H$6:$H3624,TRUE()))</f>
        <v/>
      </c>
      <c r="J3624" s="5" t="str">
        <f aca="false">IF($I3624="","","R"&amp;$I3624)</f>
        <v/>
      </c>
    </row>
    <row r="3625" customFormat="false" ht="15" hidden="false" customHeight="true" outlineLevel="0" collapsed="false">
      <c r="H3625" s="14" t="b">
        <f aca="false">IF(중복검사!$A3623="",FALSE(),중복검사!$J3623="유지")</f>
        <v>0</v>
      </c>
      <c r="I3625" s="5" t="str">
        <f aca="false">IF($H3625=FALSE(),"",COUNTIF($H$6:$H3625,TRUE()))</f>
        <v/>
      </c>
      <c r="J3625" s="5" t="str">
        <f aca="false">IF($I3625="","","R"&amp;$I3625)</f>
        <v/>
      </c>
    </row>
    <row r="3626" customFormat="false" ht="15" hidden="false" customHeight="true" outlineLevel="0" collapsed="false">
      <c r="H3626" s="14" t="b">
        <f aca="false">IF(중복검사!$A3624="",FALSE(),중복검사!$J3624="유지")</f>
        <v>0</v>
      </c>
      <c r="I3626" s="5" t="str">
        <f aca="false">IF($H3626=FALSE(),"",COUNTIF($H$6:$H3626,TRUE()))</f>
        <v/>
      </c>
      <c r="J3626" s="5" t="str">
        <f aca="false">IF($I3626="","","R"&amp;$I3626)</f>
        <v/>
      </c>
    </row>
    <row r="3627" customFormat="false" ht="15" hidden="false" customHeight="true" outlineLevel="0" collapsed="false">
      <c r="H3627" s="14" t="b">
        <f aca="false">IF(중복검사!$A3625="",FALSE(),중복검사!$J3625="유지")</f>
        <v>0</v>
      </c>
      <c r="I3627" s="5" t="str">
        <f aca="false">IF($H3627=FALSE(),"",COUNTIF($H$6:$H3627,TRUE()))</f>
        <v/>
      </c>
      <c r="J3627" s="5" t="str">
        <f aca="false">IF($I3627="","","R"&amp;$I3627)</f>
        <v/>
      </c>
    </row>
    <row r="3628" customFormat="false" ht="15" hidden="false" customHeight="true" outlineLevel="0" collapsed="false">
      <c r="H3628" s="14" t="b">
        <f aca="false">IF(중복검사!$A3626="",FALSE(),중복검사!$J3626="유지")</f>
        <v>0</v>
      </c>
      <c r="I3628" s="5" t="str">
        <f aca="false">IF($H3628=FALSE(),"",COUNTIF($H$6:$H3628,TRUE()))</f>
        <v/>
      </c>
      <c r="J3628" s="5" t="str">
        <f aca="false">IF($I3628="","","R"&amp;$I3628)</f>
        <v/>
      </c>
    </row>
    <row r="3629" customFormat="false" ht="15" hidden="false" customHeight="true" outlineLevel="0" collapsed="false">
      <c r="H3629" s="14" t="b">
        <f aca="false">IF(중복검사!$A3627="",FALSE(),중복검사!$J3627="유지")</f>
        <v>0</v>
      </c>
      <c r="I3629" s="5" t="str">
        <f aca="false">IF($H3629=FALSE(),"",COUNTIF($H$6:$H3629,TRUE()))</f>
        <v/>
      </c>
      <c r="J3629" s="5" t="str">
        <f aca="false">IF($I3629="","","R"&amp;$I3629)</f>
        <v/>
      </c>
    </row>
    <row r="3630" customFormat="false" ht="15" hidden="false" customHeight="true" outlineLevel="0" collapsed="false">
      <c r="H3630" s="14" t="b">
        <f aca="false">IF(중복검사!$A3628="",FALSE(),중복검사!$J3628="유지")</f>
        <v>0</v>
      </c>
      <c r="I3630" s="5" t="str">
        <f aca="false">IF($H3630=FALSE(),"",COUNTIF($H$6:$H3630,TRUE()))</f>
        <v/>
      </c>
      <c r="J3630" s="5" t="str">
        <f aca="false">IF($I3630="","","R"&amp;$I3630)</f>
        <v/>
      </c>
    </row>
    <row r="3631" customFormat="false" ht="15" hidden="false" customHeight="true" outlineLevel="0" collapsed="false">
      <c r="H3631" s="14" t="b">
        <f aca="false">IF(중복검사!$A3629="",FALSE(),중복검사!$J3629="유지")</f>
        <v>0</v>
      </c>
      <c r="I3631" s="5" t="str">
        <f aca="false">IF($H3631=FALSE(),"",COUNTIF($H$6:$H3631,TRUE()))</f>
        <v/>
      </c>
      <c r="J3631" s="5" t="str">
        <f aca="false">IF($I3631="","","R"&amp;$I3631)</f>
        <v/>
      </c>
    </row>
    <row r="3632" customFormat="false" ht="15" hidden="false" customHeight="true" outlineLevel="0" collapsed="false">
      <c r="H3632" s="14" t="b">
        <f aca="false">IF(중복검사!$A3630="",FALSE(),중복검사!$J3630="유지")</f>
        <v>0</v>
      </c>
      <c r="I3632" s="5" t="str">
        <f aca="false">IF($H3632=FALSE(),"",COUNTIF($H$6:$H3632,TRUE()))</f>
        <v/>
      </c>
      <c r="J3632" s="5" t="str">
        <f aca="false">IF($I3632="","","R"&amp;$I3632)</f>
        <v/>
      </c>
    </row>
    <row r="3633" customFormat="false" ht="15" hidden="false" customHeight="true" outlineLevel="0" collapsed="false">
      <c r="H3633" s="14" t="b">
        <f aca="false">IF(중복검사!$A3631="",FALSE(),중복검사!$J3631="유지")</f>
        <v>0</v>
      </c>
      <c r="I3633" s="5" t="str">
        <f aca="false">IF($H3633=FALSE(),"",COUNTIF($H$6:$H3633,TRUE()))</f>
        <v/>
      </c>
      <c r="J3633" s="5" t="str">
        <f aca="false">IF($I3633="","","R"&amp;$I3633)</f>
        <v/>
      </c>
    </row>
    <row r="3634" customFormat="false" ht="15" hidden="false" customHeight="true" outlineLevel="0" collapsed="false">
      <c r="H3634" s="14" t="b">
        <f aca="false">IF(중복검사!$A3632="",FALSE(),중복검사!$J3632="유지")</f>
        <v>0</v>
      </c>
      <c r="I3634" s="5" t="str">
        <f aca="false">IF($H3634=FALSE(),"",COUNTIF($H$6:$H3634,TRUE()))</f>
        <v/>
      </c>
      <c r="J3634" s="5" t="str">
        <f aca="false">IF($I3634="","","R"&amp;$I3634)</f>
        <v/>
      </c>
    </row>
    <row r="3635" customFormat="false" ht="15" hidden="false" customHeight="true" outlineLevel="0" collapsed="false">
      <c r="H3635" s="14" t="b">
        <f aca="false">IF(중복검사!$A3633="",FALSE(),중복검사!$J3633="유지")</f>
        <v>0</v>
      </c>
      <c r="I3635" s="5" t="str">
        <f aca="false">IF($H3635=FALSE(),"",COUNTIF($H$6:$H3635,TRUE()))</f>
        <v/>
      </c>
      <c r="J3635" s="5" t="str">
        <f aca="false">IF($I3635="","","R"&amp;$I3635)</f>
        <v/>
      </c>
    </row>
    <row r="3636" customFormat="false" ht="15" hidden="false" customHeight="true" outlineLevel="0" collapsed="false">
      <c r="H3636" s="14" t="b">
        <f aca="false">IF(중복검사!$A3634="",FALSE(),중복검사!$J3634="유지")</f>
        <v>0</v>
      </c>
      <c r="I3636" s="5" t="str">
        <f aca="false">IF($H3636=FALSE(),"",COUNTIF($H$6:$H3636,TRUE()))</f>
        <v/>
      </c>
      <c r="J3636" s="5" t="str">
        <f aca="false">IF($I3636="","","R"&amp;$I3636)</f>
        <v/>
      </c>
    </row>
    <row r="3637" customFormat="false" ht="15" hidden="false" customHeight="true" outlineLevel="0" collapsed="false">
      <c r="H3637" s="14" t="b">
        <f aca="false">IF(중복검사!$A3635="",FALSE(),중복검사!$J3635="유지")</f>
        <v>0</v>
      </c>
      <c r="I3637" s="5" t="str">
        <f aca="false">IF($H3637=FALSE(),"",COUNTIF($H$6:$H3637,TRUE()))</f>
        <v/>
      </c>
      <c r="J3637" s="5" t="str">
        <f aca="false">IF($I3637="","","R"&amp;$I3637)</f>
        <v/>
      </c>
    </row>
    <row r="3638" customFormat="false" ht="15" hidden="false" customHeight="true" outlineLevel="0" collapsed="false">
      <c r="H3638" s="14" t="b">
        <f aca="false">IF(중복검사!$A3636="",FALSE(),중복검사!$J3636="유지")</f>
        <v>0</v>
      </c>
      <c r="I3638" s="5" t="str">
        <f aca="false">IF($H3638=FALSE(),"",COUNTIF($H$6:$H3638,TRUE()))</f>
        <v/>
      </c>
      <c r="J3638" s="5" t="str">
        <f aca="false">IF($I3638="","","R"&amp;$I3638)</f>
        <v/>
      </c>
    </row>
    <row r="3639" customFormat="false" ht="15" hidden="false" customHeight="true" outlineLevel="0" collapsed="false">
      <c r="H3639" s="14" t="b">
        <f aca="false">IF(중복검사!$A3637="",FALSE(),중복검사!$J3637="유지")</f>
        <v>0</v>
      </c>
      <c r="I3639" s="5" t="str">
        <f aca="false">IF($H3639=FALSE(),"",COUNTIF($H$6:$H3639,TRUE()))</f>
        <v/>
      </c>
      <c r="J3639" s="5" t="str">
        <f aca="false">IF($I3639="","","R"&amp;$I3639)</f>
        <v/>
      </c>
    </row>
    <row r="3640" customFormat="false" ht="15" hidden="false" customHeight="true" outlineLevel="0" collapsed="false">
      <c r="H3640" s="14" t="b">
        <f aca="false">IF(중복검사!$A3638="",FALSE(),중복검사!$J3638="유지")</f>
        <v>0</v>
      </c>
      <c r="I3640" s="5" t="str">
        <f aca="false">IF($H3640=FALSE(),"",COUNTIF($H$6:$H3640,TRUE()))</f>
        <v/>
      </c>
      <c r="J3640" s="5" t="str">
        <f aca="false">IF($I3640="","","R"&amp;$I3640)</f>
        <v/>
      </c>
    </row>
    <row r="3641" customFormat="false" ht="15" hidden="false" customHeight="true" outlineLevel="0" collapsed="false">
      <c r="H3641" s="14" t="b">
        <f aca="false">IF(중복검사!$A3639="",FALSE(),중복검사!$J3639="유지")</f>
        <v>0</v>
      </c>
      <c r="I3641" s="5" t="str">
        <f aca="false">IF($H3641=FALSE(),"",COUNTIF($H$6:$H3641,TRUE()))</f>
        <v/>
      </c>
      <c r="J3641" s="5" t="str">
        <f aca="false">IF($I3641="","","R"&amp;$I3641)</f>
        <v/>
      </c>
    </row>
    <row r="3642" customFormat="false" ht="15" hidden="false" customHeight="true" outlineLevel="0" collapsed="false">
      <c r="H3642" s="14" t="b">
        <f aca="false">IF(중복검사!$A3640="",FALSE(),중복검사!$J3640="유지")</f>
        <v>0</v>
      </c>
      <c r="I3642" s="5" t="str">
        <f aca="false">IF($H3642=FALSE(),"",COUNTIF($H$6:$H3642,TRUE()))</f>
        <v/>
      </c>
      <c r="J3642" s="5" t="str">
        <f aca="false">IF($I3642="","","R"&amp;$I3642)</f>
        <v/>
      </c>
    </row>
    <row r="3643" customFormat="false" ht="15" hidden="false" customHeight="true" outlineLevel="0" collapsed="false">
      <c r="H3643" s="14" t="b">
        <f aca="false">IF(중복검사!$A3641="",FALSE(),중복검사!$J3641="유지")</f>
        <v>0</v>
      </c>
      <c r="I3643" s="5" t="str">
        <f aca="false">IF($H3643=FALSE(),"",COUNTIF($H$6:$H3643,TRUE()))</f>
        <v/>
      </c>
      <c r="J3643" s="5" t="str">
        <f aca="false">IF($I3643="","","R"&amp;$I3643)</f>
        <v/>
      </c>
    </row>
    <row r="3644" customFormat="false" ht="15" hidden="false" customHeight="true" outlineLevel="0" collapsed="false">
      <c r="H3644" s="14" t="b">
        <f aca="false">IF(중복검사!$A3642="",FALSE(),중복검사!$J3642="유지")</f>
        <v>0</v>
      </c>
      <c r="I3644" s="5" t="str">
        <f aca="false">IF($H3644=FALSE(),"",COUNTIF($H$6:$H3644,TRUE()))</f>
        <v/>
      </c>
      <c r="J3644" s="5" t="str">
        <f aca="false">IF($I3644="","","R"&amp;$I3644)</f>
        <v/>
      </c>
    </row>
    <row r="3645" customFormat="false" ht="15" hidden="false" customHeight="true" outlineLevel="0" collapsed="false">
      <c r="H3645" s="14" t="b">
        <f aca="false">IF(중복검사!$A3643="",FALSE(),중복검사!$J3643="유지")</f>
        <v>0</v>
      </c>
      <c r="I3645" s="5" t="str">
        <f aca="false">IF($H3645=FALSE(),"",COUNTIF($H$6:$H3645,TRUE()))</f>
        <v/>
      </c>
      <c r="J3645" s="5" t="str">
        <f aca="false">IF($I3645="","","R"&amp;$I3645)</f>
        <v/>
      </c>
    </row>
    <row r="3646" customFormat="false" ht="15" hidden="false" customHeight="true" outlineLevel="0" collapsed="false">
      <c r="H3646" s="14" t="b">
        <f aca="false">IF(중복검사!$A3644="",FALSE(),중복검사!$J3644="유지")</f>
        <v>0</v>
      </c>
      <c r="I3646" s="5" t="str">
        <f aca="false">IF($H3646=FALSE(),"",COUNTIF($H$6:$H3646,TRUE()))</f>
        <v/>
      </c>
      <c r="J3646" s="5" t="str">
        <f aca="false">IF($I3646="","","R"&amp;$I3646)</f>
        <v/>
      </c>
    </row>
    <row r="3647" customFormat="false" ht="15" hidden="false" customHeight="true" outlineLevel="0" collapsed="false">
      <c r="H3647" s="14" t="b">
        <f aca="false">IF(중복검사!$A3645="",FALSE(),중복검사!$J3645="유지")</f>
        <v>0</v>
      </c>
      <c r="I3647" s="5" t="str">
        <f aca="false">IF($H3647=FALSE(),"",COUNTIF($H$6:$H3647,TRUE()))</f>
        <v/>
      </c>
      <c r="J3647" s="5" t="str">
        <f aca="false">IF($I3647="","","R"&amp;$I3647)</f>
        <v/>
      </c>
    </row>
    <row r="3648" customFormat="false" ht="15" hidden="false" customHeight="true" outlineLevel="0" collapsed="false">
      <c r="H3648" s="14" t="b">
        <f aca="false">IF(중복검사!$A3646="",FALSE(),중복검사!$J3646="유지")</f>
        <v>0</v>
      </c>
      <c r="I3648" s="5" t="str">
        <f aca="false">IF($H3648=FALSE(),"",COUNTIF($H$6:$H3648,TRUE()))</f>
        <v/>
      </c>
      <c r="J3648" s="5" t="str">
        <f aca="false">IF($I3648="","","R"&amp;$I3648)</f>
        <v/>
      </c>
    </row>
    <row r="3649" customFormat="false" ht="15" hidden="false" customHeight="true" outlineLevel="0" collapsed="false">
      <c r="H3649" s="14" t="b">
        <f aca="false">IF(중복검사!$A3647="",FALSE(),중복검사!$J3647="유지")</f>
        <v>0</v>
      </c>
      <c r="I3649" s="5" t="str">
        <f aca="false">IF($H3649=FALSE(),"",COUNTIF($H$6:$H3649,TRUE()))</f>
        <v/>
      </c>
      <c r="J3649" s="5" t="str">
        <f aca="false">IF($I3649="","","R"&amp;$I3649)</f>
        <v/>
      </c>
    </row>
    <row r="3650" customFormat="false" ht="15" hidden="false" customHeight="true" outlineLevel="0" collapsed="false">
      <c r="H3650" s="14" t="b">
        <f aca="false">IF(중복검사!$A3648="",FALSE(),중복검사!$J3648="유지")</f>
        <v>0</v>
      </c>
      <c r="I3650" s="5" t="str">
        <f aca="false">IF($H3650=FALSE(),"",COUNTIF($H$6:$H3650,TRUE()))</f>
        <v/>
      </c>
      <c r="J3650" s="5" t="str">
        <f aca="false">IF($I3650="","","R"&amp;$I3650)</f>
        <v/>
      </c>
    </row>
    <row r="3651" customFormat="false" ht="15" hidden="false" customHeight="true" outlineLevel="0" collapsed="false">
      <c r="H3651" s="14" t="b">
        <f aca="false">IF(중복검사!$A3649="",FALSE(),중복검사!$J3649="유지")</f>
        <v>0</v>
      </c>
      <c r="I3651" s="5" t="str">
        <f aca="false">IF($H3651=FALSE(),"",COUNTIF($H$6:$H3651,TRUE()))</f>
        <v/>
      </c>
      <c r="J3651" s="5" t="str">
        <f aca="false">IF($I3651="","","R"&amp;$I3651)</f>
        <v/>
      </c>
    </row>
    <row r="3652" customFormat="false" ht="15" hidden="false" customHeight="true" outlineLevel="0" collapsed="false">
      <c r="H3652" s="14" t="b">
        <f aca="false">IF(중복검사!$A3650="",FALSE(),중복검사!$J3650="유지")</f>
        <v>0</v>
      </c>
      <c r="I3652" s="5" t="str">
        <f aca="false">IF($H3652=FALSE(),"",COUNTIF($H$6:$H3652,TRUE()))</f>
        <v/>
      </c>
      <c r="J3652" s="5" t="str">
        <f aca="false">IF($I3652="","","R"&amp;$I3652)</f>
        <v/>
      </c>
    </row>
    <row r="3653" customFormat="false" ht="15" hidden="false" customHeight="true" outlineLevel="0" collapsed="false">
      <c r="H3653" s="14" t="b">
        <f aca="false">IF(중복검사!$A3651="",FALSE(),중복검사!$J3651="유지")</f>
        <v>0</v>
      </c>
      <c r="I3653" s="5" t="str">
        <f aca="false">IF($H3653=FALSE(),"",COUNTIF($H$6:$H3653,TRUE()))</f>
        <v/>
      </c>
      <c r="J3653" s="5" t="str">
        <f aca="false">IF($I3653="","","R"&amp;$I3653)</f>
        <v/>
      </c>
    </row>
    <row r="3654" customFormat="false" ht="15" hidden="false" customHeight="true" outlineLevel="0" collapsed="false">
      <c r="H3654" s="14" t="b">
        <f aca="false">IF(중복검사!$A3652="",FALSE(),중복검사!$J3652="유지")</f>
        <v>0</v>
      </c>
      <c r="I3654" s="5" t="str">
        <f aca="false">IF($H3654=FALSE(),"",COUNTIF($H$6:$H3654,TRUE()))</f>
        <v/>
      </c>
      <c r="J3654" s="5" t="str">
        <f aca="false">IF($I3654="","","R"&amp;$I3654)</f>
        <v/>
      </c>
    </row>
    <row r="3655" customFormat="false" ht="15" hidden="false" customHeight="true" outlineLevel="0" collapsed="false">
      <c r="H3655" s="14" t="b">
        <f aca="false">IF(중복검사!$A3653="",FALSE(),중복검사!$J3653="유지")</f>
        <v>0</v>
      </c>
      <c r="I3655" s="5" t="str">
        <f aca="false">IF($H3655=FALSE(),"",COUNTIF($H$6:$H3655,TRUE()))</f>
        <v/>
      </c>
      <c r="J3655" s="5" t="str">
        <f aca="false">IF($I3655="","","R"&amp;$I3655)</f>
        <v/>
      </c>
    </row>
    <row r="3656" customFormat="false" ht="15" hidden="false" customHeight="true" outlineLevel="0" collapsed="false">
      <c r="H3656" s="14" t="b">
        <f aca="false">IF(중복검사!$A3654="",FALSE(),중복검사!$J3654="유지")</f>
        <v>0</v>
      </c>
      <c r="I3656" s="5" t="str">
        <f aca="false">IF($H3656=FALSE(),"",COUNTIF($H$6:$H3656,TRUE()))</f>
        <v/>
      </c>
      <c r="J3656" s="5" t="str">
        <f aca="false">IF($I3656="","","R"&amp;$I3656)</f>
        <v/>
      </c>
    </row>
    <row r="3657" customFormat="false" ht="15" hidden="false" customHeight="true" outlineLevel="0" collapsed="false">
      <c r="H3657" s="14" t="b">
        <f aca="false">IF(중복검사!$A3655="",FALSE(),중복검사!$J3655="유지")</f>
        <v>0</v>
      </c>
      <c r="I3657" s="5" t="str">
        <f aca="false">IF($H3657=FALSE(),"",COUNTIF($H$6:$H3657,TRUE()))</f>
        <v/>
      </c>
      <c r="J3657" s="5" t="str">
        <f aca="false">IF($I3657="","","R"&amp;$I3657)</f>
        <v/>
      </c>
    </row>
    <row r="3658" customFormat="false" ht="15" hidden="false" customHeight="true" outlineLevel="0" collapsed="false">
      <c r="H3658" s="14" t="b">
        <f aca="false">IF(중복검사!$A3656="",FALSE(),중복검사!$J3656="유지")</f>
        <v>0</v>
      </c>
      <c r="I3658" s="5" t="str">
        <f aca="false">IF($H3658=FALSE(),"",COUNTIF($H$6:$H3658,TRUE()))</f>
        <v/>
      </c>
      <c r="J3658" s="5" t="str">
        <f aca="false">IF($I3658="","","R"&amp;$I3658)</f>
        <v/>
      </c>
    </row>
    <row r="3659" customFormat="false" ht="15" hidden="false" customHeight="true" outlineLevel="0" collapsed="false">
      <c r="H3659" s="14" t="b">
        <f aca="false">IF(중복검사!$A3657="",FALSE(),중복검사!$J3657="유지")</f>
        <v>0</v>
      </c>
      <c r="I3659" s="5" t="str">
        <f aca="false">IF($H3659=FALSE(),"",COUNTIF($H$6:$H3659,TRUE()))</f>
        <v/>
      </c>
      <c r="J3659" s="5" t="str">
        <f aca="false">IF($I3659="","","R"&amp;$I3659)</f>
        <v/>
      </c>
    </row>
    <row r="3660" customFormat="false" ht="15" hidden="false" customHeight="true" outlineLevel="0" collapsed="false">
      <c r="H3660" s="14" t="b">
        <f aca="false">IF(중복검사!$A3658="",FALSE(),중복검사!$J3658="유지")</f>
        <v>0</v>
      </c>
      <c r="I3660" s="5" t="str">
        <f aca="false">IF($H3660=FALSE(),"",COUNTIF($H$6:$H3660,TRUE()))</f>
        <v/>
      </c>
      <c r="J3660" s="5" t="str">
        <f aca="false">IF($I3660="","","R"&amp;$I3660)</f>
        <v/>
      </c>
    </row>
    <row r="3661" customFormat="false" ht="15" hidden="false" customHeight="true" outlineLevel="0" collapsed="false">
      <c r="H3661" s="14" t="b">
        <f aca="false">IF(중복검사!$A3659="",FALSE(),중복검사!$J3659="유지")</f>
        <v>0</v>
      </c>
      <c r="I3661" s="5" t="str">
        <f aca="false">IF($H3661=FALSE(),"",COUNTIF($H$6:$H3661,TRUE()))</f>
        <v/>
      </c>
      <c r="J3661" s="5" t="str">
        <f aca="false">IF($I3661="","","R"&amp;$I3661)</f>
        <v/>
      </c>
    </row>
    <row r="3662" customFormat="false" ht="15" hidden="false" customHeight="true" outlineLevel="0" collapsed="false">
      <c r="H3662" s="14" t="b">
        <f aca="false">IF(중복검사!$A3660="",FALSE(),중복검사!$J3660="유지")</f>
        <v>0</v>
      </c>
      <c r="I3662" s="5" t="str">
        <f aca="false">IF($H3662=FALSE(),"",COUNTIF($H$6:$H3662,TRUE()))</f>
        <v/>
      </c>
      <c r="J3662" s="5" t="str">
        <f aca="false">IF($I3662="","","R"&amp;$I3662)</f>
        <v/>
      </c>
    </row>
    <row r="3663" customFormat="false" ht="15" hidden="false" customHeight="true" outlineLevel="0" collapsed="false">
      <c r="H3663" s="14" t="b">
        <f aca="false">IF(중복검사!$A3661="",FALSE(),중복검사!$J3661="유지")</f>
        <v>0</v>
      </c>
      <c r="I3663" s="5" t="str">
        <f aca="false">IF($H3663=FALSE(),"",COUNTIF($H$6:$H3663,TRUE()))</f>
        <v/>
      </c>
      <c r="J3663" s="5" t="str">
        <f aca="false">IF($I3663="","","R"&amp;$I3663)</f>
        <v/>
      </c>
    </row>
    <row r="3664" customFormat="false" ht="15" hidden="false" customHeight="true" outlineLevel="0" collapsed="false">
      <c r="H3664" s="14" t="b">
        <f aca="false">IF(중복검사!$A3662="",FALSE(),중복검사!$J3662="유지")</f>
        <v>0</v>
      </c>
      <c r="I3664" s="5" t="str">
        <f aca="false">IF($H3664=FALSE(),"",COUNTIF($H$6:$H3664,TRUE()))</f>
        <v/>
      </c>
      <c r="J3664" s="5" t="str">
        <f aca="false">IF($I3664="","","R"&amp;$I3664)</f>
        <v/>
      </c>
    </row>
    <row r="3665" customFormat="false" ht="15" hidden="false" customHeight="true" outlineLevel="0" collapsed="false">
      <c r="H3665" s="14" t="b">
        <f aca="false">IF(중복검사!$A3663="",FALSE(),중복검사!$J3663="유지")</f>
        <v>0</v>
      </c>
      <c r="I3665" s="5" t="str">
        <f aca="false">IF($H3665=FALSE(),"",COUNTIF($H$6:$H3665,TRUE()))</f>
        <v/>
      </c>
      <c r="J3665" s="5" t="str">
        <f aca="false">IF($I3665="","","R"&amp;$I3665)</f>
        <v/>
      </c>
    </row>
    <row r="3666" customFormat="false" ht="15" hidden="false" customHeight="true" outlineLevel="0" collapsed="false">
      <c r="H3666" s="14" t="b">
        <f aca="false">IF(중복검사!$A3664="",FALSE(),중복검사!$J3664="유지")</f>
        <v>0</v>
      </c>
      <c r="I3666" s="5" t="str">
        <f aca="false">IF($H3666=FALSE(),"",COUNTIF($H$6:$H3666,TRUE()))</f>
        <v/>
      </c>
      <c r="J3666" s="5" t="str">
        <f aca="false">IF($I3666="","","R"&amp;$I3666)</f>
        <v/>
      </c>
    </row>
    <row r="3667" customFormat="false" ht="15" hidden="false" customHeight="true" outlineLevel="0" collapsed="false">
      <c r="H3667" s="14" t="b">
        <f aca="false">IF(중복검사!$A3665="",FALSE(),중복검사!$J3665="유지")</f>
        <v>0</v>
      </c>
      <c r="I3667" s="5" t="str">
        <f aca="false">IF($H3667=FALSE(),"",COUNTIF($H$6:$H3667,TRUE()))</f>
        <v/>
      </c>
      <c r="J3667" s="5" t="str">
        <f aca="false">IF($I3667="","","R"&amp;$I3667)</f>
        <v/>
      </c>
    </row>
    <row r="3668" customFormat="false" ht="15" hidden="false" customHeight="true" outlineLevel="0" collapsed="false">
      <c r="H3668" s="14" t="b">
        <f aca="false">IF(중복검사!$A3666="",FALSE(),중복검사!$J3666="유지")</f>
        <v>0</v>
      </c>
      <c r="I3668" s="5" t="str">
        <f aca="false">IF($H3668=FALSE(),"",COUNTIF($H$6:$H3668,TRUE()))</f>
        <v/>
      </c>
      <c r="J3668" s="5" t="str">
        <f aca="false">IF($I3668="","","R"&amp;$I3668)</f>
        <v/>
      </c>
    </row>
    <row r="3669" customFormat="false" ht="15" hidden="false" customHeight="true" outlineLevel="0" collapsed="false">
      <c r="H3669" s="14" t="b">
        <f aca="false">IF(중복검사!$A3667="",FALSE(),중복검사!$J3667="유지")</f>
        <v>0</v>
      </c>
      <c r="I3669" s="5" t="str">
        <f aca="false">IF($H3669=FALSE(),"",COUNTIF($H$6:$H3669,TRUE()))</f>
        <v/>
      </c>
      <c r="J3669" s="5" t="str">
        <f aca="false">IF($I3669="","","R"&amp;$I3669)</f>
        <v/>
      </c>
    </row>
    <row r="3670" customFormat="false" ht="15" hidden="false" customHeight="true" outlineLevel="0" collapsed="false">
      <c r="H3670" s="14" t="b">
        <f aca="false">IF(중복검사!$A3668="",FALSE(),중복검사!$J3668="유지")</f>
        <v>0</v>
      </c>
      <c r="I3670" s="5" t="str">
        <f aca="false">IF($H3670=FALSE(),"",COUNTIF($H$6:$H3670,TRUE()))</f>
        <v/>
      </c>
      <c r="J3670" s="5" t="str">
        <f aca="false">IF($I3670="","","R"&amp;$I3670)</f>
        <v/>
      </c>
    </row>
    <row r="3671" customFormat="false" ht="15" hidden="false" customHeight="true" outlineLevel="0" collapsed="false">
      <c r="H3671" s="14" t="b">
        <f aca="false">IF(중복검사!$A3669="",FALSE(),중복검사!$J3669="유지")</f>
        <v>0</v>
      </c>
      <c r="I3671" s="5" t="str">
        <f aca="false">IF($H3671=FALSE(),"",COUNTIF($H$6:$H3671,TRUE()))</f>
        <v/>
      </c>
      <c r="J3671" s="5" t="str">
        <f aca="false">IF($I3671="","","R"&amp;$I3671)</f>
        <v/>
      </c>
    </row>
    <row r="3672" customFormat="false" ht="15" hidden="false" customHeight="true" outlineLevel="0" collapsed="false">
      <c r="H3672" s="14" t="b">
        <f aca="false">IF(중복검사!$A3670="",FALSE(),중복검사!$J3670="유지")</f>
        <v>0</v>
      </c>
      <c r="I3672" s="5" t="str">
        <f aca="false">IF($H3672=FALSE(),"",COUNTIF($H$6:$H3672,TRUE()))</f>
        <v/>
      </c>
      <c r="J3672" s="5" t="str">
        <f aca="false">IF($I3672="","","R"&amp;$I3672)</f>
        <v/>
      </c>
    </row>
    <row r="3673" customFormat="false" ht="15" hidden="false" customHeight="true" outlineLevel="0" collapsed="false">
      <c r="H3673" s="14" t="b">
        <f aca="false">IF(중복검사!$A3671="",FALSE(),중복검사!$J3671="유지")</f>
        <v>0</v>
      </c>
      <c r="I3673" s="5" t="str">
        <f aca="false">IF($H3673=FALSE(),"",COUNTIF($H$6:$H3673,TRUE()))</f>
        <v/>
      </c>
      <c r="J3673" s="5" t="str">
        <f aca="false">IF($I3673="","","R"&amp;$I3673)</f>
        <v/>
      </c>
    </row>
    <row r="3674" customFormat="false" ht="15" hidden="false" customHeight="true" outlineLevel="0" collapsed="false">
      <c r="H3674" s="14" t="b">
        <f aca="false">IF(중복검사!$A3672="",FALSE(),중복검사!$J3672="유지")</f>
        <v>0</v>
      </c>
      <c r="I3674" s="5" t="str">
        <f aca="false">IF($H3674=FALSE(),"",COUNTIF($H$6:$H3674,TRUE()))</f>
        <v/>
      </c>
      <c r="J3674" s="5" t="str">
        <f aca="false">IF($I3674="","","R"&amp;$I3674)</f>
        <v/>
      </c>
    </row>
    <row r="3675" customFormat="false" ht="15" hidden="false" customHeight="true" outlineLevel="0" collapsed="false">
      <c r="H3675" s="14" t="b">
        <f aca="false">IF(중복검사!$A3673="",FALSE(),중복검사!$J3673="유지")</f>
        <v>0</v>
      </c>
      <c r="I3675" s="5" t="str">
        <f aca="false">IF($H3675=FALSE(),"",COUNTIF($H$6:$H3675,TRUE()))</f>
        <v/>
      </c>
      <c r="J3675" s="5" t="str">
        <f aca="false">IF($I3675="","","R"&amp;$I3675)</f>
        <v/>
      </c>
    </row>
    <row r="3676" customFormat="false" ht="15" hidden="false" customHeight="true" outlineLevel="0" collapsed="false">
      <c r="H3676" s="14" t="b">
        <f aca="false">IF(중복검사!$A3674="",FALSE(),중복검사!$J3674="유지")</f>
        <v>0</v>
      </c>
      <c r="I3676" s="5" t="str">
        <f aca="false">IF($H3676=FALSE(),"",COUNTIF($H$6:$H3676,TRUE()))</f>
        <v/>
      </c>
      <c r="J3676" s="5" t="str">
        <f aca="false">IF($I3676="","","R"&amp;$I3676)</f>
        <v/>
      </c>
    </row>
    <row r="3677" customFormat="false" ht="15" hidden="false" customHeight="true" outlineLevel="0" collapsed="false">
      <c r="H3677" s="14" t="b">
        <f aca="false">IF(중복검사!$A3675="",FALSE(),중복검사!$J3675="유지")</f>
        <v>0</v>
      </c>
      <c r="I3677" s="5" t="str">
        <f aca="false">IF($H3677=FALSE(),"",COUNTIF($H$6:$H3677,TRUE()))</f>
        <v/>
      </c>
      <c r="J3677" s="5" t="str">
        <f aca="false">IF($I3677="","","R"&amp;$I3677)</f>
        <v/>
      </c>
    </row>
    <row r="3678" customFormat="false" ht="15" hidden="false" customHeight="true" outlineLevel="0" collapsed="false">
      <c r="H3678" s="14" t="b">
        <f aca="false">IF(중복검사!$A3676="",FALSE(),중복검사!$J3676="유지")</f>
        <v>0</v>
      </c>
      <c r="I3678" s="5" t="str">
        <f aca="false">IF($H3678=FALSE(),"",COUNTIF($H$6:$H3678,TRUE()))</f>
        <v/>
      </c>
      <c r="J3678" s="5" t="str">
        <f aca="false">IF($I3678="","","R"&amp;$I3678)</f>
        <v/>
      </c>
    </row>
    <row r="3679" customFormat="false" ht="15" hidden="false" customHeight="true" outlineLevel="0" collapsed="false">
      <c r="H3679" s="14" t="b">
        <f aca="false">IF(중복검사!$A3677="",FALSE(),중복검사!$J3677="유지")</f>
        <v>0</v>
      </c>
      <c r="I3679" s="5" t="str">
        <f aca="false">IF($H3679=FALSE(),"",COUNTIF($H$6:$H3679,TRUE()))</f>
        <v/>
      </c>
      <c r="J3679" s="5" t="str">
        <f aca="false">IF($I3679="","","R"&amp;$I3679)</f>
        <v/>
      </c>
    </row>
    <row r="3680" customFormat="false" ht="15" hidden="false" customHeight="true" outlineLevel="0" collapsed="false">
      <c r="H3680" s="14" t="b">
        <f aca="false">IF(중복검사!$A3678="",FALSE(),중복검사!$J3678="유지")</f>
        <v>0</v>
      </c>
      <c r="I3680" s="5" t="str">
        <f aca="false">IF($H3680=FALSE(),"",COUNTIF($H$6:$H3680,TRUE()))</f>
        <v/>
      </c>
      <c r="J3680" s="5" t="str">
        <f aca="false">IF($I3680="","","R"&amp;$I3680)</f>
        <v/>
      </c>
    </row>
    <row r="3681" customFormat="false" ht="15" hidden="false" customHeight="true" outlineLevel="0" collapsed="false">
      <c r="H3681" s="14" t="b">
        <f aca="false">IF(중복검사!$A3679="",FALSE(),중복검사!$J3679="유지")</f>
        <v>0</v>
      </c>
      <c r="I3681" s="5" t="str">
        <f aca="false">IF($H3681=FALSE(),"",COUNTIF($H$6:$H3681,TRUE()))</f>
        <v/>
      </c>
      <c r="J3681" s="5" t="str">
        <f aca="false">IF($I3681="","","R"&amp;$I3681)</f>
        <v/>
      </c>
    </row>
    <row r="3682" customFormat="false" ht="15" hidden="false" customHeight="true" outlineLevel="0" collapsed="false">
      <c r="H3682" s="14" t="b">
        <f aca="false">IF(중복검사!$A3680="",FALSE(),중복검사!$J3680="유지")</f>
        <v>0</v>
      </c>
      <c r="I3682" s="5" t="str">
        <f aca="false">IF($H3682=FALSE(),"",COUNTIF($H$6:$H3682,TRUE()))</f>
        <v/>
      </c>
      <c r="J3682" s="5" t="str">
        <f aca="false">IF($I3682="","","R"&amp;$I3682)</f>
        <v/>
      </c>
    </row>
    <row r="3683" customFormat="false" ht="15" hidden="false" customHeight="true" outlineLevel="0" collapsed="false">
      <c r="H3683" s="14" t="b">
        <f aca="false">IF(중복검사!$A3681="",FALSE(),중복검사!$J3681="유지")</f>
        <v>0</v>
      </c>
      <c r="I3683" s="5" t="str">
        <f aca="false">IF($H3683=FALSE(),"",COUNTIF($H$6:$H3683,TRUE()))</f>
        <v/>
      </c>
      <c r="J3683" s="5" t="str">
        <f aca="false">IF($I3683="","","R"&amp;$I3683)</f>
        <v/>
      </c>
    </row>
    <row r="3684" customFormat="false" ht="15" hidden="false" customHeight="true" outlineLevel="0" collapsed="false">
      <c r="H3684" s="14" t="b">
        <f aca="false">IF(중복검사!$A3682="",FALSE(),중복검사!$J3682="유지")</f>
        <v>0</v>
      </c>
      <c r="I3684" s="5" t="str">
        <f aca="false">IF($H3684=FALSE(),"",COUNTIF($H$6:$H3684,TRUE()))</f>
        <v/>
      </c>
      <c r="J3684" s="5" t="str">
        <f aca="false">IF($I3684="","","R"&amp;$I3684)</f>
        <v/>
      </c>
    </row>
    <row r="3685" customFormat="false" ht="15" hidden="false" customHeight="true" outlineLevel="0" collapsed="false">
      <c r="H3685" s="14" t="b">
        <f aca="false">IF(중복검사!$A3683="",FALSE(),중복검사!$J3683="유지")</f>
        <v>0</v>
      </c>
      <c r="I3685" s="5" t="str">
        <f aca="false">IF($H3685=FALSE(),"",COUNTIF($H$6:$H3685,TRUE()))</f>
        <v/>
      </c>
      <c r="J3685" s="5" t="str">
        <f aca="false">IF($I3685="","","R"&amp;$I3685)</f>
        <v/>
      </c>
    </row>
    <row r="3686" customFormat="false" ht="15" hidden="false" customHeight="true" outlineLevel="0" collapsed="false">
      <c r="H3686" s="14" t="b">
        <f aca="false">IF(중복검사!$A3684="",FALSE(),중복검사!$J3684="유지")</f>
        <v>0</v>
      </c>
      <c r="I3686" s="5" t="str">
        <f aca="false">IF($H3686=FALSE(),"",COUNTIF($H$6:$H3686,TRUE()))</f>
        <v/>
      </c>
      <c r="J3686" s="5" t="str">
        <f aca="false">IF($I3686="","","R"&amp;$I3686)</f>
        <v/>
      </c>
    </row>
    <row r="3687" customFormat="false" ht="15" hidden="false" customHeight="true" outlineLevel="0" collapsed="false">
      <c r="H3687" s="14" t="b">
        <f aca="false">IF(중복검사!$A3685="",FALSE(),중복검사!$J3685="유지")</f>
        <v>0</v>
      </c>
      <c r="I3687" s="5" t="str">
        <f aca="false">IF($H3687=FALSE(),"",COUNTIF($H$6:$H3687,TRUE()))</f>
        <v/>
      </c>
      <c r="J3687" s="5" t="str">
        <f aca="false">IF($I3687="","","R"&amp;$I3687)</f>
        <v/>
      </c>
    </row>
    <row r="3688" customFormat="false" ht="15" hidden="false" customHeight="true" outlineLevel="0" collapsed="false">
      <c r="H3688" s="14" t="b">
        <f aca="false">IF(중복검사!$A3686="",FALSE(),중복검사!$J3686="유지")</f>
        <v>0</v>
      </c>
      <c r="I3688" s="5" t="str">
        <f aca="false">IF($H3688=FALSE(),"",COUNTIF($H$6:$H3688,TRUE()))</f>
        <v/>
      </c>
      <c r="J3688" s="5" t="str">
        <f aca="false">IF($I3688="","","R"&amp;$I3688)</f>
        <v/>
      </c>
    </row>
    <row r="3689" customFormat="false" ht="15" hidden="false" customHeight="true" outlineLevel="0" collapsed="false">
      <c r="H3689" s="14" t="b">
        <f aca="false">IF(중복검사!$A3687="",FALSE(),중복검사!$J3687="유지")</f>
        <v>0</v>
      </c>
      <c r="I3689" s="5" t="str">
        <f aca="false">IF($H3689=FALSE(),"",COUNTIF($H$6:$H3689,TRUE()))</f>
        <v/>
      </c>
      <c r="J3689" s="5" t="str">
        <f aca="false">IF($I3689="","","R"&amp;$I3689)</f>
        <v/>
      </c>
    </row>
    <row r="3690" customFormat="false" ht="15" hidden="false" customHeight="true" outlineLevel="0" collapsed="false">
      <c r="H3690" s="14" t="b">
        <f aca="false">IF(중복검사!$A3688="",FALSE(),중복검사!$J3688="유지")</f>
        <v>0</v>
      </c>
      <c r="I3690" s="5" t="str">
        <f aca="false">IF($H3690=FALSE(),"",COUNTIF($H$6:$H3690,TRUE()))</f>
        <v/>
      </c>
      <c r="J3690" s="5" t="str">
        <f aca="false">IF($I3690="","","R"&amp;$I3690)</f>
        <v/>
      </c>
    </row>
    <row r="3691" customFormat="false" ht="15" hidden="false" customHeight="true" outlineLevel="0" collapsed="false">
      <c r="H3691" s="14" t="b">
        <f aca="false">IF(중복검사!$A3689="",FALSE(),중복검사!$J3689="유지")</f>
        <v>0</v>
      </c>
      <c r="I3691" s="5" t="str">
        <f aca="false">IF($H3691=FALSE(),"",COUNTIF($H$6:$H3691,TRUE()))</f>
        <v/>
      </c>
      <c r="J3691" s="5" t="str">
        <f aca="false">IF($I3691="","","R"&amp;$I3691)</f>
        <v/>
      </c>
    </row>
    <row r="3692" customFormat="false" ht="15" hidden="false" customHeight="true" outlineLevel="0" collapsed="false">
      <c r="H3692" s="14" t="b">
        <f aca="false">IF(중복검사!$A3690="",FALSE(),중복검사!$J3690="유지")</f>
        <v>0</v>
      </c>
      <c r="I3692" s="5" t="str">
        <f aca="false">IF($H3692=FALSE(),"",COUNTIF($H$6:$H3692,TRUE()))</f>
        <v/>
      </c>
      <c r="J3692" s="5" t="str">
        <f aca="false">IF($I3692="","","R"&amp;$I3692)</f>
        <v/>
      </c>
    </row>
    <row r="3693" customFormat="false" ht="15" hidden="false" customHeight="true" outlineLevel="0" collapsed="false">
      <c r="H3693" s="14" t="b">
        <f aca="false">IF(중복검사!$A3691="",FALSE(),중복검사!$J3691="유지")</f>
        <v>0</v>
      </c>
      <c r="I3693" s="5" t="str">
        <f aca="false">IF($H3693=FALSE(),"",COUNTIF($H$6:$H3693,TRUE()))</f>
        <v/>
      </c>
      <c r="J3693" s="5" t="str">
        <f aca="false">IF($I3693="","","R"&amp;$I3693)</f>
        <v/>
      </c>
    </row>
    <row r="3694" customFormat="false" ht="15" hidden="false" customHeight="true" outlineLevel="0" collapsed="false">
      <c r="H3694" s="14" t="b">
        <f aca="false">IF(중복검사!$A3692="",FALSE(),중복검사!$J3692="유지")</f>
        <v>0</v>
      </c>
      <c r="I3694" s="5" t="str">
        <f aca="false">IF($H3694=FALSE(),"",COUNTIF($H$6:$H3694,TRUE()))</f>
        <v/>
      </c>
      <c r="J3694" s="5" t="str">
        <f aca="false">IF($I3694="","","R"&amp;$I3694)</f>
        <v/>
      </c>
    </row>
    <row r="3695" customFormat="false" ht="15" hidden="false" customHeight="true" outlineLevel="0" collapsed="false">
      <c r="H3695" s="14" t="b">
        <f aca="false">IF(중복검사!$A3693="",FALSE(),중복검사!$J3693="유지")</f>
        <v>0</v>
      </c>
      <c r="I3695" s="5" t="str">
        <f aca="false">IF($H3695=FALSE(),"",COUNTIF($H$6:$H3695,TRUE()))</f>
        <v/>
      </c>
      <c r="J3695" s="5" t="str">
        <f aca="false">IF($I3695="","","R"&amp;$I3695)</f>
        <v/>
      </c>
    </row>
    <row r="3696" customFormat="false" ht="15" hidden="false" customHeight="true" outlineLevel="0" collapsed="false">
      <c r="H3696" s="14" t="b">
        <f aca="false">IF(중복검사!$A3694="",FALSE(),중복검사!$J3694="유지")</f>
        <v>0</v>
      </c>
      <c r="I3696" s="5" t="str">
        <f aca="false">IF($H3696=FALSE(),"",COUNTIF($H$6:$H3696,TRUE()))</f>
        <v/>
      </c>
      <c r="J3696" s="5" t="str">
        <f aca="false">IF($I3696="","","R"&amp;$I3696)</f>
        <v/>
      </c>
    </row>
    <row r="3697" customFormat="false" ht="15" hidden="false" customHeight="true" outlineLevel="0" collapsed="false">
      <c r="H3697" s="14" t="b">
        <f aca="false">IF(중복검사!$A3695="",FALSE(),중복검사!$J3695="유지")</f>
        <v>0</v>
      </c>
      <c r="I3697" s="5" t="str">
        <f aca="false">IF($H3697=FALSE(),"",COUNTIF($H$6:$H3697,TRUE()))</f>
        <v/>
      </c>
      <c r="J3697" s="5" t="str">
        <f aca="false">IF($I3697="","","R"&amp;$I3697)</f>
        <v/>
      </c>
    </row>
    <row r="3698" customFormat="false" ht="15" hidden="false" customHeight="true" outlineLevel="0" collapsed="false">
      <c r="H3698" s="14" t="b">
        <f aca="false">IF(중복검사!$A3696="",FALSE(),중복검사!$J3696="유지")</f>
        <v>0</v>
      </c>
      <c r="I3698" s="5" t="str">
        <f aca="false">IF($H3698=FALSE(),"",COUNTIF($H$6:$H3698,TRUE()))</f>
        <v/>
      </c>
      <c r="J3698" s="5" t="str">
        <f aca="false">IF($I3698="","","R"&amp;$I3698)</f>
        <v/>
      </c>
    </row>
    <row r="3699" customFormat="false" ht="15" hidden="false" customHeight="true" outlineLevel="0" collapsed="false">
      <c r="H3699" s="14" t="b">
        <f aca="false">IF(중복검사!$A3697="",FALSE(),중복검사!$J3697="유지")</f>
        <v>0</v>
      </c>
      <c r="I3699" s="5" t="str">
        <f aca="false">IF($H3699=FALSE(),"",COUNTIF($H$6:$H3699,TRUE()))</f>
        <v/>
      </c>
      <c r="J3699" s="5" t="str">
        <f aca="false">IF($I3699="","","R"&amp;$I3699)</f>
        <v/>
      </c>
    </row>
    <row r="3700" customFormat="false" ht="15" hidden="false" customHeight="true" outlineLevel="0" collapsed="false">
      <c r="H3700" s="14" t="b">
        <f aca="false">IF(중복검사!$A3698="",FALSE(),중복검사!$J3698="유지")</f>
        <v>0</v>
      </c>
      <c r="I3700" s="5" t="str">
        <f aca="false">IF($H3700=FALSE(),"",COUNTIF($H$6:$H3700,TRUE()))</f>
        <v/>
      </c>
      <c r="J3700" s="5" t="str">
        <f aca="false">IF($I3700="","","R"&amp;$I3700)</f>
        <v/>
      </c>
    </row>
    <row r="3701" customFormat="false" ht="15" hidden="false" customHeight="true" outlineLevel="0" collapsed="false">
      <c r="H3701" s="14" t="b">
        <f aca="false">IF(중복검사!$A3699="",FALSE(),중복검사!$J3699="유지")</f>
        <v>0</v>
      </c>
      <c r="I3701" s="5" t="str">
        <f aca="false">IF($H3701=FALSE(),"",COUNTIF($H$6:$H3701,TRUE()))</f>
        <v/>
      </c>
      <c r="J3701" s="5" t="str">
        <f aca="false">IF($I3701="","","R"&amp;$I3701)</f>
        <v/>
      </c>
    </row>
    <row r="3702" customFormat="false" ht="15" hidden="false" customHeight="true" outlineLevel="0" collapsed="false">
      <c r="H3702" s="14" t="b">
        <f aca="false">IF(중복검사!$A3700="",FALSE(),중복검사!$J3700="유지")</f>
        <v>0</v>
      </c>
      <c r="I3702" s="5" t="str">
        <f aca="false">IF($H3702=FALSE(),"",COUNTIF($H$6:$H3702,TRUE()))</f>
        <v/>
      </c>
      <c r="J3702" s="5" t="str">
        <f aca="false">IF($I3702="","","R"&amp;$I3702)</f>
        <v/>
      </c>
    </row>
    <row r="3703" customFormat="false" ht="15" hidden="false" customHeight="true" outlineLevel="0" collapsed="false">
      <c r="H3703" s="14" t="b">
        <f aca="false">IF(중복검사!$A3701="",FALSE(),중복검사!$J3701="유지")</f>
        <v>0</v>
      </c>
      <c r="I3703" s="5" t="str">
        <f aca="false">IF($H3703=FALSE(),"",COUNTIF($H$6:$H3703,TRUE()))</f>
        <v/>
      </c>
      <c r="J3703" s="5" t="str">
        <f aca="false">IF($I3703="","","R"&amp;$I3703)</f>
        <v/>
      </c>
    </row>
    <row r="3704" customFormat="false" ht="15" hidden="false" customHeight="true" outlineLevel="0" collapsed="false">
      <c r="H3704" s="14" t="b">
        <f aca="false">IF(중복검사!$A3702="",FALSE(),중복검사!$J3702="유지")</f>
        <v>0</v>
      </c>
      <c r="I3704" s="5" t="str">
        <f aca="false">IF($H3704=FALSE(),"",COUNTIF($H$6:$H3704,TRUE()))</f>
        <v/>
      </c>
      <c r="J3704" s="5" t="str">
        <f aca="false">IF($I3704="","","R"&amp;$I3704)</f>
        <v/>
      </c>
    </row>
    <row r="3705" customFormat="false" ht="15" hidden="false" customHeight="true" outlineLevel="0" collapsed="false">
      <c r="H3705" s="14" t="b">
        <f aca="false">IF(중복검사!$A3703="",FALSE(),중복검사!$J3703="유지")</f>
        <v>0</v>
      </c>
      <c r="I3705" s="5" t="str">
        <f aca="false">IF($H3705=FALSE(),"",COUNTIF($H$6:$H3705,TRUE()))</f>
        <v/>
      </c>
      <c r="J3705" s="5" t="str">
        <f aca="false">IF($I3705="","","R"&amp;$I3705)</f>
        <v/>
      </c>
    </row>
    <row r="3706" customFormat="false" ht="15" hidden="false" customHeight="true" outlineLevel="0" collapsed="false">
      <c r="H3706" s="14" t="b">
        <f aca="false">IF(중복검사!$A3704="",FALSE(),중복검사!$J3704="유지")</f>
        <v>0</v>
      </c>
      <c r="I3706" s="5" t="str">
        <f aca="false">IF($H3706=FALSE(),"",COUNTIF($H$6:$H3706,TRUE()))</f>
        <v/>
      </c>
      <c r="J3706" s="5" t="str">
        <f aca="false">IF($I3706="","","R"&amp;$I3706)</f>
        <v/>
      </c>
    </row>
    <row r="3707" customFormat="false" ht="15" hidden="false" customHeight="true" outlineLevel="0" collapsed="false">
      <c r="H3707" s="14" t="b">
        <f aca="false">IF(중복검사!$A3705="",FALSE(),중복검사!$J3705="유지")</f>
        <v>0</v>
      </c>
      <c r="I3707" s="5" t="str">
        <f aca="false">IF($H3707=FALSE(),"",COUNTIF($H$6:$H3707,TRUE()))</f>
        <v/>
      </c>
      <c r="J3707" s="5" t="str">
        <f aca="false">IF($I3707="","","R"&amp;$I3707)</f>
        <v/>
      </c>
    </row>
    <row r="3708" customFormat="false" ht="15" hidden="false" customHeight="true" outlineLevel="0" collapsed="false">
      <c r="H3708" s="14" t="b">
        <f aca="false">IF(중복검사!$A3706="",FALSE(),중복검사!$J3706="유지")</f>
        <v>0</v>
      </c>
      <c r="I3708" s="5" t="str">
        <f aca="false">IF($H3708=FALSE(),"",COUNTIF($H$6:$H3708,TRUE()))</f>
        <v/>
      </c>
      <c r="J3708" s="5" t="str">
        <f aca="false">IF($I3708="","","R"&amp;$I3708)</f>
        <v/>
      </c>
    </row>
    <row r="3709" customFormat="false" ht="15" hidden="false" customHeight="true" outlineLevel="0" collapsed="false">
      <c r="H3709" s="14" t="b">
        <f aca="false">IF(중복검사!$A3707="",FALSE(),중복검사!$J3707="유지")</f>
        <v>0</v>
      </c>
      <c r="I3709" s="5" t="str">
        <f aca="false">IF($H3709=FALSE(),"",COUNTIF($H$6:$H3709,TRUE()))</f>
        <v/>
      </c>
      <c r="J3709" s="5" t="str">
        <f aca="false">IF($I3709="","","R"&amp;$I3709)</f>
        <v/>
      </c>
    </row>
    <row r="3710" customFormat="false" ht="15" hidden="false" customHeight="true" outlineLevel="0" collapsed="false">
      <c r="H3710" s="14" t="b">
        <f aca="false">IF(중복검사!$A3708="",FALSE(),중복검사!$J3708="유지")</f>
        <v>0</v>
      </c>
      <c r="I3710" s="5" t="str">
        <f aca="false">IF($H3710=FALSE(),"",COUNTIF($H$6:$H3710,TRUE()))</f>
        <v/>
      </c>
      <c r="J3710" s="5" t="str">
        <f aca="false">IF($I3710="","","R"&amp;$I3710)</f>
        <v/>
      </c>
    </row>
    <row r="3711" customFormat="false" ht="15" hidden="false" customHeight="true" outlineLevel="0" collapsed="false">
      <c r="H3711" s="14" t="b">
        <f aca="false">IF(중복검사!$A3709="",FALSE(),중복검사!$J3709="유지")</f>
        <v>0</v>
      </c>
      <c r="I3711" s="5" t="str">
        <f aca="false">IF($H3711=FALSE(),"",COUNTIF($H$6:$H3711,TRUE()))</f>
        <v/>
      </c>
      <c r="J3711" s="5" t="str">
        <f aca="false">IF($I3711="","","R"&amp;$I3711)</f>
        <v/>
      </c>
    </row>
    <row r="3712" customFormat="false" ht="15" hidden="false" customHeight="true" outlineLevel="0" collapsed="false">
      <c r="H3712" s="14" t="b">
        <f aca="false">IF(중복검사!$A3710="",FALSE(),중복검사!$J3710="유지")</f>
        <v>0</v>
      </c>
      <c r="I3712" s="5" t="str">
        <f aca="false">IF($H3712=FALSE(),"",COUNTIF($H$6:$H3712,TRUE()))</f>
        <v/>
      </c>
      <c r="J3712" s="5" t="str">
        <f aca="false">IF($I3712="","","R"&amp;$I3712)</f>
        <v/>
      </c>
    </row>
    <row r="3713" customFormat="false" ht="15" hidden="false" customHeight="true" outlineLevel="0" collapsed="false">
      <c r="H3713" s="14" t="b">
        <f aca="false">IF(중복검사!$A3711="",FALSE(),중복검사!$J3711="유지")</f>
        <v>0</v>
      </c>
      <c r="I3713" s="5" t="str">
        <f aca="false">IF($H3713=FALSE(),"",COUNTIF($H$6:$H3713,TRUE()))</f>
        <v/>
      </c>
      <c r="J3713" s="5" t="str">
        <f aca="false">IF($I3713="","","R"&amp;$I3713)</f>
        <v/>
      </c>
    </row>
    <row r="3714" customFormat="false" ht="15" hidden="false" customHeight="true" outlineLevel="0" collapsed="false">
      <c r="H3714" s="14" t="b">
        <f aca="false">IF(중복검사!$A3712="",FALSE(),중복검사!$J3712="유지")</f>
        <v>0</v>
      </c>
      <c r="I3714" s="5" t="str">
        <f aca="false">IF($H3714=FALSE(),"",COUNTIF($H$6:$H3714,TRUE()))</f>
        <v/>
      </c>
      <c r="J3714" s="5" t="str">
        <f aca="false">IF($I3714="","","R"&amp;$I3714)</f>
        <v/>
      </c>
    </row>
    <row r="3715" customFormat="false" ht="15" hidden="false" customHeight="true" outlineLevel="0" collapsed="false">
      <c r="H3715" s="14" t="b">
        <f aca="false">IF(중복검사!$A3713="",FALSE(),중복검사!$J3713="유지")</f>
        <v>0</v>
      </c>
      <c r="I3715" s="5" t="str">
        <f aca="false">IF($H3715=FALSE(),"",COUNTIF($H$6:$H3715,TRUE()))</f>
        <v/>
      </c>
      <c r="J3715" s="5" t="str">
        <f aca="false">IF($I3715="","","R"&amp;$I3715)</f>
        <v/>
      </c>
    </row>
    <row r="3716" customFormat="false" ht="15" hidden="false" customHeight="true" outlineLevel="0" collapsed="false">
      <c r="H3716" s="14" t="b">
        <f aca="false">IF(중복검사!$A3714="",FALSE(),중복검사!$J3714="유지")</f>
        <v>0</v>
      </c>
      <c r="I3716" s="5" t="str">
        <f aca="false">IF($H3716=FALSE(),"",COUNTIF($H$6:$H3716,TRUE()))</f>
        <v/>
      </c>
      <c r="J3716" s="5" t="str">
        <f aca="false">IF($I3716="","","R"&amp;$I3716)</f>
        <v/>
      </c>
    </row>
    <row r="3717" customFormat="false" ht="15" hidden="false" customHeight="true" outlineLevel="0" collapsed="false">
      <c r="H3717" s="14" t="b">
        <f aca="false">IF(중복검사!$A3715="",FALSE(),중복검사!$J3715="유지")</f>
        <v>0</v>
      </c>
      <c r="I3717" s="5" t="str">
        <f aca="false">IF($H3717=FALSE(),"",COUNTIF($H$6:$H3717,TRUE()))</f>
        <v/>
      </c>
      <c r="J3717" s="5" t="str">
        <f aca="false">IF($I3717="","","R"&amp;$I3717)</f>
        <v/>
      </c>
    </row>
    <row r="3718" customFormat="false" ht="15" hidden="false" customHeight="true" outlineLevel="0" collapsed="false">
      <c r="H3718" s="14" t="b">
        <f aca="false">IF(중복검사!$A3716="",FALSE(),중복검사!$J3716="유지")</f>
        <v>0</v>
      </c>
      <c r="I3718" s="5" t="str">
        <f aca="false">IF($H3718=FALSE(),"",COUNTIF($H$6:$H3718,TRUE()))</f>
        <v/>
      </c>
      <c r="J3718" s="5" t="str">
        <f aca="false">IF($I3718="","","R"&amp;$I3718)</f>
        <v/>
      </c>
    </row>
    <row r="3719" customFormat="false" ht="15" hidden="false" customHeight="true" outlineLevel="0" collapsed="false">
      <c r="H3719" s="14" t="b">
        <f aca="false">IF(중복검사!$A3717="",FALSE(),중복검사!$J3717="유지")</f>
        <v>0</v>
      </c>
      <c r="I3719" s="5" t="str">
        <f aca="false">IF($H3719=FALSE(),"",COUNTIF($H$6:$H3719,TRUE()))</f>
        <v/>
      </c>
      <c r="J3719" s="5" t="str">
        <f aca="false">IF($I3719="","","R"&amp;$I3719)</f>
        <v/>
      </c>
    </row>
    <row r="3720" customFormat="false" ht="15" hidden="false" customHeight="true" outlineLevel="0" collapsed="false">
      <c r="H3720" s="14" t="b">
        <f aca="false">IF(중복검사!$A3718="",FALSE(),중복검사!$J3718="유지")</f>
        <v>0</v>
      </c>
      <c r="I3720" s="5" t="str">
        <f aca="false">IF($H3720=FALSE(),"",COUNTIF($H$6:$H3720,TRUE()))</f>
        <v/>
      </c>
      <c r="J3720" s="5" t="str">
        <f aca="false">IF($I3720="","","R"&amp;$I3720)</f>
        <v/>
      </c>
    </row>
    <row r="3721" customFormat="false" ht="15" hidden="false" customHeight="true" outlineLevel="0" collapsed="false">
      <c r="H3721" s="14" t="b">
        <f aca="false">IF(중복검사!$A3719="",FALSE(),중복검사!$J3719="유지")</f>
        <v>0</v>
      </c>
      <c r="I3721" s="5" t="str">
        <f aca="false">IF($H3721=FALSE(),"",COUNTIF($H$6:$H3721,TRUE()))</f>
        <v/>
      </c>
      <c r="J3721" s="5" t="str">
        <f aca="false">IF($I3721="","","R"&amp;$I3721)</f>
        <v/>
      </c>
    </row>
    <row r="3722" customFormat="false" ht="15" hidden="false" customHeight="true" outlineLevel="0" collapsed="false">
      <c r="H3722" s="14" t="b">
        <f aca="false">IF(중복검사!$A3720="",FALSE(),중복검사!$J3720="유지")</f>
        <v>0</v>
      </c>
      <c r="I3722" s="5" t="str">
        <f aca="false">IF($H3722=FALSE(),"",COUNTIF($H$6:$H3722,TRUE()))</f>
        <v/>
      </c>
      <c r="J3722" s="5" t="str">
        <f aca="false">IF($I3722="","","R"&amp;$I3722)</f>
        <v/>
      </c>
    </row>
    <row r="3723" customFormat="false" ht="15" hidden="false" customHeight="true" outlineLevel="0" collapsed="false">
      <c r="H3723" s="14" t="b">
        <f aca="false">IF(중복검사!$A3721="",FALSE(),중복검사!$J3721="유지")</f>
        <v>0</v>
      </c>
      <c r="I3723" s="5" t="str">
        <f aca="false">IF($H3723=FALSE(),"",COUNTIF($H$6:$H3723,TRUE()))</f>
        <v/>
      </c>
      <c r="J3723" s="5" t="str">
        <f aca="false">IF($I3723="","","R"&amp;$I3723)</f>
        <v/>
      </c>
    </row>
    <row r="3724" customFormat="false" ht="15" hidden="false" customHeight="true" outlineLevel="0" collapsed="false">
      <c r="H3724" s="14" t="b">
        <f aca="false">IF(중복검사!$A3722="",FALSE(),중복검사!$J3722="유지")</f>
        <v>0</v>
      </c>
      <c r="I3724" s="5" t="str">
        <f aca="false">IF($H3724=FALSE(),"",COUNTIF($H$6:$H3724,TRUE()))</f>
        <v/>
      </c>
      <c r="J3724" s="5" t="str">
        <f aca="false">IF($I3724="","","R"&amp;$I3724)</f>
        <v/>
      </c>
    </row>
    <row r="3725" customFormat="false" ht="15" hidden="false" customHeight="true" outlineLevel="0" collapsed="false">
      <c r="H3725" s="14" t="b">
        <f aca="false">IF(중복검사!$A3723="",FALSE(),중복검사!$J3723="유지")</f>
        <v>0</v>
      </c>
      <c r="I3725" s="5" t="str">
        <f aca="false">IF($H3725=FALSE(),"",COUNTIF($H$6:$H3725,TRUE()))</f>
        <v/>
      </c>
      <c r="J3725" s="5" t="str">
        <f aca="false">IF($I3725="","","R"&amp;$I3725)</f>
        <v/>
      </c>
    </row>
    <row r="3726" customFormat="false" ht="15" hidden="false" customHeight="true" outlineLevel="0" collapsed="false">
      <c r="H3726" s="14" t="b">
        <f aca="false">IF(중복검사!$A3724="",FALSE(),중복검사!$J3724="유지")</f>
        <v>0</v>
      </c>
      <c r="I3726" s="5" t="str">
        <f aca="false">IF($H3726=FALSE(),"",COUNTIF($H$6:$H3726,TRUE()))</f>
        <v/>
      </c>
      <c r="J3726" s="5" t="str">
        <f aca="false">IF($I3726="","","R"&amp;$I3726)</f>
        <v/>
      </c>
    </row>
    <row r="3727" customFormat="false" ht="15" hidden="false" customHeight="true" outlineLevel="0" collapsed="false">
      <c r="H3727" s="14" t="b">
        <f aca="false">IF(중복검사!$A3725="",FALSE(),중복검사!$J3725="유지")</f>
        <v>0</v>
      </c>
      <c r="I3727" s="5" t="str">
        <f aca="false">IF($H3727=FALSE(),"",COUNTIF($H$6:$H3727,TRUE()))</f>
        <v/>
      </c>
      <c r="J3727" s="5" t="str">
        <f aca="false">IF($I3727="","","R"&amp;$I3727)</f>
        <v/>
      </c>
    </row>
    <row r="3728" customFormat="false" ht="15" hidden="false" customHeight="true" outlineLevel="0" collapsed="false">
      <c r="H3728" s="14" t="b">
        <f aca="false">IF(중복검사!$A3726="",FALSE(),중복검사!$J3726="유지")</f>
        <v>0</v>
      </c>
      <c r="I3728" s="5" t="str">
        <f aca="false">IF($H3728=FALSE(),"",COUNTIF($H$6:$H3728,TRUE()))</f>
        <v/>
      </c>
      <c r="J3728" s="5" t="str">
        <f aca="false">IF($I3728="","","R"&amp;$I3728)</f>
        <v/>
      </c>
    </row>
    <row r="3729" customFormat="false" ht="15" hidden="false" customHeight="true" outlineLevel="0" collapsed="false">
      <c r="H3729" s="14" t="b">
        <f aca="false">IF(중복검사!$A3727="",FALSE(),중복검사!$J3727="유지")</f>
        <v>0</v>
      </c>
      <c r="I3729" s="5" t="str">
        <f aca="false">IF($H3729=FALSE(),"",COUNTIF($H$6:$H3729,TRUE()))</f>
        <v/>
      </c>
      <c r="J3729" s="5" t="str">
        <f aca="false">IF($I3729="","","R"&amp;$I3729)</f>
        <v/>
      </c>
    </row>
    <row r="3730" customFormat="false" ht="15" hidden="false" customHeight="true" outlineLevel="0" collapsed="false">
      <c r="H3730" s="14" t="b">
        <f aca="false">IF(중복검사!$A3728="",FALSE(),중복검사!$J3728="유지")</f>
        <v>0</v>
      </c>
      <c r="I3730" s="5" t="str">
        <f aca="false">IF($H3730=FALSE(),"",COUNTIF($H$6:$H3730,TRUE()))</f>
        <v/>
      </c>
      <c r="J3730" s="5" t="str">
        <f aca="false">IF($I3730="","","R"&amp;$I3730)</f>
        <v/>
      </c>
    </row>
    <row r="3731" customFormat="false" ht="15" hidden="false" customHeight="true" outlineLevel="0" collapsed="false">
      <c r="H3731" s="14" t="b">
        <f aca="false">IF(중복검사!$A3729="",FALSE(),중복검사!$J3729="유지")</f>
        <v>0</v>
      </c>
      <c r="I3731" s="5" t="str">
        <f aca="false">IF($H3731=FALSE(),"",COUNTIF($H$6:$H3731,TRUE()))</f>
        <v/>
      </c>
      <c r="J3731" s="5" t="str">
        <f aca="false">IF($I3731="","","R"&amp;$I3731)</f>
        <v/>
      </c>
    </row>
    <row r="3732" customFormat="false" ht="15" hidden="false" customHeight="true" outlineLevel="0" collapsed="false">
      <c r="H3732" s="14" t="b">
        <f aca="false">IF(중복검사!$A3730="",FALSE(),중복검사!$J3730="유지")</f>
        <v>0</v>
      </c>
      <c r="I3732" s="5" t="str">
        <f aca="false">IF($H3732=FALSE(),"",COUNTIF($H$6:$H3732,TRUE()))</f>
        <v/>
      </c>
      <c r="J3732" s="5" t="str">
        <f aca="false">IF($I3732="","","R"&amp;$I3732)</f>
        <v/>
      </c>
    </row>
    <row r="3733" customFormat="false" ht="15" hidden="false" customHeight="true" outlineLevel="0" collapsed="false">
      <c r="H3733" s="14" t="b">
        <f aca="false">IF(중복검사!$A3731="",FALSE(),중복검사!$J3731="유지")</f>
        <v>0</v>
      </c>
      <c r="I3733" s="5" t="str">
        <f aca="false">IF($H3733=FALSE(),"",COUNTIF($H$6:$H3733,TRUE()))</f>
        <v/>
      </c>
      <c r="J3733" s="5" t="str">
        <f aca="false">IF($I3733="","","R"&amp;$I3733)</f>
        <v/>
      </c>
    </row>
    <row r="3734" customFormat="false" ht="15" hidden="false" customHeight="true" outlineLevel="0" collapsed="false">
      <c r="H3734" s="14" t="b">
        <f aca="false">IF(중복검사!$A3732="",FALSE(),중복검사!$J3732="유지")</f>
        <v>0</v>
      </c>
      <c r="I3734" s="5" t="str">
        <f aca="false">IF($H3734=FALSE(),"",COUNTIF($H$6:$H3734,TRUE()))</f>
        <v/>
      </c>
      <c r="J3734" s="5" t="str">
        <f aca="false">IF($I3734="","","R"&amp;$I3734)</f>
        <v/>
      </c>
    </row>
    <row r="3735" customFormat="false" ht="15" hidden="false" customHeight="true" outlineLevel="0" collapsed="false">
      <c r="H3735" s="14" t="b">
        <f aca="false">IF(중복검사!$A3733="",FALSE(),중복검사!$J3733="유지")</f>
        <v>0</v>
      </c>
      <c r="I3735" s="5" t="str">
        <f aca="false">IF($H3735=FALSE(),"",COUNTIF($H$6:$H3735,TRUE()))</f>
        <v/>
      </c>
      <c r="J3735" s="5" t="str">
        <f aca="false">IF($I3735="","","R"&amp;$I3735)</f>
        <v/>
      </c>
    </row>
    <row r="3736" customFormat="false" ht="15" hidden="false" customHeight="true" outlineLevel="0" collapsed="false">
      <c r="H3736" s="14" t="b">
        <f aca="false">IF(중복검사!$A3734="",FALSE(),중복검사!$J3734="유지")</f>
        <v>0</v>
      </c>
      <c r="I3736" s="5" t="str">
        <f aca="false">IF($H3736=FALSE(),"",COUNTIF($H$6:$H3736,TRUE()))</f>
        <v/>
      </c>
      <c r="J3736" s="5" t="str">
        <f aca="false">IF($I3736="","","R"&amp;$I3736)</f>
        <v/>
      </c>
    </row>
    <row r="3737" customFormat="false" ht="15" hidden="false" customHeight="true" outlineLevel="0" collapsed="false">
      <c r="H3737" s="14" t="b">
        <f aca="false">IF(중복검사!$A3735="",FALSE(),중복검사!$J3735="유지")</f>
        <v>0</v>
      </c>
      <c r="I3737" s="5" t="str">
        <f aca="false">IF($H3737=FALSE(),"",COUNTIF($H$6:$H3737,TRUE()))</f>
        <v/>
      </c>
      <c r="J3737" s="5" t="str">
        <f aca="false">IF($I3737="","","R"&amp;$I3737)</f>
        <v/>
      </c>
    </row>
    <row r="3738" customFormat="false" ht="15" hidden="false" customHeight="true" outlineLevel="0" collapsed="false">
      <c r="H3738" s="14" t="b">
        <f aca="false">IF(중복검사!$A3736="",FALSE(),중복검사!$J3736="유지")</f>
        <v>0</v>
      </c>
      <c r="I3738" s="5" t="str">
        <f aca="false">IF($H3738=FALSE(),"",COUNTIF($H$6:$H3738,TRUE()))</f>
        <v/>
      </c>
      <c r="J3738" s="5" t="str">
        <f aca="false">IF($I3738="","","R"&amp;$I3738)</f>
        <v/>
      </c>
    </row>
    <row r="3739" customFormat="false" ht="15" hidden="false" customHeight="true" outlineLevel="0" collapsed="false">
      <c r="H3739" s="14" t="b">
        <f aca="false">IF(중복검사!$A3737="",FALSE(),중복검사!$J3737="유지")</f>
        <v>0</v>
      </c>
      <c r="I3739" s="5" t="str">
        <f aca="false">IF($H3739=FALSE(),"",COUNTIF($H$6:$H3739,TRUE()))</f>
        <v/>
      </c>
      <c r="J3739" s="5" t="str">
        <f aca="false">IF($I3739="","","R"&amp;$I3739)</f>
        <v/>
      </c>
    </row>
    <row r="3740" customFormat="false" ht="15" hidden="false" customHeight="true" outlineLevel="0" collapsed="false">
      <c r="H3740" s="14" t="b">
        <f aca="false">IF(중복검사!$A3738="",FALSE(),중복검사!$J3738="유지")</f>
        <v>0</v>
      </c>
      <c r="I3740" s="5" t="str">
        <f aca="false">IF($H3740=FALSE(),"",COUNTIF($H$6:$H3740,TRUE()))</f>
        <v/>
      </c>
      <c r="J3740" s="5" t="str">
        <f aca="false">IF($I3740="","","R"&amp;$I3740)</f>
        <v/>
      </c>
    </row>
    <row r="3741" customFormat="false" ht="15" hidden="false" customHeight="true" outlineLevel="0" collapsed="false">
      <c r="H3741" s="14" t="b">
        <f aca="false">IF(중복검사!$A3739="",FALSE(),중복검사!$J3739="유지")</f>
        <v>0</v>
      </c>
      <c r="I3741" s="5" t="str">
        <f aca="false">IF($H3741=FALSE(),"",COUNTIF($H$6:$H3741,TRUE()))</f>
        <v/>
      </c>
      <c r="J3741" s="5" t="str">
        <f aca="false">IF($I3741="","","R"&amp;$I3741)</f>
        <v/>
      </c>
    </row>
    <row r="3742" customFormat="false" ht="15" hidden="false" customHeight="true" outlineLevel="0" collapsed="false">
      <c r="H3742" s="14" t="b">
        <f aca="false">IF(중복검사!$A3740="",FALSE(),중복검사!$J3740="유지")</f>
        <v>0</v>
      </c>
      <c r="I3742" s="5" t="str">
        <f aca="false">IF($H3742=FALSE(),"",COUNTIF($H$6:$H3742,TRUE()))</f>
        <v/>
      </c>
      <c r="J3742" s="5" t="str">
        <f aca="false">IF($I3742="","","R"&amp;$I3742)</f>
        <v/>
      </c>
    </row>
    <row r="3743" customFormat="false" ht="15" hidden="false" customHeight="true" outlineLevel="0" collapsed="false">
      <c r="H3743" s="14" t="b">
        <f aca="false">IF(중복검사!$A3741="",FALSE(),중복검사!$J3741="유지")</f>
        <v>0</v>
      </c>
      <c r="I3743" s="5" t="str">
        <f aca="false">IF($H3743=FALSE(),"",COUNTIF($H$6:$H3743,TRUE()))</f>
        <v/>
      </c>
      <c r="J3743" s="5" t="str">
        <f aca="false">IF($I3743="","","R"&amp;$I3743)</f>
        <v/>
      </c>
    </row>
    <row r="3744" customFormat="false" ht="15" hidden="false" customHeight="true" outlineLevel="0" collapsed="false">
      <c r="H3744" s="14" t="b">
        <f aca="false">IF(중복검사!$A3742="",FALSE(),중복검사!$J3742="유지")</f>
        <v>0</v>
      </c>
      <c r="I3744" s="5" t="str">
        <f aca="false">IF($H3744=FALSE(),"",COUNTIF($H$6:$H3744,TRUE()))</f>
        <v/>
      </c>
      <c r="J3744" s="5" t="str">
        <f aca="false">IF($I3744="","","R"&amp;$I3744)</f>
        <v/>
      </c>
    </row>
    <row r="3745" customFormat="false" ht="15" hidden="false" customHeight="true" outlineLevel="0" collapsed="false">
      <c r="H3745" s="14" t="b">
        <f aca="false">IF(중복검사!$A3743="",FALSE(),중복검사!$J3743="유지")</f>
        <v>0</v>
      </c>
      <c r="I3745" s="5" t="str">
        <f aca="false">IF($H3745=FALSE(),"",COUNTIF($H$6:$H3745,TRUE()))</f>
        <v/>
      </c>
      <c r="J3745" s="5" t="str">
        <f aca="false">IF($I3745="","","R"&amp;$I3745)</f>
        <v/>
      </c>
    </row>
    <row r="3746" customFormat="false" ht="15" hidden="false" customHeight="true" outlineLevel="0" collapsed="false">
      <c r="H3746" s="14" t="b">
        <f aca="false">IF(중복검사!$A3744="",FALSE(),중복검사!$J3744="유지")</f>
        <v>0</v>
      </c>
      <c r="I3746" s="5" t="str">
        <f aca="false">IF($H3746=FALSE(),"",COUNTIF($H$6:$H3746,TRUE()))</f>
        <v/>
      </c>
      <c r="J3746" s="5" t="str">
        <f aca="false">IF($I3746="","","R"&amp;$I3746)</f>
        <v/>
      </c>
    </row>
    <row r="3747" customFormat="false" ht="15" hidden="false" customHeight="true" outlineLevel="0" collapsed="false">
      <c r="H3747" s="14" t="b">
        <f aca="false">IF(중복검사!$A3745="",FALSE(),중복검사!$J3745="유지")</f>
        <v>0</v>
      </c>
      <c r="I3747" s="5" t="str">
        <f aca="false">IF($H3747=FALSE(),"",COUNTIF($H$6:$H3747,TRUE()))</f>
        <v/>
      </c>
      <c r="J3747" s="5" t="str">
        <f aca="false">IF($I3747="","","R"&amp;$I3747)</f>
        <v/>
      </c>
    </row>
    <row r="3748" customFormat="false" ht="15" hidden="false" customHeight="true" outlineLevel="0" collapsed="false">
      <c r="H3748" s="14" t="b">
        <f aca="false">IF(중복검사!$A3746="",FALSE(),중복검사!$J3746="유지")</f>
        <v>0</v>
      </c>
      <c r="I3748" s="5" t="str">
        <f aca="false">IF($H3748=FALSE(),"",COUNTIF($H$6:$H3748,TRUE()))</f>
        <v/>
      </c>
      <c r="J3748" s="5" t="str">
        <f aca="false">IF($I3748="","","R"&amp;$I3748)</f>
        <v/>
      </c>
    </row>
    <row r="3749" customFormat="false" ht="15" hidden="false" customHeight="true" outlineLevel="0" collapsed="false">
      <c r="H3749" s="14" t="b">
        <f aca="false">IF(중복검사!$A3747="",FALSE(),중복검사!$J3747="유지")</f>
        <v>0</v>
      </c>
      <c r="I3749" s="5" t="str">
        <f aca="false">IF($H3749=FALSE(),"",COUNTIF($H$6:$H3749,TRUE()))</f>
        <v/>
      </c>
      <c r="J3749" s="5" t="str">
        <f aca="false">IF($I3749="","","R"&amp;$I3749)</f>
        <v/>
      </c>
    </row>
    <row r="3750" customFormat="false" ht="15" hidden="false" customHeight="true" outlineLevel="0" collapsed="false">
      <c r="H3750" s="14" t="b">
        <f aca="false">IF(중복검사!$A3748="",FALSE(),중복검사!$J3748="유지")</f>
        <v>0</v>
      </c>
      <c r="I3750" s="5" t="str">
        <f aca="false">IF($H3750=FALSE(),"",COUNTIF($H$6:$H3750,TRUE()))</f>
        <v/>
      </c>
      <c r="J3750" s="5" t="str">
        <f aca="false">IF($I3750="","","R"&amp;$I3750)</f>
        <v/>
      </c>
    </row>
    <row r="3751" customFormat="false" ht="15" hidden="false" customHeight="true" outlineLevel="0" collapsed="false">
      <c r="H3751" s="14" t="b">
        <f aca="false">IF(중복검사!$A3749="",FALSE(),중복검사!$J3749="유지")</f>
        <v>0</v>
      </c>
      <c r="I3751" s="5" t="str">
        <f aca="false">IF($H3751=FALSE(),"",COUNTIF($H$6:$H3751,TRUE()))</f>
        <v/>
      </c>
      <c r="J3751" s="5" t="str">
        <f aca="false">IF($I3751="","","R"&amp;$I3751)</f>
        <v/>
      </c>
    </row>
    <row r="3752" customFormat="false" ht="15" hidden="false" customHeight="true" outlineLevel="0" collapsed="false">
      <c r="H3752" s="14" t="b">
        <f aca="false">IF(중복검사!$A3750="",FALSE(),중복검사!$J3750="유지")</f>
        <v>0</v>
      </c>
      <c r="I3752" s="5" t="str">
        <f aca="false">IF($H3752=FALSE(),"",COUNTIF($H$6:$H3752,TRUE()))</f>
        <v/>
      </c>
      <c r="J3752" s="5" t="str">
        <f aca="false">IF($I3752="","","R"&amp;$I3752)</f>
        <v/>
      </c>
    </row>
    <row r="3753" customFormat="false" ht="15" hidden="false" customHeight="true" outlineLevel="0" collapsed="false">
      <c r="H3753" s="14" t="b">
        <f aca="false">IF(중복검사!$A3751="",FALSE(),중복검사!$J3751="유지")</f>
        <v>0</v>
      </c>
      <c r="I3753" s="5" t="str">
        <f aca="false">IF($H3753=FALSE(),"",COUNTIF($H$6:$H3753,TRUE()))</f>
        <v/>
      </c>
      <c r="J3753" s="5" t="str">
        <f aca="false">IF($I3753="","","R"&amp;$I3753)</f>
        <v/>
      </c>
    </row>
    <row r="3754" customFormat="false" ht="15" hidden="false" customHeight="true" outlineLevel="0" collapsed="false">
      <c r="H3754" s="14" t="b">
        <f aca="false">IF(중복검사!$A3752="",FALSE(),중복검사!$J3752="유지")</f>
        <v>0</v>
      </c>
      <c r="I3754" s="5" t="str">
        <f aca="false">IF($H3754=FALSE(),"",COUNTIF($H$6:$H3754,TRUE()))</f>
        <v/>
      </c>
      <c r="J3754" s="5" t="str">
        <f aca="false">IF($I3754="","","R"&amp;$I3754)</f>
        <v/>
      </c>
    </row>
    <row r="3755" customFormat="false" ht="15" hidden="false" customHeight="true" outlineLevel="0" collapsed="false">
      <c r="H3755" s="14" t="b">
        <f aca="false">IF(중복검사!$A3753="",FALSE(),중복검사!$J3753="유지")</f>
        <v>0</v>
      </c>
      <c r="I3755" s="5" t="str">
        <f aca="false">IF($H3755=FALSE(),"",COUNTIF($H$6:$H3755,TRUE()))</f>
        <v/>
      </c>
      <c r="J3755" s="5" t="str">
        <f aca="false">IF($I3755="","","R"&amp;$I3755)</f>
        <v/>
      </c>
    </row>
    <row r="3756" customFormat="false" ht="15" hidden="false" customHeight="true" outlineLevel="0" collapsed="false">
      <c r="H3756" s="14" t="b">
        <f aca="false">IF(중복검사!$A3754="",FALSE(),중복검사!$J3754="유지")</f>
        <v>0</v>
      </c>
      <c r="I3756" s="5" t="str">
        <f aca="false">IF($H3756=FALSE(),"",COUNTIF($H$6:$H3756,TRUE()))</f>
        <v/>
      </c>
      <c r="J3756" s="5" t="str">
        <f aca="false">IF($I3756="","","R"&amp;$I3756)</f>
        <v/>
      </c>
    </row>
    <row r="3757" customFormat="false" ht="15" hidden="false" customHeight="true" outlineLevel="0" collapsed="false">
      <c r="H3757" s="14" t="b">
        <f aca="false">IF(중복검사!$A3755="",FALSE(),중복검사!$J3755="유지")</f>
        <v>0</v>
      </c>
      <c r="I3757" s="5" t="str">
        <f aca="false">IF($H3757=FALSE(),"",COUNTIF($H$6:$H3757,TRUE()))</f>
        <v/>
      </c>
      <c r="J3757" s="5" t="str">
        <f aca="false">IF($I3757="","","R"&amp;$I3757)</f>
        <v/>
      </c>
    </row>
    <row r="3758" customFormat="false" ht="15" hidden="false" customHeight="true" outlineLevel="0" collapsed="false">
      <c r="H3758" s="14" t="b">
        <f aca="false">IF(중복검사!$A3756="",FALSE(),중복검사!$J3756="유지")</f>
        <v>0</v>
      </c>
      <c r="I3758" s="5" t="str">
        <f aca="false">IF($H3758=FALSE(),"",COUNTIF($H$6:$H3758,TRUE()))</f>
        <v/>
      </c>
      <c r="J3758" s="5" t="str">
        <f aca="false">IF($I3758="","","R"&amp;$I3758)</f>
        <v/>
      </c>
    </row>
    <row r="3759" customFormat="false" ht="15" hidden="false" customHeight="true" outlineLevel="0" collapsed="false">
      <c r="H3759" s="14" t="b">
        <f aca="false">IF(중복검사!$A3757="",FALSE(),중복검사!$J3757="유지")</f>
        <v>0</v>
      </c>
      <c r="I3759" s="5" t="str">
        <f aca="false">IF($H3759=FALSE(),"",COUNTIF($H$6:$H3759,TRUE()))</f>
        <v/>
      </c>
      <c r="J3759" s="5" t="str">
        <f aca="false">IF($I3759="","","R"&amp;$I3759)</f>
        <v/>
      </c>
    </row>
    <row r="3760" customFormat="false" ht="15" hidden="false" customHeight="true" outlineLevel="0" collapsed="false">
      <c r="H3760" s="14" t="b">
        <f aca="false">IF(중복검사!$A3758="",FALSE(),중복검사!$J3758="유지")</f>
        <v>0</v>
      </c>
      <c r="I3760" s="5" t="str">
        <f aca="false">IF($H3760=FALSE(),"",COUNTIF($H$6:$H3760,TRUE()))</f>
        <v/>
      </c>
      <c r="J3760" s="5" t="str">
        <f aca="false">IF($I3760="","","R"&amp;$I3760)</f>
        <v/>
      </c>
    </row>
    <row r="3761" customFormat="false" ht="15" hidden="false" customHeight="true" outlineLevel="0" collapsed="false">
      <c r="H3761" s="14" t="b">
        <f aca="false">IF(중복검사!$A3759="",FALSE(),중복검사!$J3759="유지")</f>
        <v>0</v>
      </c>
      <c r="I3761" s="5" t="str">
        <f aca="false">IF($H3761=FALSE(),"",COUNTIF($H$6:$H3761,TRUE()))</f>
        <v/>
      </c>
      <c r="J3761" s="5" t="str">
        <f aca="false">IF($I3761="","","R"&amp;$I3761)</f>
        <v/>
      </c>
    </row>
    <row r="3762" customFormat="false" ht="15" hidden="false" customHeight="true" outlineLevel="0" collapsed="false">
      <c r="H3762" s="14" t="b">
        <f aca="false">IF(중복검사!$A3760="",FALSE(),중복검사!$J3760="유지")</f>
        <v>0</v>
      </c>
      <c r="I3762" s="5" t="str">
        <f aca="false">IF($H3762=FALSE(),"",COUNTIF($H$6:$H3762,TRUE()))</f>
        <v/>
      </c>
      <c r="J3762" s="5" t="str">
        <f aca="false">IF($I3762="","","R"&amp;$I3762)</f>
        <v/>
      </c>
    </row>
    <row r="3763" customFormat="false" ht="15" hidden="false" customHeight="true" outlineLevel="0" collapsed="false">
      <c r="H3763" s="14" t="b">
        <f aca="false">IF(중복검사!$A3761="",FALSE(),중복검사!$J3761="유지")</f>
        <v>0</v>
      </c>
      <c r="I3763" s="5" t="str">
        <f aca="false">IF($H3763=FALSE(),"",COUNTIF($H$6:$H3763,TRUE()))</f>
        <v/>
      </c>
      <c r="J3763" s="5" t="str">
        <f aca="false">IF($I3763="","","R"&amp;$I3763)</f>
        <v/>
      </c>
    </row>
    <row r="3764" customFormat="false" ht="15" hidden="false" customHeight="true" outlineLevel="0" collapsed="false">
      <c r="H3764" s="14" t="b">
        <f aca="false">IF(중복검사!$A3762="",FALSE(),중복검사!$J3762="유지")</f>
        <v>0</v>
      </c>
      <c r="I3764" s="5" t="str">
        <f aca="false">IF($H3764=FALSE(),"",COUNTIF($H$6:$H3764,TRUE()))</f>
        <v/>
      </c>
      <c r="J3764" s="5" t="str">
        <f aca="false">IF($I3764="","","R"&amp;$I3764)</f>
        <v/>
      </c>
    </row>
    <row r="3765" customFormat="false" ht="15" hidden="false" customHeight="true" outlineLevel="0" collapsed="false">
      <c r="H3765" s="14" t="b">
        <f aca="false">IF(중복검사!$A3763="",FALSE(),중복검사!$J3763="유지")</f>
        <v>0</v>
      </c>
      <c r="I3765" s="5" t="str">
        <f aca="false">IF($H3765=FALSE(),"",COUNTIF($H$6:$H3765,TRUE()))</f>
        <v/>
      </c>
      <c r="J3765" s="5" t="str">
        <f aca="false">IF($I3765="","","R"&amp;$I3765)</f>
        <v/>
      </c>
    </row>
    <row r="3766" customFormat="false" ht="15" hidden="false" customHeight="true" outlineLevel="0" collapsed="false">
      <c r="H3766" s="14" t="b">
        <f aca="false">IF(중복검사!$A3764="",FALSE(),중복검사!$J3764="유지")</f>
        <v>0</v>
      </c>
      <c r="I3766" s="5" t="str">
        <f aca="false">IF($H3766=FALSE(),"",COUNTIF($H$6:$H3766,TRUE()))</f>
        <v/>
      </c>
      <c r="J3766" s="5" t="str">
        <f aca="false">IF($I3766="","","R"&amp;$I3766)</f>
        <v/>
      </c>
    </row>
    <row r="3767" customFormat="false" ht="15" hidden="false" customHeight="true" outlineLevel="0" collapsed="false">
      <c r="H3767" s="14" t="b">
        <f aca="false">IF(중복검사!$A3765="",FALSE(),중복검사!$J3765="유지")</f>
        <v>0</v>
      </c>
      <c r="I3767" s="5" t="str">
        <f aca="false">IF($H3767=FALSE(),"",COUNTIF($H$6:$H3767,TRUE()))</f>
        <v/>
      </c>
      <c r="J3767" s="5" t="str">
        <f aca="false">IF($I3767="","","R"&amp;$I3767)</f>
        <v/>
      </c>
    </row>
    <row r="3768" customFormat="false" ht="15" hidden="false" customHeight="true" outlineLevel="0" collapsed="false">
      <c r="H3768" s="14" t="b">
        <f aca="false">IF(중복검사!$A3766="",FALSE(),중복검사!$J3766="유지")</f>
        <v>0</v>
      </c>
      <c r="I3768" s="5" t="str">
        <f aca="false">IF($H3768=FALSE(),"",COUNTIF($H$6:$H3768,TRUE()))</f>
        <v/>
      </c>
      <c r="J3768" s="5" t="str">
        <f aca="false">IF($I3768="","","R"&amp;$I3768)</f>
        <v/>
      </c>
    </row>
    <row r="3769" customFormat="false" ht="15" hidden="false" customHeight="true" outlineLevel="0" collapsed="false">
      <c r="H3769" s="14" t="b">
        <f aca="false">IF(중복검사!$A3767="",FALSE(),중복검사!$J3767="유지")</f>
        <v>0</v>
      </c>
      <c r="I3769" s="5" t="str">
        <f aca="false">IF($H3769=FALSE(),"",COUNTIF($H$6:$H3769,TRUE()))</f>
        <v/>
      </c>
      <c r="J3769" s="5" t="str">
        <f aca="false">IF($I3769="","","R"&amp;$I3769)</f>
        <v/>
      </c>
    </row>
    <row r="3770" customFormat="false" ht="15" hidden="false" customHeight="true" outlineLevel="0" collapsed="false">
      <c r="H3770" s="14" t="b">
        <f aca="false">IF(중복검사!$A3768="",FALSE(),중복검사!$J3768="유지")</f>
        <v>0</v>
      </c>
      <c r="I3770" s="5" t="str">
        <f aca="false">IF($H3770=FALSE(),"",COUNTIF($H$6:$H3770,TRUE()))</f>
        <v/>
      </c>
      <c r="J3770" s="5" t="str">
        <f aca="false">IF($I3770="","","R"&amp;$I3770)</f>
        <v/>
      </c>
    </row>
    <row r="3771" customFormat="false" ht="15" hidden="false" customHeight="true" outlineLevel="0" collapsed="false">
      <c r="H3771" s="14" t="b">
        <f aca="false">IF(중복검사!$A3769="",FALSE(),중복검사!$J3769="유지")</f>
        <v>0</v>
      </c>
      <c r="I3771" s="5" t="str">
        <f aca="false">IF($H3771=FALSE(),"",COUNTIF($H$6:$H3771,TRUE()))</f>
        <v/>
      </c>
      <c r="J3771" s="5" t="str">
        <f aca="false">IF($I3771="","","R"&amp;$I3771)</f>
        <v/>
      </c>
    </row>
    <row r="3772" customFormat="false" ht="15" hidden="false" customHeight="true" outlineLevel="0" collapsed="false">
      <c r="H3772" s="14" t="b">
        <f aca="false">IF(중복검사!$A3770="",FALSE(),중복검사!$J3770="유지")</f>
        <v>0</v>
      </c>
      <c r="I3772" s="5" t="str">
        <f aca="false">IF($H3772=FALSE(),"",COUNTIF($H$6:$H3772,TRUE()))</f>
        <v/>
      </c>
      <c r="J3772" s="5" t="str">
        <f aca="false">IF($I3772="","","R"&amp;$I3772)</f>
        <v/>
      </c>
    </row>
    <row r="3773" customFormat="false" ht="15" hidden="false" customHeight="true" outlineLevel="0" collapsed="false">
      <c r="H3773" s="14" t="b">
        <f aca="false">IF(중복검사!$A3771="",FALSE(),중복검사!$J3771="유지")</f>
        <v>0</v>
      </c>
      <c r="I3773" s="5" t="str">
        <f aca="false">IF($H3773=FALSE(),"",COUNTIF($H$6:$H3773,TRUE()))</f>
        <v/>
      </c>
      <c r="J3773" s="5" t="str">
        <f aca="false">IF($I3773="","","R"&amp;$I3773)</f>
        <v/>
      </c>
    </row>
    <row r="3774" customFormat="false" ht="15" hidden="false" customHeight="true" outlineLevel="0" collapsed="false">
      <c r="H3774" s="14" t="b">
        <f aca="false">IF(중복검사!$A3772="",FALSE(),중복검사!$J3772="유지")</f>
        <v>0</v>
      </c>
      <c r="I3774" s="5" t="str">
        <f aca="false">IF($H3774=FALSE(),"",COUNTIF($H$6:$H3774,TRUE()))</f>
        <v/>
      </c>
      <c r="J3774" s="5" t="str">
        <f aca="false">IF($I3774="","","R"&amp;$I3774)</f>
        <v/>
      </c>
    </row>
    <row r="3775" customFormat="false" ht="15" hidden="false" customHeight="true" outlineLevel="0" collapsed="false">
      <c r="H3775" s="14" t="b">
        <f aca="false">IF(중복검사!$A3773="",FALSE(),중복검사!$J3773="유지")</f>
        <v>0</v>
      </c>
      <c r="I3775" s="5" t="str">
        <f aca="false">IF($H3775=FALSE(),"",COUNTIF($H$6:$H3775,TRUE()))</f>
        <v/>
      </c>
      <c r="J3775" s="5" t="str">
        <f aca="false">IF($I3775="","","R"&amp;$I3775)</f>
        <v/>
      </c>
    </row>
    <row r="3776" customFormat="false" ht="15" hidden="false" customHeight="true" outlineLevel="0" collapsed="false">
      <c r="H3776" s="14" t="b">
        <f aca="false">IF(중복검사!$A3774="",FALSE(),중복검사!$J3774="유지")</f>
        <v>0</v>
      </c>
      <c r="I3776" s="5" t="str">
        <f aca="false">IF($H3776=FALSE(),"",COUNTIF($H$6:$H3776,TRUE()))</f>
        <v/>
      </c>
      <c r="J3776" s="5" t="str">
        <f aca="false">IF($I3776="","","R"&amp;$I3776)</f>
        <v/>
      </c>
    </row>
    <row r="3777" customFormat="false" ht="15" hidden="false" customHeight="true" outlineLevel="0" collapsed="false">
      <c r="H3777" s="14" t="b">
        <f aca="false">IF(중복검사!$A3775="",FALSE(),중복검사!$J3775="유지")</f>
        <v>0</v>
      </c>
      <c r="I3777" s="5" t="str">
        <f aca="false">IF($H3777=FALSE(),"",COUNTIF($H$6:$H3777,TRUE()))</f>
        <v/>
      </c>
      <c r="J3777" s="5" t="str">
        <f aca="false">IF($I3777="","","R"&amp;$I3777)</f>
        <v/>
      </c>
    </row>
    <row r="3778" customFormat="false" ht="15" hidden="false" customHeight="true" outlineLevel="0" collapsed="false">
      <c r="H3778" s="14" t="b">
        <f aca="false">IF(중복검사!$A3776="",FALSE(),중복검사!$J3776="유지")</f>
        <v>0</v>
      </c>
      <c r="I3778" s="5" t="str">
        <f aca="false">IF($H3778=FALSE(),"",COUNTIF($H$6:$H3778,TRUE()))</f>
        <v/>
      </c>
      <c r="J3778" s="5" t="str">
        <f aca="false">IF($I3778="","","R"&amp;$I3778)</f>
        <v/>
      </c>
    </row>
    <row r="3779" customFormat="false" ht="15" hidden="false" customHeight="true" outlineLevel="0" collapsed="false">
      <c r="H3779" s="14" t="b">
        <f aca="false">IF(중복검사!$A3777="",FALSE(),중복검사!$J3777="유지")</f>
        <v>0</v>
      </c>
      <c r="I3779" s="5" t="str">
        <f aca="false">IF($H3779=FALSE(),"",COUNTIF($H$6:$H3779,TRUE()))</f>
        <v/>
      </c>
      <c r="J3779" s="5" t="str">
        <f aca="false">IF($I3779="","","R"&amp;$I3779)</f>
        <v/>
      </c>
    </row>
    <row r="3780" customFormat="false" ht="15" hidden="false" customHeight="true" outlineLevel="0" collapsed="false">
      <c r="H3780" s="14" t="b">
        <f aca="false">IF(중복검사!$A3778="",FALSE(),중복검사!$J3778="유지")</f>
        <v>0</v>
      </c>
      <c r="I3780" s="5" t="str">
        <f aca="false">IF($H3780=FALSE(),"",COUNTIF($H$6:$H3780,TRUE()))</f>
        <v/>
      </c>
      <c r="J3780" s="5" t="str">
        <f aca="false">IF($I3780="","","R"&amp;$I3780)</f>
        <v/>
      </c>
    </row>
    <row r="3781" customFormat="false" ht="15" hidden="false" customHeight="true" outlineLevel="0" collapsed="false">
      <c r="H3781" s="14" t="b">
        <f aca="false">IF(중복검사!$A3779="",FALSE(),중복검사!$J3779="유지")</f>
        <v>0</v>
      </c>
      <c r="I3781" s="5" t="str">
        <f aca="false">IF($H3781=FALSE(),"",COUNTIF($H$6:$H3781,TRUE()))</f>
        <v/>
      </c>
      <c r="J3781" s="5" t="str">
        <f aca="false">IF($I3781="","","R"&amp;$I3781)</f>
        <v/>
      </c>
    </row>
    <row r="3782" customFormat="false" ht="15" hidden="false" customHeight="true" outlineLevel="0" collapsed="false">
      <c r="H3782" s="14" t="b">
        <f aca="false">IF(중복검사!$A3780="",FALSE(),중복검사!$J3780="유지")</f>
        <v>0</v>
      </c>
      <c r="I3782" s="5" t="str">
        <f aca="false">IF($H3782=FALSE(),"",COUNTIF($H$6:$H3782,TRUE()))</f>
        <v/>
      </c>
      <c r="J3782" s="5" t="str">
        <f aca="false">IF($I3782="","","R"&amp;$I3782)</f>
        <v/>
      </c>
    </row>
    <row r="3783" customFormat="false" ht="15" hidden="false" customHeight="true" outlineLevel="0" collapsed="false">
      <c r="H3783" s="14" t="b">
        <f aca="false">IF(중복검사!$A3781="",FALSE(),중복검사!$J3781="유지")</f>
        <v>0</v>
      </c>
      <c r="I3783" s="5" t="str">
        <f aca="false">IF($H3783=FALSE(),"",COUNTIF($H$6:$H3783,TRUE()))</f>
        <v/>
      </c>
      <c r="J3783" s="5" t="str">
        <f aca="false">IF($I3783="","","R"&amp;$I3783)</f>
        <v/>
      </c>
    </row>
    <row r="3784" customFormat="false" ht="15" hidden="false" customHeight="true" outlineLevel="0" collapsed="false">
      <c r="H3784" s="14" t="b">
        <f aca="false">IF(중복검사!$A3782="",FALSE(),중복검사!$J3782="유지")</f>
        <v>0</v>
      </c>
      <c r="I3784" s="5" t="str">
        <f aca="false">IF($H3784=FALSE(),"",COUNTIF($H$6:$H3784,TRUE()))</f>
        <v/>
      </c>
      <c r="J3784" s="5" t="str">
        <f aca="false">IF($I3784="","","R"&amp;$I3784)</f>
        <v/>
      </c>
    </row>
    <row r="3785" customFormat="false" ht="15" hidden="false" customHeight="true" outlineLevel="0" collapsed="false">
      <c r="H3785" s="14" t="b">
        <f aca="false">IF(중복검사!$A3783="",FALSE(),중복검사!$J3783="유지")</f>
        <v>0</v>
      </c>
      <c r="I3785" s="5" t="str">
        <f aca="false">IF($H3785=FALSE(),"",COUNTIF($H$6:$H3785,TRUE()))</f>
        <v/>
      </c>
      <c r="J3785" s="5" t="str">
        <f aca="false">IF($I3785="","","R"&amp;$I3785)</f>
        <v/>
      </c>
    </row>
    <row r="3786" customFormat="false" ht="15" hidden="false" customHeight="true" outlineLevel="0" collapsed="false">
      <c r="H3786" s="14" t="b">
        <f aca="false">IF(중복검사!$A3784="",FALSE(),중복검사!$J3784="유지")</f>
        <v>0</v>
      </c>
      <c r="I3786" s="5" t="str">
        <f aca="false">IF($H3786=FALSE(),"",COUNTIF($H$6:$H3786,TRUE()))</f>
        <v/>
      </c>
      <c r="J3786" s="5" t="str">
        <f aca="false">IF($I3786="","","R"&amp;$I3786)</f>
        <v/>
      </c>
    </row>
    <row r="3787" customFormat="false" ht="15" hidden="false" customHeight="true" outlineLevel="0" collapsed="false">
      <c r="H3787" s="14" t="b">
        <f aca="false">IF(중복검사!$A3785="",FALSE(),중복검사!$J3785="유지")</f>
        <v>0</v>
      </c>
      <c r="I3787" s="5" t="str">
        <f aca="false">IF($H3787=FALSE(),"",COUNTIF($H$6:$H3787,TRUE()))</f>
        <v/>
      </c>
      <c r="J3787" s="5" t="str">
        <f aca="false">IF($I3787="","","R"&amp;$I3787)</f>
        <v/>
      </c>
    </row>
    <row r="3788" customFormat="false" ht="15" hidden="false" customHeight="true" outlineLevel="0" collapsed="false">
      <c r="H3788" s="14" t="b">
        <f aca="false">IF(중복검사!$A3786="",FALSE(),중복검사!$J3786="유지")</f>
        <v>0</v>
      </c>
      <c r="I3788" s="5" t="str">
        <f aca="false">IF($H3788=FALSE(),"",COUNTIF($H$6:$H3788,TRUE()))</f>
        <v/>
      </c>
      <c r="J3788" s="5" t="str">
        <f aca="false">IF($I3788="","","R"&amp;$I3788)</f>
        <v/>
      </c>
    </row>
    <row r="3789" customFormat="false" ht="15" hidden="false" customHeight="true" outlineLevel="0" collapsed="false">
      <c r="H3789" s="14" t="b">
        <f aca="false">IF(중복검사!$A3787="",FALSE(),중복검사!$J3787="유지")</f>
        <v>0</v>
      </c>
      <c r="I3789" s="5" t="str">
        <f aca="false">IF($H3789=FALSE(),"",COUNTIF($H$6:$H3789,TRUE()))</f>
        <v/>
      </c>
      <c r="J3789" s="5" t="str">
        <f aca="false">IF($I3789="","","R"&amp;$I3789)</f>
        <v/>
      </c>
    </row>
    <row r="3790" customFormat="false" ht="15" hidden="false" customHeight="true" outlineLevel="0" collapsed="false">
      <c r="H3790" s="14" t="b">
        <f aca="false">IF(중복검사!$A3788="",FALSE(),중복검사!$J3788="유지")</f>
        <v>0</v>
      </c>
      <c r="I3790" s="5" t="str">
        <f aca="false">IF($H3790=FALSE(),"",COUNTIF($H$6:$H3790,TRUE()))</f>
        <v/>
      </c>
      <c r="J3790" s="5" t="str">
        <f aca="false">IF($I3790="","","R"&amp;$I3790)</f>
        <v/>
      </c>
    </row>
    <row r="3791" customFormat="false" ht="15" hidden="false" customHeight="true" outlineLevel="0" collapsed="false">
      <c r="H3791" s="14" t="b">
        <f aca="false">IF(중복검사!$A3789="",FALSE(),중복검사!$J3789="유지")</f>
        <v>0</v>
      </c>
      <c r="I3791" s="5" t="str">
        <f aca="false">IF($H3791=FALSE(),"",COUNTIF($H$6:$H3791,TRUE()))</f>
        <v/>
      </c>
      <c r="J3791" s="5" t="str">
        <f aca="false">IF($I3791="","","R"&amp;$I3791)</f>
        <v/>
      </c>
    </row>
    <row r="3792" customFormat="false" ht="15" hidden="false" customHeight="true" outlineLevel="0" collapsed="false">
      <c r="H3792" s="14" t="b">
        <f aca="false">IF(중복검사!$A3790="",FALSE(),중복검사!$J3790="유지")</f>
        <v>0</v>
      </c>
      <c r="I3792" s="5" t="str">
        <f aca="false">IF($H3792=FALSE(),"",COUNTIF($H$6:$H3792,TRUE()))</f>
        <v/>
      </c>
      <c r="J3792" s="5" t="str">
        <f aca="false">IF($I3792="","","R"&amp;$I3792)</f>
        <v/>
      </c>
    </row>
    <row r="3793" customFormat="false" ht="15" hidden="false" customHeight="true" outlineLevel="0" collapsed="false">
      <c r="H3793" s="14" t="b">
        <f aca="false">IF(중복검사!$A3791="",FALSE(),중복검사!$J3791="유지")</f>
        <v>0</v>
      </c>
      <c r="I3793" s="5" t="str">
        <f aca="false">IF($H3793=FALSE(),"",COUNTIF($H$6:$H3793,TRUE()))</f>
        <v/>
      </c>
      <c r="J3793" s="5" t="str">
        <f aca="false">IF($I3793="","","R"&amp;$I3793)</f>
        <v/>
      </c>
    </row>
    <row r="3794" customFormat="false" ht="15" hidden="false" customHeight="true" outlineLevel="0" collapsed="false">
      <c r="H3794" s="14" t="b">
        <f aca="false">IF(중복검사!$A3792="",FALSE(),중복검사!$J3792="유지")</f>
        <v>0</v>
      </c>
      <c r="I3794" s="5" t="str">
        <f aca="false">IF($H3794=FALSE(),"",COUNTIF($H$6:$H3794,TRUE()))</f>
        <v/>
      </c>
      <c r="J3794" s="5" t="str">
        <f aca="false">IF($I3794="","","R"&amp;$I3794)</f>
        <v/>
      </c>
    </row>
    <row r="3795" customFormat="false" ht="15" hidden="false" customHeight="true" outlineLevel="0" collapsed="false">
      <c r="H3795" s="14" t="b">
        <f aca="false">IF(중복검사!$A3793="",FALSE(),중복검사!$J3793="유지")</f>
        <v>0</v>
      </c>
      <c r="I3795" s="5" t="str">
        <f aca="false">IF($H3795=FALSE(),"",COUNTIF($H$6:$H3795,TRUE()))</f>
        <v/>
      </c>
      <c r="J3795" s="5" t="str">
        <f aca="false">IF($I3795="","","R"&amp;$I3795)</f>
        <v/>
      </c>
    </row>
    <row r="3796" customFormat="false" ht="15" hidden="false" customHeight="true" outlineLevel="0" collapsed="false">
      <c r="H3796" s="14" t="b">
        <f aca="false">IF(중복검사!$A3794="",FALSE(),중복검사!$J3794="유지")</f>
        <v>0</v>
      </c>
      <c r="I3796" s="5" t="str">
        <f aca="false">IF($H3796=FALSE(),"",COUNTIF($H$6:$H3796,TRUE()))</f>
        <v/>
      </c>
      <c r="J3796" s="5" t="str">
        <f aca="false">IF($I3796="","","R"&amp;$I3796)</f>
        <v/>
      </c>
    </row>
    <row r="3797" customFormat="false" ht="15" hidden="false" customHeight="true" outlineLevel="0" collapsed="false">
      <c r="H3797" s="14" t="b">
        <f aca="false">IF(중복검사!$A3795="",FALSE(),중복검사!$J3795="유지")</f>
        <v>0</v>
      </c>
      <c r="I3797" s="5" t="str">
        <f aca="false">IF($H3797=FALSE(),"",COUNTIF($H$6:$H3797,TRUE()))</f>
        <v/>
      </c>
      <c r="J3797" s="5" t="str">
        <f aca="false">IF($I3797="","","R"&amp;$I3797)</f>
        <v/>
      </c>
    </row>
    <row r="3798" customFormat="false" ht="15" hidden="false" customHeight="true" outlineLevel="0" collapsed="false">
      <c r="H3798" s="14" t="b">
        <f aca="false">IF(중복검사!$A3796="",FALSE(),중복검사!$J3796="유지")</f>
        <v>0</v>
      </c>
      <c r="I3798" s="5" t="str">
        <f aca="false">IF($H3798=FALSE(),"",COUNTIF($H$6:$H3798,TRUE()))</f>
        <v/>
      </c>
      <c r="J3798" s="5" t="str">
        <f aca="false">IF($I3798="","","R"&amp;$I3798)</f>
        <v/>
      </c>
    </row>
    <row r="3799" customFormat="false" ht="15" hidden="false" customHeight="true" outlineLevel="0" collapsed="false">
      <c r="H3799" s="14" t="b">
        <f aca="false">IF(중복검사!$A3797="",FALSE(),중복검사!$J3797="유지")</f>
        <v>0</v>
      </c>
      <c r="I3799" s="5" t="str">
        <f aca="false">IF($H3799=FALSE(),"",COUNTIF($H$6:$H3799,TRUE()))</f>
        <v/>
      </c>
      <c r="J3799" s="5" t="str">
        <f aca="false">IF($I3799="","","R"&amp;$I3799)</f>
        <v/>
      </c>
    </row>
    <row r="3800" customFormat="false" ht="15" hidden="false" customHeight="true" outlineLevel="0" collapsed="false">
      <c r="H3800" s="14" t="b">
        <f aca="false">IF(중복검사!$A3798="",FALSE(),중복검사!$J3798="유지")</f>
        <v>0</v>
      </c>
      <c r="I3800" s="5" t="str">
        <f aca="false">IF($H3800=FALSE(),"",COUNTIF($H$6:$H3800,TRUE()))</f>
        <v/>
      </c>
      <c r="J3800" s="5" t="str">
        <f aca="false">IF($I3800="","","R"&amp;$I3800)</f>
        <v/>
      </c>
    </row>
    <row r="3801" customFormat="false" ht="15" hidden="false" customHeight="true" outlineLevel="0" collapsed="false">
      <c r="H3801" s="14" t="b">
        <f aca="false">IF(중복검사!$A3799="",FALSE(),중복검사!$J3799="유지")</f>
        <v>0</v>
      </c>
      <c r="I3801" s="5" t="str">
        <f aca="false">IF($H3801=FALSE(),"",COUNTIF($H$6:$H3801,TRUE()))</f>
        <v/>
      </c>
      <c r="J3801" s="5" t="str">
        <f aca="false">IF($I3801="","","R"&amp;$I3801)</f>
        <v/>
      </c>
    </row>
    <row r="3802" customFormat="false" ht="15" hidden="false" customHeight="true" outlineLevel="0" collapsed="false">
      <c r="H3802" s="14" t="b">
        <f aca="false">IF(중복검사!$A3800="",FALSE(),중복검사!$J3800="유지")</f>
        <v>0</v>
      </c>
      <c r="I3802" s="5" t="str">
        <f aca="false">IF($H3802=FALSE(),"",COUNTIF($H$6:$H3802,TRUE()))</f>
        <v/>
      </c>
      <c r="J3802" s="5" t="str">
        <f aca="false">IF($I3802="","","R"&amp;$I3802)</f>
        <v/>
      </c>
    </row>
    <row r="3803" customFormat="false" ht="15" hidden="false" customHeight="true" outlineLevel="0" collapsed="false">
      <c r="H3803" s="14" t="b">
        <f aca="false">IF(중복검사!$A3801="",FALSE(),중복검사!$J3801="유지")</f>
        <v>0</v>
      </c>
      <c r="I3803" s="5" t="str">
        <f aca="false">IF($H3803=FALSE(),"",COUNTIF($H$6:$H3803,TRUE()))</f>
        <v/>
      </c>
      <c r="J3803" s="5" t="str">
        <f aca="false">IF($I3803="","","R"&amp;$I3803)</f>
        <v/>
      </c>
    </row>
    <row r="3804" customFormat="false" ht="15" hidden="false" customHeight="true" outlineLevel="0" collapsed="false">
      <c r="H3804" s="14" t="b">
        <f aca="false">IF(중복검사!$A3802="",FALSE(),중복검사!$J3802="유지")</f>
        <v>0</v>
      </c>
      <c r="I3804" s="5" t="str">
        <f aca="false">IF($H3804=FALSE(),"",COUNTIF($H$6:$H3804,TRUE()))</f>
        <v/>
      </c>
      <c r="J3804" s="5" t="str">
        <f aca="false">IF($I3804="","","R"&amp;$I3804)</f>
        <v/>
      </c>
    </row>
    <row r="3805" customFormat="false" ht="15" hidden="false" customHeight="true" outlineLevel="0" collapsed="false">
      <c r="H3805" s="14" t="b">
        <f aca="false">IF(중복검사!$A3803="",FALSE(),중복검사!$J3803="유지")</f>
        <v>0</v>
      </c>
      <c r="I3805" s="5" t="str">
        <f aca="false">IF($H3805=FALSE(),"",COUNTIF($H$6:$H3805,TRUE()))</f>
        <v/>
      </c>
      <c r="J3805" s="5" t="str">
        <f aca="false">IF($I3805="","","R"&amp;$I3805)</f>
        <v/>
      </c>
    </row>
    <row r="3806" customFormat="false" ht="15" hidden="false" customHeight="true" outlineLevel="0" collapsed="false">
      <c r="H3806" s="14" t="b">
        <f aca="false">IF(중복검사!$A3804="",FALSE(),중복검사!$J3804="유지")</f>
        <v>0</v>
      </c>
      <c r="I3806" s="5" t="str">
        <f aca="false">IF($H3806=FALSE(),"",COUNTIF($H$6:$H3806,TRUE()))</f>
        <v/>
      </c>
      <c r="J3806" s="5" t="str">
        <f aca="false">IF($I3806="","","R"&amp;$I3806)</f>
        <v/>
      </c>
    </row>
    <row r="3807" customFormat="false" ht="15" hidden="false" customHeight="true" outlineLevel="0" collapsed="false">
      <c r="H3807" s="14" t="b">
        <f aca="false">IF(중복검사!$A3805="",FALSE(),중복검사!$J3805="유지")</f>
        <v>0</v>
      </c>
      <c r="I3807" s="5" t="str">
        <f aca="false">IF($H3807=FALSE(),"",COUNTIF($H$6:$H3807,TRUE()))</f>
        <v/>
      </c>
      <c r="J3807" s="5" t="str">
        <f aca="false">IF($I3807="","","R"&amp;$I3807)</f>
        <v/>
      </c>
    </row>
    <row r="3808" customFormat="false" ht="15" hidden="false" customHeight="true" outlineLevel="0" collapsed="false">
      <c r="H3808" s="14" t="b">
        <f aca="false">IF(중복검사!$A3806="",FALSE(),중복검사!$J3806="유지")</f>
        <v>0</v>
      </c>
      <c r="I3808" s="5" t="str">
        <f aca="false">IF($H3808=FALSE(),"",COUNTIF($H$6:$H3808,TRUE()))</f>
        <v/>
      </c>
      <c r="J3808" s="5" t="str">
        <f aca="false">IF($I3808="","","R"&amp;$I3808)</f>
        <v/>
      </c>
    </row>
    <row r="3809" customFormat="false" ht="15" hidden="false" customHeight="true" outlineLevel="0" collapsed="false">
      <c r="H3809" s="14" t="b">
        <f aca="false">IF(중복검사!$A3807="",FALSE(),중복검사!$J3807="유지")</f>
        <v>0</v>
      </c>
      <c r="I3809" s="5" t="str">
        <f aca="false">IF($H3809=FALSE(),"",COUNTIF($H$6:$H3809,TRUE()))</f>
        <v/>
      </c>
      <c r="J3809" s="5" t="str">
        <f aca="false">IF($I3809="","","R"&amp;$I3809)</f>
        <v/>
      </c>
    </row>
    <row r="3810" customFormat="false" ht="15" hidden="false" customHeight="true" outlineLevel="0" collapsed="false">
      <c r="H3810" s="14" t="b">
        <f aca="false">IF(중복검사!$A3808="",FALSE(),중복검사!$J3808="유지")</f>
        <v>0</v>
      </c>
      <c r="I3810" s="5" t="str">
        <f aca="false">IF($H3810=FALSE(),"",COUNTIF($H$6:$H3810,TRUE()))</f>
        <v/>
      </c>
      <c r="J3810" s="5" t="str">
        <f aca="false">IF($I3810="","","R"&amp;$I3810)</f>
        <v/>
      </c>
    </row>
    <row r="3811" customFormat="false" ht="15" hidden="false" customHeight="true" outlineLevel="0" collapsed="false">
      <c r="H3811" s="14" t="b">
        <f aca="false">IF(중복검사!$A3809="",FALSE(),중복검사!$J3809="유지")</f>
        <v>0</v>
      </c>
      <c r="I3811" s="5" t="str">
        <f aca="false">IF($H3811=FALSE(),"",COUNTIF($H$6:$H3811,TRUE()))</f>
        <v/>
      </c>
      <c r="J3811" s="5" t="str">
        <f aca="false">IF($I3811="","","R"&amp;$I3811)</f>
        <v/>
      </c>
    </row>
    <row r="3812" customFormat="false" ht="15" hidden="false" customHeight="true" outlineLevel="0" collapsed="false">
      <c r="H3812" s="14" t="b">
        <f aca="false">IF(중복검사!$A3810="",FALSE(),중복검사!$J3810="유지")</f>
        <v>0</v>
      </c>
      <c r="I3812" s="5" t="str">
        <f aca="false">IF($H3812=FALSE(),"",COUNTIF($H$6:$H3812,TRUE()))</f>
        <v/>
      </c>
      <c r="J3812" s="5" t="str">
        <f aca="false">IF($I3812="","","R"&amp;$I3812)</f>
        <v/>
      </c>
    </row>
    <row r="3813" customFormat="false" ht="15" hidden="false" customHeight="true" outlineLevel="0" collapsed="false">
      <c r="H3813" s="14" t="b">
        <f aca="false">IF(중복검사!$A3811="",FALSE(),중복검사!$J3811="유지")</f>
        <v>0</v>
      </c>
      <c r="I3813" s="5" t="str">
        <f aca="false">IF($H3813=FALSE(),"",COUNTIF($H$6:$H3813,TRUE()))</f>
        <v/>
      </c>
      <c r="J3813" s="5" t="str">
        <f aca="false">IF($I3813="","","R"&amp;$I3813)</f>
        <v/>
      </c>
    </row>
    <row r="3814" customFormat="false" ht="15" hidden="false" customHeight="true" outlineLevel="0" collapsed="false">
      <c r="H3814" s="14" t="b">
        <f aca="false">IF(중복검사!$A3812="",FALSE(),중복검사!$J3812="유지")</f>
        <v>0</v>
      </c>
      <c r="I3814" s="5" t="str">
        <f aca="false">IF($H3814=FALSE(),"",COUNTIF($H$6:$H3814,TRUE()))</f>
        <v/>
      </c>
      <c r="J3814" s="5" t="str">
        <f aca="false">IF($I3814="","","R"&amp;$I3814)</f>
        <v/>
      </c>
    </row>
    <row r="3815" customFormat="false" ht="15" hidden="false" customHeight="true" outlineLevel="0" collapsed="false">
      <c r="H3815" s="14" t="b">
        <f aca="false">IF(중복검사!$A3813="",FALSE(),중복검사!$J3813="유지")</f>
        <v>0</v>
      </c>
      <c r="I3815" s="5" t="str">
        <f aca="false">IF($H3815=FALSE(),"",COUNTIF($H$6:$H3815,TRUE()))</f>
        <v/>
      </c>
      <c r="J3815" s="5" t="str">
        <f aca="false">IF($I3815="","","R"&amp;$I3815)</f>
        <v/>
      </c>
    </row>
    <row r="3816" customFormat="false" ht="15" hidden="false" customHeight="true" outlineLevel="0" collapsed="false">
      <c r="H3816" s="14" t="b">
        <f aca="false">IF(중복검사!$A3814="",FALSE(),중복검사!$J3814="유지")</f>
        <v>0</v>
      </c>
      <c r="I3816" s="5" t="str">
        <f aca="false">IF($H3816=FALSE(),"",COUNTIF($H$6:$H3816,TRUE()))</f>
        <v/>
      </c>
      <c r="J3816" s="5" t="str">
        <f aca="false">IF($I3816="","","R"&amp;$I3816)</f>
        <v/>
      </c>
    </row>
    <row r="3817" customFormat="false" ht="15" hidden="false" customHeight="true" outlineLevel="0" collapsed="false">
      <c r="H3817" s="14" t="b">
        <f aca="false">IF(중복검사!$A3815="",FALSE(),중복검사!$J3815="유지")</f>
        <v>0</v>
      </c>
      <c r="I3817" s="5" t="str">
        <f aca="false">IF($H3817=FALSE(),"",COUNTIF($H$6:$H3817,TRUE()))</f>
        <v/>
      </c>
      <c r="J3817" s="5" t="str">
        <f aca="false">IF($I3817="","","R"&amp;$I3817)</f>
        <v/>
      </c>
    </row>
    <row r="3818" customFormat="false" ht="15" hidden="false" customHeight="true" outlineLevel="0" collapsed="false">
      <c r="H3818" s="14" t="b">
        <f aca="false">IF(중복검사!$A3816="",FALSE(),중복검사!$J3816="유지")</f>
        <v>0</v>
      </c>
      <c r="I3818" s="5" t="str">
        <f aca="false">IF($H3818=FALSE(),"",COUNTIF($H$6:$H3818,TRUE()))</f>
        <v/>
      </c>
      <c r="J3818" s="5" t="str">
        <f aca="false">IF($I3818="","","R"&amp;$I3818)</f>
        <v/>
      </c>
    </row>
    <row r="3819" customFormat="false" ht="15" hidden="false" customHeight="true" outlineLevel="0" collapsed="false">
      <c r="H3819" s="14" t="b">
        <f aca="false">IF(중복검사!$A3817="",FALSE(),중복검사!$J3817="유지")</f>
        <v>0</v>
      </c>
      <c r="I3819" s="5" t="str">
        <f aca="false">IF($H3819=FALSE(),"",COUNTIF($H$6:$H3819,TRUE()))</f>
        <v/>
      </c>
      <c r="J3819" s="5" t="str">
        <f aca="false">IF($I3819="","","R"&amp;$I3819)</f>
        <v/>
      </c>
    </row>
    <row r="3820" customFormat="false" ht="15" hidden="false" customHeight="true" outlineLevel="0" collapsed="false">
      <c r="H3820" s="14" t="b">
        <f aca="false">IF(중복검사!$A3818="",FALSE(),중복검사!$J3818="유지")</f>
        <v>0</v>
      </c>
      <c r="I3820" s="5" t="str">
        <f aca="false">IF($H3820=FALSE(),"",COUNTIF($H$6:$H3820,TRUE()))</f>
        <v/>
      </c>
      <c r="J3820" s="5" t="str">
        <f aca="false">IF($I3820="","","R"&amp;$I3820)</f>
        <v/>
      </c>
    </row>
    <row r="3821" customFormat="false" ht="15" hidden="false" customHeight="true" outlineLevel="0" collapsed="false">
      <c r="H3821" s="14" t="b">
        <f aca="false">IF(중복검사!$A3819="",FALSE(),중복검사!$J3819="유지")</f>
        <v>0</v>
      </c>
      <c r="I3821" s="5" t="str">
        <f aca="false">IF($H3821=FALSE(),"",COUNTIF($H$6:$H3821,TRUE()))</f>
        <v/>
      </c>
      <c r="J3821" s="5" t="str">
        <f aca="false">IF($I3821="","","R"&amp;$I3821)</f>
        <v/>
      </c>
    </row>
    <row r="3822" customFormat="false" ht="15" hidden="false" customHeight="true" outlineLevel="0" collapsed="false">
      <c r="H3822" s="14" t="b">
        <f aca="false">IF(중복검사!$A3820="",FALSE(),중복검사!$J3820="유지")</f>
        <v>0</v>
      </c>
      <c r="I3822" s="5" t="str">
        <f aca="false">IF($H3822=FALSE(),"",COUNTIF($H$6:$H3822,TRUE()))</f>
        <v/>
      </c>
      <c r="J3822" s="5" t="str">
        <f aca="false">IF($I3822="","","R"&amp;$I3822)</f>
        <v/>
      </c>
    </row>
    <row r="3823" customFormat="false" ht="15" hidden="false" customHeight="true" outlineLevel="0" collapsed="false">
      <c r="H3823" s="14" t="b">
        <f aca="false">IF(중복검사!$A3821="",FALSE(),중복검사!$J3821="유지")</f>
        <v>0</v>
      </c>
      <c r="I3823" s="5" t="str">
        <f aca="false">IF($H3823=FALSE(),"",COUNTIF($H$6:$H3823,TRUE()))</f>
        <v/>
      </c>
      <c r="J3823" s="5" t="str">
        <f aca="false">IF($I3823="","","R"&amp;$I3823)</f>
        <v/>
      </c>
    </row>
    <row r="3824" customFormat="false" ht="15" hidden="false" customHeight="true" outlineLevel="0" collapsed="false">
      <c r="H3824" s="14" t="b">
        <f aca="false">IF(중복검사!$A3822="",FALSE(),중복검사!$J3822="유지")</f>
        <v>0</v>
      </c>
      <c r="I3824" s="5" t="str">
        <f aca="false">IF($H3824=FALSE(),"",COUNTIF($H$6:$H3824,TRUE()))</f>
        <v/>
      </c>
      <c r="J3824" s="5" t="str">
        <f aca="false">IF($I3824="","","R"&amp;$I3824)</f>
        <v/>
      </c>
    </row>
    <row r="3825" customFormat="false" ht="15" hidden="false" customHeight="true" outlineLevel="0" collapsed="false">
      <c r="H3825" s="14" t="b">
        <f aca="false">IF(중복검사!$A3823="",FALSE(),중복검사!$J3823="유지")</f>
        <v>0</v>
      </c>
      <c r="I3825" s="5" t="str">
        <f aca="false">IF($H3825=FALSE(),"",COUNTIF($H$6:$H3825,TRUE()))</f>
        <v/>
      </c>
      <c r="J3825" s="5" t="str">
        <f aca="false">IF($I3825="","","R"&amp;$I3825)</f>
        <v/>
      </c>
    </row>
    <row r="3826" customFormat="false" ht="15" hidden="false" customHeight="true" outlineLevel="0" collapsed="false">
      <c r="H3826" s="14" t="b">
        <f aca="false">IF(중복검사!$A3824="",FALSE(),중복검사!$J3824="유지")</f>
        <v>0</v>
      </c>
      <c r="I3826" s="5" t="str">
        <f aca="false">IF($H3826=FALSE(),"",COUNTIF($H$6:$H3826,TRUE()))</f>
        <v/>
      </c>
      <c r="J3826" s="5" t="str">
        <f aca="false">IF($I3826="","","R"&amp;$I3826)</f>
        <v/>
      </c>
    </row>
    <row r="3827" customFormat="false" ht="15" hidden="false" customHeight="true" outlineLevel="0" collapsed="false">
      <c r="H3827" s="14" t="b">
        <f aca="false">IF(중복검사!$A3825="",FALSE(),중복검사!$J3825="유지")</f>
        <v>0</v>
      </c>
      <c r="I3827" s="5" t="str">
        <f aca="false">IF($H3827=FALSE(),"",COUNTIF($H$6:$H3827,TRUE()))</f>
        <v/>
      </c>
      <c r="J3827" s="5" t="str">
        <f aca="false">IF($I3827="","","R"&amp;$I3827)</f>
        <v/>
      </c>
    </row>
    <row r="3828" customFormat="false" ht="15" hidden="false" customHeight="true" outlineLevel="0" collapsed="false">
      <c r="H3828" s="14" t="b">
        <f aca="false">IF(중복검사!$A3826="",FALSE(),중복검사!$J3826="유지")</f>
        <v>0</v>
      </c>
      <c r="I3828" s="5" t="str">
        <f aca="false">IF($H3828=FALSE(),"",COUNTIF($H$6:$H3828,TRUE()))</f>
        <v/>
      </c>
      <c r="J3828" s="5" t="str">
        <f aca="false">IF($I3828="","","R"&amp;$I3828)</f>
        <v/>
      </c>
    </row>
    <row r="3829" customFormat="false" ht="15" hidden="false" customHeight="true" outlineLevel="0" collapsed="false">
      <c r="H3829" s="14" t="b">
        <f aca="false">IF(중복검사!$A3827="",FALSE(),중복검사!$J3827="유지")</f>
        <v>0</v>
      </c>
      <c r="I3829" s="5" t="str">
        <f aca="false">IF($H3829=FALSE(),"",COUNTIF($H$6:$H3829,TRUE()))</f>
        <v/>
      </c>
      <c r="J3829" s="5" t="str">
        <f aca="false">IF($I3829="","","R"&amp;$I3829)</f>
        <v/>
      </c>
    </row>
    <row r="3830" customFormat="false" ht="15" hidden="false" customHeight="true" outlineLevel="0" collapsed="false">
      <c r="H3830" s="14" t="b">
        <f aca="false">IF(중복검사!$A3828="",FALSE(),중복검사!$J3828="유지")</f>
        <v>0</v>
      </c>
      <c r="I3830" s="5" t="str">
        <f aca="false">IF($H3830=FALSE(),"",COUNTIF($H$6:$H3830,TRUE()))</f>
        <v/>
      </c>
      <c r="J3830" s="5" t="str">
        <f aca="false">IF($I3830="","","R"&amp;$I3830)</f>
        <v/>
      </c>
    </row>
    <row r="3831" customFormat="false" ht="15" hidden="false" customHeight="true" outlineLevel="0" collapsed="false">
      <c r="H3831" s="14" t="b">
        <f aca="false">IF(중복검사!$A3829="",FALSE(),중복검사!$J3829="유지")</f>
        <v>0</v>
      </c>
      <c r="I3831" s="5" t="str">
        <f aca="false">IF($H3831=FALSE(),"",COUNTIF($H$6:$H3831,TRUE()))</f>
        <v/>
      </c>
      <c r="J3831" s="5" t="str">
        <f aca="false">IF($I3831="","","R"&amp;$I3831)</f>
        <v/>
      </c>
    </row>
    <row r="3832" customFormat="false" ht="15" hidden="false" customHeight="true" outlineLevel="0" collapsed="false">
      <c r="H3832" s="14" t="b">
        <f aca="false">IF(중복검사!$A3830="",FALSE(),중복검사!$J3830="유지")</f>
        <v>0</v>
      </c>
      <c r="I3832" s="5" t="str">
        <f aca="false">IF($H3832=FALSE(),"",COUNTIF($H$6:$H3832,TRUE()))</f>
        <v/>
      </c>
      <c r="J3832" s="5" t="str">
        <f aca="false">IF($I3832="","","R"&amp;$I3832)</f>
        <v/>
      </c>
    </row>
    <row r="3833" customFormat="false" ht="15" hidden="false" customHeight="true" outlineLevel="0" collapsed="false">
      <c r="H3833" s="14" t="b">
        <f aca="false">IF(중복검사!$A3831="",FALSE(),중복검사!$J3831="유지")</f>
        <v>0</v>
      </c>
      <c r="I3833" s="5" t="str">
        <f aca="false">IF($H3833=FALSE(),"",COUNTIF($H$6:$H3833,TRUE()))</f>
        <v/>
      </c>
      <c r="J3833" s="5" t="str">
        <f aca="false">IF($I3833="","","R"&amp;$I3833)</f>
        <v/>
      </c>
    </row>
    <row r="3834" customFormat="false" ht="15" hidden="false" customHeight="true" outlineLevel="0" collapsed="false">
      <c r="H3834" s="14" t="b">
        <f aca="false">IF(중복검사!$A3832="",FALSE(),중복검사!$J3832="유지")</f>
        <v>0</v>
      </c>
      <c r="I3834" s="5" t="str">
        <f aca="false">IF($H3834=FALSE(),"",COUNTIF($H$6:$H3834,TRUE()))</f>
        <v/>
      </c>
      <c r="J3834" s="5" t="str">
        <f aca="false">IF($I3834="","","R"&amp;$I3834)</f>
        <v/>
      </c>
    </row>
    <row r="3835" customFormat="false" ht="15" hidden="false" customHeight="true" outlineLevel="0" collapsed="false">
      <c r="H3835" s="14" t="b">
        <f aca="false">IF(중복검사!$A3833="",FALSE(),중복검사!$J3833="유지")</f>
        <v>0</v>
      </c>
      <c r="I3835" s="5" t="str">
        <f aca="false">IF($H3835=FALSE(),"",COUNTIF($H$6:$H3835,TRUE()))</f>
        <v/>
      </c>
      <c r="J3835" s="5" t="str">
        <f aca="false">IF($I3835="","","R"&amp;$I3835)</f>
        <v/>
      </c>
    </row>
    <row r="3836" customFormat="false" ht="15" hidden="false" customHeight="true" outlineLevel="0" collapsed="false">
      <c r="H3836" s="14" t="b">
        <f aca="false">IF(중복검사!$A3834="",FALSE(),중복검사!$J3834="유지")</f>
        <v>0</v>
      </c>
      <c r="I3836" s="5" t="str">
        <f aca="false">IF($H3836=FALSE(),"",COUNTIF($H$6:$H3836,TRUE()))</f>
        <v/>
      </c>
      <c r="J3836" s="5" t="str">
        <f aca="false">IF($I3836="","","R"&amp;$I3836)</f>
        <v/>
      </c>
    </row>
    <row r="3837" customFormat="false" ht="15" hidden="false" customHeight="true" outlineLevel="0" collapsed="false">
      <c r="H3837" s="14" t="b">
        <f aca="false">IF(중복검사!$A3835="",FALSE(),중복검사!$J3835="유지")</f>
        <v>0</v>
      </c>
      <c r="I3837" s="5" t="str">
        <f aca="false">IF($H3837=FALSE(),"",COUNTIF($H$6:$H3837,TRUE()))</f>
        <v/>
      </c>
      <c r="J3837" s="5" t="str">
        <f aca="false">IF($I3837="","","R"&amp;$I3837)</f>
        <v/>
      </c>
    </row>
    <row r="3838" customFormat="false" ht="15" hidden="false" customHeight="true" outlineLevel="0" collapsed="false">
      <c r="H3838" s="14" t="b">
        <f aca="false">IF(중복검사!$A3836="",FALSE(),중복검사!$J3836="유지")</f>
        <v>0</v>
      </c>
      <c r="I3838" s="5" t="str">
        <f aca="false">IF($H3838=FALSE(),"",COUNTIF($H$6:$H3838,TRUE()))</f>
        <v/>
      </c>
      <c r="J3838" s="5" t="str">
        <f aca="false">IF($I3838="","","R"&amp;$I3838)</f>
        <v/>
      </c>
    </row>
    <row r="3839" customFormat="false" ht="15" hidden="false" customHeight="true" outlineLevel="0" collapsed="false">
      <c r="H3839" s="14" t="b">
        <f aca="false">IF(중복검사!$A3837="",FALSE(),중복검사!$J3837="유지")</f>
        <v>0</v>
      </c>
      <c r="I3839" s="5" t="str">
        <f aca="false">IF($H3839=FALSE(),"",COUNTIF($H$6:$H3839,TRUE()))</f>
        <v/>
      </c>
      <c r="J3839" s="5" t="str">
        <f aca="false">IF($I3839="","","R"&amp;$I3839)</f>
        <v/>
      </c>
    </row>
    <row r="3840" customFormat="false" ht="15" hidden="false" customHeight="true" outlineLevel="0" collapsed="false">
      <c r="H3840" s="14" t="b">
        <f aca="false">IF(중복검사!$A3838="",FALSE(),중복검사!$J3838="유지")</f>
        <v>0</v>
      </c>
      <c r="I3840" s="5" t="str">
        <f aca="false">IF($H3840=FALSE(),"",COUNTIF($H$6:$H3840,TRUE()))</f>
        <v/>
      </c>
      <c r="J3840" s="5" t="str">
        <f aca="false">IF($I3840="","","R"&amp;$I3840)</f>
        <v/>
      </c>
    </row>
    <row r="3841" customFormat="false" ht="15" hidden="false" customHeight="true" outlineLevel="0" collapsed="false">
      <c r="H3841" s="14" t="b">
        <f aca="false">IF(중복검사!$A3839="",FALSE(),중복검사!$J3839="유지")</f>
        <v>0</v>
      </c>
      <c r="I3841" s="5" t="str">
        <f aca="false">IF($H3841=FALSE(),"",COUNTIF($H$6:$H3841,TRUE()))</f>
        <v/>
      </c>
      <c r="J3841" s="5" t="str">
        <f aca="false">IF($I3841="","","R"&amp;$I3841)</f>
        <v/>
      </c>
    </row>
    <row r="3842" customFormat="false" ht="15" hidden="false" customHeight="true" outlineLevel="0" collapsed="false">
      <c r="H3842" s="14" t="b">
        <f aca="false">IF(중복검사!$A3840="",FALSE(),중복검사!$J3840="유지")</f>
        <v>0</v>
      </c>
      <c r="I3842" s="5" t="str">
        <f aca="false">IF($H3842=FALSE(),"",COUNTIF($H$6:$H3842,TRUE()))</f>
        <v/>
      </c>
      <c r="J3842" s="5" t="str">
        <f aca="false">IF($I3842="","","R"&amp;$I3842)</f>
        <v/>
      </c>
    </row>
    <row r="3843" customFormat="false" ht="15" hidden="false" customHeight="true" outlineLevel="0" collapsed="false">
      <c r="H3843" s="14" t="b">
        <f aca="false">IF(중복검사!$A3841="",FALSE(),중복검사!$J3841="유지")</f>
        <v>0</v>
      </c>
      <c r="I3843" s="5" t="str">
        <f aca="false">IF($H3843=FALSE(),"",COUNTIF($H$6:$H3843,TRUE()))</f>
        <v/>
      </c>
      <c r="J3843" s="5" t="str">
        <f aca="false">IF($I3843="","","R"&amp;$I3843)</f>
        <v/>
      </c>
    </row>
    <row r="3844" customFormat="false" ht="15" hidden="false" customHeight="true" outlineLevel="0" collapsed="false">
      <c r="H3844" s="14" t="b">
        <f aca="false">IF(중복검사!$A3842="",FALSE(),중복검사!$J3842="유지")</f>
        <v>0</v>
      </c>
      <c r="I3844" s="5" t="str">
        <f aca="false">IF($H3844=FALSE(),"",COUNTIF($H$6:$H3844,TRUE()))</f>
        <v/>
      </c>
      <c r="J3844" s="5" t="str">
        <f aca="false">IF($I3844="","","R"&amp;$I3844)</f>
        <v/>
      </c>
    </row>
    <row r="3845" customFormat="false" ht="15" hidden="false" customHeight="true" outlineLevel="0" collapsed="false">
      <c r="H3845" s="14" t="b">
        <f aca="false">IF(중복검사!$A3843="",FALSE(),중복검사!$J3843="유지")</f>
        <v>0</v>
      </c>
      <c r="I3845" s="5" t="str">
        <f aca="false">IF($H3845=FALSE(),"",COUNTIF($H$6:$H3845,TRUE()))</f>
        <v/>
      </c>
      <c r="J3845" s="5" t="str">
        <f aca="false">IF($I3845="","","R"&amp;$I3845)</f>
        <v/>
      </c>
    </row>
    <row r="3846" customFormat="false" ht="15" hidden="false" customHeight="true" outlineLevel="0" collapsed="false">
      <c r="H3846" s="14" t="b">
        <f aca="false">IF(중복검사!$A3844="",FALSE(),중복검사!$J3844="유지")</f>
        <v>0</v>
      </c>
      <c r="I3846" s="5" t="str">
        <f aca="false">IF($H3846=FALSE(),"",COUNTIF($H$6:$H3846,TRUE()))</f>
        <v/>
      </c>
      <c r="J3846" s="5" t="str">
        <f aca="false">IF($I3846="","","R"&amp;$I3846)</f>
        <v/>
      </c>
    </row>
    <row r="3847" customFormat="false" ht="15" hidden="false" customHeight="true" outlineLevel="0" collapsed="false">
      <c r="H3847" s="14" t="b">
        <f aca="false">IF(중복검사!$A3845="",FALSE(),중복검사!$J3845="유지")</f>
        <v>0</v>
      </c>
      <c r="I3847" s="5" t="str">
        <f aca="false">IF($H3847=FALSE(),"",COUNTIF($H$6:$H3847,TRUE()))</f>
        <v/>
      </c>
      <c r="J3847" s="5" t="str">
        <f aca="false">IF($I3847="","","R"&amp;$I3847)</f>
        <v/>
      </c>
    </row>
    <row r="3848" customFormat="false" ht="15" hidden="false" customHeight="true" outlineLevel="0" collapsed="false">
      <c r="H3848" s="14" t="b">
        <f aca="false">IF(중복검사!$A3846="",FALSE(),중복검사!$J3846="유지")</f>
        <v>0</v>
      </c>
      <c r="I3848" s="5" t="str">
        <f aca="false">IF($H3848=FALSE(),"",COUNTIF($H$6:$H3848,TRUE()))</f>
        <v/>
      </c>
      <c r="J3848" s="5" t="str">
        <f aca="false">IF($I3848="","","R"&amp;$I3848)</f>
        <v/>
      </c>
    </row>
    <row r="3849" customFormat="false" ht="15" hidden="false" customHeight="true" outlineLevel="0" collapsed="false">
      <c r="H3849" s="14" t="b">
        <f aca="false">IF(중복검사!$A3847="",FALSE(),중복검사!$J3847="유지")</f>
        <v>0</v>
      </c>
      <c r="I3849" s="5" t="str">
        <f aca="false">IF($H3849=FALSE(),"",COUNTIF($H$6:$H3849,TRUE()))</f>
        <v/>
      </c>
      <c r="J3849" s="5" t="str">
        <f aca="false">IF($I3849="","","R"&amp;$I3849)</f>
        <v/>
      </c>
    </row>
    <row r="3850" customFormat="false" ht="15" hidden="false" customHeight="true" outlineLevel="0" collapsed="false">
      <c r="H3850" s="14" t="b">
        <f aca="false">IF(중복검사!$A3848="",FALSE(),중복검사!$J3848="유지")</f>
        <v>0</v>
      </c>
      <c r="I3850" s="5" t="str">
        <f aca="false">IF($H3850=FALSE(),"",COUNTIF($H$6:$H3850,TRUE()))</f>
        <v/>
      </c>
      <c r="J3850" s="5" t="str">
        <f aca="false">IF($I3850="","","R"&amp;$I3850)</f>
        <v/>
      </c>
    </row>
    <row r="3851" customFormat="false" ht="15" hidden="false" customHeight="true" outlineLevel="0" collapsed="false">
      <c r="H3851" s="14" t="b">
        <f aca="false">IF(중복검사!$A3849="",FALSE(),중복검사!$J3849="유지")</f>
        <v>0</v>
      </c>
      <c r="I3851" s="5" t="str">
        <f aca="false">IF($H3851=FALSE(),"",COUNTIF($H$6:$H3851,TRUE()))</f>
        <v/>
      </c>
      <c r="J3851" s="5" t="str">
        <f aca="false">IF($I3851="","","R"&amp;$I3851)</f>
        <v/>
      </c>
    </row>
    <row r="3852" customFormat="false" ht="15" hidden="false" customHeight="true" outlineLevel="0" collapsed="false">
      <c r="H3852" s="14" t="b">
        <f aca="false">IF(중복검사!$A3850="",FALSE(),중복검사!$J3850="유지")</f>
        <v>0</v>
      </c>
      <c r="I3852" s="5" t="str">
        <f aca="false">IF($H3852=FALSE(),"",COUNTIF($H$6:$H3852,TRUE()))</f>
        <v/>
      </c>
      <c r="J3852" s="5" t="str">
        <f aca="false">IF($I3852="","","R"&amp;$I3852)</f>
        <v/>
      </c>
    </row>
    <row r="3853" customFormat="false" ht="15" hidden="false" customHeight="true" outlineLevel="0" collapsed="false">
      <c r="H3853" s="14" t="b">
        <f aca="false">IF(중복검사!$A3851="",FALSE(),중복검사!$J3851="유지")</f>
        <v>0</v>
      </c>
      <c r="I3853" s="5" t="str">
        <f aca="false">IF($H3853=FALSE(),"",COUNTIF($H$6:$H3853,TRUE()))</f>
        <v/>
      </c>
      <c r="J3853" s="5" t="str">
        <f aca="false">IF($I3853="","","R"&amp;$I3853)</f>
        <v/>
      </c>
    </row>
    <row r="3854" customFormat="false" ht="15" hidden="false" customHeight="true" outlineLevel="0" collapsed="false">
      <c r="H3854" s="14" t="b">
        <f aca="false">IF(중복검사!$A3852="",FALSE(),중복검사!$J3852="유지")</f>
        <v>0</v>
      </c>
      <c r="I3854" s="5" t="str">
        <f aca="false">IF($H3854=FALSE(),"",COUNTIF($H$6:$H3854,TRUE()))</f>
        <v/>
      </c>
      <c r="J3854" s="5" t="str">
        <f aca="false">IF($I3854="","","R"&amp;$I3854)</f>
        <v/>
      </c>
    </row>
    <row r="3855" customFormat="false" ht="15" hidden="false" customHeight="true" outlineLevel="0" collapsed="false">
      <c r="H3855" s="14" t="b">
        <f aca="false">IF(중복검사!$A3853="",FALSE(),중복검사!$J3853="유지")</f>
        <v>0</v>
      </c>
      <c r="I3855" s="5" t="str">
        <f aca="false">IF($H3855=FALSE(),"",COUNTIF($H$6:$H3855,TRUE()))</f>
        <v/>
      </c>
      <c r="J3855" s="5" t="str">
        <f aca="false">IF($I3855="","","R"&amp;$I3855)</f>
        <v/>
      </c>
    </row>
    <row r="3856" customFormat="false" ht="15" hidden="false" customHeight="true" outlineLevel="0" collapsed="false">
      <c r="H3856" s="14" t="b">
        <f aca="false">IF(중복검사!$A3854="",FALSE(),중복검사!$J3854="유지")</f>
        <v>0</v>
      </c>
      <c r="I3856" s="5" t="str">
        <f aca="false">IF($H3856=FALSE(),"",COUNTIF($H$6:$H3856,TRUE()))</f>
        <v/>
      </c>
      <c r="J3856" s="5" t="str">
        <f aca="false">IF($I3856="","","R"&amp;$I3856)</f>
        <v/>
      </c>
    </row>
    <row r="3857" customFormat="false" ht="15" hidden="false" customHeight="true" outlineLevel="0" collapsed="false">
      <c r="H3857" s="14" t="b">
        <f aca="false">IF(중복검사!$A3855="",FALSE(),중복검사!$J3855="유지")</f>
        <v>0</v>
      </c>
      <c r="I3857" s="5" t="str">
        <f aca="false">IF($H3857=FALSE(),"",COUNTIF($H$6:$H3857,TRUE()))</f>
        <v/>
      </c>
      <c r="J3857" s="5" t="str">
        <f aca="false">IF($I3857="","","R"&amp;$I3857)</f>
        <v/>
      </c>
    </row>
    <row r="3858" customFormat="false" ht="15" hidden="false" customHeight="true" outlineLevel="0" collapsed="false">
      <c r="H3858" s="14" t="b">
        <f aca="false">IF(중복검사!$A3856="",FALSE(),중복검사!$J3856="유지")</f>
        <v>0</v>
      </c>
      <c r="I3858" s="5" t="str">
        <f aca="false">IF($H3858=FALSE(),"",COUNTIF($H$6:$H3858,TRUE()))</f>
        <v/>
      </c>
      <c r="J3858" s="5" t="str">
        <f aca="false">IF($I3858="","","R"&amp;$I3858)</f>
        <v/>
      </c>
    </row>
    <row r="3859" customFormat="false" ht="15" hidden="false" customHeight="true" outlineLevel="0" collapsed="false">
      <c r="H3859" s="14" t="b">
        <f aca="false">IF(중복검사!$A3857="",FALSE(),중복검사!$J3857="유지")</f>
        <v>0</v>
      </c>
      <c r="I3859" s="5" t="str">
        <f aca="false">IF($H3859=FALSE(),"",COUNTIF($H$6:$H3859,TRUE()))</f>
        <v/>
      </c>
      <c r="J3859" s="5" t="str">
        <f aca="false">IF($I3859="","","R"&amp;$I3859)</f>
        <v/>
      </c>
    </row>
    <row r="3860" customFormat="false" ht="15" hidden="false" customHeight="true" outlineLevel="0" collapsed="false">
      <c r="H3860" s="14" t="b">
        <f aca="false">IF(중복검사!$A3858="",FALSE(),중복검사!$J3858="유지")</f>
        <v>0</v>
      </c>
      <c r="I3860" s="5" t="str">
        <f aca="false">IF($H3860=FALSE(),"",COUNTIF($H$6:$H3860,TRUE()))</f>
        <v/>
      </c>
      <c r="J3860" s="5" t="str">
        <f aca="false">IF($I3860="","","R"&amp;$I3860)</f>
        <v/>
      </c>
    </row>
    <row r="3861" customFormat="false" ht="15" hidden="false" customHeight="true" outlineLevel="0" collapsed="false">
      <c r="H3861" s="14" t="b">
        <f aca="false">IF(중복검사!$A3859="",FALSE(),중복검사!$J3859="유지")</f>
        <v>0</v>
      </c>
      <c r="I3861" s="5" t="str">
        <f aca="false">IF($H3861=FALSE(),"",COUNTIF($H$6:$H3861,TRUE()))</f>
        <v/>
      </c>
      <c r="J3861" s="5" t="str">
        <f aca="false">IF($I3861="","","R"&amp;$I3861)</f>
        <v/>
      </c>
    </row>
    <row r="3862" customFormat="false" ht="15" hidden="false" customHeight="true" outlineLevel="0" collapsed="false">
      <c r="H3862" s="14" t="b">
        <f aca="false">IF(중복검사!$A3860="",FALSE(),중복검사!$J3860="유지")</f>
        <v>0</v>
      </c>
      <c r="I3862" s="5" t="str">
        <f aca="false">IF($H3862=FALSE(),"",COUNTIF($H$6:$H3862,TRUE()))</f>
        <v/>
      </c>
      <c r="J3862" s="5" t="str">
        <f aca="false">IF($I3862="","","R"&amp;$I3862)</f>
        <v/>
      </c>
    </row>
    <row r="3863" customFormat="false" ht="15" hidden="false" customHeight="true" outlineLevel="0" collapsed="false">
      <c r="H3863" s="14" t="b">
        <f aca="false">IF(중복검사!$A3861="",FALSE(),중복검사!$J3861="유지")</f>
        <v>0</v>
      </c>
      <c r="I3863" s="5" t="str">
        <f aca="false">IF($H3863=FALSE(),"",COUNTIF($H$6:$H3863,TRUE()))</f>
        <v/>
      </c>
      <c r="J3863" s="5" t="str">
        <f aca="false">IF($I3863="","","R"&amp;$I3863)</f>
        <v/>
      </c>
    </row>
    <row r="3864" customFormat="false" ht="15" hidden="false" customHeight="true" outlineLevel="0" collapsed="false">
      <c r="H3864" s="14" t="b">
        <f aca="false">IF(중복검사!$A3862="",FALSE(),중복검사!$J3862="유지")</f>
        <v>0</v>
      </c>
      <c r="I3864" s="5" t="str">
        <f aca="false">IF($H3864=FALSE(),"",COUNTIF($H$6:$H3864,TRUE()))</f>
        <v/>
      </c>
      <c r="J3864" s="5" t="str">
        <f aca="false">IF($I3864="","","R"&amp;$I3864)</f>
        <v/>
      </c>
    </row>
    <row r="3865" customFormat="false" ht="15" hidden="false" customHeight="true" outlineLevel="0" collapsed="false">
      <c r="H3865" s="14" t="b">
        <f aca="false">IF(중복검사!$A3863="",FALSE(),중복검사!$J3863="유지")</f>
        <v>0</v>
      </c>
      <c r="I3865" s="5" t="str">
        <f aca="false">IF($H3865=FALSE(),"",COUNTIF($H$6:$H3865,TRUE()))</f>
        <v/>
      </c>
      <c r="J3865" s="5" t="str">
        <f aca="false">IF($I3865="","","R"&amp;$I3865)</f>
        <v/>
      </c>
    </row>
    <row r="3866" customFormat="false" ht="15" hidden="false" customHeight="true" outlineLevel="0" collapsed="false">
      <c r="H3866" s="14" t="b">
        <f aca="false">IF(중복검사!$A3864="",FALSE(),중복검사!$J3864="유지")</f>
        <v>0</v>
      </c>
      <c r="I3866" s="5" t="str">
        <f aca="false">IF($H3866=FALSE(),"",COUNTIF($H$6:$H3866,TRUE()))</f>
        <v/>
      </c>
      <c r="J3866" s="5" t="str">
        <f aca="false">IF($I3866="","","R"&amp;$I3866)</f>
        <v/>
      </c>
    </row>
    <row r="3867" customFormat="false" ht="15" hidden="false" customHeight="true" outlineLevel="0" collapsed="false">
      <c r="H3867" s="14" t="b">
        <f aca="false">IF(중복검사!$A3865="",FALSE(),중복검사!$J3865="유지")</f>
        <v>0</v>
      </c>
      <c r="I3867" s="5" t="str">
        <f aca="false">IF($H3867=FALSE(),"",COUNTIF($H$6:$H3867,TRUE()))</f>
        <v/>
      </c>
      <c r="J3867" s="5" t="str">
        <f aca="false">IF($I3867="","","R"&amp;$I3867)</f>
        <v/>
      </c>
    </row>
    <row r="3868" customFormat="false" ht="15" hidden="false" customHeight="true" outlineLevel="0" collapsed="false">
      <c r="H3868" s="14" t="b">
        <f aca="false">IF(중복검사!$A3866="",FALSE(),중복검사!$J3866="유지")</f>
        <v>0</v>
      </c>
      <c r="I3868" s="5" t="str">
        <f aca="false">IF($H3868=FALSE(),"",COUNTIF($H$6:$H3868,TRUE()))</f>
        <v/>
      </c>
      <c r="J3868" s="5" t="str">
        <f aca="false">IF($I3868="","","R"&amp;$I3868)</f>
        <v/>
      </c>
    </row>
    <row r="3869" customFormat="false" ht="15" hidden="false" customHeight="true" outlineLevel="0" collapsed="false">
      <c r="H3869" s="14" t="b">
        <f aca="false">IF(중복검사!$A3867="",FALSE(),중복검사!$J3867="유지")</f>
        <v>0</v>
      </c>
      <c r="I3869" s="5" t="str">
        <f aca="false">IF($H3869=FALSE(),"",COUNTIF($H$6:$H3869,TRUE()))</f>
        <v/>
      </c>
      <c r="J3869" s="5" t="str">
        <f aca="false">IF($I3869="","","R"&amp;$I3869)</f>
        <v/>
      </c>
    </row>
    <row r="3870" customFormat="false" ht="15" hidden="false" customHeight="true" outlineLevel="0" collapsed="false">
      <c r="H3870" s="14" t="b">
        <f aca="false">IF(중복검사!$A3868="",FALSE(),중복검사!$J3868="유지")</f>
        <v>0</v>
      </c>
      <c r="I3870" s="5" t="str">
        <f aca="false">IF($H3870=FALSE(),"",COUNTIF($H$6:$H3870,TRUE()))</f>
        <v/>
      </c>
      <c r="J3870" s="5" t="str">
        <f aca="false">IF($I3870="","","R"&amp;$I3870)</f>
        <v/>
      </c>
    </row>
    <row r="3871" customFormat="false" ht="15" hidden="false" customHeight="true" outlineLevel="0" collapsed="false">
      <c r="H3871" s="14" t="b">
        <f aca="false">IF(중복검사!$A3869="",FALSE(),중복검사!$J3869="유지")</f>
        <v>0</v>
      </c>
      <c r="I3871" s="5" t="str">
        <f aca="false">IF($H3871=FALSE(),"",COUNTIF($H$6:$H3871,TRUE()))</f>
        <v/>
      </c>
      <c r="J3871" s="5" t="str">
        <f aca="false">IF($I3871="","","R"&amp;$I3871)</f>
        <v/>
      </c>
    </row>
    <row r="3872" customFormat="false" ht="15" hidden="false" customHeight="true" outlineLevel="0" collapsed="false">
      <c r="H3872" s="14" t="b">
        <f aca="false">IF(중복검사!$A3870="",FALSE(),중복검사!$J3870="유지")</f>
        <v>0</v>
      </c>
      <c r="I3872" s="5" t="str">
        <f aca="false">IF($H3872=FALSE(),"",COUNTIF($H$6:$H3872,TRUE()))</f>
        <v/>
      </c>
      <c r="J3872" s="5" t="str">
        <f aca="false">IF($I3872="","","R"&amp;$I3872)</f>
        <v/>
      </c>
    </row>
    <row r="3873" customFormat="false" ht="15" hidden="false" customHeight="true" outlineLevel="0" collapsed="false">
      <c r="H3873" s="14" t="b">
        <f aca="false">IF(중복검사!$A3871="",FALSE(),중복검사!$J3871="유지")</f>
        <v>0</v>
      </c>
      <c r="I3873" s="5" t="str">
        <f aca="false">IF($H3873=FALSE(),"",COUNTIF($H$6:$H3873,TRUE()))</f>
        <v/>
      </c>
      <c r="J3873" s="5" t="str">
        <f aca="false">IF($I3873="","","R"&amp;$I3873)</f>
        <v/>
      </c>
    </row>
    <row r="3874" customFormat="false" ht="15" hidden="false" customHeight="true" outlineLevel="0" collapsed="false">
      <c r="H3874" s="14" t="b">
        <f aca="false">IF(중복검사!$A3872="",FALSE(),중복검사!$J3872="유지")</f>
        <v>0</v>
      </c>
      <c r="I3874" s="5" t="str">
        <f aca="false">IF($H3874=FALSE(),"",COUNTIF($H$6:$H3874,TRUE()))</f>
        <v/>
      </c>
      <c r="J3874" s="5" t="str">
        <f aca="false">IF($I3874="","","R"&amp;$I3874)</f>
        <v/>
      </c>
    </row>
    <row r="3875" customFormat="false" ht="15" hidden="false" customHeight="true" outlineLevel="0" collapsed="false">
      <c r="H3875" s="14" t="b">
        <f aca="false">IF(중복검사!$A3873="",FALSE(),중복검사!$J3873="유지")</f>
        <v>0</v>
      </c>
      <c r="I3875" s="5" t="str">
        <f aca="false">IF($H3875=FALSE(),"",COUNTIF($H$6:$H3875,TRUE()))</f>
        <v/>
      </c>
      <c r="J3875" s="5" t="str">
        <f aca="false">IF($I3875="","","R"&amp;$I3875)</f>
        <v/>
      </c>
    </row>
    <row r="3876" customFormat="false" ht="15" hidden="false" customHeight="true" outlineLevel="0" collapsed="false">
      <c r="H3876" s="14" t="b">
        <f aca="false">IF(중복검사!$A3874="",FALSE(),중복검사!$J3874="유지")</f>
        <v>0</v>
      </c>
      <c r="I3876" s="5" t="str">
        <f aca="false">IF($H3876=FALSE(),"",COUNTIF($H$6:$H3876,TRUE()))</f>
        <v/>
      </c>
      <c r="J3876" s="5" t="str">
        <f aca="false">IF($I3876="","","R"&amp;$I3876)</f>
        <v/>
      </c>
    </row>
    <row r="3877" customFormat="false" ht="15" hidden="false" customHeight="true" outlineLevel="0" collapsed="false">
      <c r="H3877" s="14" t="b">
        <f aca="false">IF(중복검사!$A3875="",FALSE(),중복검사!$J3875="유지")</f>
        <v>0</v>
      </c>
      <c r="I3877" s="5" t="str">
        <f aca="false">IF($H3877=FALSE(),"",COUNTIF($H$6:$H3877,TRUE()))</f>
        <v/>
      </c>
      <c r="J3877" s="5" t="str">
        <f aca="false">IF($I3877="","","R"&amp;$I3877)</f>
        <v/>
      </c>
    </row>
    <row r="3878" customFormat="false" ht="15" hidden="false" customHeight="true" outlineLevel="0" collapsed="false">
      <c r="H3878" s="14" t="b">
        <f aca="false">IF(중복검사!$A3876="",FALSE(),중복검사!$J3876="유지")</f>
        <v>0</v>
      </c>
      <c r="I3878" s="5" t="str">
        <f aca="false">IF($H3878=FALSE(),"",COUNTIF($H$6:$H3878,TRUE()))</f>
        <v/>
      </c>
      <c r="J3878" s="5" t="str">
        <f aca="false">IF($I3878="","","R"&amp;$I3878)</f>
        <v/>
      </c>
    </row>
    <row r="3879" customFormat="false" ht="15" hidden="false" customHeight="true" outlineLevel="0" collapsed="false">
      <c r="H3879" s="14" t="b">
        <f aca="false">IF(중복검사!$A3877="",FALSE(),중복검사!$J3877="유지")</f>
        <v>0</v>
      </c>
      <c r="I3879" s="5" t="str">
        <f aca="false">IF($H3879=FALSE(),"",COUNTIF($H$6:$H3879,TRUE()))</f>
        <v/>
      </c>
      <c r="J3879" s="5" t="str">
        <f aca="false">IF($I3879="","","R"&amp;$I3879)</f>
        <v/>
      </c>
    </row>
    <row r="3880" customFormat="false" ht="15" hidden="false" customHeight="true" outlineLevel="0" collapsed="false">
      <c r="H3880" s="14" t="b">
        <f aca="false">IF(중복검사!$A3878="",FALSE(),중복검사!$J3878="유지")</f>
        <v>0</v>
      </c>
      <c r="I3880" s="5" t="str">
        <f aca="false">IF($H3880=FALSE(),"",COUNTIF($H$6:$H3880,TRUE()))</f>
        <v/>
      </c>
      <c r="J3880" s="5" t="str">
        <f aca="false">IF($I3880="","","R"&amp;$I3880)</f>
        <v/>
      </c>
    </row>
    <row r="3881" customFormat="false" ht="15" hidden="false" customHeight="true" outlineLevel="0" collapsed="false">
      <c r="H3881" s="14" t="b">
        <f aca="false">IF(중복검사!$A3879="",FALSE(),중복검사!$J3879="유지")</f>
        <v>0</v>
      </c>
      <c r="I3881" s="5" t="str">
        <f aca="false">IF($H3881=FALSE(),"",COUNTIF($H$6:$H3881,TRUE()))</f>
        <v/>
      </c>
      <c r="J3881" s="5" t="str">
        <f aca="false">IF($I3881="","","R"&amp;$I3881)</f>
        <v/>
      </c>
    </row>
    <row r="3882" customFormat="false" ht="15" hidden="false" customHeight="true" outlineLevel="0" collapsed="false">
      <c r="H3882" s="14" t="b">
        <f aca="false">IF(중복검사!$A3880="",FALSE(),중복검사!$J3880="유지")</f>
        <v>0</v>
      </c>
      <c r="I3882" s="5" t="str">
        <f aca="false">IF($H3882=FALSE(),"",COUNTIF($H$6:$H3882,TRUE()))</f>
        <v/>
      </c>
      <c r="J3882" s="5" t="str">
        <f aca="false">IF($I3882="","","R"&amp;$I3882)</f>
        <v/>
      </c>
    </row>
    <row r="3883" customFormat="false" ht="15" hidden="false" customHeight="true" outlineLevel="0" collapsed="false">
      <c r="H3883" s="14" t="b">
        <f aca="false">IF(중복검사!$A3881="",FALSE(),중복검사!$J3881="유지")</f>
        <v>0</v>
      </c>
      <c r="I3883" s="5" t="str">
        <f aca="false">IF($H3883=FALSE(),"",COUNTIF($H$6:$H3883,TRUE()))</f>
        <v/>
      </c>
      <c r="J3883" s="5" t="str">
        <f aca="false">IF($I3883="","","R"&amp;$I3883)</f>
        <v/>
      </c>
    </row>
    <row r="3884" customFormat="false" ht="15" hidden="false" customHeight="true" outlineLevel="0" collapsed="false">
      <c r="H3884" s="14" t="b">
        <f aca="false">IF(중복검사!$A3882="",FALSE(),중복검사!$J3882="유지")</f>
        <v>0</v>
      </c>
      <c r="I3884" s="5" t="str">
        <f aca="false">IF($H3884=FALSE(),"",COUNTIF($H$6:$H3884,TRUE()))</f>
        <v/>
      </c>
      <c r="J3884" s="5" t="str">
        <f aca="false">IF($I3884="","","R"&amp;$I3884)</f>
        <v/>
      </c>
    </row>
    <row r="3885" customFormat="false" ht="15" hidden="false" customHeight="true" outlineLevel="0" collapsed="false">
      <c r="H3885" s="14" t="b">
        <f aca="false">IF(중복검사!$A3883="",FALSE(),중복검사!$J3883="유지")</f>
        <v>0</v>
      </c>
      <c r="I3885" s="5" t="str">
        <f aca="false">IF($H3885=FALSE(),"",COUNTIF($H$6:$H3885,TRUE()))</f>
        <v/>
      </c>
      <c r="J3885" s="5" t="str">
        <f aca="false">IF($I3885="","","R"&amp;$I3885)</f>
        <v/>
      </c>
    </row>
    <row r="3886" customFormat="false" ht="15" hidden="false" customHeight="true" outlineLevel="0" collapsed="false">
      <c r="H3886" s="14" t="b">
        <f aca="false">IF(중복검사!$A3884="",FALSE(),중복검사!$J3884="유지")</f>
        <v>0</v>
      </c>
      <c r="I3886" s="5" t="str">
        <f aca="false">IF($H3886=FALSE(),"",COUNTIF($H$6:$H3886,TRUE()))</f>
        <v/>
      </c>
      <c r="J3886" s="5" t="str">
        <f aca="false">IF($I3886="","","R"&amp;$I3886)</f>
        <v/>
      </c>
    </row>
    <row r="3887" customFormat="false" ht="15" hidden="false" customHeight="true" outlineLevel="0" collapsed="false">
      <c r="H3887" s="14" t="b">
        <f aca="false">IF(중복검사!$A3885="",FALSE(),중복검사!$J3885="유지")</f>
        <v>0</v>
      </c>
      <c r="I3887" s="5" t="str">
        <f aca="false">IF($H3887=FALSE(),"",COUNTIF($H$6:$H3887,TRUE()))</f>
        <v/>
      </c>
      <c r="J3887" s="5" t="str">
        <f aca="false">IF($I3887="","","R"&amp;$I3887)</f>
        <v/>
      </c>
    </row>
    <row r="3888" customFormat="false" ht="15" hidden="false" customHeight="true" outlineLevel="0" collapsed="false">
      <c r="H3888" s="14" t="b">
        <f aca="false">IF(중복검사!$A3886="",FALSE(),중복검사!$J3886="유지")</f>
        <v>0</v>
      </c>
      <c r="I3888" s="5" t="str">
        <f aca="false">IF($H3888=FALSE(),"",COUNTIF($H$6:$H3888,TRUE()))</f>
        <v/>
      </c>
      <c r="J3888" s="5" t="str">
        <f aca="false">IF($I3888="","","R"&amp;$I3888)</f>
        <v/>
      </c>
    </row>
    <row r="3889" customFormat="false" ht="15" hidden="false" customHeight="true" outlineLevel="0" collapsed="false">
      <c r="H3889" s="14" t="b">
        <f aca="false">IF(중복검사!$A3887="",FALSE(),중복검사!$J3887="유지")</f>
        <v>0</v>
      </c>
      <c r="I3889" s="5" t="str">
        <f aca="false">IF($H3889=FALSE(),"",COUNTIF($H$6:$H3889,TRUE()))</f>
        <v/>
      </c>
      <c r="J3889" s="5" t="str">
        <f aca="false">IF($I3889="","","R"&amp;$I3889)</f>
        <v/>
      </c>
    </row>
    <row r="3890" customFormat="false" ht="15" hidden="false" customHeight="true" outlineLevel="0" collapsed="false">
      <c r="H3890" s="14" t="b">
        <f aca="false">IF(중복검사!$A3888="",FALSE(),중복검사!$J3888="유지")</f>
        <v>0</v>
      </c>
      <c r="I3890" s="5" t="str">
        <f aca="false">IF($H3890=FALSE(),"",COUNTIF($H$6:$H3890,TRUE()))</f>
        <v/>
      </c>
      <c r="J3890" s="5" t="str">
        <f aca="false">IF($I3890="","","R"&amp;$I3890)</f>
        <v/>
      </c>
    </row>
    <row r="3891" customFormat="false" ht="15" hidden="false" customHeight="true" outlineLevel="0" collapsed="false">
      <c r="H3891" s="14" t="b">
        <f aca="false">IF(중복검사!$A3889="",FALSE(),중복검사!$J3889="유지")</f>
        <v>0</v>
      </c>
      <c r="I3891" s="5" t="str">
        <f aca="false">IF($H3891=FALSE(),"",COUNTIF($H$6:$H3891,TRUE()))</f>
        <v/>
      </c>
      <c r="J3891" s="5" t="str">
        <f aca="false">IF($I3891="","","R"&amp;$I3891)</f>
        <v/>
      </c>
    </row>
    <row r="3892" customFormat="false" ht="15" hidden="false" customHeight="true" outlineLevel="0" collapsed="false">
      <c r="H3892" s="14" t="b">
        <f aca="false">IF(중복검사!$A3890="",FALSE(),중복검사!$J3890="유지")</f>
        <v>0</v>
      </c>
      <c r="I3892" s="5" t="str">
        <f aca="false">IF($H3892=FALSE(),"",COUNTIF($H$6:$H3892,TRUE()))</f>
        <v/>
      </c>
      <c r="J3892" s="5" t="str">
        <f aca="false">IF($I3892="","","R"&amp;$I3892)</f>
        <v/>
      </c>
    </row>
    <row r="3893" customFormat="false" ht="15" hidden="false" customHeight="true" outlineLevel="0" collapsed="false">
      <c r="H3893" s="14" t="b">
        <f aca="false">IF(중복검사!$A3891="",FALSE(),중복검사!$J3891="유지")</f>
        <v>0</v>
      </c>
      <c r="I3893" s="5" t="str">
        <f aca="false">IF($H3893=FALSE(),"",COUNTIF($H$6:$H3893,TRUE()))</f>
        <v/>
      </c>
      <c r="J3893" s="5" t="str">
        <f aca="false">IF($I3893="","","R"&amp;$I3893)</f>
        <v/>
      </c>
    </row>
    <row r="3894" customFormat="false" ht="15" hidden="false" customHeight="true" outlineLevel="0" collapsed="false">
      <c r="H3894" s="14" t="b">
        <f aca="false">IF(중복검사!$A3892="",FALSE(),중복검사!$J3892="유지")</f>
        <v>0</v>
      </c>
      <c r="I3894" s="5" t="str">
        <f aca="false">IF($H3894=FALSE(),"",COUNTIF($H$6:$H3894,TRUE()))</f>
        <v/>
      </c>
      <c r="J3894" s="5" t="str">
        <f aca="false">IF($I3894="","","R"&amp;$I3894)</f>
        <v/>
      </c>
    </row>
    <row r="3895" customFormat="false" ht="15" hidden="false" customHeight="true" outlineLevel="0" collapsed="false">
      <c r="H3895" s="14" t="b">
        <f aca="false">IF(중복검사!$A3893="",FALSE(),중복검사!$J3893="유지")</f>
        <v>0</v>
      </c>
      <c r="I3895" s="5" t="str">
        <f aca="false">IF($H3895=FALSE(),"",COUNTIF($H$6:$H3895,TRUE()))</f>
        <v/>
      </c>
      <c r="J3895" s="5" t="str">
        <f aca="false">IF($I3895="","","R"&amp;$I3895)</f>
        <v/>
      </c>
    </row>
    <row r="3896" customFormat="false" ht="15" hidden="false" customHeight="true" outlineLevel="0" collapsed="false">
      <c r="H3896" s="14" t="b">
        <f aca="false">IF(중복검사!$A3894="",FALSE(),중복검사!$J3894="유지")</f>
        <v>0</v>
      </c>
      <c r="I3896" s="5" t="str">
        <f aca="false">IF($H3896=FALSE(),"",COUNTIF($H$6:$H3896,TRUE()))</f>
        <v/>
      </c>
      <c r="J3896" s="5" t="str">
        <f aca="false">IF($I3896="","","R"&amp;$I3896)</f>
        <v/>
      </c>
    </row>
    <row r="3897" customFormat="false" ht="15" hidden="false" customHeight="true" outlineLevel="0" collapsed="false">
      <c r="H3897" s="14" t="b">
        <f aca="false">IF(중복검사!$A3895="",FALSE(),중복검사!$J3895="유지")</f>
        <v>0</v>
      </c>
      <c r="I3897" s="5" t="str">
        <f aca="false">IF($H3897=FALSE(),"",COUNTIF($H$6:$H3897,TRUE()))</f>
        <v/>
      </c>
      <c r="J3897" s="5" t="str">
        <f aca="false">IF($I3897="","","R"&amp;$I3897)</f>
        <v/>
      </c>
    </row>
    <row r="3898" customFormat="false" ht="15" hidden="false" customHeight="true" outlineLevel="0" collapsed="false">
      <c r="H3898" s="14" t="b">
        <f aca="false">IF(중복검사!$A3896="",FALSE(),중복검사!$J3896="유지")</f>
        <v>0</v>
      </c>
      <c r="I3898" s="5" t="str">
        <f aca="false">IF($H3898=FALSE(),"",COUNTIF($H$6:$H3898,TRUE()))</f>
        <v/>
      </c>
      <c r="J3898" s="5" t="str">
        <f aca="false">IF($I3898="","","R"&amp;$I3898)</f>
        <v/>
      </c>
    </row>
    <row r="3899" customFormat="false" ht="15" hidden="false" customHeight="true" outlineLevel="0" collapsed="false">
      <c r="H3899" s="14" t="b">
        <f aca="false">IF(중복검사!$A3897="",FALSE(),중복검사!$J3897="유지")</f>
        <v>0</v>
      </c>
      <c r="I3899" s="5" t="str">
        <f aca="false">IF($H3899=FALSE(),"",COUNTIF($H$6:$H3899,TRUE()))</f>
        <v/>
      </c>
      <c r="J3899" s="5" t="str">
        <f aca="false">IF($I3899="","","R"&amp;$I3899)</f>
        <v/>
      </c>
    </row>
    <row r="3900" customFormat="false" ht="15" hidden="false" customHeight="true" outlineLevel="0" collapsed="false">
      <c r="H3900" s="14" t="b">
        <f aca="false">IF(중복검사!$A3898="",FALSE(),중복검사!$J3898="유지")</f>
        <v>0</v>
      </c>
      <c r="I3900" s="5" t="str">
        <f aca="false">IF($H3900=FALSE(),"",COUNTIF($H$6:$H3900,TRUE()))</f>
        <v/>
      </c>
      <c r="J3900" s="5" t="str">
        <f aca="false">IF($I3900="","","R"&amp;$I3900)</f>
        <v/>
      </c>
    </row>
    <row r="3901" customFormat="false" ht="15" hidden="false" customHeight="true" outlineLevel="0" collapsed="false">
      <c r="H3901" s="14" t="b">
        <f aca="false">IF(중복검사!$A3899="",FALSE(),중복검사!$J3899="유지")</f>
        <v>0</v>
      </c>
      <c r="I3901" s="5" t="str">
        <f aca="false">IF($H3901=FALSE(),"",COUNTIF($H$6:$H3901,TRUE()))</f>
        <v/>
      </c>
      <c r="J3901" s="5" t="str">
        <f aca="false">IF($I3901="","","R"&amp;$I3901)</f>
        <v/>
      </c>
    </row>
    <row r="3902" customFormat="false" ht="15" hidden="false" customHeight="true" outlineLevel="0" collapsed="false">
      <c r="H3902" s="14" t="b">
        <f aca="false">IF(중복검사!$A3900="",FALSE(),중복검사!$J3900="유지")</f>
        <v>0</v>
      </c>
      <c r="I3902" s="5" t="str">
        <f aca="false">IF($H3902=FALSE(),"",COUNTIF($H$6:$H3902,TRUE()))</f>
        <v/>
      </c>
      <c r="J3902" s="5" t="str">
        <f aca="false">IF($I3902="","","R"&amp;$I3902)</f>
        <v/>
      </c>
    </row>
    <row r="3903" customFormat="false" ht="15" hidden="false" customHeight="true" outlineLevel="0" collapsed="false">
      <c r="H3903" s="14" t="b">
        <f aca="false">IF(중복검사!$A3901="",FALSE(),중복검사!$J3901="유지")</f>
        <v>0</v>
      </c>
      <c r="I3903" s="5" t="str">
        <f aca="false">IF($H3903=FALSE(),"",COUNTIF($H$6:$H3903,TRUE()))</f>
        <v/>
      </c>
      <c r="J3903" s="5" t="str">
        <f aca="false">IF($I3903="","","R"&amp;$I3903)</f>
        <v/>
      </c>
    </row>
    <row r="3904" customFormat="false" ht="15" hidden="false" customHeight="true" outlineLevel="0" collapsed="false">
      <c r="H3904" s="14" t="b">
        <f aca="false">IF(중복검사!$A3902="",FALSE(),중복검사!$J3902="유지")</f>
        <v>0</v>
      </c>
      <c r="I3904" s="5" t="str">
        <f aca="false">IF($H3904=FALSE(),"",COUNTIF($H$6:$H3904,TRUE()))</f>
        <v/>
      </c>
      <c r="J3904" s="5" t="str">
        <f aca="false">IF($I3904="","","R"&amp;$I3904)</f>
        <v/>
      </c>
    </row>
    <row r="3905" customFormat="false" ht="15" hidden="false" customHeight="true" outlineLevel="0" collapsed="false">
      <c r="H3905" s="14" t="b">
        <f aca="false">IF(중복검사!$A3903="",FALSE(),중복검사!$J3903="유지")</f>
        <v>0</v>
      </c>
      <c r="I3905" s="5" t="str">
        <f aca="false">IF($H3905=FALSE(),"",COUNTIF($H$6:$H3905,TRUE()))</f>
        <v/>
      </c>
      <c r="J3905" s="5" t="str">
        <f aca="false">IF($I3905="","","R"&amp;$I3905)</f>
        <v/>
      </c>
    </row>
    <row r="3906" customFormat="false" ht="15" hidden="false" customHeight="true" outlineLevel="0" collapsed="false">
      <c r="H3906" s="14" t="b">
        <f aca="false">IF(중복검사!$A3904="",FALSE(),중복검사!$J3904="유지")</f>
        <v>0</v>
      </c>
      <c r="I3906" s="5" t="str">
        <f aca="false">IF($H3906=FALSE(),"",COUNTIF($H$6:$H3906,TRUE()))</f>
        <v/>
      </c>
      <c r="J3906" s="5" t="str">
        <f aca="false">IF($I3906="","","R"&amp;$I3906)</f>
        <v/>
      </c>
    </row>
    <row r="3907" customFormat="false" ht="15" hidden="false" customHeight="true" outlineLevel="0" collapsed="false">
      <c r="H3907" s="14" t="b">
        <f aca="false">IF(중복검사!$A3905="",FALSE(),중복검사!$J3905="유지")</f>
        <v>0</v>
      </c>
      <c r="I3907" s="5" t="str">
        <f aca="false">IF($H3907=FALSE(),"",COUNTIF($H$6:$H3907,TRUE()))</f>
        <v/>
      </c>
      <c r="J3907" s="5" t="str">
        <f aca="false">IF($I3907="","","R"&amp;$I3907)</f>
        <v/>
      </c>
    </row>
    <row r="3908" customFormat="false" ht="15" hidden="false" customHeight="true" outlineLevel="0" collapsed="false">
      <c r="H3908" s="14" t="b">
        <f aca="false">IF(중복검사!$A3906="",FALSE(),중복검사!$J3906="유지")</f>
        <v>0</v>
      </c>
      <c r="I3908" s="5" t="str">
        <f aca="false">IF($H3908=FALSE(),"",COUNTIF($H$6:$H3908,TRUE()))</f>
        <v/>
      </c>
      <c r="J3908" s="5" t="str">
        <f aca="false">IF($I3908="","","R"&amp;$I3908)</f>
        <v/>
      </c>
    </row>
    <row r="3909" customFormat="false" ht="15" hidden="false" customHeight="true" outlineLevel="0" collapsed="false">
      <c r="H3909" s="14" t="b">
        <f aca="false">IF(중복검사!$A3907="",FALSE(),중복검사!$J3907="유지")</f>
        <v>0</v>
      </c>
      <c r="I3909" s="5" t="str">
        <f aca="false">IF($H3909=FALSE(),"",COUNTIF($H$6:$H3909,TRUE()))</f>
        <v/>
      </c>
      <c r="J3909" s="5" t="str">
        <f aca="false">IF($I3909="","","R"&amp;$I3909)</f>
        <v/>
      </c>
    </row>
    <row r="3910" customFormat="false" ht="15" hidden="false" customHeight="true" outlineLevel="0" collapsed="false">
      <c r="H3910" s="14" t="b">
        <f aca="false">IF(중복검사!$A3908="",FALSE(),중복검사!$J3908="유지")</f>
        <v>0</v>
      </c>
      <c r="I3910" s="5" t="str">
        <f aca="false">IF($H3910=FALSE(),"",COUNTIF($H$6:$H3910,TRUE()))</f>
        <v/>
      </c>
      <c r="J3910" s="5" t="str">
        <f aca="false">IF($I3910="","","R"&amp;$I3910)</f>
        <v/>
      </c>
    </row>
    <row r="3911" customFormat="false" ht="15" hidden="false" customHeight="true" outlineLevel="0" collapsed="false">
      <c r="H3911" s="14" t="b">
        <f aca="false">IF(중복검사!$A3909="",FALSE(),중복검사!$J3909="유지")</f>
        <v>0</v>
      </c>
      <c r="I3911" s="5" t="str">
        <f aca="false">IF($H3911=FALSE(),"",COUNTIF($H$6:$H3911,TRUE()))</f>
        <v/>
      </c>
      <c r="J3911" s="5" t="str">
        <f aca="false">IF($I3911="","","R"&amp;$I3911)</f>
        <v/>
      </c>
    </row>
    <row r="3912" customFormat="false" ht="15" hidden="false" customHeight="true" outlineLevel="0" collapsed="false">
      <c r="H3912" s="14" t="b">
        <f aca="false">IF(중복검사!$A3910="",FALSE(),중복검사!$J3910="유지")</f>
        <v>0</v>
      </c>
      <c r="I3912" s="5" t="str">
        <f aca="false">IF($H3912=FALSE(),"",COUNTIF($H$6:$H3912,TRUE()))</f>
        <v/>
      </c>
      <c r="J3912" s="5" t="str">
        <f aca="false">IF($I3912="","","R"&amp;$I3912)</f>
        <v/>
      </c>
    </row>
    <row r="3913" customFormat="false" ht="15" hidden="false" customHeight="true" outlineLevel="0" collapsed="false">
      <c r="H3913" s="14" t="b">
        <f aca="false">IF(중복검사!$A3911="",FALSE(),중복검사!$J3911="유지")</f>
        <v>0</v>
      </c>
      <c r="I3913" s="5" t="str">
        <f aca="false">IF($H3913=FALSE(),"",COUNTIF($H$6:$H3913,TRUE()))</f>
        <v/>
      </c>
      <c r="J3913" s="5" t="str">
        <f aca="false">IF($I3913="","","R"&amp;$I3913)</f>
        <v/>
      </c>
    </row>
    <row r="3914" customFormat="false" ht="15" hidden="false" customHeight="true" outlineLevel="0" collapsed="false">
      <c r="H3914" s="14" t="b">
        <f aca="false">IF(중복검사!$A3912="",FALSE(),중복검사!$J3912="유지")</f>
        <v>0</v>
      </c>
      <c r="I3914" s="5" t="str">
        <f aca="false">IF($H3914=FALSE(),"",COUNTIF($H$6:$H3914,TRUE()))</f>
        <v/>
      </c>
      <c r="J3914" s="5" t="str">
        <f aca="false">IF($I3914="","","R"&amp;$I3914)</f>
        <v/>
      </c>
    </row>
    <row r="3915" customFormat="false" ht="15" hidden="false" customHeight="true" outlineLevel="0" collapsed="false">
      <c r="H3915" s="14" t="b">
        <f aca="false">IF(중복검사!$A3913="",FALSE(),중복검사!$J3913="유지")</f>
        <v>0</v>
      </c>
      <c r="I3915" s="5" t="str">
        <f aca="false">IF($H3915=FALSE(),"",COUNTIF($H$6:$H3915,TRUE()))</f>
        <v/>
      </c>
      <c r="J3915" s="5" t="str">
        <f aca="false">IF($I3915="","","R"&amp;$I3915)</f>
        <v/>
      </c>
    </row>
    <row r="3916" customFormat="false" ht="15" hidden="false" customHeight="true" outlineLevel="0" collapsed="false">
      <c r="H3916" s="14" t="b">
        <f aca="false">IF(중복검사!$A3914="",FALSE(),중복검사!$J3914="유지")</f>
        <v>0</v>
      </c>
      <c r="I3916" s="5" t="str">
        <f aca="false">IF($H3916=FALSE(),"",COUNTIF($H$6:$H3916,TRUE()))</f>
        <v/>
      </c>
      <c r="J3916" s="5" t="str">
        <f aca="false">IF($I3916="","","R"&amp;$I3916)</f>
        <v/>
      </c>
    </row>
    <row r="3917" customFormat="false" ht="15" hidden="false" customHeight="true" outlineLevel="0" collapsed="false">
      <c r="H3917" s="14" t="b">
        <f aca="false">IF(중복검사!$A3915="",FALSE(),중복검사!$J3915="유지")</f>
        <v>0</v>
      </c>
      <c r="I3917" s="5" t="str">
        <f aca="false">IF($H3917=FALSE(),"",COUNTIF($H$6:$H3917,TRUE()))</f>
        <v/>
      </c>
      <c r="J3917" s="5" t="str">
        <f aca="false">IF($I3917="","","R"&amp;$I3917)</f>
        <v/>
      </c>
    </row>
    <row r="3918" customFormat="false" ht="15" hidden="false" customHeight="true" outlineLevel="0" collapsed="false">
      <c r="H3918" s="14" t="b">
        <f aca="false">IF(중복검사!$A3916="",FALSE(),중복검사!$J3916="유지")</f>
        <v>0</v>
      </c>
      <c r="I3918" s="5" t="str">
        <f aca="false">IF($H3918=FALSE(),"",COUNTIF($H$6:$H3918,TRUE()))</f>
        <v/>
      </c>
      <c r="J3918" s="5" t="str">
        <f aca="false">IF($I3918="","","R"&amp;$I3918)</f>
        <v/>
      </c>
    </row>
    <row r="3919" customFormat="false" ht="15" hidden="false" customHeight="true" outlineLevel="0" collapsed="false">
      <c r="H3919" s="14" t="b">
        <f aca="false">IF(중복검사!$A3917="",FALSE(),중복검사!$J3917="유지")</f>
        <v>0</v>
      </c>
      <c r="I3919" s="5" t="str">
        <f aca="false">IF($H3919=FALSE(),"",COUNTIF($H$6:$H3919,TRUE()))</f>
        <v/>
      </c>
      <c r="J3919" s="5" t="str">
        <f aca="false">IF($I3919="","","R"&amp;$I3919)</f>
        <v/>
      </c>
    </row>
    <row r="3920" customFormat="false" ht="15" hidden="false" customHeight="true" outlineLevel="0" collapsed="false">
      <c r="H3920" s="14" t="b">
        <f aca="false">IF(중복검사!$A3918="",FALSE(),중복검사!$J3918="유지")</f>
        <v>0</v>
      </c>
      <c r="I3920" s="5" t="str">
        <f aca="false">IF($H3920=FALSE(),"",COUNTIF($H$6:$H3920,TRUE()))</f>
        <v/>
      </c>
      <c r="J3920" s="5" t="str">
        <f aca="false">IF($I3920="","","R"&amp;$I3920)</f>
        <v/>
      </c>
    </row>
    <row r="3921" customFormat="false" ht="15" hidden="false" customHeight="true" outlineLevel="0" collapsed="false">
      <c r="H3921" s="14" t="b">
        <f aca="false">IF(중복검사!$A3919="",FALSE(),중복검사!$J3919="유지")</f>
        <v>0</v>
      </c>
      <c r="I3921" s="5" t="str">
        <f aca="false">IF($H3921=FALSE(),"",COUNTIF($H$6:$H3921,TRUE()))</f>
        <v/>
      </c>
      <c r="J3921" s="5" t="str">
        <f aca="false">IF($I3921="","","R"&amp;$I3921)</f>
        <v/>
      </c>
    </row>
    <row r="3922" customFormat="false" ht="15" hidden="false" customHeight="true" outlineLevel="0" collapsed="false">
      <c r="H3922" s="14" t="b">
        <f aca="false">IF(중복검사!$A3920="",FALSE(),중복검사!$J3920="유지")</f>
        <v>0</v>
      </c>
      <c r="I3922" s="5" t="str">
        <f aca="false">IF($H3922=FALSE(),"",COUNTIF($H$6:$H3922,TRUE()))</f>
        <v/>
      </c>
      <c r="J3922" s="5" t="str">
        <f aca="false">IF($I3922="","","R"&amp;$I3922)</f>
        <v/>
      </c>
    </row>
    <row r="3923" customFormat="false" ht="15" hidden="false" customHeight="true" outlineLevel="0" collapsed="false">
      <c r="H3923" s="14" t="b">
        <f aca="false">IF(중복검사!$A3921="",FALSE(),중복검사!$J3921="유지")</f>
        <v>0</v>
      </c>
      <c r="I3923" s="5" t="str">
        <f aca="false">IF($H3923=FALSE(),"",COUNTIF($H$6:$H3923,TRUE()))</f>
        <v/>
      </c>
      <c r="J3923" s="5" t="str">
        <f aca="false">IF($I3923="","","R"&amp;$I3923)</f>
        <v/>
      </c>
    </row>
    <row r="3924" customFormat="false" ht="15" hidden="false" customHeight="true" outlineLevel="0" collapsed="false">
      <c r="H3924" s="14" t="b">
        <f aca="false">IF(중복검사!$A3922="",FALSE(),중복검사!$J3922="유지")</f>
        <v>0</v>
      </c>
      <c r="I3924" s="5" t="str">
        <f aca="false">IF($H3924=FALSE(),"",COUNTIF($H$6:$H3924,TRUE()))</f>
        <v/>
      </c>
      <c r="J3924" s="5" t="str">
        <f aca="false">IF($I3924="","","R"&amp;$I3924)</f>
        <v/>
      </c>
    </row>
    <row r="3925" customFormat="false" ht="15" hidden="false" customHeight="true" outlineLevel="0" collapsed="false">
      <c r="H3925" s="14" t="b">
        <f aca="false">IF(중복검사!$A3923="",FALSE(),중복검사!$J3923="유지")</f>
        <v>0</v>
      </c>
      <c r="I3925" s="5" t="str">
        <f aca="false">IF($H3925=FALSE(),"",COUNTIF($H$6:$H3925,TRUE()))</f>
        <v/>
      </c>
      <c r="J3925" s="5" t="str">
        <f aca="false">IF($I3925="","","R"&amp;$I3925)</f>
        <v/>
      </c>
    </row>
    <row r="3926" customFormat="false" ht="15" hidden="false" customHeight="true" outlineLevel="0" collapsed="false">
      <c r="H3926" s="14" t="b">
        <f aca="false">IF(중복검사!$A3924="",FALSE(),중복검사!$J3924="유지")</f>
        <v>0</v>
      </c>
      <c r="I3926" s="5" t="str">
        <f aca="false">IF($H3926=FALSE(),"",COUNTIF($H$6:$H3926,TRUE()))</f>
        <v/>
      </c>
      <c r="J3926" s="5" t="str">
        <f aca="false">IF($I3926="","","R"&amp;$I3926)</f>
        <v/>
      </c>
    </row>
    <row r="3927" customFormat="false" ht="15" hidden="false" customHeight="true" outlineLevel="0" collapsed="false">
      <c r="H3927" s="14" t="b">
        <f aca="false">IF(중복검사!$A3925="",FALSE(),중복검사!$J3925="유지")</f>
        <v>0</v>
      </c>
      <c r="I3927" s="5" t="str">
        <f aca="false">IF($H3927=FALSE(),"",COUNTIF($H$6:$H3927,TRUE()))</f>
        <v/>
      </c>
      <c r="J3927" s="5" t="str">
        <f aca="false">IF($I3927="","","R"&amp;$I3927)</f>
        <v/>
      </c>
    </row>
    <row r="3928" customFormat="false" ht="15" hidden="false" customHeight="true" outlineLevel="0" collapsed="false">
      <c r="H3928" s="14" t="b">
        <f aca="false">IF(중복검사!$A3926="",FALSE(),중복검사!$J3926="유지")</f>
        <v>0</v>
      </c>
      <c r="I3928" s="5" t="str">
        <f aca="false">IF($H3928=FALSE(),"",COUNTIF($H$6:$H3928,TRUE()))</f>
        <v/>
      </c>
      <c r="J3928" s="5" t="str">
        <f aca="false">IF($I3928="","","R"&amp;$I3928)</f>
        <v/>
      </c>
    </row>
    <row r="3929" customFormat="false" ht="15" hidden="false" customHeight="true" outlineLevel="0" collapsed="false">
      <c r="H3929" s="14" t="b">
        <f aca="false">IF(중복검사!$A3927="",FALSE(),중복검사!$J3927="유지")</f>
        <v>0</v>
      </c>
      <c r="I3929" s="5" t="str">
        <f aca="false">IF($H3929=FALSE(),"",COUNTIF($H$6:$H3929,TRUE()))</f>
        <v/>
      </c>
      <c r="J3929" s="5" t="str">
        <f aca="false">IF($I3929="","","R"&amp;$I3929)</f>
        <v/>
      </c>
    </row>
    <row r="3930" customFormat="false" ht="15" hidden="false" customHeight="true" outlineLevel="0" collapsed="false">
      <c r="H3930" s="14" t="b">
        <f aca="false">IF(중복검사!$A3928="",FALSE(),중복검사!$J3928="유지")</f>
        <v>0</v>
      </c>
      <c r="I3930" s="5" t="str">
        <f aca="false">IF($H3930=FALSE(),"",COUNTIF($H$6:$H3930,TRUE()))</f>
        <v/>
      </c>
      <c r="J3930" s="5" t="str">
        <f aca="false">IF($I3930="","","R"&amp;$I3930)</f>
        <v/>
      </c>
    </row>
    <row r="3931" customFormat="false" ht="15" hidden="false" customHeight="true" outlineLevel="0" collapsed="false">
      <c r="H3931" s="14" t="b">
        <f aca="false">IF(중복검사!$A3929="",FALSE(),중복검사!$J3929="유지")</f>
        <v>0</v>
      </c>
      <c r="I3931" s="5" t="str">
        <f aca="false">IF($H3931=FALSE(),"",COUNTIF($H$6:$H3931,TRUE()))</f>
        <v/>
      </c>
      <c r="J3931" s="5" t="str">
        <f aca="false">IF($I3931="","","R"&amp;$I3931)</f>
        <v/>
      </c>
    </row>
    <row r="3932" customFormat="false" ht="15" hidden="false" customHeight="true" outlineLevel="0" collapsed="false">
      <c r="H3932" s="14" t="b">
        <f aca="false">IF(중복검사!$A3930="",FALSE(),중복검사!$J3930="유지")</f>
        <v>0</v>
      </c>
      <c r="I3932" s="5" t="str">
        <f aca="false">IF($H3932=FALSE(),"",COUNTIF($H$6:$H3932,TRUE()))</f>
        <v/>
      </c>
      <c r="J3932" s="5" t="str">
        <f aca="false">IF($I3932="","","R"&amp;$I3932)</f>
        <v/>
      </c>
    </row>
    <row r="3933" customFormat="false" ht="15" hidden="false" customHeight="true" outlineLevel="0" collapsed="false">
      <c r="H3933" s="14" t="b">
        <f aca="false">IF(중복검사!$A3931="",FALSE(),중복검사!$J3931="유지")</f>
        <v>0</v>
      </c>
      <c r="I3933" s="5" t="str">
        <f aca="false">IF($H3933=FALSE(),"",COUNTIF($H$6:$H3933,TRUE()))</f>
        <v/>
      </c>
      <c r="J3933" s="5" t="str">
        <f aca="false">IF($I3933="","","R"&amp;$I3933)</f>
        <v/>
      </c>
    </row>
    <row r="3934" customFormat="false" ht="15" hidden="false" customHeight="true" outlineLevel="0" collapsed="false">
      <c r="H3934" s="14" t="b">
        <f aca="false">IF(중복검사!$A3932="",FALSE(),중복검사!$J3932="유지")</f>
        <v>0</v>
      </c>
      <c r="I3934" s="5" t="str">
        <f aca="false">IF($H3934=FALSE(),"",COUNTIF($H$6:$H3934,TRUE()))</f>
        <v/>
      </c>
      <c r="J3934" s="5" t="str">
        <f aca="false">IF($I3934="","","R"&amp;$I3934)</f>
        <v/>
      </c>
    </row>
    <row r="3935" customFormat="false" ht="15" hidden="false" customHeight="true" outlineLevel="0" collapsed="false">
      <c r="H3935" s="14" t="b">
        <f aca="false">IF(중복검사!$A3933="",FALSE(),중복검사!$J3933="유지")</f>
        <v>0</v>
      </c>
      <c r="I3935" s="5" t="str">
        <f aca="false">IF($H3935=FALSE(),"",COUNTIF($H$6:$H3935,TRUE()))</f>
        <v/>
      </c>
      <c r="J3935" s="5" t="str">
        <f aca="false">IF($I3935="","","R"&amp;$I3935)</f>
        <v/>
      </c>
    </row>
    <row r="3936" customFormat="false" ht="15" hidden="false" customHeight="true" outlineLevel="0" collapsed="false">
      <c r="H3936" s="14" t="b">
        <f aca="false">IF(중복검사!$A3934="",FALSE(),중복검사!$J3934="유지")</f>
        <v>0</v>
      </c>
      <c r="I3936" s="5" t="str">
        <f aca="false">IF($H3936=FALSE(),"",COUNTIF($H$6:$H3936,TRUE()))</f>
        <v/>
      </c>
      <c r="J3936" s="5" t="str">
        <f aca="false">IF($I3936="","","R"&amp;$I3936)</f>
        <v/>
      </c>
    </row>
    <row r="3937" customFormat="false" ht="15" hidden="false" customHeight="true" outlineLevel="0" collapsed="false">
      <c r="H3937" s="14" t="b">
        <f aca="false">IF(중복검사!$A3935="",FALSE(),중복검사!$J3935="유지")</f>
        <v>0</v>
      </c>
      <c r="I3937" s="5" t="str">
        <f aca="false">IF($H3937=FALSE(),"",COUNTIF($H$6:$H3937,TRUE()))</f>
        <v/>
      </c>
      <c r="J3937" s="5" t="str">
        <f aca="false">IF($I3937="","","R"&amp;$I3937)</f>
        <v/>
      </c>
    </row>
    <row r="3938" customFormat="false" ht="15" hidden="false" customHeight="true" outlineLevel="0" collapsed="false">
      <c r="H3938" s="14" t="b">
        <f aca="false">IF(중복검사!$A3936="",FALSE(),중복검사!$J3936="유지")</f>
        <v>0</v>
      </c>
      <c r="I3938" s="5" t="str">
        <f aca="false">IF($H3938=FALSE(),"",COUNTIF($H$6:$H3938,TRUE()))</f>
        <v/>
      </c>
      <c r="J3938" s="5" t="str">
        <f aca="false">IF($I3938="","","R"&amp;$I3938)</f>
        <v/>
      </c>
    </row>
    <row r="3939" customFormat="false" ht="15" hidden="false" customHeight="true" outlineLevel="0" collapsed="false">
      <c r="H3939" s="14" t="b">
        <f aca="false">IF(중복검사!$A3937="",FALSE(),중복검사!$J3937="유지")</f>
        <v>0</v>
      </c>
      <c r="I3939" s="5" t="str">
        <f aca="false">IF($H3939=FALSE(),"",COUNTIF($H$6:$H3939,TRUE()))</f>
        <v/>
      </c>
      <c r="J3939" s="5" t="str">
        <f aca="false">IF($I3939="","","R"&amp;$I3939)</f>
        <v/>
      </c>
    </row>
    <row r="3940" customFormat="false" ht="15" hidden="false" customHeight="true" outlineLevel="0" collapsed="false">
      <c r="H3940" s="14" t="b">
        <f aca="false">IF(중복검사!$A3938="",FALSE(),중복검사!$J3938="유지")</f>
        <v>0</v>
      </c>
      <c r="I3940" s="5" t="str">
        <f aca="false">IF($H3940=FALSE(),"",COUNTIF($H$6:$H3940,TRUE()))</f>
        <v/>
      </c>
      <c r="J3940" s="5" t="str">
        <f aca="false">IF($I3940="","","R"&amp;$I3940)</f>
        <v/>
      </c>
    </row>
    <row r="3941" customFormat="false" ht="15" hidden="false" customHeight="true" outlineLevel="0" collapsed="false">
      <c r="H3941" s="14" t="b">
        <f aca="false">IF(중복검사!$A3939="",FALSE(),중복검사!$J3939="유지")</f>
        <v>0</v>
      </c>
      <c r="I3941" s="5" t="str">
        <f aca="false">IF($H3941=FALSE(),"",COUNTIF($H$6:$H3941,TRUE()))</f>
        <v/>
      </c>
      <c r="J3941" s="5" t="str">
        <f aca="false">IF($I3941="","","R"&amp;$I3941)</f>
        <v/>
      </c>
    </row>
    <row r="3942" customFormat="false" ht="15" hidden="false" customHeight="true" outlineLevel="0" collapsed="false">
      <c r="H3942" s="14" t="b">
        <f aca="false">IF(중복검사!$A3940="",FALSE(),중복검사!$J3940="유지")</f>
        <v>0</v>
      </c>
      <c r="I3942" s="5" t="str">
        <f aca="false">IF($H3942=FALSE(),"",COUNTIF($H$6:$H3942,TRUE()))</f>
        <v/>
      </c>
      <c r="J3942" s="5" t="str">
        <f aca="false">IF($I3942="","","R"&amp;$I3942)</f>
        <v/>
      </c>
    </row>
    <row r="3943" customFormat="false" ht="15" hidden="false" customHeight="true" outlineLevel="0" collapsed="false">
      <c r="H3943" s="14" t="b">
        <f aca="false">IF(중복검사!$A3941="",FALSE(),중복검사!$J3941="유지")</f>
        <v>0</v>
      </c>
      <c r="I3943" s="5" t="str">
        <f aca="false">IF($H3943=FALSE(),"",COUNTIF($H$6:$H3943,TRUE()))</f>
        <v/>
      </c>
      <c r="J3943" s="5" t="str">
        <f aca="false">IF($I3943="","","R"&amp;$I3943)</f>
        <v/>
      </c>
    </row>
    <row r="3944" customFormat="false" ht="15" hidden="false" customHeight="true" outlineLevel="0" collapsed="false">
      <c r="H3944" s="14" t="b">
        <f aca="false">IF(중복검사!$A3942="",FALSE(),중복검사!$J3942="유지")</f>
        <v>0</v>
      </c>
      <c r="I3944" s="5" t="str">
        <f aca="false">IF($H3944=FALSE(),"",COUNTIF($H$6:$H3944,TRUE()))</f>
        <v/>
      </c>
      <c r="J3944" s="5" t="str">
        <f aca="false">IF($I3944="","","R"&amp;$I3944)</f>
        <v/>
      </c>
    </row>
    <row r="3945" customFormat="false" ht="15" hidden="false" customHeight="true" outlineLevel="0" collapsed="false">
      <c r="H3945" s="14" t="b">
        <f aca="false">IF(중복검사!$A3943="",FALSE(),중복검사!$J3943="유지")</f>
        <v>0</v>
      </c>
      <c r="I3945" s="5" t="str">
        <f aca="false">IF($H3945=FALSE(),"",COUNTIF($H$6:$H3945,TRUE()))</f>
        <v/>
      </c>
      <c r="J3945" s="5" t="str">
        <f aca="false">IF($I3945="","","R"&amp;$I3945)</f>
        <v/>
      </c>
    </row>
    <row r="3946" customFormat="false" ht="15" hidden="false" customHeight="true" outlineLevel="0" collapsed="false">
      <c r="H3946" s="14" t="b">
        <f aca="false">IF(중복검사!$A3944="",FALSE(),중복검사!$J3944="유지")</f>
        <v>0</v>
      </c>
      <c r="I3946" s="5" t="str">
        <f aca="false">IF($H3946=FALSE(),"",COUNTIF($H$6:$H3946,TRUE()))</f>
        <v/>
      </c>
      <c r="J3946" s="5" t="str">
        <f aca="false">IF($I3946="","","R"&amp;$I3946)</f>
        <v/>
      </c>
    </row>
    <row r="3947" customFormat="false" ht="15" hidden="false" customHeight="true" outlineLevel="0" collapsed="false">
      <c r="H3947" s="14" t="b">
        <f aca="false">IF(중복검사!$A3945="",FALSE(),중복검사!$J3945="유지")</f>
        <v>0</v>
      </c>
      <c r="I3947" s="5" t="str">
        <f aca="false">IF($H3947=FALSE(),"",COUNTIF($H$6:$H3947,TRUE()))</f>
        <v/>
      </c>
      <c r="J3947" s="5" t="str">
        <f aca="false">IF($I3947="","","R"&amp;$I3947)</f>
        <v/>
      </c>
    </row>
    <row r="3948" customFormat="false" ht="15" hidden="false" customHeight="true" outlineLevel="0" collapsed="false">
      <c r="H3948" s="14" t="b">
        <f aca="false">IF(중복검사!$A3946="",FALSE(),중복검사!$J3946="유지")</f>
        <v>0</v>
      </c>
      <c r="I3948" s="5" t="str">
        <f aca="false">IF($H3948=FALSE(),"",COUNTIF($H$6:$H3948,TRUE()))</f>
        <v/>
      </c>
      <c r="J3948" s="5" t="str">
        <f aca="false">IF($I3948="","","R"&amp;$I3948)</f>
        <v/>
      </c>
    </row>
    <row r="3949" customFormat="false" ht="15" hidden="false" customHeight="true" outlineLevel="0" collapsed="false">
      <c r="H3949" s="14" t="b">
        <f aca="false">IF(중복검사!$A3947="",FALSE(),중복검사!$J3947="유지")</f>
        <v>0</v>
      </c>
      <c r="I3949" s="5" t="str">
        <f aca="false">IF($H3949=FALSE(),"",COUNTIF($H$6:$H3949,TRUE()))</f>
        <v/>
      </c>
      <c r="J3949" s="5" t="str">
        <f aca="false">IF($I3949="","","R"&amp;$I3949)</f>
        <v/>
      </c>
    </row>
    <row r="3950" customFormat="false" ht="15" hidden="false" customHeight="true" outlineLevel="0" collapsed="false">
      <c r="H3950" s="14" t="b">
        <f aca="false">IF(중복검사!$A3948="",FALSE(),중복검사!$J3948="유지")</f>
        <v>0</v>
      </c>
      <c r="I3950" s="5" t="str">
        <f aca="false">IF($H3950=FALSE(),"",COUNTIF($H$6:$H3950,TRUE()))</f>
        <v/>
      </c>
      <c r="J3950" s="5" t="str">
        <f aca="false">IF($I3950="","","R"&amp;$I3950)</f>
        <v/>
      </c>
    </row>
    <row r="3951" customFormat="false" ht="15" hidden="false" customHeight="true" outlineLevel="0" collapsed="false">
      <c r="H3951" s="14" t="b">
        <f aca="false">IF(중복검사!$A3949="",FALSE(),중복검사!$J3949="유지")</f>
        <v>0</v>
      </c>
      <c r="I3951" s="5" t="str">
        <f aca="false">IF($H3951=FALSE(),"",COUNTIF($H$6:$H3951,TRUE()))</f>
        <v/>
      </c>
      <c r="J3951" s="5" t="str">
        <f aca="false">IF($I3951="","","R"&amp;$I3951)</f>
        <v/>
      </c>
    </row>
    <row r="3952" customFormat="false" ht="15" hidden="false" customHeight="true" outlineLevel="0" collapsed="false">
      <c r="H3952" s="14" t="b">
        <f aca="false">IF(중복검사!$A3950="",FALSE(),중복검사!$J3950="유지")</f>
        <v>0</v>
      </c>
      <c r="I3952" s="5" t="str">
        <f aca="false">IF($H3952=FALSE(),"",COUNTIF($H$6:$H3952,TRUE()))</f>
        <v/>
      </c>
      <c r="J3952" s="5" t="str">
        <f aca="false">IF($I3952="","","R"&amp;$I3952)</f>
        <v/>
      </c>
    </row>
    <row r="3953" customFormat="false" ht="15" hidden="false" customHeight="true" outlineLevel="0" collapsed="false">
      <c r="H3953" s="14" t="b">
        <f aca="false">IF(중복검사!$A3951="",FALSE(),중복검사!$J3951="유지")</f>
        <v>0</v>
      </c>
      <c r="I3953" s="5" t="str">
        <f aca="false">IF($H3953=FALSE(),"",COUNTIF($H$6:$H3953,TRUE()))</f>
        <v/>
      </c>
      <c r="J3953" s="5" t="str">
        <f aca="false">IF($I3953="","","R"&amp;$I3953)</f>
        <v/>
      </c>
    </row>
    <row r="3954" customFormat="false" ht="15" hidden="false" customHeight="true" outlineLevel="0" collapsed="false">
      <c r="H3954" s="14" t="b">
        <f aca="false">IF(중복검사!$A3952="",FALSE(),중복검사!$J3952="유지")</f>
        <v>0</v>
      </c>
      <c r="I3954" s="5" t="str">
        <f aca="false">IF($H3954=FALSE(),"",COUNTIF($H$6:$H3954,TRUE()))</f>
        <v/>
      </c>
      <c r="J3954" s="5" t="str">
        <f aca="false">IF($I3954="","","R"&amp;$I3954)</f>
        <v/>
      </c>
    </row>
    <row r="3955" customFormat="false" ht="15" hidden="false" customHeight="true" outlineLevel="0" collapsed="false">
      <c r="H3955" s="14" t="b">
        <f aca="false">IF(중복검사!$A3953="",FALSE(),중복검사!$J3953="유지")</f>
        <v>0</v>
      </c>
      <c r="I3955" s="5" t="str">
        <f aca="false">IF($H3955=FALSE(),"",COUNTIF($H$6:$H3955,TRUE()))</f>
        <v/>
      </c>
      <c r="J3955" s="5" t="str">
        <f aca="false">IF($I3955="","","R"&amp;$I3955)</f>
        <v/>
      </c>
    </row>
    <row r="3956" customFormat="false" ht="15" hidden="false" customHeight="true" outlineLevel="0" collapsed="false">
      <c r="H3956" s="14" t="b">
        <f aca="false">IF(중복검사!$A3954="",FALSE(),중복검사!$J3954="유지")</f>
        <v>0</v>
      </c>
      <c r="I3956" s="5" t="str">
        <f aca="false">IF($H3956=FALSE(),"",COUNTIF($H$6:$H3956,TRUE()))</f>
        <v/>
      </c>
      <c r="J3956" s="5" t="str">
        <f aca="false">IF($I3956="","","R"&amp;$I3956)</f>
        <v/>
      </c>
    </row>
    <row r="3957" customFormat="false" ht="15" hidden="false" customHeight="true" outlineLevel="0" collapsed="false">
      <c r="H3957" s="14" t="b">
        <f aca="false">IF(중복검사!$A3955="",FALSE(),중복검사!$J3955="유지")</f>
        <v>0</v>
      </c>
      <c r="I3957" s="5" t="str">
        <f aca="false">IF($H3957=FALSE(),"",COUNTIF($H$6:$H3957,TRUE()))</f>
        <v/>
      </c>
      <c r="J3957" s="5" t="str">
        <f aca="false">IF($I3957="","","R"&amp;$I3957)</f>
        <v/>
      </c>
    </row>
    <row r="3958" customFormat="false" ht="15" hidden="false" customHeight="true" outlineLevel="0" collapsed="false">
      <c r="H3958" s="14" t="b">
        <f aca="false">IF(중복검사!$A3956="",FALSE(),중복검사!$J3956="유지")</f>
        <v>0</v>
      </c>
      <c r="I3958" s="5" t="str">
        <f aca="false">IF($H3958=FALSE(),"",COUNTIF($H$6:$H3958,TRUE()))</f>
        <v/>
      </c>
      <c r="J3958" s="5" t="str">
        <f aca="false">IF($I3958="","","R"&amp;$I3958)</f>
        <v/>
      </c>
    </row>
    <row r="3959" customFormat="false" ht="15" hidden="false" customHeight="true" outlineLevel="0" collapsed="false">
      <c r="H3959" s="14" t="b">
        <f aca="false">IF(중복검사!$A3957="",FALSE(),중복검사!$J3957="유지")</f>
        <v>0</v>
      </c>
      <c r="I3959" s="5" t="str">
        <f aca="false">IF($H3959=FALSE(),"",COUNTIF($H$6:$H3959,TRUE()))</f>
        <v/>
      </c>
      <c r="J3959" s="5" t="str">
        <f aca="false">IF($I3959="","","R"&amp;$I3959)</f>
        <v/>
      </c>
    </row>
    <row r="3960" customFormat="false" ht="15" hidden="false" customHeight="true" outlineLevel="0" collapsed="false">
      <c r="H3960" s="14" t="b">
        <f aca="false">IF(중복검사!$A3958="",FALSE(),중복검사!$J3958="유지")</f>
        <v>0</v>
      </c>
      <c r="I3960" s="5" t="str">
        <f aca="false">IF($H3960=FALSE(),"",COUNTIF($H$6:$H3960,TRUE()))</f>
        <v/>
      </c>
      <c r="J3960" s="5" t="str">
        <f aca="false">IF($I3960="","","R"&amp;$I3960)</f>
        <v/>
      </c>
    </row>
    <row r="3961" customFormat="false" ht="15" hidden="false" customHeight="true" outlineLevel="0" collapsed="false">
      <c r="H3961" s="14" t="b">
        <f aca="false">IF(중복검사!$A3959="",FALSE(),중복검사!$J3959="유지")</f>
        <v>0</v>
      </c>
      <c r="I3961" s="5" t="str">
        <f aca="false">IF($H3961=FALSE(),"",COUNTIF($H$6:$H3961,TRUE()))</f>
        <v/>
      </c>
      <c r="J3961" s="5" t="str">
        <f aca="false">IF($I3961="","","R"&amp;$I3961)</f>
        <v/>
      </c>
    </row>
    <row r="3962" customFormat="false" ht="15" hidden="false" customHeight="true" outlineLevel="0" collapsed="false">
      <c r="H3962" s="14" t="b">
        <f aca="false">IF(중복검사!$A3960="",FALSE(),중복검사!$J3960="유지")</f>
        <v>0</v>
      </c>
      <c r="I3962" s="5" t="str">
        <f aca="false">IF($H3962=FALSE(),"",COUNTIF($H$6:$H3962,TRUE()))</f>
        <v/>
      </c>
      <c r="J3962" s="5" t="str">
        <f aca="false">IF($I3962="","","R"&amp;$I3962)</f>
        <v/>
      </c>
    </row>
    <row r="3963" customFormat="false" ht="15" hidden="false" customHeight="true" outlineLevel="0" collapsed="false">
      <c r="H3963" s="14" t="b">
        <f aca="false">IF(중복검사!$A3961="",FALSE(),중복검사!$J3961="유지")</f>
        <v>0</v>
      </c>
      <c r="I3963" s="5" t="str">
        <f aca="false">IF($H3963=FALSE(),"",COUNTIF($H$6:$H3963,TRUE()))</f>
        <v/>
      </c>
      <c r="J3963" s="5" t="str">
        <f aca="false">IF($I3963="","","R"&amp;$I3963)</f>
        <v/>
      </c>
    </row>
    <row r="3964" customFormat="false" ht="15" hidden="false" customHeight="true" outlineLevel="0" collapsed="false">
      <c r="H3964" s="14" t="b">
        <f aca="false">IF(중복검사!$A3962="",FALSE(),중복검사!$J3962="유지")</f>
        <v>0</v>
      </c>
      <c r="I3964" s="5" t="str">
        <f aca="false">IF($H3964=FALSE(),"",COUNTIF($H$6:$H3964,TRUE()))</f>
        <v/>
      </c>
      <c r="J3964" s="5" t="str">
        <f aca="false">IF($I3964="","","R"&amp;$I3964)</f>
        <v/>
      </c>
    </row>
    <row r="3965" customFormat="false" ht="15" hidden="false" customHeight="true" outlineLevel="0" collapsed="false">
      <c r="H3965" s="14" t="b">
        <f aca="false">IF(중복검사!$A3963="",FALSE(),중복검사!$J3963="유지")</f>
        <v>0</v>
      </c>
      <c r="I3965" s="5" t="str">
        <f aca="false">IF($H3965=FALSE(),"",COUNTIF($H$6:$H3965,TRUE()))</f>
        <v/>
      </c>
      <c r="J3965" s="5" t="str">
        <f aca="false">IF($I3965="","","R"&amp;$I3965)</f>
        <v/>
      </c>
    </row>
    <row r="3966" customFormat="false" ht="15" hidden="false" customHeight="true" outlineLevel="0" collapsed="false">
      <c r="H3966" s="14" t="b">
        <f aca="false">IF(중복검사!$A3964="",FALSE(),중복검사!$J3964="유지")</f>
        <v>0</v>
      </c>
      <c r="I3966" s="5" t="str">
        <f aca="false">IF($H3966=FALSE(),"",COUNTIF($H$6:$H3966,TRUE()))</f>
        <v/>
      </c>
      <c r="J3966" s="5" t="str">
        <f aca="false">IF($I3966="","","R"&amp;$I3966)</f>
        <v/>
      </c>
    </row>
    <row r="3967" customFormat="false" ht="15" hidden="false" customHeight="true" outlineLevel="0" collapsed="false">
      <c r="H3967" s="14" t="b">
        <f aca="false">IF(중복검사!$A3965="",FALSE(),중복검사!$J3965="유지")</f>
        <v>0</v>
      </c>
      <c r="I3967" s="5" t="str">
        <f aca="false">IF($H3967=FALSE(),"",COUNTIF($H$6:$H3967,TRUE()))</f>
        <v/>
      </c>
      <c r="J3967" s="5" t="str">
        <f aca="false">IF($I3967="","","R"&amp;$I3967)</f>
        <v/>
      </c>
    </row>
    <row r="3968" customFormat="false" ht="15" hidden="false" customHeight="true" outlineLevel="0" collapsed="false">
      <c r="H3968" s="14" t="b">
        <f aca="false">IF(중복검사!$A3966="",FALSE(),중복검사!$J3966="유지")</f>
        <v>0</v>
      </c>
      <c r="I3968" s="5" t="str">
        <f aca="false">IF($H3968=FALSE(),"",COUNTIF($H$6:$H3968,TRUE()))</f>
        <v/>
      </c>
      <c r="J3968" s="5" t="str">
        <f aca="false">IF($I3968="","","R"&amp;$I3968)</f>
        <v/>
      </c>
    </row>
    <row r="3969" customFormat="false" ht="15" hidden="false" customHeight="true" outlineLevel="0" collapsed="false">
      <c r="H3969" s="14" t="b">
        <f aca="false">IF(중복검사!$A3967="",FALSE(),중복검사!$J3967="유지")</f>
        <v>0</v>
      </c>
      <c r="I3969" s="5" t="str">
        <f aca="false">IF($H3969=FALSE(),"",COUNTIF($H$6:$H3969,TRUE()))</f>
        <v/>
      </c>
      <c r="J3969" s="5" t="str">
        <f aca="false">IF($I3969="","","R"&amp;$I3969)</f>
        <v/>
      </c>
    </row>
    <row r="3970" customFormat="false" ht="15" hidden="false" customHeight="true" outlineLevel="0" collapsed="false">
      <c r="H3970" s="14" t="b">
        <f aca="false">IF(중복검사!$A3968="",FALSE(),중복검사!$J3968="유지")</f>
        <v>0</v>
      </c>
      <c r="I3970" s="5" t="str">
        <f aca="false">IF($H3970=FALSE(),"",COUNTIF($H$6:$H3970,TRUE()))</f>
        <v/>
      </c>
      <c r="J3970" s="5" t="str">
        <f aca="false">IF($I3970="","","R"&amp;$I3970)</f>
        <v/>
      </c>
    </row>
    <row r="3971" customFormat="false" ht="15" hidden="false" customHeight="true" outlineLevel="0" collapsed="false">
      <c r="H3971" s="14" t="b">
        <f aca="false">IF(중복검사!$A3969="",FALSE(),중복검사!$J3969="유지")</f>
        <v>0</v>
      </c>
      <c r="I3971" s="5" t="str">
        <f aca="false">IF($H3971=FALSE(),"",COUNTIF($H$6:$H3971,TRUE()))</f>
        <v/>
      </c>
      <c r="J3971" s="5" t="str">
        <f aca="false">IF($I3971="","","R"&amp;$I3971)</f>
        <v/>
      </c>
    </row>
    <row r="3972" customFormat="false" ht="15" hidden="false" customHeight="true" outlineLevel="0" collapsed="false">
      <c r="H3972" s="14" t="b">
        <f aca="false">IF(중복검사!$A3970="",FALSE(),중복검사!$J3970="유지")</f>
        <v>0</v>
      </c>
      <c r="I3972" s="5" t="str">
        <f aca="false">IF($H3972=FALSE(),"",COUNTIF($H$6:$H3972,TRUE()))</f>
        <v/>
      </c>
      <c r="J3972" s="5" t="str">
        <f aca="false">IF($I3972="","","R"&amp;$I3972)</f>
        <v/>
      </c>
    </row>
    <row r="3973" customFormat="false" ht="15" hidden="false" customHeight="true" outlineLevel="0" collapsed="false">
      <c r="H3973" s="14" t="b">
        <f aca="false">IF(중복검사!$A3971="",FALSE(),중복검사!$J3971="유지")</f>
        <v>0</v>
      </c>
      <c r="I3973" s="5" t="str">
        <f aca="false">IF($H3973=FALSE(),"",COUNTIF($H$6:$H3973,TRUE()))</f>
        <v/>
      </c>
      <c r="J3973" s="5" t="str">
        <f aca="false">IF($I3973="","","R"&amp;$I3973)</f>
        <v/>
      </c>
    </row>
    <row r="3974" customFormat="false" ht="15" hidden="false" customHeight="true" outlineLevel="0" collapsed="false">
      <c r="H3974" s="14" t="b">
        <f aca="false">IF(중복검사!$A3972="",FALSE(),중복검사!$J3972="유지")</f>
        <v>0</v>
      </c>
      <c r="I3974" s="5" t="str">
        <f aca="false">IF($H3974=FALSE(),"",COUNTIF($H$6:$H3974,TRUE()))</f>
        <v/>
      </c>
      <c r="J3974" s="5" t="str">
        <f aca="false">IF($I3974="","","R"&amp;$I3974)</f>
        <v/>
      </c>
    </row>
    <row r="3975" customFormat="false" ht="15" hidden="false" customHeight="true" outlineLevel="0" collapsed="false">
      <c r="H3975" s="14" t="b">
        <f aca="false">IF(중복검사!$A3973="",FALSE(),중복검사!$J3973="유지")</f>
        <v>0</v>
      </c>
      <c r="I3975" s="5" t="str">
        <f aca="false">IF($H3975=FALSE(),"",COUNTIF($H$6:$H3975,TRUE()))</f>
        <v/>
      </c>
      <c r="J3975" s="5" t="str">
        <f aca="false">IF($I3975="","","R"&amp;$I3975)</f>
        <v/>
      </c>
    </row>
    <row r="3976" customFormat="false" ht="15" hidden="false" customHeight="true" outlineLevel="0" collapsed="false">
      <c r="H3976" s="14" t="b">
        <f aca="false">IF(중복검사!$A3974="",FALSE(),중복검사!$J3974="유지")</f>
        <v>0</v>
      </c>
      <c r="I3976" s="5" t="str">
        <f aca="false">IF($H3976=FALSE(),"",COUNTIF($H$6:$H3976,TRUE()))</f>
        <v/>
      </c>
      <c r="J3976" s="5" t="str">
        <f aca="false">IF($I3976="","","R"&amp;$I3976)</f>
        <v/>
      </c>
    </row>
    <row r="3977" customFormat="false" ht="15" hidden="false" customHeight="true" outlineLevel="0" collapsed="false">
      <c r="H3977" s="14" t="b">
        <f aca="false">IF(중복검사!$A3975="",FALSE(),중복검사!$J3975="유지")</f>
        <v>0</v>
      </c>
      <c r="I3977" s="5" t="str">
        <f aca="false">IF($H3977=FALSE(),"",COUNTIF($H$6:$H3977,TRUE()))</f>
        <v/>
      </c>
      <c r="J3977" s="5" t="str">
        <f aca="false">IF($I3977="","","R"&amp;$I3977)</f>
        <v/>
      </c>
    </row>
    <row r="3978" customFormat="false" ht="15" hidden="false" customHeight="true" outlineLevel="0" collapsed="false">
      <c r="H3978" s="14" t="b">
        <f aca="false">IF(중복검사!$A3976="",FALSE(),중복검사!$J3976="유지")</f>
        <v>0</v>
      </c>
      <c r="I3978" s="5" t="str">
        <f aca="false">IF($H3978=FALSE(),"",COUNTIF($H$6:$H3978,TRUE()))</f>
        <v/>
      </c>
      <c r="J3978" s="5" t="str">
        <f aca="false">IF($I3978="","","R"&amp;$I3978)</f>
        <v/>
      </c>
    </row>
    <row r="3979" customFormat="false" ht="15" hidden="false" customHeight="true" outlineLevel="0" collapsed="false">
      <c r="H3979" s="14" t="b">
        <f aca="false">IF(중복검사!$A3977="",FALSE(),중복검사!$J3977="유지")</f>
        <v>0</v>
      </c>
      <c r="I3979" s="5" t="str">
        <f aca="false">IF($H3979=FALSE(),"",COUNTIF($H$6:$H3979,TRUE()))</f>
        <v/>
      </c>
      <c r="J3979" s="5" t="str">
        <f aca="false">IF($I3979="","","R"&amp;$I3979)</f>
        <v/>
      </c>
    </row>
    <row r="3980" customFormat="false" ht="15" hidden="false" customHeight="true" outlineLevel="0" collapsed="false">
      <c r="H3980" s="14" t="b">
        <f aca="false">IF(중복검사!$A3978="",FALSE(),중복검사!$J3978="유지")</f>
        <v>0</v>
      </c>
      <c r="I3980" s="5" t="str">
        <f aca="false">IF($H3980=FALSE(),"",COUNTIF($H$6:$H3980,TRUE()))</f>
        <v/>
      </c>
      <c r="J3980" s="5" t="str">
        <f aca="false">IF($I3980="","","R"&amp;$I3980)</f>
        <v/>
      </c>
    </row>
    <row r="3981" customFormat="false" ht="15" hidden="false" customHeight="true" outlineLevel="0" collapsed="false">
      <c r="H3981" s="14" t="b">
        <f aca="false">IF(중복검사!$A3979="",FALSE(),중복검사!$J3979="유지")</f>
        <v>0</v>
      </c>
      <c r="I3981" s="5" t="str">
        <f aca="false">IF($H3981=FALSE(),"",COUNTIF($H$6:$H3981,TRUE()))</f>
        <v/>
      </c>
      <c r="J3981" s="5" t="str">
        <f aca="false">IF($I3981="","","R"&amp;$I3981)</f>
        <v/>
      </c>
    </row>
    <row r="3982" customFormat="false" ht="15" hidden="false" customHeight="true" outlineLevel="0" collapsed="false">
      <c r="H3982" s="14" t="b">
        <f aca="false">IF(중복검사!$A3980="",FALSE(),중복검사!$J3980="유지")</f>
        <v>0</v>
      </c>
      <c r="I3982" s="5" t="str">
        <f aca="false">IF($H3982=FALSE(),"",COUNTIF($H$6:$H3982,TRUE()))</f>
        <v/>
      </c>
      <c r="J3982" s="5" t="str">
        <f aca="false">IF($I3982="","","R"&amp;$I3982)</f>
        <v/>
      </c>
    </row>
    <row r="3983" customFormat="false" ht="15" hidden="false" customHeight="true" outlineLevel="0" collapsed="false">
      <c r="H3983" s="14" t="b">
        <f aca="false">IF(중복검사!$A3981="",FALSE(),중복검사!$J3981="유지")</f>
        <v>0</v>
      </c>
      <c r="I3983" s="5" t="str">
        <f aca="false">IF($H3983=FALSE(),"",COUNTIF($H$6:$H3983,TRUE()))</f>
        <v/>
      </c>
      <c r="J3983" s="5" t="str">
        <f aca="false">IF($I3983="","","R"&amp;$I3983)</f>
        <v/>
      </c>
    </row>
    <row r="3984" customFormat="false" ht="15" hidden="false" customHeight="true" outlineLevel="0" collapsed="false">
      <c r="H3984" s="14" t="b">
        <f aca="false">IF(중복검사!$A3982="",FALSE(),중복검사!$J3982="유지")</f>
        <v>0</v>
      </c>
      <c r="I3984" s="5" t="str">
        <f aca="false">IF($H3984=FALSE(),"",COUNTIF($H$6:$H3984,TRUE()))</f>
        <v/>
      </c>
      <c r="J3984" s="5" t="str">
        <f aca="false">IF($I3984="","","R"&amp;$I3984)</f>
        <v/>
      </c>
    </row>
    <row r="3985" customFormat="false" ht="15" hidden="false" customHeight="true" outlineLevel="0" collapsed="false">
      <c r="H3985" s="14" t="b">
        <f aca="false">IF(중복검사!$A3983="",FALSE(),중복검사!$J3983="유지")</f>
        <v>0</v>
      </c>
      <c r="I3985" s="5" t="str">
        <f aca="false">IF($H3985=FALSE(),"",COUNTIF($H$6:$H3985,TRUE()))</f>
        <v/>
      </c>
      <c r="J3985" s="5" t="str">
        <f aca="false">IF($I3985="","","R"&amp;$I3985)</f>
        <v/>
      </c>
    </row>
    <row r="3986" customFormat="false" ht="15" hidden="false" customHeight="true" outlineLevel="0" collapsed="false">
      <c r="H3986" s="14" t="b">
        <f aca="false">IF(중복검사!$A3984="",FALSE(),중복검사!$J3984="유지")</f>
        <v>0</v>
      </c>
      <c r="I3986" s="5" t="str">
        <f aca="false">IF($H3986=FALSE(),"",COUNTIF($H$6:$H3986,TRUE()))</f>
        <v/>
      </c>
      <c r="J3986" s="5" t="str">
        <f aca="false">IF($I3986="","","R"&amp;$I3986)</f>
        <v/>
      </c>
    </row>
    <row r="3987" customFormat="false" ht="15" hidden="false" customHeight="true" outlineLevel="0" collapsed="false">
      <c r="H3987" s="14" t="b">
        <f aca="false">IF(중복검사!$A3985="",FALSE(),중복검사!$J3985="유지")</f>
        <v>0</v>
      </c>
      <c r="I3987" s="5" t="str">
        <f aca="false">IF($H3987=FALSE(),"",COUNTIF($H$6:$H3987,TRUE()))</f>
        <v/>
      </c>
      <c r="J3987" s="5" t="str">
        <f aca="false">IF($I3987="","","R"&amp;$I3987)</f>
        <v/>
      </c>
    </row>
    <row r="3988" customFormat="false" ht="15" hidden="false" customHeight="true" outlineLevel="0" collapsed="false">
      <c r="H3988" s="14" t="b">
        <f aca="false">IF(중복검사!$A3986="",FALSE(),중복검사!$J3986="유지")</f>
        <v>0</v>
      </c>
      <c r="I3988" s="5" t="str">
        <f aca="false">IF($H3988=FALSE(),"",COUNTIF($H$6:$H3988,TRUE()))</f>
        <v/>
      </c>
      <c r="J3988" s="5" t="str">
        <f aca="false">IF($I3988="","","R"&amp;$I3988)</f>
        <v/>
      </c>
    </row>
    <row r="3989" customFormat="false" ht="15" hidden="false" customHeight="true" outlineLevel="0" collapsed="false">
      <c r="H3989" s="14" t="b">
        <f aca="false">IF(중복검사!$A3987="",FALSE(),중복검사!$J3987="유지")</f>
        <v>0</v>
      </c>
      <c r="I3989" s="5" t="str">
        <f aca="false">IF($H3989=FALSE(),"",COUNTIF($H$6:$H3989,TRUE()))</f>
        <v/>
      </c>
      <c r="J3989" s="5" t="str">
        <f aca="false">IF($I3989="","","R"&amp;$I3989)</f>
        <v/>
      </c>
    </row>
    <row r="3990" customFormat="false" ht="15" hidden="false" customHeight="true" outlineLevel="0" collapsed="false">
      <c r="H3990" s="14" t="b">
        <f aca="false">IF(중복검사!$A3988="",FALSE(),중복검사!$J3988="유지")</f>
        <v>0</v>
      </c>
      <c r="I3990" s="5" t="str">
        <f aca="false">IF($H3990=FALSE(),"",COUNTIF($H$6:$H3990,TRUE()))</f>
        <v/>
      </c>
      <c r="J3990" s="5" t="str">
        <f aca="false">IF($I3990="","","R"&amp;$I3990)</f>
        <v/>
      </c>
    </row>
    <row r="3991" customFormat="false" ht="15" hidden="false" customHeight="true" outlineLevel="0" collapsed="false">
      <c r="H3991" s="14" t="b">
        <f aca="false">IF(중복검사!$A3989="",FALSE(),중복검사!$J3989="유지")</f>
        <v>0</v>
      </c>
      <c r="I3991" s="5" t="str">
        <f aca="false">IF($H3991=FALSE(),"",COUNTIF($H$6:$H3991,TRUE()))</f>
        <v/>
      </c>
      <c r="J3991" s="5" t="str">
        <f aca="false">IF($I3991="","","R"&amp;$I3991)</f>
        <v/>
      </c>
    </row>
    <row r="3992" customFormat="false" ht="15" hidden="false" customHeight="true" outlineLevel="0" collapsed="false">
      <c r="H3992" s="14" t="b">
        <f aca="false">IF(중복검사!$A3990="",FALSE(),중복검사!$J3990="유지")</f>
        <v>0</v>
      </c>
      <c r="I3992" s="5" t="str">
        <f aca="false">IF($H3992=FALSE(),"",COUNTIF($H$6:$H3992,TRUE()))</f>
        <v/>
      </c>
      <c r="J3992" s="5" t="str">
        <f aca="false">IF($I3992="","","R"&amp;$I3992)</f>
        <v/>
      </c>
    </row>
    <row r="3993" customFormat="false" ht="15" hidden="false" customHeight="true" outlineLevel="0" collapsed="false">
      <c r="H3993" s="14" t="b">
        <f aca="false">IF(중복검사!$A3991="",FALSE(),중복검사!$J3991="유지")</f>
        <v>0</v>
      </c>
      <c r="I3993" s="5" t="str">
        <f aca="false">IF($H3993=FALSE(),"",COUNTIF($H$6:$H3993,TRUE()))</f>
        <v/>
      </c>
      <c r="J3993" s="5" t="str">
        <f aca="false">IF($I3993="","","R"&amp;$I3993)</f>
        <v/>
      </c>
    </row>
    <row r="3994" customFormat="false" ht="15" hidden="false" customHeight="true" outlineLevel="0" collapsed="false">
      <c r="H3994" s="14" t="b">
        <f aca="false">IF(중복검사!$A3992="",FALSE(),중복검사!$J3992="유지")</f>
        <v>0</v>
      </c>
      <c r="I3994" s="5" t="str">
        <f aca="false">IF($H3994=FALSE(),"",COUNTIF($H$6:$H3994,TRUE()))</f>
        <v/>
      </c>
      <c r="J3994" s="5" t="str">
        <f aca="false">IF($I3994="","","R"&amp;$I3994)</f>
        <v/>
      </c>
    </row>
    <row r="3995" customFormat="false" ht="15" hidden="false" customHeight="true" outlineLevel="0" collapsed="false">
      <c r="H3995" s="14" t="b">
        <f aca="false">IF(중복검사!$A3993="",FALSE(),중복검사!$J3993="유지")</f>
        <v>0</v>
      </c>
      <c r="I3995" s="5" t="str">
        <f aca="false">IF($H3995=FALSE(),"",COUNTIF($H$6:$H3995,TRUE()))</f>
        <v/>
      </c>
      <c r="J3995" s="5" t="str">
        <f aca="false">IF($I3995="","","R"&amp;$I3995)</f>
        <v/>
      </c>
    </row>
    <row r="3996" customFormat="false" ht="15" hidden="false" customHeight="true" outlineLevel="0" collapsed="false">
      <c r="H3996" s="14" t="b">
        <f aca="false">IF(중복검사!$A3994="",FALSE(),중복검사!$J3994="유지")</f>
        <v>0</v>
      </c>
      <c r="I3996" s="5" t="str">
        <f aca="false">IF($H3996=FALSE(),"",COUNTIF($H$6:$H3996,TRUE()))</f>
        <v/>
      </c>
      <c r="J3996" s="5" t="str">
        <f aca="false">IF($I3996="","","R"&amp;$I3996)</f>
        <v/>
      </c>
    </row>
    <row r="3997" customFormat="false" ht="15" hidden="false" customHeight="true" outlineLevel="0" collapsed="false">
      <c r="H3997" s="14" t="b">
        <f aca="false">IF(중복검사!$A3995="",FALSE(),중복검사!$J3995="유지")</f>
        <v>0</v>
      </c>
      <c r="I3997" s="5" t="str">
        <f aca="false">IF($H3997=FALSE(),"",COUNTIF($H$6:$H3997,TRUE()))</f>
        <v/>
      </c>
      <c r="J3997" s="5" t="str">
        <f aca="false">IF($I3997="","","R"&amp;$I3997)</f>
        <v/>
      </c>
    </row>
    <row r="3998" customFormat="false" ht="15" hidden="false" customHeight="true" outlineLevel="0" collapsed="false">
      <c r="H3998" s="14" t="b">
        <f aca="false">IF(중복검사!$A3996="",FALSE(),중복검사!$J3996="유지")</f>
        <v>0</v>
      </c>
      <c r="I3998" s="5" t="str">
        <f aca="false">IF($H3998=FALSE(),"",COUNTIF($H$6:$H3998,TRUE()))</f>
        <v/>
      </c>
      <c r="J3998" s="5" t="str">
        <f aca="false">IF($I3998="","","R"&amp;$I3998)</f>
        <v/>
      </c>
    </row>
    <row r="3999" customFormat="false" ht="15" hidden="false" customHeight="true" outlineLevel="0" collapsed="false">
      <c r="H3999" s="14" t="b">
        <f aca="false">IF(중복검사!$A3997="",FALSE(),중복검사!$J3997="유지")</f>
        <v>0</v>
      </c>
      <c r="I3999" s="5" t="str">
        <f aca="false">IF($H3999=FALSE(),"",COUNTIF($H$6:$H3999,TRUE()))</f>
        <v/>
      </c>
      <c r="J3999" s="5" t="str">
        <f aca="false">IF($I3999="","","R"&amp;$I3999)</f>
        <v/>
      </c>
    </row>
    <row r="4000" customFormat="false" ht="15" hidden="false" customHeight="true" outlineLevel="0" collapsed="false">
      <c r="H4000" s="14" t="b">
        <f aca="false">IF(중복검사!$A3998="",FALSE(),중복검사!$J3998="유지")</f>
        <v>0</v>
      </c>
      <c r="I4000" s="5" t="str">
        <f aca="false">IF($H4000=FALSE(),"",COUNTIF($H$6:$H4000,TRUE()))</f>
        <v/>
      </c>
      <c r="J4000" s="5" t="str">
        <f aca="false">IF($I4000="","","R"&amp;$I4000)</f>
        <v/>
      </c>
    </row>
    <row r="4001" customFormat="false" ht="15" hidden="false" customHeight="true" outlineLevel="0" collapsed="false">
      <c r="H4001" s="14" t="b">
        <f aca="false">IF(중복검사!$A3999="",FALSE(),중복검사!$J3999="유지")</f>
        <v>0</v>
      </c>
      <c r="I4001" s="5" t="str">
        <f aca="false">IF($H4001=FALSE(),"",COUNTIF($H$6:$H4001,TRUE()))</f>
        <v/>
      </c>
      <c r="J4001" s="5" t="str">
        <f aca="false">IF($I4001="","","R"&amp;$I4001)</f>
        <v/>
      </c>
    </row>
    <row r="4002" customFormat="false" ht="15" hidden="false" customHeight="true" outlineLevel="0" collapsed="false">
      <c r="H4002" s="14" t="b">
        <f aca="false">IF(중복검사!$A4000="",FALSE(),중복검사!$J4000="유지")</f>
        <v>0</v>
      </c>
      <c r="I4002" s="5" t="str">
        <f aca="false">IF($H4002=FALSE(),"",COUNTIF($H$6:$H4002,TRUE()))</f>
        <v/>
      </c>
      <c r="J4002" s="5" t="str">
        <f aca="false">IF($I4002="","","R"&amp;$I4002)</f>
        <v/>
      </c>
    </row>
    <row r="4003" customFormat="false" ht="15" hidden="false" customHeight="true" outlineLevel="0" collapsed="false">
      <c r="H4003" s="14" t="b">
        <f aca="false">IF(중복검사!$A4001="",FALSE(),중복검사!$J4001="유지")</f>
        <v>0</v>
      </c>
      <c r="I4003" s="5" t="str">
        <f aca="false">IF($H4003=FALSE(),"",COUNTIF($H$6:$H4003,TRUE()))</f>
        <v/>
      </c>
      <c r="J4003" s="5" t="str">
        <f aca="false">IF($I4003="","","R"&amp;$I4003)</f>
        <v/>
      </c>
    </row>
    <row r="4004" customFormat="false" ht="15" hidden="false" customHeight="true" outlineLevel="0" collapsed="false">
      <c r="H4004" s="14" t="b">
        <f aca="false">IF(중복검사!$A4002="",FALSE(),중복검사!$J4002="유지")</f>
        <v>0</v>
      </c>
      <c r="I4004" s="5" t="str">
        <f aca="false">IF($H4004=FALSE(),"",COUNTIF($H$6:$H4004,TRUE()))</f>
        <v/>
      </c>
      <c r="J4004" s="5" t="str">
        <f aca="false">IF($I4004="","","R"&amp;$I4004)</f>
        <v/>
      </c>
    </row>
    <row r="4005" customFormat="false" ht="15" hidden="false" customHeight="true" outlineLevel="0" collapsed="false">
      <c r="H4005" s="14" t="b">
        <f aca="false">IF(중복검사!$A4003="",FALSE(),중복검사!$J4003="유지")</f>
        <v>0</v>
      </c>
      <c r="I4005" s="5" t="str">
        <f aca="false">IF($H4005=FALSE(),"",COUNTIF($H$6:$H4005,TRUE()))</f>
        <v/>
      </c>
      <c r="J4005" s="5" t="str">
        <f aca="false">IF($I4005="","","R"&amp;$I4005)</f>
        <v/>
      </c>
    </row>
    <row r="4006" customFormat="false" ht="15" hidden="false" customHeight="true" outlineLevel="0" collapsed="false">
      <c r="H4006" s="14" t="b">
        <f aca="false">IF(중복검사!$A4004="",FALSE(),중복검사!$J4004="유지")</f>
        <v>0</v>
      </c>
      <c r="I4006" s="5" t="str">
        <f aca="false">IF($H4006=FALSE(),"",COUNTIF($H$6:$H4006,TRUE()))</f>
        <v/>
      </c>
      <c r="J4006" s="5" t="str">
        <f aca="false">IF($I4006="","","R"&amp;$I4006)</f>
        <v/>
      </c>
    </row>
    <row r="4007" customFormat="false" ht="15" hidden="false" customHeight="true" outlineLevel="0" collapsed="false">
      <c r="H4007" s="14" t="b">
        <f aca="false">IF(중복검사!$A4005="",FALSE(),중복검사!$J4005="유지")</f>
        <v>0</v>
      </c>
      <c r="I4007" s="5" t="str">
        <f aca="false">IF($H4007=FALSE(),"",COUNTIF($H$6:$H4007,TRUE()))</f>
        <v/>
      </c>
      <c r="J4007" s="5" t="str">
        <f aca="false">IF($I4007="","","R"&amp;$I4007)</f>
        <v/>
      </c>
    </row>
    <row r="4008" customFormat="false" ht="15" hidden="false" customHeight="true" outlineLevel="0" collapsed="false">
      <c r="H4008" s="14" t="b">
        <f aca="false">IF(중복검사!$A4006="",FALSE(),중복검사!$J4006="유지")</f>
        <v>0</v>
      </c>
      <c r="I4008" s="5" t="str">
        <f aca="false">IF($H4008=FALSE(),"",COUNTIF($H$6:$H4008,TRUE()))</f>
        <v/>
      </c>
      <c r="J4008" s="5" t="str">
        <f aca="false">IF($I4008="","","R"&amp;$I4008)</f>
        <v/>
      </c>
    </row>
    <row r="4009" customFormat="false" ht="15" hidden="false" customHeight="true" outlineLevel="0" collapsed="false">
      <c r="H4009" s="14" t="b">
        <f aca="false">IF(중복검사!$A4007="",FALSE(),중복검사!$J4007="유지")</f>
        <v>0</v>
      </c>
      <c r="I4009" s="5" t="str">
        <f aca="false">IF($H4009=FALSE(),"",COUNTIF($H$6:$H4009,TRUE()))</f>
        <v/>
      </c>
      <c r="J4009" s="5" t="str">
        <f aca="false">IF($I4009="","","R"&amp;$I4009)</f>
        <v/>
      </c>
    </row>
    <row r="4010" customFormat="false" ht="15" hidden="false" customHeight="true" outlineLevel="0" collapsed="false">
      <c r="H4010" s="14" t="b">
        <f aca="false">IF(중복검사!$A4008="",FALSE(),중복검사!$J4008="유지")</f>
        <v>0</v>
      </c>
      <c r="I4010" s="5" t="str">
        <f aca="false">IF($H4010=FALSE(),"",COUNTIF($H$6:$H4010,TRUE()))</f>
        <v/>
      </c>
      <c r="J4010" s="5" t="str">
        <f aca="false">IF($I4010="","","R"&amp;$I4010)</f>
        <v/>
      </c>
    </row>
    <row r="4011" customFormat="false" ht="15" hidden="false" customHeight="true" outlineLevel="0" collapsed="false">
      <c r="H4011" s="14" t="b">
        <f aca="false">IF(중복검사!$A4009="",FALSE(),중복검사!$J4009="유지")</f>
        <v>0</v>
      </c>
      <c r="I4011" s="5" t="str">
        <f aca="false">IF($H4011=FALSE(),"",COUNTIF($H$6:$H4011,TRUE()))</f>
        <v/>
      </c>
      <c r="J4011" s="5" t="str">
        <f aca="false">IF($I4011="","","R"&amp;$I4011)</f>
        <v/>
      </c>
    </row>
    <row r="4012" customFormat="false" ht="15" hidden="false" customHeight="true" outlineLevel="0" collapsed="false">
      <c r="H4012" s="14" t="b">
        <f aca="false">IF(중복검사!$A4010="",FALSE(),중복검사!$J4010="유지")</f>
        <v>0</v>
      </c>
      <c r="I4012" s="5" t="str">
        <f aca="false">IF($H4012=FALSE(),"",COUNTIF($H$6:$H4012,TRUE()))</f>
        <v/>
      </c>
      <c r="J4012" s="5" t="str">
        <f aca="false">IF($I4012="","","R"&amp;$I4012)</f>
        <v/>
      </c>
    </row>
    <row r="4013" customFormat="false" ht="15" hidden="false" customHeight="true" outlineLevel="0" collapsed="false">
      <c r="H4013" s="14" t="b">
        <f aca="false">IF(중복검사!$A4011="",FALSE(),중복검사!$J4011="유지")</f>
        <v>0</v>
      </c>
      <c r="I4013" s="5" t="str">
        <f aca="false">IF($H4013=FALSE(),"",COUNTIF($H$6:$H4013,TRUE()))</f>
        <v/>
      </c>
      <c r="J4013" s="5" t="str">
        <f aca="false">IF($I4013="","","R"&amp;$I4013)</f>
        <v/>
      </c>
    </row>
    <row r="4014" customFormat="false" ht="15" hidden="false" customHeight="true" outlineLevel="0" collapsed="false">
      <c r="H4014" s="14" t="b">
        <f aca="false">IF(중복검사!$A4012="",FALSE(),중복검사!$J4012="유지")</f>
        <v>0</v>
      </c>
      <c r="I4014" s="5" t="str">
        <f aca="false">IF($H4014=FALSE(),"",COUNTIF($H$6:$H4014,TRUE()))</f>
        <v/>
      </c>
      <c r="J4014" s="5" t="str">
        <f aca="false">IF($I4014="","","R"&amp;$I4014)</f>
        <v/>
      </c>
    </row>
    <row r="4015" customFormat="false" ht="15" hidden="false" customHeight="true" outlineLevel="0" collapsed="false">
      <c r="H4015" s="14" t="b">
        <f aca="false">IF(중복검사!$A4013="",FALSE(),중복검사!$J4013="유지")</f>
        <v>0</v>
      </c>
      <c r="I4015" s="5" t="str">
        <f aca="false">IF($H4015=FALSE(),"",COUNTIF($H$6:$H4015,TRUE()))</f>
        <v/>
      </c>
      <c r="J4015" s="5" t="str">
        <f aca="false">IF($I4015="","","R"&amp;$I4015)</f>
        <v/>
      </c>
    </row>
    <row r="4016" customFormat="false" ht="15" hidden="false" customHeight="true" outlineLevel="0" collapsed="false">
      <c r="H4016" s="14" t="b">
        <f aca="false">IF(중복검사!$A4014="",FALSE(),중복검사!$J4014="유지")</f>
        <v>0</v>
      </c>
      <c r="I4016" s="5" t="str">
        <f aca="false">IF($H4016=FALSE(),"",COUNTIF($H$6:$H4016,TRUE()))</f>
        <v/>
      </c>
      <c r="J4016" s="5" t="str">
        <f aca="false">IF($I4016="","","R"&amp;$I4016)</f>
        <v/>
      </c>
    </row>
    <row r="4017" customFormat="false" ht="15" hidden="false" customHeight="true" outlineLevel="0" collapsed="false">
      <c r="H4017" s="14" t="b">
        <f aca="false">IF(중복검사!$A4015="",FALSE(),중복검사!$J4015="유지")</f>
        <v>0</v>
      </c>
      <c r="I4017" s="5" t="str">
        <f aca="false">IF($H4017=FALSE(),"",COUNTIF($H$6:$H4017,TRUE()))</f>
        <v/>
      </c>
      <c r="J4017" s="5" t="str">
        <f aca="false">IF($I4017="","","R"&amp;$I4017)</f>
        <v/>
      </c>
    </row>
    <row r="4018" customFormat="false" ht="15" hidden="false" customHeight="true" outlineLevel="0" collapsed="false">
      <c r="H4018" s="14" t="b">
        <f aca="false">IF(중복검사!$A4016="",FALSE(),중복검사!$J4016="유지")</f>
        <v>0</v>
      </c>
      <c r="I4018" s="5" t="str">
        <f aca="false">IF($H4018=FALSE(),"",COUNTIF($H$6:$H4018,TRUE()))</f>
        <v/>
      </c>
      <c r="J4018" s="5" t="str">
        <f aca="false">IF($I4018="","","R"&amp;$I4018)</f>
        <v/>
      </c>
    </row>
    <row r="4019" customFormat="false" ht="15" hidden="false" customHeight="true" outlineLevel="0" collapsed="false">
      <c r="H4019" s="14" t="b">
        <f aca="false">IF(중복검사!$A4017="",FALSE(),중복검사!$J4017="유지")</f>
        <v>0</v>
      </c>
      <c r="I4019" s="5" t="str">
        <f aca="false">IF($H4019=FALSE(),"",COUNTIF($H$6:$H4019,TRUE()))</f>
        <v/>
      </c>
      <c r="J4019" s="5" t="str">
        <f aca="false">IF($I4019="","","R"&amp;$I4019)</f>
        <v/>
      </c>
    </row>
    <row r="4020" customFormat="false" ht="15" hidden="false" customHeight="true" outlineLevel="0" collapsed="false">
      <c r="H4020" s="14" t="b">
        <f aca="false">IF(중복검사!$A4018="",FALSE(),중복검사!$J4018="유지")</f>
        <v>0</v>
      </c>
      <c r="I4020" s="5" t="str">
        <f aca="false">IF($H4020=FALSE(),"",COUNTIF($H$6:$H4020,TRUE()))</f>
        <v/>
      </c>
      <c r="J4020" s="5" t="str">
        <f aca="false">IF($I4020="","","R"&amp;$I4020)</f>
        <v/>
      </c>
    </row>
    <row r="4021" customFormat="false" ht="15" hidden="false" customHeight="true" outlineLevel="0" collapsed="false">
      <c r="H4021" s="14" t="b">
        <f aca="false">IF(중복검사!$A4019="",FALSE(),중복검사!$J4019="유지")</f>
        <v>0</v>
      </c>
      <c r="I4021" s="5" t="str">
        <f aca="false">IF($H4021=FALSE(),"",COUNTIF($H$6:$H4021,TRUE()))</f>
        <v/>
      </c>
      <c r="J4021" s="5" t="str">
        <f aca="false">IF($I4021="","","R"&amp;$I4021)</f>
        <v/>
      </c>
    </row>
    <row r="4022" customFormat="false" ht="15" hidden="false" customHeight="true" outlineLevel="0" collapsed="false">
      <c r="H4022" s="14" t="b">
        <f aca="false">IF(중복검사!$A4020="",FALSE(),중복검사!$J4020="유지")</f>
        <v>0</v>
      </c>
      <c r="I4022" s="5" t="str">
        <f aca="false">IF($H4022=FALSE(),"",COUNTIF($H$6:$H4022,TRUE()))</f>
        <v/>
      </c>
      <c r="J4022" s="5" t="str">
        <f aca="false">IF($I4022="","","R"&amp;$I4022)</f>
        <v/>
      </c>
    </row>
    <row r="4023" customFormat="false" ht="15" hidden="false" customHeight="true" outlineLevel="0" collapsed="false">
      <c r="H4023" s="14" t="b">
        <f aca="false">IF(중복검사!$A4021="",FALSE(),중복검사!$J4021="유지")</f>
        <v>0</v>
      </c>
      <c r="I4023" s="5" t="str">
        <f aca="false">IF($H4023=FALSE(),"",COUNTIF($H$6:$H4023,TRUE()))</f>
        <v/>
      </c>
      <c r="J4023" s="5" t="str">
        <f aca="false">IF($I4023="","","R"&amp;$I4023)</f>
        <v/>
      </c>
    </row>
    <row r="4024" customFormat="false" ht="15" hidden="false" customHeight="true" outlineLevel="0" collapsed="false">
      <c r="H4024" s="14" t="b">
        <f aca="false">IF(중복검사!$A4022="",FALSE(),중복검사!$J4022="유지")</f>
        <v>0</v>
      </c>
      <c r="I4024" s="5" t="str">
        <f aca="false">IF($H4024=FALSE(),"",COUNTIF($H$6:$H4024,TRUE()))</f>
        <v/>
      </c>
      <c r="J4024" s="5" t="str">
        <f aca="false">IF($I4024="","","R"&amp;$I4024)</f>
        <v/>
      </c>
    </row>
    <row r="4025" customFormat="false" ht="15" hidden="false" customHeight="true" outlineLevel="0" collapsed="false">
      <c r="H4025" s="14" t="b">
        <f aca="false">IF(중복검사!$A4023="",FALSE(),중복검사!$J4023="유지")</f>
        <v>0</v>
      </c>
      <c r="I4025" s="5" t="str">
        <f aca="false">IF($H4025=FALSE(),"",COUNTIF($H$6:$H4025,TRUE()))</f>
        <v/>
      </c>
      <c r="J4025" s="5" t="str">
        <f aca="false">IF($I4025="","","R"&amp;$I4025)</f>
        <v/>
      </c>
    </row>
    <row r="4026" customFormat="false" ht="15" hidden="false" customHeight="true" outlineLevel="0" collapsed="false">
      <c r="H4026" s="14" t="b">
        <f aca="false">IF(중복검사!$A4024="",FALSE(),중복검사!$J4024="유지")</f>
        <v>0</v>
      </c>
      <c r="I4026" s="5" t="str">
        <f aca="false">IF($H4026=FALSE(),"",COUNTIF($H$6:$H4026,TRUE()))</f>
        <v/>
      </c>
      <c r="J4026" s="5" t="str">
        <f aca="false">IF($I4026="","","R"&amp;$I4026)</f>
        <v/>
      </c>
    </row>
    <row r="4027" customFormat="false" ht="15" hidden="false" customHeight="true" outlineLevel="0" collapsed="false">
      <c r="H4027" s="14" t="b">
        <f aca="false">IF(중복검사!$A4025="",FALSE(),중복검사!$J4025="유지")</f>
        <v>0</v>
      </c>
      <c r="I4027" s="5" t="str">
        <f aca="false">IF($H4027=FALSE(),"",COUNTIF($H$6:$H4027,TRUE()))</f>
        <v/>
      </c>
      <c r="J4027" s="5" t="str">
        <f aca="false">IF($I4027="","","R"&amp;$I4027)</f>
        <v/>
      </c>
    </row>
    <row r="4028" customFormat="false" ht="15" hidden="false" customHeight="true" outlineLevel="0" collapsed="false">
      <c r="H4028" s="14" t="b">
        <f aca="false">IF(중복검사!$A4026="",FALSE(),중복검사!$J4026="유지")</f>
        <v>0</v>
      </c>
      <c r="I4028" s="5" t="str">
        <f aca="false">IF($H4028=FALSE(),"",COUNTIF($H$6:$H4028,TRUE()))</f>
        <v/>
      </c>
      <c r="J4028" s="5" t="str">
        <f aca="false">IF($I4028="","","R"&amp;$I4028)</f>
        <v/>
      </c>
    </row>
    <row r="4029" customFormat="false" ht="15" hidden="false" customHeight="true" outlineLevel="0" collapsed="false">
      <c r="H4029" s="14" t="b">
        <f aca="false">IF(중복검사!$A4027="",FALSE(),중복검사!$J4027="유지")</f>
        <v>0</v>
      </c>
      <c r="I4029" s="5" t="str">
        <f aca="false">IF($H4029=FALSE(),"",COUNTIF($H$6:$H4029,TRUE()))</f>
        <v/>
      </c>
      <c r="J4029" s="5" t="str">
        <f aca="false">IF($I4029="","","R"&amp;$I4029)</f>
        <v/>
      </c>
    </row>
    <row r="4030" customFormat="false" ht="15" hidden="false" customHeight="true" outlineLevel="0" collapsed="false">
      <c r="H4030" s="14" t="b">
        <f aca="false">IF(중복검사!$A4028="",FALSE(),중복검사!$J4028="유지")</f>
        <v>0</v>
      </c>
      <c r="I4030" s="5" t="str">
        <f aca="false">IF($H4030=FALSE(),"",COUNTIF($H$6:$H4030,TRUE()))</f>
        <v/>
      </c>
      <c r="J4030" s="5" t="str">
        <f aca="false">IF($I4030="","","R"&amp;$I4030)</f>
        <v/>
      </c>
    </row>
    <row r="4031" customFormat="false" ht="15" hidden="false" customHeight="true" outlineLevel="0" collapsed="false">
      <c r="H4031" s="14" t="b">
        <f aca="false">IF(중복검사!$A4029="",FALSE(),중복검사!$J4029="유지")</f>
        <v>0</v>
      </c>
      <c r="I4031" s="5" t="str">
        <f aca="false">IF($H4031=FALSE(),"",COUNTIF($H$6:$H4031,TRUE()))</f>
        <v/>
      </c>
      <c r="J4031" s="5" t="str">
        <f aca="false">IF($I4031="","","R"&amp;$I4031)</f>
        <v/>
      </c>
    </row>
    <row r="4032" customFormat="false" ht="15" hidden="false" customHeight="true" outlineLevel="0" collapsed="false">
      <c r="H4032" s="14" t="b">
        <f aca="false">IF(중복검사!$A4030="",FALSE(),중복검사!$J4030="유지")</f>
        <v>0</v>
      </c>
      <c r="I4032" s="5" t="str">
        <f aca="false">IF($H4032=FALSE(),"",COUNTIF($H$6:$H4032,TRUE()))</f>
        <v/>
      </c>
      <c r="J4032" s="5" t="str">
        <f aca="false">IF($I4032="","","R"&amp;$I4032)</f>
        <v/>
      </c>
    </row>
    <row r="4033" customFormat="false" ht="15" hidden="false" customHeight="true" outlineLevel="0" collapsed="false">
      <c r="H4033" s="14" t="b">
        <f aca="false">IF(중복검사!$A4031="",FALSE(),중복검사!$J4031="유지")</f>
        <v>0</v>
      </c>
      <c r="I4033" s="5" t="str">
        <f aca="false">IF($H4033=FALSE(),"",COUNTIF($H$6:$H4033,TRUE()))</f>
        <v/>
      </c>
      <c r="J4033" s="5" t="str">
        <f aca="false">IF($I4033="","","R"&amp;$I4033)</f>
        <v/>
      </c>
    </row>
    <row r="4034" customFormat="false" ht="15" hidden="false" customHeight="true" outlineLevel="0" collapsed="false">
      <c r="H4034" s="14" t="b">
        <f aca="false">IF(중복검사!$A4032="",FALSE(),중복검사!$J4032="유지")</f>
        <v>0</v>
      </c>
      <c r="I4034" s="5" t="str">
        <f aca="false">IF($H4034=FALSE(),"",COUNTIF($H$6:$H4034,TRUE()))</f>
        <v/>
      </c>
      <c r="J4034" s="5" t="str">
        <f aca="false">IF($I4034="","","R"&amp;$I4034)</f>
        <v/>
      </c>
    </row>
    <row r="4035" customFormat="false" ht="15" hidden="false" customHeight="true" outlineLevel="0" collapsed="false">
      <c r="H4035" s="14" t="b">
        <f aca="false">IF(중복검사!$A4033="",FALSE(),중복검사!$J4033="유지")</f>
        <v>0</v>
      </c>
      <c r="I4035" s="5" t="str">
        <f aca="false">IF($H4035=FALSE(),"",COUNTIF($H$6:$H4035,TRUE()))</f>
        <v/>
      </c>
      <c r="J4035" s="5" t="str">
        <f aca="false">IF($I4035="","","R"&amp;$I4035)</f>
        <v/>
      </c>
    </row>
    <row r="4036" customFormat="false" ht="15" hidden="false" customHeight="true" outlineLevel="0" collapsed="false">
      <c r="H4036" s="14" t="b">
        <f aca="false">IF(중복검사!$A4034="",FALSE(),중복검사!$J4034="유지")</f>
        <v>0</v>
      </c>
      <c r="I4036" s="5" t="str">
        <f aca="false">IF($H4036=FALSE(),"",COUNTIF($H$6:$H4036,TRUE()))</f>
        <v/>
      </c>
      <c r="J4036" s="5" t="str">
        <f aca="false">IF($I4036="","","R"&amp;$I4036)</f>
        <v/>
      </c>
    </row>
    <row r="4037" customFormat="false" ht="15" hidden="false" customHeight="true" outlineLevel="0" collapsed="false">
      <c r="H4037" s="14" t="b">
        <f aca="false">IF(중복검사!$A4035="",FALSE(),중복검사!$J4035="유지")</f>
        <v>0</v>
      </c>
      <c r="I4037" s="5" t="str">
        <f aca="false">IF($H4037=FALSE(),"",COUNTIF($H$6:$H4037,TRUE()))</f>
        <v/>
      </c>
      <c r="J4037" s="5" t="str">
        <f aca="false">IF($I4037="","","R"&amp;$I4037)</f>
        <v/>
      </c>
    </row>
    <row r="4038" customFormat="false" ht="15" hidden="false" customHeight="true" outlineLevel="0" collapsed="false">
      <c r="H4038" s="14" t="b">
        <f aca="false">IF(중복검사!$A4036="",FALSE(),중복검사!$J4036="유지")</f>
        <v>0</v>
      </c>
      <c r="I4038" s="5" t="str">
        <f aca="false">IF($H4038=FALSE(),"",COUNTIF($H$6:$H4038,TRUE()))</f>
        <v/>
      </c>
      <c r="J4038" s="5" t="str">
        <f aca="false">IF($I4038="","","R"&amp;$I4038)</f>
        <v/>
      </c>
    </row>
    <row r="4039" customFormat="false" ht="15" hidden="false" customHeight="true" outlineLevel="0" collapsed="false">
      <c r="H4039" s="14" t="b">
        <f aca="false">IF(중복검사!$A4037="",FALSE(),중복검사!$J4037="유지")</f>
        <v>0</v>
      </c>
      <c r="I4039" s="5" t="str">
        <f aca="false">IF($H4039=FALSE(),"",COUNTIF($H$6:$H4039,TRUE()))</f>
        <v/>
      </c>
      <c r="J4039" s="5" t="str">
        <f aca="false">IF($I4039="","","R"&amp;$I4039)</f>
        <v/>
      </c>
    </row>
    <row r="4040" customFormat="false" ht="15" hidden="false" customHeight="true" outlineLevel="0" collapsed="false">
      <c r="H4040" s="14" t="b">
        <f aca="false">IF(중복검사!$A4038="",FALSE(),중복검사!$J4038="유지")</f>
        <v>0</v>
      </c>
      <c r="I4040" s="5" t="str">
        <f aca="false">IF($H4040=FALSE(),"",COUNTIF($H$6:$H4040,TRUE()))</f>
        <v/>
      </c>
      <c r="J4040" s="5" t="str">
        <f aca="false">IF($I4040="","","R"&amp;$I4040)</f>
        <v/>
      </c>
    </row>
    <row r="4041" customFormat="false" ht="15" hidden="false" customHeight="true" outlineLevel="0" collapsed="false">
      <c r="H4041" s="14" t="b">
        <f aca="false">IF(중복검사!$A4039="",FALSE(),중복검사!$J4039="유지")</f>
        <v>0</v>
      </c>
      <c r="I4041" s="5" t="str">
        <f aca="false">IF($H4041=FALSE(),"",COUNTIF($H$6:$H4041,TRUE()))</f>
        <v/>
      </c>
      <c r="J4041" s="5" t="str">
        <f aca="false">IF($I4041="","","R"&amp;$I4041)</f>
        <v/>
      </c>
    </row>
    <row r="4042" customFormat="false" ht="15" hidden="false" customHeight="true" outlineLevel="0" collapsed="false">
      <c r="H4042" s="14" t="b">
        <f aca="false">IF(중복검사!$A4040="",FALSE(),중복검사!$J4040="유지")</f>
        <v>0</v>
      </c>
      <c r="I4042" s="5" t="str">
        <f aca="false">IF($H4042=FALSE(),"",COUNTIF($H$6:$H4042,TRUE()))</f>
        <v/>
      </c>
      <c r="J4042" s="5" t="str">
        <f aca="false">IF($I4042="","","R"&amp;$I4042)</f>
        <v/>
      </c>
    </row>
    <row r="4043" customFormat="false" ht="15" hidden="false" customHeight="true" outlineLevel="0" collapsed="false">
      <c r="H4043" s="14" t="b">
        <f aca="false">IF(중복검사!$A4041="",FALSE(),중복검사!$J4041="유지")</f>
        <v>0</v>
      </c>
      <c r="I4043" s="5" t="str">
        <f aca="false">IF($H4043=FALSE(),"",COUNTIF($H$6:$H4043,TRUE()))</f>
        <v/>
      </c>
      <c r="J4043" s="5" t="str">
        <f aca="false">IF($I4043="","","R"&amp;$I4043)</f>
        <v/>
      </c>
    </row>
    <row r="4044" customFormat="false" ht="15" hidden="false" customHeight="true" outlineLevel="0" collapsed="false">
      <c r="H4044" s="14" t="b">
        <f aca="false">IF(중복검사!$A4042="",FALSE(),중복검사!$J4042="유지")</f>
        <v>0</v>
      </c>
      <c r="I4044" s="5" t="str">
        <f aca="false">IF($H4044=FALSE(),"",COUNTIF($H$6:$H4044,TRUE()))</f>
        <v/>
      </c>
      <c r="J4044" s="5" t="str">
        <f aca="false">IF($I4044="","","R"&amp;$I4044)</f>
        <v/>
      </c>
    </row>
    <row r="4045" customFormat="false" ht="15" hidden="false" customHeight="true" outlineLevel="0" collapsed="false">
      <c r="H4045" s="14" t="b">
        <f aca="false">IF(중복검사!$A4043="",FALSE(),중복검사!$J4043="유지")</f>
        <v>0</v>
      </c>
      <c r="I4045" s="5" t="str">
        <f aca="false">IF($H4045=FALSE(),"",COUNTIF($H$6:$H4045,TRUE()))</f>
        <v/>
      </c>
      <c r="J4045" s="5" t="str">
        <f aca="false">IF($I4045="","","R"&amp;$I4045)</f>
        <v/>
      </c>
    </row>
    <row r="4046" customFormat="false" ht="15" hidden="false" customHeight="true" outlineLevel="0" collapsed="false">
      <c r="H4046" s="14" t="b">
        <f aca="false">IF(중복검사!$A4044="",FALSE(),중복검사!$J4044="유지")</f>
        <v>0</v>
      </c>
      <c r="I4046" s="5" t="str">
        <f aca="false">IF($H4046=FALSE(),"",COUNTIF($H$6:$H4046,TRUE()))</f>
        <v/>
      </c>
      <c r="J4046" s="5" t="str">
        <f aca="false">IF($I4046="","","R"&amp;$I4046)</f>
        <v/>
      </c>
    </row>
    <row r="4047" customFormat="false" ht="15" hidden="false" customHeight="true" outlineLevel="0" collapsed="false">
      <c r="H4047" s="14" t="b">
        <f aca="false">IF(중복검사!$A4045="",FALSE(),중복검사!$J4045="유지")</f>
        <v>0</v>
      </c>
      <c r="I4047" s="5" t="str">
        <f aca="false">IF($H4047=FALSE(),"",COUNTIF($H$6:$H4047,TRUE()))</f>
        <v/>
      </c>
      <c r="J4047" s="5" t="str">
        <f aca="false">IF($I4047="","","R"&amp;$I4047)</f>
        <v/>
      </c>
    </row>
    <row r="4048" customFormat="false" ht="15" hidden="false" customHeight="true" outlineLevel="0" collapsed="false">
      <c r="H4048" s="14" t="b">
        <f aca="false">IF(중복검사!$A4046="",FALSE(),중복검사!$J4046="유지")</f>
        <v>0</v>
      </c>
      <c r="I4048" s="5" t="str">
        <f aca="false">IF($H4048=FALSE(),"",COUNTIF($H$6:$H4048,TRUE()))</f>
        <v/>
      </c>
      <c r="J4048" s="5" t="str">
        <f aca="false">IF($I4048="","","R"&amp;$I4048)</f>
        <v/>
      </c>
    </row>
    <row r="4049" customFormat="false" ht="15" hidden="false" customHeight="true" outlineLevel="0" collapsed="false">
      <c r="H4049" s="14" t="b">
        <f aca="false">IF(중복검사!$A4047="",FALSE(),중복검사!$J4047="유지")</f>
        <v>0</v>
      </c>
      <c r="I4049" s="5" t="str">
        <f aca="false">IF($H4049=FALSE(),"",COUNTIF($H$6:$H4049,TRUE()))</f>
        <v/>
      </c>
      <c r="J4049" s="5" t="str">
        <f aca="false">IF($I4049="","","R"&amp;$I4049)</f>
        <v/>
      </c>
    </row>
    <row r="4050" customFormat="false" ht="15" hidden="false" customHeight="true" outlineLevel="0" collapsed="false">
      <c r="H4050" s="14" t="b">
        <f aca="false">IF(중복검사!$A4048="",FALSE(),중복검사!$J4048="유지")</f>
        <v>0</v>
      </c>
      <c r="I4050" s="5" t="str">
        <f aca="false">IF($H4050=FALSE(),"",COUNTIF($H$6:$H4050,TRUE()))</f>
        <v/>
      </c>
      <c r="J4050" s="5" t="str">
        <f aca="false">IF($I4050="","","R"&amp;$I4050)</f>
        <v/>
      </c>
    </row>
    <row r="4051" customFormat="false" ht="15" hidden="false" customHeight="true" outlineLevel="0" collapsed="false">
      <c r="H4051" s="14" t="b">
        <f aca="false">IF(중복검사!$A4049="",FALSE(),중복검사!$J4049="유지")</f>
        <v>0</v>
      </c>
      <c r="I4051" s="5" t="str">
        <f aca="false">IF($H4051=FALSE(),"",COUNTIF($H$6:$H4051,TRUE()))</f>
        <v/>
      </c>
      <c r="J4051" s="5" t="str">
        <f aca="false">IF($I4051="","","R"&amp;$I4051)</f>
        <v/>
      </c>
    </row>
    <row r="4052" customFormat="false" ht="15" hidden="false" customHeight="true" outlineLevel="0" collapsed="false">
      <c r="H4052" s="14" t="b">
        <f aca="false">IF(중복검사!$A4050="",FALSE(),중복검사!$J4050="유지")</f>
        <v>0</v>
      </c>
      <c r="I4052" s="5" t="str">
        <f aca="false">IF($H4052=FALSE(),"",COUNTIF($H$6:$H4052,TRUE()))</f>
        <v/>
      </c>
      <c r="J4052" s="5" t="str">
        <f aca="false">IF($I4052="","","R"&amp;$I4052)</f>
        <v/>
      </c>
    </row>
    <row r="4053" customFormat="false" ht="15" hidden="false" customHeight="true" outlineLevel="0" collapsed="false">
      <c r="H4053" s="14" t="b">
        <f aca="false">IF(중복검사!$A4051="",FALSE(),중복검사!$J4051="유지")</f>
        <v>0</v>
      </c>
      <c r="I4053" s="5" t="str">
        <f aca="false">IF($H4053=FALSE(),"",COUNTIF($H$6:$H4053,TRUE()))</f>
        <v/>
      </c>
      <c r="J4053" s="5" t="str">
        <f aca="false">IF($I4053="","","R"&amp;$I4053)</f>
        <v/>
      </c>
    </row>
    <row r="4054" customFormat="false" ht="15" hidden="false" customHeight="true" outlineLevel="0" collapsed="false">
      <c r="H4054" s="14" t="b">
        <f aca="false">IF(중복검사!$A4052="",FALSE(),중복검사!$J4052="유지")</f>
        <v>0</v>
      </c>
      <c r="I4054" s="5" t="str">
        <f aca="false">IF($H4054=FALSE(),"",COUNTIF($H$6:$H4054,TRUE()))</f>
        <v/>
      </c>
      <c r="J4054" s="5" t="str">
        <f aca="false">IF($I4054="","","R"&amp;$I4054)</f>
        <v/>
      </c>
    </row>
    <row r="4055" customFormat="false" ht="15" hidden="false" customHeight="true" outlineLevel="0" collapsed="false">
      <c r="H4055" s="14" t="b">
        <f aca="false">IF(중복검사!$A4053="",FALSE(),중복검사!$J4053="유지")</f>
        <v>0</v>
      </c>
      <c r="I4055" s="5" t="str">
        <f aca="false">IF($H4055=FALSE(),"",COUNTIF($H$6:$H4055,TRUE()))</f>
        <v/>
      </c>
      <c r="J4055" s="5" t="str">
        <f aca="false">IF($I4055="","","R"&amp;$I4055)</f>
        <v/>
      </c>
    </row>
    <row r="4056" customFormat="false" ht="15" hidden="false" customHeight="true" outlineLevel="0" collapsed="false">
      <c r="H4056" s="14" t="b">
        <f aca="false">IF(중복검사!$A4054="",FALSE(),중복검사!$J4054="유지")</f>
        <v>0</v>
      </c>
      <c r="I4056" s="5" t="str">
        <f aca="false">IF($H4056=FALSE(),"",COUNTIF($H$6:$H4056,TRUE()))</f>
        <v/>
      </c>
      <c r="J4056" s="5" t="str">
        <f aca="false">IF($I4056="","","R"&amp;$I4056)</f>
        <v/>
      </c>
    </row>
    <row r="4057" customFormat="false" ht="15" hidden="false" customHeight="true" outlineLevel="0" collapsed="false">
      <c r="H4057" s="14" t="b">
        <f aca="false">IF(중복검사!$A4055="",FALSE(),중복검사!$J4055="유지")</f>
        <v>0</v>
      </c>
      <c r="I4057" s="5" t="str">
        <f aca="false">IF($H4057=FALSE(),"",COUNTIF($H$6:$H4057,TRUE()))</f>
        <v/>
      </c>
      <c r="J4057" s="5" t="str">
        <f aca="false">IF($I4057="","","R"&amp;$I4057)</f>
        <v/>
      </c>
    </row>
    <row r="4058" customFormat="false" ht="15" hidden="false" customHeight="true" outlineLevel="0" collapsed="false">
      <c r="H4058" s="14" t="b">
        <f aca="false">IF(중복검사!$A4056="",FALSE(),중복검사!$J4056="유지")</f>
        <v>0</v>
      </c>
      <c r="I4058" s="5" t="str">
        <f aca="false">IF($H4058=FALSE(),"",COUNTIF($H$6:$H4058,TRUE()))</f>
        <v/>
      </c>
      <c r="J4058" s="5" t="str">
        <f aca="false">IF($I4058="","","R"&amp;$I4058)</f>
        <v/>
      </c>
    </row>
    <row r="4059" customFormat="false" ht="15" hidden="false" customHeight="true" outlineLevel="0" collapsed="false">
      <c r="H4059" s="14" t="b">
        <f aca="false">IF(중복검사!$A4057="",FALSE(),중복검사!$J4057="유지")</f>
        <v>0</v>
      </c>
      <c r="I4059" s="5" t="str">
        <f aca="false">IF($H4059=FALSE(),"",COUNTIF($H$6:$H4059,TRUE()))</f>
        <v/>
      </c>
      <c r="J4059" s="5" t="str">
        <f aca="false">IF($I4059="","","R"&amp;$I4059)</f>
        <v/>
      </c>
    </row>
    <row r="4060" customFormat="false" ht="15" hidden="false" customHeight="true" outlineLevel="0" collapsed="false">
      <c r="H4060" s="14" t="b">
        <f aca="false">IF(중복검사!$A4058="",FALSE(),중복검사!$J4058="유지")</f>
        <v>0</v>
      </c>
      <c r="I4060" s="5" t="str">
        <f aca="false">IF($H4060=FALSE(),"",COUNTIF($H$6:$H4060,TRUE()))</f>
        <v/>
      </c>
      <c r="J4060" s="5" t="str">
        <f aca="false">IF($I4060="","","R"&amp;$I4060)</f>
        <v/>
      </c>
    </row>
    <row r="4061" customFormat="false" ht="15" hidden="false" customHeight="true" outlineLevel="0" collapsed="false">
      <c r="H4061" s="14" t="b">
        <f aca="false">IF(중복검사!$A4059="",FALSE(),중복검사!$J4059="유지")</f>
        <v>0</v>
      </c>
      <c r="I4061" s="5" t="str">
        <f aca="false">IF($H4061=FALSE(),"",COUNTIF($H$6:$H4061,TRUE()))</f>
        <v/>
      </c>
      <c r="J4061" s="5" t="str">
        <f aca="false">IF($I4061="","","R"&amp;$I4061)</f>
        <v/>
      </c>
    </row>
    <row r="4062" customFormat="false" ht="15" hidden="false" customHeight="true" outlineLevel="0" collapsed="false">
      <c r="H4062" s="14" t="b">
        <f aca="false">IF(중복검사!$A4060="",FALSE(),중복검사!$J4060="유지")</f>
        <v>0</v>
      </c>
      <c r="I4062" s="5" t="str">
        <f aca="false">IF($H4062=FALSE(),"",COUNTIF($H$6:$H4062,TRUE()))</f>
        <v/>
      </c>
      <c r="J4062" s="5" t="str">
        <f aca="false">IF($I4062="","","R"&amp;$I4062)</f>
        <v/>
      </c>
    </row>
    <row r="4063" customFormat="false" ht="15" hidden="false" customHeight="true" outlineLevel="0" collapsed="false">
      <c r="H4063" s="14" t="b">
        <f aca="false">IF(중복검사!$A4061="",FALSE(),중복검사!$J4061="유지")</f>
        <v>0</v>
      </c>
      <c r="I4063" s="5" t="str">
        <f aca="false">IF($H4063=FALSE(),"",COUNTIF($H$6:$H4063,TRUE()))</f>
        <v/>
      </c>
      <c r="J4063" s="5" t="str">
        <f aca="false">IF($I4063="","","R"&amp;$I4063)</f>
        <v/>
      </c>
    </row>
    <row r="4064" customFormat="false" ht="15" hidden="false" customHeight="true" outlineLevel="0" collapsed="false">
      <c r="H4064" s="14" t="b">
        <f aca="false">IF(중복검사!$A4062="",FALSE(),중복검사!$J4062="유지")</f>
        <v>0</v>
      </c>
      <c r="I4064" s="5" t="str">
        <f aca="false">IF($H4064=FALSE(),"",COUNTIF($H$6:$H4064,TRUE()))</f>
        <v/>
      </c>
      <c r="J4064" s="5" t="str">
        <f aca="false">IF($I4064="","","R"&amp;$I4064)</f>
        <v/>
      </c>
    </row>
    <row r="4065" customFormat="false" ht="15" hidden="false" customHeight="true" outlineLevel="0" collapsed="false">
      <c r="H4065" s="14" t="b">
        <f aca="false">IF(중복검사!$A4063="",FALSE(),중복검사!$J4063="유지")</f>
        <v>0</v>
      </c>
      <c r="I4065" s="5" t="str">
        <f aca="false">IF($H4065=FALSE(),"",COUNTIF($H$6:$H4065,TRUE()))</f>
        <v/>
      </c>
      <c r="J4065" s="5" t="str">
        <f aca="false">IF($I4065="","","R"&amp;$I4065)</f>
        <v/>
      </c>
    </row>
    <row r="4066" customFormat="false" ht="15" hidden="false" customHeight="true" outlineLevel="0" collapsed="false">
      <c r="H4066" s="14" t="b">
        <f aca="false">IF(중복검사!$A4064="",FALSE(),중복검사!$J4064="유지")</f>
        <v>0</v>
      </c>
      <c r="I4066" s="5" t="str">
        <f aca="false">IF($H4066=FALSE(),"",COUNTIF($H$6:$H4066,TRUE()))</f>
        <v/>
      </c>
      <c r="J4066" s="5" t="str">
        <f aca="false">IF($I4066="","","R"&amp;$I4066)</f>
        <v/>
      </c>
    </row>
    <row r="4067" customFormat="false" ht="15" hidden="false" customHeight="true" outlineLevel="0" collapsed="false">
      <c r="H4067" s="14" t="b">
        <f aca="false">IF(중복검사!$A4065="",FALSE(),중복검사!$J4065="유지")</f>
        <v>0</v>
      </c>
      <c r="I4067" s="5" t="str">
        <f aca="false">IF($H4067=FALSE(),"",COUNTIF($H$6:$H4067,TRUE()))</f>
        <v/>
      </c>
      <c r="J4067" s="5" t="str">
        <f aca="false">IF($I4067="","","R"&amp;$I4067)</f>
        <v/>
      </c>
    </row>
    <row r="4068" customFormat="false" ht="15" hidden="false" customHeight="true" outlineLevel="0" collapsed="false">
      <c r="H4068" s="14" t="b">
        <f aca="false">IF(중복검사!$A4066="",FALSE(),중복검사!$J4066="유지")</f>
        <v>0</v>
      </c>
      <c r="I4068" s="5" t="str">
        <f aca="false">IF($H4068=FALSE(),"",COUNTIF($H$6:$H4068,TRUE()))</f>
        <v/>
      </c>
      <c r="J4068" s="5" t="str">
        <f aca="false">IF($I4068="","","R"&amp;$I4068)</f>
        <v/>
      </c>
    </row>
    <row r="4069" customFormat="false" ht="15" hidden="false" customHeight="true" outlineLevel="0" collapsed="false">
      <c r="H4069" s="14" t="b">
        <f aca="false">IF(중복검사!$A4067="",FALSE(),중복검사!$J4067="유지")</f>
        <v>0</v>
      </c>
      <c r="I4069" s="5" t="str">
        <f aca="false">IF($H4069=FALSE(),"",COUNTIF($H$6:$H4069,TRUE()))</f>
        <v/>
      </c>
      <c r="J4069" s="5" t="str">
        <f aca="false">IF($I4069="","","R"&amp;$I4069)</f>
        <v/>
      </c>
    </row>
    <row r="4070" customFormat="false" ht="15" hidden="false" customHeight="true" outlineLevel="0" collapsed="false">
      <c r="H4070" s="14" t="b">
        <f aca="false">IF(중복검사!$A4068="",FALSE(),중복검사!$J4068="유지")</f>
        <v>0</v>
      </c>
      <c r="I4070" s="5" t="str">
        <f aca="false">IF($H4070=FALSE(),"",COUNTIF($H$6:$H4070,TRUE()))</f>
        <v/>
      </c>
      <c r="J4070" s="5" t="str">
        <f aca="false">IF($I4070="","","R"&amp;$I4070)</f>
        <v/>
      </c>
    </row>
    <row r="4071" customFormat="false" ht="15" hidden="false" customHeight="true" outlineLevel="0" collapsed="false">
      <c r="H4071" s="14" t="b">
        <f aca="false">IF(중복검사!$A4069="",FALSE(),중복검사!$J4069="유지")</f>
        <v>0</v>
      </c>
      <c r="I4071" s="5" t="str">
        <f aca="false">IF($H4071=FALSE(),"",COUNTIF($H$6:$H4071,TRUE()))</f>
        <v/>
      </c>
      <c r="J4071" s="5" t="str">
        <f aca="false">IF($I4071="","","R"&amp;$I4071)</f>
        <v/>
      </c>
    </row>
    <row r="4072" customFormat="false" ht="15" hidden="false" customHeight="true" outlineLevel="0" collapsed="false">
      <c r="H4072" s="14" t="b">
        <f aca="false">IF(중복검사!$A4070="",FALSE(),중복검사!$J4070="유지")</f>
        <v>0</v>
      </c>
      <c r="I4072" s="5" t="str">
        <f aca="false">IF($H4072=FALSE(),"",COUNTIF($H$6:$H4072,TRUE()))</f>
        <v/>
      </c>
      <c r="J4072" s="5" t="str">
        <f aca="false">IF($I4072="","","R"&amp;$I4072)</f>
        <v/>
      </c>
    </row>
    <row r="4073" customFormat="false" ht="15" hidden="false" customHeight="true" outlineLevel="0" collapsed="false">
      <c r="H4073" s="14" t="b">
        <f aca="false">IF(중복검사!$A4071="",FALSE(),중복검사!$J4071="유지")</f>
        <v>0</v>
      </c>
      <c r="I4073" s="5" t="str">
        <f aca="false">IF($H4073=FALSE(),"",COUNTIF($H$6:$H4073,TRUE()))</f>
        <v/>
      </c>
      <c r="J4073" s="5" t="str">
        <f aca="false">IF($I4073="","","R"&amp;$I4073)</f>
        <v/>
      </c>
    </row>
    <row r="4074" customFormat="false" ht="15" hidden="false" customHeight="true" outlineLevel="0" collapsed="false">
      <c r="H4074" s="14" t="b">
        <f aca="false">IF(중복검사!$A4072="",FALSE(),중복검사!$J4072="유지")</f>
        <v>0</v>
      </c>
      <c r="I4074" s="5" t="str">
        <f aca="false">IF($H4074=FALSE(),"",COUNTIF($H$6:$H4074,TRUE()))</f>
        <v/>
      </c>
      <c r="J4074" s="5" t="str">
        <f aca="false">IF($I4074="","","R"&amp;$I4074)</f>
        <v/>
      </c>
    </row>
    <row r="4075" customFormat="false" ht="15" hidden="false" customHeight="true" outlineLevel="0" collapsed="false">
      <c r="H4075" s="14" t="b">
        <f aca="false">IF(중복검사!$A4073="",FALSE(),중복검사!$J4073="유지")</f>
        <v>0</v>
      </c>
      <c r="I4075" s="5" t="str">
        <f aca="false">IF($H4075=FALSE(),"",COUNTIF($H$6:$H4075,TRUE()))</f>
        <v/>
      </c>
      <c r="J4075" s="5" t="str">
        <f aca="false">IF($I4075="","","R"&amp;$I4075)</f>
        <v/>
      </c>
    </row>
    <row r="4076" customFormat="false" ht="15" hidden="false" customHeight="true" outlineLevel="0" collapsed="false">
      <c r="H4076" s="14" t="b">
        <f aca="false">IF(중복검사!$A4074="",FALSE(),중복검사!$J4074="유지")</f>
        <v>0</v>
      </c>
      <c r="I4076" s="5" t="str">
        <f aca="false">IF($H4076=FALSE(),"",COUNTIF($H$6:$H4076,TRUE()))</f>
        <v/>
      </c>
      <c r="J4076" s="5" t="str">
        <f aca="false">IF($I4076="","","R"&amp;$I4076)</f>
        <v/>
      </c>
    </row>
    <row r="4077" customFormat="false" ht="15" hidden="false" customHeight="true" outlineLevel="0" collapsed="false">
      <c r="H4077" s="14" t="b">
        <f aca="false">IF(중복검사!$A4075="",FALSE(),중복검사!$J4075="유지")</f>
        <v>0</v>
      </c>
      <c r="I4077" s="5" t="str">
        <f aca="false">IF($H4077=FALSE(),"",COUNTIF($H$6:$H4077,TRUE()))</f>
        <v/>
      </c>
      <c r="J4077" s="5" t="str">
        <f aca="false">IF($I4077="","","R"&amp;$I4077)</f>
        <v/>
      </c>
    </row>
    <row r="4078" customFormat="false" ht="15" hidden="false" customHeight="true" outlineLevel="0" collapsed="false">
      <c r="H4078" s="14" t="b">
        <f aca="false">IF(중복검사!$A4076="",FALSE(),중복검사!$J4076="유지")</f>
        <v>0</v>
      </c>
      <c r="I4078" s="5" t="str">
        <f aca="false">IF($H4078=FALSE(),"",COUNTIF($H$6:$H4078,TRUE()))</f>
        <v/>
      </c>
      <c r="J4078" s="5" t="str">
        <f aca="false">IF($I4078="","","R"&amp;$I4078)</f>
        <v/>
      </c>
    </row>
    <row r="4079" customFormat="false" ht="15" hidden="false" customHeight="true" outlineLevel="0" collapsed="false">
      <c r="H4079" s="14" t="b">
        <f aca="false">IF(중복검사!$A4077="",FALSE(),중복검사!$J4077="유지")</f>
        <v>0</v>
      </c>
      <c r="I4079" s="5" t="str">
        <f aca="false">IF($H4079=FALSE(),"",COUNTIF($H$6:$H4079,TRUE()))</f>
        <v/>
      </c>
      <c r="J4079" s="5" t="str">
        <f aca="false">IF($I4079="","","R"&amp;$I4079)</f>
        <v/>
      </c>
    </row>
    <row r="4080" customFormat="false" ht="15" hidden="false" customHeight="true" outlineLevel="0" collapsed="false">
      <c r="H4080" s="14" t="b">
        <f aca="false">IF(중복검사!$A4078="",FALSE(),중복검사!$J4078="유지")</f>
        <v>0</v>
      </c>
      <c r="I4080" s="5" t="str">
        <f aca="false">IF($H4080=FALSE(),"",COUNTIF($H$6:$H4080,TRUE()))</f>
        <v/>
      </c>
      <c r="J4080" s="5" t="str">
        <f aca="false">IF($I4080="","","R"&amp;$I4080)</f>
        <v/>
      </c>
    </row>
    <row r="4081" customFormat="false" ht="15" hidden="false" customHeight="true" outlineLevel="0" collapsed="false">
      <c r="H4081" s="14" t="b">
        <f aca="false">IF(중복검사!$A4079="",FALSE(),중복검사!$J4079="유지")</f>
        <v>0</v>
      </c>
      <c r="I4081" s="5" t="str">
        <f aca="false">IF($H4081=FALSE(),"",COUNTIF($H$6:$H4081,TRUE()))</f>
        <v/>
      </c>
      <c r="J4081" s="5" t="str">
        <f aca="false">IF($I4081="","","R"&amp;$I4081)</f>
        <v/>
      </c>
    </row>
    <row r="4082" customFormat="false" ht="15" hidden="false" customHeight="true" outlineLevel="0" collapsed="false">
      <c r="H4082" s="14" t="b">
        <f aca="false">IF(중복검사!$A4080="",FALSE(),중복검사!$J4080="유지")</f>
        <v>0</v>
      </c>
      <c r="I4082" s="5" t="str">
        <f aca="false">IF($H4082=FALSE(),"",COUNTIF($H$6:$H4082,TRUE()))</f>
        <v/>
      </c>
      <c r="J4082" s="5" t="str">
        <f aca="false">IF($I4082="","","R"&amp;$I4082)</f>
        <v/>
      </c>
    </row>
    <row r="4083" customFormat="false" ht="15" hidden="false" customHeight="true" outlineLevel="0" collapsed="false">
      <c r="H4083" s="14" t="b">
        <f aca="false">IF(중복검사!$A4081="",FALSE(),중복검사!$J4081="유지")</f>
        <v>0</v>
      </c>
      <c r="I4083" s="5" t="str">
        <f aca="false">IF($H4083=FALSE(),"",COUNTIF($H$6:$H4083,TRUE()))</f>
        <v/>
      </c>
      <c r="J4083" s="5" t="str">
        <f aca="false">IF($I4083="","","R"&amp;$I4083)</f>
        <v/>
      </c>
    </row>
    <row r="4084" customFormat="false" ht="15" hidden="false" customHeight="true" outlineLevel="0" collapsed="false">
      <c r="H4084" s="14" t="b">
        <f aca="false">IF(중복검사!$A4082="",FALSE(),중복검사!$J4082="유지")</f>
        <v>0</v>
      </c>
      <c r="I4084" s="5" t="str">
        <f aca="false">IF($H4084=FALSE(),"",COUNTIF($H$6:$H4084,TRUE()))</f>
        <v/>
      </c>
      <c r="J4084" s="5" t="str">
        <f aca="false">IF($I4084="","","R"&amp;$I4084)</f>
        <v/>
      </c>
    </row>
    <row r="4085" customFormat="false" ht="15" hidden="false" customHeight="true" outlineLevel="0" collapsed="false">
      <c r="H4085" s="14" t="b">
        <f aca="false">IF(중복검사!$A4083="",FALSE(),중복검사!$J4083="유지")</f>
        <v>0</v>
      </c>
      <c r="I4085" s="5" t="str">
        <f aca="false">IF($H4085=FALSE(),"",COUNTIF($H$6:$H4085,TRUE()))</f>
        <v/>
      </c>
      <c r="J4085" s="5" t="str">
        <f aca="false">IF($I4085="","","R"&amp;$I4085)</f>
        <v/>
      </c>
    </row>
    <row r="4086" customFormat="false" ht="15" hidden="false" customHeight="true" outlineLevel="0" collapsed="false">
      <c r="H4086" s="14" t="b">
        <f aca="false">IF(중복검사!$A4084="",FALSE(),중복검사!$J4084="유지")</f>
        <v>0</v>
      </c>
      <c r="I4086" s="5" t="str">
        <f aca="false">IF($H4086=FALSE(),"",COUNTIF($H$6:$H4086,TRUE()))</f>
        <v/>
      </c>
      <c r="J4086" s="5" t="str">
        <f aca="false">IF($I4086="","","R"&amp;$I4086)</f>
        <v/>
      </c>
    </row>
    <row r="4087" customFormat="false" ht="15" hidden="false" customHeight="true" outlineLevel="0" collapsed="false">
      <c r="H4087" s="14" t="b">
        <f aca="false">IF(중복검사!$A4085="",FALSE(),중복검사!$J4085="유지")</f>
        <v>0</v>
      </c>
      <c r="I4087" s="5" t="str">
        <f aca="false">IF($H4087=FALSE(),"",COUNTIF($H$6:$H4087,TRUE()))</f>
        <v/>
      </c>
      <c r="J4087" s="5" t="str">
        <f aca="false">IF($I4087="","","R"&amp;$I4087)</f>
        <v/>
      </c>
    </row>
    <row r="4088" customFormat="false" ht="15" hidden="false" customHeight="true" outlineLevel="0" collapsed="false">
      <c r="H4088" s="14" t="b">
        <f aca="false">IF(중복검사!$A4086="",FALSE(),중복검사!$J4086="유지")</f>
        <v>0</v>
      </c>
      <c r="I4088" s="5" t="str">
        <f aca="false">IF($H4088=FALSE(),"",COUNTIF($H$6:$H4088,TRUE()))</f>
        <v/>
      </c>
      <c r="J4088" s="5" t="str">
        <f aca="false">IF($I4088="","","R"&amp;$I4088)</f>
        <v/>
      </c>
    </row>
    <row r="4089" customFormat="false" ht="15" hidden="false" customHeight="true" outlineLevel="0" collapsed="false">
      <c r="H4089" s="14" t="b">
        <f aca="false">IF(중복검사!$A4087="",FALSE(),중복검사!$J4087="유지")</f>
        <v>0</v>
      </c>
      <c r="I4089" s="5" t="str">
        <f aca="false">IF($H4089=FALSE(),"",COUNTIF($H$6:$H4089,TRUE()))</f>
        <v/>
      </c>
      <c r="J4089" s="5" t="str">
        <f aca="false">IF($I4089="","","R"&amp;$I4089)</f>
        <v/>
      </c>
    </row>
    <row r="4090" customFormat="false" ht="15" hidden="false" customHeight="true" outlineLevel="0" collapsed="false">
      <c r="H4090" s="14" t="b">
        <f aca="false">IF(중복검사!$A4088="",FALSE(),중복검사!$J4088="유지")</f>
        <v>0</v>
      </c>
      <c r="I4090" s="5" t="str">
        <f aca="false">IF($H4090=FALSE(),"",COUNTIF($H$6:$H4090,TRUE()))</f>
        <v/>
      </c>
      <c r="J4090" s="5" t="str">
        <f aca="false">IF($I4090="","","R"&amp;$I4090)</f>
        <v/>
      </c>
    </row>
    <row r="4091" customFormat="false" ht="15" hidden="false" customHeight="true" outlineLevel="0" collapsed="false">
      <c r="H4091" s="14" t="b">
        <f aca="false">IF(중복검사!$A4089="",FALSE(),중복검사!$J4089="유지")</f>
        <v>0</v>
      </c>
      <c r="I4091" s="5" t="str">
        <f aca="false">IF($H4091=FALSE(),"",COUNTIF($H$6:$H4091,TRUE()))</f>
        <v/>
      </c>
      <c r="J4091" s="5" t="str">
        <f aca="false">IF($I4091="","","R"&amp;$I4091)</f>
        <v/>
      </c>
    </row>
    <row r="4092" customFormat="false" ht="15" hidden="false" customHeight="true" outlineLevel="0" collapsed="false">
      <c r="H4092" s="14" t="b">
        <f aca="false">IF(중복검사!$A4090="",FALSE(),중복검사!$J4090="유지")</f>
        <v>0</v>
      </c>
      <c r="I4092" s="5" t="str">
        <f aca="false">IF($H4092=FALSE(),"",COUNTIF($H$6:$H4092,TRUE()))</f>
        <v/>
      </c>
      <c r="J4092" s="5" t="str">
        <f aca="false">IF($I4092="","","R"&amp;$I4092)</f>
        <v/>
      </c>
    </row>
    <row r="4093" customFormat="false" ht="15" hidden="false" customHeight="true" outlineLevel="0" collapsed="false">
      <c r="H4093" s="14" t="b">
        <f aca="false">IF(중복검사!$A4091="",FALSE(),중복검사!$J4091="유지")</f>
        <v>0</v>
      </c>
      <c r="I4093" s="5" t="str">
        <f aca="false">IF($H4093=FALSE(),"",COUNTIF($H$6:$H4093,TRUE()))</f>
        <v/>
      </c>
      <c r="J4093" s="5" t="str">
        <f aca="false">IF($I4093="","","R"&amp;$I4093)</f>
        <v/>
      </c>
    </row>
    <row r="4094" customFormat="false" ht="15" hidden="false" customHeight="true" outlineLevel="0" collapsed="false">
      <c r="H4094" s="14" t="b">
        <f aca="false">IF(중복검사!$A4092="",FALSE(),중복검사!$J4092="유지")</f>
        <v>0</v>
      </c>
      <c r="I4094" s="5" t="str">
        <f aca="false">IF($H4094=FALSE(),"",COUNTIF($H$6:$H4094,TRUE()))</f>
        <v/>
      </c>
      <c r="J4094" s="5" t="str">
        <f aca="false">IF($I4094="","","R"&amp;$I4094)</f>
        <v/>
      </c>
    </row>
    <row r="4095" customFormat="false" ht="15" hidden="false" customHeight="true" outlineLevel="0" collapsed="false">
      <c r="H4095" s="14" t="b">
        <f aca="false">IF(중복검사!$A4093="",FALSE(),중복검사!$J4093="유지")</f>
        <v>0</v>
      </c>
      <c r="I4095" s="5" t="str">
        <f aca="false">IF($H4095=FALSE(),"",COUNTIF($H$6:$H4095,TRUE()))</f>
        <v/>
      </c>
      <c r="J4095" s="5" t="str">
        <f aca="false">IF($I4095="","","R"&amp;$I4095)</f>
        <v/>
      </c>
    </row>
    <row r="4096" customFormat="false" ht="15" hidden="false" customHeight="true" outlineLevel="0" collapsed="false">
      <c r="H4096" s="14" t="b">
        <f aca="false">IF(중복검사!$A4094="",FALSE(),중복검사!$J4094="유지")</f>
        <v>0</v>
      </c>
      <c r="I4096" s="5" t="str">
        <f aca="false">IF($H4096=FALSE(),"",COUNTIF($H$6:$H4096,TRUE()))</f>
        <v/>
      </c>
      <c r="J4096" s="5" t="str">
        <f aca="false">IF($I4096="","","R"&amp;$I4096)</f>
        <v/>
      </c>
    </row>
    <row r="4097" customFormat="false" ht="15" hidden="false" customHeight="true" outlineLevel="0" collapsed="false">
      <c r="H4097" s="14" t="b">
        <f aca="false">IF(중복검사!$A4095="",FALSE(),중복검사!$J4095="유지")</f>
        <v>0</v>
      </c>
      <c r="I4097" s="5" t="str">
        <f aca="false">IF($H4097=FALSE(),"",COUNTIF($H$6:$H4097,TRUE()))</f>
        <v/>
      </c>
      <c r="J4097" s="5" t="str">
        <f aca="false">IF($I4097="","","R"&amp;$I4097)</f>
        <v/>
      </c>
    </row>
    <row r="4098" customFormat="false" ht="15" hidden="false" customHeight="true" outlineLevel="0" collapsed="false">
      <c r="H4098" s="14" t="b">
        <f aca="false">IF(중복검사!$A4096="",FALSE(),중복검사!$J4096="유지")</f>
        <v>0</v>
      </c>
      <c r="I4098" s="5" t="str">
        <f aca="false">IF($H4098=FALSE(),"",COUNTIF($H$6:$H4098,TRUE()))</f>
        <v/>
      </c>
      <c r="J4098" s="5" t="str">
        <f aca="false">IF($I4098="","","R"&amp;$I4098)</f>
        <v/>
      </c>
    </row>
    <row r="4099" customFormat="false" ht="15" hidden="false" customHeight="true" outlineLevel="0" collapsed="false">
      <c r="H4099" s="14" t="b">
        <f aca="false">IF(중복검사!$A4097="",FALSE(),중복검사!$J4097="유지")</f>
        <v>0</v>
      </c>
      <c r="I4099" s="5" t="str">
        <f aca="false">IF($H4099=FALSE(),"",COUNTIF($H$6:$H4099,TRUE()))</f>
        <v/>
      </c>
      <c r="J4099" s="5" t="str">
        <f aca="false">IF($I4099="","","R"&amp;$I4099)</f>
        <v/>
      </c>
    </row>
    <row r="4100" customFormat="false" ht="15" hidden="false" customHeight="true" outlineLevel="0" collapsed="false">
      <c r="H4100" s="14" t="b">
        <f aca="false">IF(중복검사!$A4098="",FALSE(),중복검사!$J4098="유지")</f>
        <v>0</v>
      </c>
      <c r="I4100" s="5" t="str">
        <f aca="false">IF($H4100=FALSE(),"",COUNTIF($H$6:$H4100,TRUE()))</f>
        <v/>
      </c>
      <c r="J4100" s="5" t="str">
        <f aca="false">IF($I4100="","","R"&amp;$I4100)</f>
        <v/>
      </c>
    </row>
    <row r="4101" customFormat="false" ht="15" hidden="false" customHeight="true" outlineLevel="0" collapsed="false">
      <c r="H4101" s="14" t="b">
        <f aca="false">IF(중복검사!$A4099="",FALSE(),중복검사!$J4099="유지")</f>
        <v>0</v>
      </c>
      <c r="I4101" s="5" t="str">
        <f aca="false">IF($H4101=FALSE(),"",COUNTIF($H$6:$H4101,TRUE()))</f>
        <v/>
      </c>
      <c r="J4101" s="5" t="str">
        <f aca="false">IF($I4101="","","R"&amp;$I4101)</f>
        <v/>
      </c>
    </row>
    <row r="4102" customFormat="false" ht="15" hidden="false" customHeight="true" outlineLevel="0" collapsed="false">
      <c r="H4102" s="14" t="b">
        <f aca="false">IF(중복검사!$A4100="",FALSE(),중복검사!$J4100="유지")</f>
        <v>0</v>
      </c>
      <c r="I4102" s="5" t="str">
        <f aca="false">IF($H4102=FALSE(),"",COUNTIF($H$6:$H4102,TRUE()))</f>
        <v/>
      </c>
      <c r="J4102" s="5" t="str">
        <f aca="false">IF($I4102="","","R"&amp;$I4102)</f>
        <v/>
      </c>
    </row>
    <row r="4103" customFormat="false" ht="15" hidden="false" customHeight="true" outlineLevel="0" collapsed="false">
      <c r="H4103" s="14" t="b">
        <f aca="false">IF(중복검사!$A4101="",FALSE(),중복검사!$J4101="유지")</f>
        <v>0</v>
      </c>
      <c r="I4103" s="5" t="str">
        <f aca="false">IF($H4103=FALSE(),"",COUNTIF($H$6:$H4103,TRUE()))</f>
        <v/>
      </c>
      <c r="J4103" s="5" t="str">
        <f aca="false">IF($I4103="","","R"&amp;$I4103)</f>
        <v/>
      </c>
    </row>
    <row r="4104" customFormat="false" ht="15" hidden="false" customHeight="true" outlineLevel="0" collapsed="false">
      <c r="H4104" s="14" t="b">
        <f aca="false">IF(중복검사!$A4102="",FALSE(),중복검사!$J4102="유지")</f>
        <v>0</v>
      </c>
      <c r="I4104" s="5" t="str">
        <f aca="false">IF($H4104=FALSE(),"",COUNTIF($H$6:$H4104,TRUE()))</f>
        <v/>
      </c>
      <c r="J4104" s="5" t="str">
        <f aca="false">IF($I4104="","","R"&amp;$I4104)</f>
        <v/>
      </c>
    </row>
    <row r="4105" customFormat="false" ht="15" hidden="false" customHeight="true" outlineLevel="0" collapsed="false">
      <c r="H4105" s="14" t="b">
        <f aca="false">IF(중복검사!$A4103="",FALSE(),중복검사!$J4103="유지")</f>
        <v>0</v>
      </c>
      <c r="I4105" s="5" t="str">
        <f aca="false">IF($H4105=FALSE(),"",COUNTIF($H$6:$H4105,TRUE()))</f>
        <v/>
      </c>
      <c r="J4105" s="5" t="str">
        <f aca="false">IF($I4105="","","R"&amp;$I4105)</f>
        <v/>
      </c>
    </row>
    <row r="4106" customFormat="false" ht="15" hidden="false" customHeight="true" outlineLevel="0" collapsed="false">
      <c r="H4106" s="14" t="b">
        <f aca="false">IF(중복검사!$A4104="",FALSE(),중복검사!$J4104="유지")</f>
        <v>0</v>
      </c>
      <c r="I4106" s="5" t="str">
        <f aca="false">IF($H4106=FALSE(),"",COUNTIF($H$6:$H4106,TRUE()))</f>
        <v/>
      </c>
      <c r="J4106" s="5" t="str">
        <f aca="false">IF($I4106="","","R"&amp;$I4106)</f>
        <v/>
      </c>
    </row>
    <row r="4107" customFormat="false" ht="15" hidden="false" customHeight="true" outlineLevel="0" collapsed="false">
      <c r="H4107" s="14" t="b">
        <f aca="false">IF(중복검사!$A4105="",FALSE(),중복검사!$J4105="유지")</f>
        <v>0</v>
      </c>
      <c r="I4107" s="5" t="str">
        <f aca="false">IF($H4107=FALSE(),"",COUNTIF($H$6:$H4107,TRUE()))</f>
        <v/>
      </c>
      <c r="J4107" s="5" t="str">
        <f aca="false">IF($I4107="","","R"&amp;$I4107)</f>
        <v/>
      </c>
    </row>
    <row r="4108" customFormat="false" ht="15" hidden="false" customHeight="true" outlineLevel="0" collapsed="false">
      <c r="H4108" s="14" t="b">
        <f aca="false">IF(중복검사!$A4106="",FALSE(),중복검사!$J4106="유지")</f>
        <v>0</v>
      </c>
      <c r="I4108" s="5" t="str">
        <f aca="false">IF($H4108=FALSE(),"",COUNTIF($H$6:$H4108,TRUE()))</f>
        <v/>
      </c>
      <c r="J4108" s="5" t="str">
        <f aca="false">IF($I4108="","","R"&amp;$I4108)</f>
        <v/>
      </c>
    </row>
    <row r="4109" customFormat="false" ht="15" hidden="false" customHeight="true" outlineLevel="0" collapsed="false">
      <c r="H4109" s="14" t="b">
        <f aca="false">IF(중복검사!$A4107="",FALSE(),중복검사!$J4107="유지")</f>
        <v>0</v>
      </c>
      <c r="I4109" s="5" t="str">
        <f aca="false">IF($H4109=FALSE(),"",COUNTIF($H$6:$H4109,TRUE()))</f>
        <v/>
      </c>
      <c r="J4109" s="5" t="str">
        <f aca="false">IF($I4109="","","R"&amp;$I4109)</f>
        <v/>
      </c>
    </row>
    <row r="4110" customFormat="false" ht="15" hidden="false" customHeight="true" outlineLevel="0" collapsed="false">
      <c r="H4110" s="14" t="b">
        <f aca="false">IF(중복검사!$A4108="",FALSE(),중복검사!$J4108="유지")</f>
        <v>0</v>
      </c>
      <c r="I4110" s="5" t="str">
        <f aca="false">IF($H4110=FALSE(),"",COUNTIF($H$6:$H4110,TRUE()))</f>
        <v/>
      </c>
      <c r="J4110" s="5" t="str">
        <f aca="false">IF($I4110="","","R"&amp;$I4110)</f>
        <v/>
      </c>
    </row>
    <row r="4111" customFormat="false" ht="15" hidden="false" customHeight="true" outlineLevel="0" collapsed="false">
      <c r="H4111" s="14" t="b">
        <f aca="false">IF(중복검사!$A4109="",FALSE(),중복검사!$J4109="유지")</f>
        <v>0</v>
      </c>
      <c r="I4111" s="5" t="str">
        <f aca="false">IF($H4111=FALSE(),"",COUNTIF($H$6:$H4111,TRUE()))</f>
        <v/>
      </c>
      <c r="J4111" s="5" t="str">
        <f aca="false">IF($I4111="","","R"&amp;$I4111)</f>
        <v/>
      </c>
    </row>
    <row r="4112" customFormat="false" ht="15" hidden="false" customHeight="true" outlineLevel="0" collapsed="false">
      <c r="H4112" s="14" t="b">
        <f aca="false">IF(중복검사!$A4110="",FALSE(),중복검사!$J4110="유지")</f>
        <v>0</v>
      </c>
      <c r="I4112" s="5" t="str">
        <f aca="false">IF($H4112=FALSE(),"",COUNTIF($H$6:$H4112,TRUE()))</f>
        <v/>
      </c>
      <c r="J4112" s="5" t="str">
        <f aca="false">IF($I4112="","","R"&amp;$I4112)</f>
        <v/>
      </c>
    </row>
    <row r="4113" customFormat="false" ht="15" hidden="false" customHeight="true" outlineLevel="0" collapsed="false">
      <c r="H4113" s="14" t="b">
        <f aca="false">IF(중복검사!$A4111="",FALSE(),중복검사!$J4111="유지")</f>
        <v>0</v>
      </c>
      <c r="I4113" s="5" t="str">
        <f aca="false">IF($H4113=FALSE(),"",COUNTIF($H$6:$H4113,TRUE()))</f>
        <v/>
      </c>
      <c r="J4113" s="5" t="str">
        <f aca="false">IF($I4113="","","R"&amp;$I4113)</f>
        <v/>
      </c>
    </row>
    <row r="4114" customFormat="false" ht="15" hidden="false" customHeight="true" outlineLevel="0" collapsed="false">
      <c r="H4114" s="14" t="b">
        <f aca="false">IF(중복검사!$A4112="",FALSE(),중복검사!$J4112="유지")</f>
        <v>0</v>
      </c>
      <c r="I4114" s="5" t="str">
        <f aca="false">IF($H4114=FALSE(),"",COUNTIF($H$6:$H4114,TRUE()))</f>
        <v/>
      </c>
      <c r="J4114" s="5" t="str">
        <f aca="false">IF($I4114="","","R"&amp;$I4114)</f>
        <v/>
      </c>
    </row>
    <row r="4115" customFormat="false" ht="15" hidden="false" customHeight="true" outlineLevel="0" collapsed="false">
      <c r="H4115" s="14" t="b">
        <f aca="false">IF(중복검사!$A4113="",FALSE(),중복검사!$J4113="유지")</f>
        <v>0</v>
      </c>
      <c r="I4115" s="5" t="str">
        <f aca="false">IF($H4115=FALSE(),"",COUNTIF($H$6:$H4115,TRUE()))</f>
        <v/>
      </c>
      <c r="J4115" s="5" t="str">
        <f aca="false">IF($I4115="","","R"&amp;$I4115)</f>
        <v/>
      </c>
    </row>
    <row r="4116" customFormat="false" ht="15" hidden="false" customHeight="true" outlineLevel="0" collapsed="false">
      <c r="H4116" s="14" t="b">
        <f aca="false">IF(중복검사!$A4114="",FALSE(),중복검사!$J4114="유지")</f>
        <v>0</v>
      </c>
      <c r="I4116" s="5" t="str">
        <f aca="false">IF($H4116=FALSE(),"",COUNTIF($H$6:$H4116,TRUE()))</f>
        <v/>
      </c>
      <c r="J4116" s="5" t="str">
        <f aca="false">IF($I4116="","","R"&amp;$I4116)</f>
        <v/>
      </c>
    </row>
    <row r="4117" customFormat="false" ht="15" hidden="false" customHeight="true" outlineLevel="0" collapsed="false">
      <c r="H4117" s="14" t="b">
        <f aca="false">IF(중복검사!$A4115="",FALSE(),중복검사!$J4115="유지")</f>
        <v>0</v>
      </c>
      <c r="I4117" s="5" t="str">
        <f aca="false">IF($H4117=FALSE(),"",COUNTIF($H$6:$H4117,TRUE()))</f>
        <v/>
      </c>
      <c r="J4117" s="5" t="str">
        <f aca="false">IF($I4117="","","R"&amp;$I4117)</f>
        <v/>
      </c>
    </row>
    <row r="4118" customFormat="false" ht="15" hidden="false" customHeight="true" outlineLevel="0" collapsed="false">
      <c r="H4118" s="14" t="b">
        <f aca="false">IF(중복검사!$A4116="",FALSE(),중복검사!$J4116="유지")</f>
        <v>0</v>
      </c>
      <c r="I4118" s="5" t="str">
        <f aca="false">IF($H4118=FALSE(),"",COUNTIF($H$6:$H4118,TRUE()))</f>
        <v/>
      </c>
      <c r="J4118" s="5" t="str">
        <f aca="false">IF($I4118="","","R"&amp;$I4118)</f>
        <v/>
      </c>
    </row>
    <row r="4119" customFormat="false" ht="15" hidden="false" customHeight="true" outlineLevel="0" collapsed="false">
      <c r="H4119" s="14" t="b">
        <f aca="false">IF(중복검사!$A4117="",FALSE(),중복검사!$J4117="유지")</f>
        <v>0</v>
      </c>
      <c r="I4119" s="5" t="str">
        <f aca="false">IF($H4119=FALSE(),"",COUNTIF($H$6:$H4119,TRUE()))</f>
        <v/>
      </c>
      <c r="J4119" s="5" t="str">
        <f aca="false">IF($I4119="","","R"&amp;$I4119)</f>
        <v/>
      </c>
    </row>
    <row r="4120" customFormat="false" ht="15" hidden="false" customHeight="true" outlineLevel="0" collapsed="false">
      <c r="H4120" s="14" t="b">
        <f aca="false">IF(중복검사!$A4118="",FALSE(),중복검사!$J4118="유지")</f>
        <v>0</v>
      </c>
      <c r="I4120" s="5" t="str">
        <f aca="false">IF($H4120=FALSE(),"",COUNTIF($H$6:$H4120,TRUE()))</f>
        <v/>
      </c>
      <c r="J4120" s="5" t="str">
        <f aca="false">IF($I4120="","","R"&amp;$I4120)</f>
        <v/>
      </c>
    </row>
    <row r="4121" customFormat="false" ht="15" hidden="false" customHeight="true" outlineLevel="0" collapsed="false">
      <c r="H4121" s="14" t="b">
        <f aca="false">IF(중복검사!$A4119="",FALSE(),중복검사!$J4119="유지")</f>
        <v>0</v>
      </c>
      <c r="I4121" s="5" t="str">
        <f aca="false">IF($H4121=FALSE(),"",COUNTIF($H$6:$H4121,TRUE()))</f>
        <v/>
      </c>
      <c r="J4121" s="5" t="str">
        <f aca="false">IF($I4121="","","R"&amp;$I4121)</f>
        <v/>
      </c>
    </row>
    <row r="4122" customFormat="false" ht="15" hidden="false" customHeight="true" outlineLevel="0" collapsed="false">
      <c r="H4122" s="14" t="b">
        <f aca="false">IF(중복검사!$A4120="",FALSE(),중복검사!$J4120="유지")</f>
        <v>0</v>
      </c>
      <c r="I4122" s="5" t="str">
        <f aca="false">IF($H4122=FALSE(),"",COUNTIF($H$6:$H4122,TRUE()))</f>
        <v/>
      </c>
      <c r="J4122" s="5" t="str">
        <f aca="false">IF($I4122="","","R"&amp;$I4122)</f>
        <v/>
      </c>
    </row>
    <row r="4123" customFormat="false" ht="15" hidden="false" customHeight="true" outlineLevel="0" collapsed="false">
      <c r="H4123" s="14" t="b">
        <f aca="false">IF(중복검사!$A4121="",FALSE(),중복검사!$J4121="유지")</f>
        <v>0</v>
      </c>
      <c r="I4123" s="5" t="str">
        <f aca="false">IF($H4123=FALSE(),"",COUNTIF($H$6:$H4123,TRUE()))</f>
        <v/>
      </c>
      <c r="J4123" s="5" t="str">
        <f aca="false">IF($I4123="","","R"&amp;$I4123)</f>
        <v/>
      </c>
    </row>
    <row r="4124" customFormat="false" ht="15" hidden="false" customHeight="true" outlineLevel="0" collapsed="false">
      <c r="H4124" s="14" t="b">
        <f aca="false">IF(중복검사!$A4122="",FALSE(),중복검사!$J4122="유지")</f>
        <v>0</v>
      </c>
      <c r="I4124" s="5" t="str">
        <f aca="false">IF($H4124=FALSE(),"",COUNTIF($H$6:$H4124,TRUE()))</f>
        <v/>
      </c>
      <c r="J4124" s="5" t="str">
        <f aca="false">IF($I4124="","","R"&amp;$I4124)</f>
        <v/>
      </c>
    </row>
    <row r="4125" customFormat="false" ht="15" hidden="false" customHeight="true" outlineLevel="0" collapsed="false">
      <c r="H4125" s="14" t="b">
        <f aca="false">IF(중복검사!$A4123="",FALSE(),중복검사!$J4123="유지")</f>
        <v>0</v>
      </c>
      <c r="I4125" s="5" t="str">
        <f aca="false">IF($H4125=FALSE(),"",COUNTIF($H$6:$H4125,TRUE()))</f>
        <v/>
      </c>
      <c r="J4125" s="5" t="str">
        <f aca="false">IF($I4125="","","R"&amp;$I4125)</f>
        <v/>
      </c>
    </row>
    <row r="4126" customFormat="false" ht="15" hidden="false" customHeight="true" outlineLevel="0" collapsed="false">
      <c r="H4126" s="14" t="b">
        <f aca="false">IF(중복검사!$A4124="",FALSE(),중복검사!$J4124="유지")</f>
        <v>0</v>
      </c>
      <c r="I4126" s="5" t="str">
        <f aca="false">IF($H4126=FALSE(),"",COUNTIF($H$6:$H4126,TRUE()))</f>
        <v/>
      </c>
      <c r="J4126" s="5" t="str">
        <f aca="false">IF($I4126="","","R"&amp;$I4126)</f>
        <v/>
      </c>
    </row>
    <row r="4127" customFormat="false" ht="15" hidden="false" customHeight="true" outlineLevel="0" collapsed="false">
      <c r="H4127" s="14" t="b">
        <f aca="false">IF(중복검사!$A4125="",FALSE(),중복검사!$J4125="유지")</f>
        <v>0</v>
      </c>
      <c r="I4127" s="5" t="str">
        <f aca="false">IF($H4127=FALSE(),"",COUNTIF($H$6:$H4127,TRUE()))</f>
        <v/>
      </c>
      <c r="J4127" s="5" t="str">
        <f aca="false">IF($I4127="","","R"&amp;$I4127)</f>
        <v/>
      </c>
    </row>
    <row r="4128" customFormat="false" ht="15" hidden="false" customHeight="true" outlineLevel="0" collapsed="false">
      <c r="H4128" s="14" t="b">
        <f aca="false">IF(중복검사!$A4126="",FALSE(),중복검사!$J4126="유지")</f>
        <v>0</v>
      </c>
      <c r="I4128" s="5" t="str">
        <f aca="false">IF($H4128=FALSE(),"",COUNTIF($H$6:$H4128,TRUE()))</f>
        <v/>
      </c>
      <c r="J4128" s="5" t="str">
        <f aca="false">IF($I4128="","","R"&amp;$I4128)</f>
        <v/>
      </c>
    </row>
    <row r="4129" customFormat="false" ht="15" hidden="false" customHeight="true" outlineLevel="0" collapsed="false">
      <c r="H4129" s="14" t="b">
        <f aca="false">IF(중복검사!$A4127="",FALSE(),중복검사!$J4127="유지")</f>
        <v>0</v>
      </c>
      <c r="I4129" s="5" t="str">
        <f aca="false">IF($H4129=FALSE(),"",COUNTIF($H$6:$H4129,TRUE()))</f>
        <v/>
      </c>
      <c r="J4129" s="5" t="str">
        <f aca="false">IF($I4129="","","R"&amp;$I4129)</f>
        <v/>
      </c>
    </row>
    <row r="4130" customFormat="false" ht="15" hidden="false" customHeight="true" outlineLevel="0" collapsed="false">
      <c r="H4130" s="14" t="b">
        <f aca="false">IF(중복검사!$A4128="",FALSE(),중복검사!$J4128="유지")</f>
        <v>0</v>
      </c>
      <c r="I4130" s="5" t="str">
        <f aca="false">IF($H4130=FALSE(),"",COUNTIF($H$6:$H4130,TRUE()))</f>
        <v/>
      </c>
      <c r="J4130" s="5" t="str">
        <f aca="false">IF($I4130="","","R"&amp;$I4130)</f>
        <v/>
      </c>
    </row>
    <row r="4131" customFormat="false" ht="15" hidden="false" customHeight="true" outlineLevel="0" collapsed="false">
      <c r="H4131" s="14" t="b">
        <f aca="false">IF(중복검사!$A4129="",FALSE(),중복검사!$J4129="유지")</f>
        <v>0</v>
      </c>
      <c r="I4131" s="5" t="str">
        <f aca="false">IF($H4131=FALSE(),"",COUNTIF($H$6:$H4131,TRUE()))</f>
        <v/>
      </c>
      <c r="J4131" s="5" t="str">
        <f aca="false">IF($I4131="","","R"&amp;$I4131)</f>
        <v/>
      </c>
    </row>
    <row r="4132" customFormat="false" ht="15" hidden="false" customHeight="true" outlineLevel="0" collapsed="false">
      <c r="H4132" s="14" t="b">
        <f aca="false">IF(중복검사!$A4130="",FALSE(),중복검사!$J4130="유지")</f>
        <v>0</v>
      </c>
      <c r="I4132" s="5" t="str">
        <f aca="false">IF($H4132=FALSE(),"",COUNTIF($H$6:$H4132,TRUE()))</f>
        <v/>
      </c>
      <c r="J4132" s="5" t="str">
        <f aca="false">IF($I4132="","","R"&amp;$I4132)</f>
        <v/>
      </c>
    </row>
    <row r="4133" customFormat="false" ht="15" hidden="false" customHeight="true" outlineLevel="0" collapsed="false">
      <c r="H4133" s="14" t="b">
        <f aca="false">IF(중복검사!$A4131="",FALSE(),중복검사!$J4131="유지")</f>
        <v>0</v>
      </c>
      <c r="I4133" s="5" t="str">
        <f aca="false">IF($H4133=FALSE(),"",COUNTIF($H$6:$H4133,TRUE()))</f>
        <v/>
      </c>
      <c r="J4133" s="5" t="str">
        <f aca="false">IF($I4133="","","R"&amp;$I4133)</f>
        <v/>
      </c>
    </row>
    <row r="4134" customFormat="false" ht="15" hidden="false" customHeight="true" outlineLevel="0" collapsed="false">
      <c r="H4134" s="14" t="b">
        <f aca="false">IF(중복검사!$A4132="",FALSE(),중복검사!$J4132="유지")</f>
        <v>0</v>
      </c>
      <c r="I4134" s="5" t="str">
        <f aca="false">IF($H4134=FALSE(),"",COUNTIF($H$6:$H4134,TRUE()))</f>
        <v/>
      </c>
      <c r="J4134" s="5" t="str">
        <f aca="false">IF($I4134="","","R"&amp;$I4134)</f>
        <v/>
      </c>
    </row>
    <row r="4135" customFormat="false" ht="15" hidden="false" customHeight="true" outlineLevel="0" collapsed="false">
      <c r="H4135" s="14" t="b">
        <f aca="false">IF(중복검사!$A4133="",FALSE(),중복검사!$J4133="유지")</f>
        <v>0</v>
      </c>
      <c r="I4135" s="5" t="str">
        <f aca="false">IF($H4135=FALSE(),"",COUNTIF($H$6:$H4135,TRUE()))</f>
        <v/>
      </c>
      <c r="J4135" s="5" t="str">
        <f aca="false">IF($I4135="","","R"&amp;$I4135)</f>
        <v/>
      </c>
    </row>
    <row r="4136" customFormat="false" ht="15" hidden="false" customHeight="true" outlineLevel="0" collapsed="false">
      <c r="H4136" s="14" t="b">
        <f aca="false">IF(중복검사!$A4134="",FALSE(),중복검사!$J4134="유지")</f>
        <v>0</v>
      </c>
      <c r="I4136" s="5" t="str">
        <f aca="false">IF($H4136=FALSE(),"",COUNTIF($H$6:$H4136,TRUE()))</f>
        <v/>
      </c>
      <c r="J4136" s="5" t="str">
        <f aca="false">IF($I4136="","","R"&amp;$I4136)</f>
        <v/>
      </c>
    </row>
    <row r="4137" customFormat="false" ht="15" hidden="false" customHeight="true" outlineLevel="0" collapsed="false">
      <c r="H4137" s="14" t="b">
        <f aca="false">IF(중복검사!$A4135="",FALSE(),중복검사!$J4135="유지")</f>
        <v>0</v>
      </c>
      <c r="I4137" s="5" t="str">
        <f aca="false">IF($H4137=FALSE(),"",COUNTIF($H$6:$H4137,TRUE()))</f>
        <v/>
      </c>
      <c r="J4137" s="5" t="str">
        <f aca="false">IF($I4137="","","R"&amp;$I4137)</f>
        <v/>
      </c>
    </row>
    <row r="4138" customFormat="false" ht="15" hidden="false" customHeight="true" outlineLevel="0" collapsed="false">
      <c r="H4138" s="14" t="b">
        <f aca="false">IF(중복검사!$A4136="",FALSE(),중복검사!$J4136="유지")</f>
        <v>0</v>
      </c>
      <c r="I4138" s="5" t="str">
        <f aca="false">IF($H4138=FALSE(),"",COUNTIF($H$6:$H4138,TRUE()))</f>
        <v/>
      </c>
      <c r="J4138" s="5" t="str">
        <f aca="false">IF($I4138="","","R"&amp;$I4138)</f>
        <v/>
      </c>
    </row>
    <row r="4139" customFormat="false" ht="15" hidden="false" customHeight="true" outlineLevel="0" collapsed="false">
      <c r="H4139" s="14" t="b">
        <f aca="false">IF(중복검사!$A4137="",FALSE(),중복검사!$J4137="유지")</f>
        <v>0</v>
      </c>
      <c r="I4139" s="5" t="str">
        <f aca="false">IF($H4139=FALSE(),"",COUNTIF($H$6:$H4139,TRUE()))</f>
        <v/>
      </c>
      <c r="J4139" s="5" t="str">
        <f aca="false">IF($I4139="","","R"&amp;$I4139)</f>
        <v/>
      </c>
    </row>
    <row r="4140" customFormat="false" ht="15" hidden="false" customHeight="true" outlineLevel="0" collapsed="false">
      <c r="H4140" s="14" t="b">
        <f aca="false">IF(중복검사!$A4138="",FALSE(),중복검사!$J4138="유지")</f>
        <v>0</v>
      </c>
      <c r="I4140" s="5" t="str">
        <f aca="false">IF($H4140=FALSE(),"",COUNTIF($H$6:$H4140,TRUE()))</f>
        <v/>
      </c>
      <c r="J4140" s="5" t="str">
        <f aca="false">IF($I4140="","","R"&amp;$I4140)</f>
        <v/>
      </c>
    </row>
    <row r="4141" customFormat="false" ht="15" hidden="false" customHeight="true" outlineLevel="0" collapsed="false">
      <c r="H4141" s="14" t="b">
        <f aca="false">IF(중복검사!$A4139="",FALSE(),중복검사!$J4139="유지")</f>
        <v>0</v>
      </c>
      <c r="I4141" s="5" t="str">
        <f aca="false">IF($H4141=FALSE(),"",COUNTIF($H$6:$H4141,TRUE()))</f>
        <v/>
      </c>
      <c r="J4141" s="5" t="str">
        <f aca="false">IF($I4141="","","R"&amp;$I4141)</f>
        <v/>
      </c>
    </row>
    <row r="4142" customFormat="false" ht="15" hidden="false" customHeight="true" outlineLevel="0" collapsed="false">
      <c r="H4142" s="14" t="b">
        <f aca="false">IF(중복검사!$A4140="",FALSE(),중복검사!$J4140="유지")</f>
        <v>0</v>
      </c>
      <c r="I4142" s="5" t="str">
        <f aca="false">IF($H4142=FALSE(),"",COUNTIF($H$6:$H4142,TRUE()))</f>
        <v/>
      </c>
      <c r="J4142" s="5" t="str">
        <f aca="false">IF($I4142="","","R"&amp;$I4142)</f>
        <v/>
      </c>
    </row>
    <row r="4143" customFormat="false" ht="15" hidden="false" customHeight="true" outlineLevel="0" collapsed="false">
      <c r="H4143" s="14" t="b">
        <f aca="false">IF(중복검사!$A4141="",FALSE(),중복검사!$J4141="유지")</f>
        <v>0</v>
      </c>
      <c r="I4143" s="5" t="str">
        <f aca="false">IF($H4143=FALSE(),"",COUNTIF($H$6:$H4143,TRUE()))</f>
        <v/>
      </c>
      <c r="J4143" s="5" t="str">
        <f aca="false">IF($I4143="","","R"&amp;$I4143)</f>
        <v/>
      </c>
    </row>
    <row r="4144" customFormat="false" ht="15" hidden="false" customHeight="true" outlineLevel="0" collapsed="false">
      <c r="H4144" s="14" t="b">
        <f aca="false">IF(중복검사!$A4142="",FALSE(),중복검사!$J4142="유지")</f>
        <v>0</v>
      </c>
      <c r="I4144" s="5" t="str">
        <f aca="false">IF($H4144=FALSE(),"",COUNTIF($H$6:$H4144,TRUE()))</f>
        <v/>
      </c>
      <c r="J4144" s="5" t="str">
        <f aca="false">IF($I4144="","","R"&amp;$I4144)</f>
        <v/>
      </c>
    </row>
    <row r="4145" customFormat="false" ht="15" hidden="false" customHeight="true" outlineLevel="0" collapsed="false">
      <c r="H4145" s="14" t="b">
        <f aca="false">IF(중복검사!$A4143="",FALSE(),중복검사!$J4143="유지")</f>
        <v>0</v>
      </c>
      <c r="I4145" s="5" t="str">
        <f aca="false">IF($H4145=FALSE(),"",COUNTIF($H$6:$H4145,TRUE()))</f>
        <v/>
      </c>
      <c r="J4145" s="5" t="str">
        <f aca="false">IF($I4145="","","R"&amp;$I4145)</f>
        <v/>
      </c>
    </row>
    <row r="4146" customFormat="false" ht="15" hidden="false" customHeight="true" outlineLevel="0" collapsed="false">
      <c r="H4146" s="14" t="b">
        <f aca="false">IF(중복검사!$A4144="",FALSE(),중복검사!$J4144="유지")</f>
        <v>0</v>
      </c>
      <c r="I4146" s="5" t="str">
        <f aca="false">IF($H4146=FALSE(),"",COUNTIF($H$6:$H4146,TRUE()))</f>
        <v/>
      </c>
      <c r="J4146" s="5" t="str">
        <f aca="false">IF($I4146="","","R"&amp;$I4146)</f>
        <v/>
      </c>
    </row>
    <row r="4147" customFormat="false" ht="15" hidden="false" customHeight="true" outlineLevel="0" collapsed="false">
      <c r="H4147" s="14" t="b">
        <f aca="false">IF(중복검사!$A4145="",FALSE(),중복검사!$J4145="유지")</f>
        <v>0</v>
      </c>
      <c r="I4147" s="5" t="str">
        <f aca="false">IF($H4147=FALSE(),"",COUNTIF($H$6:$H4147,TRUE()))</f>
        <v/>
      </c>
      <c r="J4147" s="5" t="str">
        <f aca="false">IF($I4147="","","R"&amp;$I4147)</f>
        <v/>
      </c>
    </row>
    <row r="4148" customFormat="false" ht="15" hidden="false" customHeight="true" outlineLevel="0" collapsed="false">
      <c r="H4148" s="14" t="b">
        <f aca="false">IF(중복검사!$A4146="",FALSE(),중복검사!$J4146="유지")</f>
        <v>0</v>
      </c>
      <c r="I4148" s="5" t="str">
        <f aca="false">IF($H4148=FALSE(),"",COUNTIF($H$6:$H4148,TRUE()))</f>
        <v/>
      </c>
      <c r="J4148" s="5" t="str">
        <f aca="false">IF($I4148="","","R"&amp;$I4148)</f>
        <v/>
      </c>
    </row>
    <row r="4149" customFormat="false" ht="15" hidden="false" customHeight="true" outlineLevel="0" collapsed="false">
      <c r="H4149" s="14" t="b">
        <f aca="false">IF(중복검사!$A4147="",FALSE(),중복검사!$J4147="유지")</f>
        <v>0</v>
      </c>
      <c r="I4149" s="5" t="str">
        <f aca="false">IF($H4149=FALSE(),"",COUNTIF($H$6:$H4149,TRUE()))</f>
        <v/>
      </c>
      <c r="J4149" s="5" t="str">
        <f aca="false">IF($I4149="","","R"&amp;$I4149)</f>
        <v/>
      </c>
    </row>
    <row r="4150" customFormat="false" ht="15" hidden="false" customHeight="true" outlineLevel="0" collapsed="false">
      <c r="H4150" s="14" t="b">
        <f aca="false">IF(중복검사!$A4148="",FALSE(),중복검사!$J4148="유지")</f>
        <v>0</v>
      </c>
      <c r="I4150" s="5" t="str">
        <f aca="false">IF($H4150=FALSE(),"",COUNTIF($H$6:$H4150,TRUE()))</f>
        <v/>
      </c>
      <c r="J4150" s="5" t="str">
        <f aca="false">IF($I4150="","","R"&amp;$I4150)</f>
        <v/>
      </c>
    </row>
    <row r="4151" customFormat="false" ht="15" hidden="false" customHeight="true" outlineLevel="0" collapsed="false">
      <c r="H4151" s="14" t="b">
        <f aca="false">IF(중복검사!$A4149="",FALSE(),중복검사!$J4149="유지")</f>
        <v>0</v>
      </c>
      <c r="I4151" s="5" t="str">
        <f aca="false">IF($H4151=FALSE(),"",COUNTIF($H$6:$H4151,TRUE()))</f>
        <v/>
      </c>
      <c r="J4151" s="5" t="str">
        <f aca="false">IF($I4151="","","R"&amp;$I4151)</f>
        <v/>
      </c>
    </row>
    <row r="4152" customFormat="false" ht="15" hidden="false" customHeight="true" outlineLevel="0" collapsed="false">
      <c r="H4152" s="14" t="b">
        <f aca="false">IF(중복검사!$A4150="",FALSE(),중복검사!$J4150="유지")</f>
        <v>0</v>
      </c>
      <c r="I4152" s="5" t="str">
        <f aca="false">IF($H4152=FALSE(),"",COUNTIF($H$6:$H4152,TRUE()))</f>
        <v/>
      </c>
      <c r="J4152" s="5" t="str">
        <f aca="false">IF($I4152="","","R"&amp;$I4152)</f>
        <v/>
      </c>
    </row>
    <row r="4153" customFormat="false" ht="15" hidden="false" customHeight="true" outlineLevel="0" collapsed="false">
      <c r="H4153" s="14" t="b">
        <f aca="false">IF(중복검사!$A4151="",FALSE(),중복검사!$J4151="유지")</f>
        <v>0</v>
      </c>
      <c r="I4153" s="5" t="str">
        <f aca="false">IF($H4153=FALSE(),"",COUNTIF($H$6:$H4153,TRUE()))</f>
        <v/>
      </c>
      <c r="J4153" s="5" t="str">
        <f aca="false">IF($I4153="","","R"&amp;$I4153)</f>
        <v/>
      </c>
    </row>
    <row r="4154" customFormat="false" ht="15" hidden="false" customHeight="true" outlineLevel="0" collapsed="false">
      <c r="H4154" s="14" t="b">
        <f aca="false">IF(중복검사!$A4152="",FALSE(),중복검사!$J4152="유지")</f>
        <v>0</v>
      </c>
      <c r="I4154" s="5" t="str">
        <f aca="false">IF($H4154=FALSE(),"",COUNTIF($H$6:$H4154,TRUE()))</f>
        <v/>
      </c>
      <c r="J4154" s="5" t="str">
        <f aca="false">IF($I4154="","","R"&amp;$I4154)</f>
        <v/>
      </c>
    </row>
    <row r="4155" customFormat="false" ht="15" hidden="false" customHeight="true" outlineLevel="0" collapsed="false">
      <c r="H4155" s="14" t="b">
        <f aca="false">IF(중복검사!$A4153="",FALSE(),중복검사!$J4153="유지")</f>
        <v>0</v>
      </c>
      <c r="I4155" s="5" t="str">
        <f aca="false">IF($H4155=FALSE(),"",COUNTIF($H$6:$H4155,TRUE()))</f>
        <v/>
      </c>
      <c r="J4155" s="5" t="str">
        <f aca="false">IF($I4155="","","R"&amp;$I4155)</f>
        <v/>
      </c>
    </row>
    <row r="4156" customFormat="false" ht="15" hidden="false" customHeight="true" outlineLevel="0" collapsed="false">
      <c r="H4156" s="14" t="b">
        <f aca="false">IF(중복검사!$A4154="",FALSE(),중복검사!$J4154="유지")</f>
        <v>0</v>
      </c>
      <c r="I4156" s="5" t="str">
        <f aca="false">IF($H4156=FALSE(),"",COUNTIF($H$6:$H4156,TRUE()))</f>
        <v/>
      </c>
      <c r="J4156" s="5" t="str">
        <f aca="false">IF($I4156="","","R"&amp;$I4156)</f>
        <v/>
      </c>
    </row>
    <row r="4157" customFormat="false" ht="15" hidden="false" customHeight="true" outlineLevel="0" collapsed="false">
      <c r="H4157" s="14" t="b">
        <f aca="false">IF(중복검사!$A4155="",FALSE(),중복검사!$J4155="유지")</f>
        <v>0</v>
      </c>
      <c r="I4157" s="5" t="str">
        <f aca="false">IF($H4157=FALSE(),"",COUNTIF($H$6:$H4157,TRUE()))</f>
        <v/>
      </c>
      <c r="J4157" s="5" t="str">
        <f aca="false">IF($I4157="","","R"&amp;$I4157)</f>
        <v/>
      </c>
    </row>
    <row r="4158" customFormat="false" ht="15" hidden="false" customHeight="true" outlineLevel="0" collapsed="false">
      <c r="H4158" s="14" t="b">
        <f aca="false">IF(중복검사!$A4156="",FALSE(),중복검사!$J4156="유지")</f>
        <v>0</v>
      </c>
      <c r="I4158" s="5" t="str">
        <f aca="false">IF($H4158=FALSE(),"",COUNTIF($H$6:$H4158,TRUE()))</f>
        <v/>
      </c>
      <c r="J4158" s="5" t="str">
        <f aca="false">IF($I4158="","","R"&amp;$I4158)</f>
        <v/>
      </c>
    </row>
    <row r="4159" customFormat="false" ht="15" hidden="false" customHeight="true" outlineLevel="0" collapsed="false">
      <c r="H4159" s="14" t="b">
        <f aca="false">IF(중복검사!$A4157="",FALSE(),중복검사!$J4157="유지")</f>
        <v>0</v>
      </c>
      <c r="I4159" s="5" t="str">
        <f aca="false">IF($H4159=FALSE(),"",COUNTIF($H$6:$H4159,TRUE()))</f>
        <v/>
      </c>
      <c r="J4159" s="5" t="str">
        <f aca="false">IF($I4159="","","R"&amp;$I4159)</f>
        <v/>
      </c>
    </row>
    <row r="4160" customFormat="false" ht="15" hidden="false" customHeight="true" outlineLevel="0" collapsed="false">
      <c r="H4160" s="14" t="b">
        <f aca="false">IF(중복검사!$A4158="",FALSE(),중복검사!$J4158="유지")</f>
        <v>0</v>
      </c>
      <c r="I4160" s="5" t="str">
        <f aca="false">IF($H4160=FALSE(),"",COUNTIF($H$6:$H4160,TRUE()))</f>
        <v/>
      </c>
      <c r="J4160" s="5" t="str">
        <f aca="false">IF($I4160="","","R"&amp;$I4160)</f>
        <v/>
      </c>
    </row>
    <row r="4161" customFormat="false" ht="15" hidden="false" customHeight="true" outlineLevel="0" collapsed="false">
      <c r="H4161" s="14" t="b">
        <f aca="false">IF(중복검사!$A4159="",FALSE(),중복검사!$J4159="유지")</f>
        <v>0</v>
      </c>
      <c r="I4161" s="5" t="str">
        <f aca="false">IF($H4161=FALSE(),"",COUNTIF($H$6:$H4161,TRUE()))</f>
        <v/>
      </c>
      <c r="J4161" s="5" t="str">
        <f aca="false">IF($I4161="","","R"&amp;$I4161)</f>
        <v/>
      </c>
    </row>
    <row r="4162" customFormat="false" ht="15" hidden="false" customHeight="true" outlineLevel="0" collapsed="false">
      <c r="H4162" s="14" t="b">
        <f aca="false">IF(중복검사!$A4160="",FALSE(),중복검사!$J4160="유지")</f>
        <v>0</v>
      </c>
      <c r="I4162" s="5" t="str">
        <f aca="false">IF($H4162=FALSE(),"",COUNTIF($H$6:$H4162,TRUE()))</f>
        <v/>
      </c>
      <c r="J4162" s="5" t="str">
        <f aca="false">IF($I4162="","","R"&amp;$I4162)</f>
        <v/>
      </c>
    </row>
    <row r="4163" customFormat="false" ht="15" hidden="false" customHeight="true" outlineLevel="0" collapsed="false">
      <c r="H4163" s="14" t="b">
        <f aca="false">IF(중복검사!$A4161="",FALSE(),중복검사!$J4161="유지")</f>
        <v>0</v>
      </c>
      <c r="I4163" s="5" t="str">
        <f aca="false">IF($H4163=FALSE(),"",COUNTIF($H$6:$H4163,TRUE()))</f>
        <v/>
      </c>
      <c r="J4163" s="5" t="str">
        <f aca="false">IF($I4163="","","R"&amp;$I4163)</f>
        <v/>
      </c>
    </row>
    <row r="4164" customFormat="false" ht="15" hidden="false" customHeight="true" outlineLevel="0" collapsed="false">
      <c r="H4164" s="14" t="b">
        <f aca="false">IF(중복검사!$A4162="",FALSE(),중복검사!$J4162="유지")</f>
        <v>0</v>
      </c>
      <c r="I4164" s="5" t="str">
        <f aca="false">IF($H4164=FALSE(),"",COUNTIF($H$6:$H4164,TRUE()))</f>
        <v/>
      </c>
      <c r="J4164" s="5" t="str">
        <f aca="false">IF($I4164="","","R"&amp;$I4164)</f>
        <v/>
      </c>
    </row>
    <row r="4165" customFormat="false" ht="15" hidden="false" customHeight="true" outlineLevel="0" collapsed="false">
      <c r="H4165" s="14" t="b">
        <f aca="false">IF(중복검사!$A4163="",FALSE(),중복검사!$J4163="유지")</f>
        <v>0</v>
      </c>
      <c r="I4165" s="5" t="str">
        <f aca="false">IF($H4165=FALSE(),"",COUNTIF($H$6:$H4165,TRUE()))</f>
        <v/>
      </c>
      <c r="J4165" s="5" t="str">
        <f aca="false">IF($I4165="","","R"&amp;$I4165)</f>
        <v/>
      </c>
    </row>
    <row r="4166" customFormat="false" ht="15" hidden="false" customHeight="true" outlineLevel="0" collapsed="false">
      <c r="H4166" s="14" t="b">
        <f aca="false">IF(중복검사!$A4164="",FALSE(),중복검사!$J4164="유지")</f>
        <v>0</v>
      </c>
      <c r="I4166" s="5" t="str">
        <f aca="false">IF($H4166=FALSE(),"",COUNTIF($H$6:$H4166,TRUE()))</f>
        <v/>
      </c>
      <c r="J4166" s="5" t="str">
        <f aca="false">IF($I4166="","","R"&amp;$I4166)</f>
        <v/>
      </c>
    </row>
    <row r="4167" customFormat="false" ht="15" hidden="false" customHeight="true" outlineLevel="0" collapsed="false">
      <c r="H4167" s="14" t="b">
        <f aca="false">IF(중복검사!$A4165="",FALSE(),중복검사!$J4165="유지")</f>
        <v>0</v>
      </c>
      <c r="I4167" s="5" t="str">
        <f aca="false">IF($H4167=FALSE(),"",COUNTIF($H$6:$H4167,TRUE()))</f>
        <v/>
      </c>
      <c r="J4167" s="5" t="str">
        <f aca="false">IF($I4167="","","R"&amp;$I4167)</f>
        <v/>
      </c>
    </row>
    <row r="4168" customFormat="false" ht="15" hidden="false" customHeight="true" outlineLevel="0" collapsed="false">
      <c r="H4168" s="14" t="b">
        <f aca="false">IF(중복검사!$A4166="",FALSE(),중복검사!$J4166="유지")</f>
        <v>0</v>
      </c>
      <c r="I4168" s="5" t="str">
        <f aca="false">IF($H4168=FALSE(),"",COUNTIF($H$6:$H4168,TRUE()))</f>
        <v/>
      </c>
      <c r="J4168" s="5" t="str">
        <f aca="false">IF($I4168="","","R"&amp;$I4168)</f>
        <v/>
      </c>
    </row>
    <row r="4169" customFormat="false" ht="15" hidden="false" customHeight="true" outlineLevel="0" collapsed="false">
      <c r="H4169" s="14" t="b">
        <f aca="false">IF(중복검사!$A4167="",FALSE(),중복검사!$J4167="유지")</f>
        <v>0</v>
      </c>
      <c r="I4169" s="5" t="str">
        <f aca="false">IF($H4169=FALSE(),"",COUNTIF($H$6:$H4169,TRUE()))</f>
        <v/>
      </c>
      <c r="J4169" s="5" t="str">
        <f aca="false">IF($I4169="","","R"&amp;$I4169)</f>
        <v/>
      </c>
    </row>
    <row r="4170" customFormat="false" ht="15" hidden="false" customHeight="true" outlineLevel="0" collapsed="false">
      <c r="H4170" s="14" t="b">
        <f aca="false">IF(중복검사!$A4168="",FALSE(),중복검사!$J4168="유지")</f>
        <v>0</v>
      </c>
      <c r="I4170" s="5" t="str">
        <f aca="false">IF($H4170=FALSE(),"",COUNTIF($H$6:$H4170,TRUE()))</f>
        <v/>
      </c>
      <c r="J4170" s="5" t="str">
        <f aca="false">IF($I4170="","","R"&amp;$I4170)</f>
        <v/>
      </c>
    </row>
    <row r="4171" customFormat="false" ht="15" hidden="false" customHeight="true" outlineLevel="0" collapsed="false">
      <c r="H4171" s="14" t="b">
        <f aca="false">IF(중복검사!$A4169="",FALSE(),중복검사!$J4169="유지")</f>
        <v>0</v>
      </c>
      <c r="I4171" s="5" t="str">
        <f aca="false">IF($H4171=FALSE(),"",COUNTIF($H$6:$H4171,TRUE()))</f>
        <v/>
      </c>
      <c r="J4171" s="5" t="str">
        <f aca="false">IF($I4171="","","R"&amp;$I4171)</f>
        <v/>
      </c>
    </row>
    <row r="4172" customFormat="false" ht="15" hidden="false" customHeight="true" outlineLevel="0" collapsed="false">
      <c r="H4172" s="14" t="b">
        <f aca="false">IF(중복검사!$A4170="",FALSE(),중복검사!$J4170="유지")</f>
        <v>0</v>
      </c>
      <c r="I4172" s="5" t="str">
        <f aca="false">IF($H4172=FALSE(),"",COUNTIF($H$6:$H4172,TRUE()))</f>
        <v/>
      </c>
      <c r="J4172" s="5" t="str">
        <f aca="false">IF($I4172="","","R"&amp;$I4172)</f>
        <v/>
      </c>
    </row>
    <row r="4173" customFormat="false" ht="15" hidden="false" customHeight="true" outlineLevel="0" collapsed="false">
      <c r="H4173" s="14" t="b">
        <f aca="false">IF(중복검사!$A4171="",FALSE(),중복검사!$J4171="유지")</f>
        <v>0</v>
      </c>
      <c r="I4173" s="5" t="str">
        <f aca="false">IF($H4173=FALSE(),"",COUNTIF($H$6:$H4173,TRUE()))</f>
        <v/>
      </c>
      <c r="J4173" s="5" t="str">
        <f aca="false">IF($I4173="","","R"&amp;$I4173)</f>
        <v/>
      </c>
    </row>
    <row r="4174" customFormat="false" ht="15" hidden="false" customHeight="true" outlineLevel="0" collapsed="false">
      <c r="H4174" s="14" t="b">
        <f aca="false">IF(중복검사!$A4172="",FALSE(),중복검사!$J4172="유지")</f>
        <v>0</v>
      </c>
      <c r="I4174" s="5" t="str">
        <f aca="false">IF($H4174=FALSE(),"",COUNTIF($H$6:$H4174,TRUE()))</f>
        <v/>
      </c>
      <c r="J4174" s="5" t="str">
        <f aca="false">IF($I4174="","","R"&amp;$I4174)</f>
        <v/>
      </c>
    </row>
    <row r="4175" customFormat="false" ht="15" hidden="false" customHeight="true" outlineLevel="0" collapsed="false">
      <c r="H4175" s="14" t="b">
        <f aca="false">IF(중복검사!$A4173="",FALSE(),중복검사!$J4173="유지")</f>
        <v>0</v>
      </c>
      <c r="I4175" s="5" t="str">
        <f aca="false">IF($H4175=FALSE(),"",COUNTIF($H$6:$H4175,TRUE()))</f>
        <v/>
      </c>
      <c r="J4175" s="5" t="str">
        <f aca="false">IF($I4175="","","R"&amp;$I4175)</f>
        <v/>
      </c>
    </row>
    <row r="4176" customFormat="false" ht="15" hidden="false" customHeight="true" outlineLevel="0" collapsed="false">
      <c r="H4176" s="14" t="b">
        <f aca="false">IF(중복검사!$A4174="",FALSE(),중복검사!$J4174="유지")</f>
        <v>0</v>
      </c>
      <c r="I4176" s="5" t="str">
        <f aca="false">IF($H4176=FALSE(),"",COUNTIF($H$6:$H4176,TRUE()))</f>
        <v/>
      </c>
      <c r="J4176" s="5" t="str">
        <f aca="false">IF($I4176="","","R"&amp;$I4176)</f>
        <v/>
      </c>
    </row>
    <row r="4177" customFormat="false" ht="15" hidden="false" customHeight="true" outlineLevel="0" collapsed="false">
      <c r="H4177" s="14" t="b">
        <f aca="false">IF(중복검사!$A4175="",FALSE(),중복검사!$J4175="유지")</f>
        <v>0</v>
      </c>
      <c r="I4177" s="5" t="str">
        <f aca="false">IF($H4177=FALSE(),"",COUNTIF($H$6:$H4177,TRUE()))</f>
        <v/>
      </c>
      <c r="J4177" s="5" t="str">
        <f aca="false">IF($I4177="","","R"&amp;$I4177)</f>
        <v/>
      </c>
    </row>
    <row r="4178" customFormat="false" ht="15" hidden="false" customHeight="true" outlineLevel="0" collapsed="false">
      <c r="H4178" s="14" t="b">
        <f aca="false">IF(중복검사!$A4176="",FALSE(),중복검사!$J4176="유지")</f>
        <v>0</v>
      </c>
      <c r="I4178" s="5" t="str">
        <f aca="false">IF($H4178=FALSE(),"",COUNTIF($H$6:$H4178,TRUE()))</f>
        <v/>
      </c>
      <c r="J4178" s="5" t="str">
        <f aca="false">IF($I4178="","","R"&amp;$I4178)</f>
        <v/>
      </c>
    </row>
    <row r="4179" customFormat="false" ht="15" hidden="false" customHeight="true" outlineLevel="0" collapsed="false">
      <c r="H4179" s="14" t="b">
        <f aca="false">IF(중복검사!$A4177="",FALSE(),중복검사!$J4177="유지")</f>
        <v>0</v>
      </c>
      <c r="I4179" s="5" t="str">
        <f aca="false">IF($H4179=FALSE(),"",COUNTIF($H$6:$H4179,TRUE()))</f>
        <v/>
      </c>
      <c r="J4179" s="5" t="str">
        <f aca="false">IF($I4179="","","R"&amp;$I4179)</f>
        <v/>
      </c>
    </row>
    <row r="4180" customFormat="false" ht="15" hidden="false" customHeight="true" outlineLevel="0" collapsed="false">
      <c r="H4180" s="14" t="b">
        <f aca="false">IF(중복검사!$A4178="",FALSE(),중복검사!$J4178="유지")</f>
        <v>0</v>
      </c>
      <c r="I4180" s="5" t="str">
        <f aca="false">IF($H4180=FALSE(),"",COUNTIF($H$6:$H4180,TRUE()))</f>
        <v/>
      </c>
      <c r="J4180" s="5" t="str">
        <f aca="false">IF($I4180="","","R"&amp;$I4180)</f>
        <v/>
      </c>
    </row>
    <row r="4181" customFormat="false" ht="15" hidden="false" customHeight="true" outlineLevel="0" collapsed="false">
      <c r="H4181" s="14" t="b">
        <f aca="false">IF(중복검사!$A4179="",FALSE(),중복검사!$J4179="유지")</f>
        <v>0</v>
      </c>
      <c r="I4181" s="5" t="str">
        <f aca="false">IF($H4181=FALSE(),"",COUNTIF($H$6:$H4181,TRUE()))</f>
        <v/>
      </c>
      <c r="J4181" s="5" t="str">
        <f aca="false">IF($I4181="","","R"&amp;$I4181)</f>
        <v/>
      </c>
    </row>
    <row r="4182" customFormat="false" ht="15" hidden="false" customHeight="true" outlineLevel="0" collapsed="false">
      <c r="H4182" s="14" t="b">
        <f aca="false">IF(중복검사!$A4180="",FALSE(),중복검사!$J4180="유지")</f>
        <v>0</v>
      </c>
      <c r="I4182" s="5" t="str">
        <f aca="false">IF($H4182=FALSE(),"",COUNTIF($H$6:$H4182,TRUE()))</f>
        <v/>
      </c>
      <c r="J4182" s="5" t="str">
        <f aca="false">IF($I4182="","","R"&amp;$I4182)</f>
        <v/>
      </c>
    </row>
    <row r="4183" customFormat="false" ht="15" hidden="false" customHeight="true" outlineLevel="0" collapsed="false">
      <c r="H4183" s="14" t="b">
        <f aca="false">IF(중복검사!$A4181="",FALSE(),중복검사!$J4181="유지")</f>
        <v>0</v>
      </c>
      <c r="I4183" s="5" t="str">
        <f aca="false">IF($H4183=FALSE(),"",COUNTIF($H$6:$H4183,TRUE()))</f>
        <v/>
      </c>
      <c r="J4183" s="5" t="str">
        <f aca="false">IF($I4183="","","R"&amp;$I4183)</f>
        <v/>
      </c>
    </row>
    <row r="4184" customFormat="false" ht="15" hidden="false" customHeight="true" outlineLevel="0" collapsed="false">
      <c r="H4184" s="14" t="b">
        <f aca="false">IF(중복검사!$A4182="",FALSE(),중복검사!$J4182="유지")</f>
        <v>0</v>
      </c>
      <c r="I4184" s="5" t="str">
        <f aca="false">IF($H4184=FALSE(),"",COUNTIF($H$6:$H4184,TRUE()))</f>
        <v/>
      </c>
      <c r="J4184" s="5" t="str">
        <f aca="false">IF($I4184="","","R"&amp;$I4184)</f>
        <v/>
      </c>
    </row>
    <row r="4185" customFormat="false" ht="15" hidden="false" customHeight="true" outlineLevel="0" collapsed="false">
      <c r="H4185" s="14" t="b">
        <f aca="false">IF(중복검사!$A4183="",FALSE(),중복검사!$J4183="유지")</f>
        <v>0</v>
      </c>
      <c r="I4185" s="5" t="str">
        <f aca="false">IF($H4185=FALSE(),"",COUNTIF($H$6:$H4185,TRUE()))</f>
        <v/>
      </c>
      <c r="J4185" s="5" t="str">
        <f aca="false">IF($I4185="","","R"&amp;$I4185)</f>
        <v/>
      </c>
    </row>
    <row r="4186" customFormat="false" ht="15" hidden="false" customHeight="true" outlineLevel="0" collapsed="false">
      <c r="H4186" s="14" t="b">
        <f aca="false">IF(중복검사!$A4184="",FALSE(),중복검사!$J4184="유지")</f>
        <v>0</v>
      </c>
      <c r="I4186" s="5" t="str">
        <f aca="false">IF($H4186=FALSE(),"",COUNTIF($H$6:$H4186,TRUE()))</f>
        <v/>
      </c>
      <c r="J4186" s="5" t="str">
        <f aca="false">IF($I4186="","","R"&amp;$I4186)</f>
        <v/>
      </c>
    </row>
    <row r="4187" customFormat="false" ht="15" hidden="false" customHeight="true" outlineLevel="0" collapsed="false">
      <c r="H4187" s="14" t="b">
        <f aca="false">IF(중복검사!$A4185="",FALSE(),중복검사!$J4185="유지")</f>
        <v>0</v>
      </c>
      <c r="I4187" s="5" t="str">
        <f aca="false">IF($H4187=FALSE(),"",COUNTIF($H$6:$H4187,TRUE()))</f>
        <v/>
      </c>
      <c r="J4187" s="5" t="str">
        <f aca="false">IF($I4187="","","R"&amp;$I4187)</f>
        <v/>
      </c>
    </row>
    <row r="4188" customFormat="false" ht="15" hidden="false" customHeight="true" outlineLevel="0" collapsed="false">
      <c r="H4188" s="14" t="b">
        <f aca="false">IF(중복검사!$A4186="",FALSE(),중복검사!$J4186="유지")</f>
        <v>0</v>
      </c>
      <c r="I4188" s="5" t="str">
        <f aca="false">IF($H4188=FALSE(),"",COUNTIF($H$6:$H4188,TRUE()))</f>
        <v/>
      </c>
      <c r="J4188" s="5" t="str">
        <f aca="false">IF($I4188="","","R"&amp;$I4188)</f>
        <v/>
      </c>
    </row>
    <row r="4189" customFormat="false" ht="15" hidden="false" customHeight="true" outlineLevel="0" collapsed="false">
      <c r="H4189" s="14" t="b">
        <f aca="false">IF(중복검사!$A4187="",FALSE(),중복검사!$J4187="유지")</f>
        <v>0</v>
      </c>
      <c r="I4189" s="5" t="str">
        <f aca="false">IF($H4189=FALSE(),"",COUNTIF($H$6:$H4189,TRUE()))</f>
        <v/>
      </c>
      <c r="J4189" s="5" t="str">
        <f aca="false">IF($I4189="","","R"&amp;$I4189)</f>
        <v/>
      </c>
    </row>
    <row r="4190" customFormat="false" ht="15" hidden="false" customHeight="true" outlineLevel="0" collapsed="false">
      <c r="H4190" s="14" t="b">
        <f aca="false">IF(중복검사!$A4188="",FALSE(),중복검사!$J4188="유지")</f>
        <v>0</v>
      </c>
      <c r="I4190" s="5" t="str">
        <f aca="false">IF($H4190=FALSE(),"",COUNTIF($H$6:$H4190,TRUE()))</f>
        <v/>
      </c>
      <c r="J4190" s="5" t="str">
        <f aca="false">IF($I4190="","","R"&amp;$I4190)</f>
        <v/>
      </c>
    </row>
    <row r="4191" customFormat="false" ht="15" hidden="false" customHeight="true" outlineLevel="0" collapsed="false">
      <c r="H4191" s="14" t="b">
        <f aca="false">IF(중복검사!$A4189="",FALSE(),중복검사!$J4189="유지")</f>
        <v>0</v>
      </c>
      <c r="I4191" s="5" t="str">
        <f aca="false">IF($H4191=FALSE(),"",COUNTIF($H$6:$H4191,TRUE()))</f>
        <v/>
      </c>
      <c r="J4191" s="5" t="str">
        <f aca="false">IF($I4191="","","R"&amp;$I4191)</f>
        <v/>
      </c>
    </row>
    <row r="4192" customFormat="false" ht="15" hidden="false" customHeight="true" outlineLevel="0" collapsed="false">
      <c r="H4192" s="14" t="b">
        <f aca="false">IF(중복검사!$A4190="",FALSE(),중복검사!$J4190="유지")</f>
        <v>0</v>
      </c>
      <c r="I4192" s="5" t="str">
        <f aca="false">IF($H4192=FALSE(),"",COUNTIF($H$6:$H4192,TRUE()))</f>
        <v/>
      </c>
      <c r="J4192" s="5" t="str">
        <f aca="false">IF($I4192="","","R"&amp;$I4192)</f>
        <v/>
      </c>
    </row>
    <row r="4193" customFormat="false" ht="15" hidden="false" customHeight="true" outlineLevel="0" collapsed="false">
      <c r="H4193" s="14" t="b">
        <f aca="false">IF(중복검사!$A4191="",FALSE(),중복검사!$J4191="유지")</f>
        <v>0</v>
      </c>
      <c r="I4193" s="5" t="str">
        <f aca="false">IF($H4193=FALSE(),"",COUNTIF($H$6:$H4193,TRUE()))</f>
        <v/>
      </c>
      <c r="J4193" s="5" t="str">
        <f aca="false">IF($I4193="","","R"&amp;$I4193)</f>
        <v/>
      </c>
    </row>
    <row r="4194" customFormat="false" ht="15" hidden="false" customHeight="true" outlineLevel="0" collapsed="false">
      <c r="H4194" s="14" t="b">
        <f aca="false">IF(중복검사!$A4192="",FALSE(),중복검사!$J4192="유지")</f>
        <v>0</v>
      </c>
      <c r="I4194" s="5" t="str">
        <f aca="false">IF($H4194=FALSE(),"",COUNTIF($H$6:$H4194,TRUE()))</f>
        <v/>
      </c>
      <c r="J4194" s="5" t="str">
        <f aca="false">IF($I4194="","","R"&amp;$I4194)</f>
        <v/>
      </c>
    </row>
    <row r="4195" customFormat="false" ht="15" hidden="false" customHeight="true" outlineLevel="0" collapsed="false">
      <c r="H4195" s="14" t="b">
        <f aca="false">IF(중복검사!$A4193="",FALSE(),중복검사!$J4193="유지")</f>
        <v>0</v>
      </c>
      <c r="I4195" s="5" t="str">
        <f aca="false">IF($H4195=FALSE(),"",COUNTIF($H$6:$H4195,TRUE()))</f>
        <v/>
      </c>
      <c r="J4195" s="5" t="str">
        <f aca="false">IF($I4195="","","R"&amp;$I4195)</f>
        <v/>
      </c>
    </row>
    <row r="4196" customFormat="false" ht="15" hidden="false" customHeight="true" outlineLevel="0" collapsed="false">
      <c r="H4196" s="14" t="b">
        <f aca="false">IF(중복검사!$A4194="",FALSE(),중복검사!$J4194="유지")</f>
        <v>0</v>
      </c>
      <c r="I4196" s="5" t="str">
        <f aca="false">IF($H4196=FALSE(),"",COUNTIF($H$6:$H4196,TRUE()))</f>
        <v/>
      </c>
      <c r="J4196" s="5" t="str">
        <f aca="false">IF($I4196="","","R"&amp;$I4196)</f>
        <v/>
      </c>
    </row>
    <row r="4197" customFormat="false" ht="15" hidden="false" customHeight="true" outlineLevel="0" collapsed="false">
      <c r="H4197" s="14" t="b">
        <f aca="false">IF(중복검사!$A4195="",FALSE(),중복검사!$J4195="유지")</f>
        <v>0</v>
      </c>
      <c r="I4197" s="5" t="str">
        <f aca="false">IF($H4197=FALSE(),"",COUNTIF($H$6:$H4197,TRUE()))</f>
        <v/>
      </c>
      <c r="J4197" s="5" t="str">
        <f aca="false">IF($I4197="","","R"&amp;$I4197)</f>
        <v/>
      </c>
    </row>
    <row r="4198" customFormat="false" ht="15" hidden="false" customHeight="true" outlineLevel="0" collapsed="false">
      <c r="H4198" s="14" t="b">
        <f aca="false">IF(중복검사!$A4196="",FALSE(),중복검사!$J4196="유지")</f>
        <v>0</v>
      </c>
      <c r="I4198" s="5" t="str">
        <f aca="false">IF($H4198=FALSE(),"",COUNTIF($H$6:$H4198,TRUE()))</f>
        <v/>
      </c>
      <c r="J4198" s="5" t="str">
        <f aca="false">IF($I4198="","","R"&amp;$I4198)</f>
        <v/>
      </c>
    </row>
    <row r="4199" customFormat="false" ht="15" hidden="false" customHeight="true" outlineLevel="0" collapsed="false">
      <c r="H4199" s="14" t="b">
        <f aca="false">IF(중복검사!$A4197="",FALSE(),중복검사!$J4197="유지")</f>
        <v>0</v>
      </c>
      <c r="I4199" s="5" t="str">
        <f aca="false">IF($H4199=FALSE(),"",COUNTIF($H$6:$H4199,TRUE()))</f>
        <v/>
      </c>
      <c r="J4199" s="5" t="str">
        <f aca="false">IF($I4199="","","R"&amp;$I4199)</f>
        <v/>
      </c>
    </row>
    <row r="4200" customFormat="false" ht="15" hidden="false" customHeight="true" outlineLevel="0" collapsed="false">
      <c r="H4200" s="14" t="b">
        <f aca="false">IF(중복검사!$A4198="",FALSE(),중복검사!$J4198="유지")</f>
        <v>0</v>
      </c>
      <c r="I4200" s="5" t="str">
        <f aca="false">IF($H4200=FALSE(),"",COUNTIF($H$6:$H4200,TRUE()))</f>
        <v/>
      </c>
      <c r="J4200" s="5" t="str">
        <f aca="false">IF($I4200="","","R"&amp;$I4200)</f>
        <v/>
      </c>
    </row>
    <row r="4201" customFormat="false" ht="15" hidden="false" customHeight="true" outlineLevel="0" collapsed="false">
      <c r="H4201" s="14" t="b">
        <f aca="false">IF(중복검사!$A4199="",FALSE(),중복검사!$J4199="유지")</f>
        <v>0</v>
      </c>
      <c r="I4201" s="5" t="str">
        <f aca="false">IF($H4201=FALSE(),"",COUNTIF($H$6:$H4201,TRUE()))</f>
        <v/>
      </c>
      <c r="J4201" s="5" t="str">
        <f aca="false">IF($I4201="","","R"&amp;$I4201)</f>
        <v/>
      </c>
    </row>
    <row r="4202" customFormat="false" ht="15" hidden="false" customHeight="true" outlineLevel="0" collapsed="false">
      <c r="H4202" s="14" t="b">
        <f aca="false">IF(중복검사!$A4200="",FALSE(),중복검사!$J4200="유지")</f>
        <v>0</v>
      </c>
      <c r="I4202" s="5" t="str">
        <f aca="false">IF($H4202=FALSE(),"",COUNTIF($H$6:$H4202,TRUE()))</f>
        <v/>
      </c>
      <c r="J4202" s="5" t="str">
        <f aca="false">IF($I4202="","","R"&amp;$I4202)</f>
        <v/>
      </c>
    </row>
    <row r="4203" customFormat="false" ht="15" hidden="false" customHeight="true" outlineLevel="0" collapsed="false">
      <c r="H4203" s="14" t="b">
        <f aca="false">IF(중복검사!$A4201="",FALSE(),중복검사!$J4201="유지")</f>
        <v>0</v>
      </c>
      <c r="I4203" s="5" t="str">
        <f aca="false">IF($H4203=FALSE(),"",COUNTIF($H$6:$H4203,TRUE()))</f>
        <v/>
      </c>
      <c r="J4203" s="5" t="str">
        <f aca="false">IF($I4203="","","R"&amp;$I4203)</f>
        <v/>
      </c>
    </row>
    <row r="4204" customFormat="false" ht="15" hidden="false" customHeight="true" outlineLevel="0" collapsed="false">
      <c r="H4204" s="14" t="b">
        <f aca="false">IF(중복검사!$A4202="",FALSE(),중복검사!$J4202="유지")</f>
        <v>0</v>
      </c>
      <c r="I4204" s="5" t="str">
        <f aca="false">IF($H4204=FALSE(),"",COUNTIF($H$6:$H4204,TRUE()))</f>
        <v/>
      </c>
      <c r="J4204" s="5" t="str">
        <f aca="false">IF($I4204="","","R"&amp;$I4204)</f>
        <v/>
      </c>
    </row>
    <row r="4205" customFormat="false" ht="15" hidden="false" customHeight="true" outlineLevel="0" collapsed="false">
      <c r="H4205" s="14" t="b">
        <f aca="false">IF(중복검사!$A4203="",FALSE(),중복검사!$J4203="유지")</f>
        <v>0</v>
      </c>
      <c r="I4205" s="5" t="str">
        <f aca="false">IF($H4205=FALSE(),"",COUNTIF($H$6:$H4205,TRUE()))</f>
        <v/>
      </c>
      <c r="J4205" s="5" t="str">
        <f aca="false">IF($I4205="","","R"&amp;$I4205)</f>
        <v/>
      </c>
    </row>
    <row r="4206" customFormat="false" ht="15" hidden="false" customHeight="true" outlineLevel="0" collapsed="false">
      <c r="H4206" s="14" t="b">
        <f aca="false">IF(중복검사!$A4204="",FALSE(),중복검사!$J4204="유지")</f>
        <v>0</v>
      </c>
      <c r="I4206" s="5" t="str">
        <f aca="false">IF($H4206=FALSE(),"",COUNTIF($H$6:$H4206,TRUE()))</f>
        <v/>
      </c>
      <c r="J4206" s="5" t="str">
        <f aca="false">IF($I4206="","","R"&amp;$I4206)</f>
        <v/>
      </c>
    </row>
    <row r="4207" customFormat="false" ht="15" hidden="false" customHeight="true" outlineLevel="0" collapsed="false">
      <c r="H4207" s="14" t="b">
        <f aca="false">IF(중복검사!$A4205="",FALSE(),중복검사!$J4205="유지")</f>
        <v>0</v>
      </c>
      <c r="I4207" s="5" t="str">
        <f aca="false">IF($H4207=FALSE(),"",COUNTIF($H$6:$H4207,TRUE()))</f>
        <v/>
      </c>
      <c r="J4207" s="5" t="str">
        <f aca="false">IF($I4207="","","R"&amp;$I4207)</f>
        <v/>
      </c>
    </row>
    <row r="4208" customFormat="false" ht="15" hidden="false" customHeight="true" outlineLevel="0" collapsed="false">
      <c r="H4208" s="14" t="b">
        <f aca="false">IF(중복검사!$A4206="",FALSE(),중복검사!$J4206="유지")</f>
        <v>0</v>
      </c>
      <c r="I4208" s="5" t="str">
        <f aca="false">IF($H4208=FALSE(),"",COUNTIF($H$6:$H4208,TRUE()))</f>
        <v/>
      </c>
      <c r="J4208" s="5" t="str">
        <f aca="false">IF($I4208="","","R"&amp;$I4208)</f>
        <v/>
      </c>
    </row>
    <row r="4209" customFormat="false" ht="15" hidden="false" customHeight="true" outlineLevel="0" collapsed="false">
      <c r="H4209" s="14" t="b">
        <f aca="false">IF(중복검사!$A4207="",FALSE(),중복검사!$J4207="유지")</f>
        <v>0</v>
      </c>
      <c r="I4209" s="5" t="str">
        <f aca="false">IF($H4209=FALSE(),"",COUNTIF($H$6:$H4209,TRUE()))</f>
        <v/>
      </c>
      <c r="J4209" s="5" t="str">
        <f aca="false">IF($I4209="","","R"&amp;$I4209)</f>
        <v/>
      </c>
    </row>
    <row r="4210" customFormat="false" ht="15" hidden="false" customHeight="true" outlineLevel="0" collapsed="false">
      <c r="H4210" s="14" t="b">
        <f aca="false">IF(중복검사!$A4208="",FALSE(),중복검사!$J4208="유지")</f>
        <v>0</v>
      </c>
      <c r="I4210" s="5" t="str">
        <f aca="false">IF($H4210=FALSE(),"",COUNTIF($H$6:$H4210,TRUE()))</f>
        <v/>
      </c>
      <c r="J4210" s="5" t="str">
        <f aca="false">IF($I4210="","","R"&amp;$I4210)</f>
        <v/>
      </c>
    </row>
    <row r="4211" customFormat="false" ht="15" hidden="false" customHeight="true" outlineLevel="0" collapsed="false">
      <c r="H4211" s="14" t="b">
        <f aca="false">IF(중복검사!$A4209="",FALSE(),중복검사!$J4209="유지")</f>
        <v>0</v>
      </c>
      <c r="I4211" s="5" t="str">
        <f aca="false">IF($H4211=FALSE(),"",COUNTIF($H$6:$H4211,TRUE()))</f>
        <v/>
      </c>
      <c r="J4211" s="5" t="str">
        <f aca="false">IF($I4211="","","R"&amp;$I4211)</f>
        <v/>
      </c>
    </row>
    <row r="4212" customFormat="false" ht="15" hidden="false" customHeight="true" outlineLevel="0" collapsed="false">
      <c r="H4212" s="14" t="b">
        <f aca="false">IF(중복검사!$A4210="",FALSE(),중복검사!$J4210="유지")</f>
        <v>0</v>
      </c>
      <c r="I4212" s="5" t="str">
        <f aca="false">IF($H4212=FALSE(),"",COUNTIF($H$6:$H4212,TRUE()))</f>
        <v/>
      </c>
      <c r="J4212" s="5" t="str">
        <f aca="false">IF($I4212="","","R"&amp;$I4212)</f>
        <v/>
      </c>
    </row>
    <row r="4213" customFormat="false" ht="15" hidden="false" customHeight="true" outlineLevel="0" collapsed="false">
      <c r="H4213" s="14" t="b">
        <f aca="false">IF(중복검사!$A4211="",FALSE(),중복검사!$J4211="유지")</f>
        <v>0</v>
      </c>
      <c r="I4213" s="5" t="str">
        <f aca="false">IF($H4213=FALSE(),"",COUNTIF($H$6:$H4213,TRUE()))</f>
        <v/>
      </c>
      <c r="J4213" s="5" t="str">
        <f aca="false">IF($I4213="","","R"&amp;$I4213)</f>
        <v/>
      </c>
    </row>
    <row r="4214" customFormat="false" ht="15" hidden="false" customHeight="true" outlineLevel="0" collapsed="false">
      <c r="H4214" s="14" t="b">
        <f aca="false">IF(중복검사!$A4212="",FALSE(),중복검사!$J4212="유지")</f>
        <v>0</v>
      </c>
      <c r="I4214" s="5" t="str">
        <f aca="false">IF($H4214=FALSE(),"",COUNTIF($H$6:$H4214,TRUE()))</f>
        <v/>
      </c>
      <c r="J4214" s="5" t="str">
        <f aca="false">IF($I4214="","","R"&amp;$I4214)</f>
        <v/>
      </c>
    </row>
    <row r="4215" customFormat="false" ht="15" hidden="false" customHeight="true" outlineLevel="0" collapsed="false">
      <c r="H4215" s="14" t="b">
        <f aca="false">IF(중복검사!$A4213="",FALSE(),중복검사!$J4213="유지")</f>
        <v>0</v>
      </c>
      <c r="I4215" s="5" t="str">
        <f aca="false">IF($H4215=FALSE(),"",COUNTIF($H$6:$H4215,TRUE()))</f>
        <v/>
      </c>
      <c r="J4215" s="5" t="str">
        <f aca="false">IF($I4215="","","R"&amp;$I4215)</f>
        <v/>
      </c>
    </row>
    <row r="4216" customFormat="false" ht="15" hidden="false" customHeight="true" outlineLevel="0" collapsed="false">
      <c r="H4216" s="14" t="b">
        <f aca="false">IF(중복검사!$A4214="",FALSE(),중복검사!$J4214="유지")</f>
        <v>0</v>
      </c>
      <c r="I4216" s="5" t="str">
        <f aca="false">IF($H4216=FALSE(),"",COUNTIF($H$6:$H4216,TRUE()))</f>
        <v/>
      </c>
      <c r="J4216" s="5" t="str">
        <f aca="false">IF($I4216="","","R"&amp;$I4216)</f>
        <v/>
      </c>
    </row>
    <row r="4217" customFormat="false" ht="15" hidden="false" customHeight="true" outlineLevel="0" collapsed="false">
      <c r="H4217" s="14" t="b">
        <f aca="false">IF(중복검사!$A4215="",FALSE(),중복검사!$J4215="유지")</f>
        <v>0</v>
      </c>
      <c r="I4217" s="5" t="str">
        <f aca="false">IF($H4217=FALSE(),"",COUNTIF($H$6:$H4217,TRUE()))</f>
        <v/>
      </c>
      <c r="J4217" s="5" t="str">
        <f aca="false">IF($I4217="","","R"&amp;$I4217)</f>
        <v/>
      </c>
    </row>
    <row r="4218" customFormat="false" ht="15" hidden="false" customHeight="true" outlineLevel="0" collapsed="false">
      <c r="H4218" s="14" t="b">
        <f aca="false">IF(중복검사!$A4216="",FALSE(),중복검사!$J4216="유지")</f>
        <v>0</v>
      </c>
      <c r="I4218" s="5" t="str">
        <f aca="false">IF($H4218=FALSE(),"",COUNTIF($H$6:$H4218,TRUE()))</f>
        <v/>
      </c>
      <c r="J4218" s="5" t="str">
        <f aca="false">IF($I4218="","","R"&amp;$I4218)</f>
        <v/>
      </c>
    </row>
    <row r="4219" customFormat="false" ht="15" hidden="false" customHeight="true" outlineLevel="0" collapsed="false">
      <c r="H4219" s="14" t="b">
        <f aca="false">IF(중복검사!$A4217="",FALSE(),중복검사!$J4217="유지")</f>
        <v>0</v>
      </c>
      <c r="I4219" s="5" t="str">
        <f aca="false">IF($H4219=FALSE(),"",COUNTIF($H$6:$H4219,TRUE()))</f>
        <v/>
      </c>
      <c r="J4219" s="5" t="str">
        <f aca="false">IF($I4219="","","R"&amp;$I4219)</f>
        <v/>
      </c>
    </row>
    <row r="4220" customFormat="false" ht="15" hidden="false" customHeight="true" outlineLevel="0" collapsed="false">
      <c r="H4220" s="14" t="b">
        <f aca="false">IF(중복검사!$A4218="",FALSE(),중복검사!$J4218="유지")</f>
        <v>0</v>
      </c>
      <c r="I4220" s="5" t="str">
        <f aca="false">IF($H4220=FALSE(),"",COUNTIF($H$6:$H4220,TRUE()))</f>
        <v/>
      </c>
      <c r="J4220" s="5" t="str">
        <f aca="false">IF($I4220="","","R"&amp;$I4220)</f>
        <v/>
      </c>
    </row>
    <row r="4221" customFormat="false" ht="15" hidden="false" customHeight="true" outlineLevel="0" collapsed="false">
      <c r="H4221" s="14" t="b">
        <f aca="false">IF(중복검사!$A4219="",FALSE(),중복검사!$J4219="유지")</f>
        <v>0</v>
      </c>
      <c r="I4221" s="5" t="str">
        <f aca="false">IF($H4221=FALSE(),"",COUNTIF($H$6:$H4221,TRUE()))</f>
        <v/>
      </c>
      <c r="J4221" s="5" t="str">
        <f aca="false">IF($I4221="","","R"&amp;$I4221)</f>
        <v/>
      </c>
    </row>
    <row r="4222" customFormat="false" ht="15" hidden="false" customHeight="true" outlineLevel="0" collapsed="false">
      <c r="H4222" s="14" t="b">
        <f aca="false">IF(중복검사!$A4220="",FALSE(),중복검사!$J4220="유지")</f>
        <v>0</v>
      </c>
      <c r="I4222" s="5" t="str">
        <f aca="false">IF($H4222=FALSE(),"",COUNTIF($H$6:$H4222,TRUE()))</f>
        <v/>
      </c>
      <c r="J4222" s="5" t="str">
        <f aca="false">IF($I4222="","","R"&amp;$I4222)</f>
        <v/>
      </c>
    </row>
    <row r="4223" customFormat="false" ht="15" hidden="false" customHeight="true" outlineLevel="0" collapsed="false">
      <c r="H4223" s="14" t="b">
        <f aca="false">IF(중복검사!$A4221="",FALSE(),중복검사!$J4221="유지")</f>
        <v>0</v>
      </c>
      <c r="I4223" s="5" t="str">
        <f aca="false">IF($H4223=FALSE(),"",COUNTIF($H$6:$H4223,TRUE()))</f>
        <v/>
      </c>
      <c r="J4223" s="5" t="str">
        <f aca="false">IF($I4223="","","R"&amp;$I4223)</f>
        <v/>
      </c>
    </row>
    <row r="4224" customFormat="false" ht="15" hidden="false" customHeight="true" outlineLevel="0" collapsed="false">
      <c r="H4224" s="14" t="b">
        <f aca="false">IF(중복검사!$A4222="",FALSE(),중복검사!$J4222="유지")</f>
        <v>0</v>
      </c>
      <c r="I4224" s="5" t="str">
        <f aca="false">IF($H4224=FALSE(),"",COUNTIF($H$6:$H4224,TRUE()))</f>
        <v/>
      </c>
      <c r="J4224" s="5" t="str">
        <f aca="false">IF($I4224="","","R"&amp;$I4224)</f>
        <v/>
      </c>
    </row>
    <row r="4225" customFormat="false" ht="15" hidden="false" customHeight="true" outlineLevel="0" collapsed="false">
      <c r="H4225" s="14" t="b">
        <f aca="false">IF(중복검사!$A4223="",FALSE(),중복검사!$J4223="유지")</f>
        <v>0</v>
      </c>
      <c r="I4225" s="5" t="str">
        <f aca="false">IF($H4225=FALSE(),"",COUNTIF($H$6:$H4225,TRUE()))</f>
        <v/>
      </c>
      <c r="J4225" s="5" t="str">
        <f aca="false">IF($I4225="","","R"&amp;$I4225)</f>
        <v/>
      </c>
    </row>
    <row r="4226" customFormat="false" ht="15" hidden="false" customHeight="true" outlineLevel="0" collapsed="false">
      <c r="H4226" s="14" t="b">
        <f aca="false">IF(중복검사!$A4224="",FALSE(),중복검사!$J4224="유지")</f>
        <v>0</v>
      </c>
      <c r="I4226" s="5" t="str">
        <f aca="false">IF($H4226=FALSE(),"",COUNTIF($H$6:$H4226,TRUE()))</f>
        <v/>
      </c>
      <c r="J4226" s="5" t="str">
        <f aca="false">IF($I4226="","","R"&amp;$I4226)</f>
        <v/>
      </c>
    </row>
    <row r="4227" customFormat="false" ht="15" hidden="false" customHeight="true" outlineLevel="0" collapsed="false">
      <c r="H4227" s="14" t="b">
        <f aca="false">IF(중복검사!$A4225="",FALSE(),중복검사!$J4225="유지")</f>
        <v>0</v>
      </c>
      <c r="I4227" s="5" t="str">
        <f aca="false">IF($H4227=FALSE(),"",COUNTIF($H$6:$H4227,TRUE()))</f>
        <v/>
      </c>
      <c r="J4227" s="5" t="str">
        <f aca="false">IF($I4227="","","R"&amp;$I4227)</f>
        <v/>
      </c>
    </row>
    <row r="4228" customFormat="false" ht="15" hidden="false" customHeight="true" outlineLevel="0" collapsed="false">
      <c r="H4228" s="14" t="b">
        <f aca="false">IF(중복검사!$A4226="",FALSE(),중복검사!$J4226="유지")</f>
        <v>0</v>
      </c>
      <c r="I4228" s="5" t="str">
        <f aca="false">IF($H4228=FALSE(),"",COUNTIF($H$6:$H4228,TRUE()))</f>
        <v/>
      </c>
      <c r="J4228" s="5" t="str">
        <f aca="false">IF($I4228="","","R"&amp;$I4228)</f>
        <v/>
      </c>
    </row>
    <row r="4229" customFormat="false" ht="15" hidden="false" customHeight="true" outlineLevel="0" collapsed="false">
      <c r="H4229" s="14" t="b">
        <f aca="false">IF(중복검사!$A4227="",FALSE(),중복검사!$J4227="유지")</f>
        <v>0</v>
      </c>
      <c r="I4229" s="5" t="str">
        <f aca="false">IF($H4229=FALSE(),"",COUNTIF($H$6:$H4229,TRUE()))</f>
        <v/>
      </c>
      <c r="J4229" s="5" t="str">
        <f aca="false">IF($I4229="","","R"&amp;$I4229)</f>
        <v/>
      </c>
    </row>
    <row r="4230" customFormat="false" ht="15" hidden="false" customHeight="true" outlineLevel="0" collapsed="false">
      <c r="H4230" s="14" t="b">
        <f aca="false">IF(중복검사!$A4228="",FALSE(),중복검사!$J4228="유지")</f>
        <v>0</v>
      </c>
      <c r="I4230" s="5" t="str">
        <f aca="false">IF($H4230=FALSE(),"",COUNTIF($H$6:$H4230,TRUE()))</f>
        <v/>
      </c>
      <c r="J4230" s="5" t="str">
        <f aca="false">IF($I4230="","","R"&amp;$I4230)</f>
        <v/>
      </c>
    </row>
    <row r="4231" customFormat="false" ht="15" hidden="false" customHeight="true" outlineLevel="0" collapsed="false">
      <c r="H4231" s="14" t="b">
        <f aca="false">IF(중복검사!$A4229="",FALSE(),중복검사!$J4229="유지")</f>
        <v>0</v>
      </c>
      <c r="I4231" s="5" t="str">
        <f aca="false">IF($H4231=FALSE(),"",COUNTIF($H$6:$H4231,TRUE()))</f>
        <v/>
      </c>
      <c r="J4231" s="5" t="str">
        <f aca="false">IF($I4231="","","R"&amp;$I4231)</f>
        <v/>
      </c>
    </row>
    <row r="4232" customFormat="false" ht="15" hidden="false" customHeight="true" outlineLevel="0" collapsed="false">
      <c r="H4232" s="14" t="b">
        <f aca="false">IF(중복검사!$A4230="",FALSE(),중복검사!$J4230="유지")</f>
        <v>0</v>
      </c>
      <c r="I4232" s="5" t="str">
        <f aca="false">IF($H4232=FALSE(),"",COUNTIF($H$6:$H4232,TRUE()))</f>
        <v/>
      </c>
      <c r="J4232" s="5" t="str">
        <f aca="false">IF($I4232="","","R"&amp;$I4232)</f>
        <v/>
      </c>
    </row>
    <row r="4233" customFormat="false" ht="15" hidden="false" customHeight="true" outlineLevel="0" collapsed="false">
      <c r="H4233" s="14" t="b">
        <f aca="false">IF(중복검사!$A4231="",FALSE(),중복검사!$J4231="유지")</f>
        <v>0</v>
      </c>
      <c r="I4233" s="5" t="str">
        <f aca="false">IF($H4233=FALSE(),"",COUNTIF($H$6:$H4233,TRUE()))</f>
        <v/>
      </c>
      <c r="J4233" s="5" t="str">
        <f aca="false">IF($I4233="","","R"&amp;$I4233)</f>
        <v/>
      </c>
    </row>
    <row r="4234" customFormat="false" ht="15" hidden="false" customHeight="true" outlineLevel="0" collapsed="false">
      <c r="H4234" s="14" t="b">
        <f aca="false">IF(중복검사!$A4232="",FALSE(),중복검사!$J4232="유지")</f>
        <v>0</v>
      </c>
      <c r="I4234" s="5" t="str">
        <f aca="false">IF($H4234=FALSE(),"",COUNTIF($H$6:$H4234,TRUE()))</f>
        <v/>
      </c>
      <c r="J4234" s="5" t="str">
        <f aca="false">IF($I4234="","","R"&amp;$I4234)</f>
        <v/>
      </c>
    </row>
    <row r="4235" customFormat="false" ht="15" hidden="false" customHeight="true" outlineLevel="0" collapsed="false">
      <c r="H4235" s="14" t="b">
        <f aca="false">IF(중복검사!$A4233="",FALSE(),중복검사!$J4233="유지")</f>
        <v>0</v>
      </c>
      <c r="I4235" s="5" t="str">
        <f aca="false">IF($H4235=FALSE(),"",COUNTIF($H$6:$H4235,TRUE()))</f>
        <v/>
      </c>
      <c r="J4235" s="5" t="str">
        <f aca="false">IF($I4235="","","R"&amp;$I4235)</f>
        <v/>
      </c>
    </row>
    <row r="4236" customFormat="false" ht="15" hidden="false" customHeight="true" outlineLevel="0" collapsed="false">
      <c r="H4236" s="14" t="b">
        <f aca="false">IF(중복검사!$A4234="",FALSE(),중복검사!$J4234="유지")</f>
        <v>0</v>
      </c>
      <c r="I4236" s="5" t="str">
        <f aca="false">IF($H4236=FALSE(),"",COUNTIF($H$6:$H4236,TRUE()))</f>
        <v/>
      </c>
      <c r="J4236" s="5" t="str">
        <f aca="false">IF($I4236="","","R"&amp;$I4236)</f>
        <v/>
      </c>
    </row>
    <row r="4237" customFormat="false" ht="15" hidden="false" customHeight="true" outlineLevel="0" collapsed="false">
      <c r="H4237" s="14" t="b">
        <f aca="false">IF(중복검사!$A4235="",FALSE(),중복검사!$J4235="유지")</f>
        <v>0</v>
      </c>
      <c r="I4237" s="5" t="str">
        <f aca="false">IF($H4237=FALSE(),"",COUNTIF($H$6:$H4237,TRUE()))</f>
        <v/>
      </c>
      <c r="J4237" s="5" t="str">
        <f aca="false">IF($I4237="","","R"&amp;$I4237)</f>
        <v/>
      </c>
    </row>
    <row r="4238" customFormat="false" ht="15" hidden="false" customHeight="true" outlineLevel="0" collapsed="false">
      <c r="H4238" s="14" t="b">
        <f aca="false">IF(중복검사!$A4236="",FALSE(),중복검사!$J4236="유지")</f>
        <v>0</v>
      </c>
      <c r="I4238" s="5" t="str">
        <f aca="false">IF($H4238=FALSE(),"",COUNTIF($H$6:$H4238,TRUE()))</f>
        <v/>
      </c>
      <c r="J4238" s="5" t="str">
        <f aca="false">IF($I4238="","","R"&amp;$I4238)</f>
        <v/>
      </c>
    </row>
    <row r="4239" customFormat="false" ht="15" hidden="false" customHeight="true" outlineLevel="0" collapsed="false">
      <c r="H4239" s="14" t="b">
        <f aca="false">IF(중복검사!$A4237="",FALSE(),중복검사!$J4237="유지")</f>
        <v>0</v>
      </c>
      <c r="I4239" s="5" t="str">
        <f aca="false">IF($H4239=FALSE(),"",COUNTIF($H$6:$H4239,TRUE()))</f>
        <v/>
      </c>
      <c r="J4239" s="5" t="str">
        <f aca="false">IF($I4239="","","R"&amp;$I4239)</f>
        <v/>
      </c>
    </row>
    <row r="4240" customFormat="false" ht="15" hidden="false" customHeight="true" outlineLevel="0" collapsed="false">
      <c r="H4240" s="14" t="b">
        <f aca="false">IF(중복검사!$A4238="",FALSE(),중복검사!$J4238="유지")</f>
        <v>0</v>
      </c>
      <c r="I4240" s="5" t="str">
        <f aca="false">IF($H4240=FALSE(),"",COUNTIF($H$6:$H4240,TRUE()))</f>
        <v/>
      </c>
      <c r="J4240" s="5" t="str">
        <f aca="false">IF($I4240="","","R"&amp;$I4240)</f>
        <v/>
      </c>
    </row>
    <row r="4241" customFormat="false" ht="15" hidden="false" customHeight="true" outlineLevel="0" collapsed="false">
      <c r="H4241" s="14" t="b">
        <f aca="false">IF(중복검사!$A4239="",FALSE(),중복검사!$J4239="유지")</f>
        <v>0</v>
      </c>
      <c r="I4241" s="5" t="str">
        <f aca="false">IF($H4241=FALSE(),"",COUNTIF($H$6:$H4241,TRUE()))</f>
        <v/>
      </c>
      <c r="J4241" s="5" t="str">
        <f aca="false">IF($I4241="","","R"&amp;$I4241)</f>
        <v/>
      </c>
    </row>
    <row r="4242" customFormat="false" ht="15" hidden="false" customHeight="true" outlineLevel="0" collapsed="false">
      <c r="H4242" s="14" t="b">
        <f aca="false">IF(중복검사!$A4240="",FALSE(),중복검사!$J4240="유지")</f>
        <v>0</v>
      </c>
      <c r="I4242" s="5" t="str">
        <f aca="false">IF($H4242=FALSE(),"",COUNTIF($H$6:$H4242,TRUE()))</f>
        <v/>
      </c>
      <c r="J4242" s="5" t="str">
        <f aca="false">IF($I4242="","","R"&amp;$I4242)</f>
        <v/>
      </c>
    </row>
    <row r="4243" customFormat="false" ht="15" hidden="false" customHeight="true" outlineLevel="0" collapsed="false">
      <c r="H4243" s="14" t="b">
        <f aca="false">IF(중복검사!$A4241="",FALSE(),중복검사!$J4241="유지")</f>
        <v>0</v>
      </c>
      <c r="I4243" s="5" t="str">
        <f aca="false">IF($H4243=FALSE(),"",COUNTIF($H$6:$H4243,TRUE()))</f>
        <v/>
      </c>
      <c r="J4243" s="5" t="str">
        <f aca="false">IF($I4243="","","R"&amp;$I4243)</f>
        <v/>
      </c>
    </row>
    <row r="4244" customFormat="false" ht="15" hidden="false" customHeight="true" outlineLevel="0" collapsed="false">
      <c r="H4244" s="14" t="b">
        <f aca="false">IF(중복검사!$A4242="",FALSE(),중복검사!$J4242="유지")</f>
        <v>0</v>
      </c>
      <c r="I4244" s="5" t="str">
        <f aca="false">IF($H4244=FALSE(),"",COUNTIF($H$6:$H4244,TRUE()))</f>
        <v/>
      </c>
      <c r="J4244" s="5" t="str">
        <f aca="false">IF($I4244="","","R"&amp;$I4244)</f>
        <v/>
      </c>
    </row>
    <row r="4245" customFormat="false" ht="15" hidden="false" customHeight="true" outlineLevel="0" collapsed="false">
      <c r="H4245" s="14" t="b">
        <f aca="false">IF(중복검사!$A4243="",FALSE(),중복검사!$J4243="유지")</f>
        <v>0</v>
      </c>
      <c r="I4245" s="5" t="str">
        <f aca="false">IF($H4245=FALSE(),"",COUNTIF($H$6:$H4245,TRUE()))</f>
        <v/>
      </c>
      <c r="J4245" s="5" t="str">
        <f aca="false">IF($I4245="","","R"&amp;$I4245)</f>
        <v/>
      </c>
    </row>
    <row r="4246" customFormat="false" ht="15" hidden="false" customHeight="true" outlineLevel="0" collapsed="false">
      <c r="H4246" s="14" t="b">
        <f aca="false">IF(중복검사!$A4244="",FALSE(),중복검사!$J4244="유지")</f>
        <v>0</v>
      </c>
      <c r="I4246" s="5" t="str">
        <f aca="false">IF($H4246=FALSE(),"",COUNTIF($H$6:$H4246,TRUE()))</f>
        <v/>
      </c>
      <c r="J4246" s="5" t="str">
        <f aca="false">IF($I4246="","","R"&amp;$I4246)</f>
        <v/>
      </c>
    </row>
    <row r="4247" customFormat="false" ht="15" hidden="false" customHeight="true" outlineLevel="0" collapsed="false">
      <c r="H4247" s="14" t="b">
        <f aca="false">IF(중복검사!$A4245="",FALSE(),중복검사!$J4245="유지")</f>
        <v>0</v>
      </c>
      <c r="I4247" s="5" t="str">
        <f aca="false">IF($H4247=FALSE(),"",COUNTIF($H$6:$H4247,TRUE()))</f>
        <v/>
      </c>
      <c r="J4247" s="5" t="str">
        <f aca="false">IF($I4247="","","R"&amp;$I4247)</f>
        <v/>
      </c>
    </row>
    <row r="4248" customFormat="false" ht="15" hidden="false" customHeight="true" outlineLevel="0" collapsed="false">
      <c r="H4248" s="14" t="b">
        <f aca="false">IF(중복검사!$A4246="",FALSE(),중복검사!$J4246="유지")</f>
        <v>0</v>
      </c>
      <c r="I4248" s="5" t="str">
        <f aca="false">IF($H4248=FALSE(),"",COUNTIF($H$6:$H4248,TRUE()))</f>
        <v/>
      </c>
      <c r="J4248" s="5" t="str">
        <f aca="false">IF($I4248="","","R"&amp;$I4248)</f>
        <v/>
      </c>
    </row>
    <row r="4249" customFormat="false" ht="15" hidden="false" customHeight="true" outlineLevel="0" collapsed="false">
      <c r="H4249" s="14" t="b">
        <f aca="false">IF(중복검사!$A4247="",FALSE(),중복검사!$J4247="유지")</f>
        <v>0</v>
      </c>
      <c r="I4249" s="5" t="str">
        <f aca="false">IF($H4249=FALSE(),"",COUNTIF($H$6:$H4249,TRUE()))</f>
        <v/>
      </c>
      <c r="J4249" s="5" t="str">
        <f aca="false">IF($I4249="","","R"&amp;$I4249)</f>
        <v/>
      </c>
    </row>
    <row r="4250" customFormat="false" ht="15" hidden="false" customHeight="true" outlineLevel="0" collapsed="false">
      <c r="H4250" s="14" t="b">
        <f aca="false">IF(중복검사!$A4248="",FALSE(),중복검사!$J4248="유지")</f>
        <v>0</v>
      </c>
      <c r="I4250" s="5" t="str">
        <f aca="false">IF($H4250=FALSE(),"",COUNTIF($H$6:$H4250,TRUE()))</f>
        <v/>
      </c>
      <c r="J4250" s="5" t="str">
        <f aca="false">IF($I4250="","","R"&amp;$I4250)</f>
        <v/>
      </c>
    </row>
    <row r="4251" customFormat="false" ht="15" hidden="false" customHeight="true" outlineLevel="0" collapsed="false">
      <c r="H4251" s="14" t="b">
        <f aca="false">IF(중복검사!$A4249="",FALSE(),중복검사!$J4249="유지")</f>
        <v>0</v>
      </c>
      <c r="I4251" s="5" t="str">
        <f aca="false">IF($H4251=FALSE(),"",COUNTIF($H$6:$H4251,TRUE()))</f>
        <v/>
      </c>
      <c r="J4251" s="5" t="str">
        <f aca="false">IF($I4251="","","R"&amp;$I4251)</f>
        <v/>
      </c>
    </row>
    <row r="4252" customFormat="false" ht="15" hidden="false" customHeight="true" outlineLevel="0" collapsed="false">
      <c r="H4252" s="14" t="b">
        <f aca="false">IF(중복검사!$A4250="",FALSE(),중복검사!$J4250="유지")</f>
        <v>0</v>
      </c>
      <c r="I4252" s="5" t="str">
        <f aca="false">IF($H4252=FALSE(),"",COUNTIF($H$6:$H4252,TRUE()))</f>
        <v/>
      </c>
      <c r="J4252" s="5" t="str">
        <f aca="false">IF($I4252="","","R"&amp;$I4252)</f>
        <v/>
      </c>
    </row>
    <row r="4253" customFormat="false" ht="15" hidden="false" customHeight="true" outlineLevel="0" collapsed="false">
      <c r="H4253" s="14" t="b">
        <f aca="false">IF(중복검사!$A4251="",FALSE(),중복검사!$J4251="유지")</f>
        <v>0</v>
      </c>
      <c r="I4253" s="5" t="str">
        <f aca="false">IF($H4253=FALSE(),"",COUNTIF($H$6:$H4253,TRUE()))</f>
        <v/>
      </c>
      <c r="J4253" s="5" t="str">
        <f aca="false">IF($I4253="","","R"&amp;$I4253)</f>
        <v/>
      </c>
    </row>
    <row r="4254" customFormat="false" ht="15" hidden="false" customHeight="true" outlineLevel="0" collapsed="false">
      <c r="H4254" s="14" t="b">
        <f aca="false">IF(중복검사!$A4252="",FALSE(),중복검사!$J4252="유지")</f>
        <v>0</v>
      </c>
      <c r="I4254" s="5" t="str">
        <f aca="false">IF($H4254=FALSE(),"",COUNTIF($H$6:$H4254,TRUE()))</f>
        <v/>
      </c>
      <c r="J4254" s="5" t="str">
        <f aca="false">IF($I4254="","","R"&amp;$I4254)</f>
        <v/>
      </c>
    </row>
    <row r="4255" customFormat="false" ht="15" hidden="false" customHeight="true" outlineLevel="0" collapsed="false">
      <c r="H4255" s="14" t="b">
        <f aca="false">IF(중복검사!$A4253="",FALSE(),중복검사!$J4253="유지")</f>
        <v>0</v>
      </c>
      <c r="I4255" s="5" t="str">
        <f aca="false">IF($H4255=FALSE(),"",COUNTIF($H$6:$H4255,TRUE()))</f>
        <v/>
      </c>
      <c r="J4255" s="5" t="str">
        <f aca="false">IF($I4255="","","R"&amp;$I4255)</f>
        <v/>
      </c>
    </row>
    <row r="4256" customFormat="false" ht="15" hidden="false" customHeight="true" outlineLevel="0" collapsed="false">
      <c r="H4256" s="14" t="b">
        <f aca="false">IF(중복검사!$A4254="",FALSE(),중복검사!$J4254="유지")</f>
        <v>0</v>
      </c>
      <c r="I4256" s="5" t="str">
        <f aca="false">IF($H4256=FALSE(),"",COUNTIF($H$6:$H4256,TRUE()))</f>
        <v/>
      </c>
      <c r="J4256" s="5" t="str">
        <f aca="false">IF($I4256="","","R"&amp;$I4256)</f>
        <v/>
      </c>
    </row>
    <row r="4257" customFormat="false" ht="15" hidden="false" customHeight="true" outlineLevel="0" collapsed="false">
      <c r="H4257" s="14" t="b">
        <f aca="false">IF(중복검사!$A4255="",FALSE(),중복검사!$J4255="유지")</f>
        <v>0</v>
      </c>
      <c r="I4257" s="5" t="str">
        <f aca="false">IF($H4257=FALSE(),"",COUNTIF($H$6:$H4257,TRUE()))</f>
        <v/>
      </c>
      <c r="J4257" s="5" t="str">
        <f aca="false">IF($I4257="","","R"&amp;$I4257)</f>
        <v/>
      </c>
    </row>
    <row r="4258" customFormat="false" ht="15" hidden="false" customHeight="true" outlineLevel="0" collapsed="false">
      <c r="H4258" s="14" t="b">
        <f aca="false">IF(중복검사!$A4256="",FALSE(),중복검사!$J4256="유지")</f>
        <v>0</v>
      </c>
      <c r="I4258" s="5" t="str">
        <f aca="false">IF($H4258=FALSE(),"",COUNTIF($H$6:$H4258,TRUE()))</f>
        <v/>
      </c>
      <c r="J4258" s="5" t="str">
        <f aca="false">IF($I4258="","","R"&amp;$I4258)</f>
        <v/>
      </c>
    </row>
    <row r="4259" customFormat="false" ht="15" hidden="false" customHeight="true" outlineLevel="0" collapsed="false">
      <c r="H4259" s="14" t="b">
        <f aca="false">IF(중복검사!$A4257="",FALSE(),중복검사!$J4257="유지")</f>
        <v>0</v>
      </c>
      <c r="I4259" s="5" t="str">
        <f aca="false">IF($H4259=FALSE(),"",COUNTIF($H$6:$H4259,TRUE()))</f>
        <v/>
      </c>
      <c r="J4259" s="5" t="str">
        <f aca="false">IF($I4259="","","R"&amp;$I4259)</f>
        <v/>
      </c>
    </row>
    <row r="4260" customFormat="false" ht="15" hidden="false" customHeight="true" outlineLevel="0" collapsed="false">
      <c r="H4260" s="14" t="b">
        <f aca="false">IF(중복검사!$A4258="",FALSE(),중복검사!$J4258="유지")</f>
        <v>0</v>
      </c>
      <c r="I4260" s="5" t="str">
        <f aca="false">IF($H4260=FALSE(),"",COUNTIF($H$6:$H4260,TRUE()))</f>
        <v/>
      </c>
      <c r="J4260" s="5" t="str">
        <f aca="false">IF($I4260="","","R"&amp;$I4260)</f>
        <v/>
      </c>
    </row>
    <row r="4261" customFormat="false" ht="15" hidden="false" customHeight="true" outlineLevel="0" collapsed="false">
      <c r="H4261" s="14" t="b">
        <f aca="false">IF(중복검사!$A4259="",FALSE(),중복검사!$J4259="유지")</f>
        <v>0</v>
      </c>
      <c r="I4261" s="5" t="str">
        <f aca="false">IF($H4261=FALSE(),"",COUNTIF($H$6:$H4261,TRUE()))</f>
        <v/>
      </c>
      <c r="J4261" s="5" t="str">
        <f aca="false">IF($I4261="","","R"&amp;$I4261)</f>
        <v/>
      </c>
    </row>
    <row r="4262" customFormat="false" ht="15" hidden="false" customHeight="true" outlineLevel="0" collapsed="false">
      <c r="H4262" s="14" t="b">
        <f aca="false">IF(중복검사!$A4260="",FALSE(),중복검사!$J4260="유지")</f>
        <v>0</v>
      </c>
      <c r="I4262" s="5" t="str">
        <f aca="false">IF($H4262=FALSE(),"",COUNTIF($H$6:$H4262,TRUE()))</f>
        <v/>
      </c>
      <c r="J4262" s="5" t="str">
        <f aca="false">IF($I4262="","","R"&amp;$I4262)</f>
        <v/>
      </c>
    </row>
    <row r="4263" customFormat="false" ht="15" hidden="false" customHeight="true" outlineLevel="0" collapsed="false">
      <c r="H4263" s="14" t="b">
        <f aca="false">IF(중복검사!$A4261="",FALSE(),중복검사!$J4261="유지")</f>
        <v>0</v>
      </c>
      <c r="I4263" s="5" t="str">
        <f aca="false">IF($H4263=FALSE(),"",COUNTIF($H$6:$H4263,TRUE()))</f>
        <v/>
      </c>
      <c r="J4263" s="5" t="str">
        <f aca="false">IF($I4263="","","R"&amp;$I4263)</f>
        <v/>
      </c>
    </row>
    <row r="4264" customFormat="false" ht="15" hidden="false" customHeight="true" outlineLevel="0" collapsed="false">
      <c r="H4264" s="14" t="b">
        <f aca="false">IF(중복검사!$A4262="",FALSE(),중복검사!$J4262="유지")</f>
        <v>0</v>
      </c>
      <c r="I4264" s="5" t="str">
        <f aca="false">IF($H4264=FALSE(),"",COUNTIF($H$6:$H4264,TRUE()))</f>
        <v/>
      </c>
      <c r="J4264" s="5" t="str">
        <f aca="false">IF($I4264="","","R"&amp;$I4264)</f>
        <v/>
      </c>
    </row>
    <row r="4265" customFormat="false" ht="15" hidden="false" customHeight="true" outlineLevel="0" collapsed="false">
      <c r="H4265" s="14" t="b">
        <f aca="false">IF(중복검사!$A4263="",FALSE(),중복검사!$J4263="유지")</f>
        <v>0</v>
      </c>
      <c r="I4265" s="5" t="str">
        <f aca="false">IF($H4265=FALSE(),"",COUNTIF($H$6:$H4265,TRUE()))</f>
        <v/>
      </c>
      <c r="J4265" s="5" t="str">
        <f aca="false">IF($I4265="","","R"&amp;$I4265)</f>
        <v/>
      </c>
    </row>
    <row r="4266" customFormat="false" ht="15" hidden="false" customHeight="true" outlineLevel="0" collapsed="false">
      <c r="H4266" s="14" t="b">
        <f aca="false">IF(중복검사!$A4264="",FALSE(),중복검사!$J4264="유지")</f>
        <v>0</v>
      </c>
      <c r="I4266" s="5" t="str">
        <f aca="false">IF($H4266=FALSE(),"",COUNTIF($H$6:$H4266,TRUE()))</f>
        <v/>
      </c>
      <c r="J4266" s="5" t="str">
        <f aca="false">IF($I4266="","","R"&amp;$I4266)</f>
        <v/>
      </c>
    </row>
    <row r="4267" customFormat="false" ht="15" hidden="false" customHeight="true" outlineLevel="0" collapsed="false">
      <c r="H4267" s="14" t="b">
        <f aca="false">IF(중복검사!$A4265="",FALSE(),중복검사!$J4265="유지")</f>
        <v>0</v>
      </c>
      <c r="I4267" s="5" t="str">
        <f aca="false">IF($H4267=FALSE(),"",COUNTIF($H$6:$H4267,TRUE()))</f>
        <v/>
      </c>
      <c r="J4267" s="5" t="str">
        <f aca="false">IF($I4267="","","R"&amp;$I4267)</f>
        <v/>
      </c>
    </row>
    <row r="4268" customFormat="false" ht="15" hidden="false" customHeight="true" outlineLevel="0" collapsed="false">
      <c r="H4268" s="14" t="b">
        <f aca="false">IF(중복검사!$A4266="",FALSE(),중복검사!$J4266="유지")</f>
        <v>0</v>
      </c>
      <c r="I4268" s="5" t="str">
        <f aca="false">IF($H4268=FALSE(),"",COUNTIF($H$6:$H4268,TRUE()))</f>
        <v/>
      </c>
      <c r="J4268" s="5" t="str">
        <f aca="false">IF($I4268="","","R"&amp;$I4268)</f>
        <v/>
      </c>
    </row>
    <row r="4269" customFormat="false" ht="15" hidden="false" customHeight="true" outlineLevel="0" collapsed="false">
      <c r="H4269" s="14" t="b">
        <f aca="false">IF(중복검사!$A4267="",FALSE(),중복검사!$J4267="유지")</f>
        <v>0</v>
      </c>
      <c r="I4269" s="5" t="str">
        <f aca="false">IF($H4269=FALSE(),"",COUNTIF($H$6:$H4269,TRUE()))</f>
        <v/>
      </c>
      <c r="J4269" s="5" t="str">
        <f aca="false">IF($I4269="","","R"&amp;$I4269)</f>
        <v/>
      </c>
    </row>
    <row r="4270" customFormat="false" ht="15" hidden="false" customHeight="true" outlineLevel="0" collapsed="false">
      <c r="H4270" s="14" t="b">
        <f aca="false">IF(중복검사!$A4268="",FALSE(),중복검사!$J4268="유지")</f>
        <v>0</v>
      </c>
      <c r="I4270" s="5" t="str">
        <f aca="false">IF($H4270=FALSE(),"",COUNTIF($H$6:$H4270,TRUE()))</f>
        <v/>
      </c>
      <c r="J4270" s="5" t="str">
        <f aca="false">IF($I4270="","","R"&amp;$I4270)</f>
        <v/>
      </c>
    </row>
    <row r="4271" customFormat="false" ht="15" hidden="false" customHeight="true" outlineLevel="0" collapsed="false">
      <c r="H4271" s="14" t="b">
        <f aca="false">IF(중복검사!$A4269="",FALSE(),중복검사!$J4269="유지")</f>
        <v>0</v>
      </c>
      <c r="I4271" s="5" t="str">
        <f aca="false">IF($H4271=FALSE(),"",COUNTIF($H$6:$H4271,TRUE()))</f>
        <v/>
      </c>
      <c r="J4271" s="5" t="str">
        <f aca="false">IF($I4271="","","R"&amp;$I4271)</f>
        <v/>
      </c>
    </row>
    <row r="4272" customFormat="false" ht="15" hidden="false" customHeight="true" outlineLevel="0" collapsed="false">
      <c r="H4272" s="14" t="b">
        <f aca="false">IF(중복검사!$A4270="",FALSE(),중복검사!$J4270="유지")</f>
        <v>0</v>
      </c>
      <c r="I4272" s="5" t="str">
        <f aca="false">IF($H4272=FALSE(),"",COUNTIF($H$6:$H4272,TRUE()))</f>
        <v/>
      </c>
      <c r="J4272" s="5" t="str">
        <f aca="false">IF($I4272="","","R"&amp;$I4272)</f>
        <v/>
      </c>
    </row>
    <row r="4273" customFormat="false" ht="15" hidden="false" customHeight="true" outlineLevel="0" collapsed="false">
      <c r="H4273" s="14" t="b">
        <f aca="false">IF(중복검사!$A4271="",FALSE(),중복검사!$J4271="유지")</f>
        <v>0</v>
      </c>
      <c r="I4273" s="5" t="str">
        <f aca="false">IF($H4273=FALSE(),"",COUNTIF($H$6:$H4273,TRUE()))</f>
        <v/>
      </c>
      <c r="J4273" s="5" t="str">
        <f aca="false">IF($I4273="","","R"&amp;$I4273)</f>
        <v/>
      </c>
    </row>
    <row r="4274" customFormat="false" ht="15" hidden="false" customHeight="true" outlineLevel="0" collapsed="false">
      <c r="H4274" s="14" t="b">
        <f aca="false">IF(중복검사!$A4272="",FALSE(),중복검사!$J4272="유지")</f>
        <v>0</v>
      </c>
      <c r="I4274" s="5" t="str">
        <f aca="false">IF($H4274=FALSE(),"",COUNTIF($H$6:$H4274,TRUE()))</f>
        <v/>
      </c>
      <c r="J4274" s="5" t="str">
        <f aca="false">IF($I4274="","","R"&amp;$I4274)</f>
        <v/>
      </c>
    </row>
    <row r="4275" customFormat="false" ht="15" hidden="false" customHeight="true" outlineLevel="0" collapsed="false">
      <c r="H4275" s="14" t="b">
        <f aca="false">IF(중복검사!$A4273="",FALSE(),중복검사!$J4273="유지")</f>
        <v>0</v>
      </c>
      <c r="I4275" s="5" t="str">
        <f aca="false">IF($H4275=FALSE(),"",COUNTIF($H$6:$H4275,TRUE()))</f>
        <v/>
      </c>
      <c r="J4275" s="5" t="str">
        <f aca="false">IF($I4275="","","R"&amp;$I4275)</f>
        <v/>
      </c>
    </row>
    <row r="4276" customFormat="false" ht="15" hidden="false" customHeight="true" outlineLevel="0" collapsed="false">
      <c r="H4276" s="14" t="b">
        <f aca="false">IF(중복검사!$A4274="",FALSE(),중복검사!$J4274="유지")</f>
        <v>0</v>
      </c>
      <c r="I4276" s="5" t="str">
        <f aca="false">IF($H4276=FALSE(),"",COUNTIF($H$6:$H4276,TRUE()))</f>
        <v/>
      </c>
      <c r="J4276" s="5" t="str">
        <f aca="false">IF($I4276="","","R"&amp;$I4276)</f>
        <v/>
      </c>
    </row>
    <row r="4277" customFormat="false" ht="15" hidden="false" customHeight="true" outlineLevel="0" collapsed="false">
      <c r="H4277" s="14" t="b">
        <f aca="false">IF(중복검사!$A4275="",FALSE(),중복검사!$J4275="유지")</f>
        <v>0</v>
      </c>
      <c r="I4277" s="5" t="str">
        <f aca="false">IF($H4277=FALSE(),"",COUNTIF($H$6:$H4277,TRUE()))</f>
        <v/>
      </c>
      <c r="J4277" s="5" t="str">
        <f aca="false">IF($I4277="","","R"&amp;$I4277)</f>
        <v/>
      </c>
    </row>
    <row r="4278" customFormat="false" ht="15" hidden="false" customHeight="true" outlineLevel="0" collapsed="false">
      <c r="H4278" s="14" t="b">
        <f aca="false">IF(중복검사!$A4276="",FALSE(),중복검사!$J4276="유지")</f>
        <v>0</v>
      </c>
      <c r="I4278" s="5" t="str">
        <f aca="false">IF($H4278=FALSE(),"",COUNTIF($H$6:$H4278,TRUE()))</f>
        <v/>
      </c>
      <c r="J4278" s="5" t="str">
        <f aca="false">IF($I4278="","","R"&amp;$I4278)</f>
        <v/>
      </c>
    </row>
    <row r="4279" customFormat="false" ht="15" hidden="false" customHeight="true" outlineLevel="0" collapsed="false">
      <c r="H4279" s="14" t="b">
        <f aca="false">IF(중복검사!$A4277="",FALSE(),중복검사!$J4277="유지")</f>
        <v>0</v>
      </c>
      <c r="I4279" s="5" t="str">
        <f aca="false">IF($H4279=FALSE(),"",COUNTIF($H$6:$H4279,TRUE()))</f>
        <v/>
      </c>
      <c r="J4279" s="5" t="str">
        <f aca="false">IF($I4279="","","R"&amp;$I4279)</f>
        <v/>
      </c>
    </row>
    <row r="4280" customFormat="false" ht="15" hidden="false" customHeight="true" outlineLevel="0" collapsed="false">
      <c r="H4280" s="14" t="b">
        <f aca="false">IF(중복검사!$A4278="",FALSE(),중복검사!$J4278="유지")</f>
        <v>0</v>
      </c>
      <c r="I4280" s="5" t="str">
        <f aca="false">IF($H4280=FALSE(),"",COUNTIF($H$6:$H4280,TRUE()))</f>
        <v/>
      </c>
      <c r="J4280" s="5" t="str">
        <f aca="false">IF($I4280="","","R"&amp;$I4280)</f>
        <v/>
      </c>
    </row>
    <row r="4281" customFormat="false" ht="15" hidden="false" customHeight="true" outlineLevel="0" collapsed="false">
      <c r="H4281" s="14" t="b">
        <f aca="false">IF(중복검사!$A4279="",FALSE(),중복검사!$J4279="유지")</f>
        <v>0</v>
      </c>
      <c r="I4281" s="5" t="str">
        <f aca="false">IF($H4281=FALSE(),"",COUNTIF($H$6:$H4281,TRUE()))</f>
        <v/>
      </c>
      <c r="J4281" s="5" t="str">
        <f aca="false">IF($I4281="","","R"&amp;$I4281)</f>
        <v/>
      </c>
    </row>
    <row r="4282" customFormat="false" ht="15" hidden="false" customHeight="true" outlineLevel="0" collapsed="false">
      <c r="H4282" s="14" t="b">
        <f aca="false">IF(중복검사!$A4280="",FALSE(),중복검사!$J4280="유지")</f>
        <v>0</v>
      </c>
      <c r="I4282" s="5" t="str">
        <f aca="false">IF($H4282=FALSE(),"",COUNTIF($H$6:$H4282,TRUE()))</f>
        <v/>
      </c>
      <c r="J4282" s="5" t="str">
        <f aca="false">IF($I4282="","","R"&amp;$I4282)</f>
        <v/>
      </c>
    </row>
    <row r="4283" customFormat="false" ht="15" hidden="false" customHeight="true" outlineLevel="0" collapsed="false">
      <c r="H4283" s="14" t="b">
        <f aca="false">IF(중복검사!$A4281="",FALSE(),중복검사!$J4281="유지")</f>
        <v>0</v>
      </c>
      <c r="I4283" s="5" t="str">
        <f aca="false">IF($H4283=FALSE(),"",COUNTIF($H$6:$H4283,TRUE()))</f>
        <v/>
      </c>
      <c r="J4283" s="5" t="str">
        <f aca="false">IF($I4283="","","R"&amp;$I4283)</f>
        <v/>
      </c>
    </row>
    <row r="4284" customFormat="false" ht="15" hidden="false" customHeight="true" outlineLevel="0" collapsed="false">
      <c r="H4284" s="14" t="b">
        <f aca="false">IF(중복검사!$A4282="",FALSE(),중복검사!$J4282="유지")</f>
        <v>0</v>
      </c>
      <c r="I4284" s="5" t="str">
        <f aca="false">IF($H4284=FALSE(),"",COUNTIF($H$6:$H4284,TRUE()))</f>
        <v/>
      </c>
      <c r="J4284" s="5" t="str">
        <f aca="false">IF($I4284="","","R"&amp;$I4284)</f>
        <v/>
      </c>
    </row>
    <row r="4285" customFormat="false" ht="15" hidden="false" customHeight="true" outlineLevel="0" collapsed="false">
      <c r="H4285" s="14" t="b">
        <f aca="false">IF(중복검사!$A4283="",FALSE(),중복검사!$J4283="유지")</f>
        <v>0</v>
      </c>
      <c r="I4285" s="5" t="str">
        <f aca="false">IF($H4285=FALSE(),"",COUNTIF($H$6:$H4285,TRUE()))</f>
        <v/>
      </c>
      <c r="J4285" s="5" t="str">
        <f aca="false">IF($I4285="","","R"&amp;$I4285)</f>
        <v/>
      </c>
    </row>
    <row r="4286" customFormat="false" ht="15" hidden="false" customHeight="true" outlineLevel="0" collapsed="false">
      <c r="H4286" s="14" t="b">
        <f aca="false">IF(중복검사!$A4284="",FALSE(),중복검사!$J4284="유지")</f>
        <v>0</v>
      </c>
      <c r="I4286" s="5" t="str">
        <f aca="false">IF($H4286=FALSE(),"",COUNTIF($H$6:$H4286,TRUE()))</f>
        <v/>
      </c>
      <c r="J4286" s="5" t="str">
        <f aca="false">IF($I4286="","","R"&amp;$I4286)</f>
        <v/>
      </c>
    </row>
    <row r="4287" customFormat="false" ht="15" hidden="false" customHeight="true" outlineLevel="0" collapsed="false">
      <c r="H4287" s="14" t="b">
        <f aca="false">IF(중복검사!$A4285="",FALSE(),중복검사!$J4285="유지")</f>
        <v>0</v>
      </c>
      <c r="I4287" s="5" t="str">
        <f aca="false">IF($H4287=FALSE(),"",COUNTIF($H$6:$H4287,TRUE()))</f>
        <v/>
      </c>
      <c r="J4287" s="5" t="str">
        <f aca="false">IF($I4287="","","R"&amp;$I4287)</f>
        <v/>
      </c>
    </row>
    <row r="4288" customFormat="false" ht="15" hidden="false" customHeight="true" outlineLevel="0" collapsed="false">
      <c r="H4288" s="14" t="b">
        <f aca="false">IF(중복검사!$A4286="",FALSE(),중복검사!$J4286="유지")</f>
        <v>0</v>
      </c>
      <c r="I4288" s="5" t="str">
        <f aca="false">IF($H4288=FALSE(),"",COUNTIF($H$6:$H4288,TRUE()))</f>
        <v/>
      </c>
      <c r="J4288" s="5" t="str">
        <f aca="false">IF($I4288="","","R"&amp;$I4288)</f>
        <v/>
      </c>
    </row>
    <row r="4289" customFormat="false" ht="15" hidden="false" customHeight="true" outlineLevel="0" collapsed="false">
      <c r="H4289" s="14" t="b">
        <f aca="false">IF(중복검사!$A4287="",FALSE(),중복검사!$J4287="유지")</f>
        <v>0</v>
      </c>
      <c r="I4289" s="5" t="str">
        <f aca="false">IF($H4289=FALSE(),"",COUNTIF($H$6:$H4289,TRUE()))</f>
        <v/>
      </c>
      <c r="J4289" s="5" t="str">
        <f aca="false">IF($I4289="","","R"&amp;$I4289)</f>
        <v/>
      </c>
    </row>
    <row r="4290" customFormat="false" ht="15" hidden="false" customHeight="true" outlineLevel="0" collapsed="false">
      <c r="H4290" s="14" t="b">
        <f aca="false">IF(중복검사!$A4288="",FALSE(),중복검사!$J4288="유지")</f>
        <v>0</v>
      </c>
      <c r="I4290" s="5" t="str">
        <f aca="false">IF($H4290=FALSE(),"",COUNTIF($H$6:$H4290,TRUE()))</f>
        <v/>
      </c>
      <c r="J4290" s="5" t="str">
        <f aca="false">IF($I4290="","","R"&amp;$I4290)</f>
        <v/>
      </c>
    </row>
    <row r="4291" customFormat="false" ht="15" hidden="false" customHeight="true" outlineLevel="0" collapsed="false">
      <c r="H4291" s="14" t="b">
        <f aca="false">IF(중복검사!$A4289="",FALSE(),중복검사!$J4289="유지")</f>
        <v>0</v>
      </c>
      <c r="I4291" s="5" t="str">
        <f aca="false">IF($H4291=FALSE(),"",COUNTIF($H$6:$H4291,TRUE()))</f>
        <v/>
      </c>
      <c r="J4291" s="5" t="str">
        <f aca="false">IF($I4291="","","R"&amp;$I4291)</f>
        <v/>
      </c>
    </row>
    <row r="4292" customFormat="false" ht="15" hidden="false" customHeight="true" outlineLevel="0" collapsed="false">
      <c r="H4292" s="14" t="b">
        <f aca="false">IF(중복검사!$A4290="",FALSE(),중복검사!$J4290="유지")</f>
        <v>0</v>
      </c>
      <c r="I4292" s="5" t="str">
        <f aca="false">IF($H4292=FALSE(),"",COUNTIF($H$6:$H4292,TRUE()))</f>
        <v/>
      </c>
      <c r="J4292" s="5" t="str">
        <f aca="false">IF($I4292="","","R"&amp;$I4292)</f>
        <v/>
      </c>
    </row>
    <row r="4293" customFormat="false" ht="15" hidden="false" customHeight="true" outlineLevel="0" collapsed="false">
      <c r="H4293" s="14" t="b">
        <f aca="false">IF(중복검사!$A4291="",FALSE(),중복검사!$J4291="유지")</f>
        <v>0</v>
      </c>
      <c r="I4293" s="5" t="str">
        <f aca="false">IF($H4293=FALSE(),"",COUNTIF($H$6:$H4293,TRUE()))</f>
        <v/>
      </c>
      <c r="J4293" s="5" t="str">
        <f aca="false">IF($I4293="","","R"&amp;$I4293)</f>
        <v/>
      </c>
    </row>
    <row r="4294" customFormat="false" ht="15" hidden="false" customHeight="true" outlineLevel="0" collapsed="false">
      <c r="H4294" s="14" t="b">
        <f aca="false">IF(중복검사!$A4292="",FALSE(),중복검사!$J4292="유지")</f>
        <v>0</v>
      </c>
      <c r="I4294" s="5" t="str">
        <f aca="false">IF($H4294=FALSE(),"",COUNTIF($H$6:$H4294,TRUE()))</f>
        <v/>
      </c>
      <c r="J4294" s="5" t="str">
        <f aca="false">IF($I4294="","","R"&amp;$I4294)</f>
        <v/>
      </c>
    </row>
    <row r="4295" customFormat="false" ht="15" hidden="false" customHeight="true" outlineLevel="0" collapsed="false">
      <c r="H4295" s="14" t="b">
        <f aca="false">IF(중복검사!$A4293="",FALSE(),중복검사!$J4293="유지")</f>
        <v>0</v>
      </c>
      <c r="I4295" s="5" t="str">
        <f aca="false">IF($H4295=FALSE(),"",COUNTIF($H$6:$H4295,TRUE()))</f>
        <v/>
      </c>
      <c r="J4295" s="5" t="str">
        <f aca="false">IF($I4295="","","R"&amp;$I4295)</f>
        <v/>
      </c>
    </row>
    <row r="4296" customFormat="false" ht="15" hidden="false" customHeight="true" outlineLevel="0" collapsed="false">
      <c r="H4296" s="14" t="b">
        <f aca="false">IF(중복검사!$A4294="",FALSE(),중복검사!$J4294="유지")</f>
        <v>0</v>
      </c>
      <c r="I4296" s="5" t="str">
        <f aca="false">IF($H4296=FALSE(),"",COUNTIF($H$6:$H4296,TRUE()))</f>
        <v/>
      </c>
      <c r="J4296" s="5" t="str">
        <f aca="false">IF($I4296="","","R"&amp;$I4296)</f>
        <v/>
      </c>
    </row>
    <row r="4297" customFormat="false" ht="15" hidden="false" customHeight="true" outlineLevel="0" collapsed="false">
      <c r="H4297" s="14" t="b">
        <f aca="false">IF(중복검사!$A4295="",FALSE(),중복검사!$J4295="유지")</f>
        <v>0</v>
      </c>
      <c r="I4297" s="5" t="str">
        <f aca="false">IF($H4297=FALSE(),"",COUNTIF($H$6:$H4297,TRUE()))</f>
        <v/>
      </c>
      <c r="J4297" s="5" t="str">
        <f aca="false">IF($I4297="","","R"&amp;$I4297)</f>
        <v/>
      </c>
    </row>
    <row r="4298" customFormat="false" ht="15" hidden="false" customHeight="true" outlineLevel="0" collapsed="false">
      <c r="H4298" s="14" t="b">
        <f aca="false">IF(중복검사!$A4296="",FALSE(),중복검사!$J4296="유지")</f>
        <v>0</v>
      </c>
      <c r="I4298" s="5" t="str">
        <f aca="false">IF($H4298=FALSE(),"",COUNTIF($H$6:$H4298,TRUE()))</f>
        <v/>
      </c>
      <c r="J4298" s="5" t="str">
        <f aca="false">IF($I4298="","","R"&amp;$I4298)</f>
        <v/>
      </c>
    </row>
    <row r="4299" customFormat="false" ht="15" hidden="false" customHeight="true" outlineLevel="0" collapsed="false">
      <c r="H4299" s="14" t="b">
        <f aca="false">IF(중복검사!$A4297="",FALSE(),중복검사!$J4297="유지")</f>
        <v>0</v>
      </c>
      <c r="I4299" s="5" t="str">
        <f aca="false">IF($H4299=FALSE(),"",COUNTIF($H$6:$H4299,TRUE()))</f>
        <v/>
      </c>
      <c r="J4299" s="5" t="str">
        <f aca="false">IF($I4299="","","R"&amp;$I4299)</f>
        <v/>
      </c>
    </row>
    <row r="4300" customFormat="false" ht="15" hidden="false" customHeight="true" outlineLevel="0" collapsed="false">
      <c r="H4300" s="14" t="b">
        <f aca="false">IF(중복검사!$A4298="",FALSE(),중복검사!$J4298="유지")</f>
        <v>0</v>
      </c>
      <c r="I4300" s="5" t="str">
        <f aca="false">IF($H4300=FALSE(),"",COUNTIF($H$6:$H4300,TRUE()))</f>
        <v/>
      </c>
      <c r="J4300" s="5" t="str">
        <f aca="false">IF($I4300="","","R"&amp;$I4300)</f>
        <v/>
      </c>
    </row>
    <row r="4301" customFormat="false" ht="15" hidden="false" customHeight="true" outlineLevel="0" collapsed="false">
      <c r="H4301" s="14" t="b">
        <f aca="false">IF(중복검사!$A4299="",FALSE(),중복검사!$J4299="유지")</f>
        <v>0</v>
      </c>
      <c r="I4301" s="5" t="str">
        <f aca="false">IF($H4301=FALSE(),"",COUNTIF($H$6:$H4301,TRUE()))</f>
        <v/>
      </c>
      <c r="J4301" s="5" t="str">
        <f aca="false">IF($I4301="","","R"&amp;$I4301)</f>
        <v/>
      </c>
    </row>
    <row r="4302" customFormat="false" ht="15" hidden="false" customHeight="true" outlineLevel="0" collapsed="false">
      <c r="H4302" s="14" t="b">
        <f aca="false">IF(중복검사!$A4300="",FALSE(),중복검사!$J4300="유지")</f>
        <v>0</v>
      </c>
      <c r="I4302" s="5" t="str">
        <f aca="false">IF($H4302=FALSE(),"",COUNTIF($H$6:$H4302,TRUE()))</f>
        <v/>
      </c>
      <c r="J4302" s="5" t="str">
        <f aca="false">IF($I4302="","","R"&amp;$I4302)</f>
        <v/>
      </c>
    </row>
    <row r="4303" customFormat="false" ht="15" hidden="false" customHeight="true" outlineLevel="0" collapsed="false">
      <c r="H4303" s="14" t="b">
        <f aca="false">IF(중복검사!$A4301="",FALSE(),중복검사!$J4301="유지")</f>
        <v>0</v>
      </c>
      <c r="I4303" s="5" t="str">
        <f aca="false">IF($H4303=FALSE(),"",COUNTIF($H$6:$H4303,TRUE()))</f>
        <v/>
      </c>
      <c r="J4303" s="5" t="str">
        <f aca="false">IF($I4303="","","R"&amp;$I4303)</f>
        <v/>
      </c>
    </row>
    <row r="4304" customFormat="false" ht="15" hidden="false" customHeight="true" outlineLevel="0" collapsed="false">
      <c r="H4304" s="14" t="b">
        <f aca="false">IF(중복검사!$A4302="",FALSE(),중복검사!$J4302="유지")</f>
        <v>0</v>
      </c>
      <c r="I4304" s="5" t="str">
        <f aca="false">IF($H4304=FALSE(),"",COUNTIF($H$6:$H4304,TRUE()))</f>
        <v/>
      </c>
      <c r="J4304" s="5" t="str">
        <f aca="false">IF($I4304="","","R"&amp;$I4304)</f>
        <v/>
      </c>
    </row>
    <row r="4305" customFormat="false" ht="15" hidden="false" customHeight="true" outlineLevel="0" collapsed="false">
      <c r="H4305" s="14" t="b">
        <f aca="false">IF(중복검사!$A4303="",FALSE(),중복검사!$J4303="유지")</f>
        <v>0</v>
      </c>
      <c r="I4305" s="5" t="str">
        <f aca="false">IF($H4305=FALSE(),"",COUNTIF($H$6:$H4305,TRUE()))</f>
        <v/>
      </c>
      <c r="J4305" s="5" t="str">
        <f aca="false">IF($I4305="","","R"&amp;$I4305)</f>
        <v/>
      </c>
    </row>
    <row r="4306" customFormat="false" ht="15" hidden="false" customHeight="true" outlineLevel="0" collapsed="false">
      <c r="H4306" s="14" t="b">
        <f aca="false">IF(중복검사!$A4304="",FALSE(),중복검사!$J4304="유지")</f>
        <v>0</v>
      </c>
      <c r="I4306" s="5" t="str">
        <f aca="false">IF($H4306=FALSE(),"",COUNTIF($H$6:$H4306,TRUE()))</f>
        <v/>
      </c>
      <c r="J4306" s="5" t="str">
        <f aca="false">IF($I4306="","","R"&amp;$I4306)</f>
        <v/>
      </c>
    </row>
    <row r="4307" customFormat="false" ht="15" hidden="false" customHeight="true" outlineLevel="0" collapsed="false">
      <c r="H4307" s="14" t="b">
        <f aca="false">IF(중복검사!$A4305="",FALSE(),중복검사!$J4305="유지")</f>
        <v>0</v>
      </c>
      <c r="I4307" s="5" t="str">
        <f aca="false">IF($H4307=FALSE(),"",COUNTIF($H$6:$H4307,TRUE()))</f>
        <v/>
      </c>
      <c r="J4307" s="5" t="str">
        <f aca="false">IF($I4307="","","R"&amp;$I4307)</f>
        <v/>
      </c>
    </row>
    <row r="4308" customFormat="false" ht="15" hidden="false" customHeight="true" outlineLevel="0" collapsed="false">
      <c r="H4308" s="14" t="b">
        <f aca="false">IF(중복검사!$A4306="",FALSE(),중복검사!$J4306="유지")</f>
        <v>0</v>
      </c>
      <c r="I4308" s="5" t="str">
        <f aca="false">IF($H4308=FALSE(),"",COUNTIF($H$6:$H4308,TRUE()))</f>
        <v/>
      </c>
      <c r="J4308" s="5" t="str">
        <f aca="false">IF($I4308="","","R"&amp;$I4308)</f>
        <v/>
      </c>
    </row>
    <row r="4309" customFormat="false" ht="15" hidden="false" customHeight="true" outlineLevel="0" collapsed="false">
      <c r="H4309" s="14" t="b">
        <f aca="false">IF(중복검사!$A4307="",FALSE(),중복검사!$J4307="유지")</f>
        <v>0</v>
      </c>
      <c r="I4309" s="5" t="str">
        <f aca="false">IF($H4309=FALSE(),"",COUNTIF($H$6:$H4309,TRUE()))</f>
        <v/>
      </c>
      <c r="J4309" s="5" t="str">
        <f aca="false">IF($I4309="","","R"&amp;$I4309)</f>
        <v/>
      </c>
    </row>
    <row r="4310" customFormat="false" ht="15" hidden="false" customHeight="true" outlineLevel="0" collapsed="false">
      <c r="H4310" s="14" t="b">
        <f aca="false">IF(중복검사!$A4308="",FALSE(),중복검사!$J4308="유지")</f>
        <v>0</v>
      </c>
      <c r="I4310" s="5" t="str">
        <f aca="false">IF($H4310=FALSE(),"",COUNTIF($H$6:$H4310,TRUE()))</f>
        <v/>
      </c>
      <c r="J4310" s="5" t="str">
        <f aca="false">IF($I4310="","","R"&amp;$I4310)</f>
        <v/>
      </c>
    </row>
    <row r="4311" customFormat="false" ht="15" hidden="false" customHeight="true" outlineLevel="0" collapsed="false">
      <c r="H4311" s="14" t="b">
        <f aca="false">IF(중복검사!$A4309="",FALSE(),중복검사!$J4309="유지")</f>
        <v>0</v>
      </c>
      <c r="I4311" s="5" t="str">
        <f aca="false">IF($H4311=FALSE(),"",COUNTIF($H$6:$H4311,TRUE()))</f>
        <v/>
      </c>
      <c r="J4311" s="5" t="str">
        <f aca="false">IF($I4311="","","R"&amp;$I4311)</f>
        <v/>
      </c>
    </row>
    <row r="4312" customFormat="false" ht="15" hidden="false" customHeight="true" outlineLevel="0" collapsed="false">
      <c r="H4312" s="14" t="b">
        <f aca="false">IF(중복검사!$A4310="",FALSE(),중복검사!$J4310="유지")</f>
        <v>0</v>
      </c>
      <c r="I4312" s="5" t="str">
        <f aca="false">IF($H4312=FALSE(),"",COUNTIF($H$6:$H4312,TRUE()))</f>
        <v/>
      </c>
      <c r="J4312" s="5" t="str">
        <f aca="false">IF($I4312="","","R"&amp;$I4312)</f>
        <v/>
      </c>
    </row>
    <row r="4313" customFormat="false" ht="15" hidden="false" customHeight="true" outlineLevel="0" collapsed="false">
      <c r="H4313" s="14" t="b">
        <f aca="false">IF(중복검사!$A4311="",FALSE(),중복검사!$J4311="유지")</f>
        <v>0</v>
      </c>
      <c r="I4313" s="5" t="str">
        <f aca="false">IF($H4313=FALSE(),"",COUNTIF($H$6:$H4313,TRUE()))</f>
        <v/>
      </c>
      <c r="J4313" s="5" t="str">
        <f aca="false">IF($I4313="","","R"&amp;$I4313)</f>
        <v/>
      </c>
    </row>
    <row r="4314" customFormat="false" ht="15" hidden="false" customHeight="true" outlineLevel="0" collapsed="false">
      <c r="H4314" s="14" t="b">
        <f aca="false">IF(중복검사!$A4312="",FALSE(),중복검사!$J4312="유지")</f>
        <v>0</v>
      </c>
      <c r="I4314" s="5" t="str">
        <f aca="false">IF($H4314=FALSE(),"",COUNTIF($H$6:$H4314,TRUE()))</f>
        <v/>
      </c>
      <c r="J4314" s="5" t="str">
        <f aca="false">IF($I4314="","","R"&amp;$I4314)</f>
        <v/>
      </c>
    </row>
    <row r="4315" customFormat="false" ht="15" hidden="false" customHeight="true" outlineLevel="0" collapsed="false">
      <c r="H4315" s="14" t="b">
        <f aca="false">IF(중복검사!$A4313="",FALSE(),중복검사!$J4313="유지")</f>
        <v>0</v>
      </c>
      <c r="I4315" s="5" t="str">
        <f aca="false">IF($H4315=FALSE(),"",COUNTIF($H$6:$H4315,TRUE()))</f>
        <v/>
      </c>
      <c r="J4315" s="5" t="str">
        <f aca="false">IF($I4315="","","R"&amp;$I4315)</f>
        <v/>
      </c>
    </row>
    <row r="4316" customFormat="false" ht="15" hidden="false" customHeight="true" outlineLevel="0" collapsed="false">
      <c r="H4316" s="14" t="b">
        <f aca="false">IF(중복검사!$A4314="",FALSE(),중복검사!$J4314="유지")</f>
        <v>0</v>
      </c>
      <c r="I4316" s="5" t="str">
        <f aca="false">IF($H4316=FALSE(),"",COUNTIF($H$6:$H4316,TRUE()))</f>
        <v/>
      </c>
      <c r="J4316" s="5" t="str">
        <f aca="false">IF($I4316="","","R"&amp;$I4316)</f>
        <v/>
      </c>
    </row>
    <row r="4317" customFormat="false" ht="15" hidden="false" customHeight="true" outlineLevel="0" collapsed="false">
      <c r="H4317" s="14" t="b">
        <f aca="false">IF(중복검사!$A4315="",FALSE(),중복검사!$J4315="유지")</f>
        <v>0</v>
      </c>
      <c r="I4317" s="5" t="str">
        <f aca="false">IF($H4317=FALSE(),"",COUNTIF($H$6:$H4317,TRUE()))</f>
        <v/>
      </c>
      <c r="J4317" s="5" t="str">
        <f aca="false">IF($I4317="","","R"&amp;$I4317)</f>
        <v/>
      </c>
    </row>
    <row r="4318" customFormat="false" ht="15" hidden="false" customHeight="true" outlineLevel="0" collapsed="false">
      <c r="H4318" s="14" t="b">
        <f aca="false">IF(중복검사!$A4316="",FALSE(),중복검사!$J4316="유지")</f>
        <v>0</v>
      </c>
      <c r="I4318" s="5" t="str">
        <f aca="false">IF($H4318=FALSE(),"",COUNTIF($H$6:$H4318,TRUE()))</f>
        <v/>
      </c>
      <c r="J4318" s="5" t="str">
        <f aca="false">IF($I4318="","","R"&amp;$I4318)</f>
        <v/>
      </c>
    </row>
    <row r="4319" customFormat="false" ht="15" hidden="false" customHeight="true" outlineLevel="0" collapsed="false">
      <c r="H4319" s="14" t="b">
        <f aca="false">IF(중복검사!$A4317="",FALSE(),중복검사!$J4317="유지")</f>
        <v>0</v>
      </c>
      <c r="I4319" s="5" t="str">
        <f aca="false">IF($H4319=FALSE(),"",COUNTIF($H$6:$H4319,TRUE()))</f>
        <v/>
      </c>
      <c r="J4319" s="5" t="str">
        <f aca="false">IF($I4319="","","R"&amp;$I4319)</f>
        <v/>
      </c>
    </row>
    <row r="4320" customFormat="false" ht="15" hidden="false" customHeight="true" outlineLevel="0" collapsed="false">
      <c r="H4320" s="14" t="b">
        <f aca="false">IF(중복검사!$A4318="",FALSE(),중복검사!$J4318="유지")</f>
        <v>0</v>
      </c>
      <c r="I4320" s="5" t="str">
        <f aca="false">IF($H4320=FALSE(),"",COUNTIF($H$6:$H4320,TRUE()))</f>
        <v/>
      </c>
      <c r="J4320" s="5" t="str">
        <f aca="false">IF($I4320="","","R"&amp;$I4320)</f>
        <v/>
      </c>
    </row>
    <row r="4321" customFormat="false" ht="15" hidden="false" customHeight="true" outlineLevel="0" collapsed="false">
      <c r="H4321" s="14" t="b">
        <f aca="false">IF(중복검사!$A4319="",FALSE(),중복검사!$J4319="유지")</f>
        <v>0</v>
      </c>
      <c r="I4321" s="5" t="str">
        <f aca="false">IF($H4321=FALSE(),"",COUNTIF($H$6:$H4321,TRUE()))</f>
        <v/>
      </c>
      <c r="J4321" s="5" t="str">
        <f aca="false">IF($I4321="","","R"&amp;$I4321)</f>
        <v/>
      </c>
    </row>
    <row r="4322" customFormat="false" ht="15" hidden="false" customHeight="true" outlineLevel="0" collapsed="false">
      <c r="H4322" s="14" t="b">
        <f aca="false">IF(중복검사!$A4320="",FALSE(),중복검사!$J4320="유지")</f>
        <v>0</v>
      </c>
      <c r="I4322" s="5" t="str">
        <f aca="false">IF($H4322=FALSE(),"",COUNTIF($H$6:$H4322,TRUE()))</f>
        <v/>
      </c>
      <c r="J4322" s="5" t="str">
        <f aca="false">IF($I4322="","","R"&amp;$I4322)</f>
        <v/>
      </c>
    </row>
    <row r="4323" customFormat="false" ht="15" hidden="false" customHeight="true" outlineLevel="0" collapsed="false">
      <c r="H4323" s="14" t="b">
        <f aca="false">IF(중복검사!$A4321="",FALSE(),중복검사!$J4321="유지")</f>
        <v>0</v>
      </c>
      <c r="I4323" s="5" t="str">
        <f aca="false">IF($H4323=FALSE(),"",COUNTIF($H$6:$H4323,TRUE()))</f>
        <v/>
      </c>
      <c r="J4323" s="5" t="str">
        <f aca="false">IF($I4323="","","R"&amp;$I4323)</f>
        <v/>
      </c>
    </row>
    <row r="4324" customFormat="false" ht="15" hidden="false" customHeight="true" outlineLevel="0" collapsed="false">
      <c r="H4324" s="14" t="b">
        <f aca="false">IF(중복검사!$A4322="",FALSE(),중복검사!$J4322="유지")</f>
        <v>0</v>
      </c>
      <c r="I4324" s="5" t="str">
        <f aca="false">IF($H4324=FALSE(),"",COUNTIF($H$6:$H4324,TRUE()))</f>
        <v/>
      </c>
      <c r="J4324" s="5" t="str">
        <f aca="false">IF($I4324="","","R"&amp;$I4324)</f>
        <v/>
      </c>
    </row>
    <row r="4325" customFormat="false" ht="15" hidden="false" customHeight="true" outlineLevel="0" collapsed="false">
      <c r="H4325" s="14" t="b">
        <f aca="false">IF(중복검사!$A4323="",FALSE(),중복검사!$J4323="유지")</f>
        <v>0</v>
      </c>
      <c r="I4325" s="5" t="str">
        <f aca="false">IF($H4325=FALSE(),"",COUNTIF($H$6:$H4325,TRUE()))</f>
        <v/>
      </c>
      <c r="J4325" s="5" t="str">
        <f aca="false">IF($I4325="","","R"&amp;$I4325)</f>
        <v/>
      </c>
    </row>
    <row r="4326" customFormat="false" ht="15" hidden="false" customHeight="true" outlineLevel="0" collapsed="false">
      <c r="H4326" s="14" t="b">
        <f aca="false">IF(중복검사!$A4324="",FALSE(),중복검사!$J4324="유지")</f>
        <v>0</v>
      </c>
      <c r="I4326" s="5" t="str">
        <f aca="false">IF($H4326=FALSE(),"",COUNTIF($H$6:$H4326,TRUE()))</f>
        <v/>
      </c>
      <c r="J4326" s="5" t="str">
        <f aca="false">IF($I4326="","","R"&amp;$I4326)</f>
        <v/>
      </c>
    </row>
    <row r="4327" customFormat="false" ht="15" hidden="false" customHeight="true" outlineLevel="0" collapsed="false">
      <c r="H4327" s="14" t="b">
        <f aca="false">IF(중복검사!$A4325="",FALSE(),중복검사!$J4325="유지")</f>
        <v>0</v>
      </c>
      <c r="I4327" s="5" t="str">
        <f aca="false">IF($H4327=FALSE(),"",COUNTIF($H$6:$H4327,TRUE()))</f>
        <v/>
      </c>
      <c r="J4327" s="5" t="str">
        <f aca="false">IF($I4327="","","R"&amp;$I4327)</f>
        <v/>
      </c>
    </row>
    <row r="4328" customFormat="false" ht="15" hidden="false" customHeight="true" outlineLevel="0" collapsed="false">
      <c r="H4328" s="14" t="b">
        <f aca="false">IF(중복검사!$A4326="",FALSE(),중복검사!$J4326="유지")</f>
        <v>0</v>
      </c>
      <c r="I4328" s="5" t="str">
        <f aca="false">IF($H4328=FALSE(),"",COUNTIF($H$6:$H4328,TRUE()))</f>
        <v/>
      </c>
      <c r="J4328" s="5" t="str">
        <f aca="false">IF($I4328="","","R"&amp;$I4328)</f>
        <v/>
      </c>
    </row>
    <row r="4329" customFormat="false" ht="15" hidden="false" customHeight="true" outlineLevel="0" collapsed="false">
      <c r="H4329" s="14" t="b">
        <f aca="false">IF(중복검사!$A4327="",FALSE(),중복검사!$J4327="유지")</f>
        <v>0</v>
      </c>
      <c r="I4329" s="5" t="str">
        <f aca="false">IF($H4329=FALSE(),"",COUNTIF($H$6:$H4329,TRUE()))</f>
        <v/>
      </c>
      <c r="J4329" s="5" t="str">
        <f aca="false">IF($I4329="","","R"&amp;$I4329)</f>
        <v/>
      </c>
    </row>
    <row r="4330" customFormat="false" ht="15" hidden="false" customHeight="true" outlineLevel="0" collapsed="false">
      <c r="H4330" s="14" t="b">
        <f aca="false">IF(중복검사!$A4328="",FALSE(),중복검사!$J4328="유지")</f>
        <v>0</v>
      </c>
      <c r="I4330" s="5" t="str">
        <f aca="false">IF($H4330=FALSE(),"",COUNTIF($H$6:$H4330,TRUE()))</f>
        <v/>
      </c>
      <c r="J4330" s="5" t="str">
        <f aca="false">IF($I4330="","","R"&amp;$I4330)</f>
        <v/>
      </c>
    </row>
    <row r="4331" customFormat="false" ht="15" hidden="false" customHeight="true" outlineLevel="0" collapsed="false">
      <c r="H4331" s="14" t="b">
        <f aca="false">IF(중복검사!$A4329="",FALSE(),중복검사!$J4329="유지")</f>
        <v>0</v>
      </c>
      <c r="I4331" s="5" t="str">
        <f aca="false">IF($H4331=FALSE(),"",COUNTIF($H$6:$H4331,TRUE()))</f>
        <v/>
      </c>
      <c r="J4331" s="5" t="str">
        <f aca="false">IF($I4331="","","R"&amp;$I4331)</f>
        <v/>
      </c>
    </row>
    <row r="4332" customFormat="false" ht="15" hidden="false" customHeight="true" outlineLevel="0" collapsed="false">
      <c r="H4332" s="14" t="b">
        <f aca="false">IF(중복검사!$A4330="",FALSE(),중복검사!$J4330="유지")</f>
        <v>0</v>
      </c>
      <c r="I4332" s="5" t="str">
        <f aca="false">IF($H4332=FALSE(),"",COUNTIF($H$6:$H4332,TRUE()))</f>
        <v/>
      </c>
      <c r="J4332" s="5" t="str">
        <f aca="false">IF($I4332="","","R"&amp;$I4332)</f>
        <v/>
      </c>
    </row>
    <row r="4333" customFormat="false" ht="15" hidden="false" customHeight="true" outlineLevel="0" collapsed="false">
      <c r="H4333" s="14" t="b">
        <f aca="false">IF(중복검사!$A4331="",FALSE(),중복검사!$J4331="유지")</f>
        <v>0</v>
      </c>
      <c r="I4333" s="5" t="str">
        <f aca="false">IF($H4333=FALSE(),"",COUNTIF($H$6:$H4333,TRUE()))</f>
        <v/>
      </c>
      <c r="J4333" s="5" t="str">
        <f aca="false">IF($I4333="","","R"&amp;$I4333)</f>
        <v/>
      </c>
    </row>
    <row r="4334" customFormat="false" ht="15" hidden="false" customHeight="true" outlineLevel="0" collapsed="false">
      <c r="H4334" s="14" t="b">
        <f aca="false">IF(중복검사!$A4332="",FALSE(),중복검사!$J4332="유지")</f>
        <v>0</v>
      </c>
      <c r="I4334" s="5" t="str">
        <f aca="false">IF($H4334=FALSE(),"",COUNTIF($H$6:$H4334,TRUE()))</f>
        <v/>
      </c>
      <c r="J4334" s="5" t="str">
        <f aca="false">IF($I4334="","","R"&amp;$I4334)</f>
        <v/>
      </c>
    </row>
    <row r="4335" customFormat="false" ht="15" hidden="false" customHeight="true" outlineLevel="0" collapsed="false">
      <c r="H4335" s="14" t="b">
        <f aca="false">IF(중복검사!$A4333="",FALSE(),중복검사!$J4333="유지")</f>
        <v>0</v>
      </c>
      <c r="I4335" s="5" t="str">
        <f aca="false">IF($H4335=FALSE(),"",COUNTIF($H$6:$H4335,TRUE()))</f>
        <v/>
      </c>
      <c r="J4335" s="5" t="str">
        <f aca="false">IF($I4335="","","R"&amp;$I4335)</f>
        <v/>
      </c>
    </row>
    <row r="4336" customFormat="false" ht="15" hidden="false" customHeight="true" outlineLevel="0" collapsed="false">
      <c r="H4336" s="14" t="b">
        <f aca="false">IF(중복검사!$A4334="",FALSE(),중복검사!$J4334="유지")</f>
        <v>0</v>
      </c>
      <c r="I4336" s="5" t="str">
        <f aca="false">IF($H4336=FALSE(),"",COUNTIF($H$6:$H4336,TRUE()))</f>
        <v/>
      </c>
      <c r="J4336" s="5" t="str">
        <f aca="false">IF($I4336="","","R"&amp;$I4336)</f>
        <v/>
      </c>
    </row>
    <row r="4337" customFormat="false" ht="15" hidden="false" customHeight="true" outlineLevel="0" collapsed="false">
      <c r="H4337" s="14" t="b">
        <f aca="false">IF(중복검사!$A4335="",FALSE(),중복검사!$J4335="유지")</f>
        <v>0</v>
      </c>
      <c r="I4337" s="5" t="str">
        <f aca="false">IF($H4337=FALSE(),"",COUNTIF($H$6:$H4337,TRUE()))</f>
        <v/>
      </c>
      <c r="J4337" s="5" t="str">
        <f aca="false">IF($I4337="","","R"&amp;$I4337)</f>
        <v/>
      </c>
    </row>
    <row r="4338" customFormat="false" ht="15" hidden="false" customHeight="true" outlineLevel="0" collapsed="false">
      <c r="H4338" s="14" t="b">
        <f aca="false">IF(중복검사!$A4336="",FALSE(),중복검사!$J4336="유지")</f>
        <v>0</v>
      </c>
      <c r="I4338" s="5" t="str">
        <f aca="false">IF($H4338=FALSE(),"",COUNTIF($H$6:$H4338,TRUE()))</f>
        <v/>
      </c>
      <c r="J4338" s="5" t="str">
        <f aca="false">IF($I4338="","","R"&amp;$I4338)</f>
        <v/>
      </c>
    </row>
    <row r="4339" customFormat="false" ht="15" hidden="false" customHeight="true" outlineLevel="0" collapsed="false">
      <c r="H4339" s="14" t="b">
        <f aca="false">IF(중복검사!$A4337="",FALSE(),중복검사!$J4337="유지")</f>
        <v>0</v>
      </c>
      <c r="I4339" s="5" t="str">
        <f aca="false">IF($H4339=FALSE(),"",COUNTIF($H$6:$H4339,TRUE()))</f>
        <v/>
      </c>
      <c r="J4339" s="5" t="str">
        <f aca="false">IF($I4339="","","R"&amp;$I4339)</f>
        <v/>
      </c>
    </row>
    <row r="4340" customFormat="false" ht="15" hidden="false" customHeight="true" outlineLevel="0" collapsed="false">
      <c r="H4340" s="14" t="b">
        <f aca="false">IF(중복검사!$A4338="",FALSE(),중복검사!$J4338="유지")</f>
        <v>0</v>
      </c>
      <c r="I4340" s="5" t="str">
        <f aca="false">IF($H4340=FALSE(),"",COUNTIF($H$6:$H4340,TRUE()))</f>
        <v/>
      </c>
      <c r="J4340" s="5" t="str">
        <f aca="false">IF($I4340="","","R"&amp;$I4340)</f>
        <v/>
      </c>
    </row>
    <row r="4341" customFormat="false" ht="15" hidden="false" customHeight="true" outlineLevel="0" collapsed="false">
      <c r="H4341" s="14" t="b">
        <f aca="false">IF(중복검사!$A4339="",FALSE(),중복검사!$J4339="유지")</f>
        <v>0</v>
      </c>
      <c r="I4341" s="5" t="str">
        <f aca="false">IF($H4341=FALSE(),"",COUNTIF($H$6:$H4341,TRUE()))</f>
        <v/>
      </c>
      <c r="J4341" s="5" t="str">
        <f aca="false">IF($I4341="","","R"&amp;$I4341)</f>
        <v/>
      </c>
    </row>
    <row r="4342" customFormat="false" ht="15" hidden="false" customHeight="true" outlineLevel="0" collapsed="false">
      <c r="H4342" s="14" t="b">
        <f aca="false">IF(중복검사!$A4340="",FALSE(),중복검사!$J4340="유지")</f>
        <v>0</v>
      </c>
      <c r="I4342" s="5" t="str">
        <f aca="false">IF($H4342=FALSE(),"",COUNTIF($H$6:$H4342,TRUE()))</f>
        <v/>
      </c>
      <c r="J4342" s="5" t="str">
        <f aca="false">IF($I4342="","","R"&amp;$I4342)</f>
        <v/>
      </c>
    </row>
    <row r="4343" customFormat="false" ht="15" hidden="false" customHeight="true" outlineLevel="0" collapsed="false">
      <c r="H4343" s="14" t="b">
        <f aca="false">IF(중복검사!$A4341="",FALSE(),중복검사!$J4341="유지")</f>
        <v>0</v>
      </c>
      <c r="I4343" s="5" t="str">
        <f aca="false">IF($H4343=FALSE(),"",COUNTIF($H$6:$H4343,TRUE()))</f>
        <v/>
      </c>
      <c r="J4343" s="5" t="str">
        <f aca="false">IF($I4343="","","R"&amp;$I4343)</f>
        <v/>
      </c>
    </row>
    <row r="4344" customFormat="false" ht="15" hidden="false" customHeight="true" outlineLevel="0" collapsed="false">
      <c r="H4344" s="14" t="b">
        <f aca="false">IF(중복검사!$A4342="",FALSE(),중복검사!$J4342="유지")</f>
        <v>0</v>
      </c>
      <c r="I4344" s="5" t="str">
        <f aca="false">IF($H4344=FALSE(),"",COUNTIF($H$6:$H4344,TRUE()))</f>
        <v/>
      </c>
      <c r="J4344" s="5" t="str">
        <f aca="false">IF($I4344="","","R"&amp;$I4344)</f>
        <v/>
      </c>
    </row>
    <row r="4345" customFormat="false" ht="15" hidden="false" customHeight="true" outlineLevel="0" collapsed="false">
      <c r="H4345" s="14" t="b">
        <f aca="false">IF(중복검사!$A4343="",FALSE(),중복검사!$J4343="유지")</f>
        <v>0</v>
      </c>
      <c r="I4345" s="5" t="str">
        <f aca="false">IF($H4345=FALSE(),"",COUNTIF($H$6:$H4345,TRUE()))</f>
        <v/>
      </c>
      <c r="J4345" s="5" t="str">
        <f aca="false">IF($I4345="","","R"&amp;$I4345)</f>
        <v/>
      </c>
    </row>
    <row r="4346" customFormat="false" ht="15" hidden="false" customHeight="true" outlineLevel="0" collapsed="false">
      <c r="H4346" s="14" t="b">
        <f aca="false">IF(중복검사!$A4344="",FALSE(),중복검사!$J4344="유지")</f>
        <v>0</v>
      </c>
      <c r="I4346" s="5" t="str">
        <f aca="false">IF($H4346=FALSE(),"",COUNTIF($H$6:$H4346,TRUE()))</f>
        <v/>
      </c>
      <c r="J4346" s="5" t="str">
        <f aca="false">IF($I4346="","","R"&amp;$I4346)</f>
        <v/>
      </c>
    </row>
    <row r="4347" customFormat="false" ht="15" hidden="false" customHeight="true" outlineLevel="0" collapsed="false">
      <c r="H4347" s="14" t="b">
        <f aca="false">IF(중복검사!$A4345="",FALSE(),중복검사!$J4345="유지")</f>
        <v>0</v>
      </c>
      <c r="I4347" s="5" t="str">
        <f aca="false">IF($H4347=FALSE(),"",COUNTIF($H$6:$H4347,TRUE()))</f>
        <v/>
      </c>
      <c r="J4347" s="5" t="str">
        <f aca="false">IF($I4347="","","R"&amp;$I4347)</f>
        <v/>
      </c>
    </row>
    <row r="4348" customFormat="false" ht="15" hidden="false" customHeight="true" outlineLevel="0" collapsed="false">
      <c r="H4348" s="14" t="b">
        <f aca="false">IF(중복검사!$A4346="",FALSE(),중복검사!$J4346="유지")</f>
        <v>0</v>
      </c>
      <c r="I4348" s="5" t="str">
        <f aca="false">IF($H4348=FALSE(),"",COUNTIF($H$6:$H4348,TRUE()))</f>
        <v/>
      </c>
      <c r="J4348" s="5" t="str">
        <f aca="false">IF($I4348="","","R"&amp;$I4348)</f>
        <v/>
      </c>
    </row>
    <row r="4349" customFormat="false" ht="15" hidden="false" customHeight="true" outlineLevel="0" collapsed="false">
      <c r="H4349" s="14" t="b">
        <f aca="false">IF(중복검사!$A4347="",FALSE(),중복검사!$J4347="유지")</f>
        <v>0</v>
      </c>
      <c r="I4349" s="5" t="str">
        <f aca="false">IF($H4349=FALSE(),"",COUNTIF($H$6:$H4349,TRUE()))</f>
        <v/>
      </c>
      <c r="J4349" s="5" t="str">
        <f aca="false">IF($I4349="","","R"&amp;$I4349)</f>
        <v/>
      </c>
    </row>
    <row r="4350" customFormat="false" ht="15" hidden="false" customHeight="true" outlineLevel="0" collapsed="false">
      <c r="H4350" s="14" t="b">
        <f aca="false">IF(중복검사!$A4348="",FALSE(),중복검사!$J4348="유지")</f>
        <v>0</v>
      </c>
      <c r="I4350" s="5" t="str">
        <f aca="false">IF($H4350=FALSE(),"",COUNTIF($H$6:$H4350,TRUE()))</f>
        <v/>
      </c>
      <c r="J4350" s="5" t="str">
        <f aca="false">IF($I4350="","","R"&amp;$I4350)</f>
        <v/>
      </c>
    </row>
    <row r="4351" customFormat="false" ht="15" hidden="false" customHeight="true" outlineLevel="0" collapsed="false">
      <c r="H4351" s="14" t="b">
        <f aca="false">IF(중복검사!$A4349="",FALSE(),중복검사!$J4349="유지")</f>
        <v>0</v>
      </c>
      <c r="I4351" s="5" t="str">
        <f aca="false">IF($H4351=FALSE(),"",COUNTIF($H$6:$H4351,TRUE()))</f>
        <v/>
      </c>
      <c r="J4351" s="5" t="str">
        <f aca="false">IF($I4351="","","R"&amp;$I4351)</f>
        <v/>
      </c>
    </row>
    <row r="4352" customFormat="false" ht="15" hidden="false" customHeight="true" outlineLevel="0" collapsed="false">
      <c r="H4352" s="14" t="b">
        <f aca="false">IF(중복검사!$A4350="",FALSE(),중복검사!$J4350="유지")</f>
        <v>0</v>
      </c>
      <c r="I4352" s="5" t="str">
        <f aca="false">IF($H4352=FALSE(),"",COUNTIF($H$6:$H4352,TRUE()))</f>
        <v/>
      </c>
      <c r="J4352" s="5" t="str">
        <f aca="false">IF($I4352="","","R"&amp;$I4352)</f>
        <v/>
      </c>
    </row>
    <row r="4353" customFormat="false" ht="15" hidden="false" customHeight="true" outlineLevel="0" collapsed="false">
      <c r="H4353" s="14" t="b">
        <f aca="false">IF(중복검사!$A4351="",FALSE(),중복검사!$J4351="유지")</f>
        <v>0</v>
      </c>
      <c r="I4353" s="5" t="str">
        <f aca="false">IF($H4353=FALSE(),"",COUNTIF($H$6:$H4353,TRUE()))</f>
        <v/>
      </c>
      <c r="J4353" s="5" t="str">
        <f aca="false">IF($I4353="","","R"&amp;$I4353)</f>
        <v/>
      </c>
    </row>
    <row r="4354" customFormat="false" ht="15" hidden="false" customHeight="true" outlineLevel="0" collapsed="false">
      <c r="H4354" s="14" t="b">
        <f aca="false">IF(중복검사!$A4352="",FALSE(),중복검사!$J4352="유지")</f>
        <v>0</v>
      </c>
      <c r="I4354" s="5" t="str">
        <f aca="false">IF($H4354=FALSE(),"",COUNTIF($H$6:$H4354,TRUE()))</f>
        <v/>
      </c>
      <c r="J4354" s="5" t="str">
        <f aca="false">IF($I4354="","","R"&amp;$I4354)</f>
        <v/>
      </c>
    </row>
    <row r="4355" customFormat="false" ht="15" hidden="false" customHeight="true" outlineLevel="0" collapsed="false">
      <c r="H4355" s="14" t="b">
        <f aca="false">IF(중복검사!$A4353="",FALSE(),중복검사!$J4353="유지")</f>
        <v>0</v>
      </c>
      <c r="I4355" s="5" t="str">
        <f aca="false">IF($H4355=FALSE(),"",COUNTIF($H$6:$H4355,TRUE()))</f>
        <v/>
      </c>
      <c r="J4355" s="5" t="str">
        <f aca="false">IF($I4355="","","R"&amp;$I4355)</f>
        <v/>
      </c>
    </row>
    <row r="4356" customFormat="false" ht="15" hidden="false" customHeight="true" outlineLevel="0" collapsed="false">
      <c r="H4356" s="14" t="b">
        <f aca="false">IF(중복검사!$A4354="",FALSE(),중복검사!$J4354="유지")</f>
        <v>0</v>
      </c>
      <c r="I4356" s="5" t="str">
        <f aca="false">IF($H4356=FALSE(),"",COUNTIF($H$6:$H4356,TRUE()))</f>
        <v/>
      </c>
      <c r="J4356" s="5" t="str">
        <f aca="false">IF($I4356="","","R"&amp;$I4356)</f>
        <v/>
      </c>
    </row>
    <row r="4357" customFormat="false" ht="15" hidden="false" customHeight="true" outlineLevel="0" collapsed="false">
      <c r="H4357" s="14" t="b">
        <f aca="false">IF(중복검사!$A4355="",FALSE(),중복검사!$J4355="유지")</f>
        <v>0</v>
      </c>
      <c r="I4357" s="5" t="str">
        <f aca="false">IF($H4357=FALSE(),"",COUNTIF($H$6:$H4357,TRUE()))</f>
        <v/>
      </c>
      <c r="J4357" s="5" t="str">
        <f aca="false">IF($I4357="","","R"&amp;$I4357)</f>
        <v/>
      </c>
    </row>
    <row r="4358" customFormat="false" ht="15" hidden="false" customHeight="true" outlineLevel="0" collapsed="false">
      <c r="H4358" s="14" t="b">
        <f aca="false">IF(중복검사!$A4356="",FALSE(),중복검사!$J4356="유지")</f>
        <v>0</v>
      </c>
      <c r="I4358" s="5" t="str">
        <f aca="false">IF($H4358=FALSE(),"",COUNTIF($H$6:$H4358,TRUE()))</f>
        <v/>
      </c>
      <c r="J4358" s="5" t="str">
        <f aca="false">IF($I4358="","","R"&amp;$I4358)</f>
        <v/>
      </c>
    </row>
    <row r="4359" customFormat="false" ht="15" hidden="false" customHeight="true" outlineLevel="0" collapsed="false">
      <c r="H4359" s="14" t="b">
        <f aca="false">IF(중복검사!$A4357="",FALSE(),중복검사!$J4357="유지")</f>
        <v>0</v>
      </c>
      <c r="I4359" s="5" t="str">
        <f aca="false">IF($H4359=FALSE(),"",COUNTIF($H$6:$H4359,TRUE()))</f>
        <v/>
      </c>
      <c r="J4359" s="5" t="str">
        <f aca="false">IF($I4359="","","R"&amp;$I4359)</f>
        <v/>
      </c>
    </row>
    <row r="4360" customFormat="false" ht="15" hidden="false" customHeight="true" outlineLevel="0" collapsed="false">
      <c r="H4360" s="14" t="b">
        <f aca="false">IF(중복검사!$A4358="",FALSE(),중복검사!$J4358="유지")</f>
        <v>0</v>
      </c>
      <c r="I4360" s="5" t="str">
        <f aca="false">IF($H4360=FALSE(),"",COUNTIF($H$6:$H4360,TRUE()))</f>
        <v/>
      </c>
      <c r="J4360" s="5" t="str">
        <f aca="false">IF($I4360="","","R"&amp;$I4360)</f>
        <v/>
      </c>
    </row>
    <row r="4361" customFormat="false" ht="15" hidden="false" customHeight="true" outlineLevel="0" collapsed="false">
      <c r="H4361" s="14" t="b">
        <f aca="false">IF(중복검사!$A4359="",FALSE(),중복검사!$J4359="유지")</f>
        <v>0</v>
      </c>
      <c r="I4361" s="5" t="str">
        <f aca="false">IF($H4361=FALSE(),"",COUNTIF($H$6:$H4361,TRUE()))</f>
        <v/>
      </c>
      <c r="J4361" s="5" t="str">
        <f aca="false">IF($I4361="","","R"&amp;$I4361)</f>
        <v/>
      </c>
    </row>
    <row r="4362" customFormat="false" ht="15" hidden="false" customHeight="true" outlineLevel="0" collapsed="false">
      <c r="H4362" s="14" t="b">
        <f aca="false">IF(중복검사!$A4360="",FALSE(),중복검사!$J4360="유지")</f>
        <v>0</v>
      </c>
      <c r="I4362" s="5" t="str">
        <f aca="false">IF($H4362=FALSE(),"",COUNTIF($H$6:$H4362,TRUE()))</f>
        <v/>
      </c>
      <c r="J4362" s="5" t="str">
        <f aca="false">IF($I4362="","","R"&amp;$I4362)</f>
        <v/>
      </c>
    </row>
    <row r="4363" customFormat="false" ht="15" hidden="false" customHeight="true" outlineLevel="0" collapsed="false">
      <c r="H4363" s="14" t="b">
        <f aca="false">IF(중복검사!$A4361="",FALSE(),중복검사!$J4361="유지")</f>
        <v>0</v>
      </c>
      <c r="I4363" s="5" t="str">
        <f aca="false">IF($H4363=FALSE(),"",COUNTIF($H$6:$H4363,TRUE()))</f>
        <v/>
      </c>
      <c r="J4363" s="5" t="str">
        <f aca="false">IF($I4363="","","R"&amp;$I4363)</f>
        <v/>
      </c>
    </row>
    <row r="4364" customFormat="false" ht="15" hidden="false" customHeight="true" outlineLevel="0" collapsed="false">
      <c r="H4364" s="14" t="b">
        <f aca="false">IF(중복검사!$A4362="",FALSE(),중복검사!$J4362="유지")</f>
        <v>0</v>
      </c>
      <c r="I4364" s="5" t="str">
        <f aca="false">IF($H4364=FALSE(),"",COUNTIF($H$6:$H4364,TRUE()))</f>
        <v/>
      </c>
      <c r="J4364" s="5" t="str">
        <f aca="false">IF($I4364="","","R"&amp;$I4364)</f>
        <v/>
      </c>
    </row>
    <row r="4365" customFormat="false" ht="15" hidden="false" customHeight="true" outlineLevel="0" collapsed="false">
      <c r="H4365" s="14" t="b">
        <f aca="false">IF(중복검사!$A4363="",FALSE(),중복검사!$J4363="유지")</f>
        <v>0</v>
      </c>
      <c r="I4365" s="5" t="str">
        <f aca="false">IF($H4365=FALSE(),"",COUNTIF($H$6:$H4365,TRUE()))</f>
        <v/>
      </c>
      <c r="J4365" s="5" t="str">
        <f aca="false">IF($I4365="","","R"&amp;$I4365)</f>
        <v/>
      </c>
    </row>
    <row r="4366" customFormat="false" ht="15" hidden="false" customHeight="true" outlineLevel="0" collapsed="false">
      <c r="H4366" s="14" t="b">
        <f aca="false">IF(중복검사!$A4364="",FALSE(),중복검사!$J4364="유지")</f>
        <v>0</v>
      </c>
      <c r="I4366" s="5" t="str">
        <f aca="false">IF($H4366=FALSE(),"",COUNTIF($H$6:$H4366,TRUE()))</f>
        <v/>
      </c>
      <c r="J4366" s="5" t="str">
        <f aca="false">IF($I4366="","","R"&amp;$I4366)</f>
        <v/>
      </c>
    </row>
    <row r="4367" customFormat="false" ht="15" hidden="false" customHeight="true" outlineLevel="0" collapsed="false">
      <c r="H4367" s="14" t="b">
        <f aca="false">IF(중복검사!$A4365="",FALSE(),중복검사!$J4365="유지")</f>
        <v>0</v>
      </c>
      <c r="I4367" s="5" t="str">
        <f aca="false">IF($H4367=FALSE(),"",COUNTIF($H$6:$H4367,TRUE()))</f>
        <v/>
      </c>
      <c r="J4367" s="5" t="str">
        <f aca="false">IF($I4367="","","R"&amp;$I4367)</f>
        <v/>
      </c>
    </row>
    <row r="4368" customFormat="false" ht="15" hidden="false" customHeight="true" outlineLevel="0" collapsed="false">
      <c r="H4368" s="14" t="b">
        <f aca="false">IF(중복검사!$A4366="",FALSE(),중복검사!$J4366="유지")</f>
        <v>0</v>
      </c>
      <c r="I4368" s="5" t="str">
        <f aca="false">IF($H4368=FALSE(),"",COUNTIF($H$6:$H4368,TRUE()))</f>
        <v/>
      </c>
      <c r="J4368" s="5" t="str">
        <f aca="false">IF($I4368="","","R"&amp;$I4368)</f>
        <v/>
      </c>
    </row>
    <row r="4369" customFormat="false" ht="15" hidden="false" customHeight="true" outlineLevel="0" collapsed="false">
      <c r="H4369" s="14" t="b">
        <f aca="false">IF(중복검사!$A4367="",FALSE(),중복검사!$J4367="유지")</f>
        <v>0</v>
      </c>
      <c r="I4369" s="5" t="str">
        <f aca="false">IF($H4369=FALSE(),"",COUNTIF($H$6:$H4369,TRUE()))</f>
        <v/>
      </c>
      <c r="J4369" s="5" t="str">
        <f aca="false">IF($I4369="","","R"&amp;$I4369)</f>
        <v/>
      </c>
    </row>
    <row r="4370" customFormat="false" ht="15" hidden="false" customHeight="true" outlineLevel="0" collapsed="false">
      <c r="H4370" s="14" t="b">
        <f aca="false">IF(중복검사!$A4368="",FALSE(),중복검사!$J4368="유지")</f>
        <v>0</v>
      </c>
      <c r="I4370" s="5" t="str">
        <f aca="false">IF($H4370=FALSE(),"",COUNTIF($H$6:$H4370,TRUE()))</f>
        <v/>
      </c>
      <c r="J4370" s="5" t="str">
        <f aca="false">IF($I4370="","","R"&amp;$I4370)</f>
        <v/>
      </c>
    </row>
    <row r="4371" customFormat="false" ht="15" hidden="false" customHeight="true" outlineLevel="0" collapsed="false">
      <c r="H4371" s="14" t="b">
        <f aca="false">IF(중복검사!$A4369="",FALSE(),중복검사!$J4369="유지")</f>
        <v>0</v>
      </c>
      <c r="I4371" s="5" t="str">
        <f aca="false">IF($H4371=FALSE(),"",COUNTIF($H$6:$H4371,TRUE()))</f>
        <v/>
      </c>
      <c r="J4371" s="5" t="str">
        <f aca="false">IF($I4371="","","R"&amp;$I4371)</f>
        <v/>
      </c>
    </row>
    <row r="4372" customFormat="false" ht="15" hidden="false" customHeight="true" outlineLevel="0" collapsed="false">
      <c r="H4372" s="14" t="b">
        <f aca="false">IF(중복검사!$A4370="",FALSE(),중복검사!$J4370="유지")</f>
        <v>0</v>
      </c>
      <c r="I4372" s="5" t="str">
        <f aca="false">IF($H4372=FALSE(),"",COUNTIF($H$6:$H4372,TRUE()))</f>
        <v/>
      </c>
      <c r="J4372" s="5" t="str">
        <f aca="false">IF($I4372="","","R"&amp;$I4372)</f>
        <v/>
      </c>
    </row>
    <row r="4373" customFormat="false" ht="15" hidden="false" customHeight="true" outlineLevel="0" collapsed="false">
      <c r="H4373" s="14" t="b">
        <f aca="false">IF(중복검사!$A4371="",FALSE(),중복검사!$J4371="유지")</f>
        <v>0</v>
      </c>
      <c r="I4373" s="5" t="str">
        <f aca="false">IF($H4373=FALSE(),"",COUNTIF($H$6:$H4373,TRUE()))</f>
        <v/>
      </c>
      <c r="J4373" s="5" t="str">
        <f aca="false">IF($I4373="","","R"&amp;$I4373)</f>
        <v/>
      </c>
    </row>
    <row r="4374" customFormat="false" ht="15" hidden="false" customHeight="true" outlineLevel="0" collapsed="false">
      <c r="H4374" s="14" t="b">
        <f aca="false">IF(중복검사!$A4372="",FALSE(),중복검사!$J4372="유지")</f>
        <v>0</v>
      </c>
      <c r="I4374" s="5" t="str">
        <f aca="false">IF($H4374=FALSE(),"",COUNTIF($H$6:$H4374,TRUE()))</f>
        <v/>
      </c>
      <c r="J4374" s="5" t="str">
        <f aca="false">IF($I4374="","","R"&amp;$I4374)</f>
        <v/>
      </c>
    </row>
    <row r="4375" customFormat="false" ht="15" hidden="false" customHeight="true" outlineLevel="0" collapsed="false">
      <c r="H4375" s="14" t="b">
        <f aca="false">IF(중복검사!$A4373="",FALSE(),중복검사!$J4373="유지")</f>
        <v>0</v>
      </c>
      <c r="I4375" s="5" t="str">
        <f aca="false">IF($H4375=FALSE(),"",COUNTIF($H$6:$H4375,TRUE()))</f>
        <v/>
      </c>
      <c r="J4375" s="5" t="str">
        <f aca="false">IF($I4375="","","R"&amp;$I4375)</f>
        <v/>
      </c>
    </row>
    <row r="4376" customFormat="false" ht="15" hidden="false" customHeight="true" outlineLevel="0" collapsed="false">
      <c r="H4376" s="14" t="b">
        <f aca="false">IF(중복검사!$A4374="",FALSE(),중복검사!$J4374="유지")</f>
        <v>0</v>
      </c>
      <c r="I4376" s="5" t="str">
        <f aca="false">IF($H4376=FALSE(),"",COUNTIF($H$6:$H4376,TRUE()))</f>
        <v/>
      </c>
      <c r="J4376" s="5" t="str">
        <f aca="false">IF($I4376="","","R"&amp;$I4376)</f>
        <v/>
      </c>
    </row>
    <row r="4377" customFormat="false" ht="15" hidden="false" customHeight="true" outlineLevel="0" collapsed="false">
      <c r="H4377" s="14" t="b">
        <f aca="false">IF(중복검사!$A4375="",FALSE(),중복검사!$J4375="유지")</f>
        <v>0</v>
      </c>
      <c r="I4377" s="5" t="str">
        <f aca="false">IF($H4377=FALSE(),"",COUNTIF($H$6:$H4377,TRUE()))</f>
        <v/>
      </c>
      <c r="J4377" s="5" t="str">
        <f aca="false">IF($I4377="","","R"&amp;$I4377)</f>
        <v/>
      </c>
    </row>
    <row r="4378" customFormat="false" ht="15" hidden="false" customHeight="true" outlineLevel="0" collapsed="false">
      <c r="H4378" s="14" t="b">
        <f aca="false">IF(중복검사!$A4376="",FALSE(),중복검사!$J4376="유지")</f>
        <v>0</v>
      </c>
      <c r="I4378" s="5" t="str">
        <f aca="false">IF($H4378=FALSE(),"",COUNTIF($H$6:$H4378,TRUE()))</f>
        <v/>
      </c>
      <c r="J4378" s="5" t="str">
        <f aca="false">IF($I4378="","","R"&amp;$I4378)</f>
        <v/>
      </c>
    </row>
    <row r="4379" customFormat="false" ht="15" hidden="false" customHeight="true" outlineLevel="0" collapsed="false">
      <c r="H4379" s="14" t="b">
        <f aca="false">IF(중복검사!$A4377="",FALSE(),중복검사!$J4377="유지")</f>
        <v>0</v>
      </c>
      <c r="I4379" s="5" t="str">
        <f aca="false">IF($H4379=FALSE(),"",COUNTIF($H$6:$H4379,TRUE()))</f>
        <v/>
      </c>
      <c r="J4379" s="5" t="str">
        <f aca="false">IF($I4379="","","R"&amp;$I4379)</f>
        <v/>
      </c>
    </row>
    <row r="4380" customFormat="false" ht="15" hidden="false" customHeight="true" outlineLevel="0" collapsed="false">
      <c r="H4380" s="14" t="b">
        <f aca="false">IF(중복검사!$A4378="",FALSE(),중복검사!$J4378="유지")</f>
        <v>0</v>
      </c>
      <c r="I4380" s="5" t="str">
        <f aca="false">IF($H4380=FALSE(),"",COUNTIF($H$6:$H4380,TRUE()))</f>
        <v/>
      </c>
      <c r="J4380" s="5" t="str">
        <f aca="false">IF($I4380="","","R"&amp;$I4380)</f>
        <v/>
      </c>
    </row>
    <row r="4381" customFormat="false" ht="15" hidden="false" customHeight="true" outlineLevel="0" collapsed="false">
      <c r="H4381" s="14" t="b">
        <f aca="false">IF(중복검사!$A4379="",FALSE(),중복검사!$J4379="유지")</f>
        <v>0</v>
      </c>
      <c r="I4381" s="5" t="str">
        <f aca="false">IF($H4381=FALSE(),"",COUNTIF($H$6:$H4381,TRUE()))</f>
        <v/>
      </c>
      <c r="J4381" s="5" t="str">
        <f aca="false">IF($I4381="","","R"&amp;$I4381)</f>
        <v/>
      </c>
    </row>
    <row r="4382" customFormat="false" ht="15" hidden="false" customHeight="true" outlineLevel="0" collapsed="false">
      <c r="H4382" s="14" t="b">
        <f aca="false">IF(중복검사!$A4380="",FALSE(),중복검사!$J4380="유지")</f>
        <v>0</v>
      </c>
      <c r="I4382" s="5" t="str">
        <f aca="false">IF($H4382=FALSE(),"",COUNTIF($H$6:$H4382,TRUE()))</f>
        <v/>
      </c>
      <c r="J4382" s="5" t="str">
        <f aca="false">IF($I4382="","","R"&amp;$I4382)</f>
        <v/>
      </c>
    </row>
    <row r="4383" customFormat="false" ht="15" hidden="false" customHeight="true" outlineLevel="0" collapsed="false">
      <c r="H4383" s="14" t="b">
        <f aca="false">IF(중복검사!$A4381="",FALSE(),중복검사!$J4381="유지")</f>
        <v>0</v>
      </c>
      <c r="I4383" s="5" t="str">
        <f aca="false">IF($H4383=FALSE(),"",COUNTIF($H$6:$H4383,TRUE()))</f>
        <v/>
      </c>
      <c r="J4383" s="5" t="str">
        <f aca="false">IF($I4383="","","R"&amp;$I4383)</f>
        <v/>
      </c>
    </row>
    <row r="4384" customFormat="false" ht="15" hidden="false" customHeight="true" outlineLevel="0" collapsed="false">
      <c r="H4384" s="14" t="b">
        <f aca="false">IF(중복검사!$A4382="",FALSE(),중복검사!$J4382="유지")</f>
        <v>0</v>
      </c>
      <c r="I4384" s="5" t="str">
        <f aca="false">IF($H4384=FALSE(),"",COUNTIF($H$6:$H4384,TRUE()))</f>
        <v/>
      </c>
      <c r="J4384" s="5" t="str">
        <f aca="false">IF($I4384="","","R"&amp;$I4384)</f>
        <v/>
      </c>
    </row>
    <row r="4385" customFormat="false" ht="15" hidden="false" customHeight="true" outlineLevel="0" collapsed="false">
      <c r="H4385" s="14" t="b">
        <f aca="false">IF(중복검사!$A4383="",FALSE(),중복검사!$J4383="유지")</f>
        <v>0</v>
      </c>
      <c r="I4385" s="5" t="str">
        <f aca="false">IF($H4385=FALSE(),"",COUNTIF($H$6:$H4385,TRUE()))</f>
        <v/>
      </c>
      <c r="J4385" s="5" t="str">
        <f aca="false">IF($I4385="","","R"&amp;$I4385)</f>
        <v/>
      </c>
    </row>
    <row r="4386" customFormat="false" ht="15" hidden="false" customHeight="true" outlineLevel="0" collapsed="false">
      <c r="H4386" s="14" t="b">
        <f aca="false">IF(중복검사!$A4384="",FALSE(),중복검사!$J4384="유지")</f>
        <v>0</v>
      </c>
      <c r="I4386" s="5" t="str">
        <f aca="false">IF($H4386=FALSE(),"",COUNTIF($H$6:$H4386,TRUE()))</f>
        <v/>
      </c>
      <c r="J4386" s="5" t="str">
        <f aca="false">IF($I4386="","","R"&amp;$I4386)</f>
        <v/>
      </c>
    </row>
    <row r="4387" customFormat="false" ht="15" hidden="false" customHeight="true" outlineLevel="0" collapsed="false">
      <c r="H4387" s="14" t="b">
        <f aca="false">IF(중복검사!$A4385="",FALSE(),중복검사!$J4385="유지")</f>
        <v>0</v>
      </c>
      <c r="I4387" s="5" t="str">
        <f aca="false">IF($H4387=FALSE(),"",COUNTIF($H$6:$H4387,TRUE()))</f>
        <v/>
      </c>
      <c r="J4387" s="5" t="str">
        <f aca="false">IF($I4387="","","R"&amp;$I4387)</f>
        <v/>
      </c>
    </row>
    <row r="4388" customFormat="false" ht="15" hidden="false" customHeight="true" outlineLevel="0" collapsed="false">
      <c r="H4388" s="14" t="b">
        <f aca="false">IF(중복검사!$A4386="",FALSE(),중복검사!$J4386="유지")</f>
        <v>0</v>
      </c>
      <c r="I4388" s="5" t="str">
        <f aca="false">IF($H4388=FALSE(),"",COUNTIF($H$6:$H4388,TRUE()))</f>
        <v/>
      </c>
      <c r="J4388" s="5" t="str">
        <f aca="false">IF($I4388="","","R"&amp;$I4388)</f>
        <v/>
      </c>
    </row>
    <row r="4389" customFormat="false" ht="15" hidden="false" customHeight="true" outlineLevel="0" collapsed="false">
      <c r="H4389" s="14" t="b">
        <f aca="false">IF(중복검사!$A4387="",FALSE(),중복검사!$J4387="유지")</f>
        <v>0</v>
      </c>
      <c r="I4389" s="5" t="str">
        <f aca="false">IF($H4389=FALSE(),"",COUNTIF($H$6:$H4389,TRUE()))</f>
        <v/>
      </c>
      <c r="J4389" s="5" t="str">
        <f aca="false">IF($I4389="","","R"&amp;$I4389)</f>
        <v/>
      </c>
    </row>
    <row r="4390" customFormat="false" ht="15" hidden="false" customHeight="true" outlineLevel="0" collapsed="false">
      <c r="H4390" s="14" t="b">
        <f aca="false">IF(중복검사!$A4388="",FALSE(),중복검사!$J4388="유지")</f>
        <v>0</v>
      </c>
      <c r="I4390" s="5" t="str">
        <f aca="false">IF($H4390=FALSE(),"",COUNTIF($H$6:$H4390,TRUE()))</f>
        <v/>
      </c>
      <c r="J4390" s="5" t="str">
        <f aca="false">IF($I4390="","","R"&amp;$I4390)</f>
        <v/>
      </c>
    </row>
    <row r="4391" customFormat="false" ht="15" hidden="false" customHeight="true" outlineLevel="0" collapsed="false">
      <c r="H4391" s="14" t="b">
        <f aca="false">IF(중복검사!$A4389="",FALSE(),중복검사!$J4389="유지")</f>
        <v>0</v>
      </c>
      <c r="I4391" s="5" t="str">
        <f aca="false">IF($H4391=FALSE(),"",COUNTIF($H$6:$H4391,TRUE()))</f>
        <v/>
      </c>
      <c r="J4391" s="5" t="str">
        <f aca="false">IF($I4391="","","R"&amp;$I4391)</f>
        <v/>
      </c>
    </row>
    <row r="4392" customFormat="false" ht="15" hidden="false" customHeight="true" outlineLevel="0" collapsed="false">
      <c r="H4392" s="14" t="b">
        <f aca="false">IF(중복검사!$A4390="",FALSE(),중복검사!$J4390="유지")</f>
        <v>0</v>
      </c>
      <c r="I4392" s="5" t="str">
        <f aca="false">IF($H4392=FALSE(),"",COUNTIF($H$6:$H4392,TRUE()))</f>
        <v/>
      </c>
      <c r="J4392" s="5" t="str">
        <f aca="false">IF($I4392="","","R"&amp;$I4392)</f>
        <v/>
      </c>
    </row>
    <row r="4393" customFormat="false" ht="15" hidden="false" customHeight="true" outlineLevel="0" collapsed="false">
      <c r="H4393" s="14" t="b">
        <f aca="false">IF(중복검사!$A4391="",FALSE(),중복검사!$J4391="유지")</f>
        <v>0</v>
      </c>
      <c r="I4393" s="5" t="str">
        <f aca="false">IF($H4393=FALSE(),"",COUNTIF($H$6:$H4393,TRUE()))</f>
        <v/>
      </c>
      <c r="J4393" s="5" t="str">
        <f aca="false">IF($I4393="","","R"&amp;$I4393)</f>
        <v/>
      </c>
    </row>
    <row r="4394" customFormat="false" ht="15" hidden="false" customHeight="true" outlineLevel="0" collapsed="false">
      <c r="H4394" s="14" t="b">
        <f aca="false">IF(중복검사!$A4392="",FALSE(),중복검사!$J4392="유지")</f>
        <v>0</v>
      </c>
      <c r="I4394" s="5" t="str">
        <f aca="false">IF($H4394=FALSE(),"",COUNTIF($H$6:$H4394,TRUE()))</f>
        <v/>
      </c>
      <c r="J4394" s="5" t="str">
        <f aca="false">IF($I4394="","","R"&amp;$I4394)</f>
        <v/>
      </c>
    </row>
    <row r="4395" customFormat="false" ht="15" hidden="false" customHeight="true" outlineLevel="0" collapsed="false">
      <c r="H4395" s="14" t="b">
        <f aca="false">IF(중복검사!$A4393="",FALSE(),중복검사!$J4393="유지")</f>
        <v>0</v>
      </c>
      <c r="I4395" s="5" t="str">
        <f aca="false">IF($H4395=FALSE(),"",COUNTIF($H$6:$H4395,TRUE()))</f>
        <v/>
      </c>
      <c r="J4395" s="5" t="str">
        <f aca="false">IF($I4395="","","R"&amp;$I4395)</f>
        <v/>
      </c>
    </row>
    <row r="4396" customFormat="false" ht="15" hidden="false" customHeight="true" outlineLevel="0" collapsed="false">
      <c r="H4396" s="14" t="b">
        <f aca="false">IF(중복검사!$A4394="",FALSE(),중복검사!$J4394="유지")</f>
        <v>0</v>
      </c>
      <c r="I4396" s="5" t="str">
        <f aca="false">IF($H4396=FALSE(),"",COUNTIF($H$6:$H4396,TRUE()))</f>
        <v/>
      </c>
      <c r="J4396" s="5" t="str">
        <f aca="false">IF($I4396="","","R"&amp;$I4396)</f>
        <v/>
      </c>
    </row>
    <row r="4397" customFormat="false" ht="15" hidden="false" customHeight="true" outlineLevel="0" collapsed="false">
      <c r="H4397" s="14" t="b">
        <f aca="false">IF(중복검사!$A4395="",FALSE(),중복검사!$J4395="유지")</f>
        <v>0</v>
      </c>
      <c r="I4397" s="5" t="str">
        <f aca="false">IF($H4397=FALSE(),"",COUNTIF($H$6:$H4397,TRUE()))</f>
        <v/>
      </c>
      <c r="J4397" s="5" t="str">
        <f aca="false">IF($I4397="","","R"&amp;$I4397)</f>
        <v/>
      </c>
    </row>
    <row r="4398" customFormat="false" ht="15" hidden="false" customHeight="true" outlineLevel="0" collapsed="false">
      <c r="H4398" s="14" t="b">
        <f aca="false">IF(중복검사!$A4396="",FALSE(),중복검사!$J4396="유지")</f>
        <v>0</v>
      </c>
      <c r="I4398" s="5" t="str">
        <f aca="false">IF($H4398=FALSE(),"",COUNTIF($H$6:$H4398,TRUE()))</f>
        <v/>
      </c>
      <c r="J4398" s="5" t="str">
        <f aca="false">IF($I4398="","","R"&amp;$I4398)</f>
        <v/>
      </c>
    </row>
    <row r="4399" customFormat="false" ht="15" hidden="false" customHeight="true" outlineLevel="0" collapsed="false">
      <c r="H4399" s="14" t="b">
        <f aca="false">IF(중복검사!$A4397="",FALSE(),중복검사!$J4397="유지")</f>
        <v>0</v>
      </c>
      <c r="I4399" s="5" t="str">
        <f aca="false">IF($H4399=FALSE(),"",COUNTIF($H$6:$H4399,TRUE()))</f>
        <v/>
      </c>
      <c r="J4399" s="5" t="str">
        <f aca="false">IF($I4399="","","R"&amp;$I4399)</f>
        <v/>
      </c>
    </row>
    <row r="4400" customFormat="false" ht="15" hidden="false" customHeight="true" outlineLevel="0" collapsed="false">
      <c r="H4400" s="14" t="b">
        <f aca="false">IF(중복검사!$A4398="",FALSE(),중복검사!$J4398="유지")</f>
        <v>0</v>
      </c>
      <c r="I4400" s="5" t="str">
        <f aca="false">IF($H4400=FALSE(),"",COUNTIF($H$6:$H4400,TRUE()))</f>
        <v/>
      </c>
      <c r="J4400" s="5" t="str">
        <f aca="false">IF($I4400="","","R"&amp;$I4400)</f>
        <v/>
      </c>
    </row>
    <row r="4401" customFormat="false" ht="15" hidden="false" customHeight="true" outlineLevel="0" collapsed="false">
      <c r="H4401" s="14" t="b">
        <f aca="false">IF(중복검사!$A4399="",FALSE(),중복검사!$J4399="유지")</f>
        <v>0</v>
      </c>
      <c r="I4401" s="5" t="str">
        <f aca="false">IF($H4401=FALSE(),"",COUNTIF($H$6:$H4401,TRUE()))</f>
        <v/>
      </c>
      <c r="J4401" s="5" t="str">
        <f aca="false">IF($I4401="","","R"&amp;$I4401)</f>
        <v/>
      </c>
    </row>
    <row r="4402" customFormat="false" ht="15" hidden="false" customHeight="true" outlineLevel="0" collapsed="false">
      <c r="H4402" s="14" t="b">
        <f aca="false">IF(중복검사!$A4400="",FALSE(),중복검사!$J4400="유지")</f>
        <v>0</v>
      </c>
      <c r="I4402" s="5" t="str">
        <f aca="false">IF($H4402=FALSE(),"",COUNTIF($H$6:$H4402,TRUE()))</f>
        <v/>
      </c>
      <c r="J4402" s="5" t="str">
        <f aca="false">IF($I4402="","","R"&amp;$I4402)</f>
        <v/>
      </c>
    </row>
    <row r="4403" customFormat="false" ht="15" hidden="false" customHeight="true" outlineLevel="0" collapsed="false">
      <c r="H4403" s="14" t="b">
        <f aca="false">IF(중복검사!$A4401="",FALSE(),중복검사!$J4401="유지")</f>
        <v>0</v>
      </c>
      <c r="I4403" s="5" t="str">
        <f aca="false">IF($H4403=FALSE(),"",COUNTIF($H$6:$H4403,TRUE()))</f>
        <v/>
      </c>
      <c r="J4403" s="5" t="str">
        <f aca="false">IF($I4403="","","R"&amp;$I4403)</f>
        <v/>
      </c>
    </row>
    <row r="4404" customFormat="false" ht="15" hidden="false" customHeight="true" outlineLevel="0" collapsed="false">
      <c r="H4404" s="14" t="b">
        <f aca="false">IF(중복검사!$A4402="",FALSE(),중복검사!$J4402="유지")</f>
        <v>0</v>
      </c>
      <c r="I4404" s="5" t="str">
        <f aca="false">IF($H4404=FALSE(),"",COUNTIF($H$6:$H4404,TRUE()))</f>
        <v/>
      </c>
      <c r="J4404" s="5" t="str">
        <f aca="false">IF($I4404="","","R"&amp;$I4404)</f>
        <v/>
      </c>
    </row>
    <row r="4405" customFormat="false" ht="15" hidden="false" customHeight="true" outlineLevel="0" collapsed="false">
      <c r="H4405" s="14" t="b">
        <f aca="false">IF(중복검사!$A4403="",FALSE(),중복검사!$J4403="유지")</f>
        <v>0</v>
      </c>
      <c r="I4405" s="5" t="str">
        <f aca="false">IF($H4405=FALSE(),"",COUNTIF($H$6:$H4405,TRUE()))</f>
        <v/>
      </c>
      <c r="J4405" s="5" t="str">
        <f aca="false">IF($I4405="","","R"&amp;$I4405)</f>
        <v/>
      </c>
    </row>
    <row r="4406" customFormat="false" ht="15" hidden="false" customHeight="true" outlineLevel="0" collapsed="false">
      <c r="H4406" s="14" t="b">
        <f aca="false">IF(중복검사!$A4404="",FALSE(),중복검사!$J4404="유지")</f>
        <v>0</v>
      </c>
      <c r="I4406" s="5" t="str">
        <f aca="false">IF($H4406=FALSE(),"",COUNTIF($H$6:$H4406,TRUE()))</f>
        <v/>
      </c>
      <c r="J4406" s="5" t="str">
        <f aca="false">IF($I4406="","","R"&amp;$I4406)</f>
        <v/>
      </c>
    </row>
    <row r="4407" customFormat="false" ht="15" hidden="false" customHeight="true" outlineLevel="0" collapsed="false">
      <c r="H4407" s="14" t="b">
        <f aca="false">IF(중복검사!$A4405="",FALSE(),중복검사!$J4405="유지")</f>
        <v>0</v>
      </c>
      <c r="I4407" s="5" t="str">
        <f aca="false">IF($H4407=FALSE(),"",COUNTIF($H$6:$H4407,TRUE()))</f>
        <v/>
      </c>
      <c r="J4407" s="5" t="str">
        <f aca="false">IF($I4407="","","R"&amp;$I4407)</f>
        <v/>
      </c>
    </row>
    <row r="4408" customFormat="false" ht="15" hidden="false" customHeight="true" outlineLevel="0" collapsed="false">
      <c r="H4408" s="14" t="b">
        <f aca="false">IF(중복검사!$A4406="",FALSE(),중복검사!$J4406="유지")</f>
        <v>0</v>
      </c>
      <c r="I4408" s="5" t="str">
        <f aca="false">IF($H4408=FALSE(),"",COUNTIF($H$6:$H4408,TRUE()))</f>
        <v/>
      </c>
      <c r="J4408" s="5" t="str">
        <f aca="false">IF($I4408="","","R"&amp;$I4408)</f>
        <v/>
      </c>
    </row>
    <row r="4409" customFormat="false" ht="15" hidden="false" customHeight="true" outlineLevel="0" collapsed="false">
      <c r="H4409" s="14" t="b">
        <f aca="false">IF(중복검사!$A4407="",FALSE(),중복검사!$J4407="유지")</f>
        <v>0</v>
      </c>
      <c r="I4409" s="5" t="str">
        <f aca="false">IF($H4409=FALSE(),"",COUNTIF($H$6:$H4409,TRUE()))</f>
        <v/>
      </c>
      <c r="J4409" s="5" t="str">
        <f aca="false">IF($I4409="","","R"&amp;$I4409)</f>
        <v/>
      </c>
    </row>
    <row r="4410" customFormat="false" ht="15" hidden="false" customHeight="true" outlineLevel="0" collapsed="false">
      <c r="H4410" s="14" t="b">
        <f aca="false">IF(중복검사!$A4408="",FALSE(),중복검사!$J4408="유지")</f>
        <v>0</v>
      </c>
      <c r="I4410" s="5" t="str">
        <f aca="false">IF($H4410=FALSE(),"",COUNTIF($H$6:$H4410,TRUE()))</f>
        <v/>
      </c>
      <c r="J4410" s="5" t="str">
        <f aca="false">IF($I4410="","","R"&amp;$I4410)</f>
        <v/>
      </c>
    </row>
    <row r="4411" customFormat="false" ht="15" hidden="false" customHeight="true" outlineLevel="0" collapsed="false">
      <c r="H4411" s="14" t="b">
        <f aca="false">IF(중복검사!$A4409="",FALSE(),중복검사!$J4409="유지")</f>
        <v>0</v>
      </c>
      <c r="I4411" s="5" t="str">
        <f aca="false">IF($H4411=FALSE(),"",COUNTIF($H$6:$H4411,TRUE()))</f>
        <v/>
      </c>
      <c r="J4411" s="5" t="str">
        <f aca="false">IF($I4411="","","R"&amp;$I4411)</f>
        <v/>
      </c>
    </row>
    <row r="4412" customFormat="false" ht="15" hidden="false" customHeight="true" outlineLevel="0" collapsed="false">
      <c r="H4412" s="14" t="b">
        <f aca="false">IF(중복검사!$A4410="",FALSE(),중복검사!$J4410="유지")</f>
        <v>0</v>
      </c>
      <c r="I4412" s="5" t="str">
        <f aca="false">IF($H4412=FALSE(),"",COUNTIF($H$6:$H4412,TRUE()))</f>
        <v/>
      </c>
      <c r="J4412" s="5" t="str">
        <f aca="false">IF($I4412="","","R"&amp;$I4412)</f>
        <v/>
      </c>
    </row>
    <row r="4413" customFormat="false" ht="15" hidden="false" customHeight="true" outlineLevel="0" collapsed="false">
      <c r="H4413" s="14" t="b">
        <f aca="false">IF(중복검사!$A4411="",FALSE(),중복검사!$J4411="유지")</f>
        <v>0</v>
      </c>
      <c r="I4413" s="5" t="str">
        <f aca="false">IF($H4413=FALSE(),"",COUNTIF($H$6:$H4413,TRUE()))</f>
        <v/>
      </c>
      <c r="J4413" s="5" t="str">
        <f aca="false">IF($I4413="","","R"&amp;$I4413)</f>
        <v/>
      </c>
    </row>
    <row r="4414" customFormat="false" ht="15" hidden="false" customHeight="true" outlineLevel="0" collapsed="false">
      <c r="H4414" s="14" t="b">
        <f aca="false">IF(중복검사!$A4412="",FALSE(),중복검사!$J4412="유지")</f>
        <v>0</v>
      </c>
      <c r="I4414" s="5" t="str">
        <f aca="false">IF($H4414=FALSE(),"",COUNTIF($H$6:$H4414,TRUE()))</f>
        <v/>
      </c>
      <c r="J4414" s="5" t="str">
        <f aca="false">IF($I4414="","","R"&amp;$I4414)</f>
        <v/>
      </c>
    </row>
    <row r="4415" customFormat="false" ht="15" hidden="false" customHeight="true" outlineLevel="0" collapsed="false">
      <c r="H4415" s="14" t="b">
        <f aca="false">IF(중복검사!$A4413="",FALSE(),중복검사!$J4413="유지")</f>
        <v>0</v>
      </c>
      <c r="I4415" s="5" t="str">
        <f aca="false">IF($H4415=FALSE(),"",COUNTIF($H$6:$H4415,TRUE()))</f>
        <v/>
      </c>
      <c r="J4415" s="5" t="str">
        <f aca="false">IF($I4415="","","R"&amp;$I4415)</f>
        <v/>
      </c>
    </row>
    <row r="4416" customFormat="false" ht="15" hidden="false" customHeight="true" outlineLevel="0" collapsed="false">
      <c r="H4416" s="14" t="b">
        <f aca="false">IF(중복검사!$A4414="",FALSE(),중복검사!$J4414="유지")</f>
        <v>0</v>
      </c>
      <c r="I4416" s="5" t="str">
        <f aca="false">IF($H4416=FALSE(),"",COUNTIF($H$6:$H4416,TRUE()))</f>
        <v/>
      </c>
      <c r="J4416" s="5" t="str">
        <f aca="false">IF($I4416="","","R"&amp;$I4416)</f>
        <v/>
      </c>
    </row>
    <row r="4417" customFormat="false" ht="15" hidden="false" customHeight="true" outlineLevel="0" collapsed="false">
      <c r="H4417" s="14" t="b">
        <f aca="false">IF(중복검사!$A4415="",FALSE(),중복검사!$J4415="유지")</f>
        <v>0</v>
      </c>
      <c r="I4417" s="5" t="str">
        <f aca="false">IF($H4417=FALSE(),"",COUNTIF($H$6:$H4417,TRUE()))</f>
        <v/>
      </c>
      <c r="J4417" s="5" t="str">
        <f aca="false">IF($I4417="","","R"&amp;$I4417)</f>
        <v/>
      </c>
    </row>
    <row r="4418" customFormat="false" ht="15" hidden="false" customHeight="true" outlineLevel="0" collapsed="false">
      <c r="H4418" s="14" t="b">
        <f aca="false">IF(중복검사!$A4416="",FALSE(),중복검사!$J4416="유지")</f>
        <v>0</v>
      </c>
      <c r="I4418" s="5" t="str">
        <f aca="false">IF($H4418=FALSE(),"",COUNTIF($H$6:$H4418,TRUE()))</f>
        <v/>
      </c>
      <c r="J4418" s="5" t="str">
        <f aca="false">IF($I4418="","","R"&amp;$I4418)</f>
        <v/>
      </c>
    </row>
    <row r="4419" customFormat="false" ht="15" hidden="false" customHeight="true" outlineLevel="0" collapsed="false">
      <c r="H4419" s="14" t="b">
        <f aca="false">IF(중복검사!$A4417="",FALSE(),중복검사!$J4417="유지")</f>
        <v>0</v>
      </c>
      <c r="I4419" s="5" t="str">
        <f aca="false">IF($H4419=FALSE(),"",COUNTIF($H$6:$H4419,TRUE()))</f>
        <v/>
      </c>
      <c r="J4419" s="5" t="str">
        <f aca="false">IF($I4419="","","R"&amp;$I4419)</f>
        <v/>
      </c>
    </row>
    <row r="4420" customFormat="false" ht="15" hidden="false" customHeight="true" outlineLevel="0" collapsed="false">
      <c r="H4420" s="14" t="b">
        <f aca="false">IF(중복검사!$A4418="",FALSE(),중복검사!$J4418="유지")</f>
        <v>0</v>
      </c>
      <c r="I4420" s="5" t="str">
        <f aca="false">IF($H4420=FALSE(),"",COUNTIF($H$6:$H4420,TRUE()))</f>
        <v/>
      </c>
      <c r="J4420" s="5" t="str">
        <f aca="false">IF($I4420="","","R"&amp;$I4420)</f>
        <v/>
      </c>
    </row>
    <row r="4421" customFormat="false" ht="15" hidden="false" customHeight="true" outlineLevel="0" collapsed="false">
      <c r="H4421" s="14" t="b">
        <f aca="false">IF(중복검사!$A4419="",FALSE(),중복검사!$J4419="유지")</f>
        <v>0</v>
      </c>
      <c r="I4421" s="5" t="str">
        <f aca="false">IF($H4421=FALSE(),"",COUNTIF($H$6:$H4421,TRUE()))</f>
        <v/>
      </c>
      <c r="J4421" s="5" t="str">
        <f aca="false">IF($I4421="","","R"&amp;$I4421)</f>
        <v/>
      </c>
    </row>
    <row r="4422" customFormat="false" ht="15" hidden="false" customHeight="true" outlineLevel="0" collapsed="false">
      <c r="H4422" s="14" t="b">
        <f aca="false">IF(중복검사!$A4420="",FALSE(),중복검사!$J4420="유지")</f>
        <v>0</v>
      </c>
      <c r="I4422" s="5" t="str">
        <f aca="false">IF($H4422=FALSE(),"",COUNTIF($H$6:$H4422,TRUE()))</f>
        <v/>
      </c>
      <c r="J4422" s="5" t="str">
        <f aca="false">IF($I4422="","","R"&amp;$I4422)</f>
        <v/>
      </c>
    </row>
    <row r="4423" customFormat="false" ht="15" hidden="false" customHeight="true" outlineLevel="0" collapsed="false">
      <c r="H4423" s="14" t="b">
        <f aca="false">IF(중복검사!$A4421="",FALSE(),중복검사!$J4421="유지")</f>
        <v>0</v>
      </c>
      <c r="I4423" s="5" t="str">
        <f aca="false">IF($H4423=FALSE(),"",COUNTIF($H$6:$H4423,TRUE()))</f>
        <v/>
      </c>
      <c r="J4423" s="5" t="str">
        <f aca="false">IF($I4423="","","R"&amp;$I4423)</f>
        <v/>
      </c>
    </row>
    <row r="4424" customFormat="false" ht="15" hidden="false" customHeight="true" outlineLevel="0" collapsed="false">
      <c r="H4424" s="14" t="b">
        <f aca="false">IF(중복검사!$A4422="",FALSE(),중복검사!$J4422="유지")</f>
        <v>0</v>
      </c>
      <c r="I4424" s="5" t="str">
        <f aca="false">IF($H4424=FALSE(),"",COUNTIF($H$6:$H4424,TRUE()))</f>
        <v/>
      </c>
      <c r="J4424" s="5" t="str">
        <f aca="false">IF($I4424="","","R"&amp;$I4424)</f>
        <v/>
      </c>
    </row>
    <row r="4425" customFormat="false" ht="15" hidden="false" customHeight="true" outlineLevel="0" collapsed="false">
      <c r="H4425" s="14" t="b">
        <f aca="false">IF(중복검사!$A4423="",FALSE(),중복검사!$J4423="유지")</f>
        <v>0</v>
      </c>
      <c r="I4425" s="5" t="str">
        <f aca="false">IF($H4425=FALSE(),"",COUNTIF($H$6:$H4425,TRUE()))</f>
        <v/>
      </c>
      <c r="J4425" s="5" t="str">
        <f aca="false">IF($I4425="","","R"&amp;$I4425)</f>
        <v/>
      </c>
    </row>
    <row r="4426" customFormat="false" ht="15" hidden="false" customHeight="true" outlineLevel="0" collapsed="false">
      <c r="H4426" s="14" t="b">
        <f aca="false">IF(중복검사!$A4424="",FALSE(),중복검사!$J4424="유지")</f>
        <v>0</v>
      </c>
      <c r="I4426" s="5" t="str">
        <f aca="false">IF($H4426=FALSE(),"",COUNTIF($H$6:$H4426,TRUE()))</f>
        <v/>
      </c>
      <c r="J4426" s="5" t="str">
        <f aca="false">IF($I4426="","","R"&amp;$I4426)</f>
        <v/>
      </c>
    </row>
    <row r="4427" customFormat="false" ht="15" hidden="false" customHeight="true" outlineLevel="0" collapsed="false">
      <c r="H4427" s="14" t="b">
        <f aca="false">IF(중복검사!$A4425="",FALSE(),중복검사!$J4425="유지")</f>
        <v>0</v>
      </c>
      <c r="I4427" s="5" t="str">
        <f aca="false">IF($H4427=FALSE(),"",COUNTIF($H$6:$H4427,TRUE()))</f>
        <v/>
      </c>
      <c r="J4427" s="5" t="str">
        <f aca="false">IF($I4427="","","R"&amp;$I4427)</f>
        <v/>
      </c>
    </row>
    <row r="4428" customFormat="false" ht="15" hidden="false" customHeight="true" outlineLevel="0" collapsed="false">
      <c r="H4428" s="14" t="b">
        <f aca="false">IF(중복검사!$A4426="",FALSE(),중복검사!$J4426="유지")</f>
        <v>0</v>
      </c>
      <c r="I4428" s="5" t="str">
        <f aca="false">IF($H4428=FALSE(),"",COUNTIF($H$6:$H4428,TRUE()))</f>
        <v/>
      </c>
      <c r="J4428" s="5" t="str">
        <f aca="false">IF($I4428="","","R"&amp;$I4428)</f>
        <v/>
      </c>
    </row>
    <row r="4429" customFormat="false" ht="15" hidden="false" customHeight="true" outlineLevel="0" collapsed="false">
      <c r="H4429" s="14" t="b">
        <f aca="false">IF(중복검사!$A4427="",FALSE(),중복검사!$J4427="유지")</f>
        <v>0</v>
      </c>
      <c r="I4429" s="5" t="str">
        <f aca="false">IF($H4429=FALSE(),"",COUNTIF($H$6:$H4429,TRUE()))</f>
        <v/>
      </c>
      <c r="J4429" s="5" t="str">
        <f aca="false">IF($I4429="","","R"&amp;$I4429)</f>
        <v/>
      </c>
    </row>
    <row r="4430" customFormat="false" ht="15" hidden="false" customHeight="true" outlineLevel="0" collapsed="false">
      <c r="H4430" s="14" t="b">
        <f aca="false">IF(중복검사!$A4428="",FALSE(),중복검사!$J4428="유지")</f>
        <v>0</v>
      </c>
      <c r="I4430" s="5" t="str">
        <f aca="false">IF($H4430=FALSE(),"",COUNTIF($H$6:$H4430,TRUE()))</f>
        <v/>
      </c>
      <c r="J4430" s="5" t="str">
        <f aca="false">IF($I4430="","","R"&amp;$I4430)</f>
        <v/>
      </c>
    </row>
    <row r="4431" customFormat="false" ht="15" hidden="false" customHeight="true" outlineLevel="0" collapsed="false">
      <c r="H4431" s="14" t="b">
        <f aca="false">IF(중복검사!$A4429="",FALSE(),중복검사!$J4429="유지")</f>
        <v>0</v>
      </c>
      <c r="I4431" s="5" t="str">
        <f aca="false">IF($H4431=FALSE(),"",COUNTIF($H$6:$H4431,TRUE()))</f>
        <v/>
      </c>
      <c r="J4431" s="5" t="str">
        <f aca="false">IF($I4431="","","R"&amp;$I4431)</f>
        <v/>
      </c>
    </row>
    <row r="4432" customFormat="false" ht="15" hidden="false" customHeight="true" outlineLevel="0" collapsed="false">
      <c r="H4432" s="14" t="b">
        <f aca="false">IF(중복검사!$A4430="",FALSE(),중복검사!$J4430="유지")</f>
        <v>0</v>
      </c>
      <c r="I4432" s="5" t="str">
        <f aca="false">IF($H4432=FALSE(),"",COUNTIF($H$6:$H4432,TRUE()))</f>
        <v/>
      </c>
      <c r="J4432" s="5" t="str">
        <f aca="false">IF($I4432="","","R"&amp;$I4432)</f>
        <v/>
      </c>
    </row>
    <row r="4433" customFormat="false" ht="15" hidden="false" customHeight="true" outlineLevel="0" collapsed="false">
      <c r="H4433" s="14" t="b">
        <f aca="false">IF(중복검사!$A4431="",FALSE(),중복검사!$J4431="유지")</f>
        <v>0</v>
      </c>
      <c r="I4433" s="5" t="str">
        <f aca="false">IF($H4433=FALSE(),"",COUNTIF($H$6:$H4433,TRUE()))</f>
        <v/>
      </c>
      <c r="J4433" s="5" t="str">
        <f aca="false">IF($I4433="","","R"&amp;$I4433)</f>
        <v/>
      </c>
    </row>
    <row r="4434" customFormat="false" ht="15" hidden="false" customHeight="true" outlineLevel="0" collapsed="false">
      <c r="H4434" s="14" t="b">
        <f aca="false">IF(중복검사!$A4432="",FALSE(),중복검사!$J4432="유지")</f>
        <v>0</v>
      </c>
      <c r="I4434" s="5" t="str">
        <f aca="false">IF($H4434=FALSE(),"",COUNTIF($H$6:$H4434,TRUE()))</f>
        <v/>
      </c>
      <c r="J4434" s="5" t="str">
        <f aca="false">IF($I4434="","","R"&amp;$I4434)</f>
        <v/>
      </c>
    </row>
    <row r="4435" customFormat="false" ht="15" hidden="false" customHeight="true" outlineLevel="0" collapsed="false">
      <c r="H4435" s="14" t="b">
        <f aca="false">IF(중복검사!$A4433="",FALSE(),중복검사!$J4433="유지")</f>
        <v>0</v>
      </c>
      <c r="I4435" s="5" t="str">
        <f aca="false">IF($H4435=FALSE(),"",COUNTIF($H$6:$H4435,TRUE()))</f>
        <v/>
      </c>
      <c r="J4435" s="5" t="str">
        <f aca="false">IF($I4435="","","R"&amp;$I4435)</f>
        <v/>
      </c>
    </row>
    <row r="4436" customFormat="false" ht="15" hidden="false" customHeight="true" outlineLevel="0" collapsed="false">
      <c r="H4436" s="14" t="b">
        <f aca="false">IF(중복검사!$A4434="",FALSE(),중복검사!$J4434="유지")</f>
        <v>0</v>
      </c>
      <c r="I4436" s="5" t="str">
        <f aca="false">IF($H4436=FALSE(),"",COUNTIF($H$6:$H4436,TRUE()))</f>
        <v/>
      </c>
      <c r="J4436" s="5" t="str">
        <f aca="false">IF($I4436="","","R"&amp;$I4436)</f>
        <v/>
      </c>
    </row>
    <row r="4437" customFormat="false" ht="15" hidden="false" customHeight="true" outlineLevel="0" collapsed="false">
      <c r="H4437" s="14" t="b">
        <f aca="false">IF(중복검사!$A4435="",FALSE(),중복검사!$J4435="유지")</f>
        <v>0</v>
      </c>
      <c r="I4437" s="5" t="str">
        <f aca="false">IF($H4437=FALSE(),"",COUNTIF($H$6:$H4437,TRUE()))</f>
        <v/>
      </c>
      <c r="J4437" s="5" t="str">
        <f aca="false">IF($I4437="","","R"&amp;$I4437)</f>
        <v/>
      </c>
    </row>
    <row r="4438" customFormat="false" ht="15" hidden="false" customHeight="true" outlineLevel="0" collapsed="false">
      <c r="H4438" s="14" t="b">
        <f aca="false">IF(중복검사!$A4436="",FALSE(),중복검사!$J4436="유지")</f>
        <v>0</v>
      </c>
      <c r="I4438" s="5" t="str">
        <f aca="false">IF($H4438=FALSE(),"",COUNTIF($H$6:$H4438,TRUE()))</f>
        <v/>
      </c>
      <c r="J4438" s="5" t="str">
        <f aca="false">IF($I4438="","","R"&amp;$I4438)</f>
        <v/>
      </c>
    </row>
    <row r="4439" customFormat="false" ht="15" hidden="false" customHeight="true" outlineLevel="0" collapsed="false">
      <c r="H4439" s="14" t="b">
        <f aca="false">IF(중복검사!$A4437="",FALSE(),중복검사!$J4437="유지")</f>
        <v>0</v>
      </c>
      <c r="I4439" s="5" t="str">
        <f aca="false">IF($H4439=FALSE(),"",COUNTIF($H$6:$H4439,TRUE()))</f>
        <v/>
      </c>
      <c r="J4439" s="5" t="str">
        <f aca="false">IF($I4439="","","R"&amp;$I4439)</f>
        <v/>
      </c>
    </row>
    <row r="4440" customFormat="false" ht="15" hidden="false" customHeight="true" outlineLevel="0" collapsed="false">
      <c r="H4440" s="14" t="b">
        <f aca="false">IF(중복검사!$A4438="",FALSE(),중복검사!$J4438="유지")</f>
        <v>0</v>
      </c>
      <c r="I4440" s="5" t="str">
        <f aca="false">IF($H4440=FALSE(),"",COUNTIF($H$6:$H4440,TRUE()))</f>
        <v/>
      </c>
      <c r="J4440" s="5" t="str">
        <f aca="false">IF($I4440="","","R"&amp;$I4440)</f>
        <v/>
      </c>
    </row>
    <row r="4441" customFormat="false" ht="15" hidden="false" customHeight="true" outlineLevel="0" collapsed="false">
      <c r="H4441" s="14" t="b">
        <f aca="false">IF(중복검사!$A4439="",FALSE(),중복검사!$J4439="유지")</f>
        <v>0</v>
      </c>
      <c r="I4441" s="5" t="str">
        <f aca="false">IF($H4441=FALSE(),"",COUNTIF($H$6:$H4441,TRUE()))</f>
        <v/>
      </c>
      <c r="J4441" s="5" t="str">
        <f aca="false">IF($I4441="","","R"&amp;$I4441)</f>
        <v/>
      </c>
    </row>
    <row r="4442" customFormat="false" ht="15" hidden="false" customHeight="true" outlineLevel="0" collapsed="false">
      <c r="H4442" s="14" t="b">
        <f aca="false">IF(중복검사!$A4440="",FALSE(),중복검사!$J4440="유지")</f>
        <v>0</v>
      </c>
      <c r="I4442" s="5" t="str">
        <f aca="false">IF($H4442=FALSE(),"",COUNTIF($H$6:$H4442,TRUE()))</f>
        <v/>
      </c>
      <c r="J4442" s="5" t="str">
        <f aca="false">IF($I4442="","","R"&amp;$I4442)</f>
        <v/>
      </c>
    </row>
    <row r="4443" customFormat="false" ht="15" hidden="false" customHeight="true" outlineLevel="0" collapsed="false">
      <c r="H4443" s="14" t="b">
        <f aca="false">IF(중복검사!$A4441="",FALSE(),중복검사!$J4441="유지")</f>
        <v>0</v>
      </c>
      <c r="I4443" s="5" t="str">
        <f aca="false">IF($H4443=FALSE(),"",COUNTIF($H$6:$H4443,TRUE()))</f>
        <v/>
      </c>
      <c r="J4443" s="5" t="str">
        <f aca="false">IF($I4443="","","R"&amp;$I4443)</f>
        <v/>
      </c>
    </row>
    <row r="4444" customFormat="false" ht="15" hidden="false" customHeight="true" outlineLevel="0" collapsed="false">
      <c r="H4444" s="14" t="b">
        <f aca="false">IF(중복검사!$A4442="",FALSE(),중복검사!$J4442="유지")</f>
        <v>0</v>
      </c>
      <c r="I4444" s="5" t="str">
        <f aca="false">IF($H4444=FALSE(),"",COUNTIF($H$6:$H4444,TRUE()))</f>
        <v/>
      </c>
      <c r="J4444" s="5" t="str">
        <f aca="false">IF($I4444="","","R"&amp;$I4444)</f>
        <v/>
      </c>
    </row>
    <row r="4445" customFormat="false" ht="15" hidden="false" customHeight="true" outlineLevel="0" collapsed="false">
      <c r="H4445" s="14" t="b">
        <f aca="false">IF(중복검사!$A4443="",FALSE(),중복검사!$J4443="유지")</f>
        <v>0</v>
      </c>
      <c r="I4445" s="5" t="str">
        <f aca="false">IF($H4445=FALSE(),"",COUNTIF($H$6:$H4445,TRUE()))</f>
        <v/>
      </c>
      <c r="J4445" s="5" t="str">
        <f aca="false">IF($I4445="","","R"&amp;$I4445)</f>
        <v/>
      </c>
    </row>
    <row r="4446" customFormat="false" ht="15" hidden="false" customHeight="true" outlineLevel="0" collapsed="false">
      <c r="H4446" s="14" t="b">
        <f aca="false">IF(중복검사!$A4444="",FALSE(),중복검사!$J4444="유지")</f>
        <v>0</v>
      </c>
      <c r="I4446" s="5" t="str">
        <f aca="false">IF($H4446=FALSE(),"",COUNTIF($H$6:$H4446,TRUE()))</f>
        <v/>
      </c>
      <c r="J4446" s="5" t="str">
        <f aca="false">IF($I4446="","","R"&amp;$I4446)</f>
        <v/>
      </c>
    </row>
    <row r="4447" customFormat="false" ht="15" hidden="false" customHeight="true" outlineLevel="0" collapsed="false">
      <c r="H4447" s="14" t="b">
        <f aca="false">IF(중복검사!$A4445="",FALSE(),중복검사!$J4445="유지")</f>
        <v>0</v>
      </c>
      <c r="I4447" s="5" t="str">
        <f aca="false">IF($H4447=FALSE(),"",COUNTIF($H$6:$H4447,TRUE()))</f>
        <v/>
      </c>
      <c r="J4447" s="5" t="str">
        <f aca="false">IF($I4447="","","R"&amp;$I4447)</f>
        <v/>
      </c>
    </row>
    <row r="4448" customFormat="false" ht="15" hidden="false" customHeight="true" outlineLevel="0" collapsed="false">
      <c r="H4448" s="14" t="b">
        <f aca="false">IF(중복검사!$A4446="",FALSE(),중복검사!$J4446="유지")</f>
        <v>0</v>
      </c>
      <c r="I4448" s="5" t="str">
        <f aca="false">IF($H4448=FALSE(),"",COUNTIF($H$6:$H4448,TRUE()))</f>
        <v/>
      </c>
      <c r="J4448" s="5" t="str">
        <f aca="false">IF($I4448="","","R"&amp;$I4448)</f>
        <v/>
      </c>
    </row>
    <row r="4449" customFormat="false" ht="15" hidden="false" customHeight="true" outlineLevel="0" collapsed="false">
      <c r="H4449" s="14" t="b">
        <f aca="false">IF(중복검사!$A4447="",FALSE(),중복검사!$J4447="유지")</f>
        <v>0</v>
      </c>
      <c r="I4449" s="5" t="str">
        <f aca="false">IF($H4449=FALSE(),"",COUNTIF($H$6:$H4449,TRUE()))</f>
        <v/>
      </c>
      <c r="J4449" s="5" t="str">
        <f aca="false">IF($I4449="","","R"&amp;$I4449)</f>
        <v/>
      </c>
    </row>
    <row r="4450" customFormat="false" ht="15" hidden="false" customHeight="true" outlineLevel="0" collapsed="false">
      <c r="H4450" s="14" t="b">
        <f aca="false">IF(중복검사!$A4448="",FALSE(),중복검사!$J4448="유지")</f>
        <v>0</v>
      </c>
      <c r="I4450" s="5" t="str">
        <f aca="false">IF($H4450=FALSE(),"",COUNTIF($H$6:$H4450,TRUE()))</f>
        <v/>
      </c>
      <c r="J4450" s="5" t="str">
        <f aca="false">IF($I4450="","","R"&amp;$I4450)</f>
        <v/>
      </c>
    </row>
    <row r="4451" customFormat="false" ht="15" hidden="false" customHeight="true" outlineLevel="0" collapsed="false">
      <c r="H4451" s="14" t="b">
        <f aca="false">IF(중복검사!$A4449="",FALSE(),중복검사!$J4449="유지")</f>
        <v>0</v>
      </c>
      <c r="I4451" s="5" t="str">
        <f aca="false">IF($H4451=FALSE(),"",COUNTIF($H$6:$H4451,TRUE()))</f>
        <v/>
      </c>
      <c r="J4451" s="5" t="str">
        <f aca="false">IF($I4451="","","R"&amp;$I4451)</f>
        <v/>
      </c>
    </row>
    <row r="4452" customFormat="false" ht="15" hidden="false" customHeight="true" outlineLevel="0" collapsed="false">
      <c r="H4452" s="14" t="b">
        <f aca="false">IF(중복검사!$A4450="",FALSE(),중복검사!$J4450="유지")</f>
        <v>0</v>
      </c>
      <c r="I4452" s="5" t="str">
        <f aca="false">IF($H4452=FALSE(),"",COUNTIF($H$6:$H4452,TRUE()))</f>
        <v/>
      </c>
      <c r="J4452" s="5" t="str">
        <f aca="false">IF($I4452="","","R"&amp;$I4452)</f>
        <v/>
      </c>
    </row>
    <row r="4453" customFormat="false" ht="15" hidden="false" customHeight="true" outlineLevel="0" collapsed="false">
      <c r="H4453" s="14" t="b">
        <f aca="false">IF(중복검사!$A4451="",FALSE(),중복검사!$J4451="유지")</f>
        <v>0</v>
      </c>
      <c r="I4453" s="5" t="str">
        <f aca="false">IF($H4453=FALSE(),"",COUNTIF($H$6:$H4453,TRUE()))</f>
        <v/>
      </c>
      <c r="J4453" s="5" t="str">
        <f aca="false">IF($I4453="","","R"&amp;$I4453)</f>
        <v/>
      </c>
    </row>
    <row r="4454" customFormat="false" ht="15" hidden="false" customHeight="true" outlineLevel="0" collapsed="false">
      <c r="H4454" s="14" t="b">
        <f aca="false">IF(중복검사!$A4452="",FALSE(),중복검사!$J4452="유지")</f>
        <v>0</v>
      </c>
      <c r="I4454" s="5" t="str">
        <f aca="false">IF($H4454=FALSE(),"",COUNTIF($H$6:$H4454,TRUE()))</f>
        <v/>
      </c>
      <c r="J4454" s="5" t="str">
        <f aca="false">IF($I4454="","","R"&amp;$I4454)</f>
        <v/>
      </c>
    </row>
    <row r="4455" customFormat="false" ht="15" hidden="false" customHeight="true" outlineLevel="0" collapsed="false">
      <c r="H4455" s="14" t="b">
        <f aca="false">IF(중복검사!$A4453="",FALSE(),중복검사!$J4453="유지")</f>
        <v>0</v>
      </c>
      <c r="I4455" s="5" t="str">
        <f aca="false">IF($H4455=FALSE(),"",COUNTIF($H$6:$H4455,TRUE()))</f>
        <v/>
      </c>
      <c r="J4455" s="5" t="str">
        <f aca="false">IF($I4455="","","R"&amp;$I4455)</f>
        <v/>
      </c>
    </row>
    <row r="4456" customFormat="false" ht="15" hidden="false" customHeight="true" outlineLevel="0" collapsed="false">
      <c r="H4456" s="14" t="b">
        <f aca="false">IF(중복검사!$A4454="",FALSE(),중복검사!$J4454="유지")</f>
        <v>0</v>
      </c>
      <c r="I4456" s="5" t="str">
        <f aca="false">IF($H4456=FALSE(),"",COUNTIF($H$6:$H4456,TRUE()))</f>
        <v/>
      </c>
      <c r="J4456" s="5" t="str">
        <f aca="false">IF($I4456="","","R"&amp;$I4456)</f>
        <v/>
      </c>
    </row>
    <row r="4457" customFormat="false" ht="15" hidden="false" customHeight="true" outlineLevel="0" collapsed="false">
      <c r="H4457" s="14" t="b">
        <f aca="false">IF(중복검사!$A4455="",FALSE(),중복검사!$J4455="유지")</f>
        <v>0</v>
      </c>
      <c r="I4457" s="5" t="str">
        <f aca="false">IF($H4457=FALSE(),"",COUNTIF($H$6:$H4457,TRUE()))</f>
        <v/>
      </c>
      <c r="J4457" s="5" t="str">
        <f aca="false">IF($I4457="","","R"&amp;$I4457)</f>
        <v/>
      </c>
    </row>
    <row r="4458" customFormat="false" ht="15" hidden="false" customHeight="true" outlineLevel="0" collapsed="false">
      <c r="H4458" s="14" t="b">
        <f aca="false">IF(중복검사!$A4456="",FALSE(),중복검사!$J4456="유지")</f>
        <v>0</v>
      </c>
      <c r="I4458" s="5" t="str">
        <f aca="false">IF($H4458=FALSE(),"",COUNTIF($H$6:$H4458,TRUE()))</f>
        <v/>
      </c>
      <c r="J4458" s="5" t="str">
        <f aca="false">IF($I4458="","","R"&amp;$I4458)</f>
        <v/>
      </c>
    </row>
    <row r="4459" customFormat="false" ht="15" hidden="false" customHeight="true" outlineLevel="0" collapsed="false">
      <c r="H4459" s="14" t="b">
        <f aca="false">IF(중복검사!$A4457="",FALSE(),중복검사!$J4457="유지")</f>
        <v>0</v>
      </c>
      <c r="I4459" s="5" t="str">
        <f aca="false">IF($H4459=FALSE(),"",COUNTIF($H$6:$H4459,TRUE()))</f>
        <v/>
      </c>
      <c r="J4459" s="5" t="str">
        <f aca="false">IF($I4459="","","R"&amp;$I4459)</f>
        <v/>
      </c>
    </row>
    <row r="4460" customFormat="false" ht="15" hidden="false" customHeight="true" outlineLevel="0" collapsed="false">
      <c r="H4460" s="14" t="b">
        <f aca="false">IF(중복검사!$A4458="",FALSE(),중복검사!$J4458="유지")</f>
        <v>0</v>
      </c>
      <c r="I4460" s="5" t="str">
        <f aca="false">IF($H4460=FALSE(),"",COUNTIF($H$6:$H4460,TRUE()))</f>
        <v/>
      </c>
      <c r="J4460" s="5" t="str">
        <f aca="false">IF($I4460="","","R"&amp;$I4460)</f>
        <v/>
      </c>
    </row>
    <row r="4461" customFormat="false" ht="15" hidden="false" customHeight="true" outlineLevel="0" collapsed="false">
      <c r="H4461" s="14" t="b">
        <f aca="false">IF(중복검사!$A4459="",FALSE(),중복검사!$J4459="유지")</f>
        <v>0</v>
      </c>
      <c r="I4461" s="5" t="str">
        <f aca="false">IF($H4461=FALSE(),"",COUNTIF($H$6:$H4461,TRUE()))</f>
        <v/>
      </c>
      <c r="J4461" s="5" t="str">
        <f aca="false">IF($I4461="","","R"&amp;$I4461)</f>
        <v/>
      </c>
    </row>
    <row r="4462" customFormat="false" ht="15" hidden="false" customHeight="true" outlineLevel="0" collapsed="false">
      <c r="H4462" s="14" t="b">
        <f aca="false">IF(중복검사!$A4460="",FALSE(),중복검사!$J4460="유지")</f>
        <v>0</v>
      </c>
      <c r="I4462" s="5" t="str">
        <f aca="false">IF($H4462=FALSE(),"",COUNTIF($H$6:$H4462,TRUE()))</f>
        <v/>
      </c>
      <c r="J4462" s="5" t="str">
        <f aca="false">IF($I4462="","","R"&amp;$I4462)</f>
        <v/>
      </c>
    </row>
    <row r="4463" customFormat="false" ht="15" hidden="false" customHeight="true" outlineLevel="0" collapsed="false">
      <c r="H4463" s="14" t="b">
        <f aca="false">IF(중복검사!$A4461="",FALSE(),중복검사!$J4461="유지")</f>
        <v>0</v>
      </c>
      <c r="I4463" s="5" t="str">
        <f aca="false">IF($H4463=FALSE(),"",COUNTIF($H$6:$H4463,TRUE()))</f>
        <v/>
      </c>
      <c r="J4463" s="5" t="str">
        <f aca="false">IF($I4463="","","R"&amp;$I4463)</f>
        <v/>
      </c>
    </row>
    <row r="4464" customFormat="false" ht="15" hidden="false" customHeight="true" outlineLevel="0" collapsed="false">
      <c r="H4464" s="14" t="b">
        <f aca="false">IF(중복검사!$A4462="",FALSE(),중복검사!$J4462="유지")</f>
        <v>0</v>
      </c>
      <c r="I4464" s="5" t="str">
        <f aca="false">IF($H4464=FALSE(),"",COUNTIF($H$6:$H4464,TRUE()))</f>
        <v/>
      </c>
      <c r="J4464" s="5" t="str">
        <f aca="false">IF($I4464="","","R"&amp;$I4464)</f>
        <v/>
      </c>
    </row>
    <row r="4465" customFormat="false" ht="15" hidden="false" customHeight="true" outlineLevel="0" collapsed="false">
      <c r="H4465" s="14" t="b">
        <f aca="false">IF(중복검사!$A4463="",FALSE(),중복검사!$J4463="유지")</f>
        <v>0</v>
      </c>
      <c r="I4465" s="5" t="str">
        <f aca="false">IF($H4465=FALSE(),"",COUNTIF($H$6:$H4465,TRUE()))</f>
        <v/>
      </c>
      <c r="J4465" s="5" t="str">
        <f aca="false">IF($I4465="","","R"&amp;$I4465)</f>
        <v/>
      </c>
    </row>
    <row r="4466" customFormat="false" ht="15" hidden="false" customHeight="true" outlineLevel="0" collapsed="false">
      <c r="H4466" s="14" t="b">
        <f aca="false">IF(중복검사!$A4464="",FALSE(),중복검사!$J4464="유지")</f>
        <v>0</v>
      </c>
      <c r="I4466" s="5" t="str">
        <f aca="false">IF($H4466=FALSE(),"",COUNTIF($H$6:$H4466,TRUE()))</f>
        <v/>
      </c>
      <c r="J4466" s="5" t="str">
        <f aca="false">IF($I4466="","","R"&amp;$I4466)</f>
        <v/>
      </c>
    </row>
    <row r="4467" customFormat="false" ht="15" hidden="false" customHeight="true" outlineLevel="0" collapsed="false">
      <c r="H4467" s="14" t="b">
        <f aca="false">IF(중복검사!$A4465="",FALSE(),중복검사!$J4465="유지")</f>
        <v>0</v>
      </c>
      <c r="I4467" s="5" t="str">
        <f aca="false">IF($H4467=FALSE(),"",COUNTIF($H$6:$H4467,TRUE()))</f>
        <v/>
      </c>
      <c r="J4467" s="5" t="str">
        <f aca="false">IF($I4467="","","R"&amp;$I4467)</f>
        <v/>
      </c>
    </row>
    <row r="4468" customFormat="false" ht="15" hidden="false" customHeight="true" outlineLevel="0" collapsed="false">
      <c r="H4468" s="14" t="b">
        <f aca="false">IF(중복검사!$A4466="",FALSE(),중복검사!$J4466="유지")</f>
        <v>0</v>
      </c>
      <c r="I4468" s="5" t="str">
        <f aca="false">IF($H4468=FALSE(),"",COUNTIF($H$6:$H4468,TRUE()))</f>
        <v/>
      </c>
      <c r="J4468" s="5" t="str">
        <f aca="false">IF($I4468="","","R"&amp;$I4468)</f>
        <v/>
      </c>
    </row>
    <row r="4469" customFormat="false" ht="15" hidden="false" customHeight="true" outlineLevel="0" collapsed="false">
      <c r="H4469" s="14" t="b">
        <f aca="false">IF(중복검사!$A4467="",FALSE(),중복검사!$J4467="유지")</f>
        <v>0</v>
      </c>
      <c r="I4469" s="5" t="str">
        <f aca="false">IF($H4469=FALSE(),"",COUNTIF($H$6:$H4469,TRUE()))</f>
        <v/>
      </c>
      <c r="J4469" s="5" t="str">
        <f aca="false">IF($I4469="","","R"&amp;$I4469)</f>
        <v/>
      </c>
    </row>
    <row r="4470" customFormat="false" ht="15" hidden="false" customHeight="true" outlineLevel="0" collapsed="false">
      <c r="H4470" s="14" t="b">
        <f aca="false">IF(중복검사!$A4468="",FALSE(),중복검사!$J4468="유지")</f>
        <v>0</v>
      </c>
      <c r="I4470" s="5" t="str">
        <f aca="false">IF($H4470=FALSE(),"",COUNTIF($H$6:$H4470,TRUE()))</f>
        <v/>
      </c>
      <c r="J4470" s="5" t="str">
        <f aca="false">IF($I4470="","","R"&amp;$I4470)</f>
        <v/>
      </c>
    </row>
    <row r="4471" customFormat="false" ht="15" hidden="false" customHeight="true" outlineLevel="0" collapsed="false">
      <c r="H4471" s="14" t="b">
        <f aca="false">IF(중복검사!$A4469="",FALSE(),중복검사!$J4469="유지")</f>
        <v>0</v>
      </c>
      <c r="I4471" s="5" t="str">
        <f aca="false">IF($H4471=FALSE(),"",COUNTIF($H$6:$H4471,TRUE()))</f>
        <v/>
      </c>
      <c r="J4471" s="5" t="str">
        <f aca="false">IF($I4471="","","R"&amp;$I4471)</f>
        <v/>
      </c>
    </row>
    <row r="4472" customFormat="false" ht="15" hidden="false" customHeight="true" outlineLevel="0" collapsed="false">
      <c r="H4472" s="14" t="b">
        <f aca="false">IF(중복검사!$A4470="",FALSE(),중복검사!$J4470="유지")</f>
        <v>0</v>
      </c>
      <c r="I4472" s="5" t="str">
        <f aca="false">IF($H4472=FALSE(),"",COUNTIF($H$6:$H4472,TRUE()))</f>
        <v/>
      </c>
      <c r="J4472" s="5" t="str">
        <f aca="false">IF($I4472="","","R"&amp;$I4472)</f>
        <v/>
      </c>
    </row>
    <row r="4473" customFormat="false" ht="15" hidden="false" customHeight="true" outlineLevel="0" collapsed="false">
      <c r="H4473" s="14" t="b">
        <f aca="false">IF(중복검사!$A4471="",FALSE(),중복검사!$J4471="유지")</f>
        <v>0</v>
      </c>
      <c r="I4473" s="5" t="str">
        <f aca="false">IF($H4473=FALSE(),"",COUNTIF($H$6:$H4473,TRUE()))</f>
        <v/>
      </c>
      <c r="J4473" s="5" t="str">
        <f aca="false">IF($I4473="","","R"&amp;$I4473)</f>
        <v/>
      </c>
    </row>
    <row r="4474" customFormat="false" ht="15" hidden="false" customHeight="true" outlineLevel="0" collapsed="false">
      <c r="H4474" s="14" t="b">
        <f aca="false">IF(중복검사!$A4472="",FALSE(),중복검사!$J4472="유지")</f>
        <v>0</v>
      </c>
      <c r="I4474" s="5" t="str">
        <f aca="false">IF($H4474=FALSE(),"",COUNTIF($H$6:$H4474,TRUE()))</f>
        <v/>
      </c>
      <c r="J4474" s="5" t="str">
        <f aca="false">IF($I4474="","","R"&amp;$I4474)</f>
        <v/>
      </c>
    </row>
    <row r="4475" customFormat="false" ht="15" hidden="false" customHeight="true" outlineLevel="0" collapsed="false">
      <c r="H4475" s="14" t="b">
        <f aca="false">IF(중복검사!$A4473="",FALSE(),중복검사!$J4473="유지")</f>
        <v>0</v>
      </c>
      <c r="I4475" s="5" t="str">
        <f aca="false">IF($H4475=FALSE(),"",COUNTIF($H$6:$H4475,TRUE()))</f>
        <v/>
      </c>
      <c r="J4475" s="5" t="str">
        <f aca="false">IF($I4475="","","R"&amp;$I4475)</f>
        <v/>
      </c>
    </row>
    <row r="4476" customFormat="false" ht="15" hidden="false" customHeight="true" outlineLevel="0" collapsed="false">
      <c r="H4476" s="14" t="b">
        <f aca="false">IF(중복검사!$A4474="",FALSE(),중복검사!$J4474="유지")</f>
        <v>0</v>
      </c>
      <c r="I4476" s="5" t="str">
        <f aca="false">IF($H4476=FALSE(),"",COUNTIF($H$6:$H4476,TRUE()))</f>
        <v/>
      </c>
      <c r="J4476" s="5" t="str">
        <f aca="false">IF($I4476="","","R"&amp;$I4476)</f>
        <v/>
      </c>
    </row>
    <row r="4477" customFormat="false" ht="15" hidden="false" customHeight="true" outlineLevel="0" collapsed="false">
      <c r="H4477" s="14" t="b">
        <f aca="false">IF(중복검사!$A4475="",FALSE(),중복검사!$J4475="유지")</f>
        <v>0</v>
      </c>
      <c r="I4477" s="5" t="str">
        <f aca="false">IF($H4477=FALSE(),"",COUNTIF($H$6:$H4477,TRUE()))</f>
        <v/>
      </c>
      <c r="J4477" s="5" t="str">
        <f aca="false">IF($I4477="","","R"&amp;$I4477)</f>
        <v/>
      </c>
    </row>
    <row r="4478" customFormat="false" ht="15" hidden="false" customHeight="true" outlineLevel="0" collapsed="false">
      <c r="H4478" s="14" t="b">
        <f aca="false">IF(중복검사!$A4476="",FALSE(),중복검사!$J4476="유지")</f>
        <v>0</v>
      </c>
      <c r="I4478" s="5" t="str">
        <f aca="false">IF($H4478=FALSE(),"",COUNTIF($H$6:$H4478,TRUE()))</f>
        <v/>
      </c>
      <c r="J4478" s="5" t="str">
        <f aca="false">IF($I4478="","","R"&amp;$I4478)</f>
        <v/>
      </c>
    </row>
    <row r="4479" customFormat="false" ht="15" hidden="false" customHeight="true" outlineLevel="0" collapsed="false">
      <c r="H4479" s="14" t="b">
        <f aca="false">IF(중복검사!$A4477="",FALSE(),중복검사!$J4477="유지")</f>
        <v>0</v>
      </c>
      <c r="I4479" s="5" t="str">
        <f aca="false">IF($H4479=FALSE(),"",COUNTIF($H$6:$H4479,TRUE()))</f>
        <v/>
      </c>
      <c r="J4479" s="5" t="str">
        <f aca="false">IF($I4479="","","R"&amp;$I4479)</f>
        <v/>
      </c>
    </row>
    <row r="4480" customFormat="false" ht="15" hidden="false" customHeight="true" outlineLevel="0" collapsed="false">
      <c r="H4480" s="14" t="b">
        <f aca="false">IF(중복검사!$A4478="",FALSE(),중복검사!$J4478="유지")</f>
        <v>0</v>
      </c>
      <c r="I4480" s="5" t="str">
        <f aca="false">IF($H4480=FALSE(),"",COUNTIF($H$6:$H4480,TRUE()))</f>
        <v/>
      </c>
      <c r="J4480" s="5" t="str">
        <f aca="false">IF($I4480="","","R"&amp;$I4480)</f>
        <v/>
      </c>
    </row>
    <row r="4481" customFormat="false" ht="15" hidden="false" customHeight="true" outlineLevel="0" collapsed="false">
      <c r="H4481" s="14" t="b">
        <f aca="false">IF(중복검사!$A4479="",FALSE(),중복검사!$J4479="유지")</f>
        <v>0</v>
      </c>
      <c r="I4481" s="5" t="str">
        <f aca="false">IF($H4481=FALSE(),"",COUNTIF($H$6:$H4481,TRUE()))</f>
        <v/>
      </c>
      <c r="J4481" s="5" t="str">
        <f aca="false">IF($I4481="","","R"&amp;$I4481)</f>
        <v/>
      </c>
    </row>
    <row r="4482" customFormat="false" ht="15" hidden="false" customHeight="true" outlineLevel="0" collapsed="false">
      <c r="H4482" s="14" t="b">
        <f aca="false">IF(중복검사!$A4480="",FALSE(),중복검사!$J4480="유지")</f>
        <v>0</v>
      </c>
      <c r="I4482" s="5" t="str">
        <f aca="false">IF($H4482=FALSE(),"",COUNTIF($H$6:$H4482,TRUE()))</f>
        <v/>
      </c>
      <c r="J4482" s="5" t="str">
        <f aca="false">IF($I4482="","","R"&amp;$I4482)</f>
        <v/>
      </c>
    </row>
    <row r="4483" customFormat="false" ht="15" hidden="false" customHeight="true" outlineLevel="0" collapsed="false">
      <c r="H4483" s="14" t="b">
        <f aca="false">IF(중복검사!$A4481="",FALSE(),중복검사!$J4481="유지")</f>
        <v>0</v>
      </c>
      <c r="I4483" s="5" t="str">
        <f aca="false">IF($H4483=FALSE(),"",COUNTIF($H$6:$H4483,TRUE()))</f>
        <v/>
      </c>
      <c r="J4483" s="5" t="str">
        <f aca="false">IF($I4483="","","R"&amp;$I4483)</f>
        <v/>
      </c>
    </row>
    <row r="4484" customFormat="false" ht="15" hidden="false" customHeight="true" outlineLevel="0" collapsed="false">
      <c r="H4484" s="14" t="b">
        <f aca="false">IF(중복검사!$A4482="",FALSE(),중복검사!$J4482="유지")</f>
        <v>0</v>
      </c>
      <c r="I4484" s="5" t="str">
        <f aca="false">IF($H4484=FALSE(),"",COUNTIF($H$6:$H4484,TRUE()))</f>
        <v/>
      </c>
      <c r="J4484" s="5" t="str">
        <f aca="false">IF($I4484="","","R"&amp;$I4484)</f>
        <v/>
      </c>
    </row>
    <row r="4485" customFormat="false" ht="15" hidden="false" customHeight="true" outlineLevel="0" collapsed="false">
      <c r="H4485" s="14" t="b">
        <f aca="false">IF(중복검사!$A4483="",FALSE(),중복검사!$J4483="유지")</f>
        <v>0</v>
      </c>
      <c r="I4485" s="5" t="str">
        <f aca="false">IF($H4485=FALSE(),"",COUNTIF($H$6:$H4485,TRUE()))</f>
        <v/>
      </c>
      <c r="J4485" s="5" t="str">
        <f aca="false">IF($I4485="","","R"&amp;$I4485)</f>
        <v/>
      </c>
    </row>
    <row r="4486" customFormat="false" ht="15" hidden="false" customHeight="true" outlineLevel="0" collapsed="false">
      <c r="H4486" s="14" t="b">
        <f aca="false">IF(중복검사!$A4484="",FALSE(),중복검사!$J4484="유지")</f>
        <v>0</v>
      </c>
      <c r="I4486" s="5" t="str">
        <f aca="false">IF($H4486=FALSE(),"",COUNTIF($H$6:$H4486,TRUE()))</f>
        <v/>
      </c>
      <c r="J4486" s="5" t="str">
        <f aca="false">IF($I4486="","","R"&amp;$I4486)</f>
        <v/>
      </c>
    </row>
    <row r="4487" customFormat="false" ht="15" hidden="false" customHeight="true" outlineLevel="0" collapsed="false">
      <c r="H4487" s="14" t="b">
        <f aca="false">IF(중복검사!$A4485="",FALSE(),중복검사!$J4485="유지")</f>
        <v>0</v>
      </c>
      <c r="I4487" s="5" t="str">
        <f aca="false">IF($H4487=FALSE(),"",COUNTIF($H$6:$H4487,TRUE()))</f>
        <v/>
      </c>
      <c r="J4487" s="5" t="str">
        <f aca="false">IF($I4487="","","R"&amp;$I4487)</f>
        <v/>
      </c>
    </row>
    <row r="4488" customFormat="false" ht="15" hidden="false" customHeight="true" outlineLevel="0" collapsed="false">
      <c r="H4488" s="14" t="b">
        <f aca="false">IF(중복검사!$A4486="",FALSE(),중복검사!$J4486="유지")</f>
        <v>0</v>
      </c>
      <c r="I4488" s="5" t="str">
        <f aca="false">IF($H4488=FALSE(),"",COUNTIF($H$6:$H4488,TRUE()))</f>
        <v/>
      </c>
      <c r="J4488" s="5" t="str">
        <f aca="false">IF($I4488="","","R"&amp;$I4488)</f>
        <v/>
      </c>
    </row>
    <row r="4489" customFormat="false" ht="15" hidden="false" customHeight="true" outlineLevel="0" collapsed="false">
      <c r="H4489" s="14" t="b">
        <f aca="false">IF(중복검사!$A4487="",FALSE(),중복검사!$J4487="유지")</f>
        <v>0</v>
      </c>
      <c r="I4489" s="5" t="str">
        <f aca="false">IF($H4489=FALSE(),"",COUNTIF($H$6:$H4489,TRUE()))</f>
        <v/>
      </c>
      <c r="J4489" s="5" t="str">
        <f aca="false">IF($I4489="","","R"&amp;$I4489)</f>
        <v/>
      </c>
    </row>
    <row r="4490" customFormat="false" ht="15" hidden="false" customHeight="true" outlineLevel="0" collapsed="false">
      <c r="H4490" s="14" t="b">
        <f aca="false">IF(중복검사!$A4488="",FALSE(),중복검사!$J4488="유지")</f>
        <v>0</v>
      </c>
      <c r="I4490" s="5" t="str">
        <f aca="false">IF($H4490=FALSE(),"",COUNTIF($H$6:$H4490,TRUE()))</f>
        <v/>
      </c>
      <c r="J4490" s="5" t="str">
        <f aca="false">IF($I4490="","","R"&amp;$I4490)</f>
        <v/>
      </c>
    </row>
    <row r="4491" customFormat="false" ht="15" hidden="false" customHeight="true" outlineLevel="0" collapsed="false">
      <c r="H4491" s="14" t="b">
        <f aca="false">IF(중복검사!$A4489="",FALSE(),중복검사!$J4489="유지")</f>
        <v>0</v>
      </c>
      <c r="I4491" s="5" t="str">
        <f aca="false">IF($H4491=FALSE(),"",COUNTIF($H$6:$H4491,TRUE()))</f>
        <v/>
      </c>
      <c r="J4491" s="5" t="str">
        <f aca="false">IF($I4491="","","R"&amp;$I4491)</f>
        <v/>
      </c>
    </row>
    <row r="4492" customFormat="false" ht="15" hidden="false" customHeight="true" outlineLevel="0" collapsed="false">
      <c r="H4492" s="14" t="b">
        <f aca="false">IF(중복검사!$A4490="",FALSE(),중복검사!$J4490="유지")</f>
        <v>0</v>
      </c>
      <c r="I4492" s="5" t="str">
        <f aca="false">IF($H4492=FALSE(),"",COUNTIF($H$6:$H4492,TRUE()))</f>
        <v/>
      </c>
      <c r="J4492" s="5" t="str">
        <f aca="false">IF($I4492="","","R"&amp;$I4492)</f>
        <v/>
      </c>
    </row>
    <row r="4493" customFormat="false" ht="15" hidden="false" customHeight="true" outlineLevel="0" collapsed="false">
      <c r="H4493" s="14" t="b">
        <f aca="false">IF(중복검사!$A4491="",FALSE(),중복검사!$J4491="유지")</f>
        <v>0</v>
      </c>
      <c r="I4493" s="5" t="str">
        <f aca="false">IF($H4493=FALSE(),"",COUNTIF($H$6:$H4493,TRUE()))</f>
        <v/>
      </c>
      <c r="J4493" s="5" t="str">
        <f aca="false">IF($I4493="","","R"&amp;$I4493)</f>
        <v/>
      </c>
    </row>
    <row r="4494" customFormat="false" ht="15" hidden="false" customHeight="true" outlineLevel="0" collapsed="false">
      <c r="H4494" s="14" t="b">
        <f aca="false">IF(중복검사!$A4492="",FALSE(),중복검사!$J4492="유지")</f>
        <v>0</v>
      </c>
      <c r="I4494" s="5" t="str">
        <f aca="false">IF($H4494=FALSE(),"",COUNTIF($H$6:$H4494,TRUE()))</f>
        <v/>
      </c>
      <c r="J4494" s="5" t="str">
        <f aca="false">IF($I4494="","","R"&amp;$I4494)</f>
        <v/>
      </c>
    </row>
    <row r="4495" customFormat="false" ht="15" hidden="false" customHeight="true" outlineLevel="0" collapsed="false">
      <c r="H4495" s="14" t="b">
        <f aca="false">IF(중복검사!$A4493="",FALSE(),중복검사!$J4493="유지")</f>
        <v>0</v>
      </c>
      <c r="I4495" s="5" t="str">
        <f aca="false">IF($H4495=FALSE(),"",COUNTIF($H$6:$H4495,TRUE()))</f>
        <v/>
      </c>
      <c r="J4495" s="5" t="str">
        <f aca="false">IF($I4495="","","R"&amp;$I4495)</f>
        <v/>
      </c>
    </row>
    <row r="4496" customFormat="false" ht="15" hidden="false" customHeight="true" outlineLevel="0" collapsed="false">
      <c r="H4496" s="14" t="b">
        <f aca="false">IF(중복검사!$A4494="",FALSE(),중복검사!$J4494="유지")</f>
        <v>0</v>
      </c>
      <c r="I4496" s="5" t="str">
        <f aca="false">IF($H4496=FALSE(),"",COUNTIF($H$6:$H4496,TRUE()))</f>
        <v/>
      </c>
      <c r="J4496" s="5" t="str">
        <f aca="false">IF($I4496="","","R"&amp;$I4496)</f>
        <v/>
      </c>
    </row>
    <row r="4497" customFormat="false" ht="15" hidden="false" customHeight="true" outlineLevel="0" collapsed="false">
      <c r="H4497" s="14" t="b">
        <f aca="false">IF(중복검사!$A4495="",FALSE(),중복검사!$J4495="유지")</f>
        <v>0</v>
      </c>
      <c r="I4497" s="5" t="str">
        <f aca="false">IF($H4497=FALSE(),"",COUNTIF($H$6:$H4497,TRUE()))</f>
        <v/>
      </c>
      <c r="J4497" s="5" t="str">
        <f aca="false">IF($I4497="","","R"&amp;$I4497)</f>
        <v/>
      </c>
    </row>
    <row r="4498" customFormat="false" ht="15" hidden="false" customHeight="true" outlineLevel="0" collapsed="false">
      <c r="H4498" s="14" t="b">
        <f aca="false">IF(중복검사!$A4496="",FALSE(),중복검사!$J4496="유지")</f>
        <v>0</v>
      </c>
      <c r="I4498" s="5" t="str">
        <f aca="false">IF($H4498=FALSE(),"",COUNTIF($H$6:$H4498,TRUE()))</f>
        <v/>
      </c>
      <c r="J4498" s="5" t="str">
        <f aca="false">IF($I4498="","","R"&amp;$I4498)</f>
        <v/>
      </c>
    </row>
    <row r="4499" customFormat="false" ht="15" hidden="false" customHeight="true" outlineLevel="0" collapsed="false">
      <c r="H4499" s="14" t="b">
        <f aca="false">IF(중복검사!$A4497="",FALSE(),중복검사!$J4497="유지")</f>
        <v>0</v>
      </c>
      <c r="I4499" s="5" t="str">
        <f aca="false">IF($H4499=FALSE(),"",COUNTIF($H$6:$H4499,TRUE()))</f>
        <v/>
      </c>
      <c r="J4499" s="5" t="str">
        <f aca="false">IF($I4499="","","R"&amp;$I4499)</f>
        <v/>
      </c>
    </row>
    <row r="4500" customFormat="false" ht="15" hidden="false" customHeight="true" outlineLevel="0" collapsed="false">
      <c r="H4500" s="14" t="b">
        <f aca="false">IF(중복검사!$A4498="",FALSE(),중복검사!$J4498="유지")</f>
        <v>0</v>
      </c>
      <c r="I4500" s="5" t="str">
        <f aca="false">IF($H4500=FALSE(),"",COUNTIF($H$6:$H4500,TRUE()))</f>
        <v/>
      </c>
      <c r="J4500" s="5" t="str">
        <f aca="false">IF($I4500="","","R"&amp;$I4500)</f>
        <v/>
      </c>
    </row>
    <row r="4501" customFormat="false" ht="15" hidden="false" customHeight="true" outlineLevel="0" collapsed="false">
      <c r="H4501" s="14" t="b">
        <f aca="false">IF(중복검사!$A4499="",FALSE(),중복검사!$J4499="유지")</f>
        <v>0</v>
      </c>
      <c r="I4501" s="5" t="str">
        <f aca="false">IF($H4501=FALSE(),"",COUNTIF($H$6:$H4501,TRUE()))</f>
        <v/>
      </c>
      <c r="J4501" s="5" t="str">
        <f aca="false">IF($I4501="","","R"&amp;$I4501)</f>
        <v/>
      </c>
    </row>
    <row r="4502" customFormat="false" ht="15" hidden="false" customHeight="true" outlineLevel="0" collapsed="false">
      <c r="H4502" s="14" t="b">
        <f aca="false">IF(중복검사!$A4500="",FALSE(),중복검사!$J4500="유지")</f>
        <v>0</v>
      </c>
      <c r="I4502" s="5" t="str">
        <f aca="false">IF($H4502=FALSE(),"",COUNTIF($H$6:$H4502,TRUE()))</f>
        <v/>
      </c>
      <c r="J4502" s="5" t="str">
        <f aca="false">IF($I4502="","","R"&amp;$I4502)</f>
        <v/>
      </c>
    </row>
    <row r="4503" customFormat="false" ht="15" hidden="false" customHeight="true" outlineLevel="0" collapsed="false">
      <c r="H4503" s="14" t="b">
        <f aca="false">IF(중복검사!$A4501="",FALSE(),중복검사!$J4501="유지")</f>
        <v>0</v>
      </c>
      <c r="I4503" s="5" t="str">
        <f aca="false">IF($H4503=FALSE(),"",COUNTIF($H$6:$H4503,TRUE()))</f>
        <v/>
      </c>
      <c r="J4503" s="5" t="str">
        <f aca="false">IF($I4503="","","R"&amp;$I4503)</f>
        <v/>
      </c>
    </row>
    <row r="4504" customFormat="false" ht="15" hidden="false" customHeight="true" outlineLevel="0" collapsed="false">
      <c r="H4504" s="14" t="b">
        <f aca="false">IF(중복검사!$A4502="",FALSE(),중복검사!$J4502="유지")</f>
        <v>0</v>
      </c>
      <c r="I4504" s="5" t="str">
        <f aca="false">IF($H4504=FALSE(),"",COUNTIF($H$6:$H4504,TRUE()))</f>
        <v/>
      </c>
      <c r="J4504" s="5" t="str">
        <f aca="false">IF($I4504="","","R"&amp;$I4504)</f>
        <v/>
      </c>
    </row>
    <row r="4505" customFormat="false" ht="15" hidden="false" customHeight="true" outlineLevel="0" collapsed="false">
      <c r="H4505" s="14" t="b">
        <f aca="false">IF(중복검사!$A4503="",FALSE(),중복검사!$J4503="유지")</f>
        <v>0</v>
      </c>
      <c r="I4505" s="5" t="str">
        <f aca="false">IF($H4505=FALSE(),"",COUNTIF($H$6:$H4505,TRUE()))</f>
        <v/>
      </c>
      <c r="J4505" s="5" t="str">
        <f aca="false">IF($I4505="","","R"&amp;$I4505)</f>
        <v/>
      </c>
    </row>
    <row r="4506" customFormat="false" ht="15" hidden="false" customHeight="true" outlineLevel="0" collapsed="false">
      <c r="H4506" s="14" t="b">
        <f aca="false">IF(중복검사!$A4504="",FALSE(),중복검사!$J4504="유지")</f>
        <v>0</v>
      </c>
      <c r="I4506" s="5" t="str">
        <f aca="false">IF($H4506=FALSE(),"",COUNTIF($H$6:$H4506,TRUE()))</f>
        <v/>
      </c>
      <c r="J4506" s="5" t="str">
        <f aca="false">IF($I4506="","","R"&amp;$I4506)</f>
        <v/>
      </c>
    </row>
    <row r="4507" customFormat="false" ht="15" hidden="false" customHeight="true" outlineLevel="0" collapsed="false">
      <c r="H4507" s="14" t="b">
        <f aca="false">IF(중복검사!$A4505="",FALSE(),중복검사!$J4505="유지")</f>
        <v>0</v>
      </c>
      <c r="I4507" s="5" t="str">
        <f aca="false">IF($H4507=FALSE(),"",COUNTIF($H$6:$H4507,TRUE()))</f>
        <v/>
      </c>
      <c r="J4507" s="5" t="str">
        <f aca="false">IF($I4507="","","R"&amp;$I4507)</f>
        <v/>
      </c>
    </row>
    <row r="4508" customFormat="false" ht="15" hidden="false" customHeight="true" outlineLevel="0" collapsed="false">
      <c r="H4508" s="14" t="b">
        <f aca="false">IF(중복검사!$A4506="",FALSE(),중복검사!$J4506="유지")</f>
        <v>0</v>
      </c>
      <c r="I4508" s="5" t="str">
        <f aca="false">IF($H4508=FALSE(),"",COUNTIF($H$6:$H4508,TRUE()))</f>
        <v/>
      </c>
      <c r="J4508" s="5" t="str">
        <f aca="false">IF($I4508="","","R"&amp;$I4508)</f>
        <v/>
      </c>
    </row>
    <row r="4509" customFormat="false" ht="15" hidden="false" customHeight="true" outlineLevel="0" collapsed="false">
      <c r="H4509" s="14" t="b">
        <f aca="false">IF(중복검사!$A4507="",FALSE(),중복검사!$J4507="유지")</f>
        <v>0</v>
      </c>
      <c r="I4509" s="5" t="str">
        <f aca="false">IF($H4509=FALSE(),"",COUNTIF($H$6:$H4509,TRUE()))</f>
        <v/>
      </c>
      <c r="J4509" s="5" t="str">
        <f aca="false">IF($I4509="","","R"&amp;$I4509)</f>
        <v/>
      </c>
    </row>
    <row r="4510" customFormat="false" ht="15" hidden="false" customHeight="true" outlineLevel="0" collapsed="false">
      <c r="H4510" s="14" t="b">
        <f aca="false">IF(중복검사!$A4508="",FALSE(),중복검사!$J4508="유지")</f>
        <v>0</v>
      </c>
      <c r="I4510" s="5" t="str">
        <f aca="false">IF($H4510=FALSE(),"",COUNTIF($H$6:$H4510,TRUE()))</f>
        <v/>
      </c>
      <c r="J4510" s="5" t="str">
        <f aca="false">IF($I4510="","","R"&amp;$I4510)</f>
        <v/>
      </c>
    </row>
    <row r="4511" customFormat="false" ht="15" hidden="false" customHeight="true" outlineLevel="0" collapsed="false">
      <c r="H4511" s="14" t="b">
        <f aca="false">IF(중복검사!$A4509="",FALSE(),중복검사!$J4509="유지")</f>
        <v>0</v>
      </c>
      <c r="I4511" s="5" t="str">
        <f aca="false">IF($H4511=FALSE(),"",COUNTIF($H$6:$H4511,TRUE()))</f>
        <v/>
      </c>
      <c r="J4511" s="5" t="str">
        <f aca="false">IF($I4511="","","R"&amp;$I4511)</f>
        <v/>
      </c>
    </row>
    <row r="4512" customFormat="false" ht="15" hidden="false" customHeight="true" outlineLevel="0" collapsed="false">
      <c r="H4512" s="14" t="b">
        <f aca="false">IF(중복검사!$A4510="",FALSE(),중복검사!$J4510="유지")</f>
        <v>0</v>
      </c>
      <c r="I4512" s="5" t="str">
        <f aca="false">IF($H4512=FALSE(),"",COUNTIF($H$6:$H4512,TRUE()))</f>
        <v/>
      </c>
      <c r="J4512" s="5" t="str">
        <f aca="false">IF($I4512="","","R"&amp;$I4512)</f>
        <v/>
      </c>
    </row>
    <row r="4513" customFormat="false" ht="15" hidden="false" customHeight="true" outlineLevel="0" collapsed="false">
      <c r="H4513" s="14" t="b">
        <f aca="false">IF(중복검사!$A4511="",FALSE(),중복검사!$J4511="유지")</f>
        <v>0</v>
      </c>
      <c r="I4513" s="5" t="str">
        <f aca="false">IF($H4513=FALSE(),"",COUNTIF($H$6:$H4513,TRUE()))</f>
        <v/>
      </c>
      <c r="J4513" s="5" t="str">
        <f aca="false">IF($I4513="","","R"&amp;$I4513)</f>
        <v/>
      </c>
    </row>
    <row r="4514" customFormat="false" ht="15" hidden="false" customHeight="true" outlineLevel="0" collapsed="false">
      <c r="H4514" s="14" t="b">
        <f aca="false">IF(중복검사!$A4512="",FALSE(),중복검사!$J4512="유지")</f>
        <v>0</v>
      </c>
      <c r="I4514" s="5" t="str">
        <f aca="false">IF($H4514=FALSE(),"",COUNTIF($H$6:$H4514,TRUE()))</f>
        <v/>
      </c>
      <c r="J4514" s="5" t="str">
        <f aca="false">IF($I4514="","","R"&amp;$I4514)</f>
        <v/>
      </c>
    </row>
    <row r="4515" customFormat="false" ht="15" hidden="false" customHeight="true" outlineLevel="0" collapsed="false">
      <c r="H4515" s="14" t="b">
        <f aca="false">IF(중복검사!$A4513="",FALSE(),중복검사!$J4513="유지")</f>
        <v>0</v>
      </c>
      <c r="I4515" s="5" t="str">
        <f aca="false">IF($H4515=FALSE(),"",COUNTIF($H$6:$H4515,TRUE()))</f>
        <v/>
      </c>
      <c r="J4515" s="5" t="str">
        <f aca="false">IF($I4515="","","R"&amp;$I4515)</f>
        <v/>
      </c>
    </row>
    <row r="4516" customFormat="false" ht="15" hidden="false" customHeight="true" outlineLevel="0" collapsed="false">
      <c r="H4516" s="14" t="b">
        <f aca="false">IF(중복검사!$A4514="",FALSE(),중복검사!$J4514="유지")</f>
        <v>0</v>
      </c>
      <c r="I4516" s="5" t="str">
        <f aca="false">IF($H4516=FALSE(),"",COUNTIF($H$6:$H4516,TRUE()))</f>
        <v/>
      </c>
      <c r="J4516" s="5" t="str">
        <f aca="false">IF($I4516="","","R"&amp;$I4516)</f>
        <v/>
      </c>
    </row>
    <row r="4517" customFormat="false" ht="15" hidden="false" customHeight="true" outlineLevel="0" collapsed="false">
      <c r="H4517" s="14" t="b">
        <f aca="false">IF(중복검사!$A4515="",FALSE(),중복검사!$J4515="유지")</f>
        <v>0</v>
      </c>
      <c r="I4517" s="5" t="str">
        <f aca="false">IF($H4517=FALSE(),"",COUNTIF($H$6:$H4517,TRUE()))</f>
        <v/>
      </c>
      <c r="J4517" s="5" t="str">
        <f aca="false">IF($I4517="","","R"&amp;$I4517)</f>
        <v/>
      </c>
    </row>
    <row r="4518" customFormat="false" ht="15" hidden="false" customHeight="true" outlineLevel="0" collapsed="false">
      <c r="H4518" s="14" t="b">
        <f aca="false">IF(중복검사!$A4516="",FALSE(),중복검사!$J4516="유지")</f>
        <v>0</v>
      </c>
      <c r="I4518" s="5" t="str">
        <f aca="false">IF($H4518=FALSE(),"",COUNTIF($H$6:$H4518,TRUE()))</f>
        <v/>
      </c>
      <c r="J4518" s="5" t="str">
        <f aca="false">IF($I4518="","","R"&amp;$I4518)</f>
        <v/>
      </c>
    </row>
    <row r="4519" customFormat="false" ht="15" hidden="false" customHeight="true" outlineLevel="0" collapsed="false">
      <c r="H4519" s="14" t="b">
        <f aca="false">IF(중복검사!$A4517="",FALSE(),중복검사!$J4517="유지")</f>
        <v>0</v>
      </c>
      <c r="I4519" s="5" t="str">
        <f aca="false">IF($H4519=FALSE(),"",COUNTIF($H$6:$H4519,TRUE()))</f>
        <v/>
      </c>
      <c r="J4519" s="5" t="str">
        <f aca="false">IF($I4519="","","R"&amp;$I4519)</f>
        <v/>
      </c>
    </row>
    <row r="4520" customFormat="false" ht="15" hidden="false" customHeight="true" outlineLevel="0" collapsed="false">
      <c r="H4520" s="14" t="b">
        <f aca="false">IF(중복검사!$A4518="",FALSE(),중복검사!$J4518="유지")</f>
        <v>0</v>
      </c>
      <c r="I4520" s="5" t="str">
        <f aca="false">IF($H4520=FALSE(),"",COUNTIF($H$6:$H4520,TRUE()))</f>
        <v/>
      </c>
      <c r="J4520" s="5" t="str">
        <f aca="false">IF($I4520="","","R"&amp;$I4520)</f>
        <v/>
      </c>
    </row>
    <row r="4521" customFormat="false" ht="15" hidden="false" customHeight="true" outlineLevel="0" collapsed="false">
      <c r="H4521" s="14" t="b">
        <f aca="false">IF(중복검사!$A4519="",FALSE(),중복검사!$J4519="유지")</f>
        <v>0</v>
      </c>
      <c r="I4521" s="5" t="str">
        <f aca="false">IF($H4521=FALSE(),"",COUNTIF($H$6:$H4521,TRUE()))</f>
        <v/>
      </c>
      <c r="J4521" s="5" t="str">
        <f aca="false">IF($I4521="","","R"&amp;$I4521)</f>
        <v/>
      </c>
    </row>
    <row r="4522" customFormat="false" ht="15" hidden="false" customHeight="true" outlineLevel="0" collapsed="false">
      <c r="H4522" s="14" t="b">
        <f aca="false">IF(중복검사!$A4520="",FALSE(),중복검사!$J4520="유지")</f>
        <v>0</v>
      </c>
      <c r="I4522" s="5" t="str">
        <f aca="false">IF($H4522=FALSE(),"",COUNTIF($H$6:$H4522,TRUE()))</f>
        <v/>
      </c>
      <c r="J4522" s="5" t="str">
        <f aca="false">IF($I4522="","","R"&amp;$I4522)</f>
        <v/>
      </c>
    </row>
    <row r="4523" customFormat="false" ht="15" hidden="false" customHeight="true" outlineLevel="0" collapsed="false">
      <c r="H4523" s="14" t="b">
        <f aca="false">IF(중복검사!$A4521="",FALSE(),중복검사!$J4521="유지")</f>
        <v>0</v>
      </c>
      <c r="I4523" s="5" t="str">
        <f aca="false">IF($H4523=FALSE(),"",COUNTIF($H$6:$H4523,TRUE()))</f>
        <v/>
      </c>
      <c r="J4523" s="5" t="str">
        <f aca="false">IF($I4523="","","R"&amp;$I4523)</f>
        <v/>
      </c>
    </row>
    <row r="4524" customFormat="false" ht="15" hidden="false" customHeight="true" outlineLevel="0" collapsed="false">
      <c r="H4524" s="14" t="b">
        <f aca="false">IF(중복검사!$A4522="",FALSE(),중복검사!$J4522="유지")</f>
        <v>0</v>
      </c>
      <c r="I4524" s="5" t="str">
        <f aca="false">IF($H4524=FALSE(),"",COUNTIF($H$6:$H4524,TRUE()))</f>
        <v/>
      </c>
      <c r="J4524" s="5" t="str">
        <f aca="false">IF($I4524="","","R"&amp;$I4524)</f>
        <v/>
      </c>
    </row>
    <row r="4525" customFormat="false" ht="15" hidden="false" customHeight="true" outlineLevel="0" collapsed="false">
      <c r="H4525" s="14" t="b">
        <f aca="false">IF(중복검사!$A4523="",FALSE(),중복검사!$J4523="유지")</f>
        <v>0</v>
      </c>
      <c r="I4525" s="5" t="str">
        <f aca="false">IF($H4525=FALSE(),"",COUNTIF($H$6:$H4525,TRUE()))</f>
        <v/>
      </c>
      <c r="J4525" s="5" t="str">
        <f aca="false">IF($I4525="","","R"&amp;$I4525)</f>
        <v/>
      </c>
    </row>
    <row r="4526" customFormat="false" ht="15" hidden="false" customHeight="true" outlineLevel="0" collapsed="false">
      <c r="H4526" s="14" t="b">
        <f aca="false">IF(중복검사!$A4524="",FALSE(),중복검사!$J4524="유지")</f>
        <v>0</v>
      </c>
      <c r="I4526" s="5" t="str">
        <f aca="false">IF($H4526=FALSE(),"",COUNTIF($H$6:$H4526,TRUE()))</f>
        <v/>
      </c>
      <c r="J4526" s="5" t="str">
        <f aca="false">IF($I4526="","","R"&amp;$I4526)</f>
        <v/>
      </c>
    </row>
    <row r="4527" customFormat="false" ht="15" hidden="false" customHeight="true" outlineLevel="0" collapsed="false">
      <c r="H4527" s="14" t="b">
        <f aca="false">IF(중복검사!$A4525="",FALSE(),중복검사!$J4525="유지")</f>
        <v>0</v>
      </c>
      <c r="I4527" s="5" t="str">
        <f aca="false">IF($H4527=FALSE(),"",COUNTIF($H$6:$H4527,TRUE()))</f>
        <v/>
      </c>
      <c r="J4527" s="5" t="str">
        <f aca="false">IF($I4527="","","R"&amp;$I4527)</f>
        <v/>
      </c>
    </row>
    <row r="4528" customFormat="false" ht="15" hidden="false" customHeight="true" outlineLevel="0" collapsed="false">
      <c r="H4528" s="14" t="b">
        <f aca="false">IF(중복검사!$A4526="",FALSE(),중복검사!$J4526="유지")</f>
        <v>0</v>
      </c>
      <c r="I4528" s="5" t="str">
        <f aca="false">IF($H4528=FALSE(),"",COUNTIF($H$6:$H4528,TRUE()))</f>
        <v/>
      </c>
      <c r="J4528" s="5" t="str">
        <f aca="false">IF($I4528="","","R"&amp;$I4528)</f>
        <v/>
      </c>
    </row>
    <row r="4529" customFormat="false" ht="15" hidden="false" customHeight="true" outlineLevel="0" collapsed="false">
      <c r="H4529" s="14" t="b">
        <f aca="false">IF(중복검사!$A4527="",FALSE(),중복검사!$J4527="유지")</f>
        <v>0</v>
      </c>
      <c r="I4529" s="5" t="str">
        <f aca="false">IF($H4529=FALSE(),"",COUNTIF($H$6:$H4529,TRUE()))</f>
        <v/>
      </c>
      <c r="J4529" s="5" t="str">
        <f aca="false">IF($I4529="","","R"&amp;$I4529)</f>
        <v/>
      </c>
    </row>
    <row r="4530" customFormat="false" ht="15" hidden="false" customHeight="true" outlineLevel="0" collapsed="false">
      <c r="H4530" s="14" t="b">
        <f aca="false">IF(중복검사!$A4528="",FALSE(),중복검사!$J4528="유지")</f>
        <v>0</v>
      </c>
      <c r="I4530" s="5" t="str">
        <f aca="false">IF($H4530=FALSE(),"",COUNTIF($H$6:$H4530,TRUE()))</f>
        <v/>
      </c>
      <c r="J4530" s="5" t="str">
        <f aca="false">IF($I4530="","","R"&amp;$I4530)</f>
        <v/>
      </c>
    </row>
    <row r="4531" customFormat="false" ht="15" hidden="false" customHeight="true" outlineLevel="0" collapsed="false">
      <c r="H4531" s="14" t="b">
        <f aca="false">IF(중복검사!$A4529="",FALSE(),중복검사!$J4529="유지")</f>
        <v>0</v>
      </c>
      <c r="I4531" s="5" t="str">
        <f aca="false">IF($H4531=FALSE(),"",COUNTIF($H$6:$H4531,TRUE()))</f>
        <v/>
      </c>
      <c r="J4531" s="5" t="str">
        <f aca="false">IF($I4531="","","R"&amp;$I4531)</f>
        <v/>
      </c>
    </row>
    <row r="4532" customFormat="false" ht="15" hidden="false" customHeight="true" outlineLevel="0" collapsed="false">
      <c r="H4532" s="14" t="b">
        <f aca="false">IF(중복검사!$A4530="",FALSE(),중복검사!$J4530="유지")</f>
        <v>0</v>
      </c>
      <c r="I4532" s="5" t="str">
        <f aca="false">IF($H4532=FALSE(),"",COUNTIF($H$6:$H4532,TRUE()))</f>
        <v/>
      </c>
      <c r="J4532" s="5" t="str">
        <f aca="false">IF($I4532="","","R"&amp;$I4532)</f>
        <v/>
      </c>
    </row>
    <row r="4533" customFormat="false" ht="15" hidden="false" customHeight="true" outlineLevel="0" collapsed="false">
      <c r="H4533" s="14" t="b">
        <f aca="false">IF(중복검사!$A4531="",FALSE(),중복검사!$J4531="유지")</f>
        <v>0</v>
      </c>
      <c r="I4533" s="5" t="str">
        <f aca="false">IF($H4533=FALSE(),"",COUNTIF($H$6:$H4533,TRUE()))</f>
        <v/>
      </c>
      <c r="J4533" s="5" t="str">
        <f aca="false">IF($I4533="","","R"&amp;$I4533)</f>
        <v/>
      </c>
    </row>
    <row r="4534" customFormat="false" ht="15" hidden="false" customHeight="true" outlineLevel="0" collapsed="false">
      <c r="H4534" s="14" t="b">
        <f aca="false">IF(중복검사!$A4532="",FALSE(),중복검사!$J4532="유지")</f>
        <v>0</v>
      </c>
      <c r="I4534" s="5" t="str">
        <f aca="false">IF($H4534=FALSE(),"",COUNTIF($H$6:$H4534,TRUE()))</f>
        <v/>
      </c>
      <c r="J4534" s="5" t="str">
        <f aca="false">IF($I4534="","","R"&amp;$I4534)</f>
        <v/>
      </c>
    </row>
    <row r="4535" customFormat="false" ht="15" hidden="false" customHeight="true" outlineLevel="0" collapsed="false">
      <c r="H4535" s="14" t="b">
        <f aca="false">IF(중복검사!$A4533="",FALSE(),중복검사!$J4533="유지")</f>
        <v>0</v>
      </c>
      <c r="I4535" s="5" t="str">
        <f aca="false">IF($H4535=FALSE(),"",COUNTIF($H$6:$H4535,TRUE()))</f>
        <v/>
      </c>
      <c r="J4535" s="5" t="str">
        <f aca="false">IF($I4535="","","R"&amp;$I4535)</f>
        <v/>
      </c>
    </row>
    <row r="4536" customFormat="false" ht="15" hidden="false" customHeight="true" outlineLevel="0" collapsed="false">
      <c r="H4536" s="14" t="b">
        <f aca="false">IF(중복검사!$A4534="",FALSE(),중복검사!$J4534="유지")</f>
        <v>0</v>
      </c>
      <c r="I4536" s="5" t="str">
        <f aca="false">IF($H4536=FALSE(),"",COUNTIF($H$6:$H4536,TRUE()))</f>
        <v/>
      </c>
      <c r="J4536" s="5" t="str">
        <f aca="false">IF($I4536="","","R"&amp;$I4536)</f>
        <v/>
      </c>
    </row>
    <row r="4537" customFormat="false" ht="15" hidden="false" customHeight="true" outlineLevel="0" collapsed="false">
      <c r="H4537" s="14" t="b">
        <f aca="false">IF(중복검사!$A4535="",FALSE(),중복검사!$J4535="유지")</f>
        <v>0</v>
      </c>
      <c r="I4537" s="5" t="str">
        <f aca="false">IF($H4537=FALSE(),"",COUNTIF($H$6:$H4537,TRUE()))</f>
        <v/>
      </c>
      <c r="J4537" s="5" t="str">
        <f aca="false">IF($I4537="","","R"&amp;$I4537)</f>
        <v/>
      </c>
    </row>
    <row r="4538" customFormat="false" ht="15" hidden="false" customHeight="true" outlineLevel="0" collapsed="false">
      <c r="H4538" s="14" t="b">
        <f aca="false">IF(중복검사!$A4536="",FALSE(),중복검사!$J4536="유지")</f>
        <v>0</v>
      </c>
      <c r="I4538" s="5" t="str">
        <f aca="false">IF($H4538=FALSE(),"",COUNTIF($H$6:$H4538,TRUE()))</f>
        <v/>
      </c>
      <c r="J4538" s="5" t="str">
        <f aca="false">IF($I4538="","","R"&amp;$I4538)</f>
        <v/>
      </c>
    </row>
    <row r="4539" customFormat="false" ht="15" hidden="false" customHeight="true" outlineLevel="0" collapsed="false">
      <c r="H4539" s="14" t="b">
        <f aca="false">IF(중복검사!$A4537="",FALSE(),중복검사!$J4537="유지")</f>
        <v>0</v>
      </c>
      <c r="I4539" s="5" t="str">
        <f aca="false">IF($H4539=FALSE(),"",COUNTIF($H$6:$H4539,TRUE()))</f>
        <v/>
      </c>
      <c r="J4539" s="5" t="str">
        <f aca="false">IF($I4539="","","R"&amp;$I4539)</f>
        <v/>
      </c>
    </row>
    <row r="4540" customFormat="false" ht="15" hidden="false" customHeight="true" outlineLevel="0" collapsed="false">
      <c r="H4540" s="14" t="b">
        <f aca="false">IF(중복검사!$A4538="",FALSE(),중복검사!$J4538="유지")</f>
        <v>0</v>
      </c>
      <c r="I4540" s="5" t="str">
        <f aca="false">IF($H4540=FALSE(),"",COUNTIF($H$6:$H4540,TRUE()))</f>
        <v/>
      </c>
      <c r="J4540" s="5" t="str">
        <f aca="false">IF($I4540="","","R"&amp;$I4540)</f>
        <v/>
      </c>
    </row>
    <row r="4541" customFormat="false" ht="15" hidden="false" customHeight="true" outlineLevel="0" collapsed="false">
      <c r="H4541" s="14" t="b">
        <f aca="false">IF(중복검사!$A4539="",FALSE(),중복검사!$J4539="유지")</f>
        <v>0</v>
      </c>
      <c r="I4541" s="5" t="str">
        <f aca="false">IF($H4541=FALSE(),"",COUNTIF($H$6:$H4541,TRUE()))</f>
        <v/>
      </c>
      <c r="J4541" s="5" t="str">
        <f aca="false">IF($I4541="","","R"&amp;$I4541)</f>
        <v/>
      </c>
    </row>
    <row r="4542" customFormat="false" ht="15" hidden="false" customHeight="true" outlineLevel="0" collapsed="false">
      <c r="H4542" s="14" t="b">
        <f aca="false">IF(중복검사!$A4540="",FALSE(),중복검사!$J4540="유지")</f>
        <v>0</v>
      </c>
      <c r="I4542" s="5" t="str">
        <f aca="false">IF($H4542=FALSE(),"",COUNTIF($H$6:$H4542,TRUE()))</f>
        <v/>
      </c>
      <c r="J4542" s="5" t="str">
        <f aca="false">IF($I4542="","","R"&amp;$I4542)</f>
        <v/>
      </c>
    </row>
    <row r="4543" customFormat="false" ht="15" hidden="false" customHeight="true" outlineLevel="0" collapsed="false">
      <c r="H4543" s="14" t="b">
        <f aca="false">IF(중복검사!$A4541="",FALSE(),중복검사!$J4541="유지")</f>
        <v>0</v>
      </c>
      <c r="I4543" s="5" t="str">
        <f aca="false">IF($H4543=FALSE(),"",COUNTIF($H$6:$H4543,TRUE()))</f>
        <v/>
      </c>
      <c r="J4543" s="5" t="str">
        <f aca="false">IF($I4543="","","R"&amp;$I4543)</f>
        <v/>
      </c>
    </row>
    <row r="4544" customFormat="false" ht="15" hidden="false" customHeight="true" outlineLevel="0" collapsed="false">
      <c r="H4544" s="14" t="b">
        <f aca="false">IF(중복검사!$A4542="",FALSE(),중복검사!$J4542="유지")</f>
        <v>0</v>
      </c>
      <c r="I4544" s="5" t="str">
        <f aca="false">IF($H4544=FALSE(),"",COUNTIF($H$6:$H4544,TRUE()))</f>
        <v/>
      </c>
      <c r="J4544" s="5" t="str">
        <f aca="false">IF($I4544="","","R"&amp;$I4544)</f>
        <v/>
      </c>
    </row>
    <row r="4545" customFormat="false" ht="15" hidden="false" customHeight="true" outlineLevel="0" collapsed="false">
      <c r="H4545" s="14" t="b">
        <f aca="false">IF(중복검사!$A4543="",FALSE(),중복검사!$J4543="유지")</f>
        <v>0</v>
      </c>
      <c r="I4545" s="5" t="str">
        <f aca="false">IF($H4545=FALSE(),"",COUNTIF($H$6:$H4545,TRUE()))</f>
        <v/>
      </c>
      <c r="J4545" s="5" t="str">
        <f aca="false">IF($I4545="","","R"&amp;$I4545)</f>
        <v/>
      </c>
    </row>
    <row r="4546" customFormat="false" ht="15" hidden="false" customHeight="true" outlineLevel="0" collapsed="false">
      <c r="H4546" s="14" t="b">
        <f aca="false">IF(중복검사!$A4544="",FALSE(),중복검사!$J4544="유지")</f>
        <v>0</v>
      </c>
      <c r="I4546" s="5" t="str">
        <f aca="false">IF($H4546=FALSE(),"",COUNTIF($H$6:$H4546,TRUE()))</f>
        <v/>
      </c>
      <c r="J4546" s="5" t="str">
        <f aca="false">IF($I4546="","","R"&amp;$I4546)</f>
        <v/>
      </c>
    </row>
    <row r="4547" customFormat="false" ht="15" hidden="false" customHeight="true" outlineLevel="0" collapsed="false">
      <c r="H4547" s="14" t="b">
        <f aca="false">IF(중복검사!$A4545="",FALSE(),중복검사!$J4545="유지")</f>
        <v>0</v>
      </c>
      <c r="I4547" s="5" t="str">
        <f aca="false">IF($H4547=FALSE(),"",COUNTIF($H$6:$H4547,TRUE()))</f>
        <v/>
      </c>
      <c r="J4547" s="5" t="str">
        <f aca="false">IF($I4547="","","R"&amp;$I4547)</f>
        <v/>
      </c>
    </row>
    <row r="4548" customFormat="false" ht="15" hidden="false" customHeight="true" outlineLevel="0" collapsed="false">
      <c r="H4548" s="14" t="b">
        <f aca="false">IF(중복검사!$A4546="",FALSE(),중복검사!$J4546="유지")</f>
        <v>0</v>
      </c>
      <c r="I4548" s="5" t="str">
        <f aca="false">IF($H4548=FALSE(),"",COUNTIF($H$6:$H4548,TRUE()))</f>
        <v/>
      </c>
      <c r="J4548" s="5" t="str">
        <f aca="false">IF($I4548="","","R"&amp;$I4548)</f>
        <v/>
      </c>
    </row>
    <row r="4549" customFormat="false" ht="15" hidden="false" customHeight="true" outlineLevel="0" collapsed="false">
      <c r="H4549" s="14" t="b">
        <f aca="false">IF(중복검사!$A4547="",FALSE(),중복검사!$J4547="유지")</f>
        <v>0</v>
      </c>
      <c r="I4549" s="5" t="str">
        <f aca="false">IF($H4549=FALSE(),"",COUNTIF($H$6:$H4549,TRUE()))</f>
        <v/>
      </c>
      <c r="J4549" s="5" t="str">
        <f aca="false">IF($I4549="","","R"&amp;$I4549)</f>
        <v/>
      </c>
    </row>
    <row r="4550" customFormat="false" ht="15" hidden="false" customHeight="true" outlineLevel="0" collapsed="false">
      <c r="H4550" s="14" t="b">
        <f aca="false">IF(중복검사!$A4548="",FALSE(),중복검사!$J4548="유지")</f>
        <v>0</v>
      </c>
      <c r="I4550" s="5" t="str">
        <f aca="false">IF($H4550=FALSE(),"",COUNTIF($H$6:$H4550,TRUE()))</f>
        <v/>
      </c>
      <c r="J4550" s="5" t="str">
        <f aca="false">IF($I4550="","","R"&amp;$I4550)</f>
        <v/>
      </c>
    </row>
    <row r="4551" customFormat="false" ht="15" hidden="false" customHeight="true" outlineLevel="0" collapsed="false">
      <c r="H4551" s="14" t="b">
        <f aca="false">IF(중복검사!$A4549="",FALSE(),중복검사!$J4549="유지")</f>
        <v>0</v>
      </c>
      <c r="I4551" s="5" t="str">
        <f aca="false">IF($H4551=FALSE(),"",COUNTIF($H$6:$H4551,TRUE()))</f>
        <v/>
      </c>
      <c r="J4551" s="5" t="str">
        <f aca="false">IF($I4551="","","R"&amp;$I4551)</f>
        <v/>
      </c>
    </row>
    <row r="4552" customFormat="false" ht="15" hidden="false" customHeight="true" outlineLevel="0" collapsed="false">
      <c r="H4552" s="14" t="b">
        <f aca="false">IF(중복검사!$A4550="",FALSE(),중복검사!$J4550="유지")</f>
        <v>0</v>
      </c>
      <c r="I4552" s="5" t="str">
        <f aca="false">IF($H4552=FALSE(),"",COUNTIF($H$6:$H4552,TRUE()))</f>
        <v/>
      </c>
      <c r="J4552" s="5" t="str">
        <f aca="false">IF($I4552="","","R"&amp;$I4552)</f>
        <v/>
      </c>
    </row>
    <row r="4553" customFormat="false" ht="15" hidden="false" customHeight="true" outlineLevel="0" collapsed="false">
      <c r="H4553" s="14" t="b">
        <f aca="false">IF(중복검사!$A4551="",FALSE(),중복검사!$J4551="유지")</f>
        <v>0</v>
      </c>
      <c r="I4553" s="5" t="str">
        <f aca="false">IF($H4553=FALSE(),"",COUNTIF($H$6:$H4553,TRUE()))</f>
        <v/>
      </c>
      <c r="J4553" s="5" t="str">
        <f aca="false">IF($I4553="","","R"&amp;$I4553)</f>
        <v/>
      </c>
    </row>
    <row r="4554" customFormat="false" ht="15" hidden="false" customHeight="true" outlineLevel="0" collapsed="false">
      <c r="H4554" s="14" t="b">
        <f aca="false">IF(중복검사!$A4552="",FALSE(),중복검사!$J4552="유지")</f>
        <v>0</v>
      </c>
      <c r="I4554" s="5" t="str">
        <f aca="false">IF($H4554=FALSE(),"",COUNTIF($H$6:$H4554,TRUE()))</f>
        <v/>
      </c>
      <c r="J4554" s="5" t="str">
        <f aca="false">IF($I4554="","","R"&amp;$I4554)</f>
        <v/>
      </c>
    </row>
    <row r="4555" customFormat="false" ht="15" hidden="false" customHeight="true" outlineLevel="0" collapsed="false">
      <c r="H4555" s="14" t="b">
        <f aca="false">IF(중복검사!$A4553="",FALSE(),중복검사!$J4553="유지")</f>
        <v>0</v>
      </c>
      <c r="I4555" s="5" t="str">
        <f aca="false">IF($H4555=FALSE(),"",COUNTIF($H$6:$H4555,TRUE()))</f>
        <v/>
      </c>
      <c r="J4555" s="5" t="str">
        <f aca="false">IF($I4555="","","R"&amp;$I4555)</f>
        <v/>
      </c>
    </row>
    <row r="4556" customFormat="false" ht="15" hidden="false" customHeight="true" outlineLevel="0" collapsed="false">
      <c r="H4556" s="14" t="b">
        <f aca="false">IF(중복검사!$A4554="",FALSE(),중복검사!$J4554="유지")</f>
        <v>0</v>
      </c>
      <c r="I4556" s="5" t="str">
        <f aca="false">IF($H4556=FALSE(),"",COUNTIF($H$6:$H4556,TRUE()))</f>
        <v/>
      </c>
      <c r="J4556" s="5" t="str">
        <f aca="false">IF($I4556="","","R"&amp;$I4556)</f>
        <v/>
      </c>
    </row>
    <row r="4557" customFormat="false" ht="15" hidden="false" customHeight="true" outlineLevel="0" collapsed="false">
      <c r="H4557" s="14" t="b">
        <f aca="false">IF(중복검사!$A4555="",FALSE(),중복검사!$J4555="유지")</f>
        <v>0</v>
      </c>
      <c r="I4557" s="5" t="str">
        <f aca="false">IF($H4557=FALSE(),"",COUNTIF($H$6:$H4557,TRUE()))</f>
        <v/>
      </c>
      <c r="J4557" s="5" t="str">
        <f aca="false">IF($I4557="","","R"&amp;$I4557)</f>
        <v/>
      </c>
    </row>
    <row r="4558" customFormat="false" ht="15" hidden="false" customHeight="true" outlineLevel="0" collapsed="false">
      <c r="H4558" s="14" t="b">
        <f aca="false">IF(중복검사!$A4556="",FALSE(),중복검사!$J4556="유지")</f>
        <v>0</v>
      </c>
      <c r="I4558" s="5" t="str">
        <f aca="false">IF($H4558=FALSE(),"",COUNTIF($H$6:$H4558,TRUE()))</f>
        <v/>
      </c>
      <c r="J4558" s="5" t="str">
        <f aca="false">IF($I4558="","","R"&amp;$I4558)</f>
        <v/>
      </c>
    </row>
    <row r="4559" customFormat="false" ht="15" hidden="false" customHeight="true" outlineLevel="0" collapsed="false">
      <c r="H4559" s="14" t="b">
        <f aca="false">IF(중복검사!$A4557="",FALSE(),중복검사!$J4557="유지")</f>
        <v>0</v>
      </c>
      <c r="I4559" s="5" t="str">
        <f aca="false">IF($H4559=FALSE(),"",COUNTIF($H$6:$H4559,TRUE()))</f>
        <v/>
      </c>
      <c r="J4559" s="5" t="str">
        <f aca="false">IF($I4559="","","R"&amp;$I4559)</f>
        <v/>
      </c>
    </row>
    <row r="4560" customFormat="false" ht="15" hidden="false" customHeight="true" outlineLevel="0" collapsed="false">
      <c r="H4560" s="14" t="b">
        <f aca="false">IF(중복검사!$A4558="",FALSE(),중복검사!$J4558="유지")</f>
        <v>0</v>
      </c>
      <c r="I4560" s="5" t="str">
        <f aca="false">IF($H4560=FALSE(),"",COUNTIF($H$6:$H4560,TRUE()))</f>
        <v/>
      </c>
      <c r="J4560" s="5" t="str">
        <f aca="false">IF($I4560="","","R"&amp;$I4560)</f>
        <v/>
      </c>
    </row>
    <row r="4561" customFormat="false" ht="15" hidden="false" customHeight="true" outlineLevel="0" collapsed="false">
      <c r="H4561" s="14" t="b">
        <f aca="false">IF(중복검사!$A4559="",FALSE(),중복검사!$J4559="유지")</f>
        <v>0</v>
      </c>
      <c r="I4561" s="5" t="str">
        <f aca="false">IF($H4561=FALSE(),"",COUNTIF($H$6:$H4561,TRUE()))</f>
        <v/>
      </c>
      <c r="J4561" s="5" t="str">
        <f aca="false">IF($I4561="","","R"&amp;$I4561)</f>
        <v/>
      </c>
    </row>
    <row r="4562" customFormat="false" ht="15" hidden="false" customHeight="true" outlineLevel="0" collapsed="false">
      <c r="H4562" s="14" t="b">
        <f aca="false">IF(중복검사!$A4560="",FALSE(),중복검사!$J4560="유지")</f>
        <v>0</v>
      </c>
      <c r="I4562" s="5" t="str">
        <f aca="false">IF($H4562=FALSE(),"",COUNTIF($H$6:$H4562,TRUE()))</f>
        <v/>
      </c>
      <c r="J4562" s="5" t="str">
        <f aca="false">IF($I4562="","","R"&amp;$I4562)</f>
        <v/>
      </c>
    </row>
    <row r="4563" customFormat="false" ht="15" hidden="false" customHeight="true" outlineLevel="0" collapsed="false">
      <c r="H4563" s="14" t="b">
        <f aca="false">IF(중복검사!$A4561="",FALSE(),중복검사!$J4561="유지")</f>
        <v>0</v>
      </c>
      <c r="I4563" s="5" t="str">
        <f aca="false">IF($H4563=FALSE(),"",COUNTIF($H$6:$H4563,TRUE()))</f>
        <v/>
      </c>
      <c r="J4563" s="5" t="str">
        <f aca="false">IF($I4563="","","R"&amp;$I4563)</f>
        <v/>
      </c>
    </row>
    <row r="4564" customFormat="false" ht="15" hidden="false" customHeight="true" outlineLevel="0" collapsed="false">
      <c r="H4564" s="14" t="b">
        <f aca="false">IF(중복검사!$A4562="",FALSE(),중복검사!$J4562="유지")</f>
        <v>0</v>
      </c>
      <c r="I4564" s="5" t="str">
        <f aca="false">IF($H4564=FALSE(),"",COUNTIF($H$6:$H4564,TRUE()))</f>
        <v/>
      </c>
      <c r="J4564" s="5" t="str">
        <f aca="false">IF($I4564="","","R"&amp;$I4564)</f>
        <v/>
      </c>
    </row>
    <row r="4565" customFormat="false" ht="15" hidden="false" customHeight="true" outlineLevel="0" collapsed="false">
      <c r="H4565" s="14" t="b">
        <f aca="false">IF(중복검사!$A4563="",FALSE(),중복검사!$J4563="유지")</f>
        <v>0</v>
      </c>
      <c r="I4565" s="5" t="str">
        <f aca="false">IF($H4565=FALSE(),"",COUNTIF($H$6:$H4565,TRUE()))</f>
        <v/>
      </c>
      <c r="J4565" s="5" t="str">
        <f aca="false">IF($I4565="","","R"&amp;$I4565)</f>
        <v/>
      </c>
    </row>
    <row r="4566" customFormat="false" ht="15" hidden="false" customHeight="true" outlineLevel="0" collapsed="false">
      <c r="H4566" s="14" t="b">
        <f aca="false">IF(중복검사!$A4564="",FALSE(),중복검사!$J4564="유지")</f>
        <v>0</v>
      </c>
      <c r="I4566" s="5" t="str">
        <f aca="false">IF($H4566=FALSE(),"",COUNTIF($H$6:$H4566,TRUE()))</f>
        <v/>
      </c>
      <c r="J4566" s="5" t="str">
        <f aca="false">IF($I4566="","","R"&amp;$I4566)</f>
        <v/>
      </c>
    </row>
    <row r="4567" customFormat="false" ht="15" hidden="false" customHeight="true" outlineLevel="0" collapsed="false">
      <c r="H4567" s="14" t="b">
        <f aca="false">IF(중복검사!$A4565="",FALSE(),중복검사!$J4565="유지")</f>
        <v>0</v>
      </c>
      <c r="I4567" s="5" t="str">
        <f aca="false">IF($H4567=FALSE(),"",COUNTIF($H$6:$H4567,TRUE()))</f>
        <v/>
      </c>
      <c r="J4567" s="5" t="str">
        <f aca="false">IF($I4567="","","R"&amp;$I4567)</f>
        <v/>
      </c>
    </row>
    <row r="4568" customFormat="false" ht="15" hidden="false" customHeight="true" outlineLevel="0" collapsed="false">
      <c r="H4568" s="14" t="b">
        <f aca="false">IF(중복검사!$A4566="",FALSE(),중복검사!$J4566="유지")</f>
        <v>0</v>
      </c>
      <c r="I4568" s="5" t="str">
        <f aca="false">IF($H4568=FALSE(),"",COUNTIF($H$6:$H4568,TRUE()))</f>
        <v/>
      </c>
      <c r="J4568" s="5" t="str">
        <f aca="false">IF($I4568="","","R"&amp;$I4568)</f>
        <v/>
      </c>
    </row>
    <row r="4569" customFormat="false" ht="15" hidden="false" customHeight="true" outlineLevel="0" collapsed="false">
      <c r="H4569" s="14" t="b">
        <f aca="false">IF(중복검사!$A4567="",FALSE(),중복검사!$J4567="유지")</f>
        <v>0</v>
      </c>
      <c r="I4569" s="5" t="str">
        <f aca="false">IF($H4569=FALSE(),"",COUNTIF($H$6:$H4569,TRUE()))</f>
        <v/>
      </c>
      <c r="J4569" s="5" t="str">
        <f aca="false">IF($I4569="","","R"&amp;$I4569)</f>
        <v/>
      </c>
    </row>
    <row r="4570" customFormat="false" ht="15" hidden="false" customHeight="true" outlineLevel="0" collapsed="false">
      <c r="H4570" s="14" t="b">
        <f aca="false">IF(중복검사!$A4568="",FALSE(),중복검사!$J4568="유지")</f>
        <v>0</v>
      </c>
      <c r="I4570" s="5" t="str">
        <f aca="false">IF($H4570=FALSE(),"",COUNTIF($H$6:$H4570,TRUE()))</f>
        <v/>
      </c>
      <c r="J4570" s="5" t="str">
        <f aca="false">IF($I4570="","","R"&amp;$I4570)</f>
        <v/>
      </c>
    </row>
    <row r="4571" customFormat="false" ht="15" hidden="false" customHeight="true" outlineLevel="0" collapsed="false">
      <c r="H4571" s="14" t="b">
        <f aca="false">IF(중복검사!$A4569="",FALSE(),중복검사!$J4569="유지")</f>
        <v>0</v>
      </c>
      <c r="I4571" s="5" t="str">
        <f aca="false">IF($H4571=FALSE(),"",COUNTIF($H$6:$H4571,TRUE()))</f>
        <v/>
      </c>
      <c r="J4571" s="5" t="str">
        <f aca="false">IF($I4571="","","R"&amp;$I4571)</f>
        <v/>
      </c>
    </row>
    <row r="4572" customFormat="false" ht="15" hidden="false" customHeight="true" outlineLevel="0" collapsed="false">
      <c r="H4572" s="14" t="b">
        <f aca="false">IF(중복검사!$A4570="",FALSE(),중복검사!$J4570="유지")</f>
        <v>0</v>
      </c>
      <c r="I4572" s="5" t="str">
        <f aca="false">IF($H4572=FALSE(),"",COUNTIF($H$6:$H4572,TRUE()))</f>
        <v/>
      </c>
      <c r="J4572" s="5" t="str">
        <f aca="false">IF($I4572="","","R"&amp;$I4572)</f>
        <v/>
      </c>
    </row>
    <row r="4573" customFormat="false" ht="15" hidden="false" customHeight="true" outlineLevel="0" collapsed="false">
      <c r="H4573" s="14" t="b">
        <f aca="false">IF(중복검사!$A4571="",FALSE(),중복검사!$J4571="유지")</f>
        <v>0</v>
      </c>
      <c r="I4573" s="5" t="str">
        <f aca="false">IF($H4573=FALSE(),"",COUNTIF($H$6:$H4573,TRUE()))</f>
        <v/>
      </c>
      <c r="J4573" s="5" t="str">
        <f aca="false">IF($I4573="","","R"&amp;$I4573)</f>
        <v/>
      </c>
    </row>
    <row r="4574" customFormat="false" ht="15" hidden="false" customHeight="true" outlineLevel="0" collapsed="false">
      <c r="H4574" s="14" t="b">
        <f aca="false">IF(중복검사!$A4572="",FALSE(),중복검사!$J4572="유지")</f>
        <v>0</v>
      </c>
      <c r="I4574" s="5" t="str">
        <f aca="false">IF($H4574=FALSE(),"",COUNTIF($H$6:$H4574,TRUE()))</f>
        <v/>
      </c>
      <c r="J4574" s="5" t="str">
        <f aca="false">IF($I4574="","","R"&amp;$I4574)</f>
        <v/>
      </c>
    </row>
    <row r="4575" customFormat="false" ht="15" hidden="false" customHeight="true" outlineLevel="0" collapsed="false">
      <c r="H4575" s="14" t="b">
        <f aca="false">IF(중복검사!$A4573="",FALSE(),중복검사!$J4573="유지")</f>
        <v>0</v>
      </c>
      <c r="I4575" s="5" t="str">
        <f aca="false">IF($H4575=FALSE(),"",COUNTIF($H$6:$H4575,TRUE()))</f>
        <v/>
      </c>
      <c r="J4575" s="5" t="str">
        <f aca="false">IF($I4575="","","R"&amp;$I4575)</f>
        <v/>
      </c>
    </row>
    <row r="4576" customFormat="false" ht="15" hidden="false" customHeight="true" outlineLevel="0" collapsed="false">
      <c r="H4576" s="14" t="b">
        <f aca="false">IF(중복검사!$A4574="",FALSE(),중복검사!$J4574="유지")</f>
        <v>0</v>
      </c>
      <c r="I4576" s="5" t="str">
        <f aca="false">IF($H4576=FALSE(),"",COUNTIF($H$6:$H4576,TRUE()))</f>
        <v/>
      </c>
      <c r="J4576" s="5" t="str">
        <f aca="false">IF($I4576="","","R"&amp;$I4576)</f>
        <v/>
      </c>
    </row>
    <row r="4577" customFormat="false" ht="15" hidden="false" customHeight="true" outlineLevel="0" collapsed="false">
      <c r="H4577" s="14" t="b">
        <f aca="false">IF(중복검사!$A4575="",FALSE(),중복검사!$J4575="유지")</f>
        <v>0</v>
      </c>
      <c r="I4577" s="5" t="str">
        <f aca="false">IF($H4577=FALSE(),"",COUNTIF($H$6:$H4577,TRUE()))</f>
        <v/>
      </c>
      <c r="J4577" s="5" t="str">
        <f aca="false">IF($I4577="","","R"&amp;$I4577)</f>
        <v/>
      </c>
    </row>
    <row r="4578" customFormat="false" ht="15" hidden="false" customHeight="true" outlineLevel="0" collapsed="false">
      <c r="H4578" s="14" t="b">
        <f aca="false">IF(중복검사!$A4576="",FALSE(),중복검사!$J4576="유지")</f>
        <v>0</v>
      </c>
      <c r="I4578" s="5" t="str">
        <f aca="false">IF($H4578=FALSE(),"",COUNTIF($H$6:$H4578,TRUE()))</f>
        <v/>
      </c>
      <c r="J4578" s="5" t="str">
        <f aca="false">IF($I4578="","","R"&amp;$I4578)</f>
        <v/>
      </c>
    </row>
    <row r="4579" customFormat="false" ht="15" hidden="false" customHeight="true" outlineLevel="0" collapsed="false">
      <c r="H4579" s="14" t="b">
        <f aca="false">IF(중복검사!$A4577="",FALSE(),중복검사!$J4577="유지")</f>
        <v>0</v>
      </c>
      <c r="I4579" s="5" t="str">
        <f aca="false">IF($H4579=FALSE(),"",COUNTIF($H$6:$H4579,TRUE()))</f>
        <v/>
      </c>
      <c r="J4579" s="5" t="str">
        <f aca="false">IF($I4579="","","R"&amp;$I4579)</f>
        <v/>
      </c>
    </row>
    <row r="4580" customFormat="false" ht="15" hidden="false" customHeight="true" outlineLevel="0" collapsed="false">
      <c r="H4580" s="14" t="b">
        <f aca="false">IF(중복검사!$A4578="",FALSE(),중복검사!$J4578="유지")</f>
        <v>0</v>
      </c>
      <c r="I4580" s="5" t="str">
        <f aca="false">IF($H4580=FALSE(),"",COUNTIF($H$6:$H4580,TRUE()))</f>
        <v/>
      </c>
      <c r="J4580" s="5" t="str">
        <f aca="false">IF($I4580="","","R"&amp;$I4580)</f>
        <v/>
      </c>
    </row>
    <row r="4581" customFormat="false" ht="15" hidden="false" customHeight="true" outlineLevel="0" collapsed="false">
      <c r="H4581" s="14" t="b">
        <f aca="false">IF(중복검사!$A4579="",FALSE(),중복검사!$J4579="유지")</f>
        <v>0</v>
      </c>
      <c r="I4581" s="5" t="str">
        <f aca="false">IF($H4581=FALSE(),"",COUNTIF($H$6:$H4581,TRUE()))</f>
        <v/>
      </c>
      <c r="J4581" s="5" t="str">
        <f aca="false">IF($I4581="","","R"&amp;$I4581)</f>
        <v/>
      </c>
    </row>
    <row r="4582" customFormat="false" ht="15" hidden="false" customHeight="true" outlineLevel="0" collapsed="false">
      <c r="H4582" s="14" t="b">
        <f aca="false">IF(중복검사!$A4580="",FALSE(),중복검사!$J4580="유지")</f>
        <v>0</v>
      </c>
      <c r="I4582" s="5" t="str">
        <f aca="false">IF($H4582=FALSE(),"",COUNTIF($H$6:$H4582,TRUE()))</f>
        <v/>
      </c>
      <c r="J4582" s="5" t="str">
        <f aca="false">IF($I4582="","","R"&amp;$I4582)</f>
        <v/>
      </c>
    </row>
    <row r="4583" customFormat="false" ht="15" hidden="false" customHeight="true" outlineLevel="0" collapsed="false">
      <c r="H4583" s="14" t="b">
        <f aca="false">IF(중복검사!$A4581="",FALSE(),중복검사!$J4581="유지")</f>
        <v>0</v>
      </c>
      <c r="I4583" s="5" t="str">
        <f aca="false">IF($H4583=FALSE(),"",COUNTIF($H$6:$H4583,TRUE()))</f>
        <v/>
      </c>
      <c r="J4583" s="5" t="str">
        <f aca="false">IF($I4583="","","R"&amp;$I4583)</f>
        <v/>
      </c>
    </row>
    <row r="4584" customFormat="false" ht="15" hidden="false" customHeight="true" outlineLevel="0" collapsed="false">
      <c r="H4584" s="14" t="b">
        <f aca="false">IF(중복검사!$A4582="",FALSE(),중복검사!$J4582="유지")</f>
        <v>0</v>
      </c>
      <c r="I4584" s="5" t="str">
        <f aca="false">IF($H4584=FALSE(),"",COUNTIF($H$6:$H4584,TRUE()))</f>
        <v/>
      </c>
      <c r="J4584" s="5" t="str">
        <f aca="false">IF($I4584="","","R"&amp;$I4584)</f>
        <v/>
      </c>
    </row>
    <row r="4585" customFormat="false" ht="15" hidden="false" customHeight="true" outlineLevel="0" collapsed="false">
      <c r="H4585" s="14" t="b">
        <f aca="false">IF(중복검사!$A4583="",FALSE(),중복검사!$J4583="유지")</f>
        <v>0</v>
      </c>
      <c r="I4585" s="5" t="str">
        <f aca="false">IF($H4585=FALSE(),"",COUNTIF($H$6:$H4585,TRUE()))</f>
        <v/>
      </c>
      <c r="J4585" s="5" t="str">
        <f aca="false">IF($I4585="","","R"&amp;$I4585)</f>
        <v/>
      </c>
    </row>
    <row r="4586" customFormat="false" ht="15" hidden="false" customHeight="true" outlineLevel="0" collapsed="false">
      <c r="H4586" s="14" t="b">
        <f aca="false">IF(중복검사!$A4584="",FALSE(),중복검사!$J4584="유지")</f>
        <v>0</v>
      </c>
      <c r="I4586" s="5" t="str">
        <f aca="false">IF($H4586=FALSE(),"",COUNTIF($H$6:$H4586,TRUE()))</f>
        <v/>
      </c>
      <c r="J4586" s="5" t="str">
        <f aca="false">IF($I4586="","","R"&amp;$I4586)</f>
        <v/>
      </c>
    </row>
    <row r="4587" customFormat="false" ht="15" hidden="false" customHeight="true" outlineLevel="0" collapsed="false">
      <c r="H4587" s="14" t="b">
        <f aca="false">IF(중복검사!$A4585="",FALSE(),중복검사!$J4585="유지")</f>
        <v>0</v>
      </c>
      <c r="I4587" s="5" t="str">
        <f aca="false">IF($H4587=FALSE(),"",COUNTIF($H$6:$H4587,TRUE()))</f>
        <v/>
      </c>
      <c r="J4587" s="5" t="str">
        <f aca="false">IF($I4587="","","R"&amp;$I4587)</f>
        <v/>
      </c>
    </row>
    <row r="4588" customFormat="false" ht="15" hidden="false" customHeight="true" outlineLevel="0" collapsed="false">
      <c r="H4588" s="14" t="b">
        <f aca="false">IF(중복검사!$A4586="",FALSE(),중복검사!$J4586="유지")</f>
        <v>0</v>
      </c>
      <c r="I4588" s="5" t="str">
        <f aca="false">IF($H4588=FALSE(),"",COUNTIF($H$6:$H4588,TRUE()))</f>
        <v/>
      </c>
      <c r="J4588" s="5" t="str">
        <f aca="false">IF($I4588="","","R"&amp;$I4588)</f>
        <v/>
      </c>
    </row>
    <row r="4589" customFormat="false" ht="15" hidden="false" customHeight="true" outlineLevel="0" collapsed="false">
      <c r="H4589" s="14" t="b">
        <f aca="false">IF(중복검사!$A4587="",FALSE(),중복검사!$J4587="유지")</f>
        <v>0</v>
      </c>
      <c r="I4589" s="5" t="str">
        <f aca="false">IF($H4589=FALSE(),"",COUNTIF($H$6:$H4589,TRUE()))</f>
        <v/>
      </c>
      <c r="J4589" s="5" t="str">
        <f aca="false">IF($I4589="","","R"&amp;$I4589)</f>
        <v/>
      </c>
    </row>
    <row r="4590" customFormat="false" ht="15" hidden="false" customHeight="true" outlineLevel="0" collapsed="false">
      <c r="H4590" s="14" t="b">
        <f aca="false">IF(중복검사!$A4588="",FALSE(),중복검사!$J4588="유지")</f>
        <v>0</v>
      </c>
      <c r="I4590" s="5" t="str">
        <f aca="false">IF($H4590=FALSE(),"",COUNTIF($H$6:$H4590,TRUE()))</f>
        <v/>
      </c>
      <c r="J4590" s="5" t="str">
        <f aca="false">IF($I4590="","","R"&amp;$I4590)</f>
        <v/>
      </c>
    </row>
    <row r="4591" customFormat="false" ht="15" hidden="false" customHeight="true" outlineLevel="0" collapsed="false">
      <c r="H4591" s="14" t="b">
        <f aca="false">IF(중복검사!$A4589="",FALSE(),중복검사!$J4589="유지")</f>
        <v>0</v>
      </c>
      <c r="I4591" s="5" t="str">
        <f aca="false">IF($H4591=FALSE(),"",COUNTIF($H$6:$H4591,TRUE()))</f>
        <v/>
      </c>
      <c r="J4591" s="5" t="str">
        <f aca="false">IF($I4591="","","R"&amp;$I4591)</f>
        <v/>
      </c>
    </row>
    <row r="4592" customFormat="false" ht="15" hidden="false" customHeight="true" outlineLevel="0" collapsed="false">
      <c r="H4592" s="14" t="b">
        <f aca="false">IF(중복검사!$A4590="",FALSE(),중복검사!$J4590="유지")</f>
        <v>0</v>
      </c>
      <c r="I4592" s="5" t="str">
        <f aca="false">IF($H4592=FALSE(),"",COUNTIF($H$6:$H4592,TRUE()))</f>
        <v/>
      </c>
      <c r="J4592" s="5" t="str">
        <f aca="false">IF($I4592="","","R"&amp;$I4592)</f>
        <v/>
      </c>
    </row>
    <row r="4593" customFormat="false" ht="15" hidden="false" customHeight="true" outlineLevel="0" collapsed="false">
      <c r="H4593" s="14" t="b">
        <f aca="false">IF(중복검사!$A4591="",FALSE(),중복검사!$J4591="유지")</f>
        <v>0</v>
      </c>
      <c r="I4593" s="5" t="str">
        <f aca="false">IF($H4593=FALSE(),"",COUNTIF($H$6:$H4593,TRUE()))</f>
        <v/>
      </c>
      <c r="J4593" s="5" t="str">
        <f aca="false">IF($I4593="","","R"&amp;$I4593)</f>
        <v/>
      </c>
    </row>
    <row r="4594" customFormat="false" ht="15" hidden="false" customHeight="true" outlineLevel="0" collapsed="false">
      <c r="H4594" s="14" t="b">
        <f aca="false">IF(중복검사!$A4592="",FALSE(),중복검사!$J4592="유지")</f>
        <v>0</v>
      </c>
      <c r="I4594" s="5" t="str">
        <f aca="false">IF($H4594=FALSE(),"",COUNTIF($H$6:$H4594,TRUE()))</f>
        <v/>
      </c>
      <c r="J4594" s="5" t="str">
        <f aca="false">IF($I4594="","","R"&amp;$I4594)</f>
        <v/>
      </c>
    </row>
    <row r="4595" customFormat="false" ht="15" hidden="false" customHeight="true" outlineLevel="0" collapsed="false">
      <c r="H4595" s="14" t="b">
        <f aca="false">IF(중복검사!$A4593="",FALSE(),중복검사!$J4593="유지")</f>
        <v>0</v>
      </c>
      <c r="I4595" s="5" t="str">
        <f aca="false">IF($H4595=FALSE(),"",COUNTIF($H$6:$H4595,TRUE()))</f>
        <v/>
      </c>
      <c r="J4595" s="5" t="str">
        <f aca="false">IF($I4595="","","R"&amp;$I4595)</f>
        <v/>
      </c>
    </row>
    <row r="4596" customFormat="false" ht="15" hidden="false" customHeight="true" outlineLevel="0" collapsed="false">
      <c r="H4596" s="14" t="b">
        <f aca="false">IF(중복검사!$A4594="",FALSE(),중복검사!$J4594="유지")</f>
        <v>0</v>
      </c>
      <c r="I4596" s="5" t="str">
        <f aca="false">IF($H4596=FALSE(),"",COUNTIF($H$6:$H4596,TRUE()))</f>
        <v/>
      </c>
      <c r="J4596" s="5" t="str">
        <f aca="false">IF($I4596="","","R"&amp;$I4596)</f>
        <v/>
      </c>
    </row>
    <row r="4597" customFormat="false" ht="15" hidden="false" customHeight="true" outlineLevel="0" collapsed="false">
      <c r="H4597" s="14" t="b">
        <f aca="false">IF(중복검사!$A4595="",FALSE(),중복검사!$J4595="유지")</f>
        <v>0</v>
      </c>
      <c r="I4597" s="5" t="str">
        <f aca="false">IF($H4597=FALSE(),"",COUNTIF($H$6:$H4597,TRUE()))</f>
        <v/>
      </c>
      <c r="J4597" s="5" t="str">
        <f aca="false">IF($I4597="","","R"&amp;$I4597)</f>
        <v/>
      </c>
    </row>
    <row r="4598" customFormat="false" ht="15" hidden="false" customHeight="true" outlineLevel="0" collapsed="false">
      <c r="H4598" s="14" t="b">
        <f aca="false">IF(중복검사!$A4596="",FALSE(),중복검사!$J4596="유지")</f>
        <v>0</v>
      </c>
      <c r="I4598" s="5" t="str">
        <f aca="false">IF($H4598=FALSE(),"",COUNTIF($H$6:$H4598,TRUE()))</f>
        <v/>
      </c>
      <c r="J4598" s="5" t="str">
        <f aca="false">IF($I4598="","","R"&amp;$I4598)</f>
        <v/>
      </c>
    </row>
    <row r="4599" customFormat="false" ht="15" hidden="false" customHeight="true" outlineLevel="0" collapsed="false">
      <c r="H4599" s="14" t="b">
        <f aca="false">IF(중복검사!$A4597="",FALSE(),중복검사!$J4597="유지")</f>
        <v>0</v>
      </c>
      <c r="I4599" s="5" t="str">
        <f aca="false">IF($H4599=FALSE(),"",COUNTIF($H$6:$H4599,TRUE()))</f>
        <v/>
      </c>
      <c r="J4599" s="5" t="str">
        <f aca="false">IF($I4599="","","R"&amp;$I4599)</f>
        <v/>
      </c>
    </row>
    <row r="4600" customFormat="false" ht="15" hidden="false" customHeight="true" outlineLevel="0" collapsed="false">
      <c r="H4600" s="14" t="b">
        <f aca="false">IF(중복검사!$A4598="",FALSE(),중복검사!$J4598="유지")</f>
        <v>0</v>
      </c>
      <c r="I4600" s="5" t="str">
        <f aca="false">IF($H4600=FALSE(),"",COUNTIF($H$6:$H4600,TRUE()))</f>
        <v/>
      </c>
      <c r="J4600" s="5" t="str">
        <f aca="false">IF($I4600="","","R"&amp;$I4600)</f>
        <v/>
      </c>
    </row>
    <row r="4601" customFormat="false" ht="15" hidden="false" customHeight="true" outlineLevel="0" collapsed="false">
      <c r="H4601" s="14" t="b">
        <f aca="false">IF(중복검사!$A4599="",FALSE(),중복검사!$J4599="유지")</f>
        <v>0</v>
      </c>
      <c r="I4601" s="5" t="str">
        <f aca="false">IF($H4601=FALSE(),"",COUNTIF($H$6:$H4601,TRUE()))</f>
        <v/>
      </c>
      <c r="J4601" s="5" t="str">
        <f aca="false">IF($I4601="","","R"&amp;$I4601)</f>
        <v/>
      </c>
    </row>
    <row r="4602" customFormat="false" ht="15" hidden="false" customHeight="true" outlineLevel="0" collapsed="false">
      <c r="H4602" s="14" t="b">
        <f aca="false">IF(중복검사!$A4600="",FALSE(),중복검사!$J4600="유지")</f>
        <v>0</v>
      </c>
      <c r="I4602" s="5" t="str">
        <f aca="false">IF($H4602=FALSE(),"",COUNTIF($H$6:$H4602,TRUE()))</f>
        <v/>
      </c>
      <c r="J4602" s="5" t="str">
        <f aca="false">IF($I4602="","","R"&amp;$I4602)</f>
        <v/>
      </c>
    </row>
    <row r="4603" customFormat="false" ht="15" hidden="false" customHeight="true" outlineLevel="0" collapsed="false">
      <c r="H4603" s="14" t="b">
        <f aca="false">IF(중복검사!$A4601="",FALSE(),중복검사!$J4601="유지")</f>
        <v>0</v>
      </c>
      <c r="I4603" s="5" t="str">
        <f aca="false">IF($H4603=FALSE(),"",COUNTIF($H$6:$H4603,TRUE()))</f>
        <v/>
      </c>
      <c r="J4603" s="5" t="str">
        <f aca="false">IF($I4603="","","R"&amp;$I4603)</f>
        <v/>
      </c>
    </row>
    <row r="4604" customFormat="false" ht="15" hidden="false" customHeight="true" outlineLevel="0" collapsed="false">
      <c r="H4604" s="14" t="b">
        <f aca="false">IF(중복검사!$A4602="",FALSE(),중복검사!$J4602="유지")</f>
        <v>0</v>
      </c>
      <c r="I4604" s="5" t="str">
        <f aca="false">IF($H4604=FALSE(),"",COUNTIF($H$6:$H4604,TRUE()))</f>
        <v/>
      </c>
      <c r="J4604" s="5" t="str">
        <f aca="false">IF($I4604="","","R"&amp;$I4604)</f>
        <v/>
      </c>
    </row>
    <row r="4605" customFormat="false" ht="15" hidden="false" customHeight="true" outlineLevel="0" collapsed="false">
      <c r="H4605" s="14" t="b">
        <f aca="false">IF(중복검사!$A4603="",FALSE(),중복검사!$J4603="유지")</f>
        <v>0</v>
      </c>
      <c r="I4605" s="5" t="str">
        <f aca="false">IF($H4605=FALSE(),"",COUNTIF($H$6:$H4605,TRUE()))</f>
        <v/>
      </c>
      <c r="J4605" s="5" t="str">
        <f aca="false">IF($I4605="","","R"&amp;$I4605)</f>
        <v/>
      </c>
    </row>
    <row r="4606" customFormat="false" ht="15" hidden="false" customHeight="true" outlineLevel="0" collapsed="false">
      <c r="H4606" s="14" t="b">
        <f aca="false">IF(중복검사!$A4604="",FALSE(),중복검사!$J4604="유지")</f>
        <v>0</v>
      </c>
      <c r="I4606" s="5" t="str">
        <f aca="false">IF($H4606=FALSE(),"",COUNTIF($H$6:$H4606,TRUE()))</f>
        <v/>
      </c>
      <c r="J4606" s="5" t="str">
        <f aca="false">IF($I4606="","","R"&amp;$I4606)</f>
        <v/>
      </c>
    </row>
    <row r="4607" customFormat="false" ht="15" hidden="false" customHeight="true" outlineLevel="0" collapsed="false">
      <c r="H4607" s="14" t="b">
        <f aca="false">IF(중복검사!$A4605="",FALSE(),중복검사!$J4605="유지")</f>
        <v>0</v>
      </c>
      <c r="I4607" s="5" t="str">
        <f aca="false">IF($H4607=FALSE(),"",COUNTIF($H$6:$H4607,TRUE()))</f>
        <v/>
      </c>
      <c r="J4607" s="5" t="str">
        <f aca="false">IF($I4607="","","R"&amp;$I4607)</f>
        <v/>
      </c>
    </row>
    <row r="4608" customFormat="false" ht="15" hidden="false" customHeight="true" outlineLevel="0" collapsed="false">
      <c r="H4608" s="14" t="b">
        <f aca="false">IF(중복검사!$A4606="",FALSE(),중복검사!$J4606="유지")</f>
        <v>0</v>
      </c>
      <c r="I4608" s="5" t="str">
        <f aca="false">IF($H4608=FALSE(),"",COUNTIF($H$6:$H4608,TRUE()))</f>
        <v/>
      </c>
      <c r="J4608" s="5" t="str">
        <f aca="false">IF($I4608="","","R"&amp;$I4608)</f>
        <v/>
      </c>
    </row>
    <row r="4609" customFormat="false" ht="15" hidden="false" customHeight="true" outlineLevel="0" collapsed="false">
      <c r="H4609" s="14" t="b">
        <f aca="false">IF(중복검사!$A4607="",FALSE(),중복검사!$J4607="유지")</f>
        <v>0</v>
      </c>
      <c r="I4609" s="5" t="str">
        <f aca="false">IF($H4609=FALSE(),"",COUNTIF($H$6:$H4609,TRUE()))</f>
        <v/>
      </c>
      <c r="J4609" s="5" t="str">
        <f aca="false">IF($I4609="","","R"&amp;$I4609)</f>
        <v/>
      </c>
    </row>
    <row r="4610" customFormat="false" ht="15" hidden="false" customHeight="true" outlineLevel="0" collapsed="false">
      <c r="H4610" s="14" t="b">
        <f aca="false">IF(중복검사!$A4608="",FALSE(),중복검사!$J4608="유지")</f>
        <v>0</v>
      </c>
      <c r="I4610" s="5" t="str">
        <f aca="false">IF($H4610=FALSE(),"",COUNTIF($H$6:$H4610,TRUE()))</f>
        <v/>
      </c>
      <c r="J4610" s="5" t="str">
        <f aca="false">IF($I4610="","","R"&amp;$I4610)</f>
        <v/>
      </c>
    </row>
    <row r="4611" customFormat="false" ht="15" hidden="false" customHeight="true" outlineLevel="0" collapsed="false">
      <c r="H4611" s="14" t="b">
        <f aca="false">IF(중복검사!$A4609="",FALSE(),중복검사!$J4609="유지")</f>
        <v>0</v>
      </c>
      <c r="I4611" s="5" t="str">
        <f aca="false">IF($H4611=FALSE(),"",COUNTIF($H$6:$H4611,TRUE()))</f>
        <v/>
      </c>
      <c r="J4611" s="5" t="str">
        <f aca="false">IF($I4611="","","R"&amp;$I4611)</f>
        <v/>
      </c>
    </row>
    <row r="4612" customFormat="false" ht="15" hidden="false" customHeight="true" outlineLevel="0" collapsed="false">
      <c r="H4612" s="14" t="b">
        <f aca="false">IF(중복검사!$A4610="",FALSE(),중복검사!$J4610="유지")</f>
        <v>0</v>
      </c>
      <c r="I4612" s="5" t="str">
        <f aca="false">IF($H4612=FALSE(),"",COUNTIF($H$6:$H4612,TRUE()))</f>
        <v/>
      </c>
      <c r="J4612" s="5" t="str">
        <f aca="false">IF($I4612="","","R"&amp;$I4612)</f>
        <v/>
      </c>
    </row>
    <row r="4613" customFormat="false" ht="15" hidden="false" customHeight="true" outlineLevel="0" collapsed="false">
      <c r="H4613" s="14" t="b">
        <f aca="false">IF(중복검사!$A4611="",FALSE(),중복검사!$J4611="유지")</f>
        <v>0</v>
      </c>
      <c r="I4613" s="5" t="str">
        <f aca="false">IF($H4613=FALSE(),"",COUNTIF($H$6:$H4613,TRUE()))</f>
        <v/>
      </c>
      <c r="J4613" s="5" t="str">
        <f aca="false">IF($I4613="","","R"&amp;$I4613)</f>
        <v/>
      </c>
    </row>
    <row r="4614" customFormat="false" ht="15" hidden="false" customHeight="true" outlineLevel="0" collapsed="false">
      <c r="H4614" s="14" t="b">
        <f aca="false">IF(중복검사!$A4612="",FALSE(),중복검사!$J4612="유지")</f>
        <v>0</v>
      </c>
      <c r="I4614" s="5" t="str">
        <f aca="false">IF($H4614=FALSE(),"",COUNTIF($H$6:$H4614,TRUE()))</f>
        <v/>
      </c>
      <c r="J4614" s="5" t="str">
        <f aca="false">IF($I4614="","","R"&amp;$I4614)</f>
        <v/>
      </c>
    </row>
    <row r="4615" customFormat="false" ht="15" hidden="false" customHeight="true" outlineLevel="0" collapsed="false">
      <c r="H4615" s="14" t="b">
        <f aca="false">IF(중복검사!$A4613="",FALSE(),중복검사!$J4613="유지")</f>
        <v>0</v>
      </c>
      <c r="I4615" s="5" t="str">
        <f aca="false">IF($H4615=FALSE(),"",COUNTIF($H$6:$H4615,TRUE()))</f>
        <v/>
      </c>
      <c r="J4615" s="5" t="str">
        <f aca="false">IF($I4615="","","R"&amp;$I4615)</f>
        <v/>
      </c>
    </row>
    <row r="4616" customFormat="false" ht="15" hidden="false" customHeight="true" outlineLevel="0" collapsed="false">
      <c r="H4616" s="14" t="b">
        <f aca="false">IF(중복검사!$A4614="",FALSE(),중복검사!$J4614="유지")</f>
        <v>0</v>
      </c>
      <c r="I4616" s="5" t="str">
        <f aca="false">IF($H4616=FALSE(),"",COUNTIF($H$6:$H4616,TRUE()))</f>
        <v/>
      </c>
      <c r="J4616" s="5" t="str">
        <f aca="false">IF($I4616="","","R"&amp;$I4616)</f>
        <v/>
      </c>
    </row>
    <row r="4617" customFormat="false" ht="15" hidden="false" customHeight="true" outlineLevel="0" collapsed="false">
      <c r="H4617" s="14" t="b">
        <f aca="false">IF(중복검사!$A4615="",FALSE(),중복검사!$J4615="유지")</f>
        <v>0</v>
      </c>
      <c r="I4617" s="5" t="str">
        <f aca="false">IF($H4617=FALSE(),"",COUNTIF($H$6:$H4617,TRUE()))</f>
        <v/>
      </c>
      <c r="J4617" s="5" t="str">
        <f aca="false">IF($I4617="","","R"&amp;$I4617)</f>
        <v/>
      </c>
    </row>
    <row r="4618" customFormat="false" ht="15" hidden="false" customHeight="true" outlineLevel="0" collapsed="false">
      <c r="H4618" s="14" t="b">
        <f aca="false">IF(중복검사!$A4616="",FALSE(),중복검사!$J4616="유지")</f>
        <v>0</v>
      </c>
      <c r="I4618" s="5" t="str">
        <f aca="false">IF($H4618=FALSE(),"",COUNTIF($H$6:$H4618,TRUE()))</f>
        <v/>
      </c>
      <c r="J4618" s="5" t="str">
        <f aca="false">IF($I4618="","","R"&amp;$I4618)</f>
        <v/>
      </c>
    </row>
    <row r="4619" customFormat="false" ht="15" hidden="false" customHeight="true" outlineLevel="0" collapsed="false">
      <c r="H4619" s="14" t="b">
        <f aca="false">IF(중복검사!$A4617="",FALSE(),중복검사!$J4617="유지")</f>
        <v>0</v>
      </c>
      <c r="I4619" s="5" t="str">
        <f aca="false">IF($H4619=FALSE(),"",COUNTIF($H$6:$H4619,TRUE()))</f>
        <v/>
      </c>
      <c r="J4619" s="5" t="str">
        <f aca="false">IF($I4619="","","R"&amp;$I4619)</f>
        <v/>
      </c>
    </row>
    <row r="4620" customFormat="false" ht="15" hidden="false" customHeight="true" outlineLevel="0" collapsed="false">
      <c r="H4620" s="14" t="b">
        <f aca="false">IF(중복검사!$A4618="",FALSE(),중복검사!$J4618="유지")</f>
        <v>0</v>
      </c>
      <c r="I4620" s="5" t="str">
        <f aca="false">IF($H4620=FALSE(),"",COUNTIF($H$6:$H4620,TRUE()))</f>
        <v/>
      </c>
      <c r="J4620" s="5" t="str">
        <f aca="false">IF($I4620="","","R"&amp;$I4620)</f>
        <v/>
      </c>
    </row>
    <row r="4621" customFormat="false" ht="15" hidden="false" customHeight="true" outlineLevel="0" collapsed="false">
      <c r="H4621" s="14" t="b">
        <f aca="false">IF(중복검사!$A4619="",FALSE(),중복검사!$J4619="유지")</f>
        <v>0</v>
      </c>
      <c r="I4621" s="5" t="str">
        <f aca="false">IF($H4621=FALSE(),"",COUNTIF($H$6:$H4621,TRUE()))</f>
        <v/>
      </c>
      <c r="J4621" s="5" t="str">
        <f aca="false">IF($I4621="","","R"&amp;$I4621)</f>
        <v/>
      </c>
    </row>
    <row r="4622" customFormat="false" ht="15" hidden="false" customHeight="true" outlineLevel="0" collapsed="false">
      <c r="H4622" s="14" t="b">
        <f aca="false">IF(중복검사!$A4620="",FALSE(),중복검사!$J4620="유지")</f>
        <v>0</v>
      </c>
      <c r="I4622" s="5" t="str">
        <f aca="false">IF($H4622=FALSE(),"",COUNTIF($H$6:$H4622,TRUE()))</f>
        <v/>
      </c>
      <c r="J4622" s="5" t="str">
        <f aca="false">IF($I4622="","","R"&amp;$I4622)</f>
        <v/>
      </c>
    </row>
    <row r="4623" customFormat="false" ht="15" hidden="false" customHeight="true" outlineLevel="0" collapsed="false">
      <c r="H4623" s="14" t="b">
        <f aca="false">IF(중복검사!$A4621="",FALSE(),중복검사!$J4621="유지")</f>
        <v>0</v>
      </c>
      <c r="I4623" s="5" t="str">
        <f aca="false">IF($H4623=FALSE(),"",COUNTIF($H$6:$H4623,TRUE()))</f>
        <v/>
      </c>
      <c r="J4623" s="5" t="str">
        <f aca="false">IF($I4623="","","R"&amp;$I4623)</f>
        <v/>
      </c>
    </row>
    <row r="4624" customFormat="false" ht="15" hidden="false" customHeight="true" outlineLevel="0" collapsed="false">
      <c r="H4624" s="14" t="b">
        <f aca="false">IF(중복검사!$A4622="",FALSE(),중복검사!$J4622="유지")</f>
        <v>0</v>
      </c>
      <c r="I4624" s="5" t="str">
        <f aca="false">IF($H4624=FALSE(),"",COUNTIF($H$6:$H4624,TRUE()))</f>
        <v/>
      </c>
      <c r="J4624" s="5" t="str">
        <f aca="false">IF($I4624="","","R"&amp;$I4624)</f>
        <v/>
      </c>
    </row>
    <row r="4625" customFormat="false" ht="15" hidden="false" customHeight="true" outlineLevel="0" collapsed="false">
      <c r="H4625" s="14" t="b">
        <f aca="false">IF(중복검사!$A4623="",FALSE(),중복검사!$J4623="유지")</f>
        <v>0</v>
      </c>
      <c r="I4625" s="5" t="str">
        <f aca="false">IF($H4625=FALSE(),"",COUNTIF($H$6:$H4625,TRUE()))</f>
        <v/>
      </c>
      <c r="J4625" s="5" t="str">
        <f aca="false">IF($I4625="","","R"&amp;$I4625)</f>
        <v/>
      </c>
    </row>
    <row r="4626" customFormat="false" ht="15" hidden="false" customHeight="true" outlineLevel="0" collapsed="false">
      <c r="H4626" s="14" t="b">
        <f aca="false">IF(중복검사!$A4624="",FALSE(),중복검사!$J4624="유지")</f>
        <v>0</v>
      </c>
      <c r="I4626" s="5" t="str">
        <f aca="false">IF($H4626=FALSE(),"",COUNTIF($H$6:$H4626,TRUE()))</f>
        <v/>
      </c>
      <c r="J4626" s="5" t="str">
        <f aca="false">IF($I4626="","","R"&amp;$I4626)</f>
        <v/>
      </c>
    </row>
    <row r="4627" customFormat="false" ht="15" hidden="false" customHeight="true" outlineLevel="0" collapsed="false">
      <c r="H4627" s="14" t="b">
        <f aca="false">IF(중복검사!$A4625="",FALSE(),중복검사!$J4625="유지")</f>
        <v>0</v>
      </c>
      <c r="I4627" s="5" t="str">
        <f aca="false">IF($H4627=FALSE(),"",COUNTIF($H$6:$H4627,TRUE()))</f>
        <v/>
      </c>
      <c r="J4627" s="5" t="str">
        <f aca="false">IF($I4627="","","R"&amp;$I4627)</f>
        <v/>
      </c>
    </row>
    <row r="4628" customFormat="false" ht="15" hidden="false" customHeight="true" outlineLevel="0" collapsed="false">
      <c r="H4628" s="14" t="b">
        <f aca="false">IF(중복검사!$A4626="",FALSE(),중복검사!$J4626="유지")</f>
        <v>0</v>
      </c>
      <c r="I4628" s="5" t="str">
        <f aca="false">IF($H4628=FALSE(),"",COUNTIF($H$6:$H4628,TRUE()))</f>
        <v/>
      </c>
      <c r="J4628" s="5" t="str">
        <f aca="false">IF($I4628="","","R"&amp;$I4628)</f>
        <v/>
      </c>
    </row>
    <row r="4629" customFormat="false" ht="15" hidden="false" customHeight="true" outlineLevel="0" collapsed="false">
      <c r="H4629" s="14" t="b">
        <f aca="false">IF(중복검사!$A4627="",FALSE(),중복검사!$J4627="유지")</f>
        <v>0</v>
      </c>
      <c r="I4629" s="5" t="str">
        <f aca="false">IF($H4629=FALSE(),"",COUNTIF($H$6:$H4629,TRUE()))</f>
        <v/>
      </c>
      <c r="J4629" s="5" t="str">
        <f aca="false">IF($I4629="","","R"&amp;$I4629)</f>
        <v/>
      </c>
    </row>
    <row r="4630" customFormat="false" ht="15" hidden="false" customHeight="true" outlineLevel="0" collapsed="false">
      <c r="H4630" s="14" t="b">
        <f aca="false">IF(중복검사!$A4628="",FALSE(),중복검사!$J4628="유지")</f>
        <v>0</v>
      </c>
      <c r="I4630" s="5" t="str">
        <f aca="false">IF($H4630=FALSE(),"",COUNTIF($H$6:$H4630,TRUE()))</f>
        <v/>
      </c>
      <c r="J4630" s="5" t="str">
        <f aca="false">IF($I4630="","","R"&amp;$I4630)</f>
        <v/>
      </c>
    </row>
    <row r="4631" customFormat="false" ht="15" hidden="false" customHeight="true" outlineLevel="0" collapsed="false">
      <c r="H4631" s="14" t="b">
        <f aca="false">IF(중복검사!$A4629="",FALSE(),중복검사!$J4629="유지")</f>
        <v>0</v>
      </c>
      <c r="I4631" s="5" t="str">
        <f aca="false">IF($H4631=FALSE(),"",COUNTIF($H$6:$H4631,TRUE()))</f>
        <v/>
      </c>
      <c r="J4631" s="5" t="str">
        <f aca="false">IF($I4631="","","R"&amp;$I4631)</f>
        <v/>
      </c>
    </row>
    <row r="4632" customFormat="false" ht="15" hidden="false" customHeight="true" outlineLevel="0" collapsed="false">
      <c r="H4632" s="14" t="b">
        <f aca="false">IF(중복검사!$A4630="",FALSE(),중복검사!$J4630="유지")</f>
        <v>0</v>
      </c>
      <c r="I4632" s="5" t="str">
        <f aca="false">IF($H4632=FALSE(),"",COUNTIF($H$6:$H4632,TRUE()))</f>
        <v/>
      </c>
      <c r="J4632" s="5" t="str">
        <f aca="false">IF($I4632="","","R"&amp;$I4632)</f>
        <v/>
      </c>
    </row>
    <row r="4633" customFormat="false" ht="15" hidden="false" customHeight="true" outlineLevel="0" collapsed="false">
      <c r="H4633" s="14" t="b">
        <f aca="false">IF(중복검사!$A4631="",FALSE(),중복검사!$J4631="유지")</f>
        <v>0</v>
      </c>
      <c r="I4633" s="5" t="str">
        <f aca="false">IF($H4633=FALSE(),"",COUNTIF($H$6:$H4633,TRUE()))</f>
        <v/>
      </c>
      <c r="J4633" s="5" t="str">
        <f aca="false">IF($I4633="","","R"&amp;$I4633)</f>
        <v/>
      </c>
    </row>
    <row r="4634" customFormat="false" ht="15" hidden="false" customHeight="true" outlineLevel="0" collapsed="false">
      <c r="H4634" s="14" t="b">
        <f aca="false">IF(중복검사!$A4632="",FALSE(),중복검사!$J4632="유지")</f>
        <v>0</v>
      </c>
      <c r="I4634" s="5" t="str">
        <f aca="false">IF($H4634=FALSE(),"",COUNTIF($H$6:$H4634,TRUE()))</f>
        <v/>
      </c>
      <c r="J4634" s="5" t="str">
        <f aca="false">IF($I4634="","","R"&amp;$I4634)</f>
        <v/>
      </c>
    </row>
    <row r="4635" customFormat="false" ht="15" hidden="false" customHeight="true" outlineLevel="0" collapsed="false">
      <c r="H4635" s="14" t="b">
        <f aca="false">IF(중복검사!$A4633="",FALSE(),중복검사!$J4633="유지")</f>
        <v>0</v>
      </c>
      <c r="I4635" s="5" t="str">
        <f aca="false">IF($H4635=FALSE(),"",COUNTIF($H$6:$H4635,TRUE()))</f>
        <v/>
      </c>
      <c r="J4635" s="5" t="str">
        <f aca="false">IF($I4635="","","R"&amp;$I4635)</f>
        <v/>
      </c>
    </row>
    <row r="4636" customFormat="false" ht="15" hidden="false" customHeight="true" outlineLevel="0" collapsed="false">
      <c r="H4636" s="14" t="b">
        <f aca="false">IF(중복검사!$A4634="",FALSE(),중복검사!$J4634="유지")</f>
        <v>0</v>
      </c>
      <c r="I4636" s="5" t="str">
        <f aca="false">IF($H4636=FALSE(),"",COUNTIF($H$6:$H4636,TRUE()))</f>
        <v/>
      </c>
      <c r="J4636" s="5" t="str">
        <f aca="false">IF($I4636="","","R"&amp;$I4636)</f>
        <v/>
      </c>
    </row>
    <row r="4637" customFormat="false" ht="15" hidden="false" customHeight="true" outlineLevel="0" collapsed="false">
      <c r="H4637" s="14" t="b">
        <f aca="false">IF(중복검사!$A4635="",FALSE(),중복검사!$J4635="유지")</f>
        <v>0</v>
      </c>
      <c r="I4637" s="5" t="str">
        <f aca="false">IF($H4637=FALSE(),"",COUNTIF($H$6:$H4637,TRUE()))</f>
        <v/>
      </c>
      <c r="J4637" s="5" t="str">
        <f aca="false">IF($I4637="","","R"&amp;$I4637)</f>
        <v/>
      </c>
    </row>
    <row r="4638" customFormat="false" ht="15" hidden="false" customHeight="true" outlineLevel="0" collapsed="false">
      <c r="H4638" s="14" t="b">
        <f aca="false">IF(중복검사!$A4636="",FALSE(),중복검사!$J4636="유지")</f>
        <v>0</v>
      </c>
      <c r="I4638" s="5" t="str">
        <f aca="false">IF($H4638=FALSE(),"",COUNTIF($H$6:$H4638,TRUE()))</f>
        <v/>
      </c>
      <c r="J4638" s="5" t="str">
        <f aca="false">IF($I4638="","","R"&amp;$I4638)</f>
        <v/>
      </c>
    </row>
    <row r="4639" customFormat="false" ht="15" hidden="false" customHeight="true" outlineLevel="0" collapsed="false">
      <c r="H4639" s="14" t="b">
        <f aca="false">IF(중복검사!$A4637="",FALSE(),중복검사!$J4637="유지")</f>
        <v>0</v>
      </c>
      <c r="I4639" s="5" t="str">
        <f aca="false">IF($H4639=FALSE(),"",COUNTIF($H$6:$H4639,TRUE()))</f>
        <v/>
      </c>
      <c r="J4639" s="5" t="str">
        <f aca="false">IF($I4639="","","R"&amp;$I4639)</f>
        <v/>
      </c>
    </row>
    <row r="4640" customFormat="false" ht="15" hidden="false" customHeight="true" outlineLevel="0" collapsed="false">
      <c r="H4640" s="14" t="b">
        <f aca="false">IF(중복검사!$A4638="",FALSE(),중복검사!$J4638="유지")</f>
        <v>0</v>
      </c>
      <c r="I4640" s="5" t="str">
        <f aca="false">IF($H4640=FALSE(),"",COUNTIF($H$6:$H4640,TRUE()))</f>
        <v/>
      </c>
      <c r="J4640" s="5" t="str">
        <f aca="false">IF($I4640="","","R"&amp;$I4640)</f>
        <v/>
      </c>
    </row>
    <row r="4641" customFormat="false" ht="15" hidden="false" customHeight="true" outlineLevel="0" collapsed="false">
      <c r="H4641" s="14" t="b">
        <f aca="false">IF(중복검사!$A4639="",FALSE(),중복검사!$J4639="유지")</f>
        <v>0</v>
      </c>
      <c r="I4641" s="5" t="str">
        <f aca="false">IF($H4641=FALSE(),"",COUNTIF($H$6:$H4641,TRUE()))</f>
        <v/>
      </c>
      <c r="J4641" s="5" t="str">
        <f aca="false">IF($I4641="","","R"&amp;$I4641)</f>
        <v/>
      </c>
    </row>
    <row r="4642" customFormat="false" ht="15" hidden="false" customHeight="true" outlineLevel="0" collapsed="false">
      <c r="H4642" s="14" t="b">
        <f aca="false">IF(중복검사!$A4640="",FALSE(),중복검사!$J4640="유지")</f>
        <v>0</v>
      </c>
      <c r="I4642" s="5" t="str">
        <f aca="false">IF($H4642=FALSE(),"",COUNTIF($H$6:$H4642,TRUE()))</f>
        <v/>
      </c>
      <c r="J4642" s="5" t="str">
        <f aca="false">IF($I4642="","","R"&amp;$I4642)</f>
        <v/>
      </c>
    </row>
    <row r="4643" customFormat="false" ht="15" hidden="false" customHeight="true" outlineLevel="0" collapsed="false">
      <c r="H4643" s="14" t="b">
        <f aca="false">IF(중복검사!$A4641="",FALSE(),중복검사!$J4641="유지")</f>
        <v>0</v>
      </c>
      <c r="I4643" s="5" t="str">
        <f aca="false">IF($H4643=FALSE(),"",COUNTIF($H$6:$H4643,TRUE()))</f>
        <v/>
      </c>
      <c r="J4643" s="5" t="str">
        <f aca="false">IF($I4643="","","R"&amp;$I4643)</f>
        <v/>
      </c>
    </row>
    <row r="4644" customFormat="false" ht="15" hidden="false" customHeight="true" outlineLevel="0" collapsed="false">
      <c r="H4644" s="14" t="b">
        <f aca="false">IF(중복검사!$A4642="",FALSE(),중복검사!$J4642="유지")</f>
        <v>0</v>
      </c>
      <c r="I4644" s="5" t="str">
        <f aca="false">IF($H4644=FALSE(),"",COUNTIF($H$6:$H4644,TRUE()))</f>
        <v/>
      </c>
      <c r="J4644" s="5" t="str">
        <f aca="false">IF($I4644="","","R"&amp;$I4644)</f>
        <v/>
      </c>
    </row>
    <row r="4645" customFormat="false" ht="15" hidden="false" customHeight="true" outlineLevel="0" collapsed="false">
      <c r="H4645" s="14" t="b">
        <f aca="false">IF(중복검사!$A4643="",FALSE(),중복검사!$J4643="유지")</f>
        <v>0</v>
      </c>
      <c r="I4645" s="5" t="str">
        <f aca="false">IF($H4645=FALSE(),"",COUNTIF($H$6:$H4645,TRUE()))</f>
        <v/>
      </c>
      <c r="J4645" s="5" t="str">
        <f aca="false">IF($I4645="","","R"&amp;$I4645)</f>
        <v/>
      </c>
    </row>
    <row r="4646" customFormat="false" ht="15" hidden="false" customHeight="true" outlineLevel="0" collapsed="false">
      <c r="H4646" s="14" t="b">
        <f aca="false">IF(중복검사!$A4644="",FALSE(),중복검사!$J4644="유지")</f>
        <v>0</v>
      </c>
      <c r="I4646" s="5" t="str">
        <f aca="false">IF($H4646=FALSE(),"",COUNTIF($H$6:$H4646,TRUE()))</f>
        <v/>
      </c>
      <c r="J4646" s="5" t="str">
        <f aca="false">IF($I4646="","","R"&amp;$I4646)</f>
        <v/>
      </c>
    </row>
    <row r="4647" customFormat="false" ht="15" hidden="false" customHeight="true" outlineLevel="0" collapsed="false">
      <c r="H4647" s="14" t="b">
        <f aca="false">IF(중복검사!$A4645="",FALSE(),중복검사!$J4645="유지")</f>
        <v>0</v>
      </c>
      <c r="I4647" s="5" t="str">
        <f aca="false">IF($H4647=FALSE(),"",COUNTIF($H$6:$H4647,TRUE()))</f>
        <v/>
      </c>
      <c r="J4647" s="5" t="str">
        <f aca="false">IF($I4647="","","R"&amp;$I4647)</f>
        <v/>
      </c>
    </row>
    <row r="4648" customFormat="false" ht="15" hidden="false" customHeight="true" outlineLevel="0" collapsed="false">
      <c r="H4648" s="14" t="b">
        <f aca="false">IF(중복검사!$A4646="",FALSE(),중복검사!$J4646="유지")</f>
        <v>0</v>
      </c>
      <c r="I4648" s="5" t="str">
        <f aca="false">IF($H4648=FALSE(),"",COUNTIF($H$6:$H4648,TRUE()))</f>
        <v/>
      </c>
      <c r="J4648" s="5" t="str">
        <f aca="false">IF($I4648="","","R"&amp;$I4648)</f>
        <v/>
      </c>
    </row>
    <row r="4649" customFormat="false" ht="15" hidden="false" customHeight="true" outlineLevel="0" collapsed="false">
      <c r="H4649" s="14" t="b">
        <f aca="false">IF(중복검사!$A4647="",FALSE(),중복검사!$J4647="유지")</f>
        <v>0</v>
      </c>
      <c r="I4649" s="5" t="str">
        <f aca="false">IF($H4649=FALSE(),"",COUNTIF($H$6:$H4649,TRUE()))</f>
        <v/>
      </c>
      <c r="J4649" s="5" t="str">
        <f aca="false">IF($I4649="","","R"&amp;$I4649)</f>
        <v/>
      </c>
    </row>
    <row r="4650" customFormat="false" ht="15" hidden="false" customHeight="true" outlineLevel="0" collapsed="false">
      <c r="H4650" s="14" t="b">
        <f aca="false">IF(중복검사!$A4648="",FALSE(),중복검사!$J4648="유지")</f>
        <v>0</v>
      </c>
      <c r="I4650" s="5" t="str">
        <f aca="false">IF($H4650=FALSE(),"",COUNTIF($H$6:$H4650,TRUE()))</f>
        <v/>
      </c>
      <c r="J4650" s="5" t="str">
        <f aca="false">IF($I4650="","","R"&amp;$I4650)</f>
        <v/>
      </c>
    </row>
    <row r="4651" customFormat="false" ht="15" hidden="false" customHeight="true" outlineLevel="0" collapsed="false">
      <c r="H4651" s="14" t="b">
        <f aca="false">IF(중복검사!$A4649="",FALSE(),중복검사!$J4649="유지")</f>
        <v>0</v>
      </c>
      <c r="I4651" s="5" t="str">
        <f aca="false">IF($H4651=FALSE(),"",COUNTIF($H$6:$H4651,TRUE()))</f>
        <v/>
      </c>
      <c r="J4651" s="5" t="str">
        <f aca="false">IF($I4651="","","R"&amp;$I4651)</f>
        <v/>
      </c>
    </row>
    <row r="4652" customFormat="false" ht="15" hidden="false" customHeight="true" outlineLevel="0" collapsed="false">
      <c r="H4652" s="14" t="b">
        <f aca="false">IF(중복검사!$A4650="",FALSE(),중복검사!$J4650="유지")</f>
        <v>0</v>
      </c>
      <c r="I4652" s="5" t="str">
        <f aca="false">IF($H4652=FALSE(),"",COUNTIF($H$6:$H4652,TRUE()))</f>
        <v/>
      </c>
      <c r="J4652" s="5" t="str">
        <f aca="false">IF($I4652="","","R"&amp;$I4652)</f>
        <v/>
      </c>
    </row>
    <row r="4653" customFormat="false" ht="15" hidden="false" customHeight="true" outlineLevel="0" collapsed="false">
      <c r="H4653" s="14" t="b">
        <f aca="false">IF(중복검사!$A4651="",FALSE(),중복검사!$J4651="유지")</f>
        <v>0</v>
      </c>
      <c r="I4653" s="5" t="str">
        <f aca="false">IF($H4653=FALSE(),"",COUNTIF($H$6:$H4653,TRUE()))</f>
        <v/>
      </c>
      <c r="J4653" s="5" t="str">
        <f aca="false">IF($I4653="","","R"&amp;$I4653)</f>
        <v/>
      </c>
    </row>
    <row r="4654" customFormat="false" ht="15" hidden="false" customHeight="true" outlineLevel="0" collapsed="false">
      <c r="H4654" s="14" t="b">
        <f aca="false">IF(중복검사!$A4652="",FALSE(),중복검사!$J4652="유지")</f>
        <v>0</v>
      </c>
      <c r="I4654" s="5" t="str">
        <f aca="false">IF($H4654=FALSE(),"",COUNTIF($H$6:$H4654,TRUE()))</f>
        <v/>
      </c>
      <c r="J4654" s="5" t="str">
        <f aca="false">IF($I4654="","","R"&amp;$I4654)</f>
        <v/>
      </c>
    </row>
    <row r="4655" customFormat="false" ht="15" hidden="false" customHeight="true" outlineLevel="0" collapsed="false">
      <c r="H4655" s="14" t="b">
        <f aca="false">IF(중복검사!$A4653="",FALSE(),중복검사!$J4653="유지")</f>
        <v>0</v>
      </c>
      <c r="I4655" s="5" t="str">
        <f aca="false">IF($H4655=FALSE(),"",COUNTIF($H$6:$H4655,TRUE()))</f>
        <v/>
      </c>
      <c r="J4655" s="5" t="str">
        <f aca="false">IF($I4655="","","R"&amp;$I4655)</f>
        <v/>
      </c>
    </row>
    <row r="4656" customFormat="false" ht="15" hidden="false" customHeight="true" outlineLevel="0" collapsed="false">
      <c r="H4656" s="14" t="b">
        <f aca="false">IF(중복검사!$A4654="",FALSE(),중복검사!$J4654="유지")</f>
        <v>0</v>
      </c>
      <c r="I4656" s="5" t="str">
        <f aca="false">IF($H4656=FALSE(),"",COUNTIF($H$6:$H4656,TRUE()))</f>
        <v/>
      </c>
      <c r="J4656" s="5" t="str">
        <f aca="false">IF($I4656="","","R"&amp;$I4656)</f>
        <v/>
      </c>
    </row>
    <row r="4657" customFormat="false" ht="15" hidden="false" customHeight="true" outlineLevel="0" collapsed="false">
      <c r="H4657" s="14" t="b">
        <f aca="false">IF(중복검사!$A4655="",FALSE(),중복검사!$J4655="유지")</f>
        <v>0</v>
      </c>
      <c r="I4657" s="5" t="str">
        <f aca="false">IF($H4657=FALSE(),"",COUNTIF($H$6:$H4657,TRUE()))</f>
        <v/>
      </c>
      <c r="J4657" s="5" t="str">
        <f aca="false">IF($I4657="","","R"&amp;$I4657)</f>
        <v/>
      </c>
    </row>
    <row r="4658" customFormat="false" ht="15" hidden="false" customHeight="true" outlineLevel="0" collapsed="false">
      <c r="H4658" s="14" t="b">
        <f aca="false">IF(중복검사!$A4656="",FALSE(),중복검사!$J4656="유지")</f>
        <v>0</v>
      </c>
      <c r="I4658" s="5" t="str">
        <f aca="false">IF($H4658=FALSE(),"",COUNTIF($H$6:$H4658,TRUE()))</f>
        <v/>
      </c>
      <c r="J4658" s="5" t="str">
        <f aca="false">IF($I4658="","","R"&amp;$I4658)</f>
        <v/>
      </c>
    </row>
    <row r="4659" customFormat="false" ht="15" hidden="false" customHeight="true" outlineLevel="0" collapsed="false">
      <c r="H4659" s="14" t="b">
        <f aca="false">IF(중복검사!$A4657="",FALSE(),중복검사!$J4657="유지")</f>
        <v>0</v>
      </c>
      <c r="I4659" s="5" t="str">
        <f aca="false">IF($H4659=FALSE(),"",COUNTIF($H$6:$H4659,TRUE()))</f>
        <v/>
      </c>
      <c r="J4659" s="5" t="str">
        <f aca="false">IF($I4659="","","R"&amp;$I4659)</f>
        <v/>
      </c>
    </row>
    <row r="4660" customFormat="false" ht="15" hidden="false" customHeight="true" outlineLevel="0" collapsed="false">
      <c r="H4660" s="14" t="b">
        <f aca="false">IF(중복검사!$A4658="",FALSE(),중복검사!$J4658="유지")</f>
        <v>0</v>
      </c>
      <c r="I4660" s="5" t="str">
        <f aca="false">IF($H4660=FALSE(),"",COUNTIF($H$6:$H4660,TRUE()))</f>
        <v/>
      </c>
      <c r="J4660" s="5" t="str">
        <f aca="false">IF($I4660="","","R"&amp;$I4660)</f>
        <v/>
      </c>
    </row>
    <row r="4661" customFormat="false" ht="15" hidden="false" customHeight="true" outlineLevel="0" collapsed="false">
      <c r="H4661" s="14" t="b">
        <f aca="false">IF(중복검사!$A4659="",FALSE(),중복검사!$J4659="유지")</f>
        <v>0</v>
      </c>
      <c r="I4661" s="5" t="str">
        <f aca="false">IF($H4661=FALSE(),"",COUNTIF($H$6:$H4661,TRUE()))</f>
        <v/>
      </c>
      <c r="J4661" s="5" t="str">
        <f aca="false">IF($I4661="","","R"&amp;$I4661)</f>
        <v/>
      </c>
    </row>
    <row r="4662" customFormat="false" ht="15" hidden="false" customHeight="true" outlineLevel="0" collapsed="false">
      <c r="H4662" s="14" t="b">
        <f aca="false">IF(중복검사!$A4660="",FALSE(),중복검사!$J4660="유지")</f>
        <v>0</v>
      </c>
      <c r="I4662" s="5" t="str">
        <f aca="false">IF($H4662=FALSE(),"",COUNTIF($H$6:$H4662,TRUE()))</f>
        <v/>
      </c>
      <c r="J4662" s="5" t="str">
        <f aca="false">IF($I4662="","","R"&amp;$I4662)</f>
        <v/>
      </c>
    </row>
    <row r="4663" customFormat="false" ht="15" hidden="false" customHeight="true" outlineLevel="0" collapsed="false">
      <c r="H4663" s="14" t="b">
        <f aca="false">IF(중복검사!$A4661="",FALSE(),중복검사!$J4661="유지")</f>
        <v>0</v>
      </c>
      <c r="I4663" s="5" t="str">
        <f aca="false">IF($H4663=FALSE(),"",COUNTIF($H$6:$H4663,TRUE()))</f>
        <v/>
      </c>
      <c r="J4663" s="5" t="str">
        <f aca="false">IF($I4663="","","R"&amp;$I4663)</f>
        <v/>
      </c>
    </row>
    <row r="4664" customFormat="false" ht="15" hidden="false" customHeight="true" outlineLevel="0" collapsed="false">
      <c r="H4664" s="14" t="b">
        <f aca="false">IF(중복검사!$A4662="",FALSE(),중복검사!$J4662="유지")</f>
        <v>0</v>
      </c>
      <c r="I4664" s="5" t="str">
        <f aca="false">IF($H4664=FALSE(),"",COUNTIF($H$6:$H4664,TRUE()))</f>
        <v/>
      </c>
      <c r="J4664" s="5" t="str">
        <f aca="false">IF($I4664="","","R"&amp;$I4664)</f>
        <v/>
      </c>
    </row>
    <row r="4665" customFormat="false" ht="15" hidden="false" customHeight="true" outlineLevel="0" collapsed="false">
      <c r="H4665" s="14" t="b">
        <f aca="false">IF(중복검사!$A4663="",FALSE(),중복검사!$J4663="유지")</f>
        <v>0</v>
      </c>
      <c r="I4665" s="5" t="str">
        <f aca="false">IF($H4665=FALSE(),"",COUNTIF($H$6:$H4665,TRUE()))</f>
        <v/>
      </c>
      <c r="J4665" s="5" t="str">
        <f aca="false">IF($I4665="","","R"&amp;$I4665)</f>
        <v/>
      </c>
    </row>
    <row r="4666" customFormat="false" ht="15" hidden="false" customHeight="true" outlineLevel="0" collapsed="false">
      <c r="H4666" s="14" t="b">
        <f aca="false">IF(중복검사!$A4664="",FALSE(),중복검사!$J4664="유지")</f>
        <v>0</v>
      </c>
      <c r="I4666" s="5" t="str">
        <f aca="false">IF($H4666=FALSE(),"",COUNTIF($H$6:$H4666,TRUE()))</f>
        <v/>
      </c>
      <c r="J4666" s="5" t="str">
        <f aca="false">IF($I4666="","","R"&amp;$I4666)</f>
        <v/>
      </c>
    </row>
    <row r="4667" customFormat="false" ht="15" hidden="false" customHeight="true" outlineLevel="0" collapsed="false">
      <c r="H4667" s="14" t="b">
        <f aca="false">IF(중복검사!$A4665="",FALSE(),중복검사!$J4665="유지")</f>
        <v>0</v>
      </c>
      <c r="I4667" s="5" t="str">
        <f aca="false">IF($H4667=FALSE(),"",COUNTIF($H$6:$H4667,TRUE()))</f>
        <v/>
      </c>
      <c r="J4667" s="5" t="str">
        <f aca="false">IF($I4667="","","R"&amp;$I4667)</f>
        <v/>
      </c>
    </row>
    <row r="4668" customFormat="false" ht="15" hidden="false" customHeight="true" outlineLevel="0" collapsed="false">
      <c r="H4668" s="14" t="b">
        <f aca="false">IF(중복검사!$A4666="",FALSE(),중복검사!$J4666="유지")</f>
        <v>0</v>
      </c>
      <c r="I4668" s="5" t="str">
        <f aca="false">IF($H4668=FALSE(),"",COUNTIF($H$6:$H4668,TRUE()))</f>
        <v/>
      </c>
      <c r="J4668" s="5" t="str">
        <f aca="false">IF($I4668="","","R"&amp;$I4668)</f>
        <v/>
      </c>
    </row>
    <row r="4669" customFormat="false" ht="15" hidden="false" customHeight="true" outlineLevel="0" collapsed="false">
      <c r="H4669" s="14" t="b">
        <f aca="false">IF(중복검사!$A4667="",FALSE(),중복검사!$J4667="유지")</f>
        <v>0</v>
      </c>
      <c r="I4669" s="5" t="str">
        <f aca="false">IF($H4669=FALSE(),"",COUNTIF($H$6:$H4669,TRUE()))</f>
        <v/>
      </c>
      <c r="J4669" s="5" t="str">
        <f aca="false">IF($I4669="","","R"&amp;$I4669)</f>
        <v/>
      </c>
    </row>
    <row r="4670" customFormat="false" ht="15" hidden="false" customHeight="true" outlineLevel="0" collapsed="false">
      <c r="H4670" s="14" t="b">
        <f aca="false">IF(중복검사!$A4668="",FALSE(),중복검사!$J4668="유지")</f>
        <v>0</v>
      </c>
      <c r="I4670" s="5" t="str">
        <f aca="false">IF($H4670=FALSE(),"",COUNTIF($H$6:$H4670,TRUE()))</f>
        <v/>
      </c>
      <c r="J4670" s="5" t="str">
        <f aca="false">IF($I4670="","","R"&amp;$I4670)</f>
        <v/>
      </c>
    </row>
    <row r="4671" customFormat="false" ht="15" hidden="false" customHeight="true" outlineLevel="0" collapsed="false">
      <c r="H4671" s="14" t="b">
        <f aca="false">IF(중복검사!$A4669="",FALSE(),중복검사!$J4669="유지")</f>
        <v>0</v>
      </c>
      <c r="I4671" s="5" t="str">
        <f aca="false">IF($H4671=FALSE(),"",COUNTIF($H$6:$H4671,TRUE()))</f>
        <v/>
      </c>
      <c r="J4671" s="5" t="str">
        <f aca="false">IF($I4671="","","R"&amp;$I4671)</f>
        <v/>
      </c>
    </row>
    <row r="4672" customFormat="false" ht="15" hidden="false" customHeight="true" outlineLevel="0" collapsed="false">
      <c r="H4672" s="14" t="b">
        <f aca="false">IF(중복검사!$A4670="",FALSE(),중복검사!$J4670="유지")</f>
        <v>0</v>
      </c>
      <c r="I4672" s="5" t="str">
        <f aca="false">IF($H4672=FALSE(),"",COUNTIF($H$6:$H4672,TRUE()))</f>
        <v/>
      </c>
      <c r="J4672" s="5" t="str">
        <f aca="false">IF($I4672="","","R"&amp;$I4672)</f>
        <v/>
      </c>
    </row>
    <row r="4673" customFormat="false" ht="15" hidden="false" customHeight="true" outlineLevel="0" collapsed="false">
      <c r="H4673" s="14" t="b">
        <f aca="false">IF(중복검사!$A4671="",FALSE(),중복검사!$J4671="유지")</f>
        <v>0</v>
      </c>
      <c r="I4673" s="5" t="str">
        <f aca="false">IF($H4673=FALSE(),"",COUNTIF($H$6:$H4673,TRUE()))</f>
        <v/>
      </c>
      <c r="J4673" s="5" t="str">
        <f aca="false">IF($I4673="","","R"&amp;$I4673)</f>
        <v/>
      </c>
    </row>
    <row r="4674" customFormat="false" ht="15" hidden="false" customHeight="true" outlineLevel="0" collapsed="false">
      <c r="H4674" s="14" t="b">
        <f aca="false">IF(중복검사!$A4672="",FALSE(),중복검사!$J4672="유지")</f>
        <v>0</v>
      </c>
      <c r="I4674" s="5" t="str">
        <f aca="false">IF($H4674=FALSE(),"",COUNTIF($H$6:$H4674,TRUE()))</f>
        <v/>
      </c>
      <c r="J4674" s="5" t="str">
        <f aca="false">IF($I4674="","","R"&amp;$I4674)</f>
        <v/>
      </c>
    </row>
    <row r="4675" customFormat="false" ht="15" hidden="false" customHeight="true" outlineLevel="0" collapsed="false">
      <c r="H4675" s="14" t="b">
        <f aca="false">IF(중복검사!$A4673="",FALSE(),중복검사!$J4673="유지")</f>
        <v>0</v>
      </c>
      <c r="I4675" s="5" t="str">
        <f aca="false">IF($H4675=FALSE(),"",COUNTIF($H$6:$H4675,TRUE()))</f>
        <v/>
      </c>
      <c r="J4675" s="5" t="str">
        <f aca="false">IF($I4675="","","R"&amp;$I4675)</f>
        <v/>
      </c>
    </row>
    <row r="4676" customFormat="false" ht="15" hidden="false" customHeight="true" outlineLevel="0" collapsed="false">
      <c r="H4676" s="14" t="b">
        <f aca="false">IF(중복검사!$A4674="",FALSE(),중복검사!$J4674="유지")</f>
        <v>0</v>
      </c>
      <c r="I4676" s="5" t="str">
        <f aca="false">IF($H4676=FALSE(),"",COUNTIF($H$6:$H4676,TRUE()))</f>
        <v/>
      </c>
      <c r="J4676" s="5" t="str">
        <f aca="false">IF($I4676="","","R"&amp;$I4676)</f>
        <v/>
      </c>
    </row>
    <row r="4677" customFormat="false" ht="15" hidden="false" customHeight="true" outlineLevel="0" collapsed="false">
      <c r="H4677" s="14" t="b">
        <f aca="false">IF(중복검사!$A4675="",FALSE(),중복검사!$J4675="유지")</f>
        <v>0</v>
      </c>
      <c r="I4677" s="5" t="str">
        <f aca="false">IF($H4677=FALSE(),"",COUNTIF($H$6:$H4677,TRUE()))</f>
        <v/>
      </c>
      <c r="J4677" s="5" t="str">
        <f aca="false">IF($I4677="","","R"&amp;$I4677)</f>
        <v/>
      </c>
    </row>
    <row r="4678" customFormat="false" ht="15" hidden="false" customHeight="true" outlineLevel="0" collapsed="false">
      <c r="H4678" s="14" t="b">
        <f aca="false">IF(중복검사!$A4676="",FALSE(),중복검사!$J4676="유지")</f>
        <v>0</v>
      </c>
      <c r="I4678" s="5" t="str">
        <f aca="false">IF($H4678=FALSE(),"",COUNTIF($H$6:$H4678,TRUE()))</f>
        <v/>
      </c>
      <c r="J4678" s="5" t="str">
        <f aca="false">IF($I4678="","","R"&amp;$I4678)</f>
        <v/>
      </c>
    </row>
    <row r="4679" customFormat="false" ht="15" hidden="false" customHeight="true" outlineLevel="0" collapsed="false">
      <c r="H4679" s="14" t="b">
        <f aca="false">IF(중복검사!$A4677="",FALSE(),중복검사!$J4677="유지")</f>
        <v>0</v>
      </c>
      <c r="I4679" s="5" t="str">
        <f aca="false">IF($H4679=FALSE(),"",COUNTIF($H$6:$H4679,TRUE()))</f>
        <v/>
      </c>
      <c r="J4679" s="5" t="str">
        <f aca="false">IF($I4679="","","R"&amp;$I4679)</f>
        <v/>
      </c>
    </row>
    <row r="4680" customFormat="false" ht="15" hidden="false" customHeight="true" outlineLevel="0" collapsed="false">
      <c r="H4680" s="14" t="b">
        <f aca="false">IF(중복검사!$A4678="",FALSE(),중복검사!$J4678="유지")</f>
        <v>0</v>
      </c>
      <c r="I4680" s="5" t="str">
        <f aca="false">IF($H4680=FALSE(),"",COUNTIF($H$6:$H4680,TRUE()))</f>
        <v/>
      </c>
      <c r="J4680" s="5" t="str">
        <f aca="false">IF($I4680="","","R"&amp;$I4680)</f>
        <v/>
      </c>
    </row>
    <row r="4681" customFormat="false" ht="15" hidden="false" customHeight="true" outlineLevel="0" collapsed="false">
      <c r="H4681" s="14" t="b">
        <f aca="false">IF(중복검사!$A4679="",FALSE(),중복검사!$J4679="유지")</f>
        <v>0</v>
      </c>
      <c r="I4681" s="5" t="str">
        <f aca="false">IF($H4681=FALSE(),"",COUNTIF($H$6:$H4681,TRUE()))</f>
        <v/>
      </c>
      <c r="J4681" s="5" t="str">
        <f aca="false">IF($I4681="","","R"&amp;$I4681)</f>
        <v/>
      </c>
    </row>
    <row r="4682" customFormat="false" ht="15" hidden="false" customHeight="true" outlineLevel="0" collapsed="false">
      <c r="H4682" s="14" t="b">
        <f aca="false">IF(중복검사!$A4680="",FALSE(),중복검사!$J4680="유지")</f>
        <v>0</v>
      </c>
      <c r="I4682" s="5" t="str">
        <f aca="false">IF($H4682=FALSE(),"",COUNTIF($H$6:$H4682,TRUE()))</f>
        <v/>
      </c>
      <c r="J4682" s="5" t="str">
        <f aca="false">IF($I4682="","","R"&amp;$I4682)</f>
        <v/>
      </c>
    </row>
    <row r="4683" customFormat="false" ht="15" hidden="false" customHeight="true" outlineLevel="0" collapsed="false">
      <c r="H4683" s="14" t="b">
        <f aca="false">IF(중복검사!$A4681="",FALSE(),중복검사!$J4681="유지")</f>
        <v>0</v>
      </c>
      <c r="I4683" s="5" t="str">
        <f aca="false">IF($H4683=FALSE(),"",COUNTIF($H$6:$H4683,TRUE()))</f>
        <v/>
      </c>
      <c r="J4683" s="5" t="str">
        <f aca="false">IF($I4683="","","R"&amp;$I4683)</f>
        <v/>
      </c>
    </row>
    <row r="4684" customFormat="false" ht="15" hidden="false" customHeight="true" outlineLevel="0" collapsed="false">
      <c r="H4684" s="14" t="b">
        <f aca="false">IF(중복검사!$A4682="",FALSE(),중복검사!$J4682="유지")</f>
        <v>0</v>
      </c>
      <c r="I4684" s="5" t="str">
        <f aca="false">IF($H4684=FALSE(),"",COUNTIF($H$6:$H4684,TRUE()))</f>
        <v/>
      </c>
      <c r="J4684" s="5" t="str">
        <f aca="false">IF($I4684="","","R"&amp;$I4684)</f>
        <v/>
      </c>
    </row>
    <row r="4685" customFormat="false" ht="15" hidden="false" customHeight="true" outlineLevel="0" collapsed="false">
      <c r="H4685" s="14" t="b">
        <f aca="false">IF(중복검사!$A4683="",FALSE(),중복검사!$J4683="유지")</f>
        <v>0</v>
      </c>
      <c r="I4685" s="5" t="str">
        <f aca="false">IF($H4685=FALSE(),"",COUNTIF($H$6:$H4685,TRUE()))</f>
        <v/>
      </c>
      <c r="J4685" s="5" t="str">
        <f aca="false">IF($I4685="","","R"&amp;$I4685)</f>
        <v/>
      </c>
    </row>
    <row r="4686" customFormat="false" ht="15" hidden="false" customHeight="true" outlineLevel="0" collapsed="false">
      <c r="H4686" s="14" t="b">
        <f aca="false">IF(중복검사!$A4684="",FALSE(),중복검사!$J4684="유지")</f>
        <v>0</v>
      </c>
      <c r="I4686" s="5" t="str">
        <f aca="false">IF($H4686=FALSE(),"",COUNTIF($H$6:$H4686,TRUE()))</f>
        <v/>
      </c>
      <c r="J4686" s="5" t="str">
        <f aca="false">IF($I4686="","","R"&amp;$I4686)</f>
        <v/>
      </c>
    </row>
    <row r="4687" customFormat="false" ht="15" hidden="false" customHeight="true" outlineLevel="0" collapsed="false">
      <c r="H4687" s="14" t="b">
        <f aca="false">IF(중복검사!$A4685="",FALSE(),중복검사!$J4685="유지")</f>
        <v>0</v>
      </c>
      <c r="I4687" s="5" t="str">
        <f aca="false">IF($H4687=FALSE(),"",COUNTIF($H$6:$H4687,TRUE()))</f>
        <v/>
      </c>
      <c r="J4687" s="5" t="str">
        <f aca="false">IF($I4687="","","R"&amp;$I4687)</f>
        <v/>
      </c>
    </row>
    <row r="4688" customFormat="false" ht="15" hidden="false" customHeight="true" outlineLevel="0" collapsed="false">
      <c r="H4688" s="14" t="b">
        <f aca="false">IF(중복검사!$A4686="",FALSE(),중복검사!$J4686="유지")</f>
        <v>0</v>
      </c>
      <c r="I4688" s="5" t="str">
        <f aca="false">IF($H4688=FALSE(),"",COUNTIF($H$6:$H4688,TRUE()))</f>
        <v/>
      </c>
      <c r="J4688" s="5" t="str">
        <f aca="false">IF($I4688="","","R"&amp;$I4688)</f>
        <v/>
      </c>
    </row>
    <row r="4689" customFormat="false" ht="15" hidden="false" customHeight="true" outlineLevel="0" collapsed="false">
      <c r="H4689" s="14" t="b">
        <f aca="false">IF(중복검사!$A4687="",FALSE(),중복검사!$J4687="유지")</f>
        <v>0</v>
      </c>
      <c r="I4689" s="5" t="str">
        <f aca="false">IF($H4689=FALSE(),"",COUNTIF($H$6:$H4689,TRUE()))</f>
        <v/>
      </c>
      <c r="J4689" s="5" t="str">
        <f aca="false">IF($I4689="","","R"&amp;$I4689)</f>
        <v/>
      </c>
    </row>
    <row r="4690" customFormat="false" ht="15" hidden="false" customHeight="true" outlineLevel="0" collapsed="false">
      <c r="H4690" s="14" t="b">
        <f aca="false">IF(중복검사!$A4688="",FALSE(),중복검사!$J4688="유지")</f>
        <v>0</v>
      </c>
      <c r="I4690" s="5" t="str">
        <f aca="false">IF($H4690=FALSE(),"",COUNTIF($H$6:$H4690,TRUE()))</f>
        <v/>
      </c>
      <c r="J4690" s="5" t="str">
        <f aca="false">IF($I4690="","","R"&amp;$I4690)</f>
        <v/>
      </c>
    </row>
    <row r="4691" customFormat="false" ht="15" hidden="false" customHeight="true" outlineLevel="0" collapsed="false">
      <c r="H4691" s="14" t="b">
        <f aca="false">IF(중복검사!$A4689="",FALSE(),중복검사!$J4689="유지")</f>
        <v>0</v>
      </c>
      <c r="I4691" s="5" t="str">
        <f aca="false">IF($H4691=FALSE(),"",COUNTIF($H$6:$H4691,TRUE()))</f>
        <v/>
      </c>
      <c r="J4691" s="5" t="str">
        <f aca="false">IF($I4691="","","R"&amp;$I4691)</f>
        <v/>
      </c>
    </row>
    <row r="4692" customFormat="false" ht="15" hidden="false" customHeight="true" outlineLevel="0" collapsed="false">
      <c r="H4692" s="14" t="b">
        <f aca="false">IF(중복검사!$A4690="",FALSE(),중복검사!$J4690="유지")</f>
        <v>0</v>
      </c>
      <c r="I4692" s="5" t="str">
        <f aca="false">IF($H4692=FALSE(),"",COUNTIF($H$6:$H4692,TRUE()))</f>
        <v/>
      </c>
      <c r="J4692" s="5" t="str">
        <f aca="false">IF($I4692="","","R"&amp;$I4692)</f>
        <v/>
      </c>
    </row>
    <row r="4693" customFormat="false" ht="15" hidden="false" customHeight="true" outlineLevel="0" collapsed="false">
      <c r="H4693" s="14" t="b">
        <f aca="false">IF(중복검사!$A4691="",FALSE(),중복검사!$J4691="유지")</f>
        <v>0</v>
      </c>
      <c r="I4693" s="5" t="str">
        <f aca="false">IF($H4693=FALSE(),"",COUNTIF($H$6:$H4693,TRUE()))</f>
        <v/>
      </c>
      <c r="J4693" s="5" t="str">
        <f aca="false">IF($I4693="","","R"&amp;$I4693)</f>
        <v/>
      </c>
    </row>
    <row r="4694" customFormat="false" ht="15" hidden="false" customHeight="true" outlineLevel="0" collapsed="false">
      <c r="H4694" s="14" t="b">
        <f aca="false">IF(중복검사!$A4692="",FALSE(),중복검사!$J4692="유지")</f>
        <v>0</v>
      </c>
      <c r="I4694" s="5" t="str">
        <f aca="false">IF($H4694=FALSE(),"",COUNTIF($H$6:$H4694,TRUE()))</f>
        <v/>
      </c>
      <c r="J4694" s="5" t="str">
        <f aca="false">IF($I4694="","","R"&amp;$I4694)</f>
        <v/>
      </c>
    </row>
    <row r="4695" customFormat="false" ht="15" hidden="false" customHeight="true" outlineLevel="0" collapsed="false">
      <c r="H4695" s="14" t="b">
        <f aca="false">IF(중복검사!$A4693="",FALSE(),중복검사!$J4693="유지")</f>
        <v>0</v>
      </c>
      <c r="I4695" s="5" t="str">
        <f aca="false">IF($H4695=FALSE(),"",COUNTIF($H$6:$H4695,TRUE()))</f>
        <v/>
      </c>
      <c r="J4695" s="5" t="str">
        <f aca="false">IF($I4695="","","R"&amp;$I4695)</f>
        <v/>
      </c>
    </row>
    <row r="4696" customFormat="false" ht="15" hidden="false" customHeight="true" outlineLevel="0" collapsed="false">
      <c r="H4696" s="14" t="b">
        <f aca="false">IF(중복검사!$A4694="",FALSE(),중복검사!$J4694="유지")</f>
        <v>0</v>
      </c>
      <c r="I4696" s="5" t="str">
        <f aca="false">IF($H4696=FALSE(),"",COUNTIF($H$6:$H4696,TRUE()))</f>
        <v/>
      </c>
      <c r="J4696" s="5" t="str">
        <f aca="false">IF($I4696="","","R"&amp;$I4696)</f>
        <v/>
      </c>
    </row>
    <row r="4697" customFormat="false" ht="15" hidden="false" customHeight="true" outlineLevel="0" collapsed="false">
      <c r="H4697" s="14" t="b">
        <f aca="false">IF(중복검사!$A4695="",FALSE(),중복검사!$J4695="유지")</f>
        <v>0</v>
      </c>
      <c r="I4697" s="5" t="str">
        <f aca="false">IF($H4697=FALSE(),"",COUNTIF($H$6:$H4697,TRUE()))</f>
        <v/>
      </c>
      <c r="J4697" s="5" t="str">
        <f aca="false">IF($I4697="","","R"&amp;$I4697)</f>
        <v/>
      </c>
    </row>
    <row r="4698" customFormat="false" ht="15" hidden="false" customHeight="true" outlineLevel="0" collapsed="false">
      <c r="H4698" s="14" t="b">
        <f aca="false">IF(중복검사!$A4696="",FALSE(),중복검사!$J4696="유지")</f>
        <v>0</v>
      </c>
      <c r="I4698" s="5" t="str">
        <f aca="false">IF($H4698=FALSE(),"",COUNTIF($H$6:$H4698,TRUE()))</f>
        <v/>
      </c>
      <c r="J4698" s="5" t="str">
        <f aca="false">IF($I4698="","","R"&amp;$I4698)</f>
        <v/>
      </c>
    </row>
    <row r="4699" customFormat="false" ht="15" hidden="false" customHeight="true" outlineLevel="0" collapsed="false">
      <c r="H4699" s="14" t="b">
        <f aca="false">IF(중복검사!$A4697="",FALSE(),중복검사!$J4697="유지")</f>
        <v>0</v>
      </c>
      <c r="I4699" s="5" t="str">
        <f aca="false">IF($H4699=FALSE(),"",COUNTIF($H$6:$H4699,TRUE()))</f>
        <v/>
      </c>
      <c r="J4699" s="5" t="str">
        <f aca="false">IF($I4699="","","R"&amp;$I4699)</f>
        <v/>
      </c>
    </row>
    <row r="4700" customFormat="false" ht="15" hidden="false" customHeight="true" outlineLevel="0" collapsed="false">
      <c r="H4700" s="14" t="b">
        <f aca="false">IF(중복검사!$A4698="",FALSE(),중복검사!$J4698="유지")</f>
        <v>0</v>
      </c>
      <c r="I4700" s="5" t="str">
        <f aca="false">IF($H4700=FALSE(),"",COUNTIF($H$6:$H4700,TRUE()))</f>
        <v/>
      </c>
      <c r="J4700" s="5" t="str">
        <f aca="false">IF($I4700="","","R"&amp;$I4700)</f>
        <v/>
      </c>
    </row>
    <row r="4701" customFormat="false" ht="15" hidden="false" customHeight="true" outlineLevel="0" collapsed="false">
      <c r="H4701" s="14" t="b">
        <f aca="false">IF(중복검사!$A4699="",FALSE(),중복검사!$J4699="유지")</f>
        <v>0</v>
      </c>
      <c r="I4701" s="5" t="str">
        <f aca="false">IF($H4701=FALSE(),"",COUNTIF($H$6:$H4701,TRUE()))</f>
        <v/>
      </c>
      <c r="J4701" s="5" t="str">
        <f aca="false">IF($I4701="","","R"&amp;$I4701)</f>
        <v/>
      </c>
    </row>
    <row r="4702" customFormat="false" ht="15" hidden="false" customHeight="true" outlineLevel="0" collapsed="false">
      <c r="H4702" s="14" t="b">
        <f aca="false">IF(중복검사!$A4700="",FALSE(),중복검사!$J4700="유지")</f>
        <v>0</v>
      </c>
      <c r="I4702" s="5" t="str">
        <f aca="false">IF($H4702=FALSE(),"",COUNTIF($H$6:$H4702,TRUE()))</f>
        <v/>
      </c>
      <c r="J4702" s="5" t="str">
        <f aca="false">IF($I4702="","","R"&amp;$I4702)</f>
        <v/>
      </c>
    </row>
    <row r="4703" customFormat="false" ht="15" hidden="false" customHeight="true" outlineLevel="0" collapsed="false">
      <c r="H4703" s="14" t="b">
        <f aca="false">IF(중복검사!$A4701="",FALSE(),중복검사!$J4701="유지")</f>
        <v>0</v>
      </c>
      <c r="I4703" s="5" t="str">
        <f aca="false">IF($H4703=FALSE(),"",COUNTIF($H$6:$H4703,TRUE()))</f>
        <v/>
      </c>
      <c r="J4703" s="5" t="str">
        <f aca="false">IF($I4703="","","R"&amp;$I4703)</f>
        <v/>
      </c>
    </row>
    <row r="4704" customFormat="false" ht="15" hidden="false" customHeight="true" outlineLevel="0" collapsed="false">
      <c r="H4704" s="14" t="b">
        <f aca="false">IF(중복검사!$A4702="",FALSE(),중복검사!$J4702="유지")</f>
        <v>0</v>
      </c>
      <c r="I4704" s="5" t="str">
        <f aca="false">IF($H4704=FALSE(),"",COUNTIF($H$6:$H4704,TRUE()))</f>
        <v/>
      </c>
      <c r="J4704" s="5" t="str">
        <f aca="false">IF($I4704="","","R"&amp;$I4704)</f>
        <v/>
      </c>
    </row>
    <row r="4705" customFormat="false" ht="15" hidden="false" customHeight="true" outlineLevel="0" collapsed="false">
      <c r="H4705" s="14" t="b">
        <f aca="false">IF(중복검사!$A4703="",FALSE(),중복검사!$J4703="유지")</f>
        <v>0</v>
      </c>
      <c r="I4705" s="5" t="str">
        <f aca="false">IF($H4705=FALSE(),"",COUNTIF($H$6:$H4705,TRUE()))</f>
        <v/>
      </c>
      <c r="J4705" s="5" t="str">
        <f aca="false">IF($I4705="","","R"&amp;$I4705)</f>
        <v/>
      </c>
    </row>
    <row r="4706" customFormat="false" ht="15" hidden="false" customHeight="true" outlineLevel="0" collapsed="false">
      <c r="H4706" s="14" t="b">
        <f aca="false">IF(중복검사!$A4704="",FALSE(),중복검사!$J4704="유지")</f>
        <v>0</v>
      </c>
      <c r="I4706" s="5" t="str">
        <f aca="false">IF($H4706=FALSE(),"",COUNTIF($H$6:$H4706,TRUE()))</f>
        <v/>
      </c>
      <c r="J4706" s="5" t="str">
        <f aca="false">IF($I4706="","","R"&amp;$I4706)</f>
        <v/>
      </c>
    </row>
    <row r="4707" customFormat="false" ht="15" hidden="false" customHeight="true" outlineLevel="0" collapsed="false">
      <c r="H4707" s="14" t="b">
        <f aca="false">IF(중복검사!$A4705="",FALSE(),중복검사!$J4705="유지")</f>
        <v>0</v>
      </c>
      <c r="I4707" s="5" t="str">
        <f aca="false">IF($H4707=FALSE(),"",COUNTIF($H$6:$H4707,TRUE()))</f>
        <v/>
      </c>
      <c r="J4707" s="5" t="str">
        <f aca="false">IF($I4707="","","R"&amp;$I4707)</f>
        <v/>
      </c>
    </row>
    <row r="4708" customFormat="false" ht="15" hidden="false" customHeight="true" outlineLevel="0" collapsed="false">
      <c r="H4708" s="14" t="b">
        <f aca="false">IF(중복검사!$A4706="",FALSE(),중복검사!$J4706="유지")</f>
        <v>0</v>
      </c>
      <c r="I4708" s="5" t="str">
        <f aca="false">IF($H4708=FALSE(),"",COUNTIF($H$6:$H4708,TRUE()))</f>
        <v/>
      </c>
      <c r="J4708" s="5" t="str">
        <f aca="false">IF($I4708="","","R"&amp;$I4708)</f>
        <v/>
      </c>
    </row>
    <row r="4709" customFormat="false" ht="15" hidden="false" customHeight="true" outlineLevel="0" collapsed="false">
      <c r="H4709" s="14" t="b">
        <f aca="false">IF(중복검사!$A4707="",FALSE(),중복검사!$J4707="유지")</f>
        <v>0</v>
      </c>
      <c r="I4709" s="5" t="str">
        <f aca="false">IF($H4709=FALSE(),"",COUNTIF($H$6:$H4709,TRUE()))</f>
        <v/>
      </c>
      <c r="J4709" s="5" t="str">
        <f aca="false">IF($I4709="","","R"&amp;$I4709)</f>
        <v/>
      </c>
    </row>
    <row r="4710" customFormat="false" ht="15" hidden="false" customHeight="true" outlineLevel="0" collapsed="false">
      <c r="H4710" s="14" t="b">
        <f aca="false">IF(중복검사!$A4708="",FALSE(),중복검사!$J4708="유지")</f>
        <v>0</v>
      </c>
      <c r="I4710" s="5" t="str">
        <f aca="false">IF($H4710=FALSE(),"",COUNTIF($H$6:$H4710,TRUE()))</f>
        <v/>
      </c>
      <c r="J4710" s="5" t="str">
        <f aca="false">IF($I4710="","","R"&amp;$I4710)</f>
        <v/>
      </c>
    </row>
    <row r="4711" customFormat="false" ht="15" hidden="false" customHeight="true" outlineLevel="0" collapsed="false">
      <c r="H4711" s="14" t="b">
        <f aca="false">IF(중복검사!$A4709="",FALSE(),중복검사!$J4709="유지")</f>
        <v>0</v>
      </c>
      <c r="I4711" s="5" t="str">
        <f aca="false">IF($H4711=FALSE(),"",COUNTIF($H$6:$H4711,TRUE()))</f>
        <v/>
      </c>
      <c r="J4711" s="5" t="str">
        <f aca="false">IF($I4711="","","R"&amp;$I4711)</f>
        <v/>
      </c>
    </row>
    <row r="4712" customFormat="false" ht="15" hidden="false" customHeight="true" outlineLevel="0" collapsed="false">
      <c r="H4712" s="14" t="b">
        <f aca="false">IF(중복검사!$A4710="",FALSE(),중복검사!$J4710="유지")</f>
        <v>0</v>
      </c>
      <c r="I4712" s="5" t="str">
        <f aca="false">IF($H4712=FALSE(),"",COUNTIF($H$6:$H4712,TRUE()))</f>
        <v/>
      </c>
      <c r="J4712" s="5" t="str">
        <f aca="false">IF($I4712="","","R"&amp;$I4712)</f>
        <v/>
      </c>
    </row>
    <row r="4713" customFormat="false" ht="15" hidden="false" customHeight="true" outlineLevel="0" collapsed="false">
      <c r="H4713" s="14" t="b">
        <f aca="false">IF(중복검사!$A4711="",FALSE(),중복검사!$J4711="유지")</f>
        <v>0</v>
      </c>
      <c r="I4713" s="5" t="str">
        <f aca="false">IF($H4713=FALSE(),"",COUNTIF($H$6:$H4713,TRUE()))</f>
        <v/>
      </c>
      <c r="J4713" s="5" t="str">
        <f aca="false">IF($I4713="","","R"&amp;$I4713)</f>
        <v/>
      </c>
    </row>
    <row r="4714" customFormat="false" ht="15" hidden="false" customHeight="true" outlineLevel="0" collapsed="false">
      <c r="H4714" s="14" t="b">
        <f aca="false">IF(중복검사!$A4712="",FALSE(),중복검사!$J4712="유지")</f>
        <v>0</v>
      </c>
      <c r="I4714" s="5" t="str">
        <f aca="false">IF($H4714=FALSE(),"",COUNTIF($H$6:$H4714,TRUE()))</f>
        <v/>
      </c>
      <c r="J4714" s="5" t="str">
        <f aca="false">IF($I4714="","","R"&amp;$I4714)</f>
        <v/>
      </c>
    </row>
    <row r="4715" customFormat="false" ht="15" hidden="false" customHeight="true" outlineLevel="0" collapsed="false">
      <c r="H4715" s="14" t="b">
        <f aca="false">IF(중복검사!$A4713="",FALSE(),중복검사!$J4713="유지")</f>
        <v>0</v>
      </c>
      <c r="I4715" s="5" t="str">
        <f aca="false">IF($H4715=FALSE(),"",COUNTIF($H$6:$H4715,TRUE()))</f>
        <v/>
      </c>
      <c r="J4715" s="5" t="str">
        <f aca="false">IF($I4715="","","R"&amp;$I4715)</f>
        <v/>
      </c>
    </row>
    <row r="4716" customFormat="false" ht="15" hidden="false" customHeight="true" outlineLevel="0" collapsed="false">
      <c r="H4716" s="14" t="b">
        <f aca="false">IF(중복검사!$A4714="",FALSE(),중복검사!$J4714="유지")</f>
        <v>0</v>
      </c>
      <c r="I4716" s="5" t="str">
        <f aca="false">IF($H4716=FALSE(),"",COUNTIF($H$6:$H4716,TRUE()))</f>
        <v/>
      </c>
      <c r="J4716" s="5" t="str">
        <f aca="false">IF($I4716="","","R"&amp;$I4716)</f>
        <v/>
      </c>
    </row>
    <row r="4717" customFormat="false" ht="15" hidden="false" customHeight="true" outlineLevel="0" collapsed="false">
      <c r="H4717" s="14" t="b">
        <f aca="false">IF(중복검사!$A4715="",FALSE(),중복검사!$J4715="유지")</f>
        <v>0</v>
      </c>
      <c r="I4717" s="5" t="str">
        <f aca="false">IF($H4717=FALSE(),"",COUNTIF($H$6:$H4717,TRUE()))</f>
        <v/>
      </c>
      <c r="J4717" s="5" t="str">
        <f aca="false">IF($I4717="","","R"&amp;$I4717)</f>
        <v/>
      </c>
    </row>
    <row r="4718" customFormat="false" ht="15" hidden="false" customHeight="true" outlineLevel="0" collapsed="false">
      <c r="H4718" s="14" t="b">
        <f aca="false">IF(중복검사!$A4716="",FALSE(),중복검사!$J4716="유지")</f>
        <v>0</v>
      </c>
      <c r="I4718" s="5" t="str">
        <f aca="false">IF($H4718=FALSE(),"",COUNTIF($H$6:$H4718,TRUE()))</f>
        <v/>
      </c>
      <c r="J4718" s="5" t="str">
        <f aca="false">IF($I4718="","","R"&amp;$I4718)</f>
        <v/>
      </c>
    </row>
    <row r="4719" customFormat="false" ht="15" hidden="false" customHeight="true" outlineLevel="0" collapsed="false">
      <c r="H4719" s="14" t="b">
        <f aca="false">IF(중복검사!$A4717="",FALSE(),중복검사!$J4717="유지")</f>
        <v>0</v>
      </c>
      <c r="I4719" s="5" t="str">
        <f aca="false">IF($H4719=FALSE(),"",COUNTIF($H$6:$H4719,TRUE()))</f>
        <v/>
      </c>
      <c r="J4719" s="5" t="str">
        <f aca="false">IF($I4719="","","R"&amp;$I4719)</f>
        <v/>
      </c>
    </row>
    <row r="4720" customFormat="false" ht="15" hidden="false" customHeight="true" outlineLevel="0" collapsed="false">
      <c r="H4720" s="14" t="b">
        <f aca="false">IF(중복검사!$A4718="",FALSE(),중복검사!$J4718="유지")</f>
        <v>0</v>
      </c>
      <c r="I4720" s="5" t="str">
        <f aca="false">IF($H4720=FALSE(),"",COUNTIF($H$6:$H4720,TRUE()))</f>
        <v/>
      </c>
      <c r="J4720" s="5" t="str">
        <f aca="false">IF($I4720="","","R"&amp;$I4720)</f>
        <v/>
      </c>
    </row>
    <row r="4721" customFormat="false" ht="15" hidden="false" customHeight="true" outlineLevel="0" collapsed="false">
      <c r="H4721" s="14" t="b">
        <f aca="false">IF(중복검사!$A4719="",FALSE(),중복검사!$J4719="유지")</f>
        <v>0</v>
      </c>
      <c r="I4721" s="5" t="str">
        <f aca="false">IF($H4721=FALSE(),"",COUNTIF($H$6:$H4721,TRUE()))</f>
        <v/>
      </c>
      <c r="J4721" s="5" t="str">
        <f aca="false">IF($I4721="","","R"&amp;$I4721)</f>
        <v/>
      </c>
    </row>
    <row r="4722" customFormat="false" ht="15" hidden="false" customHeight="true" outlineLevel="0" collapsed="false">
      <c r="H4722" s="14" t="b">
        <f aca="false">IF(중복검사!$A4720="",FALSE(),중복검사!$J4720="유지")</f>
        <v>0</v>
      </c>
      <c r="I4722" s="5" t="str">
        <f aca="false">IF($H4722=FALSE(),"",COUNTIF($H$6:$H4722,TRUE()))</f>
        <v/>
      </c>
      <c r="J4722" s="5" t="str">
        <f aca="false">IF($I4722="","","R"&amp;$I4722)</f>
        <v/>
      </c>
    </row>
    <row r="4723" customFormat="false" ht="15" hidden="false" customHeight="true" outlineLevel="0" collapsed="false">
      <c r="H4723" s="14" t="b">
        <f aca="false">IF(중복검사!$A4721="",FALSE(),중복검사!$J4721="유지")</f>
        <v>0</v>
      </c>
      <c r="I4723" s="5" t="str">
        <f aca="false">IF($H4723=FALSE(),"",COUNTIF($H$6:$H4723,TRUE()))</f>
        <v/>
      </c>
      <c r="J4723" s="5" t="str">
        <f aca="false">IF($I4723="","","R"&amp;$I4723)</f>
        <v/>
      </c>
    </row>
    <row r="4724" customFormat="false" ht="15" hidden="false" customHeight="true" outlineLevel="0" collapsed="false">
      <c r="H4724" s="14" t="b">
        <f aca="false">IF(중복검사!$A4722="",FALSE(),중복검사!$J4722="유지")</f>
        <v>0</v>
      </c>
      <c r="I4724" s="5" t="str">
        <f aca="false">IF($H4724=FALSE(),"",COUNTIF($H$6:$H4724,TRUE()))</f>
        <v/>
      </c>
      <c r="J4724" s="5" t="str">
        <f aca="false">IF($I4724="","","R"&amp;$I4724)</f>
        <v/>
      </c>
    </row>
    <row r="4725" customFormat="false" ht="15" hidden="false" customHeight="true" outlineLevel="0" collapsed="false">
      <c r="H4725" s="14" t="b">
        <f aca="false">IF(중복검사!$A4723="",FALSE(),중복검사!$J4723="유지")</f>
        <v>0</v>
      </c>
      <c r="I4725" s="5" t="str">
        <f aca="false">IF($H4725=FALSE(),"",COUNTIF($H$6:$H4725,TRUE()))</f>
        <v/>
      </c>
      <c r="J4725" s="5" t="str">
        <f aca="false">IF($I4725="","","R"&amp;$I4725)</f>
        <v/>
      </c>
    </row>
    <row r="4726" customFormat="false" ht="15" hidden="false" customHeight="true" outlineLevel="0" collapsed="false">
      <c r="H4726" s="14" t="b">
        <f aca="false">IF(중복검사!$A4724="",FALSE(),중복검사!$J4724="유지")</f>
        <v>0</v>
      </c>
      <c r="I4726" s="5" t="str">
        <f aca="false">IF($H4726=FALSE(),"",COUNTIF($H$6:$H4726,TRUE()))</f>
        <v/>
      </c>
      <c r="J4726" s="5" t="str">
        <f aca="false">IF($I4726="","","R"&amp;$I4726)</f>
        <v/>
      </c>
    </row>
    <row r="4727" customFormat="false" ht="15" hidden="false" customHeight="true" outlineLevel="0" collapsed="false">
      <c r="H4727" s="14" t="b">
        <f aca="false">IF(중복검사!$A4725="",FALSE(),중복검사!$J4725="유지")</f>
        <v>0</v>
      </c>
      <c r="I4727" s="5" t="str">
        <f aca="false">IF($H4727=FALSE(),"",COUNTIF($H$6:$H4727,TRUE()))</f>
        <v/>
      </c>
      <c r="J4727" s="5" t="str">
        <f aca="false">IF($I4727="","","R"&amp;$I4727)</f>
        <v/>
      </c>
    </row>
    <row r="4728" customFormat="false" ht="15" hidden="false" customHeight="true" outlineLevel="0" collapsed="false">
      <c r="H4728" s="14" t="b">
        <f aca="false">IF(중복검사!$A4726="",FALSE(),중복검사!$J4726="유지")</f>
        <v>0</v>
      </c>
      <c r="I4728" s="5" t="str">
        <f aca="false">IF($H4728=FALSE(),"",COUNTIF($H$6:$H4728,TRUE()))</f>
        <v/>
      </c>
      <c r="J4728" s="5" t="str">
        <f aca="false">IF($I4728="","","R"&amp;$I4728)</f>
        <v/>
      </c>
    </row>
    <row r="4729" customFormat="false" ht="15" hidden="false" customHeight="true" outlineLevel="0" collapsed="false">
      <c r="H4729" s="14" t="b">
        <f aca="false">IF(중복검사!$A4727="",FALSE(),중복검사!$J4727="유지")</f>
        <v>0</v>
      </c>
      <c r="I4729" s="5" t="str">
        <f aca="false">IF($H4729=FALSE(),"",COUNTIF($H$6:$H4729,TRUE()))</f>
        <v/>
      </c>
      <c r="J4729" s="5" t="str">
        <f aca="false">IF($I4729="","","R"&amp;$I4729)</f>
        <v/>
      </c>
    </row>
    <row r="4730" customFormat="false" ht="15" hidden="false" customHeight="true" outlineLevel="0" collapsed="false">
      <c r="H4730" s="14" t="b">
        <f aca="false">IF(중복검사!$A4728="",FALSE(),중복검사!$J4728="유지")</f>
        <v>0</v>
      </c>
      <c r="I4730" s="5" t="str">
        <f aca="false">IF($H4730=FALSE(),"",COUNTIF($H$6:$H4730,TRUE()))</f>
        <v/>
      </c>
      <c r="J4730" s="5" t="str">
        <f aca="false">IF($I4730="","","R"&amp;$I4730)</f>
        <v/>
      </c>
    </row>
    <row r="4731" customFormat="false" ht="15" hidden="false" customHeight="true" outlineLevel="0" collapsed="false">
      <c r="H4731" s="14" t="b">
        <f aca="false">IF(중복검사!$A4729="",FALSE(),중복검사!$J4729="유지")</f>
        <v>0</v>
      </c>
      <c r="I4731" s="5" t="str">
        <f aca="false">IF($H4731=FALSE(),"",COUNTIF($H$6:$H4731,TRUE()))</f>
        <v/>
      </c>
      <c r="J4731" s="5" t="str">
        <f aca="false">IF($I4731="","","R"&amp;$I4731)</f>
        <v/>
      </c>
    </row>
    <row r="4732" customFormat="false" ht="15" hidden="false" customHeight="true" outlineLevel="0" collapsed="false">
      <c r="H4732" s="14" t="b">
        <f aca="false">IF(중복검사!$A4730="",FALSE(),중복검사!$J4730="유지")</f>
        <v>0</v>
      </c>
      <c r="I4732" s="5" t="str">
        <f aca="false">IF($H4732=FALSE(),"",COUNTIF($H$6:$H4732,TRUE()))</f>
        <v/>
      </c>
      <c r="J4732" s="5" t="str">
        <f aca="false">IF($I4732="","","R"&amp;$I4732)</f>
        <v/>
      </c>
    </row>
    <row r="4733" customFormat="false" ht="15" hidden="false" customHeight="true" outlineLevel="0" collapsed="false">
      <c r="H4733" s="14" t="b">
        <f aca="false">IF(중복검사!$A4731="",FALSE(),중복검사!$J4731="유지")</f>
        <v>0</v>
      </c>
      <c r="I4733" s="5" t="str">
        <f aca="false">IF($H4733=FALSE(),"",COUNTIF($H$6:$H4733,TRUE()))</f>
        <v/>
      </c>
      <c r="J4733" s="5" t="str">
        <f aca="false">IF($I4733="","","R"&amp;$I4733)</f>
        <v/>
      </c>
    </row>
    <row r="4734" customFormat="false" ht="15" hidden="false" customHeight="true" outlineLevel="0" collapsed="false">
      <c r="H4734" s="14" t="b">
        <f aca="false">IF(중복검사!$A4732="",FALSE(),중복검사!$J4732="유지")</f>
        <v>0</v>
      </c>
      <c r="I4734" s="5" t="str">
        <f aca="false">IF($H4734=FALSE(),"",COUNTIF($H$6:$H4734,TRUE()))</f>
        <v/>
      </c>
      <c r="J4734" s="5" t="str">
        <f aca="false">IF($I4734="","","R"&amp;$I4734)</f>
        <v/>
      </c>
    </row>
    <row r="4735" customFormat="false" ht="15" hidden="false" customHeight="true" outlineLevel="0" collapsed="false">
      <c r="H4735" s="14" t="b">
        <f aca="false">IF(중복검사!$A4733="",FALSE(),중복검사!$J4733="유지")</f>
        <v>0</v>
      </c>
      <c r="I4735" s="5" t="str">
        <f aca="false">IF($H4735=FALSE(),"",COUNTIF($H$6:$H4735,TRUE()))</f>
        <v/>
      </c>
      <c r="J4735" s="5" t="str">
        <f aca="false">IF($I4735="","","R"&amp;$I4735)</f>
        <v/>
      </c>
    </row>
    <row r="4736" customFormat="false" ht="15" hidden="false" customHeight="true" outlineLevel="0" collapsed="false">
      <c r="H4736" s="14" t="b">
        <f aca="false">IF(중복검사!$A4734="",FALSE(),중복검사!$J4734="유지")</f>
        <v>0</v>
      </c>
      <c r="I4736" s="5" t="str">
        <f aca="false">IF($H4736=FALSE(),"",COUNTIF($H$6:$H4736,TRUE()))</f>
        <v/>
      </c>
      <c r="J4736" s="5" t="str">
        <f aca="false">IF($I4736="","","R"&amp;$I4736)</f>
        <v/>
      </c>
    </row>
    <row r="4737" customFormat="false" ht="15" hidden="false" customHeight="true" outlineLevel="0" collapsed="false">
      <c r="H4737" s="14" t="b">
        <f aca="false">IF(중복검사!$A4735="",FALSE(),중복검사!$J4735="유지")</f>
        <v>0</v>
      </c>
      <c r="I4737" s="5" t="str">
        <f aca="false">IF($H4737=FALSE(),"",COUNTIF($H$6:$H4737,TRUE()))</f>
        <v/>
      </c>
      <c r="J4737" s="5" t="str">
        <f aca="false">IF($I4737="","","R"&amp;$I4737)</f>
        <v/>
      </c>
    </row>
    <row r="4738" customFormat="false" ht="15" hidden="false" customHeight="true" outlineLevel="0" collapsed="false">
      <c r="H4738" s="14" t="b">
        <f aca="false">IF(중복검사!$A4736="",FALSE(),중복검사!$J4736="유지")</f>
        <v>0</v>
      </c>
      <c r="I4738" s="5" t="str">
        <f aca="false">IF($H4738=FALSE(),"",COUNTIF($H$6:$H4738,TRUE()))</f>
        <v/>
      </c>
      <c r="J4738" s="5" t="str">
        <f aca="false">IF($I4738="","","R"&amp;$I4738)</f>
        <v/>
      </c>
    </row>
    <row r="4739" customFormat="false" ht="15" hidden="false" customHeight="true" outlineLevel="0" collapsed="false">
      <c r="H4739" s="14" t="b">
        <f aca="false">IF(중복검사!$A4737="",FALSE(),중복검사!$J4737="유지")</f>
        <v>0</v>
      </c>
      <c r="I4739" s="5" t="str">
        <f aca="false">IF($H4739=FALSE(),"",COUNTIF($H$6:$H4739,TRUE()))</f>
        <v/>
      </c>
      <c r="J4739" s="5" t="str">
        <f aca="false">IF($I4739="","","R"&amp;$I4739)</f>
        <v/>
      </c>
    </row>
    <row r="4740" customFormat="false" ht="15" hidden="false" customHeight="true" outlineLevel="0" collapsed="false">
      <c r="H4740" s="14" t="b">
        <f aca="false">IF(중복검사!$A4738="",FALSE(),중복검사!$J4738="유지")</f>
        <v>0</v>
      </c>
      <c r="I4740" s="5" t="str">
        <f aca="false">IF($H4740=FALSE(),"",COUNTIF($H$6:$H4740,TRUE()))</f>
        <v/>
      </c>
      <c r="J4740" s="5" t="str">
        <f aca="false">IF($I4740="","","R"&amp;$I4740)</f>
        <v/>
      </c>
    </row>
    <row r="4741" customFormat="false" ht="15" hidden="false" customHeight="true" outlineLevel="0" collapsed="false">
      <c r="H4741" s="14" t="b">
        <f aca="false">IF(중복검사!$A4739="",FALSE(),중복검사!$J4739="유지")</f>
        <v>0</v>
      </c>
      <c r="I4741" s="5" t="str">
        <f aca="false">IF($H4741=FALSE(),"",COUNTIF($H$6:$H4741,TRUE()))</f>
        <v/>
      </c>
      <c r="J4741" s="5" t="str">
        <f aca="false">IF($I4741="","","R"&amp;$I4741)</f>
        <v/>
      </c>
    </row>
    <row r="4742" customFormat="false" ht="15" hidden="false" customHeight="true" outlineLevel="0" collapsed="false">
      <c r="H4742" s="14" t="b">
        <f aca="false">IF(중복검사!$A4740="",FALSE(),중복검사!$J4740="유지")</f>
        <v>0</v>
      </c>
      <c r="I4742" s="5" t="str">
        <f aca="false">IF($H4742=FALSE(),"",COUNTIF($H$6:$H4742,TRUE()))</f>
        <v/>
      </c>
      <c r="J4742" s="5" t="str">
        <f aca="false">IF($I4742="","","R"&amp;$I4742)</f>
        <v/>
      </c>
    </row>
    <row r="4743" customFormat="false" ht="15" hidden="false" customHeight="true" outlineLevel="0" collapsed="false">
      <c r="H4743" s="14" t="b">
        <f aca="false">IF(중복검사!$A4741="",FALSE(),중복검사!$J4741="유지")</f>
        <v>0</v>
      </c>
      <c r="I4743" s="5" t="str">
        <f aca="false">IF($H4743=FALSE(),"",COUNTIF($H$6:$H4743,TRUE()))</f>
        <v/>
      </c>
      <c r="J4743" s="5" t="str">
        <f aca="false">IF($I4743="","","R"&amp;$I4743)</f>
        <v/>
      </c>
    </row>
    <row r="4744" customFormat="false" ht="15" hidden="false" customHeight="true" outlineLevel="0" collapsed="false">
      <c r="H4744" s="14" t="b">
        <f aca="false">IF(중복검사!$A4742="",FALSE(),중복검사!$J4742="유지")</f>
        <v>0</v>
      </c>
      <c r="I4744" s="5" t="str">
        <f aca="false">IF($H4744=FALSE(),"",COUNTIF($H$6:$H4744,TRUE()))</f>
        <v/>
      </c>
      <c r="J4744" s="5" t="str">
        <f aca="false">IF($I4744="","","R"&amp;$I4744)</f>
        <v/>
      </c>
    </row>
    <row r="4745" customFormat="false" ht="15" hidden="false" customHeight="true" outlineLevel="0" collapsed="false">
      <c r="H4745" s="14" t="b">
        <f aca="false">IF(중복검사!$A4743="",FALSE(),중복검사!$J4743="유지")</f>
        <v>0</v>
      </c>
      <c r="I4745" s="5" t="str">
        <f aca="false">IF($H4745=FALSE(),"",COUNTIF($H$6:$H4745,TRUE()))</f>
        <v/>
      </c>
      <c r="J4745" s="5" t="str">
        <f aca="false">IF($I4745="","","R"&amp;$I4745)</f>
        <v/>
      </c>
    </row>
    <row r="4746" customFormat="false" ht="15" hidden="false" customHeight="true" outlineLevel="0" collapsed="false">
      <c r="H4746" s="14" t="b">
        <f aca="false">IF(중복검사!$A4744="",FALSE(),중복검사!$J4744="유지")</f>
        <v>0</v>
      </c>
      <c r="I4746" s="5" t="str">
        <f aca="false">IF($H4746=FALSE(),"",COUNTIF($H$6:$H4746,TRUE()))</f>
        <v/>
      </c>
      <c r="J4746" s="5" t="str">
        <f aca="false">IF($I4746="","","R"&amp;$I4746)</f>
        <v/>
      </c>
    </row>
    <row r="4747" customFormat="false" ht="15" hidden="false" customHeight="true" outlineLevel="0" collapsed="false">
      <c r="H4747" s="14" t="b">
        <f aca="false">IF(중복검사!$A4745="",FALSE(),중복검사!$J4745="유지")</f>
        <v>0</v>
      </c>
      <c r="I4747" s="5" t="str">
        <f aca="false">IF($H4747=FALSE(),"",COUNTIF($H$6:$H4747,TRUE()))</f>
        <v/>
      </c>
      <c r="J4747" s="5" t="str">
        <f aca="false">IF($I4747="","","R"&amp;$I4747)</f>
        <v/>
      </c>
    </row>
    <row r="4748" customFormat="false" ht="15" hidden="false" customHeight="true" outlineLevel="0" collapsed="false">
      <c r="H4748" s="14" t="b">
        <f aca="false">IF(중복검사!$A4746="",FALSE(),중복검사!$J4746="유지")</f>
        <v>0</v>
      </c>
      <c r="I4748" s="5" t="str">
        <f aca="false">IF($H4748=FALSE(),"",COUNTIF($H$6:$H4748,TRUE()))</f>
        <v/>
      </c>
      <c r="J4748" s="5" t="str">
        <f aca="false">IF($I4748="","","R"&amp;$I4748)</f>
        <v/>
      </c>
    </row>
    <row r="4749" customFormat="false" ht="15" hidden="false" customHeight="true" outlineLevel="0" collapsed="false">
      <c r="H4749" s="14" t="b">
        <f aca="false">IF(중복검사!$A4747="",FALSE(),중복검사!$J4747="유지")</f>
        <v>0</v>
      </c>
      <c r="I4749" s="5" t="str">
        <f aca="false">IF($H4749=FALSE(),"",COUNTIF($H$6:$H4749,TRUE()))</f>
        <v/>
      </c>
      <c r="J4749" s="5" t="str">
        <f aca="false">IF($I4749="","","R"&amp;$I4749)</f>
        <v/>
      </c>
    </row>
    <row r="4750" customFormat="false" ht="15" hidden="false" customHeight="true" outlineLevel="0" collapsed="false">
      <c r="H4750" s="14" t="b">
        <f aca="false">IF(중복검사!$A4748="",FALSE(),중복검사!$J4748="유지")</f>
        <v>0</v>
      </c>
      <c r="I4750" s="5" t="str">
        <f aca="false">IF($H4750=FALSE(),"",COUNTIF($H$6:$H4750,TRUE()))</f>
        <v/>
      </c>
      <c r="J4750" s="5" t="str">
        <f aca="false">IF($I4750="","","R"&amp;$I4750)</f>
        <v/>
      </c>
    </row>
    <row r="4751" customFormat="false" ht="15" hidden="false" customHeight="true" outlineLevel="0" collapsed="false">
      <c r="H4751" s="14" t="b">
        <f aca="false">IF(중복검사!$A4749="",FALSE(),중복검사!$J4749="유지")</f>
        <v>0</v>
      </c>
      <c r="I4751" s="5" t="str">
        <f aca="false">IF($H4751=FALSE(),"",COUNTIF($H$6:$H4751,TRUE()))</f>
        <v/>
      </c>
      <c r="J4751" s="5" t="str">
        <f aca="false">IF($I4751="","","R"&amp;$I4751)</f>
        <v/>
      </c>
    </row>
    <row r="4752" customFormat="false" ht="15" hidden="false" customHeight="true" outlineLevel="0" collapsed="false">
      <c r="H4752" s="14" t="b">
        <f aca="false">IF(중복검사!$A4750="",FALSE(),중복검사!$J4750="유지")</f>
        <v>0</v>
      </c>
      <c r="I4752" s="5" t="str">
        <f aca="false">IF($H4752=FALSE(),"",COUNTIF($H$6:$H4752,TRUE()))</f>
        <v/>
      </c>
      <c r="J4752" s="5" t="str">
        <f aca="false">IF($I4752="","","R"&amp;$I4752)</f>
        <v/>
      </c>
    </row>
    <row r="4753" customFormat="false" ht="15" hidden="false" customHeight="true" outlineLevel="0" collapsed="false">
      <c r="H4753" s="14" t="b">
        <f aca="false">IF(중복검사!$A4751="",FALSE(),중복검사!$J4751="유지")</f>
        <v>0</v>
      </c>
      <c r="I4753" s="5" t="str">
        <f aca="false">IF($H4753=FALSE(),"",COUNTIF($H$6:$H4753,TRUE()))</f>
        <v/>
      </c>
      <c r="J4753" s="5" t="str">
        <f aca="false">IF($I4753="","","R"&amp;$I4753)</f>
        <v/>
      </c>
    </row>
    <row r="4754" customFormat="false" ht="15" hidden="false" customHeight="true" outlineLevel="0" collapsed="false">
      <c r="H4754" s="14" t="b">
        <f aca="false">IF(중복검사!$A4752="",FALSE(),중복검사!$J4752="유지")</f>
        <v>0</v>
      </c>
      <c r="I4754" s="5" t="str">
        <f aca="false">IF($H4754=FALSE(),"",COUNTIF($H$6:$H4754,TRUE()))</f>
        <v/>
      </c>
      <c r="J4754" s="5" t="str">
        <f aca="false">IF($I4754="","","R"&amp;$I4754)</f>
        <v/>
      </c>
    </row>
    <row r="4755" customFormat="false" ht="15" hidden="false" customHeight="true" outlineLevel="0" collapsed="false">
      <c r="H4755" s="14" t="b">
        <f aca="false">IF(중복검사!$A4753="",FALSE(),중복검사!$J4753="유지")</f>
        <v>0</v>
      </c>
      <c r="I4755" s="5" t="str">
        <f aca="false">IF($H4755=FALSE(),"",COUNTIF($H$6:$H4755,TRUE()))</f>
        <v/>
      </c>
      <c r="J4755" s="5" t="str">
        <f aca="false">IF($I4755="","","R"&amp;$I4755)</f>
        <v/>
      </c>
    </row>
    <row r="4756" customFormat="false" ht="15" hidden="false" customHeight="true" outlineLevel="0" collapsed="false">
      <c r="H4756" s="14" t="b">
        <f aca="false">IF(중복검사!$A4754="",FALSE(),중복검사!$J4754="유지")</f>
        <v>0</v>
      </c>
      <c r="I4756" s="5" t="str">
        <f aca="false">IF($H4756=FALSE(),"",COUNTIF($H$6:$H4756,TRUE()))</f>
        <v/>
      </c>
      <c r="J4756" s="5" t="str">
        <f aca="false">IF($I4756="","","R"&amp;$I4756)</f>
        <v/>
      </c>
    </row>
    <row r="4757" customFormat="false" ht="15" hidden="false" customHeight="true" outlineLevel="0" collapsed="false">
      <c r="H4757" s="14" t="b">
        <f aca="false">IF(중복검사!$A4755="",FALSE(),중복검사!$J4755="유지")</f>
        <v>0</v>
      </c>
      <c r="I4757" s="5" t="str">
        <f aca="false">IF($H4757=FALSE(),"",COUNTIF($H$6:$H4757,TRUE()))</f>
        <v/>
      </c>
      <c r="J4757" s="5" t="str">
        <f aca="false">IF($I4757="","","R"&amp;$I4757)</f>
        <v/>
      </c>
    </row>
    <row r="4758" customFormat="false" ht="15" hidden="false" customHeight="true" outlineLevel="0" collapsed="false">
      <c r="H4758" s="14" t="b">
        <f aca="false">IF(중복검사!$A4756="",FALSE(),중복검사!$J4756="유지")</f>
        <v>0</v>
      </c>
      <c r="I4758" s="5" t="str">
        <f aca="false">IF($H4758=FALSE(),"",COUNTIF($H$6:$H4758,TRUE()))</f>
        <v/>
      </c>
      <c r="J4758" s="5" t="str">
        <f aca="false">IF($I4758="","","R"&amp;$I4758)</f>
        <v/>
      </c>
    </row>
    <row r="4759" customFormat="false" ht="15" hidden="false" customHeight="true" outlineLevel="0" collapsed="false">
      <c r="H4759" s="14" t="b">
        <f aca="false">IF(중복검사!$A4757="",FALSE(),중복검사!$J4757="유지")</f>
        <v>0</v>
      </c>
      <c r="I4759" s="5" t="str">
        <f aca="false">IF($H4759=FALSE(),"",COUNTIF($H$6:$H4759,TRUE()))</f>
        <v/>
      </c>
      <c r="J4759" s="5" t="str">
        <f aca="false">IF($I4759="","","R"&amp;$I4759)</f>
        <v/>
      </c>
    </row>
    <row r="4760" customFormat="false" ht="15" hidden="false" customHeight="true" outlineLevel="0" collapsed="false">
      <c r="H4760" s="14" t="b">
        <f aca="false">IF(중복검사!$A4758="",FALSE(),중복검사!$J4758="유지")</f>
        <v>0</v>
      </c>
      <c r="I4760" s="5" t="str">
        <f aca="false">IF($H4760=FALSE(),"",COUNTIF($H$6:$H4760,TRUE()))</f>
        <v/>
      </c>
      <c r="J4760" s="5" t="str">
        <f aca="false">IF($I4760="","","R"&amp;$I4760)</f>
        <v/>
      </c>
    </row>
    <row r="4761" customFormat="false" ht="15" hidden="false" customHeight="true" outlineLevel="0" collapsed="false">
      <c r="H4761" s="14" t="b">
        <f aca="false">IF(중복검사!$A4759="",FALSE(),중복검사!$J4759="유지")</f>
        <v>0</v>
      </c>
      <c r="I4761" s="5" t="str">
        <f aca="false">IF($H4761=FALSE(),"",COUNTIF($H$6:$H4761,TRUE()))</f>
        <v/>
      </c>
      <c r="J4761" s="5" t="str">
        <f aca="false">IF($I4761="","","R"&amp;$I4761)</f>
        <v/>
      </c>
    </row>
    <row r="4762" customFormat="false" ht="15" hidden="false" customHeight="true" outlineLevel="0" collapsed="false">
      <c r="H4762" s="14" t="b">
        <f aca="false">IF(중복검사!$A4760="",FALSE(),중복검사!$J4760="유지")</f>
        <v>0</v>
      </c>
      <c r="I4762" s="5" t="str">
        <f aca="false">IF($H4762=FALSE(),"",COUNTIF($H$6:$H4762,TRUE()))</f>
        <v/>
      </c>
      <c r="J4762" s="5" t="str">
        <f aca="false">IF($I4762="","","R"&amp;$I4762)</f>
        <v/>
      </c>
    </row>
    <row r="4763" customFormat="false" ht="15" hidden="false" customHeight="true" outlineLevel="0" collapsed="false">
      <c r="H4763" s="14" t="b">
        <f aca="false">IF(중복검사!$A4761="",FALSE(),중복검사!$J4761="유지")</f>
        <v>0</v>
      </c>
      <c r="I4763" s="5" t="str">
        <f aca="false">IF($H4763=FALSE(),"",COUNTIF($H$6:$H4763,TRUE()))</f>
        <v/>
      </c>
      <c r="J4763" s="5" t="str">
        <f aca="false">IF($I4763="","","R"&amp;$I4763)</f>
        <v/>
      </c>
    </row>
    <row r="4764" customFormat="false" ht="15" hidden="false" customHeight="true" outlineLevel="0" collapsed="false">
      <c r="H4764" s="14" t="b">
        <f aca="false">IF(중복검사!$A4762="",FALSE(),중복검사!$J4762="유지")</f>
        <v>0</v>
      </c>
      <c r="I4764" s="5" t="str">
        <f aca="false">IF($H4764=FALSE(),"",COUNTIF($H$6:$H4764,TRUE()))</f>
        <v/>
      </c>
      <c r="J4764" s="5" t="str">
        <f aca="false">IF($I4764="","","R"&amp;$I4764)</f>
        <v/>
      </c>
    </row>
    <row r="4765" customFormat="false" ht="15" hidden="false" customHeight="true" outlineLevel="0" collapsed="false">
      <c r="H4765" s="14" t="b">
        <f aca="false">IF(중복검사!$A4763="",FALSE(),중복검사!$J4763="유지")</f>
        <v>0</v>
      </c>
      <c r="I4765" s="5" t="str">
        <f aca="false">IF($H4765=FALSE(),"",COUNTIF($H$6:$H4765,TRUE()))</f>
        <v/>
      </c>
      <c r="J4765" s="5" t="str">
        <f aca="false">IF($I4765="","","R"&amp;$I4765)</f>
        <v/>
      </c>
    </row>
    <row r="4766" customFormat="false" ht="15" hidden="false" customHeight="true" outlineLevel="0" collapsed="false">
      <c r="H4766" s="14" t="b">
        <f aca="false">IF(중복검사!$A4764="",FALSE(),중복검사!$J4764="유지")</f>
        <v>0</v>
      </c>
      <c r="I4766" s="5" t="str">
        <f aca="false">IF($H4766=FALSE(),"",COUNTIF($H$6:$H4766,TRUE()))</f>
        <v/>
      </c>
      <c r="J4766" s="5" t="str">
        <f aca="false">IF($I4766="","","R"&amp;$I4766)</f>
        <v/>
      </c>
    </row>
    <row r="4767" customFormat="false" ht="15" hidden="false" customHeight="true" outlineLevel="0" collapsed="false">
      <c r="H4767" s="14" t="b">
        <f aca="false">IF(중복검사!$A4765="",FALSE(),중복검사!$J4765="유지")</f>
        <v>0</v>
      </c>
      <c r="I4767" s="5" t="str">
        <f aca="false">IF($H4767=FALSE(),"",COUNTIF($H$6:$H4767,TRUE()))</f>
        <v/>
      </c>
      <c r="J4767" s="5" t="str">
        <f aca="false">IF($I4767="","","R"&amp;$I4767)</f>
        <v/>
      </c>
    </row>
    <row r="4768" customFormat="false" ht="15" hidden="false" customHeight="true" outlineLevel="0" collapsed="false">
      <c r="H4768" s="14" t="b">
        <f aca="false">IF(중복검사!$A4766="",FALSE(),중복검사!$J4766="유지")</f>
        <v>0</v>
      </c>
      <c r="I4768" s="5" t="str">
        <f aca="false">IF($H4768=FALSE(),"",COUNTIF($H$6:$H4768,TRUE()))</f>
        <v/>
      </c>
      <c r="J4768" s="5" t="str">
        <f aca="false">IF($I4768="","","R"&amp;$I4768)</f>
        <v/>
      </c>
    </row>
    <row r="4769" customFormat="false" ht="15" hidden="false" customHeight="true" outlineLevel="0" collapsed="false">
      <c r="H4769" s="14" t="b">
        <f aca="false">IF(중복검사!$A4767="",FALSE(),중복검사!$J4767="유지")</f>
        <v>0</v>
      </c>
      <c r="I4769" s="5" t="str">
        <f aca="false">IF($H4769=FALSE(),"",COUNTIF($H$6:$H4769,TRUE()))</f>
        <v/>
      </c>
      <c r="J4769" s="5" t="str">
        <f aca="false">IF($I4769="","","R"&amp;$I4769)</f>
        <v/>
      </c>
    </row>
    <row r="4770" customFormat="false" ht="15" hidden="false" customHeight="true" outlineLevel="0" collapsed="false">
      <c r="H4770" s="14" t="b">
        <f aca="false">IF(중복검사!$A4768="",FALSE(),중복검사!$J4768="유지")</f>
        <v>0</v>
      </c>
      <c r="I4770" s="5" t="str">
        <f aca="false">IF($H4770=FALSE(),"",COUNTIF($H$6:$H4770,TRUE()))</f>
        <v/>
      </c>
      <c r="J4770" s="5" t="str">
        <f aca="false">IF($I4770="","","R"&amp;$I4770)</f>
        <v/>
      </c>
    </row>
    <row r="4771" customFormat="false" ht="15" hidden="false" customHeight="true" outlineLevel="0" collapsed="false">
      <c r="H4771" s="14" t="b">
        <f aca="false">IF(중복검사!$A4769="",FALSE(),중복검사!$J4769="유지")</f>
        <v>0</v>
      </c>
      <c r="I4771" s="5" t="str">
        <f aca="false">IF($H4771=FALSE(),"",COUNTIF($H$6:$H4771,TRUE()))</f>
        <v/>
      </c>
      <c r="J4771" s="5" t="str">
        <f aca="false">IF($I4771="","","R"&amp;$I4771)</f>
        <v/>
      </c>
    </row>
    <row r="4772" customFormat="false" ht="15" hidden="false" customHeight="true" outlineLevel="0" collapsed="false">
      <c r="H4772" s="14" t="b">
        <f aca="false">IF(중복검사!$A4770="",FALSE(),중복검사!$J4770="유지")</f>
        <v>0</v>
      </c>
      <c r="I4772" s="5" t="str">
        <f aca="false">IF($H4772=FALSE(),"",COUNTIF($H$6:$H4772,TRUE()))</f>
        <v/>
      </c>
      <c r="J4772" s="5" t="str">
        <f aca="false">IF($I4772="","","R"&amp;$I4772)</f>
        <v/>
      </c>
    </row>
    <row r="4773" customFormat="false" ht="15" hidden="false" customHeight="true" outlineLevel="0" collapsed="false">
      <c r="H4773" s="14" t="b">
        <f aca="false">IF(중복검사!$A4771="",FALSE(),중복검사!$J4771="유지")</f>
        <v>0</v>
      </c>
      <c r="I4773" s="5" t="str">
        <f aca="false">IF($H4773=FALSE(),"",COUNTIF($H$6:$H4773,TRUE()))</f>
        <v/>
      </c>
      <c r="J4773" s="5" t="str">
        <f aca="false">IF($I4773="","","R"&amp;$I4773)</f>
        <v/>
      </c>
    </row>
    <row r="4774" customFormat="false" ht="15" hidden="false" customHeight="true" outlineLevel="0" collapsed="false">
      <c r="H4774" s="14" t="b">
        <f aca="false">IF(중복검사!$A4772="",FALSE(),중복검사!$J4772="유지")</f>
        <v>0</v>
      </c>
      <c r="I4774" s="5" t="str">
        <f aca="false">IF($H4774=FALSE(),"",COUNTIF($H$6:$H4774,TRUE()))</f>
        <v/>
      </c>
      <c r="J4774" s="5" t="str">
        <f aca="false">IF($I4774="","","R"&amp;$I4774)</f>
        <v/>
      </c>
    </row>
    <row r="4775" customFormat="false" ht="15" hidden="false" customHeight="true" outlineLevel="0" collapsed="false">
      <c r="H4775" s="14" t="b">
        <f aca="false">IF(중복검사!$A4773="",FALSE(),중복검사!$J4773="유지")</f>
        <v>0</v>
      </c>
      <c r="I4775" s="5" t="str">
        <f aca="false">IF($H4775=FALSE(),"",COUNTIF($H$6:$H4775,TRUE()))</f>
        <v/>
      </c>
      <c r="J4775" s="5" t="str">
        <f aca="false">IF($I4775="","","R"&amp;$I4775)</f>
        <v/>
      </c>
    </row>
    <row r="4776" customFormat="false" ht="15" hidden="false" customHeight="true" outlineLevel="0" collapsed="false">
      <c r="H4776" s="14" t="b">
        <f aca="false">IF(중복검사!$A4774="",FALSE(),중복검사!$J4774="유지")</f>
        <v>0</v>
      </c>
      <c r="I4776" s="5" t="str">
        <f aca="false">IF($H4776=FALSE(),"",COUNTIF($H$6:$H4776,TRUE()))</f>
        <v/>
      </c>
      <c r="J4776" s="5" t="str">
        <f aca="false">IF($I4776="","","R"&amp;$I4776)</f>
        <v/>
      </c>
    </row>
    <row r="4777" customFormat="false" ht="15" hidden="false" customHeight="true" outlineLevel="0" collapsed="false">
      <c r="H4777" s="14" t="b">
        <f aca="false">IF(중복검사!$A4775="",FALSE(),중복검사!$J4775="유지")</f>
        <v>0</v>
      </c>
      <c r="I4777" s="5" t="str">
        <f aca="false">IF($H4777=FALSE(),"",COUNTIF($H$6:$H4777,TRUE()))</f>
        <v/>
      </c>
      <c r="J4777" s="5" t="str">
        <f aca="false">IF($I4777="","","R"&amp;$I4777)</f>
        <v/>
      </c>
    </row>
    <row r="4778" customFormat="false" ht="15" hidden="false" customHeight="true" outlineLevel="0" collapsed="false">
      <c r="H4778" s="14" t="b">
        <f aca="false">IF(중복검사!$A4776="",FALSE(),중복검사!$J4776="유지")</f>
        <v>0</v>
      </c>
      <c r="I4778" s="5" t="str">
        <f aca="false">IF($H4778=FALSE(),"",COUNTIF($H$6:$H4778,TRUE()))</f>
        <v/>
      </c>
      <c r="J4778" s="5" t="str">
        <f aca="false">IF($I4778="","","R"&amp;$I4778)</f>
        <v/>
      </c>
    </row>
    <row r="4779" customFormat="false" ht="15" hidden="false" customHeight="true" outlineLevel="0" collapsed="false">
      <c r="H4779" s="14" t="b">
        <f aca="false">IF(중복검사!$A4777="",FALSE(),중복검사!$J4777="유지")</f>
        <v>0</v>
      </c>
      <c r="I4779" s="5" t="str">
        <f aca="false">IF($H4779=FALSE(),"",COUNTIF($H$6:$H4779,TRUE()))</f>
        <v/>
      </c>
      <c r="J4779" s="5" t="str">
        <f aca="false">IF($I4779="","","R"&amp;$I4779)</f>
        <v/>
      </c>
    </row>
    <row r="4780" customFormat="false" ht="15" hidden="false" customHeight="true" outlineLevel="0" collapsed="false">
      <c r="H4780" s="14" t="b">
        <f aca="false">IF(중복검사!$A4778="",FALSE(),중복검사!$J4778="유지")</f>
        <v>0</v>
      </c>
      <c r="I4780" s="5" t="str">
        <f aca="false">IF($H4780=FALSE(),"",COUNTIF($H$6:$H4780,TRUE()))</f>
        <v/>
      </c>
      <c r="J4780" s="5" t="str">
        <f aca="false">IF($I4780="","","R"&amp;$I4780)</f>
        <v/>
      </c>
    </row>
    <row r="4781" customFormat="false" ht="15" hidden="false" customHeight="true" outlineLevel="0" collapsed="false">
      <c r="H4781" s="14" t="b">
        <f aca="false">IF(중복검사!$A4779="",FALSE(),중복검사!$J4779="유지")</f>
        <v>0</v>
      </c>
      <c r="I4781" s="5" t="str">
        <f aca="false">IF($H4781=FALSE(),"",COUNTIF($H$6:$H4781,TRUE()))</f>
        <v/>
      </c>
      <c r="J4781" s="5" t="str">
        <f aca="false">IF($I4781="","","R"&amp;$I4781)</f>
        <v/>
      </c>
    </row>
    <row r="4782" customFormat="false" ht="15" hidden="false" customHeight="true" outlineLevel="0" collapsed="false">
      <c r="H4782" s="14" t="b">
        <f aca="false">IF(중복검사!$A4780="",FALSE(),중복검사!$J4780="유지")</f>
        <v>0</v>
      </c>
      <c r="I4782" s="5" t="str">
        <f aca="false">IF($H4782=FALSE(),"",COUNTIF($H$6:$H4782,TRUE()))</f>
        <v/>
      </c>
      <c r="J4782" s="5" t="str">
        <f aca="false">IF($I4782="","","R"&amp;$I4782)</f>
        <v/>
      </c>
    </row>
    <row r="4783" customFormat="false" ht="15" hidden="false" customHeight="true" outlineLevel="0" collapsed="false">
      <c r="H4783" s="14" t="b">
        <f aca="false">IF(중복검사!$A4781="",FALSE(),중복검사!$J4781="유지")</f>
        <v>0</v>
      </c>
      <c r="I4783" s="5" t="str">
        <f aca="false">IF($H4783=FALSE(),"",COUNTIF($H$6:$H4783,TRUE()))</f>
        <v/>
      </c>
      <c r="J4783" s="5" t="str">
        <f aca="false">IF($I4783="","","R"&amp;$I4783)</f>
        <v/>
      </c>
    </row>
    <row r="4784" customFormat="false" ht="15" hidden="false" customHeight="true" outlineLevel="0" collapsed="false">
      <c r="H4784" s="14" t="b">
        <f aca="false">IF(중복검사!$A4782="",FALSE(),중복검사!$J4782="유지")</f>
        <v>0</v>
      </c>
      <c r="I4784" s="5" t="str">
        <f aca="false">IF($H4784=FALSE(),"",COUNTIF($H$6:$H4784,TRUE()))</f>
        <v/>
      </c>
      <c r="J4784" s="5" t="str">
        <f aca="false">IF($I4784="","","R"&amp;$I4784)</f>
        <v/>
      </c>
    </row>
    <row r="4785" customFormat="false" ht="15" hidden="false" customHeight="true" outlineLevel="0" collapsed="false">
      <c r="H4785" s="14" t="b">
        <f aca="false">IF(중복검사!$A4783="",FALSE(),중복검사!$J4783="유지")</f>
        <v>0</v>
      </c>
      <c r="I4785" s="5" t="str">
        <f aca="false">IF($H4785=FALSE(),"",COUNTIF($H$6:$H4785,TRUE()))</f>
        <v/>
      </c>
      <c r="J4785" s="5" t="str">
        <f aca="false">IF($I4785="","","R"&amp;$I4785)</f>
        <v/>
      </c>
    </row>
    <row r="4786" customFormat="false" ht="15" hidden="false" customHeight="true" outlineLevel="0" collapsed="false">
      <c r="H4786" s="14" t="b">
        <f aca="false">IF(중복검사!$A4784="",FALSE(),중복검사!$J4784="유지")</f>
        <v>0</v>
      </c>
      <c r="I4786" s="5" t="str">
        <f aca="false">IF($H4786=FALSE(),"",COUNTIF($H$6:$H4786,TRUE()))</f>
        <v/>
      </c>
      <c r="J4786" s="5" t="str">
        <f aca="false">IF($I4786="","","R"&amp;$I4786)</f>
        <v/>
      </c>
    </row>
    <row r="4787" customFormat="false" ht="15" hidden="false" customHeight="true" outlineLevel="0" collapsed="false">
      <c r="H4787" s="14" t="b">
        <f aca="false">IF(중복검사!$A4785="",FALSE(),중복검사!$J4785="유지")</f>
        <v>0</v>
      </c>
      <c r="I4787" s="5" t="str">
        <f aca="false">IF($H4787=FALSE(),"",COUNTIF($H$6:$H4787,TRUE()))</f>
        <v/>
      </c>
      <c r="J4787" s="5" t="str">
        <f aca="false">IF($I4787="","","R"&amp;$I4787)</f>
        <v/>
      </c>
    </row>
    <row r="4788" customFormat="false" ht="15" hidden="false" customHeight="true" outlineLevel="0" collapsed="false">
      <c r="H4788" s="14" t="b">
        <f aca="false">IF(중복검사!$A4786="",FALSE(),중복검사!$J4786="유지")</f>
        <v>0</v>
      </c>
      <c r="I4788" s="5" t="str">
        <f aca="false">IF($H4788=FALSE(),"",COUNTIF($H$6:$H4788,TRUE()))</f>
        <v/>
      </c>
      <c r="J4788" s="5" t="str">
        <f aca="false">IF($I4788="","","R"&amp;$I4788)</f>
        <v/>
      </c>
    </row>
    <row r="4789" customFormat="false" ht="15" hidden="false" customHeight="true" outlineLevel="0" collapsed="false">
      <c r="H4789" s="14" t="b">
        <f aca="false">IF(중복검사!$A4787="",FALSE(),중복검사!$J4787="유지")</f>
        <v>0</v>
      </c>
      <c r="I4789" s="5" t="str">
        <f aca="false">IF($H4789=FALSE(),"",COUNTIF($H$6:$H4789,TRUE()))</f>
        <v/>
      </c>
      <c r="J4789" s="5" t="str">
        <f aca="false">IF($I4789="","","R"&amp;$I4789)</f>
        <v/>
      </c>
    </row>
    <row r="4790" customFormat="false" ht="15" hidden="false" customHeight="true" outlineLevel="0" collapsed="false">
      <c r="H4790" s="14" t="b">
        <f aca="false">IF(중복검사!$A4788="",FALSE(),중복검사!$J4788="유지")</f>
        <v>0</v>
      </c>
      <c r="I4790" s="5" t="str">
        <f aca="false">IF($H4790=FALSE(),"",COUNTIF($H$6:$H4790,TRUE()))</f>
        <v/>
      </c>
      <c r="J4790" s="5" t="str">
        <f aca="false">IF($I4790="","","R"&amp;$I4790)</f>
        <v/>
      </c>
    </row>
    <row r="4791" customFormat="false" ht="15" hidden="false" customHeight="true" outlineLevel="0" collapsed="false">
      <c r="H4791" s="14" t="b">
        <f aca="false">IF(중복검사!$A4789="",FALSE(),중복검사!$J4789="유지")</f>
        <v>0</v>
      </c>
      <c r="I4791" s="5" t="str">
        <f aca="false">IF($H4791=FALSE(),"",COUNTIF($H$6:$H4791,TRUE()))</f>
        <v/>
      </c>
      <c r="J4791" s="5" t="str">
        <f aca="false">IF($I4791="","","R"&amp;$I4791)</f>
        <v/>
      </c>
    </row>
    <row r="4792" customFormat="false" ht="15" hidden="false" customHeight="true" outlineLevel="0" collapsed="false">
      <c r="H4792" s="14" t="b">
        <f aca="false">IF(중복검사!$A4790="",FALSE(),중복검사!$J4790="유지")</f>
        <v>0</v>
      </c>
      <c r="I4792" s="5" t="str">
        <f aca="false">IF($H4792=FALSE(),"",COUNTIF($H$6:$H4792,TRUE()))</f>
        <v/>
      </c>
      <c r="J4792" s="5" t="str">
        <f aca="false">IF($I4792="","","R"&amp;$I4792)</f>
        <v/>
      </c>
    </row>
    <row r="4793" customFormat="false" ht="15" hidden="false" customHeight="true" outlineLevel="0" collapsed="false">
      <c r="H4793" s="14" t="b">
        <f aca="false">IF(중복검사!$A4791="",FALSE(),중복검사!$J4791="유지")</f>
        <v>0</v>
      </c>
      <c r="I4793" s="5" t="str">
        <f aca="false">IF($H4793=FALSE(),"",COUNTIF($H$6:$H4793,TRUE()))</f>
        <v/>
      </c>
      <c r="J4793" s="5" t="str">
        <f aca="false">IF($I4793="","","R"&amp;$I4793)</f>
        <v/>
      </c>
    </row>
    <row r="4794" customFormat="false" ht="15" hidden="false" customHeight="true" outlineLevel="0" collapsed="false">
      <c r="H4794" s="14" t="b">
        <f aca="false">IF(중복검사!$A4792="",FALSE(),중복검사!$J4792="유지")</f>
        <v>0</v>
      </c>
      <c r="I4794" s="5" t="str">
        <f aca="false">IF($H4794=FALSE(),"",COUNTIF($H$6:$H4794,TRUE()))</f>
        <v/>
      </c>
      <c r="J4794" s="5" t="str">
        <f aca="false">IF($I4794="","","R"&amp;$I4794)</f>
        <v/>
      </c>
    </row>
    <row r="4795" customFormat="false" ht="15" hidden="false" customHeight="true" outlineLevel="0" collapsed="false">
      <c r="H4795" s="14" t="b">
        <f aca="false">IF(중복검사!$A4793="",FALSE(),중복검사!$J4793="유지")</f>
        <v>0</v>
      </c>
      <c r="I4795" s="5" t="str">
        <f aca="false">IF($H4795=FALSE(),"",COUNTIF($H$6:$H4795,TRUE()))</f>
        <v/>
      </c>
      <c r="J4795" s="5" t="str">
        <f aca="false">IF($I4795="","","R"&amp;$I4795)</f>
        <v/>
      </c>
    </row>
    <row r="4796" customFormat="false" ht="15" hidden="false" customHeight="true" outlineLevel="0" collapsed="false">
      <c r="H4796" s="14" t="b">
        <f aca="false">IF(중복검사!$A4794="",FALSE(),중복검사!$J4794="유지")</f>
        <v>0</v>
      </c>
      <c r="I4796" s="5" t="str">
        <f aca="false">IF($H4796=FALSE(),"",COUNTIF($H$6:$H4796,TRUE()))</f>
        <v/>
      </c>
      <c r="J4796" s="5" t="str">
        <f aca="false">IF($I4796="","","R"&amp;$I4796)</f>
        <v/>
      </c>
    </row>
    <row r="4797" customFormat="false" ht="15" hidden="false" customHeight="true" outlineLevel="0" collapsed="false">
      <c r="H4797" s="14" t="b">
        <f aca="false">IF(중복검사!$A4795="",FALSE(),중복검사!$J4795="유지")</f>
        <v>0</v>
      </c>
      <c r="I4797" s="5" t="str">
        <f aca="false">IF($H4797=FALSE(),"",COUNTIF($H$6:$H4797,TRUE()))</f>
        <v/>
      </c>
      <c r="J4797" s="5" t="str">
        <f aca="false">IF($I4797="","","R"&amp;$I4797)</f>
        <v/>
      </c>
    </row>
    <row r="4798" customFormat="false" ht="15" hidden="false" customHeight="true" outlineLevel="0" collapsed="false">
      <c r="H4798" s="14" t="b">
        <f aca="false">IF(중복검사!$A4796="",FALSE(),중복검사!$J4796="유지")</f>
        <v>0</v>
      </c>
      <c r="I4798" s="5" t="str">
        <f aca="false">IF($H4798=FALSE(),"",COUNTIF($H$6:$H4798,TRUE()))</f>
        <v/>
      </c>
      <c r="J4798" s="5" t="str">
        <f aca="false">IF($I4798="","","R"&amp;$I4798)</f>
        <v/>
      </c>
    </row>
    <row r="4799" customFormat="false" ht="15" hidden="false" customHeight="true" outlineLevel="0" collapsed="false">
      <c r="H4799" s="14" t="b">
        <f aca="false">IF(중복검사!$A4797="",FALSE(),중복검사!$J4797="유지")</f>
        <v>0</v>
      </c>
      <c r="I4799" s="5" t="str">
        <f aca="false">IF($H4799=FALSE(),"",COUNTIF($H$6:$H4799,TRUE()))</f>
        <v/>
      </c>
      <c r="J4799" s="5" t="str">
        <f aca="false">IF($I4799="","","R"&amp;$I4799)</f>
        <v/>
      </c>
    </row>
    <row r="4800" customFormat="false" ht="15" hidden="false" customHeight="true" outlineLevel="0" collapsed="false">
      <c r="H4800" s="14" t="b">
        <f aca="false">IF(중복검사!$A4798="",FALSE(),중복검사!$J4798="유지")</f>
        <v>0</v>
      </c>
      <c r="I4800" s="5" t="str">
        <f aca="false">IF($H4800=FALSE(),"",COUNTIF($H$6:$H4800,TRUE()))</f>
        <v/>
      </c>
      <c r="J4800" s="5" t="str">
        <f aca="false">IF($I4800="","","R"&amp;$I4800)</f>
        <v/>
      </c>
    </row>
    <row r="4801" customFormat="false" ht="15" hidden="false" customHeight="true" outlineLevel="0" collapsed="false">
      <c r="H4801" s="14" t="b">
        <f aca="false">IF(중복검사!$A4799="",FALSE(),중복검사!$J4799="유지")</f>
        <v>0</v>
      </c>
      <c r="I4801" s="5" t="str">
        <f aca="false">IF($H4801=FALSE(),"",COUNTIF($H$6:$H4801,TRUE()))</f>
        <v/>
      </c>
      <c r="J4801" s="5" t="str">
        <f aca="false">IF($I4801="","","R"&amp;$I4801)</f>
        <v/>
      </c>
    </row>
    <row r="4802" customFormat="false" ht="15" hidden="false" customHeight="true" outlineLevel="0" collapsed="false">
      <c r="H4802" s="14" t="b">
        <f aca="false">IF(중복검사!$A4800="",FALSE(),중복검사!$J4800="유지")</f>
        <v>0</v>
      </c>
      <c r="I4802" s="5" t="str">
        <f aca="false">IF($H4802=FALSE(),"",COUNTIF($H$6:$H4802,TRUE()))</f>
        <v/>
      </c>
      <c r="J4802" s="5" t="str">
        <f aca="false">IF($I4802="","","R"&amp;$I4802)</f>
        <v/>
      </c>
    </row>
    <row r="4803" customFormat="false" ht="15" hidden="false" customHeight="true" outlineLevel="0" collapsed="false">
      <c r="H4803" s="14" t="b">
        <f aca="false">IF(중복검사!$A4801="",FALSE(),중복검사!$J4801="유지")</f>
        <v>0</v>
      </c>
      <c r="I4803" s="5" t="str">
        <f aca="false">IF($H4803=FALSE(),"",COUNTIF($H$6:$H4803,TRUE()))</f>
        <v/>
      </c>
      <c r="J4803" s="5" t="str">
        <f aca="false">IF($I4803="","","R"&amp;$I4803)</f>
        <v/>
      </c>
    </row>
    <row r="4804" customFormat="false" ht="15" hidden="false" customHeight="true" outlineLevel="0" collapsed="false">
      <c r="H4804" s="14" t="b">
        <f aca="false">IF(중복검사!$A4802="",FALSE(),중복검사!$J4802="유지")</f>
        <v>0</v>
      </c>
      <c r="I4804" s="5" t="str">
        <f aca="false">IF($H4804=FALSE(),"",COUNTIF($H$6:$H4804,TRUE()))</f>
        <v/>
      </c>
      <c r="J4804" s="5" t="str">
        <f aca="false">IF($I4804="","","R"&amp;$I4804)</f>
        <v/>
      </c>
    </row>
    <row r="4805" customFormat="false" ht="15" hidden="false" customHeight="true" outlineLevel="0" collapsed="false">
      <c r="H4805" s="14" t="b">
        <f aca="false">IF(중복검사!$A4803="",FALSE(),중복검사!$J4803="유지")</f>
        <v>0</v>
      </c>
      <c r="I4805" s="5" t="str">
        <f aca="false">IF($H4805=FALSE(),"",COUNTIF($H$6:$H4805,TRUE()))</f>
        <v/>
      </c>
      <c r="J4805" s="5" t="str">
        <f aca="false">IF($I4805="","","R"&amp;$I4805)</f>
        <v/>
      </c>
    </row>
    <row r="4806" customFormat="false" ht="15" hidden="false" customHeight="true" outlineLevel="0" collapsed="false">
      <c r="H4806" s="14" t="b">
        <f aca="false">IF(중복검사!$A4804="",FALSE(),중복검사!$J4804="유지")</f>
        <v>0</v>
      </c>
      <c r="I4806" s="5" t="str">
        <f aca="false">IF($H4806=FALSE(),"",COUNTIF($H$6:$H4806,TRUE()))</f>
        <v/>
      </c>
      <c r="J4806" s="5" t="str">
        <f aca="false">IF($I4806="","","R"&amp;$I4806)</f>
        <v/>
      </c>
    </row>
    <row r="4807" customFormat="false" ht="15" hidden="false" customHeight="true" outlineLevel="0" collapsed="false">
      <c r="H4807" s="14" t="b">
        <f aca="false">IF(중복검사!$A4805="",FALSE(),중복검사!$J4805="유지")</f>
        <v>0</v>
      </c>
      <c r="I4807" s="5" t="str">
        <f aca="false">IF($H4807=FALSE(),"",COUNTIF($H$6:$H4807,TRUE()))</f>
        <v/>
      </c>
      <c r="J4807" s="5" t="str">
        <f aca="false">IF($I4807="","","R"&amp;$I4807)</f>
        <v/>
      </c>
    </row>
    <row r="4808" customFormat="false" ht="15" hidden="false" customHeight="true" outlineLevel="0" collapsed="false">
      <c r="H4808" s="14" t="b">
        <f aca="false">IF(중복검사!$A4806="",FALSE(),중복검사!$J4806="유지")</f>
        <v>0</v>
      </c>
      <c r="I4808" s="5" t="str">
        <f aca="false">IF($H4808=FALSE(),"",COUNTIF($H$6:$H4808,TRUE()))</f>
        <v/>
      </c>
      <c r="J4808" s="5" t="str">
        <f aca="false">IF($I4808="","","R"&amp;$I4808)</f>
        <v/>
      </c>
    </row>
    <row r="4809" customFormat="false" ht="15" hidden="false" customHeight="true" outlineLevel="0" collapsed="false">
      <c r="H4809" s="14" t="b">
        <f aca="false">IF(중복검사!$A4807="",FALSE(),중복검사!$J4807="유지")</f>
        <v>0</v>
      </c>
      <c r="I4809" s="5" t="str">
        <f aca="false">IF($H4809=FALSE(),"",COUNTIF($H$6:$H4809,TRUE()))</f>
        <v/>
      </c>
      <c r="J4809" s="5" t="str">
        <f aca="false">IF($I4809="","","R"&amp;$I4809)</f>
        <v/>
      </c>
    </row>
    <row r="4810" customFormat="false" ht="15" hidden="false" customHeight="true" outlineLevel="0" collapsed="false">
      <c r="H4810" s="14" t="b">
        <f aca="false">IF(중복검사!$A4808="",FALSE(),중복검사!$J4808="유지")</f>
        <v>0</v>
      </c>
      <c r="I4810" s="5" t="str">
        <f aca="false">IF($H4810=FALSE(),"",COUNTIF($H$6:$H4810,TRUE()))</f>
        <v/>
      </c>
      <c r="J4810" s="5" t="str">
        <f aca="false">IF($I4810="","","R"&amp;$I4810)</f>
        <v/>
      </c>
    </row>
    <row r="4811" customFormat="false" ht="15" hidden="false" customHeight="true" outlineLevel="0" collapsed="false">
      <c r="H4811" s="14" t="b">
        <f aca="false">IF(중복검사!$A4809="",FALSE(),중복검사!$J4809="유지")</f>
        <v>0</v>
      </c>
      <c r="I4811" s="5" t="str">
        <f aca="false">IF($H4811=FALSE(),"",COUNTIF($H$6:$H4811,TRUE()))</f>
        <v/>
      </c>
      <c r="J4811" s="5" t="str">
        <f aca="false">IF($I4811="","","R"&amp;$I4811)</f>
        <v/>
      </c>
    </row>
    <row r="4812" customFormat="false" ht="15" hidden="false" customHeight="true" outlineLevel="0" collapsed="false">
      <c r="H4812" s="14" t="b">
        <f aca="false">IF(중복검사!$A4810="",FALSE(),중복검사!$J4810="유지")</f>
        <v>0</v>
      </c>
      <c r="I4812" s="5" t="str">
        <f aca="false">IF($H4812=FALSE(),"",COUNTIF($H$6:$H4812,TRUE()))</f>
        <v/>
      </c>
      <c r="J4812" s="5" t="str">
        <f aca="false">IF($I4812="","","R"&amp;$I4812)</f>
        <v/>
      </c>
    </row>
    <row r="4813" customFormat="false" ht="15" hidden="false" customHeight="true" outlineLevel="0" collapsed="false">
      <c r="H4813" s="14" t="b">
        <f aca="false">IF(중복검사!$A4811="",FALSE(),중복검사!$J4811="유지")</f>
        <v>0</v>
      </c>
      <c r="I4813" s="5" t="str">
        <f aca="false">IF($H4813=FALSE(),"",COUNTIF($H$6:$H4813,TRUE()))</f>
        <v/>
      </c>
      <c r="J4813" s="5" t="str">
        <f aca="false">IF($I4813="","","R"&amp;$I4813)</f>
        <v/>
      </c>
    </row>
    <row r="4814" customFormat="false" ht="15" hidden="false" customHeight="true" outlineLevel="0" collapsed="false">
      <c r="H4814" s="14" t="b">
        <f aca="false">IF(중복검사!$A4812="",FALSE(),중복검사!$J4812="유지")</f>
        <v>0</v>
      </c>
      <c r="I4814" s="5" t="str">
        <f aca="false">IF($H4814=FALSE(),"",COUNTIF($H$6:$H4814,TRUE()))</f>
        <v/>
      </c>
      <c r="J4814" s="5" t="str">
        <f aca="false">IF($I4814="","","R"&amp;$I4814)</f>
        <v/>
      </c>
    </row>
    <row r="4815" customFormat="false" ht="15" hidden="false" customHeight="true" outlineLevel="0" collapsed="false">
      <c r="H4815" s="14" t="b">
        <f aca="false">IF(중복검사!$A4813="",FALSE(),중복검사!$J4813="유지")</f>
        <v>0</v>
      </c>
      <c r="I4815" s="5" t="str">
        <f aca="false">IF($H4815=FALSE(),"",COUNTIF($H$6:$H4815,TRUE()))</f>
        <v/>
      </c>
      <c r="J4815" s="5" t="str">
        <f aca="false">IF($I4815="","","R"&amp;$I4815)</f>
        <v/>
      </c>
    </row>
    <row r="4816" customFormat="false" ht="15" hidden="false" customHeight="true" outlineLevel="0" collapsed="false">
      <c r="H4816" s="14" t="b">
        <f aca="false">IF(중복검사!$A4814="",FALSE(),중복검사!$J4814="유지")</f>
        <v>0</v>
      </c>
      <c r="I4816" s="5" t="str">
        <f aca="false">IF($H4816=FALSE(),"",COUNTIF($H$6:$H4816,TRUE()))</f>
        <v/>
      </c>
      <c r="J4816" s="5" t="str">
        <f aca="false">IF($I4816="","","R"&amp;$I4816)</f>
        <v/>
      </c>
    </row>
    <row r="4817" customFormat="false" ht="15" hidden="false" customHeight="true" outlineLevel="0" collapsed="false">
      <c r="H4817" s="14" t="b">
        <f aca="false">IF(중복검사!$A4815="",FALSE(),중복검사!$J4815="유지")</f>
        <v>0</v>
      </c>
      <c r="I4817" s="5" t="str">
        <f aca="false">IF($H4817=FALSE(),"",COUNTIF($H$6:$H4817,TRUE()))</f>
        <v/>
      </c>
      <c r="J4817" s="5" t="str">
        <f aca="false">IF($I4817="","","R"&amp;$I4817)</f>
        <v/>
      </c>
    </row>
    <row r="4818" customFormat="false" ht="15" hidden="false" customHeight="true" outlineLevel="0" collapsed="false">
      <c r="H4818" s="14" t="b">
        <f aca="false">IF(중복검사!$A4816="",FALSE(),중복검사!$J4816="유지")</f>
        <v>0</v>
      </c>
      <c r="I4818" s="5" t="str">
        <f aca="false">IF($H4818=FALSE(),"",COUNTIF($H$6:$H4818,TRUE()))</f>
        <v/>
      </c>
      <c r="J4818" s="5" t="str">
        <f aca="false">IF($I4818="","","R"&amp;$I4818)</f>
        <v/>
      </c>
    </row>
    <row r="4819" customFormat="false" ht="15" hidden="false" customHeight="true" outlineLevel="0" collapsed="false">
      <c r="H4819" s="14" t="b">
        <f aca="false">IF(중복검사!$A4817="",FALSE(),중복검사!$J4817="유지")</f>
        <v>0</v>
      </c>
      <c r="I4819" s="5" t="str">
        <f aca="false">IF($H4819=FALSE(),"",COUNTIF($H$6:$H4819,TRUE()))</f>
        <v/>
      </c>
      <c r="J4819" s="5" t="str">
        <f aca="false">IF($I4819="","","R"&amp;$I4819)</f>
        <v/>
      </c>
    </row>
    <row r="4820" customFormat="false" ht="15" hidden="false" customHeight="true" outlineLevel="0" collapsed="false">
      <c r="H4820" s="14" t="b">
        <f aca="false">IF(중복검사!$A4818="",FALSE(),중복검사!$J4818="유지")</f>
        <v>0</v>
      </c>
      <c r="I4820" s="5" t="str">
        <f aca="false">IF($H4820=FALSE(),"",COUNTIF($H$6:$H4820,TRUE()))</f>
        <v/>
      </c>
      <c r="J4820" s="5" t="str">
        <f aca="false">IF($I4820="","","R"&amp;$I4820)</f>
        <v/>
      </c>
    </row>
    <row r="4821" customFormat="false" ht="15" hidden="false" customHeight="true" outlineLevel="0" collapsed="false">
      <c r="H4821" s="14" t="b">
        <f aca="false">IF(중복검사!$A4819="",FALSE(),중복검사!$J4819="유지")</f>
        <v>0</v>
      </c>
      <c r="I4821" s="5" t="str">
        <f aca="false">IF($H4821=FALSE(),"",COUNTIF($H$6:$H4821,TRUE()))</f>
        <v/>
      </c>
      <c r="J4821" s="5" t="str">
        <f aca="false">IF($I4821="","","R"&amp;$I4821)</f>
        <v/>
      </c>
    </row>
    <row r="4822" customFormat="false" ht="15" hidden="false" customHeight="true" outlineLevel="0" collapsed="false">
      <c r="H4822" s="14" t="b">
        <f aca="false">IF(중복검사!$A4820="",FALSE(),중복검사!$J4820="유지")</f>
        <v>0</v>
      </c>
      <c r="I4822" s="5" t="str">
        <f aca="false">IF($H4822=FALSE(),"",COUNTIF($H$6:$H4822,TRUE()))</f>
        <v/>
      </c>
      <c r="J4822" s="5" t="str">
        <f aca="false">IF($I4822="","","R"&amp;$I4822)</f>
        <v/>
      </c>
    </row>
    <row r="4823" customFormat="false" ht="15" hidden="false" customHeight="true" outlineLevel="0" collapsed="false">
      <c r="H4823" s="14" t="b">
        <f aca="false">IF(중복검사!$A4821="",FALSE(),중복검사!$J4821="유지")</f>
        <v>0</v>
      </c>
      <c r="I4823" s="5" t="str">
        <f aca="false">IF($H4823=FALSE(),"",COUNTIF($H$6:$H4823,TRUE()))</f>
        <v/>
      </c>
      <c r="J4823" s="5" t="str">
        <f aca="false">IF($I4823="","","R"&amp;$I4823)</f>
        <v/>
      </c>
    </row>
    <row r="4824" customFormat="false" ht="15" hidden="false" customHeight="true" outlineLevel="0" collapsed="false">
      <c r="H4824" s="14" t="b">
        <f aca="false">IF(중복검사!$A4822="",FALSE(),중복검사!$J4822="유지")</f>
        <v>0</v>
      </c>
      <c r="I4824" s="5" t="str">
        <f aca="false">IF($H4824=FALSE(),"",COUNTIF($H$6:$H4824,TRUE()))</f>
        <v/>
      </c>
      <c r="J4824" s="5" t="str">
        <f aca="false">IF($I4824="","","R"&amp;$I4824)</f>
        <v/>
      </c>
    </row>
    <row r="4825" customFormat="false" ht="15" hidden="false" customHeight="true" outlineLevel="0" collapsed="false">
      <c r="H4825" s="14" t="b">
        <f aca="false">IF(중복검사!$A4823="",FALSE(),중복검사!$J4823="유지")</f>
        <v>0</v>
      </c>
      <c r="I4825" s="5" t="str">
        <f aca="false">IF($H4825=FALSE(),"",COUNTIF($H$6:$H4825,TRUE()))</f>
        <v/>
      </c>
      <c r="J4825" s="5" t="str">
        <f aca="false">IF($I4825="","","R"&amp;$I4825)</f>
        <v/>
      </c>
    </row>
    <row r="4826" customFormat="false" ht="15" hidden="false" customHeight="true" outlineLevel="0" collapsed="false">
      <c r="H4826" s="14" t="b">
        <f aca="false">IF(중복검사!$A4824="",FALSE(),중복검사!$J4824="유지")</f>
        <v>0</v>
      </c>
      <c r="I4826" s="5" t="str">
        <f aca="false">IF($H4826=FALSE(),"",COUNTIF($H$6:$H4826,TRUE()))</f>
        <v/>
      </c>
      <c r="J4826" s="5" t="str">
        <f aca="false">IF($I4826="","","R"&amp;$I4826)</f>
        <v/>
      </c>
    </row>
    <row r="4827" customFormat="false" ht="15" hidden="false" customHeight="true" outlineLevel="0" collapsed="false">
      <c r="H4827" s="14" t="b">
        <f aca="false">IF(중복검사!$A4825="",FALSE(),중복검사!$J4825="유지")</f>
        <v>0</v>
      </c>
      <c r="I4827" s="5" t="str">
        <f aca="false">IF($H4827=FALSE(),"",COUNTIF($H$6:$H4827,TRUE()))</f>
        <v/>
      </c>
      <c r="J4827" s="5" t="str">
        <f aca="false">IF($I4827="","","R"&amp;$I4827)</f>
        <v/>
      </c>
    </row>
    <row r="4828" customFormat="false" ht="15" hidden="false" customHeight="true" outlineLevel="0" collapsed="false">
      <c r="H4828" s="14" t="b">
        <f aca="false">IF(중복검사!$A4826="",FALSE(),중복검사!$J4826="유지")</f>
        <v>0</v>
      </c>
      <c r="I4828" s="5" t="str">
        <f aca="false">IF($H4828=FALSE(),"",COUNTIF($H$6:$H4828,TRUE()))</f>
        <v/>
      </c>
      <c r="J4828" s="5" t="str">
        <f aca="false">IF($I4828="","","R"&amp;$I4828)</f>
        <v/>
      </c>
    </row>
    <row r="4829" customFormat="false" ht="15" hidden="false" customHeight="true" outlineLevel="0" collapsed="false">
      <c r="H4829" s="14" t="b">
        <f aca="false">IF(중복검사!$A4827="",FALSE(),중복검사!$J4827="유지")</f>
        <v>0</v>
      </c>
      <c r="I4829" s="5" t="str">
        <f aca="false">IF($H4829=FALSE(),"",COUNTIF($H$6:$H4829,TRUE()))</f>
        <v/>
      </c>
      <c r="J4829" s="5" t="str">
        <f aca="false">IF($I4829="","","R"&amp;$I4829)</f>
        <v/>
      </c>
    </row>
    <row r="4830" customFormat="false" ht="15" hidden="false" customHeight="true" outlineLevel="0" collapsed="false">
      <c r="H4830" s="14" t="b">
        <f aca="false">IF(중복검사!$A4828="",FALSE(),중복검사!$J4828="유지")</f>
        <v>0</v>
      </c>
      <c r="I4830" s="5" t="str">
        <f aca="false">IF($H4830=FALSE(),"",COUNTIF($H$6:$H4830,TRUE()))</f>
        <v/>
      </c>
      <c r="J4830" s="5" t="str">
        <f aca="false">IF($I4830="","","R"&amp;$I4830)</f>
        <v/>
      </c>
    </row>
    <row r="4831" customFormat="false" ht="15" hidden="false" customHeight="true" outlineLevel="0" collapsed="false">
      <c r="H4831" s="14" t="b">
        <f aca="false">IF(중복검사!$A4829="",FALSE(),중복검사!$J4829="유지")</f>
        <v>0</v>
      </c>
      <c r="I4831" s="5" t="str">
        <f aca="false">IF($H4831=FALSE(),"",COUNTIF($H$6:$H4831,TRUE()))</f>
        <v/>
      </c>
      <c r="J4831" s="5" t="str">
        <f aca="false">IF($I4831="","","R"&amp;$I4831)</f>
        <v/>
      </c>
    </row>
    <row r="4832" customFormat="false" ht="15" hidden="false" customHeight="true" outlineLevel="0" collapsed="false">
      <c r="H4832" s="14" t="b">
        <f aca="false">IF(중복검사!$A4830="",FALSE(),중복검사!$J4830="유지")</f>
        <v>0</v>
      </c>
      <c r="I4832" s="5" t="str">
        <f aca="false">IF($H4832=FALSE(),"",COUNTIF($H$6:$H4832,TRUE()))</f>
        <v/>
      </c>
      <c r="J4832" s="5" t="str">
        <f aca="false">IF($I4832="","","R"&amp;$I4832)</f>
        <v/>
      </c>
    </row>
    <row r="4833" customFormat="false" ht="15" hidden="false" customHeight="true" outlineLevel="0" collapsed="false">
      <c r="H4833" s="14" t="b">
        <f aca="false">IF(중복검사!$A4831="",FALSE(),중복검사!$J4831="유지")</f>
        <v>0</v>
      </c>
      <c r="I4833" s="5" t="str">
        <f aca="false">IF($H4833=FALSE(),"",COUNTIF($H$6:$H4833,TRUE()))</f>
        <v/>
      </c>
      <c r="J4833" s="5" t="str">
        <f aca="false">IF($I4833="","","R"&amp;$I4833)</f>
        <v/>
      </c>
    </row>
    <row r="4834" customFormat="false" ht="15" hidden="false" customHeight="true" outlineLevel="0" collapsed="false">
      <c r="H4834" s="14" t="b">
        <f aca="false">IF(중복검사!$A4832="",FALSE(),중복검사!$J4832="유지")</f>
        <v>0</v>
      </c>
      <c r="I4834" s="5" t="str">
        <f aca="false">IF($H4834=FALSE(),"",COUNTIF($H$6:$H4834,TRUE()))</f>
        <v/>
      </c>
      <c r="J4834" s="5" t="str">
        <f aca="false">IF($I4834="","","R"&amp;$I4834)</f>
        <v/>
      </c>
    </row>
    <row r="4835" customFormat="false" ht="15" hidden="false" customHeight="true" outlineLevel="0" collapsed="false">
      <c r="H4835" s="14" t="b">
        <f aca="false">IF(중복검사!$A4833="",FALSE(),중복검사!$J4833="유지")</f>
        <v>0</v>
      </c>
      <c r="I4835" s="5" t="str">
        <f aca="false">IF($H4835=FALSE(),"",COUNTIF($H$6:$H4835,TRUE()))</f>
        <v/>
      </c>
      <c r="J4835" s="5" t="str">
        <f aca="false">IF($I4835="","","R"&amp;$I4835)</f>
        <v/>
      </c>
    </row>
    <row r="4836" customFormat="false" ht="15" hidden="false" customHeight="true" outlineLevel="0" collapsed="false">
      <c r="H4836" s="14" t="b">
        <f aca="false">IF(중복검사!$A4834="",FALSE(),중복검사!$J4834="유지")</f>
        <v>0</v>
      </c>
      <c r="I4836" s="5" t="str">
        <f aca="false">IF($H4836=FALSE(),"",COUNTIF($H$6:$H4836,TRUE()))</f>
        <v/>
      </c>
      <c r="J4836" s="5" t="str">
        <f aca="false">IF($I4836="","","R"&amp;$I4836)</f>
        <v/>
      </c>
    </row>
    <row r="4837" customFormat="false" ht="15" hidden="false" customHeight="true" outlineLevel="0" collapsed="false">
      <c r="H4837" s="14" t="b">
        <f aca="false">IF(중복검사!$A4835="",FALSE(),중복검사!$J4835="유지")</f>
        <v>0</v>
      </c>
      <c r="I4837" s="5" t="str">
        <f aca="false">IF($H4837=FALSE(),"",COUNTIF($H$6:$H4837,TRUE()))</f>
        <v/>
      </c>
      <c r="J4837" s="5" t="str">
        <f aca="false">IF($I4837="","","R"&amp;$I4837)</f>
        <v/>
      </c>
    </row>
    <row r="4838" customFormat="false" ht="15" hidden="false" customHeight="true" outlineLevel="0" collapsed="false">
      <c r="H4838" s="14" t="b">
        <f aca="false">IF(중복검사!$A4836="",FALSE(),중복검사!$J4836="유지")</f>
        <v>0</v>
      </c>
      <c r="I4838" s="5" t="str">
        <f aca="false">IF($H4838=FALSE(),"",COUNTIF($H$6:$H4838,TRUE()))</f>
        <v/>
      </c>
      <c r="J4838" s="5" t="str">
        <f aca="false">IF($I4838="","","R"&amp;$I4838)</f>
        <v/>
      </c>
    </row>
    <row r="4839" customFormat="false" ht="15" hidden="false" customHeight="true" outlineLevel="0" collapsed="false">
      <c r="H4839" s="14" t="b">
        <f aca="false">IF(중복검사!$A4837="",FALSE(),중복검사!$J4837="유지")</f>
        <v>0</v>
      </c>
      <c r="I4839" s="5" t="str">
        <f aca="false">IF($H4839=FALSE(),"",COUNTIF($H$6:$H4839,TRUE()))</f>
        <v/>
      </c>
      <c r="J4839" s="5" t="str">
        <f aca="false">IF($I4839="","","R"&amp;$I4839)</f>
        <v/>
      </c>
    </row>
    <row r="4840" customFormat="false" ht="15" hidden="false" customHeight="true" outlineLevel="0" collapsed="false">
      <c r="H4840" s="14" t="b">
        <f aca="false">IF(중복검사!$A4838="",FALSE(),중복검사!$J4838="유지")</f>
        <v>0</v>
      </c>
      <c r="I4840" s="5" t="str">
        <f aca="false">IF($H4840=FALSE(),"",COUNTIF($H$6:$H4840,TRUE()))</f>
        <v/>
      </c>
      <c r="J4840" s="5" t="str">
        <f aca="false">IF($I4840="","","R"&amp;$I4840)</f>
        <v/>
      </c>
    </row>
    <row r="4841" customFormat="false" ht="15" hidden="false" customHeight="true" outlineLevel="0" collapsed="false">
      <c r="H4841" s="14" t="b">
        <f aca="false">IF(중복검사!$A4839="",FALSE(),중복검사!$J4839="유지")</f>
        <v>0</v>
      </c>
      <c r="I4841" s="5" t="str">
        <f aca="false">IF($H4841=FALSE(),"",COUNTIF($H$6:$H4841,TRUE()))</f>
        <v/>
      </c>
      <c r="J4841" s="5" t="str">
        <f aca="false">IF($I4841="","","R"&amp;$I4841)</f>
        <v/>
      </c>
    </row>
    <row r="4842" customFormat="false" ht="15" hidden="false" customHeight="true" outlineLevel="0" collapsed="false">
      <c r="H4842" s="14" t="b">
        <f aca="false">IF(중복검사!$A4840="",FALSE(),중복검사!$J4840="유지")</f>
        <v>0</v>
      </c>
      <c r="I4842" s="5" t="str">
        <f aca="false">IF($H4842=FALSE(),"",COUNTIF($H$6:$H4842,TRUE()))</f>
        <v/>
      </c>
      <c r="J4842" s="5" t="str">
        <f aca="false">IF($I4842="","","R"&amp;$I4842)</f>
        <v/>
      </c>
    </row>
    <row r="4843" customFormat="false" ht="15" hidden="false" customHeight="true" outlineLevel="0" collapsed="false">
      <c r="H4843" s="14" t="b">
        <f aca="false">IF(중복검사!$A4841="",FALSE(),중복검사!$J4841="유지")</f>
        <v>0</v>
      </c>
      <c r="I4843" s="5" t="str">
        <f aca="false">IF($H4843=FALSE(),"",COUNTIF($H$6:$H4843,TRUE()))</f>
        <v/>
      </c>
      <c r="J4843" s="5" t="str">
        <f aca="false">IF($I4843="","","R"&amp;$I4843)</f>
        <v/>
      </c>
    </row>
    <row r="4844" customFormat="false" ht="15" hidden="false" customHeight="true" outlineLevel="0" collapsed="false">
      <c r="H4844" s="14" t="b">
        <f aca="false">IF(중복검사!$A4842="",FALSE(),중복검사!$J4842="유지")</f>
        <v>0</v>
      </c>
      <c r="I4844" s="5" t="str">
        <f aca="false">IF($H4844=FALSE(),"",COUNTIF($H$6:$H4844,TRUE()))</f>
        <v/>
      </c>
      <c r="J4844" s="5" t="str">
        <f aca="false">IF($I4844="","","R"&amp;$I4844)</f>
        <v/>
      </c>
    </row>
    <row r="4845" customFormat="false" ht="15" hidden="false" customHeight="true" outlineLevel="0" collapsed="false">
      <c r="H4845" s="14" t="b">
        <f aca="false">IF(중복검사!$A4843="",FALSE(),중복검사!$J4843="유지")</f>
        <v>0</v>
      </c>
      <c r="I4845" s="5" t="str">
        <f aca="false">IF($H4845=FALSE(),"",COUNTIF($H$6:$H4845,TRUE()))</f>
        <v/>
      </c>
      <c r="J4845" s="5" t="str">
        <f aca="false">IF($I4845="","","R"&amp;$I4845)</f>
        <v/>
      </c>
    </row>
    <row r="4846" customFormat="false" ht="15" hidden="false" customHeight="true" outlineLevel="0" collapsed="false">
      <c r="H4846" s="14" t="b">
        <f aca="false">IF(중복검사!$A4844="",FALSE(),중복검사!$J4844="유지")</f>
        <v>0</v>
      </c>
      <c r="I4846" s="5" t="str">
        <f aca="false">IF($H4846=FALSE(),"",COUNTIF($H$6:$H4846,TRUE()))</f>
        <v/>
      </c>
      <c r="J4846" s="5" t="str">
        <f aca="false">IF($I4846="","","R"&amp;$I4846)</f>
        <v/>
      </c>
    </row>
    <row r="4847" customFormat="false" ht="15" hidden="false" customHeight="true" outlineLevel="0" collapsed="false">
      <c r="H4847" s="14" t="b">
        <f aca="false">IF(중복검사!$A4845="",FALSE(),중복검사!$J4845="유지")</f>
        <v>0</v>
      </c>
      <c r="I4847" s="5" t="str">
        <f aca="false">IF($H4847=FALSE(),"",COUNTIF($H$6:$H4847,TRUE()))</f>
        <v/>
      </c>
      <c r="J4847" s="5" t="str">
        <f aca="false">IF($I4847="","","R"&amp;$I4847)</f>
        <v/>
      </c>
    </row>
    <row r="4848" customFormat="false" ht="15" hidden="false" customHeight="true" outlineLevel="0" collapsed="false">
      <c r="H4848" s="14" t="b">
        <f aca="false">IF(중복검사!$A4846="",FALSE(),중복검사!$J4846="유지")</f>
        <v>0</v>
      </c>
      <c r="I4848" s="5" t="str">
        <f aca="false">IF($H4848=FALSE(),"",COUNTIF($H$6:$H4848,TRUE()))</f>
        <v/>
      </c>
      <c r="J4848" s="5" t="str">
        <f aca="false">IF($I4848="","","R"&amp;$I4848)</f>
        <v/>
      </c>
    </row>
    <row r="4849" customFormat="false" ht="15" hidden="false" customHeight="true" outlineLevel="0" collapsed="false">
      <c r="H4849" s="14" t="b">
        <f aca="false">IF(중복검사!$A4847="",FALSE(),중복검사!$J4847="유지")</f>
        <v>0</v>
      </c>
      <c r="I4849" s="5" t="str">
        <f aca="false">IF($H4849=FALSE(),"",COUNTIF($H$6:$H4849,TRUE()))</f>
        <v/>
      </c>
      <c r="J4849" s="5" t="str">
        <f aca="false">IF($I4849="","","R"&amp;$I4849)</f>
        <v/>
      </c>
    </row>
    <row r="4850" customFormat="false" ht="15" hidden="false" customHeight="true" outlineLevel="0" collapsed="false">
      <c r="H4850" s="14" t="b">
        <f aca="false">IF(중복검사!$A4848="",FALSE(),중복검사!$J4848="유지")</f>
        <v>0</v>
      </c>
      <c r="I4850" s="5" t="str">
        <f aca="false">IF($H4850=FALSE(),"",COUNTIF($H$6:$H4850,TRUE()))</f>
        <v/>
      </c>
      <c r="J4850" s="5" t="str">
        <f aca="false">IF($I4850="","","R"&amp;$I4850)</f>
        <v/>
      </c>
    </row>
    <row r="4851" customFormat="false" ht="15" hidden="false" customHeight="true" outlineLevel="0" collapsed="false">
      <c r="H4851" s="14" t="b">
        <f aca="false">IF(중복검사!$A4849="",FALSE(),중복검사!$J4849="유지")</f>
        <v>0</v>
      </c>
      <c r="I4851" s="5" t="str">
        <f aca="false">IF($H4851=FALSE(),"",COUNTIF($H$6:$H4851,TRUE()))</f>
        <v/>
      </c>
      <c r="J4851" s="5" t="str">
        <f aca="false">IF($I4851="","","R"&amp;$I4851)</f>
        <v/>
      </c>
    </row>
    <row r="4852" customFormat="false" ht="15" hidden="false" customHeight="true" outlineLevel="0" collapsed="false">
      <c r="H4852" s="14" t="b">
        <f aca="false">IF(중복검사!$A4850="",FALSE(),중복검사!$J4850="유지")</f>
        <v>0</v>
      </c>
      <c r="I4852" s="5" t="str">
        <f aca="false">IF($H4852=FALSE(),"",COUNTIF($H$6:$H4852,TRUE()))</f>
        <v/>
      </c>
      <c r="J4852" s="5" t="str">
        <f aca="false">IF($I4852="","","R"&amp;$I4852)</f>
        <v/>
      </c>
    </row>
    <row r="4853" customFormat="false" ht="15" hidden="false" customHeight="true" outlineLevel="0" collapsed="false">
      <c r="H4853" s="14" t="b">
        <f aca="false">IF(중복검사!$A4851="",FALSE(),중복검사!$J4851="유지")</f>
        <v>0</v>
      </c>
      <c r="I4853" s="5" t="str">
        <f aca="false">IF($H4853=FALSE(),"",COUNTIF($H$6:$H4853,TRUE()))</f>
        <v/>
      </c>
      <c r="J4853" s="5" t="str">
        <f aca="false">IF($I4853="","","R"&amp;$I4853)</f>
        <v/>
      </c>
    </row>
    <row r="4854" customFormat="false" ht="15" hidden="false" customHeight="true" outlineLevel="0" collapsed="false">
      <c r="H4854" s="14" t="b">
        <f aca="false">IF(중복검사!$A4852="",FALSE(),중복검사!$J4852="유지")</f>
        <v>0</v>
      </c>
      <c r="I4854" s="5" t="str">
        <f aca="false">IF($H4854=FALSE(),"",COUNTIF($H$6:$H4854,TRUE()))</f>
        <v/>
      </c>
      <c r="J4854" s="5" t="str">
        <f aca="false">IF($I4854="","","R"&amp;$I4854)</f>
        <v/>
      </c>
    </row>
    <row r="4855" customFormat="false" ht="15" hidden="false" customHeight="true" outlineLevel="0" collapsed="false">
      <c r="H4855" s="14" t="b">
        <f aca="false">IF(중복검사!$A4853="",FALSE(),중복검사!$J4853="유지")</f>
        <v>0</v>
      </c>
      <c r="I4855" s="5" t="str">
        <f aca="false">IF($H4855=FALSE(),"",COUNTIF($H$6:$H4855,TRUE()))</f>
        <v/>
      </c>
      <c r="J4855" s="5" t="str">
        <f aca="false">IF($I4855="","","R"&amp;$I4855)</f>
        <v/>
      </c>
    </row>
    <row r="4856" customFormat="false" ht="15" hidden="false" customHeight="true" outlineLevel="0" collapsed="false">
      <c r="H4856" s="14" t="b">
        <f aca="false">IF(중복검사!$A4854="",FALSE(),중복검사!$J4854="유지")</f>
        <v>0</v>
      </c>
      <c r="I4856" s="5" t="str">
        <f aca="false">IF($H4856=FALSE(),"",COUNTIF($H$6:$H4856,TRUE()))</f>
        <v/>
      </c>
      <c r="J4856" s="5" t="str">
        <f aca="false">IF($I4856="","","R"&amp;$I4856)</f>
        <v/>
      </c>
    </row>
    <row r="4857" customFormat="false" ht="15" hidden="false" customHeight="true" outlineLevel="0" collapsed="false">
      <c r="H4857" s="14" t="b">
        <f aca="false">IF(중복검사!$A4855="",FALSE(),중복검사!$J4855="유지")</f>
        <v>0</v>
      </c>
      <c r="I4857" s="5" t="str">
        <f aca="false">IF($H4857=FALSE(),"",COUNTIF($H$6:$H4857,TRUE()))</f>
        <v/>
      </c>
      <c r="J4857" s="5" t="str">
        <f aca="false">IF($I4857="","","R"&amp;$I4857)</f>
        <v/>
      </c>
    </row>
    <row r="4858" customFormat="false" ht="15" hidden="false" customHeight="true" outlineLevel="0" collapsed="false">
      <c r="H4858" s="14" t="b">
        <f aca="false">IF(중복검사!$A4856="",FALSE(),중복검사!$J4856="유지")</f>
        <v>0</v>
      </c>
      <c r="I4858" s="5" t="str">
        <f aca="false">IF($H4858=FALSE(),"",COUNTIF($H$6:$H4858,TRUE()))</f>
        <v/>
      </c>
      <c r="J4858" s="5" t="str">
        <f aca="false">IF($I4858="","","R"&amp;$I4858)</f>
        <v/>
      </c>
    </row>
    <row r="4859" customFormat="false" ht="15" hidden="false" customHeight="true" outlineLevel="0" collapsed="false">
      <c r="H4859" s="14" t="b">
        <f aca="false">IF(중복검사!$A4857="",FALSE(),중복검사!$J4857="유지")</f>
        <v>0</v>
      </c>
      <c r="I4859" s="5" t="str">
        <f aca="false">IF($H4859=FALSE(),"",COUNTIF($H$6:$H4859,TRUE()))</f>
        <v/>
      </c>
      <c r="J4859" s="5" t="str">
        <f aca="false">IF($I4859="","","R"&amp;$I4859)</f>
        <v/>
      </c>
    </row>
    <row r="4860" customFormat="false" ht="15" hidden="false" customHeight="true" outlineLevel="0" collapsed="false">
      <c r="H4860" s="14" t="b">
        <f aca="false">IF(중복검사!$A4858="",FALSE(),중복검사!$J4858="유지")</f>
        <v>0</v>
      </c>
      <c r="I4860" s="5" t="str">
        <f aca="false">IF($H4860=FALSE(),"",COUNTIF($H$6:$H4860,TRUE()))</f>
        <v/>
      </c>
      <c r="J4860" s="5" t="str">
        <f aca="false">IF($I4860="","","R"&amp;$I4860)</f>
        <v/>
      </c>
    </row>
    <row r="4861" customFormat="false" ht="15" hidden="false" customHeight="true" outlineLevel="0" collapsed="false">
      <c r="H4861" s="14" t="b">
        <f aca="false">IF(중복검사!$A4859="",FALSE(),중복검사!$J4859="유지")</f>
        <v>0</v>
      </c>
      <c r="I4861" s="5" t="str">
        <f aca="false">IF($H4861=FALSE(),"",COUNTIF($H$6:$H4861,TRUE()))</f>
        <v/>
      </c>
      <c r="J4861" s="5" t="str">
        <f aca="false">IF($I4861="","","R"&amp;$I4861)</f>
        <v/>
      </c>
    </row>
    <row r="4862" customFormat="false" ht="15" hidden="false" customHeight="true" outlineLevel="0" collapsed="false">
      <c r="H4862" s="14" t="b">
        <f aca="false">IF(중복검사!$A4860="",FALSE(),중복검사!$J4860="유지")</f>
        <v>0</v>
      </c>
      <c r="I4862" s="5" t="str">
        <f aca="false">IF($H4862=FALSE(),"",COUNTIF($H$6:$H4862,TRUE()))</f>
        <v/>
      </c>
      <c r="J4862" s="5" t="str">
        <f aca="false">IF($I4862="","","R"&amp;$I4862)</f>
        <v/>
      </c>
    </row>
    <row r="4863" customFormat="false" ht="15" hidden="false" customHeight="true" outlineLevel="0" collapsed="false">
      <c r="H4863" s="14" t="b">
        <f aca="false">IF(중복검사!$A4861="",FALSE(),중복검사!$J4861="유지")</f>
        <v>0</v>
      </c>
      <c r="I4863" s="5" t="str">
        <f aca="false">IF($H4863=FALSE(),"",COUNTIF($H$6:$H4863,TRUE()))</f>
        <v/>
      </c>
      <c r="J4863" s="5" t="str">
        <f aca="false">IF($I4863="","","R"&amp;$I4863)</f>
        <v/>
      </c>
    </row>
    <row r="4864" customFormat="false" ht="15" hidden="false" customHeight="true" outlineLevel="0" collapsed="false">
      <c r="H4864" s="14" t="b">
        <f aca="false">IF(중복검사!$A4862="",FALSE(),중복검사!$J4862="유지")</f>
        <v>0</v>
      </c>
      <c r="I4864" s="5" t="str">
        <f aca="false">IF($H4864=FALSE(),"",COUNTIF($H$6:$H4864,TRUE()))</f>
        <v/>
      </c>
      <c r="J4864" s="5" t="str">
        <f aca="false">IF($I4864="","","R"&amp;$I4864)</f>
        <v/>
      </c>
    </row>
    <row r="4865" customFormat="false" ht="15" hidden="false" customHeight="true" outlineLevel="0" collapsed="false">
      <c r="H4865" s="14" t="b">
        <f aca="false">IF(중복검사!$A4863="",FALSE(),중복검사!$J4863="유지")</f>
        <v>0</v>
      </c>
      <c r="I4865" s="5" t="str">
        <f aca="false">IF($H4865=FALSE(),"",COUNTIF($H$6:$H4865,TRUE()))</f>
        <v/>
      </c>
      <c r="J4865" s="5" t="str">
        <f aca="false">IF($I4865="","","R"&amp;$I4865)</f>
        <v/>
      </c>
    </row>
    <row r="4866" customFormat="false" ht="15" hidden="false" customHeight="true" outlineLevel="0" collapsed="false">
      <c r="H4866" s="14" t="b">
        <f aca="false">IF(중복검사!$A4864="",FALSE(),중복검사!$J4864="유지")</f>
        <v>0</v>
      </c>
      <c r="I4866" s="5" t="str">
        <f aca="false">IF($H4866=FALSE(),"",COUNTIF($H$6:$H4866,TRUE()))</f>
        <v/>
      </c>
      <c r="J4866" s="5" t="str">
        <f aca="false">IF($I4866="","","R"&amp;$I4866)</f>
        <v/>
      </c>
    </row>
    <row r="4867" customFormat="false" ht="15" hidden="false" customHeight="true" outlineLevel="0" collapsed="false">
      <c r="H4867" s="14" t="b">
        <f aca="false">IF(중복검사!$A4865="",FALSE(),중복검사!$J4865="유지")</f>
        <v>0</v>
      </c>
      <c r="I4867" s="5" t="str">
        <f aca="false">IF($H4867=FALSE(),"",COUNTIF($H$6:$H4867,TRUE()))</f>
        <v/>
      </c>
      <c r="J4867" s="5" t="str">
        <f aca="false">IF($I4867="","","R"&amp;$I4867)</f>
        <v/>
      </c>
    </row>
    <row r="4868" customFormat="false" ht="15" hidden="false" customHeight="true" outlineLevel="0" collapsed="false">
      <c r="H4868" s="14" t="b">
        <f aca="false">IF(중복검사!$A4866="",FALSE(),중복검사!$J4866="유지")</f>
        <v>0</v>
      </c>
      <c r="I4868" s="5" t="str">
        <f aca="false">IF($H4868=FALSE(),"",COUNTIF($H$6:$H4868,TRUE()))</f>
        <v/>
      </c>
      <c r="J4868" s="5" t="str">
        <f aca="false">IF($I4868="","","R"&amp;$I4868)</f>
        <v/>
      </c>
    </row>
    <row r="4869" customFormat="false" ht="15" hidden="false" customHeight="true" outlineLevel="0" collapsed="false">
      <c r="H4869" s="14" t="b">
        <f aca="false">IF(중복검사!$A4867="",FALSE(),중복검사!$J4867="유지")</f>
        <v>0</v>
      </c>
      <c r="I4869" s="5" t="str">
        <f aca="false">IF($H4869=FALSE(),"",COUNTIF($H$6:$H4869,TRUE()))</f>
        <v/>
      </c>
      <c r="J4869" s="5" t="str">
        <f aca="false">IF($I4869="","","R"&amp;$I4869)</f>
        <v/>
      </c>
    </row>
    <row r="4870" customFormat="false" ht="15" hidden="false" customHeight="true" outlineLevel="0" collapsed="false">
      <c r="H4870" s="14" t="b">
        <f aca="false">IF(중복검사!$A4868="",FALSE(),중복검사!$J4868="유지")</f>
        <v>0</v>
      </c>
      <c r="I4870" s="5" t="str">
        <f aca="false">IF($H4870=FALSE(),"",COUNTIF($H$6:$H4870,TRUE()))</f>
        <v/>
      </c>
      <c r="J4870" s="5" t="str">
        <f aca="false">IF($I4870="","","R"&amp;$I4870)</f>
        <v/>
      </c>
    </row>
    <row r="4871" customFormat="false" ht="15" hidden="false" customHeight="true" outlineLevel="0" collapsed="false">
      <c r="H4871" s="14" t="b">
        <f aca="false">IF(중복검사!$A4869="",FALSE(),중복검사!$J4869="유지")</f>
        <v>0</v>
      </c>
      <c r="I4871" s="5" t="str">
        <f aca="false">IF($H4871=FALSE(),"",COUNTIF($H$6:$H4871,TRUE()))</f>
        <v/>
      </c>
      <c r="J4871" s="5" t="str">
        <f aca="false">IF($I4871="","","R"&amp;$I4871)</f>
        <v/>
      </c>
    </row>
    <row r="4872" customFormat="false" ht="15" hidden="false" customHeight="true" outlineLevel="0" collapsed="false">
      <c r="H4872" s="14" t="b">
        <f aca="false">IF(중복검사!$A4870="",FALSE(),중복검사!$J4870="유지")</f>
        <v>0</v>
      </c>
      <c r="I4872" s="5" t="str">
        <f aca="false">IF($H4872=FALSE(),"",COUNTIF($H$6:$H4872,TRUE()))</f>
        <v/>
      </c>
      <c r="J4872" s="5" t="str">
        <f aca="false">IF($I4872="","","R"&amp;$I4872)</f>
        <v/>
      </c>
    </row>
    <row r="4873" customFormat="false" ht="15" hidden="false" customHeight="true" outlineLevel="0" collapsed="false">
      <c r="H4873" s="14" t="b">
        <f aca="false">IF(중복검사!$A4871="",FALSE(),중복검사!$J4871="유지")</f>
        <v>0</v>
      </c>
      <c r="I4873" s="5" t="str">
        <f aca="false">IF($H4873=FALSE(),"",COUNTIF($H$6:$H4873,TRUE()))</f>
        <v/>
      </c>
      <c r="J4873" s="5" t="str">
        <f aca="false">IF($I4873="","","R"&amp;$I4873)</f>
        <v/>
      </c>
    </row>
    <row r="4874" customFormat="false" ht="15" hidden="false" customHeight="true" outlineLevel="0" collapsed="false">
      <c r="H4874" s="14" t="b">
        <f aca="false">IF(중복검사!$A4872="",FALSE(),중복검사!$J4872="유지")</f>
        <v>0</v>
      </c>
      <c r="I4874" s="5" t="str">
        <f aca="false">IF($H4874=FALSE(),"",COUNTIF($H$6:$H4874,TRUE()))</f>
        <v/>
      </c>
      <c r="J4874" s="5" t="str">
        <f aca="false">IF($I4874="","","R"&amp;$I4874)</f>
        <v/>
      </c>
    </row>
    <row r="4875" customFormat="false" ht="15" hidden="false" customHeight="true" outlineLevel="0" collapsed="false">
      <c r="H4875" s="14" t="b">
        <f aca="false">IF(중복검사!$A4873="",FALSE(),중복검사!$J4873="유지")</f>
        <v>0</v>
      </c>
      <c r="I4875" s="5" t="str">
        <f aca="false">IF($H4875=FALSE(),"",COUNTIF($H$6:$H4875,TRUE()))</f>
        <v/>
      </c>
      <c r="J4875" s="5" t="str">
        <f aca="false">IF($I4875="","","R"&amp;$I4875)</f>
        <v/>
      </c>
    </row>
    <row r="4876" customFormat="false" ht="15" hidden="false" customHeight="true" outlineLevel="0" collapsed="false">
      <c r="H4876" s="14" t="b">
        <f aca="false">IF(중복검사!$A4874="",FALSE(),중복검사!$J4874="유지")</f>
        <v>0</v>
      </c>
      <c r="I4876" s="5" t="str">
        <f aca="false">IF($H4876=FALSE(),"",COUNTIF($H$6:$H4876,TRUE()))</f>
        <v/>
      </c>
      <c r="J4876" s="5" t="str">
        <f aca="false">IF($I4876="","","R"&amp;$I4876)</f>
        <v/>
      </c>
    </row>
    <row r="4877" customFormat="false" ht="15" hidden="false" customHeight="true" outlineLevel="0" collapsed="false">
      <c r="H4877" s="14" t="b">
        <f aca="false">IF(중복검사!$A4875="",FALSE(),중복검사!$J4875="유지")</f>
        <v>0</v>
      </c>
      <c r="I4877" s="5" t="str">
        <f aca="false">IF($H4877=FALSE(),"",COUNTIF($H$6:$H4877,TRUE()))</f>
        <v/>
      </c>
      <c r="J4877" s="5" t="str">
        <f aca="false">IF($I4877="","","R"&amp;$I4877)</f>
        <v/>
      </c>
    </row>
    <row r="4878" customFormat="false" ht="15" hidden="false" customHeight="true" outlineLevel="0" collapsed="false">
      <c r="H4878" s="14" t="b">
        <f aca="false">IF(중복검사!$A4876="",FALSE(),중복검사!$J4876="유지")</f>
        <v>0</v>
      </c>
      <c r="I4878" s="5" t="str">
        <f aca="false">IF($H4878=FALSE(),"",COUNTIF($H$6:$H4878,TRUE()))</f>
        <v/>
      </c>
      <c r="J4878" s="5" t="str">
        <f aca="false">IF($I4878="","","R"&amp;$I4878)</f>
        <v/>
      </c>
    </row>
    <row r="4879" customFormat="false" ht="15" hidden="false" customHeight="true" outlineLevel="0" collapsed="false">
      <c r="H4879" s="14" t="b">
        <f aca="false">IF(중복검사!$A4877="",FALSE(),중복검사!$J4877="유지")</f>
        <v>0</v>
      </c>
      <c r="I4879" s="5" t="str">
        <f aca="false">IF($H4879=FALSE(),"",COUNTIF($H$6:$H4879,TRUE()))</f>
        <v/>
      </c>
      <c r="J4879" s="5" t="str">
        <f aca="false">IF($I4879="","","R"&amp;$I4879)</f>
        <v/>
      </c>
    </row>
    <row r="4880" customFormat="false" ht="15" hidden="false" customHeight="true" outlineLevel="0" collapsed="false">
      <c r="H4880" s="14" t="b">
        <f aca="false">IF(중복검사!$A4878="",FALSE(),중복검사!$J4878="유지")</f>
        <v>0</v>
      </c>
      <c r="I4880" s="5" t="str">
        <f aca="false">IF($H4880=FALSE(),"",COUNTIF($H$6:$H4880,TRUE()))</f>
        <v/>
      </c>
      <c r="J4880" s="5" t="str">
        <f aca="false">IF($I4880="","","R"&amp;$I4880)</f>
        <v/>
      </c>
    </row>
    <row r="4881" customFormat="false" ht="15" hidden="false" customHeight="true" outlineLevel="0" collapsed="false">
      <c r="H4881" s="14" t="b">
        <f aca="false">IF(중복검사!$A4879="",FALSE(),중복검사!$J4879="유지")</f>
        <v>0</v>
      </c>
      <c r="I4881" s="5" t="str">
        <f aca="false">IF($H4881=FALSE(),"",COUNTIF($H$6:$H4881,TRUE()))</f>
        <v/>
      </c>
      <c r="J4881" s="5" t="str">
        <f aca="false">IF($I4881="","","R"&amp;$I4881)</f>
        <v/>
      </c>
    </row>
    <row r="4882" customFormat="false" ht="15" hidden="false" customHeight="true" outlineLevel="0" collapsed="false">
      <c r="H4882" s="14" t="b">
        <f aca="false">IF(중복검사!$A4880="",FALSE(),중복검사!$J4880="유지")</f>
        <v>0</v>
      </c>
      <c r="I4882" s="5" t="str">
        <f aca="false">IF($H4882=FALSE(),"",COUNTIF($H$6:$H4882,TRUE()))</f>
        <v/>
      </c>
      <c r="J4882" s="5" t="str">
        <f aca="false">IF($I4882="","","R"&amp;$I4882)</f>
        <v/>
      </c>
    </row>
    <row r="4883" customFormat="false" ht="15" hidden="false" customHeight="true" outlineLevel="0" collapsed="false">
      <c r="H4883" s="14" t="b">
        <f aca="false">IF(중복검사!$A4881="",FALSE(),중복검사!$J4881="유지")</f>
        <v>0</v>
      </c>
      <c r="I4883" s="5" t="str">
        <f aca="false">IF($H4883=FALSE(),"",COUNTIF($H$6:$H4883,TRUE()))</f>
        <v/>
      </c>
      <c r="J4883" s="5" t="str">
        <f aca="false">IF($I4883="","","R"&amp;$I4883)</f>
        <v/>
      </c>
    </row>
    <row r="4884" customFormat="false" ht="15" hidden="false" customHeight="true" outlineLevel="0" collapsed="false">
      <c r="H4884" s="14" t="b">
        <f aca="false">IF(중복검사!$A4882="",FALSE(),중복검사!$J4882="유지")</f>
        <v>0</v>
      </c>
      <c r="I4884" s="5" t="str">
        <f aca="false">IF($H4884=FALSE(),"",COUNTIF($H$6:$H4884,TRUE()))</f>
        <v/>
      </c>
      <c r="J4884" s="5" t="str">
        <f aca="false">IF($I4884="","","R"&amp;$I4884)</f>
        <v/>
      </c>
    </row>
    <row r="4885" customFormat="false" ht="15" hidden="false" customHeight="true" outlineLevel="0" collapsed="false">
      <c r="H4885" s="14" t="b">
        <f aca="false">IF(중복검사!$A4883="",FALSE(),중복검사!$J4883="유지")</f>
        <v>0</v>
      </c>
      <c r="I4885" s="5" t="str">
        <f aca="false">IF($H4885=FALSE(),"",COUNTIF($H$6:$H4885,TRUE()))</f>
        <v/>
      </c>
      <c r="J4885" s="5" t="str">
        <f aca="false">IF($I4885="","","R"&amp;$I4885)</f>
        <v/>
      </c>
    </row>
    <row r="4886" customFormat="false" ht="15" hidden="false" customHeight="true" outlineLevel="0" collapsed="false">
      <c r="H4886" s="14" t="b">
        <f aca="false">IF(중복검사!$A4884="",FALSE(),중복검사!$J4884="유지")</f>
        <v>0</v>
      </c>
      <c r="I4886" s="5" t="str">
        <f aca="false">IF($H4886=FALSE(),"",COUNTIF($H$6:$H4886,TRUE()))</f>
        <v/>
      </c>
      <c r="J4886" s="5" t="str">
        <f aca="false">IF($I4886="","","R"&amp;$I4886)</f>
        <v/>
      </c>
    </row>
    <row r="4887" customFormat="false" ht="15" hidden="false" customHeight="true" outlineLevel="0" collapsed="false">
      <c r="H4887" s="14" t="b">
        <f aca="false">IF(중복검사!$A4885="",FALSE(),중복검사!$J4885="유지")</f>
        <v>0</v>
      </c>
      <c r="I4887" s="5" t="str">
        <f aca="false">IF($H4887=FALSE(),"",COUNTIF($H$6:$H4887,TRUE()))</f>
        <v/>
      </c>
      <c r="J4887" s="5" t="str">
        <f aca="false">IF($I4887="","","R"&amp;$I4887)</f>
        <v/>
      </c>
    </row>
    <row r="4888" customFormat="false" ht="15" hidden="false" customHeight="true" outlineLevel="0" collapsed="false">
      <c r="H4888" s="14" t="b">
        <f aca="false">IF(중복검사!$A4886="",FALSE(),중복검사!$J4886="유지")</f>
        <v>0</v>
      </c>
      <c r="I4888" s="5" t="str">
        <f aca="false">IF($H4888=FALSE(),"",COUNTIF($H$6:$H4888,TRUE()))</f>
        <v/>
      </c>
      <c r="J4888" s="5" t="str">
        <f aca="false">IF($I4888="","","R"&amp;$I4888)</f>
        <v/>
      </c>
    </row>
    <row r="4889" customFormat="false" ht="15" hidden="false" customHeight="true" outlineLevel="0" collapsed="false">
      <c r="H4889" s="14" t="b">
        <f aca="false">IF(중복검사!$A4887="",FALSE(),중복검사!$J4887="유지")</f>
        <v>0</v>
      </c>
      <c r="I4889" s="5" t="str">
        <f aca="false">IF($H4889=FALSE(),"",COUNTIF($H$6:$H4889,TRUE()))</f>
        <v/>
      </c>
      <c r="J4889" s="5" t="str">
        <f aca="false">IF($I4889="","","R"&amp;$I4889)</f>
        <v/>
      </c>
    </row>
    <row r="4890" customFormat="false" ht="15" hidden="false" customHeight="true" outlineLevel="0" collapsed="false">
      <c r="H4890" s="14" t="b">
        <f aca="false">IF(중복검사!$A4888="",FALSE(),중복검사!$J4888="유지")</f>
        <v>0</v>
      </c>
      <c r="I4890" s="5" t="str">
        <f aca="false">IF($H4890=FALSE(),"",COUNTIF($H$6:$H4890,TRUE()))</f>
        <v/>
      </c>
      <c r="J4890" s="5" t="str">
        <f aca="false">IF($I4890="","","R"&amp;$I4890)</f>
        <v/>
      </c>
    </row>
    <row r="4891" customFormat="false" ht="15" hidden="false" customHeight="true" outlineLevel="0" collapsed="false">
      <c r="H4891" s="14" t="b">
        <f aca="false">IF(중복검사!$A4889="",FALSE(),중복검사!$J4889="유지")</f>
        <v>0</v>
      </c>
      <c r="I4891" s="5" t="str">
        <f aca="false">IF($H4891=FALSE(),"",COUNTIF($H$6:$H4891,TRUE()))</f>
        <v/>
      </c>
      <c r="J4891" s="5" t="str">
        <f aca="false">IF($I4891="","","R"&amp;$I4891)</f>
        <v/>
      </c>
    </row>
    <row r="4892" customFormat="false" ht="15" hidden="false" customHeight="true" outlineLevel="0" collapsed="false">
      <c r="H4892" s="14" t="b">
        <f aca="false">IF(중복검사!$A4890="",FALSE(),중복검사!$J4890="유지")</f>
        <v>0</v>
      </c>
      <c r="I4892" s="5" t="str">
        <f aca="false">IF($H4892=FALSE(),"",COUNTIF($H$6:$H4892,TRUE()))</f>
        <v/>
      </c>
      <c r="J4892" s="5" t="str">
        <f aca="false">IF($I4892="","","R"&amp;$I4892)</f>
        <v/>
      </c>
    </row>
    <row r="4893" customFormat="false" ht="15" hidden="false" customHeight="true" outlineLevel="0" collapsed="false">
      <c r="H4893" s="14" t="b">
        <f aca="false">IF(중복검사!$A4891="",FALSE(),중복검사!$J4891="유지")</f>
        <v>0</v>
      </c>
      <c r="I4893" s="5" t="str">
        <f aca="false">IF($H4893=FALSE(),"",COUNTIF($H$6:$H4893,TRUE()))</f>
        <v/>
      </c>
      <c r="J4893" s="5" t="str">
        <f aca="false">IF($I4893="","","R"&amp;$I4893)</f>
        <v/>
      </c>
    </row>
    <row r="4894" customFormat="false" ht="15" hidden="false" customHeight="true" outlineLevel="0" collapsed="false">
      <c r="H4894" s="14" t="b">
        <f aca="false">IF(중복검사!$A4892="",FALSE(),중복검사!$J4892="유지")</f>
        <v>0</v>
      </c>
      <c r="I4894" s="5" t="str">
        <f aca="false">IF($H4894=FALSE(),"",COUNTIF($H$6:$H4894,TRUE()))</f>
        <v/>
      </c>
      <c r="J4894" s="5" t="str">
        <f aca="false">IF($I4894="","","R"&amp;$I4894)</f>
        <v/>
      </c>
    </row>
    <row r="4895" customFormat="false" ht="15" hidden="false" customHeight="true" outlineLevel="0" collapsed="false">
      <c r="H4895" s="14" t="b">
        <f aca="false">IF(중복검사!$A4893="",FALSE(),중복검사!$J4893="유지")</f>
        <v>0</v>
      </c>
      <c r="I4895" s="5" t="str">
        <f aca="false">IF($H4895=FALSE(),"",COUNTIF($H$6:$H4895,TRUE()))</f>
        <v/>
      </c>
      <c r="J4895" s="5" t="str">
        <f aca="false">IF($I4895="","","R"&amp;$I4895)</f>
        <v/>
      </c>
    </row>
    <row r="4896" customFormat="false" ht="15" hidden="false" customHeight="true" outlineLevel="0" collapsed="false">
      <c r="H4896" s="14" t="b">
        <f aca="false">IF(중복검사!$A4894="",FALSE(),중복검사!$J4894="유지")</f>
        <v>0</v>
      </c>
      <c r="I4896" s="5" t="str">
        <f aca="false">IF($H4896=FALSE(),"",COUNTIF($H$6:$H4896,TRUE()))</f>
        <v/>
      </c>
      <c r="J4896" s="5" t="str">
        <f aca="false">IF($I4896="","","R"&amp;$I4896)</f>
        <v/>
      </c>
    </row>
    <row r="4897" customFormat="false" ht="15" hidden="false" customHeight="true" outlineLevel="0" collapsed="false">
      <c r="H4897" s="14" t="b">
        <f aca="false">IF(중복검사!$A4895="",FALSE(),중복검사!$J4895="유지")</f>
        <v>0</v>
      </c>
      <c r="I4897" s="5" t="str">
        <f aca="false">IF($H4897=FALSE(),"",COUNTIF($H$6:$H4897,TRUE()))</f>
        <v/>
      </c>
      <c r="J4897" s="5" t="str">
        <f aca="false">IF($I4897="","","R"&amp;$I4897)</f>
        <v/>
      </c>
    </row>
    <row r="4898" customFormat="false" ht="15" hidden="false" customHeight="true" outlineLevel="0" collapsed="false">
      <c r="H4898" s="14" t="b">
        <f aca="false">IF(중복검사!$A4896="",FALSE(),중복검사!$J4896="유지")</f>
        <v>0</v>
      </c>
      <c r="I4898" s="5" t="str">
        <f aca="false">IF($H4898=FALSE(),"",COUNTIF($H$6:$H4898,TRUE()))</f>
        <v/>
      </c>
      <c r="J4898" s="5" t="str">
        <f aca="false">IF($I4898="","","R"&amp;$I4898)</f>
        <v/>
      </c>
    </row>
    <row r="4899" customFormat="false" ht="15" hidden="false" customHeight="true" outlineLevel="0" collapsed="false">
      <c r="H4899" s="14" t="b">
        <f aca="false">IF(중복검사!$A4897="",FALSE(),중복검사!$J4897="유지")</f>
        <v>0</v>
      </c>
      <c r="I4899" s="5" t="str">
        <f aca="false">IF($H4899=FALSE(),"",COUNTIF($H$6:$H4899,TRUE()))</f>
        <v/>
      </c>
      <c r="J4899" s="5" t="str">
        <f aca="false">IF($I4899="","","R"&amp;$I4899)</f>
        <v/>
      </c>
    </row>
    <row r="4900" customFormat="false" ht="15" hidden="false" customHeight="true" outlineLevel="0" collapsed="false">
      <c r="H4900" s="14" t="b">
        <f aca="false">IF(중복검사!$A4898="",FALSE(),중복검사!$J4898="유지")</f>
        <v>0</v>
      </c>
      <c r="I4900" s="5" t="str">
        <f aca="false">IF($H4900=FALSE(),"",COUNTIF($H$6:$H4900,TRUE()))</f>
        <v/>
      </c>
      <c r="J4900" s="5" t="str">
        <f aca="false">IF($I4900="","","R"&amp;$I4900)</f>
        <v/>
      </c>
    </row>
    <row r="4901" customFormat="false" ht="15" hidden="false" customHeight="true" outlineLevel="0" collapsed="false">
      <c r="H4901" s="14" t="b">
        <f aca="false">IF(중복검사!$A4899="",FALSE(),중복검사!$J4899="유지")</f>
        <v>0</v>
      </c>
      <c r="I4901" s="5" t="str">
        <f aca="false">IF($H4901=FALSE(),"",COUNTIF($H$6:$H4901,TRUE()))</f>
        <v/>
      </c>
      <c r="J4901" s="5" t="str">
        <f aca="false">IF($I4901="","","R"&amp;$I4901)</f>
        <v/>
      </c>
    </row>
    <row r="4902" customFormat="false" ht="15" hidden="false" customHeight="true" outlineLevel="0" collapsed="false">
      <c r="H4902" s="14" t="b">
        <f aca="false">IF(중복검사!$A4900="",FALSE(),중복검사!$J4900="유지")</f>
        <v>0</v>
      </c>
      <c r="I4902" s="5" t="str">
        <f aca="false">IF($H4902=FALSE(),"",COUNTIF($H$6:$H4902,TRUE()))</f>
        <v/>
      </c>
      <c r="J4902" s="5" t="str">
        <f aca="false">IF($I4902="","","R"&amp;$I4902)</f>
        <v/>
      </c>
    </row>
    <row r="4903" customFormat="false" ht="15" hidden="false" customHeight="true" outlineLevel="0" collapsed="false">
      <c r="H4903" s="14" t="b">
        <f aca="false">IF(중복검사!$A4901="",FALSE(),중복검사!$J4901="유지")</f>
        <v>0</v>
      </c>
      <c r="I4903" s="5" t="str">
        <f aca="false">IF($H4903=FALSE(),"",COUNTIF($H$6:$H4903,TRUE()))</f>
        <v/>
      </c>
      <c r="J4903" s="5" t="str">
        <f aca="false">IF($I4903="","","R"&amp;$I4903)</f>
        <v/>
      </c>
    </row>
    <row r="4904" customFormat="false" ht="15" hidden="false" customHeight="true" outlineLevel="0" collapsed="false">
      <c r="H4904" s="14" t="b">
        <f aca="false">IF(중복검사!$A4902="",FALSE(),중복검사!$J4902="유지")</f>
        <v>0</v>
      </c>
      <c r="I4904" s="5" t="str">
        <f aca="false">IF($H4904=FALSE(),"",COUNTIF($H$6:$H4904,TRUE()))</f>
        <v/>
      </c>
      <c r="J4904" s="5" t="str">
        <f aca="false">IF($I4904="","","R"&amp;$I4904)</f>
        <v/>
      </c>
    </row>
    <row r="4905" customFormat="false" ht="15" hidden="false" customHeight="true" outlineLevel="0" collapsed="false">
      <c r="H4905" s="14" t="b">
        <f aca="false">IF(중복검사!$A4903="",FALSE(),중복검사!$J4903="유지")</f>
        <v>0</v>
      </c>
      <c r="I4905" s="5" t="str">
        <f aca="false">IF($H4905=FALSE(),"",COUNTIF($H$6:$H4905,TRUE()))</f>
        <v/>
      </c>
      <c r="J4905" s="5" t="str">
        <f aca="false">IF($I4905="","","R"&amp;$I4905)</f>
        <v/>
      </c>
    </row>
    <row r="4906" customFormat="false" ht="15" hidden="false" customHeight="true" outlineLevel="0" collapsed="false">
      <c r="H4906" s="14" t="b">
        <f aca="false">IF(중복검사!$A4904="",FALSE(),중복검사!$J4904="유지")</f>
        <v>0</v>
      </c>
      <c r="I4906" s="5" t="str">
        <f aca="false">IF($H4906=FALSE(),"",COUNTIF($H$6:$H4906,TRUE()))</f>
        <v/>
      </c>
      <c r="J4906" s="5" t="str">
        <f aca="false">IF($I4906="","","R"&amp;$I4906)</f>
        <v/>
      </c>
    </row>
    <row r="4907" customFormat="false" ht="15" hidden="false" customHeight="true" outlineLevel="0" collapsed="false">
      <c r="H4907" s="14" t="b">
        <f aca="false">IF(중복검사!$A4905="",FALSE(),중복검사!$J4905="유지")</f>
        <v>0</v>
      </c>
      <c r="I4907" s="5" t="str">
        <f aca="false">IF($H4907=FALSE(),"",COUNTIF($H$6:$H4907,TRUE()))</f>
        <v/>
      </c>
      <c r="J4907" s="5" t="str">
        <f aca="false">IF($I4907="","","R"&amp;$I4907)</f>
        <v/>
      </c>
    </row>
    <row r="4908" customFormat="false" ht="15" hidden="false" customHeight="true" outlineLevel="0" collapsed="false">
      <c r="H4908" s="14" t="b">
        <f aca="false">IF(중복검사!$A4906="",FALSE(),중복검사!$J4906="유지")</f>
        <v>0</v>
      </c>
      <c r="I4908" s="5" t="str">
        <f aca="false">IF($H4908=FALSE(),"",COUNTIF($H$6:$H4908,TRUE()))</f>
        <v/>
      </c>
      <c r="J4908" s="5" t="str">
        <f aca="false">IF($I4908="","","R"&amp;$I4908)</f>
        <v/>
      </c>
    </row>
    <row r="4909" customFormat="false" ht="15" hidden="false" customHeight="true" outlineLevel="0" collapsed="false">
      <c r="H4909" s="14" t="b">
        <f aca="false">IF(중복검사!$A4907="",FALSE(),중복검사!$J4907="유지")</f>
        <v>0</v>
      </c>
      <c r="I4909" s="5" t="str">
        <f aca="false">IF($H4909=FALSE(),"",COUNTIF($H$6:$H4909,TRUE()))</f>
        <v/>
      </c>
      <c r="J4909" s="5" t="str">
        <f aca="false">IF($I4909="","","R"&amp;$I4909)</f>
        <v/>
      </c>
    </row>
    <row r="4910" customFormat="false" ht="15" hidden="false" customHeight="true" outlineLevel="0" collapsed="false">
      <c r="H4910" s="14" t="b">
        <f aca="false">IF(중복검사!$A4908="",FALSE(),중복검사!$J4908="유지")</f>
        <v>0</v>
      </c>
      <c r="I4910" s="5" t="str">
        <f aca="false">IF($H4910=FALSE(),"",COUNTIF($H$6:$H4910,TRUE()))</f>
        <v/>
      </c>
      <c r="J4910" s="5" t="str">
        <f aca="false">IF($I4910="","","R"&amp;$I4910)</f>
        <v/>
      </c>
    </row>
    <row r="4911" customFormat="false" ht="15" hidden="false" customHeight="true" outlineLevel="0" collapsed="false">
      <c r="H4911" s="14" t="b">
        <f aca="false">IF(중복검사!$A4909="",FALSE(),중복검사!$J4909="유지")</f>
        <v>0</v>
      </c>
      <c r="I4911" s="5" t="str">
        <f aca="false">IF($H4911=FALSE(),"",COUNTIF($H$6:$H4911,TRUE()))</f>
        <v/>
      </c>
      <c r="J4911" s="5" t="str">
        <f aca="false">IF($I4911="","","R"&amp;$I4911)</f>
        <v/>
      </c>
    </row>
    <row r="4912" customFormat="false" ht="15" hidden="false" customHeight="true" outlineLevel="0" collapsed="false">
      <c r="H4912" s="14" t="b">
        <f aca="false">IF(중복검사!$A4910="",FALSE(),중복검사!$J4910="유지")</f>
        <v>0</v>
      </c>
      <c r="I4912" s="5" t="str">
        <f aca="false">IF($H4912=FALSE(),"",COUNTIF($H$6:$H4912,TRUE()))</f>
        <v/>
      </c>
      <c r="J4912" s="5" t="str">
        <f aca="false">IF($I4912="","","R"&amp;$I4912)</f>
        <v/>
      </c>
    </row>
    <row r="4913" customFormat="false" ht="15" hidden="false" customHeight="true" outlineLevel="0" collapsed="false">
      <c r="H4913" s="14" t="b">
        <f aca="false">IF(중복검사!$A4911="",FALSE(),중복검사!$J4911="유지")</f>
        <v>0</v>
      </c>
      <c r="I4913" s="5" t="str">
        <f aca="false">IF($H4913=FALSE(),"",COUNTIF($H$6:$H4913,TRUE()))</f>
        <v/>
      </c>
      <c r="J4913" s="5" t="str">
        <f aca="false">IF($I4913="","","R"&amp;$I4913)</f>
        <v/>
      </c>
    </row>
    <row r="4914" customFormat="false" ht="15" hidden="false" customHeight="true" outlineLevel="0" collapsed="false">
      <c r="H4914" s="14" t="b">
        <f aca="false">IF(중복검사!$A4912="",FALSE(),중복검사!$J4912="유지")</f>
        <v>0</v>
      </c>
      <c r="I4914" s="5" t="str">
        <f aca="false">IF($H4914=FALSE(),"",COUNTIF($H$6:$H4914,TRUE()))</f>
        <v/>
      </c>
      <c r="J4914" s="5" t="str">
        <f aca="false">IF($I4914="","","R"&amp;$I4914)</f>
        <v/>
      </c>
    </row>
    <row r="4915" customFormat="false" ht="15" hidden="false" customHeight="true" outlineLevel="0" collapsed="false">
      <c r="H4915" s="14" t="b">
        <f aca="false">IF(중복검사!$A4913="",FALSE(),중복검사!$J4913="유지")</f>
        <v>0</v>
      </c>
      <c r="I4915" s="5" t="str">
        <f aca="false">IF($H4915=FALSE(),"",COUNTIF($H$6:$H4915,TRUE()))</f>
        <v/>
      </c>
      <c r="J4915" s="5" t="str">
        <f aca="false">IF($I4915="","","R"&amp;$I4915)</f>
        <v/>
      </c>
    </row>
    <row r="4916" customFormat="false" ht="15" hidden="false" customHeight="true" outlineLevel="0" collapsed="false">
      <c r="H4916" s="14" t="b">
        <f aca="false">IF(중복검사!$A4914="",FALSE(),중복검사!$J4914="유지")</f>
        <v>0</v>
      </c>
      <c r="I4916" s="5" t="str">
        <f aca="false">IF($H4916=FALSE(),"",COUNTIF($H$6:$H4916,TRUE()))</f>
        <v/>
      </c>
      <c r="J4916" s="5" t="str">
        <f aca="false">IF($I4916="","","R"&amp;$I4916)</f>
        <v/>
      </c>
    </row>
    <row r="4917" customFormat="false" ht="15" hidden="false" customHeight="true" outlineLevel="0" collapsed="false">
      <c r="H4917" s="14" t="b">
        <f aca="false">IF(중복검사!$A4915="",FALSE(),중복검사!$J4915="유지")</f>
        <v>0</v>
      </c>
      <c r="I4917" s="5" t="str">
        <f aca="false">IF($H4917=FALSE(),"",COUNTIF($H$6:$H4917,TRUE()))</f>
        <v/>
      </c>
      <c r="J4917" s="5" t="str">
        <f aca="false">IF($I4917="","","R"&amp;$I4917)</f>
        <v/>
      </c>
    </row>
    <row r="4918" customFormat="false" ht="15" hidden="false" customHeight="true" outlineLevel="0" collapsed="false">
      <c r="H4918" s="14" t="b">
        <f aca="false">IF(중복검사!$A4916="",FALSE(),중복검사!$J4916="유지")</f>
        <v>0</v>
      </c>
      <c r="I4918" s="5" t="str">
        <f aca="false">IF($H4918=FALSE(),"",COUNTIF($H$6:$H4918,TRUE()))</f>
        <v/>
      </c>
      <c r="J4918" s="5" t="str">
        <f aca="false">IF($I4918="","","R"&amp;$I4918)</f>
        <v/>
      </c>
    </row>
    <row r="4919" customFormat="false" ht="15" hidden="false" customHeight="true" outlineLevel="0" collapsed="false">
      <c r="H4919" s="14" t="b">
        <f aca="false">IF(중복검사!$A4917="",FALSE(),중복검사!$J4917="유지")</f>
        <v>0</v>
      </c>
      <c r="I4919" s="5" t="str">
        <f aca="false">IF($H4919=FALSE(),"",COUNTIF($H$6:$H4919,TRUE()))</f>
        <v/>
      </c>
      <c r="J4919" s="5" t="str">
        <f aca="false">IF($I4919="","","R"&amp;$I4919)</f>
        <v/>
      </c>
    </row>
    <row r="4920" customFormat="false" ht="15" hidden="false" customHeight="true" outlineLevel="0" collapsed="false">
      <c r="H4920" s="14" t="b">
        <f aca="false">IF(중복검사!$A4918="",FALSE(),중복검사!$J4918="유지")</f>
        <v>0</v>
      </c>
      <c r="I4920" s="5" t="str">
        <f aca="false">IF($H4920=FALSE(),"",COUNTIF($H$6:$H4920,TRUE()))</f>
        <v/>
      </c>
      <c r="J4920" s="5" t="str">
        <f aca="false">IF($I4920="","","R"&amp;$I4920)</f>
        <v/>
      </c>
    </row>
    <row r="4921" customFormat="false" ht="15" hidden="false" customHeight="true" outlineLevel="0" collapsed="false">
      <c r="H4921" s="14" t="b">
        <f aca="false">IF(중복검사!$A4919="",FALSE(),중복검사!$J4919="유지")</f>
        <v>0</v>
      </c>
      <c r="I4921" s="5" t="str">
        <f aca="false">IF($H4921=FALSE(),"",COUNTIF($H$6:$H4921,TRUE()))</f>
        <v/>
      </c>
      <c r="J4921" s="5" t="str">
        <f aca="false">IF($I4921="","","R"&amp;$I4921)</f>
        <v/>
      </c>
    </row>
    <row r="4922" customFormat="false" ht="15" hidden="false" customHeight="true" outlineLevel="0" collapsed="false">
      <c r="H4922" s="14" t="b">
        <f aca="false">IF(중복검사!$A4920="",FALSE(),중복검사!$J4920="유지")</f>
        <v>0</v>
      </c>
      <c r="I4922" s="5" t="str">
        <f aca="false">IF($H4922=FALSE(),"",COUNTIF($H$6:$H4922,TRUE()))</f>
        <v/>
      </c>
      <c r="J4922" s="5" t="str">
        <f aca="false">IF($I4922="","","R"&amp;$I4922)</f>
        <v/>
      </c>
    </row>
    <row r="4923" customFormat="false" ht="15" hidden="false" customHeight="true" outlineLevel="0" collapsed="false">
      <c r="H4923" s="14" t="b">
        <f aca="false">IF(중복검사!$A4921="",FALSE(),중복검사!$J4921="유지")</f>
        <v>0</v>
      </c>
      <c r="I4923" s="5" t="str">
        <f aca="false">IF($H4923=FALSE(),"",COUNTIF($H$6:$H4923,TRUE()))</f>
        <v/>
      </c>
      <c r="J4923" s="5" t="str">
        <f aca="false">IF($I4923="","","R"&amp;$I4923)</f>
        <v/>
      </c>
    </row>
    <row r="4924" customFormat="false" ht="15" hidden="false" customHeight="true" outlineLevel="0" collapsed="false">
      <c r="H4924" s="14" t="b">
        <f aca="false">IF(중복검사!$A4922="",FALSE(),중복검사!$J4922="유지")</f>
        <v>0</v>
      </c>
      <c r="I4924" s="5" t="str">
        <f aca="false">IF($H4924=FALSE(),"",COUNTIF($H$6:$H4924,TRUE()))</f>
        <v/>
      </c>
      <c r="J4924" s="5" t="str">
        <f aca="false">IF($I4924="","","R"&amp;$I4924)</f>
        <v/>
      </c>
    </row>
    <row r="4925" customFormat="false" ht="15" hidden="false" customHeight="true" outlineLevel="0" collapsed="false">
      <c r="H4925" s="14" t="b">
        <f aca="false">IF(중복검사!$A4923="",FALSE(),중복검사!$J4923="유지")</f>
        <v>0</v>
      </c>
      <c r="I4925" s="5" t="str">
        <f aca="false">IF($H4925=FALSE(),"",COUNTIF($H$6:$H4925,TRUE()))</f>
        <v/>
      </c>
      <c r="J4925" s="5" t="str">
        <f aca="false">IF($I4925="","","R"&amp;$I4925)</f>
        <v/>
      </c>
    </row>
    <row r="4926" customFormat="false" ht="15" hidden="false" customHeight="true" outlineLevel="0" collapsed="false">
      <c r="H4926" s="14" t="b">
        <f aca="false">IF(중복검사!$A4924="",FALSE(),중복검사!$J4924="유지")</f>
        <v>0</v>
      </c>
      <c r="I4926" s="5" t="str">
        <f aca="false">IF($H4926=FALSE(),"",COUNTIF($H$6:$H4926,TRUE()))</f>
        <v/>
      </c>
      <c r="J4926" s="5" t="str">
        <f aca="false">IF($I4926="","","R"&amp;$I4926)</f>
        <v/>
      </c>
    </row>
    <row r="4927" customFormat="false" ht="15" hidden="false" customHeight="true" outlineLevel="0" collapsed="false">
      <c r="H4927" s="14" t="b">
        <f aca="false">IF(중복검사!$A4925="",FALSE(),중복검사!$J4925="유지")</f>
        <v>0</v>
      </c>
      <c r="I4927" s="5" t="str">
        <f aca="false">IF($H4927=FALSE(),"",COUNTIF($H$6:$H4927,TRUE()))</f>
        <v/>
      </c>
      <c r="J4927" s="5" t="str">
        <f aca="false">IF($I4927="","","R"&amp;$I4927)</f>
        <v/>
      </c>
    </row>
    <row r="4928" customFormat="false" ht="15" hidden="false" customHeight="true" outlineLevel="0" collapsed="false">
      <c r="H4928" s="14" t="b">
        <f aca="false">IF(중복검사!$A4926="",FALSE(),중복검사!$J4926="유지")</f>
        <v>0</v>
      </c>
      <c r="I4928" s="5" t="str">
        <f aca="false">IF($H4928=FALSE(),"",COUNTIF($H$6:$H4928,TRUE()))</f>
        <v/>
      </c>
      <c r="J4928" s="5" t="str">
        <f aca="false">IF($I4928="","","R"&amp;$I4928)</f>
        <v/>
      </c>
    </row>
    <row r="4929" customFormat="false" ht="15" hidden="false" customHeight="true" outlineLevel="0" collapsed="false">
      <c r="H4929" s="14" t="b">
        <f aca="false">IF(중복검사!$A4927="",FALSE(),중복검사!$J4927="유지")</f>
        <v>0</v>
      </c>
      <c r="I4929" s="5" t="str">
        <f aca="false">IF($H4929=FALSE(),"",COUNTIF($H$6:$H4929,TRUE()))</f>
        <v/>
      </c>
      <c r="J4929" s="5" t="str">
        <f aca="false">IF($I4929="","","R"&amp;$I4929)</f>
        <v/>
      </c>
    </row>
    <row r="4930" customFormat="false" ht="15" hidden="false" customHeight="true" outlineLevel="0" collapsed="false">
      <c r="H4930" s="14" t="b">
        <f aca="false">IF(중복검사!$A4928="",FALSE(),중복검사!$J4928="유지")</f>
        <v>0</v>
      </c>
      <c r="I4930" s="5" t="str">
        <f aca="false">IF($H4930=FALSE(),"",COUNTIF($H$6:$H4930,TRUE()))</f>
        <v/>
      </c>
      <c r="J4930" s="5" t="str">
        <f aca="false">IF($I4930="","","R"&amp;$I4930)</f>
        <v/>
      </c>
    </row>
    <row r="4931" customFormat="false" ht="15" hidden="false" customHeight="true" outlineLevel="0" collapsed="false">
      <c r="H4931" s="14" t="b">
        <f aca="false">IF(중복검사!$A4929="",FALSE(),중복검사!$J4929="유지")</f>
        <v>0</v>
      </c>
      <c r="I4931" s="5" t="str">
        <f aca="false">IF($H4931=FALSE(),"",COUNTIF($H$6:$H4931,TRUE()))</f>
        <v/>
      </c>
      <c r="J4931" s="5" t="str">
        <f aca="false">IF($I4931="","","R"&amp;$I4931)</f>
        <v/>
      </c>
    </row>
    <row r="4932" customFormat="false" ht="15" hidden="false" customHeight="true" outlineLevel="0" collapsed="false">
      <c r="H4932" s="14" t="b">
        <f aca="false">IF(중복검사!$A4930="",FALSE(),중복검사!$J4930="유지")</f>
        <v>0</v>
      </c>
      <c r="I4932" s="5" t="str">
        <f aca="false">IF($H4932=FALSE(),"",COUNTIF($H$6:$H4932,TRUE()))</f>
        <v/>
      </c>
      <c r="J4932" s="5" t="str">
        <f aca="false">IF($I4932="","","R"&amp;$I4932)</f>
        <v/>
      </c>
    </row>
    <row r="4933" customFormat="false" ht="15" hidden="false" customHeight="true" outlineLevel="0" collapsed="false">
      <c r="H4933" s="14" t="b">
        <f aca="false">IF(중복검사!$A4931="",FALSE(),중복검사!$J4931="유지")</f>
        <v>0</v>
      </c>
      <c r="I4933" s="5" t="str">
        <f aca="false">IF($H4933=FALSE(),"",COUNTIF($H$6:$H4933,TRUE()))</f>
        <v/>
      </c>
      <c r="J4933" s="5" t="str">
        <f aca="false">IF($I4933="","","R"&amp;$I4933)</f>
        <v/>
      </c>
    </row>
    <row r="4934" customFormat="false" ht="15" hidden="false" customHeight="true" outlineLevel="0" collapsed="false">
      <c r="H4934" s="14" t="b">
        <f aca="false">IF(중복검사!$A4932="",FALSE(),중복검사!$J4932="유지")</f>
        <v>0</v>
      </c>
      <c r="I4934" s="5" t="str">
        <f aca="false">IF($H4934=FALSE(),"",COUNTIF($H$6:$H4934,TRUE()))</f>
        <v/>
      </c>
      <c r="J4934" s="5" t="str">
        <f aca="false">IF($I4934="","","R"&amp;$I4934)</f>
        <v/>
      </c>
    </row>
    <row r="4935" customFormat="false" ht="15" hidden="false" customHeight="true" outlineLevel="0" collapsed="false">
      <c r="H4935" s="14" t="b">
        <f aca="false">IF(중복검사!$A4933="",FALSE(),중복검사!$J4933="유지")</f>
        <v>0</v>
      </c>
      <c r="I4935" s="5" t="str">
        <f aca="false">IF($H4935=FALSE(),"",COUNTIF($H$6:$H4935,TRUE()))</f>
        <v/>
      </c>
      <c r="J4935" s="5" t="str">
        <f aca="false">IF($I4935="","","R"&amp;$I4935)</f>
        <v/>
      </c>
    </row>
    <row r="4936" customFormat="false" ht="15" hidden="false" customHeight="true" outlineLevel="0" collapsed="false">
      <c r="H4936" s="14" t="b">
        <f aca="false">IF(중복검사!$A4934="",FALSE(),중복검사!$J4934="유지")</f>
        <v>0</v>
      </c>
      <c r="I4936" s="5" t="str">
        <f aca="false">IF($H4936=FALSE(),"",COUNTIF($H$6:$H4936,TRUE()))</f>
        <v/>
      </c>
      <c r="J4936" s="5" t="str">
        <f aca="false">IF($I4936="","","R"&amp;$I4936)</f>
        <v/>
      </c>
    </row>
    <row r="4937" customFormat="false" ht="15" hidden="false" customHeight="true" outlineLevel="0" collapsed="false">
      <c r="H4937" s="14" t="b">
        <f aca="false">IF(중복검사!$A4935="",FALSE(),중복검사!$J4935="유지")</f>
        <v>0</v>
      </c>
      <c r="I4937" s="5" t="str">
        <f aca="false">IF($H4937=FALSE(),"",COUNTIF($H$6:$H4937,TRUE()))</f>
        <v/>
      </c>
      <c r="J4937" s="5" t="str">
        <f aca="false">IF($I4937="","","R"&amp;$I4937)</f>
        <v/>
      </c>
    </row>
    <row r="4938" customFormat="false" ht="15" hidden="false" customHeight="true" outlineLevel="0" collapsed="false">
      <c r="H4938" s="14" t="b">
        <f aca="false">IF(중복검사!$A4936="",FALSE(),중복검사!$J4936="유지")</f>
        <v>0</v>
      </c>
      <c r="I4938" s="5" t="str">
        <f aca="false">IF($H4938=FALSE(),"",COUNTIF($H$6:$H4938,TRUE()))</f>
        <v/>
      </c>
      <c r="J4938" s="5" t="str">
        <f aca="false">IF($I4938="","","R"&amp;$I4938)</f>
        <v/>
      </c>
    </row>
    <row r="4939" customFormat="false" ht="15" hidden="false" customHeight="true" outlineLevel="0" collapsed="false">
      <c r="H4939" s="14" t="b">
        <f aca="false">IF(중복검사!$A4937="",FALSE(),중복검사!$J4937="유지")</f>
        <v>0</v>
      </c>
      <c r="I4939" s="5" t="str">
        <f aca="false">IF($H4939=FALSE(),"",COUNTIF($H$6:$H4939,TRUE()))</f>
        <v/>
      </c>
      <c r="J4939" s="5" t="str">
        <f aca="false">IF($I4939="","","R"&amp;$I4939)</f>
        <v/>
      </c>
    </row>
    <row r="4940" customFormat="false" ht="15" hidden="false" customHeight="true" outlineLevel="0" collapsed="false">
      <c r="H4940" s="14" t="b">
        <f aca="false">IF(중복검사!$A4938="",FALSE(),중복검사!$J4938="유지")</f>
        <v>0</v>
      </c>
      <c r="I4940" s="5" t="str">
        <f aca="false">IF($H4940=FALSE(),"",COUNTIF($H$6:$H4940,TRUE()))</f>
        <v/>
      </c>
      <c r="J4940" s="5" t="str">
        <f aca="false">IF($I4940="","","R"&amp;$I4940)</f>
        <v/>
      </c>
    </row>
    <row r="4941" customFormat="false" ht="15" hidden="false" customHeight="true" outlineLevel="0" collapsed="false">
      <c r="H4941" s="14" t="b">
        <f aca="false">IF(중복검사!$A4939="",FALSE(),중복검사!$J4939="유지")</f>
        <v>0</v>
      </c>
      <c r="I4941" s="5" t="str">
        <f aca="false">IF($H4941=FALSE(),"",COUNTIF($H$6:$H4941,TRUE()))</f>
        <v/>
      </c>
      <c r="J4941" s="5" t="str">
        <f aca="false">IF($I4941="","","R"&amp;$I4941)</f>
        <v/>
      </c>
    </row>
    <row r="4942" customFormat="false" ht="15" hidden="false" customHeight="true" outlineLevel="0" collapsed="false">
      <c r="H4942" s="14" t="b">
        <f aca="false">IF(중복검사!$A4940="",FALSE(),중복검사!$J4940="유지")</f>
        <v>0</v>
      </c>
      <c r="I4942" s="5" t="str">
        <f aca="false">IF($H4942=FALSE(),"",COUNTIF($H$6:$H4942,TRUE()))</f>
        <v/>
      </c>
      <c r="J4942" s="5" t="str">
        <f aca="false">IF($I4942="","","R"&amp;$I4942)</f>
        <v/>
      </c>
    </row>
    <row r="4943" customFormat="false" ht="15" hidden="false" customHeight="true" outlineLevel="0" collapsed="false">
      <c r="H4943" s="14" t="b">
        <f aca="false">IF(중복검사!$A4941="",FALSE(),중복검사!$J4941="유지")</f>
        <v>0</v>
      </c>
      <c r="I4943" s="5" t="str">
        <f aca="false">IF($H4943=FALSE(),"",COUNTIF($H$6:$H4943,TRUE()))</f>
        <v/>
      </c>
      <c r="J4943" s="5" t="str">
        <f aca="false">IF($I4943="","","R"&amp;$I4943)</f>
        <v/>
      </c>
    </row>
    <row r="4944" customFormat="false" ht="15" hidden="false" customHeight="true" outlineLevel="0" collapsed="false">
      <c r="H4944" s="14" t="b">
        <f aca="false">IF(중복검사!$A4942="",FALSE(),중복검사!$J4942="유지")</f>
        <v>0</v>
      </c>
      <c r="I4944" s="5" t="str">
        <f aca="false">IF($H4944=FALSE(),"",COUNTIF($H$6:$H4944,TRUE()))</f>
        <v/>
      </c>
      <c r="J4944" s="5" t="str">
        <f aca="false">IF($I4944="","","R"&amp;$I4944)</f>
        <v/>
      </c>
    </row>
    <row r="4945" customFormat="false" ht="15" hidden="false" customHeight="true" outlineLevel="0" collapsed="false">
      <c r="H4945" s="14" t="b">
        <f aca="false">IF(중복검사!$A4943="",FALSE(),중복검사!$J4943="유지")</f>
        <v>0</v>
      </c>
      <c r="I4945" s="5" t="str">
        <f aca="false">IF($H4945=FALSE(),"",COUNTIF($H$6:$H4945,TRUE()))</f>
        <v/>
      </c>
      <c r="J4945" s="5" t="str">
        <f aca="false">IF($I4945="","","R"&amp;$I4945)</f>
        <v/>
      </c>
    </row>
    <row r="4946" customFormat="false" ht="15" hidden="false" customHeight="true" outlineLevel="0" collapsed="false">
      <c r="H4946" s="14" t="b">
        <f aca="false">IF(중복검사!$A4944="",FALSE(),중복검사!$J4944="유지")</f>
        <v>0</v>
      </c>
      <c r="I4946" s="5" t="str">
        <f aca="false">IF($H4946=FALSE(),"",COUNTIF($H$6:$H4946,TRUE()))</f>
        <v/>
      </c>
      <c r="J4946" s="5" t="str">
        <f aca="false">IF($I4946="","","R"&amp;$I4946)</f>
        <v/>
      </c>
    </row>
    <row r="4947" customFormat="false" ht="15" hidden="false" customHeight="true" outlineLevel="0" collapsed="false">
      <c r="H4947" s="14" t="b">
        <f aca="false">IF(중복검사!$A4945="",FALSE(),중복검사!$J4945="유지")</f>
        <v>0</v>
      </c>
      <c r="I4947" s="5" t="str">
        <f aca="false">IF($H4947=FALSE(),"",COUNTIF($H$6:$H4947,TRUE()))</f>
        <v/>
      </c>
      <c r="J4947" s="5" t="str">
        <f aca="false">IF($I4947="","","R"&amp;$I4947)</f>
        <v/>
      </c>
    </row>
    <row r="4948" customFormat="false" ht="15" hidden="false" customHeight="true" outlineLevel="0" collapsed="false">
      <c r="H4948" s="14" t="b">
        <f aca="false">IF(중복검사!$A4946="",FALSE(),중복검사!$J4946="유지")</f>
        <v>0</v>
      </c>
      <c r="I4948" s="5" t="str">
        <f aca="false">IF($H4948=FALSE(),"",COUNTIF($H$6:$H4948,TRUE()))</f>
        <v/>
      </c>
      <c r="J4948" s="5" t="str">
        <f aca="false">IF($I4948="","","R"&amp;$I4948)</f>
        <v/>
      </c>
    </row>
    <row r="4949" customFormat="false" ht="15" hidden="false" customHeight="true" outlineLevel="0" collapsed="false">
      <c r="H4949" s="14" t="b">
        <f aca="false">IF(중복검사!$A4947="",FALSE(),중복검사!$J4947="유지")</f>
        <v>0</v>
      </c>
      <c r="I4949" s="5" t="str">
        <f aca="false">IF($H4949=FALSE(),"",COUNTIF($H$6:$H4949,TRUE()))</f>
        <v/>
      </c>
      <c r="J4949" s="5" t="str">
        <f aca="false">IF($I4949="","","R"&amp;$I4949)</f>
        <v/>
      </c>
    </row>
    <row r="4950" customFormat="false" ht="15" hidden="false" customHeight="true" outlineLevel="0" collapsed="false">
      <c r="H4950" s="14" t="b">
        <f aca="false">IF(중복검사!$A4948="",FALSE(),중복검사!$J4948="유지")</f>
        <v>0</v>
      </c>
      <c r="I4950" s="5" t="str">
        <f aca="false">IF($H4950=FALSE(),"",COUNTIF($H$6:$H4950,TRUE()))</f>
        <v/>
      </c>
      <c r="J4950" s="5" t="str">
        <f aca="false">IF($I4950="","","R"&amp;$I4950)</f>
        <v/>
      </c>
    </row>
    <row r="4951" customFormat="false" ht="15" hidden="false" customHeight="true" outlineLevel="0" collapsed="false">
      <c r="H4951" s="14" t="b">
        <f aca="false">IF(중복검사!$A4949="",FALSE(),중복검사!$J4949="유지")</f>
        <v>0</v>
      </c>
      <c r="I4951" s="5" t="str">
        <f aca="false">IF($H4951=FALSE(),"",COUNTIF($H$6:$H4951,TRUE()))</f>
        <v/>
      </c>
      <c r="J4951" s="5" t="str">
        <f aca="false">IF($I4951="","","R"&amp;$I4951)</f>
        <v/>
      </c>
    </row>
    <row r="4952" customFormat="false" ht="15" hidden="false" customHeight="true" outlineLevel="0" collapsed="false">
      <c r="H4952" s="14" t="b">
        <f aca="false">IF(중복검사!$A4950="",FALSE(),중복검사!$J4950="유지")</f>
        <v>0</v>
      </c>
      <c r="I4952" s="5" t="str">
        <f aca="false">IF($H4952=FALSE(),"",COUNTIF($H$6:$H4952,TRUE()))</f>
        <v/>
      </c>
      <c r="J4952" s="5" t="str">
        <f aca="false">IF($I4952="","","R"&amp;$I4952)</f>
        <v/>
      </c>
    </row>
    <row r="4953" customFormat="false" ht="15" hidden="false" customHeight="true" outlineLevel="0" collapsed="false">
      <c r="H4953" s="14" t="b">
        <f aca="false">IF(중복검사!$A4951="",FALSE(),중복검사!$J4951="유지")</f>
        <v>0</v>
      </c>
      <c r="I4953" s="5" t="str">
        <f aca="false">IF($H4953=FALSE(),"",COUNTIF($H$6:$H4953,TRUE()))</f>
        <v/>
      </c>
      <c r="J4953" s="5" t="str">
        <f aca="false">IF($I4953="","","R"&amp;$I4953)</f>
        <v/>
      </c>
    </row>
    <row r="4954" customFormat="false" ht="15" hidden="false" customHeight="true" outlineLevel="0" collapsed="false">
      <c r="H4954" s="14" t="b">
        <f aca="false">IF(중복검사!$A4952="",FALSE(),중복검사!$J4952="유지")</f>
        <v>0</v>
      </c>
      <c r="I4954" s="5" t="str">
        <f aca="false">IF($H4954=FALSE(),"",COUNTIF($H$6:$H4954,TRUE()))</f>
        <v/>
      </c>
      <c r="J4954" s="5" t="str">
        <f aca="false">IF($I4954="","","R"&amp;$I4954)</f>
        <v/>
      </c>
    </row>
    <row r="4955" customFormat="false" ht="15" hidden="false" customHeight="true" outlineLevel="0" collapsed="false">
      <c r="H4955" s="14" t="b">
        <f aca="false">IF(중복검사!$A4953="",FALSE(),중복검사!$J4953="유지")</f>
        <v>0</v>
      </c>
      <c r="I4955" s="5" t="str">
        <f aca="false">IF($H4955=FALSE(),"",COUNTIF($H$6:$H4955,TRUE()))</f>
        <v/>
      </c>
      <c r="J4955" s="5" t="str">
        <f aca="false">IF($I4955="","","R"&amp;$I4955)</f>
        <v/>
      </c>
    </row>
    <row r="4956" customFormat="false" ht="15" hidden="false" customHeight="true" outlineLevel="0" collapsed="false">
      <c r="H4956" s="14" t="b">
        <f aca="false">IF(중복검사!$A4954="",FALSE(),중복검사!$J4954="유지")</f>
        <v>0</v>
      </c>
      <c r="I4956" s="5" t="str">
        <f aca="false">IF($H4956=FALSE(),"",COUNTIF($H$6:$H4956,TRUE()))</f>
        <v/>
      </c>
      <c r="J4956" s="5" t="str">
        <f aca="false">IF($I4956="","","R"&amp;$I4956)</f>
        <v/>
      </c>
    </row>
    <row r="4957" customFormat="false" ht="15" hidden="false" customHeight="true" outlineLevel="0" collapsed="false">
      <c r="H4957" s="14" t="b">
        <f aca="false">IF(중복검사!$A4955="",FALSE(),중복검사!$J4955="유지")</f>
        <v>0</v>
      </c>
      <c r="I4957" s="5" t="str">
        <f aca="false">IF($H4957=FALSE(),"",COUNTIF($H$6:$H4957,TRUE()))</f>
        <v/>
      </c>
      <c r="J4957" s="5" t="str">
        <f aca="false">IF($I4957="","","R"&amp;$I4957)</f>
        <v/>
      </c>
    </row>
    <row r="4958" customFormat="false" ht="15" hidden="false" customHeight="true" outlineLevel="0" collapsed="false">
      <c r="H4958" s="14" t="b">
        <f aca="false">IF(중복검사!$A4956="",FALSE(),중복검사!$J4956="유지")</f>
        <v>0</v>
      </c>
      <c r="I4958" s="5" t="str">
        <f aca="false">IF($H4958=FALSE(),"",COUNTIF($H$6:$H4958,TRUE()))</f>
        <v/>
      </c>
      <c r="J4958" s="5" t="str">
        <f aca="false">IF($I4958="","","R"&amp;$I4958)</f>
        <v/>
      </c>
    </row>
    <row r="4959" customFormat="false" ht="15" hidden="false" customHeight="true" outlineLevel="0" collapsed="false">
      <c r="H4959" s="14" t="b">
        <f aca="false">IF(중복검사!$A4957="",FALSE(),중복검사!$J4957="유지")</f>
        <v>0</v>
      </c>
      <c r="I4959" s="5" t="str">
        <f aca="false">IF($H4959=FALSE(),"",COUNTIF($H$6:$H4959,TRUE()))</f>
        <v/>
      </c>
      <c r="J4959" s="5" t="str">
        <f aca="false">IF($I4959="","","R"&amp;$I4959)</f>
        <v/>
      </c>
    </row>
    <row r="4960" customFormat="false" ht="15" hidden="false" customHeight="true" outlineLevel="0" collapsed="false">
      <c r="H4960" s="14" t="b">
        <f aca="false">IF(중복검사!$A4958="",FALSE(),중복검사!$J4958="유지")</f>
        <v>0</v>
      </c>
      <c r="I4960" s="5" t="str">
        <f aca="false">IF($H4960=FALSE(),"",COUNTIF($H$6:$H4960,TRUE()))</f>
        <v/>
      </c>
      <c r="J4960" s="5" t="str">
        <f aca="false">IF($I4960="","","R"&amp;$I4960)</f>
        <v/>
      </c>
    </row>
    <row r="4961" customFormat="false" ht="15" hidden="false" customHeight="true" outlineLevel="0" collapsed="false">
      <c r="H4961" s="14" t="b">
        <f aca="false">IF(중복검사!$A4959="",FALSE(),중복검사!$J4959="유지")</f>
        <v>0</v>
      </c>
      <c r="I4961" s="5" t="str">
        <f aca="false">IF($H4961=FALSE(),"",COUNTIF($H$6:$H4961,TRUE()))</f>
        <v/>
      </c>
      <c r="J4961" s="5" t="str">
        <f aca="false">IF($I4961="","","R"&amp;$I4961)</f>
        <v/>
      </c>
    </row>
    <row r="4962" customFormat="false" ht="15" hidden="false" customHeight="true" outlineLevel="0" collapsed="false">
      <c r="H4962" s="14" t="b">
        <f aca="false">IF(중복검사!$A4960="",FALSE(),중복검사!$J4960="유지")</f>
        <v>0</v>
      </c>
      <c r="I4962" s="5" t="str">
        <f aca="false">IF($H4962=FALSE(),"",COUNTIF($H$6:$H4962,TRUE()))</f>
        <v/>
      </c>
      <c r="J4962" s="5" t="str">
        <f aca="false">IF($I4962="","","R"&amp;$I4962)</f>
        <v/>
      </c>
    </row>
    <row r="4963" customFormat="false" ht="15" hidden="false" customHeight="true" outlineLevel="0" collapsed="false">
      <c r="H4963" s="14" t="b">
        <f aca="false">IF(중복검사!$A4961="",FALSE(),중복검사!$J4961="유지")</f>
        <v>0</v>
      </c>
      <c r="I4963" s="5" t="str">
        <f aca="false">IF($H4963=FALSE(),"",COUNTIF($H$6:$H4963,TRUE()))</f>
        <v/>
      </c>
      <c r="J4963" s="5" t="str">
        <f aca="false">IF($I4963="","","R"&amp;$I4963)</f>
        <v/>
      </c>
    </row>
    <row r="4964" customFormat="false" ht="15" hidden="false" customHeight="true" outlineLevel="0" collapsed="false">
      <c r="H4964" s="14" t="b">
        <f aca="false">IF(중복검사!$A4962="",FALSE(),중복검사!$J4962="유지")</f>
        <v>0</v>
      </c>
      <c r="I4964" s="5" t="str">
        <f aca="false">IF($H4964=FALSE(),"",COUNTIF($H$6:$H4964,TRUE()))</f>
        <v/>
      </c>
      <c r="J4964" s="5" t="str">
        <f aca="false">IF($I4964="","","R"&amp;$I4964)</f>
        <v/>
      </c>
    </row>
    <row r="4965" customFormat="false" ht="15" hidden="false" customHeight="true" outlineLevel="0" collapsed="false">
      <c r="H4965" s="14" t="b">
        <f aca="false">IF(중복검사!$A4963="",FALSE(),중복검사!$J4963="유지")</f>
        <v>0</v>
      </c>
      <c r="I4965" s="5" t="str">
        <f aca="false">IF($H4965=FALSE(),"",COUNTIF($H$6:$H4965,TRUE()))</f>
        <v/>
      </c>
      <c r="J4965" s="5" t="str">
        <f aca="false">IF($I4965="","","R"&amp;$I4965)</f>
        <v/>
      </c>
    </row>
    <row r="4966" customFormat="false" ht="15" hidden="false" customHeight="true" outlineLevel="0" collapsed="false">
      <c r="H4966" s="14" t="b">
        <f aca="false">IF(중복검사!$A4964="",FALSE(),중복검사!$J4964="유지")</f>
        <v>0</v>
      </c>
      <c r="I4966" s="5" t="str">
        <f aca="false">IF($H4966=FALSE(),"",COUNTIF($H$6:$H4966,TRUE()))</f>
        <v/>
      </c>
      <c r="J4966" s="5" t="str">
        <f aca="false">IF($I4966="","","R"&amp;$I4966)</f>
        <v/>
      </c>
    </row>
    <row r="4967" customFormat="false" ht="15" hidden="false" customHeight="true" outlineLevel="0" collapsed="false">
      <c r="H4967" s="14" t="b">
        <f aca="false">IF(중복검사!$A4965="",FALSE(),중복검사!$J4965="유지")</f>
        <v>0</v>
      </c>
      <c r="I4967" s="5" t="str">
        <f aca="false">IF($H4967=FALSE(),"",COUNTIF($H$6:$H4967,TRUE()))</f>
        <v/>
      </c>
      <c r="J4967" s="5" t="str">
        <f aca="false">IF($I4967="","","R"&amp;$I4967)</f>
        <v/>
      </c>
    </row>
    <row r="4968" customFormat="false" ht="15" hidden="false" customHeight="true" outlineLevel="0" collapsed="false">
      <c r="H4968" s="14" t="b">
        <f aca="false">IF(중복검사!$A4966="",FALSE(),중복검사!$J4966="유지")</f>
        <v>0</v>
      </c>
      <c r="I4968" s="5" t="str">
        <f aca="false">IF($H4968=FALSE(),"",COUNTIF($H$6:$H4968,TRUE()))</f>
        <v/>
      </c>
      <c r="J4968" s="5" t="str">
        <f aca="false">IF($I4968="","","R"&amp;$I4968)</f>
        <v/>
      </c>
    </row>
    <row r="4969" customFormat="false" ht="15" hidden="false" customHeight="true" outlineLevel="0" collapsed="false">
      <c r="H4969" s="14" t="b">
        <f aca="false">IF(중복검사!$A4967="",FALSE(),중복검사!$J4967="유지")</f>
        <v>0</v>
      </c>
      <c r="I4969" s="5" t="str">
        <f aca="false">IF($H4969=FALSE(),"",COUNTIF($H$6:$H4969,TRUE()))</f>
        <v/>
      </c>
      <c r="J4969" s="5" t="str">
        <f aca="false">IF($I4969="","","R"&amp;$I4969)</f>
        <v/>
      </c>
    </row>
    <row r="4970" customFormat="false" ht="15" hidden="false" customHeight="true" outlineLevel="0" collapsed="false">
      <c r="H4970" s="14" t="b">
        <f aca="false">IF(중복검사!$A4968="",FALSE(),중복검사!$J4968="유지")</f>
        <v>0</v>
      </c>
      <c r="I4970" s="5" t="str">
        <f aca="false">IF($H4970=FALSE(),"",COUNTIF($H$6:$H4970,TRUE()))</f>
        <v/>
      </c>
      <c r="J4970" s="5" t="str">
        <f aca="false">IF($I4970="","","R"&amp;$I4970)</f>
        <v/>
      </c>
    </row>
    <row r="4971" customFormat="false" ht="15" hidden="false" customHeight="true" outlineLevel="0" collapsed="false">
      <c r="H4971" s="14" t="b">
        <f aca="false">IF(중복검사!$A4969="",FALSE(),중복검사!$J4969="유지")</f>
        <v>0</v>
      </c>
      <c r="I4971" s="5" t="str">
        <f aca="false">IF($H4971=FALSE(),"",COUNTIF($H$6:$H4971,TRUE()))</f>
        <v/>
      </c>
      <c r="J4971" s="5" t="str">
        <f aca="false">IF($I4971="","","R"&amp;$I4971)</f>
        <v/>
      </c>
    </row>
    <row r="4972" customFormat="false" ht="15" hidden="false" customHeight="true" outlineLevel="0" collapsed="false">
      <c r="H4972" s="14" t="b">
        <f aca="false">IF(중복검사!$A4970="",FALSE(),중복검사!$J4970="유지")</f>
        <v>0</v>
      </c>
      <c r="I4972" s="5" t="str">
        <f aca="false">IF($H4972=FALSE(),"",COUNTIF($H$6:$H4972,TRUE()))</f>
        <v/>
      </c>
      <c r="J4972" s="5" t="str">
        <f aca="false">IF($I4972="","","R"&amp;$I4972)</f>
        <v/>
      </c>
    </row>
    <row r="4973" customFormat="false" ht="15" hidden="false" customHeight="true" outlineLevel="0" collapsed="false">
      <c r="H4973" s="14" t="b">
        <f aca="false">IF(중복검사!$A4971="",FALSE(),중복검사!$J4971="유지")</f>
        <v>0</v>
      </c>
      <c r="I4973" s="5" t="str">
        <f aca="false">IF($H4973=FALSE(),"",COUNTIF($H$6:$H4973,TRUE()))</f>
        <v/>
      </c>
      <c r="J4973" s="5" t="str">
        <f aca="false">IF($I4973="","","R"&amp;$I4973)</f>
        <v/>
      </c>
    </row>
    <row r="4974" customFormat="false" ht="15" hidden="false" customHeight="true" outlineLevel="0" collapsed="false">
      <c r="H4974" s="14" t="b">
        <f aca="false">IF(중복검사!$A4972="",FALSE(),중복검사!$J4972="유지")</f>
        <v>0</v>
      </c>
      <c r="I4974" s="5" t="str">
        <f aca="false">IF($H4974=FALSE(),"",COUNTIF($H$6:$H4974,TRUE()))</f>
        <v/>
      </c>
      <c r="J4974" s="5" t="str">
        <f aca="false">IF($I4974="","","R"&amp;$I4974)</f>
        <v/>
      </c>
    </row>
    <row r="4975" customFormat="false" ht="15" hidden="false" customHeight="true" outlineLevel="0" collapsed="false">
      <c r="H4975" s="14" t="b">
        <f aca="false">IF(중복검사!$A4973="",FALSE(),중복검사!$J4973="유지")</f>
        <v>0</v>
      </c>
      <c r="I4975" s="5" t="str">
        <f aca="false">IF($H4975=FALSE(),"",COUNTIF($H$6:$H4975,TRUE()))</f>
        <v/>
      </c>
      <c r="J4975" s="5" t="str">
        <f aca="false">IF($I4975="","","R"&amp;$I4975)</f>
        <v/>
      </c>
    </row>
    <row r="4976" customFormat="false" ht="15" hidden="false" customHeight="true" outlineLevel="0" collapsed="false">
      <c r="H4976" s="14" t="b">
        <f aca="false">IF(중복검사!$A4974="",FALSE(),중복검사!$J4974="유지")</f>
        <v>0</v>
      </c>
      <c r="I4976" s="5" t="str">
        <f aca="false">IF($H4976=FALSE(),"",COUNTIF($H$6:$H4976,TRUE()))</f>
        <v/>
      </c>
      <c r="J4976" s="5" t="str">
        <f aca="false">IF($I4976="","","R"&amp;$I4976)</f>
        <v/>
      </c>
    </row>
    <row r="4977" customFormat="false" ht="15" hidden="false" customHeight="true" outlineLevel="0" collapsed="false">
      <c r="H4977" s="14" t="b">
        <f aca="false">IF(중복검사!$A4975="",FALSE(),중복검사!$J4975="유지")</f>
        <v>0</v>
      </c>
      <c r="I4977" s="5" t="str">
        <f aca="false">IF($H4977=FALSE(),"",COUNTIF($H$6:$H4977,TRUE()))</f>
        <v/>
      </c>
      <c r="J4977" s="5" t="str">
        <f aca="false">IF($I4977="","","R"&amp;$I4977)</f>
        <v/>
      </c>
    </row>
    <row r="4978" customFormat="false" ht="15" hidden="false" customHeight="true" outlineLevel="0" collapsed="false">
      <c r="H4978" s="14" t="b">
        <f aca="false">IF(중복검사!$A4976="",FALSE(),중복검사!$J4976="유지")</f>
        <v>0</v>
      </c>
      <c r="I4978" s="5" t="str">
        <f aca="false">IF($H4978=FALSE(),"",COUNTIF($H$6:$H4978,TRUE()))</f>
        <v/>
      </c>
      <c r="J4978" s="5" t="str">
        <f aca="false">IF($I4978="","","R"&amp;$I4978)</f>
        <v/>
      </c>
    </row>
    <row r="4979" customFormat="false" ht="15" hidden="false" customHeight="true" outlineLevel="0" collapsed="false">
      <c r="H4979" s="14" t="b">
        <f aca="false">IF(중복검사!$A4977="",FALSE(),중복검사!$J4977="유지")</f>
        <v>0</v>
      </c>
      <c r="I4979" s="5" t="str">
        <f aca="false">IF($H4979=FALSE(),"",COUNTIF($H$6:$H4979,TRUE()))</f>
        <v/>
      </c>
      <c r="J4979" s="5" t="str">
        <f aca="false">IF($I4979="","","R"&amp;$I4979)</f>
        <v/>
      </c>
    </row>
    <row r="4980" customFormat="false" ht="15" hidden="false" customHeight="true" outlineLevel="0" collapsed="false">
      <c r="H4980" s="14" t="b">
        <f aca="false">IF(중복검사!$A4978="",FALSE(),중복검사!$J4978="유지")</f>
        <v>0</v>
      </c>
      <c r="I4980" s="5" t="str">
        <f aca="false">IF($H4980=FALSE(),"",COUNTIF($H$6:$H4980,TRUE()))</f>
        <v/>
      </c>
      <c r="J4980" s="5" t="str">
        <f aca="false">IF($I4980="","","R"&amp;$I4980)</f>
        <v/>
      </c>
    </row>
    <row r="4981" customFormat="false" ht="15" hidden="false" customHeight="true" outlineLevel="0" collapsed="false">
      <c r="H4981" s="14" t="b">
        <f aca="false">IF(중복검사!$A4979="",FALSE(),중복검사!$J4979="유지")</f>
        <v>0</v>
      </c>
      <c r="I4981" s="5" t="str">
        <f aca="false">IF($H4981=FALSE(),"",COUNTIF($H$6:$H4981,TRUE()))</f>
        <v/>
      </c>
      <c r="J4981" s="5" t="str">
        <f aca="false">IF($I4981="","","R"&amp;$I4981)</f>
        <v/>
      </c>
    </row>
    <row r="4982" customFormat="false" ht="15" hidden="false" customHeight="true" outlineLevel="0" collapsed="false">
      <c r="H4982" s="14" t="b">
        <f aca="false">IF(중복검사!$A4980="",FALSE(),중복검사!$J4980="유지")</f>
        <v>0</v>
      </c>
      <c r="I4982" s="5" t="str">
        <f aca="false">IF($H4982=FALSE(),"",COUNTIF($H$6:$H4982,TRUE()))</f>
        <v/>
      </c>
      <c r="J4982" s="5" t="str">
        <f aca="false">IF($I4982="","","R"&amp;$I4982)</f>
        <v/>
      </c>
    </row>
    <row r="4983" customFormat="false" ht="15" hidden="false" customHeight="true" outlineLevel="0" collapsed="false">
      <c r="H4983" s="14" t="b">
        <f aca="false">IF(중복검사!$A4981="",FALSE(),중복검사!$J4981="유지")</f>
        <v>0</v>
      </c>
      <c r="I4983" s="5" t="str">
        <f aca="false">IF($H4983=FALSE(),"",COUNTIF($H$6:$H4983,TRUE()))</f>
        <v/>
      </c>
      <c r="J4983" s="5" t="str">
        <f aca="false">IF($I4983="","","R"&amp;$I4983)</f>
        <v/>
      </c>
    </row>
    <row r="4984" customFormat="false" ht="15" hidden="false" customHeight="true" outlineLevel="0" collapsed="false">
      <c r="H4984" s="14" t="b">
        <f aca="false">IF(중복검사!$A4982="",FALSE(),중복검사!$J4982="유지")</f>
        <v>0</v>
      </c>
      <c r="I4984" s="5" t="str">
        <f aca="false">IF($H4984=FALSE(),"",COUNTIF($H$6:$H4984,TRUE()))</f>
        <v/>
      </c>
      <c r="J4984" s="5" t="str">
        <f aca="false">IF($I4984="","","R"&amp;$I4984)</f>
        <v/>
      </c>
    </row>
    <row r="4985" customFormat="false" ht="15" hidden="false" customHeight="true" outlineLevel="0" collapsed="false">
      <c r="H4985" s="14" t="b">
        <f aca="false">IF(중복검사!$A4983="",FALSE(),중복검사!$J4983="유지")</f>
        <v>0</v>
      </c>
      <c r="I4985" s="5" t="str">
        <f aca="false">IF($H4985=FALSE(),"",COUNTIF($H$6:$H4985,TRUE()))</f>
        <v/>
      </c>
      <c r="J4985" s="5" t="str">
        <f aca="false">IF($I4985="","","R"&amp;$I4985)</f>
        <v/>
      </c>
    </row>
    <row r="4986" customFormat="false" ht="15" hidden="false" customHeight="true" outlineLevel="0" collapsed="false">
      <c r="H4986" s="14" t="b">
        <f aca="false">IF(중복검사!$A4984="",FALSE(),중복검사!$J4984="유지")</f>
        <v>0</v>
      </c>
      <c r="I4986" s="5" t="str">
        <f aca="false">IF($H4986=FALSE(),"",COUNTIF($H$6:$H4986,TRUE()))</f>
        <v/>
      </c>
      <c r="J4986" s="5" t="str">
        <f aca="false">IF($I4986="","","R"&amp;$I4986)</f>
        <v/>
      </c>
    </row>
    <row r="4987" customFormat="false" ht="15" hidden="false" customHeight="true" outlineLevel="0" collapsed="false">
      <c r="H4987" s="14" t="b">
        <f aca="false">IF(중복검사!$A4985="",FALSE(),중복검사!$J4985="유지")</f>
        <v>0</v>
      </c>
      <c r="I4987" s="5" t="str">
        <f aca="false">IF($H4987=FALSE(),"",COUNTIF($H$6:$H4987,TRUE()))</f>
        <v/>
      </c>
      <c r="J4987" s="5" t="str">
        <f aca="false">IF($I4987="","","R"&amp;$I4987)</f>
        <v/>
      </c>
    </row>
    <row r="4988" customFormat="false" ht="15" hidden="false" customHeight="true" outlineLevel="0" collapsed="false">
      <c r="H4988" s="14" t="b">
        <f aca="false">IF(중복검사!$A4986="",FALSE(),중복검사!$J4986="유지")</f>
        <v>0</v>
      </c>
      <c r="I4988" s="5" t="str">
        <f aca="false">IF($H4988=FALSE(),"",COUNTIF($H$6:$H4988,TRUE()))</f>
        <v/>
      </c>
      <c r="J4988" s="5" t="str">
        <f aca="false">IF($I4988="","","R"&amp;$I4988)</f>
        <v/>
      </c>
    </row>
    <row r="4989" customFormat="false" ht="15" hidden="false" customHeight="true" outlineLevel="0" collapsed="false">
      <c r="H4989" s="14" t="b">
        <f aca="false">IF(중복검사!$A4987="",FALSE(),중복검사!$J4987="유지")</f>
        <v>0</v>
      </c>
      <c r="I4989" s="5" t="str">
        <f aca="false">IF($H4989=FALSE(),"",COUNTIF($H$6:$H4989,TRUE()))</f>
        <v/>
      </c>
      <c r="J4989" s="5" t="str">
        <f aca="false">IF($I4989="","","R"&amp;$I4989)</f>
        <v/>
      </c>
    </row>
    <row r="4990" customFormat="false" ht="15" hidden="false" customHeight="true" outlineLevel="0" collapsed="false">
      <c r="H4990" s="14" t="b">
        <f aca="false">IF(중복검사!$A4988="",FALSE(),중복검사!$J4988="유지")</f>
        <v>0</v>
      </c>
      <c r="I4990" s="5" t="str">
        <f aca="false">IF($H4990=FALSE(),"",COUNTIF($H$6:$H4990,TRUE()))</f>
        <v/>
      </c>
      <c r="J4990" s="5" t="str">
        <f aca="false">IF($I4990="","","R"&amp;$I4990)</f>
        <v/>
      </c>
    </row>
    <row r="4991" customFormat="false" ht="15" hidden="false" customHeight="true" outlineLevel="0" collapsed="false">
      <c r="H4991" s="14" t="b">
        <f aca="false">IF(중복검사!$A4989="",FALSE(),중복검사!$J4989="유지")</f>
        <v>0</v>
      </c>
      <c r="I4991" s="5" t="str">
        <f aca="false">IF($H4991=FALSE(),"",COUNTIF($H$6:$H4991,TRUE()))</f>
        <v/>
      </c>
      <c r="J4991" s="5" t="str">
        <f aca="false">IF($I4991="","","R"&amp;$I4991)</f>
        <v/>
      </c>
    </row>
    <row r="4992" customFormat="false" ht="15" hidden="false" customHeight="true" outlineLevel="0" collapsed="false">
      <c r="H4992" s="14" t="b">
        <f aca="false">IF(중복검사!$A4990="",FALSE(),중복검사!$J4990="유지")</f>
        <v>0</v>
      </c>
      <c r="I4992" s="5" t="str">
        <f aca="false">IF($H4992=FALSE(),"",COUNTIF($H$6:$H4992,TRUE()))</f>
        <v/>
      </c>
      <c r="J4992" s="5" t="str">
        <f aca="false">IF($I4992="","","R"&amp;$I4992)</f>
        <v/>
      </c>
    </row>
    <row r="4993" customFormat="false" ht="15" hidden="false" customHeight="true" outlineLevel="0" collapsed="false">
      <c r="H4993" s="14" t="b">
        <f aca="false">IF(중복검사!$A4991="",FALSE(),중복검사!$J4991="유지")</f>
        <v>0</v>
      </c>
      <c r="I4993" s="5" t="str">
        <f aca="false">IF($H4993=FALSE(),"",COUNTIF($H$6:$H4993,TRUE()))</f>
        <v/>
      </c>
      <c r="J4993" s="5" t="str">
        <f aca="false">IF($I4993="","","R"&amp;$I4993)</f>
        <v/>
      </c>
    </row>
    <row r="4994" customFormat="false" ht="15" hidden="false" customHeight="true" outlineLevel="0" collapsed="false">
      <c r="H4994" s="14" t="b">
        <f aca="false">IF(중복검사!$A4992="",FALSE(),중복검사!$J4992="유지")</f>
        <v>0</v>
      </c>
      <c r="I4994" s="5" t="str">
        <f aca="false">IF($H4994=FALSE(),"",COUNTIF($H$6:$H4994,TRUE()))</f>
        <v/>
      </c>
      <c r="J4994" s="5" t="str">
        <f aca="false">IF($I4994="","","R"&amp;$I4994)</f>
        <v/>
      </c>
    </row>
    <row r="4995" customFormat="false" ht="15" hidden="false" customHeight="true" outlineLevel="0" collapsed="false">
      <c r="H4995" s="14" t="b">
        <f aca="false">IF(중복검사!$A4993="",FALSE(),중복검사!$J4993="유지")</f>
        <v>0</v>
      </c>
      <c r="I4995" s="5" t="str">
        <f aca="false">IF($H4995=FALSE(),"",COUNTIF($H$6:$H4995,TRUE()))</f>
        <v/>
      </c>
      <c r="J4995" s="5" t="str">
        <f aca="false">IF($I4995="","","R"&amp;$I4995)</f>
        <v/>
      </c>
    </row>
    <row r="4996" customFormat="false" ht="15" hidden="false" customHeight="true" outlineLevel="0" collapsed="false">
      <c r="H4996" s="14" t="b">
        <f aca="false">IF(중복검사!$A4994="",FALSE(),중복검사!$J4994="유지")</f>
        <v>0</v>
      </c>
      <c r="I4996" s="5" t="str">
        <f aca="false">IF($H4996=FALSE(),"",COUNTIF($H$6:$H4996,TRUE()))</f>
        <v/>
      </c>
      <c r="J4996" s="5" t="str">
        <f aca="false">IF($I4996="","","R"&amp;$I4996)</f>
        <v/>
      </c>
    </row>
    <row r="4997" customFormat="false" ht="15" hidden="false" customHeight="true" outlineLevel="0" collapsed="false">
      <c r="H4997" s="14" t="b">
        <f aca="false">IF(중복검사!$A4995="",FALSE(),중복검사!$J4995="유지")</f>
        <v>0</v>
      </c>
      <c r="I4997" s="5" t="str">
        <f aca="false">IF($H4997=FALSE(),"",COUNTIF($H$6:$H4997,TRUE()))</f>
        <v/>
      </c>
      <c r="J4997" s="5" t="str">
        <f aca="false">IF($I4997="","","R"&amp;$I4997)</f>
        <v/>
      </c>
    </row>
    <row r="4998" customFormat="false" ht="15" hidden="false" customHeight="true" outlineLevel="0" collapsed="false">
      <c r="H4998" s="14" t="b">
        <f aca="false">IF(중복검사!$A4996="",FALSE(),중복검사!$J4996="유지")</f>
        <v>0</v>
      </c>
      <c r="I4998" s="5" t="str">
        <f aca="false">IF($H4998=FALSE(),"",COUNTIF($H$6:$H4998,TRUE()))</f>
        <v/>
      </c>
      <c r="J4998" s="5" t="str">
        <f aca="false">IF($I4998="","","R"&amp;$I4998)</f>
        <v/>
      </c>
    </row>
    <row r="4999" customFormat="false" ht="15" hidden="false" customHeight="true" outlineLevel="0" collapsed="false">
      <c r="H4999" s="14" t="b">
        <f aca="false">IF(중복검사!$A4997="",FALSE(),중복검사!$J4997="유지")</f>
        <v>0</v>
      </c>
      <c r="I4999" s="5" t="str">
        <f aca="false">IF($H4999=FALSE(),"",COUNTIF($H$6:$H4999,TRUE()))</f>
        <v/>
      </c>
      <c r="J4999" s="5" t="str">
        <f aca="false">IF($I4999="","","R"&amp;$I4999)</f>
        <v/>
      </c>
    </row>
    <row r="5000" customFormat="false" ht="15" hidden="false" customHeight="true" outlineLevel="0" collapsed="false">
      <c r="H5000" s="14" t="b">
        <f aca="false">IF(중복검사!$A4998="",FALSE(),중복검사!$J4998="유지")</f>
        <v>0</v>
      </c>
      <c r="I5000" s="5" t="str">
        <f aca="false">IF($H5000=FALSE(),"",COUNTIF($H$6:$H5000,TRUE()))</f>
        <v/>
      </c>
      <c r="J5000" s="5" t="str">
        <f aca="false">IF($I5000="","","R"&amp;$I5000)</f>
        <v/>
      </c>
    </row>
    <row r="5001" customFormat="false" ht="15" hidden="false" customHeight="true" outlineLevel="0" collapsed="false">
      <c r="H5001" s="14" t="b">
        <f aca="false">IF(중복검사!$A4999="",FALSE(),중복검사!$J4999="유지")</f>
        <v>0</v>
      </c>
      <c r="I5001" s="5" t="str">
        <f aca="false">IF($H5001=FALSE(),"",COUNTIF($H$6:$H5001,TRUE()))</f>
        <v/>
      </c>
      <c r="J5001" s="5" t="str">
        <f aca="false">IF($I5001="","","R"&amp;$I5001)</f>
        <v/>
      </c>
    </row>
    <row r="5002" customFormat="false" ht="15" hidden="false" customHeight="true" outlineLevel="0" collapsed="false">
      <c r="H5002" s="14" t="b">
        <f aca="false">IF(중복검사!$A5000="",FALSE(),중복검사!$J5000="유지")</f>
        <v>0</v>
      </c>
      <c r="I5002" s="5" t="str">
        <f aca="false">IF($H5002=FALSE(),"",COUNTIF($H$6:$H5002,TRUE()))</f>
        <v/>
      </c>
      <c r="J5002" s="5" t="str">
        <f aca="false">IF($I5002="","","R"&amp;$I5002)</f>
        <v/>
      </c>
    </row>
    <row r="5003" customFormat="false" ht="15" hidden="false" customHeight="true" outlineLevel="0" collapsed="false">
      <c r="H5003" s="14" t="b">
        <f aca="false">IF(중복검사!$A5001="",FALSE(),중복검사!$J5001="유지")</f>
        <v>0</v>
      </c>
      <c r="I5003" s="5" t="str">
        <f aca="false">IF($H5003=FALSE(),"",COUNTIF($H$6:$H5003,TRUE()))</f>
        <v/>
      </c>
      <c r="J5003" s="5" t="str">
        <f aca="false">IF($I5003="","","R"&amp;$I5003)</f>
        <v/>
      </c>
    </row>
    <row r="5004" customFormat="false" ht="15" hidden="false" customHeight="true" outlineLevel="0" collapsed="false">
      <c r="H5004" s="14" t="b">
        <f aca="false">IF(중복검사!$A5002="",FALSE(),중복검사!$J5002="유지")</f>
        <v>0</v>
      </c>
      <c r="I5004" s="5" t="str">
        <f aca="false">IF($H5004=FALSE(),"",COUNTIF($H$6:$H5004,TRUE()))</f>
        <v/>
      </c>
      <c r="J5004" s="5" t="str">
        <f aca="false">IF($I5004="","","R"&amp;$I5004)</f>
        <v/>
      </c>
    </row>
    <row r="5005" customFormat="false" ht="15" hidden="false" customHeight="true" outlineLevel="0" collapsed="false">
      <c r="H5005" s="14" t="b">
        <f aca="false">IF(중복검사!$A5003="",FALSE(),중복검사!$J5003="유지")</f>
        <v>0</v>
      </c>
      <c r="I5005" s="5" t="str">
        <f aca="false">IF($H5005=FALSE(),"",COUNTIF($H$6:$H5005,TRUE()))</f>
        <v/>
      </c>
      <c r="J5005" s="5" t="str">
        <f aca="false">IF($I5005="","","R"&amp;$I5005)</f>
        <v/>
      </c>
    </row>
    <row r="5006" customFormat="false" ht="15" hidden="false" customHeight="true" outlineLevel="0" collapsed="false">
      <c r="H5006" s="14" t="b">
        <f aca="false">IF(중복검사!$A5004="",FALSE(),중복검사!$J5004="유지")</f>
        <v>0</v>
      </c>
      <c r="I5006" s="5" t="str">
        <f aca="false">IF($H5006=FALSE(),"",COUNTIF($H$6:$H5006,TRUE()))</f>
        <v/>
      </c>
      <c r="J5006" s="5" t="str">
        <f aca="false">IF($I5006="","","R"&amp;$I5006)</f>
        <v/>
      </c>
    </row>
    <row r="5007" customFormat="false" ht="15" hidden="false" customHeight="true" outlineLevel="0" collapsed="false">
      <c r="H5007" s="14" t="b">
        <f aca="false">IF(중복검사!$A5005="",FALSE(),중복검사!$J5005="유지")</f>
        <v>0</v>
      </c>
      <c r="I5007" s="5" t="str">
        <f aca="false">IF($H5007=FALSE(),"",COUNTIF($H$6:$H5007,TRUE()))</f>
        <v/>
      </c>
      <c r="J5007" s="5" t="str">
        <f aca="false">IF($I5007="","","R"&amp;$I5007)</f>
        <v/>
      </c>
    </row>
    <row r="5008" customFormat="false" ht="15" hidden="false" customHeight="true" outlineLevel="0" collapsed="false">
      <c r="H5008" s="14" t="b">
        <f aca="false">IF(중복검사!$A5006="",FALSE(),중복검사!$J5006="유지")</f>
        <v>0</v>
      </c>
      <c r="I5008" s="5" t="str">
        <f aca="false">IF($H5008=FALSE(),"",COUNTIF($H$6:$H5008,TRUE()))</f>
        <v/>
      </c>
      <c r="J5008" s="5" t="str">
        <f aca="false">IF($I5008="","","R"&amp;$I5008)</f>
        <v/>
      </c>
    </row>
    <row r="5009" customFormat="false" ht="15" hidden="false" customHeight="true" outlineLevel="0" collapsed="false">
      <c r="H5009" s="14" t="b">
        <f aca="false">IF(중복검사!$A5007="",FALSE(),중복검사!$J5007="유지")</f>
        <v>0</v>
      </c>
      <c r="I5009" s="5" t="str">
        <f aca="false">IF($H5009=FALSE(),"",COUNTIF($H$6:$H5009,TRUE()))</f>
        <v/>
      </c>
      <c r="J5009" s="5" t="str">
        <f aca="false">IF($I5009="","","R"&amp;$I5009)</f>
        <v/>
      </c>
    </row>
    <row r="5010" customFormat="false" ht="15" hidden="false" customHeight="true" outlineLevel="0" collapsed="false">
      <c r="H5010" s="14" t="b">
        <f aca="false">IF(중복검사!$A5008="",FALSE(),중복검사!$J5008="유지")</f>
        <v>0</v>
      </c>
      <c r="I5010" s="5" t="str">
        <f aca="false">IF($H5010=FALSE(),"",COUNTIF($H$6:$H5010,TRUE()))</f>
        <v/>
      </c>
      <c r="J5010" s="5" t="str">
        <f aca="false">IF($I5010="","","R"&amp;$I5010)</f>
        <v/>
      </c>
    </row>
    <row r="5011" customFormat="false" ht="15" hidden="false" customHeight="true" outlineLevel="0" collapsed="false">
      <c r="H5011" s="14" t="b">
        <f aca="false">IF(중복검사!$A5009="",FALSE(),중복검사!$J5009="유지")</f>
        <v>0</v>
      </c>
      <c r="I5011" s="5" t="str">
        <f aca="false">IF($H5011=FALSE(),"",COUNTIF($H$6:$H5011,TRUE()))</f>
        <v/>
      </c>
      <c r="J5011" s="5" t="str">
        <f aca="false">IF($I5011="","","R"&amp;$I5011)</f>
        <v/>
      </c>
    </row>
    <row r="5012" customFormat="false" ht="15" hidden="false" customHeight="true" outlineLevel="0" collapsed="false">
      <c r="H5012" s="14" t="b">
        <f aca="false">IF(중복검사!$A5010="",FALSE(),중복검사!$J5010="유지")</f>
        <v>0</v>
      </c>
      <c r="I5012" s="5" t="str">
        <f aca="false">IF($H5012=FALSE(),"",COUNTIF($H$6:$H5012,TRUE()))</f>
        <v/>
      </c>
      <c r="J5012" s="5" t="str">
        <f aca="false">IF($I5012="","","R"&amp;$I5012)</f>
        <v/>
      </c>
    </row>
    <row r="5013" customFormat="false" ht="15" hidden="false" customHeight="true" outlineLevel="0" collapsed="false">
      <c r="H5013" s="14" t="b">
        <f aca="false">IF(중복검사!$A5011="",FALSE(),중복검사!$J5011="유지")</f>
        <v>0</v>
      </c>
      <c r="I5013" s="5" t="str">
        <f aca="false">IF($H5013=FALSE(),"",COUNTIF($H$6:$H5013,TRUE()))</f>
        <v/>
      </c>
      <c r="J5013" s="5" t="str">
        <f aca="false">IF($I5013="","","R"&amp;$I5013)</f>
        <v/>
      </c>
    </row>
    <row r="5014" customFormat="false" ht="15" hidden="false" customHeight="true" outlineLevel="0" collapsed="false">
      <c r="H5014" s="14" t="b">
        <f aca="false">IF(중복검사!$A5012="",FALSE(),중복검사!$J5012="유지")</f>
        <v>0</v>
      </c>
      <c r="I5014" s="5" t="str">
        <f aca="false">IF($H5014=FALSE(),"",COUNTIF($H$6:$H5014,TRUE()))</f>
        <v/>
      </c>
      <c r="J5014" s="5" t="str">
        <f aca="false">IF($I5014="","","R"&amp;$I5014)</f>
        <v/>
      </c>
    </row>
    <row r="5015" customFormat="false" ht="15" hidden="false" customHeight="true" outlineLevel="0" collapsed="false">
      <c r="H5015" s="14" t="b">
        <f aca="false">IF(중복검사!$A5013="",FALSE(),중복검사!$J5013="유지")</f>
        <v>0</v>
      </c>
      <c r="I5015" s="5" t="str">
        <f aca="false">IF($H5015=FALSE(),"",COUNTIF($H$6:$H5015,TRUE()))</f>
        <v/>
      </c>
      <c r="J5015" s="5" t="str">
        <f aca="false">IF($I5015="","","R"&amp;$I5015)</f>
        <v/>
      </c>
    </row>
    <row r="5016" customFormat="false" ht="15" hidden="false" customHeight="true" outlineLevel="0" collapsed="false">
      <c r="H5016" s="14" t="b">
        <f aca="false">IF(중복검사!$A5014="",FALSE(),중복검사!$J5014="유지")</f>
        <v>0</v>
      </c>
      <c r="I5016" s="5" t="str">
        <f aca="false">IF($H5016=FALSE(),"",COUNTIF($H$6:$H5016,TRUE()))</f>
        <v/>
      </c>
      <c r="J5016" s="5" t="str">
        <f aca="false">IF($I5016="","","R"&amp;$I5016)</f>
        <v/>
      </c>
    </row>
    <row r="5017" customFormat="false" ht="15" hidden="false" customHeight="true" outlineLevel="0" collapsed="false">
      <c r="H5017" s="14" t="b">
        <f aca="false">IF(중복검사!$A5015="",FALSE(),중복검사!$J5015="유지")</f>
        <v>0</v>
      </c>
      <c r="I5017" s="5" t="str">
        <f aca="false">IF($H5017=FALSE(),"",COUNTIF($H$6:$H5017,TRUE()))</f>
        <v/>
      </c>
      <c r="J5017" s="5" t="str">
        <f aca="false">IF($I5017="","","R"&amp;$I5017)</f>
        <v/>
      </c>
    </row>
    <row r="5018" customFormat="false" ht="15" hidden="false" customHeight="true" outlineLevel="0" collapsed="false">
      <c r="H5018" s="14" t="b">
        <f aca="false">IF(중복검사!$A5016="",FALSE(),중복검사!$J5016="유지")</f>
        <v>0</v>
      </c>
      <c r="I5018" s="5" t="str">
        <f aca="false">IF($H5018=FALSE(),"",COUNTIF($H$6:$H5018,TRUE()))</f>
        <v/>
      </c>
      <c r="J5018" s="5" t="str">
        <f aca="false">IF($I5018="","","R"&amp;$I5018)</f>
        <v/>
      </c>
    </row>
    <row r="5019" customFormat="false" ht="15" hidden="false" customHeight="true" outlineLevel="0" collapsed="false">
      <c r="H5019" s="14" t="b">
        <f aca="false">IF(중복검사!$A5017="",FALSE(),중복검사!$J5017="유지")</f>
        <v>0</v>
      </c>
      <c r="I5019" s="5" t="str">
        <f aca="false">IF($H5019=FALSE(),"",COUNTIF($H$6:$H5019,TRUE()))</f>
        <v/>
      </c>
      <c r="J5019" s="5" t="str">
        <f aca="false">IF($I5019="","","R"&amp;$I5019)</f>
        <v/>
      </c>
    </row>
    <row r="5020" customFormat="false" ht="15" hidden="false" customHeight="true" outlineLevel="0" collapsed="false">
      <c r="H5020" s="14" t="b">
        <f aca="false">IF(중복검사!$A5018="",FALSE(),중복검사!$J5018="유지")</f>
        <v>0</v>
      </c>
      <c r="I5020" s="5" t="str">
        <f aca="false">IF($H5020=FALSE(),"",COUNTIF($H$6:$H5020,TRUE()))</f>
        <v/>
      </c>
      <c r="J5020" s="5" t="str">
        <f aca="false">IF($I5020="","","R"&amp;$I5020)</f>
        <v/>
      </c>
    </row>
    <row r="5021" customFormat="false" ht="15" hidden="false" customHeight="true" outlineLevel="0" collapsed="false">
      <c r="H5021" s="14" t="b">
        <f aca="false">IF(중복검사!$A5019="",FALSE(),중복검사!$J5019="유지")</f>
        <v>0</v>
      </c>
      <c r="I5021" s="5" t="str">
        <f aca="false">IF($H5021=FALSE(),"",COUNTIF($H$6:$H5021,TRUE()))</f>
        <v/>
      </c>
      <c r="J5021" s="5" t="str">
        <f aca="false">IF($I5021="","","R"&amp;$I5021)</f>
        <v/>
      </c>
    </row>
    <row r="5022" customFormat="false" ht="15" hidden="false" customHeight="true" outlineLevel="0" collapsed="false">
      <c r="H5022" s="14" t="b">
        <f aca="false">IF(중복검사!$A5020="",FALSE(),중복검사!$J5020="유지")</f>
        <v>0</v>
      </c>
      <c r="I5022" s="5" t="str">
        <f aca="false">IF($H5022=FALSE(),"",COUNTIF($H$6:$H5022,TRUE()))</f>
        <v/>
      </c>
      <c r="J5022" s="5" t="str">
        <f aca="false">IF($I5022="","","R"&amp;$I5022)</f>
        <v/>
      </c>
    </row>
    <row r="5023" customFormat="false" ht="15" hidden="false" customHeight="true" outlineLevel="0" collapsed="false">
      <c r="H5023" s="14" t="b">
        <f aca="false">IF(중복검사!$A5021="",FALSE(),중복검사!$J5021="유지")</f>
        <v>0</v>
      </c>
      <c r="I5023" s="5" t="str">
        <f aca="false">IF($H5023=FALSE(),"",COUNTIF($H$6:$H5023,TRUE()))</f>
        <v/>
      </c>
      <c r="J5023" s="5" t="str">
        <f aca="false">IF($I5023="","","R"&amp;$I5023)</f>
        <v/>
      </c>
    </row>
    <row r="5024" customFormat="false" ht="15" hidden="false" customHeight="true" outlineLevel="0" collapsed="false">
      <c r="H5024" s="14" t="b">
        <f aca="false">IF(중복검사!$A5022="",FALSE(),중복검사!$J5022="유지")</f>
        <v>0</v>
      </c>
      <c r="I5024" s="5" t="str">
        <f aca="false">IF($H5024=FALSE(),"",COUNTIF($H$6:$H5024,TRUE()))</f>
        <v/>
      </c>
      <c r="J5024" s="5" t="str">
        <f aca="false">IF($I5024="","","R"&amp;$I5024)</f>
        <v/>
      </c>
    </row>
    <row r="5025" customFormat="false" ht="15" hidden="false" customHeight="true" outlineLevel="0" collapsed="false">
      <c r="H5025" s="14" t="b">
        <f aca="false">IF(중복검사!$A5023="",FALSE(),중복검사!$J5023="유지")</f>
        <v>0</v>
      </c>
      <c r="I5025" s="5" t="str">
        <f aca="false">IF($H5025=FALSE(),"",COUNTIF($H$6:$H5025,TRUE()))</f>
        <v/>
      </c>
      <c r="J5025" s="5" t="str">
        <f aca="false">IF($I5025="","","R"&amp;$I5025)</f>
        <v/>
      </c>
    </row>
    <row r="5026" customFormat="false" ht="15" hidden="false" customHeight="true" outlineLevel="0" collapsed="false">
      <c r="H5026" s="14" t="b">
        <f aca="false">IF(중복검사!$A5024="",FALSE(),중복검사!$J5024="유지")</f>
        <v>0</v>
      </c>
      <c r="I5026" s="5" t="str">
        <f aca="false">IF($H5026=FALSE(),"",COUNTIF($H$6:$H5026,TRUE()))</f>
        <v/>
      </c>
      <c r="J5026" s="5" t="str">
        <f aca="false">IF($I5026="","","R"&amp;$I5026)</f>
        <v/>
      </c>
    </row>
    <row r="5027" customFormat="false" ht="15" hidden="false" customHeight="true" outlineLevel="0" collapsed="false">
      <c r="H5027" s="14" t="b">
        <f aca="false">IF(중복검사!$A5025="",FALSE(),중복검사!$J5025="유지")</f>
        <v>0</v>
      </c>
      <c r="I5027" s="5" t="str">
        <f aca="false">IF($H5027=FALSE(),"",COUNTIF($H$6:$H5027,TRUE()))</f>
        <v/>
      </c>
      <c r="J5027" s="5" t="str">
        <f aca="false">IF($I5027="","","R"&amp;$I5027)</f>
        <v/>
      </c>
    </row>
    <row r="5028" customFormat="false" ht="15" hidden="false" customHeight="true" outlineLevel="0" collapsed="false">
      <c r="H5028" s="14" t="b">
        <f aca="false">IF(중복검사!$A5026="",FALSE(),중복검사!$J5026="유지")</f>
        <v>0</v>
      </c>
      <c r="I5028" s="5" t="str">
        <f aca="false">IF($H5028=FALSE(),"",COUNTIF($H$6:$H5028,TRUE()))</f>
        <v/>
      </c>
      <c r="J5028" s="5" t="str">
        <f aca="false">IF($I5028="","","R"&amp;$I5028)</f>
        <v/>
      </c>
    </row>
    <row r="5029" customFormat="false" ht="15" hidden="false" customHeight="true" outlineLevel="0" collapsed="false">
      <c r="H5029" s="14" t="b">
        <f aca="false">IF(중복검사!$A5027="",FALSE(),중복검사!$J5027="유지")</f>
        <v>0</v>
      </c>
      <c r="I5029" s="5" t="str">
        <f aca="false">IF($H5029=FALSE(),"",COUNTIF($H$6:$H5029,TRUE()))</f>
        <v/>
      </c>
      <c r="J5029" s="5" t="str">
        <f aca="false">IF($I5029="","","R"&amp;$I5029)</f>
        <v/>
      </c>
    </row>
    <row r="5030" customFormat="false" ht="15" hidden="false" customHeight="true" outlineLevel="0" collapsed="false">
      <c r="H5030" s="14" t="b">
        <f aca="false">IF(중복검사!$A5028="",FALSE(),중복검사!$J5028="유지")</f>
        <v>0</v>
      </c>
      <c r="I5030" s="5" t="str">
        <f aca="false">IF($H5030=FALSE(),"",COUNTIF($H$6:$H5030,TRUE()))</f>
        <v/>
      </c>
      <c r="J5030" s="5" t="str">
        <f aca="false">IF($I5030="","","R"&amp;$I5030)</f>
        <v/>
      </c>
    </row>
    <row r="5031" customFormat="false" ht="15" hidden="false" customHeight="true" outlineLevel="0" collapsed="false">
      <c r="H5031" s="14" t="b">
        <f aca="false">IF(중복검사!$A5029="",FALSE(),중복검사!$J5029="유지")</f>
        <v>0</v>
      </c>
      <c r="I5031" s="5" t="str">
        <f aca="false">IF($H5031=FALSE(),"",COUNTIF($H$6:$H5031,TRUE()))</f>
        <v/>
      </c>
      <c r="J5031" s="5" t="str">
        <f aca="false">IF($I5031="","","R"&amp;$I5031)</f>
        <v/>
      </c>
    </row>
    <row r="5032" customFormat="false" ht="15" hidden="false" customHeight="true" outlineLevel="0" collapsed="false">
      <c r="H5032" s="14" t="b">
        <f aca="false">IF(중복검사!$A5030="",FALSE(),중복검사!$J5030="유지")</f>
        <v>0</v>
      </c>
      <c r="I5032" s="5" t="str">
        <f aca="false">IF($H5032=FALSE(),"",COUNTIF($H$6:$H5032,TRUE()))</f>
        <v/>
      </c>
      <c r="J5032" s="5" t="str">
        <f aca="false">IF($I5032="","","R"&amp;$I5032)</f>
        <v/>
      </c>
    </row>
    <row r="5033" customFormat="false" ht="15" hidden="false" customHeight="true" outlineLevel="0" collapsed="false">
      <c r="H5033" s="14" t="b">
        <f aca="false">IF(중복검사!$A5031="",FALSE(),중복검사!$J5031="유지")</f>
        <v>0</v>
      </c>
      <c r="I5033" s="5" t="str">
        <f aca="false">IF($H5033=FALSE(),"",COUNTIF($H$6:$H5033,TRUE()))</f>
        <v/>
      </c>
      <c r="J5033" s="5" t="str">
        <f aca="false">IF($I5033="","","R"&amp;$I5033)</f>
        <v/>
      </c>
    </row>
    <row r="5034" customFormat="false" ht="15" hidden="false" customHeight="true" outlineLevel="0" collapsed="false">
      <c r="H5034" s="14" t="b">
        <f aca="false">IF(중복검사!$A5032="",FALSE(),중복검사!$J5032="유지")</f>
        <v>0</v>
      </c>
      <c r="I5034" s="5" t="str">
        <f aca="false">IF($H5034=FALSE(),"",COUNTIF($H$6:$H5034,TRUE()))</f>
        <v/>
      </c>
      <c r="J5034" s="5" t="str">
        <f aca="false">IF($I5034="","","R"&amp;$I5034)</f>
        <v/>
      </c>
    </row>
    <row r="5035" customFormat="false" ht="15" hidden="false" customHeight="true" outlineLevel="0" collapsed="false">
      <c r="H5035" s="14" t="b">
        <f aca="false">IF(중복검사!$A5033="",FALSE(),중복검사!$J5033="유지")</f>
        <v>0</v>
      </c>
      <c r="I5035" s="5" t="str">
        <f aca="false">IF($H5035=FALSE(),"",COUNTIF($H$6:$H5035,TRUE()))</f>
        <v/>
      </c>
      <c r="J5035" s="5" t="str">
        <f aca="false">IF($I5035="","","R"&amp;$I5035)</f>
        <v/>
      </c>
    </row>
    <row r="5036" customFormat="false" ht="15" hidden="false" customHeight="true" outlineLevel="0" collapsed="false">
      <c r="H5036" s="14" t="b">
        <f aca="false">IF(중복검사!$A5034="",FALSE(),중복검사!$J5034="유지")</f>
        <v>0</v>
      </c>
      <c r="I5036" s="5" t="str">
        <f aca="false">IF($H5036=FALSE(),"",COUNTIF($H$6:$H5036,TRUE()))</f>
        <v/>
      </c>
      <c r="J5036" s="5" t="str">
        <f aca="false">IF($I5036="","","R"&amp;$I5036)</f>
        <v/>
      </c>
    </row>
    <row r="5037" customFormat="false" ht="15" hidden="false" customHeight="true" outlineLevel="0" collapsed="false">
      <c r="H5037" s="14" t="b">
        <f aca="false">IF(중복검사!$A5035="",FALSE(),중복검사!$J5035="유지")</f>
        <v>0</v>
      </c>
      <c r="I5037" s="5" t="str">
        <f aca="false">IF($H5037=FALSE(),"",COUNTIF($H$6:$H5037,TRUE()))</f>
        <v/>
      </c>
      <c r="J5037" s="5" t="str">
        <f aca="false">IF($I5037="","","R"&amp;$I5037)</f>
        <v/>
      </c>
    </row>
    <row r="5038" customFormat="false" ht="15" hidden="false" customHeight="true" outlineLevel="0" collapsed="false">
      <c r="H5038" s="14" t="b">
        <f aca="false">IF(중복검사!$A5036="",FALSE(),중복검사!$J5036="유지")</f>
        <v>0</v>
      </c>
      <c r="I5038" s="5" t="str">
        <f aca="false">IF($H5038=FALSE(),"",COUNTIF($H$6:$H5038,TRUE()))</f>
        <v/>
      </c>
      <c r="J5038" s="5" t="str">
        <f aca="false">IF($I5038="","","R"&amp;$I5038)</f>
        <v/>
      </c>
    </row>
    <row r="5039" customFormat="false" ht="15" hidden="false" customHeight="true" outlineLevel="0" collapsed="false">
      <c r="H5039" s="14" t="b">
        <f aca="false">IF(중복검사!$A5037="",FALSE(),중복검사!$J5037="유지")</f>
        <v>0</v>
      </c>
      <c r="I5039" s="5" t="str">
        <f aca="false">IF($H5039=FALSE(),"",COUNTIF($H$6:$H5039,TRUE()))</f>
        <v/>
      </c>
      <c r="J5039" s="5" t="str">
        <f aca="false">IF($I5039="","","R"&amp;$I5039)</f>
        <v/>
      </c>
    </row>
    <row r="5040" customFormat="false" ht="15" hidden="false" customHeight="true" outlineLevel="0" collapsed="false">
      <c r="H5040" s="14" t="b">
        <f aca="false">IF(중복검사!$A5038="",FALSE(),중복검사!$J5038="유지")</f>
        <v>0</v>
      </c>
      <c r="I5040" s="5" t="str">
        <f aca="false">IF($H5040=FALSE(),"",COUNTIF($H$6:$H5040,TRUE()))</f>
        <v/>
      </c>
      <c r="J5040" s="5" t="str">
        <f aca="false">IF($I5040="","","R"&amp;$I5040)</f>
        <v/>
      </c>
    </row>
    <row r="5041" customFormat="false" ht="15" hidden="false" customHeight="true" outlineLevel="0" collapsed="false">
      <c r="H5041" s="14" t="b">
        <f aca="false">IF(중복검사!$A5039="",FALSE(),중복검사!$J5039="유지")</f>
        <v>0</v>
      </c>
      <c r="I5041" s="5" t="str">
        <f aca="false">IF($H5041=FALSE(),"",COUNTIF($H$6:$H5041,TRUE()))</f>
        <v/>
      </c>
      <c r="J5041" s="5" t="str">
        <f aca="false">IF($I5041="","","R"&amp;$I5041)</f>
        <v/>
      </c>
    </row>
    <row r="5042" customFormat="false" ht="15" hidden="false" customHeight="true" outlineLevel="0" collapsed="false">
      <c r="H5042" s="14" t="b">
        <f aca="false">IF(중복검사!$A5040="",FALSE(),중복검사!$J5040="유지")</f>
        <v>0</v>
      </c>
      <c r="I5042" s="5" t="str">
        <f aca="false">IF($H5042=FALSE(),"",COUNTIF($H$6:$H5042,TRUE()))</f>
        <v/>
      </c>
      <c r="J5042" s="5" t="str">
        <f aca="false">IF($I5042="","","R"&amp;$I5042)</f>
        <v/>
      </c>
    </row>
    <row r="5043" customFormat="false" ht="15" hidden="false" customHeight="true" outlineLevel="0" collapsed="false">
      <c r="H5043" s="14" t="b">
        <f aca="false">IF(중복검사!$A5041="",FALSE(),중복검사!$J5041="유지")</f>
        <v>0</v>
      </c>
      <c r="I5043" s="5" t="str">
        <f aca="false">IF($H5043=FALSE(),"",COUNTIF($H$6:$H5043,TRUE()))</f>
        <v/>
      </c>
      <c r="J5043" s="5" t="str">
        <f aca="false">IF($I5043="","","R"&amp;$I5043)</f>
        <v/>
      </c>
    </row>
    <row r="5044" customFormat="false" ht="15" hidden="false" customHeight="true" outlineLevel="0" collapsed="false">
      <c r="H5044" s="14" t="b">
        <f aca="false">IF(중복검사!$A5042="",FALSE(),중복검사!$J5042="유지")</f>
        <v>0</v>
      </c>
      <c r="I5044" s="5" t="str">
        <f aca="false">IF($H5044=FALSE(),"",COUNTIF($H$6:$H5044,TRUE()))</f>
        <v/>
      </c>
      <c r="J5044" s="5" t="str">
        <f aca="false">IF($I5044="","","R"&amp;$I5044)</f>
        <v/>
      </c>
    </row>
    <row r="5045" customFormat="false" ht="15" hidden="false" customHeight="true" outlineLevel="0" collapsed="false">
      <c r="H5045" s="14" t="b">
        <f aca="false">IF(중복검사!$A5043="",FALSE(),중복검사!$J5043="유지")</f>
        <v>0</v>
      </c>
      <c r="I5045" s="5" t="str">
        <f aca="false">IF($H5045=FALSE(),"",COUNTIF($H$6:$H5045,TRUE()))</f>
        <v/>
      </c>
      <c r="J5045" s="5" t="str">
        <f aca="false">IF($I5045="","","R"&amp;$I5045)</f>
        <v/>
      </c>
    </row>
    <row r="5046" customFormat="false" ht="15" hidden="false" customHeight="true" outlineLevel="0" collapsed="false">
      <c r="H5046" s="14" t="b">
        <f aca="false">IF(중복검사!$A5044="",FALSE(),중복검사!$J5044="유지")</f>
        <v>0</v>
      </c>
      <c r="I5046" s="5" t="str">
        <f aca="false">IF($H5046=FALSE(),"",COUNTIF($H$6:$H5046,TRUE()))</f>
        <v/>
      </c>
      <c r="J5046" s="5" t="str">
        <f aca="false">IF($I5046="","","R"&amp;$I5046)</f>
        <v/>
      </c>
    </row>
    <row r="5047" customFormat="false" ht="15" hidden="false" customHeight="true" outlineLevel="0" collapsed="false">
      <c r="H5047" s="14" t="b">
        <f aca="false">IF(중복검사!$A5045="",FALSE(),중복검사!$J5045="유지")</f>
        <v>0</v>
      </c>
      <c r="I5047" s="5" t="str">
        <f aca="false">IF($H5047=FALSE(),"",COUNTIF($H$6:$H5047,TRUE()))</f>
        <v/>
      </c>
      <c r="J5047" s="5" t="str">
        <f aca="false">IF($I5047="","","R"&amp;$I5047)</f>
        <v/>
      </c>
    </row>
    <row r="5048" customFormat="false" ht="15" hidden="false" customHeight="true" outlineLevel="0" collapsed="false">
      <c r="H5048" s="14" t="b">
        <f aca="false">IF(중복검사!$A5046="",FALSE(),중복검사!$J5046="유지")</f>
        <v>0</v>
      </c>
      <c r="I5048" s="5" t="str">
        <f aca="false">IF($H5048=FALSE(),"",COUNTIF($H$6:$H5048,TRUE()))</f>
        <v/>
      </c>
      <c r="J5048" s="5" t="str">
        <f aca="false">IF($I5048="","","R"&amp;$I5048)</f>
        <v/>
      </c>
    </row>
    <row r="5049" customFormat="false" ht="15" hidden="false" customHeight="true" outlineLevel="0" collapsed="false">
      <c r="H5049" s="14" t="b">
        <f aca="false">IF(중복검사!$A5047="",FALSE(),중복검사!$J5047="유지")</f>
        <v>0</v>
      </c>
      <c r="I5049" s="5" t="str">
        <f aca="false">IF($H5049=FALSE(),"",COUNTIF($H$6:$H5049,TRUE()))</f>
        <v/>
      </c>
      <c r="J5049" s="5" t="str">
        <f aca="false">IF($I5049="","","R"&amp;$I5049)</f>
        <v/>
      </c>
    </row>
    <row r="5050" customFormat="false" ht="15" hidden="false" customHeight="true" outlineLevel="0" collapsed="false">
      <c r="H5050" s="14" t="b">
        <f aca="false">IF(중복검사!$A5048="",FALSE(),중복검사!$J5048="유지")</f>
        <v>0</v>
      </c>
      <c r="I5050" s="5" t="str">
        <f aca="false">IF($H5050=FALSE(),"",COUNTIF($H$6:$H5050,TRUE()))</f>
        <v/>
      </c>
      <c r="J5050" s="5" t="str">
        <f aca="false">IF($I5050="","","R"&amp;$I5050)</f>
        <v/>
      </c>
    </row>
    <row r="5051" customFormat="false" ht="15" hidden="false" customHeight="true" outlineLevel="0" collapsed="false">
      <c r="H5051" s="14" t="b">
        <f aca="false">IF(중복검사!$A5049="",FALSE(),중복검사!$J5049="유지")</f>
        <v>0</v>
      </c>
      <c r="I5051" s="5" t="str">
        <f aca="false">IF($H5051=FALSE(),"",COUNTIF($H$6:$H5051,TRUE()))</f>
        <v/>
      </c>
      <c r="J5051" s="5" t="str">
        <f aca="false">IF($I5051="","","R"&amp;$I5051)</f>
        <v/>
      </c>
    </row>
    <row r="5052" customFormat="false" ht="15" hidden="false" customHeight="true" outlineLevel="0" collapsed="false">
      <c r="H5052" s="14" t="b">
        <f aca="false">IF(중복검사!$A5050="",FALSE(),중복검사!$J5050="유지")</f>
        <v>0</v>
      </c>
      <c r="I5052" s="5" t="str">
        <f aca="false">IF($H5052=FALSE(),"",COUNTIF($H$6:$H5052,TRUE()))</f>
        <v/>
      </c>
      <c r="J5052" s="5" t="str">
        <f aca="false">IF($I5052="","","R"&amp;$I5052)</f>
        <v/>
      </c>
    </row>
    <row r="5053" customFormat="false" ht="15" hidden="false" customHeight="true" outlineLevel="0" collapsed="false">
      <c r="H5053" s="14" t="b">
        <f aca="false">IF(중복검사!$A5051="",FALSE(),중복검사!$J5051="유지")</f>
        <v>0</v>
      </c>
      <c r="I5053" s="5" t="str">
        <f aca="false">IF($H5053=FALSE(),"",COUNTIF($H$6:$H5053,TRUE()))</f>
        <v/>
      </c>
      <c r="J5053" s="5" t="str">
        <f aca="false">IF($I5053="","","R"&amp;$I5053)</f>
        <v/>
      </c>
    </row>
    <row r="5054" customFormat="false" ht="15" hidden="false" customHeight="true" outlineLevel="0" collapsed="false">
      <c r="H5054" s="14" t="b">
        <f aca="false">IF(중복검사!$A5052="",FALSE(),중복검사!$J5052="유지")</f>
        <v>0</v>
      </c>
      <c r="I5054" s="5" t="str">
        <f aca="false">IF($H5054=FALSE(),"",COUNTIF($H$6:$H5054,TRUE()))</f>
        <v/>
      </c>
      <c r="J5054" s="5" t="str">
        <f aca="false">IF($I5054="","","R"&amp;$I5054)</f>
        <v/>
      </c>
    </row>
    <row r="5055" customFormat="false" ht="15" hidden="false" customHeight="true" outlineLevel="0" collapsed="false">
      <c r="H5055" s="14" t="b">
        <f aca="false">IF(중복검사!$A5053="",FALSE(),중복검사!$J5053="유지")</f>
        <v>0</v>
      </c>
      <c r="I5055" s="5" t="str">
        <f aca="false">IF($H5055=FALSE(),"",COUNTIF($H$6:$H5055,TRUE()))</f>
        <v/>
      </c>
      <c r="J5055" s="5" t="str">
        <f aca="false">IF($I5055="","","R"&amp;$I5055)</f>
        <v/>
      </c>
    </row>
    <row r="5056" customFormat="false" ht="15" hidden="false" customHeight="true" outlineLevel="0" collapsed="false">
      <c r="H5056" s="14" t="b">
        <f aca="false">IF(중복검사!$A5054="",FALSE(),중복검사!$J5054="유지")</f>
        <v>0</v>
      </c>
      <c r="I5056" s="5" t="str">
        <f aca="false">IF($H5056=FALSE(),"",COUNTIF($H$6:$H5056,TRUE()))</f>
        <v/>
      </c>
      <c r="J5056" s="5" t="str">
        <f aca="false">IF($I5056="","","R"&amp;$I5056)</f>
        <v/>
      </c>
    </row>
    <row r="5057" customFormat="false" ht="15" hidden="false" customHeight="true" outlineLevel="0" collapsed="false">
      <c r="H5057" s="14" t="b">
        <f aca="false">IF(중복검사!$A5055="",FALSE(),중복검사!$J5055="유지")</f>
        <v>0</v>
      </c>
      <c r="I5057" s="5" t="str">
        <f aca="false">IF($H5057=FALSE(),"",COUNTIF($H$6:$H5057,TRUE()))</f>
        <v/>
      </c>
      <c r="J5057" s="5" t="str">
        <f aca="false">IF($I5057="","","R"&amp;$I5057)</f>
        <v/>
      </c>
    </row>
    <row r="5058" customFormat="false" ht="15" hidden="false" customHeight="true" outlineLevel="0" collapsed="false">
      <c r="H5058" s="14" t="b">
        <f aca="false">IF(중복검사!$A5056="",FALSE(),중복검사!$J5056="유지")</f>
        <v>0</v>
      </c>
      <c r="I5058" s="5" t="str">
        <f aca="false">IF($H5058=FALSE(),"",COUNTIF($H$6:$H5058,TRUE()))</f>
        <v/>
      </c>
      <c r="J5058" s="5" t="str">
        <f aca="false">IF($I5058="","","R"&amp;$I5058)</f>
        <v/>
      </c>
    </row>
    <row r="5059" customFormat="false" ht="15" hidden="false" customHeight="true" outlineLevel="0" collapsed="false">
      <c r="H5059" s="14" t="b">
        <f aca="false">IF(중복검사!$A5057="",FALSE(),중복검사!$J5057="유지")</f>
        <v>0</v>
      </c>
      <c r="I5059" s="5" t="str">
        <f aca="false">IF($H5059=FALSE(),"",COUNTIF($H$6:$H5059,TRUE()))</f>
        <v/>
      </c>
      <c r="J5059" s="5" t="str">
        <f aca="false">IF($I5059="","","R"&amp;$I5059)</f>
        <v/>
      </c>
    </row>
    <row r="5060" customFormat="false" ht="15" hidden="false" customHeight="true" outlineLevel="0" collapsed="false">
      <c r="H5060" s="14" t="b">
        <f aca="false">IF(중복검사!$A5058="",FALSE(),중복검사!$J5058="유지")</f>
        <v>0</v>
      </c>
      <c r="I5060" s="5" t="str">
        <f aca="false">IF($H5060=FALSE(),"",COUNTIF($H$6:$H5060,TRUE()))</f>
        <v/>
      </c>
      <c r="J5060" s="5" t="str">
        <f aca="false">IF($I5060="","","R"&amp;$I5060)</f>
        <v/>
      </c>
    </row>
    <row r="5061" customFormat="false" ht="15" hidden="false" customHeight="true" outlineLevel="0" collapsed="false">
      <c r="H5061" s="14" t="b">
        <f aca="false">IF(중복검사!$A5059="",FALSE(),중복검사!$J5059="유지")</f>
        <v>0</v>
      </c>
      <c r="I5061" s="5" t="str">
        <f aca="false">IF($H5061=FALSE(),"",COUNTIF($H$6:$H5061,TRUE()))</f>
        <v/>
      </c>
      <c r="J5061" s="5" t="str">
        <f aca="false">IF($I5061="","","R"&amp;$I5061)</f>
        <v/>
      </c>
    </row>
    <row r="5062" customFormat="false" ht="15" hidden="false" customHeight="true" outlineLevel="0" collapsed="false">
      <c r="H5062" s="14" t="b">
        <f aca="false">IF(중복검사!$A5060="",FALSE(),중복검사!$J5060="유지")</f>
        <v>0</v>
      </c>
      <c r="I5062" s="5" t="str">
        <f aca="false">IF($H5062=FALSE(),"",COUNTIF($H$6:$H5062,TRUE()))</f>
        <v/>
      </c>
      <c r="J5062" s="5" t="str">
        <f aca="false">IF($I5062="","","R"&amp;$I5062)</f>
        <v/>
      </c>
    </row>
    <row r="5063" customFormat="false" ht="15" hidden="false" customHeight="true" outlineLevel="0" collapsed="false">
      <c r="H5063" s="14" t="b">
        <f aca="false">IF(중복검사!$A5061="",FALSE(),중복검사!$J5061="유지")</f>
        <v>0</v>
      </c>
      <c r="I5063" s="5" t="str">
        <f aca="false">IF($H5063=FALSE(),"",COUNTIF($H$6:$H5063,TRUE()))</f>
        <v/>
      </c>
      <c r="J5063" s="5" t="str">
        <f aca="false">IF($I5063="","","R"&amp;$I5063)</f>
        <v/>
      </c>
    </row>
    <row r="5064" customFormat="false" ht="15" hidden="false" customHeight="true" outlineLevel="0" collapsed="false">
      <c r="H5064" s="14" t="b">
        <f aca="false">IF(중복검사!$A5062="",FALSE(),중복검사!$J5062="유지")</f>
        <v>0</v>
      </c>
      <c r="I5064" s="5" t="str">
        <f aca="false">IF($H5064=FALSE(),"",COUNTIF($H$6:$H5064,TRUE()))</f>
        <v/>
      </c>
      <c r="J5064" s="5" t="str">
        <f aca="false">IF($I5064="","","R"&amp;$I5064)</f>
        <v/>
      </c>
    </row>
    <row r="5065" customFormat="false" ht="15" hidden="false" customHeight="true" outlineLevel="0" collapsed="false">
      <c r="H5065" s="14" t="b">
        <f aca="false">IF(중복검사!$A5063="",FALSE(),중복검사!$J5063="유지")</f>
        <v>0</v>
      </c>
      <c r="I5065" s="5" t="str">
        <f aca="false">IF($H5065=FALSE(),"",COUNTIF($H$6:$H5065,TRUE()))</f>
        <v/>
      </c>
      <c r="J5065" s="5" t="str">
        <f aca="false">IF($I5065="","","R"&amp;$I5065)</f>
        <v/>
      </c>
    </row>
    <row r="5066" customFormat="false" ht="15" hidden="false" customHeight="true" outlineLevel="0" collapsed="false">
      <c r="H5066" s="14" t="b">
        <f aca="false">IF(중복검사!$A5064="",FALSE(),중복검사!$J5064="유지")</f>
        <v>0</v>
      </c>
      <c r="I5066" s="5" t="str">
        <f aca="false">IF($H5066=FALSE(),"",COUNTIF($H$6:$H5066,TRUE()))</f>
        <v/>
      </c>
      <c r="J5066" s="5" t="str">
        <f aca="false">IF($I5066="","","R"&amp;$I5066)</f>
        <v/>
      </c>
    </row>
    <row r="5067" customFormat="false" ht="15" hidden="false" customHeight="true" outlineLevel="0" collapsed="false">
      <c r="H5067" s="14" t="b">
        <f aca="false">IF(중복검사!$A5065="",FALSE(),중복검사!$J5065="유지")</f>
        <v>0</v>
      </c>
      <c r="I5067" s="5" t="str">
        <f aca="false">IF($H5067=FALSE(),"",COUNTIF($H$6:$H5067,TRUE()))</f>
        <v/>
      </c>
      <c r="J5067" s="5" t="str">
        <f aca="false">IF($I5067="","","R"&amp;$I5067)</f>
        <v/>
      </c>
    </row>
    <row r="5068" customFormat="false" ht="15" hidden="false" customHeight="true" outlineLevel="0" collapsed="false">
      <c r="H5068" s="14" t="b">
        <f aca="false">IF(중복검사!$A5066="",FALSE(),중복검사!$J5066="유지")</f>
        <v>0</v>
      </c>
      <c r="I5068" s="5" t="str">
        <f aca="false">IF($H5068=FALSE(),"",COUNTIF($H$6:$H5068,TRUE()))</f>
        <v/>
      </c>
      <c r="J5068" s="5" t="str">
        <f aca="false">IF($I5068="","","R"&amp;$I5068)</f>
        <v/>
      </c>
    </row>
    <row r="5069" customFormat="false" ht="15" hidden="false" customHeight="true" outlineLevel="0" collapsed="false">
      <c r="H5069" s="14" t="b">
        <f aca="false">IF(중복검사!$A5067="",FALSE(),중복검사!$J5067="유지")</f>
        <v>0</v>
      </c>
      <c r="I5069" s="5" t="str">
        <f aca="false">IF($H5069=FALSE(),"",COUNTIF($H$6:$H5069,TRUE()))</f>
        <v/>
      </c>
      <c r="J5069" s="5" t="str">
        <f aca="false">IF($I5069="","","R"&amp;$I5069)</f>
        <v/>
      </c>
    </row>
    <row r="5070" customFormat="false" ht="15" hidden="false" customHeight="true" outlineLevel="0" collapsed="false">
      <c r="H5070" s="14" t="b">
        <f aca="false">IF(중복검사!$A5068="",FALSE(),중복검사!$J5068="유지")</f>
        <v>0</v>
      </c>
      <c r="I5070" s="5" t="str">
        <f aca="false">IF($H5070=FALSE(),"",COUNTIF($H$6:$H5070,TRUE()))</f>
        <v/>
      </c>
      <c r="J5070" s="5" t="str">
        <f aca="false">IF($I5070="","","R"&amp;$I5070)</f>
        <v/>
      </c>
    </row>
    <row r="5071" customFormat="false" ht="15" hidden="false" customHeight="true" outlineLevel="0" collapsed="false">
      <c r="H5071" s="14" t="b">
        <f aca="false">IF(중복검사!$A5069="",FALSE(),중복검사!$J5069="유지")</f>
        <v>0</v>
      </c>
      <c r="I5071" s="5" t="str">
        <f aca="false">IF($H5071=FALSE(),"",COUNTIF($H$6:$H5071,TRUE()))</f>
        <v/>
      </c>
      <c r="J5071" s="5" t="str">
        <f aca="false">IF($I5071="","","R"&amp;$I5071)</f>
        <v/>
      </c>
    </row>
    <row r="5072" customFormat="false" ht="15" hidden="false" customHeight="true" outlineLevel="0" collapsed="false">
      <c r="H5072" s="14" t="b">
        <f aca="false">IF(중복검사!$A5070="",FALSE(),중복검사!$J5070="유지")</f>
        <v>0</v>
      </c>
      <c r="I5072" s="5" t="str">
        <f aca="false">IF($H5072=FALSE(),"",COUNTIF($H$6:$H5072,TRUE()))</f>
        <v/>
      </c>
      <c r="J5072" s="5" t="str">
        <f aca="false">IF($I5072="","","R"&amp;$I5072)</f>
        <v/>
      </c>
    </row>
    <row r="5073" customFormat="false" ht="15" hidden="false" customHeight="true" outlineLevel="0" collapsed="false">
      <c r="H5073" s="14" t="b">
        <f aca="false">IF(중복검사!$A5071="",FALSE(),중복검사!$J5071="유지")</f>
        <v>0</v>
      </c>
      <c r="I5073" s="5" t="str">
        <f aca="false">IF($H5073=FALSE(),"",COUNTIF($H$6:$H5073,TRUE()))</f>
        <v/>
      </c>
      <c r="J5073" s="5" t="str">
        <f aca="false">IF($I5073="","","R"&amp;$I5073)</f>
        <v/>
      </c>
    </row>
    <row r="5074" customFormat="false" ht="15" hidden="false" customHeight="true" outlineLevel="0" collapsed="false">
      <c r="H5074" s="14" t="b">
        <f aca="false">IF(중복검사!$A5072="",FALSE(),중복검사!$J5072="유지")</f>
        <v>0</v>
      </c>
      <c r="I5074" s="5" t="str">
        <f aca="false">IF($H5074=FALSE(),"",COUNTIF($H$6:$H5074,TRUE()))</f>
        <v/>
      </c>
      <c r="J5074" s="5" t="str">
        <f aca="false">IF($I5074="","","R"&amp;$I5074)</f>
        <v/>
      </c>
    </row>
    <row r="5075" customFormat="false" ht="15" hidden="false" customHeight="true" outlineLevel="0" collapsed="false">
      <c r="H5075" s="14" t="b">
        <f aca="false">IF(중복검사!$A5073="",FALSE(),중복검사!$J5073="유지")</f>
        <v>0</v>
      </c>
      <c r="I5075" s="5" t="str">
        <f aca="false">IF($H5075=FALSE(),"",COUNTIF($H$6:$H5075,TRUE()))</f>
        <v/>
      </c>
      <c r="J5075" s="5" t="str">
        <f aca="false">IF($I5075="","","R"&amp;$I5075)</f>
        <v/>
      </c>
    </row>
    <row r="5076" customFormat="false" ht="15" hidden="false" customHeight="true" outlineLevel="0" collapsed="false">
      <c r="H5076" s="14" t="b">
        <f aca="false">IF(중복검사!$A5074="",FALSE(),중복검사!$J5074="유지")</f>
        <v>0</v>
      </c>
      <c r="I5076" s="5" t="str">
        <f aca="false">IF($H5076=FALSE(),"",COUNTIF($H$6:$H5076,TRUE()))</f>
        <v/>
      </c>
      <c r="J5076" s="5" t="str">
        <f aca="false">IF($I5076="","","R"&amp;$I5076)</f>
        <v/>
      </c>
    </row>
    <row r="5077" customFormat="false" ht="15" hidden="false" customHeight="true" outlineLevel="0" collapsed="false">
      <c r="H5077" s="14" t="b">
        <f aca="false">IF(중복검사!$A5075="",FALSE(),중복검사!$J5075="유지")</f>
        <v>0</v>
      </c>
      <c r="I5077" s="5" t="str">
        <f aca="false">IF($H5077=FALSE(),"",COUNTIF($H$6:$H5077,TRUE()))</f>
        <v/>
      </c>
      <c r="J5077" s="5" t="str">
        <f aca="false">IF($I5077="","","R"&amp;$I5077)</f>
        <v/>
      </c>
    </row>
    <row r="5078" customFormat="false" ht="15" hidden="false" customHeight="true" outlineLevel="0" collapsed="false">
      <c r="H5078" s="14" t="b">
        <f aca="false">IF(중복검사!$A5076="",FALSE(),중복검사!$J5076="유지")</f>
        <v>0</v>
      </c>
      <c r="I5078" s="5" t="str">
        <f aca="false">IF($H5078=FALSE(),"",COUNTIF($H$6:$H5078,TRUE()))</f>
        <v/>
      </c>
      <c r="J5078" s="5" t="str">
        <f aca="false">IF($I5078="","","R"&amp;$I5078)</f>
        <v/>
      </c>
    </row>
    <row r="5079" customFormat="false" ht="15" hidden="false" customHeight="true" outlineLevel="0" collapsed="false">
      <c r="H5079" s="14" t="b">
        <f aca="false">IF(중복검사!$A5077="",FALSE(),중복검사!$J5077="유지")</f>
        <v>0</v>
      </c>
      <c r="I5079" s="5" t="str">
        <f aca="false">IF($H5079=FALSE(),"",COUNTIF($H$6:$H5079,TRUE()))</f>
        <v/>
      </c>
      <c r="J5079" s="5" t="str">
        <f aca="false">IF($I5079="","","R"&amp;$I5079)</f>
        <v/>
      </c>
    </row>
    <row r="5080" customFormat="false" ht="15" hidden="false" customHeight="true" outlineLevel="0" collapsed="false">
      <c r="H5080" s="14" t="b">
        <f aca="false">IF(중복검사!$A5078="",FALSE(),중복검사!$J5078="유지")</f>
        <v>0</v>
      </c>
      <c r="I5080" s="5" t="str">
        <f aca="false">IF($H5080=FALSE(),"",COUNTIF($H$6:$H5080,TRUE()))</f>
        <v/>
      </c>
      <c r="J5080" s="5" t="str">
        <f aca="false">IF($I5080="","","R"&amp;$I5080)</f>
        <v/>
      </c>
    </row>
    <row r="5081" customFormat="false" ht="15" hidden="false" customHeight="true" outlineLevel="0" collapsed="false">
      <c r="H5081" s="14" t="b">
        <f aca="false">IF(중복검사!$A5079="",FALSE(),중복검사!$J5079="유지")</f>
        <v>0</v>
      </c>
      <c r="I5081" s="5" t="str">
        <f aca="false">IF($H5081=FALSE(),"",COUNTIF($H$6:$H5081,TRUE()))</f>
        <v/>
      </c>
      <c r="J5081" s="5" t="str">
        <f aca="false">IF($I5081="","","R"&amp;$I5081)</f>
        <v/>
      </c>
    </row>
    <row r="5082" customFormat="false" ht="15" hidden="false" customHeight="true" outlineLevel="0" collapsed="false">
      <c r="H5082" s="14" t="b">
        <f aca="false">IF(중복검사!$A5080="",FALSE(),중복검사!$J5080="유지")</f>
        <v>0</v>
      </c>
      <c r="I5082" s="5" t="str">
        <f aca="false">IF($H5082=FALSE(),"",COUNTIF($H$6:$H5082,TRUE()))</f>
        <v/>
      </c>
      <c r="J5082" s="5" t="str">
        <f aca="false">IF($I5082="","","R"&amp;$I5082)</f>
        <v/>
      </c>
    </row>
    <row r="5083" customFormat="false" ht="15" hidden="false" customHeight="true" outlineLevel="0" collapsed="false">
      <c r="H5083" s="14" t="b">
        <f aca="false">IF(중복검사!$A5081="",FALSE(),중복검사!$J5081="유지")</f>
        <v>0</v>
      </c>
      <c r="I5083" s="5" t="str">
        <f aca="false">IF($H5083=FALSE(),"",COUNTIF($H$6:$H5083,TRUE()))</f>
        <v/>
      </c>
      <c r="J5083" s="5" t="str">
        <f aca="false">IF($I5083="","","R"&amp;$I5083)</f>
        <v/>
      </c>
    </row>
    <row r="5084" customFormat="false" ht="15" hidden="false" customHeight="true" outlineLevel="0" collapsed="false">
      <c r="H5084" s="14" t="b">
        <f aca="false">IF(중복검사!$A5082="",FALSE(),중복검사!$J5082="유지")</f>
        <v>0</v>
      </c>
      <c r="I5084" s="5" t="str">
        <f aca="false">IF($H5084=FALSE(),"",COUNTIF($H$6:$H5084,TRUE()))</f>
        <v/>
      </c>
      <c r="J5084" s="5" t="str">
        <f aca="false">IF($I5084="","","R"&amp;$I5084)</f>
        <v/>
      </c>
    </row>
    <row r="5085" customFormat="false" ht="15" hidden="false" customHeight="true" outlineLevel="0" collapsed="false">
      <c r="H5085" s="14" t="b">
        <f aca="false">IF(중복검사!$A5083="",FALSE(),중복검사!$J5083="유지")</f>
        <v>0</v>
      </c>
      <c r="I5085" s="5" t="str">
        <f aca="false">IF($H5085=FALSE(),"",COUNTIF($H$6:$H5085,TRUE()))</f>
        <v/>
      </c>
      <c r="J5085" s="5" t="str">
        <f aca="false">IF($I5085="","","R"&amp;$I5085)</f>
        <v/>
      </c>
    </row>
    <row r="5086" customFormat="false" ht="15" hidden="false" customHeight="true" outlineLevel="0" collapsed="false">
      <c r="H5086" s="14" t="b">
        <f aca="false">IF(중복검사!$A5084="",FALSE(),중복검사!$J5084="유지")</f>
        <v>0</v>
      </c>
      <c r="I5086" s="5" t="str">
        <f aca="false">IF($H5086=FALSE(),"",COUNTIF($H$6:$H5086,TRUE()))</f>
        <v/>
      </c>
      <c r="J5086" s="5" t="str">
        <f aca="false">IF($I5086="","","R"&amp;$I5086)</f>
        <v/>
      </c>
    </row>
    <row r="5087" customFormat="false" ht="15" hidden="false" customHeight="true" outlineLevel="0" collapsed="false">
      <c r="H5087" s="14" t="b">
        <f aca="false">IF(중복검사!$A5085="",FALSE(),중복검사!$J5085="유지")</f>
        <v>0</v>
      </c>
      <c r="I5087" s="5" t="str">
        <f aca="false">IF($H5087=FALSE(),"",COUNTIF($H$6:$H5087,TRUE()))</f>
        <v/>
      </c>
      <c r="J5087" s="5" t="str">
        <f aca="false">IF($I5087="","","R"&amp;$I5087)</f>
        <v/>
      </c>
    </row>
    <row r="5088" customFormat="false" ht="15" hidden="false" customHeight="true" outlineLevel="0" collapsed="false">
      <c r="H5088" s="14" t="b">
        <f aca="false">IF(중복검사!$A5086="",FALSE(),중복검사!$J5086="유지")</f>
        <v>0</v>
      </c>
      <c r="I5088" s="5" t="str">
        <f aca="false">IF($H5088=FALSE(),"",COUNTIF($H$6:$H5088,TRUE()))</f>
        <v/>
      </c>
      <c r="J5088" s="5" t="str">
        <f aca="false">IF($I5088="","","R"&amp;$I5088)</f>
        <v/>
      </c>
    </row>
    <row r="5089" customFormat="false" ht="15" hidden="false" customHeight="true" outlineLevel="0" collapsed="false">
      <c r="H5089" s="14" t="b">
        <f aca="false">IF(중복검사!$A5087="",FALSE(),중복검사!$J5087="유지")</f>
        <v>0</v>
      </c>
      <c r="I5089" s="5" t="str">
        <f aca="false">IF($H5089=FALSE(),"",COUNTIF($H$6:$H5089,TRUE()))</f>
        <v/>
      </c>
      <c r="J5089" s="5" t="str">
        <f aca="false">IF($I5089="","","R"&amp;$I5089)</f>
        <v/>
      </c>
    </row>
    <row r="5090" customFormat="false" ht="15" hidden="false" customHeight="true" outlineLevel="0" collapsed="false">
      <c r="H5090" s="14" t="b">
        <f aca="false">IF(중복검사!$A5088="",FALSE(),중복검사!$J5088="유지")</f>
        <v>0</v>
      </c>
      <c r="I5090" s="5" t="str">
        <f aca="false">IF($H5090=FALSE(),"",COUNTIF($H$6:$H5090,TRUE()))</f>
        <v/>
      </c>
      <c r="J5090" s="5" t="str">
        <f aca="false">IF($I5090="","","R"&amp;$I5090)</f>
        <v/>
      </c>
    </row>
    <row r="5091" customFormat="false" ht="15" hidden="false" customHeight="true" outlineLevel="0" collapsed="false">
      <c r="H5091" s="14" t="b">
        <f aca="false">IF(중복검사!$A5089="",FALSE(),중복검사!$J5089="유지")</f>
        <v>0</v>
      </c>
      <c r="I5091" s="5" t="str">
        <f aca="false">IF($H5091=FALSE(),"",COUNTIF($H$6:$H5091,TRUE()))</f>
        <v/>
      </c>
      <c r="J5091" s="5" t="str">
        <f aca="false">IF($I5091="","","R"&amp;$I5091)</f>
        <v/>
      </c>
    </row>
    <row r="5092" customFormat="false" ht="15" hidden="false" customHeight="true" outlineLevel="0" collapsed="false">
      <c r="H5092" s="14" t="b">
        <f aca="false">IF(중복검사!$A5090="",FALSE(),중복검사!$J5090="유지")</f>
        <v>0</v>
      </c>
      <c r="I5092" s="5" t="str">
        <f aca="false">IF($H5092=FALSE(),"",COUNTIF($H$6:$H5092,TRUE()))</f>
        <v/>
      </c>
      <c r="J5092" s="5" t="str">
        <f aca="false">IF($I5092="","","R"&amp;$I5092)</f>
        <v/>
      </c>
    </row>
    <row r="5093" customFormat="false" ht="15" hidden="false" customHeight="true" outlineLevel="0" collapsed="false">
      <c r="H5093" s="14" t="b">
        <f aca="false">IF(중복검사!$A5091="",FALSE(),중복검사!$J5091="유지")</f>
        <v>0</v>
      </c>
      <c r="I5093" s="5" t="str">
        <f aca="false">IF($H5093=FALSE(),"",COUNTIF($H$6:$H5093,TRUE()))</f>
        <v/>
      </c>
      <c r="J5093" s="5" t="str">
        <f aca="false">IF($I5093="","","R"&amp;$I5093)</f>
        <v/>
      </c>
    </row>
    <row r="5094" customFormat="false" ht="15" hidden="false" customHeight="true" outlineLevel="0" collapsed="false">
      <c r="H5094" s="14" t="b">
        <f aca="false">IF(중복검사!$A5092="",FALSE(),중복검사!$J5092="유지")</f>
        <v>0</v>
      </c>
      <c r="I5094" s="5" t="str">
        <f aca="false">IF($H5094=FALSE(),"",COUNTIF($H$6:$H5094,TRUE()))</f>
        <v/>
      </c>
      <c r="J5094" s="5" t="str">
        <f aca="false">IF($I5094="","","R"&amp;$I5094)</f>
        <v/>
      </c>
    </row>
    <row r="5095" customFormat="false" ht="15" hidden="false" customHeight="true" outlineLevel="0" collapsed="false">
      <c r="H5095" s="14" t="b">
        <f aca="false">IF(중복검사!$A5093="",FALSE(),중복검사!$J5093="유지")</f>
        <v>0</v>
      </c>
      <c r="I5095" s="5" t="str">
        <f aca="false">IF($H5095=FALSE(),"",COUNTIF($H$6:$H5095,TRUE()))</f>
        <v/>
      </c>
      <c r="J5095" s="5" t="str">
        <f aca="false">IF($I5095="","","R"&amp;$I5095)</f>
        <v/>
      </c>
    </row>
    <row r="5096" customFormat="false" ht="15" hidden="false" customHeight="true" outlineLevel="0" collapsed="false">
      <c r="H5096" s="14" t="b">
        <f aca="false">IF(중복검사!$A5094="",FALSE(),중복검사!$J5094="유지")</f>
        <v>0</v>
      </c>
      <c r="I5096" s="5" t="str">
        <f aca="false">IF($H5096=FALSE(),"",COUNTIF($H$6:$H5096,TRUE()))</f>
        <v/>
      </c>
      <c r="J5096" s="5" t="str">
        <f aca="false">IF($I5096="","","R"&amp;$I5096)</f>
        <v/>
      </c>
    </row>
    <row r="5097" customFormat="false" ht="15" hidden="false" customHeight="true" outlineLevel="0" collapsed="false">
      <c r="H5097" s="14" t="b">
        <f aca="false">IF(중복검사!$A5095="",FALSE(),중복검사!$J5095="유지")</f>
        <v>0</v>
      </c>
      <c r="I5097" s="5" t="str">
        <f aca="false">IF($H5097=FALSE(),"",COUNTIF($H$6:$H5097,TRUE()))</f>
        <v/>
      </c>
      <c r="J5097" s="5" t="str">
        <f aca="false">IF($I5097="","","R"&amp;$I5097)</f>
        <v/>
      </c>
    </row>
    <row r="5098" customFormat="false" ht="15" hidden="false" customHeight="true" outlineLevel="0" collapsed="false">
      <c r="H5098" s="14" t="b">
        <f aca="false">IF(중복검사!$A5096="",FALSE(),중복검사!$J5096="유지")</f>
        <v>0</v>
      </c>
      <c r="I5098" s="5" t="str">
        <f aca="false">IF($H5098=FALSE(),"",COUNTIF($H$6:$H5098,TRUE()))</f>
        <v/>
      </c>
      <c r="J5098" s="5" t="str">
        <f aca="false">IF($I5098="","","R"&amp;$I5098)</f>
        <v/>
      </c>
    </row>
    <row r="5099" customFormat="false" ht="15" hidden="false" customHeight="true" outlineLevel="0" collapsed="false">
      <c r="H5099" s="14" t="b">
        <f aca="false">IF(중복검사!$A5097="",FALSE(),중복검사!$J5097="유지")</f>
        <v>0</v>
      </c>
      <c r="I5099" s="5" t="str">
        <f aca="false">IF($H5099=FALSE(),"",COUNTIF($H$6:$H5099,TRUE()))</f>
        <v/>
      </c>
      <c r="J5099" s="5" t="str">
        <f aca="false">IF($I5099="","","R"&amp;$I5099)</f>
        <v/>
      </c>
    </row>
    <row r="5100" customFormat="false" ht="15" hidden="false" customHeight="true" outlineLevel="0" collapsed="false">
      <c r="H5100" s="14" t="b">
        <f aca="false">IF(중복검사!$A5098="",FALSE(),중복검사!$J5098="유지")</f>
        <v>0</v>
      </c>
      <c r="I5100" s="5" t="str">
        <f aca="false">IF($H5100=FALSE(),"",COUNTIF($H$6:$H5100,TRUE()))</f>
        <v/>
      </c>
      <c r="J5100" s="5" t="str">
        <f aca="false">IF($I5100="","","R"&amp;$I5100)</f>
        <v/>
      </c>
    </row>
    <row r="5101" customFormat="false" ht="15" hidden="false" customHeight="true" outlineLevel="0" collapsed="false">
      <c r="H5101" s="14" t="b">
        <f aca="false">IF(중복검사!$A5099="",FALSE(),중복검사!$J5099="유지")</f>
        <v>0</v>
      </c>
      <c r="I5101" s="5" t="str">
        <f aca="false">IF($H5101=FALSE(),"",COUNTIF($H$6:$H5101,TRUE()))</f>
        <v/>
      </c>
      <c r="J5101" s="5" t="str">
        <f aca="false">IF($I5101="","","R"&amp;$I5101)</f>
        <v/>
      </c>
    </row>
    <row r="5102" customFormat="false" ht="15" hidden="false" customHeight="true" outlineLevel="0" collapsed="false">
      <c r="H5102" s="14" t="b">
        <f aca="false">IF(중복검사!$A5100="",FALSE(),중복검사!$J5100="유지")</f>
        <v>0</v>
      </c>
      <c r="I5102" s="5" t="str">
        <f aca="false">IF($H5102=FALSE(),"",COUNTIF($H$6:$H5102,TRUE()))</f>
        <v/>
      </c>
      <c r="J5102" s="5" t="str">
        <f aca="false">IF($I5102="","","R"&amp;$I5102)</f>
        <v/>
      </c>
    </row>
    <row r="5103" customFormat="false" ht="15" hidden="false" customHeight="true" outlineLevel="0" collapsed="false">
      <c r="H5103" s="14" t="b">
        <f aca="false">IF(중복검사!$A5101="",FALSE(),중복검사!$J5101="유지")</f>
        <v>0</v>
      </c>
      <c r="I5103" s="5" t="str">
        <f aca="false">IF($H5103=FALSE(),"",COUNTIF($H$6:$H5103,TRUE()))</f>
        <v/>
      </c>
      <c r="J5103" s="5" t="str">
        <f aca="false">IF($I5103="","","R"&amp;$I5103)</f>
        <v/>
      </c>
    </row>
    <row r="5104" customFormat="false" ht="15" hidden="false" customHeight="true" outlineLevel="0" collapsed="false">
      <c r="H5104" s="14" t="b">
        <f aca="false">IF(중복검사!$A5102="",FALSE(),중복검사!$J5102="유지")</f>
        <v>0</v>
      </c>
      <c r="I5104" s="5" t="str">
        <f aca="false">IF($H5104=FALSE(),"",COUNTIF($H$6:$H5104,TRUE()))</f>
        <v/>
      </c>
      <c r="J5104" s="5" t="str">
        <f aca="false">IF($I5104="","","R"&amp;$I5104)</f>
        <v/>
      </c>
    </row>
    <row r="5105" customFormat="false" ht="15" hidden="false" customHeight="true" outlineLevel="0" collapsed="false">
      <c r="H5105" s="14" t="b">
        <f aca="false">IF(중복검사!$A5103="",FALSE(),중복검사!$J5103="유지")</f>
        <v>0</v>
      </c>
      <c r="I5105" s="5" t="str">
        <f aca="false">IF($H5105=FALSE(),"",COUNTIF($H$6:$H5105,TRUE()))</f>
        <v/>
      </c>
      <c r="J5105" s="5" t="str">
        <f aca="false">IF($I5105="","","R"&amp;$I5105)</f>
        <v/>
      </c>
    </row>
    <row r="5106" customFormat="false" ht="15" hidden="false" customHeight="true" outlineLevel="0" collapsed="false">
      <c r="H5106" s="14" t="b">
        <f aca="false">IF(중복검사!$A5104="",FALSE(),중복검사!$J5104="유지")</f>
        <v>0</v>
      </c>
      <c r="I5106" s="5" t="str">
        <f aca="false">IF($H5106=FALSE(),"",COUNTIF($H$6:$H5106,TRUE()))</f>
        <v/>
      </c>
      <c r="J5106" s="5" t="str">
        <f aca="false">IF($I5106="","","R"&amp;$I5106)</f>
        <v/>
      </c>
    </row>
    <row r="5107" customFormat="false" ht="15" hidden="false" customHeight="true" outlineLevel="0" collapsed="false">
      <c r="H5107" s="14" t="b">
        <f aca="false">IF(중복검사!$A5105="",FALSE(),중복검사!$J5105="유지")</f>
        <v>0</v>
      </c>
      <c r="I5107" s="5" t="str">
        <f aca="false">IF($H5107=FALSE(),"",COUNTIF($H$6:$H5107,TRUE()))</f>
        <v/>
      </c>
      <c r="J5107" s="5" t="str">
        <f aca="false">IF($I5107="","","R"&amp;$I5107)</f>
        <v/>
      </c>
    </row>
    <row r="5108" customFormat="false" ht="15" hidden="false" customHeight="true" outlineLevel="0" collapsed="false">
      <c r="H5108" s="14" t="b">
        <f aca="false">IF(중복검사!$A5106="",FALSE(),중복검사!$J5106="유지")</f>
        <v>0</v>
      </c>
      <c r="I5108" s="5" t="str">
        <f aca="false">IF($H5108=FALSE(),"",COUNTIF($H$6:$H5108,TRUE()))</f>
        <v/>
      </c>
      <c r="J5108" s="5" t="str">
        <f aca="false">IF($I5108="","","R"&amp;$I5108)</f>
        <v/>
      </c>
    </row>
    <row r="5109" customFormat="false" ht="15" hidden="false" customHeight="true" outlineLevel="0" collapsed="false">
      <c r="H5109" s="14" t="b">
        <f aca="false">IF(중복검사!$A5107="",FALSE(),중복검사!$J5107="유지")</f>
        <v>0</v>
      </c>
      <c r="I5109" s="5" t="str">
        <f aca="false">IF($H5109=FALSE(),"",COUNTIF($H$6:$H5109,TRUE()))</f>
        <v/>
      </c>
      <c r="J5109" s="5" t="str">
        <f aca="false">IF($I5109="","","R"&amp;$I5109)</f>
        <v/>
      </c>
    </row>
    <row r="5110" customFormat="false" ht="15" hidden="false" customHeight="true" outlineLevel="0" collapsed="false">
      <c r="H5110" s="14" t="b">
        <f aca="false">IF(중복검사!$A5108="",FALSE(),중복검사!$J5108="유지")</f>
        <v>0</v>
      </c>
      <c r="I5110" s="5" t="str">
        <f aca="false">IF($H5110=FALSE(),"",COUNTIF($H$6:$H5110,TRUE()))</f>
        <v/>
      </c>
      <c r="J5110" s="5" t="str">
        <f aca="false">IF($I5110="","","R"&amp;$I5110)</f>
        <v/>
      </c>
    </row>
    <row r="5111" customFormat="false" ht="15" hidden="false" customHeight="true" outlineLevel="0" collapsed="false">
      <c r="H5111" s="14" t="b">
        <f aca="false">IF(중복검사!$A5109="",FALSE(),중복검사!$J5109="유지")</f>
        <v>0</v>
      </c>
      <c r="I5111" s="5" t="str">
        <f aca="false">IF($H5111=FALSE(),"",COUNTIF($H$6:$H5111,TRUE()))</f>
        <v/>
      </c>
      <c r="J5111" s="5" t="str">
        <f aca="false">IF($I5111="","","R"&amp;$I5111)</f>
        <v/>
      </c>
    </row>
    <row r="5112" customFormat="false" ht="15" hidden="false" customHeight="true" outlineLevel="0" collapsed="false">
      <c r="H5112" s="14" t="b">
        <f aca="false">IF(중복검사!$A5110="",FALSE(),중복검사!$J5110="유지")</f>
        <v>0</v>
      </c>
      <c r="I5112" s="5" t="str">
        <f aca="false">IF($H5112=FALSE(),"",COUNTIF($H$6:$H5112,TRUE()))</f>
        <v/>
      </c>
      <c r="J5112" s="5" t="str">
        <f aca="false">IF($I5112="","","R"&amp;$I5112)</f>
        <v/>
      </c>
    </row>
    <row r="5113" customFormat="false" ht="15" hidden="false" customHeight="true" outlineLevel="0" collapsed="false">
      <c r="H5113" s="14" t="b">
        <f aca="false">IF(중복검사!$A5111="",FALSE(),중복검사!$J5111="유지")</f>
        <v>0</v>
      </c>
      <c r="I5113" s="5" t="str">
        <f aca="false">IF($H5113=FALSE(),"",COUNTIF($H$6:$H5113,TRUE()))</f>
        <v/>
      </c>
      <c r="J5113" s="5" t="str">
        <f aca="false">IF($I5113="","","R"&amp;$I5113)</f>
        <v/>
      </c>
    </row>
    <row r="5114" customFormat="false" ht="15" hidden="false" customHeight="true" outlineLevel="0" collapsed="false">
      <c r="H5114" s="14" t="b">
        <f aca="false">IF(중복검사!$A5112="",FALSE(),중복검사!$J5112="유지")</f>
        <v>0</v>
      </c>
      <c r="I5114" s="5" t="str">
        <f aca="false">IF($H5114=FALSE(),"",COUNTIF($H$6:$H5114,TRUE()))</f>
        <v/>
      </c>
      <c r="J5114" s="5" t="str">
        <f aca="false">IF($I5114="","","R"&amp;$I5114)</f>
        <v/>
      </c>
    </row>
    <row r="5115" customFormat="false" ht="15" hidden="false" customHeight="true" outlineLevel="0" collapsed="false">
      <c r="H5115" s="14" t="b">
        <f aca="false">IF(중복검사!$A5113="",FALSE(),중복검사!$J5113="유지")</f>
        <v>0</v>
      </c>
      <c r="I5115" s="5" t="str">
        <f aca="false">IF($H5115=FALSE(),"",COUNTIF($H$6:$H5115,TRUE()))</f>
        <v/>
      </c>
      <c r="J5115" s="5" t="str">
        <f aca="false">IF($I5115="","","R"&amp;$I5115)</f>
        <v/>
      </c>
    </row>
    <row r="5116" customFormat="false" ht="15" hidden="false" customHeight="true" outlineLevel="0" collapsed="false">
      <c r="H5116" s="14" t="b">
        <f aca="false">IF(중복검사!$A5114="",FALSE(),중복검사!$J5114="유지")</f>
        <v>0</v>
      </c>
      <c r="I5116" s="5" t="str">
        <f aca="false">IF($H5116=FALSE(),"",COUNTIF($H$6:$H5116,TRUE()))</f>
        <v/>
      </c>
      <c r="J5116" s="5" t="str">
        <f aca="false">IF($I5116="","","R"&amp;$I5116)</f>
        <v/>
      </c>
    </row>
    <row r="5117" customFormat="false" ht="15" hidden="false" customHeight="true" outlineLevel="0" collapsed="false">
      <c r="H5117" s="14" t="b">
        <f aca="false">IF(중복검사!$A5115="",FALSE(),중복검사!$J5115="유지")</f>
        <v>0</v>
      </c>
      <c r="I5117" s="5" t="str">
        <f aca="false">IF($H5117=FALSE(),"",COUNTIF($H$6:$H5117,TRUE()))</f>
        <v/>
      </c>
      <c r="J5117" s="5" t="str">
        <f aca="false">IF($I5117="","","R"&amp;$I5117)</f>
        <v/>
      </c>
    </row>
    <row r="5118" customFormat="false" ht="15" hidden="false" customHeight="true" outlineLevel="0" collapsed="false">
      <c r="H5118" s="14" t="b">
        <f aca="false">IF(중복검사!$A5116="",FALSE(),중복검사!$J5116="유지")</f>
        <v>0</v>
      </c>
      <c r="I5118" s="5" t="str">
        <f aca="false">IF($H5118=FALSE(),"",COUNTIF($H$6:$H5118,TRUE()))</f>
        <v/>
      </c>
      <c r="J5118" s="5" t="str">
        <f aca="false">IF($I5118="","","R"&amp;$I5118)</f>
        <v/>
      </c>
    </row>
    <row r="5119" customFormat="false" ht="15" hidden="false" customHeight="true" outlineLevel="0" collapsed="false">
      <c r="H5119" s="14" t="b">
        <f aca="false">IF(중복검사!$A5117="",FALSE(),중복검사!$J5117="유지")</f>
        <v>0</v>
      </c>
      <c r="I5119" s="5" t="str">
        <f aca="false">IF($H5119=FALSE(),"",COUNTIF($H$6:$H5119,TRUE()))</f>
        <v/>
      </c>
      <c r="J5119" s="5" t="str">
        <f aca="false">IF($I5119="","","R"&amp;$I5119)</f>
        <v/>
      </c>
    </row>
    <row r="5120" customFormat="false" ht="15" hidden="false" customHeight="true" outlineLevel="0" collapsed="false">
      <c r="H5120" s="14" t="b">
        <f aca="false">IF(중복검사!$A5118="",FALSE(),중복검사!$J5118="유지")</f>
        <v>0</v>
      </c>
      <c r="I5120" s="5" t="str">
        <f aca="false">IF($H5120=FALSE(),"",COUNTIF($H$6:$H5120,TRUE()))</f>
        <v/>
      </c>
      <c r="J5120" s="5" t="str">
        <f aca="false">IF($I5120="","","R"&amp;$I5120)</f>
        <v/>
      </c>
    </row>
    <row r="5121" customFormat="false" ht="15" hidden="false" customHeight="true" outlineLevel="0" collapsed="false">
      <c r="H5121" s="14" t="b">
        <f aca="false">IF(중복검사!$A5119="",FALSE(),중복검사!$J5119="유지")</f>
        <v>0</v>
      </c>
      <c r="I5121" s="5" t="str">
        <f aca="false">IF($H5121=FALSE(),"",COUNTIF($H$6:$H5121,TRUE()))</f>
        <v/>
      </c>
      <c r="J5121" s="5" t="str">
        <f aca="false">IF($I5121="","","R"&amp;$I5121)</f>
        <v/>
      </c>
    </row>
    <row r="5122" customFormat="false" ht="15" hidden="false" customHeight="true" outlineLevel="0" collapsed="false">
      <c r="H5122" s="14" t="b">
        <f aca="false">IF(중복검사!$A5120="",FALSE(),중복검사!$J5120="유지")</f>
        <v>0</v>
      </c>
      <c r="I5122" s="5" t="str">
        <f aca="false">IF($H5122=FALSE(),"",COUNTIF($H$6:$H5122,TRUE()))</f>
        <v/>
      </c>
      <c r="J5122" s="5" t="str">
        <f aca="false">IF($I5122="","","R"&amp;$I5122)</f>
        <v/>
      </c>
    </row>
    <row r="5123" customFormat="false" ht="15" hidden="false" customHeight="true" outlineLevel="0" collapsed="false">
      <c r="H5123" s="14" t="b">
        <f aca="false">IF(중복검사!$A5121="",FALSE(),중복검사!$J5121="유지")</f>
        <v>0</v>
      </c>
      <c r="I5123" s="5" t="str">
        <f aca="false">IF($H5123=FALSE(),"",COUNTIF($H$6:$H5123,TRUE()))</f>
        <v/>
      </c>
      <c r="J5123" s="5" t="str">
        <f aca="false">IF($I5123="","","R"&amp;$I5123)</f>
        <v/>
      </c>
    </row>
    <row r="5124" customFormat="false" ht="15" hidden="false" customHeight="true" outlineLevel="0" collapsed="false">
      <c r="H5124" s="14" t="b">
        <f aca="false">IF(중복검사!$A5122="",FALSE(),중복검사!$J5122="유지")</f>
        <v>0</v>
      </c>
      <c r="I5124" s="5" t="str">
        <f aca="false">IF($H5124=FALSE(),"",COUNTIF($H$6:$H5124,TRUE()))</f>
        <v/>
      </c>
      <c r="J5124" s="5" t="str">
        <f aca="false">IF($I5124="","","R"&amp;$I5124)</f>
        <v/>
      </c>
    </row>
    <row r="5125" customFormat="false" ht="15" hidden="false" customHeight="true" outlineLevel="0" collapsed="false">
      <c r="H5125" s="14" t="b">
        <f aca="false">IF(중복검사!$A5123="",FALSE(),중복검사!$J5123="유지")</f>
        <v>0</v>
      </c>
      <c r="I5125" s="5" t="str">
        <f aca="false">IF($H5125=FALSE(),"",COUNTIF($H$6:$H5125,TRUE()))</f>
        <v/>
      </c>
      <c r="J5125" s="5" t="str">
        <f aca="false">IF($I5125="","","R"&amp;$I5125)</f>
        <v/>
      </c>
    </row>
    <row r="5126" customFormat="false" ht="15" hidden="false" customHeight="true" outlineLevel="0" collapsed="false">
      <c r="H5126" s="14" t="b">
        <f aca="false">IF(중복검사!$A5124="",FALSE(),중복검사!$J5124="유지")</f>
        <v>0</v>
      </c>
      <c r="I5126" s="5" t="str">
        <f aca="false">IF($H5126=FALSE(),"",COUNTIF($H$6:$H5126,TRUE()))</f>
        <v/>
      </c>
      <c r="J5126" s="5" t="str">
        <f aca="false">IF($I5126="","","R"&amp;$I5126)</f>
        <v/>
      </c>
    </row>
    <row r="5127" customFormat="false" ht="15" hidden="false" customHeight="true" outlineLevel="0" collapsed="false">
      <c r="H5127" s="14" t="b">
        <f aca="false">IF(중복검사!$A5125="",FALSE(),중복검사!$J5125="유지")</f>
        <v>0</v>
      </c>
      <c r="I5127" s="5" t="str">
        <f aca="false">IF($H5127=FALSE(),"",COUNTIF($H$6:$H5127,TRUE()))</f>
        <v/>
      </c>
      <c r="J5127" s="5" t="str">
        <f aca="false">IF($I5127="","","R"&amp;$I5127)</f>
        <v/>
      </c>
    </row>
    <row r="5128" customFormat="false" ht="15" hidden="false" customHeight="true" outlineLevel="0" collapsed="false">
      <c r="H5128" s="14" t="b">
        <f aca="false">IF(중복검사!$A5126="",FALSE(),중복검사!$J5126="유지")</f>
        <v>0</v>
      </c>
      <c r="I5128" s="5" t="str">
        <f aca="false">IF($H5128=FALSE(),"",COUNTIF($H$6:$H5128,TRUE()))</f>
        <v/>
      </c>
      <c r="J5128" s="5" t="str">
        <f aca="false">IF($I5128="","","R"&amp;$I5128)</f>
        <v/>
      </c>
    </row>
    <row r="5129" customFormat="false" ht="15" hidden="false" customHeight="true" outlineLevel="0" collapsed="false">
      <c r="H5129" s="14" t="b">
        <f aca="false">IF(중복검사!$A5127="",FALSE(),중복검사!$J5127="유지")</f>
        <v>0</v>
      </c>
      <c r="I5129" s="5" t="str">
        <f aca="false">IF($H5129=FALSE(),"",COUNTIF($H$6:$H5129,TRUE()))</f>
        <v/>
      </c>
      <c r="J5129" s="5" t="str">
        <f aca="false">IF($I5129="","","R"&amp;$I5129)</f>
        <v/>
      </c>
    </row>
    <row r="5130" customFormat="false" ht="15" hidden="false" customHeight="true" outlineLevel="0" collapsed="false">
      <c r="H5130" s="14" t="b">
        <f aca="false">IF(중복검사!$A5128="",FALSE(),중복검사!$J5128="유지")</f>
        <v>0</v>
      </c>
      <c r="I5130" s="5" t="str">
        <f aca="false">IF($H5130=FALSE(),"",COUNTIF($H$6:$H5130,TRUE()))</f>
        <v/>
      </c>
      <c r="J5130" s="5" t="str">
        <f aca="false">IF($I5130="","","R"&amp;$I5130)</f>
        <v/>
      </c>
    </row>
    <row r="5131" customFormat="false" ht="15" hidden="false" customHeight="true" outlineLevel="0" collapsed="false">
      <c r="H5131" s="14" t="b">
        <f aca="false">IF(중복검사!$A5129="",FALSE(),중복검사!$J5129="유지")</f>
        <v>0</v>
      </c>
      <c r="I5131" s="5" t="str">
        <f aca="false">IF($H5131=FALSE(),"",COUNTIF($H$6:$H5131,TRUE()))</f>
        <v/>
      </c>
      <c r="J5131" s="5" t="str">
        <f aca="false">IF($I5131="","","R"&amp;$I5131)</f>
        <v/>
      </c>
    </row>
    <row r="5132" customFormat="false" ht="15" hidden="false" customHeight="true" outlineLevel="0" collapsed="false">
      <c r="H5132" s="14" t="b">
        <f aca="false">IF(중복검사!$A5130="",FALSE(),중복검사!$J5130="유지")</f>
        <v>0</v>
      </c>
      <c r="I5132" s="5" t="str">
        <f aca="false">IF($H5132=FALSE(),"",COUNTIF($H$6:$H5132,TRUE()))</f>
        <v/>
      </c>
      <c r="J5132" s="5" t="str">
        <f aca="false">IF($I5132="","","R"&amp;$I5132)</f>
        <v/>
      </c>
    </row>
    <row r="5133" customFormat="false" ht="15" hidden="false" customHeight="true" outlineLevel="0" collapsed="false">
      <c r="H5133" s="14" t="b">
        <f aca="false">IF(중복검사!$A5131="",FALSE(),중복검사!$J5131="유지")</f>
        <v>0</v>
      </c>
      <c r="I5133" s="5" t="str">
        <f aca="false">IF($H5133=FALSE(),"",COUNTIF($H$6:$H5133,TRUE()))</f>
        <v/>
      </c>
      <c r="J5133" s="5" t="str">
        <f aca="false">IF($I5133="","","R"&amp;$I5133)</f>
        <v/>
      </c>
    </row>
    <row r="5134" customFormat="false" ht="15" hidden="false" customHeight="true" outlineLevel="0" collapsed="false">
      <c r="H5134" s="14" t="b">
        <f aca="false">IF(중복검사!$A5132="",FALSE(),중복검사!$J5132="유지")</f>
        <v>0</v>
      </c>
      <c r="I5134" s="5" t="str">
        <f aca="false">IF($H5134=FALSE(),"",COUNTIF($H$6:$H5134,TRUE()))</f>
        <v/>
      </c>
      <c r="J5134" s="5" t="str">
        <f aca="false">IF($I5134="","","R"&amp;$I5134)</f>
        <v/>
      </c>
    </row>
    <row r="5135" customFormat="false" ht="15" hidden="false" customHeight="true" outlineLevel="0" collapsed="false">
      <c r="H5135" s="14" t="b">
        <f aca="false">IF(중복검사!$A5133="",FALSE(),중복검사!$J5133="유지")</f>
        <v>0</v>
      </c>
      <c r="I5135" s="5" t="str">
        <f aca="false">IF($H5135=FALSE(),"",COUNTIF($H$6:$H5135,TRUE()))</f>
        <v/>
      </c>
      <c r="J5135" s="5" t="str">
        <f aca="false">IF($I5135="","","R"&amp;$I5135)</f>
        <v/>
      </c>
    </row>
    <row r="5136" customFormat="false" ht="15" hidden="false" customHeight="true" outlineLevel="0" collapsed="false">
      <c r="H5136" s="14" t="b">
        <f aca="false">IF(중복검사!$A5134="",FALSE(),중복검사!$J5134="유지")</f>
        <v>0</v>
      </c>
      <c r="I5136" s="5" t="str">
        <f aca="false">IF($H5136=FALSE(),"",COUNTIF($H$6:$H5136,TRUE()))</f>
        <v/>
      </c>
      <c r="J5136" s="5" t="str">
        <f aca="false">IF($I5136="","","R"&amp;$I5136)</f>
        <v/>
      </c>
    </row>
    <row r="5137" customFormat="false" ht="15" hidden="false" customHeight="true" outlineLevel="0" collapsed="false">
      <c r="H5137" s="14" t="b">
        <f aca="false">IF(중복검사!$A5135="",FALSE(),중복검사!$J5135="유지")</f>
        <v>0</v>
      </c>
      <c r="I5137" s="5" t="str">
        <f aca="false">IF($H5137=FALSE(),"",COUNTIF($H$6:$H5137,TRUE()))</f>
        <v/>
      </c>
      <c r="J5137" s="5" t="str">
        <f aca="false">IF($I5137="","","R"&amp;$I5137)</f>
        <v/>
      </c>
    </row>
    <row r="5138" customFormat="false" ht="15" hidden="false" customHeight="true" outlineLevel="0" collapsed="false">
      <c r="H5138" s="14" t="b">
        <f aca="false">IF(중복검사!$A5136="",FALSE(),중복검사!$J5136="유지")</f>
        <v>0</v>
      </c>
      <c r="I5138" s="5" t="str">
        <f aca="false">IF($H5138=FALSE(),"",COUNTIF($H$6:$H5138,TRUE()))</f>
        <v/>
      </c>
      <c r="J5138" s="5" t="str">
        <f aca="false">IF($I5138="","","R"&amp;$I5138)</f>
        <v/>
      </c>
    </row>
    <row r="5139" customFormat="false" ht="15" hidden="false" customHeight="true" outlineLevel="0" collapsed="false">
      <c r="H5139" s="14" t="b">
        <f aca="false">IF(중복검사!$A5137="",FALSE(),중복검사!$J5137="유지")</f>
        <v>0</v>
      </c>
      <c r="I5139" s="5" t="str">
        <f aca="false">IF($H5139=FALSE(),"",COUNTIF($H$6:$H5139,TRUE()))</f>
        <v/>
      </c>
      <c r="J5139" s="5" t="str">
        <f aca="false">IF($I5139="","","R"&amp;$I5139)</f>
        <v/>
      </c>
    </row>
    <row r="5140" customFormat="false" ht="15" hidden="false" customHeight="true" outlineLevel="0" collapsed="false">
      <c r="H5140" s="14" t="b">
        <f aca="false">IF(중복검사!$A5138="",FALSE(),중복검사!$J5138="유지")</f>
        <v>0</v>
      </c>
      <c r="I5140" s="5" t="str">
        <f aca="false">IF($H5140=FALSE(),"",COUNTIF($H$6:$H5140,TRUE()))</f>
        <v/>
      </c>
      <c r="J5140" s="5" t="str">
        <f aca="false">IF($I5140="","","R"&amp;$I5140)</f>
        <v/>
      </c>
    </row>
    <row r="5141" customFormat="false" ht="15" hidden="false" customHeight="true" outlineLevel="0" collapsed="false">
      <c r="H5141" s="14" t="b">
        <f aca="false">IF(중복검사!$A5139="",FALSE(),중복검사!$J5139="유지")</f>
        <v>0</v>
      </c>
      <c r="I5141" s="5" t="str">
        <f aca="false">IF($H5141=FALSE(),"",COUNTIF($H$6:$H5141,TRUE()))</f>
        <v/>
      </c>
      <c r="J5141" s="5" t="str">
        <f aca="false">IF($I5141="","","R"&amp;$I5141)</f>
        <v/>
      </c>
    </row>
    <row r="5142" customFormat="false" ht="15" hidden="false" customHeight="true" outlineLevel="0" collapsed="false">
      <c r="H5142" s="14" t="b">
        <f aca="false">IF(중복검사!$A5140="",FALSE(),중복검사!$J5140="유지")</f>
        <v>0</v>
      </c>
      <c r="I5142" s="5" t="str">
        <f aca="false">IF($H5142=FALSE(),"",COUNTIF($H$6:$H5142,TRUE()))</f>
        <v/>
      </c>
      <c r="J5142" s="5" t="str">
        <f aca="false">IF($I5142="","","R"&amp;$I5142)</f>
        <v/>
      </c>
    </row>
    <row r="5143" customFormat="false" ht="15" hidden="false" customHeight="true" outlineLevel="0" collapsed="false">
      <c r="H5143" s="14" t="b">
        <f aca="false">IF(중복검사!$A5141="",FALSE(),중복검사!$J5141="유지")</f>
        <v>0</v>
      </c>
      <c r="I5143" s="5" t="str">
        <f aca="false">IF($H5143=FALSE(),"",COUNTIF($H$6:$H5143,TRUE()))</f>
        <v/>
      </c>
      <c r="J5143" s="5" t="str">
        <f aca="false">IF($I5143="","","R"&amp;$I5143)</f>
        <v/>
      </c>
    </row>
    <row r="5144" customFormat="false" ht="15" hidden="false" customHeight="true" outlineLevel="0" collapsed="false">
      <c r="H5144" s="14" t="b">
        <f aca="false">IF(중복검사!$A5142="",FALSE(),중복검사!$J5142="유지")</f>
        <v>0</v>
      </c>
      <c r="I5144" s="5" t="str">
        <f aca="false">IF($H5144=FALSE(),"",COUNTIF($H$6:$H5144,TRUE()))</f>
        <v/>
      </c>
      <c r="J5144" s="5" t="str">
        <f aca="false">IF($I5144="","","R"&amp;$I5144)</f>
        <v/>
      </c>
    </row>
    <row r="5145" customFormat="false" ht="15" hidden="false" customHeight="true" outlineLevel="0" collapsed="false">
      <c r="H5145" s="14" t="b">
        <f aca="false">IF(중복검사!$A5143="",FALSE(),중복검사!$J5143="유지")</f>
        <v>0</v>
      </c>
      <c r="I5145" s="5" t="str">
        <f aca="false">IF($H5145=FALSE(),"",COUNTIF($H$6:$H5145,TRUE()))</f>
        <v/>
      </c>
      <c r="J5145" s="5" t="str">
        <f aca="false">IF($I5145="","","R"&amp;$I5145)</f>
        <v/>
      </c>
    </row>
    <row r="5146" customFormat="false" ht="15" hidden="false" customHeight="true" outlineLevel="0" collapsed="false">
      <c r="H5146" s="14" t="b">
        <f aca="false">IF(중복검사!$A5144="",FALSE(),중복검사!$J5144="유지")</f>
        <v>0</v>
      </c>
      <c r="I5146" s="5" t="str">
        <f aca="false">IF($H5146=FALSE(),"",COUNTIF($H$6:$H5146,TRUE()))</f>
        <v/>
      </c>
      <c r="J5146" s="5" t="str">
        <f aca="false">IF($I5146="","","R"&amp;$I5146)</f>
        <v/>
      </c>
    </row>
    <row r="5147" customFormat="false" ht="15" hidden="false" customHeight="true" outlineLevel="0" collapsed="false">
      <c r="H5147" s="14" t="b">
        <f aca="false">IF(중복검사!$A5145="",FALSE(),중복검사!$J5145="유지")</f>
        <v>0</v>
      </c>
      <c r="I5147" s="5" t="str">
        <f aca="false">IF($H5147=FALSE(),"",COUNTIF($H$6:$H5147,TRUE()))</f>
        <v/>
      </c>
      <c r="J5147" s="5" t="str">
        <f aca="false">IF($I5147="","","R"&amp;$I5147)</f>
        <v/>
      </c>
    </row>
    <row r="5148" customFormat="false" ht="15" hidden="false" customHeight="true" outlineLevel="0" collapsed="false">
      <c r="H5148" s="14" t="b">
        <f aca="false">IF(중복검사!$A5146="",FALSE(),중복검사!$J5146="유지")</f>
        <v>0</v>
      </c>
      <c r="I5148" s="5" t="str">
        <f aca="false">IF($H5148=FALSE(),"",COUNTIF($H$6:$H5148,TRUE()))</f>
        <v/>
      </c>
      <c r="J5148" s="5" t="str">
        <f aca="false">IF($I5148="","","R"&amp;$I5148)</f>
        <v/>
      </c>
    </row>
    <row r="5149" customFormat="false" ht="15" hidden="false" customHeight="true" outlineLevel="0" collapsed="false">
      <c r="H5149" s="14" t="b">
        <f aca="false">IF(중복검사!$A5147="",FALSE(),중복검사!$J5147="유지")</f>
        <v>0</v>
      </c>
      <c r="I5149" s="5" t="str">
        <f aca="false">IF($H5149=FALSE(),"",COUNTIF($H$6:$H5149,TRUE()))</f>
        <v/>
      </c>
      <c r="J5149" s="5" t="str">
        <f aca="false">IF($I5149="","","R"&amp;$I5149)</f>
        <v/>
      </c>
    </row>
    <row r="5150" customFormat="false" ht="15" hidden="false" customHeight="true" outlineLevel="0" collapsed="false">
      <c r="H5150" s="14" t="b">
        <f aca="false">IF(중복검사!$A5148="",FALSE(),중복검사!$J5148="유지")</f>
        <v>0</v>
      </c>
      <c r="I5150" s="5" t="str">
        <f aca="false">IF($H5150=FALSE(),"",COUNTIF($H$6:$H5150,TRUE()))</f>
        <v/>
      </c>
      <c r="J5150" s="5" t="str">
        <f aca="false">IF($I5150="","","R"&amp;$I5150)</f>
        <v/>
      </c>
    </row>
    <row r="5151" customFormat="false" ht="15" hidden="false" customHeight="true" outlineLevel="0" collapsed="false">
      <c r="H5151" s="14" t="b">
        <f aca="false">IF(중복검사!$A5149="",FALSE(),중복검사!$J5149="유지")</f>
        <v>0</v>
      </c>
      <c r="I5151" s="5" t="str">
        <f aca="false">IF($H5151=FALSE(),"",COUNTIF($H$6:$H5151,TRUE()))</f>
        <v/>
      </c>
      <c r="J5151" s="5" t="str">
        <f aca="false">IF($I5151="","","R"&amp;$I5151)</f>
        <v/>
      </c>
    </row>
    <row r="5152" customFormat="false" ht="15" hidden="false" customHeight="true" outlineLevel="0" collapsed="false">
      <c r="H5152" s="14" t="b">
        <f aca="false">IF(중복검사!$A5150="",FALSE(),중복검사!$J5150="유지")</f>
        <v>0</v>
      </c>
      <c r="I5152" s="5" t="str">
        <f aca="false">IF($H5152=FALSE(),"",COUNTIF($H$6:$H5152,TRUE()))</f>
        <v/>
      </c>
      <c r="J5152" s="5" t="str">
        <f aca="false">IF($I5152="","","R"&amp;$I5152)</f>
        <v/>
      </c>
    </row>
    <row r="5153" customFormat="false" ht="15" hidden="false" customHeight="true" outlineLevel="0" collapsed="false">
      <c r="H5153" s="14" t="b">
        <f aca="false">IF(중복검사!$A5151="",FALSE(),중복검사!$J5151="유지")</f>
        <v>0</v>
      </c>
      <c r="I5153" s="5" t="str">
        <f aca="false">IF($H5153=FALSE(),"",COUNTIF($H$6:$H5153,TRUE()))</f>
        <v/>
      </c>
      <c r="J5153" s="5" t="str">
        <f aca="false">IF($I5153="","","R"&amp;$I5153)</f>
        <v/>
      </c>
    </row>
    <row r="5154" customFormat="false" ht="15" hidden="false" customHeight="true" outlineLevel="0" collapsed="false">
      <c r="H5154" s="14" t="b">
        <f aca="false">IF(중복검사!$A5152="",FALSE(),중복검사!$J5152="유지")</f>
        <v>0</v>
      </c>
      <c r="I5154" s="5" t="str">
        <f aca="false">IF($H5154=FALSE(),"",COUNTIF($H$6:$H5154,TRUE()))</f>
        <v/>
      </c>
      <c r="J5154" s="5" t="str">
        <f aca="false">IF($I5154="","","R"&amp;$I5154)</f>
        <v/>
      </c>
    </row>
    <row r="5155" customFormat="false" ht="15" hidden="false" customHeight="true" outlineLevel="0" collapsed="false">
      <c r="H5155" s="14" t="b">
        <f aca="false">IF(중복검사!$A5153="",FALSE(),중복검사!$J5153="유지")</f>
        <v>0</v>
      </c>
      <c r="I5155" s="5" t="str">
        <f aca="false">IF($H5155=FALSE(),"",COUNTIF($H$6:$H5155,TRUE()))</f>
        <v/>
      </c>
      <c r="J5155" s="5" t="str">
        <f aca="false">IF($I5155="","","R"&amp;$I5155)</f>
        <v/>
      </c>
    </row>
    <row r="5156" customFormat="false" ht="15" hidden="false" customHeight="true" outlineLevel="0" collapsed="false">
      <c r="H5156" s="14" t="b">
        <f aca="false">IF(중복검사!$A5154="",FALSE(),중복검사!$J5154="유지")</f>
        <v>0</v>
      </c>
      <c r="I5156" s="5" t="str">
        <f aca="false">IF($H5156=FALSE(),"",COUNTIF($H$6:$H5156,TRUE()))</f>
        <v/>
      </c>
      <c r="J5156" s="5" t="str">
        <f aca="false">IF($I5156="","","R"&amp;$I5156)</f>
        <v/>
      </c>
    </row>
    <row r="5157" customFormat="false" ht="15" hidden="false" customHeight="true" outlineLevel="0" collapsed="false">
      <c r="H5157" s="14" t="b">
        <f aca="false">IF(중복검사!$A5155="",FALSE(),중복검사!$J5155="유지")</f>
        <v>0</v>
      </c>
      <c r="I5157" s="5" t="str">
        <f aca="false">IF($H5157=FALSE(),"",COUNTIF($H$6:$H5157,TRUE()))</f>
        <v/>
      </c>
      <c r="J5157" s="5" t="str">
        <f aca="false">IF($I5157="","","R"&amp;$I5157)</f>
        <v/>
      </c>
    </row>
    <row r="5158" customFormat="false" ht="15" hidden="false" customHeight="true" outlineLevel="0" collapsed="false">
      <c r="H5158" s="14" t="b">
        <f aca="false">IF(중복검사!$A5156="",FALSE(),중복검사!$J5156="유지")</f>
        <v>0</v>
      </c>
      <c r="I5158" s="5" t="str">
        <f aca="false">IF($H5158=FALSE(),"",COUNTIF($H$6:$H5158,TRUE()))</f>
        <v/>
      </c>
      <c r="J5158" s="5" t="str">
        <f aca="false">IF($I5158="","","R"&amp;$I5158)</f>
        <v/>
      </c>
    </row>
    <row r="5159" customFormat="false" ht="15" hidden="false" customHeight="true" outlineLevel="0" collapsed="false">
      <c r="H5159" s="14" t="b">
        <f aca="false">IF(중복검사!$A5157="",FALSE(),중복검사!$J5157="유지")</f>
        <v>0</v>
      </c>
      <c r="I5159" s="5" t="str">
        <f aca="false">IF($H5159=FALSE(),"",COUNTIF($H$6:$H5159,TRUE()))</f>
        <v/>
      </c>
      <c r="J5159" s="5" t="str">
        <f aca="false">IF($I5159="","","R"&amp;$I5159)</f>
        <v/>
      </c>
    </row>
    <row r="5160" customFormat="false" ht="15" hidden="false" customHeight="true" outlineLevel="0" collapsed="false">
      <c r="H5160" s="14" t="b">
        <f aca="false">IF(중복검사!$A5158="",FALSE(),중복검사!$J5158="유지")</f>
        <v>0</v>
      </c>
      <c r="I5160" s="5" t="str">
        <f aca="false">IF($H5160=FALSE(),"",COUNTIF($H$6:$H5160,TRUE()))</f>
        <v/>
      </c>
      <c r="J5160" s="5" t="str">
        <f aca="false">IF($I5160="","","R"&amp;$I5160)</f>
        <v/>
      </c>
    </row>
    <row r="5161" customFormat="false" ht="15" hidden="false" customHeight="true" outlineLevel="0" collapsed="false">
      <c r="H5161" s="14" t="b">
        <f aca="false">IF(중복검사!$A5159="",FALSE(),중복검사!$J5159="유지")</f>
        <v>0</v>
      </c>
      <c r="I5161" s="5" t="str">
        <f aca="false">IF($H5161=FALSE(),"",COUNTIF($H$6:$H5161,TRUE()))</f>
        <v/>
      </c>
      <c r="J5161" s="5" t="str">
        <f aca="false">IF($I5161="","","R"&amp;$I5161)</f>
        <v/>
      </c>
    </row>
    <row r="5162" customFormat="false" ht="15" hidden="false" customHeight="true" outlineLevel="0" collapsed="false">
      <c r="H5162" s="14" t="b">
        <f aca="false">IF(중복검사!$A5160="",FALSE(),중복검사!$J5160="유지")</f>
        <v>0</v>
      </c>
      <c r="I5162" s="5" t="str">
        <f aca="false">IF($H5162=FALSE(),"",COUNTIF($H$6:$H5162,TRUE()))</f>
        <v/>
      </c>
      <c r="J5162" s="5" t="str">
        <f aca="false">IF($I5162="","","R"&amp;$I5162)</f>
        <v/>
      </c>
    </row>
    <row r="5163" customFormat="false" ht="15" hidden="false" customHeight="true" outlineLevel="0" collapsed="false">
      <c r="H5163" s="14" t="b">
        <f aca="false">IF(중복검사!$A5161="",FALSE(),중복검사!$J5161="유지")</f>
        <v>0</v>
      </c>
      <c r="I5163" s="5" t="str">
        <f aca="false">IF($H5163=FALSE(),"",COUNTIF($H$6:$H5163,TRUE()))</f>
        <v/>
      </c>
      <c r="J5163" s="5" t="str">
        <f aca="false">IF($I5163="","","R"&amp;$I5163)</f>
        <v/>
      </c>
    </row>
    <row r="5164" customFormat="false" ht="15" hidden="false" customHeight="true" outlineLevel="0" collapsed="false">
      <c r="H5164" s="14" t="b">
        <f aca="false">IF(중복검사!$A5162="",FALSE(),중복검사!$J5162="유지")</f>
        <v>0</v>
      </c>
      <c r="I5164" s="5" t="str">
        <f aca="false">IF($H5164=FALSE(),"",COUNTIF($H$6:$H5164,TRUE()))</f>
        <v/>
      </c>
      <c r="J5164" s="5" t="str">
        <f aca="false">IF($I5164="","","R"&amp;$I5164)</f>
        <v/>
      </c>
    </row>
    <row r="5165" customFormat="false" ht="15" hidden="false" customHeight="true" outlineLevel="0" collapsed="false">
      <c r="H5165" s="14" t="b">
        <f aca="false">IF(중복검사!$A5163="",FALSE(),중복검사!$J5163="유지")</f>
        <v>0</v>
      </c>
      <c r="I5165" s="5" t="str">
        <f aca="false">IF($H5165=FALSE(),"",COUNTIF($H$6:$H5165,TRUE()))</f>
        <v/>
      </c>
      <c r="J5165" s="5" t="str">
        <f aca="false">IF($I5165="","","R"&amp;$I5165)</f>
        <v/>
      </c>
    </row>
    <row r="5166" customFormat="false" ht="15" hidden="false" customHeight="true" outlineLevel="0" collapsed="false">
      <c r="H5166" s="14" t="b">
        <f aca="false">IF(중복검사!$A5164="",FALSE(),중복검사!$J5164="유지")</f>
        <v>0</v>
      </c>
      <c r="I5166" s="5" t="str">
        <f aca="false">IF($H5166=FALSE(),"",COUNTIF($H$6:$H5166,TRUE()))</f>
        <v/>
      </c>
      <c r="J5166" s="5" t="str">
        <f aca="false">IF($I5166="","","R"&amp;$I5166)</f>
        <v/>
      </c>
    </row>
    <row r="5167" customFormat="false" ht="15" hidden="false" customHeight="true" outlineLevel="0" collapsed="false">
      <c r="H5167" s="14" t="b">
        <f aca="false">IF(중복검사!$A5165="",FALSE(),중복검사!$J5165="유지")</f>
        <v>0</v>
      </c>
      <c r="I5167" s="5" t="str">
        <f aca="false">IF($H5167=FALSE(),"",COUNTIF($H$6:$H5167,TRUE()))</f>
        <v/>
      </c>
      <c r="J5167" s="5" t="str">
        <f aca="false">IF($I5167="","","R"&amp;$I5167)</f>
        <v/>
      </c>
    </row>
    <row r="5168" customFormat="false" ht="15" hidden="false" customHeight="true" outlineLevel="0" collapsed="false">
      <c r="H5168" s="14" t="b">
        <f aca="false">IF(중복검사!$A5166="",FALSE(),중복검사!$J5166="유지")</f>
        <v>0</v>
      </c>
      <c r="I5168" s="5" t="str">
        <f aca="false">IF($H5168=FALSE(),"",COUNTIF($H$6:$H5168,TRUE()))</f>
        <v/>
      </c>
      <c r="J5168" s="5" t="str">
        <f aca="false">IF($I5168="","","R"&amp;$I5168)</f>
        <v/>
      </c>
    </row>
    <row r="5169" customFormat="false" ht="15" hidden="false" customHeight="true" outlineLevel="0" collapsed="false">
      <c r="H5169" s="14" t="b">
        <f aca="false">IF(중복검사!$A5167="",FALSE(),중복검사!$J5167="유지")</f>
        <v>0</v>
      </c>
      <c r="I5169" s="5" t="str">
        <f aca="false">IF($H5169=FALSE(),"",COUNTIF($H$6:$H5169,TRUE()))</f>
        <v/>
      </c>
      <c r="J5169" s="5" t="str">
        <f aca="false">IF($I5169="","","R"&amp;$I5169)</f>
        <v/>
      </c>
    </row>
    <row r="5170" customFormat="false" ht="15" hidden="false" customHeight="true" outlineLevel="0" collapsed="false">
      <c r="H5170" s="14" t="b">
        <f aca="false">IF(중복검사!$A5168="",FALSE(),중복검사!$J5168="유지")</f>
        <v>0</v>
      </c>
      <c r="I5170" s="5" t="str">
        <f aca="false">IF($H5170=FALSE(),"",COUNTIF($H$6:$H5170,TRUE()))</f>
        <v/>
      </c>
      <c r="J5170" s="5" t="str">
        <f aca="false">IF($I5170="","","R"&amp;$I5170)</f>
        <v/>
      </c>
    </row>
    <row r="5171" customFormat="false" ht="15" hidden="false" customHeight="true" outlineLevel="0" collapsed="false">
      <c r="H5171" s="14" t="b">
        <f aca="false">IF(중복검사!$A5169="",FALSE(),중복검사!$J5169="유지")</f>
        <v>0</v>
      </c>
      <c r="I5171" s="5" t="str">
        <f aca="false">IF($H5171=FALSE(),"",COUNTIF($H$6:$H5171,TRUE()))</f>
        <v/>
      </c>
      <c r="J5171" s="5" t="str">
        <f aca="false">IF($I5171="","","R"&amp;$I5171)</f>
        <v/>
      </c>
    </row>
    <row r="5172" customFormat="false" ht="15" hidden="false" customHeight="true" outlineLevel="0" collapsed="false">
      <c r="H5172" s="14" t="b">
        <f aca="false">IF(중복검사!$A5170="",FALSE(),중복검사!$J5170="유지")</f>
        <v>0</v>
      </c>
      <c r="I5172" s="5" t="str">
        <f aca="false">IF($H5172=FALSE(),"",COUNTIF($H$6:$H5172,TRUE()))</f>
        <v/>
      </c>
      <c r="J5172" s="5" t="str">
        <f aca="false">IF($I5172="","","R"&amp;$I5172)</f>
        <v/>
      </c>
    </row>
    <row r="5173" customFormat="false" ht="15" hidden="false" customHeight="true" outlineLevel="0" collapsed="false">
      <c r="H5173" s="14" t="b">
        <f aca="false">IF(중복검사!$A5171="",FALSE(),중복검사!$J5171="유지")</f>
        <v>0</v>
      </c>
      <c r="I5173" s="5" t="str">
        <f aca="false">IF($H5173=FALSE(),"",COUNTIF($H$6:$H5173,TRUE()))</f>
        <v/>
      </c>
      <c r="J5173" s="5" t="str">
        <f aca="false">IF($I5173="","","R"&amp;$I5173)</f>
        <v/>
      </c>
    </row>
    <row r="5174" customFormat="false" ht="15" hidden="false" customHeight="true" outlineLevel="0" collapsed="false">
      <c r="H5174" s="14" t="b">
        <f aca="false">IF(중복검사!$A5172="",FALSE(),중복검사!$J5172="유지")</f>
        <v>0</v>
      </c>
      <c r="I5174" s="5" t="str">
        <f aca="false">IF($H5174=FALSE(),"",COUNTIF($H$6:$H5174,TRUE()))</f>
        <v/>
      </c>
      <c r="J5174" s="5" t="str">
        <f aca="false">IF($I5174="","","R"&amp;$I5174)</f>
        <v/>
      </c>
    </row>
    <row r="5175" customFormat="false" ht="15" hidden="false" customHeight="true" outlineLevel="0" collapsed="false">
      <c r="H5175" s="14" t="b">
        <f aca="false">IF(중복검사!$A5173="",FALSE(),중복검사!$J5173="유지")</f>
        <v>0</v>
      </c>
      <c r="I5175" s="5" t="str">
        <f aca="false">IF($H5175=FALSE(),"",COUNTIF($H$6:$H5175,TRUE()))</f>
        <v/>
      </c>
      <c r="J5175" s="5" t="str">
        <f aca="false">IF($I5175="","","R"&amp;$I5175)</f>
        <v/>
      </c>
    </row>
    <row r="5176" customFormat="false" ht="15" hidden="false" customHeight="true" outlineLevel="0" collapsed="false">
      <c r="H5176" s="14" t="b">
        <f aca="false">IF(중복검사!$A5174="",FALSE(),중복검사!$J5174="유지")</f>
        <v>0</v>
      </c>
      <c r="I5176" s="5" t="str">
        <f aca="false">IF($H5176=FALSE(),"",COUNTIF($H$6:$H5176,TRUE()))</f>
        <v/>
      </c>
      <c r="J5176" s="5" t="str">
        <f aca="false">IF($I5176="","","R"&amp;$I5176)</f>
        <v/>
      </c>
    </row>
    <row r="5177" customFormat="false" ht="15" hidden="false" customHeight="true" outlineLevel="0" collapsed="false">
      <c r="H5177" s="14" t="b">
        <f aca="false">IF(중복검사!$A5175="",FALSE(),중복검사!$J5175="유지")</f>
        <v>0</v>
      </c>
      <c r="I5177" s="5" t="str">
        <f aca="false">IF($H5177=FALSE(),"",COUNTIF($H$6:$H5177,TRUE()))</f>
        <v/>
      </c>
      <c r="J5177" s="5" t="str">
        <f aca="false">IF($I5177="","","R"&amp;$I5177)</f>
        <v/>
      </c>
    </row>
    <row r="5178" customFormat="false" ht="15" hidden="false" customHeight="true" outlineLevel="0" collapsed="false">
      <c r="H5178" s="14" t="b">
        <f aca="false">IF(중복검사!$A5176="",FALSE(),중복검사!$J5176="유지")</f>
        <v>0</v>
      </c>
      <c r="I5178" s="5" t="str">
        <f aca="false">IF($H5178=FALSE(),"",COUNTIF($H$6:$H5178,TRUE()))</f>
        <v/>
      </c>
      <c r="J5178" s="5" t="str">
        <f aca="false">IF($I5178="","","R"&amp;$I5178)</f>
        <v/>
      </c>
    </row>
    <row r="5179" customFormat="false" ht="15" hidden="false" customHeight="true" outlineLevel="0" collapsed="false">
      <c r="H5179" s="14" t="b">
        <f aca="false">IF(중복검사!$A5177="",FALSE(),중복검사!$J5177="유지")</f>
        <v>0</v>
      </c>
      <c r="I5179" s="5" t="str">
        <f aca="false">IF($H5179=FALSE(),"",COUNTIF($H$6:$H5179,TRUE()))</f>
        <v/>
      </c>
      <c r="J5179" s="5" t="str">
        <f aca="false">IF($I5179="","","R"&amp;$I5179)</f>
        <v/>
      </c>
    </row>
    <row r="5180" customFormat="false" ht="15" hidden="false" customHeight="true" outlineLevel="0" collapsed="false">
      <c r="H5180" s="14" t="b">
        <f aca="false">IF(중복검사!$A5178="",FALSE(),중복검사!$J5178="유지")</f>
        <v>0</v>
      </c>
      <c r="I5180" s="5" t="str">
        <f aca="false">IF($H5180=FALSE(),"",COUNTIF($H$6:$H5180,TRUE()))</f>
        <v/>
      </c>
      <c r="J5180" s="5" t="str">
        <f aca="false">IF($I5180="","","R"&amp;$I5180)</f>
        <v/>
      </c>
    </row>
    <row r="5181" customFormat="false" ht="15" hidden="false" customHeight="true" outlineLevel="0" collapsed="false">
      <c r="H5181" s="14" t="b">
        <f aca="false">IF(중복검사!$A5179="",FALSE(),중복검사!$J5179="유지")</f>
        <v>0</v>
      </c>
      <c r="I5181" s="5" t="str">
        <f aca="false">IF($H5181=FALSE(),"",COUNTIF($H$6:$H5181,TRUE()))</f>
        <v/>
      </c>
      <c r="J5181" s="5" t="str">
        <f aca="false">IF($I5181="","","R"&amp;$I5181)</f>
        <v/>
      </c>
    </row>
    <row r="5182" customFormat="false" ht="15" hidden="false" customHeight="true" outlineLevel="0" collapsed="false">
      <c r="H5182" s="14" t="b">
        <f aca="false">IF(중복검사!$A5180="",FALSE(),중복검사!$J5180="유지")</f>
        <v>0</v>
      </c>
      <c r="I5182" s="5" t="str">
        <f aca="false">IF($H5182=FALSE(),"",COUNTIF($H$6:$H5182,TRUE()))</f>
        <v/>
      </c>
      <c r="J5182" s="5" t="str">
        <f aca="false">IF($I5182="","","R"&amp;$I5182)</f>
        <v/>
      </c>
    </row>
    <row r="5183" customFormat="false" ht="15" hidden="false" customHeight="true" outlineLevel="0" collapsed="false">
      <c r="H5183" s="14" t="b">
        <f aca="false">IF(중복검사!$A5181="",FALSE(),중복검사!$J5181="유지")</f>
        <v>0</v>
      </c>
      <c r="I5183" s="5" t="str">
        <f aca="false">IF($H5183=FALSE(),"",COUNTIF($H$6:$H5183,TRUE()))</f>
        <v/>
      </c>
      <c r="J5183" s="5" t="str">
        <f aca="false">IF($I5183="","","R"&amp;$I5183)</f>
        <v/>
      </c>
    </row>
    <row r="5184" customFormat="false" ht="15" hidden="false" customHeight="true" outlineLevel="0" collapsed="false">
      <c r="H5184" s="14" t="b">
        <f aca="false">IF(중복검사!$A5182="",FALSE(),중복검사!$J5182="유지")</f>
        <v>0</v>
      </c>
      <c r="I5184" s="5" t="str">
        <f aca="false">IF($H5184=FALSE(),"",COUNTIF($H$6:$H5184,TRUE()))</f>
        <v/>
      </c>
      <c r="J5184" s="5" t="str">
        <f aca="false">IF($I5184="","","R"&amp;$I5184)</f>
        <v/>
      </c>
    </row>
    <row r="5185" customFormat="false" ht="15" hidden="false" customHeight="true" outlineLevel="0" collapsed="false">
      <c r="H5185" s="14" t="b">
        <f aca="false">IF(중복검사!$A5183="",FALSE(),중복검사!$J5183="유지")</f>
        <v>0</v>
      </c>
      <c r="I5185" s="5" t="str">
        <f aca="false">IF($H5185=FALSE(),"",COUNTIF($H$6:$H5185,TRUE()))</f>
        <v/>
      </c>
      <c r="J5185" s="5" t="str">
        <f aca="false">IF($I5185="","","R"&amp;$I5185)</f>
        <v/>
      </c>
    </row>
    <row r="5186" customFormat="false" ht="15" hidden="false" customHeight="true" outlineLevel="0" collapsed="false">
      <c r="H5186" s="14" t="b">
        <f aca="false">IF(중복검사!$A5184="",FALSE(),중복검사!$J5184="유지")</f>
        <v>0</v>
      </c>
      <c r="I5186" s="5" t="str">
        <f aca="false">IF($H5186=FALSE(),"",COUNTIF($H$6:$H5186,TRUE()))</f>
        <v/>
      </c>
      <c r="J5186" s="5" t="str">
        <f aca="false">IF($I5186="","","R"&amp;$I5186)</f>
        <v/>
      </c>
    </row>
    <row r="5187" customFormat="false" ht="15" hidden="false" customHeight="true" outlineLevel="0" collapsed="false">
      <c r="H5187" s="14" t="b">
        <f aca="false">IF(중복검사!$A5185="",FALSE(),중복검사!$J5185="유지")</f>
        <v>0</v>
      </c>
      <c r="I5187" s="5" t="str">
        <f aca="false">IF($H5187=FALSE(),"",COUNTIF($H$6:$H5187,TRUE()))</f>
        <v/>
      </c>
      <c r="J5187" s="5" t="str">
        <f aca="false">IF($I5187="","","R"&amp;$I5187)</f>
        <v/>
      </c>
    </row>
    <row r="5188" customFormat="false" ht="15" hidden="false" customHeight="true" outlineLevel="0" collapsed="false">
      <c r="H5188" s="14" t="b">
        <f aca="false">IF(중복검사!$A5186="",FALSE(),중복검사!$J5186="유지")</f>
        <v>0</v>
      </c>
      <c r="I5188" s="5" t="str">
        <f aca="false">IF($H5188=FALSE(),"",COUNTIF($H$6:$H5188,TRUE()))</f>
        <v/>
      </c>
      <c r="J5188" s="5" t="str">
        <f aca="false">IF($I5188="","","R"&amp;$I5188)</f>
        <v/>
      </c>
    </row>
    <row r="5189" customFormat="false" ht="15" hidden="false" customHeight="true" outlineLevel="0" collapsed="false">
      <c r="H5189" s="14" t="b">
        <f aca="false">IF(중복검사!$A5187="",FALSE(),중복검사!$J5187="유지")</f>
        <v>0</v>
      </c>
      <c r="I5189" s="5" t="str">
        <f aca="false">IF($H5189=FALSE(),"",COUNTIF($H$6:$H5189,TRUE()))</f>
        <v/>
      </c>
      <c r="J5189" s="5" t="str">
        <f aca="false">IF($I5189="","","R"&amp;$I5189)</f>
        <v/>
      </c>
    </row>
    <row r="5190" customFormat="false" ht="15" hidden="false" customHeight="true" outlineLevel="0" collapsed="false">
      <c r="H5190" s="14" t="b">
        <f aca="false">IF(중복검사!$A5188="",FALSE(),중복검사!$J5188="유지")</f>
        <v>0</v>
      </c>
      <c r="I5190" s="5" t="str">
        <f aca="false">IF($H5190=FALSE(),"",COUNTIF($H$6:$H5190,TRUE()))</f>
        <v/>
      </c>
      <c r="J5190" s="5" t="str">
        <f aca="false">IF($I5190="","","R"&amp;$I5190)</f>
        <v/>
      </c>
    </row>
    <row r="5191" customFormat="false" ht="15" hidden="false" customHeight="true" outlineLevel="0" collapsed="false">
      <c r="H5191" s="14" t="b">
        <f aca="false">IF(중복검사!$A5189="",FALSE(),중복검사!$J5189="유지")</f>
        <v>0</v>
      </c>
      <c r="I5191" s="5" t="str">
        <f aca="false">IF($H5191=FALSE(),"",COUNTIF($H$6:$H5191,TRUE()))</f>
        <v/>
      </c>
      <c r="J5191" s="5" t="str">
        <f aca="false">IF($I5191="","","R"&amp;$I5191)</f>
        <v/>
      </c>
    </row>
    <row r="5192" customFormat="false" ht="15" hidden="false" customHeight="true" outlineLevel="0" collapsed="false">
      <c r="H5192" s="14" t="b">
        <f aca="false">IF(중복검사!$A5190="",FALSE(),중복검사!$J5190="유지")</f>
        <v>0</v>
      </c>
      <c r="I5192" s="5" t="str">
        <f aca="false">IF($H5192=FALSE(),"",COUNTIF($H$6:$H5192,TRUE()))</f>
        <v/>
      </c>
      <c r="J5192" s="5" t="str">
        <f aca="false">IF($I5192="","","R"&amp;$I5192)</f>
        <v/>
      </c>
    </row>
    <row r="5193" customFormat="false" ht="15" hidden="false" customHeight="true" outlineLevel="0" collapsed="false">
      <c r="H5193" s="14" t="b">
        <f aca="false">IF(중복검사!$A5191="",FALSE(),중복검사!$J5191="유지")</f>
        <v>0</v>
      </c>
      <c r="I5193" s="5" t="str">
        <f aca="false">IF($H5193=FALSE(),"",COUNTIF($H$6:$H5193,TRUE()))</f>
        <v/>
      </c>
      <c r="J5193" s="5" t="str">
        <f aca="false">IF($I5193="","","R"&amp;$I5193)</f>
        <v/>
      </c>
    </row>
    <row r="5194" customFormat="false" ht="15" hidden="false" customHeight="true" outlineLevel="0" collapsed="false">
      <c r="H5194" s="14" t="b">
        <f aca="false">IF(중복검사!$A5192="",FALSE(),중복검사!$J5192="유지")</f>
        <v>0</v>
      </c>
      <c r="I5194" s="5" t="str">
        <f aca="false">IF($H5194=FALSE(),"",COUNTIF($H$6:$H5194,TRUE()))</f>
        <v/>
      </c>
      <c r="J5194" s="5" t="str">
        <f aca="false">IF($I5194="","","R"&amp;$I5194)</f>
        <v/>
      </c>
    </row>
    <row r="5195" customFormat="false" ht="15" hidden="false" customHeight="true" outlineLevel="0" collapsed="false">
      <c r="H5195" s="14" t="b">
        <f aca="false">IF(중복검사!$A5193="",FALSE(),중복검사!$J5193="유지")</f>
        <v>0</v>
      </c>
      <c r="I5195" s="5" t="str">
        <f aca="false">IF($H5195=FALSE(),"",COUNTIF($H$6:$H5195,TRUE()))</f>
        <v/>
      </c>
      <c r="J5195" s="5" t="str">
        <f aca="false">IF($I5195="","","R"&amp;$I5195)</f>
        <v/>
      </c>
    </row>
    <row r="5196" customFormat="false" ht="15" hidden="false" customHeight="true" outlineLevel="0" collapsed="false">
      <c r="H5196" s="14" t="b">
        <f aca="false">IF(중복검사!$A5194="",FALSE(),중복검사!$J5194="유지")</f>
        <v>0</v>
      </c>
      <c r="I5196" s="5" t="str">
        <f aca="false">IF($H5196=FALSE(),"",COUNTIF($H$6:$H5196,TRUE()))</f>
        <v/>
      </c>
      <c r="J5196" s="5" t="str">
        <f aca="false">IF($I5196="","","R"&amp;$I5196)</f>
        <v/>
      </c>
    </row>
    <row r="5197" customFormat="false" ht="15" hidden="false" customHeight="true" outlineLevel="0" collapsed="false">
      <c r="H5197" s="14" t="b">
        <f aca="false">IF(중복검사!$A5195="",FALSE(),중복검사!$J5195="유지")</f>
        <v>0</v>
      </c>
      <c r="I5197" s="5" t="str">
        <f aca="false">IF($H5197=FALSE(),"",COUNTIF($H$6:$H5197,TRUE()))</f>
        <v/>
      </c>
      <c r="J5197" s="5" t="str">
        <f aca="false">IF($I5197="","","R"&amp;$I5197)</f>
        <v/>
      </c>
    </row>
    <row r="5198" customFormat="false" ht="15" hidden="false" customHeight="true" outlineLevel="0" collapsed="false">
      <c r="H5198" s="14" t="b">
        <f aca="false">IF(중복검사!$A5196="",FALSE(),중복검사!$J5196="유지")</f>
        <v>0</v>
      </c>
      <c r="I5198" s="5" t="str">
        <f aca="false">IF($H5198=FALSE(),"",COUNTIF($H$6:$H5198,TRUE()))</f>
        <v/>
      </c>
      <c r="J5198" s="5" t="str">
        <f aca="false">IF($I5198="","","R"&amp;$I5198)</f>
        <v/>
      </c>
    </row>
    <row r="5199" customFormat="false" ht="15" hidden="false" customHeight="true" outlineLevel="0" collapsed="false">
      <c r="H5199" s="14" t="b">
        <f aca="false">IF(중복검사!$A5197="",FALSE(),중복검사!$J5197="유지")</f>
        <v>0</v>
      </c>
      <c r="I5199" s="5" t="str">
        <f aca="false">IF($H5199=FALSE(),"",COUNTIF($H$6:$H5199,TRUE()))</f>
        <v/>
      </c>
      <c r="J5199" s="5" t="str">
        <f aca="false">IF($I5199="","","R"&amp;$I5199)</f>
        <v/>
      </c>
    </row>
    <row r="5200" customFormat="false" ht="15" hidden="false" customHeight="true" outlineLevel="0" collapsed="false">
      <c r="H5200" s="14" t="b">
        <f aca="false">IF(중복검사!$A5198="",FALSE(),중복검사!$J5198="유지")</f>
        <v>0</v>
      </c>
      <c r="I5200" s="5" t="str">
        <f aca="false">IF($H5200=FALSE(),"",COUNTIF($H$6:$H5200,TRUE()))</f>
        <v/>
      </c>
      <c r="J5200" s="5" t="str">
        <f aca="false">IF($I5200="","","R"&amp;$I5200)</f>
        <v/>
      </c>
    </row>
    <row r="5201" customFormat="false" ht="15" hidden="false" customHeight="true" outlineLevel="0" collapsed="false">
      <c r="H5201" s="14" t="b">
        <f aca="false">IF(중복검사!$A5199="",FALSE(),중복검사!$J5199="유지")</f>
        <v>0</v>
      </c>
      <c r="I5201" s="5" t="str">
        <f aca="false">IF($H5201=FALSE(),"",COUNTIF($H$6:$H5201,TRUE()))</f>
        <v/>
      </c>
      <c r="J5201" s="5" t="str">
        <f aca="false">IF($I5201="","","R"&amp;$I5201)</f>
        <v/>
      </c>
    </row>
    <row r="5202" customFormat="false" ht="15" hidden="false" customHeight="true" outlineLevel="0" collapsed="false">
      <c r="H5202" s="14" t="b">
        <f aca="false">IF(중복검사!$A5200="",FALSE(),중복검사!$J5200="유지")</f>
        <v>0</v>
      </c>
      <c r="I5202" s="5" t="str">
        <f aca="false">IF($H5202=FALSE(),"",COUNTIF($H$6:$H5202,TRUE()))</f>
        <v/>
      </c>
      <c r="J5202" s="5" t="str">
        <f aca="false">IF($I5202="","","R"&amp;$I5202)</f>
        <v/>
      </c>
    </row>
    <row r="5203" customFormat="false" ht="15" hidden="false" customHeight="true" outlineLevel="0" collapsed="false">
      <c r="H5203" s="14" t="b">
        <f aca="false">IF(중복검사!$A5201="",FALSE(),중복검사!$J5201="유지")</f>
        <v>0</v>
      </c>
      <c r="I5203" s="5" t="str">
        <f aca="false">IF($H5203=FALSE(),"",COUNTIF($H$6:$H5203,TRUE()))</f>
        <v/>
      </c>
      <c r="J5203" s="5" t="str">
        <f aca="false">IF($I5203="","","R"&amp;$I5203)</f>
        <v/>
      </c>
    </row>
    <row r="5204" customFormat="false" ht="15" hidden="false" customHeight="true" outlineLevel="0" collapsed="false">
      <c r="H5204" s="14" t="b">
        <f aca="false">IF(중복검사!$A5202="",FALSE(),중복검사!$J5202="유지")</f>
        <v>0</v>
      </c>
      <c r="I5204" s="5" t="str">
        <f aca="false">IF($H5204=FALSE(),"",COUNTIF($H$6:$H5204,TRUE()))</f>
        <v/>
      </c>
      <c r="J5204" s="5" t="str">
        <f aca="false">IF($I5204="","","R"&amp;$I5204)</f>
        <v/>
      </c>
    </row>
    <row r="5205" customFormat="false" ht="15" hidden="false" customHeight="true" outlineLevel="0" collapsed="false">
      <c r="H5205" s="14" t="b">
        <f aca="false">IF(중복검사!$A5203="",FALSE(),중복검사!$J5203="유지")</f>
        <v>0</v>
      </c>
      <c r="I5205" s="5" t="str">
        <f aca="false">IF($H5205=FALSE(),"",COUNTIF($H$6:$H5205,TRUE()))</f>
        <v/>
      </c>
      <c r="J5205" s="5" t="str">
        <f aca="false">IF($I5205="","","R"&amp;$I5205)</f>
        <v/>
      </c>
    </row>
    <row r="5206" customFormat="false" ht="15" hidden="false" customHeight="true" outlineLevel="0" collapsed="false">
      <c r="H5206" s="14" t="b">
        <f aca="false">IF(중복검사!$A5204="",FALSE(),중복검사!$J5204="유지")</f>
        <v>0</v>
      </c>
      <c r="I5206" s="5" t="str">
        <f aca="false">IF($H5206=FALSE(),"",COUNTIF($H$6:$H5206,TRUE()))</f>
        <v/>
      </c>
      <c r="J5206" s="5" t="str">
        <f aca="false">IF($I5206="","","R"&amp;$I5206)</f>
        <v/>
      </c>
    </row>
    <row r="5207" customFormat="false" ht="15" hidden="false" customHeight="true" outlineLevel="0" collapsed="false">
      <c r="H5207" s="14" t="b">
        <f aca="false">IF(중복검사!$A5205="",FALSE(),중복검사!$J5205="유지")</f>
        <v>0</v>
      </c>
      <c r="I5207" s="5" t="str">
        <f aca="false">IF($H5207=FALSE(),"",COUNTIF($H$6:$H5207,TRUE()))</f>
        <v/>
      </c>
      <c r="J5207" s="5" t="str">
        <f aca="false">IF($I5207="","","R"&amp;$I5207)</f>
        <v/>
      </c>
    </row>
    <row r="5208" customFormat="false" ht="15" hidden="false" customHeight="true" outlineLevel="0" collapsed="false">
      <c r="H5208" s="14" t="b">
        <f aca="false">IF(중복검사!$A5206="",FALSE(),중복검사!$J5206="유지")</f>
        <v>0</v>
      </c>
      <c r="I5208" s="5" t="str">
        <f aca="false">IF($H5208=FALSE(),"",COUNTIF($H$6:$H5208,TRUE()))</f>
        <v/>
      </c>
      <c r="J5208" s="5" t="str">
        <f aca="false">IF($I5208="","","R"&amp;$I5208)</f>
        <v/>
      </c>
    </row>
    <row r="5209" customFormat="false" ht="15" hidden="false" customHeight="true" outlineLevel="0" collapsed="false">
      <c r="H5209" s="14" t="b">
        <f aca="false">IF(중복검사!$A5207="",FALSE(),중복검사!$J5207="유지")</f>
        <v>0</v>
      </c>
      <c r="I5209" s="5" t="str">
        <f aca="false">IF($H5209=FALSE(),"",COUNTIF($H$6:$H5209,TRUE()))</f>
        <v/>
      </c>
      <c r="J5209" s="5" t="str">
        <f aca="false">IF($I5209="","","R"&amp;$I5209)</f>
        <v/>
      </c>
    </row>
    <row r="5210" customFormat="false" ht="15" hidden="false" customHeight="true" outlineLevel="0" collapsed="false">
      <c r="H5210" s="14" t="b">
        <f aca="false">IF(중복검사!$A5208="",FALSE(),중복검사!$J5208="유지")</f>
        <v>0</v>
      </c>
      <c r="I5210" s="5" t="str">
        <f aca="false">IF($H5210=FALSE(),"",COUNTIF($H$6:$H5210,TRUE()))</f>
        <v/>
      </c>
      <c r="J5210" s="5" t="str">
        <f aca="false">IF($I5210="","","R"&amp;$I5210)</f>
        <v/>
      </c>
    </row>
    <row r="5211" customFormat="false" ht="15" hidden="false" customHeight="true" outlineLevel="0" collapsed="false">
      <c r="H5211" s="14" t="b">
        <f aca="false">IF(중복검사!$A5209="",FALSE(),중복검사!$J5209="유지")</f>
        <v>0</v>
      </c>
      <c r="I5211" s="5" t="str">
        <f aca="false">IF($H5211=FALSE(),"",COUNTIF($H$6:$H5211,TRUE()))</f>
        <v/>
      </c>
      <c r="J5211" s="5" t="str">
        <f aca="false">IF($I5211="","","R"&amp;$I5211)</f>
        <v/>
      </c>
    </row>
    <row r="5212" customFormat="false" ht="15" hidden="false" customHeight="true" outlineLevel="0" collapsed="false">
      <c r="H5212" s="14" t="b">
        <f aca="false">IF(중복검사!$A5210="",FALSE(),중복검사!$J5210="유지")</f>
        <v>0</v>
      </c>
      <c r="I5212" s="5" t="str">
        <f aca="false">IF($H5212=FALSE(),"",COUNTIF($H$6:$H5212,TRUE()))</f>
        <v/>
      </c>
      <c r="J5212" s="5" t="str">
        <f aca="false">IF($I5212="","","R"&amp;$I5212)</f>
        <v/>
      </c>
    </row>
    <row r="5213" customFormat="false" ht="15" hidden="false" customHeight="true" outlineLevel="0" collapsed="false">
      <c r="H5213" s="14" t="b">
        <f aca="false">IF(중복검사!$A5211="",FALSE(),중복검사!$J5211="유지")</f>
        <v>0</v>
      </c>
      <c r="I5213" s="5" t="str">
        <f aca="false">IF($H5213=FALSE(),"",COUNTIF($H$6:$H5213,TRUE()))</f>
        <v/>
      </c>
      <c r="J5213" s="5" t="str">
        <f aca="false">IF($I5213="","","R"&amp;$I5213)</f>
        <v/>
      </c>
    </row>
    <row r="5214" customFormat="false" ht="15" hidden="false" customHeight="true" outlineLevel="0" collapsed="false">
      <c r="H5214" s="14" t="b">
        <f aca="false">IF(중복검사!$A5212="",FALSE(),중복검사!$J5212="유지")</f>
        <v>0</v>
      </c>
      <c r="I5214" s="5" t="str">
        <f aca="false">IF($H5214=FALSE(),"",COUNTIF($H$6:$H5214,TRUE()))</f>
        <v/>
      </c>
      <c r="J5214" s="5" t="str">
        <f aca="false">IF($I5214="","","R"&amp;$I5214)</f>
        <v/>
      </c>
    </row>
    <row r="5215" customFormat="false" ht="15" hidden="false" customHeight="true" outlineLevel="0" collapsed="false">
      <c r="H5215" s="14" t="b">
        <f aca="false">IF(중복검사!$A5213="",FALSE(),중복검사!$J5213="유지")</f>
        <v>0</v>
      </c>
      <c r="I5215" s="5" t="str">
        <f aca="false">IF($H5215=FALSE(),"",COUNTIF($H$6:$H5215,TRUE()))</f>
        <v/>
      </c>
      <c r="J5215" s="5" t="str">
        <f aca="false">IF($I5215="","","R"&amp;$I5215)</f>
        <v/>
      </c>
    </row>
    <row r="5216" customFormat="false" ht="15" hidden="false" customHeight="true" outlineLevel="0" collapsed="false">
      <c r="H5216" s="14" t="b">
        <f aca="false">IF(중복검사!$A5214="",FALSE(),중복검사!$J5214="유지")</f>
        <v>0</v>
      </c>
      <c r="I5216" s="5" t="str">
        <f aca="false">IF($H5216=FALSE(),"",COUNTIF($H$6:$H5216,TRUE()))</f>
        <v/>
      </c>
      <c r="J5216" s="5" t="str">
        <f aca="false">IF($I5216="","","R"&amp;$I5216)</f>
        <v/>
      </c>
    </row>
    <row r="5217" customFormat="false" ht="15" hidden="false" customHeight="true" outlineLevel="0" collapsed="false">
      <c r="H5217" s="14" t="b">
        <f aca="false">IF(중복검사!$A5215="",FALSE(),중복검사!$J5215="유지")</f>
        <v>0</v>
      </c>
      <c r="I5217" s="5" t="str">
        <f aca="false">IF($H5217=FALSE(),"",COUNTIF($H$6:$H5217,TRUE()))</f>
        <v/>
      </c>
      <c r="J5217" s="5" t="str">
        <f aca="false">IF($I5217="","","R"&amp;$I5217)</f>
        <v/>
      </c>
    </row>
    <row r="5218" customFormat="false" ht="15" hidden="false" customHeight="true" outlineLevel="0" collapsed="false">
      <c r="H5218" s="14" t="b">
        <f aca="false">IF(중복검사!$A5216="",FALSE(),중복검사!$J5216="유지")</f>
        <v>0</v>
      </c>
      <c r="I5218" s="5" t="str">
        <f aca="false">IF($H5218=FALSE(),"",COUNTIF($H$6:$H5218,TRUE()))</f>
        <v/>
      </c>
      <c r="J5218" s="5" t="str">
        <f aca="false">IF($I5218="","","R"&amp;$I5218)</f>
        <v/>
      </c>
    </row>
    <row r="5219" customFormat="false" ht="15" hidden="false" customHeight="true" outlineLevel="0" collapsed="false">
      <c r="H5219" s="14" t="b">
        <f aca="false">IF(중복검사!$A5217="",FALSE(),중복검사!$J5217="유지")</f>
        <v>0</v>
      </c>
      <c r="I5219" s="5" t="str">
        <f aca="false">IF($H5219=FALSE(),"",COUNTIF($H$6:$H5219,TRUE()))</f>
        <v/>
      </c>
      <c r="J5219" s="5" t="str">
        <f aca="false">IF($I5219="","","R"&amp;$I5219)</f>
        <v/>
      </c>
    </row>
    <row r="5220" customFormat="false" ht="15" hidden="false" customHeight="true" outlineLevel="0" collapsed="false">
      <c r="H5220" s="14" t="b">
        <f aca="false">IF(중복검사!$A5218="",FALSE(),중복검사!$J5218="유지")</f>
        <v>0</v>
      </c>
      <c r="I5220" s="5" t="str">
        <f aca="false">IF($H5220=FALSE(),"",COUNTIF($H$6:$H5220,TRUE()))</f>
        <v/>
      </c>
      <c r="J5220" s="5" t="str">
        <f aca="false">IF($I5220="","","R"&amp;$I5220)</f>
        <v/>
      </c>
    </row>
    <row r="5221" customFormat="false" ht="15" hidden="false" customHeight="true" outlineLevel="0" collapsed="false">
      <c r="H5221" s="14" t="b">
        <f aca="false">IF(중복검사!$A5219="",FALSE(),중복검사!$J5219="유지")</f>
        <v>0</v>
      </c>
      <c r="I5221" s="5" t="str">
        <f aca="false">IF($H5221=FALSE(),"",COUNTIF($H$6:$H5221,TRUE()))</f>
        <v/>
      </c>
      <c r="J5221" s="5" t="str">
        <f aca="false">IF($I5221="","","R"&amp;$I5221)</f>
        <v/>
      </c>
    </row>
    <row r="5222" customFormat="false" ht="15" hidden="false" customHeight="true" outlineLevel="0" collapsed="false">
      <c r="H5222" s="14" t="b">
        <f aca="false">IF(중복검사!$A5220="",FALSE(),중복검사!$J5220="유지")</f>
        <v>0</v>
      </c>
      <c r="I5222" s="5" t="str">
        <f aca="false">IF($H5222=FALSE(),"",COUNTIF($H$6:$H5222,TRUE()))</f>
        <v/>
      </c>
      <c r="J5222" s="5" t="str">
        <f aca="false">IF($I5222="","","R"&amp;$I5222)</f>
        <v/>
      </c>
    </row>
    <row r="5223" customFormat="false" ht="15" hidden="false" customHeight="true" outlineLevel="0" collapsed="false">
      <c r="H5223" s="14" t="b">
        <f aca="false">IF(중복검사!$A5221="",FALSE(),중복검사!$J5221="유지")</f>
        <v>0</v>
      </c>
      <c r="I5223" s="5" t="str">
        <f aca="false">IF($H5223=FALSE(),"",COUNTIF($H$6:$H5223,TRUE()))</f>
        <v/>
      </c>
      <c r="J5223" s="5" t="str">
        <f aca="false">IF($I5223="","","R"&amp;$I5223)</f>
        <v/>
      </c>
    </row>
    <row r="5224" customFormat="false" ht="15" hidden="false" customHeight="true" outlineLevel="0" collapsed="false">
      <c r="H5224" s="14" t="b">
        <f aca="false">IF(중복검사!$A5222="",FALSE(),중복검사!$J5222="유지")</f>
        <v>0</v>
      </c>
      <c r="I5224" s="5" t="str">
        <f aca="false">IF($H5224=FALSE(),"",COUNTIF($H$6:$H5224,TRUE()))</f>
        <v/>
      </c>
      <c r="J5224" s="5" t="str">
        <f aca="false">IF($I5224="","","R"&amp;$I5224)</f>
        <v/>
      </c>
    </row>
    <row r="5225" customFormat="false" ht="15" hidden="false" customHeight="true" outlineLevel="0" collapsed="false">
      <c r="H5225" s="14" t="b">
        <f aca="false">IF(중복검사!$A5223="",FALSE(),중복검사!$J5223="유지")</f>
        <v>0</v>
      </c>
      <c r="I5225" s="5" t="str">
        <f aca="false">IF($H5225=FALSE(),"",COUNTIF($H$6:$H5225,TRUE()))</f>
        <v/>
      </c>
      <c r="J5225" s="5" t="str">
        <f aca="false">IF($I5225="","","R"&amp;$I5225)</f>
        <v/>
      </c>
    </row>
    <row r="5226" customFormat="false" ht="15" hidden="false" customHeight="true" outlineLevel="0" collapsed="false">
      <c r="H5226" s="14" t="b">
        <f aca="false">IF(중복검사!$A5224="",FALSE(),중복검사!$J5224="유지")</f>
        <v>0</v>
      </c>
      <c r="I5226" s="5" t="str">
        <f aca="false">IF($H5226=FALSE(),"",COUNTIF($H$6:$H5226,TRUE()))</f>
        <v/>
      </c>
      <c r="J5226" s="5" t="str">
        <f aca="false">IF($I5226="","","R"&amp;$I5226)</f>
        <v/>
      </c>
    </row>
    <row r="5227" customFormat="false" ht="15" hidden="false" customHeight="true" outlineLevel="0" collapsed="false">
      <c r="H5227" s="14" t="b">
        <f aca="false">IF(중복검사!$A5225="",FALSE(),중복검사!$J5225="유지")</f>
        <v>0</v>
      </c>
      <c r="I5227" s="5" t="str">
        <f aca="false">IF($H5227=FALSE(),"",COUNTIF($H$6:$H5227,TRUE()))</f>
        <v/>
      </c>
      <c r="J5227" s="5" t="str">
        <f aca="false">IF($I5227="","","R"&amp;$I5227)</f>
        <v/>
      </c>
    </row>
    <row r="5228" customFormat="false" ht="15" hidden="false" customHeight="true" outlineLevel="0" collapsed="false">
      <c r="H5228" s="14" t="b">
        <f aca="false">IF(중복검사!$A5226="",FALSE(),중복검사!$J5226="유지")</f>
        <v>0</v>
      </c>
      <c r="I5228" s="5" t="str">
        <f aca="false">IF($H5228=FALSE(),"",COUNTIF($H$6:$H5228,TRUE()))</f>
        <v/>
      </c>
      <c r="J5228" s="5" t="str">
        <f aca="false">IF($I5228="","","R"&amp;$I5228)</f>
        <v/>
      </c>
    </row>
    <row r="5229" customFormat="false" ht="15" hidden="false" customHeight="true" outlineLevel="0" collapsed="false">
      <c r="H5229" s="14" t="b">
        <f aca="false">IF(중복검사!$A5227="",FALSE(),중복검사!$J5227="유지")</f>
        <v>0</v>
      </c>
      <c r="I5229" s="5" t="str">
        <f aca="false">IF($H5229=FALSE(),"",COUNTIF($H$6:$H5229,TRUE()))</f>
        <v/>
      </c>
      <c r="J5229" s="5" t="str">
        <f aca="false">IF($I5229="","","R"&amp;$I5229)</f>
        <v/>
      </c>
    </row>
    <row r="5230" customFormat="false" ht="15" hidden="false" customHeight="true" outlineLevel="0" collapsed="false">
      <c r="H5230" s="14" t="b">
        <f aca="false">IF(중복검사!$A5228="",FALSE(),중복검사!$J5228="유지")</f>
        <v>0</v>
      </c>
      <c r="I5230" s="5" t="str">
        <f aca="false">IF($H5230=FALSE(),"",COUNTIF($H$6:$H5230,TRUE()))</f>
        <v/>
      </c>
      <c r="J5230" s="5" t="str">
        <f aca="false">IF($I5230="","","R"&amp;$I5230)</f>
        <v/>
      </c>
    </row>
    <row r="5231" customFormat="false" ht="15" hidden="false" customHeight="true" outlineLevel="0" collapsed="false">
      <c r="H5231" s="14" t="b">
        <f aca="false">IF(중복검사!$A5229="",FALSE(),중복검사!$J5229="유지")</f>
        <v>0</v>
      </c>
      <c r="I5231" s="5" t="str">
        <f aca="false">IF($H5231=FALSE(),"",COUNTIF($H$6:$H5231,TRUE()))</f>
        <v/>
      </c>
      <c r="J5231" s="5" t="str">
        <f aca="false">IF($I5231="","","R"&amp;$I5231)</f>
        <v/>
      </c>
    </row>
    <row r="5232" customFormat="false" ht="15" hidden="false" customHeight="true" outlineLevel="0" collapsed="false">
      <c r="H5232" s="14" t="b">
        <f aca="false">IF(중복검사!$A5230="",FALSE(),중복검사!$J5230="유지")</f>
        <v>0</v>
      </c>
      <c r="I5232" s="5" t="str">
        <f aca="false">IF($H5232=FALSE(),"",COUNTIF($H$6:$H5232,TRUE()))</f>
        <v/>
      </c>
      <c r="J5232" s="5" t="str">
        <f aca="false">IF($I5232="","","R"&amp;$I5232)</f>
        <v/>
      </c>
    </row>
    <row r="5233" customFormat="false" ht="15" hidden="false" customHeight="true" outlineLevel="0" collapsed="false">
      <c r="H5233" s="14" t="b">
        <f aca="false">IF(중복검사!$A5231="",FALSE(),중복검사!$J5231="유지")</f>
        <v>0</v>
      </c>
      <c r="I5233" s="5" t="str">
        <f aca="false">IF($H5233=FALSE(),"",COUNTIF($H$6:$H5233,TRUE()))</f>
        <v/>
      </c>
      <c r="J5233" s="5" t="str">
        <f aca="false">IF($I5233="","","R"&amp;$I5233)</f>
        <v/>
      </c>
    </row>
    <row r="5234" customFormat="false" ht="15" hidden="false" customHeight="true" outlineLevel="0" collapsed="false">
      <c r="H5234" s="14" t="b">
        <f aca="false">IF(중복검사!$A5232="",FALSE(),중복검사!$J5232="유지")</f>
        <v>0</v>
      </c>
      <c r="I5234" s="5" t="str">
        <f aca="false">IF($H5234=FALSE(),"",COUNTIF($H$6:$H5234,TRUE()))</f>
        <v/>
      </c>
      <c r="J5234" s="5" t="str">
        <f aca="false">IF($I5234="","","R"&amp;$I5234)</f>
        <v/>
      </c>
    </row>
    <row r="5235" customFormat="false" ht="15" hidden="false" customHeight="true" outlineLevel="0" collapsed="false">
      <c r="H5235" s="14" t="b">
        <f aca="false">IF(중복검사!$A5233="",FALSE(),중복검사!$J5233="유지")</f>
        <v>0</v>
      </c>
      <c r="I5235" s="5" t="str">
        <f aca="false">IF($H5235=FALSE(),"",COUNTIF($H$6:$H5235,TRUE()))</f>
        <v/>
      </c>
      <c r="J5235" s="5" t="str">
        <f aca="false">IF($I5235="","","R"&amp;$I5235)</f>
        <v/>
      </c>
    </row>
    <row r="5236" customFormat="false" ht="15" hidden="false" customHeight="true" outlineLevel="0" collapsed="false">
      <c r="H5236" s="14" t="b">
        <f aca="false">IF(중복검사!$A5234="",FALSE(),중복검사!$J5234="유지")</f>
        <v>0</v>
      </c>
      <c r="I5236" s="5" t="str">
        <f aca="false">IF($H5236=FALSE(),"",COUNTIF($H$6:$H5236,TRUE()))</f>
        <v/>
      </c>
      <c r="J5236" s="5" t="str">
        <f aca="false">IF($I5236="","","R"&amp;$I5236)</f>
        <v/>
      </c>
    </row>
    <row r="5237" customFormat="false" ht="15" hidden="false" customHeight="true" outlineLevel="0" collapsed="false">
      <c r="H5237" s="14" t="b">
        <f aca="false">IF(중복검사!$A5235="",FALSE(),중복검사!$J5235="유지")</f>
        <v>0</v>
      </c>
      <c r="I5237" s="5" t="str">
        <f aca="false">IF($H5237=FALSE(),"",COUNTIF($H$6:$H5237,TRUE()))</f>
        <v/>
      </c>
      <c r="J5237" s="5" t="str">
        <f aca="false">IF($I5237="","","R"&amp;$I5237)</f>
        <v/>
      </c>
    </row>
    <row r="5238" customFormat="false" ht="15" hidden="false" customHeight="true" outlineLevel="0" collapsed="false">
      <c r="H5238" s="14" t="b">
        <f aca="false">IF(중복검사!$A5236="",FALSE(),중복검사!$J5236="유지")</f>
        <v>0</v>
      </c>
      <c r="I5238" s="5" t="str">
        <f aca="false">IF($H5238=FALSE(),"",COUNTIF($H$6:$H5238,TRUE()))</f>
        <v/>
      </c>
      <c r="J5238" s="5" t="str">
        <f aca="false">IF($I5238="","","R"&amp;$I5238)</f>
        <v/>
      </c>
    </row>
    <row r="5239" customFormat="false" ht="15" hidden="false" customHeight="true" outlineLevel="0" collapsed="false">
      <c r="H5239" s="14" t="b">
        <f aca="false">IF(중복검사!$A5237="",FALSE(),중복검사!$J5237="유지")</f>
        <v>0</v>
      </c>
      <c r="I5239" s="5" t="str">
        <f aca="false">IF($H5239=FALSE(),"",COUNTIF($H$6:$H5239,TRUE()))</f>
        <v/>
      </c>
      <c r="J5239" s="5" t="str">
        <f aca="false">IF($I5239="","","R"&amp;$I5239)</f>
        <v/>
      </c>
    </row>
    <row r="5240" customFormat="false" ht="15" hidden="false" customHeight="true" outlineLevel="0" collapsed="false">
      <c r="H5240" s="14" t="b">
        <f aca="false">IF(중복검사!$A5238="",FALSE(),중복검사!$J5238="유지")</f>
        <v>0</v>
      </c>
      <c r="I5240" s="5" t="str">
        <f aca="false">IF($H5240=FALSE(),"",COUNTIF($H$6:$H5240,TRUE()))</f>
        <v/>
      </c>
      <c r="J5240" s="5" t="str">
        <f aca="false">IF($I5240="","","R"&amp;$I5240)</f>
        <v/>
      </c>
    </row>
    <row r="5241" customFormat="false" ht="15" hidden="false" customHeight="true" outlineLevel="0" collapsed="false">
      <c r="H5241" s="14" t="b">
        <f aca="false">IF(중복검사!$A5239="",FALSE(),중복검사!$J5239="유지")</f>
        <v>0</v>
      </c>
      <c r="I5241" s="5" t="str">
        <f aca="false">IF($H5241=FALSE(),"",COUNTIF($H$6:$H5241,TRUE()))</f>
        <v/>
      </c>
      <c r="J5241" s="5" t="str">
        <f aca="false">IF($I5241="","","R"&amp;$I5241)</f>
        <v/>
      </c>
    </row>
    <row r="5242" customFormat="false" ht="15" hidden="false" customHeight="true" outlineLevel="0" collapsed="false">
      <c r="H5242" s="14" t="b">
        <f aca="false">IF(중복검사!$A5240="",FALSE(),중복검사!$J5240="유지")</f>
        <v>0</v>
      </c>
      <c r="I5242" s="5" t="str">
        <f aca="false">IF($H5242=FALSE(),"",COUNTIF($H$6:$H5242,TRUE()))</f>
        <v/>
      </c>
      <c r="J5242" s="5" t="str">
        <f aca="false">IF($I5242="","","R"&amp;$I5242)</f>
        <v/>
      </c>
    </row>
    <row r="5243" customFormat="false" ht="15" hidden="false" customHeight="true" outlineLevel="0" collapsed="false">
      <c r="H5243" s="14" t="b">
        <f aca="false">IF(중복검사!$A5241="",FALSE(),중복검사!$J5241="유지")</f>
        <v>0</v>
      </c>
      <c r="I5243" s="5" t="str">
        <f aca="false">IF($H5243=FALSE(),"",COUNTIF($H$6:$H5243,TRUE()))</f>
        <v/>
      </c>
      <c r="J5243" s="5" t="str">
        <f aca="false">IF($I5243="","","R"&amp;$I5243)</f>
        <v/>
      </c>
    </row>
    <row r="5244" customFormat="false" ht="15" hidden="false" customHeight="true" outlineLevel="0" collapsed="false">
      <c r="H5244" s="14" t="b">
        <f aca="false">IF(중복검사!$A5242="",FALSE(),중복검사!$J5242="유지")</f>
        <v>0</v>
      </c>
      <c r="I5244" s="5" t="str">
        <f aca="false">IF($H5244=FALSE(),"",COUNTIF($H$6:$H5244,TRUE()))</f>
        <v/>
      </c>
      <c r="J5244" s="5" t="str">
        <f aca="false">IF($I5244="","","R"&amp;$I5244)</f>
        <v/>
      </c>
    </row>
    <row r="5245" customFormat="false" ht="15" hidden="false" customHeight="true" outlineLevel="0" collapsed="false">
      <c r="H5245" s="14" t="b">
        <f aca="false">IF(중복검사!$A5243="",FALSE(),중복검사!$J5243="유지")</f>
        <v>0</v>
      </c>
      <c r="I5245" s="5" t="str">
        <f aca="false">IF($H5245=FALSE(),"",COUNTIF($H$6:$H5245,TRUE()))</f>
        <v/>
      </c>
      <c r="J5245" s="5" t="str">
        <f aca="false">IF($I5245="","","R"&amp;$I5245)</f>
        <v/>
      </c>
    </row>
    <row r="5246" customFormat="false" ht="15" hidden="false" customHeight="true" outlineLevel="0" collapsed="false">
      <c r="H5246" s="14" t="b">
        <f aca="false">IF(중복검사!$A5244="",FALSE(),중복검사!$J5244="유지")</f>
        <v>0</v>
      </c>
      <c r="I5246" s="5" t="str">
        <f aca="false">IF($H5246=FALSE(),"",COUNTIF($H$6:$H5246,TRUE()))</f>
        <v/>
      </c>
      <c r="J5246" s="5" t="str">
        <f aca="false">IF($I5246="","","R"&amp;$I5246)</f>
        <v/>
      </c>
    </row>
    <row r="5247" customFormat="false" ht="15" hidden="false" customHeight="true" outlineLevel="0" collapsed="false">
      <c r="H5247" s="14" t="b">
        <f aca="false">IF(중복검사!$A5245="",FALSE(),중복검사!$J5245="유지")</f>
        <v>0</v>
      </c>
      <c r="I5247" s="5" t="str">
        <f aca="false">IF($H5247=FALSE(),"",COUNTIF($H$6:$H5247,TRUE()))</f>
        <v/>
      </c>
      <c r="J5247" s="5" t="str">
        <f aca="false">IF($I5247="","","R"&amp;$I5247)</f>
        <v/>
      </c>
    </row>
    <row r="5248" customFormat="false" ht="15" hidden="false" customHeight="true" outlineLevel="0" collapsed="false">
      <c r="H5248" s="14" t="b">
        <f aca="false">IF(중복검사!$A5246="",FALSE(),중복검사!$J5246="유지")</f>
        <v>0</v>
      </c>
      <c r="I5248" s="5" t="str">
        <f aca="false">IF($H5248=FALSE(),"",COUNTIF($H$6:$H5248,TRUE()))</f>
        <v/>
      </c>
      <c r="J5248" s="5" t="str">
        <f aca="false">IF($I5248="","","R"&amp;$I5248)</f>
        <v/>
      </c>
    </row>
    <row r="5249" customFormat="false" ht="15" hidden="false" customHeight="true" outlineLevel="0" collapsed="false">
      <c r="H5249" s="14" t="b">
        <f aca="false">IF(중복검사!$A5247="",FALSE(),중복검사!$J5247="유지")</f>
        <v>0</v>
      </c>
      <c r="I5249" s="5" t="str">
        <f aca="false">IF($H5249=FALSE(),"",COUNTIF($H$6:$H5249,TRUE()))</f>
        <v/>
      </c>
      <c r="J5249" s="5" t="str">
        <f aca="false">IF($I5249="","","R"&amp;$I5249)</f>
        <v/>
      </c>
    </row>
    <row r="5250" customFormat="false" ht="15" hidden="false" customHeight="true" outlineLevel="0" collapsed="false">
      <c r="H5250" s="14" t="b">
        <f aca="false">IF(중복검사!$A5248="",FALSE(),중복검사!$J5248="유지")</f>
        <v>0</v>
      </c>
      <c r="I5250" s="5" t="str">
        <f aca="false">IF($H5250=FALSE(),"",COUNTIF($H$6:$H5250,TRUE()))</f>
        <v/>
      </c>
      <c r="J5250" s="5" t="str">
        <f aca="false">IF($I5250="","","R"&amp;$I5250)</f>
        <v/>
      </c>
    </row>
    <row r="5251" customFormat="false" ht="15" hidden="false" customHeight="true" outlineLevel="0" collapsed="false">
      <c r="H5251" s="14" t="b">
        <f aca="false">IF(중복검사!$A5249="",FALSE(),중복검사!$J5249="유지")</f>
        <v>0</v>
      </c>
      <c r="I5251" s="5" t="str">
        <f aca="false">IF($H5251=FALSE(),"",COUNTIF($H$6:$H5251,TRUE()))</f>
        <v/>
      </c>
      <c r="J5251" s="5" t="str">
        <f aca="false">IF($I5251="","","R"&amp;$I5251)</f>
        <v/>
      </c>
    </row>
    <row r="5252" customFormat="false" ht="15" hidden="false" customHeight="true" outlineLevel="0" collapsed="false">
      <c r="H5252" s="14" t="b">
        <f aca="false">IF(중복검사!$A5250="",FALSE(),중복검사!$J5250="유지")</f>
        <v>0</v>
      </c>
      <c r="I5252" s="5" t="str">
        <f aca="false">IF($H5252=FALSE(),"",COUNTIF($H$6:$H5252,TRUE()))</f>
        <v/>
      </c>
      <c r="J5252" s="5" t="str">
        <f aca="false">IF($I5252="","","R"&amp;$I5252)</f>
        <v/>
      </c>
    </row>
    <row r="5253" customFormat="false" ht="15" hidden="false" customHeight="true" outlineLevel="0" collapsed="false">
      <c r="H5253" s="14" t="b">
        <f aca="false">IF(중복검사!$A5251="",FALSE(),중복검사!$J5251="유지")</f>
        <v>0</v>
      </c>
      <c r="I5253" s="5" t="str">
        <f aca="false">IF($H5253=FALSE(),"",COUNTIF($H$6:$H5253,TRUE()))</f>
        <v/>
      </c>
      <c r="J5253" s="5" t="str">
        <f aca="false">IF($I5253="","","R"&amp;$I5253)</f>
        <v/>
      </c>
    </row>
    <row r="5254" customFormat="false" ht="15" hidden="false" customHeight="true" outlineLevel="0" collapsed="false">
      <c r="H5254" s="14" t="b">
        <f aca="false">IF(중복검사!$A5252="",FALSE(),중복검사!$J5252="유지")</f>
        <v>0</v>
      </c>
      <c r="I5254" s="5" t="str">
        <f aca="false">IF($H5254=FALSE(),"",COUNTIF($H$6:$H5254,TRUE()))</f>
        <v/>
      </c>
      <c r="J5254" s="5" t="str">
        <f aca="false">IF($I5254="","","R"&amp;$I5254)</f>
        <v/>
      </c>
    </row>
    <row r="5255" customFormat="false" ht="15" hidden="false" customHeight="true" outlineLevel="0" collapsed="false">
      <c r="H5255" s="14" t="b">
        <f aca="false">IF(중복검사!$A5253="",FALSE(),중복검사!$J5253="유지")</f>
        <v>0</v>
      </c>
      <c r="I5255" s="5" t="str">
        <f aca="false">IF($H5255=FALSE(),"",COUNTIF($H$6:$H5255,TRUE()))</f>
        <v/>
      </c>
      <c r="J5255" s="5" t="str">
        <f aca="false">IF($I5255="","","R"&amp;$I5255)</f>
        <v/>
      </c>
    </row>
    <row r="5256" customFormat="false" ht="15" hidden="false" customHeight="true" outlineLevel="0" collapsed="false">
      <c r="H5256" s="14" t="b">
        <f aca="false">IF(중복검사!$A5254="",FALSE(),중복검사!$J5254="유지")</f>
        <v>0</v>
      </c>
      <c r="I5256" s="5" t="str">
        <f aca="false">IF($H5256=FALSE(),"",COUNTIF($H$6:$H5256,TRUE()))</f>
        <v/>
      </c>
      <c r="J5256" s="5" t="str">
        <f aca="false">IF($I5256="","","R"&amp;$I5256)</f>
        <v/>
      </c>
    </row>
    <row r="5257" customFormat="false" ht="15" hidden="false" customHeight="true" outlineLevel="0" collapsed="false">
      <c r="H5257" s="14" t="b">
        <f aca="false">IF(중복검사!$A5255="",FALSE(),중복검사!$J5255="유지")</f>
        <v>0</v>
      </c>
      <c r="I5257" s="5" t="str">
        <f aca="false">IF($H5257=FALSE(),"",COUNTIF($H$6:$H5257,TRUE()))</f>
        <v/>
      </c>
      <c r="J5257" s="5" t="str">
        <f aca="false">IF($I5257="","","R"&amp;$I5257)</f>
        <v/>
      </c>
    </row>
    <row r="5258" customFormat="false" ht="15" hidden="false" customHeight="true" outlineLevel="0" collapsed="false">
      <c r="H5258" s="14" t="b">
        <f aca="false">IF(중복검사!$A5256="",FALSE(),중복검사!$J5256="유지")</f>
        <v>0</v>
      </c>
      <c r="I5258" s="5" t="str">
        <f aca="false">IF($H5258=FALSE(),"",COUNTIF($H$6:$H5258,TRUE()))</f>
        <v/>
      </c>
      <c r="J5258" s="5" t="str">
        <f aca="false">IF($I5258="","","R"&amp;$I5258)</f>
        <v/>
      </c>
    </row>
    <row r="5259" customFormat="false" ht="15" hidden="false" customHeight="true" outlineLevel="0" collapsed="false">
      <c r="H5259" s="14" t="b">
        <f aca="false">IF(중복검사!$A5257="",FALSE(),중복검사!$J5257="유지")</f>
        <v>0</v>
      </c>
      <c r="I5259" s="5" t="str">
        <f aca="false">IF($H5259=FALSE(),"",COUNTIF($H$6:$H5259,TRUE()))</f>
        <v/>
      </c>
      <c r="J5259" s="5" t="str">
        <f aca="false">IF($I5259="","","R"&amp;$I5259)</f>
        <v/>
      </c>
    </row>
    <row r="5260" customFormat="false" ht="15" hidden="false" customHeight="true" outlineLevel="0" collapsed="false">
      <c r="H5260" s="14" t="b">
        <f aca="false">IF(중복검사!$A5258="",FALSE(),중복검사!$J5258="유지")</f>
        <v>0</v>
      </c>
      <c r="I5260" s="5" t="str">
        <f aca="false">IF($H5260=FALSE(),"",COUNTIF($H$6:$H5260,TRUE()))</f>
        <v/>
      </c>
      <c r="J5260" s="5" t="str">
        <f aca="false">IF($I5260="","","R"&amp;$I5260)</f>
        <v/>
      </c>
    </row>
    <row r="5261" customFormat="false" ht="15" hidden="false" customHeight="true" outlineLevel="0" collapsed="false">
      <c r="H5261" s="14" t="b">
        <f aca="false">IF(중복검사!$A5259="",FALSE(),중복검사!$J5259="유지")</f>
        <v>0</v>
      </c>
      <c r="I5261" s="5" t="str">
        <f aca="false">IF($H5261=FALSE(),"",COUNTIF($H$6:$H5261,TRUE()))</f>
        <v/>
      </c>
      <c r="J5261" s="5" t="str">
        <f aca="false">IF($I5261="","","R"&amp;$I5261)</f>
        <v/>
      </c>
    </row>
    <row r="5262" customFormat="false" ht="15" hidden="false" customHeight="true" outlineLevel="0" collapsed="false">
      <c r="H5262" s="14" t="b">
        <f aca="false">IF(중복검사!$A5260="",FALSE(),중복검사!$J5260="유지")</f>
        <v>0</v>
      </c>
      <c r="I5262" s="5" t="str">
        <f aca="false">IF($H5262=FALSE(),"",COUNTIF($H$6:$H5262,TRUE()))</f>
        <v/>
      </c>
      <c r="J5262" s="5" t="str">
        <f aca="false">IF($I5262="","","R"&amp;$I5262)</f>
        <v/>
      </c>
    </row>
    <row r="5263" customFormat="false" ht="15" hidden="false" customHeight="true" outlineLevel="0" collapsed="false">
      <c r="H5263" s="14" t="b">
        <f aca="false">IF(중복검사!$A5261="",FALSE(),중복검사!$J5261="유지")</f>
        <v>0</v>
      </c>
      <c r="I5263" s="5" t="str">
        <f aca="false">IF($H5263=FALSE(),"",COUNTIF($H$6:$H5263,TRUE()))</f>
        <v/>
      </c>
      <c r="J5263" s="5" t="str">
        <f aca="false">IF($I5263="","","R"&amp;$I5263)</f>
        <v/>
      </c>
    </row>
    <row r="5264" customFormat="false" ht="15" hidden="false" customHeight="true" outlineLevel="0" collapsed="false">
      <c r="H5264" s="14" t="b">
        <f aca="false">IF(중복검사!$A5262="",FALSE(),중복검사!$J5262="유지")</f>
        <v>0</v>
      </c>
      <c r="I5264" s="5" t="str">
        <f aca="false">IF($H5264=FALSE(),"",COUNTIF($H$6:$H5264,TRUE()))</f>
        <v/>
      </c>
      <c r="J5264" s="5" t="str">
        <f aca="false">IF($I5264="","","R"&amp;$I5264)</f>
        <v/>
      </c>
    </row>
    <row r="5265" customFormat="false" ht="15" hidden="false" customHeight="true" outlineLevel="0" collapsed="false">
      <c r="H5265" s="14" t="b">
        <f aca="false">IF(중복검사!$A5263="",FALSE(),중복검사!$J5263="유지")</f>
        <v>0</v>
      </c>
      <c r="I5265" s="5" t="str">
        <f aca="false">IF($H5265=FALSE(),"",COUNTIF($H$6:$H5265,TRUE()))</f>
        <v/>
      </c>
      <c r="J5265" s="5" t="str">
        <f aca="false">IF($I5265="","","R"&amp;$I5265)</f>
        <v/>
      </c>
    </row>
    <row r="5266" customFormat="false" ht="15" hidden="false" customHeight="true" outlineLevel="0" collapsed="false">
      <c r="H5266" s="14" t="b">
        <f aca="false">IF(중복검사!$A5264="",FALSE(),중복검사!$J5264="유지")</f>
        <v>0</v>
      </c>
      <c r="I5266" s="5" t="str">
        <f aca="false">IF($H5266=FALSE(),"",COUNTIF($H$6:$H5266,TRUE()))</f>
        <v/>
      </c>
      <c r="J5266" s="5" t="str">
        <f aca="false">IF($I5266="","","R"&amp;$I5266)</f>
        <v/>
      </c>
    </row>
    <row r="5267" customFormat="false" ht="15" hidden="false" customHeight="true" outlineLevel="0" collapsed="false">
      <c r="H5267" s="14" t="b">
        <f aca="false">IF(중복검사!$A5265="",FALSE(),중복검사!$J5265="유지")</f>
        <v>0</v>
      </c>
      <c r="I5267" s="5" t="str">
        <f aca="false">IF($H5267=FALSE(),"",COUNTIF($H$6:$H5267,TRUE()))</f>
        <v/>
      </c>
      <c r="J5267" s="5" t="str">
        <f aca="false">IF($I5267="","","R"&amp;$I5267)</f>
        <v/>
      </c>
    </row>
    <row r="5268" customFormat="false" ht="15" hidden="false" customHeight="true" outlineLevel="0" collapsed="false">
      <c r="H5268" s="14" t="b">
        <f aca="false">IF(중복검사!$A5266="",FALSE(),중복검사!$J5266="유지")</f>
        <v>0</v>
      </c>
      <c r="I5268" s="5" t="str">
        <f aca="false">IF($H5268=FALSE(),"",COUNTIF($H$6:$H5268,TRUE()))</f>
        <v/>
      </c>
      <c r="J5268" s="5" t="str">
        <f aca="false">IF($I5268="","","R"&amp;$I5268)</f>
        <v/>
      </c>
    </row>
    <row r="5269" customFormat="false" ht="15" hidden="false" customHeight="true" outlineLevel="0" collapsed="false">
      <c r="H5269" s="14" t="b">
        <f aca="false">IF(중복검사!$A5267="",FALSE(),중복검사!$J5267="유지")</f>
        <v>0</v>
      </c>
      <c r="I5269" s="5" t="str">
        <f aca="false">IF($H5269=FALSE(),"",COUNTIF($H$6:$H5269,TRUE()))</f>
        <v/>
      </c>
      <c r="J5269" s="5" t="str">
        <f aca="false">IF($I5269="","","R"&amp;$I5269)</f>
        <v/>
      </c>
    </row>
    <row r="5270" customFormat="false" ht="15" hidden="false" customHeight="true" outlineLevel="0" collapsed="false">
      <c r="H5270" s="14" t="b">
        <f aca="false">IF(중복검사!$A5268="",FALSE(),중복검사!$J5268="유지")</f>
        <v>0</v>
      </c>
      <c r="I5270" s="5" t="str">
        <f aca="false">IF($H5270=FALSE(),"",COUNTIF($H$6:$H5270,TRUE()))</f>
        <v/>
      </c>
      <c r="J5270" s="5" t="str">
        <f aca="false">IF($I5270="","","R"&amp;$I5270)</f>
        <v/>
      </c>
    </row>
    <row r="5271" customFormat="false" ht="15" hidden="false" customHeight="true" outlineLevel="0" collapsed="false">
      <c r="H5271" s="14" t="b">
        <f aca="false">IF(중복검사!$A5269="",FALSE(),중복검사!$J5269="유지")</f>
        <v>0</v>
      </c>
      <c r="I5271" s="5" t="str">
        <f aca="false">IF($H5271=FALSE(),"",COUNTIF($H$6:$H5271,TRUE()))</f>
        <v/>
      </c>
      <c r="J5271" s="5" t="str">
        <f aca="false">IF($I5271="","","R"&amp;$I5271)</f>
        <v/>
      </c>
    </row>
    <row r="5272" customFormat="false" ht="15" hidden="false" customHeight="true" outlineLevel="0" collapsed="false">
      <c r="H5272" s="14" t="b">
        <f aca="false">IF(중복검사!$A5270="",FALSE(),중복검사!$J5270="유지")</f>
        <v>0</v>
      </c>
      <c r="I5272" s="5" t="str">
        <f aca="false">IF($H5272=FALSE(),"",COUNTIF($H$6:$H5272,TRUE()))</f>
        <v/>
      </c>
      <c r="J5272" s="5" t="str">
        <f aca="false">IF($I5272="","","R"&amp;$I5272)</f>
        <v/>
      </c>
    </row>
    <row r="5273" customFormat="false" ht="15" hidden="false" customHeight="true" outlineLevel="0" collapsed="false">
      <c r="H5273" s="14" t="b">
        <f aca="false">IF(중복검사!$A5271="",FALSE(),중복검사!$J5271="유지")</f>
        <v>0</v>
      </c>
      <c r="I5273" s="5" t="str">
        <f aca="false">IF($H5273=FALSE(),"",COUNTIF($H$6:$H5273,TRUE()))</f>
        <v/>
      </c>
      <c r="J5273" s="5" t="str">
        <f aca="false">IF($I5273="","","R"&amp;$I5273)</f>
        <v/>
      </c>
    </row>
    <row r="5274" customFormat="false" ht="15" hidden="false" customHeight="true" outlineLevel="0" collapsed="false">
      <c r="H5274" s="14" t="b">
        <f aca="false">IF(중복검사!$A5272="",FALSE(),중복검사!$J5272="유지")</f>
        <v>0</v>
      </c>
      <c r="I5274" s="5" t="str">
        <f aca="false">IF($H5274=FALSE(),"",COUNTIF($H$6:$H5274,TRUE()))</f>
        <v/>
      </c>
      <c r="J5274" s="5" t="str">
        <f aca="false">IF($I5274="","","R"&amp;$I5274)</f>
        <v/>
      </c>
    </row>
    <row r="5275" customFormat="false" ht="15" hidden="false" customHeight="true" outlineLevel="0" collapsed="false">
      <c r="H5275" s="14" t="b">
        <f aca="false">IF(중복검사!$A5273="",FALSE(),중복검사!$J5273="유지")</f>
        <v>0</v>
      </c>
      <c r="I5275" s="5" t="str">
        <f aca="false">IF($H5275=FALSE(),"",COUNTIF($H$6:$H5275,TRUE()))</f>
        <v/>
      </c>
      <c r="J5275" s="5" t="str">
        <f aca="false">IF($I5275="","","R"&amp;$I5275)</f>
        <v/>
      </c>
    </row>
    <row r="5276" customFormat="false" ht="15" hidden="false" customHeight="true" outlineLevel="0" collapsed="false">
      <c r="H5276" s="14" t="b">
        <f aca="false">IF(중복검사!$A5274="",FALSE(),중복검사!$J5274="유지")</f>
        <v>0</v>
      </c>
      <c r="I5276" s="5" t="str">
        <f aca="false">IF($H5276=FALSE(),"",COUNTIF($H$6:$H5276,TRUE()))</f>
        <v/>
      </c>
      <c r="J5276" s="5" t="str">
        <f aca="false">IF($I5276="","","R"&amp;$I5276)</f>
        <v/>
      </c>
    </row>
    <row r="5277" customFormat="false" ht="15" hidden="false" customHeight="true" outlineLevel="0" collapsed="false">
      <c r="H5277" s="14" t="b">
        <f aca="false">IF(중복검사!$A5275="",FALSE(),중복검사!$J5275="유지")</f>
        <v>0</v>
      </c>
      <c r="I5277" s="5" t="str">
        <f aca="false">IF($H5277=FALSE(),"",COUNTIF($H$6:$H5277,TRUE()))</f>
        <v/>
      </c>
      <c r="J5277" s="5" t="str">
        <f aca="false">IF($I5277="","","R"&amp;$I5277)</f>
        <v/>
      </c>
    </row>
    <row r="5278" customFormat="false" ht="15" hidden="false" customHeight="true" outlineLevel="0" collapsed="false">
      <c r="H5278" s="14" t="b">
        <f aca="false">IF(중복검사!$A5276="",FALSE(),중복검사!$J5276="유지")</f>
        <v>0</v>
      </c>
      <c r="I5278" s="5" t="str">
        <f aca="false">IF($H5278=FALSE(),"",COUNTIF($H$6:$H5278,TRUE()))</f>
        <v/>
      </c>
      <c r="J5278" s="5" t="str">
        <f aca="false">IF($I5278="","","R"&amp;$I5278)</f>
        <v/>
      </c>
    </row>
    <row r="5279" customFormat="false" ht="15" hidden="false" customHeight="true" outlineLevel="0" collapsed="false">
      <c r="H5279" s="14" t="b">
        <f aca="false">IF(중복검사!$A5277="",FALSE(),중복검사!$J5277="유지")</f>
        <v>0</v>
      </c>
      <c r="I5279" s="5" t="str">
        <f aca="false">IF($H5279=FALSE(),"",COUNTIF($H$6:$H5279,TRUE()))</f>
        <v/>
      </c>
      <c r="J5279" s="5" t="str">
        <f aca="false">IF($I5279="","","R"&amp;$I5279)</f>
        <v/>
      </c>
    </row>
    <row r="5280" customFormat="false" ht="15" hidden="false" customHeight="true" outlineLevel="0" collapsed="false">
      <c r="H5280" s="14" t="b">
        <f aca="false">IF(중복검사!$A5278="",FALSE(),중복검사!$J5278="유지")</f>
        <v>0</v>
      </c>
      <c r="I5280" s="5" t="str">
        <f aca="false">IF($H5280=FALSE(),"",COUNTIF($H$6:$H5280,TRUE()))</f>
        <v/>
      </c>
      <c r="J5280" s="5" t="str">
        <f aca="false">IF($I5280="","","R"&amp;$I5280)</f>
        <v/>
      </c>
    </row>
    <row r="5281" customFormat="false" ht="15" hidden="false" customHeight="true" outlineLevel="0" collapsed="false">
      <c r="H5281" s="14" t="b">
        <f aca="false">IF(중복검사!$A5279="",FALSE(),중복검사!$J5279="유지")</f>
        <v>0</v>
      </c>
      <c r="I5281" s="5" t="str">
        <f aca="false">IF($H5281=FALSE(),"",COUNTIF($H$6:$H5281,TRUE()))</f>
        <v/>
      </c>
      <c r="J5281" s="5" t="str">
        <f aca="false">IF($I5281="","","R"&amp;$I5281)</f>
        <v/>
      </c>
    </row>
    <row r="5282" customFormat="false" ht="15" hidden="false" customHeight="true" outlineLevel="0" collapsed="false">
      <c r="H5282" s="14" t="b">
        <f aca="false">IF(중복검사!$A5280="",FALSE(),중복검사!$J5280="유지")</f>
        <v>0</v>
      </c>
      <c r="I5282" s="5" t="str">
        <f aca="false">IF($H5282=FALSE(),"",COUNTIF($H$6:$H5282,TRUE()))</f>
        <v/>
      </c>
      <c r="J5282" s="5" t="str">
        <f aca="false">IF($I5282="","","R"&amp;$I5282)</f>
        <v/>
      </c>
    </row>
    <row r="5283" customFormat="false" ht="15" hidden="false" customHeight="true" outlineLevel="0" collapsed="false">
      <c r="H5283" s="14" t="b">
        <f aca="false">IF(중복검사!$A5281="",FALSE(),중복검사!$J5281="유지")</f>
        <v>0</v>
      </c>
      <c r="I5283" s="5" t="str">
        <f aca="false">IF($H5283=FALSE(),"",COUNTIF($H$6:$H5283,TRUE()))</f>
        <v/>
      </c>
      <c r="J5283" s="5" t="str">
        <f aca="false">IF($I5283="","","R"&amp;$I5283)</f>
        <v/>
      </c>
    </row>
    <row r="5284" customFormat="false" ht="15" hidden="false" customHeight="true" outlineLevel="0" collapsed="false">
      <c r="H5284" s="14" t="b">
        <f aca="false">IF(중복검사!$A5282="",FALSE(),중복검사!$J5282="유지")</f>
        <v>0</v>
      </c>
      <c r="I5284" s="5" t="str">
        <f aca="false">IF($H5284=FALSE(),"",COUNTIF($H$6:$H5284,TRUE()))</f>
        <v/>
      </c>
      <c r="J5284" s="5" t="str">
        <f aca="false">IF($I5284="","","R"&amp;$I5284)</f>
        <v/>
      </c>
    </row>
    <row r="5285" customFormat="false" ht="15" hidden="false" customHeight="true" outlineLevel="0" collapsed="false">
      <c r="H5285" s="14" t="b">
        <f aca="false">IF(중복검사!$A5283="",FALSE(),중복검사!$J5283="유지")</f>
        <v>0</v>
      </c>
      <c r="I5285" s="5" t="str">
        <f aca="false">IF($H5285=FALSE(),"",COUNTIF($H$6:$H5285,TRUE()))</f>
        <v/>
      </c>
      <c r="J5285" s="5" t="str">
        <f aca="false">IF($I5285="","","R"&amp;$I5285)</f>
        <v/>
      </c>
    </row>
    <row r="5286" customFormat="false" ht="15" hidden="false" customHeight="true" outlineLevel="0" collapsed="false">
      <c r="H5286" s="14" t="b">
        <f aca="false">IF(중복검사!$A5284="",FALSE(),중복검사!$J5284="유지")</f>
        <v>0</v>
      </c>
      <c r="I5286" s="5" t="str">
        <f aca="false">IF($H5286=FALSE(),"",COUNTIF($H$6:$H5286,TRUE()))</f>
        <v/>
      </c>
      <c r="J5286" s="5" t="str">
        <f aca="false">IF($I5286="","","R"&amp;$I5286)</f>
        <v/>
      </c>
    </row>
    <row r="5287" customFormat="false" ht="15" hidden="false" customHeight="true" outlineLevel="0" collapsed="false">
      <c r="H5287" s="14" t="b">
        <f aca="false">IF(중복검사!$A5285="",FALSE(),중복검사!$J5285="유지")</f>
        <v>0</v>
      </c>
      <c r="I5287" s="5" t="str">
        <f aca="false">IF($H5287=FALSE(),"",COUNTIF($H$6:$H5287,TRUE()))</f>
        <v/>
      </c>
      <c r="J5287" s="5" t="str">
        <f aca="false">IF($I5287="","","R"&amp;$I5287)</f>
        <v/>
      </c>
    </row>
    <row r="5288" customFormat="false" ht="15" hidden="false" customHeight="true" outlineLevel="0" collapsed="false">
      <c r="H5288" s="14" t="b">
        <f aca="false">IF(중복검사!$A5286="",FALSE(),중복검사!$J5286="유지")</f>
        <v>0</v>
      </c>
      <c r="I5288" s="5" t="str">
        <f aca="false">IF($H5288=FALSE(),"",COUNTIF($H$6:$H5288,TRUE()))</f>
        <v/>
      </c>
      <c r="J5288" s="5" t="str">
        <f aca="false">IF($I5288="","","R"&amp;$I5288)</f>
        <v/>
      </c>
    </row>
    <row r="5289" customFormat="false" ht="15" hidden="false" customHeight="true" outlineLevel="0" collapsed="false">
      <c r="H5289" s="14" t="b">
        <f aca="false">IF(중복검사!$A5287="",FALSE(),중복검사!$J5287="유지")</f>
        <v>0</v>
      </c>
      <c r="I5289" s="5" t="str">
        <f aca="false">IF($H5289=FALSE(),"",COUNTIF($H$6:$H5289,TRUE()))</f>
        <v/>
      </c>
      <c r="J5289" s="5" t="str">
        <f aca="false">IF($I5289="","","R"&amp;$I5289)</f>
        <v/>
      </c>
    </row>
    <row r="5290" customFormat="false" ht="15" hidden="false" customHeight="true" outlineLevel="0" collapsed="false">
      <c r="H5290" s="14" t="b">
        <f aca="false">IF(중복검사!$A5288="",FALSE(),중복검사!$J5288="유지")</f>
        <v>0</v>
      </c>
      <c r="I5290" s="5" t="str">
        <f aca="false">IF($H5290=FALSE(),"",COUNTIF($H$6:$H5290,TRUE()))</f>
        <v/>
      </c>
      <c r="J5290" s="5" t="str">
        <f aca="false">IF($I5290="","","R"&amp;$I5290)</f>
        <v/>
      </c>
    </row>
    <row r="5291" customFormat="false" ht="15" hidden="false" customHeight="true" outlineLevel="0" collapsed="false">
      <c r="H5291" s="14" t="b">
        <f aca="false">IF(중복검사!$A5289="",FALSE(),중복검사!$J5289="유지")</f>
        <v>0</v>
      </c>
      <c r="I5291" s="5" t="str">
        <f aca="false">IF($H5291=FALSE(),"",COUNTIF($H$6:$H5291,TRUE()))</f>
        <v/>
      </c>
      <c r="J5291" s="5" t="str">
        <f aca="false">IF($I5291="","","R"&amp;$I5291)</f>
        <v/>
      </c>
    </row>
    <row r="5292" customFormat="false" ht="15" hidden="false" customHeight="true" outlineLevel="0" collapsed="false">
      <c r="H5292" s="14" t="b">
        <f aca="false">IF(중복검사!$A5290="",FALSE(),중복검사!$J5290="유지")</f>
        <v>0</v>
      </c>
      <c r="I5292" s="5" t="str">
        <f aca="false">IF($H5292=FALSE(),"",COUNTIF($H$6:$H5292,TRUE()))</f>
        <v/>
      </c>
      <c r="J5292" s="5" t="str">
        <f aca="false">IF($I5292="","","R"&amp;$I5292)</f>
        <v/>
      </c>
    </row>
    <row r="5293" customFormat="false" ht="15" hidden="false" customHeight="true" outlineLevel="0" collapsed="false">
      <c r="H5293" s="14" t="b">
        <f aca="false">IF(중복검사!$A5291="",FALSE(),중복검사!$J5291="유지")</f>
        <v>0</v>
      </c>
      <c r="I5293" s="5" t="str">
        <f aca="false">IF($H5293=FALSE(),"",COUNTIF($H$6:$H5293,TRUE()))</f>
        <v/>
      </c>
      <c r="J5293" s="5" t="str">
        <f aca="false">IF($I5293="","","R"&amp;$I5293)</f>
        <v/>
      </c>
    </row>
    <row r="5294" customFormat="false" ht="15" hidden="false" customHeight="true" outlineLevel="0" collapsed="false">
      <c r="H5294" s="14" t="b">
        <f aca="false">IF(중복검사!$A5292="",FALSE(),중복검사!$J5292="유지")</f>
        <v>0</v>
      </c>
      <c r="I5294" s="5" t="str">
        <f aca="false">IF($H5294=FALSE(),"",COUNTIF($H$6:$H5294,TRUE()))</f>
        <v/>
      </c>
      <c r="J5294" s="5" t="str">
        <f aca="false">IF($I5294="","","R"&amp;$I5294)</f>
        <v/>
      </c>
    </row>
    <row r="5295" customFormat="false" ht="15" hidden="false" customHeight="true" outlineLevel="0" collapsed="false">
      <c r="H5295" s="14" t="b">
        <f aca="false">IF(중복검사!$A5293="",FALSE(),중복검사!$J5293="유지")</f>
        <v>0</v>
      </c>
      <c r="I5295" s="5" t="str">
        <f aca="false">IF($H5295=FALSE(),"",COUNTIF($H$6:$H5295,TRUE()))</f>
        <v/>
      </c>
      <c r="J5295" s="5" t="str">
        <f aca="false">IF($I5295="","","R"&amp;$I5295)</f>
        <v/>
      </c>
    </row>
    <row r="5296" customFormat="false" ht="15" hidden="false" customHeight="true" outlineLevel="0" collapsed="false">
      <c r="H5296" s="14" t="b">
        <f aca="false">IF(중복검사!$A5294="",FALSE(),중복검사!$J5294="유지")</f>
        <v>0</v>
      </c>
      <c r="I5296" s="5" t="str">
        <f aca="false">IF($H5296=FALSE(),"",COUNTIF($H$6:$H5296,TRUE()))</f>
        <v/>
      </c>
      <c r="J5296" s="5" t="str">
        <f aca="false">IF($I5296="","","R"&amp;$I5296)</f>
        <v/>
      </c>
    </row>
    <row r="5297" customFormat="false" ht="15" hidden="false" customHeight="true" outlineLevel="0" collapsed="false">
      <c r="H5297" s="14" t="b">
        <f aca="false">IF(중복검사!$A5295="",FALSE(),중복검사!$J5295="유지")</f>
        <v>0</v>
      </c>
      <c r="I5297" s="5" t="str">
        <f aca="false">IF($H5297=FALSE(),"",COUNTIF($H$6:$H5297,TRUE()))</f>
        <v/>
      </c>
      <c r="J5297" s="5" t="str">
        <f aca="false">IF($I5297="","","R"&amp;$I5297)</f>
        <v/>
      </c>
    </row>
    <row r="5298" customFormat="false" ht="15" hidden="false" customHeight="true" outlineLevel="0" collapsed="false">
      <c r="H5298" s="14" t="b">
        <f aca="false">IF(중복검사!$A5296="",FALSE(),중복검사!$J5296="유지")</f>
        <v>0</v>
      </c>
      <c r="I5298" s="5" t="str">
        <f aca="false">IF($H5298=FALSE(),"",COUNTIF($H$6:$H5298,TRUE()))</f>
        <v/>
      </c>
      <c r="J5298" s="5" t="str">
        <f aca="false">IF($I5298="","","R"&amp;$I5298)</f>
        <v/>
      </c>
    </row>
    <row r="5299" customFormat="false" ht="15" hidden="false" customHeight="true" outlineLevel="0" collapsed="false">
      <c r="H5299" s="14" t="b">
        <f aca="false">IF(중복검사!$A5297="",FALSE(),중복검사!$J5297="유지")</f>
        <v>0</v>
      </c>
      <c r="I5299" s="5" t="str">
        <f aca="false">IF($H5299=FALSE(),"",COUNTIF($H$6:$H5299,TRUE()))</f>
        <v/>
      </c>
      <c r="J5299" s="5" t="str">
        <f aca="false">IF($I5299="","","R"&amp;$I5299)</f>
        <v/>
      </c>
    </row>
    <row r="5300" customFormat="false" ht="15" hidden="false" customHeight="true" outlineLevel="0" collapsed="false">
      <c r="H5300" s="14" t="b">
        <f aca="false">IF(중복검사!$A5298="",FALSE(),중복검사!$J5298="유지")</f>
        <v>0</v>
      </c>
      <c r="I5300" s="5" t="str">
        <f aca="false">IF($H5300=FALSE(),"",COUNTIF($H$6:$H5300,TRUE()))</f>
        <v/>
      </c>
      <c r="J5300" s="5" t="str">
        <f aca="false">IF($I5300="","","R"&amp;$I5300)</f>
        <v/>
      </c>
    </row>
    <row r="5301" customFormat="false" ht="15" hidden="false" customHeight="true" outlineLevel="0" collapsed="false">
      <c r="H5301" s="14" t="b">
        <f aca="false">IF(중복검사!$A5299="",FALSE(),중복검사!$J5299="유지")</f>
        <v>0</v>
      </c>
      <c r="I5301" s="5" t="str">
        <f aca="false">IF($H5301=FALSE(),"",COUNTIF($H$6:$H5301,TRUE()))</f>
        <v/>
      </c>
      <c r="J5301" s="5" t="str">
        <f aca="false">IF($I5301="","","R"&amp;$I5301)</f>
        <v/>
      </c>
    </row>
    <row r="5302" customFormat="false" ht="15" hidden="false" customHeight="true" outlineLevel="0" collapsed="false">
      <c r="H5302" s="14" t="b">
        <f aca="false">IF(중복검사!$A5300="",FALSE(),중복검사!$J5300="유지")</f>
        <v>0</v>
      </c>
      <c r="I5302" s="5" t="str">
        <f aca="false">IF($H5302=FALSE(),"",COUNTIF($H$6:$H5302,TRUE()))</f>
        <v/>
      </c>
      <c r="J5302" s="5" t="str">
        <f aca="false">IF($I5302="","","R"&amp;$I5302)</f>
        <v/>
      </c>
    </row>
    <row r="5303" customFormat="false" ht="15" hidden="false" customHeight="true" outlineLevel="0" collapsed="false">
      <c r="H5303" s="14" t="b">
        <f aca="false">IF(중복검사!$A5301="",FALSE(),중복검사!$J5301="유지")</f>
        <v>0</v>
      </c>
      <c r="I5303" s="5" t="str">
        <f aca="false">IF($H5303=FALSE(),"",COUNTIF($H$6:$H5303,TRUE()))</f>
        <v/>
      </c>
      <c r="J5303" s="5" t="str">
        <f aca="false">IF($I5303="","","R"&amp;$I5303)</f>
        <v/>
      </c>
    </row>
    <row r="5304" customFormat="false" ht="15" hidden="false" customHeight="true" outlineLevel="0" collapsed="false">
      <c r="H5304" s="14" t="b">
        <f aca="false">IF(중복검사!$A5302="",FALSE(),중복검사!$J5302="유지")</f>
        <v>0</v>
      </c>
      <c r="I5304" s="5" t="str">
        <f aca="false">IF($H5304=FALSE(),"",COUNTIF($H$6:$H5304,TRUE()))</f>
        <v/>
      </c>
      <c r="J5304" s="5" t="str">
        <f aca="false">IF($I5304="","","R"&amp;$I5304)</f>
        <v/>
      </c>
    </row>
    <row r="5305" customFormat="false" ht="15" hidden="false" customHeight="true" outlineLevel="0" collapsed="false">
      <c r="H5305" s="14" t="b">
        <f aca="false">IF(중복검사!$A5303="",FALSE(),중복검사!$J5303="유지")</f>
        <v>0</v>
      </c>
      <c r="I5305" s="5" t="str">
        <f aca="false">IF($H5305=FALSE(),"",COUNTIF($H$6:$H5305,TRUE()))</f>
        <v/>
      </c>
      <c r="J5305" s="5" t="str">
        <f aca="false">IF($I5305="","","R"&amp;$I5305)</f>
        <v/>
      </c>
    </row>
    <row r="5306" customFormat="false" ht="15" hidden="false" customHeight="true" outlineLevel="0" collapsed="false">
      <c r="H5306" s="14" t="b">
        <f aca="false">IF(중복검사!$A5304="",FALSE(),중복검사!$J5304="유지")</f>
        <v>0</v>
      </c>
      <c r="I5306" s="5" t="str">
        <f aca="false">IF($H5306=FALSE(),"",COUNTIF($H$6:$H5306,TRUE()))</f>
        <v/>
      </c>
      <c r="J5306" s="5" t="str">
        <f aca="false">IF($I5306="","","R"&amp;$I5306)</f>
        <v/>
      </c>
    </row>
    <row r="5307" customFormat="false" ht="15" hidden="false" customHeight="true" outlineLevel="0" collapsed="false">
      <c r="H5307" s="14" t="b">
        <f aca="false">IF(중복검사!$A5305="",FALSE(),중복검사!$J5305="유지")</f>
        <v>0</v>
      </c>
      <c r="I5307" s="5" t="str">
        <f aca="false">IF($H5307=FALSE(),"",COUNTIF($H$6:$H5307,TRUE()))</f>
        <v/>
      </c>
      <c r="J5307" s="5" t="str">
        <f aca="false">IF($I5307="","","R"&amp;$I5307)</f>
        <v/>
      </c>
    </row>
    <row r="5308" customFormat="false" ht="15" hidden="false" customHeight="true" outlineLevel="0" collapsed="false">
      <c r="H5308" s="14" t="b">
        <f aca="false">IF(중복검사!$A5306="",FALSE(),중복검사!$J5306="유지")</f>
        <v>0</v>
      </c>
      <c r="I5308" s="5" t="str">
        <f aca="false">IF($H5308=FALSE(),"",COUNTIF($H$6:$H5308,TRUE()))</f>
        <v/>
      </c>
      <c r="J5308" s="5" t="str">
        <f aca="false">IF($I5308="","","R"&amp;$I5308)</f>
        <v/>
      </c>
    </row>
    <row r="5309" customFormat="false" ht="15" hidden="false" customHeight="true" outlineLevel="0" collapsed="false">
      <c r="H5309" s="14" t="b">
        <f aca="false">IF(중복검사!$A5307="",FALSE(),중복검사!$J5307="유지")</f>
        <v>0</v>
      </c>
      <c r="I5309" s="5" t="str">
        <f aca="false">IF($H5309=FALSE(),"",COUNTIF($H$6:$H5309,TRUE()))</f>
        <v/>
      </c>
      <c r="J5309" s="5" t="str">
        <f aca="false">IF($I5309="","","R"&amp;$I5309)</f>
        <v/>
      </c>
    </row>
    <row r="5310" customFormat="false" ht="15" hidden="false" customHeight="true" outlineLevel="0" collapsed="false">
      <c r="H5310" s="14" t="b">
        <f aca="false">IF(중복검사!$A5308="",FALSE(),중복검사!$J5308="유지")</f>
        <v>0</v>
      </c>
      <c r="I5310" s="5" t="str">
        <f aca="false">IF($H5310=FALSE(),"",COUNTIF($H$6:$H5310,TRUE()))</f>
        <v/>
      </c>
      <c r="J5310" s="5" t="str">
        <f aca="false">IF($I5310="","","R"&amp;$I5310)</f>
        <v/>
      </c>
    </row>
    <row r="5311" customFormat="false" ht="15" hidden="false" customHeight="true" outlineLevel="0" collapsed="false">
      <c r="H5311" s="14" t="b">
        <f aca="false">IF(중복검사!$A5309="",FALSE(),중복검사!$J5309="유지")</f>
        <v>0</v>
      </c>
      <c r="I5311" s="5" t="str">
        <f aca="false">IF($H5311=FALSE(),"",COUNTIF($H$6:$H5311,TRUE()))</f>
        <v/>
      </c>
      <c r="J5311" s="5" t="str">
        <f aca="false">IF($I5311="","","R"&amp;$I5311)</f>
        <v/>
      </c>
    </row>
    <row r="5312" customFormat="false" ht="15" hidden="false" customHeight="true" outlineLevel="0" collapsed="false">
      <c r="H5312" s="14" t="b">
        <f aca="false">IF(중복검사!$A5310="",FALSE(),중복검사!$J5310="유지")</f>
        <v>0</v>
      </c>
      <c r="I5312" s="5" t="str">
        <f aca="false">IF($H5312=FALSE(),"",COUNTIF($H$6:$H5312,TRUE()))</f>
        <v/>
      </c>
      <c r="J5312" s="5" t="str">
        <f aca="false">IF($I5312="","","R"&amp;$I5312)</f>
        <v/>
      </c>
    </row>
    <row r="5313" customFormat="false" ht="15" hidden="false" customHeight="true" outlineLevel="0" collapsed="false">
      <c r="H5313" s="14" t="b">
        <f aca="false">IF(중복검사!$A5311="",FALSE(),중복검사!$J5311="유지")</f>
        <v>0</v>
      </c>
      <c r="I5313" s="5" t="str">
        <f aca="false">IF($H5313=FALSE(),"",COUNTIF($H$6:$H5313,TRUE()))</f>
        <v/>
      </c>
      <c r="J5313" s="5" t="str">
        <f aca="false">IF($I5313="","","R"&amp;$I5313)</f>
        <v/>
      </c>
    </row>
    <row r="5314" customFormat="false" ht="15" hidden="false" customHeight="true" outlineLevel="0" collapsed="false">
      <c r="H5314" s="14" t="b">
        <f aca="false">IF(중복검사!$A5312="",FALSE(),중복검사!$J5312="유지")</f>
        <v>0</v>
      </c>
      <c r="I5314" s="5" t="str">
        <f aca="false">IF($H5314=FALSE(),"",COUNTIF($H$6:$H5314,TRUE()))</f>
        <v/>
      </c>
      <c r="J5314" s="5" t="str">
        <f aca="false">IF($I5314="","","R"&amp;$I5314)</f>
        <v/>
      </c>
    </row>
    <row r="5315" customFormat="false" ht="15" hidden="false" customHeight="true" outlineLevel="0" collapsed="false">
      <c r="H5315" s="14" t="b">
        <f aca="false">IF(중복검사!$A5313="",FALSE(),중복검사!$J5313="유지")</f>
        <v>0</v>
      </c>
      <c r="I5315" s="5" t="str">
        <f aca="false">IF($H5315=FALSE(),"",COUNTIF($H$6:$H5315,TRUE()))</f>
        <v/>
      </c>
      <c r="J5315" s="5" t="str">
        <f aca="false">IF($I5315="","","R"&amp;$I5315)</f>
        <v/>
      </c>
    </row>
    <row r="5316" customFormat="false" ht="15" hidden="false" customHeight="true" outlineLevel="0" collapsed="false">
      <c r="H5316" s="14" t="b">
        <f aca="false">IF(중복검사!$A5314="",FALSE(),중복검사!$J5314="유지")</f>
        <v>0</v>
      </c>
      <c r="I5316" s="5" t="str">
        <f aca="false">IF($H5316=FALSE(),"",COUNTIF($H$6:$H5316,TRUE()))</f>
        <v/>
      </c>
      <c r="J5316" s="5" t="str">
        <f aca="false">IF($I5316="","","R"&amp;$I5316)</f>
        <v/>
      </c>
    </row>
    <row r="5317" customFormat="false" ht="15" hidden="false" customHeight="true" outlineLevel="0" collapsed="false">
      <c r="H5317" s="14" t="b">
        <f aca="false">IF(중복검사!$A5315="",FALSE(),중복검사!$J5315="유지")</f>
        <v>0</v>
      </c>
      <c r="I5317" s="5" t="str">
        <f aca="false">IF($H5317=FALSE(),"",COUNTIF($H$6:$H5317,TRUE()))</f>
        <v/>
      </c>
      <c r="J5317" s="5" t="str">
        <f aca="false">IF($I5317="","","R"&amp;$I5317)</f>
        <v/>
      </c>
    </row>
    <row r="5318" customFormat="false" ht="15" hidden="false" customHeight="true" outlineLevel="0" collapsed="false">
      <c r="H5318" s="14" t="b">
        <f aca="false">IF(중복검사!$A5316="",FALSE(),중복검사!$J5316="유지")</f>
        <v>0</v>
      </c>
      <c r="I5318" s="5" t="str">
        <f aca="false">IF($H5318=FALSE(),"",COUNTIF($H$6:$H5318,TRUE()))</f>
        <v/>
      </c>
      <c r="J5318" s="5" t="str">
        <f aca="false">IF($I5318="","","R"&amp;$I5318)</f>
        <v/>
      </c>
    </row>
    <row r="5319" customFormat="false" ht="15" hidden="false" customHeight="true" outlineLevel="0" collapsed="false">
      <c r="H5319" s="14" t="b">
        <f aca="false">IF(중복검사!$A5317="",FALSE(),중복검사!$J5317="유지")</f>
        <v>0</v>
      </c>
      <c r="I5319" s="5" t="str">
        <f aca="false">IF($H5319=FALSE(),"",COUNTIF($H$6:$H5319,TRUE()))</f>
        <v/>
      </c>
      <c r="J5319" s="5" t="str">
        <f aca="false">IF($I5319="","","R"&amp;$I5319)</f>
        <v/>
      </c>
    </row>
    <row r="5320" customFormat="false" ht="15" hidden="false" customHeight="true" outlineLevel="0" collapsed="false">
      <c r="H5320" s="14" t="b">
        <f aca="false">IF(중복검사!$A5318="",FALSE(),중복검사!$J5318="유지")</f>
        <v>0</v>
      </c>
      <c r="I5320" s="5" t="str">
        <f aca="false">IF($H5320=FALSE(),"",COUNTIF($H$6:$H5320,TRUE()))</f>
        <v/>
      </c>
      <c r="J5320" s="5" t="str">
        <f aca="false">IF($I5320="","","R"&amp;$I5320)</f>
        <v/>
      </c>
    </row>
    <row r="5321" customFormat="false" ht="15" hidden="false" customHeight="true" outlineLevel="0" collapsed="false">
      <c r="H5321" s="14" t="b">
        <f aca="false">IF(중복검사!$A5319="",FALSE(),중복검사!$J5319="유지")</f>
        <v>0</v>
      </c>
      <c r="I5321" s="5" t="str">
        <f aca="false">IF($H5321=FALSE(),"",COUNTIF($H$6:$H5321,TRUE()))</f>
        <v/>
      </c>
      <c r="J5321" s="5" t="str">
        <f aca="false">IF($I5321="","","R"&amp;$I5321)</f>
        <v/>
      </c>
    </row>
    <row r="5322" customFormat="false" ht="15" hidden="false" customHeight="true" outlineLevel="0" collapsed="false">
      <c r="H5322" s="14" t="b">
        <f aca="false">IF(중복검사!$A5320="",FALSE(),중복검사!$J5320="유지")</f>
        <v>0</v>
      </c>
      <c r="I5322" s="5" t="str">
        <f aca="false">IF($H5322=FALSE(),"",COUNTIF($H$6:$H5322,TRUE()))</f>
        <v/>
      </c>
      <c r="J5322" s="5" t="str">
        <f aca="false">IF($I5322="","","R"&amp;$I5322)</f>
        <v/>
      </c>
    </row>
    <row r="5323" customFormat="false" ht="15" hidden="false" customHeight="true" outlineLevel="0" collapsed="false">
      <c r="H5323" s="14" t="b">
        <f aca="false">IF(중복검사!$A5321="",FALSE(),중복검사!$J5321="유지")</f>
        <v>0</v>
      </c>
      <c r="I5323" s="5" t="str">
        <f aca="false">IF($H5323=FALSE(),"",COUNTIF($H$6:$H5323,TRUE()))</f>
        <v/>
      </c>
      <c r="J5323" s="5" t="str">
        <f aca="false">IF($I5323="","","R"&amp;$I5323)</f>
        <v/>
      </c>
    </row>
    <row r="5324" customFormat="false" ht="15" hidden="false" customHeight="true" outlineLevel="0" collapsed="false">
      <c r="H5324" s="14" t="b">
        <f aca="false">IF(중복검사!$A5322="",FALSE(),중복검사!$J5322="유지")</f>
        <v>0</v>
      </c>
      <c r="I5324" s="5" t="str">
        <f aca="false">IF($H5324=FALSE(),"",COUNTIF($H$6:$H5324,TRUE()))</f>
        <v/>
      </c>
      <c r="J5324" s="5" t="str">
        <f aca="false">IF($I5324="","","R"&amp;$I5324)</f>
        <v/>
      </c>
    </row>
    <row r="5325" customFormat="false" ht="15" hidden="false" customHeight="true" outlineLevel="0" collapsed="false">
      <c r="H5325" s="14" t="b">
        <f aca="false">IF(중복검사!$A5323="",FALSE(),중복검사!$J5323="유지")</f>
        <v>0</v>
      </c>
      <c r="I5325" s="5" t="str">
        <f aca="false">IF($H5325=FALSE(),"",COUNTIF($H$6:$H5325,TRUE()))</f>
        <v/>
      </c>
      <c r="J5325" s="5" t="str">
        <f aca="false">IF($I5325="","","R"&amp;$I5325)</f>
        <v/>
      </c>
    </row>
    <row r="5326" customFormat="false" ht="15" hidden="false" customHeight="true" outlineLevel="0" collapsed="false">
      <c r="H5326" s="14" t="b">
        <f aca="false">IF(중복검사!$A5324="",FALSE(),중복검사!$J5324="유지")</f>
        <v>0</v>
      </c>
      <c r="I5326" s="5" t="str">
        <f aca="false">IF($H5326=FALSE(),"",COUNTIF($H$6:$H5326,TRUE()))</f>
        <v/>
      </c>
      <c r="J5326" s="5" t="str">
        <f aca="false">IF($I5326="","","R"&amp;$I5326)</f>
        <v/>
      </c>
    </row>
    <row r="5327" customFormat="false" ht="15" hidden="false" customHeight="true" outlineLevel="0" collapsed="false">
      <c r="H5327" s="14" t="b">
        <f aca="false">IF(중복검사!$A5325="",FALSE(),중복검사!$J5325="유지")</f>
        <v>0</v>
      </c>
      <c r="I5327" s="5" t="str">
        <f aca="false">IF($H5327=FALSE(),"",COUNTIF($H$6:$H5327,TRUE()))</f>
        <v/>
      </c>
      <c r="J5327" s="5" t="str">
        <f aca="false">IF($I5327="","","R"&amp;$I5327)</f>
        <v/>
      </c>
    </row>
    <row r="5328" customFormat="false" ht="15" hidden="false" customHeight="true" outlineLevel="0" collapsed="false">
      <c r="H5328" s="14" t="b">
        <f aca="false">IF(중복검사!$A5326="",FALSE(),중복검사!$J5326="유지")</f>
        <v>0</v>
      </c>
      <c r="I5328" s="5" t="str">
        <f aca="false">IF($H5328=FALSE(),"",COUNTIF($H$6:$H5328,TRUE()))</f>
        <v/>
      </c>
      <c r="J5328" s="5" t="str">
        <f aca="false">IF($I5328="","","R"&amp;$I5328)</f>
        <v/>
      </c>
    </row>
    <row r="5329" customFormat="false" ht="15" hidden="false" customHeight="true" outlineLevel="0" collapsed="false">
      <c r="H5329" s="14" t="b">
        <f aca="false">IF(중복검사!$A5327="",FALSE(),중복검사!$J5327="유지")</f>
        <v>0</v>
      </c>
      <c r="I5329" s="5" t="str">
        <f aca="false">IF($H5329=FALSE(),"",COUNTIF($H$6:$H5329,TRUE()))</f>
        <v/>
      </c>
      <c r="J5329" s="5" t="str">
        <f aca="false">IF($I5329="","","R"&amp;$I5329)</f>
        <v/>
      </c>
    </row>
    <row r="5330" customFormat="false" ht="15" hidden="false" customHeight="true" outlineLevel="0" collapsed="false">
      <c r="H5330" s="14" t="b">
        <f aca="false">IF(중복검사!$A5328="",FALSE(),중복검사!$J5328="유지")</f>
        <v>0</v>
      </c>
      <c r="I5330" s="5" t="str">
        <f aca="false">IF($H5330=FALSE(),"",COUNTIF($H$6:$H5330,TRUE()))</f>
        <v/>
      </c>
      <c r="J5330" s="5" t="str">
        <f aca="false">IF($I5330="","","R"&amp;$I5330)</f>
        <v/>
      </c>
    </row>
    <row r="5331" customFormat="false" ht="15" hidden="false" customHeight="true" outlineLevel="0" collapsed="false">
      <c r="H5331" s="14" t="b">
        <f aca="false">IF(중복검사!$A5329="",FALSE(),중복검사!$J5329="유지")</f>
        <v>0</v>
      </c>
      <c r="I5331" s="5" t="str">
        <f aca="false">IF($H5331=FALSE(),"",COUNTIF($H$6:$H5331,TRUE()))</f>
        <v/>
      </c>
      <c r="J5331" s="5" t="str">
        <f aca="false">IF($I5331="","","R"&amp;$I5331)</f>
        <v/>
      </c>
    </row>
    <row r="5332" customFormat="false" ht="15" hidden="false" customHeight="true" outlineLevel="0" collapsed="false">
      <c r="H5332" s="14" t="b">
        <f aca="false">IF(중복검사!$A5330="",FALSE(),중복검사!$J5330="유지")</f>
        <v>0</v>
      </c>
      <c r="I5332" s="5" t="str">
        <f aca="false">IF($H5332=FALSE(),"",COUNTIF($H$6:$H5332,TRUE()))</f>
        <v/>
      </c>
      <c r="J5332" s="5" t="str">
        <f aca="false">IF($I5332="","","R"&amp;$I5332)</f>
        <v/>
      </c>
    </row>
    <row r="5333" customFormat="false" ht="15" hidden="false" customHeight="true" outlineLevel="0" collapsed="false">
      <c r="H5333" s="14" t="b">
        <f aca="false">IF(중복검사!$A5331="",FALSE(),중복검사!$J5331="유지")</f>
        <v>0</v>
      </c>
      <c r="I5333" s="5" t="str">
        <f aca="false">IF($H5333=FALSE(),"",COUNTIF($H$6:$H5333,TRUE()))</f>
        <v/>
      </c>
      <c r="J5333" s="5" t="str">
        <f aca="false">IF($I5333="","","R"&amp;$I5333)</f>
        <v/>
      </c>
    </row>
    <row r="5334" customFormat="false" ht="15" hidden="false" customHeight="true" outlineLevel="0" collapsed="false">
      <c r="H5334" s="14" t="b">
        <f aca="false">IF(중복검사!$A5332="",FALSE(),중복검사!$J5332="유지")</f>
        <v>0</v>
      </c>
      <c r="I5334" s="5" t="str">
        <f aca="false">IF($H5334=FALSE(),"",COUNTIF($H$6:$H5334,TRUE()))</f>
        <v/>
      </c>
      <c r="J5334" s="5" t="str">
        <f aca="false">IF($I5334="","","R"&amp;$I5334)</f>
        <v/>
      </c>
    </row>
    <row r="5335" customFormat="false" ht="15" hidden="false" customHeight="true" outlineLevel="0" collapsed="false">
      <c r="H5335" s="14" t="b">
        <f aca="false">IF(중복검사!$A5333="",FALSE(),중복검사!$J5333="유지")</f>
        <v>0</v>
      </c>
      <c r="I5335" s="5" t="str">
        <f aca="false">IF($H5335=FALSE(),"",COUNTIF($H$6:$H5335,TRUE()))</f>
        <v/>
      </c>
      <c r="J5335" s="5" t="str">
        <f aca="false">IF($I5335="","","R"&amp;$I5335)</f>
        <v/>
      </c>
    </row>
    <row r="5336" customFormat="false" ht="15" hidden="false" customHeight="true" outlineLevel="0" collapsed="false">
      <c r="H5336" s="14" t="b">
        <f aca="false">IF(중복검사!$A5334="",FALSE(),중복검사!$J5334="유지")</f>
        <v>0</v>
      </c>
      <c r="I5336" s="5" t="str">
        <f aca="false">IF($H5336=FALSE(),"",COUNTIF($H$6:$H5336,TRUE()))</f>
        <v/>
      </c>
      <c r="J5336" s="5" t="str">
        <f aca="false">IF($I5336="","","R"&amp;$I5336)</f>
        <v/>
      </c>
    </row>
    <row r="5337" customFormat="false" ht="15" hidden="false" customHeight="true" outlineLevel="0" collapsed="false">
      <c r="H5337" s="14" t="b">
        <f aca="false">IF(중복검사!$A5335="",FALSE(),중복검사!$J5335="유지")</f>
        <v>0</v>
      </c>
      <c r="I5337" s="5" t="str">
        <f aca="false">IF($H5337=FALSE(),"",COUNTIF($H$6:$H5337,TRUE()))</f>
        <v/>
      </c>
      <c r="J5337" s="5" t="str">
        <f aca="false">IF($I5337="","","R"&amp;$I5337)</f>
        <v/>
      </c>
    </row>
    <row r="5338" customFormat="false" ht="15" hidden="false" customHeight="true" outlineLevel="0" collapsed="false">
      <c r="H5338" s="14" t="b">
        <f aca="false">IF(중복검사!$A5336="",FALSE(),중복검사!$J5336="유지")</f>
        <v>0</v>
      </c>
      <c r="I5338" s="5" t="str">
        <f aca="false">IF($H5338=FALSE(),"",COUNTIF($H$6:$H5338,TRUE()))</f>
        <v/>
      </c>
      <c r="J5338" s="5" t="str">
        <f aca="false">IF($I5338="","","R"&amp;$I5338)</f>
        <v/>
      </c>
    </row>
    <row r="5339" customFormat="false" ht="15" hidden="false" customHeight="true" outlineLevel="0" collapsed="false">
      <c r="H5339" s="14" t="b">
        <f aca="false">IF(중복검사!$A5337="",FALSE(),중복검사!$J5337="유지")</f>
        <v>0</v>
      </c>
      <c r="I5339" s="5" t="str">
        <f aca="false">IF($H5339=FALSE(),"",COUNTIF($H$6:$H5339,TRUE()))</f>
        <v/>
      </c>
      <c r="J5339" s="5" t="str">
        <f aca="false">IF($I5339="","","R"&amp;$I5339)</f>
        <v/>
      </c>
    </row>
    <row r="5340" customFormat="false" ht="15" hidden="false" customHeight="true" outlineLevel="0" collapsed="false">
      <c r="H5340" s="14" t="b">
        <f aca="false">IF(중복검사!$A5338="",FALSE(),중복검사!$J5338="유지")</f>
        <v>0</v>
      </c>
      <c r="I5340" s="5" t="str">
        <f aca="false">IF($H5340=FALSE(),"",COUNTIF($H$6:$H5340,TRUE()))</f>
        <v/>
      </c>
      <c r="J5340" s="5" t="str">
        <f aca="false">IF($I5340="","","R"&amp;$I5340)</f>
        <v/>
      </c>
    </row>
    <row r="5341" customFormat="false" ht="15" hidden="false" customHeight="true" outlineLevel="0" collapsed="false">
      <c r="H5341" s="14" t="b">
        <f aca="false">IF(중복검사!$A5339="",FALSE(),중복검사!$J5339="유지")</f>
        <v>0</v>
      </c>
      <c r="I5341" s="5" t="str">
        <f aca="false">IF($H5341=FALSE(),"",COUNTIF($H$6:$H5341,TRUE()))</f>
        <v/>
      </c>
      <c r="J5341" s="5" t="str">
        <f aca="false">IF($I5341="","","R"&amp;$I5341)</f>
        <v/>
      </c>
    </row>
    <row r="5342" customFormat="false" ht="15" hidden="false" customHeight="true" outlineLevel="0" collapsed="false">
      <c r="H5342" s="14" t="b">
        <f aca="false">IF(중복검사!$A5340="",FALSE(),중복검사!$J5340="유지")</f>
        <v>0</v>
      </c>
      <c r="I5342" s="5" t="str">
        <f aca="false">IF($H5342=FALSE(),"",COUNTIF($H$6:$H5342,TRUE()))</f>
        <v/>
      </c>
      <c r="J5342" s="5" t="str">
        <f aca="false">IF($I5342="","","R"&amp;$I5342)</f>
        <v/>
      </c>
    </row>
    <row r="5343" customFormat="false" ht="15" hidden="false" customHeight="true" outlineLevel="0" collapsed="false">
      <c r="H5343" s="14" t="b">
        <f aca="false">IF(중복검사!$A5341="",FALSE(),중복검사!$J5341="유지")</f>
        <v>0</v>
      </c>
      <c r="I5343" s="5" t="str">
        <f aca="false">IF($H5343=FALSE(),"",COUNTIF($H$6:$H5343,TRUE()))</f>
        <v/>
      </c>
      <c r="J5343" s="5" t="str">
        <f aca="false">IF($I5343="","","R"&amp;$I5343)</f>
        <v/>
      </c>
    </row>
    <row r="5344" customFormat="false" ht="15" hidden="false" customHeight="true" outlineLevel="0" collapsed="false">
      <c r="H5344" s="14" t="b">
        <f aca="false">IF(중복검사!$A5342="",FALSE(),중복검사!$J5342="유지")</f>
        <v>0</v>
      </c>
      <c r="I5344" s="5" t="str">
        <f aca="false">IF($H5344=FALSE(),"",COUNTIF($H$6:$H5344,TRUE()))</f>
        <v/>
      </c>
      <c r="J5344" s="5" t="str">
        <f aca="false">IF($I5344="","","R"&amp;$I5344)</f>
        <v/>
      </c>
    </row>
    <row r="5345" customFormat="false" ht="15" hidden="false" customHeight="true" outlineLevel="0" collapsed="false">
      <c r="H5345" s="14" t="b">
        <f aca="false">IF(중복검사!$A5343="",FALSE(),중복검사!$J5343="유지")</f>
        <v>0</v>
      </c>
      <c r="I5345" s="5" t="str">
        <f aca="false">IF($H5345=FALSE(),"",COUNTIF($H$6:$H5345,TRUE()))</f>
        <v/>
      </c>
      <c r="J5345" s="5" t="str">
        <f aca="false">IF($I5345="","","R"&amp;$I5345)</f>
        <v/>
      </c>
    </row>
    <row r="5346" customFormat="false" ht="15" hidden="false" customHeight="true" outlineLevel="0" collapsed="false">
      <c r="H5346" s="14" t="b">
        <f aca="false">IF(중복검사!$A5344="",FALSE(),중복검사!$J5344="유지")</f>
        <v>0</v>
      </c>
      <c r="I5346" s="5" t="str">
        <f aca="false">IF($H5346=FALSE(),"",COUNTIF($H$6:$H5346,TRUE()))</f>
        <v/>
      </c>
      <c r="J5346" s="5" t="str">
        <f aca="false">IF($I5346="","","R"&amp;$I5346)</f>
        <v/>
      </c>
    </row>
    <row r="5347" customFormat="false" ht="15" hidden="false" customHeight="true" outlineLevel="0" collapsed="false">
      <c r="H5347" s="14" t="b">
        <f aca="false">IF(중복검사!$A5345="",FALSE(),중복검사!$J5345="유지")</f>
        <v>0</v>
      </c>
      <c r="I5347" s="5" t="str">
        <f aca="false">IF($H5347=FALSE(),"",COUNTIF($H$6:$H5347,TRUE()))</f>
        <v/>
      </c>
      <c r="J5347" s="5" t="str">
        <f aca="false">IF($I5347="","","R"&amp;$I5347)</f>
        <v/>
      </c>
    </row>
    <row r="5348" customFormat="false" ht="15" hidden="false" customHeight="true" outlineLevel="0" collapsed="false">
      <c r="H5348" s="14" t="b">
        <f aca="false">IF(중복검사!$A5346="",FALSE(),중복검사!$J5346="유지")</f>
        <v>0</v>
      </c>
      <c r="I5348" s="5" t="str">
        <f aca="false">IF($H5348=FALSE(),"",COUNTIF($H$6:$H5348,TRUE()))</f>
        <v/>
      </c>
      <c r="J5348" s="5" t="str">
        <f aca="false">IF($I5348="","","R"&amp;$I5348)</f>
        <v/>
      </c>
    </row>
    <row r="5349" customFormat="false" ht="15" hidden="false" customHeight="true" outlineLevel="0" collapsed="false">
      <c r="H5349" s="14" t="b">
        <f aca="false">IF(중복검사!$A5347="",FALSE(),중복검사!$J5347="유지")</f>
        <v>0</v>
      </c>
      <c r="I5349" s="5" t="str">
        <f aca="false">IF($H5349=FALSE(),"",COUNTIF($H$6:$H5349,TRUE()))</f>
        <v/>
      </c>
      <c r="J5349" s="5" t="str">
        <f aca="false">IF($I5349="","","R"&amp;$I5349)</f>
        <v/>
      </c>
    </row>
    <row r="5350" customFormat="false" ht="15" hidden="false" customHeight="true" outlineLevel="0" collapsed="false">
      <c r="H5350" s="14" t="b">
        <f aca="false">IF(중복검사!$A5348="",FALSE(),중복검사!$J5348="유지")</f>
        <v>0</v>
      </c>
      <c r="I5350" s="5" t="str">
        <f aca="false">IF($H5350=FALSE(),"",COUNTIF($H$6:$H5350,TRUE()))</f>
        <v/>
      </c>
      <c r="J5350" s="5" t="str">
        <f aca="false">IF($I5350="","","R"&amp;$I5350)</f>
        <v/>
      </c>
    </row>
    <row r="5351" customFormat="false" ht="15" hidden="false" customHeight="true" outlineLevel="0" collapsed="false">
      <c r="H5351" s="14" t="b">
        <f aca="false">IF(중복검사!$A5349="",FALSE(),중복검사!$J5349="유지")</f>
        <v>0</v>
      </c>
      <c r="I5351" s="5" t="str">
        <f aca="false">IF($H5351=FALSE(),"",COUNTIF($H$6:$H5351,TRUE()))</f>
        <v/>
      </c>
      <c r="J5351" s="5" t="str">
        <f aca="false">IF($I5351="","","R"&amp;$I5351)</f>
        <v/>
      </c>
    </row>
    <row r="5352" customFormat="false" ht="15" hidden="false" customHeight="true" outlineLevel="0" collapsed="false">
      <c r="H5352" s="14" t="b">
        <f aca="false">IF(중복검사!$A5350="",FALSE(),중복검사!$J5350="유지")</f>
        <v>0</v>
      </c>
      <c r="I5352" s="5" t="str">
        <f aca="false">IF($H5352=FALSE(),"",COUNTIF($H$6:$H5352,TRUE()))</f>
        <v/>
      </c>
      <c r="J5352" s="5" t="str">
        <f aca="false">IF($I5352="","","R"&amp;$I5352)</f>
        <v/>
      </c>
    </row>
    <row r="5353" customFormat="false" ht="15" hidden="false" customHeight="true" outlineLevel="0" collapsed="false">
      <c r="H5353" s="14" t="b">
        <f aca="false">IF(중복검사!$A5351="",FALSE(),중복검사!$J5351="유지")</f>
        <v>0</v>
      </c>
      <c r="I5353" s="5" t="str">
        <f aca="false">IF($H5353=FALSE(),"",COUNTIF($H$6:$H5353,TRUE()))</f>
        <v/>
      </c>
      <c r="J5353" s="5" t="str">
        <f aca="false">IF($I5353="","","R"&amp;$I5353)</f>
        <v/>
      </c>
    </row>
    <row r="5354" customFormat="false" ht="15" hidden="false" customHeight="true" outlineLevel="0" collapsed="false">
      <c r="H5354" s="14" t="b">
        <f aca="false">IF(중복검사!$A5352="",FALSE(),중복검사!$J5352="유지")</f>
        <v>0</v>
      </c>
      <c r="I5354" s="5" t="str">
        <f aca="false">IF($H5354=FALSE(),"",COUNTIF($H$6:$H5354,TRUE()))</f>
        <v/>
      </c>
      <c r="J5354" s="5" t="str">
        <f aca="false">IF($I5354="","","R"&amp;$I5354)</f>
        <v/>
      </c>
    </row>
    <row r="5355" customFormat="false" ht="15" hidden="false" customHeight="true" outlineLevel="0" collapsed="false">
      <c r="H5355" s="14" t="b">
        <f aca="false">IF(중복검사!$A5353="",FALSE(),중복검사!$J5353="유지")</f>
        <v>0</v>
      </c>
      <c r="I5355" s="5" t="str">
        <f aca="false">IF($H5355=FALSE(),"",COUNTIF($H$6:$H5355,TRUE()))</f>
        <v/>
      </c>
      <c r="J5355" s="5" t="str">
        <f aca="false">IF($I5355="","","R"&amp;$I5355)</f>
        <v/>
      </c>
    </row>
    <row r="5356" customFormat="false" ht="15" hidden="false" customHeight="true" outlineLevel="0" collapsed="false">
      <c r="H5356" s="14" t="b">
        <f aca="false">IF(중복검사!$A5354="",FALSE(),중복검사!$J5354="유지")</f>
        <v>0</v>
      </c>
      <c r="I5356" s="5" t="str">
        <f aca="false">IF($H5356=FALSE(),"",COUNTIF($H$6:$H5356,TRUE()))</f>
        <v/>
      </c>
      <c r="J5356" s="5" t="str">
        <f aca="false">IF($I5356="","","R"&amp;$I5356)</f>
        <v/>
      </c>
    </row>
    <row r="5357" customFormat="false" ht="15" hidden="false" customHeight="true" outlineLevel="0" collapsed="false">
      <c r="H5357" s="14" t="b">
        <f aca="false">IF(중복검사!$A5355="",FALSE(),중복검사!$J5355="유지")</f>
        <v>0</v>
      </c>
      <c r="I5357" s="5" t="str">
        <f aca="false">IF($H5357=FALSE(),"",COUNTIF($H$6:$H5357,TRUE()))</f>
        <v/>
      </c>
      <c r="J5357" s="5" t="str">
        <f aca="false">IF($I5357="","","R"&amp;$I5357)</f>
        <v/>
      </c>
    </row>
    <row r="5358" customFormat="false" ht="15" hidden="false" customHeight="true" outlineLevel="0" collapsed="false">
      <c r="H5358" s="14" t="b">
        <f aca="false">IF(중복검사!$A5356="",FALSE(),중복검사!$J5356="유지")</f>
        <v>0</v>
      </c>
      <c r="I5358" s="5" t="str">
        <f aca="false">IF($H5358=FALSE(),"",COUNTIF($H$6:$H5358,TRUE()))</f>
        <v/>
      </c>
      <c r="J5358" s="5" t="str">
        <f aca="false">IF($I5358="","","R"&amp;$I5358)</f>
        <v/>
      </c>
    </row>
    <row r="5359" customFormat="false" ht="15" hidden="false" customHeight="true" outlineLevel="0" collapsed="false">
      <c r="H5359" s="14" t="b">
        <f aca="false">IF(중복검사!$A5357="",FALSE(),중복검사!$J5357="유지")</f>
        <v>0</v>
      </c>
      <c r="I5359" s="5" t="str">
        <f aca="false">IF($H5359=FALSE(),"",COUNTIF($H$6:$H5359,TRUE()))</f>
        <v/>
      </c>
      <c r="J5359" s="5" t="str">
        <f aca="false">IF($I5359="","","R"&amp;$I5359)</f>
        <v/>
      </c>
    </row>
    <row r="5360" customFormat="false" ht="15" hidden="false" customHeight="true" outlineLevel="0" collapsed="false">
      <c r="H5360" s="14" t="b">
        <f aca="false">IF(중복검사!$A5358="",FALSE(),중복검사!$J5358="유지")</f>
        <v>0</v>
      </c>
      <c r="I5360" s="5" t="str">
        <f aca="false">IF($H5360=FALSE(),"",COUNTIF($H$6:$H5360,TRUE()))</f>
        <v/>
      </c>
      <c r="J5360" s="5" t="str">
        <f aca="false">IF($I5360="","","R"&amp;$I5360)</f>
        <v/>
      </c>
    </row>
    <row r="5361" customFormat="false" ht="15" hidden="false" customHeight="true" outlineLevel="0" collapsed="false">
      <c r="H5361" s="14" t="b">
        <f aca="false">IF(중복검사!$A5359="",FALSE(),중복검사!$J5359="유지")</f>
        <v>0</v>
      </c>
      <c r="I5361" s="5" t="str">
        <f aca="false">IF($H5361=FALSE(),"",COUNTIF($H$6:$H5361,TRUE()))</f>
        <v/>
      </c>
      <c r="J5361" s="5" t="str">
        <f aca="false">IF($I5361="","","R"&amp;$I5361)</f>
        <v/>
      </c>
    </row>
    <row r="5362" customFormat="false" ht="15" hidden="false" customHeight="true" outlineLevel="0" collapsed="false">
      <c r="H5362" s="14" t="b">
        <f aca="false">IF(중복검사!$A5360="",FALSE(),중복검사!$J5360="유지")</f>
        <v>0</v>
      </c>
      <c r="I5362" s="5" t="str">
        <f aca="false">IF($H5362=FALSE(),"",COUNTIF($H$6:$H5362,TRUE()))</f>
        <v/>
      </c>
      <c r="J5362" s="5" t="str">
        <f aca="false">IF($I5362="","","R"&amp;$I5362)</f>
        <v/>
      </c>
    </row>
    <row r="5363" customFormat="false" ht="15" hidden="false" customHeight="true" outlineLevel="0" collapsed="false">
      <c r="H5363" s="14" t="b">
        <f aca="false">IF(중복검사!$A5361="",FALSE(),중복검사!$J5361="유지")</f>
        <v>0</v>
      </c>
      <c r="I5363" s="5" t="str">
        <f aca="false">IF($H5363=FALSE(),"",COUNTIF($H$6:$H5363,TRUE()))</f>
        <v/>
      </c>
      <c r="J5363" s="5" t="str">
        <f aca="false">IF($I5363="","","R"&amp;$I5363)</f>
        <v/>
      </c>
    </row>
    <row r="5364" customFormat="false" ht="15" hidden="false" customHeight="true" outlineLevel="0" collapsed="false">
      <c r="H5364" s="14" t="b">
        <f aca="false">IF(중복검사!$A5362="",FALSE(),중복검사!$J5362="유지")</f>
        <v>0</v>
      </c>
      <c r="I5364" s="5" t="str">
        <f aca="false">IF($H5364=FALSE(),"",COUNTIF($H$6:$H5364,TRUE()))</f>
        <v/>
      </c>
      <c r="J5364" s="5" t="str">
        <f aca="false">IF($I5364="","","R"&amp;$I5364)</f>
        <v/>
      </c>
    </row>
    <row r="5365" customFormat="false" ht="15" hidden="false" customHeight="true" outlineLevel="0" collapsed="false">
      <c r="H5365" s="14" t="b">
        <f aca="false">IF(중복검사!$A5363="",FALSE(),중복검사!$J5363="유지")</f>
        <v>0</v>
      </c>
      <c r="I5365" s="5" t="str">
        <f aca="false">IF($H5365=FALSE(),"",COUNTIF($H$6:$H5365,TRUE()))</f>
        <v/>
      </c>
      <c r="J5365" s="5" t="str">
        <f aca="false">IF($I5365="","","R"&amp;$I5365)</f>
        <v/>
      </c>
    </row>
    <row r="5366" customFormat="false" ht="15" hidden="false" customHeight="true" outlineLevel="0" collapsed="false">
      <c r="H5366" s="14" t="b">
        <f aca="false">IF(중복검사!$A5364="",FALSE(),중복검사!$J5364="유지")</f>
        <v>0</v>
      </c>
      <c r="I5366" s="5" t="str">
        <f aca="false">IF($H5366=FALSE(),"",COUNTIF($H$6:$H5366,TRUE()))</f>
        <v/>
      </c>
      <c r="J5366" s="5" t="str">
        <f aca="false">IF($I5366="","","R"&amp;$I5366)</f>
        <v/>
      </c>
    </row>
    <row r="5367" customFormat="false" ht="15" hidden="false" customHeight="true" outlineLevel="0" collapsed="false">
      <c r="H5367" s="14" t="b">
        <f aca="false">IF(중복검사!$A5365="",FALSE(),중복검사!$J5365="유지")</f>
        <v>0</v>
      </c>
      <c r="I5367" s="5" t="str">
        <f aca="false">IF($H5367=FALSE(),"",COUNTIF($H$6:$H5367,TRUE()))</f>
        <v/>
      </c>
      <c r="J5367" s="5" t="str">
        <f aca="false">IF($I5367="","","R"&amp;$I5367)</f>
        <v/>
      </c>
    </row>
    <row r="5368" customFormat="false" ht="15" hidden="false" customHeight="true" outlineLevel="0" collapsed="false">
      <c r="H5368" s="14" t="b">
        <f aca="false">IF(중복검사!$A5366="",FALSE(),중복검사!$J5366="유지")</f>
        <v>0</v>
      </c>
      <c r="I5368" s="5" t="str">
        <f aca="false">IF($H5368=FALSE(),"",COUNTIF($H$6:$H5368,TRUE()))</f>
        <v/>
      </c>
      <c r="J5368" s="5" t="str">
        <f aca="false">IF($I5368="","","R"&amp;$I5368)</f>
        <v/>
      </c>
    </row>
    <row r="5369" customFormat="false" ht="15" hidden="false" customHeight="true" outlineLevel="0" collapsed="false">
      <c r="H5369" s="14" t="b">
        <f aca="false">IF(중복검사!$A5367="",FALSE(),중복검사!$J5367="유지")</f>
        <v>0</v>
      </c>
      <c r="I5369" s="5" t="str">
        <f aca="false">IF($H5369=FALSE(),"",COUNTIF($H$6:$H5369,TRUE()))</f>
        <v/>
      </c>
      <c r="J5369" s="5" t="str">
        <f aca="false">IF($I5369="","","R"&amp;$I5369)</f>
        <v/>
      </c>
    </row>
    <row r="5370" customFormat="false" ht="15" hidden="false" customHeight="true" outlineLevel="0" collapsed="false">
      <c r="H5370" s="14" t="b">
        <f aca="false">IF(중복검사!$A5368="",FALSE(),중복검사!$J5368="유지")</f>
        <v>0</v>
      </c>
      <c r="I5370" s="5" t="str">
        <f aca="false">IF($H5370=FALSE(),"",COUNTIF($H$6:$H5370,TRUE()))</f>
        <v/>
      </c>
      <c r="J5370" s="5" t="str">
        <f aca="false">IF($I5370="","","R"&amp;$I5370)</f>
        <v/>
      </c>
    </row>
    <row r="5371" customFormat="false" ht="15" hidden="false" customHeight="true" outlineLevel="0" collapsed="false">
      <c r="H5371" s="14" t="b">
        <f aca="false">IF(중복검사!$A5369="",FALSE(),중복검사!$J5369="유지")</f>
        <v>0</v>
      </c>
      <c r="I5371" s="5" t="str">
        <f aca="false">IF($H5371=FALSE(),"",COUNTIF($H$6:$H5371,TRUE()))</f>
        <v/>
      </c>
      <c r="J5371" s="5" t="str">
        <f aca="false">IF($I5371="","","R"&amp;$I5371)</f>
        <v/>
      </c>
    </row>
    <row r="5372" customFormat="false" ht="15" hidden="false" customHeight="true" outlineLevel="0" collapsed="false">
      <c r="H5372" s="14" t="b">
        <f aca="false">IF(중복검사!$A5370="",FALSE(),중복검사!$J5370="유지")</f>
        <v>0</v>
      </c>
      <c r="I5372" s="5" t="str">
        <f aca="false">IF($H5372=FALSE(),"",COUNTIF($H$6:$H5372,TRUE()))</f>
        <v/>
      </c>
      <c r="J5372" s="5" t="str">
        <f aca="false">IF($I5372="","","R"&amp;$I5372)</f>
        <v/>
      </c>
    </row>
    <row r="5373" customFormat="false" ht="15" hidden="false" customHeight="true" outlineLevel="0" collapsed="false">
      <c r="H5373" s="14" t="b">
        <f aca="false">IF(중복검사!$A5371="",FALSE(),중복검사!$J5371="유지")</f>
        <v>0</v>
      </c>
      <c r="I5373" s="5" t="str">
        <f aca="false">IF($H5373=FALSE(),"",COUNTIF($H$6:$H5373,TRUE()))</f>
        <v/>
      </c>
      <c r="J5373" s="5" t="str">
        <f aca="false">IF($I5373="","","R"&amp;$I5373)</f>
        <v/>
      </c>
    </row>
    <row r="5374" customFormat="false" ht="15" hidden="false" customHeight="true" outlineLevel="0" collapsed="false">
      <c r="H5374" s="14" t="b">
        <f aca="false">IF(중복검사!$A5372="",FALSE(),중복검사!$J5372="유지")</f>
        <v>0</v>
      </c>
      <c r="I5374" s="5" t="str">
        <f aca="false">IF($H5374=FALSE(),"",COUNTIF($H$6:$H5374,TRUE()))</f>
        <v/>
      </c>
      <c r="J5374" s="5" t="str">
        <f aca="false">IF($I5374="","","R"&amp;$I5374)</f>
        <v/>
      </c>
    </row>
    <row r="5375" customFormat="false" ht="15" hidden="false" customHeight="true" outlineLevel="0" collapsed="false">
      <c r="H5375" s="14" t="b">
        <f aca="false">IF(중복검사!$A5373="",FALSE(),중복검사!$J5373="유지")</f>
        <v>0</v>
      </c>
      <c r="I5375" s="5" t="str">
        <f aca="false">IF($H5375=FALSE(),"",COUNTIF($H$6:$H5375,TRUE()))</f>
        <v/>
      </c>
      <c r="J5375" s="5" t="str">
        <f aca="false">IF($I5375="","","R"&amp;$I5375)</f>
        <v/>
      </c>
    </row>
    <row r="5376" customFormat="false" ht="15" hidden="false" customHeight="true" outlineLevel="0" collapsed="false">
      <c r="H5376" s="14" t="b">
        <f aca="false">IF(중복검사!$A5374="",FALSE(),중복검사!$J5374="유지")</f>
        <v>0</v>
      </c>
      <c r="I5376" s="5" t="str">
        <f aca="false">IF($H5376=FALSE(),"",COUNTIF($H$6:$H5376,TRUE()))</f>
        <v/>
      </c>
      <c r="J5376" s="5" t="str">
        <f aca="false">IF($I5376="","","R"&amp;$I5376)</f>
        <v/>
      </c>
    </row>
    <row r="5377" customFormat="false" ht="15" hidden="false" customHeight="true" outlineLevel="0" collapsed="false">
      <c r="H5377" s="14" t="b">
        <f aca="false">IF(중복검사!$A5375="",FALSE(),중복검사!$J5375="유지")</f>
        <v>0</v>
      </c>
      <c r="I5377" s="5" t="str">
        <f aca="false">IF($H5377=FALSE(),"",COUNTIF($H$6:$H5377,TRUE()))</f>
        <v/>
      </c>
      <c r="J5377" s="5" t="str">
        <f aca="false">IF($I5377="","","R"&amp;$I5377)</f>
        <v/>
      </c>
    </row>
    <row r="5378" customFormat="false" ht="15" hidden="false" customHeight="true" outlineLevel="0" collapsed="false">
      <c r="H5378" s="14" t="b">
        <f aca="false">IF(중복검사!$A5376="",FALSE(),중복검사!$J5376="유지")</f>
        <v>0</v>
      </c>
      <c r="I5378" s="5" t="str">
        <f aca="false">IF($H5378=FALSE(),"",COUNTIF($H$6:$H5378,TRUE()))</f>
        <v/>
      </c>
      <c r="J5378" s="5" t="str">
        <f aca="false">IF($I5378="","","R"&amp;$I5378)</f>
        <v/>
      </c>
    </row>
    <row r="5379" customFormat="false" ht="15" hidden="false" customHeight="true" outlineLevel="0" collapsed="false">
      <c r="H5379" s="14" t="b">
        <f aca="false">IF(중복검사!$A5377="",FALSE(),중복검사!$J5377="유지")</f>
        <v>0</v>
      </c>
      <c r="I5379" s="5" t="str">
        <f aca="false">IF($H5379=FALSE(),"",COUNTIF($H$6:$H5379,TRUE()))</f>
        <v/>
      </c>
      <c r="J5379" s="5" t="str">
        <f aca="false">IF($I5379="","","R"&amp;$I5379)</f>
        <v/>
      </c>
    </row>
    <row r="5380" customFormat="false" ht="15" hidden="false" customHeight="true" outlineLevel="0" collapsed="false">
      <c r="H5380" s="14" t="b">
        <f aca="false">IF(중복검사!$A5378="",FALSE(),중복검사!$J5378="유지")</f>
        <v>0</v>
      </c>
      <c r="I5380" s="5" t="str">
        <f aca="false">IF($H5380=FALSE(),"",COUNTIF($H$6:$H5380,TRUE()))</f>
        <v/>
      </c>
      <c r="J5380" s="5" t="str">
        <f aca="false">IF($I5380="","","R"&amp;$I5380)</f>
        <v/>
      </c>
    </row>
    <row r="5381" customFormat="false" ht="15" hidden="false" customHeight="true" outlineLevel="0" collapsed="false">
      <c r="H5381" s="14" t="b">
        <f aca="false">IF(중복검사!$A5379="",FALSE(),중복검사!$J5379="유지")</f>
        <v>0</v>
      </c>
      <c r="I5381" s="5" t="str">
        <f aca="false">IF($H5381=FALSE(),"",COUNTIF($H$6:$H5381,TRUE()))</f>
        <v/>
      </c>
      <c r="J5381" s="5" t="str">
        <f aca="false">IF($I5381="","","R"&amp;$I5381)</f>
        <v/>
      </c>
    </row>
    <row r="5382" customFormat="false" ht="15" hidden="false" customHeight="true" outlineLevel="0" collapsed="false">
      <c r="H5382" s="14" t="b">
        <f aca="false">IF(중복검사!$A5380="",FALSE(),중복검사!$J5380="유지")</f>
        <v>0</v>
      </c>
      <c r="I5382" s="5" t="str">
        <f aca="false">IF($H5382=FALSE(),"",COUNTIF($H$6:$H5382,TRUE()))</f>
        <v/>
      </c>
      <c r="J5382" s="5" t="str">
        <f aca="false">IF($I5382="","","R"&amp;$I5382)</f>
        <v/>
      </c>
    </row>
    <row r="5383" customFormat="false" ht="15" hidden="false" customHeight="true" outlineLevel="0" collapsed="false">
      <c r="H5383" s="14" t="b">
        <f aca="false">IF(중복검사!$A5381="",FALSE(),중복검사!$J5381="유지")</f>
        <v>0</v>
      </c>
      <c r="I5383" s="5" t="str">
        <f aca="false">IF($H5383=FALSE(),"",COUNTIF($H$6:$H5383,TRUE()))</f>
        <v/>
      </c>
      <c r="J5383" s="5" t="str">
        <f aca="false">IF($I5383="","","R"&amp;$I5383)</f>
        <v/>
      </c>
    </row>
    <row r="5384" customFormat="false" ht="15" hidden="false" customHeight="true" outlineLevel="0" collapsed="false">
      <c r="H5384" s="14" t="b">
        <f aca="false">IF(중복검사!$A5382="",FALSE(),중복검사!$J5382="유지")</f>
        <v>0</v>
      </c>
      <c r="I5384" s="5" t="str">
        <f aca="false">IF($H5384=FALSE(),"",COUNTIF($H$6:$H5384,TRUE()))</f>
        <v/>
      </c>
      <c r="J5384" s="5" t="str">
        <f aca="false">IF($I5384="","","R"&amp;$I5384)</f>
        <v/>
      </c>
    </row>
    <row r="5385" customFormat="false" ht="15" hidden="false" customHeight="true" outlineLevel="0" collapsed="false">
      <c r="H5385" s="14" t="b">
        <f aca="false">IF(중복검사!$A5383="",FALSE(),중복검사!$J5383="유지")</f>
        <v>0</v>
      </c>
      <c r="I5385" s="5" t="str">
        <f aca="false">IF($H5385=FALSE(),"",COUNTIF($H$6:$H5385,TRUE()))</f>
        <v/>
      </c>
      <c r="J5385" s="5" t="str">
        <f aca="false">IF($I5385="","","R"&amp;$I5385)</f>
        <v/>
      </c>
    </row>
    <row r="5386" customFormat="false" ht="15" hidden="false" customHeight="true" outlineLevel="0" collapsed="false">
      <c r="H5386" s="14" t="b">
        <f aca="false">IF(중복검사!$A5384="",FALSE(),중복검사!$J5384="유지")</f>
        <v>0</v>
      </c>
      <c r="I5386" s="5" t="str">
        <f aca="false">IF($H5386=FALSE(),"",COUNTIF($H$6:$H5386,TRUE()))</f>
        <v/>
      </c>
      <c r="J5386" s="5" t="str">
        <f aca="false">IF($I5386="","","R"&amp;$I5386)</f>
        <v/>
      </c>
    </row>
    <row r="5387" customFormat="false" ht="15" hidden="false" customHeight="true" outlineLevel="0" collapsed="false">
      <c r="H5387" s="14" t="b">
        <f aca="false">IF(중복검사!$A5385="",FALSE(),중복검사!$J5385="유지")</f>
        <v>0</v>
      </c>
      <c r="I5387" s="5" t="str">
        <f aca="false">IF($H5387=FALSE(),"",COUNTIF($H$6:$H5387,TRUE()))</f>
        <v/>
      </c>
      <c r="J5387" s="5" t="str">
        <f aca="false">IF($I5387="","","R"&amp;$I5387)</f>
        <v/>
      </c>
    </row>
    <row r="5388" customFormat="false" ht="15" hidden="false" customHeight="true" outlineLevel="0" collapsed="false">
      <c r="H5388" s="14" t="b">
        <f aca="false">IF(중복검사!$A5386="",FALSE(),중복검사!$J5386="유지")</f>
        <v>0</v>
      </c>
      <c r="I5388" s="5" t="str">
        <f aca="false">IF($H5388=FALSE(),"",COUNTIF($H$6:$H5388,TRUE()))</f>
        <v/>
      </c>
      <c r="J5388" s="5" t="str">
        <f aca="false">IF($I5388="","","R"&amp;$I5388)</f>
        <v/>
      </c>
    </row>
    <row r="5389" customFormat="false" ht="15" hidden="false" customHeight="true" outlineLevel="0" collapsed="false">
      <c r="H5389" s="14" t="b">
        <f aca="false">IF(중복검사!$A5387="",FALSE(),중복검사!$J5387="유지")</f>
        <v>0</v>
      </c>
      <c r="I5389" s="5" t="str">
        <f aca="false">IF($H5389=FALSE(),"",COUNTIF($H$6:$H5389,TRUE()))</f>
        <v/>
      </c>
      <c r="J5389" s="5" t="str">
        <f aca="false">IF($I5389="","","R"&amp;$I5389)</f>
        <v/>
      </c>
    </row>
    <row r="5390" customFormat="false" ht="15" hidden="false" customHeight="true" outlineLevel="0" collapsed="false">
      <c r="H5390" s="14" t="b">
        <f aca="false">IF(중복검사!$A5388="",FALSE(),중복검사!$J5388="유지")</f>
        <v>0</v>
      </c>
      <c r="I5390" s="5" t="str">
        <f aca="false">IF($H5390=FALSE(),"",COUNTIF($H$6:$H5390,TRUE()))</f>
        <v/>
      </c>
      <c r="J5390" s="5" t="str">
        <f aca="false">IF($I5390="","","R"&amp;$I5390)</f>
        <v/>
      </c>
    </row>
    <row r="5391" customFormat="false" ht="15" hidden="false" customHeight="true" outlineLevel="0" collapsed="false">
      <c r="H5391" s="14" t="b">
        <f aca="false">IF(중복검사!$A5389="",FALSE(),중복검사!$J5389="유지")</f>
        <v>0</v>
      </c>
      <c r="I5391" s="5" t="str">
        <f aca="false">IF($H5391=FALSE(),"",COUNTIF($H$6:$H5391,TRUE()))</f>
        <v/>
      </c>
      <c r="J5391" s="5" t="str">
        <f aca="false">IF($I5391="","","R"&amp;$I5391)</f>
        <v/>
      </c>
    </row>
    <row r="5392" customFormat="false" ht="15" hidden="false" customHeight="true" outlineLevel="0" collapsed="false">
      <c r="H5392" s="14" t="b">
        <f aca="false">IF(중복검사!$A5390="",FALSE(),중복검사!$J5390="유지")</f>
        <v>0</v>
      </c>
      <c r="I5392" s="5" t="str">
        <f aca="false">IF($H5392=FALSE(),"",COUNTIF($H$6:$H5392,TRUE()))</f>
        <v/>
      </c>
      <c r="J5392" s="5" t="str">
        <f aca="false">IF($I5392="","","R"&amp;$I5392)</f>
        <v/>
      </c>
    </row>
    <row r="5393" customFormat="false" ht="15" hidden="false" customHeight="true" outlineLevel="0" collapsed="false">
      <c r="H5393" s="14" t="b">
        <f aca="false">IF(중복검사!$A5391="",FALSE(),중복검사!$J5391="유지")</f>
        <v>0</v>
      </c>
      <c r="I5393" s="5" t="str">
        <f aca="false">IF($H5393=FALSE(),"",COUNTIF($H$6:$H5393,TRUE()))</f>
        <v/>
      </c>
      <c r="J5393" s="5" t="str">
        <f aca="false">IF($I5393="","","R"&amp;$I5393)</f>
        <v/>
      </c>
    </row>
    <row r="5394" customFormat="false" ht="15" hidden="false" customHeight="true" outlineLevel="0" collapsed="false">
      <c r="H5394" s="14" t="b">
        <f aca="false">IF(중복검사!$A5392="",FALSE(),중복검사!$J5392="유지")</f>
        <v>0</v>
      </c>
      <c r="I5394" s="5" t="str">
        <f aca="false">IF($H5394=FALSE(),"",COUNTIF($H$6:$H5394,TRUE()))</f>
        <v/>
      </c>
      <c r="J5394" s="5" t="str">
        <f aca="false">IF($I5394="","","R"&amp;$I5394)</f>
        <v/>
      </c>
    </row>
    <row r="5395" customFormat="false" ht="15" hidden="false" customHeight="true" outlineLevel="0" collapsed="false">
      <c r="H5395" s="14" t="b">
        <f aca="false">IF(중복검사!$A5393="",FALSE(),중복검사!$J5393="유지")</f>
        <v>0</v>
      </c>
      <c r="I5395" s="5" t="str">
        <f aca="false">IF($H5395=FALSE(),"",COUNTIF($H$6:$H5395,TRUE()))</f>
        <v/>
      </c>
      <c r="J5395" s="5" t="str">
        <f aca="false">IF($I5395="","","R"&amp;$I5395)</f>
        <v/>
      </c>
    </row>
    <row r="5396" customFormat="false" ht="15" hidden="false" customHeight="true" outlineLevel="0" collapsed="false">
      <c r="H5396" s="14" t="b">
        <f aca="false">IF(중복검사!$A5394="",FALSE(),중복검사!$J5394="유지")</f>
        <v>0</v>
      </c>
      <c r="I5396" s="5" t="str">
        <f aca="false">IF($H5396=FALSE(),"",COUNTIF($H$6:$H5396,TRUE()))</f>
        <v/>
      </c>
      <c r="J5396" s="5" t="str">
        <f aca="false">IF($I5396="","","R"&amp;$I5396)</f>
        <v/>
      </c>
    </row>
    <row r="5397" customFormat="false" ht="15" hidden="false" customHeight="true" outlineLevel="0" collapsed="false">
      <c r="H5397" s="14" t="b">
        <f aca="false">IF(중복검사!$A5395="",FALSE(),중복검사!$J5395="유지")</f>
        <v>0</v>
      </c>
      <c r="I5397" s="5" t="str">
        <f aca="false">IF($H5397=FALSE(),"",COUNTIF($H$6:$H5397,TRUE()))</f>
        <v/>
      </c>
      <c r="J5397" s="5" t="str">
        <f aca="false">IF($I5397="","","R"&amp;$I5397)</f>
        <v/>
      </c>
    </row>
    <row r="5398" customFormat="false" ht="15" hidden="false" customHeight="true" outlineLevel="0" collapsed="false">
      <c r="H5398" s="14" t="b">
        <f aca="false">IF(중복검사!$A5396="",FALSE(),중복검사!$J5396="유지")</f>
        <v>0</v>
      </c>
      <c r="I5398" s="5" t="str">
        <f aca="false">IF($H5398=FALSE(),"",COUNTIF($H$6:$H5398,TRUE()))</f>
        <v/>
      </c>
      <c r="J5398" s="5" t="str">
        <f aca="false">IF($I5398="","","R"&amp;$I5398)</f>
        <v/>
      </c>
    </row>
    <row r="5399" customFormat="false" ht="15" hidden="false" customHeight="true" outlineLevel="0" collapsed="false">
      <c r="H5399" s="14" t="b">
        <f aca="false">IF(중복검사!$A5397="",FALSE(),중복검사!$J5397="유지")</f>
        <v>0</v>
      </c>
      <c r="I5399" s="5" t="str">
        <f aca="false">IF($H5399=FALSE(),"",COUNTIF($H$6:$H5399,TRUE()))</f>
        <v/>
      </c>
      <c r="J5399" s="5" t="str">
        <f aca="false">IF($I5399="","","R"&amp;$I5399)</f>
        <v/>
      </c>
    </row>
    <row r="5400" customFormat="false" ht="15" hidden="false" customHeight="true" outlineLevel="0" collapsed="false">
      <c r="H5400" s="14" t="b">
        <f aca="false">IF(중복검사!$A5398="",FALSE(),중복검사!$J5398="유지")</f>
        <v>0</v>
      </c>
      <c r="I5400" s="5" t="str">
        <f aca="false">IF($H5400=FALSE(),"",COUNTIF($H$6:$H5400,TRUE()))</f>
        <v/>
      </c>
      <c r="J5400" s="5" t="str">
        <f aca="false">IF($I5400="","","R"&amp;$I5400)</f>
        <v/>
      </c>
    </row>
    <row r="5401" customFormat="false" ht="15" hidden="false" customHeight="true" outlineLevel="0" collapsed="false">
      <c r="H5401" s="14" t="b">
        <f aca="false">IF(중복검사!$A5399="",FALSE(),중복검사!$J5399="유지")</f>
        <v>0</v>
      </c>
      <c r="I5401" s="5" t="str">
        <f aca="false">IF($H5401=FALSE(),"",COUNTIF($H$6:$H5401,TRUE()))</f>
        <v/>
      </c>
      <c r="J5401" s="5" t="str">
        <f aca="false">IF($I5401="","","R"&amp;$I5401)</f>
        <v/>
      </c>
    </row>
    <row r="5402" customFormat="false" ht="15" hidden="false" customHeight="true" outlineLevel="0" collapsed="false">
      <c r="H5402" s="14" t="b">
        <f aca="false">IF(중복검사!$A5400="",FALSE(),중복검사!$J5400="유지")</f>
        <v>0</v>
      </c>
      <c r="I5402" s="5" t="str">
        <f aca="false">IF($H5402=FALSE(),"",COUNTIF($H$6:$H5402,TRUE()))</f>
        <v/>
      </c>
      <c r="J5402" s="5" t="str">
        <f aca="false">IF($I5402="","","R"&amp;$I5402)</f>
        <v/>
      </c>
    </row>
    <row r="5403" customFormat="false" ht="15" hidden="false" customHeight="true" outlineLevel="0" collapsed="false">
      <c r="H5403" s="14" t="b">
        <f aca="false">IF(중복검사!$A5401="",FALSE(),중복검사!$J5401="유지")</f>
        <v>0</v>
      </c>
      <c r="I5403" s="5" t="str">
        <f aca="false">IF($H5403=FALSE(),"",COUNTIF($H$6:$H5403,TRUE()))</f>
        <v/>
      </c>
      <c r="J5403" s="5" t="str">
        <f aca="false">IF($I5403="","","R"&amp;$I5403)</f>
        <v/>
      </c>
    </row>
    <row r="5404" customFormat="false" ht="15" hidden="false" customHeight="true" outlineLevel="0" collapsed="false">
      <c r="H5404" s="14" t="b">
        <f aca="false">IF(중복검사!$A5402="",FALSE(),중복검사!$J5402="유지")</f>
        <v>0</v>
      </c>
      <c r="I5404" s="5" t="str">
        <f aca="false">IF($H5404=FALSE(),"",COUNTIF($H$6:$H5404,TRUE()))</f>
        <v/>
      </c>
      <c r="J5404" s="5" t="str">
        <f aca="false">IF($I5404="","","R"&amp;$I5404)</f>
        <v/>
      </c>
    </row>
    <row r="5405" customFormat="false" ht="15" hidden="false" customHeight="true" outlineLevel="0" collapsed="false">
      <c r="H5405" s="14" t="b">
        <f aca="false">IF(중복검사!$A5403="",FALSE(),중복검사!$J5403="유지")</f>
        <v>0</v>
      </c>
      <c r="I5405" s="5" t="str">
        <f aca="false">IF($H5405=FALSE(),"",COUNTIF($H$6:$H5405,TRUE()))</f>
        <v/>
      </c>
      <c r="J5405" s="5" t="str">
        <f aca="false">IF($I5405="","","R"&amp;$I5405)</f>
        <v/>
      </c>
    </row>
    <row r="5406" customFormat="false" ht="15" hidden="false" customHeight="true" outlineLevel="0" collapsed="false">
      <c r="H5406" s="14" t="b">
        <f aca="false">IF(중복검사!$A5404="",FALSE(),중복검사!$J5404="유지")</f>
        <v>0</v>
      </c>
      <c r="I5406" s="5" t="str">
        <f aca="false">IF($H5406=FALSE(),"",COUNTIF($H$6:$H5406,TRUE()))</f>
        <v/>
      </c>
      <c r="J5406" s="5" t="str">
        <f aca="false">IF($I5406="","","R"&amp;$I5406)</f>
        <v/>
      </c>
    </row>
    <row r="5407" customFormat="false" ht="15" hidden="false" customHeight="true" outlineLevel="0" collapsed="false">
      <c r="H5407" s="14" t="b">
        <f aca="false">IF(중복검사!$A5405="",FALSE(),중복검사!$J5405="유지")</f>
        <v>0</v>
      </c>
      <c r="I5407" s="5" t="str">
        <f aca="false">IF($H5407=FALSE(),"",COUNTIF($H$6:$H5407,TRUE()))</f>
        <v/>
      </c>
      <c r="J5407" s="5" t="str">
        <f aca="false">IF($I5407="","","R"&amp;$I5407)</f>
        <v/>
      </c>
    </row>
    <row r="5408" customFormat="false" ht="15" hidden="false" customHeight="true" outlineLevel="0" collapsed="false">
      <c r="H5408" s="14" t="b">
        <f aca="false">IF(중복검사!$A5406="",FALSE(),중복검사!$J5406="유지")</f>
        <v>0</v>
      </c>
      <c r="I5408" s="5" t="str">
        <f aca="false">IF($H5408=FALSE(),"",COUNTIF($H$6:$H5408,TRUE()))</f>
        <v/>
      </c>
      <c r="J5408" s="5" t="str">
        <f aca="false">IF($I5408="","","R"&amp;$I5408)</f>
        <v/>
      </c>
    </row>
    <row r="5409" customFormat="false" ht="15" hidden="false" customHeight="true" outlineLevel="0" collapsed="false">
      <c r="H5409" s="14" t="b">
        <f aca="false">IF(중복검사!$A5407="",FALSE(),중복검사!$J5407="유지")</f>
        <v>0</v>
      </c>
      <c r="I5409" s="5" t="str">
        <f aca="false">IF($H5409=FALSE(),"",COUNTIF($H$6:$H5409,TRUE()))</f>
        <v/>
      </c>
      <c r="J5409" s="5" t="str">
        <f aca="false">IF($I5409="","","R"&amp;$I5409)</f>
        <v/>
      </c>
    </row>
    <row r="5410" customFormat="false" ht="15" hidden="false" customHeight="true" outlineLevel="0" collapsed="false">
      <c r="H5410" s="14" t="b">
        <f aca="false">IF(중복검사!$A5408="",FALSE(),중복검사!$J5408="유지")</f>
        <v>0</v>
      </c>
      <c r="I5410" s="5" t="str">
        <f aca="false">IF($H5410=FALSE(),"",COUNTIF($H$6:$H5410,TRUE()))</f>
        <v/>
      </c>
      <c r="J5410" s="5" t="str">
        <f aca="false">IF($I5410="","","R"&amp;$I5410)</f>
        <v/>
      </c>
    </row>
    <row r="5411" customFormat="false" ht="15" hidden="false" customHeight="true" outlineLevel="0" collapsed="false">
      <c r="H5411" s="14" t="b">
        <f aca="false">IF(중복검사!$A5409="",FALSE(),중복검사!$J5409="유지")</f>
        <v>0</v>
      </c>
      <c r="I5411" s="5" t="str">
        <f aca="false">IF($H5411=FALSE(),"",COUNTIF($H$6:$H5411,TRUE()))</f>
        <v/>
      </c>
      <c r="J5411" s="5" t="str">
        <f aca="false">IF($I5411="","","R"&amp;$I5411)</f>
        <v/>
      </c>
    </row>
    <row r="5412" customFormat="false" ht="15" hidden="false" customHeight="true" outlineLevel="0" collapsed="false">
      <c r="H5412" s="14" t="b">
        <f aca="false">IF(중복검사!$A5410="",FALSE(),중복검사!$J5410="유지")</f>
        <v>0</v>
      </c>
      <c r="I5412" s="5" t="str">
        <f aca="false">IF($H5412=FALSE(),"",COUNTIF($H$6:$H5412,TRUE()))</f>
        <v/>
      </c>
      <c r="J5412" s="5" t="str">
        <f aca="false">IF($I5412="","","R"&amp;$I5412)</f>
        <v/>
      </c>
    </row>
    <row r="5413" customFormat="false" ht="15" hidden="false" customHeight="true" outlineLevel="0" collapsed="false">
      <c r="H5413" s="14" t="b">
        <f aca="false">IF(중복검사!$A5411="",FALSE(),중복검사!$J5411="유지")</f>
        <v>0</v>
      </c>
      <c r="I5413" s="5" t="str">
        <f aca="false">IF($H5413=FALSE(),"",COUNTIF($H$6:$H5413,TRUE()))</f>
        <v/>
      </c>
      <c r="J5413" s="5" t="str">
        <f aca="false">IF($I5413="","","R"&amp;$I5413)</f>
        <v/>
      </c>
    </row>
    <row r="5414" customFormat="false" ht="15" hidden="false" customHeight="true" outlineLevel="0" collapsed="false">
      <c r="H5414" s="14" t="b">
        <f aca="false">IF(중복검사!$A5412="",FALSE(),중복검사!$J5412="유지")</f>
        <v>0</v>
      </c>
      <c r="I5414" s="5" t="str">
        <f aca="false">IF($H5414=FALSE(),"",COUNTIF($H$6:$H5414,TRUE()))</f>
        <v/>
      </c>
      <c r="J5414" s="5" t="str">
        <f aca="false">IF($I5414="","","R"&amp;$I5414)</f>
        <v/>
      </c>
    </row>
    <row r="5415" customFormat="false" ht="15" hidden="false" customHeight="true" outlineLevel="0" collapsed="false">
      <c r="H5415" s="14" t="b">
        <f aca="false">IF(중복검사!$A5413="",FALSE(),중복검사!$J5413="유지")</f>
        <v>0</v>
      </c>
      <c r="I5415" s="5" t="str">
        <f aca="false">IF($H5415=FALSE(),"",COUNTIF($H$6:$H5415,TRUE()))</f>
        <v/>
      </c>
      <c r="J5415" s="5" t="str">
        <f aca="false">IF($I5415="","","R"&amp;$I5415)</f>
        <v/>
      </c>
    </row>
    <row r="5416" customFormat="false" ht="15" hidden="false" customHeight="true" outlineLevel="0" collapsed="false">
      <c r="H5416" s="14" t="b">
        <f aca="false">IF(중복검사!$A5414="",FALSE(),중복검사!$J5414="유지")</f>
        <v>0</v>
      </c>
      <c r="I5416" s="5" t="str">
        <f aca="false">IF($H5416=FALSE(),"",COUNTIF($H$6:$H5416,TRUE()))</f>
        <v/>
      </c>
      <c r="J5416" s="5" t="str">
        <f aca="false">IF($I5416="","","R"&amp;$I5416)</f>
        <v/>
      </c>
    </row>
    <row r="5417" customFormat="false" ht="15" hidden="false" customHeight="true" outlineLevel="0" collapsed="false">
      <c r="H5417" s="14" t="b">
        <f aca="false">IF(중복검사!$A5415="",FALSE(),중복검사!$J5415="유지")</f>
        <v>0</v>
      </c>
      <c r="I5417" s="5" t="str">
        <f aca="false">IF($H5417=FALSE(),"",COUNTIF($H$6:$H5417,TRUE()))</f>
        <v/>
      </c>
      <c r="J5417" s="5" t="str">
        <f aca="false">IF($I5417="","","R"&amp;$I5417)</f>
        <v/>
      </c>
    </row>
    <row r="5418" customFormat="false" ht="15" hidden="false" customHeight="true" outlineLevel="0" collapsed="false">
      <c r="H5418" s="14" t="b">
        <f aca="false">IF(중복검사!$A5416="",FALSE(),중복검사!$J5416="유지")</f>
        <v>0</v>
      </c>
      <c r="I5418" s="5" t="str">
        <f aca="false">IF($H5418=FALSE(),"",COUNTIF($H$6:$H5418,TRUE()))</f>
        <v/>
      </c>
      <c r="J5418" s="5" t="str">
        <f aca="false">IF($I5418="","","R"&amp;$I5418)</f>
        <v/>
      </c>
    </row>
    <row r="5419" customFormat="false" ht="15" hidden="false" customHeight="true" outlineLevel="0" collapsed="false">
      <c r="H5419" s="14" t="b">
        <f aca="false">IF(중복검사!$A5417="",FALSE(),중복검사!$J5417="유지")</f>
        <v>0</v>
      </c>
      <c r="I5419" s="5" t="str">
        <f aca="false">IF($H5419=FALSE(),"",COUNTIF($H$6:$H5419,TRUE()))</f>
        <v/>
      </c>
      <c r="J5419" s="5" t="str">
        <f aca="false">IF($I5419="","","R"&amp;$I5419)</f>
        <v/>
      </c>
    </row>
    <row r="5420" customFormat="false" ht="15" hidden="false" customHeight="true" outlineLevel="0" collapsed="false">
      <c r="H5420" s="14" t="b">
        <f aca="false">IF(중복검사!$A5418="",FALSE(),중복검사!$J5418="유지")</f>
        <v>0</v>
      </c>
      <c r="I5420" s="5" t="str">
        <f aca="false">IF($H5420=FALSE(),"",COUNTIF($H$6:$H5420,TRUE()))</f>
        <v/>
      </c>
      <c r="J5420" s="5" t="str">
        <f aca="false">IF($I5420="","","R"&amp;$I5420)</f>
        <v/>
      </c>
    </row>
    <row r="5421" customFormat="false" ht="15" hidden="false" customHeight="true" outlineLevel="0" collapsed="false">
      <c r="H5421" s="14" t="b">
        <f aca="false">IF(중복검사!$A5419="",FALSE(),중복검사!$J5419="유지")</f>
        <v>0</v>
      </c>
      <c r="I5421" s="5" t="str">
        <f aca="false">IF($H5421=FALSE(),"",COUNTIF($H$6:$H5421,TRUE()))</f>
        <v/>
      </c>
      <c r="J5421" s="5" t="str">
        <f aca="false">IF($I5421="","","R"&amp;$I5421)</f>
        <v/>
      </c>
    </row>
    <row r="5422" customFormat="false" ht="15" hidden="false" customHeight="true" outlineLevel="0" collapsed="false">
      <c r="H5422" s="14" t="b">
        <f aca="false">IF(중복검사!$A5420="",FALSE(),중복검사!$J5420="유지")</f>
        <v>0</v>
      </c>
      <c r="I5422" s="5" t="str">
        <f aca="false">IF($H5422=FALSE(),"",COUNTIF($H$6:$H5422,TRUE()))</f>
        <v/>
      </c>
      <c r="J5422" s="5" t="str">
        <f aca="false">IF($I5422="","","R"&amp;$I5422)</f>
        <v/>
      </c>
    </row>
    <row r="5423" customFormat="false" ht="15" hidden="false" customHeight="true" outlineLevel="0" collapsed="false">
      <c r="H5423" s="14" t="b">
        <f aca="false">IF(중복검사!$A5421="",FALSE(),중복검사!$J5421="유지")</f>
        <v>0</v>
      </c>
      <c r="I5423" s="5" t="str">
        <f aca="false">IF($H5423=FALSE(),"",COUNTIF($H$6:$H5423,TRUE()))</f>
        <v/>
      </c>
      <c r="J5423" s="5" t="str">
        <f aca="false">IF($I5423="","","R"&amp;$I5423)</f>
        <v/>
      </c>
    </row>
    <row r="5424" customFormat="false" ht="15" hidden="false" customHeight="true" outlineLevel="0" collapsed="false">
      <c r="H5424" s="14" t="b">
        <f aca="false">IF(중복검사!$A5422="",FALSE(),중복검사!$J5422="유지")</f>
        <v>0</v>
      </c>
      <c r="I5424" s="5" t="str">
        <f aca="false">IF($H5424=FALSE(),"",COUNTIF($H$6:$H5424,TRUE()))</f>
        <v/>
      </c>
      <c r="J5424" s="5" t="str">
        <f aca="false">IF($I5424="","","R"&amp;$I5424)</f>
        <v/>
      </c>
    </row>
    <row r="5425" customFormat="false" ht="15" hidden="false" customHeight="true" outlineLevel="0" collapsed="false">
      <c r="H5425" s="14" t="b">
        <f aca="false">IF(중복검사!$A5423="",FALSE(),중복검사!$J5423="유지")</f>
        <v>0</v>
      </c>
      <c r="I5425" s="5" t="str">
        <f aca="false">IF($H5425=FALSE(),"",COUNTIF($H$6:$H5425,TRUE()))</f>
        <v/>
      </c>
      <c r="J5425" s="5" t="str">
        <f aca="false">IF($I5425="","","R"&amp;$I5425)</f>
        <v/>
      </c>
    </row>
    <row r="5426" customFormat="false" ht="15" hidden="false" customHeight="true" outlineLevel="0" collapsed="false">
      <c r="H5426" s="14" t="b">
        <f aca="false">IF(중복검사!$A5424="",FALSE(),중복검사!$J5424="유지")</f>
        <v>0</v>
      </c>
      <c r="I5426" s="5" t="str">
        <f aca="false">IF($H5426=FALSE(),"",COUNTIF($H$6:$H5426,TRUE()))</f>
        <v/>
      </c>
      <c r="J5426" s="5" t="str">
        <f aca="false">IF($I5426="","","R"&amp;$I5426)</f>
        <v/>
      </c>
    </row>
    <row r="5427" customFormat="false" ht="15" hidden="false" customHeight="true" outlineLevel="0" collapsed="false">
      <c r="H5427" s="14" t="b">
        <f aca="false">IF(중복검사!$A5425="",FALSE(),중복검사!$J5425="유지")</f>
        <v>0</v>
      </c>
      <c r="I5427" s="5" t="str">
        <f aca="false">IF($H5427=FALSE(),"",COUNTIF($H$6:$H5427,TRUE()))</f>
        <v/>
      </c>
      <c r="J5427" s="5" t="str">
        <f aca="false">IF($I5427="","","R"&amp;$I5427)</f>
        <v/>
      </c>
    </row>
    <row r="5428" customFormat="false" ht="15" hidden="false" customHeight="true" outlineLevel="0" collapsed="false">
      <c r="H5428" s="14" t="b">
        <f aca="false">IF(중복검사!$A5426="",FALSE(),중복검사!$J5426="유지")</f>
        <v>0</v>
      </c>
      <c r="I5428" s="5" t="str">
        <f aca="false">IF($H5428=FALSE(),"",COUNTIF($H$6:$H5428,TRUE()))</f>
        <v/>
      </c>
      <c r="J5428" s="5" t="str">
        <f aca="false">IF($I5428="","","R"&amp;$I5428)</f>
        <v/>
      </c>
    </row>
    <row r="5429" customFormat="false" ht="15" hidden="false" customHeight="true" outlineLevel="0" collapsed="false">
      <c r="H5429" s="14" t="b">
        <f aca="false">IF(중복검사!$A5427="",FALSE(),중복검사!$J5427="유지")</f>
        <v>0</v>
      </c>
      <c r="I5429" s="5" t="str">
        <f aca="false">IF($H5429=FALSE(),"",COUNTIF($H$6:$H5429,TRUE()))</f>
        <v/>
      </c>
      <c r="J5429" s="5" t="str">
        <f aca="false">IF($I5429="","","R"&amp;$I5429)</f>
        <v/>
      </c>
    </row>
    <row r="5430" customFormat="false" ht="15" hidden="false" customHeight="true" outlineLevel="0" collapsed="false">
      <c r="H5430" s="14" t="b">
        <f aca="false">IF(중복검사!$A5428="",FALSE(),중복검사!$J5428="유지")</f>
        <v>0</v>
      </c>
      <c r="I5430" s="5" t="str">
        <f aca="false">IF($H5430=FALSE(),"",COUNTIF($H$6:$H5430,TRUE()))</f>
        <v/>
      </c>
      <c r="J5430" s="5" t="str">
        <f aca="false">IF($I5430="","","R"&amp;$I5430)</f>
        <v/>
      </c>
    </row>
    <row r="5431" customFormat="false" ht="15" hidden="false" customHeight="true" outlineLevel="0" collapsed="false">
      <c r="H5431" s="14" t="b">
        <f aca="false">IF(중복검사!$A5429="",FALSE(),중복검사!$J5429="유지")</f>
        <v>0</v>
      </c>
      <c r="I5431" s="5" t="str">
        <f aca="false">IF($H5431=FALSE(),"",COUNTIF($H$6:$H5431,TRUE()))</f>
        <v/>
      </c>
      <c r="J5431" s="5" t="str">
        <f aca="false">IF($I5431="","","R"&amp;$I5431)</f>
        <v/>
      </c>
    </row>
    <row r="5432" customFormat="false" ht="15" hidden="false" customHeight="true" outlineLevel="0" collapsed="false">
      <c r="H5432" s="14" t="b">
        <f aca="false">IF(중복검사!$A5430="",FALSE(),중복검사!$J5430="유지")</f>
        <v>0</v>
      </c>
      <c r="I5432" s="5" t="str">
        <f aca="false">IF($H5432=FALSE(),"",COUNTIF($H$6:$H5432,TRUE()))</f>
        <v/>
      </c>
      <c r="J5432" s="5" t="str">
        <f aca="false">IF($I5432="","","R"&amp;$I5432)</f>
        <v/>
      </c>
    </row>
    <row r="5433" customFormat="false" ht="15" hidden="false" customHeight="true" outlineLevel="0" collapsed="false">
      <c r="H5433" s="14" t="b">
        <f aca="false">IF(중복검사!$A5431="",FALSE(),중복검사!$J5431="유지")</f>
        <v>0</v>
      </c>
      <c r="I5433" s="5" t="str">
        <f aca="false">IF($H5433=FALSE(),"",COUNTIF($H$6:$H5433,TRUE()))</f>
        <v/>
      </c>
      <c r="J5433" s="5" t="str">
        <f aca="false">IF($I5433="","","R"&amp;$I5433)</f>
        <v/>
      </c>
    </row>
    <row r="5434" customFormat="false" ht="15" hidden="false" customHeight="true" outlineLevel="0" collapsed="false">
      <c r="H5434" s="14" t="b">
        <f aca="false">IF(중복검사!$A5432="",FALSE(),중복검사!$J5432="유지")</f>
        <v>0</v>
      </c>
      <c r="I5434" s="5" t="str">
        <f aca="false">IF($H5434=FALSE(),"",COUNTIF($H$6:$H5434,TRUE()))</f>
        <v/>
      </c>
      <c r="J5434" s="5" t="str">
        <f aca="false">IF($I5434="","","R"&amp;$I5434)</f>
        <v/>
      </c>
    </row>
    <row r="5435" customFormat="false" ht="15" hidden="false" customHeight="true" outlineLevel="0" collapsed="false">
      <c r="H5435" s="14" t="b">
        <f aca="false">IF(중복검사!$A5433="",FALSE(),중복검사!$J5433="유지")</f>
        <v>0</v>
      </c>
      <c r="I5435" s="5" t="str">
        <f aca="false">IF($H5435=FALSE(),"",COUNTIF($H$6:$H5435,TRUE()))</f>
        <v/>
      </c>
      <c r="J5435" s="5" t="str">
        <f aca="false">IF($I5435="","","R"&amp;$I5435)</f>
        <v/>
      </c>
    </row>
    <row r="5436" customFormat="false" ht="15" hidden="false" customHeight="true" outlineLevel="0" collapsed="false">
      <c r="H5436" s="14" t="b">
        <f aca="false">IF(중복검사!$A5434="",FALSE(),중복검사!$J5434="유지")</f>
        <v>0</v>
      </c>
      <c r="I5436" s="5" t="str">
        <f aca="false">IF($H5436=FALSE(),"",COUNTIF($H$6:$H5436,TRUE()))</f>
        <v/>
      </c>
      <c r="J5436" s="5" t="str">
        <f aca="false">IF($I5436="","","R"&amp;$I5436)</f>
        <v/>
      </c>
    </row>
    <row r="5437" customFormat="false" ht="15" hidden="false" customHeight="true" outlineLevel="0" collapsed="false">
      <c r="H5437" s="14" t="b">
        <f aca="false">IF(중복검사!$A5435="",FALSE(),중복검사!$J5435="유지")</f>
        <v>0</v>
      </c>
      <c r="I5437" s="5" t="str">
        <f aca="false">IF($H5437=FALSE(),"",COUNTIF($H$6:$H5437,TRUE()))</f>
        <v/>
      </c>
      <c r="J5437" s="5" t="str">
        <f aca="false">IF($I5437="","","R"&amp;$I5437)</f>
        <v/>
      </c>
    </row>
    <row r="5438" customFormat="false" ht="15" hidden="false" customHeight="true" outlineLevel="0" collapsed="false">
      <c r="H5438" s="14" t="b">
        <f aca="false">IF(중복검사!$A5436="",FALSE(),중복검사!$J5436="유지")</f>
        <v>0</v>
      </c>
      <c r="I5438" s="5" t="str">
        <f aca="false">IF($H5438=FALSE(),"",COUNTIF($H$6:$H5438,TRUE()))</f>
        <v/>
      </c>
      <c r="J5438" s="5" t="str">
        <f aca="false">IF($I5438="","","R"&amp;$I5438)</f>
        <v/>
      </c>
    </row>
    <row r="5439" customFormat="false" ht="15" hidden="false" customHeight="true" outlineLevel="0" collapsed="false">
      <c r="H5439" s="14" t="b">
        <f aca="false">IF(중복검사!$A5437="",FALSE(),중복검사!$J5437="유지")</f>
        <v>0</v>
      </c>
      <c r="I5439" s="5" t="str">
        <f aca="false">IF($H5439=FALSE(),"",COUNTIF($H$6:$H5439,TRUE()))</f>
        <v/>
      </c>
      <c r="J5439" s="5" t="str">
        <f aca="false">IF($I5439="","","R"&amp;$I5439)</f>
        <v/>
      </c>
    </row>
    <row r="5440" customFormat="false" ht="15" hidden="false" customHeight="true" outlineLevel="0" collapsed="false">
      <c r="H5440" s="14" t="b">
        <f aca="false">IF(중복검사!$A5438="",FALSE(),중복검사!$J5438="유지")</f>
        <v>0</v>
      </c>
      <c r="I5440" s="5" t="str">
        <f aca="false">IF($H5440=FALSE(),"",COUNTIF($H$6:$H5440,TRUE()))</f>
        <v/>
      </c>
      <c r="J5440" s="5" t="str">
        <f aca="false">IF($I5440="","","R"&amp;$I5440)</f>
        <v/>
      </c>
    </row>
    <row r="5441" customFormat="false" ht="15" hidden="false" customHeight="true" outlineLevel="0" collapsed="false">
      <c r="H5441" s="14" t="b">
        <f aca="false">IF(중복검사!$A5439="",FALSE(),중복검사!$J5439="유지")</f>
        <v>0</v>
      </c>
      <c r="I5441" s="5" t="str">
        <f aca="false">IF($H5441=FALSE(),"",COUNTIF($H$6:$H5441,TRUE()))</f>
        <v/>
      </c>
      <c r="J5441" s="5" t="str">
        <f aca="false">IF($I5441="","","R"&amp;$I5441)</f>
        <v/>
      </c>
    </row>
    <row r="5442" customFormat="false" ht="15" hidden="false" customHeight="true" outlineLevel="0" collapsed="false">
      <c r="H5442" s="14" t="b">
        <f aca="false">IF(중복검사!$A5440="",FALSE(),중복검사!$J5440="유지")</f>
        <v>0</v>
      </c>
      <c r="I5442" s="5" t="str">
        <f aca="false">IF($H5442=FALSE(),"",COUNTIF($H$6:$H5442,TRUE()))</f>
        <v/>
      </c>
      <c r="J5442" s="5" t="str">
        <f aca="false">IF($I5442="","","R"&amp;$I5442)</f>
        <v/>
      </c>
    </row>
    <row r="5443" customFormat="false" ht="15" hidden="false" customHeight="true" outlineLevel="0" collapsed="false">
      <c r="H5443" s="14" t="b">
        <f aca="false">IF(중복검사!$A5441="",FALSE(),중복검사!$J5441="유지")</f>
        <v>0</v>
      </c>
      <c r="I5443" s="5" t="str">
        <f aca="false">IF($H5443=FALSE(),"",COUNTIF($H$6:$H5443,TRUE()))</f>
        <v/>
      </c>
      <c r="J5443" s="5" t="str">
        <f aca="false">IF($I5443="","","R"&amp;$I5443)</f>
        <v/>
      </c>
    </row>
    <row r="5444" customFormat="false" ht="15" hidden="false" customHeight="true" outlineLevel="0" collapsed="false">
      <c r="H5444" s="14" t="b">
        <f aca="false">IF(중복검사!$A5442="",FALSE(),중복검사!$J5442="유지")</f>
        <v>0</v>
      </c>
      <c r="I5444" s="5" t="str">
        <f aca="false">IF($H5444=FALSE(),"",COUNTIF($H$6:$H5444,TRUE()))</f>
        <v/>
      </c>
      <c r="J5444" s="5" t="str">
        <f aca="false">IF($I5444="","","R"&amp;$I5444)</f>
        <v/>
      </c>
    </row>
    <row r="5445" customFormat="false" ht="15" hidden="false" customHeight="true" outlineLevel="0" collapsed="false">
      <c r="H5445" s="14" t="b">
        <f aca="false">IF(중복검사!$A5443="",FALSE(),중복검사!$J5443="유지")</f>
        <v>0</v>
      </c>
      <c r="I5445" s="5" t="str">
        <f aca="false">IF($H5445=FALSE(),"",COUNTIF($H$6:$H5445,TRUE()))</f>
        <v/>
      </c>
      <c r="J5445" s="5" t="str">
        <f aca="false">IF($I5445="","","R"&amp;$I5445)</f>
        <v/>
      </c>
    </row>
    <row r="5446" customFormat="false" ht="15" hidden="false" customHeight="true" outlineLevel="0" collapsed="false">
      <c r="H5446" s="14" t="b">
        <f aca="false">IF(중복검사!$A5444="",FALSE(),중복검사!$J5444="유지")</f>
        <v>0</v>
      </c>
      <c r="I5446" s="5" t="str">
        <f aca="false">IF($H5446=FALSE(),"",COUNTIF($H$6:$H5446,TRUE()))</f>
        <v/>
      </c>
      <c r="J5446" s="5" t="str">
        <f aca="false">IF($I5446="","","R"&amp;$I5446)</f>
        <v/>
      </c>
    </row>
    <row r="5447" customFormat="false" ht="15" hidden="false" customHeight="true" outlineLevel="0" collapsed="false">
      <c r="H5447" s="14" t="b">
        <f aca="false">IF(중복검사!$A5445="",FALSE(),중복검사!$J5445="유지")</f>
        <v>0</v>
      </c>
      <c r="I5447" s="5" t="str">
        <f aca="false">IF($H5447=FALSE(),"",COUNTIF($H$6:$H5447,TRUE()))</f>
        <v/>
      </c>
      <c r="J5447" s="5" t="str">
        <f aca="false">IF($I5447="","","R"&amp;$I5447)</f>
        <v/>
      </c>
    </row>
    <row r="5448" customFormat="false" ht="15" hidden="false" customHeight="true" outlineLevel="0" collapsed="false">
      <c r="H5448" s="14" t="b">
        <f aca="false">IF(중복검사!$A5446="",FALSE(),중복검사!$J5446="유지")</f>
        <v>0</v>
      </c>
      <c r="I5448" s="5" t="str">
        <f aca="false">IF($H5448=FALSE(),"",COUNTIF($H$6:$H5448,TRUE()))</f>
        <v/>
      </c>
      <c r="J5448" s="5" t="str">
        <f aca="false">IF($I5448="","","R"&amp;$I5448)</f>
        <v/>
      </c>
    </row>
    <row r="5449" customFormat="false" ht="15" hidden="false" customHeight="true" outlineLevel="0" collapsed="false">
      <c r="H5449" s="14" t="b">
        <f aca="false">IF(중복검사!$A5447="",FALSE(),중복검사!$J5447="유지")</f>
        <v>0</v>
      </c>
      <c r="I5449" s="5" t="str">
        <f aca="false">IF($H5449=FALSE(),"",COUNTIF($H$6:$H5449,TRUE()))</f>
        <v/>
      </c>
      <c r="J5449" s="5" t="str">
        <f aca="false">IF($I5449="","","R"&amp;$I5449)</f>
        <v/>
      </c>
    </row>
    <row r="5450" customFormat="false" ht="15" hidden="false" customHeight="true" outlineLevel="0" collapsed="false">
      <c r="H5450" s="14" t="b">
        <f aca="false">IF(중복검사!$A5448="",FALSE(),중복검사!$J5448="유지")</f>
        <v>0</v>
      </c>
      <c r="I5450" s="5" t="str">
        <f aca="false">IF($H5450=FALSE(),"",COUNTIF($H$6:$H5450,TRUE()))</f>
        <v/>
      </c>
      <c r="J5450" s="5" t="str">
        <f aca="false">IF($I5450="","","R"&amp;$I5450)</f>
        <v/>
      </c>
    </row>
    <row r="5451" customFormat="false" ht="15" hidden="false" customHeight="true" outlineLevel="0" collapsed="false">
      <c r="H5451" s="14" t="b">
        <f aca="false">IF(중복검사!$A5449="",FALSE(),중복검사!$J5449="유지")</f>
        <v>0</v>
      </c>
      <c r="I5451" s="5" t="str">
        <f aca="false">IF($H5451=FALSE(),"",COUNTIF($H$6:$H5451,TRUE()))</f>
        <v/>
      </c>
      <c r="J5451" s="5" t="str">
        <f aca="false">IF($I5451="","","R"&amp;$I5451)</f>
        <v/>
      </c>
    </row>
    <row r="5452" customFormat="false" ht="15" hidden="false" customHeight="true" outlineLevel="0" collapsed="false">
      <c r="H5452" s="14" t="b">
        <f aca="false">IF(중복검사!$A5450="",FALSE(),중복검사!$J5450="유지")</f>
        <v>0</v>
      </c>
      <c r="I5452" s="5" t="str">
        <f aca="false">IF($H5452=FALSE(),"",COUNTIF($H$6:$H5452,TRUE()))</f>
        <v/>
      </c>
      <c r="J5452" s="5" t="str">
        <f aca="false">IF($I5452="","","R"&amp;$I5452)</f>
        <v/>
      </c>
    </row>
    <row r="5453" customFormat="false" ht="15" hidden="false" customHeight="true" outlineLevel="0" collapsed="false">
      <c r="H5453" s="14" t="b">
        <f aca="false">IF(중복검사!$A5451="",FALSE(),중복검사!$J5451="유지")</f>
        <v>0</v>
      </c>
      <c r="I5453" s="5" t="str">
        <f aca="false">IF($H5453=FALSE(),"",COUNTIF($H$6:$H5453,TRUE()))</f>
        <v/>
      </c>
      <c r="J5453" s="5" t="str">
        <f aca="false">IF($I5453="","","R"&amp;$I5453)</f>
        <v/>
      </c>
    </row>
    <row r="5454" customFormat="false" ht="15" hidden="false" customHeight="true" outlineLevel="0" collapsed="false">
      <c r="H5454" s="14" t="b">
        <f aca="false">IF(중복검사!$A5452="",FALSE(),중복검사!$J5452="유지")</f>
        <v>0</v>
      </c>
      <c r="I5454" s="5" t="str">
        <f aca="false">IF($H5454=FALSE(),"",COUNTIF($H$6:$H5454,TRUE()))</f>
        <v/>
      </c>
      <c r="J5454" s="5" t="str">
        <f aca="false">IF($I5454="","","R"&amp;$I5454)</f>
        <v/>
      </c>
    </row>
    <row r="5455" customFormat="false" ht="15" hidden="false" customHeight="true" outlineLevel="0" collapsed="false">
      <c r="H5455" s="14" t="b">
        <f aca="false">IF(중복검사!$A5453="",FALSE(),중복검사!$J5453="유지")</f>
        <v>0</v>
      </c>
      <c r="I5455" s="5" t="str">
        <f aca="false">IF($H5455=FALSE(),"",COUNTIF($H$6:$H5455,TRUE()))</f>
        <v/>
      </c>
      <c r="J5455" s="5" t="str">
        <f aca="false">IF($I5455="","","R"&amp;$I5455)</f>
        <v/>
      </c>
    </row>
    <row r="5456" customFormat="false" ht="15" hidden="false" customHeight="true" outlineLevel="0" collapsed="false">
      <c r="H5456" s="14" t="b">
        <f aca="false">IF(중복검사!$A5454="",FALSE(),중복검사!$J5454="유지")</f>
        <v>0</v>
      </c>
      <c r="I5456" s="5" t="str">
        <f aca="false">IF($H5456=FALSE(),"",COUNTIF($H$6:$H5456,TRUE()))</f>
        <v/>
      </c>
      <c r="J5456" s="5" t="str">
        <f aca="false">IF($I5456="","","R"&amp;$I5456)</f>
        <v/>
      </c>
    </row>
    <row r="5457" customFormat="false" ht="15" hidden="false" customHeight="true" outlineLevel="0" collapsed="false">
      <c r="H5457" s="14" t="b">
        <f aca="false">IF(중복검사!$A5455="",FALSE(),중복검사!$J5455="유지")</f>
        <v>0</v>
      </c>
      <c r="I5457" s="5" t="str">
        <f aca="false">IF($H5457=FALSE(),"",COUNTIF($H$6:$H5457,TRUE()))</f>
        <v/>
      </c>
      <c r="J5457" s="5" t="str">
        <f aca="false">IF($I5457="","","R"&amp;$I5457)</f>
        <v/>
      </c>
    </row>
    <row r="5458" customFormat="false" ht="15" hidden="false" customHeight="true" outlineLevel="0" collapsed="false">
      <c r="H5458" s="14" t="b">
        <f aca="false">IF(중복검사!$A5456="",FALSE(),중복검사!$J5456="유지")</f>
        <v>0</v>
      </c>
      <c r="I5458" s="5" t="str">
        <f aca="false">IF($H5458=FALSE(),"",COUNTIF($H$6:$H5458,TRUE()))</f>
        <v/>
      </c>
      <c r="J5458" s="5" t="str">
        <f aca="false">IF($I5458="","","R"&amp;$I5458)</f>
        <v/>
      </c>
    </row>
    <row r="5459" customFormat="false" ht="15" hidden="false" customHeight="true" outlineLevel="0" collapsed="false">
      <c r="H5459" s="14" t="b">
        <f aca="false">IF(중복검사!$A5457="",FALSE(),중복검사!$J5457="유지")</f>
        <v>0</v>
      </c>
      <c r="I5459" s="5" t="str">
        <f aca="false">IF($H5459=FALSE(),"",COUNTIF($H$6:$H5459,TRUE()))</f>
        <v/>
      </c>
      <c r="J5459" s="5" t="str">
        <f aca="false">IF($I5459="","","R"&amp;$I5459)</f>
        <v/>
      </c>
    </row>
    <row r="5460" customFormat="false" ht="15" hidden="false" customHeight="true" outlineLevel="0" collapsed="false">
      <c r="H5460" s="14" t="b">
        <f aca="false">IF(중복검사!$A5458="",FALSE(),중복검사!$J5458="유지")</f>
        <v>0</v>
      </c>
      <c r="I5460" s="5" t="str">
        <f aca="false">IF($H5460=FALSE(),"",COUNTIF($H$6:$H5460,TRUE()))</f>
        <v/>
      </c>
      <c r="J5460" s="5" t="str">
        <f aca="false">IF($I5460="","","R"&amp;$I5460)</f>
        <v/>
      </c>
    </row>
    <row r="5461" customFormat="false" ht="15" hidden="false" customHeight="true" outlineLevel="0" collapsed="false">
      <c r="H5461" s="14" t="b">
        <f aca="false">IF(중복검사!$A5459="",FALSE(),중복검사!$J5459="유지")</f>
        <v>0</v>
      </c>
      <c r="I5461" s="5" t="str">
        <f aca="false">IF($H5461=FALSE(),"",COUNTIF($H$6:$H5461,TRUE()))</f>
        <v/>
      </c>
      <c r="J5461" s="5" t="str">
        <f aca="false">IF($I5461="","","R"&amp;$I5461)</f>
        <v/>
      </c>
    </row>
    <row r="5462" customFormat="false" ht="15" hidden="false" customHeight="true" outlineLevel="0" collapsed="false">
      <c r="H5462" s="14" t="b">
        <f aca="false">IF(중복검사!$A5460="",FALSE(),중복검사!$J5460="유지")</f>
        <v>0</v>
      </c>
      <c r="I5462" s="5" t="str">
        <f aca="false">IF($H5462=FALSE(),"",COUNTIF($H$6:$H5462,TRUE()))</f>
        <v/>
      </c>
      <c r="J5462" s="5" t="str">
        <f aca="false">IF($I5462="","","R"&amp;$I5462)</f>
        <v/>
      </c>
    </row>
    <row r="5463" customFormat="false" ht="15" hidden="false" customHeight="true" outlineLevel="0" collapsed="false">
      <c r="H5463" s="14" t="b">
        <f aca="false">IF(중복검사!$A5461="",FALSE(),중복검사!$J5461="유지")</f>
        <v>0</v>
      </c>
      <c r="I5463" s="5" t="str">
        <f aca="false">IF($H5463=FALSE(),"",COUNTIF($H$6:$H5463,TRUE()))</f>
        <v/>
      </c>
      <c r="J5463" s="5" t="str">
        <f aca="false">IF($I5463="","","R"&amp;$I5463)</f>
        <v/>
      </c>
    </row>
    <row r="5464" customFormat="false" ht="15" hidden="false" customHeight="true" outlineLevel="0" collapsed="false">
      <c r="H5464" s="14" t="b">
        <f aca="false">IF(중복검사!$A5462="",FALSE(),중복검사!$J5462="유지")</f>
        <v>0</v>
      </c>
      <c r="I5464" s="5" t="str">
        <f aca="false">IF($H5464=FALSE(),"",COUNTIF($H$6:$H5464,TRUE()))</f>
        <v/>
      </c>
      <c r="J5464" s="5" t="str">
        <f aca="false">IF($I5464="","","R"&amp;$I5464)</f>
        <v/>
      </c>
    </row>
    <row r="5465" customFormat="false" ht="15" hidden="false" customHeight="true" outlineLevel="0" collapsed="false">
      <c r="H5465" s="14" t="b">
        <f aca="false">IF(중복검사!$A5463="",FALSE(),중복검사!$J5463="유지")</f>
        <v>0</v>
      </c>
      <c r="I5465" s="5" t="str">
        <f aca="false">IF($H5465=FALSE(),"",COUNTIF($H$6:$H5465,TRUE()))</f>
        <v/>
      </c>
      <c r="J5465" s="5" t="str">
        <f aca="false">IF($I5465="","","R"&amp;$I5465)</f>
        <v/>
      </c>
    </row>
    <row r="5466" customFormat="false" ht="15" hidden="false" customHeight="true" outlineLevel="0" collapsed="false">
      <c r="H5466" s="14" t="b">
        <f aca="false">IF(중복검사!$A5464="",FALSE(),중복검사!$J5464="유지")</f>
        <v>0</v>
      </c>
      <c r="I5466" s="5" t="str">
        <f aca="false">IF($H5466=FALSE(),"",COUNTIF($H$6:$H5466,TRUE()))</f>
        <v/>
      </c>
      <c r="J5466" s="5" t="str">
        <f aca="false">IF($I5466="","","R"&amp;$I5466)</f>
        <v/>
      </c>
    </row>
    <row r="5467" customFormat="false" ht="15" hidden="false" customHeight="true" outlineLevel="0" collapsed="false">
      <c r="H5467" s="14" t="b">
        <f aca="false">IF(중복검사!$A5465="",FALSE(),중복검사!$J5465="유지")</f>
        <v>0</v>
      </c>
      <c r="I5467" s="5" t="str">
        <f aca="false">IF($H5467=FALSE(),"",COUNTIF($H$6:$H5467,TRUE()))</f>
        <v/>
      </c>
      <c r="J5467" s="5" t="str">
        <f aca="false">IF($I5467="","","R"&amp;$I5467)</f>
        <v/>
      </c>
    </row>
    <row r="5468" customFormat="false" ht="15" hidden="false" customHeight="true" outlineLevel="0" collapsed="false">
      <c r="H5468" s="14" t="b">
        <f aca="false">IF(중복검사!$A5466="",FALSE(),중복검사!$J5466="유지")</f>
        <v>0</v>
      </c>
      <c r="I5468" s="5" t="str">
        <f aca="false">IF($H5468=FALSE(),"",COUNTIF($H$6:$H5468,TRUE()))</f>
        <v/>
      </c>
      <c r="J5468" s="5" t="str">
        <f aca="false">IF($I5468="","","R"&amp;$I5468)</f>
        <v/>
      </c>
    </row>
    <row r="5469" customFormat="false" ht="15" hidden="false" customHeight="true" outlineLevel="0" collapsed="false">
      <c r="H5469" s="14" t="b">
        <f aca="false">IF(중복검사!$A5467="",FALSE(),중복검사!$J5467="유지")</f>
        <v>0</v>
      </c>
      <c r="I5469" s="5" t="str">
        <f aca="false">IF($H5469=FALSE(),"",COUNTIF($H$6:$H5469,TRUE()))</f>
        <v/>
      </c>
      <c r="J5469" s="5" t="str">
        <f aca="false">IF($I5469="","","R"&amp;$I5469)</f>
        <v/>
      </c>
    </row>
    <row r="5470" customFormat="false" ht="15" hidden="false" customHeight="true" outlineLevel="0" collapsed="false">
      <c r="H5470" s="14" t="b">
        <f aca="false">IF(중복검사!$A5468="",FALSE(),중복검사!$J5468="유지")</f>
        <v>0</v>
      </c>
      <c r="I5470" s="5" t="str">
        <f aca="false">IF($H5470=FALSE(),"",COUNTIF($H$6:$H5470,TRUE()))</f>
        <v/>
      </c>
      <c r="J5470" s="5" t="str">
        <f aca="false">IF($I5470="","","R"&amp;$I5470)</f>
        <v/>
      </c>
    </row>
    <row r="5471" customFormat="false" ht="15" hidden="false" customHeight="true" outlineLevel="0" collapsed="false">
      <c r="H5471" s="14" t="b">
        <f aca="false">IF(중복검사!$A5469="",FALSE(),중복검사!$J5469="유지")</f>
        <v>0</v>
      </c>
      <c r="I5471" s="5" t="str">
        <f aca="false">IF($H5471=FALSE(),"",COUNTIF($H$6:$H5471,TRUE()))</f>
        <v/>
      </c>
      <c r="J5471" s="5" t="str">
        <f aca="false">IF($I5471="","","R"&amp;$I5471)</f>
        <v/>
      </c>
    </row>
    <row r="5472" customFormat="false" ht="15" hidden="false" customHeight="true" outlineLevel="0" collapsed="false">
      <c r="H5472" s="14" t="b">
        <f aca="false">IF(중복검사!$A5470="",FALSE(),중복검사!$J5470="유지")</f>
        <v>0</v>
      </c>
      <c r="I5472" s="5" t="str">
        <f aca="false">IF($H5472=FALSE(),"",COUNTIF($H$6:$H5472,TRUE()))</f>
        <v/>
      </c>
      <c r="J5472" s="5" t="str">
        <f aca="false">IF($I5472="","","R"&amp;$I5472)</f>
        <v/>
      </c>
    </row>
    <row r="5473" customFormat="false" ht="15" hidden="false" customHeight="true" outlineLevel="0" collapsed="false">
      <c r="H5473" s="14" t="b">
        <f aca="false">IF(중복검사!$A5471="",FALSE(),중복검사!$J5471="유지")</f>
        <v>0</v>
      </c>
      <c r="I5473" s="5" t="str">
        <f aca="false">IF($H5473=FALSE(),"",COUNTIF($H$6:$H5473,TRUE()))</f>
        <v/>
      </c>
      <c r="J5473" s="5" t="str">
        <f aca="false">IF($I5473="","","R"&amp;$I5473)</f>
        <v/>
      </c>
    </row>
    <row r="5474" customFormat="false" ht="15" hidden="false" customHeight="true" outlineLevel="0" collapsed="false">
      <c r="H5474" s="14" t="b">
        <f aca="false">IF(중복검사!$A5472="",FALSE(),중복검사!$J5472="유지")</f>
        <v>0</v>
      </c>
      <c r="I5474" s="5" t="str">
        <f aca="false">IF($H5474=FALSE(),"",COUNTIF($H$6:$H5474,TRUE()))</f>
        <v/>
      </c>
      <c r="J5474" s="5" t="str">
        <f aca="false">IF($I5474="","","R"&amp;$I5474)</f>
        <v/>
      </c>
    </row>
    <row r="5475" customFormat="false" ht="15" hidden="false" customHeight="true" outlineLevel="0" collapsed="false">
      <c r="H5475" s="14" t="b">
        <f aca="false">IF(중복검사!$A5473="",FALSE(),중복검사!$J5473="유지")</f>
        <v>0</v>
      </c>
      <c r="I5475" s="5" t="str">
        <f aca="false">IF($H5475=FALSE(),"",COUNTIF($H$6:$H5475,TRUE()))</f>
        <v/>
      </c>
      <c r="J5475" s="5" t="str">
        <f aca="false">IF($I5475="","","R"&amp;$I5475)</f>
        <v/>
      </c>
    </row>
    <row r="5476" customFormat="false" ht="15" hidden="false" customHeight="true" outlineLevel="0" collapsed="false">
      <c r="H5476" s="14" t="b">
        <f aca="false">IF(중복검사!$A5474="",FALSE(),중복검사!$J5474="유지")</f>
        <v>0</v>
      </c>
      <c r="I5476" s="5" t="str">
        <f aca="false">IF($H5476=FALSE(),"",COUNTIF($H$6:$H5476,TRUE()))</f>
        <v/>
      </c>
      <c r="J5476" s="5" t="str">
        <f aca="false">IF($I5476="","","R"&amp;$I5476)</f>
        <v/>
      </c>
    </row>
    <row r="5477" customFormat="false" ht="15" hidden="false" customHeight="true" outlineLevel="0" collapsed="false">
      <c r="H5477" s="14" t="b">
        <f aca="false">IF(중복검사!$A5475="",FALSE(),중복검사!$J5475="유지")</f>
        <v>0</v>
      </c>
      <c r="I5477" s="5" t="str">
        <f aca="false">IF($H5477=FALSE(),"",COUNTIF($H$6:$H5477,TRUE()))</f>
        <v/>
      </c>
      <c r="J5477" s="5" t="str">
        <f aca="false">IF($I5477="","","R"&amp;$I5477)</f>
        <v/>
      </c>
    </row>
    <row r="5478" customFormat="false" ht="15" hidden="false" customHeight="true" outlineLevel="0" collapsed="false">
      <c r="H5478" s="14" t="b">
        <f aca="false">IF(중복검사!$A5476="",FALSE(),중복검사!$J5476="유지")</f>
        <v>0</v>
      </c>
      <c r="I5478" s="5" t="str">
        <f aca="false">IF($H5478=FALSE(),"",COUNTIF($H$6:$H5478,TRUE()))</f>
        <v/>
      </c>
      <c r="J5478" s="5" t="str">
        <f aca="false">IF($I5478="","","R"&amp;$I5478)</f>
        <v/>
      </c>
    </row>
    <row r="5479" customFormat="false" ht="15" hidden="false" customHeight="true" outlineLevel="0" collapsed="false">
      <c r="H5479" s="14" t="b">
        <f aca="false">IF(중복검사!$A5477="",FALSE(),중복검사!$J5477="유지")</f>
        <v>0</v>
      </c>
      <c r="I5479" s="5" t="str">
        <f aca="false">IF($H5479=FALSE(),"",COUNTIF($H$6:$H5479,TRUE()))</f>
        <v/>
      </c>
      <c r="J5479" s="5" t="str">
        <f aca="false">IF($I5479="","","R"&amp;$I5479)</f>
        <v/>
      </c>
    </row>
    <row r="5480" customFormat="false" ht="15" hidden="false" customHeight="true" outlineLevel="0" collapsed="false">
      <c r="H5480" s="14" t="b">
        <f aca="false">IF(중복검사!$A5478="",FALSE(),중복검사!$J5478="유지")</f>
        <v>0</v>
      </c>
      <c r="I5480" s="5" t="str">
        <f aca="false">IF($H5480=FALSE(),"",COUNTIF($H$6:$H5480,TRUE()))</f>
        <v/>
      </c>
      <c r="J5480" s="5" t="str">
        <f aca="false">IF($I5480="","","R"&amp;$I5480)</f>
        <v/>
      </c>
    </row>
    <row r="5481" customFormat="false" ht="15" hidden="false" customHeight="true" outlineLevel="0" collapsed="false">
      <c r="H5481" s="14" t="b">
        <f aca="false">IF(중복검사!$A5479="",FALSE(),중복검사!$J5479="유지")</f>
        <v>0</v>
      </c>
      <c r="I5481" s="5" t="str">
        <f aca="false">IF($H5481=FALSE(),"",COUNTIF($H$6:$H5481,TRUE()))</f>
        <v/>
      </c>
      <c r="J5481" s="5" t="str">
        <f aca="false">IF($I5481="","","R"&amp;$I5481)</f>
        <v/>
      </c>
    </row>
    <row r="5482" customFormat="false" ht="15" hidden="false" customHeight="true" outlineLevel="0" collapsed="false">
      <c r="H5482" s="14" t="b">
        <f aca="false">IF(중복검사!$A5480="",FALSE(),중복검사!$J5480="유지")</f>
        <v>0</v>
      </c>
      <c r="I5482" s="5" t="str">
        <f aca="false">IF($H5482=FALSE(),"",COUNTIF($H$6:$H5482,TRUE()))</f>
        <v/>
      </c>
      <c r="J5482" s="5" t="str">
        <f aca="false">IF($I5482="","","R"&amp;$I5482)</f>
        <v/>
      </c>
    </row>
    <row r="5483" customFormat="false" ht="15" hidden="false" customHeight="true" outlineLevel="0" collapsed="false">
      <c r="H5483" s="14" t="b">
        <f aca="false">IF(중복검사!$A5481="",FALSE(),중복검사!$J5481="유지")</f>
        <v>0</v>
      </c>
      <c r="I5483" s="5" t="str">
        <f aca="false">IF($H5483=FALSE(),"",COUNTIF($H$6:$H5483,TRUE()))</f>
        <v/>
      </c>
      <c r="J5483" s="5" t="str">
        <f aca="false">IF($I5483="","","R"&amp;$I5483)</f>
        <v/>
      </c>
    </row>
    <row r="5484" customFormat="false" ht="15" hidden="false" customHeight="true" outlineLevel="0" collapsed="false">
      <c r="H5484" s="14" t="b">
        <f aca="false">IF(중복검사!$A5482="",FALSE(),중복검사!$J5482="유지")</f>
        <v>0</v>
      </c>
      <c r="I5484" s="5" t="str">
        <f aca="false">IF($H5484=FALSE(),"",COUNTIF($H$6:$H5484,TRUE()))</f>
        <v/>
      </c>
      <c r="J5484" s="5" t="str">
        <f aca="false">IF($I5484="","","R"&amp;$I5484)</f>
        <v/>
      </c>
    </row>
    <row r="5485" customFormat="false" ht="15" hidden="false" customHeight="true" outlineLevel="0" collapsed="false">
      <c r="H5485" s="14" t="b">
        <f aca="false">IF(중복검사!$A5483="",FALSE(),중복검사!$J5483="유지")</f>
        <v>0</v>
      </c>
      <c r="I5485" s="5" t="str">
        <f aca="false">IF($H5485=FALSE(),"",COUNTIF($H$6:$H5485,TRUE()))</f>
        <v/>
      </c>
      <c r="J5485" s="5" t="str">
        <f aca="false">IF($I5485="","","R"&amp;$I5485)</f>
        <v/>
      </c>
    </row>
    <row r="5486" customFormat="false" ht="15" hidden="false" customHeight="true" outlineLevel="0" collapsed="false">
      <c r="H5486" s="14" t="b">
        <f aca="false">IF(중복검사!$A5484="",FALSE(),중복검사!$J5484="유지")</f>
        <v>0</v>
      </c>
      <c r="I5486" s="5" t="str">
        <f aca="false">IF($H5486=FALSE(),"",COUNTIF($H$6:$H5486,TRUE()))</f>
        <v/>
      </c>
      <c r="J5486" s="5" t="str">
        <f aca="false">IF($I5486="","","R"&amp;$I5486)</f>
        <v/>
      </c>
    </row>
    <row r="5487" customFormat="false" ht="15" hidden="false" customHeight="true" outlineLevel="0" collapsed="false">
      <c r="H5487" s="14" t="b">
        <f aca="false">IF(중복검사!$A5485="",FALSE(),중복검사!$J5485="유지")</f>
        <v>0</v>
      </c>
      <c r="I5487" s="5" t="str">
        <f aca="false">IF($H5487=FALSE(),"",COUNTIF($H$6:$H5487,TRUE()))</f>
        <v/>
      </c>
      <c r="J5487" s="5" t="str">
        <f aca="false">IF($I5487="","","R"&amp;$I5487)</f>
        <v/>
      </c>
    </row>
    <row r="5488" customFormat="false" ht="15" hidden="false" customHeight="true" outlineLevel="0" collapsed="false">
      <c r="H5488" s="14" t="b">
        <f aca="false">IF(중복검사!$A5486="",FALSE(),중복검사!$J5486="유지")</f>
        <v>0</v>
      </c>
      <c r="I5488" s="5" t="str">
        <f aca="false">IF($H5488=FALSE(),"",COUNTIF($H$6:$H5488,TRUE()))</f>
        <v/>
      </c>
      <c r="J5488" s="5" t="str">
        <f aca="false">IF($I5488="","","R"&amp;$I5488)</f>
        <v/>
      </c>
    </row>
    <row r="5489" customFormat="false" ht="15" hidden="false" customHeight="true" outlineLevel="0" collapsed="false">
      <c r="H5489" s="14" t="b">
        <f aca="false">IF(중복검사!$A5487="",FALSE(),중복검사!$J5487="유지")</f>
        <v>0</v>
      </c>
      <c r="I5489" s="5" t="str">
        <f aca="false">IF($H5489=FALSE(),"",COUNTIF($H$6:$H5489,TRUE()))</f>
        <v/>
      </c>
      <c r="J5489" s="5" t="str">
        <f aca="false">IF($I5489="","","R"&amp;$I5489)</f>
        <v/>
      </c>
    </row>
    <row r="5490" customFormat="false" ht="15" hidden="false" customHeight="true" outlineLevel="0" collapsed="false">
      <c r="H5490" s="14" t="b">
        <f aca="false">IF(중복검사!$A5488="",FALSE(),중복검사!$J5488="유지")</f>
        <v>0</v>
      </c>
      <c r="I5490" s="5" t="str">
        <f aca="false">IF($H5490=FALSE(),"",COUNTIF($H$6:$H5490,TRUE()))</f>
        <v/>
      </c>
      <c r="J5490" s="5" t="str">
        <f aca="false">IF($I5490="","","R"&amp;$I5490)</f>
        <v/>
      </c>
    </row>
    <row r="5491" customFormat="false" ht="15" hidden="false" customHeight="true" outlineLevel="0" collapsed="false">
      <c r="H5491" s="14" t="b">
        <f aca="false">IF(중복검사!$A5489="",FALSE(),중복검사!$J5489="유지")</f>
        <v>0</v>
      </c>
      <c r="I5491" s="5" t="str">
        <f aca="false">IF($H5491=FALSE(),"",COUNTIF($H$6:$H5491,TRUE()))</f>
        <v/>
      </c>
      <c r="J5491" s="5" t="str">
        <f aca="false">IF($I5491="","","R"&amp;$I5491)</f>
        <v/>
      </c>
    </row>
    <row r="5492" customFormat="false" ht="15" hidden="false" customHeight="true" outlineLevel="0" collapsed="false">
      <c r="H5492" s="14" t="b">
        <f aca="false">IF(중복검사!$A5490="",FALSE(),중복검사!$J5490="유지")</f>
        <v>0</v>
      </c>
      <c r="I5492" s="5" t="str">
        <f aca="false">IF($H5492=FALSE(),"",COUNTIF($H$6:$H5492,TRUE()))</f>
        <v/>
      </c>
      <c r="J5492" s="5" t="str">
        <f aca="false">IF($I5492="","","R"&amp;$I5492)</f>
        <v/>
      </c>
    </row>
    <row r="5493" customFormat="false" ht="15" hidden="false" customHeight="true" outlineLevel="0" collapsed="false">
      <c r="H5493" s="14" t="b">
        <f aca="false">IF(중복검사!$A5491="",FALSE(),중복검사!$J5491="유지")</f>
        <v>0</v>
      </c>
      <c r="I5493" s="5" t="str">
        <f aca="false">IF($H5493=FALSE(),"",COUNTIF($H$6:$H5493,TRUE()))</f>
        <v/>
      </c>
      <c r="J5493" s="5" t="str">
        <f aca="false">IF($I5493="","","R"&amp;$I5493)</f>
        <v/>
      </c>
    </row>
    <row r="5494" customFormat="false" ht="15" hidden="false" customHeight="true" outlineLevel="0" collapsed="false">
      <c r="H5494" s="14" t="b">
        <f aca="false">IF(중복검사!$A5492="",FALSE(),중복검사!$J5492="유지")</f>
        <v>0</v>
      </c>
      <c r="I5494" s="5" t="str">
        <f aca="false">IF($H5494=FALSE(),"",COUNTIF($H$6:$H5494,TRUE()))</f>
        <v/>
      </c>
      <c r="J5494" s="5" t="str">
        <f aca="false">IF($I5494="","","R"&amp;$I5494)</f>
        <v/>
      </c>
    </row>
    <row r="5495" customFormat="false" ht="15" hidden="false" customHeight="true" outlineLevel="0" collapsed="false">
      <c r="H5495" s="14" t="b">
        <f aca="false">IF(중복검사!$A5493="",FALSE(),중복검사!$J5493="유지")</f>
        <v>0</v>
      </c>
      <c r="I5495" s="5" t="str">
        <f aca="false">IF($H5495=FALSE(),"",COUNTIF($H$6:$H5495,TRUE()))</f>
        <v/>
      </c>
      <c r="J5495" s="5" t="str">
        <f aca="false">IF($I5495="","","R"&amp;$I5495)</f>
        <v/>
      </c>
    </row>
    <row r="5496" customFormat="false" ht="15" hidden="false" customHeight="true" outlineLevel="0" collapsed="false">
      <c r="H5496" s="14" t="b">
        <f aca="false">IF(중복검사!$A5494="",FALSE(),중복검사!$J5494="유지")</f>
        <v>0</v>
      </c>
      <c r="I5496" s="5" t="str">
        <f aca="false">IF($H5496=FALSE(),"",COUNTIF($H$6:$H5496,TRUE()))</f>
        <v/>
      </c>
      <c r="J5496" s="5" t="str">
        <f aca="false">IF($I5496="","","R"&amp;$I5496)</f>
        <v/>
      </c>
    </row>
    <row r="5497" customFormat="false" ht="15" hidden="false" customHeight="true" outlineLevel="0" collapsed="false">
      <c r="H5497" s="14" t="b">
        <f aca="false">IF(중복검사!$A5495="",FALSE(),중복검사!$J5495="유지")</f>
        <v>0</v>
      </c>
      <c r="I5497" s="5" t="str">
        <f aca="false">IF($H5497=FALSE(),"",COUNTIF($H$6:$H5497,TRUE()))</f>
        <v/>
      </c>
      <c r="J5497" s="5" t="str">
        <f aca="false">IF($I5497="","","R"&amp;$I5497)</f>
        <v/>
      </c>
    </row>
    <row r="5498" customFormat="false" ht="15" hidden="false" customHeight="true" outlineLevel="0" collapsed="false">
      <c r="H5498" s="14" t="b">
        <f aca="false">IF(중복검사!$A5496="",FALSE(),중복검사!$J5496="유지")</f>
        <v>0</v>
      </c>
      <c r="I5498" s="5" t="str">
        <f aca="false">IF($H5498=FALSE(),"",COUNTIF($H$6:$H5498,TRUE()))</f>
        <v/>
      </c>
      <c r="J5498" s="5" t="str">
        <f aca="false">IF($I5498="","","R"&amp;$I5498)</f>
        <v/>
      </c>
    </row>
    <row r="5499" customFormat="false" ht="15" hidden="false" customHeight="true" outlineLevel="0" collapsed="false">
      <c r="H5499" s="14" t="b">
        <f aca="false">IF(중복검사!$A5497="",FALSE(),중복검사!$J5497="유지")</f>
        <v>0</v>
      </c>
      <c r="I5499" s="5" t="str">
        <f aca="false">IF($H5499=FALSE(),"",COUNTIF($H$6:$H5499,TRUE()))</f>
        <v/>
      </c>
      <c r="J5499" s="5" t="str">
        <f aca="false">IF($I5499="","","R"&amp;$I5499)</f>
        <v/>
      </c>
    </row>
    <row r="5500" customFormat="false" ht="15" hidden="false" customHeight="true" outlineLevel="0" collapsed="false">
      <c r="H5500" s="14" t="b">
        <f aca="false">IF(중복검사!$A5498="",FALSE(),중복검사!$J5498="유지")</f>
        <v>0</v>
      </c>
      <c r="I5500" s="5" t="str">
        <f aca="false">IF($H5500=FALSE(),"",COUNTIF($H$6:$H5500,TRUE()))</f>
        <v/>
      </c>
      <c r="J5500" s="5" t="str">
        <f aca="false">IF($I5500="","","R"&amp;$I5500)</f>
        <v/>
      </c>
    </row>
    <row r="5501" customFormat="false" ht="15" hidden="false" customHeight="true" outlineLevel="0" collapsed="false">
      <c r="H5501" s="14" t="b">
        <f aca="false">IF(중복검사!$A5499="",FALSE(),중복검사!$J5499="유지")</f>
        <v>0</v>
      </c>
      <c r="I5501" s="5" t="str">
        <f aca="false">IF($H5501=FALSE(),"",COUNTIF($H$6:$H5501,TRUE()))</f>
        <v/>
      </c>
      <c r="J5501" s="5" t="str">
        <f aca="false">IF($I5501="","","R"&amp;$I5501)</f>
        <v/>
      </c>
    </row>
    <row r="5502" customFormat="false" ht="15" hidden="false" customHeight="true" outlineLevel="0" collapsed="false">
      <c r="H5502" s="14" t="b">
        <f aca="false">IF(중복검사!$A5500="",FALSE(),중복검사!$J5500="유지")</f>
        <v>0</v>
      </c>
      <c r="I5502" s="5" t="str">
        <f aca="false">IF($H5502=FALSE(),"",COUNTIF($H$6:$H5502,TRUE()))</f>
        <v/>
      </c>
      <c r="J5502" s="5" t="str">
        <f aca="false">IF($I5502="","","R"&amp;$I5502)</f>
        <v/>
      </c>
    </row>
    <row r="5503" customFormat="false" ht="15" hidden="false" customHeight="true" outlineLevel="0" collapsed="false">
      <c r="H5503" s="14" t="b">
        <f aca="false">IF(중복검사!$A5501="",FALSE(),중복검사!$J5501="유지")</f>
        <v>0</v>
      </c>
      <c r="I5503" s="5" t="str">
        <f aca="false">IF($H5503=FALSE(),"",COUNTIF($H$6:$H5503,TRUE()))</f>
        <v/>
      </c>
      <c r="J5503" s="5" t="str">
        <f aca="false">IF($I5503="","","R"&amp;$I5503)</f>
        <v/>
      </c>
    </row>
    <row r="5504" customFormat="false" ht="15" hidden="false" customHeight="true" outlineLevel="0" collapsed="false">
      <c r="H5504" s="14" t="b">
        <f aca="false">IF(중복검사!$A5502="",FALSE(),중복검사!$J5502="유지")</f>
        <v>0</v>
      </c>
      <c r="I5504" s="5" t="str">
        <f aca="false">IF($H5504=FALSE(),"",COUNTIF($H$6:$H5504,TRUE()))</f>
        <v/>
      </c>
      <c r="J5504" s="5" t="str">
        <f aca="false">IF($I5504="","","R"&amp;$I5504)</f>
        <v/>
      </c>
    </row>
    <row r="5505" customFormat="false" ht="15" hidden="false" customHeight="true" outlineLevel="0" collapsed="false">
      <c r="H5505" s="14" t="b">
        <f aca="false">IF(중복검사!$A5503="",FALSE(),중복검사!$J5503="유지")</f>
        <v>0</v>
      </c>
      <c r="I5505" s="5" t="str">
        <f aca="false">IF($H5505=FALSE(),"",COUNTIF($H$6:$H5505,TRUE()))</f>
        <v/>
      </c>
      <c r="J5505" s="5" t="str">
        <f aca="false">IF($I5505="","","R"&amp;$I5505)</f>
        <v/>
      </c>
    </row>
    <row r="5506" customFormat="false" ht="15" hidden="false" customHeight="true" outlineLevel="0" collapsed="false">
      <c r="H5506" s="14" t="b">
        <f aca="false">IF(중복검사!$A5504="",FALSE(),중복검사!$J5504="유지")</f>
        <v>0</v>
      </c>
      <c r="I5506" s="5" t="str">
        <f aca="false">IF($H5506=FALSE(),"",COUNTIF($H$6:$H5506,TRUE()))</f>
        <v/>
      </c>
      <c r="J5506" s="5" t="str">
        <f aca="false">IF($I5506="","","R"&amp;$I5506)</f>
        <v/>
      </c>
    </row>
    <row r="5507" customFormat="false" ht="15" hidden="false" customHeight="true" outlineLevel="0" collapsed="false">
      <c r="H5507" s="14" t="b">
        <f aca="false">IF(중복검사!$A5505="",FALSE(),중복검사!$J5505="유지")</f>
        <v>0</v>
      </c>
      <c r="I5507" s="5" t="str">
        <f aca="false">IF($H5507=FALSE(),"",COUNTIF($H$6:$H5507,TRUE()))</f>
        <v/>
      </c>
      <c r="J5507" s="5" t="str">
        <f aca="false">IF($I5507="","","R"&amp;$I5507)</f>
        <v/>
      </c>
    </row>
    <row r="5508" customFormat="false" ht="15" hidden="false" customHeight="true" outlineLevel="0" collapsed="false">
      <c r="H5508" s="14" t="b">
        <f aca="false">IF(중복검사!$A5506="",FALSE(),중복검사!$J5506="유지")</f>
        <v>0</v>
      </c>
      <c r="I5508" s="5" t="str">
        <f aca="false">IF($H5508=FALSE(),"",COUNTIF($H$6:$H5508,TRUE()))</f>
        <v/>
      </c>
      <c r="J5508" s="5" t="str">
        <f aca="false">IF($I5508="","","R"&amp;$I5508)</f>
        <v/>
      </c>
    </row>
    <row r="5509" customFormat="false" ht="15" hidden="false" customHeight="true" outlineLevel="0" collapsed="false">
      <c r="H5509" s="14" t="b">
        <f aca="false">IF(중복검사!$A5507="",FALSE(),중복검사!$J5507="유지")</f>
        <v>0</v>
      </c>
      <c r="I5509" s="5" t="str">
        <f aca="false">IF($H5509=FALSE(),"",COUNTIF($H$6:$H5509,TRUE()))</f>
        <v/>
      </c>
      <c r="J5509" s="5" t="str">
        <f aca="false">IF($I5509="","","R"&amp;$I5509)</f>
        <v/>
      </c>
    </row>
    <row r="5510" customFormat="false" ht="15" hidden="false" customHeight="true" outlineLevel="0" collapsed="false">
      <c r="H5510" s="14" t="b">
        <f aca="false">IF(중복검사!$A5508="",FALSE(),중복검사!$J5508="유지")</f>
        <v>0</v>
      </c>
      <c r="I5510" s="5" t="str">
        <f aca="false">IF($H5510=FALSE(),"",COUNTIF($H$6:$H5510,TRUE()))</f>
        <v/>
      </c>
      <c r="J5510" s="5" t="str">
        <f aca="false">IF($I5510="","","R"&amp;$I5510)</f>
        <v/>
      </c>
    </row>
    <row r="5511" customFormat="false" ht="15" hidden="false" customHeight="true" outlineLevel="0" collapsed="false">
      <c r="H5511" s="14" t="b">
        <f aca="false">IF(중복검사!$A5509="",FALSE(),중복검사!$J5509="유지")</f>
        <v>0</v>
      </c>
      <c r="I5511" s="5" t="str">
        <f aca="false">IF($H5511=FALSE(),"",COUNTIF($H$6:$H5511,TRUE()))</f>
        <v/>
      </c>
      <c r="J5511" s="5" t="str">
        <f aca="false">IF($I5511="","","R"&amp;$I5511)</f>
        <v/>
      </c>
    </row>
    <row r="5512" customFormat="false" ht="15" hidden="false" customHeight="true" outlineLevel="0" collapsed="false">
      <c r="H5512" s="14" t="b">
        <f aca="false">IF(중복검사!$A5510="",FALSE(),중복검사!$J5510="유지")</f>
        <v>0</v>
      </c>
      <c r="I5512" s="5" t="str">
        <f aca="false">IF($H5512=FALSE(),"",COUNTIF($H$6:$H5512,TRUE()))</f>
        <v/>
      </c>
      <c r="J5512" s="5" t="str">
        <f aca="false">IF($I5512="","","R"&amp;$I5512)</f>
        <v/>
      </c>
    </row>
    <row r="5513" customFormat="false" ht="15" hidden="false" customHeight="true" outlineLevel="0" collapsed="false">
      <c r="H5513" s="14" t="b">
        <f aca="false">IF(중복검사!$A5511="",FALSE(),중복검사!$J5511="유지")</f>
        <v>0</v>
      </c>
      <c r="I5513" s="5" t="str">
        <f aca="false">IF($H5513=FALSE(),"",COUNTIF($H$6:$H5513,TRUE()))</f>
        <v/>
      </c>
      <c r="J5513" s="5" t="str">
        <f aca="false">IF($I5513="","","R"&amp;$I5513)</f>
        <v/>
      </c>
    </row>
    <row r="5514" customFormat="false" ht="15" hidden="false" customHeight="true" outlineLevel="0" collapsed="false">
      <c r="H5514" s="14" t="b">
        <f aca="false">IF(중복검사!$A5512="",FALSE(),중복검사!$J5512="유지")</f>
        <v>0</v>
      </c>
      <c r="I5514" s="5" t="str">
        <f aca="false">IF($H5514=FALSE(),"",COUNTIF($H$6:$H5514,TRUE()))</f>
        <v/>
      </c>
      <c r="J5514" s="5" t="str">
        <f aca="false">IF($I5514="","","R"&amp;$I5514)</f>
        <v/>
      </c>
    </row>
    <row r="5515" customFormat="false" ht="15" hidden="false" customHeight="true" outlineLevel="0" collapsed="false">
      <c r="H5515" s="14" t="b">
        <f aca="false">IF(중복검사!$A5513="",FALSE(),중복검사!$J5513="유지")</f>
        <v>0</v>
      </c>
      <c r="I5515" s="5" t="str">
        <f aca="false">IF($H5515=FALSE(),"",COUNTIF($H$6:$H5515,TRUE()))</f>
        <v/>
      </c>
      <c r="J5515" s="5" t="str">
        <f aca="false">IF($I5515="","","R"&amp;$I5515)</f>
        <v/>
      </c>
    </row>
    <row r="5516" customFormat="false" ht="15" hidden="false" customHeight="true" outlineLevel="0" collapsed="false">
      <c r="H5516" s="14" t="b">
        <f aca="false">IF(중복검사!$A5514="",FALSE(),중복검사!$J5514="유지")</f>
        <v>0</v>
      </c>
      <c r="I5516" s="5" t="str">
        <f aca="false">IF($H5516=FALSE(),"",COUNTIF($H$6:$H5516,TRUE()))</f>
        <v/>
      </c>
      <c r="J5516" s="5" t="str">
        <f aca="false">IF($I5516="","","R"&amp;$I5516)</f>
        <v/>
      </c>
    </row>
    <row r="5517" customFormat="false" ht="15" hidden="false" customHeight="true" outlineLevel="0" collapsed="false">
      <c r="H5517" s="14" t="b">
        <f aca="false">IF(중복검사!$A5515="",FALSE(),중복검사!$J5515="유지")</f>
        <v>0</v>
      </c>
      <c r="I5517" s="5" t="str">
        <f aca="false">IF($H5517=FALSE(),"",COUNTIF($H$6:$H5517,TRUE()))</f>
        <v/>
      </c>
      <c r="J5517" s="5" t="str">
        <f aca="false">IF($I5517="","","R"&amp;$I5517)</f>
        <v/>
      </c>
    </row>
    <row r="5518" customFormat="false" ht="15" hidden="false" customHeight="true" outlineLevel="0" collapsed="false">
      <c r="H5518" s="14" t="b">
        <f aca="false">IF(중복검사!$A5516="",FALSE(),중복검사!$J5516="유지")</f>
        <v>0</v>
      </c>
      <c r="I5518" s="5" t="str">
        <f aca="false">IF($H5518=FALSE(),"",COUNTIF($H$6:$H5518,TRUE()))</f>
        <v/>
      </c>
      <c r="J5518" s="5" t="str">
        <f aca="false">IF($I5518="","","R"&amp;$I5518)</f>
        <v/>
      </c>
    </row>
    <row r="5519" customFormat="false" ht="15" hidden="false" customHeight="true" outlineLevel="0" collapsed="false">
      <c r="H5519" s="14" t="b">
        <f aca="false">IF(중복검사!$A5517="",FALSE(),중복검사!$J5517="유지")</f>
        <v>0</v>
      </c>
      <c r="I5519" s="5" t="str">
        <f aca="false">IF($H5519=FALSE(),"",COUNTIF($H$6:$H5519,TRUE()))</f>
        <v/>
      </c>
      <c r="J5519" s="5" t="str">
        <f aca="false">IF($I5519="","","R"&amp;$I5519)</f>
        <v/>
      </c>
    </row>
    <row r="5520" customFormat="false" ht="15" hidden="false" customHeight="true" outlineLevel="0" collapsed="false">
      <c r="H5520" s="14" t="b">
        <f aca="false">IF(중복검사!$A5518="",FALSE(),중복검사!$J5518="유지")</f>
        <v>0</v>
      </c>
      <c r="I5520" s="5" t="str">
        <f aca="false">IF($H5520=FALSE(),"",COUNTIF($H$6:$H5520,TRUE()))</f>
        <v/>
      </c>
      <c r="J5520" s="5" t="str">
        <f aca="false">IF($I5520="","","R"&amp;$I5520)</f>
        <v/>
      </c>
    </row>
    <row r="5521" customFormat="false" ht="15" hidden="false" customHeight="true" outlineLevel="0" collapsed="false">
      <c r="H5521" s="14" t="b">
        <f aca="false">IF(중복검사!$A5519="",FALSE(),중복검사!$J5519="유지")</f>
        <v>0</v>
      </c>
      <c r="I5521" s="5" t="str">
        <f aca="false">IF($H5521=FALSE(),"",COUNTIF($H$6:$H5521,TRUE()))</f>
        <v/>
      </c>
      <c r="J5521" s="5" t="str">
        <f aca="false">IF($I5521="","","R"&amp;$I5521)</f>
        <v/>
      </c>
    </row>
    <row r="5522" customFormat="false" ht="15" hidden="false" customHeight="true" outlineLevel="0" collapsed="false">
      <c r="H5522" s="14" t="b">
        <f aca="false">IF(중복검사!$A5520="",FALSE(),중복검사!$J5520="유지")</f>
        <v>0</v>
      </c>
      <c r="I5522" s="5" t="str">
        <f aca="false">IF($H5522=FALSE(),"",COUNTIF($H$6:$H5522,TRUE()))</f>
        <v/>
      </c>
      <c r="J5522" s="5" t="str">
        <f aca="false">IF($I5522="","","R"&amp;$I5522)</f>
        <v/>
      </c>
    </row>
    <row r="5523" customFormat="false" ht="15" hidden="false" customHeight="true" outlineLevel="0" collapsed="false">
      <c r="H5523" s="14" t="b">
        <f aca="false">IF(중복검사!$A5521="",FALSE(),중복검사!$J5521="유지")</f>
        <v>0</v>
      </c>
      <c r="I5523" s="5" t="str">
        <f aca="false">IF($H5523=FALSE(),"",COUNTIF($H$6:$H5523,TRUE()))</f>
        <v/>
      </c>
      <c r="J5523" s="5" t="str">
        <f aca="false">IF($I5523="","","R"&amp;$I5523)</f>
        <v/>
      </c>
    </row>
    <row r="5524" customFormat="false" ht="15" hidden="false" customHeight="true" outlineLevel="0" collapsed="false">
      <c r="H5524" s="14" t="b">
        <f aca="false">IF(중복검사!$A5522="",FALSE(),중복검사!$J5522="유지")</f>
        <v>0</v>
      </c>
      <c r="I5524" s="5" t="str">
        <f aca="false">IF($H5524=FALSE(),"",COUNTIF($H$6:$H5524,TRUE()))</f>
        <v/>
      </c>
      <c r="J5524" s="5" t="str">
        <f aca="false">IF($I5524="","","R"&amp;$I5524)</f>
        <v/>
      </c>
    </row>
    <row r="5525" customFormat="false" ht="15" hidden="false" customHeight="true" outlineLevel="0" collapsed="false">
      <c r="H5525" s="14" t="b">
        <f aca="false">IF(중복검사!$A5523="",FALSE(),중복검사!$J5523="유지")</f>
        <v>0</v>
      </c>
      <c r="I5525" s="5" t="str">
        <f aca="false">IF($H5525=FALSE(),"",COUNTIF($H$6:$H5525,TRUE()))</f>
        <v/>
      </c>
      <c r="J5525" s="5" t="str">
        <f aca="false">IF($I5525="","","R"&amp;$I5525)</f>
        <v/>
      </c>
    </row>
    <row r="5526" customFormat="false" ht="15" hidden="false" customHeight="true" outlineLevel="0" collapsed="false">
      <c r="H5526" s="14" t="b">
        <f aca="false">IF(중복검사!$A5524="",FALSE(),중복검사!$J5524="유지")</f>
        <v>0</v>
      </c>
      <c r="I5526" s="5" t="str">
        <f aca="false">IF($H5526=FALSE(),"",COUNTIF($H$6:$H5526,TRUE()))</f>
        <v/>
      </c>
      <c r="J5526" s="5" t="str">
        <f aca="false">IF($I5526="","","R"&amp;$I5526)</f>
        <v/>
      </c>
    </row>
    <row r="5527" customFormat="false" ht="15" hidden="false" customHeight="true" outlineLevel="0" collapsed="false">
      <c r="H5527" s="14" t="b">
        <f aca="false">IF(중복검사!$A5525="",FALSE(),중복검사!$J5525="유지")</f>
        <v>0</v>
      </c>
      <c r="I5527" s="5" t="str">
        <f aca="false">IF($H5527=FALSE(),"",COUNTIF($H$6:$H5527,TRUE()))</f>
        <v/>
      </c>
      <c r="J5527" s="5" t="str">
        <f aca="false">IF($I5527="","","R"&amp;$I5527)</f>
        <v/>
      </c>
    </row>
    <row r="5528" customFormat="false" ht="15" hidden="false" customHeight="true" outlineLevel="0" collapsed="false">
      <c r="H5528" s="14" t="b">
        <f aca="false">IF(중복검사!$A5526="",FALSE(),중복검사!$J5526="유지")</f>
        <v>0</v>
      </c>
      <c r="I5528" s="5" t="str">
        <f aca="false">IF($H5528=FALSE(),"",COUNTIF($H$6:$H5528,TRUE()))</f>
        <v/>
      </c>
      <c r="J5528" s="5" t="str">
        <f aca="false">IF($I5528="","","R"&amp;$I5528)</f>
        <v/>
      </c>
    </row>
    <row r="5529" customFormat="false" ht="15" hidden="false" customHeight="true" outlineLevel="0" collapsed="false">
      <c r="H5529" s="14" t="b">
        <f aca="false">IF(중복검사!$A5527="",FALSE(),중복검사!$J5527="유지")</f>
        <v>0</v>
      </c>
      <c r="I5529" s="5" t="str">
        <f aca="false">IF($H5529=FALSE(),"",COUNTIF($H$6:$H5529,TRUE()))</f>
        <v/>
      </c>
      <c r="J5529" s="5" t="str">
        <f aca="false">IF($I5529="","","R"&amp;$I5529)</f>
        <v/>
      </c>
    </row>
    <row r="5530" customFormat="false" ht="15" hidden="false" customHeight="true" outlineLevel="0" collapsed="false">
      <c r="H5530" s="14" t="b">
        <f aca="false">IF(중복검사!$A5528="",FALSE(),중복검사!$J5528="유지")</f>
        <v>0</v>
      </c>
      <c r="I5530" s="5" t="str">
        <f aca="false">IF($H5530=FALSE(),"",COUNTIF($H$6:$H5530,TRUE()))</f>
        <v/>
      </c>
      <c r="J5530" s="5" t="str">
        <f aca="false">IF($I5530="","","R"&amp;$I5530)</f>
        <v/>
      </c>
    </row>
    <row r="5531" customFormat="false" ht="15" hidden="false" customHeight="true" outlineLevel="0" collapsed="false">
      <c r="H5531" s="14" t="b">
        <f aca="false">IF(중복검사!$A5529="",FALSE(),중복검사!$J5529="유지")</f>
        <v>0</v>
      </c>
      <c r="I5531" s="5" t="str">
        <f aca="false">IF($H5531=FALSE(),"",COUNTIF($H$6:$H5531,TRUE()))</f>
        <v/>
      </c>
      <c r="J5531" s="5" t="str">
        <f aca="false">IF($I5531="","","R"&amp;$I5531)</f>
        <v/>
      </c>
    </row>
    <row r="5532" customFormat="false" ht="15" hidden="false" customHeight="true" outlineLevel="0" collapsed="false">
      <c r="H5532" s="14" t="b">
        <f aca="false">IF(중복검사!$A5530="",FALSE(),중복검사!$J5530="유지")</f>
        <v>0</v>
      </c>
      <c r="I5532" s="5" t="str">
        <f aca="false">IF($H5532=FALSE(),"",COUNTIF($H$6:$H5532,TRUE()))</f>
        <v/>
      </c>
      <c r="J5532" s="5" t="str">
        <f aca="false">IF($I5532="","","R"&amp;$I5532)</f>
        <v/>
      </c>
    </row>
    <row r="5533" customFormat="false" ht="15" hidden="false" customHeight="true" outlineLevel="0" collapsed="false">
      <c r="H5533" s="14" t="b">
        <f aca="false">IF(중복검사!$A5531="",FALSE(),중복검사!$J5531="유지")</f>
        <v>0</v>
      </c>
      <c r="I5533" s="5" t="str">
        <f aca="false">IF($H5533=FALSE(),"",COUNTIF($H$6:$H5533,TRUE()))</f>
        <v/>
      </c>
      <c r="J5533" s="5" t="str">
        <f aca="false">IF($I5533="","","R"&amp;$I5533)</f>
        <v/>
      </c>
    </row>
    <row r="5534" customFormat="false" ht="15" hidden="false" customHeight="true" outlineLevel="0" collapsed="false">
      <c r="H5534" s="14" t="b">
        <f aca="false">IF(중복검사!$A5532="",FALSE(),중복검사!$J5532="유지")</f>
        <v>0</v>
      </c>
      <c r="I5534" s="5" t="str">
        <f aca="false">IF($H5534=FALSE(),"",COUNTIF($H$6:$H5534,TRUE()))</f>
        <v/>
      </c>
      <c r="J5534" s="5" t="str">
        <f aca="false">IF($I5534="","","R"&amp;$I5534)</f>
        <v/>
      </c>
    </row>
    <row r="5535" customFormat="false" ht="15" hidden="false" customHeight="true" outlineLevel="0" collapsed="false">
      <c r="H5535" s="14" t="b">
        <f aca="false">IF(중복검사!$A5533="",FALSE(),중복검사!$J5533="유지")</f>
        <v>0</v>
      </c>
      <c r="I5535" s="5" t="str">
        <f aca="false">IF($H5535=FALSE(),"",COUNTIF($H$6:$H5535,TRUE()))</f>
        <v/>
      </c>
      <c r="J5535" s="5" t="str">
        <f aca="false">IF($I5535="","","R"&amp;$I5535)</f>
        <v/>
      </c>
    </row>
    <row r="5536" customFormat="false" ht="15" hidden="false" customHeight="true" outlineLevel="0" collapsed="false">
      <c r="H5536" s="14" t="b">
        <f aca="false">IF(중복검사!$A5534="",FALSE(),중복검사!$J5534="유지")</f>
        <v>0</v>
      </c>
      <c r="I5536" s="5" t="str">
        <f aca="false">IF($H5536=FALSE(),"",COUNTIF($H$6:$H5536,TRUE()))</f>
        <v/>
      </c>
      <c r="J5536" s="5" t="str">
        <f aca="false">IF($I5536="","","R"&amp;$I5536)</f>
        <v/>
      </c>
    </row>
    <row r="5537" customFormat="false" ht="15" hidden="false" customHeight="true" outlineLevel="0" collapsed="false">
      <c r="H5537" s="14" t="b">
        <f aca="false">IF(중복검사!$A5535="",FALSE(),중복검사!$J5535="유지")</f>
        <v>0</v>
      </c>
      <c r="I5537" s="5" t="str">
        <f aca="false">IF($H5537=FALSE(),"",COUNTIF($H$6:$H5537,TRUE()))</f>
        <v/>
      </c>
      <c r="J5537" s="5" t="str">
        <f aca="false">IF($I5537="","","R"&amp;$I5537)</f>
        <v/>
      </c>
    </row>
    <row r="5538" customFormat="false" ht="15" hidden="false" customHeight="true" outlineLevel="0" collapsed="false">
      <c r="H5538" s="14" t="b">
        <f aca="false">IF(중복검사!$A5536="",FALSE(),중복검사!$J5536="유지")</f>
        <v>0</v>
      </c>
      <c r="I5538" s="5" t="str">
        <f aca="false">IF($H5538=FALSE(),"",COUNTIF($H$6:$H5538,TRUE()))</f>
        <v/>
      </c>
      <c r="J5538" s="5" t="str">
        <f aca="false">IF($I5538="","","R"&amp;$I5538)</f>
        <v/>
      </c>
    </row>
    <row r="5539" customFormat="false" ht="15" hidden="false" customHeight="true" outlineLevel="0" collapsed="false">
      <c r="H5539" s="14" t="b">
        <f aca="false">IF(중복검사!$A5537="",FALSE(),중복검사!$J5537="유지")</f>
        <v>0</v>
      </c>
      <c r="I5539" s="5" t="str">
        <f aca="false">IF($H5539=FALSE(),"",COUNTIF($H$6:$H5539,TRUE()))</f>
        <v/>
      </c>
      <c r="J5539" s="5" t="str">
        <f aca="false">IF($I5539="","","R"&amp;$I5539)</f>
        <v/>
      </c>
    </row>
    <row r="5540" customFormat="false" ht="15" hidden="false" customHeight="true" outlineLevel="0" collapsed="false">
      <c r="H5540" s="14" t="b">
        <f aca="false">IF(중복검사!$A5538="",FALSE(),중복검사!$J5538="유지")</f>
        <v>0</v>
      </c>
      <c r="I5540" s="5" t="str">
        <f aca="false">IF($H5540=FALSE(),"",COUNTIF($H$6:$H5540,TRUE()))</f>
        <v/>
      </c>
      <c r="J5540" s="5" t="str">
        <f aca="false">IF($I5540="","","R"&amp;$I5540)</f>
        <v/>
      </c>
    </row>
    <row r="5541" customFormat="false" ht="15" hidden="false" customHeight="true" outlineLevel="0" collapsed="false">
      <c r="H5541" s="14" t="b">
        <f aca="false">IF(중복검사!$A5539="",FALSE(),중복검사!$J5539="유지")</f>
        <v>0</v>
      </c>
      <c r="I5541" s="5" t="str">
        <f aca="false">IF($H5541=FALSE(),"",COUNTIF($H$6:$H5541,TRUE()))</f>
        <v/>
      </c>
      <c r="J5541" s="5" t="str">
        <f aca="false">IF($I5541="","","R"&amp;$I5541)</f>
        <v/>
      </c>
    </row>
    <row r="5542" customFormat="false" ht="15" hidden="false" customHeight="true" outlineLevel="0" collapsed="false">
      <c r="H5542" s="14" t="b">
        <f aca="false">IF(중복검사!$A5540="",FALSE(),중복검사!$J5540="유지")</f>
        <v>0</v>
      </c>
      <c r="I5542" s="5" t="str">
        <f aca="false">IF($H5542=FALSE(),"",COUNTIF($H$6:$H5542,TRUE()))</f>
        <v/>
      </c>
      <c r="J5542" s="5" t="str">
        <f aca="false">IF($I5542="","","R"&amp;$I5542)</f>
        <v/>
      </c>
    </row>
    <row r="5543" customFormat="false" ht="15" hidden="false" customHeight="true" outlineLevel="0" collapsed="false">
      <c r="H5543" s="14" t="b">
        <f aca="false">IF(중복검사!$A5541="",FALSE(),중복검사!$J5541="유지")</f>
        <v>0</v>
      </c>
      <c r="I5543" s="5" t="str">
        <f aca="false">IF($H5543=FALSE(),"",COUNTIF($H$6:$H5543,TRUE()))</f>
        <v/>
      </c>
      <c r="J5543" s="5" t="str">
        <f aca="false">IF($I5543="","","R"&amp;$I5543)</f>
        <v/>
      </c>
    </row>
    <row r="5544" customFormat="false" ht="15" hidden="false" customHeight="true" outlineLevel="0" collapsed="false">
      <c r="H5544" s="14" t="b">
        <f aca="false">IF(중복검사!$A5542="",FALSE(),중복검사!$J5542="유지")</f>
        <v>0</v>
      </c>
      <c r="I5544" s="5" t="str">
        <f aca="false">IF($H5544=FALSE(),"",COUNTIF($H$6:$H5544,TRUE()))</f>
        <v/>
      </c>
      <c r="J5544" s="5" t="str">
        <f aca="false">IF($I5544="","","R"&amp;$I5544)</f>
        <v/>
      </c>
    </row>
    <row r="5545" customFormat="false" ht="15" hidden="false" customHeight="true" outlineLevel="0" collapsed="false">
      <c r="H5545" s="14" t="b">
        <f aca="false">IF(중복검사!$A5543="",FALSE(),중복검사!$J5543="유지")</f>
        <v>0</v>
      </c>
      <c r="I5545" s="5" t="str">
        <f aca="false">IF($H5545=FALSE(),"",COUNTIF($H$6:$H5545,TRUE()))</f>
        <v/>
      </c>
      <c r="J5545" s="5" t="str">
        <f aca="false">IF($I5545="","","R"&amp;$I5545)</f>
        <v/>
      </c>
    </row>
    <row r="5546" customFormat="false" ht="15" hidden="false" customHeight="true" outlineLevel="0" collapsed="false">
      <c r="H5546" s="14" t="b">
        <f aca="false">IF(중복검사!$A5544="",FALSE(),중복검사!$J5544="유지")</f>
        <v>0</v>
      </c>
      <c r="I5546" s="5" t="str">
        <f aca="false">IF($H5546=FALSE(),"",COUNTIF($H$6:$H5546,TRUE()))</f>
        <v/>
      </c>
      <c r="J5546" s="5" t="str">
        <f aca="false">IF($I5546="","","R"&amp;$I5546)</f>
        <v/>
      </c>
    </row>
    <row r="5547" customFormat="false" ht="15" hidden="false" customHeight="true" outlineLevel="0" collapsed="false">
      <c r="H5547" s="14" t="b">
        <f aca="false">IF(중복검사!$A5545="",FALSE(),중복검사!$J5545="유지")</f>
        <v>0</v>
      </c>
      <c r="I5547" s="5" t="str">
        <f aca="false">IF($H5547=FALSE(),"",COUNTIF($H$6:$H5547,TRUE()))</f>
        <v/>
      </c>
      <c r="J5547" s="5" t="str">
        <f aca="false">IF($I5547="","","R"&amp;$I5547)</f>
        <v/>
      </c>
    </row>
    <row r="5548" customFormat="false" ht="15" hidden="false" customHeight="true" outlineLevel="0" collapsed="false">
      <c r="H5548" s="14" t="b">
        <f aca="false">IF(중복검사!$A5546="",FALSE(),중복검사!$J5546="유지")</f>
        <v>0</v>
      </c>
      <c r="I5548" s="5" t="str">
        <f aca="false">IF($H5548=FALSE(),"",COUNTIF($H$6:$H5548,TRUE()))</f>
        <v/>
      </c>
      <c r="J5548" s="5" t="str">
        <f aca="false">IF($I5548="","","R"&amp;$I5548)</f>
        <v/>
      </c>
    </row>
    <row r="5549" customFormat="false" ht="15" hidden="false" customHeight="true" outlineLevel="0" collapsed="false">
      <c r="H5549" s="14" t="b">
        <f aca="false">IF(중복검사!$A5547="",FALSE(),중복검사!$J5547="유지")</f>
        <v>0</v>
      </c>
      <c r="I5549" s="5" t="str">
        <f aca="false">IF($H5549=FALSE(),"",COUNTIF($H$6:$H5549,TRUE()))</f>
        <v/>
      </c>
      <c r="J5549" s="5" t="str">
        <f aca="false">IF($I5549="","","R"&amp;$I5549)</f>
        <v/>
      </c>
    </row>
    <row r="5550" customFormat="false" ht="15" hidden="false" customHeight="true" outlineLevel="0" collapsed="false">
      <c r="H5550" s="14" t="b">
        <f aca="false">IF(중복검사!$A5548="",FALSE(),중복검사!$J5548="유지")</f>
        <v>0</v>
      </c>
      <c r="I5550" s="5" t="str">
        <f aca="false">IF($H5550=FALSE(),"",COUNTIF($H$6:$H5550,TRUE()))</f>
        <v/>
      </c>
      <c r="J5550" s="5" t="str">
        <f aca="false">IF($I5550="","","R"&amp;$I5550)</f>
        <v/>
      </c>
    </row>
    <row r="5551" customFormat="false" ht="15" hidden="false" customHeight="true" outlineLevel="0" collapsed="false">
      <c r="H5551" s="14" t="b">
        <f aca="false">IF(중복검사!$A5549="",FALSE(),중복검사!$J5549="유지")</f>
        <v>0</v>
      </c>
      <c r="I5551" s="5" t="str">
        <f aca="false">IF($H5551=FALSE(),"",COUNTIF($H$6:$H5551,TRUE()))</f>
        <v/>
      </c>
      <c r="J5551" s="5" t="str">
        <f aca="false">IF($I5551="","","R"&amp;$I5551)</f>
        <v/>
      </c>
    </row>
    <row r="5552" customFormat="false" ht="15" hidden="false" customHeight="true" outlineLevel="0" collapsed="false">
      <c r="H5552" s="14" t="b">
        <f aca="false">IF(중복검사!$A5550="",FALSE(),중복검사!$J5550="유지")</f>
        <v>0</v>
      </c>
      <c r="I5552" s="5" t="str">
        <f aca="false">IF($H5552=FALSE(),"",COUNTIF($H$6:$H5552,TRUE()))</f>
        <v/>
      </c>
      <c r="J5552" s="5" t="str">
        <f aca="false">IF($I5552="","","R"&amp;$I5552)</f>
        <v/>
      </c>
    </row>
    <row r="5553" customFormat="false" ht="15" hidden="false" customHeight="true" outlineLevel="0" collapsed="false">
      <c r="H5553" s="14" t="b">
        <f aca="false">IF(중복검사!$A5551="",FALSE(),중복검사!$J5551="유지")</f>
        <v>0</v>
      </c>
      <c r="I5553" s="5" t="str">
        <f aca="false">IF($H5553=FALSE(),"",COUNTIF($H$6:$H5553,TRUE()))</f>
        <v/>
      </c>
      <c r="J5553" s="5" t="str">
        <f aca="false">IF($I5553="","","R"&amp;$I5553)</f>
        <v/>
      </c>
    </row>
    <row r="5554" customFormat="false" ht="15" hidden="false" customHeight="true" outlineLevel="0" collapsed="false">
      <c r="H5554" s="14" t="b">
        <f aca="false">IF(중복검사!$A5552="",FALSE(),중복검사!$J5552="유지")</f>
        <v>0</v>
      </c>
      <c r="I5554" s="5" t="str">
        <f aca="false">IF($H5554=FALSE(),"",COUNTIF($H$6:$H5554,TRUE()))</f>
        <v/>
      </c>
      <c r="J5554" s="5" t="str">
        <f aca="false">IF($I5554="","","R"&amp;$I5554)</f>
        <v/>
      </c>
    </row>
    <row r="5555" customFormat="false" ht="15" hidden="false" customHeight="true" outlineLevel="0" collapsed="false">
      <c r="H5555" s="14" t="b">
        <f aca="false">IF(중복검사!$A5553="",FALSE(),중복검사!$J5553="유지")</f>
        <v>0</v>
      </c>
      <c r="I5555" s="5" t="str">
        <f aca="false">IF($H5555=FALSE(),"",COUNTIF($H$6:$H5555,TRUE()))</f>
        <v/>
      </c>
      <c r="J5555" s="5" t="str">
        <f aca="false">IF($I5555="","","R"&amp;$I5555)</f>
        <v/>
      </c>
    </row>
    <row r="5556" customFormat="false" ht="15" hidden="false" customHeight="true" outlineLevel="0" collapsed="false">
      <c r="H5556" s="14" t="b">
        <f aca="false">IF(중복검사!$A5554="",FALSE(),중복검사!$J5554="유지")</f>
        <v>0</v>
      </c>
      <c r="I5556" s="5" t="str">
        <f aca="false">IF($H5556=FALSE(),"",COUNTIF($H$6:$H5556,TRUE()))</f>
        <v/>
      </c>
      <c r="J5556" s="5" t="str">
        <f aca="false">IF($I5556="","","R"&amp;$I5556)</f>
        <v/>
      </c>
    </row>
    <row r="5557" customFormat="false" ht="15" hidden="false" customHeight="true" outlineLevel="0" collapsed="false">
      <c r="H5557" s="14" t="b">
        <f aca="false">IF(중복검사!$A5555="",FALSE(),중복검사!$J5555="유지")</f>
        <v>0</v>
      </c>
      <c r="I5557" s="5" t="str">
        <f aca="false">IF($H5557=FALSE(),"",COUNTIF($H$6:$H5557,TRUE()))</f>
        <v/>
      </c>
      <c r="J5557" s="5" t="str">
        <f aca="false">IF($I5557="","","R"&amp;$I5557)</f>
        <v/>
      </c>
    </row>
    <row r="5558" customFormat="false" ht="15" hidden="false" customHeight="true" outlineLevel="0" collapsed="false">
      <c r="H5558" s="14" t="b">
        <f aca="false">IF(중복검사!$A5556="",FALSE(),중복검사!$J5556="유지")</f>
        <v>0</v>
      </c>
      <c r="I5558" s="5" t="str">
        <f aca="false">IF($H5558=FALSE(),"",COUNTIF($H$6:$H5558,TRUE()))</f>
        <v/>
      </c>
      <c r="J5558" s="5" t="str">
        <f aca="false">IF($I5558="","","R"&amp;$I5558)</f>
        <v/>
      </c>
    </row>
    <row r="5559" customFormat="false" ht="15" hidden="false" customHeight="true" outlineLevel="0" collapsed="false">
      <c r="H5559" s="14" t="b">
        <f aca="false">IF(중복검사!$A5557="",FALSE(),중복검사!$J5557="유지")</f>
        <v>0</v>
      </c>
      <c r="I5559" s="5" t="str">
        <f aca="false">IF($H5559=FALSE(),"",COUNTIF($H$6:$H5559,TRUE()))</f>
        <v/>
      </c>
      <c r="J5559" s="5" t="str">
        <f aca="false">IF($I5559="","","R"&amp;$I5559)</f>
        <v/>
      </c>
    </row>
    <row r="5560" customFormat="false" ht="15" hidden="false" customHeight="true" outlineLevel="0" collapsed="false">
      <c r="H5560" s="14" t="b">
        <f aca="false">IF(중복검사!$A5558="",FALSE(),중복검사!$J5558="유지")</f>
        <v>0</v>
      </c>
      <c r="I5560" s="5" t="str">
        <f aca="false">IF($H5560=FALSE(),"",COUNTIF($H$6:$H5560,TRUE()))</f>
        <v/>
      </c>
      <c r="J5560" s="5" t="str">
        <f aca="false">IF($I5560="","","R"&amp;$I5560)</f>
        <v/>
      </c>
    </row>
    <row r="5561" customFormat="false" ht="15" hidden="false" customHeight="true" outlineLevel="0" collapsed="false">
      <c r="H5561" s="14" t="b">
        <f aca="false">IF(중복검사!$A5559="",FALSE(),중복검사!$J5559="유지")</f>
        <v>0</v>
      </c>
      <c r="I5561" s="5" t="str">
        <f aca="false">IF($H5561=FALSE(),"",COUNTIF($H$6:$H5561,TRUE()))</f>
        <v/>
      </c>
      <c r="J5561" s="5" t="str">
        <f aca="false">IF($I5561="","","R"&amp;$I5561)</f>
        <v/>
      </c>
    </row>
    <row r="5562" customFormat="false" ht="15" hidden="false" customHeight="true" outlineLevel="0" collapsed="false">
      <c r="H5562" s="14" t="b">
        <f aca="false">IF(중복검사!$A5560="",FALSE(),중복검사!$J5560="유지")</f>
        <v>0</v>
      </c>
      <c r="I5562" s="5" t="str">
        <f aca="false">IF($H5562=FALSE(),"",COUNTIF($H$6:$H5562,TRUE()))</f>
        <v/>
      </c>
      <c r="J5562" s="5" t="str">
        <f aca="false">IF($I5562="","","R"&amp;$I5562)</f>
        <v/>
      </c>
    </row>
    <row r="5563" customFormat="false" ht="15" hidden="false" customHeight="true" outlineLevel="0" collapsed="false">
      <c r="H5563" s="14" t="b">
        <f aca="false">IF(중복검사!$A5561="",FALSE(),중복검사!$J5561="유지")</f>
        <v>0</v>
      </c>
      <c r="I5563" s="5" t="str">
        <f aca="false">IF($H5563=FALSE(),"",COUNTIF($H$6:$H5563,TRUE()))</f>
        <v/>
      </c>
      <c r="J5563" s="5" t="str">
        <f aca="false">IF($I5563="","","R"&amp;$I5563)</f>
        <v/>
      </c>
    </row>
    <row r="5564" customFormat="false" ht="15" hidden="false" customHeight="true" outlineLevel="0" collapsed="false">
      <c r="H5564" s="14" t="b">
        <f aca="false">IF(중복검사!$A5562="",FALSE(),중복검사!$J5562="유지")</f>
        <v>0</v>
      </c>
      <c r="I5564" s="5" t="str">
        <f aca="false">IF($H5564=FALSE(),"",COUNTIF($H$6:$H5564,TRUE()))</f>
        <v/>
      </c>
      <c r="J5564" s="5" t="str">
        <f aca="false">IF($I5564="","","R"&amp;$I5564)</f>
        <v/>
      </c>
    </row>
    <row r="5565" customFormat="false" ht="15" hidden="false" customHeight="true" outlineLevel="0" collapsed="false">
      <c r="H5565" s="14" t="b">
        <f aca="false">IF(중복검사!$A5563="",FALSE(),중복검사!$J5563="유지")</f>
        <v>0</v>
      </c>
      <c r="I5565" s="5" t="str">
        <f aca="false">IF($H5565=FALSE(),"",COUNTIF($H$6:$H5565,TRUE()))</f>
        <v/>
      </c>
      <c r="J5565" s="5" t="str">
        <f aca="false">IF($I5565="","","R"&amp;$I5565)</f>
        <v/>
      </c>
    </row>
    <row r="5566" customFormat="false" ht="15" hidden="false" customHeight="true" outlineLevel="0" collapsed="false">
      <c r="H5566" s="14" t="b">
        <f aca="false">IF(중복검사!$A5564="",FALSE(),중복검사!$J5564="유지")</f>
        <v>0</v>
      </c>
      <c r="I5566" s="5" t="str">
        <f aca="false">IF($H5566=FALSE(),"",COUNTIF($H$6:$H5566,TRUE()))</f>
        <v/>
      </c>
      <c r="J5566" s="5" t="str">
        <f aca="false">IF($I5566="","","R"&amp;$I5566)</f>
        <v/>
      </c>
    </row>
    <row r="5567" customFormat="false" ht="15" hidden="false" customHeight="true" outlineLevel="0" collapsed="false">
      <c r="H5567" s="14" t="b">
        <f aca="false">IF(중복검사!$A5565="",FALSE(),중복검사!$J5565="유지")</f>
        <v>0</v>
      </c>
      <c r="I5567" s="5" t="str">
        <f aca="false">IF($H5567=FALSE(),"",COUNTIF($H$6:$H5567,TRUE()))</f>
        <v/>
      </c>
      <c r="J5567" s="5" t="str">
        <f aca="false">IF($I5567="","","R"&amp;$I5567)</f>
        <v/>
      </c>
    </row>
    <row r="5568" customFormat="false" ht="15" hidden="false" customHeight="true" outlineLevel="0" collapsed="false">
      <c r="H5568" s="14" t="b">
        <f aca="false">IF(중복검사!$A5566="",FALSE(),중복검사!$J5566="유지")</f>
        <v>0</v>
      </c>
      <c r="I5568" s="5" t="str">
        <f aca="false">IF($H5568=FALSE(),"",COUNTIF($H$6:$H5568,TRUE()))</f>
        <v/>
      </c>
      <c r="J5568" s="5" t="str">
        <f aca="false">IF($I5568="","","R"&amp;$I5568)</f>
        <v/>
      </c>
    </row>
    <row r="5569" customFormat="false" ht="15" hidden="false" customHeight="true" outlineLevel="0" collapsed="false">
      <c r="H5569" s="14" t="b">
        <f aca="false">IF(중복검사!$A5567="",FALSE(),중복검사!$J5567="유지")</f>
        <v>0</v>
      </c>
      <c r="I5569" s="5" t="str">
        <f aca="false">IF($H5569=FALSE(),"",COUNTIF($H$6:$H5569,TRUE()))</f>
        <v/>
      </c>
      <c r="J5569" s="5" t="str">
        <f aca="false">IF($I5569="","","R"&amp;$I5569)</f>
        <v/>
      </c>
    </row>
    <row r="5570" customFormat="false" ht="15" hidden="false" customHeight="true" outlineLevel="0" collapsed="false">
      <c r="H5570" s="14" t="b">
        <f aca="false">IF(중복검사!$A5568="",FALSE(),중복검사!$J5568="유지")</f>
        <v>0</v>
      </c>
      <c r="I5570" s="5" t="str">
        <f aca="false">IF($H5570=FALSE(),"",COUNTIF($H$6:$H5570,TRUE()))</f>
        <v/>
      </c>
      <c r="J5570" s="5" t="str">
        <f aca="false">IF($I5570="","","R"&amp;$I5570)</f>
        <v/>
      </c>
    </row>
    <row r="5571" customFormat="false" ht="15" hidden="false" customHeight="true" outlineLevel="0" collapsed="false">
      <c r="H5571" s="14" t="b">
        <f aca="false">IF(중복검사!$A5569="",FALSE(),중복검사!$J5569="유지")</f>
        <v>0</v>
      </c>
      <c r="I5571" s="5" t="str">
        <f aca="false">IF($H5571=FALSE(),"",COUNTIF($H$6:$H5571,TRUE()))</f>
        <v/>
      </c>
      <c r="J5571" s="5" t="str">
        <f aca="false">IF($I5571="","","R"&amp;$I5571)</f>
        <v/>
      </c>
    </row>
    <row r="5572" customFormat="false" ht="15" hidden="false" customHeight="true" outlineLevel="0" collapsed="false">
      <c r="H5572" s="14" t="b">
        <f aca="false">IF(중복검사!$A5570="",FALSE(),중복검사!$J5570="유지")</f>
        <v>0</v>
      </c>
      <c r="I5572" s="5" t="str">
        <f aca="false">IF($H5572=FALSE(),"",COUNTIF($H$6:$H5572,TRUE()))</f>
        <v/>
      </c>
      <c r="J5572" s="5" t="str">
        <f aca="false">IF($I5572="","","R"&amp;$I5572)</f>
        <v/>
      </c>
    </row>
    <row r="5573" customFormat="false" ht="15" hidden="false" customHeight="true" outlineLevel="0" collapsed="false">
      <c r="H5573" s="14" t="b">
        <f aca="false">IF(중복검사!$A5571="",FALSE(),중복검사!$J5571="유지")</f>
        <v>0</v>
      </c>
      <c r="I5573" s="5" t="str">
        <f aca="false">IF($H5573=FALSE(),"",COUNTIF($H$6:$H5573,TRUE()))</f>
        <v/>
      </c>
      <c r="J5573" s="5" t="str">
        <f aca="false">IF($I5573="","","R"&amp;$I5573)</f>
        <v/>
      </c>
    </row>
    <row r="5574" customFormat="false" ht="15" hidden="false" customHeight="true" outlineLevel="0" collapsed="false">
      <c r="H5574" s="14" t="b">
        <f aca="false">IF(중복검사!$A5572="",FALSE(),중복검사!$J5572="유지")</f>
        <v>0</v>
      </c>
      <c r="I5574" s="5" t="str">
        <f aca="false">IF($H5574=FALSE(),"",COUNTIF($H$6:$H5574,TRUE()))</f>
        <v/>
      </c>
      <c r="J5574" s="5" t="str">
        <f aca="false">IF($I5574="","","R"&amp;$I5574)</f>
        <v/>
      </c>
    </row>
    <row r="5575" customFormat="false" ht="15" hidden="false" customHeight="true" outlineLevel="0" collapsed="false">
      <c r="H5575" s="14" t="b">
        <f aca="false">IF(중복검사!$A5573="",FALSE(),중복검사!$J5573="유지")</f>
        <v>0</v>
      </c>
      <c r="I5575" s="5" t="str">
        <f aca="false">IF($H5575=FALSE(),"",COUNTIF($H$6:$H5575,TRUE()))</f>
        <v/>
      </c>
      <c r="J5575" s="5" t="str">
        <f aca="false">IF($I5575="","","R"&amp;$I5575)</f>
        <v/>
      </c>
    </row>
    <row r="5576" customFormat="false" ht="15" hidden="false" customHeight="true" outlineLevel="0" collapsed="false">
      <c r="H5576" s="14" t="b">
        <f aca="false">IF(중복검사!$A5574="",FALSE(),중복검사!$J5574="유지")</f>
        <v>0</v>
      </c>
      <c r="I5576" s="5" t="str">
        <f aca="false">IF($H5576=FALSE(),"",COUNTIF($H$6:$H5576,TRUE()))</f>
        <v/>
      </c>
      <c r="J5576" s="5" t="str">
        <f aca="false">IF($I5576="","","R"&amp;$I5576)</f>
        <v/>
      </c>
    </row>
    <row r="5577" customFormat="false" ht="15" hidden="false" customHeight="true" outlineLevel="0" collapsed="false">
      <c r="H5577" s="14" t="b">
        <f aca="false">IF(중복검사!$A5575="",FALSE(),중복검사!$J5575="유지")</f>
        <v>0</v>
      </c>
      <c r="I5577" s="5" t="str">
        <f aca="false">IF($H5577=FALSE(),"",COUNTIF($H$6:$H5577,TRUE()))</f>
        <v/>
      </c>
      <c r="J5577" s="5" t="str">
        <f aca="false">IF($I5577="","","R"&amp;$I5577)</f>
        <v/>
      </c>
    </row>
    <row r="5578" customFormat="false" ht="15" hidden="false" customHeight="true" outlineLevel="0" collapsed="false">
      <c r="H5578" s="14" t="b">
        <f aca="false">IF(중복검사!$A5576="",FALSE(),중복검사!$J5576="유지")</f>
        <v>0</v>
      </c>
      <c r="I5578" s="5" t="str">
        <f aca="false">IF($H5578=FALSE(),"",COUNTIF($H$6:$H5578,TRUE()))</f>
        <v/>
      </c>
      <c r="J5578" s="5" t="str">
        <f aca="false">IF($I5578="","","R"&amp;$I5578)</f>
        <v/>
      </c>
    </row>
    <row r="5579" customFormat="false" ht="15" hidden="false" customHeight="true" outlineLevel="0" collapsed="false">
      <c r="H5579" s="14" t="b">
        <f aca="false">IF(중복검사!$A5577="",FALSE(),중복검사!$J5577="유지")</f>
        <v>0</v>
      </c>
      <c r="I5579" s="5" t="str">
        <f aca="false">IF($H5579=FALSE(),"",COUNTIF($H$6:$H5579,TRUE()))</f>
        <v/>
      </c>
      <c r="J5579" s="5" t="str">
        <f aca="false">IF($I5579="","","R"&amp;$I5579)</f>
        <v/>
      </c>
    </row>
    <row r="5580" customFormat="false" ht="15" hidden="false" customHeight="true" outlineLevel="0" collapsed="false">
      <c r="H5580" s="14" t="b">
        <f aca="false">IF(중복검사!$A5578="",FALSE(),중복검사!$J5578="유지")</f>
        <v>0</v>
      </c>
      <c r="I5580" s="5" t="str">
        <f aca="false">IF($H5580=FALSE(),"",COUNTIF($H$6:$H5580,TRUE()))</f>
        <v/>
      </c>
      <c r="J5580" s="5" t="str">
        <f aca="false">IF($I5580="","","R"&amp;$I5580)</f>
        <v/>
      </c>
    </row>
    <row r="5581" customFormat="false" ht="15" hidden="false" customHeight="true" outlineLevel="0" collapsed="false">
      <c r="H5581" s="14" t="b">
        <f aca="false">IF(중복검사!$A5579="",FALSE(),중복검사!$J5579="유지")</f>
        <v>0</v>
      </c>
      <c r="I5581" s="5" t="str">
        <f aca="false">IF($H5581=FALSE(),"",COUNTIF($H$6:$H5581,TRUE()))</f>
        <v/>
      </c>
      <c r="J5581" s="5" t="str">
        <f aca="false">IF($I5581="","","R"&amp;$I5581)</f>
        <v/>
      </c>
    </row>
    <row r="5582" customFormat="false" ht="15" hidden="false" customHeight="true" outlineLevel="0" collapsed="false">
      <c r="H5582" s="14" t="b">
        <f aca="false">IF(중복검사!$A5580="",FALSE(),중복검사!$J5580="유지")</f>
        <v>0</v>
      </c>
      <c r="I5582" s="5" t="str">
        <f aca="false">IF($H5582=FALSE(),"",COUNTIF($H$6:$H5582,TRUE()))</f>
        <v/>
      </c>
      <c r="J5582" s="5" t="str">
        <f aca="false">IF($I5582="","","R"&amp;$I5582)</f>
        <v/>
      </c>
    </row>
    <row r="5583" customFormat="false" ht="15" hidden="false" customHeight="true" outlineLevel="0" collapsed="false">
      <c r="H5583" s="14" t="b">
        <f aca="false">IF(중복검사!$A5581="",FALSE(),중복검사!$J5581="유지")</f>
        <v>0</v>
      </c>
      <c r="I5583" s="5" t="str">
        <f aca="false">IF($H5583=FALSE(),"",COUNTIF($H$6:$H5583,TRUE()))</f>
        <v/>
      </c>
      <c r="J5583" s="5" t="str">
        <f aca="false">IF($I5583="","","R"&amp;$I5583)</f>
        <v/>
      </c>
    </row>
    <row r="5584" customFormat="false" ht="15" hidden="false" customHeight="true" outlineLevel="0" collapsed="false">
      <c r="H5584" s="14" t="b">
        <f aca="false">IF(중복검사!$A5582="",FALSE(),중복검사!$J5582="유지")</f>
        <v>0</v>
      </c>
      <c r="I5584" s="5" t="str">
        <f aca="false">IF($H5584=FALSE(),"",COUNTIF($H$6:$H5584,TRUE()))</f>
        <v/>
      </c>
      <c r="J5584" s="5" t="str">
        <f aca="false">IF($I5584="","","R"&amp;$I5584)</f>
        <v/>
      </c>
    </row>
    <row r="5585" customFormat="false" ht="15" hidden="false" customHeight="true" outlineLevel="0" collapsed="false">
      <c r="H5585" s="14" t="b">
        <f aca="false">IF(중복검사!$A5583="",FALSE(),중복검사!$J5583="유지")</f>
        <v>0</v>
      </c>
      <c r="I5585" s="5" t="str">
        <f aca="false">IF($H5585=FALSE(),"",COUNTIF($H$6:$H5585,TRUE()))</f>
        <v/>
      </c>
      <c r="J5585" s="5" t="str">
        <f aca="false">IF($I5585="","","R"&amp;$I5585)</f>
        <v/>
      </c>
    </row>
    <row r="5586" customFormat="false" ht="15" hidden="false" customHeight="true" outlineLevel="0" collapsed="false">
      <c r="H5586" s="14" t="b">
        <f aca="false">IF(중복검사!$A5584="",FALSE(),중복검사!$J5584="유지")</f>
        <v>0</v>
      </c>
      <c r="I5586" s="5" t="str">
        <f aca="false">IF($H5586=FALSE(),"",COUNTIF($H$6:$H5586,TRUE()))</f>
        <v/>
      </c>
      <c r="J5586" s="5" t="str">
        <f aca="false">IF($I5586="","","R"&amp;$I5586)</f>
        <v/>
      </c>
    </row>
    <row r="5587" customFormat="false" ht="15" hidden="false" customHeight="true" outlineLevel="0" collapsed="false">
      <c r="H5587" s="14" t="b">
        <f aca="false">IF(중복검사!$A5585="",FALSE(),중복검사!$J5585="유지")</f>
        <v>0</v>
      </c>
      <c r="I5587" s="5" t="str">
        <f aca="false">IF($H5587=FALSE(),"",COUNTIF($H$6:$H5587,TRUE()))</f>
        <v/>
      </c>
      <c r="J5587" s="5" t="str">
        <f aca="false">IF($I5587="","","R"&amp;$I5587)</f>
        <v/>
      </c>
    </row>
    <row r="5588" customFormat="false" ht="15" hidden="false" customHeight="true" outlineLevel="0" collapsed="false">
      <c r="H5588" s="14" t="b">
        <f aca="false">IF(중복검사!$A5586="",FALSE(),중복검사!$J5586="유지")</f>
        <v>0</v>
      </c>
      <c r="I5588" s="5" t="str">
        <f aca="false">IF($H5588=FALSE(),"",COUNTIF($H$6:$H5588,TRUE()))</f>
        <v/>
      </c>
      <c r="J5588" s="5" t="str">
        <f aca="false">IF($I5588="","","R"&amp;$I5588)</f>
        <v/>
      </c>
    </row>
    <row r="5589" customFormat="false" ht="15" hidden="false" customHeight="true" outlineLevel="0" collapsed="false">
      <c r="H5589" s="14" t="b">
        <f aca="false">IF(중복검사!$A5587="",FALSE(),중복검사!$J5587="유지")</f>
        <v>0</v>
      </c>
      <c r="I5589" s="5" t="str">
        <f aca="false">IF($H5589=FALSE(),"",COUNTIF($H$6:$H5589,TRUE()))</f>
        <v/>
      </c>
      <c r="J5589" s="5" t="str">
        <f aca="false">IF($I5589="","","R"&amp;$I5589)</f>
        <v/>
      </c>
    </row>
    <row r="5590" customFormat="false" ht="15" hidden="false" customHeight="true" outlineLevel="0" collapsed="false">
      <c r="H5590" s="14" t="b">
        <f aca="false">IF(중복검사!$A5588="",FALSE(),중복검사!$J5588="유지")</f>
        <v>0</v>
      </c>
      <c r="I5590" s="5" t="str">
        <f aca="false">IF($H5590=FALSE(),"",COUNTIF($H$6:$H5590,TRUE()))</f>
        <v/>
      </c>
      <c r="J5590" s="5" t="str">
        <f aca="false">IF($I5590="","","R"&amp;$I5590)</f>
        <v/>
      </c>
    </row>
    <row r="5591" customFormat="false" ht="15" hidden="false" customHeight="true" outlineLevel="0" collapsed="false">
      <c r="H5591" s="14" t="b">
        <f aca="false">IF(중복검사!$A5589="",FALSE(),중복검사!$J5589="유지")</f>
        <v>0</v>
      </c>
      <c r="I5591" s="5" t="str">
        <f aca="false">IF($H5591=FALSE(),"",COUNTIF($H$6:$H5591,TRUE()))</f>
        <v/>
      </c>
      <c r="J5591" s="5" t="str">
        <f aca="false">IF($I5591="","","R"&amp;$I5591)</f>
        <v/>
      </c>
    </row>
    <row r="5592" customFormat="false" ht="15" hidden="false" customHeight="true" outlineLevel="0" collapsed="false">
      <c r="H5592" s="14" t="b">
        <f aca="false">IF(중복검사!$A5590="",FALSE(),중복검사!$J5590="유지")</f>
        <v>0</v>
      </c>
      <c r="I5592" s="5" t="str">
        <f aca="false">IF($H5592=FALSE(),"",COUNTIF($H$6:$H5592,TRUE()))</f>
        <v/>
      </c>
      <c r="J5592" s="5" t="str">
        <f aca="false">IF($I5592="","","R"&amp;$I5592)</f>
        <v/>
      </c>
    </row>
    <row r="5593" customFormat="false" ht="15" hidden="false" customHeight="true" outlineLevel="0" collapsed="false">
      <c r="H5593" s="14" t="b">
        <f aca="false">IF(중복검사!$A5591="",FALSE(),중복검사!$J5591="유지")</f>
        <v>0</v>
      </c>
      <c r="I5593" s="5" t="str">
        <f aca="false">IF($H5593=FALSE(),"",COUNTIF($H$6:$H5593,TRUE()))</f>
        <v/>
      </c>
      <c r="J5593" s="5" t="str">
        <f aca="false">IF($I5593="","","R"&amp;$I5593)</f>
        <v/>
      </c>
    </row>
    <row r="5594" customFormat="false" ht="15" hidden="false" customHeight="true" outlineLevel="0" collapsed="false">
      <c r="H5594" s="14" t="b">
        <f aca="false">IF(중복검사!$A5592="",FALSE(),중복검사!$J5592="유지")</f>
        <v>0</v>
      </c>
      <c r="I5594" s="5" t="str">
        <f aca="false">IF($H5594=FALSE(),"",COUNTIF($H$6:$H5594,TRUE()))</f>
        <v/>
      </c>
      <c r="J5594" s="5" t="str">
        <f aca="false">IF($I5594="","","R"&amp;$I5594)</f>
        <v/>
      </c>
    </row>
    <row r="5595" customFormat="false" ht="15" hidden="false" customHeight="true" outlineLevel="0" collapsed="false">
      <c r="H5595" s="14" t="b">
        <f aca="false">IF(중복검사!$A5593="",FALSE(),중복검사!$J5593="유지")</f>
        <v>0</v>
      </c>
      <c r="I5595" s="5" t="str">
        <f aca="false">IF($H5595=FALSE(),"",COUNTIF($H$6:$H5595,TRUE()))</f>
        <v/>
      </c>
      <c r="J5595" s="5" t="str">
        <f aca="false">IF($I5595="","","R"&amp;$I5595)</f>
        <v/>
      </c>
    </row>
    <row r="5596" customFormat="false" ht="15" hidden="false" customHeight="true" outlineLevel="0" collapsed="false">
      <c r="H5596" s="14" t="b">
        <f aca="false">IF(중복검사!$A5594="",FALSE(),중복검사!$J5594="유지")</f>
        <v>0</v>
      </c>
      <c r="I5596" s="5" t="str">
        <f aca="false">IF($H5596=FALSE(),"",COUNTIF($H$6:$H5596,TRUE()))</f>
        <v/>
      </c>
      <c r="J5596" s="5" t="str">
        <f aca="false">IF($I5596="","","R"&amp;$I5596)</f>
        <v/>
      </c>
    </row>
    <row r="5597" customFormat="false" ht="15" hidden="false" customHeight="true" outlineLevel="0" collapsed="false">
      <c r="H5597" s="14" t="b">
        <f aca="false">IF(중복검사!$A5595="",FALSE(),중복검사!$J5595="유지")</f>
        <v>0</v>
      </c>
      <c r="I5597" s="5" t="str">
        <f aca="false">IF($H5597=FALSE(),"",COUNTIF($H$6:$H5597,TRUE()))</f>
        <v/>
      </c>
      <c r="J5597" s="5" t="str">
        <f aca="false">IF($I5597="","","R"&amp;$I5597)</f>
        <v/>
      </c>
    </row>
    <row r="5598" customFormat="false" ht="15" hidden="false" customHeight="true" outlineLevel="0" collapsed="false">
      <c r="H5598" s="14" t="b">
        <f aca="false">IF(중복검사!$A5596="",FALSE(),중복검사!$J5596="유지")</f>
        <v>0</v>
      </c>
      <c r="I5598" s="5" t="str">
        <f aca="false">IF($H5598=FALSE(),"",COUNTIF($H$6:$H5598,TRUE()))</f>
        <v/>
      </c>
      <c r="J5598" s="5" t="str">
        <f aca="false">IF($I5598="","","R"&amp;$I5598)</f>
        <v/>
      </c>
    </row>
    <row r="5599" customFormat="false" ht="15" hidden="false" customHeight="true" outlineLevel="0" collapsed="false">
      <c r="H5599" s="14" t="b">
        <f aca="false">IF(중복검사!$A5597="",FALSE(),중복검사!$J5597="유지")</f>
        <v>0</v>
      </c>
      <c r="I5599" s="5" t="str">
        <f aca="false">IF($H5599=FALSE(),"",COUNTIF($H$6:$H5599,TRUE()))</f>
        <v/>
      </c>
      <c r="J5599" s="5" t="str">
        <f aca="false">IF($I5599="","","R"&amp;$I5599)</f>
        <v/>
      </c>
    </row>
    <row r="5600" customFormat="false" ht="15" hidden="false" customHeight="true" outlineLevel="0" collapsed="false">
      <c r="H5600" s="14" t="b">
        <f aca="false">IF(중복검사!$A5598="",FALSE(),중복검사!$J5598="유지")</f>
        <v>0</v>
      </c>
      <c r="I5600" s="5" t="str">
        <f aca="false">IF($H5600=FALSE(),"",COUNTIF($H$6:$H5600,TRUE()))</f>
        <v/>
      </c>
      <c r="J5600" s="5" t="str">
        <f aca="false">IF($I5600="","","R"&amp;$I5600)</f>
        <v/>
      </c>
    </row>
    <row r="5601" customFormat="false" ht="15" hidden="false" customHeight="true" outlineLevel="0" collapsed="false">
      <c r="H5601" s="14" t="b">
        <f aca="false">IF(중복검사!$A5599="",FALSE(),중복검사!$J5599="유지")</f>
        <v>0</v>
      </c>
      <c r="I5601" s="5" t="str">
        <f aca="false">IF($H5601=FALSE(),"",COUNTIF($H$6:$H5601,TRUE()))</f>
        <v/>
      </c>
      <c r="J5601" s="5" t="str">
        <f aca="false">IF($I5601="","","R"&amp;$I5601)</f>
        <v/>
      </c>
    </row>
    <row r="5602" customFormat="false" ht="15" hidden="false" customHeight="true" outlineLevel="0" collapsed="false">
      <c r="H5602" s="14" t="b">
        <f aca="false">IF(중복검사!$A5600="",FALSE(),중복검사!$J5600="유지")</f>
        <v>0</v>
      </c>
      <c r="I5602" s="5" t="str">
        <f aca="false">IF($H5602=FALSE(),"",COUNTIF($H$6:$H5602,TRUE()))</f>
        <v/>
      </c>
      <c r="J5602" s="5" t="str">
        <f aca="false">IF($I5602="","","R"&amp;$I5602)</f>
        <v/>
      </c>
    </row>
    <row r="5603" customFormat="false" ht="15" hidden="false" customHeight="true" outlineLevel="0" collapsed="false">
      <c r="H5603" s="14" t="b">
        <f aca="false">IF(중복검사!$A5601="",FALSE(),중복검사!$J5601="유지")</f>
        <v>0</v>
      </c>
      <c r="I5603" s="5" t="str">
        <f aca="false">IF($H5603=FALSE(),"",COUNTIF($H$6:$H5603,TRUE()))</f>
        <v/>
      </c>
      <c r="J5603" s="5" t="str">
        <f aca="false">IF($I5603="","","R"&amp;$I5603)</f>
        <v/>
      </c>
    </row>
    <row r="5604" customFormat="false" ht="15" hidden="false" customHeight="true" outlineLevel="0" collapsed="false">
      <c r="H5604" s="14" t="b">
        <f aca="false">IF(중복검사!$A5602="",FALSE(),중복검사!$J5602="유지")</f>
        <v>0</v>
      </c>
      <c r="I5604" s="5" t="str">
        <f aca="false">IF($H5604=FALSE(),"",COUNTIF($H$6:$H5604,TRUE()))</f>
        <v/>
      </c>
      <c r="J5604" s="5" t="str">
        <f aca="false">IF($I5604="","","R"&amp;$I5604)</f>
        <v/>
      </c>
    </row>
    <row r="5605" customFormat="false" ht="15" hidden="false" customHeight="true" outlineLevel="0" collapsed="false">
      <c r="H5605" s="14" t="b">
        <f aca="false">IF(중복검사!$A5603="",FALSE(),중복검사!$J5603="유지")</f>
        <v>0</v>
      </c>
      <c r="I5605" s="5" t="str">
        <f aca="false">IF($H5605=FALSE(),"",COUNTIF($H$6:$H5605,TRUE()))</f>
        <v/>
      </c>
      <c r="J5605" s="5" t="str">
        <f aca="false">IF($I5605="","","R"&amp;$I5605)</f>
        <v/>
      </c>
    </row>
    <row r="5606" customFormat="false" ht="15" hidden="false" customHeight="true" outlineLevel="0" collapsed="false">
      <c r="H5606" s="14" t="b">
        <f aca="false">IF(중복검사!$A5604="",FALSE(),중복검사!$J5604="유지")</f>
        <v>0</v>
      </c>
      <c r="I5606" s="5" t="str">
        <f aca="false">IF($H5606=FALSE(),"",COUNTIF($H$6:$H5606,TRUE()))</f>
        <v/>
      </c>
      <c r="J5606" s="5" t="str">
        <f aca="false">IF($I5606="","","R"&amp;$I5606)</f>
        <v/>
      </c>
    </row>
    <row r="5607" customFormat="false" ht="15" hidden="false" customHeight="true" outlineLevel="0" collapsed="false">
      <c r="H5607" s="14" t="b">
        <f aca="false">IF(중복검사!$A5605="",FALSE(),중복검사!$J5605="유지")</f>
        <v>0</v>
      </c>
      <c r="I5607" s="5" t="str">
        <f aca="false">IF($H5607=FALSE(),"",COUNTIF($H$6:$H5607,TRUE()))</f>
        <v/>
      </c>
      <c r="J5607" s="5" t="str">
        <f aca="false">IF($I5607="","","R"&amp;$I5607)</f>
        <v/>
      </c>
    </row>
    <row r="5608" customFormat="false" ht="15" hidden="false" customHeight="true" outlineLevel="0" collapsed="false">
      <c r="H5608" s="14" t="b">
        <f aca="false">IF(중복검사!$A5606="",FALSE(),중복검사!$J5606="유지")</f>
        <v>0</v>
      </c>
      <c r="I5608" s="5" t="str">
        <f aca="false">IF($H5608=FALSE(),"",COUNTIF($H$6:$H5608,TRUE()))</f>
        <v/>
      </c>
      <c r="J5608" s="5" t="str">
        <f aca="false">IF($I5608="","","R"&amp;$I5608)</f>
        <v/>
      </c>
    </row>
    <row r="5609" customFormat="false" ht="15" hidden="false" customHeight="true" outlineLevel="0" collapsed="false">
      <c r="H5609" s="14" t="b">
        <f aca="false">IF(중복검사!$A5607="",FALSE(),중복검사!$J5607="유지")</f>
        <v>0</v>
      </c>
      <c r="I5609" s="5" t="str">
        <f aca="false">IF($H5609=FALSE(),"",COUNTIF($H$6:$H5609,TRUE()))</f>
        <v/>
      </c>
      <c r="J5609" s="5" t="str">
        <f aca="false">IF($I5609="","","R"&amp;$I5609)</f>
        <v/>
      </c>
    </row>
    <row r="5610" customFormat="false" ht="15" hidden="false" customHeight="true" outlineLevel="0" collapsed="false">
      <c r="H5610" s="14" t="b">
        <f aca="false">IF(중복검사!$A5608="",FALSE(),중복검사!$J5608="유지")</f>
        <v>0</v>
      </c>
      <c r="I5610" s="5" t="str">
        <f aca="false">IF($H5610=FALSE(),"",COUNTIF($H$6:$H5610,TRUE()))</f>
        <v/>
      </c>
      <c r="J5610" s="5" t="str">
        <f aca="false">IF($I5610="","","R"&amp;$I5610)</f>
        <v/>
      </c>
    </row>
    <row r="5611" customFormat="false" ht="15" hidden="false" customHeight="true" outlineLevel="0" collapsed="false">
      <c r="H5611" s="14" t="b">
        <f aca="false">IF(중복검사!$A5609="",FALSE(),중복검사!$J5609="유지")</f>
        <v>0</v>
      </c>
      <c r="I5611" s="5" t="str">
        <f aca="false">IF($H5611=FALSE(),"",COUNTIF($H$6:$H5611,TRUE()))</f>
        <v/>
      </c>
      <c r="J5611" s="5" t="str">
        <f aca="false">IF($I5611="","","R"&amp;$I5611)</f>
        <v/>
      </c>
    </row>
    <row r="5612" customFormat="false" ht="15" hidden="false" customHeight="true" outlineLevel="0" collapsed="false">
      <c r="H5612" s="14" t="b">
        <f aca="false">IF(중복검사!$A5610="",FALSE(),중복검사!$J5610="유지")</f>
        <v>0</v>
      </c>
      <c r="I5612" s="5" t="str">
        <f aca="false">IF($H5612=FALSE(),"",COUNTIF($H$6:$H5612,TRUE()))</f>
        <v/>
      </c>
      <c r="J5612" s="5" t="str">
        <f aca="false">IF($I5612="","","R"&amp;$I5612)</f>
        <v/>
      </c>
    </row>
    <row r="5613" customFormat="false" ht="15" hidden="false" customHeight="true" outlineLevel="0" collapsed="false">
      <c r="H5613" s="14" t="b">
        <f aca="false">IF(중복검사!$A5611="",FALSE(),중복검사!$J5611="유지")</f>
        <v>0</v>
      </c>
      <c r="I5613" s="5" t="str">
        <f aca="false">IF($H5613=FALSE(),"",COUNTIF($H$6:$H5613,TRUE()))</f>
        <v/>
      </c>
      <c r="J5613" s="5" t="str">
        <f aca="false">IF($I5613="","","R"&amp;$I5613)</f>
        <v/>
      </c>
    </row>
    <row r="5614" customFormat="false" ht="15" hidden="false" customHeight="true" outlineLevel="0" collapsed="false">
      <c r="H5614" s="14" t="b">
        <f aca="false">IF(중복검사!$A5612="",FALSE(),중복검사!$J5612="유지")</f>
        <v>0</v>
      </c>
      <c r="I5614" s="5" t="str">
        <f aca="false">IF($H5614=FALSE(),"",COUNTIF($H$6:$H5614,TRUE()))</f>
        <v/>
      </c>
      <c r="J5614" s="5" t="str">
        <f aca="false">IF($I5614="","","R"&amp;$I5614)</f>
        <v/>
      </c>
    </row>
    <row r="5615" customFormat="false" ht="15" hidden="false" customHeight="true" outlineLevel="0" collapsed="false">
      <c r="H5615" s="14" t="b">
        <f aca="false">IF(중복검사!$A5613="",FALSE(),중복검사!$J5613="유지")</f>
        <v>0</v>
      </c>
      <c r="I5615" s="5" t="str">
        <f aca="false">IF($H5615=FALSE(),"",COUNTIF($H$6:$H5615,TRUE()))</f>
        <v/>
      </c>
      <c r="J5615" s="5" t="str">
        <f aca="false">IF($I5615="","","R"&amp;$I5615)</f>
        <v/>
      </c>
    </row>
    <row r="5616" customFormat="false" ht="15" hidden="false" customHeight="true" outlineLevel="0" collapsed="false">
      <c r="H5616" s="14" t="b">
        <f aca="false">IF(중복검사!$A5614="",FALSE(),중복검사!$J5614="유지")</f>
        <v>0</v>
      </c>
      <c r="I5616" s="5" t="str">
        <f aca="false">IF($H5616=FALSE(),"",COUNTIF($H$6:$H5616,TRUE()))</f>
        <v/>
      </c>
      <c r="J5616" s="5" t="str">
        <f aca="false">IF($I5616="","","R"&amp;$I5616)</f>
        <v/>
      </c>
    </row>
    <row r="5617" customFormat="false" ht="15" hidden="false" customHeight="true" outlineLevel="0" collapsed="false">
      <c r="H5617" s="14" t="b">
        <f aca="false">IF(중복검사!$A5615="",FALSE(),중복검사!$J5615="유지")</f>
        <v>0</v>
      </c>
      <c r="I5617" s="5" t="str">
        <f aca="false">IF($H5617=FALSE(),"",COUNTIF($H$6:$H5617,TRUE()))</f>
        <v/>
      </c>
      <c r="J5617" s="5" t="str">
        <f aca="false">IF($I5617="","","R"&amp;$I5617)</f>
        <v/>
      </c>
    </row>
    <row r="5618" customFormat="false" ht="15" hidden="false" customHeight="true" outlineLevel="0" collapsed="false">
      <c r="H5618" s="14" t="b">
        <f aca="false">IF(중복검사!$A5616="",FALSE(),중복검사!$J5616="유지")</f>
        <v>0</v>
      </c>
      <c r="I5618" s="5" t="str">
        <f aca="false">IF($H5618=FALSE(),"",COUNTIF($H$6:$H5618,TRUE()))</f>
        <v/>
      </c>
      <c r="J5618" s="5" t="str">
        <f aca="false">IF($I5618="","","R"&amp;$I5618)</f>
        <v/>
      </c>
    </row>
    <row r="5619" customFormat="false" ht="15" hidden="false" customHeight="true" outlineLevel="0" collapsed="false">
      <c r="H5619" s="14" t="b">
        <f aca="false">IF(중복검사!$A5617="",FALSE(),중복검사!$J5617="유지")</f>
        <v>0</v>
      </c>
      <c r="I5619" s="5" t="str">
        <f aca="false">IF($H5619=FALSE(),"",COUNTIF($H$6:$H5619,TRUE()))</f>
        <v/>
      </c>
      <c r="J5619" s="5" t="str">
        <f aca="false">IF($I5619="","","R"&amp;$I5619)</f>
        <v/>
      </c>
    </row>
    <row r="5620" customFormat="false" ht="15" hidden="false" customHeight="true" outlineLevel="0" collapsed="false">
      <c r="H5620" s="14" t="b">
        <f aca="false">IF(중복검사!$A5618="",FALSE(),중복검사!$J5618="유지")</f>
        <v>0</v>
      </c>
      <c r="I5620" s="5" t="str">
        <f aca="false">IF($H5620=FALSE(),"",COUNTIF($H$6:$H5620,TRUE()))</f>
        <v/>
      </c>
      <c r="J5620" s="5" t="str">
        <f aca="false">IF($I5620="","","R"&amp;$I5620)</f>
        <v/>
      </c>
    </row>
    <row r="5621" customFormat="false" ht="15" hidden="false" customHeight="true" outlineLevel="0" collapsed="false">
      <c r="H5621" s="14" t="b">
        <f aca="false">IF(중복검사!$A5619="",FALSE(),중복검사!$J5619="유지")</f>
        <v>0</v>
      </c>
      <c r="I5621" s="5" t="str">
        <f aca="false">IF($H5621=FALSE(),"",COUNTIF($H$6:$H5621,TRUE()))</f>
        <v/>
      </c>
      <c r="J5621" s="5" t="str">
        <f aca="false">IF($I5621="","","R"&amp;$I5621)</f>
        <v/>
      </c>
    </row>
    <row r="5622" customFormat="false" ht="15" hidden="false" customHeight="true" outlineLevel="0" collapsed="false">
      <c r="H5622" s="14" t="b">
        <f aca="false">IF(중복검사!$A5620="",FALSE(),중복검사!$J5620="유지")</f>
        <v>0</v>
      </c>
      <c r="I5622" s="5" t="str">
        <f aca="false">IF($H5622=FALSE(),"",COUNTIF($H$6:$H5622,TRUE()))</f>
        <v/>
      </c>
      <c r="J5622" s="5" t="str">
        <f aca="false">IF($I5622="","","R"&amp;$I5622)</f>
        <v/>
      </c>
    </row>
    <row r="5623" customFormat="false" ht="15" hidden="false" customHeight="true" outlineLevel="0" collapsed="false">
      <c r="H5623" s="14" t="b">
        <f aca="false">IF(중복검사!$A5621="",FALSE(),중복검사!$J5621="유지")</f>
        <v>0</v>
      </c>
      <c r="I5623" s="5" t="str">
        <f aca="false">IF($H5623=FALSE(),"",COUNTIF($H$6:$H5623,TRUE()))</f>
        <v/>
      </c>
      <c r="J5623" s="5" t="str">
        <f aca="false">IF($I5623="","","R"&amp;$I5623)</f>
        <v/>
      </c>
    </row>
    <row r="5624" customFormat="false" ht="15" hidden="false" customHeight="true" outlineLevel="0" collapsed="false">
      <c r="H5624" s="14" t="b">
        <f aca="false">IF(중복검사!$A5622="",FALSE(),중복검사!$J5622="유지")</f>
        <v>0</v>
      </c>
      <c r="I5624" s="5" t="str">
        <f aca="false">IF($H5624=FALSE(),"",COUNTIF($H$6:$H5624,TRUE()))</f>
        <v/>
      </c>
      <c r="J5624" s="5" t="str">
        <f aca="false">IF($I5624="","","R"&amp;$I5624)</f>
        <v/>
      </c>
    </row>
    <row r="5625" customFormat="false" ht="15" hidden="false" customHeight="true" outlineLevel="0" collapsed="false">
      <c r="H5625" s="14" t="b">
        <f aca="false">IF(중복검사!$A5623="",FALSE(),중복검사!$J5623="유지")</f>
        <v>0</v>
      </c>
      <c r="I5625" s="5" t="str">
        <f aca="false">IF($H5625=FALSE(),"",COUNTIF($H$6:$H5625,TRUE()))</f>
        <v/>
      </c>
      <c r="J5625" s="5" t="str">
        <f aca="false">IF($I5625="","","R"&amp;$I5625)</f>
        <v/>
      </c>
    </row>
    <row r="5626" customFormat="false" ht="15" hidden="false" customHeight="true" outlineLevel="0" collapsed="false">
      <c r="H5626" s="14" t="b">
        <f aca="false">IF(중복검사!$A5624="",FALSE(),중복검사!$J5624="유지")</f>
        <v>0</v>
      </c>
      <c r="I5626" s="5" t="str">
        <f aca="false">IF($H5626=FALSE(),"",COUNTIF($H$6:$H5626,TRUE()))</f>
        <v/>
      </c>
      <c r="J5626" s="5" t="str">
        <f aca="false">IF($I5626="","","R"&amp;$I5626)</f>
        <v/>
      </c>
    </row>
    <row r="5627" customFormat="false" ht="15" hidden="false" customHeight="true" outlineLevel="0" collapsed="false">
      <c r="H5627" s="14" t="b">
        <f aca="false">IF(중복검사!$A5625="",FALSE(),중복검사!$J5625="유지")</f>
        <v>0</v>
      </c>
      <c r="I5627" s="5" t="str">
        <f aca="false">IF($H5627=FALSE(),"",COUNTIF($H$6:$H5627,TRUE()))</f>
        <v/>
      </c>
      <c r="J5627" s="5" t="str">
        <f aca="false">IF($I5627="","","R"&amp;$I5627)</f>
        <v/>
      </c>
    </row>
    <row r="5628" customFormat="false" ht="15" hidden="false" customHeight="true" outlineLevel="0" collapsed="false">
      <c r="H5628" s="14" t="b">
        <f aca="false">IF(중복검사!$A5626="",FALSE(),중복검사!$J5626="유지")</f>
        <v>0</v>
      </c>
      <c r="I5628" s="5" t="str">
        <f aca="false">IF($H5628=FALSE(),"",COUNTIF($H$6:$H5628,TRUE()))</f>
        <v/>
      </c>
      <c r="J5628" s="5" t="str">
        <f aca="false">IF($I5628="","","R"&amp;$I5628)</f>
        <v/>
      </c>
    </row>
    <row r="5629" customFormat="false" ht="15" hidden="false" customHeight="true" outlineLevel="0" collapsed="false">
      <c r="H5629" s="14" t="b">
        <f aca="false">IF(중복검사!$A5627="",FALSE(),중복검사!$J5627="유지")</f>
        <v>0</v>
      </c>
      <c r="I5629" s="5" t="str">
        <f aca="false">IF($H5629=FALSE(),"",COUNTIF($H$6:$H5629,TRUE()))</f>
        <v/>
      </c>
      <c r="J5629" s="5" t="str">
        <f aca="false">IF($I5629="","","R"&amp;$I5629)</f>
        <v/>
      </c>
    </row>
    <row r="5630" customFormat="false" ht="15" hidden="false" customHeight="true" outlineLevel="0" collapsed="false">
      <c r="H5630" s="14" t="b">
        <f aca="false">IF(중복검사!$A5628="",FALSE(),중복검사!$J5628="유지")</f>
        <v>0</v>
      </c>
      <c r="I5630" s="5" t="str">
        <f aca="false">IF($H5630=FALSE(),"",COUNTIF($H$6:$H5630,TRUE()))</f>
        <v/>
      </c>
      <c r="J5630" s="5" t="str">
        <f aca="false">IF($I5630="","","R"&amp;$I5630)</f>
        <v/>
      </c>
    </row>
    <row r="5631" customFormat="false" ht="15" hidden="false" customHeight="true" outlineLevel="0" collapsed="false">
      <c r="H5631" s="14" t="b">
        <f aca="false">IF(중복검사!$A5629="",FALSE(),중복검사!$J5629="유지")</f>
        <v>0</v>
      </c>
      <c r="I5631" s="5" t="str">
        <f aca="false">IF($H5631=FALSE(),"",COUNTIF($H$6:$H5631,TRUE()))</f>
        <v/>
      </c>
      <c r="J5631" s="5" t="str">
        <f aca="false">IF($I5631="","","R"&amp;$I5631)</f>
        <v/>
      </c>
    </row>
    <row r="5632" customFormat="false" ht="15" hidden="false" customHeight="true" outlineLevel="0" collapsed="false">
      <c r="H5632" s="14" t="b">
        <f aca="false">IF(중복검사!$A5630="",FALSE(),중복검사!$J5630="유지")</f>
        <v>0</v>
      </c>
      <c r="I5632" s="5" t="str">
        <f aca="false">IF($H5632=FALSE(),"",COUNTIF($H$6:$H5632,TRUE()))</f>
        <v/>
      </c>
      <c r="J5632" s="5" t="str">
        <f aca="false">IF($I5632="","","R"&amp;$I5632)</f>
        <v/>
      </c>
    </row>
    <row r="5633" customFormat="false" ht="15" hidden="false" customHeight="true" outlineLevel="0" collapsed="false">
      <c r="H5633" s="14" t="b">
        <f aca="false">IF(중복검사!$A5631="",FALSE(),중복검사!$J5631="유지")</f>
        <v>0</v>
      </c>
      <c r="I5633" s="5" t="str">
        <f aca="false">IF($H5633=FALSE(),"",COUNTIF($H$6:$H5633,TRUE()))</f>
        <v/>
      </c>
      <c r="J5633" s="5" t="str">
        <f aca="false">IF($I5633="","","R"&amp;$I5633)</f>
        <v/>
      </c>
    </row>
    <row r="5634" customFormat="false" ht="15" hidden="false" customHeight="true" outlineLevel="0" collapsed="false">
      <c r="H5634" s="14" t="b">
        <f aca="false">IF(중복검사!$A5632="",FALSE(),중복검사!$J5632="유지")</f>
        <v>0</v>
      </c>
      <c r="I5634" s="5" t="str">
        <f aca="false">IF($H5634=FALSE(),"",COUNTIF($H$6:$H5634,TRUE()))</f>
        <v/>
      </c>
      <c r="J5634" s="5" t="str">
        <f aca="false">IF($I5634="","","R"&amp;$I5634)</f>
        <v/>
      </c>
    </row>
    <row r="5635" customFormat="false" ht="15" hidden="false" customHeight="true" outlineLevel="0" collapsed="false">
      <c r="H5635" s="14" t="b">
        <f aca="false">IF(중복검사!$A5633="",FALSE(),중복검사!$J5633="유지")</f>
        <v>0</v>
      </c>
      <c r="I5635" s="5" t="str">
        <f aca="false">IF($H5635=FALSE(),"",COUNTIF($H$6:$H5635,TRUE()))</f>
        <v/>
      </c>
      <c r="J5635" s="5" t="str">
        <f aca="false">IF($I5635="","","R"&amp;$I5635)</f>
        <v/>
      </c>
    </row>
    <row r="5636" customFormat="false" ht="15" hidden="false" customHeight="true" outlineLevel="0" collapsed="false">
      <c r="H5636" s="14" t="b">
        <f aca="false">IF(중복검사!$A5634="",FALSE(),중복검사!$J5634="유지")</f>
        <v>0</v>
      </c>
      <c r="I5636" s="5" t="str">
        <f aca="false">IF($H5636=FALSE(),"",COUNTIF($H$6:$H5636,TRUE()))</f>
        <v/>
      </c>
      <c r="J5636" s="5" t="str">
        <f aca="false">IF($I5636="","","R"&amp;$I5636)</f>
        <v/>
      </c>
    </row>
    <row r="5637" customFormat="false" ht="15" hidden="false" customHeight="true" outlineLevel="0" collapsed="false">
      <c r="H5637" s="14" t="b">
        <f aca="false">IF(중복검사!$A5635="",FALSE(),중복검사!$J5635="유지")</f>
        <v>0</v>
      </c>
      <c r="I5637" s="5" t="str">
        <f aca="false">IF($H5637=FALSE(),"",COUNTIF($H$6:$H5637,TRUE()))</f>
        <v/>
      </c>
      <c r="J5637" s="5" t="str">
        <f aca="false">IF($I5637="","","R"&amp;$I5637)</f>
        <v/>
      </c>
    </row>
    <row r="5638" customFormat="false" ht="15" hidden="false" customHeight="true" outlineLevel="0" collapsed="false">
      <c r="H5638" s="14" t="b">
        <f aca="false">IF(중복검사!$A5636="",FALSE(),중복검사!$J5636="유지")</f>
        <v>0</v>
      </c>
      <c r="I5638" s="5" t="str">
        <f aca="false">IF($H5638=FALSE(),"",COUNTIF($H$6:$H5638,TRUE()))</f>
        <v/>
      </c>
      <c r="J5638" s="5" t="str">
        <f aca="false">IF($I5638="","","R"&amp;$I5638)</f>
        <v/>
      </c>
    </row>
    <row r="5639" customFormat="false" ht="15" hidden="false" customHeight="true" outlineLevel="0" collapsed="false">
      <c r="H5639" s="14" t="b">
        <f aca="false">IF(중복검사!$A5637="",FALSE(),중복검사!$J5637="유지")</f>
        <v>0</v>
      </c>
      <c r="I5639" s="5" t="str">
        <f aca="false">IF($H5639=FALSE(),"",COUNTIF($H$6:$H5639,TRUE()))</f>
        <v/>
      </c>
      <c r="J5639" s="5" t="str">
        <f aca="false">IF($I5639="","","R"&amp;$I5639)</f>
        <v/>
      </c>
    </row>
    <row r="5640" customFormat="false" ht="15" hidden="false" customHeight="true" outlineLevel="0" collapsed="false">
      <c r="H5640" s="14" t="b">
        <f aca="false">IF(중복검사!$A5638="",FALSE(),중복검사!$J5638="유지")</f>
        <v>0</v>
      </c>
      <c r="I5640" s="5" t="str">
        <f aca="false">IF($H5640=FALSE(),"",COUNTIF($H$6:$H5640,TRUE()))</f>
        <v/>
      </c>
      <c r="J5640" s="5" t="str">
        <f aca="false">IF($I5640="","","R"&amp;$I5640)</f>
        <v/>
      </c>
    </row>
    <row r="5641" customFormat="false" ht="15" hidden="false" customHeight="true" outlineLevel="0" collapsed="false">
      <c r="H5641" s="14" t="b">
        <f aca="false">IF(중복검사!$A5639="",FALSE(),중복검사!$J5639="유지")</f>
        <v>0</v>
      </c>
      <c r="I5641" s="5" t="str">
        <f aca="false">IF($H5641=FALSE(),"",COUNTIF($H$6:$H5641,TRUE()))</f>
        <v/>
      </c>
      <c r="J5641" s="5" t="str">
        <f aca="false">IF($I5641="","","R"&amp;$I5641)</f>
        <v/>
      </c>
    </row>
    <row r="5642" customFormat="false" ht="15" hidden="false" customHeight="true" outlineLevel="0" collapsed="false">
      <c r="H5642" s="14" t="b">
        <f aca="false">IF(중복검사!$A5640="",FALSE(),중복검사!$J5640="유지")</f>
        <v>0</v>
      </c>
      <c r="I5642" s="5" t="str">
        <f aca="false">IF($H5642=FALSE(),"",COUNTIF($H$6:$H5642,TRUE()))</f>
        <v/>
      </c>
      <c r="J5642" s="5" t="str">
        <f aca="false">IF($I5642="","","R"&amp;$I5642)</f>
        <v/>
      </c>
    </row>
    <row r="5643" customFormat="false" ht="15" hidden="false" customHeight="true" outlineLevel="0" collapsed="false">
      <c r="H5643" s="14" t="b">
        <f aca="false">IF(중복검사!$A5641="",FALSE(),중복검사!$J5641="유지")</f>
        <v>0</v>
      </c>
      <c r="I5643" s="5" t="str">
        <f aca="false">IF($H5643=FALSE(),"",COUNTIF($H$6:$H5643,TRUE()))</f>
        <v/>
      </c>
      <c r="J5643" s="5" t="str">
        <f aca="false">IF($I5643="","","R"&amp;$I5643)</f>
        <v/>
      </c>
    </row>
    <row r="5644" customFormat="false" ht="15" hidden="false" customHeight="true" outlineLevel="0" collapsed="false">
      <c r="H5644" s="14" t="b">
        <f aca="false">IF(중복검사!$A5642="",FALSE(),중복검사!$J5642="유지")</f>
        <v>0</v>
      </c>
      <c r="I5644" s="5" t="str">
        <f aca="false">IF($H5644=FALSE(),"",COUNTIF($H$6:$H5644,TRUE()))</f>
        <v/>
      </c>
      <c r="J5644" s="5" t="str">
        <f aca="false">IF($I5644="","","R"&amp;$I5644)</f>
        <v/>
      </c>
    </row>
    <row r="5645" customFormat="false" ht="15" hidden="false" customHeight="true" outlineLevel="0" collapsed="false">
      <c r="H5645" s="14" t="b">
        <f aca="false">IF(중복검사!$A5643="",FALSE(),중복검사!$J5643="유지")</f>
        <v>0</v>
      </c>
      <c r="I5645" s="5" t="str">
        <f aca="false">IF($H5645=FALSE(),"",COUNTIF($H$6:$H5645,TRUE()))</f>
        <v/>
      </c>
      <c r="J5645" s="5" t="str">
        <f aca="false">IF($I5645="","","R"&amp;$I5645)</f>
        <v/>
      </c>
    </row>
    <row r="5646" customFormat="false" ht="15" hidden="false" customHeight="true" outlineLevel="0" collapsed="false">
      <c r="H5646" s="14" t="b">
        <f aca="false">IF(중복검사!$A5644="",FALSE(),중복검사!$J5644="유지")</f>
        <v>0</v>
      </c>
      <c r="I5646" s="5" t="str">
        <f aca="false">IF($H5646=FALSE(),"",COUNTIF($H$6:$H5646,TRUE()))</f>
        <v/>
      </c>
      <c r="J5646" s="5" t="str">
        <f aca="false">IF($I5646="","","R"&amp;$I5646)</f>
        <v/>
      </c>
    </row>
    <row r="5647" customFormat="false" ht="15" hidden="false" customHeight="true" outlineLevel="0" collapsed="false">
      <c r="H5647" s="14" t="b">
        <f aca="false">IF(중복검사!$A5645="",FALSE(),중복검사!$J5645="유지")</f>
        <v>0</v>
      </c>
      <c r="I5647" s="5" t="str">
        <f aca="false">IF($H5647=FALSE(),"",COUNTIF($H$6:$H5647,TRUE()))</f>
        <v/>
      </c>
      <c r="J5647" s="5" t="str">
        <f aca="false">IF($I5647="","","R"&amp;$I5647)</f>
        <v/>
      </c>
    </row>
    <row r="5648" customFormat="false" ht="15" hidden="false" customHeight="true" outlineLevel="0" collapsed="false">
      <c r="H5648" s="14" t="b">
        <f aca="false">IF(중복검사!$A5646="",FALSE(),중복검사!$J5646="유지")</f>
        <v>0</v>
      </c>
      <c r="I5648" s="5" t="str">
        <f aca="false">IF($H5648=FALSE(),"",COUNTIF($H$6:$H5648,TRUE()))</f>
        <v/>
      </c>
      <c r="J5648" s="5" t="str">
        <f aca="false">IF($I5648="","","R"&amp;$I5648)</f>
        <v/>
      </c>
    </row>
    <row r="5649" customFormat="false" ht="15" hidden="false" customHeight="true" outlineLevel="0" collapsed="false">
      <c r="H5649" s="14" t="b">
        <f aca="false">IF(중복검사!$A5647="",FALSE(),중복검사!$J5647="유지")</f>
        <v>0</v>
      </c>
      <c r="I5649" s="5" t="str">
        <f aca="false">IF($H5649=FALSE(),"",COUNTIF($H$6:$H5649,TRUE()))</f>
        <v/>
      </c>
      <c r="J5649" s="5" t="str">
        <f aca="false">IF($I5649="","","R"&amp;$I5649)</f>
        <v/>
      </c>
    </row>
    <row r="5650" customFormat="false" ht="15" hidden="false" customHeight="true" outlineLevel="0" collapsed="false">
      <c r="H5650" s="14" t="b">
        <f aca="false">IF(중복검사!$A5648="",FALSE(),중복검사!$J5648="유지")</f>
        <v>0</v>
      </c>
      <c r="I5650" s="5" t="str">
        <f aca="false">IF($H5650=FALSE(),"",COUNTIF($H$6:$H5650,TRUE()))</f>
        <v/>
      </c>
      <c r="J5650" s="5" t="str">
        <f aca="false">IF($I5650="","","R"&amp;$I5650)</f>
        <v/>
      </c>
    </row>
    <row r="5651" customFormat="false" ht="15" hidden="false" customHeight="true" outlineLevel="0" collapsed="false">
      <c r="H5651" s="14" t="b">
        <f aca="false">IF(중복검사!$A5649="",FALSE(),중복검사!$J5649="유지")</f>
        <v>0</v>
      </c>
      <c r="I5651" s="5" t="str">
        <f aca="false">IF($H5651=FALSE(),"",COUNTIF($H$6:$H5651,TRUE()))</f>
        <v/>
      </c>
      <c r="J5651" s="5" t="str">
        <f aca="false">IF($I5651="","","R"&amp;$I5651)</f>
        <v/>
      </c>
    </row>
    <row r="5652" customFormat="false" ht="15" hidden="false" customHeight="true" outlineLevel="0" collapsed="false">
      <c r="H5652" s="14" t="b">
        <f aca="false">IF(중복검사!$A5650="",FALSE(),중복검사!$J5650="유지")</f>
        <v>0</v>
      </c>
      <c r="I5652" s="5" t="str">
        <f aca="false">IF($H5652=FALSE(),"",COUNTIF($H$6:$H5652,TRUE()))</f>
        <v/>
      </c>
      <c r="J5652" s="5" t="str">
        <f aca="false">IF($I5652="","","R"&amp;$I5652)</f>
        <v/>
      </c>
    </row>
    <row r="5653" customFormat="false" ht="15" hidden="false" customHeight="true" outlineLevel="0" collapsed="false">
      <c r="H5653" s="14" t="b">
        <f aca="false">IF(중복검사!$A5651="",FALSE(),중복검사!$J5651="유지")</f>
        <v>0</v>
      </c>
      <c r="I5653" s="5" t="str">
        <f aca="false">IF($H5653=FALSE(),"",COUNTIF($H$6:$H5653,TRUE()))</f>
        <v/>
      </c>
      <c r="J5653" s="5" t="str">
        <f aca="false">IF($I5653="","","R"&amp;$I5653)</f>
        <v/>
      </c>
    </row>
    <row r="5654" customFormat="false" ht="15" hidden="false" customHeight="true" outlineLevel="0" collapsed="false">
      <c r="H5654" s="14" t="b">
        <f aca="false">IF(중복검사!$A5652="",FALSE(),중복검사!$J5652="유지")</f>
        <v>0</v>
      </c>
      <c r="I5654" s="5" t="str">
        <f aca="false">IF($H5654=FALSE(),"",COUNTIF($H$6:$H5654,TRUE()))</f>
        <v/>
      </c>
      <c r="J5654" s="5" t="str">
        <f aca="false">IF($I5654="","","R"&amp;$I5654)</f>
        <v/>
      </c>
    </row>
    <row r="5655" customFormat="false" ht="15" hidden="false" customHeight="true" outlineLevel="0" collapsed="false">
      <c r="H5655" s="14" t="b">
        <f aca="false">IF(중복검사!$A5653="",FALSE(),중복검사!$J5653="유지")</f>
        <v>0</v>
      </c>
      <c r="I5655" s="5" t="str">
        <f aca="false">IF($H5655=FALSE(),"",COUNTIF($H$6:$H5655,TRUE()))</f>
        <v/>
      </c>
      <c r="J5655" s="5" t="str">
        <f aca="false">IF($I5655="","","R"&amp;$I5655)</f>
        <v/>
      </c>
    </row>
    <row r="5656" customFormat="false" ht="15" hidden="false" customHeight="true" outlineLevel="0" collapsed="false">
      <c r="H5656" s="14" t="b">
        <f aca="false">IF(중복검사!$A5654="",FALSE(),중복검사!$J5654="유지")</f>
        <v>0</v>
      </c>
      <c r="I5656" s="5" t="str">
        <f aca="false">IF($H5656=FALSE(),"",COUNTIF($H$6:$H5656,TRUE()))</f>
        <v/>
      </c>
      <c r="J5656" s="5" t="str">
        <f aca="false">IF($I5656="","","R"&amp;$I5656)</f>
        <v/>
      </c>
    </row>
    <row r="5657" customFormat="false" ht="15" hidden="false" customHeight="true" outlineLevel="0" collapsed="false">
      <c r="H5657" s="14" t="b">
        <f aca="false">IF(중복검사!$A5655="",FALSE(),중복검사!$J5655="유지")</f>
        <v>0</v>
      </c>
      <c r="I5657" s="5" t="str">
        <f aca="false">IF($H5657=FALSE(),"",COUNTIF($H$6:$H5657,TRUE()))</f>
        <v/>
      </c>
      <c r="J5657" s="5" t="str">
        <f aca="false">IF($I5657="","","R"&amp;$I5657)</f>
        <v/>
      </c>
    </row>
    <row r="5658" customFormat="false" ht="15" hidden="false" customHeight="true" outlineLevel="0" collapsed="false">
      <c r="H5658" s="14" t="b">
        <f aca="false">IF(중복검사!$A5656="",FALSE(),중복검사!$J5656="유지")</f>
        <v>0</v>
      </c>
      <c r="I5658" s="5" t="str">
        <f aca="false">IF($H5658=FALSE(),"",COUNTIF($H$6:$H5658,TRUE()))</f>
        <v/>
      </c>
      <c r="J5658" s="5" t="str">
        <f aca="false">IF($I5658="","","R"&amp;$I5658)</f>
        <v/>
      </c>
    </row>
    <row r="5659" customFormat="false" ht="15" hidden="false" customHeight="true" outlineLevel="0" collapsed="false">
      <c r="H5659" s="14" t="b">
        <f aca="false">IF(중복검사!$A5657="",FALSE(),중복검사!$J5657="유지")</f>
        <v>0</v>
      </c>
      <c r="I5659" s="5" t="str">
        <f aca="false">IF($H5659=FALSE(),"",COUNTIF($H$6:$H5659,TRUE()))</f>
        <v/>
      </c>
      <c r="J5659" s="5" t="str">
        <f aca="false">IF($I5659="","","R"&amp;$I5659)</f>
        <v/>
      </c>
    </row>
    <row r="5660" customFormat="false" ht="15" hidden="false" customHeight="true" outlineLevel="0" collapsed="false">
      <c r="H5660" s="14" t="b">
        <f aca="false">IF(중복검사!$A5658="",FALSE(),중복검사!$J5658="유지")</f>
        <v>0</v>
      </c>
      <c r="I5660" s="5" t="str">
        <f aca="false">IF($H5660=FALSE(),"",COUNTIF($H$6:$H5660,TRUE()))</f>
        <v/>
      </c>
      <c r="J5660" s="5" t="str">
        <f aca="false">IF($I5660="","","R"&amp;$I5660)</f>
        <v/>
      </c>
    </row>
    <row r="5661" customFormat="false" ht="15" hidden="false" customHeight="true" outlineLevel="0" collapsed="false">
      <c r="H5661" s="14" t="b">
        <f aca="false">IF(중복검사!$A5659="",FALSE(),중복검사!$J5659="유지")</f>
        <v>0</v>
      </c>
      <c r="I5661" s="5" t="str">
        <f aca="false">IF($H5661=FALSE(),"",COUNTIF($H$6:$H5661,TRUE()))</f>
        <v/>
      </c>
      <c r="J5661" s="5" t="str">
        <f aca="false">IF($I5661="","","R"&amp;$I5661)</f>
        <v/>
      </c>
    </row>
    <row r="5662" customFormat="false" ht="15" hidden="false" customHeight="true" outlineLevel="0" collapsed="false">
      <c r="H5662" s="14" t="b">
        <f aca="false">IF(중복검사!$A5660="",FALSE(),중복검사!$J5660="유지")</f>
        <v>0</v>
      </c>
      <c r="I5662" s="5" t="str">
        <f aca="false">IF($H5662=FALSE(),"",COUNTIF($H$6:$H5662,TRUE()))</f>
        <v/>
      </c>
      <c r="J5662" s="5" t="str">
        <f aca="false">IF($I5662="","","R"&amp;$I5662)</f>
        <v/>
      </c>
    </row>
    <row r="5663" customFormat="false" ht="15" hidden="false" customHeight="true" outlineLevel="0" collapsed="false">
      <c r="H5663" s="14" t="b">
        <f aca="false">IF(중복검사!$A5661="",FALSE(),중복검사!$J5661="유지")</f>
        <v>0</v>
      </c>
      <c r="I5663" s="5" t="str">
        <f aca="false">IF($H5663=FALSE(),"",COUNTIF($H$6:$H5663,TRUE()))</f>
        <v/>
      </c>
      <c r="J5663" s="5" t="str">
        <f aca="false">IF($I5663="","","R"&amp;$I5663)</f>
        <v/>
      </c>
    </row>
    <row r="5664" customFormat="false" ht="15" hidden="false" customHeight="true" outlineLevel="0" collapsed="false">
      <c r="H5664" s="14" t="b">
        <f aca="false">IF(중복검사!$A5662="",FALSE(),중복검사!$J5662="유지")</f>
        <v>0</v>
      </c>
      <c r="I5664" s="5" t="str">
        <f aca="false">IF($H5664=FALSE(),"",COUNTIF($H$6:$H5664,TRUE()))</f>
        <v/>
      </c>
      <c r="J5664" s="5" t="str">
        <f aca="false">IF($I5664="","","R"&amp;$I5664)</f>
        <v/>
      </c>
    </row>
    <row r="5665" customFormat="false" ht="15" hidden="false" customHeight="true" outlineLevel="0" collapsed="false">
      <c r="H5665" s="14" t="b">
        <f aca="false">IF(중복검사!$A5663="",FALSE(),중복검사!$J5663="유지")</f>
        <v>0</v>
      </c>
      <c r="I5665" s="5" t="str">
        <f aca="false">IF($H5665=FALSE(),"",COUNTIF($H$6:$H5665,TRUE()))</f>
        <v/>
      </c>
      <c r="J5665" s="5" t="str">
        <f aca="false">IF($I5665="","","R"&amp;$I5665)</f>
        <v/>
      </c>
    </row>
    <row r="5666" customFormat="false" ht="15" hidden="false" customHeight="true" outlineLevel="0" collapsed="false">
      <c r="H5666" s="14" t="b">
        <f aca="false">IF(중복검사!$A5664="",FALSE(),중복검사!$J5664="유지")</f>
        <v>0</v>
      </c>
      <c r="I5666" s="5" t="str">
        <f aca="false">IF($H5666=FALSE(),"",COUNTIF($H$6:$H5666,TRUE()))</f>
        <v/>
      </c>
      <c r="J5666" s="5" t="str">
        <f aca="false">IF($I5666="","","R"&amp;$I5666)</f>
        <v/>
      </c>
    </row>
    <row r="5667" customFormat="false" ht="15" hidden="false" customHeight="true" outlineLevel="0" collapsed="false">
      <c r="H5667" s="14" t="b">
        <f aca="false">IF(중복검사!$A5665="",FALSE(),중복검사!$J5665="유지")</f>
        <v>0</v>
      </c>
      <c r="I5667" s="5" t="str">
        <f aca="false">IF($H5667=FALSE(),"",COUNTIF($H$6:$H5667,TRUE()))</f>
        <v/>
      </c>
      <c r="J5667" s="5" t="str">
        <f aca="false">IF($I5667="","","R"&amp;$I5667)</f>
        <v/>
      </c>
    </row>
    <row r="5668" customFormat="false" ht="15" hidden="false" customHeight="true" outlineLevel="0" collapsed="false">
      <c r="H5668" s="14" t="b">
        <f aca="false">IF(중복검사!$A5666="",FALSE(),중복검사!$J5666="유지")</f>
        <v>0</v>
      </c>
      <c r="I5668" s="5" t="str">
        <f aca="false">IF($H5668=FALSE(),"",COUNTIF($H$6:$H5668,TRUE()))</f>
        <v/>
      </c>
      <c r="J5668" s="5" t="str">
        <f aca="false">IF($I5668="","","R"&amp;$I5668)</f>
        <v/>
      </c>
    </row>
    <row r="5669" customFormat="false" ht="15" hidden="false" customHeight="true" outlineLevel="0" collapsed="false">
      <c r="H5669" s="14" t="b">
        <f aca="false">IF(중복검사!$A5667="",FALSE(),중복검사!$J5667="유지")</f>
        <v>0</v>
      </c>
      <c r="I5669" s="5" t="str">
        <f aca="false">IF($H5669=FALSE(),"",COUNTIF($H$6:$H5669,TRUE()))</f>
        <v/>
      </c>
      <c r="J5669" s="5" t="str">
        <f aca="false">IF($I5669="","","R"&amp;$I5669)</f>
        <v/>
      </c>
    </row>
    <row r="5670" customFormat="false" ht="15" hidden="false" customHeight="true" outlineLevel="0" collapsed="false">
      <c r="H5670" s="14" t="b">
        <f aca="false">IF(중복검사!$A5668="",FALSE(),중복검사!$J5668="유지")</f>
        <v>0</v>
      </c>
      <c r="I5670" s="5" t="str">
        <f aca="false">IF($H5670=FALSE(),"",COUNTIF($H$6:$H5670,TRUE()))</f>
        <v/>
      </c>
      <c r="J5670" s="5" t="str">
        <f aca="false">IF($I5670="","","R"&amp;$I5670)</f>
        <v/>
      </c>
    </row>
    <row r="5671" customFormat="false" ht="15" hidden="false" customHeight="true" outlineLevel="0" collapsed="false">
      <c r="H5671" s="14" t="b">
        <f aca="false">IF(중복검사!$A5669="",FALSE(),중복검사!$J5669="유지")</f>
        <v>0</v>
      </c>
      <c r="I5671" s="5" t="str">
        <f aca="false">IF($H5671=FALSE(),"",COUNTIF($H$6:$H5671,TRUE()))</f>
        <v/>
      </c>
      <c r="J5671" s="5" t="str">
        <f aca="false">IF($I5671="","","R"&amp;$I5671)</f>
        <v/>
      </c>
    </row>
    <row r="5672" customFormat="false" ht="15" hidden="false" customHeight="true" outlineLevel="0" collapsed="false">
      <c r="H5672" s="14" t="b">
        <f aca="false">IF(중복검사!$A5670="",FALSE(),중복검사!$J5670="유지")</f>
        <v>0</v>
      </c>
      <c r="I5672" s="5" t="str">
        <f aca="false">IF($H5672=FALSE(),"",COUNTIF($H$6:$H5672,TRUE()))</f>
        <v/>
      </c>
      <c r="J5672" s="5" t="str">
        <f aca="false">IF($I5672="","","R"&amp;$I5672)</f>
        <v/>
      </c>
    </row>
    <row r="5673" customFormat="false" ht="15" hidden="false" customHeight="true" outlineLevel="0" collapsed="false">
      <c r="H5673" s="14" t="b">
        <f aca="false">IF(중복검사!$A5671="",FALSE(),중복검사!$J5671="유지")</f>
        <v>0</v>
      </c>
      <c r="I5673" s="5" t="str">
        <f aca="false">IF($H5673=FALSE(),"",COUNTIF($H$6:$H5673,TRUE()))</f>
        <v/>
      </c>
      <c r="J5673" s="5" t="str">
        <f aca="false">IF($I5673="","","R"&amp;$I5673)</f>
        <v/>
      </c>
    </row>
    <row r="5674" customFormat="false" ht="15" hidden="false" customHeight="true" outlineLevel="0" collapsed="false">
      <c r="H5674" s="14" t="b">
        <f aca="false">IF(중복검사!$A5672="",FALSE(),중복검사!$J5672="유지")</f>
        <v>0</v>
      </c>
      <c r="I5674" s="5" t="str">
        <f aca="false">IF($H5674=FALSE(),"",COUNTIF($H$6:$H5674,TRUE()))</f>
        <v/>
      </c>
      <c r="J5674" s="5" t="str">
        <f aca="false">IF($I5674="","","R"&amp;$I5674)</f>
        <v/>
      </c>
    </row>
    <row r="5675" customFormat="false" ht="15" hidden="false" customHeight="true" outlineLevel="0" collapsed="false">
      <c r="H5675" s="14" t="b">
        <f aca="false">IF(중복검사!$A5673="",FALSE(),중복검사!$J5673="유지")</f>
        <v>0</v>
      </c>
      <c r="I5675" s="5" t="str">
        <f aca="false">IF($H5675=FALSE(),"",COUNTIF($H$6:$H5675,TRUE()))</f>
        <v/>
      </c>
      <c r="J5675" s="5" t="str">
        <f aca="false">IF($I5675="","","R"&amp;$I5675)</f>
        <v/>
      </c>
    </row>
    <row r="5676" customFormat="false" ht="15" hidden="false" customHeight="true" outlineLevel="0" collapsed="false">
      <c r="H5676" s="14" t="b">
        <f aca="false">IF(중복검사!$A5674="",FALSE(),중복검사!$J5674="유지")</f>
        <v>0</v>
      </c>
      <c r="I5676" s="5" t="str">
        <f aca="false">IF($H5676=FALSE(),"",COUNTIF($H$6:$H5676,TRUE()))</f>
        <v/>
      </c>
      <c r="J5676" s="5" t="str">
        <f aca="false">IF($I5676="","","R"&amp;$I5676)</f>
        <v/>
      </c>
    </row>
    <row r="5677" customFormat="false" ht="15" hidden="false" customHeight="true" outlineLevel="0" collapsed="false">
      <c r="H5677" s="14" t="b">
        <f aca="false">IF(중복검사!$A5675="",FALSE(),중복검사!$J5675="유지")</f>
        <v>0</v>
      </c>
      <c r="I5677" s="5" t="str">
        <f aca="false">IF($H5677=FALSE(),"",COUNTIF($H$6:$H5677,TRUE()))</f>
        <v/>
      </c>
      <c r="J5677" s="5" t="str">
        <f aca="false">IF($I5677="","","R"&amp;$I5677)</f>
        <v/>
      </c>
    </row>
    <row r="5678" customFormat="false" ht="15" hidden="false" customHeight="true" outlineLevel="0" collapsed="false">
      <c r="H5678" s="14" t="b">
        <f aca="false">IF(중복검사!$A5676="",FALSE(),중복검사!$J5676="유지")</f>
        <v>0</v>
      </c>
      <c r="I5678" s="5" t="str">
        <f aca="false">IF($H5678=FALSE(),"",COUNTIF($H$6:$H5678,TRUE()))</f>
        <v/>
      </c>
      <c r="J5678" s="5" t="str">
        <f aca="false">IF($I5678="","","R"&amp;$I5678)</f>
        <v/>
      </c>
    </row>
    <row r="5679" customFormat="false" ht="15" hidden="false" customHeight="true" outlineLevel="0" collapsed="false">
      <c r="H5679" s="14" t="b">
        <f aca="false">IF(중복검사!$A5677="",FALSE(),중복검사!$J5677="유지")</f>
        <v>0</v>
      </c>
      <c r="I5679" s="5" t="str">
        <f aca="false">IF($H5679=FALSE(),"",COUNTIF($H$6:$H5679,TRUE()))</f>
        <v/>
      </c>
      <c r="J5679" s="5" t="str">
        <f aca="false">IF($I5679="","","R"&amp;$I5679)</f>
        <v/>
      </c>
    </row>
    <row r="5680" customFormat="false" ht="15" hidden="false" customHeight="true" outlineLevel="0" collapsed="false">
      <c r="H5680" s="14" t="b">
        <f aca="false">IF(중복검사!$A5678="",FALSE(),중복검사!$J5678="유지")</f>
        <v>0</v>
      </c>
      <c r="I5680" s="5" t="str">
        <f aca="false">IF($H5680=FALSE(),"",COUNTIF($H$6:$H5680,TRUE()))</f>
        <v/>
      </c>
      <c r="J5680" s="5" t="str">
        <f aca="false">IF($I5680="","","R"&amp;$I5680)</f>
        <v/>
      </c>
    </row>
    <row r="5681" customFormat="false" ht="15" hidden="false" customHeight="true" outlineLevel="0" collapsed="false">
      <c r="H5681" s="14" t="b">
        <f aca="false">IF(중복검사!$A5679="",FALSE(),중복검사!$J5679="유지")</f>
        <v>0</v>
      </c>
      <c r="I5681" s="5" t="str">
        <f aca="false">IF($H5681=FALSE(),"",COUNTIF($H$6:$H5681,TRUE()))</f>
        <v/>
      </c>
      <c r="J5681" s="5" t="str">
        <f aca="false">IF($I5681="","","R"&amp;$I5681)</f>
        <v/>
      </c>
    </row>
    <row r="5682" customFormat="false" ht="15" hidden="false" customHeight="true" outlineLevel="0" collapsed="false">
      <c r="H5682" s="14" t="b">
        <f aca="false">IF(중복검사!$A5680="",FALSE(),중복검사!$J5680="유지")</f>
        <v>0</v>
      </c>
      <c r="I5682" s="5" t="str">
        <f aca="false">IF($H5682=FALSE(),"",COUNTIF($H$6:$H5682,TRUE()))</f>
        <v/>
      </c>
      <c r="J5682" s="5" t="str">
        <f aca="false">IF($I5682="","","R"&amp;$I5682)</f>
        <v/>
      </c>
    </row>
    <row r="5683" customFormat="false" ht="15" hidden="false" customHeight="true" outlineLevel="0" collapsed="false">
      <c r="H5683" s="14" t="b">
        <f aca="false">IF(중복검사!$A5681="",FALSE(),중복검사!$J5681="유지")</f>
        <v>0</v>
      </c>
      <c r="I5683" s="5" t="str">
        <f aca="false">IF($H5683=FALSE(),"",COUNTIF($H$6:$H5683,TRUE()))</f>
        <v/>
      </c>
      <c r="J5683" s="5" t="str">
        <f aca="false">IF($I5683="","","R"&amp;$I5683)</f>
        <v/>
      </c>
    </row>
    <row r="5684" customFormat="false" ht="15" hidden="false" customHeight="true" outlineLevel="0" collapsed="false">
      <c r="H5684" s="14" t="b">
        <f aca="false">IF(중복검사!$A5682="",FALSE(),중복검사!$J5682="유지")</f>
        <v>0</v>
      </c>
      <c r="I5684" s="5" t="str">
        <f aca="false">IF($H5684=FALSE(),"",COUNTIF($H$6:$H5684,TRUE()))</f>
        <v/>
      </c>
      <c r="J5684" s="5" t="str">
        <f aca="false">IF($I5684="","","R"&amp;$I5684)</f>
        <v/>
      </c>
    </row>
    <row r="5685" customFormat="false" ht="15" hidden="false" customHeight="true" outlineLevel="0" collapsed="false">
      <c r="H5685" s="14" t="b">
        <f aca="false">IF(중복검사!$A5683="",FALSE(),중복검사!$J5683="유지")</f>
        <v>0</v>
      </c>
      <c r="I5685" s="5" t="str">
        <f aca="false">IF($H5685=FALSE(),"",COUNTIF($H$6:$H5685,TRUE()))</f>
        <v/>
      </c>
      <c r="J5685" s="5" t="str">
        <f aca="false">IF($I5685="","","R"&amp;$I5685)</f>
        <v/>
      </c>
    </row>
    <row r="5686" customFormat="false" ht="15" hidden="false" customHeight="true" outlineLevel="0" collapsed="false">
      <c r="H5686" s="14" t="b">
        <f aca="false">IF(중복검사!$A5684="",FALSE(),중복검사!$J5684="유지")</f>
        <v>0</v>
      </c>
      <c r="I5686" s="5" t="str">
        <f aca="false">IF($H5686=FALSE(),"",COUNTIF($H$6:$H5686,TRUE()))</f>
        <v/>
      </c>
      <c r="J5686" s="5" t="str">
        <f aca="false">IF($I5686="","","R"&amp;$I5686)</f>
        <v/>
      </c>
    </row>
    <row r="5687" customFormat="false" ht="15" hidden="false" customHeight="true" outlineLevel="0" collapsed="false">
      <c r="H5687" s="14" t="b">
        <f aca="false">IF(중복검사!$A5685="",FALSE(),중복검사!$J5685="유지")</f>
        <v>0</v>
      </c>
      <c r="I5687" s="5" t="str">
        <f aca="false">IF($H5687=FALSE(),"",COUNTIF($H$6:$H5687,TRUE()))</f>
        <v/>
      </c>
      <c r="J5687" s="5" t="str">
        <f aca="false">IF($I5687="","","R"&amp;$I5687)</f>
        <v/>
      </c>
    </row>
    <row r="5688" customFormat="false" ht="15" hidden="false" customHeight="true" outlineLevel="0" collapsed="false">
      <c r="H5688" s="14" t="b">
        <f aca="false">IF(중복검사!$A5686="",FALSE(),중복검사!$J5686="유지")</f>
        <v>0</v>
      </c>
      <c r="I5688" s="5" t="str">
        <f aca="false">IF($H5688=FALSE(),"",COUNTIF($H$6:$H5688,TRUE()))</f>
        <v/>
      </c>
      <c r="J5688" s="5" t="str">
        <f aca="false">IF($I5688="","","R"&amp;$I5688)</f>
        <v/>
      </c>
    </row>
    <row r="5689" customFormat="false" ht="15" hidden="false" customHeight="true" outlineLevel="0" collapsed="false">
      <c r="H5689" s="14" t="b">
        <f aca="false">IF(중복검사!$A5687="",FALSE(),중복검사!$J5687="유지")</f>
        <v>0</v>
      </c>
      <c r="I5689" s="5" t="str">
        <f aca="false">IF($H5689=FALSE(),"",COUNTIF($H$6:$H5689,TRUE()))</f>
        <v/>
      </c>
      <c r="J5689" s="5" t="str">
        <f aca="false">IF($I5689="","","R"&amp;$I5689)</f>
        <v/>
      </c>
    </row>
    <row r="5690" customFormat="false" ht="15" hidden="false" customHeight="true" outlineLevel="0" collapsed="false">
      <c r="H5690" s="14" t="b">
        <f aca="false">IF(중복검사!$A5688="",FALSE(),중복검사!$J5688="유지")</f>
        <v>0</v>
      </c>
      <c r="I5690" s="5" t="str">
        <f aca="false">IF($H5690=FALSE(),"",COUNTIF($H$6:$H5690,TRUE()))</f>
        <v/>
      </c>
      <c r="J5690" s="5" t="str">
        <f aca="false">IF($I5690="","","R"&amp;$I5690)</f>
        <v/>
      </c>
    </row>
    <row r="5691" customFormat="false" ht="15" hidden="false" customHeight="true" outlineLevel="0" collapsed="false">
      <c r="H5691" s="14" t="b">
        <f aca="false">IF(중복검사!$A5689="",FALSE(),중복검사!$J5689="유지")</f>
        <v>0</v>
      </c>
      <c r="I5691" s="5" t="str">
        <f aca="false">IF($H5691=FALSE(),"",COUNTIF($H$6:$H5691,TRUE()))</f>
        <v/>
      </c>
      <c r="J5691" s="5" t="str">
        <f aca="false">IF($I5691="","","R"&amp;$I5691)</f>
        <v/>
      </c>
    </row>
    <row r="5692" customFormat="false" ht="15" hidden="false" customHeight="true" outlineLevel="0" collapsed="false">
      <c r="H5692" s="14" t="b">
        <f aca="false">IF(중복검사!$A5690="",FALSE(),중복검사!$J5690="유지")</f>
        <v>0</v>
      </c>
      <c r="I5692" s="5" t="str">
        <f aca="false">IF($H5692=FALSE(),"",COUNTIF($H$6:$H5692,TRUE()))</f>
        <v/>
      </c>
      <c r="J5692" s="5" t="str">
        <f aca="false">IF($I5692="","","R"&amp;$I5692)</f>
        <v/>
      </c>
    </row>
    <row r="5693" customFormat="false" ht="15" hidden="false" customHeight="true" outlineLevel="0" collapsed="false">
      <c r="H5693" s="14" t="b">
        <f aca="false">IF(중복검사!$A5691="",FALSE(),중복검사!$J5691="유지")</f>
        <v>0</v>
      </c>
      <c r="I5693" s="5" t="str">
        <f aca="false">IF($H5693=FALSE(),"",COUNTIF($H$6:$H5693,TRUE()))</f>
        <v/>
      </c>
      <c r="J5693" s="5" t="str">
        <f aca="false">IF($I5693="","","R"&amp;$I5693)</f>
        <v/>
      </c>
    </row>
    <row r="5694" customFormat="false" ht="15" hidden="false" customHeight="true" outlineLevel="0" collapsed="false">
      <c r="H5694" s="14" t="b">
        <f aca="false">IF(중복검사!$A5692="",FALSE(),중복검사!$J5692="유지")</f>
        <v>0</v>
      </c>
      <c r="I5694" s="5" t="str">
        <f aca="false">IF($H5694=FALSE(),"",COUNTIF($H$6:$H5694,TRUE()))</f>
        <v/>
      </c>
      <c r="J5694" s="5" t="str">
        <f aca="false">IF($I5694="","","R"&amp;$I5694)</f>
        <v/>
      </c>
    </row>
    <row r="5695" customFormat="false" ht="15" hidden="false" customHeight="true" outlineLevel="0" collapsed="false">
      <c r="H5695" s="14" t="b">
        <f aca="false">IF(중복검사!$A5693="",FALSE(),중복검사!$J5693="유지")</f>
        <v>0</v>
      </c>
      <c r="I5695" s="5" t="str">
        <f aca="false">IF($H5695=FALSE(),"",COUNTIF($H$6:$H5695,TRUE()))</f>
        <v/>
      </c>
      <c r="J5695" s="5" t="str">
        <f aca="false">IF($I5695="","","R"&amp;$I5695)</f>
        <v/>
      </c>
    </row>
    <row r="5696" customFormat="false" ht="15" hidden="false" customHeight="true" outlineLevel="0" collapsed="false">
      <c r="H5696" s="14" t="b">
        <f aca="false">IF(중복검사!$A5694="",FALSE(),중복검사!$J5694="유지")</f>
        <v>0</v>
      </c>
      <c r="I5696" s="5" t="str">
        <f aca="false">IF($H5696=FALSE(),"",COUNTIF($H$6:$H5696,TRUE()))</f>
        <v/>
      </c>
      <c r="J5696" s="5" t="str">
        <f aca="false">IF($I5696="","","R"&amp;$I5696)</f>
        <v/>
      </c>
    </row>
    <row r="5697" customFormat="false" ht="15" hidden="false" customHeight="true" outlineLevel="0" collapsed="false">
      <c r="H5697" s="14" t="b">
        <f aca="false">IF(중복검사!$A5695="",FALSE(),중복검사!$J5695="유지")</f>
        <v>0</v>
      </c>
      <c r="I5697" s="5" t="str">
        <f aca="false">IF($H5697=FALSE(),"",COUNTIF($H$6:$H5697,TRUE()))</f>
        <v/>
      </c>
      <c r="J5697" s="5" t="str">
        <f aca="false">IF($I5697="","","R"&amp;$I5697)</f>
        <v/>
      </c>
    </row>
    <row r="5698" customFormat="false" ht="15" hidden="false" customHeight="true" outlineLevel="0" collapsed="false">
      <c r="H5698" s="14" t="b">
        <f aca="false">IF(중복검사!$A5696="",FALSE(),중복검사!$J5696="유지")</f>
        <v>0</v>
      </c>
      <c r="I5698" s="5" t="str">
        <f aca="false">IF($H5698=FALSE(),"",COUNTIF($H$6:$H5698,TRUE()))</f>
        <v/>
      </c>
      <c r="J5698" s="5" t="str">
        <f aca="false">IF($I5698="","","R"&amp;$I5698)</f>
        <v/>
      </c>
    </row>
    <row r="5699" customFormat="false" ht="15" hidden="false" customHeight="true" outlineLevel="0" collapsed="false">
      <c r="H5699" s="14" t="b">
        <f aca="false">IF(중복검사!$A5697="",FALSE(),중복검사!$J5697="유지")</f>
        <v>0</v>
      </c>
      <c r="I5699" s="5" t="str">
        <f aca="false">IF($H5699=FALSE(),"",COUNTIF($H$6:$H5699,TRUE()))</f>
        <v/>
      </c>
      <c r="J5699" s="5" t="str">
        <f aca="false">IF($I5699="","","R"&amp;$I5699)</f>
        <v/>
      </c>
    </row>
    <row r="5700" customFormat="false" ht="15" hidden="false" customHeight="true" outlineLevel="0" collapsed="false">
      <c r="H5700" s="14" t="b">
        <f aca="false">IF(중복검사!$A5698="",FALSE(),중복검사!$J5698="유지")</f>
        <v>0</v>
      </c>
      <c r="I5700" s="5" t="str">
        <f aca="false">IF($H5700=FALSE(),"",COUNTIF($H$6:$H5700,TRUE()))</f>
        <v/>
      </c>
      <c r="J5700" s="5" t="str">
        <f aca="false">IF($I5700="","","R"&amp;$I5700)</f>
        <v/>
      </c>
    </row>
    <row r="5701" customFormat="false" ht="15" hidden="false" customHeight="true" outlineLevel="0" collapsed="false">
      <c r="H5701" s="14" t="b">
        <f aca="false">IF(중복검사!$A5699="",FALSE(),중복검사!$J5699="유지")</f>
        <v>0</v>
      </c>
      <c r="I5701" s="5" t="str">
        <f aca="false">IF($H5701=FALSE(),"",COUNTIF($H$6:$H5701,TRUE()))</f>
        <v/>
      </c>
      <c r="J5701" s="5" t="str">
        <f aca="false">IF($I5701="","","R"&amp;$I5701)</f>
        <v/>
      </c>
    </row>
    <row r="5702" customFormat="false" ht="15" hidden="false" customHeight="true" outlineLevel="0" collapsed="false">
      <c r="H5702" s="14" t="b">
        <f aca="false">IF(중복검사!$A5700="",FALSE(),중복검사!$J5700="유지")</f>
        <v>0</v>
      </c>
      <c r="I5702" s="5" t="str">
        <f aca="false">IF($H5702=FALSE(),"",COUNTIF($H$6:$H5702,TRUE()))</f>
        <v/>
      </c>
      <c r="J5702" s="5" t="str">
        <f aca="false">IF($I5702="","","R"&amp;$I5702)</f>
        <v/>
      </c>
    </row>
    <row r="5703" customFormat="false" ht="15" hidden="false" customHeight="true" outlineLevel="0" collapsed="false">
      <c r="H5703" s="14" t="b">
        <f aca="false">IF(중복검사!$A5701="",FALSE(),중복검사!$J5701="유지")</f>
        <v>0</v>
      </c>
      <c r="I5703" s="5" t="str">
        <f aca="false">IF($H5703=FALSE(),"",COUNTIF($H$6:$H5703,TRUE()))</f>
        <v/>
      </c>
      <c r="J5703" s="5" t="str">
        <f aca="false">IF($I5703="","","R"&amp;$I5703)</f>
        <v/>
      </c>
    </row>
    <row r="5704" customFormat="false" ht="15" hidden="false" customHeight="true" outlineLevel="0" collapsed="false">
      <c r="H5704" s="14" t="b">
        <f aca="false">IF(중복검사!$A5702="",FALSE(),중복검사!$J5702="유지")</f>
        <v>0</v>
      </c>
      <c r="I5704" s="5" t="str">
        <f aca="false">IF($H5704=FALSE(),"",COUNTIF($H$6:$H5704,TRUE()))</f>
        <v/>
      </c>
      <c r="J5704" s="5" t="str">
        <f aca="false">IF($I5704="","","R"&amp;$I5704)</f>
        <v/>
      </c>
    </row>
    <row r="5705" customFormat="false" ht="15" hidden="false" customHeight="true" outlineLevel="0" collapsed="false">
      <c r="H5705" s="14" t="b">
        <f aca="false">IF(중복검사!$A5703="",FALSE(),중복검사!$J5703="유지")</f>
        <v>0</v>
      </c>
      <c r="I5705" s="5" t="str">
        <f aca="false">IF($H5705=FALSE(),"",COUNTIF($H$6:$H5705,TRUE()))</f>
        <v/>
      </c>
      <c r="J5705" s="5" t="str">
        <f aca="false">IF($I5705="","","R"&amp;$I5705)</f>
        <v/>
      </c>
    </row>
    <row r="5706" customFormat="false" ht="15" hidden="false" customHeight="true" outlineLevel="0" collapsed="false">
      <c r="H5706" s="14" t="b">
        <f aca="false">IF(중복검사!$A5704="",FALSE(),중복검사!$J5704="유지")</f>
        <v>0</v>
      </c>
      <c r="I5706" s="5" t="str">
        <f aca="false">IF($H5706=FALSE(),"",COUNTIF($H$6:$H5706,TRUE()))</f>
        <v/>
      </c>
      <c r="J5706" s="5" t="str">
        <f aca="false">IF($I5706="","","R"&amp;$I5706)</f>
        <v/>
      </c>
    </row>
    <row r="5707" customFormat="false" ht="15" hidden="false" customHeight="true" outlineLevel="0" collapsed="false">
      <c r="H5707" s="14" t="b">
        <f aca="false">IF(중복검사!$A5705="",FALSE(),중복검사!$J5705="유지")</f>
        <v>0</v>
      </c>
      <c r="I5707" s="5" t="str">
        <f aca="false">IF($H5707=FALSE(),"",COUNTIF($H$6:$H5707,TRUE()))</f>
        <v/>
      </c>
      <c r="J5707" s="5" t="str">
        <f aca="false">IF($I5707="","","R"&amp;$I5707)</f>
        <v/>
      </c>
    </row>
    <row r="5708" customFormat="false" ht="15" hidden="false" customHeight="true" outlineLevel="0" collapsed="false">
      <c r="H5708" s="14" t="b">
        <f aca="false">IF(중복검사!$A5706="",FALSE(),중복검사!$J5706="유지")</f>
        <v>0</v>
      </c>
      <c r="I5708" s="5" t="str">
        <f aca="false">IF($H5708=FALSE(),"",COUNTIF($H$6:$H5708,TRUE()))</f>
        <v/>
      </c>
      <c r="J5708" s="5" t="str">
        <f aca="false">IF($I5708="","","R"&amp;$I5708)</f>
        <v/>
      </c>
    </row>
    <row r="5709" customFormat="false" ht="15" hidden="false" customHeight="true" outlineLevel="0" collapsed="false">
      <c r="H5709" s="14" t="b">
        <f aca="false">IF(중복검사!$A5707="",FALSE(),중복검사!$J5707="유지")</f>
        <v>0</v>
      </c>
      <c r="I5709" s="5" t="str">
        <f aca="false">IF($H5709=FALSE(),"",COUNTIF($H$6:$H5709,TRUE()))</f>
        <v/>
      </c>
      <c r="J5709" s="5" t="str">
        <f aca="false">IF($I5709="","","R"&amp;$I5709)</f>
        <v/>
      </c>
    </row>
    <row r="5710" customFormat="false" ht="15" hidden="false" customHeight="true" outlineLevel="0" collapsed="false">
      <c r="H5710" s="14" t="b">
        <f aca="false">IF(중복검사!$A5708="",FALSE(),중복검사!$J5708="유지")</f>
        <v>0</v>
      </c>
      <c r="I5710" s="5" t="str">
        <f aca="false">IF($H5710=FALSE(),"",COUNTIF($H$6:$H5710,TRUE()))</f>
        <v/>
      </c>
      <c r="J5710" s="5" t="str">
        <f aca="false">IF($I5710="","","R"&amp;$I5710)</f>
        <v/>
      </c>
    </row>
    <row r="5711" customFormat="false" ht="15" hidden="false" customHeight="true" outlineLevel="0" collapsed="false">
      <c r="H5711" s="14" t="b">
        <f aca="false">IF(중복검사!$A5709="",FALSE(),중복검사!$J5709="유지")</f>
        <v>0</v>
      </c>
      <c r="I5711" s="5" t="str">
        <f aca="false">IF($H5711=FALSE(),"",COUNTIF($H$6:$H5711,TRUE()))</f>
        <v/>
      </c>
      <c r="J5711" s="5" t="str">
        <f aca="false">IF($I5711="","","R"&amp;$I5711)</f>
        <v/>
      </c>
    </row>
    <row r="5712" customFormat="false" ht="15" hidden="false" customHeight="true" outlineLevel="0" collapsed="false">
      <c r="H5712" s="14" t="b">
        <f aca="false">IF(중복검사!$A5710="",FALSE(),중복검사!$J5710="유지")</f>
        <v>0</v>
      </c>
      <c r="I5712" s="5" t="str">
        <f aca="false">IF($H5712=FALSE(),"",COUNTIF($H$6:$H5712,TRUE()))</f>
        <v/>
      </c>
      <c r="J5712" s="5" t="str">
        <f aca="false">IF($I5712="","","R"&amp;$I5712)</f>
        <v/>
      </c>
    </row>
    <row r="5713" customFormat="false" ht="15" hidden="false" customHeight="true" outlineLevel="0" collapsed="false">
      <c r="H5713" s="14" t="b">
        <f aca="false">IF(중복검사!$A5711="",FALSE(),중복검사!$J5711="유지")</f>
        <v>0</v>
      </c>
      <c r="I5713" s="5" t="str">
        <f aca="false">IF($H5713=FALSE(),"",COUNTIF($H$6:$H5713,TRUE()))</f>
        <v/>
      </c>
      <c r="J5713" s="5" t="str">
        <f aca="false">IF($I5713="","","R"&amp;$I5713)</f>
        <v/>
      </c>
    </row>
    <row r="5714" customFormat="false" ht="15" hidden="false" customHeight="true" outlineLevel="0" collapsed="false">
      <c r="H5714" s="14" t="b">
        <f aca="false">IF(중복검사!$A5712="",FALSE(),중복검사!$J5712="유지")</f>
        <v>0</v>
      </c>
      <c r="I5714" s="5" t="str">
        <f aca="false">IF($H5714=FALSE(),"",COUNTIF($H$6:$H5714,TRUE()))</f>
        <v/>
      </c>
      <c r="J5714" s="5" t="str">
        <f aca="false">IF($I5714="","","R"&amp;$I5714)</f>
        <v/>
      </c>
    </row>
    <row r="5715" customFormat="false" ht="15" hidden="false" customHeight="true" outlineLevel="0" collapsed="false">
      <c r="H5715" s="14" t="b">
        <f aca="false">IF(중복검사!$A5713="",FALSE(),중복검사!$J5713="유지")</f>
        <v>0</v>
      </c>
      <c r="I5715" s="5" t="str">
        <f aca="false">IF($H5715=FALSE(),"",COUNTIF($H$6:$H5715,TRUE()))</f>
        <v/>
      </c>
      <c r="J5715" s="5" t="str">
        <f aca="false">IF($I5715="","","R"&amp;$I5715)</f>
        <v/>
      </c>
    </row>
    <row r="5716" customFormat="false" ht="15" hidden="false" customHeight="true" outlineLevel="0" collapsed="false">
      <c r="H5716" s="14" t="b">
        <f aca="false">IF(중복검사!$A5714="",FALSE(),중복검사!$J5714="유지")</f>
        <v>0</v>
      </c>
      <c r="I5716" s="5" t="str">
        <f aca="false">IF($H5716=FALSE(),"",COUNTIF($H$6:$H5716,TRUE()))</f>
        <v/>
      </c>
      <c r="J5716" s="5" t="str">
        <f aca="false">IF($I5716="","","R"&amp;$I5716)</f>
        <v/>
      </c>
    </row>
    <row r="5717" customFormat="false" ht="15" hidden="false" customHeight="true" outlineLevel="0" collapsed="false">
      <c r="H5717" s="14" t="b">
        <f aca="false">IF(중복검사!$A5715="",FALSE(),중복검사!$J5715="유지")</f>
        <v>0</v>
      </c>
      <c r="I5717" s="5" t="str">
        <f aca="false">IF($H5717=FALSE(),"",COUNTIF($H$6:$H5717,TRUE()))</f>
        <v/>
      </c>
      <c r="J5717" s="5" t="str">
        <f aca="false">IF($I5717="","","R"&amp;$I5717)</f>
        <v/>
      </c>
    </row>
    <row r="5718" customFormat="false" ht="15" hidden="false" customHeight="true" outlineLevel="0" collapsed="false">
      <c r="H5718" s="14" t="b">
        <f aca="false">IF(중복검사!$A5716="",FALSE(),중복검사!$J5716="유지")</f>
        <v>0</v>
      </c>
      <c r="I5718" s="5" t="str">
        <f aca="false">IF($H5718=FALSE(),"",COUNTIF($H$6:$H5718,TRUE()))</f>
        <v/>
      </c>
      <c r="J5718" s="5" t="str">
        <f aca="false">IF($I5718="","","R"&amp;$I5718)</f>
        <v/>
      </c>
    </row>
    <row r="5719" customFormat="false" ht="15" hidden="false" customHeight="true" outlineLevel="0" collapsed="false">
      <c r="H5719" s="14" t="b">
        <f aca="false">IF(중복검사!$A5717="",FALSE(),중복검사!$J5717="유지")</f>
        <v>0</v>
      </c>
      <c r="I5719" s="5" t="str">
        <f aca="false">IF($H5719=FALSE(),"",COUNTIF($H$6:$H5719,TRUE()))</f>
        <v/>
      </c>
      <c r="J5719" s="5" t="str">
        <f aca="false">IF($I5719="","","R"&amp;$I5719)</f>
        <v/>
      </c>
    </row>
    <row r="5720" customFormat="false" ht="15" hidden="false" customHeight="true" outlineLevel="0" collapsed="false">
      <c r="H5720" s="14" t="b">
        <f aca="false">IF(중복검사!$A5718="",FALSE(),중복검사!$J5718="유지")</f>
        <v>0</v>
      </c>
      <c r="I5720" s="5" t="str">
        <f aca="false">IF($H5720=FALSE(),"",COUNTIF($H$6:$H5720,TRUE()))</f>
        <v/>
      </c>
      <c r="J5720" s="5" t="str">
        <f aca="false">IF($I5720="","","R"&amp;$I5720)</f>
        <v/>
      </c>
    </row>
    <row r="5721" customFormat="false" ht="15" hidden="false" customHeight="true" outlineLevel="0" collapsed="false">
      <c r="H5721" s="14" t="b">
        <f aca="false">IF(중복검사!$A5719="",FALSE(),중복검사!$J5719="유지")</f>
        <v>0</v>
      </c>
      <c r="I5721" s="5" t="str">
        <f aca="false">IF($H5721=FALSE(),"",COUNTIF($H$6:$H5721,TRUE()))</f>
        <v/>
      </c>
      <c r="J5721" s="5" t="str">
        <f aca="false">IF($I5721="","","R"&amp;$I5721)</f>
        <v/>
      </c>
    </row>
    <row r="5722" customFormat="false" ht="15" hidden="false" customHeight="true" outlineLevel="0" collapsed="false">
      <c r="H5722" s="14" t="b">
        <f aca="false">IF(중복검사!$A5720="",FALSE(),중복검사!$J5720="유지")</f>
        <v>0</v>
      </c>
      <c r="I5722" s="5" t="str">
        <f aca="false">IF($H5722=FALSE(),"",COUNTIF($H$6:$H5722,TRUE()))</f>
        <v/>
      </c>
      <c r="J5722" s="5" t="str">
        <f aca="false">IF($I5722="","","R"&amp;$I5722)</f>
        <v/>
      </c>
    </row>
    <row r="5723" customFormat="false" ht="15" hidden="false" customHeight="true" outlineLevel="0" collapsed="false">
      <c r="H5723" s="14" t="b">
        <f aca="false">IF(중복검사!$A5721="",FALSE(),중복검사!$J5721="유지")</f>
        <v>0</v>
      </c>
      <c r="I5723" s="5" t="str">
        <f aca="false">IF($H5723=FALSE(),"",COUNTIF($H$6:$H5723,TRUE()))</f>
        <v/>
      </c>
      <c r="J5723" s="5" t="str">
        <f aca="false">IF($I5723="","","R"&amp;$I5723)</f>
        <v/>
      </c>
    </row>
    <row r="5724" customFormat="false" ht="15" hidden="false" customHeight="true" outlineLevel="0" collapsed="false">
      <c r="H5724" s="14" t="b">
        <f aca="false">IF(중복검사!$A5722="",FALSE(),중복검사!$J5722="유지")</f>
        <v>0</v>
      </c>
      <c r="I5724" s="5" t="str">
        <f aca="false">IF($H5724=FALSE(),"",COUNTIF($H$6:$H5724,TRUE()))</f>
        <v/>
      </c>
      <c r="J5724" s="5" t="str">
        <f aca="false">IF($I5724="","","R"&amp;$I5724)</f>
        <v/>
      </c>
    </row>
    <row r="5725" customFormat="false" ht="15" hidden="false" customHeight="true" outlineLevel="0" collapsed="false">
      <c r="H5725" s="14" t="b">
        <f aca="false">IF(중복검사!$A5723="",FALSE(),중복검사!$J5723="유지")</f>
        <v>0</v>
      </c>
      <c r="I5725" s="5" t="str">
        <f aca="false">IF($H5725=FALSE(),"",COUNTIF($H$6:$H5725,TRUE()))</f>
        <v/>
      </c>
      <c r="J5725" s="5" t="str">
        <f aca="false">IF($I5725="","","R"&amp;$I5725)</f>
        <v/>
      </c>
    </row>
    <row r="5726" customFormat="false" ht="15" hidden="false" customHeight="true" outlineLevel="0" collapsed="false">
      <c r="H5726" s="14" t="b">
        <f aca="false">IF(중복검사!$A5724="",FALSE(),중복검사!$J5724="유지")</f>
        <v>0</v>
      </c>
      <c r="I5726" s="5" t="str">
        <f aca="false">IF($H5726=FALSE(),"",COUNTIF($H$6:$H5726,TRUE()))</f>
        <v/>
      </c>
      <c r="J5726" s="5" t="str">
        <f aca="false">IF($I5726="","","R"&amp;$I5726)</f>
        <v/>
      </c>
    </row>
    <row r="5727" customFormat="false" ht="15" hidden="false" customHeight="true" outlineLevel="0" collapsed="false">
      <c r="H5727" s="14" t="b">
        <f aca="false">IF(중복검사!$A5725="",FALSE(),중복검사!$J5725="유지")</f>
        <v>0</v>
      </c>
      <c r="I5727" s="5" t="str">
        <f aca="false">IF($H5727=FALSE(),"",COUNTIF($H$6:$H5727,TRUE()))</f>
        <v/>
      </c>
      <c r="J5727" s="5" t="str">
        <f aca="false">IF($I5727="","","R"&amp;$I5727)</f>
        <v/>
      </c>
    </row>
    <row r="5728" customFormat="false" ht="15" hidden="false" customHeight="true" outlineLevel="0" collapsed="false">
      <c r="H5728" s="14" t="b">
        <f aca="false">IF(중복검사!$A5726="",FALSE(),중복검사!$J5726="유지")</f>
        <v>0</v>
      </c>
      <c r="I5728" s="5" t="str">
        <f aca="false">IF($H5728=FALSE(),"",COUNTIF($H$6:$H5728,TRUE()))</f>
        <v/>
      </c>
      <c r="J5728" s="5" t="str">
        <f aca="false">IF($I5728="","","R"&amp;$I5728)</f>
        <v/>
      </c>
    </row>
    <row r="5729" customFormat="false" ht="15" hidden="false" customHeight="true" outlineLevel="0" collapsed="false">
      <c r="H5729" s="14" t="b">
        <f aca="false">IF(중복검사!$A5727="",FALSE(),중복검사!$J5727="유지")</f>
        <v>0</v>
      </c>
      <c r="I5729" s="5" t="str">
        <f aca="false">IF($H5729=FALSE(),"",COUNTIF($H$6:$H5729,TRUE()))</f>
        <v/>
      </c>
      <c r="J5729" s="5" t="str">
        <f aca="false">IF($I5729="","","R"&amp;$I5729)</f>
        <v/>
      </c>
    </row>
    <row r="5730" customFormat="false" ht="15" hidden="false" customHeight="true" outlineLevel="0" collapsed="false">
      <c r="H5730" s="14" t="b">
        <f aca="false">IF(중복검사!$A5728="",FALSE(),중복검사!$J5728="유지")</f>
        <v>0</v>
      </c>
      <c r="I5730" s="5" t="str">
        <f aca="false">IF($H5730=FALSE(),"",COUNTIF($H$6:$H5730,TRUE()))</f>
        <v/>
      </c>
      <c r="J5730" s="5" t="str">
        <f aca="false">IF($I5730="","","R"&amp;$I5730)</f>
        <v/>
      </c>
    </row>
    <row r="5731" customFormat="false" ht="15" hidden="false" customHeight="true" outlineLevel="0" collapsed="false">
      <c r="H5731" s="14" t="b">
        <f aca="false">IF(중복검사!$A5729="",FALSE(),중복검사!$J5729="유지")</f>
        <v>0</v>
      </c>
      <c r="I5731" s="5" t="str">
        <f aca="false">IF($H5731=FALSE(),"",COUNTIF($H$6:$H5731,TRUE()))</f>
        <v/>
      </c>
      <c r="J5731" s="5" t="str">
        <f aca="false">IF($I5731="","","R"&amp;$I5731)</f>
        <v/>
      </c>
    </row>
    <row r="5732" customFormat="false" ht="15" hidden="false" customHeight="true" outlineLevel="0" collapsed="false">
      <c r="H5732" s="14" t="b">
        <f aca="false">IF(중복검사!$A5730="",FALSE(),중복검사!$J5730="유지")</f>
        <v>0</v>
      </c>
      <c r="I5732" s="5" t="str">
        <f aca="false">IF($H5732=FALSE(),"",COUNTIF($H$6:$H5732,TRUE()))</f>
        <v/>
      </c>
      <c r="J5732" s="5" t="str">
        <f aca="false">IF($I5732="","","R"&amp;$I5732)</f>
        <v/>
      </c>
    </row>
    <row r="5733" customFormat="false" ht="15" hidden="false" customHeight="true" outlineLevel="0" collapsed="false">
      <c r="H5733" s="14" t="b">
        <f aca="false">IF(중복검사!$A5731="",FALSE(),중복검사!$J5731="유지")</f>
        <v>0</v>
      </c>
      <c r="I5733" s="5" t="str">
        <f aca="false">IF($H5733=FALSE(),"",COUNTIF($H$6:$H5733,TRUE()))</f>
        <v/>
      </c>
      <c r="J5733" s="5" t="str">
        <f aca="false">IF($I5733="","","R"&amp;$I5733)</f>
        <v/>
      </c>
    </row>
    <row r="5734" customFormat="false" ht="15" hidden="false" customHeight="true" outlineLevel="0" collapsed="false">
      <c r="H5734" s="14" t="b">
        <f aca="false">IF(중복검사!$A5732="",FALSE(),중복검사!$J5732="유지")</f>
        <v>0</v>
      </c>
      <c r="I5734" s="5" t="str">
        <f aca="false">IF($H5734=FALSE(),"",COUNTIF($H$6:$H5734,TRUE()))</f>
        <v/>
      </c>
      <c r="J5734" s="5" t="str">
        <f aca="false">IF($I5734="","","R"&amp;$I5734)</f>
        <v/>
      </c>
    </row>
    <row r="5735" customFormat="false" ht="15" hidden="false" customHeight="true" outlineLevel="0" collapsed="false">
      <c r="H5735" s="14" t="b">
        <f aca="false">IF(중복검사!$A5733="",FALSE(),중복검사!$J5733="유지")</f>
        <v>0</v>
      </c>
      <c r="I5735" s="5" t="str">
        <f aca="false">IF($H5735=FALSE(),"",COUNTIF($H$6:$H5735,TRUE()))</f>
        <v/>
      </c>
      <c r="J5735" s="5" t="str">
        <f aca="false">IF($I5735="","","R"&amp;$I5735)</f>
        <v/>
      </c>
    </row>
    <row r="5736" customFormat="false" ht="15" hidden="false" customHeight="true" outlineLevel="0" collapsed="false">
      <c r="H5736" s="14" t="b">
        <f aca="false">IF(중복검사!$A5734="",FALSE(),중복검사!$J5734="유지")</f>
        <v>0</v>
      </c>
      <c r="I5736" s="5" t="str">
        <f aca="false">IF($H5736=FALSE(),"",COUNTIF($H$6:$H5736,TRUE()))</f>
        <v/>
      </c>
      <c r="J5736" s="5" t="str">
        <f aca="false">IF($I5736="","","R"&amp;$I5736)</f>
        <v/>
      </c>
    </row>
    <row r="5737" customFormat="false" ht="15" hidden="false" customHeight="true" outlineLevel="0" collapsed="false">
      <c r="H5737" s="14" t="b">
        <f aca="false">IF(중복검사!$A5735="",FALSE(),중복검사!$J5735="유지")</f>
        <v>0</v>
      </c>
      <c r="I5737" s="5" t="str">
        <f aca="false">IF($H5737=FALSE(),"",COUNTIF($H$6:$H5737,TRUE()))</f>
        <v/>
      </c>
      <c r="J5737" s="5" t="str">
        <f aca="false">IF($I5737="","","R"&amp;$I5737)</f>
        <v/>
      </c>
    </row>
    <row r="5738" customFormat="false" ht="15" hidden="false" customHeight="true" outlineLevel="0" collapsed="false">
      <c r="H5738" s="14" t="b">
        <f aca="false">IF(중복검사!$A5736="",FALSE(),중복검사!$J5736="유지")</f>
        <v>0</v>
      </c>
      <c r="I5738" s="5" t="str">
        <f aca="false">IF($H5738=FALSE(),"",COUNTIF($H$6:$H5738,TRUE()))</f>
        <v/>
      </c>
      <c r="J5738" s="5" t="str">
        <f aca="false">IF($I5738="","","R"&amp;$I5738)</f>
        <v/>
      </c>
    </row>
    <row r="5739" customFormat="false" ht="15" hidden="false" customHeight="true" outlineLevel="0" collapsed="false">
      <c r="H5739" s="14" t="b">
        <f aca="false">IF(중복검사!$A5737="",FALSE(),중복검사!$J5737="유지")</f>
        <v>0</v>
      </c>
      <c r="I5739" s="5" t="str">
        <f aca="false">IF($H5739=FALSE(),"",COUNTIF($H$6:$H5739,TRUE()))</f>
        <v/>
      </c>
      <c r="J5739" s="5" t="str">
        <f aca="false">IF($I5739="","","R"&amp;$I5739)</f>
        <v/>
      </c>
    </row>
    <row r="5740" customFormat="false" ht="15" hidden="false" customHeight="true" outlineLevel="0" collapsed="false">
      <c r="H5740" s="14" t="b">
        <f aca="false">IF(중복검사!$A5738="",FALSE(),중복검사!$J5738="유지")</f>
        <v>0</v>
      </c>
      <c r="I5740" s="5" t="str">
        <f aca="false">IF($H5740=FALSE(),"",COUNTIF($H$6:$H5740,TRUE()))</f>
        <v/>
      </c>
      <c r="J5740" s="5" t="str">
        <f aca="false">IF($I5740="","","R"&amp;$I5740)</f>
        <v/>
      </c>
    </row>
    <row r="5741" customFormat="false" ht="15" hidden="false" customHeight="true" outlineLevel="0" collapsed="false">
      <c r="H5741" s="14" t="b">
        <f aca="false">IF(중복검사!$A5739="",FALSE(),중복검사!$J5739="유지")</f>
        <v>0</v>
      </c>
      <c r="I5741" s="5" t="str">
        <f aca="false">IF($H5741=FALSE(),"",COUNTIF($H$6:$H5741,TRUE()))</f>
        <v/>
      </c>
      <c r="J5741" s="5" t="str">
        <f aca="false">IF($I5741="","","R"&amp;$I5741)</f>
        <v/>
      </c>
    </row>
    <row r="5742" customFormat="false" ht="15" hidden="false" customHeight="true" outlineLevel="0" collapsed="false">
      <c r="H5742" s="14" t="b">
        <f aca="false">IF(중복검사!$A5740="",FALSE(),중복검사!$J5740="유지")</f>
        <v>0</v>
      </c>
      <c r="I5742" s="5" t="str">
        <f aca="false">IF($H5742=FALSE(),"",COUNTIF($H$6:$H5742,TRUE()))</f>
        <v/>
      </c>
      <c r="J5742" s="5" t="str">
        <f aca="false">IF($I5742="","","R"&amp;$I5742)</f>
        <v/>
      </c>
    </row>
    <row r="5743" customFormat="false" ht="15" hidden="false" customHeight="true" outlineLevel="0" collapsed="false">
      <c r="H5743" s="14" t="b">
        <f aca="false">IF(중복검사!$A5741="",FALSE(),중복검사!$J5741="유지")</f>
        <v>0</v>
      </c>
      <c r="I5743" s="5" t="str">
        <f aca="false">IF($H5743=FALSE(),"",COUNTIF($H$6:$H5743,TRUE()))</f>
        <v/>
      </c>
      <c r="J5743" s="5" t="str">
        <f aca="false">IF($I5743="","","R"&amp;$I5743)</f>
        <v/>
      </c>
    </row>
    <row r="5744" customFormat="false" ht="15" hidden="false" customHeight="true" outlineLevel="0" collapsed="false">
      <c r="H5744" s="14" t="b">
        <f aca="false">IF(중복검사!$A5742="",FALSE(),중복검사!$J5742="유지")</f>
        <v>0</v>
      </c>
      <c r="I5744" s="5" t="str">
        <f aca="false">IF($H5744=FALSE(),"",COUNTIF($H$6:$H5744,TRUE()))</f>
        <v/>
      </c>
      <c r="J5744" s="5" t="str">
        <f aca="false">IF($I5744="","","R"&amp;$I5744)</f>
        <v/>
      </c>
    </row>
    <row r="5745" customFormat="false" ht="15" hidden="false" customHeight="true" outlineLevel="0" collapsed="false">
      <c r="H5745" s="14" t="b">
        <f aca="false">IF(중복검사!$A5743="",FALSE(),중복검사!$J5743="유지")</f>
        <v>0</v>
      </c>
      <c r="I5745" s="5" t="str">
        <f aca="false">IF($H5745=FALSE(),"",COUNTIF($H$6:$H5745,TRUE()))</f>
        <v/>
      </c>
      <c r="J5745" s="5" t="str">
        <f aca="false">IF($I5745="","","R"&amp;$I5745)</f>
        <v/>
      </c>
    </row>
    <row r="5746" customFormat="false" ht="15" hidden="false" customHeight="true" outlineLevel="0" collapsed="false">
      <c r="H5746" s="14" t="b">
        <f aca="false">IF(중복검사!$A5744="",FALSE(),중복검사!$J5744="유지")</f>
        <v>0</v>
      </c>
      <c r="I5746" s="5" t="str">
        <f aca="false">IF($H5746=FALSE(),"",COUNTIF($H$6:$H5746,TRUE()))</f>
        <v/>
      </c>
      <c r="J5746" s="5" t="str">
        <f aca="false">IF($I5746="","","R"&amp;$I5746)</f>
        <v/>
      </c>
    </row>
    <row r="5747" customFormat="false" ht="15" hidden="false" customHeight="true" outlineLevel="0" collapsed="false">
      <c r="H5747" s="14" t="b">
        <f aca="false">IF(중복검사!$A5745="",FALSE(),중복검사!$J5745="유지")</f>
        <v>0</v>
      </c>
      <c r="I5747" s="5" t="str">
        <f aca="false">IF($H5747=FALSE(),"",COUNTIF($H$6:$H5747,TRUE()))</f>
        <v/>
      </c>
      <c r="J5747" s="5" t="str">
        <f aca="false">IF($I5747="","","R"&amp;$I5747)</f>
        <v/>
      </c>
    </row>
    <row r="5748" customFormat="false" ht="15" hidden="false" customHeight="true" outlineLevel="0" collapsed="false">
      <c r="H5748" s="14" t="b">
        <f aca="false">IF(중복검사!$A5746="",FALSE(),중복검사!$J5746="유지")</f>
        <v>0</v>
      </c>
      <c r="I5748" s="5" t="str">
        <f aca="false">IF($H5748=FALSE(),"",COUNTIF($H$6:$H5748,TRUE()))</f>
        <v/>
      </c>
      <c r="J5748" s="5" t="str">
        <f aca="false">IF($I5748="","","R"&amp;$I5748)</f>
        <v/>
      </c>
    </row>
    <row r="5749" customFormat="false" ht="15" hidden="false" customHeight="true" outlineLevel="0" collapsed="false">
      <c r="H5749" s="14" t="b">
        <f aca="false">IF(중복검사!$A5747="",FALSE(),중복검사!$J5747="유지")</f>
        <v>0</v>
      </c>
      <c r="I5749" s="5" t="str">
        <f aca="false">IF($H5749=FALSE(),"",COUNTIF($H$6:$H5749,TRUE()))</f>
        <v/>
      </c>
      <c r="J5749" s="5" t="str">
        <f aca="false">IF($I5749="","","R"&amp;$I5749)</f>
        <v/>
      </c>
    </row>
    <row r="5750" customFormat="false" ht="15" hidden="false" customHeight="true" outlineLevel="0" collapsed="false">
      <c r="H5750" s="14" t="b">
        <f aca="false">IF(중복검사!$A5748="",FALSE(),중복검사!$J5748="유지")</f>
        <v>0</v>
      </c>
      <c r="I5750" s="5" t="str">
        <f aca="false">IF($H5750=FALSE(),"",COUNTIF($H$6:$H5750,TRUE()))</f>
        <v/>
      </c>
      <c r="J5750" s="5" t="str">
        <f aca="false">IF($I5750="","","R"&amp;$I5750)</f>
        <v/>
      </c>
    </row>
    <row r="5751" customFormat="false" ht="15" hidden="false" customHeight="true" outlineLevel="0" collapsed="false">
      <c r="H5751" s="14" t="b">
        <f aca="false">IF(중복검사!$A5749="",FALSE(),중복검사!$J5749="유지")</f>
        <v>0</v>
      </c>
      <c r="I5751" s="5" t="str">
        <f aca="false">IF($H5751=FALSE(),"",COUNTIF($H$6:$H5751,TRUE()))</f>
        <v/>
      </c>
      <c r="J5751" s="5" t="str">
        <f aca="false">IF($I5751="","","R"&amp;$I5751)</f>
        <v/>
      </c>
    </row>
    <row r="5752" customFormat="false" ht="15" hidden="false" customHeight="true" outlineLevel="0" collapsed="false">
      <c r="H5752" s="14" t="b">
        <f aca="false">IF(중복검사!$A5750="",FALSE(),중복검사!$J5750="유지")</f>
        <v>0</v>
      </c>
      <c r="I5752" s="5" t="str">
        <f aca="false">IF($H5752=FALSE(),"",COUNTIF($H$6:$H5752,TRUE()))</f>
        <v/>
      </c>
      <c r="J5752" s="5" t="str">
        <f aca="false">IF($I5752="","","R"&amp;$I5752)</f>
        <v/>
      </c>
    </row>
    <row r="5753" customFormat="false" ht="15" hidden="false" customHeight="true" outlineLevel="0" collapsed="false">
      <c r="H5753" s="14" t="b">
        <f aca="false">IF(중복검사!$A5751="",FALSE(),중복검사!$J5751="유지")</f>
        <v>0</v>
      </c>
      <c r="I5753" s="5" t="str">
        <f aca="false">IF($H5753=FALSE(),"",COUNTIF($H$6:$H5753,TRUE()))</f>
        <v/>
      </c>
      <c r="J5753" s="5" t="str">
        <f aca="false">IF($I5753="","","R"&amp;$I5753)</f>
        <v/>
      </c>
    </row>
    <row r="5754" customFormat="false" ht="15" hidden="false" customHeight="true" outlineLevel="0" collapsed="false">
      <c r="H5754" s="14" t="b">
        <f aca="false">IF(중복검사!$A5752="",FALSE(),중복검사!$J5752="유지")</f>
        <v>0</v>
      </c>
      <c r="I5754" s="5" t="str">
        <f aca="false">IF($H5754=FALSE(),"",COUNTIF($H$6:$H5754,TRUE()))</f>
        <v/>
      </c>
      <c r="J5754" s="5" t="str">
        <f aca="false">IF($I5754="","","R"&amp;$I5754)</f>
        <v/>
      </c>
    </row>
    <row r="5755" customFormat="false" ht="15" hidden="false" customHeight="true" outlineLevel="0" collapsed="false">
      <c r="H5755" s="14" t="b">
        <f aca="false">IF(중복검사!$A5753="",FALSE(),중복검사!$J5753="유지")</f>
        <v>0</v>
      </c>
      <c r="I5755" s="5" t="str">
        <f aca="false">IF($H5755=FALSE(),"",COUNTIF($H$6:$H5755,TRUE()))</f>
        <v/>
      </c>
      <c r="J5755" s="5" t="str">
        <f aca="false">IF($I5755="","","R"&amp;$I5755)</f>
        <v/>
      </c>
    </row>
    <row r="5756" customFormat="false" ht="15" hidden="false" customHeight="true" outlineLevel="0" collapsed="false">
      <c r="H5756" s="14" t="b">
        <f aca="false">IF(중복검사!$A5754="",FALSE(),중복검사!$J5754="유지")</f>
        <v>0</v>
      </c>
      <c r="I5756" s="5" t="str">
        <f aca="false">IF($H5756=FALSE(),"",COUNTIF($H$6:$H5756,TRUE()))</f>
        <v/>
      </c>
      <c r="J5756" s="5" t="str">
        <f aca="false">IF($I5756="","","R"&amp;$I5756)</f>
        <v/>
      </c>
    </row>
    <row r="5757" customFormat="false" ht="15" hidden="false" customHeight="true" outlineLevel="0" collapsed="false">
      <c r="H5757" s="14" t="b">
        <f aca="false">IF(중복검사!$A5755="",FALSE(),중복검사!$J5755="유지")</f>
        <v>0</v>
      </c>
      <c r="I5757" s="5" t="str">
        <f aca="false">IF($H5757=FALSE(),"",COUNTIF($H$6:$H5757,TRUE()))</f>
        <v/>
      </c>
      <c r="J5757" s="5" t="str">
        <f aca="false">IF($I5757="","","R"&amp;$I5757)</f>
        <v/>
      </c>
    </row>
    <row r="5758" customFormat="false" ht="15" hidden="false" customHeight="true" outlineLevel="0" collapsed="false">
      <c r="H5758" s="14" t="b">
        <f aca="false">IF(중복검사!$A5756="",FALSE(),중복검사!$J5756="유지")</f>
        <v>0</v>
      </c>
      <c r="I5758" s="5" t="str">
        <f aca="false">IF($H5758=FALSE(),"",COUNTIF($H$6:$H5758,TRUE()))</f>
        <v/>
      </c>
      <c r="J5758" s="5" t="str">
        <f aca="false">IF($I5758="","","R"&amp;$I5758)</f>
        <v/>
      </c>
    </row>
    <row r="5759" customFormat="false" ht="15" hidden="false" customHeight="true" outlineLevel="0" collapsed="false">
      <c r="H5759" s="14" t="b">
        <f aca="false">IF(중복검사!$A5757="",FALSE(),중복검사!$J5757="유지")</f>
        <v>0</v>
      </c>
      <c r="I5759" s="5" t="str">
        <f aca="false">IF($H5759=FALSE(),"",COUNTIF($H$6:$H5759,TRUE()))</f>
        <v/>
      </c>
      <c r="J5759" s="5" t="str">
        <f aca="false">IF($I5759="","","R"&amp;$I5759)</f>
        <v/>
      </c>
    </row>
    <row r="5760" customFormat="false" ht="15" hidden="false" customHeight="true" outlineLevel="0" collapsed="false">
      <c r="H5760" s="14" t="b">
        <f aca="false">IF(중복검사!$A5758="",FALSE(),중복검사!$J5758="유지")</f>
        <v>0</v>
      </c>
      <c r="I5760" s="5" t="str">
        <f aca="false">IF($H5760=FALSE(),"",COUNTIF($H$6:$H5760,TRUE()))</f>
        <v/>
      </c>
      <c r="J5760" s="5" t="str">
        <f aca="false">IF($I5760="","","R"&amp;$I5760)</f>
        <v/>
      </c>
    </row>
    <row r="5761" customFormat="false" ht="15" hidden="false" customHeight="true" outlineLevel="0" collapsed="false">
      <c r="H5761" s="14" t="b">
        <f aca="false">IF(중복검사!$A5759="",FALSE(),중복검사!$J5759="유지")</f>
        <v>0</v>
      </c>
      <c r="I5761" s="5" t="str">
        <f aca="false">IF($H5761=FALSE(),"",COUNTIF($H$6:$H5761,TRUE()))</f>
        <v/>
      </c>
      <c r="J5761" s="5" t="str">
        <f aca="false">IF($I5761="","","R"&amp;$I5761)</f>
        <v/>
      </c>
    </row>
    <row r="5762" customFormat="false" ht="15" hidden="false" customHeight="true" outlineLevel="0" collapsed="false">
      <c r="H5762" s="14" t="b">
        <f aca="false">IF(중복검사!$A5760="",FALSE(),중복검사!$J5760="유지")</f>
        <v>0</v>
      </c>
      <c r="I5762" s="5" t="str">
        <f aca="false">IF($H5762=FALSE(),"",COUNTIF($H$6:$H5762,TRUE()))</f>
        <v/>
      </c>
      <c r="J5762" s="5" t="str">
        <f aca="false">IF($I5762="","","R"&amp;$I5762)</f>
        <v/>
      </c>
    </row>
    <row r="5763" customFormat="false" ht="15" hidden="false" customHeight="true" outlineLevel="0" collapsed="false">
      <c r="H5763" s="14" t="b">
        <f aca="false">IF(중복검사!$A5761="",FALSE(),중복검사!$J5761="유지")</f>
        <v>0</v>
      </c>
      <c r="I5763" s="5" t="str">
        <f aca="false">IF($H5763=FALSE(),"",COUNTIF($H$6:$H5763,TRUE()))</f>
        <v/>
      </c>
      <c r="J5763" s="5" t="str">
        <f aca="false">IF($I5763="","","R"&amp;$I5763)</f>
        <v/>
      </c>
    </row>
    <row r="5764" customFormat="false" ht="15" hidden="false" customHeight="true" outlineLevel="0" collapsed="false">
      <c r="H5764" s="14" t="b">
        <f aca="false">IF(중복검사!$A5762="",FALSE(),중복검사!$J5762="유지")</f>
        <v>0</v>
      </c>
      <c r="I5764" s="5" t="str">
        <f aca="false">IF($H5764=FALSE(),"",COUNTIF($H$6:$H5764,TRUE()))</f>
        <v/>
      </c>
      <c r="J5764" s="5" t="str">
        <f aca="false">IF($I5764="","","R"&amp;$I5764)</f>
        <v/>
      </c>
    </row>
    <row r="5765" customFormat="false" ht="15" hidden="false" customHeight="true" outlineLevel="0" collapsed="false">
      <c r="H5765" s="14" t="b">
        <f aca="false">IF(중복검사!$A5763="",FALSE(),중복검사!$J5763="유지")</f>
        <v>0</v>
      </c>
      <c r="I5765" s="5" t="str">
        <f aca="false">IF($H5765=FALSE(),"",COUNTIF($H$6:$H5765,TRUE()))</f>
        <v/>
      </c>
      <c r="J5765" s="5" t="str">
        <f aca="false">IF($I5765="","","R"&amp;$I5765)</f>
        <v/>
      </c>
    </row>
    <row r="5766" customFormat="false" ht="15" hidden="false" customHeight="true" outlineLevel="0" collapsed="false">
      <c r="H5766" s="14" t="b">
        <f aca="false">IF(중복검사!$A5764="",FALSE(),중복검사!$J5764="유지")</f>
        <v>0</v>
      </c>
      <c r="I5766" s="5" t="str">
        <f aca="false">IF($H5766=FALSE(),"",COUNTIF($H$6:$H5766,TRUE()))</f>
        <v/>
      </c>
      <c r="J5766" s="5" t="str">
        <f aca="false">IF($I5766="","","R"&amp;$I5766)</f>
        <v/>
      </c>
    </row>
    <row r="5767" customFormat="false" ht="15" hidden="false" customHeight="true" outlineLevel="0" collapsed="false">
      <c r="H5767" s="14" t="b">
        <f aca="false">IF(중복검사!$A5765="",FALSE(),중복검사!$J5765="유지")</f>
        <v>0</v>
      </c>
      <c r="I5767" s="5" t="str">
        <f aca="false">IF($H5767=FALSE(),"",COUNTIF($H$6:$H5767,TRUE()))</f>
        <v/>
      </c>
      <c r="J5767" s="5" t="str">
        <f aca="false">IF($I5767="","","R"&amp;$I5767)</f>
        <v/>
      </c>
    </row>
    <row r="5768" customFormat="false" ht="15" hidden="false" customHeight="true" outlineLevel="0" collapsed="false">
      <c r="H5768" s="14" t="b">
        <f aca="false">IF(중복검사!$A5766="",FALSE(),중복검사!$J5766="유지")</f>
        <v>0</v>
      </c>
      <c r="I5768" s="5" t="str">
        <f aca="false">IF($H5768=FALSE(),"",COUNTIF($H$6:$H5768,TRUE()))</f>
        <v/>
      </c>
      <c r="J5768" s="5" t="str">
        <f aca="false">IF($I5768="","","R"&amp;$I5768)</f>
        <v/>
      </c>
    </row>
    <row r="5769" customFormat="false" ht="15" hidden="false" customHeight="true" outlineLevel="0" collapsed="false">
      <c r="H5769" s="14" t="b">
        <f aca="false">IF(중복검사!$A5767="",FALSE(),중복검사!$J5767="유지")</f>
        <v>0</v>
      </c>
      <c r="I5769" s="5" t="str">
        <f aca="false">IF($H5769=FALSE(),"",COUNTIF($H$6:$H5769,TRUE()))</f>
        <v/>
      </c>
      <c r="J5769" s="5" t="str">
        <f aca="false">IF($I5769="","","R"&amp;$I5769)</f>
        <v/>
      </c>
    </row>
    <row r="5770" customFormat="false" ht="15" hidden="false" customHeight="true" outlineLevel="0" collapsed="false">
      <c r="H5770" s="14" t="b">
        <f aca="false">IF(중복검사!$A5768="",FALSE(),중복검사!$J5768="유지")</f>
        <v>0</v>
      </c>
      <c r="I5770" s="5" t="str">
        <f aca="false">IF($H5770=FALSE(),"",COUNTIF($H$6:$H5770,TRUE()))</f>
        <v/>
      </c>
      <c r="J5770" s="5" t="str">
        <f aca="false">IF($I5770="","","R"&amp;$I5770)</f>
        <v/>
      </c>
    </row>
    <row r="5771" customFormat="false" ht="15" hidden="false" customHeight="true" outlineLevel="0" collapsed="false">
      <c r="H5771" s="14" t="b">
        <f aca="false">IF(중복검사!$A5769="",FALSE(),중복검사!$J5769="유지")</f>
        <v>0</v>
      </c>
      <c r="I5771" s="5" t="str">
        <f aca="false">IF($H5771=FALSE(),"",COUNTIF($H$6:$H5771,TRUE()))</f>
        <v/>
      </c>
      <c r="J5771" s="5" t="str">
        <f aca="false">IF($I5771="","","R"&amp;$I5771)</f>
        <v/>
      </c>
    </row>
    <row r="5772" customFormat="false" ht="15" hidden="false" customHeight="true" outlineLevel="0" collapsed="false">
      <c r="H5772" s="14" t="b">
        <f aca="false">IF(중복검사!$A5770="",FALSE(),중복검사!$J5770="유지")</f>
        <v>0</v>
      </c>
      <c r="I5772" s="5" t="str">
        <f aca="false">IF($H5772=FALSE(),"",COUNTIF($H$6:$H5772,TRUE()))</f>
        <v/>
      </c>
      <c r="J5772" s="5" t="str">
        <f aca="false">IF($I5772="","","R"&amp;$I5772)</f>
        <v/>
      </c>
    </row>
    <row r="5773" customFormat="false" ht="15" hidden="false" customHeight="true" outlineLevel="0" collapsed="false">
      <c r="H5773" s="14" t="b">
        <f aca="false">IF(중복검사!$A5771="",FALSE(),중복검사!$J5771="유지")</f>
        <v>0</v>
      </c>
      <c r="I5773" s="5" t="str">
        <f aca="false">IF($H5773=FALSE(),"",COUNTIF($H$6:$H5773,TRUE()))</f>
        <v/>
      </c>
      <c r="J5773" s="5" t="str">
        <f aca="false">IF($I5773="","","R"&amp;$I5773)</f>
        <v/>
      </c>
    </row>
    <row r="5774" customFormat="false" ht="15" hidden="false" customHeight="true" outlineLevel="0" collapsed="false">
      <c r="H5774" s="14" t="b">
        <f aca="false">IF(중복검사!$A5772="",FALSE(),중복검사!$J5772="유지")</f>
        <v>0</v>
      </c>
      <c r="I5774" s="5" t="str">
        <f aca="false">IF($H5774=FALSE(),"",COUNTIF($H$6:$H5774,TRUE()))</f>
        <v/>
      </c>
      <c r="J5774" s="5" t="str">
        <f aca="false">IF($I5774="","","R"&amp;$I5774)</f>
        <v/>
      </c>
    </row>
    <row r="5775" customFormat="false" ht="15" hidden="false" customHeight="true" outlineLevel="0" collapsed="false">
      <c r="H5775" s="14" t="b">
        <f aca="false">IF(중복검사!$A5773="",FALSE(),중복검사!$J5773="유지")</f>
        <v>0</v>
      </c>
      <c r="I5775" s="5" t="str">
        <f aca="false">IF($H5775=FALSE(),"",COUNTIF($H$6:$H5775,TRUE()))</f>
        <v/>
      </c>
      <c r="J5775" s="5" t="str">
        <f aca="false">IF($I5775="","","R"&amp;$I5775)</f>
        <v/>
      </c>
    </row>
    <row r="5776" customFormat="false" ht="15" hidden="false" customHeight="true" outlineLevel="0" collapsed="false">
      <c r="H5776" s="14" t="b">
        <f aca="false">IF(중복검사!$A5774="",FALSE(),중복검사!$J5774="유지")</f>
        <v>0</v>
      </c>
      <c r="I5776" s="5" t="str">
        <f aca="false">IF($H5776=FALSE(),"",COUNTIF($H$6:$H5776,TRUE()))</f>
        <v/>
      </c>
      <c r="J5776" s="5" t="str">
        <f aca="false">IF($I5776="","","R"&amp;$I5776)</f>
        <v/>
      </c>
    </row>
    <row r="5777" customFormat="false" ht="15" hidden="false" customHeight="true" outlineLevel="0" collapsed="false">
      <c r="H5777" s="14" t="b">
        <f aca="false">IF(중복검사!$A5775="",FALSE(),중복검사!$J5775="유지")</f>
        <v>0</v>
      </c>
      <c r="I5777" s="5" t="str">
        <f aca="false">IF($H5777=FALSE(),"",COUNTIF($H$6:$H5777,TRUE()))</f>
        <v/>
      </c>
      <c r="J5777" s="5" t="str">
        <f aca="false">IF($I5777="","","R"&amp;$I5777)</f>
        <v/>
      </c>
    </row>
    <row r="5778" customFormat="false" ht="15" hidden="false" customHeight="true" outlineLevel="0" collapsed="false">
      <c r="H5778" s="14" t="b">
        <f aca="false">IF(중복검사!$A5776="",FALSE(),중복검사!$J5776="유지")</f>
        <v>0</v>
      </c>
      <c r="I5778" s="5" t="str">
        <f aca="false">IF($H5778=FALSE(),"",COUNTIF($H$6:$H5778,TRUE()))</f>
        <v/>
      </c>
      <c r="J5778" s="5" t="str">
        <f aca="false">IF($I5778="","","R"&amp;$I5778)</f>
        <v/>
      </c>
    </row>
    <row r="5779" customFormat="false" ht="15" hidden="false" customHeight="true" outlineLevel="0" collapsed="false">
      <c r="H5779" s="14" t="b">
        <f aca="false">IF(중복검사!$A5777="",FALSE(),중복검사!$J5777="유지")</f>
        <v>0</v>
      </c>
      <c r="I5779" s="5" t="str">
        <f aca="false">IF($H5779=FALSE(),"",COUNTIF($H$6:$H5779,TRUE()))</f>
        <v/>
      </c>
      <c r="J5779" s="5" t="str">
        <f aca="false">IF($I5779="","","R"&amp;$I5779)</f>
        <v/>
      </c>
    </row>
    <row r="5780" customFormat="false" ht="15" hidden="false" customHeight="true" outlineLevel="0" collapsed="false">
      <c r="H5780" s="14" t="b">
        <f aca="false">IF(중복검사!$A5778="",FALSE(),중복검사!$J5778="유지")</f>
        <v>0</v>
      </c>
      <c r="I5780" s="5" t="str">
        <f aca="false">IF($H5780=FALSE(),"",COUNTIF($H$6:$H5780,TRUE()))</f>
        <v/>
      </c>
      <c r="J5780" s="5" t="str">
        <f aca="false">IF($I5780="","","R"&amp;$I5780)</f>
        <v/>
      </c>
    </row>
    <row r="5781" customFormat="false" ht="15" hidden="false" customHeight="true" outlineLevel="0" collapsed="false">
      <c r="H5781" s="14" t="b">
        <f aca="false">IF(중복검사!$A5779="",FALSE(),중복검사!$J5779="유지")</f>
        <v>0</v>
      </c>
      <c r="I5781" s="5" t="str">
        <f aca="false">IF($H5781=FALSE(),"",COUNTIF($H$6:$H5781,TRUE()))</f>
        <v/>
      </c>
      <c r="J5781" s="5" t="str">
        <f aca="false">IF($I5781="","","R"&amp;$I5781)</f>
        <v/>
      </c>
    </row>
    <row r="5782" customFormat="false" ht="15" hidden="false" customHeight="true" outlineLevel="0" collapsed="false">
      <c r="H5782" s="14" t="b">
        <f aca="false">IF(중복검사!$A5780="",FALSE(),중복검사!$J5780="유지")</f>
        <v>0</v>
      </c>
      <c r="I5782" s="5" t="str">
        <f aca="false">IF($H5782=FALSE(),"",COUNTIF($H$6:$H5782,TRUE()))</f>
        <v/>
      </c>
      <c r="J5782" s="5" t="str">
        <f aca="false">IF($I5782="","","R"&amp;$I5782)</f>
        <v/>
      </c>
    </row>
    <row r="5783" customFormat="false" ht="15" hidden="false" customHeight="true" outlineLevel="0" collapsed="false">
      <c r="H5783" s="14" t="b">
        <f aca="false">IF(중복검사!$A5781="",FALSE(),중복검사!$J5781="유지")</f>
        <v>0</v>
      </c>
      <c r="I5783" s="5" t="str">
        <f aca="false">IF($H5783=FALSE(),"",COUNTIF($H$6:$H5783,TRUE()))</f>
        <v/>
      </c>
      <c r="J5783" s="5" t="str">
        <f aca="false">IF($I5783="","","R"&amp;$I5783)</f>
        <v/>
      </c>
    </row>
    <row r="5784" customFormat="false" ht="15" hidden="false" customHeight="true" outlineLevel="0" collapsed="false">
      <c r="H5784" s="14" t="b">
        <f aca="false">IF(중복검사!$A5782="",FALSE(),중복검사!$J5782="유지")</f>
        <v>0</v>
      </c>
      <c r="I5784" s="5" t="str">
        <f aca="false">IF($H5784=FALSE(),"",COUNTIF($H$6:$H5784,TRUE()))</f>
        <v/>
      </c>
      <c r="J5784" s="5" t="str">
        <f aca="false">IF($I5784="","","R"&amp;$I5784)</f>
        <v/>
      </c>
    </row>
    <row r="5785" customFormat="false" ht="15" hidden="false" customHeight="true" outlineLevel="0" collapsed="false">
      <c r="H5785" s="14" t="b">
        <f aca="false">IF(중복검사!$A5783="",FALSE(),중복검사!$J5783="유지")</f>
        <v>0</v>
      </c>
      <c r="I5785" s="5" t="str">
        <f aca="false">IF($H5785=FALSE(),"",COUNTIF($H$6:$H5785,TRUE()))</f>
        <v/>
      </c>
      <c r="J5785" s="5" t="str">
        <f aca="false">IF($I5785="","","R"&amp;$I5785)</f>
        <v/>
      </c>
    </row>
    <row r="5786" customFormat="false" ht="15" hidden="false" customHeight="true" outlineLevel="0" collapsed="false">
      <c r="H5786" s="14" t="b">
        <f aca="false">IF(중복검사!$A5784="",FALSE(),중복검사!$J5784="유지")</f>
        <v>0</v>
      </c>
      <c r="I5786" s="5" t="str">
        <f aca="false">IF($H5786=FALSE(),"",COUNTIF($H$6:$H5786,TRUE()))</f>
        <v/>
      </c>
      <c r="J5786" s="5" t="str">
        <f aca="false">IF($I5786="","","R"&amp;$I5786)</f>
        <v/>
      </c>
    </row>
    <row r="5787" customFormat="false" ht="15" hidden="false" customHeight="true" outlineLevel="0" collapsed="false">
      <c r="H5787" s="14" t="b">
        <f aca="false">IF(중복검사!$A5785="",FALSE(),중복검사!$J5785="유지")</f>
        <v>0</v>
      </c>
      <c r="I5787" s="5" t="str">
        <f aca="false">IF($H5787=FALSE(),"",COUNTIF($H$6:$H5787,TRUE()))</f>
        <v/>
      </c>
      <c r="J5787" s="5" t="str">
        <f aca="false">IF($I5787="","","R"&amp;$I5787)</f>
        <v/>
      </c>
    </row>
    <row r="5788" customFormat="false" ht="15" hidden="false" customHeight="true" outlineLevel="0" collapsed="false">
      <c r="H5788" s="14" t="b">
        <f aca="false">IF(중복검사!$A5786="",FALSE(),중복검사!$J5786="유지")</f>
        <v>0</v>
      </c>
      <c r="I5788" s="5" t="str">
        <f aca="false">IF($H5788=FALSE(),"",COUNTIF($H$6:$H5788,TRUE()))</f>
        <v/>
      </c>
      <c r="J5788" s="5" t="str">
        <f aca="false">IF($I5788="","","R"&amp;$I5788)</f>
        <v/>
      </c>
    </row>
    <row r="5789" customFormat="false" ht="15" hidden="false" customHeight="true" outlineLevel="0" collapsed="false">
      <c r="H5789" s="14" t="b">
        <f aca="false">IF(중복검사!$A5787="",FALSE(),중복검사!$J5787="유지")</f>
        <v>0</v>
      </c>
      <c r="I5789" s="5" t="str">
        <f aca="false">IF($H5789=FALSE(),"",COUNTIF($H$6:$H5789,TRUE()))</f>
        <v/>
      </c>
      <c r="J5789" s="5" t="str">
        <f aca="false">IF($I5789="","","R"&amp;$I5789)</f>
        <v/>
      </c>
    </row>
    <row r="5790" customFormat="false" ht="15" hidden="false" customHeight="true" outlineLevel="0" collapsed="false">
      <c r="H5790" s="14" t="b">
        <f aca="false">IF(중복검사!$A5788="",FALSE(),중복검사!$J5788="유지")</f>
        <v>0</v>
      </c>
      <c r="I5790" s="5" t="str">
        <f aca="false">IF($H5790=FALSE(),"",COUNTIF($H$6:$H5790,TRUE()))</f>
        <v/>
      </c>
      <c r="J5790" s="5" t="str">
        <f aca="false">IF($I5790="","","R"&amp;$I5790)</f>
        <v/>
      </c>
    </row>
    <row r="5791" customFormat="false" ht="15" hidden="false" customHeight="true" outlineLevel="0" collapsed="false">
      <c r="H5791" s="14" t="b">
        <f aca="false">IF(중복검사!$A5789="",FALSE(),중복검사!$J5789="유지")</f>
        <v>0</v>
      </c>
      <c r="I5791" s="5" t="str">
        <f aca="false">IF($H5791=FALSE(),"",COUNTIF($H$6:$H5791,TRUE()))</f>
        <v/>
      </c>
      <c r="J5791" s="5" t="str">
        <f aca="false">IF($I5791="","","R"&amp;$I5791)</f>
        <v/>
      </c>
    </row>
    <row r="5792" customFormat="false" ht="15" hidden="false" customHeight="true" outlineLevel="0" collapsed="false">
      <c r="H5792" s="14" t="b">
        <f aca="false">IF(중복검사!$A5790="",FALSE(),중복검사!$J5790="유지")</f>
        <v>0</v>
      </c>
      <c r="I5792" s="5" t="str">
        <f aca="false">IF($H5792=FALSE(),"",COUNTIF($H$6:$H5792,TRUE()))</f>
        <v/>
      </c>
      <c r="J5792" s="5" t="str">
        <f aca="false">IF($I5792="","","R"&amp;$I5792)</f>
        <v/>
      </c>
    </row>
    <row r="5793" customFormat="false" ht="15" hidden="false" customHeight="true" outlineLevel="0" collapsed="false">
      <c r="H5793" s="14" t="b">
        <f aca="false">IF(중복검사!$A5791="",FALSE(),중복검사!$J5791="유지")</f>
        <v>0</v>
      </c>
      <c r="I5793" s="5" t="str">
        <f aca="false">IF($H5793=FALSE(),"",COUNTIF($H$6:$H5793,TRUE()))</f>
        <v/>
      </c>
      <c r="J5793" s="5" t="str">
        <f aca="false">IF($I5793="","","R"&amp;$I5793)</f>
        <v/>
      </c>
    </row>
    <row r="5794" customFormat="false" ht="15" hidden="false" customHeight="true" outlineLevel="0" collapsed="false">
      <c r="H5794" s="14" t="b">
        <f aca="false">IF(중복검사!$A5792="",FALSE(),중복검사!$J5792="유지")</f>
        <v>0</v>
      </c>
      <c r="I5794" s="5" t="str">
        <f aca="false">IF($H5794=FALSE(),"",COUNTIF($H$6:$H5794,TRUE()))</f>
        <v/>
      </c>
      <c r="J5794" s="5" t="str">
        <f aca="false">IF($I5794="","","R"&amp;$I5794)</f>
        <v/>
      </c>
    </row>
    <row r="5795" customFormat="false" ht="15" hidden="false" customHeight="true" outlineLevel="0" collapsed="false">
      <c r="H5795" s="14" t="b">
        <f aca="false">IF(중복검사!$A5793="",FALSE(),중복검사!$J5793="유지")</f>
        <v>0</v>
      </c>
      <c r="I5795" s="5" t="str">
        <f aca="false">IF($H5795=FALSE(),"",COUNTIF($H$6:$H5795,TRUE()))</f>
        <v/>
      </c>
      <c r="J5795" s="5" t="str">
        <f aca="false">IF($I5795="","","R"&amp;$I5795)</f>
        <v/>
      </c>
    </row>
    <row r="5796" customFormat="false" ht="15" hidden="false" customHeight="true" outlineLevel="0" collapsed="false">
      <c r="H5796" s="14" t="b">
        <f aca="false">IF(중복검사!$A5794="",FALSE(),중복검사!$J5794="유지")</f>
        <v>0</v>
      </c>
      <c r="I5796" s="5" t="str">
        <f aca="false">IF($H5796=FALSE(),"",COUNTIF($H$6:$H5796,TRUE()))</f>
        <v/>
      </c>
      <c r="J5796" s="5" t="str">
        <f aca="false">IF($I5796="","","R"&amp;$I5796)</f>
        <v/>
      </c>
    </row>
    <row r="5797" customFormat="false" ht="15" hidden="false" customHeight="true" outlineLevel="0" collapsed="false">
      <c r="H5797" s="14" t="b">
        <f aca="false">IF(중복검사!$A5795="",FALSE(),중복검사!$J5795="유지")</f>
        <v>0</v>
      </c>
      <c r="I5797" s="5" t="str">
        <f aca="false">IF($H5797=FALSE(),"",COUNTIF($H$6:$H5797,TRUE()))</f>
        <v/>
      </c>
      <c r="J5797" s="5" t="str">
        <f aca="false">IF($I5797="","","R"&amp;$I5797)</f>
        <v/>
      </c>
    </row>
    <row r="5798" customFormat="false" ht="15" hidden="false" customHeight="true" outlineLevel="0" collapsed="false">
      <c r="H5798" s="14" t="b">
        <f aca="false">IF(중복검사!$A5796="",FALSE(),중복검사!$J5796="유지")</f>
        <v>0</v>
      </c>
      <c r="I5798" s="5" t="str">
        <f aca="false">IF($H5798=FALSE(),"",COUNTIF($H$6:$H5798,TRUE()))</f>
        <v/>
      </c>
      <c r="J5798" s="5" t="str">
        <f aca="false">IF($I5798="","","R"&amp;$I5798)</f>
        <v/>
      </c>
    </row>
    <row r="5799" customFormat="false" ht="15" hidden="false" customHeight="true" outlineLevel="0" collapsed="false">
      <c r="H5799" s="14" t="b">
        <f aca="false">IF(중복검사!$A5797="",FALSE(),중복검사!$J5797="유지")</f>
        <v>0</v>
      </c>
      <c r="I5799" s="5" t="str">
        <f aca="false">IF($H5799=FALSE(),"",COUNTIF($H$6:$H5799,TRUE()))</f>
        <v/>
      </c>
      <c r="J5799" s="5" t="str">
        <f aca="false">IF($I5799="","","R"&amp;$I5799)</f>
        <v/>
      </c>
    </row>
    <row r="5800" customFormat="false" ht="15" hidden="false" customHeight="true" outlineLevel="0" collapsed="false">
      <c r="H5800" s="14" t="b">
        <f aca="false">IF(중복검사!$A5798="",FALSE(),중복검사!$J5798="유지")</f>
        <v>0</v>
      </c>
      <c r="I5800" s="5" t="str">
        <f aca="false">IF($H5800=FALSE(),"",COUNTIF($H$6:$H5800,TRUE()))</f>
        <v/>
      </c>
      <c r="J5800" s="5" t="str">
        <f aca="false">IF($I5800="","","R"&amp;$I5800)</f>
        <v/>
      </c>
    </row>
    <row r="5801" customFormat="false" ht="15" hidden="false" customHeight="true" outlineLevel="0" collapsed="false">
      <c r="H5801" s="14" t="b">
        <f aca="false">IF(중복검사!$A5799="",FALSE(),중복검사!$J5799="유지")</f>
        <v>0</v>
      </c>
      <c r="I5801" s="5" t="str">
        <f aca="false">IF($H5801=FALSE(),"",COUNTIF($H$6:$H5801,TRUE()))</f>
        <v/>
      </c>
      <c r="J5801" s="5" t="str">
        <f aca="false">IF($I5801="","","R"&amp;$I5801)</f>
        <v/>
      </c>
    </row>
    <row r="5802" customFormat="false" ht="15" hidden="false" customHeight="true" outlineLevel="0" collapsed="false">
      <c r="H5802" s="14" t="b">
        <f aca="false">IF(중복검사!$A5800="",FALSE(),중복검사!$J5800="유지")</f>
        <v>0</v>
      </c>
      <c r="I5802" s="5" t="str">
        <f aca="false">IF($H5802=FALSE(),"",COUNTIF($H$6:$H5802,TRUE()))</f>
        <v/>
      </c>
      <c r="J5802" s="5" t="str">
        <f aca="false">IF($I5802="","","R"&amp;$I5802)</f>
        <v/>
      </c>
    </row>
    <row r="5803" customFormat="false" ht="15" hidden="false" customHeight="true" outlineLevel="0" collapsed="false">
      <c r="H5803" s="14" t="b">
        <f aca="false">IF(중복검사!$A5801="",FALSE(),중복검사!$J5801="유지")</f>
        <v>0</v>
      </c>
      <c r="I5803" s="5" t="str">
        <f aca="false">IF($H5803=FALSE(),"",COUNTIF($H$6:$H5803,TRUE()))</f>
        <v/>
      </c>
      <c r="J5803" s="5" t="str">
        <f aca="false">IF($I5803="","","R"&amp;$I5803)</f>
        <v/>
      </c>
    </row>
    <row r="5804" customFormat="false" ht="15" hidden="false" customHeight="true" outlineLevel="0" collapsed="false">
      <c r="H5804" s="14" t="b">
        <f aca="false">IF(중복검사!$A5802="",FALSE(),중복검사!$J5802="유지")</f>
        <v>0</v>
      </c>
      <c r="I5804" s="5" t="str">
        <f aca="false">IF($H5804=FALSE(),"",COUNTIF($H$6:$H5804,TRUE()))</f>
        <v/>
      </c>
      <c r="J5804" s="5" t="str">
        <f aca="false">IF($I5804="","","R"&amp;$I5804)</f>
        <v/>
      </c>
    </row>
    <row r="5805" customFormat="false" ht="15" hidden="false" customHeight="true" outlineLevel="0" collapsed="false">
      <c r="H5805" s="14" t="b">
        <f aca="false">IF(중복검사!$A5803="",FALSE(),중복검사!$J5803="유지")</f>
        <v>0</v>
      </c>
      <c r="I5805" s="5" t="str">
        <f aca="false">IF($H5805=FALSE(),"",COUNTIF($H$6:$H5805,TRUE()))</f>
        <v/>
      </c>
      <c r="J5805" s="5" t="str">
        <f aca="false">IF($I5805="","","R"&amp;$I5805)</f>
        <v/>
      </c>
    </row>
    <row r="5806" customFormat="false" ht="15" hidden="false" customHeight="true" outlineLevel="0" collapsed="false">
      <c r="H5806" s="14" t="b">
        <f aca="false">IF(중복검사!$A5804="",FALSE(),중복검사!$J5804="유지")</f>
        <v>0</v>
      </c>
      <c r="I5806" s="5" t="str">
        <f aca="false">IF($H5806=FALSE(),"",COUNTIF($H$6:$H5806,TRUE()))</f>
        <v/>
      </c>
      <c r="J5806" s="5" t="str">
        <f aca="false">IF($I5806="","","R"&amp;$I5806)</f>
        <v/>
      </c>
    </row>
    <row r="5807" customFormat="false" ht="15" hidden="false" customHeight="true" outlineLevel="0" collapsed="false">
      <c r="H5807" s="14" t="b">
        <f aca="false">IF(중복검사!$A5805="",FALSE(),중복검사!$J5805="유지")</f>
        <v>0</v>
      </c>
      <c r="I5807" s="5" t="str">
        <f aca="false">IF($H5807=FALSE(),"",COUNTIF($H$6:$H5807,TRUE()))</f>
        <v/>
      </c>
      <c r="J5807" s="5" t="str">
        <f aca="false">IF($I5807="","","R"&amp;$I5807)</f>
        <v/>
      </c>
    </row>
    <row r="5808" customFormat="false" ht="15" hidden="false" customHeight="true" outlineLevel="0" collapsed="false">
      <c r="H5808" s="14" t="b">
        <f aca="false">IF(중복검사!$A5806="",FALSE(),중복검사!$J5806="유지")</f>
        <v>0</v>
      </c>
      <c r="I5808" s="5" t="str">
        <f aca="false">IF($H5808=FALSE(),"",COUNTIF($H$6:$H5808,TRUE()))</f>
        <v/>
      </c>
      <c r="J5808" s="5" t="str">
        <f aca="false">IF($I5808="","","R"&amp;$I5808)</f>
        <v/>
      </c>
    </row>
    <row r="5809" customFormat="false" ht="15" hidden="false" customHeight="true" outlineLevel="0" collapsed="false">
      <c r="H5809" s="14" t="b">
        <f aca="false">IF(중복검사!$A5807="",FALSE(),중복검사!$J5807="유지")</f>
        <v>0</v>
      </c>
      <c r="I5809" s="5" t="str">
        <f aca="false">IF($H5809=FALSE(),"",COUNTIF($H$6:$H5809,TRUE()))</f>
        <v/>
      </c>
      <c r="J5809" s="5" t="str">
        <f aca="false">IF($I5809="","","R"&amp;$I5809)</f>
        <v/>
      </c>
    </row>
    <row r="5810" customFormat="false" ht="15" hidden="false" customHeight="true" outlineLevel="0" collapsed="false">
      <c r="H5810" s="14" t="b">
        <f aca="false">IF(중복검사!$A5808="",FALSE(),중복검사!$J5808="유지")</f>
        <v>0</v>
      </c>
      <c r="I5810" s="5" t="str">
        <f aca="false">IF($H5810=FALSE(),"",COUNTIF($H$6:$H5810,TRUE()))</f>
        <v/>
      </c>
      <c r="J5810" s="5" t="str">
        <f aca="false">IF($I5810="","","R"&amp;$I5810)</f>
        <v/>
      </c>
    </row>
    <row r="5811" customFormat="false" ht="15" hidden="false" customHeight="true" outlineLevel="0" collapsed="false">
      <c r="H5811" s="14" t="b">
        <f aca="false">IF(중복검사!$A5809="",FALSE(),중복검사!$J5809="유지")</f>
        <v>0</v>
      </c>
      <c r="I5811" s="5" t="str">
        <f aca="false">IF($H5811=FALSE(),"",COUNTIF($H$6:$H5811,TRUE()))</f>
        <v/>
      </c>
      <c r="J5811" s="5" t="str">
        <f aca="false">IF($I5811="","","R"&amp;$I5811)</f>
        <v/>
      </c>
    </row>
    <row r="5812" customFormat="false" ht="15" hidden="false" customHeight="true" outlineLevel="0" collapsed="false">
      <c r="H5812" s="14" t="b">
        <f aca="false">IF(중복검사!$A5810="",FALSE(),중복검사!$J5810="유지")</f>
        <v>0</v>
      </c>
      <c r="I5812" s="5" t="str">
        <f aca="false">IF($H5812=FALSE(),"",COUNTIF($H$6:$H5812,TRUE()))</f>
        <v/>
      </c>
      <c r="J5812" s="5" t="str">
        <f aca="false">IF($I5812="","","R"&amp;$I5812)</f>
        <v/>
      </c>
    </row>
    <row r="5813" customFormat="false" ht="15" hidden="false" customHeight="true" outlineLevel="0" collapsed="false">
      <c r="H5813" s="14" t="b">
        <f aca="false">IF(중복검사!$A5811="",FALSE(),중복검사!$J5811="유지")</f>
        <v>0</v>
      </c>
      <c r="I5813" s="5" t="str">
        <f aca="false">IF($H5813=FALSE(),"",COUNTIF($H$6:$H5813,TRUE()))</f>
        <v/>
      </c>
      <c r="J5813" s="5" t="str">
        <f aca="false">IF($I5813="","","R"&amp;$I5813)</f>
        <v/>
      </c>
    </row>
    <row r="5814" customFormat="false" ht="15" hidden="false" customHeight="true" outlineLevel="0" collapsed="false">
      <c r="H5814" s="14" t="b">
        <f aca="false">IF(중복검사!$A5812="",FALSE(),중복검사!$J5812="유지")</f>
        <v>0</v>
      </c>
      <c r="I5814" s="5" t="str">
        <f aca="false">IF($H5814=FALSE(),"",COUNTIF($H$6:$H5814,TRUE()))</f>
        <v/>
      </c>
      <c r="J5814" s="5" t="str">
        <f aca="false">IF($I5814="","","R"&amp;$I5814)</f>
        <v/>
      </c>
    </row>
    <row r="5815" customFormat="false" ht="15" hidden="false" customHeight="true" outlineLevel="0" collapsed="false">
      <c r="H5815" s="14" t="b">
        <f aca="false">IF(중복검사!$A5813="",FALSE(),중복검사!$J5813="유지")</f>
        <v>0</v>
      </c>
      <c r="I5815" s="5" t="str">
        <f aca="false">IF($H5815=FALSE(),"",COUNTIF($H$6:$H5815,TRUE()))</f>
        <v/>
      </c>
      <c r="J5815" s="5" t="str">
        <f aca="false">IF($I5815="","","R"&amp;$I5815)</f>
        <v/>
      </c>
    </row>
    <row r="5816" customFormat="false" ht="15" hidden="false" customHeight="true" outlineLevel="0" collapsed="false">
      <c r="H5816" s="14" t="b">
        <f aca="false">IF(중복검사!$A5814="",FALSE(),중복검사!$J5814="유지")</f>
        <v>0</v>
      </c>
      <c r="I5816" s="5" t="str">
        <f aca="false">IF($H5816=FALSE(),"",COUNTIF($H$6:$H5816,TRUE()))</f>
        <v/>
      </c>
      <c r="J5816" s="5" t="str">
        <f aca="false">IF($I5816="","","R"&amp;$I5816)</f>
        <v/>
      </c>
    </row>
    <row r="5817" customFormat="false" ht="15" hidden="false" customHeight="true" outlineLevel="0" collapsed="false">
      <c r="H5817" s="14" t="b">
        <f aca="false">IF(중복검사!$A5815="",FALSE(),중복검사!$J5815="유지")</f>
        <v>0</v>
      </c>
      <c r="I5817" s="5" t="str">
        <f aca="false">IF($H5817=FALSE(),"",COUNTIF($H$6:$H5817,TRUE()))</f>
        <v/>
      </c>
      <c r="J5817" s="5" t="str">
        <f aca="false">IF($I5817="","","R"&amp;$I5817)</f>
        <v/>
      </c>
    </row>
    <row r="5818" customFormat="false" ht="15" hidden="false" customHeight="true" outlineLevel="0" collapsed="false">
      <c r="H5818" s="14" t="b">
        <f aca="false">IF(중복검사!$A5816="",FALSE(),중복검사!$J5816="유지")</f>
        <v>0</v>
      </c>
      <c r="I5818" s="5" t="str">
        <f aca="false">IF($H5818=FALSE(),"",COUNTIF($H$6:$H5818,TRUE()))</f>
        <v/>
      </c>
      <c r="J5818" s="5" t="str">
        <f aca="false">IF($I5818="","","R"&amp;$I5818)</f>
        <v/>
      </c>
    </row>
    <row r="5819" customFormat="false" ht="15" hidden="false" customHeight="true" outlineLevel="0" collapsed="false">
      <c r="H5819" s="14" t="b">
        <f aca="false">IF(중복검사!$A5817="",FALSE(),중복검사!$J5817="유지")</f>
        <v>0</v>
      </c>
      <c r="I5819" s="5" t="str">
        <f aca="false">IF($H5819=FALSE(),"",COUNTIF($H$6:$H5819,TRUE()))</f>
        <v/>
      </c>
      <c r="J5819" s="5" t="str">
        <f aca="false">IF($I5819="","","R"&amp;$I5819)</f>
        <v/>
      </c>
    </row>
    <row r="5820" customFormat="false" ht="15" hidden="false" customHeight="true" outlineLevel="0" collapsed="false">
      <c r="H5820" s="14" t="b">
        <f aca="false">IF(중복검사!$A5818="",FALSE(),중복검사!$J5818="유지")</f>
        <v>0</v>
      </c>
      <c r="I5820" s="5" t="str">
        <f aca="false">IF($H5820=FALSE(),"",COUNTIF($H$6:$H5820,TRUE()))</f>
        <v/>
      </c>
      <c r="J5820" s="5" t="str">
        <f aca="false">IF($I5820="","","R"&amp;$I5820)</f>
        <v/>
      </c>
    </row>
    <row r="5821" customFormat="false" ht="15" hidden="false" customHeight="true" outlineLevel="0" collapsed="false">
      <c r="H5821" s="14" t="b">
        <f aca="false">IF(중복검사!$A5819="",FALSE(),중복검사!$J5819="유지")</f>
        <v>0</v>
      </c>
      <c r="I5821" s="5" t="str">
        <f aca="false">IF($H5821=FALSE(),"",COUNTIF($H$6:$H5821,TRUE()))</f>
        <v/>
      </c>
      <c r="J5821" s="5" t="str">
        <f aca="false">IF($I5821="","","R"&amp;$I5821)</f>
        <v/>
      </c>
    </row>
    <row r="5822" customFormat="false" ht="15" hidden="false" customHeight="true" outlineLevel="0" collapsed="false">
      <c r="H5822" s="14" t="b">
        <f aca="false">IF(중복검사!$A5820="",FALSE(),중복검사!$J5820="유지")</f>
        <v>0</v>
      </c>
      <c r="I5822" s="5" t="str">
        <f aca="false">IF($H5822=FALSE(),"",COUNTIF($H$6:$H5822,TRUE()))</f>
        <v/>
      </c>
      <c r="J5822" s="5" t="str">
        <f aca="false">IF($I5822="","","R"&amp;$I5822)</f>
        <v/>
      </c>
    </row>
    <row r="5823" customFormat="false" ht="15" hidden="false" customHeight="true" outlineLevel="0" collapsed="false">
      <c r="H5823" s="14" t="b">
        <f aca="false">IF(중복검사!$A5821="",FALSE(),중복검사!$J5821="유지")</f>
        <v>0</v>
      </c>
      <c r="I5823" s="5" t="str">
        <f aca="false">IF($H5823=FALSE(),"",COUNTIF($H$6:$H5823,TRUE()))</f>
        <v/>
      </c>
      <c r="J5823" s="5" t="str">
        <f aca="false">IF($I5823="","","R"&amp;$I5823)</f>
        <v/>
      </c>
    </row>
    <row r="5824" customFormat="false" ht="15" hidden="false" customHeight="true" outlineLevel="0" collapsed="false">
      <c r="H5824" s="14" t="b">
        <f aca="false">IF(중복검사!$A5822="",FALSE(),중복검사!$J5822="유지")</f>
        <v>0</v>
      </c>
      <c r="I5824" s="5" t="str">
        <f aca="false">IF($H5824=FALSE(),"",COUNTIF($H$6:$H5824,TRUE()))</f>
        <v/>
      </c>
      <c r="J5824" s="5" t="str">
        <f aca="false">IF($I5824="","","R"&amp;$I5824)</f>
        <v/>
      </c>
    </row>
    <row r="5825" customFormat="false" ht="15" hidden="false" customHeight="true" outlineLevel="0" collapsed="false">
      <c r="H5825" s="14" t="b">
        <f aca="false">IF(중복검사!$A5823="",FALSE(),중복검사!$J5823="유지")</f>
        <v>0</v>
      </c>
      <c r="I5825" s="5" t="str">
        <f aca="false">IF($H5825=FALSE(),"",COUNTIF($H$6:$H5825,TRUE()))</f>
        <v/>
      </c>
      <c r="J5825" s="5" t="str">
        <f aca="false">IF($I5825="","","R"&amp;$I5825)</f>
        <v/>
      </c>
    </row>
    <row r="5826" customFormat="false" ht="15" hidden="false" customHeight="true" outlineLevel="0" collapsed="false">
      <c r="H5826" s="14" t="b">
        <f aca="false">IF(중복검사!$A5824="",FALSE(),중복검사!$J5824="유지")</f>
        <v>0</v>
      </c>
      <c r="I5826" s="5" t="str">
        <f aca="false">IF($H5826=FALSE(),"",COUNTIF($H$6:$H5826,TRUE()))</f>
        <v/>
      </c>
      <c r="J5826" s="5" t="str">
        <f aca="false">IF($I5826="","","R"&amp;$I5826)</f>
        <v/>
      </c>
    </row>
    <row r="5827" customFormat="false" ht="15" hidden="false" customHeight="true" outlineLevel="0" collapsed="false">
      <c r="H5827" s="14" t="b">
        <f aca="false">IF(중복검사!$A5825="",FALSE(),중복검사!$J5825="유지")</f>
        <v>0</v>
      </c>
      <c r="I5827" s="5" t="str">
        <f aca="false">IF($H5827=FALSE(),"",COUNTIF($H$6:$H5827,TRUE()))</f>
        <v/>
      </c>
      <c r="J5827" s="5" t="str">
        <f aca="false">IF($I5827="","","R"&amp;$I5827)</f>
        <v/>
      </c>
    </row>
    <row r="5828" customFormat="false" ht="15" hidden="false" customHeight="true" outlineLevel="0" collapsed="false">
      <c r="H5828" s="14" t="b">
        <f aca="false">IF(중복검사!$A5826="",FALSE(),중복검사!$J5826="유지")</f>
        <v>0</v>
      </c>
      <c r="I5828" s="5" t="str">
        <f aca="false">IF($H5828=FALSE(),"",COUNTIF($H$6:$H5828,TRUE()))</f>
        <v/>
      </c>
      <c r="J5828" s="5" t="str">
        <f aca="false">IF($I5828="","","R"&amp;$I5828)</f>
        <v/>
      </c>
    </row>
    <row r="5829" customFormat="false" ht="15" hidden="false" customHeight="true" outlineLevel="0" collapsed="false">
      <c r="H5829" s="14" t="b">
        <f aca="false">IF(중복검사!$A5827="",FALSE(),중복검사!$J5827="유지")</f>
        <v>0</v>
      </c>
      <c r="I5829" s="5" t="str">
        <f aca="false">IF($H5829=FALSE(),"",COUNTIF($H$6:$H5829,TRUE()))</f>
        <v/>
      </c>
      <c r="J5829" s="5" t="str">
        <f aca="false">IF($I5829="","","R"&amp;$I5829)</f>
        <v/>
      </c>
    </row>
    <row r="5830" customFormat="false" ht="15" hidden="false" customHeight="true" outlineLevel="0" collapsed="false">
      <c r="H5830" s="14" t="b">
        <f aca="false">IF(중복검사!$A5828="",FALSE(),중복검사!$J5828="유지")</f>
        <v>0</v>
      </c>
      <c r="I5830" s="5" t="str">
        <f aca="false">IF($H5830=FALSE(),"",COUNTIF($H$6:$H5830,TRUE()))</f>
        <v/>
      </c>
      <c r="J5830" s="5" t="str">
        <f aca="false">IF($I5830="","","R"&amp;$I5830)</f>
        <v/>
      </c>
    </row>
    <row r="5831" customFormat="false" ht="15" hidden="false" customHeight="true" outlineLevel="0" collapsed="false">
      <c r="H5831" s="14" t="b">
        <f aca="false">IF(중복검사!$A5829="",FALSE(),중복검사!$J5829="유지")</f>
        <v>0</v>
      </c>
      <c r="I5831" s="5" t="str">
        <f aca="false">IF($H5831=FALSE(),"",COUNTIF($H$6:$H5831,TRUE()))</f>
        <v/>
      </c>
      <c r="J5831" s="5" t="str">
        <f aca="false">IF($I5831="","","R"&amp;$I5831)</f>
        <v/>
      </c>
    </row>
    <row r="5832" customFormat="false" ht="15" hidden="false" customHeight="true" outlineLevel="0" collapsed="false">
      <c r="H5832" s="14" t="b">
        <f aca="false">IF(중복검사!$A5830="",FALSE(),중복검사!$J5830="유지")</f>
        <v>0</v>
      </c>
      <c r="I5832" s="5" t="str">
        <f aca="false">IF($H5832=FALSE(),"",COUNTIF($H$6:$H5832,TRUE()))</f>
        <v/>
      </c>
      <c r="J5832" s="5" t="str">
        <f aca="false">IF($I5832="","","R"&amp;$I5832)</f>
        <v/>
      </c>
    </row>
    <row r="5833" customFormat="false" ht="15" hidden="false" customHeight="true" outlineLevel="0" collapsed="false">
      <c r="H5833" s="14" t="b">
        <f aca="false">IF(중복검사!$A5831="",FALSE(),중복검사!$J5831="유지")</f>
        <v>0</v>
      </c>
      <c r="I5833" s="5" t="str">
        <f aca="false">IF($H5833=FALSE(),"",COUNTIF($H$6:$H5833,TRUE()))</f>
        <v/>
      </c>
      <c r="J5833" s="5" t="str">
        <f aca="false">IF($I5833="","","R"&amp;$I5833)</f>
        <v/>
      </c>
    </row>
    <row r="5834" customFormat="false" ht="15" hidden="false" customHeight="true" outlineLevel="0" collapsed="false">
      <c r="H5834" s="14" t="b">
        <f aca="false">IF(중복검사!$A5832="",FALSE(),중복검사!$J5832="유지")</f>
        <v>0</v>
      </c>
      <c r="I5834" s="5" t="str">
        <f aca="false">IF($H5834=FALSE(),"",COUNTIF($H$6:$H5834,TRUE()))</f>
        <v/>
      </c>
      <c r="J5834" s="5" t="str">
        <f aca="false">IF($I5834="","","R"&amp;$I5834)</f>
        <v/>
      </c>
    </row>
    <row r="5835" customFormat="false" ht="15" hidden="false" customHeight="true" outlineLevel="0" collapsed="false">
      <c r="H5835" s="14" t="b">
        <f aca="false">IF(중복검사!$A5833="",FALSE(),중복검사!$J5833="유지")</f>
        <v>0</v>
      </c>
      <c r="I5835" s="5" t="str">
        <f aca="false">IF($H5835=FALSE(),"",COUNTIF($H$6:$H5835,TRUE()))</f>
        <v/>
      </c>
      <c r="J5835" s="5" t="str">
        <f aca="false">IF($I5835="","","R"&amp;$I5835)</f>
        <v/>
      </c>
    </row>
    <row r="5836" customFormat="false" ht="15" hidden="false" customHeight="true" outlineLevel="0" collapsed="false">
      <c r="H5836" s="14" t="b">
        <f aca="false">IF(중복검사!$A5834="",FALSE(),중복검사!$J5834="유지")</f>
        <v>0</v>
      </c>
      <c r="I5836" s="5" t="str">
        <f aca="false">IF($H5836=FALSE(),"",COUNTIF($H$6:$H5836,TRUE()))</f>
        <v/>
      </c>
      <c r="J5836" s="5" t="str">
        <f aca="false">IF($I5836="","","R"&amp;$I5836)</f>
        <v/>
      </c>
    </row>
    <row r="5837" customFormat="false" ht="15" hidden="false" customHeight="true" outlineLevel="0" collapsed="false">
      <c r="H5837" s="14" t="b">
        <f aca="false">IF(중복검사!$A5835="",FALSE(),중복검사!$J5835="유지")</f>
        <v>0</v>
      </c>
      <c r="I5837" s="5" t="str">
        <f aca="false">IF($H5837=FALSE(),"",COUNTIF($H$6:$H5837,TRUE()))</f>
        <v/>
      </c>
      <c r="J5837" s="5" t="str">
        <f aca="false">IF($I5837="","","R"&amp;$I5837)</f>
        <v/>
      </c>
    </row>
    <row r="5838" customFormat="false" ht="15" hidden="false" customHeight="true" outlineLevel="0" collapsed="false">
      <c r="H5838" s="14" t="b">
        <f aca="false">IF(중복검사!$A5836="",FALSE(),중복검사!$J5836="유지")</f>
        <v>0</v>
      </c>
      <c r="I5838" s="5" t="str">
        <f aca="false">IF($H5838=FALSE(),"",COUNTIF($H$6:$H5838,TRUE()))</f>
        <v/>
      </c>
      <c r="J5838" s="5" t="str">
        <f aca="false">IF($I5838="","","R"&amp;$I5838)</f>
        <v/>
      </c>
    </row>
    <row r="5839" customFormat="false" ht="15" hidden="false" customHeight="true" outlineLevel="0" collapsed="false">
      <c r="H5839" s="14" t="b">
        <f aca="false">IF(중복검사!$A5837="",FALSE(),중복검사!$J5837="유지")</f>
        <v>0</v>
      </c>
      <c r="I5839" s="5" t="str">
        <f aca="false">IF($H5839=FALSE(),"",COUNTIF($H$6:$H5839,TRUE()))</f>
        <v/>
      </c>
      <c r="J5839" s="5" t="str">
        <f aca="false">IF($I5839="","","R"&amp;$I5839)</f>
        <v/>
      </c>
    </row>
    <row r="5840" customFormat="false" ht="15" hidden="false" customHeight="true" outlineLevel="0" collapsed="false">
      <c r="H5840" s="14" t="b">
        <f aca="false">IF(중복검사!$A5838="",FALSE(),중복검사!$J5838="유지")</f>
        <v>0</v>
      </c>
      <c r="I5840" s="5" t="str">
        <f aca="false">IF($H5840=FALSE(),"",COUNTIF($H$6:$H5840,TRUE()))</f>
        <v/>
      </c>
      <c r="J5840" s="5" t="str">
        <f aca="false">IF($I5840="","","R"&amp;$I5840)</f>
        <v/>
      </c>
    </row>
    <row r="5841" customFormat="false" ht="15" hidden="false" customHeight="true" outlineLevel="0" collapsed="false">
      <c r="H5841" s="14" t="b">
        <f aca="false">IF(중복검사!$A5839="",FALSE(),중복검사!$J5839="유지")</f>
        <v>0</v>
      </c>
      <c r="I5841" s="5" t="str">
        <f aca="false">IF($H5841=FALSE(),"",COUNTIF($H$6:$H5841,TRUE()))</f>
        <v/>
      </c>
      <c r="J5841" s="5" t="str">
        <f aca="false">IF($I5841="","","R"&amp;$I5841)</f>
        <v/>
      </c>
    </row>
    <row r="5842" customFormat="false" ht="15" hidden="false" customHeight="true" outlineLevel="0" collapsed="false">
      <c r="H5842" s="14" t="b">
        <f aca="false">IF(중복검사!$A5840="",FALSE(),중복검사!$J5840="유지")</f>
        <v>0</v>
      </c>
      <c r="I5842" s="5" t="str">
        <f aca="false">IF($H5842=FALSE(),"",COUNTIF($H$6:$H5842,TRUE()))</f>
        <v/>
      </c>
      <c r="J5842" s="5" t="str">
        <f aca="false">IF($I5842="","","R"&amp;$I5842)</f>
        <v/>
      </c>
    </row>
    <row r="5843" customFormat="false" ht="15" hidden="false" customHeight="true" outlineLevel="0" collapsed="false">
      <c r="H5843" s="14" t="b">
        <f aca="false">IF(중복검사!$A5841="",FALSE(),중복검사!$J5841="유지")</f>
        <v>0</v>
      </c>
      <c r="I5843" s="5" t="str">
        <f aca="false">IF($H5843=FALSE(),"",COUNTIF($H$6:$H5843,TRUE()))</f>
        <v/>
      </c>
      <c r="J5843" s="5" t="str">
        <f aca="false">IF($I5843="","","R"&amp;$I5843)</f>
        <v/>
      </c>
    </row>
    <row r="5844" customFormat="false" ht="15" hidden="false" customHeight="true" outlineLevel="0" collapsed="false">
      <c r="H5844" s="14" t="b">
        <f aca="false">IF(중복검사!$A5842="",FALSE(),중복검사!$J5842="유지")</f>
        <v>0</v>
      </c>
      <c r="I5844" s="5" t="str">
        <f aca="false">IF($H5844=FALSE(),"",COUNTIF($H$6:$H5844,TRUE()))</f>
        <v/>
      </c>
      <c r="J5844" s="5" t="str">
        <f aca="false">IF($I5844="","","R"&amp;$I5844)</f>
        <v/>
      </c>
    </row>
    <row r="5845" customFormat="false" ht="15" hidden="false" customHeight="true" outlineLevel="0" collapsed="false">
      <c r="H5845" s="14" t="b">
        <f aca="false">IF(중복검사!$A5843="",FALSE(),중복검사!$J5843="유지")</f>
        <v>0</v>
      </c>
      <c r="I5845" s="5" t="str">
        <f aca="false">IF($H5845=FALSE(),"",COUNTIF($H$6:$H5845,TRUE()))</f>
        <v/>
      </c>
      <c r="J5845" s="5" t="str">
        <f aca="false">IF($I5845="","","R"&amp;$I5845)</f>
        <v/>
      </c>
    </row>
    <row r="5846" customFormat="false" ht="15" hidden="false" customHeight="true" outlineLevel="0" collapsed="false">
      <c r="H5846" s="14" t="b">
        <f aca="false">IF(중복검사!$A5844="",FALSE(),중복검사!$J5844="유지")</f>
        <v>0</v>
      </c>
      <c r="I5846" s="5" t="str">
        <f aca="false">IF($H5846=FALSE(),"",COUNTIF($H$6:$H5846,TRUE()))</f>
        <v/>
      </c>
      <c r="J5846" s="5" t="str">
        <f aca="false">IF($I5846="","","R"&amp;$I5846)</f>
        <v/>
      </c>
    </row>
    <row r="5847" customFormat="false" ht="15" hidden="false" customHeight="true" outlineLevel="0" collapsed="false">
      <c r="H5847" s="14" t="b">
        <f aca="false">IF(중복검사!$A5845="",FALSE(),중복검사!$J5845="유지")</f>
        <v>0</v>
      </c>
      <c r="I5847" s="5" t="str">
        <f aca="false">IF($H5847=FALSE(),"",COUNTIF($H$6:$H5847,TRUE()))</f>
        <v/>
      </c>
      <c r="J5847" s="5" t="str">
        <f aca="false">IF($I5847="","","R"&amp;$I5847)</f>
        <v/>
      </c>
    </row>
    <row r="5848" customFormat="false" ht="15" hidden="false" customHeight="true" outlineLevel="0" collapsed="false">
      <c r="H5848" s="14" t="b">
        <f aca="false">IF(중복검사!$A5846="",FALSE(),중복검사!$J5846="유지")</f>
        <v>0</v>
      </c>
      <c r="I5848" s="5" t="str">
        <f aca="false">IF($H5848=FALSE(),"",COUNTIF($H$6:$H5848,TRUE()))</f>
        <v/>
      </c>
      <c r="J5848" s="5" t="str">
        <f aca="false">IF($I5848="","","R"&amp;$I5848)</f>
        <v/>
      </c>
    </row>
    <row r="5849" customFormat="false" ht="15" hidden="false" customHeight="true" outlineLevel="0" collapsed="false">
      <c r="H5849" s="14" t="b">
        <f aca="false">IF(중복검사!$A5847="",FALSE(),중복검사!$J5847="유지")</f>
        <v>0</v>
      </c>
      <c r="I5849" s="5" t="str">
        <f aca="false">IF($H5849=FALSE(),"",COUNTIF($H$6:$H5849,TRUE()))</f>
        <v/>
      </c>
      <c r="J5849" s="5" t="str">
        <f aca="false">IF($I5849="","","R"&amp;$I5849)</f>
        <v/>
      </c>
    </row>
    <row r="5850" customFormat="false" ht="15" hidden="false" customHeight="true" outlineLevel="0" collapsed="false">
      <c r="H5850" s="14" t="b">
        <f aca="false">IF(중복검사!$A5848="",FALSE(),중복검사!$J5848="유지")</f>
        <v>0</v>
      </c>
      <c r="I5850" s="5" t="str">
        <f aca="false">IF($H5850=FALSE(),"",COUNTIF($H$6:$H5850,TRUE()))</f>
        <v/>
      </c>
      <c r="J5850" s="5" t="str">
        <f aca="false">IF($I5850="","","R"&amp;$I5850)</f>
        <v/>
      </c>
    </row>
    <row r="5851" customFormat="false" ht="15" hidden="false" customHeight="true" outlineLevel="0" collapsed="false">
      <c r="H5851" s="14" t="b">
        <f aca="false">IF(중복검사!$A5849="",FALSE(),중복검사!$J5849="유지")</f>
        <v>0</v>
      </c>
      <c r="I5851" s="5" t="str">
        <f aca="false">IF($H5851=FALSE(),"",COUNTIF($H$6:$H5851,TRUE()))</f>
        <v/>
      </c>
      <c r="J5851" s="5" t="str">
        <f aca="false">IF($I5851="","","R"&amp;$I5851)</f>
        <v/>
      </c>
    </row>
    <row r="5852" customFormat="false" ht="15" hidden="false" customHeight="true" outlineLevel="0" collapsed="false">
      <c r="H5852" s="14" t="b">
        <f aca="false">IF(중복검사!$A5850="",FALSE(),중복검사!$J5850="유지")</f>
        <v>0</v>
      </c>
      <c r="I5852" s="5" t="str">
        <f aca="false">IF($H5852=FALSE(),"",COUNTIF($H$6:$H5852,TRUE()))</f>
        <v/>
      </c>
      <c r="J5852" s="5" t="str">
        <f aca="false">IF($I5852="","","R"&amp;$I5852)</f>
        <v/>
      </c>
    </row>
    <row r="5853" customFormat="false" ht="15" hidden="false" customHeight="true" outlineLevel="0" collapsed="false">
      <c r="H5853" s="14" t="b">
        <f aca="false">IF(중복검사!$A5851="",FALSE(),중복검사!$J5851="유지")</f>
        <v>0</v>
      </c>
      <c r="I5853" s="5" t="str">
        <f aca="false">IF($H5853=FALSE(),"",COUNTIF($H$6:$H5853,TRUE()))</f>
        <v/>
      </c>
      <c r="J5853" s="5" t="str">
        <f aca="false">IF($I5853="","","R"&amp;$I5853)</f>
        <v/>
      </c>
    </row>
    <row r="5854" customFormat="false" ht="15" hidden="false" customHeight="true" outlineLevel="0" collapsed="false">
      <c r="H5854" s="14" t="b">
        <f aca="false">IF(중복검사!$A5852="",FALSE(),중복검사!$J5852="유지")</f>
        <v>0</v>
      </c>
      <c r="I5854" s="5" t="str">
        <f aca="false">IF($H5854=FALSE(),"",COUNTIF($H$6:$H5854,TRUE()))</f>
        <v/>
      </c>
      <c r="J5854" s="5" t="str">
        <f aca="false">IF($I5854="","","R"&amp;$I5854)</f>
        <v/>
      </c>
    </row>
    <row r="5855" customFormat="false" ht="15" hidden="false" customHeight="true" outlineLevel="0" collapsed="false">
      <c r="H5855" s="14" t="b">
        <f aca="false">IF(중복검사!$A5853="",FALSE(),중복검사!$J5853="유지")</f>
        <v>0</v>
      </c>
      <c r="I5855" s="5" t="str">
        <f aca="false">IF($H5855=FALSE(),"",COUNTIF($H$6:$H5855,TRUE()))</f>
        <v/>
      </c>
      <c r="J5855" s="5" t="str">
        <f aca="false">IF($I5855="","","R"&amp;$I5855)</f>
        <v/>
      </c>
    </row>
    <row r="5856" customFormat="false" ht="15" hidden="false" customHeight="true" outlineLevel="0" collapsed="false">
      <c r="H5856" s="14" t="b">
        <f aca="false">IF(중복검사!$A5854="",FALSE(),중복검사!$J5854="유지")</f>
        <v>0</v>
      </c>
      <c r="I5856" s="5" t="str">
        <f aca="false">IF($H5856=FALSE(),"",COUNTIF($H$6:$H5856,TRUE()))</f>
        <v/>
      </c>
      <c r="J5856" s="5" t="str">
        <f aca="false">IF($I5856="","","R"&amp;$I5856)</f>
        <v/>
      </c>
    </row>
    <row r="5857" customFormat="false" ht="15" hidden="false" customHeight="true" outlineLevel="0" collapsed="false">
      <c r="H5857" s="14" t="b">
        <f aca="false">IF(중복검사!$A5855="",FALSE(),중복검사!$J5855="유지")</f>
        <v>0</v>
      </c>
      <c r="I5857" s="5" t="str">
        <f aca="false">IF($H5857=FALSE(),"",COUNTIF($H$6:$H5857,TRUE()))</f>
        <v/>
      </c>
      <c r="J5857" s="5" t="str">
        <f aca="false">IF($I5857="","","R"&amp;$I5857)</f>
        <v/>
      </c>
    </row>
    <row r="5858" customFormat="false" ht="15" hidden="false" customHeight="true" outlineLevel="0" collapsed="false">
      <c r="H5858" s="14" t="b">
        <f aca="false">IF(중복검사!$A5856="",FALSE(),중복검사!$J5856="유지")</f>
        <v>0</v>
      </c>
      <c r="I5858" s="5" t="str">
        <f aca="false">IF($H5858=FALSE(),"",COUNTIF($H$6:$H5858,TRUE()))</f>
        <v/>
      </c>
      <c r="J5858" s="5" t="str">
        <f aca="false">IF($I5858="","","R"&amp;$I5858)</f>
        <v/>
      </c>
    </row>
    <row r="5859" customFormat="false" ht="15" hidden="false" customHeight="true" outlineLevel="0" collapsed="false">
      <c r="H5859" s="14" t="b">
        <f aca="false">IF(중복검사!$A5857="",FALSE(),중복검사!$J5857="유지")</f>
        <v>0</v>
      </c>
      <c r="I5859" s="5" t="str">
        <f aca="false">IF($H5859=FALSE(),"",COUNTIF($H$6:$H5859,TRUE()))</f>
        <v/>
      </c>
      <c r="J5859" s="5" t="str">
        <f aca="false">IF($I5859="","","R"&amp;$I5859)</f>
        <v/>
      </c>
    </row>
    <row r="5860" customFormat="false" ht="15" hidden="false" customHeight="true" outlineLevel="0" collapsed="false">
      <c r="H5860" s="14" t="b">
        <f aca="false">IF(중복검사!$A5858="",FALSE(),중복검사!$J5858="유지")</f>
        <v>0</v>
      </c>
      <c r="I5860" s="5" t="str">
        <f aca="false">IF($H5860=FALSE(),"",COUNTIF($H$6:$H5860,TRUE()))</f>
        <v/>
      </c>
      <c r="J5860" s="5" t="str">
        <f aca="false">IF($I5860="","","R"&amp;$I5860)</f>
        <v/>
      </c>
    </row>
    <row r="5861" customFormat="false" ht="15" hidden="false" customHeight="true" outlineLevel="0" collapsed="false">
      <c r="H5861" s="14" t="b">
        <f aca="false">IF(중복검사!$A5859="",FALSE(),중복검사!$J5859="유지")</f>
        <v>0</v>
      </c>
      <c r="I5861" s="5" t="str">
        <f aca="false">IF($H5861=FALSE(),"",COUNTIF($H$6:$H5861,TRUE()))</f>
        <v/>
      </c>
      <c r="J5861" s="5" t="str">
        <f aca="false">IF($I5861="","","R"&amp;$I5861)</f>
        <v/>
      </c>
    </row>
    <row r="5862" customFormat="false" ht="15" hidden="false" customHeight="true" outlineLevel="0" collapsed="false">
      <c r="H5862" s="14" t="b">
        <f aca="false">IF(중복검사!$A5860="",FALSE(),중복검사!$J5860="유지")</f>
        <v>0</v>
      </c>
      <c r="I5862" s="5" t="str">
        <f aca="false">IF($H5862=FALSE(),"",COUNTIF($H$6:$H5862,TRUE()))</f>
        <v/>
      </c>
      <c r="J5862" s="5" t="str">
        <f aca="false">IF($I5862="","","R"&amp;$I5862)</f>
        <v/>
      </c>
    </row>
    <row r="5863" customFormat="false" ht="15" hidden="false" customHeight="true" outlineLevel="0" collapsed="false">
      <c r="H5863" s="14" t="b">
        <f aca="false">IF(중복검사!$A5861="",FALSE(),중복검사!$J5861="유지")</f>
        <v>0</v>
      </c>
      <c r="I5863" s="5" t="str">
        <f aca="false">IF($H5863=FALSE(),"",COUNTIF($H$6:$H5863,TRUE()))</f>
        <v/>
      </c>
      <c r="J5863" s="5" t="str">
        <f aca="false">IF($I5863="","","R"&amp;$I5863)</f>
        <v/>
      </c>
    </row>
    <row r="5864" customFormat="false" ht="15" hidden="false" customHeight="true" outlineLevel="0" collapsed="false">
      <c r="H5864" s="14" t="b">
        <f aca="false">IF(중복검사!$A5862="",FALSE(),중복검사!$J5862="유지")</f>
        <v>0</v>
      </c>
      <c r="I5864" s="5" t="str">
        <f aca="false">IF($H5864=FALSE(),"",COUNTIF($H$6:$H5864,TRUE()))</f>
        <v/>
      </c>
      <c r="J5864" s="5" t="str">
        <f aca="false">IF($I5864="","","R"&amp;$I5864)</f>
        <v/>
      </c>
    </row>
    <row r="5865" customFormat="false" ht="15" hidden="false" customHeight="true" outlineLevel="0" collapsed="false">
      <c r="H5865" s="14" t="b">
        <f aca="false">IF(중복검사!$A5863="",FALSE(),중복검사!$J5863="유지")</f>
        <v>0</v>
      </c>
      <c r="I5865" s="5" t="str">
        <f aca="false">IF($H5865=FALSE(),"",COUNTIF($H$6:$H5865,TRUE()))</f>
        <v/>
      </c>
      <c r="J5865" s="5" t="str">
        <f aca="false">IF($I5865="","","R"&amp;$I5865)</f>
        <v/>
      </c>
    </row>
    <row r="5866" customFormat="false" ht="15" hidden="false" customHeight="true" outlineLevel="0" collapsed="false">
      <c r="H5866" s="14" t="b">
        <f aca="false">IF(중복검사!$A5864="",FALSE(),중복검사!$J5864="유지")</f>
        <v>0</v>
      </c>
      <c r="I5866" s="5" t="str">
        <f aca="false">IF($H5866=FALSE(),"",COUNTIF($H$6:$H5866,TRUE()))</f>
        <v/>
      </c>
      <c r="J5866" s="5" t="str">
        <f aca="false">IF($I5866="","","R"&amp;$I5866)</f>
        <v/>
      </c>
    </row>
    <row r="5867" customFormat="false" ht="15" hidden="false" customHeight="true" outlineLevel="0" collapsed="false">
      <c r="H5867" s="14" t="b">
        <f aca="false">IF(중복검사!$A5865="",FALSE(),중복검사!$J5865="유지")</f>
        <v>0</v>
      </c>
      <c r="I5867" s="5" t="str">
        <f aca="false">IF($H5867=FALSE(),"",COUNTIF($H$6:$H5867,TRUE()))</f>
        <v/>
      </c>
      <c r="J5867" s="5" t="str">
        <f aca="false">IF($I5867="","","R"&amp;$I5867)</f>
        <v/>
      </c>
    </row>
    <row r="5868" customFormat="false" ht="15" hidden="false" customHeight="true" outlineLevel="0" collapsed="false">
      <c r="H5868" s="14" t="b">
        <f aca="false">IF(중복검사!$A5866="",FALSE(),중복검사!$J5866="유지")</f>
        <v>0</v>
      </c>
      <c r="I5868" s="5" t="str">
        <f aca="false">IF($H5868=FALSE(),"",COUNTIF($H$6:$H5868,TRUE()))</f>
        <v/>
      </c>
      <c r="J5868" s="5" t="str">
        <f aca="false">IF($I5868="","","R"&amp;$I5868)</f>
        <v/>
      </c>
    </row>
    <row r="5869" customFormat="false" ht="15" hidden="false" customHeight="true" outlineLevel="0" collapsed="false">
      <c r="H5869" s="14" t="b">
        <f aca="false">IF(중복검사!$A5867="",FALSE(),중복검사!$J5867="유지")</f>
        <v>0</v>
      </c>
      <c r="I5869" s="5" t="str">
        <f aca="false">IF($H5869=FALSE(),"",COUNTIF($H$6:$H5869,TRUE()))</f>
        <v/>
      </c>
      <c r="J5869" s="5" t="str">
        <f aca="false">IF($I5869="","","R"&amp;$I5869)</f>
        <v/>
      </c>
    </row>
    <row r="5870" customFormat="false" ht="15" hidden="false" customHeight="true" outlineLevel="0" collapsed="false">
      <c r="H5870" s="14" t="b">
        <f aca="false">IF(중복검사!$A5868="",FALSE(),중복검사!$J5868="유지")</f>
        <v>0</v>
      </c>
      <c r="I5870" s="5" t="str">
        <f aca="false">IF($H5870=FALSE(),"",COUNTIF($H$6:$H5870,TRUE()))</f>
        <v/>
      </c>
      <c r="J5870" s="5" t="str">
        <f aca="false">IF($I5870="","","R"&amp;$I5870)</f>
        <v/>
      </c>
    </row>
    <row r="5871" customFormat="false" ht="15" hidden="false" customHeight="true" outlineLevel="0" collapsed="false">
      <c r="H5871" s="14" t="b">
        <f aca="false">IF(중복검사!$A5869="",FALSE(),중복검사!$J5869="유지")</f>
        <v>0</v>
      </c>
      <c r="I5871" s="5" t="str">
        <f aca="false">IF($H5871=FALSE(),"",COUNTIF($H$6:$H5871,TRUE()))</f>
        <v/>
      </c>
      <c r="J5871" s="5" t="str">
        <f aca="false">IF($I5871="","","R"&amp;$I5871)</f>
        <v/>
      </c>
    </row>
    <row r="5872" customFormat="false" ht="15" hidden="false" customHeight="true" outlineLevel="0" collapsed="false">
      <c r="H5872" s="14" t="b">
        <f aca="false">IF(중복검사!$A5870="",FALSE(),중복검사!$J5870="유지")</f>
        <v>0</v>
      </c>
      <c r="I5872" s="5" t="str">
        <f aca="false">IF($H5872=FALSE(),"",COUNTIF($H$6:$H5872,TRUE()))</f>
        <v/>
      </c>
      <c r="J5872" s="5" t="str">
        <f aca="false">IF($I5872="","","R"&amp;$I5872)</f>
        <v/>
      </c>
    </row>
    <row r="5873" customFormat="false" ht="15" hidden="false" customHeight="true" outlineLevel="0" collapsed="false">
      <c r="H5873" s="14" t="b">
        <f aca="false">IF(중복검사!$A5871="",FALSE(),중복검사!$J5871="유지")</f>
        <v>0</v>
      </c>
      <c r="I5873" s="5" t="str">
        <f aca="false">IF($H5873=FALSE(),"",COUNTIF($H$6:$H5873,TRUE()))</f>
        <v/>
      </c>
      <c r="J5873" s="5" t="str">
        <f aca="false">IF($I5873="","","R"&amp;$I5873)</f>
        <v/>
      </c>
    </row>
    <row r="5874" customFormat="false" ht="15" hidden="false" customHeight="true" outlineLevel="0" collapsed="false">
      <c r="H5874" s="14" t="b">
        <f aca="false">IF(중복검사!$A5872="",FALSE(),중복검사!$J5872="유지")</f>
        <v>0</v>
      </c>
      <c r="I5874" s="5" t="str">
        <f aca="false">IF($H5874=FALSE(),"",COUNTIF($H$6:$H5874,TRUE()))</f>
        <v/>
      </c>
      <c r="J5874" s="5" t="str">
        <f aca="false">IF($I5874="","","R"&amp;$I5874)</f>
        <v/>
      </c>
    </row>
    <row r="5875" customFormat="false" ht="15" hidden="false" customHeight="true" outlineLevel="0" collapsed="false">
      <c r="H5875" s="14" t="b">
        <f aca="false">IF(중복검사!$A5873="",FALSE(),중복검사!$J5873="유지")</f>
        <v>0</v>
      </c>
      <c r="I5875" s="5" t="str">
        <f aca="false">IF($H5875=FALSE(),"",COUNTIF($H$6:$H5875,TRUE()))</f>
        <v/>
      </c>
      <c r="J5875" s="5" t="str">
        <f aca="false">IF($I5875="","","R"&amp;$I5875)</f>
        <v/>
      </c>
    </row>
    <row r="5876" customFormat="false" ht="15" hidden="false" customHeight="true" outlineLevel="0" collapsed="false">
      <c r="H5876" s="14" t="b">
        <f aca="false">IF(중복검사!$A5874="",FALSE(),중복검사!$J5874="유지")</f>
        <v>0</v>
      </c>
      <c r="I5876" s="5" t="str">
        <f aca="false">IF($H5876=FALSE(),"",COUNTIF($H$6:$H5876,TRUE()))</f>
        <v/>
      </c>
      <c r="J5876" s="5" t="str">
        <f aca="false">IF($I5876="","","R"&amp;$I5876)</f>
        <v/>
      </c>
    </row>
    <row r="5877" customFormat="false" ht="15" hidden="false" customHeight="true" outlineLevel="0" collapsed="false">
      <c r="H5877" s="14" t="b">
        <f aca="false">IF(중복검사!$A5875="",FALSE(),중복검사!$J5875="유지")</f>
        <v>0</v>
      </c>
      <c r="I5877" s="5" t="str">
        <f aca="false">IF($H5877=FALSE(),"",COUNTIF($H$6:$H5877,TRUE()))</f>
        <v/>
      </c>
      <c r="J5877" s="5" t="str">
        <f aca="false">IF($I5877="","","R"&amp;$I5877)</f>
        <v/>
      </c>
    </row>
    <row r="5878" customFormat="false" ht="15" hidden="false" customHeight="true" outlineLevel="0" collapsed="false">
      <c r="H5878" s="14" t="b">
        <f aca="false">IF(중복검사!$A5876="",FALSE(),중복검사!$J5876="유지")</f>
        <v>0</v>
      </c>
      <c r="I5878" s="5" t="str">
        <f aca="false">IF($H5878=FALSE(),"",COUNTIF($H$6:$H5878,TRUE()))</f>
        <v/>
      </c>
      <c r="J5878" s="5" t="str">
        <f aca="false">IF($I5878="","","R"&amp;$I5878)</f>
        <v/>
      </c>
    </row>
    <row r="5879" customFormat="false" ht="15" hidden="false" customHeight="true" outlineLevel="0" collapsed="false">
      <c r="H5879" s="14" t="b">
        <f aca="false">IF(중복검사!$A5877="",FALSE(),중복검사!$J5877="유지")</f>
        <v>0</v>
      </c>
      <c r="I5879" s="5" t="str">
        <f aca="false">IF($H5879=FALSE(),"",COUNTIF($H$6:$H5879,TRUE()))</f>
        <v/>
      </c>
      <c r="J5879" s="5" t="str">
        <f aca="false">IF($I5879="","","R"&amp;$I5879)</f>
        <v/>
      </c>
    </row>
    <row r="5880" customFormat="false" ht="15" hidden="false" customHeight="true" outlineLevel="0" collapsed="false">
      <c r="H5880" s="14" t="b">
        <f aca="false">IF(중복검사!$A5878="",FALSE(),중복검사!$J5878="유지")</f>
        <v>0</v>
      </c>
      <c r="I5880" s="5" t="str">
        <f aca="false">IF($H5880=FALSE(),"",COUNTIF($H$6:$H5880,TRUE()))</f>
        <v/>
      </c>
      <c r="J5880" s="5" t="str">
        <f aca="false">IF($I5880="","","R"&amp;$I5880)</f>
        <v/>
      </c>
    </row>
    <row r="5881" customFormat="false" ht="15" hidden="false" customHeight="true" outlineLevel="0" collapsed="false">
      <c r="H5881" s="14" t="b">
        <f aca="false">IF(중복검사!$A5879="",FALSE(),중복검사!$J5879="유지")</f>
        <v>0</v>
      </c>
      <c r="I5881" s="5" t="str">
        <f aca="false">IF($H5881=FALSE(),"",COUNTIF($H$6:$H5881,TRUE()))</f>
        <v/>
      </c>
      <c r="J5881" s="5" t="str">
        <f aca="false">IF($I5881="","","R"&amp;$I5881)</f>
        <v/>
      </c>
    </row>
    <row r="5882" customFormat="false" ht="15" hidden="false" customHeight="true" outlineLevel="0" collapsed="false">
      <c r="H5882" s="14" t="b">
        <f aca="false">IF(중복검사!$A5880="",FALSE(),중복검사!$J5880="유지")</f>
        <v>0</v>
      </c>
      <c r="I5882" s="5" t="str">
        <f aca="false">IF($H5882=FALSE(),"",COUNTIF($H$6:$H5882,TRUE()))</f>
        <v/>
      </c>
      <c r="J5882" s="5" t="str">
        <f aca="false">IF($I5882="","","R"&amp;$I5882)</f>
        <v/>
      </c>
    </row>
    <row r="5883" customFormat="false" ht="15" hidden="false" customHeight="true" outlineLevel="0" collapsed="false">
      <c r="H5883" s="14" t="b">
        <f aca="false">IF(중복검사!$A5881="",FALSE(),중복검사!$J5881="유지")</f>
        <v>0</v>
      </c>
      <c r="I5883" s="5" t="str">
        <f aca="false">IF($H5883=FALSE(),"",COUNTIF($H$6:$H5883,TRUE()))</f>
        <v/>
      </c>
      <c r="J5883" s="5" t="str">
        <f aca="false">IF($I5883="","","R"&amp;$I5883)</f>
        <v/>
      </c>
    </row>
    <row r="5884" customFormat="false" ht="15" hidden="false" customHeight="true" outlineLevel="0" collapsed="false">
      <c r="H5884" s="14" t="b">
        <f aca="false">IF(중복검사!$A5882="",FALSE(),중복검사!$J5882="유지")</f>
        <v>0</v>
      </c>
      <c r="I5884" s="5" t="str">
        <f aca="false">IF($H5884=FALSE(),"",COUNTIF($H$6:$H5884,TRUE()))</f>
        <v/>
      </c>
      <c r="J5884" s="5" t="str">
        <f aca="false">IF($I5884="","","R"&amp;$I5884)</f>
        <v/>
      </c>
    </row>
    <row r="5885" customFormat="false" ht="15" hidden="false" customHeight="true" outlineLevel="0" collapsed="false">
      <c r="H5885" s="14" t="b">
        <f aca="false">IF(중복검사!$A5883="",FALSE(),중복검사!$J5883="유지")</f>
        <v>0</v>
      </c>
      <c r="I5885" s="5" t="str">
        <f aca="false">IF($H5885=FALSE(),"",COUNTIF($H$6:$H5885,TRUE()))</f>
        <v/>
      </c>
      <c r="J5885" s="5" t="str">
        <f aca="false">IF($I5885="","","R"&amp;$I5885)</f>
        <v/>
      </c>
    </row>
    <row r="5886" customFormat="false" ht="15" hidden="false" customHeight="true" outlineLevel="0" collapsed="false">
      <c r="H5886" s="14" t="b">
        <f aca="false">IF(중복검사!$A5884="",FALSE(),중복검사!$J5884="유지")</f>
        <v>0</v>
      </c>
      <c r="I5886" s="5" t="str">
        <f aca="false">IF($H5886=FALSE(),"",COUNTIF($H$6:$H5886,TRUE()))</f>
        <v/>
      </c>
      <c r="J5886" s="5" t="str">
        <f aca="false">IF($I5886="","","R"&amp;$I5886)</f>
        <v/>
      </c>
    </row>
    <row r="5887" customFormat="false" ht="15" hidden="false" customHeight="true" outlineLevel="0" collapsed="false">
      <c r="H5887" s="14" t="b">
        <f aca="false">IF(중복검사!$A5885="",FALSE(),중복검사!$J5885="유지")</f>
        <v>0</v>
      </c>
      <c r="I5887" s="5" t="str">
        <f aca="false">IF($H5887=FALSE(),"",COUNTIF($H$6:$H5887,TRUE()))</f>
        <v/>
      </c>
      <c r="J5887" s="5" t="str">
        <f aca="false">IF($I5887="","","R"&amp;$I5887)</f>
        <v/>
      </c>
    </row>
    <row r="5888" customFormat="false" ht="15" hidden="false" customHeight="true" outlineLevel="0" collapsed="false">
      <c r="H5888" s="14" t="b">
        <f aca="false">IF(중복검사!$A5886="",FALSE(),중복검사!$J5886="유지")</f>
        <v>0</v>
      </c>
      <c r="I5888" s="5" t="str">
        <f aca="false">IF($H5888=FALSE(),"",COUNTIF($H$6:$H5888,TRUE()))</f>
        <v/>
      </c>
      <c r="J5888" s="5" t="str">
        <f aca="false">IF($I5888="","","R"&amp;$I5888)</f>
        <v/>
      </c>
    </row>
    <row r="5889" customFormat="false" ht="15" hidden="false" customHeight="true" outlineLevel="0" collapsed="false">
      <c r="H5889" s="14" t="b">
        <f aca="false">IF(중복검사!$A5887="",FALSE(),중복검사!$J5887="유지")</f>
        <v>0</v>
      </c>
      <c r="I5889" s="5" t="str">
        <f aca="false">IF($H5889=FALSE(),"",COUNTIF($H$6:$H5889,TRUE()))</f>
        <v/>
      </c>
      <c r="J5889" s="5" t="str">
        <f aca="false">IF($I5889="","","R"&amp;$I5889)</f>
        <v/>
      </c>
    </row>
    <row r="5890" customFormat="false" ht="15" hidden="false" customHeight="true" outlineLevel="0" collapsed="false">
      <c r="H5890" s="14" t="b">
        <f aca="false">IF(중복검사!$A5888="",FALSE(),중복검사!$J5888="유지")</f>
        <v>0</v>
      </c>
      <c r="I5890" s="5" t="str">
        <f aca="false">IF($H5890=FALSE(),"",COUNTIF($H$6:$H5890,TRUE()))</f>
        <v/>
      </c>
      <c r="J5890" s="5" t="str">
        <f aca="false">IF($I5890="","","R"&amp;$I5890)</f>
        <v/>
      </c>
    </row>
    <row r="5891" customFormat="false" ht="15" hidden="false" customHeight="true" outlineLevel="0" collapsed="false">
      <c r="H5891" s="14" t="b">
        <f aca="false">IF(중복검사!$A5889="",FALSE(),중복검사!$J5889="유지")</f>
        <v>0</v>
      </c>
      <c r="I5891" s="5" t="str">
        <f aca="false">IF($H5891=FALSE(),"",COUNTIF($H$6:$H5891,TRUE()))</f>
        <v/>
      </c>
      <c r="J5891" s="5" t="str">
        <f aca="false">IF($I5891="","","R"&amp;$I5891)</f>
        <v/>
      </c>
    </row>
    <row r="5892" customFormat="false" ht="15" hidden="false" customHeight="true" outlineLevel="0" collapsed="false">
      <c r="H5892" s="14" t="b">
        <f aca="false">IF(중복검사!$A5890="",FALSE(),중복검사!$J5890="유지")</f>
        <v>0</v>
      </c>
      <c r="I5892" s="5" t="str">
        <f aca="false">IF($H5892=FALSE(),"",COUNTIF($H$6:$H5892,TRUE()))</f>
        <v/>
      </c>
      <c r="J5892" s="5" t="str">
        <f aca="false">IF($I5892="","","R"&amp;$I5892)</f>
        <v/>
      </c>
    </row>
    <row r="5893" customFormat="false" ht="15" hidden="false" customHeight="true" outlineLevel="0" collapsed="false">
      <c r="H5893" s="14" t="b">
        <f aca="false">IF(중복검사!$A5891="",FALSE(),중복검사!$J5891="유지")</f>
        <v>0</v>
      </c>
      <c r="I5893" s="5" t="str">
        <f aca="false">IF($H5893=FALSE(),"",COUNTIF($H$6:$H5893,TRUE()))</f>
        <v/>
      </c>
      <c r="J5893" s="5" t="str">
        <f aca="false">IF($I5893="","","R"&amp;$I5893)</f>
        <v/>
      </c>
    </row>
    <row r="5894" customFormat="false" ht="15" hidden="false" customHeight="true" outlineLevel="0" collapsed="false">
      <c r="H5894" s="14" t="b">
        <f aca="false">IF(중복검사!$A5892="",FALSE(),중복검사!$J5892="유지")</f>
        <v>0</v>
      </c>
      <c r="I5894" s="5" t="str">
        <f aca="false">IF($H5894=FALSE(),"",COUNTIF($H$6:$H5894,TRUE()))</f>
        <v/>
      </c>
      <c r="J5894" s="5" t="str">
        <f aca="false">IF($I5894="","","R"&amp;$I5894)</f>
        <v/>
      </c>
    </row>
    <row r="5895" customFormat="false" ht="15" hidden="false" customHeight="true" outlineLevel="0" collapsed="false">
      <c r="H5895" s="14" t="b">
        <f aca="false">IF(중복검사!$A5893="",FALSE(),중복검사!$J5893="유지")</f>
        <v>0</v>
      </c>
      <c r="I5895" s="5" t="str">
        <f aca="false">IF($H5895=FALSE(),"",COUNTIF($H$6:$H5895,TRUE()))</f>
        <v/>
      </c>
      <c r="J5895" s="5" t="str">
        <f aca="false">IF($I5895="","","R"&amp;$I5895)</f>
        <v/>
      </c>
    </row>
    <row r="5896" customFormat="false" ht="15" hidden="false" customHeight="true" outlineLevel="0" collapsed="false">
      <c r="H5896" s="14" t="b">
        <f aca="false">IF(중복검사!$A5894="",FALSE(),중복검사!$J5894="유지")</f>
        <v>0</v>
      </c>
      <c r="I5896" s="5" t="str">
        <f aca="false">IF($H5896=FALSE(),"",COUNTIF($H$6:$H5896,TRUE()))</f>
        <v/>
      </c>
      <c r="J5896" s="5" t="str">
        <f aca="false">IF($I5896="","","R"&amp;$I5896)</f>
        <v/>
      </c>
    </row>
    <row r="5897" customFormat="false" ht="15" hidden="false" customHeight="true" outlineLevel="0" collapsed="false">
      <c r="H5897" s="14" t="b">
        <f aca="false">IF(중복검사!$A5895="",FALSE(),중복검사!$J5895="유지")</f>
        <v>0</v>
      </c>
      <c r="I5897" s="5" t="str">
        <f aca="false">IF($H5897=FALSE(),"",COUNTIF($H$6:$H5897,TRUE()))</f>
        <v/>
      </c>
      <c r="J5897" s="5" t="str">
        <f aca="false">IF($I5897="","","R"&amp;$I5897)</f>
        <v/>
      </c>
    </row>
    <row r="5898" customFormat="false" ht="15" hidden="false" customHeight="true" outlineLevel="0" collapsed="false">
      <c r="H5898" s="14" t="b">
        <f aca="false">IF(중복검사!$A5896="",FALSE(),중복검사!$J5896="유지")</f>
        <v>0</v>
      </c>
      <c r="I5898" s="5" t="str">
        <f aca="false">IF($H5898=FALSE(),"",COUNTIF($H$6:$H5898,TRUE()))</f>
        <v/>
      </c>
      <c r="J5898" s="5" t="str">
        <f aca="false">IF($I5898="","","R"&amp;$I5898)</f>
        <v/>
      </c>
    </row>
    <row r="5899" customFormat="false" ht="15" hidden="false" customHeight="true" outlineLevel="0" collapsed="false">
      <c r="H5899" s="14" t="b">
        <f aca="false">IF(중복검사!$A5897="",FALSE(),중복검사!$J5897="유지")</f>
        <v>0</v>
      </c>
      <c r="I5899" s="5" t="str">
        <f aca="false">IF($H5899=FALSE(),"",COUNTIF($H$6:$H5899,TRUE()))</f>
        <v/>
      </c>
      <c r="J5899" s="5" t="str">
        <f aca="false">IF($I5899="","","R"&amp;$I5899)</f>
        <v/>
      </c>
    </row>
    <row r="5900" customFormat="false" ht="15" hidden="false" customHeight="true" outlineLevel="0" collapsed="false">
      <c r="H5900" s="14" t="b">
        <f aca="false">IF(중복검사!$A5898="",FALSE(),중복검사!$J5898="유지")</f>
        <v>0</v>
      </c>
      <c r="I5900" s="5" t="str">
        <f aca="false">IF($H5900=FALSE(),"",COUNTIF($H$6:$H5900,TRUE()))</f>
        <v/>
      </c>
      <c r="J5900" s="5" t="str">
        <f aca="false">IF($I5900="","","R"&amp;$I5900)</f>
        <v/>
      </c>
    </row>
    <row r="5901" customFormat="false" ht="15" hidden="false" customHeight="true" outlineLevel="0" collapsed="false">
      <c r="H5901" s="14" t="b">
        <f aca="false">IF(중복검사!$A5899="",FALSE(),중복검사!$J5899="유지")</f>
        <v>0</v>
      </c>
      <c r="I5901" s="5" t="str">
        <f aca="false">IF($H5901=FALSE(),"",COUNTIF($H$6:$H5901,TRUE()))</f>
        <v/>
      </c>
      <c r="J5901" s="5" t="str">
        <f aca="false">IF($I5901="","","R"&amp;$I5901)</f>
        <v/>
      </c>
    </row>
    <row r="5902" customFormat="false" ht="15" hidden="false" customHeight="true" outlineLevel="0" collapsed="false">
      <c r="H5902" s="14" t="b">
        <f aca="false">IF(중복검사!$A5900="",FALSE(),중복검사!$J5900="유지")</f>
        <v>0</v>
      </c>
      <c r="I5902" s="5" t="str">
        <f aca="false">IF($H5902=FALSE(),"",COUNTIF($H$6:$H5902,TRUE()))</f>
        <v/>
      </c>
      <c r="J5902" s="5" t="str">
        <f aca="false">IF($I5902="","","R"&amp;$I5902)</f>
        <v/>
      </c>
    </row>
    <row r="5903" customFormat="false" ht="15" hidden="false" customHeight="true" outlineLevel="0" collapsed="false">
      <c r="H5903" s="14" t="b">
        <f aca="false">IF(중복검사!$A5901="",FALSE(),중복검사!$J5901="유지")</f>
        <v>0</v>
      </c>
      <c r="I5903" s="5" t="str">
        <f aca="false">IF($H5903=FALSE(),"",COUNTIF($H$6:$H5903,TRUE()))</f>
        <v/>
      </c>
      <c r="J5903" s="5" t="str">
        <f aca="false">IF($I5903="","","R"&amp;$I5903)</f>
        <v/>
      </c>
    </row>
    <row r="5904" customFormat="false" ht="15" hidden="false" customHeight="true" outlineLevel="0" collapsed="false">
      <c r="H5904" s="14" t="b">
        <f aca="false">IF(중복검사!$A5902="",FALSE(),중복검사!$J5902="유지")</f>
        <v>0</v>
      </c>
      <c r="I5904" s="5" t="str">
        <f aca="false">IF($H5904=FALSE(),"",COUNTIF($H$6:$H5904,TRUE()))</f>
        <v/>
      </c>
      <c r="J5904" s="5" t="str">
        <f aca="false">IF($I5904="","","R"&amp;$I5904)</f>
        <v/>
      </c>
    </row>
    <row r="5905" customFormat="false" ht="15" hidden="false" customHeight="true" outlineLevel="0" collapsed="false">
      <c r="H5905" s="14" t="b">
        <f aca="false">IF(중복검사!$A5903="",FALSE(),중복검사!$J5903="유지")</f>
        <v>0</v>
      </c>
      <c r="I5905" s="5" t="str">
        <f aca="false">IF($H5905=FALSE(),"",COUNTIF($H$6:$H5905,TRUE()))</f>
        <v/>
      </c>
      <c r="J5905" s="5" t="str">
        <f aca="false">IF($I5905="","","R"&amp;$I5905)</f>
        <v/>
      </c>
    </row>
    <row r="5906" customFormat="false" ht="15" hidden="false" customHeight="true" outlineLevel="0" collapsed="false">
      <c r="H5906" s="14" t="b">
        <f aca="false">IF(중복검사!$A5904="",FALSE(),중복검사!$J5904="유지")</f>
        <v>0</v>
      </c>
      <c r="I5906" s="5" t="str">
        <f aca="false">IF($H5906=FALSE(),"",COUNTIF($H$6:$H5906,TRUE()))</f>
        <v/>
      </c>
      <c r="J5906" s="5" t="str">
        <f aca="false">IF($I5906="","","R"&amp;$I5906)</f>
        <v/>
      </c>
    </row>
    <row r="5907" customFormat="false" ht="15" hidden="false" customHeight="true" outlineLevel="0" collapsed="false">
      <c r="H5907" s="14" t="b">
        <f aca="false">IF(중복검사!$A5905="",FALSE(),중복검사!$J5905="유지")</f>
        <v>0</v>
      </c>
      <c r="I5907" s="5" t="str">
        <f aca="false">IF($H5907=FALSE(),"",COUNTIF($H$6:$H5907,TRUE()))</f>
        <v/>
      </c>
      <c r="J5907" s="5" t="str">
        <f aca="false">IF($I5907="","","R"&amp;$I5907)</f>
        <v/>
      </c>
    </row>
    <row r="5908" customFormat="false" ht="15" hidden="false" customHeight="true" outlineLevel="0" collapsed="false">
      <c r="H5908" s="14" t="b">
        <f aca="false">IF(중복검사!$A5906="",FALSE(),중복검사!$J5906="유지")</f>
        <v>0</v>
      </c>
      <c r="I5908" s="5" t="str">
        <f aca="false">IF($H5908=FALSE(),"",COUNTIF($H$6:$H5908,TRUE()))</f>
        <v/>
      </c>
      <c r="J5908" s="5" t="str">
        <f aca="false">IF($I5908="","","R"&amp;$I5908)</f>
        <v/>
      </c>
    </row>
    <row r="5909" customFormat="false" ht="15" hidden="false" customHeight="true" outlineLevel="0" collapsed="false">
      <c r="H5909" s="14" t="b">
        <f aca="false">IF(중복검사!$A5907="",FALSE(),중복검사!$J5907="유지")</f>
        <v>0</v>
      </c>
      <c r="I5909" s="5" t="str">
        <f aca="false">IF($H5909=FALSE(),"",COUNTIF($H$6:$H5909,TRUE()))</f>
        <v/>
      </c>
      <c r="J5909" s="5" t="str">
        <f aca="false">IF($I5909="","","R"&amp;$I5909)</f>
        <v/>
      </c>
    </row>
    <row r="5910" customFormat="false" ht="15" hidden="false" customHeight="true" outlineLevel="0" collapsed="false">
      <c r="H5910" s="14" t="b">
        <f aca="false">IF(중복검사!$A5908="",FALSE(),중복검사!$J5908="유지")</f>
        <v>0</v>
      </c>
      <c r="I5910" s="5" t="str">
        <f aca="false">IF($H5910=FALSE(),"",COUNTIF($H$6:$H5910,TRUE()))</f>
        <v/>
      </c>
      <c r="J5910" s="5" t="str">
        <f aca="false">IF($I5910="","","R"&amp;$I5910)</f>
        <v/>
      </c>
    </row>
    <row r="5911" customFormat="false" ht="15" hidden="false" customHeight="true" outlineLevel="0" collapsed="false">
      <c r="H5911" s="14" t="b">
        <f aca="false">IF(중복검사!$A5909="",FALSE(),중복검사!$J5909="유지")</f>
        <v>0</v>
      </c>
      <c r="I5911" s="5" t="str">
        <f aca="false">IF($H5911=FALSE(),"",COUNTIF($H$6:$H5911,TRUE()))</f>
        <v/>
      </c>
      <c r="J5911" s="5" t="str">
        <f aca="false">IF($I5911="","","R"&amp;$I5911)</f>
        <v/>
      </c>
    </row>
    <row r="5912" customFormat="false" ht="15" hidden="false" customHeight="true" outlineLevel="0" collapsed="false">
      <c r="H5912" s="14" t="b">
        <f aca="false">IF(중복검사!$A5910="",FALSE(),중복검사!$J5910="유지")</f>
        <v>0</v>
      </c>
      <c r="I5912" s="5" t="str">
        <f aca="false">IF($H5912=FALSE(),"",COUNTIF($H$6:$H5912,TRUE()))</f>
        <v/>
      </c>
      <c r="J5912" s="5" t="str">
        <f aca="false">IF($I5912="","","R"&amp;$I5912)</f>
        <v/>
      </c>
    </row>
    <row r="5913" customFormat="false" ht="15" hidden="false" customHeight="true" outlineLevel="0" collapsed="false">
      <c r="H5913" s="14" t="b">
        <f aca="false">IF(중복검사!$A5911="",FALSE(),중복검사!$J5911="유지")</f>
        <v>0</v>
      </c>
      <c r="I5913" s="5" t="str">
        <f aca="false">IF($H5913=FALSE(),"",COUNTIF($H$6:$H5913,TRUE()))</f>
        <v/>
      </c>
      <c r="J5913" s="5" t="str">
        <f aca="false">IF($I5913="","","R"&amp;$I5913)</f>
        <v/>
      </c>
    </row>
    <row r="5914" customFormat="false" ht="15" hidden="false" customHeight="true" outlineLevel="0" collapsed="false">
      <c r="H5914" s="14" t="b">
        <f aca="false">IF(중복검사!$A5912="",FALSE(),중복검사!$J5912="유지")</f>
        <v>0</v>
      </c>
      <c r="I5914" s="5" t="str">
        <f aca="false">IF($H5914=FALSE(),"",COUNTIF($H$6:$H5914,TRUE()))</f>
        <v/>
      </c>
      <c r="J5914" s="5" t="str">
        <f aca="false">IF($I5914="","","R"&amp;$I5914)</f>
        <v/>
      </c>
    </row>
    <row r="5915" customFormat="false" ht="15" hidden="false" customHeight="true" outlineLevel="0" collapsed="false">
      <c r="H5915" s="14" t="b">
        <f aca="false">IF(중복검사!$A5913="",FALSE(),중복검사!$J5913="유지")</f>
        <v>0</v>
      </c>
      <c r="I5915" s="5" t="str">
        <f aca="false">IF($H5915=FALSE(),"",COUNTIF($H$6:$H5915,TRUE()))</f>
        <v/>
      </c>
      <c r="J5915" s="5" t="str">
        <f aca="false">IF($I5915="","","R"&amp;$I5915)</f>
        <v/>
      </c>
    </row>
    <row r="5916" customFormat="false" ht="15" hidden="false" customHeight="true" outlineLevel="0" collapsed="false">
      <c r="H5916" s="14" t="b">
        <f aca="false">IF(중복검사!$A5914="",FALSE(),중복검사!$J5914="유지")</f>
        <v>0</v>
      </c>
      <c r="I5916" s="5" t="str">
        <f aca="false">IF($H5916=FALSE(),"",COUNTIF($H$6:$H5916,TRUE()))</f>
        <v/>
      </c>
      <c r="J5916" s="5" t="str">
        <f aca="false">IF($I5916="","","R"&amp;$I5916)</f>
        <v/>
      </c>
    </row>
    <row r="5917" customFormat="false" ht="15" hidden="false" customHeight="true" outlineLevel="0" collapsed="false">
      <c r="H5917" s="14" t="b">
        <f aca="false">IF(중복검사!$A5915="",FALSE(),중복검사!$J5915="유지")</f>
        <v>0</v>
      </c>
      <c r="I5917" s="5" t="str">
        <f aca="false">IF($H5917=FALSE(),"",COUNTIF($H$6:$H5917,TRUE()))</f>
        <v/>
      </c>
      <c r="J5917" s="5" t="str">
        <f aca="false">IF($I5917="","","R"&amp;$I5917)</f>
        <v/>
      </c>
    </row>
    <row r="5918" customFormat="false" ht="15" hidden="false" customHeight="true" outlineLevel="0" collapsed="false">
      <c r="H5918" s="14" t="b">
        <f aca="false">IF(중복검사!$A5916="",FALSE(),중복검사!$J5916="유지")</f>
        <v>0</v>
      </c>
      <c r="I5918" s="5" t="str">
        <f aca="false">IF($H5918=FALSE(),"",COUNTIF($H$6:$H5918,TRUE()))</f>
        <v/>
      </c>
      <c r="J5918" s="5" t="str">
        <f aca="false">IF($I5918="","","R"&amp;$I5918)</f>
        <v/>
      </c>
    </row>
    <row r="5919" customFormat="false" ht="15" hidden="false" customHeight="true" outlineLevel="0" collapsed="false">
      <c r="H5919" s="14" t="b">
        <f aca="false">IF(중복검사!$A5917="",FALSE(),중복검사!$J5917="유지")</f>
        <v>0</v>
      </c>
      <c r="I5919" s="5" t="str">
        <f aca="false">IF($H5919=FALSE(),"",COUNTIF($H$6:$H5919,TRUE()))</f>
        <v/>
      </c>
      <c r="J5919" s="5" t="str">
        <f aca="false">IF($I5919="","","R"&amp;$I5919)</f>
        <v/>
      </c>
    </row>
    <row r="5920" customFormat="false" ht="15" hidden="false" customHeight="true" outlineLevel="0" collapsed="false">
      <c r="H5920" s="14" t="b">
        <f aca="false">IF(중복검사!$A5918="",FALSE(),중복검사!$J5918="유지")</f>
        <v>0</v>
      </c>
      <c r="I5920" s="5" t="str">
        <f aca="false">IF($H5920=FALSE(),"",COUNTIF($H$6:$H5920,TRUE()))</f>
        <v/>
      </c>
      <c r="J5920" s="5" t="str">
        <f aca="false">IF($I5920="","","R"&amp;$I5920)</f>
        <v/>
      </c>
    </row>
    <row r="5921" customFormat="false" ht="15" hidden="false" customHeight="true" outlineLevel="0" collapsed="false">
      <c r="H5921" s="14" t="b">
        <f aca="false">IF(중복검사!$A5919="",FALSE(),중복검사!$J5919="유지")</f>
        <v>0</v>
      </c>
      <c r="I5921" s="5" t="str">
        <f aca="false">IF($H5921=FALSE(),"",COUNTIF($H$6:$H5921,TRUE()))</f>
        <v/>
      </c>
      <c r="J5921" s="5" t="str">
        <f aca="false">IF($I5921="","","R"&amp;$I5921)</f>
        <v/>
      </c>
    </row>
    <row r="5922" customFormat="false" ht="15" hidden="false" customHeight="true" outlineLevel="0" collapsed="false">
      <c r="H5922" s="14" t="b">
        <f aca="false">IF(중복검사!$A5920="",FALSE(),중복검사!$J5920="유지")</f>
        <v>0</v>
      </c>
      <c r="I5922" s="5" t="str">
        <f aca="false">IF($H5922=FALSE(),"",COUNTIF($H$6:$H5922,TRUE()))</f>
        <v/>
      </c>
      <c r="J5922" s="5" t="str">
        <f aca="false">IF($I5922="","","R"&amp;$I5922)</f>
        <v/>
      </c>
    </row>
    <row r="5923" customFormat="false" ht="15" hidden="false" customHeight="true" outlineLevel="0" collapsed="false">
      <c r="H5923" s="14" t="b">
        <f aca="false">IF(중복검사!$A5921="",FALSE(),중복검사!$J5921="유지")</f>
        <v>0</v>
      </c>
      <c r="I5923" s="5" t="str">
        <f aca="false">IF($H5923=FALSE(),"",COUNTIF($H$6:$H5923,TRUE()))</f>
        <v/>
      </c>
      <c r="J5923" s="5" t="str">
        <f aca="false">IF($I5923="","","R"&amp;$I5923)</f>
        <v/>
      </c>
    </row>
    <row r="5924" customFormat="false" ht="15" hidden="false" customHeight="true" outlineLevel="0" collapsed="false">
      <c r="H5924" s="14" t="b">
        <f aca="false">IF(중복검사!$A5922="",FALSE(),중복검사!$J5922="유지")</f>
        <v>0</v>
      </c>
      <c r="I5924" s="5" t="str">
        <f aca="false">IF($H5924=FALSE(),"",COUNTIF($H$6:$H5924,TRUE()))</f>
        <v/>
      </c>
      <c r="J5924" s="5" t="str">
        <f aca="false">IF($I5924="","","R"&amp;$I5924)</f>
        <v/>
      </c>
    </row>
    <row r="5925" customFormat="false" ht="15" hidden="false" customHeight="true" outlineLevel="0" collapsed="false">
      <c r="H5925" s="14" t="b">
        <f aca="false">IF(중복검사!$A5923="",FALSE(),중복검사!$J5923="유지")</f>
        <v>0</v>
      </c>
      <c r="I5925" s="5" t="str">
        <f aca="false">IF($H5925=FALSE(),"",COUNTIF($H$6:$H5925,TRUE()))</f>
        <v/>
      </c>
      <c r="J5925" s="5" t="str">
        <f aca="false">IF($I5925="","","R"&amp;$I5925)</f>
        <v/>
      </c>
    </row>
    <row r="5926" customFormat="false" ht="15" hidden="false" customHeight="true" outlineLevel="0" collapsed="false">
      <c r="H5926" s="14" t="b">
        <f aca="false">IF(중복검사!$A5924="",FALSE(),중복검사!$J5924="유지")</f>
        <v>0</v>
      </c>
      <c r="I5926" s="5" t="str">
        <f aca="false">IF($H5926=FALSE(),"",COUNTIF($H$6:$H5926,TRUE()))</f>
        <v/>
      </c>
      <c r="J5926" s="5" t="str">
        <f aca="false">IF($I5926="","","R"&amp;$I5926)</f>
        <v/>
      </c>
    </row>
    <row r="5927" customFormat="false" ht="15" hidden="false" customHeight="true" outlineLevel="0" collapsed="false">
      <c r="H5927" s="14" t="b">
        <f aca="false">IF(중복검사!$A5925="",FALSE(),중복검사!$J5925="유지")</f>
        <v>0</v>
      </c>
      <c r="I5927" s="5" t="str">
        <f aca="false">IF($H5927=FALSE(),"",COUNTIF($H$6:$H5927,TRUE()))</f>
        <v/>
      </c>
      <c r="J5927" s="5" t="str">
        <f aca="false">IF($I5927="","","R"&amp;$I5927)</f>
        <v/>
      </c>
    </row>
    <row r="5928" customFormat="false" ht="15" hidden="false" customHeight="true" outlineLevel="0" collapsed="false">
      <c r="H5928" s="14" t="b">
        <f aca="false">IF(중복검사!$A5926="",FALSE(),중복검사!$J5926="유지")</f>
        <v>0</v>
      </c>
      <c r="I5928" s="5" t="str">
        <f aca="false">IF($H5928=FALSE(),"",COUNTIF($H$6:$H5928,TRUE()))</f>
        <v/>
      </c>
      <c r="J5928" s="5" t="str">
        <f aca="false">IF($I5928="","","R"&amp;$I5928)</f>
        <v/>
      </c>
    </row>
    <row r="5929" customFormat="false" ht="15" hidden="false" customHeight="true" outlineLevel="0" collapsed="false">
      <c r="H5929" s="14" t="b">
        <f aca="false">IF(중복검사!$A5927="",FALSE(),중복검사!$J5927="유지")</f>
        <v>0</v>
      </c>
      <c r="I5929" s="5" t="str">
        <f aca="false">IF($H5929=FALSE(),"",COUNTIF($H$6:$H5929,TRUE()))</f>
        <v/>
      </c>
      <c r="J5929" s="5" t="str">
        <f aca="false">IF($I5929="","","R"&amp;$I5929)</f>
        <v/>
      </c>
    </row>
    <row r="5930" customFormat="false" ht="15" hidden="false" customHeight="true" outlineLevel="0" collapsed="false">
      <c r="H5930" s="14" t="b">
        <f aca="false">IF(중복검사!$A5928="",FALSE(),중복검사!$J5928="유지")</f>
        <v>0</v>
      </c>
      <c r="I5930" s="5" t="str">
        <f aca="false">IF($H5930=FALSE(),"",COUNTIF($H$6:$H5930,TRUE()))</f>
        <v/>
      </c>
      <c r="J5930" s="5" t="str">
        <f aca="false">IF($I5930="","","R"&amp;$I5930)</f>
        <v/>
      </c>
    </row>
    <row r="5931" customFormat="false" ht="15" hidden="false" customHeight="true" outlineLevel="0" collapsed="false">
      <c r="H5931" s="14" t="b">
        <f aca="false">IF(중복검사!$A5929="",FALSE(),중복검사!$J5929="유지")</f>
        <v>0</v>
      </c>
      <c r="I5931" s="5" t="str">
        <f aca="false">IF($H5931=FALSE(),"",COUNTIF($H$6:$H5931,TRUE()))</f>
        <v/>
      </c>
      <c r="J5931" s="5" t="str">
        <f aca="false">IF($I5931="","","R"&amp;$I5931)</f>
        <v/>
      </c>
    </row>
    <row r="5932" customFormat="false" ht="15" hidden="false" customHeight="true" outlineLevel="0" collapsed="false">
      <c r="H5932" s="14" t="b">
        <f aca="false">IF(중복검사!$A5930="",FALSE(),중복검사!$J5930="유지")</f>
        <v>0</v>
      </c>
      <c r="I5932" s="5" t="str">
        <f aca="false">IF($H5932=FALSE(),"",COUNTIF($H$6:$H5932,TRUE()))</f>
        <v/>
      </c>
      <c r="J5932" s="5" t="str">
        <f aca="false">IF($I5932="","","R"&amp;$I5932)</f>
        <v/>
      </c>
    </row>
    <row r="5933" customFormat="false" ht="15" hidden="false" customHeight="true" outlineLevel="0" collapsed="false">
      <c r="H5933" s="14" t="b">
        <f aca="false">IF(중복검사!$A5931="",FALSE(),중복검사!$J5931="유지")</f>
        <v>0</v>
      </c>
      <c r="I5933" s="5" t="str">
        <f aca="false">IF($H5933=FALSE(),"",COUNTIF($H$6:$H5933,TRUE()))</f>
        <v/>
      </c>
      <c r="J5933" s="5" t="str">
        <f aca="false">IF($I5933="","","R"&amp;$I5933)</f>
        <v/>
      </c>
    </row>
    <row r="5934" customFormat="false" ht="15" hidden="false" customHeight="true" outlineLevel="0" collapsed="false">
      <c r="H5934" s="14" t="b">
        <f aca="false">IF(중복검사!$A5932="",FALSE(),중복검사!$J5932="유지")</f>
        <v>0</v>
      </c>
      <c r="I5934" s="5" t="str">
        <f aca="false">IF($H5934=FALSE(),"",COUNTIF($H$6:$H5934,TRUE()))</f>
        <v/>
      </c>
      <c r="J5934" s="5" t="str">
        <f aca="false">IF($I5934="","","R"&amp;$I5934)</f>
        <v/>
      </c>
    </row>
    <row r="5935" customFormat="false" ht="15" hidden="false" customHeight="true" outlineLevel="0" collapsed="false">
      <c r="H5935" s="14" t="b">
        <f aca="false">IF(중복검사!$A5933="",FALSE(),중복검사!$J5933="유지")</f>
        <v>0</v>
      </c>
      <c r="I5935" s="5" t="str">
        <f aca="false">IF($H5935=FALSE(),"",COUNTIF($H$6:$H5935,TRUE()))</f>
        <v/>
      </c>
      <c r="J5935" s="5" t="str">
        <f aca="false">IF($I5935="","","R"&amp;$I5935)</f>
        <v/>
      </c>
    </row>
    <row r="5936" customFormat="false" ht="15" hidden="false" customHeight="true" outlineLevel="0" collapsed="false">
      <c r="H5936" s="14" t="b">
        <f aca="false">IF(중복검사!$A5934="",FALSE(),중복검사!$J5934="유지")</f>
        <v>0</v>
      </c>
      <c r="I5936" s="5" t="str">
        <f aca="false">IF($H5936=FALSE(),"",COUNTIF($H$6:$H5936,TRUE()))</f>
        <v/>
      </c>
      <c r="J5936" s="5" t="str">
        <f aca="false">IF($I5936="","","R"&amp;$I5936)</f>
        <v/>
      </c>
    </row>
    <row r="5937" customFormat="false" ht="15" hidden="false" customHeight="true" outlineLevel="0" collapsed="false">
      <c r="H5937" s="14" t="b">
        <f aca="false">IF(중복검사!$A5935="",FALSE(),중복검사!$J5935="유지")</f>
        <v>0</v>
      </c>
      <c r="I5937" s="5" t="str">
        <f aca="false">IF($H5937=FALSE(),"",COUNTIF($H$6:$H5937,TRUE()))</f>
        <v/>
      </c>
      <c r="J5937" s="5" t="str">
        <f aca="false">IF($I5937="","","R"&amp;$I5937)</f>
        <v/>
      </c>
    </row>
    <row r="5938" customFormat="false" ht="15" hidden="false" customHeight="true" outlineLevel="0" collapsed="false">
      <c r="H5938" s="14" t="b">
        <f aca="false">IF(중복검사!$A5936="",FALSE(),중복검사!$J5936="유지")</f>
        <v>0</v>
      </c>
      <c r="I5938" s="5" t="str">
        <f aca="false">IF($H5938=FALSE(),"",COUNTIF($H$6:$H5938,TRUE()))</f>
        <v/>
      </c>
      <c r="J5938" s="5" t="str">
        <f aca="false">IF($I5938="","","R"&amp;$I5938)</f>
        <v/>
      </c>
    </row>
    <row r="5939" customFormat="false" ht="15" hidden="false" customHeight="true" outlineLevel="0" collapsed="false">
      <c r="H5939" s="14" t="b">
        <f aca="false">IF(중복검사!$A5937="",FALSE(),중복검사!$J5937="유지")</f>
        <v>0</v>
      </c>
      <c r="I5939" s="5" t="str">
        <f aca="false">IF($H5939=FALSE(),"",COUNTIF($H$6:$H5939,TRUE()))</f>
        <v/>
      </c>
      <c r="J5939" s="5" t="str">
        <f aca="false">IF($I5939="","","R"&amp;$I5939)</f>
        <v/>
      </c>
    </row>
    <row r="5940" customFormat="false" ht="15" hidden="false" customHeight="true" outlineLevel="0" collapsed="false">
      <c r="H5940" s="14" t="b">
        <f aca="false">IF(중복검사!$A5938="",FALSE(),중복검사!$J5938="유지")</f>
        <v>0</v>
      </c>
      <c r="I5940" s="5" t="str">
        <f aca="false">IF($H5940=FALSE(),"",COUNTIF($H$6:$H5940,TRUE()))</f>
        <v/>
      </c>
      <c r="J5940" s="5" t="str">
        <f aca="false">IF($I5940="","","R"&amp;$I5940)</f>
        <v/>
      </c>
    </row>
    <row r="5941" customFormat="false" ht="15" hidden="false" customHeight="true" outlineLevel="0" collapsed="false">
      <c r="H5941" s="14" t="b">
        <f aca="false">IF(중복검사!$A5939="",FALSE(),중복검사!$J5939="유지")</f>
        <v>0</v>
      </c>
      <c r="I5941" s="5" t="str">
        <f aca="false">IF($H5941=FALSE(),"",COUNTIF($H$6:$H5941,TRUE()))</f>
        <v/>
      </c>
      <c r="J5941" s="5" t="str">
        <f aca="false">IF($I5941="","","R"&amp;$I5941)</f>
        <v/>
      </c>
    </row>
    <row r="5942" customFormat="false" ht="15" hidden="false" customHeight="true" outlineLevel="0" collapsed="false">
      <c r="H5942" s="14" t="b">
        <f aca="false">IF(중복검사!$A5940="",FALSE(),중복검사!$J5940="유지")</f>
        <v>0</v>
      </c>
      <c r="I5942" s="5" t="str">
        <f aca="false">IF($H5942=FALSE(),"",COUNTIF($H$6:$H5942,TRUE()))</f>
        <v/>
      </c>
      <c r="J5942" s="5" t="str">
        <f aca="false">IF($I5942="","","R"&amp;$I5942)</f>
        <v/>
      </c>
    </row>
    <row r="5943" customFormat="false" ht="15" hidden="false" customHeight="true" outlineLevel="0" collapsed="false">
      <c r="H5943" s="14" t="b">
        <f aca="false">IF(중복검사!$A5941="",FALSE(),중복검사!$J5941="유지")</f>
        <v>0</v>
      </c>
      <c r="I5943" s="5" t="str">
        <f aca="false">IF($H5943=FALSE(),"",COUNTIF($H$6:$H5943,TRUE()))</f>
        <v/>
      </c>
      <c r="J5943" s="5" t="str">
        <f aca="false">IF($I5943="","","R"&amp;$I5943)</f>
        <v/>
      </c>
    </row>
    <row r="5944" customFormat="false" ht="15" hidden="false" customHeight="true" outlineLevel="0" collapsed="false">
      <c r="H5944" s="14" t="b">
        <f aca="false">IF(중복검사!$A5942="",FALSE(),중복검사!$J5942="유지")</f>
        <v>0</v>
      </c>
      <c r="I5944" s="5" t="str">
        <f aca="false">IF($H5944=FALSE(),"",COUNTIF($H$6:$H5944,TRUE()))</f>
        <v/>
      </c>
      <c r="J5944" s="5" t="str">
        <f aca="false">IF($I5944="","","R"&amp;$I5944)</f>
        <v/>
      </c>
    </row>
    <row r="5945" customFormat="false" ht="15" hidden="false" customHeight="true" outlineLevel="0" collapsed="false">
      <c r="H5945" s="14" t="b">
        <f aca="false">IF(중복검사!$A5943="",FALSE(),중복검사!$J5943="유지")</f>
        <v>0</v>
      </c>
      <c r="I5945" s="5" t="str">
        <f aca="false">IF($H5945=FALSE(),"",COUNTIF($H$6:$H5945,TRUE()))</f>
        <v/>
      </c>
      <c r="J5945" s="5" t="str">
        <f aca="false">IF($I5945="","","R"&amp;$I5945)</f>
        <v/>
      </c>
    </row>
    <row r="5946" customFormat="false" ht="15" hidden="false" customHeight="true" outlineLevel="0" collapsed="false">
      <c r="H5946" s="14" t="b">
        <f aca="false">IF(중복검사!$A5944="",FALSE(),중복검사!$J5944="유지")</f>
        <v>0</v>
      </c>
      <c r="I5946" s="5" t="str">
        <f aca="false">IF($H5946=FALSE(),"",COUNTIF($H$6:$H5946,TRUE()))</f>
        <v/>
      </c>
      <c r="J5946" s="5" t="str">
        <f aca="false">IF($I5946="","","R"&amp;$I5946)</f>
        <v/>
      </c>
    </row>
    <row r="5947" customFormat="false" ht="15" hidden="false" customHeight="true" outlineLevel="0" collapsed="false">
      <c r="H5947" s="14" t="b">
        <f aca="false">IF(중복검사!$A5945="",FALSE(),중복검사!$J5945="유지")</f>
        <v>0</v>
      </c>
      <c r="I5947" s="5" t="str">
        <f aca="false">IF($H5947=FALSE(),"",COUNTIF($H$6:$H5947,TRUE()))</f>
        <v/>
      </c>
      <c r="J5947" s="5" t="str">
        <f aca="false">IF($I5947="","","R"&amp;$I5947)</f>
        <v/>
      </c>
    </row>
    <row r="5948" customFormat="false" ht="15" hidden="false" customHeight="true" outlineLevel="0" collapsed="false">
      <c r="H5948" s="14" t="b">
        <f aca="false">IF(중복검사!$A5946="",FALSE(),중복검사!$J5946="유지")</f>
        <v>0</v>
      </c>
      <c r="I5948" s="5" t="str">
        <f aca="false">IF($H5948=FALSE(),"",COUNTIF($H$6:$H5948,TRUE()))</f>
        <v/>
      </c>
      <c r="J5948" s="5" t="str">
        <f aca="false">IF($I5948="","","R"&amp;$I5948)</f>
        <v/>
      </c>
    </row>
    <row r="5949" customFormat="false" ht="15" hidden="false" customHeight="true" outlineLevel="0" collapsed="false">
      <c r="H5949" s="14" t="b">
        <f aca="false">IF(중복검사!$A5947="",FALSE(),중복검사!$J5947="유지")</f>
        <v>0</v>
      </c>
      <c r="I5949" s="5" t="str">
        <f aca="false">IF($H5949=FALSE(),"",COUNTIF($H$6:$H5949,TRUE()))</f>
        <v/>
      </c>
      <c r="J5949" s="5" t="str">
        <f aca="false">IF($I5949="","","R"&amp;$I5949)</f>
        <v/>
      </c>
    </row>
    <row r="5950" customFormat="false" ht="15" hidden="false" customHeight="true" outlineLevel="0" collapsed="false">
      <c r="H5950" s="14" t="b">
        <f aca="false">IF(중복검사!$A5948="",FALSE(),중복검사!$J5948="유지")</f>
        <v>0</v>
      </c>
      <c r="I5950" s="5" t="str">
        <f aca="false">IF($H5950=FALSE(),"",COUNTIF($H$6:$H5950,TRUE()))</f>
        <v/>
      </c>
      <c r="J5950" s="5" t="str">
        <f aca="false">IF($I5950="","","R"&amp;$I5950)</f>
        <v/>
      </c>
    </row>
    <row r="5951" customFormat="false" ht="15" hidden="false" customHeight="true" outlineLevel="0" collapsed="false">
      <c r="H5951" s="14" t="b">
        <f aca="false">IF(중복검사!$A5949="",FALSE(),중복검사!$J5949="유지")</f>
        <v>0</v>
      </c>
      <c r="I5951" s="5" t="str">
        <f aca="false">IF($H5951=FALSE(),"",COUNTIF($H$6:$H5951,TRUE()))</f>
        <v/>
      </c>
      <c r="J5951" s="5" t="str">
        <f aca="false">IF($I5951="","","R"&amp;$I5951)</f>
        <v/>
      </c>
    </row>
    <row r="5952" customFormat="false" ht="15" hidden="false" customHeight="true" outlineLevel="0" collapsed="false">
      <c r="H5952" s="14" t="b">
        <f aca="false">IF(중복검사!$A5950="",FALSE(),중복검사!$J5950="유지")</f>
        <v>0</v>
      </c>
      <c r="I5952" s="5" t="str">
        <f aca="false">IF($H5952=FALSE(),"",COUNTIF($H$6:$H5952,TRUE()))</f>
        <v/>
      </c>
      <c r="J5952" s="5" t="str">
        <f aca="false">IF($I5952="","","R"&amp;$I5952)</f>
        <v/>
      </c>
    </row>
    <row r="5953" customFormat="false" ht="15" hidden="false" customHeight="true" outlineLevel="0" collapsed="false">
      <c r="H5953" s="14" t="b">
        <f aca="false">IF(중복검사!$A5951="",FALSE(),중복검사!$J5951="유지")</f>
        <v>0</v>
      </c>
      <c r="I5953" s="5" t="str">
        <f aca="false">IF($H5953=FALSE(),"",COUNTIF($H$6:$H5953,TRUE()))</f>
        <v/>
      </c>
      <c r="J5953" s="5" t="str">
        <f aca="false">IF($I5953="","","R"&amp;$I5953)</f>
        <v/>
      </c>
    </row>
    <row r="5954" customFormat="false" ht="15" hidden="false" customHeight="true" outlineLevel="0" collapsed="false">
      <c r="H5954" s="14" t="b">
        <f aca="false">IF(중복검사!$A5952="",FALSE(),중복검사!$J5952="유지")</f>
        <v>0</v>
      </c>
      <c r="I5954" s="5" t="str">
        <f aca="false">IF($H5954=FALSE(),"",COUNTIF($H$6:$H5954,TRUE()))</f>
        <v/>
      </c>
      <c r="J5954" s="5" t="str">
        <f aca="false">IF($I5954="","","R"&amp;$I5954)</f>
        <v/>
      </c>
    </row>
    <row r="5955" customFormat="false" ht="15" hidden="false" customHeight="true" outlineLevel="0" collapsed="false">
      <c r="H5955" s="14" t="b">
        <f aca="false">IF(중복검사!$A5953="",FALSE(),중복검사!$J5953="유지")</f>
        <v>0</v>
      </c>
      <c r="I5955" s="5" t="str">
        <f aca="false">IF($H5955=FALSE(),"",COUNTIF($H$6:$H5955,TRUE()))</f>
        <v/>
      </c>
      <c r="J5955" s="5" t="str">
        <f aca="false">IF($I5955="","","R"&amp;$I5955)</f>
        <v/>
      </c>
    </row>
    <row r="5956" customFormat="false" ht="15" hidden="false" customHeight="true" outlineLevel="0" collapsed="false">
      <c r="H5956" s="14" t="b">
        <f aca="false">IF(중복검사!$A5954="",FALSE(),중복검사!$J5954="유지")</f>
        <v>0</v>
      </c>
      <c r="I5956" s="5" t="str">
        <f aca="false">IF($H5956=FALSE(),"",COUNTIF($H$6:$H5956,TRUE()))</f>
        <v/>
      </c>
      <c r="J5956" s="5" t="str">
        <f aca="false">IF($I5956="","","R"&amp;$I5956)</f>
        <v/>
      </c>
    </row>
    <row r="5957" customFormat="false" ht="15" hidden="false" customHeight="true" outlineLevel="0" collapsed="false">
      <c r="H5957" s="14" t="b">
        <f aca="false">IF(중복검사!$A5955="",FALSE(),중복검사!$J5955="유지")</f>
        <v>0</v>
      </c>
      <c r="I5957" s="5" t="str">
        <f aca="false">IF($H5957=FALSE(),"",COUNTIF($H$6:$H5957,TRUE()))</f>
        <v/>
      </c>
      <c r="J5957" s="5" t="str">
        <f aca="false">IF($I5957="","","R"&amp;$I5957)</f>
        <v/>
      </c>
    </row>
    <row r="5958" customFormat="false" ht="15" hidden="false" customHeight="true" outlineLevel="0" collapsed="false">
      <c r="H5958" s="14" t="b">
        <f aca="false">IF(중복검사!$A5956="",FALSE(),중복검사!$J5956="유지")</f>
        <v>0</v>
      </c>
      <c r="I5958" s="5" t="str">
        <f aca="false">IF($H5958=FALSE(),"",COUNTIF($H$6:$H5958,TRUE()))</f>
        <v/>
      </c>
      <c r="J5958" s="5" t="str">
        <f aca="false">IF($I5958="","","R"&amp;$I5958)</f>
        <v/>
      </c>
    </row>
    <row r="5959" customFormat="false" ht="15" hidden="false" customHeight="true" outlineLevel="0" collapsed="false">
      <c r="H5959" s="14" t="b">
        <f aca="false">IF(중복검사!$A5957="",FALSE(),중복검사!$J5957="유지")</f>
        <v>0</v>
      </c>
      <c r="I5959" s="5" t="str">
        <f aca="false">IF($H5959=FALSE(),"",COUNTIF($H$6:$H5959,TRUE()))</f>
        <v/>
      </c>
      <c r="J5959" s="5" t="str">
        <f aca="false">IF($I5959="","","R"&amp;$I5959)</f>
        <v/>
      </c>
    </row>
    <row r="5960" customFormat="false" ht="15" hidden="false" customHeight="true" outlineLevel="0" collapsed="false">
      <c r="H5960" s="14" t="b">
        <f aca="false">IF(중복검사!$A5958="",FALSE(),중복검사!$J5958="유지")</f>
        <v>0</v>
      </c>
      <c r="I5960" s="5" t="str">
        <f aca="false">IF($H5960=FALSE(),"",COUNTIF($H$6:$H5960,TRUE()))</f>
        <v/>
      </c>
      <c r="J5960" s="5" t="str">
        <f aca="false">IF($I5960="","","R"&amp;$I5960)</f>
        <v/>
      </c>
    </row>
    <row r="5961" customFormat="false" ht="15" hidden="false" customHeight="true" outlineLevel="0" collapsed="false">
      <c r="H5961" s="14" t="b">
        <f aca="false">IF(중복검사!$A5959="",FALSE(),중복검사!$J5959="유지")</f>
        <v>0</v>
      </c>
      <c r="I5961" s="5" t="str">
        <f aca="false">IF($H5961=FALSE(),"",COUNTIF($H$6:$H5961,TRUE()))</f>
        <v/>
      </c>
      <c r="J5961" s="5" t="str">
        <f aca="false">IF($I5961="","","R"&amp;$I5961)</f>
        <v/>
      </c>
    </row>
    <row r="5962" customFormat="false" ht="15" hidden="false" customHeight="true" outlineLevel="0" collapsed="false">
      <c r="H5962" s="14" t="b">
        <f aca="false">IF(중복검사!$A5960="",FALSE(),중복검사!$J5960="유지")</f>
        <v>0</v>
      </c>
      <c r="I5962" s="5" t="str">
        <f aca="false">IF($H5962=FALSE(),"",COUNTIF($H$6:$H5962,TRUE()))</f>
        <v/>
      </c>
      <c r="J5962" s="5" t="str">
        <f aca="false">IF($I5962="","","R"&amp;$I5962)</f>
        <v/>
      </c>
    </row>
    <row r="5963" customFormat="false" ht="15" hidden="false" customHeight="true" outlineLevel="0" collapsed="false">
      <c r="H5963" s="14" t="b">
        <f aca="false">IF(중복검사!$A5961="",FALSE(),중복검사!$J5961="유지")</f>
        <v>0</v>
      </c>
      <c r="I5963" s="5" t="str">
        <f aca="false">IF($H5963=FALSE(),"",COUNTIF($H$6:$H5963,TRUE()))</f>
        <v/>
      </c>
      <c r="J5963" s="5" t="str">
        <f aca="false">IF($I5963="","","R"&amp;$I5963)</f>
        <v/>
      </c>
    </row>
    <row r="5964" customFormat="false" ht="15" hidden="false" customHeight="true" outlineLevel="0" collapsed="false">
      <c r="H5964" s="14" t="b">
        <f aca="false">IF(중복검사!$A5962="",FALSE(),중복검사!$J5962="유지")</f>
        <v>0</v>
      </c>
      <c r="I5964" s="5" t="str">
        <f aca="false">IF($H5964=FALSE(),"",COUNTIF($H$6:$H5964,TRUE()))</f>
        <v/>
      </c>
      <c r="J5964" s="5" t="str">
        <f aca="false">IF($I5964="","","R"&amp;$I5964)</f>
        <v/>
      </c>
    </row>
    <row r="5965" customFormat="false" ht="15" hidden="false" customHeight="true" outlineLevel="0" collapsed="false">
      <c r="H5965" s="14" t="b">
        <f aca="false">IF(중복검사!$A5963="",FALSE(),중복검사!$J5963="유지")</f>
        <v>0</v>
      </c>
      <c r="I5965" s="5" t="str">
        <f aca="false">IF($H5965=FALSE(),"",COUNTIF($H$6:$H5965,TRUE()))</f>
        <v/>
      </c>
      <c r="J5965" s="5" t="str">
        <f aca="false">IF($I5965="","","R"&amp;$I5965)</f>
        <v/>
      </c>
    </row>
    <row r="5966" customFormat="false" ht="15" hidden="false" customHeight="true" outlineLevel="0" collapsed="false">
      <c r="H5966" s="14" t="b">
        <f aca="false">IF(중복검사!$A5964="",FALSE(),중복검사!$J5964="유지")</f>
        <v>0</v>
      </c>
      <c r="I5966" s="5" t="str">
        <f aca="false">IF($H5966=FALSE(),"",COUNTIF($H$6:$H5966,TRUE()))</f>
        <v/>
      </c>
      <c r="J5966" s="5" t="str">
        <f aca="false">IF($I5966="","","R"&amp;$I5966)</f>
        <v/>
      </c>
    </row>
    <row r="5967" customFormat="false" ht="15" hidden="false" customHeight="true" outlineLevel="0" collapsed="false">
      <c r="H5967" s="14" t="b">
        <f aca="false">IF(중복검사!$A5965="",FALSE(),중복검사!$J5965="유지")</f>
        <v>0</v>
      </c>
      <c r="I5967" s="5" t="str">
        <f aca="false">IF($H5967=FALSE(),"",COUNTIF($H$6:$H5967,TRUE()))</f>
        <v/>
      </c>
      <c r="J5967" s="5" t="str">
        <f aca="false">IF($I5967="","","R"&amp;$I5967)</f>
        <v/>
      </c>
    </row>
    <row r="5968" customFormat="false" ht="15" hidden="false" customHeight="true" outlineLevel="0" collapsed="false">
      <c r="H5968" s="14" t="b">
        <f aca="false">IF(중복검사!$A5966="",FALSE(),중복검사!$J5966="유지")</f>
        <v>0</v>
      </c>
      <c r="I5968" s="5" t="str">
        <f aca="false">IF($H5968=FALSE(),"",COUNTIF($H$6:$H5968,TRUE()))</f>
        <v/>
      </c>
      <c r="J5968" s="5" t="str">
        <f aca="false">IF($I5968="","","R"&amp;$I5968)</f>
        <v/>
      </c>
    </row>
    <row r="5969" customFormat="false" ht="15" hidden="false" customHeight="true" outlineLevel="0" collapsed="false">
      <c r="H5969" s="14" t="b">
        <f aca="false">IF(중복검사!$A5967="",FALSE(),중복검사!$J5967="유지")</f>
        <v>0</v>
      </c>
      <c r="I5969" s="5" t="str">
        <f aca="false">IF($H5969=FALSE(),"",COUNTIF($H$6:$H5969,TRUE()))</f>
        <v/>
      </c>
      <c r="J5969" s="5" t="str">
        <f aca="false">IF($I5969="","","R"&amp;$I5969)</f>
        <v/>
      </c>
    </row>
    <row r="5970" customFormat="false" ht="15" hidden="false" customHeight="true" outlineLevel="0" collapsed="false">
      <c r="H5970" s="14" t="b">
        <f aca="false">IF(중복검사!$A5968="",FALSE(),중복검사!$J5968="유지")</f>
        <v>0</v>
      </c>
      <c r="I5970" s="5" t="str">
        <f aca="false">IF($H5970=FALSE(),"",COUNTIF($H$6:$H5970,TRUE()))</f>
        <v/>
      </c>
      <c r="J5970" s="5" t="str">
        <f aca="false">IF($I5970="","","R"&amp;$I5970)</f>
        <v/>
      </c>
    </row>
    <row r="5971" customFormat="false" ht="15" hidden="false" customHeight="true" outlineLevel="0" collapsed="false">
      <c r="H5971" s="14" t="b">
        <f aca="false">IF(중복검사!$A5969="",FALSE(),중복검사!$J5969="유지")</f>
        <v>0</v>
      </c>
      <c r="I5971" s="5" t="str">
        <f aca="false">IF($H5971=FALSE(),"",COUNTIF($H$6:$H5971,TRUE()))</f>
        <v/>
      </c>
      <c r="J5971" s="5" t="str">
        <f aca="false">IF($I5971="","","R"&amp;$I5971)</f>
        <v/>
      </c>
    </row>
    <row r="5972" customFormat="false" ht="15" hidden="false" customHeight="true" outlineLevel="0" collapsed="false">
      <c r="H5972" s="14" t="b">
        <f aca="false">IF(중복검사!$A5970="",FALSE(),중복검사!$J5970="유지")</f>
        <v>0</v>
      </c>
      <c r="I5972" s="5" t="str">
        <f aca="false">IF($H5972=FALSE(),"",COUNTIF($H$6:$H5972,TRUE()))</f>
        <v/>
      </c>
      <c r="J5972" s="5" t="str">
        <f aca="false">IF($I5972="","","R"&amp;$I5972)</f>
        <v/>
      </c>
    </row>
    <row r="5973" customFormat="false" ht="15" hidden="false" customHeight="true" outlineLevel="0" collapsed="false">
      <c r="H5973" s="14" t="b">
        <f aca="false">IF(중복검사!$A5971="",FALSE(),중복검사!$J5971="유지")</f>
        <v>0</v>
      </c>
      <c r="I5973" s="5" t="str">
        <f aca="false">IF($H5973=FALSE(),"",COUNTIF($H$6:$H5973,TRUE()))</f>
        <v/>
      </c>
      <c r="J5973" s="5" t="str">
        <f aca="false">IF($I5973="","","R"&amp;$I5973)</f>
        <v/>
      </c>
    </row>
    <row r="5974" customFormat="false" ht="15" hidden="false" customHeight="true" outlineLevel="0" collapsed="false">
      <c r="H5974" s="14" t="b">
        <f aca="false">IF(중복검사!$A5972="",FALSE(),중복검사!$J5972="유지")</f>
        <v>0</v>
      </c>
      <c r="I5974" s="5" t="str">
        <f aca="false">IF($H5974=FALSE(),"",COUNTIF($H$6:$H5974,TRUE()))</f>
        <v/>
      </c>
      <c r="J5974" s="5" t="str">
        <f aca="false">IF($I5974="","","R"&amp;$I5974)</f>
        <v/>
      </c>
    </row>
    <row r="5975" customFormat="false" ht="15" hidden="false" customHeight="true" outlineLevel="0" collapsed="false">
      <c r="H5975" s="14" t="b">
        <f aca="false">IF(중복검사!$A5973="",FALSE(),중복검사!$J5973="유지")</f>
        <v>0</v>
      </c>
      <c r="I5975" s="5" t="str">
        <f aca="false">IF($H5975=FALSE(),"",COUNTIF($H$6:$H5975,TRUE()))</f>
        <v/>
      </c>
      <c r="J5975" s="5" t="str">
        <f aca="false">IF($I5975="","","R"&amp;$I5975)</f>
        <v/>
      </c>
    </row>
    <row r="5976" customFormat="false" ht="15" hidden="false" customHeight="true" outlineLevel="0" collapsed="false">
      <c r="H5976" s="14" t="b">
        <f aca="false">IF(중복검사!$A5974="",FALSE(),중복검사!$J5974="유지")</f>
        <v>0</v>
      </c>
      <c r="I5976" s="5" t="str">
        <f aca="false">IF($H5976=FALSE(),"",COUNTIF($H$6:$H5976,TRUE()))</f>
        <v/>
      </c>
      <c r="J5976" s="5" t="str">
        <f aca="false">IF($I5976="","","R"&amp;$I5976)</f>
        <v/>
      </c>
    </row>
    <row r="5977" customFormat="false" ht="15" hidden="false" customHeight="true" outlineLevel="0" collapsed="false">
      <c r="H5977" s="14" t="b">
        <f aca="false">IF(중복검사!$A5975="",FALSE(),중복검사!$J5975="유지")</f>
        <v>0</v>
      </c>
      <c r="I5977" s="5" t="str">
        <f aca="false">IF($H5977=FALSE(),"",COUNTIF($H$6:$H5977,TRUE()))</f>
        <v/>
      </c>
      <c r="J5977" s="5" t="str">
        <f aca="false">IF($I5977="","","R"&amp;$I5977)</f>
        <v/>
      </c>
    </row>
    <row r="5978" customFormat="false" ht="15" hidden="false" customHeight="true" outlineLevel="0" collapsed="false">
      <c r="H5978" s="14" t="b">
        <f aca="false">IF(중복검사!$A5976="",FALSE(),중복검사!$J5976="유지")</f>
        <v>0</v>
      </c>
      <c r="I5978" s="5" t="str">
        <f aca="false">IF($H5978=FALSE(),"",COUNTIF($H$6:$H5978,TRUE()))</f>
        <v/>
      </c>
      <c r="J5978" s="5" t="str">
        <f aca="false">IF($I5978="","","R"&amp;$I5978)</f>
        <v/>
      </c>
    </row>
    <row r="5979" customFormat="false" ht="15" hidden="false" customHeight="true" outlineLevel="0" collapsed="false">
      <c r="H5979" s="14" t="b">
        <f aca="false">IF(중복검사!$A5977="",FALSE(),중복검사!$J5977="유지")</f>
        <v>0</v>
      </c>
      <c r="I5979" s="5" t="str">
        <f aca="false">IF($H5979=FALSE(),"",COUNTIF($H$6:$H5979,TRUE()))</f>
        <v/>
      </c>
      <c r="J5979" s="5" t="str">
        <f aca="false">IF($I5979="","","R"&amp;$I5979)</f>
        <v/>
      </c>
    </row>
    <row r="5980" customFormat="false" ht="15" hidden="false" customHeight="true" outlineLevel="0" collapsed="false">
      <c r="H5980" s="14" t="b">
        <f aca="false">IF(중복검사!$A5978="",FALSE(),중복검사!$J5978="유지")</f>
        <v>0</v>
      </c>
      <c r="I5980" s="5" t="str">
        <f aca="false">IF($H5980=FALSE(),"",COUNTIF($H$6:$H5980,TRUE()))</f>
        <v/>
      </c>
      <c r="J5980" s="5" t="str">
        <f aca="false">IF($I5980="","","R"&amp;$I5980)</f>
        <v/>
      </c>
    </row>
    <row r="5981" customFormat="false" ht="15" hidden="false" customHeight="true" outlineLevel="0" collapsed="false">
      <c r="H5981" s="14" t="b">
        <f aca="false">IF(중복검사!$A5979="",FALSE(),중복검사!$J5979="유지")</f>
        <v>0</v>
      </c>
      <c r="I5981" s="5" t="str">
        <f aca="false">IF($H5981=FALSE(),"",COUNTIF($H$6:$H5981,TRUE()))</f>
        <v/>
      </c>
      <c r="J5981" s="5" t="str">
        <f aca="false">IF($I5981="","","R"&amp;$I5981)</f>
        <v/>
      </c>
    </row>
    <row r="5982" customFormat="false" ht="15" hidden="false" customHeight="true" outlineLevel="0" collapsed="false">
      <c r="H5982" s="14" t="b">
        <f aca="false">IF(중복검사!$A5980="",FALSE(),중복검사!$J5980="유지")</f>
        <v>0</v>
      </c>
      <c r="I5982" s="5" t="str">
        <f aca="false">IF($H5982=FALSE(),"",COUNTIF($H$6:$H5982,TRUE()))</f>
        <v/>
      </c>
      <c r="J5982" s="5" t="str">
        <f aca="false">IF($I5982="","","R"&amp;$I5982)</f>
        <v/>
      </c>
    </row>
    <row r="5983" customFormat="false" ht="15" hidden="false" customHeight="true" outlineLevel="0" collapsed="false">
      <c r="H5983" s="14" t="b">
        <f aca="false">IF(중복검사!$A5981="",FALSE(),중복검사!$J5981="유지")</f>
        <v>0</v>
      </c>
      <c r="I5983" s="5" t="str">
        <f aca="false">IF($H5983=FALSE(),"",COUNTIF($H$6:$H5983,TRUE()))</f>
        <v/>
      </c>
      <c r="J5983" s="5" t="str">
        <f aca="false">IF($I5983="","","R"&amp;$I5983)</f>
        <v/>
      </c>
    </row>
    <row r="5984" customFormat="false" ht="15" hidden="false" customHeight="true" outlineLevel="0" collapsed="false">
      <c r="H5984" s="14" t="b">
        <f aca="false">IF(중복검사!$A5982="",FALSE(),중복검사!$J5982="유지")</f>
        <v>0</v>
      </c>
      <c r="I5984" s="5" t="str">
        <f aca="false">IF($H5984=FALSE(),"",COUNTIF($H$6:$H5984,TRUE()))</f>
        <v/>
      </c>
      <c r="J5984" s="5" t="str">
        <f aca="false">IF($I5984="","","R"&amp;$I5984)</f>
        <v/>
      </c>
    </row>
    <row r="5985" customFormat="false" ht="15" hidden="false" customHeight="true" outlineLevel="0" collapsed="false">
      <c r="H5985" s="14" t="b">
        <f aca="false">IF(중복검사!$A5983="",FALSE(),중복검사!$J5983="유지")</f>
        <v>0</v>
      </c>
      <c r="I5985" s="5" t="str">
        <f aca="false">IF($H5985=FALSE(),"",COUNTIF($H$6:$H5985,TRUE()))</f>
        <v/>
      </c>
      <c r="J5985" s="5" t="str">
        <f aca="false">IF($I5985="","","R"&amp;$I5985)</f>
        <v/>
      </c>
    </row>
    <row r="5986" customFormat="false" ht="15" hidden="false" customHeight="true" outlineLevel="0" collapsed="false">
      <c r="H5986" s="14" t="b">
        <f aca="false">IF(중복검사!$A5984="",FALSE(),중복검사!$J5984="유지")</f>
        <v>0</v>
      </c>
      <c r="I5986" s="5" t="str">
        <f aca="false">IF($H5986=FALSE(),"",COUNTIF($H$6:$H5986,TRUE()))</f>
        <v/>
      </c>
      <c r="J5986" s="5" t="str">
        <f aca="false">IF($I5986="","","R"&amp;$I5986)</f>
        <v/>
      </c>
    </row>
    <row r="5987" customFormat="false" ht="15" hidden="false" customHeight="true" outlineLevel="0" collapsed="false">
      <c r="H5987" s="14" t="b">
        <f aca="false">IF(중복검사!$A5985="",FALSE(),중복검사!$J5985="유지")</f>
        <v>0</v>
      </c>
      <c r="I5987" s="5" t="str">
        <f aca="false">IF($H5987=FALSE(),"",COUNTIF($H$6:$H5987,TRUE()))</f>
        <v/>
      </c>
      <c r="J5987" s="5" t="str">
        <f aca="false">IF($I5987="","","R"&amp;$I5987)</f>
        <v/>
      </c>
    </row>
    <row r="5988" customFormat="false" ht="15" hidden="false" customHeight="true" outlineLevel="0" collapsed="false">
      <c r="H5988" s="14" t="b">
        <f aca="false">IF(중복검사!$A5986="",FALSE(),중복검사!$J5986="유지")</f>
        <v>0</v>
      </c>
      <c r="I5988" s="5" t="str">
        <f aca="false">IF($H5988=FALSE(),"",COUNTIF($H$6:$H5988,TRUE()))</f>
        <v/>
      </c>
      <c r="J5988" s="5" t="str">
        <f aca="false">IF($I5988="","","R"&amp;$I5988)</f>
        <v/>
      </c>
    </row>
    <row r="5989" customFormat="false" ht="15" hidden="false" customHeight="true" outlineLevel="0" collapsed="false">
      <c r="H5989" s="14" t="b">
        <f aca="false">IF(중복검사!$A5987="",FALSE(),중복검사!$J5987="유지")</f>
        <v>0</v>
      </c>
      <c r="I5989" s="5" t="str">
        <f aca="false">IF($H5989=FALSE(),"",COUNTIF($H$6:$H5989,TRUE()))</f>
        <v/>
      </c>
      <c r="J5989" s="5" t="str">
        <f aca="false">IF($I5989="","","R"&amp;$I5989)</f>
        <v/>
      </c>
    </row>
    <row r="5990" customFormat="false" ht="15" hidden="false" customHeight="true" outlineLevel="0" collapsed="false">
      <c r="H5990" s="14" t="b">
        <f aca="false">IF(중복검사!$A5988="",FALSE(),중복검사!$J5988="유지")</f>
        <v>0</v>
      </c>
      <c r="I5990" s="5" t="str">
        <f aca="false">IF($H5990=FALSE(),"",COUNTIF($H$6:$H5990,TRUE()))</f>
        <v/>
      </c>
      <c r="J5990" s="5" t="str">
        <f aca="false">IF($I5990="","","R"&amp;$I5990)</f>
        <v/>
      </c>
    </row>
    <row r="5991" customFormat="false" ht="15" hidden="false" customHeight="true" outlineLevel="0" collapsed="false">
      <c r="H5991" s="14" t="b">
        <f aca="false">IF(중복검사!$A5989="",FALSE(),중복검사!$J5989="유지")</f>
        <v>0</v>
      </c>
      <c r="I5991" s="5" t="str">
        <f aca="false">IF($H5991=FALSE(),"",COUNTIF($H$6:$H5991,TRUE()))</f>
        <v/>
      </c>
      <c r="J5991" s="5" t="str">
        <f aca="false">IF($I5991="","","R"&amp;$I5991)</f>
        <v/>
      </c>
    </row>
    <row r="5992" customFormat="false" ht="15" hidden="false" customHeight="true" outlineLevel="0" collapsed="false">
      <c r="H5992" s="14" t="b">
        <f aca="false">IF(중복검사!$A5990="",FALSE(),중복검사!$J5990="유지")</f>
        <v>0</v>
      </c>
      <c r="I5992" s="5" t="str">
        <f aca="false">IF($H5992=FALSE(),"",COUNTIF($H$6:$H5992,TRUE()))</f>
        <v/>
      </c>
      <c r="J5992" s="5" t="str">
        <f aca="false">IF($I5992="","","R"&amp;$I5992)</f>
        <v/>
      </c>
    </row>
    <row r="5993" customFormat="false" ht="15" hidden="false" customHeight="true" outlineLevel="0" collapsed="false">
      <c r="H5993" s="14" t="b">
        <f aca="false">IF(중복검사!$A5991="",FALSE(),중복검사!$J5991="유지")</f>
        <v>0</v>
      </c>
      <c r="I5993" s="5" t="str">
        <f aca="false">IF($H5993=FALSE(),"",COUNTIF($H$6:$H5993,TRUE()))</f>
        <v/>
      </c>
      <c r="J5993" s="5" t="str">
        <f aca="false">IF($I5993="","","R"&amp;$I5993)</f>
        <v/>
      </c>
    </row>
    <row r="5994" customFormat="false" ht="15" hidden="false" customHeight="true" outlineLevel="0" collapsed="false">
      <c r="H5994" s="14" t="b">
        <f aca="false">IF(중복검사!$A5992="",FALSE(),중복검사!$J5992="유지")</f>
        <v>0</v>
      </c>
      <c r="I5994" s="5" t="str">
        <f aca="false">IF($H5994=FALSE(),"",COUNTIF($H$6:$H5994,TRUE()))</f>
        <v/>
      </c>
      <c r="J5994" s="5" t="str">
        <f aca="false">IF($I5994="","","R"&amp;$I5994)</f>
        <v/>
      </c>
    </row>
    <row r="5995" customFormat="false" ht="15" hidden="false" customHeight="true" outlineLevel="0" collapsed="false">
      <c r="H5995" s="14" t="b">
        <f aca="false">IF(중복검사!$A5993="",FALSE(),중복검사!$J5993="유지")</f>
        <v>0</v>
      </c>
      <c r="I5995" s="5" t="str">
        <f aca="false">IF($H5995=FALSE(),"",COUNTIF($H$6:$H5995,TRUE()))</f>
        <v/>
      </c>
      <c r="J5995" s="5" t="str">
        <f aca="false">IF($I5995="","","R"&amp;$I5995)</f>
        <v/>
      </c>
    </row>
    <row r="5996" customFormat="false" ht="15" hidden="false" customHeight="true" outlineLevel="0" collapsed="false">
      <c r="H5996" s="14" t="b">
        <f aca="false">IF(중복검사!$A5994="",FALSE(),중복검사!$J5994="유지")</f>
        <v>0</v>
      </c>
      <c r="I5996" s="5" t="str">
        <f aca="false">IF($H5996=FALSE(),"",COUNTIF($H$6:$H5996,TRUE()))</f>
        <v/>
      </c>
      <c r="J5996" s="5" t="str">
        <f aca="false">IF($I5996="","","R"&amp;$I5996)</f>
        <v/>
      </c>
    </row>
    <row r="5997" customFormat="false" ht="15" hidden="false" customHeight="true" outlineLevel="0" collapsed="false">
      <c r="H5997" s="14" t="b">
        <f aca="false">IF(중복검사!$A5995="",FALSE(),중복검사!$J5995="유지")</f>
        <v>0</v>
      </c>
      <c r="I5997" s="5" t="str">
        <f aca="false">IF($H5997=FALSE(),"",COUNTIF($H$6:$H5997,TRUE()))</f>
        <v/>
      </c>
      <c r="J5997" s="5" t="str">
        <f aca="false">IF($I5997="","","R"&amp;$I5997)</f>
        <v/>
      </c>
    </row>
    <row r="5998" customFormat="false" ht="15" hidden="false" customHeight="true" outlineLevel="0" collapsed="false">
      <c r="H5998" s="14" t="b">
        <f aca="false">IF(중복검사!$A5996="",FALSE(),중복검사!$J5996="유지")</f>
        <v>0</v>
      </c>
      <c r="I5998" s="5" t="str">
        <f aca="false">IF($H5998=FALSE(),"",COUNTIF($H$6:$H5998,TRUE()))</f>
        <v/>
      </c>
      <c r="J5998" s="5" t="str">
        <f aca="false">IF($I5998="","","R"&amp;$I5998)</f>
        <v/>
      </c>
    </row>
    <row r="5999" customFormat="false" ht="15" hidden="false" customHeight="true" outlineLevel="0" collapsed="false">
      <c r="H5999" s="14" t="b">
        <f aca="false">IF(중복검사!$A5997="",FALSE(),중복검사!$J5997="유지")</f>
        <v>0</v>
      </c>
      <c r="I5999" s="5" t="str">
        <f aca="false">IF($H5999=FALSE(),"",COUNTIF($H$6:$H5999,TRUE()))</f>
        <v/>
      </c>
      <c r="J5999" s="5" t="str">
        <f aca="false">IF($I5999="","","R"&amp;$I5999)</f>
        <v/>
      </c>
    </row>
    <row r="6000" customFormat="false" ht="15" hidden="false" customHeight="true" outlineLevel="0" collapsed="false">
      <c r="H6000" s="14" t="b">
        <f aca="false">IF(중복검사!$A5998="",FALSE(),중복검사!$J5998="유지")</f>
        <v>0</v>
      </c>
      <c r="I6000" s="5" t="str">
        <f aca="false">IF($H6000=FALSE(),"",COUNTIF($H$6:$H6000,TRUE()))</f>
        <v/>
      </c>
      <c r="J6000" s="5" t="str">
        <f aca="false">IF($I6000="","","R"&amp;$I6000)</f>
        <v/>
      </c>
    </row>
    <row r="6001" customFormat="false" ht="15" hidden="false" customHeight="true" outlineLevel="0" collapsed="false">
      <c r="H6001" s="14" t="b">
        <f aca="false">IF(중복검사!$A5999="",FALSE(),중복검사!$J5999="유지")</f>
        <v>0</v>
      </c>
      <c r="I6001" s="5" t="str">
        <f aca="false">IF($H6001=FALSE(),"",COUNTIF($H$6:$H6001,TRUE()))</f>
        <v/>
      </c>
      <c r="J6001" s="5" t="str">
        <f aca="false">IF($I6001="","","R"&amp;$I6001)</f>
        <v/>
      </c>
    </row>
    <row r="6002" customFormat="false" ht="15" hidden="false" customHeight="true" outlineLevel="0" collapsed="false">
      <c r="H6002" s="14" t="b">
        <f aca="false">IF(중복검사!$A6000="",FALSE(),중복검사!$J6000="유지")</f>
        <v>0</v>
      </c>
      <c r="I6002" s="5" t="str">
        <f aca="false">IF($H6002=FALSE(),"",COUNTIF($H$6:$H6002,TRUE()))</f>
        <v/>
      </c>
      <c r="J6002" s="5" t="str">
        <f aca="false">IF($I6002="","","R"&amp;$I6002)</f>
        <v/>
      </c>
    </row>
    <row r="6003" customFormat="false" ht="15" hidden="false" customHeight="true" outlineLevel="0" collapsed="false">
      <c r="H6003" s="14" t="b">
        <f aca="false">IF(중복검사!$A6001="",FALSE(),중복검사!$J6001="유지")</f>
        <v>0</v>
      </c>
      <c r="I6003" s="5" t="str">
        <f aca="false">IF($H6003=FALSE(),"",COUNTIF($H$6:$H6003,TRUE()))</f>
        <v/>
      </c>
      <c r="J6003" s="5" t="str">
        <f aca="false">IF($I6003="","","R"&amp;$I6003)</f>
        <v/>
      </c>
    </row>
    <row r="6004" customFormat="false" ht="15" hidden="false" customHeight="true" outlineLevel="0" collapsed="false">
      <c r="H6004" s="14" t="b">
        <f aca="false">IF(중복검사!$A6002="",FALSE(),중복검사!$J6002="유지")</f>
        <v>0</v>
      </c>
      <c r="I6004" s="5" t="str">
        <f aca="false">IF($H6004=FALSE(),"",COUNTIF($H$6:$H6004,TRUE()))</f>
        <v/>
      </c>
      <c r="J6004" s="5" t="str">
        <f aca="false">IF($I6004="","","R"&amp;$I6004)</f>
        <v/>
      </c>
    </row>
    <row r="6005" customFormat="false" ht="15" hidden="false" customHeight="true" outlineLevel="0" collapsed="false">
      <c r="H6005" s="14" t="b">
        <f aca="false">IF(중복검사!$A6003="",FALSE(),중복검사!$J6003="유지")</f>
        <v>0</v>
      </c>
      <c r="I6005" s="5" t="str">
        <f aca="false">IF($H6005=FALSE(),"",COUNTIF($H$6:$H6005,TRUE()))</f>
        <v/>
      </c>
      <c r="J6005" s="5" t="str">
        <f aca="false">IF($I6005="","","R"&amp;$I6005)</f>
        <v/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6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79</v>
      </c>
      <c r="B1" s="2"/>
      <c r="C1" s="2"/>
      <c r="D1" s="2"/>
    </row>
    <row r="4" customFormat="false" ht="15" hidden="false" customHeight="true" outlineLevel="0" collapsed="false">
      <c r="A4" s="17" t="s">
        <v>80</v>
      </c>
      <c r="B4" s="18" t="n">
        <f aca="false">COUNTIF(원본명단!$A$3:$A$6002,"?*")</f>
        <v>5</v>
      </c>
      <c r="D4" s="5" t="s">
        <v>81</v>
      </c>
    </row>
    <row r="5" customFormat="false" ht="15" hidden="false" customHeight="true" outlineLevel="0" collapsed="false">
      <c r="A5" s="17" t="s">
        <v>82</v>
      </c>
      <c r="B5" s="18" t="n">
        <f aca="false">COUNTIF(중복검사!$H$4:$H$6003,"중복")</f>
        <v>4</v>
      </c>
      <c r="D5" s="5" t="s">
        <v>83</v>
      </c>
    </row>
    <row r="6" customFormat="false" ht="15" hidden="false" customHeight="true" outlineLevel="0" collapsed="false">
      <c r="A6" s="17" t="s">
        <v>84</v>
      </c>
      <c r="B6" s="18" t="n">
        <f aca="false">COUNTIF(중복검사!$J$4:$J$6003,"확인 필요")</f>
        <v>2</v>
      </c>
      <c r="D6" s="5" t="s">
        <v>85</v>
      </c>
    </row>
    <row r="7" customFormat="false" ht="15" hidden="false" customHeight="true" outlineLevel="0" collapsed="false">
      <c r="A7" s="17" t="s">
        <v>76</v>
      </c>
      <c r="B7" s="18" t="n">
        <f aca="false">COUNTIF(중복검사!$J$4:$J$6003,"유지")</f>
        <v>3</v>
      </c>
      <c r="D7" s="5" t="s">
        <v>86</v>
      </c>
    </row>
    <row r="8" customFormat="false" ht="15" hidden="false" customHeight="true" outlineLevel="0" collapsed="false">
      <c r="A8" s="17" t="s">
        <v>87</v>
      </c>
      <c r="B8" s="18" t="n">
        <f aca="false">COUNTIF(중복검사!$E$4:$E$6003,"&gt;1")</f>
        <v>4</v>
      </c>
      <c r="D8" s="5"/>
    </row>
    <row r="9" customFormat="false" ht="15" hidden="false" customHeight="true" outlineLevel="0" collapsed="false">
      <c r="A9" s="17" t="s">
        <v>88</v>
      </c>
      <c r="B9" s="18" t="n">
        <f aca="false">COUNTIF(중복검사!$F$4:$F$6003,"&gt;1")</f>
        <v>2</v>
      </c>
      <c r="D9" s="5"/>
    </row>
    <row r="10" customFormat="false" ht="15" hidden="false" customHeight="true" outlineLevel="0" collapsed="false">
      <c r="A10" s="17" t="s">
        <v>89</v>
      </c>
      <c r="B10" s="18" t="n">
        <f aca="false">COUNTIF(중복검사!$G$4:$G$6003,"&gt;1")</f>
        <v>4</v>
      </c>
      <c r="D10" s="5"/>
    </row>
    <row r="12" customFormat="false" ht="15" hidden="false" customHeight="true" outlineLevel="0" collapsed="false">
      <c r="A12" s="5" t="s">
        <v>90</v>
      </c>
    </row>
    <row r="13" customFormat="false" ht="15" hidden="false" customHeight="true" outlineLevel="0" collapsed="false">
      <c r="A13" s="5" t="s">
        <v>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2026-09-14T08:41:35Z</dcterms:created>
  <dc:creator>openpyxl</dc:creator>
  <dc:description/>
  <dc:language>en-US</dc:language>
  <cp:lastModifiedBy/>
  <dcterms:modified xsi:type="dcterms:W3CDTF">2026-09-14T08:58:19Z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